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5.xml" ContentType="application/vnd.openxmlformats-officedocument.drawingml.chart+xml"/>
  <Override PartName="/xl/drawings/drawing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ThisWorkbook" defaultThemeVersion="124226"/>
  <mc:AlternateContent xmlns:mc="http://schemas.openxmlformats.org/markup-compatibility/2006">
    <mc:Choice Requires="x15">
      <x15ac:absPath xmlns:x15ac="http://schemas.microsoft.com/office/spreadsheetml/2010/11/ac" url="C:\Users\bryant.vu\Documents\Python_Scripts\"/>
    </mc:Choice>
  </mc:AlternateContent>
  <xr:revisionPtr revIDLastSave="0" documentId="13_ncr:1_{726C5CF3-3A6C-438C-B8BE-8C598DE0463F}" xr6:coauthVersionLast="41" xr6:coauthVersionMax="41" xr10:uidLastSave="{00000000-0000-0000-0000-000000000000}"/>
  <bookViews>
    <workbookView xWindow="28680" yWindow="-120" windowWidth="29040" windowHeight="15840" firstSheet="2" activeTab="14" xr2:uid="{00000000-000D-0000-FFFF-FFFF00000000}"/>
  </bookViews>
  <sheets>
    <sheet name="About" sheetId="37" r:id="rId1"/>
    <sheet name="Lookup" sheetId="38" r:id="rId2"/>
    <sheet name="LM Offers" sheetId="63" r:id="rId3"/>
    <sheet name="Offers" sheetId="65" r:id="rId4"/>
    <sheet name="Input" sheetId="39" r:id="rId5"/>
    <sheet name="LC Calib" sheetId="52" r:id="rId6"/>
    <sheet name="Scenarios" sheetId="75" r:id="rId7"/>
    <sheet name="Input(+)" sheetId="57" state="hidden" r:id="rId8"/>
    <sheet name="DSS_Calc" sheetId="40" r:id="rId9"/>
    <sheet name="L1" sheetId="58" r:id="rId10"/>
    <sheet name="Output (LFC)" sheetId="62" state="hidden" r:id="rId11"/>
    <sheet name="L2" sheetId="66" r:id="rId12"/>
    <sheet name="L3" sheetId="67" r:id="rId13"/>
    <sheet name="R1" sheetId="68" r:id="rId14"/>
    <sheet name="R2" sheetId="69" r:id="rId15"/>
    <sheet name="Dum" sheetId="71" state="hidden" r:id="rId16"/>
    <sheet name="National" sheetId="73" r:id="rId17"/>
    <sheet name="Summary" sheetId="70" r:id="rId18"/>
    <sheet name="QC" sheetId="44" state="hidden" r:id="rId19"/>
    <sheet name="Scenario Rec" sheetId="61" state="hidden" r:id="rId20"/>
    <sheet name="Nissan Regional Table" sheetId="59" state="hidden" r:id="rId21"/>
  </sheets>
  <definedNames>
    <definedName name="_xlnm._FilterDatabase" localSheetId="8" hidden="1">DSS_Calc!$A$98:$D$599</definedName>
    <definedName name="_xlnm._FilterDatabase" localSheetId="15" hidden="1">Dum!$BA$28:$BL$72</definedName>
    <definedName name="_xlnm._FilterDatabase" localSheetId="9" hidden="1">'L1'!$BA$28:$BL$72</definedName>
    <definedName name="_xlnm._FilterDatabase" localSheetId="11" hidden="1">'L2'!$BA$28:$BL$72</definedName>
    <definedName name="_xlnm._FilterDatabase" localSheetId="12" hidden="1">'L3'!$BA$28:$BL$72</definedName>
    <definedName name="_xlnm._FilterDatabase" localSheetId="5" hidden="1">'LC Calib'!$A$17:$HM$49</definedName>
    <definedName name="_xlnm._FilterDatabase" localSheetId="1" hidden="1">Lookup!#REF!</definedName>
    <definedName name="_xlnm._FilterDatabase" localSheetId="10" hidden="1">'Output (LFC)'!$BA$28:$BL$72</definedName>
    <definedName name="_xlnm._FilterDatabase" localSheetId="18" hidden="1">QC!$AN$30:$AR$130</definedName>
    <definedName name="_xlnm._FilterDatabase" localSheetId="13" hidden="1">'R1'!$BA$28:$BL$72</definedName>
    <definedName name="_xlnm._FilterDatabase" localSheetId="14" hidden="1">'R2'!$BA$28:$BL$72</definedName>
    <definedName name="solver_adj" localSheetId="19" hidden="1">'Scenario Rec'!$Q$7:$S$16</definedName>
    <definedName name="solver_cvg" localSheetId="19" hidden="1">0.000001</definedName>
    <definedName name="solver_drv" localSheetId="19" hidden="1">1</definedName>
    <definedName name="solver_eng" localSheetId="19" hidden="1">1</definedName>
    <definedName name="solver_est" localSheetId="19" hidden="1">1</definedName>
    <definedName name="solver_itr" localSheetId="19" hidden="1">2147483647</definedName>
    <definedName name="solver_lhs1" localSheetId="19" hidden="1">'Scenario Rec'!$Q$7:$S$16</definedName>
    <definedName name="solver_lhs10" localSheetId="19" hidden="1">'Scenario Rec'!$Q$27:$S$30</definedName>
    <definedName name="solver_lhs11" localSheetId="19" hidden="1">'Scenario Rec'!$Q$27:$S$30</definedName>
    <definedName name="solver_lhs12" localSheetId="19" hidden="1">'Scenario Rec'!$Q$27:$S$30</definedName>
    <definedName name="solver_lhs13" localSheetId="19" hidden="1">'Scenario Rec'!$Q$27:$S$30</definedName>
    <definedName name="solver_lhs14" localSheetId="19" hidden="1">'Scenario Rec'!$Q$27:$S$30</definedName>
    <definedName name="solver_lhs15" localSheetId="19" hidden="1">'Scenario Rec'!$Q$27:$S$30</definedName>
    <definedName name="solver_lhs16" localSheetId="19" hidden="1">'Scenario Rec'!$Q$27:$S$30</definedName>
    <definedName name="solver_lhs17" localSheetId="19" hidden="1">'Scenario Rec'!$Q$27:$S$30</definedName>
    <definedName name="solver_lhs18" localSheetId="19" hidden="1">'Scenario Rec'!$Q$27:$S$30</definedName>
    <definedName name="solver_lhs19" localSheetId="19" hidden="1">'Scenario Rec'!$Q$27:$S$30</definedName>
    <definedName name="solver_lhs2" localSheetId="19" hidden="1">'Scenario Rec'!$Q$7:$S$16</definedName>
    <definedName name="solver_lhs20" localSheetId="19" hidden="1">'Scenario Rec'!$Q$27:$S$30</definedName>
    <definedName name="solver_lhs3" localSheetId="19" hidden="1">'Scenario Rec'!$T$7:$T$16</definedName>
    <definedName name="solver_lhs4" localSheetId="19" hidden="1">'Scenario Rec'!#REF!</definedName>
    <definedName name="solver_lhs5" localSheetId="19" hidden="1">'Scenario Rec'!$Q$27:$S$30</definedName>
    <definedName name="solver_lhs6" localSheetId="19" hidden="1">'Scenario Rec'!$Q$27:$S$30</definedName>
    <definedName name="solver_lhs7" localSheetId="19" hidden="1">'Scenario Rec'!$Q$27:$S$30</definedName>
    <definedName name="solver_lhs8" localSheetId="19" hidden="1">'Scenario Rec'!$Q$27:$S$30</definedName>
    <definedName name="solver_lhs9" localSheetId="19" hidden="1">'Scenario Rec'!$Q$27:$S$30</definedName>
    <definedName name="solver_mip" localSheetId="19" hidden="1">2147483647</definedName>
    <definedName name="solver_mni" localSheetId="19" hidden="1">30</definedName>
    <definedName name="solver_mrt" localSheetId="19" hidden="1">0.075</definedName>
    <definedName name="solver_msl" localSheetId="19" hidden="1">2</definedName>
    <definedName name="solver_neg" localSheetId="19" hidden="1">1</definedName>
    <definedName name="solver_nod" localSheetId="19" hidden="1">2147483647</definedName>
    <definedName name="solver_num" localSheetId="19" hidden="1">3</definedName>
    <definedName name="solver_nwt" localSheetId="19" hidden="1">1</definedName>
    <definedName name="solver_opt" localSheetId="19" hidden="1">'Scenario Rec'!$AH$5</definedName>
    <definedName name="solver_pre" localSheetId="19" hidden="1">0.000001</definedName>
    <definedName name="solver_rbv" localSheetId="19" hidden="1">2</definedName>
    <definedName name="solver_rel1" localSheetId="19" hidden="1">1</definedName>
    <definedName name="solver_rel10" localSheetId="19" hidden="1">1</definedName>
    <definedName name="solver_rel11" localSheetId="19" hidden="1">1</definedName>
    <definedName name="solver_rel12" localSheetId="19" hidden="1">1</definedName>
    <definedName name="solver_rel13" localSheetId="19" hidden="1">1</definedName>
    <definedName name="solver_rel14" localSheetId="19" hidden="1">1</definedName>
    <definedName name="solver_rel15" localSheetId="19" hidden="1">1</definedName>
    <definedName name="solver_rel16" localSheetId="19" hidden="1">1</definedName>
    <definedName name="solver_rel17" localSheetId="19" hidden="1">1</definedName>
    <definedName name="solver_rel18" localSheetId="19" hidden="1">1</definedName>
    <definedName name="solver_rel19" localSheetId="19" hidden="1">1</definedName>
    <definedName name="solver_rel2" localSheetId="19" hidden="1">3</definedName>
    <definedName name="solver_rel20" localSheetId="19" hidden="1">1</definedName>
    <definedName name="solver_rel3" localSheetId="19" hidden="1">1</definedName>
    <definedName name="solver_rel4" localSheetId="19" hidden="1">1</definedName>
    <definedName name="solver_rel5" localSheetId="19" hidden="1">1</definedName>
    <definedName name="solver_rel6" localSheetId="19" hidden="1">1</definedName>
    <definedName name="solver_rel7" localSheetId="19" hidden="1">1</definedName>
    <definedName name="solver_rel8" localSheetId="19" hidden="1">1</definedName>
    <definedName name="solver_rel9" localSheetId="19" hidden="1">1</definedName>
    <definedName name="solver_rhs1" localSheetId="19" hidden="1">2000</definedName>
    <definedName name="solver_rhs10" localSheetId="19" hidden="1">1500</definedName>
    <definedName name="solver_rhs11" localSheetId="19" hidden="1">1500</definedName>
    <definedName name="solver_rhs12" localSheetId="19" hidden="1">1500</definedName>
    <definedName name="solver_rhs13" localSheetId="19" hidden="1">1500</definedName>
    <definedName name="solver_rhs14" localSheetId="19" hidden="1">1500</definedName>
    <definedName name="solver_rhs15" localSheetId="19" hidden="1">1500</definedName>
    <definedName name="solver_rhs16" localSheetId="19" hidden="1">1500</definedName>
    <definedName name="solver_rhs17" localSheetId="19" hidden="1">1500</definedName>
    <definedName name="solver_rhs18" localSheetId="19" hidden="1">1500</definedName>
    <definedName name="solver_rhs19" localSheetId="19" hidden="1">1500</definedName>
    <definedName name="solver_rhs2" localSheetId="19" hidden="1">-750</definedName>
    <definedName name="solver_rhs20" localSheetId="19" hidden="1">1500</definedName>
    <definedName name="solver_rhs3" localSheetId="19" hidden="1">'Scenario Rec'!$C$7:$C$16</definedName>
    <definedName name="solver_rhs4" localSheetId="19" hidden="1">'Scenario Rec'!#REF!</definedName>
    <definedName name="solver_rhs5" localSheetId="19" hidden="1">1500</definedName>
    <definedName name="solver_rhs6" localSheetId="19" hidden="1">1500</definedName>
    <definedName name="solver_rhs7" localSheetId="19" hidden="1">1500</definedName>
    <definedName name="solver_rhs8" localSheetId="19" hidden="1">1500</definedName>
    <definedName name="solver_rhs9" localSheetId="19" hidden="1">1500</definedName>
    <definedName name="solver_rlx" localSheetId="19" hidden="1">2</definedName>
    <definedName name="solver_rsd" localSheetId="19" hidden="1">0</definedName>
    <definedName name="solver_scl" localSheetId="19" hidden="1">2</definedName>
    <definedName name="solver_sho" localSheetId="19" hidden="1">2</definedName>
    <definedName name="solver_ssz" localSheetId="19" hidden="1">100</definedName>
    <definedName name="solver_tim" localSheetId="19" hidden="1">2147483647</definedName>
    <definedName name="solver_tol" localSheetId="19" hidden="1">0.01</definedName>
    <definedName name="solver_typ" localSheetId="19" hidden="1">1</definedName>
    <definedName name="solver_val" localSheetId="19" hidden="1">0</definedName>
    <definedName name="solver_ver" localSheetId="19" hidden="1">3</definedName>
  </definedNames>
  <calcPr calcId="191029"/>
  <pivotCaches>
    <pivotCache cacheId="0" r:id="rId22"/>
    <pivotCache cacheId="1" r:id="rId23"/>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B700" i="40" l="1"/>
  <c r="CV700" i="40"/>
  <c r="CU700" i="40"/>
  <c r="CT700" i="40"/>
  <c r="CS700" i="40"/>
  <c r="CR700" i="40"/>
  <c r="CQ700" i="40"/>
  <c r="CP700" i="40"/>
  <c r="CO700" i="40"/>
  <c r="CN700" i="40"/>
  <c r="CM700" i="40"/>
  <c r="CL700" i="40"/>
  <c r="CK700" i="40"/>
  <c r="CJ700" i="40"/>
  <c r="CI700" i="40"/>
  <c r="DB699" i="40"/>
  <c r="CV699" i="40"/>
  <c r="CU699" i="40"/>
  <c r="CT699" i="40"/>
  <c r="CS699" i="40"/>
  <c r="CR699" i="40"/>
  <c r="CQ699" i="40"/>
  <c r="CP699" i="40"/>
  <c r="CO699" i="40"/>
  <c r="CN699" i="40"/>
  <c r="CM699" i="40"/>
  <c r="CL699" i="40"/>
  <c r="CK699" i="40"/>
  <c r="CJ699" i="40"/>
  <c r="CI699" i="40"/>
  <c r="DB698" i="40"/>
  <c r="CV698" i="40"/>
  <c r="CU698" i="40"/>
  <c r="CT698" i="40"/>
  <c r="CS698" i="40"/>
  <c r="CR698" i="40"/>
  <c r="CQ698" i="40"/>
  <c r="CP698" i="40"/>
  <c r="CO698" i="40"/>
  <c r="CN698" i="40"/>
  <c r="CM698" i="40"/>
  <c r="CL698" i="40"/>
  <c r="CK698" i="40"/>
  <c r="CJ698" i="40"/>
  <c r="CI698" i="40"/>
  <c r="DB697" i="40"/>
  <c r="CV697" i="40"/>
  <c r="CU697" i="40"/>
  <c r="CT697" i="40"/>
  <c r="CS697" i="40"/>
  <c r="CR697" i="40"/>
  <c r="CQ697" i="40"/>
  <c r="CP697" i="40"/>
  <c r="CO697" i="40"/>
  <c r="CN697" i="40"/>
  <c r="CM697" i="40"/>
  <c r="CL697" i="40"/>
  <c r="CK697" i="40"/>
  <c r="CJ697" i="40"/>
  <c r="CI697" i="40"/>
  <c r="DB696" i="40"/>
  <c r="CV696" i="40"/>
  <c r="CU696" i="40"/>
  <c r="CT696" i="40"/>
  <c r="CS696" i="40"/>
  <c r="CR696" i="40"/>
  <c r="CQ696" i="40"/>
  <c r="CP696" i="40"/>
  <c r="CO696" i="40"/>
  <c r="CN696" i="40"/>
  <c r="CM696" i="40"/>
  <c r="CL696" i="40"/>
  <c r="CK696" i="40"/>
  <c r="CJ696" i="40"/>
  <c r="CI696" i="40"/>
  <c r="DB695" i="40"/>
  <c r="CV695" i="40"/>
  <c r="CU695" i="40"/>
  <c r="CT695" i="40"/>
  <c r="CS695" i="40"/>
  <c r="CR695" i="40"/>
  <c r="CQ695" i="40"/>
  <c r="CP695" i="40"/>
  <c r="CO695" i="40"/>
  <c r="CN695" i="40"/>
  <c r="CM695" i="40"/>
  <c r="CL695" i="40"/>
  <c r="CK695" i="40"/>
  <c r="CJ695" i="40"/>
  <c r="CI695" i="40"/>
  <c r="DB694" i="40"/>
  <c r="CV694" i="40"/>
  <c r="CU694" i="40"/>
  <c r="CT694" i="40"/>
  <c r="CS694" i="40"/>
  <c r="CR694" i="40"/>
  <c r="CQ694" i="40"/>
  <c r="CP694" i="40"/>
  <c r="CO694" i="40"/>
  <c r="CN694" i="40"/>
  <c r="CM694" i="40"/>
  <c r="CL694" i="40"/>
  <c r="CK694" i="40"/>
  <c r="CJ694" i="40"/>
  <c r="CI694" i="40"/>
  <c r="DB693" i="40"/>
  <c r="CV693" i="40"/>
  <c r="CU693" i="40"/>
  <c r="CT693" i="40"/>
  <c r="CS693" i="40"/>
  <c r="CR693" i="40"/>
  <c r="CQ693" i="40"/>
  <c r="CP693" i="40"/>
  <c r="CO693" i="40"/>
  <c r="CN693" i="40"/>
  <c r="CM693" i="40"/>
  <c r="CL693" i="40"/>
  <c r="CK693" i="40"/>
  <c r="CJ693" i="40"/>
  <c r="CI693" i="40"/>
  <c r="DB692" i="40"/>
  <c r="CV692" i="40"/>
  <c r="CU692" i="40"/>
  <c r="CT692" i="40"/>
  <c r="CS692" i="40"/>
  <c r="CR692" i="40"/>
  <c r="CQ692" i="40"/>
  <c r="CP692" i="40"/>
  <c r="CO692" i="40"/>
  <c r="CN692" i="40"/>
  <c r="CM692" i="40"/>
  <c r="CL692" i="40"/>
  <c r="CK692" i="40"/>
  <c r="CJ692" i="40"/>
  <c r="CI692" i="40"/>
  <c r="DB691" i="40"/>
  <c r="CV691" i="40"/>
  <c r="CU691" i="40"/>
  <c r="CT691" i="40"/>
  <c r="CS691" i="40"/>
  <c r="CR691" i="40"/>
  <c r="CQ691" i="40"/>
  <c r="CP691" i="40"/>
  <c r="CO691" i="40"/>
  <c r="CN691" i="40"/>
  <c r="CM691" i="40"/>
  <c r="CL691" i="40"/>
  <c r="CK691" i="40"/>
  <c r="CJ691" i="40"/>
  <c r="CI691" i="40"/>
  <c r="DB690" i="40"/>
  <c r="CV690" i="40"/>
  <c r="CU690" i="40"/>
  <c r="CT690" i="40"/>
  <c r="CS690" i="40"/>
  <c r="CR690" i="40"/>
  <c r="CQ690" i="40"/>
  <c r="CP690" i="40"/>
  <c r="CO690" i="40"/>
  <c r="CN690" i="40"/>
  <c r="CM690" i="40"/>
  <c r="CL690" i="40"/>
  <c r="CK690" i="40"/>
  <c r="CJ690" i="40"/>
  <c r="CI690" i="40"/>
  <c r="DB689" i="40"/>
  <c r="CV689" i="40"/>
  <c r="CU689" i="40"/>
  <c r="CT689" i="40"/>
  <c r="CS689" i="40"/>
  <c r="CR689" i="40"/>
  <c r="CQ689" i="40"/>
  <c r="CP689" i="40"/>
  <c r="CO689" i="40"/>
  <c r="CN689" i="40"/>
  <c r="CM689" i="40"/>
  <c r="CL689" i="40"/>
  <c r="CK689" i="40"/>
  <c r="CJ689" i="40"/>
  <c r="CI689" i="40"/>
  <c r="DB688" i="40"/>
  <c r="CV688" i="40"/>
  <c r="CU688" i="40"/>
  <c r="CT688" i="40"/>
  <c r="CS688" i="40"/>
  <c r="CR688" i="40"/>
  <c r="CQ688" i="40"/>
  <c r="CP688" i="40"/>
  <c r="CO688" i="40"/>
  <c r="CN688" i="40"/>
  <c r="CM688" i="40"/>
  <c r="CL688" i="40"/>
  <c r="CK688" i="40"/>
  <c r="CJ688" i="40"/>
  <c r="CI688" i="40"/>
  <c r="DB687" i="40"/>
  <c r="CV687" i="40"/>
  <c r="CU687" i="40"/>
  <c r="CT687" i="40"/>
  <c r="CS687" i="40"/>
  <c r="CR687" i="40"/>
  <c r="CQ687" i="40"/>
  <c r="CP687" i="40"/>
  <c r="CO687" i="40"/>
  <c r="CN687" i="40"/>
  <c r="CM687" i="40"/>
  <c r="CL687" i="40"/>
  <c r="CK687" i="40"/>
  <c r="CJ687" i="40"/>
  <c r="CI687" i="40"/>
  <c r="DB686" i="40"/>
  <c r="CV686" i="40"/>
  <c r="CU686" i="40"/>
  <c r="CT686" i="40"/>
  <c r="CS686" i="40"/>
  <c r="CR686" i="40"/>
  <c r="CQ686" i="40"/>
  <c r="CP686" i="40"/>
  <c r="CO686" i="40"/>
  <c r="CN686" i="40"/>
  <c r="CM686" i="40"/>
  <c r="CL686" i="40"/>
  <c r="CK686" i="40"/>
  <c r="CJ686" i="40"/>
  <c r="CI686" i="40"/>
  <c r="DB685" i="40"/>
  <c r="CV685" i="40"/>
  <c r="CU685" i="40"/>
  <c r="CT685" i="40"/>
  <c r="CS685" i="40"/>
  <c r="CR685" i="40"/>
  <c r="CQ685" i="40"/>
  <c r="CP685" i="40"/>
  <c r="CO685" i="40"/>
  <c r="CN685" i="40"/>
  <c r="CM685" i="40"/>
  <c r="CL685" i="40"/>
  <c r="CK685" i="40"/>
  <c r="CJ685" i="40"/>
  <c r="CI685" i="40"/>
  <c r="DB684" i="40"/>
  <c r="CV684" i="40"/>
  <c r="CU684" i="40"/>
  <c r="CT684" i="40"/>
  <c r="CS684" i="40"/>
  <c r="CR684" i="40"/>
  <c r="CQ684" i="40"/>
  <c r="CP684" i="40"/>
  <c r="CO684" i="40"/>
  <c r="CN684" i="40"/>
  <c r="CM684" i="40"/>
  <c r="CL684" i="40"/>
  <c r="CK684" i="40"/>
  <c r="CJ684" i="40"/>
  <c r="CI684" i="40"/>
  <c r="DB683" i="40"/>
  <c r="CV683" i="40"/>
  <c r="CU683" i="40"/>
  <c r="CT683" i="40"/>
  <c r="CS683" i="40"/>
  <c r="CR683" i="40"/>
  <c r="CQ683" i="40"/>
  <c r="CP683" i="40"/>
  <c r="CO683" i="40"/>
  <c r="CN683" i="40"/>
  <c r="CM683" i="40"/>
  <c r="CL683" i="40"/>
  <c r="CK683" i="40"/>
  <c r="CJ683" i="40"/>
  <c r="CI683" i="40"/>
  <c r="DB682" i="40"/>
  <c r="CV682" i="40"/>
  <c r="CU682" i="40"/>
  <c r="CT682" i="40"/>
  <c r="CS682" i="40"/>
  <c r="CR682" i="40"/>
  <c r="CQ682" i="40"/>
  <c r="CP682" i="40"/>
  <c r="CO682" i="40"/>
  <c r="CN682" i="40"/>
  <c r="CM682" i="40"/>
  <c r="CL682" i="40"/>
  <c r="CK682" i="40"/>
  <c r="CJ682" i="40"/>
  <c r="CI682" i="40"/>
  <c r="DB681" i="40"/>
  <c r="CV681" i="40"/>
  <c r="CU681" i="40"/>
  <c r="CT681" i="40"/>
  <c r="CS681" i="40"/>
  <c r="CR681" i="40"/>
  <c r="CQ681" i="40"/>
  <c r="CP681" i="40"/>
  <c r="CO681" i="40"/>
  <c r="CN681" i="40"/>
  <c r="CM681" i="40"/>
  <c r="CL681" i="40"/>
  <c r="CK681" i="40"/>
  <c r="CJ681" i="40"/>
  <c r="CI681" i="40"/>
  <c r="DB680" i="40"/>
  <c r="CV680" i="40"/>
  <c r="CU680" i="40"/>
  <c r="CT680" i="40"/>
  <c r="CS680" i="40"/>
  <c r="CR680" i="40"/>
  <c r="CQ680" i="40"/>
  <c r="CP680" i="40"/>
  <c r="CO680" i="40"/>
  <c r="CN680" i="40"/>
  <c r="CM680" i="40"/>
  <c r="CL680" i="40"/>
  <c r="CK680" i="40"/>
  <c r="CJ680" i="40"/>
  <c r="CI680" i="40"/>
  <c r="DB679" i="40"/>
  <c r="CV679" i="40"/>
  <c r="CU679" i="40"/>
  <c r="CT679" i="40"/>
  <c r="CS679" i="40"/>
  <c r="CR679" i="40"/>
  <c r="CQ679" i="40"/>
  <c r="CP679" i="40"/>
  <c r="CO679" i="40"/>
  <c r="CN679" i="40"/>
  <c r="CM679" i="40"/>
  <c r="CL679" i="40"/>
  <c r="CK679" i="40"/>
  <c r="CJ679" i="40"/>
  <c r="CI679" i="40"/>
  <c r="DB678" i="40"/>
  <c r="CV678" i="40"/>
  <c r="CU678" i="40"/>
  <c r="CT678" i="40"/>
  <c r="CS678" i="40"/>
  <c r="CR678" i="40"/>
  <c r="CQ678" i="40"/>
  <c r="CP678" i="40"/>
  <c r="CO678" i="40"/>
  <c r="CN678" i="40"/>
  <c r="CM678" i="40"/>
  <c r="CL678" i="40"/>
  <c r="CK678" i="40"/>
  <c r="CJ678" i="40"/>
  <c r="CI678" i="40"/>
  <c r="DB677" i="40"/>
  <c r="CV677" i="40"/>
  <c r="CU677" i="40"/>
  <c r="CT677" i="40"/>
  <c r="CS677" i="40"/>
  <c r="CR677" i="40"/>
  <c r="CQ677" i="40"/>
  <c r="CP677" i="40"/>
  <c r="CO677" i="40"/>
  <c r="CN677" i="40"/>
  <c r="CM677" i="40"/>
  <c r="CL677" i="40"/>
  <c r="CK677" i="40"/>
  <c r="CJ677" i="40"/>
  <c r="CI677" i="40"/>
  <c r="DB676" i="40"/>
  <c r="CV676" i="40"/>
  <c r="CU676" i="40"/>
  <c r="CT676" i="40"/>
  <c r="CS676" i="40"/>
  <c r="CR676" i="40"/>
  <c r="CQ676" i="40"/>
  <c r="CP676" i="40"/>
  <c r="CO676" i="40"/>
  <c r="CN676" i="40"/>
  <c r="CM676" i="40"/>
  <c r="CL676" i="40"/>
  <c r="CK676" i="40"/>
  <c r="CJ676" i="40"/>
  <c r="CI676" i="40"/>
  <c r="DB675" i="40"/>
  <c r="CV675" i="40"/>
  <c r="CU675" i="40"/>
  <c r="CT675" i="40"/>
  <c r="CS675" i="40"/>
  <c r="CR675" i="40"/>
  <c r="CQ675" i="40"/>
  <c r="CP675" i="40"/>
  <c r="CO675" i="40"/>
  <c r="CN675" i="40"/>
  <c r="CM675" i="40"/>
  <c r="CL675" i="40"/>
  <c r="CK675" i="40"/>
  <c r="CJ675" i="40"/>
  <c r="CI675" i="40"/>
  <c r="DB674" i="40"/>
  <c r="CV674" i="40"/>
  <c r="CU674" i="40"/>
  <c r="CT674" i="40"/>
  <c r="CS674" i="40"/>
  <c r="CR674" i="40"/>
  <c r="CQ674" i="40"/>
  <c r="CP674" i="40"/>
  <c r="CO674" i="40"/>
  <c r="CN674" i="40"/>
  <c r="CM674" i="40"/>
  <c r="CL674" i="40"/>
  <c r="CK674" i="40"/>
  <c r="CJ674" i="40"/>
  <c r="CI674" i="40"/>
  <c r="DB673" i="40"/>
  <c r="CV673" i="40"/>
  <c r="CU673" i="40"/>
  <c r="CT673" i="40"/>
  <c r="CS673" i="40"/>
  <c r="CR673" i="40"/>
  <c r="CQ673" i="40"/>
  <c r="CP673" i="40"/>
  <c r="CO673" i="40"/>
  <c r="CN673" i="40"/>
  <c r="CM673" i="40"/>
  <c r="CL673" i="40"/>
  <c r="CK673" i="40"/>
  <c r="CJ673" i="40"/>
  <c r="CI673" i="40"/>
  <c r="DB672" i="40"/>
  <c r="CV672" i="40"/>
  <c r="CU672" i="40"/>
  <c r="CT672" i="40"/>
  <c r="CS672" i="40"/>
  <c r="CR672" i="40"/>
  <c r="CQ672" i="40"/>
  <c r="CP672" i="40"/>
  <c r="CO672" i="40"/>
  <c r="CN672" i="40"/>
  <c r="CM672" i="40"/>
  <c r="CL672" i="40"/>
  <c r="CK672" i="40"/>
  <c r="CJ672" i="40"/>
  <c r="CI672" i="40"/>
  <c r="DB671" i="40"/>
  <c r="CV671" i="40"/>
  <c r="CU671" i="40"/>
  <c r="CT671" i="40"/>
  <c r="CS671" i="40"/>
  <c r="CR671" i="40"/>
  <c r="CQ671" i="40"/>
  <c r="CP671" i="40"/>
  <c r="CO671" i="40"/>
  <c r="CN671" i="40"/>
  <c r="CM671" i="40"/>
  <c r="CL671" i="40"/>
  <c r="CK671" i="40"/>
  <c r="CJ671" i="40"/>
  <c r="CI671" i="40"/>
  <c r="DB670" i="40"/>
  <c r="CV670" i="40"/>
  <c r="CU670" i="40"/>
  <c r="CT670" i="40"/>
  <c r="CS670" i="40"/>
  <c r="CR670" i="40"/>
  <c r="CQ670" i="40"/>
  <c r="CP670" i="40"/>
  <c r="CO670" i="40"/>
  <c r="CN670" i="40"/>
  <c r="CM670" i="40"/>
  <c r="CL670" i="40"/>
  <c r="CK670" i="40"/>
  <c r="CJ670" i="40"/>
  <c r="CI670" i="40"/>
  <c r="DB669" i="40"/>
  <c r="CV669" i="40"/>
  <c r="CU669" i="40"/>
  <c r="CT669" i="40"/>
  <c r="CS669" i="40"/>
  <c r="CR669" i="40"/>
  <c r="CQ669" i="40"/>
  <c r="CP669" i="40"/>
  <c r="CO669" i="40"/>
  <c r="CN669" i="40"/>
  <c r="CM669" i="40"/>
  <c r="CL669" i="40"/>
  <c r="CK669" i="40"/>
  <c r="CJ669" i="40"/>
  <c r="CI669" i="40"/>
  <c r="DB668" i="40"/>
  <c r="CV668" i="40"/>
  <c r="CU668" i="40"/>
  <c r="CT668" i="40"/>
  <c r="CS668" i="40"/>
  <c r="CR668" i="40"/>
  <c r="CQ668" i="40"/>
  <c r="CP668" i="40"/>
  <c r="CO668" i="40"/>
  <c r="CN668" i="40"/>
  <c r="CM668" i="40"/>
  <c r="CL668" i="40"/>
  <c r="CK668" i="40"/>
  <c r="CJ668" i="40"/>
  <c r="CI668" i="40"/>
  <c r="DB667" i="40"/>
  <c r="CV667" i="40"/>
  <c r="CU667" i="40"/>
  <c r="CT667" i="40"/>
  <c r="CS667" i="40"/>
  <c r="CR667" i="40"/>
  <c r="CQ667" i="40"/>
  <c r="CP667" i="40"/>
  <c r="CO667" i="40"/>
  <c r="CN667" i="40"/>
  <c r="CM667" i="40"/>
  <c r="CL667" i="40"/>
  <c r="CK667" i="40"/>
  <c r="CJ667" i="40"/>
  <c r="CI667" i="40"/>
  <c r="DB666" i="40"/>
  <c r="CV666" i="40"/>
  <c r="CU666" i="40"/>
  <c r="CT666" i="40"/>
  <c r="CS666" i="40"/>
  <c r="CR666" i="40"/>
  <c r="CQ666" i="40"/>
  <c r="CP666" i="40"/>
  <c r="CO666" i="40"/>
  <c r="CN666" i="40"/>
  <c r="CM666" i="40"/>
  <c r="CL666" i="40"/>
  <c r="CK666" i="40"/>
  <c r="CJ666" i="40"/>
  <c r="CI666" i="40"/>
  <c r="DB665" i="40"/>
  <c r="CV665" i="40"/>
  <c r="CU665" i="40"/>
  <c r="CT665" i="40"/>
  <c r="CS665" i="40"/>
  <c r="CR665" i="40"/>
  <c r="CQ665" i="40"/>
  <c r="CP665" i="40"/>
  <c r="CO665" i="40"/>
  <c r="CN665" i="40"/>
  <c r="CM665" i="40"/>
  <c r="CL665" i="40"/>
  <c r="CK665" i="40"/>
  <c r="CJ665" i="40"/>
  <c r="CI665" i="40"/>
  <c r="DB664" i="40"/>
  <c r="CV664" i="40"/>
  <c r="CU664" i="40"/>
  <c r="CT664" i="40"/>
  <c r="CS664" i="40"/>
  <c r="CR664" i="40"/>
  <c r="CQ664" i="40"/>
  <c r="CP664" i="40"/>
  <c r="CO664" i="40"/>
  <c r="CN664" i="40"/>
  <c r="CM664" i="40"/>
  <c r="CL664" i="40"/>
  <c r="CK664" i="40"/>
  <c r="CJ664" i="40"/>
  <c r="CI664" i="40"/>
  <c r="DB663" i="40"/>
  <c r="CV663" i="40"/>
  <c r="CU663" i="40"/>
  <c r="CT663" i="40"/>
  <c r="CS663" i="40"/>
  <c r="CR663" i="40"/>
  <c r="CQ663" i="40"/>
  <c r="CP663" i="40"/>
  <c r="CO663" i="40"/>
  <c r="CN663" i="40"/>
  <c r="CM663" i="40"/>
  <c r="CL663" i="40"/>
  <c r="CK663" i="40"/>
  <c r="CJ663" i="40"/>
  <c r="CI663" i="40"/>
  <c r="DB662" i="40"/>
  <c r="CV662" i="40"/>
  <c r="CU662" i="40"/>
  <c r="CT662" i="40"/>
  <c r="CS662" i="40"/>
  <c r="CR662" i="40"/>
  <c r="CQ662" i="40"/>
  <c r="CP662" i="40"/>
  <c r="CO662" i="40"/>
  <c r="CN662" i="40"/>
  <c r="CM662" i="40"/>
  <c r="CL662" i="40"/>
  <c r="CK662" i="40"/>
  <c r="CJ662" i="40"/>
  <c r="CI662" i="40"/>
  <c r="DB661" i="40"/>
  <c r="CV661" i="40"/>
  <c r="CU661" i="40"/>
  <c r="CT661" i="40"/>
  <c r="CS661" i="40"/>
  <c r="CR661" i="40"/>
  <c r="CQ661" i="40"/>
  <c r="CP661" i="40"/>
  <c r="CO661" i="40"/>
  <c r="CN661" i="40"/>
  <c r="CM661" i="40"/>
  <c r="CL661" i="40"/>
  <c r="CK661" i="40"/>
  <c r="CJ661" i="40"/>
  <c r="CI661" i="40"/>
  <c r="DB660" i="40"/>
  <c r="CV660" i="40"/>
  <c r="CU660" i="40"/>
  <c r="CT660" i="40"/>
  <c r="CS660" i="40"/>
  <c r="CR660" i="40"/>
  <c r="CQ660" i="40"/>
  <c r="CP660" i="40"/>
  <c r="CO660" i="40"/>
  <c r="CN660" i="40"/>
  <c r="CM660" i="40"/>
  <c r="CL660" i="40"/>
  <c r="CK660" i="40"/>
  <c r="CJ660" i="40"/>
  <c r="CI660" i="40"/>
  <c r="DB659" i="40"/>
  <c r="CV659" i="40"/>
  <c r="CU659" i="40"/>
  <c r="CT659" i="40"/>
  <c r="CS659" i="40"/>
  <c r="CR659" i="40"/>
  <c r="CQ659" i="40"/>
  <c r="CP659" i="40"/>
  <c r="CO659" i="40"/>
  <c r="CN659" i="40"/>
  <c r="CM659" i="40"/>
  <c r="CL659" i="40"/>
  <c r="CK659" i="40"/>
  <c r="CJ659" i="40"/>
  <c r="CI659" i="40"/>
  <c r="DB658" i="40"/>
  <c r="CV658" i="40"/>
  <c r="CU658" i="40"/>
  <c r="CT658" i="40"/>
  <c r="CS658" i="40"/>
  <c r="CR658" i="40"/>
  <c r="CQ658" i="40"/>
  <c r="CP658" i="40"/>
  <c r="CO658" i="40"/>
  <c r="CN658" i="40"/>
  <c r="CM658" i="40"/>
  <c r="CL658" i="40"/>
  <c r="CK658" i="40"/>
  <c r="CJ658" i="40"/>
  <c r="CI658" i="40"/>
  <c r="DB657" i="40"/>
  <c r="CV657" i="40"/>
  <c r="CU657" i="40"/>
  <c r="CT657" i="40"/>
  <c r="CS657" i="40"/>
  <c r="CR657" i="40"/>
  <c r="CQ657" i="40"/>
  <c r="CP657" i="40"/>
  <c r="CO657" i="40"/>
  <c r="CN657" i="40"/>
  <c r="CM657" i="40"/>
  <c r="CL657" i="40"/>
  <c r="CK657" i="40"/>
  <c r="CJ657" i="40"/>
  <c r="CI657" i="40"/>
  <c r="DB656" i="40"/>
  <c r="CV656" i="40"/>
  <c r="CU656" i="40"/>
  <c r="CT656" i="40"/>
  <c r="CS656" i="40"/>
  <c r="CR656" i="40"/>
  <c r="CQ656" i="40"/>
  <c r="CP656" i="40"/>
  <c r="CO656" i="40"/>
  <c r="CN656" i="40"/>
  <c r="CM656" i="40"/>
  <c r="CL656" i="40"/>
  <c r="CK656" i="40"/>
  <c r="CJ656" i="40"/>
  <c r="CI656" i="40"/>
  <c r="DB655" i="40"/>
  <c r="CV655" i="40"/>
  <c r="CU655" i="40"/>
  <c r="CT655" i="40"/>
  <c r="CS655" i="40"/>
  <c r="CR655" i="40"/>
  <c r="CQ655" i="40"/>
  <c r="CP655" i="40"/>
  <c r="CO655" i="40"/>
  <c r="CN655" i="40"/>
  <c r="CM655" i="40"/>
  <c r="CL655" i="40"/>
  <c r="CK655" i="40"/>
  <c r="CJ655" i="40"/>
  <c r="CI655" i="40"/>
  <c r="DB654" i="40"/>
  <c r="CV654" i="40"/>
  <c r="CU654" i="40"/>
  <c r="CT654" i="40"/>
  <c r="CS654" i="40"/>
  <c r="CR654" i="40"/>
  <c r="CQ654" i="40"/>
  <c r="CP654" i="40"/>
  <c r="CO654" i="40"/>
  <c r="CN654" i="40"/>
  <c r="CM654" i="40"/>
  <c r="CL654" i="40"/>
  <c r="CK654" i="40"/>
  <c r="CJ654" i="40"/>
  <c r="CI654" i="40"/>
  <c r="DB653" i="40"/>
  <c r="CV653" i="40"/>
  <c r="CU653" i="40"/>
  <c r="CT653" i="40"/>
  <c r="CS653" i="40"/>
  <c r="CR653" i="40"/>
  <c r="CQ653" i="40"/>
  <c r="CP653" i="40"/>
  <c r="CO653" i="40"/>
  <c r="CN653" i="40"/>
  <c r="CM653" i="40"/>
  <c r="CL653" i="40"/>
  <c r="CK653" i="40"/>
  <c r="CJ653" i="40"/>
  <c r="CI653" i="40"/>
  <c r="DB652" i="40"/>
  <c r="CV652" i="40"/>
  <c r="CU652" i="40"/>
  <c r="CT652" i="40"/>
  <c r="CS652" i="40"/>
  <c r="CR652" i="40"/>
  <c r="CQ652" i="40"/>
  <c r="CP652" i="40"/>
  <c r="CO652" i="40"/>
  <c r="CN652" i="40"/>
  <c r="CM652" i="40"/>
  <c r="CL652" i="40"/>
  <c r="CK652" i="40"/>
  <c r="CJ652" i="40"/>
  <c r="CI652" i="40"/>
  <c r="DB651" i="40"/>
  <c r="CV651" i="40"/>
  <c r="CU651" i="40"/>
  <c r="CT651" i="40"/>
  <c r="CS651" i="40"/>
  <c r="CR651" i="40"/>
  <c r="CQ651" i="40"/>
  <c r="CP651" i="40"/>
  <c r="CO651" i="40"/>
  <c r="CN651" i="40"/>
  <c r="CM651" i="40"/>
  <c r="CL651" i="40"/>
  <c r="CK651" i="40"/>
  <c r="CJ651" i="40"/>
  <c r="CI651" i="40"/>
  <c r="DB650" i="40"/>
  <c r="CV650" i="40"/>
  <c r="CU650" i="40"/>
  <c r="CT650" i="40"/>
  <c r="CS650" i="40"/>
  <c r="CR650" i="40"/>
  <c r="CQ650" i="40"/>
  <c r="CP650" i="40"/>
  <c r="CO650" i="40"/>
  <c r="CN650" i="40"/>
  <c r="CM650" i="40"/>
  <c r="CL650" i="40"/>
  <c r="CK650" i="40"/>
  <c r="CJ650" i="40"/>
  <c r="CI650" i="40"/>
  <c r="DB649" i="40"/>
  <c r="CV649" i="40"/>
  <c r="CU649" i="40"/>
  <c r="CT649" i="40"/>
  <c r="CS649" i="40"/>
  <c r="CR649" i="40"/>
  <c r="CQ649" i="40"/>
  <c r="CP649" i="40"/>
  <c r="CO649" i="40"/>
  <c r="CN649" i="40"/>
  <c r="CM649" i="40"/>
  <c r="CL649" i="40"/>
  <c r="CK649" i="40"/>
  <c r="CJ649" i="40"/>
  <c r="CI649" i="40"/>
  <c r="DB648" i="40"/>
  <c r="CV648" i="40"/>
  <c r="CU648" i="40"/>
  <c r="CT648" i="40"/>
  <c r="CS648" i="40"/>
  <c r="CR648" i="40"/>
  <c r="CQ648" i="40"/>
  <c r="CP648" i="40"/>
  <c r="CO648" i="40"/>
  <c r="CN648" i="40"/>
  <c r="CM648" i="40"/>
  <c r="CL648" i="40"/>
  <c r="CK648" i="40"/>
  <c r="CJ648" i="40"/>
  <c r="CI648" i="40"/>
  <c r="DB647" i="40"/>
  <c r="CV647" i="40"/>
  <c r="CU647" i="40"/>
  <c r="CT647" i="40"/>
  <c r="CS647" i="40"/>
  <c r="CR647" i="40"/>
  <c r="CQ647" i="40"/>
  <c r="CP647" i="40"/>
  <c r="CO647" i="40"/>
  <c r="CN647" i="40"/>
  <c r="CM647" i="40"/>
  <c r="CL647" i="40"/>
  <c r="CK647" i="40"/>
  <c r="CJ647" i="40"/>
  <c r="CI647" i="40"/>
  <c r="DB646" i="40"/>
  <c r="CV646" i="40"/>
  <c r="CU646" i="40"/>
  <c r="CT646" i="40"/>
  <c r="CS646" i="40"/>
  <c r="CR646" i="40"/>
  <c r="CQ646" i="40"/>
  <c r="CP646" i="40"/>
  <c r="CO646" i="40"/>
  <c r="CN646" i="40"/>
  <c r="CM646" i="40"/>
  <c r="CL646" i="40"/>
  <c r="CK646" i="40"/>
  <c r="CJ646" i="40"/>
  <c r="CI646" i="40"/>
  <c r="DB645" i="40"/>
  <c r="CV645" i="40"/>
  <c r="CU645" i="40"/>
  <c r="CT645" i="40"/>
  <c r="CS645" i="40"/>
  <c r="CR645" i="40"/>
  <c r="CQ645" i="40"/>
  <c r="CP645" i="40"/>
  <c r="CO645" i="40"/>
  <c r="CN645" i="40"/>
  <c r="CM645" i="40"/>
  <c r="CL645" i="40"/>
  <c r="CK645" i="40"/>
  <c r="CJ645" i="40"/>
  <c r="CI645" i="40"/>
  <c r="DB644" i="40"/>
  <c r="CV644" i="40"/>
  <c r="CU644" i="40"/>
  <c r="CT644" i="40"/>
  <c r="CS644" i="40"/>
  <c r="CR644" i="40"/>
  <c r="CQ644" i="40"/>
  <c r="CP644" i="40"/>
  <c r="CO644" i="40"/>
  <c r="CN644" i="40"/>
  <c r="CM644" i="40"/>
  <c r="CL644" i="40"/>
  <c r="CK644" i="40"/>
  <c r="CJ644" i="40"/>
  <c r="CI644" i="40"/>
  <c r="DB643" i="40"/>
  <c r="CV643" i="40"/>
  <c r="CU643" i="40"/>
  <c r="CT643" i="40"/>
  <c r="CS643" i="40"/>
  <c r="CR643" i="40"/>
  <c r="CQ643" i="40"/>
  <c r="CP643" i="40"/>
  <c r="CO643" i="40"/>
  <c r="CN643" i="40"/>
  <c r="CM643" i="40"/>
  <c r="CL643" i="40"/>
  <c r="CK643" i="40"/>
  <c r="CJ643" i="40"/>
  <c r="CI643" i="40"/>
  <c r="DB642" i="40"/>
  <c r="CV642" i="40"/>
  <c r="CU642" i="40"/>
  <c r="CT642" i="40"/>
  <c r="CS642" i="40"/>
  <c r="CR642" i="40"/>
  <c r="CQ642" i="40"/>
  <c r="CP642" i="40"/>
  <c r="CO642" i="40"/>
  <c r="CN642" i="40"/>
  <c r="CM642" i="40"/>
  <c r="CL642" i="40"/>
  <c r="CK642" i="40"/>
  <c r="CJ642" i="40"/>
  <c r="CI642" i="40"/>
  <c r="DB641" i="40"/>
  <c r="CV641" i="40"/>
  <c r="CU641" i="40"/>
  <c r="CT641" i="40"/>
  <c r="CS641" i="40"/>
  <c r="CR641" i="40"/>
  <c r="CQ641" i="40"/>
  <c r="CP641" i="40"/>
  <c r="CO641" i="40"/>
  <c r="CN641" i="40"/>
  <c r="CM641" i="40"/>
  <c r="CL641" i="40"/>
  <c r="CK641" i="40"/>
  <c r="CJ641" i="40"/>
  <c r="CI641" i="40"/>
  <c r="DB640" i="40"/>
  <c r="CV640" i="40"/>
  <c r="CU640" i="40"/>
  <c r="CT640" i="40"/>
  <c r="CS640" i="40"/>
  <c r="CR640" i="40"/>
  <c r="CQ640" i="40"/>
  <c r="CP640" i="40"/>
  <c r="CO640" i="40"/>
  <c r="CN640" i="40"/>
  <c r="CM640" i="40"/>
  <c r="CL640" i="40"/>
  <c r="CK640" i="40"/>
  <c r="CJ640" i="40"/>
  <c r="CI640" i="40"/>
  <c r="DB639" i="40"/>
  <c r="CV639" i="40"/>
  <c r="CU639" i="40"/>
  <c r="CT639" i="40"/>
  <c r="CS639" i="40"/>
  <c r="CR639" i="40"/>
  <c r="CQ639" i="40"/>
  <c r="CP639" i="40"/>
  <c r="CO639" i="40"/>
  <c r="CN639" i="40"/>
  <c r="CM639" i="40"/>
  <c r="CL639" i="40"/>
  <c r="CK639" i="40"/>
  <c r="CJ639" i="40"/>
  <c r="CI639" i="40"/>
  <c r="DB638" i="40"/>
  <c r="CV638" i="40"/>
  <c r="CU638" i="40"/>
  <c r="CT638" i="40"/>
  <c r="CS638" i="40"/>
  <c r="CR638" i="40"/>
  <c r="CQ638" i="40"/>
  <c r="CP638" i="40"/>
  <c r="CO638" i="40"/>
  <c r="CN638" i="40"/>
  <c r="CM638" i="40"/>
  <c r="CL638" i="40"/>
  <c r="CK638" i="40"/>
  <c r="CJ638" i="40"/>
  <c r="CI638" i="40"/>
  <c r="DB637" i="40"/>
  <c r="CV637" i="40"/>
  <c r="CU637" i="40"/>
  <c r="CT637" i="40"/>
  <c r="CS637" i="40"/>
  <c r="CR637" i="40"/>
  <c r="CQ637" i="40"/>
  <c r="CP637" i="40"/>
  <c r="CO637" i="40"/>
  <c r="CN637" i="40"/>
  <c r="CM637" i="40"/>
  <c r="CL637" i="40"/>
  <c r="CK637" i="40"/>
  <c r="CJ637" i="40"/>
  <c r="CI637" i="40"/>
  <c r="DB636" i="40"/>
  <c r="CV636" i="40"/>
  <c r="CU636" i="40"/>
  <c r="CT636" i="40"/>
  <c r="CS636" i="40"/>
  <c r="CR636" i="40"/>
  <c r="CQ636" i="40"/>
  <c r="CP636" i="40"/>
  <c r="CO636" i="40"/>
  <c r="CN636" i="40"/>
  <c r="CM636" i="40"/>
  <c r="CL636" i="40"/>
  <c r="CK636" i="40"/>
  <c r="CJ636" i="40"/>
  <c r="CI636" i="40"/>
  <c r="DB635" i="40"/>
  <c r="CV635" i="40"/>
  <c r="CU635" i="40"/>
  <c r="CT635" i="40"/>
  <c r="CS635" i="40"/>
  <c r="CR635" i="40"/>
  <c r="CQ635" i="40"/>
  <c r="CP635" i="40"/>
  <c r="CO635" i="40"/>
  <c r="CN635" i="40"/>
  <c r="CM635" i="40"/>
  <c r="CL635" i="40"/>
  <c r="CK635" i="40"/>
  <c r="CJ635" i="40"/>
  <c r="CI635" i="40"/>
  <c r="DB634" i="40"/>
  <c r="CV634" i="40"/>
  <c r="CU634" i="40"/>
  <c r="CT634" i="40"/>
  <c r="CS634" i="40"/>
  <c r="CR634" i="40"/>
  <c r="CQ634" i="40"/>
  <c r="CP634" i="40"/>
  <c r="CO634" i="40"/>
  <c r="CN634" i="40"/>
  <c r="CM634" i="40"/>
  <c r="CL634" i="40"/>
  <c r="CK634" i="40"/>
  <c r="CJ634" i="40"/>
  <c r="CI634" i="40"/>
  <c r="DB633" i="40"/>
  <c r="CV633" i="40"/>
  <c r="CU633" i="40"/>
  <c r="CT633" i="40"/>
  <c r="CS633" i="40"/>
  <c r="CR633" i="40"/>
  <c r="CQ633" i="40"/>
  <c r="CP633" i="40"/>
  <c r="CO633" i="40"/>
  <c r="CN633" i="40"/>
  <c r="CM633" i="40"/>
  <c r="CL633" i="40"/>
  <c r="CK633" i="40"/>
  <c r="CJ633" i="40"/>
  <c r="CI633" i="40"/>
  <c r="DB632" i="40"/>
  <c r="CV632" i="40"/>
  <c r="CU632" i="40"/>
  <c r="CT632" i="40"/>
  <c r="CS632" i="40"/>
  <c r="CR632" i="40"/>
  <c r="CQ632" i="40"/>
  <c r="CP632" i="40"/>
  <c r="CO632" i="40"/>
  <c r="CN632" i="40"/>
  <c r="CM632" i="40"/>
  <c r="CL632" i="40"/>
  <c r="CK632" i="40"/>
  <c r="CJ632" i="40"/>
  <c r="CI632" i="40"/>
  <c r="DB631" i="40"/>
  <c r="CV631" i="40"/>
  <c r="CU631" i="40"/>
  <c r="CT631" i="40"/>
  <c r="CS631" i="40"/>
  <c r="CR631" i="40"/>
  <c r="CQ631" i="40"/>
  <c r="CP631" i="40"/>
  <c r="CO631" i="40"/>
  <c r="CN631" i="40"/>
  <c r="CM631" i="40"/>
  <c r="CL631" i="40"/>
  <c r="CK631" i="40"/>
  <c r="CJ631" i="40"/>
  <c r="CI631" i="40"/>
  <c r="DB630" i="40"/>
  <c r="CV630" i="40"/>
  <c r="CU630" i="40"/>
  <c r="CT630" i="40"/>
  <c r="CS630" i="40"/>
  <c r="CR630" i="40"/>
  <c r="CQ630" i="40"/>
  <c r="CP630" i="40"/>
  <c r="CO630" i="40"/>
  <c r="CN630" i="40"/>
  <c r="CM630" i="40"/>
  <c r="CL630" i="40"/>
  <c r="CK630" i="40"/>
  <c r="CJ630" i="40"/>
  <c r="CI630" i="40"/>
  <c r="DB629" i="40"/>
  <c r="CV629" i="40"/>
  <c r="CU629" i="40"/>
  <c r="CT629" i="40"/>
  <c r="CS629" i="40"/>
  <c r="CR629" i="40"/>
  <c r="CQ629" i="40"/>
  <c r="CP629" i="40"/>
  <c r="CO629" i="40"/>
  <c r="CN629" i="40"/>
  <c r="CM629" i="40"/>
  <c r="CL629" i="40"/>
  <c r="CK629" i="40"/>
  <c r="CJ629" i="40"/>
  <c r="CI629" i="40"/>
  <c r="DB628" i="40"/>
  <c r="CV628" i="40"/>
  <c r="CU628" i="40"/>
  <c r="CT628" i="40"/>
  <c r="CS628" i="40"/>
  <c r="CR628" i="40"/>
  <c r="CQ628" i="40"/>
  <c r="CP628" i="40"/>
  <c r="CO628" i="40"/>
  <c r="CN628" i="40"/>
  <c r="CM628" i="40"/>
  <c r="CL628" i="40"/>
  <c r="CK628" i="40"/>
  <c r="CJ628" i="40"/>
  <c r="CI628" i="40"/>
  <c r="DB627" i="40"/>
  <c r="CV627" i="40"/>
  <c r="CU627" i="40"/>
  <c r="CT627" i="40"/>
  <c r="CS627" i="40"/>
  <c r="CR627" i="40"/>
  <c r="CQ627" i="40"/>
  <c r="CP627" i="40"/>
  <c r="CO627" i="40"/>
  <c r="CN627" i="40"/>
  <c r="CM627" i="40"/>
  <c r="CL627" i="40"/>
  <c r="CK627" i="40"/>
  <c r="CJ627" i="40"/>
  <c r="CI627" i="40"/>
  <c r="DB626" i="40"/>
  <c r="CV626" i="40"/>
  <c r="CU626" i="40"/>
  <c r="CT626" i="40"/>
  <c r="CS626" i="40"/>
  <c r="CR626" i="40"/>
  <c r="CQ626" i="40"/>
  <c r="CP626" i="40"/>
  <c r="CO626" i="40"/>
  <c r="CN626" i="40"/>
  <c r="CM626" i="40"/>
  <c r="CL626" i="40"/>
  <c r="CK626" i="40"/>
  <c r="CJ626" i="40"/>
  <c r="CI626" i="40"/>
  <c r="DB625" i="40"/>
  <c r="CV625" i="40"/>
  <c r="CU625" i="40"/>
  <c r="CT625" i="40"/>
  <c r="CS625" i="40"/>
  <c r="CR625" i="40"/>
  <c r="CQ625" i="40"/>
  <c r="CP625" i="40"/>
  <c r="CO625" i="40"/>
  <c r="CN625" i="40"/>
  <c r="CM625" i="40"/>
  <c r="CL625" i="40"/>
  <c r="CK625" i="40"/>
  <c r="CJ625" i="40"/>
  <c r="CI625" i="40"/>
  <c r="DB624" i="40"/>
  <c r="CV624" i="40"/>
  <c r="CU624" i="40"/>
  <c r="CT624" i="40"/>
  <c r="CS624" i="40"/>
  <c r="CR624" i="40"/>
  <c r="CQ624" i="40"/>
  <c r="CP624" i="40"/>
  <c r="CO624" i="40"/>
  <c r="CN624" i="40"/>
  <c r="CM624" i="40"/>
  <c r="CL624" i="40"/>
  <c r="CK624" i="40"/>
  <c r="CJ624" i="40"/>
  <c r="CI624" i="40"/>
  <c r="DB623" i="40"/>
  <c r="CV623" i="40"/>
  <c r="CU623" i="40"/>
  <c r="CT623" i="40"/>
  <c r="CS623" i="40"/>
  <c r="CR623" i="40"/>
  <c r="CQ623" i="40"/>
  <c r="CP623" i="40"/>
  <c r="CO623" i="40"/>
  <c r="CN623" i="40"/>
  <c r="CM623" i="40"/>
  <c r="CL623" i="40"/>
  <c r="CK623" i="40"/>
  <c r="CJ623" i="40"/>
  <c r="CI623" i="40"/>
  <c r="DB622" i="40"/>
  <c r="CV622" i="40"/>
  <c r="CU622" i="40"/>
  <c r="CT622" i="40"/>
  <c r="CS622" i="40"/>
  <c r="CR622" i="40"/>
  <c r="CQ622" i="40"/>
  <c r="CP622" i="40"/>
  <c r="CO622" i="40"/>
  <c r="CN622" i="40"/>
  <c r="CM622" i="40"/>
  <c r="CL622" i="40"/>
  <c r="CK622" i="40"/>
  <c r="CJ622" i="40"/>
  <c r="CI622" i="40"/>
  <c r="DB621" i="40"/>
  <c r="CV621" i="40"/>
  <c r="CU621" i="40"/>
  <c r="CT621" i="40"/>
  <c r="CS621" i="40"/>
  <c r="CR621" i="40"/>
  <c r="CQ621" i="40"/>
  <c r="CP621" i="40"/>
  <c r="CO621" i="40"/>
  <c r="CN621" i="40"/>
  <c r="CM621" i="40"/>
  <c r="CL621" i="40"/>
  <c r="CK621" i="40"/>
  <c r="CJ621" i="40"/>
  <c r="CI621" i="40"/>
  <c r="DB620" i="40"/>
  <c r="CV620" i="40"/>
  <c r="CU620" i="40"/>
  <c r="CT620" i="40"/>
  <c r="CS620" i="40"/>
  <c r="CR620" i="40"/>
  <c r="CQ620" i="40"/>
  <c r="CP620" i="40"/>
  <c r="CO620" i="40"/>
  <c r="CN620" i="40"/>
  <c r="CM620" i="40"/>
  <c r="CL620" i="40"/>
  <c r="CK620" i="40"/>
  <c r="CJ620" i="40"/>
  <c r="CI620" i="40"/>
  <c r="DB619" i="40"/>
  <c r="CV619" i="40"/>
  <c r="CU619" i="40"/>
  <c r="CT619" i="40"/>
  <c r="CS619" i="40"/>
  <c r="CR619" i="40"/>
  <c r="CQ619" i="40"/>
  <c r="CP619" i="40"/>
  <c r="CO619" i="40"/>
  <c r="CN619" i="40"/>
  <c r="CM619" i="40"/>
  <c r="CL619" i="40"/>
  <c r="CK619" i="40"/>
  <c r="CJ619" i="40"/>
  <c r="CI619" i="40"/>
  <c r="DB618" i="40"/>
  <c r="CV618" i="40"/>
  <c r="CU618" i="40"/>
  <c r="CT618" i="40"/>
  <c r="CS618" i="40"/>
  <c r="CR618" i="40"/>
  <c r="CQ618" i="40"/>
  <c r="CP618" i="40"/>
  <c r="CO618" i="40"/>
  <c r="CN618" i="40"/>
  <c r="CM618" i="40"/>
  <c r="CL618" i="40"/>
  <c r="CK618" i="40"/>
  <c r="CJ618" i="40"/>
  <c r="CI618" i="40"/>
  <c r="DB617" i="40"/>
  <c r="CV617" i="40"/>
  <c r="CU617" i="40"/>
  <c r="CT617" i="40"/>
  <c r="CS617" i="40"/>
  <c r="CR617" i="40"/>
  <c r="CQ617" i="40"/>
  <c r="CP617" i="40"/>
  <c r="CO617" i="40"/>
  <c r="CN617" i="40"/>
  <c r="CM617" i="40"/>
  <c r="CL617" i="40"/>
  <c r="CK617" i="40"/>
  <c r="CJ617" i="40"/>
  <c r="CI617" i="40"/>
  <c r="DB616" i="40"/>
  <c r="CV616" i="40"/>
  <c r="CU616" i="40"/>
  <c r="CT616" i="40"/>
  <c r="CS616" i="40"/>
  <c r="CR616" i="40"/>
  <c r="CQ616" i="40"/>
  <c r="CP616" i="40"/>
  <c r="CO616" i="40"/>
  <c r="CN616" i="40"/>
  <c r="CM616" i="40"/>
  <c r="CL616" i="40"/>
  <c r="CK616" i="40"/>
  <c r="CJ616" i="40"/>
  <c r="CI616" i="40"/>
  <c r="DB615" i="40"/>
  <c r="CV615" i="40"/>
  <c r="CU615" i="40"/>
  <c r="CT615" i="40"/>
  <c r="CS615" i="40"/>
  <c r="CR615" i="40"/>
  <c r="CQ615" i="40"/>
  <c r="CP615" i="40"/>
  <c r="CO615" i="40"/>
  <c r="CN615" i="40"/>
  <c r="CM615" i="40"/>
  <c r="CL615" i="40"/>
  <c r="CK615" i="40"/>
  <c r="CJ615" i="40"/>
  <c r="CI615" i="40"/>
  <c r="DB614" i="40"/>
  <c r="CV614" i="40"/>
  <c r="CU614" i="40"/>
  <c r="CT614" i="40"/>
  <c r="CS614" i="40"/>
  <c r="CR614" i="40"/>
  <c r="CQ614" i="40"/>
  <c r="CP614" i="40"/>
  <c r="CO614" i="40"/>
  <c r="CN614" i="40"/>
  <c r="CM614" i="40"/>
  <c r="CL614" i="40"/>
  <c r="CK614" i="40"/>
  <c r="CJ614" i="40"/>
  <c r="CI614" i="40"/>
  <c r="DB613" i="40"/>
  <c r="CV613" i="40"/>
  <c r="CU613" i="40"/>
  <c r="CT613" i="40"/>
  <c r="CS613" i="40"/>
  <c r="CR613" i="40"/>
  <c r="CQ613" i="40"/>
  <c r="CP613" i="40"/>
  <c r="CO613" i="40"/>
  <c r="CN613" i="40"/>
  <c r="CM613" i="40"/>
  <c r="CL613" i="40"/>
  <c r="CK613" i="40"/>
  <c r="CJ613" i="40"/>
  <c r="CI613" i="40"/>
  <c r="DB612" i="40"/>
  <c r="CV612" i="40"/>
  <c r="CU612" i="40"/>
  <c r="CT612" i="40"/>
  <c r="CS612" i="40"/>
  <c r="CR612" i="40"/>
  <c r="CQ612" i="40"/>
  <c r="CP612" i="40"/>
  <c r="CO612" i="40"/>
  <c r="CN612" i="40"/>
  <c r="CM612" i="40"/>
  <c r="CL612" i="40"/>
  <c r="CK612" i="40"/>
  <c r="CJ612" i="40"/>
  <c r="CI612" i="40"/>
  <c r="DB611" i="40"/>
  <c r="CV611" i="40"/>
  <c r="CU611" i="40"/>
  <c r="CT611" i="40"/>
  <c r="CS611" i="40"/>
  <c r="CR611" i="40"/>
  <c r="CQ611" i="40"/>
  <c r="CP611" i="40"/>
  <c r="CO611" i="40"/>
  <c r="CN611" i="40"/>
  <c r="CM611" i="40"/>
  <c r="CL611" i="40"/>
  <c r="CK611" i="40"/>
  <c r="CJ611" i="40"/>
  <c r="CI611" i="40"/>
  <c r="DB610" i="40"/>
  <c r="CV610" i="40"/>
  <c r="CU610" i="40"/>
  <c r="CT610" i="40"/>
  <c r="CS610" i="40"/>
  <c r="CR610" i="40"/>
  <c r="CQ610" i="40"/>
  <c r="CP610" i="40"/>
  <c r="CO610" i="40"/>
  <c r="CN610" i="40"/>
  <c r="CM610" i="40"/>
  <c r="CL610" i="40"/>
  <c r="CK610" i="40"/>
  <c r="CJ610" i="40"/>
  <c r="CI610" i="40"/>
  <c r="DB609" i="40"/>
  <c r="CV609" i="40"/>
  <c r="CU609" i="40"/>
  <c r="CT609" i="40"/>
  <c r="CS609" i="40"/>
  <c r="CR609" i="40"/>
  <c r="CQ609" i="40"/>
  <c r="CP609" i="40"/>
  <c r="CO609" i="40"/>
  <c r="CN609" i="40"/>
  <c r="CM609" i="40"/>
  <c r="CL609" i="40"/>
  <c r="CK609" i="40"/>
  <c r="CJ609" i="40"/>
  <c r="CI609" i="40"/>
  <c r="DB608" i="40"/>
  <c r="CV608" i="40"/>
  <c r="CU608" i="40"/>
  <c r="CT608" i="40"/>
  <c r="CS608" i="40"/>
  <c r="CR608" i="40"/>
  <c r="CQ608" i="40"/>
  <c r="CP608" i="40"/>
  <c r="CO608" i="40"/>
  <c r="CN608" i="40"/>
  <c r="CM608" i="40"/>
  <c r="CL608" i="40"/>
  <c r="CK608" i="40"/>
  <c r="CJ608" i="40"/>
  <c r="CI608" i="40"/>
  <c r="DB607" i="40"/>
  <c r="CV607" i="40"/>
  <c r="CU607" i="40"/>
  <c r="CT607" i="40"/>
  <c r="CS607" i="40"/>
  <c r="CR607" i="40"/>
  <c r="CQ607" i="40"/>
  <c r="CP607" i="40"/>
  <c r="CO607" i="40"/>
  <c r="CN607" i="40"/>
  <c r="CM607" i="40"/>
  <c r="CL607" i="40"/>
  <c r="CK607" i="40"/>
  <c r="CJ607" i="40"/>
  <c r="CI607" i="40"/>
  <c r="DB606" i="40"/>
  <c r="CV606" i="40"/>
  <c r="CU606" i="40"/>
  <c r="CT606" i="40"/>
  <c r="CS606" i="40"/>
  <c r="CR606" i="40"/>
  <c r="CQ606" i="40"/>
  <c r="CP606" i="40"/>
  <c r="CO606" i="40"/>
  <c r="CN606" i="40"/>
  <c r="CM606" i="40"/>
  <c r="CL606" i="40"/>
  <c r="CK606" i="40"/>
  <c r="CJ606" i="40"/>
  <c r="CI606" i="40"/>
  <c r="DB605" i="40"/>
  <c r="CV605" i="40"/>
  <c r="CU605" i="40"/>
  <c r="CT605" i="40"/>
  <c r="CS605" i="40"/>
  <c r="CR605" i="40"/>
  <c r="CQ605" i="40"/>
  <c r="CP605" i="40"/>
  <c r="CO605" i="40"/>
  <c r="CN605" i="40"/>
  <c r="CM605" i="40"/>
  <c r="CL605" i="40"/>
  <c r="CK605" i="40"/>
  <c r="CJ605" i="40"/>
  <c r="CI605" i="40"/>
  <c r="DB604" i="40"/>
  <c r="CV604" i="40"/>
  <c r="CU604" i="40"/>
  <c r="CT604" i="40"/>
  <c r="CS604" i="40"/>
  <c r="CR604" i="40"/>
  <c r="CQ604" i="40"/>
  <c r="CP604" i="40"/>
  <c r="CO604" i="40"/>
  <c r="CN604" i="40"/>
  <c r="CM604" i="40"/>
  <c r="CL604" i="40"/>
  <c r="CK604" i="40"/>
  <c r="CJ604" i="40"/>
  <c r="CI604" i="40"/>
  <c r="DB603" i="40"/>
  <c r="CV603" i="40"/>
  <c r="CU603" i="40"/>
  <c r="CT603" i="40"/>
  <c r="CS603" i="40"/>
  <c r="CR603" i="40"/>
  <c r="CQ603" i="40"/>
  <c r="CP603" i="40"/>
  <c r="CO603" i="40"/>
  <c r="CN603" i="40"/>
  <c r="CM603" i="40"/>
  <c r="CL603" i="40"/>
  <c r="CK603" i="40"/>
  <c r="CJ603" i="40"/>
  <c r="CI603" i="40"/>
  <c r="DB602" i="40"/>
  <c r="CV602" i="40"/>
  <c r="CU602" i="40"/>
  <c r="CT602" i="40"/>
  <c r="CS602" i="40"/>
  <c r="CR602" i="40"/>
  <c r="CQ602" i="40"/>
  <c r="CP602" i="40"/>
  <c r="CO602" i="40"/>
  <c r="CN602" i="40"/>
  <c r="CM602" i="40"/>
  <c r="CL602" i="40"/>
  <c r="CK602" i="40"/>
  <c r="CJ602" i="40"/>
  <c r="CI602" i="40"/>
  <c r="DB601" i="40"/>
  <c r="CV601" i="40"/>
  <c r="CU601" i="40"/>
  <c r="CT601" i="40"/>
  <c r="CS601" i="40"/>
  <c r="CR601" i="40"/>
  <c r="CQ601" i="40"/>
  <c r="CP601" i="40"/>
  <c r="CO601" i="40"/>
  <c r="CN601" i="40"/>
  <c r="CM601" i="40"/>
  <c r="CL601" i="40"/>
  <c r="CK601" i="40"/>
  <c r="CJ601" i="40"/>
  <c r="CI601" i="40"/>
  <c r="DB599" i="40"/>
  <c r="CV599" i="40"/>
  <c r="CU599" i="40"/>
  <c r="CT599" i="40"/>
  <c r="CS599" i="40"/>
  <c r="CR599" i="40"/>
  <c r="CQ599" i="40"/>
  <c r="CP599" i="40"/>
  <c r="CO599" i="40"/>
  <c r="CN599" i="40"/>
  <c r="CM599" i="40"/>
  <c r="CL599" i="40"/>
  <c r="CK599" i="40"/>
  <c r="CJ599" i="40"/>
  <c r="CI599" i="40"/>
  <c r="DB598" i="40"/>
  <c r="CV598" i="40"/>
  <c r="CU598" i="40"/>
  <c r="CT598" i="40"/>
  <c r="CS598" i="40"/>
  <c r="CR598" i="40"/>
  <c r="CQ598" i="40"/>
  <c r="CP598" i="40"/>
  <c r="CO598" i="40"/>
  <c r="CN598" i="40"/>
  <c r="CM598" i="40"/>
  <c r="CL598" i="40"/>
  <c r="CK598" i="40"/>
  <c r="CJ598" i="40"/>
  <c r="CI598" i="40"/>
  <c r="DB597" i="40"/>
  <c r="CV597" i="40"/>
  <c r="CU597" i="40"/>
  <c r="CT597" i="40"/>
  <c r="CS597" i="40"/>
  <c r="CR597" i="40"/>
  <c r="CQ597" i="40"/>
  <c r="CP597" i="40"/>
  <c r="CO597" i="40"/>
  <c r="CN597" i="40"/>
  <c r="CM597" i="40"/>
  <c r="CL597" i="40"/>
  <c r="CK597" i="40"/>
  <c r="CJ597" i="40"/>
  <c r="CI597" i="40"/>
  <c r="DB596" i="40"/>
  <c r="CV596" i="40"/>
  <c r="CU596" i="40"/>
  <c r="CT596" i="40"/>
  <c r="CS596" i="40"/>
  <c r="CR596" i="40"/>
  <c r="CQ596" i="40"/>
  <c r="CP596" i="40"/>
  <c r="CO596" i="40"/>
  <c r="CN596" i="40"/>
  <c r="CM596" i="40"/>
  <c r="CL596" i="40"/>
  <c r="CK596" i="40"/>
  <c r="CJ596" i="40"/>
  <c r="CI596" i="40"/>
  <c r="DB595" i="40"/>
  <c r="CV595" i="40"/>
  <c r="CU595" i="40"/>
  <c r="CT595" i="40"/>
  <c r="CS595" i="40"/>
  <c r="CR595" i="40"/>
  <c r="CQ595" i="40"/>
  <c r="CP595" i="40"/>
  <c r="CO595" i="40"/>
  <c r="CN595" i="40"/>
  <c r="CM595" i="40"/>
  <c r="CL595" i="40"/>
  <c r="CK595" i="40"/>
  <c r="CJ595" i="40"/>
  <c r="CI595" i="40"/>
  <c r="DB594" i="40"/>
  <c r="CV594" i="40"/>
  <c r="CU594" i="40"/>
  <c r="CT594" i="40"/>
  <c r="CS594" i="40"/>
  <c r="CR594" i="40"/>
  <c r="CQ594" i="40"/>
  <c r="CP594" i="40"/>
  <c r="CO594" i="40"/>
  <c r="CN594" i="40"/>
  <c r="CM594" i="40"/>
  <c r="CL594" i="40"/>
  <c r="CK594" i="40"/>
  <c r="CJ594" i="40"/>
  <c r="CI594" i="40"/>
  <c r="DB593" i="40"/>
  <c r="CV593" i="40"/>
  <c r="CU593" i="40"/>
  <c r="CT593" i="40"/>
  <c r="CS593" i="40"/>
  <c r="CR593" i="40"/>
  <c r="CQ593" i="40"/>
  <c r="CP593" i="40"/>
  <c r="CO593" i="40"/>
  <c r="CN593" i="40"/>
  <c r="CM593" i="40"/>
  <c r="CL593" i="40"/>
  <c r="CK593" i="40"/>
  <c r="CJ593" i="40"/>
  <c r="CI593" i="40"/>
  <c r="DB592" i="40"/>
  <c r="CV592" i="40"/>
  <c r="CU592" i="40"/>
  <c r="CT592" i="40"/>
  <c r="CS592" i="40"/>
  <c r="CR592" i="40"/>
  <c r="CQ592" i="40"/>
  <c r="CP592" i="40"/>
  <c r="CO592" i="40"/>
  <c r="CN592" i="40"/>
  <c r="CM592" i="40"/>
  <c r="CL592" i="40"/>
  <c r="CK592" i="40"/>
  <c r="CJ592" i="40"/>
  <c r="CI592" i="40"/>
  <c r="DB591" i="40"/>
  <c r="CV591" i="40"/>
  <c r="CU591" i="40"/>
  <c r="CT591" i="40"/>
  <c r="CS591" i="40"/>
  <c r="CR591" i="40"/>
  <c r="CQ591" i="40"/>
  <c r="CP591" i="40"/>
  <c r="CO591" i="40"/>
  <c r="CN591" i="40"/>
  <c r="CM591" i="40"/>
  <c r="CL591" i="40"/>
  <c r="CK591" i="40"/>
  <c r="CJ591" i="40"/>
  <c r="CI591" i="40"/>
  <c r="DB590" i="40"/>
  <c r="CV590" i="40"/>
  <c r="CU590" i="40"/>
  <c r="CT590" i="40"/>
  <c r="CS590" i="40"/>
  <c r="CR590" i="40"/>
  <c r="CQ590" i="40"/>
  <c r="CP590" i="40"/>
  <c r="CO590" i="40"/>
  <c r="CN590" i="40"/>
  <c r="CM590" i="40"/>
  <c r="CL590" i="40"/>
  <c r="CK590" i="40"/>
  <c r="CJ590" i="40"/>
  <c r="CI590" i="40"/>
  <c r="DB589" i="40"/>
  <c r="CV589" i="40"/>
  <c r="CU589" i="40"/>
  <c r="CT589" i="40"/>
  <c r="CS589" i="40"/>
  <c r="CR589" i="40"/>
  <c r="CQ589" i="40"/>
  <c r="CP589" i="40"/>
  <c r="CO589" i="40"/>
  <c r="CN589" i="40"/>
  <c r="CM589" i="40"/>
  <c r="CL589" i="40"/>
  <c r="CK589" i="40"/>
  <c r="CJ589" i="40"/>
  <c r="CI589" i="40"/>
  <c r="DB588" i="40"/>
  <c r="CV588" i="40"/>
  <c r="CU588" i="40"/>
  <c r="CT588" i="40"/>
  <c r="CS588" i="40"/>
  <c r="CR588" i="40"/>
  <c r="CQ588" i="40"/>
  <c r="CP588" i="40"/>
  <c r="CO588" i="40"/>
  <c r="CN588" i="40"/>
  <c r="CM588" i="40"/>
  <c r="CL588" i="40"/>
  <c r="CK588" i="40"/>
  <c r="CJ588" i="40"/>
  <c r="CI588" i="40"/>
  <c r="DB587" i="40"/>
  <c r="CV587" i="40"/>
  <c r="CU587" i="40"/>
  <c r="CT587" i="40"/>
  <c r="CS587" i="40"/>
  <c r="CR587" i="40"/>
  <c r="CQ587" i="40"/>
  <c r="CP587" i="40"/>
  <c r="CO587" i="40"/>
  <c r="CN587" i="40"/>
  <c r="CM587" i="40"/>
  <c r="CL587" i="40"/>
  <c r="CK587" i="40"/>
  <c r="CJ587" i="40"/>
  <c r="CI587" i="40"/>
  <c r="DB586" i="40"/>
  <c r="CV586" i="40"/>
  <c r="CU586" i="40"/>
  <c r="CT586" i="40"/>
  <c r="CS586" i="40"/>
  <c r="CR586" i="40"/>
  <c r="CQ586" i="40"/>
  <c r="CP586" i="40"/>
  <c r="CO586" i="40"/>
  <c r="CN586" i="40"/>
  <c r="CM586" i="40"/>
  <c r="CL586" i="40"/>
  <c r="CK586" i="40"/>
  <c r="CJ586" i="40"/>
  <c r="CI586" i="40"/>
  <c r="DB585" i="40"/>
  <c r="CV585" i="40"/>
  <c r="CU585" i="40"/>
  <c r="CT585" i="40"/>
  <c r="CS585" i="40"/>
  <c r="CR585" i="40"/>
  <c r="CQ585" i="40"/>
  <c r="CP585" i="40"/>
  <c r="CO585" i="40"/>
  <c r="CN585" i="40"/>
  <c r="CM585" i="40"/>
  <c r="CL585" i="40"/>
  <c r="CK585" i="40"/>
  <c r="CJ585" i="40"/>
  <c r="CI585" i="40"/>
  <c r="DB584" i="40"/>
  <c r="CV584" i="40"/>
  <c r="CU584" i="40"/>
  <c r="CT584" i="40"/>
  <c r="CS584" i="40"/>
  <c r="CR584" i="40"/>
  <c r="CQ584" i="40"/>
  <c r="CP584" i="40"/>
  <c r="CO584" i="40"/>
  <c r="CN584" i="40"/>
  <c r="CM584" i="40"/>
  <c r="CL584" i="40"/>
  <c r="CK584" i="40"/>
  <c r="CJ584" i="40"/>
  <c r="CI584" i="40"/>
  <c r="DB583" i="40"/>
  <c r="CV583" i="40"/>
  <c r="CU583" i="40"/>
  <c r="CT583" i="40"/>
  <c r="CS583" i="40"/>
  <c r="CR583" i="40"/>
  <c r="CQ583" i="40"/>
  <c r="CP583" i="40"/>
  <c r="CO583" i="40"/>
  <c r="CN583" i="40"/>
  <c r="CM583" i="40"/>
  <c r="CL583" i="40"/>
  <c r="CK583" i="40"/>
  <c r="CJ583" i="40"/>
  <c r="CI583" i="40"/>
  <c r="DB582" i="40"/>
  <c r="CV582" i="40"/>
  <c r="CU582" i="40"/>
  <c r="CT582" i="40"/>
  <c r="CS582" i="40"/>
  <c r="CR582" i="40"/>
  <c r="CQ582" i="40"/>
  <c r="CP582" i="40"/>
  <c r="CO582" i="40"/>
  <c r="CN582" i="40"/>
  <c r="CM582" i="40"/>
  <c r="CL582" i="40"/>
  <c r="CK582" i="40"/>
  <c r="CJ582" i="40"/>
  <c r="CI582" i="40"/>
  <c r="DB581" i="40"/>
  <c r="CV581" i="40"/>
  <c r="CU581" i="40"/>
  <c r="CT581" i="40"/>
  <c r="CS581" i="40"/>
  <c r="CR581" i="40"/>
  <c r="CQ581" i="40"/>
  <c r="CP581" i="40"/>
  <c r="CO581" i="40"/>
  <c r="CN581" i="40"/>
  <c r="CM581" i="40"/>
  <c r="CL581" i="40"/>
  <c r="CK581" i="40"/>
  <c r="CJ581" i="40"/>
  <c r="CI581" i="40"/>
  <c r="DB580" i="40"/>
  <c r="CV580" i="40"/>
  <c r="CU580" i="40"/>
  <c r="CT580" i="40"/>
  <c r="CS580" i="40"/>
  <c r="CR580" i="40"/>
  <c r="CQ580" i="40"/>
  <c r="CP580" i="40"/>
  <c r="CO580" i="40"/>
  <c r="CN580" i="40"/>
  <c r="CM580" i="40"/>
  <c r="CL580" i="40"/>
  <c r="CK580" i="40"/>
  <c r="CJ580" i="40"/>
  <c r="CI580" i="40"/>
  <c r="DB579" i="40"/>
  <c r="CV579" i="40"/>
  <c r="CU579" i="40"/>
  <c r="CT579" i="40"/>
  <c r="CS579" i="40"/>
  <c r="CR579" i="40"/>
  <c r="CQ579" i="40"/>
  <c r="CP579" i="40"/>
  <c r="CO579" i="40"/>
  <c r="CN579" i="40"/>
  <c r="CM579" i="40"/>
  <c r="CL579" i="40"/>
  <c r="CK579" i="40"/>
  <c r="CJ579" i="40"/>
  <c r="CI579" i="40"/>
  <c r="DB578" i="40"/>
  <c r="CV578" i="40"/>
  <c r="CU578" i="40"/>
  <c r="CT578" i="40"/>
  <c r="CS578" i="40"/>
  <c r="CR578" i="40"/>
  <c r="CQ578" i="40"/>
  <c r="CP578" i="40"/>
  <c r="CO578" i="40"/>
  <c r="CN578" i="40"/>
  <c r="CM578" i="40"/>
  <c r="CL578" i="40"/>
  <c r="CK578" i="40"/>
  <c r="CJ578" i="40"/>
  <c r="CI578" i="40"/>
  <c r="DB577" i="40"/>
  <c r="CV577" i="40"/>
  <c r="CU577" i="40"/>
  <c r="CT577" i="40"/>
  <c r="CS577" i="40"/>
  <c r="CR577" i="40"/>
  <c r="CQ577" i="40"/>
  <c r="CP577" i="40"/>
  <c r="CO577" i="40"/>
  <c r="CN577" i="40"/>
  <c r="CM577" i="40"/>
  <c r="CL577" i="40"/>
  <c r="CK577" i="40"/>
  <c r="CJ577" i="40"/>
  <c r="CI577" i="40"/>
  <c r="DB576" i="40"/>
  <c r="CV576" i="40"/>
  <c r="CU576" i="40"/>
  <c r="CT576" i="40"/>
  <c r="CS576" i="40"/>
  <c r="CR576" i="40"/>
  <c r="CQ576" i="40"/>
  <c r="CP576" i="40"/>
  <c r="CO576" i="40"/>
  <c r="CN576" i="40"/>
  <c r="CM576" i="40"/>
  <c r="CL576" i="40"/>
  <c r="CK576" i="40"/>
  <c r="CJ576" i="40"/>
  <c r="CI576" i="40"/>
  <c r="DB575" i="40"/>
  <c r="CV575" i="40"/>
  <c r="CU575" i="40"/>
  <c r="CT575" i="40"/>
  <c r="CS575" i="40"/>
  <c r="CR575" i="40"/>
  <c r="CQ575" i="40"/>
  <c r="CP575" i="40"/>
  <c r="CO575" i="40"/>
  <c r="CN575" i="40"/>
  <c r="CM575" i="40"/>
  <c r="CL575" i="40"/>
  <c r="CK575" i="40"/>
  <c r="CJ575" i="40"/>
  <c r="CI575" i="40"/>
  <c r="DB574" i="40"/>
  <c r="CV574" i="40"/>
  <c r="CU574" i="40"/>
  <c r="CT574" i="40"/>
  <c r="CS574" i="40"/>
  <c r="CR574" i="40"/>
  <c r="CQ574" i="40"/>
  <c r="CP574" i="40"/>
  <c r="CO574" i="40"/>
  <c r="CN574" i="40"/>
  <c r="CM574" i="40"/>
  <c r="CL574" i="40"/>
  <c r="CK574" i="40"/>
  <c r="CJ574" i="40"/>
  <c r="CI574" i="40"/>
  <c r="DB573" i="40"/>
  <c r="CV573" i="40"/>
  <c r="CU573" i="40"/>
  <c r="CT573" i="40"/>
  <c r="CS573" i="40"/>
  <c r="CR573" i="40"/>
  <c r="CQ573" i="40"/>
  <c r="CP573" i="40"/>
  <c r="CO573" i="40"/>
  <c r="CN573" i="40"/>
  <c r="CM573" i="40"/>
  <c r="CL573" i="40"/>
  <c r="CK573" i="40"/>
  <c r="CJ573" i="40"/>
  <c r="CI573" i="40"/>
  <c r="DB572" i="40"/>
  <c r="CV572" i="40"/>
  <c r="CU572" i="40"/>
  <c r="CT572" i="40"/>
  <c r="CS572" i="40"/>
  <c r="CR572" i="40"/>
  <c r="CQ572" i="40"/>
  <c r="CP572" i="40"/>
  <c r="CO572" i="40"/>
  <c r="CN572" i="40"/>
  <c r="CM572" i="40"/>
  <c r="CL572" i="40"/>
  <c r="CK572" i="40"/>
  <c r="CJ572" i="40"/>
  <c r="CI572" i="40"/>
  <c r="DB571" i="40"/>
  <c r="CV571" i="40"/>
  <c r="CU571" i="40"/>
  <c r="CT571" i="40"/>
  <c r="CS571" i="40"/>
  <c r="CR571" i="40"/>
  <c r="CQ571" i="40"/>
  <c r="CP571" i="40"/>
  <c r="CO571" i="40"/>
  <c r="CN571" i="40"/>
  <c r="CM571" i="40"/>
  <c r="CL571" i="40"/>
  <c r="CK571" i="40"/>
  <c r="CJ571" i="40"/>
  <c r="CI571" i="40"/>
  <c r="DB570" i="40"/>
  <c r="CV570" i="40"/>
  <c r="CU570" i="40"/>
  <c r="CT570" i="40"/>
  <c r="CS570" i="40"/>
  <c r="CR570" i="40"/>
  <c r="CQ570" i="40"/>
  <c r="CP570" i="40"/>
  <c r="CO570" i="40"/>
  <c r="CN570" i="40"/>
  <c r="CM570" i="40"/>
  <c r="CL570" i="40"/>
  <c r="CK570" i="40"/>
  <c r="CJ570" i="40"/>
  <c r="CI570" i="40"/>
  <c r="DB569" i="40"/>
  <c r="CV569" i="40"/>
  <c r="CU569" i="40"/>
  <c r="CT569" i="40"/>
  <c r="CS569" i="40"/>
  <c r="CR569" i="40"/>
  <c r="CQ569" i="40"/>
  <c r="CP569" i="40"/>
  <c r="CO569" i="40"/>
  <c r="CN569" i="40"/>
  <c r="CM569" i="40"/>
  <c r="CL569" i="40"/>
  <c r="CK569" i="40"/>
  <c r="CJ569" i="40"/>
  <c r="CI569" i="40"/>
  <c r="DB568" i="40"/>
  <c r="CV568" i="40"/>
  <c r="CU568" i="40"/>
  <c r="CT568" i="40"/>
  <c r="CS568" i="40"/>
  <c r="CR568" i="40"/>
  <c r="CQ568" i="40"/>
  <c r="CP568" i="40"/>
  <c r="CO568" i="40"/>
  <c r="CN568" i="40"/>
  <c r="CM568" i="40"/>
  <c r="CL568" i="40"/>
  <c r="CK568" i="40"/>
  <c r="CJ568" i="40"/>
  <c r="CI568" i="40"/>
  <c r="DB567" i="40"/>
  <c r="CV567" i="40"/>
  <c r="CU567" i="40"/>
  <c r="CT567" i="40"/>
  <c r="CS567" i="40"/>
  <c r="CR567" i="40"/>
  <c r="CQ567" i="40"/>
  <c r="CP567" i="40"/>
  <c r="CO567" i="40"/>
  <c r="CN567" i="40"/>
  <c r="CM567" i="40"/>
  <c r="CL567" i="40"/>
  <c r="CK567" i="40"/>
  <c r="CJ567" i="40"/>
  <c r="CI567" i="40"/>
  <c r="DB566" i="40"/>
  <c r="CV566" i="40"/>
  <c r="CU566" i="40"/>
  <c r="CT566" i="40"/>
  <c r="CS566" i="40"/>
  <c r="CR566" i="40"/>
  <c r="CQ566" i="40"/>
  <c r="CP566" i="40"/>
  <c r="CO566" i="40"/>
  <c r="CN566" i="40"/>
  <c r="CM566" i="40"/>
  <c r="CL566" i="40"/>
  <c r="CK566" i="40"/>
  <c r="CJ566" i="40"/>
  <c r="CI566" i="40"/>
  <c r="DB565" i="40"/>
  <c r="CV565" i="40"/>
  <c r="CU565" i="40"/>
  <c r="CT565" i="40"/>
  <c r="CS565" i="40"/>
  <c r="CR565" i="40"/>
  <c r="CQ565" i="40"/>
  <c r="CP565" i="40"/>
  <c r="CO565" i="40"/>
  <c r="CN565" i="40"/>
  <c r="CM565" i="40"/>
  <c r="CL565" i="40"/>
  <c r="CK565" i="40"/>
  <c r="CJ565" i="40"/>
  <c r="CI565" i="40"/>
  <c r="DB564" i="40"/>
  <c r="CV564" i="40"/>
  <c r="CU564" i="40"/>
  <c r="CT564" i="40"/>
  <c r="CS564" i="40"/>
  <c r="CR564" i="40"/>
  <c r="CQ564" i="40"/>
  <c r="CP564" i="40"/>
  <c r="CO564" i="40"/>
  <c r="CN564" i="40"/>
  <c r="CM564" i="40"/>
  <c r="CL564" i="40"/>
  <c r="CK564" i="40"/>
  <c r="CJ564" i="40"/>
  <c r="CI564" i="40"/>
  <c r="DB563" i="40"/>
  <c r="CV563" i="40"/>
  <c r="CU563" i="40"/>
  <c r="CT563" i="40"/>
  <c r="CS563" i="40"/>
  <c r="CR563" i="40"/>
  <c r="CQ563" i="40"/>
  <c r="CP563" i="40"/>
  <c r="CO563" i="40"/>
  <c r="CN563" i="40"/>
  <c r="CM563" i="40"/>
  <c r="CL563" i="40"/>
  <c r="CK563" i="40"/>
  <c r="CJ563" i="40"/>
  <c r="CI563" i="40"/>
  <c r="DB562" i="40"/>
  <c r="CV562" i="40"/>
  <c r="CU562" i="40"/>
  <c r="CT562" i="40"/>
  <c r="CS562" i="40"/>
  <c r="CR562" i="40"/>
  <c r="CQ562" i="40"/>
  <c r="CP562" i="40"/>
  <c r="CO562" i="40"/>
  <c r="CN562" i="40"/>
  <c r="CM562" i="40"/>
  <c r="CL562" i="40"/>
  <c r="CK562" i="40"/>
  <c r="CJ562" i="40"/>
  <c r="CI562" i="40"/>
  <c r="DB561" i="40"/>
  <c r="CV561" i="40"/>
  <c r="CU561" i="40"/>
  <c r="CT561" i="40"/>
  <c r="CS561" i="40"/>
  <c r="CR561" i="40"/>
  <c r="CQ561" i="40"/>
  <c r="CP561" i="40"/>
  <c r="CO561" i="40"/>
  <c r="CN561" i="40"/>
  <c r="CM561" i="40"/>
  <c r="CL561" i="40"/>
  <c r="CK561" i="40"/>
  <c r="CJ561" i="40"/>
  <c r="CI561" i="40"/>
  <c r="DB560" i="40"/>
  <c r="CV560" i="40"/>
  <c r="CU560" i="40"/>
  <c r="CT560" i="40"/>
  <c r="CS560" i="40"/>
  <c r="CR560" i="40"/>
  <c r="CQ560" i="40"/>
  <c r="CP560" i="40"/>
  <c r="CO560" i="40"/>
  <c r="CN560" i="40"/>
  <c r="CM560" i="40"/>
  <c r="CL560" i="40"/>
  <c r="CK560" i="40"/>
  <c r="CJ560" i="40"/>
  <c r="CI560" i="40"/>
  <c r="DB559" i="40"/>
  <c r="CV559" i="40"/>
  <c r="CU559" i="40"/>
  <c r="CT559" i="40"/>
  <c r="CS559" i="40"/>
  <c r="CR559" i="40"/>
  <c r="CQ559" i="40"/>
  <c r="CP559" i="40"/>
  <c r="CO559" i="40"/>
  <c r="CN559" i="40"/>
  <c r="CM559" i="40"/>
  <c r="CL559" i="40"/>
  <c r="CK559" i="40"/>
  <c r="CJ559" i="40"/>
  <c r="CI559" i="40"/>
  <c r="DB558" i="40"/>
  <c r="CV558" i="40"/>
  <c r="CU558" i="40"/>
  <c r="CT558" i="40"/>
  <c r="CS558" i="40"/>
  <c r="CR558" i="40"/>
  <c r="CQ558" i="40"/>
  <c r="CP558" i="40"/>
  <c r="CO558" i="40"/>
  <c r="CN558" i="40"/>
  <c r="CM558" i="40"/>
  <c r="CL558" i="40"/>
  <c r="CK558" i="40"/>
  <c r="CJ558" i="40"/>
  <c r="CI558" i="40"/>
  <c r="DB557" i="40"/>
  <c r="CV557" i="40"/>
  <c r="CU557" i="40"/>
  <c r="CT557" i="40"/>
  <c r="CS557" i="40"/>
  <c r="CR557" i="40"/>
  <c r="CQ557" i="40"/>
  <c r="CP557" i="40"/>
  <c r="CO557" i="40"/>
  <c r="CN557" i="40"/>
  <c r="CM557" i="40"/>
  <c r="CL557" i="40"/>
  <c r="CK557" i="40"/>
  <c r="CJ557" i="40"/>
  <c r="CI557" i="40"/>
  <c r="DB556" i="40"/>
  <c r="CV556" i="40"/>
  <c r="CU556" i="40"/>
  <c r="CT556" i="40"/>
  <c r="CS556" i="40"/>
  <c r="CR556" i="40"/>
  <c r="CQ556" i="40"/>
  <c r="CP556" i="40"/>
  <c r="CO556" i="40"/>
  <c r="CN556" i="40"/>
  <c r="CM556" i="40"/>
  <c r="CL556" i="40"/>
  <c r="CK556" i="40"/>
  <c r="CJ556" i="40"/>
  <c r="CI556" i="40"/>
  <c r="DB555" i="40"/>
  <c r="CV555" i="40"/>
  <c r="CU555" i="40"/>
  <c r="CT555" i="40"/>
  <c r="CS555" i="40"/>
  <c r="CR555" i="40"/>
  <c r="CQ555" i="40"/>
  <c r="CP555" i="40"/>
  <c r="CO555" i="40"/>
  <c r="CN555" i="40"/>
  <c r="CM555" i="40"/>
  <c r="CL555" i="40"/>
  <c r="CK555" i="40"/>
  <c r="CJ555" i="40"/>
  <c r="CI555" i="40"/>
  <c r="DB554" i="40"/>
  <c r="CV554" i="40"/>
  <c r="CU554" i="40"/>
  <c r="CT554" i="40"/>
  <c r="CS554" i="40"/>
  <c r="CR554" i="40"/>
  <c r="CQ554" i="40"/>
  <c r="CP554" i="40"/>
  <c r="CO554" i="40"/>
  <c r="CN554" i="40"/>
  <c r="CM554" i="40"/>
  <c r="CL554" i="40"/>
  <c r="CK554" i="40"/>
  <c r="CJ554" i="40"/>
  <c r="CI554" i="40"/>
  <c r="DB553" i="40"/>
  <c r="CV553" i="40"/>
  <c r="CU553" i="40"/>
  <c r="CT553" i="40"/>
  <c r="CS553" i="40"/>
  <c r="CR553" i="40"/>
  <c r="CQ553" i="40"/>
  <c r="CP553" i="40"/>
  <c r="CO553" i="40"/>
  <c r="CN553" i="40"/>
  <c r="CM553" i="40"/>
  <c r="CL553" i="40"/>
  <c r="CK553" i="40"/>
  <c r="CJ553" i="40"/>
  <c r="CI553" i="40"/>
  <c r="DB552" i="40"/>
  <c r="CV552" i="40"/>
  <c r="CU552" i="40"/>
  <c r="CT552" i="40"/>
  <c r="CS552" i="40"/>
  <c r="CR552" i="40"/>
  <c r="CQ552" i="40"/>
  <c r="CP552" i="40"/>
  <c r="CO552" i="40"/>
  <c r="CN552" i="40"/>
  <c r="CM552" i="40"/>
  <c r="CL552" i="40"/>
  <c r="CK552" i="40"/>
  <c r="CJ552" i="40"/>
  <c r="CI552" i="40"/>
  <c r="DB551" i="40"/>
  <c r="CV551" i="40"/>
  <c r="CU551" i="40"/>
  <c r="CT551" i="40"/>
  <c r="CS551" i="40"/>
  <c r="CR551" i="40"/>
  <c r="CQ551" i="40"/>
  <c r="CP551" i="40"/>
  <c r="CO551" i="40"/>
  <c r="CN551" i="40"/>
  <c r="CM551" i="40"/>
  <c r="CL551" i="40"/>
  <c r="CK551" i="40"/>
  <c r="CJ551" i="40"/>
  <c r="CI551" i="40"/>
  <c r="DB550" i="40"/>
  <c r="CV550" i="40"/>
  <c r="CU550" i="40"/>
  <c r="CT550" i="40"/>
  <c r="CS550" i="40"/>
  <c r="CR550" i="40"/>
  <c r="CQ550" i="40"/>
  <c r="CP550" i="40"/>
  <c r="CO550" i="40"/>
  <c r="CN550" i="40"/>
  <c r="CM550" i="40"/>
  <c r="CL550" i="40"/>
  <c r="CK550" i="40"/>
  <c r="CJ550" i="40"/>
  <c r="CI550" i="40"/>
  <c r="DB549" i="40"/>
  <c r="CV549" i="40"/>
  <c r="CU549" i="40"/>
  <c r="CT549" i="40"/>
  <c r="CS549" i="40"/>
  <c r="CR549" i="40"/>
  <c r="CQ549" i="40"/>
  <c r="CP549" i="40"/>
  <c r="CO549" i="40"/>
  <c r="CN549" i="40"/>
  <c r="CM549" i="40"/>
  <c r="CL549" i="40"/>
  <c r="CK549" i="40"/>
  <c r="CJ549" i="40"/>
  <c r="CI549" i="40"/>
  <c r="DB548" i="40"/>
  <c r="CV548" i="40"/>
  <c r="CU548" i="40"/>
  <c r="CT548" i="40"/>
  <c r="CS548" i="40"/>
  <c r="CR548" i="40"/>
  <c r="CQ548" i="40"/>
  <c r="CP548" i="40"/>
  <c r="CO548" i="40"/>
  <c r="CN548" i="40"/>
  <c r="CM548" i="40"/>
  <c r="CL548" i="40"/>
  <c r="CK548" i="40"/>
  <c r="CJ548" i="40"/>
  <c r="CI548" i="40"/>
  <c r="DB547" i="40"/>
  <c r="CV547" i="40"/>
  <c r="CU547" i="40"/>
  <c r="CT547" i="40"/>
  <c r="CS547" i="40"/>
  <c r="CR547" i="40"/>
  <c r="CQ547" i="40"/>
  <c r="CP547" i="40"/>
  <c r="CO547" i="40"/>
  <c r="CN547" i="40"/>
  <c r="CM547" i="40"/>
  <c r="CL547" i="40"/>
  <c r="CK547" i="40"/>
  <c r="CJ547" i="40"/>
  <c r="CI547" i="40"/>
  <c r="DB546" i="40"/>
  <c r="CV546" i="40"/>
  <c r="CU546" i="40"/>
  <c r="CT546" i="40"/>
  <c r="CS546" i="40"/>
  <c r="CR546" i="40"/>
  <c r="CQ546" i="40"/>
  <c r="CP546" i="40"/>
  <c r="CO546" i="40"/>
  <c r="CN546" i="40"/>
  <c r="CM546" i="40"/>
  <c r="CL546" i="40"/>
  <c r="CK546" i="40"/>
  <c r="CJ546" i="40"/>
  <c r="CI546" i="40"/>
  <c r="DB545" i="40"/>
  <c r="CV545" i="40"/>
  <c r="CU545" i="40"/>
  <c r="CT545" i="40"/>
  <c r="CS545" i="40"/>
  <c r="CR545" i="40"/>
  <c r="CQ545" i="40"/>
  <c r="CP545" i="40"/>
  <c r="CO545" i="40"/>
  <c r="CN545" i="40"/>
  <c r="CM545" i="40"/>
  <c r="CL545" i="40"/>
  <c r="CK545" i="40"/>
  <c r="CJ545" i="40"/>
  <c r="CI545" i="40"/>
  <c r="DB544" i="40"/>
  <c r="CV544" i="40"/>
  <c r="CU544" i="40"/>
  <c r="CT544" i="40"/>
  <c r="CS544" i="40"/>
  <c r="CR544" i="40"/>
  <c r="CQ544" i="40"/>
  <c r="CP544" i="40"/>
  <c r="CO544" i="40"/>
  <c r="CN544" i="40"/>
  <c r="CM544" i="40"/>
  <c r="CL544" i="40"/>
  <c r="CK544" i="40"/>
  <c r="CJ544" i="40"/>
  <c r="CI544" i="40"/>
  <c r="DB543" i="40"/>
  <c r="CV543" i="40"/>
  <c r="CU543" i="40"/>
  <c r="CT543" i="40"/>
  <c r="CS543" i="40"/>
  <c r="CR543" i="40"/>
  <c r="CQ543" i="40"/>
  <c r="CP543" i="40"/>
  <c r="CO543" i="40"/>
  <c r="CN543" i="40"/>
  <c r="CM543" i="40"/>
  <c r="CL543" i="40"/>
  <c r="CK543" i="40"/>
  <c r="CJ543" i="40"/>
  <c r="CI543" i="40"/>
  <c r="DB542" i="40"/>
  <c r="CV542" i="40"/>
  <c r="CU542" i="40"/>
  <c r="CT542" i="40"/>
  <c r="CS542" i="40"/>
  <c r="CR542" i="40"/>
  <c r="CQ542" i="40"/>
  <c r="CP542" i="40"/>
  <c r="CO542" i="40"/>
  <c r="CN542" i="40"/>
  <c r="CM542" i="40"/>
  <c r="CL542" i="40"/>
  <c r="CK542" i="40"/>
  <c r="CJ542" i="40"/>
  <c r="CI542" i="40"/>
  <c r="DB541" i="40"/>
  <c r="CV541" i="40"/>
  <c r="CU541" i="40"/>
  <c r="CT541" i="40"/>
  <c r="CS541" i="40"/>
  <c r="CR541" i="40"/>
  <c r="CQ541" i="40"/>
  <c r="CP541" i="40"/>
  <c r="CO541" i="40"/>
  <c r="CN541" i="40"/>
  <c r="CM541" i="40"/>
  <c r="CL541" i="40"/>
  <c r="CK541" i="40"/>
  <c r="CJ541" i="40"/>
  <c r="CI541" i="40"/>
  <c r="DB540" i="40"/>
  <c r="CV540" i="40"/>
  <c r="CU540" i="40"/>
  <c r="CT540" i="40"/>
  <c r="CS540" i="40"/>
  <c r="CR540" i="40"/>
  <c r="CQ540" i="40"/>
  <c r="CP540" i="40"/>
  <c r="CO540" i="40"/>
  <c r="CN540" i="40"/>
  <c r="CM540" i="40"/>
  <c r="CL540" i="40"/>
  <c r="CK540" i="40"/>
  <c r="CJ540" i="40"/>
  <c r="CI540" i="40"/>
  <c r="DB539" i="40"/>
  <c r="CV539" i="40"/>
  <c r="CU539" i="40"/>
  <c r="CT539" i="40"/>
  <c r="CS539" i="40"/>
  <c r="CR539" i="40"/>
  <c r="CQ539" i="40"/>
  <c r="CP539" i="40"/>
  <c r="CO539" i="40"/>
  <c r="CN539" i="40"/>
  <c r="CM539" i="40"/>
  <c r="CL539" i="40"/>
  <c r="CK539" i="40"/>
  <c r="CJ539" i="40"/>
  <c r="CI539" i="40"/>
  <c r="DB538" i="40"/>
  <c r="CV538" i="40"/>
  <c r="CU538" i="40"/>
  <c r="CT538" i="40"/>
  <c r="CS538" i="40"/>
  <c r="CR538" i="40"/>
  <c r="CQ538" i="40"/>
  <c r="CP538" i="40"/>
  <c r="CO538" i="40"/>
  <c r="CN538" i="40"/>
  <c r="CM538" i="40"/>
  <c r="CL538" i="40"/>
  <c r="CK538" i="40"/>
  <c r="CJ538" i="40"/>
  <c r="CI538" i="40"/>
  <c r="DB537" i="40"/>
  <c r="CV537" i="40"/>
  <c r="CU537" i="40"/>
  <c r="CT537" i="40"/>
  <c r="CS537" i="40"/>
  <c r="CR537" i="40"/>
  <c r="CQ537" i="40"/>
  <c r="CP537" i="40"/>
  <c r="CO537" i="40"/>
  <c r="CN537" i="40"/>
  <c r="CM537" i="40"/>
  <c r="CL537" i="40"/>
  <c r="CK537" i="40"/>
  <c r="CJ537" i="40"/>
  <c r="CI537" i="40"/>
  <c r="DB536" i="40"/>
  <c r="CV536" i="40"/>
  <c r="CU536" i="40"/>
  <c r="CT536" i="40"/>
  <c r="CS536" i="40"/>
  <c r="CR536" i="40"/>
  <c r="CQ536" i="40"/>
  <c r="CP536" i="40"/>
  <c r="CO536" i="40"/>
  <c r="CN536" i="40"/>
  <c r="CM536" i="40"/>
  <c r="CL536" i="40"/>
  <c r="CK536" i="40"/>
  <c r="CJ536" i="40"/>
  <c r="CI536" i="40"/>
  <c r="DB535" i="40"/>
  <c r="CV535" i="40"/>
  <c r="CU535" i="40"/>
  <c r="CT535" i="40"/>
  <c r="CS535" i="40"/>
  <c r="CR535" i="40"/>
  <c r="CQ535" i="40"/>
  <c r="CP535" i="40"/>
  <c r="CO535" i="40"/>
  <c r="CN535" i="40"/>
  <c r="CM535" i="40"/>
  <c r="CL535" i="40"/>
  <c r="CK535" i="40"/>
  <c r="CJ535" i="40"/>
  <c r="CI535" i="40"/>
  <c r="DB534" i="40"/>
  <c r="CV534" i="40"/>
  <c r="CU534" i="40"/>
  <c r="CT534" i="40"/>
  <c r="CS534" i="40"/>
  <c r="CR534" i="40"/>
  <c r="CQ534" i="40"/>
  <c r="CP534" i="40"/>
  <c r="CO534" i="40"/>
  <c r="CN534" i="40"/>
  <c r="CM534" i="40"/>
  <c r="CL534" i="40"/>
  <c r="CK534" i="40"/>
  <c r="CJ534" i="40"/>
  <c r="CI534" i="40"/>
  <c r="DB533" i="40"/>
  <c r="CV533" i="40"/>
  <c r="CU533" i="40"/>
  <c r="CT533" i="40"/>
  <c r="CS533" i="40"/>
  <c r="CR533" i="40"/>
  <c r="CQ533" i="40"/>
  <c r="CP533" i="40"/>
  <c r="CO533" i="40"/>
  <c r="CN533" i="40"/>
  <c r="CM533" i="40"/>
  <c r="CL533" i="40"/>
  <c r="CK533" i="40"/>
  <c r="CJ533" i="40"/>
  <c r="CI533" i="40"/>
  <c r="DB532" i="40"/>
  <c r="CV532" i="40"/>
  <c r="CU532" i="40"/>
  <c r="CT532" i="40"/>
  <c r="CS532" i="40"/>
  <c r="CR532" i="40"/>
  <c r="CQ532" i="40"/>
  <c r="CP532" i="40"/>
  <c r="CO532" i="40"/>
  <c r="CN532" i="40"/>
  <c r="CM532" i="40"/>
  <c r="CL532" i="40"/>
  <c r="CK532" i="40"/>
  <c r="CJ532" i="40"/>
  <c r="CI532" i="40"/>
  <c r="DB531" i="40"/>
  <c r="CV531" i="40"/>
  <c r="CU531" i="40"/>
  <c r="CT531" i="40"/>
  <c r="CS531" i="40"/>
  <c r="CR531" i="40"/>
  <c r="CQ531" i="40"/>
  <c r="CP531" i="40"/>
  <c r="CO531" i="40"/>
  <c r="CN531" i="40"/>
  <c r="CM531" i="40"/>
  <c r="CL531" i="40"/>
  <c r="CK531" i="40"/>
  <c r="CJ531" i="40"/>
  <c r="CI531" i="40"/>
  <c r="DB530" i="40"/>
  <c r="CV530" i="40"/>
  <c r="CU530" i="40"/>
  <c r="CT530" i="40"/>
  <c r="CS530" i="40"/>
  <c r="CR530" i="40"/>
  <c r="CQ530" i="40"/>
  <c r="CP530" i="40"/>
  <c r="CO530" i="40"/>
  <c r="CN530" i="40"/>
  <c r="CM530" i="40"/>
  <c r="CL530" i="40"/>
  <c r="CK530" i="40"/>
  <c r="CJ530" i="40"/>
  <c r="CI530" i="40"/>
  <c r="DB529" i="40"/>
  <c r="CV529" i="40"/>
  <c r="CU529" i="40"/>
  <c r="CT529" i="40"/>
  <c r="CS529" i="40"/>
  <c r="CR529" i="40"/>
  <c r="CQ529" i="40"/>
  <c r="CP529" i="40"/>
  <c r="CO529" i="40"/>
  <c r="CN529" i="40"/>
  <c r="CM529" i="40"/>
  <c r="CL529" i="40"/>
  <c r="CK529" i="40"/>
  <c r="CJ529" i="40"/>
  <c r="CI529" i="40"/>
  <c r="DB528" i="40"/>
  <c r="CV528" i="40"/>
  <c r="CU528" i="40"/>
  <c r="CT528" i="40"/>
  <c r="CS528" i="40"/>
  <c r="CR528" i="40"/>
  <c r="CQ528" i="40"/>
  <c r="CP528" i="40"/>
  <c r="CO528" i="40"/>
  <c r="CN528" i="40"/>
  <c r="CM528" i="40"/>
  <c r="CL528" i="40"/>
  <c r="CK528" i="40"/>
  <c r="CJ528" i="40"/>
  <c r="CI528" i="40"/>
  <c r="DB527" i="40"/>
  <c r="CV527" i="40"/>
  <c r="CU527" i="40"/>
  <c r="CT527" i="40"/>
  <c r="CS527" i="40"/>
  <c r="CR527" i="40"/>
  <c r="CQ527" i="40"/>
  <c r="CP527" i="40"/>
  <c r="CO527" i="40"/>
  <c r="CN527" i="40"/>
  <c r="CM527" i="40"/>
  <c r="CL527" i="40"/>
  <c r="CK527" i="40"/>
  <c r="CJ527" i="40"/>
  <c r="CI527" i="40"/>
  <c r="DB526" i="40"/>
  <c r="CV526" i="40"/>
  <c r="CU526" i="40"/>
  <c r="CT526" i="40"/>
  <c r="CS526" i="40"/>
  <c r="CR526" i="40"/>
  <c r="CQ526" i="40"/>
  <c r="CP526" i="40"/>
  <c r="CO526" i="40"/>
  <c r="CN526" i="40"/>
  <c r="CM526" i="40"/>
  <c r="CL526" i="40"/>
  <c r="CK526" i="40"/>
  <c r="CJ526" i="40"/>
  <c r="CI526" i="40"/>
  <c r="DB525" i="40"/>
  <c r="CV525" i="40"/>
  <c r="CU525" i="40"/>
  <c r="CT525" i="40"/>
  <c r="CS525" i="40"/>
  <c r="CR525" i="40"/>
  <c r="CQ525" i="40"/>
  <c r="CP525" i="40"/>
  <c r="CO525" i="40"/>
  <c r="CN525" i="40"/>
  <c r="CM525" i="40"/>
  <c r="CL525" i="40"/>
  <c r="CK525" i="40"/>
  <c r="CJ525" i="40"/>
  <c r="CI525" i="40"/>
  <c r="DB524" i="40"/>
  <c r="CV524" i="40"/>
  <c r="CU524" i="40"/>
  <c r="CT524" i="40"/>
  <c r="CS524" i="40"/>
  <c r="CR524" i="40"/>
  <c r="CQ524" i="40"/>
  <c r="CP524" i="40"/>
  <c r="CO524" i="40"/>
  <c r="CN524" i="40"/>
  <c r="CM524" i="40"/>
  <c r="CL524" i="40"/>
  <c r="CK524" i="40"/>
  <c r="CJ524" i="40"/>
  <c r="CI524" i="40"/>
  <c r="DB523" i="40"/>
  <c r="CV523" i="40"/>
  <c r="CU523" i="40"/>
  <c r="CT523" i="40"/>
  <c r="CS523" i="40"/>
  <c r="CR523" i="40"/>
  <c r="CQ523" i="40"/>
  <c r="CP523" i="40"/>
  <c r="CO523" i="40"/>
  <c r="CN523" i="40"/>
  <c r="CM523" i="40"/>
  <c r="CL523" i="40"/>
  <c r="CK523" i="40"/>
  <c r="CJ523" i="40"/>
  <c r="CI523" i="40"/>
  <c r="DB522" i="40"/>
  <c r="CV522" i="40"/>
  <c r="CU522" i="40"/>
  <c r="CT522" i="40"/>
  <c r="CS522" i="40"/>
  <c r="CR522" i="40"/>
  <c r="CQ522" i="40"/>
  <c r="CP522" i="40"/>
  <c r="CO522" i="40"/>
  <c r="CN522" i="40"/>
  <c r="CM522" i="40"/>
  <c r="CL522" i="40"/>
  <c r="CK522" i="40"/>
  <c r="CJ522" i="40"/>
  <c r="CI522" i="40"/>
  <c r="DB521" i="40"/>
  <c r="CV521" i="40"/>
  <c r="CU521" i="40"/>
  <c r="CT521" i="40"/>
  <c r="CS521" i="40"/>
  <c r="CR521" i="40"/>
  <c r="CQ521" i="40"/>
  <c r="CP521" i="40"/>
  <c r="CO521" i="40"/>
  <c r="CN521" i="40"/>
  <c r="CM521" i="40"/>
  <c r="CL521" i="40"/>
  <c r="CK521" i="40"/>
  <c r="CJ521" i="40"/>
  <c r="CI521" i="40"/>
  <c r="DB520" i="40"/>
  <c r="CV520" i="40"/>
  <c r="CU520" i="40"/>
  <c r="CT520" i="40"/>
  <c r="CS520" i="40"/>
  <c r="CR520" i="40"/>
  <c r="CQ520" i="40"/>
  <c r="CP520" i="40"/>
  <c r="CO520" i="40"/>
  <c r="CN520" i="40"/>
  <c r="CM520" i="40"/>
  <c r="CL520" i="40"/>
  <c r="CK520" i="40"/>
  <c r="CJ520" i="40"/>
  <c r="CI520" i="40"/>
  <c r="DB519" i="40"/>
  <c r="CV519" i="40"/>
  <c r="CU519" i="40"/>
  <c r="CT519" i="40"/>
  <c r="CS519" i="40"/>
  <c r="CR519" i="40"/>
  <c r="CQ519" i="40"/>
  <c r="CP519" i="40"/>
  <c r="CO519" i="40"/>
  <c r="CN519" i="40"/>
  <c r="CM519" i="40"/>
  <c r="CL519" i="40"/>
  <c r="CK519" i="40"/>
  <c r="CJ519" i="40"/>
  <c r="CI519" i="40"/>
  <c r="DB518" i="40"/>
  <c r="CV518" i="40"/>
  <c r="CU518" i="40"/>
  <c r="CT518" i="40"/>
  <c r="CS518" i="40"/>
  <c r="CR518" i="40"/>
  <c r="CQ518" i="40"/>
  <c r="CP518" i="40"/>
  <c r="CO518" i="40"/>
  <c r="CN518" i="40"/>
  <c r="CM518" i="40"/>
  <c r="CL518" i="40"/>
  <c r="CK518" i="40"/>
  <c r="CJ518" i="40"/>
  <c r="CI518" i="40"/>
  <c r="DB517" i="40"/>
  <c r="CV517" i="40"/>
  <c r="CU517" i="40"/>
  <c r="CT517" i="40"/>
  <c r="CS517" i="40"/>
  <c r="CR517" i="40"/>
  <c r="CQ517" i="40"/>
  <c r="CP517" i="40"/>
  <c r="CO517" i="40"/>
  <c r="CN517" i="40"/>
  <c r="CM517" i="40"/>
  <c r="CL517" i="40"/>
  <c r="CK517" i="40"/>
  <c r="CJ517" i="40"/>
  <c r="CI517" i="40"/>
  <c r="DB516" i="40"/>
  <c r="CV516" i="40"/>
  <c r="CU516" i="40"/>
  <c r="CT516" i="40"/>
  <c r="CS516" i="40"/>
  <c r="CR516" i="40"/>
  <c r="CQ516" i="40"/>
  <c r="CP516" i="40"/>
  <c r="CO516" i="40"/>
  <c r="CN516" i="40"/>
  <c r="CM516" i="40"/>
  <c r="CL516" i="40"/>
  <c r="CK516" i="40"/>
  <c r="CJ516" i="40"/>
  <c r="CI516" i="40"/>
  <c r="DB515" i="40"/>
  <c r="CV515" i="40"/>
  <c r="CU515" i="40"/>
  <c r="CT515" i="40"/>
  <c r="CS515" i="40"/>
  <c r="CR515" i="40"/>
  <c r="CQ515" i="40"/>
  <c r="CP515" i="40"/>
  <c r="CO515" i="40"/>
  <c r="CN515" i="40"/>
  <c r="CM515" i="40"/>
  <c r="CL515" i="40"/>
  <c r="CK515" i="40"/>
  <c r="CJ515" i="40"/>
  <c r="CI515" i="40"/>
  <c r="DB514" i="40"/>
  <c r="CV514" i="40"/>
  <c r="CU514" i="40"/>
  <c r="CT514" i="40"/>
  <c r="CS514" i="40"/>
  <c r="CR514" i="40"/>
  <c r="CQ514" i="40"/>
  <c r="CP514" i="40"/>
  <c r="CO514" i="40"/>
  <c r="CN514" i="40"/>
  <c r="CM514" i="40"/>
  <c r="CL514" i="40"/>
  <c r="CK514" i="40"/>
  <c r="CJ514" i="40"/>
  <c r="CI514" i="40"/>
  <c r="DB513" i="40"/>
  <c r="CV513" i="40"/>
  <c r="CU513" i="40"/>
  <c r="CT513" i="40"/>
  <c r="CS513" i="40"/>
  <c r="CR513" i="40"/>
  <c r="CQ513" i="40"/>
  <c r="CP513" i="40"/>
  <c r="CO513" i="40"/>
  <c r="CN513" i="40"/>
  <c r="CM513" i="40"/>
  <c r="CL513" i="40"/>
  <c r="CK513" i="40"/>
  <c r="CJ513" i="40"/>
  <c r="CI513" i="40"/>
  <c r="DB512" i="40"/>
  <c r="CV512" i="40"/>
  <c r="CU512" i="40"/>
  <c r="CT512" i="40"/>
  <c r="CS512" i="40"/>
  <c r="CR512" i="40"/>
  <c r="CQ512" i="40"/>
  <c r="CP512" i="40"/>
  <c r="CO512" i="40"/>
  <c r="CN512" i="40"/>
  <c r="CM512" i="40"/>
  <c r="CL512" i="40"/>
  <c r="CK512" i="40"/>
  <c r="CJ512" i="40"/>
  <c r="CI512" i="40"/>
  <c r="DB511" i="40"/>
  <c r="CV511" i="40"/>
  <c r="CU511" i="40"/>
  <c r="CT511" i="40"/>
  <c r="CS511" i="40"/>
  <c r="CR511" i="40"/>
  <c r="CQ511" i="40"/>
  <c r="CP511" i="40"/>
  <c r="CO511" i="40"/>
  <c r="CN511" i="40"/>
  <c r="CM511" i="40"/>
  <c r="CL511" i="40"/>
  <c r="CK511" i="40"/>
  <c r="CJ511" i="40"/>
  <c r="CI511" i="40"/>
  <c r="DB510" i="40"/>
  <c r="CV510" i="40"/>
  <c r="CU510" i="40"/>
  <c r="CT510" i="40"/>
  <c r="CS510" i="40"/>
  <c r="CR510" i="40"/>
  <c r="CQ510" i="40"/>
  <c r="CP510" i="40"/>
  <c r="CO510" i="40"/>
  <c r="CN510" i="40"/>
  <c r="CM510" i="40"/>
  <c r="CL510" i="40"/>
  <c r="CK510" i="40"/>
  <c r="CJ510" i="40"/>
  <c r="CI510" i="40"/>
  <c r="DB509" i="40"/>
  <c r="CV509" i="40"/>
  <c r="CU509" i="40"/>
  <c r="CT509" i="40"/>
  <c r="CS509" i="40"/>
  <c r="CR509" i="40"/>
  <c r="CQ509" i="40"/>
  <c r="CP509" i="40"/>
  <c r="CO509" i="40"/>
  <c r="CN509" i="40"/>
  <c r="CM509" i="40"/>
  <c r="CL509" i="40"/>
  <c r="CK509" i="40"/>
  <c r="CJ509" i="40"/>
  <c r="CI509" i="40"/>
  <c r="DB508" i="40"/>
  <c r="CV508" i="40"/>
  <c r="CU508" i="40"/>
  <c r="CT508" i="40"/>
  <c r="CS508" i="40"/>
  <c r="CR508" i="40"/>
  <c r="CQ508" i="40"/>
  <c r="CP508" i="40"/>
  <c r="CO508" i="40"/>
  <c r="CN508" i="40"/>
  <c r="CM508" i="40"/>
  <c r="CL508" i="40"/>
  <c r="CK508" i="40"/>
  <c r="CJ508" i="40"/>
  <c r="CI508" i="40"/>
  <c r="DB507" i="40"/>
  <c r="CV507" i="40"/>
  <c r="CU507" i="40"/>
  <c r="CT507" i="40"/>
  <c r="CS507" i="40"/>
  <c r="CR507" i="40"/>
  <c r="CQ507" i="40"/>
  <c r="CP507" i="40"/>
  <c r="CO507" i="40"/>
  <c r="CN507" i="40"/>
  <c r="CM507" i="40"/>
  <c r="CL507" i="40"/>
  <c r="CK507" i="40"/>
  <c r="CJ507" i="40"/>
  <c r="CI507" i="40"/>
  <c r="DB506" i="40"/>
  <c r="CV506" i="40"/>
  <c r="CU506" i="40"/>
  <c r="CT506" i="40"/>
  <c r="CS506" i="40"/>
  <c r="CR506" i="40"/>
  <c r="CQ506" i="40"/>
  <c r="CP506" i="40"/>
  <c r="CO506" i="40"/>
  <c r="CN506" i="40"/>
  <c r="CM506" i="40"/>
  <c r="CL506" i="40"/>
  <c r="CK506" i="40"/>
  <c r="CJ506" i="40"/>
  <c r="CI506" i="40"/>
  <c r="DB505" i="40"/>
  <c r="CV505" i="40"/>
  <c r="CU505" i="40"/>
  <c r="CT505" i="40"/>
  <c r="CS505" i="40"/>
  <c r="CR505" i="40"/>
  <c r="CQ505" i="40"/>
  <c r="CP505" i="40"/>
  <c r="CO505" i="40"/>
  <c r="CN505" i="40"/>
  <c r="CM505" i="40"/>
  <c r="CL505" i="40"/>
  <c r="CK505" i="40"/>
  <c r="CJ505" i="40"/>
  <c r="CI505" i="40"/>
  <c r="DB504" i="40"/>
  <c r="CV504" i="40"/>
  <c r="CU504" i="40"/>
  <c r="CT504" i="40"/>
  <c r="CS504" i="40"/>
  <c r="CR504" i="40"/>
  <c r="CQ504" i="40"/>
  <c r="CP504" i="40"/>
  <c r="CO504" i="40"/>
  <c r="CN504" i="40"/>
  <c r="CM504" i="40"/>
  <c r="CL504" i="40"/>
  <c r="CK504" i="40"/>
  <c r="CJ504" i="40"/>
  <c r="CI504" i="40"/>
  <c r="DB503" i="40"/>
  <c r="CV503" i="40"/>
  <c r="CU503" i="40"/>
  <c r="CT503" i="40"/>
  <c r="CS503" i="40"/>
  <c r="CR503" i="40"/>
  <c r="CQ503" i="40"/>
  <c r="CP503" i="40"/>
  <c r="CO503" i="40"/>
  <c r="CN503" i="40"/>
  <c r="CM503" i="40"/>
  <c r="CL503" i="40"/>
  <c r="CK503" i="40"/>
  <c r="CJ503" i="40"/>
  <c r="CI503" i="40"/>
  <c r="DB502" i="40"/>
  <c r="CV502" i="40"/>
  <c r="CU502" i="40"/>
  <c r="CT502" i="40"/>
  <c r="CS502" i="40"/>
  <c r="CR502" i="40"/>
  <c r="CQ502" i="40"/>
  <c r="CP502" i="40"/>
  <c r="CO502" i="40"/>
  <c r="CN502" i="40"/>
  <c r="CM502" i="40"/>
  <c r="CL502" i="40"/>
  <c r="CK502" i="40"/>
  <c r="CJ502" i="40"/>
  <c r="CI502" i="40"/>
  <c r="DB501" i="40"/>
  <c r="CV501" i="40"/>
  <c r="CU501" i="40"/>
  <c r="CT501" i="40"/>
  <c r="CS501" i="40"/>
  <c r="CR501" i="40"/>
  <c r="CQ501" i="40"/>
  <c r="CP501" i="40"/>
  <c r="CO501" i="40"/>
  <c r="CN501" i="40"/>
  <c r="CM501" i="40"/>
  <c r="CL501" i="40"/>
  <c r="CK501" i="40"/>
  <c r="CJ501" i="40"/>
  <c r="CI501" i="40"/>
  <c r="DB500" i="40"/>
  <c r="CV500" i="40"/>
  <c r="CU500" i="40"/>
  <c r="CT500" i="40"/>
  <c r="CS500" i="40"/>
  <c r="CR500" i="40"/>
  <c r="CQ500" i="40"/>
  <c r="CP500" i="40"/>
  <c r="CO500" i="40"/>
  <c r="CN500" i="40"/>
  <c r="CM500" i="40"/>
  <c r="CL500" i="40"/>
  <c r="CK500" i="40"/>
  <c r="CJ500" i="40"/>
  <c r="CI500" i="40"/>
  <c r="DB499" i="40"/>
  <c r="CV499" i="40"/>
  <c r="CU499" i="40"/>
  <c r="CT499" i="40"/>
  <c r="CS499" i="40"/>
  <c r="CR499" i="40"/>
  <c r="CQ499" i="40"/>
  <c r="CP499" i="40"/>
  <c r="CO499" i="40"/>
  <c r="CN499" i="40"/>
  <c r="CM499" i="40"/>
  <c r="CL499" i="40"/>
  <c r="CK499" i="40"/>
  <c r="CJ499" i="40"/>
  <c r="CI499" i="40"/>
  <c r="DB498" i="40"/>
  <c r="CV498" i="40"/>
  <c r="CU498" i="40"/>
  <c r="CT498" i="40"/>
  <c r="CS498" i="40"/>
  <c r="CR498" i="40"/>
  <c r="CQ498" i="40"/>
  <c r="CP498" i="40"/>
  <c r="CO498" i="40"/>
  <c r="CN498" i="40"/>
  <c r="CM498" i="40"/>
  <c r="CL498" i="40"/>
  <c r="CK498" i="40"/>
  <c r="CJ498" i="40"/>
  <c r="CI498" i="40"/>
  <c r="DB497" i="40"/>
  <c r="CV497" i="40"/>
  <c r="CU497" i="40"/>
  <c r="CT497" i="40"/>
  <c r="CS497" i="40"/>
  <c r="CR497" i="40"/>
  <c r="CQ497" i="40"/>
  <c r="CP497" i="40"/>
  <c r="CO497" i="40"/>
  <c r="CN497" i="40"/>
  <c r="CM497" i="40"/>
  <c r="CL497" i="40"/>
  <c r="CK497" i="40"/>
  <c r="CJ497" i="40"/>
  <c r="CI497" i="40"/>
  <c r="DB496" i="40"/>
  <c r="CV496" i="40"/>
  <c r="CU496" i="40"/>
  <c r="CT496" i="40"/>
  <c r="CS496" i="40"/>
  <c r="CR496" i="40"/>
  <c r="CQ496" i="40"/>
  <c r="CP496" i="40"/>
  <c r="CO496" i="40"/>
  <c r="CN496" i="40"/>
  <c r="CM496" i="40"/>
  <c r="CL496" i="40"/>
  <c r="CK496" i="40"/>
  <c r="CJ496" i="40"/>
  <c r="CI496" i="40"/>
  <c r="DB495" i="40"/>
  <c r="CV495" i="40"/>
  <c r="CU495" i="40"/>
  <c r="CT495" i="40"/>
  <c r="CS495" i="40"/>
  <c r="CR495" i="40"/>
  <c r="CQ495" i="40"/>
  <c r="CP495" i="40"/>
  <c r="CO495" i="40"/>
  <c r="CN495" i="40"/>
  <c r="CM495" i="40"/>
  <c r="CL495" i="40"/>
  <c r="CK495" i="40"/>
  <c r="CJ495" i="40"/>
  <c r="CI495" i="40"/>
  <c r="DB494" i="40"/>
  <c r="CV494" i="40"/>
  <c r="CU494" i="40"/>
  <c r="CT494" i="40"/>
  <c r="CS494" i="40"/>
  <c r="CR494" i="40"/>
  <c r="CQ494" i="40"/>
  <c r="CP494" i="40"/>
  <c r="CO494" i="40"/>
  <c r="CN494" i="40"/>
  <c r="CM494" i="40"/>
  <c r="CL494" i="40"/>
  <c r="CK494" i="40"/>
  <c r="CJ494" i="40"/>
  <c r="CI494" i="40"/>
  <c r="DB493" i="40"/>
  <c r="CV493" i="40"/>
  <c r="CU493" i="40"/>
  <c r="CT493" i="40"/>
  <c r="CS493" i="40"/>
  <c r="CR493" i="40"/>
  <c r="CQ493" i="40"/>
  <c r="CP493" i="40"/>
  <c r="CO493" i="40"/>
  <c r="CN493" i="40"/>
  <c r="CM493" i="40"/>
  <c r="CL493" i="40"/>
  <c r="CK493" i="40"/>
  <c r="CJ493" i="40"/>
  <c r="CI493" i="40"/>
  <c r="DB492" i="40"/>
  <c r="CV492" i="40"/>
  <c r="CU492" i="40"/>
  <c r="CT492" i="40"/>
  <c r="CS492" i="40"/>
  <c r="CR492" i="40"/>
  <c r="CQ492" i="40"/>
  <c r="CP492" i="40"/>
  <c r="CO492" i="40"/>
  <c r="CN492" i="40"/>
  <c r="CM492" i="40"/>
  <c r="CL492" i="40"/>
  <c r="CK492" i="40"/>
  <c r="CJ492" i="40"/>
  <c r="CI492" i="40"/>
  <c r="DB491" i="40"/>
  <c r="CV491" i="40"/>
  <c r="CU491" i="40"/>
  <c r="CT491" i="40"/>
  <c r="CS491" i="40"/>
  <c r="CR491" i="40"/>
  <c r="CQ491" i="40"/>
  <c r="CP491" i="40"/>
  <c r="CO491" i="40"/>
  <c r="CN491" i="40"/>
  <c r="CM491" i="40"/>
  <c r="CL491" i="40"/>
  <c r="CK491" i="40"/>
  <c r="CJ491" i="40"/>
  <c r="CI491" i="40"/>
  <c r="DB490" i="40"/>
  <c r="CV490" i="40"/>
  <c r="CU490" i="40"/>
  <c r="CT490" i="40"/>
  <c r="CS490" i="40"/>
  <c r="CR490" i="40"/>
  <c r="CQ490" i="40"/>
  <c r="CP490" i="40"/>
  <c r="CO490" i="40"/>
  <c r="CN490" i="40"/>
  <c r="CM490" i="40"/>
  <c r="CL490" i="40"/>
  <c r="CK490" i="40"/>
  <c r="CJ490" i="40"/>
  <c r="CI490" i="40"/>
  <c r="DB489" i="40"/>
  <c r="CV489" i="40"/>
  <c r="CU489" i="40"/>
  <c r="CT489" i="40"/>
  <c r="CS489" i="40"/>
  <c r="CR489" i="40"/>
  <c r="CQ489" i="40"/>
  <c r="CP489" i="40"/>
  <c r="CO489" i="40"/>
  <c r="CN489" i="40"/>
  <c r="CM489" i="40"/>
  <c r="CL489" i="40"/>
  <c r="CK489" i="40"/>
  <c r="CJ489" i="40"/>
  <c r="CI489" i="40"/>
  <c r="DB488" i="40"/>
  <c r="CV488" i="40"/>
  <c r="CU488" i="40"/>
  <c r="CT488" i="40"/>
  <c r="CS488" i="40"/>
  <c r="CR488" i="40"/>
  <c r="CQ488" i="40"/>
  <c r="CP488" i="40"/>
  <c r="CO488" i="40"/>
  <c r="CN488" i="40"/>
  <c r="CM488" i="40"/>
  <c r="CL488" i="40"/>
  <c r="CK488" i="40"/>
  <c r="CJ488" i="40"/>
  <c r="CI488" i="40"/>
  <c r="DB487" i="40"/>
  <c r="CV487" i="40"/>
  <c r="CU487" i="40"/>
  <c r="CT487" i="40"/>
  <c r="CS487" i="40"/>
  <c r="CR487" i="40"/>
  <c r="CQ487" i="40"/>
  <c r="CP487" i="40"/>
  <c r="CO487" i="40"/>
  <c r="CN487" i="40"/>
  <c r="CM487" i="40"/>
  <c r="CL487" i="40"/>
  <c r="CK487" i="40"/>
  <c r="CJ487" i="40"/>
  <c r="CI487" i="40"/>
  <c r="DB486" i="40"/>
  <c r="CV486" i="40"/>
  <c r="CU486" i="40"/>
  <c r="CT486" i="40"/>
  <c r="CS486" i="40"/>
  <c r="CR486" i="40"/>
  <c r="CQ486" i="40"/>
  <c r="CP486" i="40"/>
  <c r="CO486" i="40"/>
  <c r="CN486" i="40"/>
  <c r="CM486" i="40"/>
  <c r="CL486" i="40"/>
  <c r="CK486" i="40"/>
  <c r="CJ486" i="40"/>
  <c r="CI486" i="40"/>
  <c r="DB485" i="40"/>
  <c r="CV485" i="40"/>
  <c r="CU485" i="40"/>
  <c r="CT485" i="40"/>
  <c r="CS485" i="40"/>
  <c r="CR485" i="40"/>
  <c r="CQ485" i="40"/>
  <c r="CP485" i="40"/>
  <c r="CO485" i="40"/>
  <c r="CN485" i="40"/>
  <c r="CM485" i="40"/>
  <c r="CL485" i="40"/>
  <c r="CK485" i="40"/>
  <c r="CJ485" i="40"/>
  <c r="CI485" i="40"/>
  <c r="DB484" i="40"/>
  <c r="CV484" i="40"/>
  <c r="CU484" i="40"/>
  <c r="CT484" i="40"/>
  <c r="CS484" i="40"/>
  <c r="CR484" i="40"/>
  <c r="CQ484" i="40"/>
  <c r="CP484" i="40"/>
  <c r="CO484" i="40"/>
  <c r="CN484" i="40"/>
  <c r="CM484" i="40"/>
  <c r="CL484" i="40"/>
  <c r="CK484" i="40"/>
  <c r="CJ484" i="40"/>
  <c r="CI484" i="40"/>
  <c r="DB483" i="40"/>
  <c r="CV483" i="40"/>
  <c r="CU483" i="40"/>
  <c r="CT483" i="40"/>
  <c r="CS483" i="40"/>
  <c r="CR483" i="40"/>
  <c r="CQ483" i="40"/>
  <c r="CP483" i="40"/>
  <c r="CO483" i="40"/>
  <c r="CN483" i="40"/>
  <c r="CM483" i="40"/>
  <c r="CL483" i="40"/>
  <c r="CK483" i="40"/>
  <c r="CJ483" i="40"/>
  <c r="CI483" i="40"/>
  <c r="DB482" i="40"/>
  <c r="CV482" i="40"/>
  <c r="CU482" i="40"/>
  <c r="CT482" i="40"/>
  <c r="CS482" i="40"/>
  <c r="CR482" i="40"/>
  <c r="CQ482" i="40"/>
  <c r="CP482" i="40"/>
  <c r="CO482" i="40"/>
  <c r="CN482" i="40"/>
  <c r="CM482" i="40"/>
  <c r="CL482" i="40"/>
  <c r="CK482" i="40"/>
  <c r="CJ482" i="40"/>
  <c r="CI482" i="40"/>
  <c r="DB481" i="40"/>
  <c r="CV481" i="40"/>
  <c r="CU481" i="40"/>
  <c r="CT481" i="40"/>
  <c r="CS481" i="40"/>
  <c r="CR481" i="40"/>
  <c r="CQ481" i="40"/>
  <c r="CP481" i="40"/>
  <c r="CO481" i="40"/>
  <c r="CN481" i="40"/>
  <c r="CM481" i="40"/>
  <c r="CL481" i="40"/>
  <c r="CK481" i="40"/>
  <c r="CJ481" i="40"/>
  <c r="CI481" i="40"/>
  <c r="DB480" i="40"/>
  <c r="CV480" i="40"/>
  <c r="CU480" i="40"/>
  <c r="CT480" i="40"/>
  <c r="CS480" i="40"/>
  <c r="CR480" i="40"/>
  <c r="CQ480" i="40"/>
  <c r="CP480" i="40"/>
  <c r="CO480" i="40"/>
  <c r="CN480" i="40"/>
  <c r="CM480" i="40"/>
  <c r="CL480" i="40"/>
  <c r="CK480" i="40"/>
  <c r="CJ480" i="40"/>
  <c r="CI480" i="40"/>
  <c r="DB479" i="40"/>
  <c r="CV479" i="40"/>
  <c r="CU479" i="40"/>
  <c r="CT479" i="40"/>
  <c r="CS479" i="40"/>
  <c r="CR479" i="40"/>
  <c r="CQ479" i="40"/>
  <c r="CP479" i="40"/>
  <c r="CO479" i="40"/>
  <c r="CN479" i="40"/>
  <c r="CM479" i="40"/>
  <c r="CL479" i="40"/>
  <c r="CK479" i="40"/>
  <c r="CJ479" i="40"/>
  <c r="CI479" i="40"/>
  <c r="DB478" i="40"/>
  <c r="CV478" i="40"/>
  <c r="CU478" i="40"/>
  <c r="CT478" i="40"/>
  <c r="CS478" i="40"/>
  <c r="CR478" i="40"/>
  <c r="CQ478" i="40"/>
  <c r="CP478" i="40"/>
  <c r="CO478" i="40"/>
  <c r="CN478" i="40"/>
  <c r="CM478" i="40"/>
  <c r="CL478" i="40"/>
  <c r="CK478" i="40"/>
  <c r="CJ478" i="40"/>
  <c r="CI478" i="40"/>
  <c r="DB477" i="40"/>
  <c r="CV477" i="40"/>
  <c r="CU477" i="40"/>
  <c r="CT477" i="40"/>
  <c r="CS477" i="40"/>
  <c r="CR477" i="40"/>
  <c r="CQ477" i="40"/>
  <c r="CP477" i="40"/>
  <c r="CO477" i="40"/>
  <c r="CN477" i="40"/>
  <c r="CM477" i="40"/>
  <c r="CL477" i="40"/>
  <c r="CK477" i="40"/>
  <c r="CJ477" i="40"/>
  <c r="CI477" i="40"/>
  <c r="DB476" i="40"/>
  <c r="CV476" i="40"/>
  <c r="CU476" i="40"/>
  <c r="CT476" i="40"/>
  <c r="CS476" i="40"/>
  <c r="CR476" i="40"/>
  <c r="CQ476" i="40"/>
  <c r="CP476" i="40"/>
  <c r="CO476" i="40"/>
  <c r="CN476" i="40"/>
  <c r="CM476" i="40"/>
  <c r="CL476" i="40"/>
  <c r="CK476" i="40"/>
  <c r="CJ476" i="40"/>
  <c r="CI476" i="40"/>
  <c r="DB475" i="40"/>
  <c r="CV475" i="40"/>
  <c r="CU475" i="40"/>
  <c r="CT475" i="40"/>
  <c r="CS475" i="40"/>
  <c r="CR475" i="40"/>
  <c r="CQ475" i="40"/>
  <c r="CP475" i="40"/>
  <c r="CO475" i="40"/>
  <c r="CN475" i="40"/>
  <c r="CM475" i="40"/>
  <c r="CL475" i="40"/>
  <c r="CK475" i="40"/>
  <c r="CJ475" i="40"/>
  <c r="CI475" i="40"/>
  <c r="DB474" i="40"/>
  <c r="CV474" i="40"/>
  <c r="CU474" i="40"/>
  <c r="CT474" i="40"/>
  <c r="CS474" i="40"/>
  <c r="CR474" i="40"/>
  <c r="CQ474" i="40"/>
  <c r="CP474" i="40"/>
  <c r="CO474" i="40"/>
  <c r="CN474" i="40"/>
  <c r="CM474" i="40"/>
  <c r="CL474" i="40"/>
  <c r="CK474" i="40"/>
  <c r="CJ474" i="40"/>
  <c r="CI474" i="40"/>
  <c r="DB473" i="40"/>
  <c r="CV473" i="40"/>
  <c r="CU473" i="40"/>
  <c r="CT473" i="40"/>
  <c r="CS473" i="40"/>
  <c r="CR473" i="40"/>
  <c r="CQ473" i="40"/>
  <c r="CP473" i="40"/>
  <c r="CO473" i="40"/>
  <c r="CN473" i="40"/>
  <c r="CM473" i="40"/>
  <c r="CL473" i="40"/>
  <c r="CK473" i="40"/>
  <c r="CJ473" i="40"/>
  <c r="CI473" i="40"/>
  <c r="DB472" i="40"/>
  <c r="CV472" i="40"/>
  <c r="CU472" i="40"/>
  <c r="CT472" i="40"/>
  <c r="CS472" i="40"/>
  <c r="CR472" i="40"/>
  <c r="CQ472" i="40"/>
  <c r="CP472" i="40"/>
  <c r="CO472" i="40"/>
  <c r="CN472" i="40"/>
  <c r="CM472" i="40"/>
  <c r="CL472" i="40"/>
  <c r="CK472" i="40"/>
  <c r="CJ472" i="40"/>
  <c r="CI472" i="40"/>
  <c r="DB471" i="40"/>
  <c r="CV471" i="40"/>
  <c r="CU471" i="40"/>
  <c r="CT471" i="40"/>
  <c r="CS471" i="40"/>
  <c r="CR471" i="40"/>
  <c r="CQ471" i="40"/>
  <c r="CP471" i="40"/>
  <c r="CO471" i="40"/>
  <c r="CN471" i="40"/>
  <c r="CM471" i="40"/>
  <c r="CL471" i="40"/>
  <c r="CK471" i="40"/>
  <c r="CJ471" i="40"/>
  <c r="CI471" i="40"/>
  <c r="DB470" i="40"/>
  <c r="CV470" i="40"/>
  <c r="CU470" i="40"/>
  <c r="CT470" i="40"/>
  <c r="CS470" i="40"/>
  <c r="CR470" i="40"/>
  <c r="CQ470" i="40"/>
  <c r="CP470" i="40"/>
  <c r="CO470" i="40"/>
  <c r="CN470" i="40"/>
  <c r="CM470" i="40"/>
  <c r="CL470" i="40"/>
  <c r="CK470" i="40"/>
  <c r="CJ470" i="40"/>
  <c r="CI470" i="40"/>
  <c r="DB469" i="40"/>
  <c r="CV469" i="40"/>
  <c r="CU469" i="40"/>
  <c r="CT469" i="40"/>
  <c r="CS469" i="40"/>
  <c r="CR469" i="40"/>
  <c r="CQ469" i="40"/>
  <c r="CP469" i="40"/>
  <c r="CO469" i="40"/>
  <c r="CN469" i="40"/>
  <c r="CM469" i="40"/>
  <c r="CL469" i="40"/>
  <c r="CK469" i="40"/>
  <c r="CJ469" i="40"/>
  <c r="CI469" i="40"/>
  <c r="DB468" i="40"/>
  <c r="CV468" i="40"/>
  <c r="CU468" i="40"/>
  <c r="CT468" i="40"/>
  <c r="CS468" i="40"/>
  <c r="CR468" i="40"/>
  <c r="CQ468" i="40"/>
  <c r="CP468" i="40"/>
  <c r="CO468" i="40"/>
  <c r="CN468" i="40"/>
  <c r="CM468" i="40"/>
  <c r="CL468" i="40"/>
  <c r="CK468" i="40"/>
  <c r="CJ468" i="40"/>
  <c r="CI468" i="40"/>
  <c r="DB467" i="40"/>
  <c r="CV467" i="40"/>
  <c r="CU467" i="40"/>
  <c r="CT467" i="40"/>
  <c r="CS467" i="40"/>
  <c r="CR467" i="40"/>
  <c r="CQ467" i="40"/>
  <c r="CP467" i="40"/>
  <c r="CO467" i="40"/>
  <c r="CN467" i="40"/>
  <c r="CM467" i="40"/>
  <c r="CL467" i="40"/>
  <c r="CK467" i="40"/>
  <c r="CJ467" i="40"/>
  <c r="CI467" i="40"/>
  <c r="DB466" i="40"/>
  <c r="CV466" i="40"/>
  <c r="CU466" i="40"/>
  <c r="CT466" i="40"/>
  <c r="CS466" i="40"/>
  <c r="CR466" i="40"/>
  <c r="CQ466" i="40"/>
  <c r="CP466" i="40"/>
  <c r="CO466" i="40"/>
  <c r="CN466" i="40"/>
  <c r="CM466" i="40"/>
  <c r="CL466" i="40"/>
  <c r="CK466" i="40"/>
  <c r="CJ466" i="40"/>
  <c r="CI466" i="40"/>
  <c r="DB465" i="40"/>
  <c r="CV465" i="40"/>
  <c r="CU465" i="40"/>
  <c r="CT465" i="40"/>
  <c r="CS465" i="40"/>
  <c r="CR465" i="40"/>
  <c r="CQ465" i="40"/>
  <c r="CP465" i="40"/>
  <c r="CO465" i="40"/>
  <c r="CN465" i="40"/>
  <c r="CM465" i="40"/>
  <c r="CL465" i="40"/>
  <c r="CK465" i="40"/>
  <c r="CJ465" i="40"/>
  <c r="CI465" i="40"/>
  <c r="DB464" i="40"/>
  <c r="CV464" i="40"/>
  <c r="CU464" i="40"/>
  <c r="CT464" i="40"/>
  <c r="CS464" i="40"/>
  <c r="CR464" i="40"/>
  <c r="CQ464" i="40"/>
  <c r="CP464" i="40"/>
  <c r="CO464" i="40"/>
  <c r="CN464" i="40"/>
  <c r="CM464" i="40"/>
  <c r="CL464" i="40"/>
  <c r="CK464" i="40"/>
  <c r="CJ464" i="40"/>
  <c r="CI464" i="40"/>
  <c r="DB463" i="40"/>
  <c r="CV463" i="40"/>
  <c r="CU463" i="40"/>
  <c r="CT463" i="40"/>
  <c r="CS463" i="40"/>
  <c r="CR463" i="40"/>
  <c r="CQ463" i="40"/>
  <c r="CP463" i="40"/>
  <c r="CO463" i="40"/>
  <c r="CN463" i="40"/>
  <c r="CM463" i="40"/>
  <c r="CL463" i="40"/>
  <c r="CK463" i="40"/>
  <c r="CJ463" i="40"/>
  <c r="CI463" i="40"/>
  <c r="DB462" i="40"/>
  <c r="CV462" i="40"/>
  <c r="CU462" i="40"/>
  <c r="CT462" i="40"/>
  <c r="CS462" i="40"/>
  <c r="CR462" i="40"/>
  <c r="CQ462" i="40"/>
  <c r="CP462" i="40"/>
  <c r="CO462" i="40"/>
  <c r="CN462" i="40"/>
  <c r="CM462" i="40"/>
  <c r="CL462" i="40"/>
  <c r="CK462" i="40"/>
  <c r="CJ462" i="40"/>
  <c r="CI462" i="40"/>
  <c r="DB461" i="40"/>
  <c r="CV461" i="40"/>
  <c r="CU461" i="40"/>
  <c r="CT461" i="40"/>
  <c r="CS461" i="40"/>
  <c r="CR461" i="40"/>
  <c r="CQ461" i="40"/>
  <c r="CP461" i="40"/>
  <c r="CO461" i="40"/>
  <c r="CN461" i="40"/>
  <c r="CM461" i="40"/>
  <c r="CL461" i="40"/>
  <c r="CK461" i="40"/>
  <c r="CJ461" i="40"/>
  <c r="CI461" i="40"/>
  <c r="DB460" i="40"/>
  <c r="CV460" i="40"/>
  <c r="CU460" i="40"/>
  <c r="CT460" i="40"/>
  <c r="CS460" i="40"/>
  <c r="CR460" i="40"/>
  <c r="CQ460" i="40"/>
  <c r="CP460" i="40"/>
  <c r="CO460" i="40"/>
  <c r="CN460" i="40"/>
  <c r="CM460" i="40"/>
  <c r="CL460" i="40"/>
  <c r="CK460" i="40"/>
  <c r="CJ460" i="40"/>
  <c r="CI460" i="40"/>
  <c r="DB459" i="40"/>
  <c r="CV459" i="40"/>
  <c r="CU459" i="40"/>
  <c r="CT459" i="40"/>
  <c r="CS459" i="40"/>
  <c r="CR459" i="40"/>
  <c r="CQ459" i="40"/>
  <c r="CP459" i="40"/>
  <c r="CO459" i="40"/>
  <c r="CN459" i="40"/>
  <c r="CM459" i="40"/>
  <c r="CL459" i="40"/>
  <c r="CK459" i="40"/>
  <c r="CJ459" i="40"/>
  <c r="CI459" i="40"/>
  <c r="DB458" i="40"/>
  <c r="CV458" i="40"/>
  <c r="CU458" i="40"/>
  <c r="CT458" i="40"/>
  <c r="CS458" i="40"/>
  <c r="CR458" i="40"/>
  <c r="CQ458" i="40"/>
  <c r="CP458" i="40"/>
  <c r="CO458" i="40"/>
  <c r="CN458" i="40"/>
  <c r="CM458" i="40"/>
  <c r="CL458" i="40"/>
  <c r="CK458" i="40"/>
  <c r="CJ458" i="40"/>
  <c r="CI458" i="40"/>
  <c r="DB457" i="40"/>
  <c r="CV457" i="40"/>
  <c r="CU457" i="40"/>
  <c r="CT457" i="40"/>
  <c r="CS457" i="40"/>
  <c r="CR457" i="40"/>
  <c r="CQ457" i="40"/>
  <c r="CP457" i="40"/>
  <c r="CO457" i="40"/>
  <c r="CN457" i="40"/>
  <c r="CM457" i="40"/>
  <c r="CL457" i="40"/>
  <c r="CK457" i="40"/>
  <c r="CJ457" i="40"/>
  <c r="CI457" i="40"/>
  <c r="DB456" i="40"/>
  <c r="CV456" i="40"/>
  <c r="CU456" i="40"/>
  <c r="CT456" i="40"/>
  <c r="CS456" i="40"/>
  <c r="CR456" i="40"/>
  <c r="CQ456" i="40"/>
  <c r="CP456" i="40"/>
  <c r="CO456" i="40"/>
  <c r="CN456" i="40"/>
  <c r="CM456" i="40"/>
  <c r="CL456" i="40"/>
  <c r="CK456" i="40"/>
  <c r="CJ456" i="40"/>
  <c r="CI456" i="40"/>
  <c r="DB455" i="40"/>
  <c r="CV455" i="40"/>
  <c r="CU455" i="40"/>
  <c r="CT455" i="40"/>
  <c r="CS455" i="40"/>
  <c r="CR455" i="40"/>
  <c r="CQ455" i="40"/>
  <c r="CP455" i="40"/>
  <c r="CO455" i="40"/>
  <c r="CN455" i="40"/>
  <c r="CM455" i="40"/>
  <c r="CL455" i="40"/>
  <c r="CK455" i="40"/>
  <c r="CJ455" i="40"/>
  <c r="CI455" i="40"/>
  <c r="DB454" i="40"/>
  <c r="CV454" i="40"/>
  <c r="CU454" i="40"/>
  <c r="CT454" i="40"/>
  <c r="CS454" i="40"/>
  <c r="CR454" i="40"/>
  <c r="CQ454" i="40"/>
  <c r="CP454" i="40"/>
  <c r="CO454" i="40"/>
  <c r="CN454" i="40"/>
  <c r="CM454" i="40"/>
  <c r="CL454" i="40"/>
  <c r="CK454" i="40"/>
  <c r="CJ454" i="40"/>
  <c r="CI454" i="40"/>
  <c r="DB453" i="40"/>
  <c r="CV453" i="40"/>
  <c r="CU453" i="40"/>
  <c r="CT453" i="40"/>
  <c r="CS453" i="40"/>
  <c r="CR453" i="40"/>
  <c r="CQ453" i="40"/>
  <c r="CP453" i="40"/>
  <c r="CO453" i="40"/>
  <c r="CN453" i="40"/>
  <c r="CM453" i="40"/>
  <c r="CL453" i="40"/>
  <c r="CK453" i="40"/>
  <c r="CJ453" i="40"/>
  <c r="CI453" i="40"/>
  <c r="DB452" i="40"/>
  <c r="CV452" i="40"/>
  <c r="CU452" i="40"/>
  <c r="CT452" i="40"/>
  <c r="CS452" i="40"/>
  <c r="CR452" i="40"/>
  <c r="CQ452" i="40"/>
  <c r="CP452" i="40"/>
  <c r="CO452" i="40"/>
  <c r="CN452" i="40"/>
  <c r="CM452" i="40"/>
  <c r="CL452" i="40"/>
  <c r="CK452" i="40"/>
  <c r="CJ452" i="40"/>
  <c r="CI452" i="40"/>
  <c r="DB451" i="40"/>
  <c r="CV451" i="40"/>
  <c r="CU451" i="40"/>
  <c r="CT451" i="40"/>
  <c r="CS451" i="40"/>
  <c r="CR451" i="40"/>
  <c r="CQ451" i="40"/>
  <c r="CP451" i="40"/>
  <c r="CO451" i="40"/>
  <c r="CN451" i="40"/>
  <c r="CM451" i="40"/>
  <c r="CL451" i="40"/>
  <c r="CK451" i="40"/>
  <c r="CJ451" i="40"/>
  <c r="CI451" i="40"/>
  <c r="DB450" i="40"/>
  <c r="CV450" i="40"/>
  <c r="CU450" i="40"/>
  <c r="CT450" i="40"/>
  <c r="CS450" i="40"/>
  <c r="CR450" i="40"/>
  <c r="CQ450" i="40"/>
  <c r="CP450" i="40"/>
  <c r="CO450" i="40"/>
  <c r="CN450" i="40"/>
  <c r="CM450" i="40"/>
  <c r="CL450" i="40"/>
  <c r="CK450" i="40"/>
  <c r="CJ450" i="40"/>
  <c r="CI450" i="40"/>
  <c r="DB449" i="40"/>
  <c r="CV449" i="40"/>
  <c r="CU449" i="40"/>
  <c r="CT449" i="40"/>
  <c r="CS449" i="40"/>
  <c r="CR449" i="40"/>
  <c r="CQ449" i="40"/>
  <c r="CP449" i="40"/>
  <c r="CO449" i="40"/>
  <c r="CN449" i="40"/>
  <c r="CM449" i="40"/>
  <c r="CL449" i="40"/>
  <c r="CK449" i="40"/>
  <c r="CJ449" i="40"/>
  <c r="CI449" i="40"/>
  <c r="DB448" i="40"/>
  <c r="CV448" i="40"/>
  <c r="CU448" i="40"/>
  <c r="CT448" i="40"/>
  <c r="CS448" i="40"/>
  <c r="CR448" i="40"/>
  <c r="CQ448" i="40"/>
  <c r="CP448" i="40"/>
  <c r="CO448" i="40"/>
  <c r="CN448" i="40"/>
  <c r="CM448" i="40"/>
  <c r="CL448" i="40"/>
  <c r="CK448" i="40"/>
  <c r="CJ448" i="40"/>
  <c r="CI448" i="40"/>
  <c r="DB447" i="40"/>
  <c r="CV447" i="40"/>
  <c r="CU447" i="40"/>
  <c r="CT447" i="40"/>
  <c r="CS447" i="40"/>
  <c r="CR447" i="40"/>
  <c r="CQ447" i="40"/>
  <c r="CP447" i="40"/>
  <c r="CO447" i="40"/>
  <c r="CN447" i="40"/>
  <c r="CM447" i="40"/>
  <c r="CL447" i="40"/>
  <c r="CK447" i="40"/>
  <c r="CJ447" i="40"/>
  <c r="CI447" i="40"/>
  <c r="DB446" i="40"/>
  <c r="CV446" i="40"/>
  <c r="CU446" i="40"/>
  <c r="CT446" i="40"/>
  <c r="CS446" i="40"/>
  <c r="CR446" i="40"/>
  <c r="CQ446" i="40"/>
  <c r="CP446" i="40"/>
  <c r="CO446" i="40"/>
  <c r="CN446" i="40"/>
  <c r="CM446" i="40"/>
  <c r="CL446" i="40"/>
  <c r="CK446" i="40"/>
  <c r="CJ446" i="40"/>
  <c r="CI446" i="40"/>
  <c r="DB445" i="40"/>
  <c r="CV445" i="40"/>
  <c r="CU445" i="40"/>
  <c r="CT445" i="40"/>
  <c r="CS445" i="40"/>
  <c r="CR445" i="40"/>
  <c r="CQ445" i="40"/>
  <c r="CP445" i="40"/>
  <c r="CO445" i="40"/>
  <c r="CN445" i="40"/>
  <c r="CM445" i="40"/>
  <c r="CL445" i="40"/>
  <c r="CK445" i="40"/>
  <c r="CJ445" i="40"/>
  <c r="CI445" i="40"/>
  <c r="DB444" i="40"/>
  <c r="CV444" i="40"/>
  <c r="CU444" i="40"/>
  <c r="CT444" i="40"/>
  <c r="CS444" i="40"/>
  <c r="CR444" i="40"/>
  <c r="CQ444" i="40"/>
  <c r="CP444" i="40"/>
  <c r="CO444" i="40"/>
  <c r="CN444" i="40"/>
  <c r="CM444" i="40"/>
  <c r="CL444" i="40"/>
  <c r="CK444" i="40"/>
  <c r="CJ444" i="40"/>
  <c r="CI444" i="40"/>
  <c r="DB443" i="40"/>
  <c r="CV443" i="40"/>
  <c r="CU443" i="40"/>
  <c r="CT443" i="40"/>
  <c r="CS443" i="40"/>
  <c r="CR443" i="40"/>
  <c r="CQ443" i="40"/>
  <c r="CP443" i="40"/>
  <c r="CO443" i="40"/>
  <c r="CN443" i="40"/>
  <c r="CM443" i="40"/>
  <c r="CL443" i="40"/>
  <c r="CK443" i="40"/>
  <c r="CJ443" i="40"/>
  <c r="CI443" i="40"/>
  <c r="DB442" i="40"/>
  <c r="CV442" i="40"/>
  <c r="CU442" i="40"/>
  <c r="CT442" i="40"/>
  <c r="CS442" i="40"/>
  <c r="CR442" i="40"/>
  <c r="CQ442" i="40"/>
  <c r="CP442" i="40"/>
  <c r="CO442" i="40"/>
  <c r="CN442" i="40"/>
  <c r="CM442" i="40"/>
  <c r="CL442" i="40"/>
  <c r="CK442" i="40"/>
  <c r="CJ442" i="40"/>
  <c r="CI442" i="40"/>
  <c r="DB441" i="40"/>
  <c r="CV441" i="40"/>
  <c r="CU441" i="40"/>
  <c r="CT441" i="40"/>
  <c r="CS441" i="40"/>
  <c r="CR441" i="40"/>
  <c r="CQ441" i="40"/>
  <c r="CP441" i="40"/>
  <c r="CO441" i="40"/>
  <c r="CN441" i="40"/>
  <c r="CM441" i="40"/>
  <c r="CL441" i="40"/>
  <c r="CK441" i="40"/>
  <c r="CJ441" i="40"/>
  <c r="CI441" i="40"/>
  <c r="DB440" i="40"/>
  <c r="CV440" i="40"/>
  <c r="CU440" i="40"/>
  <c r="CT440" i="40"/>
  <c r="CS440" i="40"/>
  <c r="CR440" i="40"/>
  <c r="CQ440" i="40"/>
  <c r="CP440" i="40"/>
  <c r="CO440" i="40"/>
  <c r="CN440" i="40"/>
  <c r="CM440" i="40"/>
  <c r="CL440" i="40"/>
  <c r="CK440" i="40"/>
  <c r="CJ440" i="40"/>
  <c r="CI440" i="40"/>
  <c r="DB439" i="40"/>
  <c r="CV439" i="40"/>
  <c r="CU439" i="40"/>
  <c r="CT439" i="40"/>
  <c r="CS439" i="40"/>
  <c r="CR439" i="40"/>
  <c r="CQ439" i="40"/>
  <c r="CP439" i="40"/>
  <c r="CO439" i="40"/>
  <c r="CN439" i="40"/>
  <c r="CM439" i="40"/>
  <c r="CL439" i="40"/>
  <c r="CK439" i="40"/>
  <c r="CJ439" i="40"/>
  <c r="CI439" i="40"/>
  <c r="DB438" i="40"/>
  <c r="CV438" i="40"/>
  <c r="CU438" i="40"/>
  <c r="CT438" i="40"/>
  <c r="CS438" i="40"/>
  <c r="CR438" i="40"/>
  <c r="CQ438" i="40"/>
  <c r="CP438" i="40"/>
  <c r="CO438" i="40"/>
  <c r="CN438" i="40"/>
  <c r="CM438" i="40"/>
  <c r="CL438" i="40"/>
  <c r="CK438" i="40"/>
  <c r="CJ438" i="40"/>
  <c r="CI438" i="40"/>
  <c r="DB437" i="40"/>
  <c r="CV437" i="40"/>
  <c r="CU437" i="40"/>
  <c r="CT437" i="40"/>
  <c r="CS437" i="40"/>
  <c r="CR437" i="40"/>
  <c r="CQ437" i="40"/>
  <c r="CP437" i="40"/>
  <c r="CO437" i="40"/>
  <c r="CN437" i="40"/>
  <c r="CM437" i="40"/>
  <c r="CL437" i="40"/>
  <c r="CK437" i="40"/>
  <c r="CJ437" i="40"/>
  <c r="CI437" i="40"/>
  <c r="DB436" i="40"/>
  <c r="CV436" i="40"/>
  <c r="CU436" i="40"/>
  <c r="CT436" i="40"/>
  <c r="CS436" i="40"/>
  <c r="CR436" i="40"/>
  <c r="CQ436" i="40"/>
  <c r="CP436" i="40"/>
  <c r="CO436" i="40"/>
  <c r="CN436" i="40"/>
  <c r="CM436" i="40"/>
  <c r="CL436" i="40"/>
  <c r="CK436" i="40"/>
  <c r="CJ436" i="40"/>
  <c r="CI436" i="40"/>
  <c r="DB435" i="40"/>
  <c r="CV435" i="40"/>
  <c r="CU435" i="40"/>
  <c r="CT435" i="40"/>
  <c r="CS435" i="40"/>
  <c r="CR435" i="40"/>
  <c r="CQ435" i="40"/>
  <c r="CP435" i="40"/>
  <c r="CO435" i="40"/>
  <c r="CN435" i="40"/>
  <c r="CM435" i="40"/>
  <c r="CL435" i="40"/>
  <c r="CK435" i="40"/>
  <c r="CJ435" i="40"/>
  <c r="CI435" i="40"/>
  <c r="DB434" i="40"/>
  <c r="CV434" i="40"/>
  <c r="CU434" i="40"/>
  <c r="CT434" i="40"/>
  <c r="CS434" i="40"/>
  <c r="CR434" i="40"/>
  <c r="CQ434" i="40"/>
  <c r="CP434" i="40"/>
  <c r="CO434" i="40"/>
  <c r="CN434" i="40"/>
  <c r="CM434" i="40"/>
  <c r="CL434" i="40"/>
  <c r="CK434" i="40"/>
  <c r="CJ434" i="40"/>
  <c r="CI434" i="40"/>
  <c r="DB433" i="40"/>
  <c r="CV433" i="40"/>
  <c r="CU433" i="40"/>
  <c r="CT433" i="40"/>
  <c r="CS433" i="40"/>
  <c r="CR433" i="40"/>
  <c r="CQ433" i="40"/>
  <c r="CP433" i="40"/>
  <c r="CO433" i="40"/>
  <c r="CN433" i="40"/>
  <c r="CM433" i="40"/>
  <c r="CL433" i="40"/>
  <c r="CK433" i="40"/>
  <c r="CJ433" i="40"/>
  <c r="CI433" i="40"/>
  <c r="DB432" i="40"/>
  <c r="CV432" i="40"/>
  <c r="CU432" i="40"/>
  <c r="CT432" i="40"/>
  <c r="CS432" i="40"/>
  <c r="CR432" i="40"/>
  <c r="CQ432" i="40"/>
  <c r="CP432" i="40"/>
  <c r="CO432" i="40"/>
  <c r="CN432" i="40"/>
  <c r="CM432" i="40"/>
  <c r="CL432" i="40"/>
  <c r="CK432" i="40"/>
  <c r="CJ432" i="40"/>
  <c r="CI432" i="40"/>
  <c r="DB431" i="40"/>
  <c r="CV431" i="40"/>
  <c r="CU431" i="40"/>
  <c r="CT431" i="40"/>
  <c r="CS431" i="40"/>
  <c r="CR431" i="40"/>
  <c r="CQ431" i="40"/>
  <c r="CP431" i="40"/>
  <c r="CO431" i="40"/>
  <c r="CN431" i="40"/>
  <c r="CM431" i="40"/>
  <c r="CL431" i="40"/>
  <c r="CK431" i="40"/>
  <c r="CJ431" i="40"/>
  <c r="CI431" i="40"/>
  <c r="DB430" i="40"/>
  <c r="CV430" i="40"/>
  <c r="CU430" i="40"/>
  <c r="CT430" i="40"/>
  <c r="CS430" i="40"/>
  <c r="CR430" i="40"/>
  <c r="CQ430" i="40"/>
  <c r="CP430" i="40"/>
  <c r="CO430" i="40"/>
  <c r="CN430" i="40"/>
  <c r="CM430" i="40"/>
  <c r="CL430" i="40"/>
  <c r="CK430" i="40"/>
  <c r="CJ430" i="40"/>
  <c r="CI430" i="40"/>
  <c r="DB429" i="40"/>
  <c r="CV429" i="40"/>
  <c r="CU429" i="40"/>
  <c r="CT429" i="40"/>
  <c r="CS429" i="40"/>
  <c r="CR429" i="40"/>
  <c r="CQ429" i="40"/>
  <c r="CP429" i="40"/>
  <c r="CO429" i="40"/>
  <c r="CN429" i="40"/>
  <c r="CM429" i="40"/>
  <c r="CL429" i="40"/>
  <c r="CK429" i="40"/>
  <c r="CJ429" i="40"/>
  <c r="CI429" i="40"/>
  <c r="DB428" i="40"/>
  <c r="CV428" i="40"/>
  <c r="CU428" i="40"/>
  <c r="CT428" i="40"/>
  <c r="CS428" i="40"/>
  <c r="CR428" i="40"/>
  <c r="CQ428" i="40"/>
  <c r="CP428" i="40"/>
  <c r="CO428" i="40"/>
  <c r="CN428" i="40"/>
  <c r="CM428" i="40"/>
  <c r="CL428" i="40"/>
  <c r="CK428" i="40"/>
  <c r="CJ428" i="40"/>
  <c r="CI428" i="40"/>
  <c r="DB427" i="40"/>
  <c r="CV427" i="40"/>
  <c r="CU427" i="40"/>
  <c r="CT427" i="40"/>
  <c r="CS427" i="40"/>
  <c r="CR427" i="40"/>
  <c r="CQ427" i="40"/>
  <c r="CP427" i="40"/>
  <c r="CO427" i="40"/>
  <c r="CN427" i="40"/>
  <c r="CM427" i="40"/>
  <c r="CL427" i="40"/>
  <c r="CK427" i="40"/>
  <c r="CJ427" i="40"/>
  <c r="CI427" i="40"/>
  <c r="DB426" i="40"/>
  <c r="CV426" i="40"/>
  <c r="CU426" i="40"/>
  <c r="CT426" i="40"/>
  <c r="CS426" i="40"/>
  <c r="CR426" i="40"/>
  <c r="CQ426" i="40"/>
  <c r="CP426" i="40"/>
  <c r="CO426" i="40"/>
  <c r="CN426" i="40"/>
  <c r="CM426" i="40"/>
  <c r="CL426" i="40"/>
  <c r="CK426" i="40"/>
  <c r="CJ426" i="40"/>
  <c r="CI426" i="40"/>
  <c r="DB425" i="40"/>
  <c r="CV425" i="40"/>
  <c r="CU425" i="40"/>
  <c r="CT425" i="40"/>
  <c r="CS425" i="40"/>
  <c r="CR425" i="40"/>
  <c r="CQ425" i="40"/>
  <c r="CP425" i="40"/>
  <c r="CO425" i="40"/>
  <c r="CN425" i="40"/>
  <c r="CM425" i="40"/>
  <c r="CL425" i="40"/>
  <c r="CK425" i="40"/>
  <c r="CJ425" i="40"/>
  <c r="CI425" i="40"/>
  <c r="DB424" i="40"/>
  <c r="CV424" i="40"/>
  <c r="CU424" i="40"/>
  <c r="CT424" i="40"/>
  <c r="CS424" i="40"/>
  <c r="CR424" i="40"/>
  <c r="CQ424" i="40"/>
  <c r="CP424" i="40"/>
  <c r="CO424" i="40"/>
  <c r="CN424" i="40"/>
  <c r="CM424" i="40"/>
  <c r="CL424" i="40"/>
  <c r="CK424" i="40"/>
  <c r="CJ424" i="40"/>
  <c r="CI424" i="40"/>
  <c r="DB423" i="40"/>
  <c r="CV423" i="40"/>
  <c r="CU423" i="40"/>
  <c r="CT423" i="40"/>
  <c r="CS423" i="40"/>
  <c r="CR423" i="40"/>
  <c r="CQ423" i="40"/>
  <c r="CP423" i="40"/>
  <c r="CO423" i="40"/>
  <c r="CN423" i="40"/>
  <c r="CM423" i="40"/>
  <c r="CL423" i="40"/>
  <c r="CK423" i="40"/>
  <c r="CJ423" i="40"/>
  <c r="CI423" i="40"/>
  <c r="DB422" i="40"/>
  <c r="CV422" i="40"/>
  <c r="CU422" i="40"/>
  <c r="CT422" i="40"/>
  <c r="CS422" i="40"/>
  <c r="CR422" i="40"/>
  <c r="CQ422" i="40"/>
  <c r="CP422" i="40"/>
  <c r="CO422" i="40"/>
  <c r="CN422" i="40"/>
  <c r="CM422" i="40"/>
  <c r="CL422" i="40"/>
  <c r="CK422" i="40"/>
  <c r="CJ422" i="40"/>
  <c r="CI422" i="40"/>
  <c r="DB421" i="40"/>
  <c r="CV421" i="40"/>
  <c r="CU421" i="40"/>
  <c r="CT421" i="40"/>
  <c r="CS421" i="40"/>
  <c r="CR421" i="40"/>
  <c r="CQ421" i="40"/>
  <c r="CP421" i="40"/>
  <c r="CO421" i="40"/>
  <c r="CN421" i="40"/>
  <c r="CM421" i="40"/>
  <c r="CL421" i="40"/>
  <c r="CK421" i="40"/>
  <c r="CJ421" i="40"/>
  <c r="CI421" i="40"/>
  <c r="DB420" i="40"/>
  <c r="CV420" i="40"/>
  <c r="CU420" i="40"/>
  <c r="CT420" i="40"/>
  <c r="CS420" i="40"/>
  <c r="CR420" i="40"/>
  <c r="CQ420" i="40"/>
  <c r="CP420" i="40"/>
  <c r="CO420" i="40"/>
  <c r="CN420" i="40"/>
  <c r="CM420" i="40"/>
  <c r="CL420" i="40"/>
  <c r="CK420" i="40"/>
  <c r="CJ420" i="40"/>
  <c r="CI420" i="40"/>
  <c r="DB419" i="40"/>
  <c r="CV419" i="40"/>
  <c r="CU419" i="40"/>
  <c r="CT419" i="40"/>
  <c r="CS419" i="40"/>
  <c r="CR419" i="40"/>
  <c r="CQ419" i="40"/>
  <c r="CP419" i="40"/>
  <c r="CO419" i="40"/>
  <c r="CN419" i="40"/>
  <c r="CM419" i="40"/>
  <c r="CL419" i="40"/>
  <c r="CK419" i="40"/>
  <c r="CJ419" i="40"/>
  <c r="CI419" i="40"/>
  <c r="DB418" i="40"/>
  <c r="CV418" i="40"/>
  <c r="CU418" i="40"/>
  <c r="CT418" i="40"/>
  <c r="CS418" i="40"/>
  <c r="CR418" i="40"/>
  <c r="CQ418" i="40"/>
  <c r="CP418" i="40"/>
  <c r="CO418" i="40"/>
  <c r="CN418" i="40"/>
  <c r="CM418" i="40"/>
  <c r="CL418" i="40"/>
  <c r="CK418" i="40"/>
  <c r="CJ418" i="40"/>
  <c r="CI418" i="40"/>
  <c r="DB417" i="40"/>
  <c r="CV417" i="40"/>
  <c r="CU417" i="40"/>
  <c r="CT417" i="40"/>
  <c r="CS417" i="40"/>
  <c r="CR417" i="40"/>
  <c r="CQ417" i="40"/>
  <c r="CP417" i="40"/>
  <c r="CO417" i="40"/>
  <c r="CN417" i="40"/>
  <c r="CM417" i="40"/>
  <c r="CL417" i="40"/>
  <c r="CK417" i="40"/>
  <c r="CJ417" i="40"/>
  <c r="CI417" i="40"/>
  <c r="DB416" i="40"/>
  <c r="CV416" i="40"/>
  <c r="CU416" i="40"/>
  <c r="CT416" i="40"/>
  <c r="CS416" i="40"/>
  <c r="CR416" i="40"/>
  <c r="CQ416" i="40"/>
  <c r="CP416" i="40"/>
  <c r="CO416" i="40"/>
  <c r="CN416" i="40"/>
  <c r="CM416" i="40"/>
  <c r="CL416" i="40"/>
  <c r="CK416" i="40"/>
  <c r="CJ416" i="40"/>
  <c r="CI416" i="40"/>
  <c r="DB415" i="40"/>
  <c r="CV415" i="40"/>
  <c r="CU415" i="40"/>
  <c r="CT415" i="40"/>
  <c r="CS415" i="40"/>
  <c r="CR415" i="40"/>
  <c r="CQ415" i="40"/>
  <c r="CP415" i="40"/>
  <c r="CO415" i="40"/>
  <c r="CN415" i="40"/>
  <c r="CM415" i="40"/>
  <c r="CL415" i="40"/>
  <c r="CK415" i="40"/>
  <c r="CJ415" i="40"/>
  <c r="CI415" i="40"/>
  <c r="DB414" i="40"/>
  <c r="CV414" i="40"/>
  <c r="CU414" i="40"/>
  <c r="CT414" i="40"/>
  <c r="CS414" i="40"/>
  <c r="CR414" i="40"/>
  <c r="CQ414" i="40"/>
  <c r="CP414" i="40"/>
  <c r="CO414" i="40"/>
  <c r="CN414" i="40"/>
  <c r="CM414" i="40"/>
  <c r="CL414" i="40"/>
  <c r="CK414" i="40"/>
  <c r="CJ414" i="40"/>
  <c r="CI414" i="40"/>
  <c r="DB413" i="40"/>
  <c r="CV413" i="40"/>
  <c r="CU413" i="40"/>
  <c r="CT413" i="40"/>
  <c r="CS413" i="40"/>
  <c r="CR413" i="40"/>
  <c r="CQ413" i="40"/>
  <c r="CP413" i="40"/>
  <c r="CO413" i="40"/>
  <c r="CN413" i="40"/>
  <c r="CM413" i="40"/>
  <c r="CL413" i="40"/>
  <c r="CK413" i="40"/>
  <c r="CJ413" i="40"/>
  <c r="CI413" i="40"/>
  <c r="DB412" i="40"/>
  <c r="CV412" i="40"/>
  <c r="CU412" i="40"/>
  <c r="CT412" i="40"/>
  <c r="CS412" i="40"/>
  <c r="CR412" i="40"/>
  <c r="CQ412" i="40"/>
  <c r="CP412" i="40"/>
  <c r="CO412" i="40"/>
  <c r="CN412" i="40"/>
  <c r="CM412" i="40"/>
  <c r="CL412" i="40"/>
  <c r="CK412" i="40"/>
  <c r="CJ412" i="40"/>
  <c r="CI412" i="40"/>
  <c r="DB411" i="40"/>
  <c r="CV411" i="40"/>
  <c r="CU411" i="40"/>
  <c r="CT411" i="40"/>
  <c r="CS411" i="40"/>
  <c r="CR411" i="40"/>
  <c r="CQ411" i="40"/>
  <c r="CP411" i="40"/>
  <c r="CO411" i="40"/>
  <c r="CN411" i="40"/>
  <c r="CM411" i="40"/>
  <c r="CL411" i="40"/>
  <c r="CK411" i="40"/>
  <c r="CJ411" i="40"/>
  <c r="CI411" i="40"/>
  <c r="DB410" i="40"/>
  <c r="CV410" i="40"/>
  <c r="CU410" i="40"/>
  <c r="CT410" i="40"/>
  <c r="CS410" i="40"/>
  <c r="CR410" i="40"/>
  <c r="CQ410" i="40"/>
  <c r="CP410" i="40"/>
  <c r="CO410" i="40"/>
  <c r="CN410" i="40"/>
  <c r="CM410" i="40"/>
  <c r="CL410" i="40"/>
  <c r="CK410" i="40"/>
  <c r="CJ410" i="40"/>
  <c r="CI410" i="40"/>
  <c r="DB409" i="40"/>
  <c r="CV409" i="40"/>
  <c r="CU409" i="40"/>
  <c r="CT409" i="40"/>
  <c r="CS409" i="40"/>
  <c r="CR409" i="40"/>
  <c r="CQ409" i="40"/>
  <c r="CP409" i="40"/>
  <c r="CO409" i="40"/>
  <c r="CN409" i="40"/>
  <c r="CM409" i="40"/>
  <c r="CL409" i="40"/>
  <c r="CK409" i="40"/>
  <c r="CJ409" i="40"/>
  <c r="CI409" i="40"/>
  <c r="DB408" i="40"/>
  <c r="CV408" i="40"/>
  <c r="CU408" i="40"/>
  <c r="CT408" i="40"/>
  <c r="CS408" i="40"/>
  <c r="CR408" i="40"/>
  <c r="CQ408" i="40"/>
  <c r="CP408" i="40"/>
  <c r="CO408" i="40"/>
  <c r="CN408" i="40"/>
  <c r="CM408" i="40"/>
  <c r="CL408" i="40"/>
  <c r="CK408" i="40"/>
  <c r="CJ408" i="40"/>
  <c r="CI408" i="40"/>
  <c r="DB407" i="40"/>
  <c r="CV407" i="40"/>
  <c r="CU407" i="40"/>
  <c r="CT407" i="40"/>
  <c r="CS407" i="40"/>
  <c r="CR407" i="40"/>
  <c r="CQ407" i="40"/>
  <c r="CP407" i="40"/>
  <c r="CO407" i="40"/>
  <c r="CN407" i="40"/>
  <c r="CM407" i="40"/>
  <c r="CL407" i="40"/>
  <c r="CK407" i="40"/>
  <c r="CJ407" i="40"/>
  <c r="CI407" i="40"/>
  <c r="DB406" i="40"/>
  <c r="CV406" i="40"/>
  <c r="CU406" i="40"/>
  <c r="CT406" i="40"/>
  <c r="CS406" i="40"/>
  <c r="CR406" i="40"/>
  <c r="CQ406" i="40"/>
  <c r="CP406" i="40"/>
  <c r="CO406" i="40"/>
  <c r="CN406" i="40"/>
  <c r="CM406" i="40"/>
  <c r="CL406" i="40"/>
  <c r="CK406" i="40"/>
  <c r="CJ406" i="40"/>
  <c r="CI406" i="40"/>
  <c r="DB405" i="40"/>
  <c r="CV405" i="40"/>
  <c r="CU405" i="40"/>
  <c r="CT405" i="40"/>
  <c r="CS405" i="40"/>
  <c r="CR405" i="40"/>
  <c r="CQ405" i="40"/>
  <c r="CP405" i="40"/>
  <c r="CO405" i="40"/>
  <c r="CN405" i="40"/>
  <c r="CM405" i="40"/>
  <c r="CL405" i="40"/>
  <c r="CK405" i="40"/>
  <c r="CJ405" i="40"/>
  <c r="CI405" i="40"/>
  <c r="DB404" i="40"/>
  <c r="CV404" i="40"/>
  <c r="CU404" i="40"/>
  <c r="CT404" i="40"/>
  <c r="CS404" i="40"/>
  <c r="CR404" i="40"/>
  <c r="CQ404" i="40"/>
  <c r="CP404" i="40"/>
  <c r="CO404" i="40"/>
  <c r="CN404" i="40"/>
  <c r="CM404" i="40"/>
  <c r="CL404" i="40"/>
  <c r="CK404" i="40"/>
  <c r="CJ404" i="40"/>
  <c r="CI404" i="40"/>
  <c r="DB403" i="40"/>
  <c r="CV403" i="40"/>
  <c r="CU403" i="40"/>
  <c r="CT403" i="40"/>
  <c r="CS403" i="40"/>
  <c r="CR403" i="40"/>
  <c r="CQ403" i="40"/>
  <c r="CP403" i="40"/>
  <c r="CO403" i="40"/>
  <c r="CN403" i="40"/>
  <c r="CM403" i="40"/>
  <c r="CL403" i="40"/>
  <c r="CK403" i="40"/>
  <c r="CJ403" i="40"/>
  <c r="CI403" i="40"/>
  <c r="DB402" i="40"/>
  <c r="CV402" i="40"/>
  <c r="CU402" i="40"/>
  <c r="CT402" i="40"/>
  <c r="CS402" i="40"/>
  <c r="CR402" i="40"/>
  <c r="CQ402" i="40"/>
  <c r="CP402" i="40"/>
  <c r="CO402" i="40"/>
  <c r="CN402" i="40"/>
  <c r="CM402" i="40"/>
  <c r="CL402" i="40"/>
  <c r="CK402" i="40"/>
  <c r="CJ402" i="40"/>
  <c r="CI402" i="40"/>
  <c r="DB401" i="40"/>
  <c r="CV401" i="40"/>
  <c r="CU401" i="40"/>
  <c r="CT401" i="40"/>
  <c r="CS401" i="40"/>
  <c r="CR401" i="40"/>
  <c r="CQ401" i="40"/>
  <c r="CP401" i="40"/>
  <c r="CO401" i="40"/>
  <c r="CN401" i="40"/>
  <c r="CM401" i="40"/>
  <c r="CL401" i="40"/>
  <c r="CK401" i="40"/>
  <c r="CJ401" i="40"/>
  <c r="CI401" i="40"/>
  <c r="DB400" i="40"/>
  <c r="CV400" i="40"/>
  <c r="CU400" i="40"/>
  <c r="CT400" i="40"/>
  <c r="CS400" i="40"/>
  <c r="CR400" i="40"/>
  <c r="CQ400" i="40"/>
  <c r="CP400" i="40"/>
  <c r="CO400" i="40"/>
  <c r="CN400" i="40"/>
  <c r="CM400" i="40"/>
  <c r="CL400" i="40"/>
  <c r="CK400" i="40"/>
  <c r="CJ400" i="40"/>
  <c r="CI400" i="40"/>
  <c r="DB399" i="40"/>
  <c r="CV399" i="40"/>
  <c r="CU399" i="40"/>
  <c r="CT399" i="40"/>
  <c r="CS399" i="40"/>
  <c r="CR399" i="40"/>
  <c r="CQ399" i="40"/>
  <c r="CP399" i="40"/>
  <c r="CO399" i="40"/>
  <c r="CN399" i="40"/>
  <c r="CM399" i="40"/>
  <c r="CL399" i="40"/>
  <c r="CK399" i="40"/>
  <c r="CJ399" i="40"/>
  <c r="CI399" i="40"/>
  <c r="DB398" i="40"/>
  <c r="CV398" i="40"/>
  <c r="CU398" i="40"/>
  <c r="CT398" i="40"/>
  <c r="CS398" i="40"/>
  <c r="CR398" i="40"/>
  <c r="CQ398" i="40"/>
  <c r="CP398" i="40"/>
  <c r="CO398" i="40"/>
  <c r="CN398" i="40"/>
  <c r="CM398" i="40"/>
  <c r="CL398" i="40"/>
  <c r="CK398" i="40"/>
  <c r="CJ398" i="40"/>
  <c r="CI398" i="40"/>
  <c r="DB397" i="40"/>
  <c r="CV397" i="40"/>
  <c r="CU397" i="40"/>
  <c r="CT397" i="40"/>
  <c r="CS397" i="40"/>
  <c r="CR397" i="40"/>
  <c r="CQ397" i="40"/>
  <c r="CP397" i="40"/>
  <c r="CO397" i="40"/>
  <c r="CN397" i="40"/>
  <c r="CM397" i="40"/>
  <c r="CL397" i="40"/>
  <c r="CK397" i="40"/>
  <c r="CJ397" i="40"/>
  <c r="CI397" i="40"/>
  <c r="DB396" i="40"/>
  <c r="CV396" i="40"/>
  <c r="CU396" i="40"/>
  <c r="CT396" i="40"/>
  <c r="CS396" i="40"/>
  <c r="CR396" i="40"/>
  <c r="CQ396" i="40"/>
  <c r="CP396" i="40"/>
  <c r="CO396" i="40"/>
  <c r="CN396" i="40"/>
  <c r="CM396" i="40"/>
  <c r="CL396" i="40"/>
  <c r="CK396" i="40"/>
  <c r="CJ396" i="40"/>
  <c r="CI396" i="40"/>
  <c r="DB395" i="40"/>
  <c r="CV395" i="40"/>
  <c r="CU395" i="40"/>
  <c r="CT395" i="40"/>
  <c r="CS395" i="40"/>
  <c r="CR395" i="40"/>
  <c r="CQ395" i="40"/>
  <c r="CP395" i="40"/>
  <c r="CO395" i="40"/>
  <c r="CN395" i="40"/>
  <c r="CM395" i="40"/>
  <c r="CL395" i="40"/>
  <c r="CK395" i="40"/>
  <c r="CJ395" i="40"/>
  <c r="CI395" i="40"/>
  <c r="DB394" i="40"/>
  <c r="CV394" i="40"/>
  <c r="CU394" i="40"/>
  <c r="CT394" i="40"/>
  <c r="CS394" i="40"/>
  <c r="CR394" i="40"/>
  <c r="CQ394" i="40"/>
  <c r="CP394" i="40"/>
  <c r="CO394" i="40"/>
  <c r="CN394" i="40"/>
  <c r="CM394" i="40"/>
  <c r="CL394" i="40"/>
  <c r="CK394" i="40"/>
  <c r="CJ394" i="40"/>
  <c r="CI394" i="40"/>
  <c r="DB393" i="40"/>
  <c r="CV393" i="40"/>
  <c r="CU393" i="40"/>
  <c r="CT393" i="40"/>
  <c r="CS393" i="40"/>
  <c r="CR393" i="40"/>
  <c r="CQ393" i="40"/>
  <c r="CP393" i="40"/>
  <c r="CO393" i="40"/>
  <c r="CN393" i="40"/>
  <c r="CM393" i="40"/>
  <c r="CL393" i="40"/>
  <c r="CK393" i="40"/>
  <c r="CJ393" i="40"/>
  <c r="CI393" i="40"/>
  <c r="DB392" i="40"/>
  <c r="CV392" i="40"/>
  <c r="CU392" i="40"/>
  <c r="CT392" i="40"/>
  <c r="CS392" i="40"/>
  <c r="CR392" i="40"/>
  <c r="CQ392" i="40"/>
  <c r="CP392" i="40"/>
  <c r="CO392" i="40"/>
  <c r="CN392" i="40"/>
  <c r="CM392" i="40"/>
  <c r="CL392" i="40"/>
  <c r="CK392" i="40"/>
  <c r="CJ392" i="40"/>
  <c r="CI392" i="40"/>
  <c r="DB391" i="40"/>
  <c r="CV391" i="40"/>
  <c r="CU391" i="40"/>
  <c r="CT391" i="40"/>
  <c r="CS391" i="40"/>
  <c r="CR391" i="40"/>
  <c r="CQ391" i="40"/>
  <c r="CP391" i="40"/>
  <c r="CO391" i="40"/>
  <c r="CN391" i="40"/>
  <c r="CM391" i="40"/>
  <c r="CL391" i="40"/>
  <c r="CK391" i="40"/>
  <c r="CJ391" i="40"/>
  <c r="CI391" i="40"/>
  <c r="DB390" i="40"/>
  <c r="CV390" i="40"/>
  <c r="CU390" i="40"/>
  <c r="CT390" i="40"/>
  <c r="CS390" i="40"/>
  <c r="CR390" i="40"/>
  <c r="CQ390" i="40"/>
  <c r="CP390" i="40"/>
  <c r="CO390" i="40"/>
  <c r="CN390" i="40"/>
  <c r="CM390" i="40"/>
  <c r="CL390" i="40"/>
  <c r="CK390" i="40"/>
  <c r="CJ390" i="40"/>
  <c r="CI390" i="40"/>
  <c r="DB389" i="40"/>
  <c r="CV389" i="40"/>
  <c r="CU389" i="40"/>
  <c r="CT389" i="40"/>
  <c r="CS389" i="40"/>
  <c r="CR389" i="40"/>
  <c r="CQ389" i="40"/>
  <c r="CP389" i="40"/>
  <c r="CO389" i="40"/>
  <c r="CN389" i="40"/>
  <c r="CM389" i="40"/>
  <c r="CL389" i="40"/>
  <c r="CK389" i="40"/>
  <c r="CJ389" i="40"/>
  <c r="CI389" i="40"/>
  <c r="DB388" i="40"/>
  <c r="CV388" i="40"/>
  <c r="CU388" i="40"/>
  <c r="CT388" i="40"/>
  <c r="CS388" i="40"/>
  <c r="CR388" i="40"/>
  <c r="CQ388" i="40"/>
  <c r="CP388" i="40"/>
  <c r="CO388" i="40"/>
  <c r="CN388" i="40"/>
  <c r="CM388" i="40"/>
  <c r="CL388" i="40"/>
  <c r="CK388" i="40"/>
  <c r="CJ388" i="40"/>
  <c r="CI388" i="40"/>
  <c r="DB387" i="40"/>
  <c r="CV387" i="40"/>
  <c r="CU387" i="40"/>
  <c r="CT387" i="40"/>
  <c r="CS387" i="40"/>
  <c r="CR387" i="40"/>
  <c r="CQ387" i="40"/>
  <c r="CP387" i="40"/>
  <c r="CO387" i="40"/>
  <c r="CN387" i="40"/>
  <c r="CM387" i="40"/>
  <c r="CL387" i="40"/>
  <c r="CK387" i="40"/>
  <c r="CJ387" i="40"/>
  <c r="CI387" i="40"/>
  <c r="DB386" i="40"/>
  <c r="CV386" i="40"/>
  <c r="CU386" i="40"/>
  <c r="CT386" i="40"/>
  <c r="CS386" i="40"/>
  <c r="CR386" i="40"/>
  <c r="CQ386" i="40"/>
  <c r="CP386" i="40"/>
  <c r="CO386" i="40"/>
  <c r="CN386" i="40"/>
  <c r="CM386" i="40"/>
  <c r="CL386" i="40"/>
  <c r="CK386" i="40"/>
  <c r="CJ386" i="40"/>
  <c r="CI386" i="40"/>
  <c r="DB385" i="40"/>
  <c r="CV385" i="40"/>
  <c r="CU385" i="40"/>
  <c r="CT385" i="40"/>
  <c r="CS385" i="40"/>
  <c r="CR385" i="40"/>
  <c r="CQ385" i="40"/>
  <c r="CP385" i="40"/>
  <c r="CO385" i="40"/>
  <c r="CN385" i="40"/>
  <c r="CM385" i="40"/>
  <c r="CL385" i="40"/>
  <c r="CK385" i="40"/>
  <c r="CJ385" i="40"/>
  <c r="CI385" i="40"/>
  <c r="DB384" i="40"/>
  <c r="CV384" i="40"/>
  <c r="CU384" i="40"/>
  <c r="CT384" i="40"/>
  <c r="CS384" i="40"/>
  <c r="CR384" i="40"/>
  <c r="CQ384" i="40"/>
  <c r="CP384" i="40"/>
  <c r="CO384" i="40"/>
  <c r="CN384" i="40"/>
  <c r="CM384" i="40"/>
  <c r="CL384" i="40"/>
  <c r="CK384" i="40"/>
  <c r="CJ384" i="40"/>
  <c r="CI384" i="40"/>
  <c r="DB383" i="40"/>
  <c r="CV383" i="40"/>
  <c r="CU383" i="40"/>
  <c r="CT383" i="40"/>
  <c r="CS383" i="40"/>
  <c r="CR383" i="40"/>
  <c r="CQ383" i="40"/>
  <c r="CP383" i="40"/>
  <c r="CO383" i="40"/>
  <c r="CN383" i="40"/>
  <c r="CM383" i="40"/>
  <c r="CL383" i="40"/>
  <c r="CK383" i="40"/>
  <c r="CJ383" i="40"/>
  <c r="CI383" i="40"/>
  <c r="DB382" i="40"/>
  <c r="CV382" i="40"/>
  <c r="CU382" i="40"/>
  <c r="CT382" i="40"/>
  <c r="CS382" i="40"/>
  <c r="CR382" i="40"/>
  <c r="CQ382" i="40"/>
  <c r="CP382" i="40"/>
  <c r="CO382" i="40"/>
  <c r="CN382" i="40"/>
  <c r="CM382" i="40"/>
  <c r="CL382" i="40"/>
  <c r="CK382" i="40"/>
  <c r="CJ382" i="40"/>
  <c r="CI382" i="40"/>
  <c r="DB381" i="40"/>
  <c r="CV381" i="40"/>
  <c r="CU381" i="40"/>
  <c r="CT381" i="40"/>
  <c r="CS381" i="40"/>
  <c r="CR381" i="40"/>
  <c r="CQ381" i="40"/>
  <c r="CP381" i="40"/>
  <c r="CO381" i="40"/>
  <c r="CN381" i="40"/>
  <c r="CM381" i="40"/>
  <c r="CL381" i="40"/>
  <c r="CK381" i="40"/>
  <c r="CJ381" i="40"/>
  <c r="CI381" i="40"/>
  <c r="DB380" i="40"/>
  <c r="CV380" i="40"/>
  <c r="CU380" i="40"/>
  <c r="CT380" i="40"/>
  <c r="CS380" i="40"/>
  <c r="CR380" i="40"/>
  <c r="CQ380" i="40"/>
  <c r="CP380" i="40"/>
  <c r="CO380" i="40"/>
  <c r="CN380" i="40"/>
  <c r="CM380" i="40"/>
  <c r="CL380" i="40"/>
  <c r="CK380" i="40"/>
  <c r="CJ380" i="40"/>
  <c r="CI380" i="40"/>
  <c r="DB379" i="40"/>
  <c r="CV379" i="40"/>
  <c r="CU379" i="40"/>
  <c r="CT379" i="40"/>
  <c r="CS379" i="40"/>
  <c r="CR379" i="40"/>
  <c r="CQ379" i="40"/>
  <c r="CP379" i="40"/>
  <c r="CO379" i="40"/>
  <c r="CN379" i="40"/>
  <c r="CM379" i="40"/>
  <c r="CL379" i="40"/>
  <c r="CK379" i="40"/>
  <c r="CJ379" i="40"/>
  <c r="CI379" i="40"/>
  <c r="DB378" i="40"/>
  <c r="CV378" i="40"/>
  <c r="CU378" i="40"/>
  <c r="CT378" i="40"/>
  <c r="CS378" i="40"/>
  <c r="CR378" i="40"/>
  <c r="CQ378" i="40"/>
  <c r="CP378" i="40"/>
  <c r="CO378" i="40"/>
  <c r="CN378" i="40"/>
  <c r="CM378" i="40"/>
  <c r="CL378" i="40"/>
  <c r="CK378" i="40"/>
  <c r="CJ378" i="40"/>
  <c r="CI378" i="40"/>
  <c r="DB377" i="40"/>
  <c r="CV377" i="40"/>
  <c r="CU377" i="40"/>
  <c r="CT377" i="40"/>
  <c r="CS377" i="40"/>
  <c r="CR377" i="40"/>
  <c r="CQ377" i="40"/>
  <c r="CP377" i="40"/>
  <c r="CO377" i="40"/>
  <c r="CN377" i="40"/>
  <c r="CM377" i="40"/>
  <c r="CL377" i="40"/>
  <c r="CK377" i="40"/>
  <c r="CJ377" i="40"/>
  <c r="CI377" i="40"/>
  <c r="DB376" i="40"/>
  <c r="CV376" i="40"/>
  <c r="CU376" i="40"/>
  <c r="CT376" i="40"/>
  <c r="CS376" i="40"/>
  <c r="CR376" i="40"/>
  <c r="CQ376" i="40"/>
  <c r="CP376" i="40"/>
  <c r="CO376" i="40"/>
  <c r="CN376" i="40"/>
  <c r="CM376" i="40"/>
  <c r="CL376" i="40"/>
  <c r="CK376" i="40"/>
  <c r="CJ376" i="40"/>
  <c r="CI376" i="40"/>
  <c r="DB375" i="40"/>
  <c r="CV375" i="40"/>
  <c r="CU375" i="40"/>
  <c r="CT375" i="40"/>
  <c r="CS375" i="40"/>
  <c r="CR375" i="40"/>
  <c r="CQ375" i="40"/>
  <c r="CP375" i="40"/>
  <c r="CO375" i="40"/>
  <c r="CN375" i="40"/>
  <c r="CM375" i="40"/>
  <c r="CL375" i="40"/>
  <c r="CK375" i="40"/>
  <c r="CJ375" i="40"/>
  <c r="CI375" i="40"/>
  <c r="DB374" i="40"/>
  <c r="CV374" i="40"/>
  <c r="CU374" i="40"/>
  <c r="CT374" i="40"/>
  <c r="CS374" i="40"/>
  <c r="CR374" i="40"/>
  <c r="CQ374" i="40"/>
  <c r="CP374" i="40"/>
  <c r="CO374" i="40"/>
  <c r="CN374" i="40"/>
  <c r="CM374" i="40"/>
  <c r="CL374" i="40"/>
  <c r="CK374" i="40"/>
  <c r="CJ374" i="40"/>
  <c r="CI374" i="40"/>
  <c r="DB373" i="40"/>
  <c r="CV373" i="40"/>
  <c r="CU373" i="40"/>
  <c r="CT373" i="40"/>
  <c r="CS373" i="40"/>
  <c r="CR373" i="40"/>
  <c r="CQ373" i="40"/>
  <c r="CP373" i="40"/>
  <c r="CO373" i="40"/>
  <c r="CN373" i="40"/>
  <c r="CM373" i="40"/>
  <c r="CL373" i="40"/>
  <c r="CK373" i="40"/>
  <c r="CJ373" i="40"/>
  <c r="CI373" i="40"/>
  <c r="DB372" i="40"/>
  <c r="CV372" i="40"/>
  <c r="CU372" i="40"/>
  <c r="CT372" i="40"/>
  <c r="CS372" i="40"/>
  <c r="CR372" i="40"/>
  <c r="CQ372" i="40"/>
  <c r="CP372" i="40"/>
  <c r="CO372" i="40"/>
  <c r="CN372" i="40"/>
  <c r="CM372" i="40"/>
  <c r="CL372" i="40"/>
  <c r="CK372" i="40"/>
  <c r="CJ372" i="40"/>
  <c r="CI372" i="40"/>
  <c r="DB371" i="40"/>
  <c r="CV371" i="40"/>
  <c r="CU371" i="40"/>
  <c r="CT371" i="40"/>
  <c r="CS371" i="40"/>
  <c r="CR371" i="40"/>
  <c r="CQ371" i="40"/>
  <c r="CP371" i="40"/>
  <c r="CO371" i="40"/>
  <c r="CN371" i="40"/>
  <c r="CM371" i="40"/>
  <c r="CL371" i="40"/>
  <c r="CK371" i="40"/>
  <c r="CJ371" i="40"/>
  <c r="CI371" i="40"/>
  <c r="DB370" i="40"/>
  <c r="CV370" i="40"/>
  <c r="CU370" i="40"/>
  <c r="CT370" i="40"/>
  <c r="CS370" i="40"/>
  <c r="CR370" i="40"/>
  <c r="CQ370" i="40"/>
  <c r="CP370" i="40"/>
  <c r="CO370" i="40"/>
  <c r="CN370" i="40"/>
  <c r="CM370" i="40"/>
  <c r="CL370" i="40"/>
  <c r="CK370" i="40"/>
  <c r="CJ370" i="40"/>
  <c r="CI370" i="40"/>
  <c r="DB369" i="40"/>
  <c r="CV369" i="40"/>
  <c r="CU369" i="40"/>
  <c r="CT369" i="40"/>
  <c r="CS369" i="40"/>
  <c r="CR369" i="40"/>
  <c r="CQ369" i="40"/>
  <c r="CP369" i="40"/>
  <c r="CO369" i="40"/>
  <c r="CN369" i="40"/>
  <c r="CM369" i="40"/>
  <c r="CL369" i="40"/>
  <c r="CK369" i="40"/>
  <c r="CJ369" i="40"/>
  <c r="CI369" i="40"/>
  <c r="DB368" i="40"/>
  <c r="CV368" i="40"/>
  <c r="CU368" i="40"/>
  <c r="CT368" i="40"/>
  <c r="CS368" i="40"/>
  <c r="CR368" i="40"/>
  <c r="CQ368" i="40"/>
  <c r="CP368" i="40"/>
  <c r="CO368" i="40"/>
  <c r="CN368" i="40"/>
  <c r="CM368" i="40"/>
  <c r="CL368" i="40"/>
  <c r="CK368" i="40"/>
  <c r="CJ368" i="40"/>
  <c r="CI368" i="40"/>
  <c r="DB367" i="40"/>
  <c r="CV367" i="40"/>
  <c r="CU367" i="40"/>
  <c r="CT367" i="40"/>
  <c r="CS367" i="40"/>
  <c r="CR367" i="40"/>
  <c r="CQ367" i="40"/>
  <c r="CP367" i="40"/>
  <c r="CO367" i="40"/>
  <c r="CN367" i="40"/>
  <c r="CM367" i="40"/>
  <c r="CL367" i="40"/>
  <c r="CK367" i="40"/>
  <c r="CJ367" i="40"/>
  <c r="CI367" i="40"/>
  <c r="DB366" i="40"/>
  <c r="CV366" i="40"/>
  <c r="CU366" i="40"/>
  <c r="CT366" i="40"/>
  <c r="CS366" i="40"/>
  <c r="CR366" i="40"/>
  <c r="CQ366" i="40"/>
  <c r="CP366" i="40"/>
  <c r="CO366" i="40"/>
  <c r="CN366" i="40"/>
  <c r="CM366" i="40"/>
  <c r="CL366" i="40"/>
  <c r="CK366" i="40"/>
  <c r="CJ366" i="40"/>
  <c r="CI366" i="40"/>
  <c r="DB365" i="40"/>
  <c r="CV365" i="40"/>
  <c r="CU365" i="40"/>
  <c r="CT365" i="40"/>
  <c r="CS365" i="40"/>
  <c r="CR365" i="40"/>
  <c r="CQ365" i="40"/>
  <c r="CP365" i="40"/>
  <c r="CO365" i="40"/>
  <c r="CN365" i="40"/>
  <c r="CM365" i="40"/>
  <c r="CL365" i="40"/>
  <c r="CK365" i="40"/>
  <c r="CJ365" i="40"/>
  <c r="CI365" i="40"/>
  <c r="DB364" i="40"/>
  <c r="CV364" i="40"/>
  <c r="CU364" i="40"/>
  <c r="CT364" i="40"/>
  <c r="CS364" i="40"/>
  <c r="CR364" i="40"/>
  <c r="CQ364" i="40"/>
  <c r="CP364" i="40"/>
  <c r="CO364" i="40"/>
  <c r="CN364" i="40"/>
  <c r="CM364" i="40"/>
  <c r="CL364" i="40"/>
  <c r="CK364" i="40"/>
  <c r="CJ364" i="40"/>
  <c r="CI364" i="40"/>
  <c r="DB363" i="40"/>
  <c r="CV363" i="40"/>
  <c r="CU363" i="40"/>
  <c r="CT363" i="40"/>
  <c r="CS363" i="40"/>
  <c r="CR363" i="40"/>
  <c r="CQ363" i="40"/>
  <c r="CP363" i="40"/>
  <c r="CO363" i="40"/>
  <c r="CN363" i="40"/>
  <c r="CM363" i="40"/>
  <c r="CL363" i="40"/>
  <c r="CK363" i="40"/>
  <c r="CJ363" i="40"/>
  <c r="CI363" i="40"/>
  <c r="DB362" i="40"/>
  <c r="CV362" i="40"/>
  <c r="CU362" i="40"/>
  <c r="CT362" i="40"/>
  <c r="CS362" i="40"/>
  <c r="CR362" i="40"/>
  <c r="CQ362" i="40"/>
  <c r="CP362" i="40"/>
  <c r="CO362" i="40"/>
  <c r="CN362" i="40"/>
  <c r="CM362" i="40"/>
  <c r="CL362" i="40"/>
  <c r="CK362" i="40"/>
  <c r="CJ362" i="40"/>
  <c r="CI362" i="40"/>
  <c r="DB361" i="40"/>
  <c r="CV361" i="40"/>
  <c r="CU361" i="40"/>
  <c r="CT361" i="40"/>
  <c r="CS361" i="40"/>
  <c r="CR361" i="40"/>
  <c r="CQ361" i="40"/>
  <c r="CP361" i="40"/>
  <c r="CO361" i="40"/>
  <c r="CN361" i="40"/>
  <c r="CM361" i="40"/>
  <c r="CL361" i="40"/>
  <c r="CK361" i="40"/>
  <c r="CJ361" i="40"/>
  <c r="CI361" i="40"/>
  <c r="DB360" i="40"/>
  <c r="CV360" i="40"/>
  <c r="CU360" i="40"/>
  <c r="CT360" i="40"/>
  <c r="CS360" i="40"/>
  <c r="CR360" i="40"/>
  <c r="CQ360" i="40"/>
  <c r="CP360" i="40"/>
  <c r="CO360" i="40"/>
  <c r="CN360" i="40"/>
  <c r="CM360" i="40"/>
  <c r="CL360" i="40"/>
  <c r="CK360" i="40"/>
  <c r="CJ360" i="40"/>
  <c r="CI360" i="40"/>
  <c r="DB359" i="40"/>
  <c r="CV359" i="40"/>
  <c r="CU359" i="40"/>
  <c r="CT359" i="40"/>
  <c r="CS359" i="40"/>
  <c r="CR359" i="40"/>
  <c r="CQ359" i="40"/>
  <c r="CP359" i="40"/>
  <c r="CO359" i="40"/>
  <c r="CN359" i="40"/>
  <c r="CM359" i="40"/>
  <c r="CL359" i="40"/>
  <c r="CK359" i="40"/>
  <c r="CJ359" i="40"/>
  <c r="CI359" i="40"/>
  <c r="DB358" i="40"/>
  <c r="CV358" i="40"/>
  <c r="CU358" i="40"/>
  <c r="CT358" i="40"/>
  <c r="CS358" i="40"/>
  <c r="CR358" i="40"/>
  <c r="CQ358" i="40"/>
  <c r="CP358" i="40"/>
  <c r="CO358" i="40"/>
  <c r="CN358" i="40"/>
  <c r="CM358" i="40"/>
  <c r="CL358" i="40"/>
  <c r="CK358" i="40"/>
  <c r="CJ358" i="40"/>
  <c r="CI358" i="40"/>
  <c r="DB357" i="40"/>
  <c r="CV357" i="40"/>
  <c r="CU357" i="40"/>
  <c r="CT357" i="40"/>
  <c r="CS357" i="40"/>
  <c r="CR357" i="40"/>
  <c r="CQ357" i="40"/>
  <c r="CP357" i="40"/>
  <c r="CO357" i="40"/>
  <c r="CN357" i="40"/>
  <c r="CM357" i="40"/>
  <c r="CL357" i="40"/>
  <c r="CK357" i="40"/>
  <c r="CJ357" i="40"/>
  <c r="CI357" i="40"/>
  <c r="DB356" i="40"/>
  <c r="CV356" i="40"/>
  <c r="CU356" i="40"/>
  <c r="CT356" i="40"/>
  <c r="CS356" i="40"/>
  <c r="CR356" i="40"/>
  <c r="CQ356" i="40"/>
  <c r="CP356" i="40"/>
  <c r="CO356" i="40"/>
  <c r="CN356" i="40"/>
  <c r="CM356" i="40"/>
  <c r="CL356" i="40"/>
  <c r="CK356" i="40"/>
  <c r="CJ356" i="40"/>
  <c r="CI356" i="40"/>
  <c r="DB355" i="40"/>
  <c r="CV355" i="40"/>
  <c r="CU355" i="40"/>
  <c r="CT355" i="40"/>
  <c r="CS355" i="40"/>
  <c r="CR355" i="40"/>
  <c r="CQ355" i="40"/>
  <c r="CP355" i="40"/>
  <c r="CO355" i="40"/>
  <c r="CN355" i="40"/>
  <c r="CM355" i="40"/>
  <c r="CL355" i="40"/>
  <c r="CK355" i="40"/>
  <c r="CJ355" i="40"/>
  <c r="CI355" i="40"/>
  <c r="DB354" i="40"/>
  <c r="CV354" i="40"/>
  <c r="CU354" i="40"/>
  <c r="CT354" i="40"/>
  <c r="CS354" i="40"/>
  <c r="CR354" i="40"/>
  <c r="CQ354" i="40"/>
  <c r="CP354" i="40"/>
  <c r="CO354" i="40"/>
  <c r="CN354" i="40"/>
  <c r="CM354" i="40"/>
  <c r="CL354" i="40"/>
  <c r="CK354" i="40"/>
  <c r="CJ354" i="40"/>
  <c r="CI354" i="40"/>
  <c r="DB353" i="40"/>
  <c r="CV353" i="40"/>
  <c r="CU353" i="40"/>
  <c r="CT353" i="40"/>
  <c r="CS353" i="40"/>
  <c r="CR353" i="40"/>
  <c r="CQ353" i="40"/>
  <c r="CP353" i="40"/>
  <c r="CO353" i="40"/>
  <c r="CN353" i="40"/>
  <c r="CM353" i="40"/>
  <c r="CL353" i="40"/>
  <c r="CK353" i="40"/>
  <c r="CJ353" i="40"/>
  <c r="CI353" i="40"/>
  <c r="DB352" i="40"/>
  <c r="CV352" i="40"/>
  <c r="CU352" i="40"/>
  <c r="CT352" i="40"/>
  <c r="CS352" i="40"/>
  <c r="CR352" i="40"/>
  <c r="CQ352" i="40"/>
  <c r="CP352" i="40"/>
  <c r="CO352" i="40"/>
  <c r="CN352" i="40"/>
  <c r="CM352" i="40"/>
  <c r="CL352" i="40"/>
  <c r="CK352" i="40"/>
  <c r="CJ352" i="40"/>
  <c r="CI352" i="40"/>
  <c r="DB351" i="40"/>
  <c r="CV351" i="40"/>
  <c r="CU351" i="40"/>
  <c r="CT351" i="40"/>
  <c r="CS351" i="40"/>
  <c r="CR351" i="40"/>
  <c r="CQ351" i="40"/>
  <c r="CP351" i="40"/>
  <c r="CO351" i="40"/>
  <c r="CN351" i="40"/>
  <c r="CM351" i="40"/>
  <c r="CL351" i="40"/>
  <c r="CK351" i="40"/>
  <c r="CJ351" i="40"/>
  <c r="CI351" i="40"/>
  <c r="DB350" i="40"/>
  <c r="CV350" i="40"/>
  <c r="CU350" i="40"/>
  <c r="CT350" i="40"/>
  <c r="CS350" i="40"/>
  <c r="CR350" i="40"/>
  <c r="CQ350" i="40"/>
  <c r="CP350" i="40"/>
  <c r="CO350" i="40"/>
  <c r="CN350" i="40"/>
  <c r="CM350" i="40"/>
  <c r="CL350" i="40"/>
  <c r="CK350" i="40"/>
  <c r="CJ350" i="40"/>
  <c r="CI350" i="40"/>
  <c r="DB349" i="40"/>
  <c r="CV349" i="40"/>
  <c r="CU349" i="40"/>
  <c r="CT349" i="40"/>
  <c r="CS349" i="40"/>
  <c r="CR349" i="40"/>
  <c r="CQ349" i="40"/>
  <c r="CP349" i="40"/>
  <c r="CO349" i="40"/>
  <c r="CN349" i="40"/>
  <c r="CM349" i="40"/>
  <c r="CL349" i="40"/>
  <c r="CK349" i="40"/>
  <c r="CJ349" i="40"/>
  <c r="CI349" i="40"/>
  <c r="DB348" i="40"/>
  <c r="CV348" i="40"/>
  <c r="CU348" i="40"/>
  <c r="CT348" i="40"/>
  <c r="CS348" i="40"/>
  <c r="CR348" i="40"/>
  <c r="CQ348" i="40"/>
  <c r="CP348" i="40"/>
  <c r="CO348" i="40"/>
  <c r="CN348" i="40"/>
  <c r="CM348" i="40"/>
  <c r="CL348" i="40"/>
  <c r="CK348" i="40"/>
  <c r="CJ348" i="40"/>
  <c r="CI348" i="40"/>
  <c r="DB347" i="40"/>
  <c r="CV347" i="40"/>
  <c r="CU347" i="40"/>
  <c r="CT347" i="40"/>
  <c r="CS347" i="40"/>
  <c r="CR347" i="40"/>
  <c r="CQ347" i="40"/>
  <c r="CP347" i="40"/>
  <c r="CO347" i="40"/>
  <c r="CN347" i="40"/>
  <c r="CM347" i="40"/>
  <c r="CL347" i="40"/>
  <c r="CK347" i="40"/>
  <c r="CJ347" i="40"/>
  <c r="CI347" i="40"/>
  <c r="DB346" i="40"/>
  <c r="CV346" i="40"/>
  <c r="CU346" i="40"/>
  <c r="CT346" i="40"/>
  <c r="CS346" i="40"/>
  <c r="CR346" i="40"/>
  <c r="CQ346" i="40"/>
  <c r="CP346" i="40"/>
  <c r="CO346" i="40"/>
  <c r="CN346" i="40"/>
  <c r="CM346" i="40"/>
  <c r="CL346" i="40"/>
  <c r="CK346" i="40"/>
  <c r="CJ346" i="40"/>
  <c r="CI346" i="40"/>
  <c r="DB345" i="40"/>
  <c r="CV345" i="40"/>
  <c r="CU345" i="40"/>
  <c r="CT345" i="40"/>
  <c r="CS345" i="40"/>
  <c r="CR345" i="40"/>
  <c r="CQ345" i="40"/>
  <c r="CP345" i="40"/>
  <c r="CO345" i="40"/>
  <c r="CN345" i="40"/>
  <c r="CM345" i="40"/>
  <c r="CL345" i="40"/>
  <c r="CK345" i="40"/>
  <c r="CJ345" i="40"/>
  <c r="CI345" i="40"/>
  <c r="DB344" i="40"/>
  <c r="CV344" i="40"/>
  <c r="CU344" i="40"/>
  <c r="CT344" i="40"/>
  <c r="CS344" i="40"/>
  <c r="CR344" i="40"/>
  <c r="CQ344" i="40"/>
  <c r="CP344" i="40"/>
  <c r="CO344" i="40"/>
  <c r="CN344" i="40"/>
  <c r="CM344" i="40"/>
  <c r="CL344" i="40"/>
  <c r="CK344" i="40"/>
  <c r="CJ344" i="40"/>
  <c r="CI344" i="40"/>
  <c r="DB343" i="40"/>
  <c r="CV343" i="40"/>
  <c r="CU343" i="40"/>
  <c r="CT343" i="40"/>
  <c r="CS343" i="40"/>
  <c r="CR343" i="40"/>
  <c r="CQ343" i="40"/>
  <c r="CP343" i="40"/>
  <c r="CO343" i="40"/>
  <c r="CN343" i="40"/>
  <c r="CM343" i="40"/>
  <c r="CL343" i="40"/>
  <c r="CK343" i="40"/>
  <c r="CJ343" i="40"/>
  <c r="CI343" i="40"/>
  <c r="DB342" i="40"/>
  <c r="CV342" i="40"/>
  <c r="CU342" i="40"/>
  <c r="CT342" i="40"/>
  <c r="CS342" i="40"/>
  <c r="CR342" i="40"/>
  <c r="CQ342" i="40"/>
  <c r="CP342" i="40"/>
  <c r="CO342" i="40"/>
  <c r="CN342" i="40"/>
  <c r="CM342" i="40"/>
  <c r="CL342" i="40"/>
  <c r="CK342" i="40"/>
  <c r="CJ342" i="40"/>
  <c r="CI342" i="40"/>
  <c r="DB341" i="40"/>
  <c r="CV341" i="40"/>
  <c r="CU341" i="40"/>
  <c r="CT341" i="40"/>
  <c r="CS341" i="40"/>
  <c r="CR341" i="40"/>
  <c r="CQ341" i="40"/>
  <c r="CP341" i="40"/>
  <c r="CO341" i="40"/>
  <c r="CN341" i="40"/>
  <c r="CM341" i="40"/>
  <c r="CL341" i="40"/>
  <c r="CK341" i="40"/>
  <c r="CJ341" i="40"/>
  <c r="CI341" i="40"/>
  <c r="DB340" i="40"/>
  <c r="CV340" i="40"/>
  <c r="CU340" i="40"/>
  <c r="CT340" i="40"/>
  <c r="CS340" i="40"/>
  <c r="CR340" i="40"/>
  <c r="CQ340" i="40"/>
  <c r="CP340" i="40"/>
  <c r="CO340" i="40"/>
  <c r="CN340" i="40"/>
  <c r="CM340" i="40"/>
  <c r="CL340" i="40"/>
  <c r="CK340" i="40"/>
  <c r="CJ340" i="40"/>
  <c r="CI340" i="40"/>
  <c r="DB339" i="40"/>
  <c r="CV339" i="40"/>
  <c r="CU339" i="40"/>
  <c r="CT339" i="40"/>
  <c r="CS339" i="40"/>
  <c r="CR339" i="40"/>
  <c r="CQ339" i="40"/>
  <c r="CP339" i="40"/>
  <c r="CO339" i="40"/>
  <c r="CN339" i="40"/>
  <c r="CM339" i="40"/>
  <c r="CL339" i="40"/>
  <c r="CK339" i="40"/>
  <c r="CJ339" i="40"/>
  <c r="CI339" i="40"/>
  <c r="DB338" i="40"/>
  <c r="CV338" i="40"/>
  <c r="CU338" i="40"/>
  <c r="CT338" i="40"/>
  <c r="CS338" i="40"/>
  <c r="CR338" i="40"/>
  <c r="CQ338" i="40"/>
  <c r="CP338" i="40"/>
  <c r="CO338" i="40"/>
  <c r="CN338" i="40"/>
  <c r="CM338" i="40"/>
  <c r="CL338" i="40"/>
  <c r="CK338" i="40"/>
  <c r="CJ338" i="40"/>
  <c r="CI338" i="40"/>
  <c r="DB337" i="40"/>
  <c r="CV337" i="40"/>
  <c r="CU337" i="40"/>
  <c r="CT337" i="40"/>
  <c r="CS337" i="40"/>
  <c r="CR337" i="40"/>
  <c r="CQ337" i="40"/>
  <c r="CP337" i="40"/>
  <c r="CO337" i="40"/>
  <c r="CN337" i="40"/>
  <c r="CM337" i="40"/>
  <c r="CL337" i="40"/>
  <c r="CK337" i="40"/>
  <c r="CJ337" i="40"/>
  <c r="CI337" i="40"/>
  <c r="DB336" i="40"/>
  <c r="CV336" i="40"/>
  <c r="CU336" i="40"/>
  <c r="CT336" i="40"/>
  <c r="CS336" i="40"/>
  <c r="CR336" i="40"/>
  <c r="CQ336" i="40"/>
  <c r="CP336" i="40"/>
  <c r="CO336" i="40"/>
  <c r="CN336" i="40"/>
  <c r="CM336" i="40"/>
  <c r="CL336" i="40"/>
  <c r="CK336" i="40"/>
  <c r="CJ336" i="40"/>
  <c r="CI336" i="40"/>
  <c r="DB335" i="40"/>
  <c r="CV335" i="40"/>
  <c r="CU335" i="40"/>
  <c r="CT335" i="40"/>
  <c r="CS335" i="40"/>
  <c r="CR335" i="40"/>
  <c r="CQ335" i="40"/>
  <c r="CP335" i="40"/>
  <c r="CO335" i="40"/>
  <c r="CN335" i="40"/>
  <c r="CM335" i="40"/>
  <c r="CL335" i="40"/>
  <c r="CK335" i="40"/>
  <c r="CJ335" i="40"/>
  <c r="CI335" i="40"/>
  <c r="DB334" i="40"/>
  <c r="CV334" i="40"/>
  <c r="CU334" i="40"/>
  <c r="CT334" i="40"/>
  <c r="CS334" i="40"/>
  <c r="CR334" i="40"/>
  <c r="CQ334" i="40"/>
  <c r="CP334" i="40"/>
  <c r="CO334" i="40"/>
  <c r="CN334" i="40"/>
  <c r="CM334" i="40"/>
  <c r="CL334" i="40"/>
  <c r="CK334" i="40"/>
  <c r="CJ334" i="40"/>
  <c r="CI334" i="40"/>
  <c r="DB333" i="40"/>
  <c r="CV333" i="40"/>
  <c r="CU333" i="40"/>
  <c r="CT333" i="40"/>
  <c r="CS333" i="40"/>
  <c r="CR333" i="40"/>
  <c r="CQ333" i="40"/>
  <c r="CP333" i="40"/>
  <c r="CO333" i="40"/>
  <c r="CN333" i="40"/>
  <c r="CM333" i="40"/>
  <c r="CL333" i="40"/>
  <c r="CK333" i="40"/>
  <c r="CJ333" i="40"/>
  <c r="CI333" i="40"/>
  <c r="DB332" i="40"/>
  <c r="CV332" i="40"/>
  <c r="CU332" i="40"/>
  <c r="CT332" i="40"/>
  <c r="CS332" i="40"/>
  <c r="CR332" i="40"/>
  <c r="CQ332" i="40"/>
  <c r="CP332" i="40"/>
  <c r="CO332" i="40"/>
  <c r="CN332" i="40"/>
  <c r="CM332" i="40"/>
  <c r="CL332" i="40"/>
  <c r="CK332" i="40"/>
  <c r="CJ332" i="40"/>
  <c r="CI332" i="40"/>
  <c r="DB331" i="40"/>
  <c r="CV331" i="40"/>
  <c r="CU331" i="40"/>
  <c r="CT331" i="40"/>
  <c r="CS331" i="40"/>
  <c r="CR331" i="40"/>
  <c r="CQ331" i="40"/>
  <c r="CP331" i="40"/>
  <c r="CO331" i="40"/>
  <c r="CN331" i="40"/>
  <c r="CM331" i="40"/>
  <c r="CL331" i="40"/>
  <c r="CK331" i="40"/>
  <c r="CJ331" i="40"/>
  <c r="CI331" i="40"/>
  <c r="DB330" i="40"/>
  <c r="CV330" i="40"/>
  <c r="CU330" i="40"/>
  <c r="CT330" i="40"/>
  <c r="CS330" i="40"/>
  <c r="CR330" i="40"/>
  <c r="CQ330" i="40"/>
  <c r="CP330" i="40"/>
  <c r="CO330" i="40"/>
  <c r="CN330" i="40"/>
  <c r="CM330" i="40"/>
  <c r="CL330" i="40"/>
  <c r="CK330" i="40"/>
  <c r="CJ330" i="40"/>
  <c r="CI330" i="40"/>
  <c r="DB329" i="40"/>
  <c r="CV329" i="40"/>
  <c r="CU329" i="40"/>
  <c r="CT329" i="40"/>
  <c r="CS329" i="40"/>
  <c r="CR329" i="40"/>
  <c r="CQ329" i="40"/>
  <c r="CP329" i="40"/>
  <c r="CO329" i="40"/>
  <c r="CN329" i="40"/>
  <c r="CM329" i="40"/>
  <c r="CL329" i="40"/>
  <c r="CK329" i="40"/>
  <c r="CJ329" i="40"/>
  <c r="CI329" i="40"/>
  <c r="DB328" i="40"/>
  <c r="CV328" i="40"/>
  <c r="CU328" i="40"/>
  <c r="CT328" i="40"/>
  <c r="CS328" i="40"/>
  <c r="CR328" i="40"/>
  <c r="CQ328" i="40"/>
  <c r="CP328" i="40"/>
  <c r="CO328" i="40"/>
  <c r="CN328" i="40"/>
  <c r="CM328" i="40"/>
  <c r="CL328" i="40"/>
  <c r="CK328" i="40"/>
  <c r="CJ328" i="40"/>
  <c r="CI328" i="40"/>
  <c r="DB327" i="40"/>
  <c r="CV327" i="40"/>
  <c r="CU327" i="40"/>
  <c r="CT327" i="40"/>
  <c r="CS327" i="40"/>
  <c r="CR327" i="40"/>
  <c r="CQ327" i="40"/>
  <c r="CP327" i="40"/>
  <c r="CO327" i="40"/>
  <c r="CN327" i="40"/>
  <c r="CM327" i="40"/>
  <c r="CL327" i="40"/>
  <c r="CK327" i="40"/>
  <c r="CJ327" i="40"/>
  <c r="CI327" i="40"/>
  <c r="DB326" i="40"/>
  <c r="CV326" i="40"/>
  <c r="CU326" i="40"/>
  <c r="CT326" i="40"/>
  <c r="CS326" i="40"/>
  <c r="CR326" i="40"/>
  <c r="CQ326" i="40"/>
  <c r="CP326" i="40"/>
  <c r="CO326" i="40"/>
  <c r="CN326" i="40"/>
  <c r="CM326" i="40"/>
  <c r="CL326" i="40"/>
  <c r="CK326" i="40"/>
  <c r="CJ326" i="40"/>
  <c r="CI326" i="40"/>
  <c r="DB325" i="40"/>
  <c r="CV325" i="40"/>
  <c r="CU325" i="40"/>
  <c r="CT325" i="40"/>
  <c r="CS325" i="40"/>
  <c r="CR325" i="40"/>
  <c r="CQ325" i="40"/>
  <c r="CP325" i="40"/>
  <c r="CO325" i="40"/>
  <c r="CN325" i="40"/>
  <c r="CM325" i="40"/>
  <c r="CL325" i="40"/>
  <c r="CK325" i="40"/>
  <c r="CJ325" i="40"/>
  <c r="CI325" i="40"/>
  <c r="DB324" i="40"/>
  <c r="CV324" i="40"/>
  <c r="CU324" i="40"/>
  <c r="CT324" i="40"/>
  <c r="CS324" i="40"/>
  <c r="CR324" i="40"/>
  <c r="CQ324" i="40"/>
  <c r="CP324" i="40"/>
  <c r="CO324" i="40"/>
  <c r="CN324" i="40"/>
  <c r="CM324" i="40"/>
  <c r="CL324" i="40"/>
  <c r="CK324" i="40"/>
  <c r="CJ324" i="40"/>
  <c r="CI324" i="40"/>
  <c r="DB323" i="40"/>
  <c r="CV323" i="40"/>
  <c r="CU323" i="40"/>
  <c r="CT323" i="40"/>
  <c r="CS323" i="40"/>
  <c r="CR323" i="40"/>
  <c r="CQ323" i="40"/>
  <c r="CP323" i="40"/>
  <c r="CO323" i="40"/>
  <c r="CN323" i="40"/>
  <c r="CM323" i="40"/>
  <c r="CL323" i="40"/>
  <c r="CK323" i="40"/>
  <c r="CJ323" i="40"/>
  <c r="CI323" i="40"/>
  <c r="DB322" i="40"/>
  <c r="CV322" i="40"/>
  <c r="CU322" i="40"/>
  <c r="CT322" i="40"/>
  <c r="CS322" i="40"/>
  <c r="CR322" i="40"/>
  <c r="CQ322" i="40"/>
  <c r="CP322" i="40"/>
  <c r="CO322" i="40"/>
  <c r="CN322" i="40"/>
  <c r="CM322" i="40"/>
  <c r="CL322" i="40"/>
  <c r="CK322" i="40"/>
  <c r="CJ322" i="40"/>
  <c r="CI322" i="40"/>
  <c r="DB321" i="40"/>
  <c r="CV321" i="40"/>
  <c r="CU321" i="40"/>
  <c r="CT321" i="40"/>
  <c r="CS321" i="40"/>
  <c r="CR321" i="40"/>
  <c r="CQ321" i="40"/>
  <c r="CP321" i="40"/>
  <c r="CO321" i="40"/>
  <c r="CN321" i="40"/>
  <c r="CM321" i="40"/>
  <c r="CL321" i="40"/>
  <c r="CK321" i="40"/>
  <c r="CJ321" i="40"/>
  <c r="CI321" i="40"/>
  <c r="DB320" i="40"/>
  <c r="CV320" i="40"/>
  <c r="CU320" i="40"/>
  <c r="CT320" i="40"/>
  <c r="CS320" i="40"/>
  <c r="CR320" i="40"/>
  <c r="CQ320" i="40"/>
  <c r="CP320" i="40"/>
  <c r="CO320" i="40"/>
  <c r="CN320" i="40"/>
  <c r="CM320" i="40"/>
  <c r="CL320" i="40"/>
  <c r="CK320" i="40"/>
  <c r="CJ320" i="40"/>
  <c r="CI320" i="40"/>
  <c r="DB319" i="40"/>
  <c r="CV319" i="40"/>
  <c r="CU319" i="40"/>
  <c r="CT319" i="40"/>
  <c r="CS319" i="40"/>
  <c r="CR319" i="40"/>
  <c r="CQ319" i="40"/>
  <c r="CP319" i="40"/>
  <c r="CO319" i="40"/>
  <c r="CN319" i="40"/>
  <c r="CM319" i="40"/>
  <c r="CL319" i="40"/>
  <c r="CK319" i="40"/>
  <c r="CJ319" i="40"/>
  <c r="CI319" i="40"/>
  <c r="DB318" i="40"/>
  <c r="CV318" i="40"/>
  <c r="CU318" i="40"/>
  <c r="CT318" i="40"/>
  <c r="CS318" i="40"/>
  <c r="CR318" i="40"/>
  <c r="CQ318" i="40"/>
  <c r="CP318" i="40"/>
  <c r="CO318" i="40"/>
  <c r="CN318" i="40"/>
  <c r="CM318" i="40"/>
  <c r="CL318" i="40"/>
  <c r="CK318" i="40"/>
  <c r="CJ318" i="40"/>
  <c r="CI318" i="40"/>
  <c r="DB317" i="40"/>
  <c r="CV317" i="40"/>
  <c r="CU317" i="40"/>
  <c r="CT317" i="40"/>
  <c r="CS317" i="40"/>
  <c r="CR317" i="40"/>
  <c r="CQ317" i="40"/>
  <c r="CP317" i="40"/>
  <c r="CO317" i="40"/>
  <c r="CN317" i="40"/>
  <c r="CM317" i="40"/>
  <c r="CL317" i="40"/>
  <c r="CK317" i="40"/>
  <c r="CJ317" i="40"/>
  <c r="CI317" i="40"/>
  <c r="DB316" i="40"/>
  <c r="CV316" i="40"/>
  <c r="CU316" i="40"/>
  <c r="CT316" i="40"/>
  <c r="CS316" i="40"/>
  <c r="CR316" i="40"/>
  <c r="CQ316" i="40"/>
  <c r="CP316" i="40"/>
  <c r="CO316" i="40"/>
  <c r="CN316" i="40"/>
  <c r="CM316" i="40"/>
  <c r="CL316" i="40"/>
  <c r="CK316" i="40"/>
  <c r="CJ316" i="40"/>
  <c r="CI316" i="40"/>
  <c r="DB315" i="40"/>
  <c r="CV315" i="40"/>
  <c r="CU315" i="40"/>
  <c r="CT315" i="40"/>
  <c r="CS315" i="40"/>
  <c r="CR315" i="40"/>
  <c r="CQ315" i="40"/>
  <c r="CP315" i="40"/>
  <c r="CO315" i="40"/>
  <c r="CN315" i="40"/>
  <c r="CM315" i="40"/>
  <c r="CL315" i="40"/>
  <c r="CK315" i="40"/>
  <c r="CJ315" i="40"/>
  <c r="CI315" i="40"/>
  <c r="DB314" i="40"/>
  <c r="CV314" i="40"/>
  <c r="CU314" i="40"/>
  <c r="CT314" i="40"/>
  <c r="CS314" i="40"/>
  <c r="CR314" i="40"/>
  <c r="CQ314" i="40"/>
  <c r="CP314" i="40"/>
  <c r="CO314" i="40"/>
  <c r="CN314" i="40"/>
  <c r="CM314" i="40"/>
  <c r="CL314" i="40"/>
  <c r="CK314" i="40"/>
  <c r="CJ314" i="40"/>
  <c r="CI314" i="40"/>
  <c r="DB313" i="40"/>
  <c r="CV313" i="40"/>
  <c r="CU313" i="40"/>
  <c r="CT313" i="40"/>
  <c r="CS313" i="40"/>
  <c r="CR313" i="40"/>
  <c r="CQ313" i="40"/>
  <c r="CP313" i="40"/>
  <c r="CO313" i="40"/>
  <c r="CN313" i="40"/>
  <c r="CM313" i="40"/>
  <c r="CL313" i="40"/>
  <c r="CK313" i="40"/>
  <c r="CJ313" i="40"/>
  <c r="CI313" i="40"/>
  <c r="DB312" i="40"/>
  <c r="CV312" i="40"/>
  <c r="CU312" i="40"/>
  <c r="CT312" i="40"/>
  <c r="CS312" i="40"/>
  <c r="CR312" i="40"/>
  <c r="CQ312" i="40"/>
  <c r="CP312" i="40"/>
  <c r="CO312" i="40"/>
  <c r="CN312" i="40"/>
  <c r="CM312" i="40"/>
  <c r="CL312" i="40"/>
  <c r="CK312" i="40"/>
  <c r="CJ312" i="40"/>
  <c r="CI312" i="40"/>
  <c r="DB311" i="40"/>
  <c r="CV311" i="40"/>
  <c r="CU311" i="40"/>
  <c r="CT311" i="40"/>
  <c r="CS311" i="40"/>
  <c r="CR311" i="40"/>
  <c r="CQ311" i="40"/>
  <c r="CP311" i="40"/>
  <c r="CO311" i="40"/>
  <c r="CN311" i="40"/>
  <c r="CM311" i="40"/>
  <c r="CL311" i="40"/>
  <c r="CK311" i="40"/>
  <c r="CJ311" i="40"/>
  <c r="CI311" i="40"/>
  <c r="DB310" i="40"/>
  <c r="CV310" i="40"/>
  <c r="CU310" i="40"/>
  <c r="CT310" i="40"/>
  <c r="CS310" i="40"/>
  <c r="CR310" i="40"/>
  <c r="CQ310" i="40"/>
  <c r="CP310" i="40"/>
  <c r="CO310" i="40"/>
  <c r="CN310" i="40"/>
  <c r="CM310" i="40"/>
  <c r="CL310" i="40"/>
  <c r="CK310" i="40"/>
  <c r="CJ310" i="40"/>
  <c r="CI310" i="40"/>
  <c r="DB309" i="40"/>
  <c r="CV309" i="40"/>
  <c r="CU309" i="40"/>
  <c r="CT309" i="40"/>
  <c r="CS309" i="40"/>
  <c r="CR309" i="40"/>
  <c r="CQ309" i="40"/>
  <c r="CP309" i="40"/>
  <c r="CO309" i="40"/>
  <c r="CN309" i="40"/>
  <c r="CM309" i="40"/>
  <c r="CL309" i="40"/>
  <c r="CK309" i="40"/>
  <c r="CJ309" i="40"/>
  <c r="CI309" i="40"/>
  <c r="DB308" i="40"/>
  <c r="CV308" i="40"/>
  <c r="CU308" i="40"/>
  <c r="CT308" i="40"/>
  <c r="CS308" i="40"/>
  <c r="CR308" i="40"/>
  <c r="CQ308" i="40"/>
  <c r="CP308" i="40"/>
  <c r="CO308" i="40"/>
  <c r="CN308" i="40"/>
  <c r="CM308" i="40"/>
  <c r="CL308" i="40"/>
  <c r="CK308" i="40"/>
  <c r="CJ308" i="40"/>
  <c r="CI308" i="40"/>
  <c r="DB307" i="40"/>
  <c r="CV307" i="40"/>
  <c r="CU307" i="40"/>
  <c r="CT307" i="40"/>
  <c r="CS307" i="40"/>
  <c r="CR307" i="40"/>
  <c r="CQ307" i="40"/>
  <c r="CP307" i="40"/>
  <c r="CO307" i="40"/>
  <c r="CN307" i="40"/>
  <c r="CM307" i="40"/>
  <c r="CL307" i="40"/>
  <c r="CK307" i="40"/>
  <c r="CJ307" i="40"/>
  <c r="CI307" i="40"/>
  <c r="DB306" i="40"/>
  <c r="CV306" i="40"/>
  <c r="CU306" i="40"/>
  <c r="CT306" i="40"/>
  <c r="CS306" i="40"/>
  <c r="CR306" i="40"/>
  <c r="CQ306" i="40"/>
  <c r="CP306" i="40"/>
  <c r="CO306" i="40"/>
  <c r="CN306" i="40"/>
  <c r="CM306" i="40"/>
  <c r="CL306" i="40"/>
  <c r="CK306" i="40"/>
  <c r="CJ306" i="40"/>
  <c r="CI306" i="40"/>
  <c r="DB305" i="40"/>
  <c r="CV305" i="40"/>
  <c r="CU305" i="40"/>
  <c r="CT305" i="40"/>
  <c r="CS305" i="40"/>
  <c r="CR305" i="40"/>
  <c r="CQ305" i="40"/>
  <c r="CP305" i="40"/>
  <c r="CO305" i="40"/>
  <c r="CN305" i="40"/>
  <c r="CM305" i="40"/>
  <c r="CL305" i="40"/>
  <c r="CK305" i="40"/>
  <c r="CJ305" i="40"/>
  <c r="CI305" i="40"/>
  <c r="DB304" i="40"/>
  <c r="CV304" i="40"/>
  <c r="CU304" i="40"/>
  <c r="CT304" i="40"/>
  <c r="CS304" i="40"/>
  <c r="CR304" i="40"/>
  <c r="CQ304" i="40"/>
  <c r="CP304" i="40"/>
  <c r="CO304" i="40"/>
  <c r="CN304" i="40"/>
  <c r="CM304" i="40"/>
  <c r="CL304" i="40"/>
  <c r="CK304" i="40"/>
  <c r="CJ304" i="40"/>
  <c r="CI304" i="40"/>
  <c r="DB303" i="40"/>
  <c r="CV303" i="40"/>
  <c r="CU303" i="40"/>
  <c r="CT303" i="40"/>
  <c r="CS303" i="40"/>
  <c r="CR303" i="40"/>
  <c r="CQ303" i="40"/>
  <c r="CP303" i="40"/>
  <c r="CO303" i="40"/>
  <c r="CN303" i="40"/>
  <c r="CM303" i="40"/>
  <c r="CL303" i="40"/>
  <c r="CK303" i="40"/>
  <c r="CJ303" i="40"/>
  <c r="CI303" i="40"/>
  <c r="DB302" i="40"/>
  <c r="CV302" i="40"/>
  <c r="CU302" i="40"/>
  <c r="CT302" i="40"/>
  <c r="CS302" i="40"/>
  <c r="CR302" i="40"/>
  <c r="CQ302" i="40"/>
  <c r="CP302" i="40"/>
  <c r="CO302" i="40"/>
  <c r="CN302" i="40"/>
  <c r="CM302" i="40"/>
  <c r="CL302" i="40"/>
  <c r="CK302" i="40"/>
  <c r="CJ302" i="40"/>
  <c r="CI302" i="40"/>
  <c r="DB301" i="40"/>
  <c r="CV301" i="40"/>
  <c r="CU301" i="40"/>
  <c r="CT301" i="40"/>
  <c r="CS301" i="40"/>
  <c r="CR301" i="40"/>
  <c r="CQ301" i="40"/>
  <c r="CP301" i="40"/>
  <c r="CO301" i="40"/>
  <c r="CN301" i="40"/>
  <c r="CM301" i="40"/>
  <c r="CL301" i="40"/>
  <c r="CK301" i="40"/>
  <c r="CJ301" i="40"/>
  <c r="CI301" i="40"/>
  <c r="DB300" i="40"/>
  <c r="CV300" i="40"/>
  <c r="CU300" i="40"/>
  <c r="CT300" i="40"/>
  <c r="CS300" i="40"/>
  <c r="CR300" i="40"/>
  <c r="CQ300" i="40"/>
  <c r="CP300" i="40"/>
  <c r="CO300" i="40"/>
  <c r="CN300" i="40"/>
  <c r="CM300" i="40"/>
  <c r="CL300" i="40"/>
  <c r="CK300" i="40"/>
  <c r="CJ300" i="40"/>
  <c r="CI300" i="40"/>
  <c r="DB299" i="40"/>
  <c r="CV299" i="40"/>
  <c r="CU299" i="40"/>
  <c r="CT299" i="40"/>
  <c r="CS299" i="40"/>
  <c r="CR299" i="40"/>
  <c r="CQ299" i="40"/>
  <c r="CP299" i="40"/>
  <c r="CO299" i="40"/>
  <c r="CN299" i="40"/>
  <c r="CM299" i="40"/>
  <c r="CL299" i="40"/>
  <c r="CK299" i="40"/>
  <c r="CJ299" i="40"/>
  <c r="CI299" i="40"/>
  <c r="DB298" i="40"/>
  <c r="CV298" i="40"/>
  <c r="CU298" i="40"/>
  <c r="CT298" i="40"/>
  <c r="CS298" i="40"/>
  <c r="CR298" i="40"/>
  <c r="CQ298" i="40"/>
  <c r="CP298" i="40"/>
  <c r="CO298" i="40"/>
  <c r="CN298" i="40"/>
  <c r="CM298" i="40"/>
  <c r="CL298" i="40"/>
  <c r="CK298" i="40"/>
  <c r="CJ298" i="40"/>
  <c r="CI298" i="40"/>
  <c r="DB297" i="40"/>
  <c r="CV297" i="40"/>
  <c r="CU297" i="40"/>
  <c r="CT297" i="40"/>
  <c r="CS297" i="40"/>
  <c r="CR297" i="40"/>
  <c r="CQ297" i="40"/>
  <c r="CP297" i="40"/>
  <c r="CO297" i="40"/>
  <c r="CN297" i="40"/>
  <c r="CM297" i="40"/>
  <c r="CL297" i="40"/>
  <c r="CK297" i="40"/>
  <c r="CJ297" i="40"/>
  <c r="CI297" i="40"/>
  <c r="DB296" i="40"/>
  <c r="CV296" i="40"/>
  <c r="CU296" i="40"/>
  <c r="CT296" i="40"/>
  <c r="CS296" i="40"/>
  <c r="CR296" i="40"/>
  <c r="CQ296" i="40"/>
  <c r="CP296" i="40"/>
  <c r="CO296" i="40"/>
  <c r="CN296" i="40"/>
  <c r="CM296" i="40"/>
  <c r="CL296" i="40"/>
  <c r="CK296" i="40"/>
  <c r="CJ296" i="40"/>
  <c r="CI296" i="40"/>
  <c r="DB295" i="40"/>
  <c r="CV295" i="40"/>
  <c r="CU295" i="40"/>
  <c r="CT295" i="40"/>
  <c r="CS295" i="40"/>
  <c r="CR295" i="40"/>
  <c r="CQ295" i="40"/>
  <c r="CP295" i="40"/>
  <c r="CO295" i="40"/>
  <c r="CN295" i="40"/>
  <c r="CM295" i="40"/>
  <c r="CL295" i="40"/>
  <c r="CK295" i="40"/>
  <c r="CJ295" i="40"/>
  <c r="CI295" i="40"/>
  <c r="DB294" i="40"/>
  <c r="CV294" i="40"/>
  <c r="CU294" i="40"/>
  <c r="CT294" i="40"/>
  <c r="CS294" i="40"/>
  <c r="CR294" i="40"/>
  <c r="CQ294" i="40"/>
  <c r="CP294" i="40"/>
  <c r="CO294" i="40"/>
  <c r="CN294" i="40"/>
  <c r="CM294" i="40"/>
  <c r="CL294" i="40"/>
  <c r="CK294" i="40"/>
  <c r="CJ294" i="40"/>
  <c r="CI294" i="40"/>
  <c r="DB293" i="40"/>
  <c r="CV293" i="40"/>
  <c r="CU293" i="40"/>
  <c r="CT293" i="40"/>
  <c r="CS293" i="40"/>
  <c r="CR293" i="40"/>
  <c r="CQ293" i="40"/>
  <c r="CP293" i="40"/>
  <c r="CO293" i="40"/>
  <c r="CN293" i="40"/>
  <c r="CM293" i="40"/>
  <c r="CL293" i="40"/>
  <c r="CK293" i="40"/>
  <c r="CJ293" i="40"/>
  <c r="CI293" i="40"/>
  <c r="DB292" i="40"/>
  <c r="CV292" i="40"/>
  <c r="CU292" i="40"/>
  <c r="CT292" i="40"/>
  <c r="CS292" i="40"/>
  <c r="CR292" i="40"/>
  <c r="CQ292" i="40"/>
  <c r="CP292" i="40"/>
  <c r="CO292" i="40"/>
  <c r="CN292" i="40"/>
  <c r="CM292" i="40"/>
  <c r="CL292" i="40"/>
  <c r="CK292" i="40"/>
  <c r="CJ292" i="40"/>
  <c r="CI292" i="40"/>
  <c r="DB291" i="40"/>
  <c r="CV291" i="40"/>
  <c r="CU291" i="40"/>
  <c r="CT291" i="40"/>
  <c r="CS291" i="40"/>
  <c r="CR291" i="40"/>
  <c r="CQ291" i="40"/>
  <c r="CP291" i="40"/>
  <c r="CO291" i="40"/>
  <c r="CN291" i="40"/>
  <c r="CM291" i="40"/>
  <c r="CL291" i="40"/>
  <c r="CK291" i="40"/>
  <c r="CJ291" i="40"/>
  <c r="CI291" i="40"/>
  <c r="DB290" i="40"/>
  <c r="CV290" i="40"/>
  <c r="CU290" i="40"/>
  <c r="CT290" i="40"/>
  <c r="CS290" i="40"/>
  <c r="CR290" i="40"/>
  <c r="CQ290" i="40"/>
  <c r="CP290" i="40"/>
  <c r="CO290" i="40"/>
  <c r="CN290" i="40"/>
  <c r="CM290" i="40"/>
  <c r="CL290" i="40"/>
  <c r="CK290" i="40"/>
  <c r="CJ290" i="40"/>
  <c r="CI290" i="40"/>
  <c r="DB289" i="40"/>
  <c r="CV289" i="40"/>
  <c r="CU289" i="40"/>
  <c r="CT289" i="40"/>
  <c r="CS289" i="40"/>
  <c r="CR289" i="40"/>
  <c r="CQ289" i="40"/>
  <c r="CP289" i="40"/>
  <c r="CO289" i="40"/>
  <c r="CN289" i="40"/>
  <c r="CM289" i="40"/>
  <c r="CL289" i="40"/>
  <c r="CK289" i="40"/>
  <c r="CJ289" i="40"/>
  <c r="CI289" i="40"/>
  <c r="DB288" i="40"/>
  <c r="CV288" i="40"/>
  <c r="CU288" i="40"/>
  <c r="CT288" i="40"/>
  <c r="CS288" i="40"/>
  <c r="CR288" i="40"/>
  <c r="CQ288" i="40"/>
  <c r="CP288" i="40"/>
  <c r="CO288" i="40"/>
  <c r="CN288" i="40"/>
  <c r="CM288" i="40"/>
  <c r="CL288" i="40"/>
  <c r="CK288" i="40"/>
  <c r="CJ288" i="40"/>
  <c r="CI288" i="40"/>
  <c r="DB287" i="40"/>
  <c r="CV287" i="40"/>
  <c r="CU287" i="40"/>
  <c r="CT287" i="40"/>
  <c r="CS287" i="40"/>
  <c r="CR287" i="40"/>
  <c r="CQ287" i="40"/>
  <c r="CP287" i="40"/>
  <c r="CO287" i="40"/>
  <c r="CN287" i="40"/>
  <c r="CM287" i="40"/>
  <c r="CL287" i="40"/>
  <c r="CK287" i="40"/>
  <c r="CJ287" i="40"/>
  <c r="CI287" i="40"/>
  <c r="DB286" i="40"/>
  <c r="CV286" i="40"/>
  <c r="CU286" i="40"/>
  <c r="CT286" i="40"/>
  <c r="CS286" i="40"/>
  <c r="CR286" i="40"/>
  <c r="CQ286" i="40"/>
  <c r="CP286" i="40"/>
  <c r="CO286" i="40"/>
  <c r="CN286" i="40"/>
  <c r="CM286" i="40"/>
  <c r="CL286" i="40"/>
  <c r="CK286" i="40"/>
  <c r="CJ286" i="40"/>
  <c r="CI286" i="40"/>
  <c r="DB285" i="40"/>
  <c r="CV285" i="40"/>
  <c r="CU285" i="40"/>
  <c r="CT285" i="40"/>
  <c r="CS285" i="40"/>
  <c r="CR285" i="40"/>
  <c r="CQ285" i="40"/>
  <c r="CP285" i="40"/>
  <c r="CO285" i="40"/>
  <c r="CN285" i="40"/>
  <c r="CM285" i="40"/>
  <c r="CL285" i="40"/>
  <c r="CK285" i="40"/>
  <c r="CJ285" i="40"/>
  <c r="CI285" i="40"/>
  <c r="DB284" i="40"/>
  <c r="CV284" i="40"/>
  <c r="CU284" i="40"/>
  <c r="CT284" i="40"/>
  <c r="CS284" i="40"/>
  <c r="CR284" i="40"/>
  <c r="CQ284" i="40"/>
  <c r="CP284" i="40"/>
  <c r="CO284" i="40"/>
  <c r="CN284" i="40"/>
  <c r="CM284" i="40"/>
  <c r="CL284" i="40"/>
  <c r="CK284" i="40"/>
  <c r="CJ284" i="40"/>
  <c r="CI284" i="40"/>
  <c r="DB283" i="40"/>
  <c r="CV283" i="40"/>
  <c r="CU283" i="40"/>
  <c r="CT283" i="40"/>
  <c r="CS283" i="40"/>
  <c r="CR283" i="40"/>
  <c r="CQ283" i="40"/>
  <c r="CP283" i="40"/>
  <c r="CO283" i="40"/>
  <c r="CN283" i="40"/>
  <c r="CM283" i="40"/>
  <c r="CL283" i="40"/>
  <c r="CK283" i="40"/>
  <c r="CJ283" i="40"/>
  <c r="CI283" i="40"/>
  <c r="DB282" i="40"/>
  <c r="CV282" i="40"/>
  <c r="CU282" i="40"/>
  <c r="CT282" i="40"/>
  <c r="CS282" i="40"/>
  <c r="CR282" i="40"/>
  <c r="CQ282" i="40"/>
  <c r="CP282" i="40"/>
  <c r="CO282" i="40"/>
  <c r="CN282" i="40"/>
  <c r="CM282" i="40"/>
  <c r="CL282" i="40"/>
  <c r="CK282" i="40"/>
  <c r="CJ282" i="40"/>
  <c r="CI282" i="40"/>
  <c r="DB281" i="40"/>
  <c r="CV281" i="40"/>
  <c r="CU281" i="40"/>
  <c r="CT281" i="40"/>
  <c r="CS281" i="40"/>
  <c r="CR281" i="40"/>
  <c r="CQ281" i="40"/>
  <c r="CP281" i="40"/>
  <c r="CO281" i="40"/>
  <c r="CN281" i="40"/>
  <c r="CM281" i="40"/>
  <c r="CL281" i="40"/>
  <c r="CK281" i="40"/>
  <c r="CJ281" i="40"/>
  <c r="CI281" i="40"/>
  <c r="DB280" i="40"/>
  <c r="CV280" i="40"/>
  <c r="CU280" i="40"/>
  <c r="CT280" i="40"/>
  <c r="CS280" i="40"/>
  <c r="CR280" i="40"/>
  <c r="CQ280" i="40"/>
  <c r="CP280" i="40"/>
  <c r="CO280" i="40"/>
  <c r="CN280" i="40"/>
  <c r="CM280" i="40"/>
  <c r="CL280" i="40"/>
  <c r="CK280" i="40"/>
  <c r="CJ280" i="40"/>
  <c r="CI280" i="40"/>
  <c r="DB279" i="40"/>
  <c r="CV279" i="40"/>
  <c r="CU279" i="40"/>
  <c r="CT279" i="40"/>
  <c r="CS279" i="40"/>
  <c r="CR279" i="40"/>
  <c r="CQ279" i="40"/>
  <c r="CP279" i="40"/>
  <c r="CO279" i="40"/>
  <c r="CN279" i="40"/>
  <c r="CM279" i="40"/>
  <c r="CL279" i="40"/>
  <c r="CK279" i="40"/>
  <c r="CJ279" i="40"/>
  <c r="CI279" i="40"/>
  <c r="DB278" i="40"/>
  <c r="CV278" i="40"/>
  <c r="CU278" i="40"/>
  <c r="CT278" i="40"/>
  <c r="CS278" i="40"/>
  <c r="CR278" i="40"/>
  <c r="CQ278" i="40"/>
  <c r="CP278" i="40"/>
  <c r="CO278" i="40"/>
  <c r="CN278" i="40"/>
  <c r="CM278" i="40"/>
  <c r="CL278" i="40"/>
  <c r="CK278" i="40"/>
  <c r="CJ278" i="40"/>
  <c r="CI278" i="40"/>
  <c r="DB277" i="40"/>
  <c r="CV277" i="40"/>
  <c r="CU277" i="40"/>
  <c r="CT277" i="40"/>
  <c r="CS277" i="40"/>
  <c r="CR277" i="40"/>
  <c r="CQ277" i="40"/>
  <c r="CP277" i="40"/>
  <c r="CO277" i="40"/>
  <c r="CN277" i="40"/>
  <c r="CM277" i="40"/>
  <c r="CL277" i="40"/>
  <c r="CK277" i="40"/>
  <c r="CJ277" i="40"/>
  <c r="CI277" i="40"/>
  <c r="DB276" i="40"/>
  <c r="CV276" i="40"/>
  <c r="CU276" i="40"/>
  <c r="CT276" i="40"/>
  <c r="CS276" i="40"/>
  <c r="CR276" i="40"/>
  <c r="CQ276" i="40"/>
  <c r="CP276" i="40"/>
  <c r="CO276" i="40"/>
  <c r="CN276" i="40"/>
  <c r="CM276" i="40"/>
  <c r="CL276" i="40"/>
  <c r="CK276" i="40"/>
  <c r="CJ276" i="40"/>
  <c r="CI276" i="40"/>
  <c r="DB275" i="40"/>
  <c r="CV275" i="40"/>
  <c r="CU275" i="40"/>
  <c r="CT275" i="40"/>
  <c r="CS275" i="40"/>
  <c r="CR275" i="40"/>
  <c r="CQ275" i="40"/>
  <c r="CP275" i="40"/>
  <c r="CO275" i="40"/>
  <c r="CN275" i="40"/>
  <c r="CM275" i="40"/>
  <c r="CL275" i="40"/>
  <c r="CK275" i="40"/>
  <c r="CJ275" i="40"/>
  <c r="CI275" i="40"/>
  <c r="DB274" i="40"/>
  <c r="CV274" i="40"/>
  <c r="CU274" i="40"/>
  <c r="CT274" i="40"/>
  <c r="CS274" i="40"/>
  <c r="CR274" i="40"/>
  <c r="CQ274" i="40"/>
  <c r="CP274" i="40"/>
  <c r="CO274" i="40"/>
  <c r="CN274" i="40"/>
  <c r="CM274" i="40"/>
  <c r="CL274" i="40"/>
  <c r="CK274" i="40"/>
  <c r="CJ274" i="40"/>
  <c r="CI274" i="40"/>
  <c r="DB273" i="40"/>
  <c r="CV273" i="40"/>
  <c r="CU273" i="40"/>
  <c r="CT273" i="40"/>
  <c r="CS273" i="40"/>
  <c r="CR273" i="40"/>
  <c r="CQ273" i="40"/>
  <c r="CP273" i="40"/>
  <c r="CO273" i="40"/>
  <c r="CN273" i="40"/>
  <c r="CM273" i="40"/>
  <c r="CL273" i="40"/>
  <c r="CK273" i="40"/>
  <c r="CJ273" i="40"/>
  <c r="CI273" i="40"/>
  <c r="DB272" i="40"/>
  <c r="CV272" i="40"/>
  <c r="CU272" i="40"/>
  <c r="CT272" i="40"/>
  <c r="CS272" i="40"/>
  <c r="CR272" i="40"/>
  <c r="CQ272" i="40"/>
  <c r="CP272" i="40"/>
  <c r="CO272" i="40"/>
  <c r="CN272" i="40"/>
  <c r="CM272" i="40"/>
  <c r="CL272" i="40"/>
  <c r="CK272" i="40"/>
  <c r="CJ272" i="40"/>
  <c r="CI272" i="40"/>
  <c r="DB271" i="40"/>
  <c r="CV271" i="40"/>
  <c r="CU271" i="40"/>
  <c r="CT271" i="40"/>
  <c r="CS271" i="40"/>
  <c r="CR271" i="40"/>
  <c r="CQ271" i="40"/>
  <c r="CP271" i="40"/>
  <c r="CO271" i="40"/>
  <c r="CN271" i="40"/>
  <c r="CM271" i="40"/>
  <c r="CL271" i="40"/>
  <c r="CK271" i="40"/>
  <c r="CJ271" i="40"/>
  <c r="CI271" i="40"/>
  <c r="DB270" i="40"/>
  <c r="CV270" i="40"/>
  <c r="CU270" i="40"/>
  <c r="CT270" i="40"/>
  <c r="CS270" i="40"/>
  <c r="CR270" i="40"/>
  <c r="CQ270" i="40"/>
  <c r="CP270" i="40"/>
  <c r="CO270" i="40"/>
  <c r="CN270" i="40"/>
  <c r="CM270" i="40"/>
  <c r="CL270" i="40"/>
  <c r="CK270" i="40"/>
  <c r="CJ270" i="40"/>
  <c r="CI270" i="40"/>
  <c r="DB269" i="40"/>
  <c r="CV269" i="40"/>
  <c r="CU269" i="40"/>
  <c r="CT269" i="40"/>
  <c r="CS269" i="40"/>
  <c r="CR269" i="40"/>
  <c r="CQ269" i="40"/>
  <c r="CP269" i="40"/>
  <c r="CO269" i="40"/>
  <c r="CN269" i="40"/>
  <c r="CM269" i="40"/>
  <c r="CL269" i="40"/>
  <c r="CK269" i="40"/>
  <c r="CJ269" i="40"/>
  <c r="CI269" i="40"/>
  <c r="DB268" i="40"/>
  <c r="CV268" i="40"/>
  <c r="CU268" i="40"/>
  <c r="CT268" i="40"/>
  <c r="CS268" i="40"/>
  <c r="CR268" i="40"/>
  <c r="CQ268" i="40"/>
  <c r="CP268" i="40"/>
  <c r="CO268" i="40"/>
  <c r="CN268" i="40"/>
  <c r="CM268" i="40"/>
  <c r="CL268" i="40"/>
  <c r="CK268" i="40"/>
  <c r="CJ268" i="40"/>
  <c r="CI268" i="40"/>
  <c r="DB267" i="40"/>
  <c r="CV267" i="40"/>
  <c r="CU267" i="40"/>
  <c r="CT267" i="40"/>
  <c r="CS267" i="40"/>
  <c r="CR267" i="40"/>
  <c r="CQ267" i="40"/>
  <c r="CP267" i="40"/>
  <c r="CO267" i="40"/>
  <c r="CN267" i="40"/>
  <c r="CM267" i="40"/>
  <c r="CL267" i="40"/>
  <c r="CK267" i="40"/>
  <c r="CJ267" i="40"/>
  <c r="CI267" i="40"/>
  <c r="DB266" i="40"/>
  <c r="CV266" i="40"/>
  <c r="CU266" i="40"/>
  <c r="CT266" i="40"/>
  <c r="CS266" i="40"/>
  <c r="CR266" i="40"/>
  <c r="CQ266" i="40"/>
  <c r="CP266" i="40"/>
  <c r="CO266" i="40"/>
  <c r="CN266" i="40"/>
  <c r="CM266" i="40"/>
  <c r="CL266" i="40"/>
  <c r="CK266" i="40"/>
  <c r="CJ266" i="40"/>
  <c r="CI266" i="40"/>
  <c r="DB265" i="40"/>
  <c r="CV265" i="40"/>
  <c r="CU265" i="40"/>
  <c r="CT265" i="40"/>
  <c r="CS265" i="40"/>
  <c r="CR265" i="40"/>
  <c r="CQ265" i="40"/>
  <c r="CP265" i="40"/>
  <c r="CO265" i="40"/>
  <c r="CN265" i="40"/>
  <c r="CM265" i="40"/>
  <c r="CL265" i="40"/>
  <c r="CK265" i="40"/>
  <c r="CJ265" i="40"/>
  <c r="CI265" i="40"/>
  <c r="DB264" i="40"/>
  <c r="CV264" i="40"/>
  <c r="CU264" i="40"/>
  <c r="CT264" i="40"/>
  <c r="CS264" i="40"/>
  <c r="CR264" i="40"/>
  <c r="CQ264" i="40"/>
  <c r="CP264" i="40"/>
  <c r="CO264" i="40"/>
  <c r="CN264" i="40"/>
  <c r="CM264" i="40"/>
  <c r="CL264" i="40"/>
  <c r="CK264" i="40"/>
  <c r="CJ264" i="40"/>
  <c r="CI264" i="40"/>
  <c r="DB263" i="40"/>
  <c r="CV263" i="40"/>
  <c r="CU263" i="40"/>
  <c r="CT263" i="40"/>
  <c r="CS263" i="40"/>
  <c r="CR263" i="40"/>
  <c r="CQ263" i="40"/>
  <c r="CP263" i="40"/>
  <c r="CO263" i="40"/>
  <c r="CN263" i="40"/>
  <c r="CM263" i="40"/>
  <c r="CL263" i="40"/>
  <c r="CK263" i="40"/>
  <c r="CJ263" i="40"/>
  <c r="CI263" i="40"/>
  <c r="DB262" i="40"/>
  <c r="CV262" i="40"/>
  <c r="CU262" i="40"/>
  <c r="CT262" i="40"/>
  <c r="CS262" i="40"/>
  <c r="CR262" i="40"/>
  <c r="CQ262" i="40"/>
  <c r="CP262" i="40"/>
  <c r="CO262" i="40"/>
  <c r="CN262" i="40"/>
  <c r="CM262" i="40"/>
  <c r="CL262" i="40"/>
  <c r="CK262" i="40"/>
  <c r="CJ262" i="40"/>
  <c r="CI262" i="40"/>
  <c r="DB261" i="40"/>
  <c r="CV261" i="40"/>
  <c r="CU261" i="40"/>
  <c r="CT261" i="40"/>
  <c r="CS261" i="40"/>
  <c r="CR261" i="40"/>
  <c r="CQ261" i="40"/>
  <c r="CP261" i="40"/>
  <c r="CO261" i="40"/>
  <c r="CN261" i="40"/>
  <c r="CM261" i="40"/>
  <c r="CL261" i="40"/>
  <c r="CK261" i="40"/>
  <c r="CJ261" i="40"/>
  <c r="CI261" i="40"/>
  <c r="DB260" i="40"/>
  <c r="CV260" i="40"/>
  <c r="CU260" i="40"/>
  <c r="CT260" i="40"/>
  <c r="CS260" i="40"/>
  <c r="CR260" i="40"/>
  <c r="CQ260" i="40"/>
  <c r="CP260" i="40"/>
  <c r="CO260" i="40"/>
  <c r="CN260" i="40"/>
  <c r="CM260" i="40"/>
  <c r="CL260" i="40"/>
  <c r="CK260" i="40"/>
  <c r="CJ260" i="40"/>
  <c r="CI260" i="40"/>
  <c r="DB259" i="40"/>
  <c r="CV259" i="40"/>
  <c r="CU259" i="40"/>
  <c r="CT259" i="40"/>
  <c r="CS259" i="40"/>
  <c r="CR259" i="40"/>
  <c r="CQ259" i="40"/>
  <c r="CP259" i="40"/>
  <c r="CO259" i="40"/>
  <c r="CN259" i="40"/>
  <c r="CM259" i="40"/>
  <c r="CL259" i="40"/>
  <c r="CK259" i="40"/>
  <c r="CJ259" i="40"/>
  <c r="CI259" i="40"/>
  <c r="DB258" i="40"/>
  <c r="CV258" i="40"/>
  <c r="CU258" i="40"/>
  <c r="CT258" i="40"/>
  <c r="CS258" i="40"/>
  <c r="CR258" i="40"/>
  <c r="CQ258" i="40"/>
  <c r="CP258" i="40"/>
  <c r="CO258" i="40"/>
  <c r="CN258" i="40"/>
  <c r="CM258" i="40"/>
  <c r="CL258" i="40"/>
  <c r="CK258" i="40"/>
  <c r="CJ258" i="40"/>
  <c r="CI258" i="40"/>
  <c r="DB257" i="40"/>
  <c r="CV257" i="40"/>
  <c r="CU257" i="40"/>
  <c r="CT257" i="40"/>
  <c r="CS257" i="40"/>
  <c r="CR257" i="40"/>
  <c r="CQ257" i="40"/>
  <c r="CP257" i="40"/>
  <c r="CO257" i="40"/>
  <c r="CN257" i="40"/>
  <c r="CM257" i="40"/>
  <c r="CL257" i="40"/>
  <c r="CK257" i="40"/>
  <c r="CJ257" i="40"/>
  <c r="CI257" i="40"/>
  <c r="DB256" i="40"/>
  <c r="CV256" i="40"/>
  <c r="CU256" i="40"/>
  <c r="CT256" i="40"/>
  <c r="CS256" i="40"/>
  <c r="CR256" i="40"/>
  <c r="CQ256" i="40"/>
  <c r="CP256" i="40"/>
  <c r="CO256" i="40"/>
  <c r="CN256" i="40"/>
  <c r="CM256" i="40"/>
  <c r="CL256" i="40"/>
  <c r="CK256" i="40"/>
  <c r="CJ256" i="40"/>
  <c r="CI256" i="40"/>
  <c r="DB255" i="40"/>
  <c r="CV255" i="40"/>
  <c r="CU255" i="40"/>
  <c r="CT255" i="40"/>
  <c r="CS255" i="40"/>
  <c r="CR255" i="40"/>
  <c r="CQ255" i="40"/>
  <c r="CP255" i="40"/>
  <c r="CO255" i="40"/>
  <c r="CN255" i="40"/>
  <c r="CM255" i="40"/>
  <c r="CL255" i="40"/>
  <c r="CK255" i="40"/>
  <c r="CJ255" i="40"/>
  <c r="CI255" i="40"/>
  <c r="DB254" i="40"/>
  <c r="CV254" i="40"/>
  <c r="CU254" i="40"/>
  <c r="CT254" i="40"/>
  <c r="CS254" i="40"/>
  <c r="CR254" i="40"/>
  <c r="CQ254" i="40"/>
  <c r="CP254" i="40"/>
  <c r="CO254" i="40"/>
  <c r="CN254" i="40"/>
  <c r="CM254" i="40"/>
  <c r="CL254" i="40"/>
  <c r="CK254" i="40"/>
  <c r="CJ254" i="40"/>
  <c r="CI254" i="40"/>
  <c r="DB253" i="40"/>
  <c r="CV253" i="40"/>
  <c r="CU253" i="40"/>
  <c r="CT253" i="40"/>
  <c r="CS253" i="40"/>
  <c r="CR253" i="40"/>
  <c r="CQ253" i="40"/>
  <c r="CP253" i="40"/>
  <c r="CO253" i="40"/>
  <c r="CN253" i="40"/>
  <c r="CM253" i="40"/>
  <c r="CL253" i="40"/>
  <c r="CK253" i="40"/>
  <c r="CJ253" i="40"/>
  <c r="CI253" i="40"/>
  <c r="DB252" i="40"/>
  <c r="CV252" i="40"/>
  <c r="CU252" i="40"/>
  <c r="CT252" i="40"/>
  <c r="CS252" i="40"/>
  <c r="CR252" i="40"/>
  <c r="CQ252" i="40"/>
  <c r="CP252" i="40"/>
  <c r="CO252" i="40"/>
  <c r="CN252" i="40"/>
  <c r="CM252" i="40"/>
  <c r="CL252" i="40"/>
  <c r="CK252" i="40"/>
  <c r="CJ252" i="40"/>
  <c r="CI252" i="40"/>
  <c r="DB251" i="40"/>
  <c r="CV251" i="40"/>
  <c r="CU251" i="40"/>
  <c r="CT251" i="40"/>
  <c r="CS251" i="40"/>
  <c r="CR251" i="40"/>
  <c r="CQ251" i="40"/>
  <c r="CP251" i="40"/>
  <c r="CO251" i="40"/>
  <c r="CN251" i="40"/>
  <c r="CM251" i="40"/>
  <c r="CL251" i="40"/>
  <c r="CK251" i="40"/>
  <c r="CJ251" i="40"/>
  <c r="CI251" i="40"/>
  <c r="DB250" i="40"/>
  <c r="CV250" i="40"/>
  <c r="CU250" i="40"/>
  <c r="CT250" i="40"/>
  <c r="CS250" i="40"/>
  <c r="CR250" i="40"/>
  <c r="CQ250" i="40"/>
  <c r="CP250" i="40"/>
  <c r="CO250" i="40"/>
  <c r="CN250" i="40"/>
  <c r="CM250" i="40"/>
  <c r="CL250" i="40"/>
  <c r="CK250" i="40"/>
  <c r="CJ250" i="40"/>
  <c r="CI250" i="40"/>
  <c r="DB249" i="40"/>
  <c r="CV249" i="40"/>
  <c r="CU249" i="40"/>
  <c r="CT249" i="40"/>
  <c r="CS249" i="40"/>
  <c r="CR249" i="40"/>
  <c r="CQ249" i="40"/>
  <c r="CP249" i="40"/>
  <c r="CO249" i="40"/>
  <c r="CN249" i="40"/>
  <c r="CM249" i="40"/>
  <c r="CL249" i="40"/>
  <c r="CK249" i="40"/>
  <c r="CJ249" i="40"/>
  <c r="CI249" i="40"/>
  <c r="DB248" i="40"/>
  <c r="CV248" i="40"/>
  <c r="CU248" i="40"/>
  <c r="CT248" i="40"/>
  <c r="CS248" i="40"/>
  <c r="CR248" i="40"/>
  <c r="CQ248" i="40"/>
  <c r="CP248" i="40"/>
  <c r="CO248" i="40"/>
  <c r="CN248" i="40"/>
  <c r="CM248" i="40"/>
  <c r="CL248" i="40"/>
  <c r="CK248" i="40"/>
  <c r="CJ248" i="40"/>
  <c r="CI248" i="40"/>
  <c r="DB247" i="40"/>
  <c r="CV247" i="40"/>
  <c r="CU247" i="40"/>
  <c r="CT247" i="40"/>
  <c r="CS247" i="40"/>
  <c r="CR247" i="40"/>
  <c r="CQ247" i="40"/>
  <c r="CP247" i="40"/>
  <c r="CO247" i="40"/>
  <c r="CN247" i="40"/>
  <c r="CM247" i="40"/>
  <c r="CL247" i="40"/>
  <c r="CK247" i="40"/>
  <c r="CJ247" i="40"/>
  <c r="CI247" i="40"/>
  <c r="DB246" i="40"/>
  <c r="CV246" i="40"/>
  <c r="CU246" i="40"/>
  <c r="CT246" i="40"/>
  <c r="CS246" i="40"/>
  <c r="CR246" i="40"/>
  <c r="CQ246" i="40"/>
  <c r="CP246" i="40"/>
  <c r="CO246" i="40"/>
  <c r="CN246" i="40"/>
  <c r="CM246" i="40"/>
  <c r="CL246" i="40"/>
  <c r="CK246" i="40"/>
  <c r="CJ246" i="40"/>
  <c r="CI246" i="40"/>
  <c r="DB245" i="40"/>
  <c r="CV245" i="40"/>
  <c r="CU245" i="40"/>
  <c r="CT245" i="40"/>
  <c r="CS245" i="40"/>
  <c r="CR245" i="40"/>
  <c r="CQ245" i="40"/>
  <c r="CP245" i="40"/>
  <c r="CO245" i="40"/>
  <c r="CN245" i="40"/>
  <c r="CM245" i="40"/>
  <c r="CL245" i="40"/>
  <c r="CK245" i="40"/>
  <c r="CJ245" i="40"/>
  <c r="CI245" i="40"/>
  <c r="DB244" i="40"/>
  <c r="CV244" i="40"/>
  <c r="CU244" i="40"/>
  <c r="CT244" i="40"/>
  <c r="CS244" i="40"/>
  <c r="CR244" i="40"/>
  <c r="CQ244" i="40"/>
  <c r="CP244" i="40"/>
  <c r="CO244" i="40"/>
  <c r="CN244" i="40"/>
  <c r="CM244" i="40"/>
  <c r="CL244" i="40"/>
  <c r="CK244" i="40"/>
  <c r="CJ244" i="40"/>
  <c r="CI244" i="40"/>
  <c r="DB243" i="40"/>
  <c r="CV243" i="40"/>
  <c r="CU243" i="40"/>
  <c r="CT243" i="40"/>
  <c r="CS243" i="40"/>
  <c r="CR243" i="40"/>
  <c r="CQ243" i="40"/>
  <c r="CP243" i="40"/>
  <c r="CO243" i="40"/>
  <c r="CN243" i="40"/>
  <c r="CM243" i="40"/>
  <c r="CL243" i="40"/>
  <c r="CK243" i="40"/>
  <c r="CJ243" i="40"/>
  <c r="CI243" i="40"/>
  <c r="DB242" i="40"/>
  <c r="CV242" i="40"/>
  <c r="CU242" i="40"/>
  <c r="CT242" i="40"/>
  <c r="CS242" i="40"/>
  <c r="CR242" i="40"/>
  <c r="CQ242" i="40"/>
  <c r="CP242" i="40"/>
  <c r="CO242" i="40"/>
  <c r="CN242" i="40"/>
  <c r="CM242" i="40"/>
  <c r="CL242" i="40"/>
  <c r="CK242" i="40"/>
  <c r="CJ242" i="40"/>
  <c r="CI242" i="40"/>
  <c r="DB241" i="40"/>
  <c r="CV241" i="40"/>
  <c r="CU241" i="40"/>
  <c r="CT241" i="40"/>
  <c r="CS241" i="40"/>
  <c r="CR241" i="40"/>
  <c r="CQ241" i="40"/>
  <c r="CP241" i="40"/>
  <c r="CO241" i="40"/>
  <c r="CN241" i="40"/>
  <c r="CM241" i="40"/>
  <c r="CL241" i="40"/>
  <c r="CK241" i="40"/>
  <c r="CJ241" i="40"/>
  <c r="CI241" i="40"/>
  <c r="DB240" i="40"/>
  <c r="CV240" i="40"/>
  <c r="CU240" i="40"/>
  <c r="CT240" i="40"/>
  <c r="CS240" i="40"/>
  <c r="CR240" i="40"/>
  <c r="CQ240" i="40"/>
  <c r="CP240" i="40"/>
  <c r="CO240" i="40"/>
  <c r="CN240" i="40"/>
  <c r="CM240" i="40"/>
  <c r="CL240" i="40"/>
  <c r="CK240" i="40"/>
  <c r="CJ240" i="40"/>
  <c r="CI240" i="40"/>
  <c r="DB239" i="40"/>
  <c r="CV239" i="40"/>
  <c r="CU239" i="40"/>
  <c r="CT239" i="40"/>
  <c r="CS239" i="40"/>
  <c r="CR239" i="40"/>
  <c r="CQ239" i="40"/>
  <c r="CP239" i="40"/>
  <c r="CO239" i="40"/>
  <c r="CN239" i="40"/>
  <c r="CM239" i="40"/>
  <c r="CL239" i="40"/>
  <c r="CK239" i="40"/>
  <c r="CJ239" i="40"/>
  <c r="CI239" i="40"/>
  <c r="DB238" i="40"/>
  <c r="CV238" i="40"/>
  <c r="CU238" i="40"/>
  <c r="CT238" i="40"/>
  <c r="CS238" i="40"/>
  <c r="CR238" i="40"/>
  <c r="CQ238" i="40"/>
  <c r="CP238" i="40"/>
  <c r="CO238" i="40"/>
  <c r="CN238" i="40"/>
  <c r="CM238" i="40"/>
  <c r="CL238" i="40"/>
  <c r="CK238" i="40"/>
  <c r="CJ238" i="40"/>
  <c r="CI238" i="40"/>
  <c r="DB237" i="40"/>
  <c r="CV237" i="40"/>
  <c r="CU237" i="40"/>
  <c r="CT237" i="40"/>
  <c r="CS237" i="40"/>
  <c r="CR237" i="40"/>
  <c r="CQ237" i="40"/>
  <c r="CP237" i="40"/>
  <c r="CO237" i="40"/>
  <c r="CN237" i="40"/>
  <c r="CM237" i="40"/>
  <c r="CL237" i="40"/>
  <c r="CK237" i="40"/>
  <c r="CJ237" i="40"/>
  <c r="CI237" i="40"/>
  <c r="DB236" i="40"/>
  <c r="CV236" i="40"/>
  <c r="CU236" i="40"/>
  <c r="CT236" i="40"/>
  <c r="CS236" i="40"/>
  <c r="CR236" i="40"/>
  <c r="CQ236" i="40"/>
  <c r="CP236" i="40"/>
  <c r="CO236" i="40"/>
  <c r="CN236" i="40"/>
  <c r="CM236" i="40"/>
  <c r="CL236" i="40"/>
  <c r="CK236" i="40"/>
  <c r="CJ236" i="40"/>
  <c r="CI236" i="40"/>
  <c r="DB235" i="40"/>
  <c r="CV235" i="40"/>
  <c r="CU235" i="40"/>
  <c r="CT235" i="40"/>
  <c r="CS235" i="40"/>
  <c r="CR235" i="40"/>
  <c r="CQ235" i="40"/>
  <c r="CP235" i="40"/>
  <c r="CO235" i="40"/>
  <c r="CN235" i="40"/>
  <c r="CM235" i="40"/>
  <c r="CL235" i="40"/>
  <c r="CK235" i="40"/>
  <c r="CJ235" i="40"/>
  <c r="CI235" i="40"/>
  <c r="DB234" i="40"/>
  <c r="CV234" i="40"/>
  <c r="CU234" i="40"/>
  <c r="CT234" i="40"/>
  <c r="CS234" i="40"/>
  <c r="CR234" i="40"/>
  <c r="CQ234" i="40"/>
  <c r="CP234" i="40"/>
  <c r="CO234" i="40"/>
  <c r="CN234" i="40"/>
  <c r="CM234" i="40"/>
  <c r="CL234" i="40"/>
  <c r="CK234" i="40"/>
  <c r="CJ234" i="40"/>
  <c r="CI234" i="40"/>
  <c r="DB233" i="40"/>
  <c r="CV233" i="40"/>
  <c r="CU233" i="40"/>
  <c r="CT233" i="40"/>
  <c r="CS233" i="40"/>
  <c r="CR233" i="40"/>
  <c r="CQ233" i="40"/>
  <c r="CP233" i="40"/>
  <c r="CO233" i="40"/>
  <c r="CN233" i="40"/>
  <c r="CM233" i="40"/>
  <c r="CL233" i="40"/>
  <c r="CK233" i="40"/>
  <c r="CJ233" i="40"/>
  <c r="CI233" i="40"/>
  <c r="DB232" i="40"/>
  <c r="CV232" i="40"/>
  <c r="CU232" i="40"/>
  <c r="CT232" i="40"/>
  <c r="CS232" i="40"/>
  <c r="CR232" i="40"/>
  <c r="CQ232" i="40"/>
  <c r="CP232" i="40"/>
  <c r="CO232" i="40"/>
  <c r="CN232" i="40"/>
  <c r="CM232" i="40"/>
  <c r="CL232" i="40"/>
  <c r="CK232" i="40"/>
  <c r="CJ232" i="40"/>
  <c r="CI232" i="40"/>
  <c r="DB231" i="40"/>
  <c r="CV231" i="40"/>
  <c r="CU231" i="40"/>
  <c r="CT231" i="40"/>
  <c r="CS231" i="40"/>
  <c r="CR231" i="40"/>
  <c r="CQ231" i="40"/>
  <c r="CP231" i="40"/>
  <c r="CO231" i="40"/>
  <c r="CN231" i="40"/>
  <c r="CM231" i="40"/>
  <c r="CL231" i="40"/>
  <c r="CK231" i="40"/>
  <c r="CJ231" i="40"/>
  <c r="CI231" i="40"/>
  <c r="DB230" i="40"/>
  <c r="CV230" i="40"/>
  <c r="CU230" i="40"/>
  <c r="CT230" i="40"/>
  <c r="CS230" i="40"/>
  <c r="CR230" i="40"/>
  <c r="CQ230" i="40"/>
  <c r="CP230" i="40"/>
  <c r="CO230" i="40"/>
  <c r="CN230" i="40"/>
  <c r="CM230" i="40"/>
  <c r="CL230" i="40"/>
  <c r="CK230" i="40"/>
  <c r="CJ230" i="40"/>
  <c r="CI230" i="40"/>
  <c r="DB229" i="40"/>
  <c r="CV229" i="40"/>
  <c r="CU229" i="40"/>
  <c r="CT229" i="40"/>
  <c r="CS229" i="40"/>
  <c r="CR229" i="40"/>
  <c r="CQ229" i="40"/>
  <c r="CP229" i="40"/>
  <c r="CO229" i="40"/>
  <c r="CN229" i="40"/>
  <c r="CM229" i="40"/>
  <c r="CL229" i="40"/>
  <c r="CK229" i="40"/>
  <c r="CJ229" i="40"/>
  <c r="CI229" i="40"/>
  <c r="DB228" i="40"/>
  <c r="CV228" i="40"/>
  <c r="CU228" i="40"/>
  <c r="CT228" i="40"/>
  <c r="CS228" i="40"/>
  <c r="CR228" i="40"/>
  <c r="CQ228" i="40"/>
  <c r="CP228" i="40"/>
  <c r="CO228" i="40"/>
  <c r="CN228" i="40"/>
  <c r="CM228" i="40"/>
  <c r="CL228" i="40"/>
  <c r="CK228" i="40"/>
  <c r="CJ228" i="40"/>
  <c r="CI228" i="40"/>
  <c r="DB227" i="40"/>
  <c r="CV227" i="40"/>
  <c r="CU227" i="40"/>
  <c r="CT227" i="40"/>
  <c r="CS227" i="40"/>
  <c r="CR227" i="40"/>
  <c r="CQ227" i="40"/>
  <c r="CP227" i="40"/>
  <c r="CO227" i="40"/>
  <c r="CN227" i="40"/>
  <c r="CM227" i="40"/>
  <c r="CL227" i="40"/>
  <c r="CK227" i="40"/>
  <c r="CJ227" i="40"/>
  <c r="CI227" i="40"/>
  <c r="DB226" i="40"/>
  <c r="CV226" i="40"/>
  <c r="CU226" i="40"/>
  <c r="CT226" i="40"/>
  <c r="CS226" i="40"/>
  <c r="CR226" i="40"/>
  <c r="CQ226" i="40"/>
  <c r="CP226" i="40"/>
  <c r="CO226" i="40"/>
  <c r="CN226" i="40"/>
  <c r="CM226" i="40"/>
  <c r="CL226" i="40"/>
  <c r="CK226" i="40"/>
  <c r="CJ226" i="40"/>
  <c r="CI226" i="40"/>
  <c r="DB225" i="40"/>
  <c r="CV225" i="40"/>
  <c r="CU225" i="40"/>
  <c r="CT225" i="40"/>
  <c r="CS225" i="40"/>
  <c r="CR225" i="40"/>
  <c r="CQ225" i="40"/>
  <c r="CP225" i="40"/>
  <c r="CO225" i="40"/>
  <c r="CN225" i="40"/>
  <c r="CM225" i="40"/>
  <c r="CL225" i="40"/>
  <c r="CK225" i="40"/>
  <c r="CJ225" i="40"/>
  <c r="CI225" i="40"/>
  <c r="DB224" i="40"/>
  <c r="CV224" i="40"/>
  <c r="CU224" i="40"/>
  <c r="CT224" i="40"/>
  <c r="CS224" i="40"/>
  <c r="CR224" i="40"/>
  <c r="CQ224" i="40"/>
  <c r="CP224" i="40"/>
  <c r="CO224" i="40"/>
  <c r="CN224" i="40"/>
  <c r="CM224" i="40"/>
  <c r="CL224" i="40"/>
  <c r="CK224" i="40"/>
  <c r="CJ224" i="40"/>
  <c r="CI224" i="40"/>
  <c r="DB223" i="40"/>
  <c r="CV223" i="40"/>
  <c r="CU223" i="40"/>
  <c r="CT223" i="40"/>
  <c r="CS223" i="40"/>
  <c r="CR223" i="40"/>
  <c r="CQ223" i="40"/>
  <c r="CP223" i="40"/>
  <c r="CO223" i="40"/>
  <c r="CN223" i="40"/>
  <c r="CM223" i="40"/>
  <c r="CL223" i="40"/>
  <c r="CK223" i="40"/>
  <c r="CJ223" i="40"/>
  <c r="CI223" i="40"/>
  <c r="DB222" i="40"/>
  <c r="CV222" i="40"/>
  <c r="CU222" i="40"/>
  <c r="CT222" i="40"/>
  <c r="CS222" i="40"/>
  <c r="CR222" i="40"/>
  <c r="CQ222" i="40"/>
  <c r="CP222" i="40"/>
  <c r="CO222" i="40"/>
  <c r="CN222" i="40"/>
  <c r="CM222" i="40"/>
  <c r="CL222" i="40"/>
  <c r="CK222" i="40"/>
  <c r="CJ222" i="40"/>
  <c r="CI222" i="40"/>
  <c r="DB221" i="40"/>
  <c r="CV221" i="40"/>
  <c r="CU221" i="40"/>
  <c r="CT221" i="40"/>
  <c r="CS221" i="40"/>
  <c r="CR221" i="40"/>
  <c r="CQ221" i="40"/>
  <c r="CP221" i="40"/>
  <c r="CO221" i="40"/>
  <c r="CN221" i="40"/>
  <c r="CM221" i="40"/>
  <c r="CL221" i="40"/>
  <c r="CK221" i="40"/>
  <c r="CJ221" i="40"/>
  <c r="CI221" i="40"/>
  <c r="DB220" i="40"/>
  <c r="CV220" i="40"/>
  <c r="CU220" i="40"/>
  <c r="CT220" i="40"/>
  <c r="CS220" i="40"/>
  <c r="CR220" i="40"/>
  <c r="CQ220" i="40"/>
  <c r="CP220" i="40"/>
  <c r="CO220" i="40"/>
  <c r="CN220" i="40"/>
  <c r="CM220" i="40"/>
  <c r="CL220" i="40"/>
  <c r="CK220" i="40"/>
  <c r="CJ220" i="40"/>
  <c r="CI220" i="40"/>
  <c r="DB219" i="40"/>
  <c r="CV219" i="40"/>
  <c r="CU219" i="40"/>
  <c r="CT219" i="40"/>
  <c r="CS219" i="40"/>
  <c r="CR219" i="40"/>
  <c r="CQ219" i="40"/>
  <c r="CP219" i="40"/>
  <c r="CO219" i="40"/>
  <c r="CN219" i="40"/>
  <c r="CM219" i="40"/>
  <c r="CL219" i="40"/>
  <c r="CK219" i="40"/>
  <c r="CJ219" i="40"/>
  <c r="CI219" i="40"/>
  <c r="DB218" i="40"/>
  <c r="CV218" i="40"/>
  <c r="CU218" i="40"/>
  <c r="CT218" i="40"/>
  <c r="CS218" i="40"/>
  <c r="CR218" i="40"/>
  <c r="CQ218" i="40"/>
  <c r="CP218" i="40"/>
  <c r="CO218" i="40"/>
  <c r="CN218" i="40"/>
  <c r="CM218" i="40"/>
  <c r="CL218" i="40"/>
  <c r="CK218" i="40"/>
  <c r="CJ218" i="40"/>
  <c r="CI218" i="40"/>
  <c r="DB217" i="40"/>
  <c r="CV217" i="40"/>
  <c r="CU217" i="40"/>
  <c r="CT217" i="40"/>
  <c r="CS217" i="40"/>
  <c r="CR217" i="40"/>
  <c r="CQ217" i="40"/>
  <c r="CP217" i="40"/>
  <c r="CO217" i="40"/>
  <c r="CN217" i="40"/>
  <c r="CM217" i="40"/>
  <c r="CL217" i="40"/>
  <c r="CK217" i="40"/>
  <c r="CJ217" i="40"/>
  <c r="CI217" i="40"/>
  <c r="DB216" i="40"/>
  <c r="CV216" i="40"/>
  <c r="CU216" i="40"/>
  <c r="CT216" i="40"/>
  <c r="CS216" i="40"/>
  <c r="CR216" i="40"/>
  <c r="CQ216" i="40"/>
  <c r="CP216" i="40"/>
  <c r="CO216" i="40"/>
  <c r="CN216" i="40"/>
  <c r="CM216" i="40"/>
  <c r="CL216" i="40"/>
  <c r="CK216" i="40"/>
  <c r="CJ216" i="40"/>
  <c r="CI216" i="40"/>
  <c r="DB215" i="40"/>
  <c r="CV215" i="40"/>
  <c r="CU215" i="40"/>
  <c r="CT215" i="40"/>
  <c r="CS215" i="40"/>
  <c r="CR215" i="40"/>
  <c r="CQ215" i="40"/>
  <c r="CP215" i="40"/>
  <c r="CO215" i="40"/>
  <c r="CN215" i="40"/>
  <c r="CM215" i="40"/>
  <c r="CL215" i="40"/>
  <c r="CK215" i="40"/>
  <c r="CJ215" i="40"/>
  <c r="CI215" i="40"/>
  <c r="DB214" i="40"/>
  <c r="CV214" i="40"/>
  <c r="CU214" i="40"/>
  <c r="CT214" i="40"/>
  <c r="CS214" i="40"/>
  <c r="CR214" i="40"/>
  <c r="CQ214" i="40"/>
  <c r="CP214" i="40"/>
  <c r="CO214" i="40"/>
  <c r="CN214" i="40"/>
  <c r="CM214" i="40"/>
  <c r="CL214" i="40"/>
  <c r="CK214" i="40"/>
  <c r="CJ214" i="40"/>
  <c r="CI214" i="40"/>
  <c r="DB213" i="40"/>
  <c r="CV213" i="40"/>
  <c r="CU213" i="40"/>
  <c r="CT213" i="40"/>
  <c r="CS213" i="40"/>
  <c r="CR213" i="40"/>
  <c r="CQ213" i="40"/>
  <c r="CP213" i="40"/>
  <c r="CO213" i="40"/>
  <c r="CN213" i="40"/>
  <c r="CM213" i="40"/>
  <c r="CL213" i="40"/>
  <c r="CK213" i="40"/>
  <c r="CJ213" i="40"/>
  <c r="CI213" i="40"/>
  <c r="DB212" i="40"/>
  <c r="CV212" i="40"/>
  <c r="CU212" i="40"/>
  <c r="CT212" i="40"/>
  <c r="CS212" i="40"/>
  <c r="CR212" i="40"/>
  <c r="CQ212" i="40"/>
  <c r="CP212" i="40"/>
  <c r="CO212" i="40"/>
  <c r="CN212" i="40"/>
  <c r="CM212" i="40"/>
  <c r="CL212" i="40"/>
  <c r="CK212" i="40"/>
  <c r="CJ212" i="40"/>
  <c r="CI212" i="40"/>
  <c r="DB211" i="40"/>
  <c r="CV211" i="40"/>
  <c r="CU211" i="40"/>
  <c r="CT211" i="40"/>
  <c r="CS211" i="40"/>
  <c r="CR211" i="40"/>
  <c r="CQ211" i="40"/>
  <c r="CP211" i="40"/>
  <c r="CO211" i="40"/>
  <c r="CN211" i="40"/>
  <c r="CM211" i="40"/>
  <c r="CL211" i="40"/>
  <c r="CK211" i="40"/>
  <c r="CJ211" i="40"/>
  <c r="CI211" i="40"/>
  <c r="DB210" i="40"/>
  <c r="CV210" i="40"/>
  <c r="CU210" i="40"/>
  <c r="CT210" i="40"/>
  <c r="CS210" i="40"/>
  <c r="CR210" i="40"/>
  <c r="CQ210" i="40"/>
  <c r="CP210" i="40"/>
  <c r="CO210" i="40"/>
  <c r="CN210" i="40"/>
  <c r="CM210" i="40"/>
  <c r="CL210" i="40"/>
  <c r="CK210" i="40"/>
  <c r="CJ210" i="40"/>
  <c r="CI210" i="40"/>
  <c r="DB209" i="40"/>
  <c r="CV209" i="40"/>
  <c r="CU209" i="40"/>
  <c r="CT209" i="40"/>
  <c r="CS209" i="40"/>
  <c r="CR209" i="40"/>
  <c r="CQ209" i="40"/>
  <c r="CP209" i="40"/>
  <c r="CO209" i="40"/>
  <c r="CN209" i="40"/>
  <c r="CM209" i="40"/>
  <c r="CL209" i="40"/>
  <c r="CK209" i="40"/>
  <c r="CJ209" i="40"/>
  <c r="CI209" i="40"/>
  <c r="DB208" i="40"/>
  <c r="CV208" i="40"/>
  <c r="CU208" i="40"/>
  <c r="CT208" i="40"/>
  <c r="CS208" i="40"/>
  <c r="CR208" i="40"/>
  <c r="CQ208" i="40"/>
  <c r="CP208" i="40"/>
  <c r="CO208" i="40"/>
  <c r="CN208" i="40"/>
  <c r="CM208" i="40"/>
  <c r="CL208" i="40"/>
  <c r="CK208" i="40"/>
  <c r="CJ208" i="40"/>
  <c r="CI208" i="40"/>
  <c r="DB207" i="40"/>
  <c r="CV207" i="40"/>
  <c r="CU207" i="40"/>
  <c r="CT207" i="40"/>
  <c r="CS207" i="40"/>
  <c r="CR207" i="40"/>
  <c r="CQ207" i="40"/>
  <c r="CP207" i="40"/>
  <c r="CO207" i="40"/>
  <c r="CN207" i="40"/>
  <c r="CM207" i="40"/>
  <c r="CL207" i="40"/>
  <c r="CK207" i="40"/>
  <c r="CJ207" i="40"/>
  <c r="CI207" i="40"/>
  <c r="DB206" i="40"/>
  <c r="CV206" i="40"/>
  <c r="CU206" i="40"/>
  <c r="CT206" i="40"/>
  <c r="CS206" i="40"/>
  <c r="CR206" i="40"/>
  <c r="CQ206" i="40"/>
  <c r="CP206" i="40"/>
  <c r="CO206" i="40"/>
  <c r="CN206" i="40"/>
  <c r="CM206" i="40"/>
  <c r="CL206" i="40"/>
  <c r="CK206" i="40"/>
  <c r="CJ206" i="40"/>
  <c r="CI206" i="40"/>
  <c r="DB205" i="40"/>
  <c r="CV205" i="40"/>
  <c r="CU205" i="40"/>
  <c r="CT205" i="40"/>
  <c r="CS205" i="40"/>
  <c r="CR205" i="40"/>
  <c r="CQ205" i="40"/>
  <c r="CP205" i="40"/>
  <c r="CO205" i="40"/>
  <c r="CN205" i="40"/>
  <c r="CM205" i="40"/>
  <c r="CL205" i="40"/>
  <c r="CK205" i="40"/>
  <c r="CJ205" i="40"/>
  <c r="CI205" i="40"/>
  <c r="DB204" i="40"/>
  <c r="CV204" i="40"/>
  <c r="CU204" i="40"/>
  <c r="CT204" i="40"/>
  <c r="CS204" i="40"/>
  <c r="CR204" i="40"/>
  <c r="CQ204" i="40"/>
  <c r="CP204" i="40"/>
  <c r="CO204" i="40"/>
  <c r="CN204" i="40"/>
  <c r="CM204" i="40"/>
  <c r="CL204" i="40"/>
  <c r="CK204" i="40"/>
  <c r="CJ204" i="40"/>
  <c r="CI204" i="40"/>
  <c r="DB203" i="40"/>
  <c r="CV203" i="40"/>
  <c r="CU203" i="40"/>
  <c r="CT203" i="40"/>
  <c r="CS203" i="40"/>
  <c r="CR203" i="40"/>
  <c r="CQ203" i="40"/>
  <c r="CP203" i="40"/>
  <c r="CO203" i="40"/>
  <c r="CN203" i="40"/>
  <c r="CM203" i="40"/>
  <c r="CL203" i="40"/>
  <c r="CK203" i="40"/>
  <c r="CJ203" i="40"/>
  <c r="CI203" i="40"/>
  <c r="DB202" i="40"/>
  <c r="CV202" i="40"/>
  <c r="CU202" i="40"/>
  <c r="CT202" i="40"/>
  <c r="CS202" i="40"/>
  <c r="CR202" i="40"/>
  <c r="CQ202" i="40"/>
  <c r="CP202" i="40"/>
  <c r="CO202" i="40"/>
  <c r="CN202" i="40"/>
  <c r="CM202" i="40"/>
  <c r="CL202" i="40"/>
  <c r="CK202" i="40"/>
  <c r="CJ202" i="40"/>
  <c r="CI202" i="40"/>
  <c r="DB201" i="40"/>
  <c r="CV201" i="40"/>
  <c r="CU201" i="40"/>
  <c r="CT201" i="40"/>
  <c r="CS201" i="40"/>
  <c r="CR201" i="40"/>
  <c r="CQ201" i="40"/>
  <c r="CP201" i="40"/>
  <c r="CO201" i="40"/>
  <c r="CN201" i="40"/>
  <c r="CM201" i="40"/>
  <c r="CL201" i="40"/>
  <c r="CK201" i="40"/>
  <c r="CJ201" i="40"/>
  <c r="CI201" i="40"/>
  <c r="DB200" i="40"/>
  <c r="CV200" i="40"/>
  <c r="CU200" i="40"/>
  <c r="CT200" i="40"/>
  <c r="CS200" i="40"/>
  <c r="CR200" i="40"/>
  <c r="CQ200" i="40"/>
  <c r="CP200" i="40"/>
  <c r="CO200" i="40"/>
  <c r="CN200" i="40"/>
  <c r="CM200" i="40"/>
  <c r="CL200" i="40"/>
  <c r="CK200" i="40"/>
  <c r="CJ200" i="40"/>
  <c r="CI200" i="40"/>
  <c r="DB199" i="40"/>
  <c r="CV199" i="40"/>
  <c r="CU199" i="40"/>
  <c r="CT199" i="40"/>
  <c r="CS199" i="40"/>
  <c r="CR199" i="40"/>
  <c r="CQ199" i="40"/>
  <c r="CP199" i="40"/>
  <c r="CO199" i="40"/>
  <c r="CN199" i="40"/>
  <c r="CM199" i="40"/>
  <c r="CL199" i="40"/>
  <c r="CK199" i="40"/>
  <c r="CJ199" i="40"/>
  <c r="CI199" i="40"/>
  <c r="DB198" i="40"/>
  <c r="CV198" i="40"/>
  <c r="CU198" i="40"/>
  <c r="CT198" i="40"/>
  <c r="CS198" i="40"/>
  <c r="CR198" i="40"/>
  <c r="CQ198" i="40"/>
  <c r="CP198" i="40"/>
  <c r="CO198" i="40"/>
  <c r="CN198" i="40"/>
  <c r="CM198" i="40"/>
  <c r="CL198" i="40"/>
  <c r="CK198" i="40"/>
  <c r="CJ198" i="40"/>
  <c r="CI198" i="40"/>
  <c r="DB197" i="40"/>
  <c r="CV197" i="40"/>
  <c r="CU197" i="40"/>
  <c r="CT197" i="40"/>
  <c r="CS197" i="40"/>
  <c r="CR197" i="40"/>
  <c r="CQ197" i="40"/>
  <c r="CP197" i="40"/>
  <c r="CO197" i="40"/>
  <c r="CN197" i="40"/>
  <c r="CM197" i="40"/>
  <c r="CL197" i="40"/>
  <c r="CK197" i="40"/>
  <c r="CJ197" i="40"/>
  <c r="CI197" i="40"/>
  <c r="DB196" i="40"/>
  <c r="CV196" i="40"/>
  <c r="CU196" i="40"/>
  <c r="CT196" i="40"/>
  <c r="CS196" i="40"/>
  <c r="CR196" i="40"/>
  <c r="CQ196" i="40"/>
  <c r="CP196" i="40"/>
  <c r="CO196" i="40"/>
  <c r="CN196" i="40"/>
  <c r="CM196" i="40"/>
  <c r="CL196" i="40"/>
  <c r="CK196" i="40"/>
  <c r="CJ196" i="40"/>
  <c r="CI196" i="40"/>
  <c r="DB195" i="40"/>
  <c r="CV195" i="40"/>
  <c r="CU195" i="40"/>
  <c r="CT195" i="40"/>
  <c r="CS195" i="40"/>
  <c r="CR195" i="40"/>
  <c r="CQ195" i="40"/>
  <c r="CP195" i="40"/>
  <c r="CO195" i="40"/>
  <c r="CN195" i="40"/>
  <c r="CM195" i="40"/>
  <c r="CL195" i="40"/>
  <c r="CK195" i="40"/>
  <c r="CJ195" i="40"/>
  <c r="CI195" i="40"/>
  <c r="DB194" i="40"/>
  <c r="CV194" i="40"/>
  <c r="CU194" i="40"/>
  <c r="CT194" i="40"/>
  <c r="CS194" i="40"/>
  <c r="CR194" i="40"/>
  <c r="CQ194" i="40"/>
  <c r="CP194" i="40"/>
  <c r="CO194" i="40"/>
  <c r="CN194" i="40"/>
  <c r="CM194" i="40"/>
  <c r="CL194" i="40"/>
  <c r="CK194" i="40"/>
  <c r="CJ194" i="40"/>
  <c r="CI194" i="40"/>
  <c r="DB193" i="40"/>
  <c r="CV193" i="40"/>
  <c r="CU193" i="40"/>
  <c r="CT193" i="40"/>
  <c r="CS193" i="40"/>
  <c r="CR193" i="40"/>
  <c r="CQ193" i="40"/>
  <c r="CP193" i="40"/>
  <c r="CO193" i="40"/>
  <c r="CN193" i="40"/>
  <c r="CM193" i="40"/>
  <c r="CL193" i="40"/>
  <c r="CK193" i="40"/>
  <c r="CJ193" i="40"/>
  <c r="CI193" i="40"/>
  <c r="DB192" i="40"/>
  <c r="CV192" i="40"/>
  <c r="CU192" i="40"/>
  <c r="CT192" i="40"/>
  <c r="CS192" i="40"/>
  <c r="CR192" i="40"/>
  <c r="CQ192" i="40"/>
  <c r="CP192" i="40"/>
  <c r="CO192" i="40"/>
  <c r="CN192" i="40"/>
  <c r="CM192" i="40"/>
  <c r="CL192" i="40"/>
  <c r="CK192" i="40"/>
  <c r="CJ192" i="40"/>
  <c r="CI192" i="40"/>
  <c r="DB191" i="40"/>
  <c r="CV191" i="40"/>
  <c r="CU191" i="40"/>
  <c r="CT191" i="40"/>
  <c r="CS191" i="40"/>
  <c r="CR191" i="40"/>
  <c r="CQ191" i="40"/>
  <c r="CP191" i="40"/>
  <c r="CO191" i="40"/>
  <c r="CN191" i="40"/>
  <c r="CM191" i="40"/>
  <c r="CL191" i="40"/>
  <c r="CK191" i="40"/>
  <c r="CJ191" i="40"/>
  <c r="CI191" i="40"/>
  <c r="DB190" i="40"/>
  <c r="CV190" i="40"/>
  <c r="CU190" i="40"/>
  <c r="CT190" i="40"/>
  <c r="CS190" i="40"/>
  <c r="CR190" i="40"/>
  <c r="CQ190" i="40"/>
  <c r="CP190" i="40"/>
  <c r="CO190" i="40"/>
  <c r="CN190" i="40"/>
  <c r="CM190" i="40"/>
  <c r="CL190" i="40"/>
  <c r="CK190" i="40"/>
  <c r="CJ190" i="40"/>
  <c r="CI190" i="40"/>
  <c r="DB189" i="40"/>
  <c r="CV189" i="40"/>
  <c r="CU189" i="40"/>
  <c r="CT189" i="40"/>
  <c r="CS189" i="40"/>
  <c r="CR189" i="40"/>
  <c r="CQ189" i="40"/>
  <c r="CP189" i="40"/>
  <c r="CO189" i="40"/>
  <c r="CN189" i="40"/>
  <c r="CM189" i="40"/>
  <c r="CL189" i="40"/>
  <c r="CK189" i="40"/>
  <c r="CJ189" i="40"/>
  <c r="CI189" i="40"/>
  <c r="DB188" i="40"/>
  <c r="CV188" i="40"/>
  <c r="CU188" i="40"/>
  <c r="CT188" i="40"/>
  <c r="CS188" i="40"/>
  <c r="CR188" i="40"/>
  <c r="CQ188" i="40"/>
  <c r="CP188" i="40"/>
  <c r="CO188" i="40"/>
  <c r="CN188" i="40"/>
  <c r="CM188" i="40"/>
  <c r="CL188" i="40"/>
  <c r="CK188" i="40"/>
  <c r="CJ188" i="40"/>
  <c r="CI188" i="40"/>
  <c r="DB187" i="40"/>
  <c r="CV187" i="40"/>
  <c r="CU187" i="40"/>
  <c r="CT187" i="40"/>
  <c r="CS187" i="40"/>
  <c r="CR187" i="40"/>
  <c r="CQ187" i="40"/>
  <c r="CP187" i="40"/>
  <c r="CO187" i="40"/>
  <c r="CN187" i="40"/>
  <c r="CM187" i="40"/>
  <c r="CL187" i="40"/>
  <c r="CK187" i="40"/>
  <c r="CJ187" i="40"/>
  <c r="CI187" i="40"/>
  <c r="DB186" i="40"/>
  <c r="CV186" i="40"/>
  <c r="CU186" i="40"/>
  <c r="CT186" i="40"/>
  <c r="CS186" i="40"/>
  <c r="CR186" i="40"/>
  <c r="CQ186" i="40"/>
  <c r="CP186" i="40"/>
  <c r="CO186" i="40"/>
  <c r="CN186" i="40"/>
  <c r="CM186" i="40"/>
  <c r="CL186" i="40"/>
  <c r="CK186" i="40"/>
  <c r="CJ186" i="40"/>
  <c r="CI186" i="40"/>
  <c r="DB185" i="40"/>
  <c r="CV185" i="40"/>
  <c r="CU185" i="40"/>
  <c r="CT185" i="40"/>
  <c r="CS185" i="40"/>
  <c r="CR185" i="40"/>
  <c r="CQ185" i="40"/>
  <c r="CP185" i="40"/>
  <c r="CO185" i="40"/>
  <c r="CN185" i="40"/>
  <c r="CM185" i="40"/>
  <c r="CL185" i="40"/>
  <c r="CK185" i="40"/>
  <c r="CJ185" i="40"/>
  <c r="CI185" i="40"/>
  <c r="DB184" i="40"/>
  <c r="CV184" i="40"/>
  <c r="CU184" i="40"/>
  <c r="CT184" i="40"/>
  <c r="CS184" i="40"/>
  <c r="CR184" i="40"/>
  <c r="CQ184" i="40"/>
  <c r="CP184" i="40"/>
  <c r="CO184" i="40"/>
  <c r="CN184" i="40"/>
  <c r="CM184" i="40"/>
  <c r="CL184" i="40"/>
  <c r="CK184" i="40"/>
  <c r="CJ184" i="40"/>
  <c r="CI184" i="40"/>
  <c r="DB183" i="40"/>
  <c r="CV183" i="40"/>
  <c r="CU183" i="40"/>
  <c r="CT183" i="40"/>
  <c r="CS183" i="40"/>
  <c r="CR183" i="40"/>
  <c r="CQ183" i="40"/>
  <c r="CP183" i="40"/>
  <c r="CO183" i="40"/>
  <c r="CN183" i="40"/>
  <c r="CM183" i="40"/>
  <c r="CL183" i="40"/>
  <c r="CK183" i="40"/>
  <c r="CJ183" i="40"/>
  <c r="CI183" i="40"/>
  <c r="DB182" i="40"/>
  <c r="CV182" i="40"/>
  <c r="CU182" i="40"/>
  <c r="CT182" i="40"/>
  <c r="CS182" i="40"/>
  <c r="CR182" i="40"/>
  <c r="CQ182" i="40"/>
  <c r="CP182" i="40"/>
  <c r="CO182" i="40"/>
  <c r="CN182" i="40"/>
  <c r="CM182" i="40"/>
  <c r="CL182" i="40"/>
  <c r="CK182" i="40"/>
  <c r="CJ182" i="40"/>
  <c r="CI182" i="40"/>
  <c r="DB181" i="40"/>
  <c r="CV181" i="40"/>
  <c r="CU181" i="40"/>
  <c r="CT181" i="40"/>
  <c r="CS181" i="40"/>
  <c r="CR181" i="40"/>
  <c r="CQ181" i="40"/>
  <c r="CP181" i="40"/>
  <c r="CO181" i="40"/>
  <c r="CN181" i="40"/>
  <c r="CM181" i="40"/>
  <c r="CL181" i="40"/>
  <c r="CK181" i="40"/>
  <c r="CJ181" i="40"/>
  <c r="CI181" i="40"/>
  <c r="DB180" i="40"/>
  <c r="CV180" i="40"/>
  <c r="CU180" i="40"/>
  <c r="CT180" i="40"/>
  <c r="CS180" i="40"/>
  <c r="CR180" i="40"/>
  <c r="CQ180" i="40"/>
  <c r="CP180" i="40"/>
  <c r="CO180" i="40"/>
  <c r="CN180" i="40"/>
  <c r="CM180" i="40"/>
  <c r="CL180" i="40"/>
  <c r="CK180" i="40"/>
  <c r="CJ180" i="40"/>
  <c r="CI180" i="40"/>
  <c r="DB179" i="40"/>
  <c r="CV179" i="40"/>
  <c r="CU179" i="40"/>
  <c r="CT179" i="40"/>
  <c r="CS179" i="40"/>
  <c r="CR179" i="40"/>
  <c r="CQ179" i="40"/>
  <c r="CP179" i="40"/>
  <c r="CO179" i="40"/>
  <c r="CN179" i="40"/>
  <c r="CM179" i="40"/>
  <c r="CL179" i="40"/>
  <c r="CK179" i="40"/>
  <c r="CJ179" i="40"/>
  <c r="CI179" i="40"/>
  <c r="DB178" i="40"/>
  <c r="CV178" i="40"/>
  <c r="CU178" i="40"/>
  <c r="CT178" i="40"/>
  <c r="CS178" i="40"/>
  <c r="CR178" i="40"/>
  <c r="CQ178" i="40"/>
  <c r="CP178" i="40"/>
  <c r="CO178" i="40"/>
  <c r="CN178" i="40"/>
  <c r="CM178" i="40"/>
  <c r="CL178" i="40"/>
  <c r="CK178" i="40"/>
  <c r="CJ178" i="40"/>
  <c r="CI178" i="40"/>
  <c r="DB177" i="40"/>
  <c r="CV177" i="40"/>
  <c r="CU177" i="40"/>
  <c r="CT177" i="40"/>
  <c r="CS177" i="40"/>
  <c r="CR177" i="40"/>
  <c r="CQ177" i="40"/>
  <c r="CP177" i="40"/>
  <c r="CO177" i="40"/>
  <c r="CN177" i="40"/>
  <c r="CM177" i="40"/>
  <c r="CL177" i="40"/>
  <c r="CK177" i="40"/>
  <c r="CJ177" i="40"/>
  <c r="CI177" i="40"/>
  <c r="DB176" i="40"/>
  <c r="CV176" i="40"/>
  <c r="CU176" i="40"/>
  <c r="CT176" i="40"/>
  <c r="CS176" i="40"/>
  <c r="CR176" i="40"/>
  <c r="CQ176" i="40"/>
  <c r="CP176" i="40"/>
  <c r="CO176" i="40"/>
  <c r="CN176" i="40"/>
  <c r="CM176" i="40"/>
  <c r="CL176" i="40"/>
  <c r="CK176" i="40"/>
  <c r="CJ176" i="40"/>
  <c r="CI176" i="40"/>
  <c r="DB175" i="40"/>
  <c r="CV175" i="40"/>
  <c r="CU175" i="40"/>
  <c r="CT175" i="40"/>
  <c r="CS175" i="40"/>
  <c r="CR175" i="40"/>
  <c r="CQ175" i="40"/>
  <c r="CP175" i="40"/>
  <c r="CO175" i="40"/>
  <c r="CN175" i="40"/>
  <c r="CM175" i="40"/>
  <c r="CL175" i="40"/>
  <c r="CK175" i="40"/>
  <c r="CJ175" i="40"/>
  <c r="CI175" i="40"/>
  <c r="DB174" i="40"/>
  <c r="CV174" i="40"/>
  <c r="CU174" i="40"/>
  <c r="CT174" i="40"/>
  <c r="CS174" i="40"/>
  <c r="CR174" i="40"/>
  <c r="CQ174" i="40"/>
  <c r="CP174" i="40"/>
  <c r="CO174" i="40"/>
  <c r="CN174" i="40"/>
  <c r="CM174" i="40"/>
  <c r="CL174" i="40"/>
  <c r="CK174" i="40"/>
  <c r="CJ174" i="40"/>
  <c r="CI174" i="40"/>
  <c r="DB173" i="40"/>
  <c r="CV173" i="40"/>
  <c r="CU173" i="40"/>
  <c r="CT173" i="40"/>
  <c r="CS173" i="40"/>
  <c r="CR173" i="40"/>
  <c r="CQ173" i="40"/>
  <c r="CP173" i="40"/>
  <c r="CO173" i="40"/>
  <c r="CN173" i="40"/>
  <c r="CM173" i="40"/>
  <c r="CL173" i="40"/>
  <c r="CK173" i="40"/>
  <c r="CJ173" i="40"/>
  <c r="CI173" i="40"/>
  <c r="DB172" i="40"/>
  <c r="CV172" i="40"/>
  <c r="CU172" i="40"/>
  <c r="CT172" i="40"/>
  <c r="CS172" i="40"/>
  <c r="CR172" i="40"/>
  <c r="CQ172" i="40"/>
  <c r="CP172" i="40"/>
  <c r="CO172" i="40"/>
  <c r="CN172" i="40"/>
  <c r="CM172" i="40"/>
  <c r="CL172" i="40"/>
  <c r="CK172" i="40"/>
  <c r="CJ172" i="40"/>
  <c r="CI172" i="40"/>
  <c r="DB171" i="40"/>
  <c r="CV171" i="40"/>
  <c r="CU171" i="40"/>
  <c r="CT171" i="40"/>
  <c r="CS171" i="40"/>
  <c r="CR171" i="40"/>
  <c r="CQ171" i="40"/>
  <c r="CP171" i="40"/>
  <c r="CO171" i="40"/>
  <c r="CN171" i="40"/>
  <c r="CM171" i="40"/>
  <c r="CL171" i="40"/>
  <c r="CK171" i="40"/>
  <c r="CJ171" i="40"/>
  <c r="CI171" i="40"/>
  <c r="DB170" i="40"/>
  <c r="CV170" i="40"/>
  <c r="CU170" i="40"/>
  <c r="CT170" i="40"/>
  <c r="CS170" i="40"/>
  <c r="CR170" i="40"/>
  <c r="CQ170" i="40"/>
  <c r="CP170" i="40"/>
  <c r="CO170" i="40"/>
  <c r="CN170" i="40"/>
  <c r="CM170" i="40"/>
  <c r="CL170" i="40"/>
  <c r="CK170" i="40"/>
  <c r="CJ170" i="40"/>
  <c r="CI170" i="40"/>
  <c r="DB169" i="40"/>
  <c r="CV169" i="40"/>
  <c r="CU169" i="40"/>
  <c r="CT169" i="40"/>
  <c r="CS169" i="40"/>
  <c r="CR169" i="40"/>
  <c r="CQ169" i="40"/>
  <c r="CP169" i="40"/>
  <c r="CO169" i="40"/>
  <c r="CN169" i="40"/>
  <c r="CM169" i="40"/>
  <c r="CL169" i="40"/>
  <c r="CK169" i="40"/>
  <c r="CJ169" i="40"/>
  <c r="CI169" i="40"/>
  <c r="DB168" i="40"/>
  <c r="CV168" i="40"/>
  <c r="CU168" i="40"/>
  <c r="CT168" i="40"/>
  <c r="CS168" i="40"/>
  <c r="CR168" i="40"/>
  <c r="CQ168" i="40"/>
  <c r="CP168" i="40"/>
  <c r="CO168" i="40"/>
  <c r="CN168" i="40"/>
  <c r="CM168" i="40"/>
  <c r="CL168" i="40"/>
  <c r="CK168" i="40"/>
  <c r="CJ168" i="40"/>
  <c r="CI168" i="40"/>
  <c r="DB167" i="40"/>
  <c r="CV167" i="40"/>
  <c r="CU167" i="40"/>
  <c r="CT167" i="40"/>
  <c r="CS167" i="40"/>
  <c r="CR167" i="40"/>
  <c r="CQ167" i="40"/>
  <c r="CP167" i="40"/>
  <c r="CO167" i="40"/>
  <c r="CN167" i="40"/>
  <c r="CM167" i="40"/>
  <c r="CL167" i="40"/>
  <c r="CK167" i="40"/>
  <c r="CJ167" i="40"/>
  <c r="CI167" i="40"/>
  <c r="DB166" i="40"/>
  <c r="CV166" i="40"/>
  <c r="CU166" i="40"/>
  <c r="CT166" i="40"/>
  <c r="CS166" i="40"/>
  <c r="CR166" i="40"/>
  <c r="CQ166" i="40"/>
  <c r="CP166" i="40"/>
  <c r="CO166" i="40"/>
  <c r="CN166" i="40"/>
  <c r="CM166" i="40"/>
  <c r="CL166" i="40"/>
  <c r="CK166" i="40"/>
  <c r="CJ166" i="40"/>
  <c r="CI166" i="40"/>
  <c r="DB165" i="40"/>
  <c r="CV165" i="40"/>
  <c r="CU165" i="40"/>
  <c r="CT165" i="40"/>
  <c r="CS165" i="40"/>
  <c r="CR165" i="40"/>
  <c r="CQ165" i="40"/>
  <c r="CP165" i="40"/>
  <c r="CO165" i="40"/>
  <c r="CN165" i="40"/>
  <c r="CM165" i="40"/>
  <c r="CL165" i="40"/>
  <c r="CK165" i="40"/>
  <c r="CJ165" i="40"/>
  <c r="CI165" i="40"/>
  <c r="DB164" i="40"/>
  <c r="CV164" i="40"/>
  <c r="CU164" i="40"/>
  <c r="CT164" i="40"/>
  <c r="CS164" i="40"/>
  <c r="CR164" i="40"/>
  <c r="CQ164" i="40"/>
  <c r="CP164" i="40"/>
  <c r="CO164" i="40"/>
  <c r="CN164" i="40"/>
  <c r="CM164" i="40"/>
  <c r="CL164" i="40"/>
  <c r="CK164" i="40"/>
  <c r="CJ164" i="40"/>
  <c r="CI164" i="40"/>
  <c r="DB163" i="40"/>
  <c r="CV163" i="40"/>
  <c r="CU163" i="40"/>
  <c r="CT163" i="40"/>
  <c r="CS163" i="40"/>
  <c r="CR163" i="40"/>
  <c r="CQ163" i="40"/>
  <c r="CP163" i="40"/>
  <c r="CO163" i="40"/>
  <c r="CN163" i="40"/>
  <c r="CM163" i="40"/>
  <c r="CL163" i="40"/>
  <c r="CK163" i="40"/>
  <c r="CJ163" i="40"/>
  <c r="CI163" i="40"/>
  <c r="DB162" i="40"/>
  <c r="CV162" i="40"/>
  <c r="CU162" i="40"/>
  <c r="CT162" i="40"/>
  <c r="CS162" i="40"/>
  <c r="CR162" i="40"/>
  <c r="CQ162" i="40"/>
  <c r="CP162" i="40"/>
  <c r="CO162" i="40"/>
  <c r="CN162" i="40"/>
  <c r="CM162" i="40"/>
  <c r="CL162" i="40"/>
  <c r="CK162" i="40"/>
  <c r="CJ162" i="40"/>
  <c r="CI162" i="40"/>
  <c r="DB161" i="40"/>
  <c r="CV161" i="40"/>
  <c r="CU161" i="40"/>
  <c r="CT161" i="40"/>
  <c r="CS161" i="40"/>
  <c r="CR161" i="40"/>
  <c r="CQ161" i="40"/>
  <c r="CP161" i="40"/>
  <c r="CO161" i="40"/>
  <c r="CN161" i="40"/>
  <c r="CM161" i="40"/>
  <c r="CL161" i="40"/>
  <c r="CK161" i="40"/>
  <c r="CJ161" i="40"/>
  <c r="CI161" i="40"/>
  <c r="DB160" i="40"/>
  <c r="CV160" i="40"/>
  <c r="CU160" i="40"/>
  <c r="CT160" i="40"/>
  <c r="CS160" i="40"/>
  <c r="CR160" i="40"/>
  <c r="CQ160" i="40"/>
  <c r="CP160" i="40"/>
  <c r="CO160" i="40"/>
  <c r="CN160" i="40"/>
  <c r="CM160" i="40"/>
  <c r="CL160" i="40"/>
  <c r="CK160" i="40"/>
  <c r="CJ160" i="40"/>
  <c r="CI160" i="40"/>
  <c r="DB159" i="40"/>
  <c r="CV159" i="40"/>
  <c r="CU159" i="40"/>
  <c r="CT159" i="40"/>
  <c r="CS159" i="40"/>
  <c r="CR159" i="40"/>
  <c r="CQ159" i="40"/>
  <c r="CP159" i="40"/>
  <c r="CO159" i="40"/>
  <c r="CN159" i="40"/>
  <c r="CM159" i="40"/>
  <c r="CL159" i="40"/>
  <c r="CK159" i="40"/>
  <c r="CJ159" i="40"/>
  <c r="CI159" i="40"/>
  <c r="DB158" i="40"/>
  <c r="CV158" i="40"/>
  <c r="CU158" i="40"/>
  <c r="CT158" i="40"/>
  <c r="CS158" i="40"/>
  <c r="CR158" i="40"/>
  <c r="CQ158" i="40"/>
  <c r="CP158" i="40"/>
  <c r="CO158" i="40"/>
  <c r="CN158" i="40"/>
  <c r="CM158" i="40"/>
  <c r="CL158" i="40"/>
  <c r="CK158" i="40"/>
  <c r="CJ158" i="40"/>
  <c r="CI158" i="40"/>
  <c r="DB157" i="40"/>
  <c r="CV157" i="40"/>
  <c r="CU157" i="40"/>
  <c r="CT157" i="40"/>
  <c r="CS157" i="40"/>
  <c r="CR157" i="40"/>
  <c r="CQ157" i="40"/>
  <c r="CP157" i="40"/>
  <c r="CO157" i="40"/>
  <c r="CN157" i="40"/>
  <c r="CM157" i="40"/>
  <c r="CL157" i="40"/>
  <c r="CK157" i="40"/>
  <c r="CJ157" i="40"/>
  <c r="CI157" i="40"/>
  <c r="DB156" i="40"/>
  <c r="CV156" i="40"/>
  <c r="CU156" i="40"/>
  <c r="CT156" i="40"/>
  <c r="CS156" i="40"/>
  <c r="CR156" i="40"/>
  <c r="CQ156" i="40"/>
  <c r="CP156" i="40"/>
  <c r="CO156" i="40"/>
  <c r="CN156" i="40"/>
  <c r="CM156" i="40"/>
  <c r="CL156" i="40"/>
  <c r="CK156" i="40"/>
  <c r="CJ156" i="40"/>
  <c r="CI156" i="40"/>
  <c r="DB155" i="40"/>
  <c r="CV155" i="40"/>
  <c r="CU155" i="40"/>
  <c r="CT155" i="40"/>
  <c r="CS155" i="40"/>
  <c r="CR155" i="40"/>
  <c r="CQ155" i="40"/>
  <c r="CP155" i="40"/>
  <c r="CO155" i="40"/>
  <c r="CN155" i="40"/>
  <c r="CM155" i="40"/>
  <c r="CL155" i="40"/>
  <c r="CK155" i="40"/>
  <c r="CJ155" i="40"/>
  <c r="CI155" i="40"/>
  <c r="DB154" i="40"/>
  <c r="CV154" i="40"/>
  <c r="CU154" i="40"/>
  <c r="CT154" i="40"/>
  <c r="CS154" i="40"/>
  <c r="CR154" i="40"/>
  <c r="CQ154" i="40"/>
  <c r="CP154" i="40"/>
  <c r="CO154" i="40"/>
  <c r="CN154" i="40"/>
  <c r="CM154" i="40"/>
  <c r="CL154" i="40"/>
  <c r="CK154" i="40"/>
  <c r="CJ154" i="40"/>
  <c r="CI154" i="40"/>
  <c r="DB153" i="40"/>
  <c r="CV153" i="40"/>
  <c r="CU153" i="40"/>
  <c r="CT153" i="40"/>
  <c r="CS153" i="40"/>
  <c r="CR153" i="40"/>
  <c r="CQ153" i="40"/>
  <c r="CP153" i="40"/>
  <c r="CO153" i="40"/>
  <c r="CN153" i="40"/>
  <c r="CM153" i="40"/>
  <c r="CL153" i="40"/>
  <c r="CK153" i="40"/>
  <c r="CJ153" i="40"/>
  <c r="CI153" i="40"/>
  <c r="DB152" i="40"/>
  <c r="CV152" i="40"/>
  <c r="CU152" i="40"/>
  <c r="CT152" i="40"/>
  <c r="CS152" i="40"/>
  <c r="CR152" i="40"/>
  <c r="CQ152" i="40"/>
  <c r="CP152" i="40"/>
  <c r="CO152" i="40"/>
  <c r="CN152" i="40"/>
  <c r="CM152" i="40"/>
  <c r="CL152" i="40"/>
  <c r="CK152" i="40"/>
  <c r="CJ152" i="40"/>
  <c r="CI152" i="40"/>
  <c r="DB151" i="40"/>
  <c r="CV151" i="40"/>
  <c r="CU151" i="40"/>
  <c r="CT151" i="40"/>
  <c r="CS151" i="40"/>
  <c r="CR151" i="40"/>
  <c r="CQ151" i="40"/>
  <c r="CP151" i="40"/>
  <c r="CO151" i="40"/>
  <c r="CN151" i="40"/>
  <c r="CM151" i="40"/>
  <c r="CL151" i="40"/>
  <c r="CK151" i="40"/>
  <c r="CJ151" i="40"/>
  <c r="CI151" i="40"/>
  <c r="DB150" i="40"/>
  <c r="CV150" i="40"/>
  <c r="CU150" i="40"/>
  <c r="CT150" i="40"/>
  <c r="CS150" i="40"/>
  <c r="CR150" i="40"/>
  <c r="CQ150" i="40"/>
  <c r="CP150" i="40"/>
  <c r="CO150" i="40"/>
  <c r="CN150" i="40"/>
  <c r="CM150" i="40"/>
  <c r="CL150" i="40"/>
  <c r="CK150" i="40"/>
  <c r="CJ150" i="40"/>
  <c r="CI150" i="40"/>
  <c r="DB149" i="40"/>
  <c r="CV149" i="40"/>
  <c r="CU149" i="40"/>
  <c r="CT149" i="40"/>
  <c r="CS149" i="40"/>
  <c r="CR149" i="40"/>
  <c r="CQ149" i="40"/>
  <c r="CP149" i="40"/>
  <c r="CO149" i="40"/>
  <c r="CN149" i="40"/>
  <c r="CM149" i="40"/>
  <c r="CL149" i="40"/>
  <c r="CK149" i="40"/>
  <c r="CJ149" i="40"/>
  <c r="CI149" i="40"/>
  <c r="DB148" i="40"/>
  <c r="CV148" i="40"/>
  <c r="CU148" i="40"/>
  <c r="CT148" i="40"/>
  <c r="CS148" i="40"/>
  <c r="CR148" i="40"/>
  <c r="CQ148" i="40"/>
  <c r="CP148" i="40"/>
  <c r="CO148" i="40"/>
  <c r="CN148" i="40"/>
  <c r="CM148" i="40"/>
  <c r="CL148" i="40"/>
  <c r="CK148" i="40"/>
  <c r="CJ148" i="40"/>
  <c r="CI148" i="40"/>
  <c r="DB147" i="40"/>
  <c r="CV147" i="40"/>
  <c r="CU147" i="40"/>
  <c r="CT147" i="40"/>
  <c r="CS147" i="40"/>
  <c r="CR147" i="40"/>
  <c r="CQ147" i="40"/>
  <c r="CP147" i="40"/>
  <c r="CO147" i="40"/>
  <c r="CN147" i="40"/>
  <c r="CM147" i="40"/>
  <c r="CL147" i="40"/>
  <c r="CK147" i="40"/>
  <c r="CJ147" i="40"/>
  <c r="CI147" i="40"/>
  <c r="DB146" i="40"/>
  <c r="CV146" i="40"/>
  <c r="CU146" i="40"/>
  <c r="CT146" i="40"/>
  <c r="CS146" i="40"/>
  <c r="CR146" i="40"/>
  <c r="CQ146" i="40"/>
  <c r="CP146" i="40"/>
  <c r="CO146" i="40"/>
  <c r="CN146" i="40"/>
  <c r="CM146" i="40"/>
  <c r="CL146" i="40"/>
  <c r="CK146" i="40"/>
  <c r="CJ146" i="40"/>
  <c r="CI146" i="40"/>
  <c r="DB145" i="40"/>
  <c r="CV145" i="40"/>
  <c r="CU145" i="40"/>
  <c r="CT145" i="40"/>
  <c r="CS145" i="40"/>
  <c r="CR145" i="40"/>
  <c r="CQ145" i="40"/>
  <c r="CP145" i="40"/>
  <c r="CO145" i="40"/>
  <c r="CN145" i="40"/>
  <c r="CM145" i="40"/>
  <c r="CL145" i="40"/>
  <c r="CK145" i="40"/>
  <c r="CJ145" i="40"/>
  <c r="CI145" i="40"/>
  <c r="DB144" i="40"/>
  <c r="CV144" i="40"/>
  <c r="CU144" i="40"/>
  <c r="CT144" i="40"/>
  <c r="CS144" i="40"/>
  <c r="CR144" i="40"/>
  <c r="CQ144" i="40"/>
  <c r="CP144" i="40"/>
  <c r="CO144" i="40"/>
  <c r="CN144" i="40"/>
  <c r="CM144" i="40"/>
  <c r="CL144" i="40"/>
  <c r="CK144" i="40"/>
  <c r="CJ144" i="40"/>
  <c r="CI144" i="40"/>
  <c r="DB143" i="40"/>
  <c r="CV143" i="40"/>
  <c r="CU143" i="40"/>
  <c r="CT143" i="40"/>
  <c r="CS143" i="40"/>
  <c r="CR143" i="40"/>
  <c r="CQ143" i="40"/>
  <c r="CP143" i="40"/>
  <c r="CO143" i="40"/>
  <c r="CN143" i="40"/>
  <c r="CM143" i="40"/>
  <c r="CL143" i="40"/>
  <c r="CK143" i="40"/>
  <c r="CJ143" i="40"/>
  <c r="CI143" i="40"/>
  <c r="DB142" i="40"/>
  <c r="CV142" i="40"/>
  <c r="CU142" i="40"/>
  <c r="CT142" i="40"/>
  <c r="CS142" i="40"/>
  <c r="CR142" i="40"/>
  <c r="CQ142" i="40"/>
  <c r="CP142" i="40"/>
  <c r="CO142" i="40"/>
  <c r="CN142" i="40"/>
  <c r="CM142" i="40"/>
  <c r="CL142" i="40"/>
  <c r="CK142" i="40"/>
  <c r="CJ142" i="40"/>
  <c r="CI142" i="40"/>
  <c r="DB141" i="40"/>
  <c r="CV141" i="40"/>
  <c r="CU141" i="40"/>
  <c r="CT141" i="40"/>
  <c r="CS141" i="40"/>
  <c r="CR141" i="40"/>
  <c r="CQ141" i="40"/>
  <c r="CP141" i="40"/>
  <c r="CO141" i="40"/>
  <c r="CN141" i="40"/>
  <c r="CM141" i="40"/>
  <c r="CL141" i="40"/>
  <c r="CK141" i="40"/>
  <c r="CJ141" i="40"/>
  <c r="CI141" i="40"/>
  <c r="DB140" i="40"/>
  <c r="CV140" i="40"/>
  <c r="CU140" i="40"/>
  <c r="CT140" i="40"/>
  <c r="CS140" i="40"/>
  <c r="CR140" i="40"/>
  <c r="CQ140" i="40"/>
  <c r="CP140" i="40"/>
  <c r="CO140" i="40"/>
  <c r="CN140" i="40"/>
  <c r="CM140" i="40"/>
  <c r="CL140" i="40"/>
  <c r="CK140" i="40"/>
  <c r="CJ140" i="40"/>
  <c r="CI140" i="40"/>
  <c r="DB139" i="40"/>
  <c r="CV139" i="40"/>
  <c r="CU139" i="40"/>
  <c r="CT139" i="40"/>
  <c r="CS139" i="40"/>
  <c r="CR139" i="40"/>
  <c r="CQ139" i="40"/>
  <c r="CP139" i="40"/>
  <c r="CO139" i="40"/>
  <c r="CN139" i="40"/>
  <c r="CM139" i="40"/>
  <c r="CL139" i="40"/>
  <c r="CK139" i="40"/>
  <c r="CJ139" i="40"/>
  <c r="CI139" i="40"/>
  <c r="DB138" i="40"/>
  <c r="CV138" i="40"/>
  <c r="CU138" i="40"/>
  <c r="CT138" i="40"/>
  <c r="CS138" i="40"/>
  <c r="CR138" i="40"/>
  <c r="CQ138" i="40"/>
  <c r="CP138" i="40"/>
  <c r="CO138" i="40"/>
  <c r="CN138" i="40"/>
  <c r="CM138" i="40"/>
  <c r="CL138" i="40"/>
  <c r="CK138" i="40"/>
  <c r="CJ138" i="40"/>
  <c r="CI138" i="40"/>
  <c r="DB137" i="40"/>
  <c r="CV137" i="40"/>
  <c r="CU137" i="40"/>
  <c r="CT137" i="40"/>
  <c r="CS137" i="40"/>
  <c r="CR137" i="40"/>
  <c r="CQ137" i="40"/>
  <c r="CP137" i="40"/>
  <c r="CO137" i="40"/>
  <c r="CN137" i="40"/>
  <c r="CM137" i="40"/>
  <c r="CL137" i="40"/>
  <c r="CK137" i="40"/>
  <c r="CJ137" i="40"/>
  <c r="CI137" i="40"/>
  <c r="DB136" i="40"/>
  <c r="CV136" i="40"/>
  <c r="CU136" i="40"/>
  <c r="CT136" i="40"/>
  <c r="CS136" i="40"/>
  <c r="CR136" i="40"/>
  <c r="CQ136" i="40"/>
  <c r="CP136" i="40"/>
  <c r="CO136" i="40"/>
  <c r="CN136" i="40"/>
  <c r="CM136" i="40"/>
  <c r="CL136" i="40"/>
  <c r="CK136" i="40"/>
  <c r="CJ136" i="40"/>
  <c r="CI136" i="40"/>
  <c r="DB135" i="40"/>
  <c r="CV135" i="40"/>
  <c r="CU135" i="40"/>
  <c r="CT135" i="40"/>
  <c r="CS135" i="40"/>
  <c r="CR135" i="40"/>
  <c r="CQ135" i="40"/>
  <c r="CP135" i="40"/>
  <c r="CO135" i="40"/>
  <c r="CN135" i="40"/>
  <c r="CM135" i="40"/>
  <c r="CL135" i="40"/>
  <c r="CK135" i="40"/>
  <c r="CJ135" i="40"/>
  <c r="CI135" i="40"/>
  <c r="DB134" i="40"/>
  <c r="CV134" i="40"/>
  <c r="CU134" i="40"/>
  <c r="CT134" i="40"/>
  <c r="CS134" i="40"/>
  <c r="CR134" i="40"/>
  <c r="CQ134" i="40"/>
  <c r="CP134" i="40"/>
  <c r="CO134" i="40"/>
  <c r="CN134" i="40"/>
  <c r="CM134" i="40"/>
  <c r="CL134" i="40"/>
  <c r="CK134" i="40"/>
  <c r="CJ134" i="40"/>
  <c r="CI134" i="40"/>
  <c r="DB133" i="40"/>
  <c r="CV133" i="40"/>
  <c r="CU133" i="40"/>
  <c r="CT133" i="40"/>
  <c r="CS133" i="40"/>
  <c r="CR133" i="40"/>
  <c r="CQ133" i="40"/>
  <c r="CP133" i="40"/>
  <c r="CO133" i="40"/>
  <c r="CN133" i="40"/>
  <c r="CM133" i="40"/>
  <c r="CL133" i="40"/>
  <c r="CK133" i="40"/>
  <c r="CJ133" i="40"/>
  <c r="CI133" i="40"/>
  <c r="DB132" i="40"/>
  <c r="CV132" i="40"/>
  <c r="CU132" i="40"/>
  <c r="CT132" i="40"/>
  <c r="CS132" i="40"/>
  <c r="CR132" i="40"/>
  <c r="CQ132" i="40"/>
  <c r="CP132" i="40"/>
  <c r="CO132" i="40"/>
  <c r="CN132" i="40"/>
  <c r="CM132" i="40"/>
  <c r="CL132" i="40"/>
  <c r="CK132" i="40"/>
  <c r="CJ132" i="40"/>
  <c r="CI132" i="40"/>
  <c r="DB131" i="40"/>
  <c r="CV131" i="40"/>
  <c r="CU131" i="40"/>
  <c r="CT131" i="40"/>
  <c r="CS131" i="40"/>
  <c r="CR131" i="40"/>
  <c r="CQ131" i="40"/>
  <c r="CP131" i="40"/>
  <c r="CO131" i="40"/>
  <c r="CN131" i="40"/>
  <c r="CM131" i="40"/>
  <c r="CL131" i="40"/>
  <c r="CK131" i="40"/>
  <c r="CJ131" i="40"/>
  <c r="CI131" i="40"/>
  <c r="DB130" i="40"/>
  <c r="CV130" i="40"/>
  <c r="CU130" i="40"/>
  <c r="CT130" i="40"/>
  <c r="CS130" i="40"/>
  <c r="CR130" i="40"/>
  <c r="CQ130" i="40"/>
  <c r="CP130" i="40"/>
  <c r="CO130" i="40"/>
  <c r="CN130" i="40"/>
  <c r="CM130" i="40"/>
  <c r="CL130" i="40"/>
  <c r="CK130" i="40"/>
  <c r="CJ130" i="40"/>
  <c r="CI130" i="40"/>
  <c r="DB129" i="40"/>
  <c r="CV129" i="40"/>
  <c r="CU129" i="40"/>
  <c r="CT129" i="40"/>
  <c r="CS129" i="40"/>
  <c r="CR129" i="40"/>
  <c r="CQ129" i="40"/>
  <c r="CP129" i="40"/>
  <c r="CO129" i="40"/>
  <c r="CN129" i="40"/>
  <c r="CM129" i="40"/>
  <c r="CL129" i="40"/>
  <c r="CK129" i="40"/>
  <c r="CJ129" i="40"/>
  <c r="CI129" i="40"/>
  <c r="DB128" i="40"/>
  <c r="CV128" i="40"/>
  <c r="CU128" i="40"/>
  <c r="CT128" i="40"/>
  <c r="CS128" i="40"/>
  <c r="CR128" i="40"/>
  <c r="CQ128" i="40"/>
  <c r="CP128" i="40"/>
  <c r="CO128" i="40"/>
  <c r="CN128" i="40"/>
  <c r="CM128" i="40"/>
  <c r="CL128" i="40"/>
  <c r="CK128" i="40"/>
  <c r="CJ128" i="40"/>
  <c r="CI128" i="40"/>
  <c r="DB127" i="40"/>
  <c r="CV127" i="40"/>
  <c r="CU127" i="40"/>
  <c r="CT127" i="40"/>
  <c r="CS127" i="40"/>
  <c r="CR127" i="40"/>
  <c r="CQ127" i="40"/>
  <c r="CP127" i="40"/>
  <c r="CO127" i="40"/>
  <c r="CN127" i="40"/>
  <c r="CM127" i="40"/>
  <c r="CL127" i="40"/>
  <c r="CK127" i="40"/>
  <c r="CJ127" i="40"/>
  <c r="CI127" i="40"/>
  <c r="DB126" i="40"/>
  <c r="CV126" i="40"/>
  <c r="CU126" i="40"/>
  <c r="CT126" i="40"/>
  <c r="CS126" i="40"/>
  <c r="CR126" i="40"/>
  <c r="CQ126" i="40"/>
  <c r="CP126" i="40"/>
  <c r="CO126" i="40"/>
  <c r="CN126" i="40"/>
  <c r="CM126" i="40"/>
  <c r="CL126" i="40"/>
  <c r="CK126" i="40"/>
  <c r="CJ126" i="40"/>
  <c r="CI126" i="40"/>
  <c r="DB125" i="40"/>
  <c r="CV125" i="40"/>
  <c r="CU125" i="40"/>
  <c r="CT125" i="40"/>
  <c r="CS125" i="40"/>
  <c r="CR125" i="40"/>
  <c r="CQ125" i="40"/>
  <c r="CP125" i="40"/>
  <c r="CO125" i="40"/>
  <c r="CN125" i="40"/>
  <c r="CM125" i="40"/>
  <c r="CL125" i="40"/>
  <c r="CK125" i="40"/>
  <c r="CJ125" i="40"/>
  <c r="CI125" i="40"/>
  <c r="DB124" i="40"/>
  <c r="CV124" i="40"/>
  <c r="CU124" i="40"/>
  <c r="CT124" i="40"/>
  <c r="CS124" i="40"/>
  <c r="CR124" i="40"/>
  <c r="CQ124" i="40"/>
  <c r="CP124" i="40"/>
  <c r="CO124" i="40"/>
  <c r="CN124" i="40"/>
  <c r="CM124" i="40"/>
  <c r="CL124" i="40"/>
  <c r="CK124" i="40"/>
  <c r="CJ124" i="40"/>
  <c r="CI124" i="40"/>
  <c r="DB123" i="40"/>
  <c r="CV123" i="40"/>
  <c r="CU123" i="40"/>
  <c r="CT123" i="40"/>
  <c r="CS123" i="40"/>
  <c r="CR123" i="40"/>
  <c r="CQ123" i="40"/>
  <c r="CP123" i="40"/>
  <c r="CO123" i="40"/>
  <c r="CN123" i="40"/>
  <c r="CM123" i="40"/>
  <c r="CL123" i="40"/>
  <c r="CK123" i="40"/>
  <c r="CJ123" i="40"/>
  <c r="CI123" i="40"/>
  <c r="DB122" i="40"/>
  <c r="CV122" i="40"/>
  <c r="CU122" i="40"/>
  <c r="CT122" i="40"/>
  <c r="CS122" i="40"/>
  <c r="CR122" i="40"/>
  <c r="CQ122" i="40"/>
  <c r="CP122" i="40"/>
  <c r="CO122" i="40"/>
  <c r="CN122" i="40"/>
  <c r="CM122" i="40"/>
  <c r="CL122" i="40"/>
  <c r="CK122" i="40"/>
  <c r="CJ122" i="40"/>
  <c r="CI122" i="40"/>
  <c r="DB121" i="40"/>
  <c r="CV121" i="40"/>
  <c r="CU121" i="40"/>
  <c r="CT121" i="40"/>
  <c r="CS121" i="40"/>
  <c r="CR121" i="40"/>
  <c r="CQ121" i="40"/>
  <c r="CP121" i="40"/>
  <c r="CO121" i="40"/>
  <c r="CN121" i="40"/>
  <c r="CM121" i="40"/>
  <c r="CL121" i="40"/>
  <c r="CK121" i="40"/>
  <c r="CJ121" i="40"/>
  <c r="CI121" i="40"/>
  <c r="DB120" i="40"/>
  <c r="CV120" i="40"/>
  <c r="CU120" i="40"/>
  <c r="CT120" i="40"/>
  <c r="CS120" i="40"/>
  <c r="CR120" i="40"/>
  <c r="CQ120" i="40"/>
  <c r="CP120" i="40"/>
  <c r="CO120" i="40"/>
  <c r="CN120" i="40"/>
  <c r="CM120" i="40"/>
  <c r="CL120" i="40"/>
  <c r="CK120" i="40"/>
  <c r="CJ120" i="40"/>
  <c r="CI120" i="40"/>
  <c r="DB119" i="40"/>
  <c r="CV119" i="40"/>
  <c r="CU119" i="40"/>
  <c r="CT119" i="40"/>
  <c r="CS119" i="40"/>
  <c r="CR119" i="40"/>
  <c r="CQ119" i="40"/>
  <c r="CP119" i="40"/>
  <c r="CO119" i="40"/>
  <c r="CN119" i="40"/>
  <c r="CM119" i="40"/>
  <c r="CL119" i="40"/>
  <c r="CK119" i="40"/>
  <c r="CJ119" i="40"/>
  <c r="CI119" i="40"/>
  <c r="DB118" i="40"/>
  <c r="CV118" i="40"/>
  <c r="CU118" i="40"/>
  <c r="CT118" i="40"/>
  <c r="CS118" i="40"/>
  <c r="CR118" i="40"/>
  <c r="CQ118" i="40"/>
  <c r="CP118" i="40"/>
  <c r="CO118" i="40"/>
  <c r="CN118" i="40"/>
  <c r="CM118" i="40"/>
  <c r="CL118" i="40"/>
  <c r="CK118" i="40"/>
  <c r="CJ118" i="40"/>
  <c r="CI118" i="40"/>
  <c r="DB117" i="40"/>
  <c r="CV117" i="40"/>
  <c r="CU117" i="40"/>
  <c r="CT117" i="40"/>
  <c r="CS117" i="40"/>
  <c r="CR117" i="40"/>
  <c r="CQ117" i="40"/>
  <c r="CP117" i="40"/>
  <c r="CO117" i="40"/>
  <c r="CN117" i="40"/>
  <c r="CM117" i="40"/>
  <c r="CL117" i="40"/>
  <c r="CK117" i="40"/>
  <c r="CJ117" i="40"/>
  <c r="CI117" i="40"/>
  <c r="DB116" i="40"/>
  <c r="CV116" i="40"/>
  <c r="CU116" i="40"/>
  <c r="CT116" i="40"/>
  <c r="CS116" i="40"/>
  <c r="CR116" i="40"/>
  <c r="CQ116" i="40"/>
  <c r="CP116" i="40"/>
  <c r="CO116" i="40"/>
  <c r="CN116" i="40"/>
  <c r="CM116" i="40"/>
  <c r="CL116" i="40"/>
  <c r="CK116" i="40"/>
  <c r="CJ116" i="40"/>
  <c r="CI116" i="40"/>
  <c r="DB115" i="40"/>
  <c r="CV115" i="40"/>
  <c r="CU115" i="40"/>
  <c r="CT115" i="40"/>
  <c r="CS115" i="40"/>
  <c r="CR115" i="40"/>
  <c r="CQ115" i="40"/>
  <c r="CP115" i="40"/>
  <c r="CO115" i="40"/>
  <c r="CN115" i="40"/>
  <c r="CM115" i="40"/>
  <c r="CL115" i="40"/>
  <c r="CK115" i="40"/>
  <c r="CJ115" i="40"/>
  <c r="CI115" i="40"/>
  <c r="DB114" i="40"/>
  <c r="CV114" i="40"/>
  <c r="CU114" i="40"/>
  <c r="CT114" i="40"/>
  <c r="CS114" i="40"/>
  <c r="CR114" i="40"/>
  <c r="CQ114" i="40"/>
  <c r="CP114" i="40"/>
  <c r="CO114" i="40"/>
  <c r="CN114" i="40"/>
  <c r="CM114" i="40"/>
  <c r="CL114" i="40"/>
  <c r="CK114" i="40"/>
  <c r="CJ114" i="40"/>
  <c r="CI114" i="40"/>
  <c r="DB113" i="40"/>
  <c r="CV113" i="40"/>
  <c r="CU113" i="40"/>
  <c r="CT113" i="40"/>
  <c r="CS113" i="40"/>
  <c r="CR113" i="40"/>
  <c r="CQ113" i="40"/>
  <c r="CP113" i="40"/>
  <c r="CO113" i="40"/>
  <c r="CN113" i="40"/>
  <c r="CM113" i="40"/>
  <c r="CL113" i="40"/>
  <c r="CK113" i="40"/>
  <c r="CJ113" i="40"/>
  <c r="CI113" i="40"/>
  <c r="DB112" i="40"/>
  <c r="CV112" i="40"/>
  <c r="CU112" i="40"/>
  <c r="CT112" i="40"/>
  <c r="CS112" i="40"/>
  <c r="CR112" i="40"/>
  <c r="CQ112" i="40"/>
  <c r="CP112" i="40"/>
  <c r="CO112" i="40"/>
  <c r="CN112" i="40"/>
  <c r="CM112" i="40"/>
  <c r="CL112" i="40"/>
  <c r="CK112" i="40"/>
  <c r="CJ112" i="40"/>
  <c r="CI112" i="40"/>
  <c r="DB111" i="40"/>
  <c r="CV111" i="40"/>
  <c r="CU111" i="40"/>
  <c r="CT111" i="40"/>
  <c r="CS111" i="40"/>
  <c r="CR111" i="40"/>
  <c r="CQ111" i="40"/>
  <c r="CP111" i="40"/>
  <c r="CO111" i="40"/>
  <c r="CN111" i="40"/>
  <c r="CM111" i="40"/>
  <c r="CL111" i="40"/>
  <c r="CK111" i="40"/>
  <c r="CJ111" i="40"/>
  <c r="CI111" i="40"/>
  <c r="DB110" i="40"/>
  <c r="CV110" i="40"/>
  <c r="CU110" i="40"/>
  <c r="CT110" i="40"/>
  <c r="CS110" i="40"/>
  <c r="CR110" i="40"/>
  <c r="CQ110" i="40"/>
  <c r="CP110" i="40"/>
  <c r="CO110" i="40"/>
  <c r="CN110" i="40"/>
  <c r="CM110" i="40"/>
  <c r="CL110" i="40"/>
  <c r="CK110" i="40"/>
  <c r="CJ110" i="40"/>
  <c r="CI110" i="40"/>
  <c r="DB109" i="40"/>
  <c r="CV109" i="40"/>
  <c r="CU109" i="40"/>
  <c r="CT109" i="40"/>
  <c r="CS109" i="40"/>
  <c r="CR109" i="40"/>
  <c r="CQ109" i="40"/>
  <c r="CP109" i="40"/>
  <c r="CO109" i="40"/>
  <c r="CN109" i="40"/>
  <c r="CM109" i="40"/>
  <c r="CL109" i="40"/>
  <c r="CK109" i="40"/>
  <c r="CJ109" i="40"/>
  <c r="CI109" i="40"/>
  <c r="DB108" i="40"/>
  <c r="CV108" i="40"/>
  <c r="CU108" i="40"/>
  <c r="CT108" i="40"/>
  <c r="CS108" i="40"/>
  <c r="CR108" i="40"/>
  <c r="CQ108" i="40"/>
  <c r="CP108" i="40"/>
  <c r="CO108" i="40"/>
  <c r="CN108" i="40"/>
  <c r="CM108" i="40"/>
  <c r="CL108" i="40"/>
  <c r="CK108" i="40"/>
  <c r="CJ108" i="40"/>
  <c r="CI108" i="40"/>
  <c r="DB107" i="40"/>
  <c r="CV107" i="40"/>
  <c r="CU107" i="40"/>
  <c r="CT107" i="40"/>
  <c r="CS107" i="40"/>
  <c r="CR107" i="40"/>
  <c r="CQ107" i="40"/>
  <c r="CP107" i="40"/>
  <c r="CO107" i="40"/>
  <c r="CN107" i="40"/>
  <c r="CM107" i="40"/>
  <c r="CL107" i="40"/>
  <c r="CK107" i="40"/>
  <c r="CJ107" i="40"/>
  <c r="CI107" i="40"/>
  <c r="DB106" i="40"/>
  <c r="CV106" i="40"/>
  <c r="CU106" i="40"/>
  <c r="CT106" i="40"/>
  <c r="CS106" i="40"/>
  <c r="CR106" i="40"/>
  <c r="CQ106" i="40"/>
  <c r="CP106" i="40"/>
  <c r="CO106" i="40"/>
  <c r="CN106" i="40"/>
  <c r="CM106" i="40"/>
  <c r="CL106" i="40"/>
  <c r="CK106" i="40"/>
  <c r="CJ106" i="40"/>
  <c r="CI106" i="40"/>
  <c r="DB105" i="40"/>
  <c r="CV105" i="40"/>
  <c r="CU105" i="40"/>
  <c r="CT105" i="40"/>
  <c r="CS105" i="40"/>
  <c r="CR105" i="40"/>
  <c r="CQ105" i="40"/>
  <c r="CP105" i="40"/>
  <c r="CO105" i="40"/>
  <c r="CN105" i="40"/>
  <c r="CM105" i="40"/>
  <c r="CL105" i="40"/>
  <c r="CK105" i="40"/>
  <c r="CJ105" i="40"/>
  <c r="CI105" i="40"/>
  <c r="DB104" i="40"/>
  <c r="CV104" i="40"/>
  <c r="CU104" i="40"/>
  <c r="CT104" i="40"/>
  <c r="CS104" i="40"/>
  <c r="CR104" i="40"/>
  <c r="CQ104" i="40"/>
  <c r="CP104" i="40"/>
  <c r="CO104" i="40"/>
  <c r="CN104" i="40"/>
  <c r="CM104" i="40"/>
  <c r="CL104" i="40"/>
  <c r="CK104" i="40"/>
  <c r="CJ104" i="40"/>
  <c r="CI104" i="40"/>
  <c r="DB103" i="40"/>
  <c r="CV103" i="40"/>
  <c r="CU103" i="40"/>
  <c r="CT103" i="40"/>
  <c r="CS103" i="40"/>
  <c r="CR103" i="40"/>
  <c r="CQ103" i="40"/>
  <c r="CP103" i="40"/>
  <c r="CO103" i="40"/>
  <c r="CN103" i="40"/>
  <c r="CM103" i="40"/>
  <c r="CL103" i="40"/>
  <c r="CK103" i="40"/>
  <c r="CJ103" i="40"/>
  <c r="CI103" i="40"/>
  <c r="DB102" i="40"/>
  <c r="CV102" i="40"/>
  <c r="CU102" i="40"/>
  <c r="CT102" i="40"/>
  <c r="CS102" i="40"/>
  <c r="CR102" i="40"/>
  <c r="CQ102" i="40"/>
  <c r="CP102" i="40"/>
  <c r="CO102" i="40"/>
  <c r="CN102" i="40"/>
  <c r="CM102" i="40"/>
  <c r="CL102" i="40"/>
  <c r="CK102" i="40"/>
  <c r="CJ102" i="40"/>
  <c r="CI102" i="40"/>
  <c r="CV101" i="40"/>
  <c r="CP101" i="40"/>
  <c r="CI101" i="40"/>
  <c r="DB60" i="52"/>
  <c r="CV60" i="52"/>
  <c r="CU60" i="52"/>
  <c r="CT60" i="52"/>
  <c r="CS60" i="52"/>
  <c r="CR60" i="52"/>
  <c r="CQ60" i="52"/>
  <c r="CP60" i="52"/>
  <c r="CO60" i="52"/>
  <c r="CN60" i="52"/>
  <c r="CM60" i="52"/>
  <c r="CL60" i="52"/>
  <c r="CK60" i="52"/>
  <c r="CJ60" i="52"/>
  <c r="CI60" i="52"/>
  <c r="DB59" i="52"/>
  <c r="CV59" i="52"/>
  <c r="CU59" i="52"/>
  <c r="CT59" i="52"/>
  <c r="CS59" i="52"/>
  <c r="CR59" i="52"/>
  <c r="CQ59" i="52"/>
  <c r="CP59" i="52"/>
  <c r="CO59" i="52"/>
  <c r="CN59" i="52"/>
  <c r="CM59" i="52"/>
  <c r="CL59" i="52"/>
  <c r="CK59" i="52"/>
  <c r="CJ59" i="52"/>
  <c r="CI59" i="52"/>
  <c r="DB58" i="52"/>
  <c r="CV58" i="52"/>
  <c r="CU58" i="52"/>
  <c r="CT58" i="52"/>
  <c r="CS58" i="52"/>
  <c r="CR58" i="52"/>
  <c r="CQ58" i="52"/>
  <c r="CP58" i="52"/>
  <c r="CO58" i="52"/>
  <c r="CN58" i="52"/>
  <c r="CM58" i="52"/>
  <c r="CL58" i="52"/>
  <c r="CK58" i="52"/>
  <c r="CJ58" i="52"/>
  <c r="CI58" i="52"/>
  <c r="DB57" i="52"/>
  <c r="CV57" i="52"/>
  <c r="CU57" i="52"/>
  <c r="CT57" i="52"/>
  <c r="CS57" i="52"/>
  <c r="CR57" i="52"/>
  <c r="CQ57" i="52"/>
  <c r="CP57" i="52"/>
  <c r="CO57" i="52"/>
  <c r="CN57" i="52"/>
  <c r="CM57" i="52"/>
  <c r="CL57" i="52"/>
  <c r="CK57" i="52"/>
  <c r="CJ57" i="52"/>
  <c r="CI57" i="52"/>
  <c r="DB56" i="52"/>
  <c r="CV56" i="52"/>
  <c r="CU56" i="52"/>
  <c r="CT56" i="52"/>
  <c r="CS56" i="52"/>
  <c r="CR56" i="52"/>
  <c r="CQ56" i="52"/>
  <c r="CP56" i="52"/>
  <c r="CO56" i="52"/>
  <c r="CN56" i="52"/>
  <c r="CM56" i="52"/>
  <c r="CL56" i="52"/>
  <c r="CK56" i="52"/>
  <c r="CJ56" i="52"/>
  <c r="CI56" i="52"/>
  <c r="DB55" i="52"/>
  <c r="CV55" i="52"/>
  <c r="CU55" i="52"/>
  <c r="CT55" i="52"/>
  <c r="CS55" i="52"/>
  <c r="CR55" i="52"/>
  <c r="CQ55" i="52"/>
  <c r="CP55" i="52"/>
  <c r="CO55" i="52"/>
  <c r="CN55" i="52"/>
  <c r="CM55" i="52"/>
  <c r="CL55" i="52"/>
  <c r="CK55" i="52"/>
  <c r="CJ55" i="52"/>
  <c r="CI55" i="52"/>
  <c r="DB54" i="52"/>
  <c r="CV54" i="52"/>
  <c r="CU54" i="52"/>
  <c r="CT54" i="52"/>
  <c r="CS54" i="52"/>
  <c r="CR54" i="52"/>
  <c r="CQ54" i="52"/>
  <c r="CP54" i="52"/>
  <c r="CO54" i="52"/>
  <c r="CN54" i="52"/>
  <c r="CM54" i="52"/>
  <c r="CL54" i="52"/>
  <c r="CK54" i="52"/>
  <c r="CJ54" i="52"/>
  <c r="CI54" i="52"/>
  <c r="DB53" i="52"/>
  <c r="CV53" i="52"/>
  <c r="CU53" i="52"/>
  <c r="CT53" i="52"/>
  <c r="CS53" i="52"/>
  <c r="CR53" i="52"/>
  <c r="CQ53" i="52"/>
  <c r="CP53" i="52"/>
  <c r="CO53" i="52"/>
  <c r="CN53" i="52"/>
  <c r="CM53" i="52"/>
  <c r="CL53" i="52"/>
  <c r="CK53" i="52"/>
  <c r="CJ53" i="52"/>
  <c r="CI53" i="52"/>
  <c r="DB52" i="52"/>
  <c r="CV52" i="52"/>
  <c r="CU52" i="52"/>
  <c r="CT52" i="52"/>
  <c r="CS52" i="52"/>
  <c r="CR52" i="52"/>
  <c r="CQ52" i="52"/>
  <c r="CP52" i="52"/>
  <c r="CO52" i="52"/>
  <c r="CN52" i="52"/>
  <c r="CM52" i="52"/>
  <c r="CL52" i="52"/>
  <c r="CK52" i="52"/>
  <c r="CJ52" i="52"/>
  <c r="CI52" i="52"/>
  <c r="DB51" i="52"/>
  <c r="CV51" i="52"/>
  <c r="CU51" i="52"/>
  <c r="CT51" i="52"/>
  <c r="CS51" i="52"/>
  <c r="CR51" i="52"/>
  <c r="CQ51" i="52"/>
  <c r="CP51" i="52"/>
  <c r="CO51" i="52"/>
  <c r="CN51" i="52"/>
  <c r="CM51" i="52"/>
  <c r="CL51" i="52"/>
  <c r="CK51" i="52"/>
  <c r="CJ51" i="52"/>
  <c r="CI51" i="52"/>
  <c r="DB50" i="52"/>
  <c r="CV50" i="52"/>
  <c r="CU50" i="52"/>
  <c r="CT50" i="52"/>
  <c r="CS50" i="52"/>
  <c r="CR50" i="52"/>
  <c r="CQ50" i="52"/>
  <c r="CP50" i="52"/>
  <c r="CO50" i="52"/>
  <c r="CN50" i="52"/>
  <c r="CM50" i="52"/>
  <c r="CL50" i="52"/>
  <c r="CK50" i="52"/>
  <c r="CJ50" i="52"/>
  <c r="CI50" i="52"/>
  <c r="DB49" i="52"/>
  <c r="CV49" i="52"/>
  <c r="CU49" i="52"/>
  <c r="CT49" i="52"/>
  <c r="CS49" i="52"/>
  <c r="CR49" i="52"/>
  <c r="CQ49" i="52"/>
  <c r="CP49" i="52"/>
  <c r="CO49" i="52"/>
  <c r="CN49" i="52"/>
  <c r="CM49" i="52"/>
  <c r="CL49" i="52"/>
  <c r="CK49" i="52"/>
  <c r="CJ49" i="52"/>
  <c r="CI49" i="52"/>
  <c r="DB48" i="52"/>
  <c r="CV48" i="52"/>
  <c r="CU48" i="52"/>
  <c r="CT48" i="52"/>
  <c r="CS48" i="52"/>
  <c r="CR48" i="52"/>
  <c r="CQ48" i="52"/>
  <c r="CP48" i="52"/>
  <c r="CO48" i="52"/>
  <c r="CN48" i="52"/>
  <c r="CM48" i="52"/>
  <c r="CL48" i="52"/>
  <c r="CK48" i="52"/>
  <c r="CJ48" i="52"/>
  <c r="CI48" i="52"/>
  <c r="DB47" i="52"/>
  <c r="CV47" i="52"/>
  <c r="CU47" i="52"/>
  <c r="CT47" i="52"/>
  <c r="CS47" i="52"/>
  <c r="CR47" i="52"/>
  <c r="CQ47" i="52"/>
  <c r="CP47" i="52"/>
  <c r="CO47" i="52"/>
  <c r="CN47" i="52"/>
  <c r="CM47" i="52"/>
  <c r="CL47" i="52"/>
  <c r="CK47" i="52"/>
  <c r="CJ47" i="52"/>
  <c r="CI47" i="52"/>
  <c r="DB46" i="52"/>
  <c r="CV46" i="52"/>
  <c r="CU46" i="52"/>
  <c r="CT46" i="52"/>
  <c r="CS46" i="52"/>
  <c r="CR46" i="52"/>
  <c r="CQ46" i="52"/>
  <c r="CP46" i="52"/>
  <c r="CO46" i="52"/>
  <c r="CN46" i="52"/>
  <c r="CM46" i="52"/>
  <c r="CL46" i="52"/>
  <c r="CK46" i="52"/>
  <c r="CJ46" i="52"/>
  <c r="CI46" i="52"/>
  <c r="DB31" i="52"/>
  <c r="CV31" i="52"/>
  <c r="CU31" i="52"/>
  <c r="CT31" i="52"/>
  <c r="CS31" i="52"/>
  <c r="CR31" i="52"/>
  <c r="CQ31" i="52"/>
  <c r="CP31" i="52"/>
  <c r="CO31" i="52"/>
  <c r="CN31" i="52"/>
  <c r="CM31" i="52"/>
  <c r="CL31" i="52"/>
  <c r="CK31" i="52"/>
  <c r="CJ31" i="52"/>
  <c r="CI31" i="52"/>
  <c r="DB30" i="52"/>
  <c r="CV30" i="52"/>
  <c r="CU30" i="52"/>
  <c r="CT30" i="52"/>
  <c r="CS30" i="52"/>
  <c r="CR30" i="52"/>
  <c r="CQ30" i="52"/>
  <c r="CP30" i="52"/>
  <c r="CO30" i="52"/>
  <c r="CN30" i="52"/>
  <c r="CM30" i="52"/>
  <c r="CL30" i="52"/>
  <c r="CK30" i="52"/>
  <c r="CJ30" i="52"/>
  <c r="CI30" i="52"/>
  <c r="DB29" i="52"/>
  <c r="CV29" i="52"/>
  <c r="CU29" i="52"/>
  <c r="CT29" i="52"/>
  <c r="CS29" i="52"/>
  <c r="CR29" i="52"/>
  <c r="CQ29" i="52"/>
  <c r="CP29" i="52"/>
  <c r="CO29" i="52"/>
  <c r="CN29" i="52"/>
  <c r="CM29" i="52"/>
  <c r="CL29" i="52"/>
  <c r="CK29" i="52"/>
  <c r="CJ29" i="52"/>
  <c r="CI29" i="52"/>
  <c r="DB28" i="52"/>
  <c r="CV28" i="52"/>
  <c r="CU28" i="52"/>
  <c r="CT28" i="52"/>
  <c r="CS28" i="52"/>
  <c r="CR28" i="52"/>
  <c r="CQ28" i="52"/>
  <c r="CP28" i="52"/>
  <c r="CO28" i="52"/>
  <c r="CN28" i="52"/>
  <c r="CM28" i="52"/>
  <c r="CL28" i="52"/>
  <c r="CK28" i="52"/>
  <c r="CJ28" i="52"/>
  <c r="CI28" i="52"/>
  <c r="DB27" i="52"/>
  <c r="CV27" i="52"/>
  <c r="CU27" i="52"/>
  <c r="CT27" i="52"/>
  <c r="CS27" i="52"/>
  <c r="CR27" i="52"/>
  <c r="CQ27" i="52"/>
  <c r="CP27" i="52"/>
  <c r="CO27" i="52"/>
  <c r="CN27" i="52"/>
  <c r="CM27" i="52"/>
  <c r="CL27" i="52"/>
  <c r="CK27" i="52"/>
  <c r="CJ27" i="52"/>
  <c r="CI27" i="52"/>
  <c r="DB26" i="52"/>
  <c r="CV26" i="52"/>
  <c r="CU26" i="52"/>
  <c r="CT26" i="52"/>
  <c r="CS26" i="52"/>
  <c r="CR26" i="52"/>
  <c r="CQ26" i="52"/>
  <c r="CP26" i="52"/>
  <c r="CO26" i="52"/>
  <c r="CN26" i="52"/>
  <c r="CM26" i="52"/>
  <c r="CL26" i="52"/>
  <c r="CK26" i="52"/>
  <c r="CJ26" i="52"/>
  <c r="CI26" i="52"/>
  <c r="DB25" i="52"/>
  <c r="CV25" i="52"/>
  <c r="CU25" i="52"/>
  <c r="CT25" i="52"/>
  <c r="CS25" i="52"/>
  <c r="CR25" i="52"/>
  <c r="CQ25" i="52"/>
  <c r="CP25" i="52"/>
  <c r="CO25" i="52"/>
  <c r="CN25" i="52"/>
  <c r="CM25" i="52"/>
  <c r="CL25" i="52"/>
  <c r="CK25" i="52"/>
  <c r="CJ25" i="52"/>
  <c r="CI25" i="52"/>
  <c r="DB24" i="52"/>
  <c r="CV24" i="52"/>
  <c r="CU24" i="52"/>
  <c r="CT24" i="52"/>
  <c r="CS24" i="52"/>
  <c r="CR24" i="52"/>
  <c r="CQ24" i="52"/>
  <c r="CP24" i="52"/>
  <c r="CO24" i="52"/>
  <c r="CN24" i="52"/>
  <c r="CM24" i="52"/>
  <c r="CL24" i="52"/>
  <c r="CK24" i="52"/>
  <c r="CJ24" i="52"/>
  <c r="CI24" i="52"/>
  <c r="DB23" i="52"/>
  <c r="CV23" i="52"/>
  <c r="CU23" i="52"/>
  <c r="CT23" i="52"/>
  <c r="CS23" i="52"/>
  <c r="CR23" i="52"/>
  <c r="CQ23" i="52"/>
  <c r="CP23" i="52"/>
  <c r="CO23" i="52"/>
  <c r="CN23" i="52"/>
  <c r="CM23" i="52"/>
  <c r="CL23" i="52"/>
  <c r="CK23" i="52"/>
  <c r="CJ23" i="52"/>
  <c r="CI23" i="52"/>
  <c r="DB22" i="52"/>
  <c r="CV22" i="52"/>
  <c r="CU22" i="52"/>
  <c r="CT22" i="52"/>
  <c r="CS22" i="52"/>
  <c r="CR22" i="52"/>
  <c r="CQ22" i="52"/>
  <c r="CP22" i="52"/>
  <c r="CO22" i="52"/>
  <c r="CN22" i="52"/>
  <c r="CM22" i="52"/>
  <c r="CL22" i="52"/>
  <c r="CK22" i="52"/>
  <c r="CJ22" i="52"/>
  <c r="CI22" i="52"/>
  <c r="DB21" i="52"/>
  <c r="CV21" i="52"/>
  <c r="CU21" i="52"/>
  <c r="CT21" i="52"/>
  <c r="CS21" i="52"/>
  <c r="CR21" i="52"/>
  <c r="CQ21" i="52"/>
  <c r="CP21" i="52"/>
  <c r="CO21" i="52"/>
  <c r="CN21" i="52"/>
  <c r="CM21" i="52"/>
  <c r="CL21" i="52"/>
  <c r="CK21" i="52"/>
  <c r="CJ21" i="52"/>
  <c r="CI21" i="52"/>
  <c r="DB20" i="52"/>
  <c r="CV20" i="52"/>
  <c r="CU20" i="52"/>
  <c r="CT20" i="52"/>
  <c r="CS20" i="52"/>
  <c r="CR20" i="52"/>
  <c r="CQ20" i="52"/>
  <c r="CP20" i="52"/>
  <c r="CO20" i="52"/>
  <c r="CN20" i="52"/>
  <c r="CM20" i="52"/>
  <c r="CL20" i="52"/>
  <c r="CK20" i="52"/>
  <c r="CJ20" i="52"/>
  <c r="CI20" i="52"/>
  <c r="DB19" i="52"/>
  <c r="CV19" i="52"/>
  <c r="CU19" i="52"/>
  <c r="CT19" i="52"/>
  <c r="CS19" i="52"/>
  <c r="CR19" i="52"/>
  <c r="CQ19" i="52"/>
  <c r="CP19" i="52"/>
  <c r="CO19" i="52"/>
  <c r="CN19" i="52"/>
  <c r="CM19" i="52"/>
  <c r="CL19" i="52"/>
  <c r="CK19" i="52"/>
  <c r="CJ19" i="52"/>
  <c r="CI19" i="52"/>
  <c r="DB18" i="52"/>
  <c r="CV18" i="52"/>
  <c r="CU18" i="52"/>
  <c r="CT18" i="52"/>
  <c r="CS18" i="52"/>
  <c r="CR18" i="52"/>
  <c r="CQ18" i="52"/>
  <c r="CP18" i="52"/>
  <c r="CO18" i="52"/>
  <c r="CN18" i="52"/>
  <c r="CM18" i="52"/>
  <c r="CL18" i="52"/>
  <c r="CK18" i="52"/>
  <c r="CJ18" i="52"/>
  <c r="CI18" i="52"/>
  <c r="Q118" i="39"/>
  <c r="O118" i="39"/>
  <c r="M118" i="39"/>
  <c r="K118" i="39"/>
  <c r="N115" i="39" l="1"/>
  <c r="L115" i="39"/>
  <c r="J115" i="39"/>
  <c r="K121" i="39"/>
  <c r="M121" i="39" s="1"/>
  <c r="O121" i="39" s="1"/>
  <c r="Q121" i="39" s="1"/>
  <c r="S121" i="39" s="1"/>
  <c r="J121" i="39"/>
  <c r="L121" i="39" s="1"/>
  <c r="N121" i="39" s="1"/>
  <c r="P121" i="39" s="1"/>
  <c r="R121" i="39" s="1"/>
  <c r="M120" i="39"/>
  <c r="O120" i="39" s="1"/>
  <c r="Q120" i="39" s="1"/>
  <c r="S120" i="39" s="1"/>
  <c r="K120" i="39"/>
  <c r="J120" i="39"/>
  <c r="L120" i="39" s="1"/>
  <c r="N120" i="39" s="1"/>
  <c r="P120" i="39" s="1"/>
  <c r="R120" i="39" s="1"/>
  <c r="S118" i="39"/>
  <c r="R118" i="39"/>
  <c r="M117" i="39"/>
  <c r="O117" i="39" s="1"/>
  <c r="Q117" i="39" s="1"/>
  <c r="S117" i="39" s="1"/>
  <c r="L117" i="39"/>
  <c r="N117" i="39" s="1"/>
  <c r="P117" i="39" s="1"/>
  <c r="R117" i="39" s="1"/>
  <c r="J117" i="39"/>
  <c r="I115" i="39"/>
  <c r="K115" i="39"/>
  <c r="M115" i="39"/>
  <c r="O115" i="39"/>
  <c r="Q115" i="39"/>
  <c r="S115" i="39"/>
  <c r="L112" i="39"/>
  <c r="N112" i="39" s="1"/>
  <c r="P112" i="39" s="1"/>
  <c r="R112" i="39" s="1"/>
  <c r="K112" i="39"/>
  <c r="M112" i="39" s="1"/>
  <c r="O112" i="39" s="1"/>
  <c r="Q112" i="39" s="1"/>
  <c r="S112" i="39" s="1"/>
  <c r="J112" i="39"/>
  <c r="M111" i="39"/>
  <c r="O111" i="39" s="1"/>
  <c r="Q111" i="39" s="1"/>
  <c r="S111" i="39" s="1"/>
  <c r="K111" i="39"/>
  <c r="J111" i="39"/>
  <c r="L111" i="39" s="1"/>
  <c r="M109" i="39"/>
  <c r="O109" i="39" s="1"/>
  <c r="Q109" i="39" s="1"/>
  <c r="S109" i="39" s="1"/>
  <c r="L109" i="39"/>
  <c r="N109" i="39" s="1"/>
  <c r="P109" i="39" s="1"/>
  <c r="R109" i="39" s="1"/>
  <c r="L108" i="39"/>
  <c r="N108" i="39" s="1"/>
  <c r="K108" i="39"/>
  <c r="M108" i="39" s="1"/>
  <c r="O108" i="39" s="1"/>
  <c r="Q108" i="39" s="1"/>
  <c r="S108" i="39" s="1"/>
  <c r="J108" i="39"/>
  <c r="K109" i="39"/>
  <c r="J109" i="39"/>
  <c r="J23" i="39"/>
  <c r="H23" i="39"/>
  <c r="H22" i="39"/>
  <c r="H21" i="39"/>
  <c r="H24" i="39"/>
  <c r="L21" i="39" l="1"/>
  <c r="J21" i="39"/>
  <c r="J22" i="39"/>
  <c r="L24" i="39"/>
  <c r="J24" i="39"/>
  <c r="L23" i="39"/>
  <c r="N111" i="39"/>
  <c r="P108" i="39"/>
  <c r="N22" i="39"/>
  <c r="N21" i="39"/>
  <c r="L22" i="39"/>
  <c r="HJ584" i="40"/>
  <c r="HK584" i="40"/>
  <c r="II584" i="40"/>
  <c r="IL584" i="40" s="1"/>
  <c r="IJ584" i="40"/>
  <c r="IM584" i="40" s="1"/>
  <c r="IK584" i="40"/>
  <c r="IN584" i="40" s="1"/>
  <c r="JF584" i="40"/>
  <c r="HO584" i="40" s="1"/>
  <c r="JO584" i="40"/>
  <c r="KN584" i="40"/>
  <c r="HJ585" i="40"/>
  <c r="HK585" i="40"/>
  <c r="II585" i="40"/>
  <c r="IL585" i="40" s="1"/>
  <c r="IJ585" i="40"/>
  <c r="IM585" i="40" s="1"/>
  <c r="IK585" i="40"/>
  <c r="IN585" i="40" s="1"/>
  <c r="JF585" i="40"/>
  <c r="JO585" i="40"/>
  <c r="KN585" i="40"/>
  <c r="HJ586" i="40"/>
  <c r="HK586" i="40"/>
  <c r="II586" i="40"/>
  <c r="IL586" i="40" s="1"/>
  <c r="IJ586" i="40"/>
  <c r="IM586" i="40" s="1"/>
  <c r="IK586" i="40"/>
  <c r="IN586" i="40" s="1"/>
  <c r="JF586" i="40"/>
  <c r="HM586" i="40" s="1"/>
  <c r="JO586" i="40"/>
  <c r="KN586" i="40"/>
  <c r="KN587" i="40" s="1"/>
  <c r="HJ587" i="40"/>
  <c r="HK587" i="40"/>
  <c r="II587" i="40"/>
  <c r="IL587" i="40" s="1"/>
  <c r="IJ587" i="40"/>
  <c r="IM587" i="40" s="1"/>
  <c r="IK587" i="40"/>
  <c r="IN587" i="40" s="1"/>
  <c r="JF587" i="40"/>
  <c r="HM587" i="40" s="1"/>
  <c r="JO587" i="40"/>
  <c r="A488" i="40"/>
  <c r="B488" i="40"/>
  <c r="C488" i="40"/>
  <c r="F488" i="40"/>
  <c r="G488" i="40"/>
  <c r="H488" i="40"/>
  <c r="I488" i="40"/>
  <c r="J488" i="40"/>
  <c r="K488" i="40"/>
  <c r="L488" i="40"/>
  <c r="M488" i="40"/>
  <c r="N488" i="40"/>
  <c r="O488" i="40"/>
  <c r="P488" i="40"/>
  <c r="AA488" i="40"/>
  <c r="AB488" i="40"/>
  <c r="AC488" i="40"/>
  <c r="AD488" i="40"/>
  <c r="AE488" i="40"/>
  <c r="AF488" i="40"/>
  <c r="AG488" i="40"/>
  <c r="AH488" i="40"/>
  <c r="AI488" i="40"/>
  <c r="AJ488" i="40"/>
  <c r="AT488" i="40"/>
  <c r="AW488" i="40"/>
  <c r="AX488" i="40"/>
  <c r="AZ488" i="40"/>
  <c r="BA488" i="40"/>
  <c r="BB488" i="40"/>
  <c r="BC488" i="40"/>
  <c r="BD488" i="40"/>
  <c r="BE488" i="40"/>
  <c r="BF488" i="40"/>
  <c r="BG488" i="40"/>
  <c r="BH488" i="40"/>
  <c r="BI488" i="40"/>
  <c r="BJ488" i="40"/>
  <c r="BK488" i="40"/>
  <c r="BL488" i="40"/>
  <c r="BM488" i="40"/>
  <c r="BN488" i="40"/>
  <c r="BO488" i="40"/>
  <c r="BP488" i="40"/>
  <c r="BQ488" i="40"/>
  <c r="BR488" i="40"/>
  <c r="BS488" i="40"/>
  <c r="BT488" i="40"/>
  <c r="BU488" i="40"/>
  <c r="BV488" i="40"/>
  <c r="BW488" i="40"/>
  <c r="BX488" i="40"/>
  <c r="BY488" i="40"/>
  <c r="BZ488" i="40"/>
  <c r="CA488" i="40"/>
  <c r="CB488" i="40"/>
  <c r="CC488" i="40"/>
  <c r="CD488" i="40"/>
  <c r="CE488" i="40"/>
  <c r="CF488" i="40"/>
  <c r="CG488" i="40"/>
  <c r="CH488" i="40"/>
  <c r="DM488" i="40"/>
  <c r="DS488" i="40"/>
  <c r="DT488" i="40"/>
  <c r="DU488" i="40"/>
  <c r="DV488" i="40"/>
  <c r="DW488" i="40"/>
  <c r="HJ484" i="40"/>
  <c r="HK484" i="40"/>
  <c r="II484" i="40"/>
  <c r="IL484" i="40" s="1"/>
  <c r="IJ484" i="40"/>
  <c r="IM484" i="40" s="1"/>
  <c r="IK484" i="40"/>
  <c r="IN484" i="40" s="1"/>
  <c r="JF484" i="40"/>
  <c r="HO484" i="40" s="1"/>
  <c r="JO484" i="40"/>
  <c r="KN484" i="40"/>
  <c r="HJ485" i="40"/>
  <c r="HK485" i="40"/>
  <c r="II485" i="40"/>
  <c r="IL485" i="40" s="1"/>
  <c r="IJ485" i="40"/>
  <c r="IM485" i="40" s="1"/>
  <c r="IK485" i="40"/>
  <c r="IN485" i="40" s="1"/>
  <c r="JF485" i="40"/>
  <c r="HN485" i="40" s="1"/>
  <c r="JO485" i="40"/>
  <c r="KN485" i="40"/>
  <c r="HJ486" i="40"/>
  <c r="HK486" i="40"/>
  <c r="HK487" i="40" s="1"/>
  <c r="II486" i="40"/>
  <c r="IL486" i="40" s="1"/>
  <c r="IJ486" i="40"/>
  <c r="IM486" i="40" s="1"/>
  <c r="IK486" i="40"/>
  <c r="IN486" i="40" s="1"/>
  <c r="JF486" i="40"/>
  <c r="JO486" i="40"/>
  <c r="KN486" i="40"/>
  <c r="KN487" i="40" s="1"/>
  <c r="HJ487" i="40"/>
  <c r="II487" i="40"/>
  <c r="IL487" i="40" s="1"/>
  <c r="IJ487" i="40"/>
  <c r="IM487" i="40" s="1"/>
  <c r="IK487" i="40"/>
  <c r="IN487" i="40" s="1"/>
  <c r="JF487" i="40"/>
  <c r="HM487" i="40" s="1"/>
  <c r="JO487" i="40"/>
  <c r="B186" i="75"/>
  <c r="B187" i="75" s="1"/>
  <c r="JO583" i="40"/>
  <c r="JO582" i="40"/>
  <c r="JO581" i="40"/>
  <c r="JO580" i="40"/>
  <c r="JO579" i="40"/>
  <c r="JO578" i="40"/>
  <c r="JO577" i="40"/>
  <c r="HK577" i="40"/>
  <c r="HK578" i="40" s="1"/>
  <c r="HK579" i="40" s="1"/>
  <c r="HK580" i="40" s="1"/>
  <c r="HK581" i="40" s="1"/>
  <c r="HK582" i="40" s="1"/>
  <c r="HK583" i="40" s="1"/>
  <c r="KN576" i="40"/>
  <c r="KN577" i="40" s="1"/>
  <c r="KN578" i="40" s="1"/>
  <c r="KN579" i="40" s="1"/>
  <c r="KN580" i="40" s="1"/>
  <c r="JO576" i="40"/>
  <c r="HK576" i="40"/>
  <c r="HJ576" i="40"/>
  <c r="HJ577" i="40" s="1"/>
  <c r="JO483" i="40"/>
  <c r="JF483" i="40"/>
  <c r="HN483" i="40" s="1"/>
  <c r="IK483" i="40"/>
  <c r="IN483" i="40" s="1"/>
  <c r="IJ483" i="40"/>
  <c r="IM483" i="40" s="1"/>
  <c r="II483" i="40"/>
  <c r="IL483" i="40" s="1"/>
  <c r="JO482" i="40"/>
  <c r="JF482" i="40"/>
  <c r="HM482" i="40" s="1"/>
  <c r="IK482" i="40"/>
  <c r="IN482" i="40" s="1"/>
  <c r="IJ482" i="40"/>
  <c r="IM482" i="40" s="1"/>
  <c r="II482" i="40"/>
  <c r="IL482" i="40" s="1"/>
  <c r="JO481" i="40"/>
  <c r="JF481" i="40"/>
  <c r="HN481" i="40" s="1"/>
  <c r="IK481" i="40"/>
  <c r="IN481" i="40" s="1"/>
  <c r="IJ481" i="40"/>
  <c r="IM481" i="40" s="1"/>
  <c r="II481" i="40"/>
  <c r="IL481" i="40" s="1"/>
  <c r="JO480" i="40"/>
  <c r="JF480" i="40"/>
  <c r="HN480" i="40" s="1"/>
  <c r="IK480" i="40"/>
  <c r="IN480" i="40" s="1"/>
  <c r="IJ480" i="40"/>
  <c r="IM480" i="40" s="1"/>
  <c r="II480" i="40"/>
  <c r="IL480" i="40" s="1"/>
  <c r="JO479" i="40"/>
  <c r="JF479" i="40"/>
  <c r="HM479" i="40" s="1"/>
  <c r="IK479" i="40"/>
  <c r="IN479" i="40" s="1"/>
  <c r="IJ479" i="40"/>
  <c r="IM479" i="40" s="1"/>
  <c r="II479" i="40"/>
  <c r="IL479" i="40" s="1"/>
  <c r="JO478" i="40"/>
  <c r="JF478" i="40"/>
  <c r="HN478" i="40" s="1"/>
  <c r="IK478" i="40"/>
  <c r="IN478" i="40" s="1"/>
  <c r="IJ478" i="40"/>
  <c r="IM478" i="40" s="1"/>
  <c r="II478" i="40"/>
  <c r="IL478" i="40" s="1"/>
  <c r="HJ478" i="40"/>
  <c r="JO477" i="40"/>
  <c r="JF477" i="40"/>
  <c r="HO477" i="40" s="1"/>
  <c r="IK477" i="40"/>
  <c r="IN477" i="40" s="1"/>
  <c r="IJ477" i="40"/>
  <c r="IM477" i="40" s="1"/>
  <c r="II477" i="40"/>
  <c r="IL477" i="40" s="1"/>
  <c r="HJ477" i="40"/>
  <c r="KN476" i="40"/>
  <c r="KN477" i="40" s="1"/>
  <c r="KN478" i="40" s="1"/>
  <c r="KN479" i="40" s="1"/>
  <c r="KN480" i="40" s="1"/>
  <c r="KN481" i="40" s="1"/>
  <c r="JO476" i="40"/>
  <c r="JF476" i="40"/>
  <c r="HM476" i="40" s="1"/>
  <c r="IK476" i="40"/>
  <c r="IN476" i="40" s="1"/>
  <c r="IJ476" i="40"/>
  <c r="IM476" i="40" s="1"/>
  <c r="II476" i="40"/>
  <c r="IL476" i="40" s="1"/>
  <c r="HK476" i="40"/>
  <c r="HK477" i="40" s="1"/>
  <c r="HK478" i="40" s="1"/>
  <c r="HK479" i="40" s="1"/>
  <c r="HK480" i="40" s="1"/>
  <c r="HK481" i="40" s="1"/>
  <c r="HK482" i="40" s="1"/>
  <c r="HK483" i="40" s="1"/>
  <c r="HJ476" i="40"/>
  <c r="JO383" i="40"/>
  <c r="JF383" i="40"/>
  <c r="HM383" i="40" s="1"/>
  <c r="IK383" i="40"/>
  <c r="IN383" i="40" s="1"/>
  <c r="IJ383" i="40"/>
  <c r="IM383" i="40" s="1"/>
  <c r="II383" i="40"/>
  <c r="IL383" i="40" s="1"/>
  <c r="JO382" i="40"/>
  <c r="JF382" i="40"/>
  <c r="HN382" i="40" s="1"/>
  <c r="IK382" i="40"/>
  <c r="IN382" i="40" s="1"/>
  <c r="IJ382" i="40"/>
  <c r="IM382" i="40" s="1"/>
  <c r="II382" i="40"/>
  <c r="IL382" i="40" s="1"/>
  <c r="JO381" i="40"/>
  <c r="JF381" i="40"/>
  <c r="IK381" i="40"/>
  <c r="IN381" i="40" s="1"/>
  <c r="IJ381" i="40"/>
  <c r="IM381" i="40" s="1"/>
  <c r="II381" i="40"/>
  <c r="IL381" i="40" s="1"/>
  <c r="JO380" i="40"/>
  <c r="JF380" i="40"/>
  <c r="HN380" i="40" s="1"/>
  <c r="IK380" i="40"/>
  <c r="IN380" i="40" s="1"/>
  <c r="IJ380" i="40"/>
  <c r="IM380" i="40" s="1"/>
  <c r="II380" i="40"/>
  <c r="IL380" i="40" s="1"/>
  <c r="JO379" i="40"/>
  <c r="JF379" i="40"/>
  <c r="HM379" i="40" s="1"/>
  <c r="IK379" i="40"/>
  <c r="IN379" i="40" s="1"/>
  <c r="IJ379" i="40"/>
  <c r="IM379" i="40" s="1"/>
  <c r="II379" i="40"/>
  <c r="IL379" i="40" s="1"/>
  <c r="JO378" i="40"/>
  <c r="JF378" i="40"/>
  <c r="HO378" i="40" s="1"/>
  <c r="IK378" i="40"/>
  <c r="IN378" i="40" s="1"/>
  <c r="IJ378" i="40"/>
  <c r="IM378" i="40" s="1"/>
  <c r="II378" i="40"/>
  <c r="IL378" i="40" s="1"/>
  <c r="JO377" i="40"/>
  <c r="JF377" i="40"/>
  <c r="HO377" i="40" s="1"/>
  <c r="IK377" i="40"/>
  <c r="IN377" i="40" s="1"/>
  <c r="IJ377" i="40"/>
  <c r="IM377" i="40" s="1"/>
  <c r="II377" i="40"/>
  <c r="IL377" i="40" s="1"/>
  <c r="HK377" i="40"/>
  <c r="HK378" i="40" s="1"/>
  <c r="HK379" i="40" s="1"/>
  <c r="HK380" i="40" s="1"/>
  <c r="HK381" i="40" s="1"/>
  <c r="HK382" i="40" s="1"/>
  <c r="HK383" i="40" s="1"/>
  <c r="KN376" i="40"/>
  <c r="KN377" i="40" s="1"/>
  <c r="JO376" i="40"/>
  <c r="JF376" i="40"/>
  <c r="HO376" i="40" s="1"/>
  <c r="IK376" i="40"/>
  <c r="IN376" i="40" s="1"/>
  <c r="IJ376" i="40"/>
  <c r="IM376" i="40" s="1"/>
  <c r="II376" i="40"/>
  <c r="IL376" i="40" s="1"/>
  <c r="HK376" i="40"/>
  <c r="HJ376" i="40"/>
  <c r="HJ377" i="40" s="1"/>
  <c r="JO283" i="40"/>
  <c r="JF283" i="40"/>
  <c r="HM283" i="40" s="1"/>
  <c r="IK283" i="40"/>
  <c r="IN283" i="40" s="1"/>
  <c r="IJ283" i="40"/>
  <c r="IM283" i="40" s="1"/>
  <c r="II283" i="40"/>
  <c r="IL283" i="40" s="1"/>
  <c r="JO282" i="40"/>
  <c r="JF282" i="40"/>
  <c r="HO282" i="40" s="1"/>
  <c r="IK282" i="40"/>
  <c r="IN282" i="40" s="1"/>
  <c r="IJ282" i="40"/>
  <c r="IM282" i="40" s="1"/>
  <c r="II282" i="40"/>
  <c r="IL282" i="40" s="1"/>
  <c r="JO281" i="40"/>
  <c r="JF281" i="40"/>
  <c r="HM281" i="40" s="1"/>
  <c r="IK281" i="40"/>
  <c r="IN281" i="40" s="1"/>
  <c r="IJ281" i="40"/>
  <c r="IM281" i="40" s="1"/>
  <c r="II281" i="40"/>
  <c r="IL281" i="40" s="1"/>
  <c r="JO280" i="40"/>
  <c r="JF280" i="40"/>
  <c r="HO280" i="40" s="1"/>
  <c r="IK280" i="40"/>
  <c r="IN280" i="40" s="1"/>
  <c r="IJ280" i="40"/>
  <c r="IM280" i="40" s="1"/>
  <c r="II280" i="40"/>
  <c r="IL280" i="40" s="1"/>
  <c r="JO279" i="40"/>
  <c r="JF279" i="40"/>
  <c r="HN279" i="40" s="1"/>
  <c r="IK279" i="40"/>
  <c r="IN279" i="40" s="1"/>
  <c r="IJ279" i="40"/>
  <c r="IM279" i="40" s="1"/>
  <c r="II279" i="40"/>
  <c r="IL279" i="40" s="1"/>
  <c r="JO278" i="40"/>
  <c r="JF278" i="40"/>
  <c r="HO278" i="40" s="1"/>
  <c r="IK278" i="40"/>
  <c r="IN278" i="40" s="1"/>
  <c r="IJ278" i="40"/>
  <c r="IM278" i="40" s="1"/>
  <c r="II278" i="40"/>
  <c r="IL278" i="40" s="1"/>
  <c r="JO277" i="40"/>
  <c r="JF277" i="40"/>
  <c r="HM277" i="40" s="1"/>
  <c r="IK277" i="40"/>
  <c r="IN277" i="40" s="1"/>
  <c r="IJ277" i="40"/>
  <c r="IM277" i="40" s="1"/>
  <c r="II277" i="40"/>
  <c r="IL277" i="40" s="1"/>
  <c r="HJ277" i="40"/>
  <c r="KN276" i="40"/>
  <c r="KN277" i="40" s="1"/>
  <c r="KN278" i="40" s="1"/>
  <c r="KN279" i="40" s="1"/>
  <c r="KN280" i="40" s="1"/>
  <c r="KN281" i="40" s="1"/>
  <c r="KN282" i="40" s="1"/>
  <c r="KN283" i="40" s="1"/>
  <c r="JO276" i="40"/>
  <c r="JF276" i="40"/>
  <c r="HN276" i="40" s="1"/>
  <c r="IK276" i="40"/>
  <c r="IN276" i="40" s="1"/>
  <c r="IJ276" i="40"/>
  <c r="IM276" i="40" s="1"/>
  <c r="II276" i="40"/>
  <c r="IL276" i="40" s="1"/>
  <c r="HK276" i="40"/>
  <c r="HK277" i="40" s="1"/>
  <c r="HK278" i="40" s="1"/>
  <c r="HK279" i="40" s="1"/>
  <c r="HK280" i="40" s="1"/>
  <c r="HK281" i="40" s="1"/>
  <c r="HK282" i="40" s="1"/>
  <c r="HK283" i="40" s="1"/>
  <c r="HJ276" i="40"/>
  <c r="HJ176" i="40"/>
  <c r="HK176" i="40"/>
  <c r="II176" i="40"/>
  <c r="IL176" i="40" s="1"/>
  <c r="IJ176" i="40"/>
  <c r="IM176" i="40" s="1"/>
  <c r="IK176" i="40"/>
  <c r="IN176" i="40" s="1"/>
  <c r="JF176" i="40"/>
  <c r="HN176" i="40" s="1"/>
  <c r="JO176" i="40"/>
  <c r="KN176" i="40"/>
  <c r="HJ177" i="40"/>
  <c r="HK177" i="40"/>
  <c r="II177" i="40"/>
  <c r="IL177" i="40" s="1"/>
  <c r="IJ177" i="40"/>
  <c r="IM177" i="40" s="1"/>
  <c r="IK177" i="40"/>
  <c r="IN177" i="40" s="1"/>
  <c r="JF177" i="40"/>
  <c r="HN177" i="40" s="1"/>
  <c r="JO177" i="40"/>
  <c r="KN177" i="40"/>
  <c r="HJ178" i="40"/>
  <c r="HK178" i="40"/>
  <c r="II178" i="40"/>
  <c r="IL178" i="40" s="1"/>
  <c r="IJ178" i="40"/>
  <c r="IM178" i="40" s="1"/>
  <c r="IK178" i="40"/>
  <c r="IN178" i="40" s="1"/>
  <c r="JF178" i="40"/>
  <c r="HM178" i="40" s="1"/>
  <c r="JO178" i="40"/>
  <c r="KN178" i="40"/>
  <c r="KN179" i="40" s="1"/>
  <c r="KN180" i="40" s="1"/>
  <c r="HJ179" i="40"/>
  <c r="II179" i="40"/>
  <c r="IL179" i="40" s="1"/>
  <c r="IJ179" i="40"/>
  <c r="IM179" i="40" s="1"/>
  <c r="IK179" i="40"/>
  <c r="IN179" i="40" s="1"/>
  <c r="JF179" i="40"/>
  <c r="HM179" i="40" s="1"/>
  <c r="JO179" i="40"/>
  <c r="II180" i="40"/>
  <c r="IL180" i="40" s="1"/>
  <c r="IJ180" i="40"/>
  <c r="IM180" i="40" s="1"/>
  <c r="IK180" i="40"/>
  <c r="IN180" i="40" s="1"/>
  <c r="JF180" i="40"/>
  <c r="HM180" i="40" s="1"/>
  <c r="JO180" i="40"/>
  <c r="II181" i="40"/>
  <c r="IL181" i="40" s="1"/>
  <c r="IJ181" i="40"/>
  <c r="IM181" i="40" s="1"/>
  <c r="IK181" i="40"/>
  <c r="IN181" i="40" s="1"/>
  <c r="JF181" i="40"/>
  <c r="HO181" i="40" s="1"/>
  <c r="JO181" i="40"/>
  <c r="II182" i="40"/>
  <c r="IL182" i="40" s="1"/>
  <c r="IJ182" i="40"/>
  <c r="IM182" i="40" s="1"/>
  <c r="IK182" i="40"/>
  <c r="IN182" i="40" s="1"/>
  <c r="JF182" i="40"/>
  <c r="HM182" i="40" s="1"/>
  <c r="JO182" i="40"/>
  <c r="A200" i="75"/>
  <c r="A199" i="75"/>
  <c r="A198" i="75"/>
  <c r="A197" i="75"/>
  <c r="A196" i="75"/>
  <c r="A195" i="75"/>
  <c r="A194" i="75"/>
  <c r="A193" i="75"/>
  <c r="A192" i="75"/>
  <c r="A191" i="75"/>
  <c r="A190" i="75"/>
  <c r="A189" i="75"/>
  <c r="A188" i="75"/>
  <c r="A178" i="75"/>
  <c r="A177" i="75"/>
  <c r="A175" i="75"/>
  <c r="A174" i="75"/>
  <c r="A173" i="75"/>
  <c r="A172" i="75"/>
  <c r="A171" i="75"/>
  <c r="A170" i="75"/>
  <c r="A169" i="75"/>
  <c r="A168" i="75"/>
  <c r="A167" i="75"/>
  <c r="A166" i="75"/>
  <c r="A165" i="75"/>
  <c r="A164" i="75"/>
  <c r="A163" i="75"/>
  <c r="A162" i="75"/>
  <c r="A161" i="75"/>
  <c r="A160" i="75"/>
  <c r="A159" i="75"/>
  <c r="A158" i="75"/>
  <c r="A157" i="75"/>
  <c r="A156" i="75"/>
  <c r="A155" i="75"/>
  <c r="A154" i="75"/>
  <c r="A153" i="75"/>
  <c r="A152" i="75"/>
  <c r="A151" i="75"/>
  <c r="A150" i="75"/>
  <c r="A149" i="75"/>
  <c r="A148" i="75"/>
  <c r="A147" i="75"/>
  <c r="A146" i="75"/>
  <c r="A145" i="75"/>
  <c r="A144" i="75"/>
  <c r="A143" i="75"/>
  <c r="A142" i="75"/>
  <c r="A141" i="75"/>
  <c r="A140" i="75"/>
  <c r="A139" i="75"/>
  <c r="A138" i="75"/>
  <c r="A137" i="75"/>
  <c r="A136" i="75"/>
  <c r="A135" i="75"/>
  <c r="A134" i="75"/>
  <c r="A133" i="75"/>
  <c r="A132" i="75"/>
  <c r="A131" i="75"/>
  <c r="A130" i="75"/>
  <c r="A129" i="75"/>
  <c r="A128" i="75"/>
  <c r="A127" i="75"/>
  <c r="A124" i="75"/>
  <c r="A123" i="75"/>
  <c r="A121" i="75"/>
  <c r="A176" i="75"/>
  <c r="AJ600" i="40"/>
  <c r="AH600" i="40"/>
  <c r="AF600" i="40"/>
  <c r="AD600" i="40"/>
  <c r="AB600" i="40"/>
  <c r="X600" i="40"/>
  <c r="W600" i="40"/>
  <c r="P600" i="40"/>
  <c r="O600" i="40"/>
  <c r="N600" i="40"/>
  <c r="M600" i="40"/>
  <c r="L600" i="40"/>
  <c r="K600" i="40"/>
  <c r="J600" i="40"/>
  <c r="I600" i="40"/>
  <c r="AJ599" i="40"/>
  <c r="AF599" i="40"/>
  <c r="AD599" i="40"/>
  <c r="AB599" i="40"/>
  <c r="P599" i="40"/>
  <c r="O599" i="40"/>
  <c r="N599" i="40"/>
  <c r="M599" i="40"/>
  <c r="L599" i="40"/>
  <c r="K599" i="40"/>
  <c r="J599" i="40"/>
  <c r="I599" i="40"/>
  <c r="AJ598" i="40"/>
  <c r="AF598" i="40"/>
  <c r="AD598" i="40"/>
  <c r="AB598" i="40"/>
  <c r="P598" i="40"/>
  <c r="O598" i="40"/>
  <c r="N598" i="40"/>
  <c r="M598" i="40"/>
  <c r="L598" i="40"/>
  <c r="K598" i="40"/>
  <c r="J598" i="40"/>
  <c r="I598" i="40"/>
  <c r="AJ597" i="40"/>
  <c r="AF597" i="40"/>
  <c r="AD597" i="40"/>
  <c r="AB597" i="40"/>
  <c r="P597" i="40"/>
  <c r="O597" i="40"/>
  <c r="N597" i="40"/>
  <c r="M597" i="40"/>
  <c r="L597" i="40"/>
  <c r="K597" i="40"/>
  <c r="J597" i="40"/>
  <c r="I597" i="40"/>
  <c r="AJ596" i="40"/>
  <c r="AF596" i="40"/>
  <c r="AD596" i="40"/>
  <c r="AB596" i="40"/>
  <c r="P596" i="40"/>
  <c r="O596" i="40"/>
  <c r="N596" i="40"/>
  <c r="M596" i="40"/>
  <c r="L596" i="40"/>
  <c r="K596" i="40"/>
  <c r="J596" i="40"/>
  <c r="I596" i="40"/>
  <c r="AJ595" i="40"/>
  <c r="AF595" i="40"/>
  <c r="AD595" i="40"/>
  <c r="AB595" i="40"/>
  <c r="P595" i="40"/>
  <c r="O595" i="40"/>
  <c r="N595" i="40"/>
  <c r="M595" i="40"/>
  <c r="L595" i="40"/>
  <c r="K595" i="40"/>
  <c r="J595" i="40"/>
  <c r="I595" i="40"/>
  <c r="AJ594" i="40"/>
  <c r="AF594" i="40"/>
  <c r="AD594" i="40"/>
  <c r="AB594" i="40"/>
  <c r="P594" i="40"/>
  <c r="O594" i="40"/>
  <c r="N594" i="40"/>
  <c r="M594" i="40"/>
  <c r="L594" i="40"/>
  <c r="K594" i="40"/>
  <c r="J594" i="40"/>
  <c r="I594" i="40"/>
  <c r="AJ593" i="40"/>
  <c r="AF593" i="40"/>
  <c r="AD593" i="40"/>
  <c r="AB593" i="40"/>
  <c r="P593" i="40"/>
  <c r="O593" i="40"/>
  <c r="N593" i="40"/>
  <c r="M593" i="40"/>
  <c r="L593" i="40"/>
  <c r="K593" i="40"/>
  <c r="J593" i="40"/>
  <c r="I593" i="40"/>
  <c r="AJ592" i="40"/>
  <c r="AF592" i="40"/>
  <c r="AD592" i="40"/>
  <c r="AB592" i="40"/>
  <c r="P592" i="40"/>
  <c r="O592" i="40"/>
  <c r="N592" i="40"/>
  <c r="M592" i="40"/>
  <c r="L592" i="40"/>
  <c r="K592" i="40"/>
  <c r="J592" i="40"/>
  <c r="I592" i="40"/>
  <c r="AJ591" i="40"/>
  <c r="AF591" i="40"/>
  <c r="AD591" i="40"/>
  <c r="AB591" i="40"/>
  <c r="P591" i="40"/>
  <c r="O591" i="40"/>
  <c r="N591" i="40"/>
  <c r="M591" i="40"/>
  <c r="L591" i="40"/>
  <c r="K591" i="40"/>
  <c r="J591" i="40"/>
  <c r="I591" i="40"/>
  <c r="AJ590" i="40"/>
  <c r="AF590" i="40"/>
  <c r="AD590" i="40"/>
  <c r="AB590" i="40"/>
  <c r="P590" i="40"/>
  <c r="O590" i="40"/>
  <c r="N590" i="40"/>
  <c r="M590" i="40"/>
  <c r="L590" i="40"/>
  <c r="K590" i="40"/>
  <c r="J590" i="40"/>
  <c r="I590" i="40"/>
  <c r="AJ589" i="40"/>
  <c r="AF589" i="40"/>
  <c r="AD589" i="40"/>
  <c r="AB589" i="40"/>
  <c r="P589" i="40"/>
  <c r="O589" i="40"/>
  <c r="N589" i="40"/>
  <c r="M589" i="40"/>
  <c r="L589" i="40"/>
  <c r="K589" i="40"/>
  <c r="J589" i="40"/>
  <c r="I589" i="40"/>
  <c r="AJ588" i="40"/>
  <c r="AF588" i="40"/>
  <c r="AD588" i="40"/>
  <c r="AB588" i="40"/>
  <c r="P588" i="40"/>
  <c r="O588" i="40"/>
  <c r="N588" i="40"/>
  <c r="M588" i="40"/>
  <c r="L588" i="40"/>
  <c r="K588" i="40"/>
  <c r="J588" i="40"/>
  <c r="I588" i="40"/>
  <c r="AJ587" i="40"/>
  <c r="AI587" i="40"/>
  <c r="AG587" i="40"/>
  <c r="AF587" i="40"/>
  <c r="AE587" i="40"/>
  <c r="AD587" i="40"/>
  <c r="AC587" i="40"/>
  <c r="AB587" i="40"/>
  <c r="AA587" i="40"/>
  <c r="P587" i="40"/>
  <c r="O587" i="40"/>
  <c r="N587" i="40"/>
  <c r="M587" i="40"/>
  <c r="L587" i="40"/>
  <c r="K587" i="40"/>
  <c r="J587" i="40"/>
  <c r="I587" i="40"/>
  <c r="H587" i="40"/>
  <c r="G587" i="40"/>
  <c r="F587" i="40"/>
  <c r="AJ586" i="40"/>
  <c r="AI586" i="40"/>
  <c r="AG586" i="40"/>
  <c r="AF586" i="40"/>
  <c r="AE586" i="40"/>
  <c r="AD586" i="40"/>
  <c r="AC586" i="40"/>
  <c r="AB586" i="40"/>
  <c r="AA586" i="40"/>
  <c r="P586" i="40"/>
  <c r="O586" i="40"/>
  <c r="N586" i="40"/>
  <c r="M586" i="40"/>
  <c r="L586" i="40"/>
  <c r="K586" i="40"/>
  <c r="J586" i="40"/>
  <c r="I586" i="40"/>
  <c r="H586" i="40"/>
  <c r="G586" i="40"/>
  <c r="F586" i="40"/>
  <c r="AJ585" i="40"/>
  <c r="AI585" i="40"/>
  <c r="AG585" i="40"/>
  <c r="AF585" i="40"/>
  <c r="AE585" i="40"/>
  <c r="AD585" i="40"/>
  <c r="AC585" i="40"/>
  <c r="AB585" i="40"/>
  <c r="AA585" i="40"/>
  <c r="P585" i="40"/>
  <c r="O585" i="40"/>
  <c r="N585" i="40"/>
  <c r="M585" i="40"/>
  <c r="L585" i="40"/>
  <c r="K585" i="40"/>
  <c r="J585" i="40"/>
  <c r="I585" i="40"/>
  <c r="H585" i="40"/>
  <c r="G585" i="40"/>
  <c r="F585" i="40"/>
  <c r="AJ584" i="40"/>
  <c r="AI584" i="40"/>
  <c r="AG584" i="40"/>
  <c r="AF584" i="40"/>
  <c r="AE584" i="40"/>
  <c r="AD584" i="40"/>
  <c r="AC584" i="40"/>
  <c r="AB584" i="40"/>
  <c r="AA584" i="40"/>
  <c r="P584" i="40"/>
  <c r="O584" i="40"/>
  <c r="N584" i="40"/>
  <c r="M584" i="40"/>
  <c r="L584" i="40"/>
  <c r="K584" i="40"/>
  <c r="J584" i="40"/>
  <c r="I584" i="40"/>
  <c r="H584" i="40"/>
  <c r="G584" i="40"/>
  <c r="F584" i="40"/>
  <c r="AJ583" i="40"/>
  <c r="AI583" i="40"/>
  <c r="AG583" i="40"/>
  <c r="AF583" i="40"/>
  <c r="AE583" i="40"/>
  <c r="AD583" i="40"/>
  <c r="AC583" i="40"/>
  <c r="AB583" i="40"/>
  <c r="AA583" i="40"/>
  <c r="P583" i="40"/>
  <c r="O583" i="40"/>
  <c r="N583" i="40"/>
  <c r="M583" i="40"/>
  <c r="L583" i="40"/>
  <c r="K583" i="40"/>
  <c r="J583" i="40"/>
  <c r="I583" i="40"/>
  <c r="H583" i="40"/>
  <c r="G583" i="40"/>
  <c r="F583" i="40"/>
  <c r="AJ582" i="40"/>
  <c r="AI582" i="40"/>
  <c r="AG582" i="40"/>
  <c r="AF582" i="40"/>
  <c r="AE582" i="40"/>
  <c r="AD582" i="40"/>
  <c r="AC582" i="40"/>
  <c r="AB582" i="40"/>
  <c r="AA582" i="40"/>
  <c r="P582" i="40"/>
  <c r="O582" i="40"/>
  <c r="N582" i="40"/>
  <c r="M582" i="40"/>
  <c r="L582" i="40"/>
  <c r="K582" i="40"/>
  <c r="J582" i="40"/>
  <c r="I582" i="40"/>
  <c r="H582" i="40"/>
  <c r="G582" i="40"/>
  <c r="F582" i="40"/>
  <c r="AJ581" i="40"/>
  <c r="AI581" i="40"/>
  <c r="AG581" i="40"/>
  <c r="AF581" i="40"/>
  <c r="AE581" i="40"/>
  <c r="AD581" i="40"/>
  <c r="AC581" i="40"/>
  <c r="AB581" i="40"/>
  <c r="AA581" i="40"/>
  <c r="P581" i="40"/>
  <c r="O581" i="40"/>
  <c r="N581" i="40"/>
  <c r="M581" i="40"/>
  <c r="L581" i="40"/>
  <c r="K581" i="40"/>
  <c r="J581" i="40"/>
  <c r="I581" i="40"/>
  <c r="H581" i="40"/>
  <c r="G581" i="40"/>
  <c r="F581" i="40"/>
  <c r="AJ580" i="40"/>
  <c r="AI580" i="40"/>
  <c r="AG580" i="40"/>
  <c r="AF580" i="40"/>
  <c r="AE580" i="40"/>
  <c r="AD580" i="40"/>
  <c r="AC580" i="40"/>
  <c r="AB580" i="40"/>
  <c r="AA580" i="40"/>
  <c r="P580" i="40"/>
  <c r="O580" i="40"/>
  <c r="N580" i="40"/>
  <c r="M580" i="40"/>
  <c r="L580" i="40"/>
  <c r="K580" i="40"/>
  <c r="J580" i="40"/>
  <c r="I580" i="40"/>
  <c r="H580" i="40"/>
  <c r="G580" i="40"/>
  <c r="F580" i="40"/>
  <c r="AJ579" i="40"/>
  <c r="AI579" i="40"/>
  <c r="AG579" i="40"/>
  <c r="AF579" i="40"/>
  <c r="AE579" i="40"/>
  <c r="AD579" i="40"/>
  <c r="AC579" i="40"/>
  <c r="AB579" i="40"/>
  <c r="AA579" i="40"/>
  <c r="P579" i="40"/>
  <c r="O579" i="40"/>
  <c r="N579" i="40"/>
  <c r="M579" i="40"/>
  <c r="L579" i="40"/>
  <c r="K579" i="40"/>
  <c r="J579" i="40"/>
  <c r="I579" i="40"/>
  <c r="H579" i="40"/>
  <c r="G579" i="40"/>
  <c r="F579" i="40"/>
  <c r="AJ578" i="40"/>
  <c r="AI578" i="40"/>
  <c r="AG578" i="40"/>
  <c r="AF578" i="40"/>
  <c r="AE578" i="40"/>
  <c r="AD578" i="40"/>
  <c r="AC578" i="40"/>
  <c r="AB578" i="40"/>
  <c r="AA578" i="40"/>
  <c r="P578" i="40"/>
  <c r="O578" i="40"/>
  <c r="N578" i="40"/>
  <c r="M578" i="40"/>
  <c r="L578" i="40"/>
  <c r="K578" i="40"/>
  <c r="J578" i="40"/>
  <c r="I578" i="40"/>
  <c r="H578" i="40"/>
  <c r="G578" i="40"/>
  <c r="F578" i="40"/>
  <c r="AJ577" i="40"/>
  <c r="AI577" i="40"/>
  <c r="AG577" i="40"/>
  <c r="AF577" i="40"/>
  <c r="AE577" i="40"/>
  <c r="AD577" i="40"/>
  <c r="AC577" i="40"/>
  <c r="AB577" i="40"/>
  <c r="AA577" i="40"/>
  <c r="P577" i="40"/>
  <c r="O577" i="40"/>
  <c r="N577" i="40"/>
  <c r="M577" i="40"/>
  <c r="L577" i="40"/>
  <c r="K577" i="40"/>
  <c r="J577" i="40"/>
  <c r="I577" i="40"/>
  <c r="H577" i="40"/>
  <c r="G577" i="40"/>
  <c r="F577" i="40"/>
  <c r="AJ576" i="40"/>
  <c r="AI576" i="40"/>
  <c r="AG576" i="40"/>
  <c r="AF576" i="40"/>
  <c r="AE576" i="40"/>
  <c r="AD576" i="40"/>
  <c r="AC576" i="40"/>
  <c r="AB576" i="40"/>
  <c r="AA576" i="40"/>
  <c r="P576" i="40"/>
  <c r="O576" i="40"/>
  <c r="N576" i="40"/>
  <c r="M576" i="40"/>
  <c r="L576" i="40"/>
  <c r="K576" i="40"/>
  <c r="J576" i="40"/>
  <c r="I576" i="40"/>
  <c r="H576" i="40"/>
  <c r="G576" i="40"/>
  <c r="F576" i="40"/>
  <c r="AJ575" i="40"/>
  <c r="AI575" i="40"/>
  <c r="AG575" i="40"/>
  <c r="AF575" i="40"/>
  <c r="AE575" i="40"/>
  <c r="AD575" i="40"/>
  <c r="AC575" i="40"/>
  <c r="AB575" i="40"/>
  <c r="AA575" i="40"/>
  <c r="P575" i="40"/>
  <c r="O575" i="40"/>
  <c r="N575" i="40"/>
  <c r="M575" i="40"/>
  <c r="L575" i="40"/>
  <c r="K575" i="40"/>
  <c r="J575" i="40"/>
  <c r="I575" i="40"/>
  <c r="H575" i="40"/>
  <c r="G575" i="40"/>
  <c r="F575" i="40"/>
  <c r="AJ574" i="40"/>
  <c r="AI574" i="40"/>
  <c r="AG574" i="40"/>
  <c r="AF574" i="40"/>
  <c r="AE574" i="40"/>
  <c r="AD574" i="40"/>
  <c r="AC574" i="40"/>
  <c r="AB574" i="40"/>
  <c r="AA574" i="40"/>
  <c r="P574" i="40"/>
  <c r="O574" i="40"/>
  <c r="N574" i="40"/>
  <c r="M574" i="40"/>
  <c r="L574" i="40"/>
  <c r="K574" i="40"/>
  <c r="J574" i="40"/>
  <c r="I574" i="40"/>
  <c r="H574" i="40"/>
  <c r="G574" i="40"/>
  <c r="F574" i="40"/>
  <c r="AJ573" i="40"/>
  <c r="AI573" i="40"/>
  <c r="AG573" i="40"/>
  <c r="AF573" i="40"/>
  <c r="AE573" i="40"/>
  <c r="AD573" i="40"/>
  <c r="AC573" i="40"/>
  <c r="AB573" i="40"/>
  <c r="AA573" i="40"/>
  <c r="P573" i="40"/>
  <c r="O573" i="40"/>
  <c r="N573" i="40"/>
  <c r="M573" i="40"/>
  <c r="L573" i="40"/>
  <c r="K573" i="40"/>
  <c r="J573" i="40"/>
  <c r="I573" i="40"/>
  <c r="H573" i="40"/>
  <c r="G573" i="40"/>
  <c r="F573" i="40"/>
  <c r="AJ572" i="40"/>
  <c r="AI572" i="40"/>
  <c r="AG572" i="40"/>
  <c r="AF572" i="40"/>
  <c r="AE572" i="40"/>
  <c r="AD572" i="40"/>
  <c r="AC572" i="40"/>
  <c r="AB572" i="40"/>
  <c r="AA572" i="40"/>
  <c r="P572" i="40"/>
  <c r="O572" i="40"/>
  <c r="N572" i="40"/>
  <c r="M572" i="40"/>
  <c r="L572" i="40"/>
  <c r="K572" i="40"/>
  <c r="J572" i="40"/>
  <c r="I572" i="40"/>
  <c r="H572" i="40"/>
  <c r="G572" i="40"/>
  <c r="F572" i="40"/>
  <c r="AJ571" i="40"/>
  <c r="AI571" i="40"/>
  <c r="AG571" i="40"/>
  <c r="AF571" i="40"/>
  <c r="AE571" i="40"/>
  <c r="AD571" i="40"/>
  <c r="AC571" i="40"/>
  <c r="AB571" i="40"/>
  <c r="AA571" i="40"/>
  <c r="P571" i="40"/>
  <c r="O571" i="40"/>
  <c r="N571" i="40"/>
  <c r="M571" i="40"/>
  <c r="L571" i="40"/>
  <c r="K571" i="40"/>
  <c r="J571" i="40"/>
  <c r="I571" i="40"/>
  <c r="H571" i="40"/>
  <c r="G571" i="40"/>
  <c r="F571" i="40"/>
  <c r="AJ570" i="40"/>
  <c r="AI570" i="40"/>
  <c r="AG570" i="40"/>
  <c r="AF570" i="40"/>
  <c r="AE570" i="40"/>
  <c r="AD570" i="40"/>
  <c r="AC570" i="40"/>
  <c r="AB570" i="40"/>
  <c r="AA570" i="40"/>
  <c r="P570" i="40"/>
  <c r="O570" i="40"/>
  <c r="N570" i="40"/>
  <c r="M570" i="40"/>
  <c r="L570" i="40"/>
  <c r="K570" i="40"/>
  <c r="J570" i="40"/>
  <c r="I570" i="40"/>
  <c r="H570" i="40"/>
  <c r="G570" i="40"/>
  <c r="F570" i="40"/>
  <c r="AJ569" i="40"/>
  <c r="AI569" i="40"/>
  <c r="AG569" i="40"/>
  <c r="AF569" i="40"/>
  <c r="AE569" i="40"/>
  <c r="AD569" i="40"/>
  <c r="AC569" i="40"/>
  <c r="AB569" i="40"/>
  <c r="AA569" i="40"/>
  <c r="P569" i="40"/>
  <c r="O569" i="40"/>
  <c r="N569" i="40"/>
  <c r="M569" i="40"/>
  <c r="L569" i="40"/>
  <c r="K569" i="40"/>
  <c r="J569" i="40"/>
  <c r="I569" i="40"/>
  <c r="H569" i="40"/>
  <c r="G569" i="40"/>
  <c r="F569" i="40"/>
  <c r="AJ568" i="40"/>
  <c r="AI568" i="40"/>
  <c r="AG568" i="40"/>
  <c r="AF568" i="40"/>
  <c r="AE568" i="40"/>
  <c r="AD568" i="40"/>
  <c r="AC568" i="40"/>
  <c r="AB568" i="40"/>
  <c r="AA568" i="40"/>
  <c r="P568" i="40"/>
  <c r="O568" i="40"/>
  <c r="N568" i="40"/>
  <c r="M568" i="40"/>
  <c r="L568" i="40"/>
  <c r="K568" i="40"/>
  <c r="J568" i="40"/>
  <c r="I568" i="40"/>
  <c r="H568" i="40"/>
  <c r="G568" i="40"/>
  <c r="F568" i="40"/>
  <c r="AJ567" i="40"/>
  <c r="AI567" i="40"/>
  <c r="AG567" i="40"/>
  <c r="AF567" i="40"/>
  <c r="AE567" i="40"/>
  <c r="AD567" i="40"/>
  <c r="AC567" i="40"/>
  <c r="AB567" i="40"/>
  <c r="AA567" i="40"/>
  <c r="P567" i="40"/>
  <c r="O567" i="40"/>
  <c r="N567" i="40"/>
  <c r="M567" i="40"/>
  <c r="L567" i="40"/>
  <c r="K567" i="40"/>
  <c r="J567" i="40"/>
  <c r="I567" i="40"/>
  <c r="H567" i="40"/>
  <c r="G567" i="40"/>
  <c r="F567" i="40"/>
  <c r="AJ566" i="40"/>
  <c r="AI566" i="40"/>
  <c r="AG566" i="40"/>
  <c r="AF566" i="40"/>
  <c r="AE566" i="40"/>
  <c r="AD566" i="40"/>
  <c r="AC566" i="40"/>
  <c r="AB566" i="40"/>
  <c r="AA566" i="40"/>
  <c r="P566" i="40"/>
  <c r="O566" i="40"/>
  <c r="N566" i="40"/>
  <c r="M566" i="40"/>
  <c r="L566" i="40"/>
  <c r="K566" i="40"/>
  <c r="J566" i="40"/>
  <c r="I566" i="40"/>
  <c r="H566" i="40"/>
  <c r="G566" i="40"/>
  <c r="F566" i="40"/>
  <c r="AJ565" i="40"/>
  <c r="AI565" i="40"/>
  <c r="AG565" i="40"/>
  <c r="AF565" i="40"/>
  <c r="AE565" i="40"/>
  <c r="AD565" i="40"/>
  <c r="AC565" i="40"/>
  <c r="AB565" i="40"/>
  <c r="AA565" i="40"/>
  <c r="P565" i="40"/>
  <c r="O565" i="40"/>
  <c r="N565" i="40"/>
  <c r="M565" i="40"/>
  <c r="L565" i="40"/>
  <c r="K565" i="40"/>
  <c r="J565" i="40"/>
  <c r="I565" i="40"/>
  <c r="H565" i="40"/>
  <c r="G565" i="40"/>
  <c r="F565" i="40"/>
  <c r="AJ564" i="40"/>
  <c r="AI564" i="40"/>
  <c r="AG564" i="40"/>
  <c r="AF564" i="40"/>
  <c r="AE564" i="40"/>
  <c r="AD564" i="40"/>
  <c r="AC564" i="40"/>
  <c r="AB564" i="40"/>
  <c r="AA564" i="40"/>
  <c r="P564" i="40"/>
  <c r="O564" i="40"/>
  <c r="N564" i="40"/>
  <c r="M564" i="40"/>
  <c r="L564" i="40"/>
  <c r="K564" i="40"/>
  <c r="J564" i="40"/>
  <c r="I564" i="40"/>
  <c r="H564" i="40"/>
  <c r="G564" i="40"/>
  <c r="F564" i="40"/>
  <c r="AJ563" i="40"/>
  <c r="AI563" i="40"/>
  <c r="AG563" i="40"/>
  <c r="AF563" i="40"/>
  <c r="AE563" i="40"/>
  <c r="AD563" i="40"/>
  <c r="AC563" i="40"/>
  <c r="AB563" i="40"/>
  <c r="AA563" i="40"/>
  <c r="P563" i="40"/>
  <c r="O563" i="40"/>
  <c r="N563" i="40"/>
  <c r="M563" i="40"/>
  <c r="L563" i="40"/>
  <c r="K563" i="40"/>
  <c r="J563" i="40"/>
  <c r="I563" i="40"/>
  <c r="H563" i="40"/>
  <c r="G563" i="40"/>
  <c r="F563" i="40"/>
  <c r="AJ562" i="40"/>
  <c r="AI562" i="40"/>
  <c r="AG562" i="40"/>
  <c r="AF562" i="40"/>
  <c r="AE562" i="40"/>
  <c r="AD562" i="40"/>
  <c r="AC562" i="40"/>
  <c r="AB562" i="40"/>
  <c r="AA562" i="40"/>
  <c r="P562" i="40"/>
  <c r="O562" i="40"/>
  <c r="N562" i="40"/>
  <c r="M562" i="40"/>
  <c r="L562" i="40"/>
  <c r="K562" i="40"/>
  <c r="J562" i="40"/>
  <c r="I562" i="40"/>
  <c r="H562" i="40"/>
  <c r="G562" i="40"/>
  <c r="F562" i="40"/>
  <c r="AJ561" i="40"/>
  <c r="AI561" i="40"/>
  <c r="AG561" i="40"/>
  <c r="AF561" i="40"/>
  <c r="AE561" i="40"/>
  <c r="AD561" i="40"/>
  <c r="AC561" i="40"/>
  <c r="AB561" i="40"/>
  <c r="AA561" i="40"/>
  <c r="P561" i="40"/>
  <c r="O561" i="40"/>
  <c r="N561" i="40"/>
  <c r="M561" i="40"/>
  <c r="L561" i="40"/>
  <c r="K561" i="40"/>
  <c r="J561" i="40"/>
  <c r="I561" i="40"/>
  <c r="H561" i="40"/>
  <c r="G561" i="40"/>
  <c r="F561" i="40"/>
  <c r="AJ560" i="40"/>
  <c r="AI560" i="40"/>
  <c r="AG560" i="40"/>
  <c r="AF560" i="40"/>
  <c r="AE560" i="40"/>
  <c r="AD560" i="40"/>
  <c r="AC560" i="40"/>
  <c r="AB560" i="40"/>
  <c r="AA560" i="40"/>
  <c r="P560" i="40"/>
  <c r="O560" i="40"/>
  <c r="N560" i="40"/>
  <c r="M560" i="40"/>
  <c r="L560" i="40"/>
  <c r="K560" i="40"/>
  <c r="J560" i="40"/>
  <c r="I560" i="40"/>
  <c r="H560" i="40"/>
  <c r="G560" i="40"/>
  <c r="F560" i="40"/>
  <c r="AJ559" i="40"/>
  <c r="AI559" i="40"/>
  <c r="AG559" i="40"/>
  <c r="AF559" i="40"/>
  <c r="AE559" i="40"/>
  <c r="AD559" i="40"/>
  <c r="AC559" i="40"/>
  <c r="AB559" i="40"/>
  <c r="AA559" i="40"/>
  <c r="P559" i="40"/>
  <c r="O559" i="40"/>
  <c r="N559" i="40"/>
  <c r="M559" i="40"/>
  <c r="L559" i="40"/>
  <c r="K559" i="40"/>
  <c r="J559" i="40"/>
  <c r="I559" i="40"/>
  <c r="H559" i="40"/>
  <c r="G559" i="40"/>
  <c r="F559" i="40"/>
  <c r="AJ558" i="40"/>
  <c r="AI558" i="40"/>
  <c r="AG558" i="40"/>
  <c r="AF558" i="40"/>
  <c r="AE558" i="40"/>
  <c r="AD558" i="40"/>
  <c r="AC558" i="40"/>
  <c r="AB558" i="40"/>
  <c r="AA558" i="40"/>
  <c r="P558" i="40"/>
  <c r="O558" i="40"/>
  <c r="N558" i="40"/>
  <c r="M558" i="40"/>
  <c r="L558" i="40"/>
  <c r="K558" i="40"/>
  <c r="J558" i="40"/>
  <c r="I558" i="40"/>
  <c r="H558" i="40"/>
  <c r="G558" i="40"/>
  <c r="F558" i="40"/>
  <c r="AJ557" i="40"/>
  <c r="AI557" i="40"/>
  <c r="AG557" i="40"/>
  <c r="AF557" i="40"/>
  <c r="AE557" i="40"/>
  <c r="AD557" i="40"/>
  <c r="AC557" i="40"/>
  <c r="AB557" i="40"/>
  <c r="AA557" i="40"/>
  <c r="P557" i="40"/>
  <c r="O557" i="40"/>
  <c r="N557" i="40"/>
  <c r="M557" i="40"/>
  <c r="L557" i="40"/>
  <c r="K557" i="40"/>
  <c r="J557" i="40"/>
  <c r="I557" i="40"/>
  <c r="H557" i="40"/>
  <c r="G557" i="40"/>
  <c r="F557" i="40"/>
  <c r="AJ556" i="40"/>
  <c r="AI556" i="40"/>
  <c r="AG556" i="40"/>
  <c r="AF556" i="40"/>
  <c r="AE556" i="40"/>
  <c r="AD556" i="40"/>
  <c r="AC556" i="40"/>
  <c r="AB556" i="40"/>
  <c r="AA556" i="40"/>
  <c r="P556" i="40"/>
  <c r="O556" i="40"/>
  <c r="N556" i="40"/>
  <c r="M556" i="40"/>
  <c r="L556" i="40"/>
  <c r="K556" i="40"/>
  <c r="J556" i="40"/>
  <c r="I556" i="40"/>
  <c r="H556" i="40"/>
  <c r="G556" i="40"/>
  <c r="F556" i="40"/>
  <c r="AJ555" i="40"/>
  <c r="AI555" i="40"/>
  <c r="AG555" i="40"/>
  <c r="AF555" i="40"/>
  <c r="AE555" i="40"/>
  <c r="AD555" i="40"/>
  <c r="AC555" i="40"/>
  <c r="AB555" i="40"/>
  <c r="AA555" i="40"/>
  <c r="P555" i="40"/>
  <c r="O555" i="40"/>
  <c r="N555" i="40"/>
  <c r="M555" i="40"/>
  <c r="L555" i="40"/>
  <c r="K555" i="40"/>
  <c r="J555" i="40"/>
  <c r="I555" i="40"/>
  <c r="H555" i="40"/>
  <c r="G555" i="40"/>
  <c r="F555" i="40"/>
  <c r="AJ554" i="40"/>
  <c r="AI554" i="40"/>
  <c r="AG554" i="40"/>
  <c r="AF554" i="40"/>
  <c r="AE554" i="40"/>
  <c r="AD554" i="40"/>
  <c r="AC554" i="40"/>
  <c r="AB554" i="40"/>
  <c r="AA554" i="40"/>
  <c r="P554" i="40"/>
  <c r="O554" i="40"/>
  <c r="N554" i="40"/>
  <c r="M554" i="40"/>
  <c r="L554" i="40"/>
  <c r="K554" i="40"/>
  <c r="J554" i="40"/>
  <c r="I554" i="40"/>
  <c r="H554" i="40"/>
  <c r="G554" i="40"/>
  <c r="F554" i="40"/>
  <c r="AJ553" i="40"/>
  <c r="AI553" i="40"/>
  <c r="AG553" i="40"/>
  <c r="AF553" i="40"/>
  <c r="AE553" i="40"/>
  <c r="AD553" i="40"/>
  <c r="AC553" i="40"/>
  <c r="AB553" i="40"/>
  <c r="AA553" i="40"/>
  <c r="P553" i="40"/>
  <c r="O553" i="40"/>
  <c r="N553" i="40"/>
  <c r="M553" i="40"/>
  <c r="L553" i="40"/>
  <c r="K553" i="40"/>
  <c r="J553" i="40"/>
  <c r="I553" i="40"/>
  <c r="H553" i="40"/>
  <c r="G553" i="40"/>
  <c r="F553" i="40"/>
  <c r="AJ552" i="40"/>
  <c r="AI552" i="40"/>
  <c r="AG552" i="40"/>
  <c r="AF552" i="40"/>
  <c r="AE552" i="40"/>
  <c r="AD552" i="40"/>
  <c r="AC552" i="40"/>
  <c r="AB552" i="40"/>
  <c r="AA552" i="40"/>
  <c r="P552" i="40"/>
  <c r="O552" i="40"/>
  <c r="N552" i="40"/>
  <c r="M552" i="40"/>
  <c r="L552" i="40"/>
  <c r="K552" i="40"/>
  <c r="J552" i="40"/>
  <c r="I552" i="40"/>
  <c r="H552" i="40"/>
  <c r="G552" i="40"/>
  <c r="F552" i="40"/>
  <c r="AJ551" i="40"/>
  <c r="AI551" i="40"/>
  <c r="AG551" i="40"/>
  <c r="AF551" i="40"/>
  <c r="AE551" i="40"/>
  <c r="AD551" i="40"/>
  <c r="AC551" i="40"/>
  <c r="AB551" i="40"/>
  <c r="AA551" i="40"/>
  <c r="P551" i="40"/>
  <c r="O551" i="40"/>
  <c r="N551" i="40"/>
  <c r="M551" i="40"/>
  <c r="L551" i="40"/>
  <c r="K551" i="40"/>
  <c r="J551" i="40"/>
  <c r="I551" i="40"/>
  <c r="H551" i="40"/>
  <c r="G551" i="40"/>
  <c r="F551" i="40"/>
  <c r="AJ550" i="40"/>
  <c r="AI550" i="40"/>
  <c r="AG550" i="40"/>
  <c r="AF550" i="40"/>
  <c r="AE550" i="40"/>
  <c r="AD550" i="40"/>
  <c r="AC550" i="40"/>
  <c r="AB550" i="40"/>
  <c r="AA550" i="40"/>
  <c r="P550" i="40"/>
  <c r="O550" i="40"/>
  <c r="N550" i="40"/>
  <c r="M550" i="40"/>
  <c r="L550" i="40"/>
  <c r="K550" i="40"/>
  <c r="J550" i="40"/>
  <c r="I550" i="40"/>
  <c r="H550" i="40"/>
  <c r="G550" i="40"/>
  <c r="F550" i="40"/>
  <c r="AJ549" i="40"/>
  <c r="AI549" i="40"/>
  <c r="AG549" i="40"/>
  <c r="AF549" i="40"/>
  <c r="AE549" i="40"/>
  <c r="AD549" i="40"/>
  <c r="AC549" i="40"/>
  <c r="AB549" i="40"/>
  <c r="AA549" i="40"/>
  <c r="P549" i="40"/>
  <c r="O549" i="40"/>
  <c r="N549" i="40"/>
  <c r="M549" i="40"/>
  <c r="L549" i="40"/>
  <c r="K549" i="40"/>
  <c r="J549" i="40"/>
  <c r="I549" i="40"/>
  <c r="H549" i="40"/>
  <c r="G549" i="40"/>
  <c r="F549" i="40"/>
  <c r="AJ548" i="40"/>
  <c r="AI548" i="40"/>
  <c r="AG548" i="40"/>
  <c r="AF548" i="40"/>
  <c r="AE548" i="40"/>
  <c r="AD548" i="40"/>
  <c r="AC548" i="40"/>
  <c r="AB548" i="40"/>
  <c r="AA548" i="40"/>
  <c r="P548" i="40"/>
  <c r="O548" i="40"/>
  <c r="N548" i="40"/>
  <c r="M548" i="40"/>
  <c r="L548" i="40"/>
  <c r="K548" i="40"/>
  <c r="J548" i="40"/>
  <c r="I548" i="40"/>
  <c r="H548" i="40"/>
  <c r="G548" i="40"/>
  <c r="F548" i="40"/>
  <c r="AJ547" i="40"/>
  <c r="AI547" i="40"/>
  <c r="AG547" i="40"/>
  <c r="AF547" i="40"/>
  <c r="AE547" i="40"/>
  <c r="AD547" i="40"/>
  <c r="AC547" i="40"/>
  <c r="AB547" i="40"/>
  <c r="AA547" i="40"/>
  <c r="P547" i="40"/>
  <c r="O547" i="40"/>
  <c r="N547" i="40"/>
  <c r="M547" i="40"/>
  <c r="L547" i="40"/>
  <c r="K547" i="40"/>
  <c r="J547" i="40"/>
  <c r="I547" i="40"/>
  <c r="H547" i="40"/>
  <c r="G547" i="40"/>
  <c r="F547" i="40"/>
  <c r="AJ546" i="40"/>
  <c r="AI546" i="40"/>
  <c r="AG546" i="40"/>
  <c r="AF546" i="40"/>
  <c r="AE546" i="40"/>
  <c r="AD546" i="40"/>
  <c r="AC546" i="40"/>
  <c r="AB546" i="40"/>
  <c r="AA546" i="40"/>
  <c r="P546" i="40"/>
  <c r="O546" i="40"/>
  <c r="N546" i="40"/>
  <c r="M546" i="40"/>
  <c r="L546" i="40"/>
  <c r="K546" i="40"/>
  <c r="J546" i="40"/>
  <c r="I546" i="40"/>
  <c r="H546" i="40"/>
  <c r="G546" i="40"/>
  <c r="F546" i="40"/>
  <c r="AJ545" i="40"/>
  <c r="AI545" i="40"/>
  <c r="AG545" i="40"/>
  <c r="AF545" i="40"/>
  <c r="AE545" i="40"/>
  <c r="AD545" i="40"/>
  <c r="AC545" i="40"/>
  <c r="AB545" i="40"/>
  <c r="AA545" i="40"/>
  <c r="P545" i="40"/>
  <c r="O545" i="40"/>
  <c r="N545" i="40"/>
  <c r="M545" i="40"/>
  <c r="L545" i="40"/>
  <c r="K545" i="40"/>
  <c r="J545" i="40"/>
  <c r="I545" i="40"/>
  <c r="H545" i="40"/>
  <c r="G545" i="40"/>
  <c r="F545" i="40"/>
  <c r="AJ544" i="40"/>
  <c r="AI544" i="40"/>
  <c r="AG544" i="40"/>
  <c r="AF544" i="40"/>
  <c r="AE544" i="40"/>
  <c r="AD544" i="40"/>
  <c r="AC544" i="40"/>
  <c r="AB544" i="40"/>
  <c r="AA544" i="40"/>
  <c r="P544" i="40"/>
  <c r="O544" i="40"/>
  <c r="N544" i="40"/>
  <c r="M544" i="40"/>
  <c r="L544" i="40"/>
  <c r="K544" i="40"/>
  <c r="J544" i="40"/>
  <c r="I544" i="40"/>
  <c r="H544" i="40"/>
  <c r="G544" i="40"/>
  <c r="F544" i="40"/>
  <c r="AJ543" i="40"/>
  <c r="AI543" i="40"/>
  <c r="AG543" i="40"/>
  <c r="AF543" i="40"/>
  <c r="AE543" i="40"/>
  <c r="AD543" i="40"/>
  <c r="AC543" i="40"/>
  <c r="AB543" i="40"/>
  <c r="AA543" i="40"/>
  <c r="P543" i="40"/>
  <c r="O543" i="40"/>
  <c r="N543" i="40"/>
  <c r="M543" i="40"/>
  <c r="L543" i="40"/>
  <c r="K543" i="40"/>
  <c r="J543" i="40"/>
  <c r="I543" i="40"/>
  <c r="H543" i="40"/>
  <c r="G543" i="40"/>
  <c r="F543" i="40"/>
  <c r="AJ542" i="40"/>
  <c r="AI542" i="40"/>
  <c r="AG542" i="40"/>
  <c r="AF542" i="40"/>
  <c r="AE542" i="40"/>
  <c r="AD542" i="40"/>
  <c r="AC542" i="40"/>
  <c r="AB542" i="40"/>
  <c r="AA542" i="40"/>
  <c r="P542" i="40"/>
  <c r="O542" i="40"/>
  <c r="N542" i="40"/>
  <c r="M542" i="40"/>
  <c r="L542" i="40"/>
  <c r="K542" i="40"/>
  <c r="J542" i="40"/>
  <c r="I542" i="40"/>
  <c r="H542" i="40"/>
  <c r="G542" i="40"/>
  <c r="F542" i="40"/>
  <c r="AJ541" i="40"/>
  <c r="AI541" i="40"/>
  <c r="AG541" i="40"/>
  <c r="AF541" i="40"/>
  <c r="AE541" i="40"/>
  <c r="AD541" i="40"/>
  <c r="AC541" i="40"/>
  <c r="AB541" i="40"/>
  <c r="AA541" i="40"/>
  <c r="P541" i="40"/>
  <c r="O541" i="40"/>
  <c r="N541" i="40"/>
  <c r="M541" i="40"/>
  <c r="L541" i="40"/>
  <c r="K541" i="40"/>
  <c r="J541" i="40"/>
  <c r="I541" i="40"/>
  <c r="H541" i="40"/>
  <c r="G541" i="40"/>
  <c r="F541" i="40"/>
  <c r="AJ540" i="40"/>
  <c r="AI540" i="40"/>
  <c r="AG540" i="40"/>
  <c r="AF540" i="40"/>
  <c r="AE540" i="40"/>
  <c r="AD540" i="40"/>
  <c r="AC540" i="40"/>
  <c r="AB540" i="40"/>
  <c r="AA540" i="40"/>
  <c r="P540" i="40"/>
  <c r="O540" i="40"/>
  <c r="N540" i="40"/>
  <c r="M540" i="40"/>
  <c r="L540" i="40"/>
  <c r="K540" i="40"/>
  <c r="J540" i="40"/>
  <c r="I540" i="40"/>
  <c r="H540" i="40"/>
  <c r="G540" i="40"/>
  <c r="F540" i="40"/>
  <c r="AJ539" i="40"/>
  <c r="AI539" i="40"/>
  <c r="AG539" i="40"/>
  <c r="AF539" i="40"/>
  <c r="AE539" i="40"/>
  <c r="AD539" i="40"/>
  <c r="AC539" i="40"/>
  <c r="AB539" i="40"/>
  <c r="AA539" i="40"/>
  <c r="P539" i="40"/>
  <c r="O539" i="40"/>
  <c r="N539" i="40"/>
  <c r="M539" i="40"/>
  <c r="L539" i="40"/>
  <c r="K539" i="40"/>
  <c r="J539" i="40"/>
  <c r="I539" i="40"/>
  <c r="H539" i="40"/>
  <c r="G539" i="40"/>
  <c r="F539" i="40"/>
  <c r="AJ538" i="40"/>
  <c r="AI538" i="40"/>
  <c r="AG538" i="40"/>
  <c r="AF538" i="40"/>
  <c r="AE538" i="40"/>
  <c r="AD538" i="40"/>
  <c r="AC538" i="40"/>
  <c r="AB538" i="40"/>
  <c r="AA538" i="40"/>
  <c r="P538" i="40"/>
  <c r="O538" i="40"/>
  <c r="N538" i="40"/>
  <c r="M538" i="40"/>
  <c r="L538" i="40"/>
  <c r="K538" i="40"/>
  <c r="J538" i="40"/>
  <c r="I538" i="40"/>
  <c r="H538" i="40"/>
  <c r="G538" i="40"/>
  <c r="F538" i="40"/>
  <c r="AJ537" i="40"/>
  <c r="AI537" i="40"/>
  <c r="AG537" i="40"/>
  <c r="AF537" i="40"/>
  <c r="AE537" i="40"/>
  <c r="AD537" i="40"/>
  <c r="AC537" i="40"/>
  <c r="AB537" i="40"/>
  <c r="AA537" i="40"/>
  <c r="P537" i="40"/>
  <c r="O537" i="40"/>
  <c r="N537" i="40"/>
  <c r="M537" i="40"/>
  <c r="L537" i="40"/>
  <c r="K537" i="40"/>
  <c r="J537" i="40"/>
  <c r="I537" i="40"/>
  <c r="H537" i="40"/>
  <c r="G537" i="40"/>
  <c r="F537" i="40"/>
  <c r="AJ536" i="40"/>
  <c r="AI536" i="40"/>
  <c r="AG536" i="40"/>
  <c r="AF536" i="40"/>
  <c r="AE536" i="40"/>
  <c r="AD536" i="40"/>
  <c r="AC536" i="40"/>
  <c r="AB536" i="40"/>
  <c r="AA536" i="40"/>
  <c r="P536" i="40"/>
  <c r="O536" i="40"/>
  <c r="N536" i="40"/>
  <c r="M536" i="40"/>
  <c r="L536" i="40"/>
  <c r="K536" i="40"/>
  <c r="J536" i="40"/>
  <c r="I536" i="40"/>
  <c r="H536" i="40"/>
  <c r="G536" i="40"/>
  <c r="F536" i="40"/>
  <c r="AJ535" i="40"/>
  <c r="AI535" i="40"/>
  <c r="AG535" i="40"/>
  <c r="AF535" i="40"/>
  <c r="AE535" i="40"/>
  <c r="AD535" i="40"/>
  <c r="AC535" i="40"/>
  <c r="AB535" i="40"/>
  <c r="AA535" i="40"/>
  <c r="P535" i="40"/>
  <c r="O535" i="40"/>
  <c r="N535" i="40"/>
  <c r="M535" i="40"/>
  <c r="L535" i="40"/>
  <c r="K535" i="40"/>
  <c r="J535" i="40"/>
  <c r="I535" i="40"/>
  <c r="H535" i="40"/>
  <c r="G535" i="40"/>
  <c r="F535" i="40"/>
  <c r="AJ534" i="40"/>
  <c r="AI534" i="40"/>
  <c r="AG534" i="40"/>
  <c r="AF534" i="40"/>
  <c r="AE534" i="40"/>
  <c r="AD534" i="40"/>
  <c r="AC534" i="40"/>
  <c r="AB534" i="40"/>
  <c r="AA534" i="40"/>
  <c r="P534" i="40"/>
  <c r="O534" i="40"/>
  <c r="N534" i="40"/>
  <c r="M534" i="40"/>
  <c r="L534" i="40"/>
  <c r="K534" i="40"/>
  <c r="J534" i="40"/>
  <c r="I534" i="40"/>
  <c r="H534" i="40"/>
  <c r="G534" i="40"/>
  <c r="F534" i="40"/>
  <c r="AJ533" i="40"/>
  <c r="AI533" i="40"/>
  <c r="AG533" i="40"/>
  <c r="AF533" i="40"/>
  <c r="AE533" i="40"/>
  <c r="AD533" i="40"/>
  <c r="AC533" i="40"/>
  <c r="AB533" i="40"/>
  <c r="AA533" i="40"/>
  <c r="P533" i="40"/>
  <c r="O533" i="40"/>
  <c r="N533" i="40"/>
  <c r="M533" i="40"/>
  <c r="L533" i="40"/>
  <c r="K533" i="40"/>
  <c r="J533" i="40"/>
  <c r="I533" i="40"/>
  <c r="H533" i="40"/>
  <c r="G533" i="40"/>
  <c r="F533" i="40"/>
  <c r="AJ532" i="40"/>
  <c r="AI532" i="40"/>
  <c r="AG532" i="40"/>
  <c r="AF532" i="40"/>
  <c r="AE532" i="40"/>
  <c r="AD532" i="40"/>
  <c r="AC532" i="40"/>
  <c r="AB532" i="40"/>
  <c r="AA532" i="40"/>
  <c r="P532" i="40"/>
  <c r="O532" i="40"/>
  <c r="N532" i="40"/>
  <c r="M532" i="40"/>
  <c r="L532" i="40"/>
  <c r="K532" i="40"/>
  <c r="J532" i="40"/>
  <c r="I532" i="40"/>
  <c r="H532" i="40"/>
  <c r="G532" i="40"/>
  <c r="F532" i="40"/>
  <c r="AJ531" i="40"/>
  <c r="AI531" i="40"/>
  <c r="AG531" i="40"/>
  <c r="AF531" i="40"/>
  <c r="AE531" i="40"/>
  <c r="AD531" i="40"/>
  <c r="AC531" i="40"/>
  <c r="AB531" i="40"/>
  <c r="AA531" i="40"/>
  <c r="P531" i="40"/>
  <c r="O531" i="40"/>
  <c r="N531" i="40"/>
  <c r="M531" i="40"/>
  <c r="L531" i="40"/>
  <c r="K531" i="40"/>
  <c r="J531" i="40"/>
  <c r="I531" i="40"/>
  <c r="H531" i="40"/>
  <c r="G531" i="40"/>
  <c r="F531" i="40"/>
  <c r="AJ530" i="40"/>
  <c r="AI530" i="40"/>
  <c r="AG530" i="40"/>
  <c r="AF530" i="40"/>
  <c r="AE530" i="40"/>
  <c r="AD530" i="40"/>
  <c r="AC530" i="40"/>
  <c r="AB530" i="40"/>
  <c r="AA530" i="40"/>
  <c r="P530" i="40"/>
  <c r="O530" i="40"/>
  <c r="N530" i="40"/>
  <c r="M530" i="40"/>
  <c r="L530" i="40"/>
  <c r="K530" i="40"/>
  <c r="J530" i="40"/>
  <c r="I530" i="40"/>
  <c r="H530" i="40"/>
  <c r="G530" i="40"/>
  <c r="F530" i="40"/>
  <c r="AJ529" i="40"/>
  <c r="AI529" i="40"/>
  <c r="AG529" i="40"/>
  <c r="AF529" i="40"/>
  <c r="AE529" i="40"/>
  <c r="AD529" i="40"/>
  <c r="AC529" i="40"/>
  <c r="AB529" i="40"/>
  <c r="AA529" i="40"/>
  <c r="P529" i="40"/>
  <c r="O529" i="40"/>
  <c r="N529" i="40"/>
  <c r="M529" i="40"/>
  <c r="L529" i="40"/>
  <c r="K529" i="40"/>
  <c r="J529" i="40"/>
  <c r="I529" i="40"/>
  <c r="H529" i="40"/>
  <c r="G529" i="40"/>
  <c r="F529" i="40"/>
  <c r="AJ528" i="40"/>
  <c r="AI528" i="40"/>
  <c r="AG528" i="40"/>
  <c r="AF528" i="40"/>
  <c r="AE528" i="40"/>
  <c r="AD528" i="40"/>
  <c r="AC528" i="40"/>
  <c r="AB528" i="40"/>
  <c r="AA528" i="40"/>
  <c r="P528" i="40"/>
  <c r="O528" i="40"/>
  <c r="N528" i="40"/>
  <c r="M528" i="40"/>
  <c r="L528" i="40"/>
  <c r="K528" i="40"/>
  <c r="J528" i="40"/>
  <c r="I528" i="40"/>
  <c r="H528" i="40"/>
  <c r="G528" i="40"/>
  <c r="F528" i="40"/>
  <c r="AJ527" i="40"/>
  <c r="AI527" i="40"/>
  <c r="AG527" i="40"/>
  <c r="AF527" i="40"/>
  <c r="AE527" i="40"/>
  <c r="AD527" i="40"/>
  <c r="AC527" i="40"/>
  <c r="AB527" i="40"/>
  <c r="AA527" i="40"/>
  <c r="P527" i="40"/>
  <c r="O527" i="40"/>
  <c r="N527" i="40"/>
  <c r="M527" i="40"/>
  <c r="L527" i="40"/>
  <c r="K527" i="40"/>
  <c r="J527" i="40"/>
  <c r="I527" i="40"/>
  <c r="H527" i="40"/>
  <c r="G527" i="40"/>
  <c r="F527" i="40"/>
  <c r="AJ526" i="40"/>
  <c r="AI526" i="40"/>
  <c r="AG526" i="40"/>
  <c r="AF526" i="40"/>
  <c r="AE526" i="40"/>
  <c r="AD526" i="40"/>
  <c r="AC526" i="40"/>
  <c r="AB526" i="40"/>
  <c r="AA526" i="40"/>
  <c r="P526" i="40"/>
  <c r="O526" i="40"/>
  <c r="N526" i="40"/>
  <c r="M526" i="40"/>
  <c r="L526" i="40"/>
  <c r="K526" i="40"/>
  <c r="J526" i="40"/>
  <c r="I526" i="40"/>
  <c r="H526" i="40"/>
  <c r="G526" i="40"/>
  <c r="F526" i="40"/>
  <c r="AJ525" i="40"/>
  <c r="AI525" i="40"/>
  <c r="AG525" i="40"/>
  <c r="AF525" i="40"/>
  <c r="AE525" i="40"/>
  <c r="AD525" i="40"/>
  <c r="AC525" i="40"/>
  <c r="AB525" i="40"/>
  <c r="AA525" i="40"/>
  <c r="P525" i="40"/>
  <c r="O525" i="40"/>
  <c r="N525" i="40"/>
  <c r="M525" i="40"/>
  <c r="L525" i="40"/>
  <c r="K525" i="40"/>
  <c r="J525" i="40"/>
  <c r="I525" i="40"/>
  <c r="H525" i="40"/>
  <c r="G525" i="40"/>
  <c r="F525" i="40"/>
  <c r="AJ524" i="40"/>
  <c r="AI524" i="40"/>
  <c r="AG524" i="40"/>
  <c r="AF524" i="40"/>
  <c r="AE524" i="40"/>
  <c r="AD524" i="40"/>
  <c r="AC524" i="40"/>
  <c r="AB524" i="40"/>
  <c r="AA524" i="40"/>
  <c r="P524" i="40"/>
  <c r="O524" i="40"/>
  <c r="N524" i="40"/>
  <c r="M524" i="40"/>
  <c r="L524" i="40"/>
  <c r="K524" i="40"/>
  <c r="J524" i="40"/>
  <c r="I524" i="40"/>
  <c r="H524" i="40"/>
  <c r="G524" i="40"/>
  <c r="F524" i="40"/>
  <c r="AJ523" i="40"/>
  <c r="AI523" i="40"/>
  <c r="AG523" i="40"/>
  <c r="AF523" i="40"/>
  <c r="AE523" i="40"/>
  <c r="AD523" i="40"/>
  <c r="AC523" i="40"/>
  <c r="AB523" i="40"/>
  <c r="AA523" i="40"/>
  <c r="P523" i="40"/>
  <c r="O523" i="40"/>
  <c r="N523" i="40"/>
  <c r="M523" i="40"/>
  <c r="L523" i="40"/>
  <c r="K523" i="40"/>
  <c r="J523" i="40"/>
  <c r="I523" i="40"/>
  <c r="H523" i="40"/>
  <c r="G523" i="40"/>
  <c r="F523" i="40"/>
  <c r="AJ522" i="40"/>
  <c r="AI522" i="40"/>
  <c r="AG522" i="40"/>
  <c r="AF522" i="40"/>
  <c r="AE522" i="40"/>
  <c r="AD522" i="40"/>
  <c r="AC522" i="40"/>
  <c r="AB522" i="40"/>
  <c r="AA522" i="40"/>
  <c r="P522" i="40"/>
  <c r="O522" i="40"/>
  <c r="N522" i="40"/>
  <c r="M522" i="40"/>
  <c r="L522" i="40"/>
  <c r="K522" i="40"/>
  <c r="J522" i="40"/>
  <c r="I522" i="40"/>
  <c r="H522" i="40"/>
  <c r="G522" i="40"/>
  <c r="F522" i="40"/>
  <c r="AJ521" i="40"/>
  <c r="AI521" i="40"/>
  <c r="AG521" i="40"/>
  <c r="AF521" i="40"/>
  <c r="AE521" i="40"/>
  <c r="AD521" i="40"/>
  <c r="AC521" i="40"/>
  <c r="AB521" i="40"/>
  <c r="AA521" i="40"/>
  <c r="P521" i="40"/>
  <c r="O521" i="40"/>
  <c r="N521" i="40"/>
  <c r="M521" i="40"/>
  <c r="L521" i="40"/>
  <c r="K521" i="40"/>
  <c r="J521" i="40"/>
  <c r="I521" i="40"/>
  <c r="H521" i="40"/>
  <c r="G521" i="40"/>
  <c r="F521" i="40"/>
  <c r="AJ487" i="40"/>
  <c r="AI487" i="40"/>
  <c r="AH487" i="40"/>
  <c r="AG487" i="40"/>
  <c r="AF487" i="40"/>
  <c r="AE487" i="40"/>
  <c r="AD487" i="40"/>
  <c r="AC487" i="40"/>
  <c r="AB487" i="40"/>
  <c r="AA487" i="40"/>
  <c r="P487" i="40"/>
  <c r="O487" i="40"/>
  <c r="N487" i="40"/>
  <c r="M487" i="40"/>
  <c r="L487" i="40"/>
  <c r="K487" i="40"/>
  <c r="J487" i="40"/>
  <c r="I487" i="40"/>
  <c r="H487" i="40"/>
  <c r="G487" i="40"/>
  <c r="F487" i="40"/>
  <c r="AJ486" i="40"/>
  <c r="AI486" i="40"/>
  <c r="AH486" i="40"/>
  <c r="AG486" i="40"/>
  <c r="AF486" i="40"/>
  <c r="AE486" i="40"/>
  <c r="AD486" i="40"/>
  <c r="AC486" i="40"/>
  <c r="AB486" i="40"/>
  <c r="AA486" i="40"/>
  <c r="P486" i="40"/>
  <c r="O486" i="40"/>
  <c r="N486" i="40"/>
  <c r="M486" i="40"/>
  <c r="L486" i="40"/>
  <c r="K486" i="40"/>
  <c r="J486" i="40"/>
  <c r="I486" i="40"/>
  <c r="H486" i="40"/>
  <c r="G486" i="40"/>
  <c r="F486" i="40"/>
  <c r="AJ485" i="40"/>
  <c r="AI485" i="40"/>
  <c r="AH485" i="40"/>
  <c r="AG485" i="40"/>
  <c r="AF485" i="40"/>
  <c r="AE485" i="40"/>
  <c r="AD485" i="40"/>
  <c r="AC485" i="40"/>
  <c r="AB485" i="40"/>
  <c r="AA485" i="40"/>
  <c r="P485" i="40"/>
  <c r="O485" i="40"/>
  <c r="N485" i="40"/>
  <c r="M485" i="40"/>
  <c r="L485" i="40"/>
  <c r="K485" i="40"/>
  <c r="J485" i="40"/>
  <c r="I485" i="40"/>
  <c r="H485" i="40"/>
  <c r="G485" i="40"/>
  <c r="F485" i="40"/>
  <c r="AJ484" i="40"/>
  <c r="AI484" i="40"/>
  <c r="AH484" i="40"/>
  <c r="AG484" i="40"/>
  <c r="AF484" i="40"/>
  <c r="AE484" i="40"/>
  <c r="AD484" i="40"/>
  <c r="AC484" i="40"/>
  <c r="AB484" i="40"/>
  <c r="AA484" i="40"/>
  <c r="P484" i="40"/>
  <c r="O484" i="40"/>
  <c r="N484" i="40"/>
  <c r="M484" i="40"/>
  <c r="L484" i="40"/>
  <c r="K484" i="40"/>
  <c r="J484" i="40"/>
  <c r="I484" i="40"/>
  <c r="H484" i="40"/>
  <c r="G484" i="40"/>
  <c r="F484" i="40"/>
  <c r="AJ483" i="40"/>
  <c r="AI483" i="40"/>
  <c r="AH483" i="40"/>
  <c r="AG483" i="40"/>
  <c r="AF483" i="40"/>
  <c r="AE483" i="40"/>
  <c r="AD483" i="40"/>
  <c r="AC483" i="40"/>
  <c r="AB483" i="40"/>
  <c r="AA483" i="40"/>
  <c r="P483" i="40"/>
  <c r="O483" i="40"/>
  <c r="N483" i="40"/>
  <c r="M483" i="40"/>
  <c r="L483" i="40"/>
  <c r="K483" i="40"/>
  <c r="J483" i="40"/>
  <c r="I483" i="40"/>
  <c r="H483" i="40"/>
  <c r="G483" i="40"/>
  <c r="F483" i="40"/>
  <c r="AJ482" i="40"/>
  <c r="AI482" i="40"/>
  <c r="AH482" i="40"/>
  <c r="AG482" i="40"/>
  <c r="AF482" i="40"/>
  <c r="AE482" i="40"/>
  <c r="AD482" i="40"/>
  <c r="AC482" i="40"/>
  <c r="AB482" i="40"/>
  <c r="AA482" i="40"/>
  <c r="P482" i="40"/>
  <c r="O482" i="40"/>
  <c r="N482" i="40"/>
  <c r="M482" i="40"/>
  <c r="L482" i="40"/>
  <c r="K482" i="40"/>
  <c r="J482" i="40"/>
  <c r="I482" i="40"/>
  <c r="H482" i="40"/>
  <c r="G482" i="40"/>
  <c r="F482" i="40"/>
  <c r="AJ481" i="40"/>
  <c r="AI481" i="40"/>
  <c r="AH481" i="40"/>
  <c r="AG481" i="40"/>
  <c r="AF481" i="40"/>
  <c r="AE481" i="40"/>
  <c r="AD481" i="40"/>
  <c r="AC481" i="40"/>
  <c r="AB481" i="40"/>
  <c r="AA481" i="40"/>
  <c r="P481" i="40"/>
  <c r="O481" i="40"/>
  <c r="N481" i="40"/>
  <c r="M481" i="40"/>
  <c r="L481" i="40"/>
  <c r="K481" i="40"/>
  <c r="J481" i="40"/>
  <c r="I481" i="40"/>
  <c r="H481" i="40"/>
  <c r="G481" i="40"/>
  <c r="F481" i="40"/>
  <c r="AJ480" i="40"/>
  <c r="AI480" i="40"/>
  <c r="AH480" i="40"/>
  <c r="AG480" i="40"/>
  <c r="AF480" i="40"/>
  <c r="AE480" i="40"/>
  <c r="AD480" i="40"/>
  <c r="AC480" i="40"/>
  <c r="AB480" i="40"/>
  <c r="AA480" i="40"/>
  <c r="P480" i="40"/>
  <c r="O480" i="40"/>
  <c r="N480" i="40"/>
  <c r="M480" i="40"/>
  <c r="L480" i="40"/>
  <c r="K480" i="40"/>
  <c r="J480" i="40"/>
  <c r="I480" i="40"/>
  <c r="H480" i="40"/>
  <c r="G480" i="40"/>
  <c r="F480" i="40"/>
  <c r="AJ479" i="40"/>
  <c r="AI479" i="40"/>
  <c r="AH479" i="40"/>
  <c r="AG479" i="40"/>
  <c r="AF479" i="40"/>
  <c r="AE479" i="40"/>
  <c r="AD479" i="40"/>
  <c r="AC479" i="40"/>
  <c r="AB479" i="40"/>
  <c r="AA479" i="40"/>
  <c r="P479" i="40"/>
  <c r="O479" i="40"/>
  <c r="N479" i="40"/>
  <c r="M479" i="40"/>
  <c r="L479" i="40"/>
  <c r="K479" i="40"/>
  <c r="J479" i="40"/>
  <c r="I479" i="40"/>
  <c r="H479" i="40"/>
  <c r="G479" i="40"/>
  <c r="F479" i="40"/>
  <c r="AJ478" i="40"/>
  <c r="AI478" i="40"/>
  <c r="AH478" i="40"/>
  <c r="AG478" i="40"/>
  <c r="AF478" i="40"/>
  <c r="AE478" i="40"/>
  <c r="AD478" i="40"/>
  <c r="AC478" i="40"/>
  <c r="AB478" i="40"/>
  <c r="AA478" i="40"/>
  <c r="P478" i="40"/>
  <c r="O478" i="40"/>
  <c r="N478" i="40"/>
  <c r="M478" i="40"/>
  <c r="L478" i="40"/>
  <c r="K478" i="40"/>
  <c r="J478" i="40"/>
  <c r="I478" i="40"/>
  <c r="H478" i="40"/>
  <c r="G478" i="40"/>
  <c r="F478" i="40"/>
  <c r="AJ477" i="40"/>
  <c r="AI477" i="40"/>
  <c r="AH477" i="40"/>
  <c r="AG477" i="40"/>
  <c r="AF477" i="40"/>
  <c r="AE477" i="40"/>
  <c r="AD477" i="40"/>
  <c r="AC477" i="40"/>
  <c r="AB477" i="40"/>
  <c r="AA477" i="40"/>
  <c r="P477" i="40"/>
  <c r="O477" i="40"/>
  <c r="N477" i="40"/>
  <c r="M477" i="40"/>
  <c r="L477" i="40"/>
  <c r="K477" i="40"/>
  <c r="J477" i="40"/>
  <c r="I477" i="40"/>
  <c r="H477" i="40"/>
  <c r="G477" i="40"/>
  <c r="F477" i="40"/>
  <c r="AJ476" i="40"/>
  <c r="AI476" i="40"/>
  <c r="AH476" i="40"/>
  <c r="AG476" i="40"/>
  <c r="AF476" i="40"/>
  <c r="AE476" i="40"/>
  <c r="AD476" i="40"/>
  <c r="AC476" i="40"/>
  <c r="AB476" i="40"/>
  <c r="AA476" i="40"/>
  <c r="P476" i="40"/>
  <c r="O476" i="40"/>
  <c r="N476" i="40"/>
  <c r="M476" i="40"/>
  <c r="L476" i="40"/>
  <c r="K476" i="40"/>
  <c r="J476" i="40"/>
  <c r="I476" i="40"/>
  <c r="H476" i="40"/>
  <c r="G476" i="40"/>
  <c r="F476" i="40"/>
  <c r="AJ475" i="40"/>
  <c r="AI475" i="40"/>
  <c r="AH475" i="40"/>
  <c r="AG475" i="40"/>
  <c r="AF475" i="40"/>
  <c r="AE475" i="40"/>
  <c r="AD475" i="40"/>
  <c r="AC475" i="40"/>
  <c r="AB475" i="40"/>
  <c r="AA475" i="40"/>
  <c r="P475" i="40"/>
  <c r="O475" i="40"/>
  <c r="N475" i="40"/>
  <c r="M475" i="40"/>
  <c r="L475" i="40"/>
  <c r="K475" i="40"/>
  <c r="J475" i="40"/>
  <c r="I475" i="40"/>
  <c r="H475" i="40"/>
  <c r="G475" i="40"/>
  <c r="F475" i="40"/>
  <c r="AJ474" i="40"/>
  <c r="AI474" i="40"/>
  <c r="AH474" i="40"/>
  <c r="AG474" i="40"/>
  <c r="AF474" i="40"/>
  <c r="AE474" i="40"/>
  <c r="AD474" i="40"/>
  <c r="AC474" i="40"/>
  <c r="AB474" i="40"/>
  <c r="AA474" i="40"/>
  <c r="P474" i="40"/>
  <c r="O474" i="40"/>
  <c r="N474" i="40"/>
  <c r="M474" i="40"/>
  <c r="L474" i="40"/>
  <c r="K474" i="40"/>
  <c r="J474" i="40"/>
  <c r="I474" i="40"/>
  <c r="H474" i="40"/>
  <c r="G474" i="40"/>
  <c r="F474" i="40"/>
  <c r="AJ473" i="40"/>
  <c r="AI473" i="40"/>
  <c r="AH473" i="40"/>
  <c r="AG473" i="40"/>
  <c r="AF473" i="40"/>
  <c r="AE473" i="40"/>
  <c r="AD473" i="40"/>
  <c r="AC473" i="40"/>
  <c r="AB473" i="40"/>
  <c r="AA473" i="40"/>
  <c r="P473" i="40"/>
  <c r="O473" i="40"/>
  <c r="N473" i="40"/>
  <c r="M473" i="40"/>
  <c r="L473" i="40"/>
  <c r="K473" i="40"/>
  <c r="J473" i="40"/>
  <c r="I473" i="40"/>
  <c r="H473" i="40"/>
  <c r="G473" i="40"/>
  <c r="F473" i="40"/>
  <c r="AJ472" i="40"/>
  <c r="AI472" i="40"/>
  <c r="AH472" i="40"/>
  <c r="AG472" i="40"/>
  <c r="AF472" i="40"/>
  <c r="AE472" i="40"/>
  <c r="AD472" i="40"/>
  <c r="AC472" i="40"/>
  <c r="AB472" i="40"/>
  <c r="AA472" i="40"/>
  <c r="P472" i="40"/>
  <c r="O472" i="40"/>
  <c r="N472" i="40"/>
  <c r="M472" i="40"/>
  <c r="L472" i="40"/>
  <c r="K472" i="40"/>
  <c r="J472" i="40"/>
  <c r="I472" i="40"/>
  <c r="H472" i="40"/>
  <c r="G472" i="40"/>
  <c r="F472" i="40"/>
  <c r="AJ471" i="40"/>
  <c r="AI471" i="40"/>
  <c r="AH471" i="40"/>
  <c r="AG471" i="40"/>
  <c r="AF471" i="40"/>
  <c r="AE471" i="40"/>
  <c r="AD471" i="40"/>
  <c r="AC471" i="40"/>
  <c r="AB471" i="40"/>
  <c r="AA471" i="40"/>
  <c r="P471" i="40"/>
  <c r="O471" i="40"/>
  <c r="N471" i="40"/>
  <c r="M471" i="40"/>
  <c r="L471" i="40"/>
  <c r="K471" i="40"/>
  <c r="J471" i="40"/>
  <c r="I471" i="40"/>
  <c r="H471" i="40"/>
  <c r="G471" i="40"/>
  <c r="F471" i="40"/>
  <c r="AJ470" i="40"/>
  <c r="AI470" i="40"/>
  <c r="AH470" i="40"/>
  <c r="AG470" i="40"/>
  <c r="AF470" i="40"/>
  <c r="AE470" i="40"/>
  <c r="AD470" i="40"/>
  <c r="AC470" i="40"/>
  <c r="AB470" i="40"/>
  <c r="AA470" i="40"/>
  <c r="P470" i="40"/>
  <c r="O470" i="40"/>
  <c r="N470" i="40"/>
  <c r="M470" i="40"/>
  <c r="L470" i="40"/>
  <c r="K470" i="40"/>
  <c r="J470" i="40"/>
  <c r="I470" i="40"/>
  <c r="H470" i="40"/>
  <c r="G470" i="40"/>
  <c r="F470" i="40"/>
  <c r="AJ469" i="40"/>
  <c r="AI469" i="40"/>
  <c r="AH469" i="40"/>
  <c r="AG469" i="40"/>
  <c r="AF469" i="40"/>
  <c r="AE469" i="40"/>
  <c r="AD469" i="40"/>
  <c r="AC469" i="40"/>
  <c r="AB469" i="40"/>
  <c r="AA469" i="40"/>
  <c r="P469" i="40"/>
  <c r="O469" i="40"/>
  <c r="N469" i="40"/>
  <c r="M469" i="40"/>
  <c r="L469" i="40"/>
  <c r="K469" i="40"/>
  <c r="J469" i="40"/>
  <c r="I469" i="40"/>
  <c r="H469" i="40"/>
  <c r="G469" i="40"/>
  <c r="F469" i="40"/>
  <c r="AJ468" i="40"/>
  <c r="AI468" i="40"/>
  <c r="AH468" i="40"/>
  <c r="AG468" i="40"/>
  <c r="AF468" i="40"/>
  <c r="AE468" i="40"/>
  <c r="AD468" i="40"/>
  <c r="AC468" i="40"/>
  <c r="AB468" i="40"/>
  <c r="AA468" i="40"/>
  <c r="P468" i="40"/>
  <c r="O468" i="40"/>
  <c r="N468" i="40"/>
  <c r="M468" i="40"/>
  <c r="L468" i="40"/>
  <c r="K468" i="40"/>
  <c r="J468" i="40"/>
  <c r="I468" i="40"/>
  <c r="H468" i="40"/>
  <c r="G468" i="40"/>
  <c r="F468" i="40"/>
  <c r="AJ467" i="40"/>
  <c r="AI467" i="40"/>
  <c r="AH467" i="40"/>
  <c r="AG467" i="40"/>
  <c r="AF467" i="40"/>
  <c r="AE467" i="40"/>
  <c r="AD467" i="40"/>
  <c r="AC467" i="40"/>
  <c r="AB467" i="40"/>
  <c r="AA467" i="40"/>
  <c r="P467" i="40"/>
  <c r="O467" i="40"/>
  <c r="N467" i="40"/>
  <c r="M467" i="40"/>
  <c r="L467" i="40"/>
  <c r="K467" i="40"/>
  <c r="J467" i="40"/>
  <c r="I467" i="40"/>
  <c r="H467" i="40"/>
  <c r="G467" i="40"/>
  <c r="F467" i="40"/>
  <c r="AJ466" i="40"/>
  <c r="AI466" i="40"/>
  <c r="AH466" i="40"/>
  <c r="AG466" i="40"/>
  <c r="AF466" i="40"/>
  <c r="AE466" i="40"/>
  <c r="AD466" i="40"/>
  <c r="AC466" i="40"/>
  <c r="AB466" i="40"/>
  <c r="AA466" i="40"/>
  <c r="P466" i="40"/>
  <c r="O466" i="40"/>
  <c r="N466" i="40"/>
  <c r="M466" i="40"/>
  <c r="L466" i="40"/>
  <c r="K466" i="40"/>
  <c r="J466" i="40"/>
  <c r="I466" i="40"/>
  <c r="H466" i="40"/>
  <c r="G466" i="40"/>
  <c r="F466" i="40"/>
  <c r="AJ465" i="40"/>
  <c r="AI465" i="40"/>
  <c r="AH465" i="40"/>
  <c r="AG465" i="40"/>
  <c r="AF465" i="40"/>
  <c r="AE465" i="40"/>
  <c r="AD465" i="40"/>
  <c r="AC465" i="40"/>
  <c r="AB465" i="40"/>
  <c r="AA465" i="40"/>
  <c r="P465" i="40"/>
  <c r="O465" i="40"/>
  <c r="N465" i="40"/>
  <c r="M465" i="40"/>
  <c r="L465" i="40"/>
  <c r="K465" i="40"/>
  <c r="J465" i="40"/>
  <c r="I465" i="40"/>
  <c r="H465" i="40"/>
  <c r="G465" i="40"/>
  <c r="F465" i="40"/>
  <c r="AJ464" i="40"/>
  <c r="AI464" i="40"/>
  <c r="AH464" i="40"/>
  <c r="AG464" i="40"/>
  <c r="AF464" i="40"/>
  <c r="AE464" i="40"/>
  <c r="AD464" i="40"/>
  <c r="AC464" i="40"/>
  <c r="AB464" i="40"/>
  <c r="AA464" i="40"/>
  <c r="P464" i="40"/>
  <c r="O464" i="40"/>
  <c r="N464" i="40"/>
  <c r="M464" i="40"/>
  <c r="L464" i="40"/>
  <c r="K464" i="40"/>
  <c r="J464" i="40"/>
  <c r="I464" i="40"/>
  <c r="H464" i="40"/>
  <c r="G464" i="40"/>
  <c r="F464" i="40"/>
  <c r="AJ463" i="40"/>
  <c r="AI463" i="40"/>
  <c r="AH463" i="40"/>
  <c r="AG463" i="40"/>
  <c r="AF463" i="40"/>
  <c r="AE463" i="40"/>
  <c r="AD463" i="40"/>
  <c r="AC463" i="40"/>
  <c r="AB463" i="40"/>
  <c r="AA463" i="40"/>
  <c r="P463" i="40"/>
  <c r="O463" i="40"/>
  <c r="N463" i="40"/>
  <c r="M463" i="40"/>
  <c r="L463" i="40"/>
  <c r="K463" i="40"/>
  <c r="J463" i="40"/>
  <c r="I463" i="40"/>
  <c r="H463" i="40"/>
  <c r="G463" i="40"/>
  <c r="F463" i="40"/>
  <c r="AJ462" i="40"/>
  <c r="AI462" i="40"/>
  <c r="AH462" i="40"/>
  <c r="AG462" i="40"/>
  <c r="AF462" i="40"/>
  <c r="AE462" i="40"/>
  <c r="AD462" i="40"/>
  <c r="AC462" i="40"/>
  <c r="AB462" i="40"/>
  <c r="AA462" i="40"/>
  <c r="P462" i="40"/>
  <c r="O462" i="40"/>
  <c r="N462" i="40"/>
  <c r="M462" i="40"/>
  <c r="L462" i="40"/>
  <c r="K462" i="40"/>
  <c r="J462" i="40"/>
  <c r="I462" i="40"/>
  <c r="H462" i="40"/>
  <c r="G462" i="40"/>
  <c r="F462" i="40"/>
  <c r="AJ461" i="40"/>
  <c r="AI461" i="40"/>
  <c r="AH461" i="40"/>
  <c r="AG461" i="40"/>
  <c r="AF461" i="40"/>
  <c r="AE461" i="40"/>
  <c r="AD461" i="40"/>
  <c r="AC461" i="40"/>
  <c r="AB461" i="40"/>
  <c r="AA461" i="40"/>
  <c r="P461" i="40"/>
  <c r="O461" i="40"/>
  <c r="N461" i="40"/>
  <c r="M461" i="40"/>
  <c r="L461" i="40"/>
  <c r="K461" i="40"/>
  <c r="J461" i="40"/>
  <c r="I461" i="40"/>
  <c r="H461" i="40"/>
  <c r="G461" i="40"/>
  <c r="F461" i="40"/>
  <c r="AJ460" i="40"/>
  <c r="AI460" i="40"/>
  <c r="AH460" i="40"/>
  <c r="AG460" i="40"/>
  <c r="AF460" i="40"/>
  <c r="AE460" i="40"/>
  <c r="AD460" i="40"/>
  <c r="AC460" i="40"/>
  <c r="AB460" i="40"/>
  <c r="AA460" i="40"/>
  <c r="P460" i="40"/>
  <c r="O460" i="40"/>
  <c r="N460" i="40"/>
  <c r="M460" i="40"/>
  <c r="L460" i="40"/>
  <c r="K460" i="40"/>
  <c r="J460" i="40"/>
  <c r="I460" i="40"/>
  <c r="H460" i="40"/>
  <c r="G460" i="40"/>
  <c r="F460" i="40"/>
  <c r="AJ459" i="40"/>
  <c r="AI459" i="40"/>
  <c r="AH459" i="40"/>
  <c r="AG459" i="40"/>
  <c r="AF459" i="40"/>
  <c r="AE459" i="40"/>
  <c r="AD459" i="40"/>
  <c r="AC459" i="40"/>
  <c r="AB459" i="40"/>
  <c r="AA459" i="40"/>
  <c r="P459" i="40"/>
  <c r="O459" i="40"/>
  <c r="N459" i="40"/>
  <c r="M459" i="40"/>
  <c r="L459" i="40"/>
  <c r="K459" i="40"/>
  <c r="J459" i="40"/>
  <c r="I459" i="40"/>
  <c r="H459" i="40"/>
  <c r="G459" i="40"/>
  <c r="F459" i="40"/>
  <c r="AJ458" i="40"/>
  <c r="AI458" i="40"/>
  <c r="AH458" i="40"/>
  <c r="AG458" i="40"/>
  <c r="AF458" i="40"/>
  <c r="AE458" i="40"/>
  <c r="AD458" i="40"/>
  <c r="AC458" i="40"/>
  <c r="AB458" i="40"/>
  <c r="AA458" i="40"/>
  <c r="P458" i="40"/>
  <c r="O458" i="40"/>
  <c r="N458" i="40"/>
  <c r="M458" i="40"/>
  <c r="L458" i="40"/>
  <c r="K458" i="40"/>
  <c r="J458" i="40"/>
  <c r="I458" i="40"/>
  <c r="H458" i="40"/>
  <c r="G458" i="40"/>
  <c r="F458" i="40"/>
  <c r="AJ457" i="40"/>
  <c r="AI457" i="40"/>
  <c r="AH457" i="40"/>
  <c r="AG457" i="40"/>
  <c r="AF457" i="40"/>
  <c r="AE457" i="40"/>
  <c r="AD457" i="40"/>
  <c r="AC457" i="40"/>
  <c r="AB457" i="40"/>
  <c r="AA457" i="40"/>
  <c r="P457" i="40"/>
  <c r="O457" i="40"/>
  <c r="N457" i="40"/>
  <c r="M457" i="40"/>
  <c r="L457" i="40"/>
  <c r="K457" i="40"/>
  <c r="J457" i="40"/>
  <c r="I457" i="40"/>
  <c r="H457" i="40"/>
  <c r="G457" i="40"/>
  <c r="F457" i="40"/>
  <c r="AJ456" i="40"/>
  <c r="AI456" i="40"/>
  <c r="AH456" i="40"/>
  <c r="AG456" i="40"/>
  <c r="AF456" i="40"/>
  <c r="AE456" i="40"/>
  <c r="AD456" i="40"/>
  <c r="AC456" i="40"/>
  <c r="AB456" i="40"/>
  <c r="AA456" i="40"/>
  <c r="P456" i="40"/>
  <c r="O456" i="40"/>
  <c r="N456" i="40"/>
  <c r="M456" i="40"/>
  <c r="L456" i="40"/>
  <c r="K456" i="40"/>
  <c r="J456" i="40"/>
  <c r="I456" i="40"/>
  <c r="H456" i="40"/>
  <c r="G456" i="40"/>
  <c r="F456" i="40"/>
  <c r="AJ455" i="40"/>
  <c r="AI455" i="40"/>
  <c r="AH455" i="40"/>
  <c r="AG455" i="40"/>
  <c r="AF455" i="40"/>
  <c r="AE455" i="40"/>
  <c r="AD455" i="40"/>
  <c r="AC455" i="40"/>
  <c r="AB455" i="40"/>
  <c r="AA455" i="40"/>
  <c r="P455" i="40"/>
  <c r="O455" i="40"/>
  <c r="N455" i="40"/>
  <c r="M455" i="40"/>
  <c r="L455" i="40"/>
  <c r="K455" i="40"/>
  <c r="J455" i="40"/>
  <c r="I455" i="40"/>
  <c r="H455" i="40"/>
  <c r="G455" i="40"/>
  <c r="F455" i="40"/>
  <c r="AJ454" i="40"/>
  <c r="AI454" i="40"/>
  <c r="AH454" i="40"/>
  <c r="AG454" i="40"/>
  <c r="AF454" i="40"/>
  <c r="AE454" i="40"/>
  <c r="AD454" i="40"/>
  <c r="AC454" i="40"/>
  <c r="AB454" i="40"/>
  <c r="AA454" i="40"/>
  <c r="P454" i="40"/>
  <c r="O454" i="40"/>
  <c r="N454" i="40"/>
  <c r="M454" i="40"/>
  <c r="L454" i="40"/>
  <c r="K454" i="40"/>
  <c r="J454" i="40"/>
  <c r="I454" i="40"/>
  <c r="H454" i="40"/>
  <c r="G454" i="40"/>
  <c r="F454" i="40"/>
  <c r="AJ453" i="40"/>
  <c r="AI453" i="40"/>
  <c r="AH453" i="40"/>
  <c r="AG453" i="40"/>
  <c r="AF453" i="40"/>
  <c r="AE453" i="40"/>
  <c r="AD453" i="40"/>
  <c r="AC453" i="40"/>
  <c r="AB453" i="40"/>
  <c r="AA453" i="40"/>
  <c r="P453" i="40"/>
  <c r="O453" i="40"/>
  <c r="N453" i="40"/>
  <c r="M453" i="40"/>
  <c r="L453" i="40"/>
  <c r="K453" i="40"/>
  <c r="J453" i="40"/>
  <c r="I453" i="40"/>
  <c r="H453" i="40"/>
  <c r="G453" i="40"/>
  <c r="F453" i="40"/>
  <c r="AJ452" i="40"/>
  <c r="AI452" i="40"/>
  <c r="AH452" i="40"/>
  <c r="AG452" i="40"/>
  <c r="AF452" i="40"/>
  <c r="AE452" i="40"/>
  <c r="AD452" i="40"/>
  <c r="AC452" i="40"/>
  <c r="AB452" i="40"/>
  <c r="AA452" i="40"/>
  <c r="P452" i="40"/>
  <c r="O452" i="40"/>
  <c r="N452" i="40"/>
  <c r="M452" i="40"/>
  <c r="L452" i="40"/>
  <c r="K452" i="40"/>
  <c r="J452" i="40"/>
  <c r="I452" i="40"/>
  <c r="H452" i="40"/>
  <c r="G452" i="40"/>
  <c r="F452" i="40"/>
  <c r="AJ451" i="40"/>
  <c r="AI451" i="40"/>
  <c r="AH451" i="40"/>
  <c r="AG451" i="40"/>
  <c r="AF451" i="40"/>
  <c r="AE451" i="40"/>
  <c r="AD451" i="40"/>
  <c r="AC451" i="40"/>
  <c r="AB451" i="40"/>
  <c r="AA451" i="40"/>
  <c r="P451" i="40"/>
  <c r="O451" i="40"/>
  <c r="N451" i="40"/>
  <c r="M451" i="40"/>
  <c r="L451" i="40"/>
  <c r="K451" i="40"/>
  <c r="J451" i="40"/>
  <c r="I451" i="40"/>
  <c r="H451" i="40"/>
  <c r="G451" i="40"/>
  <c r="F451" i="40"/>
  <c r="AJ450" i="40"/>
  <c r="AI450" i="40"/>
  <c r="AH450" i="40"/>
  <c r="AG450" i="40"/>
  <c r="AF450" i="40"/>
  <c r="AE450" i="40"/>
  <c r="AD450" i="40"/>
  <c r="AC450" i="40"/>
  <c r="AB450" i="40"/>
  <c r="AA450" i="40"/>
  <c r="P450" i="40"/>
  <c r="O450" i="40"/>
  <c r="N450" i="40"/>
  <c r="M450" i="40"/>
  <c r="L450" i="40"/>
  <c r="K450" i="40"/>
  <c r="J450" i="40"/>
  <c r="I450" i="40"/>
  <c r="H450" i="40"/>
  <c r="G450" i="40"/>
  <c r="F450" i="40"/>
  <c r="AJ449" i="40"/>
  <c r="AI449" i="40"/>
  <c r="AH449" i="40"/>
  <c r="AG449" i="40"/>
  <c r="AF449" i="40"/>
  <c r="AE449" i="40"/>
  <c r="AD449" i="40"/>
  <c r="AC449" i="40"/>
  <c r="AB449" i="40"/>
  <c r="AA449" i="40"/>
  <c r="P449" i="40"/>
  <c r="O449" i="40"/>
  <c r="N449" i="40"/>
  <c r="M449" i="40"/>
  <c r="L449" i="40"/>
  <c r="K449" i="40"/>
  <c r="J449" i="40"/>
  <c r="I449" i="40"/>
  <c r="H449" i="40"/>
  <c r="G449" i="40"/>
  <c r="F449" i="40"/>
  <c r="AJ448" i="40"/>
  <c r="AI448" i="40"/>
  <c r="AH448" i="40"/>
  <c r="AG448" i="40"/>
  <c r="AF448" i="40"/>
  <c r="AE448" i="40"/>
  <c r="AD448" i="40"/>
  <c r="AC448" i="40"/>
  <c r="AB448" i="40"/>
  <c r="AA448" i="40"/>
  <c r="P448" i="40"/>
  <c r="O448" i="40"/>
  <c r="N448" i="40"/>
  <c r="M448" i="40"/>
  <c r="L448" i="40"/>
  <c r="K448" i="40"/>
  <c r="J448" i="40"/>
  <c r="I448" i="40"/>
  <c r="H448" i="40"/>
  <c r="G448" i="40"/>
  <c r="F448" i="40"/>
  <c r="AJ447" i="40"/>
  <c r="AI447" i="40"/>
  <c r="AH447" i="40"/>
  <c r="AG447" i="40"/>
  <c r="AF447" i="40"/>
  <c r="AE447" i="40"/>
  <c r="AD447" i="40"/>
  <c r="AC447" i="40"/>
  <c r="AB447" i="40"/>
  <c r="AA447" i="40"/>
  <c r="P447" i="40"/>
  <c r="O447" i="40"/>
  <c r="N447" i="40"/>
  <c r="M447" i="40"/>
  <c r="L447" i="40"/>
  <c r="K447" i="40"/>
  <c r="J447" i="40"/>
  <c r="I447" i="40"/>
  <c r="H447" i="40"/>
  <c r="G447" i="40"/>
  <c r="F447" i="40"/>
  <c r="AJ446" i="40"/>
  <c r="AI446" i="40"/>
  <c r="AH446" i="40"/>
  <c r="AG446" i="40"/>
  <c r="AF446" i="40"/>
  <c r="AE446" i="40"/>
  <c r="AD446" i="40"/>
  <c r="AC446" i="40"/>
  <c r="AB446" i="40"/>
  <c r="AA446" i="40"/>
  <c r="P446" i="40"/>
  <c r="O446" i="40"/>
  <c r="N446" i="40"/>
  <c r="M446" i="40"/>
  <c r="L446" i="40"/>
  <c r="K446" i="40"/>
  <c r="J446" i="40"/>
  <c r="I446" i="40"/>
  <c r="H446" i="40"/>
  <c r="G446" i="40"/>
  <c r="F446" i="40"/>
  <c r="AJ445" i="40"/>
  <c r="AI445" i="40"/>
  <c r="AH445" i="40"/>
  <c r="AG445" i="40"/>
  <c r="AF445" i="40"/>
  <c r="AE445" i="40"/>
  <c r="AD445" i="40"/>
  <c r="AC445" i="40"/>
  <c r="AB445" i="40"/>
  <c r="AA445" i="40"/>
  <c r="P445" i="40"/>
  <c r="O445" i="40"/>
  <c r="N445" i="40"/>
  <c r="M445" i="40"/>
  <c r="L445" i="40"/>
  <c r="K445" i="40"/>
  <c r="J445" i="40"/>
  <c r="I445" i="40"/>
  <c r="H445" i="40"/>
  <c r="G445" i="40"/>
  <c r="F445" i="40"/>
  <c r="AJ444" i="40"/>
  <c r="AI444" i="40"/>
  <c r="AH444" i="40"/>
  <c r="AG444" i="40"/>
  <c r="AF444" i="40"/>
  <c r="AE444" i="40"/>
  <c r="AD444" i="40"/>
  <c r="AC444" i="40"/>
  <c r="AB444" i="40"/>
  <c r="AA444" i="40"/>
  <c r="P444" i="40"/>
  <c r="O444" i="40"/>
  <c r="N444" i="40"/>
  <c r="M444" i="40"/>
  <c r="L444" i="40"/>
  <c r="K444" i="40"/>
  <c r="J444" i="40"/>
  <c r="I444" i="40"/>
  <c r="H444" i="40"/>
  <c r="G444" i="40"/>
  <c r="F444" i="40"/>
  <c r="AJ443" i="40"/>
  <c r="AI443" i="40"/>
  <c r="AH443" i="40"/>
  <c r="AG443" i="40"/>
  <c r="AF443" i="40"/>
  <c r="AE443" i="40"/>
  <c r="AD443" i="40"/>
  <c r="AC443" i="40"/>
  <c r="AB443" i="40"/>
  <c r="AA443" i="40"/>
  <c r="P443" i="40"/>
  <c r="O443" i="40"/>
  <c r="N443" i="40"/>
  <c r="M443" i="40"/>
  <c r="L443" i="40"/>
  <c r="K443" i="40"/>
  <c r="J443" i="40"/>
  <c r="I443" i="40"/>
  <c r="H443" i="40"/>
  <c r="G443" i="40"/>
  <c r="F443" i="40"/>
  <c r="AJ442" i="40"/>
  <c r="AI442" i="40"/>
  <c r="AH442" i="40"/>
  <c r="AG442" i="40"/>
  <c r="AF442" i="40"/>
  <c r="AE442" i="40"/>
  <c r="AD442" i="40"/>
  <c r="AC442" i="40"/>
  <c r="AB442" i="40"/>
  <c r="AA442" i="40"/>
  <c r="P442" i="40"/>
  <c r="O442" i="40"/>
  <c r="N442" i="40"/>
  <c r="M442" i="40"/>
  <c r="L442" i="40"/>
  <c r="K442" i="40"/>
  <c r="J442" i="40"/>
  <c r="I442" i="40"/>
  <c r="H442" i="40"/>
  <c r="G442" i="40"/>
  <c r="F442" i="40"/>
  <c r="AJ441" i="40"/>
  <c r="AI441" i="40"/>
  <c r="AH441" i="40"/>
  <c r="AG441" i="40"/>
  <c r="AF441" i="40"/>
  <c r="AE441" i="40"/>
  <c r="AD441" i="40"/>
  <c r="AC441" i="40"/>
  <c r="AB441" i="40"/>
  <c r="AA441" i="40"/>
  <c r="P441" i="40"/>
  <c r="O441" i="40"/>
  <c r="N441" i="40"/>
  <c r="M441" i="40"/>
  <c r="L441" i="40"/>
  <c r="K441" i="40"/>
  <c r="J441" i="40"/>
  <c r="I441" i="40"/>
  <c r="H441" i="40"/>
  <c r="G441" i="40"/>
  <c r="F441" i="40"/>
  <c r="AJ440" i="40"/>
  <c r="AI440" i="40"/>
  <c r="AH440" i="40"/>
  <c r="AG440" i="40"/>
  <c r="AF440" i="40"/>
  <c r="AE440" i="40"/>
  <c r="AD440" i="40"/>
  <c r="AC440" i="40"/>
  <c r="AB440" i="40"/>
  <c r="AA440" i="40"/>
  <c r="P440" i="40"/>
  <c r="O440" i="40"/>
  <c r="N440" i="40"/>
  <c r="M440" i="40"/>
  <c r="L440" i="40"/>
  <c r="K440" i="40"/>
  <c r="J440" i="40"/>
  <c r="I440" i="40"/>
  <c r="H440" i="40"/>
  <c r="G440" i="40"/>
  <c r="F440" i="40"/>
  <c r="AJ439" i="40"/>
  <c r="AI439" i="40"/>
  <c r="AH439" i="40"/>
  <c r="AG439" i="40"/>
  <c r="AF439" i="40"/>
  <c r="AE439" i="40"/>
  <c r="AD439" i="40"/>
  <c r="AC439" i="40"/>
  <c r="AB439" i="40"/>
  <c r="AA439" i="40"/>
  <c r="P439" i="40"/>
  <c r="O439" i="40"/>
  <c r="N439" i="40"/>
  <c r="M439" i="40"/>
  <c r="L439" i="40"/>
  <c r="K439" i="40"/>
  <c r="J439" i="40"/>
  <c r="I439" i="40"/>
  <c r="H439" i="40"/>
  <c r="G439" i="40"/>
  <c r="F439" i="40"/>
  <c r="AJ438" i="40"/>
  <c r="AI438" i="40"/>
  <c r="AH438" i="40"/>
  <c r="AG438" i="40"/>
  <c r="AF438" i="40"/>
  <c r="AE438" i="40"/>
  <c r="AD438" i="40"/>
  <c r="AC438" i="40"/>
  <c r="AB438" i="40"/>
  <c r="AA438" i="40"/>
  <c r="P438" i="40"/>
  <c r="O438" i="40"/>
  <c r="N438" i="40"/>
  <c r="M438" i="40"/>
  <c r="L438" i="40"/>
  <c r="K438" i="40"/>
  <c r="J438" i="40"/>
  <c r="I438" i="40"/>
  <c r="H438" i="40"/>
  <c r="G438" i="40"/>
  <c r="F438" i="40"/>
  <c r="AJ437" i="40"/>
  <c r="AI437" i="40"/>
  <c r="AH437" i="40"/>
  <c r="AG437" i="40"/>
  <c r="AF437" i="40"/>
  <c r="AE437" i="40"/>
  <c r="AD437" i="40"/>
  <c r="AC437" i="40"/>
  <c r="AB437" i="40"/>
  <c r="AA437" i="40"/>
  <c r="P437" i="40"/>
  <c r="O437" i="40"/>
  <c r="N437" i="40"/>
  <c r="M437" i="40"/>
  <c r="L437" i="40"/>
  <c r="K437" i="40"/>
  <c r="J437" i="40"/>
  <c r="I437" i="40"/>
  <c r="H437" i="40"/>
  <c r="G437" i="40"/>
  <c r="F437" i="40"/>
  <c r="AJ436" i="40"/>
  <c r="AI436" i="40"/>
  <c r="AH436" i="40"/>
  <c r="AG436" i="40"/>
  <c r="AF436" i="40"/>
  <c r="AE436" i="40"/>
  <c r="AD436" i="40"/>
  <c r="AC436" i="40"/>
  <c r="AB436" i="40"/>
  <c r="AA436" i="40"/>
  <c r="P436" i="40"/>
  <c r="O436" i="40"/>
  <c r="N436" i="40"/>
  <c r="M436" i="40"/>
  <c r="L436" i="40"/>
  <c r="K436" i="40"/>
  <c r="J436" i="40"/>
  <c r="I436" i="40"/>
  <c r="H436" i="40"/>
  <c r="G436" i="40"/>
  <c r="F436" i="40"/>
  <c r="AJ435" i="40"/>
  <c r="AI435" i="40"/>
  <c r="AH435" i="40"/>
  <c r="AG435" i="40"/>
  <c r="AF435" i="40"/>
  <c r="AE435" i="40"/>
  <c r="AD435" i="40"/>
  <c r="AC435" i="40"/>
  <c r="AB435" i="40"/>
  <c r="AA435" i="40"/>
  <c r="P435" i="40"/>
  <c r="O435" i="40"/>
  <c r="N435" i="40"/>
  <c r="M435" i="40"/>
  <c r="L435" i="40"/>
  <c r="K435" i="40"/>
  <c r="J435" i="40"/>
  <c r="I435" i="40"/>
  <c r="H435" i="40"/>
  <c r="G435" i="40"/>
  <c r="F435" i="40"/>
  <c r="AJ434" i="40"/>
  <c r="AI434" i="40"/>
  <c r="AH434" i="40"/>
  <c r="AG434" i="40"/>
  <c r="AF434" i="40"/>
  <c r="AE434" i="40"/>
  <c r="AD434" i="40"/>
  <c r="AC434" i="40"/>
  <c r="AB434" i="40"/>
  <c r="AA434" i="40"/>
  <c r="P434" i="40"/>
  <c r="O434" i="40"/>
  <c r="N434" i="40"/>
  <c r="M434" i="40"/>
  <c r="L434" i="40"/>
  <c r="K434" i="40"/>
  <c r="J434" i="40"/>
  <c r="I434" i="40"/>
  <c r="H434" i="40"/>
  <c r="G434" i="40"/>
  <c r="F434" i="40"/>
  <c r="AJ433" i="40"/>
  <c r="AI433" i="40"/>
  <c r="AH433" i="40"/>
  <c r="AG433" i="40"/>
  <c r="AF433" i="40"/>
  <c r="AE433" i="40"/>
  <c r="AD433" i="40"/>
  <c r="AC433" i="40"/>
  <c r="AB433" i="40"/>
  <c r="AA433" i="40"/>
  <c r="P433" i="40"/>
  <c r="O433" i="40"/>
  <c r="N433" i="40"/>
  <c r="M433" i="40"/>
  <c r="L433" i="40"/>
  <c r="K433" i="40"/>
  <c r="J433" i="40"/>
  <c r="I433" i="40"/>
  <c r="H433" i="40"/>
  <c r="G433" i="40"/>
  <c r="F433" i="40"/>
  <c r="AJ432" i="40"/>
  <c r="AI432" i="40"/>
  <c r="AH432" i="40"/>
  <c r="AG432" i="40"/>
  <c r="AF432" i="40"/>
  <c r="AE432" i="40"/>
  <c r="AD432" i="40"/>
  <c r="AC432" i="40"/>
  <c r="AB432" i="40"/>
  <c r="AA432" i="40"/>
  <c r="P432" i="40"/>
  <c r="O432" i="40"/>
  <c r="N432" i="40"/>
  <c r="M432" i="40"/>
  <c r="L432" i="40"/>
  <c r="K432" i="40"/>
  <c r="J432" i="40"/>
  <c r="I432" i="40"/>
  <c r="H432" i="40"/>
  <c r="G432" i="40"/>
  <c r="F432" i="40"/>
  <c r="AJ431" i="40"/>
  <c r="AI431" i="40"/>
  <c r="AH431" i="40"/>
  <c r="AG431" i="40"/>
  <c r="AF431" i="40"/>
  <c r="AE431" i="40"/>
  <c r="AD431" i="40"/>
  <c r="AC431" i="40"/>
  <c r="AB431" i="40"/>
  <c r="AA431" i="40"/>
  <c r="P431" i="40"/>
  <c r="O431" i="40"/>
  <c r="N431" i="40"/>
  <c r="M431" i="40"/>
  <c r="L431" i="40"/>
  <c r="K431" i="40"/>
  <c r="J431" i="40"/>
  <c r="I431" i="40"/>
  <c r="H431" i="40"/>
  <c r="G431" i="40"/>
  <c r="F431" i="40"/>
  <c r="AJ430" i="40"/>
  <c r="AI430" i="40"/>
  <c r="AH430" i="40"/>
  <c r="AG430" i="40"/>
  <c r="AF430" i="40"/>
  <c r="AE430" i="40"/>
  <c r="AD430" i="40"/>
  <c r="AC430" i="40"/>
  <c r="AB430" i="40"/>
  <c r="AA430" i="40"/>
  <c r="P430" i="40"/>
  <c r="O430" i="40"/>
  <c r="N430" i="40"/>
  <c r="M430" i="40"/>
  <c r="L430" i="40"/>
  <c r="K430" i="40"/>
  <c r="J430" i="40"/>
  <c r="I430" i="40"/>
  <c r="H430" i="40"/>
  <c r="G430" i="40"/>
  <c r="F430" i="40"/>
  <c r="AJ429" i="40"/>
  <c r="AI429" i="40"/>
  <c r="AH429" i="40"/>
  <c r="AG429" i="40"/>
  <c r="AF429" i="40"/>
  <c r="AE429" i="40"/>
  <c r="AD429" i="40"/>
  <c r="AC429" i="40"/>
  <c r="AB429" i="40"/>
  <c r="AA429" i="40"/>
  <c r="P429" i="40"/>
  <c r="O429" i="40"/>
  <c r="N429" i="40"/>
  <c r="M429" i="40"/>
  <c r="L429" i="40"/>
  <c r="K429" i="40"/>
  <c r="J429" i="40"/>
  <c r="I429" i="40"/>
  <c r="H429" i="40"/>
  <c r="G429" i="40"/>
  <c r="F429" i="40"/>
  <c r="AJ428" i="40"/>
  <c r="AI428" i="40"/>
  <c r="AH428" i="40"/>
  <c r="AG428" i="40"/>
  <c r="AF428" i="40"/>
  <c r="AE428" i="40"/>
  <c r="AD428" i="40"/>
  <c r="AC428" i="40"/>
  <c r="AB428" i="40"/>
  <c r="AA428" i="40"/>
  <c r="P428" i="40"/>
  <c r="O428" i="40"/>
  <c r="N428" i="40"/>
  <c r="M428" i="40"/>
  <c r="L428" i="40"/>
  <c r="K428" i="40"/>
  <c r="J428" i="40"/>
  <c r="I428" i="40"/>
  <c r="H428" i="40"/>
  <c r="G428" i="40"/>
  <c r="F428" i="40"/>
  <c r="AJ427" i="40"/>
  <c r="AI427" i="40"/>
  <c r="AH427" i="40"/>
  <c r="AG427" i="40"/>
  <c r="AF427" i="40"/>
  <c r="AE427" i="40"/>
  <c r="AD427" i="40"/>
  <c r="AC427" i="40"/>
  <c r="AB427" i="40"/>
  <c r="AA427" i="40"/>
  <c r="P427" i="40"/>
  <c r="O427" i="40"/>
  <c r="N427" i="40"/>
  <c r="M427" i="40"/>
  <c r="L427" i="40"/>
  <c r="K427" i="40"/>
  <c r="J427" i="40"/>
  <c r="I427" i="40"/>
  <c r="H427" i="40"/>
  <c r="G427" i="40"/>
  <c r="F427" i="40"/>
  <c r="AJ426" i="40"/>
  <c r="AI426" i="40"/>
  <c r="AH426" i="40"/>
  <c r="AG426" i="40"/>
  <c r="AF426" i="40"/>
  <c r="AE426" i="40"/>
  <c r="AD426" i="40"/>
  <c r="AC426" i="40"/>
  <c r="AB426" i="40"/>
  <c r="AA426" i="40"/>
  <c r="P426" i="40"/>
  <c r="O426" i="40"/>
  <c r="N426" i="40"/>
  <c r="M426" i="40"/>
  <c r="L426" i="40"/>
  <c r="K426" i="40"/>
  <c r="J426" i="40"/>
  <c r="I426" i="40"/>
  <c r="H426" i="40"/>
  <c r="G426" i="40"/>
  <c r="F426" i="40"/>
  <c r="AJ425" i="40"/>
  <c r="AI425" i="40"/>
  <c r="AH425" i="40"/>
  <c r="AG425" i="40"/>
  <c r="AF425" i="40"/>
  <c r="AE425" i="40"/>
  <c r="AD425" i="40"/>
  <c r="AC425" i="40"/>
  <c r="AB425" i="40"/>
  <c r="AA425" i="40"/>
  <c r="P425" i="40"/>
  <c r="O425" i="40"/>
  <c r="N425" i="40"/>
  <c r="M425" i="40"/>
  <c r="L425" i="40"/>
  <c r="K425" i="40"/>
  <c r="J425" i="40"/>
  <c r="I425" i="40"/>
  <c r="H425" i="40"/>
  <c r="G425" i="40"/>
  <c r="F425" i="40"/>
  <c r="AJ424" i="40"/>
  <c r="AI424" i="40"/>
  <c r="AH424" i="40"/>
  <c r="AG424" i="40"/>
  <c r="AF424" i="40"/>
  <c r="AE424" i="40"/>
  <c r="AD424" i="40"/>
  <c r="AC424" i="40"/>
  <c r="AB424" i="40"/>
  <c r="AA424" i="40"/>
  <c r="P424" i="40"/>
  <c r="O424" i="40"/>
  <c r="N424" i="40"/>
  <c r="M424" i="40"/>
  <c r="L424" i="40"/>
  <c r="K424" i="40"/>
  <c r="J424" i="40"/>
  <c r="I424" i="40"/>
  <c r="H424" i="40"/>
  <c r="G424" i="40"/>
  <c r="F424" i="40"/>
  <c r="AJ423" i="40"/>
  <c r="AI423" i="40"/>
  <c r="AH423" i="40"/>
  <c r="AG423" i="40"/>
  <c r="AF423" i="40"/>
  <c r="AE423" i="40"/>
  <c r="AD423" i="40"/>
  <c r="AC423" i="40"/>
  <c r="AB423" i="40"/>
  <c r="AA423" i="40"/>
  <c r="P423" i="40"/>
  <c r="O423" i="40"/>
  <c r="N423" i="40"/>
  <c r="M423" i="40"/>
  <c r="L423" i="40"/>
  <c r="K423" i="40"/>
  <c r="J423" i="40"/>
  <c r="I423" i="40"/>
  <c r="H423" i="40"/>
  <c r="G423" i="40"/>
  <c r="F423" i="40"/>
  <c r="AJ422" i="40"/>
  <c r="AI422" i="40"/>
  <c r="AH422" i="40"/>
  <c r="AG422" i="40"/>
  <c r="AF422" i="40"/>
  <c r="AE422" i="40"/>
  <c r="AD422" i="40"/>
  <c r="AC422" i="40"/>
  <c r="AB422" i="40"/>
  <c r="AA422" i="40"/>
  <c r="P422" i="40"/>
  <c r="O422" i="40"/>
  <c r="N422" i="40"/>
  <c r="M422" i="40"/>
  <c r="L422" i="40"/>
  <c r="K422" i="40"/>
  <c r="J422" i="40"/>
  <c r="I422" i="40"/>
  <c r="H422" i="40"/>
  <c r="G422" i="40"/>
  <c r="F422" i="40"/>
  <c r="AJ421" i="40"/>
  <c r="AI421" i="40"/>
  <c r="AH421" i="40"/>
  <c r="AG421" i="40"/>
  <c r="AF421" i="40"/>
  <c r="AE421" i="40"/>
  <c r="AD421" i="40"/>
  <c r="AC421" i="40"/>
  <c r="AB421" i="40"/>
  <c r="AA421" i="40"/>
  <c r="P421" i="40"/>
  <c r="O421" i="40"/>
  <c r="N421" i="40"/>
  <c r="M421" i="40"/>
  <c r="L421" i="40"/>
  <c r="K421" i="40"/>
  <c r="J421" i="40"/>
  <c r="I421" i="40"/>
  <c r="H421" i="40"/>
  <c r="G421" i="40"/>
  <c r="F421" i="40"/>
  <c r="AJ400" i="40"/>
  <c r="AH400" i="40"/>
  <c r="AF400" i="40"/>
  <c r="AD400" i="40"/>
  <c r="AB400" i="40"/>
  <c r="P400" i="40"/>
  <c r="O400" i="40"/>
  <c r="N400" i="40"/>
  <c r="M400" i="40"/>
  <c r="L400" i="40"/>
  <c r="K400" i="40"/>
  <c r="J400" i="40"/>
  <c r="I400" i="40"/>
  <c r="AJ399" i="40"/>
  <c r="AH399" i="40"/>
  <c r="AF399" i="40"/>
  <c r="AD399" i="40"/>
  <c r="AB399" i="40"/>
  <c r="P399" i="40"/>
  <c r="O399" i="40"/>
  <c r="N399" i="40"/>
  <c r="M399" i="40"/>
  <c r="L399" i="40"/>
  <c r="K399" i="40"/>
  <c r="J399" i="40"/>
  <c r="I399" i="40"/>
  <c r="AJ398" i="40"/>
  <c r="AH398" i="40"/>
  <c r="AF398" i="40"/>
  <c r="AD398" i="40"/>
  <c r="AB398" i="40"/>
  <c r="P398" i="40"/>
  <c r="O398" i="40"/>
  <c r="N398" i="40"/>
  <c r="M398" i="40"/>
  <c r="L398" i="40"/>
  <c r="K398" i="40"/>
  <c r="J398" i="40"/>
  <c r="I398" i="40"/>
  <c r="AJ397" i="40"/>
  <c r="AH397" i="40"/>
  <c r="AF397" i="40"/>
  <c r="AD397" i="40"/>
  <c r="AB397" i="40"/>
  <c r="P397" i="40"/>
  <c r="O397" i="40"/>
  <c r="N397" i="40"/>
  <c r="M397" i="40"/>
  <c r="L397" i="40"/>
  <c r="K397" i="40"/>
  <c r="J397" i="40"/>
  <c r="I397" i="40"/>
  <c r="AJ396" i="40"/>
  <c r="AH396" i="40"/>
  <c r="AF396" i="40"/>
  <c r="AD396" i="40"/>
  <c r="AB396" i="40"/>
  <c r="P396" i="40"/>
  <c r="O396" i="40"/>
  <c r="N396" i="40"/>
  <c r="M396" i="40"/>
  <c r="L396" i="40"/>
  <c r="K396" i="40"/>
  <c r="J396" i="40"/>
  <c r="I396" i="40"/>
  <c r="AJ395" i="40"/>
  <c r="AH395" i="40"/>
  <c r="AF395" i="40"/>
  <c r="AD395" i="40"/>
  <c r="AB395" i="40"/>
  <c r="P395" i="40"/>
  <c r="O395" i="40"/>
  <c r="N395" i="40"/>
  <c r="M395" i="40"/>
  <c r="L395" i="40"/>
  <c r="K395" i="40"/>
  <c r="J395" i="40"/>
  <c r="I395" i="40"/>
  <c r="AJ394" i="40"/>
  <c r="AH394" i="40"/>
  <c r="AF394" i="40"/>
  <c r="AD394" i="40"/>
  <c r="AB394" i="40"/>
  <c r="P394" i="40"/>
  <c r="O394" i="40"/>
  <c r="N394" i="40"/>
  <c r="M394" i="40"/>
  <c r="L394" i="40"/>
  <c r="K394" i="40"/>
  <c r="J394" i="40"/>
  <c r="I394" i="40"/>
  <c r="AJ393" i="40"/>
  <c r="AH393" i="40"/>
  <c r="AF393" i="40"/>
  <c r="AD393" i="40"/>
  <c r="AB393" i="40"/>
  <c r="P393" i="40"/>
  <c r="O393" i="40"/>
  <c r="N393" i="40"/>
  <c r="M393" i="40"/>
  <c r="L393" i="40"/>
  <c r="K393" i="40"/>
  <c r="J393" i="40"/>
  <c r="I393" i="40"/>
  <c r="AJ392" i="40"/>
  <c r="AH392" i="40"/>
  <c r="AF392" i="40"/>
  <c r="AD392" i="40"/>
  <c r="AB392" i="40"/>
  <c r="P392" i="40"/>
  <c r="O392" i="40"/>
  <c r="N392" i="40"/>
  <c r="M392" i="40"/>
  <c r="L392" i="40"/>
  <c r="K392" i="40"/>
  <c r="J392" i="40"/>
  <c r="I392" i="40"/>
  <c r="AJ391" i="40"/>
  <c r="AH391" i="40"/>
  <c r="AF391" i="40"/>
  <c r="AD391" i="40"/>
  <c r="AB391" i="40"/>
  <c r="P391" i="40"/>
  <c r="O391" i="40"/>
  <c r="N391" i="40"/>
  <c r="M391" i="40"/>
  <c r="L391" i="40"/>
  <c r="K391" i="40"/>
  <c r="J391" i="40"/>
  <c r="I391" i="40"/>
  <c r="AJ390" i="40"/>
  <c r="AH390" i="40"/>
  <c r="AF390" i="40"/>
  <c r="AD390" i="40"/>
  <c r="AB390" i="40"/>
  <c r="P390" i="40"/>
  <c r="O390" i="40"/>
  <c r="N390" i="40"/>
  <c r="M390" i="40"/>
  <c r="L390" i="40"/>
  <c r="K390" i="40"/>
  <c r="J390" i="40"/>
  <c r="I390" i="40"/>
  <c r="AJ389" i="40"/>
  <c r="AH389" i="40"/>
  <c r="AF389" i="40"/>
  <c r="AD389" i="40"/>
  <c r="AB389" i="40"/>
  <c r="P389" i="40"/>
  <c r="O389" i="40"/>
  <c r="N389" i="40"/>
  <c r="M389" i="40"/>
  <c r="L389" i="40"/>
  <c r="K389" i="40"/>
  <c r="J389" i="40"/>
  <c r="I389" i="40"/>
  <c r="AJ388" i="40"/>
  <c r="AH388" i="40"/>
  <c r="AF388" i="40"/>
  <c r="AD388" i="40"/>
  <c r="AB388" i="40"/>
  <c r="P388" i="40"/>
  <c r="O388" i="40"/>
  <c r="N388" i="40"/>
  <c r="M388" i="40"/>
  <c r="L388" i="40"/>
  <c r="K388" i="40"/>
  <c r="J388" i="40"/>
  <c r="I388" i="40"/>
  <c r="AJ387" i="40"/>
  <c r="AI387" i="40"/>
  <c r="AH387" i="40"/>
  <c r="AG387" i="40"/>
  <c r="AF387" i="40"/>
  <c r="AE387" i="40"/>
  <c r="AD387" i="40"/>
  <c r="AC387" i="40"/>
  <c r="AB387" i="40"/>
  <c r="AA387" i="40"/>
  <c r="P387" i="40"/>
  <c r="O387" i="40"/>
  <c r="N387" i="40"/>
  <c r="M387" i="40"/>
  <c r="L387" i="40"/>
  <c r="K387" i="40"/>
  <c r="J387" i="40"/>
  <c r="I387" i="40"/>
  <c r="H387" i="40"/>
  <c r="G387" i="40"/>
  <c r="F387" i="40"/>
  <c r="AJ386" i="40"/>
  <c r="AI386" i="40"/>
  <c r="AH386" i="40"/>
  <c r="AG386" i="40"/>
  <c r="AF386" i="40"/>
  <c r="AE386" i="40"/>
  <c r="AD386" i="40"/>
  <c r="AC386" i="40"/>
  <c r="AB386" i="40"/>
  <c r="AA386" i="40"/>
  <c r="P386" i="40"/>
  <c r="O386" i="40"/>
  <c r="N386" i="40"/>
  <c r="M386" i="40"/>
  <c r="L386" i="40"/>
  <c r="K386" i="40"/>
  <c r="J386" i="40"/>
  <c r="I386" i="40"/>
  <c r="H386" i="40"/>
  <c r="G386" i="40"/>
  <c r="F386" i="40"/>
  <c r="AJ385" i="40"/>
  <c r="AI385" i="40"/>
  <c r="AH385" i="40"/>
  <c r="AG385" i="40"/>
  <c r="AF385" i="40"/>
  <c r="AE385" i="40"/>
  <c r="AD385" i="40"/>
  <c r="AC385" i="40"/>
  <c r="AB385" i="40"/>
  <c r="AA385" i="40"/>
  <c r="P385" i="40"/>
  <c r="O385" i="40"/>
  <c r="N385" i="40"/>
  <c r="M385" i="40"/>
  <c r="L385" i="40"/>
  <c r="K385" i="40"/>
  <c r="J385" i="40"/>
  <c r="I385" i="40"/>
  <c r="H385" i="40"/>
  <c r="G385" i="40"/>
  <c r="F385" i="40"/>
  <c r="AJ384" i="40"/>
  <c r="AI384" i="40"/>
  <c r="AH384" i="40"/>
  <c r="AG384" i="40"/>
  <c r="AF384" i="40"/>
  <c r="AE384" i="40"/>
  <c r="AD384" i="40"/>
  <c r="AC384" i="40"/>
  <c r="AB384" i="40"/>
  <c r="AA384" i="40"/>
  <c r="P384" i="40"/>
  <c r="O384" i="40"/>
  <c r="N384" i="40"/>
  <c r="M384" i="40"/>
  <c r="L384" i="40"/>
  <c r="K384" i="40"/>
  <c r="J384" i="40"/>
  <c r="I384" i="40"/>
  <c r="H384" i="40"/>
  <c r="G384" i="40"/>
  <c r="F384" i="40"/>
  <c r="AJ383" i="40"/>
  <c r="AI383" i="40"/>
  <c r="AH383" i="40"/>
  <c r="AG383" i="40"/>
  <c r="AF383" i="40"/>
  <c r="AE383" i="40"/>
  <c r="AD383" i="40"/>
  <c r="AC383" i="40"/>
  <c r="AB383" i="40"/>
  <c r="AA383" i="40"/>
  <c r="P383" i="40"/>
  <c r="O383" i="40"/>
  <c r="N383" i="40"/>
  <c r="M383" i="40"/>
  <c r="L383" i="40"/>
  <c r="K383" i="40"/>
  <c r="J383" i="40"/>
  <c r="I383" i="40"/>
  <c r="H383" i="40"/>
  <c r="G383" i="40"/>
  <c r="F383" i="40"/>
  <c r="AJ382" i="40"/>
  <c r="AI382" i="40"/>
  <c r="AH382" i="40"/>
  <c r="AG382" i="40"/>
  <c r="AF382" i="40"/>
  <c r="AE382" i="40"/>
  <c r="AD382" i="40"/>
  <c r="AC382" i="40"/>
  <c r="AB382" i="40"/>
  <c r="AA382" i="40"/>
  <c r="P382" i="40"/>
  <c r="O382" i="40"/>
  <c r="N382" i="40"/>
  <c r="M382" i="40"/>
  <c r="L382" i="40"/>
  <c r="K382" i="40"/>
  <c r="J382" i="40"/>
  <c r="I382" i="40"/>
  <c r="H382" i="40"/>
  <c r="G382" i="40"/>
  <c r="F382" i="40"/>
  <c r="AJ381" i="40"/>
  <c r="AI381" i="40"/>
  <c r="AH381" i="40"/>
  <c r="AG381" i="40"/>
  <c r="AF381" i="40"/>
  <c r="AE381" i="40"/>
  <c r="AD381" i="40"/>
  <c r="AC381" i="40"/>
  <c r="AB381" i="40"/>
  <c r="AA381" i="40"/>
  <c r="P381" i="40"/>
  <c r="O381" i="40"/>
  <c r="N381" i="40"/>
  <c r="M381" i="40"/>
  <c r="L381" i="40"/>
  <c r="K381" i="40"/>
  <c r="J381" i="40"/>
  <c r="I381" i="40"/>
  <c r="H381" i="40"/>
  <c r="G381" i="40"/>
  <c r="F381" i="40"/>
  <c r="AJ380" i="40"/>
  <c r="AI380" i="40"/>
  <c r="AH380" i="40"/>
  <c r="AG380" i="40"/>
  <c r="AF380" i="40"/>
  <c r="AE380" i="40"/>
  <c r="AD380" i="40"/>
  <c r="AC380" i="40"/>
  <c r="AB380" i="40"/>
  <c r="AA380" i="40"/>
  <c r="P380" i="40"/>
  <c r="O380" i="40"/>
  <c r="N380" i="40"/>
  <c r="M380" i="40"/>
  <c r="L380" i="40"/>
  <c r="K380" i="40"/>
  <c r="J380" i="40"/>
  <c r="I380" i="40"/>
  <c r="H380" i="40"/>
  <c r="G380" i="40"/>
  <c r="F380" i="40"/>
  <c r="AJ379" i="40"/>
  <c r="AI379" i="40"/>
  <c r="AH379" i="40"/>
  <c r="AG379" i="40"/>
  <c r="AF379" i="40"/>
  <c r="AE379" i="40"/>
  <c r="AD379" i="40"/>
  <c r="AC379" i="40"/>
  <c r="AB379" i="40"/>
  <c r="AA379" i="40"/>
  <c r="P379" i="40"/>
  <c r="O379" i="40"/>
  <c r="N379" i="40"/>
  <c r="M379" i="40"/>
  <c r="L379" i="40"/>
  <c r="K379" i="40"/>
  <c r="J379" i="40"/>
  <c r="I379" i="40"/>
  <c r="H379" i="40"/>
  <c r="G379" i="40"/>
  <c r="F379" i="40"/>
  <c r="AJ378" i="40"/>
  <c r="AI378" i="40"/>
  <c r="AH378" i="40"/>
  <c r="AG378" i="40"/>
  <c r="AF378" i="40"/>
  <c r="AE378" i="40"/>
  <c r="AD378" i="40"/>
  <c r="AC378" i="40"/>
  <c r="AB378" i="40"/>
  <c r="AA378" i="40"/>
  <c r="P378" i="40"/>
  <c r="O378" i="40"/>
  <c r="N378" i="40"/>
  <c r="M378" i="40"/>
  <c r="L378" i="40"/>
  <c r="K378" i="40"/>
  <c r="J378" i="40"/>
  <c r="I378" i="40"/>
  <c r="H378" i="40"/>
  <c r="G378" i="40"/>
  <c r="F378" i="40"/>
  <c r="AJ377" i="40"/>
  <c r="AI377" i="40"/>
  <c r="AH377" i="40"/>
  <c r="AG377" i="40"/>
  <c r="AF377" i="40"/>
  <c r="AE377" i="40"/>
  <c r="AD377" i="40"/>
  <c r="AC377" i="40"/>
  <c r="AB377" i="40"/>
  <c r="AA377" i="40"/>
  <c r="P377" i="40"/>
  <c r="O377" i="40"/>
  <c r="N377" i="40"/>
  <c r="M377" i="40"/>
  <c r="L377" i="40"/>
  <c r="K377" i="40"/>
  <c r="J377" i="40"/>
  <c r="I377" i="40"/>
  <c r="H377" i="40"/>
  <c r="G377" i="40"/>
  <c r="F377" i="40"/>
  <c r="AJ376" i="40"/>
  <c r="AI376" i="40"/>
  <c r="AH376" i="40"/>
  <c r="AG376" i="40"/>
  <c r="AF376" i="40"/>
  <c r="AE376" i="40"/>
  <c r="AD376" i="40"/>
  <c r="AC376" i="40"/>
  <c r="AB376" i="40"/>
  <c r="AA376" i="40"/>
  <c r="P376" i="40"/>
  <c r="O376" i="40"/>
  <c r="N376" i="40"/>
  <c r="M376" i="40"/>
  <c r="L376" i="40"/>
  <c r="K376" i="40"/>
  <c r="J376" i="40"/>
  <c r="I376" i="40"/>
  <c r="H376" i="40"/>
  <c r="G376" i="40"/>
  <c r="F376" i="40"/>
  <c r="AJ375" i="40"/>
  <c r="AI375" i="40"/>
  <c r="AH375" i="40"/>
  <c r="AG375" i="40"/>
  <c r="AF375" i="40"/>
  <c r="AE375" i="40"/>
  <c r="AD375" i="40"/>
  <c r="AC375" i="40"/>
  <c r="AB375" i="40"/>
  <c r="AA375" i="40"/>
  <c r="P375" i="40"/>
  <c r="O375" i="40"/>
  <c r="N375" i="40"/>
  <c r="M375" i="40"/>
  <c r="L375" i="40"/>
  <c r="K375" i="40"/>
  <c r="J375" i="40"/>
  <c r="I375" i="40"/>
  <c r="H375" i="40"/>
  <c r="G375" i="40"/>
  <c r="F375" i="40"/>
  <c r="AJ374" i="40"/>
  <c r="AI374" i="40"/>
  <c r="AH374" i="40"/>
  <c r="AG374" i="40"/>
  <c r="AF374" i="40"/>
  <c r="AE374" i="40"/>
  <c r="AD374" i="40"/>
  <c r="AC374" i="40"/>
  <c r="AB374" i="40"/>
  <c r="AA374" i="40"/>
  <c r="P374" i="40"/>
  <c r="O374" i="40"/>
  <c r="N374" i="40"/>
  <c r="M374" i="40"/>
  <c r="L374" i="40"/>
  <c r="K374" i="40"/>
  <c r="J374" i="40"/>
  <c r="I374" i="40"/>
  <c r="H374" i="40"/>
  <c r="G374" i="40"/>
  <c r="F374" i="40"/>
  <c r="AJ373" i="40"/>
  <c r="AI373" i="40"/>
  <c r="AH373" i="40"/>
  <c r="AG373" i="40"/>
  <c r="AF373" i="40"/>
  <c r="AE373" i="40"/>
  <c r="AD373" i="40"/>
  <c r="AC373" i="40"/>
  <c r="AB373" i="40"/>
  <c r="AA373" i="40"/>
  <c r="P373" i="40"/>
  <c r="O373" i="40"/>
  <c r="N373" i="40"/>
  <c r="M373" i="40"/>
  <c r="L373" i="40"/>
  <c r="K373" i="40"/>
  <c r="J373" i="40"/>
  <c r="I373" i="40"/>
  <c r="H373" i="40"/>
  <c r="G373" i="40"/>
  <c r="F373" i="40"/>
  <c r="AJ372" i="40"/>
  <c r="AI372" i="40"/>
  <c r="AH372" i="40"/>
  <c r="AG372" i="40"/>
  <c r="AF372" i="40"/>
  <c r="AE372" i="40"/>
  <c r="AD372" i="40"/>
  <c r="AC372" i="40"/>
  <c r="AB372" i="40"/>
  <c r="AA372" i="40"/>
  <c r="P372" i="40"/>
  <c r="O372" i="40"/>
  <c r="N372" i="40"/>
  <c r="M372" i="40"/>
  <c r="L372" i="40"/>
  <c r="K372" i="40"/>
  <c r="J372" i="40"/>
  <c r="I372" i="40"/>
  <c r="H372" i="40"/>
  <c r="G372" i="40"/>
  <c r="F372" i="40"/>
  <c r="AJ371" i="40"/>
  <c r="AI371" i="40"/>
  <c r="AH371" i="40"/>
  <c r="AG371" i="40"/>
  <c r="AF371" i="40"/>
  <c r="AE371" i="40"/>
  <c r="AD371" i="40"/>
  <c r="AC371" i="40"/>
  <c r="AB371" i="40"/>
  <c r="AA371" i="40"/>
  <c r="P371" i="40"/>
  <c r="O371" i="40"/>
  <c r="N371" i="40"/>
  <c r="M371" i="40"/>
  <c r="L371" i="40"/>
  <c r="K371" i="40"/>
  <c r="J371" i="40"/>
  <c r="I371" i="40"/>
  <c r="H371" i="40"/>
  <c r="G371" i="40"/>
  <c r="F371" i="40"/>
  <c r="AJ370" i="40"/>
  <c r="AI370" i="40"/>
  <c r="AH370" i="40"/>
  <c r="AG370" i="40"/>
  <c r="AF370" i="40"/>
  <c r="AE370" i="40"/>
  <c r="AD370" i="40"/>
  <c r="AC370" i="40"/>
  <c r="AB370" i="40"/>
  <c r="AA370" i="40"/>
  <c r="P370" i="40"/>
  <c r="O370" i="40"/>
  <c r="N370" i="40"/>
  <c r="M370" i="40"/>
  <c r="L370" i="40"/>
  <c r="K370" i="40"/>
  <c r="J370" i="40"/>
  <c r="I370" i="40"/>
  <c r="H370" i="40"/>
  <c r="G370" i="40"/>
  <c r="F370" i="40"/>
  <c r="AJ369" i="40"/>
  <c r="AI369" i="40"/>
  <c r="AH369" i="40"/>
  <c r="AG369" i="40"/>
  <c r="AF369" i="40"/>
  <c r="AE369" i="40"/>
  <c r="AD369" i="40"/>
  <c r="AC369" i="40"/>
  <c r="AB369" i="40"/>
  <c r="AA369" i="40"/>
  <c r="P369" i="40"/>
  <c r="O369" i="40"/>
  <c r="N369" i="40"/>
  <c r="M369" i="40"/>
  <c r="L369" i="40"/>
  <c r="K369" i="40"/>
  <c r="J369" i="40"/>
  <c r="I369" i="40"/>
  <c r="H369" i="40"/>
  <c r="G369" i="40"/>
  <c r="F369" i="40"/>
  <c r="AJ368" i="40"/>
  <c r="AI368" i="40"/>
  <c r="AH368" i="40"/>
  <c r="AG368" i="40"/>
  <c r="AF368" i="40"/>
  <c r="AE368" i="40"/>
  <c r="AD368" i="40"/>
  <c r="AC368" i="40"/>
  <c r="AB368" i="40"/>
  <c r="AA368" i="40"/>
  <c r="P368" i="40"/>
  <c r="O368" i="40"/>
  <c r="N368" i="40"/>
  <c r="M368" i="40"/>
  <c r="L368" i="40"/>
  <c r="K368" i="40"/>
  <c r="J368" i="40"/>
  <c r="I368" i="40"/>
  <c r="H368" i="40"/>
  <c r="G368" i="40"/>
  <c r="F368" i="40"/>
  <c r="AJ367" i="40"/>
  <c r="AI367" i="40"/>
  <c r="AH367" i="40"/>
  <c r="AG367" i="40"/>
  <c r="AF367" i="40"/>
  <c r="AE367" i="40"/>
  <c r="AD367" i="40"/>
  <c r="AC367" i="40"/>
  <c r="AB367" i="40"/>
  <c r="AA367" i="40"/>
  <c r="P367" i="40"/>
  <c r="O367" i="40"/>
  <c r="N367" i="40"/>
  <c r="M367" i="40"/>
  <c r="L367" i="40"/>
  <c r="K367" i="40"/>
  <c r="J367" i="40"/>
  <c r="I367" i="40"/>
  <c r="H367" i="40"/>
  <c r="G367" i="40"/>
  <c r="F367" i="40"/>
  <c r="AJ366" i="40"/>
  <c r="AI366" i="40"/>
  <c r="AH366" i="40"/>
  <c r="AG366" i="40"/>
  <c r="AF366" i="40"/>
  <c r="AE366" i="40"/>
  <c r="AD366" i="40"/>
  <c r="AC366" i="40"/>
  <c r="AB366" i="40"/>
  <c r="AA366" i="40"/>
  <c r="P366" i="40"/>
  <c r="O366" i="40"/>
  <c r="N366" i="40"/>
  <c r="M366" i="40"/>
  <c r="L366" i="40"/>
  <c r="K366" i="40"/>
  <c r="J366" i="40"/>
  <c r="I366" i="40"/>
  <c r="H366" i="40"/>
  <c r="G366" i="40"/>
  <c r="F366" i="40"/>
  <c r="AJ365" i="40"/>
  <c r="AI365" i="40"/>
  <c r="AH365" i="40"/>
  <c r="AG365" i="40"/>
  <c r="AF365" i="40"/>
  <c r="AE365" i="40"/>
  <c r="AD365" i="40"/>
  <c r="AC365" i="40"/>
  <c r="AB365" i="40"/>
  <c r="AA365" i="40"/>
  <c r="P365" i="40"/>
  <c r="O365" i="40"/>
  <c r="N365" i="40"/>
  <c r="M365" i="40"/>
  <c r="L365" i="40"/>
  <c r="K365" i="40"/>
  <c r="J365" i="40"/>
  <c r="I365" i="40"/>
  <c r="H365" i="40"/>
  <c r="G365" i="40"/>
  <c r="F365" i="40"/>
  <c r="AJ364" i="40"/>
  <c r="AI364" i="40"/>
  <c r="AH364" i="40"/>
  <c r="AG364" i="40"/>
  <c r="AF364" i="40"/>
  <c r="AE364" i="40"/>
  <c r="AD364" i="40"/>
  <c r="AC364" i="40"/>
  <c r="AB364" i="40"/>
  <c r="AA364" i="40"/>
  <c r="P364" i="40"/>
  <c r="O364" i="40"/>
  <c r="N364" i="40"/>
  <c r="M364" i="40"/>
  <c r="L364" i="40"/>
  <c r="K364" i="40"/>
  <c r="J364" i="40"/>
  <c r="I364" i="40"/>
  <c r="H364" i="40"/>
  <c r="G364" i="40"/>
  <c r="F364" i="40"/>
  <c r="AJ363" i="40"/>
  <c r="AI363" i="40"/>
  <c r="AH363" i="40"/>
  <c r="AG363" i="40"/>
  <c r="AF363" i="40"/>
  <c r="AE363" i="40"/>
  <c r="AD363" i="40"/>
  <c r="AC363" i="40"/>
  <c r="AB363" i="40"/>
  <c r="AA363" i="40"/>
  <c r="P363" i="40"/>
  <c r="O363" i="40"/>
  <c r="N363" i="40"/>
  <c r="M363" i="40"/>
  <c r="L363" i="40"/>
  <c r="K363" i="40"/>
  <c r="J363" i="40"/>
  <c r="I363" i="40"/>
  <c r="H363" i="40"/>
  <c r="G363" i="40"/>
  <c r="F363" i="40"/>
  <c r="AJ362" i="40"/>
  <c r="AI362" i="40"/>
  <c r="AH362" i="40"/>
  <c r="AG362" i="40"/>
  <c r="AF362" i="40"/>
  <c r="AE362" i="40"/>
  <c r="AD362" i="40"/>
  <c r="AC362" i="40"/>
  <c r="AB362" i="40"/>
  <c r="AA362" i="40"/>
  <c r="P362" i="40"/>
  <c r="O362" i="40"/>
  <c r="N362" i="40"/>
  <c r="M362" i="40"/>
  <c r="L362" i="40"/>
  <c r="K362" i="40"/>
  <c r="J362" i="40"/>
  <c r="I362" i="40"/>
  <c r="H362" i="40"/>
  <c r="G362" i="40"/>
  <c r="F362" i="40"/>
  <c r="AJ361" i="40"/>
  <c r="AI361" i="40"/>
  <c r="AH361" i="40"/>
  <c r="AG361" i="40"/>
  <c r="AF361" i="40"/>
  <c r="AE361" i="40"/>
  <c r="AD361" i="40"/>
  <c r="AC361" i="40"/>
  <c r="AB361" i="40"/>
  <c r="AA361" i="40"/>
  <c r="P361" i="40"/>
  <c r="O361" i="40"/>
  <c r="N361" i="40"/>
  <c r="M361" i="40"/>
  <c r="L361" i="40"/>
  <c r="K361" i="40"/>
  <c r="J361" i="40"/>
  <c r="I361" i="40"/>
  <c r="H361" i="40"/>
  <c r="G361" i="40"/>
  <c r="F361" i="40"/>
  <c r="AJ360" i="40"/>
  <c r="AI360" i="40"/>
  <c r="AH360" i="40"/>
  <c r="AG360" i="40"/>
  <c r="AF360" i="40"/>
  <c r="AE360" i="40"/>
  <c r="AD360" i="40"/>
  <c r="AC360" i="40"/>
  <c r="AB360" i="40"/>
  <c r="AA360" i="40"/>
  <c r="P360" i="40"/>
  <c r="O360" i="40"/>
  <c r="N360" i="40"/>
  <c r="M360" i="40"/>
  <c r="L360" i="40"/>
  <c r="K360" i="40"/>
  <c r="J360" i="40"/>
  <c r="I360" i="40"/>
  <c r="H360" i="40"/>
  <c r="G360" i="40"/>
  <c r="F360" i="40"/>
  <c r="AJ359" i="40"/>
  <c r="AI359" i="40"/>
  <c r="AH359" i="40"/>
  <c r="AG359" i="40"/>
  <c r="AF359" i="40"/>
  <c r="AE359" i="40"/>
  <c r="AD359" i="40"/>
  <c r="AC359" i="40"/>
  <c r="AB359" i="40"/>
  <c r="AA359" i="40"/>
  <c r="P359" i="40"/>
  <c r="O359" i="40"/>
  <c r="N359" i="40"/>
  <c r="M359" i="40"/>
  <c r="L359" i="40"/>
  <c r="K359" i="40"/>
  <c r="J359" i="40"/>
  <c r="I359" i="40"/>
  <c r="H359" i="40"/>
  <c r="G359" i="40"/>
  <c r="F359" i="40"/>
  <c r="AJ358" i="40"/>
  <c r="AI358" i="40"/>
  <c r="AH358" i="40"/>
  <c r="AG358" i="40"/>
  <c r="AF358" i="40"/>
  <c r="AE358" i="40"/>
  <c r="AD358" i="40"/>
  <c r="AC358" i="40"/>
  <c r="AB358" i="40"/>
  <c r="AA358" i="40"/>
  <c r="P358" i="40"/>
  <c r="O358" i="40"/>
  <c r="N358" i="40"/>
  <c r="M358" i="40"/>
  <c r="L358" i="40"/>
  <c r="K358" i="40"/>
  <c r="J358" i="40"/>
  <c r="I358" i="40"/>
  <c r="H358" i="40"/>
  <c r="G358" i="40"/>
  <c r="F358" i="40"/>
  <c r="AJ357" i="40"/>
  <c r="AI357" i="40"/>
  <c r="AH357" i="40"/>
  <c r="AG357" i="40"/>
  <c r="AF357" i="40"/>
  <c r="AE357" i="40"/>
  <c r="AD357" i="40"/>
  <c r="AC357" i="40"/>
  <c r="AB357" i="40"/>
  <c r="AA357" i="40"/>
  <c r="P357" i="40"/>
  <c r="O357" i="40"/>
  <c r="N357" i="40"/>
  <c r="M357" i="40"/>
  <c r="L357" i="40"/>
  <c r="K357" i="40"/>
  <c r="J357" i="40"/>
  <c r="I357" i="40"/>
  <c r="H357" i="40"/>
  <c r="G357" i="40"/>
  <c r="F357" i="40"/>
  <c r="AJ356" i="40"/>
  <c r="AI356" i="40"/>
  <c r="AH356" i="40"/>
  <c r="AG356" i="40"/>
  <c r="AF356" i="40"/>
  <c r="AE356" i="40"/>
  <c r="AD356" i="40"/>
  <c r="AC356" i="40"/>
  <c r="AB356" i="40"/>
  <c r="AA356" i="40"/>
  <c r="P356" i="40"/>
  <c r="O356" i="40"/>
  <c r="N356" i="40"/>
  <c r="M356" i="40"/>
  <c r="L356" i="40"/>
  <c r="K356" i="40"/>
  <c r="J356" i="40"/>
  <c r="I356" i="40"/>
  <c r="H356" i="40"/>
  <c r="G356" i="40"/>
  <c r="F356" i="40"/>
  <c r="AJ355" i="40"/>
  <c r="AI355" i="40"/>
  <c r="AH355" i="40"/>
  <c r="AG355" i="40"/>
  <c r="AF355" i="40"/>
  <c r="AE355" i="40"/>
  <c r="AD355" i="40"/>
  <c r="AC355" i="40"/>
  <c r="AB355" i="40"/>
  <c r="AA355" i="40"/>
  <c r="P355" i="40"/>
  <c r="O355" i="40"/>
  <c r="N355" i="40"/>
  <c r="M355" i="40"/>
  <c r="L355" i="40"/>
  <c r="K355" i="40"/>
  <c r="J355" i="40"/>
  <c r="I355" i="40"/>
  <c r="H355" i="40"/>
  <c r="G355" i="40"/>
  <c r="F355" i="40"/>
  <c r="AJ354" i="40"/>
  <c r="AI354" i="40"/>
  <c r="AH354" i="40"/>
  <c r="AG354" i="40"/>
  <c r="AF354" i="40"/>
  <c r="AE354" i="40"/>
  <c r="AD354" i="40"/>
  <c r="AC354" i="40"/>
  <c r="AB354" i="40"/>
  <c r="AA354" i="40"/>
  <c r="P354" i="40"/>
  <c r="O354" i="40"/>
  <c r="N354" i="40"/>
  <c r="M354" i="40"/>
  <c r="L354" i="40"/>
  <c r="K354" i="40"/>
  <c r="J354" i="40"/>
  <c r="I354" i="40"/>
  <c r="H354" i="40"/>
  <c r="G354" i="40"/>
  <c r="F354" i="40"/>
  <c r="AJ353" i="40"/>
  <c r="AI353" i="40"/>
  <c r="AH353" i="40"/>
  <c r="AG353" i="40"/>
  <c r="AF353" i="40"/>
  <c r="AE353" i="40"/>
  <c r="AD353" i="40"/>
  <c r="AC353" i="40"/>
  <c r="AB353" i="40"/>
  <c r="AA353" i="40"/>
  <c r="P353" i="40"/>
  <c r="O353" i="40"/>
  <c r="N353" i="40"/>
  <c r="M353" i="40"/>
  <c r="L353" i="40"/>
  <c r="K353" i="40"/>
  <c r="J353" i="40"/>
  <c r="I353" i="40"/>
  <c r="H353" i="40"/>
  <c r="G353" i="40"/>
  <c r="F353" i="40"/>
  <c r="AJ352" i="40"/>
  <c r="AI352" i="40"/>
  <c r="AH352" i="40"/>
  <c r="AG352" i="40"/>
  <c r="AF352" i="40"/>
  <c r="AE352" i="40"/>
  <c r="AD352" i="40"/>
  <c r="AC352" i="40"/>
  <c r="AB352" i="40"/>
  <c r="AA352" i="40"/>
  <c r="P352" i="40"/>
  <c r="O352" i="40"/>
  <c r="N352" i="40"/>
  <c r="M352" i="40"/>
  <c r="L352" i="40"/>
  <c r="K352" i="40"/>
  <c r="J352" i="40"/>
  <c r="I352" i="40"/>
  <c r="H352" i="40"/>
  <c r="G352" i="40"/>
  <c r="F352" i="40"/>
  <c r="AJ351" i="40"/>
  <c r="AI351" i="40"/>
  <c r="AH351" i="40"/>
  <c r="AG351" i="40"/>
  <c r="AF351" i="40"/>
  <c r="AE351" i="40"/>
  <c r="AD351" i="40"/>
  <c r="AC351" i="40"/>
  <c r="AB351" i="40"/>
  <c r="AA351" i="40"/>
  <c r="P351" i="40"/>
  <c r="O351" i="40"/>
  <c r="N351" i="40"/>
  <c r="M351" i="40"/>
  <c r="L351" i="40"/>
  <c r="K351" i="40"/>
  <c r="J351" i="40"/>
  <c r="I351" i="40"/>
  <c r="H351" i="40"/>
  <c r="G351" i="40"/>
  <c r="F351" i="40"/>
  <c r="AJ350" i="40"/>
  <c r="AI350" i="40"/>
  <c r="AH350" i="40"/>
  <c r="AG350" i="40"/>
  <c r="AF350" i="40"/>
  <c r="AE350" i="40"/>
  <c r="AD350" i="40"/>
  <c r="AC350" i="40"/>
  <c r="AB350" i="40"/>
  <c r="AA350" i="40"/>
  <c r="P350" i="40"/>
  <c r="O350" i="40"/>
  <c r="N350" i="40"/>
  <c r="M350" i="40"/>
  <c r="L350" i="40"/>
  <c r="K350" i="40"/>
  <c r="J350" i="40"/>
  <c r="I350" i="40"/>
  <c r="H350" i="40"/>
  <c r="G350" i="40"/>
  <c r="F350" i="40"/>
  <c r="AJ349" i="40"/>
  <c r="AI349" i="40"/>
  <c r="AH349" i="40"/>
  <c r="AG349" i="40"/>
  <c r="AF349" i="40"/>
  <c r="AE349" i="40"/>
  <c r="AD349" i="40"/>
  <c r="AC349" i="40"/>
  <c r="AB349" i="40"/>
  <c r="AA349" i="40"/>
  <c r="P349" i="40"/>
  <c r="O349" i="40"/>
  <c r="N349" i="40"/>
  <c r="M349" i="40"/>
  <c r="L349" i="40"/>
  <c r="K349" i="40"/>
  <c r="J349" i="40"/>
  <c r="I349" i="40"/>
  <c r="H349" i="40"/>
  <c r="G349" i="40"/>
  <c r="F349" i="40"/>
  <c r="AJ348" i="40"/>
  <c r="AI348" i="40"/>
  <c r="AH348" i="40"/>
  <c r="AG348" i="40"/>
  <c r="AF348" i="40"/>
  <c r="AE348" i="40"/>
  <c r="AD348" i="40"/>
  <c r="AC348" i="40"/>
  <c r="AB348" i="40"/>
  <c r="AA348" i="40"/>
  <c r="P348" i="40"/>
  <c r="O348" i="40"/>
  <c r="N348" i="40"/>
  <c r="M348" i="40"/>
  <c r="L348" i="40"/>
  <c r="K348" i="40"/>
  <c r="J348" i="40"/>
  <c r="I348" i="40"/>
  <c r="H348" i="40"/>
  <c r="G348" i="40"/>
  <c r="F348" i="40"/>
  <c r="AJ347" i="40"/>
  <c r="AI347" i="40"/>
  <c r="AH347" i="40"/>
  <c r="AG347" i="40"/>
  <c r="AF347" i="40"/>
  <c r="AE347" i="40"/>
  <c r="AD347" i="40"/>
  <c r="AC347" i="40"/>
  <c r="AB347" i="40"/>
  <c r="AA347" i="40"/>
  <c r="P347" i="40"/>
  <c r="O347" i="40"/>
  <c r="N347" i="40"/>
  <c r="M347" i="40"/>
  <c r="L347" i="40"/>
  <c r="K347" i="40"/>
  <c r="J347" i="40"/>
  <c r="I347" i="40"/>
  <c r="H347" i="40"/>
  <c r="G347" i="40"/>
  <c r="F347" i="40"/>
  <c r="AJ346" i="40"/>
  <c r="AI346" i="40"/>
  <c r="AH346" i="40"/>
  <c r="AG346" i="40"/>
  <c r="AF346" i="40"/>
  <c r="AE346" i="40"/>
  <c r="AD346" i="40"/>
  <c r="AC346" i="40"/>
  <c r="AB346" i="40"/>
  <c r="AA346" i="40"/>
  <c r="P346" i="40"/>
  <c r="O346" i="40"/>
  <c r="N346" i="40"/>
  <c r="M346" i="40"/>
  <c r="L346" i="40"/>
  <c r="K346" i="40"/>
  <c r="J346" i="40"/>
  <c r="I346" i="40"/>
  <c r="H346" i="40"/>
  <c r="G346" i="40"/>
  <c r="F346" i="40"/>
  <c r="AJ345" i="40"/>
  <c r="AI345" i="40"/>
  <c r="AH345" i="40"/>
  <c r="AG345" i="40"/>
  <c r="AF345" i="40"/>
  <c r="AE345" i="40"/>
  <c r="AD345" i="40"/>
  <c r="AC345" i="40"/>
  <c r="AB345" i="40"/>
  <c r="AA345" i="40"/>
  <c r="P345" i="40"/>
  <c r="O345" i="40"/>
  <c r="N345" i="40"/>
  <c r="M345" i="40"/>
  <c r="L345" i="40"/>
  <c r="K345" i="40"/>
  <c r="J345" i="40"/>
  <c r="I345" i="40"/>
  <c r="H345" i="40"/>
  <c r="G345" i="40"/>
  <c r="F345" i="40"/>
  <c r="AJ344" i="40"/>
  <c r="AI344" i="40"/>
  <c r="AH344" i="40"/>
  <c r="AG344" i="40"/>
  <c r="AF344" i="40"/>
  <c r="AE344" i="40"/>
  <c r="AD344" i="40"/>
  <c r="AC344" i="40"/>
  <c r="AB344" i="40"/>
  <c r="AA344" i="40"/>
  <c r="P344" i="40"/>
  <c r="O344" i="40"/>
  <c r="N344" i="40"/>
  <c r="M344" i="40"/>
  <c r="L344" i="40"/>
  <c r="K344" i="40"/>
  <c r="J344" i="40"/>
  <c r="I344" i="40"/>
  <c r="H344" i="40"/>
  <c r="G344" i="40"/>
  <c r="F344" i="40"/>
  <c r="AJ343" i="40"/>
  <c r="AI343" i="40"/>
  <c r="AH343" i="40"/>
  <c r="AG343" i="40"/>
  <c r="AF343" i="40"/>
  <c r="AE343" i="40"/>
  <c r="AD343" i="40"/>
  <c r="AC343" i="40"/>
  <c r="AB343" i="40"/>
  <c r="AA343" i="40"/>
  <c r="P343" i="40"/>
  <c r="O343" i="40"/>
  <c r="N343" i="40"/>
  <c r="M343" i="40"/>
  <c r="L343" i="40"/>
  <c r="K343" i="40"/>
  <c r="J343" i="40"/>
  <c r="I343" i="40"/>
  <c r="H343" i="40"/>
  <c r="G343" i="40"/>
  <c r="F343" i="40"/>
  <c r="AJ342" i="40"/>
  <c r="AI342" i="40"/>
  <c r="AH342" i="40"/>
  <c r="AG342" i="40"/>
  <c r="AF342" i="40"/>
  <c r="AE342" i="40"/>
  <c r="AD342" i="40"/>
  <c r="AC342" i="40"/>
  <c r="AB342" i="40"/>
  <c r="AA342" i="40"/>
  <c r="P342" i="40"/>
  <c r="O342" i="40"/>
  <c r="N342" i="40"/>
  <c r="M342" i="40"/>
  <c r="L342" i="40"/>
  <c r="K342" i="40"/>
  <c r="J342" i="40"/>
  <c r="I342" i="40"/>
  <c r="H342" i="40"/>
  <c r="G342" i="40"/>
  <c r="F342" i="40"/>
  <c r="AJ341" i="40"/>
  <c r="AI341" i="40"/>
  <c r="AH341" i="40"/>
  <c r="AG341" i="40"/>
  <c r="AF341" i="40"/>
  <c r="AE341" i="40"/>
  <c r="AD341" i="40"/>
  <c r="AC341" i="40"/>
  <c r="AB341" i="40"/>
  <c r="AA341" i="40"/>
  <c r="P341" i="40"/>
  <c r="O341" i="40"/>
  <c r="N341" i="40"/>
  <c r="M341" i="40"/>
  <c r="L341" i="40"/>
  <c r="K341" i="40"/>
  <c r="J341" i="40"/>
  <c r="I341" i="40"/>
  <c r="H341" i="40"/>
  <c r="G341" i="40"/>
  <c r="F341" i="40"/>
  <c r="AJ340" i="40"/>
  <c r="AI340" i="40"/>
  <c r="AH340" i="40"/>
  <c r="AG340" i="40"/>
  <c r="AF340" i="40"/>
  <c r="AE340" i="40"/>
  <c r="AD340" i="40"/>
  <c r="AC340" i="40"/>
  <c r="AB340" i="40"/>
  <c r="AA340" i="40"/>
  <c r="P340" i="40"/>
  <c r="O340" i="40"/>
  <c r="N340" i="40"/>
  <c r="M340" i="40"/>
  <c r="L340" i="40"/>
  <c r="K340" i="40"/>
  <c r="J340" i="40"/>
  <c r="I340" i="40"/>
  <c r="H340" i="40"/>
  <c r="G340" i="40"/>
  <c r="F340" i="40"/>
  <c r="AJ339" i="40"/>
  <c r="AI339" i="40"/>
  <c r="AH339" i="40"/>
  <c r="AG339" i="40"/>
  <c r="AF339" i="40"/>
  <c r="AE339" i="40"/>
  <c r="AD339" i="40"/>
  <c r="AC339" i="40"/>
  <c r="AB339" i="40"/>
  <c r="AA339" i="40"/>
  <c r="P339" i="40"/>
  <c r="O339" i="40"/>
  <c r="N339" i="40"/>
  <c r="M339" i="40"/>
  <c r="L339" i="40"/>
  <c r="K339" i="40"/>
  <c r="J339" i="40"/>
  <c r="I339" i="40"/>
  <c r="H339" i="40"/>
  <c r="G339" i="40"/>
  <c r="F339" i="40"/>
  <c r="AJ338" i="40"/>
  <c r="AI338" i="40"/>
  <c r="AH338" i="40"/>
  <c r="AG338" i="40"/>
  <c r="AF338" i="40"/>
  <c r="AE338" i="40"/>
  <c r="AD338" i="40"/>
  <c r="AC338" i="40"/>
  <c r="AB338" i="40"/>
  <c r="AA338" i="40"/>
  <c r="P338" i="40"/>
  <c r="O338" i="40"/>
  <c r="N338" i="40"/>
  <c r="M338" i="40"/>
  <c r="L338" i="40"/>
  <c r="K338" i="40"/>
  <c r="J338" i="40"/>
  <c r="I338" i="40"/>
  <c r="H338" i="40"/>
  <c r="G338" i="40"/>
  <c r="F338" i="40"/>
  <c r="AJ337" i="40"/>
  <c r="AI337" i="40"/>
  <c r="AH337" i="40"/>
  <c r="AG337" i="40"/>
  <c r="AF337" i="40"/>
  <c r="AE337" i="40"/>
  <c r="AD337" i="40"/>
  <c r="AC337" i="40"/>
  <c r="AB337" i="40"/>
  <c r="AA337" i="40"/>
  <c r="P337" i="40"/>
  <c r="O337" i="40"/>
  <c r="N337" i="40"/>
  <c r="M337" i="40"/>
  <c r="L337" i="40"/>
  <c r="K337" i="40"/>
  <c r="J337" i="40"/>
  <c r="I337" i="40"/>
  <c r="H337" i="40"/>
  <c r="G337" i="40"/>
  <c r="F337" i="40"/>
  <c r="AJ336" i="40"/>
  <c r="AI336" i="40"/>
  <c r="AH336" i="40"/>
  <c r="AG336" i="40"/>
  <c r="AF336" i="40"/>
  <c r="AE336" i="40"/>
  <c r="AD336" i="40"/>
  <c r="AC336" i="40"/>
  <c r="AB336" i="40"/>
  <c r="AA336" i="40"/>
  <c r="P336" i="40"/>
  <c r="O336" i="40"/>
  <c r="N336" i="40"/>
  <c r="M336" i="40"/>
  <c r="L336" i="40"/>
  <c r="K336" i="40"/>
  <c r="J336" i="40"/>
  <c r="I336" i="40"/>
  <c r="H336" i="40"/>
  <c r="G336" i="40"/>
  <c r="F336" i="40"/>
  <c r="AJ335" i="40"/>
  <c r="AI335" i="40"/>
  <c r="AH335" i="40"/>
  <c r="AG335" i="40"/>
  <c r="AF335" i="40"/>
  <c r="AE335" i="40"/>
  <c r="AD335" i="40"/>
  <c r="AC335" i="40"/>
  <c r="AB335" i="40"/>
  <c r="AA335" i="40"/>
  <c r="P335" i="40"/>
  <c r="O335" i="40"/>
  <c r="N335" i="40"/>
  <c r="M335" i="40"/>
  <c r="L335" i="40"/>
  <c r="K335" i="40"/>
  <c r="J335" i="40"/>
  <c r="I335" i="40"/>
  <c r="H335" i="40"/>
  <c r="G335" i="40"/>
  <c r="F335" i="40"/>
  <c r="AJ334" i="40"/>
  <c r="AI334" i="40"/>
  <c r="AH334" i="40"/>
  <c r="AG334" i="40"/>
  <c r="AF334" i="40"/>
  <c r="AE334" i="40"/>
  <c r="AD334" i="40"/>
  <c r="AC334" i="40"/>
  <c r="AB334" i="40"/>
  <c r="AA334" i="40"/>
  <c r="P334" i="40"/>
  <c r="O334" i="40"/>
  <c r="N334" i="40"/>
  <c r="M334" i="40"/>
  <c r="L334" i="40"/>
  <c r="K334" i="40"/>
  <c r="J334" i="40"/>
  <c r="I334" i="40"/>
  <c r="H334" i="40"/>
  <c r="G334" i="40"/>
  <c r="F334" i="40"/>
  <c r="AJ333" i="40"/>
  <c r="AI333" i="40"/>
  <c r="AH333" i="40"/>
  <c r="AG333" i="40"/>
  <c r="AF333" i="40"/>
  <c r="AE333" i="40"/>
  <c r="AD333" i="40"/>
  <c r="AC333" i="40"/>
  <c r="AB333" i="40"/>
  <c r="AA333" i="40"/>
  <c r="P333" i="40"/>
  <c r="O333" i="40"/>
  <c r="N333" i="40"/>
  <c r="M333" i="40"/>
  <c r="L333" i="40"/>
  <c r="K333" i="40"/>
  <c r="J333" i="40"/>
  <c r="I333" i="40"/>
  <c r="H333" i="40"/>
  <c r="G333" i="40"/>
  <c r="F333" i="40"/>
  <c r="AJ332" i="40"/>
  <c r="AI332" i="40"/>
  <c r="AH332" i="40"/>
  <c r="AG332" i="40"/>
  <c r="AF332" i="40"/>
  <c r="AE332" i="40"/>
  <c r="AD332" i="40"/>
  <c r="AC332" i="40"/>
  <c r="AB332" i="40"/>
  <c r="AA332" i="40"/>
  <c r="P332" i="40"/>
  <c r="O332" i="40"/>
  <c r="N332" i="40"/>
  <c r="M332" i="40"/>
  <c r="L332" i="40"/>
  <c r="K332" i="40"/>
  <c r="J332" i="40"/>
  <c r="I332" i="40"/>
  <c r="H332" i="40"/>
  <c r="G332" i="40"/>
  <c r="F332" i="40"/>
  <c r="AJ331" i="40"/>
  <c r="AI331" i="40"/>
  <c r="AH331" i="40"/>
  <c r="AG331" i="40"/>
  <c r="AF331" i="40"/>
  <c r="AE331" i="40"/>
  <c r="AD331" i="40"/>
  <c r="AC331" i="40"/>
  <c r="AB331" i="40"/>
  <c r="AA331" i="40"/>
  <c r="P331" i="40"/>
  <c r="O331" i="40"/>
  <c r="N331" i="40"/>
  <c r="M331" i="40"/>
  <c r="L331" i="40"/>
  <c r="K331" i="40"/>
  <c r="J331" i="40"/>
  <c r="I331" i="40"/>
  <c r="H331" i="40"/>
  <c r="G331" i="40"/>
  <c r="F331" i="40"/>
  <c r="AJ330" i="40"/>
  <c r="AI330" i="40"/>
  <c r="AH330" i="40"/>
  <c r="AG330" i="40"/>
  <c r="AF330" i="40"/>
  <c r="AE330" i="40"/>
  <c r="AD330" i="40"/>
  <c r="AC330" i="40"/>
  <c r="AB330" i="40"/>
  <c r="AA330" i="40"/>
  <c r="P330" i="40"/>
  <c r="O330" i="40"/>
  <c r="N330" i="40"/>
  <c r="M330" i="40"/>
  <c r="L330" i="40"/>
  <c r="K330" i="40"/>
  <c r="J330" i="40"/>
  <c r="I330" i="40"/>
  <c r="H330" i="40"/>
  <c r="G330" i="40"/>
  <c r="F330" i="40"/>
  <c r="AJ329" i="40"/>
  <c r="AI329" i="40"/>
  <c r="AH329" i="40"/>
  <c r="AG329" i="40"/>
  <c r="AF329" i="40"/>
  <c r="AE329" i="40"/>
  <c r="AD329" i="40"/>
  <c r="AC329" i="40"/>
  <c r="AB329" i="40"/>
  <c r="AA329" i="40"/>
  <c r="P329" i="40"/>
  <c r="O329" i="40"/>
  <c r="N329" i="40"/>
  <c r="M329" i="40"/>
  <c r="L329" i="40"/>
  <c r="K329" i="40"/>
  <c r="J329" i="40"/>
  <c r="I329" i="40"/>
  <c r="H329" i="40"/>
  <c r="G329" i="40"/>
  <c r="F329" i="40"/>
  <c r="AJ328" i="40"/>
  <c r="AI328" i="40"/>
  <c r="AH328" i="40"/>
  <c r="AG328" i="40"/>
  <c r="AF328" i="40"/>
  <c r="AE328" i="40"/>
  <c r="AD328" i="40"/>
  <c r="AC328" i="40"/>
  <c r="AB328" i="40"/>
  <c r="AA328" i="40"/>
  <c r="P328" i="40"/>
  <c r="O328" i="40"/>
  <c r="N328" i="40"/>
  <c r="M328" i="40"/>
  <c r="L328" i="40"/>
  <c r="K328" i="40"/>
  <c r="J328" i="40"/>
  <c r="I328" i="40"/>
  <c r="H328" i="40"/>
  <c r="G328" i="40"/>
  <c r="F328" i="40"/>
  <c r="AJ327" i="40"/>
  <c r="AI327" i="40"/>
  <c r="AH327" i="40"/>
  <c r="AG327" i="40"/>
  <c r="AF327" i="40"/>
  <c r="AE327" i="40"/>
  <c r="AD327" i="40"/>
  <c r="AC327" i="40"/>
  <c r="AB327" i="40"/>
  <c r="AA327" i="40"/>
  <c r="P327" i="40"/>
  <c r="O327" i="40"/>
  <c r="N327" i="40"/>
  <c r="M327" i="40"/>
  <c r="L327" i="40"/>
  <c r="K327" i="40"/>
  <c r="J327" i="40"/>
  <c r="I327" i="40"/>
  <c r="H327" i="40"/>
  <c r="G327" i="40"/>
  <c r="F327" i="40"/>
  <c r="AJ326" i="40"/>
  <c r="AI326" i="40"/>
  <c r="AH326" i="40"/>
  <c r="AG326" i="40"/>
  <c r="AF326" i="40"/>
  <c r="AE326" i="40"/>
  <c r="AD326" i="40"/>
  <c r="AC326" i="40"/>
  <c r="AB326" i="40"/>
  <c r="AA326" i="40"/>
  <c r="P326" i="40"/>
  <c r="O326" i="40"/>
  <c r="N326" i="40"/>
  <c r="M326" i="40"/>
  <c r="L326" i="40"/>
  <c r="K326" i="40"/>
  <c r="J326" i="40"/>
  <c r="I326" i="40"/>
  <c r="H326" i="40"/>
  <c r="G326" i="40"/>
  <c r="F326" i="40"/>
  <c r="AJ325" i="40"/>
  <c r="AI325" i="40"/>
  <c r="AH325" i="40"/>
  <c r="AG325" i="40"/>
  <c r="AF325" i="40"/>
  <c r="AE325" i="40"/>
  <c r="AD325" i="40"/>
  <c r="AC325" i="40"/>
  <c r="AB325" i="40"/>
  <c r="AA325" i="40"/>
  <c r="P325" i="40"/>
  <c r="O325" i="40"/>
  <c r="N325" i="40"/>
  <c r="M325" i="40"/>
  <c r="L325" i="40"/>
  <c r="K325" i="40"/>
  <c r="J325" i="40"/>
  <c r="I325" i="40"/>
  <c r="H325" i="40"/>
  <c r="G325" i="40"/>
  <c r="F325" i="40"/>
  <c r="AJ324" i="40"/>
  <c r="AI324" i="40"/>
  <c r="AH324" i="40"/>
  <c r="AG324" i="40"/>
  <c r="AF324" i="40"/>
  <c r="AE324" i="40"/>
  <c r="AD324" i="40"/>
  <c r="AC324" i="40"/>
  <c r="AB324" i="40"/>
  <c r="AA324" i="40"/>
  <c r="P324" i="40"/>
  <c r="O324" i="40"/>
  <c r="N324" i="40"/>
  <c r="M324" i="40"/>
  <c r="L324" i="40"/>
  <c r="K324" i="40"/>
  <c r="J324" i="40"/>
  <c r="I324" i="40"/>
  <c r="H324" i="40"/>
  <c r="G324" i="40"/>
  <c r="F324" i="40"/>
  <c r="AJ323" i="40"/>
  <c r="AI323" i="40"/>
  <c r="AH323" i="40"/>
  <c r="AG323" i="40"/>
  <c r="AF323" i="40"/>
  <c r="AE323" i="40"/>
  <c r="AD323" i="40"/>
  <c r="AC323" i="40"/>
  <c r="AB323" i="40"/>
  <c r="AA323" i="40"/>
  <c r="P323" i="40"/>
  <c r="O323" i="40"/>
  <c r="N323" i="40"/>
  <c r="M323" i="40"/>
  <c r="L323" i="40"/>
  <c r="K323" i="40"/>
  <c r="J323" i="40"/>
  <c r="I323" i="40"/>
  <c r="H323" i="40"/>
  <c r="G323" i="40"/>
  <c r="F323" i="40"/>
  <c r="AJ322" i="40"/>
  <c r="AI322" i="40"/>
  <c r="AH322" i="40"/>
  <c r="AG322" i="40"/>
  <c r="AF322" i="40"/>
  <c r="AE322" i="40"/>
  <c r="AD322" i="40"/>
  <c r="AC322" i="40"/>
  <c r="AB322" i="40"/>
  <c r="AA322" i="40"/>
  <c r="P322" i="40"/>
  <c r="O322" i="40"/>
  <c r="N322" i="40"/>
  <c r="M322" i="40"/>
  <c r="L322" i="40"/>
  <c r="K322" i="40"/>
  <c r="J322" i="40"/>
  <c r="I322" i="40"/>
  <c r="H322" i="40"/>
  <c r="G322" i="40"/>
  <c r="F322" i="40"/>
  <c r="AJ321" i="40"/>
  <c r="AI321" i="40"/>
  <c r="AH321" i="40"/>
  <c r="AG321" i="40"/>
  <c r="AF321" i="40"/>
  <c r="AE321" i="40"/>
  <c r="AD321" i="40"/>
  <c r="AC321" i="40"/>
  <c r="AB321" i="40"/>
  <c r="AA321" i="40"/>
  <c r="P321" i="40"/>
  <c r="O321" i="40"/>
  <c r="N321" i="40"/>
  <c r="M321" i="40"/>
  <c r="L321" i="40"/>
  <c r="K321" i="40"/>
  <c r="J321" i="40"/>
  <c r="I321" i="40"/>
  <c r="H321" i="40"/>
  <c r="G321" i="40"/>
  <c r="F321" i="40"/>
  <c r="AJ300" i="40"/>
  <c r="AH300" i="40"/>
  <c r="AF300" i="40"/>
  <c r="AD300" i="40"/>
  <c r="AB300" i="40"/>
  <c r="P300" i="40"/>
  <c r="O300" i="40"/>
  <c r="N300" i="40"/>
  <c r="M300" i="40"/>
  <c r="L300" i="40"/>
  <c r="K300" i="40"/>
  <c r="J300" i="40"/>
  <c r="I300" i="40"/>
  <c r="AJ299" i="40"/>
  <c r="AH299" i="40"/>
  <c r="AF299" i="40"/>
  <c r="AD299" i="40"/>
  <c r="AB299" i="40"/>
  <c r="P299" i="40"/>
  <c r="O299" i="40"/>
  <c r="N299" i="40"/>
  <c r="M299" i="40"/>
  <c r="L299" i="40"/>
  <c r="K299" i="40"/>
  <c r="J299" i="40"/>
  <c r="I299" i="40"/>
  <c r="AJ298" i="40"/>
  <c r="AH298" i="40"/>
  <c r="AF298" i="40"/>
  <c r="AD298" i="40"/>
  <c r="AB298" i="40"/>
  <c r="P298" i="40"/>
  <c r="O298" i="40"/>
  <c r="N298" i="40"/>
  <c r="M298" i="40"/>
  <c r="L298" i="40"/>
  <c r="K298" i="40"/>
  <c r="J298" i="40"/>
  <c r="I298" i="40"/>
  <c r="AJ297" i="40"/>
  <c r="AH297" i="40"/>
  <c r="AF297" i="40"/>
  <c r="AD297" i="40"/>
  <c r="AB297" i="40"/>
  <c r="P297" i="40"/>
  <c r="O297" i="40"/>
  <c r="N297" i="40"/>
  <c r="M297" i="40"/>
  <c r="L297" i="40"/>
  <c r="K297" i="40"/>
  <c r="J297" i="40"/>
  <c r="I297" i="40"/>
  <c r="AJ296" i="40"/>
  <c r="AH296" i="40"/>
  <c r="AF296" i="40"/>
  <c r="AD296" i="40"/>
  <c r="AB296" i="40"/>
  <c r="P296" i="40"/>
  <c r="O296" i="40"/>
  <c r="N296" i="40"/>
  <c r="M296" i="40"/>
  <c r="L296" i="40"/>
  <c r="K296" i="40"/>
  <c r="J296" i="40"/>
  <c r="I296" i="40"/>
  <c r="AJ295" i="40"/>
  <c r="AH295" i="40"/>
  <c r="AF295" i="40"/>
  <c r="AD295" i="40"/>
  <c r="AB295" i="40"/>
  <c r="P295" i="40"/>
  <c r="O295" i="40"/>
  <c r="N295" i="40"/>
  <c r="M295" i="40"/>
  <c r="L295" i="40"/>
  <c r="K295" i="40"/>
  <c r="J295" i="40"/>
  <c r="I295" i="40"/>
  <c r="AJ294" i="40"/>
  <c r="AH294" i="40"/>
  <c r="AF294" i="40"/>
  <c r="AD294" i="40"/>
  <c r="AB294" i="40"/>
  <c r="P294" i="40"/>
  <c r="O294" i="40"/>
  <c r="N294" i="40"/>
  <c r="M294" i="40"/>
  <c r="L294" i="40"/>
  <c r="K294" i="40"/>
  <c r="J294" i="40"/>
  <c r="I294" i="40"/>
  <c r="AJ293" i="40"/>
  <c r="AH293" i="40"/>
  <c r="AF293" i="40"/>
  <c r="AD293" i="40"/>
  <c r="AB293" i="40"/>
  <c r="P293" i="40"/>
  <c r="O293" i="40"/>
  <c r="N293" i="40"/>
  <c r="M293" i="40"/>
  <c r="L293" i="40"/>
  <c r="K293" i="40"/>
  <c r="J293" i="40"/>
  <c r="I293" i="40"/>
  <c r="AJ292" i="40"/>
  <c r="AH292" i="40"/>
  <c r="AF292" i="40"/>
  <c r="AD292" i="40"/>
  <c r="AB292" i="40"/>
  <c r="P292" i="40"/>
  <c r="O292" i="40"/>
  <c r="N292" i="40"/>
  <c r="M292" i="40"/>
  <c r="L292" i="40"/>
  <c r="K292" i="40"/>
  <c r="J292" i="40"/>
  <c r="I292" i="40"/>
  <c r="AJ291" i="40"/>
  <c r="AH291" i="40"/>
  <c r="AF291" i="40"/>
  <c r="AD291" i="40"/>
  <c r="AB291" i="40"/>
  <c r="P291" i="40"/>
  <c r="O291" i="40"/>
  <c r="N291" i="40"/>
  <c r="M291" i="40"/>
  <c r="L291" i="40"/>
  <c r="K291" i="40"/>
  <c r="J291" i="40"/>
  <c r="I291" i="40"/>
  <c r="AJ290" i="40"/>
  <c r="AH290" i="40"/>
  <c r="AF290" i="40"/>
  <c r="AD290" i="40"/>
  <c r="AB290" i="40"/>
  <c r="P290" i="40"/>
  <c r="O290" i="40"/>
  <c r="N290" i="40"/>
  <c r="M290" i="40"/>
  <c r="L290" i="40"/>
  <c r="K290" i="40"/>
  <c r="J290" i="40"/>
  <c r="I290" i="40"/>
  <c r="AJ289" i="40"/>
  <c r="AH289" i="40"/>
  <c r="AF289" i="40"/>
  <c r="AD289" i="40"/>
  <c r="AB289" i="40"/>
  <c r="P289" i="40"/>
  <c r="O289" i="40"/>
  <c r="N289" i="40"/>
  <c r="M289" i="40"/>
  <c r="L289" i="40"/>
  <c r="K289" i="40"/>
  <c r="J289" i="40"/>
  <c r="I289" i="40"/>
  <c r="AJ288" i="40"/>
  <c r="AH288" i="40"/>
  <c r="AF288" i="40"/>
  <c r="AD288" i="40"/>
  <c r="AB288" i="40"/>
  <c r="P288" i="40"/>
  <c r="O288" i="40"/>
  <c r="N288" i="40"/>
  <c r="M288" i="40"/>
  <c r="L288" i="40"/>
  <c r="K288" i="40"/>
  <c r="J288" i="40"/>
  <c r="I288" i="40"/>
  <c r="AJ287" i="40"/>
  <c r="AI287" i="40"/>
  <c r="AH287" i="40"/>
  <c r="AG287" i="40"/>
  <c r="AF287" i="40"/>
  <c r="AE287" i="40"/>
  <c r="AD287" i="40"/>
  <c r="AC287" i="40"/>
  <c r="AB287" i="40"/>
  <c r="AA287" i="40"/>
  <c r="P287" i="40"/>
  <c r="O287" i="40"/>
  <c r="N287" i="40"/>
  <c r="M287" i="40"/>
  <c r="L287" i="40"/>
  <c r="K287" i="40"/>
  <c r="J287" i="40"/>
  <c r="I287" i="40"/>
  <c r="H287" i="40"/>
  <c r="G287" i="40"/>
  <c r="F287" i="40"/>
  <c r="AJ286" i="40"/>
  <c r="AI286" i="40"/>
  <c r="AH286" i="40"/>
  <c r="AG286" i="40"/>
  <c r="AF286" i="40"/>
  <c r="AE286" i="40"/>
  <c r="AD286" i="40"/>
  <c r="AC286" i="40"/>
  <c r="AB286" i="40"/>
  <c r="AA286" i="40"/>
  <c r="P286" i="40"/>
  <c r="O286" i="40"/>
  <c r="N286" i="40"/>
  <c r="M286" i="40"/>
  <c r="L286" i="40"/>
  <c r="K286" i="40"/>
  <c r="J286" i="40"/>
  <c r="I286" i="40"/>
  <c r="H286" i="40"/>
  <c r="G286" i="40"/>
  <c r="F286" i="40"/>
  <c r="AJ285" i="40"/>
  <c r="AI285" i="40"/>
  <c r="AH285" i="40"/>
  <c r="AG285" i="40"/>
  <c r="AF285" i="40"/>
  <c r="AE285" i="40"/>
  <c r="AD285" i="40"/>
  <c r="AC285" i="40"/>
  <c r="AB285" i="40"/>
  <c r="AA285" i="40"/>
  <c r="P285" i="40"/>
  <c r="O285" i="40"/>
  <c r="N285" i="40"/>
  <c r="M285" i="40"/>
  <c r="L285" i="40"/>
  <c r="K285" i="40"/>
  <c r="J285" i="40"/>
  <c r="I285" i="40"/>
  <c r="H285" i="40"/>
  <c r="G285" i="40"/>
  <c r="F285" i="40"/>
  <c r="AJ284" i="40"/>
  <c r="AI284" i="40"/>
  <c r="AH284" i="40"/>
  <c r="AG284" i="40"/>
  <c r="AF284" i="40"/>
  <c r="AE284" i="40"/>
  <c r="AD284" i="40"/>
  <c r="AC284" i="40"/>
  <c r="AB284" i="40"/>
  <c r="AA284" i="40"/>
  <c r="P284" i="40"/>
  <c r="O284" i="40"/>
  <c r="N284" i="40"/>
  <c r="M284" i="40"/>
  <c r="L284" i="40"/>
  <c r="K284" i="40"/>
  <c r="J284" i="40"/>
  <c r="I284" i="40"/>
  <c r="H284" i="40"/>
  <c r="G284" i="40"/>
  <c r="F284" i="40"/>
  <c r="AJ283" i="40"/>
  <c r="AI283" i="40"/>
  <c r="AH283" i="40"/>
  <c r="AG283" i="40"/>
  <c r="AF283" i="40"/>
  <c r="AE283" i="40"/>
  <c r="AD283" i="40"/>
  <c r="AC283" i="40"/>
  <c r="AB283" i="40"/>
  <c r="AA283" i="40"/>
  <c r="P283" i="40"/>
  <c r="O283" i="40"/>
  <c r="N283" i="40"/>
  <c r="M283" i="40"/>
  <c r="L283" i="40"/>
  <c r="K283" i="40"/>
  <c r="J283" i="40"/>
  <c r="I283" i="40"/>
  <c r="H283" i="40"/>
  <c r="G283" i="40"/>
  <c r="F283" i="40"/>
  <c r="AJ282" i="40"/>
  <c r="AI282" i="40"/>
  <c r="AH282" i="40"/>
  <c r="AG282" i="40"/>
  <c r="AF282" i="40"/>
  <c r="AE282" i="40"/>
  <c r="AD282" i="40"/>
  <c r="AC282" i="40"/>
  <c r="AB282" i="40"/>
  <c r="AA282" i="40"/>
  <c r="P282" i="40"/>
  <c r="O282" i="40"/>
  <c r="N282" i="40"/>
  <c r="M282" i="40"/>
  <c r="L282" i="40"/>
  <c r="K282" i="40"/>
  <c r="J282" i="40"/>
  <c r="I282" i="40"/>
  <c r="H282" i="40"/>
  <c r="G282" i="40"/>
  <c r="F282" i="40"/>
  <c r="AJ281" i="40"/>
  <c r="AI281" i="40"/>
  <c r="AH281" i="40"/>
  <c r="AG281" i="40"/>
  <c r="AF281" i="40"/>
  <c r="AE281" i="40"/>
  <c r="AD281" i="40"/>
  <c r="AC281" i="40"/>
  <c r="AB281" i="40"/>
  <c r="AA281" i="40"/>
  <c r="P281" i="40"/>
  <c r="O281" i="40"/>
  <c r="N281" i="40"/>
  <c r="M281" i="40"/>
  <c r="L281" i="40"/>
  <c r="K281" i="40"/>
  <c r="J281" i="40"/>
  <c r="I281" i="40"/>
  <c r="H281" i="40"/>
  <c r="G281" i="40"/>
  <c r="F281" i="40"/>
  <c r="AJ280" i="40"/>
  <c r="AI280" i="40"/>
  <c r="AH280" i="40"/>
  <c r="AG280" i="40"/>
  <c r="AF280" i="40"/>
  <c r="AE280" i="40"/>
  <c r="AD280" i="40"/>
  <c r="AC280" i="40"/>
  <c r="AB280" i="40"/>
  <c r="AA280" i="40"/>
  <c r="P280" i="40"/>
  <c r="O280" i="40"/>
  <c r="N280" i="40"/>
  <c r="M280" i="40"/>
  <c r="L280" i="40"/>
  <c r="K280" i="40"/>
  <c r="J280" i="40"/>
  <c r="I280" i="40"/>
  <c r="H280" i="40"/>
  <c r="G280" i="40"/>
  <c r="F280" i="40"/>
  <c r="AJ279" i="40"/>
  <c r="AI279" i="40"/>
  <c r="AH279" i="40"/>
  <c r="AG279" i="40"/>
  <c r="AF279" i="40"/>
  <c r="AE279" i="40"/>
  <c r="AD279" i="40"/>
  <c r="AC279" i="40"/>
  <c r="AB279" i="40"/>
  <c r="AA279" i="40"/>
  <c r="P279" i="40"/>
  <c r="O279" i="40"/>
  <c r="N279" i="40"/>
  <c r="M279" i="40"/>
  <c r="L279" i="40"/>
  <c r="K279" i="40"/>
  <c r="J279" i="40"/>
  <c r="I279" i="40"/>
  <c r="H279" i="40"/>
  <c r="G279" i="40"/>
  <c r="F279" i="40"/>
  <c r="AJ278" i="40"/>
  <c r="AI278" i="40"/>
  <c r="AH278" i="40"/>
  <c r="AG278" i="40"/>
  <c r="AF278" i="40"/>
  <c r="AE278" i="40"/>
  <c r="AD278" i="40"/>
  <c r="AC278" i="40"/>
  <c r="AB278" i="40"/>
  <c r="AA278" i="40"/>
  <c r="P278" i="40"/>
  <c r="O278" i="40"/>
  <c r="N278" i="40"/>
  <c r="M278" i="40"/>
  <c r="L278" i="40"/>
  <c r="K278" i="40"/>
  <c r="J278" i="40"/>
  <c r="I278" i="40"/>
  <c r="H278" i="40"/>
  <c r="G278" i="40"/>
  <c r="F278" i="40"/>
  <c r="AJ277" i="40"/>
  <c r="AI277" i="40"/>
  <c r="AH277" i="40"/>
  <c r="AG277" i="40"/>
  <c r="AF277" i="40"/>
  <c r="AE277" i="40"/>
  <c r="AD277" i="40"/>
  <c r="AC277" i="40"/>
  <c r="AB277" i="40"/>
  <c r="AA277" i="40"/>
  <c r="P277" i="40"/>
  <c r="O277" i="40"/>
  <c r="N277" i="40"/>
  <c r="M277" i="40"/>
  <c r="L277" i="40"/>
  <c r="K277" i="40"/>
  <c r="J277" i="40"/>
  <c r="I277" i="40"/>
  <c r="H277" i="40"/>
  <c r="G277" i="40"/>
  <c r="F277" i="40"/>
  <c r="AJ276" i="40"/>
  <c r="AI276" i="40"/>
  <c r="AH276" i="40"/>
  <c r="AG276" i="40"/>
  <c r="AF276" i="40"/>
  <c r="AE276" i="40"/>
  <c r="AD276" i="40"/>
  <c r="AC276" i="40"/>
  <c r="AB276" i="40"/>
  <c r="AA276" i="40"/>
  <c r="P276" i="40"/>
  <c r="O276" i="40"/>
  <c r="N276" i="40"/>
  <c r="M276" i="40"/>
  <c r="L276" i="40"/>
  <c r="K276" i="40"/>
  <c r="J276" i="40"/>
  <c r="I276" i="40"/>
  <c r="H276" i="40"/>
  <c r="G276" i="40"/>
  <c r="F276" i="40"/>
  <c r="AJ275" i="40"/>
  <c r="AI275" i="40"/>
  <c r="AH275" i="40"/>
  <c r="AG275" i="40"/>
  <c r="AF275" i="40"/>
  <c r="AE275" i="40"/>
  <c r="AD275" i="40"/>
  <c r="AC275" i="40"/>
  <c r="AB275" i="40"/>
  <c r="AA275" i="40"/>
  <c r="P275" i="40"/>
  <c r="O275" i="40"/>
  <c r="N275" i="40"/>
  <c r="M275" i="40"/>
  <c r="L275" i="40"/>
  <c r="K275" i="40"/>
  <c r="J275" i="40"/>
  <c r="I275" i="40"/>
  <c r="H275" i="40"/>
  <c r="G275" i="40"/>
  <c r="F275" i="40"/>
  <c r="AJ274" i="40"/>
  <c r="AI274" i="40"/>
  <c r="AH274" i="40"/>
  <c r="AG274" i="40"/>
  <c r="AF274" i="40"/>
  <c r="AE274" i="40"/>
  <c r="AD274" i="40"/>
  <c r="AC274" i="40"/>
  <c r="AB274" i="40"/>
  <c r="AA274" i="40"/>
  <c r="P274" i="40"/>
  <c r="O274" i="40"/>
  <c r="N274" i="40"/>
  <c r="M274" i="40"/>
  <c r="L274" i="40"/>
  <c r="K274" i="40"/>
  <c r="J274" i="40"/>
  <c r="I274" i="40"/>
  <c r="H274" i="40"/>
  <c r="G274" i="40"/>
  <c r="F274" i="40"/>
  <c r="AJ273" i="40"/>
  <c r="AI273" i="40"/>
  <c r="AH273" i="40"/>
  <c r="AG273" i="40"/>
  <c r="AF273" i="40"/>
  <c r="AE273" i="40"/>
  <c r="AD273" i="40"/>
  <c r="AC273" i="40"/>
  <c r="AB273" i="40"/>
  <c r="AA273" i="40"/>
  <c r="P273" i="40"/>
  <c r="O273" i="40"/>
  <c r="N273" i="40"/>
  <c r="M273" i="40"/>
  <c r="L273" i="40"/>
  <c r="K273" i="40"/>
  <c r="J273" i="40"/>
  <c r="I273" i="40"/>
  <c r="H273" i="40"/>
  <c r="G273" i="40"/>
  <c r="F273" i="40"/>
  <c r="AJ272" i="40"/>
  <c r="AI272" i="40"/>
  <c r="AH272" i="40"/>
  <c r="AG272" i="40"/>
  <c r="AF272" i="40"/>
  <c r="AE272" i="40"/>
  <c r="AD272" i="40"/>
  <c r="AC272" i="40"/>
  <c r="AB272" i="40"/>
  <c r="AA272" i="40"/>
  <c r="P272" i="40"/>
  <c r="O272" i="40"/>
  <c r="N272" i="40"/>
  <c r="M272" i="40"/>
  <c r="L272" i="40"/>
  <c r="K272" i="40"/>
  <c r="J272" i="40"/>
  <c r="I272" i="40"/>
  <c r="H272" i="40"/>
  <c r="G272" i="40"/>
  <c r="F272" i="40"/>
  <c r="AJ271" i="40"/>
  <c r="AI271" i="40"/>
  <c r="AH271" i="40"/>
  <c r="AG271" i="40"/>
  <c r="AF271" i="40"/>
  <c r="AE271" i="40"/>
  <c r="AD271" i="40"/>
  <c r="AC271" i="40"/>
  <c r="AB271" i="40"/>
  <c r="AA271" i="40"/>
  <c r="P271" i="40"/>
  <c r="O271" i="40"/>
  <c r="N271" i="40"/>
  <c r="M271" i="40"/>
  <c r="L271" i="40"/>
  <c r="K271" i="40"/>
  <c r="J271" i="40"/>
  <c r="I271" i="40"/>
  <c r="H271" i="40"/>
  <c r="G271" i="40"/>
  <c r="F271" i="40"/>
  <c r="AJ270" i="40"/>
  <c r="AI270" i="40"/>
  <c r="AH270" i="40"/>
  <c r="AG270" i="40"/>
  <c r="AF270" i="40"/>
  <c r="AE270" i="40"/>
  <c r="AD270" i="40"/>
  <c r="AC270" i="40"/>
  <c r="AB270" i="40"/>
  <c r="AA270" i="40"/>
  <c r="P270" i="40"/>
  <c r="O270" i="40"/>
  <c r="N270" i="40"/>
  <c r="M270" i="40"/>
  <c r="L270" i="40"/>
  <c r="K270" i="40"/>
  <c r="J270" i="40"/>
  <c r="I270" i="40"/>
  <c r="H270" i="40"/>
  <c r="G270" i="40"/>
  <c r="F270" i="40"/>
  <c r="AJ269" i="40"/>
  <c r="AI269" i="40"/>
  <c r="AH269" i="40"/>
  <c r="AG269" i="40"/>
  <c r="AF269" i="40"/>
  <c r="AE269" i="40"/>
  <c r="AD269" i="40"/>
  <c r="AC269" i="40"/>
  <c r="AB269" i="40"/>
  <c r="AA269" i="40"/>
  <c r="P269" i="40"/>
  <c r="O269" i="40"/>
  <c r="N269" i="40"/>
  <c r="M269" i="40"/>
  <c r="L269" i="40"/>
  <c r="K269" i="40"/>
  <c r="J269" i="40"/>
  <c r="I269" i="40"/>
  <c r="H269" i="40"/>
  <c r="G269" i="40"/>
  <c r="F269" i="40"/>
  <c r="AJ268" i="40"/>
  <c r="AI268" i="40"/>
  <c r="AH268" i="40"/>
  <c r="AG268" i="40"/>
  <c r="AF268" i="40"/>
  <c r="AE268" i="40"/>
  <c r="AD268" i="40"/>
  <c r="AC268" i="40"/>
  <c r="AB268" i="40"/>
  <c r="AA268" i="40"/>
  <c r="P268" i="40"/>
  <c r="O268" i="40"/>
  <c r="N268" i="40"/>
  <c r="M268" i="40"/>
  <c r="L268" i="40"/>
  <c r="K268" i="40"/>
  <c r="J268" i="40"/>
  <c r="I268" i="40"/>
  <c r="H268" i="40"/>
  <c r="G268" i="40"/>
  <c r="F268" i="40"/>
  <c r="AJ267" i="40"/>
  <c r="AI267" i="40"/>
  <c r="AH267" i="40"/>
  <c r="AG267" i="40"/>
  <c r="AF267" i="40"/>
  <c r="AE267" i="40"/>
  <c r="AD267" i="40"/>
  <c r="AC267" i="40"/>
  <c r="AB267" i="40"/>
  <c r="AA267" i="40"/>
  <c r="P267" i="40"/>
  <c r="O267" i="40"/>
  <c r="N267" i="40"/>
  <c r="M267" i="40"/>
  <c r="L267" i="40"/>
  <c r="K267" i="40"/>
  <c r="J267" i="40"/>
  <c r="I267" i="40"/>
  <c r="H267" i="40"/>
  <c r="G267" i="40"/>
  <c r="F267" i="40"/>
  <c r="AJ266" i="40"/>
  <c r="AI266" i="40"/>
  <c r="AH266" i="40"/>
  <c r="AG266" i="40"/>
  <c r="AF266" i="40"/>
  <c r="AE266" i="40"/>
  <c r="AD266" i="40"/>
  <c r="AC266" i="40"/>
  <c r="AB266" i="40"/>
  <c r="AA266" i="40"/>
  <c r="P266" i="40"/>
  <c r="O266" i="40"/>
  <c r="N266" i="40"/>
  <c r="M266" i="40"/>
  <c r="L266" i="40"/>
  <c r="K266" i="40"/>
  <c r="J266" i="40"/>
  <c r="I266" i="40"/>
  <c r="H266" i="40"/>
  <c r="G266" i="40"/>
  <c r="F266" i="40"/>
  <c r="AJ265" i="40"/>
  <c r="AI265" i="40"/>
  <c r="AH265" i="40"/>
  <c r="AG265" i="40"/>
  <c r="AF265" i="40"/>
  <c r="AE265" i="40"/>
  <c r="AD265" i="40"/>
  <c r="AC265" i="40"/>
  <c r="AB265" i="40"/>
  <c r="AA265" i="40"/>
  <c r="P265" i="40"/>
  <c r="O265" i="40"/>
  <c r="N265" i="40"/>
  <c r="M265" i="40"/>
  <c r="L265" i="40"/>
  <c r="K265" i="40"/>
  <c r="J265" i="40"/>
  <c r="I265" i="40"/>
  <c r="H265" i="40"/>
  <c r="G265" i="40"/>
  <c r="F265" i="40"/>
  <c r="AJ264" i="40"/>
  <c r="AI264" i="40"/>
  <c r="AH264" i="40"/>
  <c r="AG264" i="40"/>
  <c r="AF264" i="40"/>
  <c r="AE264" i="40"/>
  <c r="AD264" i="40"/>
  <c r="AC264" i="40"/>
  <c r="AB264" i="40"/>
  <c r="AA264" i="40"/>
  <c r="P264" i="40"/>
  <c r="O264" i="40"/>
  <c r="N264" i="40"/>
  <c r="M264" i="40"/>
  <c r="L264" i="40"/>
  <c r="K264" i="40"/>
  <c r="J264" i="40"/>
  <c r="I264" i="40"/>
  <c r="H264" i="40"/>
  <c r="G264" i="40"/>
  <c r="F264" i="40"/>
  <c r="AJ263" i="40"/>
  <c r="AI263" i="40"/>
  <c r="AH263" i="40"/>
  <c r="AG263" i="40"/>
  <c r="AF263" i="40"/>
  <c r="AE263" i="40"/>
  <c r="AD263" i="40"/>
  <c r="AC263" i="40"/>
  <c r="AB263" i="40"/>
  <c r="AA263" i="40"/>
  <c r="P263" i="40"/>
  <c r="O263" i="40"/>
  <c r="N263" i="40"/>
  <c r="M263" i="40"/>
  <c r="L263" i="40"/>
  <c r="K263" i="40"/>
  <c r="J263" i="40"/>
  <c r="I263" i="40"/>
  <c r="H263" i="40"/>
  <c r="G263" i="40"/>
  <c r="F263" i="40"/>
  <c r="AJ262" i="40"/>
  <c r="AI262" i="40"/>
  <c r="AH262" i="40"/>
  <c r="AG262" i="40"/>
  <c r="AF262" i="40"/>
  <c r="AE262" i="40"/>
  <c r="AD262" i="40"/>
  <c r="AC262" i="40"/>
  <c r="AB262" i="40"/>
  <c r="AA262" i="40"/>
  <c r="P262" i="40"/>
  <c r="O262" i="40"/>
  <c r="N262" i="40"/>
  <c r="M262" i="40"/>
  <c r="L262" i="40"/>
  <c r="K262" i="40"/>
  <c r="J262" i="40"/>
  <c r="I262" i="40"/>
  <c r="H262" i="40"/>
  <c r="G262" i="40"/>
  <c r="F262" i="40"/>
  <c r="AJ261" i="40"/>
  <c r="AI261" i="40"/>
  <c r="AH261" i="40"/>
  <c r="AG261" i="40"/>
  <c r="AF261" i="40"/>
  <c r="AE261" i="40"/>
  <c r="AD261" i="40"/>
  <c r="AC261" i="40"/>
  <c r="AB261" i="40"/>
  <c r="AA261" i="40"/>
  <c r="P261" i="40"/>
  <c r="O261" i="40"/>
  <c r="N261" i="40"/>
  <c r="M261" i="40"/>
  <c r="L261" i="40"/>
  <c r="K261" i="40"/>
  <c r="J261" i="40"/>
  <c r="I261" i="40"/>
  <c r="H261" i="40"/>
  <c r="G261" i="40"/>
  <c r="F261" i="40"/>
  <c r="AJ260" i="40"/>
  <c r="AI260" i="40"/>
  <c r="AH260" i="40"/>
  <c r="AG260" i="40"/>
  <c r="AF260" i="40"/>
  <c r="AE260" i="40"/>
  <c r="AD260" i="40"/>
  <c r="AC260" i="40"/>
  <c r="AB260" i="40"/>
  <c r="AA260" i="40"/>
  <c r="P260" i="40"/>
  <c r="O260" i="40"/>
  <c r="N260" i="40"/>
  <c r="M260" i="40"/>
  <c r="L260" i="40"/>
  <c r="K260" i="40"/>
  <c r="J260" i="40"/>
  <c r="I260" i="40"/>
  <c r="H260" i="40"/>
  <c r="G260" i="40"/>
  <c r="F260" i="40"/>
  <c r="AJ259" i="40"/>
  <c r="AI259" i="40"/>
  <c r="AH259" i="40"/>
  <c r="AG259" i="40"/>
  <c r="AF259" i="40"/>
  <c r="AE259" i="40"/>
  <c r="AD259" i="40"/>
  <c r="AC259" i="40"/>
  <c r="AB259" i="40"/>
  <c r="AA259" i="40"/>
  <c r="P259" i="40"/>
  <c r="O259" i="40"/>
  <c r="N259" i="40"/>
  <c r="M259" i="40"/>
  <c r="L259" i="40"/>
  <c r="K259" i="40"/>
  <c r="J259" i="40"/>
  <c r="I259" i="40"/>
  <c r="H259" i="40"/>
  <c r="G259" i="40"/>
  <c r="F259" i="40"/>
  <c r="AJ258" i="40"/>
  <c r="AI258" i="40"/>
  <c r="AH258" i="40"/>
  <c r="AG258" i="40"/>
  <c r="AF258" i="40"/>
  <c r="AE258" i="40"/>
  <c r="AD258" i="40"/>
  <c r="AC258" i="40"/>
  <c r="AB258" i="40"/>
  <c r="AA258" i="40"/>
  <c r="P258" i="40"/>
  <c r="O258" i="40"/>
  <c r="N258" i="40"/>
  <c r="M258" i="40"/>
  <c r="L258" i="40"/>
  <c r="K258" i="40"/>
  <c r="J258" i="40"/>
  <c r="I258" i="40"/>
  <c r="H258" i="40"/>
  <c r="G258" i="40"/>
  <c r="F258" i="40"/>
  <c r="AJ257" i="40"/>
  <c r="AI257" i="40"/>
  <c r="AH257" i="40"/>
  <c r="AG257" i="40"/>
  <c r="AF257" i="40"/>
  <c r="AE257" i="40"/>
  <c r="AD257" i="40"/>
  <c r="AC257" i="40"/>
  <c r="AB257" i="40"/>
  <c r="AA257" i="40"/>
  <c r="P257" i="40"/>
  <c r="O257" i="40"/>
  <c r="N257" i="40"/>
  <c r="M257" i="40"/>
  <c r="L257" i="40"/>
  <c r="K257" i="40"/>
  <c r="J257" i="40"/>
  <c r="I257" i="40"/>
  <c r="H257" i="40"/>
  <c r="G257" i="40"/>
  <c r="F257" i="40"/>
  <c r="AJ256" i="40"/>
  <c r="AI256" i="40"/>
  <c r="AH256" i="40"/>
  <c r="AG256" i="40"/>
  <c r="AF256" i="40"/>
  <c r="AE256" i="40"/>
  <c r="AD256" i="40"/>
  <c r="AC256" i="40"/>
  <c r="AB256" i="40"/>
  <c r="AA256" i="40"/>
  <c r="P256" i="40"/>
  <c r="O256" i="40"/>
  <c r="N256" i="40"/>
  <c r="M256" i="40"/>
  <c r="L256" i="40"/>
  <c r="K256" i="40"/>
  <c r="J256" i="40"/>
  <c r="I256" i="40"/>
  <c r="H256" i="40"/>
  <c r="G256" i="40"/>
  <c r="F256" i="40"/>
  <c r="AJ255" i="40"/>
  <c r="AI255" i="40"/>
  <c r="AH255" i="40"/>
  <c r="AG255" i="40"/>
  <c r="AF255" i="40"/>
  <c r="AE255" i="40"/>
  <c r="AD255" i="40"/>
  <c r="AC255" i="40"/>
  <c r="AB255" i="40"/>
  <c r="AA255" i="40"/>
  <c r="P255" i="40"/>
  <c r="O255" i="40"/>
  <c r="N255" i="40"/>
  <c r="M255" i="40"/>
  <c r="L255" i="40"/>
  <c r="K255" i="40"/>
  <c r="J255" i="40"/>
  <c r="I255" i="40"/>
  <c r="H255" i="40"/>
  <c r="G255" i="40"/>
  <c r="F255" i="40"/>
  <c r="AJ254" i="40"/>
  <c r="AI254" i="40"/>
  <c r="AH254" i="40"/>
  <c r="AG254" i="40"/>
  <c r="AF254" i="40"/>
  <c r="AE254" i="40"/>
  <c r="AD254" i="40"/>
  <c r="AC254" i="40"/>
  <c r="AB254" i="40"/>
  <c r="AA254" i="40"/>
  <c r="P254" i="40"/>
  <c r="O254" i="40"/>
  <c r="N254" i="40"/>
  <c r="M254" i="40"/>
  <c r="L254" i="40"/>
  <c r="K254" i="40"/>
  <c r="J254" i="40"/>
  <c r="I254" i="40"/>
  <c r="H254" i="40"/>
  <c r="G254" i="40"/>
  <c r="F254" i="40"/>
  <c r="AJ253" i="40"/>
  <c r="AI253" i="40"/>
  <c r="AH253" i="40"/>
  <c r="AG253" i="40"/>
  <c r="AF253" i="40"/>
  <c r="AE253" i="40"/>
  <c r="AD253" i="40"/>
  <c r="AC253" i="40"/>
  <c r="AB253" i="40"/>
  <c r="AA253" i="40"/>
  <c r="P253" i="40"/>
  <c r="O253" i="40"/>
  <c r="N253" i="40"/>
  <c r="M253" i="40"/>
  <c r="L253" i="40"/>
  <c r="K253" i="40"/>
  <c r="J253" i="40"/>
  <c r="I253" i="40"/>
  <c r="H253" i="40"/>
  <c r="G253" i="40"/>
  <c r="F253" i="40"/>
  <c r="AJ252" i="40"/>
  <c r="AI252" i="40"/>
  <c r="AH252" i="40"/>
  <c r="AG252" i="40"/>
  <c r="AF252" i="40"/>
  <c r="AE252" i="40"/>
  <c r="AD252" i="40"/>
  <c r="AC252" i="40"/>
  <c r="AB252" i="40"/>
  <c r="AA252" i="40"/>
  <c r="P252" i="40"/>
  <c r="O252" i="40"/>
  <c r="N252" i="40"/>
  <c r="M252" i="40"/>
  <c r="L252" i="40"/>
  <c r="K252" i="40"/>
  <c r="J252" i="40"/>
  <c r="I252" i="40"/>
  <c r="H252" i="40"/>
  <c r="G252" i="40"/>
  <c r="F252" i="40"/>
  <c r="AJ251" i="40"/>
  <c r="AI251" i="40"/>
  <c r="AH251" i="40"/>
  <c r="AG251" i="40"/>
  <c r="AF251" i="40"/>
  <c r="AE251" i="40"/>
  <c r="AD251" i="40"/>
  <c r="AC251" i="40"/>
  <c r="AB251" i="40"/>
  <c r="AA251" i="40"/>
  <c r="P251" i="40"/>
  <c r="O251" i="40"/>
  <c r="N251" i="40"/>
  <c r="M251" i="40"/>
  <c r="L251" i="40"/>
  <c r="K251" i="40"/>
  <c r="J251" i="40"/>
  <c r="I251" i="40"/>
  <c r="H251" i="40"/>
  <c r="G251" i="40"/>
  <c r="F251" i="40"/>
  <c r="AJ250" i="40"/>
  <c r="AI250" i="40"/>
  <c r="AH250" i="40"/>
  <c r="AG250" i="40"/>
  <c r="AF250" i="40"/>
  <c r="AE250" i="40"/>
  <c r="AD250" i="40"/>
  <c r="AC250" i="40"/>
  <c r="AB250" i="40"/>
  <c r="AA250" i="40"/>
  <c r="P250" i="40"/>
  <c r="O250" i="40"/>
  <c r="N250" i="40"/>
  <c r="M250" i="40"/>
  <c r="L250" i="40"/>
  <c r="K250" i="40"/>
  <c r="J250" i="40"/>
  <c r="I250" i="40"/>
  <c r="H250" i="40"/>
  <c r="G250" i="40"/>
  <c r="F250" i="40"/>
  <c r="AJ249" i="40"/>
  <c r="AI249" i="40"/>
  <c r="AH249" i="40"/>
  <c r="AG249" i="40"/>
  <c r="AF249" i="40"/>
  <c r="AE249" i="40"/>
  <c r="AD249" i="40"/>
  <c r="AC249" i="40"/>
  <c r="AB249" i="40"/>
  <c r="AA249" i="40"/>
  <c r="P249" i="40"/>
  <c r="O249" i="40"/>
  <c r="N249" i="40"/>
  <c r="M249" i="40"/>
  <c r="L249" i="40"/>
  <c r="K249" i="40"/>
  <c r="J249" i="40"/>
  <c r="I249" i="40"/>
  <c r="H249" i="40"/>
  <c r="G249" i="40"/>
  <c r="F249" i="40"/>
  <c r="AJ248" i="40"/>
  <c r="AI248" i="40"/>
  <c r="AH248" i="40"/>
  <c r="AG248" i="40"/>
  <c r="AF248" i="40"/>
  <c r="AE248" i="40"/>
  <c r="AD248" i="40"/>
  <c r="AC248" i="40"/>
  <c r="AB248" i="40"/>
  <c r="AA248" i="40"/>
  <c r="P248" i="40"/>
  <c r="O248" i="40"/>
  <c r="N248" i="40"/>
  <c r="M248" i="40"/>
  <c r="L248" i="40"/>
  <c r="K248" i="40"/>
  <c r="J248" i="40"/>
  <c r="I248" i="40"/>
  <c r="H248" i="40"/>
  <c r="G248" i="40"/>
  <c r="F248" i="40"/>
  <c r="AJ247" i="40"/>
  <c r="AI247" i="40"/>
  <c r="AH247" i="40"/>
  <c r="AG247" i="40"/>
  <c r="AF247" i="40"/>
  <c r="AE247" i="40"/>
  <c r="AD247" i="40"/>
  <c r="AC247" i="40"/>
  <c r="AB247" i="40"/>
  <c r="AA247" i="40"/>
  <c r="P247" i="40"/>
  <c r="O247" i="40"/>
  <c r="N247" i="40"/>
  <c r="M247" i="40"/>
  <c r="L247" i="40"/>
  <c r="K247" i="40"/>
  <c r="J247" i="40"/>
  <c r="I247" i="40"/>
  <c r="H247" i="40"/>
  <c r="G247" i="40"/>
  <c r="F247" i="40"/>
  <c r="AJ246" i="40"/>
  <c r="AI246" i="40"/>
  <c r="AH246" i="40"/>
  <c r="AG246" i="40"/>
  <c r="AF246" i="40"/>
  <c r="AE246" i="40"/>
  <c r="AD246" i="40"/>
  <c r="AC246" i="40"/>
  <c r="AB246" i="40"/>
  <c r="AA246" i="40"/>
  <c r="P246" i="40"/>
  <c r="O246" i="40"/>
  <c r="N246" i="40"/>
  <c r="M246" i="40"/>
  <c r="L246" i="40"/>
  <c r="K246" i="40"/>
  <c r="J246" i="40"/>
  <c r="I246" i="40"/>
  <c r="H246" i="40"/>
  <c r="G246" i="40"/>
  <c r="F246" i="40"/>
  <c r="AJ245" i="40"/>
  <c r="AI245" i="40"/>
  <c r="AH245" i="40"/>
  <c r="AG245" i="40"/>
  <c r="AF245" i="40"/>
  <c r="AE245" i="40"/>
  <c r="AD245" i="40"/>
  <c r="AC245" i="40"/>
  <c r="AB245" i="40"/>
  <c r="AA245" i="40"/>
  <c r="P245" i="40"/>
  <c r="O245" i="40"/>
  <c r="N245" i="40"/>
  <c r="M245" i="40"/>
  <c r="L245" i="40"/>
  <c r="K245" i="40"/>
  <c r="J245" i="40"/>
  <c r="I245" i="40"/>
  <c r="H245" i="40"/>
  <c r="G245" i="40"/>
  <c r="F245" i="40"/>
  <c r="AJ244" i="40"/>
  <c r="AI244" i="40"/>
  <c r="AH244" i="40"/>
  <c r="AG244" i="40"/>
  <c r="AF244" i="40"/>
  <c r="AE244" i="40"/>
  <c r="AD244" i="40"/>
  <c r="AC244" i="40"/>
  <c r="AB244" i="40"/>
  <c r="AA244" i="40"/>
  <c r="P244" i="40"/>
  <c r="O244" i="40"/>
  <c r="N244" i="40"/>
  <c r="M244" i="40"/>
  <c r="L244" i="40"/>
  <c r="K244" i="40"/>
  <c r="J244" i="40"/>
  <c r="I244" i="40"/>
  <c r="H244" i="40"/>
  <c r="G244" i="40"/>
  <c r="F244" i="40"/>
  <c r="AJ243" i="40"/>
  <c r="AI243" i="40"/>
  <c r="AH243" i="40"/>
  <c r="AG243" i="40"/>
  <c r="AF243" i="40"/>
  <c r="AE243" i="40"/>
  <c r="AD243" i="40"/>
  <c r="AC243" i="40"/>
  <c r="AB243" i="40"/>
  <c r="AA243" i="40"/>
  <c r="P243" i="40"/>
  <c r="O243" i="40"/>
  <c r="N243" i="40"/>
  <c r="M243" i="40"/>
  <c r="L243" i="40"/>
  <c r="K243" i="40"/>
  <c r="J243" i="40"/>
  <c r="I243" i="40"/>
  <c r="H243" i="40"/>
  <c r="G243" i="40"/>
  <c r="F243" i="40"/>
  <c r="AJ242" i="40"/>
  <c r="AI242" i="40"/>
  <c r="AH242" i="40"/>
  <c r="AG242" i="40"/>
  <c r="AF242" i="40"/>
  <c r="AE242" i="40"/>
  <c r="AD242" i="40"/>
  <c r="AC242" i="40"/>
  <c r="AB242" i="40"/>
  <c r="AA242" i="40"/>
  <c r="P242" i="40"/>
  <c r="O242" i="40"/>
  <c r="N242" i="40"/>
  <c r="M242" i="40"/>
  <c r="L242" i="40"/>
  <c r="K242" i="40"/>
  <c r="J242" i="40"/>
  <c r="I242" i="40"/>
  <c r="H242" i="40"/>
  <c r="G242" i="40"/>
  <c r="F242" i="40"/>
  <c r="AJ241" i="40"/>
  <c r="AI241" i="40"/>
  <c r="AH241" i="40"/>
  <c r="AG241" i="40"/>
  <c r="AF241" i="40"/>
  <c r="AE241" i="40"/>
  <c r="AD241" i="40"/>
  <c r="AC241" i="40"/>
  <c r="AB241" i="40"/>
  <c r="AA241" i="40"/>
  <c r="P241" i="40"/>
  <c r="O241" i="40"/>
  <c r="N241" i="40"/>
  <c r="M241" i="40"/>
  <c r="L241" i="40"/>
  <c r="K241" i="40"/>
  <c r="J241" i="40"/>
  <c r="I241" i="40"/>
  <c r="H241" i="40"/>
  <c r="G241" i="40"/>
  <c r="F241" i="40"/>
  <c r="AJ240" i="40"/>
  <c r="AI240" i="40"/>
  <c r="AH240" i="40"/>
  <c r="AG240" i="40"/>
  <c r="AF240" i="40"/>
  <c r="AE240" i="40"/>
  <c r="AD240" i="40"/>
  <c r="AC240" i="40"/>
  <c r="AB240" i="40"/>
  <c r="AA240" i="40"/>
  <c r="P240" i="40"/>
  <c r="O240" i="40"/>
  <c r="N240" i="40"/>
  <c r="M240" i="40"/>
  <c r="L240" i="40"/>
  <c r="K240" i="40"/>
  <c r="J240" i="40"/>
  <c r="I240" i="40"/>
  <c r="H240" i="40"/>
  <c r="G240" i="40"/>
  <c r="F240" i="40"/>
  <c r="AJ239" i="40"/>
  <c r="AI239" i="40"/>
  <c r="AH239" i="40"/>
  <c r="AG239" i="40"/>
  <c r="AF239" i="40"/>
  <c r="AE239" i="40"/>
  <c r="AD239" i="40"/>
  <c r="AC239" i="40"/>
  <c r="AB239" i="40"/>
  <c r="AA239" i="40"/>
  <c r="P239" i="40"/>
  <c r="O239" i="40"/>
  <c r="N239" i="40"/>
  <c r="M239" i="40"/>
  <c r="L239" i="40"/>
  <c r="K239" i="40"/>
  <c r="J239" i="40"/>
  <c r="I239" i="40"/>
  <c r="H239" i="40"/>
  <c r="G239" i="40"/>
  <c r="F239" i="40"/>
  <c r="AJ238" i="40"/>
  <c r="AI238" i="40"/>
  <c r="AH238" i="40"/>
  <c r="AG238" i="40"/>
  <c r="AF238" i="40"/>
  <c r="AE238" i="40"/>
  <c r="AD238" i="40"/>
  <c r="AC238" i="40"/>
  <c r="AB238" i="40"/>
  <c r="AA238" i="40"/>
  <c r="P238" i="40"/>
  <c r="O238" i="40"/>
  <c r="N238" i="40"/>
  <c r="M238" i="40"/>
  <c r="L238" i="40"/>
  <c r="K238" i="40"/>
  <c r="J238" i="40"/>
  <c r="I238" i="40"/>
  <c r="H238" i="40"/>
  <c r="G238" i="40"/>
  <c r="F238" i="40"/>
  <c r="AJ237" i="40"/>
  <c r="AI237" i="40"/>
  <c r="AH237" i="40"/>
  <c r="AG237" i="40"/>
  <c r="AF237" i="40"/>
  <c r="AE237" i="40"/>
  <c r="AD237" i="40"/>
  <c r="AC237" i="40"/>
  <c r="AB237" i="40"/>
  <c r="AA237" i="40"/>
  <c r="P237" i="40"/>
  <c r="O237" i="40"/>
  <c r="N237" i="40"/>
  <c r="M237" i="40"/>
  <c r="L237" i="40"/>
  <c r="K237" i="40"/>
  <c r="J237" i="40"/>
  <c r="I237" i="40"/>
  <c r="H237" i="40"/>
  <c r="G237" i="40"/>
  <c r="F237" i="40"/>
  <c r="AJ236" i="40"/>
  <c r="AI236" i="40"/>
  <c r="AH236" i="40"/>
  <c r="AG236" i="40"/>
  <c r="AF236" i="40"/>
  <c r="AE236" i="40"/>
  <c r="AD236" i="40"/>
  <c r="AC236" i="40"/>
  <c r="AB236" i="40"/>
  <c r="AA236" i="40"/>
  <c r="P236" i="40"/>
  <c r="O236" i="40"/>
  <c r="N236" i="40"/>
  <c r="M236" i="40"/>
  <c r="L236" i="40"/>
  <c r="K236" i="40"/>
  <c r="J236" i="40"/>
  <c r="I236" i="40"/>
  <c r="H236" i="40"/>
  <c r="G236" i="40"/>
  <c r="F236" i="40"/>
  <c r="AJ235" i="40"/>
  <c r="AI235" i="40"/>
  <c r="AH235" i="40"/>
  <c r="AG235" i="40"/>
  <c r="AF235" i="40"/>
  <c r="AE235" i="40"/>
  <c r="AD235" i="40"/>
  <c r="AC235" i="40"/>
  <c r="AB235" i="40"/>
  <c r="AA235" i="40"/>
  <c r="P235" i="40"/>
  <c r="O235" i="40"/>
  <c r="N235" i="40"/>
  <c r="M235" i="40"/>
  <c r="L235" i="40"/>
  <c r="K235" i="40"/>
  <c r="J235" i="40"/>
  <c r="I235" i="40"/>
  <c r="H235" i="40"/>
  <c r="G235" i="40"/>
  <c r="F235" i="40"/>
  <c r="AJ234" i="40"/>
  <c r="AI234" i="40"/>
  <c r="AH234" i="40"/>
  <c r="AG234" i="40"/>
  <c r="AF234" i="40"/>
  <c r="AE234" i="40"/>
  <c r="AD234" i="40"/>
  <c r="AC234" i="40"/>
  <c r="AB234" i="40"/>
  <c r="AA234" i="40"/>
  <c r="P234" i="40"/>
  <c r="O234" i="40"/>
  <c r="N234" i="40"/>
  <c r="M234" i="40"/>
  <c r="L234" i="40"/>
  <c r="K234" i="40"/>
  <c r="J234" i="40"/>
  <c r="I234" i="40"/>
  <c r="H234" i="40"/>
  <c r="G234" i="40"/>
  <c r="F234" i="40"/>
  <c r="AJ233" i="40"/>
  <c r="AI233" i="40"/>
  <c r="AH233" i="40"/>
  <c r="AG233" i="40"/>
  <c r="AF233" i="40"/>
  <c r="AE233" i="40"/>
  <c r="AD233" i="40"/>
  <c r="AC233" i="40"/>
  <c r="AB233" i="40"/>
  <c r="AA233" i="40"/>
  <c r="P233" i="40"/>
  <c r="O233" i="40"/>
  <c r="N233" i="40"/>
  <c r="M233" i="40"/>
  <c r="L233" i="40"/>
  <c r="K233" i="40"/>
  <c r="J233" i="40"/>
  <c r="I233" i="40"/>
  <c r="H233" i="40"/>
  <c r="G233" i="40"/>
  <c r="F233" i="40"/>
  <c r="AJ232" i="40"/>
  <c r="AI232" i="40"/>
  <c r="AH232" i="40"/>
  <c r="AG232" i="40"/>
  <c r="AF232" i="40"/>
  <c r="AE232" i="40"/>
  <c r="AD232" i="40"/>
  <c r="AC232" i="40"/>
  <c r="AB232" i="40"/>
  <c r="AA232" i="40"/>
  <c r="P232" i="40"/>
  <c r="O232" i="40"/>
  <c r="N232" i="40"/>
  <c r="M232" i="40"/>
  <c r="L232" i="40"/>
  <c r="K232" i="40"/>
  <c r="J232" i="40"/>
  <c r="I232" i="40"/>
  <c r="H232" i="40"/>
  <c r="G232" i="40"/>
  <c r="F232" i="40"/>
  <c r="AJ231" i="40"/>
  <c r="AI231" i="40"/>
  <c r="AH231" i="40"/>
  <c r="AG231" i="40"/>
  <c r="AF231" i="40"/>
  <c r="AE231" i="40"/>
  <c r="AD231" i="40"/>
  <c r="AC231" i="40"/>
  <c r="AB231" i="40"/>
  <c r="AA231" i="40"/>
  <c r="P231" i="40"/>
  <c r="O231" i="40"/>
  <c r="N231" i="40"/>
  <c r="M231" i="40"/>
  <c r="L231" i="40"/>
  <c r="K231" i="40"/>
  <c r="J231" i="40"/>
  <c r="I231" i="40"/>
  <c r="H231" i="40"/>
  <c r="G231" i="40"/>
  <c r="F231" i="40"/>
  <c r="AJ230" i="40"/>
  <c r="AI230" i="40"/>
  <c r="AH230" i="40"/>
  <c r="AG230" i="40"/>
  <c r="AF230" i="40"/>
  <c r="AE230" i="40"/>
  <c r="AD230" i="40"/>
  <c r="AC230" i="40"/>
  <c r="AB230" i="40"/>
  <c r="AA230" i="40"/>
  <c r="P230" i="40"/>
  <c r="O230" i="40"/>
  <c r="N230" i="40"/>
  <c r="M230" i="40"/>
  <c r="L230" i="40"/>
  <c r="K230" i="40"/>
  <c r="J230" i="40"/>
  <c r="I230" i="40"/>
  <c r="H230" i="40"/>
  <c r="G230" i="40"/>
  <c r="F230" i="40"/>
  <c r="AJ229" i="40"/>
  <c r="AI229" i="40"/>
  <c r="AH229" i="40"/>
  <c r="AG229" i="40"/>
  <c r="AF229" i="40"/>
  <c r="AE229" i="40"/>
  <c r="AD229" i="40"/>
  <c r="AC229" i="40"/>
  <c r="AB229" i="40"/>
  <c r="AA229" i="40"/>
  <c r="P229" i="40"/>
  <c r="O229" i="40"/>
  <c r="N229" i="40"/>
  <c r="M229" i="40"/>
  <c r="L229" i="40"/>
  <c r="K229" i="40"/>
  <c r="J229" i="40"/>
  <c r="I229" i="40"/>
  <c r="H229" i="40"/>
  <c r="G229" i="40"/>
  <c r="F229" i="40"/>
  <c r="AJ228" i="40"/>
  <c r="AI228" i="40"/>
  <c r="AH228" i="40"/>
  <c r="AG228" i="40"/>
  <c r="AF228" i="40"/>
  <c r="AE228" i="40"/>
  <c r="AD228" i="40"/>
  <c r="AC228" i="40"/>
  <c r="AB228" i="40"/>
  <c r="AA228" i="40"/>
  <c r="P228" i="40"/>
  <c r="O228" i="40"/>
  <c r="N228" i="40"/>
  <c r="M228" i="40"/>
  <c r="L228" i="40"/>
  <c r="K228" i="40"/>
  <c r="J228" i="40"/>
  <c r="I228" i="40"/>
  <c r="H228" i="40"/>
  <c r="G228" i="40"/>
  <c r="F228" i="40"/>
  <c r="AJ227" i="40"/>
  <c r="AI227" i="40"/>
  <c r="AH227" i="40"/>
  <c r="AG227" i="40"/>
  <c r="AF227" i="40"/>
  <c r="AE227" i="40"/>
  <c r="AD227" i="40"/>
  <c r="AC227" i="40"/>
  <c r="AB227" i="40"/>
  <c r="AA227" i="40"/>
  <c r="P227" i="40"/>
  <c r="O227" i="40"/>
  <c r="N227" i="40"/>
  <c r="M227" i="40"/>
  <c r="L227" i="40"/>
  <c r="K227" i="40"/>
  <c r="J227" i="40"/>
  <c r="I227" i="40"/>
  <c r="H227" i="40"/>
  <c r="G227" i="40"/>
  <c r="F227" i="40"/>
  <c r="AJ226" i="40"/>
  <c r="AI226" i="40"/>
  <c r="AH226" i="40"/>
  <c r="AG226" i="40"/>
  <c r="AF226" i="40"/>
  <c r="AE226" i="40"/>
  <c r="AD226" i="40"/>
  <c r="AC226" i="40"/>
  <c r="AB226" i="40"/>
  <c r="AA226" i="40"/>
  <c r="P226" i="40"/>
  <c r="O226" i="40"/>
  <c r="N226" i="40"/>
  <c r="M226" i="40"/>
  <c r="L226" i="40"/>
  <c r="K226" i="40"/>
  <c r="J226" i="40"/>
  <c r="I226" i="40"/>
  <c r="H226" i="40"/>
  <c r="G226" i="40"/>
  <c r="F226" i="40"/>
  <c r="AJ225" i="40"/>
  <c r="AI225" i="40"/>
  <c r="AH225" i="40"/>
  <c r="AG225" i="40"/>
  <c r="AF225" i="40"/>
  <c r="AE225" i="40"/>
  <c r="AD225" i="40"/>
  <c r="AC225" i="40"/>
  <c r="AB225" i="40"/>
  <c r="AA225" i="40"/>
  <c r="P225" i="40"/>
  <c r="O225" i="40"/>
  <c r="N225" i="40"/>
  <c r="M225" i="40"/>
  <c r="L225" i="40"/>
  <c r="K225" i="40"/>
  <c r="J225" i="40"/>
  <c r="I225" i="40"/>
  <c r="H225" i="40"/>
  <c r="G225" i="40"/>
  <c r="F225" i="40"/>
  <c r="AJ224" i="40"/>
  <c r="AI224" i="40"/>
  <c r="AH224" i="40"/>
  <c r="AG224" i="40"/>
  <c r="AF224" i="40"/>
  <c r="AE224" i="40"/>
  <c r="AD224" i="40"/>
  <c r="AC224" i="40"/>
  <c r="AB224" i="40"/>
  <c r="AA224" i="40"/>
  <c r="P224" i="40"/>
  <c r="O224" i="40"/>
  <c r="N224" i="40"/>
  <c r="M224" i="40"/>
  <c r="L224" i="40"/>
  <c r="K224" i="40"/>
  <c r="J224" i="40"/>
  <c r="I224" i="40"/>
  <c r="H224" i="40"/>
  <c r="G224" i="40"/>
  <c r="F224" i="40"/>
  <c r="AJ223" i="40"/>
  <c r="AI223" i="40"/>
  <c r="AH223" i="40"/>
  <c r="AG223" i="40"/>
  <c r="AF223" i="40"/>
  <c r="AE223" i="40"/>
  <c r="AD223" i="40"/>
  <c r="AC223" i="40"/>
  <c r="AB223" i="40"/>
  <c r="AA223" i="40"/>
  <c r="P223" i="40"/>
  <c r="O223" i="40"/>
  <c r="N223" i="40"/>
  <c r="M223" i="40"/>
  <c r="L223" i="40"/>
  <c r="K223" i="40"/>
  <c r="J223" i="40"/>
  <c r="I223" i="40"/>
  <c r="H223" i="40"/>
  <c r="G223" i="40"/>
  <c r="F223" i="40"/>
  <c r="AJ222" i="40"/>
  <c r="AI222" i="40"/>
  <c r="AH222" i="40"/>
  <c r="AG222" i="40"/>
  <c r="AF222" i="40"/>
  <c r="AE222" i="40"/>
  <c r="AD222" i="40"/>
  <c r="AC222" i="40"/>
  <c r="AB222" i="40"/>
  <c r="AA222" i="40"/>
  <c r="P222" i="40"/>
  <c r="O222" i="40"/>
  <c r="N222" i="40"/>
  <c r="M222" i="40"/>
  <c r="L222" i="40"/>
  <c r="K222" i="40"/>
  <c r="J222" i="40"/>
  <c r="I222" i="40"/>
  <c r="H222" i="40"/>
  <c r="G222" i="40"/>
  <c r="F222" i="40"/>
  <c r="AJ221" i="40"/>
  <c r="AI221" i="40"/>
  <c r="AH221" i="40"/>
  <c r="AG221" i="40"/>
  <c r="AF221" i="40"/>
  <c r="AE221" i="40"/>
  <c r="AD221" i="40"/>
  <c r="AC221" i="40"/>
  <c r="AB221" i="40"/>
  <c r="AA221" i="40"/>
  <c r="P221" i="40"/>
  <c r="O221" i="40"/>
  <c r="N221" i="40"/>
  <c r="M221" i="40"/>
  <c r="L221" i="40"/>
  <c r="K221" i="40"/>
  <c r="J221" i="40"/>
  <c r="I221" i="40"/>
  <c r="H221" i="40"/>
  <c r="G221" i="40"/>
  <c r="F221" i="40"/>
  <c r="AJ200" i="40"/>
  <c r="AH200" i="40"/>
  <c r="AF200" i="40"/>
  <c r="AD200" i="40"/>
  <c r="AB200" i="40"/>
  <c r="P200" i="40"/>
  <c r="O200" i="40"/>
  <c r="N200" i="40"/>
  <c r="M200" i="40"/>
  <c r="L200" i="40"/>
  <c r="K200" i="40"/>
  <c r="J200" i="40"/>
  <c r="I200" i="40"/>
  <c r="AJ199" i="40"/>
  <c r="AH199" i="40"/>
  <c r="AF199" i="40"/>
  <c r="AD199" i="40"/>
  <c r="AB199" i="40"/>
  <c r="P199" i="40"/>
  <c r="O199" i="40"/>
  <c r="N199" i="40"/>
  <c r="M199" i="40"/>
  <c r="L199" i="40"/>
  <c r="K199" i="40"/>
  <c r="J199" i="40"/>
  <c r="I199" i="40"/>
  <c r="AJ198" i="40"/>
  <c r="AH198" i="40"/>
  <c r="AF198" i="40"/>
  <c r="AD198" i="40"/>
  <c r="AB198" i="40"/>
  <c r="P198" i="40"/>
  <c r="O198" i="40"/>
  <c r="N198" i="40"/>
  <c r="M198" i="40"/>
  <c r="L198" i="40"/>
  <c r="K198" i="40"/>
  <c r="J198" i="40"/>
  <c r="I198" i="40"/>
  <c r="AJ197" i="40"/>
  <c r="AH197" i="40"/>
  <c r="AF197" i="40"/>
  <c r="AD197" i="40"/>
  <c r="AB197" i="40"/>
  <c r="P197" i="40"/>
  <c r="O197" i="40"/>
  <c r="N197" i="40"/>
  <c r="M197" i="40"/>
  <c r="L197" i="40"/>
  <c r="K197" i="40"/>
  <c r="J197" i="40"/>
  <c r="I197" i="40"/>
  <c r="AJ196" i="40"/>
  <c r="AH196" i="40"/>
  <c r="AF196" i="40"/>
  <c r="AD196" i="40"/>
  <c r="AB196" i="40"/>
  <c r="P196" i="40"/>
  <c r="O196" i="40"/>
  <c r="N196" i="40"/>
  <c r="M196" i="40"/>
  <c r="L196" i="40"/>
  <c r="K196" i="40"/>
  <c r="J196" i="40"/>
  <c r="I196" i="40"/>
  <c r="AJ195" i="40"/>
  <c r="AH195" i="40"/>
  <c r="AF195" i="40"/>
  <c r="AD195" i="40"/>
  <c r="AB195" i="40"/>
  <c r="P195" i="40"/>
  <c r="O195" i="40"/>
  <c r="N195" i="40"/>
  <c r="M195" i="40"/>
  <c r="L195" i="40"/>
  <c r="K195" i="40"/>
  <c r="J195" i="40"/>
  <c r="I195" i="40"/>
  <c r="AJ194" i="40"/>
  <c r="AH194" i="40"/>
  <c r="AF194" i="40"/>
  <c r="AD194" i="40"/>
  <c r="AB194" i="40"/>
  <c r="P194" i="40"/>
  <c r="O194" i="40"/>
  <c r="N194" i="40"/>
  <c r="M194" i="40"/>
  <c r="L194" i="40"/>
  <c r="K194" i="40"/>
  <c r="J194" i="40"/>
  <c r="I194" i="40"/>
  <c r="AJ193" i="40"/>
  <c r="AH193" i="40"/>
  <c r="AF193" i="40"/>
  <c r="AD193" i="40"/>
  <c r="AB193" i="40"/>
  <c r="P193" i="40"/>
  <c r="O193" i="40"/>
  <c r="N193" i="40"/>
  <c r="M193" i="40"/>
  <c r="L193" i="40"/>
  <c r="K193" i="40"/>
  <c r="J193" i="40"/>
  <c r="I193" i="40"/>
  <c r="AJ192" i="40"/>
  <c r="AH192" i="40"/>
  <c r="AF192" i="40"/>
  <c r="AD192" i="40"/>
  <c r="AB192" i="40"/>
  <c r="P192" i="40"/>
  <c r="O192" i="40"/>
  <c r="N192" i="40"/>
  <c r="M192" i="40"/>
  <c r="L192" i="40"/>
  <c r="K192" i="40"/>
  <c r="J192" i="40"/>
  <c r="I192" i="40"/>
  <c r="AJ191" i="40"/>
  <c r="AH191" i="40"/>
  <c r="AF191" i="40"/>
  <c r="AD191" i="40"/>
  <c r="AB191" i="40"/>
  <c r="P191" i="40"/>
  <c r="O191" i="40"/>
  <c r="N191" i="40"/>
  <c r="M191" i="40"/>
  <c r="L191" i="40"/>
  <c r="K191" i="40"/>
  <c r="J191" i="40"/>
  <c r="I191" i="40"/>
  <c r="AJ190" i="40"/>
  <c r="AH190" i="40"/>
  <c r="AF190" i="40"/>
  <c r="AD190" i="40"/>
  <c r="AB190" i="40"/>
  <c r="P190" i="40"/>
  <c r="O190" i="40"/>
  <c r="N190" i="40"/>
  <c r="M190" i="40"/>
  <c r="L190" i="40"/>
  <c r="K190" i="40"/>
  <c r="J190" i="40"/>
  <c r="I190" i="40"/>
  <c r="AJ189" i="40"/>
  <c r="AH189" i="40"/>
  <c r="AF189" i="40"/>
  <c r="AD189" i="40"/>
  <c r="AB189" i="40"/>
  <c r="P189" i="40"/>
  <c r="O189" i="40"/>
  <c r="N189" i="40"/>
  <c r="M189" i="40"/>
  <c r="L189" i="40"/>
  <c r="K189" i="40"/>
  <c r="J189" i="40"/>
  <c r="I189" i="40"/>
  <c r="AJ188" i="40"/>
  <c r="AH188" i="40"/>
  <c r="AF188" i="40"/>
  <c r="AD188" i="40"/>
  <c r="AB188" i="40"/>
  <c r="P188" i="40"/>
  <c r="O188" i="40"/>
  <c r="N188" i="40"/>
  <c r="M188" i="40"/>
  <c r="L188" i="40"/>
  <c r="K188" i="40"/>
  <c r="J188" i="40"/>
  <c r="I188" i="40"/>
  <c r="AJ187" i="40"/>
  <c r="AI187" i="40"/>
  <c r="AH187" i="40"/>
  <c r="AG187" i="40"/>
  <c r="AF187" i="40"/>
  <c r="AE187" i="40"/>
  <c r="AD187" i="40"/>
  <c r="AC187" i="40"/>
  <c r="AB187" i="40"/>
  <c r="AA187" i="40"/>
  <c r="P187" i="40"/>
  <c r="O187" i="40"/>
  <c r="N187" i="40"/>
  <c r="M187" i="40"/>
  <c r="L187" i="40"/>
  <c r="K187" i="40"/>
  <c r="J187" i="40"/>
  <c r="I187" i="40"/>
  <c r="H187" i="40"/>
  <c r="G187" i="40"/>
  <c r="F187" i="40"/>
  <c r="AJ186" i="40"/>
  <c r="AI186" i="40"/>
  <c r="AH186" i="40"/>
  <c r="AG186" i="40"/>
  <c r="AF186" i="40"/>
  <c r="AE186" i="40"/>
  <c r="AD186" i="40"/>
  <c r="AC186" i="40"/>
  <c r="AB186" i="40"/>
  <c r="AA186" i="40"/>
  <c r="P186" i="40"/>
  <c r="O186" i="40"/>
  <c r="N186" i="40"/>
  <c r="M186" i="40"/>
  <c r="L186" i="40"/>
  <c r="K186" i="40"/>
  <c r="J186" i="40"/>
  <c r="I186" i="40"/>
  <c r="H186" i="40"/>
  <c r="G186" i="40"/>
  <c r="F186" i="40"/>
  <c r="AJ185" i="40"/>
  <c r="AI185" i="40"/>
  <c r="AH185" i="40"/>
  <c r="AG185" i="40"/>
  <c r="AF185" i="40"/>
  <c r="AE185" i="40"/>
  <c r="AD185" i="40"/>
  <c r="AC185" i="40"/>
  <c r="AB185" i="40"/>
  <c r="AA185" i="40"/>
  <c r="P185" i="40"/>
  <c r="O185" i="40"/>
  <c r="N185" i="40"/>
  <c r="M185" i="40"/>
  <c r="L185" i="40"/>
  <c r="K185" i="40"/>
  <c r="J185" i="40"/>
  <c r="I185" i="40"/>
  <c r="H185" i="40"/>
  <c r="G185" i="40"/>
  <c r="F185" i="40"/>
  <c r="AJ184" i="40"/>
  <c r="AI184" i="40"/>
  <c r="AH184" i="40"/>
  <c r="AG184" i="40"/>
  <c r="AF184" i="40"/>
  <c r="AE184" i="40"/>
  <c r="AD184" i="40"/>
  <c r="AC184" i="40"/>
  <c r="AB184" i="40"/>
  <c r="AA184" i="40"/>
  <c r="P184" i="40"/>
  <c r="O184" i="40"/>
  <c r="N184" i="40"/>
  <c r="M184" i="40"/>
  <c r="L184" i="40"/>
  <c r="K184" i="40"/>
  <c r="J184" i="40"/>
  <c r="I184" i="40"/>
  <c r="H184" i="40"/>
  <c r="G184" i="40"/>
  <c r="F184" i="40"/>
  <c r="AJ183" i="40"/>
  <c r="AI183" i="40"/>
  <c r="AH183" i="40"/>
  <c r="AG183" i="40"/>
  <c r="AF183" i="40"/>
  <c r="AE183" i="40"/>
  <c r="AD183" i="40"/>
  <c r="AC183" i="40"/>
  <c r="AB183" i="40"/>
  <c r="AA183" i="40"/>
  <c r="P183" i="40"/>
  <c r="O183" i="40"/>
  <c r="N183" i="40"/>
  <c r="M183" i="40"/>
  <c r="L183" i="40"/>
  <c r="K183" i="40"/>
  <c r="J183" i="40"/>
  <c r="I183" i="40"/>
  <c r="H183" i="40"/>
  <c r="G183" i="40"/>
  <c r="F183" i="40"/>
  <c r="AJ182" i="40"/>
  <c r="AI182" i="40"/>
  <c r="AH182" i="40"/>
  <c r="AG182" i="40"/>
  <c r="AF182" i="40"/>
  <c r="AE182" i="40"/>
  <c r="AD182" i="40"/>
  <c r="AC182" i="40"/>
  <c r="AB182" i="40"/>
  <c r="AA182" i="40"/>
  <c r="P182" i="40"/>
  <c r="O182" i="40"/>
  <c r="N182" i="40"/>
  <c r="M182" i="40"/>
  <c r="L182" i="40"/>
  <c r="K182" i="40"/>
  <c r="J182" i="40"/>
  <c r="I182" i="40"/>
  <c r="H182" i="40"/>
  <c r="G182" i="40"/>
  <c r="F182" i="40"/>
  <c r="AJ181" i="40"/>
  <c r="AI181" i="40"/>
  <c r="AH181" i="40"/>
  <c r="AG181" i="40"/>
  <c r="AF181" i="40"/>
  <c r="AE181" i="40"/>
  <c r="AD181" i="40"/>
  <c r="AC181" i="40"/>
  <c r="AB181" i="40"/>
  <c r="AA181" i="40"/>
  <c r="P181" i="40"/>
  <c r="O181" i="40"/>
  <c r="N181" i="40"/>
  <c r="M181" i="40"/>
  <c r="L181" i="40"/>
  <c r="K181" i="40"/>
  <c r="J181" i="40"/>
  <c r="I181" i="40"/>
  <c r="H181" i="40"/>
  <c r="G181" i="40"/>
  <c r="F181" i="40"/>
  <c r="AJ180" i="40"/>
  <c r="AI180" i="40"/>
  <c r="AH180" i="40"/>
  <c r="AG180" i="40"/>
  <c r="AF180" i="40"/>
  <c r="AE180" i="40"/>
  <c r="AD180" i="40"/>
  <c r="AC180" i="40"/>
  <c r="AB180" i="40"/>
  <c r="AA180" i="40"/>
  <c r="P180" i="40"/>
  <c r="O180" i="40"/>
  <c r="N180" i="40"/>
  <c r="M180" i="40"/>
  <c r="L180" i="40"/>
  <c r="K180" i="40"/>
  <c r="J180" i="40"/>
  <c r="I180" i="40"/>
  <c r="H180" i="40"/>
  <c r="G180" i="40"/>
  <c r="F180" i="40"/>
  <c r="AJ179" i="40"/>
  <c r="AI179" i="40"/>
  <c r="AH179" i="40"/>
  <c r="AG179" i="40"/>
  <c r="AF179" i="40"/>
  <c r="AE179" i="40"/>
  <c r="AD179" i="40"/>
  <c r="AC179" i="40"/>
  <c r="AB179" i="40"/>
  <c r="AA179" i="40"/>
  <c r="P179" i="40"/>
  <c r="O179" i="40"/>
  <c r="N179" i="40"/>
  <c r="M179" i="40"/>
  <c r="L179" i="40"/>
  <c r="K179" i="40"/>
  <c r="J179" i="40"/>
  <c r="I179" i="40"/>
  <c r="H179" i="40"/>
  <c r="G179" i="40"/>
  <c r="F179" i="40"/>
  <c r="AJ178" i="40"/>
  <c r="AI178" i="40"/>
  <c r="AH178" i="40"/>
  <c r="AG178" i="40"/>
  <c r="AF178" i="40"/>
  <c r="AE178" i="40"/>
  <c r="AD178" i="40"/>
  <c r="AC178" i="40"/>
  <c r="AB178" i="40"/>
  <c r="AA178" i="40"/>
  <c r="P178" i="40"/>
  <c r="O178" i="40"/>
  <c r="N178" i="40"/>
  <c r="M178" i="40"/>
  <c r="L178" i="40"/>
  <c r="K178" i="40"/>
  <c r="J178" i="40"/>
  <c r="I178" i="40"/>
  <c r="H178" i="40"/>
  <c r="G178" i="40"/>
  <c r="F178" i="40"/>
  <c r="AJ177" i="40"/>
  <c r="AI177" i="40"/>
  <c r="AH177" i="40"/>
  <c r="AG177" i="40"/>
  <c r="AF177" i="40"/>
  <c r="AE177" i="40"/>
  <c r="AD177" i="40"/>
  <c r="AC177" i="40"/>
  <c r="AB177" i="40"/>
  <c r="AA177" i="40"/>
  <c r="P177" i="40"/>
  <c r="O177" i="40"/>
  <c r="N177" i="40"/>
  <c r="M177" i="40"/>
  <c r="L177" i="40"/>
  <c r="K177" i="40"/>
  <c r="J177" i="40"/>
  <c r="I177" i="40"/>
  <c r="H177" i="40"/>
  <c r="G177" i="40"/>
  <c r="F177" i="40"/>
  <c r="AJ176" i="40"/>
  <c r="AI176" i="40"/>
  <c r="AH176" i="40"/>
  <c r="AG176" i="40"/>
  <c r="AF176" i="40"/>
  <c r="AE176" i="40"/>
  <c r="AD176" i="40"/>
  <c r="AC176" i="40"/>
  <c r="AB176" i="40"/>
  <c r="AA176" i="40"/>
  <c r="P176" i="40"/>
  <c r="O176" i="40"/>
  <c r="N176" i="40"/>
  <c r="M176" i="40"/>
  <c r="L176" i="40"/>
  <c r="K176" i="40"/>
  <c r="J176" i="40"/>
  <c r="I176" i="40"/>
  <c r="H176" i="40"/>
  <c r="G176" i="40"/>
  <c r="F176" i="40"/>
  <c r="AJ175" i="40"/>
  <c r="AI175" i="40"/>
  <c r="AH175" i="40"/>
  <c r="AG175" i="40"/>
  <c r="AF175" i="40"/>
  <c r="AE175" i="40"/>
  <c r="AD175" i="40"/>
  <c r="AC175" i="40"/>
  <c r="AB175" i="40"/>
  <c r="AA175" i="40"/>
  <c r="P175" i="40"/>
  <c r="O175" i="40"/>
  <c r="N175" i="40"/>
  <c r="M175" i="40"/>
  <c r="L175" i="40"/>
  <c r="K175" i="40"/>
  <c r="J175" i="40"/>
  <c r="I175" i="40"/>
  <c r="H175" i="40"/>
  <c r="G175" i="40"/>
  <c r="F175" i="40"/>
  <c r="AJ174" i="40"/>
  <c r="AI174" i="40"/>
  <c r="AH174" i="40"/>
  <c r="AG174" i="40"/>
  <c r="AF174" i="40"/>
  <c r="AE174" i="40"/>
  <c r="AD174" i="40"/>
  <c r="AC174" i="40"/>
  <c r="AB174" i="40"/>
  <c r="AA174" i="40"/>
  <c r="P174" i="40"/>
  <c r="O174" i="40"/>
  <c r="N174" i="40"/>
  <c r="M174" i="40"/>
  <c r="L174" i="40"/>
  <c r="K174" i="40"/>
  <c r="J174" i="40"/>
  <c r="I174" i="40"/>
  <c r="H174" i="40"/>
  <c r="G174" i="40"/>
  <c r="F174" i="40"/>
  <c r="AJ173" i="40"/>
  <c r="AI173" i="40"/>
  <c r="AH173" i="40"/>
  <c r="AG173" i="40"/>
  <c r="AF173" i="40"/>
  <c r="AE173" i="40"/>
  <c r="AD173" i="40"/>
  <c r="AC173" i="40"/>
  <c r="AB173" i="40"/>
  <c r="AA173" i="40"/>
  <c r="P173" i="40"/>
  <c r="O173" i="40"/>
  <c r="N173" i="40"/>
  <c r="M173" i="40"/>
  <c r="L173" i="40"/>
  <c r="K173" i="40"/>
  <c r="J173" i="40"/>
  <c r="I173" i="40"/>
  <c r="H173" i="40"/>
  <c r="G173" i="40"/>
  <c r="F173" i="40"/>
  <c r="AJ172" i="40"/>
  <c r="AI172" i="40"/>
  <c r="AH172" i="40"/>
  <c r="AG172" i="40"/>
  <c r="AF172" i="40"/>
  <c r="AE172" i="40"/>
  <c r="AD172" i="40"/>
  <c r="AC172" i="40"/>
  <c r="AB172" i="40"/>
  <c r="AA172" i="40"/>
  <c r="P172" i="40"/>
  <c r="O172" i="40"/>
  <c r="N172" i="40"/>
  <c r="M172" i="40"/>
  <c r="L172" i="40"/>
  <c r="K172" i="40"/>
  <c r="J172" i="40"/>
  <c r="I172" i="40"/>
  <c r="H172" i="40"/>
  <c r="G172" i="40"/>
  <c r="F172" i="40"/>
  <c r="AJ171" i="40"/>
  <c r="AI171" i="40"/>
  <c r="AH171" i="40"/>
  <c r="AG171" i="40"/>
  <c r="AF171" i="40"/>
  <c r="AE171" i="40"/>
  <c r="AD171" i="40"/>
  <c r="AC171" i="40"/>
  <c r="AB171" i="40"/>
  <c r="AA171" i="40"/>
  <c r="P171" i="40"/>
  <c r="O171" i="40"/>
  <c r="N171" i="40"/>
  <c r="M171" i="40"/>
  <c r="L171" i="40"/>
  <c r="K171" i="40"/>
  <c r="J171" i="40"/>
  <c r="I171" i="40"/>
  <c r="H171" i="40"/>
  <c r="G171" i="40"/>
  <c r="F171" i="40"/>
  <c r="AJ170" i="40"/>
  <c r="AI170" i="40"/>
  <c r="AH170" i="40"/>
  <c r="AG170" i="40"/>
  <c r="AF170" i="40"/>
  <c r="AE170" i="40"/>
  <c r="AD170" i="40"/>
  <c r="AC170" i="40"/>
  <c r="AB170" i="40"/>
  <c r="AA170" i="40"/>
  <c r="P170" i="40"/>
  <c r="O170" i="40"/>
  <c r="N170" i="40"/>
  <c r="M170" i="40"/>
  <c r="L170" i="40"/>
  <c r="K170" i="40"/>
  <c r="J170" i="40"/>
  <c r="I170" i="40"/>
  <c r="H170" i="40"/>
  <c r="G170" i="40"/>
  <c r="F170" i="40"/>
  <c r="AJ169" i="40"/>
  <c r="AI169" i="40"/>
  <c r="AH169" i="40"/>
  <c r="AG169" i="40"/>
  <c r="AF169" i="40"/>
  <c r="AE169" i="40"/>
  <c r="AD169" i="40"/>
  <c r="AC169" i="40"/>
  <c r="AB169" i="40"/>
  <c r="AA169" i="40"/>
  <c r="P169" i="40"/>
  <c r="O169" i="40"/>
  <c r="N169" i="40"/>
  <c r="M169" i="40"/>
  <c r="L169" i="40"/>
  <c r="K169" i="40"/>
  <c r="J169" i="40"/>
  <c r="I169" i="40"/>
  <c r="H169" i="40"/>
  <c r="G169" i="40"/>
  <c r="F169" i="40"/>
  <c r="AJ168" i="40"/>
  <c r="AI168" i="40"/>
  <c r="AH168" i="40"/>
  <c r="AG168" i="40"/>
  <c r="AF168" i="40"/>
  <c r="AE168" i="40"/>
  <c r="AD168" i="40"/>
  <c r="AC168" i="40"/>
  <c r="AB168" i="40"/>
  <c r="AA168" i="40"/>
  <c r="P168" i="40"/>
  <c r="O168" i="40"/>
  <c r="N168" i="40"/>
  <c r="M168" i="40"/>
  <c r="L168" i="40"/>
  <c r="K168" i="40"/>
  <c r="J168" i="40"/>
  <c r="I168" i="40"/>
  <c r="H168" i="40"/>
  <c r="G168" i="40"/>
  <c r="F168" i="40"/>
  <c r="AJ167" i="40"/>
  <c r="AI167" i="40"/>
  <c r="AH167" i="40"/>
  <c r="AG167" i="40"/>
  <c r="AF167" i="40"/>
  <c r="AE167" i="40"/>
  <c r="AD167" i="40"/>
  <c r="AC167" i="40"/>
  <c r="AB167" i="40"/>
  <c r="AA167" i="40"/>
  <c r="P167" i="40"/>
  <c r="O167" i="40"/>
  <c r="N167" i="40"/>
  <c r="M167" i="40"/>
  <c r="L167" i="40"/>
  <c r="K167" i="40"/>
  <c r="J167" i="40"/>
  <c r="I167" i="40"/>
  <c r="H167" i="40"/>
  <c r="G167" i="40"/>
  <c r="F167" i="40"/>
  <c r="AJ166" i="40"/>
  <c r="AI166" i="40"/>
  <c r="AH166" i="40"/>
  <c r="AG166" i="40"/>
  <c r="AF166" i="40"/>
  <c r="AE166" i="40"/>
  <c r="AD166" i="40"/>
  <c r="AC166" i="40"/>
  <c r="AB166" i="40"/>
  <c r="AA166" i="40"/>
  <c r="P166" i="40"/>
  <c r="O166" i="40"/>
  <c r="N166" i="40"/>
  <c r="M166" i="40"/>
  <c r="L166" i="40"/>
  <c r="K166" i="40"/>
  <c r="J166" i="40"/>
  <c r="I166" i="40"/>
  <c r="H166" i="40"/>
  <c r="G166" i="40"/>
  <c r="F166" i="40"/>
  <c r="AJ165" i="40"/>
  <c r="AI165" i="40"/>
  <c r="AH165" i="40"/>
  <c r="AG165" i="40"/>
  <c r="AF165" i="40"/>
  <c r="AE165" i="40"/>
  <c r="AD165" i="40"/>
  <c r="AC165" i="40"/>
  <c r="AB165" i="40"/>
  <c r="AA165" i="40"/>
  <c r="P165" i="40"/>
  <c r="O165" i="40"/>
  <c r="N165" i="40"/>
  <c r="M165" i="40"/>
  <c r="L165" i="40"/>
  <c r="K165" i="40"/>
  <c r="J165" i="40"/>
  <c r="I165" i="40"/>
  <c r="H165" i="40"/>
  <c r="G165" i="40"/>
  <c r="F165" i="40"/>
  <c r="AJ164" i="40"/>
  <c r="AI164" i="40"/>
  <c r="AH164" i="40"/>
  <c r="AG164" i="40"/>
  <c r="AF164" i="40"/>
  <c r="AE164" i="40"/>
  <c r="AD164" i="40"/>
  <c r="AC164" i="40"/>
  <c r="AB164" i="40"/>
  <c r="AA164" i="40"/>
  <c r="P164" i="40"/>
  <c r="O164" i="40"/>
  <c r="N164" i="40"/>
  <c r="M164" i="40"/>
  <c r="L164" i="40"/>
  <c r="K164" i="40"/>
  <c r="J164" i="40"/>
  <c r="I164" i="40"/>
  <c r="H164" i="40"/>
  <c r="G164" i="40"/>
  <c r="F164" i="40"/>
  <c r="AJ163" i="40"/>
  <c r="AI163" i="40"/>
  <c r="AH163" i="40"/>
  <c r="AG163" i="40"/>
  <c r="AF163" i="40"/>
  <c r="AE163" i="40"/>
  <c r="AD163" i="40"/>
  <c r="AC163" i="40"/>
  <c r="AB163" i="40"/>
  <c r="AA163" i="40"/>
  <c r="P163" i="40"/>
  <c r="O163" i="40"/>
  <c r="N163" i="40"/>
  <c r="M163" i="40"/>
  <c r="L163" i="40"/>
  <c r="K163" i="40"/>
  <c r="J163" i="40"/>
  <c r="I163" i="40"/>
  <c r="H163" i="40"/>
  <c r="G163" i="40"/>
  <c r="F163" i="40"/>
  <c r="AJ162" i="40"/>
  <c r="AI162" i="40"/>
  <c r="AH162" i="40"/>
  <c r="AG162" i="40"/>
  <c r="AF162" i="40"/>
  <c r="AE162" i="40"/>
  <c r="AD162" i="40"/>
  <c r="AC162" i="40"/>
  <c r="AB162" i="40"/>
  <c r="AA162" i="40"/>
  <c r="P162" i="40"/>
  <c r="O162" i="40"/>
  <c r="N162" i="40"/>
  <c r="M162" i="40"/>
  <c r="L162" i="40"/>
  <c r="K162" i="40"/>
  <c r="J162" i="40"/>
  <c r="I162" i="40"/>
  <c r="H162" i="40"/>
  <c r="G162" i="40"/>
  <c r="F162" i="40"/>
  <c r="AJ161" i="40"/>
  <c r="AI161" i="40"/>
  <c r="AH161" i="40"/>
  <c r="AG161" i="40"/>
  <c r="AF161" i="40"/>
  <c r="AE161" i="40"/>
  <c r="AD161" i="40"/>
  <c r="AC161" i="40"/>
  <c r="AB161" i="40"/>
  <c r="AA161" i="40"/>
  <c r="P161" i="40"/>
  <c r="O161" i="40"/>
  <c r="N161" i="40"/>
  <c r="M161" i="40"/>
  <c r="L161" i="40"/>
  <c r="K161" i="40"/>
  <c r="J161" i="40"/>
  <c r="I161" i="40"/>
  <c r="H161" i="40"/>
  <c r="G161" i="40"/>
  <c r="F161" i="40"/>
  <c r="AJ160" i="40"/>
  <c r="AI160" i="40"/>
  <c r="AH160" i="40"/>
  <c r="AG160" i="40"/>
  <c r="AF160" i="40"/>
  <c r="AE160" i="40"/>
  <c r="AD160" i="40"/>
  <c r="AC160" i="40"/>
  <c r="AB160" i="40"/>
  <c r="AA160" i="40"/>
  <c r="P160" i="40"/>
  <c r="O160" i="40"/>
  <c r="N160" i="40"/>
  <c r="M160" i="40"/>
  <c r="L160" i="40"/>
  <c r="K160" i="40"/>
  <c r="J160" i="40"/>
  <c r="I160" i="40"/>
  <c r="H160" i="40"/>
  <c r="G160" i="40"/>
  <c r="F160" i="40"/>
  <c r="AJ159" i="40"/>
  <c r="AI159" i="40"/>
  <c r="AH159" i="40"/>
  <c r="AG159" i="40"/>
  <c r="AF159" i="40"/>
  <c r="AE159" i="40"/>
  <c r="AD159" i="40"/>
  <c r="AC159" i="40"/>
  <c r="AB159" i="40"/>
  <c r="AA159" i="40"/>
  <c r="P159" i="40"/>
  <c r="O159" i="40"/>
  <c r="N159" i="40"/>
  <c r="M159" i="40"/>
  <c r="L159" i="40"/>
  <c r="K159" i="40"/>
  <c r="J159" i="40"/>
  <c r="I159" i="40"/>
  <c r="H159" i="40"/>
  <c r="G159" i="40"/>
  <c r="F159" i="40"/>
  <c r="AJ158" i="40"/>
  <c r="AI158" i="40"/>
  <c r="AH158" i="40"/>
  <c r="AG158" i="40"/>
  <c r="AF158" i="40"/>
  <c r="AE158" i="40"/>
  <c r="AD158" i="40"/>
  <c r="AC158" i="40"/>
  <c r="AB158" i="40"/>
  <c r="AA158" i="40"/>
  <c r="P158" i="40"/>
  <c r="O158" i="40"/>
  <c r="N158" i="40"/>
  <c r="M158" i="40"/>
  <c r="L158" i="40"/>
  <c r="K158" i="40"/>
  <c r="J158" i="40"/>
  <c r="I158" i="40"/>
  <c r="H158" i="40"/>
  <c r="G158" i="40"/>
  <c r="F158" i="40"/>
  <c r="AJ157" i="40"/>
  <c r="AI157" i="40"/>
  <c r="AH157" i="40"/>
  <c r="AG157" i="40"/>
  <c r="AF157" i="40"/>
  <c r="AE157" i="40"/>
  <c r="AD157" i="40"/>
  <c r="AC157" i="40"/>
  <c r="AB157" i="40"/>
  <c r="AA157" i="40"/>
  <c r="P157" i="40"/>
  <c r="O157" i="40"/>
  <c r="N157" i="40"/>
  <c r="M157" i="40"/>
  <c r="L157" i="40"/>
  <c r="K157" i="40"/>
  <c r="J157" i="40"/>
  <c r="I157" i="40"/>
  <c r="H157" i="40"/>
  <c r="G157" i="40"/>
  <c r="F157" i="40"/>
  <c r="AJ156" i="40"/>
  <c r="AI156" i="40"/>
  <c r="AH156" i="40"/>
  <c r="AG156" i="40"/>
  <c r="AF156" i="40"/>
  <c r="AE156" i="40"/>
  <c r="AD156" i="40"/>
  <c r="AC156" i="40"/>
  <c r="AB156" i="40"/>
  <c r="AA156" i="40"/>
  <c r="P156" i="40"/>
  <c r="O156" i="40"/>
  <c r="N156" i="40"/>
  <c r="M156" i="40"/>
  <c r="L156" i="40"/>
  <c r="K156" i="40"/>
  <c r="J156" i="40"/>
  <c r="I156" i="40"/>
  <c r="H156" i="40"/>
  <c r="G156" i="40"/>
  <c r="F156" i="40"/>
  <c r="AJ155" i="40"/>
  <c r="AI155" i="40"/>
  <c r="AH155" i="40"/>
  <c r="AG155" i="40"/>
  <c r="AF155" i="40"/>
  <c r="AE155" i="40"/>
  <c r="AD155" i="40"/>
  <c r="AC155" i="40"/>
  <c r="AB155" i="40"/>
  <c r="AA155" i="40"/>
  <c r="P155" i="40"/>
  <c r="O155" i="40"/>
  <c r="N155" i="40"/>
  <c r="M155" i="40"/>
  <c r="L155" i="40"/>
  <c r="K155" i="40"/>
  <c r="J155" i="40"/>
  <c r="I155" i="40"/>
  <c r="H155" i="40"/>
  <c r="G155" i="40"/>
  <c r="F155" i="40"/>
  <c r="AJ154" i="40"/>
  <c r="AI154" i="40"/>
  <c r="AH154" i="40"/>
  <c r="AG154" i="40"/>
  <c r="AF154" i="40"/>
  <c r="AE154" i="40"/>
  <c r="AD154" i="40"/>
  <c r="AC154" i="40"/>
  <c r="AB154" i="40"/>
  <c r="AA154" i="40"/>
  <c r="P154" i="40"/>
  <c r="O154" i="40"/>
  <c r="N154" i="40"/>
  <c r="M154" i="40"/>
  <c r="L154" i="40"/>
  <c r="K154" i="40"/>
  <c r="J154" i="40"/>
  <c r="I154" i="40"/>
  <c r="H154" i="40"/>
  <c r="G154" i="40"/>
  <c r="F154" i="40"/>
  <c r="AJ153" i="40"/>
  <c r="AI153" i="40"/>
  <c r="AH153" i="40"/>
  <c r="AG153" i="40"/>
  <c r="AF153" i="40"/>
  <c r="AE153" i="40"/>
  <c r="AD153" i="40"/>
  <c r="AC153" i="40"/>
  <c r="AB153" i="40"/>
  <c r="AA153" i="40"/>
  <c r="P153" i="40"/>
  <c r="O153" i="40"/>
  <c r="N153" i="40"/>
  <c r="M153" i="40"/>
  <c r="L153" i="40"/>
  <c r="K153" i="40"/>
  <c r="J153" i="40"/>
  <c r="I153" i="40"/>
  <c r="H153" i="40"/>
  <c r="G153" i="40"/>
  <c r="F153" i="40"/>
  <c r="AJ152" i="40"/>
  <c r="AI152" i="40"/>
  <c r="AH152" i="40"/>
  <c r="AG152" i="40"/>
  <c r="AF152" i="40"/>
  <c r="AE152" i="40"/>
  <c r="AD152" i="40"/>
  <c r="AC152" i="40"/>
  <c r="AB152" i="40"/>
  <c r="AA152" i="40"/>
  <c r="P152" i="40"/>
  <c r="O152" i="40"/>
  <c r="N152" i="40"/>
  <c r="M152" i="40"/>
  <c r="L152" i="40"/>
  <c r="K152" i="40"/>
  <c r="J152" i="40"/>
  <c r="I152" i="40"/>
  <c r="H152" i="40"/>
  <c r="G152" i="40"/>
  <c r="F152" i="40"/>
  <c r="AJ151" i="40"/>
  <c r="AI151" i="40"/>
  <c r="AH151" i="40"/>
  <c r="AG151" i="40"/>
  <c r="AF151" i="40"/>
  <c r="AE151" i="40"/>
  <c r="AD151" i="40"/>
  <c r="AC151" i="40"/>
  <c r="AB151" i="40"/>
  <c r="AA151" i="40"/>
  <c r="P151" i="40"/>
  <c r="O151" i="40"/>
  <c r="N151" i="40"/>
  <c r="M151" i="40"/>
  <c r="L151" i="40"/>
  <c r="K151" i="40"/>
  <c r="J151" i="40"/>
  <c r="I151" i="40"/>
  <c r="H151" i="40"/>
  <c r="G151" i="40"/>
  <c r="F151" i="40"/>
  <c r="AJ150" i="40"/>
  <c r="AI150" i="40"/>
  <c r="AH150" i="40"/>
  <c r="AG150" i="40"/>
  <c r="AF150" i="40"/>
  <c r="AE150" i="40"/>
  <c r="AD150" i="40"/>
  <c r="AC150" i="40"/>
  <c r="AB150" i="40"/>
  <c r="AA150" i="40"/>
  <c r="P150" i="40"/>
  <c r="O150" i="40"/>
  <c r="N150" i="40"/>
  <c r="M150" i="40"/>
  <c r="L150" i="40"/>
  <c r="K150" i="40"/>
  <c r="J150" i="40"/>
  <c r="I150" i="40"/>
  <c r="H150" i="40"/>
  <c r="G150" i="40"/>
  <c r="F150" i="40"/>
  <c r="AJ149" i="40"/>
  <c r="AI149" i="40"/>
  <c r="AH149" i="40"/>
  <c r="AG149" i="40"/>
  <c r="AF149" i="40"/>
  <c r="AE149" i="40"/>
  <c r="AD149" i="40"/>
  <c r="AC149" i="40"/>
  <c r="AB149" i="40"/>
  <c r="AA149" i="40"/>
  <c r="P149" i="40"/>
  <c r="O149" i="40"/>
  <c r="N149" i="40"/>
  <c r="M149" i="40"/>
  <c r="L149" i="40"/>
  <c r="K149" i="40"/>
  <c r="J149" i="40"/>
  <c r="I149" i="40"/>
  <c r="H149" i="40"/>
  <c r="G149" i="40"/>
  <c r="F149" i="40"/>
  <c r="AJ148" i="40"/>
  <c r="AI148" i="40"/>
  <c r="AH148" i="40"/>
  <c r="AG148" i="40"/>
  <c r="AF148" i="40"/>
  <c r="AE148" i="40"/>
  <c r="AD148" i="40"/>
  <c r="AC148" i="40"/>
  <c r="AB148" i="40"/>
  <c r="AA148" i="40"/>
  <c r="P148" i="40"/>
  <c r="O148" i="40"/>
  <c r="N148" i="40"/>
  <c r="M148" i="40"/>
  <c r="L148" i="40"/>
  <c r="K148" i="40"/>
  <c r="J148" i="40"/>
  <c r="I148" i="40"/>
  <c r="H148" i="40"/>
  <c r="G148" i="40"/>
  <c r="F148" i="40"/>
  <c r="AJ147" i="40"/>
  <c r="AI147" i="40"/>
  <c r="AH147" i="40"/>
  <c r="AG147" i="40"/>
  <c r="AF147" i="40"/>
  <c r="AE147" i="40"/>
  <c r="AD147" i="40"/>
  <c r="AC147" i="40"/>
  <c r="AB147" i="40"/>
  <c r="AA147" i="40"/>
  <c r="P147" i="40"/>
  <c r="O147" i="40"/>
  <c r="N147" i="40"/>
  <c r="M147" i="40"/>
  <c r="L147" i="40"/>
  <c r="K147" i="40"/>
  <c r="J147" i="40"/>
  <c r="I147" i="40"/>
  <c r="H147" i="40"/>
  <c r="G147" i="40"/>
  <c r="F147" i="40"/>
  <c r="AJ146" i="40"/>
  <c r="AI146" i="40"/>
  <c r="AH146" i="40"/>
  <c r="AG146" i="40"/>
  <c r="AF146" i="40"/>
  <c r="AE146" i="40"/>
  <c r="AD146" i="40"/>
  <c r="AC146" i="40"/>
  <c r="AB146" i="40"/>
  <c r="AA146" i="40"/>
  <c r="P146" i="40"/>
  <c r="O146" i="40"/>
  <c r="N146" i="40"/>
  <c r="M146" i="40"/>
  <c r="L146" i="40"/>
  <c r="K146" i="40"/>
  <c r="J146" i="40"/>
  <c r="I146" i="40"/>
  <c r="H146" i="40"/>
  <c r="G146" i="40"/>
  <c r="F146" i="40"/>
  <c r="AJ145" i="40"/>
  <c r="AI145" i="40"/>
  <c r="AH145" i="40"/>
  <c r="AG145" i="40"/>
  <c r="AF145" i="40"/>
  <c r="AE145" i="40"/>
  <c r="AD145" i="40"/>
  <c r="AC145" i="40"/>
  <c r="AB145" i="40"/>
  <c r="AA145" i="40"/>
  <c r="P145" i="40"/>
  <c r="O145" i="40"/>
  <c r="N145" i="40"/>
  <c r="M145" i="40"/>
  <c r="L145" i="40"/>
  <c r="K145" i="40"/>
  <c r="J145" i="40"/>
  <c r="I145" i="40"/>
  <c r="H145" i="40"/>
  <c r="G145" i="40"/>
  <c r="F145" i="40"/>
  <c r="AJ144" i="40"/>
  <c r="AI144" i="40"/>
  <c r="AH144" i="40"/>
  <c r="AG144" i="40"/>
  <c r="AF144" i="40"/>
  <c r="AE144" i="40"/>
  <c r="AD144" i="40"/>
  <c r="AC144" i="40"/>
  <c r="AB144" i="40"/>
  <c r="AA144" i="40"/>
  <c r="P144" i="40"/>
  <c r="O144" i="40"/>
  <c r="N144" i="40"/>
  <c r="M144" i="40"/>
  <c r="L144" i="40"/>
  <c r="K144" i="40"/>
  <c r="J144" i="40"/>
  <c r="I144" i="40"/>
  <c r="H144" i="40"/>
  <c r="G144" i="40"/>
  <c r="F144" i="40"/>
  <c r="AJ143" i="40"/>
  <c r="AI143" i="40"/>
  <c r="AH143" i="40"/>
  <c r="AG143" i="40"/>
  <c r="AF143" i="40"/>
  <c r="AE143" i="40"/>
  <c r="AD143" i="40"/>
  <c r="AC143" i="40"/>
  <c r="AB143" i="40"/>
  <c r="AA143" i="40"/>
  <c r="P143" i="40"/>
  <c r="O143" i="40"/>
  <c r="N143" i="40"/>
  <c r="M143" i="40"/>
  <c r="L143" i="40"/>
  <c r="K143" i="40"/>
  <c r="J143" i="40"/>
  <c r="I143" i="40"/>
  <c r="H143" i="40"/>
  <c r="G143" i="40"/>
  <c r="F143" i="40"/>
  <c r="AJ142" i="40"/>
  <c r="AI142" i="40"/>
  <c r="AH142" i="40"/>
  <c r="AG142" i="40"/>
  <c r="AF142" i="40"/>
  <c r="AE142" i="40"/>
  <c r="AD142" i="40"/>
  <c r="AC142" i="40"/>
  <c r="AB142" i="40"/>
  <c r="AA142" i="40"/>
  <c r="P142" i="40"/>
  <c r="O142" i="40"/>
  <c r="N142" i="40"/>
  <c r="M142" i="40"/>
  <c r="L142" i="40"/>
  <c r="K142" i="40"/>
  <c r="J142" i="40"/>
  <c r="I142" i="40"/>
  <c r="H142" i="40"/>
  <c r="G142" i="40"/>
  <c r="F142" i="40"/>
  <c r="AJ141" i="40"/>
  <c r="AI141" i="40"/>
  <c r="AH141" i="40"/>
  <c r="AG141" i="40"/>
  <c r="AF141" i="40"/>
  <c r="AE141" i="40"/>
  <c r="AD141" i="40"/>
  <c r="AC141" i="40"/>
  <c r="AB141" i="40"/>
  <c r="AA141" i="40"/>
  <c r="P141" i="40"/>
  <c r="O141" i="40"/>
  <c r="N141" i="40"/>
  <c r="M141" i="40"/>
  <c r="L141" i="40"/>
  <c r="K141" i="40"/>
  <c r="J141" i="40"/>
  <c r="I141" i="40"/>
  <c r="H141" i="40"/>
  <c r="G141" i="40"/>
  <c r="F141" i="40"/>
  <c r="AJ140" i="40"/>
  <c r="AI140" i="40"/>
  <c r="AH140" i="40"/>
  <c r="AG140" i="40"/>
  <c r="AF140" i="40"/>
  <c r="AE140" i="40"/>
  <c r="AD140" i="40"/>
  <c r="AC140" i="40"/>
  <c r="AB140" i="40"/>
  <c r="AA140" i="40"/>
  <c r="P140" i="40"/>
  <c r="O140" i="40"/>
  <c r="N140" i="40"/>
  <c r="M140" i="40"/>
  <c r="L140" i="40"/>
  <c r="K140" i="40"/>
  <c r="J140" i="40"/>
  <c r="I140" i="40"/>
  <c r="H140" i="40"/>
  <c r="G140" i="40"/>
  <c r="F140" i="40"/>
  <c r="AJ139" i="40"/>
  <c r="AI139" i="40"/>
  <c r="AH139" i="40"/>
  <c r="AG139" i="40"/>
  <c r="AF139" i="40"/>
  <c r="AE139" i="40"/>
  <c r="AD139" i="40"/>
  <c r="AC139" i="40"/>
  <c r="AB139" i="40"/>
  <c r="AA139" i="40"/>
  <c r="P139" i="40"/>
  <c r="O139" i="40"/>
  <c r="N139" i="40"/>
  <c r="M139" i="40"/>
  <c r="L139" i="40"/>
  <c r="K139" i="40"/>
  <c r="J139" i="40"/>
  <c r="I139" i="40"/>
  <c r="H139" i="40"/>
  <c r="G139" i="40"/>
  <c r="F139" i="40"/>
  <c r="AJ138" i="40"/>
  <c r="AI138" i="40"/>
  <c r="AH138" i="40"/>
  <c r="AG138" i="40"/>
  <c r="AF138" i="40"/>
  <c r="AE138" i="40"/>
  <c r="AD138" i="40"/>
  <c r="AC138" i="40"/>
  <c r="AB138" i="40"/>
  <c r="AA138" i="40"/>
  <c r="P138" i="40"/>
  <c r="O138" i="40"/>
  <c r="N138" i="40"/>
  <c r="M138" i="40"/>
  <c r="L138" i="40"/>
  <c r="K138" i="40"/>
  <c r="J138" i="40"/>
  <c r="I138" i="40"/>
  <c r="H138" i="40"/>
  <c r="G138" i="40"/>
  <c r="F138" i="40"/>
  <c r="AJ137" i="40"/>
  <c r="AI137" i="40"/>
  <c r="AH137" i="40"/>
  <c r="AG137" i="40"/>
  <c r="AF137" i="40"/>
  <c r="AE137" i="40"/>
  <c r="AD137" i="40"/>
  <c r="AC137" i="40"/>
  <c r="AB137" i="40"/>
  <c r="AA137" i="40"/>
  <c r="P137" i="40"/>
  <c r="O137" i="40"/>
  <c r="N137" i="40"/>
  <c r="M137" i="40"/>
  <c r="L137" i="40"/>
  <c r="K137" i="40"/>
  <c r="J137" i="40"/>
  <c r="I137" i="40"/>
  <c r="H137" i="40"/>
  <c r="G137" i="40"/>
  <c r="F137" i="40"/>
  <c r="AJ136" i="40"/>
  <c r="AI136" i="40"/>
  <c r="AH136" i="40"/>
  <c r="AG136" i="40"/>
  <c r="AF136" i="40"/>
  <c r="AE136" i="40"/>
  <c r="AD136" i="40"/>
  <c r="AC136" i="40"/>
  <c r="AB136" i="40"/>
  <c r="AA136" i="40"/>
  <c r="P136" i="40"/>
  <c r="O136" i="40"/>
  <c r="N136" i="40"/>
  <c r="M136" i="40"/>
  <c r="L136" i="40"/>
  <c r="K136" i="40"/>
  <c r="J136" i="40"/>
  <c r="I136" i="40"/>
  <c r="H136" i="40"/>
  <c r="G136" i="40"/>
  <c r="F136" i="40"/>
  <c r="AJ135" i="40"/>
  <c r="AI135" i="40"/>
  <c r="AH135" i="40"/>
  <c r="AG135" i="40"/>
  <c r="AF135" i="40"/>
  <c r="AE135" i="40"/>
  <c r="AD135" i="40"/>
  <c r="AC135" i="40"/>
  <c r="AB135" i="40"/>
  <c r="AA135" i="40"/>
  <c r="P135" i="40"/>
  <c r="O135" i="40"/>
  <c r="N135" i="40"/>
  <c r="M135" i="40"/>
  <c r="L135" i="40"/>
  <c r="K135" i="40"/>
  <c r="J135" i="40"/>
  <c r="I135" i="40"/>
  <c r="H135" i="40"/>
  <c r="G135" i="40"/>
  <c r="F135" i="40"/>
  <c r="AJ134" i="40"/>
  <c r="AI134" i="40"/>
  <c r="AH134" i="40"/>
  <c r="AG134" i="40"/>
  <c r="AF134" i="40"/>
  <c r="AE134" i="40"/>
  <c r="AD134" i="40"/>
  <c r="AC134" i="40"/>
  <c r="AB134" i="40"/>
  <c r="AA134" i="40"/>
  <c r="P134" i="40"/>
  <c r="O134" i="40"/>
  <c r="N134" i="40"/>
  <c r="M134" i="40"/>
  <c r="L134" i="40"/>
  <c r="K134" i="40"/>
  <c r="J134" i="40"/>
  <c r="I134" i="40"/>
  <c r="H134" i="40"/>
  <c r="G134" i="40"/>
  <c r="F134" i="40"/>
  <c r="AJ133" i="40"/>
  <c r="AI133" i="40"/>
  <c r="AH133" i="40"/>
  <c r="AG133" i="40"/>
  <c r="AF133" i="40"/>
  <c r="AE133" i="40"/>
  <c r="AD133" i="40"/>
  <c r="AC133" i="40"/>
  <c r="AB133" i="40"/>
  <c r="AA133" i="40"/>
  <c r="P133" i="40"/>
  <c r="O133" i="40"/>
  <c r="N133" i="40"/>
  <c r="M133" i="40"/>
  <c r="L133" i="40"/>
  <c r="K133" i="40"/>
  <c r="J133" i="40"/>
  <c r="I133" i="40"/>
  <c r="H133" i="40"/>
  <c r="G133" i="40"/>
  <c r="F133" i="40"/>
  <c r="AJ132" i="40"/>
  <c r="AI132" i="40"/>
  <c r="AH132" i="40"/>
  <c r="AG132" i="40"/>
  <c r="AF132" i="40"/>
  <c r="AE132" i="40"/>
  <c r="AD132" i="40"/>
  <c r="AC132" i="40"/>
  <c r="AB132" i="40"/>
  <c r="AA132" i="40"/>
  <c r="P132" i="40"/>
  <c r="O132" i="40"/>
  <c r="N132" i="40"/>
  <c r="M132" i="40"/>
  <c r="L132" i="40"/>
  <c r="K132" i="40"/>
  <c r="J132" i="40"/>
  <c r="I132" i="40"/>
  <c r="H132" i="40"/>
  <c r="G132" i="40"/>
  <c r="F132" i="40"/>
  <c r="AJ131" i="40"/>
  <c r="AI131" i="40"/>
  <c r="AH131" i="40"/>
  <c r="AG131" i="40"/>
  <c r="AF131" i="40"/>
  <c r="AE131" i="40"/>
  <c r="AD131" i="40"/>
  <c r="AC131" i="40"/>
  <c r="AB131" i="40"/>
  <c r="AA131" i="40"/>
  <c r="P131" i="40"/>
  <c r="O131" i="40"/>
  <c r="N131" i="40"/>
  <c r="M131" i="40"/>
  <c r="L131" i="40"/>
  <c r="K131" i="40"/>
  <c r="J131" i="40"/>
  <c r="I131" i="40"/>
  <c r="H131" i="40"/>
  <c r="G131" i="40"/>
  <c r="F131" i="40"/>
  <c r="AJ130" i="40"/>
  <c r="AI130" i="40"/>
  <c r="AH130" i="40"/>
  <c r="AG130" i="40"/>
  <c r="AF130" i="40"/>
  <c r="AE130" i="40"/>
  <c r="AD130" i="40"/>
  <c r="AC130" i="40"/>
  <c r="AB130" i="40"/>
  <c r="AA130" i="40"/>
  <c r="P130" i="40"/>
  <c r="O130" i="40"/>
  <c r="N130" i="40"/>
  <c r="M130" i="40"/>
  <c r="L130" i="40"/>
  <c r="K130" i="40"/>
  <c r="J130" i="40"/>
  <c r="I130" i="40"/>
  <c r="H130" i="40"/>
  <c r="G130" i="40"/>
  <c r="F130" i="40"/>
  <c r="AJ129" i="40"/>
  <c r="AI129" i="40"/>
  <c r="AH129" i="40"/>
  <c r="AG129" i="40"/>
  <c r="AF129" i="40"/>
  <c r="AE129" i="40"/>
  <c r="AD129" i="40"/>
  <c r="AC129" i="40"/>
  <c r="AB129" i="40"/>
  <c r="AA129" i="40"/>
  <c r="P129" i="40"/>
  <c r="O129" i="40"/>
  <c r="N129" i="40"/>
  <c r="M129" i="40"/>
  <c r="L129" i="40"/>
  <c r="K129" i="40"/>
  <c r="J129" i="40"/>
  <c r="I129" i="40"/>
  <c r="H129" i="40"/>
  <c r="G129" i="40"/>
  <c r="F129" i="40"/>
  <c r="AJ128" i="40"/>
  <c r="AI128" i="40"/>
  <c r="AH128" i="40"/>
  <c r="AG128" i="40"/>
  <c r="AF128" i="40"/>
  <c r="AE128" i="40"/>
  <c r="AD128" i="40"/>
  <c r="AC128" i="40"/>
  <c r="AB128" i="40"/>
  <c r="AA128" i="40"/>
  <c r="P128" i="40"/>
  <c r="O128" i="40"/>
  <c r="N128" i="40"/>
  <c r="M128" i="40"/>
  <c r="L128" i="40"/>
  <c r="K128" i="40"/>
  <c r="J128" i="40"/>
  <c r="I128" i="40"/>
  <c r="H128" i="40"/>
  <c r="G128" i="40"/>
  <c r="F128" i="40"/>
  <c r="AJ127" i="40"/>
  <c r="AI127" i="40"/>
  <c r="AH127" i="40"/>
  <c r="AG127" i="40"/>
  <c r="AF127" i="40"/>
  <c r="AE127" i="40"/>
  <c r="AD127" i="40"/>
  <c r="AC127" i="40"/>
  <c r="AB127" i="40"/>
  <c r="AA127" i="40"/>
  <c r="P127" i="40"/>
  <c r="O127" i="40"/>
  <c r="N127" i="40"/>
  <c r="M127" i="40"/>
  <c r="L127" i="40"/>
  <c r="K127" i="40"/>
  <c r="J127" i="40"/>
  <c r="I127" i="40"/>
  <c r="H127" i="40"/>
  <c r="G127" i="40"/>
  <c r="F127" i="40"/>
  <c r="AJ126" i="40"/>
  <c r="AI126" i="40"/>
  <c r="AH126" i="40"/>
  <c r="AG126" i="40"/>
  <c r="AF126" i="40"/>
  <c r="AE126" i="40"/>
  <c r="AD126" i="40"/>
  <c r="AC126" i="40"/>
  <c r="AB126" i="40"/>
  <c r="AA126" i="40"/>
  <c r="P126" i="40"/>
  <c r="O126" i="40"/>
  <c r="N126" i="40"/>
  <c r="M126" i="40"/>
  <c r="L126" i="40"/>
  <c r="K126" i="40"/>
  <c r="J126" i="40"/>
  <c r="I126" i="40"/>
  <c r="H126" i="40"/>
  <c r="G126" i="40"/>
  <c r="F126" i="40"/>
  <c r="AJ125" i="40"/>
  <c r="AI125" i="40"/>
  <c r="AH125" i="40"/>
  <c r="AG125" i="40"/>
  <c r="AF125" i="40"/>
  <c r="AE125" i="40"/>
  <c r="AD125" i="40"/>
  <c r="AC125" i="40"/>
  <c r="AB125" i="40"/>
  <c r="AA125" i="40"/>
  <c r="P125" i="40"/>
  <c r="O125" i="40"/>
  <c r="N125" i="40"/>
  <c r="M125" i="40"/>
  <c r="L125" i="40"/>
  <c r="K125" i="40"/>
  <c r="J125" i="40"/>
  <c r="I125" i="40"/>
  <c r="H125" i="40"/>
  <c r="G125" i="40"/>
  <c r="F125" i="40"/>
  <c r="AJ124" i="40"/>
  <c r="AI124" i="40"/>
  <c r="AH124" i="40"/>
  <c r="AG124" i="40"/>
  <c r="AF124" i="40"/>
  <c r="AE124" i="40"/>
  <c r="AD124" i="40"/>
  <c r="AC124" i="40"/>
  <c r="AB124" i="40"/>
  <c r="AA124" i="40"/>
  <c r="P124" i="40"/>
  <c r="O124" i="40"/>
  <c r="N124" i="40"/>
  <c r="M124" i="40"/>
  <c r="L124" i="40"/>
  <c r="K124" i="40"/>
  <c r="J124" i="40"/>
  <c r="I124" i="40"/>
  <c r="H124" i="40"/>
  <c r="G124" i="40"/>
  <c r="F124" i="40"/>
  <c r="AJ123" i="40"/>
  <c r="AI123" i="40"/>
  <c r="AH123" i="40"/>
  <c r="AG123" i="40"/>
  <c r="AF123" i="40"/>
  <c r="AE123" i="40"/>
  <c r="AD123" i="40"/>
  <c r="AC123" i="40"/>
  <c r="AB123" i="40"/>
  <c r="AA123" i="40"/>
  <c r="P123" i="40"/>
  <c r="O123" i="40"/>
  <c r="N123" i="40"/>
  <c r="M123" i="40"/>
  <c r="L123" i="40"/>
  <c r="K123" i="40"/>
  <c r="J123" i="40"/>
  <c r="I123" i="40"/>
  <c r="H123" i="40"/>
  <c r="G123" i="40"/>
  <c r="F123" i="40"/>
  <c r="AJ122" i="40"/>
  <c r="AI122" i="40"/>
  <c r="AH122" i="40"/>
  <c r="AG122" i="40"/>
  <c r="AF122" i="40"/>
  <c r="AE122" i="40"/>
  <c r="AD122" i="40"/>
  <c r="AC122" i="40"/>
  <c r="AB122" i="40"/>
  <c r="AA122" i="40"/>
  <c r="P122" i="40"/>
  <c r="O122" i="40"/>
  <c r="N122" i="40"/>
  <c r="M122" i="40"/>
  <c r="L122" i="40"/>
  <c r="K122" i="40"/>
  <c r="J122" i="40"/>
  <c r="I122" i="40"/>
  <c r="H122" i="40"/>
  <c r="G122" i="40"/>
  <c r="F122" i="40"/>
  <c r="AI121" i="40"/>
  <c r="AG121" i="40"/>
  <c r="AA121" i="40"/>
  <c r="N24" i="39" l="1"/>
  <c r="P111" i="39"/>
  <c r="N23" i="39"/>
  <c r="P22" i="39"/>
  <c r="P21" i="39"/>
  <c r="R108" i="39"/>
  <c r="HO586" i="40"/>
  <c r="HN585" i="40"/>
  <c r="HM585" i="40"/>
  <c r="HN587" i="40"/>
  <c r="HO585" i="40"/>
  <c r="HO587" i="40"/>
  <c r="HN584" i="40"/>
  <c r="HM584" i="40"/>
  <c r="HN586" i="40"/>
  <c r="AQ488" i="40"/>
  <c r="AM488" i="40"/>
  <c r="HM485" i="40"/>
  <c r="HM486" i="40"/>
  <c r="HO486" i="40"/>
  <c r="HO487" i="40"/>
  <c r="HN484" i="40"/>
  <c r="HN487" i="40"/>
  <c r="HM484" i="40"/>
  <c r="HN486" i="40"/>
  <c r="HO485" i="40"/>
  <c r="HO279" i="40"/>
  <c r="HM280" i="40"/>
  <c r="HM478" i="40"/>
  <c r="HO483" i="40"/>
  <c r="HN283" i="40"/>
  <c r="HO478" i="40"/>
  <c r="HM483" i="40"/>
  <c r="HN383" i="40"/>
  <c r="HM477" i="40"/>
  <c r="HN479" i="40"/>
  <c r="HN376" i="40"/>
  <c r="HO379" i="40"/>
  <c r="HM380" i="40"/>
  <c r="HN477" i="40"/>
  <c r="HO479" i="40"/>
  <c r="HM480" i="40"/>
  <c r="HN482" i="40"/>
  <c r="HO380" i="40"/>
  <c r="HO480" i="40"/>
  <c r="HO482" i="40"/>
  <c r="HM279" i="40"/>
  <c r="HM376" i="40"/>
  <c r="KN581" i="40"/>
  <c r="KN582" i="40" s="1"/>
  <c r="KN583" i="40" s="1"/>
  <c r="HJ578" i="40"/>
  <c r="HN281" i="40"/>
  <c r="HO383" i="40"/>
  <c r="HM377" i="40"/>
  <c r="HO382" i="40"/>
  <c r="HN476" i="40"/>
  <c r="HN277" i="40"/>
  <c r="HM278" i="40"/>
  <c r="HN379" i="40"/>
  <c r="KN482" i="40"/>
  <c r="KN483" i="40" s="1"/>
  <c r="HO281" i="40"/>
  <c r="HO283" i="40"/>
  <c r="HN377" i="40"/>
  <c r="HM378" i="40"/>
  <c r="HO476" i="40"/>
  <c r="HM481" i="40"/>
  <c r="HO481" i="40"/>
  <c r="HJ479" i="40"/>
  <c r="HN378" i="40"/>
  <c r="HM382" i="40"/>
  <c r="HO276" i="40"/>
  <c r="KN378" i="40"/>
  <c r="KN379" i="40" s="1"/>
  <c r="KN380" i="40" s="1"/>
  <c r="KN381" i="40" s="1"/>
  <c r="HJ378" i="40"/>
  <c r="HN282" i="40"/>
  <c r="HM381" i="40"/>
  <c r="HO381" i="40"/>
  <c r="HM177" i="40"/>
  <c r="HM276" i="40"/>
  <c r="HN278" i="40"/>
  <c r="HN280" i="40"/>
  <c r="HO179" i="40"/>
  <c r="HO277" i="40"/>
  <c r="HN381" i="40"/>
  <c r="HJ278" i="40"/>
  <c r="HM181" i="40"/>
  <c r="HM282" i="40"/>
  <c r="KN181" i="40"/>
  <c r="KN182" i="40" s="1"/>
  <c r="HJ180" i="40"/>
  <c r="HN180" i="40"/>
  <c r="HN182" i="40"/>
  <c r="HO182" i="40"/>
  <c r="HO176" i="40"/>
  <c r="HM176" i="40"/>
  <c r="HN181" i="40"/>
  <c r="HO180" i="40"/>
  <c r="HK179" i="40"/>
  <c r="HK180" i="40" s="1"/>
  <c r="HK181" i="40" s="1"/>
  <c r="HK182" i="40" s="1"/>
  <c r="HN179" i="40"/>
  <c r="HO178" i="40"/>
  <c r="HN178" i="40"/>
  <c r="HO177" i="40"/>
  <c r="B181" i="75"/>
  <c r="B182" i="75" s="1"/>
  <c r="AH596" i="40" l="1"/>
  <c r="AH592" i="40"/>
  <c r="AH588" i="40"/>
  <c r="AH585" i="40"/>
  <c r="AH581" i="40"/>
  <c r="AH577" i="40"/>
  <c r="AH573" i="40"/>
  <c r="AH569" i="40"/>
  <c r="AH565" i="40"/>
  <c r="AH561" i="40"/>
  <c r="AH557" i="40"/>
  <c r="AH553" i="40"/>
  <c r="AH549" i="40"/>
  <c r="AH545" i="40"/>
  <c r="AH541" i="40"/>
  <c r="AH537" i="40"/>
  <c r="AH533" i="40"/>
  <c r="AH529" i="40"/>
  <c r="AH525" i="40"/>
  <c r="AH521" i="40"/>
  <c r="AH574" i="40"/>
  <c r="AH542" i="40"/>
  <c r="AH538" i="40"/>
  <c r="AH599" i="40"/>
  <c r="AH595" i="40"/>
  <c r="AH591" i="40"/>
  <c r="AH584" i="40"/>
  <c r="AH580" i="40"/>
  <c r="AH576" i="40"/>
  <c r="AH572" i="40"/>
  <c r="AH568" i="40"/>
  <c r="AH564" i="40"/>
  <c r="AH560" i="40"/>
  <c r="AH556" i="40"/>
  <c r="AH552" i="40"/>
  <c r="AH548" i="40"/>
  <c r="AH544" i="40"/>
  <c r="AH540" i="40"/>
  <c r="AH536" i="40"/>
  <c r="AH532" i="40"/>
  <c r="AH528" i="40"/>
  <c r="AH524" i="40"/>
  <c r="AH570" i="40"/>
  <c r="AH566" i="40"/>
  <c r="AH554" i="40"/>
  <c r="AH598" i="40"/>
  <c r="AH594" i="40"/>
  <c r="AH590" i="40"/>
  <c r="AH587" i="40"/>
  <c r="AH583" i="40"/>
  <c r="AH579" i="40"/>
  <c r="AH575" i="40"/>
  <c r="AH571" i="40"/>
  <c r="AH567" i="40"/>
  <c r="AH563" i="40"/>
  <c r="AH559" i="40"/>
  <c r="AH555" i="40"/>
  <c r="AH551" i="40"/>
  <c r="AH547" i="40"/>
  <c r="AH543" i="40"/>
  <c r="AH539" i="40"/>
  <c r="AH535" i="40"/>
  <c r="AH531" i="40"/>
  <c r="AH527" i="40"/>
  <c r="AH523" i="40"/>
  <c r="AH558" i="40"/>
  <c r="AH530" i="40"/>
  <c r="AH597" i="40"/>
  <c r="AH593" i="40"/>
  <c r="AH589" i="40"/>
  <c r="AH586" i="40"/>
  <c r="AH582" i="40"/>
  <c r="AH578" i="40"/>
  <c r="AH562" i="40"/>
  <c r="AH550" i="40"/>
  <c r="AH546" i="40"/>
  <c r="AH534" i="40"/>
  <c r="AH526" i="40"/>
  <c r="AH522" i="40"/>
  <c r="P24" i="39"/>
  <c r="P23" i="39"/>
  <c r="R111" i="39"/>
  <c r="HJ579" i="40"/>
  <c r="HJ480" i="40"/>
  <c r="HJ379" i="40"/>
  <c r="KN382" i="40"/>
  <c r="HJ279" i="40"/>
  <c r="HJ181" i="40"/>
  <c r="HJ580" i="40" l="1"/>
  <c r="HJ481" i="40"/>
  <c r="HJ380" i="40"/>
  <c r="KN383" i="40"/>
  <c r="HJ280" i="40"/>
  <c r="HJ182" i="40"/>
  <c r="E18" i="70"/>
  <c r="C18" i="70"/>
  <c r="A101" i="40"/>
  <c r="C102" i="40"/>
  <c r="B102" i="40"/>
  <c r="A102" i="40"/>
  <c r="C103" i="40"/>
  <c r="B103" i="40"/>
  <c r="B104" i="40" s="1"/>
  <c r="B105" i="40" s="1"/>
  <c r="B106" i="40" s="1"/>
  <c r="B107" i="40" s="1"/>
  <c r="C104" i="40"/>
  <c r="F101" i="40"/>
  <c r="G101" i="40"/>
  <c r="H101" i="40"/>
  <c r="I101" i="40"/>
  <c r="J101" i="40"/>
  <c r="K101" i="40"/>
  <c r="CK101" i="40" s="1"/>
  <c r="L101" i="40"/>
  <c r="CL101" i="40" s="1"/>
  <c r="M101" i="40"/>
  <c r="CM101" i="40" s="1"/>
  <c r="N101" i="40"/>
  <c r="O101" i="40"/>
  <c r="CO101" i="40" s="1"/>
  <c r="P101" i="40"/>
  <c r="AA101" i="40"/>
  <c r="AB101" i="40"/>
  <c r="AC101" i="40"/>
  <c r="AD101" i="40"/>
  <c r="AE101" i="40"/>
  <c r="AF101" i="40"/>
  <c r="AG101" i="40"/>
  <c r="AH101" i="40"/>
  <c r="AI101" i="40"/>
  <c r="AJ101" i="40"/>
  <c r="JF101" i="40"/>
  <c r="IJ101" i="40"/>
  <c r="IM101" i="40" s="1"/>
  <c r="HK102" i="40"/>
  <c r="HK103" i="40" s="1"/>
  <c r="HK104" i="40" s="1"/>
  <c r="IJ104" i="40"/>
  <c r="IM104" i="40" s="1"/>
  <c r="JF103" i="40"/>
  <c r="HN103" i="40" s="1"/>
  <c r="II103" i="40"/>
  <c r="IL103" i="40" s="1"/>
  <c r="BX103" i="40"/>
  <c r="AZ101" i="40"/>
  <c r="KB97" i="40" s="1"/>
  <c r="II104" i="40"/>
  <c r="IL104" i="40" s="1"/>
  <c r="II101" i="40"/>
  <c r="IL101" i="40" s="1"/>
  <c r="IK101" i="40"/>
  <c r="IN101" i="40" s="1"/>
  <c r="IJ103" i="40"/>
  <c r="IM103" i="40" s="1"/>
  <c r="IK103" i="40"/>
  <c r="IN103" i="40" s="1"/>
  <c r="C502" i="40"/>
  <c r="C503" i="40"/>
  <c r="C504" i="40" s="1"/>
  <c r="C505" i="40"/>
  <c r="C506" i="40" s="1"/>
  <c r="C507" i="40" s="1"/>
  <c r="C508" i="40" s="1"/>
  <c r="C509" i="40"/>
  <c r="C510" i="40" s="1"/>
  <c r="C511" i="40" s="1"/>
  <c r="C512" i="40" s="1"/>
  <c r="B502" i="40"/>
  <c r="B503" i="40"/>
  <c r="B504" i="40"/>
  <c r="B505" i="40" s="1"/>
  <c r="B506" i="40" s="1"/>
  <c r="B507" i="40" s="1"/>
  <c r="B508" i="40"/>
  <c r="B509" i="40" s="1"/>
  <c r="B510" i="40" s="1"/>
  <c r="B511" i="40" s="1"/>
  <c r="B512" i="40" s="1"/>
  <c r="C202" i="40"/>
  <c r="C203" i="40"/>
  <c r="C204" i="40"/>
  <c r="C205" i="40" s="1"/>
  <c r="C206" i="40"/>
  <c r="C207" i="40" s="1"/>
  <c r="C208" i="40" s="1"/>
  <c r="C209" i="40" s="1"/>
  <c r="C210" i="40"/>
  <c r="B202" i="40"/>
  <c r="B203" i="40"/>
  <c r="B204" i="40" s="1"/>
  <c r="B205" i="40"/>
  <c r="B206" i="40" s="1"/>
  <c r="B207" i="40" s="1"/>
  <c r="B208" i="40" s="1"/>
  <c r="B209" i="40" s="1"/>
  <c r="B210" i="40" s="1"/>
  <c r="B211" i="40" s="1"/>
  <c r="B212" i="40" s="1"/>
  <c r="B213" i="40"/>
  <c r="B214" i="40" s="1"/>
  <c r="B215" i="40" s="1"/>
  <c r="B216" i="40" s="1"/>
  <c r="B217" i="40" s="1"/>
  <c r="B218" i="40" s="1"/>
  <c r="B219" i="40" s="1"/>
  <c r="B220" i="40" s="1"/>
  <c r="B221" i="40" s="1"/>
  <c r="B222" i="40" s="1"/>
  <c r="B223" i="40" s="1"/>
  <c r="B224" i="40" s="1"/>
  <c r="B225" i="40" s="1"/>
  <c r="B226" i="40" s="1"/>
  <c r="B227" i="40" s="1"/>
  <c r="B228" i="40" s="1"/>
  <c r="B229" i="40" s="1"/>
  <c r="B230" i="40" s="1"/>
  <c r="B231" i="40" s="1"/>
  <c r="B232" i="40" s="1"/>
  <c r="B233" i="40" s="1"/>
  <c r="B234" i="40" s="1"/>
  <c r="B235" i="40" s="1"/>
  <c r="B236" i="40" s="1"/>
  <c r="B237" i="40" s="1"/>
  <c r="B238" i="40" s="1"/>
  <c r="B239" i="40" s="1"/>
  <c r="B240" i="40" s="1"/>
  <c r="B241" i="40" s="1"/>
  <c r="B242" i="40" s="1"/>
  <c r="B243" i="40" s="1"/>
  <c r="B244" i="40" s="1"/>
  <c r="B245" i="40" s="1"/>
  <c r="B246" i="40" s="1"/>
  <c r="B247" i="40" s="1"/>
  <c r="B248" i="40" s="1"/>
  <c r="B249" i="40" s="1"/>
  <c r="B250" i="40" s="1"/>
  <c r="B251" i="40" s="1"/>
  <c r="B252" i="40" s="1"/>
  <c r="B253" i="40" s="1"/>
  <c r="B254" i="40" s="1"/>
  <c r="B255" i="40" s="1"/>
  <c r="B256" i="40" s="1"/>
  <c r="B257" i="40" s="1"/>
  <c r="B258" i="40" s="1"/>
  <c r="B259" i="40" s="1"/>
  <c r="B260" i="40" s="1"/>
  <c r="B261" i="40" s="1"/>
  <c r="B262" i="40" s="1"/>
  <c r="B263" i="40" s="1"/>
  <c r="B264" i="40" s="1"/>
  <c r="B265" i="40" s="1"/>
  <c r="B266" i="40" s="1"/>
  <c r="B267" i="40" s="1"/>
  <c r="B268" i="40" s="1"/>
  <c r="B269" i="40" s="1"/>
  <c r="B270" i="40" s="1"/>
  <c r="B271" i="40" s="1"/>
  <c r="B272" i="40" s="1"/>
  <c r="B273" i="40" s="1"/>
  <c r="B274" i="40" s="1"/>
  <c r="B275" i="40" s="1"/>
  <c r="B276" i="40" s="1"/>
  <c r="B277" i="40" s="1"/>
  <c r="B278" i="40" s="1"/>
  <c r="B279" i="40" s="1"/>
  <c r="B280" i="40" s="1"/>
  <c r="B281" i="40" s="1"/>
  <c r="B282" i="40" s="1"/>
  <c r="B283" i="40" s="1"/>
  <c r="B284" i="40" s="1"/>
  <c r="B285" i="40" s="1"/>
  <c r="B286" i="40" s="1"/>
  <c r="B287" i="40" s="1"/>
  <c r="B288" i="40" s="1"/>
  <c r="B289" i="40" s="1"/>
  <c r="B290" i="40" s="1"/>
  <c r="B291" i="40" s="1"/>
  <c r="B292" i="40" s="1"/>
  <c r="B293" i="40" s="1"/>
  <c r="B294" i="40" s="1"/>
  <c r="B295" i="40" s="1"/>
  <c r="B296" i="40" s="1"/>
  <c r="B297" i="40" s="1"/>
  <c r="B298" i="40" s="1"/>
  <c r="B299" i="40" s="1"/>
  <c r="B300" i="40" s="1"/>
  <c r="B108" i="40"/>
  <c r="B109" i="40" s="1"/>
  <c r="B110" i="40" s="1"/>
  <c r="B111" i="40" s="1"/>
  <c r="B112" i="40"/>
  <c r="B113" i="40" s="1"/>
  <c r="B114" i="40" s="1"/>
  <c r="B115" i="40" s="1"/>
  <c r="B116" i="40" s="1"/>
  <c r="B117" i="40" s="1"/>
  <c r="B118" i="40" s="1"/>
  <c r="B119" i="40" s="1"/>
  <c r="B120" i="40" s="1"/>
  <c r="B121" i="40" s="1"/>
  <c r="B122" i="40" s="1"/>
  <c r="B123" i="40" s="1"/>
  <c r="B124" i="40" s="1"/>
  <c r="B125" i="40" s="1"/>
  <c r="B126" i="40" s="1"/>
  <c r="B127" i="40" s="1"/>
  <c r="B128" i="40" s="1"/>
  <c r="B129" i="40" s="1"/>
  <c r="B130" i="40" s="1"/>
  <c r="B131" i="40" s="1"/>
  <c r="B132" i="40" s="1"/>
  <c r="B133" i="40" s="1"/>
  <c r="B134" i="40" s="1"/>
  <c r="B135" i="40" s="1"/>
  <c r="B136" i="40" s="1"/>
  <c r="B137" i="40" s="1"/>
  <c r="B138" i="40" s="1"/>
  <c r="B139" i="40" s="1"/>
  <c r="B140" i="40" s="1"/>
  <c r="B141" i="40" s="1"/>
  <c r="B142" i="40" s="1"/>
  <c r="B143" i="40" s="1"/>
  <c r="B144" i="40" s="1"/>
  <c r="B145" i="40" s="1"/>
  <c r="B146" i="40" s="1"/>
  <c r="B147" i="40"/>
  <c r="B148" i="40" s="1"/>
  <c r="B149" i="40" s="1"/>
  <c r="B150" i="40" s="1"/>
  <c r="B151" i="40" s="1"/>
  <c r="B152" i="40" s="1"/>
  <c r="B153" i="40" s="1"/>
  <c r="B154" i="40" s="1"/>
  <c r="B155" i="40" s="1"/>
  <c r="B156" i="40" s="1"/>
  <c r="B157" i="40" s="1"/>
  <c r="B158" i="40" s="1"/>
  <c r="B159" i="40" s="1"/>
  <c r="B160" i="40" s="1"/>
  <c r="B161" i="40" s="1"/>
  <c r="B162" i="40" s="1"/>
  <c r="B163" i="40" s="1"/>
  <c r="B164" i="40" s="1"/>
  <c r="B165" i="40" s="1"/>
  <c r="B166" i="40" s="1"/>
  <c r="B167" i="40" s="1"/>
  <c r="B168" i="40" s="1"/>
  <c r="B169" i="40" s="1"/>
  <c r="B170" i="40" s="1"/>
  <c r="B171" i="40" s="1"/>
  <c r="B172" i="40" s="1"/>
  <c r="B173" i="40" s="1"/>
  <c r="B174" i="40" s="1"/>
  <c r="B175" i="40" s="1"/>
  <c r="B176" i="40" s="1"/>
  <c r="B177" i="40" s="1"/>
  <c r="B178" i="40" s="1"/>
  <c r="B179" i="40" s="1"/>
  <c r="B180" i="40" s="1"/>
  <c r="B181" i="40" s="1"/>
  <c r="B182" i="40" s="1"/>
  <c r="B183" i="40" s="1"/>
  <c r="B184" i="40" s="1"/>
  <c r="B185" i="40" s="1"/>
  <c r="B186" i="40" s="1"/>
  <c r="B187" i="40" s="1"/>
  <c r="B188" i="40" s="1"/>
  <c r="B189" i="40" s="1"/>
  <c r="B190" i="40" s="1"/>
  <c r="B191" i="40" s="1"/>
  <c r="B192" i="40" s="1"/>
  <c r="B193" i="40" s="1"/>
  <c r="B194" i="40" s="1"/>
  <c r="B195" i="40" s="1"/>
  <c r="B196" i="40" s="1"/>
  <c r="B197" i="40" s="1"/>
  <c r="B198" i="40" s="1"/>
  <c r="B199" i="40" s="1"/>
  <c r="B200" i="40" s="1"/>
  <c r="C302" i="40"/>
  <c r="C303" i="40" s="1"/>
  <c r="C304" i="40" s="1"/>
  <c r="C305" i="40" s="1"/>
  <c r="C306" i="40" s="1"/>
  <c r="C307" i="40" s="1"/>
  <c r="C308" i="40" s="1"/>
  <c r="C309" i="40" s="1"/>
  <c r="C310" i="40" s="1"/>
  <c r="C311" i="40" s="1"/>
  <c r="C312" i="40" s="1"/>
  <c r="C313" i="40" s="1"/>
  <c r="C314" i="40" s="1"/>
  <c r="C315" i="40" s="1"/>
  <c r="C316" i="40" s="1"/>
  <c r="C317" i="40" s="1"/>
  <c r="C318" i="40" s="1"/>
  <c r="C319" i="40" s="1"/>
  <c r="C320" i="40" s="1"/>
  <c r="C321" i="40" s="1"/>
  <c r="C322" i="40" s="1"/>
  <c r="C323" i="40" s="1"/>
  <c r="C324" i="40" s="1"/>
  <c r="C325" i="40" s="1"/>
  <c r="C326" i="40" s="1"/>
  <c r="C327" i="40" s="1"/>
  <c r="C328" i="40" s="1"/>
  <c r="C329" i="40" s="1"/>
  <c r="B302" i="40"/>
  <c r="B303" i="40"/>
  <c r="B304" i="40" s="1"/>
  <c r="B305" i="40" s="1"/>
  <c r="B306" i="40" s="1"/>
  <c r="B307" i="40" s="1"/>
  <c r="B308" i="40"/>
  <c r="B309" i="40" s="1"/>
  <c r="B310" i="40" s="1"/>
  <c r="B311" i="40" s="1"/>
  <c r="B312" i="40" s="1"/>
  <c r="B313" i="40" s="1"/>
  <c r="B314" i="40" s="1"/>
  <c r="B315" i="40" s="1"/>
  <c r="B316" i="40" s="1"/>
  <c r="B317" i="40" s="1"/>
  <c r="B318" i="40" s="1"/>
  <c r="B319" i="40"/>
  <c r="B320" i="40" s="1"/>
  <c r="B321" i="40" s="1"/>
  <c r="B322" i="40" s="1"/>
  <c r="B323" i="40" s="1"/>
  <c r="B324" i="40" s="1"/>
  <c r="B325" i="40" s="1"/>
  <c r="B326" i="40" s="1"/>
  <c r="B327" i="40" s="1"/>
  <c r="B328" i="40" s="1"/>
  <c r="B329" i="40" s="1"/>
  <c r="B330" i="40" s="1"/>
  <c r="B331" i="40" s="1"/>
  <c r="B332" i="40" s="1"/>
  <c r="B333" i="40" s="1"/>
  <c r="B334" i="40" s="1"/>
  <c r="B335" i="40" s="1"/>
  <c r="B336" i="40" s="1"/>
  <c r="B337" i="40" s="1"/>
  <c r="B338" i="40" s="1"/>
  <c r="B339" i="40" s="1"/>
  <c r="B340" i="40" s="1"/>
  <c r="B341" i="40" s="1"/>
  <c r="B342" i="40" s="1"/>
  <c r="B343" i="40" s="1"/>
  <c r="B344" i="40" s="1"/>
  <c r="B345" i="40" s="1"/>
  <c r="B346" i="40" s="1"/>
  <c r="B347" i="40" s="1"/>
  <c r="B348" i="40" s="1"/>
  <c r="B349" i="40" s="1"/>
  <c r="B350" i="40" s="1"/>
  <c r="B351" i="40" s="1"/>
  <c r="B352" i="40" s="1"/>
  <c r="B353" i="40" s="1"/>
  <c r="B354" i="40" s="1"/>
  <c r="B355" i="40" s="1"/>
  <c r="B356" i="40" s="1"/>
  <c r="B357" i="40" s="1"/>
  <c r="B358" i="40" s="1"/>
  <c r="B359" i="40" s="1"/>
  <c r="B360" i="40" s="1"/>
  <c r="B361" i="40" s="1"/>
  <c r="B362" i="40" s="1"/>
  <c r="C330" i="40"/>
  <c r="C331" i="40" s="1"/>
  <c r="C332" i="40" s="1"/>
  <c r="C333" i="40" s="1"/>
  <c r="C334" i="40" s="1"/>
  <c r="C335" i="40" s="1"/>
  <c r="C336" i="40" s="1"/>
  <c r="C337" i="40" s="1"/>
  <c r="C338" i="40" s="1"/>
  <c r="C339" i="40" s="1"/>
  <c r="C340" i="40" s="1"/>
  <c r="C341" i="40" s="1"/>
  <c r="C342" i="40" s="1"/>
  <c r="C343" i="40" s="1"/>
  <c r="C344" i="40" s="1"/>
  <c r="C345" i="40" s="1"/>
  <c r="C346" i="40" s="1"/>
  <c r="C347" i="40" s="1"/>
  <c r="C348" i="40" s="1"/>
  <c r="C349" i="40" s="1"/>
  <c r="C350" i="40" s="1"/>
  <c r="C351" i="40" s="1"/>
  <c r="C352" i="40" s="1"/>
  <c r="C353" i="40" s="1"/>
  <c r="C354" i="40" s="1"/>
  <c r="C355" i="40" s="1"/>
  <c r="C356" i="40" s="1"/>
  <c r="C357" i="40" s="1"/>
  <c r="C358" i="40" s="1"/>
  <c r="C359" i="40" s="1"/>
  <c r="C360" i="40" s="1"/>
  <c r="C361" i="40" s="1"/>
  <c r="C362" i="40" s="1"/>
  <c r="C363" i="40" s="1"/>
  <c r="C364" i="40" s="1"/>
  <c r="C365" i="40" s="1"/>
  <c r="C366" i="40" s="1"/>
  <c r="C367" i="40" s="1"/>
  <c r="C368" i="40" s="1"/>
  <c r="C369" i="40" s="1"/>
  <c r="C370" i="40" s="1"/>
  <c r="C371" i="40" s="1"/>
  <c r="C372" i="40" s="1"/>
  <c r="C373" i="40" s="1"/>
  <c r="C374" i="40" s="1"/>
  <c r="C375" i="40" s="1"/>
  <c r="C376" i="40" s="1"/>
  <c r="C377" i="40" s="1"/>
  <c r="C378" i="40" s="1"/>
  <c r="C379" i="40" s="1"/>
  <c r="C380" i="40" s="1"/>
  <c r="C381" i="40" s="1"/>
  <c r="C382" i="40" s="1"/>
  <c r="C383" i="40" s="1"/>
  <c r="C384" i="40" s="1"/>
  <c r="C385" i="40" s="1"/>
  <c r="C386" i="40" s="1"/>
  <c r="C387" i="40" s="1"/>
  <c r="C388" i="40" s="1"/>
  <c r="C389" i="40" s="1"/>
  <c r="C390" i="40" s="1"/>
  <c r="C391" i="40" s="1"/>
  <c r="C392" i="40" s="1"/>
  <c r="C393" i="40" s="1"/>
  <c r="C394" i="40" s="1"/>
  <c r="C395" i="40" s="1"/>
  <c r="C396" i="40" s="1"/>
  <c r="C397" i="40" s="1"/>
  <c r="C398" i="40" s="1"/>
  <c r="C399" i="40" s="1"/>
  <c r="C400" i="40" s="1"/>
  <c r="B363" i="40"/>
  <c r="B364" i="40" s="1"/>
  <c r="B365" i="40" s="1"/>
  <c r="B366" i="40" s="1"/>
  <c r="B367" i="40" s="1"/>
  <c r="B368" i="40" s="1"/>
  <c r="B369" i="40" s="1"/>
  <c r="B370" i="40" s="1"/>
  <c r="B371" i="40" s="1"/>
  <c r="B372" i="40" s="1"/>
  <c r="B373" i="40" s="1"/>
  <c r="B374" i="40" s="1"/>
  <c r="B375" i="40" s="1"/>
  <c r="B376" i="40" s="1"/>
  <c r="B377" i="40" s="1"/>
  <c r="B378" i="40" s="1"/>
  <c r="B379" i="40" s="1"/>
  <c r="B380" i="40" s="1"/>
  <c r="B381" i="40" s="1"/>
  <c r="B382" i="40" s="1"/>
  <c r="B383" i="40" s="1"/>
  <c r="B384" i="40" s="1"/>
  <c r="B385" i="40" s="1"/>
  <c r="B386" i="40" s="1"/>
  <c r="B387" i="40" s="1"/>
  <c r="B388" i="40" s="1"/>
  <c r="B389" i="40" s="1"/>
  <c r="B390" i="40" s="1"/>
  <c r="B391" i="40" s="1"/>
  <c r="B392" i="40" s="1"/>
  <c r="B393" i="40" s="1"/>
  <c r="B394" i="40" s="1"/>
  <c r="B395" i="40"/>
  <c r="C402" i="40"/>
  <c r="C403" i="40" s="1"/>
  <c r="C404" i="40" s="1"/>
  <c r="C405" i="40" s="1"/>
  <c r="C406" i="40" s="1"/>
  <c r="C407" i="40" s="1"/>
  <c r="C408" i="40" s="1"/>
  <c r="C409" i="40" s="1"/>
  <c r="C410" i="40" s="1"/>
  <c r="C411" i="40" s="1"/>
  <c r="C412" i="40" s="1"/>
  <c r="C413" i="40" s="1"/>
  <c r="C414" i="40" s="1"/>
  <c r="C415" i="40" s="1"/>
  <c r="C416" i="40" s="1"/>
  <c r="C417" i="40" s="1"/>
  <c r="C418" i="40" s="1"/>
  <c r="C419" i="40" s="1"/>
  <c r="C420" i="40" s="1"/>
  <c r="C421" i="40" s="1"/>
  <c r="C422" i="40" s="1"/>
  <c r="C423" i="40" s="1"/>
  <c r="C424" i="40" s="1"/>
  <c r="C425" i="40" s="1"/>
  <c r="C426" i="40" s="1"/>
  <c r="C427" i="40" s="1"/>
  <c r="C428" i="40" s="1"/>
  <c r="C429" i="40" s="1"/>
  <c r="C430" i="40" s="1"/>
  <c r="C431" i="40" s="1"/>
  <c r="C432" i="40" s="1"/>
  <c r="C433" i="40" s="1"/>
  <c r="C434" i="40" s="1"/>
  <c r="C435" i="40" s="1"/>
  <c r="C436" i="40" s="1"/>
  <c r="C437" i="40" s="1"/>
  <c r="C438" i="40" s="1"/>
  <c r="C439" i="40" s="1"/>
  <c r="C440" i="40" s="1"/>
  <c r="C441" i="40" s="1"/>
  <c r="C442" i="40" s="1"/>
  <c r="C443" i="40" s="1"/>
  <c r="C444" i="40" s="1"/>
  <c r="C445" i="40" s="1"/>
  <c r="C446" i="40" s="1"/>
  <c r="C447" i="40" s="1"/>
  <c r="C448" i="40" s="1"/>
  <c r="C449" i="40" s="1"/>
  <c r="C450" i="40" s="1"/>
  <c r="C451" i="40" s="1"/>
  <c r="C452" i="40" s="1"/>
  <c r="C453" i="40" s="1"/>
  <c r="C454" i="40" s="1"/>
  <c r="C455" i="40" s="1"/>
  <c r="C456" i="40" s="1"/>
  <c r="C457" i="40" s="1"/>
  <c r="C458" i="40" s="1"/>
  <c r="C459" i="40" s="1"/>
  <c r="C460" i="40" s="1"/>
  <c r="C461" i="40" s="1"/>
  <c r="C462" i="40" s="1"/>
  <c r="C463" i="40" s="1"/>
  <c r="C464" i="40" s="1"/>
  <c r="C465" i="40" s="1"/>
  <c r="C466" i="40" s="1"/>
  <c r="C467" i="40" s="1"/>
  <c r="C468" i="40" s="1"/>
  <c r="C469" i="40" s="1"/>
  <c r="C470" i="40" s="1"/>
  <c r="C471" i="40" s="1"/>
  <c r="C472" i="40" s="1"/>
  <c r="C473" i="40" s="1"/>
  <c r="C474" i="40" s="1"/>
  <c r="C475" i="40" s="1"/>
  <c r="C476" i="40" s="1"/>
  <c r="C477" i="40" s="1"/>
  <c r="C478" i="40" s="1"/>
  <c r="C479" i="40" s="1"/>
  <c r="C480" i="40" s="1"/>
  <c r="C481" i="40" s="1"/>
  <c r="C482" i="40" s="1"/>
  <c r="C483" i="40" s="1"/>
  <c r="C484" i="40" s="1"/>
  <c r="C485" i="40" s="1"/>
  <c r="C486" i="40" s="1"/>
  <c r="C487" i="40" s="1"/>
  <c r="C489" i="40" s="1"/>
  <c r="BA489" i="40" s="1"/>
  <c r="B402" i="40"/>
  <c r="B403" i="40" s="1"/>
  <c r="B404" i="40" s="1"/>
  <c r="B405" i="40" s="1"/>
  <c r="B406" i="40" s="1"/>
  <c r="B407" i="40" s="1"/>
  <c r="B408" i="40" s="1"/>
  <c r="B409" i="40" s="1"/>
  <c r="B410" i="40"/>
  <c r="B411" i="40" s="1"/>
  <c r="B412" i="40" s="1"/>
  <c r="B413" i="40" s="1"/>
  <c r="B414" i="40" s="1"/>
  <c r="B415" i="40" s="1"/>
  <c r="B416" i="40" s="1"/>
  <c r="B417" i="40" s="1"/>
  <c r="B418" i="40"/>
  <c r="C513" i="40"/>
  <c r="B513" i="40"/>
  <c r="C514" i="40"/>
  <c r="C515" i="40" s="1"/>
  <c r="C516" i="40" s="1"/>
  <c r="C517" i="40" s="1"/>
  <c r="C518" i="40" s="1"/>
  <c r="C519" i="40" s="1"/>
  <c r="C520" i="40" s="1"/>
  <c r="C521" i="40" s="1"/>
  <c r="C522" i="40" s="1"/>
  <c r="C523" i="40" s="1"/>
  <c r="C524" i="40" s="1"/>
  <c r="C525" i="40" s="1"/>
  <c r="C526" i="40" s="1"/>
  <c r="C527" i="40" s="1"/>
  <c r="C528" i="40" s="1"/>
  <c r="C529" i="40" s="1"/>
  <c r="C530" i="40" s="1"/>
  <c r="C531" i="40" s="1"/>
  <c r="C532" i="40" s="1"/>
  <c r="C533" i="40" s="1"/>
  <c r="C534" i="40" s="1"/>
  <c r="C535" i="40" s="1"/>
  <c r="C536" i="40" s="1"/>
  <c r="C537" i="40" s="1"/>
  <c r="C538" i="40" s="1"/>
  <c r="C539" i="40" s="1"/>
  <c r="C540" i="40" s="1"/>
  <c r="C541" i="40" s="1"/>
  <c r="C542" i="40" s="1"/>
  <c r="C543" i="40" s="1"/>
  <c r="C544" i="40" s="1"/>
  <c r="C545" i="40" s="1"/>
  <c r="C546" i="40" s="1"/>
  <c r="C547" i="40" s="1"/>
  <c r="C548" i="40" s="1"/>
  <c r="C549" i="40" s="1"/>
  <c r="C550" i="40" s="1"/>
  <c r="C551" i="40" s="1"/>
  <c r="C552" i="40" s="1"/>
  <c r="C553" i="40" s="1"/>
  <c r="C554" i="40" s="1"/>
  <c r="C555" i="40" s="1"/>
  <c r="C556" i="40" s="1"/>
  <c r="C557" i="40" s="1"/>
  <c r="C558" i="40" s="1"/>
  <c r="C559" i="40" s="1"/>
  <c r="C560" i="40" s="1"/>
  <c r="C561" i="40" s="1"/>
  <c r="C562" i="40" s="1"/>
  <c r="C563" i="40" s="1"/>
  <c r="C564" i="40" s="1"/>
  <c r="C565" i="40" s="1"/>
  <c r="C566" i="40" s="1"/>
  <c r="C567" i="40" s="1"/>
  <c r="C568" i="40" s="1"/>
  <c r="C569" i="40" s="1"/>
  <c r="C570" i="40" s="1"/>
  <c r="C571" i="40" s="1"/>
  <c r="C572" i="40" s="1"/>
  <c r="C573" i="40" s="1"/>
  <c r="C574" i="40" s="1"/>
  <c r="C575" i="40" s="1"/>
  <c r="C576" i="40" s="1"/>
  <c r="C577" i="40" s="1"/>
  <c r="C578" i="40" s="1"/>
  <c r="C579" i="40" s="1"/>
  <c r="C580" i="40" s="1"/>
  <c r="C581" i="40" s="1"/>
  <c r="C582" i="40" s="1"/>
  <c r="C583" i="40" s="1"/>
  <c r="C584" i="40" s="1"/>
  <c r="C585" i="40" s="1"/>
  <c r="C586" i="40" s="1"/>
  <c r="B514" i="40"/>
  <c r="B515" i="40"/>
  <c r="B516" i="40" s="1"/>
  <c r="B517" i="40" s="1"/>
  <c r="B518" i="40" s="1"/>
  <c r="B519" i="40" s="1"/>
  <c r="B520" i="40" s="1"/>
  <c r="B521" i="40" s="1"/>
  <c r="B522" i="40" s="1"/>
  <c r="B523" i="40" s="1"/>
  <c r="B524" i="40" s="1"/>
  <c r="B525" i="40" s="1"/>
  <c r="B526" i="40" s="1"/>
  <c r="B527" i="40" s="1"/>
  <c r="B528" i="40" s="1"/>
  <c r="B529" i="40" s="1"/>
  <c r="B530" i="40" s="1"/>
  <c r="B531" i="40"/>
  <c r="B532" i="40" s="1"/>
  <c r="B533" i="40" s="1"/>
  <c r="B534" i="40" s="1"/>
  <c r="B535" i="40" s="1"/>
  <c r="B536" i="40" s="1"/>
  <c r="B537" i="40" s="1"/>
  <c r="B538" i="40" s="1"/>
  <c r="B539" i="40" s="1"/>
  <c r="B540" i="40" s="1"/>
  <c r="B541" i="40" s="1"/>
  <c r="B542" i="40" s="1"/>
  <c r="B543" i="40" s="1"/>
  <c r="B544" i="40" s="1"/>
  <c r="B545" i="40" s="1"/>
  <c r="B546" i="40" s="1"/>
  <c r="B547" i="40" s="1"/>
  <c r="B548" i="40" s="1"/>
  <c r="B549" i="40" s="1"/>
  <c r="B550" i="40" s="1"/>
  <c r="B551" i="40" s="1"/>
  <c r="B552" i="40" s="1"/>
  <c r="B553" i="40" s="1"/>
  <c r="B554" i="40" s="1"/>
  <c r="B555" i="40" s="1"/>
  <c r="B556" i="40" s="1"/>
  <c r="B557" i="40" s="1"/>
  <c r="B558" i="40" s="1"/>
  <c r="B559" i="40" s="1"/>
  <c r="B560" i="40" s="1"/>
  <c r="B561" i="40" s="1"/>
  <c r="B562" i="40" s="1"/>
  <c r="B563" i="40" s="1"/>
  <c r="B564" i="40" s="1"/>
  <c r="B565" i="40" s="1"/>
  <c r="B566" i="40" s="1"/>
  <c r="B567" i="40" s="1"/>
  <c r="B568" i="40" s="1"/>
  <c r="B569" i="40" s="1"/>
  <c r="B570" i="40" s="1"/>
  <c r="B571" i="40" s="1"/>
  <c r="B572" i="40" s="1"/>
  <c r="B573" i="40" s="1"/>
  <c r="B574" i="40" s="1"/>
  <c r="B575" i="40" s="1"/>
  <c r="B576" i="40" s="1"/>
  <c r="B577" i="40" s="1"/>
  <c r="B578" i="40" s="1"/>
  <c r="B579" i="40" s="1"/>
  <c r="B580" i="40" s="1"/>
  <c r="B581" i="40" s="1"/>
  <c r="B582" i="40" s="1"/>
  <c r="B583" i="40" s="1"/>
  <c r="B584" i="40" s="1"/>
  <c r="B585" i="40" s="1"/>
  <c r="B586" i="40" s="1"/>
  <c r="B587" i="40" s="1"/>
  <c r="B588" i="40" s="1"/>
  <c r="B589" i="40" s="1"/>
  <c r="B590" i="40" s="1"/>
  <c r="B591" i="40" s="1"/>
  <c r="B592" i="40" s="1"/>
  <c r="B593" i="40" s="1"/>
  <c r="B594" i="40" s="1"/>
  <c r="B595" i="40" s="1"/>
  <c r="B596" i="40" s="1"/>
  <c r="B597" i="40" s="1"/>
  <c r="B598" i="40" s="1"/>
  <c r="B599" i="40" s="1"/>
  <c r="C587" i="40"/>
  <c r="C588" i="40" s="1"/>
  <c r="C589" i="40"/>
  <c r="C590" i="40" s="1"/>
  <c r="C591" i="40"/>
  <c r="C592" i="40" s="1"/>
  <c r="C593" i="40" s="1"/>
  <c r="C594" i="40" s="1"/>
  <c r="C595" i="40" s="1"/>
  <c r="C596" i="40" s="1"/>
  <c r="C597" i="40" s="1"/>
  <c r="C598" i="40" s="1"/>
  <c r="C599" i="40"/>
  <c r="AW101" i="40"/>
  <c r="AX101" i="40"/>
  <c r="AY101" i="40"/>
  <c r="BA101" i="40"/>
  <c r="BB101" i="40"/>
  <c r="BC101" i="40"/>
  <c r="BD101" i="40"/>
  <c r="BE101" i="40"/>
  <c r="BF101" i="40"/>
  <c r="BG101" i="40"/>
  <c r="BH101" i="40"/>
  <c r="BI101" i="40"/>
  <c r="BJ101" i="40"/>
  <c r="BK101" i="40"/>
  <c r="BL101" i="40"/>
  <c r="BM101" i="40"/>
  <c r="BN101" i="40"/>
  <c r="BO101" i="40"/>
  <c r="BP101" i="40"/>
  <c r="BQ101" i="40"/>
  <c r="BR101" i="40"/>
  <c r="BS101" i="40"/>
  <c r="BT101" i="40"/>
  <c r="BU101" i="40"/>
  <c r="BV101" i="40"/>
  <c r="BW101" i="40"/>
  <c r="BX101" i="40"/>
  <c r="BY101" i="40"/>
  <c r="BZ101" i="40"/>
  <c r="CA101" i="40"/>
  <c r="CB101" i="40"/>
  <c r="CC101" i="40"/>
  <c r="CD101" i="40"/>
  <c r="CE101" i="40"/>
  <c r="CF101" i="40"/>
  <c r="CG101" i="40"/>
  <c r="CH101" i="40"/>
  <c r="CJ101" i="40"/>
  <c r="DM101" i="40"/>
  <c r="DS101" i="40"/>
  <c r="DT101" i="40"/>
  <c r="DU101" i="40"/>
  <c r="DV101" i="40"/>
  <c r="DW101" i="40"/>
  <c r="F102" i="40"/>
  <c r="G102" i="40"/>
  <c r="H102" i="40"/>
  <c r="I102" i="40"/>
  <c r="J102" i="40"/>
  <c r="K102" i="40"/>
  <c r="L102" i="40"/>
  <c r="M102" i="40"/>
  <c r="N102" i="40"/>
  <c r="O102" i="40"/>
  <c r="P102" i="40"/>
  <c r="AA102" i="40"/>
  <c r="AA319" i="40" s="1"/>
  <c r="AB102" i="40"/>
  <c r="AC102" i="40"/>
  <c r="AD102" i="40"/>
  <c r="AE102" i="40"/>
  <c r="AG102" i="40"/>
  <c r="N33" i="62" s="1"/>
  <c r="AH102" i="40"/>
  <c r="AI102" i="40"/>
  <c r="AJ102" i="40"/>
  <c r="JF102" i="40"/>
  <c r="HO102" i="40" s="1"/>
  <c r="HJ102" i="40"/>
  <c r="IJ102" i="40"/>
  <c r="IM102" i="40" s="1"/>
  <c r="II102" i="40"/>
  <c r="IL102" i="40" s="1"/>
  <c r="IK102" i="40"/>
  <c r="IN102" i="40" s="1"/>
  <c r="AT102" i="40"/>
  <c r="AT103" i="40" s="1"/>
  <c r="AT104" i="40" s="1"/>
  <c r="AT105" i="40" s="1"/>
  <c r="AW102" i="40"/>
  <c r="AX102" i="40"/>
  <c r="AY102" i="40"/>
  <c r="AZ102" i="40"/>
  <c r="BA102" i="40"/>
  <c r="BB102" i="40"/>
  <c r="BC102" i="40"/>
  <c r="BD102" i="40"/>
  <c r="J104" i="40" s="1"/>
  <c r="BE102" i="40"/>
  <c r="K104" i="40" s="1"/>
  <c r="BF102" i="40"/>
  <c r="L104" i="40" s="1"/>
  <c r="BG102" i="40"/>
  <c r="M104" i="40" s="1"/>
  <c r="BH102" i="40"/>
  <c r="N104" i="40" s="1"/>
  <c r="BI102" i="40"/>
  <c r="BJ102" i="40"/>
  <c r="BK102" i="40"/>
  <c r="BL102" i="40"/>
  <c r="BM102" i="40"/>
  <c r="BN102" i="40"/>
  <c r="BO102" i="40"/>
  <c r="BP102" i="40"/>
  <c r="BQ102" i="40"/>
  <c r="BR102" i="40"/>
  <c r="BS102" i="40"/>
  <c r="BT102" i="40"/>
  <c r="BU102" i="40"/>
  <c r="BV102" i="40"/>
  <c r="BW102" i="40"/>
  <c r="BX102" i="40"/>
  <c r="BY102" i="40"/>
  <c r="BZ102" i="40"/>
  <c r="CA102" i="40"/>
  <c r="CB102" i="40"/>
  <c r="CC102" i="40"/>
  <c r="CD102" i="40"/>
  <c r="CE102" i="40"/>
  <c r="CF102" i="40"/>
  <c r="CG102" i="40"/>
  <c r="CH102" i="40"/>
  <c r="DM102" i="40"/>
  <c r="DS102" i="40"/>
  <c r="DT102" i="40"/>
  <c r="DU102" i="40"/>
  <c r="DV102" i="40"/>
  <c r="DW102" i="40"/>
  <c r="F103" i="40"/>
  <c r="G103" i="40"/>
  <c r="H103" i="40"/>
  <c r="I103" i="40"/>
  <c r="J103" i="40"/>
  <c r="K103" i="40"/>
  <c r="L103" i="40"/>
  <c r="M103" i="40"/>
  <c r="N103" i="40"/>
  <c r="O103" i="40"/>
  <c r="P103" i="40"/>
  <c r="AA103" i="40"/>
  <c r="AB103" i="40"/>
  <c r="AC103" i="40"/>
  <c r="AD103" i="40"/>
  <c r="AE103" i="40"/>
  <c r="AF103" i="40"/>
  <c r="AG103" i="40"/>
  <c r="AH103" i="40"/>
  <c r="AI103" i="40"/>
  <c r="AJ103" i="40"/>
  <c r="HJ103" i="40"/>
  <c r="HJ104" i="40" s="1"/>
  <c r="HJ105" i="40" s="1"/>
  <c r="HJ106" i="40" s="1"/>
  <c r="HJ107" i="40" s="1"/>
  <c r="HJ108" i="40" s="1"/>
  <c r="HJ109" i="40" s="1"/>
  <c r="HJ110" i="40" s="1"/>
  <c r="HJ111" i="40" s="1"/>
  <c r="AW103" i="40"/>
  <c r="AX103" i="40"/>
  <c r="AY103" i="40"/>
  <c r="AZ103" i="40"/>
  <c r="BA103" i="40"/>
  <c r="BB103" i="40"/>
  <c r="BC103" i="40"/>
  <c r="BD103" i="40"/>
  <c r="BE103" i="40"/>
  <c r="BF103" i="40"/>
  <c r="BG103" i="40"/>
  <c r="BH103" i="40"/>
  <c r="BI103" i="40"/>
  <c r="BJ103" i="40"/>
  <c r="BK103" i="40"/>
  <c r="BL103" i="40"/>
  <c r="BM103" i="40"/>
  <c r="BN103" i="40"/>
  <c r="BO103" i="40"/>
  <c r="BP103" i="40"/>
  <c r="BQ103" i="40"/>
  <c r="BR103" i="40"/>
  <c r="BS103" i="40"/>
  <c r="BT103" i="40"/>
  <c r="BU103" i="40"/>
  <c r="BV103" i="40"/>
  <c r="BW103" i="40"/>
  <c r="BY103" i="40"/>
  <c r="BZ103" i="40"/>
  <c r="CA103" i="40"/>
  <c r="CB103" i="40"/>
  <c r="CC103" i="40"/>
  <c r="CD103" i="40"/>
  <c r="CE103" i="40"/>
  <c r="CF103" i="40"/>
  <c r="CG103" i="40"/>
  <c r="CH103" i="40"/>
  <c r="DM103" i="40"/>
  <c r="DS103" i="40"/>
  <c r="DT103" i="40"/>
  <c r="DU103" i="40"/>
  <c r="DV103" i="40"/>
  <c r="DW103" i="40"/>
  <c r="F104" i="40"/>
  <c r="G104" i="40"/>
  <c r="H104" i="40"/>
  <c r="I104" i="40"/>
  <c r="O104" i="40"/>
  <c r="P104" i="40"/>
  <c r="AA104" i="40"/>
  <c r="AB104" i="40"/>
  <c r="AC104" i="40"/>
  <c r="AD104" i="40"/>
  <c r="AE104" i="40"/>
  <c r="AF104" i="40"/>
  <c r="AG104" i="40"/>
  <c r="AH104" i="40"/>
  <c r="AI104" i="40"/>
  <c r="AJ104" i="40"/>
  <c r="AW104" i="40"/>
  <c r="AX104" i="40"/>
  <c r="AY104" i="40"/>
  <c r="AZ104" i="40"/>
  <c r="BA104" i="40"/>
  <c r="BB104" i="40"/>
  <c r="BC104" i="40"/>
  <c r="BD104" i="40"/>
  <c r="BE104" i="40"/>
  <c r="BF104" i="40"/>
  <c r="BG104" i="40"/>
  <c r="BH104" i="40"/>
  <c r="BI104" i="40"/>
  <c r="BJ104" i="40"/>
  <c r="BK104" i="40"/>
  <c r="BL104" i="40"/>
  <c r="BM104" i="40"/>
  <c r="BN104" i="40"/>
  <c r="BO104" i="40"/>
  <c r="BP104" i="40"/>
  <c r="BQ104" i="40"/>
  <c r="BR104" i="40"/>
  <c r="BS104" i="40"/>
  <c r="BT104" i="40"/>
  <c r="BU104" i="40"/>
  <c r="BV104" i="40"/>
  <c r="BW104" i="40"/>
  <c r="BY104" i="40"/>
  <c r="BZ104" i="40"/>
  <c r="CA104" i="40"/>
  <c r="CB104" i="40"/>
  <c r="CC104" i="40"/>
  <c r="CD104" i="40"/>
  <c r="CE104" i="40"/>
  <c r="CF104" i="40"/>
  <c r="CG104" i="40"/>
  <c r="CH104" i="40"/>
  <c r="DM104" i="40"/>
  <c r="DS104" i="40"/>
  <c r="DT104" i="40"/>
  <c r="DU104" i="40"/>
  <c r="DV104" i="40"/>
  <c r="DW104" i="40"/>
  <c r="HK105" i="40"/>
  <c r="HK106" i="40"/>
  <c r="HK107" i="40" s="1"/>
  <c r="HK108" i="40" s="1"/>
  <c r="HK109" i="40" s="1"/>
  <c r="HK110" i="40" s="1"/>
  <c r="AT106" i="40"/>
  <c r="AT107" i="40" s="1"/>
  <c r="AT108" i="40" s="1"/>
  <c r="AT109" i="40" s="1"/>
  <c r="AT110" i="40" s="1"/>
  <c r="AT111" i="40" s="1"/>
  <c r="AT112" i="40" s="1"/>
  <c r="AT113" i="40" s="1"/>
  <c r="AT114" i="40" s="1"/>
  <c r="AT115" i="40" s="1"/>
  <c r="AT116" i="40" s="1"/>
  <c r="AT117" i="40" s="1"/>
  <c r="HK111" i="40"/>
  <c r="HK112" i="40" s="1"/>
  <c r="HK113" i="40" s="1"/>
  <c r="HK114" i="40" s="1"/>
  <c r="HK115" i="40" s="1"/>
  <c r="HK116" i="40" s="1"/>
  <c r="HK117" i="40" s="1"/>
  <c r="HJ112" i="40"/>
  <c r="HJ113" i="40" s="1"/>
  <c r="HJ114" i="40"/>
  <c r="HJ115" i="40" s="1"/>
  <c r="HJ116" i="40" s="1"/>
  <c r="HJ117" i="40" s="1"/>
  <c r="HJ118" i="40" s="1"/>
  <c r="HJ119" i="40" s="1"/>
  <c r="HJ120" i="40" s="1"/>
  <c r="HJ121" i="40" s="1"/>
  <c r="HJ122" i="40" s="1"/>
  <c r="HJ123" i="40" s="1"/>
  <c r="HJ124" i="40" s="1"/>
  <c r="HJ125" i="40" s="1"/>
  <c r="HJ126" i="40" s="1"/>
  <c r="HJ127" i="40" s="1"/>
  <c r="HJ128" i="40" s="1"/>
  <c r="HJ129" i="40" s="1"/>
  <c r="HJ130" i="40" s="1"/>
  <c r="HJ131" i="40" s="1"/>
  <c r="HJ132" i="40" s="1"/>
  <c r="HJ133" i="40" s="1"/>
  <c r="HJ134" i="40" s="1"/>
  <c r="HK118" i="40"/>
  <c r="HK119" i="40" s="1"/>
  <c r="HK120" i="40" s="1"/>
  <c r="HK121" i="40" s="1"/>
  <c r="HK122" i="40" s="1"/>
  <c r="HK123" i="40" s="1"/>
  <c r="HK124" i="40" s="1"/>
  <c r="HK125" i="40" s="1"/>
  <c r="HK126" i="40" s="1"/>
  <c r="AT118" i="40"/>
  <c r="AT119" i="40" s="1"/>
  <c r="AT120" i="40" s="1"/>
  <c r="AT121" i="40" s="1"/>
  <c r="AT122" i="40" s="1"/>
  <c r="AT123" i="40" s="1"/>
  <c r="AT124" i="40" s="1"/>
  <c r="AT125" i="40" s="1"/>
  <c r="AT126" i="40" s="1"/>
  <c r="AT127" i="40" s="1"/>
  <c r="HK127" i="40"/>
  <c r="HK128" i="40" s="1"/>
  <c r="HK129" i="40" s="1"/>
  <c r="HK130" i="40" s="1"/>
  <c r="HK131" i="40" s="1"/>
  <c r="HK132" i="40" s="1"/>
  <c r="HK133" i="40" s="1"/>
  <c r="HK134" i="40" s="1"/>
  <c r="HK135" i="40" s="1"/>
  <c r="HK136" i="40" s="1"/>
  <c r="HK137" i="40" s="1"/>
  <c r="HK138" i="40" s="1"/>
  <c r="HK139" i="40" s="1"/>
  <c r="HK140" i="40" s="1"/>
  <c r="HK141" i="40" s="1"/>
  <c r="HK142" i="40" s="1"/>
  <c r="HK143" i="40" s="1"/>
  <c r="HK144" i="40" s="1"/>
  <c r="HK145" i="40" s="1"/>
  <c r="HK146" i="40" s="1"/>
  <c r="AT128" i="40"/>
  <c r="AT129" i="40" s="1"/>
  <c r="AT130" i="40" s="1"/>
  <c r="AT131" i="40" s="1"/>
  <c r="AT132" i="40"/>
  <c r="AT133" i="40" s="1"/>
  <c r="AT134" i="40" s="1"/>
  <c r="AT135" i="40" s="1"/>
  <c r="AT136" i="40" s="1"/>
  <c r="AT137" i="40" s="1"/>
  <c r="AT138" i="40" s="1"/>
  <c r="AT139" i="40" s="1"/>
  <c r="AT140" i="40" s="1"/>
  <c r="AT141" i="40" s="1"/>
  <c r="AT142" i="40" s="1"/>
  <c r="AT143" i="40" s="1"/>
  <c r="AT144" i="40" s="1"/>
  <c r="AT145" i="40" s="1"/>
  <c r="AT146" i="40" s="1"/>
  <c r="HJ135" i="40"/>
  <c r="HJ136" i="40" s="1"/>
  <c r="HJ137" i="40" s="1"/>
  <c r="HJ138" i="40"/>
  <c r="HJ139" i="40" s="1"/>
  <c r="HJ140" i="40"/>
  <c r="HJ141" i="40" s="1"/>
  <c r="HJ142" i="40" s="1"/>
  <c r="HJ143" i="40" s="1"/>
  <c r="HJ144" i="40" s="1"/>
  <c r="HJ145" i="40"/>
  <c r="HJ146" i="40"/>
  <c r="HJ147" i="40"/>
  <c r="HJ148" i="40" s="1"/>
  <c r="HK147" i="40"/>
  <c r="HK148" i="40" s="1"/>
  <c r="HK149" i="40" s="1"/>
  <c r="AT147" i="40"/>
  <c r="AT148" i="40" s="1"/>
  <c r="AT149" i="40" s="1"/>
  <c r="AT150" i="40" s="1"/>
  <c r="AT151" i="40" s="1"/>
  <c r="AT152" i="40" s="1"/>
  <c r="AT153" i="40" s="1"/>
  <c r="HJ149" i="40"/>
  <c r="HJ150" i="40" s="1"/>
  <c r="HJ151" i="40" s="1"/>
  <c r="HJ152" i="40" s="1"/>
  <c r="HK150" i="40"/>
  <c r="HK151" i="40" s="1"/>
  <c r="HK152" i="40" s="1"/>
  <c r="HK153" i="40" s="1"/>
  <c r="HK154" i="40" s="1"/>
  <c r="HK155" i="40" s="1"/>
  <c r="HK156" i="40" s="1"/>
  <c r="HJ153" i="40"/>
  <c r="HJ154" i="40" s="1"/>
  <c r="HJ155" i="40" s="1"/>
  <c r="HJ156" i="40" s="1"/>
  <c r="HJ157" i="40" s="1"/>
  <c r="HJ158" i="40" s="1"/>
  <c r="HJ159" i="40" s="1"/>
  <c r="HJ160" i="40" s="1"/>
  <c r="HJ161" i="40" s="1"/>
  <c r="HJ162" i="40" s="1"/>
  <c r="HJ163" i="40" s="1"/>
  <c r="AT154" i="40"/>
  <c r="AT155" i="40" s="1"/>
  <c r="AT156" i="40" s="1"/>
  <c r="AT157" i="40" s="1"/>
  <c r="AT158" i="40" s="1"/>
  <c r="AT159" i="40" s="1"/>
  <c r="HK157" i="40"/>
  <c r="HK158" i="40" s="1"/>
  <c r="HK159" i="40" s="1"/>
  <c r="HK160" i="40" s="1"/>
  <c r="HK161" i="40" s="1"/>
  <c r="HK162" i="40" s="1"/>
  <c r="HK163" i="40" s="1"/>
  <c r="HK164" i="40" s="1"/>
  <c r="AT160" i="40"/>
  <c r="AT161" i="40" s="1"/>
  <c r="AT162" i="40" s="1"/>
  <c r="AT163" i="40" s="1"/>
  <c r="AT164" i="40" s="1"/>
  <c r="AT165" i="40" s="1"/>
  <c r="AT166" i="40" s="1"/>
  <c r="AT167" i="40" s="1"/>
  <c r="AT168" i="40" s="1"/>
  <c r="AT169" i="40" s="1"/>
  <c r="AT170" i="40" s="1"/>
  <c r="AT171" i="40" s="1"/>
  <c r="AT172" i="40" s="1"/>
  <c r="AT173" i="40" s="1"/>
  <c r="AT174" i="40" s="1"/>
  <c r="AT175" i="40" s="1"/>
  <c r="AT176" i="40" s="1"/>
  <c r="AT177" i="40" s="1"/>
  <c r="AT178" i="40" s="1"/>
  <c r="AT179" i="40" s="1"/>
  <c r="AT180" i="40" s="1"/>
  <c r="AT181" i="40" s="1"/>
  <c r="AT182" i="40" s="1"/>
  <c r="AT183" i="40" s="1"/>
  <c r="AT184" i="40" s="1"/>
  <c r="AT185" i="40" s="1"/>
  <c r="AT186" i="40" s="1"/>
  <c r="AT187" i="40" s="1"/>
  <c r="AT188" i="40" s="1"/>
  <c r="AT189" i="40" s="1"/>
  <c r="AT190" i="40" s="1"/>
  <c r="AT191" i="40" s="1"/>
  <c r="AT192" i="40" s="1"/>
  <c r="AT193" i="40" s="1"/>
  <c r="AT194" i="40" s="1"/>
  <c r="AT195" i="40" s="1"/>
  <c r="AT196" i="40" s="1"/>
  <c r="AT197" i="40" s="1"/>
  <c r="AT198" i="40" s="1"/>
  <c r="AT199" i="40" s="1"/>
  <c r="AT200" i="40" s="1"/>
  <c r="HJ164" i="40"/>
  <c r="HJ165" i="40" s="1"/>
  <c r="HJ166" i="40" s="1"/>
  <c r="HJ167" i="40" s="1"/>
  <c r="HJ168" i="40" s="1"/>
  <c r="HJ169" i="40" s="1"/>
  <c r="HJ170" i="40" s="1"/>
  <c r="HJ171" i="40" s="1"/>
  <c r="HJ172" i="40" s="1"/>
  <c r="HJ173" i="40" s="1"/>
  <c r="HJ174" i="40" s="1"/>
  <c r="HJ175" i="40" s="1"/>
  <c r="HK165" i="40"/>
  <c r="HK166" i="40" s="1"/>
  <c r="HK167" i="40" s="1"/>
  <c r="HK168" i="40" s="1"/>
  <c r="HK169" i="40" s="1"/>
  <c r="HK170" i="40" s="1"/>
  <c r="HK171" i="40" s="1"/>
  <c r="HK172" i="40" s="1"/>
  <c r="HK173" i="40" s="1"/>
  <c r="HK174" i="40" s="1"/>
  <c r="HK175" i="40" s="1"/>
  <c r="A201" i="40"/>
  <c r="F201" i="40"/>
  <c r="G201" i="40"/>
  <c r="H201" i="40"/>
  <c r="I201" i="40"/>
  <c r="J201" i="40"/>
  <c r="K201" i="40"/>
  <c r="L201" i="40"/>
  <c r="M201" i="40"/>
  <c r="N201" i="40"/>
  <c r="O201" i="40"/>
  <c r="P201" i="40"/>
  <c r="AB201" i="40"/>
  <c r="AD201" i="40"/>
  <c r="AE201" i="40"/>
  <c r="AF201" i="40"/>
  <c r="AG201" i="40"/>
  <c r="AH201" i="40"/>
  <c r="AI201" i="40"/>
  <c r="AJ201" i="40"/>
  <c r="A203" i="40"/>
  <c r="KF203" i="40"/>
  <c r="A204" i="40"/>
  <c r="KF204" i="40"/>
  <c r="HK202" i="40"/>
  <c r="HK203" i="40"/>
  <c r="HK204" i="40"/>
  <c r="HK205" i="40" s="1"/>
  <c r="HK206" i="40" s="1"/>
  <c r="HK207" i="40" s="1"/>
  <c r="HK208" i="40" s="1"/>
  <c r="BX204" i="40"/>
  <c r="BX203" i="40"/>
  <c r="BX206" i="40"/>
  <c r="AZ201" i="40"/>
  <c r="A205" i="40"/>
  <c r="KF205" i="40" s="1"/>
  <c r="BX205" i="40"/>
  <c r="A208" i="40"/>
  <c r="A202" i="40"/>
  <c r="AW201" i="40"/>
  <c r="AX201" i="40"/>
  <c r="AY201" i="40"/>
  <c r="BA201" i="40"/>
  <c r="BB201" i="40"/>
  <c r="BC201" i="40"/>
  <c r="BD201" i="40"/>
  <c r="BE201" i="40"/>
  <c r="BF201" i="40"/>
  <c r="BG201" i="40"/>
  <c r="BH201" i="40"/>
  <c r="BI201" i="40"/>
  <c r="BJ201" i="40"/>
  <c r="BK201" i="40"/>
  <c r="BL201" i="40"/>
  <c r="BM201" i="40"/>
  <c r="BN201" i="40"/>
  <c r="BO201" i="40"/>
  <c r="BP201" i="40"/>
  <c r="BQ201" i="40"/>
  <c r="BR201" i="40"/>
  <c r="BS201" i="40"/>
  <c r="BT201" i="40"/>
  <c r="BU201" i="40"/>
  <c r="BV201" i="40"/>
  <c r="BW201" i="40"/>
  <c r="BX201" i="40"/>
  <c r="BY201" i="40"/>
  <c r="BZ201" i="40"/>
  <c r="CA201" i="40"/>
  <c r="CB201" i="40"/>
  <c r="CC201" i="40"/>
  <c r="CD201" i="40"/>
  <c r="CE201" i="40"/>
  <c r="CF201" i="40"/>
  <c r="CG201" i="40"/>
  <c r="CH201" i="40"/>
  <c r="DM201" i="40"/>
  <c r="DS201" i="40"/>
  <c r="DT201" i="40"/>
  <c r="DU201" i="40"/>
  <c r="DV201" i="40"/>
  <c r="DW201" i="40"/>
  <c r="F202" i="40"/>
  <c r="G202" i="40"/>
  <c r="H202" i="40"/>
  <c r="I202" i="40"/>
  <c r="J202" i="40"/>
  <c r="K202" i="40"/>
  <c r="L202" i="40"/>
  <c r="M202" i="40"/>
  <c r="N202" i="40"/>
  <c r="O202" i="40"/>
  <c r="P202" i="40"/>
  <c r="AA202" i="40"/>
  <c r="AC202" i="40"/>
  <c r="AE202" i="40"/>
  <c r="AG202" i="40"/>
  <c r="AH202" i="40"/>
  <c r="AI202" i="40"/>
  <c r="AJ202" i="40"/>
  <c r="HJ202" i="40"/>
  <c r="HJ203" i="40" s="1"/>
  <c r="AT202" i="40"/>
  <c r="AW202" i="40"/>
  <c r="AX202" i="40"/>
  <c r="AY202" i="40"/>
  <c r="AZ202" i="40"/>
  <c r="BA202" i="40"/>
  <c r="BB202" i="40"/>
  <c r="BC202" i="40"/>
  <c r="BD202" i="40"/>
  <c r="J204" i="40" s="1"/>
  <c r="BE202" i="40"/>
  <c r="K204" i="40" s="1"/>
  <c r="BF202" i="40"/>
  <c r="L204" i="40" s="1"/>
  <c r="BG202" i="40"/>
  <c r="M204" i="40" s="1"/>
  <c r="BH202" i="40"/>
  <c r="N204" i="40" s="1"/>
  <c r="BI202" i="40"/>
  <c r="BJ202" i="40"/>
  <c r="BK202" i="40"/>
  <c r="BL202" i="40"/>
  <c r="BM202" i="40"/>
  <c r="BN202" i="40"/>
  <c r="BO202" i="40"/>
  <c r="BP202" i="40"/>
  <c r="BQ202" i="40"/>
  <c r="BR202" i="40"/>
  <c r="BS202" i="40"/>
  <c r="BT202" i="40"/>
  <c r="BU202" i="40"/>
  <c r="BV202" i="40"/>
  <c r="BW202" i="40"/>
  <c r="BX202" i="40"/>
  <c r="BY202" i="40"/>
  <c r="BZ202" i="40"/>
  <c r="CA202" i="40"/>
  <c r="CB202" i="40"/>
  <c r="CC202" i="40"/>
  <c r="CD202" i="40"/>
  <c r="CE202" i="40"/>
  <c r="CF202" i="40"/>
  <c r="CG202" i="40"/>
  <c r="CH202" i="40"/>
  <c r="DM202" i="40"/>
  <c r="DS202" i="40"/>
  <c r="DT202" i="40"/>
  <c r="DU202" i="40"/>
  <c r="DV202" i="40"/>
  <c r="DW202" i="40"/>
  <c r="F203" i="40"/>
  <c r="G203" i="40"/>
  <c r="H203" i="40"/>
  <c r="I203" i="40"/>
  <c r="J203" i="40"/>
  <c r="K203" i="40"/>
  <c r="L203" i="40"/>
  <c r="M203" i="40"/>
  <c r="N203" i="40"/>
  <c r="O203" i="40"/>
  <c r="P203" i="40"/>
  <c r="AB203" i="40"/>
  <c r="AD203" i="40"/>
  <c r="AE203" i="40"/>
  <c r="AF203" i="40"/>
  <c r="AG203" i="40"/>
  <c r="AH203" i="40"/>
  <c r="AI203" i="40"/>
  <c r="AJ203" i="40"/>
  <c r="AT203" i="40"/>
  <c r="AT204" i="40" s="1"/>
  <c r="AT205" i="40" s="1"/>
  <c r="AT206" i="40" s="1"/>
  <c r="AT207" i="40" s="1"/>
  <c r="AT208" i="40" s="1"/>
  <c r="AW203" i="40"/>
  <c r="AX203" i="40"/>
  <c r="AY203" i="40"/>
  <c r="AZ203" i="40"/>
  <c r="BA203" i="40"/>
  <c r="BB203" i="40"/>
  <c r="BC203" i="40"/>
  <c r="BD203" i="40"/>
  <c r="BE203" i="40"/>
  <c r="BF203" i="40"/>
  <c r="BG203" i="40"/>
  <c r="BH203" i="40"/>
  <c r="BI203" i="40"/>
  <c r="BJ203" i="40"/>
  <c r="BK203" i="40"/>
  <c r="BL203" i="40"/>
  <c r="BM203" i="40"/>
  <c r="BN203" i="40"/>
  <c r="BO203" i="40"/>
  <c r="BP203" i="40"/>
  <c r="BQ203" i="40"/>
  <c r="BR203" i="40"/>
  <c r="BS203" i="40"/>
  <c r="BT203" i="40"/>
  <c r="BU203" i="40"/>
  <c r="BV203" i="40"/>
  <c r="BW203" i="40"/>
  <c r="BY203" i="40"/>
  <c r="BZ203" i="40"/>
  <c r="CA203" i="40"/>
  <c r="CB203" i="40"/>
  <c r="CC203" i="40"/>
  <c r="CD203" i="40"/>
  <c r="CE203" i="40"/>
  <c r="CF203" i="40"/>
  <c r="CG203" i="40"/>
  <c r="CH203" i="40"/>
  <c r="DM203" i="40"/>
  <c r="DS203" i="40"/>
  <c r="DT203" i="40"/>
  <c r="DU203" i="40"/>
  <c r="DV203" i="40"/>
  <c r="DW203" i="40"/>
  <c r="F204" i="40"/>
  <c r="G204" i="40"/>
  <c r="H204" i="40"/>
  <c r="I204" i="40"/>
  <c r="O204" i="40"/>
  <c r="P204" i="40"/>
  <c r="AB204" i="40"/>
  <c r="AD204" i="40"/>
  <c r="AE204" i="40"/>
  <c r="AF204" i="40"/>
  <c r="AG204" i="40"/>
  <c r="AH204" i="40"/>
  <c r="AI204" i="40"/>
  <c r="AJ204" i="40"/>
  <c r="HJ204" i="40"/>
  <c r="HJ205" i="40" s="1"/>
  <c r="HJ206" i="40" s="1"/>
  <c r="HJ207" i="40" s="1"/>
  <c r="HJ208" i="40" s="1"/>
  <c r="HJ209" i="40" s="1"/>
  <c r="HJ210" i="40" s="1"/>
  <c r="HJ211" i="40" s="1"/>
  <c r="HJ212" i="40" s="1"/>
  <c r="HJ213" i="40" s="1"/>
  <c r="HJ214" i="40" s="1"/>
  <c r="HJ215" i="40" s="1"/>
  <c r="AW204" i="40"/>
  <c r="AX204" i="40"/>
  <c r="AY204" i="40"/>
  <c r="AZ204" i="40"/>
  <c r="BA204" i="40"/>
  <c r="BB204" i="40"/>
  <c r="BC204" i="40"/>
  <c r="BD204" i="40"/>
  <c r="BE204" i="40"/>
  <c r="BF204" i="40"/>
  <c r="BG204" i="40"/>
  <c r="BH204" i="40"/>
  <c r="BI204" i="40"/>
  <c r="BJ204" i="40"/>
  <c r="BK204" i="40"/>
  <c r="BL204" i="40"/>
  <c r="BM204" i="40"/>
  <c r="BN204" i="40"/>
  <c r="BO204" i="40"/>
  <c r="BP204" i="40"/>
  <c r="BQ204" i="40"/>
  <c r="BR204" i="40"/>
  <c r="BS204" i="40"/>
  <c r="BT204" i="40"/>
  <c r="BU204" i="40"/>
  <c r="BV204" i="40"/>
  <c r="BW204" i="40"/>
  <c r="BY204" i="40"/>
  <c r="BZ204" i="40"/>
  <c r="CA204" i="40"/>
  <c r="CB204" i="40"/>
  <c r="CC204" i="40"/>
  <c r="CD204" i="40"/>
  <c r="CE204" i="40"/>
  <c r="CF204" i="40"/>
  <c r="CG204" i="40"/>
  <c r="CH204" i="40"/>
  <c r="DM204" i="40"/>
  <c r="DS204" i="40"/>
  <c r="DT204" i="40"/>
  <c r="DU204" i="40"/>
  <c r="DV204" i="40"/>
  <c r="DW204" i="40"/>
  <c r="F205" i="40"/>
  <c r="G205" i="40"/>
  <c r="H205" i="40"/>
  <c r="I205" i="40"/>
  <c r="J205" i="40"/>
  <c r="K205" i="40"/>
  <c r="L205" i="40"/>
  <c r="M205" i="40"/>
  <c r="N205" i="40"/>
  <c r="O205" i="40"/>
  <c r="P205" i="40"/>
  <c r="AB205" i="40"/>
  <c r="AD205" i="40"/>
  <c r="AE205" i="40"/>
  <c r="AF205" i="40"/>
  <c r="AG205" i="40"/>
  <c r="AH205" i="40"/>
  <c r="AI205" i="40"/>
  <c r="AJ205" i="40"/>
  <c r="AW205" i="40"/>
  <c r="AX205" i="40"/>
  <c r="AY205" i="40"/>
  <c r="AZ205" i="40"/>
  <c r="BA205" i="40"/>
  <c r="BB205" i="40"/>
  <c r="BC205" i="40"/>
  <c r="BD205" i="40"/>
  <c r="BE205" i="40"/>
  <c r="BF205" i="40"/>
  <c r="BG205" i="40"/>
  <c r="BH205" i="40"/>
  <c r="BI205" i="40"/>
  <c r="BJ205" i="40"/>
  <c r="BK205" i="40"/>
  <c r="BL205" i="40"/>
  <c r="BM205" i="40"/>
  <c r="BN205" i="40"/>
  <c r="BO205" i="40"/>
  <c r="BP205" i="40"/>
  <c r="BQ205" i="40"/>
  <c r="BR205" i="40"/>
  <c r="BS205" i="40"/>
  <c r="BT205" i="40"/>
  <c r="BU205" i="40"/>
  <c r="BV205" i="40"/>
  <c r="BW205" i="40"/>
  <c r="BY205" i="40"/>
  <c r="BZ205" i="40"/>
  <c r="CA205" i="40"/>
  <c r="CB205" i="40"/>
  <c r="CC205" i="40"/>
  <c r="CD205" i="40"/>
  <c r="CE205" i="40"/>
  <c r="CF205" i="40"/>
  <c r="CG205" i="40"/>
  <c r="CH205" i="40"/>
  <c r="DM205" i="40"/>
  <c r="DS205" i="40"/>
  <c r="DT205" i="40"/>
  <c r="DU205" i="40"/>
  <c r="DV205" i="40"/>
  <c r="DW205" i="40"/>
  <c r="A206" i="40"/>
  <c r="F206" i="40"/>
  <c r="G206" i="40"/>
  <c r="H206" i="40"/>
  <c r="I206" i="40"/>
  <c r="J206" i="40"/>
  <c r="K206" i="40"/>
  <c r="L206" i="40"/>
  <c r="M206" i="40"/>
  <c r="N206" i="40"/>
  <c r="O206" i="40"/>
  <c r="P206" i="40"/>
  <c r="AB206" i="40"/>
  <c r="AD206" i="40"/>
  <c r="AE206" i="40"/>
  <c r="AF206" i="40"/>
  <c r="AG206" i="40"/>
  <c r="AH206" i="40"/>
  <c r="AI206" i="40"/>
  <c r="AJ206" i="40"/>
  <c r="AW206" i="40"/>
  <c r="AX206" i="40"/>
  <c r="AY206" i="40"/>
  <c r="AZ206" i="40"/>
  <c r="BA206" i="40"/>
  <c r="BB206" i="40"/>
  <c r="BC206" i="40"/>
  <c r="BD206" i="40"/>
  <c r="BE206" i="40"/>
  <c r="BF206" i="40"/>
  <c r="BG206" i="40"/>
  <c r="BH206" i="40"/>
  <c r="BI206" i="40"/>
  <c r="BJ206" i="40"/>
  <c r="BK206" i="40"/>
  <c r="BL206" i="40"/>
  <c r="BM206" i="40"/>
  <c r="BN206" i="40"/>
  <c r="BO206" i="40"/>
  <c r="BP206" i="40"/>
  <c r="BQ206" i="40"/>
  <c r="BR206" i="40"/>
  <c r="BS206" i="40"/>
  <c r="BT206" i="40"/>
  <c r="BU206" i="40"/>
  <c r="BV206" i="40"/>
  <c r="BW206" i="40"/>
  <c r="BY206" i="40"/>
  <c r="BZ206" i="40"/>
  <c r="CA206" i="40"/>
  <c r="CB206" i="40"/>
  <c r="CC206" i="40"/>
  <c r="CD206" i="40"/>
  <c r="CE206" i="40"/>
  <c r="CF206" i="40"/>
  <c r="CG206" i="40"/>
  <c r="CH206" i="40"/>
  <c r="DM206" i="40"/>
  <c r="DS206" i="40"/>
  <c r="DT206" i="40"/>
  <c r="DU206" i="40"/>
  <c r="DV206" i="40"/>
  <c r="DW206" i="40"/>
  <c r="A207" i="40"/>
  <c r="F207" i="40"/>
  <c r="G207" i="40"/>
  <c r="H207" i="40"/>
  <c r="I207" i="40"/>
  <c r="J207" i="40"/>
  <c r="K207" i="40"/>
  <c r="L207" i="40"/>
  <c r="M207" i="40"/>
  <c r="N207" i="40"/>
  <c r="O207" i="40"/>
  <c r="P207" i="40"/>
  <c r="AB207" i="40"/>
  <c r="AD207" i="40"/>
  <c r="AE207" i="40"/>
  <c r="AF207" i="40"/>
  <c r="AG207" i="40"/>
  <c r="AH207" i="40"/>
  <c r="AI207" i="40"/>
  <c r="AJ207" i="40"/>
  <c r="AW207" i="40"/>
  <c r="AX207" i="40"/>
  <c r="AY207" i="40"/>
  <c r="AZ207" i="40"/>
  <c r="BA207" i="40"/>
  <c r="BB207" i="40"/>
  <c r="BC207" i="40"/>
  <c r="BD207" i="40"/>
  <c r="BE207" i="40"/>
  <c r="BF207" i="40"/>
  <c r="BG207" i="40"/>
  <c r="BH207" i="40"/>
  <c r="BI207" i="40"/>
  <c r="BJ207" i="40"/>
  <c r="BK207" i="40"/>
  <c r="BL207" i="40"/>
  <c r="BM207" i="40"/>
  <c r="BN207" i="40"/>
  <c r="BO207" i="40"/>
  <c r="BP207" i="40"/>
  <c r="BQ207" i="40"/>
  <c r="BR207" i="40"/>
  <c r="BS207" i="40"/>
  <c r="BT207" i="40"/>
  <c r="BU207" i="40"/>
  <c r="BV207" i="40"/>
  <c r="BW207" i="40"/>
  <c r="BX207" i="40"/>
  <c r="BY207" i="40"/>
  <c r="BZ207" i="40"/>
  <c r="CA207" i="40"/>
  <c r="CB207" i="40"/>
  <c r="CC207" i="40"/>
  <c r="CD207" i="40"/>
  <c r="CE207" i="40"/>
  <c r="CF207" i="40"/>
  <c r="CG207" i="40"/>
  <c r="CH207" i="40"/>
  <c r="DM207" i="40"/>
  <c r="DS207" i="40"/>
  <c r="DT207" i="40"/>
  <c r="DU207" i="40"/>
  <c r="DV207" i="40"/>
  <c r="DW207" i="40"/>
  <c r="F208" i="40"/>
  <c r="G208" i="40"/>
  <c r="H208" i="40"/>
  <c r="I208" i="40"/>
  <c r="J208" i="40"/>
  <c r="K208" i="40"/>
  <c r="L208" i="40"/>
  <c r="M208" i="40"/>
  <c r="N208" i="40"/>
  <c r="O208" i="40"/>
  <c r="P208" i="40"/>
  <c r="AA208" i="40"/>
  <c r="AC208" i="40"/>
  <c r="AE208" i="40"/>
  <c r="AG208" i="40"/>
  <c r="AH208" i="40"/>
  <c r="AI208" i="40"/>
  <c r="AJ208" i="40"/>
  <c r="AW208" i="40"/>
  <c r="AX208" i="40"/>
  <c r="AY208" i="40"/>
  <c r="AZ208" i="40"/>
  <c r="BA208" i="40"/>
  <c r="BB208" i="40"/>
  <c r="BC208" i="40"/>
  <c r="BD208" i="40"/>
  <c r="BE208" i="40"/>
  <c r="BF208" i="40"/>
  <c r="BG208" i="40"/>
  <c r="BH208" i="40"/>
  <c r="BI208" i="40"/>
  <c r="BJ208" i="40"/>
  <c r="BK208" i="40"/>
  <c r="BL208" i="40"/>
  <c r="BM208" i="40"/>
  <c r="BN208" i="40"/>
  <c r="BO208" i="40"/>
  <c r="BP208" i="40"/>
  <c r="BQ208" i="40"/>
  <c r="BR208" i="40"/>
  <c r="BS208" i="40"/>
  <c r="BT208" i="40"/>
  <c r="BU208" i="40"/>
  <c r="BV208" i="40"/>
  <c r="BW208" i="40"/>
  <c r="BX208" i="40"/>
  <c r="BY208" i="40"/>
  <c r="BZ208" i="40"/>
  <c r="CA208" i="40"/>
  <c r="CB208" i="40"/>
  <c r="CC208" i="40"/>
  <c r="CD208" i="40"/>
  <c r="CE208" i="40"/>
  <c r="CF208" i="40"/>
  <c r="CG208" i="40"/>
  <c r="CH208" i="40"/>
  <c r="DM208" i="40"/>
  <c r="DS208" i="40"/>
  <c r="DT208" i="40"/>
  <c r="DU208" i="40"/>
  <c r="DV208" i="40"/>
  <c r="DW208" i="40"/>
  <c r="A209" i="40"/>
  <c r="BX209" i="40"/>
  <c r="F209" i="40"/>
  <c r="K209" i="40"/>
  <c r="L209" i="40"/>
  <c r="M209" i="40"/>
  <c r="N209" i="40"/>
  <c r="P209" i="40"/>
  <c r="AA209" i="40"/>
  <c r="AC209" i="40"/>
  <c r="AE209" i="40"/>
  <c r="AG209" i="40"/>
  <c r="AI209" i="40"/>
  <c r="G209" i="40"/>
  <c r="H209" i="40"/>
  <c r="I209" i="40"/>
  <c r="J209" i="40"/>
  <c r="O209" i="40"/>
  <c r="AH209" i="40"/>
  <c r="AJ209" i="40"/>
  <c r="HK209" i="40"/>
  <c r="HK210" i="40" s="1"/>
  <c r="HK211" i="40" s="1"/>
  <c r="HK212" i="40" s="1"/>
  <c r="HK213" i="40" s="1"/>
  <c r="HK214" i="40" s="1"/>
  <c r="HK215" i="40" s="1"/>
  <c r="HK216" i="40" s="1"/>
  <c r="HK217" i="40" s="1"/>
  <c r="HK218" i="40" s="1"/>
  <c r="HK219" i="40" s="1"/>
  <c r="HK220" i="40" s="1"/>
  <c r="HK221" i="40" s="1"/>
  <c r="HK222" i="40" s="1"/>
  <c r="HK223" i="40" s="1"/>
  <c r="HK224" i="40" s="1"/>
  <c r="HK225" i="40" s="1"/>
  <c r="HK226" i="40" s="1"/>
  <c r="HK227" i="40" s="1"/>
  <c r="AT209" i="40"/>
  <c r="AT210" i="40" s="1"/>
  <c r="AT211" i="40" s="1"/>
  <c r="AT212" i="40" s="1"/>
  <c r="AT213" i="40" s="1"/>
  <c r="AT214" i="40" s="1"/>
  <c r="AT215" i="40" s="1"/>
  <c r="AT216" i="40" s="1"/>
  <c r="AT217" i="40" s="1"/>
  <c r="AT218" i="40" s="1"/>
  <c r="AT219" i="40" s="1"/>
  <c r="AT220" i="40" s="1"/>
  <c r="AT221" i="40" s="1"/>
  <c r="AT222" i="40" s="1"/>
  <c r="AT223" i="40" s="1"/>
  <c r="AT224" i="40" s="1"/>
  <c r="AT225" i="40" s="1"/>
  <c r="AT226" i="40" s="1"/>
  <c r="AT227" i="40" s="1"/>
  <c r="AW209" i="40"/>
  <c r="AX209" i="40"/>
  <c r="AZ209" i="40"/>
  <c r="BA209" i="40"/>
  <c r="BB209" i="40"/>
  <c r="BC209" i="40"/>
  <c r="BD209" i="40"/>
  <c r="BE209" i="40"/>
  <c r="BF209" i="40"/>
  <c r="BG209" i="40"/>
  <c r="BH209" i="40"/>
  <c r="BI209" i="40"/>
  <c r="BJ209" i="40"/>
  <c r="BK209" i="40"/>
  <c r="BL209" i="40"/>
  <c r="BM209" i="40"/>
  <c r="BN209" i="40"/>
  <c r="BO209" i="40"/>
  <c r="BP209" i="40"/>
  <c r="BQ209" i="40"/>
  <c r="BR209" i="40"/>
  <c r="BS209" i="40"/>
  <c r="BT209" i="40"/>
  <c r="BU209" i="40"/>
  <c r="BV209" i="40"/>
  <c r="BW209" i="40"/>
  <c r="BY209" i="40"/>
  <c r="BZ209" i="40"/>
  <c r="CA209" i="40"/>
  <c r="CB209" i="40"/>
  <c r="CC209" i="40"/>
  <c r="CD209" i="40"/>
  <c r="CE209" i="40"/>
  <c r="CF209" i="40"/>
  <c r="CG209" i="40"/>
  <c r="CH209" i="40"/>
  <c r="DM209" i="40"/>
  <c r="DS209" i="40"/>
  <c r="DT209" i="40"/>
  <c r="DU209" i="40"/>
  <c r="DV209" i="40"/>
  <c r="DW209" i="40"/>
  <c r="HJ216" i="40"/>
  <c r="HJ217" i="40" s="1"/>
  <c r="HJ218" i="40" s="1"/>
  <c r="HJ219" i="40" s="1"/>
  <c r="HJ220" i="40"/>
  <c r="HJ221" i="40" s="1"/>
  <c r="HJ222" i="40" s="1"/>
  <c r="HJ223" i="40" s="1"/>
  <c r="HJ224" i="40" s="1"/>
  <c r="HJ225" i="40" s="1"/>
  <c r="HJ226" i="40" s="1"/>
  <c r="HJ227" i="40" s="1"/>
  <c r="HJ228" i="40" s="1"/>
  <c r="HJ229" i="40" s="1"/>
  <c r="HJ230" i="40" s="1"/>
  <c r="HJ231" i="40" s="1"/>
  <c r="HJ232" i="40" s="1"/>
  <c r="HK228" i="40"/>
  <c r="HK229" i="40" s="1"/>
  <c r="HK230" i="40" s="1"/>
  <c r="HK231" i="40" s="1"/>
  <c r="HK232" i="40" s="1"/>
  <c r="HK233" i="40" s="1"/>
  <c r="HK234" i="40" s="1"/>
  <c r="HK235" i="40" s="1"/>
  <c r="HK236" i="40" s="1"/>
  <c r="HK237" i="40" s="1"/>
  <c r="HK238" i="40" s="1"/>
  <c r="HK239" i="40" s="1"/>
  <c r="HK240" i="40" s="1"/>
  <c r="HK241" i="40" s="1"/>
  <c r="HK242" i="40" s="1"/>
  <c r="HK243" i="40" s="1"/>
  <c r="HK244" i="40" s="1"/>
  <c r="HK245" i="40" s="1"/>
  <c r="HK246" i="40" s="1"/>
  <c r="HK247" i="40" s="1"/>
  <c r="AT228" i="40"/>
  <c r="AT229" i="40" s="1"/>
  <c r="AT230" i="40" s="1"/>
  <c r="AT231" i="40" s="1"/>
  <c r="AT232" i="40" s="1"/>
  <c r="AT233" i="40" s="1"/>
  <c r="AT234" i="40" s="1"/>
  <c r="AT235" i="40" s="1"/>
  <c r="AT236" i="40" s="1"/>
  <c r="AT237" i="40" s="1"/>
  <c r="AT238" i="40" s="1"/>
  <c r="AT239" i="40" s="1"/>
  <c r="AT240" i="40" s="1"/>
  <c r="HJ233" i="40"/>
  <c r="HJ234" i="40" s="1"/>
  <c r="HJ235" i="40" s="1"/>
  <c r="HJ236" i="40" s="1"/>
  <c r="HJ237" i="40" s="1"/>
  <c r="HJ238" i="40" s="1"/>
  <c r="HJ239" i="40" s="1"/>
  <c r="HJ240" i="40" s="1"/>
  <c r="HJ241" i="40" s="1"/>
  <c r="HJ242" i="40" s="1"/>
  <c r="HJ243" i="40" s="1"/>
  <c r="HJ244" i="40" s="1"/>
  <c r="HJ245" i="40" s="1"/>
  <c r="HJ246" i="40" s="1"/>
  <c r="HJ247" i="40" s="1"/>
  <c r="HJ248" i="40" s="1"/>
  <c r="HJ249" i="40" s="1"/>
  <c r="HJ250" i="40" s="1"/>
  <c r="HJ251" i="40" s="1"/>
  <c r="HJ252" i="40" s="1"/>
  <c r="AT241" i="40"/>
  <c r="AT242" i="40" s="1"/>
  <c r="AT243" i="40" s="1"/>
  <c r="AT244" i="40" s="1"/>
  <c r="AT245" i="40" s="1"/>
  <c r="AT246" i="40" s="1"/>
  <c r="AT247" i="40" s="1"/>
  <c r="HK248" i="40"/>
  <c r="HK249" i="40" s="1"/>
  <c r="HK250" i="40" s="1"/>
  <c r="HK251" i="40" s="1"/>
  <c r="HK252" i="40" s="1"/>
  <c r="HK253" i="40" s="1"/>
  <c r="HK254" i="40" s="1"/>
  <c r="HK255" i="40" s="1"/>
  <c r="HK256" i="40" s="1"/>
  <c r="HK257" i="40" s="1"/>
  <c r="HK258" i="40" s="1"/>
  <c r="AT248" i="40"/>
  <c r="AT249" i="40"/>
  <c r="AT250" i="40" s="1"/>
  <c r="AT251" i="40" s="1"/>
  <c r="AT252" i="40" s="1"/>
  <c r="AT253" i="40" s="1"/>
  <c r="AT254" i="40" s="1"/>
  <c r="AT255" i="40" s="1"/>
  <c r="AT256" i="40" s="1"/>
  <c r="AT257" i="40" s="1"/>
  <c r="AT258" i="40" s="1"/>
  <c r="AT259" i="40" s="1"/>
  <c r="AT260" i="40" s="1"/>
  <c r="AT261" i="40" s="1"/>
  <c r="AT262" i="40" s="1"/>
  <c r="AT263" i="40" s="1"/>
  <c r="AT264" i="40" s="1"/>
  <c r="AT265" i="40" s="1"/>
  <c r="AT266" i="40" s="1"/>
  <c r="AT267" i="40" s="1"/>
  <c r="AT268" i="40" s="1"/>
  <c r="AT269" i="40" s="1"/>
  <c r="AT270" i="40" s="1"/>
  <c r="AT271" i="40" s="1"/>
  <c r="AT272" i="40" s="1"/>
  <c r="AT273" i="40" s="1"/>
  <c r="AT274" i="40" s="1"/>
  <c r="AT275" i="40" s="1"/>
  <c r="AT276" i="40" s="1"/>
  <c r="AT277" i="40" s="1"/>
  <c r="AT278" i="40" s="1"/>
  <c r="AT279" i="40" s="1"/>
  <c r="AT280" i="40" s="1"/>
  <c r="AT281" i="40" s="1"/>
  <c r="AT282" i="40" s="1"/>
  <c r="AT283" i="40" s="1"/>
  <c r="AT284" i="40" s="1"/>
  <c r="HJ253" i="40"/>
  <c r="HJ254" i="40"/>
  <c r="HJ255" i="40" s="1"/>
  <c r="HJ256" i="40" s="1"/>
  <c r="HJ257" i="40" s="1"/>
  <c r="HJ258" i="40" s="1"/>
  <c r="HJ259" i="40" s="1"/>
  <c r="HJ260" i="40" s="1"/>
  <c r="HJ261" i="40" s="1"/>
  <c r="HJ262" i="40" s="1"/>
  <c r="HJ263" i="40" s="1"/>
  <c r="HJ264" i="40" s="1"/>
  <c r="HJ265" i="40" s="1"/>
  <c r="HJ266" i="40" s="1"/>
  <c r="HJ267" i="40" s="1"/>
  <c r="HJ268" i="40" s="1"/>
  <c r="HJ269" i="40" s="1"/>
  <c r="HJ270" i="40" s="1"/>
  <c r="HJ271" i="40" s="1"/>
  <c r="HJ272" i="40" s="1"/>
  <c r="HJ273" i="40" s="1"/>
  <c r="HJ274" i="40" s="1"/>
  <c r="HJ275" i="40" s="1"/>
  <c r="HK259" i="40"/>
  <c r="HK260" i="40" s="1"/>
  <c r="HK261" i="40" s="1"/>
  <c r="HK262" i="40" s="1"/>
  <c r="HK263" i="40"/>
  <c r="HK264" i="40" s="1"/>
  <c r="HK265" i="40" s="1"/>
  <c r="HK266" i="40" s="1"/>
  <c r="HK267" i="40" s="1"/>
  <c r="HK268" i="40" s="1"/>
  <c r="HK269" i="40" s="1"/>
  <c r="HK270" i="40" s="1"/>
  <c r="HK271" i="40" s="1"/>
  <c r="HK272" i="40" s="1"/>
  <c r="HK273" i="40" s="1"/>
  <c r="HK274" i="40" s="1"/>
  <c r="HK275" i="40" s="1"/>
  <c r="AT285" i="40"/>
  <c r="AT286" i="40" s="1"/>
  <c r="AT287" i="40" s="1"/>
  <c r="AT288" i="40" s="1"/>
  <c r="AT289" i="40" s="1"/>
  <c r="AT290" i="40" s="1"/>
  <c r="AT291" i="40" s="1"/>
  <c r="AT292" i="40" s="1"/>
  <c r="AT293" i="40" s="1"/>
  <c r="AT294" i="40" s="1"/>
  <c r="AT295" i="40" s="1"/>
  <c r="AT296" i="40" s="1"/>
  <c r="AT297" i="40" s="1"/>
  <c r="AT298" i="40" s="1"/>
  <c r="AT299" i="40" s="1"/>
  <c r="AT300" i="40" s="1"/>
  <c r="A301" i="40"/>
  <c r="F301" i="40"/>
  <c r="G301" i="40"/>
  <c r="H301" i="40"/>
  <c r="I301" i="40"/>
  <c r="J301" i="40"/>
  <c r="K301" i="40"/>
  <c r="L301" i="40"/>
  <c r="M301" i="40"/>
  <c r="N301" i="40"/>
  <c r="O301" i="40"/>
  <c r="P301" i="40"/>
  <c r="AB301" i="40"/>
  <c r="AD301" i="40"/>
  <c r="AE301" i="40"/>
  <c r="AF301" i="40"/>
  <c r="AG301" i="40"/>
  <c r="AH301" i="40"/>
  <c r="AI301" i="40"/>
  <c r="AJ301" i="40"/>
  <c r="A303" i="40"/>
  <c r="KF303" i="40"/>
  <c r="A304" i="40"/>
  <c r="KF304" i="40"/>
  <c r="HK302" i="40"/>
  <c r="HK303" i="40"/>
  <c r="HK304" i="40" s="1"/>
  <c r="BX304" i="40"/>
  <c r="BX303" i="40"/>
  <c r="BX306" i="40"/>
  <c r="AZ301" i="40"/>
  <c r="A305" i="40"/>
  <c r="KF305" i="40"/>
  <c r="BX305" i="40"/>
  <c r="A384" i="40"/>
  <c r="A320" i="40"/>
  <c r="A302" i="40"/>
  <c r="AW301" i="40"/>
  <c r="AX301" i="40"/>
  <c r="AY301" i="40"/>
  <c r="BA301" i="40"/>
  <c r="BB301" i="40"/>
  <c r="BC301" i="40"/>
  <c r="BD301" i="40"/>
  <c r="BE301" i="40"/>
  <c r="BF301" i="40"/>
  <c r="BG301" i="40"/>
  <c r="BH301" i="40"/>
  <c r="BI301" i="40"/>
  <c r="BJ301" i="40"/>
  <c r="BK301" i="40"/>
  <c r="BL301" i="40"/>
  <c r="BM301" i="40"/>
  <c r="BN301" i="40"/>
  <c r="BO301" i="40"/>
  <c r="BP301" i="40"/>
  <c r="BQ301" i="40"/>
  <c r="BR301" i="40"/>
  <c r="BS301" i="40"/>
  <c r="BT301" i="40"/>
  <c r="BU301" i="40"/>
  <c r="BV301" i="40"/>
  <c r="BW301" i="40"/>
  <c r="BX301" i="40"/>
  <c r="BY301" i="40"/>
  <c r="BZ301" i="40"/>
  <c r="CA301" i="40"/>
  <c r="CB301" i="40"/>
  <c r="CC301" i="40"/>
  <c r="CD301" i="40"/>
  <c r="CE301" i="40"/>
  <c r="CF301" i="40"/>
  <c r="CG301" i="40"/>
  <c r="CH301" i="40"/>
  <c r="DM301" i="40"/>
  <c r="DS301" i="40"/>
  <c r="DT301" i="40"/>
  <c r="DU301" i="40"/>
  <c r="DV301" i="40"/>
  <c r="DW301" i="40"/>
  <c r="F302" i="40"/>
  <c r="G302" i="40"/>
  <c r="H302" i="40"/>
  <c r="I302" i="40"/>
  <c r="J302" i="40"/>
  <c r="K302" i="40"/>
  <c r="L302" i="40"/>
  <c r="M302" i="40"/>
  <c r="N302" i="40"/>
  <c r="O302" i="40"/>
  <c r="P302" i="40"/>
  <c r="AA302" i="40"/>
  <c r="AC302" i="40"/>
  <c r="AE302" i="40"/>
  <c r="AG302" i="40"/>
  <c r="AH302" i="40"/>
  <c r="AI302" i="40"/>
  <c r="AJ302" i="40"/>
  <c r="HJ302" i="40"/>
  <c r="AT302" i="40"/>
  <c r="AT303" i="40" s="1"/>
  <c r="AT304" i="40" s="1"/>
  <c r="AT305" i="40" s="1"/>
  <c r="AT306" i="40" s="1"/>
  <c r="AW302" i="40"/>
  <c r="AX302" i="40"/>
  <c r="AY302" i="40"/>
  <c r="AZ302" i="40"/>
  <c r="BA302" i="40"/>
  <c r="BB302" i="40"/>
  <c r="BC302" i="40"/>
  <c r="BD302" i="40"/>
  <c r="J304" i="40" s="1"/>
  <c r="BE302" i="40"/>
  <c r="K304" i="40" s="1"/>
  <c r="BF302" i="40"/>
  <c r="L304" i="40" s="1"/>
  <c r="BG302" i="40"/>
  <c r="M304" i="40" s="1"/>
  <c r="BH302" i="40"/>
  <c r="N304" i="40" s="1"/>
  <c r="BI302" i="40"/>
  <c r="BJ302" i="40"/>
  <c r="BK302" i="40"/>
  <c r="BL302" i="40"/>
  <c r="BM302" i="40"/>
  <c r="BN302" i="40"/>
  <c r="BO302" i="40"/>
  <c r="BP302" i="40"/>
  <c r="BQ302" i="40"/>
  <c r="BR302" i="40"/>
  <c r="BS302" i="40"/>
  <c r="BT302" i="40"/>
  <c r="BU302" i="40"/>
  <c r="BV302" i="40"/>
  <c r="BW302" i="40"/>
  <c r="BX302" i="40"/>
  <c r="BY302" i="40"/>
  <c r="BZ302" i="40"/>
  <c r="CA302" i="40"/>
  <c r="CB302" i="40"/>
  <c r="CC302" i="40"/>
  <c r="CD302" i="40"/>
  <c r="CE302" i="40"/>
  <c r="CF302" i="40"/>
  <c r="CG302" i="40"/>
  <c r="CH302" i="40"/>
  <c r="DM302" i="40"/>
  <c r="DS302" i="40"/>
  <c r="DT302" i="40"/>
  <c r="DU302" i="40"/>
  <c r="DV302" i="40"/>
  <c r="DW302" i="40"/>
  <c r="F303" i="40"/>
  <c r="G303" i="40"/>
  <c r="H303" i="40"/>
  <c r="I303" i="40"/>
  <c r="J303" i="40"/>
  <c r="K303" i="40"/>
  <c r="L303" i="40"/>
  <c r="M303" i="40"/>
  <c r="N303" i="40"/>
  <c r="O303" i="40"/>
  <c r="P303" i="40"/>
  <c r="AB303" i="40"/>
  <c r="AD303" i="40"/>
  <c r="AE303" i="40"/>
  <c r="AF303" i="40"/>
  <c r="AG303" i="40"/>
  <c r="AH303" i="40"/>
  <c r="AI303" i="40"/>
  <c r="AJ303" i="40"/>
  <c r="HJ303" i="40"/>
  <c r="AW303" i="40"/>
  <c r="AX303" i="40"/>
  <c r="AY303" i="40"/>
  <c r="AZ303" i="40"/>
  <c r="BA303" i="40"/>
  <c r="BB303" i="40"/>
  <c r="BC303" i="40"/>
  <c r="BD303" i="40"/>
  <c r="BE303" i="40"/>
  <c r="BF303" i="40"/>
  <c r="BG303" i="40"/>
  <c r="BH303" i="40"/>
  <c r="BI303" i="40"/>
  <c r="BJ303" i="40"/>
  <c r="BK303" i="40"/>
  <c r="BL303" i="40"/>
  <c r="BM303" i="40"/>
  <c r="BN303" i="40"/>
  <c r="BO303" i="40"/>
  <c r="BP303" i="40"/>
  <c r="BQ303" i="40"/>
  <c r="BR303" i="40"/>
  <c r="BS303" i="40"/>
  <c r="BT303" i="40"/>
  <c r="BU303" i="40"/>
  <c r="BV303" i="40"/>
  <c r="BW303" i="40"/>
  <c r="BY303" i="40"/>
  <c r="BZ303" i="40"/>
  <c r="CA303" i="40"/>
  <c r="CB303" i="40"/>
  <c r="CC303" i="40"/>
  <c r="CD303" i="40"/>
  <c r="CE303" i="40"/>
  <c r="CF303" i="40"/>
  <c r="CG303" i="40"/>
  <c r="CH303" i="40"/>
  <c r="DM303" i="40"/>
  <c r="DS303" i="40"/>
  <c r="DT303" i="40"/>
  <c r="DU303" i="40"/>
  <c r="DV303" i="40"/>
  <c r="DW303" i="40"/>
  <c r="F304" i="40"/>
  <c r="G304" i="40"/>
  <c r="H304" i="40"/>
  <c r="I304" i="40"/>
  <c r="O304" i="40"/>
  <c r="P304" i="40"/>
  <c r="AB304" i="40"/>
  <c r="AD304" i="40"/>
  <c r="AE304" i="40"/>
  <c r="AF304" i="40"/>
  <c r="AG304" i="40"/>
  <c r="AH304" i="40"/>
  <c r="AI304" i="40"/>
  <c r="AJ304" i="40"/>
  <c r="HJ304" i="40"/>
  <c r="AW304" i="40"/>
  <c r="AX304" i="40"/>
  <c r="AY304" i="40"/>
  <c r="AZ304" i="40"/>
  <c r="BA304" i="40"/>
  <c r="BB304" i="40"/>
  <c r="BC304" i="40"/>
  <c r="BD304" i="40"/>
  <c r="BE304" i="40"/>
  <c r="BF304" i="40"/>
  <c r="BG304" i="40"/>
  <c r="BH304" i="40"/>
  <c r="BI304" i="40"/>
  <c r="BJ304" i="40"/>
  <c r="BK304" i="40"/>
  <c r="BL304" i="40"/>
  <c r="BM304" i="40"/>
  <c r="BN304" i="40"/>
  <c r="BO304" i="40"/>
  <c r="BP304" i="40"/>
  <c r="BQ304" i="40"/>
  <c r="BR304" i="40"/>
  <c r="BS304" i="40"/>
  <c r="BT304" i="40"/>
  <c r="BU304" i="40"/>
  <c r="BV304" i="40"/>
  <c r="BW304" i="40"/>
  <c r="BY304" i="40"/>
  <c r="BZ304" i="40"/>
  <c r="CA304" i="40"/>
  <c r="CB304" i="40"/>
  <c r="CC304" i="40"/>
  <c r="CD304" i="40"/>
  <c r="CE304" i="40"/>
  <c r="CF304" i="40"/>
  <c r="CG304" i="40"/>
  <c r="CH304" i="40"/>
  <c r="DM304" i="40"/>
  <c r="DS304" i="40"/>
  <c r="DT304" i="40"/>
  <c r="DU304" i="40"/>
  <c r="DV304" i="40"/>
  <c r="DW304" i="40"/>
  <c r="F305" i="40"/>
  <c r="G305" i="40"/>
  <c r="H305" i="40"/>
  <c r="I305" i="40"/>
  <c r="J305" i="40"/>
  <c r="K305" i="40"/>
  <c r="L305" i="40"/>
  <c r="M305" i="40"/>
  <c r="N305" i="40"/>
  <c r="O305" i="40"/>
  <c r="P305" i="40"/>
  <c r="AB305" i="40"/>
  <c r="AD305" i="40"/>
  <c r="AE305" i="40"/>
  <c r="AF305" i="40"/>
  <c r="AG305" i="40"/>
  <c r="AH305" i="40"/>
  <c r="AI305" i="40"/>
  <c r="AJ305" i="40"/>
  <c r="HJ305" i="40"/>
  <c r="HK305" i="40"/>
  <c r="HK306" i="40" s="1"/>
  <c r="AW305" i="40"/>
  <c r="AX305" i="40"/>
  <c r="AY305" i="40"/>
  <c r="AZ305" i="40"/>
  <c r="BA305" i="40"/>
  <c r="BB305" i="40"/>
  <c r="BC305" i="40"/>
  <c r="BD305" i="40"/>
  <c r="BE305" i="40"/>
  <c r="BF305" i="40"/>
  <c r="BG305" i="40"/>
  <c r="BH305" i="40"/>
  <c r="BI305" i="40"/>
  <c r="BJ305" i="40"/>
  <c r="BK305" i="40"/>
  <c r="BL305" i="40"/>
  <c r="BM305" i="40"/>
  <c r="BN305" i="40"/>
  <c r="BO305" i="40"/>
  <c r="BP305" i="40"/>
  <c r="BQ305" i="40"/>
  <c r="BR305" i="40"/>
  <c r="BS305" i="40"/>
  <c r="BT305" i="40"/>
  <c r="BU305" i="40"/>
  <c r="BV305" i="40"/>
  <c r="BW305" i="40"/>
  <c r="BY305" i="40"/>
  <c r="BZ305" i="40"/>
  <c r="CA305" i="40"/>
  <c r="CB305" i="40"/>
  <c r="CC305" i="40"/>
  <c r="CD305" i="40"/>
  <c r="CE305" i="40"/>
  <c r="CF305" i="40"/>
  <c r="CG305" i="40"/>
  <c r="CH305" i="40"/>
  <c r="DM305" i="40"/>
  <c r="DS305" i="40"/>
  <c r="DT305" i="40"/>
  <c r="DU305" i="40"/>
  <c r="DV305" i="40"/>
  <c r="DW305" i="40"/>
  <c r="A306" i="40"/>
  <c r="F306" i="40"/>
  <c r="G306" i="40"/>
  <c r="H306" i="40"/>
  <c r="I306" i="40"/>
  <c r="J306" i="40"/>
  <c r="K306" i="40"/>
  <c r="L306" i="40"/>
  <c r="M306" i="40"/>
  <c r="N306" i="40"/>
  <c r="O306" i="40"/>
  <c r="P306" i="40"/>
  <c r="AB306" i="40"/>
  <c r="AD306" i="40"/>
  <c r="AE306" i="40"/>
  <c r="AF306" i="40"/>
  <c r="AG306" i="40"/>
  <c r="AH306" i="40"/>
  <c r="AI306" i="40"/>
  <c r="AJ306" i="40"/>
  <c r="HJ306" i="40"/>
  <c r="AW306" i="40"/>
  <c r="AX306" i="40"/>
  <c r="AY306" i="40"/>
  <c r="AZ306" i="40"/>
  <c r="BA306" i="40"/>
  <c r="BB306" i="40"/>
  <c r="BC306" i="40"/>
  <c r="BD306" i="40"/>
  <c r="BE306" i="40"/>
  <c r="BF306" i="40"/>
  <c r="BG306" i="40"/>
  <c r="BH306" i="40"/>
  <c r="BI306" i="40"/>
  <c r="BJ306" i="40"/>
  <c r="BK306" i="40"/>
  <c r="BL306" i="40"/>
  <c r="BM306" i="40"/>
  <c r="BN306" i="40"/>
  <c r="BO306" i="40"/>
  <c r="BP306" i="40"/>
  <c r="BQ306" i="40"/>
  <c r="BR306" i="40"/>
  <c r="BS306" i="40"/>
  <c r="BT306" i="40"/>
  <c r="BU306" i="40"/>
  <c r="BV306" i="40"/>
  <c r="BW306" i="40"/>
  <c r="BY306" i="40"/>
  <c r="BZ306" i="40"/>
  <c r="CA306" i="40"/>
  <c r="CB306" i="40"/>
  <c r="CC306" i="40"/>
  <c r="CD306" i="40"/>
  <c r="CE306" i="40"/>
  <c r="CF306" i="40"/>
  <c r="CG306" i="40"/>
  <c r="CH306" i="40"/>
  <c r="DM306" i="40"/>
  <c r="DS306" i="40"/>
  <c r="DT306" i="40"/>
  <c r="DU306" i="40"/>
  <c r="DV306" i="40"/>
  <c r="DW306" i="40"/>
  <c r="A307" i="40"/>
  <c r="F307" i="40"/>
  <c r="G307" i="40"/>
  <c r="H307" i="40"/>
  <c r="I307" i="40"/>
  <c r="J307" i="40"/>
  <c r="K307" i="40"/>
  <c r="L307" i="40"/>
  <c r="M307" i="40"/>
  <c r="N307" i="40"/>
  <c r="O307" i="40"/>
  <c r="P307" i="40"/>
  <c r="AB307" i="40"/>
  <c r="AD307" i="40"/>
  <c r="AE307" i="40"/>
  <c r="AF307" i="40"/>
  <c r="AG307" i="40"/>
  <c r="AH307" i="40"/>
  <c r="AI307" i="40"/>
  <c r="AJ307" i="40"/>
  <c r="HJ307" i="40"/>
  <c r="HK307" i="40"/>
  <c r="AT307" i="40"/>
  <c r="AW307" i="40"/>
  <c r="AX307" i="40"/>
  <c r="AY307" i="40"/>
  <c r="AZ307" i="40"/>
  <c r="BA307" i="40"/>
  <c r="BB307" i="40"/>
  <c r="BC307" i="40"/>
  <c r="BD307" i="40"/>
  <c r="BE307" i="40"/>
  <c r="BF307" i="40"/>
  <c r="BG307" i="40"/>
  <c r="BH307" i="40"/>
  <c r="BI307" i="40"/>
  <c r="BJ307" i="40"/>
  <c r="BK307" i="40"/>
  <c r="BL307" i="40"/>
  <c r="BM307" i="40"/>
  <c r="BN307" i="40"/>
  <c r="BO307" i="40"/>
  <c r="BP307" i="40"/>
  <c r="BQ307" i="40"/>
  <c r="BR307" i="40"/>
  <c r="BS307" i="40"/>
  <c r="BT307" i="40"/>
  <c r="BU307" i="40"/>
  <c r="BV307" i="40"/>
  <c r="BW307" i="40"/>
  <c r="BX307" i="40"/>
  <c r="BY307" i="40"/>
  <c r="BZ307" i="40"/>
  <c r="CA307" i="40"/>
  <c r="CB307" i="40"/>
  <c r="CC307" i="40"/>
  <c r="CD307" i="40"/>
  <c r="CE307" i="40"/>
  <c r="CF307" i="40"/>
  <c r="CG307" i="40"/>
  <c r="CH307" i="40"/>
  <c r="DM307" i="40"/>
  <c r="DS307" i="40"/>
  <c r="DT307" i="40"/>
  <c r="DU307" i="40"/>
  <c r="DV307" i="40"/>
  <c r="DW307" i="40"/>
  <c r="A308" i="40"/>
  <c r="F308" i="40"/>
  <c r="G308" i="40"/>
  <c r="H308" i="40"/>
  <c r="I308" i="40"/>
  <c r="J308" i="40"/>
  <c r="K308" i="40"/>
  <c r="L308" i="40"/>
  <c r="M308" i="40"/>
  <c r="N308" i="40"/>
  <c r="O308" i="40"/>
  <c r="P308" i="40"/>
  <c r="AA308" i="40"/>
  <c r="AC308" i="40"/>
  <c r="AE308" i="40"/>
  <c r="AG308" i="40"/>
  <c r="AH308" i="40"/>
  <c r="AI308" i="40"/>
  <c r="AJ308" i="40"/>
  <c r="HJ308" i="40"/>
  <c r="HK308" i="40"/>
  <c r="HK309" i="40" s="1"/>
  <c r="HK310" i="40" s="1"/>
  <c r="HK311" i="40" s="1"/>
  <c r="HK312" i="40" s="1"/>
  <c r="HK313" i="40" s="1"/>
  <c r="HK314" i="40" s="1"/>
  <c r="HK315" i="40" s="1"/>
  <c r="AT308" i="40"/>
  <c r="AT309" i="40" s="1"/>
  <c r="AT310" i="40" s="1"/>
  <c r="AT311" i="40" s="1"/>
  <c r="AT312" i="40" s="1"/>
  <c r="AT313" i="40" s="1"/>
  <c r="AT314" i="40" s="1"/>
  <c r="AT315" i="40" s="1"/>
  <c r="AT316" i="40" s="1"/>
  <c r="AT317" i="40" s="1"/>
  <c r="AT318" i="40" s="1"/>
  <c r="AT319" i="40" s="1"/>
  <c r="AT320" i="40" s="1"/>
  <c r="AT321" i="40" s="1"/>
  <c r="AT322" i="40" s="1"/>
  <c r="AT323" i="40" s="1"/>
  <c r="AT324" i="40" s="1"/>
  <c r="AT325" i="40" s="1"/>
  <c r="AT326" i="40" s="1"/>
  <c r="AT327" i="40" s="1"/>
  <c r="AT328" i="40" s="1"/>
  <c r="AT329" i="40" s="1"/>
  <c r="AT330" i="40" s="1"/>
  <c r="AT331" i="40" s="1"/>
  <c r="AT332" i="40" s="1"/>
  <c r="AT333" i="40" s="1"/>
  <c r="AT334" i="40" s="1"/>
  <c r="AT335" i="40" s="1"/>
  <c r="AT336" i="40" s="1"/>
  <c r="AW308" i="40"/>
  <c r="AX308" i="40"/>
  <c r="AY308" i="40"/>
  <c r="AZ308" i="40"/>
  <c r="BA308" i="40"/>
  <c r="BB308" i="40"/>
  <c r="BC308" i="40"/>
  <c r="BD308" i="40"/>
  <c r="BE308" i="40"/>
  <c r="BF308" i="40"/>
  <c r="BG308" i="40"/>
  <c r="BH308" i="40"/>
  <c r="BI308" i="40"/>
  <c r="BJ308" i="40"/>
  <c r="BK308" i="40"/>
  <c r="BL308" i="40"/>
  <c r="BM308" i="40"/>
  <c r="BN308" i="40"/>
  <c r="BO308" i="40"/>
  <c r="BP308" i="40"/>
  <c r="BQ308" i="40"/>
  <c r="BR308" i="40"/>
  <c r="BS308" i="40"/>
  <c r="BT308" i="40"/>
  <c r="BU308" i="40"/>
  <c r="BV308" i="40"/>
  <c r="BW308" i="40"/>
  <c r="BX308" i="40"/>
  <c r="BY308" i="40"/>
  <c r="BZ308" i="40"/>
  <c r="CA308" i="40"/>
  <c r="CB308" i="40"/>
  <c r="CC308" i="40"/>
  <c r="CD308" i="40"/>
  <c r="CE308" i="40"/>
  <c r="CF308" i="40"/>
  <c r="CG308" i="40"/>
  <c r="CH308" i="40"/>
  <c r="DM308" i="40"/>
  <c r="DS308" i="40"/>
  <c r="DT308" i="40"/>
  <c r="DU308" i="40"/>
  <c r="DV308" i="40"/>
  <c r="DW308" i="40"/>
  <c r="A309" i="40"/>
  <c r="BX309" i="40"/>
  <c r="F309" i="40"/>
  <c r="K309" i="40"/>
  <c r="L309" i="40"/>
  <c r="M309" i="40"/>
  <c r="N309" i="40"/>
  <c r="P309" i="40"/>
  <c r="AA309" i="40"/>
  <c r="AC309" i="40"/>
  <c r="AE309" i="40"/>
  <c r="AG309" i="40"/>
  <c r="AI309" i="40"/>
  <c r="G309" i="40"/>
  <c r="H309" i="40"/>
  <c r="I309" i="40"/>
  <c r="J309" i="40"/>
  <c r="O309" i="40"/>
  <c r="AH309" i="40"/>
  <c r="AJ309" i="40"/>
  <c r="HJ309" i="40"/>
  <c r="HJ310" i="40" s="1"/>
  <c r="HJ311" i="40" s="1"/>
  <c r="HJ312" i="40" s="1"/>
  <c r="HJ313" i="40" s="1"/>
  <c r="HJ314" i="40" s="1"/>
  <c r="HJ315" i="40" s="1"/>
  <c r="HJ316" i="40" s="1"/>
  <c r="HJ317" i="40" s="1"/>
  <c r="HJ318" i="40" s="1"/>
  <c r="HJ319" i="40" s="1"/>
  <c r="HJ320" i="40" s="1"/>
  <c r="HJ321" i="40" s="1"/>
  <c r="HJ322" i="40" s="1"/>
  <c r="HJ323" i="40" s="1"/>
  <c r="HJ324" i="40" s="1"/>
  <c r="HJ325" i="40" s="1"/>
  <c r="HJ326" i="40" s="1"/>
  <c r="HJ327" i="40" s="1"/>
  <c r="AW309" i="40"/>
  <c r="AX309" i="40"/>
  <c r="AZ309" i="40"/>
  <c r="BA309" i="40"/>
  <c r="BB309" i="40"/>
  <c r="BC309" i="40"/>
  <c r="BD309" i="40"/>
  <c r="BE309" i="40"/>
  <c r="BF309" i="40"/>
  <c r="BG309" i="40"/>
  <c r="BH309" i="40"/>
  <c r="BI309" i="40"/>
  <c r="BJ309" i="40"/>
  <c r="BK309" i="40"/>
  <c r="BL309" i="40"/>
  <c r="BM309" i="40"/>
  <c r="BN309" i="40"/>
  <c r="BO309" i="40"/>
  <c r="BP309" i="40"/>
  <c r="BQ309" i="40"/>
  <c r="BR309" i="40"/>
  <c r="BS309" i="40"/>
  <c r="BT309" i="40"/>
  <c r="BU309" i="40"/>
  <c r="BV309" i="40"/>
  <c r="BW309" i="40"/>
  <c r="BY309" i="40"/>
  <c r="BZ309" i="40"/>
  <c r="CA309" i="40"/>
  <c r="CB309" i="40"/>
  <c r="CC309" i="40"/>
  <c r="CD309" i="40"/>
  <c r="CE309" i="40"/>
  <c r="CF309" i="40"/>
  <c r="CG309" i="40"/>
  <c r="CH309" i="40"/>
  <c r="DM309" i="40"/>
  <c r="DS309" i="40"/>
  <c r="DT309" i="40"/>
  <c r="DU309" i="40"/>
  <c r="DV309" i="40"/>
  <c r="DW309" i="40"/>
  <c r="A310" i="40"/>
  <c r="BX310" i="40"/>
  <c r="F310" i="40"/>
  <c r="K310" i="40"/>
  <c r="L310" i="40"/>
  <c r="M310" i="40"/>
  <c r="N310" i="40"/>
  <c r="P310" i="40"/>
  <c r="AA310" i="40"/>
  <c r="AC310" i="40"/>
  <c r="AE310" i="40"/>
  <c r="AG310" i="40"/>
  <c r="AI310" i="40"/>
  <c r="G310" i="40"/>
  <c r="H310" i="40"/>
  <c r="I310" i="40"/>
  <c r="J310" i="40"/>
  <c r="O310" i="40"/>
  <c r="AH310" i="40"/>
  <c r="AJ310" i="40"/>
  <c r="AW310" i="40"/>
  <c r="AX310" i="40"/>
  <c r="AZ310" i="40"/>
  <c r="BA310" i="40"/>
  <c r="BB310" i="40"/>
  <c r="BC310" i="40"/>
  <c r="BD310" i="40"/>
  <c r="BE310" i="40"/>
  <c r="BF310" i="40"/>
  <c r="BG310" i="40"/>
  <c r="BH310" i="40"/>
  <c r="BI310" i="40"/>
  <c r="BJ310" i="40"/>
  <c r="BK310" i="40"/>
  <c r="BL310" i="40"/>
  <c r="BM310" i="40"/>
  <c r="BN310" i="40"/>
  <c r="BO310" i="40"/>
  <c r="BP310" i="40"/>
  <c r="BQ310" i="40"/>
  <c r="BR310" i="40"/>
  <c r="BS310" i="40"/>
  <c r="BT310" i="40"/>
  <c r="BU310" i="40"/>
  <c r="BV310" i="40"/>
  <c r="BW310" i="40"/>
  <c r="BY310" i="40"/>
  <c r="BZ310" i="40"/>
  <c r="CA310" i="40"/>
  <c r="CB310" i="40"/>
  <c r="CC310" i="40"/>
  <c r="CD310" i="40"/>
  <c r="CE310" i="40"/>
  <c r="CF310" i="40"/>
  <c r="CG310" i="40"/>
  <c r="CH310" i="40"/>
  <c r="DM310" i="40"/>
  <c r="DS310" i="40"/>
  <c r="DT310" i="40"/>
  <c r="DU310" i="40"/>
  <c r="DV310" i="40"/>
  <c r="DW310" i="40"/>
  <c r="A311" i="40"/>
  <c r="BX311" i="40"/>
  <c r="F311" i="40"/>
  <c r="K311" i="40"/>
  <c r="L311" i="40"/>
  <c r="M311" i="40"/>
  <c r="N311" i="40"/>
  <c r="P311" i="40"/>
  <c r="AA311" i="40"/>
  <c r="AC311" i="40"/>
  <c r="AE311" i="40"/>
  <c r="AG311" i="40"/>
  <c r="AI311" i="40"/>
  <c r="G311" i="40"/>
  <c r="H311" i="40"/>
  <c r="I311" i="40"/>
  <c r="J311" i="40"/>
  <c r="O311" i="40"/>
  <c r="AH311" i="40"/>
  <c r="AJ311" i="40"/>
  <c r="AW311" i="40"/>
  <c r="AX311" i="40"/>
  <c r="AZ311" i="40"/>
  <c r="BA311" i="40"/>
  <c r="BB311" i="40"/>
  <c r="BC311" i="40"/>
  <c r="BD311" i="40"/>
  <c r="BE311" i="40"/>
  <c r="BF311" i="40"/>
  <c r="BG311" i="40"/>
  <c r="BH311" i="40"/>
  <c r="BI311" i="40"/>
  <c r="BJ311" i="40"/>
  <c r="BK311" i="40"/>
  <c r="BL311" i="40"/>
  <c r="BM311" i="40"/>
  <c r="BN311" i="40"/>
  <c r="BO311" i="40"/>
  <c r="BP311" i="40"/>
  <c r="BQ311" i="40"/>
  <c r="BR311" i="40"/>
  <c r="BS311" i="40"/>
  <c r="BT311" i="40"/>
  <c r="BU311" i="40"/>
  <c r="BV311" i="40"/>
  <c r="BW311" i="40"/>
  <c r="BY311" i="40"/>
  <c r="BZ311" i="40"/>
  <c r="CA311" i="40"/>
  <c r="CB311" i="40"/>
  <c r="CC311" i="40"/>
  <c r="CD311" i="40"/>
  <c r="CE311" i="40"/>
  <c r="CF311" i="40"/>
  <c r="CG311" i="40"/>
  <c r="CH311" i="40"/>
  <c r="DM311" i="40"/>
  <c r="DS311" i="40"/>
  <c r="DT311" i="40"/>
  <c r="DU311" i="40"/>
  <c r="DV311" i="40"/>
  <c r="DW311" i="40"/>
  <c r="A312" i="40"/>
  <c r="BX312" i="40"/>
  <c r="F312" i="40"/>
  <c r="K312" i="40"/>
  <c r="L312" i="40"/>
  <c r="M312" i="40"/>
  <c r="N312" i="40"/>
  <c r="P312" i="40"/>
  <c r="AA312" i="40"/>
  <c r="AC312" i="40"/>
  <c r="AE312" i="40"/>
  <c r="AG312" i="40"/>
  <c r="AI312" i="40"/>
  <c r="G312" i="40"/>
  <c r="H312" i="40"/>
  <c r="I312" i="40"/>
  <c r="J312" i="40"/>
  <c r="O312" i="40"/>
  <c r="AH312" i="40"/>
  <c r="AJ312" i="40"/>
  <c r="AW312" i="40"/>
  <c r="AX312" i="40"/>
  <c r="AZ312" i="40"/>
  <c r="BA312" i="40"/>
  <c r="BB312" i="40"/>
  <c r="BC312" i="40"/>
  <c r="BD312" i="40"/>
  <c r="BE312" i="40"/>
  <c r="BF312" i="40"/>
  <c r="BG312" i="40"/>
  <c r="BH312" i="40"/>
  <c r="BI312" i="40"/>
  <c r="BJ312" i="40"/>
  <c r="BK312" i="40"/>
  <c r="BL312" i="40"/>
  <c r="BM312" i="40"/>
  <c r="BN312" i="40"/>
  <c r="BO312" i="40"/>
  <c r="BP312" i="40"/>
  <c r="BQ312" i="40"/>
  <c r="BR312" i="40"/>
  <c r="BS312" i="40"/>
  <c r="BT312" i="40"/>
  <c r="BU312" i="40"/>
  <c r="BV312" i="40"/>
  <c r="BW312" i="40"/>
  <c r="BY312" i="40"/>
  <c r="BZ312" i="40"/>
  <c r="CA312" i="40"/>
  <c r="CB312" i="40"/>
  <c r="CC312" i="40"/>
  <c r="CD312" i="40"/>
  <c r="CE312" i="40"/>
  <c r="CF312" i="40"/>
  <c r="CG312" i="40"/>
  <c r="CH312" i="40"/>
  <c r="DM312" i="40"/>
  <c r="DS312" i="40"/>
  <c r="DT312" i="40"/>
  <c r="DU312" i="40"/>
  <c r="DV312" i="40"/>
  <c r="DW312" i="40"/>
  <c r="A313" i="40"/>
  <c r="F313" i="40"/>
  <c r="K313" i="40"/>
  <c r="L313" i="40"/>
  <c r="M313" i="40"/>
  <c r="N313" i="40"/>
  <c r="P313" i="40"/>
  <c r="AA313" i="40"/>
  <c r="AC313" i="40"/>
  <c r="AE313" i="40"/>
  <c r="AG313" i="40"/>
  <c r="AI313" i="40"/>
  <c r="G313" i="40"/>
  <c r="H313" i="40"/>
  <c r="I313" i="40"/>
  <c r="J313" i="40"/>
  <c r="O313" i="40"/>
  <c r="AH313" i="40"/>
  <c r="AJ313" i="40"/>
  <c r="AW313" i="40"/>
  <c r="AX313" i="40"/>
  <c r="AZ313" i="40"/>
  <c r="BA313" i="40"/>
  <c r="BB313" i="40"/>
  <c r="BC313" i="40"/>
  <c r="BD313" i="40"/>
  <c r="BE313" i="40"/>
  <c r="BF313" i="40"/>
  <c r="BG313" i="40"/>
  <c r="BH313" i="40"/>
  <c r="BI313" i="40"/>
  <c r="BJ313" i="40"/>
  <c r="BK313" i="40"/>
  <c r="BL313" i="40"/>
  <c r="BM313" i="40"/>
  <c r="BN313" i="40"/>
  <c r="BO313" i="40"/>
  <c r="BP313" i="40"/>
  <c r="BQ313" i="40"/>
  <c r="BR313" i="40"/>
  <c r="BS313" i="40"/>
  <c r="BT313" i="40"/>
  <c r="BU313" i="40"/>
  <c r="BV313" i="40"/>
  <c r="BW313" i="40"/>
  <c r="BX313" i="40"/>
  <c r="BY313" i="40"/>
  <c r="BZ313" i="40"/>
  <c r="CA313" i="40"/>
  <c r="CB313" i="40"/>
  <c r="CC313" i="40"/>
  <c r="CD313" i="40"/>
  <c r="CE313" i="40"/>
  <c r="CF313" i="40"/>
  <c r="CG313" i="40"/>
  <c r="CH313" i="40"/>
  <c r="DM313" i="40"/>
  <c r="DS313" i="40"/>
  <c r="DT313" i="40"/>
  <c r="DU313" i="40"/>
  <c r="DV313" i="40"/>
  <c r="DW313" i="40"/>
  <c r="A314" i="40"/>
  <c r="F314" i="40"/>
  <c r="K314" i="40"/>
  <c r="L314" i="40"/>
  <c r="M314" i="40"/>
  <c r="N314" i="40"/>
  <c r="P314" i="40"/>
  <c r="AA314" i="40"/>
  <c r="AC314" i="40"/>
  <c r="AE314" i="40"/>
  <c r="AG314" i="40"/>
  <c r="AI314" i="40"/>
  <c r="G314" i="40"/>
  <c r="H314" i="40"/>
  <c r="I314" i="40"/>
  <c r="J314" i="40"/>
  <c r="O314" i="40"/>
  <c r="AH314" i="40"/>
  <c r="AJ314" i="40"/>
  <c r="AW314" i="40"/>
  <c r="AX314" i="40"/>
  <c r="AZ314" i="40"/>
  <c r="BA314" i="40"/>
  <c r="BB314" i="40"/>
  <c r="BC314" i="40"/>
  <c r="BD314" i="40"/>
  <c r="BE314" i="40"/>
  <c r="BF314" i="40"/>
  <c r="BG314" i="40"/>
  <c r="BH314" i="40"/>
  <c r="BI314" i="40"/>
  <c r="BJ314" i="40"/>
  <c r="BK314" i="40"/>
  <c r="BL314" i="40"/>
  <c r="BM314" i="40"/>
  <c r="BN314" i="40"/>
  <c r="BO314" i="40"/>
  <c r="BP314" i="40"/>
  <c r="BQ314" i="40"/>
  <c r="BR314" i="40"/>
  <c r="BS314" i="40"/>
  <c r="BT314" i="40"/>
  <c r="BU314" i="40"/>
  <c r="BV314" i="40"/>
  <c r="BW314" i="40"/>
  <c r="BX314" i="40"/>
  <c r="BY314" i="40"/>
  <c r="BZ314" i="40"/>
  <c r="CA314" i="40"/>
  <c r="CB314" i="40"/>
  <c r="CC314" i="40"/>
  <c r="CD314" i="40"/>
  <c r="CE314" i="40"/>
  <c r="CF314" i="40"/>
  <c r="CG314" i="40"/>
  <c r="CH314" i="40"/>
  <c r="DM314" i="40"/>
  <c r="DS314" i="40"/>
  <c r="DT314" i="40"/>
  <c r="DU314" i="40"/>
  <c r="DV314" i="40"/>
  <c r="DW314" i="40"/>
  <c r="A315" i="40"/>
  <c r="F315" i="40"/>
  <c r="K315" i="40"/>
  <c r="L315" i="40"/>
  <c r="M315" i="40"/>
  <c r="N315" i="40"/>
  <c r="P315" i="40"/>
  <c r="AA315" i="40"/>
  <c r="AC315" i="40"/>
  <c r="AE315" i="40"/>
  <c r="AG315" i="40"/>
  <c r="AI315" i="40"/>
  <c r="G315" i="40"/>
  <c r="H315" i="40"/>
  <c r="I315" i="40"/>
  <c r="J315" i="40"/>
  <c r="O315" i="40"/>
  <c r="AH315" i="40"/>
  <c r="AJ315" i="40"/>
  <c r="AW315" i="40"/>
  <c r="AX315" i="40"/>
  <c r="AZ315" i="40"/>
  <c r="BA315" i="40"/>
  <c r="BB315" i="40"/>
  <c r="BC315" i="40"/>
  <c r="BD315" i="40"/>
  <c r="BE315" i="40"/>
  <c r="BF315" i="40"/>
  <c r="BG315" i="40"/>
  <c r="BH315" i="40"/>
  <c r="BI315" i="40"/>
  <c r="BJ315" i="40"/>
  <c r="BK315" i="40"/>
  <c r="BL315" i="40"/>
  <c r="BM315" i="40"/>
  <c r="BN315" i="40"/>
  <c r="BO315" i="40"/>
  <c r="BP315" i="40"/>
  <c r="BQ315" i="40"/>
  <c r="BR315" i="40"/>
  <c r="BS315" i="40"/>
  <c r="BT315" i="40"/>
  <c r="BU315" i="40"/>
  <c r="BV315" i="40"/>
  <c r="BW315" i="40"/>
  <c r="BX315" i="40"/>
  <c r="BY315" i="40"/>
  <c r="BZ315" i="40"/>
  <c r="CA315" i="40"/>
  <c r="CB315" i="40"/>
  <c r="CC315" i="40"/>
  <c r="CD315" i="40"/>
  <c r="CE315" i="40"/>
  <c r="CF315" i="40"/>
  <c r="CG315" i="40"/>
  <c r="CH315" i="40"/>
  <c r="DM315" i="40"/>
  <c r="DS315" i="40"/>
  <c r="DT315" i="40"/>
  <c r="DU315" i="40"/>
  <c r="DV315" i="40"/>
  <c r="DW315" i="40"/>
  <c r="A316" i="40"/>
  <c r="F316" i="40"/>
  <c r="K316" i="40"/>
  <c r="L316" i="40"/>
  <c r="M316" i="40"/>
  <c r="N316" i="40"/>
  <c r="P316" i="40"/>
  <c r="AA316" i="40"/>
  <c r="AC316" i="40"/>
  <c r="AE316" i="40"/>
  <c r="AG316" i="40"/>
  <c r="AI316" i="40"/>
  <c r="G316" i="40"/>
  <c r="H316" i="40"/>
  <c r="I316" i="40"/>
  <c r="J316" i="40"/>
  <c r="O316" i="40"/>
  <c r="AH316" i="40"/>
  <c r="AJ316" i="40"/>
  <c r="HK316" i="40"/>
  <c r="HK317" i="40" s="1"/>
  <c r="HK318" i="40" s="1"/>
  <c r="HK319" i="40" s="1"/>
  <c r="HK320" i="40" s="1"/>
  <c r="HK321" i="40" s="1"/>
  <c r="HK322" i="40" s="1"/>
  <c r="HK323" i="40" s="1"/>
  <c r="HK324" i="40" s="1"/>
  <c r="HK325" i="40" s="1"/>
  <c r="HK326" i="40" s="1"/>
  <c r="HK327" i="40" s="1"/>
  <c r="HK328" i="40" s="1"/>
  <c r="HK329" i="40" s="1"/>
  <c r="AW316" i="40"/>
  <c r="AX316" i="40"/>
  <c r="AZ316" i="40"/>
  <c r="BA316" i="40"/>
  <c r="BB316" i="40"/>
  <c r="BC316" i="40"/>
  <c r="BD316" i="40"/>
  <c r="BE316" i="40"/>
  <c r="BF316" i="40"/>
  <c r="BG316" i="40"/>
  <c r="BH316" i="40"/>
  <c r="BI316" i="40"/>
  <c r="BJ316" i="40"/>
  <c r="BK316" i="40"/>
  <c r="BL316" i="40"/>
  <c r="BM316" i="40"/>
  <c r="BN316" i="40"/>
  <c r="BO316" i="40"/>
  <c r="BP316" i="40"/>
  <c r="BQ316" i="40"/>
  <c r="BR316" i="40"/>
  <c r="BS316" i="40"/>
  <c r="BT316" i="40"/>
  <c r="BU316" i="40"/>
  <c r="BV316" i="40"/>
  <c r="BW316" i="40"/>
  <c r="BX316" i="40"/>
  <c r="BY316" i="40"/>
  <c r="BZ316" i="40"/>
  <c r="CA316" i="40"/>
  <c r="CB316" i="40"/>
  <c r="CC316" i="40"/>
  <c r="CD316" i="40"/>
  <c r="CE316" i="40"/>
  <c r="CF316" i="40"/>
  <c r="CG316" i="40"/>
  <c r="CH316" i="40"/>
  <c r="DM316" i="40"/>
  <c r="DS316" i="40"/>
  <c r="DT316" i="40"/>
  <c r="DU316" i="40"/>
  <c r="DV316" i="40"/>
  <c r="DW316" i="40"/>
  <c r="A317" i="40"/>
  <c r="F317" i="40"/>
  <c r="K317" i="40"/>
  <c r="L317" i="40"/>
  <c r="M317" i="40"/>
  <c r="N317" i="40"/>
  <c r="P317" i="40"/>
  <c r="AA317" i="40"/>
  <c r="AC317" i="40"/>
  <c r="AE317" i="40"/>
  <c r="AG317" i="40"/>
  <c r="AI317" i="40"/>
  <c r="G317" i="40"/>
  <c r="H317" i="40"/>
  <c r="I317" i="40"/>
  <c r="J317" i="40"/>
  <c r="O317" i="40"/>
  <c r="AH317" i="40"/>
  <c r="AJ317" i="40"/>
  <c r="AW317" i="40"/>
  <c r="AX317" i="40"/>
  <c r="AZ317" i="40"/>
  <c r="BA317" i="40"/>
  <c r="BB317" i="40"/>
  <c r="BC317" i="40"/>
  <c r="BD317" i="40"/>
  <c r="BE317" i="40"/>
  <c r="BF317" i="40"/>
  <c r="BG317" i="40"/>
  <c r="BH317" i="40"/>
  <c r="BI317" i="40"/>
  <c r="BJ317" i="40"/>
  <c r="BK317" i="40"/>
  <c r="BL317" i="40"/>
  <c r="BM317" i="40"/>
  <c r="BN317" i="40"/>
  <c r="BO317" i="40"/>
  <c r="BP317" i="40"/>
  <c r="BQ317" i="40"/>
  <c r="BR317" i="40"/>
  <c r="BS317" i="40"/>
  <c r="BT317" i="40"/>
  <c r="BU317" i="40"/>
  <c r="BV317" i="40"/>
  <c r="BW317" i="40"/>
  <c r="BX317" i="40"/>
  <c r="BY317" i="40"/>
  <c r="BZ317" i="40"/>
  <c r="CA317" i="40"/>
  <c r="CB317" i="40"/>
  <c r="CC317" i="40"/>
  <c r="CD317" i="40"/>
  <c r="CE317" i="40"/>
  <c r="CF317" i="40"/>
  <c r="CG317" i="40"/>
  <c r="CH317" i="40"/>
  <c r="DM317" i="40"/>
  <c r="DS317" i="40"/>
  <c r="DT317" i="40"/>
  <c r="DU317" i="40"/>
  <c r="DV317" i="40"/>
  <c r="DW317" i="40"/>
  <c r="A318" i="40"/>
  <c r="F318" i="40"/>
  <c r="K318" i="40"/>
  <c r="L318" i="40"/>
  <c r="M318" i="40"/>
  <c r="N318" i="40"/>
  <c r="P318" i="40"/>
  <c r="AA318" i="40"/>
  <c r="AC318" i="40"/>
  <c r="AE318" i="40"/>
  <c r="AG318" i="40"/>
  <c r="AI318" i="40"/>
  <c r="G318" i="40"/>
  <c r="H318" i="40"/>
  <c r="I318" i="40"/>
  <c r="J318" i="40"/>
  <c r="O318" i="40"/>
  <c r="AH318" i="40"/>
  <c r="AJ318" i="40"/>
  <c r="AW318" i="40"/>
  <c r="AX318" i="40"/>
  <c r="AZ318" i="40"/>
  <c r="BA318" i="40"/>
  <c r="BB318" i="40"/>
  <c r="BC318" i="40"/>
  <c r="BD318" i="40"/>
  <c r="BE318" i="40"/>
  <c r="BF318" i="40"/>
  <c r="BG318" i="40"/>
  <c r="BH318" i="40"/>
  <c r="BI318" i="40"/>
  <c r="BJ318" i="40"/>
  <c r="BK318" i="40"/>
  <c r="BL318" i="40"/>
  <c r="BM318" i="40"/>
  <c r="BN318" i="40"/>
  <c r="BO318" i="40"/>
  <c r="BP318" i="40"/>
  <c r="BQ318" i="40"/>
  <c r="BR318" i="40"/>
  <c r="BS318" i="40"/>
  <c r="BT318" i="40"/>
  <c r="BU318" i="40"/>
  <c r="BV318" i="40"/>
  <c r="BW318" i="40"/>
  <c r="BX318" i="40"/>
  <c r="BY318" i="40"/>
  <c r="BZ318" i="40"/>
  <c r="CA318" i="40"/>
  <c r="CB318" i="40"/>
  <c r="CC318" i="40"/>
  <c r="CD318" i="40"/>
  <c r="CE318" i="40"/>
  <c r="CF318" i="40"/>
  <c r="CG318" i="40"/>
  <c r="CH318" i="40"/>
  <c r="DM318" i="40"/>
  <c r="DS318" i="40"/>
  <c r="DT318" i="40"/>
  <c r="DU318" i="40"/>
  <c r="DV318" i="40"/>
  <c r="DW318" i="40"/>
  <c r="A319" i="40"/>
  <c r="F319" i="40"/>
  <c r="K319" i="40"/>
  <c r="L319" i="40"/>
  <c r="M319" i="40"/>
  <c r="N319" i="40"/>
  <c r="P319" i="40"/>
  <c r="AC319" i="40"/>
  <c r="AE319" i="40"/>
  <c r="AG319" i="40"/>
  <c r="AI319" i="40"/>
  <c r="G319" i="40"/>
  <c r="H319" i="40"/>
  <c r="I319" i="40"/>
  <c r="J319" i="40"/>
  <c r="O319" i="40"/>
  <c r="AH319" i="40"/>
  <c r="AJ319" i="40"/>
  <c r="AW319" i="40"/>
  <c r="AX319" i="40"/>
  <c r="AZ319" i="40"/>
  <c r="BA319" i="40"/>
  <c r="BB319" i="40"/>
  <c r="BC319" i="40"/>
  <c r="BD319" i="40"/>
  <c r="BE319" i="40"/>
  <c r="BF319" i="40"/>
  <c r="BG319" i="40"/>
  <c r="BH319" i="40"/>
  <c r="BI319" i="40"/>
  <c r="BJ319" i="40"/>
  <c r="BK319" i="40"/>
  <c r="BL319" i="40"/>
  <c r="BM319" i="40"/>
  <c r="BN319" i="40"/>
  <c r="BO319" i="40"/>
  <c r="BP319" i="40"/>
  <c r="BQ319" i="40"/>
  <c r="BR319" i="40"/>
  <c r="BS319" i="40"/>
  <c r="BT319" i="40"/>
  <c r="BU319" i="40"/>
  <c r="BV319" i="40"/>
  <c r="BW319" i="40"/>
  <c r="BX319" i="40"/>
  <c r="BY319" i="40"/>
  <c r="BZ319" i="40"/>
  <c r="CA319" i="40"/>
  <c r="CB319" i="40"/>
  <c r="CC319" i="40"/>
  <c r="CD319" i="40"/>
  <c r="CE319" i="40"/>
  <c r="CF319" i="40"/>
  <c r="CG319" i="40"/>
  <c r="CH319" i="40"/>
  <c r="DM319" i="40"/>
  <c r="DS319" i="40"/>
  <c r="DT319" i="40"/>
  <c r="DU319" i="40"/>
  <c r="DV319" i="40"/>
  <c r="DW319" i="40"/>
  <c r="F320" i="40"/>
  <c r="K320" i="40"/>
  <c r="L320" i="40"/>
  <c r="M320" i="40"/>
  <c r="N320" i="40"/>
  <c r="P320" i="40"/>
  <c r="AA320" i="40"/>
  <c r="AC320" i="40"/>
  <c r="AE320" i="40"/>
  <c r="AG320" i="40"/>
  <c r="AI320" i="40"/>
  <c r="G320" i="40"/>
  <c r="H320" i="40"/>
  <c r="I320" i="40"/>
  <c r="J320" i="40"/>
  <c r="O320" i="40"/>
  <c r="AH320" i="40"/>
  <c r="AJ320" i="40"/>
  <c r="AW320" i="40"/>
  <c r="AX320" i="40"/>
  <c r="AZ320" i="40"/>
  <c r="BA320" i="40"/>
  <c r="BB320" i="40"/>
  <c r="BC320" i="40"/>
  <c r="BD320" i="40"/>
  <c r="BE320" i="40"/>
  <c r="BF320" i="40"/>
  <c r="BG320" i="40"/>
  <c r="BH320" i="40"/>
  <c r="BI320" i="40"/>
  <c r="BJ320" i="40"/>
  <c r="BK320" i="40"/>
  <c r="BL320" i="40"/>
  <c r="BM320" i="40"/>
  <c r="BN320" i="40"/>
  <c r="BO320" i="40"/>
  <c r="BP320" i="40"/>
  <c r="BQ320" i="40"/>
  <c r="BR320" i="40"/>
  <c r="BS320" i="40"/>
  <c r="BT320" i="40"/>
  <c r="BU320" i="40"/>
  <c r="BV320" i="40"/>
  <c r="BW320" i="40"/>
  <c r="BX320" i="40"/>
  <c r="BY320" i="40"/>
  <c r="BZ320" i="40"/>
  <c r="CA320" i="40"/>
  <c r="CB320" i="40"/>
  <c r="CC320" i="40"/>
  <c r="CD320" i="40"/>
  <c r="CE320" i="40"/>
  <c r="CF320" i="40"/>
  <c r="CG320" i="40"/>
  <c r="CH320" i="40"/>
  <c r="DM320" i="40"/>
  <c r="DS320" i="40"/>
  <c r="DT320" i="40"/>
  <c r="DU320" i="40"/>
  <c r="DV320" i="40"/>
  <c r="DW320" i="40"/>
  <c r="A321" i="40"/>
  <c r="AW321" i="40"/>
  <c r="AX321" i="40"/>
  <c r="AZ321" i="40"/>
  <c r="BA321" i="40"/>
  <c r="BB321" i="40"/>
  <c r="BC321" i="40"/>
  <c r="BD321" i="40"/>
  <c r="BE321" i="40"/>
  <c r="BF321" i="40"/>
  <c r="BG321" i="40"/>
  <c r="BH321" i="40"/>
  <c r="BI321" i="40"/>
  <c r="BJ321" i="40"/>
  <c r="BK321" i="40"/>
  <c r="BL321" i="40"/>
  <c r="BM321" i="40"/>
  <c r="BN321" i="40"/>
  <c r="BO321" i="40"/>
  <c r="BP321" i="40"/>
  <c r="BQ321" i="40"/>
  <c r="BR321" i="40"/>
  <c r="BS321" i="40"/>
  <c r="BT321" i="40"/>
  <c r="BU321" i="40"/>
  <c r="BV321" i="40"/>
  <c r="BW321" i="40"/>
  <c r="BX321" i="40"/>
  <c r="BY321" i="40"/>
  <c r="BZ321" i="40"/>
  <c r="CA321" i="40"/>
  <c r="CB321" i="40"/>
  <c r="CC321" i="40"/>
  <c r="CD321" i="40"/>
  <c r="CE321" i="40"/>
  <c r="CF321" i="40"/>
  <c r="CG321" i="40"/>
  <c r="CH321" i="40"/>
  <c r="DM321" i="40"/>
  <c r="DS321" i="40"/>
  <c r="DT321" i="40"/>
  <c r="DU321" i="40"/>
  <c r="DV321" i="40"/>
  <c r="DW321" i="40"/>
  <c r="A322" i="40"/>
  <c r="AW322" i="40"/>
  <c r="AX322" i="40"/>
  <c r="AZ322" i="40"/>
  <c r="BA322" i="40"/>
  <c r="BB322" i="40"/>
  <c r="BC322" i="40"/>
  <c r="BD322" i="40"/>
  <c r="BE322" i="40"/>
  <c r="BF322" i="40"/>
  <c r="BG322" i="40"/>
  <c r="BH322" i="40"/>
  <c r="BI322" i="40"/>
  <c r="BJ322" i="40"/>
  <c r="BK322" i="40"/>
  <c r="BL322" i="40"/>
  <c r="BM322" i="40"/>
  <c r="BN322" i="40"/>
  <c r="BO322" i="40"/>
  <c r="BP322" i="40"/>
  <c r="BQ322" i="40"/>
  <c r="BR322" i="40"/>
  <c r="BS322" i="40"/>
  <c r="BT322" i="40"/>
  <c r="BU322" i="40"/>
  <c r="BV322" i="40"/>
  <c r="BW322" i="40"/>
  <c r="BX322" i="40"/>
  <c r="BY322" i="40"/>
  <c r="BZ322" i="40"/>
  <c r="CA322" i="40"/>
  <c r="CB322" i="40"/>
  <c r="CC322" i="40"/>
  <c r="CD322" i="40"/>
  <c r="CE322" i="40"/>
  <c r="CF322" i="40"/>
  <c r="CG322" i="40"/>
  <c r="CH322" i="40"/>
  <c r="DM322" i="40"/>
  <c r="DS322" i="40"/>
  <c r="DT322" i="40"/>
  <c r="DU322" i="40"/>
  <c r="DV322" i="40"/>
  <c r="DW322" i="40"/>
  <c r="A323" i="40"/>
  <c r="AW323" i="40"/>
  <c r="AX323" i="40"/>
  <c r="AZ323" i="40"/>
  <c r="BA323" i="40"/>
  <c r="BB323" i="40"/>
  <c r="BC323" i="40"/>
  <c r="BD323" i="40"/>
  <c r="BE323" i="40"/>
  <c r="BF323" i="40"/>
  <c r="BG323" i="40"/>
  <c r="BH323" i="40"/>
  <c r="BI323" i="40"/>
  <c r="BJ323" i="40"/>
  <c r="BK323" i="40"/>
  <c r="BL323" i="40"/>
  <c r="BM323" i="40"/>
  <c r="BN323" i="40"/>
  <c r="BO323" i="40"/>
  <c r="BP323" i="40"/>
  <c r="BQ323" i="40"/>
  <c r="BR323" i="40"/>
  <c r="BS323" i="40"/>
  <c r="BT323" i="40"/>
  <c r="BU323" i="40"/>
  <c r="BV323" i="40"/>
  <c r="BW323" i="40"/>
  <c r="BX323" i="40"/>
  <c r="BY323" i="40"/>
  <c r="BZ323" i="40"/>
  <c r="CA323" i="40"/>
  <c r="CB323" i="40"/>
  <c r="CC323" i="40"/>
  <c r="CD323" i="40"/>
  <c r="CE323" i="40"/>
  <c r="CF323" i="40"/>
  <c r="CG323" i="40"/>
  <c r="CH323" i="40"/>
  <c r="DM323" i="40"/>
  <c r="DS323" i="40"/>
  <c r="DT323" i="40"/>
  <c r="DU323" i="40"/>
  <c r="DV323" i="40"/>
  <c r="DW323" i="40"/>
  <c r="A324" i="40"/>
  <c r="AW324" i="40"/>
  <c r="AX324" i="40"/>
  <c r="AZ324" i="40"/>
  <c r="BA324" i="40"/>
  <c r="BB324" i="40"/>
  <c r="BC324" i="40"/>
  <c r="BD324" i="40"/>
  <c r="BE324" i="40"/>
  <c r="BF324" i="40"/>
  <c r="BG324" i="40"/>
  <c r="BH324" i="40"/>
  <c r="BI324" i="40"/>
  <c r="BJ324" i="40"/>
  <c r="BK324" i="40"/>
  <c r="BL324" i="40"/>
  <c r="BM324" i="40"/>
  <c r="BN324" i="40"/>
  <c r="BO324" i="40"/>
  <c r="BP324" i="40"/>
  <c r="BQ324" i="40"/>
  <c r="BR324" i="40"/>
  <c r="BS324" i="40"/>
  <c r="BT324" i="40"/>
  <c r="BU324" i="40"/>
  <c r="BV324" i="40"/>
  <c r="BW324" i="40"/>
  <c r="BX324" i="40"/>
  <c r="BY324" i="40"/>
  <c r="BZ324" i="40"/>
  <c r="CA324" i="40"/>
  <c r="CB324" i="40"/>
  <c r="CC324" i="40"/>
  <c r="CD324" i="40"/>
  <c r="CE324" i="40"/>
  <c r="CF324" i="40"/>
  <c r="CG324" i="40"/>
  <c r="CH324" i="40"/>
  <c r="DM324" i="40"/>
  <c r="DS324" i="40"/>
  <c r="DT324" i="40"/>
  <c r="DU324" i="40"/>
  <c r="DV324" i="40"/>
  <c r="DW324" i="40"/>
  <c r="A325" i="40"/>
  <c r="AW325" i="40"/>
  <c r="AX325" i="40"/>
  <c r="AZ325" i="40"/>
  <c r="BA325" i="40"/>
  <c r="BB325" i="40"/>
  <c r="BC325" i="40"/>
  <c r="BD325" i="40"/>
  <c r="BE325" i="40"/>
  <c r="BF325" i="40"/>
  <c r="BG325" i="40"/>
  <c r="BH325" i="40"/>
  <c r="BI325" i="40"/>
  <c r="BJ325" i="40"/>
  <c r="BK325" i="40"/>
  <c r="BL325" i="40"/>
  <c r="BM325" i="40"/>
  <c r="BN325" i="40"/>
  <c r="BO325" i="40"/>
  <c r="BP325" i="40"/>
  <c r="BQ325" i="40"/>
  <c r="BR325" i="40"/>
  <c r="BS325" i="40"/>
  <c r="BT325" i="40"/>
  <c r="BU325" i="40"/>
  <c r="BV325" i="40"/>
  <c r="BW325" i="40"/>
  <c r="BX325" i="40"/>
  <c r="BY325" i="40"/>
  <c r="BZ325" i="40"/>
  <c r="CA325" i="40"/>
  <c r="CB325" i="40"/>
  <c r="CC325" i="40"/>
  <c r="CD325" i="40"/>
  <c r="CE325" i="40"/>
  <c r="CF325" i="40"/>
  <c r="CG325" i="40"/>
  <c r="CH325" i="40"/>
  <c r="DM325" i="40"/>
  <c r="DS325" i="40"/>
  <c r="DT325" i="40"/>
  <c r="DU325" i="40"/>
  <c r="DV325" i="40"/>
  <c r="DW325" i="40"/>
  <c r="A326" i="40"/>
  <c r="AW326" i="40"/>
  <c r="AX326" i="40"/>
  <c r="AZ326" i="40"/>
  <c r="BA326" i="40"/>
  <c r="BB326" i="40"/>
  <c r="BC326" i="40"/>
  <c r="BD326" i="40"/>
  <c r="BE326" i="40"/>
  <c r="BF326" i="40"/>
  <c r="BG326" i="40"/>
  <c r="BH326" i="40"/>
  <c r="BI326" i="40"/>
  <c r="BJ326" i="40"/>
  <c r="BK326" i="40"/>
  <c r="BL326" i="40"/>
  <c r="BM326" i="40"/>
  <c r="BN326" i="40"/>
  <c r="BO326" i="40"/>
  <c r="BP326" i="40"/>
  <c r="BQ326" i="40"/>
  <c r="BR326" i="40"/>
  <c r="BS326" i="40"/>
  <c r="BT326" i="40"/>
  <c r="BU326" i="40"/>
  <c r="BV326" i="40"/>
  <c r="BW326" i="40"/>
  <c r="BX326" i="40"/>
  <c r="BY326" i="40"/>
  <c r="BZ326" i="40"/>
  <c r="CA326" i="40"/>
  <c r="CB326" i="40"/>
  <c r="CC326" i="40"/>
  <c r="CD326" i="40"/>
  <c r="CE326" i="40"/>
  <c r="CF326" i="40"/>
  <c r="CG326" i="40"/>
  <c r="CH326" i="40"/>
  <c r="DM326" i="40"/>
  <c r="DS326" i="40"/>
  <c r="DT326" i="40"/>
  <c r="DU326" i="40"/>
  <c r="DV326" i="40"/>
  <c r="DW326" i="40"/>
  <c r="A327" i="40"/>
  <c r="AW327" i="40"/>
  <c r="AX327" i="40"/>
  <c r="AZ327" i="40"/>
  <c r="BA327" i="40"/>
  <c r="BB327" i="40"/>
  <c r="BC327" i="40"/>
  <c r="BD327" i="40"/>
  <c r="BE327" i="40"/>
  <c r="BF327" i="40"/>
  <c r="BG327" i="40"/>
  <c r="BH327" i="40"/>
  <c r="BI327" i="40"/>
  <c r="BJ327" i="40"/>
  <c r="BK327" i="40"/>
  <c r="BL327" i="40"/>
  <c r="BM327" i="40"/>
  <c r="BN327" i="40"/>
  <c r="BO327" i="40"/>
  <c r="BP327" i="40"/>
  <c r="BQ327" i="40"/>
  <c r="BR327" i="40"/>
  <c r="BS327" i="40"/>
  <c r="BT327" i="40"/>
  <c r="BU327" i="40"/>
  <c r="BV327" i="40"/>
  <c r="BW327" i="40"/>
  <c r="BX327" i="40"/>
  <c r="BY327" i="40"/>
  <c r="BZ327" i="40"/>
  <c r="CA327" i="40"/>
  <c r="CB327" i="40"/>
  <c r="CC327" i="40"/>
  <c r="CD327" i="40"/>
  <c r="CE327" i="40"/>
  <c r="CF327" i="40"/>
  <c r="CG327" i="40"/>
  <c r="CH327" i="40"/>
  <c r="DM327" i="40"/>
  <c r="DS327" i="40"/>
  <c r="DT327" i="40"/>
  <c r="DU327" i="40"/>
  <c r="DV327" i="40"/>
  <c r="DW327" i="40"/>
  <c r="A328" i="40"/>
  <c r="HJ328" i="40"/>
  <c r="HJ329" i="40" s="1"/>
  <c r="HJ330" i="40" s="1"/>
  <c r="HJ331" i="40" s="1"/>
  <c r="HJ332" i="40" s="1"/>
  <c r="HJ333" i="40" s="1"/>
  <c r="HJ334" i="40" s="1"/>
  <c r="HJ335" i="40" s="1"/>
  <c r="HJ336" i="40" s="1"/>
  <c r="HJ337" i="40" s="1"/>
  <c r="HJ338" i="40" s="1"/>
  <c r="HJ339" i="40" s="1"/>
  <c r="AW328" i="40"/>
  <c r="AX328" i="40"/>
  <c r="AZ328" i="40"/>
  <c r="BA328" i="40"/>
  <c r="BB328" i="40"/>
  <c r="BC328" i="40"/>
  <c r="BD328" i="40"/>
  <c r="BE328" i="40"/>
  <c r="BF328" i="40"/>
  <c r="BG328" i="40"/>
  <c r="BH328" i="40"/>
  <c r="BI328" i="40"/>
  <c r="BJ328" i="40"/>
  <c r="BK328" i="40"/>
  <c r="BL328" i="40"/>
  <c r="BM328" i="40"/>
  <c r="BN328" i="40"/>
  <c r="BO328" i="40"/>
  <c r="BP328" i="40"/>
  <c r="BQ328" i="40"/>
  <c r="BR328" i="40"/>
  <c r="BS328" i="40"/>
  <c r="BT328" i="40"/>
  <c r="BU328" i="40"/>
  <c r="BV328" i="40"/>
  <c r="BW328" i="40"/>
  <c r="BX328" i="40"/>
  <c r="BY328" i="40"/>
  <c r="BZ328" i="40"/>
  <c r="CA328" i="40"/>
  <c r="CB328" i="40"/>
  <c r="CC328" i="40"/>
  <c r="CD328" i="40"/>
  <c r="CE328" i="40"/>
  <c r="CF328" i="40"/>
  <c r="CG328" i="40"/>
  <c r="CH328" i="40"/>
  <c r="DM328" i="40"/>
  <c r="DS328" i="40"/>
  <c r="DT328" i="40"/>
  <c r="DU328" i="40"/>
  <c r="DV328" i="40"/>
  <c r="DW328" i="40"/>
  <c r="A329" i="40"/>
  <c r="AW329" i="40"/>
  <c r="AX329" i="40"/>
  <c r="AZ329" i="40"/>
  <c r="BA329" i="40"/>
  <c r="BB329" i="40"/>
  <c r="BC329" i="40"/>
  <c r="BD329" i="40"/>
  <c r="BE329" i="40"/>
  <c r="BF329" i="40"/>
  <c r="BG329" i="40"/>
  <c r="BH329" i="40"/>
  <c r="BI329" i="40"/>
  <c r="BJ329" i="40"/>
  <c r="BK329" i="40"/>
  <c r="BL329" i="40"/>
  <c r="BM329" i="40"/>
  <c r="BN329" i="40"/>
  <c r="BO329" i="40"/>
  <c r="BP329" i="40"/>
  <c r="BQ329" i="40"/>
  <c r="BR329" i="40"/>
  <c r="BS329" i="40"/>
  <c r="BT329" i="40"/>
  <c r="BU329" i="40"/>
  <c r="BV329" i="40"/>
  <c r="BW329" i="40"/>
  <c r="BX329" i="40"/>
  <c r="BY329" i="40"/>
  <c r="BZ329" i="40"/>
  <c r="CA329" i="40"/>
  <c r="CB329" i="40"/>
  <c r="CC329" i="40"/>
  <c r="CD329" i="40"/>
  <c r="CE329" i="40"/>
  <c r="CF329" i="40"/>
  <c r="CG329" i="40"/>
  <c r="CH329" i="40"/>
  <c r="DM329" i="40"/>
  <c r="DS329" i="40"/>
  <c r="DT329" i="40"/>
  <c r="DU329" i="40"/>
  <c r="DV329" i="40"/>
  <c r="DW329" i="40"/>
  <c r="A330" i="40"/>
  <c r="HK330" i="40"/>
  <c r="HK331" i="40" s="1"/>
  <c r="HK332" i="40" s="1"/>
  <c r="AW330" i="40"/>
  <c r="AX330" i="40"/>
  <c r="AZ330" i="40"/>
  <c r="BA330" i="40"/>
  <c r="BB330" i="40"/>
  <c r="BC330" i="40"/>
  <c r="BD330" i="40"/>
  <c r="BE330" i="40"/>
  <c r="BF330" i="40"/>
  <c r="BG330" i="40"/>
  <c r="BH330" i="40"/>
  <c r="BI330" i="40"/>
  <c r="BJ330" i="40"/>
  <c r="BK330" i="40"/>
  <c r="BL330" i="40"/>
  <c r="BM330" i="40"/>
  <c r="BN330" i="40"/>
  <c r="BO330" i="40"/>
  <c r="BP330" i="40"/>
  <c r="BQ330" i="40"/>
  <c r="BR330" i="40"/>
  <c r="BS330" i="40"/>
  <c r="BT330" i="40"/>
  <c r="BU330" i="40"/>
  <c r="BV330" i="40"/>
  <c r="BW330" i="40"/>
  <c r="BX330" i="40"/>
  <c r="BY330" i="40"/>
  <c r="BZ330" i="40"/>
  <c r="CA330" i="40"/>
  <c r="CB330" i="40"/>
  <c r="CC330" i="40"/>
  <c r="CD330" i="40"/>
  <c r="CE330" i="40"/>
  <c r="CF330" i="40"/>
  <c r="CG330" i="40"/>
  <c r="CH330" i="40"/>
  <c r="DM330" i="40"/>
  <c r="DS330" i="40"/>
  <c r="DT330" i="40"/>
  <c r="DU330" i="40"/>
  <c r="DV330" i="40"/>
  <c r="DW330" i="40"/>
  <c r="A331" i="40"/>
  <c r="AW331" i="40"/>
  <c r="AX331" i="40"/>
  <c r="AZ331" i="40"/>
  <c r="BA331" i="40"/>
  <c r="BB331" i="40"/>
  <c r="BC331" i="40"/>
  <c r="BD331" i="40"/>
  <c r="BE331" i="40"/>
  <c r="BF331" i="40"/>
  <c r="BG331" i="40"/>
  <c r="BH331" i="40"/>
  <c r="BI331" i="40"/>
  <c r="BJ331" i="40"/>
  <c r="BK331" i="40"/>
  <c r="BL331" i="40"/>
  <c r="BM331" i="40"/>
  <c r="BN331" i="40"/>
  <c r="BO331" i="40"/>
  <c r="BP331" i="40"/>
  <c r="BQ331" i="40"/>
  <c r="BR331" i="40"/>
  <c r="BS331" i="40"/>
  <c r="BT331" i="40"/>
  <c r="BU331" i="40"/>
  <c r="BV331" i="40"/>
  <c r="BW331" i="40"/>
  <c r="BX331" i="40"/>
  <c r="BY331" i="40"/>
  <c r="BZ331" i="40"/>
  <c r="CA331" i="40"/>
  <c r="CB331" i="40"/>
  <c r="CC331" i="40"/>
  <c r="CD331" i="40"/>
  <c r="CE331" i="40"/>
  <c r="CF331" i="40"/>
  <c r="CG331" i="40"/>
  <c r="CH331" i="40"/>
  <c r="DM331" i="40"/>
  <c r="DS331" i="40"/>
  <c r="DT331" i="40"/>
  <c r="DU331" i="40"/>
  <c r="DV331" i="40"/>
  <c r="DW331" i="40"/>
  <c r="A332" i="40"/>
  <c r="AW332" i="40"/>
  <c r="AX332" i="40"/>
  <c r="AZ332" i="40"/>
  <c r="BA332" i="40"/>
  <c r="BB332" i="40"/>
  <c r="BC332" i="40"/>
  <c r="BD332" i="40"/>
  <c r="BE332" i="40"/>
  <c r="BF332" i="40"/>
  <c r="BG332" i="40"/>
  <c r="BH332" i="40"/>
  <c r="BI332" i="40"/>
  <c r="BJ332" i="40"/>
  <c r="BK332" i="40"/>
  <c r="BL332" i="40"/>
  <c r="BM332" i="40"/>
  <c r="BN332" i="40"/>
  <c r="BO332" i="40"/>
  <c r="BP332" i="40"/>
  <c r="BQ332" i="40"/>
  <c r="BR332" i="40"/>
  <c r="BS332" i="40"/>
  <c r="BT332" i="40"/>
  <c r="BU332" i="40"/>
  <c r="BV332" i="40"/>
  <c r="BW332" i="40"/>
  <c r="BX332" i="40"/>
  <c r="BY332" i="40"/>
  <c r="BZ332" i="40"/>
  <c r="CA332" i="40"/>
  <c r="CB332" i="40"/>
  <c r="CC332" i="40"/>
  <c r="CD332" i="40"/>
  <c r="CE332" i="40"/>
  <c r="CF332" i="40"/>
  <c r="CG332" i="40"/>
  <c r="CH332" i="40"/>
  <c r="DM332" i="40"/>
  <c r="DS332" i="40"/>
  <c r="DT332" i="40"/>
  <c r="DU332" i="40"/>
  <c r="DV332" i="40"/>
  <c r="DW332" i="40"/>
  <c r="A333" i="40"/>
  <c r="HK333" i="40"/>
  <c r="HK334" i="40" s="1"/>
  <c r="HK335" i="40" s="1"/>
  <c r="HK336" i="40" s="1"/>
  <c r="HK337" i="40" s="1"/>
  <c r="HK338" i="40" s="1"/>
  <c r="HK339" i="40" s="1"/>
  <c r="HK340" i="40" s="1"/>
  <c r="HK341" i="40" s="1"/>
  <c r="HK342" i="40" s="1"/>
  <c r="HK343" i="40" s="1"/>
  <c r="HK344" i="40" s="1"/>
  <c r="HK345" i="40" s="1"/>
  <c r="HK346" i="40" s="1"/>
  <c r="HK347" i="40" s="1"/>
  <c r="HK348" i="40" s="1"/>
  <c r="AW333" i="40"/>
  <c r="AX333" i="40"/>
  <c r="AZ333" i="40"/>
  <c r="BA333" i="40"/>
  <c r="BB333" i="40"/>
  <c r="BC333" i="40"/>
  <c r="BD333" i="40"/>
  <c r="BE333" i="40"/>
  <c r="BF333" i="40"/>
  <c r="BG333" i="40"/>
  <c r="BH333" i="40"/>
  <c r="BI333" i="40"/>
  <c r="BJ333" i="40"/>
  <c r="BK333" i="40"/>
  <c r="BL333" i="40"/>
  <c r="BM333" i="40"/>
  <c r="BN333" i="40"/>
  <c r="BO333" i="40"/>
  <c r="BP333" i="40"/>
  <c r="BQ333" i="40"/>
  <c r="BR333" i="40"/>
  <c r="BS333" i="40"/>
  <c r="BT333" i="40"/>
  <c r="BU333" i="40"/>
  <c r="BV333" i="40"/>
  <c r="BW333" i="40"/>
  <c r="BX333" i="40"/>
  <c r="BY333" i="40"/>
  <c r="BZ333" i="40"/>
  <c r="CA333" i="40"/>
  <c r="CB333" i="40"/>
  <c r="CC333" i="40"/>
  <c r="CD333" i="40"/>
  <c r="CE333" i="40"/>
  <c r="CF333" i="40"/>
  <c r="CG333" i="40"/>
  <c r="CH333" i="40"/>
  <c r="DM333" i="40"/>
  <c r="DS333" i="40"/>
  <c r="DT333" i="40"/>
  <c r="DU333" i="40"/>
  <c r="DV333" i="40"/>
  <c r="DW333" i="40"/>
  <c r="A334" i="40"/>
  <c r="AW334" i="40"/>
  <c r="AX334" i="40"/>
  <c r="AZ334" i="40"/>
  <c r="BA334" i="40"/>
  <c r="BB334" i="40"/>
  <c r="BC334" i="40"/>
  <c r="BD334" i="40"/>
  <c r="BE334" i="40"/>
  <c r="BF334" i="40"/>
  <c r="BG334" i="40"/>
  <c r="BH334" i="40"/>
  <c r="BI334" i="40"/>
  <c r="BJ334" i="40"/>
  <c r="BK334" i="40"/>
  <c r="BL334" i="40"/>
  <c r="BM334" i="40"/>
  <c r="BN334" i="40"/>
  <c r="BO334" i="40"/>
  <c r="BP334" i="40"/>
  <c r="BQ334" i="40"/>
  <c r="BR334" i="40"/>
  <c r="BS334" i="40"/>
  <c r="BT334" i="40"/>
  <c r="BU334" i="40"/>
  <c r="BV334" i="40"/>
  <c r="BW334" i="40"/>
  <c r="BX334" i="40"/>
  <c r="BY334" i="40"/>
  <c r="BZ334" i="40"/>
  <c r="CA334" i="40"/>
  <c r="CB334" i="40"/>
  <c r="CC334" i="40"/>
  <c r="CD334" i="40"/>
  <c r="CE334" i="40"/>
  <c r="CF334" i="40"/>
  <c r="CG334" i="40"/>
  <c r="CH334" i="40"/>
  <c r="DM334" i="40"/>
  <c r="DS334" i="40"/>
  <c r="DT334" i="40"/>
  <c r="DU334" i="40"/>
  <c r="DV334" i="40"/>
  <c r="DW334" i="40"/>
  <c r="A335" i="40"/>
  <c r="AW335" i="40"/>
  <c r="AX335" i="40"/>
  <c r="AZ335" i="40"/>
  <c r="BA335" i="40"/>
  <c r="BB335" i="40"/>
  <c r="BC335" i="40"/>
  <c r="BD335" i="40"/>
  <c r="BE335" i="40"/>
  <c r="BF335" i="40"/>
  <c r="BG335" i="40"/>
  <c r="BH335" i="40"/>
  <c r="BI335" i="40"/>
  <c r="BJ335" i="40"/>
  <c r="BK335" i="40"/>
  <c r="BL335" i="40"/>
  <c r="BM335" i="40"/>
  <c r="BN335" i="40"/>
  <c r="BO335" i="40"/>
  <c r="BP335" i="40"/>
  <c r="BQ335" i="40"/>
  <c r="BR335" i="40"/>
  <c r="BS335" i="40"/>
  <c r="BT335" i="40"/>
  <c r="BU335" i="40"/>
  <c r="BV335" i="40"/>
  <c r="BW335" i="40"/>
  <c r="BX335" i="40"/>
  <c r="BY335" i="40"/>
  <c r="BZ335" i="40"/>
  <c r="CA335" i="40"/>
  <c r="CB335" i="40"/>
  <c r="CC335" i="40"/>
  <c r="CD335" i="40"/>
  <c r="CE335" i="40"/>
  <c r="CF335" i="40"/>
  <c r="CG335" i="40"/>
  <c r="CH335" i="40"/>
  <c r="DM335" i="40"/>
  <c r="DS335" i="40"/>
  <c r="DT335" i="40"/>
  <c r="DU335" i="40"/>
  <c r="DV335" i="40"/>
  <c r="DW335" i="40"/>
  <c r="A336" i="40"/>
  <c r="AW336" i="40"/>
  <c r="AX336" i="40"/>
  <c r="AZ336" i="40"/>
  <c r="BA336" i="40"/>
  <c r="BB336" i="40"/>
  <c r="BC336" i="40"/>
  <c r="BD336" i="40"/>
  <c r="BE336" i="40"/>
  <c r="BF336" i="40"/>
  <c r="BG336" i="40"/>
  <c r="BH336" i="40"/>
  <c r="BI336" i="40"/>
  <c r="BJ336" i="40"/>
  <c r="BK336" i="40"/>
  <c r="BL336" i="40"/>
  <c r="BM336" i="40"/>
  <c r="BN336" i="40"/>
  <c r="BO336" i="40"/>
  <c r="BP336" i="40"/>
  <c r="BQ336" i="40"/>
  <c r="BR336" i="40"/>
  <c r="BS336" i="40"/>
  <c r="BT336" i="40"/>
  <c r="BU336" i="40"/>
  <c r="BV336" i="40"/>
  <c r="BW336" i="40"/>
  <c r="BX336" i="40"/>
  <c r="BY336" i="40"/>
  <c r="BZ336" i="40"/>
  <c r="CA336" i="40"/>
  <c r="CB336" i="40"/>
  <c r="CC336" i="40"/>
  <c r="CD336" i="40"/>
  <c r="CE336" i="40"/>
  <c r="CF336" i="40"/>
  <c r="CG336" i="40"/>
  <c r="CH336" i="40"/>
  <c r="DM336" i="40"/>
  <c r="DS336" i="40"/>
  <c r="DT336" i="40"/>
  <c r="DU336" i="40"/>
  <c r="DV336" i="40"/>
  <c r="DW336" i="40"/>
  <c r="A337" i="40"/>
  <c r="AT337" i="40"/>
  <c r="AT338" i="40" s="1"/>
  <c r="AT339" i="40" s="1"/>
  <c r="AT340" i="40" s="1"/>
  <c r="AT341" i="40" s="1"/>
  <c r="AT342" i="40" s="1"/>
  <c r="AT343" i="40" s="1"/>
  <c r="AT344" i="40" s="1"/>
  <c r="AT345" i="40" s="1"/>
  <c r="AT346" i="40" s="1"/>
  <c r="AT347" i="40" s="1"/>
  <c r="AT348" i="40" s="1"/>
  <c r="AT349" i="40" s="1"/>
  <c r="AT350" i="40" s="1"/>
  <c r="AT351" i="40" s="1"/>
  <c r="AT352" i="40" s="1"/>
  <c r="AT353" i="40" s="1"/>
  <c r="AT354" i="40" s="1"/>
  <c r="AT355" i="40" s="1"/>
  <c r="AT356" i="40" s="1"/>
  <c r="AT357" i="40" s="1"/>
  <c r="AT358" i="40" s="1"/>
  <c r="AT359" i="40" s="1"/>
  <c r="AT360" i="40" s="1"/>
  <c r="AT361" i="40" s="1"/>
  <c r="AT362" i="40" s="1"/>
  <c r="AT363" i="40" s="1"/>
  <c r="AT364" i="40" s="1"/>
  <c r="AT365" i="40" s="1"/>
  <c r="AT366" i="40" s="1"/>
  <c r="AT367" i="40" s="1"/>
  <c r="AT368" i="40" s="1"/>
  <c r="AT369" i="40" s="1"/>
  <c r="AT370" i="40" s="1"/>
  <c r="AT371" i="40" s="1"/>
  <c r="AW337" i="40"/>
  <c r="AX337" i="40"/>
  <c r="AZ337" i="40"/>
  <c r="BA337" i="40"/>
  <c r="BB337" i="40"/>
  <c r="BC337" i="40"/>
  <c r="BD337" i="40"/>
  <c r="BE337" i="40"/>
  <c r="BF337" i="40"/>
  <c r="BG337" i="40"/>
  <c r="BH337" i="40"/>
  <c r="BI337" i="40"/>
  <c r="BJ337" i="40"/>
  <c r="BK337" i="40"/>
  <c r="BL337" i="40"/>
  <c r="BM337" i="40"/>
  <c r="BN337" i="40"/>
  <c r="BO337" i="40"/>
  <c r="BP337" i="40"/>
  <c r="BQ337" i="40"/>
  <c r="BR337" i="40"/>
  <c r="BS337" i="40"/>
  <c r="BT337" i="40"/>
  <c r="BU337" i="40"/>
  <c r="BV337" i="40"/>
  <c r="BW337" i="40"/>
  <c r="BX337" i="40"/>
  <c r="BY337" i="40"/>
  <c r="BZ337" i="40"/>
  <c r="CA337" i="40"/>
  <c r="CB337" i="40"/>
  <c r="CC337" i="40"/>
  <c r="CD337" i="40"/>
  <c r="CE337" i="40"/>
  <c r="CF337" i="40"/>
  <c r="CG337" i="40"/>
  <c r="CH337" i="40"/>
  <c r="DM337" i="40"/>
  <c r="DS337" i="40"/>
  <c r="DT337" i="40"/>
  <c r="DU337" i="40"/>
  <c r="DV337" i="40"/>
  <c r="DW337" i="40"/>
  <c r="A338" i="40"/>
  <c r="AW338" i="40"/>
  <c r="AX338" i="40"/>
  <c r="AZ338" i="40"/>
  <c r="BA338" i="40"/>
  <c r="BB338" i="40"/>
  <c r="BC338" i="40"/>
  <c r="BD338" i="40"/>
  <c r="BE338" i="40"/>
  <c r="BF338" i="40"/>
  <c r="BG338" i="40"/>
  <c r="BH338" i="40"/>
  <c r="BI338" i="40"/>
  <c r="BJ338" i="40"/>
  <c r="BK338" i="40"/>
  <c r="BL338" i="40"/>
  <c r="BM338" i="40"/>
  <c r="BN338" i="40"/>
  <c r="BO338" i="40"/>
  <c r="BP338" i="40"/>
  <c r="BQ338" i="40"/>
  <c r="BR338" i="40"/>
  <c r="BS338" i="40"/>
  <c r="BT338" i="40"/>
  <c r="BU338" i="40"/>
  <c r="BV338" i="40"/>
  <c r="BW338" i="40"/>
  <c r="BX338" i="40"/>
  <c r="BY338" i="40"/>
  <c r="BZ338" i="40"/>
  <c r="CA338" i="40"/>
  <c r="CB338" i="40"/>
  <c r="CC338" i="40"/>
  <c r="CD338" i="40"/>
  <c r="CE338" i="40"/>
  <c r="CF338" i="40"/>
  <c r="CG338" i="40"/>
  <c r="CH338" i="40"/>
  <c r="DM338" i="40"/>
  <c r="DS338" i="40"/>
  <c r="DT338" i="40"/>
  <c r="DU338" i="40"/>
  <c r="DV338" i="40"/>
  <c r="DW338" i="40"/>
  <c r="A339" i="40"/>
  <c r="AW339" i="40"/>
  <c r="AX339" i="40"/>
  <c r="AZ339" i="40"/>
  <c r="BA339" i="40"/>
  <c r="BB339" i="40"/>
  <c r="BC339" i="40"/>
  <c r="BD339" i="40"/>
  <c r="BE339" i="40"/>
  <c r="BF339" i="40"/>
  <c r="BG339" i="40"/>
  <c r="BH339" i="40"/>
  <c r="BI339" i="40"/>
  <c r="BJ339" i="40"/>
  <c r="BK339" i="40"/>
  <c r="BL339" i="40"/>
  <c r="BM339" i="40"/>
  <c r="BN339" i="40"/>
  <c r="BO339" i="40"/>
  <c r="BP339" i="40"/>
  <c r="BQ339" i="40"/>
  <c r="BR339" i="40"/>
  <c r="BS339" i="40"/>
  <c r="BT339" i="40"/>
  <c r="BU339" i="40"/>
  <c r="BV339" i="40"/>
  <c r="BW339" i="40"/>
  <c r="BX339" i="40"/>
  <c r="BY339" i="40"/>
  <c r="BZ339" i="40"/>
  <c r="CA339" i="40"/>
  <c r="CB339" i="40"/>
  <c r="CC339" i="40"/>
  <c r="CD339" i="40"/>
  <c r="CE339" i="40"/>
  <c r="CF339" i="40"/>
  <c r="CG339" i="40"/>
  <c r="CH339" i="40"/>
  <c r="DM339" i="40"/>
  <c r="DS339" i="40"/>
  <c r="DT339" i="40"/>
  <c r="DU339" i="40"/>
  <c r="DV339" i="40"/>
  <c r="DW339" i="40"/>
  <c r="A340" i="40"/>
  <c r="HJ340" i="40"/>
  <c r="HJ341" i="40" s="1"/>
  <c r="HJ342" i="40" s="1"/>
  <c r="HJ343" i="40" s="1"/>
  <c r="HJ344" i="40" s="1"/>
  <c r="HJ345" i="40" s="1"/>
  <c r="HJ346" i="40" s="1"/>
  <c r="HJ347" i="40" s="1"/>
  <c r="HJ348" i="40" s="1"/>
  <c r="HJ349" i="40" s="1"/>
  <c r="HJ350" i="40" s="1"/>
  <c r="HJ351" i="40" s="1"/>
  <c r="HJ352" i="40" s="1"/>
  <c r="HJ353" i="40" s="1"/>
  <c r="HJ354" i="40" s="1"/>
  <c r="HJ355" i="40" s="1"/>
  <c r="HJ356" i="40" s="1"/>
  <c r="HJ357" i="40" s="1"/>
  <c r="HJ358" i="40" s="1"/>
  <c r="HJ359" i="40" s="1"/>
  <c r="HJ360" i="40" s="1"/>
  <c r="HJ361" i="40" s="1"/>
  <c r="HJ362" i="40" s="1"/>
  <c r="HJ363" i="40" s="1"/>
  <c r="HJ364" i="40" s="1"/>
  <c r="HJ365" i="40" s="1"/>
  <c r="HJ366" i="40" s="1"/>
  <c r="HJ367" i="40" s="1"/>
  <c r="HJ368" i="40" s="1"/>
  <c r="HJ369" i="40" s="1"/>
  <c r="HJ370" i="40" s="1"/>
  <c r="HJ371" i="40" s="1"/>
  <c r="HJ372" i="40" s="1"/>
  <c r="HJ373" i="40" s="1"/>
  <c r="HJ374" i="40" s="1"/>
  <c r="AW340" i="40"/>
  <c r="AX340" i="40"/>
  <c r="AZ340" i="40"/>
  <c r="BA340" i="40"/>
  <c r="BB340" i="40"/>
  <c r="BC340" i="40"/>
  <c r="BD340" i="40"/>
  <c r="BE340" i="40"/>
  <c r="BF340" i="40"/>
  <c r="BG340" i="40"/>
  <c r="BH340" i="40"/>
  <c r="BI340" i="40"/>
  <c r="BJ340" i="40"/>
  <c r="BK340" i="40"/>
  <c r="BL340" i="40"/>
  <c r="BM340" i="40"/>
  <c r="BN340" i="40"/>
  <c r="BO340" i="40"/>
  <c r="BP340" i="40"/>
  <c r="BQ340" i="40"/>
  <c r="BR340" i="40"/>
  <c r="BS340" i="40"/>
  <c r="BT340" i="40"/>
  <c r="BU340" i="40"/>
  <c r="BV340" i="40"/>
  <c r="BW340" i="40"/>
  <c r="BX340" i="40"/>
  <c r="BY340" i="40"/>
  <c r="BZ340" i="40"/>
  <c r="CA340" i="40"/>
  <c r="CB340" i="40"/>
  <c r="CC340" i="40"/>
  <c r="CD340" i="40"/>
  <c r="CE340" i="40"/>
  <c r="CF340" i="40"/>
  <c r="CG340" i="40"/>
  <c r="CH340" i="40"/>
  <c r="DM340" i="40"/>
  <c r="DS340" i="40"/>
  <c r="DT340" i="40"/>
  <c r="DU340" i="40"/>
  <c r="DV340" i="40"/>
  <c r="DW340" i="40"/>
  <c r="A341" i="40"/>
  <c r="AW341" i="40"/>
  <c r="AX341" i="40"/>
  <c r="AZ341" i="40"/>
  <c r="BA341" i="40"/>
  <c r="BB341" i="40"/>
  <c r="BC341" i="40"/>
  <c r="BD341" i="40"/>
  <c r="BE341" i="40"/>
  <c r="BF341" i="40"/>
  <c r="BG341" i="40"/>
  <c r="BH341" i="40"/>
  <c r="BI341" i="40"/>
  <c r="BJ341" i="40"/>
  <c r="BK341" i="40"/>
  <c r="BL341" i="40"/>
  <c r="BM341" i="40"/>
  <c r="BN341" i="40"/>
  <c r="BO341" i="40"/>
  <c r="BP341" i="40"/>
  <c r="BQ341" i="40"/>
  <c r="BR341" i="40"/>
  <c r="BS341" i="40"/>
  <c r="BT341" i="40"/>
  <c r="BU341" i="40"/>
  <c r="BV341" i="40"/>
  <c r="BW341" i="40"/>
  <c r="BX341" i="40"/>
  <c r="BY341" i="40"/>
  <c r="BZ341" i="40"/>
  <c r="CA341" i="40"/>
  <c r="CB341" i="40"/>
  <c r="CC341" i="40"/>
  <c r="CD341" i="40"/>
  <c r="CE341" i="40"/>
  <c r="CF341" i="40"/>
  <c r="CG341" i="40"/>
  <c r="CH341" i="40"/>
  <c r="DM341" i="40"/>
  <c r="DS341" i="40"/>
  <c r="DT341" i="40"/>
  <c r="DU341" i="40"/>
  <c r="DV341" i="40"/>
  <c r="DW341" i="40"/>
  <c r="A342" i="40"/>
  <c r="AW342" i="40"/>
  <c r="AX342" i="40"/>
  <c r="AZ342" i="40"/>
  <c r="BA342" i="40"/>
  <c r="BB342" i="40"/>
  <c r="BC342" i="40"/>
  <c r="BD342" i="40"/>
  <c r="BE342" i="40"/>
  <c r="BF342" i="40"/>
  <c r="BG342" i="40"/>
  <c r="BH342" i="40"/>
  <c r="BI342" i="40"/>
  <c r="BJ342" i="40"/>
  <c r="BK342" i="40"/>
  <c r="BL342" i="40"/>
  <c r="BM342" i="40"/>
  <c r="BN342" i="40"/>
  <c r="BO342" i="40"/>
  <c r="BP342" i="40"/>
  <c r="BQ342" i="40"/>
  <c r="BR342" i="40"/>
  <c r="BS342" i="40"/>
  <c r="BT342" i="40"/>
  <c r="BU342" i="40"/>
  <c r="BV342" i="40"/>
  <c r="BW342" i="40"/>
  <c r="BX342" i="40"/>
  <c r="BY342" i="40"/>
  <c r="BZ342" i="40"/>
  <c r="CA342" i="40"/>
  <c r="CB342" i="40"/>
  <c r="CC342" i="40"/>
  <c r="CD342" i="40"/>
  <c r="CE342" i="40"/>
  <c r="CF342" i="40"/>
  <c r="CG342" i="40"/>
  <c r="CH342" i="40"/>
  <c r="DM342" i="40"/>
  <c r="DS342" i="40"/>
  <c r="DT342" i="40"/>
  <c r="DU342" i="40"/>
  <c r="DV342" i="40"/>
  <c r="DW342" i="40"/>
  <c r="A343" i="40"/>
  <c r="AW343" i="40"/>
  <c r="AX343" i="40"/>
  <c r="AZ343" i="40"/>
  <c r="BA343" i="40"/>
  <c r="BB343" i="40"/>
  <c r="BC343" i="40"/>
  <c r="BD343" i="40"/>
  <c r="BE343" i="40"/>
  <c r="BF343" i="40"/>
  <c r="BG343" i="40"/>
  <c r="BH343" i="40"/>
  <c r="BI343" i="40"/>
  <c r="BJ343" i="40"/>
  <c r="BK343" i="40"/>
  <c r="BL343" i="40"/>
  <c r="BM343" i="40"/>
  <c r="BN343" i="40"/>
  <c r="BO343" i="40"/>
  <c r="BP343" i="40"/>
  <c r="BQ343" i="40"/>
  <c r="BR343" i="40"/>
  <c r="BS343" i="40"/>
  <c r="BT343" i="40"/>
  <c r="BU343" i="40"/>
  <c r="BV343" i="40"/>
  <c r="BW343" i="40"/>
  <c r="BX343" i="40"/>
  <c r="BY343" i="40"/>
  <c r="BZ343" i="40"/>
  <c r="CA343" i="40"/>
  <c r="CB343" i="40"/>
  <c r="CC343" i="40"/>
  <c r="CD343" i="40"/>
  <c r="CE343" i="40"/>
  <c r="CF343" i="40"/>
  <c r="CG343" i="40"/>
  <c r="CH343" i="40"/>
  <c r="DM343" i="40"/>
  <c r="DS343" i="40"/>
  <c r="DT343" i="40"/>
  <c r="DU343" i="40"/>
  <c r="DV343" i="40"/>
  <c r="DW343" i="40"/>
  <c r="A344" i="40"/>
  <c r="AW344" i="40"/>
  <c r="AX344" i="40"/>
  <c r="AZ344" i="40"/>
  <c r="BA344" i="40"/>
  <c r="BB344" i="40"/>
  <c r="BC344" i="40"/>
  <c r="BD344" i="40"/>
  <c r="BE344" i="40"/>
  <c r="BF344" i="40"/>
  <c r="BG344" i="40"/>
  <c r="BH344" i="40"/>
  <c r="BI344" i="40"/>
  <c r="BJ344" i="40"/>
  <c r="BK344" i="40"/>
  <c r="BL344" i="40"/>
  <c r="BM344" i="40"/>
  <c r="BN344" i="40"/>
  <c r="BO344" i="40"/>
  <c r="BP344" i="40"/>
  <c r="BQ344" i="40"/>
  <c r="BR344" i="40"/>
  <c r="BS344" i="40"/>
  <c r="BT344" i="40"/>
  <c r="BU344" i="40"/>
  <c r="BV344" i="40"/>
  <c r="BW344" i="40"/>
  <c r="BX344" i="40"/>
  <c r="BY344" i="40"/>
  <c r="BZ344" i="40"/>
  <c r="CA344" i="40"/>
  <c r="CB344" i="40"/>
  <c r="CC344" i="40"/>
  <c r="CD344" i="40"/>
  <c r="CE344" i="40"/>
  <c r="CF344" i="40"/>
  <c r="CG344" i="40"/>
  <c r="CH344" i="40"/>
  <c r="DM344" i="40"/>
  <c r="DS344" i="40"/>
  <c r="DT344" i="40"/>
  <c r="DU344" i="40"/>
  <c r="DV344" i="40"/>
  <c r="DW344" i="40"/>
  <c r="A345" i="40"/>
  <c r="AW345" i="40"/>
  <c r="AX345" i="40"/>
  <c r="AZ345" i="40"/>
  <c r="BA345" i="40"/>
  <c r="BB345" i="40"/>
  <c r="BC345" i="40"/>
  <c r="BD345" i="40"/>
  <c r="BE345" i="40"/>
  <c r="BF345" i="40"/>
  <c r="BG345" i="40"/>
  <c r="BH345" i="40"/>
  <c r="BI345" i="40"/>
  <c r="BJ345" i="40"/>
  <c r="BK345" i="40"/>
  <c r="BL345" i="40"/>
  <c r="BM345" i="40"/>
  <c r="BN345" i="40"/>
  <c r="BO345" i="40"/>
  <c r="BP345" i="40"/>
  <c r="BQ345" i="40"/>
  <c r="BR345" i="40"/>
  <c r="BS345" i="40"/>
  <c r="BT345" i="40"/>
  <c r="BU345" i="40"/>
  <c r="BV345" i="40"/>
  <c r="BW345" i="40"/>
  <c r="BX345" i="40"/>
  <c r="BY345" i="40"/>
  <c r="BZ345" i="40"/>
  <c r="CA345" i="40"/>
  <c r="CB345" i="40"/>
  <c r="CC345" i="40"/>
  <c r="CD345" i="40"/>
  <c r="CE345" i="40"/>
  <c r="CF345" i="40"/>
  <c r="CG345" i="40"/>
  <c r="CH345" i="40"/>
  <c r="DM345" i="40"/>
  <c r="DS345" i="40"/>
  <c r="DT345" i="40"/>
  <c r="DU345" i="40"/>
  <c r="DV345" i="40"/>
  <c r="DW345" i="40"/>
  <c r="A346" i="40"/>
  <c r="AW346" i="40"/>
  <c r="AX346" i="40"/>
  <c r="AZ346" i="40"/>
  <c r="BA346" i="40"/>
  <c r="BB346" i="40"/>
  <c r="BC346" i="40"/>
  <c r="BD346" i="40"/>
  <c r="BE346" i="40"/>
  <c r="BF346" i="40"/>
  <c r="BG346" i="40"/>
  <c r="BH346" i="40"/>
  <c r="BI346" i="40"/>
  <c r="BJ346" i="40"/>
  <c r="BK346" i="40"/>
  <c r="BL346" i="40"/>
  <c r="BM346" i="40"/>
  <c r="BN346" i="40"/>
  <c r="BO346" i="40"/>
  <c r="BP346" i="40"/>
  <c r="BQ346" i="40"/>
  <c r="BR346" i="40"/>
  <c r="BS346" i="40"/>
  <c r="BT346" i="40"/>
  <c r="BU346" i="40"/>
  <c r="BV346" i="40"/>
  <c r="BW346" i="40"/>
  <c r="BX346" i="40"/>
  <c r="BY346" i="40"/>
  <c r="BZ346" i="40"/>
  <c r="CA346" i="40"/>
  <c r="CB346" i="40"/>
  <c r="CC346" i="40"/>
  <c r="CD346" i="40"/>
  <c r="CE346" i="40"/>
  <c r="CF346" i="40"/>
  <c r="CG346" i="40"/>
  <c r="CH346" i="40"/>
  <c r="DM346" i="40"/>
  <c r="DS346" i="40"/>
  <c r="DT346" i="40"/>
  <c r="DU346" i="40"/>
  <c r="DV346" i="40"/>
  <c r="DW346" i="40"/>
  <c r="A347" i="40"/>
  <c r="AW347" i="40"/>
  <c r="AX347" i="40"/>
  <c r="AZ347" i="40"/>
  <c r="BA347" i="40"/>
  <c r="BB347" i="40"/>
  <c r="BC347" i="40"/>
  <c r="BD347" i="40"/>
  <c r="BE347" i="40"/>
  <c r="BF347" i="40"/>
  <c r="BG347" i="40"/>
  <c r="BH347" i="40"/>
  <c r="BI347" i="40"/>
  <c r="BJ347" i="40"/>
  <c r="BK347" i="40"/>
  <c r="BL347" i="40"/>
  <c r="BM347" i="40"/>
  <c r="BN347" i="40"/>
  <c r="BO347" i="40"/>
  <c r="BP347" i="40"/>
  <c r="BQ347" i="40"/>
  <c r="BR347" i="40"/>
  <c r="BS347" i="40"/>
  <c r="BT347" i="40"/>
  <c r="BU347" i="40"/>
  <c r="BV347" i="40"/>
  <c r="BW347" i="40"/>
  <c r="BX347" i="40"/>
  <c r="BY347" i="40"/>
  <c r="BZ347" i="40"/>
  <c r="CA347" i="40"/>
  <c r="CB347" i="40"/>
  <c r="CC347" i="40"/>
  <c r="CD347" i="40"/>
  <c r="CE347" i="40"/>
  <c r="CF347" i="40"/>
  <c r="CG347" i="40"/>
  <c r="CH347" i="40"/>
  <c r="DM347" i="40"/>
  <c r="DS347" i="40"/>
  <c r="DT347" i="40"/>
  <c r="DU347" i="40"/>
  <c r="DV347" i="40"/>
  <c r="DW347" i="40"/>
  <c r="A348" i="40"/>
  <c r="AW348" i="40"/>
  <c r="AX348" i="40"/>
  <c r="AZ348" i="40"/>
  <c r="BA348" i="40"/>
  <c r="BB348" i="40"/>
  <c r="BC348" i="40"/>
  <c r="BD348" i="40"/>
  <c r="BE348" i="40"/>
  <c r="BF348" i="40"/>
  <c r="BG348" i="40"/>
  <c r="BH348" i="40"/>
  <c r="BI348" i="40"/>
  <c r="BJ348" i="40"/>
  <c r="BK348" i="40"/>
  <c r="BL348" i="40"/>
  <c r="BM348" i="40"/>
  <c r="BN348" i="40"/>
  <c r="BO348" i="40"/>
  <c r="BP348" i="40"/>
  <c r="BQ348" i="40"/>
  <c r="BR348" i="40"/>
  <c r="BS348" i="40"/>
  <c r="BT348" i="40"/>
  <c r="BU348" i="40"/>
  <c r="BV348" i="40"/>
  <c r="BW348" i="40"/>
  <c r="BX348" i="40"/>
  <c r="BY348" i="40"/>
  <c r="BZ348" i="40"/>
  <c r="CA348" i="40"/>
  <c r="CB348" i="40"/>
  <c r="CC348" i="40"/>
  <c r="CD348" i="40"/>
  <c r="CE348" i="40"/>
  <c r="CF348" i="40"/>
  <c r="CG348" i="40"/>
  <c r="CH348" i="40"/>
  <c r="DM348" i="40"/>
  <c r="DS348" i="40"/>
  <c r="DT348" i="40"/>
  <c r="DU348" i="40"/>
  <c r="DV348" i="40"/>
  <c r="DW348" i="40"/>
  <c r="A349" i="40"/>
  <c r="HK349" i="40"/>
  <c r="HK350" i="40" s="1"/>
  <c r="AW349" i="40"/>
  <c r="AX349" i="40"/>
  <c r="AZ349" i="40"/>
  <c r="BA349" i="40"/>
  <c r="BB349" i="40"/>
  <c r="BC349" i="40"/>
  <c r="BD349" i="40"/>
  <c r="BE349" i="40"/>
  <c r="BF349" i="40"/>
  <c r="BG349" i="40"/>
  <c r="BH349" i="40"/>
  <c r="BI349" i="40"/>
  <c r="BJ349" i="40"/>
  <c r="BK349" i="40"/>
  <c r="BL349" i="40"/>
  <c r="BM349" i="40"/>
  <c r="BN349" i="40"/>
  <c r="BO349" i="40"/>
  <c r="BP349" i="40"/>
  <c r="BQ349" i="40"/>
  <c r="BR349" i="40"/>
  <c r="BS349" i="40"/>
  <c r="BT349" i="40"/>
  <c r="BU349" i="40"/>
  <c r="BV349" i="40"/>
  <c r="BW349" i="40"/>
  <c r="BX349" i="40"/>
  <c r="BY349" i="40"/>
  <c r="BZ349" i="40"/>
  <c r="CA349" i="40"/>
  <c r="CB349" i="40"/>
  <c r="CC349" i="40"/>
  <c r="CD349" i="40"/>
  <c r="CE349" i="40"/>
  <c r="CF349" i="40"/>
  <c r="CG349" i="40"/>
  <c r="CH349" i="40"/>
  <c r="DM349" i="40"/>
  <c r="DS349" i="40"/>
  <c r="DT349" i="40"/>
  <c r="DU349" i="40"/>
  <c r="DV349" i="40"/>
  <c r="DW349" i="40"/>
  <c r="A350" i="40"/>
  <c r="AW350" i="40"/>
  <c r="AX350" i="40"/>
  <c r="AZ350" i="40"/>
  <c r="BA350" i="40"/>
  <c r="BB350" i="40"/>
  <c r="BC350" i="40"/>
  <c r="BD350" i="40"/>
  <c r="BE350" i="40"/>
  <c r="BF350" i="40"/>
  <c r="BG350" i="40"/>
  <c r="BH350" i="40"/>
  <c r="BI350" i="40"/>
  <c r="BJ350" i="40"/>
  <c r="BK350" i="40"/>
  <c r="BL350" i="40"/>
  <c r="BM350" i="40"/>
  <c r="BN350" i="40"/>
  <c r="BO350" i="40"/>
  <c r="BP350" i="40"/>
  <c r="BQ350" i="40"/>
  <c r="BR350" i="40"/>
  <c r="BS350" i="40"/>
  <c r="BT350" i="40"/>
  <c r="BU350" i="40"/>
  <c r="BV350" i="40"/>
  <c r="BW350" i="40"/>
  <c r="BX350" i="40"/>
  <c r="BY350" i="40"/>
  <c r="BZ350" i="40"/>
  <c r="CA350" i="40"/>
  <c r="CB350" i="40"/>
  <c r="CC350" i="40"/>
  <c r="CD350" i="40"/>
  <c r="CE350" i="40"/>
  <c r="CF350" i="40"/>
  <c r="CG350" i="40"/>
  <c r="CH350" i="40"/>
  <c r="DM350" i="40"/>
  <c r="DS350" i="40"/>
  <c r="DT350" i="40"/>
  <c r="DU350" i="40"/>
  <c r="DV350" i="40"/>
  <c r="DW350" i="40"/>
  <c r="A351" i="40"/>
  <c r="HK351" i="40"/>
  <c r="HK352" i="40" s="1"/>
  <c r="HK353" i="40" s="1"/>
  <c r="HK354" i="40" s="1"/>
  <c r="HK355" i="40" s="1"/>
  <c r="HK356" i="40" s="1"/>
  <c r="HK357" i="40" s="1"/>
  <c r="HK358" i="40" s="1"/>
  <c r="HK359" i="40" s="1"/>
  <c r="HK360" i="40" s="1"/>
  <c r="HK361" i="40" s="1"/>
  <c r="HK362" i="40" s="1"/>
  <c r="HK363" i="40" s="1"/>
  <c r="HK364" i="40" s="1"/>
  <c r="HK365" i="40" s="1"/>
  <c r="HK366" i="40" s="1"/>
  <c r="HK367" i="40" s="1"/>
  <c r="HK368" i="40" s="1"/>
  <c r="HK369" i="40" s="1"/>
  <c r="HK370" i="40" s="1"/>
  <c r="HK371" i="40" s="1"/>
  <c r="HK372" i="40" s="1"/>
  <c r="HK373" i="40" s="1"/>
  <c r="HK374" i="40" s="1"/>
  <c r="HK375" i="40" s="1"/>
  <c r="AW351" i="40"/>
  <c r="AX351" i="40"/>
  <c r="AZ351" i="40"/>
  <c r="BA351" i="40"/>
  <c r="BB351" i="40"/>
  <c r="BC351" i="40"/>
  <c r="BD351" i="40"/>
  <c r="BE351" i="40"/>
  <c r="BF351" i="40"/>
  <c r="BG351" i="40"/>
  <c r="BH351" i="40"/>
  <c r="BI351" i="40"/>
  <c r="BJ351" i="40"/>
  <c r="BK351" i="40"/>
  <c r="BL351" i="40"/>
  <c r="BM351" i="40"/>
  <c r="BN351" i="40"/>
  <c r="BO351" i="40"/>
  <c r="BP351" i="40"/>
  <c r="BQ351" i="40"/>
  <c r="BR351" i="40"/>
  <c r="BS351" i="40"/>
  <c r="BT351" i="40"/>
  <c r="BU351" i="40"/>
  <c r="BV351" i="40"/>
  <c r="BW351" i="40"/>
  <c r="BX351" i="40"/>
  <c r="BY351" i="40"/>
  <c r="BZ351" i="40"/>
  <c r="CA351" i="40"/>
  <c r="CB351" i="40"/>
  <c r="CC351" i="40"/>
  <c r="CD351" i="40"/>
  <c r="CE351" i="40"/>
  <c r="CF351" i="40"/>
  <c r="CG351" i="40"/>
  <c r="CH351" i="40"/>
  <c r="DM351" i="40"/>
  <c r="DS351" i="40"/>
  <c r="DT351" i="40"/>
  <c r="DU351" i="40"/>
  <c r="DV351" i="40"/>
  <c r="DW351" i="40"/>
  <c r="A352" i="40"/>
  <c r="AW352" i="40"/>
  <c r="AX352" i="40"/>
  <c r="AZ352" i="40"/>
  <c r="BA352" i="40"/>
  <c r="BB352" i="40"/>
  <c r="BC352" i="40"/>
  <c r="BD352" i="40"/>
  <c r="BE352" i="40"/>
  <c r="BF352" i="40"/>
  <c r="BG352" i="40"/>
  <c r="BH352" i="40"/>
  <c r="BI352" i="40"/>
  <c r="BJ352" i="40"/>
  <c r="BK352" i="40"/>
  <c r="BL352" i="40"/>
  <c r="BM352" i="40"/>
  <c r="BN352" i="40"/>
  <c r="BO352" i="40"/>
  <c r="BP352" i="40"/>
  <c r="BQ352" i="40"/>
  <c r="BR352" i="40"/>
  <c r="BS352" i="40"/>
  <c r="BT352" i="40"/>
  <c r="BU352" i="40"/>
  <c r="BV352" i="40"/>
  <c r="BW352" i="40"/>
  <c r="BX352" i="40"/>
  <c r="BY352" i="40"/>
  <c r="BZ352" i="40"/>
  <c r="CA352" i="40"/>
  <c r="CB352" i="40"/>
  <c r="CC352" i="40"/>
  <c r="CD352" i="40"/>
  <c r="CE352" i="40"/>
  <c r="CF352" i="40"/>
  <c r="CG352" i="40"/>
  <c r="CH352" i="40"/>
  <c r="DM352" i="40"/>
  <c r="DS352" i="40"/>
  <c r="DT352" i="40"/>
  <c r="DU352" i="40"/>
  <c r="DV352" i="40"/>
  <c r="DW352" i="40"/>
  <c r="A353" i="40"/>
  <c r="AW353" i="40"/>
  <c r="AX353" i="40"/>
  <c r="AZ353" i="40"/>
  <c r="BA353" i="40"/>
  <c r="BB353" i="40"/>
  <c r="BC353" i="40"/>
  <c r="BD353" i="40"/>
  <c r="BE353" i="40"/>
  <c r="BF353" i="40"/>
  <c r="BG353" i="40"/>
  <c r="BH353" i="40"/>
  <c r="BI353" i="40"/>
  <c r="BJ353" i="40"/>
  <c r="BK353" i="40"/>
  <c r="BL353" i="40"/>
  <c r="BM353" i="40"/>
  <c r="BN353" i="40"/>
  <c r="BO353" i="40"/>
  <c r="BP353" i="40"/>
  <c r="BQ353" i="40"/>
  <c r="BR353" i="40"/>
  <c r="BS353" i="40"/>
  <c r="BT353" i="40"/>
  <c r="BU353" i="40"/>
  <c r="BV353" i="40"/>
  <c r="BW353" i="40"/>
  <c r="BX353" i="40"/>
  <c r="BY353" i="40"/>
  <c r="BZ353" i="40"/>
  <c r="CA353" i="40"/>
  <c r="CB353" i="40"/>
  <c r="CC353" i="40"/>
  <c r="CD353" i="40"/>
  <c r="CE353" i="40"/>
  <c r="CF353" i="40"/>
  <c r="CG353" i="40"/>
  <c r="CH353" i="40"/>
  <c r="DM353" i="40"/>
  <c r="DS353" i="40"/>
  <c r="DT353" i="40"/>
  <c r="DU353" i="40"/>
  <c r="DV353" i="40"/>
  <c r="DW353" i="40"/>
  <c r="A354" i="40"/>
  <c r="AW354" i="40"/>
  <c r="AX354" i="40"/>
  <c r="AZ354" i="40"/>
  <c r="BA354" i="40"/>
  <c r="BB354" i="40"/>
  <c r="BC354" i="40"/>
  <c r="BD354" i="40"/>
  <c r="BE354" i="40"/>
  <c r="BF354" i="40"/>
  <c r="BG354" i="40"/>
  <c r="BH354" i="40"/>
  <c r="BI354" i="40"/>
  <c r="BJ354" i="40"/>
  <c r="BK354" i="40"/>
  <c r="BL354" i="40"/>
  <c r="BM354" i="40"/>
  <c r="BN354" i="40"/>
  <c r="BO354" i="40"/>
  <c r="BP354" i="40"/>
  <c r="BQ354" i="40"/>
  <c r="BR354" i="40"/>
  <c r="BS354" i="40"/>
  <c r="BT354" i="40"/>
  <c r="BU354" i="40"/>
  <c r="BV354" i="40"/>
  <c r="BW354" i="40"/>
  <c r="BX354" i="40"/>
  <c r="BY354" i="40"/>
  <c r="BZ354" i="40"/>
  <c r="CA354" i="40"/>
  <c r="CB354" i="40"/>
  <c r="CC354" i="40"/>
  <c r="CD354" i="40"/>
  <c r="CE354" i="40"/>
  <c r="CF354" i="40"/>
  <c r="CG354" i="40"/>
  <c r="CH354" i="40"/>
  <c r="DM354" i="40"/>
  <c r="DS354" i="40"/>
  <c r="DT354" i="40"/>
  <c r="DU354" i="40"/>
  <c r="DV354" i="40"/>
  <c r="DW354" i="40"/>
  <c r="A355" i="40"/>
  <c r="AW355" i="40"/>
  <c r="AX355" i="40"/>
  <c r="AZ355" i="40"/>
  <c r="BA355" i="40"/>
  <c r="BB355" i="40"/>
  <c r="BC355" i="40"/>
  <c r="BD355" i="40"/>
  <c r="BE355" i="40"/>
  <c r="BF355" i="40"/>
  <c r="BG355" i="40"/>
  <c r="BH355" i="40"/>
  <c r="BI355" i="40"/>
  <c r="BJ355" i="40"/>
  <c r="BK355" i="40"/>
  <c r="BL355" i="40"/>
  <c r="BM355" i="40"/>
  <c r="BN355" i="40"/>
  <c r="BO355" i="40"/>
  <c r="BP355" i="40"/>
  <c r="BQ355" i="40"/>
  <c r="BR355" i="40"/>
  <c r="BS355" i="40"/>
  <c r="BT355" i="40"/>
  <c r="BU355" i="40"/>
  <c r="BV355" i="40"/>
  <c r="BW355" i="40"/>
  <c r="BX355" i="40"/>
  <c r="BY355" i="40"/>
  <c r="BZ355" i="40"/>
  <c r="CA355" i="40"/>
  <c r="CB355" i="40"/>
  <c r="CC355" i="40"/>
  <c r="CD355" i="40"/>
  <c r="CE355" i="40"/>
  <c r="CF355" i="40"/>
  <c r="CG355" i="40"/>
  <c r="CH355" i="40"/>
  <c r="DM355" i="40"/>
  <c r="DS355" i="40"/>
  <c r="DT355" i="40"/>
  <c r="DU355" i="40"/>
  <c r="DV355" i="40"/>
  <c r="DW355" i="40"/>
  <c r="A356" i="40"/>
  <c r="AW356" i="40"/>
  <c r="AX356" i="40"/>
  <c r="AZ356" i="40"/>
  <c r="BA356" i="40"/>
  <c r="BB356" i="40"/>
  <c r="BC356" i="40"/>
  <c r="BD356" i="40"/>
  <c r="BE356" i="40"/>
  <c r="BF356" i="40"/>
  <c r="BG356" i="40"/>
  <c r="BH356" i="40"/>
  <c r="BI356" i="40"/>
  <c r="BJ356" i="40"/>
  <c r="BK356" i="40"/>
  <c r="BL356" i="40"/>
  <c r="BM356" i="40"/>
  <c r="BN356" i="40"/>
  <c r="BO356" i="40"/>
  <c r="BP356" i="40"/>
  <c r="BQ356" i="40"/>
  <c r="BR356" i="40"/>
  <c r="BS356" i="40"/>
  <c r="BT356" i="40"/>
  <c r="BU356" i="40"/>
  <c r="BV356" i="40"/>
  <c r="BW356" i="40"/>
  <c r="BX356" i="40"/>
  <c r="BY356" i="40"/>
  <c r="BZ356" i="40"/>
  <c r="CA356" i="40"/>
  <c r="CB356" i="40"/>
  <c r="CC356" i="40"/>
  <c r="CD356" i="40"/>
  <c r="CE356" i="40"/>
  <c r="CF356" i="40"/>
  <c r="CG356" i="40"/>
  <c r="CH356" i="40"/>
  <c r="DM356" i="40"/>
  <c r="DS356" i="40"/>
  <c r="DT356" i="40"/>
  <c r="DU356" i="40"/>
  <c r="DV356" i="40"/>
  <c r="DW356" i="40"/>
  <c r="A357" i="40"/>
  <c r="AW357" i="40"/>
  <c r="AX357" i="40"/>
  <c r="AZ357" i="40"/>
  <c r="BA357" i="40"/>
  <c r="BB357" i="40"/>
  <c r="BC357" i="40"/>
  <c r="BD357" i="40"/>
  <c r="BE357" i="40"/>
  <c r="BF357" i="40"/>
  <c r="BG357" i="40"/>
  <c r="BH357" i="40"/>
  <c r="BI357" i="40"/>
  <c r="BJ357" i="40"/>
  <c r="BK357" i="40"/>
  <c r="BL357" i="40"/>
  <c r="BM357" i="40"/>
  <c r="BN357" i="40"/>
  <c r="BO357" i="40"/>
  <c r="BP357" i="40"/>
  <c r="BQ357" i="40"/>
  <c r="BR357" i="40"/>
  <c r="BS357" i="40"/>
  <c r="BT357" i="40"/>
  <c r="BU357" i="40"/>
  <c r="BV357" i="40"/>
  <c r="BW357" i="40"/>
  <c r="BX357" i="40"/>
  <c r="BY357" i="40"/>
  <c r="BZ357" i="40"/>
  <c r="CA357" i="40"/>
  <c r="CB357" i="40"/>
  <c r="CC357" i="40"/>
  <c r="CD357" i="40"/>
  <c r="CE357" i="40"/>
  <c r="CF357" i="40"/>
  <c r="CG357" i="40"/>
  <c r="CH357" i="40"/>
  <c r="DM357" i="40"/>
  <c r="DS357" i="40"/>
  <c r="DT357" i="40"/>
  <c r="DU357" i="40"/>
  <c r="DV357" i="40"/>
  <c r="DW357" i="40"/>
  <c r="A358" i="40"/>
  <c r="AW358" i="40"/>
  <c r="AX358" i="40"/>
  <c r="AZ358" i="40"/>
  <c r="BA358" i="40"/>
  <c r="BB358" i="40"/>
  <c r="BC358" i="40"/>
  <c r="BD358" i="40"/>
  <c r="BE358" i="40"/>
  <c r="BF358" i="40"/>
  <c r="BG358" i="40"/>
  <c r="BH358" i="40"/>
  <c r="BI358" i="40"/>
  <c r="BJ358" i="40"/>
  <c r="BK358" i="40"/>
  <c r="BL358" i="40"/>
  <c r="BM358" i="40"/>
  <c r="BN358" i="40"/>
  <c r="BO358" i="40"/>
  <c r="BP358" i="40"/>
  <c r="BQ358" i="40"/>
  <c r="BR358" i="40"/>
  <c r="BS358" i="40"/>
  <c r="BT358" i="40"/>
  <c r="BU358" i="40"/>
  <c r="BV358" i="40"/>
  <c r="BW358" i="40"/>
  <c r="BX358" i="40"/>
  <c r="BY358" i="40"/>
  <c r="BZ358" i="40"/>
  <c r="CA358" i="40"/>
  <c r="CB358" i="40"/>
  <c r="CC358" i="40"/>
  <c r="CD358" i="40"/>
  <c r="CE358" i="40"/>
  <c r="CF358" i="40"/>
  <c r="CG358" i="40"/>
  <c r="CH358" i="40"/>
  <c r="DM358" i="40"/>
  <c r="DS358" i="40"/>
  <c r="DT358" i="40"/>
  <c r="DU358" i="40"/>
  <c r="DV358" i="40"/>
  <c r="DW358" i="40"/>
  <c r="A359" i="40"/>
  <c r="AW359" i="40"/>
  <c r="AX359" i="40"/>
  <c r="AZ359" i="40"/>
  <c r="BA359" i="40"/>
  <c r="BB359" i="40"/>
  <c r="BC359" i="40"/>
  <c r="BD359" i="40"/>
  <c r="BE359" i="40"/>
  <c r="BF359" i="40"/>
  <c r="BG359" i="40"/>
  <c r="BH359" i="40"/>
  <c r="BI359" i="40"/>
  <c r="BJ359" i="40"/>
  <c r="BK359" i="40"/>
  <c r="BL359" i="40"/>
  <c r="BM359" i="40"/>
  <c r="BN359" i="40"/>
  <c r="BO359" i="40"/>
  <c r="BP359" i="40"/>
  <c r="BQ359" i="40"/>
  <c r="BR359" i="40"/>
  <c r="BS359" i="40"/>
  <c r="BT359" i="40"/>
  <c r="BU359" i="40"/>
  <c r="BV359" i="40"/>
  <c r="BW359" i="40"/>
  <c r="BX359" i="40"/>
  <c r="BY359" i="40"/>
  <c r="BZ359" i="40"/>
  <c r="CA359" i="40"/>
  <c r="CB359" i="40"/>
  <c r="CC359" i="40"/>
  <c r="CD359" i="40"/>
  <c r="CE359" i="40"/>
  <c r="CF359" i="40"/>
  <c r="CG359" i="40"/>
  <c r="CH359" i="40"/>
  <c r="DM359" i="40"/>
  <c r="DS359" i="40"/>
  <c r="DT359" i="40"/>
  <c r="DU359" i="40"/>
  <c r="DV359" i="40"/>
  <c r="DW359" i="40"/>
  <c r="A360" i="40"/>
  <c r="AW360" i="40"/>
  <c r="AX360" i="40"/>
  <c r="AZ360" i="40"/>
  <c r="BA360" i="40"/>
  <c r="BB360" i="40"/>
  <c r="BC360" i="40"/>
  <c r="BD360" i="40"/>
  <c r="BE360" i="40"/>
  <c r="BF360" i="40"/>
  <c r="BG360" i="40"/>
  <c r="BH360" i="40"/>
  <c r="BI360" i="40"/>
  <c r="BJ360" i="40"/>
  <c r="BK360" i="40"/>
  <c r="BL360" i="40"/>
  <c r="BM360" i="40"/>
  <c r="BN360" i="40"/>
  <c r="BO360" i="40"/>
  <c r="BP360" i="40"/>
  <c r="BQ360" i="40"/>
  <c r="BR360" i="40"/>
  <c r="BS360" i="40"/>
  <c r="BT360" i="40"/>
  <c r="BU360" i="40"/>
  <c r="BV360" i="40"/>
  <c r="BW360" i="40"/>
  <c r="BX360" i="40"/>
  <c r="BY360" i="40"/>
  <c r="BZ360" i="40"/>
  <c r="CA360" i="40"/>
  <c r="CB360" i="40"/>
  <c r="CC360" i="40"/>
  <c r="CD360" i="40"/>
  <c r="CE360" i="40"/>
  <c r="CF360" i="40"/>
  <c r="CG360" i="40"/>
  <c r="CH360" i="40"/>
  <c r="DM360" i="40"/>
  <c r="DS360" i="40"/>
  <c r="DT360" i="40"/>
  <c r="DU360" i="40"/>
  <c r="DV360" i="40"/>
  <c r="DW360" i="40"/>
  <c r="A361" i="40"/>
  <c r="AW361" i="40"/>
  <c r="AX361" i="40"/>
  <c r="AZ361" i="40"/>
  <c r="BA361" i="40"/>
  <c r="BB361" i="40"/>
  <c r="BC361" i="40"/>
  <c r="BD361" i="40"/>
  <c r="BE361" i="40"/>
  <c r="BF361" i="40"/>
  <c r="BG361" i="40"/>
  <c r="BH361" i="40"/>
  <c r="BI361" i="40"/>
  <c r="BJ361" i="40"/>
  <c r="BK361" i="40"/>
  <c r="BL361" i="40"/>
  <c r="BM361" i="40"/>
  <c r="BN361" i="40"/>
  <c r="BO361" i="40"/>
  <c r="BP361" i="40"/>
  <c r="BQ361" i="40"/>
  <c r="BR361" i="40"/>
  <c r="BS361" i="40"/>
  <c r="BT361" i="40"/>
  <c r="BU361" i="40"/>
  <c r="BV361" i="40"/>
  <c r="BW361" i="40"/>
  <c r="BX361" i="40"/>
  <c r="BY361" i="40"/>
  <c r="BZ361" i="40"/>
  <c r="CA361" i="40"/>
  <c r="CB361" i="40"/>
  <c r="CC361" i="40"/>
  <c r="CD361" i="40"/>
  <c r="CE361" i="40"/>
  <c r="CF361" i="40"/>
  <c r="CG361" i="40"/>
  <c r="CH361" i="40"/>
  <c r="DM361" i="40"/>
  <c r="DS361" i="40"/>
  <c r="DT361" i="40"/>
  <c r="DU361" i="40"/>
  <c r="DV361" i="40"/>
  <c r="DW361" i="40"/>
  <c r="A362" i="40"/>
  <c r="AW362" i="40"/>
  <c r="AX362" i="40"/>
  <c r="AZ362" i="40"/>
  <c r="BA362" i="40"/>
  <c r="BB362" i="40"/>
  <c r="BC362" i="40"/>
  <c r="BD362" i="40"/>
  <c r="BE362" i="40"/>
  <c r="BF362" i="40"/>
  <c r="BG362" i="40"/>
  <c r="BH362" i="40"/>
  <c r="BI362" i="40"/>
  <c r="BJ362" i="40"/>
  <c r="BK362" i="40"/>
  <c r="BL362" i="40"/>
  <c r="BM362" i="40"/>
  <c r="BN362" i="40"/>
  <c r="BO362" i="40"/>
  <c r="BP362" i="40"/>
  <c r="BQ362" i="40"/>
  <c r="BR362" i="40"/>
  <c r="BS362" i="40"/>
  <c r="BT362" i="40"/>
  <c r="BU362" i="40"/>
  <c r="BV362" i="40"/>
  <c r="BW362" i="40"/>
  <c r="BX362" i="40"/>
  <c r="BY362" i="40"/>
  <c r="BZ362" i="40"/>
  <c r="CA362" i="40"/>
  <c r="CB362" i="40"/>
  <c r="CC362" i="40"/>
  <c r="CD362" i="40"/>
  <c r="CE362" i="40"/>
  <c r="CF362" i="40"/>
  <c r="CG362" i="40"/>
  <c r="CH362" i="40"/>
  <c r="DM362" i="40"/>
  <c r="DS362" i="40"/>
  <c r="DT362" i="40"/>
  <c r="DU362" i="40"/>
  <c r="DV362" i="40"/>
  <c r="DW362" i="40"/>
  <c r="A363" i="40"/>
  <c r="AW363" i="40"/>
  <c r="AX363" i="40"/>
  <c r="AZ363" i="40"/>
  <c r="BA363" i="40"/>
  <c r="BB363" i="40"/>
  <c r="BC363" i="40"/>
  <c r="BD363" i="40"/>
  <c r="BE363" i="40"/>
  <c r="BF363" i="40"/>
  <c r="BG363" i="40"/>
  <c r="BH363" i="40"/>
  <c r="BI363" i="40"/>
  <c r="BJ363" i="40"/>
  <c r="BK363" i="40"/>
  <c r="BL363" i="40"/>
  <c r="BM363" i="40"/>
  <c r="BN363" i="40"/>
  <c r="BO363" i="40"/>
  <c r="BP363" i="40"/>
  <c r="BQ363" i="40"/>
  <c r="BR363" i="40"/>
  <c r="BS363" i="40"/>
  <c r="BT363" i="40"/>
  <c r="BU363" i="40"/>
  <c r="BV363" i="40"/>
  <c r="BW363" i="40"/>
  <c r="BX363" i="40"/>
  <c r="BY363" i="40"/>
  <c r="BZ363" i="40"/>
  <c r="CA363" i="40"/>
  <c r="CB363" i="40"/>
  <c r="CC363" i="40"/>
  <c r="CD363" i="40"/>
  <c r="CE363" i="40"/>
  <c r="CF363" i="40"/>
  <c r="CG363" i="40"/>
  <c r="CH363" i="40"/>
  <c r="DM363" i="40"/>
  <c r="DS363" i="40"/>
  <c r="DT363" i="40"/>
  <c r="DU363" i="40"/>
  <c r="DV363" i="40"/>
  <c r="DW363" i="40"/>
  <c r="A364" i="40"/>
  <c r="AW364" i="40"/>
  <c r="AX364" i="40"/>
  <c r="AZ364" i="40"/>
  <c r="BA364" i="40"/>
  <c r="BB364" i="40"/>
  <c r="BC364" i="40"/>
  <c r="BD364" i="40"/>
  <c r="BE364" i="40"/>
  <c r="BF364" i="40"/>
  <c r="BG364" i="40"/>
  <c r="BH364" i="40"/>
  <c r="BI364" i="40"/>
  <c r="BJ364" i="40"/>
  <c r="BK364" i="40"/>
  <c r="BL364" i="40"/>
  <c r="BM364" i="40"/>
  <c r="BN364" i="40"/>
  <c r="BO364" i="40"/>
  <c r="BP364" i="40"/>
  <c r="BQ364" i="40"/>
  <c r="BR364" i="40"/>
  <c r="BS364" i="40"/>
  <c r="BT364" i="40"/>
  <c r="BU364" i="40"/>
  <c r="BV364" i="40"/>
  <c r="BW364" i="40"/>
  <c r="BX364" i="40"/>
  <c r="BY364" i="40"/>
  <c r="BZ364" i="40"/>
  <c r="CA364" i="40"/>
  <c r="CB364" i="40"/>
  <c r="CC364" i="40"/>
  <c r="CD364" i="40"/>
  <c r="CE364" i="40"/>
  <c r="CF364" i="40"/>
  <c r="CG364" i="40"/>
  <c r="CH364" i="40"/>
  <c r="DM364" i="40"/>
  <c r="DS364" i="40"/>
  <c r="DT364" i="40"/>
  <c r="DU364" i="40"/>
  <c r="DV364" i="40"/>
  <c r="DW364" i="40"/>
  <c r="A365" i="40"/>
  <c r="AW365" i="40"/>
  <c r="AX365" i="40"/>
  <c r="AZ365" i="40"/>
  <c r="BA365" i="40"/>
  <c r="BB365" i="40"/>
  <c r="BC365" i="40"/>
  <c r="BD365" i="40"/>
  <c r="BE365" i="40"/>
  <c r="BF365" i="40"/>
  <c r="BG365" i="40"/>
  <c r="BH365" i="40"/>
  <c r="BI365" i="40"/>
  <c r="BJ365" i="40"/>
  <c r="BK365" i="40"/>
  <c r="BL365" i="40"/>
  <c r="BM365" i="40"/>
  <c r="BN365" i="40"/>
  <c r="BO365" i="40"/>
  <c r="BP365" i="40"/>
  <c r="BQ365" i="40"/>
  <c r="BR365" i="40"/>
  <c r="BS365" i="40"/>
  <c r="BT365" i="40"/>
  <c r="BU365" i="40"/>
  <c r="BV365" i="40"/>
  <c r="BW365" i="40"/>
  <c r="BX365" i="40"/>
  <c r="BY365" i="40"/>
  <c r="BZ365" i="40"/>
  <c r="CA365" i="40"/>
  <c r="CB365" i="40"/>
  <c r="CC365" i="40"/>
  <c r="CD365" i="40"/>
  <c r="CE365" i="40"/>
  <c r="CF365" i="40"/>
  <c r="CG365" i="40"/>
  <c r="CH365" i="40"/>
  <c r="DM365" i="40"/>
  <c r="DS365" i="40"/>
  <c r="DT365" i="40"/>
  <c r="DU365" i="40"/>
  <c r="DV365" i="40"/>
  <c r="DW365" i="40"/>
  <c r="A366" i="40"/>
  <c r="AW366" i="40"/>
  <c r="AX366" i="40"/>
  <c r="AZ366" i="40"/>
  <c r="BA366" i="40"/>
  <c r="BB366" i="40"/>
  <c r="BC366" i="40"/>
  <c r="BD366" i="40"/>
  <c r="BE366" i="40"/>
  <c r="BF366" i="40"/>
  <c r="BG366" i="40"/>
  <c r="BH366" i="40"/>
  <c r="BI366" i="40"/>
  <c r="BJ366" i="40"/>
  <c r="BK366" i="40"/>
  <c r="BL366" i="40"/>
  <c r="BM366" i="40"/>
  <c r="BN366" i="40"/>
  <c r="BO366" i="40"/>
  <c r="BP366" i="40"/>
  <c r="BQ366" i="40"/>
  <c r="BR366" i="40"/>
  <c r="BS366" i="40"/>
  <c r="BT366" i="40"/>
  <c r="BU366" i="40"/>
  <c r="BV366" i="40"/>
  <c r="BW366" i="40"/>
  <c r="BX366" i="40"/>
  <c r="BY366" i="40"/>
  <c r="BZ366" i="40"/>
  <c r="CA366" i="40"/>
  <c r="CB366" i="40"/>
  <c r="CC366" i="40"/>
  <c r="CD366" i="40"/>
  <c r="CE366" i="40"/>
  <c r="CF366" i="40"/>
  <c r="CG366" i="40"/>
  <c r="CH366" i="40"/>
  <c r="DM366" i="40"/>
  <c r="DS366" i="40"/>
  <c r="DT366" i="40"/>
  <c r="DU366" i="40"/>
  <c r="DV366" i="40"/>
  <c r="DW366" i="40"/>
  <c r="A367" i="40"/>
  <c r="AW367" i="40"/>
  <c r="AX367" i="40"/>
  <c r="AZ367" i="40"/>
  <c r="BA367" i="40"/>
  <c r="BB367" i="40"/>
  <c r="BC367" i="40"/>
  <c r="BD367" i="40"/>
  <c r="BE367" i="40"/>
  <c r="BF367" i="40"/>
  <c r="BG367" i="40"/>
  <c r="BH367" i="40"/>
  <c r="BI367" i="40"/>
  <c r="BJ367" i="40"/>
  <c r="BK367" i="40"/>
  <c r="BL367" i="40"/>
  <c r="BM367" i="40"/>
  <c r="BN367" i="40"/>
  <c r="BO367" i="40"/>
  <c r="BP367" i="40"/>
  <c r="BQ367" i="40"/>
  <c r="BR367" i="40"/>
  <c r="BS367" i="40"/>
  <c r="BT367" i="40"/>
  <c r="BU367" i="40"/>
  <c r="BV367" i="40"/>
  <c r="BW367" i="40"/>
  <c r="BX367" i="40"/>
  <c r="BY367" i="40"/>
  <c r="BZ367" i="40"/>
  <c r="CA367" i="40"/>
  <c r="CB367" i="40"/>
  <c r="CC367" i="40"/>
  <c r="CD367" i="40"/>
  <c r="CE367" i="40"/>
  <c r="CF367" i="40"/>
  <c r="CG367" i="40"/>
  <c r="CH367" i="40"/>
  <c r="DM367" i="40"/>
  <c r="DS367" i="40"/>
  <c r="DT367" i="40"/>
  <c r="DU367" i="40"/>
  <c r="DV367" i="40"/>
  <c r="DW367" i="40"/>
  <c r="A368" i="40"/>
  <c r="AW368" i="40"/>
  <c r="AX368" i="40"/>
  <c r="AZ368" i="40"/>
  <c r="BA368" i="40"/>
  <c r="BB368" i="40"/>
  <c r="BC368" i="40"/>
  <c r="BD368" i="40"/>
  <c r="BE368" i="40"/>
  <c r="BF368" i="40"/>
  <c r="BG368" i="40"/>
  <c r="BH368" i="40"/>
  <c r="BI368" i="40"/>
  <c r="BJ368" i="40"/>
  <c r="BK368" i="40"/>
  <c r="BL368" i="40"/>
  <c r="BM368" i="40"/>
  <c r="BN368" i="40"/>
  <c r="BO368" i="40"/>
  <c r="BP368" i="40"/>
  <c r="BQ368" i="40"/>
  <c r="BR368" i="40"/>
  <c r="BS368" i="40"/>
  <c r="BT368" i="40"/>
  <c r="BU368" i="40"/>
  <c r="BV368" i="40"/>
  <c r="BW368" i="40"/>
  <c r="BX368" i="40"/>
  <c r="BY368" i="40"/>
  <c r="BZ368" i="40"/>
  <c r="CA368" i="40"/>
  <c r="CB368" i="40"/>
  <c r="CC368" i="40"/>
  <c r="CD368" i="40"/>
  <c r="CE368" i="40"/>
  <c r="CF368" i="40"/>
  <c r="CG368" i="40"/>
  <c r="CH368" i="40"/>
  <c r="DM368" i="40"/>
  <c r="DS368" i="40"/>
  <c r="DT368" i="40"/>
  <c r="DU368" i="40"/>
  <c r="DV368" i="40"/>
  <c r="DW368" i="40"/>
  <c r="A369" i="40"/>
  <c r="AW369" i="40"/>
  <c r="AX369" i="40"/>
  <c r="AZ369" i="40"/>
  <c r="BA369" i="40"/>
  <c r="BB369" i="40"/>
  <c r="BC369" i="40"/>
  <c r="BD369" i="40"/>
  <c r="BE369" i="40"/>
  <c r="BF369" i="40"/>
  <c r="BG369" i="40"/>
  <c r="BH369" i="40"/>
  <c r="BI369" i="40"/>
  <c r="BJ369" i="40"/>
  <c r="BK369" i="40"/>
  <c r="BL369" i="40"/>
  <c r="BM369" i="40"/>
  <c r="BN369" i="40"/>
  <c r="BO369" i="40"/>
  <c r="BP369" i="40"/>
  <c r="BQ369" i="40"/>
  <c r="BR369" i="40"/>
  <c r="BS369" i="40"/>
  <c r="BT369" i="40"/>
  <c r="BU369" i="40"/>
  <c r="BV369" i="40"/>
  <c r="BW369" i="40"/>
  <c r="BX369" i="40"/>
  <c r="BY369" i="40"/>
  <c r="BZ369" i="40"/>
  <c r="CA369" i="40"/>
  <c r="CB369" i="40"/>
  <c r="CC369" i="40"/>
  <c r="CD369" i="40"/>
  <c r="CE369" i="40"/>
  <c r="CF369" i="40"/>
  <c r="CG369" i="40"/>
  <c r="CH369" i="40"/>
  <c r="DM369" i="40"/>
  <c r="DS369" i="40"/>
  <c r="DT369" i="40"/>
  <c r="DU369" i="40"/>
  <c r="DV369" i="40"/>
  <c r="DW369" i="40"/>
  <c r="A370" i="40"/>
  <c r="AW370" i="40"/>
  <c r="AX370" i="40"/>
  <c r="AZ370" i="40"/>
  <c r="BA370" i="40"/>
  <c r="BB370" i="40"/>
  <c r="BC370" i="40"/>
  <c r="BD370" i="40"/>
  <c r="BE370" i="40"/>
  <c r="BF370" i="40"/>
  <c r="BG370" i="40"/>
  <c r="BH370" i="40"/>
  <c r="BI370" i="40"/>
  <c r="BJ370" i="40"/>
  <c r="BK370" i="40"/>
  <c r="BL370" i="40"/>
  <c r="BM370" i="40"/>
  <c r="BN370" i="40"/>
  <c r="BO370" i="40"/>
  <c r="BP370" i="40"/>
  <c r="BQ370" i="40"/>
  <c r="BR370" i="40"/>
  <c r="BS370" i="40"/>
  <c r="BT370" i="40"/>
  <c r="BU370" i="40"/>
  <c r="BV370" i="40"/>
  <c r="BW370" i="40"/>
  <c r="BX370" i="40"/>
  <c r="BY370" i="40"/>
  <c r="BZ370" i="40"/>
  <c r="CA370" i="40"/>
  <c r="CB370" i="40"/>
  <c r="CC370" i="40"/>
  <c r="CD370" i="40"/>
  <c r="CE370" i="40"/>
  <c r="CF370" i="40"/>
  <c r="CG370" i="40"/>
  <c r="CH370" i="40"/>
  <c r="DM370" i="40"/>
  <c r="DS370" i="40"/>
  <c r="DT370" i="40"/>
  <c r="DU370" i="40"/>
  <c r="DV370" i="40"/>
  <c r="DW370" i="40"/>
  <c r="A371" i="40"/>
  <c r="AW371" i="40"/>
  <c r="AX371" i="40"/>
  <c r="AZ371" i="40"/>
  <c r="BA371" i="40"/>
  <c r="BB371" i="40"/>
  <c r="BC371" i="40"/>
  <c r="BD371" i="40"/>
  <c r="BE371" i="40"/>
  <c r="BF371" i="40"/>
  <c r="BG371" i="40"/>
  <c r="BH371" i="40"/>
  <c r="BI371" i="40"/>
  <c r="BJ371" i="40"/>
  <c r="BK371" i="40"/>
  <c r="BL371" i="40"/>
  <c r="BM371" i="40"/>
  <c r="BN371" i="40"/>
  <c r="BO371" i="40"/>
  <c r="BP371" i="40"/>
  <c r="BQ371" i="40"/>
  <c r="BR371" i="40"/>
  <c r="BS371" i="40"/>
  <c r="BT371" i="40"/>
  <c r="BU371" i="40"/>
  <c r="BV371" i="40"/>
  <c r="BW371" i="40"/>
  <c r="BX371" i="40"/>
  <c r="BY371" i="40"/>
  <c r="BZ371" i="40"/>
  <c r="CA371" i="40"/>
  <c r="CB371" i="40"/>
  <c r="CC371" i="40"/>
  <c r="CD371" i="40"/>
  <c r="CE371" i="40"/>
  <c r="CF371" i="40"/>
  <c r="CG371" i="40"/>
  <c r="CH371" i="40"/>
  <c r="DM371" i="40"/>
  <c r="DS371" i="40"/>
  <c r="DT371" i="40"/>
  <c r="DU371" i="40"/>
  <c r="DV371" i="40"/>
  <c r="DW371" i="40"/>
  <c r="A372" i="40"/>
  <c r="AT372" i="40"/>
  <c r="AT373" i="40" s="1"/>
  <c r="AT374" i="40" s="1"/>
  <c r="AT375" i="40" s="1"/>
  <c r="AT376" i="40" s="1"/>
  <c r="AT377" i="40" s="1"/>
  <c r="AT378" i="40" s="1"/>
  <c r="AT379" i="40" s="1"/>
  <c r="AT380" i="40" s="1"/>
  <c r="AW372" i="40"/>
  <c r="AX372" i="40"/>
  <c r="AZ372" i="40"/>
  <c r="BA372" i="40"/>
  <c r="BB372" i="40"/>
  <c r="BC372" i="40"/>
  <c r="BD372" i="40"/>
  <c r="BE372" i="40"/>
  <c r="BF372" i="40"/>
  <c r="BG372" i="40"/>
  <c r="BH372" i="40"/>
  <c r="BI372" i="40"/>
  <c r="BJ372" i="40"/>
  <c r="BK372" i="40"/>
  <c r="BL372" i="40"/>
  <c r="BM372" i="40"/>
  <c r="BN372" i="40"/>
  <c r="BO372" i="40"/>
  <c r="BP372" i="40"/>
  <c r="BQ372" i="40"/>
  <c r="BR372" i="40"/>
  <c r="BS372" i="40"/>
  <c r="BT372" i="40"/>
  <c r="BU372" i="40"/>
  <c r="BV372" i="40"/>
  <c r="BW372" i="40"/>
  <c r="BX372" i="40"/>
  <c r="BY372" i="40"/>
  <c r="BZ372" i="40"/>
  <c r="CA372" i="40"/>
  <c r="CB372" i="40"/>
  <c r="CC372" i="40"/>
  <c r="CD372" i="40"/>
  <c r="CE372" i="40"/>
  <c r="CF372" i="40"/>
  <c r="CG372" i="40"/>
  <c r="CH372" i="40"/>
  <c r="DM372" i="40"/>
  <c r="DS372" i="40"/>
  <c r="DT372" i="40"/>
  <c r="DU372" i="40"/>
  <c r="DV372" i="40"/>
  <c r="DW372" i="40"/>
  <c r="A373" i="40"/>
  <c r="AW373" i="40"/>
  <c r="AX373" i="40"/>
  <c r="AZ373" i="40"/>
  <c r="BA373" i="40"/>
  <c r="BB373" i="40"/>
  <c r="BC373" i="40"/>
  <c r="BD373" i="40"/>
  <c r="BE373" i="40"/>
  <c r="BF373" i="40"/>
  <c r="BG373" i="40"/>
  <c r="BH373" i="40"/>
  <c r="BI373" i="40"/>
  <c r="BJ373" i="40"/>
  <c r="BK373" i="40"/>
  <c r="BL373" i="40"/>
  <c r="BM373" i="40"/>
  <c r="BN373" i="40"/>
  <c r="BO373" i="40"/>
  <c r="BP373" i="40"/>
  <c r="BQ373" i="40"/>
  <c r="BR373" i="40"/>
  <c r="BS373" i="40"/>
  <c r="BT373" i="40"/>
  <c r="BU373" i="40"/>
  <c r="BV373" i="40"/>
  <c r="BW373" i="40"/>
  <c r="BX373" i="40"/>
  <c r="BY373" i="40"/>
  <c r="BZ373" i="40"/>
  <c r="CA373" i="40"/>
  <c r="CB373" i="40"/>
  <c r="CC373" i="40"/>
  <c r="CD373" i="40"/>
  <c r="CE373" i="40"/>
  <c r="CF373" i="40"/>
  <c r="CG373" i="40"/>
  <c r="CH373" i="40"/>
  <c r="DM373" i="40"/>
  <c r="DS373" i="40"/>
  <c r="DT373" i="40"/>
  <c r="DU373" i="40"/>
  <c r="DV373" i="40"/>
  <c r="DW373" i="40"/>
  <c r="A374" i="40"/>
  <c r="AW374" i="40"/>
  <c r="AX374" i="40"/>
  <c r="AZ374" i="40"/>
  <c r="BA374" i="40"/>
  <c r="BB374" i="40"/>
  <c r="BC374" i="40"/>
  <c r="BD374" i="40"/>
  <c r="BE374" i="40"/>
  <c r="BF374" i="40"/>
  <c r="BG374" i="40"/>
  <c r="BH374" i="40"/>
  <c r="BI374" i="40"/>
  <c r="BJ374" i="40"/>
  <c r="BK374" i="40"/>
  <c r="BL374" i="40"/>
  <c r="BM374" i="40"/>
  <c r="BN374" i="40"/>
  <c r="BO374" i="40"/>
  <c r="BP374" i="40"/>
  <c r="BQ374" i="40"/>
  <c r="BR374" i="40"/>
  <c r="BS374" i="40"/>
  <c r="BT374" i="40"/>
  <c r="BU374" i="40"/>
  <c r="BV374" i="40"/>
  <c r="BW374" i="40"/>
  <c r="BX374" i="40"/>
  <c r="BY374" i="40"/>
  <c r="BZ374" i="40"/>
  <c r="CA374" i="40"/>
  <c r="CB374" i="40"/>
  <c r="CC374" i="40"/>
  <c r="CD374" i="40"/>
  <c r="CE374" i="40"/>
  <c r="CF374" i="40"/>
  <c r="CG374" i="40"/>
  <c r="CH374" i="40"/>
  <c r="DM374" i="40"/>
  <c r="DS374" i="40"/>
  <c r="DT374" i="40"/>
  <c r="DU374" i="40"/>
  <c r="DV374" i="40"/>
  <c r="DW374" i="40"/>
  <c r="A375" i="40"/>
  <c r="HJ375" i="40"/>
  <c r="AW375" i="40"/>
  <c r="AX375" i="40"/>
  <c r="AZ375" i="40"/>
  <c r="BA375" i="40"/>
  <c r="BB375" i="40"/>
  <c r="BC375" i="40"/>
  <c r="BD375" i="40"/>
  <c r="BE375" i="40"/>
  <c r="BF375" i="40"/>
  <c r="BG375" i="40"/>
  <c r="BH375" i="40"/>
  <c r="BI375" i="40"/>
  <c r="BJ375" i="40"/>
  <c r="BK375" i="40"/>
  <c r="BL375" i="40"/>
  <c r="BM375" i="40"/>
  <c r="BN375" i="40"/>
  <c r="BO375" i="40"/>
  <c r="BP375" i="40"/>
  <c r="BQ375" i="40"/>
  <c r="BR375" i="40"/>
  <c r="BS375" i="40"/>
  <c r="BT375" i="40"/>
  <c r="BU375" i="40"/>
  <c r="BV375" i="40"/>
  <c r="BW375" i="40"/>
  <c r="BX375" i="40"/>
  <c r="BY375" i="40"/>
  <c r="BZ375" i="40"/>
  <c r="CA375" i="40"/>
  <c r="CB375" i="40"/>
  <c r="CC375" i="40"/>
  <c r="CD375" i="40"/>
  <c r="CE375" i="40"/>
  <c r="CF375" i="40"/>
  <c r="CG375" i="40"/>
  <c r="CH375" i="40"/>
  <c r="DM375" i="40"/>
  <c r="DS375" i="40"/>
  <c r="DT375" i="40"/>
  <c r="DU375" i="40"/>
  <c r="DV375" i="40"/>
  <c r="DW375" i="40"/>
  <c r="A376" i="40"/>
  <c r="AW376" i="40"/>
  <c r="AX376" i="40"/>
  <c r="AZ376" i="40"/>
  <c r="BA376" i="40"/>
  <c r="BB376" i="40"/>
  <c r="BC376" i="40"/>
  <c r="BD376" i="40"/>
  <c r="BE376" i="40"/>
  <c r="BF376" i="40"/>
  <c r="BG376" i="40"/>
  <c r="BH376" i="40"/>
  <c r="BI376" i="40"/>
  <c r="BJ376" i="40"/>
  <c r="BK376" i="40"/>
  <c r="BL376" i="40"/>
  <c r="BM376" i="40"/>
  <c r="BN376" i="40"/>
  <c r="BO376" i="40"/>
  <c r="BP376" i="40"/>
  <c r="BQ376" i="40"/>
  <c r="BR376" i="40"/>
  <c r="BS376" i="40"/>
  <c r="BT376" i="40"/>
  <c r="BU376" i="40"/>
  <c r="BV376" i="40"/>
  <c r="BW376" i="40"/>
  <c r="BX376" i="40"/>
  <c r="BY376" i="40"/>
  <c r="BZ376" i="40"/>
  <c r="CA376" i="40"/>
  <c r="CB376" i="40"/>
  <c r="CC376" i="40"/>
  <c r="CD376" i="40"/>
  <c r="CE376" i="40"/>
  <c r="CF376" i="40"/>
  <c r="CG376" i="40"/>
  <c r="CH376" i="40"/>
  <c r="DM376" i="40"/>
  <c r="DS376" i="40"/>
  <c r="DT376" i="40"/>
  <c r="DU376" i="40"/>
  <c r="DV376" i="40"/>
  <c r="DW376" i="40"/>
  <c r="A377" i="40"/>
  <c r="AW377" i="40"/>
  <c r="AX377" i="40"/>
  <c r="AZ377" i="40"/>
  <c r="BA377" i="40"/>
  <c r="BB377" i="40"/>
  <c r="BC377" i="40"/>
  <c r="BD377" i="40"/>
  <c r="BE377" i="40"/>
  <c r="BF377" i="40"/>
  <c r="BG377" i="40"/>
  <c r="BH377" i="40"/>
  <c r="BI377" i="40"/>
  <c r="BJ377" i="40"/>
  <c r="BK377" i="40"/>
  <c r="BL377" i="40"/>
  <c r="BM377" i="40"/>
  <c r="BN377" i="40"/>
  <c r="BO377" i="40"/>
  <c r="BP377" i="40"/>
  <c r="BQ377" i="40"/>
  <c r="BR377" i="40"/>
  <c r="BS377" i="40"/>
  <c r="BT377" i="40"/>
  <c r="BU377" i="40"/>
  <c r="BV377" i="40"/>
  <c r="BW377" i="40"/>
  <c r="BX377" i="40"/>
  <c r="BY377" i="40"/>
  <c r="BZ377" i="40"/>
  <c r="CA377" i="40"/>
  <c r="CB377" i="40"/>
  <c r="CC377" i="40"/>
  <c r="CD377" i="40"/>
  <c r="CE377" i="40"/>
  <c r="CF377" i="40"/>
  <c r="CG377" i="40"/>
  <c r="CH377" i="40"/>
  <c r="DM377" i="40"/>
  <c r="DS377" i="40"/>
  <c r="DT377" i="40"/>
  <c r="DU377" i="40"/>
  <c r="DV377" i="40"/>
  <c r="DW377" i="40"/>
  <c r="A378" i="40"/>
  <c r="AW378" i="40"/>
  <c r="AX378" i="40"/>
  <c r="AZ378" i="40"/>
  <c r="BA378" i="40"/>
  <c r="BB378" i="40"/>
  <c r="BC378" i="40"/>
  <c r="BD378" i="40"/>
  <c r="BE378" i="40"/>
  <c r="BF378" i="40"/>
  <c r="BG378" i="40"/>
  <c r="BH378" i="40"/>
  <c r="BI378" i="40"/>
  <c r="BJ378" i="40"/>
  <c r="BK378" i="40"/>
  <c r="BL378" i="40"/>
  <c r="BM378" i="40"/>
  <c r="BN378" i="40"/>
  <c r="BO378" i="40"/>
  <c r="BP378" i="40"/>
  <c r="BQ378" i="40"/>
  <c r="BR378" i="40"/>
  <c r="BS378" i="40"/>
  <c r="BT378" i="40"/>
  <c r="BU378" i="40"/>
  <c r="BV378" i="40"/>
  <c r="BW378" i="40"/>
  <c r="BX378" i="40"/>
  <c r="BY378" i="40"/>
  <c r="BZ378" i="40"/>
  <c r="CA378" i="40"/>
  <c r="CB378" i="40"/>
  <c r="CC378" i="40"/>
  <c r="CD378" i="40"/>
  <c r="CE378" i="40"/>
  <c r="CF378" i="40"/>
  <c r="CG378" i="40"/>
  <c r="CH378" i="40"/>
  <c r="DM378" i="40"/>
  <c r="DS378" i="40"/>
  <c r="DT378" i="40"/>
  <c r="DU378" i="40"/>
  <c r="DV378" i="40"/>
  <c r="DW378" i="40"/>
  <c r="A379" i="40"/>
  <c r="AW379" i="40"/>
  <c r="AX379" i="40"/>
  <c r="AZ379" i="40"/>
  <c r="BA379" i="40"/>
  <c r="BB379" i="40"/>
  <c r="BC379" i="40"/>
  <c r="BD379" i="40"/>
  <c r="BE379" i="40"/>
  <c r="BF379" i="40"/>
  <c r="BG379" i="40"/>
  <c r="BH379" i="40"/>
  <c r="BI379" i="40"/>
  <c r="BJ379" i="40"/>
  <c r="BK379" i="40"/>
  <c r="BL379" i="40"/>
  <c r="BM379" i="40"/>
  <c r="BN379" i="40"/>
  <c r="BO379" i="40"/>
  <c r="BP379" i="40"/>
  <c r="BQ379" i="40"/>
  <c r="BR379" i="40"/>
  <c r="BS379" i="40"/>
  <c r="BT379" i="40"/>
  <c r="BU379" i="40"/>
  <c r="BV379" i="40"/>
  <c r="BW379" i="40"/>
  <c r="BX379" i="40"/>
  <c r="BY379" i="40"/>
  <c r="BZ379" i="40"/>
  <c r="CA379" i="40"/>
  <c r="CB379" i="40"/>
  <c r="CC379" i="40"/>
  <c r="CD379" i="40"/>
  <c r="CE379" i="40"/>
  <c r="CF379" i="40"/>
  <c r="CG379" i="40"/>
  <c r="CH379" i="40"/>
  <c r="DM379" i="40"/>
  <c r="DS379" i="40"/>
  <c r="DT379" i="40"/>
  <c r="DU379" i="40"/>
  <c r="DV379" i="40"/>
  <c r="DW379" i="40"/>
  <c r="A380" i="40"/>
  <c r="AW380" i="40"/>
  <c r="AX380" i="40"/>
  <c r="AZ380" i="40"/>
  <c r="BA380" i="40"/>
  <c r="BB380" i="40"/>
  <c r="BC380" i="40"/>
  <c r="BD380" i="40"/>
  <c r="BE380" i="40"/>
  <c r="BF380" i="40"/>
  <c r="BG380" i="40"/>
  <c r="BH380" i="40"/>
  <c r="BI380" i="40"/>
  <c r="BJ380" i="40"/>
  <c r="BK380" i="40"/>
  <c r="BL380" i="40"/>
  <c r="BM380" i="40"/>
  <c r="BN380" i="40"/>
  <c r="BO380" i="40"/>
  <c r="BP380" i="40"/>
  <c r="BQ380" i="40"/>
  <c r="BR380" i="40"/>
  <c r="BS380" i="40"/>
  <c r="BT380" i="40"/>
  <c r="BU380" i="40"/>
  <c r="BV380" i="40"/>
  <c r="BW380" i="40"/>
  <c r="BX380" i="40"/>
  <c r="BY380" i="40"/>
  <c r="BZ380" i="40"/>
  <c r="CA380" i="40"/>
  <c r="CB380" i="40"/>
  <c r="CC380" i="40"/>
  <c r="CD380" i="40"/>
  <c r="CE380" i="40"/>
  <c r="CF380" i="40"/>
  <c r="CG380" i="40"/>
  <c r="CH380" i="40"/>
  <c r="DM380" i="40"/>
  <c r="DS380" i="40"/>
  <c r="DT380" i="40"/>
  <c r="DU380" i="40"/>
  <c r="DV380" i="40"/>
  <c r="DW380" i="40"/>
  <c r="A381" i="40"/>
  <c r="AT381" i="40"/>
  <c r="AT382" i="40" s="1"/>
  <c r="AT383" i="40" s="1"/>
  <c r="AT384" i="40" s="1"/>
  <c r="AT385" i="40" s="1"/>
  <c r="AT386" i="40" s="1"/>
  <c r="AT387" i="40" s="1"/>
  <c r="AT388" i="40" s="1"/>
  <c r="AT389" i="40" s="1"/>
  <c r="AT390" i="40" s="1"/>
  <c r="AT391" i="40" s="1"/>
  <c r="AT392" i="40" s="1"/>
  <c r="AT393" i="40" s="1"/>
  <c r="AT394" i="40" s="1"/>
  <c r="AT395" i="40" s="1"/>
  <c r="AT396" i="40" s="1"/>
  <c r="AT397" i="40" s="1"/>
  <c r="AT398" i="40" s="1"/>
  <c r="AT399" i="40" s="1"/>
  <c r="AT400" i="40" s="1"/>
  <c r="AW381" i="40"/>
  <c r="AX381" i="40"/>
  <c r="AZ381" i="40"/>
  <c r="BA381" i="40"/>
  <c r="BB381" i="40"/>
  <c r="BC381" i="40"/>
  <c r="BD381" i="40"/>
  <c r="BE381" i="40"/>
  <c r="BF381" i="40"/>
  <c r="BG381" i="40"/>
  <c r="BH381" i="40"/>
  <c r="BI381" i="40"/>
  <c r="BJ381" i="40"/>
  <c r="BK381" i="40"/>
  <c r="BL381" i="40"/>
  <c r="BM381" i="40"/>
  <c r="BN381" i="40"/>
  <c r="BO381" i="40"/>
  <c r="BP381" i="40"/>
  <c r="BQ381" i="40"/>
  <c r="BR381" i="40"/>
  <c r="BS381" i="40"/>
  <c r="BT381" i="40"/>
  <c r="BU381" i="40"/>
  <c r="BV381" i="40"/>
  <c r="BW381" i="40"/>
  <c r="BX381" i="40"/>
  <c r="BY381" i="40"/>
  <c r="BZ381" i="40"/>
  <c r="CA381" i="40"/>
  <c r="CB381" i="40"/>
  <c r="CC381" i="40"/>
  <c r="CD381" i="40"/>
  <c r="CE381" i="40"/>
  <c r="CF381" i="40"/>
  <c r="CG381" i="40"/>
  <c r="CH381" i="40"/>
  <c r="DM381" i="40"/>
  <c r="DS381" i="40"/>
  <c r="DT381" i="40"/>
  <c r="DU381" i="40"/>
  <c r="DV381" i="40"/>
  <c r="DW381" i="40"/>
  <c r="A382" i="40"/>
  <c r="AW382" i="40"/>
  <c r="AX382" i="40"/>
  <c r="AZ382" i="40"/>
  <c r="BA382" i="40"/>
  <c r="BB382" i="40"/>
  <c r="BC382" i="40"/>
  <c r="BD382" i="40"/>
  <c r="BE382" i="40"/>
  <c r="BF382" i="40"/>
  <c r="BG382" i="40"/>
  <c r="BH382" i="40"/>
  <c r="BI382" i="40"/>
  <c r="BJ382" i="40"/>
  <c r="BK382" i="40"/>
  <c r="BL382" i="40"/>
  <c r="BM382" i="40"/>
  <c r="BN382" i="40"/>
  <c r="BO382" i="40"/>
  <c r="BP382" i="40"/>
  <c r="BQ382" i="40"/>
  <c r="BR382" i="40"/>
  <c r="BS382" i="40"/>
  <c r="BT382" i="40"/>
  <c r="BU382" i="40"/>
  <c r="BV382" i="40"/>
  <c r="BW382" i="40"/>
  <c r="BX382" i="40"/>
  <c r="BY382" i="40"/>
  <c r="BZ382" i="40"/>
  <c r="CA382" i="40"/>
  <c r="CB382" i="40"/>
  <c r="CC382" i="40"/>
  <c r="CD382" i="40"/>
  <c r="CE382" i="40"/>
  <c r="CF382" i="40"/>
  <c r="CG382" i="40"/>
  <c r="CH382" i="40"/>
  <c r="DM382" i="40"/>
  <c r="DS382" i="40"/>
  <c r="DT382" i="40"/>
  <c r="DU382" i="40"/>
  <c r="DV382" i="40"/>
  <c r="DW382" i="40"/>
  <c r="A383" i="40"/>
  <c r="AW383" i="40"/>
  <c r="AX383" i="40"/>
  <c r="AZ383" i="40"/>
  <c r="BA383" i="40"/>
  <c r="BB383" i="40"/>
  <c r="BC383" i="40"/>
  <c r="BD383" i="40"/>
  <c r="BE383" i="40"/>
  <c r="BF383" i="40"/>
  <c r="BG383" i="40"/>
  <c r="BH383" i="40"/>
  <c r="BI383" i="40"/>
  <c r="BJ383" i="40"/>
  <c r="BK383" i="40"/>
  <c r="BL383" i="40"/>
  <c r="BM383" i="40"/>
  <c r="BN383" i="40"/>
  <c r="BO383" i="40"/>
  <c r="BP383" i="40"/>
  <c r="BQ383" i="40"/>
  <c r="BR383" i="40"/>
  <c r="BS383" i="40"/>
  <c r="BT383" i="40"/>
  <c r="BU383" i="40"/>
  <c r="BV383" i="40"/>
  <c r="BW383" i="40"/>
  <c r="BX383" i="40"/>
  <c r="BY383" i="40"/>
  <c r="BZ383" i="40"/>
  <c r="CA383" i="40"/>
  <c r="CB383" i="40"/>
  <c r="CC383" i="40"/>
  <c r="CD383" i="40"/>
  <c r="CE383" i="40"/>
  <c r="CF383" i="40"/>
  <c r="CG383" i="40"/>
  <c r="CH383" i="40"/>
  <c r="DM383" i="40"/>
  <c r="DS383" i="40"/>
  <c r="DT383" i="40"/>
  <c r="DU383" i="40"/>
  <c r="DV383" i="40"/>
  <c r="DW383" i="40"/>
  <c r="AW384" i="40"/>
  <c r="AX384" i="40"/>
  <c r="AZ384" i="40"/>
  <c r="BA384" i="40"/>
  <c r="BB384" i="40"/>
  <c r="BC384" i="40"/>
  <c r="BD384" i="40"/>
  <c r="BE384" i="40"/>
  <c r="BF384" i="40"/>
  <c r="BG384" i="40"/>
  <c r="BH384" i="40"/>
  <c r="BI384" i="40"/>
  <c r="BJ384" i="40"/>
  <c r="BK384" i="40"/>
  <c r="BL384" i="40"/>
  <c r="BM384" i="40"/>
  <c r="BN384" i="40"/>
  <c r="BO384" i="40"/>
  <c r="BP384" i="40"/>
  <c r="BQ384" i="40"/>
  <c r="BR384" i="40"/>
  <c r="BS384" i="40"/>
  <c r="BT384" i="40"/>
  <c r="BU384" i="40"/>
  <c r="BV384" i="40"/>
  <c r="BW384" i="40"/>
  <c r="BX384" i="40"/>
  <c r="BY384" i="40"/>
  <c r="BZ384" i="40"/>
  <c r="CA384" i="40"/>
  <c r="CB384" i="40"/>
  <c r="CC384" i="40"/>
  <c r="CD384" i="40"/>
  <c r="CE384" i="40"/>
  <c r="CF384" i="40"/>
  <c r="CG384" i="40"/>
  <c r="CH384" i="40"/>
  <c r="DM384" i="40"/>
  <c r="DS384" i="40"/>
  <c r="DT384" i="40"/>
  <c r="DU384" i="40"/>
  <c r="DV384" i="40"/>
  <c r="DW384" i="40"/>
  <c r="A385" i="40"/>
  <c r="AW385" i="40"/>
  <c r="AX385" i="40"/>
  <c r="AZ385" i="40"/>
  <c r="BA385" i="40"/>
  <c r="BB385" i="40"/>
  <c r="BC385" i="40"/>
  <c r="BD385" i="40"/>
  <c r="BE385" i="40"/>
  <c r="BF385" i="40"/>
  <c r="BG385" i="40"/>
  <c r="BH385" i="40"/>
  <c r="BI385" i="40"/>
  <c r="BJ385" i="40"/>
  <c r="BK385" i="40"/>
  <c r="BL385" i="40"/>
  <c r="BM385" i="40"/>
  <c r="BN385" i="40"/>
  <c r="BO385" i="40"/>
  <c r="BP385" i="40"/>
  <c r="BQ385" i="40"/>
  <c r="BR385" i="40"/>
  <c r="BS385" i="40"/>
  <c r="BT385" i="40"/>
  <c r="BU385" i="40"/>
  <c r="BV385" i="40"/>
  <c r="BW385" i="40"/>
  <c r="BX385" i="40"/>
  <c r="BY385" i="40"/>
  <c r="BZ385" i="40"/>
  <c r="CA385" i="40"/>
  <c r="CB385" i="40"/>
  <c r="CC385" i="40"/>
  <c r="CD385" i="40"/>
  <c r="CE385" i="40"/>
  <c r="CF385" i="40"/>
  <c r="CG385" i="40"/>
  <c r="CH385" i="40"/>
  <c r="DM385" i="40"/>
  <c r="DS385" i="40"/>
  <c r="DT385" i="40"/>
  <c r="DU385" i="40"/>
  <c r="DV385" i="40"/>
  <c r="DW385" i="40"/>
  <c r="A386" i="40"/>
  <c r="AW386" i="40"/>
  <c r="AX386" i="40"/>
  <c r="AZ386" i="40"/>
  <c r="BA386" i="40"/>
  <c r="BB386" i="40"/>
  <c r="BC386" i="40"/>
  <c r="BD386" i="40"/>
  <c r="BE386" i="40"/>
  <c r="BF386" i="40"/>
  <c r="BG386" i="40"/>
  <c r="BH386" i="40"/>
  <c r="BI386" i="40"/>
  <c r="BJ386" i="40"/>
  <c r="BK386" i="40"/>
  <c r="BL386" i="40"/>
  <c r="BM386" i="40"/>
  <c r="BN386" i="40"/>
  <c r="BO386" i="40"/>
  <c r="BP386" i="40"/>
  <c r="BQ386" i="40"/>
  <c r="BR386" i="40"/>
  <c r="BS386" i="40"/>
  <c r="BT386" i="40"/>
  <c r="BU386" i="40"/>
  <c r="BV386" i="40"/>
  <c r="BW386" i="40"/>
  <c r="BX386" i="40"/>
  <c r="BY386" i="40"/>
  <c r="BZ386" i="40"/>
  <c r="CA386" i="40"/>
  <c r="CB386" i="40"/>
  <c r="CC386" i="40"/>
  <c r="CD386" i="40"/>
  <c r="CE386" i="40"/>
  <c r="CF386" i="40"/>
  <c r="CG386" i="40"/>
  <c r="CH386" i="40"/>
  <c r="DM386" i="40"/>
  <c r="DS386" i="40"/>
  <c r="DT386" i="40"/>
  <c r="DU386" i="40"/>
  <c r="DV386" i="40"/>
  <c r="DW386" i="40"/>
  <c r="A387" i="40"/>
  <c r="AW387" i="40"/>
  <c r="AX387" i="40"/>
  <c r="AZ387" i="40"/>
  <c r="BA387" i="40"/>
  <c r="BB387" i="40"/>
  <c r="BC387" i="40"/>
  <c r="BD387" i="40"/>
  <c r="BE387" i="40"/>
  <c r="BF387" i="40"/>
  <c r="BG387" i="40"/>
  <c r="BH387" i="40"/>
  <c r="BI387" i="40"/>
  <c r="BJ387" i="40"/>
  <c r="BK387" i="40"/>
  <c r="BL387" i="40"/>
  <c r="BM387" i="40"/>
  <c r="BN387" i="40"/>
  <c r="BO387" i="40"/>
  <c r="BP387" i="40"/>
  <c r="BQ387" i="40"/>
  <c r="BR387" i="40"/>
  <c r="BS387" i="40"/>
  <c r="BT387" i="40"/>
  <c r="BU387" i="40"/>
  <c r="BV387" i="40"/>
  <c r="BW387" i="40"/>
  <c r="BX387" i="40"/>
  <c r="BY387" i="40"/>
  <c r="BZ387" i="40"/>
  <c r="CA387" i="40"/>
  <c r="CB387" i="40"/>
  <c r="CC387" i="40"/>
  <c r="CD387" i="40"/>
  <c r="CE387" i="40"/>
  <c r="CF387" i="40"/>
  <c r="CG387" i="40"/>
  <c r="CH387" i="40"/>
  <c r="DM387" i="40"/>
  <c r="DS387" i="40"/>
  <c r="DT387" i="40"/>
  <c r="DU387" i="40"/>
  <c r="DV387" i="40"/>
  <c r="DW387" i="40"/>
  <c r="A388" i="40"/>
  <c r="AW388" i="40"/>
  <c r="AX388" i="40"/>
  <c r="AZ388" i="40"/>
  <c r="BA388" i="40"/>
  <c r="BB388" i="40"/>
  <c r="BC388" i="40"/>
  <c r="BD388" i="40"/>
  <c r="BE388" i="40"/>
  <c r="BF388" i="40"/>
  <c r="BG388" i="40"/>
  <c r="BH388" i="40"/>
  <c r="BI388" i="40"/>
  <c r="BJ388" i="40"/>
  <c r="BK388" i="40"/>
  <c r="BL388" i="40"/>
  <c r="BM388" i="40"/>
  <c r="BN388" i="40"/>
  <c r="BO388" i="40"/>
  <c r="BP388" i="40"/>
  <c r="BQ388" i="40"/>
  <c r="BR388" i="40"/>
  <c r="BS388" i="40"/>
  <c r="BT388" i="40"/>
  <c r="BU388" i="40"/>
  <c r="BV388" i="40"/>
  <c r="BW388" i="40"/>
  <c r="BX388" i="40"/>
  <c r="BY388" i="40"/>
  <c r="BZ388" i="40"/>
  <c r="CA388" i="40"/>
  <c r="CB388" i="40"/>
  <c r="CC388" i="40"/>
  <c r="CD388" i="40"/>
  <c r="CE388" i="40"/>
  <c r="CF388" i="40"/>
  <c r="CG388" i="40"/>
  <c r="CH388" i="40"/>
  <c r="DM388" i="40"/>
  <c r="DS388" i="40"/>
  <c r="DT388" i="40"/>
  <c r="DU388" i="40"/>
  <c r="DV388" i="40"/>
  <c r="DW388" i="40"/>
  <c r="A389" i="40"/>
  <c r="AW389" i="40"/>
  <c r="AX389" i="40"/>
  <c r="AZ389" i="40"/>
  <c r="BA389" i="40"/>
  <c r="BB389" i="40"/>
  <c r="BC389" i="40"/>
  <c r="BD389" i="40"/>
  <c r="BE389" i="40"/>
  <c r="BF389" i="40"/>
  <c r="BG389" i="40"/>
  <c r="BH389" i="40"/>
  <c r="BI389" i="40"/>
  <c r="BJ389" i="40"/>
  <c r="BK389" i="40"/>
  <c r="BL389" i="40"/>
  <c r="BM389" i="40"/>
  <c r="BN389" i="40"/>
  <c r="BO389" i="40"/>
  <c r="BP389" i="40"/>
  <c r="BQ389" i="40"/>
  <c r="BR389" i="40"/>
  <c r="BS389" i="40"/>
  <c r="BT389" i="40"/>
  <c r="BU389" i="40"/>
  <c r="BV389" i="40"/>
  <c r="BW389" i="40"/>
  <c r="BX389" i="40"/>
  <c r="BY389" i="40"/>
  <c r="BZ389" i="40"/>
  <c r="CA389" i="40"/>
  <c r="CB389" i="40"/>
  <c r="CC389" i="40"/>
  <c r="CD389" i="40"/>
  <c r="CE389" i="40"/>
  <c r="CF389" i="40"/>
  <c r="CG389" i="40"/>
  <c r="CH389" i="40"/>
  <c r="DM389" i="40"/>
  <c r="DS389" i="40"/>
  <c r="DT389" i="40"/>
  <c r="DU389" i="40"/>
  <c r="DV389" i="40"/>
  <c r="DW389" i="40"/>
  <c r="A390" i="40"/>
  <c r="AW390" i="40"/>
  <c r="AX390" i="40"/>
  <c r="AZ390" i="40"/>
  <c r="BA390" i="40"/>
  <c r="BB390" i="40"/>
  <c r="BC390" i="40"/>
  <c r="BD390" i="40"/>
  <c r="BE390" i="40"/>
  <c r="BF390" i="40"/>
  <c r="BG390" i="40"/>
  <c r="BH390" i="40"/>
  <c r="BI390" i="40"/>
  <c r="BJ390" i="40"/>
  <c r="BK390" i="40"/>
  <c r="BL390" i="40"/>
  <c r="BM390" i="40"/>
  <c r="BN390" i="40"/>
  <c r="BO390" i="40"/>
  <c r="BP390" i="40"/>
  <c r="BQ390" i="40"/>
  <c r="BR390" i="40"/>
  <c r="BS390" i="40"/>
  <c r="BT390" i="40"/>
  <c r="BU390" i="40"/>
  <c r="BV390" i="40"/>
  <c r="BW390" i="40"/>
  <c r="BX390" i="40"/>
  <c r="BY390" i="40"/>
  <c r="BZ390" i="40"/>
  <c r="CA390" i="40"/>
  <c r="CB390" i="40"/>
  <c r="CC390" i="40"/>
  <c r="CD390" i="40"/>
  <c r="CE390" i="40"/>
  <c r="CF390" i="40"/>
  <c r="CG390" i="40"/>
  <c r="CH390" i="40"/>
  <c r="DM390" i="40"/>
  <c r="DS390" i="40"/>
  <c r="DT390" i="40"/>
  <c r="DU390" i="40"/>
  <c r="DV390" i="40"/>
  <c r="DW390" i="40"/>
  <c r="A391" i="40"/>
  <c r="AW391" i="40"/>
  <c r="AX391" i="40"/>
  <c r="AZ391" i="40"/>
  <c r="BA391" i="40"/>
  <c r="BB391" i="40"/>
  <c r="BC391" i="40"/>
  <c r="BD391" i="40"/>
  <c r="BE391" i="40"/>
  <c r="BF391" i="40"/>
  <c r="BG391" i="40"/>
  <c r="BH391" i="40"/>
  <c r="BI391" i="40"/>
  <c r="BJ391" i="40"/>
  <c r="BK391" i="40"/>
  <c r="BL391" i="40"/>
  <c r="BM391" i="40"/>
  <c r="BN391" i="40"/>
  <c r="BO391" i="40"/>
  <c r="BP391" i="40"/>
  <c r="BQ391" i="40"/>
  <c r="BR391" i="40"/>
  <c r="BS391" i="40"/>
  <c r="BT391" i="40"/>
  <c r="BU391" i="40"/>
  <c r="BV391" i="40"/>
  <c r="BW391" i="40"/>
  <c r="BX391" i="40"/>
  <c r="BY391" i="40"/>
  <c r="BZ391" i="40"/>
  <c r="CA391" i="40"/>
  <c r="CB391" i="40"/>
  <c r="CC391" i="40"/>
  <c r="CD391" i="40"/>
  <c r="CE391" i="40"/>
  <c r="CF391" i="40"/>
  <c r="CG391" i="40"/>
  <c r="CH391" i="40"/>
  <c r="DM391" i="40"/>
  <c r="DS391" i="40"/>
  <c r="DT391" i="40"/>
  <c r="DU391" i="40"/>
  <c r="DV391" i="40"/>
  <c r="DW391" i="40"/>
  <c r="A392" i="40"/>
  <c r="AW392" i="40"/>
  <c r="AX392" i="40"/>
  <c r="AZ392" i="40"/>
  <c r="BA392" i="40"/>
  <c r="BB392" i="40"/>
  <c r="BC392" i="40"/>
  <c r="BD392" i="40"/>
  <c r="BE392" i="40"/>
  <c r="BF392" i="40"/>
  <c r="BG392" i="40"/>
  <c r="BH392" i="40"/>
  <c r="BI392" i="40"/>
  <c r="BJ392" i="40"/>
  <c r="BK392" i="40"/>
  <c r="BL392" i="40"/>
  <c r="BM392" i="40"/>
  <c r="BN392" i="40"/>
  <c r="BO392" i="40"/>
  <c r="BP392" i="40"/>
  <c r="BQ392" i="40"/>
  <c r="BR392" i="40"/>
  <c r="BS392" i="40"/>
  <c r="BT392" i="40"/>
  <c r="BU392" i="40"/>
  <c r="BV392" i="40"/>
  <c r="BW392" i="40"/>
  <c r="BX392" i="40"/>
  <c r="BY392" i="40"/>
  <c r="BZ392" i="40"/>
  <c r="CA392" i="40"/>
  <c r="CB392" i="40"/>
  <c r="CC392" i="40"/>
  <c r="CD392" i="40"/>
  <c r="CE392" i="40"/>
  <c r="CF392" i="40"/>
  <c r="CG392" i="40"/>
  <c r="CH392" i="40"/>
  <c r="DM392" i="40"/>
  <c r="DS392" i="40"/>
  <c r="DT392" i="40"/>
  <c r="DU392" i="40"/>
  <c r="DV392" i="40"/>
  <c r="DW392" i="40"/>
  <c r="A393" i="40"/>
  <c r="AW393" i="40"/>
  <c r="AX393" i="40"/>
  <c r="AZ393" i="40"/>
  <c r="BA393" i="40"/>
  <c r="BB393" i="40"/>
  <c r="BC393" i="40"/>
  <c r="BD393" i="40"/>
  <c r="BE393" i="40"/>
  <c r="BF393" i="40"/>
  <c r="BG393" i="40"/>
  <c r="BH393" i="40"/>
  <c r="BI393" i="40"/>
  <c r="BJ393" i="40"/>
  <c r="BK393" i="40"/>
  <c r="BL393" i="40"/>
  <c r="BM393" i="40"/>
  <c r="BN393" i="40"/>
  <c r="BO393" i="40"/>
  <c r="BP393" i="40"/>
  <c r="BQ393" i="40"/>
  <c r="BR393" i="40"/>
  <c r="BS393" i="40"/>
  <c r="BT393" i="40"/>
  <c r="BU393" i="40"/>
  <c r="BV393" i="40"/>
  <c r="BW393" i="40"/>
  <c r="BX393" i="40"/>
  <c r="BY393" i="40"/>
  <c r="BZ393" i="40"/>
  <c r="CA393" i="40"/>
  <c r="CB393" i="40"/>
  <c r="CC393" i="40"/>
  <c r="CD393" i="40"/>
  <c r="CE393" i="40"/>
  <c r="CF393" i="40"/>
  <c r="CG393" i="40"/>
  <c r="CH393" i="40"/>
  <c r="DM393" i="40"/>
  <c r="DS393" i="40"/>
  <c r="DT393" i="40"/>
  <c r="DU393" i="40"/>
  <c r="DV393" i="40"/>
  <c r="DW393" i="40"/>
  <c r="A394" i="40"/>
  <c r="AW394" i="40"/>
  <c r="AX394" i="40"/>
  <c r="AZ394" i="40"/>
  <c r="BA394" i="40"/>
  <c r="BB394" i="40"/>
  <c r="BC394" i="40"/>
  <c r="BD394" i="40"/>
  <c r="BE394" i="40"/>
  <c r="BF394" i="40"/>
  <c r="BG394" i="40"/>
  <c r="BH394" i="40"/>
  <c r="BI394" i="40"/>
  <c r="BJ394" i="40"/>
  <c r="BK394" i="40"/>
  <c r="BL394" i="40"/>
  <c r="BM394" i="40"/>
  <c r="BN394" i="40"/>
  <c r="BO394" i="40"/>
  <c r="BP394" i="40"/>
  <c r="BQ394" i="40"/>
  <c r="BR394" i="40"/>
  <c r="BS394" i="40"/>
  <c r="BT394" i="40"/>
  <c r="BU394" i="40"/>
  <c r="BV394" i="40"/>
  <c r="BW394" i="40"/>
  <c r="BX394" i="40"/>
  <c r="BY394" i="40"/>
  <c r="BZ394" i="40"/>
  <c r="CA394" i="40"/>
  <c r="CB394" i="40"/>
  <c r="CC394" i="40"/>
  <c r="CD394" i="40"/>
  <c r="CE394" i="40"/>
  <c r="CF394" i="40"/>
  <c r="CG394" i="40"/>
  <c r="CH394" i="40"/>
  <c r="DM394" i="40"/>
  <c r="DS394" i="40"/>
  <c r="DT394" i="40"/>
  <c r="DU394" i="40"/>
  <c r="DV394" i="40"/>
  <c r="DW394" i="40"/>
  <c r="AW395" i="40"/>
  <c r="AX395" i="40"/>
  <c r="AZ395" i="40"/>
  <c r="BA395" i="40"/>
  <c r="BB395" i="40"/>
  <c r="BC395" i="40"/>
  <c r="BD395" i="40"/>
  <c r="BE395" i="40"/>
  <c r="BF395" i="40"/>
  <c r="BG395" i="40"/>
  <c r="BH395" i="40"/>
  <c r="BI395" i="40"/>
  <c r="BJ395" i="40"/>
  <c r="BK395" i="40"/>
  <c r="BL395" i="40"/>
  <c r="BM395" i="40"/>
  <c r="BN395" i="40"/>
  <c r="BO395" i="40"/>
  <c r="BP395" i="40"/>
  <c r="BQ395" i="40"/>
  <c r="BR395" i="40"/>
  <c r="BS395" i="40"/>
  <c r="BT395" i="40"/>
  <c r="BU395" i="40"/>
  <c r="BV395" i="40"/>
  <c r="BW395" i="40"/>
  <c r="BX395" i="40"/>
  <c r="BY395" i="40"/>
  <c r="BZ395" i="40"/>
  <c r="CA395" i="40"/>
  <c r="CB395" i="40"/>
  <c r="CC395" i="40"/>
  <c r="CD395" i="40"/>
  <c r="CE395" i="40"/>
  <c r="CF395" i="40"/>
  <c r="CG395" i="40"/>
  <c r="CH395" i="40"/>
  <c r="DM395" i="40"/>
  <c r="DS395" i="40"/>
  <c r="DT395" i="40"/>
  <c r="DU395" i="40"/>
  <c r="DV395" i="40"/>
  <c r="DW395" i="40"/>
  <c r="AW396" i="40"/>
  <c r="AX396" i="40"/>
  <c r="AZ396" i="40"/>
  <c r="BA396" i="40"/>
  <c r="BB396" i="40"/>
  <c r="BC396" i="40"/>
  <c r="BD396" i="40"/>
  <c r="BE396" i="40"/>
  <c r="BF396" i="40"/>
  <c r="BG396" i="40"/>
  <c r="BH396" i="40"/>
  <c r="BI396" i="40"/>
  <c r="BJ396" i="40"/>
  <c r="BK396" i="40"/>
  <c r="BL396" i="40"/>
  <c r="BM396" i="40"/>
  <c r="BN396" i="40"/>
  <c r="BO396" i="40"/>
  <c r="BP396" i="40"/>
  <c r="BQ396" i="40"/>
  <c r="BR396" i="40"/>
  <c r="BS396" i="40"/>
  <c r="BT396" i="40"/>
  <c r="BU396" i="40"/>
  <c r="BV396" i="40"/>
  <c r="BW396" i="40"/>
  <c r="BX396" i="40"/>
  <c r="BY396" i="40"/>
  <c r="BZ396" i="40"/>
  <c r="CA396" i="40"/>
  <c r="CB396" i="40"/>
  <c r="CC396" i="40"/>
  <c r="CD396" i="40"/>
  <c r="CE396" i="40"/>
  <c r="CF396" i="40"/>
  <c r="CG396" i="40"/>
  <c r="CH396" i="40"/>
  <c r="DM396" i="40"/>
  <c r="DS396" i="40"/>
  <c r="DT396" i="40"/>
  <c r="DU396" i="40"/>
  <c r="DV396" i="40"/>
  <c r="DW396" i="40"/>
  <c r="AW397" i="40"/>
  <c r="AX397" i="40"/>
  <c r="AZ397" i="40"/>
  <c r="BA397" i="40"/>
  <c r="BB397" i="40"/>
  <c r="BC397" i="40"/>
  <c r="BD397" i="40"/>
  <c r="BE397" i="40"/>
  <c r="BF397" i="40"/>
  <c r="BG397" i="40"/>
  <c r="BH397" i="40"/>
  <c r="BI397" i="40"/>
  <c r="BJ397" i="40"/>
  <c r="BK397" i="40"/>
  <c r="BL397" i="40"/>
  <c r="BM397" i="40"/>
  <c r="BN397" i="40"/>
  <c r="BO397" i="40"/>
  <c r="BP397" i="40"/>
  <c r="BQ397" i="40"/>
  <c r="BR397" i="40"/>
  <c r="BS397" i="40"/>
  <c r="BT397" i="40"/>
  <c r="BU397" i="40"/>
  <c r="BV397" i="40"/>
  <c r="BW397" i="40"/>
  <c r="BX397" i="40"/>
  <c r="BY397" i="40"/>
  <c r="BZ397" i="40"/>
  <c r="CA397" i="40"/>
  <c r="CB397" i="40"/>
  <c r="CC397" i="40"/>
  <c r="CD397" i="40"/>
  <c r="CE397" i="40"/>
  <c r="CF397" i="40"/>
  <c r="CG397" i="40"/>
  <c r="CH397" i="40"/>
  <c r="DM397" i="40"/>
  <c r="DS397" i="40"/>
  <c r="DT397" i="40"/>
  <c r="DU397" i="40"/>
  <c r="DV397" i="40"/>
  <c r="DW397" i="40"/>
  <c r="AW398" i="40"/>
  <c r="AX398" i="40"/>
  <c r="AZ398" i="40"/>
  <c r="BA398" i="40"/>
  <c r="BB398" i="40"/>
  <c r="BC398" i="40"/>
  <c r="BD398" i="40"/>
  <c r="BE398" i="40"/>
  <c r="BF398" i="40"/>
  <c r="BG398" i="40"/>
  <c r="BH398" i="40"/>
  <c r="BI398" i="40"/>
  <c r="BJ398" i="40"/>
  <c r="BK398" i="40"/>
  <c r="BL398" i="40"/>
  <c r="BM398" i="40"/>
  <c r="BN398" i="40"/>
  <c r="BO398" i="40"/>
  <c r="BP398" i="40"/>
  <c r="BQ398" i="40"/>
  <c r="BR398" i="40"/>
  <c r="BS398" i="40"/>
  <c r="BT398" i="40"/>
  <c r="BU398" i="40"/>
  <c r="BV398" i="40"/>
  <c r="BW398" i="40"/>
  <c r="BX398" i="40"/>
  <c r="BY398" i="40"/>
  <c r="BZ398" i="40"/>
  <c r="CA398" i="40"/>
  <c r="CB398" i="40"/>
  <c r="CC398" i="40"/>
  <c r="CD398" i="40"/>
  <c r="CE398" i="40"/>
  <c r="CF398" i="40"/>
  <c r="CG398" i="40"/>
  <c r="CH398" i="40"/>
  <c r="DM398" i="40"/>
  <c r="DS398" i="40"/>
  <c r="DT398" i="40"/>
  <c r="DU398" i="40"/>
  <c r="DV398" i="40"/>
  <c r="DW398" i="40"/>
  <c r="AW399" i="40"/>
  <c r="AX399" i="40"/>
  <c r="AZ399" i="40"/>
  <c r="BA399" i="40"/>
  <c r="BB399" i="40"/>
  <c r="BC399" i="40"/>
  <c r="BD399" i="40"/>
  <c r="BE399" i="40"/>
  <c r="BF399" i="40"/>
  <c r="BG399" i="40"/>
  <c r="BH399" i="40"/>
  <c r="BI399" i="40"/>
  <c r="BJ399" i="40"/>
  <c r="BK399" i="40"/>
  <c r="BL399" i="40"/>
  <c r="BM399" i="40"/>
  <c r="BN399" i="40"/>
  <c r="BO399" i="40"/>
  <c r="BP399" i="40"/>
  <c r="BQ399" i="40"/>
  <c r="BR399" i="40"/>
  <c r="BS399" i="40"/>
  <c r="BT399" i="40"/>
  <c r="BU399" i="40"/>
  <c r="BV399" i="40"/>
  <c r="BW399" i="40"/>
  <c r="BX399" i="40"/>
  <c r="BY399" i="40"/>
  <c r="BZ399" i="40"/>
  <c r="CA399" i="40"/>
  <c r="CB399" i="40"/>
  <c r="CC399" i="40"/>
  <c r="CD399" i="40"/>
  <c r="CE399" i="40"/>
  <c r="CF399" i="40"/>
  <c r="CG399" i="40"/>
  <c r="CH399" i="40"/>
  <c r="DM399" i="40"/>
  <c r="DS399" i="40"/>
  <c r="DT399" i="40"/>
  <c r="DU399" i="40"/>
  <c r="DV399" i="40"/>
  <c r="DW399" i="40"/>
  <c r="AW400" i="40"/>
  <c r="AX400" i="40"/>
  <c r="AZ400" i="40"/>
  <c r="BA400" i="40"/>
  <c r="BB400" i="40"/>
  <c r="BC400" i="40"/>
  <c r="BD400" i="40"/>
  <c r="BE400" i="40"/>
  <c r="BF400" i="40"/>
  <c r="BG400" i="40"/>
  <c r="BH400" i="40"/>
  <c r="BI400" i="40"/>
  <c r="BJ400" i="40"/>
  <c r="BK400" i="40"/>
  <c r="BL400" i="40"/>
  <c r="BM400" i="40"/>
  <c r="BN400" i="40"/>
  <c r="BO400" i="40"/>
  <c r="BP400" i="40"/>
  <c r="BQ400" i="40"/>
  <c r="BR400" i="40"/>
  <c r="BS400" i="40"/>
  <c r="BT400" i="40"/>
  <c r="BU400" i="40"/>
  <c r="BV400" i="40"/>
  <c r="BW400" i="40"/>
  <c r="BX400" i="40"/>
  <c r="BY400" i="40"/>
  <c r="BZ400" i="40"/>
  <c r="CA400" i="40"/>
  <c r="CB400" i="40"/>
  <c r="CC400" i="40"/>
  <c r="CD400" i="40"/>
  <c r="CE400" i="40"/>
  <c r="CF400" i="40"/>
  <c r="CG400" i="40"/>
  <c r="CH400" i="40"/>
  <c r="DM400" i="40"/>
  <c r="DS400" i="40"/>
  <c r="DT400" i="40"/>
  <c r="DU400" i="40"/>
  <c r="DV400" i="40"/>
  <c r="DW400" i="40"/>
  <c r="A401" i="40"/>
  <c r="F401" i="40"/>
  <c r="G401" i="40"/>
  <c r="H401" i="40"/>
  <c r="I401" i="40"/>
  <c r="J401" i="40"/>
  <c r="K401" i="40"/>
  <c r="L401" i="40"/>
  <c r="M401" i="40"/>
  <c r="N401" i="40"/>
  <c r="O401" i="40"/>
  <c r="P401" i="40"/>
  <c r="AB401" i="40"/>
  <c r="AD401" i="40"/>
  <c r="AE401" i="40"/>
  <c r="AF401" i="40"/>
  <c r="AG401" i="40"/>
  <c r="AH401" i="40"/>
  <c r="AI401" i="40"/>
  <c r="AJ401" i="40"/>
  <c r="A403" i="40"/>
  <c r="KF403" i="40"/>
  <c r="A404" i="40"/>
  <c r="KF404" i="40"/>
  <c r="HK402" i="40"/>
  <c r="HK403" i="40"/>
  <c r="HK404" i="40" s="1"/>
  <c r="BX404" i="40"/>
  <c r="BX403" i="40"/>
  <c r="BX406" i="40"/>
  <c r="AZ401" i="40"/>
  <c r="A405" i="40"/>
  <c r="KF405" i="40"/>
  <c r="BX405" i="40"/>
  <c r="A416" i="40"/>
  <c r="A408" i="40"/>
  <c r="A402" i="40"/>
  <c r="AW401" i="40"/>
  <c r="AX401" i="40"/>
  <c r="AY401" i="40"/>
  <c r="BA401" i="40"/>
  <c r="BB401" i="40"/>
  <c r="BC401" i="40"/>
  <c r="BD401" i="40"/>
  <c r="BE401" i="40"/>
  <c r="BF401" i="40"/>
  <c r="BG401" i="40"/>
  <c r="BH401" i="40"/>
  <c r="BI401" i="40"/>
  <c r="BJ401" i="40"/>
  <c r="BK401" i="40"/>
  <c r="BL401" i="40"/>
  <c r="BM401" i="40"/>
  <c r="BN401" i="40"/>
  <c r="BO401" i="40"/>
  <c r="BP401" i="40"/>
  <c r="BQ401" i="40"/>
  <c r="BR401" i="40"/>
  <c r="BS401" i="40"/>
  <c r="BT401" i="40"/>
  <c r="BU401" i="40"/>
  <c r="BV401" i="40"/>
  <c r="BW401" i="40"/>
  <c r="BX401" i="40"/>
  <c r="BY401" i="40"/>
  <c r="BZ401" i="40"/>
  <c r="CA401" i="40"/>
  <c r="CB401" i="40"/>
  <c r="CC401" i="40"/>
  <c r="CD401" i="40"/>
  <c r="CE401" i="40"/>
  <c r="CF401" i="40"/>
  <c r="CG401" i="40"/>
  <c r="CH401" i="40"/>
  <c r="DM401" i="40"/>
  <c r="DS401" i="40"/>
  <c r="DT401" i="40"/>
  <c r="DU401" i="40"/>
  <c r="DV401" i="40"/>
  <c r="DW401" i="40"/>
  <c r="F402" i="40"/>
  <c r="G402" i="40"/>
  <c r="H402" i="40"/>
  <c r="I402" i="40"/>
  <c r="J402" i="40"/>
  <c r="K402" i="40"/>
  <c r="L402" i="40"/>
  <c r="M402" i="40"/>
  <c r="N402" i="40"/>
  <c r="O402" i="40"/>
  <c r="P402" i="40"/>
  <c r="AA402" i="40"/>
  <c r="AC402" i="40"/>
  <c r="AE402" i="40"/>
  <c r="AG402" i="40"/>
  <c r="AH402" i="40"/>
  <c r="AI402" i="40"/>
  <c r="AJ402" i="40"/>
  <c r="HJ402" i="40"/>
  <c r="AT402" i="40"/>
  <c r="AW402" i="40"/>
  <c r="AX402" i="40"/>
  <c r="AY402" i="40"/>
  <c r="AZ402" i="40"/>
  <c r="BA402" i="40"/>
  <c r="BB402" i="40"/>
  <c r="BC402" i="40"/>
  <c r="BD402" i="40"/>
  <c r="J404" i="40" s="1"/>
  <c r="BE402" i="40"/>
  <c r="K404" i="40" s="1"/>
  <c r="BF402" i="40"/>
  <c r="L404" i="40" s="1"/>
  <c r="BG402" i="40"/>
  <c r="M404" i="40" s="1"/>
  <c r="BH402" i="40"/>
  <c r="N404" i="40" s="1"/>
  <c r="BI402" i="40"/>
  <c r="BJ402" i="40"/>
  <c r="BK402" i="40"/>
  <c r="BL402" i="40"/>
  <c r="BM402" i="40"/>
  <c r="BN402" i="40"/>
  <c r="BO402" i="40"/>
  <c r="BP402" i="40"/>
  <c r="BQ402" i="40"/>
  <c r="BR402" i="40"/>
  <c r="BS402" i="40"/>
  <c r="BT402" i="40"/>
  <c r="BU402" i="40"/>
  <c r="BV402" i="40"/>
  <c r="BW402" i="40"/>
  <c r="BX402" i="40"/>
  <c r="BY402" i="40"/>
  <c r="BZ402" i="40"/>
  <c r="CA402" i="40"/>
  <c r="CB402" i="40"/>
  <c r="CC402" i="40"/>
  <c r="CD402" i="40"/>
  <c r="CE402" i="40"/>
  <c r="CF402" i="40"/>
  <c r="CG402" i="40"/>
  <c r="CH402" i="40"/>
  <c r="DM402" i="40"/>
  <c r="DS402" i="40"/>
  <c r="DT402" i="40"/>
  <c r="DU402" i="40"/>
  <c r="DV402" i="40"/>
  <c r="DW402" i="40"/>
  <c r="F403" i="40"/>
  <c r="G403" i="40"/>
  <c r="H403" i="40"/>
  <c r="I403" i="40"/>
  <c r="J403" i="40"/>
  <c r="K403" i="40"/>
  <c r="L403" i="40"/>
  <c r="M403" i="40"/>
  <c r="N403" i="40"/>
  <c r="O403" i="40"/>
  <c r="P403" i="40"/>
  <c r="AB403" i="40"/>
  <c r="AD403" i="40"/>
  <c r="AE403" i="40"/>
  <c r="AF403" i="40"/>
  <c r="AG403" i="40"/>
  <c r="AH403" i="40"/>
  <c r="AI403" i="40"/>
  <c r="AJ403" i="40"/>
  <c r="HJ403" i="40"/>
  <c r="AT403" i="40"/>
  <c r="AW403" i="40"/>
  <c r="AX403" i="40"/>
  <c r="AY403" i="40"/>
  <c r="AZ403" i="40"/>
  <c r="BA403" i="40"/>
  <c r="BB403" i="40"/>
  <c r="BC403" i="40"/>
  <c r="BD403" i="40"/>
  <c r="BE403" i="40"/>
  <c r="BF403" i="40"/>
  <c r="BG403" i="40"/>
  <c r="BH403" i="40"/>
  <c r="BI403" i="40"/>
  <c r="BJ403" i="40"/>
  <c r="BK403" i="40"/>
  <c r="BL403" i="40"/>
  <c r="BM403" i="40"/>
  <c r="BN403" i="40"/>
  <c r="BO403" i="40"/>
  <c r="BP403" i="40"/>
  <c r="BQ403" i="40"/>
  <c r="BR403" i="40"/>
  <c r="BS403" i="40"/>
  <c r="BT403" i="40"/>
  <c r="BU403" i="40"/>
  <c r="BV403" i="40"/>
  <c r="BW403" i="40"/>
  <c r="BY403" i="40"/>
  <c r="BZ403" i="40"/>
  <c r="CA403" i="40"/>
  <c r="CB403" i="40"/>
  <c r="CC403" i="40"/>
  <c r="CD403" i="40"/>
  <c r="CE403" i="40"/>
  <c r="CF403" i="40"/>
  <c r="CG403" i="40"/>
  <c r="CH403" i="40"/>
  <c r="DM403" i="40"/>
  <c r="DS403" i="40"/>
  <c r="DT403" i="40"/>
  <c r="DU403" i="40"/>
  <c r="DV403" i="40"/>
  <c r="DW403" i="40"/>
  <c r="F404" i="40"/>
  <c r="G404" i="40"/>
  <c r="H404" i="40"/>
  <c r="I404" i="40"/>
  <c r="O404" i="40"/>
  <c r="P404" i="40"/>
  <c r="AB404" i="40"/>
  <c r="AD404" i="40"/>
  <c r="AE404" i="40"/>
  <c r="AF404" i="40"/>
  <c r="AG404" i="40"/>
  <c r="AH404" i="40"/>
  <c r="AI404" i="40"/>
  <c r="AJ404" i="40"/>
  <c r="HJ404" i="40"/>
  <c r="AT404" i="40"/>
  <c r="AW404" i="40"/>
  <c r="AX404" i="40"/>
  <c r="AY404" i="40"/>
  <c r="AZ404" i="40"/>
  <c r="BA404" i="40"/>
  <c r="BB404" i="40"/>
  <c r="BC404" i="40"/>
  <c r="BD404" i="40"/>
  <c r="BE404" i="40"/>
  <c r="BF404" i="40"/>
  <c r="BG404" i="40"/>
  <c r="BH404" i="40"/>
  <c r="BI404" i="40"/>
  <c r="BJ404" i="40"/>
  <c r="BK404" i="40"/>
  <c r="BL404" i="40"/>
  <c r="BM404" i="40"/>
  <c r="BN404" i="40"/>
  <c r="BO404" i="40"/>
  <c r="BP404" i="40"/>
  <c r="BQ404" i="40"/>
  <c r="BR404" i="40"/>
  <c r="BS404" i="40"/>
  <c r="BT404" i="40"/>
  <c r="BU404" i="40"/>
  <c r="BV404" i="40"/>
  <c r="BW404" i="40"/>
  <c r="BY404" i="40"/>
  <c r="BZ404" i="40"/>
  <c r="CA404" i="40"/>
  <c r="CB404" i="40"/>
  <c r="CC404" i="40"/>
  <c r="CD404" i="40"/>
  <c r="CE404" i="40"/>
  <c r="CF404" i="40"/>
  <c r="CG404" i="40"/>
  <c r="CH404" i="40"/>
  <c r="DM404" i="40"/>
  <c r="DS404" i="40"/>
  <c r="DT404" i="40"/>
  <c r="DU404" i="40"/>
  <c r="DV404" i="40"/>
  <c r="DW404" i="40"/>
  <c r="F405" i="40"/>
  <c r="G405" i="40"/>
  <c r="H405" i="40"/>
  <c r="I405" i="40"/>
  <c r="J405" i="40"/>
  <c r="K405" i="40"/>
  <c r="L405" i="40"/>
  <c r="M405" i="40"/>
  <c r="N405" i="40"/>
  <c r="O405" i="40"/>
  <c r="P405" i="40"/>
  <c r="AB405" i="40"/>
  <c r="AD405" i="40"/>
  <c r="AE405" i="40"/>
  <c r="AF405" i="40"/>
  <c r="AG405" i="40"/>
  <c r="AH405" i="40"/>
  <c r="AI405" i="40"/>
  <c r="AJ405" i="40"/>
  <c r="HJ405" i="40"/>
  <c r="HK405" i="40"/>
  <c r="AT405" i="40"/>
  <c r="AW405" i="40"/>
  <c r="AX405" i="40"/>
  <c r="AY405" i="40"/>
  <c r="AZ405" i="40"/>
  <c r="BA405" i="40"/>
  <c r="BB405" i="40"/>
  <c r="BC405" i="40"/>
  <c r="BD405" i="40"/>
  <c r="BE405" i="40"/>
  <c r="BF405" i="40"/>
  <c r="BG405" i="40"/>
  <c r="BH405" i="40"/>
  <c r="BI405" i="40"/>
  <c r="BJ405" i="40"/>
  <c r="BK405" i="40"/>
  <c r="BL405" i="40"/>
  <c r="BM405" i="40"/>
  <c r="BN405" i="40"/>
  <c r="BO405" i="40"/>
  <c r="BP405" i="40"/>
  <c r="BQ405" i="40"/>
  <c r="BR405" i="40"/>
  <c r="BS405" i="40"/>
  <c r="BT405" i="40"/>
  <c r="BU405" i="40"/>
  <c r="BV405" i="40"/>
  <c r="BW405" i="40"/>
  <c r="BY405" i="40"/>
  <c r="BZ405" i="40"/>
  <c r="CA405" i="40"/>
  <c r="CB405" i="40"/>
  <c r="CC405" i="40"/>
  <c r="CD405" i="40"/>
  <c r="CE405" i="40"/>
  <c r="CF405" i="40"/>
  <c r="CG405" i="40"/>
  <c r="CH405" i="40"/>
  <c r="DM405" i="40"/>
  <c r="DS405" i="40"/>
  <c r="DT405" i="40"/>
  <c r="DU405" i="40"/>
  <c r="DV405" i="40"/>
  <c r="DW405" i="40"/>
  <c r="A406" i="40"/>
  <c r="F406" i="40"/>
  <c r="G406" i="40"/>
  <c r="H406" i="40"/>
  <c r="I406" i="40"/>
  <c r="J406" i="40"/>
  <c r="K406" i="40"/>
  <c r="L406" i="40"/>
  <c r="M406" i="40"/>
  <c r="N406" i="40"/>
  <c r="O406" i="40"/>
  <c r="P406" i="40"/>
  <c r="AB406" i="40"/>
  <c r="AD406" i="40"/>
  <c r="AE406" i="40"/>
  <c r="AF406" i="40"/>
  <c r="AG406" i="40"/>
  <c r="AH406" i="40"/>
  <c r="AI406" i="40"/>
  <c r="AJ406" i="40"/>
  <c r="HJ406" i="40"/>
  <c r="HK406" i="40"/>
  <c r="AT406" i="40"/>
  <c r="AW406" i="40"/>
  <c r="AX406" i="40"/>
  <c r="AY406" i="40"/>
  <c r="AZ406" i="40"/>
  <c r="BA406" i="40"/>
  <c r="BB406" i="40"/>
  <c r="BC406" i="40"/>
  <c r="BD406" i="40"/>
  <c r="BE406" i="40"/>
  <c r="BF406" i="40"/>
  <c r="BG406" i="40"/>
  <c r="BH406" i="40"/>
  <c r="BI406" i="40"/>
  <c r="BJ406" i="40"/>
  <c r="BK406" i="40"/>
  <c r="BL406" i="40"/>
  <c r="BM406" i="40"/>
  <c r="BN406" i="40"/>
  <c r="BO406" i="40"/>
  <c r="BP406" i="40"/>
  <c r="BQ406" i="40"/>
  <c r="BR406" i="40"/>
  <c r="BS406" i="40"/>
  <c r="BT406" i="40"/>
  <c r="BU406" i="40"/>
  <c r="BV406" i="40"/>
  <c r="BW406" i="40"/>
  <c r="BY406" i="40"/>
  <c r="BZ406" i="40"/>
  <c r="CA406" i="40"/>
  <c r="CB406" i="40"/>
  <c r="CC406" i="40"/>
  <c r="CD406" i="40"/>
  <c r="CE406" i="40"/>
  <c r="CF406" i="40"/>
  <c r="CG406" i="40"/>
  <c r="CH406" i="40"/>
  <c r="DM406" i="40"/>
  <c r="DS406" i="40"/>
  <c r="DT406" i="40"/>
  <c r="DU406" i="40"/>
  <c r="DV406" i="40"/>
  <c r="DW406" i="40"/>
  <c r="A407" i="40"/>
  <c r="F407" i="40"/>
  <c r="G407" i="40"/>
  <c r="H407" i="40"/>
  <c r="I407" i="40"/>
  <c r="J407" i="40"/>
  <c r="K407" i="40"/>
  <c r="L407" i="40"/>
  <c r="M407" i="40"/>
  <c r="N407" i="40"/>
  <c r="O407" i="40"/>
  <c r="P407" i="40"/>
  <c r="AB407" i="40"/>
  <c r="AD407" i="40"/>
  <c r="AE407" i="40"/>
  <c r="AF407" i="40"/>
  <c r="AG407" i="40"/>
  <c r="AH407" i="40"/>
  <c r="AI407" i="40"/>
  <c r="AJ407" i="40"/>
  <c r="HJ407" i="40"/>
  <c r="HK407" i="40"/>
  <c r="AT407" i="40"/>
  <c r="AW407" i="40"/>
  <c r="AX407" i="40"/>
  <c r="AY407" i="40"/>
  <c r="AZ407" i="40"/>
  <c r="BA407" i="40"/>
  <c r="BB407" i="40"/>
  <c r="BC407" i="40"/>
  <c r="BD407" i="40"/>
  <c r="BE407" i="40"/>
  <c r="BF407" i="40"/>
  <c r="BG407" i="40"/>
  <c r="BH407" i="40"/>
  <c r="BI407" i="40"/>
  <c r="BJ407" i="40"/>
  <c r="BK407" i="40"/>
  <c r="BL407" i="40"/>
  <c r="BM407" i="40"/>
  <c r="BN407" i="40"/>
  <c r="BO407" i="40"/>
  <c r="BP407" i="40"/>
  <c r="BQ407" i="40"/>
  <c r="BR407" i="40"/>
  <c r="BS407" i="40"/>
  <c r="BT407" i="40"/>
  <c r="BU407" i="40"/>
  <c r="BV407" i="40"/>
  <c r="BW407" i="40"/>
  <c r="BX407" i="40"/>
  <c r="BY407" i="40"/>
  <c r="BZ407" i="40"/>
  <c r="CA407" i="40"/>
  <c r="CB407" i="40"/>
  <c r="CC407" i="40"/>
  <c r="CD407" i="40"/>
  <c r="CE407" i="40"/>
  <c r="CF407" i="40"/>
  <c r="CG407" i="40"/>
  <c r="CH407" i="40"/>
  <c r="DM407" i="40"/>
  <c r="DS407" i="40"/>
  <c r="DT407" i="40"/>
  <c r="DU407" i="40"/>
  <c r="DV407" i="40"/>
  <c r="DW407" i="40"/>
  <c r="F408" i="40"/>
  <c r="G408" i="40"/>
  <c r="H408" i="40"/>
  <c r="I408" i="40"/>
  <c r="J408" i="40"/>
  <c r="K408" i="40"/>
  <c r="L408" i="40"/>
  <c r="M408" i="40"/>
  <c r="N408" i="40"/>
  <c r="O408" i="40"/>
  <c r="P408" i="40"/>
  <c r="AA408" i="40"/>
  <c r="AC408" i="40"/>
  <c r="AE408" i="40"/>
  <c r="AG408" i="40"/>
  <c r="AH408" i="40"/>
  <c r="AI408" i="40"/>
  <c r="AJ408" i="40"/>
  <c r="HJ408" i="40"/>
  <c r="HK408" i="40"/>
  <c r="HK409" i="40" s="1"/>
  <c r="HK410" i="40" s="1"/>
  <c r="HK411" i="40" s="1"/>
  <c r="HK412" i="40" s="1"/>
  <c r="HK413" i="40" s="1"/>
  <c r="HK414" i="40" s="1"/>
  <c r="HK415" i="40" s="1"/>
  <c r="HK416" i="40" s="1"/>
  <c r="HK417" i="40" s="1"/>
  <c r="HK418" i="40" s="1"/>
  <c r="HK419" i="40" s="1"/>
  <c r="HK420" i="40" s="1"/>
  <c r="HK421" i="40" s="1"/>
  <c r="HK422" i="40" s="1"/>
  <c r="AT408" i="40"/>
  <c r="AT409" i="40" s="1"/>
  <c r="AT410" i="40" s="1"/>
  <c r="AT411" i="40" s="1"/>
  <c r="AT412" i="40" s="1"/>
  <c r="AT413" i="40" s="1"/>
  <c r="AT414" i="40" s="1"/>
  <c r="AT415" i="40" s="1"/>
  <c r="AT416" i="40" s="1"/>
  <c r="AT417" i="40" s="1"/>
  <c r="AT418" i="40" s="1"/>
  <c r="AT419" i="40" s="1"/>
  <c r="AT420" i="40" s="1"/>
  <c r="AT421" i="40" s="1"/>
  <c r="AT422" i="40" s="1"/>
  <c r="AW408" i="40"/>
  <c r="AX408" i="40"/>
  <c r="AY408" i="40"/>
  <c r="AZ408" i="40"/>
  <c r="BA408" i="40"/>
  <c r="BB408" i="40"/>
  <c r="BC408" i="40"/>
  <c r="BD408" i="40"/>
  <c r="BE408" i="40"/>
  <c r="BF408" i="40"/>
  <c r="BG408" i="40"/>
  <c r="BH408" i="40"/>
  <c r="BI408" i="40"/>
  <c r="BJ408" i="40"/>
  <c r="BK408" i="40"/>
  <c r="BL408" i="40"/>
  <c r="BM408" i="40"/>
  <c r="BN408" i="40"/>
  <c r="BO408" i="40"/>
  <c r="BP408" i="40"/>
  <c r="BQ408" i="40"/>
  <c r="BR408" i="40"/>
  <c r="BS408" i="40"/>
  <c r="BT408" i="40"/>
  <c r="BU408" i="40"/>
  <c r="BV408" i="40"/>
  <c r="BW408" i="40"/>
  <c r="BX408" i="40"/>
  <c r="BY408" i="40"/>
  <c r="BZ408" i="40"/>
  <c r="CA408" i="40"/>
  <c r="CB408" i="40"/>
  <c r="CC408" i="40"/>
  <c r="CD408" i="40"/>
  <c r="CE408" i="40"/>
  <c r="CF408" i="40"/>
  <c r="CG408" i="40"/>
  <c r="CH408" i="40"/>
  <c r="DM408" i="40"/>
  <c r="DS408" i="40"/>
  <c r="DT408" i="40"/>
  <c r="DU408" i="40"/>
  <c r="DV408" i="40"/>
  <c r="DW408" i="40"/>
  <c r="A409" i="40"/>
  <c r="BX409" i="40"/>
  <c r="F409" i="40"/>
  <c r="K409" i="40"/>
  <c r="L409" i="40"/>
  <c r="M409" i="40"/>
  <c r="N409" i="40"/>
  <c r="P409" i="40"/>
  <c r="AA409" i="40"/>
  <c r="AC409" i="40"/>
  <c r="AE409" i="40"/>
  <c r="AG409" i="40"/>
  <c r="AI409" i="40"/>
  <c r="G409" i="40"/>
  <c r="H409" i="40"/>
  <c r="I409" i="40"/>
  <c r="J409" i="40"/>
  <c r="O409" i="40"/>
  <c r="AH409" i="40"/>
  <c r="AJ409" i="40"/>
  <c r="HJ409" i="40"/>
  <c r="AW409" i="40"/>
  <c r="AX409" i="40"/>
  <c r="AZ409" i="40"/>
  <c r="BA409" i="40"/>
  <c r="BB409" i="40"/>
  <c r="BC409" i="40"/>
  <c r="BD409" i="40"/>
  <c r="BE409" i="40"/>
  <c r="BF409" i="40"/>
  <c r="BG409" i="40"/>
  <c r="BH409" i="40"/>
  <c r="BI409" i="40"/>
  <c r="BJ409" i="40"/>
  <c r="BK409" i="40"/>
  <c r="BL409" i="40"/>
  <c r="BM409" i="40"/>
  <c r="BN409" i="40"/>
  <c r="BO409" i="40"/>
  <c r="BP409" i="40"/>
  <c r="BQ409" i="40"/>
  <c r="BR409" i="40"/>
  <c r="BS409" i="40"/>
  <c r="BT409" i="40"/>
  <c r="BU409" i="40"/>
  <c r="BV409" i="40"/>
  <c r="BW409" i="40"/>
  <c r="BY409" i="40"/>
  <c r="BZ409" i="40"/>
  <c r="CA409" i="40"/>
  <c r="CB409" i="40"/>
  <c r="CC409" i="40"/>
  <c r="CD409" i="40"/>
  <c r="CE409" i="40"/>
  <c r="CF409" i="40"/>
  <c r="CG409" i="40"/>
  <c r="CH409" i="40"/>
  <c r="DM409" i="40"/>
  <c r="DS409" i="40"/>
  <c r="DT409" i="40"/>
  <c r="DU409" i="40"/>
  <c r="DV409" i="40"/>
  <c r="DW409" i="40"/>
  <c r="A410" i="40"/>
  <c r="BX410" i="40"/>
  <c r="F410" i="40"/>
  <c r="K410" i="40"/>
  <c r="L410" i="40"/>
  <c r="M410" i="40"/>
  <c r="N410" i="40"/>
  <c r="P410" i="40"/>
  <c r="AA410" i="40"/>
  <c r="AC410" i="40"/>
  <c r="AE410" i="40"/>
  <c r="AG410" i="40"/>
  <c r="AI410" i="40"/>
  <c r="G410" i="40"/>
  <c r="H410" i="40"/>
  <c r="I410" i="40"/>
  <c r="J410" i="40"/>
  <c r="O410" i="40"/>
  <c r="AH410" i="40"/>
  <c r="AJ410" i="40"/>
  <c r="HJ410" i="40"/>
  <c r="AW410" i="40"/>
  <c r="AX410" i="40"/>
  <c r="AZ410" i="40"/>
  <c r="BA410" i="40"/>
  <c r="BB410" i="40"/>
  <c r="BC410" i="40"/>
  <c r="BD410" i="40"/>
  <c r="BE410" i="40"/>
  <c r="BF410" i="40"/>
  <c r="BG410" i="40"/>
  <c r="BH410" i="40"/>
  <c r="BI410" i="40"/>
  <c r="BJ410" i="40"/>
  <c r="BK410" i="40"/>
  <c r="BL410" i="40"/>
  <c r="BM410" i="40"/>
  <c r="BN410" i="40"/>
  <c r="BO410" i="40"/>
  <c r="BP410" i="40"/>
  <c r="BQ410" i="40"/>
  <c r="BR410" i="40"/>
  <c r="BS410" i="40"/>
  <c r="BT410" i="40"/>
  <c r="BU410" i="40"/>
  <c r="BV410" i="40"/>
  <c r="BW410" i="40"/>
  <c r="BY410" i="40"/>
  <c r="BZ410" i="40"/>
  <c r="CA410" i="40"/>
  <c r="CB410" i="40"/>
  <c r="CC410" i="40"/>
  <c r="CD410" i="40"/>
  <c r="CE410" i="40"/>
  <c r="CF410" i="40"/>
  <c r="CG410" i="40"/>
  <c r="CH410" i="40"/>
  <c r="DM410" i="40"/>
  <c r="DS410" i="40"/>
  <c r="DT410" i="40"/>
  <c r="DU410" i="40"/>
  <c r="DV410" i="40"/>
  <c r="DW410" i="40"/>
  <c r="A411" i="40"/>
  <c r="BX411" i="40"/>
  <c r="F411" i="40"/>
  <c r="K411" i="40"/>
  <c r="L411" i="40"/>
  <c r="M411" i="40"/>
  <c r="N411" i="40"/>
  <c r="P411" i="40"/>
  <c r="AA411" i="40"/>
  <c r="AC411" i="40"/>
  <c r="AE411" i="40"/>
  <c r="AG411" i="40"/>
  <c r="AI411" i="40"/>
  <c r="G411" i="40"/>
  <c r="H411" i="40"/>
  <c r="I411" i="40"/>
  <c r="J411" i="40"/>
  <c r="O411" i="40"/>
  <c r="AH411" i="40"/>
  <c r="AJ411" i="40"/>
  <c r="HJ411" i="40"/>
  <c r="AW411" i="40"/>
  <c r="AX411" i="40"/>
  <c r="AZ411" i="40"/>
  <c r="BA411" i="40"/>
  <c r="BB411" i="40"/>
  <c r="BC411" i="40"/>
  <c r="BD411" i="40"/>
  <c r="BE411" i="40"/>
  <c r="BF411" i="40"/>
  <c r="BG411" i="40"/>
  <c r="BH411" i="40"/>
  <c r="BI411" i="40"/>
  <c r="BJ411" i="40"/>
  <c r="BK411" i="40"/>
  <c r="BL411" i="40"/>
  <c r="BM411" i="40"/>
  <c r="BN411" i="40"/>
  <c r="BO411" i="40"/>
  <c r="BP411" i="40"/>
  <c r="BQ411" i="40"/>
  <c r="BR411" i="40"/>
  <c r="BS411" i="40"/>
  <c r="BT411" i="40"/>
  <c r="BU411" i="40"/>
  <c r="BV411" i="40"/>
  <c r="BW411" i="40"/>
  <c r="BY411" i="40"/>
  <c r="BZ411" i="40"/>
  <c r="CA411" i="40"/>
  <c r="CB411" i="40"/>
  <c r="CC411" i="40"/>
  <c r="CD411" i="40"/>
  <c r="CE411" i="40"/>
  <c r="CF411" i="40"/>
  <c r="CG411" i="40"/>
  <c r="CH411" i="40"/>
  <c r="DM411" i="40"/>
  <c r="DS411" i="40"/>
  <c r="DT411" i="40"/>
  <c r="DU411" i="40"/>
  <c r="DV411" i="40"/>
  <c r="DW411" i="40"/>
  <c r="A412" i="40"/>
  <c r="BX412" i="40"/>
  <c r="F412" i="40"/>
  <c r="K412" i="40"/>
  <c r="L412" i="40"/>
  <c r="M412" i="40"/>
  <c r="N412" i="40"/>
  <c r="P412" i="40"/>
  <c r="AA412" i="40"/>
  <c r="AC412" i="40"/>
  <c r="AE412" i="40"/>
  <c r="AG412" i="40"/>
  <c r="AI412" i="40"/>
  <c r="G412" i="40"/>
  <c r="H412" i="40"/>
  <c r="I412" i="40"/>
  <c r="J412" i="40"/>
  <c r="O412" i="40"/>
  <c r="AH412" i="40"/>
  <c r="AJ412" i="40"/>
  <c r="HJ412" i="40"/>
  <c r="AW412" i="40"/>
  <c r="AX412" i="40"/>
  <c r="AZ412" i="40"/>
  <c r="BA412" i="40"/>
  <c r="BB412" i="40"/>
  <c r="BC412" i="40"/>
  <c r="BD412" i="40"/>
  <c r="BE412" i="40"/>
  <c r="BF412" i="40"/>
  <c r="BG412" i="40"/>
  <c r="BH412" i="40"/>
  <c r="BI412" i="40"/>
  <c r="BJ412" i="40"/>
  <c r="BK412" i="40"/>
  <c r="BL412" i="40"/>
  <c r="BM412" i="40"/>
  <c r="BN412" i="40"/>
  <c r="BO412" i="40"/>
  <c r="BP412" i="40"/>
  <c r="BQ412" i="40"/>
  <c r="BR412" i="40"/>
  <c r="BS412" i="40"/>
  <c r="BT412" i="40"/>
  <c r="BU412" i="40"/>
  <c r="BV412" i="40"/>
  <c r="BW412" i="40"/>
  <c r="BY412" i="40"/>
  <c r="BZ412" i="40"/>
  <c r="CA412" i="40"/>
  <c r="CB412" i="40"/>
  <c r="CC412" i="40"/>
  <c r="CD412" i="40"/>
  <c r="CE412" i="40"/>
  <c r="CF412" i="40"/>
  <c r="CG412" i="40"/>
  <c r="CH412" i="40"/>
  <c r="DM412" i="40"/>
  <c r="DS412" i="40"/>
  <c r="DT412" i="40"/>
  <c r="DU412" i="40"/>
  <c r="DV412" i="40"/>
  <c r="DW412" i="40"/>
  <c r="A413" i="40"/>
  <c r="F413" i="40"/>
  <c r="K413" i="40"/>
  <c r="L413" i="40"/>
  <c r="M413" i="40"/>
  <c r="N413" i="40"/>
  <c r="P413" i="40"/>
  <c r="AA413" i="40"/>
  <c r="AC413" i="40"/>
  <c r="AE413" i="40"/>
  <c r="AG413" i="40"/>
  <c r="AI413" i="40"/>
  <c r="G413" i="40"/>
  <c r="H413" i="40"/>
  <c r="I413" i="40"/>
  <c r="J413" i="40"/>
  <c r="O413" i="40"/>
  <c r="AH413" i="40"/>
  <c r="AJ413" i="40"/>
  <c r="HJ413" i="40"/>
  <c r="AW413" i="40"/>
  <c r="AX413" i="40"/>
  <c r="AZ413" i="40"/>
  <c r="BA413" i="40"/>
  <c r="BB413" i="40"/>
  <c r="BC413" i="40"/>
  <c r="BD413" i="40"/>
  <c r="BE413" i="40"/>
  <c r="BF413" i="40"/>
  <c r="BG413" i="40"/>
  <c r="BH413" i="40"/>
  <c r="BI413" i="40"/>
  <c r="BJ413" i="40"/>
  <c r="BK413" i="40"/>
  <c r="BL413" i="40"/>
  <c r="BM413" i="40"/>
  <c r="BN413" i="40"/>
  <c r="BO413" i="40"/>
  <c r="BP413" i="40"/>
  <c r="BQ413" i="40"/>
  <c r="BR413" i="40"/>
  <c r="BS413" i="40"/>
  <c r="BT413" i="40"/>
  <c r="BU413" i="40"/>
  <c r="BV413" i="40"/>
  <c r="BW413" i="40"/>
  <c r="BX413" i="40"/>
  <c r="BY413" i="40"/>
  <c r="BZ413" i="40"/>
  <c r="CA413" i="40"/>
  <c r="CB413" i="40"/>
  <c r="CC413" i="40"/>
  <c r="CD413" i="40"/>
  <c r="CE413" i="40"/>
  <c r="CF413" i="40"/>
  <c r="CG413" i="40"/>
  <c r="CH413" i="40"/>
  <c r="DM413" i="40"/>
  <c r="DS413" i="40"/>
  <c r="DT413" i="40"/>
  <c r="DU413" i="40"/>
  <c r="DV413" i="40"/>
  <c r="DW413" i="40"/>
  <c r="A414" i="40"/>
  <c r="F414" i="40"/>
  <c r="K414" i="40"/>
  <c r="L414" i="40"/>
  <c r="M414" i="40"/>
  <c r="N414" i="40"/>
  <c r="P414" i="40"/>
  <c r="AA414" i="40"/>
  <c r="AC414" i="40"/>
  <c r="AE414" i="40"/>
  <c r="AG414" i="40"/>
  <c r="AI414" i="40"/>
  <c r="G414" i="40"/>
  <c r="H414" i="40"/>
  <c r="I414" i="40"/>
  <c r="J414" i="40"/>
  <c r="O414" i="40"/>
  <c r="AH414" i="40"/>
  <c r="AJ414" i="40"/>
  <c r="HJ414" i="40"/>
  <c r="HJ415" i="40" s="1"/>
  <c r="HJ416" i="40" s="1"/>
  <c r="HJ417" i="40" s="1"/>
  <c r="HJ418" i="40" s="1"/>
  <c r="HJ419" i="40" s="1"/>
  <c r="HJ420" i="40" s="1"/>
  <c r="HJ421" i="40" s="1"/>
  <c r="HJ422" i="40" s="1"/>
  <c r="HJ423" i="40" s="1"/>
  <c r="HJ424" i="40" s="1"/>
  <c r="HJ425" i="40" s="1"/>
  <c r="AW414" i="40"/>
  <c r="AX414" i="40"/>
  <c r="AZ414" i="40"/>
  <c r="BA414" i="40"/>
  <c r="BB414" i="40"/>
  <c r="BC414" i="40"/>
  <c r="BD414" i="40"/>
  <c r="BE414" i="40"/>
  <c r="BF414" i="40"/>
  <c r="BG414" i="40"/>
  <c r="BH414" i="40"/>
  <c r="BI414" i="40"/>
  <c r="BJ414" i="40"/>
  <c r="BK414" i="40"/>
  <c r="BL414" i="40"/>
  <c r="BM414" i="40"/>
  <c r="BN414" i="40"/>
  <c r="BO414" i="40"/>
  <c r="BP414" i="40"/>
  <c r="BQ414" i="40"/>
  <c r="BR414" i="40"/>
  <c r="BS414" i="40"/>
  <c r="BT414" i="40"/>
  <c r="BU414" i="40"/>
  <c r="BV414" i="40"/>
  <c r="BW414" i="40"/>
  <c r="BX414" i="40"/>
  <c r="BY414" i="40"/>
  <c r="BZ414" i="40"/>
  <c r="CA414" i="40"/>
  <c r="CB414" i="40"/>
  <c r="CC414" i="40"/>
  <c r="CD414" i="40"/>
  <c r="CE414" i="40"/>
  <c r="CF414" i="40"/>
  <c r="CG414" i="40"/>
  <c r="CH414" i="40"/>
  <c r="DM414" i="40"/>
  <c r="DS414" i="40"/>
  <c r="DT414" i="40"/>
  <c r="DU414" i="40"/>
  <c r="DV414" i="40"/>
  <c r="DW414" i="40"/>
  <c r="A415" i="40"/>
  <c r="F415" i="40"/>
  <c r="K415" i="40"/>
  <c r="L415" i="40"/>
  <c r="M415" i="40"/>
  <c r="N415" i="40"/>
  <c r="P415" i="40"/>
  <c r="AA415" i="40"/>
  <c r="AC415" i="40"/>
  <c r="AE415" i="40"/>
  <c r="AG415" i="40"/>
  <c r="AI415" i="40"/>
  <c r="G415" i="40"/>
  <c r="H415" i="40"/>
  <c r="I415" i="40"/>
  <c r="J415" i="40"/>
  <c r="O415" i="40"/>
  <c r="AH415" i="40"/>
  <c r="AJ415" i="40"/>
  <c r="AW415" i="40"/>
  <c r="AX415" i="40"/>
  <c r="AZ415" i="40"/>
  <c r="BA415" i="40"/>
  <c r="BB415" i="40"/>
  <c r="BC415" i="40"/>
  <c r="BD415" i="40"/>
  <c r="BE415" i="40"/>
  <c r="BF415" i="40"/>
  <c r="BG415" i="40"/>
  <c r="BH415" i="40"/>
  <c r="BI415" i="40"/>
  <c r="BJ415" i="40"/>
  <c r="BK415" i="40"/>
  <c r="BL415" i="40"/>
  <c r="BM415" i="40"/>
  <c r="BN415" i="40"/>
  <c r="BO415" i="40"/>
  <c r="BP415" i="40"/>
  <c r="BQ415" i="40"/>
  <c r="BR415" i="40"/>
  <c r="BS415" i="40"/>
  <c r="BT415" i="40"/>
  <c r="BU415" i="40"/>
  <c r="BV415" i="40"/>
  <c r="BW415" i="40"/>
  <c r="BX415" i="40"/>
  <c r="BY415" i="40"/>
  <c r="BZ415" i="40"/>
  <c r="CA415" i="40"/>
  <c r="CB415" i="40"/>
  <c r="CC415" i="40"/>
  <c r="CD415" i="40"/>
  <c r="CE415" i="40"/>
  <c r="CF415" i="40"/>
  <c r="CG415" i="40"/>
  <c r="CH415" i="40"/>
  <c r="DM415" i="40"/>
  <c r="DS415" i="40"/>
  <c r="DT415" i="40"/>
  <c r="DU415" i="40"/>
  <c r="DV415" i="40"/>
  <c r="DW415" i="40"/>
  <c r="F416" i="40"/>
  <c r="K416" i="40"/>
  <c r="L416" i="40"/>
  <c r="M416" i="40"/>
  <c r="N416" i="40"/>
  <c r="P416" i="40"/>
  <c r="AA416" i="40"/>
  <c r="AC416" i="40"/>
  <c r="AE416" i="40"/>
  <c r="AG416" i="40"/>
  <c r="AI416" i="40"/>
  <c r="G416" i="40"/>
  <c r="H416" i="40"/>
  <c r="I416" i="40"/>
  <c r="J416" i="40"/>
  <c r="O416" i="40"/>
  <c r="AH416" i="40"/>
  <c r="AJ416" i="40"/>
  <c r="AW416" i="40"/>
  <c r="AX416" i="40"/>
  <c r="AZ416" i="40"/>
  <c r="BA416" i="40"/>
  <c r="BB416" i="40"/>
  <c r="BC416" i="40"/>
  <c r="BD416" i="40"/>
  <c r="BE416" i="40"/>
  <c r="BF416" i="40"/>
  <c r="BG416" i="40"/>
  <c r="BH416" i="40"/>
  <c r="BI416" i="40"/>
  <c r="BJ416" i="40"/>
  <c r="BK416" i="40"/>
  <c r="BL416" i="40"/>
  <c r="BM416" i="40"/>
  <c r="BN416" i="40"/>
  <c r="BO416" i="40"/>
  <c r="BP416" i="40"/>
  <c r="BQ416" i="40"/>
  <c r="BR416" i="40"/>
  <c r="BS416" i="40"/>
  <c r="BT416" i="40"/>
  <c r="BU416" i="40"/>
  <c r="BV416" i="40"/>
  <c r="BW416" i="40"/>
  <c r="BX416" i="40"/>
  <c r="BY416" i="40"/>
  <c r="BZ416" i="40"/>
  <c r="CA416" i="40"/>
  <c r="CB416" i="40"/>
  <c r="CC416" i="40"/>
  <c r="CD416" i="40"/>
  <c r="CE416" i="40"/>
  <c r="CF416" i="40"/>
  <c r="CG416" i="40"/>
  <c r="CH416" i="40"/>
  <c r="DM416" i="40"/>
  <c r="DS416" i="40"/>
  <c r="DT416" i="40"/>
  <c r="DU416" i="40"/>
  <c r="DV416" i="40"/>
  <c r="DW416" i="40"/>
  <c r="A417" i="40"/>
  <c r="F417" i="40"/>
  <c r="K417" i="40"/>
  <c r="L417" i="40"/>
  <c r="M417" i="40"/>
  <c r="N417" i="40"/>
  <c r="P417" i="40"/>
  <c r="AA417" i="40"/>
  <c r="AC417" i="40"/>
  <c r="AE417" i="40"/>
  <c r="AG417" i="40"/>
  <c r="AI417" i="40"/>
  <c r="G417" i="40"/>
  <c r="H417" i="40"/>
  <c r="I417" i="40"/>
  <c r="J417" i="40"/>
  <c r="O417" i="40"/>
  <c r="AH417" i="40"/>
  <c r="AJ417" i="40"/>
  <c r="AW417" i="40"/>
  <c r="AX417" i="40"/>
  <c r="AZ417" i="40"/>
  <c r="BA417" i="40"/>
  <c r="BB417" i="40"/>
  <c r="BC417" i="40"/>
  <c r="BD417" i="40"/>
  <c r="BE417" i="40"/>
  <c r="BF417" i="40"/>
  <c r="BG417" i="40"/>
  <c r="BH417" i="40"/>
  <c r="BI417" i="40"/>
  <c r="BJ417" i="40"/>
  <c r="BK417" i="40"/>
  <c r="BL417" i="40"/>
  <c r="BM417" i="40"/>
  <c r="BN417" i="40"/>
  <c r="BO417" i="40"/>
  <c r="BP417" i="40"/>
  <c r="BQ417" i="40"/>
  <c r="BR417" i="40"/>
  <c r="BS417" i="40"/>
  <c r="BT417" i="40"/>
  <c r="BU417" i="40"/>
  <c r="BV417" i="40"/>
  <c r="BW417" i="40"/>
  <c r="BX417" i="40"/>
  <c r="BY417" i="40"/>
  <c r="BZ417" i="40"/>
  <c r="CA417" i="40"/>
  <c r="CB417" i="40"/>
  <c r="CC417" i="40"/>
  <c r="CD417" i="40"/>
  <c r="CE417" i="40"/>
  <c r="CF417" i="40"/>
  <c r="CG417" i="40"/>
  <c r="CH417" i="40"/>
  <c r="DM417" i="40"/>
  <c r="DS417" i="40"/>
  <c r="DT417" i="40"/>
  <c r="DU417" i="40"/>
  <c r="DV417" i="40"/>
  <c r="DW417" i="40"/>
  <c r="AW418" i="40"/>
  <c r="AX418" i="40"/>
  <c r="AZ418" i="40"/>
  <c r="BA418" i="40"/>
  <c r="BB418" i="40"/>
  <c r="BC418" i="40"/>
  <c r="BD418" i="40"/>
  <c r="BE418" i="40"/>
  <c r="BF418" i="40"/>
  <c r="BG418" i="40"/>
  <c r="BH418" i="40"/>
  <c r="BI418" i="40"/>
  <c r="BJ418" i="40"/>
  <c r="BK418" i="40"/>
  <c r="BL418" i="40"/>
  <c r="BM418" i="40"/>
  <c r="BN418" i="40"/>
  <c r="BO418" i="40"/>
  <c r="BP418" i="40"/>
  <c r="BQ418" i="40"/>
  <c r="BR418" i="40"/>
  <c r="BS418" i="40"/>
  <c r="BT418" i="40"/>
  <c r="BU418" i="40"/>
  <c r="BV418" i="40"/>
  <c r="BW418" i="40"/>
  <c r="BX418" i="40"/>
  <c r="BY418" i="40"/>
  <c r="BZ418" i="40"/>
  <c r="CA418" i="40"/>
  <c r="CB418" i="40"/>
  <c r="CC418" i="40"/>
  <c r="CD418" i="40"/>
  <c r="CE418" i="40"/>
  <c r="CF418" i="40"/>
  <c r="CG418" i="40"/>
  <c r="CH418" i="40"/>
  <c r="DM418" i="40"/>
  <c r="DS418" i="40"/>
  <c r="DT418" i="40"/>
  <c r="DU418" i="40"/>
  <c r="DV418" i="40"/>
  <c r="DW418" i="40"/>
  <c r="AW419" i="40"/>
  <c r="AX419" i="40"/>
  <c r="AZ419" i="40"/>
  <c r="BA419" i="40"/>
  <c r="BB419" i="40"/>
  <c r="BC419" i="40"/>
  <c r="BD419" i="40"/>
  <c r="BE419" i="40"/>
  <c r="BF419" i="40"/>
  <c r="BG419" i="40"/>
  <c r="BH419" i="40"/>
  <c r="BI419" i="40"/>
  <c r="BJ419" i="40"/>
  <c r="BK419" i="40"/>
  <c r="BL419" i="40"/>
  <c r="BM419" i="40"/>
  <c r="BN419" i="40"/>
  <c r="BO419" i="40"/>
  <c r="BP419" i="40"/>
  <c r="BQ419" i="40"/>
  <c r="BR419" i="40"/>
  <c r="BS419" i="40"/>
  <c r="BT419" i="40"/>
  <c r="BU419" i="40"/>
  <c r="BV419" i="40"/>
  <c r="BW419" i="40"/>
  <c r="BX419" i="40"/>
  <c r="BY419" i="40"/>
  <c r="BZ419" i="40"/>
  <c r="CA419" i="40"/>
  <c r="CB419" i="40"/>
  <c r="CC419" i="40"/>
  <c r="CD419" i="40"/>
  <c r="CE419" i="40"/>
  <c r="CF419" i="40"/>
  <c r="CG419" i="40"/>
  <c r="CH419" i="40"/>
  <c r="DM419" i="40"/>
  <c r="DS419" i="40"/>
  <c r="DT419" i="40"/>
  <c r="DU419" i="40"/>
  <c r="DV419" i="40"/>
  <c r="DW419" i="40"/>
  <c r="AW420" i="40"/>
  <c r="AX420" i="40"/>
  <c r="AZ420" i="40"/>
  <c r="BA420" i="40"/>
  <c r="BB420" i="40"/>
  <c r="BC420" i="40"/>
  <c r="BD420" i="40"/>
  <c r="BE420" i="40"/>
  <c r="BF420" i="40"/>
  <c r="BG420" i="40"/>
  <c r="BH420" i="40"/>
  <c r="BI420" i="40"/>
  <c r="BJ420" i="40"/>
  <c r="BK420" i="40"/>
  <c r="BL420" i="40"/>
  <c r="BM420" i="40"/>
  <c r="BN420" i="40"/>
  <c r="BO420" i="40"/>
  <c r="BP420" i="40"/>
  <c r="BQ420" i="40"/>
  <c r="BR420" i="40"/>
  <c r="BS420" i="40"/>
  <c r="BT420" i="40"/>
  <c r="BU420" i="40"/>
  <c r="BV420" i="40"/>
  <c r="BW420" i="40"/>
  <c r="BX420" i="40"/>
  <c r="BY420" i="40"/>
  <c r="BZ420" i="40"/>
  <c r="CA420" i="40"/>
  <c r="CB420" i="40"/>
  <c r="CC420" i="40"/>
  <c r="CD420" i="40"/>
  <c r="CE420" i="40"/>
  <c r="CF420" i="40"/>
  <c r="CG420" i="40"/>
  <c r="CH420" i="40"/>
  <c r="DM420" i="40"/>
  <c r="DS420" i="40"/>
  <c r="DT420" i="40"/>
  <c r="DU420" i="40"/>
  <c r="DV420" i="40"/>
  <c r="DW420" i="40"/>
  <c r="AW421" i="40"/>
  <c r="AX421" i="40"/>
  <c r="AZ421" i="40"/>
  <c r="BA421" i="40"/>
  <c r="BB421" i="40"/>
  <c r="BC421" i="40"/>
  <c r="BD421" i="40"/>
  <c r="BE421" i="40"/>
  <c r="BF421" i="40"/>
  <c r="BG421" i="40"/>
  <c r="BH421" i="40"/>
  <c r="BI421" i="40"/>
  <c r="BJ421" i="40"/>
  <c r="BK421" i="40"/>
  <c r="BL421" i="40"/>
  <c r="BM421" i="40"/>
  <c r="BN421" i="40"/>
  <c r="BO421" i="40"/>
  <c r="BP421" i="40"/>
  <c r="BQ421" i="40"/>
  <c r="BR421" i="40"/>
  <c r="BS421" i="40"/>
  <c r="BT421" i="40"/>
  <c r="BU421" i="40"/>
  <c r="BV421" i="40"/>
  <c r="BW421" i="40"/>
  <c r="BX421" i="40"/>
  <c r="BY421" i="40"/>
  <c r="BZ421" i="40"/>
  <c r="CA421" i="40"/>
  <c r="CB421" i="40"/>
  <c r="CC421" i="40"/>
  <c r="CD421" i="40"/>
  <c r="CE421" i="40"/>
  <c r="CF421" i="40"/>
  <c r="CG421" i="40"/>
  <c r="CH421" i="40"/>
  <c r="DM421" i="40"/>
  <c r="DS421" i="40"/>
  <c r="DT421" i="40"/>
  <c r="DU421" i="40"/>
  <c r="DV421" i="40"/>
  <c r="DW421" i="40"/>
  <c r="AW422" i="40"/>
  <c r="AX422" i="40"/>
  <c r="AZ422" i="40"/>
  <c r="BA422" i="40"/>
  <c r="BB422" i="40"/>
  <c r="BC422" i="40"/>
  <c r="BD422" i="40"/>
  <c r="BE422" i="40"/>
  <c r="BF422" i="40"/>
  <c r="BG422" i="40"/>
  <c r="BH422" i="40"/>
  <c r="BI422" i="40"/>
  <c r="BJ422" i="40"/>
  <c r="BK422" i="40"/>
  <c r="BL422" i="40"/>
  <c r="BM422" i="40"/>
  <c r="BN422" i="40"/>
  <c r="BO422" i="40"/>
  <c r="BP422" i="40"/>
  <c r="BQ422" i="40"/>
  <c r="BR422" i="40"/>
  <c r="BS422" i="40"/>
  <c r="BT422" i="40"/>
  <c r="BU422" i="40"/>
  <c r="BV422" i="40"/>
  <c r="BW422" i="40"/>
  <c r="BX422" i="40"/>
  <c r="BY422" i="40"/>
  <c r="BZ422" i="40"/>
  <c r="CA422" i="40"/>
  <c r="CB422" i="40"/>
  <c r="CC422" i="40"/>
  <c r="CD422" i="40"/>
  <c r="CE422" i="40"/>
  <c r="CF422" i="40"/>
  <c r="CG422" i="40"/>
  <c r="CH422" i="40"/>
  <c r="DM422" i="40"/>
  <c r="DS422" i="40"/>
  <c r="DT422" i="40"/>
  <c r="DU422" i="40"/>
  <c r="DV422" i="40"/>
  <c r="DW422" i="40"/>
  <c r="HK423" i="40"/>
  <c r="HK424" i="40" s="1"/>
  <c r="HK425" i="40" s="1"/>
  <c r="HK426" i="40" s="1"/>
  <c r="HK427" i="40" s="1"/>
  <c r="AT423" i="40"/>
  <c r="AT424" i="40" s="1"/>
  <c r="AT425" i="40" s="1"/>
  <c r="AT426" i="40" s="1"/>
  <c r="AT427" i="40" s="1"/>
  <c r="AT428" i="40" s="1"/>
  <c r="AT429" i="40" s="1"/>
  <c r="AT430" i="40" s="1"/>
  <c r="AT431" i="40" s="1"/>
  <c r="AT432" i="40" s="1"/>
  <c r="AT433" i="40" s="1"/>
  <c r="AT434" i="40" s="1"/>
  <c r="AT435" i="40" s="1"/>
  <c r="AT436" i="40" s="1"/>
  <c r="AT437" i="40" s="1"/>
  <c r="AT438" i="40" s="1"/>
  <c r="AT439" i="40" s="1"/>
  <c r="AT440" i="40" s="1"/>
  <c r="AT441" i="40" s="1"/>
  <c r="AT442" i="40" s="1"/>
  <c r="AT443" i="40" s="1"/>
  <c r="AT444" i="40" s="1"/>
  <c r="AT445" i="40" s="1"/>
  <c r="AT446" i="40" s="1"/>
  <c r="AT447" i="40" s="1"/>
  <c r="AT448" i="40" s="1"/>
  <c r="AT449" i="40" s="1"/>
  <c r="AT450" i="40" s="1"/>
  <c r="AT451" i="40" s="1"/>
  <c r="AT452" i="40" s="1"/>
  <c r="AT453" i="40" s="1"/>
  <c r="AT454" i="40" s="1"/>
  <c r="AT455" i="40" s="1"/>
  <c r="AT456" i="40" s="1"/>
  <c r="AT457" i="40" s="1"/>
  <c r="AT458" i="40" s="1"/>
  <c r="AT459" i="40" s="1"/>
  <c r="AT460" i="40" s="1"/>
  <c r="AT461" i="40" s="1"/>
  <c r="AT462" i="40" s="1"/>
  <c r="AT463" i="40" s="1"/>
  <c r="AT464" i="40" s="1"/>
  <c r="AT465" i="40" s="1"/>
  <c r="AT466" i="40" s="1"/>
  <c r="AT467" i="40" s="1"/>
  <c r="AT468" i="40" s="1"/>
  <c r="AT469" i="40" s="1"/>
  <c r="AT470" i="40" s="1"/>
  <c r="AT471" i="40" s="1"/>
  <c r="AT472" i="40" s="1"/>
  <c r="AT473" i="40" s="1"/>
  <c r="AT474" i="40" s="1"/>
  <c r="AT475" i="40" s="1"/>
  <c r="AT476" i="40" s="1"/>
  <c r="AT477" i="40" s="1"/>
  <c r="AT478" i="40" s="1"/>
  <c r="AT479" i="40" s="1"/>
  <c r="AT480" i="40" s="1"/>
  <c r="AT481" i="40" s="1"/>
  <c r="AT482" i="40" s="1"/>
  <c r="AT483" i="40" s="1"/>
  <c r="AT484" i="40" s="1"/>
  <c r="AT485" i="40" s="1"/>
  <c r="AT486" i="40" s="1"/>
  <c r="AT487" i="40" s="1"/>
  <c r="AT489" i="40" s="1"/>
  <c r="AT490" i="40" s="1"/>
  <c r="AT491" i="40" s="1"/>
  <c r="AT492" i="40" s="1"/>
  <c r="AT493" i="40" s="1"/>
  <c r="AT494" i="40" s="1"/>
  <c r="AT495" i="40" s="1"/>
  <c r="AT496" i="40" s="1"/>
  <c r="AT497" i="40" s="1"/>
  <c r="AT498" i="40" s="1"/>
  <c r="AT499" i="40" s="1"/>
  <c r="AT500" i="40" s="1"/>
  <c r="AW423" i="40"/>
  <c r="AX423" i="40"/>
  <c r="AZ423" i="40"/>
  <c r="BA423" i="40"/>
  <c r="BB423" i="40"/>
  <c r="BC423" i="40"/>
  <c r="BD423" i="40"/>
  <c r="BE423" i="40"/>
  <c r="BF423" i="40"/>
  <c r="BG423" i="40"/>
  <c r="BH423" i="40"/>
  <c r="BI423" i="40"/>
  <c r="BJ423" i="40"/>
  <c r="BK423" i="40"/>
  <c r="BL423" i="40"/>
  <c r="BM423" i="40"/>
  <c r="BN423" i="40"/>
  <c r="BO423" i="40"/>
  <c r="BP423" i="40"/>
  <c r="BQ423" i="40"/>
  <c r="BR423" i="40"/>
  <c r="BS423" i="40"/>
  <c r="BT423" i="40"/>
  <c r="BU423" i="40"/>
  <c r="BV423" i="40"/>
  <c r="BW423" i="40"/>
  <c r="BX423" i="40"/>
  <c r="BY423" i="40"/>
  <c r="BZ423" i="40"/>
  <c r="CA423" i="40"/>
  <c r="CB423" i="40"/>
  <c r="CC423" i="40"/>
  <c r="CD423" i="40"/>
  <c r="CE423" i="40"/>
  <c r="CF423" i="40"/>
  <c r="CG423" i="40"/>
  <c r="CH423" i="40"/>
  <c r="DM423" i="40"/>
  <c r="DS423" i="40"/>
  <c r="DT423" i="40"/>
  <c r="DU423" i="40"/>
  <c r="DV423" i="40"/>
  <c r="DW423" i="40"/>
  <c r="AW424" i="40"/>
  <c r="AX424" i="40"/>
  <c r="AZ424" i="40"/>
  <c r="BA424" i="40"/>
  <c r="BB424" i="40"/>
  <c r="BC424" i="40"/>
  <c r="BD424" i="40"/>
  <c r="BE424" i="40"/>
  <c r="BF424" i="40"/>
  <c r="BG424" i="40"/>
  <c r="BH424" i="40"/>
  <c r="BI424" i="40"/>
  <c r="BJ424" i="40"/>
  <c r="BK424" i="40"/>
  <c r="BL424" i="40"/>
  <c r="BM424" i="40"/>
  <c r="BN424" i="40"/>
  <c r="BO424" i="40"/>
  <c r="BP424" i="40"/>
  <c r="BQ424" i="40"/>
  <c r="BR424" i="40"/>
  <c r="BS424" i="40"/>
  <c r="BT424" i="40"/>
  <c r="BU424" i="40"/>
  <c r="BV424" i="40"/>
  <c r="BW424" i="40"/>
  <c r="BX424" i="40"/>
  <c r="BY424" i="40"/>
  <c r="BZ424" i="40"/>
  <c r="CA424" i="40"/>
  <c r="CB424" i="40"/>
  <c r="CC424" i="40"/>
  <c r="CD424" i="40"/>
  <c r="CE424" i="40"/>
  <c r="CF424" i="40"/>
  <c r="CG424" i="40"/>
  <c r="CH424" i="40"/>
  <c r="DM424" i="40"/>
  <c r="DS424" i="40"/>
  <c r="DT424" i="40"/>
  <c r="DU424" i="40"/>
  <c r="DV424" i="40"/>
  <c r="DW424" i="40"/>
  <c r="AW425" i="40"/>
  <c r="AX425" i="40"/>
  <c r="AZ425" i="40"/>
  <c r="BA425" i="40"/>
  <c r="BB425" i="40"/>
  <c r="BC425" i="40"/>
  <c r="BD425" i="40"/>
  <c r="BE425" i="40"/>
  <c r="BF425" i="40"/>
  <c r="BG425" i="40"/>
  <c r="BH425" i="40"/>
  <c r="BI425" i="40"/>
  <c r="BJ425" i="40"/>
  <c r="BK425" i="40"/>
  <c r="BL425" i="40"/>
  <c r="BM425" i="40"/>
  <c r="BN425" i="40"/>
  <c r="BO425" i="40"/>
  <c r="BP425" i="40"/>
  <c r="BQ425" i="40"/>
  <c r="BR425" i="40"/>
  <c r="BS425" i="40"/>
  <c r="BT425" i="40"/>
  <c r="BU425" i="40"/>
  <c r="BV425" i="40"/>
  <c r="BW425" i="40"/>
  <c r="BX425" i="40"/>
  <c r="BY425" i="40"/>
  <c r="BZ425" i="40"/>
  <c r="CA425" i="40"/>
  <c r="CB425" i="40"/>
  <c r="CC425" i="40"/>
  <c r="CD425" i="40"/>
  <c r="CE425" i="40"/>
  <c r="CF425" i="40"/>
  <c r="CG425" i="40"/>
  <c r="CH425" i="40"/>
  <c r="DM425" i="40"/>
  <c r="DS425" i="40"/>
  <c r="DT425" i="40"/>
  <c r="DU425" i="40"/>
  <c r="DV425" i="40"/>
  <c r="DW425" i="40"/>
  <c r="HJ426" i="40"/>
  <c r="AW426" i="40"/>
  <c r="AX426" i="40"/>
  <c r="AZ426" i="40"/>
  <c r="BA426" i="40"/>
  <c r="BB426" i="40"/>
  <c r="BC426" i="40"/>
  <c r="BD426" i="40"/>
  <c r="BE426" i="40"/>
  <c r="BF426" i="40"/>
  <c r="BG426" i="40"/>
  <c r="BH426" i="40"/>
  <c r="BI426" i="40"/>
  <c r="BJ426" i="40"/>
  <c r="BK426" i="40"/>
  <c r="BL426" i="40"/>
  <c r="BM426" i="40"/>
  <c r="BN426" i="40"/>
  <c r="BO426" i="40"/>
  <c r="BP426" i="40"/>
  <c r="BQ426" i="40"/>
  <c r="BR426" i="40"/>
  <c r="BS426" i="40"/>
  <c r="BT426" i="40"/>
  <c r="BU426" i="40"/>
  <c r="BV426" i="40"/>
  <c r="BW426" i="40"/>
  <c r="BX426" i="40"/>
  <c r="BY426" i="40"/>
  <c r="BZ426" i="40"/>
  <c r="CA426" i="40"/>
  <c r="CB426" i="40"/>
  <c r="CC426" i="40"/>
  <c r="CD426" i="40"/>
  <c r="CE426" i="40"/>
  <c r="CF426" i="40"/>
  <c r="CG426" i="40"/>
  <c r="CH426" i="40"/>
  <c r="DM426" i="40"/>
  <c r="DS426" i="40"/>
  <c r="DT426" i="40"/>
  <c r="DU426" i="40"/>
  <c r="DV426" i="40"/>
  <c r="DW426" i="40"/>
  <c r="HJ427" i="40"/>
  <c r="HJ428" i="40" s="1"/>
  <c r="HJ429" i="40" s="1"/>
  <c r="HJ430" i="40" s="1"/>
  <c r="HJ431" i="40" s="1"/>
  <c r="HJ432" i="40" s="1"/>
  <c r="HJ433" i="40" s="1"/>
  <c r="HJ434" i="40" s="1"/>
  <c r="HJ435" i="40" s="1"/>
  <c r="HJ436" i="40" s="1"/>
  <c r="HJ437" i="40" s="1"/>
  <c r="HJ438" i="40" s="1"/>
  <c r="HJ439" i="40" s="1"/>
  <c r="HJ440" i="40" s="1"/>
  <c r="HJ441" i="40" s="1"/>
  <c r="HJ442" i="40" s="1"/>
  <c r="HJ443" i="40" s="1"/>
  <c r="HJ444" i="40" s="1"/>
  <c r="HJ445" i="40" s="1"/>
  <c r="HJ446" i="40" s="1"/>
  <c r="HJ447" i="40" s="1"/>
  <c r="HJ448" i="40" s="1"/>
  <c r="HJ449" i="40" s="1"/>
  <c r="HJ450" i="40" s="1"/>
  <c r="HJ451" i="40" s="1"/>
  <c r="HJ452" i="40" s="1"/>
  <c r="HJ453" i="40" s="1"/>
  <c r="HJ454" i="40" s="1"/>
  <c r="HJ455" i="40" s="1"/>
  <c r="HJ456" i="40" s="1"/>
  <c r="HJ457" i="40" s="1"/>
  <c r="HJ458" i="40" s="1"/>
  <c r="HJ459" i="40" s="1"/>
  <c r="HJ460" i="40" s="1"/>
  <c r="HJ461" i="40" s="1"/>
  <c r="HJ462" i="40" s="1"/>
  <c r="HJ463" i="40" s="1"/>
  <c r="HJ464" i="40" s="1"/>
  <c r="HJ465" i="40" s="1"/>
  <c r="HJ466" i="40" s="1"/>
  <c r="HJ467" i="40" s="1"/>
  <c r="HJ468" i="40" s="1"/>
  <c r="HJ469" i="40" s="1"/>
  <c r="HJ470" i="40" s="1"/>
  <c r="HJ471" i="40" s="1"/>
  <c r="HJ472" i="40" s="1"/>
  <c r="HJ473" i="40" s="1"/>
  <c r="HJ474" i="40" s="1"/>
  <c r="HJ475" i="40" s="1"/>
  <c r="AW427" i="40"/>
  <c r="AX427" i="40"/>
  <c r="AZ427" i="40"/>
  <c r="BA427" i="40"/>
  <c r="BB427" i="40"/>
  <c r="BC427" i="40"/>
  <c r="BD427" i="40"/>
  <c r="BE427" i="40"/>
  <c r="BF427" i="40"/>
  <c r="BG427" i="40"/>
  <c r="BH427" i="40"/>
  <c r="BI427" i="40"/>
  <c r="BJ427" i="40"/>
  <c r="BK427" i="40"/>
  <c r="BL427" i="40"/>
  <c r="BM427" i="40"/>
  <c r="BN427" i="40"/>
  <c r="BO427" i="40"/>
  <c r="BP427" i="40"/>
  <c r="BQ427" i="40"/>
  <c r="BR427" i="40"/>
  <c r="BS427" i="40"/>
  <c r="BT427" i="40"/>
  <c r="BU427" i="40"/>
  <c r="BV427" i="40"/>
  <c r="BW427" i="40"/>
  <c r="BX427" i="40"/>
  <c r="BY427" i="40"/>
  <c r="BZ427" i="40"/>
  <c r="CA427" i="40"/>
  <c r="CB427" i="40"/>
  <c r="CC427" i="40"/>
  <c r="CD427" i="40"/>
  <c r="CE427" i="40"/>
  <c r="CF427" i="40"/>
  <c r="CG427" i="40"/>
  <c r="CH427" i="40"/>
  <c r="DM427" i="40"/>
  <c r="DS427" i="40"/>
  <c r="DT427" i="40"/>
  <c r="DU427" i="40"/>
  <c r="DV427" i="40"/>
  <c r="DW427" i="40"/>
  <c r="HK428" i="40"/>
  <c r="HK429" i="40" s="1"/>
  <c r="HK430" i="40" s="1"/>
  <c r="HK431" i="40" s="1"/>
  <c r="HK432" i="40" s="1"/>
  <c r="AW428" i="40"/>
  <c r="AX428" i="40"/>
  <c r="AZ428" i="40"/>
  <c r="BA428" i="40"/>
  <c r="BB428" i="40"/>
  <c r="BC428" i="40"/>
  <c r="BD428" i="40"/>
  <c r="BE428" i="40"/>
  <c r="BF428" i="40"/>
  <c r="BG428" i="40"/>
  <c r="BH428" i="40"/>
  <c r="BI428" i="40"/>
  <c r="BJ428" i="40"/>
  <c r="BK428" i="40"/>
  <c r="BL428" i="40"/>
  <c r="BM428" i="40"/>
  <c r="BN428" i="40"/>
  <c r="BO428" i="40"/>
  <c r="BP428" i="40"/>
  <c r="BQ428" i="40"/>
  <c r="BR428" i="40"/>
  <c r="BS428" i="40"/>
  <c r="BT428" i="40"/>
  <c r="BU428" i="40"/>
  <c r="BV428" i="40"/>
  <c r="BW428" i="40"/>
  <c r="BX428" i="40"/>
  <c r="BY428" i="40"/>
  <c r="BZ428" i="40"/>
  <c r="CA428" i="40"/>
  <c r="CB428" i="40"/>
  <c r="CC428" i="40"/>
  <c r="CD428" i="40"/>
  <c r="CE428" i="40"/>
  <c r="CF428" i="40"/>
  <c r="CG428" i="40"/>
  <c r="CH428" i="40"/>
  <c r="DM428" i="40"/>
  <c r="DS428" i="40"/>
  <c r="DT428" i="40"/>
  <c r="DU428" i="40"/>
  <c r="DV428" i="40"/>
  <c r="DW428" i="40"/>
  <c r="AW429" i="40"/>
  <c r="AX429" i="40"/>
  <c r="AZ429" i="40"/>
  <c r="BA429" i="40"/>
  <c r="BB429" i="40"/>
  <c r="BC429" i="40"/>
  <c r="BD429" i="40"/>
  <c r="BE429" i="40"/>
  <c r="BF429" i="40"/>
  <c r="BG429" i="40"/>
  <c r="BH429" i="40"/>
  <c r="BI429" i="40"/>
  <c r="BJ429" i="40"/>
  <c r="BK429" i="40"/>
  <c r="BL429" i="40"/>
  <c r="BM429" i="40"/>
  <c r="BN429" i="40"/>
  <c r="BO429" i="40"/>
  <c r="BP429" i="40"/>
  <c r="BQ429" i="40"/>
  <c r="BR429" i="40"/>
  <c r="BS429" i="40"/>
  <c r="BT429" i="40"/>
  <c r="BU429" i="40"/>
  <c r="BV429" i="40"/>
  <c r="BW429" i="40"/>
  <c r="BX429" i="40"/>
  <c r="BY429" i="40"/>
  <c r="BZ429" i="40"/>
  <c r="CA429" i="40"/>
  <c r="CB429" i="40"/>
  <c r="CC429" i="40"/>
  <c r="CD429" i="40"/>
  <c r="CE429" i="40"/>
  <c r="CF429" i="40"/>
  <c r="CG429" i="40"/>
  <c r="CH429" i="40"/>
  <c r="DM429" i="40"/>
  <c r="DS429" i="40"/>
  <c r="DT429" i="40"/>
  <c r="DU429" i="40"/>
  <c r="DV429" i="40"/>
  <c r="DW429" i="40"/>
  <c r="AW430" i="40"/>
  <c r="AX430" i="40"/>
  <c r="AZ430" i="40"/>
  <c r="BA430" i="40"/>
  <c r="BB430" i="40"/>
  <c r="BC430" i="40"/>
  <c r="BD430" i="40"/>
  <c r="BE430" i="40"/>
  <c r="BF430" i="40"/>
  <c r="BG430" i="40"/>
  <c r="BH430" i="40"/>
  <c r="BI430" i="40"/>
  <c r="BJ430" i="40"/>
  <c r="BK430" i="40"/>
  <c r="BL430" i="40"/>
  <c r="BM430" i="40"/>
  <c r="BN430" i="40"/>
  <c r="BO430" i="40"/>
  <c r="BP430" i="40"/>
  <c r="BQ430" i="40"/>
  <c r="BR430" i="40"/>
  <c r="BS430" i="40"/>
  <c r="BT430" i="40"/>
  <c r="BU430" i="40"/>
  <c r="BV430" i="40"/>
  <c r="BW430" i="40"/>
  <c r="BX430" i="40"/>
  <c r="BY430" i="40"/>
  <c r="BZ430" i="40"/>
  <c r="CA430" i="40"/>
  <c r="CB430" i="40"/>
  <c r="CC430" i="40"/>
  <c r="CD430" i="40"/>
  <c r="CE430" i="40"/>
  <c r="CF430" i="40"/>
  <c r="CG430" i="40"/>
  <c r="CH430" i="40"/>
  <c r="DM430" i="40"/>
  <c r="DS430" i="40"/>
  <c r="DT430" i="40"/>
  <c r="DU430" i="40"/>
  <c r="DV430" i="40"/>
  <c r="DW430" i="40"/>
  <c r="AW431" i="40"/>
  <c r="AX431" i="40"/>
  <c r="AZ431" i="40"/>
  <c r="BA431" i="40"/>
  <c r="BB431" i="40"/>
  <c r="BC431" i="40"/>
  <c r="BD431" i="40"/>
  <c r="BE431" i="40"/>
  <c r="BF431" i="40"/>
  <c r="BG431" i="40"/>
  <c r="BH431" i="40"/>
  <c r="BI431" i="40"/>
  <c r="BJ431" i="40"/>
  <c r="BK431" i="40"/>
  <c r="BL431" i="40"/>
  <c r="BM431" i="40"/>
  <c r="BN431" i="40"/>
  <c r="BO431" i="40"/>
  <c r="BP431" i="40"/>
  <c r="BQ431" i="40"/>
  <c r="BR431" i="40"/>
  <c r="BS431" i="40"/>
  <c r="BT431" i="40"/>
  <c r="BU431" i="40"/>
  <c r="BV431" i="40"/>
  <c r="BW431" i="40"/>
  <c r="BX431" i="40"/>
  <c r="BY431" i="40"/>
  <c r="BZ431" i="40"/>
  <c r="CA431" i="40"/>
  <c r="CB431" i="40"/>
  <c r="CC431" i="40"/>
  <c r="CD431" i="40"/>
  <c r="CE431" i="40"/>
  <c r="CF431" i="40"/>
  <c r="CG431" i="40"/>
  <c r="CH431" i="40"/>
  <c r="DM431" i="40"/>
  <c r="DS431" i="40"/>
  <c r="DT431" i="40"/>
  <c r="DU431" i="40"/>
  <c r="DV431" i="40"/>
  <c r="DW431" i="40"/>
  <c r="AW432" i="40"/>
  <c r="AX432" i="40"/>
  <c r="AZ432" i="40"/>
  <c r="BA432" i="40"/>
  <c r="BB432" i="40"/>
  <c r="BC432" i="40"/>
  <c r="BD432" i="40"/>
  <c r="BE432" i="40"/>
  <c r="BF432" i="40"/>
  <c r="BG432" i="40"/>
  <c r="BH432" i="40"/>
  <c r="BI432" i="40"/>
  <c r="BJ432" i="40"/>
  <c r="BK432" i="40"/>
  <c r="BL432" i="40"/>
  <c r="BM432" i="40"/>
  <c r="BN432" i="40"/>
  <c r="BO432" i="40"/>
  <c r="BP432" i="40"/>
  <c r="BQ432" i="40"/>
  <c r="BR432" i="40"/>
  <c r="BS432" i="40"/>
  <c r="BT432" i="40"/>
  <c r="BU432" i="40"/>
  <c r="BV432" i="40"/>
  <c r="BW432" i="40"/>
  <c r="BX432" i="40"/>
  <c r="BY432" i="40"/>
  <c r="BZ432" i="40"/>
  <c r="CA432" i="40"/>
  <c r="CB432" i="40"/>
  <c r="CC432" i="40"/>
  <c r="CD432" i="40"/>
  <c r="CE432" i="40"/>
  <c r="CF432" i="40"/>
  <c r="CG432" i="40"/>
  <c r="CH432" i="40"/>
  <c r="DM432" i="40"/>
  <c r="DS432" i="40"/>
  <c r="DT432" i="40"/>
  <c r="DU432" i="40"/>
  <c r="DV432" i="40"/>
  <c r="DW432" i="40"/>
  <c r="HK433" i="40"/>
  <c r="HK434" i="40" s="1"/>
  <c r="HK435" i="40" s="1"/>
  <c r="HK436" i="40" s="1"/>
  <c r="HK437" i="40" s="1"/>
  <c r="HK438" i="40" s="1"/>
  <c r="HK439" i="40" s="1"/>
  <c r="HK440" i="40" s="1"/>
  <c r="HK441" i="40" s="1"/>
  <c r="HK442" i="40" s="1"/>
  <c r="HK443" i="40" s="1"/>
  <c r="HK444" i="40" s="1"/>
  <c r="HK445" i="40" s="1"/>
  <c r="HK446" i="40" s="1"/>
  <c r="HK447" i="40" s="1"/>
  <c r="HK448" i="40" s="1"/>
  <c r="HK449" i="40" s="1"/>
  <c r="HK450" i="40" s="1"/>
  <c r="HK451" i="40" s="1"/>
  <c r="HK452" i="40" s="1"/>
  <c r="HK453" i="40" s="1"/>
  <c r="HK454" i="40" s="1"/>
  <c r="HK455" i="40" s="1"/>
  <c r="HK456" i="40" s="1"/>
  <c r="HK457" i="40" s="1"/>
  <c r="HK458" i="40" s="1"/>
  <c r="HK459" i="40" s="1"/>
  <c r="HK460" i="40" s="1"/>
  <c r="HK461" i="40" s="1"/>
  <c r="HK462" i="40" s="1"/>
  <c r="HK463" i="40" s="1"/>
  <c r="HK464" i="40" s="1"/>
  <c r="HK465" i="40" s="1"/>
  <c r="HK466" i="40" s="1"/>
  <c r="HK467" i="40" s="1"/>
  <c r="HK468" i="40" s="1"/>
  <c r="HK469" i="40" s="1"/>
  <c r="HK470" i="40" s="1"/>
  <c r="HK471" i="40" s="1"/>
  <c r="HK472" i="40" s="1"/>
  <c r="HK473" i="40" s="1"/>
  <c r="HK474" i="40" s="1"/>
  <c r="HK475" i="40" s="1"/>
  <c r="AW433" i="40"/>
  <c r="AX433" i="40"/>
  <c r="AZ433" i="40"/>
  <c r="BA433" i="40"/>
  <c r="BB433" i="40"/>
  <c r="BC433" i="40"/>
  <c r="BD433" i="40"/>
  <c r="BE433" i="40"/>
  <c r="BF433" i="40"/>
  <c r="BG433" i="40"/>
  <c r="BH433" i="40"/>
  <c r="BI433" i="40"/>
  <c r="BJ433" i="40"/>
  <c r="BK433" i="40"/>
  <c r="BL433" i="40"/>
  <c r="BM433" i="40"/>
  <c r="BN433" i="40"/>
  <c r="BO433" i="40"/>
  <c r="BP433" i="40"/>
  <c r="BQ433" i="40"/>
  <c r="BR433" i="40"/>
  <c r="BS433" i="40"/>
  <c r="BT433" i="40"/>
  <c r="BU433" i="40"/>
  <c r="BV433" i="40"/>
  <c r="BW433" i="40"/>
  <c r="BX433" i="40"/>
  <c r="BY433" i="40"/>
  <c r="BZ433" i="40"/>
  <c r="CA433" i="40"/>
  <c r="CB433" i="40"/>
  <c r="CC433" i="40"/>
  <c r="CD433" i="40"/>
  <c r="CE433" i="40"/>
  <c r="CF433" i="40"/>
  <c r="CG433" i="40"/>
  <c r="CH433" i="40"/>
  <c r="DM433" i="40"/>
  <c r="DS433" i="40"/>
  <c r="DT433" i="40"/>
  <c r="DU433" i="40"/>
  <c r="DV433" i="40"/>
  <c r="DW433" i="40"/>
  <c r="AW434" i="40"/>
  <c r="AX434" i="40"/>
  <c r="AZ434" i="40"/>
  <c r="BA434" i="40"/>
  <c r="BB434" i="40"/>
  <c r="BC434" i="40"/>
  <c r="BD434" i="40"/>
  <c r="BE434" i="40"/>
  <c r="BF434" i="40"/>
  <c r="BG434" i="40"/>
  <c r="BH434" i="40"/>
  <c r="BI434" i="40"/>
  <c r="BJ434" i="40"/>
  <c r="BK434" i="40"/>
  <c r="BL434" i="40"/>
  <c r="BM434" i="40"/>
  <c r="BN434" i="40"/>
  <c r="BO434" i="40"/>
  <c r="BP434" i="40"/>
  <c r="BQ434" i="40"/>
  <c r="BR434" i="40"/>
  <c r="BS434" i="40"/>
  <c r="BT434" i="40"/>
  <c r="BU434" i="40"/>
  <c r="BV434" i="40"/>
  <c r="BW434" i="40"/>
  <c r="BX434" i="40"/>
  <c r="BY434" i="40"/>
  <c r="BZ434" i="40"/>
  <c r="CA434" i="40"/>
  <c r="CB434" i="40"/>
  <c r="CC434" i="40"/>
  <c r="CD434" i="40"/>
  <c r="CE434" i="40"/>
  <c r="CF434" i="40"/>
  <c r="CG434" i="40"/>
  <c r="CH434" i="40"/>
  <c r="DM434" i="40"/>
  <c r="DS434" i="40"/>
  <c r="DT434" i="40"/>
  <c r="DU434" i="40"/>
  <c r="DV434" i="40"/>
  <c r="DW434" i="40"/>
  <c r="AW435" i="40"/>
  <c r="AX435" i="40"/>
  <c r="AZ435" i="40"/>
  <c r="BA435" i="40"/>
  <c r="BB435" i="40"/>
  <c r="BC435" i="40"/>
  <c r="BD435" i="40"/>
  <c r="BE435" i="40"/>
  <c r="BF435" i="40"/>
  <c r="BG435" i="40"/>
  <c r="BH435" i="40"/>
  <c r="BI435" i="40"/>
  <c r="BJ435" i="40"/>
  <c r="BK435" i="40"/>
  <c r="BL435" i="40"/>
  <c r="BM435" i="40"/>
  <c r="BN435" i="40"/>
  <c r="BO435" i="40"/>
  <c r="BP435" i="40"/>
  <c r="BQ435" i="40"/>
  <c r="BR435" i="40"/>
  <c r="BS435" i="40"/>
  <c r="BT435" i="40"/>
  <c r="BU435" i="40"/>
  <c r="BV435" i="40"/>
  <c r="BW435" i="40"/>
  <c r="BX435" i="40"/>
  <c r="BY435" i="40"/>
  <c r="BZ435" i="40"/>
  <c r="CA435" i="40"/>
  <c r="CB435" i="40"/>
  <c r="CC435" i="40"/>
  <c r="CD435" i="40"/>
  <c r="CE435" i="40"/>
  <c r="CF435" i="40"/>
  <c r="CG435" i="40"/>
  <c r="CH435" i="40"/>
  <c r="DM435" i="40"/>
  <c r="DS435" i="40"/>
  <c r="DT435" i="40"/>
  <c r="DU435" i="40"/>
  <c r="DV435" i="40"/>
  <c r="DW435" i="40"/>
  <c r="AW436" i="40"/>
  <c r="AX436" i="40"/>
  <c r="AZ436" i="40"/>
  <c r="BA436" i="40"/>
  <c r="BB436" i="40"/>
  <c r="BC436" i="40"/>
  <c r="BD436" i="40"/>
  <c r="BE436" i="40"/>
  <c r="BF436" i="40"/>
  <c r="BG436" i="40"/>
  <c r="BH436" i="40"/>
  <c r="BI436" i="40"/>
  <c r="BJ436" i="40"/>
  <c r="BK436" i="40"/>
  <c r="BL436" i="40"/>
  <c r="BM436" i="40"/>
  <c r="BN436" i="40"/>
  <c r="BO436" i="40"/>
  <c r="BP436" i="40"/>
  <c r="BQ436" i="40"/>
  <c r="BR436" i="40"/>
  <c r="BS436" i="40"/>
  <c r="BT436" i="40"/>
  <c r="BU436" i="40"/>
  <c r="BV436" i="40"/>
  <c r="BW436" i="40"/>
  <c r="BX436" i="40"/>
  <c r="BY436" i="40"/>
  <c r="BZ436" i="40"/>
  <c r="CA436" i="40"/>
  <c r="CB436" i="40"/>
  <c r="CC436" i="40"/>
  <c r="CD436" i="40"/>
  <c r="CE436" i="40"/>
  <c r="CF436" i="40"/>
  <c r="CG436" i="40"/>
  <c r="CH436" i="40"/>
  <c r="DM436" i="40"/>
  <c r="DS436" i="40"/>
  <c r="DT436" i="40"/>
  <c r="DU436" i="40"/>
  <c r="DV436" i="40"/>
  <c r="DW436" i="40"/>
  <c r="AW437" i="40"/>
  <c r="AX437" i="40"/>
  <c r="AZ437" i="40"/>
  <c r="BA437" i="40"/>
  <c r="BB437" i="40"/>
  <c r="BC437" i="40"/>
  <c r="BD437" i="40"/>
  <c r="BE437" i="40"/>
  <c r="BF437" i="40"/>
  <c r="BG437" i="40"/>
  <c r="BH437" i="40"/>
  <c r="BI437" i="40"/>
  <c r="BJ437" i="40"/>
  <c r="BK437" i="40"/>
  <c r="BL437" i="40"/>
  <c r="BM437" i="40"/>
  <c r="BN437" i="40"/>
  <c r="BO437" i="40"/>
  <c r="BP437" i="40"/>
  <c r="BQ437" i="40"/>
  <c r="BR437" i="40"/>
  <c r="BS437" i="40"/>
  <c r="BT437" i="40"/>
  <c r="BU437" i="40"/>
  <c r="BV437" i="40"/>
  <c r="BW437" i="40"/>
  <c r="BX437" i="40"/>
  <c r="BY437" i="40"/>
  <c r="BZ437" i="40"/>
  <c r="CA437" i="40"/>
  <c r="CB437" i="40"/>
  <c r="CC437" i="40"/>
  <c r="CD437" i="40"/>
  <c r="CE437" i="40"/>
  <c r="CF437" i="40"/>
  <c r="CG437" i="40"/>
  <c r="CH437" i="40"/>
  <c r="DM437" i="40"/>
  <c r="DS437" i="40"/>
  <c r="DT437" i="40"/>
  <c r="DU437" i="40"/>
  <c r="DV437" i="40"/>
  <c r="DW437" i="40"/>
  <c r="AW438" i="40"/>
  <c r="AX438" i="40"/>
  <c r="AZ438" i="40"/>
  <c r="BA438" i="40"/>
  <c r="BB438" i="40"/>
  <c r="BC438" i="40"/>
  <c r="BD438" i="40"/>
  <c r="BE438" i="40"/>
  <c r="BF438" i="40"/>
  <c r="BG438" i="40"/>
  <c r="BH438" i="40"/>
  <c r="BI438" i="40"/>
  <c r="BJ438" i="40"/>
  <c r="BK438" i="40"/>
  <c r="BL438" i="40"/>
  <c r="BM438" i="40"/>
  <c r="BN438" i="40"/>
  <c r="BO438" i="40"/>
  <c r="BP438" i="40"/>
  <c r="BQ438" i="40"/>
  <c r="BR438" i="40"/>
  <c r="BS438" i="40"/>
  <c r="BT438" i="40"/>
  <c r="BU438" i="40"/>
  <c r="BV438" i="40"/>
  <c r="BW438" i="40"/>
  <c r="BX438" i="40"/>
  <c r="BY438" i="40"/>
  <c r="BZ438" i="40"/>
  <c r="CA438" i="40"/>
  <c r="CB438" i="40"/>
  <c r="CC438" i="40"/>
  <c r="CD438" i="40"/>
  <c r="CE438" i="40"/>
  <c r="CF438" i="40"/>
  <c r="CG438" i="40"/>
  <c r="CH438" i="40"/>
  <c r="DM438" i="40"/>
  <c r="DS438" i="40"/>
  <c r="DT438" i="40"/>
  <c r="DU438" i="40"/>
  <c r="DV438" i="40"/>
  <c r="DW438" i="40"/>
  <c r="AW439" i="40"/>
  <c r="AX439" i="40"/>
  <c r="AZ439" i="40"/>
  <c r="BA439" i="40"/>
  <c r="BB439" i="40"/>
  <c r="BC439" i="40"/>
  <c r="BD439" i="40"/>
  <c r="BE439" i="40"/>
  <c r="BF439" i="40"/>
  <c r="BG439" i="40"/>
  <c r="BH439" i="40"/>
  <c r="BI439" i="40"/>
  <c r="BJ439" i="40"/>
  <c r="BK439" i="40"/>
  <c r="BL439" i="40"/>
  <c r="BM439" i="40"/>
  <c r="BN439" i="40"/>
  <c r="BO439" i="40"/>
  <c r="BP439" i="40"/>
  <c r="BQ439" i="40"/>
  <c r="BR439" i="40"/>
  <c r="BS439" i="40"/>
  <c r="BT439" i="40"/>
  <c r="BU439" i="40"/>
  <c r="BV439" i="40"/>
  <c r="BW439" i="40"/>
  <c r="BX439" i="40"/>
  <c r="BY439" i="40"/>
  <c r="BZ439" i="40"/>
  <c r="CA439" i="40"/>
  <c r="CB439" i="40"/>
  <c r="CC439" i="40"/>
  <c r="CD439" i="40"/>
  <c r="CE439" i="40"/>
  <c r="CF439" i="40"/>
  <c r="CG439" i="40"/>
  <c r="CH439" i="40"/>
  <c r="DM439" i="40"/>
  <c r="DS439" i="40"/>
  <c r="DT439" i="40"/>
  <c r="DU439" i="40"/>
  <c r="DV439" i="40"/>
  <c r="DW439" i="40"/>
  <c r="AW440" i="40"/>
  <c r="AX440" i="40"/>
  <c r="AZ440" i="40"/>
  <c r="BA440" i="40"/>
  <c r="BB440" i="40"/>
  <c r="BC440" i="40"/>
  <c r="BD440" i="40"/>
  <c r="BE440" i="40"/>
  <c r="BF440" i="40"/>
  <c r="BG440" i="40"/>
  <c r="BH440" i="40"/>
  <c r="BI440" i="40"/>
  <c r="BJ440" i="40"/>
  <c r="BK440" i="40"/>
  <c r="BL440" i="40"/>
  <c r="BM440" i="40"/>
  <c r="BN440" i="40"/>
  <c r="BO440" i="40"/>
  <c r="BP440" i="40"/>
  <c r="BQ440" i="40"/>
  <c r="BR440" i="40"/>
  <c r="BS440" i="40"/>
  <c r="BT440" i="40"/>
  <c r="BU440" i="40"/>
  <c r="BV440" i="40"/>
  <c r="BW440" i="40"/>
  <c r="BX440" i="40"/>
  <c r="BY440" i="40"/>
  <c r="BZ440" i="40"/>
  <c r="CA440" i="40"/>
  <c r="CB440" i="40"/>
  <c r="CC440" i="40"/>
  <c r="CD440" i="40"/>
  <c r="CE440" i="40"/>
  <c r="CF440" i="40"/>
  <c r="CG440" i="40"/>
  <c r="CH440" i="40"/>
  <c r="DM440" i="40"/>
  <c r="DS440" i="40"/>
  <c r="DT440" i="40"/>
  <c r="DU440" i="40"/>
  <c r="DV440" i="40"/>
  <c r="DW440" i="40"/>
  <c r="AW441" i="40"/>
  <c r="AX441" i="40"/>
  <c r="AZ441" i="40"/>
  <c r="BA441" i="40"/>
  <c r="BB441" i="40"/>
  <c r="BC441" i="40"/>
  <c r="BD441" i="40"/>
  <c r="BE441" i="40"/>
  <c r="BF441" i="40"/>
  <c r="BG441" i="40"/>
  <c r="BH441" i="40"/>
  <c r="BI441" i="40"/>
  <c r="BJ441" i="40"/>
  <c r="BK441" i="40"/>
  <c r="BL441" i="40"/>
  <c r="BM441" i="40"/>
  <c r="BN441" i="40"/>
  <c r="BO441" i="40"/>
  <c r="BP441" i="40"/>
  <c r="BQ441" i="40"/>
  <c r="BR441" i="40"/>
  <c r="BS441" i="40"/>
  <c r="BT441" i="40"/>
  <c r="BU441" i="40"/>
  <c r="BV441" i="40"/>
  <c r="BW441" i="40"/>
  <c r="BX441" i="40"/>
  <c r="BY441" i="40"/>
  <c r="BZ441" i="40"/>
  <c r="CA441" i="40"/>
  <c r="CB441" i="40"/>
  <c r="CC441" i="40"/>
  <c r="CD441" i="40"/>
  <c r="CE441" i="40"/>
  <c r="CF441" i="40"/>
  <c r="CG441" i="40"/>
  <c r="CH441" i="40"/>
  <c r="DM441" i="40"/>
  <c r="DS441" i="40"/>
  <c r="DT441" i="40"/>
  <c r="DU441" i="40"/>
  <c r="DV441" i="40"/>
  <c r="DW441" i="40"/>
  <c r="AW442" i="40"/>
  <c r="AX442" i="40"/>
  <c r="AZ442" i="40"/>
  <c r="BA442" i="40"/>
  <c r="BB442" i="40"/>
  <c r="BC442" i="40"/>
  <c r="BD442" i="40"/>
  <c r="BE442" i="40"/>
  <c r="BF442" i="40"/>
  <c r="BG442" i="40"/>
  <c r="BH442" i="40"/>
  <c r="BI442" i="40"/>
  <c r="BJ442" i="40"/>
  <c r="BK442" i="40"/>
  <c r="BL442" i="40"/>
  <c r="BM442" i="40"/>
  <c r="BN442" i="40"/>
  <c r="BO442" i="40"/>
  <c r="BP442" i="40"/>
  <c r="BQ442" i="40"/>
  <c r="BR442" i="40"/>
  <c r="BS442" i="40"/>
  <c r="BT442" i="40"/>
  <c r="BU442" i="40"/>
  <c r="BV442" i="40"/>
  <c r="BW442" i="40"/>
  <c r="BX442" i="40"/>
  <c r="BY442" i="40"/>
  <c r="BZ442" i="40"/>
  <c r="CA442" i="40"/>
  <c r="CB442" i="40"/>
  <c r="CC442" i="40"/>
  <c r="CD442" i="40"/>
  <c r="CE442" i="40"/>
  <c r="CF442" i="40"/>
  <c r="CG442" i="40"/>
  <c r="CH442" i="40"/>
  <c r="DM442" i="40"/>
  <c r="DS442" i="40"/>
  <c r="DT442" i="40"/>
  <c r="DU442" i="40"/>
  <c r="DV442" i="40"/>
  <c r="DW442" i="40"/>
  <c r="AW443" i="40"/>
  <c r="AX443" i="40"/>
  <c r="AZ443" i="40"/>
  <c r="BA443" i="40"/>
  <c r="BB443" i="40"/>
  <c r="BC443" i="40"/>
  <c r="BD443" i="40"/>
  <c r="BE443" i="40"/>
  <c r="BF443" i="40"/>
  <c r="BG443" i="40"/>
  <c r="BH443" i="40"/>
  <c r="BI443" i="40"/>
  <c r="BJ443" i="40"/>
  <c r="BK443" i="40"/>
  <c r="BL443" i="40"/>
  <c r="BM443" i="40"/>
  <c r="BN443" i="40"/>
  <c r="BO443" i="40"/>
  <c r="BP443" i="40"/>
  <c r="BQ443" i="40"/>
  <c r="BR443" i="40"/>
  <c r="BS443" i="40"/>
  <c r="BT443" i="40"/>
  <c r="BU443" i="40"/>
  <c r="BV443" i="40"/>
  <c r="BW443" i="40"/>
  <c r="BX443" i="40"/>
  <c r="BY443" i="40"/>
  <c r="BZ443" i="40"/>
  <c r="CA443" i="40"/>
  <c r="CB443" i="40"/>
  <c r="CC443" i="40"/>
  <c r="CD443" i="40"/>
  <c r="CE443" i="40"/>
  <c r="CF443" i="40"/>
  <c r="CG443" i="40"/>
  <c r="CH443" i="40"/>
  <c r="DM443" i="40"/>
  <c r="DS443" i="40"/>
  <c r="DT443" i="40"/>
  <c r="DU443" i="40"/>
  <c r="DV443" i="40"/>
  <c r="DW443" i="40"/>
  <c r="AW444" i="40"/>
  <c r="AX444" i="40"/>
  <c r="AZ444" i="40"/>
  <c r="BA444" i="40"/>
  <c r="BB444" i="40"/>
  <c r="BC444" i="40"/>
  <c r="BD444" i="40"/>
  <c r="BE444" i="40"/>
  <c r="BF444" i="40"/>
  <c r="BG444" i="40"/>
  <c r="BH444" i="40"/>
  <c r="BI444" i="40"/>
  <c r="BJ444" i="40"/>
  <c r="BK444" i="40"/>
  <c r="BL444" i="40"/>
  <c r="BM444" i="40"/>
  <c r="BN444" i="40"/>
  <c r="BO444" i="40"/>
  <c r="BP444" i="40"/>
  <c r="BQ444" i="40"/>
  <c r="BR444" i="40"/>
  <c r="BS444" i="40"/>
  <c r="BT444" i="40"/>
  <c r="BU444" i="40"/>
  <c r="BV444" i="40"/>
  <c r="BW444" i="40"/>
  <c r="BX444" i="40"/>
  <c r="BY444" i="40"/>
  <c r="BZ444" i="40"/>
  <c r="CA444" i="40"/>
  <c r="CB444" i="40"/>
  <c r="CC444" i="40"/>
  <c r="CD444" i="40"/>
  <c r="CE444" i="40"/>
  <c r="CF444" i="40"/>
  <c r="CG444" i="40"/>
  <c r="CH444" i="40"/>
  <c r="DM444" i="40"/>
  <c r="DS444" i="40"/>
  <c r="DT444" i="40"/>
  <c r="DU444" i="40"/>
  <c r="DV444" i="40"/>
  <c r="DW444" i="40"/>
  <c r="AW445" i="40"/>
  <c r="AX445" i="40"/>
  <c r="AZ445" i="40"/>
  <c r="BA445" i="40"/>
  <c r="BB445" i="40"/>
  <c r="BC445" i="40"/>
  <c r="BD445" i="40"/>
  <c r="BE445" i="40"/>
  <c r="BF445" i="40"/>
  <c r="BG445" i="40"/>
  <c r="BH445" i="40"/>
  <c r="BI445" i="40"/>
  <c r="BJ445" i="40"/>
  <c r="BK445" i="40"/>
  <c r="BL445" i="40"/>
  <c r="BM445" i="40"/>
  <c r="BN445" i="40"/>
  <c r="BO445" i="40"/>
  <c r="BP445" i="40"/>
  <c r="BQ445" i="40"/>
  <c r="BR445" i="40"/>
  <c r="BS445" i="40"/>
  <c r="BT445" i="40"/>
  <c r="BU445" i="40"/>
  <c r="BV445" i="40"/>
  <c r="BW445" i="40"/>
  <c r="BX445" i="40"/>
  <c r="BY445" i="40"/>
  <c r="BZ445" i="40"/>
  <c r="CA445" i="40"/>
  <c r="CB445" i="40"/>
  <c r="CC445" i="40"/>
  <c r="CD445" i="40"/>
  <c r="CE445" i="40"/>
  <c r="CF445" i="40"/>
  <c r="CG445" i="40"/>
  <c r="CH445" i="40"/>
  <c r="DM445" i="40"/>
  <c r="DS445" i="40"/>
  <c r="DT445" i="40"/>
  <c r="DU445" i="40"/>
  <c r="DV445" i="40"/>
  <c r="DW445" i="40"/>
  <c r="AW446" i="40"/>
  <c r="AX446" i="40"/>
  <c r="AZ446" i="40"/>
  <c r="BA446" i="40"/>
  <c r="BB446" i="40"/>
  <c r="BC446" i="40"/>
  <c r="BD446" i="40"/>
  <c r="BE446" i="40"/>
  <c r="BF446" i="40"/>
  <c r="BG446" i="40"/>
  <c r="BH446" i="40"/>
  <c r="BI446" i="40"/>
  <c r="BJ446" i="40"/>
  <c r="BK446" i="40"/>
  <c r="BL446" i="40"/>
  <c r="BM446" i="40"/>
  <c r="BN446" i="40"/>
  <c r="BO446" i="40"/>
  <c r="BP446" i="40"/>
  <c r="BQ446" i="40"/>
  <c r="BR446" i="40"/>
  <c r="BS446" i="40"/>
  <c r="BT446" i="40"/>
  <c r="BU446" i="40"/>
  <c r="BV446" i="40"/>
  <c r="BW446" i="40"/>
  <c r="BX446" i="40"/>
  <c r="BY446" i="40"/>
  <c r="BZ446" i="40"/>
  <c r="CA446" i="40"/>
  <c r="CB446" i="40"/>
  <c r="CC446" i="40"/>
  <c r="CD446" i="40"/>
  <c r="CE446" i="40"/>
  <c r="CF446" i="40"/>
  <c r="CG446" i="40"/>
  <c r="CH446" i="40"/>
  <c r="DM446" i="40"/>
  <c r="DS446" i="40"/>
  <c r="DT446" i="40"/>
  <c r="DU446" i="40"/>
  <c r="DV446" i="40"/>
  <c r="DW446" i="40"/>
  <c r="AW447" i="40"/>
  <c r="AX447" i="40"/>
  <c r="AZ447" i="40"/>
  <c r="BA447" i="40"/>
  <c r="BB447" i="40"/>
  <c r="BC447" i="40"/>
  <c r="BD447" i="40"/>
  <c r="BE447" i="40"/>
  <c r="BF447" i="40"/>
  <c r="BG447" i="40"/>
  <c r="BH447" i="40"/>
  <c r="BI447" i="40"/>
  <c r="BJ447" i="40"/>
  <c r="BK447" i="40"/>
  <c r="BL447" i="40"/>
  <c r="BM447" i="40"/>
  <c r="BN447" i="40"/>
  <c r="BO447" i="40"/>
  <c r="BP447" i="40"/>
  <c r="BQ447" i="40"/>
  <c r="BR447" i="40"/>
  <c r="BS447" i="40"/>
  <c r="BT447" i="40"/>
  <c r="BU447" i="40"/>
  <c r="BV447" i="40"/>
  <c r="BW447" i="40"/>
  <c r="BX447" i="40"/>
  <c r="BY447" i="40"/>
  <c r="BZ447" i="40"/>
  <c r="CA447" i="40"/>
  <c r="CB447" i="40"/>
  <c r="CC447" i="40"/>
  <c r="CD447" i="40"/>
  <c r="CE447" i="40"/>
  <c r="CF447" i="40"/>
  <c r="CG447" i="40"/>
  <c r="CH447" i="40"/>
  <c r="DM447" i="40"/>
  <c r="DS447" i="40"/>
  <c r="DT447" i="40"/>
  <c r="DU447" i="40"/>
  <c r="DV447" i="40"/>
  <c r="DW447" i="40"/>
  <c r="AW448" i="40"/>
  <c r="AX448" i="40"/>
  <c r="AZ448" i="40"/>
  <c r="BA448" i="40"/>
  <c r="BB448" i="40"/>
  <c r="BC448" i="40"/>
  <c r="BD448" i="40"/>
  <c r="BE448" i="40"/>
  <c r="BF448" i="40"/>
  <c r="BG448" i="40"/>
  <c r="BH448" i="40"/>
  <c r="BI448" i="40"/>
  <c r="BJ448" i="40"/>
  <c r="BK448" i="40"/>
  <c r="BL448" i="40"/>
  <c r="BM448" i="40"/>
  <c r="BN448" i="40"/>
  <c r="BO448" i="40"/>
  <c r="BP448" i="40"/>
  <c r="BQ448" i="40"/>
  <c r="BR448" i="40"/>
  <c r="BS448" i="40"/>
  <c r="BT448" i="40"/>
  <c r="BU448" i="40"/>
  <c r="BV448" i="40"/>
  <c r="BW448" i="40"/>
  <c r="BX448" i="40"/>
  <c r="BY448" i="40"/>
  <c r="BZ448" i="40"/>
  <c r="CA448" i="40"/>
  <c r="CB448" i="40"/>
  <c r="CC448" i="40"/>
  <c r="CD448" i="40"/>
  <c r="CE448" i="40"/>
  <c r="CF448" i="40"/>
  <c r="CG448" i="40"/>
  <c r="CH448" i="40"/>
  <c r="DM448" i="40"/>
  <c r="DS448" i="40"/>
  <c r="DT448" i="40"/>
  <c r="DU448" i="40"/>
  <c r="DV448" i="40"/>
  <c r="DW448" i="40"/>
  <c r="AW449" i="40"/>
  <c r="AX449" i="40"/>
  <c r="AZ449" i="40"/>
  <c r="BA449" i="40"/>
  <c r="BB449" i="40"/>
  <c r="BC449" i="40"/>
  <c r="BD449" i="40"/>
  <c r="BE449" i="40"/>
  <c r="BF449" i="40"/>
  <c r="BG449" i="40"/>
  <c r="BH449" i="40"/>
  <c r="BI449" i="40"/>
  <c r="BJ449" i="40"/>
  <c r="BK449" i="40"/>
  <c r="BL449" i="40"/>
  <c r="BM449" i="40"/>
  <c r="BN449" i="40"/>
  <c r="BO449" i="40"/>
  <c r="BP449" i="40"/>
  <c r="BQ449" i="40"/>
  <c r="BR449" i="40"/>
  <c r="BS449" i="40"/>
  <c r="BT449" i="40"/>
  <c r="BU449" i="40"/>
  <c r="BV449" i="40"/>
  <c r="BW449" i="40"/>
  <c r="BX449" i="40"/>
  <c r="BY449" i="40"/>
  <c r="BZ449" i="40"/>
  <c r="CA449" i="40"/>
  <c r="CB449" i="40"/>
  <c r="CC449" i="40"/>
  <c r="CD449" i="40"/>
  <c r="CE449" i="40"/>
  <c r="CF449" i="40"/>
  <c r="CG449" i="40"/>
  <c r="CH449" i="40"/>
  <c r="DM449" i="40"/>
  <c r="DS449" i="40"/>
  <c r="DT449" i="40"/>
  <c r="DU449" i="40"/>
  <c r="DV449" i="40"/>
  <c r="DW449" i="40"/>
  <c r="AW450" i="40"/>
  <c r="AX450" i="40"/>
  <c r="AZ450" i="40"/>
  <c r="BA450" i="40"/>
  <c r="BB450" i="40"/>
  <c r="BC450" i="40"/>
  <c r="BD450" i="40"/>
  <c r="BE450" i="40"/>
  <c r="BF450" i="40"/>
  <c r="BG450" i="40"/>
  <c r="BH450" i="40"/>
  <c r="BI450" i="40"/>
  <c r="BJ450" i="40"/>
  <c r="BK450" i="40"/>
  <c r="BL450" i="40"/>
  <c r="BM450" i="40"/>
  <c r="BN450" i="40"/>
  <c r="BO450" i="40"/>
  <c r="BP450" i="40"/>
  <c r="BQ450" i="40"/>
  <c r="BR450" i="40"/>
  <c r="BS450" i="40"/>
  <c r="BT450" i="40"/>
  <c r="BU450" i="40"/>
  <c r="BV450" i="40"/>
  <c r="BW450" i="40"/>
  <c r="BX450" i="40"/>
  <c r="BY450" i="40"/>
  <c r="BZ450" i="40"/>
  <c r="CA450" i="40"/>
  <c r="CB450" i="40"/>
  <c r="CC450" i="40"/>
  <c r="CD450" i="40"/>
  <c r="CE450" i="40"/>
  <c r="CF450" i="40"/>
  <c r="CG450" i="40"/>
  <c r="CH450" i="40"/>
  <c r="DM450" i="40"/>
  <c r="DS450" i="40"/>
  <c r="DT450" i="40"/>
  <c r="DU450" i="40"/>
  <c r="DV450" i="40"/>
  <c r="DW450" i="40"/>
  <c r="AW451" i="40"/>
  <c r="AX451" i="40"/>
  <c r="AZ451" i="40"/>
  <c r="BA451" i="40"/>
  <c r="BB451" i="40"/>
  <c r="BC451" i="40"/>
  <c r="BD451" i="40"/>
  <c r="BE451" i="40"/>
  <c r="BF451" i="40"/>
  <c r="BG451" i="40"/>
  <c r="BH451" i="40"/>
  <c r="BI451" i="40"/>
  <c r="BJ451" i="40"/>
  <c r="BK451" i="40"/>
  <c r="BL451" i="40"/>
  <c r="BM451" i="40"/>
  <c r="BN451" i="40"/>
  <c r="BO451" i="40"/>
  <c r="BP451" i="40"/>
  <c r="BQ451" i="40"/>
  <c r="BR451" i="40"/>
  <c r="BS451" i="40"/>
  <c r="BT451" i="40"/>
  <c r="BU451" i="40"/>
  <c r="BV451" i="40"/>
  <c r="BW451" i="40"/>
  <c r="BX451" i="40"/>
  <c r="BY451" i="40"/>
  <c r="BZ451" i="40"/>
  <c r="CA451" i="40"/>
  <c r="CB451" i="40"/>
  <c r="CC451" i="40"/>
  <c r="CD451" i="40"/>
  <c r="CE451" i="40"/>
  <c r="CF451" i="40"/>
  <c r="CG451" i="40"/>
  <c r="CH451" i="40"/>
  <c r="DM451" i="40"/>
  <c r="DS451" i="40"/>
  <c r="DT451" i="40"/>
  <c r="DU451" i="40"/>
  <c r="DV451" i="40"/>
  <c r="DW451" i="40"/>
  <c r="AW452" i="40"/>
  <c r="AX452" i="40"/>
  <c r="AZ452" i="40"/>
  <c r="BA452" i="40"/>
  <c r="BB452" i="40"/>
  <c r="BC452" i="40"/>
  <c r="BD452" i="40"/>
  <c r="BE452" i="40"/>
  <c r="BF452" i="40"/>
  <c r="BG452" i="40"/>
  <c r="BH452" i="40"/>
  <c r="BI452" i="40"/>
  <c r="BJ452" i="40"/>
  <c r="BK452" i="40"/>
  <c r="BL452" i="40"/>
  <c r="BM452" i="40"/>
  <c r="BN452" i="40"/>
  <c r="BO452" i="40"/>
  <c r="BP452" i="40"/>
  <c r="BQ452" i="40"/>
  <c r="BR452" i="40"/>
  <c r="BS452" i="40"/>
  <c r="BT452" i="40"/>
  <c r="BU452" i="40"/>
  <c r="BV452" i="40"/>
  <c r="BW452" i="40"/>
  <c r="BX452" i="40"/>
  <c r="BY452" i="40"/>
  <c r="BZ452" i="40"/>
  <c r="CA452" i="40"/>
  <c r="CB452" i="40"/>
  <c r="CC452" i="40"/>
  <c r="CD452" i="40"/>
  <c r="CE452" i="40"/>
  <c r="CF452" i="40"/>
  <c r="CG452" i="40"/>
  <c r="CH452" i="40"/>
  <c r="DM452" i="40"/>
  <c r="DS452" i="40"/>
  <c r="DT452" i="40"/>
  <c r="DU452" i="40"/>
  <c r="DV452" i="40"/>
  <c r="DW452" i="40"/>
  <c r="AW453" i="40"/>
  <c r="AX453" i="40"/>
  <c r="AZ453" i="40"/>
  <c r="BA453" i="40"/>
  <c r="BB453" i="40"/>
  <c r="BC453" i="40"/>
  <c r="BD453" i="40"/>
  <c r="BE453" i="40"/>
  <c r="BF453" i="40"/>
  <c r="BG453" i="40"/>
  <c r="BH453" i="40"/>
  <c r="BI453" i="40"/>
  <c r="BJ453" i="40"/>
  <c r="BK453" i="40"/>
  <c r="BL453" i="40"/>
  <c r="BM453" i="40"/>
  <c r="BN453" i="40"/>
  <c r="BO453" i="40"/>
  <c r="BP453" i="40"/>
  <c r="BQ453" i="40"/>
  <c r="BR453" i="40"/>
  <c r="BS453" i="40"/>
  <c r="BT453" i="40"/>
  <c r="BU453" i="40"/>
  <c r="BV453" i="40"/>
  <c r="BW453" i="40"/>
  <c r="BX453" i="40"/>
  <c r="BY453" i="40"/>
  <c r="BZ453" i="40"/>
  <c r="CA453" i="40"/>
  <c r="CB453" i="40"/>
  <c r="CC453" i="40"/>
  <c r="CD453" i="40"/>
  <c r="CE453" i="40"/>
  <c r="CF453" i="40"/>
  <c r="CG453" i="40"/>
  <c r="CH453" i="40"/>
  <c r="DM453" i="40"/>
  <c r="DS453" i="40"/>
  <c r="DT453" i="40"/>
  <c r="DU453" i="40"/>
  <c r="DV453" i="40"/>
  <c r="DW453" i="40"/>
  <c r="AW454" i="40"/>
  <c r="AX454" i="40"/>
  <c r="AZ454" i="40"/>
  <c r="BA454" i="40"/>
  <c r="BB454" i="40"/>
  <c r="BC454" i="40"/>
  <c r="BD454" i="40"/>
  <c r="BE454" i="40"/>
  <c r="BF454" i="40"/>
  <c r="BG454" i="40"/>
  <c r="BH454" i="40"/>
  <c r="BI454" i="40"/>
  <c r="BJ454" i="40"/>
  <c r="BK454" i="40"/>
  <c r="BL454" i="40"/>
  <c r="BM454" i="40"/>
  <c r="BN454" i="40"/>
  <c r="BO454" i="40"/>
  <c r="BP454" i="40"/>
  <c r="BQ454" i="40"/>
  <c r="BR454" i="40"/>
  <c r="BS454" i="40"/>
  <c r="BT454" i="40"/>
  <c r="BU454" i="40"/>
  <c r="BV454" i="40"/>
  <c r="BW454" i="40"/>
  <c r="BX454" i="40"/>
  <c r="BY454" i="40"/>
  <c r="BZ454" i="40"/>
  <c r="CA454" i="40"/>
  <c r="CB454" i="40"/>
  <c r="CC454" i="40"/>
  <c r="CD454" i="40"/>
  <c r="CE454" i="40"/>
  <c r="CF454" i="40"/>
  <c r="CG454" i="40"/>
  <c r="CH454" i="40"/>
  <c r="DM454" i="40"/>
  <c r="DS454" i="40"/>
  <c r="DT454" i="40"/>
  <c r="DU454" i="40"/>
  <c r="DV454" i="40"/>
  <c r="DW454" i="40"/>
  <c r="AW455" i="40"/>
  <c r="AX455" i="40"/>
  <c r="AZ455" i="40"/>
  <c r="BA455" i="40"/>
  <c r="BB455" i="40"/>
  <c r="BC455" i="40"/>
  <c r="BD455" i="40"/>
  <c r="BE455" i="40"/>
  <c r="BF455" i="40"/>
  <c r="BG455" i="40"/>
  <c r="BH455" i="40"/>
  <c r="BI455" i="40"/>
  <c r="BJ455" i="40"/>
  <c r="BK455" i="40"/>
  <c r="BL455" i="40"/>
  <c r="BM455" i="40"/>
  <c r="BN455" i="40"/>
  <c r="BO455" i="40"/>
  <c r="BP455" i="40"/>
  <c r="BQ455" i="40"/>
  <c r="BR455" i="40"/>
  <c r="BS455" i="40"/>
  <c r="BT455" i="40"/>
  <c r="BU455" i="40"/>
  <c r="BV455" i="40"/>
  <c r="BW455" i="40"/>
  <c r="BX455" i="40"/>
  <c r="BY455" i="40"/>
  <c r="BZ455" i="40"/>
  <c r="CA455" i="40"/>
  <c r="CB455" i="40"/>
  <c r="CC455" i="40"/>
  <c r="CD455" i="40"/>
  <c r="CE455" i="40"/>
  <c r="CF455" i="40"/>
  <c r="CG455" i="40"/>
  <c r="CH455" i="40"/>
  <c r="DM455" i="40"/>
  <c r="DS455" i="40"/>
  <c r="DT455" i="40"/>
  <c r="DU455" i="40"/>
  <c r="DV455" i="40"/>
  <c r="DW455" i="40"/>
  <c r="AW456" i="40"/>
  <c r="AX456" i="40"/>
  <c r="AZ456" i="40"/>
  <c r="BA456" i="40"/>
  <c r="BB456" i="40"/>
  <c r="BC456" i="40"/>
  <c r="BD456" i="40"/>
  <c r="BE456" i="40"/>
  <c r="BF456" i="40"/>
  <c r="BG456" i="40"/>
  <c r="BH456" i="40"/>
  <c r="BI456" i="40"/>
  <c r="BJ456" i="40"/>
  <c r="BK456" i="40"/>
  <c r="BL456" i="40"/>
  <c r="BM456" i="40"/>
  <c r="BN456" i="40"/>
  <c r="BO456" i="40"/>
  <c r="BP456" i="40"/>
  <c r="BQ456" i="40"/>
  <c r="BR456" i="40"/>
  <c r="BS456" i="40"/>
  <c r="BT456" i="40"/>
  <c r="BU456" i="40"/>
  <c r="BV456" i="40"/>
  <c r="BW456" i="40"/>
  <c r="BX456" i="40"/>
  <c r="BY456" i="40"/>
  <c r="BZ456" i="40"/>
  <c r="CA456" i="40"/>
  <c r="CB456" i="40"/>
  <c r="CC456" i="40"/>
  <c r="CD456" i="40"/>
  <c r="CE456" i="40"/>
  <c r="CF456" i="40"/>
  <c r="CG456" i="40"/>
  <c r="CH456" i="40"/>
  <c r="DM456" i="40"/>
  <c r="DS456" i="40"/>
  <c r="DT456" i="40"/>
  <c r="DU456" i="40"/>
  <c r="DV456" i="40"/>
  <c r="DW456" i="40"/>
  <c r="AW457" i="40"/>
  <c r="AX457" i="40"/>
  <c r="AZ457" i="40"/>
  <c r="BA457" i="40"/>
  <c r="BB457" i="40"/>
  <c r="BC457" i="40"/>
  <c r="BD457" i="40"/>
  <c r="BE457" i="40"/>
  <c r="BF457" i="40"/>
  <c r="BG457" i="40"/>
  <c r="BH457" i="40"/>
  <c r="BI457" i="40"/>
  <c r="BJ457" i="40"/>
  <c r="BK457" i="40"/>
  <c r="BL457" i="40"/>
  <c r="BM457" i="40"/>
  <c r="BN457" i="40"/>
  <c r="BO457" i="40"/>
  <c r="BP457" i="40"/>
  <c r="BQ457" i="40"/>
  <c r="BR457" i="40"/>
  <c r="BS457" i="40"/>
  <c r="BT457" i="40"/>
  <c r="BU457" i="40"/>
  <c r="BV457" i="40"/>
  <c r="BW457" i="40"/>
  <c r="BX457" i="40"/>
  <c r="BY457" i="40"/>
  <c r="BZ457" i="40"/>
  <c r="CA457" i="40"/>
  <c r="CB457" i="40"/>
  <c r="CC457" i="40"/>
  <c r="CD457" i="40"/>
  <c r="CE457" i="40"/>
  <c r="CF457" i="40"/>
  <c r="CG457" i="40"/>
  <c r="CH457" i="40"/>
  <c r="DM457" i="40"/>
  <c r="DS457" i="40"/>
  <c r="DT457" i="40"/>
  <c r="DU457" i="40"/>
  <c r="DV457" i="40"/>
  <c r="DW457" i="40"/>
  <c r="AW458" i="40"/>
  <c r="AX458" i="40"/>
  <c r="AZ458" i="40"/>
  <c r="BA458" i="40"/>
  <c r="BB458" i="40"/>
  <c r="BC458" i="40"/>
  <c r="BD458" i="40"/>
  <c r="BE458" i="40"/>
  <c r="BF458" i="40"/>
  <c r="BG458" i="40"/>
  <c r="BH458" i="40"/>
  <c r="BI458" i="40"/>
  <c r="BJ458" i="40"/>
  <c r="BK458" i="40"/>
  <c r="BL458" i="40"/>
  <c r="BM458" i="40"/>
  <c r="BN458" i="40"/>
  <c r="BO458" i="40"/>
  <c r="BP458" i="40"/>
  <c r="BQ458" i="40"/>
  <c r="BR458" i="40"/>
  <c r="BS458" i="40"/>
  <c r="BT458" i="40"/>
  <c r="BU458" i="40"/>
  <c r="BV458" i="40"/>
  <c r="BW458" i="40"/>
  <c r="BX458" i="40"/>
  <c r="BY458" i="40"/>
  <c r="BZ458" i="40"/>
  <c r="CA458" i="40"/>
  <c r="CB458" i="40"/>
  <c r="CC458" i="40"/>
  <c r="CD458" i="40"/>
  <c r="CE458" i="40"/>
  <c r="CF458" i="40"/>
  <c r="CG458" i="40"/>
  <c r="CH458" i="40"/>
  <c r="DM458" i="40"/>
  <c r="DS458" i="40"/>
  <c r="DT458" i="40"/>
  <c r="DU458" i="40"/>
  <c r="DV458" i="40"/>
  <c r="DW458" i="40"/>
  <c r="AW459" i="40"/>
  <c r="AX459" i="40"/>
  <c r="AZ459" i="40"/>
  <c r="BA459" i="40"/>
  <c r="BB459" i="40"/>
  <c r="BC459" i="40"/>
  <c r="BD459" i="40"/>
  <c r="BE459" i="40"/>
  <c r="BF459" i="40"/>
  <c r="BG459" i="40"/>
  <c r="BH459" i="40"/>
  <c r="BI459" i="40"/>
  <c r="BJ459" i="40"/>
  <c r="BK459" i="40"/>
  <c r="BL459" i="40"/>
  <c r="BM459" i="40"/>
  <c r="BN459" i="40"/>
  <c r="BO459" i="40"/>
  <c r="BP459" i="40"/>
  <c r="BQ459" i="40"/>
  <c r="BR459" i="40"/>
  <c r="BS459" i="40"/>
  <c r="BT459" i="40"/>
  <c r="BU459" i="40"/>
  <c r="BV459" i="40"/>
  <c r="BW459" i="40"/>
  <c r="BX459" i="40"/>
  <c r="BY459" i="40"/>
  <c r="BZ459" i="40"/>
  <c r="CA459" i="40"/>
  <c r="CB459" i="40"/>
  <c r="CC459" i="40"/>
  <c r="CD459" i="40"/>
  <c r="CE459" i="40"/>
  <c r="CF459" i="40"/>
  <c r="CG459" i="40"/>
  <c r="CH459" i="40"/>
  <c r="DM459" i="40"/>
  <c r="DS459" i="40"/>
  <c r="DT459" i="40"/>
  <c r="DU459" i="40"/>
  <c r="DV459" i="40"/>
  <c r="DW459" i="40"/>
  <c r="AW460" i="40"/>
  <c r="AX460" i="40"/>
  <c r="AZ460" i="40"/>
  <c r="BA460" i="40"/>
  <c r="BB460" i="40"/>
  <c r="BC460" i="40"/>
  <c r="BD460" i="40"/>
  <c r="BE460" i="40"/>
  <c r="BF460" i="40"/>
  <c r="BG460" i="40"/>
  <c r="BH460" i="40"/>
  <c r="BI460" i="40"/>
  <c r="BJ460" i="40"/>
  <c r="BK460" i="40"/>
  <c r="BL460" i="40"/>
  <c r="BM460" i="40"/>
  <c r="BN460" i="40"/>
  <c r="BO460" i="40"/>
  <c r="BP460" i="40"/>
  <c r="BQ460" i="40"/>
  <c r="BR460" i="40"/>
  <c r="BS460" i="40"/>
  <c r="BT460" i="40"/>
  <c r="BU460" i="40"/>
  <c r="BV460" i="40"/>
  <c r="BW460" i="40"/>
  <c r="BX460" i="40"/>
  <c r="BY460" i="40"/>
  <c r="BZ460" i="40"/>
  <c r="CA460" i="40"/>
  <c r="CB460" i="40"/>
  <c r="CC460" i="40"/>
  <c r="CD460" i="40"/>
  <c r="CE460" i="40"/>
  <c r="CF460" i="40"/>
  <c r="CG460" i="40"/>
  <c r="CH460" i="40"/>
  <c r="DM460" i="40"/>
  <c r="DS460" i="40"/>
  <c r="DT460" i="40"/>
  <c r="DU460" i="40"/>
  <c r="DV460" i="40"/>
  <c r="DW460" i="40"/>
  <c r="AW461" i="40"/>
  <c r="AX461" i="40"/>
  <c r="AZ461" i="40"/>
  <c r="BA461" i="40"/>
  <c r="BB461" i="40"/>
  <c r="BC461" i="40"/>
  <c r="BD461" i="40"/>
  <c r="BE461" i="40"/>
  <c r="BF461" i="40"/>
  <c r="BG461" i="40"/>
  <c r="BH461" i="40"/>
  <c r="BI461" i="40"/>
  <c r="BJ461" i="40"/>
  <c r="BK461" i="40"/>
  <c r="BL461" i="40"/>
  <c r="BM461" i="40"/>
  <c r="BN461" i="40"/>
  <c r="BO461" i="40"/>
  <c r="BP461" i="40"/>
  <c r="BQ461" i="40"/>
  <c r="BR461" i="40"/>
  <c r="BS461" i="40"/>
  <c r="BT461" i="40"/>
  <c r="BU461" i="40"/>
  <c r="BV461" i="40"/>
  <c r="BW461" i="40"/>
  <c r="BX461" i="40"/>
  <c r="BY461" i="40"/>
  <c r="BZ461" i="40"/>
  <c r="CA461" i="40"/>
  <c r="CB461" i="40"/>
  <c r="CC461" i="40"/>
  <c r="CD461" i="40"/>
  <c r="CE461" i="40"/>
  <c r="CF461" i="40"/>
  <c r="CG461" i="40"/>
  <c r="CH461" i="40"/>
  <c r="DM461" i="40"/>
  <c r="DS461" i="40"/>
  <c r="DT461" i="40"/>
  <c r="DU461" i="40"/>
  <c r="DV461" i="40"/>
  <c r="DW461" i="40"/>
  <c r="AW462" i="40"/>
  <c r="AX462" i="40"/>
  <c r="AZ462" i="40"/>
  <c r="BA462" i="40"/>
  <c r="BB462" i="40"/>
  <c r="BC462" i="40"/>
  <c r="BD462" i="40"/>
  <c r="BE462" i="40"/>
  <c r="BF462" i="40"/>
  <c r="BG462" i="40"/>
  <c r="BH462" i="40"/>
  <c r="BI462" i="40"/>
  <c r="BJ462" i="40"/>
  <c r="BK462" i="40"/>
  <c r="BL462" i="40"/>
  <c r="BM462" i="40"/>
  <c r="BN462" i="40"/>
  <c r="BO462" i="40"/>
  <c r="BP462" i="40"/>
  <c r="BQ462" i="40"/>
  <c r="BR462" i="40"/>
  <c r="BS462" i="40"/>
  <c r="BT462" i="40"/>
  <c r="BU462" i="40"/>
  <c r="BV462" i="40"/>
  <c r="BW462" i="40"/>
  <c r="BX462" i="40"/>
  <c r="BY462" i="40"/>
  <c r="BZ462" i="40"/>
  <c r="CA462" i="40"/>
  <c r="CB462" i="40"/>
  <c r="CC462" i="40"/>
  <c r="CD462" i="40"/>
  <c r="CE462" i="40"/>
  <c r="CF462" i="40"/>
  <c r="CG462" i="40"/>
  <c r="CH462" i="40"/>
  <c r="DM462" i="40"/>
  <c r="DS462" i="40"/>
  <c r="DT462" i="40"/>
  <c r="DU462" i="40"/>
  <c r="DV462" i="40"/>
  <c r="DW462" i="40"/>
  <c r="AW463" i="40"/>
  <c r="AX463" i="40"/>
  <c r="AZ463" i="40"/>
  <c r="BA463" i="40"/>
  <c r="BB463" i="40"/>
  <c r="BC463" i="40"/>
  <c r="BD463" i="40"/>
  <c r="BE463" i="40"/>
  <c r="BF463" i="40"/>
  <c r="BG463" i="40"/>
  <c r="BH463" i="40"/>
  <c r="BI463" i="40"/>
  <c r="BJ463" i="40"/>
  <c r="BK463" i="40"/>
  <c r="BL463" i="40"/>
  <c r="BM463" i="40"/>
  <c r="BN463" i="40"/>
  <c r="BO463" i="40"/>
  <c r="BP463" i="40"/>
  <c r="BQ463" i="40"/>
  <c r="BR463" i="40"/>
  <c r="BS463" i="40"/>
  <c r="BT463" i="40"/>
  <c r="BU463" i="40"/>
  <c r="BV463" i="40"/>
  <c r="BW463" i="40"/>
  <c r="BX463" i="40"/>
  <c r="BY463" i="40"/>
  <c r="BZ463" i="40"/>
  <c r="CA463" i="40"/>
  <c r="CB463" i="40"/>
  <c r="CC463" i="40"/>
  <c r="CD463" i="40"/>
  <c r="CE463" i="40"/>
  <c r="CF463" i="40"/>
  <c r="CG463" i="40"/>
  <c r="CH463" i="40"/>
  <c r="DM463" i="40"/>
  <c r="DS463" i="40"/>
  <c r="DT463" i="40"/>
  <c r="DU463" i="40"/>
  <c r="DV463" i="40"/>
  <c r="DW463" i="40"/>
  <c r="AW464" i="40"/>
  <c r="AX464" i="40"/>
  <c r="AZ464" i="40"/>
  <c r="BA464" i="40"/>
  <c r="BB464" i="40"/>
  <c r="BC464" i="40"/>
  <c r="BD464" i="40"/>
  <c r="BE464" i="40"/>
  <c r="BF464" i="40"/>
  <c r="BG464" i="40"/>
  <c r="BH464" i="40"/>
  <c r="BI464" i="40"/>
  <c r="BJ464" i="40"/>
  <c r="BK464" i="40"/>
  <c r="BL464" i="40"/>
  <c r="BM464" i="40"/>
  <c r="BN464" i="40"/>
  <c r="BO464" i="40"/>
  <c r="BP464" i="40"/>
  <c r="BQ464" i="40"/>
  <c r="BR464" i="40"/>
  <c r="BS464" i="40"/>
  <c r="BT464" i="40"/>
  <c r="BU464" i="40"/>
  <c r="BV464" i="40"/>
  <c r="BW464" i="40"/>
  <c r="BX464" i="40"/>
  <c r="BY464" i="40"/>
  <c r="BZ464" i="40"/>
  <c r="CA464" i="40"/>
  <c r="CB464" i="40"/>
  <c r="CC464" i="40"/>
  <c r="CD464" i="40"/>
  <c r="CE464" i="40"/>
  <c r="CF464" i="40"/>
  <c r="CG464" i="40"/>
  <c r="CH464" i="40"/>
  <c r="DM464" i="40"/>
  <c r="DS464" i="40"/>
  <c r="DT464" i="40"/>
  <c r="DU464" i="40"/>
  <c r="DV464" i="40"/>
  <c r="DW464" i="40"/>
  <c r="AW465" i="40"/>
  <c r="AX465" i="40"/>
  <c r="AZ465" i="40"/>
  <c r="BA465" i="40"/>
  <c r="BB465" i="40"/>
  <c r="BC465" i="40"/>
  <c r="BD465" i="40"/>
  <c r="BE465" i="40"/>
  <c r="BF465" i="40"/>
  <c r="BG465" i="40"/>
  <c r="BH465" i="40"/>
  <c r="BI465" i="40"/>
  <c r="BJ465" i="40"/>
  <c r="BK465" i="40"/>
  <c r="BL465" i="40"/>
  <c r="BM465" i="40"/>
  <c r="BN465" i="40"/>
  <c r="BO465" i="40"/>
  <c r="BP465" i="40"/>
  <c r="BQ465" i="40"/>
  <c r="BR465" i="40"/>
  <c r="BS465" i="40"/>
  <c r="BT465" i="40"/>
  <c r="BU465" i="40"/>
  <c r="BV465" i="40"/>
  <c r="BW465" i="40"/>
  <c r="BX465" i="40"/>
  <c r="BY465" i="40"/>
  <c r="BZ465" i="40"/>
  <c r="CA465" i="40"/>
  <c r="CB465" i="40"/>
  <c r="CC465" i="40"/>
  <c r="CD465" i="40"/>
  <c r="CE465" i="40"/>
  <c r="CF465" i="40"/>
  <c r="CG465" i="40"/>
  <c r="CH465" i="40"/>
  <c r="DM465" i="40"/>
  <c r="DS465" i="40"/>
  <c r="DT465" i="40"/>
  <c r="DU465" i="40"/>
  <c r="DV465" i="40"/>
  <c r="DW465" i="40"/>
  <c r="AW466" i="40"/>
  <c r="AX466" i="40"/>
  <c r="AZ466" i="40"/>
  <c r="BA466" i="40"/>
  <c r="BB466" i="40"/>
  <c r="BC466" i="40"/>
  <c r="BD466" i="40"/>
  <c r="BE466" i="40"/>
  <c r="BF466" i="40"/>
  <c r="BG466" i="40"/>
  <c r="BH466" i="40"/>
  <c r="BI466" i="40"/>
  <c r="BJ466" i="40"/>
  <c r="BK466" i="40"/>
  <c r="BL466" i="40"/>
  <c r="BM466" i="40"/>
  <c r="BN466" i="40"/>
  <c r="BO466" i="40"/>
  <c r="BP466" i="40"/>
  <c r="BQ466" i="40"/>
  <c r="BR466" i="40"/>
  <c r="BS466" i="40"/>
  <c r="BT466" i="40"/>
  <c r="BU466" i="40"/>
  <c r="BV466" i="40"/>
  <c r="BW466" i="40"/>
  <c r="BX466" i="40"/>
  <c r="BY466" i="40"/>
  <c r="BZ466" i="40"/>
  <c r="CA466" i="40"/>
  <c r="CB466" i="40"/>
  <c r="CC466" i="40"/>
  <c r="CD466" i="40"/>
  <c r="CE466" i="40"/>
  <c r="CF466" i="40"/>
  <c r="CG466" i="40"/>
  <c r="CH466" i="40"/>
  <c r="DM466" i="40"/>
  <c r="DS466" i="40"/>
  <c r="DT466" i="40"/>
  <c r="DU466" i="40"/>
  <c r="DV466" i="40"/>
  <c r="DW466" i="40"/>
  <c r="AW467" i="40"/>
  <c r="AX467" i="40"/>
  <c r="AZ467" i="40"/>
  <c r="BA467" i="40"/>
  <c r="BB467" i="40"/>
  <c r="BC467" i="40"/>
  <c r="BD467" i="40"/>
  <c r="BE467" i="40"/>
  <c r="BF467" i="40"/>
  <c r="BG467" i="40"/>
  <c r="BH467" i="40"/>
  <c r="BI467" i="40"/>
  <c r="BJ467" i="40"/>
  <c r="BK467" i="40"/>
  <c r="BL467" i="40"/>
  <c r="BM467" i="40"/>
  <c r="BN467" i="40"/>
  <c r="BO467" i="40"/>
  <c r="BP467" i="40"/>
  <c r="BQ467" i="40"/>
  <c r="BR467" i="40"/>
  <c r="BS467" i="40"/>
  <c r="BT467" i="40"/>
  <c r="BU467" i="40"/>
  <c r="BV467" i="40"/>
  <c r="BW467" i="40"/>
  <c r="BX467" i="40"/>
  <c r="BY467" i="40"/>
  <c r="BZ467" i="40"/>
  <c r="CA467" i="40"/>
  <c r="CB467" i="40"/>
  <c r="CC467" i="40"/>
  <c r="CD467" i="40"/>
  <c r="CE467" i="40"/>
  <c r="CF467" i="40"/>
  <c r="CG467" i="40"/>
  <c r="CH467" i="40"/>
  <c r="DM467" i="40"/>
  <c r="DS467" i="40"/>
  <c r="DT467" i="40"/>
  <c r="DU467" i="40"/>
  <c r="DV467" i="40"/>
  <c r="DW467" i="40"/>
  <c r="AW468" i="40"/>
  <c r="AX468" i="40"/>
  <c r="AZ468" i="40"/>
  <c r="BA468" i="40"/>
  <c r="BB468" i="40"/>
  <c r="BC468" i="40"/>
  <c r="BD468" i="40"/>
  <c r="BE468" i="40"/>
  <c r="BF468" i="40"/>
  <c r="BG468" i="40"/>
  <c r="BH468" i="40"/>
  <c r="BI468" i="40"/>
  <c r="BJ468" i="40"/>
  <c r="BK468" i="40"/>
  <c r="BL468" i="40"/>
  <c r="BM468" i="40"/>
  <c r="BN468" i="40"/>
  <c r="BO468" i="40"/>
  <c r="BP468" i="40"/>
  <c r="BQ468" i="40"/>
  <c r="BR468" i="40"/>
  <c r="BS468" i="40"/>
  <c r="BT468" i="40"/>
  <c r="BU468" i="40"/>
  <c r="BV468" i="40"/>
  <c r="BW468" i="40"/>
  <c r="BX468" i="40"/>
  <c r="BY468" i="40"/>
  <c r="BZ468" i="40"/>
  <c r="CA468" i="40"/>
  <c r="CB468" i="40"/>
  <c r="CC468" i="40"/>
  <c r="CD468" i="40"/>
  <c r="CE468" i="40"/>
  <c r="CF468" i="40"/>
  <c r="CG468" i="40"/>
  <c r="CH468" i="40"/>
  <c r="DM468" i="40"/>
  <c r="DS468" i="40"/>
  <c r="DT468" i="40"/>
  <c r="DU468" i="40"/>
  <c r="DV468" i="40"/>
  <c r="DW468" i="40"/>
  <c r="AW469" i="40"/>
  <c r="AX469" i="40"/>
  <c r="AZ469" i="40"/>
  <c r="BA469" i="40"/>
  <c r="BB469" i="40"/>
  <c r="BC469" i="40"/>
  <c r="BD469" i="40"/>
  <c r="BE469" i="40"/>
  <c r="BF469" i="40"/>
  <c r="BG469" i="40"/>
  <c r="BH469" i="40"/>
  <c r="BI469" i="40"/>
  <c r="BJ469" i="40"/>
  <c r="BK469" i="40"/>
  <c r="BL469" i="40"/>
  <c r="BM469" i="40"/>
  <c r="BN469" i="40"/>
  <c r="BO469" i="40"/>
  <c r="BP469" i="40"/>
  <c r="BQ469" i="40"/>
  <c r="BR469" i="40"/>
  <c r="BS469" i="40"/>
  <c r="BT469" i="40"/>
  <c r="BU469" i="40"/>
  <c r="BV469" i="40"/>
  <c r="BW469" i="40"/>
  <c r="BX469" i="40"/>
  <c r="BY469" i="40"/>
  <c r="BZ469" i="40"/>
  <c r="CA469" i="40"/>
  <c r="CB469" i="40"/>
  <c r="CC469" i="40"/>
  <c r="CD469" i="40"/>
  <c r="CE469" i="40"/>
  <c r="CF469" i="40"/>
  <c r="CG469" i="40"/>
  <c r="CH469" i="40"/>
  <c r="DM469" i="40"/>
  <c r="DS469" i="40"/>
  <c r="DT469" i="40"/>
  <c r="DU469" i="40"/>
  <c r="DV469" i="40"/>
  <c r="DW469" i="40"/>
  <c r="AW470" i="40"/>
  <c r="AX470" i="40"/>
  <c r="AZ470" i="40"/>
  <c r="BA470" i="40"/>
  <c r="BB470" i="40"/>
  <c r="BC470" i="40"/>
  <c r="BD470" i="40"/>
  <c r="BE470" i="40"/>
  <c r="BF470" i="40"/>
  <c r="BG470" i="40"/>
  <c r="BH470" i="40"/>
  <c r="BI470" i="40"/>
  <c r="BJ470" i="40"/>
  <c r="BK470" i="40"/>
  <c r="BL470" i="40"/>
  <c r="BM470" i="40"/>
  <c r="BN470" i="40"/>
  <c r="BO470" i="40"/>
  <c r="BP470" i="40"/>
  <c r="BQ470" i="40"/>
  <c r="BR470" i="40"/>
  <c r="BS470" i="40"/>
  <c r="BT470" i="40"/>
  <c r="BU470" i="40"/>
  <c r="BV470" i="40"/>
  <c r="BW470" i="40"/>
  <c r="BX470" i="40"/>
  <c r="BY470" i="40"/>
  <c r="BZ470" i="40"/>
  <c r="CA470" i="40"/>
  <c r="CB470" i="40"/>
  <c r="CC470" i="40"/>
  <c r="CD470" i="40"/>
  <c r="CE470" i="40"/>
  <c r="CF470" i="40"/>
  <c r="CG470" i="40"/>
  <c r="CH470" i="40"/>
  <c r="DM470" i="40"/>
  <c r="DS470" i="40"/>
  <c r="DT470" i="40"/>
  <c r="DU470" i="40"/>
  <c r="DV470" i="40"/>
  <c r="DW470" i="40"/>
  <c r="AW471" i="40"/>
  <c r="AX471" i="40"/>
  <c r="AZ471" i="40"/>
  <c r="BA471" i="40"/>
  <c r="BB471" i="40"/>
  <c r="BC471" i="40"/>
  <c r="BD471" i="40"/>
  <c r="BE471" i="40"/>
  <c r="BF471" i="40"/>
  <c r="BG471" i="40"/>
  <c r="BH471" i="40"/>
  <c r="BI471" i="40"/>
  <c r="BJ471" i="40"/>
  <c r="BK471" i="40"/>
  <c r="BL471" i="40"/>
  <c r="BM471" i="40"/>
  <c r="BN471" i="40"/>
  <c r="BO471" i="40"/>
  <c r="BP471" i="40"/>
  <c r="BQ471" i="40"/>
  <c r="BR471" i="40"/>
  <c r="BS471" i="40"/>
  <c r="BT471" i="40"/>
  <c r="BU471" i="40"/>
  <c r="BV471" i="40"/>
  <c r="BW471" i="40"/>
  <c r="BX471" i="40"/>
  <c r="BY471" i="40"/>
  <c r="BZ471" i="40"/>
  <c r="CA471" i="40"/>
  <c r="CB471" i="40"/>
  <c r="CC471" i="40"/>
  <c r="CD471" i="40"/>
  <c r="CE471" i="40"/>
  <c r="CF471" i="40"/>
  <c r="CG471" i="40"/>
  <c r="CH471" i="40"/>
  <c r="DM471" i="40"/>
  <c r="DS471" i="40"/>
  <c r="DT471" i="40"/>
  <c r="DU471" i="40"/>
  <c r="DV471" i="40"/>
  <c r="DW471" i="40"/>
  <c r="AW472" i="40"/>
  <c r="AX472" i="40"/>
  <c r="AZ472" i="40"/>
  <c r="BA472" i="40"/>
  <c r="BB472" i="40"/>
  <c r="BC472" i="40"/>
  <c r="BD472" i="40"/>
  <c r="BE472" i="40"/>
  <c r="BF472" i="40"/>
  <c r="BG472" i="40"/>
  <c r="BH472" i="40"/>
  <c r="BI472" i="40"/>
  <c r="BJ472" i="40"/>
  <c r="BK472" i="40"/>
  <c r="BL472" i="40"/>
  <c r="BM472" i="40"/>
  <c r="BN472" i="40"/>
  <c r="BO472" i="40"/>
  <c r="BP472" i="40"/>
  <c r="BQ472" i="40"/>
  <c r="BR472" i="40"/>
  <c r="BS472" i="40"/>
  <c r="BT472" i="40"/>
  <c r="BU472" i="40"/>
  <c r="BV472" i="40"/>
  <c r="BW472" i="40"/>
  <c r="BX472" i="40"/>
  <c r="BY472" i="40"/>
  <c r="BZ472" i="40"/>
  <c r="CA472" i="40"/>
  <c r="CB472" i="40"/>
  <c r="CC472" i="40"/>
  <c r="CD472" i="40"/>
  <c r="CE472" i="40"/>
  <c r="CF472" i="40"/>
  <c r="CG472" i="40"/>
  <c r="CH472" i="40"/>
  <c r="DM472" i="40"/>
  <c r="DS472" i="40"/>
  <c r="DT472" i="40"/>
  <c r="DU472" i="40"/>
  <c r="DV472" i="40"/>
  <c r="DW472" i="40"/>
  <c r="AW473" i="40"/>
  <c r="AX473" i="40"/>
  <c r="AZ473" i="40"/>
  <c r="BA473" i="40"/>
  <c r="BB473" i="40"/>
  <c r="BC473" i="40"/>
  <c r="BD473" i="40"/>
  <c r="BE473" i="40"/>
  <c r="BF473" i="40"/>
  <c r="BG473" i="40"/>
  <c r="BH473" i="40"/>
  <c r="BI473" i="40"/>
  <c r="BJ473" i="40"/>
  <c r="BK473" i="40"/>
  <c r="BL473" i="40"/>
  <c r="BM473" i="40"/>
  <c r="BN473" i="40"/>
  <c r="BO473" i="40"/>
  <c r="BP473" i="40"/>
  <c r="BQ473" i="40"/>
  <c r="BR473" i="40"/>
  <c r="BS473" i="40"/>
  <c r="BT473" i="40"/>
  <c r="BU473" i="40"/>
  <c r="BV473" i="40"/>
  <c r="BW473" i="40"/>
  <c r="BX473" i="40"/>
  <c r="BY473" i="40"/>
  <c r="BZ473" i="40"/>
  <c r="CA473" i="40"/>
  <c r="CB473" i="40"/>
  <c r="CC473" i="40"/>
  <c r="CD473" i="40"/>
  <c r="CE473" i="40"/>
  <c r="CF473" i="40"/>
  <c r="CG473" i="40"/>
  <c r="CH473" i="40"/>
  <c r="DM473" i="40"/>
  <c r="DS473" i="40"/>
  <c r="DT473" i="40"/>
  <c r="DU473" i="40"/>
  <c r="DV473" i="40"/>
  <c r="DW473" i="40"/>
  <c r="AW474" i="40"/>
  <c r="AX474" i="40"/>
  <c r="AZ474" i="40"/>
  <c r="BA474" i="40"/>
  <c r="BB474" i="40"/>
  <c r="BC474" i="40"/>
  <c r="BD474" i="40"/>
  <c r="BE474" i="40"/>
  <c r="BF474" i="40"/>
  <c r="BG474" i="40"/>
  <c r="BH474" i="40"/>
  <c r="BI474" i="40"/>
  <c r="BJ474" i="40"/>
  <c r="BK474" i="40"/>
  <c r="BL474" i="40"/>
  <c r="BM474" i="40"/>
  <c r="BN474" i="40"/>
  <c r="BO474" i="40"/>
  <c r="BP474" i="40"/>
  <c r="BQ474" i="40"/>
  <c r="BR474" i="40"/>
  <c r="BS474" i="40"/>
  <c r="BT474" i="40"/>
  <c r="BU474" i="40"/>
  <c r="BV474" i="40"/>
  <c r="BW474" i="40"/>
  <c r="BX474" i="40"/>
  <c r="BY474" i="40"/>
  <c r="BZ474" i="40"/>
  <c r="CA474" i="40"/>
  <c r="CB474" i="40"/>
  <c r="CC474" i="40"/>
  <c r="CD474" i="40"/>
  <c r="CE474" i="40"/>
  <c r="CF474" i="40"/>
  <c r="CG474" i="40"/>
  <c r="CH474" i="40"/>
  <c r="DM474" i="40"/>
  <c r="DS474" i="40"/>
  <c r="DT474" i="40"/>
  <c r="DU474" i="40"/>
  <c r="DV474" i="40"/>
  <c r="DW474" i="40"/>
  <c r="AW475" i="40"/>
  <c r="AX475" i="40"/>
  <c r="AZ475" i="40"/>
  <c r="BA475" i="40"/>
  <c r="BB475" i="40"/>
  <c r="BC475" i="40"/>
  <c r="BD475" i="40"/>
  <c r="BE475" i="40"/>
  <c r="BF475" i="40"/>
  <c r="BG475" i="40"/>
  <c r="BH475" i="40"/>
  <c r="BI475" i="40"/>
  <c r="BJ475" i="40"/>
  <c r="BK475" i="40"/>
  <c r="BL475" i="40"/>
  <c r="BM475" i="40"/>
  <c r="BN475" i="40"/>
  <c r="BO475" i="40"/>
  <c r="BP475" i="40"/>
  <c r="BQ475" i="40"/>
  <c r="BR475" i="40"/>
  <c r="BS475" i="40"/>
  <c r="BT475" i="40"/>
  <c r="BU475" i="40"/>
  <c r="BV475" i="40"/>
  <c r="BW475" i="40"/>
  <c r="BX475" i="40"/>
  <c r="BY475" i="40"/>
  <c r="BZ475" i="40"/>
  <c r="CA475" i="40"/>
  <c r="CB475" i="40"/>
  <c r="CC475" i="40"/>
  <c r="CD475" i="40"/>
  <c r="CE475" i="40"/>
  <c r="CF475" i="40"/>
  <c r="CG475" i="40"/>
  <c r="CH475" i="40"/>
  <c r="DM475" i="40"/>
  <c r="DS475" i="40"/>
  <c r="DT475" i="40"/>
  <c r="DU475" i="40"/>
  <c r="DV475" i="40"/>
  <c r="DW475" i="40"/>
  <c r="AW476" i="40"/>
  <c r="AX476" i="40"/>
  <c r="AZ476" i="40"/>
  <c r="BA476" i="40"/>
  <c r="BB476" i="40"/>
  <c r="BC476" i="40"/>
  <c r="BD476" i="40"/>
  <c r="BE476" i="40"/>
  <c r="BF476" i="40"/>
  <c r="BG476" i="40"/>
  <c r="BH476" i="40"/>
  <c r="BI476" i="40"/>
  <c r="BJ476" i="40"/>
  <c r="BK476" i="40"/>
  <c r="BL476" i="40"/>
  <c r="BM476" i="40"/>
  <c r="BN476" i="40"/>
  <c r="BO476" i="40"/>
  <c r="BP476" i="40"/>
  <c r="BQ476" i="40"/>
  <c r="BR476" i="40"/>
  <c r="BS476" i="40"/>
  <c r="BT476" i="40"/>
  <c r="BU476" i="40"/>
  <c r="BV476" i="40"/>
  <c r="BW476" i="40"/>
  <c r="BX476" i="40"/>
  <c r="BY476" i="40"/>
  <c r="BZ476" i="40"/>
  <c r="CA476" i="40"/>
  <c r="CB476" i="40"/>
  <c r="CC476" i="40"/>
  <c r="CD476" i="40"/>
  <c r="CE476" i="40"/>
  <c r="CF476" i="40"/>
  <c r="CG476" i="40"/>
  <c r="CH476" i="40"/>
  <c r="DM476" i="40"/>
  <c r="DS476" i="40"/>
  <c r="DT476" i="40"/>
  <c r="DU476" i="40"/>
  <c r="DV476" i="40"/>
  <c r="DW476" i="40"/>
  <c r="AW477" i="40"/>
  <c r="AX477" i="40"/>
  <c r="AZ477" i="40"/>
  <c r="BA477" i="40"/>
  <c r="BB477" i="40"/>
  <c r="BC477" i="40"/>
  <c r="BD477" i="40"/>
  <c r="BE477" i="40"/>
  <c r="BF477" i="40"/>
  <c r="BG477" i="40"/>
  <c r="BH477" i="40"/>
  <c r="BI477" i="40"/>
  <c r="BJ477" i="40"/>
  <c r="BK477" i="40"/>
  <c r="BL477" i="40"/>
  <c r="BM477" i="40"/>
  <c r="BN477" i="40"/>
  <c r="BO477" i="40"/>
  <c r="BP477" i="40"/>
  <c r="BQ477" i="40"/>
  <c r="BR477" i="40"/>
  <c r="BS477" i="40"/>
  <c r="BT477" i="40"/>
  <c r="BU477" i="40"/>
  <c r="BV477" i="40"/>
  <c r="BW477" i="40"/>
  <c r="BX477" i="40"/>
  <c r="BY477" i="40"/>
  <c r="BZ477" i="40"/>
  <c r="CA477" i="40"/>
  <c r="CB477" i="40"/>
  <c r="CC477" i="40"/>
  <c r="CD477" i="40"/>
  <c r="CE477" i="40"/>
  <c r="CF477" i="40"/>
  <c r="CG477" i="40"/>
  <c r="CH477" i="40"/>
  <c r="DM477" i="40"/>
  <c r="DS477" i="40"/>
  <c r="DT477" i="40"/>
  <c r="DU477" i="40"/>
  <c r="DV477" i="40"/>
  <c r="DW477" i="40"/>
  <c r="AW478" i="40"/>
  <c r="AX478" i="40"/>
  <c r="AZ478" i="40"/>
  <c r="BA478" i="40"/>
  <c r="BB478" i="40"/>
  <c r="BC478" i="40"/>
  <c r="BD478" i="40"/>
  <c r="BE478" i="40"/>
  <c r="BF478" i="40"/>
  <c r="BG478" i="40"/>
  <c r="BH478" i="40"/>
  <c r="BI478" i="40"/>
  <c r="BJ478" i="40"/>
  <c r="BK478" i="40"/>
  <c r="BL478" i="40"/>
  <c r="BM478" i="40"/>
  <c r="BN478" i="40"/>
  <c r="BO478" i="40"/>
  <c r="BP478" i="40"/>
  <c r="BQ478" i="40"/>
  <c r="BR478" i="40"/>
  <c r="BS478" i="40"/>
  <c r="BT478" i="40"/>
  <c r="BU478" i="40"/>
  <c r="BV478" i="40"/>
  <c r="BW478" i="40"/>
  <c r="BX478" i="40"/>
  <c r="BY478" i="40"/>
  <c r="BZ478" i="40"/>
  <c r="CA478" i="40"/>
  <c r="CB478" i="40"/>
  <c r="CC478" i="40"/>
  <c r="CD478" i="40"/>
  <c r="CE478" i="40"/>
  <c r="CF478" i="40"/>
  <c r="CG478" i="40"/>
  <c r="CH478" i="40"/>
  <c r="DM478" i="40"/>
  <c r="DS478" i="40"/>
  <c r="DT478" i="40"/>
  <c r="DU478" i="40"/>
  <c r="DV478" i="40"/>
  <c r="DW478" i="40"/>
  <c r="AW479" i="40"/>
  <c r="AX479" i="40"/>
  <c r="AZ479" i="40"/>
  <c r="BA479" i="40"/>
  <c r="BB479" i="40"/>
  <c r="BC479" i="40"/>
  <c r="BD479" i="40"/>
  <c r="BE479" i="40"/>
  <c r="BF479" i="40"/>
  <c r="BG479" i="40"/>
  <c r="BH479" i="40"/>
  <c r="BI479" i="40"/>
  <c r="BJ479" i="40"/>
  <c r="BK479" i="40"/>
  <c r="BL479" i="40"/>
  <c r="BM479" i="40"/>
  <c r="BN479" i="40"/>
  <c r="BO479" i="40"/>
  <c r="BP479" i="40"/>
  <c r="BQ479" i="40"/>
  <c r="BR479" i="40"/>
  <c r="BS479" i="40"/>
  <c r="BT479" i="40"/>
  <c r="BU479" i="40"/>
  <c r="BV479" i="40"/>
  <c r="BW479" i="40"/>
  <c r="BX479" i="40"/>
  <c r="BY479" i="40"/>
  <c r="BZ479" i="40"/>
  <c r="CA479" i="40"/>
  <c r="CB479" i="40"/>
  <c r="CC479" i="40"/>
  <c r="CD479" i="40"/>
  <c r="CE479" i="40"/>
  <c r="CF479" i="40"/>
  <c r="CG479" i="40"/>
  <c r="CH479" i="40"/>
  <c r="DM479" i="40"/>
  <c r="DS479" i="40"/>
  <c r="DT479" i="40"/>
  <c r="DU479" i="40"/>
  <c r="DV479" i="40"/>
  <c r="DW479" i="40"/>
  <c r="AW480" i="40"/>
  <c r="AX480" i="40"/>
  <c r="AZ480" i="40"/>
  <c r="BA480" i="40"/>
  <c r="BB480" i="40"/>
  <c r="BC480" i="40"/>
  <c r="BD480" i="40"/>
  <c r="BE480" i="40"/>
  <c r="BF480" i="40"/>
  <c r="BG480" i="40"/>
  <c r="BH480" i="40"/>
  <c r="BI480" i="40"/>
  <c r="BJ480" i="40"/>
  <c r="BK480" i="40"/>
  <c r="BL480" i="40"/>
  <c r="BM480" i="40"/>
  <c r="BN480" i="40"/>
  <c r="BO480" i="40"/>
  <c r="BP480" i="40"/>
  <c r="BQ480" i="40"/>
  <c r="BR480" i="40"/>
  <c r="BS480" i="40"/>
  <c r="BT480" i="40"/>
  <c r="BU480" i="40"/>
  <c r="BV480" i="40"/>
  <c r="BW480" i="40"/>
  <c r="BX480" i="40"/>
  <c r="BY480" i="40"/>
  <c r="BZ480" i="40"/>
  <c r="CA480" i="40"/>
  <c r="CB480" i="40"/>
  <c r="CC480" i="40"/>
  <c r="CD480" i="40"/>
  <c r="CE480" i="40"/>
  <c r="CF480" i="40"/>
  <c r="CG480" i="40"/>
  <c r="CH480" i="40"/>
  <c r="DM480" i="40"/>
  <c r="DS480" i="40"/>
  <c r="DT480" i="40"/>
  <c r="DU480" i="40"/>
  <c r="DV480" i="40"/>
  <c r="DW480" i="40"/>
  <c r="AW481" i="40"/>
  <c r="AX481" i="40"/>
  <c r="AZ481" i="40"/>
  <c r="BA481" i="40"/>
  <c r="BB481" i="40"/>
  <c r="BC481" i="40"/>
  <c r="BD481" i="40"/>
  <c r="BE481" i="40"/>
  <c r="BF481" i="40"/>
  <c r="BG481" i="40"/>
  <c r="BH481" i="40"/>
  <c r="BI481" i="40"/>
  <c r="BJ481" i="40"/>
  <c r="BK481" i="40"/>
  <c r="BL481" i="40"/>
  <c r="BM481" i="40"/>
  <c r="BN481" i="40"/>
  <c r="BO481" i="40"/>
  <c r="BP481" i="40"/>
  <c r="BQ481" i="40"/>
  <c r="BR481" i="40"/>
  <c r="BS481" i="40"/>
  <c r="BT481" i="40"/>
  <c r="BU481" i="40"/>
  <c r="BV481" i="40"/>
  <c r="BW481" i="40"/>
  <c r="BX481" i="40"/>
  <c r="BY481" i="40"/>
  <c r="BZ481" i="40"/>
  <c r="CA481" i="40"/>
  <c r="CB481" i="40"/>
  <c r="CC481" i="40"/>
  <c r="CD481" i="40"/>
  <c r="CE481" i="40"/>
  <c r="CF481" i="40"/>
  <c r="CG481" i="40"/>
  <c r="CH481" i="40"/>
  <c r="DM481" i="40"/>
  <c r="DS481" i="40"/>
  <c r="DT481" i="40"/>
  <c r="DU481" i="40"/>
  <c r="DV481" i="40"/>
  <c r="DW481" i="40"/>
  <c r="AW482" i="40"/>
  <c r="AX482" i="40"/>
  <c r="AZ482" i="40"/>
  <c r="BA482" i="40"/>
  <c r="BB482" i="40"/>
  <c r="BC482" i="40"/>
  <c r="BD482" i="40"/>
  <c r="BE482" i="40"/>
  <c r="BF482" i="40"/>
  <c r="BG482" i="40"/>
  <c r="BH482" i="40"/>
  <c r="BI482" i="40"/>
  <c r="BJ482" i="40"/>
  <c r="BK482" i="40"/>
  <c r="BL482" i="40"/>
  <c r="BM482" i="40"/>
  <c r="BN482" i="40"/>
  <c r="BO482" i="40"/>
  <c r="BP482" i="40"/>
  <c r="BQ482" i="40"/>
  <c r="BR482" i="40"/>
  <c r="BS482" i="40"/>
  <c r="BT482" i="40"/>
  <c r="BU482" i="40"/>
  <c r="BV482" i="40"/>
  <c r="BW482" i="40"/>
  <c r="BX482" i="40"/>
  <c r="BY482" i="40"/>
  <c r="BZ482" i="40"/>
  <c r="CA482" i="40"/>
  <c r="CB482" i="40"/>
  <c r="CC482" i="40"/>
  <c r="CD482" i="40"/>
  <c r="CE482" i="40"/>
  <c r="CF482" i="40"/>
  <c r="CG482" i="40"/>
  <c r="CH482" i="40"/>
  <c r="DM482" i="40"/>
  <c r="DS482" i="40"/>
  <c r="DT482" i="40"/>
  <c r="DU482" i="40"/>
  <c r="DV482" i="40"/>
  <c r="DW482" i="40"/>
  <c r="AW483" i="40"/>
  <c r="AX483" i="40"/>
  <c r="AZ483" i="40"/>
  <c r="BA483" i="40"/>
  <c r="BB483" i="40"/>
  <c r="BC483" i="40"/>
  <c r="BD483" i="40"/>
  <c r="BE483" i="40"/>
  <c r="BF483" i="40"/>
  <c r="BG483" i="40"/>
  <c r="BH483" i="40"/>
  <c r="BI483" i="40"/>
  <c r="BJ483" i="40"/>
  <c r="BK483" i="40"/>
  <c r="BL483" i="40"/>
  <c r="BM483" i="40"/>
  <c r="BN483" i="40"/>
  <c r="BO483" i="40"/>
  <c r="BP483" i="40"/>
  <c r="BQ483" i="40"/>
  <c r="BR483" i="40"/>
  <c r="BS483" i="40"/>
  <c r="BT483" i="40"/>
  <c r="BU483" i="40"/>
  <c r="BV483" i="40"/>
  <c r="BW483" i="40"/>
  <c r="BX483" i="40"/>
  <c r="BY483" i="40"/>
  <c r="BZ483" i="40"/>
  <c r="CA483" i="40"/>
  <c r="CB483" i="40"/>
  <c r="CC483" i="40"/>
  <c r="CD483" i="40"/>
  <c r="CE483" i="40"/>
  <c r="CF483" i="40"/>
  <c r="CG483" i="40"/>
  <c r="CH483" i="40"/>
  <c r="DM483" i="40"/>
  <c r="DS483" i="40"/>
  <c r="DT483" i="40"/>
  <c r="DU483" i="40"/>
  <c r="DV483" i="40"/>
  <c r="DW483" i="40"/>
  <c r="AW484" i="40"/>
  <c r="AX484" i="40"/>
  <c r="AZ484" i="40"/>
  <c r="BA484" i="40"/>
  <c r="BB484" i="40"/>
  <c r="BC484" i="40"/>
  <c r="BD484" i="40"/>
  <c r="BE484" i="40"/>
  <c r="BF484" i="40"/>
  <c r="BG484" i="40"/>
  <c r="BH484" i="40"/>
  <c r="BI484" i="40"/>
  <c r="BJ484" i="40"/>
  <c r="BK484" i="40"/>
  <c r="BL484" i="40"/>
  <c r="BM484" i="40"/>
  <c r="BN484" i="40"/>
  <c r="BO484" i="40"/>
  <c r="BP484" i="40"/>
  <c r="BQ484" i="40"/>
  <c r="BR484" i="40"/>
  <c r="BS484" i="40"/>
  <c r="BT484" i="40"/>
  <c r="BU484" i="40"/>
  <c r="BV484" i="40"/>
  <c r="BW484" i="40"/>
  <c r="BX484" i="40"/>
  <c r="BY484" i="40"/>
  <c r="BZ484" i="40"/>
  <c r="CA484" i="40"/>
  <c r="CB484" i="40"/>
  <c r="CC484" i="40"/>
  <c r="CD484" i="40"/>
  <c r="CE484" i="40"/>
  <c r="CF484" i="40"/>
  <c r="CG484" i="40"/>
  <c r="CH484" i="40"/>
  <c r="DM484" i="40"/>
  <c r="DS484" i="40"/>
  <c r="DT484" i="40"/>
  <c r="DU484" i="40"/>
  <c r="DV484" i="40"/>
  <c r="DW484" i="40"/>
  <c r="AW485" i="40"/>
  <c r="AX485" i="40"/>
  <c r="AZ485" i="40"/>
  <c r="BA485" i="40"/>
  <c r="BB485" i="40"/>
  <c r="BC485" i="40"/>
  <c r="BD485" i="40"/>
  <c r="BE485" i="40"/>
  <c r="BF485" i="40"/>
  <c r="BG485" i="40"/>
  <c r="BH485" i="40"/>
  <c r="BI485" i="40"/>
  <c r="BJ485" i="40"/>
  <c r="BK485" i="40"/>
  <c r="BL485" i="40"/>
  <c r="BM485" i="40"/>
  <c r="BN485" i="40"/>
  <c r="BO485" i="40"/>
  <c r="BP485" i="40"/>
  <c r="BQ485" i="40"/>
  <c r="BR485" i="40"/>
  <c r="BS485" i="40"/>
  <c r="BT485" i="40"/>
  <c r="BU485" i="40"/>
  <c r="BV485" i="40"/>
  <c r="BW485" i="40"/>
  <c r="BX485" i="40"/>
  <c r="BY485" i="40"/>
  <c r="BZ485" i="40"/>
  <c r="CA485" i="40"/>
  <c r="CB485" i="40"/>
  <c r="CC485" i="40"/>
  <c r="CD485" i="40"/>
  <c r="CE485" i="40"/>
  <c r="CF485" i="40"/>
  <c r="CG485" i="40"/>
  <c r="CH485" i="40"/>
  <c r="DM485" i="40"/>
  <c r="DS485" i="40"/>
  <c r="DT485" i="40"/>
  <c r="DU485" i="40"/>
  <c r="DV485" i="40"/>
  <c r="DW485" i="40"/>
  <c r="AW486" i="40"/>
  <c r="AX486" i="40"/>
  <c r="AZ486" i="40"/>
  <c r="BA486" i="40"/>
  <c r="BB486" i="40"/>
  <c r="BC486" i="40"/>
  <c r="BD486" i="40"/>
  <c r="BE486" i="40"/>
  <c r="BF486" i="40"/>
  <c r="BG486" i="40"/>
  <c r="BH486" i="40"/>
  <c r="BI486" i="40"/>
  <c r="BJ486" i="40"/>
  <c r="BK486" i="40"/>
  <c r="BL486" i="40"/>
  <c r="BM486" i="40"/>
  <c r="BN486" i="40"/>
  <c r="BO486" i="40"/>
  <c r="BP486" i="40"/>
  <c r="BQ486" i="40"/>
  <c r="BR486" i="40"/>
  <c r="BS486" i="40"/>
  <c r="BT486" i="40"/>
  <c r="BU486" i="40"/>
  <c r="BV486" i="40"/>
  <c r="BW486" i="40"/>
  <c r="BX486" i="40"/>
  <c r="BY486" i="40"/>
  <c r="BZ486" i="40"/>
  <c r="CA486" i="40"/>
  <c r="CB486" i="40"/>
  <c r="CC486" i="40"/>
  <c r="CD486" i="40"/>
  <c r="CE486" i="40"/>
  <c r="CF486" i="40"/>
  <c r="CG486" i="40"/>
  <c r="CH486" i="40"/>
  <c r="DM486" i="40"/>
  <c r="DS486" i="40"/>
  <c r="DT486" i="40"/>
  <c r="DU486" i="40"/>
  <c r="DV486" i="40"/>
  <c r="DW486" i="40"/>
  <c r="AW487" i="40"/>
  <c r="AX487" i="40"/>
  <c r="AZ487" i="40"/>
  <c r="BA487" i="40"/>
  <c r="BB487" i="40"/>
  <c r="BC487" i="40"/>
  <c r="BD487" i="40"/>
  <c r="BE487" i="40"/>
  <c r="BF487" i="40"/>
  <c r="BG487" i="40"/>
  <c r="BH487" i="40"/>
  <c r="BI487" i="40"/>
  <c r="BJ487" i="40"/>
  <c r="BK487" i="40"/>
  <c r="BL487" i="40"/>
  <c r="BM487" i="40"/>
  <c r="BN487" i="40"/>
  <c r="BO487" i="40"/>
  <c r="BP487" i="40"/>
  <c r="BQ487" i="40"/>
  <c r="BR487" i="40"/>
  <c r="BS487" i="40"/>
  <c r="BT487" i="40"/>
  <c r="BU487" i="40"/>
  <c r="BV487" i="40"/>
  <c r="BW487" i="40"/>
  <c r="BX487" i="40"/>
  <c r="BY487" i="40"/>
  <c r="BZ487" i="40"/>
  <c r="CA487" i="40"/>
  <c r="CB487" i="40"/>
  <c r="CC487" i="40"/>
  <c r="CD487" i="40"/>
  <c r="CE487" i="40"/>
  <c r="CF487" i="40"/>
  <c r="CG487" i="40"/>
  <c r="CH487" i="40"/>
  <c r="DM487" i="40"/>
  <c r="DS487" i="40"/>
  <c r="DT487" i="40"/>
  <c r="DU487" i="40"/>
  <c r="DV487" i="40"/>
  <c r="DW487" i="40"/>
  <c r="AZ489" i="40"/>
  <c r="BD489" i="40"/>
  <c r="BH489" i="40"/>
  <c r="BL489" i="40"/>
  <c r="BP489" i="40"/>
  <c r="BT489" i="40"/>
  <c r="BX489" i="40"/>
  <c r="CB489" i="40"/>
  <c r="CF489" i="40"/>
  <c r="DM489" i="40"/>
  <c r="DV489" i="40"/>
  <c r="A501" i="40"/>
  <c r="F501" i="40"/>
  <c r="G501" i="40"/>
  <c r="H501" i="40"/>
  <c r="I501" i="40"/>
  <c r="J501" i="40"/>
  <c r="K501" i="40"/>
  <c r="L501" i="40"/>
  <c r="M501" i="40"/>
  <c r="N501" i="40"/>
  <c r="O501" i="40"/>
  <c r="P501" i="40"/>
  <c r="AB501" i="40"/>
  <c r="AD501" i="40"/>
  <c r="AE501" i="40"/>
  <c r="AF501" i="40"/>
  <c r="AG501" i="40"/>
  <c r="AH501" i="40"/>
  <c r="AI501" i="40"/>
  <c r="AJ501" i="40"/>
  <c r="AW501" i="40"/>
  <c r="AX501" i="40"/>
  <c r="AY501" i="40"/>
  <c r="AZ501" i="40"/>
  <c r="BA501" i="40"/>
  <c r="BB501" i="40"/>
  <c r="BC501" i="40"/>
  <c r="BD501" i="40"/>
  <c r="BE501" i="40"/>
  <c r="BF501" i="40"/>
  <c r="BG501" i="40"/>
  <c r="BH501" i="40"/>
  <c r="BI501" i="40"/>
  <c r="BJ501" i="40"/>
  <c r="BK501" i="40"/>
  <c r="BL501" i="40"/>
  <c r="BM501" i="40"/>
  <c r="BN501" i="40"/>
  <c r="BO501" i="40"/>
  <c r="BP501" i="40"/>
  <c r="BQ501" i="40"/>
  <c r="BR501" i="40"/>
  <c r="BS501" i="40"/>
  <c r="BT501" i="40"/>
  <c r="BU501" i="40"/>
  <c r="BV501" i="40"/>
  <c r="BW501" i="40"/>
  <c r="BX501" i="40"/>
  <c r="BY501" i="40"/>
  <c r="BZ501" i="40"/>
  <c r="CA501" i="40"/>
  <c r="CB501" i="40"/>
  <c r="CC501" i="40"/>
  <c r="CD501" i="40"/>
  <c r="CE501" i="40"/>
  <c r="CF501" i="40"/>
  <c r="CG501" i="40"/>
  <c r="CH501" i="40"/>
  <c r="DM501" i="40"/>
  <c r="DS501" i="40"/>
  <c r="DT501" i="40"/>
  <c r="DU501" i="40"/>
  <c r="DV501" i="40"/>
  <c r="DW501" i="40"/>
  <c r="A502" i="40"/>
  <c r="F502" i="40"/>
  <c r="G502" i="40"/>
  <c r="H502" i="40"/>
  <c r="I502" i="40"/>
  <c r="J502" i="40"/>
  <c r="K502" i="40"/>
  <c r="L502" i="40"/>
  <c r="M502" i="40"/>
  <c r="N502" i="40"/>
  <c r="O502" i="40"/>
  <c r="P502" i="40"/>
  <c r="AA502" i="40"/>
  <c r="AC502" i="40"/>
  <c r="AE502" i="40"/>
  <c r="AG502" i="40"/>
  <c r="AH502" i="40"/>
  <c r="AI502" i="40"/>
  <c r="AJ502" i="40"/>
  <c r="HJ502" i="40"/>
  <c r="HK502" i="40"/>
  <c r="HK503" i="40" s="1"/>
  <c r="HK504" i="40" s="1"/>
  <c r="HK505" i="40" s="1"/>
  <c r="HK506" i="40" s="1"/>
  <c r="HK507" i="40" s="1"/>
  <c r="HK508" i="40" s="1"/>
  <c r="HK509" i="40" s="1"/>
  <c r="HK510" i="40" s="1"/>
  <c r="HK511" i="40" s="1"/>
  <c r="HK512" i="40" s="1"/>
  <c r="HK513" i="40" s="1"/>
  <c r="HK514" i="40" s="1"/>
  <c r="HK515" i="40" s="1"/>
  <c r="HK516" i="40" s="1"/>
  <c r="HK517" i="40" s="1"/>
  <c r="HK518" i="40" s="1"/>
  <c r="HK519" i="40" s="1"/>
  <c r="HK520" i="40" s="1"/>
  <c r="HK521" i="40" s="1"/>
  <c r="HK522" i="40" s="1"/>
  <c r="HK523" i="40" s="1"/>
  <c r="HK524" i="40" s="1"/>
  <c r="HK525" i="40" s="1"/>
  <c r="HK526" i="40" s="1"/>
  <c r="HK527" i="40" s="1"/>
  <c r="HK528" i="40" s="1"/>
  <c r="HK529" i="40" s="1"/>
  <c r="HK530" i="40" s="1"/>
  <c r="HK531" i="40" s="1"/>
  <c r="HK532" i="40" s="1"/>
  <c r="HK533" i="40" s="1"/>
  <c r="HK534" i="40" s="1"/>
  <c r="HK535" i="40" s="1"/>
  <c r="HK536" i="40" s="1"/>
  <c r="HK537" i="40" s="1"/>
  <c r="HK538" i="40" s="1"/>
  <c r="HK539" i="40" s="1"/>
  <c r="HK540" i="40" s="1"/>
  <c r="HK541" i="40" s="1"/>
  <c r="HK542" i="40" s="1"/>
  <c r="HK543" i="40" s="1"/>
  <c r="HK544" i="40" s="1"/>
  <c r="HK545" i="40" s="1"/>
  <c r="HK546" i="40" s="1"/>
  <c r="HK547" i="40" s="1"/>
  <c r="HK548" i="40" s="1"/>
  <c r="HK549" i="40" s="1"/>
  <c r="HK550" i="40" s="1"/>
  <c r="HK551" i="40" s="1"/>
  <c r="HK552" i="40" s="1"/>
  <c r="HK553" i="40" s="1"/>
  <c r="HK554" i="40" s="1"/>
  <c r="HK555" i="40" s="1"/>
  <c r="HK556" i="40" s="1"/>
  <c r="HK557" i="40" s="1"/>
  <c r="HK558" i="40" s="1"/>
  <c r="HK559" i="40" s="1"/>
  <c r="HK560" i="40" s="1"/>
  <c r="HK561" i="40" s="1"/>
  <c r="HK562" i="40" s="1"/>
  <c r="HK563" i="40" s="1"/>
  <c r="HK564" i="40" s="1"/>
  <c r="HK565" i="40" s="1"/>
  <c r="HK566" i="40" s="1"/>
  <c r="HK567" i="40" s="1"/>
  <c r="HK568" i="40" s="1"/>
  <c r="HK569" i="40" s="1"/>
  <c r="HK570" i="40" s="1"/>
  <c r="HK571" i="40" s="1"/>
  <c r="HK572" i="40" s="1"/>
  <c r="HK573" i="40" s="1"/>
  <c r="HK574" i="40" s="1"/>
  <c r="HK575" i="40" s="1"/>
  <c r="A503" i="40"/>
  <c r="KF503" i="40" s="1"/>
  <c r="A504" i="40"/>
  <c r="KF504" i="40" s="1"/>
  <c r="A505" i="40"/>
  <c r="KF505" i="40" s="1"/>
  <c r="BX503" i="40"/>
  <c r="BX506" i="40"/>
  <c r="BX504" i="40"/>
  <c r="BX505" i="40"/>
  <c r="AT502" i="40"/>
  <c r="AW502" i="40"/>
  <c r="AX502" i="40"/>
  <c r="AY502" i="40"/>
  <c r="AZ502" i="40"/>
  <c r="BA502" i="40"/>
  <c r="BB502" i="40"/>
  <c r="BC502" i="40"/>
  <c r="BD502" i="40"/>
  <c r="J504" i="40" s="1"/>
  <c r="BE502" i="40"/>
  <c r="K504" i="40" s="1"/>
  <c r="BF502" i="40"/>
  <c r="L504" i="40" s="1"/>
  <c r="BG502" i="40"/>
  <c r="M504" i="40" s="1"/>
  <c r="BH502" i="40"/>
  <c r="N504" i="40" s="1"/>
  <c r="BI502" i="40"/>
  <c r="BJ502" i="40"/>
  <c r="BK502" i="40"/>
  <c r="BL502" i="40"/>
  <c r="BM502" i="40"/>
  <c r="BN502" i="40"/>
  <c r="BO502" i="40"/>
  <c r="BP502" i="40"/>
  <c r="BQ502" i="40"/>
  <c r="BR502" i="40"/>
  <c r="BS502" i="40"/>
  <c r="BT502" i="40"/>
  <c r="BU502" i="40"/>
  <c r="BV502" i="40"/>
  <c r="BW502" i="40"/>
  <c r="BX502" i="40"/>
  <c r="BY502" i="40"/>
  <c r="BZ502" i="40"/>
  <c r="CA502" i="40"/>
  <c r="CB502" i="40"/>
  <c r="CC502" i="40"/>
  <c r="CD502" i="40"/>
  <c r="CE502" i="40"/>
  <c r="CF502" i="40"/>
  <c r="CG502" i="40"/>
  <c r="CH502" i="40"/>
  <c r="DM502" i="40"/>
  <c r="DS502" i="40"/>
  <c r="DT502" i="40"/>
  <c r="DU502" i="40"/>
  <c r="DV502" i="40"/>
  <c r="DW502" i="40"/>
  <c r="F503" i="40"/>
  <c r="G503" i="40"/>
  <c r="H503" i="40"/>
  <c r="I503" i="40"/>
  <c r="J503" i="40"/>
  <c r="K503" i="40"/>
  <c r="L503" i="40"/>
  <c r="M503" i="40"/>
  <c r="N503" i="40"/>
  <c r="O503" i="40"/>
  <c r="P503" i="40"/>
  <c r="AB503" i="40"/>
  <c r="AD503" i="40"/>
  <c r="AE503" i="40"/>
  <c r="AF503" i="40"/>
  <c r="AG503" i="40"/>
  <c r="AH503" i="40"/>
  <c r="AI503" i="40"/>
  <c r="AJ503" i="40"/>
  <c r="HJ503" i="40"/>
  <c r="HJ504" i="40" s="1"/>
  <c r="HJ505" i="40" s="1"/>
  <c r="HJ506" i="40" s="1"/>
  <c r="HJ507" i="40" s="1"/>
  <c r="HJ508" i="40" s="1"/>
  <c r="HJ509" i="40" s="1"/>
  <c r="HJ510" i="40" s="1"/>
  <c r="AT503" i="40"/>
  <c r="AW503" i="40"/>
  <c r="AX503" i="40"/>
  <c r="AY503" i="40"/>
  <c r="AZ503" i="40"/>
  <c r="BA503" i="40"/>
  <c r="BB503" i="40"/>
  <c r="BC503" i="40"/>
  <c r="BD503" i="40"/>
  <c r="BE503" i="40"/>
  <c r="BF503" i="40"/>
  <c r="BG503" i="40"/>
  <c r="BH503" i="40"/>
  <c r="BI503" i="40"/>
  <c r="BJ503" i="40"/>
  <c r="BK503" i="40"/>
  <c r="BL503" i="40"/>
  <c r="BM503" i="40"/>
  <c r="BN503" i="40"/>
  <c r="BO503" i="40"/>
  <c r="BP503" i="40"/>
  <c r="BQ503" i="40"/>
  <c r="BR503" i="40"/>
  <c r="BS503" i="40"/>
  <c r="BT503" i="40"/>
  <c r="BU503" i="40"/>
  <c r="BV503" i="40"/>
  <c r="BW503" i="40"/>
  <c r="BY503" i="40"/>
  <c r="BZ503" i="40"/>
  <c r="CA503" i="40"/>
  <c r="CB503" i="40"/>
  <c r="CC503" i="40"/>
  <c r="CD503" i="40"/>
  <c r="CE503" i="40"/>
  <c r="CF503" i="40"/>
  <c r="CG503" i="40"/>
  <c r="CH503" i="40"/>
  <c r="DM503" i="40"/>
  <c r="DS503" i="40"/>
  <c r="DT503" i="40"/>
  <c r="DU503" i="40"/>
  <c r="DV503" i="40"/>
  <c r="DW503" i="40"/>
  <c r="F504" i="40"/>
  <c r="G504" i="40"/>
  <c r="H504" i="40"/>
  <c r="I504" i="40"/>
  <c r="O504" i="40"/>
  <c r="P504" i="40"/>
  <c r="AB504" i="40"/>
  <c r="AD504" i="40"/>
  <c r="AE504" i="40"/>
  <c r="AF504" i="40"/>
  <c r="AG504" i="40"/>
  <c r="AH504" i="40"/>
  <c r="AI504" i="40"/>
  <c r="AJ504" i="40"/>
  <c r="AT504" i="40"/>
  <c r="AW504" i="40"/>
  <c r="AX504" i="40"/>
  <c r="AY504" i="40"/>
  <c r="AZ504" i="40"/>
  <c r="BA504" i="40"/>
  <c r="BB504" i="40"/>
  <c r="BC504" i="40"/>
  <c r="BD504" i="40"/>
  <c r="BE504" i="40"/>
  <c r="BF504" i="40"/>
  <c r="BG504" i="40"/>
  <c r="BH504" i="40"/>
  <c r="BI504" i="40"/>
  <c r="BJ504" i="40"/>
  <c r="BK504" i="40"/>
  <c r="BL504" i="40"/>
  <c r="BM504" i="40"/>
  <c r="BN504" i="40"/>
  <c r="BO504" i="40"/>
  <c r="BP504" i="40"/>
  <c r="BQ504" i="40"/>
  <c r="BR504" i="40"/>
  <c r="BS504" i="40"/>
  <c r="BT504" i="40"/>
  <c r="BU504" i="40"/>
  <c r="BV504" i="40"/>
  <c r="BW504" i="40"/>
  <c r="BY504" i="40"/>
  <c r="BZ504" i="40"/>
  <c r="CA504" i="40"/>
  <c r="CB504" i="40"/>
  <c r="CC504" i="40"/>
  <c r="CD504" i="40"/>
  <c r="CE504" i="40"/>
  <c r="CF504" i="40"/>
  <c r="CG504" i="40"/>
  <c r="CH504" i="40"/>
  <c r="DM504" i="40"/>
  <c r="DS504" i="40"/>
  <c r="DT504" i="40"/>
  <c r="DU504" i="40"/>
  <c r="DV504" i="40"/>
  <c r="DW504" i="40"/>
  <c r="F505" i="40"/>
  <c r="G505" i="40"/>
  <c r="H505" i="40"/>
  <c r="I505" i="40"/>
  <c r="J505" i="40"/>
  <c r="K505" i="40"/>
  <c r="L505" i="40"/>
  <c r="M505" i="40"/>
  <c r="N505" i="40"/>
  <c r="O505" i="40"/>
  <c r="P505" i="40"/>
  <c r="AB505" i="40"/>
  <c r="AD505" i="40"/>
  <c r="AE505" i="40"/>
  <c r="AF505" i="40"/>
  <c r="AG505" i="40"/>
  <c r="AH505" i="40"/>
  <c r="AI505" i="40"/>
  <c r="AJ505" i="40"/>
  <c r="AT505" i="40"/>
  <c r="AT506" i="40" s="1"/>
  <c r="AT507" i="40" s="1"/>
  <c r="AT508" i="40" s="1"/>
  <c r="AT509" i="40" s="1"/>
  <c r="AT510" i="40" s="1"/>
  <c r="AT511" i="40" s="1"/>
  <c r="AW505" i="40"/>
  <c r="AX505" i="40"/>
  <c r="AY505" i="40"/>
  <c r="AZ505" i="40"/>
  <c r="BA505" i="40"/>
  <c r="BB505" i="40"/>
  <c r="BC505" i="40"/>
  <c r="BD505" i="40"/>
  <c r="BE505" i="40"/>
  <c r="BF505" i="40"/>
  <c r="BG505" i="40"/>
  <c r="BH505" i="40"/>
  <c r="BI505" i="40"/>
  <c r="BJ505" i="40"/>
  <c r="BK505" i="40"/>
  <c r="BL505" i="40"/>
  <c r="BM505" i="40"/>
  <c r="BN505" i="40"/>
  <c r="BO505" i="40"/>
  <c r="BP505" i="40"/>
  <c r="BQ505" i="40"/>
  <c r="BR505" i="40"/>
  <c r="BS505" i="40"/>
  <c r="BT505" i="40"/>
  <c r="BU505" i="40"/>
  <c r="BV505" i="40"/>
  <c r="BW505" i="40"/>
  <c r="BY505" i="40"/>
  <c r="BZ505" i="40"/>
  <c r="CA505" i="40"/>
  <c r="CB505" i="40"/>
  <c r="CC505" i="40"/>
  <c r="CD505" i="40"/>
  <c r="CE505" i="40"/>
  <c r="CF505" i="40"/>
  <c r="CG505" i="40"/>
  <c r="CH505" i="40"/>
  <c r="DM505" i="40"/>
  <c r="DS505" i="40"/>
  <c r="DT505" i="40"/>
  <c r="DU505" i="40"/>
  <c r="DV505" i="40"/>
  <c r="DW505" i="40"/>
  <c r="A506" i="40"/>
  <c r="F506" i="40"/>
  <c r="G506" i="40"/>
  <c r="H506" i="40"/>
  <c r="I506" i="40"/>
  <c r="J506" i="40"/>
  <c r="K506" i="40"/>
  <c r="L506" i="40"/>
  <c r="M506" i="40"/>
  <c r="N506" i="40"/>
  <c r="O506" i="40"/>
  <c r="P506" i="40"/>
  <c r="AB506" i="40"/>
  <c r="AD506" i="40"/>
  <c r="AE506" i="40"/>
  <c r="AF506" i="40"/>
  <c r="AG506" i="40"/>
  <c r="AH506" i="40"/>
  <c r="AI506" i="40"/>
  <c r="AJ506" i="40"/>
  <c r="AW506" i="40"/>
  <c r="AX506" i="40"/>
  <c r="AY506" i="40"/>
  <c r="AZ506" i="40"/>
  <c r="BA506" i="40"/>
  <c r="BB506" i="40"/>
  <c r="BC506" i="40"/>
  <c r="BD506" i="40"/>
  <c r="BE506" i="40"/>
  <c r="BF506" i="40"/>
  <c r="BG506" i="40"/>
  <c r="BH506" i="40"/>
  <c r="BI506" i="40"/>
  <c r="BJ506" i="40"/>
  <c r="BK506" i="40"/>
  <c r="BL506" i="40"/>
  <c r="BM506" i="40"/>
  <c r="BN506" i="40"/>
  <c r="BO506" i="40"/>
  <c r="BP506" i="40"/>
  <c r="BQ506" i="40"/>
  <c r="BR506" i="40"/>
  <c r="BS506" i="40"/>
  <c r="BT506" i="40"/>
  <c r="BU506" i="40"/>
  <c r="BV506" i="40"/>
  <c r="BW506" i="40"/>
  <c r="BY506" i="40"/>
  <c r="BZ506" i="40"/>
  <c r="CA506" i="40"/>
  <c r="CB506" i="40"/>
  <c r="CC506" i="40"/>
  <c r="CD506" i="40"/>
  <c r="CE506" i="40"/>
  <c r="CF506" i="40"/>
  <c r="CG506" i="40"/>
  <c r="CH506" i="40"/>
  <c r="DM506" i="40"/>
  <c r="DS506" i="40"/>
  <c r="DT506" i="40"/>
  <c r="DU506" i="40"/>
  <c r="DV506" i="40"/>
  <c r="DW506" i="40"/>
  <c r="A507" i="40"/>
  <c r="F507" i="40"/>
  <c r="G507" i="40"/>
  <c r="H507" i="40"/>
  <c r="I507" i="40"/>
  <c r="J507" i="40"/>
  <c r="K507" i="40"/>
  <c r="L507" i="40"/>
  <c r="M507" i="40"/>
  <c r="N507" i="40"/>
  <c r="O507" i="40"/>
  <c r="P507" i="40"/>
  <c r="AB507" i="40"/>
  <c r="AD507" i="40"/>
  <c r="AE507" i="40"/>
  <c r="AF507" i="40"/>
  <c r="AG507" i="40"/>
  <c r="AH507" i="40"/>
  <c r="AI507" i="40"/>
  <c r="AJ507" i="40"/>
  <c r="AW507" i="40"/>
  <c r="AX507" i="40"/>
  <c r="AY507" i="40"/>
  <c r="AZ507" i="40"/>
  <c r="BA507" i="40"/>
  <c r="BB507" i="40"/>
  <c r="BC507" i="40"/>
  <c r="BD507" i="40"/>
  <c r="BE507" i="40"/>
  <c r="BF507" i="40"/>
  <c r="BG507" i="40"/>
  <c r="BH507" i="40"/>
  <c r="BI507" i="40"/>
  <c r="BJ507" i="40"/>
  <c r="BK507" i="40"/>
  <c r="BL507" i="40"/>
  <c r="BM507" i="40"/>
  <c r="BN507" i="40"/>
  <c r="BO507" i="40"/>
  <c r="BP507" i="40"/>
  <c r="BQ507" i="40"/>
  <c r="BR507" i="40"/>
  <c r="BS507" i="40"/>
  <c r="BT507" i="40"/>
  <c r="BU507" i="40"/>
  <c r="BV507" i="40"/>
  <c r="BW507" i="40"/>
  <c r="BX507" i="40"/>
  <c r="BY507" i="40"/>
  <c r="BZ507" i="40"/>
  <c r="CA507" i="40"/>
  <c r="CB507" i="40"/>
  <c r="CC507" i="40"/>
  <c r="CD507" i="40"/>
  <c r="CE507" i="40"/>
  <c r="CF507" i="40"/>
  <c r="CG507" i="40"/>
  <c r="CH507" i="40"/>
  <c r="DM507" i="40"/>
  <c r="DS507" i="40"/>
  <c r="DT507" i="40"/>
  <c r="DU507" i="40"/>
  <c r="DV507" i="40"/>
  <c r="DW507" i="40"/>
  <c r="A508" i="40"/>
  <c r="F508" i="40"/>
  <c r="G508" i="40"/>
  <c r="H508" i="40"/>
  <c r="I508" i="40"/>
  <c r="J508" i="40"/>
  <c r="K508" i="40"/>
  <c r="L508" i="40"/>
  <c r="M508" i="40"/>
  <c r="N508" i="40"/>
  <c r="O508" i="40"/>
  <c r="P508" i="40"/>
  <c r="AA508" i="40"/>
  <c r="AC508" i="40"/>
  <c r="AE508" i="40"/>
  <c r="AG508" i="40"/>
  <c r="AH508" i="40"/>
  <c r="AI508" i="40"/>
  <c r="AJ508" i="40"/>
  <c r="AW508" i="40"/>
  <c r="AX508" i="40"/>
  <c r="AY508" i="40"/>
  <c r="AZ508" i="40"/>
  <c r="BA508" i="40"/>
  <c r="BB508" i="40"/>
  <c r="BC508" i="40"/>
  <c r="BD508" i="40"/>
  <c r="BE508" i="40"/>
  <c r="BF508" i="40"/>
  <c r="BG508" i="40"/>
  <c r="BH508" i="40"/>
  <c r="BI508" i="40"/>
  <c r="BJ508" i="40"/>
  <c r="BK508" i="40"/>
  <c r="BL508" i="40"/>
  <c r="BM508" i="40"/>
  <c r="BN508" i="40"/>
  <c r="BO508" i="40"/>
  <c r="BP508" i="40"/>
  <c r="BQ508" i="40"/>
  <c r="BR508" i="40"/>
  <c r="BS508" i="40"/>
  <c r="BT508" i="40"/>
  <c r="BU508" i="40"/>
  <c r="BV508" i="40"/>
  <c r="BW508" i="40"/>
  <c r="BX508" i="40"/>
  <c r="BY508" i="40"/>
  <c r="BZ508" i="40"/>
  <c r="CA508" i="40"/>
  <c r="CB508" i="40"/>
  <c r="CC508" i="40"/>
  <c r="CD508" i="40"/>
  <c r="CE508" i="40"/>
  <c r="CF508" i="40"/>
  <c r="CG508" i="40"/>
  <c r="CH508" i="40"/>
  <c r="DM508" i="40"/>
  <c r="DS508" i="40"/>
  <c r="DT508" i="40"/>
  <c r="DU508" i="40"/>
  <c r="DV508" i="40"/>
  <c r="DW508" i="40"/>
  <c r="A509" i="40"/>
  <c r="BX509" i="40"/>
  <c r="F509" i="40"/>
  <c r="K509" i="40"/>
  <c r="L509" i="40"/>
  <c r="M509" i="40"/>
  <c r="N509" i="40"/>
  <c r="P509" i="40"/>
  <c r="AA509" i="40"/>
  <c r="AC509" i="40"/>
  <c r="AE509" i="40"/>
  <c r="AG509" i="40"/>
  <c r="AI509" i="40"/>
  <c r="G509" i="40"/>
  <c r="H509" i="40"/>
  <c r="I509" i="40"/>
  <c r="J509" i="40"/>
  <c r="O509" i="40"/>
  <c r="AH509" i="40"/>
  <c r="AJ509" i="40"/>
  <c r="AW509" i="40"/>
  <c r="AX509" i="40"/>
  <c r="AZ509" i="40"/>
  <c r="BA509" i="40"/>
  <c r="BB509" i="40"/>
  <c r="BC509" i="40"/>
  <c r="BD509" i="40"/>
  <c r="BE509" i="40"/>
  <c r="BF509" i="40"/>
  <c r="BG509" i="40"/>
  <c r="BH509" i="40"/>
  <c r="BI509" i="40"/>
  <c r="BJ509" i="40"/>
  <c r="BK509" i="40"/>
  <c r="BL509" i="40"/>
  <c r="BM509" i="40"/>
  <c r="BN509" i="40"/>
  <c r="BO509" i="40"/>
  <c r="BP509" i="40"/>
  <c r="BQ509" i="40"/>
  <c r="BR509" i="40"/>
  <c r="BS509" i="40"/>
  <c r="BT509" i="40"/>
  <c r="BU509" i="40"/>
  <c r="BV509" i="40"/>
  <c r="BW509" i="40"/>
  <c r="BY509" i="40"/>
  <c r="BZ509" i="40"/>
  <c r="CA509" i="40"/>
  <c r="CB509" i="40"/>
  <c r="CC509" i="40"/>
  <c r="CD509" i="40"/>
  <c r="CE509" i="40"/>
  <c r="CF509" i="40"/>
  <c r="CG509" i="40"/>
  <c r="CH509" i="40"/>
  <c r="DM509" i="40"/>
  <c r="DS509" i="40"/>
  <c r="DT509" i="40"/>
  <c r="DU509" i="40"/>
  <c r="DV509" i="40"/>
  <c r="DW509" i="40"/>
  <c r="A510" i="40"/>
  <c r="BX510" i="40"/>
  <c r="F510" i="40"/>
  <c r="K510" i="40"/>
  <c r="L510" i="40"/>
  <c r="M510" i="40"/>
  <c r="N510" i="40"/>
  <c r="P510" i="40"/>
  <c r="AA510" i="40"/>
  <c r="AC510" i="40"/>
  <c r="AE510" i="40"/>
  <c r="AG510" i="40"/>
  <c r="AI510" i="40"/>
  <c r="G510" i="40"/>
  <c r="H510" i="40"/>
  <c r="I510" i="40"/>
  <c r="J510" i="40"/>
  <c r="O510" i="40"/>
  <c r="AH510" i="40"/>
  <c r="AJ510" i="40"/>
  <c r="AW510" i="40"/>
  <c r="AX510" i="40"/>
  <c r="AZ510" i="40"/>
  <c r="BA510" i="40"/>
  <c r="BB510" i="40"/>
  <c r="BC510" i="40"/>
  <c r="BD510" i="40"/>
  <c r="BE510" i="40"/>
  <c r="BF510" i="40"/>
  <c r="BG510" i="40"/>
  <c r="BH510" i="40"/>
  <c r="BI510" i="40"/>
  <c r="BJ510" i="40"/>
  <c r="BK510" i="40"/>
  <c r="BL510" i="40"/>
  <c r="BM510" i="40"/>
  <c r="BN510" i="40"/>
  <c r="BO510" i="40"/>
  <c r="BP510" i="40"/>
  <c r="BQ510" i="40"/>
  <c r="BR510" i="40"/>
  <c r="BS510" i="40"/>
  <c r="BT510" i="40"/>
  <c r="BU510" i="40"/>
  <c r="BV510" i="40"/>
  <c r="BW510" i="40"/>
  <c r="BY510" i="40"/>
  <c r="BZ510" i="40"/>
  <c r="CA510" i="40"/>
  <c r="CB510" i="40"/>
  <c r="CC510" i="40"/>
  <c r="CD510" i="40"/>
  <c r="CE510" i="40"/>
  <c r="CF510" i="40"/>
  <c r="CG510" i="40"/>
  <c r="CH510" i="40"/>
  <c r="DM510" i="40"/>
  <c r="DS510" i="40"/>
  <c r="DT510" i="40"/>
  <c r="DU510" i="40"/>
  <c r="DV510" i="40"/>
  <c r="DW510" i="40"/>
  <c r="A511" i="40"/>
  <c r="BX511" i="40"/>
  <c r="F511" i="40"/>
  <c r="K511" i="40"/>
  <c r="L511" i="40"/>
  <c r="M511" i="40"/>
  <c r="N511" i="40"/>
  <c r="P511" i="40"/>
  <c r="AA511" i="40"/>
  <c r="AC511" i="40"/>
  <c r="AE511" i="40"/>
  <c r="AG511" i="40"/>
  <c r="AI511" i="40"/>
  <c r="G511" i="40"/>
  <c r="H511" i="40"/>
  <c r="I511" i="40"/>
  <c r="J511" i="40"/>
  <c r="O511" i="40"/>
  <c r="AH511" i="40"/>
  <c r="AJ511" i="40"/>
  <c r="HJ511" i="40"/>
  <c r="HJ512" i="40" s="1"/>
  <c r="HJ513" i="40" s="1"/>
  <c r="HJ514" i="40" s="1"/>
  <c r="AW511" i="40"/>
  <c r="AX511" i="40"/>
  <c r="AZ511" i="40"/>
  <c r="BA511" i="40"/>
  <c r="BB511" i="40"/>
  <c r="BC511" i="40"/>
  <c r="BD511" i="40"/>
  <c r="BE511" i="40"/>
  <c r="BF511" i="40"/>
  <c r="BG511" i="40"/>
  <c r="BH511" i="40"/>
  <c r="BI511" i="40"/>
  <c r="BJ511" i="40"/>
  <c r="BK511" i="40"/>
  <c r="BL511" i="40"/>
  <c r="BM511" i="40"/>
  <c r="BN511" i="40"/>
  <c r="BO511" i="40"/>
  <c r="BP511" i="40"/>
  <c r="BQ511" i="40"/>
  <c r="BR511" i="40"/>
  <c r="BS511" i="40"/>
  <c r="BT511" i="40"/>
  <c r="BU511" i="40"/>
  <c r="BV511" i="40"/>
  <c r="BW511" i="40"/>
  <c r="BY511" i="40"/>
  <c r="BZ511" i="40"/>
  <c r="CA511" i="40"/>
  <c r="CB511" i="40"/>
  <c r="CC511" i="40"/>
  <c r="CD511" i="40"/>
  <c r="CE511" i="40"/>
  <c r="CF511" i="40"/>
  <c r="CG511" i="40"/>
  <c r="CH511" i="40"/>
  <c r="DM511" i="40"/>
  <c r="DS511" i="40"/>
  <c r="DT511" i="40"/>
  <c r="DU511" i="40"/>
  <c r="DV511" i="40"/>
  <c r="DW511" i="40"/>
  <c r="BX512" i="40"/>
  <c r="F512" i="40"/>
  <c r="K512" i="40"/>
  <c r="L512" i="40"/>
  <c r="M512" i="40"/>
  <c r="N512" i="40"/>
  <c r="P512" i="40"/>
  <c r="AA512" i="40"/>
  <c r="AC512" i="40"/>
  <c r="AE512" i="40"/>
  <c r="AG512" i="40"/>
  <c r="AI512" i="40"/>
  <c r="G512" i="40"/>
  <c r="H512" i="40"/>
  <c r="I512" i="40"/>
  <c r="J512" i="40"/>
  <c r="O512" i="40"/>
  <c r="AH512" i="40"/>
  <c r="AJ512" i="40"/>
  <c r="AT512" i="40"/>
  <c r="AT513" i="40" s="1"/>
  <c r="AT514" i="40" s="1"/>
  <c r="AT515" i="40" s="1"/>
  <c r="AW512" i="40"/>
  <c r="AX512" i="40"/>
  <c r="AZ512" i="40"/>
  <c r="BA512" i="40"/>
  <c r="BB512" i="40"/>
  <c r="BC512" i="40"/>
  <c r="BD512" i="40"/>
  <c r="BE512" i="40"/>
  <c r="BF512" i="40"/>
  <c r="BG512" i="40"/>
  <c r="BH512" i="40"/>
  <c r="BI512" i="40"/>
  <c r="BJ512" i="40"/>
  <c r="BK512" i="40"/>
  <c r="BL512" i="40"/>
  <c r="BM512" i="40"/>
  <c r="BN512" i="40"/>
  <c r="BO512" i="40"/>
  <c r="BP512" i="40"/>
  <c r="BQ512" i="40"/>
  <c r="BR512" i="40"/>
  <c r="BS512" i="40"/>
  <c r="BT512" i="40"/>
  <c r="BU512" i="40"/>
  <c r="BV512" i="40"/>
  <c r="BW512" i="40"/>
  <c r="BY512" i="40"/>
  <c r="BZ512" i="40"/>
  <c r="CA512" i="40"/>
  <c r="CB512" i="40"/>
  <c r="CC512" i="40"/>
  <c r="CD512" i="40"/>
  <c r="CE512" i="40"/>
  <c r="CF512" i="40"/>
  <c r="CG512" i="40"/>
  <c r="CH512" i="40"/>
  <c r="DM512" i="40"/>
  <c r="DS512" i="40"/>
  <c r="DT512" i="40"/>
  <c r="DU512" i="40"/>
  <c r="DV512" i="40"/>
  <c r="DW512" i="40"/>
  <c r="A513" i="40"/>
  <c r="F513" i="40"/>
  <c r="K513" i="40"/>
  <c r="L513" i="40"/>
  <c r="M513" i="40"/>
  <c r="N513" i="40"/>
  <c r="P513" i="40"/>
  <c r="AA513" i="40"/>
  <c r="AC513" i="40"/>
  <c r="AE513" i="40"/>
  <c r="AG513" i="40"/>
  <c r="AI513" i="40"/>
  <c r="G513" i="40"/>
  <c r="H513" i="40"/>
  <c r="I513" i="40"/>
  <c r="J513" i="40"/>
  <c r="O513" i="40"/>
  <c r="AH513" i="40"/>
  <c r="AJ513" i="40"/>
  <c r="AW513" i="40"/>
  <c r="AX513" i="40"/>
  <c r="AZ513" i="40"/>
  <c r="BA513" i="40"/>
  <c r="BB513" i="40"/>
  <c r="BC513" i="40"/>
  <c r="BD513" i="40"/>
  <c r="BE513" i="40"/>
  <c r="BF513" i="40"/>
  <c r="BG513" i="40"/>
  <c r="BH513" i="40"/>
  <c r="BI513" i="40"/>
  <c r="BJ513" i="40"/>
  <c r="BK513" i="40"/>
  <c r="BL513" i="40"/>
  <c r="BM513" i="40"/>
  <c r="BN513" i="40"/>
  <c r="BO513" i="40"/>
  <c r="BP513" i="40"/>
  <c r="BQ513" i="40"/>
  <c r="BR513" i="40"/>
  <c r="BS513" i="40"/>
  <c r="BT513" i="40"/>
  <c r="BU513" i="40"/>
  <c r="BV513" i="40"/>
  <c r="BW513" i="40"/>
  <c r="BX513" i="40"/>
  <c r="BY513" i="40"/>
  <c r="BZ513" i="40"/>
  <c r="CA513" i="40"/>
  <c r="CB513" i="40"/>
  <c r="CC513" i="40"/>
  <c r="CD513" i="40"/>
  <c r="CE513" i="40"/>
  <c r="CF513" i="40"/>
  <c r="CG513" i="40"/>
  <c r="CH513" i="40"/>
  <c r="DM513" i="40"/>
  <c r="DS513" i="40"/>
  <c r="DT513" i="40"/>
  <c r="DU513" i="40"/>
  <c r="DV513" i="40"/>
  <c r="DW513" i="40"/>
  <c r="A514" i="40"/>
  <c r="F514" i="40"/>
  <c r="K514" i="40"/>
  <c r="L514" i="40"/>
  <c r="M514" i="40"/>
  <c r="N514" i="40"/>
  <c r="P514" i="40"/>
  <c r="AA514" i="40"/>
  <c r="AC514" i="40"/>
  <c r="AE514" i="40"/>
  <c r="AG514" i="40"/>
  <c r="AI514" i="40"/>
  <c r="G514" i="40"/>
  <c r="H514" i="40"/>
  <c r="I514" i="40"/>
  <c r="J514" i="40"/>
  <c r="O514" i="40"/>
  <c r="AH514" i="40"/>
  <c r="AJ514" i="40"/>
  <c r="AW514" i="40"/>
  <c r="AX514" i="40"/>
  <c r="AZ514" i="40"/>
  <c r="BA514" i="40"/>
  <c r="BB514" i="40"/>
  <c r="BC514" i="40"/>
  <c r="BD514" i="40"/>
  <c r="BE514" i="40"/>
  <c r="BF514" i="40"/>
  <c r="BG514" i="40"/>
  <c r="BH514" i="40"/>
  <c r="BI514" i="40"/>
  <c r="BJ514" i="40"/>
  <c r="BK514" i="40"/>
  <c r="BL514" i="40"/>
  <c r="BM514" i="40"/>
  <c r="BN514" i="40"/>
  <c r="BO514" i="40"/>
  <c r="BP514" i="40"/>
  <c r="BQ514" i="40"/>
  <c r="BR514" i="40"/>
  <c r="BS514" i="40"/>
  <c r="BT514" i="40"/>
  <c r="BU514" i="40"/>
  <c r="BV514" i="40"/>
  <c r="BW514" i="40"/>
  <c r="BX514" i="40"/>
  <c r="BY514" i="40"/>
  <c r="BZ514" i="40"/>
  <c r="CA514" i="40"/>
  <c r="CB514" i="40"/>
  <c r="CC514" i="40"/>
  <c r="CD514" i="40"/>
  <c r="CE514" i="40"/>
  <c r="CF514" i="40"/>
  <c r="CG514" i="40"/>
  <c r="CH514" i="40"/>
  <c r="DM514" i="40"/>
  <c r="DS514" i="40"/>
  <c r="DT514" i="40"/>
  <c r="DU514" i="40"/>
  <c r="DV514" i="40"/>
  <c r="DW514" i="40"/>
  <c r="A515" i="40"/>
  <c r="F515" i="40"/>
  <c r="K515" i="40"/>
  <c r="L515" i="40"/>
  <c r="M515" i="40"/>
  <c r="N515" i="40"/>
  <c r="P515" i="40"/>
  <c r="AA515" i="40"/>
  <c r="AC515" i="40"/>
  <c r="AE515" i="40"/>
  <c r="AG515" i="40"/>
  <c r="AI515" i="40"/>
  <c r="G515" i="40"/>
  <c r="H515" i="40"/>
  <c r="I515" i="40"/>
  <c r="J515" i="40"/>
  <c r="O515" i="40"/>
  <c r="AH515" i="40"/>
  <c r="AJ515" i="40"/>
  <c r="HJ515" i="40"/>
  <c r="HJ516" i="40" s="1"/>
  <c r="HJ517" i="40" s="1"/>
  <c r="HJ518" i="40" s="1"/>
  <c r="AW515" i="40"/>
  <c r="AX515" i="40"/>
  <c r="AZ515" i="40"/>
  <c r="BA515" i="40"/>
  <c r="BB515" i="40"/>
  <c r="BC515" i="40"/>
  <c r="BD515" i="40"/>
  <c r="BE515" i="40"/>
  <c r="BF515" i="40"/>
  <c r="BG515" i="40"/>
  <c r="BH515" i="40"/>
  <c r="BI515" i="40"/>
  <c r="BJ515" i="40"/>
  <c r="BK515" i="40"/>
  <c r="BL515" i="40"/>
  <c r="BM515" i="40"/>
  <c r="BN515" i="40"/>
  <c r="BO515" i="40"/>
  <c r="BP515" i="40"/>
  <c r="BQ515" i="40"/>
  <c r="BR515" i="40"/>
  <c r="BS515" i="40"/>
  <c r="BT515" i="40"/>
  <c r="BU515" i="40"/>
  <c r="BV515" i="40"/>
  <c r="BW515" i="40"/>
  <c r="BX515" i="40"/>
  <c r="BY515" i="40"/>
  <c r="BZ515" i="40"/>
  <c r="CA515" i="40"/>
  <c r="CB515" i="40"/>
  <c r="CC515" i="40"/>
  <c r="CD515" i="40"/>
  <c r="CE515" i="40"/>
  <c r="CF515" i="40"/>
  <c r="CG515" i="40"/>
  <c r="CH515" i="40"/>
  <c r="DM515" i="40"/>
  <c r="DS515" i="40"/>
  <c r="DT515" i="40"/>
  <c r="DU515" i="40"/>
  <c r="DV515" i="40"/>
  <c r="DW515" i="40"/>
  <c r="A516" i="40"/>
  <c r="F516" i="40"/>
  <c r="K516" i="40"/>
  <c r="L516" i="40"/>
  <c r="M516" i="40"/>
  <c r="N516" i="40"/>
  <c r="P516" i="40"/>
  <c r="AA516" i="40"/>
  <c r="AC516" i="40"/>
  <c r="AE516" i="40"/>
  <c r="AG516" i="40"/>
  <c r="AI516" i="40"/>
  <c r="G516" i="40"/>
  <c r="H516" i="40"/>
  <c r="I516" i="40"/>
  <c r="J516" i="40"/>
  <c r="O516" i="40"/>
  <c r="AH516" i="40"/>
  <c r="AJ516" i="40"/>
  <c r="AT516" i="40"/>
  <c r="AT517" i="40" s="1"/>
  <c r="AT518" i="40" s="1"/>
  <c r="AT519" i="40" s="1"/>
  <c r="AT520" i="40" s="1"/>
  <c r="AT521" i="40" s="1"/>
  <c r="AT522" i="40" s="1"/>
  <c r="AT523" i="40" s="1"/>
  <c r="AT524" i="40" s="1"/>
  <c r="AT525" i="40" s="1"/>
  <c r="AT526" i="40" s="1"/>
  <c r="AT527" i="40" s="1"/>
  <c r="AT528" i="40" s="1"/>
  <c r="AT529" i="40" s="1"/>
  <c r="AT530" i="40" s="1"/>
  <c r="AT531" i="40" s="1"/>
  <c r="AT532" i="40" s="1"/>
  <c r="AT533" i="40" s="1"/>
  <c r="AT534" i="40" s="1"/>
  <c r="AT535" i="40" s="1"/>
  <c r="AT536" i="40" s="1"/>
  <c r="AT537" i="40" s="1"/>
  <c r="AT538" i="40" s="1"/>
  <c r="AT539" i="40" s="1"/>
  <c r="AT540" i="40" s="1"/>
  <c r="AT541" i="40" s="1"/>
  <c r="AT542" i="40" s="1"/>
  <c r="AT543" i="40" s="1"/>
  <c r="AT544" i="40" s="1"/>
  <c r="AT545" i="40" s="1"/>
  <c r="AT546" i="40" s="1"/>
  <c r="AT547" i="40" s="1"/>
  <c r="AT548" i="40" s="1"/>
  <c r="AT549" i="40" s="1"/>
  <c r="AT550" i="40" s="1"/>
  <c r="AT551" i="40" s="1"/>
  <c r="AT552" i="40" s="1"/>
  <c r="AT553" i="40" s="1"/>
  <c r="AT554" i="40" s="1"/>
  <c r="AT555" i="40" s="1"/>
  <c r="AT556" i="40" s="1"/>
  <c r="AT557" i="40" s="1"/>
  <c r="AT558" i="40" s="1"/>
  <c r="AT559" i="40" s="1"/>
  <c r="AT560" i="40" s="1"/>
  <c r="AT561" i="40" s="1"/>
  <c r="AT562" i="40" s="1"/>
  <c r="AT563" i="40" s="1"/>
  <c r="AT564" i="40" s="1"/>
  <c r="AT565" i="40" s="1"/>
  <c r="AT566" i="40" s="1"/>
  <c r="AT567" i="40" s="1"/>
  <c r="AT568" i="40" s="1"/>
  <c r="AT569" i="40" s="1"/>
  <c r="AT570" i="40" s="1"/>
  <c r="AT571" i="40" s="1"/>
  <c r="AT572" i="40" s="1"/>
  <c r="AT573" i="40" s="1"/>
  <c r="AT574" i="40" s="1"/>
  <c r="AT575" i="40" s="1"/>
  <c r="AT576" i="40" s="1"/>
  <c r="AT577" i="40" s="1"/>
  <c r="AT578" i="40" s="1"/>
  <c r="AT579" i="40" s="1"/>
  <c r="AT580" i="40" s="1"/>
  <c r="AT581" i="40" s="1"/>
  <c r="AT582" i="40" s="1"/>
  <c r="AT583" i="40" s="1"/>
  <c r="AT584" i="40" s="1"/>
  <c r="AT585" i="40" s="1"/>
  <c r="AT586" i="40" s="1"/>
  <c r="AT587" i="40" s="1"/>
  <c r="AT588" i="40" s="1"/>
  <c r="AT589" i="40" s="1"/>
  <c r="AT590" i="40" s="1"/>
  <c r="AT591" i="40" s="1"/>
  <c r="AT592" i="40" s="1"/>
  <c r="AT593" i="40" s="1"/>
  <c r="AT594" i="40" s="1"/>
  <c r="AT595" i="40" s="1"/>
  <c r="AT596" i="40" s="1"/>
  <c r="AT597" i="40" s="1"/>
  <c r="AT598" i="40" s="1"/>
  <c r="AT599" i="40" s="1"/>
  <c r="AW516" i="40"/>
  <c r="AX516" i="40"/>
  <c r="AZ516" i="40"/>
  <c r="BA516" i="40"/>
  <c r="BB516" i="40"/>
  <c r="BC516" i="40"/>
  <c r="BD516" i="40"/>
  <c r="BE516" i="40"/>
  <c r="BF516" i="40"/>
  <c r="BG516" i="40"/>
  <c r="BH516" i="40"/>
  <c r="BI516" i="40"/>
  <c r="BJ516" i="40"/>
  <c r="BK516" i="40"/>
  <c r="BL516" i="40"/>
  <c r="BM516" i="40"/>
  <c r="BN516" i="40"/>
  <c r="BO516" i="40"/>
  <c r="BP516" i="40"/>
  <c r="BQ516" i="40"/>
  <c r="BR516" i="40"/>
  <c r="BS516" i="40"/>
  <c r="BT516" i="40"/>
  <c r="BU516" i="40"/>
  <c r="BV516" i="40"/>
  <c r="BW516" i="40"/>
  <c r="BX516" i="40"/>
  <c r="BY516" i="40"/>
  <c r="BZ516" i="40"/>
  <c r="CA516" i="40"/>
  <c r="CB516" i="40"/>
  <c r="CC516" i="40"/>
  <c r="CD516" i="40"/>
  <c r="CE516" i="40"/>
  <c r="CF516" i="40"/>
  <c r="CG516" i="40"/>
  <c r="CH516" i="40"/>
  <c r="DM516" i="40"/>
  <c r="DS516" i="40"/>
  <c r="DT516" i="40"/>
  <c r="DU516" i="40"/>
  <c r="DV516" i="40"/>
  <c r="DW516" i="40"/>
  <c r="A517" i="40"/>
  <c r="F517" i="40"/>
  <c r="K517" i="40"/>
  <c r="L517" i="40"/>
  <c r="M517" i="40"/>
  <c r="N517" i="40"/>
  <c r="P517" i="40"/>
  <c r="AA517" i="40"/>
  <c r="AC517" i="40"/>
  <c r="AE517" i="40"/>
  <c r="AG517" i="40"/>
  <c r="AI517" i="40"/>
  <c r="G517" i="40"/>
  <c r="H517" i="40"/>
  <c r="I517" i="40"/>
  <c r="J517" i="40"/>
  <c r="O517" i="40"/>
  <c r="AH517" i="40"/>
  <c r="AJ517" i="40"/>
  <c r="AW517" i="40"/>
  <c r="AX517" i="40"/>
  <c r="AZ517" i="40"/>
  <c r="BA517" i="40"/>
  <c r="BB517" i="40"/>
  <c r="BC517" i="40"/>
  <c r="BD517" i="40"/>
  <c r="BE517" i="40"/>
  <c r="BF517" i="40"/>
  <c r="BG517" i="40"/>
  <c r="BH517" i="40"/>
  <c r="BI517" i="40"/>
  <c r="BJ517" i="40"/>
  <c r="BK517" i="40"/>
  <c r="BL517" i="40"/>
  <c r="BM517" i="40"/>
  <c r="BN517" i="40"/>
  <c r="BO517" i="40"/>
  <c r="BP517" i="40"/>
  <c r="BQ517" i="40"/>
  <c r="BR517" i="40"/>
  <c r="BS517" i="40"/>
  <c r="BT517" i="40"/>
  <c r="BU517" i="40"/>
  <c r="BV517" i="40"/>
  <c r="BW517" i="40"/>
  <c r="BX517" i="40"/>
  <c r="BY517" i="40"/>
  <c r="BZ517" i="40"/>
  <c r="CA517" i="40"/>
  <c r="CB517" i="40"/>
  <c r="CC517" i="40"/>
  <c r="CD517" i="40"/>
  <c r="CE517" i="40"/>
  <c r="CF517" i="40"/>
  <c r="CG517" i="40"/>
  <c r="CH517" i="40"/>
  <c r="DM517" i="40"/>
  <c r="DS517" i="40"/>
  <c r="DT517" i="40"/>
  <c r="DU517" i="40"/>
  <c r="DV517" i="40"/>
  <c r="DW517" i="40"/>
  <c r="A518" i="40"/>
  <c r="F518" i="40"/>
  <c r="K518" i="40"/>
  <c r="L518" i="40"/>
  <c r="M518" i="40"/>
  <c r="N518" i="40"/>
  <c r="P518" i="40"/>
  <c r="AA518" i="40"/>
  <c r="AC518" i="40"/>
  <c r="AE518" i="40"/>
  <c r="AG518" i="40"/>
  <c r="AI518" i="40"/>
  <c r="G518" i="40"/>
  <c r="H518" i="40"/>
  <c r="I518" i="40"/>
  <c r="J518" i="40"/>
  <c r="O518" i="40"/>
  <c r="AH518" i="40"/>
  <c r="AJ518" i="40"/>
  <c r="AW518" i="40"/>
  <c r="AX518" i="40"/>
  <c r="AZ518" i="40"/>
  <c r="BA518" i="40"/>
  <c r="BB518" i="40"/>
  <c r="BC518" i="40"/>
  <c r="BD518" i="40"/>
  <c r="BE518" i="40"/>
  <c r="BF518" i="40"/>
  <c r="BG518" i="40"/>
  <c r="BH518" i="40"/>
  <c r="BI518" i="40"/>
  <c r="BJ518" i="40"/>
  <c r="BK518" i="40"/>
  <c r="BL518" i="40"/>
  <c r="BM518" i="40"/>
  <c r="BN518" i="40"/>
  <c r="BO518" i="40"/>
  <c r="BP518" i="40"/>
  <c r="BQ518" i="40"/>
  <c r="BR518" i="40"/>
  <c r="BS518" i="40"/>
  <c r="BT518" i="40"/>
  <c r="BU518" i="40"/>
  <c r="BV518" i="40"/>
  <c r="BW518" i="40"/>
  <c r="BX518" i="40"/>
  <c r="BY518" i="40"/>
  <c r="BZ518" i="40"/>
  <c r="CA518" i="40"/>
  <c r="CB518" i="40"/>
  <c r="CC518" i="40"/>
  <c r="CD518" i="40"/>
  <c r="CE518" i="40"/>
  <c r="CF518" i="40"/>
  <c r="CG518" i="40"/>
  <c r="CH518" i="40"/>
  <c r="DM518" i="40"/>
  <c r="DS518" i="40"/>
  <c r="DT518" i="40"/>
  <c r="DU518" i="40"/>
  <c r="DV518" i="40"/>
  <c r="DW518" i="40"/>
  <c r="A519" i="40"/>
  <c r="F519" i="40"/>
  <c r="K519" i="40"/>
  <c r="L519" i="40"/>
  <c r="M519" i="40"/>
  <c r="N519" i="40"/>
  <c r="P519" i="40"/>
  <c r="AC519" i="40"/>
  <c r="AE519" i="40"/>
  <c r="AG519" i="40"/>
  <c r="AI519" i="40"/>
  <c r="G519" i="40"/>
  <c r="H519" i="40"/>
  <c r="I519" i="40"/>
  <c r="J519" i="40"/>
  <c r="O519" i="40"/>
  <c r="AH519" i="40"/>
  <c r="AJ519" i="40"/>
  <c r="HJ519" i="40"/>
  <c r="HJ520" i="40" s="1"/>
  <c r="HJ521" i="40" s="1"/>
  <c r="HJ522" i="40" s="1"/>
  <c r="HJ523" i="40" s="1"/>
  <c r="HJ524" i="40" s="1"/>
  <c r="HJ525" i="40" s="1"/>
  <c r="HJ526" i="40" s="1"/>
  <c r="HJ527" i="40" s="1"/>
  <c r="HJ528" i="40" s="1"/>
  <c r="HJ529" i="40" s="1"/>
  <c r="HJ530" i="40" s="1"/>
  <c r="HJ531" i="40" s="1"/>
  <c r="HJ532" i="40" s="1"/>
  <c r="HJ533" i="40" s="1"/>
  <c r="HJ534" i="40" s="1"/>
  <c r="HJ535" i="40" s="1"/>
  <c r="HJ536" i="40" s="1"/>
  <c r="HJ537" i="40" s="1"/>
  <c r="HJ538" i="40" s="1"/>
  <c r="HJ539" i="40" s="1"/>
  <c r="HJ540" i="40" s="1"/>
  <c r="HJ541" i="40" s="1"/>
  <c r="HJ542" i="40" s="1"/>
  <c r="HJ543" i="40" s="1"/>
  <c r="HJ544" i="40" s="1"/>
  <c r="HJ545" i="40" s="1"/>
  <c r="HJ546" i="40" s="1"/>
  <c r="HJ547" i="40" s="1"/>
  <c r="HJ548" i="40" s="1"/>
  <c r="HJ549" i="40" s="1"/>
  <c r="HJ550" i="40" s="1"/>
  <c r="HJ551" i="40" s="1"/>
  <c r="HJ552" i="40" s="1"/>
  <c r="HJ553" i="40" s="1"/>
  <c r="HJ554" i="40" s="1"/>
  <c r="HJ555" i="40" s="1"/>
  <c r="HJ556" i="40" s="1"/>
  <c r="HJ557" i="40" s="1"/>
  <c r="HJ558" i="40" s="1"/>
  <c r="HJ559" i="40" s="1"/>
  <c r="HJ560" i="40" s="1"/>
  <c r="HJ561" i="40" s="1"/>
  <c r="HJ562" i="40" s="1"/>
  <c r="HJ563" i="40" s="1"/>
  <c r="HJ564" i="40" s="1"/>
  <c r="HJ565" i="40" s="1"/>
  <c r="HJ566" i="40" s="1"/>
  <c r="HJ567" i="40" s="1"/>
  <c r="HJ568" i="40" s="1"/>
  <c r="HJ569" i="40" s="1"/>
  <c r="HJ570" i="40" s="1"/>
  <c r="HJ571" i="40" s="1"/>
  <c r="HJ572" i="40" s="1"/>
  <c r="HJ573" i="40" s="1"/>
  <c r="HJ574" i="40" s="1"/>
  <c r="HJ575" i="40" s="1"/>
  <c r="AW519" i="40"/>
  <c r="AX519" i="40"/>
  <c r="AZ519" i="40"/>
  <c r="BA519" i="40"/>
  <c r="BB519" i="40"/>
  <c r="BC519" i="40"/>
  <c r="BD519" i="40"/>
  <c r="BE519" i="40"/>
  <c r="BF519" i="40"/>
  <c r="BG519" i="40"/>
  <c r="BH519" i="40"/>
  <c r="BI519" i="40"/>
  <c r="BJ519" i="40"/>
  <c r="BK519" i="40"/>
  <c r="BL519" i="40"/>
  <c r="BM519" i="40"/>
  <c r="BN519" i="40"/>
  <c r="BO519" i="40"/>
  <c r="BP519" i="40"/>
  <c r="BQ519" i="40"/>
  <c r="BR519" i="40"/>
  <c r="BS519" i="40"/>
  <c r="BT519" i="40"/>
  <c r="BU519" i="40"/>
  <c r="BV519" i="40"/>
  <c r="BW519" i="40"/>
  <c r="BX519" i="40"/>
  <c r="BY519" i="40"/>
  <c r="BZ519" i="40"/>
  <c r="CA519" i="40"/>
  <c r="CB519" i="40"/>
  <c r="CC519" i="40"/>
  <c r="CD519" i="40"/>
  <c r="CE519" i="40"/>
  <c r="CF519" i="40"/>
  <c r="CG519" i="40"/>
  <c r="CH519" i="40"/>
  <c r="DM519" i="40"/>
  <c r="DS519" i="40"/>
  <c r="DT519" i="40"/>
  <c r="DU519" i="40"/>
  <c r="DV519" i="40"/>
  <c r="DW519" i="40"/>
  <c r="A520" i="40"/>
  <c r="F520" i="40"/>
  <c r="K520" i="40"/>
  <c r="L520" i="40"/>
  <c r="M520" i="40"/>
  <c r="N520" i="40"/>
  <c r="P520" i="40"/>
  <c r="AA520" i="40"/>
  <c r="AC520" i="40"/>
  <c r="AE520" i="40"/>
  <c r="AG520" i="40"/>
  <c r="AI520" i="40"/>
  <c r="G520" i="40"/>
  <c r="H520" i="40"/>
  <c r="I520" i="40"/>
  <c r="J520" i="40"/>
  <c r="O520" i="40"/>
  <c r="AH520" i="40"/>
  <c r="AJ520" i="40"/>
  <c r="AW520" i="40"/>
  <c r="AX520" i="40"/>
  <c r="AZ520" i="40"/>
  <c r="BA520" i="40"/>
  <c r="BB520" i="40"/>
  <c r="BC520" i="40"/>
  <c r="BD520" i="40"/>
  <c r="BE520" i="40"/>
  <c r="BF520" i="40"/>
  <c r="BG520" i="40"/>
  <c r="BH520" i="40"/>
  <c r="BI520" i="40"/>
  <c r="BJ520" i="40"/>
  <c r="BK520" i="40"/>
  <c r="BL520" i="40"/>
  <c r="BM520" i="40"/>
  <c r="BN520" i="40"/>
  <c r="BO520" i="40"/>
  <c r="BP520" i="40"/>
  <c r="BQ520" i="40"/>
  <c r="BR520" i="40"/>
  <c r="BS520" i="40"/>
  <c r="BT520" i="40"/>
  <c r="BU520" i="40"/>
  <c r="BV520" i="40"/>
  <c r="BW520" i="40"/>
  <c r="BX520" i="40"/>
  <c r="BY520" i="40"/>
  <c r="BZ520" i="40"/>
  <c r="CA520" i="40"/>
  <c r="CB520" i="40"/>
  <c r="CC520" i="40"/>
  <c r="CD520" i="40"/>
  <c r="CE520" i="40"/>
  <c r="CF520" i="40"/>
  <c r="CG520" i="40"/>
  <c r="CH520" i="40"/>
  <c r="DM520" i="40"/>
  <c r="DS520" i="40"/>
  <c r="DT520" i="40"/>
  <c r="DU520" i="40"/>
  <c r="DV520" i="40"/>
  <c r="DW520" i="40"/>
  <c r="A521" i="40"/>
  <c r="AW521" i="40"/>
  <c r="AX521" i="40"/>
  <c r="AZ521" i="40"/>
  <c r="BA521" i="40"/>
  <c r="BB521" i="40"/>
  <c r="BC521" i="40"/>
  <c r="BD521" i="40"/>
  <c r="BE521" i="40"/>
  <c r="BF521" i="40"/>
  <c r="BG521" i="40"/>
  <c r="BH521" i="40"/>
  <c r="BI521" i="40"/>
  <c r="BJ521" i="40"/>
  <c r="BK521" i="40"/>
  <c r="BL521" i="40"/>
  <c r="BM521" i="40"/>
  <c r="BN521" i="40"/>
  <c r="BO521" i="40"/>
  <c r="BP521" i="40"/>
  <c r="BQ521" i="40"/>
  <c r="BR521" i="40"/>
  <c r="BS521" i="40"/>
  <c r="BT521" i="40"/>
  <c r="BU521" i="40"/>
  <c r="BV521" i="40"/>
  <c r="BW521" i="40"/>
  <c r="BX521" i="40"/>
  <c r="BY521" i="40"/>
  <c r="BZ521" i="40"/>
  <c r="CA521" i="40"/>
  <c r="CB521" i="40"/>
  <c r="CC521" i="40"/>
  <c r="CD521" i="40"/>
  <c r="CE521" i="40"/>
  <c r="CF521" i="40"/>
  <c r="CG521" i="40"/>
  <c r="CH521" i="40"/>
  <c r="DM521" i="40"/>
  <c r="DS521" i="40"/>
  <c r="DT521" i="40"/>
  <c r="DU521" i="40"/>
  <c r="DV521" i="40"/>
  <c r="DW521" i="40"/>
  <c r="A522" i="40"/>
  <c r="AW522" i="40"/>
  <c r="AX522" i="40"/>
  <c r="AZ522" i="40"/>
  <c r="BA522" i="40"/>
  <c r="BB522" i="40"/>
  <c r="BC522" i="40"/>
  <c r="BD522" i="40"/>
  <c r="BE522" i="40"/>
  <c r="BF522" i="40"/>
  <c r="BG522" i="40"/>
  <c r="BH522" i="40"/>
  <c r="BI522" i="40"/>
  <c r="BJ522" i="40"/>
  <c r="BK522" i="40"/>
  <c r="BL522" i="40"/>
  <c r="BM522" i="40"/>
  <c r="BN522" i="40"/>
  <c r="BO522" i="40"/>
  <c r="BP522" i="40"/>
  <c r="BQ522" i="40"/>
  <c r="BR522" i="40"/>
  <c r="BS522" i="40"/>
  <c r="BT522" i="40"/>
  <c r="BU522" i="40"/>
  <c r="BV522" i="40"/>
  <c r="BW522" i="40"/>
  <c r="BX522" i="40"/>
  <c r="BY522" i="40"/>
  <c r="BZ522" i="40"/>
  <c r="CA522" i="40"/>
  <c r="CB522" i="40"/>
  <c r="CC522" i="40"/>
  <c r="CD522" i="40"/>
  <c r="CE522" i="40"/>
  <c r="CF522" i="40"/>
  <c r="CG522" i="40"/>
  <c r="CH522" i="40"/>
  <c r="DM522" i="40"/>
  <c r="DS522" i="40"/>
  <c r="DT522" i="40"/>
  <c r="DU522" i="40"/>
  <c r="DV522" i="40"/>
  <c r="DW522" i="40"/>
  <c r="A523" i="40"/>
  <c r="AW523" i="40"/>
  <c r="AX523" i="40"/>
  <c r="AZ523" i="40"/>
  <c r="BA523" i="40"/>
  <c r="BB523" i="40"/>
  <c r="BC523" i="40"/>
  <c r="BD523" i="40"/>
  <c r="BE523" i="40"/>
  <c r="BF523" i="40"/>
  <c r="BG523" i="40"/>
  <c r="BH523" i="40"/>
  <c r="BI523" i="40"/>
  <c r="BJ523" i="40"/>
  <c r="BK523" i="40"/>
  <c r="BL523" i="40"/>
  <c r="BM523" i="40"/>
  <c r="BN523" i="40"/>
  <c r="BO523" i="40"/>
  <c r="BP523" i="40"/>
  <c r="BQ523" i="40"/>
  <c r="BR523" i="40"/>
  <c r="BS523" i="40"/>
  <c r="BT523" i="40"/>
  <c r="BU523" i="40"/>
  <c r="BV523" i="40"/>
  <c r="BW523" i="40"/>
  <c r="BX523" i="40"/>
  <c r="BY523" i="40"/>
  <c r="BZ523" i="40"/>
  <c r="CA523" i="40"/>
  <c r="CB523" i="40"/>
  <c r="CC523" i="40"/>
  <c r="CD523" i="40"/>
  <c r="CE523" i="40"/>
  <c r="CF523" i="40"/>
  <c r="CG523" i="40"/>
  <c r="CH523" i="40"/>
  <c r="DM523" i="40"/>
  <c r="DS523" i="40"/>
  <c r="DT523" i="40"/>
  <c r="DU523" i="40"/>
  <c r="DV523" i="40"/>
  <c r="DW523" i="40"/>
  <c r="A524" i="40"/>
  <c r="AW524" i="40"/>
  <c r="AX524" i="40"/>
  <c r="AZ524" i="40"/>
  <c r="BA524" i="40"/>
  <c r="BB524" i="40"/>
  <c r="BC524" i="40"/>
  <c r="BD524" i="40"/>
  <c r="BE524" i="40"/>
  <c r="BF524" i="40"/>
  <c r="BG524" i="40"/>
  <c r="BH524" i="40"/>
  <c r="BI524" i="40"/>
  <c r="BJ524" i="40"/>
  <c r="BK524" i="40"/>
  <c r="BL524" i="40"/>
  <c r="BM524" i="40"/>
  <c r="BN524" i="40"/>
  <c r="BO524" i="40"/>
  <c r="BP524" i="40"/>
  <c r="BQ524" i="40"/>
  <c r="BR524" i="40"/>
  <c r="BS524" i="40"/>
  <c r="BT524" i="40"/>
  <c r="BU524" i="40"/>
  <c r="BV524" i="40"/>
  <c r="BW524" i="40"/>
  <c r="BX524" i="40"/>
  <c r="BY524" i="40"/>
  <c r="BZ524" i="40"/>
  <c r="CA524" i="40"/>
  <c r="CB524" i="40"/>
  <c r="CC524" i="40"/>
  <c r="CD524" i="40"/>
  <c r="CE524" i="40"/>
  <c r="CF524" i="40"/>
  <c r="CG524" i="40"/>
  <c r="CH524" i="40"/>
  <c r="DM524" i="40"/>
  <c r="DS524" i="40"/>
  <c r="DT524" i="40"/>
  <c r="DU524" i="40"/>
  <c r="DV524" i="40"/>
  <c r="DW524" i="40"/>
  <c r="A525" i="40"/>
  <c r="AW525" i="40"/>
  <c r="AX525" i="40"/>
  <c r="AZ525" i="40"/>
  <c r="BA525" i="40"/>
  <c r="BB525" i="40"/>
  <c r="BC525" i="40"/>
  <c r="BD525" i="40"/>
  <c r="BE525" i="40"/>
  <c r="BF525" i="40"/>
  <c r="BG525" i="40"/>
  <c r="BH525" i="40"/>
  <c r="BI525" i="40"/>
  <c r="BJ525" i="40"/>
  <c r="BK525" i="40"/>
  <c r="BL525" i="40"/>
  <c r="BM525" i="40"/>
  <c r="BN525" i="40"/>
  <c r="BO525" i="40"/>
  <c r="BP525" i="40"/>
  <c r="BQ525" i="40"/>
  <c r="BR525" i="40"/>
  <c r="BS525" i="40"/>
  <c r="BT525" i="40"/>
  <c r="BU525" i="40"/>
  <c r="BV525" i="40"/>
  <c r="BW525" i="40"/>
  <c r="BX525" i="40"/>
  <c r="BY525" i="40"/>
  <c r="BZ525" i="40"/>
  <c r="CA525" i="40"/>
  <c r="CB525" i="40"/>
  <c r="CC525" i="40"/>
  <c r="CD525" i="40"/>
  <c r="CE525" i="40"/>
  <c r="CF525" i="40"/>
  <c r="CG525" i="40"/>
  <c r="CH525" i="40"/>
  <c r="DM525" i="40"/>
  <c r="DS525" i="40"/>
  <c r="DT525" i="40"/>
  <c r="DU525" i="40"/>
  <c r="DV525" i="40"/>
  <c r="DW525" i="40"/>
  <c r="A526" i="40"/>
  <c r="AW526" i="40"/>
  <c r="AX526" i="40"/>
  <c r="AZ526" i="40"/>
  <c r="BA526" i="40"/>
  <c r="BB526" i="40"/>
  <c r="BC526" i="40"/>
  <c r="BD526" i="40"/>
  <c r="BE526" i="40"/>
  <c r="BF526" i="40"/>
  <c r="BG526" i="40"/>
  <c r="BH526" i="40"/>
  <c r="BI526" i="40"/>
  <c r="BJ526" i="40"/>
  <c r="BK526" i="40"/>
  <c r="BL526" i="40"/>
  <c r="BM526" i="40"/>
  <c r="BN526" i="40"/>
  <c r="BO526" i="40"/>
  <c r="BP526" i="40"/>
  <c r="BQ526" i="40"/>
  <c r="BR526" i="40"/>
  <c r="BS526" i="40"/>
  <c r="BT526" i="40"/>
  <c r="BU526" i="40"/>
  <c r="BV526" i="40"/>
  <c r="BW526" i="40"/>
  <c r="BX526" i="40"/>
  <c r="BY526" i="40"/>
  <c r="BZ526" i="40"/>
  <c r="CA526" i="40"/>
  <c r="CB526" i="40"/>
  <c r="CC526" i="40"/>
  <c r="CD526" i="40"/>
  <c r="CE526" i="40"/>
  <c r="CF526" i="40"/>
  <c r="CG526" i="40"/>
  <c r="CH526" i="40"/>
  <c r="DM526" i="40"/>
  <c r="DS526" i="40"/>
  <c r="DT526" i="40"/>
  <c r="DU526" i="40"/>
  <c r="DV526" i="40"/>
  <c r="DW526" i="40"/>
  <c r="A527" i="40"/>
  <c r="AW527" i="40"/>
  <c r="AX527" i="40"/>
  <c r="AZ527" i="40"/>
  <c r="BA527" i="40"/>
  <c r="BB527" i="40"/>
  <c r="BC527" i="40"/>
  <c r="BD527" i="40"/>
  <c r="BE527" i="40"/>
  <c r="BF527" i="40"/>
  <c r="BG527" i="40"/>
  <c r="BH527" i="40"/>
  <c r="BI527" i="40"/>
  <c r="BJ527" i="40"/>
  <c r="BK527" i="40"/>
  <c r="BL527" i="40"/>
  <c r="BM527" i="40"/>
  <c r="BN527" i="40"/>
  <c r="BO527" i="40"/>
  <c r="BP527" i="40"/>
  <c r="BQ527" i="40"/>
  <c r="BR527" i="40"/>
  <c r="BS527" i="40"/>
  <c r="BT527" i="40"/>
  <c r="BU527" i="40"/>
  <c r="BV527" i="40"/>
  <c r="BW527" i="40"/>
  <c r="BX527" i="40"/>
  <c r="BY527" i="40"/>
  <c r="BZ527" i="40"/>
  <c r="CA527" i="40"/>
  <c r="CB527" i="40"/>
  <c r="CC527" i="40"/>
  <c r="CD527" i="40"/>
  <c r="CE527" i="40"/>
  <c r="CF527" i="40"/>
  <c r="CG527" i="40"/>
  <c r="CH527" i="40"/>
  <c r="DM527" i="40"/>
  <c r="DS527" i="40"/>
  <c r="DT527" i="40"/>
  <c r="DU527" i="40"/>
  <c r="DV527" i="40"/>
  <c r="DW527" i="40"/>
  <c r="A528" i="40"/>
  <c r="AW528" i="40"/>
  <c r="AX528" i="40"/>
  <c r="AZ528" i="40"/>
  <c r="BA528" i="40"/>
  <c r="BB528" i="40"/>
  <c r="BC528" i="40"/>
  <c r="BD528" i="40"/>
  <c r="BE528" i="40"/>
  <c r="BF528" i="40"/>
  <c r="BG528" i="40"/>
  <c r="BH528" i="40"/>
  <c r="BI528" i="40"/>
  <c r="BJ528" i="40"/>
  <c r="BK528" i="40"/>
  <c r="BL528" i="40"/>
  <c r="BM528" i="40"/>
  <c r="BN528" i="40"/>
  <c r="BO528" i="40"/>
  <c r="BP528" i="40"/>
  <c r="BQ528" i="40"/>
  <c r="BR528" i="40"/>
  <c r="BS528" i="40"/>
  <c r="BT528" i="40"/>
  <c r="BU528" i="40"/>
  <c r="BV528" i="40"/>
  <c r="BW528" i="40"/>
  <c r="BX528" i="40"/>
  <c r="BY528" i="40"/>
  <c r="BZ528" i="40"/>
  <c r="CA528" i="40"/>
  <c r="CB528" i="40"/>
  <c r="CC528" i="40"/>
  <c r="CD528" i="40"/>
  <c r="CE528" i="40"/>
  <c r="CF528" i="40"/>
  <c r="CG528" i="40"/>
  <c r="CH528" i="40"/>
  <c r="DM528" i="40"/>
  <c r="DS528" i="40"/>
  <c r="DT528" i="40"/>
  <c r="DU528" i="40"/>
  <c r="DV528" i="40"/>
  <c r="DW528" i="40"/>
  <c r="A529" i="40"/>
  <c r="AW529" i="40"/>
  <c r="AX529" i="40"/>
  <c r="AZ529" i="40"/>
  <c r="BA529" i="40"/>
  <c r="BB529" i="40"/>
  <c r="BC529" i="40"/>
  <c r="BD529" i="40"/>
  <c r="BE529" i="40"/>
  <c r="BF529" i="40"/>
  <c r="BG529" i="40"/>
  <c r="BH529" i="40"/>
  <c r="BI529" i="40"/>
  <c r="BJ529" i="40"/>
  <c r="BK529" i="40"/>
  <c r="BL529" i="40"/>
  <c r="BM529" i="40"/>
  <c r="BN529" i="40"/>
  <c r="BO529" i="40"/>
  <c r="BP529" i="40"/>
  <c r="BQ529" i="40"/>
  <c r="BR529" i="40"/>
  <c r="BS529" i="40"/>
  <c r="BT529" i="40"/>
  <c r="BU529" i="40"/>
  <c r="BV529" i="40"/>
  <c r="BW529" i="40"/>
  <c r="BX529" i="40"/>
  <c r="BY529" i="40"/>
  <c r="BZ529" i="40"/>
  <c r="CA529" i="40"/>
  <c r="CB529" i="40"/>
  <c r="CC529" i="40"/>
  <c r="CD529" i="40"/>
  <c r="CE529" i="40"/>
  <c r="CF529" i="40"/>
  <c r="CG529" i="40"/>
  <c r="CH529" i="40"/>
  <c r="DM529" i="40"/>
  <c r="DS529" i="40"/>
  <c r="DT529" i="40"/>
  <c r="DU529" i="40"/>
  <c r="DV529" i="40"/>
  <c r="DW529" i="40"/>
  <c r="A530" i="40"/>
  <c r="AW530" i="40"/>
  <c r="AX530" i="40"/>
  <c r="AZ530" i="40"/>
  <c r="BA530" i="40"/>
  <c r="BB530" i="40"/>
  <c r="BC530" i="40"/>
  <c r="BD530" i="40"/>
  <c r="BE530" i="40"/>
  <c r="BF530" i="40"/>
  <c r="BG530" i="40"/>
  <c r="BH530" i="40"/>
  <c r="BI530" i="40"/>
  <c r="BJ530" i="40"/>
  <c r="BK530" i="40"/>
  <c r="BL530" i="40"/>
  <c r="BM530" i="40"/>
  <c r="BN530" i="40"/>
  <c r="BO530" i="40"/>
  <c r="BP530" i="40"/>
  <c r="BQ530" i="40"/>
  <c r="BR530" i="40"/>
  <c r="BS530" i="40"/>
  <c r="BT530" i="40"/>
  <c r="BU530" i="40"/>
  <c r="BV530" i="40"/>
  <c r="BW530" i="40"/>
  <c r="BX530" i="40"/>
  <c r="BY530" i="40"/>
  <c r="BZ530" i="40"/>
  <c r="CA530" i="40"/>
  <c r="CB530" i="40"/>
  <c r="CC530" i="40"/>
  <c r="CD530" i="40"/>
  <c r="CE530" i="40"/>
  <c r="CF530" i="40"/>
  <c r="CG530" i="40"/>
  <c r="CH530" i="40"/>
  <c r="DM530" i="40"/>
  <c r="DS530" i="40"/>
  <c r="DT530" i="40"/>
  <c r="DU530" i="40"/>
  <c r="DV530" i="40"/>
  <c r="DW530" i="40"/>
  <c r="A531" i="40"/>
  <c r="AW531" i="40"/>
  <c r="AX531" i="40"/>
  <c r="AZ531" i="40"/>
  <c r="BA531" i="40"/>
  <c r="BB531" i="40"/>
  <c r="BC531" i="40"/>
  <c r="BD531" i="40"/>
  <c r="BE531" i="40"/>
  <c r="BF531" i="40"/>
  <c r="BG531" i="40"/>
  <c r="BH531" i="40"/>
  <c r="BI531" i="40"/>
  <c r="BJ531" i="40"/>
  <c r="BK531" i="40"/>
  <c r="BL531" i="40"/>
  <c r="BM531" i="40"/>
  <c r="BN531" i="40"/>
  <c r="BO531" i="40"/>
  <c r="BP531" i="40"/>
  <c r="BQ531" i="40"/>
  <c r="BR531" i="40"/>
  <c r="BS531" i="40"/>
  <c r="BT531" i="40"/>
  <c r="BU531" i="40"/>
  <c r="BV531" i="40"/>
  <c r="BW531" i="40"/>
  <c r="BX531" i="40"/>
  <c r="BY531" i="40"/>
  <c r="BZ531" i="40"/>
  <c r="CA531" i="40"/>
  <c r="CB531" i="40"/>
  <c r="CC531" i="40"/>
  <c r="CD531" i="40"/>
  <c r="CE531" i="40"/>
  <c r="CF531" i="40"/>
  <c r="CG531" i="40"/>
  <c r="CH531" i="40"/>
  <c r="DM531" i="40"/>
  <c r="DS531" i="40"/>
  <c r="DT531" i="40"/>
  <c r="DU531" i="40"/>
  <c r="DV531" i="40"/>
  <c r="DW531" i="40"/>
  <c r="A532" i="40"/>
  <c r="AW532" i="40"/>
  <c r="AX532" i="40"/>
  <c r="AZ532" i="40"/>
  <c r="BA532" i="40"/>
  <c r="BB532" i="40"/>
  <c r="BC532" i="40"/>
  <c r="BD532" i="40"/>
  <c r="BE532" i="40"/>
  <c r="BF532" i="40"/>
  <c r="BG532" i="40"/>
  <c r="BH532" i="40"/>
  <c r="BI532" i="40"/>
  <c r="BJ532" i="40"/>
  <c r="BK532" i="40"/>
  <c r="BL532" i="40"/>
  <c r="BM532" i="40"/>
  <c r="BN532" i="40"/>
  <c r="BO532" i="40"/>
  <c r="BP532" i="40"/>
  <c r="BQ532" i="40"/>
  <c r="BR532" i="40"/>
  <c r="BS532" i="40"/>
  <c r="BT532" i="40"/>
  <c r="BU532" i="40"/>
  <c r="BV532" i="40"/>
  <c r="BW532" i="40"/>
  <c r="BX532" i="40"/>
  <c r="BY532" i="40"/>
  <c r="BZ532" i="40"/>
  <c r="CA532" i="40"/>
  <c r="CB532" i="40"/>
  <c r="CC532" i="40"/>
  <c r="CD532" i="40"/>
  <c r="CE532" i="40"/>
  <c r="CF532" i="40"/>
  <c r="CG532" i="40"/>
  <c r="CH532" i="40"/>
  <c r="DM532" i="40"/>
  <c r="DS532" i="40"/>
  <c r="DT532" i="40"/>
  <c r="DU532" i="40"/>
  <c r="DV532" i="40"/>
  <c r="DW532" i="40"/>
  <c r="A533" i="40"/>
  <c r="AW533" i="40"/>
  <c r="AX533" i="40"/>
  <c r="AZ533" i="40"/>
  <c r="BA533" i="40"/>
  <c r="BB533" i="40"/>
  <c r="BC533" i="40"/>
  <c r="BD533" i="40"/>
  <c r="BE533" i="40"/>
  <c r="BF533" i="40"/>
  <c r="BG533" i="40"/>
  <c r="BH533" i="40"/>
  <c r="BI533" i="40"/>
  <c r="BJ533" i="40"/>
  <c r="BK533" i="40"/>
  <c r="BL533" i="40"/>
  <c r="BM533" i="40"/>
  <c r="BN533" i="40"/>
  <c r="BO533" i="40"/>
  <c r="BP533" i="40"/>
  <c r="BQ533" i="40"/>
  <c r="BR533" i="40"/>
  <c r="BS533" i="40"/>
  <c r="BT533" i="40"/>
  <c r="BU533" i="40"/>
  <c r="BV533" i="40"/>
  <c r="BW533" i="40"/>
  <c r="BX533" i="40"/>
  <c r="BY533" i="40"/>
  <c r="BZ533" i="40"/>
  <c r="CA533" i="40"/>
  <c r="CB533" i="40"/>
  <c r="CC533" i="40"/>
  <c r="CD533" i="40"/>
  <c r="CE533" i="40"/>
  <c r="CF533" i="40"/>
  <c r="CG533" i="40"/>
  <c r="CH533" i="40"/>
  <c r="DM533" i="40"/>
  <c r="DS533" i="40"/>
  <c r="DT533" i="40"/>
  <c r="DU533" i="40"/>
  <c r="DV533" i="40"/>
  <c r="DW533" i="40"/>
  <c r="A534" i="40"/>
  <c r="AW534" i="40"/>
  <c r="AX534" i="40"/>
  <c r="AZ534" i="40"/>
  <c r="BA534" i="40"/>
  <c r="BB534" i="40"/>
  <c r="BC534" i="40"/>
  <c r="BD534" i="40"/>
  <c r="BE534" i="40"/>
  <c r="BF534" i="40"/>
  <c r="BG534" i="40"/>
  <c r="BH534" i="40"/>
  <c r="BI534" i="40"/>
  <c r="BJ534" i="40"/>
  <c r="BK534" i="40"/>
  <c r="BL534" i="40"/>
  <c r="BM534" i="40"/>
  <c r="BN534" i="40"/>
  <c r="BO534" i="40"/>
  <c r="BP534" i="40"/>
  <c r="BQ534" i="40"/>
  <c r="BR534" i="40"/>
  <c r="BS534" i="40"/>
  <c r="BT534" i="40"/>
  <c r="BU534" i="40"/>
  <c r="BV534" i="40"/>
  <c r="BW534" i="40"/>
  <c r="BX534" i="40"/>
  <c r="BY534" i="40"/>
  <c r="BZ534" i="40"/>
  <c r="CA534" i="40"/>
  <c r="CB534" i="40"/>
  <c r="CC534" i="40"/>
  <c r="CD534" i="40"/>
  <c r="CE534" i="40"/>
  <c r="CF534" i="40"/>
  <c r="CG534" i="40"/>
  <c r="CH534" i="40"/>
  <c r="DM534" i="40"/>
  <c r="DS534" i="40"/>
  <c r="DT534" i="40"/>
  <c r="DU534" i="40"/>
  <c r="DV534" i="40"/>
  <c r="DW534" i="40"/>
  <c r="A535" i="40"/>
  <c r="AW535" i="40"/>
  <c r="AX535" i="40"/>
  <c r="AZ535" i="40"/>
  <c r="BA535" i="40"/>
  <c r="BB535" i="40"/>
  <c r="BC535" i="40"/>
  <c r="BD535" i="40"/>
  <c r="BE535" i="40"/>
  <c r="BF535" i="40"/>
  <c r="BG535" i="40"/>
  <c r="BH535" i="40"/>
  <c r="BI535" i="40"/>
  <c r="BJ535" i="40"/>
  <c r="BK535" i="40"/>
  <c r="BL535" i="40"/>
  <c r="BM535" i="40"/>
  <c r="BN535" i="40"/>
  <c r="BO535" i="40"/>
  <c r="BP535" i="40"/>
  <c r="BQ535" i="40"/>
  <c r="BR535" i="40"/>
  <c r="BS535" i="40"/>
  <c r="BT535" i="40"/>
  <c r="BU535" i="40"/>
  <c r="BV535" i="40"/>
  <c r="BW535" i="40"/>
  <c r="BX535" i="40"/>
  <c r="BY535" i="40"/>
  <c r="BZ535" i="40"/>
  <c r="CA535" i="40"/>
  <c r="CB535" i="40"/>
  <c r="CC535" i="40"/>
  <c r="CD535" i="40"/>
  <c r="CE535" i="40"/>
  <c r="CF535" i="40"/>
  <c r="CG535" i="40"/>
  <c r="CH535" i="40"/>
  <c r="DM535" i="40"/>
  <c r="DS535" i="40"/>
  <c r="DT535" i="40"/>
  <c r="DU535" i="40"/>
  <c r="DV535" i="40"/>
  <c r="DW535" i="40"/>
  <c r="A536" i="40"/>
  <c r="AW536" i="40"/>
  <c r="AX536" i="40"/>
  <c r="AZ536" i="40"/>
  <c r="BA536" i="40"/>
  <c r="BB536" i="40"/>
  <c r="BC536" i="40"/>
  <c r="BD536" i="40"/>
  <c r="BE536" i="40"/>
  <c r="BF536" i="40"/>
  <c r="BG536" i="40"/>
  <c r="BH536" i="40"/>
  <c r="BI536" i="40"/>
  <c r="BJ536" i="40"/>
  <c r="BK536" i="40"/>
  <c r="BL536" i="40"/>
  <c r="BM536" i="40"/>
  <c r="BN536" i="40"/>
  <c r="BO536" i="40"/>
  <c r="BP536" i="40"/>
  <c r="BQ536" i="40"/>
  <c r="BR536" i="40"/>
  <c r="BS536" i="40"/>
  <c r="BT536" i="40"/>
  <c r="BU536" i="40"/>
  <c r="BV536" i="40"/>
  <c r="BW536" i="40"/>
  <c r="BX536" i="40"/>
  <c r="BY536" i="40"/>
  <c r="BZ536" i="40"/>
  <c r="CA536" i="40"/>
  <c r="CB536" i="40"/>
  <c r="CC536" i="40"/>
  <c r="CD536" i="40"/>
  <c r="CE536" i="40"/>
  <c r="CF536" i="40"/>
  <c r="CG536" i="40"/>
  <c r="CH536" i="40"/>
  <c r="DM536" i="40"/>
  <c r="DS536" i="40"/>
  <c r="DT536" i="40"/>
  <c r="DU536" i="40"/>
  <c r="DV536" i="40"/>
  <c r="DW536" i="40"/>
  <c r="A537" i="40"/>
  <c r="AW537" i="40"/>
  <c r="AX537" i="40"/>
  <c r="AZ537" i="40"/>
  <c r="BA537" i="40"/>
  <c r="BB537" i="40"/>
  <c r="BC537" i="40"/>
  <c r="BD537" i="40"/>
  <c r="BE537" i="40"/>
  <c r="BF537" i="40"/>
  <c r="BG537" i="40"/>
  <c r="BH537" i="40"/>
  <c r="BI537" i="40"/>
  <c r="BJ537" i="40"/>
  <c r="BK537" i="40"/>
  <c r="BL537" i="40"/>
  <c r="BM537" i="40"/>
  <c r="BN537" i="40"/>
  <c r="BO537" i="40"/>
  <c r="BP537" i="40"/>
  <c r="BQ537" i="40"/>
  <c r="BR537" i="40"/>
  <c r="BS537" i="40"/>
  <c r="BT537" i="40"/>
  <c r="BU537" i="40"/>
  <c r="BV537" i="40"/>
  <c r="BW537" i="40"/>
  <c r="BX537" i="40"/>
  <c r="BY537" i="40"/>
  <c r="BZ537" i="40"/>
  <c r="CA537" i="40"/>
  <c r="CB537" i="40"/>
  <c r="CC537" i="40"/>
  <c r="CD537" i="40"/>
  <c r="CE537" i="40"/>
  <c r="CF537" i="40"/>
  <c r="CG537" i="40"/>
  <c r="CH537" i="40"/>
  <c r="DM537" i="40"/>
  <c r="DS537" i="40"/>
  <c r="DT537" i="40"/>
  <c r="DU537" i="40"/>
  <c r="DV537" i="40"/>
  <c r="DW537" i="40"/>
  <c r="A538" i="40"/>
  <c r="AW538" i="40"/>
  <c r="AX538" i="40"/>
  <c r="AZ538" i="40"/>
  <c r="BA538" i="40"/>
  <c r="BB538" i="40"/>
  <c r="BC538" i="40"/>
  <c r="BD538" i="40"/>
  <c r="BE538" i="40"/>
  <c r="BF538" i="40"/>
  <c r="BG538" i="40"/>
  <c r="BH538" i="40"/>
  <c r="BI538" i="40"/>
  <c r="BJ538" i="40"/>
  <c r="BK538" i="40"/>
  <c r="BL538" i="40"/>
  <c r="BM538" i="40"/>
  <c r="BN538" i="40"/>
  <c r="BO538" i="40"/>
  <c r="BP538" i="40"/>
  <c r="BQ538" i="40"/>
  <c r="BR538" i="40"/>
  <c r="BS538" i="40"/>
  <c r="BT538" i="40"/>
  <c r="BU538" i="40"/>
  <c r="BV538" i="40"/>
  <c r="BW538" i="40"/>
  <c r="BX538" i="40"/>
  <c r="BY538" i="40"/>
  <c r="BZ538" i="40"/>
  <c r="CA538" i="40"/>
  <c r="CB538" i="40"/>
  <c r="CC538" i="40"/>
  <c r="CD538" i="40"/>
  <c r="CE538" i="40"/>
  <c r="CF538" i="40"/>
  <c r="CG538" i="40"/>
  <c r="CH538" i="40"/>
  <c r="DM538" i="40"/>
  <c r="DS538" i="40"/>
  <c r="DT538" i="40"/>
  <c r="DU538" i="40"/>
  <c r="DV538" i="40"/>
  <c r="DW538" i="40"/>
  <c r="A539" i="40"/>
  <c r="AW539" i="40"/>
  <c r="AX539" i="40"/>
  <c r="AZ539" i="40"/>
  <c r="BA539" i="40"/>
  <c r="BB539" i="40"/>
  <c r="BC539" i="40"/>
  <c r="BD539" i="40"/>
  <c r="BE539" i="40"/>
  <c r="BF539" i="40"/>
  <c r="BG539" i="40"/>
  <c r="BH539" i="40"/>
  <c r="BI539" i="40"/>
  <c r="BJ539" i="40"/>
  <c r="BK539" i="40"/>
  <c r="BL539" i="40"/>
  <c r="BM539" i="40"/>
  <c r="BN539" i="40"/>
  <c r="BO539" i="40"/>
  <c r="BP539" i="40"/>
  <c r="BQ539" i="40"/>
  <c r="BR539" i="40"/>
  <c r="BS539" i="40"/>
  <c r="BT539" i="40"/>
  <c r="BU539" i="40"/>
  <c r="BV539" i="40"/>
  <c r="BW539" i="40"/>
  <c r="BX539" i="40"/>
  <c r="BY539" i="40"/>
  <c r="BZ539" i="40"/>
  <c r="CA539" i="40"/>
  <c r="CB539" i="40"/>
  <c r="CC539" i="40"/>
  <c r="CD539" i="40"/>
  <c r="CE539" i="40"/>
  <c r="CF539" i="40"/>
  <c r="CG539" i="40"/>
  <c r="CH539" i="40"/>
  <c r="DM539" i="40"/>
  <c r="DS539" i="40"/>
  <c r="DT539" i="40"/>
  <c r="DU539" i="40"/>
  <c r="DV539" i="40"/>
  <c r="DW539" i="40"/>
  <c r="A540" i="40"/>
  <c r="AW540" i="40"/>
  <c r="AX540" i="40"/>
  <c r="AZ540" i="40"/>
  <c r="BA540" i="40"/>
  <c r="BB540" i="40"/>
  <c r="BC540" i="40"/>
  <c r="BD540" i="40"/>
  <c r="BE540" i="40"/>
  <c r="BF540" i="40"/>
  <c r="BG540" i="40"/>
  <c r="BH540" i="40"/>
  <c r="BI540" i="40"/>
  <c r="BJ540" i="40"/>
  <c r="BK540" i="40"/>
  <c r="BL540" i="40"/>
  <c r="BM540" i="40"/>
  <c r="BN540" i="40"/>
  <c r="BO540" i="40"/>
  <c r="BP540" i="40"/>
  <c r="BQ540" i="40"/>
  <c r="BR540" i="40"/>
  <c r="BS540" i="40"/>
  <c r="BT540" i="40"/>
  <c r="BU540" i="40"/>
  <c r="BV540" i="40"/>
  <c r="BW540" i="40"/>
  <c r="BX540" i="40"/>
  <c r="BY540" i="40"/>
  <c r="BZ540" i="40"/>
  <c r="CA540" i="40"/>
  <c r="CB540" i="40"/>
  <c r="CC540" i="40"/>
  <c r="CD540" i="40"/>
  <c r="CE540" i="40"/>
  <c r="CF540" i="40"/>
  <c r="CG540" i="40"/>
  <c r="CH540" i="40"/>
  <c r="DM540" i="40"/>
  <c r="DS540" i="40"/>
  <c r="DT540" i="40"/>
  <c r="DU540" i="40"/>
  <c r="DV540" i="40"/>
  <c r="DW540" i="40"/>
  <c r="A541" i="40"/>
  <c r="AW541" i="40"/>
  <c r="AX541" i="40"/>
  <c r="AZ541" i="40"/>
  <c r="BA541" i="40"/>
  <c r="BB541" i="40"/>
  <c r="BC541" i="40"/>
  <c r="BD541" i="40"/>
  <c r="BE541" i="40"/>
  <c r="BF541" i="40"/>
  <c r="BG541" i="40"/>
  <c r="BH541" i="40"/>
  <c r="BI541" i="40"/>
  <c r="BJ541" i="40"/>
  <c r="BK541" i="40"/>
  <c r="BL541" i="40"/>
  <c r="BM541" i="40"/>
  <c r="BN541" i="40"/>
  <c r="BO541" i="40"/>
  <c r="BP541" i="40"/>
  <c r="BQ541" i="40"/>
  <c r="BR541" i="40"/>
  <c r="BS541" i="40"/>
  <c r="BT541" i="40"/>
  <c r="BU541" i="40"/>
  <c r="BV541" i="40"/>
  <c r="BW541" i="40"/>
  <c r="BX541" i="40"/>
  <c r="BY541" i="40"/>
  <c r="BZ541" i="40"/>
  <c r="CA541" i="40"/>
  <c r="CB541" i="40"/>
  <c r="CC541" i="40"/>
  <c r="CD541" i="40"/>
  <c r="CE541" i="40"/>
  <c r="CF541" i="40"/>
  <c r="CG541" i="40"/>
  <c r="CH541" i="40"/>
  <c r="DM541" i="40"/>
  <c r="DS541" i="40"/>
  <c r="DT541" i="40"/>
  <c r="DU541" i="40"/>
  <c r="DV541" i="40"/>
  <c r="DW541" i="40"/>
  <c r="A542" i="40"/>
  <c r="AW542" i="40"/>
  <c r="AX542" i="40"/>
  <c r="AZ542" i="40"/>
  <c r="BA542" i="40"/>
  <c r="BB542" i="40"/>
  <c r="BC542" i="40"/>
  <c r="BD542" i="40"/>
  <c r="BE542" i="40"/>
  <c r="BF542" i="40"/>
  <c r="BG542" i="40"/>
  <c r="BH542" i="40"/>
  <c r="BI542" i="40"/>
  <c r="BJ542" i="40"/>
  <c r="BK542" i="40"/>
  <c r="BL542" i="40"/>
  <c r="BM542" i="40"/>
  <c r="BN542" i="40"/>
  <c r="BO542" i="40"/>
  <c r="BP542" i="40"/>
  <c r="BQ542" i="40"/>
  <c r="BR542" i="40"/>
  <c r="BS542" i="40"/>
  <c r="BT542" i="40"/>
  <c r="BU542" i="40"/>
  <c r="BV542" i="40"/>
  <c r="BW542" i="40"/>
  <c r="BX542" i="40"/>
  <c r="BY542" i="40"/>
  <c r="BZ542" i="40"/>
  <c r="CA542" i="40"/>
  <c r="CB542" i="40"/>
  <c r="CC542" i="40"/>
  <c r="CD542" i="40"/>
  <c r="CE542" i="40"/>
  <c r="CF542" i="40"/>
  <c r="CG542" i="40"/>
  <c r="CH542" i="40"/>
  <c r="DM542" i="40"/>
  <c r="DS542" i="40"/>
  <c r="DT542" i="40"/>
  <c r="DU542" i="40"/>
  <c r="DV542" i="40"/>
  <c r="DW542" i="40"/>
  <c r="A543" i="40"/>
  <c r="AW543" i="40"/>
  <c r="AX543" i="40"/>
  <c r="AZ543" i="40"/>
  <c r="BA543" i="40"/>
  <c r="BB543" i="40"/>
  <c r="BC543" i="40"/>
  <c r="BD543" i="40"/>
  <c r="BE543" i="40"/>
  <c r="BF543" i="40"/>
  <c r="BG543" i="40"/>
  <c r="BH543" i="40"/>
  <c r="BI543" i="40"/>
  <c r="BJ543" i="40"/>
  <c r="BK543" i="40"/>
  <c r="BL543" i="40"/>
  <c r="BM543" i="40"/>
  <c r="BN543" i="40"/>
  <c r="BO543" i="40"/>
  <c r="BP543" i="40"/>
  <c r="BQ543" i="40"/>
  <c r="BR543" i="40"/>
  <c r="BS543" i="40"/>
  <c r="BT543" i="40"/>
  <c r="BU543" i="40"/>
  <c r="BV543" i="40"/>
  <c r="BW543" i="40"/>
  <c r="BX543" i="40"/>
  <c r="BY543" i="40"/>
  <c r="BZ543" i="40"/>
  <c r="CA543" i="40"/>
  <c r="CB543" i="40"/>
  <c r="CC543" i="40"/>
  <c r="CD543" i="40"/>
  <c r="CE543" i="40"/>
  <c r="CF543" i="40"/>
  <c r="CG543" i="40"/>
  <c r="CH543" i="40"/>
  <c r="DM543" i="40"/>
  <c r="DS543" i="40"/>
  <c r="DT543" i="40"/>
  <c r="DU543" i="40"/>
  <c r="DV543" i="40"/>
  <c r="DW543" i="40"/>
  <c r="A544" i="40"/>
  <c r="AW544" i="40"/>
  <c r="AX544" i="40"/>
  <c r="AZ544" i="40"/>
  <c r="BA544" i="40"/>
  <c r="BB544" i="40"/>
  <c r="BC544" i="40"/>
  <c r="BD544" i="40"/>
  <c r="BE544" i="40"/>
  <c r="BF544" i="40"/>
  <c r="BG544" i="40"/>
  <c r="BH544" i="40"/>
  <c r="BI544" i="40"/>
  <c r="BJ544" i="40"/>
  <c r="BK544" i="40"/>
  <c r="BL544" i="40"/>
  <c r="BM544" i="40"/>
  <c r="BN544" i="40"/>
  <c r="BO544" i="40"/>
  <c r="BP544" i="40"/>
  <c r="BQ544" i="40"/>
  <c r="BR544" i="40"/>
  <c r="BS544" i="40"/>
  <c r="BT544" i="40"/>
  <c r="BU544" i="40"/>
  <c r="BV544" i="40"/>
  <c r="BW544" i="40"/>
  <c r="BX544" i="40"/>
  <c r="BY544" i="40"/>
  <c r="BZ544" i="40"/>
  <c r="CA544" i="40"/>
  <c r="CB544" i="40"/>
  <c r="CC544" i="40"/>
  <c r="CD544" i="40"/>
  <c r="CE544" i="40"/>
  <c r="CF544" i="40"/>
  <c r="CG544" i="40"/>
  <c r="CH544" i="40"/>
  <c r="DM544" i="40"/>
  <c r="DS544" i="40"/>
  <c r="DT544" i="40"/>
  <c r="DU544" i="40"/>
  <c r="DV544" i="40"/>
  <c r="DW544" i="40"/>
  <c r="A545" i="40"/>
  <c r="AW545" i="40"/>
  <c r="AX545" i="40"/>
  <c r="AZ545" i="40"/>
  <c r="BA545" i="40"/>
  <c r="BB545" i="40"/>
  <c r="BC545" i="40"/>
  <c r="BD545" i="40"/>
  <c r="BE545" i="40"/>
  <c r="BF545" i="40"/>
  <c r="BG545" i="40"/>
  <c r="BH545" i="40"/>
  <c r="BI545" i="40"/>
  <c r="BJ545" i="40"/>
  <c r="BK545" i="40"/>
  <c r="BL545" i="40"/>
  <c r="BM545" i="40"/>
  <c r="BN545" i="40"/>
  <c r="BO545" i="40"/>
  <c r="BP545" i="40"/>
  <c r="BQ545" i="40"/>
  <c r="BR545" i="40"/>
  <c r="BS545" i="40"/>
  <c r="BT545" i="40"/>
  <c r="BU545" i="40"/>
  <c r="BV545" i="40"/>
  <c r="BW545" i="40"/>
  <c r="BX545" i="40"/>
  <c r="BY545" i="40"/>
  <c r="BZ545" i="40"/>
  <c r="CA545" i="40"/>
  <c r="CB545" i="40"/>
  <c r="CC545" i="40"/>
  <c r="CD545" i="40"/>
  <c r="CE545" i="40"/>
  <c r="CF545" i="40"/>
  <c r="CG545" i="40"/>
  <c r="CH545" i="40"/>
  <c r="DM545" i="40"/>
  <c r="DS545" i="40"/>
  <c r="DT545" i="40"/>
  <c r="DU545" i="40"/>
  <c r="DV545" i="40"/>
  <c r="DW545" i="40"/>
  <c r="A546" i="40"/>
  <c r="AW546" i="40"/>
  <c r="AX546" i="40"/>
  <c r="AZ546" i="40"/>
  <c r="BA546" i="40"/>
  <c r="BB546" i="40"/>
  <c r="BC546" i="40"/>
  <c r="BD546" i="40"/>
  <c r="BE546" i="40"/>
  <c r="BF546" i="40"/>
  <c r="BG546" i="40"/>
  <c r="BH546" i="40"/>
  <c r="BI546" i="40"/>
  <c r="BJ546" i="40"/>
  <c r="BK546" i="40"/>
  <c r="BL546" i="40"/>
  <c r="BM546" i="40"/>
  <c r="BN546" i="40"/>
  <c r="BO546" i="40"/>
  <c r="BP546" i="40"/>
  <c r="BQ546" i="40"/>
  <c r="BR546" i="40"/>
  <c r="BS546" i="40"/>
  <c r="BT546" i="40"/>
  <c r="BU546" i="40"/>
  <c r="BV546" i="40"/>
  <c r="BW546" i="40"/>
  <c r="BX546" i="40"/>
  <c r="BY546" i="40"/>
  <c r="BZ546" i="40"/>
  <c r="CA546" i="40"/>
  <c r="CB546" i="40"/>
  <c r="CC546" i="40"/>
  <c r="CD546" i="40"/>
  <c r="CE546" i="40"/>
  <c r="CF546" i="40"/>
  <c r="CG546" i="40"/>
  <c r="CH546" i="40"/>
  <c r="DM546" i="40"/>
  <c r="DS546" i="40"/>
  <c r="DT546" i="40"/>
  <c r="DU546" i="40"/>
  <c r="DV546" i="40"/>
  <c r="DW546" i="40"/>
  <c r="A547" i="40"/>
  <c r="AW547" i="40"/>
  <c r="AX547" i="40"/>
  <c r="AZ547" i="40"/>
  <c r="BA547" i="40"/>
  <c r="BB547" i="40"/>
  <c r="BC547" i="40"/>
  <c r="BD547" i="40"/>
  <c r="BE547" i="40"/>
  <c r="BF547" i="40"/>
  <c r="BG547" i="40"/>
  <c r="BH547" i="40"/>
  <c r="BI547" i="40"/>
  <c r="BJ547" i="40"/>
  <c r="BK547" i="40"/>
  <c r="BL547" i="40"/>
  <c r="BM547" i="40"/>
  <c r="BN547" i="40"/>
  <c r="BO547" i="40"/>
  <c r="BP547" i="40"/>
  <c r="BQ547" i="40"/>
  <c r="BR547" i="40"/>
  <c r="BS547" i="40"/>
  <c r="BT547" i="40"/>
  <c r="BU547" i="40"/>
  <c r="BV547" i="40"/>
  <c r="BW547" i="40"/>
  <c r="BX547" i="40"/>
  <c r="BY547" i="40"/>
  <c r="BZ547" i="40"/>
  <c r="CA547" i="40"/>
  <c r="CB547" i="40"/>
  <c r="CC547" i="40"/>
  <c r="CD547" i="40"/>
  <c r="CE547" i="40"/>
  <c r="CF547" i="40"/>
  <c r="CG547" i="40"/>
  <c r="CH547" i="40"/>
  <c r="DM547" i="40"/>
  <c r="DS547" i="40"/>
  <c r="DT547" i="40"/>
  <c r="DU547" i="40"/>
  <c r="DV547" i="40"/>
  <c r="DW547" i="40"/>
  <c r="A548" i="40"/>
  <c r="AW548" i="40"/>
  <c r="AX548" i="40"/>
  <c r="AZ548" i="40"/>
  <c r="BA548" i="40"/>
  <c r="BB548" i="40"/>
  <c r="BC548" i="40"/>
  <c r="BD548" i="40"/>
  <c r="BE548" i="40"/>
  <c r="BF548" i="40"/>
  <c r="BG548" i="40"/>
  <c r="BH548" i="40"/>
  <c r="BI548" i="40"/>
  <c r="BJ548" i="40"/>
  <c r="BK548" i="40"/>
  <c r="BL548" i="40"/>
  <c r="BM548" i="40"/>
  <c r="BN548" i="40"/>
  <c r="BO548" i="40"/>
  <c r="BP548" i="40"/>
  <c r="BQ548" i="40"/>
  <c r="BR548" i="40"/>
  <c r="BS548" i="40"/>
  <c r="BT548" i="40"/>
  <c r="BU548" i="40"/>
  <c r="BV548" i="40"/>
  <c r="BW548" i="40"/>
  <c r="BX548" i="40"/>
  <c r="BY548" i="40"/>
  <c r="BZ548" i="40"/>
  <c r="CA548" i="40"/>
  <c r="CB548" i="40"/>
  <c r="CC548" i="40"/>
  <c r="CD548" i="40"/>
  <c r="CE548" i="40"/>
  <c r="CF548" i="40"/>
  <c r="CG548" i="40"/>
  <c r="CH548" i="40"/>
  <c r="DM548" i="40"/>
  <c r="DS548" i="40"/>
  <c r="DT548" i="40"/>
  <c r="DU548" i="40"/>
  <c r="DV548" i="40"/>
  <c r="DW548" i="40"/>
  <c r="A549" i="40"/>
  <c r="AW549" i="40"/>
  <c r="AX549" i="40"/>
  <c r="AZ549" i="40"/>
  <c r="BA549" i="40"/>
  <c r="BB549" i="40"/>
  <c r="BC549" i="40"/>
  <c r="BD549" i="40"/>
  <c r="BE549" i="40"/>
  <c r="BF549" i="40"/>
  <c r="BG549" i="40"/>
  <c r="BH549" i="40"/>
  <c r="BI549" i="40"/>
  <c r="BJ549" i="40"/>
  <c r="BK549" i="40"/>
  <c r="BL549" i="40"/>
  <c r="BM549" i="40"/>
  <c r="BN549" i="40"/>
  <c r="BO549" i="40"/>
  <c r="BP549" i="40"/>
  <c r="BQ549" i="40"/>
  <c r="BR549" i="40"/>
  <c r="BS549" i="40"/>
  <c r="BT549" i="40"/>
  <c r="BU549" i="40"/>
  <c r="BV549" i="40"/>
  <c r="BW549" i="40"/>
  <c r="BX549" i="40"/>
  <c r="BY549" i="40"/>
  <c r="BZ549" i="40"/>
  <c r="CA549" i="40"/>
  <c r="CB549" i="40"/>
  <c r="CC549" i="40"/>
  <c r="CD549" i="40"/>
  <c r="CE549" i="40"/>
  <c r="CF549" i="40"/>
  <c r="CG549" i="40"/>
  <c r="CH549" i="40"/>
  <c r="DM549" i="40"/>
  <c r="DS549" i="40"/>
  <c r="DT549" i="40"/>
  <c r="DU549" i="40"/>
  <c r="DV549" i="40"/>
  <c r="DW549" i="40"/>
  <c r="A550" i="40"/>
  <c r="AW550" i="40"/>
  <c r="AX550" i="40"/>
  <c r="AZ550" i="40"/>
  <c r="BA550" i="40"/>
  <c r="BB550" i="40"/>
  <c r="BC550" i="40"/>
  <c r="BD550" i="40"/>
  <c r="BE550" i="40"/>
  <c r="BF550" i="40"/>
  <c r="BG550" i="40"/>
  <c r="BH550" i="40"/>
  <c r="BI550" i="40"/>
  <c r="BJ550" i="40"/>
  <c r="BK550" i="40"/>
  <c r="BL550" i="40"/>
  <c r="BM550" i="40"/>
  <c r="BN550" i="40"/>
  <c r="BO550" i="40"/>
  <c r="BP550" i="40"/>
  <c r="BQ550" i="40"/>
  <c r="BR550" i="40"/>
  <c r="BS550" i="40"/>
  <c r="BT550" i="40"/>
  <c r="BU550" i="40"/>
  <c r="BV550" i="40"/>
  <c r="BW550" i="40"/>
  <c r="BX550" i="40"/>
  <c r="BY550" i="40"/>
  <c r="BZ550" i="40"/>
  <c r="CA550" i="40"/>
  <c r="CB550" i="40"/>
  <c r="CC550" i="40"/>
  <c r="CD550" i="40"/>
  <c r="CE550" i="40"/>
  <c r="CF550" i="40"/>
  <c r="CG550" i="40"/>
  <c r="CH550" i="40"/>
  <c r="DM550" i="40"/>
  <c r="DS550" i="40"/>
  <c r="DT550" i="40"/>
  <c r="DU550" i="40"/>
  <c r="DV550" i="40"/>
  <c r="DW550" i="40"/>
  <c r="A551" i="40"/>
  <c r="AW551" i="40"/>
  <c r="AX551" i="40"/>
  <c r="AZ551" i="40"/>
  <c r="BA551" i="40"/>
  <c r="BB551" i="40"/>
  <c r="BC551" i="40"/>
  <c r="BD551" i="40"/>
  <c r="BE551" i="40"/>
  <c r="BF551" i="40"/>
  <c r="BG551" i="40"/>
  <c r="BH551" i="40"/>
  <c r="BI551" i="40"/>
  <c r="BJ551" i="40"/>
  <c r="BK551" i="40"/>
  <c r="BL551" i="40"/>
  <c r="BM551" i="40"/>
  <c r="BN551" i="40"/>
  <c r="BO551" i="40"/>
  <c r="BP551" i="40"/>
  <c r="BQ551" i="40"/>
  <c r="BR551" i="40"/>
  <c r="BS551" i="40"/>
  <c r="BT551" i="40"/>
  <c r="BU551" i="40"/>
  <c r="BV551" i="40"/>
  <c r="BW551" i="40"/>
  <c r="BX551" i="40"/>
  <c r="BY551" i="40"/>
  <c r="BZ551" i="40"/>
  <c r="CA551" i="40"/>
  <c r="CB551" i="40"/>
  <c r="CC551" i="40"/>
  <c r="CD551" i="40"/>
  <c r="CE551" i="40"/>
  <c r="CF551" i="40"/>
  <c r="CG551" i="40"/>
  <c r="CH551" i="40"/>
  <c r="DM551" i="40"/>
  <c r="DS551" i="40"/>
  <c r="DT551" i="40"/>
  <c r="DU551" i="40"/>
  <c r="DV551" i="40"/>
  <c r="DW551" i="40"/>
  <c r="A552" i="40"/>
  <c r="AW552" i="40"/>
  <c r="AX552" i="40"/>
  <c r="AZ552" i="40"/>
  <c r="BA552" i="40"/>
  <c r="BB552" i="40"/>
  <c r="BC552" i="40"/>
  <c r="BD552" i="40"/>
  <c r="BE552" i="40"/>
  <c r="BF552" i="40"/>
  <c r="BG552" i="40"/>
  <c r="BH552" i="40"/>
  <c r="BI552" i="40"/>
  <c r="BJ552" i="40"/>
  <c r="BK552" i="40"/>
  <c r="BL552" i="40"/>
  <c r="BM552" i="40"/>
  <c r="BN552" i="40"/>
  <c r="BO552" i="40"/>
  <c r="BP552" i="40"/>
  <c r="BQ552" i="40"/>
  <c r="BR552" i="40"/>
  <c r="BS552" i="40"/>
  <c r="BT552" i="40"/>
  <c r="BU552" i="40"/>
  <c r="BV552" i="40"/>
  <c r="BW552" i="40"/>
  <c r="BX552" i="40"/>
  <c r="BY552" i="40"/>
  <c r="BZ552" i="40"/>
  <c r="CA552" i="40"/>
  <c r="CB552" i="40"/>
  <c r="CC552" i="40"/>
  <c r="CD552" i="40"/>
  <c r="CE552" i="40"/>
  <c r="CF552" i="40"/>
  <c r="CG552" i="40"/>
  <c r="CH552" i="40"/>
  <c r="DM552" i="40"/>
  <c r="DS552" i="40"/>
  <c r="DT552" i="40"/>
  <c r="DU552" i="40"/>
  <c r="DV552" i="40"/>
  <c r="DW552" i="40"/>
  <c r="A553" i="40"/>
  <c r="AW553" i="40"/>
  <c r="AX553" i="40"/>
  <c r="AZ553" i="40"/>
  <c r="BA553" i="40"/>
  <c r="BB553" i="40"/>
  <c r="BC553" i="40"/>
  <c r="BD553" i="40"/>
  <c r="BE553" i="40"/>
  <c r="BF553" i="40"/>
  <c r="BG553" i="40"/>
  <c r="BH553" i="40"/>
  <c r="BI553" i="40"/>
  <c r="BJ553" i="40"/>
  <c r="BK553" i="40"/>
  <c r="BL553" i="40"/>
  <c r="BM553" i="40"/>
  <c r="BN553" i="40"/>
  <c r="BO553" i="40"/>
  <c r="BP553" i="40"/>
  <c r="BQ553" i="40"/>
  <c r="BR553" i="40"/>
  <c r="BS553" i="40"/>
  <c r="BT553" i="40"/>
  <c r="BU553" i="40"/>
  <c r="BV553" i="40"/>
  <c r="BW553" i="40"/>
  <c r="BX553" i="40"/>
  <c r="BY553" i="40"/>
  <c r="BZ553" i="40"/>
  <c r="CA553" i="40"/>
  <c r="CB553" i="40"/>
  <c r="CC553" i="40"/>
  <c r="CD553" i="40"/>
  <c r="CE553" i="40"/>
  <c r="CF553" i="40"/>
  <c r="CG553" i="40"/>
  <c r="CH553" i="40"/>
  <c r="DM553" i="40"/>
  <c r="DS553" i="40"/>
  <c r="DT553" i="40"/>
  <c r="DU553" i="40"/>
  <c r="DV553" i="40"/>
  <c r="DW553" i="40"/>
  <c r="A554" i="40"/>
  <c r="AW554" i="40"/>
  <c r="AX554" i="40"/>
  <c r="AZ554" i="40"/>
  <c r="BA554" i="40"/>
  <c r="BB554" i="40"/>
  <c r="BC554" i="40"/>
  <c r="BD554" i="40"/>
  <c r="BE554" i="40"/>
  <c r="BF554" i="40"/>
  <c r="BG554" i="40"/>
  <c r="BH554" i="40"/>
  <c r="BI554" i="40"/>
  <c r="BJ554" i="40"/>
  <c r="BK554" i="40"/>
  <c r="BL554" i="40"/>
  <c r="BM554" i="40"/>
  <c r="BN554" i="40"/>
  <c r="BO554" i="40"/>
  <c r="BP554" i="40"/>
  <c r="BQ554" i="40"/>
  <c r="BR554" i="40"/>
  <c r="BS554" i="40"/>
  <c r="BT554" i="40"/>
  <c r="BU554" i="40"/>
  <c r="BV554" i="40"/>
  <c r="BW554" i="40"/>
  <c r="BX554" i="40"/>
  <c r="BY554" i="40"/>
  <c r="BZ554" i="40"/>
  <c r="CA554" i="40"/>
  <c r="CB554" i="40"/>
  <c r="CC554" i="40"/>
  <c r="CD554" i="40"/>
  <c r="CE554" i="40"/>
  <c r="CF554" i="40"/>
  <c r="CG554" i="40"/>
  <c r="CH554" i="40"/>
  <c r="DM554" i="40"/>
  <c r="DS554" i="40"/>
  <c r="DT554" i="40"/>
  <c r="DU554" i="40"/>
  <c r="DV554" i="40"/>
  <c r="DW554" i="40"/>
  <c r="A555" i="40"/>
  <c r="AW555" i="40"/>
  <c r="AX555" i="40"/>
  <c r="AZ555" i="40"/>
  <c r="BA555" i="40"/>
  <c r="BB555" i="40"/>
  <c r="BC555" i="40"/>
  <c r="BD555" i="40"/>
  <c r="BE555" i="40"/>
  <c r="BF555" i="40"/>
  <c r="BG555" i="40"/>
  <c r="BH555" i="40"/>
  <c r="BI555" i="40"/>
  <c r="BJ555" i="40"/>
  <c r="BK555" i="40"/>
  <c r="BL555" i="40"/>
  <c r="BM555" i="40"/>
  <c r="BN555" i="40"/>
  <c r="BO555" i="40"/>
  <c r="BP555" i="40"/>
  <c r="BQ555" i="40"/>
  <c r="BR555" i="40"/>
  <c r="BS555" i="40"/>
  <c r="BT555" i="40"/>
  <c r="BU555" i="40"/>
  <c r="BV555" i="40"/>
  <c r="BW555" i="40"/>
  <c r="BX555" i="40"/>
  <c r="BY555" i="40"/>
  <c r="BZ555" i="40"/>
  <c r="CA555" i="40"/>
  <c r="CB555" i="40"/>
  <c r="CC555" i="40"/>
  <c r="CD555" i="40"/>
  <c r="CE555" i="40"/>
  <c r="CF555" i="40"/>
  <c r="CG555" i="40"/>
  <c r="CH555" i="40"/>
  <c r="DM555" i="40"/>
  <c r="DS555" i="40"/>
  <c r="DT555" i="40"/>
  <c r="DU555" i="40"/>
  <c r="DV555" i="40"/>
  <c r="DW555" i="40"/>
  <c r="A556" i="40"/>
  <c r="AW556" i="40"/>
  <c r="AX556" i="40"/>
  <c r="AZ556" i="40"/>
  <c r="BA556" i="40"/>
  <c r="BB556" i="40"/>
  <c r="BC556" i="40"/>
  <c r="BD556" i="40"/>
  <c r="BE556" i="40"/>
  <c r="BF556" i="40"/>
  <c r="BG556" i="40"/>
  <c r="BH556" i="40"/>
  <c r="BI556" i="40"/>
  <c r="BJ556" i="40"/>
  <c r="BK556" i="40"/>
  <c r="BL556" i="40"/>
  <c r="BM556" i="40"/>
  <c r="BN556" i="40"/>
  <c r="BO556" i="40"/>
  <c r="BP556" i="40"/>
  <c r="BQ556" i="40"/>
  <c r="BR556" i="40"/>
  <c r="BS556" i="40"/>
  <c r="BT556" i="40"/>
  <c r="BU556" i="40"/>
  <c r="BV556" i="40"/>
  <c r="BW556" i="40"/>
  <c r="BX556" i="40"/>
  <c r="BY556" i="40"/>
  <c r="BZ556" i="40"/>
  <c r="CA556" i="40"/>
  <c r="CB556" i="40"/>
  <c r="CC556" i="40"/>
  <c r="CD556" i="40"/>
  <c r="CE556" i="40"/>
  <c r="CF556" i="40"/>
  <c r="CG556" i="40"/>
  <c r="CH556" i="40"/>
  <c r="DM556" i="40"/>
  <c r="DS556" i="40"/>
  <c r="DT556" i="40"/>
  <c r="DU556" i="40"/>
  <c r="DV556" i="40"/>
  <c r="DW556" i="40"/>
  <c r="A557" i="40"/>
  <c r="AW557" i="40"/>
  <c r="AX557" i="40"/>
  <c r="AZ557" i="40"/>
  <c r="BA557" i="40"/>
  <c r="BB557" i="40"/>
  <c r="BC557" i="40"/>
  <c r="BD557" i="40"/>
  <c r="BE557" i="40"/>
  <c r="BF557" i="40"/>
  <c r="BG557" i="40"/>
  <c r="BH557" i="40"/>
  <c r="BI557" i="40"/>
  <c r="BJ557" i="40"/>
  <c r="BK557" i="40"/>
  <c r="BL557" i="40"/>
  <c r="BM557" i="40"/>
  <c r="BN557" i="40"/>
  <c r="BO557" i="40"/>
  <c r="BP557" i="40"/>
  <c r="BQ557" i="40"/>
  <c r="BR557" i="40"/>
  <c r="BS557" i="40"/>
  <c r="BT557" i="40"/>
  <c r="BU557" i="40"/>
  <c r="BV557" i="40"/>
  <c r="BW557" i="40"/>
  <c r="BX557" i="40"/>
  <c r="BY557" i="40"/>
  <c r="BZ557" i="40"/>
  <c r="CA557" i="40"/>
  <c r="CB557" i="40"/>
  <c r="CC557" i="40"/>
  <c r="CD557" i="40"/>
  <c r="CE557" i="40"/>
  <c r="CF557" i="40"/>
  <c r="CG557" i="40"/>
  <c r="CH557" i="40"/>
  <c r="DM557" i="40"/>
  <c r="DS557" i="40"/>
  <c r="DT557" i="40"/>
  <c r="DU557" i="40"/>
  <c r="DV557" i="40"/>
  <c r="DW557" i="40"/>
  <c r="A558" i="40"/>
  <c r="AW558" i="40"/>
  <c r="AX558" i="40"/>
  <c r="AZ558" i="40"/>
  <c r="BA558" i="40"/>
  <c r="BB558" i="40"/>
  <c r="BC558" i="40"/>
  <c r="BD558" i="40"/>
  <c r="BE558" i="40"/>
  <c r="BF558" i="40"/>
  <c r="BG558" i="40"/>
  <c r="BH558" i="40"/>
  <c r="BI558" i="40"/>
  <c r="BJ558" i="40"/>
  <c r="BK558" i="40"/>
  <c r="BL558" i="40"/>
  <c r="BM558" i="40"/>
  <c r="BN558" i="40"/>
  <c r="BO558" i="40"/>
  <c r="BP558" i="40"/>
  <c r="BQ558" i="40"/>
  <c r="BR558" i="40"/>
  <c r="BS558" i="40"/>
  <c r="BT558" i="40"/>
  <c r="BU558" i="40"/>
  <c r="BV558" i="40"/>
  <c r="BW558" i="40"/>
  <c r="BX558" i="40"/>
  <c r="BY558" i="40"/>
  <c r="BZ558" i="40"/>
  <c r="CA558" i="40"/>
  <c r="CB558" i="40"/>
  <c r="CC558" i="40"/>
  <c r="CD558" i="40"/>
  <c r="CE558" i="40"/>
  <c r="CF558" i="40"/>
  <c r="CG558" i="40"/>
  <c r="CH558" i="40"/>
  <c r="DM558" i="40"/>
  <c r="DS558" i="40"/>
  <c r="DT558" i="40"/>
  <c r="DU558" i="40"/>
  <c r="DV558" i="40"/>
  <c r="DW558" i="40"/>
  <c r="A559" i="40"/>
  <c r="AW559" i="40"/>
  <c r="AX559" i="40"/>
  <c r="AZ559" i="40"/>
  <c r="BA559" i="40"/>
  <c r="BB559" i="40"/>
  <c r="BC559" i="40"/>
  <c r="BD559" i="40"/>
  <c r="BE559" i="40"/>
  <c r="BF559" i="40"/>
  <c r="BG559" i="40"/>
  <c r="BH559" i="40"/>
  <c r="BI559" i="40"/>
  <c r="BJ559" i="40"/>
  <c r="BK559" i="40"/>
  <c r="BL559" i="40"/>
  <c r="BM559" i="40"/>
  <c r="BN559" i="40"/>
  <c r="BO559" i="40"/>
  <c r="BP559" i="40"/>
  <c r="BQ559" i="40"/>
  <c r="BR559" i="40"/>
  <c r="BS559" i="40"/>
  <c r="BT559" i="40"/>
  <c r="BU559" i="40"/>
  <c r="BV559" i="40"/>
  <c r="BW559" i="40"/>
  <c r="BX559" i="40"/>
  <c r="BY559" i="40"/>
  <c r="BZ559" i="40"/>
  <c r="CA559" i="40"/>
  <c r="CB559" i="40"/>
  <c r="CC559" i="40"/>
  <c r="CD559" i="40"/>
  <c r="CE559" i="40"/>
  <c r="CF559" i="40"/>
  <c r="CG559" i="40"/>
  <c r="CH559" i="40"/>
  <c r="DM559" i="40"/>
  <c r="DS559" i="40"/>
  <c r="DT559" i="40"/>
  <c r="DU559" i="40"/>
  <c r="DV559" i="40"/>
  <c r="DW559" i="40"/>
  <c r="A560" i="40"/>
  <c r="AW560" i="40"/>
  <c r="AX560" i="40"/>
  <c r="AZ560" i="40"/>
  <c r="BA560" i="40"/>
  <c r="BB560" i="40"/>
  <c r="BC560" i="40"/>
  <c r="BD560" i="40"/>
  <c r="BE560" i="40"/>
  <c r="BF560" i="40"/>
  <c r="BG560" i="40"/>
  <c r="BH560" i="40"/>
  <c r="BI560" i="40"/>
  <c r="BJ560" i="40"/>
  <c r="BK560" i="40"/>
  <c r="BL560" i="40"/>
  <c r="BM560" i="40"/>
  <c r="BN560" i="40"/>
  <c r="BO560" i="40"/>
  <c r="BP560" i="40"/>
  <c r="BQ560" i="40"/>
  <c r="BR560" i="40"/>
  <c r="BS560" i="40"/>
  <c r="BT560" i="40"/>
  <c r="BU560" i="40"/>
  <c r="BV560" i="40"/>
  <c r="BW560" i="40"/>
  <c r="BX560" i="40"/>
  <c r="BY560" i="40"/>
  <c r="BZ560" i="40"/>
  <c r="CA560" i="40"/>
  <c r="CB560" i="40"/>
  <c r="CC560" i="40"/>
  <c r="CD560" i="40"/>
  <c r="CE560" i="40"/>
  <c r="CF560" i="40"/>
  <c r="CG560" i="40"/>
  <c r="CH560" i="40"/>
  <c r="DM560" i="40"/>
  <c r="DS560" i="40"/>
  <c r="DT560" i="40"/>
  <c r="DU560" i="40"/>
  <c r="DV560" i="40"/>
  <c r="DW560" i="40"/>
  <c r="A561" i="40"/>
  <c r="AW561" i="40"/>
  <c r="AX561" i="40"/>
  <c r="AZ561" i="40"/>
  <c r="BA561" i="40"/>
  <c r="BB561" i="40"/>
  <c r="BC561" i="40"/>
  <c r="BD561" i="40"/>
  <c r="BE561" i="40"/>
  <c r="BF561" i="40"/>
  <c r="BG561" i="40"/>
  <c r="BH561" i="40"/>
  <c r="BI561" i="40"/>
  <c r="BJ561" i="40"/>
  <c r="BK561" i="40"/>
  <c r="BL561" i="40"/>
  <c r="BM561" i="40"/>
  <c r="BN561" i="40"/>
  <c r="BO561" i="40"/>
  <c r="BP561" i="40"/>
  <c r="BQ561" i="40"/>
  <c r="BR561" i="40"/>
  <c r="BS561" i="40"/>
  <c r="BT561" i="40"/>
  <c r="BU561" i="40"/>
  <c r="BV561" i="40"/>
  <c r="BW561" i="40"/>
  <c r="BX561" i="40"/>
  <c r="BY561" i="40"/>
  <c r="BZ561" i="40"/>
  <c r="CA561" i="40"/>
  <c r="CB561" i="40"/>
  <c r="CC561" i="40"/>
  <c r="CD561" i="40"/>
  <c r="CE561" i="40"/>
  <c r="CF561" i="40"/>
  <c r="CG561" i="40"/>
  <c r="CH561" i="40"/>
  <c r="DM561" i="40"/>
  <c r="DS561" i="40"/>
  <c r="DT561" i="40"/>
  <c r="DU561" i="40"/>
  <c r="DV561" i="40"/>
  <c r="DW561" i="40"/>
  <c r="A562" i="40"/>
  <c r="AW562" i="40"/>
  <c r="AX562" i="40"/>
  <c r="AZ562" i="40"/>
  <c r="BA562" i="40"/>
  <c r="BB562" i="40"/>
  <c r="BC562" i="40"/>
  <c r="BD562" i="40"/>
  <c r="BE562" i="40"/>
  <c r="BF562" i="40"/>
  <c r="BG562" i="40"/>
  <c r="BH562" i="40"/>
  <c r="BI562" i="40"/>
  <c r="BJ562" i="40"/>
  <c r="BK562" i="40"/>
  <c r="BL562" i="40"/>
  <c r="BM562" i="40"/>
  <c r="BN562" i="40"/>
  <c r="BO562" i="40"/>
  <c r="BP562" i="40"/>
  <c r="BQ562" i="40"/>
  <c r="BR562" i="40"/>
  <c r="BS562" i="40"/>
  <c r="BT562" i="40"/>
  <c r="BU562" i="40"/>
  <c r="BV562" i="40"/>
  <c r="BW562" i="40"/>
  <c r="BX562" i="40"/>
  <c r="BY562" i="40"/>
  <c r="BZ562" i="40"/>
  <c r="CA562" i="40"/>
  <c r="CB562" i="40"/>
  <c r="CC562" i="40"/>
  <c r="CD562" i="40"/>
  <c r="CE562" i="40"/>
  <c r="CF562" i="40"/>
  <c r="CG562" i="40"/>
  <c r="CH562" i="40"/>
  <c r="DM562" i="40"/>
  <c r="DS562" i="40"/>
  <c r="DT562" i="40"/>
  <c r="DU562" i="40"/>
  <c r="DV562" i="40"/>
  <c r="DW562" i="40"/>
  <c r="A563" i="40"/>
  <c r="AW563" i="40"/>
  <c r="AX563" i="40"/>
  <c r="AZ563" i="40"/>
  <c r="BA563" i="40"/>
  <c r="BB563" i="40"/>
  <c r="BC563" i="40"/>
  <c r="BD563" i="40"/>
  <c r="BE563" i="40"/>
  <c r="BF563" i="40"/>
  <c r="BG563" i="40"/>
  <c r="BH563" i="40"/>
  <c r="BI563" i="40"/>
  <c r="BJ563" i="40"/>
  <c r="BK563" i="40"/>
  <c r="BL563" i="40"/>
  <c r="BM563" i="40"/>
  <c r="BN563" i="40"/>
  <c r="BO563" i="40"/>
  <c r="BP563" i="40"/>
  <c r="BQ563" i="40"/>
  <c r="BR563" i="40"/>
  <c r="BS563" i="40"/>
  <c r="BT563" i="40"/>
  <c r="BU563" i="40"/>
  <c r="BV563" i="40"/>
  <c r="BW563" i="40"/>
  <c r="BX563" i="40"/>
  <c r="BY563" i="40"/>
  <c r="BZ563" i="40"/>
  <c r="CA563" i="40"/>
  <c r="CB563" i="40"/>
  <c r="CC563" i="40"/>
  <c r="CD563" i="40"/>
  <c r="CE563" i="40"/>
  <c r="CF563" i="40"/>
  <c r="CG563" i="40"/>
  <c r="CH563" i="40"/>
  <c r="DM563" i="40"/>
  <c r="DS563" i="40"/>
  <c r="DT563" i="40"/>
  <c r="DU563" i="40"/>
  <c r="DV563" i="40"/>
  <c r="DW563" i="40"/>
  <c r="A564" i="40"/>
  <c r="AW564" i="40"/>
  <c r="AX564" i="40"/>
  <c r="AZ564" i="40"/>
  <c r="BA564" i="40"/>
  <c r="BB564" i="40"/>
  <c r="BC564" i="40"/>
  <c r="BD564" i="40"/>
  <c r="BE564" i="40"/>
  <c r="BF564" i="40"/>
  <c r="BG564" i="40"/>
  <c r="BH564" i="40"/>
  <c r="BI564" i="40"/>
  <c r="BJ564" i="40"/>
  <c r="BK564" i="40"/>
  <c r="BL564" i="40"/>
  <c r="BM564" i="40"/>
  <c r="BN564" i="40"/>
  <c r="BO564" i="40"/>
  <c r="BP564" i="40"/>
  <c r="BQ564" i="40"/>
  <c r="BR564" i="40"/>
  <c r="BS564" i="40"/>
  <c r="BT564" i="40"/>
  <c r="BU564" i="40"/>
  <c r="BV564" i="40"/>
  <c r="BW564" i="40"/>
  <c r="BX564" i="40"/>
  <c r="BY564" i="40"/>
  <c r="BZ564" i="40"/>
  <c r="CA564" i="40"/>
  <c r="CB564" i="40"/>
  <c r="CC564" i="40"/>
  <c r="CD564" i="40"/>
  <c r="CE564" i="40"/>
  <c r="CF564" i="40"/>
  <c r="CG564" i="40"/>
  <c r="CH564" i="40"/>
  <c r="DM564" i="40"/>
  <c r="DS564" i="40"/>
  <c r="DT564" i="40"/>
  <c r="DU564" i="40"/>
  <c r="DV564" i="40"/>
  <c r="DW564" i="40"/>
  <c r="A565" i="40"/>
  <c r="AW565" i="40"/>
  <c r="AX565" i="40"/>
  <c r="AZ565" i="40"/>
  <c r="BA565" i="40"/>
  <c r="BB565" i="40"/>
  <c r="BC565" i="40"/>
  <c r="BD565" i="40"/>
  <c r="BE565" i="40"/>
  <c r="BF565" i="40"/>
  <c r="BG565" i="40"/>
  <c r="BH565" i="40"/>
  <c r="BI565" i="40"/>
  <c r="BJ565" i="40"/>
  <c r="BK565" i="40"/>
  <c r="BL565" i="40"/>
  <c r="BM565" i="40"/>
  <c r="BN565" i="40"/>
  <c r="BO565" i="40"/>
  <c r="BP565" i="40"/>
  <c r="BQ565" i="40"/>
  <c r="BR565" i="40"/>
  <c r="BS565" i="40"/>
  <c r="BT565" i="40"/>
  <c r="BU565" i="40"/>
  <c r="BV565" i="40"/>
  <c r="BW565" i="40"/>
  <c r="BX565" i="40"/>
  <c r="BY565" i="40"/>
  <c r="BZ565" i="40"/>
  <c r="CA565" i="40"/>
  <c r="CB565" i="40"/>
  <c r="CC565" i="40"/>
  <c r="CD565" i="40"/>
  <c r="CE565" i="40"/>
  <c r="CF565" i="40"/>
  <c r="CG565" i="40"/>
  <c r="CH565" i="40"/>
  <c r="DM565" i="40"/>
  <c r="DS565" i="40"/>
  <c r="DT565" i="40"/>
  <c r="DU565" i="40"/>
  <c r="DV565" i="40"/>
  <c r="DW565" i="40"/>
  <c r="A566" i="40"/>
  <c r="AW566" i="40"/>
  <c r="AX566" i="40"/>
  <c r="AZ566" i="40"/>
  <c r="BA566" i="40"/>
  <c r="BB566" i="40"/>
  <c r="BC566" i="40"/>
  <c r="BD566" i="40"/>
  <c r="BE566" i="40"/>
  <c r="BF566" i="40"/>
  <c r="BG566" i="40"/>
  <c r="BH566" i="40"/>
  <c r="BI566" i="40"/>
  <c r="BJ566" i="40"/>
  <c r="BK566" i="40"/>
  <c r="BL566" i="40"/>
  <c r="BM566" i="40"/>
  <c r="BN566" i="40"/>
  <c r="BO566" i="40"/>
  <c r="BP566" i="40"/>
  <c r="BQ566" i="40"/>
  <c r="BR566" i="40"/>
  <c r="BS566" i="40"/>
  <c r="BT566" i="40"/>
  <c r="BU566" i="40"/>
  <c r="BV566" i="40"/>
  <c r="BW566" i="40"/>
  <c r="BX566" i="40"/>
  <c r="BY566" i="40"/>
  <c r="BZ566" i="40"/>
  <c r="CA566" i="40"/>
  <c r="CB566" i="40"/>
  <c r="CC566" i="40"/>
  <c r="CD566" i="40"/>
  <c r="CE566" i="40"/>
  <c r="CF566" i="40"/>
  <c r="CG566" i="40"/>
  <c r="CH566" i="40"/>
  <c r="DM566" i="40"/>
  <c r="DS566" i="40"/>
  <c r="DT566" i="40"/>
  <c r="DU566" i="40"/>
  <c r="DV566" i="40"/>
  <c r="DW566" i="40"/>
  <c r="A567" i="40"/>
  <c r="AW567" i="40"/>
  <c r="AX567" i="40"/>
  <c r="AZ567" i="40"/>
  <c r="BA567" i="40"/>
  <c r="BB567" i="40"/>
  <c r="BC567" i="40"/>
  <c r="BD567" i="40"/>
  <c r="BE567" i="40"/>
  <c r="BF567" i="40"/>
  <c r="BG567" i="40"/>
  <c r="BH567" i="40"/>
  <c r="BI567" i="40"/>
  <c r="BJ567" i="40"/>
  <c r="BK567" i="40"/>
  <c r="BL567" i="40"/>
  <c r="BM567" i="40"/>
  <c r="BN567" i="40"/>
  <c r="BO567" i="40"/>
  <c r="BP567" i="40"/>
  <c r="BQ567" i="40"/>
  <c r="BR567" i="40"/>
  <c r="BS567" i="40"/>
  <c r="BT567" i="40"/>
  <c r="BU567" i="40"/>
  <c r="BV567" i="40"/>
  <c r="BW567" i="40"/>
  <c r="BX567" i="40"/>
  <c r="BY567" i="40"/>
  <c r="BZ567" i="40"/>
  <c r="CA567" i="40"/>
  <c r="CB567" i="40"/>
  <c r="CC567" i="40"/>
  <c r="CD567" i="40"/>
  <c r="CE567" i="40"/>
  <c r="CF567" i="40"/>
  <c r="CG567" i="40"/>
  <c r="CH567" i="40"/>
  <c r="DM567" i="40"/>
  <c r="DS567" i="40"/>
  <c r="DT567" i="40"/>
  <c r="DU567" i="40"/>
  <c r="DV567" i="40"/>
  <c r="DW567" i="40"/>
  <c r="A568" i="40"/>
  <c r="AW568" i="40"/>
  <c r="AX568" i="40"/>
  <c r="AZ568" i="40"/>
  <c r="BA568" i="40"/>
  <c r="BB568" i="40"/>
  <c r="BC568" i="40"/>
  <c r="BD568" i="40"/>
  <c r="BE568" i="40"/>
  <c r="BF568" i="40"/>
  <c r="BG568" i="40"/>
  <c r="BH568" i="40"/>
  <c r="BI568" i="40"/>
  <c r="BJ568" i="40"/>
  <c r="BK568" i="40"/>
  <c r="BL568" i="40"/>
  <c r="BM568" i="40"/>
  <c r="BN568" i="40"/>
  <c r="BO568" i="40"/>
  <c r="BP568" i="40"/>
  <c r="BQ568" i="40"/>
  <c r="BR568" i="40"/>
  <c r="BS568" i="40"/>
  <c r="BT568" i="40"/>
  <c r="BU568" i="40"/>
  <c r="BV568" i="40"/>
  <c r="BW568" i="40"/>
  <c r="BX568" i="40"/>
  <c r="BY568" i="40"/>
  <c r="BZ568" i="40"/>
  <c r="CA568" i="40"/>
  <c r="CB568" i="40"/>
  <c r="CC568" i="40"/>
  <c r="CD568" i="40"/>
  <c r="CE568" i="40"/>
  <c r="CF568" i="40"/>
  <c r="CG568" i="40"/>
  <c r="CH568" i="40"/>
  <c r="DM568" i="40"/>
  <c r="DS568" i="40"/>
  <c r="DT568" i="40"/>
  <c r="DU568" i="40"/>
  <c r="DV568" i="40"/>
  <c r="DW568" i="40"/>
  <c r="A569" i="40"/>
  <c r="AW569" i="40"/>
  <c r="AX569" i="40"/>
  <c r="AZ569" i="40"/>
  <c r="BA569" i="40"/>
  <c r="BB569" i="40"/>
  <c r="BC569" i="40"/>
  <c r="BD569" i="40"/>
  <c r="BE569" i="40"/>
  <c r="BF569" i="40"/>
  <c r="BG569" i="40"/>
  <c r="BH569" i="40"/>
  <c r="BI569" i="40"/>
  <c r="BJ569" i="40"/>
  <c r="BK569" i="40"/>
  <c r="BL569" i="40"/>
  <c r="BM569" i="40"/>
  <c r="BN569" i="40"/>
  <c r="BO569" i="40"/>
  <c r="BP569" i="40"/>
  <c r="BQ569" i="40"/>
  <c r="BR569" i="40"/>
  <c r="BS569" i="40"/>
  <c r="BT569" i="40"/>
  <c r="BU569" i="40"/>
  <c r="BV569" i="40"/>
  <c r="BW569" i="40"/>
  <c r="BX569" i="40"/>
  <c r="BY569" i="40"/>
  <c r="BZ569" i="40"/>
  <c r="CA569" i="40"/>
  <c r="CB569" i="40"/>
  <c r="CC569" i="40"/>
  <c r="CD569" i="40"/>
  <c r="CE569" i="40"/>
  <c r="CF569" i="40"/>
  <c r="CG569" i="40"/>
  <c r="CH569" i="40"/>
  <c r="DM569" i="40"/>
  <c r="DS569" i="40"/>
  <c r="DT569" i="40"/>
  <c r="DU569" i="40"/>
  <c r="DV569" i="40"/>
  <c r="DW569" i="40"/>
  <c r="A570" i="40"/>
  <c r="AW570" i="40"/>
  <c r="AX570" i="40"/>
  <c r="AZ570" i="40"/>
  <c r="BA570" i="40"/>
  <c r="BB570" i="40"/>
  <c r="BC570" i="40"/>
  <c r="BD570" i="40"/>
  <c r="BE570" i="40"/>
  <c r="BF570" i="40"/>
  <c r="BG570" i="40"/>
  <c r="BH570" i="40"/>
  <c r="BI570" i="40"/>
  <c r="BJ570" i="40"/>
  <c r="BK570" i="40"/>
  <c r="BL570" i="40"/>
  <c r="BM570" i="40"/>
  <c r="BN570" i="40"/>
  <c r="BO570" i="40"/>
  <c r="BP570" i="40"/>
  <c r="BQ570" i="40"/>
  <c r="BR570" i="40"/>
  <c r="BS570" i="40"/>
  <c r="BT570" i="40"/>
  <c r="BU570" i="40"/>
  <c r="BV570" i="40"/>
  <c r="BW570" i="40"/>
  <c r="BX570" i="40"/>
  <c r="BY570" i="40"/>
  <c r="BZ570" i="40"/>
  <c r="CA570" i="40"/>
  <c r="CB570" i="40"/>
  <c r="CC570" i="40"/>
  <c r="CD570" i="40"/>
  <c r="CE570" i="40"/>
  <c r="CF570" i="40"/>
  <c r="CG570" i="40"/>
  <c r="CH570" i="40"/>
  <c r="DM570" i="40"/>
  <c r="DS570" i="40"/>
  <c r="DT570" i="40"/>
  <c r="DU570" i="40"/>
  <c r="DV570" i="40"/>
  <c r="DW570" i="40"/>
  <c r="A571" i="40"/>
  <c r="AW571" i="40"/>
  <c r="AX571" i="40"/>
  <c r="AZ571" i="40"/>
  <c r="BA571" i="40"/>
  <c r="BB571" i="40"/>
  <c r="BC571" i="40"/>
  <c r="BD571" i="40"/>
  <c r="BE571" i="40"/>
  <c r="BF571" i="40"/>
  <c r="BG571" i="40"/>
  <c r="BH571" i="40"/>
  <c r="BI571" i="40"/>
  <c r="BJ571" i="40"/>
  <c r="BK571" i="40"/>
  <c r="BL571" i="40"/>
  <c r="BM571" i="40"/>
  <c r="BN571" i="40"/>
  <c r="BO571" i="40"/>
  <c r="BP571" i="40"/>
  <c r="BQ571" i="40"/>
  <c r="BR571" i="40"/>
  <c r="BS571" i="40"/>
  <c r="BT571" i="40"/>
  <c r="BU571" i="40"/>
  <c r="BV571" i="40"/>
  <c r="BW571" i="40"/>
  <c r="BX571" i="40"/>
  <c r="BY571" i="40"/>
  <c r="BZ571" i="40"/>
  <c r="CA571" i="40"/>
  <c r="CB571" i="40"/>
  <c r="CC571" i="40"/>
  <c r="CD571" i="40"/>
  <c r="CE571" i="40"/>
  <c r="CF571" i="40"/>
  <c r="CG571" i="40"/>
  <c r="CH571" i="40"/>
  <c r="DM571" i="40"/>
  <c r="DS571" i="40"/>
  <c r="DT571" i="40"/>
  <c r="DU571" i="40"/>
  <c r="DV571" i="40"/>
  <c r="DW571" i="40"/>
  <c r="A572" i="40"/>
  <c r="AW572" i="40"/>
  <c r="AX572" i="40"/>
  <c r="AZ572" i="40"/>
  <c r="BA572" i="40"/>
  <c r="BB572" i="40"/>
  <c r="BC572" i="40"/>
  <c r="BD572" i="40"/>
  <c r="BE572" i="40"/>
  <c r="BF572" i="40"/>
  <c r="BG572" i="40"/>
  <c r="BH572" i="40"/>
  <c r="BI572" i="40"/>
  <c r="BJ572" i="40"/>
  <c r="BK572" i="40"/>
  <c r="BL572" i="40"/>
  <c r="BM572" i="40"/>
  <c r="BN572" i="40"/>
  <c r="BO572" i="40"/>
  <c r="BP572" i="40"/>
  <c r="BQ572" i="40"/>
  <c r="BR572" i="40"/>
  <c r="BS572" i="40"/>
  <c r="BT572" i="40"/>
  <c r="BU572" i="40"/>
  <c r="BV572" i="40"/>
  <c r="BW572" i="40"/>
  <c r="BX572" i="40"/>
  <c r="BY572" i="40"/>
  <c r="BZ572" i="40"/>
  <c r="CA572" i="40"/>
  <c r="CB572" i="40"/>
  <c r="CC572" i="40"/>
  <c r="CD572" i="40"/>
  <c r="CE572" i="40"/>
  <c r="CF572" i="40"/>
  <c r="CG572" i="40"/>
  <c r="CH572" i="40"/>
  <c r="DM572" i="40"/>
  <c r="DS572" i="40"/>
  <c r="DT572" i="40"/>
  <c r="DU572" i="40"/>
  <c r="DV572" i="40"/>
  <c r="DW572" i="40"/>
  <c r="A573" i="40"/>
  <c r="AW573" i="40"/>
  <c r="AX573" i="40"/>
  <c r="AZ573" i="40"/>
  <c r="BA573" i="40"/>
  <c r="BB573" i="40"/>
  <c r="BC573" i="40"/>
  <c r="BD573" i="40"/>
  <c r="BE573" i="40"/>
  <c r="BF573" i="40"/>
  <c r="BG573" i="40"/>
  <c r="BH573" i="40"/>
  <c r="BI573" i="40"/>
  <c r="BJ573" i="40"/>
  <c r="BK573" i="40"/>
  <c r="BL573" i="40"/>
  <c r="BM573" i="40"/>
  <c r="BN573" i="40"/>
  <c r="BO573" i="40"/>
  <c r="BP573" i="40"/>
  <c r="BQ573" i="40"/>
  <c r="BR573" i="40"/>
  <c r="BS573" i="40"/>
  <c r="BT573" i="40"/>
  <c r="BU573" i="40"/>
  <c r="BV573" i="40"/>
  <c r="BW573" i="40"/>
  <c r="BX573" i="40"/>
  <c r="BY573" i="40"/>
  <c r="BZ573" i="40"/>
  <c r="CA573" i="40"/>
  <c r="CB573" i="40"/>
  <c r="CC573" i="40"/>
  <c r="CD573" i="40"/>
  <c r="CE573" i="40"/>
  <c r="CF573" i="40"/>
  <c r="CG573" i="40"/>
  <c r="CH573" i="40"/>
  <c r="DM573" i="40"/>
  <c r="DS573" i="40"/>
  <c r="DT573" i="40"/>
  <c r="DU573" i="40"/>
  <c r="DV573" i="40"/>
  <c r="DW573" i="40"/>
  <c r="A574" i="40"/>
  <c r="AW574" i="40"/>
  <c r="AX574" i="40"/>
  <c r="AZ574" i="40"/>
  <c r="BA574" i="40"/>
  <c r="BB574" i="40"/>
  <c r="BC574" i="40"/>
  <c r="BD574" i="40"/>
  <c r="BE574" i="40"/>
  <c r="BF574" i="40"/>
  <c r="BG574" i="40"/>
  <c r="BH574" i="40"/>
  <c r="BI574" i="40"/>
  <c r="BJ574" i="40"/>
  <c r="BK574" i="40"/>
  <c r="BL574" i="40"/>
  <c r="BM574" i="40"/>
  <c r="BN574" i="40"/>
  <c r="BO574" i="40"/>
  <c r="BP574" i="40"/>
  <c r="BQ574" i="40"/>
  <c r="BR574" i="40"/>
  <c r="BS574" i="40"/>
  <c r="BT574" i="40"/>
  <c r="BU574" i="40"/>
  <c r="BV574" i="40"/>
  <c r="BW574" i="40"/>
  <c r="BX574" i="40"/>
  <c r="BY574" i="40"/>
  <c r="BZ574" i="40"/>
  <c r="CA574" i="40"/>
  <c r="CB574" i="40"/>
  <c r="CC574" i="40"/>
  <c r="CD574" i="40"/>
  <c r="CE574" i="40"/>
  <c r="CF574" i="40"/>
  <c r="CG574" i="40"/>
  <c r="CH574" i="40"/>
  <c r="DM574" i="40"/>
  <c r="DS574" i="40"/>
  <c r="DT574" i="40"/>
  <c r="DU574" i="40"/>
  <c r="DV574" i="40"/>
  <c r="DW574" i="40"/>
  <c r="A575" i="40"/>
  <c r="AW575" i="40"/>
  <c r="AX575" i="40"/>
  <c r="AZ575" i="40"/>
  <c r="BA575" i="40"/>
  <c r="BB575" i="40"/>
  <c r="BC575" i="40"/>
  <c r="BD575" i="40"/>
  <c r="BE575" i="40"/>
  <c r="BF575" i="40"/>
  <c r="BG575" i="40"/>
  <c r="BH575" i="40"/>
  <c r="BI575" i="40"/>
  <c r="BJ575" i="40"/>
  <c r="BK575" i="40"/>
  <c r="BL575" i="40"/>
  <c r="BM575" i="40"/>
  <c r="BN575" i="40"/>
  <c r="BO575" i="40"/>
  <c r="BP575" i="40"/>
  <c r="BQ575" i="40"/>
  <c r="BR575" i="40"/>
  <c r="BS575" i="40"/>
  <c r="BT575" i="40"/>
  <c r="BU575" i="40"/>
  <c r="BV575" i="40"/>
  <c r="BW575" i="40"/>
  <c r="BX575" i="40"/>
  <c r="BY575" i="40"/>
  <c r="BZ575" i="40"/>
  <c r="CA575" i="40"/>
  <c r="CB575" i="40"/>
  <c r="CC575" i="40"/>
  <c r="CD575" i="40"/>
  <c r="CE575" i="40"/>
  <c r="CF575" i="40"/>
  <c r="CG575" i="40"/>
  <c r="CH575" i="40"/>
  <c r="DM575" i="40"/>
  <c r="DS575" i="40"/>
  <c r="DT575" i="40"/>
  <c r="DU575" i="40"/>
  <c r="DV575" i="40"/>
  <c r="DW575" i="40"/>
  <c r="A576" i="40"/>
  <c r="AW576" i="40"/>
  <c r="AX576" i="40"/>
  <c r="AZ576" i="40"/>
  <c r="BA576" i="40"/>
  <c r="BB576" i="40"/>
  <c r="BC576" i="40"/>
  <c r="BD576" i="40"/>
  <c r="BE576" i="40"/>
  <c r="BF576" i="40"/>
  <c r="BG576" i="40"/>
  <c r="BH576" i="40"/>
  <c r="BI576" i="40"/>
  <c r="BJ576" i="40"/>
  <c r="BK576" i="40"/>
  <c r="BL576" i="40"/>
  <c r="BM576" i="40"/>
  <c r="BN576" i="40"/>
  <c r="BO576" i="40"/>
  <c r="BP576" i="40"/>
  <c r="BQ576" i="40"/>
  <c r="BR576" i="40"/>
  <c r="BS576" i="40"/>
  <c r="BT576" i="40"/>
  <c r="BU576" i="40"/>
  <c r="BV576" i="40"/>
  <c r="BW576" i="40"/>
  <c r="BX576" i="40"/>
  <c r="BY576" i="40"/>
  <c r="BZ576" i="40"/>
  <c r="CA576" i="40"/>
  <c r="CB576" i="40"/>
  <c r="CC576" i="40"/>
  <c r="CD576" i="40"/>
  <c r="CE576" i="40"/>
  <c r="CF576" i="40"/>
  <c r="CG576" i="40"/>
  <c r="CH576" i="40"/>
  <c r="DM576" i="40"/>
  <c r="DS576" i="40"/>
  <c r="DT576" i="40"/>
  <c r="DU576" i="40"/>
  <c r="DV576" i="40"/>
  <c r="DW576" i="40"/>
  <c r="A577" i="40"/>
  <c r="AW577" i="40"/>
  <c r="AX577" i="40"/>
  <c r="AZ577" i="40"/>
  <c r="BA577" i="40"/>
  <c r="BB577" i="40"/>
  <c r="BC577" i="40"/>
  <c r="BD577" i="40"/>
  <c r="BE577" i="40"/>
  <c r="BF577" i="40"/>
  <c r="BG577" i="40"/>
  <c r="BH577" i="40"/>
  <c r="BI577" i="40"/>
  <c r="BJ577" i="40"/>
  <c r="BK577" i="40"/>
  <c r="BL577" i="40"/>
  <c r="BM577" i="40"/>
  <c r="BN577" i="40"/>
  <c r="BO577" i="40"/>
  <c r="BP577" i="40"/>
  <c r="BQ577" i="40"/>
  <c r="BR577" i="40"/>
  <c r="BS577" i="40"/>
  <c r="BT577" i="40"/>
  <c r="BU577" i="40"/>
  <c r="BV577" i="40"/>
  <c r="BW577" i="40"/>
  <c r="BX577" i="40"/>
  <c r="BY577" i="40"/>
  <c r="BZ577" i="40"/>
  <c r="CA577" i="40"/>
  <c r="CB577" i="40"/>
  <c r="CC577" i="40"/>
  <c r="CD577" i="40"/>
  <c r="CE577" i="40"/>
  <c r="CF577" i="40"/>
  <c r="CG577" i="40"/>
  <c r="CH577" i="40"/>
  <c r="DM577" i="40"/>
  <c r="DS577" i="40"/>
  <c r="DT577" i="40"/>
  <c r="DU577" i="40"/>
  <c r="DV577" i="40"/>
  <c r="DW577" i="40"/>
  <c r="A578" i="40"/>
  <c r="AW578" i="40"/>
  <c r="AX578" i="40"/>
  <c r="AZ578" i="40"/>
  <c r="BA578" i="40"/>
  <c r="BB578" i="40"/>
  <c r="BC578" i="40"/>
  <c r="BD578" i="40"/>
  <c r="BE578" i="40"/>
  <c r="BF578" i="40"/>
  <c r="BG578" i="40"/>
  <c r="BH578" i="40"/>
  <c r="BI578" i="40"/>
  <c r="BJ578" i="40"/>
  <c r="BK578" i="40"/>
  <c r="BL578" i="40"/>
  <c r="BM578" i="40"/>
  <c r="BN578" i="40"/>
  <c r="BO578" i="40"/>
  <c r="BP578" i="40"/>
  <c r="BQ578" i="40"/>
  <c r="BR578" i="40"/>
  <c r="BS578" i="40"/>
  <c r="BT578" i="40"/>
  <c r="BU578" i="40"/>
  <c r="BV578" i="40"/>
  <c r="BW578" i="40"/>
  <c r="BX578" i="40"/>
  <c r="BY578" i="40"/>
  <c r="BZ578" i="40"/>
  <c r="CA578" i="40"/>
  <c r="CB578" i="40"/>
  <c r="CC578" i="40"/>
  <c r="CD578" i="40"/>
  <c r="CE578" i="40"/>
  <c r="CF578" i="40"/>
  <c r="CG578" i="40"/>
  <c r="CH578" i="40"/>
  <c r="DM578" i="40"/>
  <c r="DS578" i="40"/>
  <c r="DT578" i="40"/>
  <c r="DU578" i="40"/>
  <c r="DV578" i="40"/>
  <c r="DW578" i="40"/>
  <c r="A579" i="40"/>
  <c r="AW579" i="40"/>
  <c r="AX579" i="40"/>
  <c r="AZ579" i="40"/>
  <c r="BA579" i="40"/>
  <c r="BB579" i="40"/>
  <c r="BC579" i="40"/>
  <c r="BD579" i="40"/>
  <c r="BE579" i="40"/>
  <c r="BF579" i="40"/>
  <c r="BG579" i="40"/>
  <c r="BH579" i="40"/>
  <c r="BI579" i="40"/>
  <c r="BJ579" i="40"/>
  <c r="BK579" i="40"/>
  <c r="BL579" i="40"/>
  <c r="BM579" i="40"/>
  <c r="BN579" i="40"/>
  <c r="BO579" i="40"/>
  <c r="BP579" i="40"/>
  <c r="BQ579" i="40"/>
  <c r="BR579" i="40"/>
  <c r="BS579" i="40"/>
  <c r="BT579" i="40"/>
  <c r="BU579" i="40"/>
  <c r="BV579" i="40"/>
  <c r="BW579" i="40"/>
  <c r="BX579" i="40"/>
  <c r="BY579" i="40"/>
  <c r="BZ579" i="40"/>
  <c r="CA579" i="40"/>
  <c r="CB579" i="40"/>
  <c r="CC579" i="40"/>
  <c r="CD579" i="40"/>
  <c r="CE579" i="40"/>
  <c r="CF579" i="40"/>
  <c r="CG579" i="40"/>
  <c r="CH579" i="40"/>
  <c r="DM579" i="40"/>
  <c r="DS579" i="40"/>
  <c r="DT579" i="40"/>
  <c r="DU579" i="40"/>
  <c r="DV579" i="40"/>
  <c r="DW579" i="40"/>
  <c r="A580" i="40"/>
  <c r="AW580" i="40"/>
  <c r="AX580" i="40"/>
  <c r="AZ580" i="40"/>
  <c r="BA580" i="40"/>
  <c r="BB580" i="40"/>
  <c r="BC580" i="40"/>
  <c r="BD580" i="40"/>
  <c r="BE580" i="40"/>
  <c r="BF580" i="40"/>
  <c r="BG580" i="40"/>
  <c r="BH580" i="40"/>
  <c r="BI580" i="40"/>
  <c r="BJ580" i="40"/>
  <c r="BK580" i="40"/>
  <c r="BL580" i="40"/>
  <c r="BM580" i="40"/>
  <c r="BN580" i="40"/>
  <c r="BO580" i="40"/>
  <c r="BP580" i="40"/>
  <c r="BQ580" i="40"/>
  <c r="BR580" i="40"/>
  <c r="BS580" i="40"/>
  <c r="BT580" i="40"/>
  <c r="BU580" i="40"/>
  <c r="BV580" i="40"/>
  <c r="BW580" i="40"/>
  <c r="BX580" i="40"/>
  <c r="BY580" i="40"/>
  <c r="BZ580" i="40"/>
  <c r="CA580" i="40"/>
  <c r="CB580" i="40"/>
  <c r="CC580" i="40"/>
  <c r="CD580" i="40"/>
  <c r="CE580" i="40"/>
  <c r="CF580" i="40"/>
  <c r="CG580" i="40"/>
  <c r="CH580" i="40"/>
  <c r="DM580" i="40"/>
  <c r="DS580" i="40"/>
  <c r="DT580" i="40"/>
  <c r="DU580" i="40"/>
  <c r="DV580" i="40"/>
  <c r="DW580" i="40"/>
  <c r="A581" i="40"/>
  <c r="AW581" i="40"/>
  <c r="AX581" i="40"/>
  <c r="AZ581" i="40"/>
  <c r="BA581" i="40"/>
  <c r="BB581" i="40"/>
  <c r="BC581" i="40"/>
  <c r="BD581" i="40"/>
  <c r="BE581" i="40"/>
  <c r="BF581" i="40"/>
  <c r="BG581" i="40"/>
  <c r="BH581" i="40"/>
  <c r="BI581" i="40"/>
  <c r="BJ581" i="40"/>
  <c r="BK581" i="40"/>
  <c r="BL581" i="40"/>
  <c r="BM581" i="40"/>
  <c r="BN581" i="40"/>
  <c r="BO581" i="40"/>
  <c r="BP581" i="40"/>
  <c r="BQ581" i="40"/>
  <c r="BR581" i="40"/>
  <c r="BS581" i="40"/>
  <c r="BT581" i="40"/>
  <c r="BU581" i="40"/>
  <c r="BV581" i="40"/>
  <c r="BW581" i="40"/>
  <c r="BX581" i="40"/>
  <c r="BY581" i="40"/>
  <c r="BZ581" i="40"/>
  <c r="CA581" i="40"/>
  <c r="CB581" i="40"/>
  <c r="CC581" i="40"/>
  <c r="CD581" i="40"/>
  <c r="CE581" i="40"/>
  <c r="CF581" i="40"/>
  <c r="CG581" i="40"/>
  <c r="CH581" i="40"/>
  <c r="DM581" i="40"/>
  <c r="DS581" i="40"/>
  <c r="DT581" i="40"/>
  <c r="DU581" i="40"/>
  <c r="DV581" i="40"/>
  <c r="DW581" i="40"/>
  <c r="A582" i="40"/>
  <c r="AW582" i="40"/>
  <c r="AX582" i="40"/>
  <c r="AZ582" i="40"/>
  <c r="BA582" i="40"/>
  <c r="BB582" i="40"/>
  <c r="BC582" i="40"/>
  <c r="BD582" i="40"/>
  <c r="BE582" i="40"/>
  <c r="BF582" i="40"/>
  <c r="BG582" i="40"/>
  <c r="BH582" i="40"/>
  <c r="BI582" i="40"/>
  <c r="BJ582" i="40"/>
  <c r="BK582" i="40"/>
  <c r="BL582" i="40"/>
  <c r="BM582" i="40"/>
  <c r="BN582" i="40"/>
  <c r="BO582" i="40"/>
  <c r="BP582" i="40"/>
  <c r="BQ582" i="40"/>
  <c r="BR582" i="40"/>
  <c r="BS582" i="40"/>
  <c r="BT582" i="40"/>
  <c r="BU582" i="40"/>
  <c r="BV582" i="40"/>
  <c r="BW582" i="40"/>
  <c r="BX582" i="40"/>
  <c r="BY582" i="40"/>
  <c r="BZ582" i="40"/>
  <c r="CA582" i="40"/>
  <c r="CB582" i="40"/>
  <c r="CC582" i="40"/>
  <c r="CD582" i="40"/>
  <c r="CE582" i="40"/>
  <c r="CF582" i="40"/>
  <c r="CG582" i="40"/>
  <c r="CH582" i="40"/>
  <c r="DM582" i="40"/>
  <c r="DS582" i="40"/>
  <c r="DT582" i="40"/>
  <c r="DU582" i="40"/>
  <c r="DV582" i="40"/>
  <c r="DW582" i="40"/>
  <c r="A583" i="40"/>
  <c r="AW583" i="40"/>
  <c r="AX583" i="40"/>
  <c r="AZ583" i="40"/>
  <c r="BA583" i="40"/>
  <c r="BB583" i="40"/>
  <c r="BC583" i="40"/>
  <c r="BD583" i="40"/>
  <c r="BE583" i="40"/>
  <c r="BF583" i="40"/>
  <c r="BG583" i="40"/>
  <c r="BH583" i="40"/>
  <c r="BI583" i="40"/>
  <c r="BJ583" i="40"/>
  <c r="BK583" i="40"/>
  <c r="BL583" i="40"/>
  <c r="BM583" i="40"/>
  <c r="BN583" i="40"/>
  <c r="BO583" i="40"/>
  <c r="BP583" i="40"/>
  <c r="BQ583" i="40"/>
  <c r="BR583" i="40"/>
  <c r="BS583" i="40"/>
  <c r="BT583" i="40"/>
  <c r="BU583" i="40"/>
  <c r="BV583" i="40"/>
  <c r="BW583" i="40"/>
  <c r="BX583" i="40"/>
  <c r="BY583" i="40"/>
  <c r="BZ583" i="40"/>
  <c r="CA583" i="40"/>
  <c r="CB583" i="40"/>
  <c r="CC583" i="40"/>
  <c r="CD583" i="40"/>
  <c r="CE583" i="40"/>
  <c r="CF583" i="40"/>
  <c r="CG583" i="40"/>
  <c r="CH583" i="40"/>
  <c r="DM583" i="40"/>
  <c r="DS583" i="40"/>
  <c r="DT583" i="40"/>
  <c r="DU583" i="40"/>
  <c r="DV583" i="40"/>
  <c r="DW583" i="40"/>
  <c r="A584" i="40"/>
  <c r="AW584" i="40"/>
  <c r="AX584" i="40"/>
  <c r="AZ584" i="40"/>
  <c r="BA584" i="40"/>
  <c r="BB584" i="40"/>
  <c r="BC584" i="40"/>
  <c r="BD584" i="40"/>
  <c r="BE584" i="40"/>
  <c r="BF584" i="40"/>
  <c r="BG584" i="40"/>
  <c r="BH584" i="40"/>
  <c r="BI584" i="40"/>
  <c r="BJ584" i="40"/>
  <c r="BK584" i="40"/>
  <c r="BL584" i="40"/>
  <c r="BM584" i="40"/>
  <c r="BN584" i="40"/>
  <c r="BO584" i="40"/>
  <c r="BP584" i="40"/>
  <c r="BQ584" i="40"/>
  <c r="BR584" i="40"/>
  <c r="BS584" i="40"/>
  <c r="BT584" i="40"/>
  <c r="BU584" i="40"/>
  <c r="BV584" i="40"/>
  <c r="BW584" i="40"/>
  <c r="BX584" i="40"/>
  <c r="BY584" i="40"/>
  <c r="BZ584" i="40"/>
  <c r="CA584" i="40"/>
  <c r="CB584" i="40"/>
  <c r="CC584" i="40"/>
  <c r="CD584" i="40"/>
  <c r="CE584" i="40"/>
  <c r="CF584" i="40"/>
  <c r="CG584" i="40"/>
  <c r="CH584" i="40"/>
  <c r="DM584" i="40"/>
  <c r="DS584" i="40"/>
  <c r="DT584" i="40"/>
  <c r="DU584" i="40"/>
  <c r="DV584" i="40"/>
  <c r="DW584" i="40"/>
  <c r="A585" i="40"/>
  <c r="AW585" i="40"/>
  <c r="AX585" i="40"/>
  <c r="AZ585" i="40"/>
  <c r="BA585" i="40"/>
  <c r="BB585" i="40"/>
  <c r="BC585" i="40"/>
  <c r="BD585" i="40"/>
  <c r="BE585" i="40"/>
  <c r="BF585" i="40"/>
  <c r="BG585" i="40"/>
  <c r="BH585" i="40"/>
  <c r="BI585" i="40"/>
  <c r="BJ585" i="40"/>
  <c r="BK585" i="40"/>
  <c r="BL585" i="40"/>
  <c r="BM585" i="40"/>
  <c r="BN585" i="40"/>
  <c r="BO585" i="40"/>
  <c r="BP585" i="40"/>
  <c r="BQ585" i="40"/>
  <c r="BR585" i="40"/>
  <c r="BS585" i="40"/>
  <c r="BT585" i="40"/>
  <c r="BU585" i="40"/>
  <c r="BV585" i="40"/>
  <c r="BW585" i="40"/>
  <c r="BX585" i="40"/>
  <c r="BY585" i="40"/>
  <c r="BZ585" i="40"/>
  <c r="CA585" i="40"/>
  <c r="CB585" i="40"/>
  <c r="CC585" i="40"/>
  <c r="CD585" i="40"/>
  <c r="CE585" i="40"/>
  <c r="CF585" i="40"/>
  <c r="CG585" i="40"/>
  <c r="CH585" i="40"/>
  <c r="DM585" i="40"/>
  <c r="DS585" i="40"/>
  <c r="DT585" i="40"/>
  <c r="DU585" i="40"/>
  <c r="DV585" i="40"/>
  <c r="DW585" i="40"/>
  <c r="A586" i="40"/>
  <c r="AW586" i="40"/>
  <c r="AX586" i="40"/>
  <c r="AZ586" i="40"/>
  <c r="BA586" i="40"/>
  <c r="BB586" i="40"/>
  <c r="BC586" i="40"/>
  <c r="BD586" i="40"/>
  <c r="BE586" i="40"/>
  <c r="BF586" i="40"/>
  <c r="BG586" i="40"/>
  <c r="BH586" i="40"/>
  <c r="BI586" i="40"/>
  <c r="BJ586" i="40"/>
  <c r="BK586" i="40"/>
  <c r="BL586" i="40"/>
  <c r="BM586" i="40"/>
  <c r="BN586" i="40"/>
  <c r="BO586" i="40"/>
  <c r="BP586" i="40"/>
  <c r="BQ586" i="40"/>
  <c r="BR586" i="40"/>
  <c r="BS586" i="40"/>
  <c r="BT586" i="40"/>
  <c r="BU586" i="40"/>
  <c r="BV586" i="40"/>
  <c r="BW586" i="40"/>
  <c r="BX586" i="40"/>
  <c r="BY586" i="40"/>
  <c r="BZ586" i="40"/>
  <c r="CA586" i="40"/>
  <c r="CB586" i="40"/>
  <c r="CC586" i="40"/>
  <c r="CD586" i="40"/>
  <c r="CE586" i="40"/>
  <c r="CF586" i="40"/>
  <c r="CG586" i="40"/>
  <c r="CH586" i="40"/>
  <c r="DM586" i="40"/>
  <c r="DS586" i="40"/>
  <c r="DT586" i="40"/>
  <c r="DU586" i="40"/>
  <c r="DV586" i="40"/>
  <c r="DW586" i="40"/>
  <c r="A587" i="40"/>
  <c r="AW587" i="40"/>
  <c r="AX587" i="40"/>
  <c r="AZ587" i="40"/>
  <c r="BA587" i="40"/>
  <c r="BB587" i="40"/>
  <c r="BC587" i="40"/>
  <c r="BD587" i="40"/>
  <c r="BE587" i="40"/>
  <c r="BF587" i="40"/>
  <c r="BG587" i="40"/>
  <c r="BH587" i="40"/>
  <c r="BI587" i="40"/>
  <c r="BJ587" i="40"/>
  <c r="BK587" i="40"/>
  <c r="BL587" i="40"/>
  <c r="BM587" i="40"/>
  <c r="BN587" i="40"/>
  <c r="BO587" i="40"/>
  <c r="BP587" i="40"/>
  <c r="BQ587" i="40"/>
  <c r="BR587" i="40"/>
  <c r="BS587" i="40"/>
  <c r="BT587" i="40"/>
  <c r="BU587" i="40"/>
  <c r="BV587" i="40"/>
  <c r="BW587" i="40"/>
  <c r="BX587" i="40"/>
  <c r="BY587" i="40"/>
  <c r="BZ587" i="40"/>
  <c r="CA587" i="40"/>
  <c r="CB587" i="40"/>
  <c r="CC587" i="40"/>
  <c r="CD587" i="40"/>
  <c r="CE587" i="40"/>
  <c r="CF587" i="40"/>
  <c r="CG587" i="40"/>
  <c r="CH587" i="40"/>
  <c r="DM587" i="40"/>
  <c r="DS587" i="40"/>
  <c r="DT587" i="40"/>
  <c r="DU587" i="40"/>
  <c r="DV587" i="40"/>
  <c r="DW587" i="40"/>
  <c r="A588" i="40"/>
  <c r="AW588" i="40"/>
  <c r="AX588" i="40"/>
  <c r="AZ588" i="40"/>
  <c r="BA588" i="40"/>
  <c r="BB588" i="40"/>
  <c r="BC588" i="40"/>
  <c r="BD588" i="40"/>
  <c r="BE588" i="40"/>
  <c r="BF588" i="40"/>
  <c r="BG588" i="40"/>
  <c r="BH588" i="40"/>
  <c r="BI588" i="40"/>
  <c r="BJ588" i="40"/>
  <c r="BK588" i="40"/>
  <c r="BL588" i="40"/>
  <c r="BM588" i="40"/>
  <c r="BN588" i="40"/>
  <c r="BO588" i="40"/>
  <c r="BP588" i="40"/>
  <c r="BQ588" i="40"/>
  <c r="BR588" i="40"/>
  <c r="BS588" i="40"/>
  <c r="BT588" i="40"/>
  <c r="BU588" i="40"/>
  <c r="BV588" i="40"/>
  <c r="BW588" i="40"/>
  <c r="BX588" i="40"/>
  <c r="BY588" i="40"/>
  <c r="BZ588" i="40"/>
  <c r="CA588" i="40"/>
  <c r="CB588" i="40"/>
  <c r="CC588" i="40"/>
  <c r="CD588" i="40"/>
  <c r="CE588" i="40"/>
  <c r="CF588" i="40"/>
  <c r="CG588" i="40"/>
  <c r="CH588" i="40"/>
  <c r="DM588" i="40"/>
  <c r="DS588" i="40"/>
  <c r="DT588" i="40"/>
  <c r="DU588" i="40"/>
  <c r="DV588" i="40"/>
  <c r="DW588" i="40"/>
  <c r="A589" i="40"/>
  <c r="AW589" i="40"/>
  <c r="AX589" i="40"/>
  <c r="AZ589" i="40"/>
  <c r="BA589" i="40"/>
  <c r="BB589" i="40"/>
  <c r="BC589" i="40"/>
  <c r="BD589" i="40"/>
  <c r="BE589" i="40"/>
  <c r="BF589" i="40"/>
  <c r="BG589" i="40"/>
  <c r="BH589" i="40"/>
  <c r="BI589" i="40"/>
  <c r="BJ589" i="40"/>
  <c r="BK589" i="40"/>
  <c r="BL589" i="40"/>
  <c r="BM589" i="40"/>
  <c r="BN589" i="40"/>
  <c r="BO589" i="40"/>
  <c r="BP589" i="40"/>
  <c r="BQ589" i="40"/>
  <c r="BR589" i="40"/>
  <c r="BS589" i="40"/>
  <c r="BT589" i="40"/>
  <c r="BU589" i="40"/>
  <c r="BV589" i="40"/>
  <c r="BW589" i="40"/>
  <c r="BX589" i="40"/>
  <c r="BY589" i="40"/>
  <c r="BZ589" i="40"/>
  <c r="CA589" i="40"/>
  <c r="CB589" i="40"/>
  <c r="CC589" i="40"/>
  <c r="CD589" i="40"/>
  <c r="CE589" i="40"/>
  <c r="CF589" i="40"/>
  <c r="CG589" i="40"/>
  <c r="CH589" i="40"/>
  <c r="DM589" i="40"/>
  <c r="DS589" i="40"/>
  <c r="DT589" i="40"/>
  <c r="DU589" i="40"/>
  <c r="DV589" i="40"/>
  <c r="DW589" i="40"/>
  <c r="A590" i="40"/>
  <c r="AW590" i="40"/>
  <c r="AX590" i="40"/>
  <c r="AZ590" i="40"/>
  <c r="BA590" i="40"/>
  <c r="BB590" i="40"/>
  <c r="BC590" i="40"/>
  <c r="BD590" i="40"/>
  <c r="BE590" i="40"/>
  <c r="BF590" i="40"/>
  <c r="BG590" i="40"/>
  <c r="BH590" i="40"/>
  <c r="BI590" i="40"/>
  <c r="BJ590" i="40"/>
  <c r="BK590" i="40"/>
  <c r="BL590" i="40"/>
  <c r="BM590" i="40"/>
  <c r="BN590" i="40"/>
  <c r="BO590" i="40"/>
  <c r="BP590" i="40"/>
  <c r="BQ590" i="40"/>
  <c r="BR590" i="40"/>
  <c r="BS590" i="40"/>
  <c r="BT590" i="40"/>
  <c r="BU590" i="40"/>
  <c r="BV590" i="40"/>
  <c r="BW590" i="40"/>
  <c r="BX590" i="40"/>
  <c r="BY590" i="40"/>
  <c r="BZ590" i="40"/>
  <c r="CA590" i="40"/>
  <c r="CB590" i="40"/>
  <c r="CC590" i="40"/>
  <c r="CD590" i="40"/>
  <c r="CE590" i="40"/>
  <c r="CF590" i="40"/>
  <c r="CG590" i="40"/>
  <c r="CH590" i="40"/>
  <c r="DM590" i="40"/>
  <c r="DS590" i="40"/>
  <c r="DT590" i="40"/>
  <c r="DU590" i="40"/>
  <c r="DV590" i="40"/>
  <c r="DW590" i="40"/>
  <c r="A591" i="40"/>
  <c r="AW591" i="40"/>
  <c r="AX591" i="40"/>
  <c r="AZ591" i="40"/>
  <c r="BA591" i="40"/>
  <c r="BB591" i="40"/>
  <c r="BC591" i="40"/>
  <c r="BD591" i="40"/>
  <c r="BE591" i="40"/>
  <c r="BF591" i="40"/>
  <c r="BG591" i="40"/>
  <c r="BH591" i="40"/>
  <c r="BI591" i="40"/>
  <c r="BJ591" i="40"/>
  <c r="BK591" i="40"/>
  <c r="BL591" i="40"/>
  <c r="BM591" i="40"/>
  <c r="BN591" i="40"/>
  <c r="BO591" i="40"/>
  <c r="BP591" i="40"/>
  <c r="BQ591" i="40"/>
  <c r="BR591" i="40"/>
  <c r="BS591" i="40"/>
  <c r="BT591" i="40"/>
  <c r="BU591" i="40"/>
  <c r="BV591" i="40"/>
  <c r="BW591" i="40"/>
  <c r="BX591" i="40"/>
  <c r="BY591" i="40"/>
  <c r="BZ591" i="40"/>
  <c r="CA591" i="40"/>
  <c r="CB591" i="40"/>
  <c r="CC591" i="40"/>
  <c r="CD591" i="40"/>
  <c r="CE591" i="40"/>
  <c r="CF591" i="40"/>
  <c r="CG591" i="40"/>
  <c r="CH591" i="40"/>
  <c r="DM591" i="40"/>
  <c r="DS591" i="40"/>
  <c r="DT591" i="40"/>
  <c r="DU591" i="40"/>
  <c r="DV591" i="40"/>
  <c r="DW591" i="40"/>
  <c r="A592" i="40"/>
  <c r="AW592" i="40"/>
  <c r="AX592" i="40"/>
  <c r="AZ592" i="40"/>
  <c r="BA592" i="40"/>
  <c r="BB592" i="40"/>
  <c r="BC592" i="40"/>
  <c r="BD592" i="40"/>
  <c r="BE592" i="40"/>
  <c r="BF592" i="40"/>
  <c r="BG592" i="40"/>
  <c r="BH592" i="40"/>
  <c r="BI592" i="40"/>
  <c r="BJ592" i="40"/>
  <c r="BK592" i="40"/>
  <c r="BL592" i="40"/>
  <c r="BM592" i="40"/>
  <c r="BN592" i="40"/>
  <c r="BO592" i="40"/>
  <c r="BP592" i="40"/>
  <c r="BQ592" i="40"/>
  <c r="BR592" i="40"/>
  <c r="BS592" i="40"/>
  <c r="BT592" i="40"/>
  <c r="BU592" i="40"/>
  <c r="BV592" i="40"/>
  <c r="BW592" i="40"/>
  <c r="BX592" i="40"/>
  <c r="BY592" i="40"/>
  <c r="BZ592" i="40"/>
  <c r="CA592" i="40"/>
  <c r="CB592" i="40"/>
  <c r="CC592" i="40"/>
  <c r="CD592" i="40"/>
  <c r="CE592" i="40"/>
  <c r="CF592" i="40"/>
  <c r="CG592" i="40"/>
  <c r="CH592" i="40"/>
  <c r="DM592" i="40"/>
  <c r="DS592" i="40"/>
  <c r="DT592" i="40"/>
  <c r="DU592" i="40"/>
  <c r="DV592" i="40"/>
  <c r="DW592" i="40"/>
  <c r="A593" i="40"/>
  <c r="AW593" i="40"/>
  <c r="AX593" i="40"/>
  <c r="AZ593" i="40"/>
  <c r="BA593" i="40"/>
  <c r="BB593" i="40"/>
  <c r="BC593" i="40"/>
  <c r="BD593" i="40"/>
  <c r="BE593" i="40"/>
  <c r="BF593" i="40"/>
  <c r="BG593" i="40"/>
  <c r="BH593" i="40"/>
  <c r="BI593" i="40"/>
  <c r="BJ593" i="40"/>
  <c r="BK593" i="40"/>
  <c r="BL593" i="40"/>
  <c r="BM593" i="40"/>
  <c r="BN593" i="40"/>
  <c r="BO593" i="40"/>
  <c r="BP593" i="40"/>
  <c r="BQ593" i="40"/>
  <c r="BR593" i="40"/>
  <c r="BS593" i="40"/>
  <c r="BT593" i="40"/>
  <c r="BU593" i="40"/>
  <c r="BV593" i="40"/>
  <c r="BW593" i="40"/>
  <c r="BX593" i="40"/>
  <c r="BY593" i="40"/>
  <c r="BZ593" i="40"/>
  <c r="CA593" i="40"/>
  <c r="CB593" i="40"/>
  <c r="CC593" i="40"/>
  <c r="CD593" i="40"/>
  <c r="CE593" i="40"/>
  <c r="CF593" i="40"/>
  <c r="CG593" i="40"/>
  <c r="CH593" i="40"/>
  <c r="DM593" i="40"/>
  <c r="DS593" i="40"/>
  <c r="DT593" i="40"/>
  <c r="DU593" i="40"/>
  <c r="DV593" i="40"/>
  <c r="DW593" i="40"/>
  <c r="A594" i="40"/>
  <c r="AW594" i="40"/>
  <c r="AX594" i="40"/>
  <c r="AZ594" i="40"/>
  <c r="BA594" i="40"/>
  <c r="BB594" i="40"/>
  <c r="BC594" i="40"/>
  <c r="BD594" i="40"/>
  <c r="BE594" i="40"/>
  <c r="BF594" i="40"/>
  <c r="BG594" i="40"/>
  <c r="BH594" i="40"/>
  <c r="BI594" i="40"/>
  <c r="BJ594" i="40"/>
  <c r="BK594" i="40"/>
  <c r="BL594" i="40"/>
  <c r="BM594" i="40"/>
  <c r="BN594" i="40"/>
  <c r="BO594" i="40"/>
  <c r="BP594" i="40"/>
  <c r="BQ594" i="40"/>
  <c r="BR594" i="40"/>
  <c r="BS594" i="40"/>
  <c r="BT594" i="40"/>
  <c r="BU594" i="40"/>
  <c r="BV594" i="40"/>
  <c r="BW594" i="40"/>
  <c r="BX594" i="40"/>
  <c r="BY594" i="40"/>
  <c r="BZ594" i="40"/>
  <c r="CA594" i="40"/>
  <c r="CB594" i="40"/>
  <c r="CC594" i="40"/>
  <c r="CD594" i="40"/>
  <c r="CE594" i="40"/>
  <c r="CF594" i="40"/>
  <c r="CG594" i="40"/>
  <c r="CH594" i="40"/>
  <c r="DM594" i="40"/>
  <c r="DS594" i="40"/>
  <c r="DT594" i="40"/>
  <c r="DU594" i="40"/>
  <c r="DV594" i="40"/>
  <c r="DW594" i="40"/>
  <c r="A595" i="40"/>
  <c r="AW595" i="40"/>
  <c r="AX595" i="40"/>
  <c r="AZ595" i="40"/>
  <c r="BA595" i="40"/>
  <c r="BB595" i="40"/>
  <c r="BC595" i="40"/>
  <c r="BD595" i="40"/>
  <c r="BE595" i="40"/>
  <c r="BF595" i="40"/>
  <c r="BG595" i="40"/>
  <c r="BH595" i="40"/>
  <c r="BI595" i="40"/>
  <c r="BJ595" i="40"/>
  <c r="BK595" i="40"/>
  <c r="BL595" i="40"/>
  <c r="BM595" i="40"/>
  <c r="BN595" i="40"/>
  <c r="BO595" i="40"/>
  <c r="BP595" i="40"/>
  <c r="BQ595" i="40"/>
  <c r="BR595" i="40"/>
  <c r="BS595" i="40"/>
  <c r="BT595" i="40"/>
  <c r="BU595" i="40"/>
  <c r="BV595" i="40"/>
  <c r="BW595" i="40"/>
  <c r="BX595" i="40"/>
  <c r="BY595" i="40"/>
  <c r="BZ595" i="40"/>
  <c r="CA595" i="40"/>
  <c r="CB595" i="40"/>
  <c r="CC595" i="40"/>
  <c r="CD595" i="40"/>
  <c r="CE595" i="40"/>
  <c r="CF595" i="40"/>
  <c r="CG595" i="40"/>
  <c r="CH595" i="40"/>
  <c r="DM595" i="40"/>
  <c r="DS595" i="40"/>
  <c r="DT595" i="40"/>
  <c r="DU595" i="40"/>
  <c r="DV595" i="40"/>
  <c r="DW595" i="40"/>
  <c r="A596" i="40"/>
  <c r="AW596" i="40"/>
  <c r="AX596" i="40"/>
  <c r="AZ596" i="40"/>
  <c r="BA596" i="40"/>
  <c r="BB596" i="40"/>
  <c r="BC596" i="40"/>
  <c r="BD596" i="40"/>
  <c r="BE596" i="40"/>
  <c r="BF596" i="40"/>
  <c r="BG596" i="40"/>
  <c r="BH596" i="40"/>
  <c r="BI596" i="40"/>
  <c r="BJ596" i="40"/>
  <c r="BK596" i="40"/>
  <c r="BL596" i="40"/>
  <c r="BM596" i="40"/>
  <c r="BN596" i="40"/>
  <c r="BO596" i="40"/>
  <c r="BP596" i="40"/>
  <c r="BQ596" i="40"/>
  <c r="BR596" i="40"/>
  <c r="BS596" i="40"/>
  <c r="BT596" i="40"/>
  <c r="BU596" i="40"/>
  <c r="BV596" i="40"/>
  <c r="BW596" i="40"/>
  <c r="BX596" i="40"/>
  <c r="BY596" i="40"/>
  <c r="BZ596" i="40"/>
  <c r="CA596" i="40"/>
  <c r="CB596" i="40"/>
  <c r="CC596" i="40"/>
  <c r="CD596" i="40"/>
  <c r="CE596" i="40"/>
  <c r="CF596" i="40"/>
  <c r="CG596" i="40"/>
  <c r="CH596" i="40"/>
  <c r="DM596" i="40"/>
  <c r="DS596" i="40"/>
  <c r="DT596" i="40"/>
  <c r="DU596" i="40"/>
  <c r="DV596" i="40"/>
  <c r="DW596" i="40"/>
  <c r="A597" i="40"/>
  <c r="AW597" i="40"/>
  <c r="AX597" i="40"/>
  <c r="AZ597" i="40"/>
  <c r="BA597" i="40"/>
  <c r="BB597" i="40"/>
  <c r="BC597" i="40"/>
  <c r="BD597" i="40"/>
  <c r="BE597" i="40"/>
  <c r="BF597" i="40"/>
  <c r="BG597" i="40"/>
  <c r="BH597" i="40"/>
  <c r="BI597" i="40"/>
  <c r="BJ597" i="40"/>
  <c r="BK597" i="40"/>
  <c r="BL597" i="40"/>
  <c r="BM597" i="40"/>
  <c r="BN597" i="40"/>
  <c r="BO597" i="40"/>
  <c r="BP597" i="40"/>
  <c r="BQ597" i="40"/>
  <c r="BR597" i="40"/>
  <c r="BS597" i="40"/>
  <c r="BT597" i="40"/>
  <c r="BU597" i="40"/>
  <c r="BV597" i="40"/>
  <c r="BW597" i="40"/>
  <c r="BX597" i="40"/>
  <c r="BY597" i="40"/>
  <c r="BZ597" i="40"/>
  <c r="CA597" i="40"/>
  <c r="CB597" i="40"/>
  <c r="CC597" i="40"/>
  <c r="CD597" i="40"/>
  <c r="CE597" i="40"/>
  <c r="CF597" i="40"/>
  <c r="CG597" i="40"/>
  <c r="CH597" i="40"/>
  <c r="DM597" i="40"/>
  <c r="DS597" i="40"/>
  <c r="DT597" i="40"/>
  <c r="DU597" i="40"/>
  <c r="DV597" i="40"/>
  <c r="DW597" i="40"/>
  <c r="A598" i="40"/>
  <c r="AW598" i="40"/>
  <c r="AX598" i="40"/>
  <c r="AZ598" i="40"/>
  <c r="BA598" i="40"/>
  <c r="BB598" i="40"/>
  <c r="BC598" i="40"/>
  <c r="BD598" i="40"/>
  <c r="BE598" i="40"/>
  <c r="BF598" i="40"/>
  <c r="BG598" i="40"/>
  <c r="BH598" i="40"/>
  <c r="BI598" i="40"/>
  <c r="BJ598" i="40"/>
  <c r="BK598" i="40"/>
  <c r="BL598" i="40"/>
  <c r="BM598" i="40"/>
  <c r="BN598" i="40"/>
  <c r="BO598" i="40"/>
  <c r="BP598" i="40"/>
  <c r="BQ598" i="40"/>
  <c r="BR598" i="40"/>
  <c r="BS598" i="40"/>
  <c r="BT598" i="40"/>
  <c r="BU598" i="40"/>
  <c r="BV598" i="40"/>
  <c r="BW598" i="40"/>
  <c r="BX598" i="40"/>
  <c r="BY598" i="40"/>
  <c r="BZ598" i="40"/>
  <c r="CA598" i="40"/>
  <c r="CB598" i="40"/>
  <c r="CC598" i="40"/>
  <c r="CD598" i="40"/>
  <c r="CE598" i="40"/>
  <c r="CF598" i="40"/>
  <c r="CG598" i="40"/>
  <c r="CH598" i="40"/>
  <c r="DM598" i="40"/>
  <c r="DS598" i="40"/>
  <c r="DT598" i="40"/>
  <c r="DU598" i="40"/>
  <c r="DV598" i="40"/>
  <c r="DW598" i="40"/>
  <c r="A599" i="40"/>
  <c r="AW599" i="40"/>
  <c r="AX599" i="40"/>
  <c r="AZ599" i="40"/>
  <c r="BA599" i="40"/>
  <c r="BB599" i="40"/>
  <c r="BC599" i="40"/>
  <c r="BD599" i="40"/>
  <c r="BE599" i="40"/>
  <c r="BF599" i="40"/>
  <c r="BG599" i="40"/>
  <c r="BH599" i="40"/>
  <c r="BI599" i="40"/>
  <c r="BJ599" i="40"/>
  <c r="BK599" i="40"/>
  <c r="BL599" i="40"/>
  <c r="BM599" i="40"/>
  <c r="BN599" i="40"/>
  <c r="BO599" i="40"/>
  <c r="BP599" i="40"/>
  <c r="BQ599" i="40"/>
  <c r="BR599" i="40"/>
  <c r="BS599" i="40"/>
  <c r="BT599" i="40"/>
  <c r="BU599" i="40"/>
  <c r="BV599" i="40"/>
  <c r="BW599" i="40"/>
  <c r="BX599" i="40"/>
  <c r="BY599" i="40"/>
  <c r="BZ599" i="40"/>
  <c r="CA599" i="40"/>
  <c r="CB599" i="40"/>
  <c r="CC599" i="40"/>
  <c r="CD599" i="40"/>
  <c r="CE599" i="40"/>
  <c r="CF599" i="40"/>
  <c r="CG599" i="40"/>
  <c r="CH599" i="40"/>
  <c r="DM599" i="40"/>
  <c r="DS599" i="40"/>
  <c r="DT599" i="40"/>
  <c r="DU599" i="40"/>
  <c r="DV599" i="40"/>
  <c r="DW599" i="40"/>
  <c r="IC689" i="40"/>
  <c r="IB689" i="40"/>
  <c r="ID689" i="40"/>
  <c r="IC690" i="40"/>
  <c r="IB690" i="40"/>
  <c r="ID690" i="40"/>
  <c r="IF690" i="40"/>
  <c r="IG690" i="40"/>
  <c r="IC691" i="40"/>
  <c r="IB691" i="40"/>
  <c r="ID691" i="40"/>
  <c r="IC692" i="40"/>
  <c r="IB692" i="40"/>
  <c r="ID692" i="40"/>
  <c r="IC693" i="40"/>
  <c r="IB693" i="40"/>
  <c r="ID693" i="40"/>
  <c r="IC694" i="40"/>
  <c r="IB694" i="40"/>
  <c r="ID694" i="40"/>
  <c r="IF694" i="40"/>
  <c r="IG694" i="40"/>
  <c r="IC695" i="40"/>
  <c r="IB695" i="40"/>
  <c r="ID695" i="40"/>
  <c r="IC696" i="40"/>
  <c r="IB696" i="40"/>
  <c r="ID696" i="40"/>
  <c r="IG696" i="40" s="1"/>
  <c r="IC697" i="40"/>
  <c r="IB697" i="40"/>
  <c r="ID697" i="40"/>
  <c r="IG697" i="40"/>
  <c r="IC698" i="40"/>
  <c r="IB698" i="40"/>
  <c r="ID698" i="40"/>
  <c r="IF698" i="40"/>
  <c r="IG698" i="40"/>
  <c r="IC699" i="40"/>
  <c r="IB699" i="40"/>
  <c r="ID699" i="40"/>
  <c r="IC700" i="40"/>
  <c r="IB700" i="40"/>
  <c r="ID700" i="40"/>
  <c r="IG700" i="40" s="1"/>
  <c r="KN501" i="40"/>
  <c r="KN502" i="40" s="1"/>
  <c r="KN503" i="40" s="1"/>
  <c r="KN504" i="40" s="1"/>
  <c r="KN505" i="40" s="1"/>
  <c r="KN506" i="40" s="1"/>
  <c r="KN507" i="40" s="1"/>
  <c r="KN508" i="40" s="1"/>
  <c r="KN509" i="40" s="1"/>
  <c r="KN510" i="40" s="1"/>
  <c r="KN511" i="40" s="1"/>
  <c r="KN512" i="40" s="1"/>
  <c r="KN513" i="40" s="1"/>
  <c r="KN514" i="40" s="1"/>
  <c r="KN515" i="40" s="1"/>
  <c r="KN516" i="40" s="1"/>
  <c r="KN517" i="40" s="1"/>
  <c r="KN518" i="40" s="1"/>
  <c r="KN519" i="40" s="1"/>
  <c r="KN520" i="40" s="1"/>
  <c r="KN521" i="40" s="1"/>
  <c r="KN522" i="40" s="1"/>
  <c r="KN523" i="40" s="1"/>
  <c r="KN524" i="40" s="1"/>
  <c r="KN525" i="40" s="1"/>
  <c r="KN526" i="40" s="1"/>
  <c r="KN527" i="40" s="1"/>
  <c r="KN528" i="40" s="1"/>
  <c r="KN529" i="40" s="1"/>
  <c r="KN530" i="40" s="1"/>
  <c r="KN531" i="40" s="1"/>
  <c r="KN532" i="40" s="1"/>
  <c r="KN533" i="40" s="1"/>
  <c r="KN534" i="40" s="1"/>
  <c r="KN535" i="40" s="1"/>
  <c r="KN536" i="40" s="1"/>
  <c r="KN537" i="40" s="1"/>
  <c r="KN538" i="40" s="1"/>
  <c r="KN539" i="40" s="1"/>
  <c r="KN540" i="40" s="1"/>
  <c r="KN541" i="40" s="1"/>
  <c r="KN542" i="40" s="1"/>
  <c r="KN543" i="40" s="1"/>
  <c r="KN544" i="40" s="1"/>
  <c r="KN545" i="40" s="1"/>
  <c r="KN546" i="40" s="1"/>
  <c r="KN547" i="40" s="1"/>
  <c r="KN548" i="40" s="1"/>
  <c r="KN549" i="40" s="1"/>
  <c r="KN550" i="40" s="1"/>
  <c r="KN551" i="40" s="1"/>
  <c r="KN552" i="40" s="1"/>
  <c r="KN553" i="40" s="1"/>
  <c r="KN554" i="40" s="1"/>
  <c r="KN555" i="40" s="1"/>
  <c r="KN556" i="40" s="1"/>
  <c r="KN557" i="40" s="1"/>
  <c r="KN558" i="40" s="1"/>
  <c r="KN559" i="40" s="1"/>
  <c r="KN560" i="40" s="1"/>
  <c r="KN561" i="40" s="1"/>
  <c r="KN562" i="40" s="1"/>
  <c r="KN563" i="40" s="1"/>
  <c r="KN564" i="40" s="1"/>
  <c r="KN565" i="40" s="1"/>
  <c r="KN566" i="40" s="1"/>
  <c r="KN567" i="40" s="1"/>
  <c r="KN568" i="40" s="1"/>
  <c r="KN569" i="40" s="1"/>
  <c r="KN570" i="40" s="1"/>
  <c r="KN571" i="40" s="1"/>
  <c r="KN572" i="40" s="1"/>
  <c r="KN573" i="40" s="1"/>
  <c r="KN574" i="40" s="1"/>
  <c r="KN575" i="40" s="1"/>
  <c r="JO575" i="40"/>
  <c r="KN401" i="40"/>
  <c r="KN402" i="40"/>
  <c r="KN403" i="40"/>
  <c r="KN404" i="40" s="1"/>
  <c r="KN405" i="40" s="1"/>
  <c r="KN406" i="40" s="1"/>
  <c r="KN407" i="40"/>
  <c r="KN408" i="40" s="1"/>
  <c r="KN409" i="40" s="1"/>
  <c r="KN410" i="40" s="1"/>
  <c r="KN411" i="40" s="1"/>
  <c r="KN412" i="40" s="1"/>
  <c r="KN413" i="40" s="1"/>
  <c r="KN414" i="40" s="1"/>
  <c r="KN415" i="40" s="1"/>
  <c r="KN416" i="40" s="1"/>
  <c r="KN417" i="40" s="1"/>
  <c r="KN418" i="40" s="1"/>
  <c r="KN419" i="40" s="1"/>
  <c r="KN420" i="40" s="1"/>
  <c r="KN421" i="40" s="1"/>
  <c r="KN422" i="40" s="1"/>
  <c r="KN423" i="40" s="1"/>
  <c r="KN424" i="40" s="1"/>
  <c r="KN425" i="40" s="1"/>
  <c r="KN426" i="40" s="1"/>
  <c r="KN427" i="40" s="1"/>
  <c r="KN428" i="40" s="1"/>
  <c r="KN429" i="40" s="1"/>
  <c r="KN430" i="40" s="1"/>
  <c r="KN431" i="40" s="1"/>
  <c r="KN432" i="40" s="1"/>
  <c r="KN433" i="40" s="1"/>
  <c r="KN434" i="40" s="1"/>
  <c r="KN435" i="40" s="1"/>
  <c r="KN436" i="40" s="1"/>
  <c r="KN437" i="40" s="1"/>
  <c r="KN438" i="40" s="1"/>
  <c r="KN439" i="40" s="1"/>
  <c r="KN440" i="40" s="1"/>
  <c r="KN441" i="40" s="1"/>
  <c r="KN442" i="40" s="1"/>
  <c r="KN443" i="40" s="1"/>
  <c r="KN444" i="40" s="1"/>
  <c r="KN445" i="40" s="1"/>
  <c r="KN446" i="40" s="1"/>
  <c r="KN447" i="40" s="1"/>
  <c r="KN448" i="40" s="1"/>
  <c r="KN449" i="40" s="1"/>
  <c r="KN450" i="40" s="1"/>
  <c r="KN451" i="40" s="1"/>
  <c r="KN452" i="40" s="1"/>
  <c r="KN453" i="40" s="1"/>
  <c r="KN454" i="40" s="1"/>
  <c r="KN455" i="40" s="1"/>
  <c r="KN456" i="40" s="1"/>
  <c r="KN457" i="40" s="1"/>
  <c r="KN458" i="40" s="1"/>
  <c r="KN459" i="40" s="1"/>
  <c r="KN460" i="40" s="1"/>
  <c r="KN461" i="40" s="1"/>
  <c r="KN462" i="40" s="1"/>
  <c r="KN463" i="40" s="1"/>
  <c r="KN464" i="40" s="1"/>
  <c r="KN465" i="40" s="1"/>
  <c r="KN466" i="40" s="1"/>
  <c r="KN467" i="40" s="1"/>
  <c r="KN468" i="40" s="1"/>
  <c r="KN469" i="40" s="1"/>
  <c r="KN470" i="40" s="1"/>
  <c r="KN471" i="40" s="1"/>
  <c r="KN472" i="40" s="1"/>
  <c r="KN473" i="40" s="1"/>
  <c r="KN474" i="40" s="1"/>
  <c r="KN475" i="40" s="1"/>
  <c r="JO475" i="40"/>
  <c r="KN301" i="40"/>
  <c r="KN302" i="40"/>
  <c r="KN303" i="40" s="1"/>
  <c r="KN304" i="40" s="1"/>
  <c r="KN305" i="40" s="1"/>
  <c r="KN306" i="40" s="1"/>
  <c r="KN307" i="40" s="1"/>
  <c r="KN308" i="40" s="1"/>
  <c r="KN309" i="40" s="1"/>
  <c r="KN310" i="40" s="1"/>
  <c r="KN311" i="40" s="1"/>
  <c r="KN312" i="40" s="1"/>
  <c r="KN313" i="40" s="1"/>
  <c r="KN314" i="40" s="1"/>
  <c r="KN315" i="40" s="1"/>
  <c r="KN316" i="40" s="1"/>
  <c r="KN317" i="40" s="1"/>
  <c r="KN318" i="40" s="1"/>
  <c r="KN319" i="40" s="1"/>
  <c r="KN320" i="40" s="1"/>
  <c r="KN321" i="40" s="1"/>
  <c r="KN322" i="40" s="1"/>
  <c r="KN323" i="40" s="1"/>
  <c r="KN324" i="40" s="1"/>
  <c r="KN325" i="40" s="1"/>
  <c r="KN326" i="40" s="1"/>
  <c r="KN327" i="40" s="1"/>
  <c r="KN328" i="40" s="1"/>
  <c r="KN329" i="40" s="1"/>
  <c r="KN330" i="40" s="1"/>
  <c r="KN331" i="40" s="1"/>
  <c r="KN332" i="40" s="1"/>
  <c r="KN333" i="40" s="1"/>
  <c r="KN334" i="40" s="1"/>
  <c r="KN335" i="40" s="1"/>
  <c r="KN336" i="40" s="1"/>
  <c r="KN337" i="40" s="1"/>
  <c r="KN338" i="40" s="1"/>
  <c r="KN339" i="40" s="1"/>
  <c r="KN340" i="40" s="1"/>
  <c r="KN341" i="40" s="1"/>
  <c r="KN342" i="40" s="1"/>
  <c r="KN343" i="40" s="1"/>
  <c r="KN344" i="40" s="1"/>
  <c r="KN345" i="40" s="1"/>
  <c r="KN346" i="40" s="1"/>
  <c r="KN347" i="40" s="1"/>
  <c r="KN348" i="40" s="1"/>
  <c r="KN349" i="40" s="1"/>
  <c r="KN350" i="40" s="1"/>
  <c r="KN351" i="40" s="1"/>
  <c r="KN352" i="40" s="1"/>
  <c r="KN353" i="40" s="1"/>
  <c r="KN354" i="40" s="1"/>
  <c r="KN355" i="40" s="1"/>
  <c r="KN356" i="40" s="1"/>
  <c r="KN357" i="40" s="1"/>
  <c r="KN358" i="40" s="1"/>
  <c r="KN359" i="40" s="1"/>
  <c r="KN360" i="40" s="1"/>
  <c r="KN361" i="40" s="1"/>
  <c r="KN362" i="40" s="1"/>
  <c r="KN363" i="40" s="1"/>
  <c r="KN364" i="40" s="1"/>
  <c r="KN365" i="40" s="1"/>
  <c r="KN366" i="40" s="1"/>
  <c r="KN367" i="40" s="1"/>
  <c r="KN368" i="40" s="1"/>
  <c r="KN369" i="40" s="1"/>
  <c r="KN370" i="40" s="1"/>
  <c r="KN371" i="40" s="1"/>
  <c r="KN372" i="40" s="1"/>
  <c r="KN373" i="40" s="1"/>
  <c r="KN374" i="40" s="1"/>
  <c r="KN375" i="40" s="1"/>
  <c r="JO375" i="40"/>
  <c r="KN201" i="40"/>
  <c r="KN202" i="40"/>
  <c r="KN203" i="40"/>
  <c r="KN204" i="40" s="1"/>
  <c r="KN205" i="40" s="1"/>
  <c r="KN206" i="40" s="1"/>
  <c r="KN207" i="40"/>
  <c r="KN208" i="40" s="1"/>
  <c r="KN209" i="40" s="1"/>
  <c r="KN210" i="40" s="1"/>
  <c r="KN211" i="40" s="1"/>
  <c r="KN212" i="40" s="1"/>
  <c r="KN213" i="40" s="1"/>
  <c r="KN214" i="40" s="1"/>
  <c r="KN215" i="40" s="1"/>
  <c r="KN216" i="40" s="1"/>
  <c r="KN217" i="40" s="1"/>
  <c r="KN218" i="40" s="1"/>
  <c r="KN219" i="40" s="1"/>
  <c r="KN220" i="40" s="1"/>
  <c r="KN221" i="40" s="1"/>
  <c r="KN222" i="40" s="1"/>
  <c r="KN223" i="40" s="1"/>
  <c r="KN224" i="40" s="1"/>
  <c r="KN225" i="40" s="1"/>
  <c r="KN226" i="40" s="1"/>
  <c r="KN227" i="40" s="1"/>
  <c r="KN228" i="40" s="1"/>
  <c r="KN229" i="40" s="1"/>
  <c r="KN230" i="40" s="1"/>
  <c r="KN231" i="40" s="1"/>
  <c r="KN232" i="40" s="1"/>
  <c r="KN233" i="40" s="1"/>
  <c r="KN234" i="40" s="1"/>
  <c r="KN235" i="40" s="1"/>
  <c r="KN236" i="40" s="1"/>
  <c r="KN237" i="40" s="1"/>
  <c r="KN238" i="40" s="1"/>
  <c r="KN239" i="40" s="1"/>
  <c r="KN240" i="40" s="1"/>
  <c r="KN241" i="40" s="1"/>
  <c r="KN242" i="40" s="1"/>
  <c r="KN243" i="40" s="1"/>
  <c r="KN244" i="40" s="1"/>
  <c r="KN245" i="40" s="1"/>
  <c r="KN246" i="40" s="1"/>
  <c r="KN247" i="40" s="1"/>
  <c r="KN248" i="40" s="1"/>
  <c r="KN249" i="40" s="1"/>
  <c r="KN250" i="40" s="1"/>
  <c r="KN251" i="40" s="1"/>
  <c r="KN252" i="40" s="1"/>
  <c r="KN253" i="40" s="1"/>
  <c r="KN254" i="40" s="1"/>
  <c r="KN255" i="40" s="1"/>
  <c r="KN256" i="40" s="1"/>
  <c r="KN257" i="40" s="1"/>
  <c r="KN258" i="40" s="1"/>
  <c r="KN259" i="40" s="1"/>
  <c r="KN260" i="40" s="1"/>
  <c r="KN261" i="40" s="1"/>
  <c r="KN262" i="40" s="1"/>
  <c r="KN263" i="40" s="1"/>
  <c r="KN264" i="40" s="1"/>
  <c r="KN265" i="40" s="1"/>
  <c r="KN266" i="40" s="1"/>
  <c r="KN267" i="40" s="1"/>
  <c r="KN268" i="40" s="1"/>
  <c r="KN269" i="40" s="1"/>
  <c r="KN270" i="40" s="1"/>
  <c r="KN271" i="40" s="1"/>
  <c r="KN272" i="40" s="1"/>
  <c r="KN273" i="40" s="1"/>
  <c r="KN274" i="40" s="1"/>
  <c r="KN275" i="40" s="1"/>
  <c r="KN101" i="40"/>
  <c r="KN102" i="40"/>
  <c r="KN103" i="40" s="1"/>
  <c r="KN104" i="40" s="1"/>
  <c r="KN105" i="40" s="1"/>
  <c r="KN106" i="40" s="1"/>
  <c r="KN107" i="40" s="1"/>
  <c r="KN108" i="40" s="1"/>
  <c r="KN109" i="40" s="1"/>
  <c r="KN110" i="40" s="1"/>
  <c r="KN111" i="40" s="1"/>
  <c r="KN112" i="40" s="1"/>
  <c r="KN113" i="40" s="1"/>
  <c r="KN114" i="40" s="1"/>
  <c r="KN115" i="40" s="1"/>
  <c r="KN116" i="40" s="1"/>
  <c r="KN117" i="40" s="1"/>
  <c r="KN118" i="40" s="1"/>
  <c r="KN119" i="40" s="1"/>
  <c r="KN120" i="40" s="1"/>
  <c r="KN121" i="40" s="1"/>
  <c r="KN122" i="40" s="1"/>
  <c r="KN123" i="40" s="1"/>
  <c r="KN124" i="40" s="1"/>
  <c r="KN125" i="40" s="1"/>
  <c r="KN126" i="40" s="1"/>
  <c r="KN127" i="40" s="1"/>
  <c r="KN128" i="40" s="1"/>
  <c r="KN129" i="40" s="1"/>
  <c r="KN130" i="40" s="1"/>
  <c r="KN131" i="40" s="1"/>
  <c r="KN132" i="40" s="1"/>
  <c r="KN133" i="40" s="1"/>
  <c r="KN134" i="40" s="1"/>
  <c r="KN135" i="40" s="1"/>
  <c r="KN136" i="40" s="1"/>
  <c r="KN137" i="40" s="1"/>
  <c r="KN138" i="40" s="1"/>
  <c r="KN139" i="40" s="1"/>
  <c r="KN140" i="40" s="1"/>
  <c r="KN141" i="40" s="1"/>
  <c r="KN142" i="40" s="1"/>
  <c r="KN143" i="40" s="1"/>
  <c r="KN144" i="40" s="1"/>
  <c r="KN145" i="40" s="1"/>
  <c r="KN146" i="40" s="1"/>
  <c r="KN147" i="40" s="1"/>
  <c r="KN148" i="40" s="1"/>
  <c r="KN149" i="40" s="1"/>
  <c r="KN150" i="40" s="1"/>
  <c r="KN151" i="40" s="1"/>
  <c r="KN152" i="40" s="1"/>
  <c r="KN153" i="40" s="1"/>
  <c r="KN154" i="40" s="1"/>
  <c r="KN155" i="40" s="1"/>
  <c r="KN156" i="40" s="1"/>
  <c r="KN157" i="40" s="1"/>
  <c r="KN158" i="40" s="1"/>
  <c r="KN159" i="40" s="1"/>
  <c r="KN160" i="40" s="1"/>
  <c r="KN161" i="40" s="1"/>
  <c r="KN162" i="40" s="1"/>
  <c r="KN163" i="40" s="1"/>
  <c r="KN164" i="40" s="1"/>
  <c r="KN165" i="40" s="1"/>
  <c r="KN166" i="40" s="1"/>
  <c r="KN167" i="40" s="1"/>
  <c r="KN168" i="40" s="1"/>
  <c r="KN169" i="40" s="1"/>
  <c r="KN170" i="40" s="1"/>
  <c r="KN171" i="40" s="1"/>
  <c r="KN172" i="40" s="1"/>
  <c r="KN173" i="40" s="1"/>
  <c r="KN174" i="40" s="1"/>
  <c r="KN175" i="40" s="1"/>
  <c r="E17" i="70"/>
  <c r="C17" i="70"/>
  <c r="U50" i="69"/>
  <c r="U52" i="69"/>
  <c r="U54" i="69"/>
  <c r="Q54" i="69" s="1"/>
  <c r="U56" i="69"/>
  <c r="U58" i="69"/>
  <c r="Q58" i="69" s="1"/>
  <c r="U60" i="69"/>
  <c r="Y60" i="69" s="1"/>
  <c r="AC60" i="69" s="1"/>
  <c r="U62" i="69"/>
  <c r="Q62" i="69" s="1"/>
  <c r="U64" i="69"/>
  <c r="Q64" i="69" s="1"/>
  <c r="U66" i="69"/>
  <c r="Y66" i="69" s="1"/>
  <c r="AC66" i="69" s="1"/>
  <c r="U68" i="69"/>
  <c r="Q68" i="69" s="1"/>
  <c r="U70" i="69"/>
  <c r="Y70" i="69" s="1"/>
  <c r="AC70" i="69" s="1"/>
  <c r="V50" i="69"/>
  <c r="R50" i="69" s="1"/>
  <c r="V52" i="69"/>
  <c r="V54" i="69"/>
  <c r="V56" i="69"/>
  <c r="R56" i="69" s="1"/>
  <c r="V58" i="69"/>
  <c r="R58" i="69" s="1"/>
  <c r="V60" i="69"/>
  <c r="R60" i="69" s="1"/>
  <c r="V62" i="69"/>
  <c r="R62" i="69" s="1"/>
  <c r="V64" i="69"/>
  <c r="Z64" i="69" s="1"/>
  <c r="V66" i="69"/>
  <c r="Z66" i="69" s="1"/>
  <c r="V68" i="69"/>
  <c r="V70" i="69"/>
  <c r="Z70" i="69" s="1"/>
  <c r="W50" i="69"/>
  <c r="S50" i="69" s="1"/>
  <c r="W52" i="69"/>
  <c r="W54" i="69"/>
  <c r="W56" i="69"/>
  <c r="S56" i="69" s="1"/>
  <c r="W58" i="69"/>
  <c r="W60" i="69"/>
  <c r="W62" i="69"/>
  <c r="S62" i="69" s="1"/>
  <c r="W64" i="69"/>
  <c r="S64" i="69" s="1"/>
  <c r="W66" i="69"/>
  <c r="S66" i="69" s="1"/>
  <c r="W68" i="69"/>
  <c r="AA68" i="69" s="1"/>
  <c r="W70" i="69"/>
  <c r="AA70" i="69" s="1"/>
  <c r="U48" i="68"/>
  <c r="Q48" i="68" s="1"/>
  <c r="U50" i="68"/>
  <c r="U52" i="68"/>
  <c r="U54" i="68"/>
  <c r="Q54" i="68" s="1"/>
  <c r="U56" i="68"/>
  <c r="Q56" i="68" s="1"/>
  <c r="U58" i="68"/>
  <c r="U60" i="68"/>
  <c r="U62" i="68"/>
  <c r="Q62" i="68" s="1"/>
  <c r="U64" i="68"/>
  <c r="Q64" i="68" s="1"/>
  <c r="U66" i="68"/>
  <c r="Q66" i="68" s="1"/>
  <c r="U68" i="68"/>
  <c r="Q68" i="68" s="1"/>
  <c r="U70" i="68"/>
  <c r="Y70" i="68" s="1"/>
  <c r="AC70" i="68" s="1"/>
  <c r="V48" i="68"/>
  <c r="R48" i="68" s="1"/>
  <c r="V50" i="68"/>
  <c r="R50" i="68" s="1"/>
  <c r="V52" i="68"/>
  <c r="R52" i="68" s="1"/>
  <c r="V54" i="68"/>
  <c r="V56" i="68"/>
  <c r="R56" i="68" s="1"/>
  <c r="V58" i="68"/>
  <c r="V60" i="68"/>
  <c r="V62" i="68"/>
  <c r="V64" i="68"/>
  <c r="Z64" i="68" s="1"/>
  <c r="V66" i="68"/>
  <c r="R66" i="68" s="1"/>
  <c r="V68" i="68"/>
  <c r="R68" i="68" s="1"/>
  <c r="V70" i="68"/>
  <c r="Z70" i="68" s="1"/>
  <c r="W48" i="68"/>
  <c r="S48" i="68" s="1"/>
  <c r="W50" i="68"/>
  <c r="S50" i="68" s="1"/>
  <c r="W52" i="68"/>
  <c r="W54" i="68"/>
  <c r="W56" i="68"/>
  <c r="S56" i="68" s="1"/>
  <c r="W58" i="68"/>
  <c r="S58" i="68" s="1"/>
  <c r="W60" i="68"/>
  <c r="W62" i="68"/>
  <c r="W64" i="68"/>
  <c r="S64" i="68" s="1"/>
  <c r="W66" i="68"/>
  <c r="S66" i="68" s="1"/>
  <c r="W68" i="68"/>
  <c r="W70" i="68"/>
  <c r="U48" i="67"/>
  <c r="Q48" i="67" s="1"/>
  <c r="U50" i="67"/>
  <c r="Q50" i="67" s="1"/>
  <c r="U52" i="67"/>
  <c r="U54" i="67"/>
  <c r="U56" i="67"/>
  <c r="Y56" i="67" s="1"/>
  <c r="AC56" i="67" s="1"/>
  <c r="U58" i="67"/>
  <c r="Y58" i="67" s="1"/>
  <c r="AC58" i="67" s="1"/>
  <c r="U60" i="67"/>
  <c r="Q60" i="67" s="1"/>
  <c r="U62" i="67"/>
  <c r="U64" i="67"/>
  <c r="Y64" i="67" s="1"/>
  <c r="AC64" i="67" s="1"/>
  <c r="U66" i="67"/>
  <c r="Q66" i="67" s="1"/>
  <c r="U68" i="67"/>
  <c r="U70" i="67"/>
  <c r="V48" i="67"/>
  <c r="R48" i="67" s="1"/>
  <c r="V50" i="67"/>
  <c r="V52" i="67"/>
  <c r="V54" i="67"/>
  <c r="V56" i="67"/>
  <c r="V58" i="67"/>
  <c r="Z58" i="67" s="1"/>
  <c r="V60" i="67"/>
  <c r="R60" i="67" s="1"/>
  <c r="V62" i="67"/>
  <c r="V64" i="67"/>
  <c r="Z64" i="67" s="1"/>
  <c r="V66" i="67"/>
  <c r="Z66" i="67" s="1"/>
  <c r="V68" i="67"/>
  <c r="Z68" i="67" s="1"/>
  <c r="V70" i="67"/>
  <c r="R70" i="67" s="1"/>
  <c r="W48" i="67"/>
  <c r="S48" i="67" s="1"/>
  <c r="W50" i="67"/>
  <c r="W52" i="67"/>
  <c r="W54" i="67"/>
  <c r="W56" i="67"/>
  <c r="S56" i="67" s="1"/>
  <c r="W58" i="67"/>
  <c r="AA58" i="67" s="1"/>
  <c r="W60" i="67"/>
  <c r="W62" i="67"/>
  <c r="W64" i="67"/>
  <c r="AA64" i="67" s="1"/>
  <c r="W66" i="67"/>
  <c r="AA66" i="67" s="1"/>
  <c r="W68" i="67"/>
  <c r="W70" i="67"/>
  <c r="AA70" i="67" s="1"/>
  <c r="U50" i="66"/>
  <c r="U52" i="66"/>
  <c r="U54" i="66"/>
  <c r="U56" i="66"/>
  <c r="Q56" i="66" s="1"/>
  <c r="U58" i="66"/>
  <c r="U60" i="66"/>
  <c r="Y60" i="66" s="1"/>
  <c r="AC60" i="66" s="1"/>
  <c r="U62" i="66"/>
  <c r="Q62" i="66" s="1"/>
  <c r="U64" i="66"/>
  <c r="Q64" i="66" s="1"/>
  <c r="U66" i="66"/>
  <c r="U68" i="66"/>
  <c r="Y68" i="66" s="1"/>
  <c r="AC68" i="66" s="1"/>
  <c r="U70" i="66"/>
  <c r="V50" i="66"/>
  <c r="V52" i="66"/>
  <c r="V54" i="66"/>
  <c r="R54" i="66" s="1"/>
  <c r="V56" i="66"/>
  <c r="Z56" i="66" s="1"/>
  <c r="V58" i="66"/>
  <c r="R58" i="66" s="1"/>
  <c r="V60" i="66"/>
  <c r="V62" i="66"/>
  <c r="R62" i="66" s="1"/>
  <c r="V64" i="66"/>
  <c r="R64" i="66" s="1"/>
  <c r="V66" i="66"/>
  <c r="V68" i="66"/>
  <c r="Z68" i="66" s="1"/>
  <c r="V70" i="66"/>
  <c r="W50" i="66"/>
  <c r="W52" i="66"/>
  <c r="S52" i="66" s="1"/>
  <c r="W54" i="66"/>
  <c r="W56" i="66"/>
  <c r="W58" i="66"/>
  <c r="AA58" i="66" s="1"/>
  <c r="W60" i="66"/>
  <c r="S60" i="66" s="1"/>
  <c r="W62" i="66"/>
  <c r="W64" i="66"/>
  <c r="W66" i="66"/>
  <c r="W68" i="66"/>
  <c r="S68" i="66" s="1"/>
  <c r="W70" i="66"/>
  <c r="AA70" i="66" s="1"/>
  <c r="U50" i="58"/>
  <c r="U52" i="58"/>
  <c r="Q52" i="58" s="1"/>
  <c r="U54" i="58"/>
  <c r="U56" i="58"/>
  <c r="Q56" i="58" s="1"/>
  <c r="U58" i="58"/>
  <c r="Q58" i="58" s="1"/>
  <c r="U60" i="58"/>
  <c r="Q60" i="58" s="1"/>
  <c r="U62" i="58"/>
  <c r="Q62" i="58" s="1"/>
  <c r="U64" i="58"/>
  <c r="U66" i="58"/>
  <c r="U68" i="58"/>
  <c r="Y68" i="58" s="1"/>
  <c r="AC68" i="58" s="1"/>
  <c r="U70" i="58"/>
  <c r="Y70" i="58" s="1"/>
  <c r="AC70" i="58" s="1"/>
  <c r="V50" i="58"/>
  <c r="V52" i="58"/>
  <c r="V54" i="58"/>
  <c r="R54" i="58" s="1"/>
  <c r="V56" i="58"/>
  <c r="R56" i="58" s="1"/>
  <c r="V58" i="58"/>
  <c r="V60" i="58"/>
  <c r="V62" i="58"/>
  <c r="Z62" i="58" s="1"/>
  <c r="V64" i="58"/>
  <c r="R64" i="58" s="1"/>
  <c r="V66" i="58"/>
  <c r="R66" i="58" s="1"/>
  <c r="V68" i="58"/>
  <c r="V70" i="58"/>
  <c r="R70" i="58" s="1"/>
  <c r="W50" i="58"/>
  <c r="W52" i="58"/>
  <c r="W54" i="58"/>
  <c r="W56" i="58"/>
  <c r="S56" i="58" s="1"/>
  <c r="W58" i="58"/>
  <c r="AA58" i="58" s="1"/>
  <c r="W60" i="58"/>
  <c r="AA60" i="58" s="1"/>
  <c r="W62" i="58"/>
  <c r="W64" i="58"/>
  <c r="S64" i="58" s="1"/>
  <c r="W66" i="58"/>
  <c r="S66" i="58" s="1"/>
  <c r="W68" i="58"/>
  <c r="W70" i="58"/>
  <c r="JO574" i="40"/>
  <c r="JO573" i="40"/>
  <c r="JO572" i="40"/>
  <c r="JO571" i="40"/>
  <c r="JO570" i="40"/>
  <c r="JO569" i="40"/>
  <c r="JO568" i="40"/>
  <c r="JO567" i="40"/>
  <c r="JO566" i="40"/>
  <c r="JO565" i="40"/>
  <c r="JO564" i="40"/>
  <c r="JO563" i="40"/>
  <c r="JO474" i="40"/>
  <c r="JO473" i="40"/>
  <c r="JO472" i="40"/>
  <c r="JO471" i="40"/>
  <c r="JO470" i="40"/>
  <c r="JO469" i="40"/>
  <c r="JO468" i="40"/>
  <c r="JO467" i="40"/>
  <c r="JO466" i="40"/>
  <c r="JO465" i="40"/>
  <c r="JO464" i="40"/>
  <c r="JO463" i="40"/>
  <c r="JO374" i="40"/>
  <c r="JO373" i="40"/>
  <c r="JO372" i="40"/>
  <c r="JO371" i="40"/>
  <c r="JO370" i="40"/>
  <c r="JO369" i="40"/>
  <c r="JO368" i="40"/>
  <c r="JO367" i="40"/>
  <c r="JO366" i="40"/>
  <c r="JO365" i="40"/>
  <c r="JO364" i="40"/>
  <c r="JO363" i="40"/>
  <c r="AE60" i="52"/>
  <c r="AF60" i="52"/>
  <c r="AG60" i="52"/>
  <c r="AH60" i="52"/>
  <c r="AI60" i="52"/>
  <c r="AJ60" i="52"/>
  <c r="AE59" i="52"/>
  <c r="AF59" i="52"/>
  <c r="AG59" i="52"/>
  <c r="AH59" i="52"/>
  <c r="AI59" i="52"/>
  <c r="AJ59" i="52"/>
  <c r="AE58" i="52"/>
  <c r="AF58" i="52"/>
  <c r="AG58" i="52"/>
  <c r="AH58" i="52"/>
  <c r="AI58" i="52"/>
  <c r="AJ58" i="52"/>
  <c r="AE57" i="52"/>
  <c r="AF57" i="52"/>
  <c r="AG57" i="52"/>
  <c r="AH57" i="52"/>
  <c r="AI57" i="52"/>
  <c r="AJ57" i="52"/>
  <c r="AE56" i="52"/>
  <c r="AF56" i="52"/>
  <c r="AG56" i="52"/>
  <c r="AH56" i="52"/>
  <c r="AI56" i="52"/>
  <c r="AJ56" i="52"/>
  <c r="AE55" i="52"/>
  <c r="AF55" i="52"/>
  <c r="AG55" i="52"/>
  <c r="AH55" i="52"/>
  <c r="AI55" i="52"/>
  <c r="AJ55" i="52"/>
  <c r="AE54" i="52"/>
  <c r="AF54" i="52"/>
  <c r="AG54" i="52"/>
  <c r="AH54" i="52"/>
  <c r="AI54" i="52"/>
  <c r="AJ54" i="52"/>
  <c r="AE53" i="52"/>
  <c r="AF53" i="52"/>
  <c r="AG53" i="52"/>
  <c r="AH53" i="52"/>
  <c r="AI53" i="52"/>
  <c r="AJ53" i="52"/>
  <c r="AE52" i="52"/>
  <c r="AF52" i="52"/>
  <c r="AG52" i="52"/>
  <c r="AH52" i="52"/>
  <c r="AI52" i="52"/>
  <c r="AJ52" i="52"/>
  <c r="AE51" i="52"/>
  <c r="AF51" i="52"/>
  <c r="AG51" i="52"/>
  <c r="AH51" i="52"/>
  <c r="AI51" i="52"/>
  <c r="AJ51" i="52"/>
  <c r="AE50" i="52"/>
  <c r="AF50" i="52"/>
  <c r="AG50" i="52"/>
  <c r="AH50" i="52"/>
  <c r="AI50" i="52"/>
  <c r="AJ50" i="52"/>
  <c r="AE49" i="52"/>
  <c r="AF49" i="52"/>
  <c r="AG49" i="52"/>
  <c r="AH49" i="52"/>
  <c r="AI49" i="52"/>
  <c r="AJ49" i="52"/>
  <c r="AE48" i="52"/>
  <c r="AF48" i="52"/>
  <c r="AG48" i="52"/>
  <c r="AH48" i="52"/>
  <c r="AI48" i="52"/>
  <c r="AJ48" i="52"/>
  <c r="AE47" i="52"/>
  <c r="AF47" i="52"/>
  <c r="AG47" i="52"/>
  <c r="AH47" i="52"/>
  <c r="AI47" i="52"/>
  <c r="AJ47" i="52"/>
  <c r="AE46" i="52"/>
  <c r="AF46" i="52"/>
  <c r="AG46" i="52"/>
  <c r="AH46" i="52"/>
  <c r="AI46" i="52"/>
  <c r="AJ46" i="52"/>
  <c r="AE31" i="52"/>
  <c r="AF31" i="52"/>
  <c r="AG31" i="52"/>
  <c r="AH31" i="52"/>
  <c r="AI31" i="52"/>
  <c r="AJ31" i="52"/>
  <c r="AE30" i="52"/>
  <c r="AF30" i="52"/>
  <c r="AG30" i="52"/>
  <c r="AH30" i="52"/>
  <c r="AI30" i="52"/>
  <c r="AJ30" i="52"/>
  <c r="AE29" i="52"/>
  <c r="AF29" i="52"/>
  <c r="AG29" i="52"/>
  <c r="AH29" i="52"/>
  <c r="AI29" i="52"/>
  <c r="AJ29" i="52"/>
  <c r="AE28" i="52"/>
  <c r="AF28" i="52"/>
  <c r="AG28" i="52"/>
  <c r="AH28" i="52"/>
  <c r="AI28" i="52"/>
  <c r="AJ28" i="52"/>
  <c r="AE27" i="52"/>
  <c r="AF27" i="52"/>
  <c r="AG27" i="52"/>
  <c r="AH27" i="52"/>
  <c r="AI27" i="52"/>
  <c r="AJ27" i="52"/>
  <c r="AE26" i="52"/>
  <c r="AF26" i="52"/>
  <c r="AG26" i="52"/>
  <c r="AH26" i="52"/>
  <c r="AI26" i="52"/>
  <c r="AJ26" i="52"/>
  <c r="AE25" i="52"/>
  <c r="AF25" i="52"/>
  <c r="AG25" i="52"/>
  <c r="AH25" i="52"/>
  <c r="AI25" i="52"/>
  <c r="AJ25" i="52"/>
  <c r="AE24" i="52"/>
  <c r="AF24" i="52"/>
  <c r="AG24" i="52"/>
  <c r="AH24" i="52"/>
  <c r="AI24" i="52"/>
  <c r="AJ24" i="52"/>
  <c r="AE23" i="52"/>
  <c r="AF23" i="52"/>
  <c r="AG23" i="52"/>
  <c r="AH23" i="52"/>
  <c r="AI23" i="52"/>
  <c r="AJ23" i="52"/>
  <c r="AE22" i="52"/>
  <c r="AF22" i="52"/>
  <c r="AG22" i="52"/>
  <c r="AH22" i="52"/>
  <c r="AI22" i="52"/>
  <c r="AJ22" i="52"/>
  <c r="AE21" i="52"/>
  <c r="AF21" i="52"/>
  <c r="AG21" i="52"/>
  <c r="AH21" i="52"/>
  <c r="AI21" i="52"/>
  <c r="AJ21" i="52"/>
  <c r="AE20" i="52"/>
  <c r="AF20" i="52"/>
  <c r="AG20" i="52"/>
  <c r="AH20" i="52"/>
  <c r="AI20" i="52"/>
  <c r="AJ20" i="52"/>
  <c r="AE19" i="52"/>
  <c r="AF19" i="52"/>
  <c r="AG19" i="52"/>
  <c r="AH19" i="52"/>
  <c r="AI19" i="52"/>
  <c r="AJ19" i="52"/>
  <c r="AE18" i="52"/>
  <c r="AF18" i="52"/>
  <c r="AG18" i="52"/>
  <c r="AH18" i="52"/>
  <c r="AI18" i="52"/>
  <c r="AJ18" i="52"/>
  <c r="AE17" i="52"/>
  <c r="AF17" i="52"/>
  <c r="AG17" i="52"/>
  <c r="AH17" i="52"/>
  <c r="AI17" i="52"/>
  <c r="AJ17" i="52"/>
  <c r="BX29" i="52"/>
  <c r="Y29" i="52" s="1"/>
  <c r="BX30" i="52"/>
  <c r="BX26" i="52"/>
  <c r="Y26" i="52" s="1"/>
  <c r="BX27" i="52"/>
  <c r="BX23" i="52"/>
  <c r="Y23" i="52" s="1"/>
  <c r="BX24" i="52"/>
  <c r="BX20" i="52"/>
  <c r="Y20" i="52" s="1"/>
  <c r="BX21" i="52"/>
  <c r="BX17" i="52"/>
  <c r="Y17" i="52" s="1"/>
  <c r="BX18" i="52"/>
  <c r="H60" i="52"/>
  <c r="I60" i="52"/>
  <c r="AD60" i="52"/>
  <c r="G60" i="52"/>
  <c r="AB60" i="52"/>
  <c r="N60" i="52"/>
  <c r="M60" i="52"/>
  <c r="L60" i="52"/>
  <c r="K60" i="52"/>
  <c r="J60" i="52"/>
  <c r="F60" i="52"/>
  <c r="H59" i="52"/>
  <c r="I59" i="52"/>
  <c r="AD59" i="52"/>
  <c r="G59" i="52"/>
  <c r="AB59" i="52"/>
  <c r="N59" i="52"/>
  <c r="M59" i="52"/>
  <c r="L59" i="52"/>
  <c r="K59" i="52"/>
  <c r="J59" i="52"/>
  <c r="F59" i="52"/>
  <c r="H58" i="52"/>
  <c r="I58" i="52"/>
  <c r="AD58" i="52"/>
  <c r="G58" i="52"/>
  <c r="AB58" i="52"/>
  <c r="N58" i="52"/>
  <c r="M58" i="52"/>
  <c r="L58" i="52"/>
  <c r="K58" i="52"/>
  <c r="J58" i="52"/>
  <c r="F58" i="52"/>
  <c r="H57" i="52"/>
  <c r="I57" i="52"/>
  <c r="AD57" i="52"/>
  <c r="G57" i="52"/>
  <c r="AA57" i="52"/>
  <c r="AB57" i="52"/>
  <c r="N57" i="52"/>
  <c r="M57" i="52"/>
  <c r="L57" i="52"/>
  <c r="K57" i="52"/>
  <c r="J57" i="52"/>
  <c r="F57" i="52"/>
  <c r="H56" i="52"/>
  <c r="I56" i="52"/>
  <c r="AD56" i="52"/>
  <c r="G56" i="52"/>
  <c r="AB56" i="52"/>
  <c r="N56" i="52"/>
  <c r="M56" i="52"/>
  <c r="L56" i="52"/>
  <c r="K56" i="52"/>
  <c r="J56" i="52"/>
  <c r="F56" i="52"/>
  <c r="H55" i="52"/>
  <c r="I55" i="52"/>
  <c r="AD55" i="52"/>
  <c r="G55" i="52"/>
  <c r="AB55" i="52"/>
  <c r="N55" i="52"/>
  <c r="M55" i="52"/>
  <c r="L55" i="52"/>
  <c r="K55" i="52"/>
  <c r="J55" i="52"/>
  <c r="F55" i="52"/>
  <c r="H54" i="52"/>
  <c r="I54" i="52"/>
  <c r="AD54" i="52"/>
  <c r="G54" i="52"/>
  <c r="AA54" i="52"/>
  <c r="AB54" i="52"/>
  <c r="N54" i="52"/>
  <c r="M54" i="52"/>
  <c r="L54" i="52"/>
  <c r="K54" i="52"/>
  <c r="J54" i="52"/>
  <c r="F54" i="52"/>
  <c r="H53" i="52"/>
  <c r="I53" i="52"/>
  <c r="AD53" i="52"/>
  <c r="G53" i="52"/>
  <c r="AB53" i="52"/>
  <c r="N53" i="52"/>
  <c r="M53" i="52"/>
  <c r="L53" i="52"/>
  <c r="K53" i="52"/>
  <c r="J53" i="52"/>
  <c r="F53" i="52"/>
  <c r="H52" i="52"/>
  <c r="I52" i="52"/>
  <c r="AD52" i="52"/>
  <c r="G52" i="52"/>
  <c r="AA52" i="52"/>
  <c r="AB52" i="52"/>
  <c r="N52" i="52"/>
  <c r="M52" i="52"/>
  <c r="L52" i="52"/>
  <c r="K52" i="52"/>
  <c r="J52" i="52"/>
  <c r="F52" i="52"/>
  <c r="H51" i="52"/>
  <c r="I51" i="52"/>
  <c r="AD51" i="52"/>
  <c r="G51" i="52"/>
  <c r="AA51" i="52"/>
  <c r="AB51" i="52"/>
  <c r="N51" i="52"/>
  <c r="M51" i="52"/>
  <c r="L51" i="52"/>
  <c r="K51" i="52"/>
  <c r="J51" i="52"/>
  <c r="F51" i="52"/>
  <c r="H50" i="52"/>
  <c r="I50" i="52"/>
  <c r="AD50" i="52"/>
  <c r="G50" i="52"/>
  <c r="AB50" i="52"/>
  <c r="N50" i="52"/>
  <c r="M50" i="52"/>
  <c r="L50" i="52"/>
  <c r="K50" i="52"/>
  <c r="J50" i="52"/>
  <c r="F50" i="52"/>
  <c r="H49" i="52"/>
  <c r="I49" i="52"/>
  <c r="AD49" i="52"/>
  <c r="G49" i="52"/>
  <c r="AA49" i="52"/>
  <c r="AB49" i="52"/>
  <c r="N49" i="52"/>
  <c r="M49" i="52"/>
  <c r="L49" i="52"/>
  <c r="K49" i="52"/>
  <c r="J49" i="52"/>
  <c r="F49" i="52"/>
  <c r="H48" i="52"/>
  <c r="I48" i="52"/>
  <c r="AC48" i="52"/>
  <c r="AD48" i="52"/>
  <c r="G48" i="52"/>
  <c r="AA48" i="52"/>
  <c r="AB48" i="52"/>
  <c r="N48" i="52"/>
  <c r="M48" i="52"/>
  <c r="L48" i="52"/>
  <c r="K48" i="52"/>
  <c r="J48" i="52"/>
  <c r="F48" i="52"/>
  <c r="H47" i="52"/>
  <c r="I47" i="52"/>
  <c r="AC47" i="52"/>
  <c r="AD47" i="52"/>
  <c r="G47" i="52"/>
  <c r="AA47" i="52"/>
  <c r="AB47" i="52"/>
  <c r="N47" i="52"/>
  <c r="M47" i="52"/>
  <c r="L47" i="52"/>
  <c r="K47" i="52"/>
  <c r="J47" i="52"/>
  <c r="F47" i="52"/>
  <c r="H46" i="52"/>
  <c r="I46" i="52"/>
  <c r="AC46" i="52"/>
  <c r="AD46" i="52"/>
  <c r="G46" i="52"/>
  <c r="AA46" i="52"/>
  <c r="AB46" i="52"/>
  <c r="N46" i="52"/>
  <c r="M46" i="52"/>
  <c r="L46" i="52"/>
  <c r="K46" i="52"/>
  <c r="J46" i="52"/>
  <c r="F46" i="52"/>
  <c r="F31" i="52"/>
  <c r="I31" i="52"/>
  <c r="AB31" i="52"/>
  <c r="F30" i="52"/>
  <c r="I30" i="52"/>
  <c r="AB30" i="52"/>
  <c r="F29" i="52"/>
  <c r="I29" i="52"/>
  <c r="AB29" i="52"/>
  <c r="F28" i="52"/>
  <c r="I28" i="52"/>
  <c r="AB28" i="52"/>
  <c r="F27" i="52"/>
  <c r="I27" i="52"/>
  <c r="AB27" i="52"/>
  <c r="F26" i="52"/>
  <c r="I26" i="52"/>
  <c r="AB26" i="52"/>
  <c r="F25" i="52"/>
  <c r="I25" i="52"/>
  <c r="AB25" i="52"/>
  <c r="F24" i="52"/>
  <c r="I24" i="52"/>
  <c r="AB24" i="52"/>
  <c r="F23" i="52"/>
  <c r="I23" i="52"/>
  <c r="AB23" i="52"/>
  <c r="F22" i="52"/>
  <c r="I22" i="52"/>
  <c r="AA22" i="52"/>
  <c r="AB22" i="52"/>
  <c r="F21" i="52"/>
  <c r="I21" i="52"/>
  <c r="AA21" i="52"/>
  <c r="AB21" i="52"/>
  <c r="F20" i="52"/>
  <c r="I20" i="52"/>
  <c r="AA20" i="52"/>
  <c r="AB20" i="52"/>
  <c r="F19" i="52"/>
  <c r="I19" i="52"/>
  <c r="AA19" i="52"/>
  <c r="AB19" i="52"/>
  <c r="F18" i="52"/>
  <c r="I18" i="52"/>
  <c r="AA18" i="52"/>
  <c r="AB18" i="52"/>
  <c r="BX31" i="52"/>
  <c r="H31" i="52"/>
  <c r="AD31" i="52"/>
  <c r="H30" i="52"/>
  <c r="AD30" i="52"/>
  <c r="H29" i="52"/>
  <c r="AD29" i="52"/>
  <c r="BX28" i="52"/>
  <c r="H28" i="52"/>
  <c r="AD28" i="52"/>
  <c r="H27" i="52"/>
  <c r="AD27" i="52"/>
  <c r="H26" i="52"/>
  <c r="AD26" i="52"/>
  <c r="BX25" i="52"/>
  <c r="H25" i="52"/>
  <c r="AD25" i="52"/>
  <c r="H24" i="52"/>
  <c r="AD24" i="52"/>
  <c r="H23" i="52"/>
  <c r="AD23" i="52"/>
  <c r="BX22" i="52"/>
  <c r="H22" i="52"/>
  <c r="AD22" i="52"/>
  <c r="H21" i="52"/>
  <c r="AD21" i="52"/>
  <c r="H20" i="52"/>
  <c r="AD20" i="52"/>
  <c r="BX19" i="52"/>
  <c r="H19" i="52"/>
  <c r="AC19" i="52"/>
  <c r="AD19" i="52"/>
  <c r="H18" i="52"/>
  <c r="AC18" i="52"/>
  <c r="AD18" i="52"/>
  <c r="H17" i="52"/>
  <c r="I17" i="52"/>
  <c r="AC17" i="52"/>
  <c r="AD17" i="52"/>
  <c r="F17" i="52"/>
  <c r="AA17" i="52"/>
  <c r="AB17" i="52"/>
  <c r="P26" i="39"/>
  <c r="P27" i="39"/>
  <c r="P28" i="39"/>
  <c r="JO562" i="40"/>
  <c r="P29" i="39"/>
  <c r="Q88" i="39"/>
  <c r="P88" i="39"/>
  <c r="Q59" i="52" s="1"/>
  <c r="N26" i="39"/>
  <c r="N27" i="39"/>
  <c r="N28" i="39"/>
  <c r="JO462" i="40"/>
  <c r="N29" i="39"/>
  <c r="L26" i="39"/>
  <c r="L27" i="39"/>
  <c r="L28" i="39"/>
  <c r="JO362" i="40"/>
  <c r="L29" i="39"/>
  <c r="J26" i="39"/>
  <c r="J27" i="39"/>
  <c r="J28" i="39"/>
  <c r="J29" i="39"/>
  <c r="H26" i="39"/>
  <c r="H27" i="39"/>
  <c r="H28" i="39"/>
  <c r="H29" i="39"/>
  <c r="O88" i="39"/>
  <c r="N88" i="39"/>
  <c r="Q55" i="52" s="1"/>
  <c r="M88" i="39"/>
  <c r="L88" i="39"/>
  <c r="K88" i="39"/>
  <c r="J88" i="39"/>
  <c r="Q49" i="52" s="1"/>
  <c r="I88" i="39"/>
  <c r="H88" i="39"/>
  <c r="Q46" i="52" s="1"/>
  <c r="Y101" i="39"/>
  <c r="Y102" i="39"/>
  <c r="Y103" i="39"/>
  <c r="Y104" i="39"/>
  <c r="Y100" i="39"/>
  <c r="X96" i="39"/>
  <c r="W96" i="39"/>
  <c r="X97" i="39"/>
  <c r="AF502" i="40"/>
  <c r="AF408" i="40"/>
  <c r="AF308" i="40"/>
  <c r="AF208" i="40"/>
  <c r="AF102" i="40"/>
  <c r="E377" i="38"/>
  <c r="E376" i="38"/>
  <c r="E375" i="38"/>
  <c r="E374" i="38"/>
  <c r="E373" i="38"/>
  <c r="E372" i="38"/>
  <c r="E371" i="38"/>
  <c r="E370" i="38"/>
  <c r="E369" i="38"/>
  <c r="E368" i="38"/>
  <c r="E367" i="38"/>
  <c r="E366" i="38"/>
  <c r="E365" i="38"/>
  <c r="E364" i="38"/>
  <c r="E363" i="38"/>
  <c r="E362" i="38"/>
  <c r="E361" i="38"/>
  <c r="E360" i="38"/>
  <c r="E359" i="38"/>
  <c r="E358" i="38"/>
  <c r="E357" i="38"/>
  <c r="E356" i="38"/>
  <c r="E355" i="38"/>
  <c r="E354" i="38"/>
  <c r="E353" i="38"/>
  <c r="E352" i="38"/>
  <c r="E351" i="38"/>
  <c r="E350" i="38"/>
  <c r="E349" i="38"/>
  <c r="E348" i="38"/>
  <c r="E347" i="38"/>
  <c r="E346" i="38"/>
  <c r="E345" i="38"/>
  <c r="E344" i="38"/>
  <c r="E343" i="38"/>
  <c r="E342" i="38"/>
  <c r="E341" i="38"/>
  <c r="E340" i="38"/>
  <c r="E339" i="38"/>
  <c r="E338" i="38"/>
  <c r="E337" i="38"/>
  <c r="E336" i="38"/>
  <c r="E335" i="38"/>
  <c r="E334" i="38"/>
  <c r="E333" i="38"/>
  <c r="E332" i="38"/>
  <c r="E331" i="38"/>
  <c r="E330" i="38"/>
  <c r="E329" i="38"/>
  <c r="E328" i="38"/>
  <c r="E327" i="38"/>
  <c r="E326" i="38"/>
  <c r="E325" i="38"/>
  <c r="E324" i="38"/>
  <c r="E323" i="38"/>
  <c r="E322" i="38"/>
  <c r="E321" i="38"/>
  <c r="E320" i="38"/>
  <c r="E319" i="38"/>
  <c r="E318" i="38"/>
  <c r="E317" i="38"/>
  <c r="E316" i="38"/>
  <c r="E315" i="38"/>
  <c r="E314" i="38"/>
  <c r="E313" i="38"/>
  <c r="E312" i="38"/>
  <c r="E311" i="38"/>
  <c r="E310" i="38"/>
  <c r="E309" i="38"/>
  <c r="E308" i="38"/>
  <c r="E307" i="38"/>
  <c r="E306" i="38"/>
  <c r="E305" i="38"/>
  <c r="E304" i="38"/>
  <c r="E303" i="38"/>
  <c r="E302" i="38"/>
  <c r="E301" i="38"/>
  <c r="E300" i="38"/>
  <c r="E299" i="38"/>
  <c r="E298" i="38"/>
  <c r="E297" i="38"/>
  <c r="E296" i="38"/>
  <c r="E295" i="38"/>
  <c r="E294" i="38"/>
  <c r="E293" i="38"/>
  <c r="E292" i="38"/>
  <c r="E291" i="38"/>
  <c r="E290" i="38"/>
  <c r="E289" i="38"/>
  <c r="E288" i="38"/>
  <c r="E287" i="38"/>
  <c r="E286" i="38"/>
  <c r="E285" i="38"/>
  <c r="E284" i="38"/>
  <c r="E283" i="38"/>
  <c r="E282" i="38"/>
  <c r="E281" i="38"/>
  <c r="E280" i="38"/>
  <c r="E279" i="38"/>
  <c r="E278" i="38"/>
  <c r="E277" i="38"/>
  <c r="E276" i="38"/>
  <c r="E275" i="38"/>
  <c r="E274" i="38"/>
  <c r="E273" i="38"/>
  <c r="E272" i="38"/>
  <c r="E271" i="38"/>
  <c r="E270" i="38"/>
  <c r="E269" i="38"/>
  <c r="E268" i="38"/>
  <c r="E267" i="38"/>
  <c r="E266" i="38"/>
  <c r="E265" i="38"/>
  <c r="E264" i="38"/>
  <c r="E263" i="38"/>
  <c r="E262" i="38"/>
  <c r="E261" i="38"/>
  <c r="E260" i="38"/>
  <c r="E259" i="38"/>
  <c r="E258" i="38"/>
  <c r="E257" i="38"/>
  <c r="E256" i="38"/>
  <c r="E255" i="38"/>
  <c r="E254" i="38"/>
  <c r="E253" i="38"/>
  <c r="E252" i="38"/>
  <c r="E251" i="38"/>
  <c r="E250" i="38"/>
  <c r="E249" i="38"/>
  <c r="E248" i="38"/>
  <c r="E247" i="38"/>
  <c r="E246" i="38"/>
  <c r="E245" i="38"/>
  <c r="E244" i="38"/>
  <c r="E243" i="38"/>
  <c r="E242" i="38"/>
  <c r="E241" i="38"/>
  <c r="E240" i="38"/>
  <c r="E239" i="38"/>
  <c r="E238" i="38"/>
  <c r="E237" i="38"/>
  <c r="E236" i="38"/>
  <c r="E235" i="38"/>
  <c r="E234" i="38"/>
  <c r="E233" i="38"/>
  <c r="E232" i="38"/>
  <c r="E231" i="38"/>
  <c r="E230" i="38"/>
  <c r="E229" i="38"/>
  <c r="E228" i="38"/>
  <c r="E227" i="38"/>
  <c r="E226" i="38"/>
  <c r="E225" i="38"/>
  <c r="E224" i="38"/>
  <c r="E223" i="38"/>
  <c r="E222" i="38"/>
  <c r="E221" i="38"/>
  <c r="E220" i="38"/>
  <c r="E219" i="38"/>
  <c r="E218" i="38"/>
  <c r="E217" i="38"/>
  <c r="E216" i="38"/>
  <c r="E215" i="38"/>
  <c r="E214" i="38"/>
  <c r="E213" i="38"/>
  <c r="E212" i="38"/>
  <c r="E211" i="38"/>
  <c r="E210" i="38"/>
  <c r="E209" i="38"/>
  <c r="E208" i="38"/>
  <c r="E207" i="38"/>
  <c r="E206" i="38"/>
  <c r="E205" i="38"/>
  <c r="E204" i="38"/>
  <c r="E203" i="38"/>
  <c r="E202" i="38"/>
  <c r="E201" i="38"/>
  <c r="E200" i="38"/>
  <c r="E199" i="38"/>
  <c r="E198" i="38"/>
  <c r="E197" i="38"/>
  <c r="E196" i="38"/>
  <c r="E195" i="38"/>
  <c r="E194" i="38"/>
  <c r="E193" i="38"/>
  <c r="E192" i="38"/>
  <c r="E191" i="38"/>
  <c r="E190" i="38"/>
  <c r="E189" i="38"/>
  <c r="E188" i="38"/>
  <c r="E187" i="38"/>
  <c r="E186" i="38"/>
  <c r="E185" i="38"/>
  <c r="E184" i="38"/>
  <c r="E183" i="38"/>
  <c r="E182" i="38"/>
  <c r="E181" i="38"/>
  <c r="E180" i="38"/>
  <c r="E179" i="38"/>
  <c r="E178" i="38"/>
  <c r="E177" i="38"/>
  <c r="E176" i="38"/>
  <c r="E175" i="38"/>
  <c r="E174" i="38"/>
  <c r="E173" i="38"/>
  <c r="E172" i="38"/>
  <c r="E171" i="38"/>
  <c r="E170" i="38"/>
  <c r="E169" i="38"/>
  <c r="E168" i="38"/>
  <c r="E167" i="38"/>
  <c r="E166" i="38"/>
  <c r="E165" i="38"/>
  <c r="E164" i="38"/>
  <c r="E163" i="38"/>
  <c r="E162" i="38"/>
  <c r="E161" i="38"/>
  <c r="E160" i="38"/>
  <c r="E159" i="38"/>
  <c r="E158" i="38"/>
  <c r="E157" i="38"/>
  <c r="E156" i="38"/>
  <c r="E155" i="38"/>
  <c r="E154" i="38"/>
  <c r="E153" i="38"/>
  <c r="E152" i="38"/>
  <c r="E151" i="38"/>
  <c r="E150" i="38"/>
  <c r="E149" i="38"/>
  <c r="E148" i="38"/>
  <c r="E147" i="38"/>
  <c r="E146" i="38"/>
  <c r="E145" i="38"/>
  <c r="E144" i="38"/>
  <c r="E143" i="38"/>
  <c r="E142" i="38"/>
  <c r="E141" i="38"/>
  <c r="E140" i="38"/>
  <c r="E139" i="38"/>
  <c r="E138" i="38"/>
  <c r="E137" i="38"/>
  <c r="E136" i="38"/>
  <c r="E135" i="38"/>
  <c r="E134" i="38"/>
  <c r="E133" i="38"/>
  <c r="E132" i="38"/>
  <c r="E131" i="38"/>
  <c r="E130" i="38"/>
  <c r="E129" i="38"/>
  <c r="E128" i="38"/>
  <c r="E127" i="38"/>
  <c r="E126" i="38"/>
  <c r="E125" i="38"/>
  <c r="E124" i="38"/>
  <c r="E123" i="38"/>
  <c r="E122" i="38"/>
  <c r="E121" i="38"/>
  <c r="E120" i="38"/>
  <c r="E119" i="38"/>
  <c r="E118" i="38"/>
  <c r="E117" i="38"/>
  <c r="E116" i="38"/>
  <c r="E115" i="38"/>
  <c r="E114" i="38"/>
  <c r="E113" i="38"/>
  <c r="E112" i="38"/>
  <c r="E111" i="38"/>
  <c r="E110" i="38"/>
  <c r="E109" i="38"/>
  <c r="E108" i="38"/>
  <c r="E107" i="38"/>
  <c r="E106" i="38"/>
  <c r="E105" i="38"/>
  <c r="E104" i="38"/>
  <c r="E103" i="38"/>
  <c r="E102" i="38"/>
  <c r="E101" i="38"/>
  <c r="E100" i="38"/>
  <c r="E99" i="38"/>
  <c r="E98" i="38"/>
  <c r="E97" i="38"/>
  <c r="E96" i="38"/>
  <c r="E95" i="38"/>
  <c r="E94" i="38"/>
  <c r="E93" i="38"/>
  <c r="E92" i="38"/>
  <c r="E91" i="38"/>
  <c r="E90" i="38"/>
  <c r="E89" i="38"/>
  <c r="E88" i="38"/>
  <c r="E87" i="38"/>
  <c r="E86" i="38"/>
  <c r="E85" i="38"/>
  <c r="E84" i="38"/>
  <c r="E83" i="38"/>
  <c r="E82" i="38"/>
  <c r="E81" i="38"/>
  <c r="E80" i="38"/>
  <c r="E79" i="38"/>
  <c r="E78" i="38"/>
  <c r="E77" i="38"/>
  <c r="E76" i="38"/>
  <c r="E75" i="38"/>
  <c r="E74" i="38"/>
  <c r="E73" i="38"/>
  <c r="E72" i="38"/>
  <c r="E71" i="38"/>
  <c r="E70" i="38"/>
  <c r="E69" i="38"/>
  <c r="E68" i="38"/>
  <c r="E67" i="38"/>
  <c r="E66" i="38"/>
  <c r="E65" i="38"/>
  <c r="E64" i="38"/>
  <c r="E63" i="38"/>
  <c r="E62" i="38"/>
  <c r="E61" i="38"/>
  <c r="E60" i="38"/>
  <c r="E59" i="38"/>
  <c r="E58" i="38"/>
  <c r="E57" i="38"/>
  <c r="E56" i="38"/>
  <c r="E55" i="38"/>
  <c r="E54" i="38"/>
  <c r="E53" i="38"/>
  <c r="E52" i="38"/>
  <c r="E51" i="38"/>
  <c r="E50" i="38"/>
  <c r="E49" i="38"/>
  <c r="E48" i="38"/>
  <c r="E47" i="38"/>
  <c r="E46" i="38"/>
  <c r="E45" i="38"/>
  <c r="E44" i="38"/>
  <c r="E43" i="38"/>
  <c r="E42" i="38"/>
  <c r="E41" i="38"/>
  <c r="E40" i="38"/>
  <c r="E39" i="38"/>
  <c r="E38" i="38"/>
  <c r="E37" i="38"/>
  <c r="E36" i="38"/>
  <c r="E35" i="38"/>
  <c r="E34" i="38"/>
  <c r="E33" i="38"/>
  <c r="E32" i="38"/>
  <c r="E31" i="38"/>
  <c r="E30" i="38"/>
  <c r="E29" i="38"/>
  <c r="E28" i="38"/>
  <c r="E27" i="38"/>
  <c r="E26" i="38"/>
  <c r="E25" i="38"/>
  <c r="E24" i="38"/>
  <c r="E23" i="38"/>
  <c r="E22" i="38"/>
  <c r="E21" i="38"/>
  <c r="E20" i="38"/>
  <c r="E19" i="38"/>
  <c r="E18" i="38"/>
  <c r="E17" i="38"/>
  <c r="E16" i="38"/>
  <c r="E15" i="38"/>
  <c r="E14" i="38"/>
  <c r="E13" i="38"/>
  <c r="E3" i="70"/>
  <c r="H15" i="39"/>
  <c r="R84" i="39"/>
  <c r="S84" i="39"/>
  <c r="S84" i="57"/>
  <c r="Q84" i="39"/>
  <c r="Q84" i="57"/>
  <c r="O84" i="39"/>
  <c r="M84" i="39"/>
  <c r="M84" i="57"/>
  <c r="K84" i="39"/>
  <c r="K84" i="57"/>
  <c r="I84" i="39"/>
  <c r="I84" i="57"/>
  <c r="R82" i="39"/>
  <c r="S82" i="39"/>
  <c r="Q82" i="39"/>
  <c r="O82" i="39"/>
  <c r="M82" i="39"/>
  <c r="K82" i="39"/>
  <c r="I82" i="39"/>
  <c r="R81" i="39"/>
  <c r="S81" i="39"/>
  <c r="Q81" i="39"/>
  <c r="O81" i="39"/>
  <c r="M81" i="39"/>
  <c r="K81" i="39"/>
  <c r="I81" i="39"/>
  <c r="R80" i="39"/>
  <c r="S80" i="39"/>
  <c r="Q80" i="39"/>
  <c r="O80" i="39"/>
  <c r="M80" i="39"/>
  <c r="K80" i="39"/>
  <c r="I80" i="39"/>
  <c r="R79" i="39"/>
  <c r="S79" i="39"/>
  <c r="Q79" i="39"/>
  <c r="O79" i="39"/>
  <c r="M79" i="39"/>
  <c r="K79" i="39"/>
  <c r="I79" i="39"/>
  <c r="R61" i="39"/>
  <c r="R60" i="39"/>
  <c r="R59" i="39"/>
  <c r="R58" i="39"/>
  <c r="R49" i="39"/>
  <c r="R48" i="39"/>
  <c r="R47" i="39"/>
  <c r="R46" i="39"/>
  <c r="H85" i="57"/>
  <c r="P84" i="57"/>
  <c r="O84" i="57"/>
  <c r="N84" i="57"/>
  <c r="L84" i="57"/>
  <c r="J84" i="57"/>
  <c r="H84" i="57"/>
  <c r="R37" i="39"/>
  <c r="R36" i="39"/>
  <c r="R35" i="39"/>
  <c r="R34" i="39"/>
  <c r="R84" i="57"/>
  <c r="AX7" i="70"/>
  <c r="BR6" i="70"/>
  <c r="BQ6" i="70"/>
  <c r="BO6" i="70"/>
  <c r="BN6" i="70"/>
  <c r="BL6" i="70"/>
  <c r="BK6" i="70"/>
  <c r="BI6" i="70"/>
  <c r="BH6" i="70"/>
  <c r="BF6" i="70"/>
  <c r="BE6" i="70"/>
  <c r="BC6" i="70"/>
  <c r="BB6" i="70"/>
  <c r="AZ6" i="70"/>
  <c r="AY6" i="70"/>
  <c r="AX6" i="70"/>
  <c r="HY688" i="40"/>
  <c r="HM688" i="40" s="1"/>
  <c r="HZ688" i="40"/>
  <c r="IY688" i="40" s="1"/>
  <c r="IA688" i="40"/>
  <c r="HP688" i="40"/>
  <c r="HQ688" i="40"/>
  <c r="HR688" i="40"/>
  <c r="HV688" i="40"/>
  <c r="HW688" i="40"/>
  <c r="HX688" i="40"/>
  <c r="IX688" i="40"/>
  <c r="HY689" i="40"/>
  <c r="HZ689" i="40"/>
  <c r="IY689" i="40"/>
  <c r="HN689" i="40"/>
  <c r="IA689" i="40"/>
  <c r="HO689" i="40"/>
  <c r="HP689" i="40"/>
  <c r="JH689" i="40" s="1"/>
  <c r="HQ689" i="40"/>
  <c r="HR689" i="40"/>
  <c r="HS689" i="40"/>
  <c r="HT689" i="40"/>
  <c r="HU689" i="40"/>
  <c r="HV689" i="40"/>
  <c r="HW689" i="40"/>
  <c r="HX689" i="40"/>
  <c r="JA689" i="40"/>
  <c r="JC689" i="40"/>
  <c r="IZ689" i="40"/>
  <c r="JG689" i="40"/>
  <c r="JF689" i="40"/>
  <c r="JL689" i="40"/>
  <c r="JM689" i="40"/>
  <c r="IE690" i="40"/>
  <c r="HY690" i="40"/>
  <c r="HM690" i="40"/>
  <c r="HZ690" i="40"/>
  <c r="IY690" i="40"/>
  <c r="IA690" i="40"/>
  <c r="HO690" i="40"/>
  <c r="HP690" i="40"/>
  <c r="JH690" i="40" s="1"/>
  <c r="HQ690" i="40"/>
  <c r="HR690" i="40"/>
  <c r="HS690" i="40"/>
  <c r="HT690" i="40"/>
  <c r="HU690" i="40"/>
  <c r="HV690" i="40"/>
  <c r="HW690" i="40"/>
  <c r="HX690" i="40"/>
  <c r="JA690" i="40"/>
  <c r="JB690" i="40"/>
  <c r="IM690" i="40" s="1"/>
  <c r="JC690" i="40"/>
  <c r="IZ690" i="40"/>
  <c r="IN690" i="40"/>
  <c r="JG690" i="40"/>
  <c r="JF690" i="40"/>
  <c r="JL690" i="40"/>
  <c r="JM690" i="40"/>
  <c r="JB691" i="40"/>
  <c r="HZ691" i="40"/>
  <c r="IY691" i="40"/>
  <c r="IM691" i="40"/>
  <c r="HY691" i="40"/>
  <c r="HM691" i="40"/>
  <c r="HN691" i="40"/>
  <c r="IA691" i="40"/>
  <c r="HP691" i="40"/>
  <c r="HQ691" i="40"/>
  <c r="HR691" i="40"/>
  <c r="JH691" i="40" s="1"/>
  <c r="HS691" i="40"/>
  <c r="HT691" i="40"/>
  <c r="HU691" i="40"/>
  <c r="HV691" i="40"/>
  <c r="JJ691" i="40" s="1"/>
  <c r="HW691" i="40"/>
  <c r="HX691" i="40"/>
  <c r="JM691" i="40"/>
  <c r="JA691" i="40"/>
  <c r="JC691" i="40"/>
  <c r="JG691" i="40"/>
  <c r="JF691" i="40"/>
  <c r="JL691" i="40"/>
  <c r="JM692" i="40"/>
  <c r="HY692" i="40"/>
  <c r="HZ692" i="40"/>
  <c r="IY692" i="40"/>
  <c r="IA692" i="40"/>
  <c r="HP692" i="40"/>
  <c r="JH692" i="40" s="1"/>
  <c r="HQ692" i="40"/>
  <c r="HR692" i="40"/>
  <c r="HS692" i="40"/>
  <c r="HT692" i="40"/>
  <c r="HU692" i="40"/>
  <c r="HV692" i="40"/>
  <c r="HW692" i="40"/>
  <c r="HX692" i="40"/>
  <c r="JB692" i="40"/>
  <c r="IM692" i="40"/>
  <c r="JC692" i="40"/>
  <c r="JG692" i="40"/>
  <c r="JF692" i="40" s="1"/>
  <c r="JL692" i="40"/>
  <c r="HZ693" i="40"/>
  <c r="HY693" i="40"/>
  <c r="HM693" i="40"/>
  <c r="IA693" i="40"/>
  <c r="HO693" i="40"/>
  <c r="HP693" i="40"/>
  <c r="JH693" i="40" s="1"/>
  <c r="HQ693" i="40"/>
  <c r="HR693" i="40"/>
  <c r="HS693" i="40"/>
  <c r="HT693" i="40"/>
  <c r="JI693" i="40" s="1"/>
  <c r="HU693" i="40"/>
  <c r="HV693" i="40"/>
  <c r="HW693" i="40"/>
  <c r="HX693" i="40"/>
  <c r="JM693" i="40"/>
  <c r="JA693" i="40"/>
  <c r="JC693" i="40"/>
  <c r="IZ693" i="40"/>
  <c r="JG693" i="40"/>
  <c r="JL693" i="40"/>
  <c r="IE694" i="40"/>
  <c r="HY694" i="40"/>
  <c r="HM694" i="40"/>
  <c r="HZ694" i="40"/>
  <c r="IY694" i="40"/>
  <c r="IA694" i="40"/>
  <c r="HO694" i="40"/>
  <c r="HP694" i="40"/>
  <c r="HQ694" i="40"/>
  <c r="HR694" i="40"/>
  <c r="HS694" i="40"/>
  <c r="HT694" i="40"/>
  <c r="HU694" i="40"/>
  <c r="HV694" i="40"/>
  <c r="JJ694" i="40" s="1"/>
  <c r="HW694" i="40"/>
  <c r="HX694" i="40"/>
  <c r="JA694" i="40"/>
  <c r="JB694" i="40"/>
  <c r="IM694" i="40" s="1"/>
  <c r="JC694" i="40"/>
  <c r="IZ694" i="40"/>
  <c r="IN694" i="40"/>
  <c r="JG694" i="40"/>
  <c r="JF694" i="40"/>
  <c r="JL694" i="40"/>
  <c r="JM694" i="40"/>
  <c r="JB695" i="40"/>
  <c r="HZ695" i="40"/>
  <c r="IY695" i="40"/>
  <c r="IM695" i="40"/>
  <c r="HY695" i="40"/>
  <c r="HM695" i="40"/>
  <c r="HN695" i="40"/>
  <c r="IA695" i="40"/>
  <c r="HP695" i="40"/>
  <c r="HQ695" i="40"/>
  <c r="HR695" i="40"/>
  <c r="HS695" i="40"/>
  <c r="HT695" i="40"/>
  <c r="HU695" i="40"/>
  <c r="HV695" i="40"/>
  <c r="HW695" i="40"/>
  <c r="HX695" i="40"/>
  <c r="JM695" i="40"/>
  <c r="JA695" i="40"/>
  <c r="JC695" i="40"/>
  <c r="JG695" i="40"/>
  <c r="JF695" i="40"/>
  <c r="JJ695" i="40"/>
  <c r="JL695" i="40"/>
  <c r="JK695" i="40"/>
  <c r="HY696" i="40"/>
  <c r="HZ696" i="40"/>
  <c r="IY696" i="40"/>
  <c r="IA696" i="40"/>
  <c r="HP696" i="40"/>
  <c r="HQ696" i="40"/>
  <c r="HR696" i="40"/>
  <c r="HS696" i="40"/>
  <c r="HT696" i="40"/>
  <c r="HU696" i="40"/>
  <c r="HV696" i="40"/>
  <c r="JJ696" i="40" s="1"/>
  <c r="HW696" i="40"/>
  <c r="HX696" i="40"/>
  <c r="JB696" i="40"/>
  <c r="IM696" i="40"/>
  <c r="JC696" i="40"/>
  <c r="JG696" i="40"/>
  <c r="JL696" i="40"/>
  <c r="JM696" i="40"/>
  <c r="JB697" i="40"/>
  <c r="IM697" i="40" s="1"/>
  <c r="HZ697" i="40"/>
  <c r="IY697" i="40"/>
  <c r="HY697" i="40"/>
  <c r="HN697" i="40"/>
  <c r="IA697" i="40"/>
  <c r="HO697" i="40"/>
  <c r="HP697" i="40"/>
  <c r="HQ697" i="40"/>
  <c r="HR697" i="40"/>
  <c r="HS697" i="40"/>
  <c r="HT697" i="40"/>
  <c r="HU697" i="40"/>
  <c r="HV697" i="40"/>
  <c r="HW697" i="40"/>
  <c r="HX697" i="40"/>
  <c r="JM697" i="40"/>
  <c r="JA697" i="40"/>
  <c r="JC697" i="40"/>
  <c r="IZ697" i="40"/>
  <c r="JG697" i="40"/>
  <c r="JF697" i="40"/>
  <c r="JL697" i="40"/>
  <c r="IE698" i="40"/>
  <c r="HY698" i="40"/>
  <c r="HM698" i="40"/>
  <c r="HZ698" i="40"/>
  <c r="IA698" i="40"/>
  <c r="HO698" i="40"/>
  <c r="HP698" i="40"/>
  <c r="HQ698" i="40"/>
  <c r="HR698" i="40"/>
  <c r="HS698" i="40"/>
  <c r="HT698" i="40"/>
  <c r="HU698" i="40"/>
  <c r="HV698" i="40"/>
  <c r="JJ698" i="40" s="1"/>
  <c r="HW698" i="40"/>
  <c r="HX698" i="40"/>
  <c r="JA698" i="40"/>
  <c r="IL698" i="40" s="1"/>
  <c r="JB698" i="40"/>
  <c r="JC698" i="40"/>
  <c r="IZ698" i="40"/>
  <c r="JG698" i="40"/>
  <c r="JF698" i="40"/>
  <c r="JL698" i="40"/>
  <c r="JM698" i="40"/>
  <c r="JB699" i="40"/>
  <c r="IM699" i="40" s="1"/>
  <c r="HZ699" i="40"/>
  <c r="IY699" i="40"/>
  <c r="HY699" i="40"/>
  <c r="HM699" i="40"/>
  <c r="HN699" i="40"/>
  <c r="IA699" i="40"/>
  <c r="HO699" i="40"/>
  <c r="HP699" i="40"/>
  <c r="HQ699" i="40"/>
  <c r="JH699" i="40" s="1"/>
  <c r="HR699" i="40"/>
  <c r="HS699" i="40"/>
  <c r="HT699" i="40"/>
  <c r="HU699" i="40"/>
  <c r="JI699" i="40" s="1"/>
  <c r="HV699" i="40"/>
  <c r="HW699" i="40"/>
  <c r="HX699" i="40"/>
  <c r="JJ699" i="40" s="1"/>
  <c r="IE699" i="40"/>
  <c r="JD699" i="40" s="1"/>
  <c r="JS699" i="40" s="1"/>
  <c r="JM699" i="40"/>
  <c r="JA699" i="40"/>
  <c r="IZ699" i="40"/>
  <c r="JG699" i="40"/>
  <c r="JF699" i="40"/>
  <c r="JL699" i="40"/>
  <c r="JM700" i="40"/>
  <c r="HY700" i="40"/>
  <c r="HM700" i="40"/>
  <c r="HZ700" i="40"/>
  <c r="IY700" i="40"/>
  <c r="IA700" i="40"/>
  <c r="HO700" i="40"/>
  <c r="HP700" i="40"/>
  <c r="HQ700" i="40"/>
  <c r="HR700" i="40"/>
  <c r="HS700" i="40"/>
  <c r="HT700" i="40"/>
  <c r="HU700" i="40"/>
  <c r="HV700" i="40"/>
  <c r="JJ700" i="40" s="1"/>
  <c r="HW700" i="40"/>
  <c r="HX700" i="40"/>
  <c r="JB700" i="40"/>
  <c r="IM700" i="40" s="1"/>
  <c r="JC700" i="40"/>
  <c r="IZ700" i="40"/>
  <c r="IN700" i="40"/>
  <c r="JG700" i="40"/>
  <c r="JF700" i="40"/>
  <c r="JL700" i="40"/>
  <c r="J121" i="57"/>
  <c r="J15" i="39"/>
  <c r="J17" i="39"/>
  <c r="Q114" i="57"/>
  <c r="Q104" i="39"/>
  <c r="Q104" i="57"/>
  <c r="Q103" i="39"/>
  <c r="Q102" i="39"/>
  <c r="Q101" i="39"/>
  <c r="Q101" i="57"/>
  <c r="Q85" i="39"/>
  <c r="Q83" i="39"/>
  <c r="O115" i="57"/>
  <c r="O104" i="39"/>
  <c r="O103" i="39"/>
  <c r="O102" i="39"/>
  <c r="O101" i="39"/>
  <c r="O101" i="57"/>
  <c r="O85" i="39"/>
  <c r="O83" i="39"/>
  <c r="M114" i="57"/>
  <c r="M104" i="39"/>
  <c r="M103" i="39"/>
  <c r="M102" i="39"/>
  <c r="M102" i="57"/>
  <c r="M101" i="39"/>
  <c r="M85" i="39"/>
  <c r="M83" i="39"/>
  <c r="M83" i="57"/>
  <c r="K121" i="57"/>
  <c r="K109" i="57"/>
  <c r="K104" i="39"/>
  <c r="K104" i="57"/>
  <c r="K103" i="39"/>
  <c r="K103" i="57"/>
  <c r="K102" i="39"/>
  <c r="K101" i="39"/>
  <c r="K85" i="39"/>
  <c r="K85" i="57"/>
  <c r="K83" i="39"/>
  <c r="K83" i="57"/>
  <c r="P5" i="39"/>
  <c r="Q5" i="39"/>
  <c r="N5" i="39"/>
  <c r="O5" i="39"/>
  <c r="L5" i="39"/>
  <c r="M5" i="39"/>
  <c r="J5" i="39"/>
  <c r="K5" i="39"/>
  <c r="H5" i="39"/>
  <c r="I5" i="39"/>
  <c r="B21" i="70"/>
  <c r="B22" i="70"/>
  <c r="B23" i="70" s="1"/>
  <c r="B24" i="70" s="1"/>
  <c r="B25" i="70" s="1"/>
  <c r="B26" i="70" s="1"/>
  <c r="B27" i="70" s="1"/>
  <c r="B28" i="70" s="1"/>
  <c r="B29" i="70" s="1"/>
  <c r="B30" i="70" s="1"/>
  <c r="B31" i="70" s="1"/>
  <c r="B32" i="70" s="1"/>
  <c r="B33" i="70" s="1"/>
  <c r="B34" i="70" s="1"/>
  <c r="B35" i="70" s="1"/>
  <c r="B36" i="70" s="1"/>
  <c r="B37" i="70" s="1"/>
  <c r="B38" i="70" s="1"/>
  <c r="B39" i="70" s="1"/>
  <c r="B40" i="70" s="1"/>
  <c r="B41" i="70" s="1"/>
  <c r="B42" i="70" s="1"/>
  <c r="B43" i="70" s="1"/>
  <c r="B44" i="70" s="1"/>
  <c r="B45" i="70" s="1"/>
  <c r="B46" i="70" s="1"/>
  <c r="B47" i="70" s="1"/>
  <c r="B48" i="70" s="1"/>
  <c r="B49" i="70" s="1"/>
  <c r="B50" i="70" s="1"/>
  <c r="B51" i="70" s="1"/>
  <c r="B52" i="70" s="1"/>
  <c r="B53" i="70" s="1"/>
  <c r="B54" i="70" s="1"/>
  <c r="B55" i="70" s="1"/>
  <c r="B56" i="70" s="1"/>
  <c r="B57" i="70" s="1"/>
  <c r="B58" i="70" s="1"/>
  <c r="B59" i="70" s="1"/>
  <c r="B60" i="70" s="1"/>
  <c r="B61" i="70" s="1"/>
  <c r="B62" i="70" s="1"/>
  <c r="B63" i="70" s="1"/>
  <c r="B64" i="70" s="1"/>
  <c r="B65" i="70" s="1"/>
  <c r="B66" i="70" s="1"/>
  <c r="B67" i="70" s="1"/>
  <c r="B68" i="70" s="1"/>
  <c r="B69" i="70" s="1"/>
  <c r="C8" i="70"/>
  <c r="C112" i="75"/>
  <c r="B112" i="75"/>
  <c r="KB672" i="40"/>
  <c r="P154" i="39"/>
  <c r="C110" i="75"/>
  <c r="B110" i="75"/>
  <c r="C108" i="75"/>
  <c r="B108" i="75"/>
  <c r="C106" i="75"/>
  <c r="B106" i="75"/>
  <c r="B122" i="75"/>
  <c r="B123" i="75"/>
  <c r="B124" i="75"/>
  <c r="B125" i="75"/>
  <c r="B126" i="75"/>
  <c r="B127" i="75"/>
  <c r="B128" i="75"/>
  <c r="B129" i="75"/>
  <c r="B130" i="75"/>
  <c r="B131" i="75"/>
  <c r="B132" i="75"/>
  <c r="B133" i="75"/>
  <c r="B134" i="75"/>
  <c r="B135" i="75"/>
  <c r="B136" i="75"/>
  <c r="B137" i="75"/>
  <c r="B138" i="75"/>
  <c r="B139" i="75"/>
  <c r="B140" i="75"/>
  <c r="B141" i="75"/>
  <c r="B142" i="75"/>
  <c r="B143" i="75"/>
  <c r="B144" i="75"/>
  <c r="B145" i="75"/>
  <c r="B146" i="75"/>
  <c r="B147" i="75"/>
  <c r="B148" i="75"/>
  <c r="B149" i="75"/>
  <c r="B150" i="75"/>
  <c r="B151" i="75"/>
  <c r="B152" i="75"/>
  <c r="B153" i="75"/>
  <c r="B154" i="75"/>
  <c r="B155" i="75"/>
  <c r="B156" i="75"/>
  <c r="B157" i="75"/>
  <c r="B158" i="75"/>
  <c r="B159" i="75"/>
  <c r="B160" i="75"/>
  <c r="B161" i="75"/>
  <c r="B162" i="75"/>
  <c r="B163" i="75"/>
  <c r="B164" i="75"/>
  <c r="B165" i="75"/>
  <c r="B166" i="75"/>
  <c r="B167" i="75"/>
  <c r="B168" i="75"/>
  <c r="B169" i="75"/>
  <c r="B170" i="75"/>
  <c r="B171" i="75"/>
  <c r="B172" i="75"/>
  <c r="B173" i="75"/>
  <c r="B174" i="75"/>
  <c r="B175" i="75"/>
  <c r="B176" i="75"/>
  <c r="B177" i="75"/>
  <c r="B178" i="75"/>
  <c r="B179" i="75"/>
  <c r="B180" i="75"/>
  <c r="B183" i="75"/>
  <c r="C104" i="75"/>
  <c r="B104" i="75"/>
  <c r="C102" i="75"/>
  <c r="B102"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C86" i="75"/>
  <c r="B86" i="75"/>
  <c r="C87" i="75"/>
  <c r="A87" i="75"/>
  <c r="A86" i="75"/>
  <c r="B87" i="75"/>
  <c r="Z3" i="70"/>
  <c r="R3" i="70"/>
  <c r="J3" i="70"/>
  <c r="B88" i="75"/>
  <c r="B89" i="75"/>
  <c r="AQ3" i="70"/>
  <c r="AI3" i="70"/>
  <c r="AA3" i="70"/>
  <c r="S4" i="70"/>
  <c r="AA4" i="70"/>
  <c r="AI4" i="70"/>
  <c r="AQ4" i="70"/>
  <c r="S3" i="70"/>
  <c r="K3" i="70"/>
  <c r="AR3" i="70"/>
  <c r="AJ3" i="70"/>
  <c r="AM3" i="70"/>
  <c r="AB3" i="70"/>
  <c r="T3" i="70"/>
  <c r="T4" i="70"/>
  <c r="AB4" i="70"/>
  <c r="AJ4" i="70"/>
  <c r="AR4" i="70"/>
  <c r="L3" i="70"/>
  <c r="AV3" i="70"/>
  <c r="AU3" i="70"/>
  <c r="AN3" i="70"/>
  <c r="AO3" i="70"/>
  <c r="AF3" i="70"/>
  <c r="AG3" i="70"/>
  <c r="AE3" i="70"/>
  <c r="X3" i="70"/>
  <c r="Y3" i="70"/>
  <c r="W3" i="70"/>
  <c r="P3" i="70"/>
  <c r="Q3" i="70"/>
  <c r="O3" i="70"/>
  <c r="I3" i="70"/>
  <c r="KU701" i="40"/>
  <c r="AF70" i="71"/>
  <c r="AE70" i="71"/>
  <c r="W70" i="71"/>
  <c r="S70" i="71" s="1"/>
  <c r="V70" i="71"/>
  <c r="U70" i="71"/>
  <c r="Y70" i="71" s="1"/>
  <c r="AC70" i="71" s="1"/>
  <c r="O70" i="71"/>
  <c r="N70" i="71"/>
  <c r="M70" i="71"/>
  <c r="L70" i="71"/>
  <c r="K70" i="71"/>
  <c r="J70" i="71"/>
  <c r="I70" i="71"/>
  <c r="H70" i="71"/>
  <c r="G70" i="71"/>
  <c r="F70" i="71"/>
  <c r="AF68" i="71"/>
  <c r="AE68" i="71"/>
  <c r="W68" i="71"/>
  <c r="V68" i="71"/>
  <c r="R68" i="71" s="1"/>
  <c r="U68" i="71"/>
  <c r="O68" i="71"/>
  <c r="N68" i="71"/>
  <c r="M68" i="71"/>
  <c r="L68" i="71"/>
  <c r="K68" i="71"/>
  <c r="J68" i="71"/>
  <c r="I68" i="71"/>
  <c r="H68" i="71"/>
  <c r="G68" i="71"/>
  <c r="F68" i="71"/>
  <c r="AF66" i="71"/>
  <c r="AE66" i="71"/>
  <c r="W66" i="71"/>
  <c r="AA66" i="71" s="1"/>
  <c r="V66" i="71"/>
  <c r="Z66" i="71" s="1"/>
  <c r="U66" i="71"/>
  <c r="O66" i="71"/>
  <c r="N66" i="71"/>
  <c r="M66" i="71"/>
  <c r="L66" i="71"/>
  <c r="K66" i="71"/>
  <c r="J66" i="71"/>
  <c r="I66" i="71"/>
  <c r="H66" i="71"/>
  <c r="G66" i="71"/>
  <c r="F66" i="71"/>
  <c r="AF64" i="71"/>
  <c r="AE64" i="71"/>
  <c r="W64" i="71"/>
  <c r="V64" i="71"/>
  <c r="Z64" i="71" s="1"/>
  <c r="U64" i="71"/>
  <c r="O64" i="71"/>
  <c r="N64" i="71"/>
  <c r="M64" i="71"/>
  <c r="L64" i="71"/>
  <c r="K64" i="71"/>
  <c r="J64" i="71"/>
  <c r="I64" i="71"/>
  <c r="H64" i="71"/>
  <c r="G64" i="71"/>
  <c r="F64" i="71"/>
  <c r="AF62" i="71"/>
  <c r="AE62" i="71"/>
  <c r="W62" i="71"/>
  <c r="AA62" i="71" s="1"/>
  <c r="V62" i="71"/>
  <c r="Z62" i="71" s="1"/>
  <c r="U62" i="71"/>
  <c r="Y62" i="71" s="1"/>
  <c r="AC62" i="71" s="1"/>
  <c r="O62" i="71"/>
  <c r="N62" i="71"/>
  <c r="M62" i="71"/>
  <c r="L62" i="71"/>
  <c r="K62" i="71"/>
  <c r="J62" i="71"/>
  <c r="I62" i="71"/>
  <c r="H62" i="71"/>
  <c r="G62" i="71"/>
  <c r="F62" i="71"/>
  <c r="AF60" i="71"/>
  <c r="AE60" i="71"/>
  <c r="W60" i="71"/>
  <c r="V60" i="71"/>
  <c r="Z60" i="71" s="1"/>
  <c r="U60" i="71"/>
  <c r="Y60" i="71" s="1"/>
  <c r="AC60" i="71" s="1"/>
  <c r="O60" i="71"/>
  <c r="N60" i="71"/>
  <c r="M60" i="71"/>
  <c r="L60" i="71"/>
  <c r="K60" i="71"/>
  <c r="J60" i="71"/>
  <c r="I60" i="71"/>
  <c r="H60" i="71"/>
  <c r="G60" i="71"/>
  <c r="F60" i="71"/>
  <c r="AF58" i="71"/>
  <c r="AE58" i="71"/>
  <c r="W58" i="71"/>
  <c r="V58" i="71"/>
  <c r="R58" i="71" s="1"/>
  <c r="U58" i="71"/>
  <c r="Y58" i="71" s="1"/>
  <c r="AC58" i="71" s="1"/>
  <c r="O58" i="71"/>
  <c r="N58" i="71"/>
  <c r="M58" i="71"/>
  <c r="L58" i="71"/>
  <c r="K58" i="71"/>
  <c r="J58" i="71"/>
  <c r="I58" i="71"/>
  <c r="H58" i="71"/>
  <c r="G58" i="71"/>
  <c r="F58" i="71"/>
  <c r="AF56" i="71"/>
  <c r="AE56" i="71"/>
  <c r="W56" i="71"/>
  <c r="AA56" i="71" s="1"/>
  <c r="V56" i="71"/>
  <c r="R56" i="71" s="1"/>
  <c r="U56" i="71"/>
  <c r="Q56" i="71" s="1"/>
  <c r="O56" i="71"/>
  <c r="N56" i="71"/>
  <c r="M56" i="71"/>
  <c r="L56" i="71"/>
  <c r="K56" i="71"/>
  <c r="J56" i="71"/>
  <c r="I56" i="71"/>
  <c r="H56" i="71"/>
  <c r="G56" i="71"/>
  <c r="F56" i="71"/>
  <c r="AF54" i="71"/>
  <c r="AE54" i="71"/>
  <c r="W54" i="71"/>
  <c r="AA54" i="71" s="1"/>
  <c r="V54" i="71"/>
  <c r="U54" i="71"/>
  <c r="Y54" i="71" s="1"/>
  <c r="AC54" i="71" s="1"/>
  <c r="O54" i="71"/>
  <c r="N54" i="71"/>
  <c r="M54" i="71"/>
  <c r="L54" i="71"/>
  <c r="K54" i="71"/>
  <c r="J54" i="71"/>
  <c r="I54" i="71"/>
  <c r="H54" i="71"/>
  <c r="G54" i="71"/>
  <c r="F54" i="71"/>
  <c r="AF52" i="71"/>
  <c r="AE52" i="71"/>
  <c r="W52" i="71"/>
  <c r="V52" i="71"/>
  <c r="U52" i="71"/>
  <c r="Y52" i="71" s="1"/>
  <c r="AC52" i="71" s="1"/>
  <c r="O52" i="71"/>
  <c r="N52" i="71"/>
  <c r="M52" i="71"/>
  <c r="L52" i="71"/>
  <c r="K52" i="71"/>
  <c r="J52" i="71"/>
  <c r="I52" i="71"/>
  <c r="H52" i="71"/>
  <c r="G52" i="71"/>
  <c r="F52" i="71"/>
  <c r="AF50" i="71"/>
  <c r="AE50" i="71"/>
  <c r="W50" i="71"/>
  <c r="V50" i="71"/>
  <c r="U50" i="71"/>
  <c r="O50" i="71"/>
  <c r="N50" i="71"/>
  <c r="M50" i="71"/>
  <c r="L50" i="71"/>
  <c r="K50" i="71"/>
  <c r="J50" i="71"/>
  <c r="I50" i="71"/>
  <c r="H50" i="71"/>
  <c r="G50" i="71"/>
  <c r="F50" i="71"/>
  <c r="M48" i="71"/>
  <c r="L48" i="71"/>
  <c r="K48" i="71"/>
  <c r="H48" i="71"/>
  <c r="M46" i="71"/>
  <c r="L46" i="71"/>
  <c r="K46" i="71"/>
  <c r="H46" i="71"/>
  <c r="M44" i="71"/>
  <c r="L44" i="71"/>
  <c r="K44" i="71"/>
  <c r="H44" i="71"/>
  <c r="M42" i="71"/>
  <c r="L42" i="71"/>
  <c r="K42" i="71"/>
  <c r="H42" i="71"/>
  <c r="M40" i="71"/>
  <c r="L40" i="71"/>
  <c r="K40" i="71"/>
  <c r="H40" i="71"/>
  <c r="M38" i="71"/>
  <c r="L38" i="71"/>
  <c r="K38" i="71"/>
  <c r="H38" i="71"/>
  <c r="BA36" i="71"/>
  <c r="BA38" i="71"/>
  <c r="BA40" i="71"/>
  <c r="BA42" i="71"/>
  <c r="BA44" i="71"/>
  <c r="BA46" i="71"/>
  <c r="BA48" i="71"/>
  <c r="BA50" i="71"/>
  <c r="BA52" i="71"/>
  <c r="BA54" i="71"/>
  <c r="BA56" i="71"/>
  <c r="BA58" i="71"/>
  <c r="BA60" i="71"/>
  <c r="BA62" i="71"/>
  <c r="BA64" i="71"/>
  <c r="BA66" i="71"/>
  <c r="BA68" i="71"/>
  <c r="BA70" i="71"/>
  <c r="M36" i="71"/>
  <c r="L36" i="71"/>
  <c r="K36" i="71"/>
  <c r="H36" i="71"/>
  <c r="A36" i="71"/>
  <c r="A38" i="71"/>
  <c r="M34" i="71"/>
  <c r="L34" i="71"/>
  <c r="K34" i="71"/>
  <c r="H34" i="71"/>
  <c r="D34" i="71"/>
  <c r="AK33" i="71"/>
  <c r="AN28" i="71"/>
  <c r="AM28" i="71"/>
  <c r="AL28" i="71"/>
  <c r="AA28" i="71"/>
  <c r="Z28" i="71"/>
  <c r="Y28" i="71"/>
  <c r="BL26" i="71"/>
  <c r="BK26" i="71"/>
  <c r="BJ26" i="71"/>
  <c r="BI26" i="71"/>
  <c r="BH26" i="71"/>
  <c r="BG26" i="71"/>
  <c r="BF26" i="71"/>
  <c r="BE26" i="71"/>
  <c r="BD26" i="71"/>
  <c r="BC26" i="71"/>
  <c r="BF22" i="71"/>
  <c r="BH22" i="71"/>
  <c r="BJ22" i="71"/>
  <c r="BL22" i="71"/>
  <c r="KN701" i="40"/>
  <c r="KB701" i="40"/>
  <c r="KB700" i="40"/>
  <c r="KB699" i="40"/>
  <c r="KB698" i="40"/>
  <c r="KB697" i="40"/>
  <c r="KB696" i="40"/>
  <c r="KB695" i="40"/>
  <c r="KB694" i="40"/>
  <c r="KB693" i="40"/>
  <c r="KB692" i="40"/>
  <c r="KB691" i="40"/>
  <c r="KB690" i="40"/>
  <c r="KB689" i="40"/>
  <c r="KB688" i="40"/>
  <c r="KB687" i="40"/>
  <c r="KB686" i="40"/>
  <c r="KB685" i="40"/>
  <c r="KB684" i="40"/>
  <c r="KB683" i="40"/>
  <c r="KB682" i="40"/>
  <c r="KB681" i="40"/>
  <c r="KB680" i="40"/>
  <c r="KB679" i="40"/>
  <c r="KB678" i="40"/>
  <c r="KB677" i="40"/>
  <c r="KB676" i="40"/>
  <c r="KB675" i="40"/>
  <c r="KB674" i="40"/>
  <c r="KB673" i="40"/>
  <c r="KB671" i="40"/>
  <c r="KB670" i="40"/>
  <c r="KB669" i="40"/>
  <c r="KB668" i="40"/>
  <c r="KB667" i="40"/>
  <c r="KB666" i="40"/>
  <c r="KB665" i="40"/>
  <c r="KB664" i="40"/>
  <c r="KB663" i="40"/>
  <c r="KB662" i="40"/>
  <c r="KB661" i="40"/>
  <c r="KB660" i="40"/>
  <c r="KB659" i="40"/>
  <c r="KB658" i="40"/>
  <c r="KB657" i="40"/>
  <c r="KB656" i="40"/>
  <c r="KB655" i="40"/>
  <c r="KB654" i="40"/>
  <c r="KB653" i="40"/>
  <c r="KB652" i="40"/>
  <c r="KB651" i="40"/>
  <c r="KB650" i="40"/>
  <c r="KB649" i="40"/>
  <c r="KB648" i="40"/>
  <c r="KB647" i="40"/>
  <c r="KB646" i="40"/>
  <c r="KB645" i="40"/>
  <c r="KB644" i="40"/>
  <c r="KB643" i="40"/>
  <c r="KB642" i="40"/>
  <c r="KB641" i="40"/>
  <c r="KB640" i="40"/>
  <c r="KB639" i="40"/>
  <c r="KB638" i="40"/>
  <c r="KB637" i="40"/>
  <c r="KB636" i="40"/>
  <c r="KB635" i="40"/>
  <c r="KB634" i="40"/>
  <c r="KB633" i="40"/>
  <c r="KB632" i="40"/>
  <c r="KB631" i="40"/>
  <c r="KB630" i="40"/>
  <c r="KB629" i="40"/>
  <c r="KB628" i="40"/>
  <c r="KB627" i="40"/>
  <c r="KB626" i="40"/>
  <c r="KB625" i="40"/>
  <c r="KB624" i="40"/>
  <c r="KB623" i="40"/>
  <c r="KB622" i="40"/>
  <c r="KB621" i="40"/>
  <c r="KB620" i="40"/>
  <c r="KB619" i="40"/>
  <c r="KB618" i="40"/>
  <c r="KB617" i="40"/>
  <c r="KB616" i="40"/>
  <c r="KB615" i="40"/>
  <c r="KB614" i="40"/>
  <c r="KB613" i="40"/>
  <c r="KB612" i="40"/>
  <c r="KB611" i="40"/>
  <c r="KB610" i="40"/>
  <c r="KB609" i="40"/>
  <c r="KB608" i="40"/>
  <c r="KB607" i="40"/>
  <c r="KB606" i="40"/>
  <c r="KB605" i="40"/>
  <c r="KB604" i="40"/>
  <c r="KB603" i="40"/>
  <c r="KB602" i="40"/>
  <c r="KN601" i="40"/>
  <c r="KB601" i="40"/>
  <c r="AT602" i="40"/>
  <c r="AT603" i="40"/>
  <c r="AT604" i="40"/>
  <c r="AT605" i="40"/>
  <c r="AT606" i="40"/>
  <c r="AT607" i="40"/>
  <c r="AT608" i="40"/>
  <c r="AT609" i="40"/>
  <c r="AT610" i="40"/>
  <c r="AT611" i="40"/>
  <c r="AT612" i="40"/>
  <c r="AT613" i="40"/>
  <c r="AT614" i="40"/>
  <c r="AT615" i="40"/>
  <c r="AT616" i="40"/>
  <c r="AT617" i="40"/>
  <c r="AT618" i="40"/>
  <c r="AT619" i="40"/>
  <c r="AT620" i="40"/>
  <c r="AT621" i="40"/>
  <c r="AT622" i="40"/>
  <c r="AT623" i="40"/>
  <c r="AT624" i="40"/>
  <c r="AT625" i="40"/>
  <c r="AT626" i="40"/>
  <c r="AT627" i="40"/>
  <c r="AT628" i="40"/>
  <c r="AT629" i="40"/>
  <c r="AT630" i="40"/>
  <c r="AT631" i="40"/>
  <c r="AT632" i="40"/>
  <c r="AT633" i="40"/>
  <c r="AT634" i="40"/>
  <c r="AT635" i="40"/>
  <c r="AT636" i="40"/>
  <c r="AT637" i="40"/>
  <c r="AT638" i="40"/>
  <c r="AT639" i="40"/>
  <c r="AT640" i="40"/>
  <c r="AT641" i="40"/>
  <c r="AT642" i="40"/>
  <c r="AT643" i="40"/>
  <c r="AT644" i="40"/>
  <c r="AT645" i="40"/>
  <c r="AT646" i="40"/>
  <c r="AT647" i="40"/>
  <c r="AT648" i="40"/>
  <c r="AT649" i="40"/>
  <c r="AT650" i="40"/>
  <c r="AT651" i="40"/>
  <c r="AT652" i="40"/>
  <c r="AT653" i="40"/>
  <c r="AT654" i="40"/>
  <c r="AT655" i="40"/>
  <c r="AT656" i="40"/>
  <c r="AT657" i="40"/>
  <c r="AT658" i="40"/>
  <c r="AT659" i="40"/>
  <c r="AT660" i="40"/>
  <c r="AT661" i="40"/>
  <c r="AT662" i="40"/>
  <c r="AT663" i="40"/>
  <c r="AT664" i="40"/>
  <c r="AT665" i="40"/>
  <c r="AT666" i="40"/>
  <c r="AT667" i="40"/>
  <c r="AT668" i="40"/>
  <c r="AT669" i="40"/>
  <c r="AT670" i="40"/>
  <c r="AT671" i="40"/>
  <c r="AT672" i="40"/>
  <c r="AT673" i="40"/>
  <c r="AT674" i="40"/>
  <c r="AT675" i="40"/>
  <c r="AT676" i="40"/>
  <c r="AT677" i="40"/>
  <c r="AT678" i="40"/>
  <c r="AT679" i="40"/>
  <c r="AT680" i="40"/>
  <c r="AT681" i="40"/>
  <c r="AT682" i="40"/>
  <c r="AT683" i="40"/>
  <c r="AT684" i="40"/>
  <c r="AT685" i="40"/>
  <c r="AT686" i="40"/>
  <c r="AT687" i="40"/>
  <c r="AT688" i="40"/>
  <c r="AT689" i="40"/>
  <c r="AT690" i="40"/>
  <c r="AT691" i="40"/>
  <c r="AT692" i="40"/>
  <c r="AT693" i="40"/>
  <c r="AT694" i="40"/>
  <c r="AT695" i="40"/>
  <c r="AT696" i="40"/>
  <c r="AT697" i="40"/>
  <c r="AT698" i="40"/>
  <c r="AT699" i="40"/>
  <c r="AT700" i="40"/>
  <c r="C602" i="40"/>
  <c r="B602" i="40"/>
  <c r="B603" i="40"/>
  <c r="A601" i="40"/>
  <c r="R153" i="57"/>
  <c r="R152" i="57"/>
  <c r="R154" i="57"/>
  <c r="R151" i="57"/>
  <c r="R109" i="57"/>
  <c r="R11" i="57"/>
  <c r="R154" i="39"/>
  <c r="S153" i="39"/>
  <c r="S153" i="57"/>
  <c r="S152" i="39"/>
  <c r="S152" i="57"/>
  <c r="S151" i="39"/>
  <c r="D36" i="71"/>
  <c r="A602" i="40"/>
  <c r="KN602" i="40"/>
  <c r="C603" i="40"/>
  <c r="C604" i="40"/>
  <c r="KN603" i="40"/>
  <c r="Q4" i="70"/>
  <c r="Y4" i="70"/>
  <c r="AG4" i="70"/>
  <c r="AO4" i="70"/>
  <c r="O4" i="70"/>
  <c r="W4" i="70"/>
  <c r="AE4" i="70"/>
  <c r="AM4" i="70"/>
  <c r="AU4" i="70"/>
  <c r="H4" i="39"/>
  <c r="I4" i="39"/>
  <c r="I83" i="39"/>
  <c r="I85" i="39"/>
  <c r="AF70" i="69"/>
  <c r="AE70" i="69"/>
  <c r="O70" i="69"/>
  <c r="N70" i="69"/>
  <c r="M70" i="69"/>
  <c r="L70" i="69"/>
  <c r="K70" i="69"/>
  <c r="J70" i="69"/>
  <c r="I70" i="69"/>
  <c r="H70" i="69"/>
  <c r="G70" i="69"/>
  <c r="F70" i="69"/>
  <c r="AF68" i="69"/>
  <c r="AE68" i="69"/>
  <c r="O68" i="69"/>
  <c r="N68" i="69"/>
  <c r="M68" i="69"/>
  <c r="L68" i="69"/>
  <c r="K68" i="69"/>
  <c r="J68" i="69"/>
  <c r="I68" i="69"/>
  <c r="H68" i="69"/>
  <c r="G68" i="69"/>
  <c r="F68" i="69"/>
  <c r="AF66" i="69"/>
  <c r="AE66" i="69"/>
  <c r="O66" i="69"/>
  <c r="N66" i="69"/>
  <c r="M66" i="69"/>
  <c r="L66" i="69"/>
  <c r="K66" i="69"/>
  <c r="J66" i="69"/>
  <c r="I66" i="69"/>
  <c r="H66" i="69"/>
  <c r="G66" i="69"/>
  <c r="F66" i="69"/>
  <c r="AF64" i="69"/>
  <c r="AE64" i="69"/>
  <c r="O64" i="69"/>
  <c r="N64" i="69"/>
  <c r="M64" i="69"/>
  <c r="L64" i="69"/>
  <c r="K64" i="69"/>
  <c r="J64" i="69"/>
  <c r="I64" i="69"/>
  <c r="H64" i="69"/>
  <c r="G64" i="69"/>
  <c r="F64" i="69"/>
  <c r="AF62" i="69"/>
  <c r="AE62" i="69"/>
  <c r="O62" i="69"/>
  <c r="N62" i="69"/>
  <c r="M62" i="69"/>
  <c r="L62" i="69"/>
  <c r="K62" i="69"/>
  <c r="J62" i="69"/>
  <c r="I62" i="69"/>
  <c r="H62" i="69"/>
  <c r="G62" i="69"/>
  <c r="F62" i="69"/>
  <c r="AF60" i="69"/>
  <c r="AE60" i="69"/>
  <c r="O60" i="69"/>
  <c r="N60" i="69"/>
  <c r="M60" i="69"/>
  <c r="L60" i="69"/>
  <c r="K60" i="69"/>
  <c r="J60" i="69"/>
  <c r="I60" i="69"/>
  <c r="H60" i="69"/>
  <c r="G60" i="69"/>
  <c r="F60" i="69"/>
  <c r="AF58" i="69"/>
  <c r="AE58" i="69"/>
  <c r="O58" i="69"/>
  <c r="N58" i="69"/>
  <c r="M58" i="69"/>
  <c r="L58" i="69"/>
  <c r="K58" i="69"/>
  <c r="J58" i="69"/>
  <c r="I58" i="69"/>
  <c r="H58" i="69"/>
  <c r="G58" i="69"/>
  <c r="F58" i="69"/>
  <c r="AF56" i="69"/>
  <c r="AE56" i="69"/>
  <c r="O56" i="69"/>
  <c r="N56" i="69"/>
  <c r="M56" i="69"/>
  <c r="L56" i="69"/>
  <c r="K56" i="69"/>
  <c r="J56" i="69"/>
  <c r="I56" i="69"/>
  <c r="H56" i="69"/>
  <c r="G56" i="69"/>
  <c r="F56" i="69"/>
  <c r="AF54" i="69"/>
  <c r="AE54" i="69"/>
  <c r="O54" i="69"/>
  <c r="N54" i="69"/>
  <c r="M54" i="69"/>
  <c r="L54" i="69"/>
  <c r="K54" i="69"/>
  <c r="J54" i="69"/>
  <c r="I54" i="69"/>
  <c r="H54" i="69"/>
  <c r="G54" i="69"/>
  <c r="F54" i="69"/>
  <c r="BA36" i="69"/>
  <c r="BA38" i="69"/>
  <c r="BA40" i="69"/>
  <c r="BA42" i="69"/>
  <c r="BA44" i="69"/>
  <c r="BA46" i="69"/>
  <c r="BA48" i="69"/>
  <c r="BA50" i="69"/>
  <c r="BA52" i="69"/>
  <c r="BA54" i="69"/>
  <c r="BA56" i="69"/>
  <c r="BA58" i="69"/>
  <c r="BA60" i="69"/>
  <c r="BA62" i="69"/>
  <c r="BA64" i="69"/>
  <c r="BA66" i="69"/>
  <c r="BA68" i="69"/>
  <c r="BA70" i="69"/>
  <c r="A36" i="69"/>
  <c r="A38" i="69"/>
  <c r="D38" i="69"/>
  <c r="D34" i="69"/>
  <c r="AK33" i="69"/>
  <c r="AN28" i="69"/>
  <c r="AM28" i="69"/>
  <c r="AL28" i="69"/>
  <c r="AA28" i="69"/>
  <c r="Z28" i="69"/>
  <c r="Y28" i="69"/>
  <c r="BL26" i="69"/>
  <c r="BK26" i="69"/>
  <c r="BJ26" i="69"/>
  <c r="BI26" i="69"/>
  <c r="BH26" i="69"/>
  <c r="BG26" i="69"/>
  <c r="BF26" i="69"/>
  <c r="BE26" i="69"/>
  <c r="BD26" i="69"/>
  <c r="BC26" i="69"/>
  <c r="BF22" i="69"/>
  <c r="BH22" i="69"/>
  <c r="BJ22" i="69"/>
  <c r="BL22" i="69"/>
  <c r="AF70" i="68"/>
  <c r="AE70" i="68"/>
  <c r="O70" i="68"/>
  <c r="N70" i="68"/>
  <c r="M70" i="68"/>
  <c r="L70" i="68"/>
  <c r="K70" i="68"/>
  <c r="J70" i="68"/>
  <c r="I70" i="68"/>
  <c r="H70" i="68"/>
  <c r="G70" i="68"/>
  <c r="F70" i="68"/>
  <c r="AF68" i="68"/>
  <c r="AE68" i="68"/>
  <c r="O68" i="68"/>
  <c r="N68" i="68"/>
  <c r="M68" i="68"/>
  <c r="L68" i="68"/>
  <c r="K68" i="68"/>
  <c r="J68" i="68"/>
  <c r="I68" i="68"/>
  <c r="H68" i="68"/>
  <c r="G68" i="68"/>
  <c r="F68" i="68"/>
  <c r="AF66" i="68"/>
  <c r="AE66" i="68"/>
  <c r="O66" i="68"/>
  <c r="N66" i="68"/>
  <c r="M66" i="68"/>
  <c r="L66" i="68"/>
  <c r="K66" i="68"/>
  <c r="J66" i="68"/>
  <c r="I66" i="68"/>
  <c r="H66" i="68"/>
  <c r="G66" i="68"/>
  <c r="F66" i="68"/>
  <c r="AF64" i="68"/>
  <c r="AE64" i="68"/>
  <c r="O64" i="68"/>
  <c r="N64" i="68"/>
  <c r="M64" i="68"/>
  <c r="L64" i="68"/>
  <c r="K64" i="68"/>
  <c r="J64" i="68"/>
  <c r="I64" i="68"/>
  <c r="H64" i="68"/>
  <c r="G64" i="68"/>
  <c r="F64" i="68"/>
  <c r="AF62" i="68"/>
  <c r="AE62" i="68"/>
  <c r="O62" i="68"/>
  <c r="N62" i="68"/>
  <c r="M62" i="68"/>
  <c r="L62" i="68"/>
  <c r="K62" i="68"/>
  <c r="J62" i="68"/>
  <c r="I62" i="68"/>
  <c r="H62" i="68"/>
  <c r="G62" i="68"/>
  <c r="F62" i="68"/>
  <c r="AF60" i="68"/>
  <c r="AE60" i="68"/>
  <c r="O60" i="68"/>
  <c r="N60" i="68"/>
  <c r="M60" i="68"/>
  <c r="L60" i="68"/>
  <c r="K60" i="68"/>
  <c r="J60" i="68"/>
  <c r="I60" i="68"/>
  <c r="H60" i="68"/>
  <c r="G60" i="68"/>
  <c r="F60" i="68"/>
  <c r="AF58" i="68"/>
  <c r="AE58" i="68"/>
  <c r="O58" i="68"/>
  <c r="N58" i="68"/>
  <c r="M58" i="68"/>
  <c r="L58" i="68"/>
  <c r="K58" i="68"/>
  <c r="J58" i="68"/>
  <c r="I58" i="68"/>
  <c r="H58" i="68"/>
  <c r="G58" i="68"/>
  <c r="F58" i="68"/>
  <c r="AF56" i="68"/>
  <c r="AE56" i="68"/>
  <c r="O56" i="68"/>
  <c r="N56" i="68"/>
  <c r="M56" i="68"/>
  <c r="L56" i="68"/>
  <c r="K56" i="68"/>
  <c r="J56" i="68"/>
  <c r="I56" i="68"/>
  <c r="H56" i="68"/>
  <c r="G56" i="68"/>
  <c r="F56" i="68"/>
  <c r="AF54" i="68"/>
  <c r="AE54" i="68"/>
  <c r="O54" i="68"/>
  <c r="N54" i="68"/>
  <c r="M54" i="68"/>
  <c r="L54" i="68"/>
  <c r="K54" i="68"/>
  <c r="J54" i="68"/>
  <c r="I54" i="68"/>
  <c r="H54" i="68"/>
  <c r="G54" i="68"/>
  <c r="F54" i="68"/>
  <c r="BA36" i="68"/>
  <c r="BA38" i="68"/>
  <c r="BA40" i="68"/>
  <c r="BA42" i="68"/>
  <c r="BA44" i="68"/>
  <c r="BA46" i="68"/>
  <c r="BA48" i="68"/>
  <c r="BA50" i="68"/>
  <c r="BA52" i="68"/>
  <c r="BA54" i="68"/>
  <c r="BA56" i="68"/>
  <c r="BA58" i="68"/>
  <c r="BA60" i="68"/>
  <c r="BA62" i="68"/>
  <c r="BA64" i="68"/>
  <c r="BA66" i="68"/>
  <c r="BA68" i="68"/>
  <c r="BA70" i="68"/>
  <c r="A36" i="68"/>
  <c r="A38" i="68"/>
  <c r="D34" i="68"/>
  <c r="AK33" i="68"/>
  <c r="AN28" i="68"/>
  <c r="AM28" i="68"/>
  <c r="AL28" i="68"/>
  <c r="AA28" i="68"/>
  <c r="Z28" i="68"/>
  <c r="Y28" i="68"/>
  <c r="BL26" i="68"/>
  <c r="BK26" i="68"/>
  <c r="BJ26" i="68"/>
  <c r="BI26" i="68"/>
  <c r="BH26" i="68"/>
  <c r="BG26" i="68"/>
  <c r="BF26" i="68"/>
  <c r="BE26" i="68"/>
  <c r="BD26" i="68"/>
  <c r="BC26" i="68"/>
  <c r="BF22" i="68"/>
  <c r="BH22" i="68"/>
  <c r="BJ22" i="68"/>
  <c r="BL22" i="68"/>
  <c r="AF70" i="67"/>
  <c r="AE70" i="67"/>
  <c r="O70" i="67"/>
  <c r="N70" i="67"/>
  <c r="M70" i="67"/>
  <c r="L70" i="67"/>
  <c r="K70" i="67"/>
  <c r="J70" i="67"/>
  <c r="I70" i="67"/>
  <c r="H70" i="67"/>
  <c r="G70" i="67"/>
  <c r="F70" i="67"/>
  <c r="AF68" i="67"/>
  <c r="AE68" i="67"/>
  <c r="O68" i="67"/>
  <c r="N68" i="67"/>
  <c r="M68" i="67"/>
  <c r="L68" i="67"/>
  <c r="K68" i="67"/>
  <c r="J68" i="67"/>
  <c r="I68" i="67"/>
  <c r="H68" i="67"/>
  <c r="G68" i="67"/>
  <c r="F68" i="67"/>
  <c r="AF66" i="67"/>
  <c r="AE66" i="67"/>
  <c r="O66" i="67"/>
  <c r="N66" i="67"/>
  <c r="M66" i="67"/>
  <c r="L66" i="67"/>
  <c r="K66" i="67"/>
  <c r="J66" i="67"/>
  <c r="I66" i="67"/>
  <c r="H66" i="67"/>
  <c r="G66" i="67"/>
  <c r="F66" i="67"/>
  <c r="AF64" i="67"/>
  <c r="AE64" i="67"/>
  <c r="O64" i="67"/>
  <c r="N64" i="67"/>
  <c r="M64" i="67"/>
  <c r="L64" i="67"/>
  <c r="K64" i="67"/>
  <c r="J64" i="67"/>
  <c r="I64" i="67"/>
  <c r="H64" i="67"/>
  <c r="G64" i="67"/>
  <c r="F64" i="67"/>
  <c r="AF62" i="67"/>
  <c r="AE62" i="67"/>
  <c r="O62" i="67"/>
  <c r="N62" i="67"/>
  <c r="M62" i="67"/>
  <c r="L62" i="67"/>
  <c r="K62" i="67"/>
  <c r="J62" i="67"/>
  <c r="I62" i="67"/>
  <c r="H62" i="67"/>
  <c r="G62" i="67"/>
  <c r="F62" i="67"/>
  <c r="AF60" i="67"/>
  <c r="AE60" i="67"/>
  <c r="O60" i="67"/>
  <c r="N60" i="67"/>
  <c r="M60" i="67"/>
  <c r="L60" i="67"/>
  <c r="K60" i="67"/>
  <c r="J60" i="67"/>
  <c r="I60" i="67"/>
  <c r="H60" i="67"/>
  <c r="G60" i="67"/>
  <c r="F60" i="67"/>
  <c r="AF58" i="67"/>
  <c r="AE58" i="67"/>
  <c r="O58" i="67"/>
  <c r="N58" i="67"/>
  <c r="M58" i="67"/>
  <c r="L58" i="67"/>
  <c r="K58" i="67"/>
  <c r="J58" i="67"/>
  <c r="I58" i="67"/>
  <c r="H58" i="67"/>
  <c r="G58" i="67"/>
  <c r="F58" i="67"/>
  <c r="AF56" i="67"/>
  <c r="AE56" i="67"/>
  <c r="O56" i="67"/>
  <c r="N56" i="67"/>
  <c r="M56" i="67"/>
  <c r="L56" i="67"/>
  <c r="K56" i="67"/>
  <c r="J56" i="67"/>
  <c r="I56" i="67"/>
  <c r="H56" i="67"/>
  <c r="G56" i="67"/>
  <c r="F56" i="67"/>
  <c r="AF54" i="67"/>
  <c r="AE54" i="67"/>
  <c r="O54" i="67"/>
  <c r="N54" i="67"/>
  <c r="M54" i="67"/>
  <c r="L54" i="67"/>
  <c r="K54" i="67"/>
  <c r="J54" i="67"/>
  <c r="I54" i="67"/>
  <c r="H54" i="67"/>
  <c r="G54" i="67"/>
  <c r="F54" i="67"/>
  <c r="BA36" i="67"/>
  <c r="BA38" i="67"/>
  <c r="BA40" i="67"/>
  <c r="BA42" i="67"/>
  <c r="BA44" i="67"/>
  <c r="BA46" i="67"/>
  <c r="BA48" i="67"/>
  <c r="BA50" i="67"/>
  <c r="BA52" i="67"/>
  <c r="BA54" i="67"/>
  <c r="BA56" i="67"/>
  <c r="BA58" i="67"/>
  <c r="BA60" i="67"/>
  <c r="BA62" i="67"/>
  <c r="BA64" i="67"/>
  <c r="BA66" i="67"/>
  <c r="BA68" i="67"/>
  <c r="BA70" i="67"/>
  <c r="A36" i="67"/>
  <c r="D36" i="67"/>
  <c r="D34" i="67"/>
  <c r="AK33" i="67"/>
  <c r="AN28" i="67"/>
  <c r="AM28" i="67"/>
  <c r="AL28" i="67"/>
  <c r="AA28" i="67"/>
  <c r="Z28" i="67"/>
  <c r="Y28" i="67"/>
  <c r="BL26" i="67"/>
  <c r="BK26" i="67"/>
  <c r="BJ26" i="67"/>
  <c r="BI26" i="67"/>
  <c r="BH26" i="67"/>
  <c r="BG26" i="67"/>
  <c r="BF26" i="67"/>
  <c r="BE26" i="67"/>
  <c r="BD26" i="67"/>
  <c r="BC26" i="67"/>
  <c r="BF22" i="67"/>
  <c r="BH22" i="67"/>
  <c r="BJ22" i="67"/>
  <c r="BL22" i="67"/>
  <c r="AF70" i="66"/>
  <c r="AE70" i="66"/>
  <c r="O70" i="66"/>
  <c r="N70" i="66"/>
  <c r="M70" i="66"/>
  <c r="L70" i="66"/>
  <c r="K70" i="66"/>
  <c r="J70" i="66"/>
  <c r="I70" i="66"/>
  <c r="H70" i="66"/>
  <c r="G70" i="66"/>
  <c r="F70" i="66"/>
  <c r="AF68" i="66"/>
  <c r="AE68" i="66"/>
  <c r="O68" i="66"/>
  <c r="N68" i="66"/>
  <c r="M68" i="66"/>
  <c r="L68" i="66"/>
  <c r="K68" i="66"/>
  <c r="J68" i="66"/>
  <c r="I68" i="66"/>
  <c r="H68" i="66"/>
  <c r="G68" i="66"/>
  <c r="F68" i="66"/>
  <c r="AF66" i="66"/>
  <c r="AE66" i="66"/>
  <c r="O66" i="66"/>
  <c r="N66" i="66"/>
  <c r="M66" i="66"/>
  <c r="L66" i="66"/>
  <c r="K66" i="66"/>
  <c r="J66" i="66"/>
  <c r="I66" i="66"/>
  <c r="H66" i="66"/>
  <c r="G66" i="66"/>
  <c r="F66" i="66"/>
  <c r="AF64" i="66"/>
  <c r="AE64" i="66"/>
  <c r="O64" i="66"/>
  <c r="N64" i="66"/>
  <c r="M64" i="66"/>
  <c r="L64" i="66"/>
  <c r="K64" i="66"/>
  <c r="J64" i="66"/>
  <c r="I64" i="66"/>
  <c r="H64" i="66"/>
  <c r="G64" i="66"/>
  <c r="F64" i="66"/>
  <c r="AF62" i="66"/>
  <c r="AE62" i="66"/>
  <c r="O62" i="66"/>
  <c r="N62" i="66"/>
  <c r="M62" i="66"/>
  <c r="L62" i="66"/>
  <c r="K62" i="66"/>
  <c r="J62" i="66"/>
  <c r="I62" i="66"/>
  <c r="H62" i="66"/>
  <c r="G62" i="66"/>
  <c r="F62" i="66"/>
  <c r="AF60" i="66"/>
  <c r="AE60" i="66"/>
  <c r="O60" i="66"/>
  <c r="N60" i="66"/>
  <c r="M60" i="66"/>
  <c r="L60" i="66"/>
  <c r="K60" i="66"/>
  <c r="J60" i="66"/>
  <c r="I60" i="66"/>
  <c r="H60" i="66"/>
  <c r="G60" i="66"/>
  <c r="F60" i="66"/>
  <c r="AF58" i="66"/>
  <c r="AE58" i="66"/>
  <c r="O58" i="66"/>
  <c r="N58" i="66"/>
  <c r="M58" i="66"/>
  <c r="L58" i="66"/>
  <c r="K58" i="66"/>
  <c r="J58" i="66"/>
  <c r="I58" i="66"/>
  <c r="H58" i="66"/>
  <c r="G58" i="66"/>
  <c r="F58" i="66"/>
  <c r="AF56" i="66"/>
  <c r="AE56" i="66"/>
  <c r="O56" i="66"/>
  <c r="N56" i="66"/>
  <c r="M56" i="66"/>
  <c r="L56" i="66"/>
  <c r="K56" i="66"/>
  <c r="J56" i="66"/>
  <c r="I56" i="66"/>
  <c r="H56" i="66"/>
  <c r="G56" i="66"/>
  <c r="F56" i="66"/>
  <c r="AF54" i="66"/>
  <c r="AE54" i="66"/>
  <c r="O54" i="66"/>
  <c r="N54" i="66"/>
  <c r="M54" i="66"/>
  <c r="L54" i="66"/>
  <c r="K54" i="66"/>
  <c r="J54" i="66"/>
  <c r="I54" i="66"/>
  <c r="H54" i="66"/>
  <c r="G54" i="66"/>
  <c r="F54" i="66"/>
  <c r="BA36" i="66"/>
  <c r="BA38" i="66"/>
  <c r="BA40" i="66"/>
  <c r="BA42" i="66"/>
  <c r="BA44" i="66"/>
  <c r="BA46" i="66"/>
  <c r="BA48" i="66"/>
  <c r="BA50" i="66"/>
  <c r="BA52" i="66"/>
  <c r="BA54" i="66"/>
  <c r="BA56" i="66"/>
  <c r="BA58" i="66"/>
  <c r="BA60" i="66"/>
  <c r="BA62" i="66"/>
  <c r="BA64" i="66"/>
  <c r="BA66" i="66"/>
  <c r="BA68" i="66"/>
  <c r="BA70" i="66"/>
  <c r="A36" i="66"/>
  <c r="D34" i="66"/>
  <c r="AK33" i="66"/>
  <c r="AN28" i="66"/>
  <c r="AM28" i="66"/>
  <c r="AL28" i="66"/>
  <c r="AA28" i="66"/>
  <c r="Z28" i="66"/>
  <c r="Y28" i="66"/>
  <c r="BL26" i="66"/>
  <c r="BK26" i="66"/>
  <c r="BJ26" i="66"/>
  <c r="BI26" i="66"/>
  <c r="BH26" i="66"/>
  <c r="BG26" i="66"/>
  <c r="BF26" i="66"/>
  <c r="BE26" i="66"/>
  <c r="BD26" i="66"/>
  <c r="BC26" i="66"/>
  <c r="BF22" i="66"/>
  <c r="BH22" i="66"/>
  <c r="BJ22" i="66"/>
  <c r="BL22" i="66"/>
  <c r="A38" i="67"/>
  <c r="D38" i="67"/>
  <c r="A40" i="67"/>
  <c r="A40" i="68"/>
  <c r="A42" i="68"/>
  <c r="D42" i="68"/>
  <c r="D38" i="68"/>
  <c r="A44" i="68"/>
  <c r="A46" i="68"/>
  <c r="D44" i="68"/>
  <c r="H3" i="39"/>
  <c r="E33" i="70"/>
  <c r="E24" i="70"/>
  <c r="E27" i="70"/>
  <c r="E26" i="70"/>
  <c r="E62" i="70"/>
  <c r="E22" i="70"/>
  <c r="G107" i="57"/>
  <c r="J10" i="39"/>
  <c r="J12" i="39"/>
  <c r="J12" i="57"/>
  <c r="J9" i="39"/>
  <c r="J7" i="39"/>
  <c r="J7" i="57"/>
  <c r="L7" i="39"/>
  <c r="L7" i="57"/>
  <c r="L9" i="39"/>
  <c r="N9" i="39"/>
  <c r="H8" i="39"/>
  <c r="N154" i="39"/>
  <c r="L154" i="39"/>
  <c r="J154" i="39"/>
  <c r="H154" i="39"/>
  <c r="Q153" i="39"/>
  <c r="Q153" i="57"/>
  <c r="O153" i="39"/>
  <c r="M153" i="39"/>
  <c r="K153" i="39"/>
  <c r="K153" i="57"/>
  <c r="I153" i="39"/>
  <c r="I153" i="57"/>
  <c r="I154" i="57"/>
  <c r="I155" i="57"/>
  <c r="Q152" i="39"/>
  <c r="O152" i="39"/>
  <c r="M152" i="39"/>
  <c r="K152" i="39"/>
  <c r="K152" i="57"/>
  <c r="I152" i="39"/>
  <c r="I152" i="57"/>
  <c r="Q151" i="39"/>
  <c r="O151" i="39"/>
  <c r="M151" i="39"/>
  <c r="M151" i="57"/>
  <c r="K151" i="39"/>
  <c r="K151" i="57"/>
  <c r="I151" i="39"/>
  <c r="I118" i="57"/>
  <c r="I117" i="57"/>
  <c r="I114" i="57"/>
  <c r="I109" i="57"/>
  <c r="I104" i="39"/>
  <c r="I104" i="57"/>
  <c r="I103" i="39"/>
  <c r="I102" i="39"/>
  <c r="I102" i="57"/>
  <c r="I101" i="39"/>
  <c r="I101" i="57"/>
  <c r="H17" i="39"/>
  <c r="H18" i="39"/>
  <c r="H16" i="39"/>
  <c r="H2" i="39"/>
  <c r="H76" i="39"/>
  <c r="R85" i="39"/>
  <c r="R103" i="39"/>
  <c r="R103" i="57"/>
  <c r="R30" i="39"/>
  <c r="R104" i="39"/>
  <c r="R117" i="57"/>
  <c r="R101" i="39"/>
  <c r="R83" i="39"/>
  <c r="R83" i="57"/>
  <c r="R102" i="39"/>
  <c r="R102" i="57"/>
  <c r="S115" i="57"/>
  <c r="R114" i="57"/>
  <c r="S114" i="57"/>
  <c r="R64" i="39"/>
  <c r="R73" i="39"/>
  <c r="R43" i="39"/>
  <c r="R62" i="39"/>
  <c r="R67" i="39"/>
  <c r="R54" i="39"/>
  <c r="R72" i="39"/>
  <c r="R42" i="39"/>
  <c r="R52" i="39"/>
  <c r="R56" i="39"/>
  <c r="R66" i="39"/>
  <c r="R71" i="39"/>
  <c r="R33" i="39"/>
  <c r="R44" i="39"/>
  <c r="R68" i="39"/>
  <c r="R31" i="39"/>
  <c r="R53" i="39"/>
  <c r="R38" i="39"/>
  <c r="R41" i="39"/>
  <c r="R50" i="39"/>
  <c r="R55" i="39"/>
  <c r="R65" i="39"/>
  <c r="R70" i="39"/>
  <c r="R74" i="39"/>
  <c r="S101" i="39"/>
  <c r="S101" i="57"/>
  <c r="R101" i="57"/>
  <c r="S82" i="57"/>
  <c r="R82" i="57"/>
  <c r="S80" i="57"/>
  <c r="R80" i="57"/>
  <c r="R81" i="57"/>
  <c r="S81" i="57"/>
  <c r="R120" i="57"/>
  <c r="S120" i="57"/>
  <c r="S83" i="39"/>
  <c r="S83" i="57"/>
  <c r="R79" i="57"/>
  <c r="S79" i="57"/>
  <c r="R40" i="39"/>
  <c r="L64" i="62"/>
  <c r="L62" i="62"/>
  <c r="N58" i="62"/>
  <c r="J56" i="62"/>
  <c r="O54" i="62"/>
  <c r="N52" i="62"/>
  <c r="O50" i="62"/>
  <c r="N68" i="62"/>
  <c r="AF70" i="62"/>
  <c r="AE70" i="62"/>
  <c r="W70" i="62"/>
  <c r="AA70" i="62" s="1"/>
  <c r="V70" i="62"/>
  <c r="U70" i="62"/>
  <c r="Y70" i="62" s="1"/>
  <c r="AC70" i="62" s="1"/>
  <c r="O70" i="62"/>
  <c r="N70" i="62"/>
  <c r="M70" i="62"/>
  <c r="L70" i="62"/>
  <c r="K70" i="62"/>
  <c r="J70" i="62"/>
  <c r="I70" i="62"/>
  <c r="H70" i="62"/>
  <c r="G70" i="62"/>
  <c r="F70" i="62"/>
  <c r="BA36" i="62"/>
  <c r="BA38" i="62"/>
  <c r="BA40" i="62"/>
  <c r="BA42" i="62"/>
  <c r="BA44" i="62"/>
  <c r="BA46" i="62"/>
  <c r="BA48" i="62"/>
  <c r="BA50" i="62"/>
  <c r="BA52" i="62"/>
  <c r="BA54" i="62"/>
  <c r="BA56" i="62"/>
  <c r="BA58" i="62"/>
  <c r="BA60" i="62"/>
  <c r="BA62" i="62"/>
  <c r="BA64" i="62"/>
  <c r="BA66" i="62"/>
  <c r="BA68" i="62"/>
  <c r="BA70" i="62"/>
  <c r="A36" i="62"/>
  <c r="A38" i="62"/>
  <c r="D38" i="62"/>
  <c r="D34" i="62"/>
  <c r="AK33" i="62"/>
  <c r="AN28" i="62"/>
  <c r="AM28" i="62"/>
  <c r="AL28" i="62"/>
  <c r="AA28" i="62"/>
  <c r="Z28" i="62"/>
  <c r="Y28" i="62"/>
  <c r="BL26" i="62"/>
  <c r="BK26" i="62"/>
  <c r="BJ26" i="62"/>
  <c r="BI26" i="62"/>
  <c r="BH26" i="62"/>
  <c r="BG26" i="62"/>
  <c r="BF26" i="62"/>
  <c r="BE26" i="62"/>
  <c r="BD26" i="62"/>
  <c r="BC26" i="62"/>
  <c r="BF22" i="62"/>
  <c r="BH22" i="62"/>
  <c r="BJ22" i="62"/>
  <c r="BL22" i="62"/>
  <c r="W68" i="62"/>
  <c r="AA68" i="62" s="1"/>
  <c r="F68" i="62"/>
  <c r="J68" i="62"/>
  <c r="J64" i="62"/>
  <c r="V62" i="62"/>
  <c r="J58" i="62"/>
  <c r="U58" i="62"/>
  <c r="Q58" i="62" s="1"/>
  <c r="AE58" i="62"/>
  <c r="O58" i="62"/>
  <c r="K58" i="62"/>
  <c r="G58" i="62"/>
  <c r="F58" i="62"/>
  <c r="H56" i="62"/>
  <c r="O56" i="62"/>
  <c r="G54" i="62"/>
  <c r="J54" i="62"/>
  <c r="G52" i="62"/>
  <c r="O52" i="62"/>
  <c r="H52" i="62"/>
  <c r="AF52" i="62"/>
  <c r="J52" i="62"/>
  <c r="AE50" i="62"/>
  <c r="J50" i="62"/>
  <c r="L50" i="62"/>
  <c r="G50" i="62"/>
  <c r="F50" i="62"/>
  <c r="V50" i="62"/>
  <c r="Z50" i="62" s="1"/>
  <c r="V52" i="62"/>
  <c r="W60" i="62"/>
  <c r="S60" i="62" s="1"/>
  <c r="M60" i="62"/>
  <c r="I60" i="62"/>
  <c r="AE60" i="62"/>
  <c r="U60" i="62"/>
  <c r="Q60" i="62" s="1"/>
  <c r="O60" i="62"/>
  <c r="K60" i="62"/>
  <c r="G60" i="62"/>
  <c r="H60" i="62"/>
  <c r="N60" i="62"/>
  <c r="F60" i="62"/>
  <c r="V60" i="62"/>
  <c r="L60" i="62"/>
  <c r="AF60" i="62"/>
  <c r="J60" i="62"/>
  <c r="AF64" i="62"/>
  <c r="AF50" i="62"/>
  <c r="D36" i="62"/>
  <c r="AF54" i="62"/>
  <c r="W58" i="62"/>
  <c r="W66" i="62"/>
  <c r="S66" i="62" s="1"/>
  <c r="M66" i="62"/>
  <c r="I66" i="62"/>
  <c r="AE66" i="62"/>
  <c r="U66" i="62"/>
  <c r="Q66" i="62" s="1"/>
  <c r="O66" i="62"/>
  <c r="K66" i="62"/>
  <c r="G66" i="62"/>
  <c r="H66" i="62"/>
  <c r="N66" i="62"/>
  <c r="F66" i="62"/>
  <c r="AF66" i="62"/>
  <c r="L66" i="62"/>
  <c r="J66" i="62"/>
  <c r="W54" i="62"/>
  <c r="S54" i="62" s="1"/>
  <c r="M54" i="62"/>
  <c r="I54" i="62"/>
  <c r="U54" i="62"/>
  <c r="Y54" i="62" s="1"/>
  <c r="AC54" i="62" s="1"/>
  <c r="N54" i="62"/>
  <c r="H54" i="62"/>
  <c r="K54" i="62"/>
  <c r="W56" i="62"/>
  <c r="M56" i="62"/>
  <c r="I56" i="62"/>
  <c r="AE56" i="62"/>
  <c r="K56" i="62"/>
  <c r="F56" i="62"/>
  <c r="L56" i="62"/>
  <c r="U56" i="62"/>
  <c r="Q56" i="62" s="1"/>
  <c r="W50" i="62"/>
  <c r="M50" i="62"/>
  <c r="I50" i="62"/>
  <c r="U50" i="62"/>
  <c r="Q50" i="62" s="1"/>
  <c r="N50" i="62"/>
  <c r="H50" i="62"/>
  <c r="K50" i="62"/>
  <c r="W52" i="62"/>
  <c r="M52" i="62"/>
  <c r="I52" i="62"/>
  <c r="AE52" i="62"/>
  <c r="K52" i="62"/>
  <c r="F52" i="62"/>
  <c r="L52" i="62"/>
  <c r="U52" i="62"/>
  <c r="F54" i="62"/>
  <c r="L54" i="62"/>
  <c r="V54" i="62"/>
  <c r="R54" i="62" s="1"/>
  <c r="AE54" i="62"/>
  <c r="G56" i="62"/>
  <c r="N56" i="62"/>
  <c r="V56" i="62"/>
  <c r="R56" i="62" s="1"/>
  <c r="AF56" i="62"/>
  <c r="W62" i="62"/>
  <c r="AA62" i="62" s="1"/>
  <c r="M62" i="62"/>
  <c r="I62" i="62"/>
  <c r="AE62" i="62"/>
  <c r="U62" i="62"/>
  <c r="O62" i="62"/>
  <c r="K62" i="62"/>
  <c r="G62" i="62"/>
  <c r="H62" i="62"/>
  <c r="N62" i="62"/>
  <c r="F62" i="62"/>
  <c r="J62" i="62"/>
  <c r="AF62" i="62"/>
  <c r="V66" i="62"/>
  <c r="W64" i="62"/>
  <c r="M64" i="62"/>
  <c r="I64" i="62"/>
  <c r="AE64" i="62"/>
  <c r="U64" i="62"/>
  <c r="Q64" i="62" s="1"/>
  <c r="O64" i="62"/>
  <c r="K64" i="62"/>
  <c r="G64" i="62"/>
  <c r="H64" i="62"/>
  <c r="N64" i="62"/>
  <c r="F64" i="62"/>
  <c r="V64" i="62"/>
  <c r="Z64" i="62" s="1"/>
  <c r="H58" i="62"/>
  <c r="L58" i="62"/>
  <c r="V58" i="62"/>
  <c r="AF58" i="62"/>
  <c r="I58" i="62"/>
  <c r="M58" i="62"/>
  <c r="G68" i="62"/>
  <c r="K68" i="62"/>
  <c r="O68" i="62"/>
  <c r="U68" i="62"/>
  <c r="Q68" i="62" s="1"/>
  <c r="AE68" i="62"/>
  <c r="H68" i="62"/>
  <c r="L68" i="62"/>
  <c r="V68" i="62"/>
  <c r="R68" i="62" s="1"/>
  <c r="AF68" i="62"/>
  <c r="I68" i="62"/>
  <c r="M68" i="62"/>
  <c r="A40" i="62"/>
  <c r="C8" i="61"/>
  <c r="C9" i="61"/>
  <c r="C10" i="61"/>
  <c r="C11" i="61"/>
  <c r="C12" i="61"/>
  <c r="C13" i="61"/>
  <c r="C14" i="61"/>
  <c r="C15" i="61"/>
  <c r="C16" i="61"/>
  <c r="B8" i="61"/>
  <c r="B9" i="61"/>
  <c r="B10" i="61"/>
  <c r="B11" i="61"/>
  <c r="B12" i="61"/>
  <c r="B13" i="61"/>
  <c r="B14" i="61"/>
  <c r="B15" i="61"/>
  <c r="B16" i="61"/>
  <c r="A8" i="61"/>
  <c r="A9" i="61"/>
  <c r="A10" i="61"/>
  <c r="AN28" i="58"/>
  <c r="AM28" i="58"/>
  <c r="AL28" i="58"/>
  <c r="A11" i="61"/>
  <c r="P153" i="57"/>
  <c r="N153" i="57"/>
  <c r="L153" i="57"/>
  <c r="J153" i="57"/>
  <c r="H153" i="57"/>
  <c r="P152" i="57"/>
  <c r="N152" i="57"/>
  <c r="L152" i="57"/>
  <c r="L154" i="57"/>
  <c r="L155" i="57"/>
  <c r="J152" i="57"/>
  <c r="H152" i="57"/>
  <c r="P151" i="57"/>
  <c r="N151" i="57"/>
  <c r="N154" i="57"/>
  <c r="L151" i="57"/>
  <c r="J151" i="57"/>
  <c r="H151" i="57"/>
  <c r="M153" i="57"/>
  <c r="Q151" i="57"/>
  <c r="O151" i="57"/>
  <c r="I151" i="57"/>
  <c r="M152" i="57"/>
  <c r="O152" i="57"/>
  <c r="A12" i="61"/>
  <c r="A13" i="61"/>
  <c r="O70" i="58"/>
  <c r="N70" i="58"/>
  <c r="M70" i="58"/>
  <c r="L70" i="58"/>
  <c r="K70" i="58"/>
  <c r="J70" i="58"/>
  <c r="I70" i="58"/>
  <c r="H70" i="58"/>
  <c r="G70" i="58"/>
  <c r="F70" i="58"/>
  <c r="BL26" i="58"/>
  <c r="BK26" i="58"/>
  <c r="BJ26" i="58"/>
  <c r="BI26" i="58"/>
  <c r="BH26" i="58"/>
  <c r="BG26" i="58"/>
  <c r="BF26" i="58"/>
  <c r="BE26" i="58"/>
  <c r="A2" i="39"/>
  <c r="K112" i="57"/>
  <c r="K114" i="57"/>
  <c r="K115" i="57"/>
  <c r="K117" i="57"/>
  <c r="L114" i="57"/>
  <c r="L117" i="57"/>
  <c r="L120" i="57"/>
  <c r="O114" i="57"/>
  <c r="O120" i="57"/>
  <c r="Q115" i="57"/>
  <c r="P117" i="57"/>
  <c r="K102" i="57"/>
  <c r="BD26" i="58"/>
  <c r="BC26" i="58"/>
  <c r="I112" i="57"/>
  <c r="I115" i="57"/>
  <c r="I120" i="57"/>
  <c r="K120" i="57"/>
  <c r="A36" i="58"/>
  <c r="A38" i="58"/>
  <c r="D38" i="58"/>
  <c r="BF22" i="58"/>
  <c r="BH22" i="58"/>
  <c r="BJ22" i="58"/>
  <c r="BL22" i="58"/>
  <c r="BA36" i="58"/>
  <c r="BA38" i="58"/>
  <c r="BA40" i="58"/>
  <c r="BA42" i="58"/>
  <c r="BA44" i="58"/>
  <c r="BA46" i="58"/>
  <c r="BA48" i="58"/>
  <c r="BA50" i="58"/>
  <c r="BA52" i="58"/>
  <c r="BA54" i="58"/>
  <c r="BA56" i="58"/>
  <c r="BA58" i="58"/>
  <c r="BA60" i="58"/>
  <c r="BA62" i="58"/>
  <c r="BA64" i="58"/>
  <c r="BA66" i="58"/>
  <c r="BA68" i="58"/>
  <c r="BA70" i="58"/>
  <c r="A2" i="57"/>
  <c r="A3" i="57"/>
  <c r="A4" i="57"/>
  <c r="A5" i="57"/>
  <c r="A6" i="57"/>
  <c r="A7" i="57"/>
  <c r="A8" i="57"/>
  <c r="A9" i="57"/>
  <c r="A10" i="57"/>
  <c r="A11" i="57"/>
  <c r="A12" i="57"/>
  <c r="A13" i="57"/>
  <c r="A14" i="57"/>
  <c r="A15"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H81" i="57"/>
  <c r="Q117" i="57"/>
  <c r="Q103" i="57"/>
  <c r="Q102" i="57"/>
  <c r="O117" i="57"/>
  <c r="O104" i="57"/>
  <c r="O103" i="57"/>
  <c r="O102" i="57"/>
  <c r="O85" i="57"/>
  <c r="O83" i="57"/>
  <c r="O81" i="57"/>
  <c r="O79" i="57"/>
  <c r="M120" i="57"/>
  <c r="M117" i="57"/>
  <c r="M115" i="57"/>
  <c r="M103" i="57"/>
  <c r="L101" i="57"/>
  <c r="M82" i="57"/>
  <c r="M80" i="57"/>
  <c r="K82" i="57"/>
  <c r="K81" i="57"/>
  <c r="K80" i="57"/>
  <c r="K79" i="57"/>
  <c r="I83" i="57"/>
  <c r="I82" i="57"/>
  <c r="I81" i="57"/>
  <c r="I80" i="57"/>
  <c r="I79" i="57"/>
  <c r="AE70" i="58"/>
  <c r="B92" i="40"/>
  <c r="C92" i="40"/>
  <c r="H12" i="57"/>
  <c r="N55" i="44"/>
  <c r="P55" i="44"/>
  <c r="O55" i="44"/>
  <c r="M55" i="44"/>
  <c r="B2" i="44"/>
  <c r="AQ125" i="44"/>
  <c r="AR125" i="44"/>
  <c r="P2" i="59"/>
  <c r="O2" i="59"/>
  <c r="N2" i="59"/>
  <c r="M2" i="59"/>
  <c r="H2" i="59"/>
  <c r="G2" i="59"/>
  <c r="F2" i="59"/>
  <c r="D5" i="59"/>
  <c r="D6" i="59"/>
  <c r="D18" i="59"/>
  <c r="D30" i="59"/>
  <c r="D43" i="59"/>
  <c r="D7" i="59"/>
  <c r="L7" i="59"/>
  <c r="L19" i="59"/>
  <c r="L31" i="59"/>
  <c r="L44" i="59"/>
  <c r="R44" i="59"/>
  <c r="S44" i="59"/>
  <c r="D8" i="59"/>
  <c r="D9" i="59"/>
  <c r="L9" i="59"/>
  <c r="L21" i="59"/>
  <c r="L33" i="59"/>
  <c r="L46" i="59"/>
  <c r="R46" i="59"/>
  <c r="R58" i="59"/>
  <c r="D10" i="59"/>
  <c r="D22" i="59"/>
  <c r="D34" i="59"/>
  <c r="D47" i="59"/>
  <c r="D11" i="59"/>
  <c r="D4" i="59"/>
  <c r="M14" i="59"/>
  <c r="AB39" i="59"/>
  <c r="Z39" i="59"/>
  <c r="X39" i="59"/>
  <c r="V39" i="59"/>
  <c r="W37" i="59"/>
  <c r="X37" i="59"/>
  <c r="Y37" i="59"/>
  <c r="Z37" i="59"/>
  <c r="AA37" i="59"/>
  <c r="AB37" i="59"/>
  <c r="AC37" i="59"/>
  <c r="N26" i="59"/>
  <c r="O26" i="59"/>
  <c r="P26" i="59"/>
  <c r="F26" i="59"/>
  <c r="G26" i="59"/>
  <c r="H26" i="59"/>
  <c r="D19" i="59"/>
  <c r="D31" i="59"/>
  <c r="D44" i="59"/>
  <c r="K16" i="59"/>
  <c r="K28" i="59"/>
  <c r="C16" i="59"/>
  <c r="C28" i="59"/>
  <c r="C41" i="59"/>
  <c r="F14" i="59"/>
  <c r="N14" i="59"/>
  <c r="K5" i="59"/>
  <c r="C5" i="59"/>
  <c r="C6" i="59"/>
  <c r="C7" i="59"/>
  <c r="C19" i="59"/>
  <c r="C31" i="59"/>
  <c r="C44" i="59"/>
  <c r="I85" i="57"/>
  <c r="H83" i="57"/>
  <c r="H82" i="57"/>
  <c r="H80" i="57"/>
  <c r="H79" i="57"/>
  <c r="AK33" i="58"/>
  <c r="D34" i="58"/>
  <c r="AA28" i="58"/>
  <c r="Z28" i="58"/>
  <c r="Y28" i="58"/>
  <c r="AT86" i="40"/>
  <c r="AT87" i="40"/>
  <c r="AT88" i="40"/>
  <c r="AT89" i="40"/>
  <c r="C86" i="40"/>
  <c r="B86" i="40"/>
  <c r="B87" i="40"/>
  <c r="B88" i="40"/>
  <c r="B89" i="40"/>
  <c r="A89" i="40"/>
  <c r="P109" i="57"/>
  <c r="P11" i="57"/>
  <c r="N109" i="57"/>
  <c r="N11" i="57"/>
  <c r="L109" i="57"/>
  <c r="L11" i="57"/>
  <c r="J109" i="57"/>
  <c r="J11" i="57"/>
  <c r="H11" i="57"/>
  <c r="H10" i="57"/>
  <c r="H9" i="57"/>
  <c r="H7" i="57"/>
  <c r="H121" i="57"/>
  <c r="H120" i="57"/>
  <c r="H118" i="57"/>
  <c r="H117" i="57"/>
  <c r="H115" i="57"/>
  <c r="H114" i="57"/>
  <c r="H109" i="57"/>
  <c r="H104" i="57"/>
  <c r="I103" i="57"/>
  <c r="H103" i="57"/>
  <c r="H102" i="57"/>
  <c r="H101" i="57"/>
  <c r="Q85" i="57"/>
  <c r="P85" i="57"/>
  <c r="N85" i="57"/>
  <c r="M85" i="57"/>
  <c r="L85" i="57"/>
  <c r="Q83" i="57"/>
  <c r="P83" i="57"/>
  <c r="J83" i="57"/>
  <c r="L82" i="57"/>
  <c r="J82" i="57"/>
  <c r="Q81" i="57"/>
  <c r="P81" i="57"/>
  <c r="N81" i="57"/>
  <c r="M81" i="57"/>
  <c r="J81" i="57"/>
  <c r="J80" i="57"/>
  <c r="Q79" i="57"/>
  <c r="P79" i="57"/>
  <c r="M79" i="57"/>
  <c r="L79" i="57"/>
  <c r="J120" i="57"/>
  <c r="J118" i="57"/>
  <c r="N117" i="57"/>
  <c r="L115" i="57"/>
  <c r="J115" i="57"/>
  <c r="J114" i="57"/>
  <c r="P112" i="57"/>
  <c r="N112" i="57"/>
  <c r="J112" i="57"/>
  <c r="L104" i="57"/>
  <c r="J104" i="57"/>
  <c r="P103" i="57"/>
  <c r="N103" i="57"/>
  <c r="L103" i="57"/>
  <c r="J103" i="57"/>
  <c r="N102" i="57"/>
  <c r="L102" i="57"/>
  <c r="J102" i="57"/>
  <c r="B17" i="52"/>
  <c r="A17" i="52"/>
  <c r="P101" i="57"/>
  <c r="M101" i="57"/>
  <c r="I121" i="57"/>
  <c r="M104" i="57"/>
  <c r="C59" i="52"/>
  <c r="C60" i="52"/>
  <c r="B58" i="52"/>
  <c r="B59" i="52"/>
  <c r="C56" i="52"/>
  <c r="B55" i="52"/>
  <c r="A55" i="52"/>
  <c r="C53" i="52"/>
  <c r="C54" i="52"/>
  <c r="A54" i="52"/>
  <c r="B52" i="52"/>
  <c r="B53" i="52"/>
  <c r="B54" i="52"/>
  <c r="C50" i="52"/>
  <c r="C51" i="52"/>
  <c r="B49" i="52"/>
  <c r="B50" i="52"/>
  <c r="B51" i="52"/>
  <c r="AT47" i="52"/>
  <c r="AT48" i="52"/>
  <c r="AT49" i="52"/>
  <c r="AT50" i="52"/>
  <c r="AT51" i="52"/>
  <c r="AT52" i="52"/>
  <c r="AT53" i="52"/>
  <c r="AT54" i="52"/>
  <c r="AT55" i="52"/>
  <c r="AT56" i="52"/>
  <c r="AT57" i="52"/>
  <c r="AT58" i="52"/>
  <c r="AT59" i="52"/>
  <c r="AT60" i="52"/>
  <c r="C47" i="52"/>
  <c r="B46" i="52"/>
  <c r="A52" i="52"/>
  <c r="C57" i="52"/>
  <c r="C30" i="52"/>
  <c r="B29" i="52"/>
  <c r="A29" i="52"/>
  <c r="C27" i="52"/>
  <c r="C28" i="52"/>
  <c r="B26" i="52"/>
  <c r="A26" i="52"/>
  <c r="C24" i="52"/>
  <c r="A24" i="52"/>
  <c r="C21" i="52"/>
  <c r="C22" i="52"/>
  <c r="AT18" i="52"/>
  <c r="AT19" i="52"/>
  <c r="AT20" i="52"/>
  <c r="AT21" i="52"/>
  <c r="AT22" i="52"/>
  <c r="AT23" i="52"/>
  <c r="AT24" i="52"/>
  <c r="AT25" i="52"/>
  <c r="AT26" i="52"/>
  <c r="AT27" i="52"/>
  <c r="AT28" i="52"/>
  <c r="AT29" i="52"/>
  <c r="AT30" i="52"/>
  <c r="AT31" i="52"/>
  <c r="C18" i="52"/>
  <c r="C19" i="52"/>
  <c r="A19" i="52"/>
  <c r="B20" i="52"/>
  <c r="B21" i="52"/>
  <c r="B22" i="52"/>
  <c r="A22" i="52"/>
  <c r="A20" i="52"/>
  <c r="B9" i="52"/>
  <c r="C9" i="52"/>
  <c r="D9" i="52"/>
  <c r="E9" i="52"/>
  <c r="F9" i="52"/>
  <c r="G9" i="52"/>
  <c r="H9" i="52"/>
  <c r="I9" i="52"/>
  <c r="J9" i="52"/>
  <c r="K9" i="52"/>
  <c r="L9" i="52"/>
  <c r="M9" i="52"/>
  <c r="N9" i="52"/>
  <c r="O9" i="52"/>
  <c r="P9" i="52"/>
  <c r="Q9" i="52"/>
  <c r="R9" i="52"/>
  <c r="S9" i="52"/>
  <c r="T9" i="52"/>
  <c r="U9" i="52"/>
  <c r="V9" i="52"/>
  <c r="W9" i="52"/>
  <c r="X9" i="52"/>
  <c r="Y9" i="52"/>
  <c r="Z9" i="52"/>
  <c r="AA9" i="52"/>
  <c r="AB9" i="52"/>
  <c r="AC9" i="52"/>
  <c r="AD9" i="52"/>
  <c r="AE9" i="52"/>
  <c r="AF9" i="52"/>
  <c r="AG9" i="52"/>
  <c r="AH9" i="52"/>
  <c r="AI9" i="52"/>
  <c r="AJ9" i="52"/>
  <c r="AK9" i="52"/>
  <c r="AL9" i="52"/>
  <c r="AM9" i="52"/>
  <c r="AN9" i="52"/>
  <c r="AO9" i="52"/>
  <c r="AP9" i="52"/>
  <c r="AQ9" i="52"/>
  <c r="AR9" i="52"/>
  <c r="AS9" i="52"/>
  <c r="AT9" i="52"/>
  <c r="AU9" i="52"/>
  <c r="AV9" i="52"/>
  <c r="AW9" i="52"/>
  <c r="AX9" i="52"/>
  <c r="AY9" i="52"/>
  <c r="AZ9" i="52"/>
  <c r="BA9" i="52"/>
  <c r="BB9" i="52"/>
  <c r="BC9" i="52"/>
  <c r="BD9" i="52"/>
  <c r="BE9" i="52"/>
  <c r="BF9" i="52"/>
  <c r="BG9" i="52"/>
  <c r="BH9" i="52"/>
  <c r="BI9" i="52"/>
  <c r="BJ9" i="52"/>
  <c r="BK9" i="52"/>
  <c r="BL9" i="52"/>
  <c r="BM9" i="52"/>
  <c r="BN9" i="52"/>
  <c r="BO9" i="52"/>
  <c r="BP9" i="52"/>
  <c r="BQ9" i="52"/>
  <c r="BR9" i="52"/>
  <c r="BS9" i="52"/>
  <c r="BT9" i="52"/>
  <c r="BU9" i="52"/>
  <c r="BV9" i="52"/>
  <c r="BW9" i="52"/>
  <c r="BX9" i="52"/>
  <c r="BY9" i="52"/>
  <c r="BZ9" i="52"/>
  <c r="CA9" i="52"/>
  <c r="CB9" i="52"/>
  <c r="CC9" i="52"/>
  <c r="CD9" i="52"/>
  <c r="CE9" i="52"/>
  <c r="CF9" i="52"/>
  <c r="CG9" i="52"/>
  <c r="CH9" i="52"/>
  <c r="CI9" i="52"/>
  <c r="CJ9" i="52"/>
  <c r="CK9" i="52"/>
  <c r="CL9" i="52"/>
  <c r="CM9" i="52"/>
  <c r="CN9" i="52"/>
  <c r="CO9" i="52"/>
  <c r="CP9" i="52"/>
  <c r="CQ9" i="52"/>
  <c r="CR9" i="52"/>
  <c r="CS9" i="52"/>
  <c r="CT9" i="52"/>
  <c r="CU9" i="52"/>
  <c r="CV9" i="52"/>
  <c r="CW9" i="52"/>
  <c r="CX9" i="52"/>
  <c r="CY9" i="52"/>
  <c r="CZ9" i="52"/>
  <c r="DA9" i="52"/>
  <c r="DB9" i="52"/>
  <c r="DC9" i="52"/>
  <c r="DD9" i="52"/>
  <c r="DE9" i="52"/>
  <c r="DF9" i="52"/>
  <c r="DG9" i="52"/>
  <c r="DH9" i="52"/>
  <c r="DI9" i="52"/>
  <c r="DJ9" i="52"/>
  <c r="DK9" i="52"/>
  <c r="DL9" i="52"/>
  <c r="DM9" i="52"/>
  <c r="DN9" i="52"/>
  <c r="DO9" i="52"/>
  <c r="DP9" i="52"/>
  <c r="DQ9" i="52"/>
  <c r="DR9" i="52"/>
  <c r="DS9" i="52"/>
  <c r="DT9" i="52"/>
  <c r="DU9" i="52"/>
  <c r="DV9" i="52"/>
  <c r="DW9" i="52"/>
  <c r="DX9" i="52"/>
  <c r="DY9" i="52"/>
  <c r="DZ9" i="52"/>
  <c r="EA9" i="52"/>
  <c r="EB9" i="52"/>
  <c r="EC9" i="52"/>
  <c r="ED9" i="52"/>
  <c r="EE9" i="52"/>
  <c r="EF9" i="52"/>
  <c r="EG9" i="52"/>
  <c r="EH9" i="52"/>
  <c r="EI9" i="52"/>
  <c r="EJ9" i="52"/>
  <c r="EK9" i="52"/>
  <c r="EL9" i="52"/>
  <c r="EM9" i="52"/>
  <c r="EN9" i="52"/>
  <c r="EO9" i="52"/>
  <c r="EP9" i="52"/>
  <c r="EQ9" i="52"/>
  <c r="ER9" i="52"/>
  <c r="ES9" i="52"/>
  <c r="ET9" i="52"/>
  <c r="EU9" i="52"/>
  <c r="EV9" i="52"/>
  <c r="EW9" i="52"/>
  <c r="EX9" i="52"/>
  <c r="EY9" i="52"/>
  <c r="EZ9" i="52"/>
  <c r="FA9" i="52"/>
  <c r="FB9" i="52"/>
  <c r="FC9" i="52"/>
  <c r="FD9" i="52"/>
  <c r="FE9" i="52"/>
  <c r="FF9" i="52"/>
  <c r="FG9" i="52"/>
  <c r="FH9" i="52"/>
  <c r="FI9" i="52"/>
  <c r="FJ9" i="52"/>
  <c r="FK9" i="52"/>
  <c r="FL9" i="52"/>
  <c r="FM9" i="52"/>
  <c r="FN9" i="52"/>
  <c r="FO9" i="52"/>
  <c r="FP9" i="52"/>
  <c r="FQ9" i="52"/>
  <c r="FR9" i="52"/>
  <c r="FS9" i="52"/>
  <c r="FT9" i="52"/>
  <c r="FU9" i="52"/>
  <c r="FV9" i="52"/>
  <c r="FW9" i="52"/>
  <c r="FX9" i="52"/>
  <c r="FY9" i="52"/>
  <c r="FZ9" i="52"/>
  <c r="GA9" i="52"/>
  <c r="GB9" i="52"/>
  <c r="GC9" i="52"/>
  <c r="GD9" i="52"/>
  <c r="GE9" i="52"/>
  <c r="GF9" i="52"/>
  <c r="GG9" i="52"/>
  <c r="GH9" i="52"/>
  <c r="GI9" i="52"/>
  <c r="GJ9" i="52"/>
  <c r="GK9" i="52"/>
  <c r="GL9" i="52"/>
  <c r="GM9" i="52"/>
  <c r="GN9" i="52"/>
  <c r="GO9" i="52"/>
  <c r="GP9" i="52"/>
  <c r="GQ9" i="52"/>
  <c r="GR9" i="52"/>
  <c r="GS9" i="52"/>
  <c r="GT9" i="52"/>
  <c r="GU9" i="52"/>
  <c r="GV9" i="52"/>
  <c r="GW9" i="52"/>
  <c r="GX9" i="52"/>
  <c r="GY9" i="52"/>
  <c r="GZ9" i="52"/>
  <c r="HA9" i="52"/>
  <c r="HB9" i="52"/>
  <c r="HC9" i="52"/>
  <c r="HD9" i="52"/>
  <c r="HE9" i="52"/>
  <c r="HF9" i="52"/>
  <c r="HG9" i="52"/>
  <c r="HH9" i="52"/>
  <c r="HI9" i="52"/>
  <c r="B23" i="52"/>
  <c r="B24" i="52"/>
  <c r="B25" i="52"/>
  <c r="AN130" i="44"/>
  <c r="AN129" i="44"/>
  <c r="AN128" i="44"/>
  <c r="AN127" i="44"/>
  <c r="AN126" i="44"/>
  <c r="AN125" i="44"/>
  <c r="AN124" i="44"/>
  <c r="AN123" i="44"/>
  <c r="AN122" i="44"/>
  <c r="AN121" i="44"/>
  <c r="AN120" i="44"/>
  <c r="AN119" i="44"/>
  <c r="AN118" i="44"/>
  <c r="AN117" i="44"/>
  <c r="AN116" i="44"/>
  <c r="AN115" i="44"/>
  <c r="AN114" i="44"/>
  <c r="AN113" i="44"/>
  <c r="AN112" i="44"/>
  <c r="AN111" i="44"/>
  <c r="AN110" i="44"/>
  <c r="AN109" i="44"/>
  <c r="AN108" i="44"/>
  <c r="AN107" i="44"/>
  <c r="AB27" i="44"/>
  <c r="AN94" i="44"/>
  <c r="AN53" i="44"/>
  <c r="AN96" i="44"/>
  <c r="AN37" i="44"/>
  <c r="AO37" i="44"/>
  <c r="AP37" i="44"/>
  <c r="AN65" i="44"/>
  <c r="AN68" i="44"/>
  <c r="AN47" i="44"/>
  <c r="AN49" i="44"/>
  <c r="AN45" i="44"/>
  <c r="AN31" i="44"/>
  <c r="AN33" i="44"/>
  <c r="AO33" i="44"/>
  <c r="AP33" i="44"/>
  <c r="AN56" i="44"/>
  <c r="AO56" i="44"/>
  <c r="AP56" i="44"/>
  <c r="AN58" i="44"/>
  <c r="AN51" i="44"/>
  <c r="AN62" i="44"/>
  <c r="AN35" i="44"/>
  <c r="AQ35" i="44"/>
  <c r="AN55" i="44"/>
  <c r="AN39" i="44"/>
  <c r="AN41" i="44"/>
  <c r="AN43" i="44"/>
  <c r="C7" i="44"/>
  <c r="C8" i="44"/>
  <c r="C9" i="44"/>
  <c r="C10" i="44"/>
  <c r="C11" i="44"/>
  <c r="C12" i="44"/>
  <c r="C13" i="44"/>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C48" i="44"/>
  <c r="C49" i="44"/>
  <c r="C50" i="44"/>
  <c r="C51" i="44"/>
  <c r="C52" i="44"/>
  <c r="C53" i="44"/>
  <c r="C54" i="44"/>
  <c r="C55" i="44"/>
  <c r="AF70" i="58"/>
  <c r="A49" i="52"/>
  <c r="G14" i="59"/>
  <c r="O14" i="59"/>
  <c r="D21" i="59"/>
  <c r="D33" i="59"/>
  <c r="D46" i="59"/>
  <c r="L10" i="59"/>
  <c r="L22" i="59"/>
  <c r="L34" i="59"/>
  <c r="L47" i="59"/>
  <c r="R47" i="59"/>
  <c r="R59" i="59"/>
  <c r="H14" i="59"/>
  <c r="P14" i="59"/>
  <c r="L6" i="59"/>
  <c r="L18" i="59"/>
  <c r="L30" i="59"/>
  <c r="L43" i="59"/>
  <c r="R43" i="59"/>
  <c r="C8" i="59"/>
  <c r="C20" i="59"/>
  <c r="C32" i="59"/>
  <c r="C45" i="59"/>
  <c r="C17" i="59"/>
  <c r="C29" i="59"/>
  <c r="C42" i="59"/>
  <c r="A3" i="39"/>
  <c r="A4" i="39"/>
  <c r="A5" i="39"/>
  <c r="A6" i="39"/>
  <c r="A7" i="39"/>
  <c r="R56" i="59"/>
  <c r="A23" i="52"/>
  <c r="B18" i="52"/>
  <c r="B19" i="52"/>
  <c r="B30" i="52"/>
  <c r="B31" i="52"/>
  <c r="A50" i="52"/>
  <c r="AN74" i="44"/>
  <c r="AN73" i="44"/>
  <c r="AO73" i="44"/>
  <c r="AP73" i="44"/>
  <c r="AN70" i="44"/>
  <c r="AO70" i="44"/>
  <c r="AP70" i="44"/>
  <c r="AN64" i="44"/>
  <c r="AO64" i="44"/>
  <c r="AP64" i="44"/>
  <c r="AN71" i="44"/>
  <c r="AN81" i="44"/>
  <c r="AO81" i="44"/>
  <c r="AP81" i="44"/>
  <c r="AN93" i="44"/>
  <c r="AN78" i="44"/>
  <c r="AN84" i="44"/>
  <c r="AN87" i="44"/>
  <c r="AN90" i="44"/>
  <c r="AN103" i="44"/>
  <c r="AQ103" i="44"/>
  <c r="AR103" i="44"/>
  <c r="AN105" i="44"/>
  <c r="AN75" i="44"/>
  <c r="AQ75" i="44"/>
  <c r="AR75" i="44"/>
  <c r="AN79" i="44"/>
  <c r="AN69" i="44"/>
  <c r="AN66" i="44"/>
  <c r="AQ66" i="44"/>
  <c r="AR66" i="44"/>
  <c r="AN63" i="44"/>
  <c r="AQ63" i="44"/>
  <c r="AR63" i="44"/>
  <c r="AN76" i="44"/>
  <c r="AO76" i="44"/>
  <c r="AP76" i="44"/>
  <c r="AN100" i="44"/>
  <c r="AN42" i="44"/>
  <c r="AN38" i="44"/>
  <c r="AO38" i="44"/>
  <c r="AP38" i="44"/>
  <c r="AQ38" i="44"/>
  <c r="AR38" i="44"/>
  <c r="AN57" i="44"/>
  <c r="AN91" i="44"/>
  <c r="AN54" i="44"/>
  <c r="AO54" i="44"/>
  <c r="AP54" i="44"/>
  <c r="AN104" i="44"/>
  <c r="AQ104" i="44"/>
  <c r="AR104" i="44"/>
  <c r="AN50" i="44"/>
  <c r="AQ50" i="44"/>
  <c r="AR50" i="44"/>
  <c r="AQ82" i="44"/>
  <c r="AR82" i="44"/>
  <c r="AN83" i="44"/>
  <c r="AN72" i="44"/>
  <c r="AO72" i="44"/>
  <c r="AP72" i="44"/>
  <c r="AN98" i="44"/>
  <c r="AN102" i="44"/>
  <c r="AO102" i="44"/>
  <c r="AP102" i="44"/>
  <c r="AN106" i="44"/>
  <c r="AO58" i="44"/>
  <c r="AP58" i="44"/>
  <c r="AQ119" i="44"/>
  <c r="AR119" i="44"/>
  <c r="AQ32" i="44"/>
  <c r="AR32" i="44"/>
  <c r="AN60" i="44"/>
  <c r="AQ60" i="44"/>
  <c r="AR60" i="44"/>
  <c r="AO31" i="44"/>
  <c r="AP31" i="44"/>
  <c r="AO35" i="44"/>
  <c r="AP35" i="44"/>
  <c r="AO39" i="44"/>
  <c r="AP39" i="44"/>
  <c r="AO41" i="44"/>
  <c r="AP41" i="44"/>
  <c r="AO43" i="44"/>
  <c r="AP43" i="44"/>
  <c r="AO45" i="44"/>
  <c r="AP45" i="44"/>
  <c r="AO47" i="44"/>
  <c r="AP47" i="44"/>
  <c r="AO49" i="44"/>
  <c r="AP49" i="44"/>
  <c r="AO51" i="44"/>
  <c r="AP51" i="44"/>
  <c r="AO53" i="44"/>
  <c r="AP53" i="44"/>
  <c r="AO55" i="44"/>
  <c r="AP55" i="44"/>
  <c r="AO57" i="44"/>
  <c r="AP57" i="44"/>
  <c r="AO59" i="44"/>
  <c r="AP59" i="44"/>
  <c r="AO69" i="44"/>
  <c r="AP69" i="44"/>
  <c r="AO88" i="44"/>
  <c r="AP88" i="44"/>
  <c r="AO93" i="44"/>
  <c r="AP93" i="44"/>
  <c r="AQ91" i="44"/>
  <c r="AR91" i="44"/>
  <c r="AQ107" i="44"/>
  <c r="AR107" i="44"/>
  <c r="AQ115" i="44"/>
  <c r="AR115" i="44"/>
  <c r="AQ123" i="44"/>
  <c r="AR123" i="44"/>
  <c r="AO65" i="44"/>
  <c r="AP65" i="44"/>
  <c r="AQ71" i="44"/>
  <c r="AR71" i="44"/>
  <c r="AQ111" i="44"/>
  <c r="AR111" i="44"/>
  <c r="AQ127" i="44"/>
  <c r="AR127" i="44"/>
  <c r="AN85" i="44"/>
  <c r="AO85" i="44"/>
  <c r="AP85" i="44"/>
  <c r="AO62" i="44"/>
  <c r="AP62" i="44"/>
  <c r="AO75" i="44"/>
  <c r="AP75" i="44"/>
  <c r="AO78" i="44"/>
  <c r="AP78" i="44"/>
  <c r="AO91" i="44"/>
  <c r="AP91" i="44"/>
  <c r="AO94" i="44"/>
  <c r="AP94" i="44"/>
  <c r="AO105" i="44"/>
  <c r="AP105" i="44"/>
  <c r="AO109" i="44"/>
  <c r="AP109" i="44"/>
  <c r="AO113" i="44"/>
  <c r="AP113" i="44"/>
  <c r="AO117" i="44"/>
  <c r="AP117" i="44"/>
  <c r="AO121" i="44"/>
  <c r="AP121" i="44"/>
  <c r="AO125" i="44"/>
  <c r="AP125" i="44"/>
  <c r="AO129" i="44"/>
  <c r="AP129" i="44"/>
  <c r="AQ33" i="44"/>
  <c r="AR33" i="44"/>
  <c r="AQ37" i="44"/>
  <c r="AR37" i="44"/>
  <c r="AQ41" i="44"/>
  <c r="AR41" i="44"/>
  <c r="AQ45" i="44"/>
  <c r="AR45" i="44"/>
  <c r="AQ49" i="44"/>
  <c r="AR49" i="44"/>
  <c r="AQ53" i="44"/>
  <c r="AR53" i="44"/>
  <c r="AQ57" i="44"/>
  <c r="AR57" i="44"/>
  <c r="AQ65" i="44"/>
  <c r="AR65" i="44"/>
  <c r="AQ69" i="44"/>
  <c r="AR69" i="44"/>
  <c r="AQ93" i="44"/>
  <c r="AR93" i="44"/>
  <c r="AQ109" i="44"/>
  <c r="AR109" i="44"/>
  <c r="AQ117" i="44"/>
  <c r="AR117" i="44"/>
  <c r="AQ130" i="44"/>
  <c r="AR130" i="44"/>
  <c r="AQ128" i="44"/>
  <c r="AR128" i="44"/>
  <c r="AQ126" i="44"/>
  <c r="AR126" i="44"/>
  <c r="AQ124" i="44"/>
  <c r="AR124" i="44"/>
  <c r="AQ122" i="44"/>
  <c r="AR122" i="44"/>
  <c r="AQ120" i="44"/>
  <c r="AR120" i="44"/>
  <c r="AQ118" i="44"/>
  <c r="AR118" i="44"/>
  <c r="AQ116" i="44"/>
  <c r="AR116" i="44"/>
  <c r="AQ114" i="44"/>
  <c r="AR114" i="44"/>
  <c r="AQ112" i="44"/>
  <c r="AR112" i="44"/>
  <c r="AQ110" i="44"/>
  <c r="AR110" i="44"/>
  <c r="AQ108" i="44"/>
  <c r="AR108" i="44"/>
  <c r="AQ106" i="44"/>
  <c r="AR106" i="44"/>
  <c r="AQ102" i="44"/>
  <c r="AR102" i="44"/>
  <c r="AQ100" i="44"/>
  <c r="AR100" i="44"/>
  <c r="AQ98" i="44"/>
  <c r="AR98" i="44"/>
  <c r="AQ96" i="44"/>
  <c r="AR96" i="44"/>
  <c r="AQ94" i="44"/>
  <c r="AR94" i="44"/>
  <c r="AQ90" i="44"/>
  <c r="AR90" i="44"/>
  <c r="AQ88" i="44"/>
  <c r="AR88" i="44"/>
  <c r="AQ84" i="44"/>
  <c r="AR84" i="44"/>
  <c r="AQ78" i="44"/>
  <c r="AR78" i="44"/>
  <c r="AQ76" i="44"/>
  <c r="AR76" i="44"/>
  <c r="AQ74" i="44"/>
  <c r="AR74" i="44"/>
  <c r="AQ72" i="44"/>
  <c r="AR72" i="44"/>
  <c r="AQ68" i="44"/>
  <c r="AR68" i="44"/>
  <c r="AQ64" i="44"/>
  <c r="AR64" i="44"/>
  <c r="AQ62" i="44"/>
  <c r="AR62" i="44"/>
  <c r="AQ58" i="44"/>
  <c r="AR58" i="44"/>
  <c r="AQ56" i="44"/>
  <c r="AR56" i="44"/>
  <c r="AQ54" i="44"/>
  <c r="AR54" i="44"/>
  <c r="AO130" i="44"/>
  <c r="AP130" i="44"/>
  <c r="AO128" i="44"/>
  <c r="AP128" i="44"/>
  <c r="AO126" i="44"/>
  <c r="AP126" i="44"/>
  <c r="AO124" i="44"/>
  <c r="AP124" i="44"/>
  <c r="AO122" i="44"/>
  <c r="AP122" i="44"/>
  <c r="AO120" i="44"/>
  <c r="AP120" i="44"/>
  <c r="AO118" i="44"/>
  <c r="AP118" i="44"/>
  <c r="AO116" i="44"/>
  <c r="AP116" i="44"/>
  <c r="AO114" i="44"/>
  <c r="AP114" i="44"/>
  <c r="AO112" i="44"/>
  <c r="AP112" i="44"/>
  <c r="AO110" i="44"/>
  <c r="AP110" i="44"/>
  <c r="AO108" i="44"/>
  <c r="AP108" i="44"/>
  <c r="AO106" i="44"/>
  <c r="AP106" i="44"/>
  <c r="AO104" i="44"/>
  <c r="AP104" i="44"/>
  <c r="AO100" i="44"/>
  <c r="AP100" i="44"/>
  <c r="AO98" i="44"/>
  <c r="AP98" i="44"/>
  <c r="AO96" i="44"/>
  <c r="AP96" i="44"/>
  <c r="AO68" i="44"/>
  <c r="AP68" i="44"/>
  <c r="AO84" i="44"/>
  <c r="AP84" i="44"/>
  <c r="AQ87" i="44"/>
  <c r="AR87" i="44"/>
  <c r="AO71" i="44"/>
  <c r="AP71" i="44"/>
  <c r="AO74" i="44"/>
  <c r="AP74" i="44"/>
  <c r="AO87" i="44"/>
  <c r="AP87" i="44"/>
  <c r="AO90" i="44"/>
  <c r="AP90" i="44"/>
  <c r="AO103" i="44"/>
  <c r="AP103" i="44"/>
  <c r="AO107" i="44"/>
  <c r="AP107" i="44"/>
  <c r="AO111" i="44"/>
  <c r="AP111" i="44"/>
  <c r="AO115" i="44"/>
  <c r="AP115" i="44"/>
  <c r="AO119" i="44"/>
  <c r="AP119" i="44"/>
  <c r="AO123" i="44"/>
  <c r="AP123" i="44"/>
  <c r="AO127" i="44"/>
  <c r="AP127" i="44"/>
  <c r="AQ31" i="44"/>
  <c r="AR25" i="44"/>
  <c r="AR35" i="44"/>
  <c r="AQ39" i="44"/>
  <c r="AR39" i="44"/>
  <c r="AQ43" i="44"/>
  <c r="AR43" i="44"/>
  <c r="AQ47" i="44"/>
  <c r="AR47" i="44"/>
  <c r="AQ51" i="44"/>
  <c r="AR51" i="44"/>
  <c r="AQ55" i="44"/>
  <c r="AR55" i="44"/>
  <c r="AQ59" i="44"/>
  <c r="AR59" i="44"/>
  <c r="AQ73" i="44"/>
  <c r="AR73" i="44"/>
  <c r="AQ81" i="44"/>
  <c r="AR81" i="44"/>
  <c r="AQ105" i="44"/>
  <c r="AR105" i="44"/>
  <c r="AQ113" i="44"/>
  <c r="AR113" i="44"/>
  <c r="AQ121" i="44"/>
  <c r="AR121" i="44"/>
  <c r="AQ129" i="44"/>
  <c r="AR129" i="44"/>
  <c r="B56" i="52"/>
  <c r="B57" i="52"/>
  <c r="A57" i="52"/>
  <c r="C25" i="52"/>
  <c r="A25" i="52"/>
  <c r="A58" i="52"/>
  <c r="C31" i="52"/>
  <c r="A31" i="52"/>
  <c r="A30" i="52"/>
  <c r="A51" i="52"/>
  <c r="C48" i="52"/>
  <c r="B27" i="52"/>
  <c r="A27" i="52"/>
  <c r="D36" i="58"/>
  <c r="L83" i="57"/>
  <c r="P115" i="57"/>
  <c r="N120" i="57"/>
  <c r="P102" i="57"/>
  <c r="L112" i="57"/>
  <c r="N114" i="57"/>
  <c r="J117" i="57"/>
  <c r="N79" i="57"/>
  <c r="L80" i="57"/>
  <c r="N83" i="57"/>
  <c r="J85" i="57"/>
  <c r="N104" i="57"/>
  <c r="J79" i="57"/>
  <c r="N101" i="57"/>
  <c r="P104" i="57"/>
  <c r="L81" i="57"/>
  <c r="Q120" i="57"/>
  <c r="P120" i="57"/>
  <c r="P114" i="57"/>
  <c r="N80" i="57"/>
  <c r="O80" i="57"/>
  <c r="Q80" i="57"/>
  <c r="P80" i="57"/>
  <c r="N115" i="57"/>
  <c r="N82" i="57"/>
  <c r="O82" i="57"/>
  <c r="Q82" i="57"/>
  <c r="P82" i="57"/>
  <c r="J101" i="57"/>
  <c r="K101" i="57"/>
  <c r="D92" i="40"/>
  <c r="E92" i="40"/>
  <c r="F30" i="66"/>
  <c r="F30" i="71"/>
  <c r="C87" i="40"/>
  <c r="A21" i="52"/>
  <c r="AO32" i="44"/>
  <c r="AP32" i="44"/>
  <c r="AO50" i="44"/>
  <c r="AP50" i="44"/>
  <c r="AO66" i="44"/>
  <c r="AP66" i="44"/>
  <c r="AO82" i="44"/>
  <c r="AP82" i="44"/>
  <c r="F30" i="68"/>
  <c r="F30" i="67"/>
  <c r="AR31" i="44"/>
  <c r="AQ85" i="44"/>
  <c r="AR85" i="44"/>
  <c r="A56" i="52"/>
  <c r="B28" i="52"/>
  <c r="F92" i="40"/>
  <c r="G92" i="40"/>
  <c r="H92" i="40"/>
  <c r="I92" i="40"/>
  <c r="J92" i="40"/>
  <c r="K92" i="40"/>
  <c r="L92" i="40"/>
  <c r="M92" i="40"/>
  <c r="N92" i="40"/>
  <c r="O92" i="40"/>
  <c r="P92" i="40"/>
  <c r="Q92" i="40"/>
  <c r="R92" i="40"/>
  <c r="S92" i="40"/>
  <c r="T92" i="40"/>
  <c r="U92" i="40"/>
  <c r="V92" i="40"/>
  <c r="W92" i="40"/>
  <c r="X92" i="40"/>
  <c r="Y92" i="40"/>
  <c r="Z92" i="40"/>
  <c r="AA92" i="40"/>
  <c r="AB92" i="40"/>
  <c r="AC92" i="40"/>
  <c r="AD92" i="40"/>
  <c r="AE92" i="40"/>
  <c r="AF92" i="40"/>
  <c r="AG92" i="40"/>
  <c r="AH92" i="40"/>
  <c r="AI92" i="40"/>
  <c r="AJ92" i="40"/>
  <c r="AK92" i="40"/>
  <c r="AL92" i="40"/>
  <c r="AM92" i="40"/>
  <c r="AN92" i="40"/>
  <c r="AO92" i="40"/>
  <c r="AP92" i="40"/>
  <c r="AQ92" i="40"/>
  <c r="AR92" i="40"/>
  <c r="AS92" i="40"/>
  <c r="AT92" i="40"/>
  <c r="AU92" i="40"/>
  <c r="AV92" i="40"/>
  <c r="AW92" i="40"/>
  <c r="AX92" i="40"/>
  <c r="AY92" i="40"/>
  <c r="AZ92" i="40"/>
  <c r="BA92" i="40"/>
  <c r="BB92" i="40"/>
  <c r="BC92" i="40"/>
  <c r="BD92" i="40"/>
  <c r="BE92" i="40"/>
  <c r="BF92" i="40"/>
  <c r="BG92" i="40"/>
  <c r="BH92" i="40"/>
  <c r="BI92" i="40"/>
  <c r="BJ92" i="40"/>
  <c r="BK92" i="40"/>
  <c r="BL92" i="40"/>
  <c r="BM92" i="40"/>
  <c r="BN92" i="40"/>
  <c r="BO92" i="40"/>
  <c r="BP92" i="40"/>
  <c r="BQ92" i="40"/>
  <c r="BR92" i="40"/>
  <c r="BS92" i="40"/>
  <c r="BT92" i="40"/>
  <c r="BU92" i="40"/>
  <c r="BV92" i="40"/>
  <c r="BW92" i="40"/>
  <c r="BX92" i="40"/>
  <c r="BY92" i="40"/>
  <c r="BZ92" i="40"/>
  <c r="CA92" i="40"/>
  <c r="CB92" i="40"/>
  <c r="CC92" i="40"/>
  <c r="CD92" i="40"/>
  <c r="CE92" i="40"/>
  <c r="CF92" i="40"/>
  <c r="CG92" i="40"/>
  <c r="CH92" i="40"/>
  <c r="CI92" i="40"/>
  <c r="CJ92" i="40"/>
  <c r="CK92" i="40"/>
  <c r="CL92" i="40"/>
  <c r="CM92" i="40"/>
  <c r="CN92" i="40"/>
  <c r="CO92" i="40"/>
  <c r="CP92" i="40"/>
  <c r="CQ92" i="40"/>
  <c r="CR92" i="40"/>
  <c r="CS92" i="40"/>
  <c r="CT92" i="40"/>
  <c r="CU92" i="40"/>
  <c r="CV92" i="40"/>
  <c r="CW92" i="40"/>
  <c r="CX92" i="40"/>
  <c r="CY92" i="40"/>
  <c r="CZ92" i="40"/>
  <c r="DA92" i="40"/>
  <c r="DB92" i="40"/>
  <c r="DC92" i="40"/>
  <c r="DD92" i="40"/>
  <c r="DE92" i="40"/>
  <c r="DF92" i="40"/>
  <c r="DG92" i="40"/>
  <c r="DH92" i="40"/>
  <c r="DI92" i="40"/>
  <c r="DJ92" i="40"/>
  <c r="DK92" i="40"/>
  <c r="DL92" i="40"/>
  <c r="DM92" i="40"/>
  <c r="DN92" i="40"/>
  <c r="DO92" i="40"/>
  <c r="DP92" i="40"/>
  <c r="DQ92" i="40"/>
  <c r="DR92" i="40"/>
  <c r="DS92" i="40"/>
  <c r="DT92" i="40"/>
  <c r="DU92" i="40"/>
  <c r="DV92" i="40"/>
  <c r="DW92" i="40"/>
  <c r="DX92" i="40"/>
  <c r="DY92" i="40"/>
  <c r="DZ92" i="40"/>
  <c r="EA92" i="40"/>
  <c r="EB92" i="40"/>
  <c r="EC92" i="40"/>
  <c r="ED92" i="40"/>
  <c r="EE92" i="40"/>
  <c r="EF92" i="40"/>
  <c r="EG92" i="40"/>
  <c r="EH92" i="40"/>
  <c r="EI92" i="40"/>
  <c r="EJ92" i="40"/>
  <c r="EK92" i="40"/>
  <c r="EL92" i="40"/>
  <c r="EM92" i="40"/>
  <c r="EN92" i="40"/>
  <c r="EO92" i="40"/>
  <c r="EP92" i="40"/>
  <c r="EQ92" i="40"/>
  <c r="ER92" i="40"/>
  <c r="ES92" i="40"/>
  <c r="ET92" i="40"/>
  <c r="EU92" i="40"/>
  <c r="EV92" i="40"/>
  <c r="EW92" i="40"/>
  <c r="EX92" i="40"/>
  <c r="EY92" i="40"/>
  <c r="EZ92" i="40"/>
  <c r="FA92" i="40"/>
  <c r="FB92" i="40"/>
  <c r="FC92" i="40"/>
  <c r="FD92" i="40"/>
  <c r="FE92" i="40"/>
  <c r="FF92" i="40"/>
  <c r="FG92" i="40"/>
  <c r="FH92" i="40"/>
  <c r="FI92" i="40"/>
  <c r="FJ92" i="40"/>
  <c r="FK92" i="40"/>
  <c r="FL92" i="40"/>
  <c r="FM92" i="40"/>
  <c r="FN92" i="40"/>
  <c r="FO92" i="40"/>
  <c r="FP92" i="40"/>
  <c r="FQ92" i="40"/>
  <c r="FR92" i="40"/>
  <c r="FS92" i="40"/>
  <c r="FT92" i="40"/>
  <c r="FU92" i="40"/>
  <c r="FV92" i="40"/>
  <c r="FW92" i="40"/>
  <c r="FX92" i="40"/>
  <c r="FY92" i="40"/>
  <c r="FZ92" i="40"/>
  <c r="GA92" i="40"/>
  <c r="GB92" i="40"/>
  <c r="GC92" i="40"/>
  <c r="GD92" i="40"/>
  <c r="GE92" i="40"/>
  <c r="GF92" i="40"/>
  <c r="GG92" i="40"/>
  <c r="GH92" i="40"/>
  <c r="GI92" i="40"/>
  <c r="GJ92" i="40"/>
  <c r="GK92" i="40"/>
  <c r="GL92" i="40"/>
  <c r="GM92" i="40"/>
  <c r="GN92" i="40"/>
  <c r="GO92" i="40"/>
  <c r="GP92" i="40"/>
  <c r="GQ92" i="40"/>
  <c r="GR92" i="40"/>
  <c r="GS92" i="40"/>
  <c r="GT92" i="40"/>
  <c r="GU92" i="40"/>
  <c r="GV92" i="40"/>
  <c r="GW92" i="40"/>
  <c r="GX92" i="40"/>
  <c r="GY92" i="40"/>
  <c r="GZ92" i="40"/>
  <c r="HA92" i="40"/>
  <c r="HB92" i="40"/>
  <c r="HC92" i="40"/>
  <c r="HD92" i="40"/>
  <c r="HE92" i="40"/>
  <c r="HF92" i="40"/>
  <c r="HG92" i="40"/>
  <c r="HH92" i="40"/>
  <c r="HI92" i="40"/>
  <c r="HJ92" i="40"/>
  <c r="HK92" i="40"/>
  <c r="HL92" i="40"/>
  <c r="HM92" i="40"/>
  <c r="HN92" i="40"/>
  <c r="HO92" i="40"/>
  <c r="HP92" i="40"/>
  <c r="HQ92" i="40"/>
  <c r="HR92" i="40"/>
  <c r="HS92" i="40"/>
  <c r="HT92" i="40"/>
  <c r="HU92" i="40"/>
  <c r="HV92" i="40"/>
  <c r="HW92" i="40"/>
  <c r="HX92" i="40"/>
  <c r="HY92" i="40"/>
  <c r="HZ92" i="40"/>
  <c r="IA92" i="40"/>
  <c r="IB92" i="40"/>
  <c r="IC92" i="40"/>
  <c r="ID92" i="40"/>
  <c r="IE92" i="40"/>
  <c r="C88" i="40"/>
  <c r="C89" i="40"/>
  <c r="A87" i="40"/>
  <c r="F42" i="71"/>
  <c r="F38" i="71"/>
  <c r="F44" i="71"/>
  <c r="F46" i="71"/>
  <c r="F48" i="71"/>
  <c r="F40" i="71"/>
  <c r="F34" i="71"/>
  <c r="F36" i="71"/>
  <c r="I36" i="71"/>
  <c r="I34" i="71"/>
  <c r="I44" i="71"/>
  <c r="I38" i="71"/>
  <c r="I46" i="71"/>
  <c r="I48" i="71"/>
  <c r="I40" i="71"/>
  <c r="I42" i="71"/>
  <c r="G38" i="71"/>
  <c r="G44" i="71"/>
  <c r="G36" i="71"/>
  <c r="G48" i="71"/>
  <c r="G40" i="71"/>
  <c r="G42" i="71"/>
  <c r="G34" i="71"/>
  <c r="G46" i="71"/>
  <c r="O40" i="71"/>
  <c r="O36" i="71"/>
  <c r="O38" i="71"/>
  <c r="O42" i="71"/>
  <c r="O34" i="71"/>
  <c r="O46" i="71"/>
  <c r="O44" i="71"/>
  <c r="O48" i="71"/>
  <c r="N46" i="71"/>
  <c r="N44" i="71"/>
  <c r="N48" i="71"/>
  <c r="N40" i="71"/>
  <c r="N36" i="71"/>
  <c r="N38" i="71"/>
  <c r="N42" i="71"/>
  <c r="N34" i="71"/>
  <c r="I111" i="57"/>
  <c r="O111" i="57"/>
  <c r="K111" i="57"/>
  <c r="M111" i="57"/>
  <c r="S111" i="57"/>
  <c r="Q111" i="57"/>
  <c r="N48" i="67"/>
  <c r="M48" i="67"/>
  <c r="H48" i="67"/>
  <c r="M48" i="68"/>
  <c r="H48" i="68"/>
  <c r="N48" i="68"/>
  <c r="L52" i="69"/>
  <c r="M52" i="69"/>
  <c r="K52" i="69"/>
  <c r="H52" i="69"/>
  <c r="F52" i="69"/>
  <c r="I52" i="69"/>
  <c r="G52" i="69"/>
  <c r="J52" i="68"/>
  <c r="O52" i="69"/>
  <c r="N52" i="69"/>
  <c r="M50" i="68"/>
  <c r="O52" i="68"/>
  <c r="K52" i="67"/>
  <c r="G52" i="66"/>
  <c r="F50" i="67"/>
  <c r="H52" i="68"/>
  <c r="K50" i="67"/>
  <c r="K50" i="68"/>
  <c r="N50" i="68"/>
  <c r="F50" i="68"/>
  <c r="H50" i="67"/>
  <c r="O52" i="67"/>
  <c r="L52" i="66"/>
  <c r="L50" i="68"/>
  <c r="L50" i="67"/>
  <c r="H52" i="66"/>
  <c r="G52" i="67"/>
  <c r="G52" i="68"/>
  <c r="I52" i="67"/>
  <c r="L52" i="67"/>
  <c r="N52" i="68"/>
  <c r="I50" i="67"/>
  <c r="L52" i="68"/>
  <c r="G50" i="67"/>
  <c r="F52" i="67"/>
  <c r="M52" i="66"/>
  <c r="G50" i="68"/>
  <c r="F52" i="66"/>
  <c r="H52" i="67"/>
  <c r="H50" i="68"/>
  <c r="O50" i="67"/>
  <c r="N50" i="67"/>
  <c r="J52" i="67"/>
  <c r="N52" i="67"/>
  <c r="M52" i="67"/>
  <c r="F52" i="68"/>
  <c r="K52" i="68"/>
  <c r="O50" i="68"/>
  <c r="K52" i="66"/>
  <c r="I50" i="68"/>
  <c r="I52" i="66"/>
  <c r="O52" i="66"/>
  <c r="M50" i="67"/>
  <c r="I52" i="68"/>
  <c r="M52" i="68"/>
  <c r="N52" i="66"/>
  <c r="J52" i="69"/>
  <c r="H50" i="66"/>
  <c r="I50" i="66"/>
  <c r="K50" i="66"/>
  <c r="J50" i="69"/>
  <c r="L50" i="66"/>
  <c r="F50" i="69"/>
  <c r="O50" i="66"/>
  <c r="F50" i="66"/>
  <c r="G50" i="66"/>
  <c r="I50" i="69"/>
  <c r="O50" i="69"/>
  <c r="M50" i="69"/>
  <c r="G50" i="69"/>
  <c r="N50" i="66"/>
  <c r="K50" i="69"/>
  <c r="L50" i="69"/>
  <c r="N50" i="69"/>
  <c r="H50" i="69"/>
  <c r="M50" i="66"/>
  <c r="J44" i="71"/>
  <c r="J34" i="71"/>
  <c r="J48" i="71"/>
  <c r="J36" i="71"/>
  <c r="J46" i="71"/>
  <c r="J42" i="71"/>
  <c r="J40" i="71"/>
  <c r="J38" i="71"/>
  <c r="J50" i="67"/>
  <c r="J52" i="66"/>
  <c r="J50" i="68"/>
  <c r="J50" i="66"/>
  <c r="O56" i="58"/>
  <c r="K56" i="58"/>
  <c r="G56" i="58"/>
  <c r="N56" i="58"/>
  <c r="J56" i="58"/>
  <c r="F56" i="58"/>
  <c r="M56" i="58"/>
  <c r="I56" i="58"/>
  <c r="L56" i="58"/>
  <c r="H56" i="58"/>
  <c r="AE56" i="58"/>
  <c r="AF56" i="58"/>
  <c r="M58" i="58"/>
  <c r="I58" i="58"/>
  <c r="L58" i="58"/>
  <c r="H58" i="58"/>
  <c r="O58" i="58"/>
  <c r="K58" i="58"/>
  <c r="G58" i="58"/>
  <c r="N58" i="58"/>
  <c r="J58" i="58"/>
  <c r="F58" i="58"/>
  <c r="AF58" i="58"/>
  <c r="AE58" i="58"/>
  <c r="O60" i="58"/>
  <c r="K60" i="58"/>
  <c r="G60" i="58"/>
  <c r="N60" i="58"/>
  <c r="J60" i="58"/>
  <c r="F60" i="58"/>
  <c r="M60" i="58"/>
  <c r="I60" i="58"/>
  <c r="L60" i="58"/>
  <c r="H60" i="58"/>
  <c r="AE60" i="58"/>
  <c r="AF60" i="58"/>
  <c r="M54" i="58"/>
  <c r="I54" i="58"/>
  <c r="L54" i="58"/>
  <c r="H54" i="58"/>
  <c r="O54" i="58"/>
  <c r="K54" i="58"/>
  <c r="G54" i="58"/>
  <c r="N54" i="58"/>
  <c r="J54" i="58"/>
  <c r="F54" i="58"/>
  <c r="AE54" i="58"/>
  <c r="AF54" i="58"/>
  <c r="O64" i="58"/>
  <c r="K64" i="58"/>
  <c r="G64" i="58"/>
  <c r="N64" i="58"/>
  <c r="J64" i="58"/>
  <c r="F64" i="58"/>
  <c r="M64" i="58"/>
  <c r="I64" i="58"/>
  <c r="L64" i="58"/>
  <c r="H64" i="58"/>
  <c r="AF64" i="58"/>
  <c r="AE64" i="58"/>
  <c r="M66" i="58"/>
  <c r="I66" i="58"/>
  <c r="L66" i="58"/>
  <c r="H66" i="58"/>
  <c r="O66" i="58"/>
  <c r="K66" i="58"/>
  <c r="G66" i="58"/>
  <c r="N66" i="58"/>
  <c r="J66" i="58"/>
  <c r="F66" i="58"/>
  <c r="AE66" i="58"/>
  <c r="AF66" i="58"/>
  <c r="M62" i="58"/>
  <c r="I62" i="58"/>
  <c r="L62" i="58"/>
  <c r="H62" i="58"/>
  <c r="O62" i="58"/>
  <c r="K62" i="58"/>
  <c r="G62" i="58"/>
  <c r="N62" i="58"/>
  <c r="J62" i="58"/>
  <c r="F62" i="58"/>
  <c r="AE62" i="58"/>
  <c r="AF62" i="58"/>
  <c r="M50" i="58"/>
  <c r="I50" i="58"/>
  <c r="L50" i="58"/>
  <c r="H50" i="58"/>
  <c r="O50" i="58"/>
  <c r="K50" i="58"/>
  <c r="G50" i="58"/>
  <c r="N50" i="58"/>
  <c r="J50" i="58"/>
  <c r="F50" i="58"/>
  <c r="O52" i="58"/>
  <c r="K52" i="58"/>
  <c r="G52" i="58"/>
  <c r="N52" i="58"/>
  <c r="J52" i="58"/>
  <c r="F52" i="58"/>
  <c r="M52" i="58"/>
  <c r="I52" i="58"/>
  <c r="L52" i="58"/>
  <c r="H52" i="58"/>
  <c r="O68" i="58"/>
  <c r="K68" i="58"/>
  <c r="G68" i="58"/>
  <c r="N68" i="58"/>
  <c r="J68" i="58"/>
  <c r="F68" i="58"/>
  <c r="M68" i="58"/>
  <c r="I68" i="58"/>
  <c r="L68" i="58"/>
  <c r="H68" i="58"/>
  <c r="AF68" i="58"/>
  <c r="AE68" i="58"/>
  <c r="AE50" i="68"/>
  <c r="AE52" i="68"/>
  <c r="AE52" i="67"/>
  <c r="AE50" i="67"/>
  <c r="AE52" i="58"/>
  <c r="AE50" i="58"/>
  <c r="AE50" i="69"/>
  <c r="V36" i="71"/>
  <c r="R36" i="71" s="1"/>
  <c r="W42" i="71"/>
  <c r="U48" i="71"/>
  <c r="W38" i="71"/>
  <c r="S38" i="71" s="1"/>
  <c r="U46" i="71"/>
  <c r="Y46" i="71" s="1"/>
  <c r="AC46" i="71" s="1"/>
  <c r="V40" i="71"/>
  <c r="W40" i="71"/>
  <c r="W36" i="71"/>
  <c r="AA36" i="71" s="1"/>
  <c r="U34" i="71"/>
  <c r="U44" i="71"/>
  <c r="Y44" i="71" s="1"/>
  <c r="AC44" i="71" s="1"/>
  <c r="V38" i="71"/>
  <c r="R38" i="71" s="1"/>
  <c r="V34" i="71"/>
  <c r="W46" i="71"/>
  <c r="W48" i="71"/>
  <c r="S48" i="71" s="1"/>
  <c r="W34" i="71"/>
  <c r="U36" i="71"/>
  <c r="Q36" i="71" s="1"/>
  <c r="U40" i="71"/>
  <c r="Q40" i="71" s="1"/>
  <c r="V44" i="71"/>
  <c r="V42" i="71"/>
  <c r="AF52" i="68"/>
  <c r="AE52" i="69"/>
  <c r="AF50" i="58"/>
  <c r="AF52" i="58"/>
  <c r="AF52" i="67"/>
  <c r="AE52" i="66"/>
  <c r="AF50" i="67"/>
  <c r="AF50" i="69"/>
  <c r="V46" i="71"/>
  <c r="W44" i="71"/>
  <c r="U38" i="71"/>
  <c r="Y38" i="71" s="1"/>
  <c r="AC38" i="71" s="1"/>
  <c r="V48" i="71"/>
  <c r="R48" i="71" s="1"/>
  <c r="U42" i="71"/>
  <c r="AE50" i="66"/>
  <c r="AF50" i="68"/>
  <c r="AF52" i="69"/>
  <c r="AF52" i="66"/>
  <c r="AE42" i="71"/>
  <c r="AE44" i="71"/>
  <c r="AF46" i="71"/>
  <c r="AF42" i="71"/>
  <c r="AE46" i="71"/>
  <c r="AE40" i="71"/>
  <c r="AF34" i="71"/>
  <c r="AF38" i="71"/>
  <c r="AE38" i="71"/>
  <c r="AE36" i="71"/>
  <c r="AF44" i="71"/>
  <c r="AF40" i="71"/>
  <c r="AE34" i="71"/>
  <c r="AE48" i="71"/>
  <c r="AF50" i="66"/>
  <c r="AF36" i="71"/>
  <c r="AF48" i="71"/>
  <c r="R112" i="57"/>
  <c r="U30" i="66"/>
  <c r="U30" i="69"/>
  <c r="U30" i="71"/>
  <c r="W30" i="62"/>
  <c r="U30" i="68"/>
  <c r="U30" i="67"/>
  <c r="U30" i="58"/>
  <c r="IF92" i="40"/>
  <c r="A84" i="57"/>
  <c r="A85" i="57"/>
  <c r="A86" i="57"/>
  <c r="A87" i="57"/>
  <c r="A88" i="57"/>
  <c r="A89" i="57"/>
  <c r="A90" i="57"/>
  <c r="A91" i="57"/>
  <c r="A92" i="57"/>
  <c r="A93" i="57"/>
  <c r="S43" i="59"/>
  <c r="R55" i="59"/>
  <c r="A59" i="52"/>
  <c r="B60" i="52"/>
  <c r="A60" i="52"/>
  <c r="S104" i="39"/>
  <c r="S104" i="57"/>
  <c r="R104" i="57"/>
  <c r="A14" i="61"/>
  <c r="AO79" i="44"/>
  <c r="AP79" i="44"/>
  <c r="AQ79" i="44"/>
  <c r="AR79" i="44"/>
  <c r="L8" i="59"/>
  <c r="L20" i="59"/>
  <c r="L32" i="59"/>
  <c r="L45" i="59"/>
  <c r="R45" i="59"/>
  <c r="D20" i="59"/>
  <c r="D32" i="59"/>
  <c r="D45" i="59"/>
  <c r="R85" i="57"/>
  <c r="S85" i="39"/>
  <c r="S85" i="57"/>
  <c r="A53" i="52"/>
  <c r="B47" i="52"/>
  <c r="B48" i="52"/>
  <c r="A48" i="52"/>
  <c r="A46" i="52"/>
  <c r="D16" i="59"/>
  <c r="D28" i="59"/>
  <c r="D41" i="59"/>
  <c r="L4" i="59"/>
  <c r="L16" i="59"/>
  <c r="L28" i="59"/>
  <c r="L41" i="59"/>
  <c r="R41" i="59"/>
  <c r="A42" i="62"/>
  <c r="D40" i="62"/>
  <c r="D40" i="67"/>
  <c r="A42" i="67"/>
  <c r="JK689" i="40"/>
  <c r="JX689" i="40"/>
  <c r="F30" i="69"/>
  <c r="AQ70" i="44"/>
  <c r="AR70" i="44"/>
  <c r="S47" i="59"/>
  <c r="A40" i="58"/>
  <c r="A18" i="52"/>
  <c r="AQ42" i="44"/>
  <c r="AR42" i="44"/>
  <c r="AO42" i="44"/>
  <c r="AP42" i="44"/>
  <c r="S46" i="59"/>
  <c r="AN61" i="44"/>
  <c r="AN59" i="44"/>
  <c r="AN67" i="44"/>
  <c r="AN99" i="44"/>
  <c r="AN89" i="44"/>
  <c r="AN48" i="44"/>
  <c r="AN82" i="44"/>
  <c r="AN32" i="44"/>
  <c r="AN46" i="44"/>
  <c r="AN77" i="44"/>
  <c r="AN101" i="44"/>
  <c r="AN97" i="44"/>
  <c r="AN40" i="44"/>
  <c r="AN86" i="44"/>
  <c r="AN95" i="44"/>
  <c r="AN34" i="44"/>
  <c r="AN88" i="44"/>
  <c r="AN92" i="44"/>
  <c r="AN80" i="44"/>
  <c r="A47" i="52"/>
  <c r="K17" i="59"/>
  <c r="K29" i="59"/>
  <c r="K6" i="59"/>
  <c r="D23" i="59"/>
  <c r="D35" i="59"/>
  <c r="D48" i="59"/>
  <c r="L11" i="59"/>
  <c r="L23" i="59"/>
  <c r="L35" i="59"/>
  <c r="L48" i="59"/>
  <c r="R48" i="59"/>
  <c r="M154" i="57"/>
  <c r="M155" i="57"/>
  <c r="N155" i="57"/>
  <c r="D46" i="68"/>
  <c r="A48" i="68"/>
  <c r="D36" i="69"/>
  <c r="A38" i="66"/>
  <c r="D36" i="66"/>
  <c r="JX695" i="40"/>
  <c r="A40" i="71"/>
  <c r="D38" i="71"/>
  <c r="JK699" i="40"/>
  <c r="JX699" i="40"/>
  <c r="JK691" i="40"/>
  <c r="JX691" i="40"/>
  <c r="AQ83" i="44"/>
  <c r="AR83" i="44"/>
  <c r="AO83" i="44"/>
  <c r="AP83" i="44"/>
  <c r="L5" i="59"/>
  <c r="L17" i="59"/>
  <c r="L29" i="59"/>
  <c r="L42" i="59"/>
  <c r="R42" i="59"/>
  <c r="D17" i="59"/>
  <c r="D29" i="59"/>
  <c r="D42" i="59"/>
  <c r="L10" i="39"/>
  <c r="J10" i="57"/>
  <c r="C9" i="59"/>
  <c r="C18" i="59"/>
  <c r="C30" i="59"/>
  <c r="C43" i="59"/>
  <c r="R155" i="57"/>
  <c r="B604" i="40"/>
  <c r="B605" i="40"/>
  <c r="B606" i="40"/>
  <c r="B607" i="40"/>
  <c r="B608" i="40"/>
  <c r="B609" i="40"/>
  <c r="B610" i="40"/>
  <c r="B611" i="40"/>
  <c r="B612" i="40"/>
  <c r="B613" i="40"/>
  <c r="B614" i="40"/>
  <c r="B615" i="40"/>
  <c r="B616" i="40"/>
  <c r="B617" i="40"/>
  <c r="B618" i="40"/>
  <c r="B619" i="40"/>
  <c r="B620" i="40"/>
  <c r="B621" i="40"/>
  <c r="B622" i="40"/>
  <c r="B623" i="40"/>
  <c r="B624" i="40"/>
  <c r="B625" i="40"/>
  <c r="B626" i="40"/>
  <c r="B627" i="40"/>
  <c r="B628" i="40"/>
  <c r="B629" i="40"/>
  <c r="B630" i="40"/>
  <c r="B631" i="40"/>
  <c r="B632" i="40"/>
  <c r="B633" i="40"/>
  <c r="B634" i="40"/>
  <c r="B635" i="40"/>
  <c r="B636" i="40"/>
  <c r="B637" i="40"/>
  <c r="B638" i="40"/>
  <c r="B639" i="40"/>
  <c r="B640" i="40"/>
  <c r="B641" i="40"/>
  <c r="B642" i="40"/>
  <c r="B643" i="40"/>
  <c r="B644" i="40"/>
  <c r="B645" i="40"/>
  <c r="B646" i="40"/>
  <c r="B647" i="40"/>
  <c r="B648" i="40"/>
  <c r="B649" i="40"/>
  <c r="B650" i="40"/>
  <c r="B651" i="40"/>
  <c r="B652" i="40"/>
  <c r="B653" i="40"/>
  <c r="B654" i="40"/>
  <c r="B655" i="40"/>
  <c r="B656" i="40"/>
  <c r="B657" i="40"/>
  <c r="B658" i="40"/>
  <c r="B659" i="40"/>
  <c r="B660" i="40"/>
  <c r="B661" i="40"/>
  <c r="B662" i="40"/>
  <c r="B663" i="40"/>
  <c r="B664" i="40"/>
  <c r="B665" i="40"/>
  <c r="B666" i="40"/>
  <c r="B667" i="40"/>
  <c r="B668" i="40"/>
  <c r="B669" i="40"/>
  <c r="B670" i="40"/>
  <c r="B671" i="40"/>
  <c r="B672" i="40"/>
  <c r="B673" i="40"/>
  <c r="B674" i="40"/>
  <c r="B675" i="40"/>
  <c r="B676" i="40"/>
  <c r="B677" i="40"/>
  <c r="B678" i="40"/>
  <c r="B679" i="40"/>
  <c r="B680" i="40"/>
  <c r="B681" i="40"/>
  <c r="B682" i="40"/>
  <c r="B683" i="40"/>
  <c r="B684" i="40"/>
  <c r="B685" i="40"/>
  <c r="B686" i="40"/>
  <c r="B687" i="40"/>
  <c r="B688" i="40"/>
  <c r="B689" i="40"/>
  <c r="B690" i="40"/>
  <c r="B691" i="40"/>
  <c r="B692" i="40"/>
  <c r="B693" i="40"/>
  <c r="B694" i="40"/>
  <c r="B695" i="40"/>
  <c r="B696" i="40"/>
  <c r="B697" i="40"/>
  <c r="B698" i="40"/>
  <c r="B699" i="40"/>
  <c r="B700" i="40"/>
  <c r="A603" i="40"/>
  <c r="A88" i="40"/>
  <c r="AO60" i="44"/>
  <c r="AP60" i="44"/>
  <c r="F30" i="58"/>
  <c r="AO63" i="44"/>
  <c r="AP63" i="44"/>
  <c r="AN36" i="44"/>
  <c r="AN52" i="44"/>
  <c r="AN44" i="44"/>
  <c r="A28" i="52"/>
  <c r="A40" i="69"/>
  <c r="KN604" i="40"/>
  <c r="C605" i="40"/>
  <c r="A604" i="40"/>
  <c r="JX693" i="40"/>
  <c r="M154" i="39"/>
  <c r="M155" i="39"/>
  <c r="K154" i="57"/>
  <c r="K155" i="57"/>
  <c r="J9" i="57"/>
  <c r="J4" i="39"/>
  <c r="K4" i="39"/>
  <c r="S154" i="39"/>
  <c r="S155" i="39"/>
  <c r="S151" i="57"/>
  <c r="S154" i="57"/>
  <c r="S155" i="57"/>
  <c r="IN697" i="40"/>
  <c r="IN693" i="40"/>
  <c r="IN689" i="40"/>
  <c r="A86" i="40"/>
  <c r="H154" i="57"/>
  <c r="H155" i="57"/>
  <c r="P154" i="57"/>
  <c r="P155" i="57"/>
  <c r="S103" i="39"/>
  <c r="S103" i="57"/>
  <c r="N7" i="39"/>
  <c r="P7" i="39"/>
  <c r="E31" i="70"/>
  <c r="D40" i="68"/>
  <c r="D36" i="68"/>
  <c r="C88" i="75"/>
  <c r="JK700" i="40"/>
  <c r="JX700" i="40"/>
  <c r="HN700" i="40"/>
  <c r="JX696" i="40"/>
  <c r="HN696" i="40"/>
  <c r="JK694" i="40"/>
  <c r="JX694" i="40"/>
  <c r="HN694" i="40"/>
  <c r="JK692" i="40"/>
  <c r="JX692" i="40"/>
  <c r="HN692" i="40"/>
  <c r="JK690" i="40"/>
  <c r="JX690" i="40"/>
  <c r="HN690" i="40"/>
  <c r="J154" i="57"/>
  <c r="J155" i="57"/>
  <c r="K154" i="39"/>
  <c r="K155" i="39"/>
  <c r="I154" i="39"/>
  <c r="I155" i="39"/>
  <c r="Q154" i="39"/>
  <c r="Q155" i="39"/>
  <c r="O154" i="39"/>
  <c r="O155" i="39"/>
  <c r="E56" i="70"/>
  <c r="E68" i="70"/>
  <c r="AX8" i="70"/>
  <c r="C9" i="70"/>
  <c r="K118" i="57"/>
  <c r="IX700" i="40"/>
  <c r="IX699" i="40"/>
  <c r="IX698" i="40"/>
  <c r="IX695" i="40"/>
  <c r="IL695" i="40" s="1"/>
  <c r="IX694" i="40"/>
  <c r="IL694" i="40" s="1"/>
  <c r="IX693" i="40"/>
  <c r="IL693" i="40" s="1"/>
  <c r="IX691" i="40"/>
  <c r="IL691" i="40" s="1"/>
  <c r="IX690" i="40"/>
  <c r="IL690" i="40" s="1"/>
  <c r="N121" i="57"/>
  <c r="O121" i="57"/>
  <c r="P7" i="57"/>
  <c r="R7" i="39"/>
  <c r="R7" i="57"/>
  <c r="N7" i="57"/>
  <c r="Q152" i="57"/>
  <c r="Q154" i="57"/>
  <c r="Q155" i="57"/>
  <c r="O153" i="57"/>
  <c r="O154" i="57"/>
  <c r="O155" i="57"/>
  <c r="S102" i="39"/>
  <c r="S102" i="57"/>
  <c r="M121" i="57"/>
  <c r="L121" i="57"/>
  <c r="E65" i="70"/>
  <c r="H1" i="70"/>
  <c r="AK9" i="66"/>
  <c r="AK9" i="58"/>
  <c r="AK9" i="67"/>
  <c r="AK9" i="69"/>
  <c r="AK9" i="68"/>
  <c r="L4" i="39"/>
  <c r="M4" i="39"/>
  <c r="N4" i="39"/>
  <c r="O4" i="39"/>
  <c r="P9" i="39"/>
  <c r="N9" i="57"/>
  <c r="L9" i="57"/>
  <c r="S117" i="57"/>
  <c r="R115" i="57"/>
  <c r="H2" i="57"/>
  <c r="H76" i="57"/>
  <c r="G11" i="62"/>
  <c r="J3" i="39"/>
  <c r="D13" i="69"/>
  <c r="E60" i="70"/>
  <c r="E51" i="70"/>
  <c r="E41" i="70"/>
  <c r="G11" i="58"/>
  <c r="D13" i="71"/>
  <c r="E47" i="70"/>
  <c r="E66" i="70"/>
  <c r="E44" i="70"/>
  <c r="E53" i="70"/>
  <c r="D13" i="66"/>
  <c r="E38" i="70"/>
  <c r="E28" i="70"/>
  <c r="E50" i="70"/>
  <c r="E63" i="70"/>
  <c r="E21" i="70"/>
  <c r="AW93" i="40"/>
  <c r="A8" i="39"/>
  <c r="AW10" i="52"/>
  <c r="H8" i="57"/>
  <c r="E61" i="70"/>
  <c r="E45" i="70"/>
  <c r="E29" i="70"/>
  <c r="E10" i="70"/>
  <c r="AZ10" i="70"/>
  <c r="E36" i="70"/>
  <c r="E9" i="70"/>
  <c r="AZ9" i="70"/>
  <c r="E43" i="70"/>
  <c r="E8" i="70"/>
  <c r="AZ8" i="70"/>
  <c r="E42" i="70"/>
  <c r="E7" i="70"/>
  <c r="AZ7" i="70"/>
  <c r="E52" i="70"/>
  <c r="E55" i="70"/>
  <c r="E23" i="70"/>
  <c r="E46" i="70"/>
  <c r="E11" i="70"/>
  <c r="AZ11" i="70"/>
  <c r="D13" i="68"/>
  <c r="D13" i="58"/>
  <c r="J2" i="39"/>
  <c r="L12" i="39"/>
  <c r="I3" i="39"/>
  <c r="E30" i="70"/>
  <c r="E12" i="70"/>
  <c r="AZ12" i="70"/>
  <c r="E13" i="70"/>
  <c r="AZ13" i="70"/>
  <c r="E64" i="70"/>
  <c r="E34" i="70"/>
  <c r="E16" i="70"/>
  <c r="AZ16" i="70"/>
  <c r="E59" i="70"/>
  <c r="E32" i="70"/>
  <c r="E14" i="70"/>
  <c r="AZ14" i="70"/>
  <c r="E37" i="70"/>
  <c r="E57" i="70"/>
  <c r="J8" i="39"/>
  <c r="D13" i="67"/>
  <c r="E67" i="70"/>
  <c r="E54" i="70"/>
  <c r="E39" i="70"/>
  <c r="E40" i="70"/>
  <c r="E15" i="70"/>
  <c r="AZ15" i="70"/>
  <c r="E58" i="70"/>
  <c r="E35" i="70"/>
  <c r="E20" i="70"/>
  <c r="E48" i="70"/>
  <c r="E25" i="70"/>
  <c r="E49" i="70"/>
  <c r="E69" i="70"/>
  <c r="J16" i="39"/>
  <c r="J18" i="39"/>
  <c r="L15" i="39"/>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AQ52" i="44"/>
  <c r="AR52" i="44"/>
  <c r="AO52" i="44"/>
  <c r="AP52" i="44"/>
  <c r="AQ89" i="44"/>
  <c r="AR89" i="44"/>
  <c r="AO89" i="44"/>
  <c r="AP89" i="44"/>
  <c r="D40" i="69"/>
  <c r="A42" i="69"/>
  <c r="AQ36" i="44"/>
  <c r="AR36" i="44"/>
  <c r="AO36" i="44"/>
  <c r="AP36" i="44"/>
  <c r="A50" i="68"/>
  <c r="D48" i="68"/>
  <c r="S48" i="59"/>
  <c r="R60" i="59"/>
  <c r="AQ34" i="44"/>
  <c r="AR34" i="44"/>
  <c r="AO34" i="44"/>
  <c r="AP34" i="44"/>
  <c r="AQ97" i="44"/>
  <c r="AR97" i="44"/>
  <c r="AO97" i="44"/>
  <c r="AP97" i="44"/>
  <c r="AQ99" i="44"/>
  <c r="AR99" i="44"/>
  <c r="AO99" i="44"/>
  <c r="AP99" i="44"/>
  <c r="A42" i="58"/>
  <c r="D40" i="58"/>
  <c r="M118" i="57"/>
  <c r="L118" i="57"/>
  <c r="D40" i="71"/>
  <c r="A42" i="71"/>
  <c r="AQ40" i="44"/>
  <c r="AR40" i="44"/>
  <c r="AO40" i="44"/>
  <c r="AP40" i="44"/>
  <c r="V30" i="67"/>
  <c r="V30" i="71"/>
  <c r="V30" i="69"/>
  <c r="V30" i="66"/>
  <c r="V30" i="62"/>
  <c r="V30" i="68"/>
  <c r="V30" i="58"/>
  <c r="IG92" i="40"/>
  <c r="AX9" i="70"/>
  <c r="C10" i="70"/>
  <c r="C89" i="75"/>
  <c r="A89" i="75"/>
  <c r="A88" i="75"/>
  <c r="C10" i="59"/>
  <c r="C21" i="59"/>
  <c r="S42" i="59"/>
  <c r="R54" i="59"/>
  <c r="AQ80" i="44"/>
  <c r="AR80" i="44"/>
  <c r="AO80" i="44"/>
  <c r="AP80" i="44"/>
  <c r="AO95" i="44"/>
  <c r="AP95" i="44"/>
  <c r="AQ95" i="44"/>
  <c r="AR95" i="44"/>
  <c r="AO101" i="44"/>
  <c r="AP101" i="44"/>
  <c r="AQ101" i="44"/>
  <c r="AR101" i="44"/>
  <c r="AO67" i="44"/>
  <c r="AP67" i="44"/>
  <c r="AQ67" i="44"/>
  <c r="AR67" i="44"/>
  <c r="D42" i="62"/>
  <c r="A44" i="62"/>
  <c r="A15" i="61"/>
  <c r="N10" i="39"/>
  <c r="L10" i="57"/>
  <c r="AQ46" i="44"/>
  <c r="AR46" i="44"/>
  <c r="AO46" i="44"/>
  <c r="AP46" i="44"/>
  <c r="AO61" i="44"/>
  <c r="AP61" i="44"/>
  <c r="AQ61" i="44"/>
  <c r="AR61" i="44"/>
  <c r="M33" i="62"/>
  <c r="AN16" i="58"/>
  <c r="H33" i="58"/>
  <c r="K33" i="62"/>
  <c r="L33" i="62"/>
  <c r="M33" i="58"/>
  <c r="N33" i="58"/>
  <c r="AN14" i="62"/>
  <c r="AN14" i="58"/>
  <c r="AN16" i="62"/>
  <c r="H33" i="62"/>
  <c r="C606" i="40"/>
  <c r="A605" i="40"/>
  <c r="KN605" i="40"/>
  <c r="AQ44" i="44"/>
  <c r="AR44" i="44"/>
  <c r="AO44" i="44"/>
  <c r="AP44" i="44"/>
  <c r="A40" i="66"/>
  <c r="D38" i="66"/>
  <c r="K7" i="59"/>
  <c r="K18" i="59"/>
  <c r="K30" i="59"/>
  <c r="AQ92" i="44"/>
  <c r="AR92" i="44"/>
  <c r="AO92" i="44"/>
  <c r="AP92" i="44"/>
  <c r="AQ86" i="44"/>
  <c r="AR86" i="44"/>
  <c r="AO86" i="44"/>
  <c r="AP86" i="44"/>
  <c r="AQ77" i="44"/>
  <c r="AR77" i="44"/>
  <c r="AO77" i="44"/>
  <c r="AP77" i="44"/>
  <c r="AO48" i="44"/>
  <c r="AP48" i="44"/>
  <c r="AQ48" i="44"/>
  <c r="AR48" i="44"/>
  <c r="D42" i="67"/>
  <c r="A44" i="67"/>
  <c r="S41" i="59"/>
  <c r="R53" i="59"/>
  <c r="S45" i="59"/>
  <c r="R57" i="59"/>
  <c r="K3" i="39"/>
  <c r="Q121" i="57"/>
  <c r="P121" i="57"/>
  <c r="P9" i="57"/>
  <c r="R9" i="39"/>
  <c r="R9" i="57"/>
  <c r="P4" i="39"/>
  <c r="Q4" i="39"/>
  <c r="AW52" i="52"/>
  <c r="AW18" i="52"/>
  <c r="AW55" i="52"/>
  <c r="AW24" i="52"/>
  <c r="AW57" i="52"/>
  <c r="AW28" i="52"/>
  <c r="AW54" i="52"/>
  <c r="AW48" i="52"/>
  <c r="AW26" i="52"/>
  <c r="AW58" i="52"/>
  <c r="AW59" i="52"/>
  <c r="AW30" i="52"/>
  <c r="AW20" i="52"/>
  <c r="AW53" i="52"/>
  <c r="AW29" i="52"/>
  <c r="AW49" i="52"/>
  <c r="AW46" i="52"/>
  <c r="AW31" i="52"/>
  <c r="AW47" i="52"/>
  <c r="AW25" i="52"/>
  <c r="AW23" i="52"/>
  <c r="AW21" i="52"/>
  <c r="AW56" i="52"/>
  <c r="AW27" i="52"/>
  <c r="AW17" i="52"/>
  <c r="AW51" i="52"/>
  <c r="AW22" i="52"/>
  <c r="AW19" i="52"/>
  <c r="AW50" i="52"/>
  <c r="AW60" i="52"/>
  <c r="AY93" i="40"/>
  <c r="AY10" i="52"/>
  <c r="AY49" i="52"/>
  <c r="A9" i="39"/>
  <c r="AW601" i="40"/>
  <c r="AW603" i="40"/>
  <c r="AW87" i="40"/>
  <c r="AW602" i="40"/>
  <c r="AW605" i="40"/>
  <c r="AW88" i="40"/>
  <c r="AW86" i="40"/>
  <c r="AW604" i="40"/>
  <c r="AW89" i="40"/>
  <c r="AW606" i="40"/>
  <c r="AY20" i="52"/>
  <c r="J8" i="57"/>
  <c r="N12" i="39"/>
  <c r="L12" i="57"/>
  <c r="L3" i="39"/>
  <c r="L8" i="39"/>
  <c r="L2" i="39"/>
  <c r="G11" i="66"/>
  <c r="J76" i="39"/>
  <c r="J2" i="57"/>
  <c r="J76" i="57"/>
  <c r="L17" i="39"/>
  <c r="N15" i="39"/>
  <c r="L16" i="39"/>
  <c r="D40" i="66"/>
  <c r="A42" i="66"/>
  <c r="KN606" i="40"/>
  <c r="C607" i="40"/>
  <c r="A606" i="40"/>
  <c r="K19" i="59"/>
  <c r="K31" i="59"/>
  <c r="K8" i="59"/>
  <c r="D44" i="67"/>
  <c r="A46" i="67"/>
  <c r="C33" i="59"/>
  <c r="C46" i="59"/>
  <c r="W30" i="71"/>
  <c r="W30" i="67"/>
  <c r="U30" i="62"/>
  <c r="W30" i="66"/>
  <c r="W30" i="68"/>
  <c r="W30" i="69"/>
  <c r="IH92" i="40"/>
  <c r="II92" i="40"/>
  <c r="IJ92" i="40"/>
  <c r="IK92" i="40"/>
  <c r="IL92" i="40"/>
  <c r="IM92" i="40"/>
  <c r="IN92" i="40"/>
  <c r="IO92" i="40"/>
  <c r="IP92" i="40"/>
  <c r="IQ92" i="40"/>
  <c r="IR92" i="40"/>
  <c r="IS92" i="40"/>
  <c r="IT92" i="40"/>
  <c r="IU92" i="40"/>
  <c r="IV92" i="40"/>
  <c r="IW92" i="40"/>
  <c r="IX92" i="40"/>
  <c r="IY92" i="40"/>
  <c r="IZ92" i="40"/>
  <c r="JA92" i="40"/>
  <c r="W30" i="58"/>
  <c r="A44" i="58"/>
  <c r="D42" i="58"/>
  <c r="AX10" i="70"/>
  <c r="C11" i="70"/>
  <c r="D42" i="69"/>
  <c r="A44" i="69"/>
  <c r="P10" i="39"/>
  <c r="N10" i="57"/>
  <c r="A16" i="61"/>
  <c r="C22" i="59"/>
  <c r="C11" i="59"/>
  <c r="A52" i="68"/>
  <c r="D50" i="68"/>
  <c r="A46" i="62"/>
  <c r="D44" i="62"/>
  <c r="A44" i="71"/>
  <c r="D42" i="71"/>
  <c r="O118" i="57"/>
  <c r="N118" i="57"/>
  <c r="S121" i="57"/>
  <c r="R121" i="57"/>
  <c r="AY22" i="52"/>
  <c r="AY51" i="52"/>
  <c r="BA10" i="52"/>
  <c r="A10" i="39"/>
  <c r="BA93" i="40"/>
  <c r="AY17" i="52"/>
  <c r="AY18" i="52"/>
  <c r="AY48" i="52"/>
  <c r="AY46" i="52"/>
  <c r="AY47" i="52"/>
  <c r="AY19" i="52"/>
  <c r="AY21" i="52"/>
  <c r="AY50" i="52"/>
  <c r="AY87" i="40"/>
  <c r="AY89" i="40"/>
  <c r="AY86" i="40"/>
  <c r="AY88" i="40"/>
  <c r="M3" i="39"/>
  <c r="N2" i="39"/>
  <c r="N3" i="39"/>
  <c r="N12" i="57"/>
  <c r="P12" i="39"/>
  <c r="N8" i="39"/>
  <c r="L2" i="57"/>
  <c r="L76" i="57"/>
  <c r="L76" i="39"/>
  <c r="G11" i="67"/>
  <c r="AY52" i="52"/>
  <c r="AY23" i="52"/>
  <c r="AY53" i="52"/>
  <c r="AY54" i="52"/>
  <c r="AY24" i="52"/>
  <c r="AY25" i="52"/>
  <c r="L8" i="57"/>
  <c r="N17" i="39"/>
  <c r="N16" i="39"/>
  <c r="P15" i="39"/>
  <c r="L18" i="39"/>
  <c r="Q118" i="57"/>
  <c r="P118" i="57"/>
  <c r="C34" i="59"/>
  <c r="C47" i="59"/>
  <c r="C608" i="40"/>
  <c r="KN607" i="40"/>
  <c r="A607" i="40"/>
  <c r="AW607" i="40"/>
  <c r="D46" i="62"/>
  <c r="A48" i="62"/>
  <c r="R10" i="39"/>
  <c r="R10" i="57"/>
  <c r="P10" i="57"/>
  <c r="A46" i="69"/>
  <c r="D44" i="69"/>
  <c r="AX11" i="70"/>
  <c r="C12" i="70"/>
  <c r="S30" i="62"/>
  <c r="Q30" i="68"/>
  <c r="Q30" i="66"/>
  <c r="Q30" i="71"/>
  <c r="Q30" i="58"/>
  <c r="Q30" i="69"/>
  <c r="Q30" i="67"/>
  <c r="JB92" i="40"/>
  <c r="D46" i="67"/>
  <c r="A48" i="67"/>
  <c r="D52" i="68"/>
  <c r="A54" i="68"/>
  <c r="D42" i="66"/>
  <c r="A44" i="66"/>
  <c r="A46" i="71"/>
  <c r="D44" i="71"/>
  <c r="C23" i="59"/>
  <c r="D44" i="58"/>
  <c r="A46" i="58"/>
  <c r="K9" i="59"/>
  <c r="K20" i="59"/>
  <c r="K32" i="59"/>
  <c r="BA604" i="40"/>
  <c r="BA608" i="40"/>
  <c r="BA88" i="40"/>
  <c r="BA86" i="40"/>
  <c r="BA603" i="40"/>
  <c r="BA602" i="40"/>
  <c r="BA87" i="40"/>
  <c r="BA605" i="40"/>
  <c r="BA601" i="40"/>
  <c r="BA607" i="40"/>
  <c r="BA606" i="40"/>
  <c r="BA89" i="40"/>
  <c r="A11" i="39"/>
  <c r="BB93" i="40"/>
  <c r="BB10" i="52"/>
  <c r="BA48" i="52"/>
  <c r="BA55" i="52"/>
  <c r="BA28" i="52"/>
  <c r="BA50" i="52"/>
  <c r="BA26" i="52"/>
  <c r="BA21" i="52"/>
  <c r="BA23" i="52"/>
  <c r="BA49" i="52"/>
  <c r="BA22" i="52"/>
  <c r="BA19" i="52"/>
  <c r="BA25" i="52"/>
  <c r="BA54" i="52"/>
  <c r="BA29" i="52"/>
  <c r="BA52" i="52"/>
  <c r="BA53" i="52"/>
  <c r="BA59" i="52"/>
  <c r="BA47" i="52"/>
  <c r="BA46" i="52"/>
  <c r="BA57" i="52"/>
  <c r="BA56" i="52"/>
  <c r="BA58" i="52"/>
  <c r="BA31" i="52"/>
  <c r="BA27" i="52"/>
  <c r="BA30" i="52"/>
  <c r="BA60" i="52"/>
  <c r="BA17" i="52"/>
  <c r="BA20" i="52"/>
  <c r="BA51" i="52"/>
  <c r="BA18" i="52"/>
  <c r="BA24" i="52"/>
  <c r="O3" i="39"/>
  <c r="N8" i="57"/>
  <c r="AY57" i="52"/>
  <c r="AY28" i="52"/>
  <c r="AY55" i="52"/>
  <c r="AY56" i="52"/>
  <c r="AY26" i="52"/>
  <c r="AY27" i="52"/>
  <c r="R12" i="39"/>
  <c r="P3" i="39"/>
  <c r="P2" i="39"/>
  <c r="P12" i="57"/>
  <c r="P8" i="39"/>
  <c r="G11" i="68"/>
  <c r="N2" i="57"/>
  <c r="N76" i="57"/>
  <c r="N76" i="39"/>
  <c r="P16" i="39"/>
  <c r="R15" i="39"/>
  <c r="P17" i="39"/>
  <c r="N18" i="39"/>
  <c r="D46" i="71"/>
  <c r="A48" i="71"/>
  <c r="R30" i="69"/>
  <c r="R30" i="71"/>
  <c r="R30" i="62"/>
  <c r="R30" i="68"/>
  <c r="JC92" i="40"/>
  <c r="R30" i="66"/>
  <c r="R30" i="58"/>
  <c r="R30" i="67"/>
  <c r="AX12" i="70"/>
  <c r="C13" i="70"/>
  <c r="D48" i="62"/>
  <c r="A50" i="62"/>
  <c r="D54" i="68"/>
  <c r="A56" i="68"/>
  <c r="D46" i="69"/>
  <c r="A48" i="69"/>
  <c r="A608" i="40"/>
  <c r="KN608" i="40"/>
  <c r="C609" i="40"/>
  <c r="AW608" i="40"/>
  <c r="D48" i="67"/>
  <c r="A50" i="67"/>
  <c r="R118" i="57"/>
  <c r="S118" i="57"/>
  <c r="K10" i="59"/>
  <c r="K21" i="59"/>
  <c r="K33" i="59"/>
  <c r="D46" i="58"/>
  <c r="A48" i="58"/>
  <c r="C35" i="59"/>
  <c r="C48" i="59"/>
  <c r="A46" i="66"/>
  <c r="D44" i="66"/>
  <c r="BB29" i="52"/>
  <c r="BB58" i="52"/>
  <c r="BB31" i="52"/>
  <c r="BB56" i="52"/>
  <c r="BB47" i="52"/>
  <c r="BB49" i="52"/>
  <c r="BB59" i="52"/>
  <c r="BB46" i="52"/>
  <c r="BB28" i="52"/>
  <c r="BB26" i="52"/>
  <c r="BB18" i="52"/>
  <c r="BB52" i="52"/>
  <c r="BB54" i="52"/>
  <c r="BB60" i="52"/>
  <c r="BB50" i="52"/>
  <c r="BB21" i="52"/>
  <c r="BB25" i="52"/>
  <c r="BB24" i="52"/>
  <c r="BB27" i="52"/>
  <c r="BB55" i="52"/>
  <c r="BB30" i="52"/>
  <c r="BB57" i="52"/>
  <c r="BB51" i="52"/>
  <c r="BB22" i="52"/>
  <c r="BB20" i="52"/>
  <c r="BB23" i="52"/>
  <c r="BB17" i="52"/>
  <c r="BB53" i="52"/>
  <c r="BB19" i="52"/>
  <c r="BB48" i="52"/>
  <c r="AX10" i="52"/>
  <c r="AX93" i="40"/>
  <c r="A12" i="39"/>
  <c r="BB602" i="40"/>
  <c r="BB606" i="40"/>
  <c r="BB89" i="40"/>
  <c r="BB605" i="40"/>
  <c r="BB88" i="40"/>
  <c r="BB603" i="40"/>
  <c r="BB609" i="40"/>
  <c r="BB604" i="40"/>
  <c r="BB86" i="40"/>
  <c r="BB601" i="40"/>
  <c r="BB608" i="40"/>
  <c r="BB607" i="40"/>
  <c r="BB87" i="40"/>
  <c r="AY29" i="52"/>
  <c r="AY60" i="52"/>
  <c r="AY58" i="52"/>
  <c r="AY59" i="52"/>
  <c r="P8" i="57"/>
  <c r="AY31" i="52"/>
  <c r="AY30" i="52"/>
  <c r="Q3" i="39"/>
  <c r="P2" i="57"/>
  <c r="P76" i="57"/>
  <c r="P76" i="39"/>
  <c r="G11" i="69"/>
  <c r="R8" i="39"/>
  <c r="R12" i="57"/>
  <c r="R2" i="39"/>
  <c r="P18" i="39"/>
  <c r="R17" i="39"/>
  <c r="R16" i="39"/>
  <c r="A48" i="66"/>
  <c r="D46" i="66"/>
  <c r="AX13" i="70"/>
  <c r="C14" i="70"/>
  <c r="A50" i="71"/>
  <c r="D48" i="71"/>
  <c r="K22" i="59"/>
  <c r="K34" i="59"/>
  <c r="K11" i="59"/>
  <c r="K23" i="59"/>
  <c r="K35" i="59"/>
  <c r="D50" i="67"/>
  <c r="A52" i="67"/>
  <c r="D48" i="69"/>
  <c r="A50" i="69"/>
  <c r="S30" i="71"/>
  <c r="S30" i="69"/>
  <c r="JD92" i="40"/>
  <c r="JE92" i="40"/>
  <c r="JF92" i="40"/>
  <c r="JG92" i="40"/>
  <c r="JH92" i="40"/>
  <c r="JI92" i="40"/>
  <c r="JJ92" i="40"/>
  <c r="JK92" i="40"/>
  <c r="S30" i="58"/>
  <c r="S30" i="68"/>
  <c r="Q30" i="62"/>
  <c r="S30" i="66"/>
  <c r="S30" i="67"/>
  <c r="D48" i="58"/>
  <c r="A50" i="58"/>
  <c r="C610" i="40"/>
  <c r="A609" i="40"/>
  <c r="KN609" i="40"/>
  <c r="AW609" i="40"/>
  <c r="BA609" i="40"/>
  <c r="D50" i="62"/>
  <c r="A52" i="62"/>
  <c r="A58" i="68"/>
  <c r="D56" i="68"/>
  <c r="AX59" i="52"/>
  <c r="AX23" i="52"/>
  <c r="AX58" i="52"/>
  <c r="AX28" i="52"/>
  <c r="AX47" i="52"/>
  <c r="AX57" i="52"/>
  <c r="AX51" i="52"/>
  <c r="AX52" i="52"/>
  <c r="AX56" i="52"/>
  <c r="AX30" i="52"/>
  <c r="AX46" i="52"/>
  <c r="AX31" i="52"/>
  <c r="AX20" i="52"/>
  <c r="AX17" i="52"/>
  <c r="AX21" i="52"/>
  <c r="AX27" i="52"/>
  <c r="AX48" i="52"/>
  <c r="AX55" i="52"/>
  <c r="AX24" i="52"/>
  <c r="AX53" i="52"/>
  <c r="AX49" i="52"/>
  <c r="AX50" i="52"/>
  <c r="AX26" i="52"/>
  <c r="AX60" i="52"/>
  <c r="AX18" i="52"/>
  <c r="AX19" i="52"/>
  <c r="AX25" i="52"/>
  <c r="AX54" i="52"/>
  <c r="AX29" i="52"/>
  <c r="AX22" i="52"/>
  <c r="AX601" i="40"/>
  <c r="AX605" i="40"/>
  <c r="AX609" i="40"/>
  <c r="AX604" i="40"/>
  <c r="AX610" i="40"/>
  <c r="AX86" i="40"/>
  <c r="AX606" i="40"/>
  <c r="AX87" i="40"/>
  <c r="AX603" i="40"/>
  <c r="AX608" i="40"/>
  <c r="AX89" i="40"/>
  <c r="AX602" i="40"/>
  <c r="AX607" i="40"/>
  <c r="AX88" i="40"/>
  <c r="A13" i="39"/>
  <c r="A14" i="39"/>
  <c r="A15" i="39"/>
  <c r="AZ93" i="40"/>
  <c r="AZ10" i="52"/>
  <c r="F3" i="73"/>
  <c r="G11" i="71"/>
  <c r="R2" i="57"/>
  <c r="R76" i="57"/>
  <c r="R76" i="39"/>
  <c r="R8" i="57"/>
  <c r="AY604" i="40"/>
  <c r="AY606" i="40"/>
  <c r="AY603" i="40"/>
  <c r="AY605" i="40"/>
  <c r="AY601" i="40"/>
  <c r="AY608" i="40"/>
  <c r="AY602" i="40"/>
  <c r="AY607" i="40"/>
  <c r="R18" i="39"/>
  <c r="KN610" i="40"/>
  <c r="C611" i="40"/>
  <c r="A610" i="40"/>
  <c r="AW610" i="40"/>
  <c r="BA610" i="40"/>
  <c r="BB610" i="40"/>
  <c r="A54" i="67"/>
  <c r="D52" i="67"/>
  <c r="D50" i="71"/>
  <c r="A52" i="71"/>
  <c r="D48" i="66"/>
  <c r="A50" i="66"/>
  <c r="D50" i="58"/>
  <c r="A52" i="58"/>
  <c r="D50" i="69"/>
  <c r="A52" i="69"/>
  <c r="AX14" i="70"/>
  <c r="C15" i="70"/>
  <c r="A60" i="68"/>
  <c r="D58" i="68"/>
  <c r="D52" i="62"/>
  <c r="A54" i="62"/>
  <c r="AI30" i="71"/>
  <c r="AI30" i="68"/>
  <c r="AI30" i="67"/>
  <c r="AI30" i="62"/>
  <c r="AI30" i="66"/>
  <c r="AI30" i="69"/>
  <c r="JL92" i="40"/>
  <c r="JM92" i="40"/>
  <c r="AI30" i="58"/>
  <c r="AZ22" i="52"/>
  <c r="AZ18" i="52"/>
  <c r="AZ51" i="52"/>
  <c r="AZ49" i="52"/>
  <c r="AZ19" i="52"/>
  <c r="AZ48" i="52"/>
  <c r="AZ21" i="52"/>
  <c r="AZ50" i="52"/>
  <c r="AZ17" i="52"/>
  <c r="AZ47" i="52"/>
  <c r="AZ20" i="52"/>
  <c r="AZ46" i="52"/>
  <c r="AZ24" i="52"/>
  <c r="AZ25" i="52"/>
  <c r="AZ23" i="52"/>
  <c r="AZ53" i="52"/>
  <c r="AZ52" i="52"/>
  <c r="AZ54" i="52"/>
  <c r="AZ57" i="52"/>
  <c r="AZ55" i="52"/>
  <c r="AZ26" i="52"/>
  <c r="AZ28" i="52"/>
  <c r="AZ56" i="52"/>
  <c r="AZ27" i="52"/>
  <c r="AZ31" i="52"/>
  <c r="AZ59" i="52"/>
  <c r="AZ60" i="52"/>
  <c r="AZ58" i="52"/>
  <c r="AZ30" i="52"/>
  <c r="AZ29" i="52"/>
  <c r="AZ88" i="40"/>
  <c r="AZ89" i="40"/>
  <c r="AZ87" i="40"/>
  <c r="AZ86" i="40"/>
  <c r="AZ601" i="40"/>
  <c r="AZ609" i="40"/>
  <c r="AZ603" i="40"/>
  <c r="AZ607" i="40"/>
  <c r="AZ606" i="40"/>
  <c r="AZ605" i="40"/>
  <c r="AZ602" i="40"/>
  <c r="AZ610" i="40"/>
  <c r="AZ604" i="40"/>
  <c r="AZ608" i="40"/>
  <c r="AZ611" i="40"/>
  <c r="BX93" i="40"/>
  <c r="A16" i="39"/>
  <c r="BX10" i="52"/>
  <c r="D54" i="62"/>
  <c r="A56" i="62"/>
  <c r="AX15" i="70"/>
  <c r="C16" i="70"/>
  <c r="AX16" i="70"/>
  <c r="A54" i="58"/>
  <c r="D52" i="58"/>
  <c r="AE30" i="68"/>
  <c r="AE30" i="71"/>
  <c r="AE30" i="67"/>
  <c r="AE30" i="58"/>
  <c r="AE30" i="62"/>
  <c r="JN92" i="40"/>
  <c r="JO92" i="40"/>
  <c r="JP92" i="40"/>
  <c r="JQ92" i="40"/>
  <c r="JR92" i="40"/>
  <c r="JS92" i="40"/>
  <c r="AE30" i="69"/>
  <c r="AE30" i="66"/>
  <c r="C612" i="40"/>
  <c r="KN611" i="40"/>
  <c r="A611" i="40"/>
  <c r="AW611" i="40"/>
  <c r="BA611" i="40"/>
  <c r="BB611" i="40"/>
  <c r="AX611" i="40"/>
  <c r="D52" i="69"/>
  <c r="A54" i="69"/>
  <c r="D54" i="67"/>
  <c r="A56" i="67"/>
  <c r="D60" i="68"/>
  <c r="A62" i="68"/>
  <c r="A52" i="66"/>
  <c r="D50" i="66"/>
  <c r="A54" i="71"/>
  <c r="D52" i="71"/>
  <c r="BX46" i="52"/>
  <c r="BX48" i="52"/>
  <c r="BX51" i="52"/>
  <c r="BX49" i="52"/>
  <c r="BX50" i="52"/>
  <c r="BX47" i="52"/>
  <c r="BX54" i="52"/>
  <c r="BX52" i="52"/>
  <c r="BX53" i="52"/>
  <c r="BX57" i="52"/>
  <c r="BX55" i="52"/>
  <c r="BX56" i="52"/>
  <c r="BX59" i="52"/>
  <c r="BX58" i="52"/>
  <c r="BX60" i="52"/>
  <c r="A12" i="58"/>
  <c r="A12" i="62"/>
  <c r="BX88" i="40"/>
  <c r="BX89" i="40"/>
  <c r="BX87" i="40"/>
  <c r="BX86" i="40"/>
  <c r="BX609" i="40"/>
  <c r="BX607" i="40"/>
  <c r="BX612" i="40"/>
  <c r="BX608" i="40"/>
  <c r="BX611" i="40"/>
  <c r="BX605" i="40"/>
  <c r="BX610" i="40"/>
  <c r="BX603" i="40"/>
  <c r="BX604" i="40"/>
  <c r="BX606" i="40"/>
  <c r="BX602" i="40"/>
  <c r="BX601" i="40"/>
  <c r="DM10" i="52"/>
  <c r="DM93" i="40"/>
  <c r="A17" i="39"/>
  <c r="A56" i="71"/>
  <c r="D54" i="71"/>
  <c r="A58" i="67"/>
  <c r="D56" i="67"/>
  <c r="A56" i="58"/>
  <c r="D54" i="58"/>
  <c r="A612" i="40"/>
  <c r="C613" i="40"/>
  <c r="KN612" i="40"/>
  <c r="AW612" i="40"/>
  <c r="BA612" i="40"/>
  <c r="BB612" i="40"/>
  <c r="AX612" i="40"/>
  <c r="AZ612" i="40"/>
  <c r="AD30" i="68"/>
  <c r="JT92" i="40"/>
  <c r="JU92" i="40"/>
  <c r="AD30" i="58"/>
  <c r="AD30" i="62"/>
  <c r="AD30" i="71"/>
  <c r="AD30" i="69"/>
  <c r="AD30" i="66"/>
  <c r="AD30" i="67"/>
  <c r="D56" i="62"/>
  <c r="A58" i="62"/>
  <c r="A54" i="66"/>
  <c r="D52" i="66"/>
  <c r="D62" i="68"/>
  <c r="A64" i="68"/>
  <c r="A56" i="69"/>
  <c r="D54" i="69"/>
  <c r="DM46" i="52"/>
  <c r="DM48" i="52"/>
  <c r="DM19" i="52"/>
  <c r="DM47" i="52"/>
  <c r="DM18" i="52"/>
  <c r="DM17" i="52"/>
  <c r="DM50" i="52"/>
  <c r="DM49" i="52"/>
  <c r="DM20" i="52"/>
  <c r="DM51" i="52"/>
  <c r="DM22" i="52"/>
  <c r="DM21" i="52"/>
  <c r="DM52" i="52"/>
  <c r="DM25" i="52"/>
  <c r="DM24" i="52"/>
  <c r="DM23" i="52"/>
  <c r="DM54" i="52"/>
  <c r="DM53" i="52"/>
  <c r="DM55" i="52"/>
  <c r="DM26" i="52"/>
  <c r="DM27" i="52"/>
  <c r="DM57" i="52"/>
  <c r="DM28" i="52"/>
  <c r="DM56" i="52"/>
  <c r="DM31" i="52"/>
  <c r="DM30" i="52"/>
  <c r="DM58" i="52"/>
  <c r="DM59" i="52"/>
  <c r="DM29" i="52"/>
  <c r="DM60" i="52"/>
  <c r="A18" i="39"/>
  <c r="JO93" i="40"/>
  <c r="DM86" i="40"/>
  <c r="DM87" i="40"/>
  <c r="DM89" i="40"/>
  <c r="DM88" i="40"/>
  <c r="DM610" i="40"/>
  <c r="DM601" i="40"/>
  <c r="DM606" i="40"/>
  <c r="DM611" i="40"/>
  <c r="DM613" i="40"/>
  <c r="DM605" i="40"/>
  <c r="DM612" i="40"/>
  <c r="DM603" i="40"/>
  <c r="DM604" i="40"/>
  <c r="DM609" i="40"/>
  <c r="DM608" i="40"/>
  <c r="DM602" i="40"/>
  <c r="DM607" i="40"/>
  <c r="A58" i="69"/>
  <c r="D56" i="69"/>
  <c r="A56" i="66"/>
  <c r="D54" i="66"/>
  <c r="A66" i="68"/>
  <c r="D64" i="68"/>
  <c r="A60" i="62"/>
  <c r="D58" i="62"/>
  <c r="AF30" i="68"/>
  <c r="AF30" i="69"/>
  <c r="AF30" i="66"/>
  <c r="AF30" i="62"/>
  <c r="JV92" i="40"/>
  <c r="JW92" i="40"/>
  <c r="JX92" i="40"/>
  <c r="JY92" i="40"/>
  <c r="JZ92" i="40"/>
  <c r="KA92" i="40"/>
  <c r="KB92" i="40"/>
  <c r="KC92" i="40"/>
  <c r="KD92" i="40"/>
  <c r="KE92" i="40"/>
  <c r="KF92" i="40"/>
  <c r="KG92" i="40"/>
  <c r="KH92" i="40"/>
  <c r="KI92" i="40"/>
  <c r="KJ92" i="40"/>
  <c r="KK92" i="40"/>
  <c r="KL92" i="40"/>
  <c r="KM92" i="40"/>
  <c r="KN92" i="40"/>
  <c r="KO92" i="40"/>
  <c r="KQ92" i="40"/>
  <c r="KP92" i="40"/>
  <c r="KR92" i="40"/>
  <c r="KS92" i="40"/>
  <c r="KT92" i="40"/>
  <c r="KU92" i="40"/>
  <c r="KV92" i="40"/>
  <c r="AF30" i="71"/>
  <c r="AF30" i="58"/>
  <c r="AF30" i="67"/>
  <c r="KN613" i="40"/>
  <c r="C614" i="40"/>
  <c r="A613" i="40"/>
  <c r="AW613" i="40"/>
  <c r="BA613" i="40"/>
  <c r="BB613" i="40"/>
  <c r="AX613" i="40"/>
  <c r="AZ613" i="40"/>
  <c r="BX613" i="40"/>
  <c r="D56" i="58"/>
  <c r="A58" i="58"/>
  <c r="A60" i="67"/>
  <c r="D58" i="67"/>
  <c r="A58" i="71"/>
  <c r="D56" i="71"/>
  <c r="A19" i="39"/>
  <c r="A20" i="39"/>
  <c r="JU93" i="40"/>
  <c r="JO701" i="40"/>
  <c r="JO205" i="40"/>
  <c r="JO201" i="40"/>
  <c r="JO204" i="40"/>
  <c r="JO206" i="40"/>
  <c r="JO209" i="40"/>
  <c r="JO207" i="40"/>
  <c r="JO202" i="40"/>
  <c r="JO103" i="40"/>
  <c r="JO208" i="40"/>
  <c r="JO101" i="40"/>
  <c r="JO203" i="40"/>
  <c r="JO102" i="40"/>
  <c r="JO104" i="40"/>
  <c r="JO308" i="40"/>
  <c r="JO323" i="40"/>
  <c r="JO337" i="40"/>
  <c r="JO352" i="40"/>
  <c r="JO309" i="40"/>
  <c r="JO324" i="40"/>
  <c r="JO340" i="40"/>
  <c r="JO305" i="40"/>
  <c r="JO322" i="40"/>
  <c r="JO336" i="40"/>
  <c r="JO347" i="40"/>
  <c r="JO335" i="40"/>
  <c r="JO314" i="40"/>
  <c r="JO360" i="40"/>
  <c r="JO332" i="40"/>
  <c r="JO350" i="40"/>
  <c r="JO312" i="40"/>
  <c r="JO327" i="40"/>
  <c r="JO342" i="40"/>
  <c r="JO301" i="40"/>
  <c r="JO313" i="40"/>
  <c r="JO328" i="40"/>
  <c r="JO346" i="40"/>
  <c r="JO311" i="40"/>
  <c r="JO326" i="40"/>
  <c r="JO339" i="40"/>
  <c r="JO351" i="40"/>
  <c r="JO353" i="40"/>
  <c r="JO356" i="40"/>
  <c r="JO357" i="40"/>
  <c r="JO306" i="40"/>
  <c r="JO334" i="40"/>
  <c r="JO303" i="40"/>
  <c r="JO338" i="40"/>
  <c r="JO318" i="40"/>
  <c r="JO344" i="40"/>
  <c r="JO361" i="40"/>
  <c r="JO325" i="40"/>
  <c r="JO319" i="40"/>
  <c r="JO345" i="40"/>
  <c r="JO315" i="40"/>
  <c r="JO349" i="40"/>
  <c r="JO329" i="40"/>
  <c r="JO354" i="40"/>
  <c r="JO310" i="40"/>
  <c r="JO320" i="40"/>
  <c r="JO321" i="40"/>
  <c r="JO333" i="40"/>
  <c r="JO355" i="40"/>
  <c r="JO330" i="40"/>
  <c r="JO302" i="40"/>
  <c r="JO331" i="40"/>
  <c r="JO316" i="40"/>
  <c r="JO341" i="40"/>
  <c r="JO358" i="40"/>
  <c r="JO343" i="40"/>
  <c r="JO348" i="40"/>
  <c r="JO304" i="40"/>
  <c r="JO307" i="40"/>
  <c r="JO317" i="40"/>
  <c r="JO359" i="40"/>
  <c r="JO401" i="40"/>
  <c r="JO414" i="40"/>
  <c r="JO403" i="40"/>
  <c r="JO408" i="40"/>
  <c r="JO406" i="40"/>
  <c r="JO410" i="40"/>
  <c r="JO411" i="40"/>
  <c r="JO409" i="40"/>
  <c r="JO404" i="40"/>
  <c r="JO412" i="40"/>
  <c r="JO405" i="40"/>
  <c r="JO407" i="40"/>
  <c r="JO413" i="40"/>
  <c r="JO402" i="40"/>
  <c r="JO510" i="40"/>
  <c r="JO513" i="40"/>
  <c r="JO509" i="40"/>
  <c r="JO511" i="40"/>
  <c r="JO505" i="40"/>
  <c r="JO507" i="40"/>
  <c r="JO502" i="40"/>
  <c r="JO504" i="40"/>
  <c r="JO512" i="40"/>
  <c r="JO508" i="40"/>
  <c r="JO503" i="40"/>
  <c r="JO506" i="40"/>
  <c r="JO514" i="40"/>
  <c r="JO501" i="40"/>
  <c r="JO611" i="40"/>
  <c r="JO610" i="40"/>
  <c r="JO601" i="40"/>
  <c r="JO614" i="40"/>
  <c r="JO607" i="40"/>
  <c r="JO612" i="40"/>
  <c r="JO608" i="40"/>
  <c r="JO613" i="40"/>
  <c r="JO609" i="40"/>
  <c r="JO604" i="40"/>
  <c r="JO606" i="40"/>
  <c r="JO605" i="40"/>
  <c r="JO602" i="40"/>
  <c r="JO603" i="40"/>
  <c r="D58" i="58"/>
  <c r="A60" i="58"/>
  <c r="KN614" i="40"/>
  <c r="C615" i="40"/>
  <c r="A614" i="40"/>
  <c r="AW614" i="40"/>
  <c r="BA614" i="40"/>
  <c r="BB614" i="40"/>
  <c r="AX614" i="40"/>
  <c r="AZ614" i="40"/>
  <c r="BX614" i="40"/>
  <c r="DM614" i="40"/>
  <c r="A68" i="68"/>
  <c r="D66" i="68"/>
  <c r="A58" i="66"/>
  <c r="D56" i="66"/>
  <c r="D60" i="62"/>
  <c r="A62" i="62"/>
  <c r="D58" i="71"/>
  <c r="A60" i="71"/>
  <c r="D60" i="67"/>
  <c r="A62" i="67"/>
  <c r="D58" i="69"/>
  <c r="A60" i="69"/>
  <c r="Q9" i="59"/>
  <c r="Q11" i="59"/>
  <c r="A21" i="39"/>
  <c r="Q10" i="59"/>
  <c r="JP93" i="40"/>
  <c r="JO415" i="40"/>
  <c r="A60" i="66"/>
  <c r="D58" i="66"/>
  <c r="D68" i="68"/>
  <c r="A70" i="68"/>
  <c r="D70" i="68"/>
  <c r="A62" i="71"/>
  <c r="D60" i="71"/>
  <c r="D62" i="62"/>
  <c r="A64" i="62"/>
  <c r="A62" i="58"/>
  <c r="D60" i="58"/>
  <c r="C616" i="40"/>
  <c r="KN615" i="40"/>
  <c r="A615" i="40"/>
  <c r="AW615" i="40"/>
  <c r="BA615" i="40"/>
  <c r="BB615" i="40"/>
  <c r="AX615" i="40"/>
  <c r="AZ615" i="40"/>
  <c r="BX615" i="40"/>
  <c r="DM615" i="40"/>
  <c r="JO615" i="40"/>
  <c r="D60" i="69"/>
  <c r="A62" i="69"/>
  <c r="D62" i="67"/>
  <c r="A64" i="67"/>
  <c r="JO515" i="40"/>
  <c r="IX93" i="40"/>
  <c r="A22" i="39"/>
  <c r="JP701" i="40"/>
  <c r="A616" i="40"/>
  <c r="KN616" i="40"/>
  <c r="C617" i="40"/>
  <c r="AW616" i="40"/>
  <c r="BA616" i="40"/>
  <c r="BB616" i="40"/>
  <c r="AX616" i="40"/>
  <c r="AZ616" i="40"/>
  <c r="BX616" i="40"/>
  <c r="DM616" i="40"/>
  <c r="JO616" i="40"/>
  <c r="A64" i="69"/>
  <c r="D62" i="69"/>
  <c r="JO516" i="40"/>
  <c r="A64" i="71"/>
  <c r="D62" i="71"/>
  <c r="A62" i="66"/>
  <c r="D60" i="66"/>
  <c r="A66" i="67"/>
  <c r="D64" i="67"/>
  <c r="D62" i="58"/>
  <c r="A64" i="58"/>
  <c r="D64" i="62"/>
  <c r="A66" i="62"/>
  <c r="JO416" i="40"/>
  <c r="A24" i="39"/>
  <c r="IY93" i="40"/>
  <c r="D66" i="62"/>
  <c r="A68" i="62"/>
  <c r="JO517" i="40"/>
  <c r="A66" i="69"/>
  <c r="D64" i="69"/>
  <c r="C618" i="40"/>
  <c r="A617" i="40"/>
  <c r="KN617" i="40"/>
  <c r="AW617" i="40"/>
  <c r="BA617" i="40"/>
  <c r="BB617" i="40"/>
  <c r="AX617" i="40"/>
  <c r="AZ617" i="40"/>
  <c r="BX617" i="40"/>
  <c r="DM617" i="40"/>
  <c r="JO617" i="40"/>
  <c r="D62" i="66"/>
  <c r="A64" i="66"/>
  <c r="JO417" i="40"/>
  <c r="D64" i="58"/>
  <c r="A66" i="58"/>
  <c r="A68" i="67"/>
  <c r="D66" i="67"/>
  <c r="A66" i="71"/>
  <c r="D64" i="71"/>
  <c r="IX94" i="40"/>
  <c r="A25" i="39"/>
  <c r="A26" i="39"/>
  <c r="IY94" i="40"/>
  <c r="IZ94" i="40"/>
  <c r="IZ93" i="40"/>
  <c r="IY102" i="40"/>
  <c r="JO418" i="40"/>
  <c r="A68" i="69"/>
  <c r="D66" i="69"/>
  <c r="JO518" i="40"/>
  <c r="D68" i="67"/>
  <c r="A70" i="67"/>
  <c r="D70" i="67"/>
  <c r="IY104" i="40"/>
  <c r="D66" i="71"/>
  <c r="A68" i="71"/>
  <c r="D66" i="58"/>
  <c r="A68" i="58"/>
  <c r="A66" i="66"/>
  <c r="D64" i="66"/>
  <c r="A618" i="40"/>
  <c r="C619" i="40"/>
  <c r="KN618" i="40"/>
  <c r="AW618" i="40"/>
  <c r="BA618" i="40"/>
  <c r="BB618" i="40"/>
  <c r="AX618" i="40"/>
  <c r="AZ618" i="40"/>
  <c r="BX618" i="40"/>
  <c r="DM618" i="40"/>
  <c r="JO618" i="40"/>
  <c r="D68" i="62"/>
  <c r="A70" i="62"/>
  <c r="D70" i="62"/>
  <c r="IY101" i="40"/>
  <c r="IY103" i="40"/>
  <c r="IZ104" i="40"/>
  <c r="IZ101" i="40"/>
  <c r="IZ103" i="40"/>
  <c r="IZ102" i="40"/>
  <c r="IX101" i="40"/>
  <c r="IX103" i="40"/>
  <c r="IX104" i="40"/>
  <c r="IX102" i="40"/>
  <c r="HY93" i="40"/>
  <c r="HJ10" i="52"/>
  <c r="A27" i="39"/>
  <c r="A70" i="58"/>
  <c r="D70" i="58"/>
  <c r="D68" i="58"/>
  <c r="JO519" i="40"/>
  <c r="JO419" i="40"/>
  <c r="HJ46" i="52"/>
  <c r="HJ50" i="52"/>
  <c r="HJ54" i="52"/>
  <c r="HJ58" i="52"/>
  <c r="HJ53" i="52"/>
  <c r="HJ49" i="52"/>
  <c r="HJ48" i="52"/>
  <c r="HJ52" i="52"/>
  <c r="HJ56" i="52"/>
  <c r="HJ60" i="52"/>
  <c r="HJ47" i="52"/>
  <c r="HJ51" i="52"/>
  <c r="HJ55" i="52"/>
  <c r="HJ59" i="52"/>
  <c r="HJ57" i="52"/>
  <c r="A68" i="66"/>
  <c r="D66" i="66"/>
  <c r="A619" i="40"/>
  <c r="KN619" i="40"/>
  <c r="C620" i="40"/>
  <c r="AW619" i="40"/>
  <c r="BA619" i="40"/>
  <c r="BB619" i="40"/>
  <c r="AX619" i="40"/>
  <c r="AZ619" i="40"/>
  <c r="BX619" i="40"/>
  <c r="DM619" i="40"/>
  <c r="JO619" i="40"/>
  <c r="A70" i="71"/>
  <c r="D70" i="71"/>
  <c r="D68" i="71"/>
  <c r="A70" i="69"/>
  <c r="D70" i="69"/>
  <c r="D68" i="69"/>
  <c r="A28" i="39"/>
  <c r="HJ17" i="52"/>
  <c r="HK10" i="52"/>
  <c r="HJ18" i="52"/>
  <c r="HJ19" i="52"/>
  <c r="HJ20" i="52"/>
  <c r="HJ22" i="52"/>
  <c r="HJ21" i="52"/>
  <c r="HJ25" i="52"/>
  <c r="HJ24" i="52"/>
  <c r="HJ23" i="52"/>
  <c r="HJ27" i="52"/>
  <c r="HJ26" i="52"/>
  <c r="HJ28" i="52"/>
  <c r="HJ29" i="52"/>
  <c r="HJ31" i="52"/>
  <c r="HJ30" i="52"/>
  <c r="HZ93" i="40"/>
  <c r="A70" i="66"/>
  <c r="D70" i="66"/>
  <c r="D68" i="66"/>
  <c r="JO420" i="40"/>
  <c r="HK47" i="52"/>
  <c r="HK51" i="52"/>
  <c r="HK58" i="52"/>
  <c r="HK46" i="52"/>
  <c r="HK49" i="52"/>
  <c r="HK53" i="52"/>
  <c r="HK57" i="52"/>
  <c r="HK48" i="52"/>
  <c r="HK52" i="52"/>
  <c r="HK56" i="52"/>
  <c r="HK60" i="52"/>
  <c r="HK55" i="52"/>
  <c r="HK59" i="52"/>
  <c r="HK50" i="52"/>
  <c r="HK54" i="52"/>
  <c r="KN620" i="40"/>
  <c r="C621" i="40"/>
  <c r="A620" i="40"/>
  <c r="AW620" i="40"/>
  <c r="BA620" i="40"/>
  <c r="BB620" i="40"/>
  <c r="AX620" i="40"/>
  <c r="AZ620" i="40"/>
  <c r="BX620" i="40"/>
  <c r="DM620" i="40"/>
  <c r="JO620" i="40"/>
  <c r="JO520" i="40"/>
  <c r="HK22" i="52"/>
  <c r="HK18" i="52"/>
  <c r="HL10" i="52"/>
  <c r="HK17" i="52"/>
  <c r="HK21" i="52"/>
  <c r="HK19" i="52"/>
  <c r="HK24" i="52"/>
  <c r="HK23" i="52"/>
  <c r="HK25" i="52"/>
  <c r="HK26" i="52"/>
  <c r="HK27" i="52"/>
  <c r="HK28" i="52"/>
  <c r="HK31" i="52"/>
  <c r="HK30" i="52"/>
  <c r="HK29" i="52"/>
  <c r="IA93" i="40"/>
  <c r="A29" i="39"/>
  <c r="HK20" i="52"/>
  <c r="KN621" i="40"/>
  <c r="C622" i="40"/>
  <c r="A621" i="40"/>
  <c r="AW621" i="40"/>
  <c r="BA621" i="40"/>
  <c r="BB621" i="40"/>
  <c r="AX621" i="40"/>
  <c r="AZ621" i="40"/>
  <c r="BX621" i="40"/>
  <c r="DM621" i="40"/>
  <c r="JO621" i="40"/>
  <c r="HL48" i="52"/>
  <c r="HL51" i="52"/>
  <c r="HL47" i="52"/>
  <c r="HL50" i="52"/>
  <c r="HL54" i="52"/>
  <c r="HL53" i="52"/>
  <c r="HL57" i="52"/>
  <c r="HL56" i="52"/>
  <c r="HL60" i="52"/>
  <c r="HL59" i="52"/>
  <c r="JO521" i="40"/>
  <c r="JO421" i="40"/>
  <c r="A30" i="39"/>
  <c r="A31" i="39"/>
  <c r="JG93" i="40"/>
  <c r="P25" i="39"/>
  <c r="H25" i="39"/>
  <c r="N25" i="39"/>
  <c r="L25" i="39"/>
  <c r="J25" i="39"/>
  <c r="HL18" i="52"/>
  <c r="HL22" i="52"/>
  <c r="HL21" i="52"/>
  <c r="HL19" i="52"/>
  <c r="HL25" i="52"/>
  <c r="HL24" i="52"/>
  <c r="HL27" i="52"/>
  <c r="HL28" i="52"/>
  <c r="HL31" i="52"/>
  <c r="HL30" i="52"/>
  <c r="JO422" i="40"/>
  <c r="C623" i="40"/>
  <c r="A622" i="40"/>
  <c r="KN622" i="40"/>
  <c r="AW622" i="40"/>
  <c r="BA622" i="40"/>
  <c r="BB622" i="40"/>
  <c r="AX622" i="40"/>
  <c r="AZ622" i="40"/>
  <c r="BX622" i="40"/>
  <c r="DM622" i="40"/>
  <c r="JO622" i="40"/>
  <c r="JO522" i="40"/>
  <c r="R28" i="39"/>
  <c r="R27" i="39"/>
  <c r="R26" i="39" s="1"/>
  <c r="BC10" i="52"/>
  <c r="A32" i="39"/>
  <c r="A33" i="39"/>
  <c r="BC93" i="40"/>
  <c r="R29" i="39"/>
  <c r="A623" i="40"/>
  <c r="KN623" i="40"/>
  <c r="C624" i="40"/>
  <c r="AW623" i="40"/>
  <c r="BA623" i="40"/>
  <c r="BB623" i="40"/>
  <c r="AX623" i="40"/>
  <c r="AZ623" i="40"/>
  <c r="BX623" i="40"/>
  <c r="DM623" i="40"/>
  <c r="JO623" i="40"/>
  <c r="JO423" i="40"/>
  <c r="JO523" i="40"/>
  <c r="R23" i="39"/>
  <c r="A34" i="39"/>
  <c r="CJ10" i="52"/>
  <c r="CJ93" i="40"/>
  <c r="BC19" i="52"/>
  <c r="BC27" i="52"/>
  <c r="BC55" i="52"/>
  <c r="BC22" i="52"/>
  <c r="BC52" i="52"/>
  <c r="BC54" i="52"/>
  <c r="BC59" i="52"/>
  <c r="BC46" i="52"/>
  <c r="BC48" i="52"/>
  <c r="BC56" i="52"/>
  <c r="BC20" i="52"/>
  <c r="BC53" i="52"/>
  <c r="BC23" i="52"/>
  <c r="BC31" i="52"/>
  <c r="BC17" i="52"/>
  <c r="BC57" i="52"/>
  <c r="BC26" i="52"/>
  <c r="BC49" i="52"/>
  <c r="BC50" i="52"/>
  <c r="BC24" i="52"/>
  <c r="BC30" i="52"/>
  <c r="BC60" i="52"/>
  <c r="BC18" i="52"/>
  <c r="BC29" i="52"/>
  <c r="BC21" i="52"/>
  <c r="BC47" i="52"/>
  <c r="BC51" i="52"/>
  <c r="BC58" i="52"/>
  <c r="BC28" i="52"/>
  <c r="BC25" i="52"/>
  <c r="BC87" i="40"/>
  <c r="BC603" i="40"/>
  <c r="BC620" i="40"/>
  <c r="BC624" i="40"/>
  <c r="BC602" i="40"/>
  <c r="BC605" i="40"/>
  <c r="BC89" i="40"/>
  <c r="BC619" i="40"/>
  <c r="BC609" i="40"/>
  <c r="BC607" i="40"/>
  <c r="BC613" i="40"/>
  <c r="BC611" i="40"/>
  <c r="BC601" i="40"/>
  <c r="BC618" i="40"/>
  <c r="BC621" i="40"/>
  <c r="BC86" i="40"/>
  <c r="BC622" i="40"/>
  <c r="BC604" i="40"/>
  <c r="BC610" i="40"/>
  <c r="BC608" i="40"/>
  <c r="BC614" i="40"/>
  <c r="BC612" i="40"/>
  <c r="BC615" i="40"/>
  <c r="BC606" i="40"/>
  <c r="BC623" i="40"/>
  <c r="BC88" i="40"/>
  <c r="BC617" i="40"/>
  <c r="BC616" i="40"/>
  <c r="JO424" i="40"/>
  <c r="JO524" i="40"/>
  <c r="KN624" i="40"/>
  <c r="C625" i="40"/>
  <c r="A624" i="40"/>
  <c r="AW624" i="40"/>
  <c r="BA624" i="40"/>
  <c r="BB624" i="40"/>
  <c r="AX624" i="40"/>
  <c r="AZ624" i="40"/>
  <c r="BX624" i="40"/>
  <c r="DM624" i="40"/>
  <c r="JO624" i="40"/>
  <c r="CJ86" i="40"/>
  <c r="CJ87" i="40"/>
  <c r="CJ88" i="40"/>
  <c r="CJ89" i="40"/>
  <c r="CJ17" i="52"/>
  <c r="A35" i="39"/>
  <c r="A36" i="39"/>
  <c r="A37" i="39"/>
  <c r="A38" i="39"/>
  <c r="A39" i="39"/>
  <c r="A40" i="39"/>
  <c r="BD10" i="52"/>
  <c r="BD93" i="40"/>
  <c r="KN625" i="40"/>
  <c r="C626" i="40"/>
  <c r="A625" i="40"/>
  <c r="AW625" i="40"/>
  <c r="BA625" i="40"/>
  <c r="BB625" i="40"/>
  <c r="AX625" i="40"/>
  <c r="AZ625" i="40"/>
  <c r="BX625" i="40"/>
  <c r="DM625" i="40"/>
  <c r="JO625" i="40"/>
  <c r="BC625" i="40"/>
  <c r="JO525" i="40"/>
  <c r="JO425" i="40"/>
  <c r="A41" i="39"/>
  <c r="A42" i="39"/>
  <c r="A43" i="39"/>
  <c r="A44" i="39"/>
  <c r="A45" i="39"/>
  <c r="A46" i="39"/>
  <c r="BI10" i="52"/>
  <c r="BI93" i="40"/>
  <c r="BD57" i="52"/>
  <c r="BD19" i="52"/>
  <c r="BD56" i="52"/>
  <c r="BD30" i="52"/>
  <c r="BD52" i="52"/>
  <c r="BD58" i="52"/>
  <c r="BD18" i="52"/>
  <c r="BD20" i="52"/>
  <c r="BD59" i="52"/>
  <c r="BD47" i="52"/>
  <c r="BD50" i="52"/>
  <c r="BD25" i="52"/>
  <c r="BD54" i="52"/>
  <c r="BD26" i="52"/>
  <c r="BD46" i="52"/>
  <c r="BD21" i="52"/>
  <c r="BE10" i="52"/>
  <c r="BD24" i="52"/>
  <c r="BD29" i="52"/>
  <c r="BD48" i="52"/>
  <c r="BD17" i="52"/>
  <c r="BD60" i="52"/>
  <c r="BD28" i="52"/>
  <c r="BD49" i="52"/>
  <c r="BD23" i="52"/>
  <c r="BD22" i="52"/>
  <c r="BD51" i="52"/>
  <c r="BD31" i="52"/>
  <c r="BD55" i="52"/>
  <c r="BD53" i="52"/>
  <c r="BD27" i="52"/>
  <c r="BD608" i="40"/>
  <c r="BD607" i="40"/>
  <c r="BD615" i="40"/>
  <c r="BD612" i="40"/>
  <c r="BD613" i="40"/>
  <c r="BD621" i="40"/>
  <c r="BD605" i="40"/>
  <c r="BD625" i="40"/>
  <c r="BD624" i="40"/>
  <c r="BD86" i="40"/>
  <c r="BD616" i="40"/>
  <c r="BD618" i="40"/>
  <c r="BD626" i="40"/>
  <c r="BD604" i="40"/>
  <c r="BD602" i="40"/>
  <c r="J604" i="40" s="1"/>
  <c r="BD610" i="40"/>
  <c r="BD617" i="40"/>
  <c r="BD601" i="40"/>
  <c r="BD87" i="40"/>
  <c r="BD88" i="40"/>
  <c r="BD611" i="40"/>
  <c r="BD609" i="40"/>
  <c r="BD614" i="40"/>
  <c r="BD606" i="40"/>
  <c r="BD89" i="40"/>
  <c r="BD619" i="40"/>
  <c r="BD603" i="40"/>
  <c r="BE93" i="40"/>
  <c r="BD622" i="40"/>
  <c r="BD620" i="40"/>
  <c r="BD623" i="40"/>
  <c r="JO526" i="40"/>
  <c r="JO426" i="40"/>
  <c r="A626" i="40"/>
  <c r="C627" i="40"/>
  <c r="KN626" i="40"/>
  <c r="AW626" i="40"/>
  <c r="BA626" i="40"/>
  <c r="BB626" i="40"/>
  <c r="AX626" i="40"/>
  <c r="AZ626" i="40"/>
  <c r="BX626" i="40"/>
  <c r="DM626" i="40"/>
  <c r="JO626" i="40"/>
  <c r="BC626" i="40"/>
  <c r="BE615" i="40"/>
  <c r="BE605" i="40"/>
  <c r="BE619" i="40"/>
  <c r="BE609" i="40"/>
  <c r="BE626" i="40"/>
  <c r="BE616" i="40"/>
  <c r="BE89" i="40"/>
  <c r="BE611" i="40"/>
  <c r="BE602" i="40"/>
  <c r="K604" i="40" s="1"/>
  <c r="BE618" i="40"/>
  <c r="BE608" i="40"/>
  <c r="BE88" i="40"/>
  <c r="BE622" i="40"/>
  <c r="BE612" i="40"/>
  <c r="BE87" i="40"/>
  <c r="BE623" i="40"/>
  <c r="BE613" i="40"/>
  <c r="BE614" i="40"/>
  <c r="BE604" i="40"/>
  <c r="BE624" i="40"/>
  <c r="BE86" i="40"/>
  <c r="BE603" i="40"/>
  <c r="BE610" i="40"/>
  <c r="BE620" i="40"/>
  <c r="BF93" i="40"/>
  <c r="BE625" i="40"/>
  <c r="BE606" i="40"/>
  <c r="BE607" i="40"/>
  <c r="BE617" i="40"/>
  <c r="BE601" i="40"/>
  <c r="BE627" i="40"/>
  <c r="BE621" i="40"/>
  <c r="BI627" i="40"/>
  <c r="BI621" i="40"/>
  <c r="BJ93" i="40"/>
  <c r="BI612" i="40"/>
  <c r="BI606" i="40"/>
  <c r="BI620" i="40"/>
  <c r="BI614" i="40"/>
  <c r="BI624" i="40"/>
  <c r="BI618" i="40"/>
  <c r="BI615" i="40"/>
  <c r="BI609" i="40"/>
  <c r="BI88" i="40"/>
  <c r="BI603" i="40"/>
  <c r="BI626" i="40"/>
  <c r="BI623" i="40"/>
  <c r="BI617" i="40"/>
  <c r="BI89" i="40"/>
  <c r="BI611" i="40"/>
  <c r="BI605" i="40"/>
  <c r="BI625" i="40"/>
  <c r="BI87" i="40"/>
  <c r="BI619" i="40"/>
  <c r="BI613" i="40"/>
  <c r="BI86" i="40"/>
  <c r="BI604" i="40"/>
  <c r="BI610" i="40"/>
  <c r="BI607" i="40"/>
  <c r="BI608" i="40"/>
  <c r="BI622" i="40"/>
  <c r="BI616" i="40"/>
  <c r="BI602" i="40"/>
  <c r="BI601" i="40"/>
  <c r="BE29" i="52"/>
  <c r="BE18" i="52"/>
  <c r="BE50" i="52"/>
  <c r="BE31" i="52"/>
  <c r="BE28" i="52"/>
  <c r="BE20" i="52"/>
  <c r="BE48" i="52"/>
  <c r="BE26" i="52"/>
  <c r="BE57" i="52"/>
  <c r="BE19" i="52"/>
  <c r="BE55" i="52"/>
  <c r="BE24" i="52"/>
  <c r="BE46" i="52"/>
  <c r="BE58" i="52"/>
  <c r="BE59" i="52"/>
  <c r="BE49" i="52"/>
  <c r="BE53" i="52"/>
  <c r="BE60" i="52"/>
  <c r="BE30" i="52"/>
  <c r="BE17" i="52"/>
  <c r="BE52" i="52"/>
  <c r="BF10" i="52"/>
  <c r="BE27" i="52"/>
  <c r="BE51" i="52"/>
  <c r="BE22" i="52"/>
  <c r="BE21" i="52"/>
  <c r="BE47" i="52"/>
  <c r="BE23" i="52"/>
  <c r="BE25" i="52"/>
  <c r="BE56" i="52"/>
  <c r="BE54" i="52"/>
  <c r="BI55" i="52"/>
  <c r="BI58" i="52"/>
  <c r="BI29" i="52"/>
  <c r="BI59" i="52"/>
  <c r="BI31" i="52"/>
  <c r="BI17" i="52"/>
  <c r="BI53" i="52"/>
  <c r="BI50" i="52"/>
  <c r="BI51" i="52"/>
  <c r="BI21" i="52"/>
  <c r="BI60" i="52"/>
  <c r="BJ10" i="52"/>
  <c r="BI22" i="52"/>
  <c r="BI57" i="52"/>
  <c r="BI27" i="52"/>
  <c r="BI56" i="52"/>
  <c r="BI49" i="52"/>
  <c r="BI26" i="52"/>
  <c r="BI25" i="52"/>
  <c r="BI47" i="52"/>
  <c r="BI23" i="52"/>
  <c r="BI48" i="52"/>
  <c r="BI54" i="52"/>
  <c r="BI24" i="52"/>
  <c r="BI52" i="52"/>
  <c r="BI20" i="52"/>
  <c r="BI46" i="52"/>
  <c r="BI30" i="52"/>
  <c r="BI28" i="52"/>
  <c r="BI18" i="52"/>
  <c r="BI19" i="52"/>
  <c r="A47" i="39"/>
  <c r="A48" i="39"/>
  <c r="A49" i="39"/>
  <c r="A50" i="39"/>
  <c r="A51" i="39"/>
  <c r="A52" i="39"/>
  <c r="BN10" i="52"/>
  <c r="BN93" i="40"/>
  <c r="JO427" i="40"/>
  <c r="JO527" i="40"/>
  <c r="C628" i="40"/>
  <c r="KN627" i="40"/>
  <c r="A627" i="40"/>
  <c r="AW627" i="40"/>
  <c r="BA627" i="40"/>
  <c r="BB627" i="40"/>
  <c r="AX627" i="40"/>
  <c r="AZ627" i="40"/>
  <c r="BX627" i="40"/>
  <c r="DM627" i="40"/>
  <c r="JO627" i="40"/>
  <c r="BC627" i="40"/>
  <c r="BD627" i="40"/>
  <c r="BJ49" i="52"/>
  <c r="BJ59" i="52"/>
  <c r="BJ53" i="52"/>
  <c r="BJ46" i="52"/>
  <c r="BJ27" i="52"/>
  <c r="BJ22" i="52"/>
  <c r="BJ56" i="52"/>
  <c r="BJ51" i="52"/>
  <c r="BJ17" i="52"/>
  <c r="BJ50" i="52"/>
  <c r="BJ47" i="52"/>
  <c r="BJ29" i="52"/>
  <c r="BJ24" i="52"/>
  <c r="BJ23" i="52"/>
  <c r="BJ25" i="52"/>
  <c r="BJ19" i="52"/>
  <c r="BJ30" i="52"/>
  <c r="BJ60" i="52"/>
  <c r="BJ26" i="52"/>
  <c r="BJ54" i="52"/>
  <c r="BJ57" i="52"/>
  <c r="BK10" i="52"/>
  <c r="BJ18" i="52"/>
  <c r="BJ20" i="52"/>
  <c r="BJ31" i="52"/>
  <c r="BJ28" i="52"/>
  <c r="BJ21" i="52"/>
  <c r="BJ55" i="52"/>
  <c r="BJ58" i="52"/>
  <c r="BJ52" i="52"/>
  <c r="BJ48" i="52"/>
  <c r="BF17" i="52"/>
  <c r="BF20" i="52"/>
  <c r="BF58" i="52"/>
  <c r="BF26" i="52"/>
  <c r="BF46" i="52"/>
  <c r="BF53" i="52"/>
  <c r="BF50" i="52"/>
  <c r="BF31" i="52"/>
  <c r="BF28" i="52"/>
  <c r="BF24" i="52"/>
  <c r="BF19" i="52"/>
  <c r="BF22" i="52"/>
  <c r="BF18" i="52"/>
  <c r="BF60" i="52"/>
  <c r="BF51" i="52"/>
  <c r="BF59" i="52"/>
  <c r="BG10" i="52"/>
  <c r="BF49" i="52"/>
  <c r="BF29" i="52"/>
  <c r="BF56" i="52"/>
  <c r="BF30" i="52"/>
  <c r="BF21" i="52"/>
  <c r="BF55" i="52"/>
  <c r="BF23" i="52"/>
  <c r="BF57" i="52"/>
  <c r="BF27" i="52"/>
  <c r="BF54" i="52"/>
  <c r="BF52" i="52"/>
  <c r="BF47" i="52"/>
  <c r="BF48" i="52"/>
  <c r="BF25" i="52"/>
  <c r="BS93" i="40"/>
  <c r="BS10" i="52"/>
  <c r="A53" i="39"/>
  <c r="A54" i="39"/>
  <c r="A55" i="39"/>
  <c r="A56" i="39"/>
  <c r="A57" i="39"/>
  <c r="A58" i="39"/>
  <c r="BN619" i="40"/>
  <c r="BN609" i="40"/>
  <c r="BN87" i="40"/>
  <c r="BN616" i="40"/>
  <c r="BN610" i="40"/>
  <c r="BN620" i="40"/>
  <c r="BN614" i="40"/>
  <c r="BN608" i="40"/>
  <c r="BN602" i="40"/>
  <c r="BN625" i="40"/>
  <c r="BN88" i="40"/>
  <c r="BN607" i="40"/>
  <c r="BN626" i="40"/>
  <c r="BN611" i="40"/>
  <c r="BN601" i="40"/>
  <c r="BN624" i="40"/>
  <c r="BN618" i="40"/>
  <c r="BN603" i="40"/>
  <c r="BN628" i="40"/>
  <c r="BN622" i="40"/>
  <c r="BN604" i="40"/>
  <c r="BN621" i="40"/>
  <c r="BN86" i="40"/>
  <c r="BN606" i="40"/>
  <c r="BN613" i="40"/>
  <c r="BN617" i="40"/>
  <c r="BN89" i="40"/>
  <c r="BN612" i="40"/>
  <c r="BN623" i="40"/>
  <c r="BN627" i="40"/>
  <c r="BN605" i="40"/>
  <c r="BN615" i="40"/>
  <c r="BO93" i="40"/>
  <c r="BJ616" i="40"/>
  <c r="BJ610" i="40"/>
  <c r="BJ604" i="40"/>
  <c r="BJ623" i="40"/>
  <c r="BJ621" i="40"/>
  <c r="BJ611" i="40"/>
  <c r="BJ609" i="40"/>
  <c r="BJ626" i="40"/>
  <c r="BK93" i="40"/>
  <c r="BJ620" i="40"/>
  <c r="BJ614" i="40"/>
  <c r="BJ86" i="40"/>
  <c r="BJ608" i="40"/>
  <c r="BJ601" i="40"/>
  <c r="BJ627" i="40"/>
  <c r="BJ625" i="40"/>
  <c r="BJ615" i="40"/>
  <c r="BJ619" i="40"/>
  <c r="BJ617" i="40"/>
  <c r="BJ607" i="40"/>
  <c r="BJ605" i="40"/>
  <c r="BJ628" i="40"/>
  <c r="BJ622" i="40"/>
  <c r="BJ87" i="40"/>
  <c r="BJ88" i="40"/>
  <c r="BJ89" i="40"/>
  <c r="BJ602" i="40"/>
  <c r="BJ603" i="40"/>
  <c r="BJ618" i="40"/>
  <c r="BJ612" i="40"/>
  <c r="BJ613" i="40"/>
  <c r="BJ624" i="40"/>
  <c r="BJ606" i="40"/>
  <c r="BN47" i="52"/>
  <c r="BN48" i="52"/>
  <c r="BN51" i="52"/>
  <c r="BN57" i="52"/>
  <c r="BO10" i="52"/>
  <c r="BN19" i="52"/>
  <c r="BN53" i="52"/>
  <c r="BN49" i="52"/>
  <c r="BN21" i="52"/>
  <c r="BN31" i="52"/>
  <c r="BN50" i="52"/>
  <c r="BN23" i="52"/>
  <c r="BN26" i="52"/>
  <c r="BN58" i="52"/>
  <c r="BN28" i="52"/>
  <c r="BN30" i="52"/>
  <c r="BN24" i="52"/>
  <c r="BN60" i="52"/>
  <c r="BN52" i="52"/>
  <c r="BN29" i="52"/>
  <c r="BN20" i="52"/>
  <c r="BN46" i="52"/>
  <c r="BN17" i="52"/>
  <c r="BN25" i="52"/>
  <c r="BN22" i="52"/>
  <c r="BN59" i="52"/>
  <c r="BN56" i="52"/>
  <c r="BN18" i="52"/>
  <c r="BN55" i="52"/>
  <c r="BN27" i="52"/>
  <c r="BN54" i="52"/>
  <c r="BF612" i="40"/>
  <c r="BF621" i="40"/>
  <c r="BF622" i="40"/>
  <c r="BF616" i="40"/>
  <c r="BF609" i="40"/>
  <c r="BF601" i="40"/>
  <c r="BF618" i="40"/>
  <c r="BF619" i="40"/>
  <c r="BF611" i="40"/>
  <c r="BG93" i="40"/>
  <c r="BF610" i="40"/>
  <c r="BF627" i="40"/>
  <c r="BF614" i="40"/>
  <c r="BF607" i="40"/>
  <c r="BF625" i="40"/>
  <c r="BF617" i="40"/>
  <c r="BF88" i="40"/>
  <c r="BF89" i="40"/>
  <c r="BF615" i="40"/>
  <c r="BF624" i="40"/>
  <c r="BF626" i="40"/>
  <c r="BF602" i="40"/>
  <c r="L604" i="40" s="1"/>
  <c r="BF603" i="40"/>
  <c r="BF620" i="40"/>
  <c r="BF605" i="40"/>
  <c r="BF606" i="40"/>
  <c r="BF86" i="40"/>
  <c r="BF604" i="40"/>
  <c r="BF608" i="40"/>
  <c r="BF628" i="40"/>
  <c r="BF623" i="40"/>
  <c r="BF87" i="40"/>
  <c r="BF613" i="40"/>
  <c r="JO428" i="40"/>
  <c r="KN628" i="40"/>
  <c r="A628" i="40"/>
  <c r="C629" i="40"/>
  <c r="AW628" i="40"/>
  <c r="BA628" i="40"/>
  <c r="BB628" i="40"/>
  <c r="AX628" i="40"/>
  <c r="AZ628" i="40"/>
  <c r="BX628" i="40"/>
  <c r="DM628" i="40"/>
  <c r="JO628" i="40"/>
  <c r="BC628" i="40"/>
  <c r="BD628" i="40"/>
  <c r="BE628" i="40"/>
  <c r="BI628" i="40"/>
  <c r="JO528" i="40"/>
  <c r="BS20" i="52"/>
  <c r="BS47" i="52"/>
  <c r="BS51" i="52"/>
  <c r="BS58" i="52"/>
  <c r="BS49" i="52"/>
  <c r="BS57" i="52"/>
  <c r="BS29" i="52"/>
  <c r="BS25" i="52"/>
  <c r="BS18" i="52"/>
  <c r="BS22" i="52"/>
  <c r="BS53" i="52"/>
  <c r="BS27" i="52"/>
  <c r="BS31" i="52"/>
  <c r="BS26" i="52"/>
  <c r="BT10" i="52"/>
  <c r="BS19" i="52"/>
  <c r="BS59" i="52"/>
  <c r="BS60" i="52"/>
  <c r="BS48" i="52"/>
  <c r="BS55" i="52"/>
  <c r="BS30" i="52"/>
  <c r="BS23" i="52"/>
  <c r="BS46" i="52"/>
  <c r="BS24" i="52"/>
  <c r="BS21" i="52"/>
  <c r="BS50" i="52"/>
  <c r="BS56" i="52"/>
  <c r="BS28" i="52"/>
  <c r="BS54" i="52"/>
  <c r="BS17" i="52"/>
  <c r="BS52" i="52"/>
  <c r="BG28" i="52"/>
  <c r="BG60" i="52"/>
  <c r="BG24" i="52"/>
  <c r="BG29" i="52"/>
  <c r="BG51" i="52"/>
  <c r="BG18" i="52"/>
  <c r="BG49" i="52"/>
  <c r="BG25" i="52"/>
  <c r="BG17" i="52"/>
  <c r="BG57" i="52"/>
  <c r="BG22" i="52"/>
  <c r="BG53" i="52"/>
  <c r="BG56" i="52"/>
  <c r="BG48" i="52"/>
  <c r="BG59" i="52"/>
  <c r="BG54" i="52"/>
  <c r="BG31" i="52"/>
  <c r="BG47" i="52"/>
  <c r="BG52" i="52"/>
  <c r="BG50" i="52"/>
  <c r="BG46" i="52"/>
  <c r="BG58" i="52"/>
  <c r="BG27" i="52"/>
  <c r="BG20" i="52"/>
  <c r="BH10" i="52"/>
  <c r="BG21" i="52"/>
  <c r="BG23" i="52"/>
  <c r="BG19" i="52"/>
  <c r="BG55" i="52"/>
  <c r="BG30" i="52"/>
  <c r="BG26" i="52"/>
  <c r="BS621" i="40"/>
  <c r="BS615" i="40"/>
  <c r="BS612" i="40"/>
  <c r="BS606" i="40"/>
  <c r="BS624" i="40"/>
  <c r="BS618" i="40"/>
  <c r="BT93" i="40"/>
  <c r="BS609" i="40"/>
  <c r="BS603" i="40"/>
  <c r="BS629" i="40"/>
  <c r="BS623" i="40"/>
  <c r="BS604" i="40"/>
  <c r="BS627" i="40"/>
  <c r="BS605" i="40"/>
  <c r="BS86" i="40"/>
  <c r="BS620" i="40"/>
  <c r="BS601" i="40"/>
  <c r="BS608" i="40"/>
  <c r="BS622" i="40"/>
  <c r="BS619" i="40"/>
  <c r="BS616" i="40"/>
  <c r="BS617" i="40"/>
  <c r="BS614" i="40"/>
  <c r="BS625" i="40"/>
  <c r="BS87" i="40"/>
  <c r="BS613" i="40"/>
  <c r="BS610" i="40"/>
  <c r="BS611" i="40"/>
  <c r="BS88" i="40"/>
  <c r="BS628" i="40"/>
  <c r="BS626" i="40"/>
  <c r="BS602" i="40"/>
  <c r="BS607" i="40"/>
  <c r="BS89" i="40"/>
  <c r="BG607" i="40"/>
  <c r="BG601" i="40"/>
  <c r="BG626" i="40"/>
  <c r="BG624" i="40"/>
  <c r="BG614" i="40"/>
  <c r="BG625" i="40"/>
  <c r="BH93" i="40"/>
  <c r="BG616" i="40"/>
  <c r="BG606" i="40"/>
  <c r="BG623" i="40"/>
  <c r="BG617" i="40"/>
  <c r="BG88" i="40"/>
  <c r="BG611" i="40"/>
  <c r="BG605" i="40"/>
  <c r="BG612" i="40"/>
  <c r="BG602" i="40"/>
  <c r="M604" i="40" s="1"/>
  <c r="BG603" i="40"/>
  <c r="BG622" i="40"/>
  <c r="BG604" i="40"/>
  <c r="BG627" i="40"/>
  <c r="BG621" i="40"/>
  <c r="BG87" i="40"/>
  <c r="BG628" i="40"/>
  <c r="BG618" i="40"/>
  <c r="BG619" i="40"/>
  <c r="BG613" i="40"/>
  <c r="BG86" i="40"/>
  <c r="BG608" i="40"/>
  <c r="BG610" i="40"/>
  <c r="BG609" i="40"/>
  <c r="BG89" i="40"/>
  <c r="BG620" i="40"/>
  <c r="BG615" i="40"/>
  <c r="BG629" i="40"/>
  <c r="BO23" i="52"/>
  <c r="BO31" i="52"/>
  <c r="BO21" i="52"/>
  <c r="BO57" i="52"/>
  <c r="BO48" i="52"/>
  <c r="BO51" i="52"/>
  <c r="BO25" i="52"/>
  <c r="BO26" i="52"/>
  <c r="BO29" i="52"/>
  <c r="BO56" i="52"/>
  <c r="BO52" i="52"/>
  <c r="BO54" i="52"/>
  <c r="BO17" i="52"/>
  <c r="BO18" i="52"/>
  <c r="BO53" i="52"/>
  <c r="BO27" i="52"/>
  <c r="BO20" i="52"/>
  <c r="BO30" i="52"/>
  <c r="BO28" i="52"/>
  <c r="BO55" i="52"/>
  <c r="BO22" i="52"/>
  <c r="BO50" i="52"/>
  <c r="BO59" i="52"/>
  <c r="BO60" i="52"/>
  <c r="BO47" i="52"/>
  <c r="BO24" i="52"/>
  <c r="BO46" i="52"/>
  <c r="BP10" i="52"/>
  <c r="BO49" i="52"/>
  <c r="BO58" i="52"/>
  <c r="BO19" i="52"/>
  <c r="BK19" i="52"/>
  <c r="BK21" i="52"/>
  <c r="BK22" i="52"/>
  <c r="BK24" i="52"/>
  <c r="BK23" i="52"/>
  <c r="BK59" i="52"/>
  <c r="BK27" i="52"/>
  <c r="BK46" i="52"/>
  <c r="BK49" i="52"/>
  <c r="BK54" i="52"/>
  <c r="BK31" i="52"/>
  <c r="BK28" i="52"/>
  <c r="BK17" i="52"/>
  <c r="BK52" i="52"/>
  <c r="BK50" i="52"/>
  <c r="BK26" i="52"/>
  <c r="BK48" i="52"/>
  <c r="BK55" i="52"/>
  <c r="BK18" i="52"/>
  <c r="BK53" i="52"/>
  <c r="BL10" i="52"/>
  <c r="BK30" i="52"/>
  <c r="BK56" i="52"/>
  <c r="BK47" i="52"/>
  <c r="BK29" i="52"/>
  <c r="BK25" i="52"/>
  <c r="BK20" i="52"/>
  <c r="BK58" i="52"/>
  <c r="BK60" i="52"/>
  <c r="BK51" i="52"/>
  <c r="BK57" i="52"/>
  <c r="BK618" i="40"/>
  <c r="BK608" i="40"/>
  <c r="BK87" i="40"/>
  <c r="BK622" i="40"/>
  <c r="BK612" i="40"/>
  <c r="BK89" i="40"/>
  <c r="BK603" i="40"/>
  <c r="BK623" i="40"/>
  <c r="BK617" i="40"/>
  <c r="BK627" i="40"/>
  <c r="BK624" i="40"/>
  <c r="BK605" i="40"/>
  <c r="BK625" i="40"/>
  <c r="BK626" i="40"/>
  <c r="BK619" i="40"/>
  <c r="BK86" i="40"/>
  <c r="BK621" i="40"/>
  <c r="BL93" i="40"/>
  <c r="BK606" i="40"/>
  <c r="BK616" i="40"/>
  <c r="BK613" i="40"/>
  <c r="BK614" i="40"/>
  <c r="BK602" i="40"/>
  <c r="BK615" i="40"/>
  <c r="BK88" i="40"/>
  <c r="BK604" i="40"/>
  <c r="BK609" i="40"/>
  <c r="BK620" i="40"/>
  <c r="BK628" i="40"/>
  <c r="BK629" i="40"/>
  <c r="BK607" i="40"/>
  <c r="BK610" i="40"/>
  <c r="BK601" i="40"/>
  <c r="BK611" i="40"/>
  <c r="BO605" i="40"/>
  <c r="BO624" i="40"/>
  <c r="BO609" i="40"/>
  <c r="BO628" i="40"/>
  <c r="BO610" i="40"/>
  <c r="BO614" i="40"/>
  <c r="BO604" i="40"/>
  <c r="BO621" i="40"/>
  <c r="BO611" i="40"/>
  <c r="BP93" i="40"/>
  <c r="BO625" i="40"/>
  <c r="BO615" i="40"/>
  <c r="BO86" i="40"/>
  <c r="BO626" i="40"/>
  <c r="BO616" i="40"/>
  <c r="BO601" i="40"/>
  <c r="BO620" i="40"/>
  <c r="BO602" i="40"/>
  <c r="BO627" i="40"/>
  <c r="BO606" i="40"/>
  <c r="BO613" i="40"/>
  <c r="BO603" i="40"/>
  <c r="BO617" i="40"/>
  <c r="BO607" i="40"/>
  <c r="BO89" i="40"/>
  <c r="BO618" i="40"/>
  <c r="BO612" i="40"/>
  <c r="BO629" i="40"/>
  <c r="BO623" i="40"/>
  <c r="BO622" i="40"/>
  <c r="BO88" i="40"/>
  <c r="BO608" i="40"/>
  <c r="BO619" i="40"/>
  <c r="BO87" i="40"/>
  <c r="A59" i="39"/>
  <c r="A60" i="39"/>
  <c r="A61" i="39"/>
  <c r="A62" i="39"/>
  <c r="A63" i="39"/>
  <c r="A64" i="39"/>
  <c r="BY93" i="40"/>
  <c r="BY10" i="52"/>
  <c r="KN629" i="40"/>
  <c r="A629" i="40"/>
  <c r="C630" i="40"/>
  <c r="AW629" i="40"/>
  <c r="BA629" i="40"/>
  <c r="BB629" i="40"/>
  <c r="AX629" i="40"/>
  <c r="AZ629" i="40"/>
  <c r="BX629" i="40"/>
  <c r="DM629" i="40"/>
  <c r="JO629" i="40"/>
  <c r="BC629" i="40"/>
  <c r="BD629" i="40"/>
  <c r="BI629" i="40"/>
  <c r="BE629" i="40"/>
  <c r="BN629" i="40"/>
  <c r="BJ629" i="40"/>
  <c r="BF629" i="40"/>
  <c r="JO429" i="40"/>
  <c r="JO529" i="40"/>
  <c r="BP617" i="40"/>
  <c r="BP87" i="40"/>
  <c r="BP624" i="40"/>
  <c r="BP614" i="40"/>
  <c r="BP627" i="40"/>
  <c r="BP625" i="40"/>
  <c r="BP616" i="40"/>
  <c r="BP606" i="40"/>
  <c r="BP619" i="40"/>
  <c r="BP618" i="40"/>
  <c r="BP604" i="40"/>
  <c r="BP607" i="40"/>
  <c r="BP605" i="40"/>
  <c r="BP630" i="40"/>
  <c r="BP612" i="40"/>
  <c r="BP602" i="40"/>
  <c r="BP615" i="40"/>
  <c r="BP622" i="40"/>
  <c r="BP89" i="40"/>
  <c r="BP620" i="40"/>
  <c r="BP623" i="40"/>
  <c r="BP613" i="40"/>
  <c r="BQ93" i="40"/>
  <c r="BP601" i="40"/>
  <c r="BP626" i="40"/>
  <c r="BP86" i="40"/>
  <c r="BP608" i="40"/>
  <c r="BP611" i="40"/>
  <c r="BP609" i="40"/>
  <c r="BP629" i="40"/>
  <c r="BP603" i="40"/>
  <c r="BP610" i="40"/>
  <c r="BP621" i="40"/>
  <c r="BP628" i="40"/>
  <c r="BP88" i="40"/>
  <c r="BT624" i="40"/>
  <c r="BT618" i="40"/>
  <c r="BT612" i="40"/>
  <c r="BT606" i="40"/>
  <c r="BT623" i="40"/>
  <c r="BT613" i="40"/>
  <c r="BU93" i="40"/>
  <c r="BT627" i="40"/>
  <c r="BT617" i="40"/>
  <c r="BT86" i="40"/>
  <c r="BT621" i="40"/>
  <c r="BT609" i="40"/>
  <c r="BT616" i="40"/>
  <c r="BT620" i="40"/>
  <c r="BT615" i="40"/>
  <c r="BT605" i="40"/>
  <c r="BT603" i="40"/>
  <c r="BT628" i="40"/>
  <c r="BT622" i="40"/>
  <c r="BT629" i="40"/>
  <c r="BT604" i="40"/>
  <c r="BT89" i="40"/>
  <c r="BT619" i="40"/>
  <c r="BT88" i="40"/>
  <c r="BT610" i="40"/>
  <c r="BT614" i="40"/>
  <c r="BT608" i="40"/>
  <c r="BT602" i="40"/>
  <c r="BT625" i="40"/>
  <c r="BT87" i="40"/>
  <c r="BT607" i="40"/>
  <c r="BT626" i="40"/>
  <c r="BT611" i="40"/>
  <c r="BT601" i="40"/>
  <c r="BT630" i="40"/>
  <c r="BH22" i="52"/>
  <c r="BH53" i="52"/>
  <c r="BH58" i="52"/>
  <c r="BH47" i="52"/>
  <c r="BH55" i="52"/>
  <c r="BH31" i="52"/>
  <c r="BH27" i="52"/>
  <c r="BH54" i="52"/>
  <c r="BH29" i="52"/>
  <c r="BH17" i="52"/>
  <c r="BH51" i="52"/>
  <c r="BH24" i="52"/>
  <c r="BH28" i="52"/>
  <c r="BH19" i="52"/>
  <c r="BH18" i="52"/>
  <c r="BH59" i="52"/>
  <c r="BH52" i="52"/>
  <c r="BH30" i="52"/>
  <c r="BH48" i="52"/>
  <c r="BH49" i="52"/>
  <c r="BH21" i="52"/>
  <c r="BH57" i="52"/>
  <c r="BH25" i="52"/>
  <c r="BH50" i="52"/>
  <c r="BH26" i="52"/>
  <c r="BH23" i="52"/>
  <c r="BH60" i="52"/>
  <c r="BH20" i="52"/>
  <c r="BH46" i="52"/>
  <c r="BH56" i="52"/>
  <c r="BY55" i="52"/>
  <c r="BY31" i="52"/>
  <c r="BY21" i="52"/>
  <c r="BY22" i="52"/>
  <c r="BY47" i="52"/>
  <c r="BY25" i="52"/>
  <c r="BZ10" i="52"/>
  <c r="BY56" i="52"/>
  <c r="BY52" i="52"/>
  <c r="BY60" i="52"/>
  <c r="BY49" i="52"/>
  <c r="BY26" i="52"/>
  <c r="BY48" i="52"/>
  <c r="BY53" i="52"/>
  <c r="BY28" i="52"/>
  <c r="BY54" i="52"/>
  <c r="BY23" i="52"/>
  <c r="BY19" i="52"/>
  <c r="BY27" i="52"/>
  <c r="BY17" i="52"/>
  <c r="BY57" i="52"/>
  <c r="BY30" i="52"/>
  <c r="BY51" i="52"/>
  <c r="BY58" i="52"/>
  <c r="BY50" i="52"/>
  <c r="BY59" i="52"/>
  <c r="BY24" i="52"/>
  <c r="BY18" i="52"/>
  <c r="BY20" i="52"/>
  <c r="BY46" i="52"/>
  <c r="BY29" i="52"/>
  <c r="BL608" i="40"/>
  <c r="BL602" i="40"/>
  <c r="BL625" i="40"/>
  <c r="BL89" i="40"/>
  <c r="BL603" i="40"/>
  <c r="BL626" i="40"/>
  <c r="BL607" i="40"/>
  <c r="BL601" i="40"/>
  <c r="BL630" i="40"/>
  <c r="BL611" i="40"/>
  <c r="BL605" i="40"/>
  <c r="BL622" i="40"/>
  <c r="BL629" i="40"/>
  <c r="BL624" i="40"/>
  <c r="BL618" i="40"/>
  <c r="BL612" i="40"/>
  <c r="BL606" i="40"/>
  <c r="BL619" i="40"/>
  <c r="BL613" i="40"/>
  <c r="BL88" i="40"/>
  <c r="BL623" i="40"/>
  <c r="BL617" i="40"/>
  <c r="BM93" i="40"/>
  <c r="BL628" i="40"/>
  <c r="BL604" i="40"/>
  <c r="BL627" i="40"/>
  <c r="BL621" i="40"/>
  <c r="BL87" i="40"/>
  <c r="BL615" i="40"/>
  <c r="BL609" i="40"/>
  <c r="BL86" i="40"/>
  <c r="BL616" i="40"/>
  <c r="BL610" i="40"/>
  <c r="BL620" i="40"/>
  <c r="BL614" i="40"/>
  <c r="BT59" i="52"/>
  <c r="BT29" i="52"/>
  <c r="BT20" i="52"/>
  <c r="BT27" i="52"/>
  <c r="BT46" i="52"/>
  <c r="BT47" i="52"/>
  <c r="BT55" i="52"/>
  <c r="BT48" i="52"/>
  <c r="BT19" i="52"/>
  <c r="BT26" i="52"/>
  <c r="BT30" i="52"/>
  <c r="BT23" i="52"/>
  <c r="BT21" i="52"/>
  <c r="BT17" i="52"/>
  <c r="BT57" i="52"/>
  <c r="BT25" i="52"/>
  <c r="BT60" i="52"/>
  <c r="BU10" i="52"/>
  <c r="BT22" i="52"/>
  <c r="BT31" i="52"/>
  <c r="BT53" i="52"/>
  <c r="BT52" i="52"/>
  <c r="BT24" i="52"/>
  <c r="BT51" i="52"/>
  <c r="BT18" i="52"/>
  <c r="BT56" i="52"/>
  <c r="BT50" i="52"/>
  <c r="BT54" i="52"/>
  <c r="BT49" i="52"/>
  <c r="BT28" i="52"/>
  <c r="BT58" i="52"/>
  <c r="BY622" i="40"/>
  <c r="BY620" i="40"/>
  <c r="BY89" i="40"/>
  <c r="BY602" i="40"/>
  <c r="BY627" i="40"/>
  <c r="BY625" i="40"/>
  <c r="BY630" i="40"/>
  <c r="BY628" i="40"/>
  <c r="BY619" i="40"/>
  <c r="BY617" i="40"/>
  <c r="BY623" i="40"/>
  <c r="BY624" i="40"/>
  <c r="BY606" i="40"/>
  <c r="BY629" i="40"/>
  <c r="BY616" i="40"/>
  <c r="BY605" i="40"/>
  <c r="BY603" i="40"/>
  <c r="BY609" i="40"/>
  <c r="BY607" i="40"/>
  <c r="BY86" i="40"/>
  <c r="BY615" i="40"/>
  <c r="BY613" i="40"/>
  <c r="BY610" i="40"/>
  <c r="BY621" i="40"/>
  <c r="BY626" i="40"/>
  <c r="BY618" i="40"/>
  <c r="BZ93" i="40"/>
  <c r="BY604" i="40"/>
  <c r="BY601" i="40"/>
  <c r="BY88" i="40"/>
  <c r="BY611" i="40"/>
  <c r="BY608" i="40"/>
  <c r="BY614" i="40"/>
  <c r="BY612" i="40"/>
  <c r="BY87" i="40"/>
  <c r="BL52" i="52"/>
  <c r="BL24" i="52"/>
  <c r="BL53" i="52"/>
  <c r="BL50" i="52"/>
  <c r="BL17" i="52"/>
  <c r="BL27" i="52"/>
  <c r="BL56" i="52"/>
  <c r="BL29" i="52"/>
  <c r="BL23" i="52"/>
  <c r="BL21" i="52"/>
  <c r="BM10" i="52"/>
  <c r="BL51" i="52"/>
  <c r="BL26" i="52"/>
  <c r="BL57" i="52"/>
  <c r="BL48" i="52"/>
  <c r="BL59" i="52"/>
  <c r="BL20" i="52"/>
  <c r="BL18" i="52"/>
  <c r="BL19" i="52"/>
  <c r="BL47" i="52"/>
  <c r="BL22" i="52"/>
  <c r="BL58" i="52"/>
  <c r="BL60" i="52"/>
  <c r="BL30" i="52"/>
  <c r="BL46" i="52"/>
  <c r="BL25" i="52"/>
  <c r="BL49" i="52"/>
  <c r="BL31" i="52"/>
  <c r="BL55" i="52"/>
  <c r="BL54" i="52"/>
  <c r="BL28" i="52"/>
  <c r="BP17" i="52"/>
  <c r="BP22" i="52"/>
  <c r="BP26" i="52"/>
  <c r="BP25" i="52"/>
  <c r="BP29" i="52"/>
  <c r="BP23" i="52"/>
  <c r="BP55" i="52"/>
  <c r="BP19" i="52"/>
  <c r="BP28" i="52"/>
  <c r="BP52" i="52"/>
  <c r="BP59" i="52"/>
  <c r="BP60" i="52"/>
  <c r="BP21" i="52"/>
  <c r="BP20" i="52"/>
  <c r="BP31" i="52"/>
  <c r="BP47" i="52"/>
  <c r="BP49" i="52"/>
  <c r="BP57" i="52"/>
  <c r="BP58" i="52"/>
  <c r="BP54" i="52"/>
  <c r="BP50" i="52"/>
  <c r="BP30" i="52"/>
  <c r="BP51" i="52"/>
  <c r="BP18" i="52"/>
  <c r="BP53" i="52"/>
  <c r="BP27" i="52"/>
  <c r="BP56" i="52"/>
  <c r="BP48" i="52"/>
  <c r="BQ10" i="52"/>
  <c r="BP46" i="52"/>
  <c r="BP24" i="52"/>
  <c r="CD10" i="52"/>
  <c r="CD93" i="40"/>
  <c r="A65" i="39"/>
  <c r="A66" i="39"/>
  <c r="A67" i="39"/>
  <c r="A68" i="39"/>
  <c r="A69" i="39"/>
  <c r="A70" i="39"/>
  <c r="BH609" i="40"/>
  <c r="BH604" i="40"/>
  <c r="BH626" i="40"/>
  <c r="BH615" i="40"/>
  <c r="BH617" i="40"/>
  <c r="BH612" i="40"/>
  <c r="BH611" i="40"/>
  <c r="BH88" i="40"/>
  <c r="BH602" i="40"/>
  <c r="N604" i="40" s="1"/>
  <c r="BH607" i="40"/>
  <c r="BH603" i="40"/>
  <c r="BH629" i="40"/>
  <c r="BH624" i="40"/>
  <c r="BH86" i="40"/>
  <c r="BH605" i="40"/>
  <c r="BH625" i="40"/>
  <c r="BH620" i="40"/>
  <c r="BH89" i="40"/>
  <c r="BH613" i="40"/>
  <c r="BH608" i="40"/>
  <c r="BH628" i="40"/>
  <c r="BH618" i="40"/>
  <c r="BH606" i="40"/>
  <c r="BH623" i="40"/>
  <c r="BH619" i="40"/>
  <c r="BH614" i="40"/>
  <c r="BH622" i="40"/>
  <c r="BH610" i="40"/>
  <c r="BH601" i="40"/>
  <c r="BH630" i="40"/>
  <c r="BH621" i="40"/>
  <c r="BH616" i="40"/>
  <c r="BH627" i="40"/>
  <c r="BH87" i="40"/>
  <c r="JO430" i="40"/>
  <c r="JO530" i="40"/>
  <c r="A630" i="40"/>
  <c r="C631" i="40"/>
  <c r="KN630" i="40"/>
  <c r="AW630" i="40"/>
  <c r="BA630" i="40"/>
  <c r="BB630" i="40"/>
  <c r="AX630" i="40"/>
  <c r="AZ630" i="40"/>
  <c r="BX630" i="40"/>
  <c r="DM630" i="40"/>
  <c r="JO630" i="40"/>
  <c r="BC630" i="40"/>
  <c r="BD630" i="40"/>
  <c r="BI630" i="40"/>
  <c r="BE630" i="40"/>
  <c r="BN630" i="40"/>
  <c r="BF630" i="40"/>
  <c r="BJ630" i="40"/>
  <c r="BG630" i="40"/>
  <c r="BO630" i="40"/>
  <c r="BS630" i="40"/>
  <c r="BK630" i="40"/>
  <c r="CD624" i="40"/>
  <c r="CD614" i="40"/>
  <c r="CE93" i="40"/>
  <c r="CD621" i="40"/>
  <c r="CD615" i="40"/>
  <c r="CD622" i="40"/>
  <c r="CD88" i="40"/>
  <c r="CD620" i="40"/>
  <c r="CD610" i="40"/>
  <c r="CD89" i="40"/>
  <c r="CD601" i="40"/>
  <c r="CD630" i="40"/>
  <c r="CD612" i="40"/>
  <c r="CD602" i="40"/>
  <c r="CD631" i="40"/>
  <c r="CD609" i="40"/>
  <c r="CD603" i="40"/>
  <c r="CD626" i="40"/>
  <c r="CD87" i="40"/>
  <c r="CD617" i="40"/>
  <c r="CD611" i="40"/>
  <c r="CD628" i="40"/>
  <c r="CD618" i="40"/>
  <c r="CD86" i="40"/>
  <c r="CD625" i="40"/>
  <c r="CD619" i="40"/>
  <c r="CD613" i="40"/>
  <c r="CD607" i="40"/>
  <c r="CD608" i="40"/>
  <c r="CD627" i="40"/>
  <c r="CD605" i="40"/>
  <c r="CD616" i="40"/>
  <c r="CD606" i="40"/>
  <c r="CD604" i="40"/>
  <c r="CD629" i="40"/>
  <c r="CD623" i="40"/>
  <c r="BQ21" i="52"/>
  <c r="BQ18" i="52"/>
  <c r="BQ30" i="52"/>
  <c r="BQ19" i="52"/>
  <c r="BQ50" i="52"/>
  <c r="BQ60" i="52"/>
  <c r="BQ46" i="52"/>
  <c r="BQ58" i="52"/>
  <c r="BQ47" i="52"/>
  <c r="BQ28" i="52"/>
  <c r="BQ20" i="52"/>
  <c r="BQ52" i="52"/>
  <c r="BQ59" i="52"/>
  <c r="BQ24" i="52"/>
  <c r="BQ31" i="52"/>
  <c r="BQ23" i="52"/>
  <c r="BQ17" i="52"/>
  <c r="BQ22" i="52"/>
  <c r="BQ25" i="52"/>
  <c r="BQ53" i="52"/>
  <c r="BR10" i="52"/>
  <c r="BQ49" i="52"/>
  <c r="BQ26" i="52"/>
  <c r="BQ27" i="52"/>
  <c r="BQ55" i="52"/>
  <c r="BQ54" i="52"/>
  <c r="BQ48" i="52"/>
  <c r="BQ56" i="52"/>
  <c r="BQ29" i="52"/>
  <c r="BQ51" i="52"/>
  <c r="BQ57" i="52"/>
  <c r="BQ619" i="40"/>
  <c r="BQ613" i="40"/>
  <c r="BQ87" i="40"/>
  <c r="BQ620" i="40"/>
  <c r="BQ614" i="40"/>
  <c r="BQ611" i="40"/>
  <c r="BQ605" i="40"/>
  <c r="BQ615" i="40"/>
  <c r="BQ609" i="40"/>
  <c r="BQ86" i="40"/>
  <c r="BQ629" i="40"/>
  <c r="BQ607" i="40"/>
  <c r="BQ601" i="40"/>
  <c r="BQ630" i="40"/>
  <c r="BQ627" i="40"/>
  <c r="BQ621" i="40"/>
  <c r="BQ89" i="40"/>
  <c r="BQ631" i="40"/>
  <c r="BQ625" i="40"/>
  <c r="BQ88" i="40"/>
  <c r="BQ616" i="40"/>
  <c r="BQ610" i="40"/>
  <c r="BQ623" i="40"/>
  <c r="BQ617" i="40"/>
  <c r="BR93" i="40"/>
  <c r="BQ608" i="40"/>
  <c r="BQ602" i="40"/>
  <c r="BQ612" i="40"/>
  <c r="BQ606" i="40"/>
  <c r="BQ603" i="40"/>
  <c r="BQ626" i="40"/>
  <c r="BQ604" i="40"/>
  <c r="BQ624" i="40"/>
  <c r="BQ618" i="40"/>
  <c r="BQ628" i="40"/>
  <c r="BQ622" i="40"/>
  <c r="CD54" i="52"/>
  <c r="CD57" i="52"/>
  <c r="CD47" i="52"/>
  <c r="CD60" i="52"/>
  <c r="CD24" i="52"/>
  <c r="CD26" i="52"/>
  <c r="CD30" i="52"/>
  <c r="CD46" i="52"/>
  <c r="CD17" i="52"/>
  <c r="CD49" i="52"/>
  <c r="CD20" i="52"/>
  <c r="CD27" i="52"/>
  <c r="CD55" i="52"/>
  <c r="CD48" i="52"/>
  <c r="CD28" i="52"/>
  <c r="CD22" i="52"/>
  <c r="CD25" i="52"/>
  <c r="CD50" i="52"/>
  <c r="CD58" i="52"/>
  <c r="CD51" i="52"/>
  <c r="CE10" i="52"/>
  <c r="CD29" i="52"/>
  <c r="CD21" i="52"/>
  <c r="CD31" i="52"/>
  <c r="CD52" i="52"/>
  <c r="CD19" i="52"/>
  <c r="CD18" i="52"/>
  <c r="CD23" i="52"/>
  <c r="CD56" i="52"/>
  <c r="CD53" i="52"/>
  <c r="CD59" i="52"/>
  <c r="BM22" i="52"/>
  <c r="BM57" i="52"/>
  <c r="BM52" i="52"/>
  <c r="BM20" i="52"/>
  <c r="BM50" i="52"/>
  <c r="BM46" i="52"/>
  <c r="BM25" i="52"/>
  <c r="BM60" i="52"/>
  <c r="BM48" i="52"/>
  <c r="BM23" i="52"/>
  <c r="BM51" i="52"/>
  <c r="BM27" i="52"/>
  <c r="BM56" i="52"/>
  <c r="BM24" i="52"/>
  <c r="BM29" i="52"/>
  <c r="BM49" i="52"/>
  <c r="BM59" i="52"/>
  <c r="BM31" i="52"/>
  <c r="BM18" i="52"/>
  <c r="BM47" i="52"/>
  <c r="BM28" i="52"/>
  <c r="BM53" i="52"/>
  <c r="BM21" i="52"/>
  <c r="BM19" i="52"/>
  <c r="BM17" i="52"/>
  <c r="BM54" i="52"/>
  <c r="BM58" i="52"/>
  <c r="BM55" i="52"/>
  <c r="BM30" i="52"/>
  <c r="BM26" i="52"/>
  <c r="BU28" i="52"/>
  <c r="BV10" i="52"/>
  <c r="BU53" i="52"/>
  <c r="BU59" i="52"/>
  <c r="BU47" i="52"/>
  <c r="BU46" i="52"/>
  <c r="BU29" i="52"/>
  <c r="BU50" i="52"/>
  <c r="BU25" i="52"/>
  <c r="BU51" i="52"/>
  <c r="BU56" i="52"/>
  <c r="BU55" i="52"/>
  <c r="BU19" i="52"/>
  <c r="BU31" i="52"/>
  <c r="BU30" i="52"/>
  <c r="BU48" i="52"/>
  <c r="BU49" i="52"/>
  <c r="BU17" i="52"/>
  <c r="BU54" i="52"/>
  <c r="BU24" i="52"/>
  <c r="BU26" i="52"/>
  <c r="BU18" i="52"/>
  <c r="BU20" i="52"/>
  <c r="BU52" i="52"/>
  <c r="BU21" i="52"/>
  <c r="BU60" i="52"/>
  <c r="BU23" i="52"/>
  <c r="BU27" i="52"/>
  <c r="BU22" i="52"/>
  <c r="BU58" i="52"/>
  <c r="BU57" i="52"/>
  <c r="BM625" i="40"/>
  <c r="BM615" i="40"/>
  <c r="BM89" i="40"/>
  <c r="BM626" i="40"/>
  <c r="BM616" i="40"/>
  <c r="BM617" i="40"/>
  <c r="BM607" i="40"/>
  <c r="BM88" i="40"/>
  <c r="BM621" i="40"/>
  <c r="BM611" i="40"/>
  <c r="BM87" i="40"/>
  <c r="BM628" i="40"/>
  <c r="BM610" i="40"/>
  <c r="BM601" i="40"/>
  <c r="BM620" i="40"/>
  <c r="BM624" i="40"/>
  <c r="BM606" i="40"/>
  <c r="BM631" i="40"/>
  <c r="BM613" i="40"/>
  <c r="BM603" i="40"/>
  <c r="BM623" i="40"/>
  <c r="BM602" i="40"/>
  <c r="BM627" i="40"/>
  <c r="BM609" i="40"/>
  <c r="BM622" i="40"/>
  <c r="BM612" i="40"/>
  <c r="BM629" i="40"/>
  <c r="BM619" i="40"/>
  <c r="BM86" i="40"/>
  <c r="BM614" i="40"/>
  <c r="BM604" i="40"/>
  <c r="BM618" i="40"/>
  <c r="BM608" i="40"/>
  <c r="BM630" i="40"/>
  <c r="BM605" i="40"/>
  <c r="BU614" i="40"/>
  <c r="BU604" i="40"/>
  <c r="BU618" i="40"/>
  <c r="BU608" i="40"/>
  <c r="BU625" i="40"/>
  <c r="BU619" i="40"/>
  <c r="BU86" i="40"/>
  <c r="BU610" i="40"/>
  <c r="BU602" i="40"/>
  <c r="BU630" i="40"/>
  <c r="BU620" i="40"/>
  <c r="BU605" i="40"/>
  <c r="BU624" i="40"/>
  <c r="BU606" i="40"/>
  <c r="BU626" i="40"/>
  <c r="BU616" i="40"/>
  <c r="BU617" i="40"/>
  <c r="BU611" i="40"/>
  <c r="BU87" i="40"/>
  <c r="BU621" i="40"/>
  <c r="BU615" i="40"/>
  <c r="BV93" i="40"/>
  <c r="BU622" i="40"/>
  <c r="BU612" i="40"/>
  <c r="BU613" i="40"/>
  <c r="BU607" i="40"/>
  <c r="BU627" i="40"/>
  <c r="BU89" i="40"/>
  <c r="BU601" i="40"/>
  <c r="BU631" i="40"/>
  <c r="BU609" i="40"/>
  <c r="BU603" i="40"/>
  <c r="BU628" i="40"/>
  <c r="BU629" i="40"/>
  <c r="BU623" i="40"/>
  <c r="BU88" i="40"/>
  <c r="DS93" i="40"/>
  <c r="A71" i="39"/>
  <c r="A72" i="39"/>
  <c r="A73" i="39"/>
  <c r="A74" i="39"/>
  <c r="A75" i="39"/>
  <c r="A76" i="39"/>
  <c r="A77" i="39"/>
  <c r="DS10" i="52"/>
  <c r="BZ619" i="40"/>
  <c r="BZ609" i="40"/>
  <c r="BZ626" i="40"/>
  <c r="BZ620" i="40"/>
  <c r="BZ88" i="40"/>
  <c r="BZ630" i="40"/>
  <c r="BZ624" i="40"/>
  <c r="BZ89" i="40"/>
  <c r="BZ628" i="40"/>
  <c r="BZ87" i="40"/>
  <c r="BZ606" i="40"/>
  <c r="BZ625" i="40"/>
  <c r="BZ607" i="40"/>
  <c r="BZ611" i="40"/>
  <c r="BZ602" i="40"/>
  <c r="BZ615" i="40"/>
  <c r="BZ605" i="40"/>
  <c r="BZ618" i="40"/>
  <c r="BZ612" i="40"/>
  <c r="BZ622" i="40"/>
  <c r="BZ616" i="40"/>
  <c r="BZ86" i="40"/>
  <c r="BZ623" i="40"/>
  <c r="BZ613" i="40"/>
  <c r="BZ627" i="40"/>
  <c r="BZ617" i="40"/>
  <c r="BZ601" i="40"/>
  <c r="BZ631" i="40"/>
  <c r="BZ621" i="40"/>
  <c r="BZ608" i="40"/>
  <c r="BZ603" i="40"/>
  <c r="BZ610" i="40"/>
  <c r="BZ604" i="40"/>
  <c r="BZ629" i="40"/>
  <c r="BZ614" i="40"/>
  <c r="CA93" i="40"/>
  <c r="BZ19" i="52"/>
  <c r="BZ31" i="52"/>
  <c r="BZ20" i="52"/>
  <c r="BZ24" i="52"/>
  <c r="BZ22" i="52"/>
  <c r="BZ27" i="52"/>
  <c r="BZ48" i="52"/>
  <c r="BZ21" i="52"/>
  <c r="BZ26" i="52"/>
  <c r="BZ59" i="52"/>
  <c r="BZ25" i="52"/>
  <c r="BZ23" i="52"/>
  <c r="BZ28" i="52"/>
  <c r="BZ60" i="52"/>
  <c r="BZ49" i="52"/>
  <c r="BZ18" i="52"/>
  <c r="BZ30" i="52"/>
  <c r="BZ55" i="52"/>
  <c r="BZ58" i="52"/>
  <c r="BZ47" i="52"/>
  <c r="CA10" i="52"/>
  <c r="BZ53" i="52"/>
  <c r="BZ54" i="52"/>
  <c r="BZ56" i="52"/>
  <c r="BZ57" i="52"/>
  <c r="BZ50" i="52"/>
  <c r="BZ29" i="52"/>
  <c r="BZ52" i="52"/>
  <c r="BZ17" i="52"/>
  <c r="BZ51" i="52"/>
  <c r="BZ46" i="52"/>
  <c r="C632" i="40"/>
  <c r="KN631" i="40"/>
  <c r="A631" i="40"/>
  <c r="AW631" i="40"/>
  <c r="BA631" i="40"/>
  <c r="BB631" i="40"/>
  <c r="AX631" i="40"/>
  <c r="AZ631" i="40"/>
  <c r="BX631" i="40"/>
  <c r="DM631" i="40"/>
  <c r="JO631" i="40"/>
  <c r="BC631" i="40"/>
  <c r="BD631" i="40"/>
  <c r="BE631" i="40"/>
  <c r="BI631" i="40"/>
  <c r="BN631" i="40"/>
  <c r="BJ631" i="40"/>
  <c r="BF631" i="40"/>
  <c r="BG631" i="40"/>
  <c r="BS631" i="40"/>
  <c r="BK631" i="40"/>
  <c r="BO631" i="40"/>
  <c r="BY631" i="40"/>
  <c r="BP631" i="40"/>
  <c r="BL631" i="40"/>
  <c r="BT631" i="40"/>
  <c r="BH631" i="40"/>
  <c r="JO531" i="40"/>
  <c r="JO431" i="40"/>
  <c r="DS626" i="40"/>
  <c r="DS616" i="40"/>
  <c r="DS87" i="40"/>
  <c r="DS607" i="40"/>
  <c r="DS602" i="40"/>
  <c r="DS627" i="40"/>
  <c r="DS621" i="40"/>
  <c r="DS601" i="40"/>
  <c r="DS622" i="40"/>
  <c r="DT93" i="40"/>
  <c r="DS609" i="40"/>
  <c r="DS604" i="40"/>
  <c r="DS629" i="40"/>
  <c r="DS617" i="40"/>
  <c r="DS631" i="40"/>
  <c r="DS603" i="40"/>
  <c r="DS632" i="40"/>
  <c r="DS623" i="40"/>
  <c r="DS613" i="40"/>
  <c r="DS89" i="40"/>
  <c r="DS86" i="40"/>
  <c r="DS628" i="40"/>
  <c r="DS608" i="40"/>
  <c r="DS605" i="40"/>
  <c r="DS619" i="40"/>
  <c r="DS614" i="40"/>
  <c r="DS606" i="40"/>
  <c r="DS611" i="40"/>
  <c r="DS612" i="40"/>
  <c r="DS618" i="40"/>
  <c r="DS615" i="40"/>
  <c r="DS625" i="40"/>
  <c r="DS624" i="40"/>
  <c r="DS88" i="40"/>
  <c r="DS610" i="40"/>
  <c r="DS620" i="40"/>
  <c r="DS630" i="40"/>
  <c r="BR629" i="40"/>
  <c r="BR619" i="40"/>
  <c r="BR601" i="40"/>
  <c r="BR605" i="40"/>
  <c r="BR609" i="40"/>
  <c r="BR618" i="40"/>
  <c r="BR607" i="40"/>
  <c r="BR622" i="40"/>
  <c r="BR626" i="40"/>
  <c r="BR615" i="40"/>
  <c r="BR623" i="40"/>
  <c r="BR606" i="40"/>
  <c r="BR621" i="40"/>
  <c r="BR602" i="40"/>
  <c r="BR625" i="40"/>
  <c r="BR610" i="40"/>
  <c r="BR614" i="40"/>
  <c r="BR627" i="40"/>
  <c r="BR612" i="40"/>
  <c r="BR88" i="40"/>
  <c r="BR616" i="40"/>
  <c r="BR611" i="40"/>
  <c r="BR630" i="40"/>
  <c r="BR604" i="40"/>
  <c r="BR608" i="40"/>
  <c r="BR603" i="40"/>
  <c r="BR86" i="40"/>
  <c r="BR628" i="40"/>
  <c r="BR613" i="40"/>
  <c r="BR631" i="40"/>
  <c r="BR617" i="40"/>
  <c r="BR632" i="40"/>
  <c r="BR620" i="40"/>
  <c r="BR89" i="40"/>
  <c r="BR87" i="40"/>
  <c r="BR624" i="40"/>
  <c r="E10" i="52"/>
  <c r="E93" i="75"/>
  <c r="N77" i="39"/>
  <c r="E28" i="52" s="1"/>
  <c r="N77" i="57"/>
  <c r="E93" i="40"/>
  <c r="L77" i="39"/>
  <c r="H77" i="39"/>
  <c r="E19" i="52" s="1"/>
  <c r="I77" i="39"/>
  <c r="O77" i="39"/>
  <c r="J77" i="39"/>
  <c r="E49" i="52" s="1"/>
  <c r="P77" i="39"/>
  <c r="E30" i="52" s="1"/>
  <c r="M77" i="39"/>
  <c r="Q77" i="39"/>
  <c r="K77" i="39"/>
  <c r="A78" i="39"/>
  <c r="A79" i="39"/>
  <c r="A80" i="39"/>
  <c r="A81" i="39"/>
  <c r="A82" i="39"/>
  <c r="CA25" i="52"/>
  <c r="CA60" i="52"/>
  <c r="CA56" i="52"/>
  <c r="CA57" i="52"/>
  <c r="CA17" i="52"/>
  <c r="CA27" i="52"/>
  <c r="CA23" i="52"/>
  <c r="CA55" i="52"/>
  <c r="CA31" i="52"/>
  <c r="CA28" i="52"/>
  <c r="CA18" i="52"/>
  <c r="CA54" i="52"/>
  <c r="CA48" i="52"/>
  <c r="CA24" i="52"/>
  <c r="CA50" i="52"/>
  <c r="CA30" i="52"/>
  <c r="CA19" i="52"/>
  <c r="CA46" i="52"/>
  <c r="CB10" i="52"/>
  <c r="CA20" i="52"/>
  <c r="CA52" i="52"/>
  <c r="CA58" i="52"/>
  <c r="CA53" i="52"/>
  <c r="CA49" i="52"/>
  <c r="CA29" i="52"/>
  <c r="CA26" i="52"/>
  <c r="CA51" i="52"/>
  <c r="CA47" i="52"/>
  <c r="CA59" i="52"/>
  <c r="CA21" i="52"/>
  <c r="CA22" i="52"/>
  <c r="BV612" i="40"/>
  <c r="BV606" i="40"/>
  <c r="BV616" i="40"/>
  <c r="BV610" i="40"/>
  <c r="BV621" i="40"/>
  <c r="BV614" i="40"/>
  <c r="BV618" i="40"/>
  <c r="BV604" i="40"/>
  <c r="BV630" i="40"/>
  <c r="BV623" i="40"/>
  <c r="BV627" i="40"/>
  <c r="BV87" i="40"/>
  <c r="BV631" i="40"/>
  <c r="BV603" i="40"/>
  <c r="BV624" i="40"/>
  <c r="BV607" i="40"/>
  <c r="BV628" i="40"/>
  <c r="BV622" i="40"/>
  <c r="BV611" i="40"/>
  <c r="BV632" i="40"/>
  <c r="BV626" i="40"/>
  <c r="BV615" i="40"/>
  <c r="BV608" i="40"/>
  <c r="BV609" i="40"/>
  <c r="BV86" i="40"/>
  <c r="BV613" i="40"/>
  <c r="BV601" i="40"/>
  <c r="BV617" i="40"/>
  <c r="BV602" i="40"/>
  <c r="BV89" i="40"/>
  <c r="BV619" i="40"/>
  <c r="BV88" i="40"/>
  <c r="BV629" i="40"/>
  <c r="BV625" i="40"/>
  <c r="BW93" i="40"/>
  <c r="BV620" i="40"/>
  <c r="BV605" i="40"/>
  <c r="BV29" i="52"/>
  <c r="BW10" i="52"/>
  <c r="BV18" i="52"/>
  <c r="BV22" i="52"/>
  <c r="BV25" i="52"/>
  <c r="BV56" i="52"/>
  <c r="BV30" i="52"/>
  <c r="BV23" i="52"/>
  <c r="BV17" i="52"/>
  <c r="BV51" i="52"/>
  <c r="BV47" i="52"/>
  <c r="BV55" i="52"/>
  <c r="BV26" i="52"/>
  <c r="BV31" i="52"/>
  <c r="BV53" i="52"/>
  <c r="BV24" i="52"/>
  <c r="BV57" i="52"/>
  <c r="BV59" i="52"/>
  <c r="BV19" i="52"/>
  <c r="BV46" i="52"/>
  <c r="BV48" i="52"/>
  <c r="BV27" i="52"/>
  <c r="BV28" i="52"/>
  <c r="BV50" i="52"/>
  <c r="BV20" i="52"/>
  <c r="BV21" i="52"/>
  <c r="BV52" i="52"/>
  <c r="BV58" i="52"/>
  <c r="BV49" i="52"/>
  <c r="BV54" i="52"/>
  <c r="BV60" i="52"/>
  <c r="CE57" i="52"/>
  <c r="CE31" i="52"/>
  <c r="CE18" i="52"/>
  <c r="CE51" i="52"/>
  <c r="CE29" i="52"/>
  <c r="CE49" i="52"/>
  <c r="CE53" i="52"/>
  <c r="CE26" i="52"/>
  <c r="CE21" i="52"/>
  <c r="CE56" i="52"/>
  <c r="CF10" i="52"/>
  <c r="CE25" i="52"/>
  <c r="CE59" i="52"/>
  <c r="CE48" i="52"/>
  <c r="CE58" i="52"/>
  <c r="CE50" i="52"/>
  <c r="CE55" i="52"/>
  <c r="CE27" i="52"/>
  <c r="CE19" i="52"/>
  <c r="CE17" i="52"/>
  <c r="CE28" i="52"/>
  <c r="CE60" i="52"/>
  <c r="CE22" i="52"/>
  <c r="CE23" i="52"/>
  <c r="CE30" i="52"/>
  <c r="CE46" i="52"/>
  <c r="CE24" i="52"/>
  <c r="CE52" i="52"/>
  <c r="CE54" i="52"/>
  <c r="CE47" i="52"/>
  <c r="CE20" i="52"/>
  <c r="CA629" i="40"/>
  <c r="CA615" i="40"/>
  <c r="CB93" i="40"/>
  <c r="CA617" i="40"/>
  <c r="CA603" i="40"/>
  <c r="CA628" i="40"/>
  <c r="CA616" i="40"/>
  <c r="CA609" i="40"/>
  <c r="CA630" i="40"/>
  <c r="CA610" i="40"/>
  <c r="CA611" i="40"/>
  <c r="CA618" i="40"/>
  <c r="CA606" i="40"/>
  <c r="CA626" i="40"/>
  <c r="CA88" i="40"/>
  <c r="CA624" i="40"/>
  <c r="CA601" i="40"/>
  <c r="CA622" i="40"/>
  <c r="CA87" i="40"/>
  <c r="CA627" i="40"/>
  <c r="CA607" i="40"/>
  <c r="CA604" i="40"/>
  <c r="CA602" i="40"/>
  <c r="CA631" i="40"/>
  <c r="CA619" i="40"/>
  <c r="CA86" i="40"/>
  <c r="CA623" i="40"/>
  <c r="CA621" i="40"/>
  <c r="CA614" i="40"/>
  <c r="CA608" i="40"/>
  <c r="CA605" i="40"/>
  <c r="CA620" i="40"/>
  <c r="CA625" i="40"/>
  <c r="CA613" i="40"/>
  <c r="CA612" i="40"/>
  <c r="CA89" i="40"/>
  <c r="CA632" i="40"/>
  <c r="DS28" i="52"/>
  <c r="DS46" i="52"/>
  <c r="DS19" i="52"/>
  <c r="DS55" i="52"/>
  <c r="DS53" i="52"/>
  <c r="DS57" i="52"/>
  <c r="DS22" i="52"/>
  <c r="DS52" i="52"/>
  <c r="DS31" i="52"/>
  <c r="DS21" i="52"/>
  <c r="DS49" i="52"/>
  <c r="DS23" i="52"/>
  <c r="DS17" i="52"/>
  <c r="DS25" i="52"/>
  <c r="DS20" i="52"/>
  <c r="DS48" i="52"/>
  <c r="DS59" i="52"/>
  <c r="DS18" i="52"/>
  <c r="DS27" i="52"/>
  <c r="DT10" i="52"/>
  <c r="DS30" i="52"/>
  <c r="DS54" i="52"/>
  <c r="DS47" i="52"/>
  <c r="DS24" i="52"/>
  <c r="DS60" i="52"/>
  <c r="DS58" i="52"/>
  <c r="DS51" i="52"/>
  <c r="DS29" i="52"/>
  <c r="DS26" i="52"/>
  <c r="DS56" i="52"/>
  <c r="DS50" i="52"/>
  <c r="BR60" i="52"/>
  <c r="BR27" i="52"/>
  <c r="BR18" i="52"/>
  <c r="BR53" i="52"/>
  <c r="BR51" i="52"/>
  <c r="BR19" i="52"/>
  <c r="BR47" i="52"/>
  <c r="BR30" i="52"/>
  <c r="BR22" i="52"/>
  <c r="BR57" i="52"/>
  <c r="BR23" i="52"/>
  <c r="BR56" i="52"/>
  <c r="BR17" i="52"/>
  <c r="BR59" i="52"/>
  <c r="BR52" i="52"/>
  <c r="BR25" i="52"/>
  <c r="BR58" i="52"/>
  <c r="BR54" i="52"/>
  <c r="BR49" i="52"/>
  <c r="BR28" i="52"/>
  <c r="BR50" i="52"/>
  <c r="BR26" i="52"/>
  <c r="BR55" i="52"/>
  <c r="BR31" i="52"/>
  <c r="BR48" i="52"/>
  <c r="BR24" i="52"/>
  <c r="BR20" i="52"/>
  <c r="BR21" i="52"/>
  <c r="BR29" i="52"/>
  <c r="BR46" i="52"/>
  <c r="CE608" i="40"/>
  <c r="CE623" i="40"/>
  <c r="CE630" i="40"/>
  <c r="CE615" i="40"/>
  <c r="CE619" i="40"/>
  <c r="CE88" i="40"/>
  <c r="CE627" i="40"/>
  <c r="CE89" i="40"/>
  <c r="CE631" i="40"/>
  <c r="CE87" i="40"/>
  <c r="CE601" i="40"/>
  <c r="CE626" i="40"/>
  <c r="CE605" i="40"/>
  <c r="CE628" i="40"/>
  <c r="CE613" i="40"/>
  <c r="CE602" i="40"/>
  <c r="CE624" i="40"/>
  <c r="CE610" i="40"/>
  <c r="CF93" i="40"/>
  <c r="CE604" i="40"/>
  <c r="CE612" i="40"/>
  <c r="CE616" i="40"/>
  <c r="CE86" i="40"/>
  <c r="CE620" i="40"/>
  <c r="CE609" i="40"/>
  <c r="CE632" i="40"/>
  <c r="CE621" i="40"/>
  <c r="CE606" i="40"/>
  <c r="CE629" i="40"/>
  <c r="CE611" i="40"/>
  <c r="CE617" i="40"/>
  <c r="CE622" i="40"/>
  <c r="CE607" i="40"/>
  <c r="CE614" i="40"/>
  <c r="CE618" i="40"/>
  <c r="CE625" i="40"/>
  <c r="CE603" i="40"/>
  <c r="JO532" i="40"/>
  <c r="JO432" i="40"/>
  <c r="KN632" i="40"/>
  <c r="A632" i="40"/>
  <c r="C633" i="40"/>
  <c r="AW632" i="40"/>
  <c r="BA632" i="40"/>
  <c r="BB632" i="40"/>
  <c r="AX632" i="40"/>
  <c r="AZ632" i="40"/>
  <c r="BX632" i="40"/>
  <c r="DM632" i="40"/>
  <c r="JO632" i="40"/>
  <c r="BC632" i="40"/>
  <c r="BD632" i="40"/>
  <c r="BI632" i="40"/>
  <c r="BE632" i="40"/>
  <c r="BF632" i="40"/>
  <c r="BN632" i="40"/>
  <c r="BJ632" i="40"/>
  <c r="BS632" i="40"/>
  <c r="BO632" i="40"/>
  <c r="BG632" i="40"/>
  <c r="BK632" i="40"/>
  <c r="BT632" i="40"/>
  <c r="BL632" i="40"/>
  <c r="BH632" i="40"/>
  <c r="BP632" i="40"/>
  <c r="BY632" i="40"/>
  <c r="CD632" i="40"/>
  <c r="BQ632" i="40"/>
  <c r="BM632" i="40"/>
  <c r="BU632" i="40"/>
  <c r="BZ632" i="40"/>
  <c r="CF612" i="40"/>
  <c r="CF602" i="40"/>
  <c r="CF603" i="40"/>
  <c r="CF632" i="40"/>
  <c r="CF622" i="40"/>
  <c r="CF623" i="40"/>
  <c r="CF613" i="40"/>
  <c r="CF86" i="40"/>
  <c r="CF624" i="40"/>
  <c r="CF614" i="40"/>
  <c r="CF626" i="40"/>
  <c r="CF608" i="40"/>
  <c r="CF628" i="40"/>
  <c r="CF618" i="40"/>
  <c r="CF619" i="40"/>
  <c r="CF609" i="40"/>
  <c r="CF89" i="40"/>
  <c r="CF604" i="40"/>
  <c r="CF629" i="40"/>
  <c r="CF611" i="40"/>
  <c r="CF601" i="40"/>
  <c r="CF630" i="40"/>
  <c r="CF616" i="40"/>
  <c r="CF606" i="40"/>
  <c r="CF615" i="40"/>
  <c r="CF605" i="40"/>
  <c r="CF625" i="40"/>
  <c r="CF87" i="40"/>
  <c r="CF620" i="40"/>
  <c r="CF610" i="40"/>
  <c r="CF627" i="40"/>
  <c r="CF617" i="40"/>
  <c r="CF88" i="40"/>
  <c r="CF631" i="40"/>
  <c r="CF621" i="40"/>
  <c r="CG93" i="40"/>
  <c r="CF607" i="40"/>
  <c r="CF633" i="40"/>
  <c r="BW627" i="40"/>
  <c r="BW617" i="40"/>
  <c r="BW618" i="40"/>
  <c r="BW612" i="40"/>
  <c r="BW86" i="40"/>
  <c r="BW619" i="40"/>
  <c r="BW609" i="40"/>
  <c r="BW626" i="40"/>
  <c r="BW620" i="40"/>
  <c r="BW87" i="40"/>
  <c r="BW614" i="40"/>
  <c r="BW608" i="40"/>
  <c r="BW633" i="40"/>
  <c r="BW628" i="40"/>
  <c r="BW606" i="40"/>
  <c r="BW625" i="40"/>
  <c r="BW607" i="40"/>
  <c r="BW611" i="40"/>
  <c r="BW631" i="40"/>
  <c r="BW603" i="40"/>
  <c r="BW632" i="40"/>
  <c r="BW630" i="40"/>
  <c r="BW624" i="40"/>
  <c r="BW89" i="40"/>
  <c r="BW615" i="40"/>
  <c r="BW605" i="40"/>
  <c r="BW622" i="40"/>
  <c r="BW616" i="40"/>
  <c r="BW88" i="40"/>
  <c r="BW623" i="40"/>
  <c r="BW613" i="40"/>
  <c r="BW601" i="40"/>
  <c r="BW602" i="40"/>
  <c r="BW621" i="40"/>
  <c r="BW610" i="40"/>
  <c r="BW604" i="40"/>
  <c r="BW629" i="40"/>
  <c r="CB56" i="52"/>
  <c r="CB24" i="52"/>
  <c r="CB26" i="52"/>
  <c r="CB51" i="52"/>
  <c r="CB29" i="52"/>
  <c r="CB53" i="52"/>
  <c r="CB22" i="52"/>
  <c r="CB48" i="52"/>
  <c r="CB52" i="52"/>
  <c r="CB46" i="52"/>
  <c r="CB27" i="52"/>
  <c r="CB23" i="52"/>
  <c r="CB19" i="52"/>
  <c r="CB31" i="52"/>
  <c r="CB25" i="52"/>
  <c r="CB28" i="52"/>
  <c r="CB20" i="52"/>
  <c r="CB17" i="52"/>
  <c r="CB50" i="52"/>
  <c r="CB60" i="52"/>
  <c r="CB30" i="52"/>
  <c r="CC10" i="52"/>
  <c r="CB54" i="52"/>
  <c r="CB18" i="52"/>
  <c r="CB59" i="52"/>
  <c r="CB58" i="52"/>
  <c r="CB21" i="52"/>
  <c r="CB55" i="52"/>
  <c r="CB49" i="52"/>
  <c r="CB47" i="52"/>
  <c r="CB57" i="52"/>
  <c r="CB606" i="40"/>
  <c r="CB631" i="40"/>
  <c r="CB605" i="40"/>
  <c r="CB626" i="40"/>
  <c r="CB616" i="40"/>
  <c r="CB89" i="40"/>
  <c r="CB623" i="40"/>
  <c r="CB613" i="40"/>
  <c r="CB624" i="40"/>
  <c r="CB601" i="40"/>
  <c r="CB622" i="40"/>
  <c r="CB612" i="40"/>
  <c r="CB621" i="40"/>
  <c r="CB603" i="40"/>
  <c r="CB632" i="40"/>
  <c r="CB614" i="40"/>
  <c r="CB604" i="40"/>
  <c r="CB629" i="40"/>
  <c r="CB611" i="40"/>
  <c r="CB88" i="40"/>
  <c r="CB633" i="40"/>
  <c r="CB86" i="40"/>
  <c r="CB610" i="40"/>
  <c r="CB607" i="40"/>
  <c r="CB87" i="40"/>
  <c r="CB618" i="40"/>
  <c r="CB608" i="40"/>
  <c r="CB617" i="40"/>
  <c r="CB628" i="40"/>
  <c r="CC93" i="40"/>
  <c r="CB619" i="40"/>
  <c r="CB609" i="40"/>
  <c r="CB630" i="40"/>
  <c r="CB620" i="40"/>
  <c r="CB602" i="40"/>
  <c r="CB627" i="40"/>
  <c r="CB615" i="40"/>
  <c r="CB625" i="40"/>
  <c r="E88" i="40"/>
  <c r="E87" i="40"/>
  <c r="E86" i="40"/>
  <c r="E89" i="40"/>
  <c r="DT632" i="40"/>
  <c r="DT622" i="40"/>
  <c r="DT88" i="40"/>
  <c r="DT613" i="40"/>
  <c r="DT607" i="40"/>
  <c r="DT608" i="40"/>
  <c r="DT633" i="40"/>
  <c r="DT627" i="40"/>
  <c r="DT605" i="40"/>
  <c r="DT616" i="40"/>
  <c r="DT606" i="40"/>
  <c r="DT609" i="40"/>
  <c r="DT603" i="40"/>
  <c r="DT604" i="40"/>
  <c r="DT629" i="40"/>
  <c r="DT623" i="40"/>
  <c r="DT624" i="40"/>
  <c r="DT614" i="40"/>
  <c r="DT87" i="40"/>
  <c r="DT621" i="40"/>
  <c r="DT615" i="40"/>
  <c r="DT625" i="40"/>
  <c r="DT619" i="40"/>
  <c r="DT620" i="40"/>
  <c r="DT610" i="40"/>
  <c r="DT89" i="40"/>
  <c r="DT601" i="40"/>
  <c r="DT630" i="40"/>
  <c r="DT612" i="40"/>
  <c r="DT602" i="40"/>
  <c r="DT631" i="40"/>
  <c r="DT626" i="40"/>
  <c r="DT86" i="40"/>
  <c r="DT617" i="40"/>
  <c r="DT611" i="40"/>
  <c r="DT628" i="40"/>
  <c r="DT618" i="40"/>
  <c r="DU93" i="40"/>
  <c r="DT31" i="52"/>
  <c r="DT24" i="52"/>
  <c r="DT59" i="52"/>
  <c r="DT17" i="52"/>
  <c r="DT25" i="52"/>
  <c r="DU10" i="52"/>
  <c r="DT57" i="52"/>
  <c r="DT26" i="52"/>
  <c r="DT30" i="52"/>
  <c r="DT29" i="52"/>
  <c r="DT19" i="52"/>
  <c r="DT48" i="52"/>
  <c r="DT47" i="52"/>
  <c r="DT55" i="52"/>
  <c r="DT18" i="52"/>
  <c r="DT28" i="52"/>
  <c r="DT60" i="52"/>
  <c r="DT22" i="52"/>
  <c r="DT49" i="52"/>
  <c r="DT21" i="52"/>
  <c r="DT52" i="52"/>
  <c r="DT46" i="52"/>
  <c r="DT53" i="52"/>
  <c r="DT50" i="52"/>
  <c r="DT51" i="52"/>
  <c r="DT54" i="52"/>
  <c r="DT58" i="52"/>
  <c r="DT20" i="52"/>
  <c r="DT56" i="52"/>
  <c r="DT23" i="52"/>
  <c r="DT27" i="52"/>
  <c r="CF27" i="52"/>
  <c r="CF17" i="52"/>
  <c r="CF49" i="52"/>
  <c r="CF55" i="52"/>
  <c r="CF53" i="52"/>
  <c r="CF23" i="52"/>
  <c r="CF19" i="52"/>
  <c r="CF46" i="52"/>
  <c r="CF60" i="52"/>
  <c r="CF50" i="52"/>
  <c r="CF26" i="52"/>
  <c r="CF25" i="52"/>
  <c r="CF58" i="52"/>
  <c r="CG10" i="52"/>
  <c r="CF51" i="52"/>
  <c r="CF56" i="52"/>
  <c r="CF29" i="52"/>
  <c r="CF21" i="52"/>
  <c r="CF20" i="52"/>
  <c r="CF31" i="52"/>
  <c r="CF30" i="52"/>
  <c r="CF57" i="52"/>
  <c r="CF24" i="52"/>
  <c r="CF54" i="52"/>
  <c r="CF48" i="52"/>
  <c r="CF28" i="52"/>
  <c r="CF52" i="52"/>
  <c r="CF47" i="52"/>
  <c r="CF18" i="52"/>
  <c r="CF22" i="52"/>
  <c r="CF59" i="52"/>
  <c r="BW27" i="52"/>
  <c r="BW58" i="52"/>
  <c r="BW18" i="52"/>
  <c r="BW52" i="52"/>
  <c r="BW60" i="52"/>
  <c r="BW59" i="52"/>
  <c r="BW21" i="52"/>
  <c r="BW17" i="52"/>
  <c r="BW19" i="52"/>
  <c r="BW56" i="52"/>
  <c r="BW30" i="52"/>
  <c r="BW48" i="52"/>
  <c r="BW28" i="52"/>
  <c r="BW54" i="52"/>
  <c r="BW22" i="52"/>
  <c r="BW55" i="52"/>
  <c r="BW24" i="52"/>
  <c r="BW47" i="52"/>
  <c r="BW25" i="52"/>
  <c r="BW20" i="52"/>
  <c r="BW26" i="52"/>
  <c r="BW50" i="52"/>
  <c r="BW46" i="52"/>
  <c r="BW23" i="52"/>
  <c r="BW31" i="52"/>
  <c r="BW49" i="52"/>
  <c r="BW53" i="52"/>
  <c r="BW51" i="52"/>
  <c r="BW29" i="52"/>
  <c r="BW57" i="52"/>
  <c r="J93" i="75"/>
  <c r="J10" i="52"/>
  <c r="A83" i="39"/>
  <c r="A84" i="39"/>
  <c r="J93" i="40"/>
  <c r="E86" i="75"/>
  <c r="E103" i="75"/>
  <c r="E110" i="75"/>
  <c r="E87" i="75"/>
  <c r="E101" i="75"/>
  <c r="E107" i="75"/>
  <c r="E105" i="75"/>
  <c r="E89" i="75"/>
  <c r="E108" i="75"/>
  <c r="E88" i="75"/>
  <c r="E109" i="75"/>
  <c r="KN633" i="40"/>
  <c r="C634" i="40"/>
  <c r="A633" i="40"/>
  <c r="AW633" i="40"/>
  <c r="BA633" i="40"/>
  <c r="BB633" i="40"/>
  <c r="AX633" i="40"/>
  <c r="AZ633" i="40"/>
  <c r="BX633" i="40"/>
  <c r="DM633" i="40"/>
  <c r="JO633" i="40"/>
  <c r="BC633" i="40"/>
  <c r="BD633" i="40"/>
  <c r="BI633" i="40"/>
  <c r="BE633" i="40"/>
  <c r="BF633" i="40"/>
  <c r="BN633" i="40"/>
  <c r="BJ633" i="40"/>
  <c r="BS633" i="40"/>
  <c r="BG633" i="40"/>
  <c r="BO633" i="40"/>
  <c r="BK633" i="40"/>
  <c r="BT633" i="40"/>
  <c r="BL633" i="40"/>
  <c r="BY633" i="40"/>
  <c r="BP633" i="40"/>
  <c r="BH633" i="40"/>
  <c r="BM633" i="40"/>
  <c r="CD633" i="40"/>
  <c r="BU633" i="40"/>
  <c r="BZ633" i="40"/>
  <c r="BQ633" i="40"/>
  <c r="BR633" i="40"/>
  <c r="BV633" i="40"/>
  <c r="DS633" i="40"/>
  <c r="CA633" i="40"/>
  <c r="CE633" i="40"/>
  <c r="JO433" i="40"/>
  <c r="JO533" i="40"/>
  <c r="F48" i="68"/>
  <c r="F48" i="67"/>
  <c r="J17" i="52"/>
  <c r="CK17" i="52" s="1"/>
  <c r="J23" i="52"/>
  <c r="J18" i="52"/>
  <c r="J19" i="52"/>
  <c r="J20" i="52"/>
  <c r="J30" i="52"/>
  <c r="J31" i="52"/>
  <c r="J29" i="52"/>
  <c r="J21" i="52"/>
  <c r="J25" i="52"/>
  <c r="J28" i="52"/>
  <c r="J27" i="52"/>
  <c r="J24" i="52"/>
  <c r="J26" i="52"/>
  <c r="K10" i="52"/>
  <c r="J22" i="52"/>
  <c r="DU626" i="40"/>
  <c r="DU612" i="40"/>
  <c r="DU87" i="40"/>
  <c r="DU611" i="40"/>
  <c r="DU632" i="40"/>
  <c r="DU601" i="40"/>
  <c r="DU631" i="40"/>
  <c r="DU617" i="40"/>
  <c r="DU603" i="40"/>
  <c r="DU624" i="40"/>
  <c r="DU607" i="40"/>
  <c r="DU628" i="40"/>
  <c r="DU627" i="40"/>
  <c r="DU613" i="40"/>
  <c r="DU618" i="40"/>
  <c r="DU604" i="40"/>
  <c r="DU633" i="40"/>
  <c r="DU619" i="40"/>
  <c r="DU605" i="40"/>
  <c r="DU623" i="40"/>
  <c r="DU609" i="40"/>
  <c r="DU614" i="40"/>
  <c r="DU88" i="40"/>
  <c r="DU629" i="40"/>
  <c r="DU634" i="40"/>
  <c r="DU620" i="40"/>
  <c r="DU606" i="40"/>
  <c r="DU621" i="40"/>
  <c r="DU610" i="40"/>
  <c r="DU86" i="40"/>
  <c r="DU625" i="40"/>
  <c r="DU630" i="40"/>
  <c r="DU616" i="40"/>
  <c r="DU89" i="40"/>
  <c r="DU615" i="40"/>
  <c r="DU602" i="40"/>
  <c r="DU622" i="40"/>
  <c r="DU608" i="40"/>
  <c r="DV93" i="40"/>
  <c r="CG613" i="40"/>
  <c r="CG89" i="40"/>
  <c r="CG620" i="40"/>
  <c r="CG633" i="40"/>
  <c r="CG627" i="40"/>
  <c r="CG605" i="40"/>
  <c r="CG630" i="40"/>
  <c r="CG628" i="40"/>
  <c r="CG602" i="40"/>
  <c r="CG616" i="40"/>
  <c r="CG629" i="40"/>
  <c r="CG607" i="40"/>
  <c r="CG86" i="40"/>
  <c r="CG610" i="40"/>
  <c r="CG608" i="40"/>
  <c r="CG621" i="40"/>
  <c r="CG615" i="40"/>
  <c r="CG88" i="40"/>
  <c r="CG618" i="40"/>
  <c r="CG603" i="40"/>
  <c r="CG632" i="40"/>
  <c r="CG606" i="40"/>
  <c r="CG623" i="40"/>
  <c r="CG601" i="40"/>
  <c r="CG626" i="40"/>
  <c r="CG624" i="40"/>
  <c r="CH93" i="40"/>
  <c r="CG631" i="40"/>
  <c r="CG609" i="40"/>
  <c r="CG634" i="40"/>
  <c r="CG619" i="40"/>
  <c r="CG622" i="40"/>
  <c r="CG604" i="40"/>
  <c r="CG617" i="40"/>
  <c r="CG611" i="40"/>
  <c r="CG87" i="40"/>
  <c r="CG614" i="40"/>
  <c r="CG612" i="40"/>
  <c r="CG625" i="40"/>
  <c r="O93" i="75"/>
  <c r="A85" i="39"/>
  <c r="O93" i="40"/>
  <c r="O10" i="52"/>
  <c r="J104" i="75"/>
  <c r="J89" i="75"/>
  <c r="J101" i="75"/>
  <c r="J102" i="75"/>
  <c r="K93" i="75"/>
  <c r="J110" i="75"/>
  <c r="J109" i="75"/>
  <c r="J87" i="75"/>
  <c r="J86" i="75"/>
  <c r="J112" i="75"/>
  <c r="J105" i="75"/>
  <c r="J108" i="75"/>
  <c r="J106" i="75"/>
  <c r="J111" i="75"/>
  <c r="J88" i="75"/>
  <c r="J107" i="75"/>
  <c r="J103" i="75"/>
  <c r="CC611" i="40"/>
  <c r="CC633" i="40"/>
  <c r="CC634" i="40"/>
  <c r="CC616" i="40"/>
  <c r="CC606" i="40"/>
  <c r="CC627" i="40"/>
  <c r="CC613" i="40"/>
  <c r="CC87" i="40"/>
  <c r="CC624" i="40"/>
  <c r="CC614" i="40"/>
  <c r="CC621" i="40"/>
  <c r="CC609" i="40"/>
  <c r="CC86" i="40"/>
  <c r="CC620" i="40"/>
  <c r="CC610" i="40"/>
  <c r="CC631" i="40"/>
  <c r="CC625" i="40"/>
  <c r="CC607" i="40"/>
  <c r="CC632" i="40"/>
  <c r="CC622" i="40"/>
  <c r="CC604" i="40"/>
  <c r="CC629" i="40"/>
  <c r="CC615" i="40"/>
  <c r="CC601" i="40"/>
  <c r="CC630" i="40"/>
  <c r="CC612" i="40"/>
  <c r="CC88" i="40"/>
  <c r="CC623" i="40"/>
  <c r="CC603" i="40"/>
  <c r="CC618" i="40"/>
  <c r="CC89" i="40"/>
  <c r="CC608" i="40"/>
  <c r="CC602" i="40"/>
  <c r="CC617" i="40"/>
  <c r="CC628" i="40"/>
  <c r="CC626" i="40"/>
  <c r="CC619" i="40"/>
  <c r="CC605" i="40"/>
  <c r="CG29" i="52"/>
  <c r="CG59" i="52"/>
  <c r="CG27" i="52"/>
  <c r="CG56" i="52"/>
  <c r="CG21" i="52"/>
  <c r="CG60" i="52"/>
  <c r="CG55" i="52"/>
  <c r="CG24" i="52"/>
  <c r="CG50" i="52"/>
  <c r="CG47" i="52"/>
  <c r="CG52" i="52"/>
  <c r="CG28" i="52"/>
  <c r="CG58" i="52"/>
  <c r="CG25" i="52"/>
  <c r="CG54" i="52"/>
  <c r="CH10" i="52"/>
  <c r="CG57" i="52"/>
  <c r="CG18" i="52"/>
  <c r="CG26" i="52"/>
  <c r="CG23" i="52"/>
  <c r="CG22" i="52"/>
  <c r="CG49" i="52"/>
  <c r="CG46" i="52"/>
  <c r="CG20" i="52"/>
  <c r="CG30" i="52"/>
  <c r="CG48" i="52"/>
  <c r="CG19" i="52"/>
  <c r="CG31" i="52"/>
  <c r="CG51" i="52"/>
  <c r="CG17" i="52"/>
  <c r="CG53" i="52"/>
  <c r="J633" i="40"/>
  <c r="J613" i="40"/>
  <c r="J632" i="40"/>
  <c r="J629" i="40"/>
  <c r="J614" i="40"/>
  <c r="J631" i="40"/>
  <c r="J89" i="40"/>
  <c r="CK89" i="40" s="1"/>
  <c r="J626" i="40"/>
  <c r="J606" i="40"/>
  <c r="J612" i="40"/>
  <c r="J615" i="40"/>
  <c r="J601" i="40"/>
  <c r="J87" i="40"/>
  <c r="CK87" i="40" s="1"/>
  <c r="J622" i="40"/>
  <c r="J620" i="40"/>
  <c r="J634" i="40"/>
  <c r="J602" i="40"/>
  <c r="J607" i="40"/>
  <c r="J621" i="40"/>
  <c r="J610" i="40"/>
  <c r="J617" i="40"/>
  <c r="J624" i="40"/>
  <c r="J603" i="40"/>
  <c r="J618" i="40"/>
  <c r="J88" i="40"/>
  <c r="CK88" i="40" s="1"/>
  <c r="J609" i="40"/>
  <c r="J611" i="40"/>
  <c r="J627" i="40"/>
  <c r="K93" i="40"/>
  <c r="J630" i="40"/>
  <c r="J616" i="40"/>
  <c r="J623" i="40"/>
  <c r="J86" i="40"/>
  <c r="CK86" i="40" s="1"/>
  <c r="J628" i="40"/>
  <c r="J605" i="40"/>
  <c r="J619" i="40"/>
  <c r="J608" i="40"/>
  <c r="J625" i="40"/>
  <c r="DU60" i="52"/>
  <c r="DU55" i="52"/>
  <c r="DU52" i="52"/>
  <c r="DU47" i="52"/>
  <c r="DU17" i="52"/>
  <c r="DU20" i="52"/>
  <c r="DU28" i="52"/>
  <c r="DU48" i="52"/>
  <c r="DU18" i="52"/>
  <c r="DU46" i="52"/>
  <c r="DU21" i="52"/>
  <c r="DU27" i="52"/>
  <c r="DU31" i="52"/>
  <c r="DU22" i="52"/>
  <c r="DU58" i="52"/>
  <c r="DU51" i="52"/>
  <c r="DU59" i="52"/>
  <c r="DU49" i="52"/>
  <c r="DU53" i="52"/>
  <c r="DU30" i="52"/>
  <c r="DU56" i="52"/>
  <c r="DU23" i="52"/>
  <c r="DU57" i="52"/>
  <c r="DV10" i="52"/>
  <c r="DU25" i="52"/>
  <c r="DU19" i="52"/>
  <c r="DU29" i="52"/>
  <c r="DU26" i="52"/>
  <c r="DU24" i="52"/>
  <c r="DU50" i="52"/>
  <c r="DU54" i="52"/>
  <c r="CC23" i="52"/>
  <c r="CC19" i="52"/>
  <c r="CC28" i="52"/>
  <c r="CC56" i="52"/>
  <c r="CC24" i="52"/>
  <c r="CC58" i="52"/>
  <c r="CC47" i="52"/>
  <c r="CC55" i="52"/>
  <c r="CC52" i="52"/>
  <c r="CC21" i="52"/>
  <c r="CC18" i="52"/>
  <c r="CC31" i="52"/>
  <c r="CC22" i="52"/>
  <c r="CC51" i="52"/>
  <c r="CC25" i="52"/>
  <c r="CC50" i="52"/>
  <c r="CC46" i="52"/>
  <c r="CC48" i="52"/>
  <c r="CC17" i="52"/>
  <c r="CC20" i="52"/>
  <c r="CC29" i="52"/>
  <c r="CC57" i="52"/>
  <c r="CC54" i="52"/>
  <c r="CC26" i="52"/>
  <c r="CC53" i="52"/>
  <c r="CC59" i="52"/>
  <c r="CC49" i="52"/>
  <c r="CC27" i="52"/>
  <c r="CC60" i="52"/>
  <c r="CC30" i="52"/>
  <c r="JO434" i="40"/>
  <c r="JO534" i="40"/>
  <c r="C635" i="40"/>
  <c r="A634" i="40"/>
  <c r="KN634" i="40"/>
  <c r="AW634" i="40"/>
  <c r="BA634" i="40"/>
  <c r="BB634" i="40"/>
  <c r="AX634" i="40"/>
  <c r="AZ634" i="40"/>
  <c r="BX634" i="40"/>
  <c r="DM634" i="40"/>
  <c r="JO634" i="40"/>
  <c r="BC634" i="40"/>
  <c r="BD634" i="40"/>
  <c r="BE634" i="40"/>
  <c r="BI634" i="40"/>
  <c r="BF634" i="40"/>
  <c r="BN634" i="40"/>
  <c r="BJ634" i="40"/>
  <c r="BG634" i="40"/>
  <c r="BS634" i="40"/>
  <c r="BK634" i="40"/>
  <c r="BO634" i="40"/>
  <c r="BL634" i="40"/>
  <c r="BY634" i="40"/>
  <c r="BT634" i="40"/>
  <c r="BP634" i="40"/>
  <c r="BH634" i="40"/>
  <c r="CD634" i="40"/>
  <c r="BQ634" i="40"/>
  <c r="BZ634" i="40"/>
  <c r="BM634" i="40"/>
  <c r="BU634" i="40"/>
  <c r="BR634" i="40"/>
  <c r="BV634" i="40"/>
  <c r="CA634" i="40"/>
  <c r="DS634" i="40"/>
  <c r="CE634" i="40"/>
  <c r="BW634" i="40"/>
  <c r="DT634" i="40"/>
  <c r="CF634" i="40"/>
  <c r="CB634" i="40"/>
  <c r="CH17" i="52"/>
  <c r="CH19" i="52"/>
  <c r="CH31" i="52"/>
  <c r="CH50" i="52"/>
  <c r="CH57" i="52"/>
  <c r="CH60" i="52"/>
  <c r="CH23" i="52"/>
  <c r="CH25" i="52"/>
  <c r="CH18" i="52"/>
  <c r="CH52" i="52"/>
  <c r="CH59" i="52"/>
  <c r="CH30" i="52"/>
  <c r="CH48" i="52"/>
  <c r="CH24" i="52"/>
  <c r="CH56" i="52"/>
  <c r="CH53" i="52"/>
  <c r="CH46" i="52"/>
  <c r="CH54" i="52"/>
  <c r="CH27" i="52"/>
  <c r="CH47" i="52"/>
  <c r="CH20" i="52"/>
  <c r="CH22" i="52"/>
  <c r="CH49" i="52"/>
  <c r="CH58" i="52"/>
  <c r="CH26" i="52"/>
  <c r="CH29" i="52"/>
  <c r="CH51" i="52"/>
  <c r="CH21" i="52"/>
  <c r="CH55" i="52"/>
  <c r="CH28" i="52"/>
  <c r="O56" i="52"/>
  <c r="O17" i="52"/>
  <c r="O29" i="52"/>
  <c r="O30" i="52"/>
  <c r="O49" i="52"/>
  <c r="O22" i="52"/>
  <c r="O23" i="52"/>
  <c r="O55" i="52"/>
  <c r="O51" i="52"/>
  <c r="O50" i="52"/>
  <c r="O20" i="52"/>
  <c r="O25" i="52"/>
  <c r="O60" i="52"/>
  <c r="O59" i="52"/>
  <c r="O21" i="52"/>
  <c r="O24" i="52"/>
  <c r="O27" i="52"/>
  <c r="O47" i="52"/>
  <c r="O53" i="52"/>
  <c r="O26" i="52"/>
  <c r="O31" i="52"/>
  <c r="O46" i="52"/>
  <c r="O52" i="52"/>
  <c r="O28" i="52"/>
  <c r="O48" i="52"/>
  <c r="O54" i="52"/>
  <c r="O19" i="52"/>
  <c r="O18" i="52"/>
  <c r="O57" i="52"/>
  <c r="O58" i="52"/>
  <c r="DV602" i="40"/>
  <c r="DV630" i="40"/>
  <c r="DV616" i="40"/>
  <c r="DV601" i="40"/>
  <c r="DV619" i="40"/>
  <c r="DV87" i="40"/>
  <c r="DV622" i="40"/>
  <c r="DV88" i="40"/>
  <c r="DV613" i="40"/>
  <c r="DV86" i="40"/>
  <c r="DV612" i="40"/>
  <c r="DV633" i="40"/>
  <c r="DV615" i="40"/>
  <c r="DV605" i="40"/>
  <c r="DV634" i="40"/>
  <c r="DV604" i="40"/>
  <c r="DV625" i="40"/>
  <c r="DV607" i="40"/>
  <c r="DV624" i="40"/>
  <c r="DV610" i="40"/>
  <c r="DV627" i="40"/>
  <c r="DV632" i="40"/>
  <c r="DV609" i="40"/>
  <c r="DV611" i="40"/>
  <c r="DV614" i="40"/>
  <c r="DV631" i="40"/>
  <c r="DV603" i="40"/>
  <c r="DV620" i="40"/>
  <c r="DV89" i="40"/>
  <c r="DV626" i="40"/>
  <c r="DV617" i="40"/>
  <c r="DV618" i="40"/>
  <c r="DV635" i="40"/>
  <c r="DW93" i="40"/>
  <c r="DV608" i="40"/>
  <c r="DV629" i="40"/>
  <c r="DV628" i="40"/>
  <c r="DV621" i="40"/>
  <c r="DV606" i="40"/>
  <c r="DV623" i="40"/>
  <c r="DV22" i="52"/>
  <c r="DV56" i="52"/>
  <c r="DV46" i="52"/>
  <c r="DV26" i="52"/>
  <c r="DV47" i="52"/>
  <c r="DV59" i="52"/>
  <c r="DV49" i="52"/>
  <c r="DV23" i="52"/>
  <c r="DV58" i="52"/>
  <c r="DV54" i="52"/>
  <c r="DV30" i="52"/>
  <c r="DW10" i="52"/>
  <c r="DV60" i="52"/>
  <c r="DV48" i="52"/>
  <c r="DV24" i="52"/>
  <c r="DV17" i="52"/>
  <c r="DV29" i="52"/>
  <c r="DV31" i="52"/>
  <c r="DV50" i="52"/>
  <c r="DV28" i="52"/>
  <c r="DV25" i="52"/>
  <c r="DV52" i="52"/>
  <c r="DV57" i="52"/>
  <c r="DV18" i="52"/>
  <c r="DV53" i="52"/>
  <c r="DV51" i="52"/>
  <c r="DV21" i="52"/>
  <c r="DV19" i="52"/>
  <c r="DV55" i="52"/>
  <c r="DV20" i="52"/>
  <c r="DV27" i="52"/>
  <c r="O629" i="40"/>
  <c r="O613" i="40"/>
  <c r="O86" i="40"/>
  <c r="O615" i="40"/>
  <c r="O605" i="40"/>
  <c r="O620" i="40"/>
  <c r="O622" i="40"/>
  <c r="O614" i="40"/>
  <c r="O608" i="40"/>
  <c r="O625" i="40"/>
  <c r="O611" i="40"/>
  <c r="O632" i="40"/>
  <c r="O619" i="40"/>
  <c r="O635" i="40"/>
  <c r="O606" i="40"/>
  <c r="O624" i="40"/>
  <c r="O603" i="40"/>
  <c r="O609" i="40"/>
  <c r="O630" i="40"/>
  <c r="O88" i="40"/>
  <c r="O628" i="40"/>
  <c r="O602" i="40"/>
  <c r="O626" i="40"/>
  <c r="O601" i="40"/>
  <c r="O87" i="40"/>
  <c r="O623" i="40"/>
  <c r="O616" i="40"/>
  <c r="O634" i="40"/>
  <c r="O89" i="40"/>
  <c r="O633" i="40"/>
  <c r="O607" i="40"/>
  <c r="O618" i="40"/>
  <c r="O631" i="40"/>
  <c r="O612" i="40"/>
  <c r="O621" i="40"/>
  <c r="O617" i="40"/>
  <c r="O627" i="40"/>
  <c r="O610" i="40"/>
  <c r="O604" i="40"/>
  <c r="K610" i="40"/>
  <c r="K608" i="40"/>
  <c r="K605" i="40"/>
  <c r="K86" i="40"/>
  <c r="CL86" i="40" s="1"/>
  <c r="K626" i="40"/>
  <c r="K602" i="40"/>
  <c r="K623" i="40"/>
  <c r="K613" i="40"/>
  <c r="K617" i="40"/>
  <c r="K603" i="40"/>
  <c r="K619" i="40"/>
  <c r="K634" i="40"/>
  <c r="K631" i="40"/>
  <c r="K609" i="40"/>
  <c r="K624" i="40"/>
  <c r="K88" i="40"/>
  <c r="K606" i="40"/>
  <c r="K628" i="40"/>
  <c r="K629" i="40"/>
  <c r="K614" i="40"/>
  <c r="K633" i="40"/>
  <c r="K612" i="40"/>
  <c r="K89" i="40"/>
  <c r="CL89" i="40" s="1"/>
  <c r="K627" i="40"/>
  <c r="K611" i="40"/>
  <c r="K87" i="40"/>
  <c r="CL87" i="40" s="1"/>
  <c r="K620" i="40"/>
  <c r="K601" i="40"/>
  <c r="K622" i="40"/>
  <c r="L93" i="40"/>
  <c r="K635" i="40"/>
  <c r="K632" i="40"/>
  <c r="K625" i="40"/>
  <c r="K607" i="40"/>
  <c r="K621" i="40"/>
  <c r="K616" i="40"/>
  <c r="K630" i="40"/>
  <c r="K618" i="40"/>
  <c r="K615" i="40"/>
  <c r="K106" i="75"/>
  <c r="K111" i="75"/>
  <c r="K107" i="75"/>
  <c r="K102" i="75"/>
  <c r="L93" i="75"/>
  <c r="K89" i="75"/>
  <c r="K103" i="75"/>
  <c r="K101" i="75"/>
  <c r="K86" i="75"/>
  <c r="K88" i="75"/>
  <c r="K109" i="75"/>
  <c r="K108" i="75"/>
  <c r="K87" i="75"/>
  <c r="K112" i="75"/>
  <c r="K110" i="75"/>
  <c r="K105" i="75"/>
  <c r="K104" i="75"/>
  <c r="P93" i="75"/>
  <c r="A86" i="39"/>
  <c r="A87" i="39"/>
  <c r="A88" i="39"/>
  <c r="A89" i="39"/>
  <c r="P93" i="40"/>
  <c r="P10" i="52"/>
  <c r="O108" i="75"/>
  <c r="O86" i="75"/>
  <c r="O112" i="75"/>
  <c r="O105" i="75"/>
  <c r="O102" i="75"/>
  <c r="O89" i="75"/>
  <c r="O103" i="75"/>
  <c r="O101" i="75"/>
  <c r="O88" i="75"/>
  <c r="O107" i="75"/>
  <c r="O109" i="75"/>
  <c r="O111" i="75"/>
  <c r="O87" i="75"/>
  <c r="O104" i="75"/>
  <c r="O110" i="75"/>
  <c r="O106" i="75"/>
  <c r="CH608" i="40"/>
  <c r="CH633" i="40"/>
  <c r="CH623" i="40"/>
  <c r="CH605" i="40"/>
  <c r="CH630" i="40"/>
  <c r="CH625" i="40"/>
  <c r="CH615" i="40"/>
  <c r="CH86" i="40"/>
  <c r="CH622" i="40"/>
  <c r="CH624" i="40"/>
  <c r="CH610" i="40"/>
  <c r="CH88" i="40"/>
  <c r="CH621" i="40"/>
  <c r="CH611" i="40"/>
  <c r="CH616" i="40"/>
  <c r="CH602" i="40"/>
  <c r="CH631" i="40"/>
  <c r="CH613" i="40"/>
  <c r="CH603" i="40"/>
  <c r="CH601" i="40"/>
  <c r="CH626" i="40"/>
  <c r="CH612" i="40"/>
  <c r="CH89" i="40"/>
  <c r="CH627" i="40"/>
  <c r="CH632" i="40"/>
  <c r="CH618" i="40"/>
  <c r="CH604" i="40"/>
  <c r="CH629" i="40"/>
  <c r="CH619" i="40"/>
  <c r="CH617" i="40"/>
  <c r="CH607" i="40"/>
  <c r="CH628" i="40"/>
  <c r="CH614" i="40"/>
  <c r="CH87" i="40"/>
  <c r="CH609" i="40"/>
  <c r="CH634" i="40"/>
  <c r="CH620" i="40"/>
  <c r="CH606" i="40"/>
  <c r="CH635" i="40"/>
  <c r="K21" i="52"/>
  <c r="K24" i="52"/>
  <c r="K18" i="52"/>
  <c r="K28" i="52"/>
  <c r="K19" i="52"/>
  <c r="K17" i="52"/>
  <c r="K27" i="52"/>
  <c r="K20" i="52"/>
  <c r="K26" i="52"/>
  <c r="K22" i="52"/>
  <c r="K31" i="52"/>
  <c r="K30" i="52"/>
  <c r="K23" i="52"/>
  <c r="K29" i="52"/>
  <c r="K25" i="52"/>
  <c r="L10" i="52"/>
  <c r="C636" i="40"/>
  <c r="P636" i="40"/>
  <c r="KN635" i="40"/>
  <c r="A635" i="40"/>
  <c r="AW635" i="40"/>
  <c r="BA635" i="40"/>
  <c r="BB635" i="40"/>
  <c r="AX635" i="40"/>
  <c r="AZ635" i="40"/>
  <c r="BX635" i="40"/>
  <c r="DM635" i="40"/>
  <c r="JO635" i="40"/>
  <c r="BC635" i="40"/>
  <c r="BD635" i="40"/>
  <c r="BE635" i="40"/>
  <c r="BI635" i="40"/>
  <c r="BJ635" i="40"/>
  <c r="BF635" i="40"/>
  <c r="BN635" i="40"/>
  <c r="BS635" i="40"/>
  <c r="BG635" i="40"/>
  <c r="BO635" i="40"/>
  <c r="BK635" i="40"/>
  <c r="BL635" i="40"/>
  <c r="BT635" i="40"/>
  <c r="BY635" i="40"/>
  <c r="BP635" i="40"/>
  <c r="BH635" i="40"/>
  <c r="BQ635" i="40"/>
  <c r="BM635" i="40"/>
  <c r="BU635" i="40"/>
  <c r="BZ635" i="40"/>
  <c r="CD635" i="40"/>
  <c r="DS635" i="40"/>
  <c r="BR635" i="40"/>
  <c r="BV635" i="40"/>
  <c r="CA635" i="40"/>
  <c r="CE635" i="40"/>
  <c r="CF635" i="40"/>
  <c r="BW635" i="40"/>
  <c r="CB635" i="40"/>
  <c r="DT635" i="40"/>
  <c r="CG635" i="40"/>
  <c r="CC635" i="40"/>
  <c r="J635" i="40"/>
  <c r="DU635" i="40"/>
  <c r="JO535" i="40"/>
  <c r="JO435" i="40"/>
  <c r="A90" i="39"/>
  <c r="J89" i="39"/>
  <c r="H89" i="39"/>
  <c r="I89" i="39"/>
  <c r="K89" i="39"/>
  <c r="L89" i="39"/>
  <c r="M89" i="39"/>
  <c r="N89" i="39"/>
  <c r="P89" i="39"/>
  <c r="R58" i="52" s="1"/>
  <c r="O89" i="39"/>
  <c r="Q89" i="39"/>
  <c r="P55" i="52"/>
  <c r="P17" i="52"/>
  <c r="P21" i="52"/>
  <c r="P31" i="52"/>
  <c r="P23" i="52"/>
  <c r="P59" i="52"/>
  <c r="P50" i="52"/>
  <c r="P29" i="52"/>
  <c r="P27" i="52"/>
  <c r="P54" i="52"/>
  <c r="P46" i="52"/>
  <c r="P58" i="52"/>
  <c r="P60" i="52"/>
  <c r="P18" i="52"/>
  <c r="P30" i="52"/>
  <c r="P56" i="52"/>
  <c r="P49" i="52"/>
  <c r="P28" i="52"/>
  <c r="P20" i="52"/>
  <c r="P48" i="52"/>
  <c r="P52" i="52"/>
  <c r="P19" i="52"/>
  <c r="P22" i="52"/>
  <c r="P57" i="52"/>
  <c r="P53" i="52"/>
  <c r="P51" i="52"/>
  <c r="P26" i="52"/>
  <c r="P47" i="52"/>
  <c r="P25" i="52"/>
  <c r="P24" i="52"/>
  <c r="P612" i="40"/>
  <c r="P626" i="40"/>
  <c r="P634" i="40"/>
  <c r="P88" i="40"/>
  <c r="P623" i="40"/>
  <c r="P601" i="40"/>
  <c r="P620" i="40"/>
  <c r="P624" i="40"/>
  <c r="P609" i="40"/>
  <c r="P631" i="40"/>
  <c r="P628" i="40"/>
  <c r="P605" i="40"/>
  <c r="P602" i="40"/>
  <c r="P613" i="40"/>
  <c r="P86" i="40"/>
  <c r="P627" i="40"/>
  <c r="P611" i="40"/>
  <c r="P618" i="40"/>
  <c r="P87" i="40"/>
  <c r="P629" i="40"/>
  <c r="P606" i="40"/>
  <c r="P632" i="40"/>
  <c r="P617" i="40"/>
  <c r="P635" i="40"/>
  <c r="P607" i="40"/>
  <c r="P630" i="40"/>
  <c r="P614" i="40"/>
  <c r="P633" i="40"/>
  <c r="P608" i="40"/>
  <c r="P615" i="40"/>
  <c r="P619" i="40"/>
  <c r="P616" i="40"/>
  <c r="P622" i="40"/>
  <c r="P89" i="40"/>
  <c r="P603" i="40"/>
  <c r="P621" i="40"/>
  <c r="P610" i="40"/>
  <c r="P604" i="40"/>
  <c r="P625" i="40"/>
  <c r="L28" i="52"/>
  <c r="L23" i="52"/>
  <c r="L19" i="52"/>
  <c r="L27" i="52"/>
  <c r="L20" i="52"/>
  <c r="L30" i="52"/>
  <c r="L25" i="52"/>
  <c r="L24" i="52"/>
  <c r="L21" i="52"/>
  <c r="L22" i="52"/>
  <c r="L26" i="52"/>
  <c r="M10" i="52"/>
  <c r="L29" i="52"/>
  <c r="L31" i="52"/>
  <c r="L18" i="52"/>
  <c r="L17" i="52"/>
  <c r="CM17" i="52" s="1"/>
  <c r="Q93" i="75"/>
  <c r="K88" i="57"/>
  <c r="L88" i="57"/>
  <c r="O88" i="57"/>
  <c r="Q10" i="52"/>
  <c r="Q93" i="40"/>
  <c r="M88" i="57"/>
  <c r="Q88" i="57"/>
  <c r="J88" i="57"/>
  <c r="N88" i="57"/>
  <c r="P88" i="57"/>
  <c r="DW25" i="52"/>
  <c r="DW56" i="52"/>
  <c r="DW60" i="52"/>
  <c r="DW47" i="52"/>
  <c r="DW24" i="52"/>
  <c r="DW57" i="52"/>
  <c r="DW52" i="52"/>
  <c r="DW21" i="52"/>
  <c r="DW20" i="52"/>
  <c r="DW46" i="52"/>
  <c r="DW55" i="52"/>
  <c r="DW27" i="52"/>
  <c r="DW59" i="52"/>
  <c r="DW23" i="52"/>
  <c r="DW53" i="52"/>
  <c r="DW29" i="52"/>
  <c r="DW54" i="52"/>
  <c r="DW48" i="52"/>
  <c r="DW31" i="52"/>
  <c r="DW26" i="52"/>
  <c r="DW50" i="52"/>
  <c r="DW19" i="52"/>
  <c r="DW49" i="52"/>
  <c r="DW18" i="52"/>
  <c r="DW22" i="52"/>
  <c r="DW28" i="52"/>
  <c r="DW51" i="52"/>
  <c r="DW58" i="52"/>
  <c r="DW17" i="52"/>
  <c r="DW30" i="52"/>
  <c r="DW616" i="40"/>
  <c r="DW606" i="40"/>
  <c r="DW619" i="40"/>
  <c r="DW626" i="40"/>
  <c r="DW608" i="40"/>
  <c r="DW633" i="40"/>
  <c r="DW627" i="40"/>
  <c r="DW605" i="40"/>
  <c r="DW634" i="40"/>
  <c r="DW623" i="40"/>
  <c r="DW87" i="40"/>
  <c r="DW625" i="40"/>
  <c r="DW603" i="40"/>
  <c r="DW620" i="40"/>
  <c r="DW610" i="40"/>
  <c r="DW86" i="40"/>
  <c r="DW617" i="40"/>
  <c r="DW611" i="40"/>
  <c r="DW628" i="40"/>
  <c r="DW618" i="40"/>
  <c r="DW615" i="40"/>
  <c r="DW632" i="40"/>
  <c r="DW622" i="40"/>
  <c r="DW635" i="40"/>
  <c r="DW613" i="40"/>
  <c r="DW607" i="40"/>
  <c r="DW624" i="40"/>
  <c r="DW614" i="40"/>
  <c r="DW89" i="40"/>
  <c r="DW621" i="40"/>
  <c r="DW631" i="40"/>
  <c r="DW609" i="40"/>
  <c r="DW88" i="40"/>
  <c r="DW604" i="40"/>
  <c r="DW629" i="40"/>
  <c r="DW601" i="40"/>
  <c r="DW630" i="40"/>
  <c r="DW612" i="40"/>
  <c r="DW602" i="40"/>
  <c r="L101" i="75"/>
  <c r="L103" i="75"/>
  <c r="L102" i="75"/>
  <c r="L111" i="75"/>
  <c r="L106" i="75"/>
  <c r="L112" i="75"/>
  <c r="L109" i="75"/>
  <c r="L108" i="75"/>
  <c r="L88" i="75"/>
  <c r="L89" i="75"/>
  <c r="L104" i="75"/>
  <c r="L87" i="75"/>
  <c r="L110" i="75"/>
  <c r="L107" i="75"/>
  <c r="M93" i="75"/>
  <c r="L105" i="75"/>
  <c r="L86" i="75"/>
  <c r="L606" i="40"/>
  <c r="L86" i="40"/>
  <c r="CM86" i="40" s="1"/>
  <c r="L633" i="40"/>
  <c r="L603" i="40"/>
  <c r="L614" i="40"/>
  <c r="L608" i="40"/>
  <c r="L619" i="40"/>
  <c r="L624" i="40"/>
  <c r="L622" i="40"/>
  <c r="L89" i="40"/>
  <c r="CM89" i="40" s="1"/>
  <c r="L601" i="40"/>
  <c r="L602" i="40"/>
  <c r="L615" i="40"/>
  <c r="L623" i="40"/>
  <c r="L620" i="40"/>
  <c r="L630" i="40"/>
  <c r="L634" i="40"/>
  <c r="L612" i="40"/>
  <c r="M93" i="40"/>
  <c r="L631" i="40"/>
  <c r="L616" i="40"/>
  <c r="L635" i="40"/>
  <c r="L621" i="40"/>
  <c r="L613" i="40"/>
  <c r="L632" i="40"/>
  <c r="L611" i="40"/>
  <c r="L605" i="40"/>
  <c r="L626" i="40"/>
  <c r="L610" i="40"/>
  <c r="L625" i="40"/>
  <c r="L607" i="40"/>
  <c r="L628" i="40"/>
  <c r="L87" i="40"/>
  <c r="CM87" i="40" s="1"/>
  <c r="L629" i="40"/>
  <c r="L609" i="40"/>
  <c r="L88" i="40"/>
  <c r="CM88" i="40" s="1"/>
  <c r="L627" i="40"/>
  <c r="L617" i="40"/>
  <c r="L618" i="40"/>
  <c r="P105" i="75"/>
  <c r="P86" i="75"/>
  <c r="P88" i="75"/>
  <c r="P101" i="75"/>
  <c r="P104" i="75"/>
  <c r="P111" i="75"/>
  <c r="P106" i="75"/>
  <c r="P102" i="75"/>
  <c r="P110" i="75"/>
  <c r="P109" i="75"/>
  <c r="P107" i="75"/>
  <c r="P108" i="75"/>
  <c r="P87" i="75"/>
  <c r="P112" i="75"/>
  <c r="P103" i="75"/>
  <c r="P89" i="75"/>
  <c r="L636" i="40"/>
  <c r="JO536" i="40"/>
  <c r="KN636" i="40"/>
  <c r="A636" i="40"/>
  <c r="C637" i="40"/>
  <c r="AW636" i="40"/>
  <c r="BA636" i="40"/>
  <c r="BB636" i="40"/>
  <c r="AX636" i="40"/>
  <c r="AZ636" i="40"/>
  <c r="BX636" i="40"/>
  <c r="DM636" i="40"/>
  <c r="JO636" i="40"/>
  <c r="BC636" i="40"/>
  <c r="BD636" i="40"/>
  <c r="BE636" i="40"/>
  <c r="BI636" i="40"/>
  <c r="BJ636" i="40"/>
  <c r="BN636" i="40"/>
  <c r="BF636" i="40"/>
  <c r="BG636" i="40"/>
  <c r="BK636" i="40"/>
  <c r="BS636" i="40"/>
  <c r="BO636" i="40"/>
  <c r="BP636" i="40"/>
  <c r="BT636" i="40"/>
  <c r="BL636" i="40"/>
  <c r="BY636" i="40"/>
  <c r="BH636" i="40"/>
  <c r="CD636" i="40"/>
  <c r="BM636" i="40"/>
  <c r="BU636" i="40"/>
  <c r="BQ636" i="40"/>
  <c r="BZ636" i="40"/>
  <c r="CA636" i="40"/>
  <c r="CE636" i="40"/>
  <c r="DS636" i="40"/>
  <c r="BR636" i="40"/>
  <c r="BV636" i="40"/>
  <c r="BW636" i="40"/>
  <c r="CB636" i="40"/>
  <c r="DT636" i="40"/>
  <c r="CF636" i="40"/>
  <c r="DU636" i="40"/>
  <c r="J636" i="40"/>
  <c r="CG636" i="40"/>
  <c r="CC636" i="40"/>
  <c r="CH636" i="40"/>
  <c r="DV636" i="40"/>
  <c r="K636" i="40"/>
  <c r="O636" i="40"/>
  <c r="DW636" i="40"/>
  <c r="JO436" i="40"/>
  <c r="A91" i="39"/>
  <c r="H90" i="39"/>
  <c r="I90" i="39"/>
  <c r="J90" i="39"/>
  <c r="K90" i="39"/>
  <c r="L90" i="39"/>
  <c r="N90" i="39"/>
  <c r="M90" i="39"/>
  <c r="O90" i="39"/>
  <c r="P90" i="39"/>
  <c r="Q90" i="39"/>
  <c r="R89" i="39"/>
  <c r="R89" i="57" s="1"/>
  <c r="H88" i="57"/>
  <c r="R88" i="39"/>
  <c r="R88" i="57" s="1"/>
  <c r="M24" i="52"/>
  <c r="M17" i="52"/>
  <c r="CN17" i="52" s="1"/>
  <c r="M28" i="52"/>
  <c r="M30" i="52"/>
  <c r="M22" i="52"/>
  <c r="M25" i="52"/>
  <c r="M20" i="52"/>
  <c r="M23" i="52"/>
  <c r="M29" i="52"/>
  <c r="M27" i="52"/>
  <c r="N10" i="52"/>
  <c r="M31" i="52"/>
  <c r="M19" i="52"/>
  <c r="M21" i="52"/>
  <c r="M18" i="52"/>
  <c r="M26" i="52"/>
  <c r="M102" i="75"/>
  <c r="M101" i="75"/>
  <c r="N93" i="75"/>
  <c r="M112" i="75"/>
  <c r="M111" i="75"/>
  <c r="M108" i="75"/>
  <c r="M104" i="75"/>
  <c r="M86" i="75"/>
  <c r="M87" i="75"/>
  <c r="M107" i="75"/>
  <c r="M106" i="75"/>
  <c r="M110" i="75"/>
  <c r="M105" i="75"/>
  <c r="M103" i="75"/>
  <c r="M88" i="75"/>
  <c r="M109" i="75"/>
  <c r="M89" i="75"/>
  <c r="L89" i="57"/>
  <c r="O89" i="57"/>
  <c r="N89" i="57"/>
  <c r="Q89" i="57"/>
  <c r="M89" i="57"/>
  <c r="P89" i="57"/>
  <c r="Q86" i="40"/>
  <c r="Q87" i="40"/>
  <c r="Q89" i="40"/>
  <c r="R93" i="40"/>
  <c r="Q88" i="40"/>
  <c r="M603" i="40"/>
  <c r="M633" i="40"/>
  <c r="M637" i="40"/>
  <c r="M606" i="40"/>
  <c r="M623" i="40"/>
  <c r="M608" i="40"/>
  <c r="M628" i="40"/>
  <c r="M617" i="40"/>
  <c r="M629" i="40"/>
  <c r="M602" i="40"/>
  <c r="M607" i="40"/>
  <c r="M627" i="40"/>
  <c r="M88" i="40"/>
  <c r="CN88" i="40" s="1"/>
  <c r="M86" i="40"/>
  <c r="CN86" i="40" s="1"/>
  <c r="M605" i="40"/>
  <c r="M89" i="40"/>
  <c r="CN89" i="40" s="1"/>
  <c r="M625" i="40"/>
  <c r="M624" i="40"/>
  <c r="M630" i="40"/>
  <c r="M611" i="40"/>
  <c r="M621" i="40"/>
  <c r="M87" i="40"/>
  <c r="CN87" i="40" s="1"/>
  <c r="M632" i="40"/>
  <c r="M614" i="40"/>
  <c r="M631" i="40"/>
  <c r="M636" i="40"/>
  <c r="M626" i="40"/>
  <c r="M635" i="40"/>
  <c r="M618" i="40"/>
  <c r="M634" i="40"/>
  <c r="M609" i="40"/>
  <c r="M619" i="40"/>
  <c r="M612" i="40"/>
  <c r="M610" i="40"/>
  <c r="N93" i="40"/>
  <c r="M622" i="40"/>
  <c r="M615" i="40"/>
  <c r="M601" i="40"/>
  <c r="M616" i="40"/>
  <c r="M613" i="40"/>
  <c r="M620" i="40"/>
  <c r="I88" i="57"/>
  <c r="S88" i="39"/>
  <c r="S88" i="57" s="1"/>
  <c r="Q22" i="52"/>
  <c r="Q23" i="52"/>
  <c r="Q28" i="52"/>
  <c r="Q29" i="52"/>
  <c r="Q26" i="52"/>
  <c r="Q31" i="52"/>
  <c r="Q20" i="52"/>
  <c r="R10" i="52"/>
  <c r="Q21" i="52"/>
  <c r="Q18" i="52"/>
  <c r="Q24" i="52"/>
  <c r="Q25" i="52"/>
  <c r="Q30" i="52"/>
  <c r="Q17" i="52"/>
  <c r="Q19" i="52"/>
  <c r="Q27" i="52"/>
  <c r="Q86" i="75"/>
  <c r="R93" i="75"/>
  <c r="Q105" i="75"/>
  <c r="Q109" i="75"/>
  <c r="Q87" i="75"/>
  <c r="Q88" i="75"/>
  <c r="Q103" i="75"/>
  <c r="Q107" i="75"/>
  <c r="Q110" i="75"/>
  <c r="Q104" i="75"/>
  <c r="Q101" i="75"/>
  <c r="Q106" i="75"/>
  <c r="Q89" i="75"/>
  <c r="Q102" i="75"/>
  <c r="Q108" i="75"/>
  <c r="KN637" i="40"/>
  <c r="C638" i="40"/>
  <c r="A637" i="40"/>
  <c r="AW637" i="40"/>
  <c r="BA637" i="40"/>
  <c r="BB637" i="40"/>
  <c r="AX637" i="40"/>
  <c r="AZ637" i="40"/>
  <c r="BX637" i="40"/>
  <c r="DM637" i="40"/>
  <c r="JO637" i="40"/>
  <c r="BC637" i="40"/>
  <c r="BD637" i="40"/>
  <c r="BI637" i="40"/>
  <c r="BE637" i="40"/>
  <c r="BF637" i="40"/>
  <c r="BN637" i="40"/>
  <c r="BJ637" i="40"/>
  <c r="BS637" i="40"/>
  <c r="BG637" i="40"/>
  <c r="BK637" i="40"/>
  <c r="BO637" i="40"/>
  <c r="BT637" i="40"/>
  <c r="BL637" i="40"/>
  <c r="BP637" i="40"/>
  <c r="BY637" i="40"/>
  <c r="BH637" i="40"/>
  <c r="CD637" i="40"/>
  <c r="BQ637" i="40"/>
  <c r="BM637" i="40"/>
  <c r="BZ637" i="40"/>
  <c r="BU637" i="40"/>
  <c r="CA637" i="40"/>
  <c r="CE637" i="40"/>
  <c r="BV637" i="40"/>
  <c r="DS637" i="40"/>
  <c r="BR637" i="40"/>
  <c r="CF637" i="40"/>
  <c r="BW637" i="40"/>
  <c r="CB637" i="40"/>
  <c r="DT637" i="40"/>
  <c r="DU637" i="40"/>
  <c r="J637" i="40"/>
  <c r="CC637" i="40"/>
  <c r="CG637" i="40"/>
  <c r="DV637" i="40"/>
  <c r="K637" i="40"/>
  <c r="O637" i="40"/>
  <c r="CH637" i="40"/>
  <c r="DW637" i="40"/>
  <c r="P637" i="40"/>
  <c r="L637" i="40"/>
  <c r="JO537" i="40"/>
  <c r="JO437" i="40"/>
  <c r="R90" i="39"/>
  <c r="S601" i="40" s="1"/>
  <c r="A92" i="39"/>
  <c r="H91" i="39"/>
  <c r="J91" i="39"/>
  <c r="I91" i="39"/>
  <c r="K91" i="39"/>
  <c r="L91" i="39"/>
  <c r="N91" i="39"/>
  <c r="M91" i="39"/>
  <c r="O91" i="39"/>
  <c r="P91" i="39"/>
  <c r="Q91" i="39"/>
  <c r="Q111" i="75"/>
  <c r="Q607" i="40"/>
  <c r="Q629" i="40"/>
  <c r="Q633" i="40"/>
  <c r="S10" i="52"/>
  <c r="R20" i="52"/>
  <c r="R23" i="52"/>
  <c r="R25" i="52"/>
  <c r="R28" i="52"/>
  <c r="R30" i="52"/>
  <c r="R29" i="52"/>
  <c r="R17" i="52"/>
  <c r="CQ17" i="52" s="1"/>
  <c r="R18" i="52"/>
  <c r="R31" i="52"/>
  <c r="R19" i="52"/>
  <c r="R26" i="52"/>
  <c r="R22" i="52"/>
  <c r="R21" i="52"/>
  <c r="R27" i="52"/>
  <c r="R24" i="52"/>
  <c r="I48" i="68"/>
  <c r="J90" i="57"/>
  <c r="M90" i="57"/>
  <c r="L90" i="57"/>
  <c r="P90" i="57"/>
  <c r="O90" i="57"/>
  <c r="N90" i="57"/>
  <c r="Q90" i="57"/>
  <c r="N88" i="75"/>
  <c r="N89" i="75"/>
  <c r="N109" i="75"/>
  <c r="N108" i="75"/>
  <c r="N101" i="75"/>
  <c r="N106" i="75"/>
  <c r="N107" i="75"/>
  <c r="N112" i="75"/>
  <c r="N105" i="75"/>
  <c r="N111" i="75"/>
  <c r="N103" i="75"/>
  <c r="N87" i="75"/>
  <c r="N104" i="75"/>
  <c r="N102" i="75"/>
  <c r="N86" i="75"/>
  <c r="N110" i="75"/>
  <c r="S93" i="75"/>
  <c r="R87" i="75"/>
  <c r="R109" i="75"/>
  <c r="R86" i="75"/>
  <c r="R106" i="75"/>
  <c r="R107" i="75"/>
  <c r="R103" i="75"/>
  <c r="R88" i="75"/>
  <c r="R105" i="75"/>
  <c r="R108" i="75"/>
  <c r="R104" i="75"/>
  <c r="R89" i="75"/>
  <c r="R101" i="75"/>
  <c r="R110" i="75"/>
  <c r="N88" i="40"/>
  <c r="CO88" i="40" s="1"/>
  <c r="N630" i="40"/>
  <c r="N611" i="40"/>
  <c r="N613" i="40"/>
  <c r="N619" i="40"/>
  <c r="N635" i="40"/>
  <c r="N89" i="40"/>
  <c r="CO89" i="40" s="1"/>
  <c r="N626" i="40"/>
  <c r="N605" i="40"/>
  <c r="N631" i="40"/>
  <c r="N633" i="40"/>
  <c r="N86" i="40"/>
  <c r="N602" i="40"/>
  <c r="N609" i="40"/>
  <c r="N625" i="40"/>
  <c r="N614" i="40"/>
  <c r="N616" i="40"/>
  <c r="N623" i="40"/>
  <c r="N632" i="40"/>
  <c r="N627" i="40"/>
  <c r="N87" i="40"/>
  <c r="CO87" i="40" s="1"/>
  <c r="N622" i="40"/>
  <c r="N615" i="40"/>
  <c r="N634" i="40"/>
  <c r="N601" i="40"/>
  <c r="N629" i="40"/>
  <c r="N638" i="40"/>
  <c r="N607" i="40"/>
  <c r="N636" i="40"/>
  <c r="N624" i="40"/>
  <c r="N628" i="40"/>
  <c r="N617" i="40"/>
  <c r="N610" i="40"/>
  <c r="N612" i="40"/>
  <c r="N621" i="40"/>
  <c r="N618" i="40"/>
  <c r="N620" i="40"/>
  <c r="N637" i="40"/>
  <c r="N603" i="40"/>
  <c r="N608" i="40"/>
  <c r="N606" i="40"/>
  <c r="Q605" i="40"/>
  <c r="Q618" i="40"/>
  <c r="Q606" i="40"/>
  <c r="N23" i="52"/>
  <c r="N22" i="52"/>
  <c r="N31" i="52"/>
  <c r="N24" i="52"/>
  <c r="N29" i="52"/>
  <c r="N26" i="52"/>
  <c r="N20" i="52"/>
  <c r="N17" i="52"/>
  <c r="CO17" i="52" s="1"/>
  <c r="N27" i="52"/>
  <c r="N21" i="52"/>
  <c r="N19" i="52"/>
  <c r="N25" i="52"/>
  <c r="N18" i="52"/>
  <c r="N28" i="52"/>
  <c r="N30" i="52"/>
  <c r="I48" i="67"/>
  <c r="R88" i="40"/>
  <c r="CQ88" i="40" s="1"/>
  <c r="R89" i="40"/>
  <c r="CQ89" i="40" s="1"/>
  <c r="R87" i="40"/>
  <c r="CQ87" i="40" s="1"/>
  <c r="R86" i="40"/>
  <c r="CQ86" i="40" s="1"/>
  <c r="S93" i="40"/>
  <c r="Q601" i="40"/>
  <c r="Q617" i="40"/>
  <c r="Q625" i="40"/>
  <c r="H89" i="57"/>
  <c r="A638" i="40"/>
  <c r="C639" i="40"/>
  <c r="KN638" i="40"/>
  <c r="AW638" i="40"/>
  <c r="BA638" i="40"/>
  <c r="BB638" i="40"/>
  <c r="AX638" i="40"/>
  <c r="AZ638" i="40"/>
  <c r="BX638" i="40"/>
  <c r="DM638" i="40"/>
  <c r="JO638" i="40"/>
  <c r="BC638" i="40"/>
  <c r="BD638" i="40"/>
  <c r="BI638" i="40"/>
  <c r="BE638" i="40"/>
  <c r="BF638" i="40"/>
  <c r="BN638" i="40"/>
  <c r="BJ638" i="40"/>
  <c r="BS638" i="40"/>
  <c r="BG638" i="40"/>
  <c r="BO638" i="40"/>
  <c r="BK638" i="40"/>
  <c r="BP638" i="40"/>
  <c r="BT638" i="40"/>
  <c r="BL638" i="40"/>
  <c r="BY638" i="40"/>
  <c r="BH638" i="40"/>
  <c r="BZ638" i="40"/>
  <c r="BQ638" i="40"/>
  <c r="BU638" i="40"/>
  <c r="CD638" i="40"/>
  <c r="BM638" i="40"/>
  <c r="CA638" i="40"/>
  <c r="DS638" i="40"/>
  <c r="BR638" i="40"/>
  <c r="BV638" i="40"/>
  <c r="CE638" i="40"/>
  <c r="CB638" i="40"/>
  <c r="BW638" i="40"/>
  <c r="CF638" i="40"/>
  <c r="DT638" i="40"/>
  <c r="DU638" i="40"/>
  <c r="CG638" i="40"/>
  <c r="J638" i="40"/>
  <c r="CC638" i="40"/>
  <c r="DV638" i="40"/>
  <c r="O638" i="40"/>
  <c r="CH638" i="40"/>
  <c r="K638" i="40"/>
  <c r="DW638" i="40"/>
  <c r="L638" i="40"/>
  <c r="P638" i="40"/>
  <c r="M638" i="40"/>
  <c r="JO538" i="40"/>
  <c r="JO438" i="40"/>
  <c r="R91" i="39"/>
  <c r="A93" i="39"/>
  <c r="H92" i="39"/>
  <c r="J92" i="39"/>
  <c r="I92" i="39"/>
  <c r="L92" i="39"/>
  <c r="K92" i="39"/>
  <c r="M92" i="39"/>
  <c r="N92" i="39"/>
  <c r="P92" i="39"/>
  <c r="O92" i="39"/>
  <c r="Q92" i="39"/>
  <c r="R606" i="40"/>
  <c r="R607" i="40"/>
  <c r="R603" i="40"/>
  <c r="R604" i="40"/>
  <c r="R111" i="75"/>
  <c r="N91" i="57"/>
  <c r="L91" i="57"/>
  <c r="J91" i="57"/>
  <c r="P91" i="57"/>
  <c r="M91" i="57"/>
  <c r="Q91" i="57"/>
  <c r="S89" i="40"/>
  <c r="CR89" i="40" s="1"/>
  <c r="S87" i="40"/>
  <c r="CR87" i="40" s="1"/>
  <c r="S88" i="40"/>
  <c r="CR88" i="40" s="1"/>
  <c r="S86" i="40"/>
  <c r="CR86" i="40" s="1"/>
  <c r="T93" i="40"/>
  <c r="S88" i="75"/>
  <c r="S101" i="75"/>
  <c r="S107" i="75"/>
  <c r="S110" i="75"/>
  <c r="S102" i="75"/>
  <c r="S108" i="75"/>
  <c r="S87" i="75"/>
  <c r="S103" i="75"/>
  <c r="S106" i="75"/>
  <c r="S89" i="75"/>
  <c r="S104" i="75"/>
  <c r="T93" i="75"/>
  <c r="S86" i="75"/>
  <c r="S105" i="75"/>
  <c r="S109" i="75"/>
  <c r="H90" i="57"/>
  <c r="R90" i="57"/>
  <c r="I90" i="57"/>
  <c r="R605" i="40"/>
  <c r="S28" i="52"/>
  <c r="S30" i="52"/>
  <c r="T10" i="52"/>
  <c r="S21" i="52"/>
  <c r="S25" i="52"/>
  <c r="S26" i="52"/>
  <c r="S20" i="52"/>
  <c r="S19" i="52"/>
  <c r="S22" i="52"/>
  <c r="S27" i="52"/>
  <c r="S24" i="52"/>
  <c r="S17" i="52"/>
  <c r="CR17" i="52" s="1"/>
  <c r="S18" i="52"/>
  <c r="S23" i="52"/>
  <c r="S31" i="52"/>
  <c r="S29" i="52"/>
  <c r="JO439" i="40"/>
  <c r="A639" i="40"/>
  <c r="KN639" i="40"/>
  <c r="C640" i="40"/>
  <c r="AW639" i="40"/>
  <c r="BA639" i="40"/>
  <c r="BB639" i="40"/>
  <c r="AX639" i="40"/>
  <c r="AZ639" i="40"/>
  <c r="BX639" i="40"/>
  <c r="DM639" i="40"/>
  <c r="JO639" i="40"/>
  <c r="BC639" i="40"/>
  <c r="BD639" i="40"/>
  <c r="BE639" i="40"/>
  <c r="BI639" i="40"/>
  <c r="BJ639" i="40"/>
  <c r="BF639" i="40"/>
  <c r="BN639" i="40"/>
  <c r="BG639" i="40"/>
  <c r="BK639" i="40"/>
  <c r="BS639" i="40"/>
  <c r="BO639" i="40"/>
  <c r="BY639" i="40"/>
  <c r="BH639" i="40"/>
  <c r="BP639" i="40"/>
  <c r="BT639" i="40"/>
  <c r="BL639" i="40"/>
  <c r="BQ639" i="40"/>
  <c r="CD639" i="40"/>
  <c r="BM639" i="40"/>
  <c r="BU639" i="40"/>
  <c r="BZ639" i="40"/>
  <c r="BV639" i="40"/>
  <c r="CA639" i="40"/>
  <c r="BR639" i="40"/>
  <c r="DS639" i="40"/>
  <c r="CE639" i="40"/>
  <c r="BW639" i="40"/>
  <c r="CF639" i="40"/>
  <c r="CB639" i="40"/>
  <c r="DT639" i="40"/>
  <c r="CG639" i="40"/>
  <c r="DU639" i="40"/>
  <c r="J639" i="40"/>
  <c r="CC639" i="40"/>
  <c r="CH639" i="40"/>
  <c r="K639" i="40"/>
  <c r="O639" i="40"/>
  <c r="DV639" i="40"/>
  <c r="DW639" i="40"/>
  <c r="P639" i="40"/>
  <c r="L639" i="40"/>
  <c r="M639" i="40"/>
  <c r="N639" i="40"/>
  <c r="Q639" i="40"/>
  <c r="JO539" i="40"/>
  <c r="H93" i="39"/>
  <c r="J93" i="39"/>
  <c r="I93" i="39"/>
  <c r="K93" i="39"/>
  <c r="L93" i="39"/>
  <c r="M93" i="39"/>
  <c r="N93" i="39"/>
  <c r="P93" i="39"/>
  <c r="O93" i="39"/>
  <c r="Q93" i="39"/>
  <c r="S111" i="75"/>
  <c r="I91" i="57"/>
  <c r="T103" i="75"/>
  <c r="T106" i="75"/>
  <c r="U93" i="75"/>
  <c r="T109" i="75"/>
  <c r="T88" i="75"/>
  <c r="T89" i="75"/>
  <c r="T102" i="75"/>
  <c r="T86" i="75"/>
  <c r="T87" i="75"/>
  <c r="T101" i="75"/>
  <c r="T107" i="75"/>
  <c r="T110" i="75"/>
  <c r="T105" i="75"/>
  <c r="S603" i="40"/>
  <c r="T86" i="40"/>
  <c r="CS86" i="40" s="1"/>
  <c r="T87" i="40"/>
  <c r="CS87" i="40" s="1"/>
  <c r="U93" i="40"/>
  <c r="T88" i="40"/>
  <c r="CS88" i="40" s="1"/>
  <c r="T89" i="40"/>
  <c r="CS89" i="40" s="1"/>
  <c r="U10" i="52"/>
  <c r="T18" i="52"/>
  <c r="T22" i="52"/>
  <c r="T25" i="52"/>
  <c r="T26" i="52"/>
  <c r="T31" i="52"/>
  <c r="T23" i="52"/>
  <c r="T30" i="52"/>
  <c r="T17" i="52"/>
  <c r="CS17" i="52" s="1"/>
  <c r="T24" i="52"/>
  <c r="T27" i="52"/>
  <c r="T28" i="52"/>
  <c r="T21" i="52"/>
  <c r="T20" i="52"/>
  <c r="T19" i="52"/>
  <c r="T29" i="52"/>
  <c r="S607" i="40"/>
  <c r="S606" i="40"/>
  <c r="H91" i="57"/>
  <c r="R91" i="57"/>
  <c r="S605" i="40"/>
  <c r="S604" i="40"/>
  <c r="JO540" i="40"/>
  <c r="KN640" i="40"/>
  <c r="C641" i="40"/>
  <c r="A640" i="40"/>
  <c r="AW640" i="40"/>
  <c r="BA640" i="40"/>
  <c r="BB640" i="40"/>
  <c r="AX640" i="40"/>
  <c r="AZ640" i="40"/>
  <c r="BX640" i="40"/>
  <c r="DM640" i="40"/>
  <c r="JO640" i="40"/>
  <c r="BC640" i="40"/>
  <c r="BD640" i="40"/>
  <c r="BI640" i="40"/>
  <c r="BE640" i="40"/>
  <c r="BF640" i="40"/>
  <c r="BN640" i="40"/>
  <c r="BJ640" i="40"/>
  <c r="BG640" i="40"/>
  <c r="BO640" i="40"/>
  <c r="BS640" i="40"/>
  <c r="BK640" i="40"/>
  <c r="BL640" i="40"/>
  <c r="BP640" i="40"/>
  <c r="BT640" i="40"/>
  <c r="BY640" i="40"/>
  <c r="BH640" i="40"/>
  <c r="BZ640" i="40"/>
  <c r="BQ640" i="40"/>
  <c r="BM640" i="40"/>
  <c r="BU640" i="40"/>
  <c r="CD640" i="40"/>
  <c r="BR640" i="40"/>
  <c r="CE640" i="40"/>
  <c r="DS640" i="40"/>
  <c r="CA640" i="40"/>
  <c r="BV640" i="40"/>
  <c r="BW640" i="40"/>
  <c r="CF640" i="40"/>
  <c r="CB640" i="40"/>
  <c r="DT640" i="40"/>
  <c r="CG640" i="40"/>
  <c r="J640" i="40"/>
  <c r="DU640" i="40"/>
  <c r="CC640" i="40"/>
  <c r="DV640" i="40"/>
  <c r="CH640" i="40"/>
  <c r="O640" i="40"/>
  <c r="K640" i="40"/>
  <c r="P640" i="40"/>
  <c r="DW640" i="40"/>
  <c r="L640" i="40"/>
  <c r="M640" i="40"/>
  <c r="N640" i="40"/>
  <c r="Q640" i="40"/>
  <c r="JO440" i="40"/>
  <c r="T603" i="40"/>
  <c r="T606" i="40"/>
  <c r="T604" i="40"/>
  <c r="U89" i="75"/>
  <c r="U88" i="75"/>
  <c r="U106" i="75"/>
  <c r="V93" i="75"/>
  <c r="U102" i="75"/>
  <c r="U86" i="75"/>
  <c r="U105" i="75"/>
  <c r="U109" i="75"/>
  <c r="U103" i="75"/>
  <c r="U107" i="75"/>
  <c r="U110" i="75"/>
  <c r="U87" i="75"/>
  <c r="Q92" i="57"/>
  <c r="N92" i="57"/>
  <c r="T607" i="40"/>
  <c r="T601" i="40"/>
  <c r="T111" i="75"/>
  <c r="J92" i="57"/>
  <c r="P92" i="57"/>
  <c r="U87" i="40"/>
  <c r="CT87" i="40" s="1"/>
  <c r="U86" i="40"/>
  <c r="CT86" i="40" s="1"/>
  <c r="V93" i="40"/>
  <c r="U88" i="40"/>
  <c r="U89" i="40"/>
  <c r="CT89" i="40" s="1"/>
  <c r="M92" i="57"/>
  <c r="L92" i="57"/>
  <c r="I92" i="57"/>
  <c r="U29" i="52"/>
  <c r="U28" i="52"/>
  <c r="U21" i="52"/>
  <c r="U22" i="52"/>
  <c r="U19" i="52"/>
  <c r="U24" i="52"/>
  <c r="U18" i="52"/>
  <c r="V10" i="52"/>
  <c r="U23" i="52"/>
  <c r="U25" i="52"/>
  <c r="U27" i="52"/>
  <c r="U31" i="52"/>
  <c r="U30" i="52"/>
  <c r="U26" i="52"/>
  <c r="U20" i="52"/>
  <c r="T605" i="40"/>
  <c r="J93" i="57"/>
  <c r="M93" i="57"/>
  <c r="K93" i="57"/>
  <c r="N93" i="57"/>
  <c r="A94" i="39"/>
  <c r="P93" i="57"/>
  <c r="O93" i="57"/>
  <c r="JO441" i="40"/>
  <c r="KN641" i="40"/>
  <c r="C642" i="40"/>
  <c r="A641" i="40"/>
  <c r="AW641" i="40"/>
  <c r="BA641" i="40"/>
  <c r="BB641" i="40"/>
  <c r="AX641" i="40"/>
  <c r="AZ641" i="40"/>
  <c r="BX641" i="40"/>
  <c r="DM641" i="40"/>
  <c r="JO641" i="40"/>
  <c r="BC641" i="40"/>
  <c r="BD641" i="40"/>
  <c r="BE641" i="40"/>
  <c r="BI641" i="40"/>
  <c r="BF641" i="40"/>
  <c r="BN641" i="40"/>
  <c r="BJ641" i="40"/>
  <c r="BO641" i="40"/>
  <c r="BS641" i="40"/>
  <c r="BG641" i="40"/>
  <c r="BK641" i="40"/>
  <c r="BT641" i="40"/>
  <c r="BL641" i="40"/>
  <c r="BY641" i="40"/>
  <c r="BH641" i="40"/>
  <c r="BP641" i="40"/>
  <c r="BM641" i="40"/>
  <c r="BQ641" i="40"/>
  <c r="BU641" i="40"/>
  <c r="BZ641" i="40"/>
  <c r="CD641" i="40"/>
  <c r="DS641" i="40"/>
  <c r="CA641" i="40"/>
  <c r="BR641" i="40"/>
  <c r="BV641" i="40"/>
  <c r="CE641" i="40"/>
  <c r="CF641" i="40"/>
  <c r="BW641" i="40"/>
  <c r="CB641" i="40"/>
  <c r="DT641" i="40"/>
  <c r="DU641" i="40"/>
  <c r="CG641" i="40"/>
  <c r="CC641" i="40"/>
  <c r="J641" i="40"/>
  <c r="O641" i="40"/>
  <c r="DV641" i="40"/>
  <c r="K641" i="40"/>
  <c r="CH641" i="40"/>
  <c r="P641" i="40"/>
  <c r="DW641" i="40"/>
  <c r="L641" i="40"/>
  <c r="M641" i="40"/>
  <c r="Q641" i="40"/>
  <c r="N641" i="40"/>
  <c r="JO541" i="40"/>
  <c r="V22" i="52"/>
  <c r="V24" i="52"/>
  <c r="V27" i="52"/>
  <c r="V29" i="52"/>
  <c r="V28" i="52"/>
  <c r="V21" i="52"/>
  <c r="V19" i="52"/>
  <c r="V26" i="52"/>
  <c r="V31" i="52"/>
  <c r="V30" i="52"/>
  <c r="V20" i="52"/>
  <c r="V23" i="52"/>
  <c r="V89" i="40"/>
  <c r="CU89" i="40" s="1"/>
  <c r="V87" i="40"/>
  <c r="V88" i="40"/>
  <c r="CU88" i="40" s="1"/>
  <c r="V86" i="40"/>
  <c r="V103" i="75"/>
  <c r="V108" i="75"/>
  <c r="V104" i="75"/>
  <c r="V89" i="75"/>
  <c r="V87" i="75"/>
  <c r="V107" i="75"/>
  <c r="V88" i="75"/>
  <c r="V105" i="75"/>
  <c r="V109" i="75"/>
  <c r="V86" i="75"/>
  <c r="V106" i="75"/>
  <c r="V102" i="75"/>
  <c r="W93" i="40"/>
  <c r="J94" i="39"/>
  <c r="W22" i="52" s="1"/>
  <c r="H94" i="39"/>
  <c r="W19" i="52" s="1"/>
  <c r="W93" i="75"/>
  <c r="I94" i="39"/>
  <c r="O94" i="39"/>
  <c r="M94" i="39"/>
  <c r="K94" i="39"/>
  <c r="N94" i="39"/>
  <c r="A95" i="39"/>
  <c r="W10" i="52"/>
  <c r="L94" i="39"/>
  <c r="P94" i="39"/>
  <c r="W30" i="52" s="1"/>
  <c r="Q94" i="39"/>
  <c r="H93" i="57"/>
  <c r="JO542" i="40"/>
  <c r="C643" i="40"/>
  <c r="A642" i="40"/>
  <c r="KN642" i="40"/>
  <c r="AW642" i="40"/>
  <c r="BA642" i="40"/>
  <c r="BB642" i="40"/>
  <c r="AX642" i="40"/>
  <c r="AZ642" i="40"/>
  <c r="BX642" i="40"/>
  <c r="DM642" i="40"/>
  <c r="JO642" i="40"/>
  <c r="BC642" i="40"/>
  <c r="BD642" i="40"/>
  <c r="BE642" i="40"/>
  <c r="BI642" i="40"/>
  <c r="BF642" i="40"/>
  <c r="BN642" i="40"/>
  <c r="BJ642" i="40"/>
  <c r="BS642" i="40"/>
  <c r="BO642" i="40"/>
  <c r="BG642" i="40"/>
  <c r="BK642" i="40"/>
  <c r="BP642" i="40"/>
  <c r="BH642" i="40"/>
  <c r="BT642" i="40"/>
  <c r="BL642" i="40"/>
  <c r="BY642" i="40"/>
  <c r="BZ642" i="40"/>
  <c r="BM642" i="40"/>
  <c r="CD642" i="40"/>
  <c r="BQ642" i="40"/>
  <c r="BU642" i="40"/>
  <c r="BV642" i="40"/>
  <c r="CA642" i="40"/>
  <c r="BR642" i="40"/>
  <c r="DS642" i="40"/>
  <c r="CE642" i="40"/>
  <c r="CF642" i="40"/>
  <c r="BW642" i="40"/>
  <c r="CB642" i="40"/>
  <c r="DT642" i="40"/>
  <c r="J642" i="40"/>
  <c r="CG642" i="40"/>
  <c r="CC642" i="40"/>
  <c r="DU642" i="40"/>
  <c r="CH642" i="40"/>
  <c r="K642" i="40"/>
  <c r="O642" i="40"/>
  <c r="DV642" i="40"/>
  <c r="DW642" i="40"/>
  <c r="P642" i="40"/>
  <c r="L642" i="40"/>
  <c r="M642" i="40"/>
  <c r="N642" i="40"/>
  <c r="Q642" i="40"/>
  <c r="JO442" i="40"/>
  <c r="J94" i="57"/>
  <c r="J95" i="39"/>
  <c r="X21" i="52" s="1"/>
  <c r="W47" i="52"/>
  <c r="W49" i="52"/>
  <c r="W57" i="52"/>
  <c r="W53" i="52"/>
  <c r="W25" i="52"/>
  <c r="W46" i="52"/>
  <c r="W50" i="52"/>
  <c r="W20" i="52"/>
  <c r="W56" i="52"/>
  <c r="W17" i="52"/>
  <c r="W48" i="52"/>
  <c r="W59" i="52"/>
  <c r="M95" i="39"/>
  <c r="H94" i="57"/>
  <c r="H95" i="39"/>
  <c r="X19" i="52" s="1"/>
  <c r="O94" i="57"/>
  <c r="O95" i="39"/>
  <c r="P94" i="57"/>
  <c r="N95" i="39"/>
  <c r="X28" i="52" s="1"/>
  <c r="W86" i="40"/>
  <c r="W88" i="40"/>
  <c r="W89" i="40"/>
  <c r="W87" i="40"/>
  <c r="Q94" i="57"/>
  <c r="S94" i="39"/>
  <c r="S95" i="39" s="1"/>
  <c r="Q95" i="39"/>
  <c r="A96" i="39"/>
  <c r="A97" i="39"/>
  <c r="A98" i="39"/>
  <c r="X93" i="40"/>
  <c r="X93" i="75"/>
  <c r="X10" i="52"/>
  <c r="L94" i="57"/>
  <c r="L95" i="39"/>
  <c r="L95" i="57" s="1"/>
  <c r="W89" i="75"/>
  <c r="W101" i="75"/>
  <c r="W110" i="75"/>
  <c r="W88" i="75"/>
  <c r="W103" i="75"/>
  <c r="W86" i="75"/>
  <c r="W87" i="75"/>
  <c r="W108" i="75"/>
  <c r="W109" i="75"/>
  <c r="JO443" i="40"/>
  <c r="JO543" i="40"/>
  <c r="A643" i="40"/>
  <c r="KN643" i="40"/>
  <c r="C644" i="40"/>
  <c r="AW643" i="40"/>
  <c r="BA643" i="40"/>
  <c r="BB643" i="40"/>
  <c r="AX643" i="40"/>
  <c r="AZ643" i="40"/>
  <c r="BX643" i="40"/>
  <c r="DM643" i="40"/>
  <c r="JO643" i="40"/>
  <c r="BC643" i="40"/>
  <c r="BD643" i="40"/>
  <c r="BI643" i="40"/>
  <c r="BE643" i="40"/>
  <c r="BJ643" i="40"/>
  <c r="BF643" i="40"/>
  <c r="BN643" i="40"/>
  <c r="BO643" i="40"/>
  <c r="BG643" i="40"/>
  <c r="BS643" i="40"/>
  <c r="BK643" i="40"/>
  <c r="BY643" i="40"/>
  <c r="BP643" i="40"/>
  <c r="BT643" i="40"/>
  <c r="BL643" i="40"/>
  <c r="BH643" i="40"/>
  <c r="CD643" i="40"/>
  <c r="BM643" i="40"/>
  <c r="BU643" i="40"/>
  <c r="BQ643" i="40"/>
  <c r="BZ643" i="40"/>
  <c r="CE643" i="40"/>
  <c r="BV643" i="40"/>
  <c r="CA643" i="40"/>
  <c r="DS643" i="40"/>
  <c r="BR643" i="40"/>
  <c r="CF643" i="40"/>
  <c r="BW643" i="40"/>
  <c r="CB643" i="40"/>
  <c r="DT643" i="40"/>
  <c r="CG643" i="40"/>
  <c r="J643" i="40"/>
  <c r="DU643" i="40"/>
  <c r="CC643" i="40"/>
  <c r="DV643" i="40"/>
  <c r="CH643" i="40"/>
  <c r="O643" i="40"/>
  <c r="K643" i="40"/>
  <c r="P643" i="40"/>
  <c r="L643" i="40"/>
  <c r="DW643" i="40"/>
  <c r="M643" i="40"/>
  <c r="N643" i="40"/>
  <c r="Q643" i="40"/>
  <c r="I108" i="57"/>
  <c r="K108" i="57"/>
  <c r="X54" i="52"/>
  <c r="Q108" i="57"/>
  <c r="Q95" i="57"/>
  <c r="H108" i="57"/>
  <c r="X88" i="75"/>
  <c r="X86" i="75"/>
  <c r="X110" i="75"/>
  <c r="X87" i="75"/>
  <c r="X89" i="75"/>
  <c r="X105" i="75"/>
  <c r="X106" i="75"/>
  <c r="L108" i="57"/>
  <c r="X86" i="40"/>
  <c r="X87" i="40"/>
  <c r="X89" i="40"/>
  <c r="X88" i="40"/>
  <c r="M108" i="57"/>
  <c r="M95" i="57"/>
  <c r="J108" i="57"/>
  <c r="AL10" i="52"/>
  <c r="A99" i="39"/>
  <c r="L98" i="39"/>
  <c r="O98" i="39"/>
  <c r="AK402" i="40" s="1"/>
  <c r="AL93" i="40"/>
  <c r="AK10" i="52"/>
  <c r="I98" i="39"/>
  <c r="AK102" i="40" s="1"/>
  <c r="J33" i="58" s="1"/>
  <c r="K98" i="39"/>
  <c r="AK202" i="40" s="1"/>
  <c r="AK93" i="40"/>
  <c r="M98" i="39"/>
  <c r="AK302" i="40" s="1"/>
  <c r="Q98" i="39"/>
  <c r="AK502" i="40" s="1"/>
  <c r="N98" i="39"/>
  <c r="N98" i="57" s="1"/>
  <c r="J98" i="39"/>
  <c r="P98" i="39"/>
  <c r="AL58" i="52" s="1"/>
  <c r="H98" i="39"/>
  <c r="AL46" i="52" s="1"/>
  <c r="N108" i="57"/>
  <c r="O108" i="57"/>
  <c r="KN644" i="40"/>
  <c r="C645" i="40"/>
  <c r="A644" i="40"/>
  <c r="AW644" i="40"/>
  <c r="BA644" i="40"/>
  <c r="BB644" i="40"/>
  <c r="AX644" i="40"/>
  <c r="AZ644" i="40"/>
  <c r="BX644" i="40"/>
  <c r="DM644" i="40"/>
  <c r="JO644" i="40"/>
  <c r="BC644" i="40"/>
  <c r="BD644" i="40"/>
  <c r="BE644" i="40"/>
  <c r="BI644" i="40"/>
  <c r="BN644" i="40"/>
  <c r="BF644" i="40"/>
  <c r="BJ644" i="40"/>
  <c r="BK644" i="40"/>
  <c r="BS644" i="40"/>
  <c r="BG644" i="40"/>
  <c r="BO644" i="40"/>
  <c r="BT644" i="40"/>
  <c r="BL644" i="40"/>
  <c r="BY644" i="40"/>
  <c r="BP644" i="40"/>
  <c r="BH644" i="40"/>
  <c r="BU644" i="40"/>
  <c r="CD644" i="40"/>
  <c r="BZ644" i="40"/>
  <c r="BQ644" i="40"/>
  <c r="BM644" i="40"/>
  <c r="BV644" i="40"/>
  <c r="CA644" i="40"/>
  <c r="BR644" i="40"/>
  <c r="CE644" i="40"/>
  <c r="DS644" i="40"/>
  <c r="CB644" i="40"/>
  <c r="DT644" i="40"/>
  <c r="CF644" i="40"/>
  <c r="BW644" i="40"/>
  <c r="DU644" i="40"/>
  <c r="CG644" i="40"/>
  <c r="J644" i="40"/>
  <c r="CC644" i="40"/>
  <c r="DV644" i="40"/>
  <c r="CH644" i="40"/>
  <c r="K644" i="40"/>
  <c r="O644" i="40"/>
  <c r="DW644" i="40"/>
  <c r="P644" i="40"/>
  <c r="L644" i="40"/>
  <c r="M644" i="40"/>
  <c r="N644" i="40"/>
  <c r="Q644" i="40"/>
  <c r="JO544" i="40"/>
  <c r="JO444" i="40"/>
  <c r="J98" i="57"/>
  <c r="AL17" i="52"/>
  <c r="AL23" i="52"/>
  <c r="AL55" i="52"/>
  <c r="AL49" i="52"/>
  <c r="AL52" i="52"/>
  <c r="AL26" i="52"/>
  <c r="S108" i="57"/>
  <c r="K98" i="57"/>
  <c r="O98" i="57"/>
  <c r="G48" i="68"/>
  <c r="Q98" i="57"/>
  <c r="L98" i="57"/>
  <c r="G48" i="67"/>
  <c r="AK23" i="52"/>
  <c r="AK49" i="52"/>
  <c r="AK52" i="52"/>
  <c r="AK55" i="52"/>
  <c r="AK46" i="52"/>
  <c r="Y93" i="40"/>
  <c r="A100" i="39"/>
  <c r="A101" i="39"/>
  <c r="Y10" i="52"/>
  <c r="Y93" i="75"/>
  <c r="JO545" i="40"/>
  <c r="JO445" i="40"/>
  <c r="KN645" i="40"/>
  <c r="C646" i="40"/>
  <c r="A645" i="40"/>
  <c r="AW645" i="40"/>
  <c r="BA645" i="40"/>
  <c r="BB645" i="40"/>
  <c r="AX645" i="40"/>
  <c r="AZ645" i="40"/>
  <c r="BX645" i="40"/>
  <c r="DM645" i="40"/>
  <c r="JO645" i="40"/>
  <c r="BC645" i="40"/>
  <c r="BD645" i="40"/>
  <c r="BE645" i="40"/>
  <c r="BI645" i="40"/>
  <c r="BN645" i="40"/>
  <c r="BJ645" i="40"/>
  <c r="BF645" i="40"/>
  <c r="BS645" i="40"/>
  <c r="BG645" i="40"/>
  <c r="BK645" i="40"/>
  <c r="BO645" i="40"/>
  <c r="BP645" i="40"/>
  <c r="BY645" i="40"/>
  <c r="BT645" i="40"/>
  <c r="BL645" i="40"/>
  <c r="BH645" i="40"/>
  <c r="BQ645" i="40"/>
  <c r="BU645" i="40"/>
  <c r="BZ645" i="40"/>
  <c r="CD645" i="40"/>
  <c r="BM645" i="40"/>
  <c r="CE645" i="40"/>
  <c r="BR645" i="40"/>
  <c r="CA645" i="40"/>
  <c r="DS645" i="40"/>
  <c r="BV645" i="40"/>
  <c r="DT645" i="40"/>
  <c r="CB645" i="40"/>
  <c r="CF645" i="40"/>
  <c r="BW645" i="40"/>
  <c r="DU645" i="40"/>
  <c r="J645" i="40"/>
  <c r="CG645" i="40"/>
  <c r="CC645" i="40"/>
  <c r="DV645" i="40"/>
  <c r="O645" i="40"/>
  <c r="CH645" i="40"/>
  <c r="K645" i="40"/>
  <c r="L645" i="40"/>
  <c r="DW645" i="40"/>
  <c r="P645" i="40"/>
  <c r="M645" i="40"/>
  <c r="N645" i="40"/>
  <c r="Q645" i="40"/>
  <c r="IO93" i="40"/>
  <c r="F93" i="40"/>
  <c r="F93" i="75"/>
  <c r="A102" i="39"/>
  <c r="F10" i="52"/>
  <c r="Y88" i="40"/>
  <c r="Y86" i="40"/>
  <c r="Y89" i="40"/>
  <c r="Y87" i="40"/>
  <c r="Y86" i="75"/>
  <c r="Y87" i="75"/>
  <c r="Y88" i="75"/>
  <c r="Y89" i="75"/>
  <c r="C647" i="40"/>
  <c r="A646" i="40"/>
  <c r="KN646" i="40"/>
  <c r="AW646" i="40"/>
  <c r="BA646" i="40"/>
  <c r="BB646" i="40"/>
  <c r="AX646" i="40"/>
  <c r="AZ646" i="40"/>
  <c r="BX646" i="40"/>
  <c r="DM646" i="40"/>
  <c r="JO646" i="40"/>
  <c r="BC646" i="40"/>
  <c r="BD646" i="40"/>
  <c r="BE646" i="40"/>
  <c r="BI646" i="40"/>
  <c r="BN646" i="40"/>
  <c r="BF646" i="40"/>
  <c r="BJ646" i="40"/>
  <c r="BS646" i="40"/>
  <c r="BK646" i="40"/>
  <c r="BG646" i="40"/>
  <c r="BO646" i="40"/>
  <c r="BP646" i="40"/>
  <c r="BY646" i="40"/>
  <c r="BH646" i="40"/>
  <c r="BT646" i="40"/>
  <c r="BL646" i="40"/>
  <c r="CD646" i="40"/>
  <c r="BM646" i="40"/>
  <c r="BU646" i="40"/>
  <c r="BZ646" i="40"/>
  <c r="BQ646" i="40"/>
  <c r="DS646" i="40"/>
  <c r="BV646" i="40"/>
  <c r="CE646" i="40"/>
  <c r="BR646" i="40"/>
  <c r="CA646" i="40"/>
  <c r="BW646" i="40"/>
  <c r="CF646" i="40"/>
  <c r="DT646" i="40"/>
  <c r="CB646" i="40"/>
  <c r="CC646" i="40"/>
  <c r="CG646" i="40"/>
  <c r="DU646" i="40"/>
  <c r="J646" i="40"/>
  <c r="DV646" i="40"/>
  <c r="K646" i="40"/>
  <c r="CH646" i="40"/>
  <c r="O646" i="40"/>
  <c r="DW646" i="40"/>
  <c r="P646" i="40"/>
  <c r="L646" i="40"/>
  <c r="M646" i="40"/>
  <c r="N646" i="40"/>
  <c r="Q646" i="40"/>
  <c r="JO446" i="40"/>
  <c r="JO546" i="40"/>
  <c r="IP93" i="40"/>
  <c r="G93" i="40"/>
  <c r="G10" i="52"/>
  <c r="A103" i="39"/>
  <c r="G93" i="75"/>
  <c r="F107" i="75"/>
  <c r="F103" i="75"/>
  <c r="F104" i="75"/>
  <c r="F112" i="75"/>
  <c r="F111" i="75"/>
  <c r="F101" i="75"/>
  <c r="F102" i="75"/>
  <c r="F89" i="75"/>
  <c r="F110" i="75"/>
  <c r="F109" i="75"/>
  <c r="F106" i="75"/>
  <c r="F108" i="75"/>
  <c r="F105" i="75"/>
  <c r="F86" i="75"/>
  <c r="F88" i="75"/>
  <c r="F87" i="75"/>
  <c r="F633" i="40"/>
  <c r="F631" i="40"/>
  <c r="F640" i="40"/>
  <c r="F609" i="40"/>
  <c r="F647" i="40"/>
  <c r="F86" i="40"/>
  <c r="F636" i="40"/>
  <c r="F611" i="40"/>
  <c r="F602" i="40"/>
  <c r="F87" i="40"/>
  <c r="F626" i="40"/>
  <c r="F620" i="40"/>
  <c r="F622" i="40"/>
  <c r="F612" i="40"/>
  <c r="F613" i="40"/>
  <c r="F639" i="40"/>
  <c r="F630" i="40"/>
  <c r="F614" i="40"/>
  <c r="F608" i="40"/>
  <c r="F629" i="40"/>
  <c r="F644" i="40"/>
  <c r="F607" i="40"/>
  <c r="F619" i="40"/>
  <c r="F646" i="40"/>
  <c r="F606" i="40"/>
  <c r="F637" i="40"/>
  <c r="F624" i="40"/>
  <c r="F617" i="40"/>
  <c r="F605" i="40"/>
  <c r="F627" i="40"/>
  <c r="F88" i="40"/>
  <c r="F601" i="40"/>
  <c r="F621" i="40"/>
  <c r="F645" i="40"/>
  <c r="F635" i="40"/>
  <c r="F625" i="40"/>
  <c r="F89" i="40"/>
  <c r="F634" i="40"/>
  <c r="F616" i="40"/>
  <c r="F641" i="40"/>
  <c r="F628" i="40"/>
  <c r="F615" i="40"/>
  <c r="F623" i="40"/>
  <c r="F643" i="40"/>
  <c r="F618" i="40"/>
  <c r="F632" i="40"/>
  <c r="F638" i="40"/>
  <c r="F604" i="40"/>
  <c r="F603" i="40"/>
  <c r="F642" i="40"/>
  <c r="F610" i="40"/>
  <c r="JO547" i="40"/>
  <c r="A647" i="40"/>
  <c r="KN647" i="40"/>
  <c r="C648" i="40"/>
  <c r="AW647" i="40"/>
  <c r="BA647" i="40"/>
  <c r="BB647" i="40"/>
  <c r="AX647" i="40"/>
  <c r="AZ647" i="40"/>
  <c r="BX647" i="40"/>
  <c r="DM647" i="40"/>
  <c r="JO647" i="40"/>
  <c r="BC647" i="40"/>
  <c r="BD647" i="40"/>
  <c r="BE647" i="40"/>
  <c r="BI647" i="40"/>
  <c r="BJ647" i="40"/>
  <c r="BF647" i="40"/>
  <c r="BN647" i="40"/>
  <c r="BG647" i="40"/>
  <c r="BK647" i="40"/>
  <c r="BS647" i="40"/>
  <c r="BO647" i="40"/>
  <c r="BL647" i="40"/>
  <c r="BT647" i="40"/>
  <c r="BY647" i="40"/>
  <c r="BH647" i="40"/>
  <c r="BP647" i="40"/>
  <c r="BM647" i="40"/>
  <c r="BU647" i="40"/>
  <c r="BZ647" i="40"/>
  <c r="CD647" i="40"/>
  <c r="BQ647" i="40"/>
  <c r="DS647" i="40"/>
  <c r="CE647" i="40"/>
  <c r="BR647" i="40"/>
  <c r="BV647" i="40"/>
  <c r="CA647" i="40"/>
  <c r="CB647" i="40"/>
  <c r="BW647" i="40"/>
  <c r="DT647" i="40"/>
  <c r="CF647" i="40"/>
  <c r="J647" i="40"/>
  <c r="DU647" i="40"/>
  <c r="CG647" i="40"/>
  <c r="CC647" i="40"/>
  <c r="O647" i="40"/>
  <c r="K647" i="40"/>
  <c r="CH647" i="40"/>
  <c r="DV647" i="40"/>
  <c r="P647" i="40"/>
  <c r="DW647" i="40"/>
  <c r="L647" i="40"/>
  <c r="M647" i="40"/>
  <c r="N647" i="40"/>
  <c r="Q647" i="40"/>
  <c r="JO447" i="40"/>
  <c r="J48" i="67"/>
  <c r="G89" i="75"/>
  <c r="G111" i="75"/>
  <c r="G102" i="75"/>
  <c r="G86" i="75"/>
  <c r="G112" i="75"/>
  <c r="G108" i="75"/>
  <c r="G110" i="75"/>
  <c r="G109" i="75"/>
  <c r="G101" i="75"/>
  <c r="G87" i="75"/>
  <c r="G105" i="75"/>
  <c r="G106" i="75"/>
  <c r="G88" i="75"/>
  <c r="G103" i="75"/>
  <c r="G107" i="75"/>
  <c r="G104" i="75"/>
  <c r="A104" i="39"/>
  <c r="H10" i="52"/>
  <c r="H93" i="40"/>
  <c r="H93" i="75"/>
  <c r="IQ93" i="40"/>
  <c r="G29" i="52"/>
  <c r="G27" i="52"/>
  <c r="G24" i="52"/>
  <c r="G17" i="52"/>
  <c r="G22" i="52"/>
  <c r="G28" i="52"/>
  <c r="G31" i="52"/>
  <c r="G21" i="52"/>
  <c r="G23" i="52"/>
  <c r="G19" i="52"/>
  <c r="G25" i="52"/>
  <c r="G26" i="52"/>
  <c r="G18" i="52"/>
  <c r="G20" i="52"/>
  <c r="G30" i="52"/>
  <c r="G643" i="40"/>
  <c r="G638" i="40"/>
  <c r="G616" i="40"/>
  <c r="G640" i="40"/>
  <c r="G606" i="40"/>
  <c r="G634" i="40"/>
  <c r="G617" i="40"/>
  <c r="G637" i="40"/>
  <c r="G614" i="40"/>
  <c r="G644" i="40"/>
  <c r="G647" i="40"/>
  <c r="G632" i="40"/>
  <c r="G601" i="40"/>
  <c r="G89" i="40"/>
  <c r="G628" i="40"/>
  <c r="G612" i="40"/>
  <c r="G623" i="40"/>
  <c r="G602" i="40"/>
  <c r="G621" i="40"/>
  <c r="G603" i="40"/>
  <c r="G641" i="40"/>
  <c r="G642" i="40"/>
  <c r="G87" i="40"/>
  <c r="G627" i="40"/>
  <c r="G604" i="40"/>
  <c r="G639" i="40"/>
  <c r="G646" i="40"/>
  <c r="G611" i="40"/>
  <c r="G625" i="40"/>
  <c r="G605" i="40"/>
  <c r="G88" i="40"/>
  <c r="G629" i="40"/>
  <c r="G626" i="40"/>
  <c r="G618" i="40"/>
  <c r="G622" i="40"/>
  <c r="G86" i="40"/>
  <c r="G624" i="40"/>
  <c r="G613" i="40"/>
  <c r="G645" i="40"/>
  <c r="G636" i="40"/>
  <c r="G620" i="40"/>
  <c r="G610" i="40"/>
  <c r="G630" i="40"/>
  <c r="G615" i="40"/>
  <c r="G648" i="40"/>
  <c r="G619" i="40"/>
  <c r="G635" i="40"/>
  <c r="G633" i="40"/>
  <c r="G608" i="40"/>
  <c r="G609" i="40"/>
  <c r="G607" i="40"/>
  <c r="G631" i="40"/>
  <c r="JO448" i="40"/>
  <c r="JO548" i="40"/>
  <c r="KN648" i="40"/>
  <c r="C649" i="40"/>
  <c r="A648" i="40"/>
  <c r="AW648" i="40"/>
  <c r="BA648" i="40"/>
  <c r="BB648" i="40"/>
  <c r="AX648" i="40"/>
  <c r="AZ648" i="40"/>
  <c r="BX648" i="40"/>
  <c r="DM648" i="40"/>
  <c r="JO648" i="40"/>
  <c r="BC648" i="40"/>
  <c r="BD648" i="40"/>
  <c r="BI648" i="40"/>
  <c r="BE648" i="40"/>
  <c r="BN648" i="40"/>
  <c r="BF648" i="40"/>
  <c r="BJ648" i="40"/>
  <c r="BS648" i="40"/>
  <c r="BK648" i="40"/>
  <c r="BO648" i="40"/>
  <c r="BG648" i="40"/>
  <c r="BT648" i="40"/>
  <c r="BL648" i="40"/>
  <c r="BY648" i="40"/>
  <c r="BP648" i="40"/>
  <c r="BH648" i="40"/>
  <c r="BQ648" i="40"/>
  <c r="BM648" i="40"/>
  <c r="BU648" i="40"/>
  <c r="CD648" i="40"/>
  <c r="BZ648" i="40"/>
  <c r="BR648" i="40"/>
  <c r="CA648" i="40"/>
  <c r="CE648" i="40"/>
  <c r="BV648" i="40"/>
  <c r="DS648" i="40"/>
  <c r="CF648" i="40"/>
  <c r="DT648" i="40"/>
  <c r="CB648" i="40"/>
  <c r="BW648" i="40"/>
  <c r="DU648" i="40"/>
  <c r="J648" i="40"/>
  <c r="CC648" i="40"/>
  <c r="CG648" i="40"/>
  <c r="O648" i="40"/>
  <c r="DV648" i="40"/>
  <c r="K648" i="40"/>
  <c r="CH648" i="40"/>
  <c r="DW648" i="40"/>
  <c r="P648" i="40"/>
  <c r="L648" i="40"/>
  <c r="M648" i="40"/>
  <c r="N648" i="40"/>
  <c r="Q648" i="40"/>
  <c r="W648" i="40"/>
  <c r="F648" i="40"/>
  <c r="H89" i="75"/>
  <c r="H101" i="75"/>
  <c r="H105" i="75"/>
  <c r="H108" i="75"/>
  <c r="H109" i="75"/>
  <c r="H104" i="75"/>
  <c r="H87" i="75"/>
  <c r="H112" i="75"/>
  <c r="H107" i="75"/>
  <c r="H102" i="75"/>
  <c r="H106" i="75"/>
  <c r="H88" i="75"/>
  <c r="H111" i="75"/>
  <c r="H103" i="75"/>
  <c r="H86" i="75"/>
  <c r="H110" i="75"/>
  <c r="I10" i="52"/>
  <c r="A105" i="39"/>
  <c r="A106" i="39"/>
  <c r="I93" i="75"/>
  <c r="I93" i="40"/>
  <c r="H630" i="40"/>
  <c r="H620" i="40"/>
  <c r="H602" i="40"/>
  <c r="H646" i="40"/>
  <c r="H623" i="40"/>
  <c r="H613" i="40"/>
  <c r="H640" i="40"/>
  <c r="H603" i="40"/>
  <c r="H637" i="40"/>
  <c r="H610" i="40"/>
  <c r="H624" i="40"/>
  <c r="H636" i="40"/>
  <c r="H87" i="40"/>
  <c r="H601" i="40"/>
  <c r="H632" i="40"/>
  <c r="H631" i="40"/>
  <c r="H609" i="40"/>
  <c r="H648" i="40"/>
  <c r="H628" i="40"/>
  <c r="H645" i="40"/>
  <c r="H606" i="40"/>
  <c r="H638" i="40"/>
  <c r="H626" i="40"/>
  <c r="H617" i="40"/>
  <c r="H607" i="40"/>
  <c r="H644" i="40"/>
  <c r="H629" i="40"/>
  <c r="H614" i="40"/>
  <c r="H604" i="40"/>
  <c r="H615" i="40"/>
  <c r="H86" i="40"/>
  <c r="H612" i="40"/>
  <c r="H627" i="40"/>
  <c r="H639" i="40"/>
  <c r="H621" i="40"/>
  <c r="H618" i="40"/>
  <c r="H608" i="40"/>
  <c r="H625" i="40"/>
  <c r="H619" i="40"/>
  <c r="H649" i="40"/>
  <c r="H643" i="40"/>
  <c r="H622" i="40"/>
  <c r="H633" i="40"/>
  <c r="H642" i="40"/>
  <c r="H89" i="40"/>
  <c r="H605" i="40"/>
  <c r="H611" i="40"/>
  <c r="H641" i="40"/>
  <c r="H635" i="40"/>
  <c r="H647" i="40"/>
  <c r="H88" i="40"/>
  <c r="H616" i="40"/>
  <c r="H634" i="40"/>
  <c r="JO549" i="40"/>
  <c r="KN649" i="40"/>
  <c r="A649" i="40"/>
  <c r="C650" i="40"/>
  <c r="AW649" i="40"/>
  <c r="BA649" i="40"/>
  <c r="BB649" i="40"/>
  <c r="AX649" i="40"/>
  <c r="AZ649" i="40"/>
  <c r="BX649" i="40"/>
  <c r="DM649" i="40"/>
  <c r="JO649" i="40"/>
  <c r="BC649" i="40"/>
  <c r="BD649" i="40"/>
  <c r="BE649" i="40"/>
  <c r="BI649" i="40"/>
  <c r="BN649" i="40"/>
  <c r="BJ649" i="40"/>
  <c r="BF649" i="40"/>
  <c r="BS649" i="40"/>
  <c r="BK649" i="40"/>
  <c r="BO649" i="40"/>
  <c r="BG649" i="40"/>
  <c r="BP649" i="40"/>
  <c r="BT649" i="40"/>
  <c r="BL649" i="40"/>
  <c r="BY649" i="40"/>
  <c r="BH649" i="40"/>
  <c r="BM649" i="40"/>
  <c r="CD649" i="40"/>
  <c r="BQ649" i="40"/>
  <c r="BU649" i="40"/>
  <c r="BZ649" i="40"/>
  <c r="CE649" i="40"/>
  <c r="DS649" i="40"/>
  <c r="BR649" i="40"/>
  <c r="BV649" i="40"/>
  <c r="CA649" i="40"/>
  <c r="CF649" i="40"/>
  <c r="BW649" i="40"/>
  <c r="CB649" i="40"/>
  <c r="DT649" i="40"/>
  <c r="CC649" i="40"/>
  <c r="DU649" i="40"/>
  <c r="CG649" i="40"/>
  <c r="J649" i="40"/>
  <c r="O649" i="40"/>
  <c r="CH649" i="40"/>
  <c r="K649" i="40"/>
  <c r="DV649" i="40"/>
  <c r="P649" i="40"/>
  <c r="DW649" i="40"/>
  <c r="L649" i="40"/>
  <c r="M649" i="40"/>
  <c r="N649" i="40"/>
  <c r="Q649" i="40"/>
  <c r="F649" i="40"/>
  <c r="G649" i="40"/>
  <c r="JO449" i="40"/>
  <c r="I640" i="40"/>
  <c r="I645" i="40"/>
  <c r="I613" i="40"/>
  <c r="I614" i="40"/>
  <c r="I629" i="40"/>
  <c r="I88" i="40"/>
  <c r="I610" i="40"/>
  <c r="I650" i="40"/>
  <c r="I624" i="40"/>
  <c r="I604" i="40"/>
  <c r="I621" i="40"/>
  <c r="I606" i="40"/>
  <c r="I641" i="40"/>
  <c r="I86" i="40"/>
  <c r="I637" i="40"/>
  <c r="I638" i="40"/>
  <c r="I603" i="40"/>
  <c r="I622" i="40"/>
  <c r="I623" i="40"/>
  <c r="I608" i="40"/>
  <c r="I612" i="40"/>
  <c r="I644" i="40"/>
  <c r="I627" i="40"/>
  <c r="I89" i="40"/>
  <c r="I630" i="40"/>
  <c r="I602" i="40"/>
  <c r="I647" i="40"/>
  <c r="I607" i="40"/>
  <c r="I625" i="40"/>
  <c r="I620" i="40"/>
  <c r="I619" i="40"/>
  <c r="I646" i="40"/>
  <c r="I634" i="40"/>
  <c r="I628" i="40"/>
  <c r="I605" i="40"/>
  <c r="I611" i="40"/>
  <c r="I633" i="40"/>
  <c r="I618" i="40"/>
  <c r="I635" i="40"/>
  <c r="I632" i="40"/>
  <c r="I643" i="40"/>
  <c r="I617" i="40"/>
  <c r="I87" i="40"/>
  <c r="I649" i="40"/>
  <c r="I642" i="40"/>
  <c r="I648" i="40"/>
  <c r="I631" i="40"/>
  <c r="I609" i="40"/>
  <c r="I601" i="40"/>
  <c r="I615" i="40"/>
  <c r="I626" i="40"/>
  <c r="I616" i="40"/>
  <c r="I639" i="40"/>
  <c r="I636" i="40"/>
  <c r="I86" i="75"/>
  <c r="I88" i="75"/>
  <c r="I112" i="75"/>
  <c r="I107" i="75"/>
  <c r="I102" i="75"/>
  <c r="I105" i="75"/>
  <c r="I101" i="75"/>
  <c r="I89" i="75"/>
  <c r="I109" i="75"/>
  <c r="I108" i="75"/>
  <c r="I111" i="75"/>
  <c r="I87" i="75"/>
  <c r="I110" i="75"/>
  <c r="I106" i="75"/>
  <c r="I103" i="75"/>
  <c r="I104" i="75"/>
  <c r="J106" i="39"/>
  <c r="H106" i="39"/>
  <c r="L106" i="39"/>
  <c r="P106" i="39"/>
  <c r="O106" i="39"/>
  <c r="Z93" i="75"/>
  <c r="Z93" i="40"/>
  <c r="M106" i="39"/>
  <c r="Q106" i="39"/>
  <c r="I106" i="39"/>
  <c r="Z10" i="52"/>
  <c r="A107" i="39"/>
  <c r="A108" i="39"/>
  <c r="N106" i="39"/>
  <c r="Z107" i="75" s="1"/>
  <c r="K106" i="39"/>
  <c r="K106" i="57"/>
  <c r="A650" i="40"/>
  <c r="C651" i="40"/>
  <c r="KN650" i="40"/>
  <c r="AW650" i="40"/>
  <c r="BA650" i="40"/>
  <c r="BB650" i="40"/>
  <c r="AX650" i="40"/>
  <c r="AZ650" i="40"/>
  <c r="BX650" i="40"/>
  <c r="DM650" i="40"/>
  <c r="JO650" i="40"/>
  <c r="BC650" i="40"/>
  <c r="BD650" i="40"/>
  <c r="BE650" i="40"/>
  <c r="BI650" i="40"/>
  <c r="BN650" i="40"/>
  <c r="BJ650" i="40"/>
  <c r="BF650" i="40"/>
  <c r="BG650" i="40"/>
  <c r="BO650" i="40"/>
  <c r="BS650" i="40"/>
  <c r="BK650" i="40"/>
  <c r="BP650" i="40"/>
  <c r="BT650" i="40"/>
  <c r="BL650" i="40"/>
  <c r="BY650" i="40"/>
  <c r="BH650" i="40"/>
  <c r="BM650" i="40"/>
  <c r="BU650" i="40"/>
  <c r="BZ650" i="40"/>
  <c r="CD650" i="40"/>
  <c r="BQ650" i="40"/>
  <c r="DS650" i="40"/>
  <c r="BR650" i="40"/>
  <c r="BV650" i="40"/>
  <c r="CE650" i="40"/>
  <c r="CA650" i="40"/>
  <c r="BW650" i="40"/>
  <c r="CF650" i="40"/>
  <c r="CB650" i="40"/>
  <c r="DT650" i="40"/>
  <c r="J650" i="40"/>
  <c r="DU650" i="40"/>
  <c r="CC650" i="40"/>
  <c r="CG650" i="40"/>
  <c r="DV650" i="40"/>
  <c r="CH650" i="40"/>
  <c r="O650" i="40"/>
  <c r="K650" i="40"/>
  <c r="P650" i="40"/>
  <c r="L650" i="40"/>
  <c r="DW650" i="40"/>
  <c r="M650" i="40"/>
  <c r="N650" i="40"/>
  <c r="Q650" i="40"/>
  <c r="F650" i="40"/>
  <c r="G650" i="40"/>
  <c r="H650" i="40"/>
  <c r="JO550" i="40"/>
  <c r="JO450" i="40"/>
  <c r="Z88" i="40"/>
  <c r="Z87" i="40"/>
  <c r="Z89" i="40"/>
  <c r="Z86" i="40"/>
  <c r="L106" i="57"/>
  <c r="Z86" i="75"/>
  <c r="Z103" i="75"/>
  <c r="Z89" i="75"/>
  <c r="Z102" i="75"/>
  <c r="Z109" i="75"/>
  <c r="Z87" i="75"/>
  <c r="Z105" i="75"/>
  <c r="Z88" i="75"/>
  <c r="Z104" i="75"/>
  <c r="Z106" i="75"/>
  <c r="N106" i="57"/>
  <c r="J106" i="57"/>
  <c r="A109" i="39"/>
  <c r="A110" i="39"/>
  <c r="A111" i="39"/>
  <c r="AA10" i="52"/>
  <c r="AA93" i="75"/>
  <c r="AA93" i="40"/>
  <c r="P106" i="57"/>
  <c r="JO451" i="40"/>
  <c r="JO551" i="40"/>
  <c r="C652" i="40"/>
  <c r="KN651" i="40"/>
  <c r="A651" i="40"/>
  <c r="AW651" i="40"/>
  <c r="BA651" i="40"/>
  <c r="BB651" i="40"/>
  <c r="AX651" i="40"/>
  <c r="AZ651" i="40"/>
  <c r="BX651" i="40"/>
  <c r="DM651" i="40"/>
  <c r="JO651" i="40"/>
  <c r="BC651" i="40"/>
  <c r="BD651" i="40"/>
  <c r="BE651" i="40"/>
  <c r="BI651" i="40"/>
  <c r="BN651" i="40"/>
  <c r="BJ651" i="40"/>
  <c r="BF651" i="40"/>
  <c r="BO651" i="40"/>
  <c r="BS651" i="40"/>
  <c r="BG651" i="40"/>
  <c r="BK651" i="40"/>
  <c r="BL651" i="40"/>
  <c r="BY651" i="40"/>
  <c r="BP651" i="40"/>
  <c r="BT651" i="40"/>
  <c r="BH651" i="40"/>
  <c r="BU651" i="40"/>
  <c r="CD651" i="40"/>
  <c r="BQ651" i="40"/>
  <c r="BM651" i="40"/>
  <c r="BZ651" i="40"/>
  <c r="DS651" i="40"/>
  <c r="CA651" i="40"/>
  <c r="BR651" i="40"/>
  <c r="CE651" i="40"/>
  <c r="BV651" i="40"/>
  <c r="CF651" i="40"/>
  <c r="BW651" i="40"/>
  <c r="CB651" i="40"/>
  <c r="DT651" i="40"/>
  <c r="CC651" i="40"/>
  <c r="DU651" i="40"/>
  <c r="CG651" i="40"/>
  <c r="J651" i="40"/>
  <c r="O651" i="40"/>
  <c r="K651" i="40"/>
  <c r="CH651" i="40"/>
  <c r="DV651" i="40"/>
  <c r="L651" i="40"/>
  <c r="DW651" i="40"/>
  <c r="P651" i="40"/>
  <c r="M651" i="40"/>
  <c r="Q651" i="40"/>
  <c r="N651" i="40"/>
  <c r="W651" i="40"/>
  <c r="F651" i="40"/>
  <c r="G651" i="40"/>
  <c r="H651" i="40"/>
  <c r="I651" i="40"/>
  <c r="AA86" i="40"/>
  <c r="AA632" i="40"/>
  <c r="AA645" i="40"/>
  <c r="AA619" i="40"/>
  <c r="AA643" i="40"/>
  <c r="AA611" i="40"/>
  <c r="AA609" i="40"/>
  <c r="AA610" i="40"/>
  <c r="AA639" i="40"/>
  <c r="AA627" i="40"/>
  <c r="AA633" i="40"/>
  <c r="AA631" i="40"/>
  <c r="AA616" i="40"/>
  <c r="AA618" i="40"/>
  <c r="AA88" i="40"/>
  <c r="AA637" i="40"/>
  <c r="AA621" i="40"/>
  <c r="AA608" i="40"/>
  <c r="AA646" i="40"/>
  <c r="AA635" i="40"/>
  <c r="AA625" i="40"/>
  <c r="AA648" i="40"/>
  <c r="AA623" i="40"/>
  <c r="AA641" i="40"/>
  <c r="AA638" i="40"/>
  <c r="AA617" i="40"/>
  <c r="AA614" i="40"/>
  <c r="AA87" i="40"/>
  <c r="AA613" i="40"/>
  <c r="AA620" i="40"/>
  <c r="AA612" i="40"/>
  <c r="AA636" i="40"/>
  <c r="AA651" i="40"/>
  <c r="AA644" i="40"/>
  <c r="AB93" i="40"/>
  <c r="AA98" i="40"/>
  <c r="AA640" i="40"/>
  <c r="AA624" i="40"/>
  <c r="AA629" i="40"/>
  <c r="AA650" i="40"/>
  <c r="AA634" i="40"/>
  <c r="AA615" i="40"/>
  <c r="AA626" i="40"/>
  <c r="AA652" i="40"/>
  <c r="AA649" i="40"/>
  <c r="AA647" i="40"/>
  <c r="AA622" i="40"/>
  <c r="AA602" i="40"/>
  <c r="AA642" i="40"/>
  <c r="AA89" i="40"/>
  <c r="AA628" i="40"/>
  <c r="AA630" i="40"/>
  <c r="AA86" i="75"/>
  <c r="AA87" i="75"/>
  <c r="AA101" i="75"/>
  <c r="AA107" i="75"/>
  <c r="AA88" i="75"/>
  <c r="AB93" i="75"/>
  <c r="AA102" i="75"/>
  <c r="AA108" i="75"/>
  <c r="AA112" i="75"/>
  <c r="AA104" i="75"/>
  <c r="AA110" i="75"/>
  <c r="AA98" i="75"/>
  <c r="AA103" i="75"/>
  <c r="AA105" i="75"/>
  <c r="AA89" i="75"/>
  <c r="AA106" i="75"/>
  <c r="AB10" i="52"/>
  <c r="AA14" i="52"/>
  <c r="A112" i="39"/>
  <c r="A113" i="39"/>
  <c r="A114" i="39"/>
  <c r="AC93" i="40"/>
  <c r="AC93" i="75"/>
  <c r="AC10" i="52"/>
  <c r="JO552" i="40"/>
  <c r="JO452" i="40"/>
  <c r="KN652" i="40"/>
  <c r="A652" i="40"/>
  <c r="C653" i="40"/>
  <c r="AW652" i="40"/>
  <c r="BA652" i="40"/>
  <c r="BB652" i="40"/>
  <c r="AX652" i="40"/>
  <c r="AZ652" i="40"/>
  <c r="BX652" i="40"/>
  <c r="DM652" i="40"/>
  <c r="JO652" i="40"/>
  <c r="BC652" i="40"/>
  <c r="BD652" i="40"/>
  <c r="BE652" i="40"/>
  <c r="BI652" i="40"/>
  <c r="BN652" i="40"/>
  <c r="BF652" i="40"/>
  <c r="BJ652" i="40"/>
  <c r="BG652" i="40"/>
  <c r="BO652" i="40"/>
  <c r="BS652" i="40"/>
  <c r="BK652" i="40"/>
  <c r="BT652" i="40"/>
  <c r="BL652" i="40"/>
  <c r="BP652" i="40"/>
  <c r="BY652" i="40"/>
  <c r="BH652" i="40"/>
  <c r="CD652" i="40"/>
  <c r="BZ652" i="40"/>
  <c r="BM652" i="40"/>
  <c r="BQ652" i="40"/>
  <c r="BU652" i="40"/>
  <c r="CA652" i="40"/>
  <c r="CE652" i="40"/>
  <c r="BV652" i="40"/>
  <c r="BR652" i="40"/>
  <c r="DS652" i="40"/>
  <c r="BW652" i="40"/>
  <c r="CB652" i="40"/>
  <c r="DT652" i="40"/>
  <c r="CF652" i="40"/>
  <c r="DU652" i="40"/>
  <c r="CC652" i="40"/>
  <c r="CG652" i="40"/>
  <c r="J652" i="40"/>
  <c r="O652" i="40"/>
  <c r="K652" i="40"/>
  <c r="DV652" i="40"/>
  <c r="CH652" i="40"/>
  <c r="L652" i="40"/>
  <c r="P652" i="40"/>
  <c r="DW652" i="40"/>
  <c r="M652" i="40"/>
  <c r="Q652" i="40"/>
  <c r="N652" i="40"/>
  <c r="W652" i="40"/>
  <c r="F652" i="40"/>
  <c r="G652" i="40"/>
  <c r="H652" i="40"/>
  <c r="I652" i="40"/>
  <c r="AC87" i="75"/>
  <c r="AC103" i="75"/>
  <c r="AC112" i="75"/>
  <c r="AC108" i="75"/>
  <c r="AC88" i="75"/>
  <c r="AC101" i="75"/>
  <c r="AC98" i="75"/>
  <c r="AC102" i="75"/>
  <c r="AC106" i="75"/>
  <c r="AD93" i="75"/>
  <c r="AC89" i="75"/>
  <c r="AC110" i="75"/>
  <c r="AC104" i="75"/>
  <c r="AC86" i="75"/>
  <c r="AD10" i="52"/>
  <c r="AC14" i="52"/>
  <c r="AC623" i="40"/>
  <c r="AC636" i="40"/>
  <c r="AC642" i="40"/>
  <c r="AC641" i="40"/>
  <c r="AC639" i="40"/>
  <c r="AC617" i="40"/>
  <c r="AC86" i="40"/>
  <c r="AC609" i="40"/>
  <c r="AC635" i="40"/>
  <c r="AC616" i="40"/>
  <c r="AC619" i="40"/>
  <c r="AC638" i="40"/>
  <c r="AC648" i="40"/>
  <c r="AC610" i="40"/>
  <c r="AC608" i="40"/>
  <c r="AC89" i="40"/>
  <c r="AC628" i="40"/>
  <c r="AC645" i="40"/>
  <c r="AC620" i="40"/>
  <c r="AC98" i="40"/>
  <c r="AC631" i="40"/>
  <c r="AC650" i="40"/>
  <c r="AC626" i="40"/>
  <c r="AC629" i="40"/>
  <c r="AC653" i="40"/>
  <c r="AD93" i="40"/>
  <c r="AC649" i="40"/>
  <c r="AC627" i="40"/>
  <c r="AC614" i="40"/>
  <c r="AC613" i="40"/>
  <c r="AC622" i="40"/>
  <c r="AC621" i="40"/>
  <c r="AC625" i="40"/>
  <c r="AC87" i="40"/>
  <c r="AC615" i="40"/>
  <c r="AC634" i="40"/>
  <c r="AC651" i="40"/>
  <c r="AC637" i="40"/>
  <c r="AC644" i="40"/>
  <c r="AC88" i="40"/>
  <c r="AC647" i="40"/>
  <c r="AC611" i="40"/>
  <c r="AC602" i="40"/>
  <c r="AC652" i="40"/>
  <c r="AC643" i="40"/>
  <c r="AC632" i="40"/>
  <c r="AC618" i="40"/>
  <c r="AC633" i="40"/>
  <c r="AC640" i="40"/>
  <c r="AC630" i="40"/>
  <c r="AC624" i="40"/>
  <c r="AC612" i="40"/>
  <c r="AC646" i="40"/>
  <c r="AB87" i="75"/>
  <c r="AB88" i="75"/>
  <c r="AB107" i="75"/>
  <c r="AB104" i="75"/>
  <c r="AB89" i="75"/>
  <c r="AB109" i="75"/>
  <c r="AB101" i="75"/>
  <c r="AB102" i="75"/>
  <c r="AB86" i="75"/>
  <c r="AB103" i="75"/>
  <c r="AB111" i="75"/>
  <c r="AB105" i="75"/>
  <c r="AB603" i="40"/>
  <c r="AB87" i="40"/>
  <c r="AB601" i="40"/>
  <c r="AB86" i="40"/>
  <c r="AB606" i="40"/>
  <c r="AB607" i="40"/>
  <c r="AB605" i="40"/>
  <c r="AB604" i="40"/>
  <c r="AB88" i="40"/>
  <c r="AB89" i="40"/>
  <c r="AE93" i="75"/>
  <c r="AE93" i="40"/>
  <c r="A115" i="39"/>
  <c r="A116" i="39"/>
  <c r="A117" i="39"/>
  <c r="AE10" i="52"/>
  <c r="JO553" i="40"/>
  <c r="KN653" i="40"/>
  <c r="A653" i="40"/>
  <c r="C654" i="40"/>
  <c r="AW653" i="40"/>
  <c r="BA653" i="40"/>
  <c r="BB653" i="40"/>
  <c r="AX653" i="40"/>
  <c r="AZ653" i="40"/>
  <c r="BX653" i="40"/>
  <c r="DM653" i="40"/>
  <c r="JO653" i="40"/>
  <c r="BC653" i="40"/>
  <c r="BD653" i="40"/>
  <c r="BE653" i="40"/>
  <c r="BI653" i="40"/>
  <c r="BF653" i="40"/>
  <c r="BN653" i="40"/>
  <c r="BJ653" i="40"/>
  <c r="BG653" i="40"/>
  <c r="BO653" i="40"/>
  <c r="BS653" i="40"/>
  <c r="BK653" i="40"/>
  <c r="BT653" i="40"/>
  <c r="BL653" i="40"/>
  <c r="BY653" i="40"/>
  <c r="BP653" i="40"/>
  <c r="BH653" i="40"/>
  <c r="CD653" i="40"/>
  <c r="BQ653" i="40"/>
  <c r="BM653" i="40"/>
  <c r="BU653" i="40"/>
  <c r="BZ653" i="40"/>
  <c r="DS653" i="40"/>
  <c r="BV653" i="40"/>
  <c r="CA653" i="40"/>
  <c r="CE653" i="40"/>
  <c r="BR653" i="40"/>
  <c r="BW653" i="40"/>
  <c r="CF653" i="40"/>
  <c r="CB653" i="40"/>
  <c r="DT653" i="40"/>
  <c r="DU653" i="40"/>
  <c r="CG653" i="40"/>
  <c r="CC653" i="40"/>
  <c r="J653" i="40"/>
  <c r="DV653" i="40"/>
  <c r="K653" i="40"/>
  <c r="CH653" i="40"/>
  <c r="O653" i="40"/>
  <c r="DW653" i="40"/>
  <c r="L653" i="40"/>
  <c r="P653" i="40"/>
  <c r="M653" i="40"/>
  <c r="N653" i="40"/>
  <c r="Q653" i="40"/>
  <c r="W653" i="40"/>
  <c r="F653" i="40"/>
  <c r="G653" i="40"/>
  <c r="H653" i="40"/>
  <c r="I653" i="40"/>
  <c r="AA653" i="40"/>
  <c r="JO453" i="40"/>
  <c r="O33" i="58"/>
  <c r="O48" i="68"/>
  <c r="AG10" i="52"/>
  <c r="A118" i="39"/>
  <c r="A119" i="39"/>
  <c r="A120" i="39"/>
  <c r="AG93" i="75"/>
  <c r="AG93" i="40"/>
  <c r="AE14" i="52"/>
  <c r="AF10" i="52"/>
  <c r="AD103" i="75"/>
  <c r="AD88" i="75"/>
  <c r="AD105" i="75"/>
  <c r="AD86" i="75"/>
  <c r="AD87" i="75"/>
  <c r="AD102" i="75"/>
  <c r="AD89" i="75"/>
  <c r="AD107" i="75"/>
  <c r="AD101" i="75"/>
  <c r="AD104" i="75"/>
  <c r="AD109" i="75"/>
  <c r="AD111" i="75"/>
  <c r="AD603" i="40"/>
  <c r="AD86" i="40"/>
  <c r="AD89" i="40"/>
  <c r="AD607" i="40"/>
  <c r="AD601" i="40"/>
  <c r="AD605" i="40"/>
  <c r="AD606" i="40"/>
  <c r="AD87" i="40"/>
  <c r="AD88" i="40"/>
  <c r="AD604" i="40"/>
  <c r="O48" i="67"/>
  <c r="AE625" i="40"/>
  <c r="AE626" i="40"/>
  <c r="AE618" i="40"/>
  <c r="AE635" i="40"/>
  <c r="AE650" i="40"/>
  <c r="AE629" i="40"/>
  <c r="AE603" i="40"/>
  <c r="AE636" i="40"/>
  <c r="AE620" i="40"/>
  <c r="AE610" i="40"/>
  <c r="AE651" i="40"/>
  <c r="AE613" i="40"/>
  <c r="AE645" i="40"/>
  <c r="AE617" i="40"/>
  <c r="AE637" i="40"/>
  <c r="AE638" i="40"/>
  <c r="AE86" i="40"/>
  <c r="AE641" i="40"/>
  <c r="AE653" i="40"/>
  <c r="AE632" i="40"/>
  <c r="AE602" i="40"/>
  <c r="AE619" i="40"/>
  <c r="AE605" i="40"/>
  <c r="AE639" i="40"/>
  <c r="AE633" i="40"/>
  <c r="AE614" i="40"/>
  <c r="AE643" i="40"/>
  <c r="AE630" i="40"/>
  <c r="AE616" i="40"/>
  <c r="AE647" i="40"/>
  <c r="AE644" i="40"/>
  <c r="AE608" i="40"/>
  <c r="AE87" i="40"/>
  <c r="AE611" i="40"/>
  <c r="AE623" i="40"/>
  <c r="AF93" i="40"/>
  <c r="AE622" i="40"/>
  <c r="AE628" i="40"/>
  <c r="AE612" i="40"/>
  <c r="AE646" i="40"/>
  <c r="AE615" i="40"/>
  <c r="AE649" i="40"/>
  <c r="AE640" i="40"/>
  <c r="AE624" i="40"/>
  <c r="AE609" i="40"/>
  <c r="AE621" i="40"/>
  <c r="AE89" i="40"/>
  <c r="AE631" i="40"/>
  <c r="AE634" i="40"/>
  <c r="AE98" i="40"/>
  <c r="AE648" i="40"/>
  <c r="AE642" i="40"/>
  <c r="AE627" i="40"/>
  <c r="AE88" i="40"/>
  <c r="AE652" i="40"/>
  <c r="AE98" i="75"/>
  <c r="AF93" i="75"/>
  <c r="AE89" i="75"/>
  <c r="AE109" i="75"/>
  <c r="AE103" i="75"/>
  <c r="AE112" i="75"/>
  <c r="AE86" i="75"/>
  <c r="AE104" i="75"/>
  <c r="AE88" i="75"/>
  <c r="AE101" i="75"/>
  <c r="AE108" i="75"/>
  <c r="AE106" i="75"/>
  <c r="AE87" i="75"/>
  <c r="AE107" i="75"/>
  <c r="AE102" i="75"/>
  <c r="AE110" i="75"/>
  <c r="AE105" i="75"/>
  <c r="A654" i="40"/>
  <c r="C655" i="40"/>
  <c r="KN654" i="40"/>
  <c r="AW654" i="40"/>
  <c r="BA654" i="40"/>
  <c r="BB654" i="40"/>
  <c r="AX654" i="40"/>
  <c r="AZ654" i="40"/>
  <c r="BX654" i="40"/>
  <c r="DM654" i="40"/>
  <c r="JO654" i="40"/>
  <c r="BC654" i="40"/>
  <c r="BD654" i="40"/>
  <c r="BI654" i="40"/>
  <c r="BE654" i="40"/>
  <c r="BN654" i="40"/>
  <c r="BJ654" i="40"/>
  <c r="BF654" i="40"/>
  <c r="BS654" i="40"/>
  <c r="BG654" i="40"/>
  <c r="BK654" i="40"/>
  <c r="BO654" i="40"/>
  <c r="BP654" i="40"/>
  <c r="BY654" i="40"/>
  <c r="BT654" i="40"/>
  <c r="BL654" i="40"/>
  <c r="BH654" i="40"/>
  <c r="BQ654" i="40"/>
  <c r="BM654" i="40"/>
  <c r="BZ654" i="40"/>
  <c r="BU654" i="40"/>
  <c r="CD654" i="40"/>
  <c r="DS654" i="40"/>
  <c r="BV654" i="40"/>
  <c r="BR654" i="40"/>
  <c r="CA654" i="40"/>
  <c r="CE654" i="40"/>
  <c r="CF654" i="40"/>
  <c r="CB654" i="40"/>
  <c r="BW654" i="40"/>
  <c r="DT654" i="40"/>
  <c r="CG654" i="40"/>
  <c r="CC654" i="40"/>
  <c r="J654" i="40"/>
  <c r="DU654" i="40"/>
  <c r="K654" i="40"/>
  <c r="CH654" i="40"/>
  <c r="DV654" i="40"/>
  <c r="O654" i="40"/>
  <c r="P654" i="40"/>
  <c r="DW654" i="40"/>
  <c r="L654" i="40"/>
  <c r="M654" i="40"/>
  <c r="Q654" i="40"/>
  <c r="N654" i="40"/>
  <c r="W654" i="40"/>
  <c r="F654" i="40"/>
  <c r="G654" i="40"/>
  <c r="H654" i="40"/>
  <c r="I654" i="40"/>
  <c r="AA654" i="40"/>
  <c r="AC654" i="40"/>
  <c r="AE654" i="40"/>
  <c r="JO554" i="40"/>
  <c r="JO454" i="40"/>
  <c r="K48" i="67"/>
  <c r="K48" i="68"/>
  <c r="AH10" i="52"/>
  <c r="AG14" i="52"/>
  <c r="AG614" i="40"/>
  <c r="AG631" i="40"/>
  <c r="AG621" i="40"/>
  <c r="AG650" i="40"/>
  <c r="AG87" i="40"/>
  <c r="AG632" i="40"/>
  <c r="AG606" i="40"/>
  <c r="AG623" i="40"/>
  <c r="AG652" i="40"/>
  <c r="AG613" i="40"/>
  <c r="AG642" i="40"/>
  <c r="AG86" i="40"/>
  <c r="AG624" i="40"/>
  <c r="AG649" i="40"/>
  <c r="AG619" i="40"/>
  <c r="AG653" i="40"/>
  <c r="AG635" i="40"/>
  <c r="AG638" i="40"/>
  <c r="AG620" i="40"/>
  <c r="AG610" i="40"/>
  <c r="AG627" i="40"/>
  <c r="AG617" i="40"/>
  <c r="AG644" i="40"/>
  <c r="AG634" i="40"/>
  <c r="AG616" i="40"/>
  <c r="AG654" i="40"/>
  <c r="AG636" i="40"/>
  <c r="AG630" i="40"/>
  <c r="AG647" i="40"/>
  <c r="AG612" i="40"/>
  <c r="AG637" i="40"/>
  <c r="AG602" i="40"/>
  <c r="AG615" i="40"/>
  <c r="AG648" i="40"/>
  <c r="AG609" i="40"/>
  <c r="AG622" i="40"/>
  <c r="AG639" i="40"/>
  <c r="AG604" i="40"/>
  <c r="AG629" i="40"/>
  <c r="AG607" i="40"/>
  <c r="AG640" i="40"/>
  <c r="AG601" i="40"/>
  <c r="AG98" i="40"/>
  <c r="AG618" i="40"/>
  <c r="AG651" i="40"/>
  <c r="AG89" i="40"/>
  <c r="AG608" i="40"/>
  <c r="AG646" i="40"/>
  <c r="AG628" i="40"/>
  <c r="AG625" i="40"/>
  <c r="AG88" i="40"/>
  <c r="AG645" i="40"/>
  <c r="AG611" i="40"/>
  <c r="AG605" i="40"/>
  <c r="AG641" i="40"/>
  <c r="AG603" i="40"/>
  <c r="AH93" i="40"/>
  <c r="AG626" i="40"/>
  <c r="AG643" i="40"/>
  <c r="AG633" i="40"/>
  <c r="AF645" i="40"/>
  <c r="AF87" i="40"/>
  <c r="AF627" i="40"/>
  <c r="AF601" i="40"/>
  <c r="AF614" i="40"/>
  <c r="AF647" i="40"/>
  <c r="AF612" i="40"/>
  <c r="AF637" i="40"/>
  <c r="AF86" i="40"/>
  <c r="AF650" i="40"/>
  <c r="AF615" i="40"/>
  <c r="AF648" i="40"/>
  <c r="AF609" i="40"/>
  <c r="AF622" i="40"/>
  <c r="AF655" i="40"/>
  <c r="AF620" i="40"/>
  <c r="AF613" i="40"/>
  <c r="AF646" i="40"/>
  <c r="AF644" i="40"/>
  <c r="AF618" i="40"/>
  <c r="AF616" i="40"/>
  <c r="AF88" i="40"/>
  <c r="AF649" i="40"/>
  <c r="AF631" i="40"/>
  <c r="AF621" i="40"/>
  <c r="AF639" i="40"/>
  <c r="AF610" i="40"/>
  <c r="AF643" i="40"/>
  <c r="AF608" i="40"/>
  <c r="AF617" i="40"/>
  <c r="AF630" i="40"/>
  <c r="AF628" i="40"/>
  <c r="AF653" i="40"/>
  <c r="AF602" i="40"/>
  <c r="AF635" i="40"/>
  <c r="AF625" i="40"/>
  <c r="AF638" i="40"/>
  <c r="AF603" i="40"/>
  <c r="AF636" i="40"/>
  <c r="AF89" i="40"/>
  <c r="AF633" i="40"/>
  <c r="AF611" i="40"/>
  <c r="AF605" i="40"/>
  <c r="AF654" i="40"/>
  <c r="AF652" i="40"/>
  <c r="AF642" i="40"/>
  <c r="AF640" i="40"/>
  <c r="AF626" i="40"/>
  <c r="AF624" i="40"/>
  <c r="AF651" i="40"/>
  <c r="AF641" i="40"/>
  <c r="AF623" i="40"/>
  <c r="AF629" i="40"/>
  <c r="AF607" i="40"/>
  <c r="AF619" i="40"/>
  <c r="AF634" i="40"/>
  <c r="AF632" i="40"/>
  <c r="AF606" i="40"/>
  <c r="AF604" i="40"/>
  <c r="AH93" i="75"/>
  <c r="AG87" i="75"/>
  <c r="AG101" i="75"/>
  <c r="AG104" i="75"/>
  <c r="AG112" i="75"/>
  <c r="AG111" i="75"/>
  <c r="AG106" i="75"/>
  <c r="AG107" i="75"/>
  <c r="AG105" i="75"/>
  <c r="AG88" i="75"/>
  <c r="AG108" i="75"/>
  <c r="AG109" i="75"/>
  <c r="AG110" i="75"/>
  <c r="AG98" i="75"/>
  <c r="AG103" i="75"/>
  <c r="AG89" i="75"/>
  <c r="AG86" i="75"/>
  <c r="AG102" i="75"/>
  <c r="AF104" i="75"/>
  <c r="AF88" i="75"/>
  <c r="AF111" i="75"/>
  <c r="AF107" i="75"/>
  <c r="AF110" i="75"/>
  <c r="AF87" i="75"/>
  <c r="AF105" i="75"/>
  <c r="AF86" i="75"/>
  <c r="AF89" i="75"/>
  <c r="AF109" i="75"/>
  <c r="AF101" i="75"/>
  <c r="AF103" i="75"/>
  <c r="AF112" i="75"/>
  <c r="AF102" i="75"/>
  <c r="AF106" i="75"/>
  <c r="AF108" i="75"/>
  <c r="AI93" i="75"/>
  <c r="AI93" i="40"/>
  <c r="AI10" i="52"/>
  <c r="A121" i="39"/>
  <c r="A122" i="39"/>
  <c r="A123" i="39"/>
  <c r="A124" i="39"/>
  <c r="A125" i="39"/>
  <c r="A126" i="39"/>
  <c r="A127" i="39"/>
  <c r="A128" i="39"/>
  <c r="A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A655" i="40"/>
  <c r="KN655" i="40"/>
  <c r="C656" i="40"/>
  <c r="AW655" i="40"/>
  <c r="BA655" i="40"/>
  <c r="BB655" i="40"/>
  <c r="AX655" i="40"/>
  <c r="AZ655" i="40"/>
  <c r="BX655" i="40"/>
  <c r="DM655" i="40"/>
  <c r="JO655" i="40"/>
  <c r="BC655" i="40"/>
  <c r="BD655" i="40"/>
  <c r="BE655" i="40"/>
  <c r="BI655" i="40"/>
  <c r="BJ655" i="40"/>
  <c r="BF655" i="40"/>
  <c r="BN655" i="40"/>
  <c r="BK655" i="40"/>
  <c r="BO655" i="40"/>
  <c r="BS655" i="40"/>
  <c r="BG655" i="40"/>
  <c r="BT655" i="40"/>
  <c r="BL655" i="40"/>
  <c r="BP655" i="40"/>
  <c r="BY655" i="40"/>
  <c r="BH655" i="40"/>
  <c r="BM655" i="40"/>
  <c r="CD655" i="40"/>
  <c r="BU655" i="40"/>
  <c r="BZ655" i="40"/>
  <c r="BQ655" i="40"/>
  <c r="CA655" i="40"/>
  <c r="DS655" i="40"/>
  <c r="CE655" i="40"/>
  <c r="BR655" i="40"/>
  <c r="BV655" i="40"/>
  <c r="DT655" i="40"/>
  <c r="CF655" i="40"/>
  <c r="BW655" i="40"/>
  <c r="CB655" i="40"/>
  <c r="CC655" i="40"/>
  <c r="CG655" i="40"/>
  <c r="DU655" i="40"/>
  <c r="J655" i="40"/>
  <c r="O655" i="40"/>
  <c r="K655" i="40"/>
  <c r="DV655" i="40"/>
  <c r="CH655" i="40"/>
  <c r="P655" i="40"/>
  <c r="DW655" i="40"/>
  <c r="L655" i="40"/>
  <c r="M655" i="40"/>
  <c r="Q655" i="40"/>
  <c r="N655" i="40"/>
  <c r="W655" i="40"/>
  <c r="F655" i="40"/>
  <c r="G655" i="40"/>
  <c r="H655" i="40"/>
  <c r="I655" i="40"/>
  <c r="AA655" i="40"/>
  <c r="AC655" i="40"/>
  <c r="AE655" i="40"/>
  <c r="JO455" i="40"/>
  <c r="JO555" i="40"/>
  <c r="AG655" i="40"/>
  <c r="L48" i="68"/>
  <c r="AH88" i="75"/>
  <c r="AH111" i="75"/>
  <c r="AH102" i="75"/>
  <c r="AH108" i="75"/>
  <c r="AH103" i="75"/>
  <c r="AH105" i="75"/>
  <c r="AH86" i="75"/>
  <c r="AH110" i="75"/>
  <c r="AH107" i="75"/>
  <c r="AH101" i="75"/>
  <c r="AH106" i="75"/>
  <c r="AH109" i="75"/>
  <c r="AH104" i="75"/>
  <c r="AH87" i="75"/>
  <c r="AH112" i="75"/>
  <c r="AH89" i="75"/>
  <c r="L48" i="67"/>
  <c r="AI14" i="52"/>
  <c r="AJ10" i="52"/>
  <c r="L33" i="58"/>
  <c r="AI618" i="40"/>
  <c r="AI651" i="40"/>
  <c r="AI625" i="40"/>
  <c r="AI638" i="40"/>
  <c r="AI603" i="40"/>
  <c r="AI645" i="40"/>
  <c r="AI648" i="40"/>
  <c r="AI624" i="40"/>
  <c r="AI610" i="40"/>
  <c r="AI643" i="40"/>
  <c r="AI617" i="40"/>
  <c r="AI636" i="40"/>
  <c r="AI646" i="40"/>
  <c r="AI611" i="40"/>
  <c r="AI653" i="40"/>
  <c r="AI656" i="40"/>
  <c r="AI641" i="40"/>
  <c r="AI608" i="40"/>
  <c r="AI89" i="40"/>
  <c r="AI623" i="40"/>
  <c r="AI633" i="40"/>
  <c r="AJ93" i="40"/>
  <c r="AI605" i="40"/>
  <c r="AI87" i="40"/>
  <c r="AI619" i="40"/>
  <c r="AI615" i="40"/>
  <c r="AI613" i="40"/>
  <c r="AI620" i="40"/>
  <c r="AI642" i="40"/>
  <c r="AI614" i="40"/>
  <c r="AI647" i="40"/>
  <c r="AI634" i="40"/>
  <c r="AI632" i="40"/>
  <c r="AI654" i="40"/>
  <c r="AI626" i="40"/>
  <c r="AI631" i="40"/>
  <c r="AI612" i="40"/>
  <c r="AI650" i="40"/>
  <c r="AI606" i="40"/>
  <c r="AI639" i="40"/>
  <c r="AI644" i="40"/>
  <c r="AI607" i="40"/>
  <c r="AI649" i="40"/>
  <c r="AI640" i="40"/>
  <c r="AI621" i="40"/>
  <c r="AI652" i="40"/>
  <c r="AI602" i="40"/>
  <c r="AI601" i="40"/>
  <c r="AI630" i="40"/>
  <c r="AI628" i="40"/>
  <c r="AI86" i="40"/>
  <c r="AI604" i="40"/>
  <c r="AI655" i="40"/>
  <c r="AI98" i="40"/>
  <c r="AI629" i="40"/>
  <c r="AI609" i="40"/>
  <c r="AI622" i="40"/>
  <c r="AI627" i="40"/>
  <c r="AI637" i="40"/>
  <c r="AI616" i="40"/>
  <c r="AI635" i="40"/>
  <c r="AI88" i="40"/>
  <c r="AH637" i="40"/>
  <c r="AH602" i="40"/>
  <c r="AH632" i="40"/>
  <c r="AH627" i="40"/>
  <c r="AH609" i="40"/>
  <c r="AH638" i="40"/>
  <c r="AH604" i="40"/>
  <c r="AH639" i="40"/>
  <c r="AH645" i="40"/>
  <c r="AH610" i="40"/>
  <c r="AH640" i="40"/>
  <c r="AH635" i="40"/>
  <c r="AH601" i="40"/>
  <c r="AH630" i="40"/>
  <c r="AH607" i="40"/>
  <c r="AH647" i="40"/>
  <c r="AH623" i="40"/>
  <c r="AH641" i="40"/>
  <c r="AH603" i="40"/>
  <c r="AH613" i="40"/>
  <c r="AH642" i="40"/>
  <c r="AH628" i="40"/>
  <c r="AH611" i="40"/>
  <c r="AH621" i="40"/>
  <c r="AH616" i="40"/>
  <c r="AH89" i="40"/>
  <c r="AH615" i="40"/>
  <c r="AH649" i="40"/>
  <c r="AH644" i="40"/>
  <c r="AH653" i="40"/>
  <c r="AH618" i="40"/>
  <c r="AH648" i="40"/>
  <c r="AH625" i="40"/>
  <c r="AH654" i="40"/>
  <c r="AH620" i="40"/>
  <c r="AH87" i="40"/>
  <c r="AH88" i="40"/>
  <c r="AH626" i="40"/>
  <c r="AH656" i="40"/>
  <c r="AH631" i="40"/>
  <c r="AH617" i="40"/>
  <c r="AH646" i="40"/>
  <c r="AH612" i="40"/>
  <c r="AH86" i="40"/>
  <c r="AH605" i="40"/>
  <c r="AH634" i="40"/>
  <c r="AH606" i="40"/>
  <c r="AH636" i="40"/>
  <c r="AH643" i="40"/>
  <c r="AH608" i="40"/>
  <c r="AH655" i="40"/>
  <c r="AH633" i="40"/>
  <c r="AH650" i="40"/>
  <c r="AH622" i="40"/>
  <c r="AH614" i="40"/>
  <c r="AH651" i="40"/>
  <c r="AH652" i="40"/>
  <c r="AH629" i="40"/>
  <c r="AH624" i="40"/>
  <c r="AH619" i="40"/>
  <c r="AJ93" i="75"/>
  <c r="AI102" i="75"/>
  <c r="AI111" i="75"/>
  <c r="AI103" i="75"/>
  <c r="AI105" i="75"/>
  <c r="AI86" i="75"/>
  <c r="AI110" i="75"/>
  <c r="AI101" i="75"/>
  <c r="AI104" i="75"/>
  <c r="AI112" i="75"/>
  <c r="AI108" i="75"/>
  <c r="AI87" i="75"/>
  <c r="AI98" i="75"/>
  <c r="AI106" i="75"/>
  <c r="AI89" i="75"/>
  <c r="AI109" i="75"/>
  <c r="AI88" i="75"/>
  <c r="AI107" i="75"/>
  <c r="JO556" i="40"/>
  <c r="JO456" i="40"/>
  <c r="KN656" i="40"/>
  <c r="A656" i="40"/>
  <c r="C657" i="40"/>
  <c r="AW656" i="40"/>
  <c r="BA656" i="40"/>
  <c r="BB656" i="40"/>
  <c r="AX656" i="40"/>
  <c r="AZ656" i="40"/>
  <c r="BX656" i="40"/>
  <c r="DM656" i="40"/>
  <c r="JO656" i="40"/>
  <c r="BC656" i="40"/>
  <c r="BD656" i="40"/>
  <c r="BE656" i="40"/>
  <c r="BI656" i="40"/>
  <c r="BN656" i="40"/>
  <c r="BJ656" i="40"/>
  <c r="BF656" i="40"/>
  <c r="BS656" i="40"/>
  <c r="BG656" i="40"/>
  <c r="BO656" i="40"/>
  <c r="BK656" i="40"/>
  <c r="BT656" i="40"/>
  <c r="BL656" i="40"/>
  <c r="BH656" i="40"/>
  <c r="BP656" i="40"/>
  <c r="BY656" i="40"/>
  <c r="BQ656" i="40"/>
  <c r="BU656" i="40"/>
  <c r="CD656" i="40"/>
  <c r="BZ656" i="40"/>
  <c r="BM656" i="40"/>
  <c r="DS656" i="40"/>
  <c r="BR656" i="40"/>
  <c r="BV656" i="40"/>
  <c r="CA656" i="40"/>
  <c r="CE656" i="40"/>
  <c r="BW656" i="40"/>
  <c r="CF656" i="40"/>
  <c r="CB656" i="40"/>
  <c r="DT656" i="40"/>
  <c r="DU656" i="40"/>
  <c r="J656" i="40"/>
  <c r="CG656" i="40"/>
  <c r="CC656" i="40"/>
  <c r="DV656" i="40"/>
  <c r="CH656" i="40"/>
  <c r="O656" i="40"/>
  <c r="K656" i="40"/>
  <c r="DW656" i="40"/>
  <c r="L656" i="40"/>
  <c r="P656" i="40"/>
  <c r="M656" i="40"/>
  <c r="Q656" i="40"/>
  <c r="N656" i="40"/>
  <c r="W656" i="40"/>
  <c r="F656" i="40"/>
  <c r="G656" i="40"/>
  <c r="H656" i="40"/>
  <c r="I656" i="40"/>
  <c r="AA656" i="40"/>
  <c r="AC656" i="40"/>
  <c r="AE656" i="40"/>
  <c r="AF656" i="40"/>
  <c r="AG656" i="40"/>
  <c r="AJ619" i="40"/>
  <c r="AJ622" i="40"/>
  <c r="AJ651" i="40"/>
  <c r="AJ612" i="40"/>
  <c r="AJ633" i="40"/>
  <c r="AJ623" i="40"/>
  <c r="AJ648" i="40"/>
  <c r="AJ605" i="40"/>
  <c r="AJ630" i="40"/>
  <c r="AJ620" i="40"/>
  <c r="AJ641" i="40"/>
  <c r="AJ602" i="40"/>
  <c r="AJ631" i="40"/>
  <c r="AJ656" i="40"/>
  <c r="AJ629" i="40"/>
  <c r="AJ626" i="40"/>
  <c r="AJ616" i="40"/>
  <c r="AJ637" i="40"/>
  <c r="AJ613" i="40"/>
  <c r="AJ638" i="40"/>
  <c r="AJ86" i="40"/>
  <c r="AJ628" i="40"/>
  <c r="AJ649" i="40"/>
  <c r="AJ610" i="40"/>
  <c r="AJ639" i="40"/>
  <c r="AJ621" i="40"/>
  <c r="AJ646" i="40"/>
  <c r="AJ607" i="40"/>
  <c r="AJ636" i="40"/>
  <c r="AJ87" i="40"/>
  <c r="AJ657" i="40"/>
  <c r="AJ618" i="40"/>
  <c r="AJ647" i="40"/>
  <c r="AJ608" i="40"/>
  <c r="AJ615" i="40"/>
  <c r="AJ627" i="40"/>
  <c r="AJ609" i="40"/>
  <c r="AJ624" i="40"/>
  <c r="AJ644" i="40"/>
  <c r="AJ634" i="40"/>
  <c r="AJ645" i="40"/>
  <c r="AJ606" i="40"/>
  <c r="AJ635" i="40"/>
  <c r="AJ617" i="40"/>
  <c r="AJ642" i="40"/>
  <c r="AJ603" i="40"/>
  <c r="AJ632" i="40"/>
  <c r="AJ653" i="40"/>
  <c r="AJ614" i="40"/>
  <c r="AJ643" i="40"/>
  <c r="AJ604" i="40"/>
  <c r="AJ625" i="40"/>
  <c r="AJ650" i="40"/>
  <c r="AJ611" i="40"/>
  <c r="AJ640" i="40"/>
  <c r="AJ89" i="40"/>
  <c r="AJ654" i="40"/>
  <c r="AJ601" i="40"/>
  <c r="AJ655" i="40"/>
  <c r="AJ88" i="40"/>
  <c r="AJ652" i="40"/>
  <c r="AJ88" i="75"/>
  <c r="AJ111" i="75"/>
  <c r="AJ103" i="75"/>
  <c r="AJ86" i="75"/>
  <c r="AJ106" i="75"/>
  <c r="AJ110" i="75"/>
  <c r="AJ107" i="75"/>
  <c r="AJ108" i="75"/>
  <c r="AJ87" i="75"/>
  <c r="AJ112" i="75"/>
  <c r="AJ109" i="75"/>
  <c r="AJ101" i="75"/>
  <c r="AJ104" i="75"/>
  <c r="AJ89" i="75"/>
  <c r="AJ102" i="75"/>
  <c r="AJ105" i="75"/>
  <c r="JO557" i="40"/>
  <c r="KN657" i="40"/>
  <c r="A657" i="40"/>
  <c r="C658" i="40"/>
  <c r="AW657" i="40"/>
  <c r="BA657" i="40"/>
  <c r="BB657" i="40"/>
  <c r="AX657" i="40"/>
  <c r="AZ657" i="40"/>
  <c r="BX657" i="40"/>
  <c r="DM657" i="40"/>
  <c r="JO657" i="40"/>
  <c r="BC657" i="40"/>
  <c r="BD657" i="40"/>
  <c r="BI657" i="40"/>
  <c r="BE657" i="40"/>
  <c r="BN657" i="40"/>
  <c r="BF657" i="40"/>
  <c r="BJ657" i="40"/>
  <c r="BG657" i="40"/>
  <c r="BS657" i="40"/>
  <c r="BK657" i="40"/>
  <c r="BO657" i="40"/>
  <c r="BP657" i="40"/>
  <c r="BT657" i="40"/>
  <c r="BL657" i="40"/>
  <c r="BY657" i="40"/>
  <c r="BH657" i="40"/>
  <c r="BQ657" i="40"/>
  <c r="BU657" i="40"/>
  <c r="BZ657" i="40"/>
  <c r="CD657" i="40"/>
  <c r="BM657" i="40"/>
  <c r="DS657" i="40"/>
  <c r="BR657" i="40"/>
  <c r="BV657" i="40"/>
  <c r="CA657" i="40"/>
  <c r="CE657" i="40"/>
  <c r="CF657" i="40"/>
  <c r="BW657" i="40"/>
  <c r="CB657" i="40"/>
  <c r="DT657" i="40"/>
  <c r="CC657" i="40"/>
  <c r="DU657" i="40"/>
  <c r="CG657" i="40"/>
  <c r="J657" i="40"/>
  <c r="K657" i="40"/>
  <c r="O657" i="40"/>
  <c r="CH657" i="40"/>
  <c r="DV657" i="40"/>
  <c r="L657" i="40"/>
  <c r="P657" i="40"/>
  <c r="DW657" i="40"/>
  <c r="M657" i="40"/>
  <c r="Q657" i="40"/>
  <c r="N657" i="40"/>
  <c r="W657" i="40"/>
  <c r="F657" i="40"/>
  <c r="G657" i="40"/>
  <c r="H657" i="40"/>
  <c r="I657" i="40"/>
  <c r="AA657" i="40"/>
  <c r="AC657" i="40"/>
  <c r="AE657" i="40"/>
  <c r="AG657" i="40"/>
  <c r="AF657" i="40"/>
  <c r="AH657" i="40"/>
  <c r="AI657" i="40"/>
  <c r="JO457" i="40"/>
  <c r="JO458" i="40"/>
  <c r="C659" i="40"/>
  <c r="A658" i="40"/>
  <c r="KN658" i="40"/>
  <c r="AW658" i="40"/>
  <c r="BA658" i="40"/>
  <c r="BB658" i="40"/>
  <c r="AX658" i="40"/>
  <c r="AZ658" i="40"/>
  <c r="BX658" i="40"/>
  <c r="DM658" i="40"/>
  <c r="JO658" i="40"/>
  <c r="BC658" i="40"/>
  <c r="BD658" i="40"/>
  <c r="BE658" i="40"/>
  <c r="BI658" i="40"/>
  <c r="BN658" i="40"/>
  <c r="BJ658" i="40"/>
  <c r="BF658" i="40"/>
  <c r="BS658" i="40"/>
  <c r="BO658" i="40"/>
  <c r="BG658" i="40"/>
  <c r="BK658" i="40"/>
  <c r="BP658" i="40"/>
  <c r="BL658" i="40"/>
  <c r="BY658" i="40"/>
  <c r="BT658" i="40"/>
  <c r="BH658" i="40"/>
  <c r="BM658" i="40"/>
  <c r="CD658" i="40"/>
  <c r="BQ658" i="40"/>
  <c r="BU658" i="40"/>
  <c r="BZ658" i="40"/>
  <c r="DS658" i="40"/>
  <c r="CA658" i="40"/>
  <c r="CE658" i="40"/>
  <c r="BR658" i="40"/>
  <c r="BV658" i="40"/>
  <c r="DT658" i="40"/>
  <c r="BW658" i="40"/>
  <c r="CF658" i="40"/>
  <c r="CB658" i="40"/>
  <c r="CG658" i="40"/>
  <c r="CC658" i="40"/>
  <c r="DU658" i="40"/>
  <c r="J658" i="40"/>
  <c r="O658" i="40"/>
  <c r="K658" i="40"/>
  <c r="CH658" i="40"/>
  <c r="DV658" i="40"/>
  <c r="DW658" i="40"/>
  <c r="P658" i="40"/>
  <c r="L658" i="40"/>
  <c r="M658" i="40"/>
  <c r="N658" i="40"/>
  <c r="Q658" i="40"/>
  <c r="W658" i="40"/>
  <c r="F658" i="40"/>
  <c r="G658" i="40"/>
  <c r="H658" i="40"/>
  <c r="I658" i="40"/>
  <c r="AA658" i="40"/>
  <c r="AC658" i="40"/>
  <c r="AE658" i="40"/>
  <c r="AF658" i="40"/>
  <c r="AG658" i="40"/>
  <c r="AI658" i="40"/>
  <c r="AH658" i="40"/>
  <c r="AJ658" i="40"/>
  <c r="JO558" i="40"/>
  <c r="A659" i="40"/>
  <c r="KN659" i="40"/>
  <c r="C660" i="40"/>
  <c r="AW659" i="40"/>
  <c r="BA659" i="40"/>
  <c r="BB659" i="40"/>
  <c r="AX659" i="40"/>
  <c r="AZ659" i="40"/>
  <c r="BX659" i="40"/>
  <c r="DM659" i="40"/>
  <c r="JO659" i="40"/>
  <c r="BC659" i="40"/>
  <c r="BD659" i="40"/>
  <c r="BE659" i="40"/>
  <c r="BI659" i="40"/>
  <c r="BJ659" i="40"/>
  <c r="BN659" i="40"/>
  <c r="BF659" i="40"/>
  <c r="BS659" i="40"/>
  <c r="BG659" i="40"/>
  <c r="BO659" i="40"/>
  <c r="BK659" i="40"/>
  <c r="BT659" i="40"/>
  <c r="BL659" i="40"/>
  <c r="BP659" i="40"/>
  <c r="BY659" i="40"/>
  <c r="BH659" i="40"/>
  <c r="BM659" i="40"/>
  <c r="BU659" i="40"/>
  <c r="BQ659" i="40"/>
  <c r="CD659" i="40"/>
  <c r="BZ659" i="40"/>
  <c r="BR659" i="40"/>
  <c r="BV659" i="40"/>
  <c r="CE659" i="40"/>
  <c r="CA659" i="40"/>
  <c r="DS659" i="40"/>
  <c r="CB659" i="40"/>
  <c r="DT659" i="40"/>
  <c r="CF659" i="40"/>
  <c r="BW659" i="40"/>
  <c r="DU659" i="40"/>
  <c r="CG659" i="40"/>
  <c r="CC659" i="40"/>
  <c r="J659" i="40"/>
  <c r="CH659" i="40"/>
  <c r="DV659" i="40"/>
  <c r="O659" i="40"/>
  <c r="K659" i="40"/>
  <c r="DW659" i="40"/>
  <c r="L659" i="40"/>
  <c r="P659" i="40"/>
  <c r="M659" i="40"/>
  <c r="Q659" i="40"/>
  <c r="N659" i="40"/>
  <c r="W659" i="40"/>
  <c r="F659" i="40"/>
  <c r="G659" i="40"/>
  <c r="H659" i="40"/>
  <c r="I659" i="40"/>
  <c r="AA659" i="40"/>
  <c r="AC659" i="40"/>
  <c r="AE659" i="40"/>
  <c r="AG659" i="40"/>
  <c r="AF659" i="40"/>
  <c r="AH659" i="40"/>
  <c r="AI659" i="40"/>
  <c r="AJ659" i="40"/>
  <c r="JO459" i="40"/>
  <c r="JO559" i="40"/>
  <c r="JO560" i="40"/>
  <c r="KN660" i="40"/>
  <c r="A660" i="40"/>
  <c r="C661" i="40"/>
  <c r="AW660" i="40"/>
  <c r="BA660" i="40"/>
  <c r="BB660" i="40"/>
  <c r="AX660" i="40"/>
  <c r="AZ660" i="40"/>
  <c r="BX660" i="40"/>
  <c r="DM660" i="40"/>
  <c r="JO660" i="40"/>
  <c r="BC660" i="40"/>
  <c r="BD660" i="40"/>
  <c r="BE660" i="40"/>
  <c r="BI660" i="40"/>
  <c r="BN660" i="40"/>
  <c r="BJ660" i="40"/>
  <c r="BF660" i="40"/>
  <c r="BS660" i="40"/>
  <c r="BO660" i="40"/>
  <c r="BK660" i="40"/>
  <c r="BG660" i="40"/>
  <c r="BT660" i="40"/>
  <c r="BL660" i="40"/>
  <c r="BY660" i="40"/>
  <c r="BP660" i="40"/>
  <c r="BH660" i="40"/>
  <c r="CD660" i="40"/>
  <c r="BQ660" i="40"/>
  <c r="BM660" i="40"/>
  <c r="BU660" i="40"/>
  <c r="BZ660" i="40"/>
  <c r="BV660" i="40"/>
  <c r="CA660" i="40"/>
  <c r="DS660" i="40"/>
  <c r="BR660" i="40"/>
  <c r="CE660" i="40"/>
  <c r="CF660" i="40"/>
  <c r="BW660" i="40"/>
  <c r="DT660" i="40"/>
  <c r="CB660" i="40"/>
  <c r="CG660" i="40"/>
  <c r="CC660" i="40"/>
  <c r="DU660" i="40"/>
  <c r="J660" i="40"/>
  <c r="K660" i="40"/>
  <c r="DV660" i="40"/>
  <c r="O660" i="40"/>
  <c r="CH660" i="40"/>
  <c r="DW660" i="40"/>
  <c r="L660" i="40"/>
  <c r="P660" i="40"/>
  <c r="M660" i="40"/>
  <c r="N660" i="40"/>
  <c r="Q660" i="40"/>
  <c r="W660" i="40"/>
  <c r="F660" i="40"/>
  <c r="G660" i="40"/>
  <c r="H660" i="40"/>
  <c r="I660" i="40"/>
  <c r="AA660" i="40"/>
  <c r="AC660" i="40"/>
  <c r="AE660" i="40"/>
  <c r="AF660" i="40"/>
  <c r="AG660" i="40"/>
  <c r="AI660" i="40"/>
  <c r="AH660" i="40"/>
  <c r="AJ660" i="40"/>
  <c r="JO460" i="40"/>
  <c r="JO461" i="40"/>
  <c r="KN661" i="40"/>
  <c r="C662" i="40"/>
  <c r="A661" i="40"/>
  <c r="AW661" i="40"/>
  <c r="BA661" i="40"/>
  <c r="BB661" i="40"/>
  <c r="AX661" i="40"/>
  <c r="AZ661" i="40"/>
  <c r="BX661" i="40"/>
  <c r="DM661" i="40"/>
  <c r="JO661" i="40"/>
  <c r="BC661" i="40"/>
  <c r="BD661" i="40"/>
  <c r="BE661" i="40"/>
  <c r="BI661" i="40"/>
  <c r="BN661" i="40"/>
  <c r="BJ661" i="40"/>
  <c r="BF661" i="40"/>
  <c r="BS661" i="40"/>
  <c r="BG661" i="40"/>
  <c r="BK661" i="40"/>
  <c r="BO661" i="40"/>
  <c r="BY661" i="40"/>
  <c r="BP661" i="40"/>
  <c r="BH661" i="40"/>
  <c r="BT661" i="40"/>
  <c r="BL661" i="40"/>
  <c r="BZ661" i="40"/>
  <c r="CD661" i="40"/>
  <c r="BQ661" i="40"/>
  <c r="BM661" i="40"/>
  <c r="BU661" i="40"/>
  <c r="DS661" i="40"/>
  <c r="CA661" i="40"/>
  <c r="BV661" i="40"/>
  <c r="BR661" i="40"/>
  <c r="CE661" i="40"/>
  <c r="CF661" i="40"/>
  <c r="CB661" i="40"/>
  <c r="BW661" i="40"/>
  <c r="DT661" i="40"/>
  <c r="J661" i="40"/>
  <c r="CG661" i="40"/>
  <c r="CC661" i="40"/>
  <c r="DU661" i="40"/>
  <c r="DV661" i="40"/>
  <c r="O661" i="40"/>
  <c r="K661" i="40"/>
  <c r="CH661" i="40"/>
  <c r="L661" i="40"/>
  <c r="P661" i="40"/>
  <c r="DW661" i="40"/>
  <c r="M661" i="40"/>
  <c r="Q661" i="40"/>
  <c r="N661" i="40"/>
  <c r="W661" i="40"/>
  <c r="F661" i="40"/>
  <c r="G661" i="40"/>
  <c r="H661" i="40"/>
  <c r="I661" i="40"/>
  <c r="AA661" i="40"/>
  <c r="AC661" i="40"/>
  <c r="AE661" i="40"/>
  <c r="AF661" i="40"/>
  <c r="AG661" i="40"/>
  <c r="AH661" i="40"/>
  <c r="AI661" i="40"/>
  <c r="AJ661" i="40"/>
  <c r="JO561" i="40"/>
  <c r="AE48" i="67"/>
  <c r="C663" i="40"/>
  <c r="A662" i="40"/>
  <c r="KN662" i="40"/>
  <c r="AW662" i="40"/>
  <c r="BA662" i="40"/>
  <c r="BB662" i="40"/>
  <c r="AX662" i="40"/>
  <c r="AZ662" i="40"/>
  <c r="BX662" i="40"/>
  <c r="DM662" i="40"/>
  <c r="JO662" i="40"/>
  <c r="BC662" i="40"/>
  <c r="BD662" i="40"/>
  <c r="BE662" i="40"/>
  <c r="BI662" i="40"/>
  <c r="BN662" i="40"/>
  <c r="BJ662" i="40"/>
  <c r="BF662" i="40"/>
  <c r="BK662" i="40"/>
  <c r="BS662" i="40"/>
  <c r="BO662" i="40"/>
  <c r="BG662" i="40"/>
  <c r="BP662" i="40"/>
  <c r="BL662" i="40"/>
  <c r="BT662" i="40"/>
  <c r="BY662" i="40"/>
  <c r="BH662" i="40"/>
  <c r="CD662" i="40"/>
  <c r="BU662" i="40"/>
  <c r="BQ662" i="40"/>
  <c r="BM662" i="40"/>
  <c r="BZ662" i="40"/>
  <c r="DS662" i="40"/>
  <c r="BV662" i="40"/>
  <c r="CE662" i="40"/>
  <c r="BR662" i="40"/>
  <c r="CA662" i="40"/>
  <c r="CF662" i="40"/>
  <c r="BW662" i="40"/>
  <c r="DT662" i="40"/>
  <c r="CB662" i="40"/>
  <c r="CG662" i="40"/>
  <c r="DU662" i="40"/>
  <c r="CC662" i="40"/>
  <c r="J662" i="40"/>
  <c r="CH662" i="40"/>
  <c r="DV662" i="40"/>
  <c r="K662" i="40"/>
  <c r="O662" i="40"/>
  <c r="P662" i="40"/>
  <c r="DW662" i="40"/>
  <c r="L662" i="40"/>
  <c r="M662" i="40"/>
  <c r="N662" i="40"/>
  <c r="Q662" i="40"/>
  <c r="W662" i="40"/>
  <c r="X662" i="40"/>
  <c r="F662" i="40"/>
  <c r="G662" i="40"/>
  <c r="H662" i="40"/>
  <c r="I662" i="40"/>
  <c r="AA662" i="40"/>
  <c r="AC662" i="40"/>
  <c r="AE662" i="40"/>
  <c r="AG662" i="40"/>
  <c r="AF662" i="40"/>
  <c r="AI662" i="40"/>
  <c r="AH662" i="40"/>
  <c r="AJ662" i="40"/>
  <c r="C664" i="40"/>
  <c r="KN663" i="40"/>
  <c r="A663" i="40"/>
  <c r="AW663" i="40"/>
  <c r="BA663" i="40"/>
  <c r="BB663" i="40"/>
  <c r="AX663" i="40"/>
  <c r="AZ663" i="40"/>
  <c r="BX663" i="40"/>
  <c r="DM663" i="40"/>
  <c r="JO663" i="40"/>
  <c r="BC663" i="40"/>
  <c r="BD663" i="40"/>
  <c r="BI663" i="40"/>
  <c r="BE663" i="40"/>
  <c r="BJ663" i="40"/>
  <c r="BN663" i="40"/>
  <c r="BF663" i="40"/>
  <c r="BO663" i="40"/>
  <c r="BS663" i="40"/>
  <c r="BG663" i="40"/>
  <c r="BK663" i="40"/>
  <c r="BH663" i="40"/>
  <c r="BT663" i="40"/>
  <c r="BY663" i="40"/>
  <c r="BL663" i="40"/>
  <c r="BP663" i="40"/>
  <c r="BZ663" i="40"/>
  <c r="BU663" i="40"/>
  <c r="CD663" i="40"/>
  <c r="BQ663" i="40"/>
  <c r="BM663" i="40"/>
  <c r="BV663" i="40"/>
  <c r="BR663" i="40"/>
  <c r="CA663" i="40"/>
  <c r="CE663" i="40"/>
  <c r="DS663" i="40"/>
  <c r="CF663" i="40"/>
  <c r="BW663" i="40"/>
  <c r="CB663" i="40"/>
  <c r="DT663" i="40"/>
  <c r="DU663" i="40"/>
  <c r="CG663" i="40"/>
  <c r="CC663" i="40"/>
  <c r="J663" i="40"/>
  <c r="DV663" i="40"/>
  <c r="O663" i="40"/>
  <c r="CH663" i="40"/>
  <c r="K663" i="40"/>
  <c r="DW663" i="40"/>
  <c r="P663" i="40"/>
  <c r="L663" i="40"/>
  <c r="M663" i="40"/>
  <c r="Q663" i="40"/>
  <c r="N663" i="40"/>
  <c r="W663" i="40"/>
  <c r="X663" i="40"/>
  <c r="F663" i="40"/>
  <c r="G663" i="40"/>
  <c r="H663" i="40"/>
  <c r="I663" i="40"/>
  <c r="AA663" i="40"/>
  <c r="AC663" i="40"/>
  <c r="AE663" i="40"/>
  <c r="AG663" i="40"/>
  <c r="AF663" i="40"/>
  <c r="AH663" i="40"/>
  <c r="AI663" i="40"/>
  <c r="AJ663" i="40"/>
  <c r="AF48" i="67"/>
  <c r="KN664" i="40"/>
  <c r="C665" i="40"/>
  <c r="A664" i="40"/>
  <c r="AW664" i="40"/>
  <c r="BA664" i="40"/>
  <c r="BB664" i="40"/>
  <c r="AX664" i="40"/>
  <c r="AZ664" i="40"/>
  <c r="BX664" i="40"/>
  <c r="DM664" i="40"/>
  <c r="JO664" i="40"/>
  <c r="BC664" i="40"/>
  <c r="BD664" i="40"/>
  <c r="BI664" i="40"/>
  <c r="BE664" i="40"/>
  <c r="BN664" i="40"/>
  <c r="BJ664" i="40"/>
  <c r="BF664" i="40"/>
  <c r="BO664" i="40"/>
  <c r="BS664" i="40"/>
  <c r="BG664" i="40"/>
  <c r="BK664" i="40"/>
  <c r="BT664" i="40"/>
  <c r="BY664" i="40"/>
  <c r="BL664" i="40"/>
  <c r="BP664" i="40"/>
  <c r="BH664" i="40"/>
  <c r="BM664" i="40"/>
  <c r="BU664" i="40"/>
  <c r="CD664" i="40"/>
  <c r="BQ664" i="40"/>
  <c r="BZ664" i="40"/>
  <c r="BV664" i="40"/>
  <c r="DS664" i="40"/>
  <c r="BR664" i="40"/>
  <c r="CA664" i="40"/>
  <c r="CE664" i="40"/>
  <c r="DT664" i="40"/>
  <c r="CF664" i="40"/>
  <c r="BW664" i="40"/>
  <c r="CB664" i="40"/>
  <c r="CC664" i="40"/>
  <c r="J664" i="40"/>
  <c r="DU664" i="40"/>
  <c r="CG664" i="40"/>
  <c r="K664" i="40"/>
  <c r="DV664" i="40"/>
  <c r="CH664" i="40"/>
  <c r="O664" i="40"/>
  <c r="DW664" i="40"/>
  <c r="L664" i="40"/>
  <c r="P664" i="40"/>
  <c r="M664" i="40"/>
  <c r="Q664" i="40"/>
  <c r="N664" i="40"/>
  <c r="W664" i="40"/>
  <c r="F664" i="40"/>
  <c r="G664" i="40"/>
  <c r="H664" i="40"/>
  <c r="I664" i="40"/>
  <c r="AA664" i="40"/>
  <c r="AC664" i="40"/>
  <c r="AE664" i="40"/>
  <c r="AG664" i="40"/>
  <c r="AF664" i="40"/>
  <c r="AH664" i="40"/>
  <c r="AI664" i="40"/>
  <c r="AJ664" i="40"/>
  <c r="AE48" i="68"/>
  <c r="KN665" i="40"/>
  <c r="A665" i="40"/>
  <c r="C666" i="40"/>
  <c r="AW665" i="40"/>
  <c r="BA665" i="40"/>
  <c r="BB665" i="40"/>
  <c r="AX665" i="40"/>
  <c r="AZ665" i="40"/>
  <c r="BX665" i="40"/>
  <c r="DM665" i="40"/>
  <c r="JO665" i="40"/>
  <c r="BC665" i="40"/>
  <c r="BD665" i="40"/>
  <c r="BI665" i="40"/>
  <c r="BE665" i="40"/>
  <c r="BN665" i="40"/>
  <c r="BF665" i="40"/>
  <c r="BJ665" i="40"/>
  <c r="BK665" i="40"/>
  <c r="BS665" i="40"/>
  <c r="BG665" i="40"/>
  <c r="BO665" i="40"/>
  <c r="BY665" i="40"/>
  <c r="BP665" i="40"/>
  <c r="BT665" i="40"/>
  <c r="BL665" i="40"/>
  <c r="BH665" i="40"/>
  <c r="CD665" i="40"/>
  <c r="BQ665" i="40"/>
  <c r="BM665" i="40"/>
  <c r="BU665" i="40"/>
  <c r="BZ665" i="40"/>
  <c r="DS665" i="40"/>
  <c r="BR665" i="40"/>
  <c r="CA665" i="40"/>
  <c r="CE665" i="40"/>
  <c r="BV665" i="40"/>
  <c r="BW665" i="40"/>
  <c r="CB665" i="40"/>
  <c r="CF665" i="40"/>
  <c r="DT665" i="40"/>
  <c r="CG665" i="40"/>
  <c r="CC665" i="40"/>
  <c r="DU665" i="40"/>
  <c r="J665" i="40"/>
  <c r="O665" i="40"/>
  <c r="CH665" i="40"/>
  <c r="DV665" i="40"/>
  <c r="K665" i="40"/>
  <c r="L665" i="40"/>
  <c r="DW665" i="40"/>
  <c r="P665" i="40"/>
  <c r="M665" i="40"/>
  <c r="Q665" i="40"/>
  <c r="N665" i="40"/>
  <c r="W665" i="40"/>
  <c r="F665" i="40"/>
  <c r="G665" i="40"/>
  <c r="H665" i="40"/>
  <c r="I665" i="40"/>
  <c r="AA665" i="40"/>
  <c r="AC665" i="40"/>
  <c r="AE665" i="40"/>
  <c r="AG665" i="40"/>
  <c r="AF665" i="40"/>
  <c r="AH665" i="40"/>
  <c r="AI665" i="40"/>
  <c r="AJ665" i="40"/>
  <c r="C667" i="40"/>
  <c r="A666" i="40"/>
  <c r="KN666" i="40"/>
  <c r="AW666" i="40"/>
  <c r="BA666" i="40"/>
  <c r="BB666" i="40"/>
  <c r="AX666" i="40"/>
  <c r="AZ666" i="40"/>
  <c r="BX666" i="40"/>
  <c r="DM666" i="40"/>
  <c r="JO666" i="40"/>
  <c r="BC666" i="40"/>
  <c r="BD666" i="40"/>
  <c r="BE666" i="40"/>
  <c r="BI666" i="40"/>
  <c r="BN666" i="40"/>
  <c r="BJ666" i="40"/>
  <c r="BF666" i="40"/>
  <c r="BG666" i="40"/>
  <c r="BK666" i="40"/>
  <c r="BO666" i="40"/>
  <c r="BS666" i="40"/>
  <c r="BY666" i="40"/>
  <c r="BP666" i="40"/>
  <c r="BT666" i="40"/>
  <c r="BL666" i="40"/>
  <c r="BH666" i="40"/>
  <c r="BM666" i="40"/>
  <c r="BZ666" i="40"/>
  <c r="BU666" i="40"/>
  <c r="CD666" i="40"/>
  <c r="BQ666" i="40"/>
  <c r="CA666" i="40"/>
  <c r="DS666" i="40"/>
  <c r="CE666" i="40"/>
  <c r="BR666" i="40"/>
  <c r="BV666" i="40"/>
  <c r="CB666" i="40"/>
  <c r="BW666" i="40"/>
  <c r="CF666" i="40"/>
  <c r="DT666" i="40"/>
  <c r="CC666" i="40"/>
  <c r="J666" i="40"/>
  <c r="DU666" i="40"/>
  <c r="CG666" i="40"/>
  <c r="O666" i="40"/>
  <c r="K666" i="40"/>
  <c r="CH666" i="40"/>
  <c r="DV666" i="40"/>
  <c r="P666" i="40"/>
  <c r="DW666" i="40"/>
  <c r="L666" i="40"/>
  <c r="M666" i="40"/>
  <c r="N666" i="40"/>
  <c r="Q666" i="40"/>
  <c r="W666" i="40"/>
  <c r="F666" i="40"/>
  <c r="G666" i="40"/>
  <c r="H666" i="40"/>
  <c r="I666" i="40"/>
  <c r="AA666" i="40"/>
  <c r="AC666" i="40"/>
  <c r="AE666" i="40"/>
  <c r="AG666" i="40"/>
  <c r="AF666" i="40"/>
  <c r="AH666" i="40"/>
  <c r="AI666" i="40"/>
  <c r="AJ666" i="40"/>
  <c r="AF48" i="68"/>
  <c r="C668" i="40"/>
  <c r="KN667" i="40"/>
  <c r="A667" i="40"/>
  <c r="AW667" i="40"/>
  <c r="BA667" i="40"/>
  <c r="BB667" i="40"/>
  <c r="AX667" i="40"/>
  <c r="AZ667" i="40"/>
  <c r="BX667" i="40"/>
  <c r="DM667" i="40"/>
  <c r="JO667" i="40"/>
  <c r="BC667" i="40"/>
  <c r="BD667" i="40"/>
  <c r="BE667" i="40"/>
  <c r="BI667" i="40"/>
  <c r="BN667" i="40"/>
  <c r="BJ667" i="40"/>
  <c r="BF667" i="40"/>
  <c r="BO667" i="40"/>
  <c r="BG667" i="40"/>
  <c r="BK667" i="40"/>
  <c r="BS667" i="40"/>
  <c r="BL667" i="40"/>
  <c r="BT667" i="40"/>
  <c r="BH667" i="40"/>
  <c r="BY667" i="40"/>
  <c r="BP667" i="40"/>
  <c r="CD667" i="40"/>
  <c r="BQ667" i="40"/>
  <c r="BM667" i="40"/>
  <c r="BZ667" i="40"/>
  <c r="BU667" i="40"/>
  <c r="BV667" i="40"/>
  <c r="DS667" i="40"/>
  <c r="BR667" i="40"/>
  <c r="CA667" i="40"/>
  <c r="CE667" i="40"/>
  <c r="CF667" i="40"/>
  <c r="DT667" i="40"/>
  <c r="BW667" i="40"/>
  <c r="CB667" i="40"/>
  <c r="DU667" i="40"/>
  <c r="CC667" i="40"/>
  <c r="J667" i="40"/>
  <c r="CG667" i="40"/>
  <c r="DV667" i="40"/>
  <c r="CH667" i="40"/>
  <c r="O667" i="40"/>
  <c r="K667" i="40"/>
  <c r="P667" i="40"/>
  <c r="L667" i="40"/>
  <c r="DW667" i="40"/>
  <c r="M667" i="40"/>
  <c r="Q667" i="40"/>
  <c r="N667" i="40"/>
  <c r="W667" i="40"/>
  <c r="X667" i="40"/>
  <c r="F667" i="40"/>
  <c r="G667" i="40"/>
  <c r="H667" i="40"/>
  <c r="I667" i="40"/>
  <c r="AA667" i="40"/>
  <c r="AC667" i="40"/>
  <c r="AE667" i="40"/>
  <c r="AF667" i="40"/>
  <c r="AG667" i="40"/>
  <c r="AI667" i="40"/>
  <c r="AH667" i="40"/>
  <c r="AJ667" i="40"/>
  <c r="KN668" i="40"/>
  <c r="C669" i="40"/>
  <c r="A668" i="40"/>
  <c r="AW668" i="40"/>
  <c r="BA668" i="40"/>
  <c r="BB668" i="40"/>
  <c r="AX668" i="40"/>
  <c r="AZ668" i="40"/>
  <c r="BX668" i="40"/>
  <c r="DM668" i="40"/>
  <c r="JO668" i="40"/>
  <c r="BC668" i="40"/>
  <c r="BD668" i="40"/>
  <c r="BE668" i="40"/>
  <c r="BI668" i="40"/>
  <c r="BN668" i="40"/>
  <c r="BJ668" i="40"/>
  <c r="BF668" i="40"/>
  <c r="BO668" i="40"/>
  <c r="BS668" i="40"/>
  <c r="BG668" i="40"/>
  <c r="BK668" i="40"/>
  <c r="BT668" i="40"/>
  <c r="BL668" i="40"/>
  <c r="BH668" i="40"/>
  <c r="BP668" i="40"/>
  <c r="BY668" i="40"/>
  <c r="BM668" i="40"/>
  <c r="BQ668" i="40"/>
  <c r="BZ668" i="40"/>
  <c r="CD668" i="40"/>
  <c r="BU668" i="40"/>
  <c r="DS668" i="40"/>
  <c r="CE668" i="40"/>
  <c r="CA668" i="40"/>
  <c r="BR668" i="40"/>
  <c r="BV668" i="40"/>
  <c r="BW668" i="40"/>
  <c r="CF668" i="40"/>
  <c r="CB668" i="40"/>
  <c r="DT668" i="40"/>
  <c r="DU668" i="40"/>
  <c r="J668" i="40"/>
  <c r="CC668" i="40"/>
  <c r="CG668" i="40"/>
  <c r="DV668" i="40"/>
  <c r="CH668" i="40"/>
  <c r="O668" i="40"/>
  <c r="K668" i="40"/>
  <c r="L668" i="40"/>
  <c r="DW668" i="40"/>
  <c r="P668" i="40"/>
  <c r="M668" i="40"/>
  <c r="N668" i="40"/>
  <c r="Q668" i="40"/>
  <c r="W668" i="40"/>
  <c r="X668" i="40"/>
  <c r="F668" i="40"/>
  <c r="G668" i="40"/>
  <c r="H668" i="40"/>
  <c r="I668" i="40"/>
  <c r="AA668" i="40"/>
  <c r="AC668" i="40"/>
  <c r="AE668" i="40"/>
  <c r="AG668" i="40"/>
  <c r="AF668" i="40"/>
  <c r="AH668" i="40"/>
  <c r="AI668" i="40"/>
  <c r="AJ668" i="40"/>
  <c r="KN669" i="40"/>
  <c r="C670" i="40"/>
  <c r="A669" i="40"/>
  <c r="AW669" i="40"/>
  <c r="BA669" i="40"/>
  <c r="BB669" i="40"/>
  <c r="AX669" i="40"/>
  <c r="AZ669" i="40"/>
  <c r="BX669" i="40"/>
  <c r="DM669" i="40"/>
  <c r="JO669" i="40"/>
  <c r="BC669" i="40"/>
  <c r="BD669" i="40"/>
  <c r="BE669" i="40"/>
  <c r="BI669" i="40"/>
  <c r="BN669" i="40"/>
  <c r="BJ669" i="40"/>
  <c r="BF669" i="40"/>
  <c r="BK669" i="40"/>
  <c r="BO669" i="40"/>
  <c r="BS669" i="40"/>
  <c r="BG669" i="40"/>
  <c r="BP669" i="40"/>
  <c r="BT669" i="40"/>
  <c r="BY669" i="40"/>
  <c r="BL669" i="40"/>
  <c r="BH669" i="40"/>
  <c r="BU669" i="40"/>
  <c r="CD669" i="40"/>
  <c r="BQ669" i="40"/>
  <c r="BM669" i="40"/>
  <c r="BZ669" i="40"/>
  <c r="DS669" i="40"/>
  <c r="BV669" i="40"/>
  <c r="CA669" i="40"/>
  <c r="CE669" i="40"/>
  <c r="BR669" i="40"/>
  <c r="CF669" i="40"/>
  <c r="BW669" i="40"/>
  <c r="CB669" i="40"/>
  <c r="DT669" i="40"/>
  <c r="CG669" i="40"/>
  <c r="CC669" i="40"/>
  <c r="J669" i="40"/>
  <c r="DU669" i="40"/>
  <c r="O669" i="40"/>
  <c r="K669" i="40"/>
  <c r="CH669" i="40"/>
  <c r="DV669" i="40"/>
  <c r="P669" i="40"/>
  <c r="L669" i="40"/>
  <c r="DW669" i="40"/>
  <c r="M669" i="40"/>
  <c r="N669" i="40"/>
  <c r="Q669" i="40"/>
  <c r="W669" i="40"/>
  <c r="X669" i="40"/>
  <c r="F669" i="40"/>
  <c r="G669" i="40"/>
  <c r="H669" i="40"/>
  <c r="I669" i="40"/>
  <c r="AA669" i="40"/>
  <c r="AC669" i="40"/>
  <c r="AE669" i="40"/>
  <c r="AF669" i="40"/>
  <c r="AG669" i="40"/>
  <c r="AI669" i="40"/>
  <c r="AH669" i="40"/>
  <c r="AJ669" i="40"/>
  <c r="A670" i="40"/>
  <c r="C671" i="40"/>
  <c r="KN670" i="40"/>
  <c r="AW670" i="40"/>
  <c r="BA670" i="40"/>
  <c r="BB670" i="40"/>
  <c r="AX670" i="40"/>
  <c r="AZ670" i="40"/>
  <c r="BX670" i="40"/>
  <c r="DM670" i="40"/>
  <c r="JO670" i="40"/>
  <c r="BC670" i="40"/>
  <c r="BD670" i="40"/>
  <c r="BE670" i="40"/>
  <c r="BI670" i="40"/>
  <c r="BJ670" i="40"/>
  <c r="BN670" i="40"/>
  <c r="BF670" i="40"/>
  <c r="BK670" i="40"/>
  <c r="BO670" i="40"/>
  <c r="BS670" i="40"/>
  <c r="BG670" i="40"/>
  <c r="BP670" i="40"/>
  <c r="BT670" i="40"/>
  <c r="BL670" i="40"/>
  <c r="BH670" i="40"/>
  <c r="BY670" i="40"/>
  <c r="BQ670" i="40"/>
  <c r="BU670" i="40"/>
  <c r="BZ670" i="40"/>
  <c r="CD670" i="40"/>
  <c r="BM670" i="40"/>
  <c r="BV670" i="40"/>
  <c r="DS670" i="40"/>
  <c r="BR670" i="40"/>
  <c r="CA670" i="40"/>
  <c r="CE670" i="40"/>
  <c r="CB670" i="40"/>
  <c r="CF670" i="40"/>
  <c r="BW670" i="40"/>
  <c r="DT670" i="40"/>
  <c r="J670" i="40"/>
  <c r="CG670" i="40"/>
  <c r="DU670" i="40"/>
  <c r="CC670" i="40"/>
  <c r="DV670" i="40"/>
  <c r="O670" i="40"/>
  <c r="CH670" i="40"/>
  <c r="K670" i="40"/>
  <c r="P670" i="40"/>
  <c r="DW670" i="40"/>
  <c r="L670" i="40"/>
  <c r="M670" i="40"/>
  <c r="Q670" i="40"/>
  <c r="N670" i="40"/>
  <c r="W670" i="40"/>
  <c r="F670" i="40"/>
  <c r="G670" i="40"/>
  <c r="H670" i="40"/>
  <c r="I670" i="40"/>
  <c r="AA670" i="40"/>
  <c r="AC670" i="40"/>
  <c r="AE670" i="40"/>
  <c r="AG670" i="40"/>
  <c r="AF670" i="40"/>
  <c r="AI670" i="40"/>
  <c r="AH670" i="40"/>
  <c r="AJ670" i="40"/>
  <c r="C672" i="40"/>
  <c r="KN671" i="40"/>
  <c r="A671" i="40"/>
  <c r="AW671" i="40"/>
  <c r="BA671" i="40"/>
  <c r="BB671" i="40"/>
  <c r="AX671" i="40"/>
  <c r="AZ671" i="40"/>
  <c r="BX671" i="40"/>
  <c r="DM671" i="40"/>
  <c r="JO671" i="40"/>
  <c r="BC671" i="40"/>
  <c r="BD671" i="40"/>
  <c r="BE671" i="40"/>
  <c r="BI671" i="40"/>
  <c r="BJ671" i="40"/>
  <c r="BN671" i="40"/>
  <c r="BF671" i="40"/>
  <c r="BS671" i="40"/>
  <c r="BG671" i="40"/>
  <c r="BO671" i="40"/>
  <c r="BK671" i="40"/>
  <c r="BT671" i="40"/>
  <c r="BL671" i="40"/>
  <c r="BY671" i="40"/>
  <c r="BP671" i="40"/>
  <c r="BH671" i="40"/>
  <c r="CD671" i="40"/>
  <c r="BU671" i="40"/>
  <c r="BQ671" i="40"/>
  <c r="BZ671" i="40"/>
  <c r="BM671" i="40"/>
  <c r="CE671" i="40"/>
  <c r="DS671" i="40"/>
  <c r="BR671" i="40"/>
  <c r="BV671" i="40"/>
  <c r="CA671" i="40"/>
  <c r="CF671" i="40"/>
  <c r="CB671" i="40"/>
  <c r="DT671" i="40"/>
  <c r="BW671" i="40"/>
  <c r="DU671" i="40"/>
  <c r="CC671" i="40"/>
  <c r="CG671" i="40"/>
  <c r="J671" i="40"/>
  <c r="DV671" i="40"/>
  <c r="O671" i="40"/>
  <c r="K671" i="40"/>
  <c r="CH671" i="40"/>
  <c r="DW671" i="40"/>
  <c r="L671" i="40"/>
  <c r="P671" i="40"/>
  <c r="M671" i="40"/>
  <c r="Q671" i="40"/>
  <c r="N671" i="40"/>
  <c r="W671" i="40"/>
  <c r="X671" i="40"/>
  <c r="F671" i="40"/>
  <c r="G671" i="40"/>
  <c r="H671" i="40"/>
  <c r="I671" i="40"/>
  <c r="AA671" i="40"/>
  <c r="AC671" i="40"/>
  <c r="AE671" i="40"/>
  <c r="AG671" i="40"/>
  <c r="AF671" i="40"/>
  <c r="AI671" i="40"/>
  <c r="AH671" i="40"/>
  <c r="AJ671" i="40"/>
  <c r="KN672" i="40"/>
  <c r="C673" i="40"/>
  <c r="A672" i="40"/>
  <c r="AW672" i="40"/>
  <c r="BA672" i="40"/>
  <c r="BB672" i="40"/>
  <c r="AX672" i="40"/>
  <c r="AZ672" i="40"/>
  <c r="BX672" i="40"/>
  <c r="DM672" i="40"/>
  <c r="JO672" i="40"/>
  <c r="BC672" i="40"/>
  <c r="BD672" i="40"/>
  <c r="BI672" i="40"/>
  <c r="BE672" i="40"/>
  <c r="BN672" i="40"/>
  <c r="BJ672" i="40"/>
  <c r="BF672" i="40"/>
  <c r="BG672" i="40"/>
  <c r="BK672" i="40"/>
  <c r="BS672" i="40"/>
  <c r="BO672" i="40"/>
  <c r="BT672" i="40"/>
  <c r="BL672" i="40"/>
  <c r="BP672" i="40"/>
  <c r="BY672" i="40"/>
  <c r="BH672" i="40"/>
  <c r="BQ672" i="40"/>
  <c r="BU672" i="40"/>
  <c r="CD672" i="40"/>
  <c r="BZ672" i="40"/>
  <c r="BM672" i="40"/>
  <c r="DS672" i="40"/>
  <c r="BR672" i="40"/>
  <c r="CA672" i="40"/>
  <c r="BV672" i="40"/>
  <c r="CE672" i="40"/>
  <c r="CB672" i="40"/>
  <c r="BW672" i="40"/>
  <c r="CF672" i="40"/>
  <c r="DT672" i="40"/>
  <c r="CC672" i="40"/>
  <c r="DU672" i="40"/>
  <c r="J672" i="40"/>
  <c r="CG672" i="40"/>
  <c r="K672" i="40"/>
  <c r="CH672" i="40"/>
  <c r="O672" i="40"/>
  <c r="DV672" i="40"/>
  <c r="P672" i="40"/>
  <c r="DW672" i="40"/>
  <c r="L672" i="40"/>
  <c r="M672" i="40"/>
  <c r="N672" i="40"/>
  <c r="Q672" i="40"/>
  <c r="W672" i="40"/>
  <c r="F672" i="40"/>
  <c r="G672" i="40"/>
  <c r="H672" i="40"/>
  <c r="I672" i="40"/>
  <c r="AA672" i="40"/>
  <c r="AC672" i="40"/>
  <c r="AE672" i="40"/>
  <c r="AG672" i="40"/>
  <c r="AF672" i="40"/>
  <c r="AI672" i="40"/>
  <c r="AH672" i="40"/>
  <c r="AJ672" i="40"/>
  <c r="KN673" i="40"/>
  <c r="A673" i="40"/>
  <c r="C674" i="40"/>
  <c r="AW673" i="40"/>
  <c r="BA673" i="40"/>
  <c r="BB673" i="40"/>
  <c r="AX673" i="40"/>
  <c r="AZ673" i="40"/>
  <c r="BX673" i="40"/>
  <c r="DM673" i="40"/>
  <c r="JO673" i="40"/>
  <c r="BC673" i="40"/>
  <c r="BD673" i="40"/>
  <c r="BE673" i="40"/>
  <c r="BI673" i="40"/>
  <c r="BN673" i="40"/>
  <c r="BJ673" i="40"/>
  <c r="BF673" i="40"/>
  <c r="BG673" i="40"/>
  <c r="BK673" i="40"/>
  <c r="BS673" i="40"/>
  <c r="BO673" i="40"/>
  <c r="BY673" i="40"/>
  <c r="BP673" i="40"/>
  <c r="BT673" i="40"/>
  <c r="BL673" i="40"/>
  <c r="BH673" i="40"/>
  <c r="BQ673" i="40"/>
  <c r="BU673" i="40"/>
  <c r="CD673" i="40"/>
  <c r="BM673" i="40"/>
  <c r="BZ673" i="40"/>
  <c r="DS673" i="40"/>
  <c r="BV673" i="40"/>
  <c r="BR673" i="40"/>
  <c r="CA673" i="40"/>
  <c r="CE673" i="40"/>
  <c r="BW673" i="40"/>
  <c r="CB673" i="40"/>
  <c r="CF673" i="40"/>
  <c r="DT673" i="40"/>
  <c r="CG673" i="40"/>
  <c r="CC673" i="40"/>
  <c r="J673" i="40"/>
  <c r="DU673" i="40"/>
  <c r="K673" i="40"/>
  <c r="CH673" i="40"/>
  <c r="DV673" i="40"/>
  <c r="O673" i="40"/>
  <c r="P673" i="40"/>
  <c r="DW673" i="40"/>
  <c r="L673" i="40"/>
  <c r="M673" i="40"/>
  <c r="N673" i="40"/>
  <c r="Q673" i="40"/>
  <c r="W673" i="40"/>
  <c r="X673" i="40"/>
  <c r="F673" i="40"/>
  <c r="G673" i="40"/>
  <c r="H673" i="40"/>
  <c r="I673" i="40"/>
  <c r="AA673" i="40"/>
  <c r="AC673" i="40"/>
  <c r="AE673" i="40"/>
  <c r="AF673" i="40"/>
  <c r="AG673" i="40"/>
  <c r="AI673" i="40"/>
  <c r="AH673" i="40"/>
  <c r="AJ673" i="40"/>
  <c r="C675" i="40"/>
  <c r="A674" i="40"/>
  <c r="KN674" i="40"/>
  <c r="AW674" i="40"/>
  <c r="BA674" i="40"/>
  <c r="BB674" i="40"/>
  <c r="AX674" i="40"/>
  <c r="AZ674" i="40"/>
  <c r="BX674" i="40"/>
  <c r="DM674" i="40"/>
  <c r="JO674" i="40"/>
  <c r="BC674" i="40"/>
  <c r="BD674" i="40"/>
  <c r="BI674" i="40"/>
  <c r="BE674" i="40"/>
  <c r="BJ674" i="40"/>
  <c r="BF674" i="40"/>
  <c r="BN674" i="40"/>
  <c r="BG674" i="40"/>
  <c r="BO674" i="40"/>
  <c r="BS674" i="40"/>
  <c r="BK674" i="40"/>
  <c r="BT674" i="40"/>
  <c r="BY674" i="40"/>
  <c r="BL674" i="40"/>
  <c r="BP674" i="40"/>
  <c r="BH674" i="40"/>
  <c r="BM674" i="40"/>
  <c r="CD674" i="40"/>
  <c r="BZ674" i="40"/>
  <c r="BQ674" i="40"/>
  <c r="BU674" i="40"/>
  <c r="CA674" i="40"/>
  <c r="DS674" i="40"/>
  <c r="BV674" i="40"/>
  <c r="CE674" i="40"/>
  <c r="BR674" i="40"/>
  <c r="CF674" i="40"/>
  <c r="CB674" i="40"/>
  <c r="BW674" i="40"/>
  <c r="DT674" i="40"/>
  <c r="DU674" i="40"/>
  <c r="J674" i="40"/>
  <c r="CG674" i="40"/>
  <c r="CC674" i="40"/>
  <c r="K674" i="40"/>
  <c r="DV674" i="40"/>
  <c r="O674" i="40"/>
  <c r="CH674" i="40"/>
  <c r="P674" i="40"/>
  <c r="L674" i="40"/>
  <c r="DW674" i="40"/>
  <c r="M674" i="40"/>
  <c r="Q674" i="40"/>
  <c r="N674" i="40"/>
  <c r="W674" i="40"/>
  <c r="X674" i="40"/>
  <c r="F674" i="40"/>
  <c r="G674" i="40"/>
  <c r="H674" i="40"/>
  <c r="I674" i="40"/>
  <c r="AA674" i="40"/>
  <c r="AC674" i="40"/>
  <c r="AE674" i="40"/>
  <c r="AG674" i="40"/>
  <c r="AF674" i="40"/>
  <c r="AH674" i="40"/>
  <c r="AI674" i="40"/>
  <c r="AJ674" i="40"/>
  <c r="C676" i="40"/>
  <c r="KN675" i="40"/>
  <c r="A675" i="40"/>
  <c r="AW675" i="40"/>
  <c r="BA675" i="40"/>
  <c r="BB675" i="40"/>
  <c r="AX675" i="40"/>
  <c r="AZ675" i="40"/>
  <c r="BX675" i="40"/>
  <c r="DM675" i="40"/>
  <c r="JO675" i="40"/>
  <c r="BC675" i="40"/>
  <c r="BD675" i="40"/>
  <c r="BE675" i="40"/>
  <c r="BI675" i="40"/>
  <c r="BN675" i="40"/>
  <c r="BJ675" i="40"/>
  <c r="BF675" i="40"/>
  <c r="BG675" i="40"/>
  <c r="BO675" i="40"/>
  <c r="BK675" i="40"/>
  <c r="BS675" i="40"/>
  <c r="BT675" i="40"/>
  <c r="BY675" i="40"/>
  <c r="BP675" i="40"/>
  <c r="BL675" i="40"/>
  <c r="BH675" i="40"/>
  <c r="BQ675" i="40"/>
  <c r="BM675" i="40"/>
  <c r="CD675" i="40"/>
  <c r="BU675" i="40"/>
  <c r="BZ675" i="40"/>
  <c r="BR675" i="40"/>
  <c r="DS675" i="40"/>
  <c r="CA675" i="40"/>
  <c r="BV675" i="40"/>
  <c r="CE675" i="40"/>
  <c r="CF675" i="40"/>
  <c r="CB675" i="40"/>
  <c r="DT675" i="40"/>
  <c r="BW675" i="40"/>
  <c r="DU675" i="40"/>
  <c r="CC675" i="40"/>
  <c r="CG675" i="40"/>
  <c r="J675" i="40"/>
  <c r="CH675" i="40"/>
  <c r="K675" i="40"/>
  <c r="O675" i="40"/>
  <c r="DV675" i="40"/>
  <c r="P675" i="40"/>
  <c r="DW675" i="40"/>
  <c r="L675" i="40"/>
  <c r="M675" i="40"/>
  <c r="Q675" i="40"/>
  <c r="N675" i="40"/>
  <c r="W675" i="40"/>
  <c r="X675" i="40"/>
  <c r="F675" i="40"/>
  <c r="G675" i="40"/>
  <c r="H675" i="40"/>
  <c r="I675" i="40"/>
  <c r="AA675" i="40"/>
  <c r="AC675" i="40"/>
  <c r="AE675" i="40"/>
  <c r="AF675" i="40"/>
  <c r="AG675" i="40"/>
  <c r="AH675" i="40"/>
  <c r="AI675" i="40"/>
  <c r="AJ675" i="40"/>
  <c r="KN676" i="40"/>
  <c r="C677" i="40"/>
  <c r="A676" i="40"/>
  <c r="AW676" i="40"/>
  <c r="BA676" i="40"/>
  <c r="BB676" i="40"/>
  <c r="AX676" i="40"/>
  <c r="AZ676" i="40"/>
  <c r="BX676" i="40"/>
  <c r="DM676" i="40"/>
  <c r="JO676" i="40"/>
  <c r="BC676" i="40"/>
  <c r="BD676" i="40"/>
  <c r="BE676" i="40"/>
  <c r="BI676" i="40"/>
  <c r="BN676" i="40"/>
  <c r="BJ676" i="40"/>
  <c r="BF676" i="40"/>
  <c r="BS676" i="40"/>
  <c r="BG676" i="40"/>
  <c r="BK676" i="40"/>
  <c r="BO676" i="40"/>
  <c r="BP676" i="40"/>
  <c r="BY676" i="40"/>
  <c r="BH676" i="40"/>
  <c r="BT676" i="40"/>
  <c r="BL676" i="40"/>
  <c r="BM676" i="40"/>
  <c r="BQ676" i="40"/>
  <c r="BU676" i="40"/>
  <c r="CD676" i="40"/>
  <c r="BZ676" i="40"/>
  <c r="BV676" i="40"/>
  <c r="CE676" i="40"/>
  <c r="DS676" i="40"/>
  <c r="CA676" i="40"/>
  <c r="BR676" i="40"/>
  <c r="CF676" i="40"/>
  <c r="BW676" i="40"/>
  <c r="DT676" i="40"/>
  <c r="CB676" i="40"/>
  <c r="DU676" i="40"/>
  <c r="CG676" i="40"/>
  <c r="CC676" i="40"/>
  <c r="J676" i="40"/>
  <c r="O676" i="40"/>
  <c r="K676" i="40"/>
  <c r="CH676" i="40"/>
  <c r="DV676" i="40"/>
  <c r="P676" i="40"/>
  <c r="DW676" i="40"/>
  <c r="L676" i="40"/>
  <c r="M676" i="40"/>
  <c r="N676" i="40"/>
  <c r="Q676" i="40"/>
  <c r="W676" i="40"/>
  <c r="X676" i="40"/>
  <c r="F676" i="40"/>
  <c r="G676" i="40"/>
  <c r="H676" i="40"/>
  <c r="I676" i="40"/>
  <c r="AA676" i="40"/>
  <c r="AC676" i="40"/>
  <c r="AE676" i="40"/>
  <c r="AG676" i="40"/>
  <c r="AF676" i="40"/>
  <c r="AH676" i="40"/>
  <c r="AI676" i="40"/>
  <c r="AJ676" i="40"/>
  <c r="KN677" i="40"/>
  <c r="C678" i="40"/>
  <c r="A677" i="40"/>
  <c r="AW677" i="40"/>
  <c r="BA677" i="40"/>
  <c r="BB677" i="40"/>
  <c r="AX677" i="40"/>
  <c r="AZ677" i="40"/>
  <c r="BX677" i="40"/>
  <c r="DM677" i="40"/>
  <c r="JO677" i="40"/>
  <c r="BC677" i="40"/>
  <c r="BD677" i="40"/>
  <c r="BE677" i="40"/>
  <c r="BI677" i="40"/>
  <c r="BN677" i="40"/>
  <c r="BF677" i="40"/>
  <c r="BJ677" i="40"/>
  <c r="BK677" i="40"/>
  <c r="BS677" i="40"/>
  <c r="BG677" i="40"/>
  <c r="BO677" i="40"/>
  <c r="BP677" i="40"/>
  <c r="BY677" i="40"/>
  <c r="BT677" i="40"/>
  <c r="BL677" i="40"/>
  <c r="BH677" i="40"/>
  <c r="BU677" i="40"/>
  <c r="BZ677" i="40"/>
  <c r="CD677" i="40"/>
  <c r="BQ677" i="40"/>
  <c r="BM677" i="40"/>
  <c r="DS677" i="40"/>
  <c r="BR677" i="40"/>
  <c r="CE677" i="40"/>
  <c r="BV677" i="40"/>
  <c r="CA677" i="40"/>
  <c r="CF677" i="40"/>
  <c r="BW677" i="40"/>
  <c r="CB677" i="40"/>
  <c r="DT677" i="40"/>
  <c r="DU677" i="40"/>
  <c r="CG677" i="40"/>
  <c r="J677" i="40"/>
  <c r="CC677" i="40"/>
  <c r="CH677" i="40"/>
  <c r="O677" i="40"/>
  <c r="K677" i="40"/>
  <c r="DV677" i="40"/>
  <c r="P677" i="40"/>
  <c r="DW677" i="40"/>
  <c r="L677" i="40"/>
  <c r="M677" i="40"/>
  <c r="N677" i="40"/>
  <c r="Q677" i="40"/>
  <c r="W677" i="40"/>
  <c r="X677" i="40"/>
  <c r="F677" i="40"/>
  <c r="G677" i="40"/>
  <c r="H677" i="40"/>
  <c r="I677" i="40"/>
  <c r="AA677" i="40"/>
  <c r="AC677" i="40"/>
  <c r="AE677" i="40"/>
  <c r="AG677" i="40"/>
  <c r="AF677" i="40"/>
  <c r="AH677" i="40"/>
  <c r="AI677" i="40"/>
  <c r="AJ677" i="40"/>
  <c r="KN678" i="40"/>
  <c r="C679" i="40"/>
  <c r="A678" i="40"/>
  <c r="AW678" i="40"/>
  <c r="BA678" i="40"/>
  <c r="BB678" i="40"/>
  <c r="AX678" i="40"/>
  <c r="AZ678" i="40"/>
  <c r="BX678" i="40"/>
  <c r="DM678" i="40"/>
  <c r="JO678" i="40"/>
  <c r="BC678" i="40"/>
  <c r="BD678" i="40"/>
  <c r="BI678" i="40"/>
  <c r="BE678" i="40"/>
  <c r="BN678" i="40"/>
  <c r="BF678" i="40"/>
  <c r="BJ678" i="40"/>
  <c r="BK678" i="40"/>
  <c r="BS678" i="40"/>
  <c r="BO678" i="40"/>
  <c r="BG678" i="40"/>
  <c r="BP678" i="40"/>
  <c r="BT678" i="40"/>
  <c r="BL678" i="40"/>
  <c r="BY678" i="40"/>
  <c r="BH678" i="40"/>
  <c r="BM678" i="40"/>
  <c r="CD678" i="40"/>
  <c r="BQ678" i="40"/>
  <c r="BU678" i="40"/>
  <c r="BZ678" i="40"/>
  <c r="DS678" i="40"/>
  <c r="BR678" i="40"/>
  <c r="BV678" i="40"/>
  <c r="CA678" i="40"/>
  <c r="CE678" i="40"/>
  <c r="BW678" i="40"/>
  <c r="CB678" i="40"/>
  <c r="DT678" i="40"/>
  <c r="CF678" i="40"/>
  <c r="CG678" i="40"/>
  <c r="DU678" i="40"/>
  <c r="CC678" i="40"/>
  <c r="J678" i="40"/>
  <c r="O678" i="40"/>
  <c r="K678" i="40"/>
  <c r="CH678" i="40"/>
  <c r="DV678" i="40"/>
  <c r="P678" i="40"/>
  <c r="L678" i="40"/>
  <c r="DW678" i="40"/>
  <c r="M678" i="40"/>
  <c r="Q678" i="40"/>
  <c r="N678" i="40"/>
  <c r="W678" i="40"/>
  <c r="X678" i="40"/>
  <c r="F678" i="40"/>
  <c r="G678" i="40"/>
  <c r="H678" i="40"/>
  <c r="I678" i="40"/>
  <c r="AA678" i="40"/>
  <c r="AC678" i="40"/>
  <c r="AE678" i="40"/>
  <c r="AG678" i="40"/>
  <c r="AF678" i="40"/>
  <c r="AI678" i="40"/>
  <c r="AH678" i="40"/>
  <c r="AJ678" i="40"/>
  <c r="KN679" i="40"/>
  <c r="A679" i="40"/>
  <c r="C680" i="40"/>
  <c r="AW679" i="40"/>
  <c r="BA679" i="40"/>
  <c r="BB679" i="40"/>
  <c r="AX679" i="40"/>
  <c r="AZ679" i="40"/>
  <c r="BX679" i="40"/>
  <c r="DM679" i="40"/>
  <c r="JO679" i="40"/>
  <c r="BC679" i="40"/>
  <c r="BD679" i="40"/>
  <c r="BI679" i="40"/>
  <c r="BE679" i="40"/>
  <c r="BJ679" i="40"/>
  <c r="BF679" i="40"/>
  <c r="BN679" i="40"/>
  <c r="BS679" i="40"/>
  <c r="BG679" i="40"/>
  <c r="BO679" i="40"/>
  <c r="BK679" i="40"/>
  <c r="BP679" i="40"/>
  <c r="BT679" i="40"/>
  <c r="BL679" i="40"/>
  <c r="BY679" i="40"/>
  <c r="BH679" i="40"/>
  <c r="BQ679" i="40"/>
  <c r="BU679" i="40"/>
  <c r="BZ679" i="40"/>
  <c r="BM679" i="40"/>
  <c r="CD679" i="40"/>
  <c r="DS679" i="40"/>
  <c r="BR679" i="40"/>
  <c r="BV679" i="40"/>
  <c r="CA679" i="40"/>
  <c r="CE679" i="40"/>
  <c r="CB679" i="40"/>
  <c r="BW679" i="40"/>
  <c r="DT679" i="40"/>
  <c r="CF679" i="40"/>
  <c r="DU679" i="40"/>
  <c r="CG679" i="40"/>
  <c r="CC679" i="40"/>
  <c r="J679" i="40"/>
  <c r="DV679" i="40"/>
  <c r="CH679" i="40"/>
  <c r="O679" i="40"/>
  <c r="K679" i="40"/>
  <c r="DW679" i="40"/>
  <c r="P679" i="40"/>
  <c r="L679" i="40"/>
  <c r="M679" i="40"/>
  <c r="N679" i="40"/>
  <c r="Q679" i="40"/>
  <c r="W679" i="40"/>
  <c r="X679" i="40"/>
  <c r="F679" i="40"/>
  <c r="G679" i="40"/>
  <c r="H679" i="40"/>
  <c r="I679" i="40"/>
  <c r="AA679" i="40"/>
  <c r="AC679" i="40"/>
  <c r="AE679" i="40"/>
  <c r="AF679" i="40"/>
  <c r="AG679" i="40"/>
  <c r="AI679" i="40"/>
  <c r="AH679" i="40"/>
  <c r="AJ679" i="40"/>
  <c r="KN680" i="40"/>
  <c r="C681" i="40"/>
  <c r="A680" i="40"/>
  <c r="AW680" i="40"/>
  <c r="BA680" i="40"/>
  <c r="BB680" i="40"/>
  <c r="AX680" i="40"/>
  <c r="AZ680" i="40"/>
  <c r="BX680" i="40"/>
  <c r="DM680" i="40"/>
  <c r="JO680" i="40"/>
  <c r="BC680" i="40"/>
  <c r="BD680" i="40"/>
  <c r="BI680" i="40"/>
  <c r="BE680" i="40"/>
  <c r="BN680" i="40"/>
  <c r="BJ680" i="40"/>
  <c r="BF680" i="40"/>
  <c r="BG680" i="40"/>
  <c r="BS680" i="40"/>
  <c r="BK680" i="40"/>
  <c r="BO680" i="40"/>
  <c r="BP680" i="40"/>
  <c r="BT680" i="40"/>
  <c r="BL680" i="40"/>
  <c r="BY680" i="40"/>
  <c r="BH680" i="40"/>
  <c r="BU680" i="40"/>
  <c r="BZ680" i="40"/>
  <c r="CD680" i="40"/>
  <c r="BQ680" i="40"/>
  <c r="BM680" i="40"/>
  <c r="DS680" i="40"/>
  <c r="CA680" i="40"/>
  <c r="BR680" i="40"/>
  <c r="CE680" i="40"/>
  <c r="BV680" i="40"/>
  <c r="CB680" i="40"/>
  <c r="DT680" i="40"/>
  <c r="CF680" i="40"/>
  <c r="BW680" i="40"/>
  <c r="CG680" i="40"/>
  <c r="DU680" i="40"/>
  <c r="J680" i="40"/>
  <c r="CC680" i="40"/>
  <c r="DV680" i="40"/>
  <c r="K680" i="40"/>
  <c r="CH680" i="40"/>
  <c r="O680" i="40"/>
  <c r="P680" i="40"/>
  <c r="DW680" i="40"/>
  <c r="L680" i="40"/>
  <c r="M680" i="40"/>
  <c r="N680" i="40"/>
  <c r="Q680" i="40"/>
  <c r="W680" i="40"/>
  <c r="X680" i="40"/>
  <c r="F680" i="40"/>
  <c r="G680" i="40"/>
  <c r="H680" i="40"/>
  <c r="I680" i="40"/>
  <c r="AA680" i="40"/>
  <c r="AC680" i="40"/>
  <c r="AE680" i="40"/>
  <c r="AF680" i="40"/>
  <c r="AG680" i="40"/>
  <c r="AI680" i="40"/>
  <c r="AH680" i="40"/>
  <c r="AJ680" i="40"/>
  <c r="KN681" i="40"/>
  <c r="A681" i="40"/>
  <c r="C682" i="40"/>
  <c r="AW681" i="40"/>
  <c r="BA681" i="40"/>
  <c r="BB681" i="40"/>
  <c r="AX681" i="40"/>
  <c r="AZ681" i="40"/>
  <c r="BX681" i="40"/>
  <c r="DM681" i="40"/>
  <c r="JO681" i="40"/>
  <c r="BC681" i="40"/>
  <c r="BD681" i="40"/>
  <c r="BE681" i="40"/>
  <c r="BI681" i="40"/>
  <c r="BN681" i="40"/>
  <c r="BJ681" i="40"/>
  <c r="BF681" i="40"/>
  <c r="BG681" i="40"/>
  <c r="BS681" i="40"/>
  <c r="BK681" i="40"/>
  <c r="BO681" i="40"/>
  <c r="BT681" i="40"/>
  <c r="BY681" i="40"/>
  <c r="BL681" i="40"/>
  <c r="BP681" i="40"/>
  <c r="BH681" i="40"/>
  <c r="BM681" i="40"/>
  <c r="BU681" i="40"/>
  <c r="BZ681" i="40"/>
  <c r="CD681" i="40"/>
  <c r="BQ681" i="40"/>
  <c r="BV681" i="40"/>
  <c r="CE681" i="40"/>
  <c r="DS681" i="40"/>
  <c r="BR681" i="40"/>
  <c r="CA681" i="40"/>
  <c r="CF681" i="40"/>
  <c r="CB681" i="40"/>
  <c r="DT681" i="40"/>
  <c r="BW681" i="40"/>
  <c r="CG681" i="40"/>
  <c r="J681" i="40"/>
  <c r="DU681" i="40"/>
  <c r="CC681" i="40"/>
  <c r="O681" i="40"/>
  <c r="CH681" i="40"/>
  <c r="DV681" i="40"/>
  <c r="K681" i="40"/>
  <c r="L681" i="40"/>
  <c r="P681" i="40"/>
  <c r="DW681" i="40"/>
  <c r="M681" i="40"/>
  <c r="Q681" i="40"/>
  <c r="N681" i="40"/>
  <c r="W681" i="40"/>
  <c r="X681" i="40"/>
  <c r="F681" i="40"/>
  <c r="G681" i="40"/>
  <c r="H681" i="40"/>
  <c r="I681" i="40"/>
  <c r="AA681" i="40"/>
  <c r="AC681" i="40"/>
  <c r="AE681" i="40"/>
  <c r="AG681" i="40"/>
  <c r="AF681" i="40"/>
  <c r="AH681" i="40"/>
  <c r="AI681" i="40"/>
  <c r="AJ681" i="40"/>
  <c r="A682" i="40"/>
  <c r="C683" i="40"/>
  <c r="KN682" i="40"/>
  <c r="AW682" i="40"/>
  <c r="BA682" i="40"/>
  <c r="BB682" i="40"/>
  <c r="AX682" i="40"/>
  <c r="AZ682" i="40"/>
  <c r="BX682" i="40"/>
  <c r="DM682" i="40"/>
  <c r="JO682" i="40"/>
  <c r="BC682" i="40"/>
  <c r="BD682" i="40"/>
  <c r="BI682" i="40"/>
  <c r="BE682" i="40"/>
  <c r="BF682" i="40"/>
  <c r="BJ682" i="40"/>
  <c r="BN682" i="40"/>
  <c r="BK682" i="40"/>
  <c r="BG682" i="40"/>
  <c r="BO682" i="40"/>
  <c r="BS682" i="40"/>
  <c r="BY682" i="40"/>
  <c r="BH682" i="40"/>
  <c r="BT682" i="40"/>
  <c r="BL682" i="40"/>
  <c r="BP682" i="40"/>
  <c r="CD682" i="40"/>
  <c r="BM682" i="40"/>
  <c r="BU682" i="40"/>
  <c r="BZ682" i="40"/>
  <c r="BQ682" i="40"/>
  <c r="DS682" i="40"/>
  <c r="BV682" i="40"/>
  <c r="BR682" i="40"/>
  <c r="CE682" i="40"/>
  <c r="CA682" i="40"/>
  <c r="CF682" i="40"/>
  <c r="DT682" i="40"/>
  <c r="BW682" i="40"/>
  <c r="CB682" i="40"/>
  <c r="CG682" i="40"/>
  <c r="CC682" i="40"/>
  <c r="J682" i="40"/>
  <c r="DU682" i="40"/>
  <c r="O682" i="40"/>
  <c r="K682" i="40"/>
  <c r="CH682" i="40"/>
  <c r="DV682" i="40"/>
  <c r="L682" i="40"/>
  <c r="P682" i="40"/>
  <c r="DW682" i="40"/>
  <c r="M682" i="40"/>
  <c r="Q682" i="40"/>
  <c r="N682" i="40"/>
  <c r="W682" i="40"/>
  <c r="X682" i="40"/>
  <c r="F682" i="40"/>
  <c r="G682" i="40"/>
  <c r="H682" i="40"/>
  <c r="I682" i="40"/>
  <c r="AA682" i="40"/>
  <c r="AC682" i="40"/>
  <c r="AE682" i="40"/>
  <c r="AF682" i="40"/>
  <c r="AG682" i="40"/>
  <c r="AI682" i="40"/>
  <c r="AH682" i="40"/>
  <c r="AJ682" i="40"/>
  <c r="A683" i="40"/>
  <c r="KN683" i="40"/>
  <c r="C684" i="40"/>
  <c r="AW683" i="40"/>
  <c r="BA683" i="40"/>
  <c r="BB683" i="40"/>
  <c r="AX683" i="40"/>
  <c r="AZ683" i="40"/>
  <c r="BX683" i="40"/>
  <c r="DM683" i="40"/>
  <c r="JO683" i="40"/>
  <c r="BC683" i="40"/>
  <c r="BD683" i="40"/>
  <c r="BI683" i="40"/>
  <c r="BE683" i="40"/>
  <c r="BJ683" i="40"/>
  <c r="BF683" i="40"/>
  <c r="BN683" i="40"/>
  <c r="BS683" i="40"/>
  <c r="BG683" i="40"/>
  <c r="BK683" i="40"/>
  <c r="BO683" i="40"/>
  <c r="BY683" i="40"/>
  <c r="BT683" i="40"/>
  <c r="BL683" i="40"/>
  <c r="BP683" i="40"/>
  <c r="BH683" i="40"/>
  <c r="BZ683" i="40"/>
  <c r="BU683" i="40"/>
  <c r="CD683" i="40"/>
  <c r="BQ683" i="40"/>
  <c r="BM683" i="40"/>
  <c r="CE683" i="40"/>
  <c r="DS683" i="40"/>
  <c r="BV683" i="40"/>
  <c r="CA683" i="40"/>
  <c r="BR683" i="40"/>
  <c r="CB683" i="40"/>
  <c r="CF683" i="40"/>
  <c r="BW683" i="40"/>
  <c r="DT683" i="40"/>
  <c r="DU683" i="40"/>
  <c r="CG683" i="40"/>
  <c r="J683" i="40"/>
  <c r="CC683" i="40"/>
  <c r="O683" i="40"/>
  <c r="K683" i="40"/>
  <c r="DV683" i="40"/>
  <c r="CH683" i="40"/>
  <c r="P683" i="40"/>
  <c r="DW683" i="40"/>
  <c r="L683" i="40"/>
  <c r="M683" i="40"/>
  <c r="Q683" i="40"/>
  <c r="N683" i="40"/>
  <c r="W683" i="40"/>
  <c r="X683" i="40"/>
  <c r="F683" i="40"/>
  <c r="G683" i="40"/>
  <c r="H683" i="40"/>
  <c r="I683" i="40"/>
  <c r="AA683" i="40"/>
  <c r="AC683" i="40"/>
  <c r="AE683" i="40"/>
  <c r="AF683" i="40"/>
  <c r="AG683" i="40"/>
  <c r="AH683" i="40"/>
  <c r="AI683" i="40"/>
  <c r="AJ683" i="40"/>
  <c r="KN684" i="40"/>
  <c r="C685" i="40"/>
  <c r="A684" i="40"/>
  <c r="AW684" i="40"/>
  <c r="BA684" i="40"/>
  <c r="BB684" i="40"/>
  <c r="AX684" i="40"/>
  <c r="AZ684" i="40"/>
  <c r="BX684" i="40"/>
  <c r="DM684" i="40"/>
  <c r="JO684" i="40"/>
  <c r="BC684" i="40"/>
  <c r="BD684" i="40"/>
  <c r="BI684" i="40"/>
  <c r="BE684" i="40"/>
  <c r="BF684" i="40"/>
  <c r="BN684" i="40"/>
  <c r="BJ684" i="40"/>
  <c r="BS684" i="40"/>
  <c r="BG684" i="40"/>
  <c r="BK684" i="40"/>
  <c r="BO684" i="40"/>
  <c r="BT684" i="40"/>
  <c r="BY684" i="40"/>
  <c r="BP684" i="40"/>
  <c r="BL684" i="40"/>
  <c r="BH684" i="40"/>
  <c r="CD684" i="40"/>
  <c r="BZ684" i="40"/>
  <c r="BQ684" i="40"/>
  <c r="BM684" i="40"/>
  <c r="BU684" i="40"/>
  <c r="DS684" i="40"/>
  <c r="BV684" i="40"/>
  <c r="CE684" i="40"/>
  <c r="BR684" i="40"/>
  <c r="CA684" i="40"/>
  <c r="BW684" i="40"/>
  <c r="CB684" i="40"/>
  <c r="DT684" i="40"/>
  <c r="CF684" i="40"/>
  <c r="DU684" i="40"/>
  <c r="CC684" i="40"/>
  <c r="J684" i="40"/>
  <c r="CG684" i="40"/>
  <c r="DV684" i="40"/>
  <c r="K684" i="40"/>
  <c r="CH684" i="40"/>
  <c r="O684" i="40"/>
  <c r="P684" i="40"/>
  <c r="DW684" i="40"/>
  <c r="L684" i="40"/>
  <c r="M684" i="40"/>
  <c r="N684" i="40"/>
  <c r="W684" i="40"/>
  <c r="X684" i="40"/>
  <c r="AA684" i="40"/>
  <c r="AG684" i="40"/>
  <c r="AF684" i="40"/>
  <c r="AI684" i="40"/>
  <c r="AH684" i="40"/>
  <c r="AJ684" i="40"/>
  <c r="KN685" i="40"/>
  <c r="A685" i="40"/>
  <c r="C686" i="40"/>
  <c r="AW685" i="40"/>
  <c r="BA685" i="40"/>
  <c r="BB685" i="40"/>
  <c r="AX685" i="40"/>
  <c r="AZ685" i="40"/>
  <c r="BX685" i="40"/>
  <c r="DM685" i="40"/>
  <c r="JO685" i="40"/>
  <c r="BC685" i="40"/>
  <c r="BD685" i="40"/>
  <c r="BI685" i="40"/>
  <c r="BE685" i="40"/>
  <c r="BN685" i="40"/>
  <c r="BF685" i="40"/>
  <c r="BJ685" i="40"/>
  <c r="BG685" i="40"/>
  <c r="BO685" i="40"/>
  <c r="BS685" i="40"/>
  <c r="BK685" i="40"/>
  <c r="BT685" i="40"/>
  <c r="BY685" i="40"/>
  <c r="BL685" i="40"/>
  <c r="BP685" i="40"/>
  <c r="BH685" i="40"/>
  <c r="BZ685" i="40"/>
  <c r="BQ685" i="40"/>
  <c r="CD685" i="40"/>
  <c r="BM685" i="40"/>
  <c r="BU685" i="40"/>
  <c r="BR685" i="40"/>
  <c r="CE685" i="40"/>
  <c r="BV685" i="40"/>
  <c r="DS685" i="40"/>
  <c r="CA685" i="40"/>
  <c r="CF685" i="40"/>
  <c r="BW685" i="40"/>
  <c r="CB685" i="40"/>
  <c r="DT685" i="40"/>
  <c r="CC685" i="40"/>
  <c r="CG685" i="40"/>
  <c r="J685" i="40"/>
  <c r="DU685" i="40"/>
  <c r="CH685" i="40"/>
  <c r="DV685" i="40"/>
  <c r="K685" i="40"/>
  <c r="O685" i="40"/>
  <c r="DW685" i="40"/>
  <c r="L685" i="40"/>
  <c r="P685" i="40"/>
  <c r="M685" i="40"/>
  <c r="N685" i="40"/>
  <c r="W685" i="40"/>
  <c r="AA685" i="40"/>
  <c r="AF685" i="40"/>
  <c r="AG685" i="40"/>
  <c r="AH685" i="40"/>
  <c r="AI685" i="40"/>
  <c r="AJ685" i="40"/>
  <c r="C687" i="40"/>
  <c r="A686" i="40"/>
  <c r="KN686" i="40"/>
  <c r="AW686" i="40"/>
  <c r="BA686" i="40"/>
  <c r="BB686" i="40"/>
  <c r="AX686" i="40"/>
  <c r="AZ686" i="40"/>
  <c r="BX686" i="40"/>
  <c r="DM686" i="40"/>
  <c r="JO686" i="40"/>
  <c r="BC686" i="40"/>
  <c r="BD686" i="40"/>
  <c r="BI686" i="40"/>
  <c r="BE686" i="40"/>
  <c r="BN686" i="40"/>
  <c r="BJ686" i="40"/>
  <c r="BF686" i="40"/>
  <c r="BO686" i="40"/>
  <c r="BS686" i="40"/>
  <c r="BG686" i="40"/>
  <c r="BK686" i="40"/>
  <c r="BP686" i="40"/>
  <c r="BT686" i="40"/>
  <c r="BL686" i="40"/>
  <c r="BY686" i="40"/>
  <c r="BH686" i="40"/>
  <c r="BM686" i="40"/>
  <c r="BU686" i="40"/>
  <c r="BZ686" i="40"/>
  <c r="CD686" i="40"/>
  <c r="BQ686" i="40"/>
  <c r="DS686" i="40"/>
  <c r="BV686" i="40"/>
  <c r="CA686" i="40"/>
  <c r="CE686" i="40"/>
  <c r="BR686" i="40"/>
  <c r="CB686" i="40"/>
  <c r="DT686" i="40"/>
  <c r="BW686" i="40"/>
  <c r="CF686" i="40"/>
  <c r="CG686" i="40"/>
  <c r="CC686" i="40"/>
  <c r="DU686" i="40"/>
  <c r="J686" i="40"/>
  <c r="DV686" i="40"/>
  <c r="CH686" i="40"/>
  <c r="O686" i="40"/>
  <c r="K686" i="40"/>
  <c r="P686" i="40"/>
  <c r="DW686" i="40"/>
  <c r="L686" i="40"/>
  <c r="M686" i="40"/>
  <c r="N686" i="40"/>
  <c r="W686" i="40"/>
  <c r="X686" i="40"/>
  <c r="AA686" i="40"/>
  <c r="AG686" i="40"/>
  <c r="AF686" i="40"/>
  <c r="AI686" i="40"/>
  <c r="AH686" i="40"/>
  <c r="AJ686" i="40"/>
  <c r="A687" i="40"/>
  <c r="KN687" i="40"/>
  <c r="C688" i="40"/>
  <c r="AW687" i="40"/>
  <c r="BA687" i="40"/>
  <c r="BB687" i="40"/>
  <c r="AX687" i="40"/>
  <c r="AZ687" i="40"/>
  <c r="BX687" i="40"/>
  <c r="DM687" i="40"/>
  <c r="JO687" i="40"/>
  <c r="BC687" i="40"/>
  <c r="BD687" i="40"/>
  <c r="BE687" i="40"/>
  <c r="BI687" i="40"/>
  <c r="BJ687" i="40"/>
  <c r="BN687" i="40"/>
  <c r="BF687" i="40"/>
  <c r="BG687" i="40"/>
  <c r="BO687" i="40"/>
  <c r="BS687" i="40"/>
  <c r="BK687" i="40"/>
  <c r="BT687" i="40"/>
  <c r="BL687" i="40"/>
  <c r="BY687" i="40"/>
  <c r="BP687" i="40"/>
  <c r="BH687" i="40"/>
  <c r="CD687" i="40"/>
  <c r="BM687" i="40"/>
  <c r="BZ687" i="40"/>
  <c r="BQ687" i="40"/>
  <c r="BU687" i="40"/>
  <c r="BR687" i="40"/>
  <c r="CE687" i="40"/>
  <c r="CA687" i="40"/>
  <c r="DS687" i="40"/>
  <c r="BV687" i="40"/>
  <c r="DT687" i="40"/>
  <c r="CF687" i="40"/>
  <c r="BW687" i="40"/>
  <c r="CB687" i="40"/>
  <c r="DU687" i="40"/>
  <c r="CG687" i="40"/>
  <c r="J687" i="40"/>
  <c r="CC687" i="40"/>
  <c r="CH687" i="40"/>
  <c r="DV687" i="40"/>
  <c r="K687" i="40"/>
  <c r="O687" i="40"/>
  <c r="DW687" i="40"/>
  <c r="P687" i="40"/>
  <c r="L687" i="40"/>
  <c r="M687" i="40"/>
  <c r="N687" i="40"/>
  <c r="W687" i="40"/>
  <c r="AA687" i="40"/>
  <c r="AG687" i="40"/>
  <c r="AF687" i="40"/>
  <c r="AI687" i="40"/>
  <c r="AH687" i="40"/>
  <c r="AJ687" i="40"/>
  <c r="KN688" i="40"/>
  <c r="C689" i="40"/>
  <c r="A688" i="40"/>
  <c r="AW688" i="40"/>
  <c r="BA688" i="40"/>
  <c r="BB688" i="40"/>
  <c r="AX688" i="40"/>
  <c r="AZ688" i="40"/>
  <c r="BX688" i="40"/>
  <c r="DM688" i="40"/>
  <c r="JO688" i="40"/>
  <c r="BC688" i="40"/>
  <c r="BD688" i="40"/>
  <c r="BE688" i="40"/>
  <c r="BI688" i="40"/>
  <c r="BF688" i="40"/>
  <c r="BN688" i="40"/>
  <c r="BJ688" i="40"/>
  <c r="BK688" i="40"/>
  <c r="BO688" i="40"/>
  <c r="BS688" i="40"/>
  <c r="BG688" i="40"/>
  <c r="BP688" i="40"/>
  <c r="BY688" i="40"/>
  <c r="BT688" i="40"/>
  <c r="BL688" i="40"/>
  <c r="BH688" i="40"/>
  <c r="CD688" i="40"/>
  <c r="BU688" i="40"/>
  <c r="BZ688" i="40"/>
  <c r="BM688" i="40"/>
  <c r="BQ688" i="40"/>
  <c r="DS688" i="40"/>
  <c r="BV688" i="40"/>
  <c r="CA688" i="40"/>
  <c r="BR688" i="40"/>
  <c r="CE688" i="40"/>
  <c r="CF688" i="40"/>
  <c r="DT688" i="40"/>
  <c r="BW688" i="40"/>
  <c r="CB688" i="40"/>
  <c r="CG688" i="40"/>
  <c r="CC688" i="40"/>
  <c r="J688" i="40"/>
  <c r="DU688" i="40"/>
  <c r="K688" i="40"/>
  <c r="DV688" i="40"/>
  <c r="O688" i="40"/>
  <c r="CH688" i="40"/>
  <c r="L688" i="40"/>
  <c r="DW688" i="40"/>
  <c r="P688" i="40"/>
  <c r="M688" i="40"/>
  <c r="N688" i="40"/>
  <c r="W688" i="40"/>
  <c r="X688" i="40"/>
  <c r="AA688" i="40"/>
  <c r="AF688" i="40"/>
  <c r="AG688" i="40"/>
  <c r="AI688" i="40"/>
  <c r="AH688" i="40"/>
  <c r="AJ688" i="40"/>
  <c r="KN689" i="40"/>
  <c r="A689" i="40"/>
  <c r="C690" i="40"/>
  <c r="AW689" i="40"/>
  <c r="BA689" i="40"/>
  <c r="BB689" i="40"/>
  <c r="AX689" i="40"/>
  <c r="AZ689" i="40"/>
  <c r="BX689" i="40"/>
  <c r="DM689" i="40"/>
  <c r="JO689" i="40"/>
  <c r="BC689" i="40"/>
  <c r="BD689" i="40"/>
  <c r="BE689" i="40"/>
  <c r="BI689" i="40"/>
  <c r="BN689" i="40"/>
  <c r="BJ689" i="40"/>
  <c r="BF689" i="40"/>
  <c r="BK689" i="40"/>
  <c r="BS689" i="40"/>
  <c r="BG689" i="40"/>
  <c r="BO689" i="40"/>
  <c r="BY689" i="40"/>
  <c r="BP689" i="40"/>
  <c r="BT689" i="40"/>
  <c r="BL689" i="40"/>
  <c r="BH689" i="40"/>
  <c r="CD689" i="40"/>
  <c r="BZ689" i="40"/>
  <c r="BM689" i="40"/>
  <c r="BQ689" i="40"/>
  <c r="BU689" i="40"/>
  <c r="DS689" i="40"/>
  <c r="BV689" i="40"/>
  <c r="CA689" i="40"/>
  <c r="BR689" i="40"/>
  <c r="CE689" i="40"/>
  <c r="CF689" i="40"/>
  <c r="BW689" i="40"/>
  <c r="DT689" i="40"/>
  <c r="CB689" i="40"/>
  <c r="J689" i="40"/>
  <c r="CG689" i="40"/>
  <c r="DU689" i="40"/>
  <c r="CC689" i="40"/>
  <c r="CH689" i="40"/>
  <c r="O689" i="40"/>
  <c r="K689" i="40"/>
  <c r="DV689" i="40"/>
  <c r="DW689" i="40"/>
  <c r="L689" i="40"/>
  <c r="P689" i="40"/>
  <c r="M689" i="40"/>
  <c r="N689" i="40"/>
  <c r="W689" i="40"/>
  <c r="AA689" i="40"/>
  <c r="AF689" i="40"/>
  <c r="AG689" i="40"/>
  <c r="AH689" i="40"/>
  <c r="AI689" i="40"/>
  <c r="AJ689" i="40"/>
  <c r="C691" i="40"/>
  <c r="A690" i="40"/>
  <c r="KN690" i="40"/>
  <c r="AW690" i="40"/>
  <c r="BA690" i="40"/>
  <c r="BB690" i="40"/>
  <c r="AX690" i="40"/>
  <c r="AZ690" i="40"/>
  <c r="BX690" i="40"/>
  <c r="DM690" i="40"/>
  <c r="JO690" i="40"/>
  <c r="BC690" i="40"/>
  <c r="BD690" i="40"/>
  <c r="BE690" i="40"/>
  <c r="BI690" i="40"/>
  <c r="BJ690" i="40"/>
  <c r="BF690" i="40"/>
  <c r="BN690" i="40"/>
  <c r="BG690" i="40"/>
  <c r="BK690" i="40"/>
  <c r="BS690" i="40"/>
  <c r="BO690" i="40"/>
  <c r="BP690" i="40"/>
  <c r="BT690" i="40"/>
  <c r="BL690" i="40"/>
  <c r="BY690" i="40"/>
  <c r="BH690" i="40"/>
  <c r="BU690" i="40"/>
  <c r="CD690" i="40"/>
  <c r="BZ690" i="40"/>
  <c r="BQ690" i="40"/>
  <c r="BM690" i="40"/>
  <c r="CE690" i="40"/>
  <c r="DS690" i="40"/>
  <c r="BR690" i="40"/>
  <c r="BV690" i="40"/>
  <c r="CA690" i="40"/>
  <c r="CF690" i="40"/>
  <c r="BW690" i="40"/>
  <c r="CB690" i="40"/>
  <c r="DT690" i="40"/>
  <c r="J690" i="40"/>
  <c r="DU690" i="40"/>
  <c r="CG690" i="40"/>
  <c r="CC690" i="40"/>
  <c r="O690" i="40"/>
  <c r="CH690" i="40"/>
  <c r="DV690" i="40"/>
  <c r="K690" i="40"/>
  <c r="P690" i="40"/>
  <c r="DW690" i="40"/>
  <c r="L690" i="40"/>
  <c r="M690" i="40"/>
  <c r="N690" i="40"/>
  <c r="W690" i="40"/>
  <c r="X690" i="40"/>
  <c r="AA690" i="40"/>
  <c r="AF690" i="40"/>
  <c r="AG690" i="40"/>
  <c r="AI690" i="40"/>
  <c r="AH690" i="40"/>
  <c r="AJ690" i="40"/>
  <c r="A691" i="40"/>
  <c r="KN691" i="40"/>
  <c r="C692" i="40"/>
  <c r="AW691" i="40"/>
  <c r="BA691" i="40"/>
  <c r="BB691" i="40"/>
  <c r="AX691" i="40"/>
  <c r="AZ691" i="40"/>
  <c r="BX691" i="40"/>
  <c r="DM691" i="40"/>
  <c r="JO691" i="40"/>
  <c r="BC691" i="40"/>
  <c r="BD691" i="40"/>
  <c r="BE691" i="40"/>
  <c r="BI691" i="40"/>
  <c r="BN691" i="40"/>
  <c r="BF691" i="40"/>
  <c r="BJ691" i="40"/>
  <c r="BO691" i="40"/>
  <c r="BG691" i="40"/>
  <c r="BK691" i="40"/>
  <c r="BS691" i="40"/>
  <c r="BP691" i="40"/>
  <c r="BT691" i="40"/>
  <c r="BL691" i="40"/>
  <c r="BY691" i="40"/>
  <c r="BH691" i="40"/>
  <c r="CD691" i="40"/>
  <c r="BQ691" i="40"/>
  <c r="BM691" i="40"/>
  <c r="BU691" i="40"/>
  <c r="BZ691" i="40"/>
  <c r="DS691" i="40"/>
  <c r="BR691" i="40"/>
  <c r="BV691" i="40"/>
  <c r="CA691" i="40"/>
  <c r="CE691" i="40"/>
  <c r="CF691" i="40"/>
  <c r="BW691" i="40"/>
  <c r="DT691" i="40"/>
  <c r="CB691" i="40"/>
  <c r="DU691" i="40"/>
  <c r="J691" i="40"/>
  <c r="CC691" i="40"/>
  <c r="CG691" i="40"/>
  <c r="K691" i="40"/>
  <c r="DV691" i="40"/>
  <c r="CH691" i="40"/>
  <c r="O691" i="40"/>
  <c r="DW691" i="40"/>
  <c r="L691" i="40"/>
  <c r="P691" i="40"/>
  <c r="M691" i="40"/>
  <c r="N691" i="40"/>
  <c r="W691" i="40"/>
  <c r="X691" i="40"/>
  <c r="AA691" i="40"/>
  <c r="AG691" i="40"/>
  <c r="AF691" i="40"/>
  <c r="AI691" i="40"/>
  <c r="AH691" i="40"/>
  <c r="AJ691" i="40"/>
  <c r="KN692" i="40"/>
  <c r="A692" i="40"/>
  <c r="C693" i="40"/>
  <c r="AW692" i="40"/>
  <c r="BA692" i="40"/>
  <c r="BB692" i="40"/>
  <c r="AX692" i="40"/>
  <c r="AZ692" i="40"/>
  <c r="BX692" i="40"/>
  <c r="DM692" i="40"/>
  <c r="JO692" i="40"/>
  <c r="BC692" i="40"/>
  <c r="BD692" i="40"/>
  <c r="BE692" i="40"/>
  <c r="BI692" i="40"/>
  <c r="BN692" i="40"/>
  <c r="BJ692" i="40"/>
  <c r="BF692" i="40"/>
  <c r="BS692" i="40"/>
  <c r="BG692" i="40"/>
  <c r="BK692" i="40"/>
  <c r="BO692" i="40"/>
  <c r="BY692" i="40"/>
  <c r="BH692" i="40"/>
  <c r="BP692" i="40"/>
  <c r="BT692" i="40"/>
  <c r="BL692" i="40"/>
  <c r="BZ692" i="40"/>
  <c r="CD692" i="40"/>
  <c r="BM692" i="40"/>
  <c r="BU692" i="40"/>
  <c r="BQ692" i="40"/>
  <c r="DS692" i="40"/>
  <c r="CE692" i="40"/>
  <c r="BR692" i="40"/>
  <c r="BV692" i="40"/>
  <c r="CA692" i="40"/>
  <c r="BW692" i="40"/>
  <c r="DT692" i="40"/>
  <c r="CF692" i="40"/>
  <c r="CB692" i="40"/>
  <c r="DU692" i="40"/>
  <c r="J692" i="40"/>
  <c r="CC692" i="40"/>
  <c r="CG692" i="40"/>
  <c r="DV692" i="40"/>
  <c r="O692" i="40"/>
  <c r="CH692" i="40"/>
  <c r="K692" i="40"/>
  <c r="DW692" i="40"/>
  <c r="L692" i="40"/>
  <c r="P692" i="40"/>
  <c r="M692" i="40"/>
  <c r="N692" i="40"/>
  <c r="W692" i="40"/>
  <c r="X692" i="40"/>
  <c r="AA692" i="40"/>
  <c r="AG692" i="40"/>
  <c r="AF692" i="40"/>
  <c r="AH692" i="40"/>
  <c r="AI692" i="40"/>
  <c r="AJ692" i="40"/>
  <c r="KN693" i="40"/>
  <c r="A693" i="40"/>
  <c r="C694" i="40"/>
  <c r="AW693" i="40"/>
  <c r="BA693" i="40"/>
  <c r="BB693" i="40"/>
  <c r="AX693" i="40"/>
  <c r="AZ693" i="40"/>
  <c r="BX693" i="40"/>
  <c r="DM693" i="40"/>
  <c r="JO693" i="40"/>
  <c r="BC693" i="40"/>
  <c r="BD693" i="40"/>
  <c r="BE693" i="40"/>
  <c r="BI693" i="40"/>
  <c r="BN693" i="40"/>
  <c r="BF693" i="40"/>
  <c r="BJ693" i="40"/>
  <c r="BO693" i="40"/>
  <c r="BG693" i="40"/>
  <c r="BK693" i="40"/>
  <c r="BS693" i="40"/>
  <c r="BP693" i="40"/>
  <c r="BT693" i="40"/>
  <c r="BL693" i="40"/>
  <c r="BY693" i="40"/>
  <c r="BH693" i="40"/>
  <c r="BQ693" i="40"/>
  <c r="BU693" i="40"/>
  <c r="BZ693" i="40"/>
  <c r="CD693" i="40"/>
  <c r="BM693" i="40"/>
  <c r="DS693" i="40"/>
  <c r="BV693" i="40"/>
  <c r="CA693" i="40"/>
  <c r="BR693" i="40"/>
  <c r="CE693" i="40"/>
  <c r="BW693" i="40"/>
  <c r="CB693" i="40"/>
  <c r="CF693" i="40"/>
  <c r="DT693" i="40"/>
  <c r="J693" i="40"/>
  <c r="CC693" i="40"/>
  <c r="DU693" i="40"/>
  <c r="CG693" i="40"/>
  <c r="DV693" i="40"/>
  <c r="K693" i="40"/>
  <c r="CH693" i="40"/>
  <c r="O693" i="40"/>
  <c r="DW693" i="40"/>
  <c r="L693" i="40"/>
  <c r="P693" i="40"/>
  <c r="M693" i="40"/>
  <c r="N693" i="40"/>
  <c r="W693" i="40"/>
  <c r="AA693" i="40"/>
  <c r="AG693" i="40"/>
  <c r="AF693" i="40"/>
  <c r="AI693" i="40"/>
  <c r="AH693" i="40"/>
  <c r="AJ693" i="40"/>
  <c r="C695" i="40"/>
  <c r="A694" i="40"/>
  <c r="KN694" i="40"/>
  <c r="AW694" i="40"/>
  <c r="BA694" i="40"/>
  <c r="BB694" i="40"/>
  <c r="AX694" i="40"/>
  <c r="AZ694" i="40"/>
  <c r="BX694" i="40"/>
  <c r="DM694" i="40"/>
  <c r="JO694" i="40"/>
  <c r="BC694" i="40"/>
  <c r="BD694" i="40"/>
  <c r="BE694" i="40"/>
  <c r="BI694" i="40"/>
  <c r="BJ694" i="40"/>
  <c r="BF694" i="40"/>
  <c r="BN694" i="40"/>
  <c r="BS694" i="40"/>
  <c r="BK694" i="40"/>
  <c r="BG694" i="40"/>
  <c r="BO694" i="40"/>
  <c r="BP694" i="40"/>
  <c r="BL694" i="40"/>
  <c r="BT694" i="40"/>
  <c r="BY694" i="40"/>
  <c r="BH694" i="40"/>
  <c r="BM694" i="40"/>
  <c r="BZ694" i="40"/>
  <c r="CD694" i="40"/>
  <c r="BQ694" i="40"/>
  <c r="BU694" i="40"/>
  <c r="BR694" i="40"/>
  <c r="DS694" i="40"/>
  <c r="CE694" i="40"/>
  <c r="BV694" i="40"/>
  <c r="CA694" i="40"/>
  <c r="CF694" i="40"/>
  <c r="CB694" i="40"/>
  <c r="DT694" i="40"/>
  <c r="BW694" i="40"/>
  <c r="J694" i="40"/>
  <c r="CG694" i="40"/>
  <c r="DU694" i="40"/>
  <c r="CC694" i="40"/>
  <c r="DV694" i="40"/>
  <c r="O694" i="40"/>
  <c r="CH694" i="40"/>
  <c r="K694" i="40"/>
  <c r="DW694" i="40"/>
  <c r="P694" i="40"/>
  <c r="L694" i="40"/>
  <c r="M694" i="40"/>
  <c r="N694" i="40"/>
  <c r="W694" i="40"/>
  <c r="AA694" i="40"/>
  <c r="AG694" i="40"/>
  <c r="AF694" i="40"/>
  <c r="AH694" i="40"/>
  <c r="AI694" i="40"/>
  <c r="AJ694" i="40"/>
  <c r="C696" i="40"/>
  <c r="KN695" i="40"/>
  <c r="A695" i="40"/>
  <c r="AW695" i="40"/>
  <c r="BA695" i="40"/>
  <c r="BB695" i="40"/>
  <c r="AX695" i="40"/>
  <c r="AZ695" i="40"/>
  <c r="BX695" i="40"/>
  <c r="DM695" i="40"/>
  <c r="JO695" i="40"/>
  <c r="BC695" i="40"/>
  <c r="BD695" i="40"/>
  <c r="BE695" i="40"/>
  <c r="BI695" i="40"/>
  <c r="BJ695" i="40"/>
  <c r="BN695" i="40"/>
  <c r="BF695" i="40"/>
  <c r="BS695" i="40"/>
  <c r="BG695" i="40"/>
  <c r="BK695" i="40"/>
  <c r="BO695" i="40"/>
  <c r="BP695" i="40"/>
  <c r="BY695" i="40"/>
  <c r="BT695" i="40"/>
  <c r="BL695" i="40"/>
  <c r="BH695" i="40"/>
  <c r="BM695" i="40"/>
  <c r="CD695" i="40"/>
  <c r="BZ695" i="40"/>
  <c r="BQ695" i="40"/>
  <c r="BU695" i="40"/>
  <c r="CA695" i="40"/>
  <c r="BR695" i="40"/>
  <c r="DS695" i="40"/>
  <c r="BV695" i="40"/>
  <c r="CE695" i="40"/>
  <c r="BW695" i="40"/>
  <c r="CF695" i="40"/>
  <c r="DT695" i="40"/>
  <c r="CB695" i="40"/>
  <c r="CG695" i="40"/>
  <c r="J695" i="40"/>
  <c r="DU695" i="40"/>
  <c r="CC695" i="40"/>
  <c r="DV695" i="40"/>
  <c r="K695" i="40"/>
  <c r="O695" i="40"/>
  <c r="CH695" i="40"/>
  <c r="L695" i="40"/>
  <c r="P695" i="40"/>
  <c r="DW695" i="40"/>
  <c r="M695" i="40"/>
  <c r="N695" i="40"/>
  <c r="W695" i="40"/>
  <c r="AA695" i="40"/>
  <c r="AG695" i="40"/>
  <c r="AF695" i="40"/>
  <c r="AI695" i="40"/>
  <c r="AH695" i="40"/>
  <c r="AJ695" i="40"/>
  <c r="KN696" i="40"/>
  <c r="C697" i="40"/>
  <c r="A696" i="40"/>
  <c r="AW696" i="40"/>
  <c r="BA696" i="40"/>
  <c r="BB696" i="40"/>
  <c r="AX696" i="40"/>
  <c r="AZ696" i="40"/>
  <c r="BX696" i="40"/>
  <c r="DM696" i="40"/>
  <c r="JO696" i="40"/>
  <c r="BC696" i="40"/>
  <c r="BD696" i="40"/>
  <c r="BI696" i="40"/>
  <c r="BE696" i="40"/>
  <c r="BN696" i="40"/>
  <c r="BF696" i="40"/>
  <c r="BJ696" i="40"/>
  <c r="BS696" i="40"/>
  <c r="BK696" i="40"/>
  <c r="BO696" i="40"/>
  <c r="BG696" i="40"/>
  <c r="BT696" i="40"/>
  <c r="BY696" i="40"/>
  <c r="BP696" i="40"/>
  <c r="BL696" i="40"/>
  <c r="BH696" i="40"/>
  <c r="CD696" i="40"/>
  <c r="BQ696" i="40"/>
  <c r="BM696" i="40"/>
  <c r="BZ696" i="40"/>
  <c r="BU696" i="40"/>
  <c r="BR696" i="40"/>
  <c r="BV696" i="40"/>
  <c r="CA696" i="40"/>
  <c r="DS696" i="40"/>
  <c r="CE696" i="40"/>
  <c r="BW696" i="40"/>
  <c r="CB696" i="40"/>
  <c r="DT696" i="40"/>
  <c r="CF696" i="40"/>
  <c r="DU696" i="40"/>
  <c r="CG696" i="40"/>
  <c r="CC696" i="40"/>
  <c r="J696" i="40"/>
  <c r="DV696" i="40"/>
  <c r="O696" i="40"/>
  <c r="K696" i="40"/>
  <c r="CH696" i="40"/>
  <c r="DW696" i="40"/>
  <c r="L696" i="40"/>
  <c r="P696" i="40"/>
  <c r="M696" i="40"/>
  <c r="N696" i="40"/>
  <c r="W696" i="40"/>
  <c r="X696" i="40"/>
  <c r="AA696" i="40"/>
  <c r="AF696" i="40"/>
  <c r="AG696" i="40"/>
  <c r="AI696" i="40"/>
  <c r="AH696" i="40"/>
  <c r="AJ696" i="40"/>
  <c r="KN697" i="40"/>
  <c r="C698" i="40"/>
  <c r="A697" i="40"/>
  <c r="AW697" i="40"/>
  <c r="BA697" i="40"/>
  <c r="BB697" i="40"/>
  <c r="AX697" i="40"/>
  <c r="AZ697" i="40"/>
  <c r="BX697" i="40"/>
  <c r="DM697" i="40"/>
  <c r="JO697" i="40"/>
  <c r="BC697" i="40"/>
  <c r="BD697" i="40"/>
  <c r="BE697" i="40"/>
  <c r="BI697" i="40"/>
  <c r="BJ697" i="40"/>
  <c r="BF697" i="40"/>
  <c r="BN697" i="40"/>
  <c r="BS697" i="40"/>
  <c r="BO697" i="40"/>
  <c r="BG697" i="40"/>
  <c r="BK697" i="40"/>
  <c r="BP697" i="40"/>
  <c r="BY697" i="40"/>
  <c r="BT697" i="40"/>
  <c r="BL697" i="40"/>
  <c r="BH697" i="40"/>
  <c r="BZ697" i="40"/>
  <c r="CD697" i="40"/>
  <c r="BQ697" i="40"/>
  <c r="BM697" i="40"/>
  <c r="BU697" i="40"/>
  <c r="BV697" i="40"/>
  <c r="BR697" i="40"/>
  <c r="CE697" i="40"/>
  <c r="DS697" i="40"/>
  <c r="CA697" i="40"/>
  <c r="BW697" i="40"/>
  <c r="CB697" i="40"/>
  <c r="CF697" i="40"/>
  <c r="DT697" i="40"/>
  <c r="CG697" i="40"/>
  <c r="J697" i="40"/>
  <c r="CC697" i="40"/>
  <c r="DU697" i="40"/>
  <c r="CH697" i="40"/>
  <c r="O697" i="40"/>
  <c r="DV697" i="40"/>
  <c r="K697" i="40"/>
  <c r="P697" i="40"/>
  <c r="L697" i="40"/>
  <c r="DW697" i="40"/>
  <c r="M697" i="40"/>
  <c r="N697" i="40"/>
  <c r="W697" i="40"/>
  <c r="AA697" i="40"/>
  <c r="AG697" i="40"/>
  <c r="AF697" i="40"/>
  <c r="AI697" i="40"/>
  <c r="AH697" i="40"/>
  <c r="AJ697" i="40"/>
  <c r="A698" i="40"/>
  <c r="C699" i="40"/>
  <c r="KN698" i="40"/>
  <c r="AW698" i="40"/>
  <c r="BA698" i="40"/>
  <c r="BB698" i="40"/>
  <c r="AX698" i="40"/>
  <c r="AZ698" i="40"/>
  <c r="BX698" i="40"/>
  <c r="DM698" i="40"/>
  <c r="JO698" i="40"/>
  <c r="BC698" i="40"/>
  <c r="BD698" i="40"/>
  <c r="BI698" i="40"/>
  <c r="BE698" i="40"/>
  <c r="BJ698" i="40"/>
  <c r="BF698" i="40"/>
  <c r="BN698" i="40"/>
  <c r="BS698" i="40"/>
  <c r="BG698" i="40"/>
  <c r="BK698" i="40"/>
  <c r="BO698" i="40"/>
  <c r="BP698" i="40"/>
  <c r="BL698" i="40"/>
  <c r="BT698" i="40"/>
  <c r="BY698" i="40"/>
  <c r="BH698" i="40"/>
  <c r="BQ698" i="40"/>
  <c r="BM698" i="40"/>
  <c r="CD698" i="40"/>
  <c r="BU698" i="40"/>
  <c r="BZ698" i="40"/>
  <c r="CA698" i="40"/>
  <c r="CE698" i="40"/>
  <c r="DS698" i="40"/>
  <c r="BR698" i="40"/>
  <c r="BV698" i="40"/>
  <c r="CB698" i="40"/>
  <c r="DT698" i="40"/>
  <c r="CF698" i="40"/>
  <c r="BW698" i="40"/>
  <c r="CG698" i="40"/>
  <c r="DU698" i="40"/>
  <c r="J698" i="40"/>
  <c r="CC698" i="40"/>
  <c r="O698" i="40"/>
  <c r="K698" i="40"/>
  <c r="DV698" i="40"/>
  <c r="CH698" i="40"/>
  <c r="P698" i="40"/>
  <c r="DW698" i="40"/>
  <c r="L698" i="40"/>
  <c r="M698" i="40"/>
  <c r="N698" i="40"/>
  <c r="W698" i="40"/>
  <c r="AA698" i="40"/>
  <c r="AG698" i="40"/>
  <c r="AF698" i="40"/>
  <c r="AI698" i="40"/>
  <c r="AH698" i="40"/>
  <c r="AJ698" i="40"/>
  <c r="C700" i="40"/>
  <c r="KN699" i="40"/>
  <c r="A699" i="40"/>
  <c r="AW699" i="40"/>
  <c r="BA699" i="40"/>
  <c r="BB699" i="40"/>
  <c r="AX699" i="40"/>
  <c r="AZ699" i="40"/>
  <c r="BX699" i="40"/>
  <c r="DM699" i="40"/>
  <c r="JO699" i="40"/>
  <c r="BC699" i="40"/>
  <c r="BD699" i="40"/>
  <c r="BI699" i="40"/>
  <c r="BE699" i="40"/>
  <c r="BN699" i="40"/>
  <c r="BF699" i="40"/>
  <c r="BJ699" i="40"/>
  <c r="BS699" i="40"/>
  <c r="BK699" i="40"/>
  <c r="BO699" i="40"/>
  <c r="BG699" i="40"/>
  <c r="BP699" i="40"/>
  <c r="BY699" i="40"/>
  <c r="BT699" i="40"/>
  <c r="BL699" i="40"/>
  <c r="BH699" i="40"/>
  <c r="BM699" i="40"/>
  <c r="BU699" i="40"/>
  <c r="CD699" i="40"/>
  <c r="BQ699" i="40"/>
  <c r="BZ699" i="40"/>
  <c r="CA699" i="40"/>
  <c r="DS699" i="40"/>
  <c r="BR699" i="40"/>
  <c r="BV699" i="40"/>
  <c r="CE699" i="40"/>
  <c r="CB699" i="40"/>
  <c r="BW699" i="40"/>
  <c r="DT699" i="40"/>
  <c r="CF699" i="40"/>
  <c r="J699" i="40"/>
  <c r="DU699" i="40"/>
  <c r="CG699" i="40"/>
  <c r="CC699" i="40"/>
  <c r="DV699" i="40"/>
  <c r="O699" i="40"/>
  <c r="CH699" i="40"/>
  <c r="K699" i="40"/>
  <c r="DW699" i="40"/>
  <c r="P699" i="40"/>
  <c r="L699" i="40"/>
  <c r="M699" i="40"/>
  <c r="N699" i="40"/>
  <c r="W699" i="40"/>
  <c r="X699" i="40"/>
  <c r="AA699" i="40"/>
  <c r="AF699" i="40"/>
  <c r="AG699" i="40"/>
  <c r="AI699" i="40"/>
  <c r="AH699" i="40"/>
  <c r="AJ699" i="40"/>
  <c r="KN700" i="40"/>
  <c r="A700" i="40"/>
  <c r="AW700" i="40"/>
  <c r="BA700" i="40"/>
  <c r="BB700" i="40"/>
  <c r="AX700" i="40"/>
  <c r="AZ700" i="40"/>
  <c r="BX700" i="40"/>
  <c r="DM700" i="40"/>
  <c r="JO700" i="40"/>
  <c r="BC700" i="40"/>
  <c r="BD700" i="40"/>
  <c r="BE700" i="40"/>
  <c r="BI700" i="40"/>
  <c r="BN700" i="40"/>
  <c r="BF700" i="40"/>
  <c r="BJ700" i="40"/>
  <c r="BG700" i="40"/>
  <c r="BS700" i="40"/>
  <c r="BK700" i="40"/>
  <c r="BO700" i="40"/>
  <c r="BP700" i="40"/>
  <c r="BT700" i="40"/>
  <c r="BL700" i="40"/>
  <c r="BY700" i="40"/>
  <c r="BH700" i="40"/>
  <c r="BQ700" i="40"/>
  <c r="BU700" i="40"/>
  <c r="BZ700" i="40"/>
  <c r="CD700" i="40"/>
  <c r="BM700" i="40"/>
  <c r="DS700" i="40"/>
  <c r="BR700" i="40"/>
  <c r="BV700" i="40"/>
  <c r="CA700" i="40"/>
  <c r="CE700" i="40"/>
  <c r="DT700" i="40"/>
  <c r="CF700" i="40"/>
  <c r="BW700" i="40"/>
  <c r="CB700" i="40"/>
  <c r="CC700" i="40"/>
  <c r="CG700" i="40"/>
  <c r="DU700" i="40"/>
  <c r="J700" i="40"/>
  <c r="DV700" i="40"/>
  <c r="O700" i="40"/>
  <c r="K700" i="40"/>
  <c r="CH700" i="40"/>
  <c r="L700" i="40"/>
  <c r="P700" i="40"/>
  <c r="DW700" i="40"/>
  <c r="M700" i="40"/>
  <c r="N700" i="40"/>
  <c r="Q700" i="40"/>
  <c r="W700" i="40"/>
  <c r="X700" i="40"/>
  <c r="F700" i="40"/>
  <c r="G700" i="40"/>
  <c r="H700" i="40"/>
  <c r="I700" i="40"/>
  <c r="AA700" i="40"/>
  <c r="AC700" i="40"/>
  <c r="AE700" i="40"/>
  <c r="AF700" i="40"/>
  <c r="AG700" i="40"/>
  <c r="AH700" i="40"/>
  <c r="AI700" i="40"/>
  <c r="AJ700" i="40"/>
  <c r="J48" i="68"/>
  <c r="JD694" i="40"/>
  <c r="JD698" i="40"/>
  <c r="JD690" i="40"/>
  <c r="JS690" i="40" s="1"/>
  <c r="JS698" i="40"/>
  <c r="JS694" i="40"/>
  <c r="CP17" i="52" l="1"/>
  <c r="K33" i="58"/>
  <c r="K61" i="58" s="1"/>
  <c r="AA519" i="40"/>
  <c r="R25" i="39"/>
  <c r="R77" i="39"/>
  <c r="AK26" i="52"/>
  <c r="AK17" i="52"/>
  <c r="H98" i="57"/>
  <c r="W18" i="52"/>
  <c r="W21" i="52"/>
  <c r="AP21" i="52" s="1"/>
  <c r="W51" i="52"/>
  <c r="Q112" i="75"/>
  <c r="J77" i="57"/>
  <c r="IA179" i="40"/>
  <c r="IA176" i="40"/>
  <c r="IA177" i="40"/>
  <c r="IA180" i="40"/>
  <c r="IA178" i="40"/>
  <c r="IA182" i="40"/>
  <c r="IA181" i="40"/>
  <c r="HY178" i="40"/>
  <c r="HY179" i="40"/>
  <c r="HY182" i="40"/>
  <c r="HY181" i="40"/>
  <c r="HY176" i="40"/>
  <c r="HY180" i="40"/>
  <c r="HY177" i="40"/>
  <c r="IZ276" i="40"/>
  <c r="IZ282" i="40"/>
  <c r="IZ280" i="40"/>
  <c r="IZ278" i="40"/>
  <c r="IZ283" i="40"/>
  <c r="IZ281" i="40"/>
  <c r="IZ279" i="40"/>
  <c r="IZ277" i="40"/>
  <c r="R21" i="39"/>
  <c r="IX283" i="40"/>
  <c r="IX282" i="40"/>
  <c r="IX281" i="40"/>
  <c r="IX280" i="40"/>
  <c r="IX279" i="40"/>
  <c r="IX278" i="40"/>
  <c r="IX277" i="40"/>
  <c r="IX276" i="40"/>
  <c r="IZ376" i="40"/>
  <c r="IZ382" i="40"/>
  <c r="IZ380" i="40"/>
  <c r="IZ378" i="40"/>
  <c r="IZ383" i="40"/>
  <c r="IZ381" i="40"/>
  <c r="IZ379" i="40"/>
  <c r="IZ377" i="40"/>
  <c r="IX383" i="40"/>
  <c r="IX382" i="40"/>
  <c r="IX381" i="40"/>
  <c r="IX380" i="40"/>
  <c r="IX379" i="40"/>
  <c r="IX378" i="40"/>
  <c r="IX377" i="40"/>
  <c r="IX376" i="40"/>
  <c r="IZ484" i="40"/>
  <c r="IZ485" i="40"/>
  <c r="IZ476" i="40"/>
  <c r="IZ487" i="40"/>
  <c r="IZ483" i="40"/>
  <c r="IZ482" i="40"/>
  <c r="IZ481" i="40"/>
  <c r="IZ480" i="40"/>
  <c r="IZ479" i="40"/>
  <c r="IZ478" i="40"/>
  <c r="IZ486" i="40"/>
  <c r="IZ477" i="40"/>
  <c r="IX477" i="40"/>
  <c r="IX486" i="40"/>
  <c r="IX484" i="40"/>
  <c r="IX485" i="40"/>
  <c r="IX487" i="40"/>
  <c r="IX480" i="40"/>
  <c r="IX476" i="40"/>
  <c r="IX481" i="40"/>
  <c r="IX479" i="40"/>
  <c r="IX482" i="40"/>
  <c r="IX478" i="40"/>
  <c r="IX483" i="40"/>
  <c r="IY584" i="40"/>
  <c r="IY585" i="40"/>
  <c r="IY587" i="40"/>
  <c r="IY583" i="40"/>
  <c r="IY582" i="40"/>
  <c r="IY581" i="40"/>
  <c r="IY580" i="40"/>
  <c r="IY579" i="40"/>
  <c r="IY578" i="40"/>
  <c r="IY577" i="40"/>
  <c r="IY586" i="40"/>
  <c r="IY576" i="40"/>
  <c r="Q47" i="52"/>
  <c r="HL46" i="52"/>
  <c r="IZ182" i="40"/>
  <c r="IZ176" i="40"/>
  <c r="IZ181" i="40"/>
  <c r="IZ177" i="40"/>
  <c r="IZ180" i="40"/>
  <c r="IZ178" i="40"/>
  <c r="IZ179" i="40"/>
  <c r="IX176" i="40"/>
  <c r="IX177" i="40"/>
  <c r="IX180" i="40"/>
  <c r="IX179" i="40"/>
  <c r="IX178" i="40"/>
  <c r="IX182" i="40"/>
  <c r="IX181" i="40"/>
  <c r="HZ283" i="40"/>
  <c r="HZ281" i="40"/>
  <c r="HZ279" i="40"/>
  <c r="HZ277" i="40"/>
  <c r="HZ276" i="40"/>
  <c r="HZ282" i="40"/>
  <c r="HZ280" i="40"/>
  <c r="HZ278" i="40"/>
  <c r="HR377" i="40"/>
  <c r="HQ380" i="40"/>
  <c r="HP379" i="40"/>
  <c r="HQ382" i="40"/>
  <c r="HP383" i="40"/>
  <c r="HR376" i="40"/>
  <c r="HR378" i="40"/>
  <c r="HR382" i="40"/>
  <c r="HQ383" i="40"/>
  <c r="HQ376" i="40"/>
  <c r="HR380" i="40"/>
  <c r="HP380" i="40"/>
  <c r="HQ381" i="40"/>
  <c r="HP382" i="40"/>
  <c r="HP377" i="40"/>
  <c r="HQ377" i="40"/>
  <c r="HQ378" i="40"/>
  <c r="HR383" i="40"/>
  <c r="HR381" i="40"/>
  <c r="HP381" i="40"/>
  <c r="HQ379" i="40"/>
  <c r="HR379" i="40"/>
  <c r="HP376" i="40"/>
  <c r="HP378" i="40"/>
  <c r="HZ383" i="40"/>
  <c r="HZ381" i="40"/>
  <c r="HZ379" i="40"/>
  <c r="HZ377" i="40"/>
  <c r="HZ376" i="40"/>
  <c r="HZ382" i="40"/>
  <c r="HZ380" i="40"/>
  <c r="HZ378" i="40"/>
  <c r="HQ485" i="40"/>
  <c r="HQ478" i="40"/>
  <c r="HP482" i="40"/>
  <c r="HR484" i="40"/>
  <c r="HP479" i="40"/>
  <c r="HQ483" i="40"/>
  <c r="HP487" i="40"/>
  <c r="HQ480" i="40"/>
  <c r="HP476" i="40"/>
  <c r="HR477" i="40"/>
  <c r="HQ481" i="40"/>
  <c r="HR487" i="40"/>
  <c r="HQ476" i="40"/>
  <c r="HQ487" i="40"/>
  <c r="HR481" i="40"/>
  <c r="HR482" i="40"/>
  <c r="HR483" i="40"/>
  <c r="HP483" i="40"/>
  <c r="HP485" i="40"/>
  <c r="HQ477" i="40"/>
  <c r="HP484" i="40"/>
  <c r="HP477" i="40"/>
  <c r="HP486" i="40"/>
  <c r="HP480" i="40"/>
  <c r="HR485" i="40"/>
  <c r="HP481" i="40"/>
  <c r="HR480" i="40"/>
  <c r="HP478" i="40"/>
  <c r="HQ479" i="40"/>
  <c r="HR486" i="40"/>
  <c r="HQ484" i="40"/>
  <c r="HR479" i="40"/>
  <c r="HQ486" i="40"/>
  <c r="HR476" i="40"/>
  <c r="HR478" i="40"/>
  <c r="HQ482" i="40"/>
  <c r="HZ485" i="40"/>
  <c r="HZ486" i="40"/>
  <c r="HZ483" i="40"/>
  <c r="HZ482" i="40"/>
  <c r="HZ481" i="40"/>
  <c r="HZ480" i="40"/>
  <c r="HZ479" i="40"/>
  <c r="HZ478" i="40"/>
  <c r="HZ484" i="40"/>
  <c r="HZ487" i="40"/>
  <c r="HZ477" i="40"/>
  <c r="HZ476" i="40"/>
  <c r="IA584" i="40"/>
  <c r="IA585" i="40"/>
  <c r="IA586" i="40"/>
  <c r="IA587" i="40"/>
  <c r="IA576" i="40"/>
  <c r="IA583" i="40"/>
  <c r="IA581" i="40"/>
  <c r="IA579" i="40"/>
  <c r="IA577" i="40"/>
  <c r="IA582" i="40"/>
  <c r="IA580" i="40"/>
  <c r="IA578" i="40"/>
  <c r="HY583" i="40"/>
  <c r="HY582" i="40"/>
  <c r="HY581" i="40"/>
  <c r="HY580" i="40"/>
  <c r="HY579" i="40"/>
  <c r="HY578" i="40"/>
  <c r="HY577" i="40"/>
  <c r="HY584" i="40"/>
  <c r="HY585" i="40"/>
  <c r="HY586" i="40"/>
  <c r="HY587" i="40"/>
  <c r="HY576" i="40"/>
  <c r="HZ177" i="40"/>
  <c r="HZ178" i="40"/>
  <c r="HZ179" i="40"/>
  <c r="HZ182" i="40"/>
  <c r="HZ181" i="40"/>
  <c r="HZ176" i="40"/>
  <c r="HZ180" i="40"/>
  <c r="HQ279" i="40"/>
  <c r="HR278" i="40"/>
  <c r="HP281" i="40"/>
  <c r="HR280" i="40"/>
  <c r="HQ276" i="40"/>
  <c r="HP283" i="40"/>
  <c r="HR282" i="40"/>
  <c r="HP277" i="40"/>
  <c r="HR276" i="40"/>
  <c r="HQ282" i="40"/>
  <c r="HP278" i="40"/>
  <c r="HR281" i="40"/>
  <c r="HP280" i="40"/>
  <c r="HQ277" i="40"/>
  <c r="HQ280" i="40"/>
  <c r="HQ281" i="40"/>
  <c r="HQ278" i="40"/>
  <c r="HP276" i="40"/>
  <c r="HP279" i="40"/>
  <c r="HQ283" i="40"/>
  <c r="HP282" i="40"/>
  <c r="HR283" i="40"/>
  <c r="HR277" i="40"/>
  <c r="HR279" i="40"/>
  <c r="IY283" i="40"/>
  <c r="IY281" i="40"/>
  <c r="IY279" i="40"/>
  <c r="IY277" i="40"/>
  <c r="IY282" i="40"/>
  <c r="IY280" i="40"/>
  <c r="IY278" i="40"/>
  <c r="IY276" i="40"/>
  <c r="IY383" i="40"/>
  <c r="IY381" i="40"/>
  <c r="IY379" i="40"/>
  <c r="IY377" i="40"/>
  <c r="IY382" i="40"/>
  <c r="IY380" i="40"/>
  <c r="IY378" i="40"/>
  <c r="IY376" i="40"/>
  <c r="IY487" i="40"/>
  <c r="IY486" i="40"/>
  <c r="IY483" i="40"/>
  <c r="IY482" i="40"/>
  <c r="IY481" i="40"/>
  <c r="IY480" i="40"/>
  <c r="IY485" i="40"/>
  <c r="IY479" i="40"/>
  <c r="IY477" i="40"/>
  <c r="IY484" i="40"/>
  <c r="IY478" i="40"/>
  <c r="IY476" i="40"/>
  <c r="IZ583" i="40"/>
  <c r="IZ582" i="40"/>
  <c r="IZ581" i="40"/>
  <c r="IZ580" i="40"/>
  <c r="IZ579" i="40"/>
  <c r="IZ578" i="40"/>
  <c r="IZ577" i="40"/>
  <c r="IZ584" i="40"/>
  <c r="IZ585" i="40"/>
  <c r="IZ587" i="40"/>
  <c r="IZ576" i="40"/>
  <c r="IZ586" i="40"/>
  <c r="IX584" i="40"/>
  <c r="IX585" i="40"/>
  <c r="IX587" i="40"/>
  <c r="IX576" i="40"/>
  <c r="IX586" i="40"/>
  <c r="IX583" i="40"/>
  <c r="IX582" i="40"/>
  <c r="IX581" i="40"/>
  <c r="IX580" i="40"/>
  <c r="IX579" i="40"/>
  <c r="IX578" i="40"/>
  <c r="IX577" i="40"/>
  <c r="HP180" i="40"/>
  <c r="HR181" i="40"/>
  <c r="HQ176" i="40"/>
  <c r="HP182" i="40"/>
  <c r="HP179" i="40"/>
  <c r="HP178" i="40"/>
  <c r="HQ177" i="40"/>
  <c r="HQ178" i="40"/>
  <c r="HR182" i="40"/>
  <c r="HP181" i="40"/>
  <c r="HQ179" i="40"/>
  <c r="HR176" i="40"/>
  <c r="HQ182" i="40"/>
  <c r="HP177" i="40"/>
  <c r="HR180" i="40"/>
  <c r="HQ180" i="40"/>
  <c r="HR178" i="40"/>
  <c r="HQ181" i="40"/>
  <c r="HR179" i="40"/>
  <c r="HP176" i="40"/>
  <c r="HR177" i="40"/>
  <c r="IY176" i="40"/>
  <c r="IY178" i="40"/>
  <c r="IY181" i="40"/>
  <c r="IY177" i="40"/>
  <c r="IY180" i="40"/>
  <c r="IY179" i="40"/>
  <c r="IY182" i="40"/>
  <c r="HL20" i="52"/>
  <c r="IA283" i="40"/>
  <c r="IA282" i="40"/>
  <c r="IA281" i="40"/>
  <c r="IA280" i="40"/>
  <c r="IA279" i="40"/>
  <c r="IA278" i="40"/>
  <c r="IA277" i="40"/>
  <c r="IA276" i="40"/>
  <c r="HY276" i="40"/>
  <c r="HY283" i="40"/>
  <c r="HY281" i="40"/>
  <c r="HY279" i="40"/>
  <c r="HY277" i="40"/>
  <c r="HY282" i="40"/>
  <c r="HY280" i="40"/>
  <c r="HY278" i="40"/>
  <c r="IA383" i="40"/>
  <c r="IA382" i="40"/>
  <c r="IA381" i="40"/>
  <c r="IA380" i="40"/>
  <c r="IA379" i="40"/>
  <c r="IA378" i="40"/>
  <c r="IA377" i="40"/>
  <c r="IA376" i="40"/>
  <c r="HY376" i="40"/>
  <c r="HY383" i="40"/>
  <c r="HY381" i="40"/>
  <c r="HY379" i="40"/>
  <c r="HY377" i="40"/>
  <c r="HY382" i="40"/>
  <c r="HY380" i="40"/>
  <c r="HY378" i="40"/>
  <c r="IA477" i="40"/>
  <c r="IA485" i="40"/>
  <c r="IA486" i="40"/>
  <c r="IA686" i="40" s="1"/>
  <c r="HO686" i="40" s="1"/>
  <c r="IA484" i="40"/>
  <c r="IA487" i="40"/>
  <c r="IA480" i="40"/>
  <c r="IA476" i="40"/>
  <c r="IA481" i="40"/>
  <c r="IA479" i="40"/>
  <c r="IA482" i="40"/>
  <c r="IA478" i="40"/>
  <c r="IA483" i="40"/>
  <c r="HY484" i="40"/>
  <c r="HY476" i="40"/>
  <c r="HY487" i="40"/>
  <c r="HY687" i="40" s="1"/>
  <c r="HM687" i="40" s="1"/>
  <c r="HY483" i="40"/>
  <c r="HY482" i="40"/>
  <c r="HY481" i="40"/>
  <c r="HY480" i="40"/>
  <c r="HY479" i="40"/>
  <c r="HY478" i="40"/>
  <c r="HY485" i="40"/>
  <c r="HY477" i="40"/>
  <c r="HY486" i="40"/>
  <c r="HR584" i="40"/>
  <c r="HP587" i="40"/>
  <c r="HR586" i="40"/>
  <c r="HP586" i="40"/>
  <c r="HQ587" i="40"/>
  <c r="HR587" i="40"/>
  <c r="HP585" i="40"/>
  <c r="HQ584" i="40"/>
  <c r="HP584" i="40"/>
  <c r="HQ585" i="40"/>
  <c r="HQ586" i="40"/>
  <c r="HR585" i="40"/>
  <c r="HZ583" i="40"/>
  <c r="HZ582" i="40"/>
  <c r="HZ581" i="40"/>
  <c r="HZ580" i="40"/>
  <c r="HZ579" i="40"/>
  <c r="HZ578" i="40"/>
  <c r="HZ577" i="40"/>
  <c r="HZ576" i="40"/>
  <c r="HZ586" i="40"/>
  <c r="HZ584" i="40"/>
  <c r="HZ585" i="40"/>
  <c r="HZ587" i="40"/>
  <c r="Q48" i="52"/>
  <c r="HL55" i="52"/>
  <c r="Z587" i="40"/>
  <c r="Z585" i="40"/>
  <c r="Z583" i="40"/>
  <c r="Z579" i="40"/>
  <c r="Z577" i="40"/>
  <c r="Z573" i="40"/>
  <c r="Z569" i="40"/>
  <c r="Z565" i="40"/>
  <c r="Z561" i="40"/>
  <c r="Z582" i="40"/>
  <c r="Z578" i="40"/>
  <c r="Z574" i="40"/>
  <c r="Z570" i="40"/>
  <c r="Z566" i="40"/>
  <c r="Z562" i="40"/>
  <c r="Z558" i="40"/>
  <c r="Z581" i="40"/>
  <c r="Z576" i="40"/>
  <c r="Z572" i="40"/>
  <c r="Z568" i="40"/>
  <c r="Z564" i="40"/>
  <c r="Z560" i="40"/>
  <c r="Z554" i="40"/>
  <c r="Z550" i="40"/>
  <c r="Z546" i="40"/>
  <c r="Z580" i="40"/>
  <c r="Z555" i="40"/>
  <c r="Z551" i="40"/>
  <c r="Z547" i="40"/>
  <c r="Z543" i="40"/>
  <c r="Z584" i="40"/>
  <c r="Z556" i="40"/>
  <c r="Z552" i="40"/>
  <c r="Z548" i="40"/>
  <c r="Z544" i="40"/>
  <c r="Z540" i="40"/>
  <c r="Z536" i="40"/>
  <c r="Z538" i="40"/>
  <c r="Z532" i="40"/>
  <c r="Z528" i="40"/>
  <c r="Z525" i="40"/>
  <c r="Z522" i="40"/>
  <c r="Z571" i="40"/>
  <c r="Z563" i="40"/>
  <c r="Z557" i="40"/>
  <c r="Z549" i="40"/>
  <c r="Z541" i="40"/>
  <c r="Z537" i="40"/>
  <c r="Z533" i="40"/>
  <c r="Z529" i="40"/>
  <c r="Z523" i="40"/>
  <c r="Z586" i="40"/>
  <c r="Z542" i="40"/>
  <c r="Z534" i="40"/>
  <c r="Z530" i="40"/>
  <c r="Z526" i="40"/>
  <c r="Z524" i="40"/>
  <c r="Z521" i="40"/>
  <c r="Z545" i="40"/>
  <c r="Z531" i="40"/>
  <c r="Z553" i="40"/>
  <c r="Z567" i="40"/>
  <c r="Z535" i="40"/>
  <c r="Z559" i="40"/>
  <c r="Z527" i="40"/>
  <c r="Z575" i="40"/>
  <c r="Z539" i="40"/>
  <c r="O106" i="57"/>
  <c r="Z488" i="40"/>
  <c r="Z480" i="40"/>
  <c r="Z476" i="40"/>
  <c r="Z487" i="40"/>
  <c r="Z485" i="40"/>
  <c r="Z482" i="40"/>
  <c r="Z478" i="40"/>
  <c r="Z486" i="40"/>
  <c r="Z484" i="40"/>
  <c r="Z481" i="40"/>
  <c r="Z474" i="40"/>
  <c r="Z470" i="40"/>
  <c r="Z466" i="40"/>
  <c r="Z462" i="40"/>
  <c r="Z458" i="40"/>
  <c r="Z454" i="40"/>
  <c r="Z450" i="40"/>
  <c r="Z446" i="40"/>
  <c r="Z442" i="40"/>
  <c r="Z438" i="40"/>
  <c r="Z434" i="40"/>
  <c r="Z430" i="40"/>
  <c r="Z426" i="40"/>
  <c r="Z424" i="40"/>
  <c r="Z421" i="40"/>
  <c r="Z475" i="40"/>
  <c r="Z471" i="40"/>
  <c r="Z467" i="40"/>
  <c r="Z463" i="40"/>
  <c r="Z459" i="40"/>
  <c r="Z455" i="40"/>
  <c r="Z451" i="40"/>
  <c r="Z447" i="40"/>
  <c r="Z443" i="40"/>
  <c r="Z439" i="40"/>
  <c r="Z435" i="40"/>
  <c r="Z431" i="40"/>
  <c r="Z427" i="40"/>
  <c r="Z477" i="40"/>
  <c r="Z472" i="40"/>
  <c r="Z468" i="40"/>
  <c r="Z464" i="40"/>
  <c r="Z460" i="40"/>
  <c r="Z456" i="40"/>
  <c r="Z452" i="40"/>
  <c r="Z448" i="40"/>
  <c r="Z444" i="40"/>
  <c r="Z440" i="40"/>
  <c r="Z436" i="40"/>
  <c r="Z432" i="40"/>
  <c r="Z428" i="40"/>
  <c r="Z425" i="40"/>
  <c r="Z423" i="40"/>
  <c r="Z483" i="40"/>
  <c r="Z479" i="40"/>
  <c r="Z473" i="40"/>
  <c r="Z469" i="40"/>
  <c r="Z465" i="40"/>
  <c r="Z461" i="40"/>
  <c r="Z457" i="40"/>
  <c r="Z453" i="40"/>
  <c r="Z449" i="40"/>
  <c r="Z445" i="40"/>
  <c r="Z441" i="40"/>
  <c r="Z437" i="40"/>
  <c r="Z433" i="40"/>
  <c r="Z429" i="40"/>
  <c r="Z422" i="40"/>
  <c r="X596" i="40"/>
  <c r="X592" i="40"/>
  <c r="X588" i="40"/>
  <c r="X580" i="40"/>
  <c r="X576" i="40"/>
  <c r="X572" i="40"/>
  <c r="X568" i="40"/>
  <c r="X564" i="40"/>
  <c r="X560" i="40"/>
  <c r="X597" i="40"/>
  <c r="X593" i="40"/>
  <c r="X589" i="40"/>
  <c r="X587" i="40"/>
  <c r="X585" i="40"/>
  <c r="X583" i="40"/>
  <c r="X579" i="40"/>
  <c r="X577" i="40"/>
  <c r="X573" i="40"/>
  <c r="X569" i="40"/>
  <c r="X565" i="40"/>
  <c r="X561" i="40"/>
  <c r="X598" i="40"/>
  <c r="X594" i="40"/>
  <c r="X590" i="40"/>
  <c r="X586" i="40"/>
  <c r="X575" i="40"/>
  <c r="X571" i="40"/>
  <c r="X567" i="40"/>
  <c r="X563" i="40"/>
  <c r="X559" i="40"/>
  <c r="X557" i="40"/>
  <c r="X553" i="40"/>
  <c r="X549" i="40"/>
  <c r="X545" i="40"/>
  <c r="X581" i="40"/>
  <c r="X554" i="40"/>
  <c r="X550" i="40"/>
  <c r="X546" i="40"/>
  <c r="X542" i="40"/>
  <c r="X595" i="40"/>
  <c r="X591" i="40"/>
  <c r="X582" i="40"/>
  <c r="X578" i="40"/>
  <c r="X574" i="40"/>
  <c r="X570" i="40"/>
  <c r="X566" i="40"/>
  <c r="X562" i="40"/>
  <c r="X558" i="40"/>
  <c r="X555" i="40"/>
  <c r="X551" i="40"/>
  <c r="X547" i="40"/>
  <c r="X543" i="40"/>
  <c r="X539" i="40"/>
  <c r="X552" i="40"/>
  <c r="X544" i="40"/>
  <c r="X540" i="40"/>
  <c r="X535" i="40"/>
  <c r="X531" i="40"/>
  <c r="X527" i="40"/>
  <c r="X538" i="40"/>
  <c r="X532" i="40"/>
  <c r="X528" i="40"/>
  <c r="X525" i="40"/>
  <c r="X522" i="40"/>
  <c r="X556" i="40"/>
  <c r="X548" i="40"/>
  <c r="X541" i="40"/>
  <c r="X537" i="40"/>
  <c r="X536" i="40"/>
  <c r="X533" i="40"/>
  <c r="X529" i="40"/>
  <c r="X523" i="40"/>
  <c r="X584" i="40"/>
  <c r="X534" i="40"/>
  <c r="X526" i="40"/>
  <c r="X524" i="40"/>
  <c r="X599" i="40"/>
  <c r="X530" i="40"/>
  <c r="X521" i="40"/>
  <c r="K94" i="57"/>
  <c r="W299" i="40"/>
  <c r="W295" i="40"/>
  <c r="W291" i="40"/>
  <c r="W286" i="40"/>
  <c r="W284" i="40"/>
  <c r="W281" i="40"/>
  <c r="W300" i="40"/>
  <c r="W296" i="40"/>
  <c r="W292" i="40"/>
  <c r="W288" i="40"/>
  <c r="W297" i="40"/>
  <c r="W293" i="40"/>
  <c r="W289" i="40"/>
  <c r="W287" i="40"/>
  <c r="W285" i="40"/>
  <c r="W283" i="40"/>
  <c r="W298" i="40"/>
  <c r="W294" i="40"/>
  <c r="W290" i="40"/>
  <c r="W282" i="40"/>
  <c r="W278" i="40"/>
  <c r="W274" i="40"/>
  <c r="W270" i="40"/>
  <c r="W266" i="40"/>
  <c r="W262" i="40"/>
  <c r="W258" i="40"/>
  <c r="W254" i="40"/>
  <c r="W250" i="40"/>
  <c r="W246" i="40"/>
  <c r="W242" i="40"/>
  <c r="W238" i="40"/>
  <c r="W234" i="40"/>
  <c r="W230" i="40"/>
  <c r="W226" i="40"/>
  <c r="W224" i="40"/>
  <c r="W221" i="40"/>
  <c r="W280" i="40"/>
  <c r="W275" i="40"/>
  <c r="W271" i="40"/>
  <c r="W267" i="40"/>
  <c r="W263" i="40"/>
  <c r="W259" i="40"/>
  <c r="W255" i="40"/>
  <c r="W251" i="40"/>
  <c r="W247" i="40"/>
  <c r="W243" i="40"/>
  <c r="W239" i="40"/>
  <c r="W235" i="40"/>
  <c r="W231" i="40"/>
  <c r="W227" i="40"/>
  <c r="W276" i="40"/>
  <c r="W272" i="40"/>
  <c r="W268" i="40"/>
  <c r="W264" i="40"/>
  <c r="W260" i="40"/>
  <c r="W256" i="40"/>
  <c r="W252" i="40"/>
  <c r="W248" i="40"/>
  <c r="W244" i="40"/>
  <c r="W240" i="40"/>
  <c r="W236" i="40"/>
  <c r="W232" i="40"/>
  <c r="W228" i="40"/>
  <c r="W225" i="40"/>
  <c r="W222" i="40"/>
  <c r="W279" i="40"/>
  <c r="W277" i="40"/>
  <c r="W273" i="40"/>
  <c r="W269" i="40"/>
  <c r="W265" i="40"/>
  <c r="W261" i="40"/>
  <c r="W257" i="40"/>
  <c r="W253" i="40"/>
  <c r="W249" i="40"/>
  <c r="W245" i="40"/>
  <c r="W241" i="40"/>
  <c r="W237" i="40"/>
  <c r="W233" i="40"/>
  <c r="W229" i="40"/>
  <c r="W223" i="40"/>
  <c r="V176" i="40"/>
  <c r="V172" i="40"/>
  <c r="V168" i="40"/>
  <c r="V164" i="40"/>
  <c r="V160" i="40"/>
  <c r="V156" i="40"/>
  <c r="V152" i="40"/>
  <c r="V148" i="40"/>
  <c r="V144" i="40"/>
  <c r="V140" i="40"/>
  <c r="V136" i="40"/>
  <c r="V132" i="40"/>
  <c r="V128" i="40"/>
  <c r="V129" i="40"/>
  <c r="V123" i="40"/>
  <c r="V134" i="40"/>
  <c r="V175" i="40"/>
  <c r="V171" i="40"/>
  <c r="V167" i="40"/>
  <c r="V159" i="40"/>
  <c r="V151" i="40"/>
  <c r="V139" i="40"/>
  <c r="V177" i="40"/>
  <c r="V173" i="40"/>
  <c r="V169" i="40"/>
  <c r="V165" i="40"/>
  <c r="V161" i="40"/>
  <c r="V157" i="40"/>
  <c r="V153" i="40"/>
  <c r="V149" i="40"/>
  <c r="V145" i="40"/>
  <c r="V141" i="40"/>
  <c r="V137" i="40"/>
  <c r="V133" i="40"/>
  <c r="V142" i="40"/>
  <c r="V130" i="40"/>
  <c r="V124" i="40"/>
  <c r="V163" i="40"/>
  <c r="V131" i="40"/>
  <c r="V178" i="40"/>
  <c r="V174" i="40"/>
  <c r="V170" i="40"/>
  <c r="V166" i="40"/>
  <c r="V162" i="40"/>
  <c r="V158" i="40"/>
  <c r="V154" i="40"/>
  <c r="V150" i="40"/>
  <c r="V146" i="40"/>
  <c r="V138" i="40"/>
  <c r="V155" i="40"/>
  <c r="V135" i="40"/>
  <c r="V147" i="40"/>
  <c r="V143" i="40"/>
  <c r="V127" i="40"/>
  <c r="O92" i="57"/>
  <c r="U488" i="40"/>
  <c r="U478" i="40"/>
  <c r="U474" i="40"/>
  <c r="U470" i="40"/>
  <c r="U466" i="40"/>
  <c r="U462" i="40"/>
  <c r="U458" i="40"/>
  <c r="U454" i="40"/>
  <c r="U450" i="40"/>
  <c r="U446" i="40"/>
  <c r="U442" i="40"/>
  <c r="U438" i="40"/>
  <c r="U434" i="40"/>
  <c r="U430" i="40"/>
  <c r="U424" i="40"/>
  <c r="U421" i="40"/>
  <c r="U477" i="40"/>
  <c r="U475" i="40"/>
  <c r="U471" i="40"/>
  <c r="U467" i="40"/>
  <c r="U463" i="40"/>
  <c r="U459" i="40"/>
  <c r="U455" i="40"/>
  <c r="U451" i="40"/>
  <c r="U447" i="40"/>
  <c r="U443" i="40"/>
  <c r="U439" i="40"/>
  <c r="U435" i="40"/>
  <c r="U431" i="40"/>
  <c r="U427" i="40"/>
  <c r="U476" i="40"/>
  <c r="U472" i="40"/>
  <c r="U468" i="40"/>
  <c r="U464" i="40"/>
  <c r="U460" i="40"/>
  <c r="U456" i="40"/>
  <c r="U452" i="40"/>
  <c r="U448" i="40"/>
  <c r="U444" i="40"/>
  <c r="U440" i="40"/>
  <c r="U436" i="40"/>
  <c r="U432" i="40"/>
  <c r="U428" i="40"/>
  <c r="U473" i="40"/>
  <c r="U469" i="40"/>
  <c r="U465" i="40"/>
  <c r="U461" i="40"/>
  <c r="U457" i="40"/>
  <c r="U453" i="40"/>
  <c r="U449" i="40"/>
  <c r="U445" i="40"/>
  <c r="U441" i="40"/>
  <c r="U437" i="40"/>
  <c r="U433" i="40"/>
  <c r="U429" i="40"/>
  <c r="U423" i="40"/>
  <c r="U422" i="40"/>
  <c r="U104" i="75"/>
  <c r="U276" i="40"/>
  <c r="U272" i="40"/>
  <c r="U268" i="40"/>
  <c r="U264" i="40"/>
  <c r="U260" i="40"/>
  <c r="U256" i="40"/>
  <c r="U252" i="40"/>
  <c r="U248" i="40"/>
  <c r="U244" i="40"/>
  <c r="U240" i="40"/>
  <c r="U236" i="40"/>
  <c r="U232" i="40"/>
  <c r="U228" i="40"/>
  <c r="U277" i="40"/>
  <c r="U273" i="40"/>
  <c r="U269" i="40"/>
  <c r="U265" i="40"/>
  <c r="U261" i="40"/>
  <c r="U257" i="40"/>
  <c r="U253" i="40"/>
  <c r="U249" i="40"/>
  <c r="U245" i="40"/>
  <c r="U241" i="40"/>
  <c r="U237" i="40"/>
  <c r="U233" i="40"/>
  <c r="U229" i="40"/>
  <c r="U223" i="40"/>
  <c r="U278" i="40"/>
  <c r="U274" i="40"/>
  <c r="U270" i="40"/>
  <c r="U266" i="40"/>
  <c r="U262" i="40"/>
  <c r="U258" i="40"/>
  <c r="U254" i="40"/>
  <c r="U250" i="40"/>
  <c r="U246" i="40"/>
  <c r="U242" i="40"/>
  <c r="U238" i="40"/>
  <c r="U234" i="40"/>
  <c r="U230" i="40"/>
  <c r="U224" i="40"/>
  <c r="U221" i="40"/>
  <c r="U275" i="40"/>
  <c r="U271" i="40"/>
  <c r="U267" i="40"/>
  <c r="U263" i="40"/>
  <c r="U259" i="40"/>
  <c r="U255" i="40"/>
  <c r="U251" i="40"/>
  <c r="U247" i="40"/>
  <c r="U243" i="40"/>
  <c r="U239" i="40"/>
  <c r="U235" i="40"/>
  <c r="U231" i="40"/>
  <c r="U227" i="40"/>
  <c r="U222" i="40"/>
  <c r="T108" i="75"/>
  <c r="T488" i="40"/>
  <c r="T483" i="40"/>
  <c r="T479" i="40"/>
  <c r="T481" i="40"/>
  <c r="T473" i="40"/>
  <c r="T469" i="40"/>
  <c r="T465" i="40"/>
  <c r="T461" i="40"/>
  <c r="T457" i="40"/>
  <c r="T453" i="40"/>
  <c r="T449" i="40"/>
  <c r="T445" i="40"/>
  <c r="T441" i="40"/>
  <c r="T437" i="40"/>
  <c r="T433" i="40"/>
  <c r="T429" i="40"/>
  <c r="T423" i="40"/>
  <c r="T482" i="40"/>
  <c r="T474" i="40"/>
  <c r="T470" i="40"/>
  <c r="T466" i="40"/>
  <c r="T462" i="40"/>
  <c r="T458" i="40"/>
  <c r="T454" i="40"/>
  <c r="T450" i="40"/>
  <c r="T446" i="40"/>
  <c r="T442" i="40"/>
  <c r="T438" i="40"/>
  <c r="T434" i="40"/>
  <c r="T430" i="40"/>
  <c r="T477" i="40"/>
  <c r="T480" i="40"/>
  <c r="T476" i="40"/>
  <c r="T472" i="40"/>
  <c r="T468" i="40"/>
  <c r="T464" i="40"/>
  <c r="T460" i="40"/>
  <c r="T456" i="40"/>
  <c r="T452" i="40"/>
  <c r="T448" i="40"/>
  <c r="T444" i="40"/>
  <c r="T440" i="40"/>
  <c r="T436" i="40"/>
  <c r="T432" i="40"/>
  <c r="T428" i="40"/>
  <c r="T478" i="40"/>
  <c r="T424" i="40"/>
  <c r="T422" i="40"/>
  <c r="T421" i="40"/>
  <c r="T475" i="40"/>
  <c r="T471" i="40"/>
  <c r="T467" i="40"/>
  <c r="T463" i="40"/>
  <c r="T459" i="40"/>
  <c r="T455" i="40"/>
  <c r="T451" i="40"/>
  <c r="T447" i="40"/>
  <c r="T443" i="40"/>
  <c r="T439" i="40"/>
  <c r="T435" i="40"/>
  <c r="T431" i="40"/>
  <c r="T427" i="40"/>
  <c r="S91" i="39"/>
  <c r="T282" i="40"/>
  <c r="T281" i="40"/>
  <c r="T280" i="40"/>
  <c r="T283" i="40"/>
  <c r="T279" i="40"/>
  <c r="T275" i="40"/>
  <c r="T271" i="40"/>
  <c r="T267" i="40"/>
  <c r="T263" i="40"/>
  <c r="T259" i="40"/>
  <c r="T255" i="40"/>
  <c r="T251" i="40"/>
  <c r="T247" i="40"/>
  <c r="T243" i="40"/>
  <c r="T239" i="40"/>
  <c r="T235" i="40"/>
  <c r="T231" i="40"/>
  <c r="T227" i="40"/>
  <c r="T222" i="40"/>
  <c r="T276" i="40"/>
  <c r="T272" i="40"/>
  <c r="T268" i="40"/>
  <c r="T264" i="40"/>
  <c r="T260" i="40"/>
  <c r="T256" i="40"/>
  <c r="T252" i="40"/>
  <c r="T248" i="40"/>
  <c r="T244" i="40"/>
  <c r="T240" i="40"/>
  <c r="T236" i="40"/>
  <c r="T232" i="40"/>
  <c r="T228" i="40"/>
  <c r="T277" i="40"/>
  <c r="T273" i="40"/>
  <c r="T269" i="40"/>
  <c r="T265" i="40"/>
  <c r="T261" i="40"/>
  <c r="T257" i="40"/>
  <c r="T253" i="40"/>
  <c r="T249" i="40"/>
  <c r="T245" i="40"/>
  <c r="T241" i="40"/>
  <c r="T237" i="40"/>
  <c r="T233" i="40"/>
  <c r="T229" i="40"/>
  <c r="T223" i="40"/>
  <c r="T278" i="40"/>
  <c r="T274" i="40"/>
  <c r="T270" i="40"/>
  <c r="T266" i="40"/>
  <c r="T262" i="40"/>
  <c r="T258" i="40"/>
  <c r="T254" i="40"/>
  <c r="T250" i="40"/>
  <c r="T246" i="40"/>
  <c r="T242" i="40"/>
  <c r="T238" i="40"/>
  <c r="T234" i="40"/>
  <c r="T230" i="40"/>
  <c r="T224" i="40"/>
  <c r="T221" i="40"/>
  <c r="R180" i="40"/>
  <c r="R183" i="40"/>
  <c r="R179" i="40"/>
  <c r="R182" i="40"/>
  <c r="R181" i="40"/>
  <c r="R176" i="40"/>
  <c r="R172" i="40"/>
  <c r="R168" i="40"/>
  <c r="R164" i="40"/>
  <c r="R160" i="40"/>
  <c r="R156" i="40"/>
  <c r="R152" i="40"/>
  <c r="R148" i="40"/>
  <c r="R144" i="40"/>
  <c r="R140" i="40"/>
  <c r="R136" i="40"/>
  <c r="R132" i="40"/>
  <c r="R128" i="40"/>
  <c r="R133" i="40"/>
  <c r="R129" i="40"/>
  <c r="R123" i="40"/>
  <c r="R142" i="40"/>
  <c r="R124" i="40"/>
  <c r="R163" i="40"/>
  <c r="R155" i="40"/>
  <c r="R147" i="40"/>
  <c r="R143" i="40"/>
  <c r="R135" i="40"/>
  <c r="R177" i="40"/>
  <c r="R173" i="40"/>
  <c r="R169" i="40"/>
  <c r="R165" i="40"/>
  <c r="R161" i="40"/>
  <c r="R157" i="40"/>
  <c r="R153" i="40"/>
  <c r="R149" i="40"/>
  <c r="R145" i="40"/>
  <c r="R141" i="40"/>
  <c r="R137" i="40"/>
  <c r="R138" i="40"/>
  <c r="R134" i="40"/>
  <c r="R159" i="40"/>
  <c r="R151" i="40"/>
  <c r="R139" i="40"/>
  <c r="R178" i="40"/>
  <c r="R174" i="40"/>
  <c r="R170" i="40"/>
  <c r="R166" i="40"/>
  <c r="R162" i="40"/>
  <c r="R158" i="40"/>
  <c r="R154" i="40"/>
  <c r="R150" i="40"/>
  <c r="R146" i="40"/>
  <c r="R130" i="40"/>
  <c r="R167" i="40"/>
  <c r="R175" i="40"/>
  <c r="R171" i="40"/>
  <c r="R131" i="40"/>
  <c r="R127" i="40"/>
  <c r="R122" i="40"/>
  <c r="E281" i="40"/>
  <c r="E286" i="40"/>
  <c r="E284" i="40"/>
  <c r="E283" i="40"/>
  <c r="E287" i="40"/>
  <c r="E285" i="40"/>
  <c r="E282" i="40"/>
  <c r="E276" i="40"/>
  <c r="E272" i="40"/>
  <c r="E268" i="40"/>
  <c r="E264" i="40"/>
  <c r="E260" i="40"/>
  <c r="E256" i="40"/>
  <c r="E252" i="40"/>
  <c r="E248" i="40"/>
  <c r="E244" i="40"/>
  <c r="E240" i="40"/>
  <c r="E236" i="40"/>
  <c r="E232" i="40"/>
  <c r="E228" i="40"/>
  <c r="E277" i="40"/>
  <c r="E273" i="40"/>
  <c r="E269" i="40"/>
  <c r="E265" i="40"/>
  <c r="E261" i="40"/>
  <c r="E257" i="40"/>
  <c r="E253" i="40"/>
  <c r="E249" i="40"/>
  <c r="E245" i="40"/>
  <c r="E241" i="40"/>
  <c r="E237" i="40"/>
  <c r="E233" i="40"/>
  <c r="E229" i="40"/>
  <c r="E226" i="40"/>
  <c r="E223" i="40"/>
  <c r="E280" i="40"/>
  <c r="E278" i="40"/>
  <c r="E274" i="40"/>
  <c r="E270" i="40"/>
  <c r="E266" i="40"/>
  <c r="E262" i="40"/>
  <c r="E258" i="40"/>
  <c r="E254" i="40"/>
  <c r="E250" i="40"/>
  <c r="E246" i="40"/>
  <c r="E242" i="40"/>
  <c r="E238" i="40"/>
  <c r="E234" i="40"/>
  <c r="E230" i="40"/>
  <c r="E224" i="40"/>
  <c r="E221" i="40"/>
  <c r="E279" i="40"/>
  <c r="E275" i="40"/>
  <c r="E271" i="40"/>
  <c r="E267" i="40"/>
  <c r="E263" i="40"/>
  <c r="E259" i="40"/>
  <c r="E255" i="40"/>
  <c r="E251" i="40"/>
  <c r="E247" i="40"/>
  <c r="E243" i="40"/>
  <c r="E239" i="40"/>
  <c r="E235" i="40"/>
  <c r="E231" i="40"/>
  <c r="E227" i="40"/>
  <c r="E225" i="40"/>
  <c r="E222" i="40"/>
  <c r="Q181" i="40"/>
  <c r="Q186" i="40"/>
  <c r="Q184" i="40"/>
  <c r="Q180" i="40"/>
  <c r="Q183" i="40"/>
  <c r="Q179" i="40"/>
  <c r="Q187" i="40"/>
  <c r="Q185" i="40"/>
  <c r="Q182" i="40"/>
  <c r="Q175" i="40"/>
  <c r="Q171" i="40"/>
  <c r="Q167" i="40"/>
  <c r="Q163" i="40"/>
  <c r="Q159" i="40"/>
  <c r="Q155" i="40"/>
  <c r="Q151" i="40"/>
  <c r="Q147" i="40"/>
  <c r="Q143" i="40"/>
  <c r="Q139" i="40"/>
  <c r="Q135" i="40"/>
  <c r="Q131" i="40"/>
  <c r="Q127" i="40"/>
  <c r="Q125" i="40"/>
  <c r="Q122" i="40"/>
  <c r="Q132" i="40"/>
  <c r="Q141" i="40"/>
  <c r="Q133" i="40"/>
  <c r="Q129" i="40"/>
  <c r="Q170" i="40"/>
  <c r="Q150" i="40"/>
  <c r="Q176" i="40"/>
  <c r="Q172" i="40"/>
  <c r="Q168" i="40"/>
  <c r="Q164" i="40"/>
  <c r="Q160" i="40"/>
  <c r="Q156" i="40"/>
  <c r="Q152" i="40"/>
  <c r="Q148" i="40"/>
  <c r="Q144" i="40"/>
  <c r="Q140" i="40"/>
  <c r="Q136" i="40"/>
  <c r="Q128" i="40"/>
  <c r="Q145" i="40"/>
  <c r="Q137" i="40"/>
  <c r="Q123" i="40"/>
  <c r="Q174" i="40"/>
  <c r="Q166" i="40"/>
  <c r="Q146" i="40"/>
  <c r="Q134" i="40"/>
  <c r="Q177" i="40"/>
  <c r="Q173" i="40"/>
  <c r="Q169" i="40"/>
  <c r="Q165" i="40"/>
  <c r="Q161" i="40"/>
  <c r="Q157" i="40"/>
  <c r="Q153" i="40"/>
  <c r="Q149" i="40"/>
  <c r="Q126" i="40"/>
  <c r="Q162" i="40"/>
  <c r="Q142" i="40"/>
  <c r="Q130" i="40"/>
  <c r="Q178" i="40"/>
  <c r="Q158" i="40"/>
  <c r="Q154" i="40"/>
  <c r="Q138" i="40"/>
  <c r="Q124" i="40"/>
  <c r="Q387" i="40"/>
  <c r="Q385" i="40"/>
  <c r="Q382" i="40"/>
  <c r="Q376" i="40"/>
  <c r="Q372" i="40"/>
  <c r="Q381" i="40"/>
  <c r="Q377" i="40"/>
  <c r="Q373" i="40"/>
  <c r="Q386" i="40"/>
  <c r="Q384" i="40"/>
  <c r="Q368" i="40"/>
  <c r="Q364" i="40"/>
  <c r="Q360" i="40"/>
  <c r="Q356" i="40"/>
  <c r="Q352" i="40"/>
  <c r="Q348" i="40"/>
  <c r="Q344" i="40"/>
  <c r="Q340" i="40"/>
  <c r="Q336" i="40"/>
  <c r="Q332" i="40"/>
  <c r="Q328" i="40"/>
  <c r="Q380" i="40"/>
  <c r="Q369" i="40"/>
  <c r="Q365" i="40"/>
  <c r="Q361" i="40"/>
  <c r="Q357" i="40"/>
  <c r="Q353" i="40"/>
  <c r="Q349" i="40"/>
  <c r="Q345" i="40"/>
  <c r="Q341" i="40"/>
  <c r="Q337" i="40"/>
  <c r="Q333" i="40"/>
  <c r="Q329" i="40"/>
  <c r="Q326" i="40"/>
  <c r="Q323" i="40"/>
  <c r="Q378" i="40"/>
  <c r="Q374" i="40"/>
  <c r="Q370" i="40"/>
  <c r="Q366" i="40"/>
  <c r="Q362" i="40"/>
  <c r="Q358" i="40"/>
  <c r="Q354" i="40"/>
  <c r="Q350" i="40"/>
  <c r="Q346" i="40"/>
  <c r="Q342" i="40"/>
  <c r="Q338" i="40"/>
  <c r="Q334" i="40"/>
  <c r="Q330" i="40"/>
  <c r="Q324" i="40"/>
  <c r="Q321" i="40"/>
  <c r="Q383" i="40"/>
  <c r="Q379" i="40"/>
  <c r="Q375" i="40"/>
  <c r="Q371" i="40"/>
  <c r="Q367" i="40"/>
  <c r="Q363" i="40"/>
  <c r="Q359" i="40"/>
  <c r="Q355" i="40"/>
  <c r="Q351" i="40"/>
  <c r="Q347" i="40"/>
  <c r="Q343" i="40"/>
  <c r="Q339" i="40"/>
  <c r="Q335" i="40"/>
  <c r="Q331" i="40"/>
  <c r="Q327" i="40"/>
  <c r="Q325" i="40"/>
  <c r="Q322" i="40"/>
  <c r="Z287" i="40"/>
  <c r="Z285" i="40"/>
  <c r="Z283" i="40"/>
  <c r="Z282" i="40"/>
  <c r="Z286" i="40"/>
  <c r="Z284" i="40"/>
  <c r="Z281" i="40"/>
  <c r="Z280" i="40"/>
  <c r="Z276" i="40"/>
  <c r="Z272" i="40"/>
  <c r="Z268" i="40"/>
  <c r="Z264" i="40"/>
  <c r="Z260" i="40"/>
  <c r="Z256" i="40"/>
  <c r="Z252" i="40"/>
  <c r="Z248" i="40"/>
  <c r="Z244" i="40"/>
  <c r="Z240" i="40"/>
  <c r="Z236" i="40"/>
  <c r="Z232" i="40"/>
  <c r="Z228" i="40"/>
  <c r="Z225" i="40"/>
  <c r="Z222" i="40"/>
  <c r="Z279" i="40"/>
  <c r="Z277" i="40"/>
  <c r="Z273" i="40"/>
  <c r="Z269" i="40"/>
  <c r="Z265" i="40"/>
  <c r="Z261" i="40"/>
  <c r="Z257" i="40"/>
  <c r="Z253" i="40"/>
  <c r="Z249" i="40"/>
  <c r="Z245" i="40"/>
  <c r="Z241" i="40"/>
  <c r="Z237" i="40"/>
  <c r="Z233" i="40"/>
  <c r="Z229" i="40"/>
  <c r="Z223" i="40"/>
  <c r="Z278" i="40"/>
  <c r="Z274" i="40"/>
  <c r="Z270" i="40"/>
  <c r="Z266" i="40"/>
  <c r="Z262" i="40"/>
  <c r="Z258" i="40"/>
  <c r="Z254" i="40"/>
  <c r="Z250" i="40"/>
  <c r="Z246" i="40"/>
  <c r="Z242" i="40"/>
  <c r="Z238" i="40"/>
  <c r="Z234" i="40"/>
  <c r="Z230" i="40"/>
  <c r="Z226" i="40"/>
  <c r="Z224" i="40"/>
  <c r="Z221" i="40"/>
  <c r="Z275" i="40"/>
  <c r="Z271" i="40"/>
  <c r="Z267" i="40"/>
  <c r="Z263" i="40"/>
  <c r="Z259" i="40"/>
  <c r="Z255" i="40"/>
  <c r="Z251" i="40"/>
  <c r="Z247" i="40"/>
  <c r="Z243" i="40"/>
  <c r="Z239" i="40"/>
  <c r="Z235" i="40"/>
  <c r="Z231" i="40"/>
  <c r="Z227" i="40"/>
  <c r="M106" i="57"/>
  <c r="Z380" i="40"/>
  <c r="Z376" i="40"/>
  <c r="Z372" i="40"/>
  <c r="Z387" i="40"/>
  <c r="Z385" i="40"/>
  <c r="Z383" i="40"/>
  <c r="Z379" i="40"/>
  <c r="Z377" i="40"/>
  <c r="Z373" i="40"/>
  <c r="Z368" i="40"/>
  <c r="Z364" i="40"/>
  <c r="Z360" i="40"/>
  <c r="Z356" i="40"/>
  <c r="Z352" i="40"/>
  <c r="Z348" i="40"/>
  <c r="Z344" i="40"/>
  <c r="Z340" i="40"/>
  <c r="Z336" i="40"/>
  <c r="Z332" i="40"/>
  <c r="Z328" i="40"/>
  <c r="Z325" i="40"/>
  <c r="Z322" i="40"/>
  <c r="Z386" i="40"/>
  <c r="Z384" i="40"/>
  <c r="Z369" i="40"/>
  <c r="Z365" i="40"/>
  <c r="Z361" i="40"/>
  <c r="Z357" i="40"/>
  <c r="Z353" i="40"/>
  <c r="Z349" i="40"/>
  <c r="Z345" i="40"/>
  <c r="Z341" i="40"/>
  <c r="Z337" i="40"/>
  <c r="Z333" i="40"/>
  <c r="Z329" i="40"/>
  <c r="Z323" i="40"/>
  <c r="Z382" i="40"/>
  <c r="Z378" i="40"/>
  <c r="Z374" i="40"/>
  <c r="Z370" i="40"/>
  <c r="Z366" i="40"/>
  <c r="Z362" i="40"/>
  <c r="Z358" i="40"/>
  <c r="Z354" i="40"/>
  <c r="Z350" i="40"/>
  <c r="Z346" i="40"/>
  <c r="Z342" i="40"/>
  <c r="Z338" i="40"/>
  <c r="Z334" i="40"/>
  <c r="Z330" i="40"/>
  <c r="Z326" i="40"/>
  <c r="Z324" i="40"/>
  <c r="Z321" i="40"/>
  <c r="Z381" i="40"/>
  <c r="Z375" i="40"/>
  <c r="Z371" i="40"/>
  <c r="Z367" i="40"/>
  <c r="Z363" i="40"/>
  <c r="Z359" i="40"/>
  <c r="Z355" i="40"/>
  <c r="Z351" i="40"/>
  <c r="Z347" i="40"/>
  <c r="Z343" i="40"/>
  <c r="Z339" i="40"/>
  <c r="Z335" i="40"/>
  <c r="Z331" i="40"/>
  <c r="Z327" i="40"/>
  <c r="O95" i="57"/>
  <c r="X488" i="40"/>
  <c r="X486" i="40"/>
  <c r="X484" i="40"/>
  <c r="X481" i="40"/>
  <c r="X487" i="40"/>
  <c r="X485" i="40"/>
  <c r="X483" i="40"/>
  <c r="X479" i="40"/>
  <c r="X482" i="40"/>
  <c r="X478" i="40"/>
  <c r="X473" i="40"/>
  <c r="X469" i="40"/>
  <c r="X465" i="40"/>
  <c r="X461" i="40"/>
  <c r="X457" i="40"/>
  <c r="X453" i="40"/>
  <c r="X449" i="40"/>
  <c r="X445" i="40"/>
  <c r="X441" i="40"/>
  <c r="X437" i="40"/>
  <c r="X433" i="40"/>
  <c r="X429" i="40"/>
  <c r="X423" i="40"/>
  <c r="X474" i="40"/>
  <c r="X470" i="40"/>
  <c r="X466" i="40"/>
  <c r="X462" i="40"/>
  <c r="X458" i="40"/>
  <c r="X454" i="40"/>
  <c r="X450" i="40"/>
  <c r="X446" i="40"/>
  <c r="X442" i="40"/>
  <c r="X438" i="40"/>
  <c r="X434" i="40"/>
  <c r="X430" i="40"/>
  <c r="X426" i="40"/>
  <c r="X480" i="40"/>
  <c r="X422" i="40"/>
  <c r="X475" i="40"/>
  <c r="X471" i="40"/>
  <c r="X467" i="40"/>
  <c r="X463" i="40"/>
  <c r="X459" i="40"/>
  <c r="X455" i="40"/>
  <c r="X451" i="40"/>
  <c r="X447" i="40"/>
  <c r="X443" i="40"/>
  <c r="X439" i="40"/>
  <c r="X435" i="40"/>
  <c r="X431" i="40"/>
  <c r="X427" i="40"/>
  <c r="X477" i="40"/>
  <c r="X476" i="40"/>
  <c r="X472" i="40"/>
  <c r="X468" i="40"/>
  <c r="X464" i="40"/>
  <c r="X460" i="40"/>
  <c r="X456" i="40"/>
  <c r="X452" i="40"/>
  <c r="X448" i="40"/>
  <c r="X444" i="40"/>
  <c r="X440" i="40"/>
  <c r="X436" i="40"/>
  <c r="X432" i="40"/>
  <c r="X428" i="40"/>
  <c r="X424" i="40"/>
  <c r="X421" i="40"/>
  <c r="X425" i="40"/>
  <c r="X399" i="40"/>
  <c r="X395" i="40"/>
  <c r="X391" i="40"/>
  <c r="X386" i="40"/>
  <c r="X384" i="40"/>
  <c r="X381" i="40"/>
  <c r="X375" i="40"/>
  <c r="X371" i="40"/>
  <c r="X400" i="40"/>
  <c r="X396" i="40"/>
  <c r="X392" i="40"/>
  <c r="X388" i="40"/>
  <c r="X380" i="40"/>
  <c r="X376" i="40"/>
  <c r="X372" i="40"/>
  <c r="X397" i="40"/>
  <c r="X393" i="40"/>
  <c r="X389" i="40"/>
  <c r="X387" i="40"/>
  <c r="X385" i="40"/>
  <c r="X383" i="40"/>
  <c r="X379" i="40"/>
  <c r="X367" i="40"/>
  <c r="X363" i="40"/>
  <c r="X359" i="40"/>
  <c r="X355" i="40"/>
  <c r="X351" i="40"/>
  <c r="X347" i="40"/>
  <c r="X343" i="40"/>
  <c r="X339" i="40"/>
  <c r="X335" i="40"/>
  <c r="X331" i="40"/>
  <c r="X327" i="40"/>
  <c r="X398" i="40"/>
  <c r="X390" i="40"/>
  <c r="X377" i="40"/>
  <c r="X373" i="40"/>
  <c r="X368" i="40"/>
  <c r="X364" i="40"/>
  <c r="X360" i="40"/>
  <c r="X356" i="40"/>
  <c r="X352" i="40"/>
  <c r="X348" i="40"/>
  <c r="X344" i="40"/>
  <c r="X340" i="40"/>
  <c r="X336" i="40"/>
  <c r="X332" i="40"/>
  <c r="X328" i="40"/>
  <c r="X325" i="40"/>
  <c r="X322" i="40"/>
  <c r="X369" i="40"/>
  <c r="X365" i="40"/>
  <c r="X361" i="40"/>
  <c r="X357" i="40"/>
  <c r="X353" i="40"/>
  <c r="X349" i="40"/>
  <c r="X345" i="40"/>
  <c r="X341" i="40"/>
  <c r="X337" i="40"/>
  <c r="X333" i="40"/>
  <c r="X329" i="40"/>
  <c r="X323" i="40"/>
  <c r="X394" i="40"/>
  <c r="X382" i="40"/>
  <c r="X378" i="40"/>
  <c r="X374" i="40"/>
  <c r="X370" i="40"/>
  <c r="X366" i="40"/>
  <c r="X362" i="40"/>
  <c r="X358" i="40"/>
  <c r="X354" i="40"/>
  <c r="X350" i="40"/>
  <c r="X346" i="40"/>
  <c r="X342" i="40"/>
  <c r="X338" i="40"/>
  <c r="X334" i="40"/>
  <c r="X330" i="40"/>
  <c r="X326" i="40"/>
  <c r="X324" i="40"/>
  <c r="X321" i="40"/>
  <c r="W398" i="40"/>
  <c r="W394" i="40"/>
  <c r="W390" i="40"/>
  <c r="W382" i="40"/>
  <c r="W378" i="40"/>
  <c r="W374" i="40"/>
  <c r="W399" i="40"/>
  <c r="W395" i="40"/>
  <c r="W391" i="40"/>
  <c r="W386" i="40"/>
  <c r="W384" i="40"/>
  <c r="W381" i="40"/>
  <c r="W375" i="40"/>
  <c r="W371" i="40"/>
  <c r="W400" i="40"/>
  <c r="W396" i="40"/>
  <c r="W392" i="40"/>
  <c r="W388" i="40"/>
  <c r="W370" i="40"/>
  <c r="W366" i="40"/>
  <c r="W362" i="40"/>
  <c r="W358" i="40"/>
  <c r="W354" i="40"/>
  <c r="W350" i="40"/>
  <c r="W346" i="40"/>
  <c r="W342" i="40"/>
  <c r="W338" i="40"/>
  <c r="W334" i="40"/>
  <c r="W330" i="40"/>
  <c r="W326" i="40"/>
  <c r="W324" i="40"/>
  <c r="W321" i="40"/>
  <c r="W393" i="40"/>
  <c r="W383" i="40"/>
  <c r="W379" i="40"/>
  <c r="W367" i="40"/>
  <c r="W363" i="40"/>
  <c r="W359" i="40"/>
  <c r="W355" i="40"/>
  <c r="W351" i="40"/>
  <c r="W347" i="40"/>
  <c r="W343" i="40"/>
  <c r="W339" i="40"/>
  <c r="W335" i="40"/>
  <c r="W331" i="40"/>
  <c r="W327" i="40"/>
  <c r="W377" i="40"/>
  <c r="W376" i="40"/>
  <c r="W373" i="40"/>
  <c r="W372" i="40"/>
  <c r="W368" i="40"/>
  <c r="W364" i="40"/>
  <c r="W360" i="40"/>
  <c r="W356" i="40"/>
  <c r="W352" i="40"/>
  <c r="W348" i="40"/>
  <c r="W344" i="40"/>
  <c r="W340" i="40"/>
  <c r="W336" i="40"/>
  <c r="W332" i="40"/>
  <c r="W328" i="40"/>
  <c r="W325" i="40"/>
  <c r="W322" i="40"/>
  <c r="W397" i="40"/>
  <c r="W389" i="40"/>
  <c r="W387" i="40"/>
  <c r="W385" i="40"/>
  <c r="W380" i="40"/>
  <c r="W369" i="40"/>
  <c r="W365" i="40"/>
  <c r="W361" i="40"/>
  <c r="W357" i="40"/>
  <c r="W353" i="40"/>
  <c r="W349" i="40"/>
  <c r="W345" i="40"/>
  <c r="W341" i="40"/>
  <c r="W337" i="40"/>
  <c r="W333" i="40"/>
  <c r="W329" i="40"/>
  <c r="W323" i="40"/>
  <c r="V110" i="75"/>
  <c r="V578" i="40"/>
  <c r="V574" i="40"/>
  <c r="V570" i="40"/>
  <c r="V566" i="40"/>
  <c r="V562" i="40"/>
  <c r="V558" i="40"/>
  <c r="V575" i="40"/>
  <c r="V571" i="40"/>
  <c r="V567" i="40"/>
  <c r="V563" i="40"/>
  <c r="V559" i="40"/>
  <c r="V577" i="40"/>
  <c r="V573" i="40"/>
  <c r="V569" i="40"/>
  <c r="V565" i="40"/>
  <c r="V561" i="40"/>
  <c r="V555" i="40"/>
  <c r="V551" i="40"/>
  <c r="V547" i="40"/>
  <c r="V543" i="40"/>
  <c r="V576" i="40"/>
  <c r="V572" i="40"/>
  <c r="V568" i="40"/>
  <c r="V564" i="40"/>
  <c r="V560" i="40"/>
  <c r="V556" i="40"/>
  <c r="V552" i="40"/>
  <c r="V548" i="40"/>
  <c r="V544" i="40"/>
  <c r="V557" i="40"/>
  <c r="V553" i="40"/>
  <c r="V549" i="40"/>
  <c r="V545" i="40"/>
  <c r="V541" i="40"/>
  <c r="V537" i="40"/>
  <c r="V554" i="40"/>
  <c r="V546" i="40"/>
  <c r="V536" i="40"/>
  <c r="V533" i="40"/>
  <c r="V529" i="40"/>
  <c r="V523" i="40"/>
  <c r="V539" i="40"/>
  <c r="V534" i="40"/>
  <c r="V530" i="40"/>
  <c r="V524" i="40"/>
  <c r="V521" i="40"/>
  <c r="V550" i="40"/>
  <c r="V540" i="40"/>
  <c r="V538" i="40"/>
  <c r="V535" i="40"/>
  <c r="V531" i="40"/>
  <c r="V527" i="40"/>
  <c r="V528" i="40"/>
  <c r="V542" i="40"/>
  <c r="V532" i="40"/>
  <c r="S93" i="39"/>
  <c r="V377" i="40"/>
  <c r="V373" i="40"/>
  <c r="V378" i="40"/>
  <c r="V374" i="40"/>
  <c r="V375" i="40"/>
  <c r="V371" i="40"/>
  <c r="V369" i="40"/>
  <c r="V365" i="40"/>
  <c r="V361" i="40"/>
  <c r="V357" i="40"/>
  <c r="V353" i="40"/>
  <c r="V349" i="40"/>
  <c r="V345" i="40"/>
  <c r="V341" i="40"/>
  <c r="V337" i="40"/>
  <c r="V333" i="40"/>
  <c r="V329" i="40"/>
  <c r="V323" i="40"/>
  <c r="V370" i="40"/>
  <c r="V366" i="40"/>
  <c r="V362" i="40"/>
  <c r="V358" i="40"/>
  <c r="V354" i="40"/>
  <c r="V350" i="40"/>
  <c r="V346" i="40"/>
  <c r="V342" i="40"/>
  <c r="V338" i="40"/>
  <c r="V334" i="40"/>
  <c r="V330" i="40"/>
  <c r="V324" i="40"/>
  <c r="V321" i="40"/>
  <c r="V367" i="40"/>
  <c r="V363" i="40"/>
  <c r="V359" i="40"/>
  <c r="V355" i="40"/>
  <c r="V351" i="40"/>
  <c r="V347" i="40"/>
  <c r="V343" i="40"/>
  <c r="V339" i="40"/>
  <c r="V335" i="40"/>
  <c r="V331" i="40"/>
  <c r="V327" i="40"/>
  <c r="V376" i="40"/>
  <c r="V372" i="40"/>
  <c r="V368" i="40"/>
  <c r="V364" i="40"/>
  <c r="V360" i="40"/>
  <c r="V356" i="40"/>
  <c r="V352" i="40"/>
  <c r="V348" i="40"/>
  <c r="V344" i="40"/>
  <c r="V340" i="40"/>
  <c r="V336" i="40"/>
  <c r="V332" i="40"/>
  <c r="V328" i="40"/>
  <c r="S92" i="39"/>
  <c r="K91" i="57"/>
  <c r="I89" i="57"/>
  <c r="T383" i="40"/>
  <c r="T379" i="40"/>
  <c r="T375" i="40"/>
  <c r="T371" i="40"/>
  <c r="T382" i="40"/>
  <c r="T376" i="40"/>
  <c r="T372" i="40"/>
  <c r="T381" i="40"/>
  <c r="T380" i="40"/>
  <c r="T367" i="40"/>
  <c r="T363" i="40"/>
  <c r="T359" i="40"/>
  <c r="T355" i="40"/>
  <c r="T351" i="40"/>
  <c r="T347" i="40"/>
  <c r="T343" i="40"/>
  <c r="T339" i="40"/>
  <c r="T335" i="40"/>
  <c r="T331" i="40"/>
  <c r="T327" i="40"/>
  <c r="T322" i="40"/>
  <c r="T378" i="40"/>
  <c r="T374" i="40"/>
  <c r="T368" i="40"/>
  <c r="T364" i="40"/>
  <c r="T360" i="40"/>
  <c r="T356" i="40"/>
  <c r="T352" i="40"/>
  <c r="T348" i="40"/>
  <c r="T344" i="40"/>
  <c r="T340" i="40"/>
  <c r="T336" i="40"/>
  <c r="T332" i="40"/>
  <c r="T328" i="40"/>
  <c r="T369" i="40"/>
  <c r="T365" i="40"/>
  <c r="T361" i="40"/>
  <c r="T357" i="40"/>
  <c r="T353" i="40"/>
  <c r="T349" i="40"/>
  <c r="T345" i="40"/>
  <c r="T341" i="40"/>
  <c r="T337" i="40"/>
  <c r="T333" i="40"/>
  <c r="T329" i="40"/>
  <c r="T323" i="40"/>
  <c r="T377" i="40"/>
  <c r="T373" i="40"/>
  <c r="T370" i="40"/>
  <c r="T366" i="40"/>
  <c r="T362" i="40"/>
  <c r="T358" i="40"/>
  <c r="T354" i="40"/>
  <c r="T350" i="40"/>
  <c r="T346" i="40"/>
  <c r="T342" i="40"/>
  <c r="T338" i="40"/>
  <c r="T334" i="40"/>
  <c r="T330" i="40"/>
  <c r="T324" i="40"/>
  <c r="T321" i="40"/>
  <c r="T182" i="40"/>
  <c r="T181" i="40"/>
  <c r="T180" i="40"/>
  <c r="T183" i="40"/>
  <c r="T178" i="40"/>
  <c r="T174" i="40"/>
  <c r="T170" i="40"/>
  <c r="T166" i="40"/>
  <c r="T162" i="40"/>
  <c r="T158" i="40"/>
  <c r="T154" i="40"/>
  <c r="T150" i="40"/>
  <c r="T146" i="40"/>
  <c r="T142" i="40"/>
  <c r="T138" i="40"/>
  <c r="T134" i="40"/>
  <c r="T130" i="40"/>
  <c r="T124" i="40"/>
  <c r="T131" i="40"/>
  <c r="T122" i="40"/>
  <c r="T136" i="40"/>
  <c r="T169" i="40"/>
  <c r="T175" i="40"/>
  <c r="T171" i="40"/>
  <c r="T167" i="40"/>
  <c r="T163" i="40"/>
  <c r="T159" i="40"/>
  <c r="T155" i="40"/>
  <c r="T151" i="40"/>
  <c r="T147" i="40"/>
  <c r="T143" i="40"/>
  <c r="T139" i="40"/>
  <c r="T135" i="40"/>
  <c r="T127" i="40"/>
  <c r="T144" i="40"/>
  <c r="T132" i="40"/>
  <c r="T128" i="40"/>
  <c r="T157" i="40"/>
  <c r="T153" i="40"/>
  <c r="T149" i="40"/>
  <c r="T137" i="40"/>
  <c r="T179" i="40"/>
  <c r="T176" i="40"/>
  <c r="T172" i="40"/>
  <c r="T168" i="40"/>
  <c r="T164" i="40"/>
  <c r="T160" i="40"/>
  <c r="T156" i="40"/>
  <c r="T152" i="40"/>
  <c r="T148" i="40"/>
  <c r="T140" i="40"/>
  <c r="T177" i="40"/>
  <c r="T165" i="40"/>
  <c r="T145" i="40"/>
  <c r="T133" i="40"/>
  <c r="T173" i="40"/>
  <c r="T161" i="40"/>
  <c r="T141" i="40"/>
  <c r="T123" i="40"/>
  <c r="T129" i="40"/>
  <c r="S488" i="40"/>
  <c r="S480" i="40"/>
  <c r="S478" i="40"/>
  <c r="S482" i="40"/>
  <c r="S483" i="40"/>
  <c r="S479" i="40"/>
  <c r="S476" i="40"/>
  <c r="S472" i="40"/>
  <c r="S468" i="40"/>
  <c r="S464" i="40"/>
  <c r="S460" i="40"/>
  <c r="S456" i="40"/>
  <c r="S452" i="40"/>
  <c r="S448" i="40"/>
  <c r="S444" i="40"/>
  <c r="S440" i="40"/>
  <c r="S436" i="40"/>
  <c r="S432" i="40"/>
  <c r="S428" i="40"/>
  <c r="S473" i="40"/>
  <c r="S469" i="40"/>
  <c r="S465" i="40"/>
  <c r="S461" i="40"/>
  <c r="S457" i="40"/>
  <c r="S453" i="40"/>
  <c r="S449" i="40"/>
  <c r="S445" i="40"/>
  <c r="S441" i="40"/>
  <c r="S437" i="40"/>
  <c r="S433" i="40"/>
  <c r="S429" i="40"/>
  <c r="S481" i="40"/>
  <c r="S475" i="40"/>
  <c r="S474" i="40"/>
  <c r="S471" i="40"/>
  <c r="S470" i="40"/>
  <c r="S467" i="40"/>
  <c r="S466" i="40"/>
  <c r="S463" i="40"/>
  <c r="S462" i="40"/>
  <c r="S459" i="40"/>
  <c r="S458" i="40"/>
  <c r="S455" i="40"/>
  <c r="S454" i="40"/>
  <c r="S451" i="40"/>
  <c r="S450" i="40"/>
  <c r="S447" i="40"/>
  <c r="S446" i="40"/>
  <c r="S443" i="40"/>
  <c r="S442" i="40"/>
  <c r="S439" i="40"/>
  <c r="S438" i="40"/>
  <c r="S435" i="40"/>
  <c r="S434" i="40"/>
  <c r="S431" i="40"/>
  <c r="S430" i="40"/>
  <c r="S427" i="40"/>
  <c r="S477" i="40"/>
  <c r="S423" i="40"/>
  <c r="S424" i="40"/>
  <c r="S421" i="40"/>
  <c r="S422" i="40"/>
  <c r="S283" i="40"/>
  <c r="S282" i="40"/>
  <c r="S281" i="40"/>
  <c r="S280" i="40"/>
  <c r="S278" i="40"/>
  <c r="S274" i="40"/>
  <c r="S270" i="40"/>
  <c r="S266" i="40"/>
  <c r="S262" i="40"/>
  <c r="S258" i="40"/>
  <c r="S254" i="40"/>
  <c r="S250" i="40"/>
  <c r="S246" i="40"/>
  <c r="S242" i="40"/>
  <c r="S238" i="40"/>
  <c r="S234" i="40"/>
  <c r="S230" i="40"/>
  <c r="S224" i="40"/>
  <c r="S221" i="40"/>
  <c r="S279" i="40"/>
  <c r="S275" i="40"/>
  <c r="S271" i="40"/>
  <c r="S267" i="40"/>
  <c r="S263" i="40"/>
  <c r="S259" i="40"/>
  <c r="S255" i="40"/>
  <c r="S251" i="40"/>
  <c r="S247" i="40"/>
  <c r="S243" i="40"/>
  <c r="S239" i="40"/>
  <c r="S235" i="40"/>
  <c r="S231" i="40"/>
  <c r="S227" i="40"/>
  <c r="S222" i="40"/>
  <c r="S276" i="40"/>
  <c r="S272" i="40"/>
  <c r="S268" i="40"/>
  <c r="S264" i="40"/>
  <c r="S260" i="40"/>
  <c r="S256" i="40"/>
  <c r="S252" i="40"/>
  <c r="S248" i="40"/>
  <c r="S244" i="40"/>
  <c r="S240" i="40"/>
  <c r="S236" i="40"/>
  <c r="S232" i="40"/>
  <c r="S228" i="40"/>
  <c r="S277" i="40"/>
  <c r="S273" i="40"/>
  <c r="S269" i="40"/>
  <c r="S265" i="40"/>
  <c r="S261" i="40"/>
  <c r="S257" i="40"/>
  <c r="S253" i="40"/>
  <c r="S249" i="40"/>
  <c r="S245" i="40"/>
  <c r="S241" i="40"/>
  <c r="S237" i="40"/>
  <c r="S233" i="40"/>
  <c r="S229" i="40"/>
  <c r="S223" i="40"/>
  <c r="R580" i="40"/>
  <c r="R578" i="40"/>
  <c r="R574" i="40"/>
  <c r="R570" i="40"/>
  <c r="R566" i="40"/>
  <c r="R562" i="40"/>
  <c r="R558" i="40"/>
  <c r="R583" i="40"/>
  <c r="R579" i="40"/>
  <c r="R575" i="40"/>
  <c r="R571" i="40"/>
  <c r="R567" i="40"/>
  <c r="R563" i="40"/>
  <c r="R559" i="40"/>
  <c r="R582" i="40"/>
  <c r="R555" i="40"/>
  <c r="R551" i="40"/>
  <c r="R547" i="40"/>
  <c r="R543" i="40"/>
  <c r="R556" i="40"/>
  <c r="R552" i="40"/>
  <c r="R548" i="40"/>
  <c r="R544" i="40"/>
  <c r="R577" i="40"/>
  <c r="R573" i="40"/>
  <c r="R569" i="40"/>
  <c r="R565" i="40"/>
  <c r="R561" i="40"/>
  <c r="R557" i="40"/>
  <c r="R553" i="40"/>
  <c r="R549" i="40"/>
  <c r="R545" i="40"/>
  <c r="R541" i="40"/>
  <c r="R537" i="40"/>
  <c r="R539" i="40"/>
  <c r="R533" i="40"/>
  <c r="R529" i="40"/>
  <c r="R523" i="40"/>
  <c r="R576" i="40"/>
  <c r="R568" i="40"/>
  <c r="R560" i="40"/>
  <c r="R554" i="40"/>
  <c r="R546" i="40"/>
  <c r="R542" i="40"/>
  <c r="R540" i="40"/>
  <c r="R538" i="40"/>
  <c r="R534" i="40"/>
  <c r="R530" i="40"/>
  <c r="R524" i="40"/>
  <c r="R521" i="40"/>
  <c r="R581" i="40"/>
  <c r="R535" i="40"/>
  <c r="R531" i="40"/>
  <c r="R527" i="40"/>
  <c r="R522" i="40"/>
  <c r="R572" i="40"/>
  <c r="R564" i="40"/>
  <c r="R536" i="40"/>
  <c r="R528" i="40"/>
  <c r="R550" i="40"/>
  <c r="R532" i="40"/>
  <c r="R381" i="40"/>
  <c r="R377" i="40"/>
  <c r="R373" i="40"/>
  <c r="R380" i="40"/>
  <c r="R378" i="40"/>
  <c r="R374" i="40"/>
  <c r="R369" i="40"/>
  <c r="R365" i="40"/>
  <c r="R361" i="40"/>
  <c r="R357" i="40"/>
  <c r="R353" i="40"/>
  <c r="R349" i="40"/>
  <c r="R345" i="40"/>
  <c r="R341" i="40"/>
  <c r="R337" i="40"/>
  <c r="R333" i="40"/>
  <c r="R329" i="40"/>
  <c r="R323" i="40"/>
  <c r="R382" i="40"/>
  <c r="R376" i="40"/>
  <c r="R372" i="40"/>
  <c r="R370" i="40"/>
  <c r="R366" i="40"/>
  <c r="R362" i="40"/>
  <c r="R358" i="40"/>
  <c r="R354" i="40"/>
  <c r="R350" i="40"/>
  <c r="R346" i="40"/>
  <c r="R342" i="40"/>
  <c r="R338" i="40"/>
  <c r="R334" i="40"/>
  <c r="R330" i="40"/>
  <c r="R324" i="40"/>
  <c r="R321" i="40"/>
  <c r="R383" i="40"/>
  <c r="R379" i="40"/>
  <c r="R375" i="40"/>
  <c r="R371" i="40"/>
  <c r="R367" i="40"/>
  <c r="R363" i="40"/>
  <c r="R359" i="40"/>
  <c r="R355" i="40"/>
  <c r="R351" i="40"/>
  <c r="R347" i="40"/>
  <c r="R343" i="40"/>
  <c r="R339" i="40"/>
  <c r="R335" i="40"/>
  <c r="R331" i="40"/>
  <c r="R327" i="40"/>
  <c r="R322" i="40"/>
  <c r="R368" i="40"/>
  <c r="R364" i="40"/>
  <c r="R360" i="40"/>
  <c r="R356" i="40"/>
  <c r="R352" i="40"/>
  <c r="R348" i="40"/>
  <c r="R344" i="40"/>
  <c r="R340" i="40"/>
  <c r="R336" i="40"/>
  <c r="R332" i="40"/>
  <c r="R328" i="40"/>
  <c r="E581" i="40"/>
  <c r="E577" i="40"/>
  <c r="E573" i="40"/>
  <c r="E569" i="40"/>
  <c r="E565" i="40"/>
  <c r="E561" i="40"/>
  <c r="E586" i="40"/>
  <c r="E584" i="40"/>
  <c r="E580" i="40"/>
  <c r="E578" i="40"/>
  <c r="E574" i="40"/>
  <c r="E570" i="40"/>
  <c r="E566" i="40"/>
  <c r="E562" i="40"/>
  <c r="E558" i="40"/>
  <c r="E587" i="40"/>
  <c r="E576" i="40"/>
  <c r="E572" i="40"/>
  <c r="E568" i="40"/>
  <c r="E564" i="40"/>
  <c r="E560" i="40"/>
  <c r="E554" i="40"/>
  <c r="E550" i="40"/>
  <c r="E546" i="40"/>
  <c r="E582" i="40"/>
  <c r="E555" i="40"/>
  <c r="E551" i="40"/>
  <c r="E547" i="40"/>
  <c r="E543" i="40"/>
  <c r="E556" i="40"/>
  <c r="E552" i="40"/>
  <c r="E548" i="40"/>
  <c r="E544" i="40"/>
  <c r="E540" i="40"/>
  <c r="E585" i="40"/>
  <c r="E575" i="40"/>
  <c r="E567" i="40"/>
  <c r="E559" i="40"/>
  <c r="E536" i="40"/>
  <c r="E532" i="40"/>
  <c r="E528" i="40"/>
  <c r="E583" i="40"/>
  <c r="E553" i="40"/>
  <c r="E545" i="40"/>
  <c r="E541" i="40"/>
  <c r="E539" i="40"/>
  <c r="E533" i="40"/>
  <c r="E529" i="40"/>
  <c r="E526" i="40"/>
  <c r="E523" i="40"/>
  <c r="E579" i="40"/>
  <c r="E571" i="40"/>
  <c r="E563" i="40"/>
  <c r="E542" i="40"/>
  <c r="E538" i="40"/>
  <c r="E534" i="40"/>
  <c r="E530" i="40"/>
  <c r="E524" i="40"/>
  <c r="E521" i="40"/>
  <c r="E522" i="40"/>
  <c r="E549" i="40"/>
  <c r="E537" i="40"/>
  <c r="E535" i="40"/>
  <c r="E527" i="40"/>
  <c r="E525" i="40"/>
  <c r="E557" i="40"/>
  <c r="E531" i="40"/>
  <c r="I106" i="57"/>
  <c r="Z187" i="40"/>
  <c r="Z185" i="40"/>
  <c r="Z183" i="40"/>
  <c r="Z179" i="40"/>
  <c r="Z182" i="40"/>
  <c r="Z186" i="40"/>
  <c r="Z184" i="40"/>
  <c r="Z181" i="40"/>
  <c r="Z180" i="40"/>
  <c r="Z178" i="40"/>
  <c r="Z175" i="40"/>
  <c r="Z171" i="40"/>
  <c r="Z167" i="40"/>
  <c r="Z163" i="40"/>
  <c r="Z159" i="40"/>
  <c r="Z155" i="40"/>
  <c r="Z151" i="40"/>
  <c r="Z147" i="40"/>
  <c r="Z143" i="40"/>
  <c r="Z139" i="40"/>
  <c r="Z135" i="40"/>
  <c r="Z131" i="40"/>
  <c r="Z127" i="40"/>
  <c r="Z132" i="40"/>
  <c r="Z125" i="40"/>
  <c r="Z174" i="40"/>
  <c r="Z158" i="40"/>
  <c r="Z154" i="40"/>
  <c r="Z176" i="40"/>
  <c r="Z172" i="40"/>
  <c r="Z168" i="40"/>
  <c r="Z164" i="40"/>
  <c r="Z160" i="40"/>
  <c r="Z156" i="40"/>
  <c r="Z152" i="40"/>
  <c r="Z148" i="40"/>
  <c r="Z144" i="40"/>
  <c r="Z140" i="40"/>
  <c r="Z136" i="40"/>
  <c r="Z128" i="40"/>
  <c r="Z122" i="40"/>
  <c r="Z141" i="40"/>
  <c r="Z133" i="40"/>
  <c r="Z129" i="40"/>
  <c r="Z170" i="40"/>
  <c r="Z162" i="40"/>
  <c r="Z142" i="40"/>
  <c r="Z134" i="40"/>
  <c r="Z177" i="40"/>
  <c r="Z173" i="40"/>
  <c r="Z169" i="40"/>
  <c r="Z165" i="40"/>
  <c r="Z161" i="40"/>
  <c r="Z157" i="40"/>
  <c r="Z153" i="40"/>
  <c r="Z149" i="40"/>
  <c r="Z145" i="40"/>
  <c r="Z137" i="40"/>
  <c r="Z123" i="40"/>
  <c r="Z150" i="40"/>
  <c r="Z138" i="40"/>
  <c r="Z166" i="40"/>
  <c r="Z146" i="40"/>
  <c r="Z130" i="40"/>
  <c r="Z126" i="40"/>
  <c r="Z124" i="40"/>
  <c r="S98" i="39"/>
  <c r="AK602" i="40" s="1"/>
  <c r="S94" i="57"/>
  <c r="W106" i="75"/>
  <c r="M94" i="57"/>
  <c r="W599" i="40"/>
  <c r="W595" i="40"/>
  <c r="W591" i="40"/>
  <c r="W586" i="40"/>
  <c r="W584" i="40"/>
  <c r="W581" i="40"/>
  <c r="W575" i="40"/>
  <c r="W571" i="40"/>
  <c r="W567" i="40"/>
  <c r="W563" i="40"/>
  <c r="W559" i="40"/>
  <c r="W596" i="40"/>
  <c r="W592" i="40"/>
  <c r="W588" i="40"/>
  <c r="W580" i="40"/>
  <c r="W576" i="40"/>
  <c r="W572" i="40"/>
  <c r="W568" i="40"/>
  <c r="W564" i="40"/>
  <c r="W560" i="40"/>
  <c r="W556" i="40"/>
  <c r="W552" i="40"/>
  <c r="W548" i="40"/>
  <c r="W544" i="40"/>
  <c r="W598" i="40"/>
  <c r="W594" i="40"/>
  <c r="W590" i="40"/>
  <c r="W583" i="40"/>
  <c r="W579" i="40"/>
  <c r="W557" i="40"/>
  <c r="W553" i="40"/>
  <c r="W549" i="40"/>
  <c r="W545" i="40"/>
  <c r="W541" i="40"/>
  <c r="W585" i="40"/>
  <c r="W554" i="40"/>
  <c r="W550" i="40"/>
  <c r="W546" i="40"/>
  <c r="W542" i="40"/>
  <c r="W538" i="40"/>
  <c r="W589" i="40"/>
  <c r="W587" i="40"/>
  <c r="W582" i="40"/>
  <c r="W539" i="40"/>
  <c r="W534" i="40"/>
  <c r="W530" i="40"/>
  <c r="W526" i="40"/>
  <c r="W524" i="40"/>
  <c r="W521" i="40"/>
  <c r="W578" i="40"/>
  <c r="W573" i="40"/>
  <c r="W570" i="40"/>
  <c r="W565" i="40"/>
  <c r="W562" i="40"/>
  <c r="W555" i="40"/>
  <c r="W547" i="40"/>
  <c r="W540" i="40"/>
  <c r="W535" i="40"/>
  <c r="W531" i="40"/>
  <c r="W527" i="40"/>
  <c r="W597" i="40"/>
  <c r="W532" i="40"/>
  <c r="W528" i="40"/>
  <c r="W525" i="40"/>
  <c r="W522" i="40"/>
  <c r="W577" i="40"/>
  <c r="W569" i="40"/>
  <c r="W561" i="40"/>
  <c r="W537" i="40"/>
  <c r="W536" i="40"/>
  <c r="W523" i="40"/>
  <c r="W593" i="40"/>
  <c r="W574" i="40"/>
  <c r="W566" i="40"/>
  <c r="W558" i="40"/>
  <c r="W551" i="40"/>
  <c r="W529" i="40"/>
  <c r="W543" i="40"/>
  <c r="W533" i="40"/>
  <c r="W488" i="40"/>
  <c r="W482" i="40"/>
  <c r="W478" i="40"/>
  <c r="W486" i="40"/>
  <c r="W484" i="40"/>
  <c r="W480" i="40"/>
  <c r="W477" i="40"/>
  <c r="W476" i="40"/>
  <c r="W472" i="40"/>
  <c r="W468" i="40"/>
  <c r="W464" i="40"/>
  <c r="W460" i="40"/>
  <c r="W456" i="40"/>
  <c r="W452" i="40"/>
  <c r="W448" i="40"/>
  <c r="W444" i="40"/>
  <c r="W440" i="40"/>
  <c r="W436" i="40"/>
  <c r="W432" i="40"/>
  <c r="W428" i="40"/>
  <c r="W425" i="40"/>
  <c r="W422" i="40"/>
  <c r="W481" i="40"/>
  <c r="W473" i="40"/>
  <c r="W469" i="40"/>
  <c r="W465" i="40"/>
  <c r="W461" i="40"/>
  <c r="W457" i="40"/>
  <c r="W453" i="40"/>
  <c r="W449" i="40"/>
  <c r="W445" i="40"/>
  <c r="W441" i="40"/>
  <c r="W437" i="40"/>
  <c r="W433" i="40"/>
  <c r="W429" i="40"/>
  <c r="W485" i="40"/>
  <c r="W483" i="40"/>
  <c r="W479" i="40"/>
  <c r="W424" i="40"/>
  <c r="W421" i="40"/>
  <c r="W487" i="40"/>
  <c r="W475" i="40"/>
  <c r="W474" i="40"/>
  <c r="W471" i="40"/>
  <c r="W470" i="40"/>
  <c r="W467" i="40"/>
  <c r="W466" i="40"/>
  <c r="W463" i="40"/>
  <c r="W462" i="40"/>
  <c r="W459" i="40"/>
  <c r="W458" i="40"/>
  <c r="W455" i="40"/>
  <c r="W454" i="40"/>
  <c r="W451" i="40"/>
  <c r="W450" i="40"/>
  <c r="W447" i="40"/>
  <c r="W446" i="40"/>
  <c r="W443" i="40"/>
  <c r="W442" i="40"/>
  <c r="W439" i="40"/>
  <c r="W438" i="40"/>
  <c r="W435" i="40"/>
  <c r="W434" i="40"/>
  <c r="W431" i="40"/>
  <c r="W430" i="40"/>
  <c r="W427" i="40"/>
  <c r="W426" i="40"/>
  <c r="W423" i="40"/>
  <c r="I93" i="57"/>
  <c r="V488" i="40"/>
  <c r="V477" i="40"/>
  <c r="V475" i="40"/>
  <c r="V471" i="40"/>
  <c r="V467" i="40"/>
  <c r="V463" i="40"/>
  <c r="V459" i="40"/>
  <c r="V455" i="40"/>
  <c r="V451" i="40"/>
  <c r="V447" i="40"/>
  <c r="V443" i="40"/>
  <c r="V439" i="40"/>
  <c r="V435" i="40"/>
  <c r="V431" i="40"/>
  <c r="V427" i="40"/>
  <c r="V478" i="40"/>
  <c r="V476" i="40"/>
  <c r="V472" i="40"/>
  <c r="V468" i="40"/>
  <c r="V464" i="40"/>
  <c r="V460" i="40"/>
  <c r="V456" i="40"/>
  <c r="V452" i="40"/>
  <c r="V448" i="40"/>
  <c r="V444" i="40"/>
  <c r="V440" i="40"/>
  <c r="V436" i="40"/>
  <c r="V432" i="40"/>
  <c r="V428" i="40"/>
  <c r="V473" i="40"/>
  <c r="V469" i="40"/>
  <c r="V465" i="40"/>
  <c r="V461" i="40"/>
  <c r="V457" i="40"/>
  <c r="V453" i="40"/>
  <c r="V449" i="40"/>
  <c r="V445" i="40"/>
  <c r="V441" i="40"/>
  <c r="V437" i="40"/>
  <c r="V433" i="40"/>
  <c r="V429" i="40"/>
  <c r="V423" i="40"/>
  <c r="V424" i="40"/>
  <c r="V421" i="40"/>
  <c r="V474" i="40"/>
  <c r="V470" i="40"/>
  <c r="V466" i="40"/>
  <c r="V462" i="40"/>
  <c r="V458" i="40"/>
  <c r="V454" i="40"/>
  <c r="V450" i="40"/>
  <c r="V446" i="40"/>
  <c r="V442" i="40"/>
  <c r="V438" i="40"/>
  <c r="V434" i="40"/>
  <c r="V430" i="40"/>
  <c r="U175" i="40"/>
  <c r="U171" i="40"/>
  <c r="U167" i="40"/>
  <c r="U163" i="40"/>
  <c r="U159" i="40"/>
  <c r="U155" i="40"/>
  <c r="U151" i="40"/>
  <c r="U147" i="40"/>
  <c r="U143" i="40"/>
  <c r="U139" i="40"/>
  <c r="U135" i="40"/>
  <c r="U131" i="40"/>
  <c r="U127" i="40"/>
  <c r="U122" i="40"/>
  <c r="U132" i="40"/>
  <c r="U128" i="40"/>
  <c r="U145" i="40"/>
  <c r="U137" i="40"/>
  <c r="U123" i="40"/>
  <c r="U166" i="40"/>
  <c r="U146" i="40"/>
  <c r="U138" i="40"/>
  <c r="U176" i="40"/>
  <c r="U172" i="40"/>
  <c r="U168" i="40"/>
  <c r="U164" i="40"/>
  <c r="U160" i="40"/>
  <c r="U156" i="40"/>
  <c r="U152" i="40"/>
  <c r="U148" i="40"/>
  <c r="U144" i="40"/>
  <c r="U140" i="40"/>
  <c r="U136" i="40"/>
  <c r="U154" i="40"/>
  <c r="U130" i="40"/>
  <c r="U177" i="40"/>
  <c r="U173" i="40"/>
  <c r="U169" i="40"/>
  <c r="U165" i="40"/>
  <c r="U161" i="40"/>
  <c r="U157" i="40"/>
  <c r="U153" i="40"/>
  <c r="U149" i="40"/>
  <c r="U141" i="40"/>
  <c r="U133" i="40"/>
  <c r="U129" i="40"/>
  <c r="U174" i="40"/>
  <c r="U170" i="40"/>
  <c r="U158" i="40"/>
  <c r="U178" i="40"/>
  <c r="U162" i="40"/>
  <c r="U150" i="40"/>
  <c r="U142" i="40"/>
  <c r="U134" i="40"/>
  <c r="U124" i="40"/>
  <c r="Q613" i="40"/>
  <c r="K90" i="57"/>
  <c r="Q620" i="40"/>
  <c r="T582" i="40"/>
  <c r="T576" i="40"/>
  <c r="T572" i="40"/>
  <c r="T568" i="40"/>
  <c r="T564" i="40"/>
  <c r="T560" i="40"/>
  <c r="T581" i="40"/>
  <c r="T577" i="40"/>
  <c r="T573" i="40"/>
  <c r="T569" i="40"/>
  <c r="T565" i="40"/>
  <c r="T561" i="40"/>
  <c r="T578" i="40"/>
  <c r="T574" i="40"/>
  <c r="T570" i="40"/>
  <c r="T566" i="40"/>
  <c r="T562" i="40"/>
  <c r="T558" i="40"/>
  <c r="T557" i="40"/>
  <c r="T553" i="40"/>
  <c r="T549" i="40"/>
  <c r="T545" i="40"/>
  <c r="T554" i="40"/>
  <c r="T550" i="40"/>
  <c r="T546" i="40"/>
  <c r="T542" i="40"/>
  <c r="T583" i="40"/>
  <c r="T580" i="40"/>
  <c r="T579" i="40"/>
  <c r="T575" i="40"/>
  <c r="T571" i="40"/>
  <c r="T567" i="40"/>
  <c r="T563" i="40"/>
  <c r="T559" i="40"/>
  <c r="T555" i="40"/>
  <c r="T551" i="40"/>
  <c r="T547" i="40"/>
  <c r="T543" i="40"/>
  <c r="T539" i="40"/>
  <c r="T541" i="40"/>
  <c r="T538" i="40"/>
  <c r="T535" i="40"/>
  <c r="T531" i="40"/>
  <c r="T527" i="40"/>
  <c r="T522" i="40"/>
  <c r="T552" i="40"/>
  <c r="T544" i="40"/>
  <c r="T537" i="40"/>
  <c r="T536" i="40"/>
  <c r="T532" i="40"/>
  <c r="T528" i="40"/>
  <c r="T533" i="40"/>
  <c r="T529" i="40"/>
  <c r="T523" i="40"/>
  <c r="T548" i="40"/>
  <c r="T521" i="40"/>
  <c r="T540" i="40"/>
  <c r="T534" i="40"/>
  <c r="T556" i="40"/>
  <c r="T530" i="40"/>
  <c r="T524" i="40"/>
  <c r="S90" i="39"/>
  <c r="S380" i="40"/>
  <c r="S378" i="40"/>
  <c r="S374" i="40"/>
  <c r="S383" i="40"/>
  <c r="S379" i="40"/>
  <c r="S375" i="40"/>
  <c r="S371" i="40"/>
  <c r="S382" i="40"/>
  <c r="S377" i="40"/>
  <c r="S376" i="40"/>
  <c r="S373" i="40"/>
  <c r="S372" i="40"/>
  <c r="S370" i="40"/>
  <c r="S366" i="40"/>
  <c r="S362" i="40"/>
  <c r="S358" i="40"/>
  <c r="S354" i="40"/>
  <c r="S350" i="40"/>
  <c r="S346" i="40"/>
  <c r="S342" i="40"/>
  <c r="S338" i="40"/>
  <c r="S334" i="40"/>
  <c r="S330" i="40"/>
  <c r="S324" i="40"/>
  <c r="S321" i="40"/>
  <c r="S381" i="40"/>
  <c r="S367" i="40"/>
  <c r="S363" i="40"/>
  <c r="S359" i="40"/>
  <c r="S355" i="40"/>
  <c r="S351" i="40"/>
  <c r="S347" i="40"/>
  <c r="S343" i="40"/>
  <c r="S339" i="40"/>
  <c r="S335" i="40"/>
  <c r="S331" i="40"/>
  <c r="S327" i="40"/>
  <c r="S322" i="40"/>
  <c r="S368" i="40"/>
  <c r="S364" i="40"/>
  <c r="S360" i="40"/>
  <c r="S356" i="40"/>
  <c r="S352" i="40"/>
  <c r="S348" i="40"/>
  <c r="S344" i="40"/>
  <c r="S340" i="40"/>
  <c r="S336" i="40"/>
  <c r="S332" i="40"/>
  <c r="S328" i="40"/>
  <c r="S369" i="40"/>
  <c r="S365" i="40"/>
  <c r="S361" i="40"/>
  <c r="S357" i="40"/>
  <c r="S353" i="40"/>
  <c r="S349" i="40"/>
  <c r="S345" i="40"/>
  <c r="S341" i="40"/>
  <c r="S337" i="40"/>
  <c r="S333" i="40"/>
  <c r="S329" i="40"/>
  <c r="S323" i="40"/>
  <c r="R488" i="40"/>
  <c r="R481" i="40"/>
  <c r="R477" i="40"/>
  <c r="R483" i="40"/>
  <c r="R479" i="40"/>
  <c r="R480" i="40"/>
  <c r="R475" i="40"/>
  <c r="R471" i="40"/>
  <c r="R467" i="40"/>
  <c r="R463" i="40"/>
  <c r="R459" i="40"/>
  <c r="R455" i="40"/>
  <c r="R451" i="40"/>
  <c r="R447" i="40"/>
  <c r="R443" i="40"/>
  <c r="R439" i="40"/>
  <c r="R435" i="40"/>
  <c r="R431" i="40"/>
  <c r="R427" i="40"/>
  <c r="R422" i="40"/>
  <c r="R476" i="40"/>
  <c r="R472" i="40"/>
  <c r="R468" i="40"/>
  <c r="R464" i="40"/>
  <c r="R460" i="40"/>
  <c r="R456" i="40"/>
  <c r="R452" i="40"/>
  <c r="R448" i="40"/>
  <c r="R444" i="40"/>
  <c r="R440" i="40"/>
  <c r="R436" i="40"/>
  <c r="R432" i="40"/>
  <c r="R428" i="40"/>
  <c r="R424" i="40"/>
  <c r="R421" i="40"/>
  <c r="R474" i="40"/>
  <c r="R470" i="40"/>
  <c r="R466" i="40"/>
  <c r="R462" i="40"/>
  <c r="R458" i="40"/>
  <c r="R454" i="40"/>
  <c r="R450" i="40"/>
  <c r="R446" i="40"/>
  <c r="R442" i="40"/>
  <c r="R438" i="40"/>
  <c r="R434" i="40"/>
  <c r="R430" i="40"/>
  <c r="R482" i="40"/>
  <c r="R473" i="40"/>
  <c r="R469" i="40"/>
  <c r="R465" i="40"/>
  <c r="R461" i="40"/>
  <c r="R457" i="40"/>
  <c r="R453" i="40"/>
  <c r="R449" i="40"/>
  <c r="R445" i="40"/>
  <c r="R441" i="40"/>
  <c r="R437" i="40"/>
  <c r="R433" i="40"/>
  <c r="R429" i="40"/>
  <c r="R478" i="40"/>
  <c r="R423" i="40"/>
  <c r="E104" i="75"/>
  <c r="M77" i="57"/>
  <c r="E387" i="40"/>
  <c r="E385" i="40"/>
  <c r="E382" i="40"/>
  <c r="E376" i="40"/>
  <c r="E372" i="40"/>
  <c r="E381" i="40"/>
  <c r="E377" i="40"/>
  <c r="E373" i="40"/>
  <c r="E386" i="40"/>
  <c r="E368" i="40"/>
  <c r="E364" i="40"/>
  <c r="E360" i="40"/>
  <c r="E356" i="40"/>
  <c r="E352" i="40"/>
  <c r="E348" i="40"/>
  <c r="E344" i="40"/>
  <c r="E340" i="40"/>
  <c r="E336" i="40"/>
  <c r="E332" i="40"/>
  <c r="E328" i="40"/>
  <c r="E384" i="40"/>
  <c r="E380" i="40"/>
  <c r="E369" i="40"/>
  <c r="E365" i="40"/>
  <c r="E361" i="40"/>
  <c r="E357" i="40"/>
  <c r="E353" i="40"/>
  <c r="E349" i="40"/>
  <c r="E345" i="40"/>
  <c r="E341" i="40"/>
  <c r="E337" i="40"/>
  <c r="E333" i="40"/>
  <c r="E329" i="40"/>
  <c r="E326" i="40"/>
  <c r="E323" i="40"/>
  <c r="E378" i="40"/>
  <c r="E374" i="40"/>
  <c r="E370" i="40"/>
  <c r="E366" i="40"/>
  <c r="E362" i="40"/>
  <c r="E358" i="40"/>
  <c r="E354" i="40"/>
  <c r="E350" i="40"/>
  <c r="E346" i="40"/>
  <c r="E342" i="40"/>
  <c r="E338" i="40"/>
  <c r="E334" i="40"/>
  <c r="E330" i="40"/>
  <c r="E324" i="40"/>
  <c r="E321" i="40"/>
  <c r="E383" i="40"/>
  <c r="E379" i="40"/>
  <c r="E375" i="40"/>
  <c r="E371" i="40"/>
  <c r="E367" i="40"/>
  <c r="E363" i="40"/>
  <c r="E359" i="40"/>
  <c r="E355" i="40"/>
  <c r="E351" i="40"/>
  <c r="E347" i="40"/>
  <c r="E343" i="40"/>
  <c r="E339" i="40"/>
  <c r="E335" i="40"/>
  <c r="E331" i="40"/>
  <c r="E327" i="40"/>
  <c r="E325" i="40"/>
  <c r="E322" i="40"/>
  <c r="E488" i="40"/>
  <c r="E487" i="40"/>
  <c r="E485" i="40"/>
  <c r="E482" i="40"/>
  <c r="E486" i="40"/>
  <c r="E484" i="40"/>
  <c r="E480" i="40"/>
  <c r="E477" i="40"/>
  <c r="E474" i="40"/>
  <c r="E470" i="40"/>
  <c r="E466" i="40"/>
  <c r="E462" i="40"/>
  <c r="E458" i="40"/>
  <c r="E454" i="40"/>
  <c r="E450" i="40"/>
  <c r="E446" i="40"/>
  <c r="E442" i="40"/>
  <c r="E438" i="40"/>
  <c r="E434" i="40"/>
  <c r="E430" i="40"/>
  <c r="E424" i="40"/>
  <c r="E421" i="40"/>
  <c r="E483" i="40"/>
  <c r="E479" i="40"/>
  <c r="E475" i="40"/>
  <c r="E471" i="40"/>
  <c r="E467" i="40"/>
  <c r="E463" i="40"/>
  <c r="E459" i="40"/>
  <c r="E455" i="40"/>
  <c r="E451" i="40"/>
  <c r="E447" i="40"/>
  <c r="E443" i="40"/>
  <c r="E439" i="40"/>
  <c r="E435" i="40"/>
  <c r="E431" i="40"/>
  <c r="E427" i="40"/>
  <c r="E425" i="40"/>
  <c r="E423" i="40"/>
  <c r="E422" i="40"/>
  <c r="E481" i="40"/>
  <c r="E476" i="40"/>
  <c r="E472" i="40"/>
  <c r="E468" i="40"/>
  <c r="E464" i="40"/>
  <c r="E460" i="40"/>
  <c r="E456" i="40"/>
  <c r="E452" i="40"/>
  <c r="E448" i="40"/>
  <c r="E444" i="40"/>
  <c r="E440" i="40"/>
  <c r="E436" i="40"/>
  <c r="E432" i="40"/>
  <c r="E428" i="40"/>
  <c r="E478" i="40"/>
  <c r="E473" i="40"/>
  <c r="E469" i="40"/>
  <c r="E465" i="40"/>
  <c r="E461" i="40"/>
  <c r="E457" i="40"/>
  <c r="E453" i="40"/>
  <c r="E449" i="40"/>
  <c r="E445" i="40"/>
  <c r="E441" i="40"/>
  <c r="E437" i="40"/>
  <c r="E433" i="40"/>
  <c r="E429" i="40"/>
  <c r="E426" i="40"/>
  <c r="Q281" i="40"/>
  <c r="Q286" i="40"/>
  <c r="Q284" i="40"/>
  <c r="Q283" i="40"/>
  <c r="Q287" i="40"/>
  <c r="Q285" i="40"/>
  <c r="Q282" i="40"/>
  <c r="Q276" i="40"/>
  <c r="Q272" i="40"/>
  <c r="Q268" i="40"/>
  <c r="Q264" i="40"/>
  <c r="Q260" i="40"/>
  <c r="Q256" i="40"/>
  <c r="Q252" i="40"/>
  <c r="Q248" i="40"/>
  <c r="Q244" i="40"/>
  <c r="Q240" i="40"/>
  <c r="Q236" i="40"/>
  <c r="Q232" i="40"/>
  <c r="Q228" i="40"/>
  <c r="Q277" i="40"/>
  <c r="Q273" i="40"/>
  <c r="Q269" i="40"/>
  <c r="Q265" i="40"/>
  <c r="Q261" i="40"/>
  <c r="Q257" i="40"/>
  <c r="Q253" i="40"/>
  <c r="Q249" i="40"/>
  <c r="Q245" i="40"/>
  <c r="Q241" i="40"/>
  <c r="Q237" i="40"/>
  <c r="Q233" i="40"/>
  <c r="Q229" i="40"/>
  <c r="Q226" i="40"/>
  <c r="Q223" i="40"/>
  <c r="Q280" i="40"/>
  <c r="Q278" i="40"/>
  <c r="Q274" i="40"/>
  <c r="Q270" i="40"/>
  <c r="Q266" i="40"/>
  <c r="Q262" i="40"/>
  <c r="Q258" i="40"/>
  <c r="Q254" i="40"/>
  <c r="Q250" i="40"/>
  <c r="Q246" i="40"/>
  <c r="Q242" i="40"/>
  <c r="Q238" i="40"/>
  <c r="Q234" i="40"/>
  <c r="Q230" i="40"/>
  <c r="Q224" i="40"/>
  <c r="Q221" i="40"/>
  <c r="Q279" i="40"/>
  <c r="Q275" i="40"/>
  <c r="Q271" i="40"/>
  <c r="Q267" i="40"/>
  <c r="Q263" i="40"/>
  <c r="Q259" i="40"/>
  <c r="Q255" i="40"/>
  <c r="Q251" i="40"/>
  <c r="Q247" i="40"/>
  <c r="Q243" i="40"/>
  <c r="Q239" i="40"/>
  <c r="Q235" i="40"/>
  <c r="Q231" i="40"/>
  <c r="Q227" i="40"/>
  <c r="Q225" i="40"/>
  <c r="Q222" i="40"/>
  <c r="Q488" i="40"/>
  <c r="Q487" i="40"/>
  <c r="Q485" i="40"/>
  <c r="Q482" i="40"/>
  <c r="Q486" i="40"/>
  <c r="Q484" i="40"/>
  <c r="Q480" i="40"/>
  <c r="Q478" i="40"/>
  <c r="Q477" i="40"/>
  <c r="Q474" i="40"/>
  <c r="Q470" i="40"/>
  <c r="Q466" i="40"/>
  <c r="Q462" i="40"/>
  <c r="Q458" i="40"/>
  <c r="Q454" i="40"/>
  <c r="Q450" i="40"/>
  <c r="Q446" i="40"/>
  <c r="Q442" i="40"/>
  <c r="Q438" i="40"/>
  <c r="Q434" i="40"/>
  <c r="Q430" i="40"/>
  <c r="Q424" i="40"/>
  <c r="Q421" i="40"/>
  <c r="Q483" i="40"/>
  <c r="Q479" i="40"/>
  <c r="Q475" i="40"/>
  <c r="Q471" i="40"/>
  <c r="Q467" i="40"/>
  <c r="Q463" i="40"/>
  <c r="Q459" i="40"/>
  <c r="Q455" i="40"/>
  <c r="Q451" i="40"/>
  <c r="Q447" i="40"/>
  <c r="Q443" i="40"/>
  <c r="Q439" i="40"/>
  <c r="Q435" i="40"/>
  <c r="Q431" i="40"/>
  <c r="Q427" i="40"/>
  <c r="Q425" i="40"/>
  <c r="Q423" i="40"/>
  <c r="Q422" i="40"/>
  <c r="Q481" i="40"/>
  <c r="Q476" i="40"/>
  <c r="Q472" i="40"/>
  <c r="Q468" i="40"/>
  <c r="Q464" i="40"/>
  <c r="Q460" i="40"/>
  <c r="Q456" i="40"/>
  <c r="Q452" i="40"/>
  <c r="Q448" i="40"/>
  <c r="Q444" i="40"/>
  <c r="Q440" i="40"/>
  <c r="Q436" i="40"/>
  <c r="Q432" i="40"/>
  <c r="Q428" i="40"/>
  <c r="Q473" i="40"/>
  <c r="Q469" i="40"/>
  <c r="Q465" i="40"/>
  <c r="Q461" i="40"/>
  <c r="Q457" i="40"/>
  <c r="Q453" i="40"/>
  <c r="Q449" i="40"/>
  <c r="Q445" i="40"/>
  <c r="Q441" i="40"/>
  <c r="Q437" i="40"/>
  <c r="Q433" i="40"/>
  <c r="Q429" i="40"/>
  <c r="Q426" i="40"/>
  <c r="Q581" i="40"/>
  <c r="Q577" i="40"/>
  <c r="Q573" i="40"/>
  <c r="Q569" i="40"/>
  <c r="Q565" i="40"/>
  <c r="Q561" i="40"/>
  <c r="Q586" i="40"/>
  <c r="Q584" i="40"/>
  <c r="Q580" i="40"/>
  <c r="Q578" i="40"/>
  <c r="Q574" i="40"/>
  <c r="Q570" i="40"/>
  <c r="Q566" i="40"/>
  <c r="Q562" i="40"/>
  <c r="Q558" i="40"/>
  <c r="Q587" i="40"/>
  <c r="Q576" i="40"/>
  <c r="Q572" i="40"/>
  <c r="Q568" i="40"/>
  <c r="Q564" i="40"/>
  <c r="Q560" i="40"/>
  <c r="Q554" i="40"/>
  <c r="Q550" i="40"/>
  <c r="Q546" i="40"/>
  <c r="Q582" i="40"/>
  <c r="Q555" i="40"/>
  <c r="Q551" i="40"/>
  <c r="Q547" i="40"/>
  <c r="Q543" i="40"/>
  <c r="Q556" i="40"/>
  <c r="Q552" i="40"/>
  <c r="Q548" i="40"/>
  <c r="Q544" i="40"/>
  <c r="Q540" i="40"/>
  <c r="Q585" i="40"/>
  <c r="Q575" i="40"/>
  <c r="Q567" i="40"/>
  <c r="Q559" i="40"/>
  <c r="Q536" i="40"/>
  <c r="Q532" i="40"/>
  <c r="Q528" i="40"/>
  <c r="Q583" i="40"/>
  <c r="Q553" i="40"/>
  <c r="Q545" i="40"/>
  <c r="Q541" i="40"/>
  <c r="Q539" i="40"/>
  <c r="Q533" i="40"/>
  <c r="Q529" i="40"/>
  <c r="Q526" i="40"/>
  <c r="Q523" i="40"/>
  <c r="Q579" i="40"/>
  <c r="Q571" i="40"/>
  <c r="Q563" i="40"/>
  <c r="Q542" i="40"/>
  <c r="Q538" i="40"/>
  <c r="Q534" i="40"/>
  <c r="Q530" i="40"/>
  <c r="Q524" i="40"/>
  <c r="Q521" i="40"/>
  <c r="Q522" i="40"/>
  <c r="Q549" i="40"/>
  <c r="Q537" i="40"/>
  <c r="Q535" i="40"/>
  <c r="Q527" i="40"/>
  <c r="Q525" i="40"/>
  <c r="Q557" i="40"/>
  <c r="Q531" i="40"/>
  <c r="Z110" i="75"/>
  <c r="Z108" i="75"/>
  <c r="Q106" i="57"/>
  <c r="M98" i="57"/>
  <c r="I98" i="57"/>
  <c r="W621" i="40"/>
  <c r="I94" i="57"/>
  <c r="W199" i="40"/>
  <c r="W195" i="40"/>
  <c r="W191" i="40"/>
  <c r="W186" i="40"/>
  <c r="W184" i="40"/>
  <c r="W181" i="40"/>
  <c r="W200" i="40"/>
  <c r="W196" i="40"/>
  <c r="W192" i="40"/>
  <c r="W188" i="40"/>
  <c r="W180" i="40"/>
  <c r="W197" i="40"/>
  <c r="W193" i="40"/>
  <c r="W189" i="40"/>
  <c r="W187" i="40"/>
  <c r="W185" i="40"/>
  <c r="W183" i="40"/>
  <c r="W179" i="40"/>
  <c r="W198" i="40"/>
  <c r="W194" i="40"/>
  <c r="W190" i="40"/>
  <c r="W182" i="40"/>
  <c r="W177" i="40"/>
  <c r="W173" i="40"/>
  <c r="W169" i="40"/>
  <c r="W165" i="40"/>
  <c r="W161" i="40"/>
  <c r="W157" i="40"/>
  <c r="W153" i="40"/>
  <c r="W149" i="40"/>
  <c r="W145" i="40"/>
  <c r="W141" i="40"/>
  <c r="W137" i="40"/>
  <c r="W133" i="40"/>
  <c r="W129" i="40"/>
  <c r="W123" i="40"/>
  <c r="W130" i="40"/>
  <c r="W126" i="40"/>
  <c r="W127" i="40"/>
  <c r="W160" i="40"/>
  <c r="W144" i="40"/>
  <c r="W136" i="40"/>
  <c r="W132" i="40"/>
  <c r="W178" i="40"/>
  <c r="W174" i="40"/>
  <c r="W170" i="40"/>
  <c r="W166" i="40"/>
  <c r="W162" i="40"/>
  <c r="W158" i="40"/>
  <c r="W154" i="40"/>
  <c r="W150" i="40"/>
  <c r="W146" i="40"/>
  <c r="W142" i="40"/>
  <c r="W138" i="40"/>
  <c r="W134" i="40"/>
  <c r="W124" i="40"/>
  <c r="W143" i="40"/>
  <c r="W139" i="40"/>
  <c r="W135" i="40"/>
  <c r="W152" i="40"/>
  <c r="W140" i="40"/>
  <c r="W175" i="40"/>
  <c r="W171" i="40"/>
  <c r="W167" i="40"/>
  <c r="W163" i="40"/>
  <c r="W159" i="40"/>
  <c r="W155" i="40"/>
  <c r="W151" i="40"/>
  <c r="W147" i="40"/>
  <c r="W131" i="40"/>
  <c r="W176" i="40"/>
  <c r="W172" i="40"/>
  <c r="W156" i="40"/>
  <c r="W148" i="40"/>
  <c r="W168" i="40"/>
  <c r="W164" i="40"/>
  <c r="W128" i="40"/>
  <c r="W125" i="40"/>
  <c r="W122" i="40"/>
  <c r="K92" i="57"/>
  <c r="V277" i="40"/>
  <c r="V273" i="40"/>
  <c r="V269" i="40"/>
  <c r="V265" i="40"/>
  <c r="V261" i="40"/>
  <c r="V257" i="40"/>
  <c r="V253" i="40"/>
  <c r="V249" i="40"/>
  <c r="V245" i="40"/>
  <c r="V241" i="40"/>
  <c r="V237" i="40"/>
  <c r="V233" i="40"/>
  <c r="V229" i="40"/>
  <c r="V223" i="40"/>
  <c r="V278" i="40"/>
  <c r="V274" i="40"/>
  <c r="V270" i="40"/>
  <c r="V266" i="40"/>
  <c r="V262" i="40"/>
  <c r="V258" i="40"/>
  <c r="V254" i="40"/>
  <c r="V250" i="40"/>
  <c r="V246" i="40"/>
  <c r="V242" i="40"/>
  <c r="V238" i="40"/>
  <c r="V234" i="40"/>
  <c r="V230" i="40"/>
  <c r="V224" i="40"/>
  <c r="V221" i="40"/>
  <c r="V275" i="40"/>
  <c r="V271" i="40"/>
  <c r="V267" i="40"/>
  <c r="V263" i="40"/>
  <c r="V259" i="40"/>
  <c r="V255" i="40"/>
  <c r="V251" i="40"/>
  <c r="V247" i="40"/>
  <c r="V243" i="40"/>
  <c r="V239" i="40"/>
  <c r="V235" i="40"/>
  <c r="V231" i="40"/>
  <c r="V227" i="40"/>
  <c r="V276" i="40"/>
  <c r="V272" i="40"/>
  <c r="V268" i="40"/>
  <c r="V264" i="40"/>
  <c r="V260" i="40"/>
  <c r="V256" i="40"/>
  <c r="V252" i="40"/>
  <c r="V248" i="40"/>
  <c r="V244" i="40"/>
  <c r="V240" i="40"/>
  <c r="V236" i="40"/>
  <c r="V232" i="40"/>
  <c r="V228" i="40"/>
  <c r="U577" i="40"/>
  <c r="U573" i="40"/>
  <c r="U569" i="40"/>
  <c r="U565" i="40"/>
  <c r="U561" i="40"/>
  <c r="U578" i="40"/>
  <c r="U574" i="40"/>
  <c r="U570" i="40"/>
  <c r="U566" i="40"/>
  <c r="U562" i="40"/>
  <c r="U558" i="40"/>
  <c r="U554" i="40"/>
  <c r="U550" i="40"/>
  <c r="U546" i="40"/>
  <c r="U575" i="40"/>
  <c r="U571" i="40"/>
  <c r="U567" i="40"/>
  <c r="U563" i="40"/>
  <c r="U559" i="40"/>
  <c r="U555" i="40"/>
  <c r="U551" i="40"/>
  <c r="U547" i="40"/>
  <c r="U543" i="40"/>
  <c r="U576" i="40"/>
  <c r="U572" i="40"/>
  <c r="U568" i="40"/>
  <c r="U564" i="40"/>
  <c r="U560" i="40"/>
  <c r="U556" i="40"/>
  <c r="U552" i="40"/>
  <c r="U548" i="40"/>
  <c r="U544" i="40"/>
  <c r="U540" i="40"/>
  <c r="U536" i="40"/>
  <c r="U553" i="40"/>
  <c r="U545" i="40"/>
  <c r="U542" i="40"/>
  <c r="U537" i="40"/>
  <c r="U532" i="40"/>
  <c r="U528" i="40"/>
  <c r="U533" i="40"/>
  <c r="U529" i="40"/>
  <c r="U523" i="40"/>
  <c r="U557" i="40"/>
  <c r="U549" i="40"/>
  <c r="U539" i="40"/>
  <c r="U534" i="40"/>
  <c r="U530" i="40"/>
  <c r="U524" i="40"/>
  <c r="U521" i="40"/>
  <c r="U535" i="40"/>
  <c r="U527" i="40"/>
  <c r="U538" i="40"/>
  <c r="U531" i="40"/>
  <c r="U541" i="40"/>
  <c r="U522" i="40"/>
  <c r="U376" i="40"/>
  <c r="U372" i="40"/>
  <c r="U377" i="40"/>
  <c r="U373" i="40"/>
  <c r="U378" i="40"/>
  <c r="U374" i="40"/>
  <c r="U368" i="40"/>
  <c r="U364" i="40"/>
  <c r="U360" i="40"/>
  <c r="U356" i="40"/>
  <c r="U352" i="40"/>
  <c r="U348" i="40"/>
  <c r="U344" i="40"/>
  <c r="U340" i="40"/>
  <c r="U336" i="40"/>
  <c r="U332" i="40"/>
  <c r="U328" i="40"/>
  <c r="U375" i="40"/>
  <c r="U371" i="40"/>
  <c r="U369" i="40"/>
  <c r="U365" i="40"/>
  <c r="U361" i="40"/>
  <c r="U357" i="40"/>
  <c r="U353" i="40"/>
  <c r="U349" i="40"/>
  <c r="U345" i="40"/>
  <c r="U341" i="40"/>
  <c r="U337" i="40"/>
  <c r="U333" i="40"/>
  <c r="U329" i="40"/>
  <c r="U323" i="40"/>
  <c r="U370" i="40"/>
  <c r="U366" i="40"/>
  <c r="U362" i="40"/>
  <c r="U358" i="40"/>
  <c r="U354" i="40"/>
  <c r="U350" i="40"/>
  <c r="U346" i="40"/>
  <c r="U342" i="40"/>
  <c r="U338" i="40"/>
  <c r="U334" i="40"/>
  <c r="U330" i="40"/>
  <c r="U324" i="40"/>
  <c r="U321" i="40"/>
  <c r="U367" i="40"/>
  <c r="U363" i="40"/>
  <c r="U359" i="40"/>
  <c r="U355" i="40"/>
  <c r="U351" i="40"/>
  <c r="U347" i="40"/>
  <c r="U343" i="40"/>
  <c r="U339" i="40"/>
  <c r="U335" i="40"/>
  <c r="U331" i="40"/>
  <c r="U327" i="40"/>
  <c r="U322" i="40"/>
  <c r="Q610" i="40"/>
  <c r="R102" i="75"/>
  <c r="Q638" i="40"/>
  <c r="S583" i="40"/>
  <c r="S579" i="40"/>
  <c r="S575" i="40"/>
  <c r="S571" i="40"/>
  <c r="S567" i="40"/>
  <c r="S563" i="40"/>
  <c r="S559" i="40"/>
  <c r="S582" i="40"/>
  <c r="S576" i="40"/>
  <c r="S572" i="40"/>
  <c r="S568" i="40"/>
  <c r="S564" i="40"/>
  <c r="S560" i="40"/>
  <c r="S556" i="40"/>
  <c r="S552" i="40"/>
  <c r="S548" i="40"/>
  <c r="S544" i="40"/>
  <c r="S578" i="40"/>
  <c r="S577" i="40"/>
  <c r="S574" i="40"/>
  <c r="S573" i="40"/>
  <c r="S570" i="40"/>
  <c r="S569" i="40"/>
  <c r="S566" i="40"/>
  <c r="S565" i="40"/>
  <c r="S562" i="40"/>
  <c r="S561" i="40"/>
  <c r="S558" i="40"/>
  <c r="S557" i="40"/>
  <c r="S553" i="40"/>
  <c r="S549" i="40"/>
  <c r="S545" i="40"/>
  <c r="S541" i="40"/>
  <c r="S581" i="40"/>
  <c r="S554" i="40"/>
  <c r="S550" i="40"/>
  <c r="S546" i="40"/>
  <c r="S542" i="40"/>
  <c r="S538" i="40"/>
  <c r="S580" i="40"/>
  <c r="S551" i="40"/>
  <c r="S543" i="40"/>
  <c r="S540" i="40"/>
  <c r="S534" i="40"/>
  <c r="S530" i="40"/>
  <c r="S524" i="40"/>
  <c r="S521" i="40"/>
  <c r="S535" i="40"/>
  <c r="S531" i="40"/>
  <c r="S527" i="40"/>
  <c r="S522" i="40"/>
  <c r="S555" i="40"/>
  <c r="S547" i="40"/>
  <c r="S537" i="40"/>
  <c r="S536" i="40"/>
  <c r="S532" i="40"/>
  <c r="S528" i="40"/>
  <c r="S539" i="40"/>
  <c r="S533" i="40"/>
  <c r="S523" i="40"/>
  <c r="S529" i="40"/>
  <c r="S183" i="40"/>
  <c r="S179" i="40"/>
  <c r="S182" i="40"/>
  <c r="S181" i="40"/>
  <c r="S180" i="40"/>
  <c r="S177" i="40"/>
  <c r="S173" i="40"/>
  <c r="S169" i="40"/>
  <c r="S165" i="40"/>
  <c r="S161" i="40"/>
  <c r="S157" i="40"/>
  <c r="S153" i="40"/>
  <c r="S149" i="40"/>
  <c r="S145" i="40"/>
  <c r="S141" i="40"/>
  <c r="S137" i="40"/>
  <c r="S133" i="40"/>
  <c r="S129" i="40"/>
  <c r="S123" i="40"/>
  <c r="S130" i="40"/>
  <c r="S124" i="40"/>
  <c r="S131" i="40"/>
  <c r="S176" i="40"/>
  <c r="S172" i="40"/>
  <c r="S168" i="40"/>
  <c r="S164" i="40"/>
  <c r="S156" i="40"/>
  <c r="S152" i="40"/>
  <c r="S140" i="40"/>
  <c r="S178" i="40"/>
  <c r="S174" i="40"/>
  <c r="S170" i="40"/>
  <c r="S166" i="40"/>
  <c r="S162" i="40"/>
  <c r="S158" i="40"/>
  <c r="S154" i="40"/>
  <c r="S150" i="40"/>
  <c r="S146" i="40"/>
  <c r="S142" i="40"/>
  <c r="S138" i="40"/>
  <c r="S134" i="40"/>
  <c r="S127" i="40"/>
  <c r="S160" i="40"/>
  <c r="S175" i="40"/>
  <c r="S171" i="40"/>
  <c r="S167" i="40"/>
  <c r="S163" i="40"/>
  <c r="S159" i="40"/>
  <c r="S155" i="40"/>
  <c r="S151" i="40"/>
  <c r="S147" i="40"/>
  <c r="S143" i="40"/>
  <c r="S139" i="40"/>
  <c r="S135" i="40"/>
  <c r="S122" i="40"/>
  <c r="S136" i="40"/>
  <c r="S148" i="40"/>
  <c r="S144" i="40"/>
  <c r="S132" i="40"/>
  <c r="S128" i="40"/>
  <c r="K89" i="57"/>
  <c r="R280" i="40"/>
  <c r="R283" i="40"/>
  <c r="R282" i="40"/>
  <c r="R281" i="40"/>
  <c r="R277" i="40"/>
  <c r="R273" i="40"/>
  <c r="R269" i="40"/>
  <c r="R265" i="40"/>
  <c r="R261" i="40"/>
  <c r="R257" i="40"/>
  <c r="R253" i="40"/>
  <c r="R249" i="40"/>
  <c r="R245" i="40"/>
  <c r="R241" i="40"/>
  <c r="R237" i="40"/>
  <c r="R233" i="40"/>
  <c r="R229" i="40"/>
  <c r="R223" i="40"/>
  <c r="R278" i="40"/>
  <c r="R274" i="40"/>
  <c r="R270" i="40"/>
  <c r="R266" i="40"/>
  <c r="R262" i="40"/>
  <c r="R258" i="40"/>
  <c r="R254" i="40"/>
  <c r="R250" i="40"/>
  <c r="R246" i="40"/>
  <c r="R242" i="40"/>
  <c r="R238" i="40"/>
  <c r="R234" i="40"/>
  <c r="R230" i="40"/>
  <c r="R224" i="40"/>
  <c r="R221" i="40"/>
  <c r="R279" i="40"/>
  <c r="R275" i="40"/>
  <c r="R271" i="40"/>
  <c r="R267" i="40"/>
  <c r="R263" i="40"/>
  <c r="R259" i="40"/>
  <c r="R255" i="40"/>
  <c r="R251" i="40"/>
  <c r="R247" i="40"/>
  <c r="R243" i="40"/>
  <c r="R239" i="40"/>
  <c r="R235" i="40"/>
  <c r="R231" i="40"/>
  <c r="R227" i="40"/>
  <c r="R222" i="40"/>
  <c r="R276" i="40"/>
  <c r="R272" i="40"/>
  <c r="R268" i="40"/>
  <c r="R264" i="40"/>
  <c r="R260" i="40"/>
  <c r="R256" i="40"/>
  <c r="R252" i="40"/>
  <c r="R248" i="40"/>
  <c r="R244" i="40"/>
  <c r="R240" i="40"/>
  <c r="R236" i="40"/>
  <c r="R232" i="40"/>
  <c r="R228" i="40"/>
  <c r="K77" i="57"/>
  <c r="E181" i="40"/>
  <c r="E186" i="40"/>
  <c r="E184" i="40"/>
  <c r="E180" i="40"/>
  <c r="E183" i="40"/>
  <c r="E179" i="40"/>
  <c r="E187" i="40"/>
  <c r="E185" i="40"/>
  <c r="E182" i="40"/>
  <c r="E175" i="40"/>
  <c r="E171" i="40"/>
  <c r="E167" i="40"/>
  <c r="E163" i="40"/>
  <c r="E159" i="40"/>
  <c r="E155" i="40"/>
  <c r="E151" i="40"/>
  <c r="E147" i="40"/>
  <c r="E143" i="40"/>
  <c r="E139" i="40"/>
  <c r="E135" i="40"/>
  <c r="E131" i="40"/>
  <c r="E127" i="40"/>
  <c r="E125" i="40"/>
  <c r="E122" i="40"/>
  <c r="E132" i="40"/>
  <c r="E137" i="40"/>
  <c r="E170" i="40"/>
  <c r="E176" i="40"/>
  <c r="E172" i="40"/>
  <c r="E168" i="40"/>
  <c r="E164" i="40"/>
  <c r="E160" i="40"/>
  <c r="E156" i="40"/>
  <c r="E152" i="40"/>
  <c r="E148" i="40"/>
  <c r="E144" i="40"/>
  <c r="E140" i="40"/>
  <c r="E136" i="40"/>
  <c r="E128" i="40"/>
  <c r="E145" i="40"/>
  <c r="E126" i="40"/>
  <c r="E123" i="40"/>
  <c r="E154" i="40"/>
  <c r="E150" i="40"/>
  <c r="E138" i="40"/>
  <c r="E177" i="40"/>
  <c r="E173" i="40"/>
  <c r="E169" i="40"/>
  <c r="E165" i="40"/>
  <c r="E161" i="40"/>
  <c r="E157" i="40"/>
  <c r="E153" i="40"/>
  <c r="E149" i="40"/>
  <c r="E141" i="40"/>
  <c r="E133" i="40"/>
  <c r="E129" i="40"/>
  <c r="E178" i="40"/>
  <c r="E166" i="40"/>
  <c r="E158" i="40"/>
  <c r="E146" i="40"/>
  <c r="E174" i="40"/>
  <c r="E162" i="40"/>
  <c r="E142" i="40"/>
  <c r="E134" i="40"/>
  <c r="E124" i="40"/>
  <c r="E130" i="40"/>
  <c r="IO587" i="40"/>
  <c r="IO584" i="40"/>
  <c r="IO585" i="40"/>
  <c r="IO586" i="40"/>
  <c r="IO277" i="40"/>
  <c r="IO281" i="40"/>
  <c r="JA281" i="40" s="1"/>
  <c r="IO278" i="40"/>
  <c r="IO282" i="40"/>
  <c r="IO279" i="40"/>
  <c r="IO283" i="40"/>
  <c r="IO276" i="40"/>
  <c r="IO280" i="40"/>
  <c r="IO178" i="40"/>
  <c r="IO182" i="40"/>
  <c r="JA182" i="40" s="1"/>
  <c r="IO179" i="40"/>
  <c r="IO176" i="40"/>
  <c r="IO180" i="40"/>
  <c r="IO177" i="40"/>
  <c r="JA177" i="40" s="1"/>
  <c r="IO181" i="40"/>
  <c r="IQ486" i="40"/>
  <c r="IQ477" i="40"/>
  <c r="IQ481" i="40"/>
  <c r="JC481" i="40" s="1"/>
  <c r="IQ487" i="40"/>
  <c r="IQ478" i="40"/>
  <c r="IQ482" i="40"/>
  <c r="IQ479" i="40"/>
  <c r="IQ483" i="40"/>
  <c r="IQ485" i="40"/>
  <c r="IQ476" i="40"/>
  <c r="IQ480" i="40"/>
  <c r="IQ484" i="40"/>
  <c r="IQ378" i="40"/>
  <c r="IQ382" i="40"/>
  <c r="IQ379" i="40"/>
  <c r="JC379" i="40" s="1"/>
  <c r="IQ383" i="40"/>
  <c r="IQ376" i="40"/>
  <c r="IQ380" i="40"/>
  <c r="IQ377" i="40"/>
  <c r="IQ381" i="40"/>
  <c r="IO101" i="40"/>
  <c r="JA101" i="40" s="1"/>
  <c r="D6" i="44" s="1"/>
  <c r="IQ586" i="40"/>
  <c r="IQ587" i="40"/>
  <c r="IQ584" i="40"/>
  <c r="IQ585" i="40"/>
  <c r="IP478" i="40"/>
  <c r="IP482" i="40"/>
  <c r="JB482" i="40" s="1"/>
  <c r="IP485" i="40"/>
  <c r="IP479" i="40"/>
  <c r="IP483" i="40"/>
  <c r="IP487" i="40"/>
  <c r="IP486" i="40"/>
  <c r="IP476" i="40"/>
  <c r="IP480" i="40"/>
  <c r="IP484" i="40"/>
  <c r="IP477" i="40"/>
  <c r="IP481" i="40"/>
  <c r="IP379" i="40"/>
  <c r="IP383" i="40"/>
  <c r="IP376" i="40"/>
  <c r="IP380" i="40"/>
  <c r="IP377" i="40"/>
  <c r="IP381" i="40"/>
  <c r="IP378" i="40"/>
  <c r="IP382" i="40"/>
  <c r="IQ278" i="40"/>
  <c r="IQ282" i="40"/>
  <c r="IQ279" i="40"/>
  <c r="IQ283" i="40"/>
  <c r="IQ276" i="40"/>
  <c r="IQ280" i="40"/>
  <c r="JC280" i="40" s="1"/>
  <c r="IQ277" i="40"/>
  <c r="IQ281" i="40"/>
  <c r="IQ177" i="40"/>
  <c r="IQ181" i="40"/>
  <c r="IQ178" i="40"/>
  <c r="IQ182" i="40"/>
  <c r="IQ179" i="40"/>
  <c r="IQ176" i="40"/>
  <c r="IQ180" i="40"/>
  <c r="IP586" i="40"/>
  <c r="IP585" i="40"/>
  <c r="IP584" i="40"/>
  <c r="IP587" i="40"/>
  <c r="IO479" i="40"/>
  <c r="IO483" i="40"/>
  <c r="IO476" i="40"/>
  <c r="JA476" i="40" s="1"/>
  <c r="IO480" i="40"/>
  <c r="IO484" i="40"/>
  <c r="IO487" i="40"/>
  <c r="IO477" i="40"/>
  <c r="IO481" i="40"/>
  <c r="IO478" i="40"/>
  <c r="IO482" i="40"/>
  <c r="IO485" i="40"/>
  <c r="IO486" i="40"/>
  <c r="IO378" i="40"/>
  <c r="IO382" i="40"/>
  <c r="IO379" i="40"/>
  <c r="IO383" i="40"/>
  <c r="IO376" i="40"/>
  <c r="IO380" i="40"/>
  <c r="IO377" i="40"/>
  <c r="JA377" i="40" s="1"/>
  <c r="IO381" i="40"/>
  <c r="IP278" i="40"/>
  <c r="IP282" i="40"/>
  <c r="IP279" i="40"/>
  <c r="JB279" i="40" s="1"/>
  <c r="IP283" i="40"/>
  <c r="IP276" i="40"/>
  <c r="IP280" i="40"/>
  <c r="IP277" i="40"/>
  <c r="JB277" i="40" s="1"/>
  <c r="IP281" i="40"/>
  <c r="IP176" i="40"/>
  <c r="IP180" i="40"/>
  <c r="IP177" i="40"/>
  <c r="IP181" i="40"/>
  <c r="IP178" i="40"/>
  <c r="IP182" i="40"/>
  <c r="IP179" i="40"/>
  <c r="JB179" i="40" s="1"/>
  <c r="DU489" i="40"/>
  <c r="CE489" i="40"/>
  <c r="CA489" i="40"/>
  <c r="BW489" i="40"/>
  <c r="BS489" i="40"/>
  <c r="BO489" i="40"/>
  <c r="BK489" i="40"/>
  <c r="BG489" i="40"/>
  <c r="BC489" i="40"/>
  <c r="AX489" i="40"/>
  <c r="Q68" i="58"/>
  <c r="DT489" i="40"/>
  <c r="CH489" i="40"/>
  <c r="CD489" i="40"/>
  <c r="BZ489" i="40"/>
  <c r="BV489" i="40"/>
  <c r="BR489" i="40"/>
  <c r="BN489" i="40"/>
  <c r="BJ489" i="40"/>
  <c r="BF489" i="40"/>
  <c r="BB489" i="40"/>
  <c r="AW489" i="40"/>
  <c r="HN688" i="40"/>
  <c r="DW489" i="40"/>
  <c r="DS489" i="40"/>
  <c r="CG489" i="40"/>
  <c r="CC489" i="40"/>
  <c r="BY489" i="40"/>
  <c r="BU489" i="40"/>
  <c r="BQ489" i="40"/>
  <c r="BM489" i="40"/>
  <c r="BI489" i="40"/>
  <c r="BE489" i="40"/>
  <c r="C490" i="40"/>
  <c r="HJ581" i="40"/>
  <c r="HJ482" i="40"/>
  <c r="HJ381" i="40"/>
  <c r="HJ281" i="40"/>
  <c r="Z54" i="58"/>
  <c r="Y68" i="68"/>
  <c r="AC68" i="68" s="1"/>
  <c r="AD68" i="68" s="1"/>
  <c r="Z52" i="68"/>
  <c r="IO102" i="40"/>
  <c r="JA102" i="40" s="1"/>
  <c r="IQ103" i="40"/>
  <c r="JC103" i="40" s="1"/>
  <c r="F8" i="44" s="1"/>
  <c r="IQ101" i="40"/>
  <c r="JC101" i="40" s="1"/>
  <c r="R68" i="67"/>
  <c r="IP102" i="40"/>
  <c r="JB102" i="40" s="1"/>
  <c r="B184" i="75"/>
  <c r="R56" i="66"/>
  <c r="R64" i="69"/>
  <c r="O59" i="58"/>
  <c r="AA56" i="58"/>
  <c r="Z70" i="58"/>
  <c r="S68" i="69"/>
  <c r="Z64" i="66"/>
  <c r="Y64" i="69"/>
  <c r="AC64" i="69" s="1"/>
  <c r="AD64" i="69" s="1"/>
  <c r="Z68" i="68"/>
  <c r="Y60" i="58"/>
  <c r="AC60" i="58" s="1"/>
  <c r="AD60" i="58" s="1"/>
  <c r="R62" i="58"/>
  <c r="R22" i="39"/>
  <c r="Z50" i="68"/>
  <c r="AA58" i="68"/>
  <c r="R66" i="67"/>
  <c r="Z56" i="69"/>
  <c r="S54" i="71"/>
  <c r="AA50" i="69"/>
  <c r="Y66" i="68"/>
  <c r="AC66" i="68" s="1"/>
  <c r="AD66" i="68" s="1"/>
  <c r="Q58" i="67"/>
  <c r="Z66" i="68"/>
  <c r="AA50" i="68"/>
  <c r="S58" i="67"/>
  <c r="Q68" i="66"/>
  <c r="Q50" i="68"/>
  <c r="Y50" i="68" s="1"/>
  <c r="AC50" i="68" s="1"/>
  <c r="AD50" i="68" s="1"/>
  <c r="Y50" i="67"/>
  <c r="AA66" i="69"/>
  <c r="AA66" i="68"/>
  <c r="S50" i="67"/>
  <c r="AA50" i="67" s="1"/>
  <c r="Q60" i="66"/>
  <c r="S66" i="67"/>
  <c r="R58" i="67"/>
  <c r="IP101" i="40"/>
  <c r="JB101" i="40" s="1"/>
  <c r="E6" i="44" s="1"/>
  <c r="AA48" i="71"/>
  <c r="R50" i="67"/>
  <c r="Z50" i="67" s="1"/>
  <c r="R58" i="68"/>
  <c r="Z58" i="68" s="1"/>
  <c r="Q58" i="68"/>
  <c r="Y58" i="68" s="1"/>
  <c r="AC58" i="68" s="1"/>
  <c r="AD58" i="68" s="1"/>
  <c r="IO104" i="40"/>
  <c r="JA104" i="40" s="1"/>
  <c r="IQ102" i="40"/>
  <c r="JC102" i="40" s="1"/>
  <c r="F7" i="44" s="1"/>
  <c r="Y66" i="67"/>
  <c r="AC66" i="67" s="1"/>
  <c r="AD66" i="67" s="1"/>
  <c r="Q52" i="66"/>
  <c r="Y52" i="66" s="1"/>
  <c r="Y58" i="58"/>
  <c r="AC58" i="58" s="1"/>
  <c r="AD58" i="58" s="1"/>
  <c r="AM49" i="52"/>
  <c r="IO103" i="40"/>
  <c r="JA103" i="40" s="1"/>
  <c r="IP103" i="40"/>
  <c r="JB103" i="40" s="1"/>
  <c r="Z56" i="58"/>
  <c r="S50" i="58"/>
  <c r="AA50" i="58" s="1"/>
  <c r="AQ18" i="52"/>
  <c r="AQ48" i="52"/>
  <c r="AE111" i="75"/>
  <c r="CP89" i="40"/>
  <c r="AR31" i="52"/>
  <c r="AM51" i="52"/>
  <c r="AM54" i="52"/>
  <c r="AM59" i="52"/>
  <c r="R66" i="71"/>
  <c r="AE607" i="40"/>
  <c r="AE606" i="40"/>
  <c r="AE604" i="40"/>
  <c r="AE601" i="40"/>
  <c r="IP104" i="40"/>
  <c r="JB104" i="40" s="1"/>
  <c r="IQ104" i="40"/>
  <c r="AM89" i="40"/>
  <c r="AM56" i="52"/>
  <c r="JQ698" i="40"/>
  <c r="JU698" i="40" s="1"/>
  <c r="AF520" i="40"/>
  <c r="AF513" i="40"/>
  <c r="AF512" i="40"/>
  <c r="AF508" i="40"/>
  <c r="AF415" i="40"/>
  <c r="AF412" i="40"/>
  <c r="AF319" i="40"/>
  <c r="AF318" i="40"/>
  <c r="AF309" i="40"/>
  <c r="AF519" i="40"/>
  <c r="AF518" i="40"/>
  <c r="AF517" i="40"/>
  <c r="AF511" i="40"/>
  <c r="AF510" i="40"/>
  <c r="AF417" i="40"/>
  <c r="AF416" i="40"/>
  <c r="AF410" i="40"/>
  <c r="AF320" i="40"/>
  <c r="AF317" i="40"/>
  <c r="AF311" i="40"/>
  <c r="AF310" i="40"/>
  <c r="AF202" i="40"/>
  <c r="AR22" i="52"/>
  <c r="AF516" i="40"/>
  <c r="AF509" i="40"/>
  <c r="AF414" i="40"/>
  <c r="AF402" i="40"/>
  <c r="AF316" i="40"/>
  <c r="AF315" i="40"/>
  <c r="AF314" i="40"/>
  <c r="AF313" i="40"/>
  <c r="AF302" i="40"/>
  <c r="AF515" i="40"/>
  <c r="AF514" i="40"/>
  <c r="AF413" i="40"/>
  <c r="AF411" i="40"/>
  <c r="AF409" i="40"/>
  <c r="AF312" i="40"/>
  <c r="AF209" i="40"/>
  <c r="N59" i="62"/>
  <c r="R60" i="71"/>
  <c r="AA70" i="71"/>
  <c r="Z68" i="71"/>
  <c r="AA66" i="62"/>
  <c r="Q58" i="71"/>
  <c r="S62" i="71"/>
  <c r="AA60" i="62"/>
  <c r="Y66" i="62"/>
  <c r="AC66" i="62" s="1"/>
  <c r="AD66" i="62" s="1"/>
  <c r="L53" i="58"/>
  <c r="S68" i="62"/>
  <c r="Y60" i="62"/>
  <c r="AC60" i="62" s="1"/>
  <c r="AD60" i="62" s="1"/>
  <c r="S70" i="62"/>
  <c r="Y50" i="62"/>
  <c r="AC50" i="62" s="1"/>
  <c r="AD50" i="62" s="1"/>
  <c r="Z66" i="58"/>
  <c r="R50" i="62"/>
  <c r="Y64" i="66"/>
  <c r="AC64" i="66" s="1"/>
  <c r="AD64" i="66" s="1"/>
  <c r="R64" i="68"/>
  <c r="Q52" i="69"/>
  <c r="Y52" i="69" s="1"/>
  <c r="Y68" i="62"/>
  <c r="AC68" i="62" s="1"/>
  <c r="AD68" i="62" s="1"/>
  <c r="AA64" i="69"/>
  <c r="Z48" i="67"/>
  <c r="Z48" i="68"/>
  <c r="L71" i="58"/>
  <c r="Q38" i="71"/>
  <c r="Y52" i="58"/>
  <c r="AA64" i="58"/>
  <c r="R52" i="66"/>
  <c r="Z52" i="66" s="1"/>
  <c r="AA48" i="68"/>
  <c r="R64" i="71"/>
  <c r="Y58" i="62"/>
  <c r="AC58" i="62" s="1"/>
  <c r="AD58" i="62" s="1"/>
  <c r="Q62" i="71"/>
  <c r="Z56" i="71"/>
  <c r="AA54" i="62"/>
  <c r="AA56" i="68"/>
  <c r="Y56" i="58"/>
  <c r="AC56" i="58" s="1"/>
  <c r="AD56" i="58" s="1"/>
  <c r="AA64" i="68"/>
  <c r="Y48" i="68"/>
  <c r="AC48" i="68" s="1"/>
  <c r="AD48" i="68" s="1"/>
  <c r="Y48" i="67"/>
  <c r="AC48" i="67" s="1"/>
  <c r="AD48" i="67" s="1"/>
  <c r="AA48" i="67"/>
  <c r="S66" i="71"/>
  <c r="Q44" i="71"/>
  <c r="Q54" i="62"/>
  <c r="Y68" i="69"/>
  <c r="AC68" i="69" s="1"/>
  <c r="AD68" i="69" s="1"/>
  <c r="S52" i="58"/>
  <c r="AA52" i="58" s="1"/>
  <c r="Z56" i="68"/>
  <c r="Q60" i="69"/>
  <c r="Y56" i="68"/>
  <c r="Y64" i="68"/>
  <c r="AC64" i="68" s="1"/>
  <c r="AD64" i="68" s="1"/>
  <c r="R68" i="66"/>
  <c r="AA56" i="69"/>
  <c r="J65" i="58"/>
  <c r="Q70" i="62"/>
  <c r="Z62" i="69"/>
  <c r="S60" i="58"/>
  <c r="Q54" i="71"/>
  <c r="Z56" i="62"/>
  <c r="Z48" i="71"/>
  <c r="Z38" i="71"/>
  <c r="Z54" i="62"/>
  <c r="Q54" i="58"/>
  <c r="Y54" i="58" s="1"/>
  <c r="AC54" i="58" s="1"/>
  <c r="AD54" i="58" s="1"/>
  <c r="Y64" i="62"/>
  <c r="AC64" i="62" s="1"/>
  <c r="AD64" i="62" s="1"/>
  <c r="AD52" i="71"/>
  <c r="AD60" i="71"/>
  <c r="Q70" i="58"/>
  <c r="L67" i="58"/>
  <c r="L55" i="58"/>
  <c r="S56" i="71"/>
  <c r="Q52" i="71"/>
  <c r="R62" i="71"/>
  <c r="AA68" i="66"/>
  <c r="AA66" i="58"/>
  <c r="AA52" i="66"/>
  <c r="Y56" i="66"/>
  <c r="AC56" i="66" s="1"/>
  <c r="AD56" i="66" s="1"/>
  <c r="AD58" i="71"/>
  <c r="AA60" i="66"/>
  <c r="L61" i="58"/>
  <c r="AA38" i="71"/>
  <c r="Z64" i="58"/>
  <c r="S58" i="58"/>
  <c r="Y62" i="58"/>
  <c r="AC62" i="58" s="1"/>
  <c r="AD62" i="58" s="1"/>
  <c r="L59" i="58"/>
  <c r="Z68" i="62"/>
  <c r="Q70" i="68"/>
  <c r="AD46" i="71"/>
  <c r="N55" i="58"/>
  <c r="S54" i="67"/>
  <c r="AA54" i="67" s="1"/>
  <c r="R62" i="67"/>
  <c r="Z62" i="67"/>
  <c r="Y62" i="67"/>
  <c r="AC62" i="67" s="1"/>
  <c r="AD62" i="67" s="1"/>
  <c r="Q62" i="67"/>
  <c r="S70" i="68"/>
  <c r="AA70" i="68"/>
  <c r="Z62" i="68"/>
  <c r="R62" i="68"/>
  <c r="Z68" i="69"/>
  <c r="R68" i="69"/>
  <c r="B396" i="40"/>
  <c r="A395" i="40"/>
  <c r="C211" i="40"/>
  <c r="BX210" i="40"/>
  <c r="E210" i="40" s="1"/>
  <c r="M210" i="40"/>
  <c r="AC210" i="40"/>
  <c r="G210" i="40"/>
  <c r="O210" i="40"/>
  <c r="AX210" i="40"/>
  <c r="BC210" i="40"/>
  <c r="BG210" i="40"/>
  <c r="BK210" i="40"/>
  <c r="BO210" i="40"/>
  <c r="BS210" i="40"/>
  <c r="BW210" i="40"/>
  <c r="CB210" i="40"/>
  <c r="CF210" i="40"/>
  <c r="DU210" i="40"/>
  <c r="F210" i="40"/>
  <c r="N210" i="40"/>
  <c r="AE210" i="40"/>
  <c r="H210" i="40"/>
  <c r="AF210" i="40"/>
  <c r="AZ210" i="40"/>
  <c r="BD210" i="40"/>
  <c r="BH210" i="40"/>
  <c r="BL210" i="40"/>
  <c r="BP210" i="40"/>
  <c r="BT210" i="40"/>
  <c r="BY210" i="40"/>
  <c r="CC210" i="40"/>
  <c r="CG210" i="40"/>
  <c r="DM210" i="40"/>
  <c r="DV210" i="40"/>
  <c r="P210" i="40"/>
  <c r="I210" i="40"/>
  <c r="BA210" i="40"/>
  <c r="BI210" i="40"/>
  <c r="BQ210" i="40"/>
  <c r="BZ210" i="40"/>
  <c r="CH210" i="40"/>
  <c r="DW210" i="40"/>
  <c r="A210" i="40"/>
  <c r="AA210" i="40"/>
  <c r="J210" i="40"/>
  <c r="BB210" i="40"/>
  <c r="BJ210" i="40"/>
  <c r="BR210" i="40"/>
  <c r="CA210" i="40"/>
  <c r="K210" i="40"/>
  <c r="AG210" i="40"/>
  <c r="AH210" i="40"/>
  <c r="BE210" i="40"/>
  <c r="BM210" i="40"/>
  <c r="BU210" i="40"/>
  <c r="CD210" i="40"/>
  <c r="DS210" i="40"/>
  <c r="AI210" i="40"/>
  <c r="BN210" i="40"/>
  <c r="AJ210" i="40"/>
  <c r="BV210" i="40"/>
  <c r="AW210" i="40"/>
  <c r="CE210" i="40"/>
  <c r="DT210" i="40"/>
  <c r="JO210" i="40"/>
  <c r="L210" i="40"/>
  <c r="JQ697" i="40"/>
  <c r="JU697" i="40" s="1"/>
  <c r="JQ690" i="40"/>
  <c r="JU690" i="40" s="1"/>
  <c r="S62" i="68"/>
  <c r="AA62" i="68" s="1"/>
  <c r="IY698" i="40"/>
  <c r="IM698" i="40" s="1"/>
  <c r="HN698" i="40"/>
  <c r="JK697" i="40"/>
  <c r="JX697" i="40"/>
  <c r="JJ697" i="40"/>
  <c r="HO695" i="40"/>
  <c r="IZ695" i="40"/>
  <c r="JI695" i="40"/>
  <c r="JI692" i="40"/>
  <c r="HO692" i="40"/>
  <c r="IZ692" i="40"/>
  <c r="IN692" i="40" s="1"/>
  <c r="JI690" i="40"/>
  <c r="JI689" i="40"/>
  <c r="JJ688" i="40"/>
  <c r="JH688" i="40"/>
  <c r="R54" i="67"/>
  <c r="Z54" i="67" s="1"/>
  <c r="S70" i="58"/>
  <c r="AA70" i="58"/>
  <c r="S62" i="58"/>
  <c r="AA62" i="58"/>
  <c r="S54" i="58"/>
  <c r="AA54" i="58"/>
  <c r="Z68" i="58"/>
  <c r="R68" i="58"/>
  <c r="R60" i="58"/>
  <c r="Z60" i="58"/>
  <c r="R52" i="58"/>
  <c r="Z52" i="58" s="1"/>
  <c r="Y66" i="58"/>
  <c r="AC66" i="58" s="1"/>
  <c r="AD66" i="58" s="1"/>
  <c r="Q66" i="58"/>
  <c r="Q50" i="58"/>
  <c r="Y50" i="58" s="1"/>
  <c r="AA64" i="66"/>
  <c r="S64" i="66"/>
  <c r="S56" i="66"/>
  <c r="AA56" i="66"/>
  <c r="JA696" i="40"/>
  <c r="IE696" i="40"/>
  <c r="JD696" i="40" s="1"/>
  <c r="IF692" i="40"/>
  <c r="JB689" i="40"/>
  <c r="IM689" i="40" s="1"/>
  <c r="IE689" i="40"/>
  <c r="JD689" i="40" s="1"/>
  <c r="JS689" i="40" s="1"/>
  <c r="IF689" i="40"/>
  <c r="HM697" i="40"/>
  <c r="JH697" i="40"/>
  <c r="HM692" i="40"/>
  <c r="IX692" i="40"/>
  <c r="HO688" i="40"/>
  <c r="IZ688" i="40"/>
  <c r="AA62" i="67"/>
  <c r="S62" i="67"/>
  <c r="Q54" i="67"/>
  <c r="Y54" i="67"/>
  <c r="S54" i="68"/>
  <c r="AA54" i="68" s="1"/>
  <c r="Z54" i="68"/>
  <c r="R54" i="68"/>
  <c r="K67" i="62"/>
  <c r="K59" i="62"/>
  <c r="Z70" i="67"/>
  <c r="Z60" i="69"/>
  <c r="S70" i="67"/>
  <c r="R70" i="68"/>
  <c r="Y62" i="68"/>
  <c r="JI697" i="40"/>
  <c r="K57" i="62"/>
  <c r="AA52" i="71"/>
  <c r="S52" i="71"/>
  <c r="JH700" i="40"/>
  <c r="IL699" i="40"/>
  <c r="JH698" i="40"/>
  <c r="JF696" i="40"/>
  <c r="JK696" i="40"/>
  <c r="JH696" i="40"/>
  <c r="HM696" i="40"/>
  <c r="IX696" i="40"/>
  <c r="JH695" i="40"/>
  <c r="JH694" i="40"/>
  <c r="JJ693" i="40"/>
  <c r="IY693" i="40"/>
  <c r="HN693" i="40"/>
  <c r="JJ692" i="40"/>
  <c r="JJ690" i="40"/>
  <c r="JJ689" i="40"/>
  <c r="HM689" i="40"/>
  <c r="IX689" i="40"/>
  <c r="IL689" i="40" s="1"/>
  <c r="IE700" i="40"/>
  <c r="JD700" i="40" s="1"/>
  <c r="JA700" i="40"/>
  <c r="IL700" i="40" s="1"/>
  <c r="IF696" i="40"/>
  <c r="IE693" i="40"/>
  <c r="JD693" i="40" s="1"/>
  <c r="JS693" i="40" s="1"/>
  <c r="IF693" i="40"/>
  <c r="JB693" i="40"/>
  <c r="IM693" i="40" s="1"/>
  <c r="IF691" i="40"/>
  <c r="IG691" i="40"/>
  <c r="IE691" i="40"/>
  <c r="JD691" i="40" s="1"/>
  <c r="JS691" i="40" s="1"/>
  <c r="IG689" i="40"/>
  <c r="BF210" i="40"/>
  <c r="IN695" i="40"/>
  <c r="Y70" i="67"/>
  <c r="AC70" i="67" s="1"/>
  <c r="AD70" i="67" s="1"/>
  <c r="Q70" i="67"/>
  <c r="IF699" i="40"/>
  <c r="JC699" i="40"/>
  <c r="IN699" i="40" s="1"/>
  <c r="IG699" i="40"/>
  <c r="IE692" i="40"/>
  <c r="JD692" i="40" s="1"/>
  <c r="JA692" i="40"/>
  <c r="IL692" i="40" s="1"/>
  <c r="B419" i="40"/>
  <c r="K418" i="40"/>
  <c r="P418" i="40"/>
  <c r="AG418" i="40"/>
  <c r="I418" i="40"/>
  <c r="AH418" i="40"/>
  <c r="L418" i="40"/>
  <c r="AA418" i="40"/>
  <c r="AI418" i="40"/>
  <c r="J418" i="40"/>
  <c r="AJ418" i="40"/>
  <c r="A418" i="40"/>
  <c r="M418" i="40"/>
  <c r="AC418" i="40"/>
  <c r="G418" i="40"/>
  <c r="O418" i="40"/>
  <c r="F418" i="40"/>
  <c r="AF418" i="40"/>
  <c r="N418" i="40"/>
  <c r="AE418" i="40"/>
  <c r="K55" i="62"/>
  <c r="IX697" i="40"/>
  <c r="IL697" i="40" s="1"/>
  <c r="JI700" i="40"/>
  <c r="JK698" i="40"/>
  <c r="JX698" i="40"/>
  <c r="IN698" i="40"/>
  <c r="JI698" i="40"/>
  <c r="JI696" i="40"/>
  <c r="HO696" i="40"/>
  <c r="IZ696" i="40"/>
  <c r="IN696" i="40" s="1"/>
  <c r="JI694" i="40"/>
  <c r="JF693" i="40"/>
  <c r="JK693" i="40"/>
  <c r="HO691" i="40"/>
  <c r="IZ691" i="40"/>
  <c r="IN691" i="40" s="1"/>
  <c r="JI691" i="40"/>
  <c r="Y54" i="68"/>
  <c r="R52" i="69"/>
  <c r="Z52" i="69" s="1"/>
  <c r="IF700" i="40"/>
  <c r="IE697" i="40"/>
  <c r="JD697" i="40" s="1"/>
  <c r="JS697" i="40" s="1"/>
  <c r="IF697" i="40"/>
  <c r="IF695" i="40"/>
  <c r="IG695" i="40"/>
  <c r="IE695" i="40"/>
  <c r="JD695" i="40" s="1"/>
  <c r="JS695" i="40" s="1"/>
  <c r="IG693" i="40"/>
  <c r="IG692" i="40"/>
  <c r="H418" i="40"/>
  <c r="JQ695" i="40"/>
  <c r="JU695" i="40" s="1"/>
  <c r="JQ694" i="40"/>
  <c r="JU694" i="40" s="1"/>
  <c r="JQ693" i="40"/>
  <c r="JU693" i="40" s="1"/>
  <c r="L57" i="58"/>
  <c r="L51" i="58"/>
  <c r="L63" i="58"/>
  <c r="JQ699" i="40"/>
  <c r="JU699" i="40" s="1"/>
  <c r="JQ691" i="40"/>
  <c r="JU691" i="40" s="1"/>
  <c r="JQ689" i="40"/>
  <c r="JU689" i="40" s="1"/>
  <c r="HM102" i="40"/>
  <c r="HP102" i="40" s="1"/>
  <c r="A512" i="40"/>
  <c r="BX104" i="40"/>
  <c r="C105" i="40"/>
  <c r="IK104" i="40"/>
  <c r="IN104" i="40" s="1"/>
  <c r="A104" i="40"/>
  <c r="JF104" i="40"/>
  <c r="HN104" i="40" s="1"/>
  <c r="HQ104" i="40" s="1"/>
  <c r="A103" i="40"/>
  <c r="CV87" i="40"/>
  <c r="CP86" i="40"/>
  <c r="L55" i="62"/>
  <c r="M63" i="62"/>
  <c r="R46" i="71"/>
  <c r="Z46" i="71"/>
  <c r="AM699" i="40"/>
  <c r="AR26" i="52"/>
  <c r="AM608" i="40"/>
  <c r="AR27" i="52"/>
  <c r="N63" i="58"/>
  <c r="N59" i="58"/>
  <c r="Q46" i="71"/>
  <c r="Z36" i="71"/>
  <c r="Q70" i="71"/>
  <c r="Y56" i="71"/>
  <c r="AC56" i="71" s="1"/>
  <c r="AD56" i="71" s="1"/>
  <c r="AD70" i="69"/>
  <c r="AD66" i="69"/>
  <c r="N71" i="58"/>
  <c r="AD54" i="71"/>
  <c r="AQ46" i="52"/>
  <c r="Q60" i="71"/>
  <c r="AQ17" i="52"/>
  <c r="AM46" i="52"/>
  <c r="AM620" i="40"/>
  <c r="AM47" i="52"/>
  <c r="N53" i="62"/>
  <c r="N63" i="62"/>
  <c r="DB87" i="40"/>
  <c r="AM653" i="40"/>
  <c r="L69" i="58"/>
  <c r="L65" i="58"/>
  <c r="AM655" i="40"/>
  <c r="AM613" i="40"/>
  <c r="Q50" i="71"/>
  <c r="Y50" i="71"/>
  <c r="AC50" i="71" s="1"/>
  <c r="AD50" i="71" s="1"/>
  <c r="R52" i="71"/>
  <c r="Z52" i="71"/>
  <c r="AC206" i="40"/>
  <c r="AC201" i="40"/>
  <c r="AC205" i="40"/>
  <c r="AC204" i="40"/>
  <c r="AC207" i="40"/>
  <c r="AC203" i="40"/>
  <c r="AC49" i="52"/>
  <c r="AQ49" i="52" s="1"/>
  <c r="AC51" i="52"/>
  <c r="AQ51" i="52" s="1"/>
  <c r="AC50" i="52"/>
  <c r="AQ50" i="52" s="1"/>
  <c r="AC22" i="52"/>
  <c r="AQ22" i="52" s="1"/>
  <c r="AC20" i="52"/>
  <c r="J111" i="57"/>
  <c r="AC21" i="52"/>
  <c r="AQ21" i="52" s="1"/>
  <c r="CP88" i="40"/>
  <c r="F33" i="62"/>
  <c r="F51" i="62" s="1"/>
  <c r="AO86" i="40"/>
  <c r="S62" i="62"/>
  <c r="S50" i="62"/>
  <c r="AA50" i="62"/>
  <c r="S58" i="62"/>
  <c r="AA58" i="62"/>
  <c r="Z60" i="62"/>
  <c r="R60" i="62"/>
  <c r="Y48" i="71"/>
  <c r="AC48" i="71" s="1"/>
  <c r="AD48" i="71" s="1"/>
  <c r="Q48" i="71"/>
  <c r="Z58" i="62"/>
  <c r="R58" i="62"/>
  <c r="Q62" i="62"/>
  <c r="Y62" i="62"/>
  <c r="AC62" i="62" s="1"/>
  <c r="AD62" i="62" s="1"/>
  <c r="Q42" i="71"/>
  <c r="Y42" i="71"/>
  <c r="AC42" i="71" s="1"/>
  <c r="AD42" i="71" s="1"/>
  <c r="AA46" i="71"/>
  <c r="S46" i="71"/>
  <c r="N61" i="58"/>
  <c r="AD62" i="71"/>
  <c r="AD64" i="67"/>
  <c r="AD56" i="67"/>
  <c r="K61" i="62"/>
  <c r="AD70" i="62"/>
  <c r="J20" i="39"/>
  <c r="JP206" i="40" s="1"/>
  <c r="AA403" i="40"/>
  <c r="AA406" i="40"/>
  <c r="AA401" i="40"/>
  <c r="AA405" i="40"/>
  <c r="AA407" i="40"/>
  <c r="AA404" i="40"/>
  <c r="AA56" i="52"/>
  <c r="AA55" i="52"/>
  <c r="K53" i="62"/>
  <c r="M55" i="58"/>
  <c r="S36" i="71"/>
  <c r="Y36" i="71"/>
  <c r="AC36" i="71" s="1"/>
  <c r="AD36" i="71" s="1"/>
  <c r="AD58" i="67"/>
  <c r="AD44" i="71"/>
  <c r="AA301" i="40"/>
  <c r="AA306" i="40"/>
  <c r="AA307" i="40"/>
  <c r="AA304" i="40"/>
  <c r="AA305" i="40"/>
  <c r="AA303" i="40"/>
  <c r="AA53" i="52"/>
  <c r="AA23" i="52"/>
  <c r="AA24" i="52"/>
  <c r="AA25" i="52"/>
  <c r="AA26" i="52"/>
  <c r="AA27" i="52"/>
  <c r="AA28" i="52"/>
  <c r="AQ47" i="52"/>
  <c r="AM512" i="40"/>
  <c r="AA204" i="40"/>
  <c r="AA207" i="40"/>
  <c r="AA203" i="40"/>
  <c r="AA206" i="40"/>
  <c r="AA201" i="40"/>
  <c r="AA205" i="40"/>
  <c r="AA50" i="52"/>
  <c r="HN102" i="40"/>
  <c r="HQ102" i="40" s="1"/>
  <c r="AM206" i="40"/>
  <c r="AM700" i="40"/>
  <c r="AM23" i="52"/>
  <c r="AM621" i="40"/>
  <c r="AM29" i="52"/>
  <c r="AM22" i="52"/>
  <c r="AM17" i="52"/>
  <c r="CL17" i="52"/>
  <c r="S64" i="62"/>
  <c r="AA64" i="62"/>
  <c r="R70" i="62"/>
  <c r="Z70" i="62"/>
  <c r="Z50" i="71"/>
  <c r="R50" i="71"/>
  <c r="AM60" i="52"/>
  <c r="AM697" i="40"/>
  <c r="AM666" i="40"/>
  <c r="N51" i="62"/>
  <c r="AM649" i="40"/>
  <c r="AR30" i="52"/>
  <c r="AP19" i="52"/>
  <c r="AM609" i="40"/>
  <c r="AM19" i="52"/>
  <c r="AM610" i="40"/>
  <c r="AM631" i="40"/>
  <c r="AM25" i="52"/>
  <c r="AM624" i="40"/>
  <c r="Z34" i="71"/>
  <c r="R34" i="71"/>
  <c r="R62" i="62"/>
  <c r="Z62" i="62"/>
  <c r="AM58" i="52"/>
  <c r="AM638" i="40"/>
  <c r="AM86" i="40"/>
  <c r="AM614" i="40"/>
  <c r="AM606" i="40"/>
  <c r="AM607" i="40"/>
  <c r="AA34" i="71"/>
  <c r="S34" i="71"/>
  <c r="J71" i="58"/>
  <c r="R52" i="62"/>
  <c r="Z52" i="62"/>
  <c r="AM55" i="52"/>
  <c r="AM57" i="52"/>
  <c r="AM403" i="40"/>
  <c r="AM690" i="40"/>
  <c r="N61" i="62"/>
  <c r="AM644" i="40"/>
  <c r="J69" i="58"/>
  <c r="J61" i="58"/>
  <c r="AM612" i="40"/>
  <c r="AM633" i="40"/>
  <c r="AM21" i="52"/>
  <c r="AM623" i="40"/>
  <c r="AM603" i="40"/>
  <c r="AM630" i="40"/>
  <c r="M57" i="58"/>
  <c r="M67" i="58"/>
  <c r="M63" i="58"/>
  <c r="M53" i="58"/>
  <c r="M71" i="58"/>
  <c r="R44" i="71"/>
  <c r="Z44" i="71"/>
  <c r="Z40" i="71"/>
  <c r="R40" i="71"/>
  <c r="AA58" i="71"/>
  <c r="S58" i="71"/>
  <c r="AA60" i="71"/>
  <c r="S60" i="71"/>
  <c r="Y64" i="71"/>
  <c r="AC64" i="71" s="1"/>
  <c r="AD64" i="71" s="1"/>
  <c r="Q64" i="71"/>
  <c r="Q66" i="71"/>
  <c r="Y66" i="71"/>
  <c r="AC66" i="71" s="1"/>
  <c r="AD66" i="71" s="1"/>
  <c r="Z70" i="71"/>
  <c r="R70" i="71"/>
  <c r="AM48" i="52"/>
  <c r="AM50" i="52"/>
  <c r="AM52" i="52"/>
  <c r="AM53" i="52"/>
  <c r="S68" i="58"/>
  <c r="AA68" i="58"/>
  <c r="R58" i="58"/>
  <c r="Z58" i="58"/>
  <c r="R50" i="58"/>
  <c r="Z50" i="58" s="1"/>
  <c r="Q64" i="58"/>
  <c r="Y64" i="58"/>
  <c r="AC64" i="58" s="1"/>
  <c r="AD64" i="58" s="1"/>
  <c r="Z60" i="66"/>
  <c r="R60" i="66"/>
  <c r="S68" i="68"/>
  <c r="AA68" i="68"/>
  <c r="AA60" i="68"/>
  <c r="S60" i="68"/>
  <c r="S52" i="68"/>
  <c r="AA52" i="68"/>
  <c r="Z60" i="68"/>
  <c r="R60" i="68"/>
  <c r="Q60" i="68"/>
  <c r="Y60" i="68" s="1"/>
  <c r="AC60" i="68" s="1"/>
  <c r="AD60" i="68" s="1"/>
  <c r="Q52" i="68"/>
  <c r="Y52" i="68" s="1"/>
  <c r="AC52" i="68" s="1"/>
  <c r="AD52" i="68" s="1"/>
  <c r="S60" i="69"/>
  <c r="AA60" i="69"/>
  <c r="S52" i="69"/>
  <c r="AA52" i="69" s="1"/>
  <c r="Q56" i="69"/>
  <c r="Y56" i="69" s="1"/>
  <c r="AC56" i="69" s="1"/>
  <c r="AD56" i="69" s="1"/>
  <c r="CV89" i="40"/>
  <c r="AP89" i="40"/>
  <c r="AP88" i="40"/>
  <c r="AM639" i="40"/>
  <c r="AD70" i="58"/>
  <c r="AD60" i="66"/>
  <c r="AD60" i="69"/>
  <c r="AB211" i="40"/>
  <c r="AB210" i="40"/>
  <c r="AB202" i="40"/>
  <c r="AB208" i="40"/>
  <c r="AB209" i="40"/>
  <c r="CV88" i="40"/>
  <c r="CT88" i="40"/>
  <c r="AP86" i="40"/>
  <c r="AM627" i="40"/>
  <c r="K63" i="62"/>
  <c r="Y40" i="71"/>
  <c r="AC40" i="71" s="1"/>
  <c r="AD40" i="71" s="1"/>
  <c r="AD68" i="66"/>
  <c r="AD54" i="62"/>
  <c r="AM416" i="40"/>
  <c r="CI86" i="40"/>
  <c r="CI89" i="40"/>
  <c r="AD38" i="71"/>
  <c r="AD70" i="71"/>
  <c r="AD202" i="40"/>
  <c r="AD208" i="40"/>
  <c r="AD209" i="40"/>
  <c r="AD211" i="40"/>
  <c r="AD210" i="40"/>
  <c r="AM503" i="40"/>
  <c r="AM501" i="40"/>
  <c r="AM388" i="40"/>
  <c r="AM411" i="40"/>
  <c r="AM375" i="40"/>
  <c r="AM405" i="40"/>
  <c r="AM409" i="40"/>
  <c r="AM408" i="40"/>
  <c r="AM101" i="40"/>
  <c r="AM207" i="40"/>
  <c r="AM202" i="40"/>
  <c r="HO103" i="40"/>
  <c r="HR103" i="40" s="1"/>
  <c r="AO21" i="52"/>
  <c r="AM679" i="40"/>
  <c r="AM673" i="40"/>
  <c r="AM661" i="40"/>
  <c r="O67" i="58"/>
  <c r="O55" i="58"/>
  <c r="O61" i="58"/>
  <c r="O51" i="58"/>
  <c r="O63" i="58"/>
  <c r="X107" i="75"/>
  <c r="X23" i="52"/>
  <c r="X24" i="52"/>
  <c r="X104" i="40"/>
  <c r="X101" i="40"/>
  <c r="X103" i="40"/>
  <c r="X105" i="40"/>
  <c r="X18" i="52"/>
  <c r="H95" i="57"/>
  <c r="X48" i="52"/>
  <c r="X46" i="52"/>
  <c r="X101" i="75"/>
  <c r="X17" i="52"/>
  <c r="X47" i="52"/>
  <c r="AR24" i="52"/>
  <c r="AM641" i="40"/>
  <c r="AM660" i="40"/>
  <c r="AM652" i="40"/>
  <c r="CP87" i="40"/>
  <c r="AM646" i="40"/>
  <c r="CV86" i="40"/>
  <c r="AK501" i="40"/>
  <c r="AL501" i="40"/>
  <c r="AL29" i="52"/>
  <c r="AK58" i="52"/>
  <c r="P98" i="57"/>
  <c r="AK29" i="52"/>
  <c r="CU87" i="40"/>
  <c r="AP87" i="40"/>
  <c r="AO87" i="40"/>
  <c r="AR28" i="52"/>
  <c r="AM665" i="40"/>
  <c r="AM659" i="40"/>
  <c r="Z104" i="40"/>
  <c r="Z101" i="40"/>
  <c r="DB101" i="40" s="1"/>
  <c r="Z103" i="40"/>
  <c r="Z105" i="40"/>
  <c r="Z48" i="52"/>
  <c r="Z47" i="52"/>
  <c r="Z46" i="52"/>
  <c r="Z19" i="52"/>
  <c r="Z18" i="52"/>
  <c r="Z17" i="52"/>
  <c r="DB17" i="52" s="1"/>
  <c r="H106" i="57"/>
  <c r="Z101" i="75"/>
  <c r="A101" i="75"/>
  <c r="X304" i="40"/>
  <c r="X306" i="40"/>
  <c r="X307" i="40"/>
  <c r="X303" i="40"/>
  <c r="X305" i="40"/>
  <c r="X301" i="40"/>
  <c r="X52" i="52"/>
  <c r="X25" i="52"/>
  <c r="X401" i="40"/>
  <c r="X404" i="40"/>
  <c r="X405" i="40"/>
  <c r="X406" i="40"/>
  <c r="X407" i="40"/>
  <c r="X403" i="40"/>
  <c r="X56" i="52"/>
  <c r="X27" i="52"/>
  <c r="X55" i="52"/>
  <c r="X26" i="52"/>
  <c r="N95" i="57"/>
  <c r="X57" i="52"/>
  <c r="X201" i="40"/>
  <c r="X205" i="40"/>
  <c r="X206" i="40"/>
  <c r="X207" i="40"/>
  <c r="X203" i="40"/>
  <c r="X204" i="40"/>
  <c r="X49" i="52"/>
  <c r="X22" i="52"/>
  <c r="AO22" i="52" s="1"/>
  <c r="J95" i="57"/>
  <c r="X50" i="52"/>
  <c r="X51" i="52"/>
  <c r="X20" i="52"/>
  <c r="AP20" i="52" s="1"/>
  <c r="X103" i="75"/>
  <c r="AM669" i="40"/>
  <c r="X53" i="52"/>
  <c r="W504" i="40"/>
  <c r="W505" i="40"/>
  <c r="W506" i="40"/>
  <c r="W507" i="40"/>
  <c r="W503" i="40"/>
  <c r="W501" i="40"/>
  <c r="W31" i="52"/>
  <c r="W60" i="52"/>
  <c r="W58" i="52"/>
  <c r="W29" i="52"/>
  <c r="P95" i="39"/>
  <c r="R94" i="39"/>
  <c r="W401" i="40"/>
  <c r="W406" i="40"/>
  <c r="W407" i="40"/>
  <c r="W403" i="40"/>
  <c r="W404" i="40"/>
  <c r="W405" i="40"/>
  <c r="W28" i="52"/>
  <c r="AN28" i="52" s="1"/>
  <c r="W55" i="52"/>
  <c r="W26" i="52"/>
  <c r="W27" i="52"/>
  <c r="N94" i="57"/>
  <c r="W107" i="75"/>
  <c r="V203" i="40"/>
  <c r="V204" i="40"/>
  <c r="V205" i="40"/>
  <c r="V201" i="40"/>
  <c r="V206" i="40"/>
  <c r="V207" i="40"/>
  <c r="V51" i="52"/>
  <c r="V49" i="52"/>
  <c r="V50" i="52"/>
  <c r="AM618" i="40"/>
  <c r="AM26" i="52"/>
  <c r="U201" i="40"/>
  <c r="U205" i="40"/>
  <c r="U206" i="40"/>
  <c r="U207" i="40"/>
  <c r="U203" i="40"/>
  <c r="U204" i="40"/>
  <c r="U49" i="52"/>
  <c r="U51" i="52"/>
  <c r="U50" i="52"/>
  <c r="Q615" i="40"/>
  <c r="Q626" i="40"/>
  <c r="Q608" i="40"/>
  <c r="Q637" i="40"/>
  <c r="CO86" i="40"/>
  <c r="Q623" i="40"/>
  <c r="Q621" i="40"/>
  <c r="Q630" i="40"/>
  <c r="Q616" i="40"/>
  <c r="Q603" i="40"/>
  <c r="AN87" i="40"/>
  <c r="AM670" i="40"/>
  <c r="AM668" i="40"/>
  <c r="AM663" i="40"/>
  <c r="DB88" i="40"/>
  <c r="Z206" i="40"/>
  <c r="Z201" i="40"/>
  <c r="Z205" i="40"/>
  <c r="Z207" i="40"/>
  <c r="Z204" i="40"/>
  <c r="Z203" i="40"/>
  <c r="Z51" i="52"/>
  <c r="Z50" i="52"/>
  <c r="Z49" i="52"/>
  <c r="Z22" i="52"/>
  <c r="Z21" i="52"/>
  <c r="Z20" i="52"/>
  <c r="AK201" i="40"/>
  <c r="AL201" i="40"/>
  <c r="W303" i="40"/>
  <c r="W305" i="40"/>
  <c r="W301" i="40"/>
  <c r="W307" i="40"/>
  <c r="W304" i="40"/>
  <c r="W306" i="40"/>
  <c r="V303" i="40"/>
  <c r="V305" i="40"/>
  <c r="V301" i="40"/>
  <c r="V304" i="40"/>
  <c r="V306" i="40"/>
  <c r="V307" i="40"/>
  <c r="V54" i="52"/>
  <c r="V53" i="52"/>
  <c r="V52" i="52"/>
  <c r="V105" i="40"/>
  <c r="V104" i="40"/>
  <c r="V103" i="40"/>
  <c r="V101" i="40"/>
  <c r="CT101" i="40" s="1"/>
  <c r="V47" i="52"/>
  <c r="V48" i="52"/>
  <c r="V46" i="52"/>
  <c r="U104" i="40"/>
  <c r="U101" i="40"/>
  <c r="CS101" i="40" s="1"/>
  <c r="U103" i="40"/>
  <c r="U105" i="40"/>
  <c r="U48" i="52"/>
  <c r="U46" i="52"/>
  <c r="U47" i="52"/>
  <c r="S203" i="40"/>
  <c r="S204" i="40"/>
  <c r="S205" i="40"/>
  <c r="S201" i="40"/>
  <c r="S206" i="40"/>
  <c r="S207" i="40"/>
  <c r="S51" i="52"/>
  <c r="S49" i="52"/>
  <c r="S50" i="52"/>
  <c r="R401" i="40"/>
  <c r="R406" i="40"/>
  <c r="R407" i="40"/>
  <c r="R403" i="40"/>
  <c r="R404" i="40"/>
  <c r="R405" i="40"/>
  <c r="R57" i="52"/>
  <c r="R55" i="52"/>
  <c r="R56" i="52"/>
  <c r="AM658" i="40"/>
  <c r="AM656" i="40"/>
  <c r="N67" i="62"/>
  <c r="N71" i="62"/>
  <c r="DB86" i="40"/>
  <c r="AQ89" i="40"/>
  <c r="A104" i="75"/>
  <c r="Z503" i="40"/>
  <c r="Z501" i="40"/>
  <c r="Z506" i="40"/>
  <c r="Z504" i="40"/>
  <c r="Z505" i="40"/>
  <c r="Z507" i="40"/>
  <c r="Z60" i="52"/>
  <c r="Z59" i="52"/>
  <c r="Z58" i="52"/>
  <c r="Z31" i="52"/>
  <c r="Z30" i="52"/>
  <c r="Z29" i="52"/>
  <c r="CI88" i="40"/>
  <c r="AK20" i="52"/>
  <c r="R98" i="39"/>
  <c r="AK401" i="40"/>
  <c r="AL401" i="40"/>
  <c r="AM642" i="40"/>
  <c r="W105" i="75"/>
  <c r="CU86" i="40"/>
  <c r="W52" i="52"/>
  <c r="W54" i="52"/>
  <c r="W23" i="52"/>
  <c r="AR20" i="52"/>
  <c r="W101" i="40"/>
  <c r="CU101" i="40" s="1"/>
  <c r="W103" i="40"/>
  <c r="W105" i="40"/>
  <c r="W104" i="40"/>
  <c r="V101" i="75"/>
  <c r="AR21" i="52"/>
  <c r="V17" i="52"/>
  <c r="CU17" i="52" s="1"/>
  <c r="V18" i="52"/>
  <c r="H92" i="57"/>
  <c r="L93" i="57"/>
  <c r="U17" i="52"/>
  <c r="U101" i="75"/>
  <c r="R93" i="39"/>
  <c r="V506" i="40"/>
  <c r="V507" i="40"/>
  <c r="V503" i="40"/>
  <c r="V501" i="40"/>
  <c r="V504" i="40"/>
  <c r="V505" i="40"/>
  <c r="V58" i="52"/>
  <c r="V60" i="52"/>
  <c r="V59" i="52"/>
  <c r="R92" i="39"/>
  <c r="R601" i="40"/>
  <c r="U503" i="40"/>
  <c r="U501" i="40"/>
  <c r="U504" i="40"/>
  <c r="U505" i="40"/>
  <c r="U506" i="40"/>
  <c r="U507" i="40"/>
  <c r="U59" i="52"/>
  <c r="U58" i="52"/>
  <c r="U60" i="52"/>
  <c r="U301" i="40"/>
  <c r="U304" i="40"/>
  <c r="U306" i="40"/>
  <c r="U307" i="40"/>
  <c r="U303" i="40"/>
  <c r="U305" i="40"/>
  <c r="U54" i="52"/>
  <c r="U53" i="52"/>
  <c r="U52" i="52"/>
  <c r="Q611" i="40"/>
  <c r="Q632" i="40"/>
  <c r="Q628" i="40"/>
  <c r="Q627" i="40"/>
  <c r="Q609" i="40"/>
  <c r="Q612" i="40"/>
  <c r="Q624" i="40"/>
  <c r="Q634" i="40"/>
  <c r="T401" i="40"/>
  <c r="T404" i="40"/>
  <c r="T405" i="40"/>
  <c r="T406" i="40"/>
  <c r="T407" i="40"/>
  <c r="T403" i="40"/>
  <c r="T56" i="52"/>
  <c r="T57" i="52"/>
  <c r="T55" i="52"/>
  <c r="T201" i="40"/>
  <c r="T205" i="40"/>
  <c r="T206" i="40"/>
  <c r="T207" i="40"/>
  <c r="T203" i="40"/>
  <c r="T204" i="40"/>
  <c r="T50" i="52"/>
  <c r="T51" i="52"/>
  <c r="T49" i="52"/>
  <c r="JP210" i="40"/>
  <c r="AM657" i="40"/>
  <c r="AM651" i="40"/>
  <c r="A103" i="75"/>
  <c r="R106" i="39"/>
  <c r="DB89" i="40"/>
  <c r="Z403" i="40"/>
  <c r="Z401" i="40"/>
  <c r="Z404" i="40"/>
  <c r="Z405" i="40"/>
  <c r="Z406" i="40"/>
  <c r="Z407" i="40"/>
  <c r="Z57" i="52"/>
  <c r="Z56" i="52"/>
  <c r="Z55" i="52"/>
  <c r="Z28" i="52"/>
  <c r="Z27" i="52"/>
  <c r="Z26" i="52"/>
  <c r="Z301" i="40"/>
  <c r="Z304" i="40"/>
  <c r="Z307" i="40"/>
  <c r="Z305" i="40"/>
  <c r="Z303" i="40"/>
  <c r="Z306" i="40"/>
  <c r="Z54" i="52"/>
  <c r="Z53" i="52"/>
  <c r="Z52" i="52"/>
  <c r="Z25" i="52"/>
  <c r="Z24" i="52"/>
  <c r="Z23" i="52"/>
  <c r="AM648" i="40"/>
  <c r="AL20" i="52"/>
  <c r="AK101" i="40"/>
  <c r="AL101" i="40"/>
  <c r="AL301" i="40"/>
  <c r="AK301" i="40"/>
  <c r="W24" i="52"/>
  <c r="W203" i="40"/>
  <c r="W204" i="40"/>
  <c r="W205" i="40"/>
  <c r="W201" i="40"/>
  <c r="W206" i="40"/>
  <c r="W207" i="40"/>
  <c r="V25" i="52"/>
  <c r="AM640" i="40"/>
  <c r="V406" i="40"/>
  <c r="V407" i="40"/>
  <c r="V403" i="40"/>
  <c r="V404" i="40"/>
  <c r="V405" i="40"/>
  <c r="V401" i="40"/>
  <c r="V55" i="52"/>
  <c r="V56" i="52"/>
  <c r="V57" i="52"/>
  <c r="U403" i="40"/>
  <c r="U404" i="40"/>
  <c r="U405" i="40"/>
  <c r="U401" i="40"/>
  <c r="U406" i="40"/>
  <c r="U407" i="40"/>
  <c r="U55" i="52"/>
  <c r="U57" i="52"/>
  <c r="U56" i="52"/>
  <c r="Q622" i="40"/>
  <c r="Q635" i="40"/>
  <c r="Q602" i="40"/>
  <c r="Q636" i="40"/>
  <c r="AM87" i="40"/>
  <c r="Q619" i="40"/>
  <c r="Q614" i="40"/>
  <c r="Q631" i="40"/>
  <c r="T501" i="40"/>
  <c r="T504" i="40"/>
  <c r="T505" i="40"/>
  <c r="T506" i="40"/>
  <c r="T507" i="40"/>
  <c r="T503" i="40"/>
  <c r="T60" i="52"/>
  <c r="T58" i="52"/>
  <c r="T59" i="52"/>
  <c r="T304" i="40"/>
  <c r="T306" i="40"/>
  <c r="T307" i="40"/>
  <c r="T303" i="40"/>
  <c r="T305" i="40"/>
  <c r="T301" i="40"/>
  <c r="T52" i="52"/>
  <c r="T54" i="52"/>
  <c r="T53" i="52"/>
  <c r="T104" i="40"/>
  <c r="T101" i="40"/>
  <c r="CR101" i="40" s="1"/>
  <c r="T103" i="40"/>
  <c r="T105" i="40"/>
  <c r="T48" i="52"/>
  <c r="T47" i="52"/>
  <c r="T46" i="52"/>
  <c r="S504" i="40"/>
  <c r="S505" i="40"/>
  <c r="S506" i="40"/>
  <c r="S507" i="40"/>
  <c r="S503" i="40"/>
  <c r="S501" i="40"/>
  <c r="S60" i="52"/>
  <c r="S59" i="52"/>
  <c r="S58" i="52"/>
  <c r="S303" i="40"/>
  <c r="S305" i="40"/>
  <c r="S301" i="40"/>
  <c r="S304" i="40"/>
  <c r="S306" i="40"/>
  <c r="S307" i="40"/>
  <c r="S54" i="52"/>
  <c r="S53" i="52"/>
  <c r="S52" i="52"/>
  <c r="S101" i="40"/>
  <c r="CQ101" i="40" s="1"/>
  <c r="S103" i="40"/>
  <c r="S105" i="40"/>
  <c r="S104" i="40"/>
  <c r="S46" i="52"/>
  <c r="S47" i="52"/>
  <c r="S48" i="52"/>
  <c r="R303" i="40"/>
  <c r="R305" i="40"/>
  <c r="R301" i="40"/>
  <c r="R304" i="40"/>
  <c r="R306" i="40"/>
  <c r="R307" i="40"/>
  <c r="R53" i="52"/>
  <c r="R54" i="52"/>
  <c r="R52" i="52"/>
  <c r="R203" i="40"/>
  <c r="R204" i="40"/>
  <c r="R201" i="40"/>
  <c r="R206" i="40"/>
  <c r="R207" i="40"/>
  <c r="R205" i="40"/>
  <c r="J89" i="57"/>
  <c r="R49" i="52"/>
  <c r="R50" i="52"/>
  <c r="R51" i="52"/>
  <c r="AM88" i="40"/>
  <c r="H77" i="57"/>
  <c r="P77" i="57"/>
  <c r="E301" i="40"/>
  <c r="E304" i="40"/>
  <c r="E306" i="40"/>
  <c r="E307" i="40"/>
  <c r="E303" i="40"/>
  <c r="E305" i="40"/>
  <c r="E54" i="52"/>
  <c r="N65" i="58"/>
  <c r="N67" i="58"/>
  <c r="N69" i="58"/>
  <c r="N57" i="58"/>
  <c r="K71" i="62"/>
  <c r="AD68" i="58"/>
  <c r="Q301" i="40"/>
  <c r="Q306" i="40"/>
  <c r="Q307" i="40"/>
  <c r="Q303" i="40"/>
  <c r="Q305" i="40"/>
  <c r="HR102" i="40"/>
  <c r="HZ204" i="40"/>
  <c r="HZ205" i="40"/>
  <c r="HZ207" i="40"/>
  <c r="HZ203" i="40"/>
  <c r="HZ206" i="40"/>
  <c r="HZ209" i="40"/>
  <c r="HZ211" i="40"/>
  <c r="HZ208" i="40"/>
  <c r="HZ202" i="40"/>
  <c r="HZ201" i="40"/>
  <c r="HZ210" i="40"/>
  <c r="IA304" i="40"/>
  <c r="IA301" i="40"/>
  <c r="IA305" i="40"/>
  <c r="IA307" i="40"/>
  <c r="IA310" i="40"/>
  <c r="IA315" i="40"/>
  <c r="IA319" i="40"/>
  <c r="IA322" i="40"/>
  <c r="IA327" i="40"/>
  <c r="IA330" i="40"/>
  <c r="IA311" i="40"/>
  <c r="IA316" i="40"/>
  <c r="IA321" i="40"/>
  <c r="IA324" i="40"/>
  <c r="IA329" i="40"/>
  <c r="IA306" i="40"/>
  <c r="IA302" i="40"/>
  <c r="IA308" i="40"/>
  <c r="IA312" i="40"/>
  <c r="IA313" i="40"/>
  <c r="IA317" i="40"/>
  <c r="IA323" i="40"/>
  <c r="IA326" i="40"/>
  <c r="IA309" i="40"/>
  <c r="IA320" i="40"/>
  <c r="IA328" i="40"/>
  <c r="IA335" i="40"/>
  <c r="IA338" i="40"/>
  <c r="IA345" i="40"/>
  <c r="IA348" i="40"/>
  <c r="IA353" i="40"/>
  <c r="IA356" i="40"/>
  <c r="IA361" i="40"/>
  <c r="IA364" i="40"/>
  <c r="IA369" i="40"/>
  <c r="IA372" i="40"/>
  <c r="IA374" i="40"/>
  <c r="IA375" i="40"/>
  <c r="IA318" i="40"/>
  <c r="IA331" i="40"/>
  <c r="IA334" i="40"/>
  <c r="IA337" i="40"/>
  <c r="IA340" i="40"/>
  <c r="IA342" i="40"/>
  <c r="IA347" i="40"/>
  <c r="IA350" i="40"/>
  <c r="IA355" i="40"/>
  <c r="IA358" i="40"/>
  <c r="IA363" i="40"/>
  <c r="IA366" i="40"/>
  <c r="IA371" i="40"/>
  <c r="IA314" i="40"/>
  <c r="IA333" i="40"/>
  <c r="IA339" i="40"/>
  <c r="IA341" i="40"/>
  <c r="IA344" i="40"/>
  <c r="IA349" i="40"/>
  <c r="IA352" i="40"/>
  <c r="IA357" i="40"/>
  <c r="IA360" i="40"/>
  <c r="IA365" i="40"/>
  <c r="IA368" i="40"/>
  <c r="IA343" i="40"/>
  <c r="IA354" i="40"/>
  <c r="IA359" i="40"/>
  <c r="IA367" i="40"/>
  <c r="IA373" i="40"/>
  <c r="IA303" i="40"/>
  <c r="IA362" i="40"/>
  <c r="IA336" i="40"/>
  <c r="IA325" i="40"/>
  <c r="IA332" i="40"/>
  <c r="IA346" i="40"/>
  <c r="IA351" i="40"/>
  <c r="IA370" i="40"/>
  <c r="HL52" i="52"/>
  <c r="HY306" i="40"/>
  <c r="HY311" i="40"/>
  <c r="HY316" i="40"/>
  <c r="HY321" i="40"/>
  <c r="HY324" i="40"/>
  <c r="HY329" i="40"/>
  <c r="HY303" i="40"/>
  <c r="HY302" i="40"/>
  <c r="HY308" i="40"/>
  <c r="HY312" i="40"/>
  <c r="HY313" i="40"/>
  <c r="HY317" i="40"/>
  <c r="HY323" i="40"/>
  <c r="HY326" i="40"/>
  <c r="HY304" i="40"/>
  <c r="HY305" i="40"/>
  <c r="HY309" i="40"/>
  <c r="HY314" i="40"/>
  <c r="HY318" i="40"/>
  <c r="HY320" i="40"/>
  <c r="HY325" i="40"/>
  <c r="HY328" i="40"/>
  <c r="HY331" i="40"/>
  <c r="HY301" i="40"/>
  <c r="HY327" i="40"/>
  <c r="HY334" i="40"/>
  <c r="HY337" i="40"/>
  <c r="HY340" i="40"/>
  <c r="HY342" i="40"/>
  <c r="HY347" i="40"/>
  <c r="HY350" i="40"/>
  <c r="HY355" i="40"/>
  <c r="HY358" i="40"/>
  <c r="HY363" i="40"/>
  <c r="HY366" i="40"/>
  <c r="HY371" i="40"/>
  <c r="HY310" i="40"/>
  <c r="HY322" i="40"/>
  <c r="HY330" i="40"/>
  <c r="HY333" i="40"/>
  <c r="HY339" i="40"/>
  <c r="HY341" i="40"/>
  <c r="HY344" i="40"/>
  <c r="HY349" i="40"/>
  <c r="HY352" i="40"/>
  <c r="HY357" i="40"/>
  <c r="HY360" i="40"/>
  <c r="HY365" i="40"/>
  <c r="HY368" i="40"/>
  <c r="HY315" i="40"/>
  <c r="HY319" i="40"/>
  <c r="HY332" i="40"/>
  <c r="HY336" i="40"/>
  <c r="HY343" i="40"/>
  <c r="HY346" i="40"/>
  <c r="HY351" i="40"/>
  <c r="HY354" i="40"/>
  <c r="HY359" i="40"/>
  <c r="HY362" i="40"/>
  <c r="HY367" i="40"/>
  <c r="HY370" i="40"/>
  <c r="HY335" i="40"/>
  <c r="HY353" i="40"/>
  <c r="HY364" i="40"/>
  <c r="HY369" i="40"/>
  <c r="HY307" i="40"/>
  <c r="HY345" i="40"/>
  <c r="HY361" i="40"/>
  <c r="HY374" i="40"/>
  <c r="HY338" i="40"/>
  <c r="HY375" i="40"/>
  <c r="HY348" i="40"/>
  <c r="HY356" i="40"/>
  <c r="HY372" i="40"/>
  <c r="HY373" i="40"/>
  <c r="HZ506" i="40"/>
  <c r="HZ504" i="40"/>
  <c r="HZ508" i="40"/>
  <c r="HZ515" i="40"/>
  <c r="HZ503" i="40"/>
  <c r="HZ512" i="40"/>
  <c r="HZ513" i="40"/>
  <c r="HZ505" i="40"/>
  <c r="HZ510" i="40"/>
  <c r="HZ511" i="40"/>
  <c r="HZ501" i="40"/>
  <c r="HZ502" i="40"/>
  <c r="HZ507" i="40"/>
  <c r="HZ509" i="40"/>
  <c r="HZ517" i="40"/>
  <c r="HZ518" i="40"/>
  <c r="HZ521" i="40"/>
  <c r="HZ522" i="40"/>
  <c r="HZ525" i="40"/>
  <c r="HZ526" i="40"/>
  <c r="HZ523" i="40"/>
  <c r="HZ529" i="40"/>
  <c r="HZ530" i="40"/>
  <c r="HZ533" i="40"/>
  <c r="HZ534" i="40"/>
  <c r="HZ537" i="40"/>
  <c r="HZ538" i="40"/>
  <c r="HZ541" i="40"/>
  <c r="HZ542" i="40"/>
  <c r="HZ545" i="40"/>
  <c r="HZ546" i="40"/>
  <c r="HZ549" i="40"/>
  <c r="HZ550" i="40"/>
  <c r="HZ553" i="40"/>
  <c r="HZ554" i="40"/>
  <c r="HZ557" i="40"/>
  <c r="HZ558" i="40"/>
  <c r="HZ561" i="40"/>
  <c r="HZ562" i="40"/>
  <c r="HZ565" i="40"/>
  <c r="HZ566" i="40"/>
  <c r="HZ569" i="40"/>
  <c r="HZ570" i="40"/>
  <c r="HZ573" i="40"/>
  <c r="HZ574" i="40"/>
  <c r="HZ520" i="40"/>
  <c r="HZ527" i="40"/>
  <c r="HZ514" i="40"/>
  <c r="HZ519" i="40"/>
  <c r="HZ531" i="40"/>
  <c r="HZ532" i="40"/>
  <c r="HZ535" i="40"/>
  <c r="HZ536" i="40"/>
  <c r="HZ539" i="40"/>
  <c r="HZ540" i="40"/>
  <c r="HZ543" i="40"/>
  <c r="HZ544" i="40"/>
  <c r="HZ547" i="40"/>
  <c r="HZ548" i="40"/>
  <c r="HZ551" i="40"/>
  <c r="HZ552" i="40"/>
  <c r="HZ555" i="40"/>
  <c r="HZ556" i="40"/>
  <c r="HZ559" i="40"/>
  <c r="HZ560" i="40"/>
  <c r="HZ563" i="40"/>
  <c r="HZ564" i="40"/>
  <c r="HZ567" i="40"/>
  <c r="HZ568" i="40"/>
  <c r="HZ571" i="40"/>
  <c r="HZ572" i="40"/>
  <c r="HZ575" i="40"/>
  <c r="HZ516" i="40"/>
  <c r="HZ524" i="40"/>
  <c r="HZ528" i="40"/>
  <c r="E17" i="52"/>
  <c r="CI17" i="52" s="1"/>
  <c r="E18" i="52"/>
  <c r="E22" i="52"/>
  <c r="E26" i="52"/>
  <c r="E50" i="52"/>
  <c r="Q50" i="52"/>
  <c r="E51" i="52"/>
  <c r="E56" i="52"/>
  <c r="Q56" i="52"/>
  <c r="E57" i="52"/>
  <c r="Q57" i="52"/>
  <c r="S401" i="40"/>
  <c r="S406" i="40"/>
  <c r="S407" i="40"/>
  <c r="S403" i="40"/>
  <c r="S404" i="40"/>
  <c r="S405" i="40"/>
  <c r="S55" i="52"/>
  <c r="R105" i="40"/>
  <c r="R104" i="40"/>
  <c r="R101" i="40"/>
  <c r="R103" i="40"/>
  <c r="E503" i="40"/>
  <c r="E501" i="40"/>
  <c r="E504" i="40"/>
  <c r="E505" i="40"/>
  <c r="E506" i="40"/>
  <c r="E507" i="40"/>
  <c r="E60" i="52"/>
  <c r="E58" i="52"/>
  <c r="Z58" i="71"/>
  <c r="AD70" i="68"/>
  <c r="Q101" i="40"/>
  <c r="HX101" i="40" s="1"/>
  <c r="Q103" i="40"/>
  <c r="Q105" i="40"/>
  <c r="IA102" i="40"/>
  <c r="IA104" i="40"/>
  <c r="IA101" i="40"/>
  <c r="IA105" i="40"/>
  <c r="IA103" i="40"/>
  <c r="HY105" i="40"/>
  <c r="HY103" i="40"/>
  <c r="HY101" i="40"/>
  <c r="HY104" i="40"/>
  <c r="HY102" i="40"/>
  <c r="IA413" i="40"/>
  <c r="IA406" i="40"/>
  <c r="IA410" i="40"/>
  <c r="IA414" i="40"/>
  <c r="IA417" i="40"/>
  <c r="IA418" i="40"/>
  <c r="IA421" i="40"/>
  <c r="IA422" i="40"/>
  <c r="IA425" i="40"/>
  <c r="IA426" i="40"/>
  <c r="IA430" i="40"/>
  <c r="IA431" i="40"/>
  <c r="IA432" i="40"/>
  <c r="IA403" i="40"/>
  <c r="IA401" i="40"/>
  <c r="IA407" i="40"/>
  <c r="IA408" i="40"/>
  <c r="IA415" i="40"/>
  <c r="IA404" i="40"/>
  <c r="IA405" i="40"/>
  <c r="IA402" i="40"/>
  <c r="IA409" i="40"/>
  <c r="IA411" i="40"/>
  <c r="IA412" i="40"/>
  <c r="IA416" i="40"/>
  <c r="IA429" i="40"/>
  <c r="IA435" i="40"/>
  <c r="IA436" i="40"/>
  <c r="IA437" i="40"/>
  <c r="IA440" i="40"/>
  <c r="IA441" i="40"/>
  <c r="IA444" i="40"/>
  <c r="IA445" i="40"/>
  <c r="IA450" i="40"/>
  <c r="IA453" i="40"/>
  <c r="IA457" i="40"/>
  <c r="IA461" i="40"/>
  <c r="IA465" i="40"/>
  <c r="IA466" i="40"/>
  <c r="IA427" i="40"/>
  <c r="IA428" i="40"/>
  <c r="IA433" i="40"/>
  <c r="IA434" i="40"/>
  <c r="IA448" i="40"/>
  <c r="IA454" i="40"/>
  <c r="IA458" i="40"/>
  <c r="IA462" i="40"/>
  <c r="IA467" i="40"/>
  <c r="IA468" i="40"/>
  <c r="IA469" i="40"/>
  <c r="IA470" i="40"/>
  <c r="IA471" i="40"/>
  <c r="IA472" i="40"/>
  <c r="IA473" i="40"/>
  <c r="IA474" i="40"/>
  <c r="IA475" i="40"/>
  <c r="IA420" i="40"/>
  <c r="IA424" i="40"/>
  <c r="IA438" i="40"/>
  <c r="IA439" i="40"/>
  <c r="IA442" i="40"/>
  <c r="IA443" i="40"/>
  <c r="IA446" i="40"/>
  <c r="IA447" i="40"/>
  <c r="IA451" i="40"/>
  <c r="IA455" i="40"/>
  <c r="IA459" i="40"/>
  <c r="IA463" i="40"/>
  <c r="IA419" i="40"/>
  <c r="IA423" i="40"/>
  <c r="IA449" i="40"/>
  <c r="IA452" i="40"/>
  <c r="IA456" i="40"/>
  <c r="IA460" i="40"/>
  <c r="IA464" i="40"/>
  <c r="HL26" i="52"/>
  <c r="HY403" i="40"/>
  <c r="HY410" i="40"/>
  <c r="HY414" i="40"/>
  <c r="HY417" i="40"/>
  <c r="HY418" i="40"/>
  <c r="HY421" i="40"/>
  <c r="HY422" i="40"/>
  <c r="HY425" i="40"/>
  <c r="HY401" i="40"/>
  <c r="HY405" i="40"/>
  <c r="HY407" i="40"/>
  <c r="HY408" i="40"/>
  <c r="HY415" i="40"/>
  <c r="HY404" i="40"/>
  <c r="HY402" i="40"/>
  <c r="HY409" i="40"/>
  <c r="HY411" i="40"/>
  <c r="HY412" i="40"/>
  <c r="HY416" i="40"/>
  <c r="HY406" i="40"/>
  <c r="HY413" i="40"/>
  <c r="HY427" i="40"/>
  <c r="HY428" i="40"/>
  <c r="HY432" i="40"/>
  <c r="HY433" i="40"/>
  <c r="HY434" i="40"/>
  <c r="HY448" i="40"/>
  <c r="HY454" i="40"/>
  <c r="HY458" i="40"/>
  <c r="HY462" i="40"/>
  <c r="HY467" i="40"/>
  <c r="HY468" i="40"/>
  <c r="HY469" i="40"/>
  <c r="HY470" i="40"/>
  <c r="HY471" i="40"/>
  <c r="HY472" i="40"/>
  <c r="HY473" i="40"/>
  <c r="HY474" i="40"/>
  <c r="HY475" i="40"/>
  <c r="HY420" i="40"/>
  <c r="HY424" i="40"/>
  <c r="HY426" i="40"/>
  <c r="HY438" i="40"/>
  <c r="HY439" i="40"/>
  <c r="HY442" i="40"/>
  <c r="HY443" i="40"/>
  <c r="HY446" i="40"/>
  <c r="HY447" i="40"/>
  <c r="HY451" i="40"/>
  <c r="HY455" i="40"/>
  <c r="HY459" i="40"/>
  <c r="HY463" i="40"/>
  <c r="HY419" i="40"/>
  <c r="HY423" i="40"/>
  <c r="HY430" i="40"/>
  <c r="HY449" i="40"/>
  <c r="HY452" i="40"/>
  <c r="HY456" i="40"/>
  <c r="HY460" i="40"/>
  <c r="HY464" i="40"/>
  <c r="HY429" i="40"/>
  <c r="HY431" i="40"/>
  <c r="HY435" i="40"/>
  <c r="HY436" i="40"/>
  <c r="HY437" i="40"/>
  <c r="HY440" i="40"/>
  <c r="HY441" i="40"/>
  <c r="HY444" i="40"/>
  <c r="HY445" i="40"/>
  <c r="HY450" i="40"/>
  <c r="HY453" i="40"/>
  <c r="HY457" i="40"/>
  <c r="HY461" i="40"/>
  <c r="HY465" i="40"/>
  <c r="HY466" i="40"/>
  <c r="E23" i="52"/>
  <c r="E27" i="52"/>
  <c r="E31" i="52"/>
  <c r="Q54" i="52"/>
  <c r="E59" i="52"/>
  <c r="R60" i="52"/>
  <c r="HL17" i="52"/>
  <c r="AM20" i="52"/>
  <c r="E104" i="40"/>
  <c r="E101" i="40"/>
  <c r="E103" i="40"/>
  <c r="E105" i="40"/>
  <c r="L69" i="62"/>
  <c r="M51" i="58"/>
  <c r="M61" i="58"/>
  <c r="N51" i="58"/>
  <c r="M69" i="58"/>
  <c r="M65" i="58"/>
  <c r="K51" i="62"/>
  <c r="IA203" i="40"/>
  <c r="IA202" i="40"/>
  <c r="IA204" i="40"/>
  <c r="IA208" i="40"/>
  <c r="IA209" i="40"/>
  <c r="IA206" i="40"/>
  <c r="IA205" i="40"/>
  <c r="IA210" i="40"/>
  <c r="IA211" i="40"/>
  <c r="IA207" i="40"/>
  <c r="IA201" i="40"/>
  <c r="HY205" i="40"/>
  <c r="HY208" i="40"/>
  <c r="HY209" i="40"/>
  <c r="HY206" i="40"/>
  <c r="HY210" i="40"/>
  <c r="HY211" i="40"/>
  <c r="HY201" i="40"/>
  <c r="HY202" i="40"/>
  <c r="HY207" i="40"/>
  <c r="HY204" i="40"/>
  <c r="HY203" i="40"/>
  <c r="HZ309" i="40"/>
  <c r="HZ314" i="40"/>
  <c r="HZ318" i="40"/>
  <c r="HZ320" i="40"/>
  <c r="HZ325" i="40"/>
  <c r="HZ328" i="40"/>
  <c r="HZ331" i="40"/>
  <c r="HZ306" i="40"/>
  <c r="HZ302" i="40"/>
  <c r="HZ307" i="40"/>
  <c r="HZ310" i="40"/>
  <c r="HZ315" i="40"/>
  <c r="HZ319" i="40"/>
  <c r="HZ322" i="40"/>
  <c r="HZ327" i="40"/>
  <c r="HZ330" i="40"/>
  <c r="HZ301" i="40"/>
  <c r="HZ303" i="40"/>
  <c r="HZ311" i="40"/>
  <c r="HZ316" i="40"/>
  <c r="HZ321" i="40"/>
  <c r="HZ324" i="40"/>
  <c r="HZ329" i="40"/>
  <c r="HZ313" i="40"/>
  <c r="HZ323" i="40"/>
  <c r="HZ332" i="40"/>
  <c r="HZ336" i="40"/>
  <c r="HZ341" i="40"/>
  <c r="HZ343" i="40"/>
  <c r="HZ346" i="40"/>
  <c r="HZ351" i="40"/>
  <c r="HZ354" i="40"/>
  <c r="HZ359" i="40"/>
  <c r="HZ362" i="40"/>
  <c r="HZ367" i="40"/>
  <c r="HZ370" i="40"/>
  <c r="HZ305" i="40"/>
  <c r="HZ308" i="40"/>
  <c r="HZ335" i="40"/>
  <c r="HZ338" i="40"/>
  <c r="HZ345" i="40"/>
  <c r="HZ348" i="40"/>
  <c r="HZ353" i="40"/>
  <c r="HZ356" i="40"/>
  <c r="HZ361" i="40"/>
  <c r="HZ364" i="40"/>
  <c r="HZ369" i="40"/>
  <c r="HZ312" i="40"/>
  <c r="HZ317" i="40"/>
  <c r="HZ326" i="40"/>
  <c r="HZ334" i="40"/>
  <c r="HZ337" i="40"/>
  <c r="HZ340" i="40"/>
  <c r="HZ342" i="40"/>
  <c r="HZ347" i="40"/>
  <c r="HZ350" i="40"/>
  <c r="HZ355" i="40"/>
  <c r="HZ358" i="40"/>
  <c r="HZ363" i="40"/>
  <c r="HZ366" i="40"/>
  <c r="HZ371" i="40"/>
  <c r="HZ333" i="40"/>
  <c r="HZ349" i="40"/>
  <c r="HZ352" i="40"/>
  <c r="HZ368" i="40"/>
  <c r="HZ304" i="40"/>
  <c r="HZ344" i="40"/>
  <c r="HZ357" i="40"/>
  <c r="HZ360" i="40"/>
  <c r="HZ372" i="40"/>
  <c r="HZ373" i="40"/>
  <c r="HZ374" i="40"/>
  <c r="HZ375" i="40"/>
  <c r="HZ339" i="40"/>
  <c r="HZ365" i="40"/>
  <c r="IA513" i="40"/>
  <c r="IA516" i="40"/>
  <c r="IA520" i="40"/>
  <c r="IA524" i="40"/>
  <c r="IA506" i="40"/>
  <c r="IA504" i="40"/>
  <c r="IA510" i="40"/>
  <c r="IA511" i="40"/>
  <c r="IA503" i="40"/>
  <c r="IA502" i="40"/>
  <c r="IA507" i="40"/>
  <c r="IA508" i="40"/>
  <c r="IA509" i="40"/>
  <c r="IA505" i="40"/>
  <c r="IA512" i="40"/>
  <c r="IA515" i="40"/>
  <c r="IA519" i="40"/>
  <c r="IA523" i="40"/>
  <c r="IA527" i="40"/>
  <c r="IA517" i="40"/>
  <c r="IA525" i="40"/>
  <c r="IA531" i="40"/>
  <c r="IA535" i="40"/>
  <c r="IA539" i="40"/>
  <c r="IA543" i="40"/>
  <c r="IA547" i="40"/>
  <c r="IA551" i="40"/>
  <c r="IA555" i="40"/>
  <c r="IA559" i="40"/>
  <c r="IA563" i="40"/>
  <c r="IA567" i="40"/>
  <c r="IA571" i="40"/>
  <c r="IA575" i="40"/>
  <c r="IA522" i="40"/>
  <c r="IA528" i="40"/>
  <c r="IA532" i="40"/>
  <c r="IA536" i="40"/>
  <c r="IA540" i="40"/>
  <c r="IA544" i="40"/>
  <c r="IA548" i="40"/>
  <c r="IA552" i="40"/>
  <c r="IA556" i="40"/>
  <c r="IA560" i="40"/>
  <c r="IA564" i="40"/>
  <c r="IA568" i="40"/>
  <c r="IA572" i="40"/>
  <c r="IA501" i="40"/>
  <c r="IA521" i="40"/>
  <c r="IA529" i="40"/>
  <c r="IA533" i="40"/>
  <c r="IA537" i="40"/>
  <c r="IA541" i="40"/>
  <c r="IA545" i="40"/>
  <c r="IA549" i="40"/>
  <c r="IA553" i="40"/>
  <c r="IA557" i="40"/>
  <c r="IA561" i="40"/>
  <c r="IA565" i="40"/>
  <c r="IA569" i="40"/>
  <c r="IA573" i="40"/>
  <c r="IA514" i="40"/>
  <c r="IA518" i="40"/>
  <c r="IA526" i="40"/>
  <c r="IA530" i="40"/>
  <c r="IA534" i="40"/>
  <c r="IA538" i="40"/>
  <c r="IA542" i="40"/>
  <c r="IA546" i="40"/>
  <c r="IA550" i="40"/>
  <c r="IA554" i="40"/>
  <c r="IA558" i="40"/>
  <c r="IA562" i="40"/>
  <c r="IA566" i="40"/>
  <c r="IA570" i="40"/>
  <c r="IA574" i="40"/>
  <c r="HY503" i="40"/>
  <c r="HY510" i="40"/>
  <c r="HY511" i="40"/>
  <c r="HY514" i="40"/>
  <c r="HY517" i="40"/>
  <c r="HY521" i="40"/>
  <c r="HY525" i="40"/>
  <c r="HY505" i="40"/>
  <c r="HY502" i="40"/>
  <c r="HY507" i="40"/>
  <c r="HY508" i="40"/>
  <c r="HY509" i="40"/>
  <c r="HY506" i="40"/>
  <c r="HY504" i="40"/>
  <c r="HY513" i="40"/>
  <c r="HY516" i="40"/>
  <c r="HY520" i="40"/>
  <c r="HY524" i="40"/>
  <c r="HY512" i="40"/>
  <c r="HY522" i="40"/>
  <c r="HY528" i="40"/>
  <c r="HY532" i="40"/>
  <c r="HY536" i="40"/>
  <c r="HY540" i="40"/>
  <c r="HY544" i="40"/>
  <c r="HY548" i="40"/>
  <c r="HY552" i="40"/>
  <c r="HY556" i="40"/>
  <c r="HY560" i="40"/>
  <c r="HY564" i="40"/>
  <c r="HY568" i="40"/>
  <c r="HY572" i="40"/>
  <c r="HY523" i="40"/>
  <c r="HY529" i="40"/>
  <c r="HY533" i="40"/>
  <c r="HY537" i="40"/>
  <c r="HY541" i="40"/>
  <c r="HY545" i="40"/>
  <c r="HY549" i="40"/>
  <c r="HY553" i="40"/>
  <c r="HY557" i="40"/>
  <c r="HY561" i="40"/>
  <c r="HY565" i="40"/>
  <c r="HY569" i="40"/>
  <c r="HY573" i="40"/>
  <c r="HY515" i="40"/>
  <c r="HY518" i="40"/>
  <c r="HY526" i="40"/>
  <c r="HY527" i="40"/>
  <c r="HY530" i="40"/>
  <c r="HY534" i="40"/>
  <c r="HY538" i="40"/>
  <c r="HY542" i="40"/>
  <c r="HY546" i="40"/>
  <c r="HY550" i="40"/>
  <c r="HY554" i="40"/>
  <c r="HY558" i="40"/>
  <c r="HY562" i="40"/>
  <c r="HY566" i="40"/>
  <c r="HY570" i="40"/>
  <c r="HY574" i="40"/>
  <c r="HY519" i="40"/>
  <c r="HY531" i="40"/>
  <c r="HY535" i="40"/>
  <c r="HY539" i="40"/>
  <c r="HY543" i="40"/>
  <c r="HY547" i="40"/>
  <c r="HY551" i="40"/>
  <c r="HY555" i="40"/>
  <c r="HY559" i="40"/>
  <c r="HY563" i="40"/>
  <c r="HY567" i="40"/>
  <c r="HY571" i="40"/>
  <c r="HY575" i="40"/>
  <c r="E20" i="52"/>
  <c r="E24" i="52"/>
  <c r="R46" i="52"/>
  <c r="E47" i="52"/>
  <c r="E48" i="52"/>
  <c r="E52" i="52"/>
  <c r="Q52" i="52"/>
  <c r="E53" i="52"/>
  <c r="Q53" i="52"/>
  <c r="S56" i="52"/>
  <c r="S57" i="52"/>
  <c r="HL49" i="52"/>
  <c r="HL23" i="52"/>
  <c r="HL29" i="52"/>
  <c r="AM596" i="40"/>
  <c r="CL88" i="40"/>
  <c r="AM635" i="40"/>
  <c r="AM24" i="52"/>
  <c r="R506" i="40"/>
  <c r="R507" i="40"/>
  <c r="R503" i="40"/>
  <c r="R501" i="40"/>
  <c r="R504" i="40"/>
  <c r="R505" i="40"/>
  <c r="R59" i="52"/>
  <c r="AM636" i="40"/>
  <c r="E201" i="40"/>
  <c r="E205" i="40"/>
  <c r="E206" i="40"/>
  <c r="E207" i="40"/>
  <c r="E204" i="40"/>
  <c r="E203" i="40"/>
  <c r="L77" i="57"/>
  <c r="E403" i="40"/>
  <c r="E404" i="40"/>
  <c r="E405" i="40"/>
  <c r="E401" i="40"/>
  <c r="E406" i="40"/>
  <c r="E407" i="40"/>
  <c r="E55" i="52"/>
  <c r="N53" i="58"/>
  <c r="M59" i="58"/>
  <c r="K69" i="62"/>
  <c r="R64" i="62"/>
  <c r="Y56" i="62"/>
  <c r="AC56" i="62" s="1"/>
  <c r="AD56" i="62" s="1"/>
  <c r="Q201" i="40"/>
  <c r="Q205" i="40"/>
  <c r="Q206" i="40"/>
  <c r="Q207" i="40"/>
  <c r="Q203" i="40"/>
  <c r="Q403" i="40"/>
  <c r="Q405" i="40"/>
  <c r="Q401" i="40"/>
  <c r="Q406" i="40"/>
  <c r="Q407" i="40"/>
  <c r="H20" i="39"/>
  <c r="HZ101" i="40"/>
  <c r="HZ104" i="40"/>
  <c r="HZ105" i="40"/>
  <c r="HZ102" i="40"/>
  <c r="HZ103" i="40"/>
  <c r="HZ404" i="40"/>
  <c r="HZ406" i="40"/>
  <c r="HZ417" i="40"/>
  <c r="HZ421" i="40"/>
  <c r="HZ425" i="40"/>
  <c r="HZ403" i="40"/>
  <c r="HZ409" i="40"/>
  <c r="HZ411" i="40"/>
  <c r="HZ413" i="40"/>
  <c r="HZ416" i="40"/>
  <c r="HZ420" i="40"/>
  <c r="HZ424" i="40"/>
  <c r="HZ428" i="40"/>
  <c r="HZ401" i="40"/>
  <c r="HZ405" i="40"/>
  <c r="HZ410" i="40"/>
  <c r="HZ412" i="40"/>
  <c r="HZ414" i="40"/>
  <c r="HZ402" i="40"/>
  <c r="HZ407" i="40"/>
  <c r="HZ408" i="40"/>
  <c r="HZ415" i="40"/>
  <c r="HZ418" i="40"/>
  <c r="HZ422" i="40"/>
  <c r="HZ426" i="40"/>
  <c r="HZ429" i="40"/>
  <c r="HZ439" i="40"/>
  <c r="HZ443" i="40"/>
  <c r="HZ447" i="40"/>
  <c r="HZ449" i="40"/>
  <c r="HZ419" i="40"/>
  <c r="HZ423" i="40"/>
  <c r="HZ430" i="40"/>
  <c r="HZ436" i="40"/>
  <c r="HZ438" i="40"/>
  <c r="HZ442" i="40"/>
  <c r="HZ446" i="40"/>
  <c r="HZ450" i="40"/>
  <c r="HZ452" i="40"/>
  <c r="HZ453" i="40"/>
  <c r="HZ456" i="40"/>
  <c r="HZ457" i="40"/>
  <c r="HZ460" i="40"/>
  <c r="HZ461" i="40"/>
  <c r="HZ464" i="40"/>
  <c r="HZ465" i="40"/>
  <c r="HZ427" i="40"/>
  <c r="HZ433" i="40"/>
  <c r="HZ434" i="40"/>
  <c r="HZ435" i="40"/>
  <c r="HZ437" i="40"/>
  <c r="HZ441" i="40"/>
  <c r="HZ445" i="40"/>
  <c r="HZ448" i="40"/>
  <c r="HZ466" i="40"/>
  <c r="HZ467" i="40"/>
  <c r="HZ469" i="40"/>
  <c r="HZ471" i="40"/>
  <c r="HZ473" i="40"/>
  <c r="HZ475" i="40"/>
  <c r="HZ431" i="40"/>
  <c r="HZ432" i="40"/>
  <c r="HZ440" i="40"/>
  <c r="HZ444" i="40"/>
  <c r="HZ451" i="40"/>
  <c r="HZ454" i="40"/>
  <c r="HZ455" i="40"/>
  <c r="HZ458" i="40"/>
  <c r="HZ459" i="40"/>
  <c r="HZ462" i="40"/>
  <c r="HZ463" i="40"/>
  <c r="HZ468" i="40"/>
  <c r="HZ470" i="40"/>
  <c r="HZ472" i="40"/>
  <c r="HZ474" i="40"/>
  <c r="Q503" i="40"/>
  <c r="Q501" i="40"/>
  <c r="Q505" i="40"/>
  <c r="Q506" i="40"/>
  <c r="Q507" i="40"/>
  <c r="Q60" i="52"/>
  <c r="Q58" i="52"/>
  <c r="E21" i="52"/>
  <c r="E25" i="52"/>
  <c r="E29" i="52"/>
  <c r="E46" i="52"/>
  <c r="R47" i="52"/>
  <c r="R48" i="52"/>
  <c r="Q51" i="52"/>
  <c r="Y27" i="52"/>
  <c r="Y28" i="52" s="1"/>
  <c r="Y30" i="52"/>
  <c r="AK30" i="52" s="1"/>
  <c r="HL58" i="52"/>
  <c r="HY501" i="40"/>
  <c r="AM597" i="40"/>
  <c r="AM579" i="40"/>
  <c r="AM528" i="40"/>
  <c r="AM524" i="40"/>
  <c r="AM516" i="40"/>
  <c r="Y24" i="52"/>
  <c r="AK24" i="52" s="1"/>
  <c r="AM598" i="40"/>
  <c r="AM594" i="40"/>
  <c r="AM586" i="40"/>
  <c r="AM578" i="40"/>
  <c r="AM568" i="40"/>
  <c r="AM560" i="40"/>
  <c r="AM552" i="40"/>
  <c r="AM540" i="40"/>
  <c r="AM532" i="40"/>
  <c r="AM531" i="40"/>
  <c r="AM519" i="40"/>
  <c r="AM514" i="40"/>
  <c r="AM599" i="40"/>
  <c r="AM595" i="40"/>
  <c r="AM583" i="40"/>
  <c r="AM527" i="40"/>
  <c r="AM520" i="40"/>
  <c r="AM582" i="40"/>
  <c r="AM570" i="40"/>
  <c r="AM562" i="40"/>
  <c r="AM554" i="40"/>
  <c r="AM546" i="40"/>
  <c r="AM538" i="40"/>
  <c r="AM530" i="40"/>
  <c r="AM529" i="40"/>
  <c r="AM523" i="40"/>
  <c r="AM526" i="40"/>
  <c r="AM525" i="40"/>
  <c r="AM522" i="40"/>
  <c r="AM521" i="40"/>
  <c r="AM518" i="40"/>
  <c r="AM517" i="40"/>
  <c r="AM502" i="40"/>
  <c r="AM510" i="40"/>
  <c r="AM506" i="40"/>
  <c r="AM513" i="40"/>
  <c r="AM509" i="40"/>
  <c r="AM507" i="40"/>
  <c r="AM515" i="40"/>
  <c r="AM511" i="40"/>
  <c r="AM508" i="40"/>
  <c r="AM505" i="40"/>
  <c r="AM415" i="40"/>
  <c r="AM389" i="40"/>
  <c r="AM412" i="40"/>
  <c r="AM410" i="40"/>
  <c r="AM407" i="40"/>
  <c r="AM391" i="40"/>
  <c r="AM386" i="40"/>
  <c r="AM406" i="40"/>
  <c r="AM402" i="40"/>
  <c r="AM384" i="40"/>
  <c r="AM360" i="40"/>
  <c r="AM357" i="40"/>
  <c r="AM344" i="40"/>
  <c r="AM417" i="40"/>
  <c r="AM393" i="40"/>
  <c r="AM352" i="40"/>
  <c r="AM349" i="40"/>
  <c r="AM358" i="40"/>
  <c r="AM355" i="40"/>
  <c r="AM350" i="40"/>
  <c r="AM347" i="40"/>
  <c r="AM342" i="40"/>
  <c r="AM326" i="40"/>
  <c r="AM314" i="40"/>
  <c r="AM312" i="40"/>
  <c r="AM364" i="40"/>
  <c r="AM356" i="40"/>
  <c r="AM353" i="40"/>
  <c r="AM348" i="40"/>
  <c r="AM345" i="40"/>
  <c r="AM318" i="40"/>
  <c r="AM316" i="40"/>
  <c r="AM308" i="40"/>
  <c r="AM394" i="40"/>
  <c r="AM392" i="40"/>
  <c r="AM390" i="40"/>
  <c r="AM359" i="40"/>
  <c r="AM354" i="40"/>
  <c r="AM351" i="40"/>
  <c r="AM346" i="40"/>
  <c r="AM343" i="40"/>
  <c r="AM332" i="40"/>
  <c r="AM323" i="40"/>
  <c r="AM306" i="40"/>
  <c r="AM321" i="40"/>
  <c r="AM317" i="40"/>
  <c r="AM313" i="40"/>
  <c r="AM311" i="40"/>
  <c r="AM305" i="40"/>
  <c r="AM303" i="40"/>
  <c r="AM301" i="40"/>
  <c r="AM201" i="40"/>
  <c r="AM330" i="40"/>
  <c r="AM322" i="40"/>
  <c r="AM310" i="40"/>
  <c r="AM302" i="40"/>
  <c r="AM320" i="40"/>
  <c r="AM319" i="40"/>
  <c r="AM315" i="40"/>
  <c r="AM309" i="40"/>
  <c r="AM307" i="40"/>
  <c r="AM208" i="40"/>
  <c r="AM205" i="40"/>
  <c r="AM209" i="40"/>
  <c r="CN101" i="40"/>
  <c r="HM103" i="40"/>
  <c r="HP103" i="40" s="1"/>
  <c r="AM102" i="40"/>
  <c r="HQ103" i="40"/>
  <c r="AM695" i="40"/>
  <c r="AM692" i="40"/>
  <c r="AM688" i="40"/>
  <c r="AM680" i="40"/>
  <c r="AM676" i="40"/>
  <c r="AM675" i="40"/>
  <c r="AM674" i="40"/>
  <c r="AM696" i="40"/>
  <c r="AM694" i="40"/>
  <c r="AM693" i="40"/>
  <c r="AM687" i="40"/>
  <c r="AM685" i="40"/>
  <c r="AM682" i="40"/>
  <c r="AM681" i="40"/>
  <c r="AM672" i="40"/>
  <c r="AM691" i="40"/>
  <c r="AM689" i="40"/>
  <c r="AM686" i="40"/>
  <c r="AM667" i="40"/>
  <c r="X626" i="40"/>
  <c r="X602" i="40"/>
  <c r="X638" i="40"/>
  <c r="X645" i="40"/>
  <c r="X636" i="40"/>
  <c r="X643" i="40"/>
  <c r="X618" i="40"/>
  <c r="X619" i="40"/>
  <c r="S95" i="57"/>
  <c r="X646" i="40"/>
  <c r="X651" i="40"/>
  <c r="X653" i="40"/>
  <c r="X656" i="40"/>
  <c r="X629" i="40"/>
  <c r="X637" i="40"/>
  <c r="X633" i="40"/>
  <c r="X620" i="40"/>
  <c r="X616" i="40"/>
  <c r="X622" i="40"/>
  <c r="X623" i="40"/>
  <c r="X634" i="40"/>
  <c r="X631" i="40"/>
  <c r="X615" i="40"/>
  <c r="X630" i="40"/>
  <c r="X649" i="40"/>
  <c r="X650" i="40"/>
  <c r="X652" i="40"/>
  <c r="X655" i="40"/>
  <c r="X657" i="40"/>
  <c r="X659" i="40"/>
  <c r="X112" i="75"/>
  <c r="X621" i="40"/>
  <c r="X624" i="40"/>
  <c r="X628" i="40"/>
  <c r="X610" i="40"/>
  <c r="X617" i="40"/>
  <c r="X632" i="40"/>
  <c r="X608" i="40"/>
  <c r="X641" i="40"/>
  <c r="X640" i="40"/>
  <c r="X647" i="40"/>
  <c r="X648" i="40"/>
  <c r="X658" i="40"/>
  <c r="X665" i="40"/>
  <c r="X672" i="40"/>
  <c r="X685" i="40"/>
  <c r="X689" i="40"/>
  <c r="X695" i="40"/>
  <c r="X627" i="40"/>
  <c r="X614" i="40"/>
  <c r="X612" i="40"/>
  <c r="X644" i="40"/>
  <c r="X613" i="40"/>
  <c r="X635" i="40"/>
  <c r="X642" i="40"/>
  <c r="X639" i="40"/>
  <c r="X609" i="40"/>
  <c r="X611" i="40"/>
  <c r="X625" i="40"/>
  <c r="X654" i="40"/>
  <c r="X660" i="40"/>
  <c r="X661" i="40"/>
  <c r="X664" i="40"/>
  <c r="X666" i="40"/>
  <c r="X670" i="40"/>
  <c r="X687" i="40"/>
  <c r="X693" i="40"/>
  <c r="X694" i="40"/>
  <c r="X697" i="40"/>
  <c r="X698" i="40"/>
  <c r="AM698" i="40"/>
  <c r="AM683" i="40"/>
  <c r="AM684" i="40"/>
  <c r="AM678" i="40"/>
  <c r="AM677" i="40"/>
  <c r="AM671" i="40"/>
  <c r="AM664" i="40"/>
  <c r="S93" i="57"/>
  <c r="V636" i="40"/>
  <c r="V620" i="40"/>
  <c r="V633" i="40"/>
  <c r="V634" i="40"/>
  <c r="V641" i="40"/>
  <c r="V644" i="40"/>
  <c r="V645" i="40"/>
  <c r="V646" i="40"/>
  <c r="V648" i="40"/>
  <c r="V653" i="40"/>
  <c r="V656" i="40"/>
  <c r="V637" i="40"/>
  <c r="V627" i="40"/>
  <c r="V112" i="75"/>
  <c r="V611" i="40"/>
  <c r="V618" i="40"/>
  <c r="V628" i="40"/>
  <c r="V612" i="40"/>
  <c r="V617" i="40"/>
  <c r="V635" i="40"/>
  <c r="V613" i="40"/>
  <c r="V621" i="40"/>
  <c r="V623" i="40"/>
  <c r="V649" i="40"/>
  <c r="V650" i="40"/>
  <c r="V652" i="40"/>
  <c r="V655" i="40"/>
  <c r="V657" i="40"/>
  <c r="V659" i="40"/>
  <c r="V630" i="40"/>
  <c r="V619" i="40"/>
  <c r="V615" i="40"/>
  <c r="V610" i="40"/>
  <c r="V640" i="40"/>
  <c r="V632" i="40"/>
  <c r="V614" i="40"/>
  <c r="V647" i="40"/>
  <c r="V651" i="40"/>
  <c r="V658" i="40"/>
  <c r="V663" i="40"/>
  <c r="V665" i="40"/>
  <c r="V672" i="40"/>
  <c r="V673" i="40"/>
  <c r="V631" i="40"/>
  <c r="V638" i="40"/>
  <c r="V624" i="40"/>
  <c r="V629" i="40"/>
  <c r="V616" i="40"/>
  <c r="V639" i="40"/>
  <c r="V602" i="40"/>
  <c r="V642" i="40"/>
  <c r="V609" i="40"/>
  <c r="V643" i="40"/>
  <c r="V608" i="40"/>
  <c r="V654" i="40"/>
  <c r="V660" i="40"/>
  <c r="V661" i="40"/>
  <c r="V664" i="40"/>
  <c r="V666" i="40"/>
  <c r="V670" i="40"/>
  <c r="V674" i="40"/>
  <c r="T610" i="40"/>
  <c r="T614" i="40"/>
  <c r="T630" i="40"/>
  <c r="T612" i="40"/>
  <c r="T644" i="40"/>
  <c r="T645" i="40"/>
  <c r="T646" i="40"/>
  <c r="T647" i="40"/>
  <c r="T653" i="40"/>
  <c r="S91" i="57"/>
  <c r="T640" i="40"/>
  <c r="T112" i="75"/>
  <c r="T637" i="40"/>
  <c r="T611" i="40"/>
  <c r="T602" i="40"/>
  <c r="T638" i="40"/>
  <c r="T615" i="40"/>
  <c r="T622" i="40"/>
  <c r="T623" i="40"/>
  <c r="T609" i="40"/>
  <c r="T631" i="40"/>
  <c r="T608" i="40"/>
  <c r="T613" i="40"/>
  <c r="T649" i="40"/>
  <c r="T650" i="40"/>
  <c r="T652" i="40"/>
  <c r="T655" i="40"/>
  <c r="T657" i="40"/>
  <c r="T658" i="40"/>
  <c r="T659" i="40"/>
  <c r="T634" i="40"/>
  <c r="T632" i="40"/>
  <c r="T620" i="40"/>
  <c r="T617" i="40"/>
  <c r="T619" i="40"/>
  <c r="T641" i="40"/>
  <c r="T642" i="40"/>
  <c r="T648" i="40"/>
  <c r="T651" i="40"/>
  <c r="T660" i="40"/>
  <c r="T665" i="40"/>
  <c r="T672" i="40"/>
  <c r="T636" i="40"/>
  <c r="T621" i="40"/>
  <c r="T616" i="40"/>
  <c r="T618" i="40"/>
  <c r="T624" i="40"/>
  <c r="T629" i="40"/>
  <c r="T635" i="40"/>
  <c r="T639" i="40"/>
  <c r="T627" i="40"/>
  <c r="T633" i="40"/>
  <c r="T628" i="40"/>
  <c r="T643" i="40"/>
  <c r="T654" i="40"/>
  <c r="T656" i="40"/>
  <c r="T661" i="40"/>
  <c r="T664" i="40"/>
  <c r="T666" i="40"/>
  <c r="T670" i="40"/>
  <c r="T677" i="40"/>
  <c r="AM662" i="40"/>
  <c r="N55" i="62"/>
  <c r="N57" i="62"/>
  <c r="AQ88" i="40"/>
  <c r="AQ86" i="40"/>
  <c r="K57" i="58"/>
  <c r="AQ87" i="40"/>
  <c r="O65" i="58"/>
  <c r="O71" i="58"/>
  <c r="AM650" i="40"/>
  <c r="A106" i="75"/>
  <c r="A102" i="75"/>
  <c r="W650" i="40"/>
  <c r="Z208" i="40"/>
  <c r="Z209" i="40"/>
  <c r="Z211" i="40"/>
  <c r="Z202" i="40"/>
  <c r="Z210" i="40"/>
  <c r="Z502" i="40"/>
  <c r="Z508" i="40"/>
  <c r="Z509" i="40"/>
  <c r="Z511" i="40"/>
  <c r="Z514" i="40"/>
  <c r="Z516" i="40"/>
  <c r="Z518" i="40"/>
  <c r="Z520" i="40"/>
  <c r="Z512" i="40"/>
  <c r="Z510" i="40"/>
  <c r="Z513" i="40"/>
  <c r="Z515" i="40"/>
  <c r="Z517" i="40"/>
  <c r="Z519" i="40"/>
  <c r="W649" i="40"/>
  <c r="U649" i="40"/>
  <c r="W647" i="40"/>
  <c r="J51" i="58"/>
  <c r="J63" i="58"/>
  <c r="J67" i="58"/>
  <c r="AL87" i="40"/>
  <c r="AK87" i="40"/>
  <c r="AO88" i="40"/>
  <c r="AO19" i="52"/>
  <c r="AO89" i="40"/>
  <c r="AM643" i="40"/>
  <c r="W631" i="40"/>
  <c r="W612" i="40"/>
  <c r="W633" i="40"/>
  <c r="W618" i="40"/>
  <c r="W619" i="40"/>
  <c r="W637" i="40"/>
  <c r="W112" i="75"/>
  <c r="W628" i="40"/>
  <c r="W610" i="40"/>
  <c r="W635" i="40"/>
  <c r="W608" i="40"/>
  <c r="W615" i="40"/>
  <c r="W613" i="40"/>
  <c r="W640" i="40"/>
  <c r="W643" i="40"/>
  <c r="W609" i="40"/>
  <c r="W632" i="40"/>
  <c r="W638" i="40"/>
  <c r="W620" i="40"/>
  <c r="W104" i="75"/>
  <c r="W102" i="75"/>
  <c r="AR23" i="52"/>
  <c r="I95" i="39"/>
  <c r="W313" i="40"/>
  <c r="W315" i="40"/>
  <c r="W317" i="40"/>
  <c r="W319" i="40"/>
  <c r="W309" i="40"/>
  <c r="W311" i="40"/>
  <c r="W320" i="40"/>
  <c r="W302" i="40"/>
  <c r="W308" i="40"/>
  <c r="W314" i="40"/>
  <c r="W316" i="40"/>
  <c r="W318" i="40"/>
  <c r="W310" i="40"/>
  <c r="W312" i="40"/>
  <c r="U615" i="40"/>
  <c r="U619" i="40"/>
  <c r="U634" i="40"/>
  <c r="U622" i="40"/>
  <c r="U624" i="40"/>
  <c r="Q93" i="57"/>
  <c r="S92" i="57"/>
  <c r="V402" i="40"/>
  <c r="V410" i="40"/>
  <c r="V412" i="40"/>
  <c r="V417" i="40"/>
  <c r="V419" i="40"/>
  <c r="V413" i="40"/>
  <c r="V415" i="40"/>
  <c r="V409" i="40"/>
  <c r="V411" i="40"/>
  <c r="V416" i="40"/>
  <c r="V418" i="40"/>
  <c r="V408" i="40"/>
  <c r="V414" i="40"/>
  <c r="AM616" i="40"/>
  <c r="AM28" i="52"/>
  <c r="AM30" i="52"/>
  <c r="AM617" i="40"/>
  <c r="AM27" i="52"/>
  <c r="O91" i="57"/>
  <c r="T310" i="40"/>
  <c r="T312" i="40"/>
  <c r="T313" i="40"/>
  <c r="T315" i="40"/>
  <c r="T317" i="40"/>
  <c r="T319" i="40"/>
  <c r="T309" i="40"/>
  <c r="T311" i="40"/>
  <c r="T320" i="40"/>
  <c r="T302" i="40"/>
  <c r="T308" i="40"/>
  <c r="T314" i="40"/>
  <c r="T316" i="40"/>
  <c r="T318" i="40"/>
  <c r="T102" i="40"/>
  <c r="S408" i="40"/>
  <c r="S414" i="40"/>
  <c r="S402" i="40"/>
  <c r="S410" i="40"/>
  <c r="S412" i="40"/>
  <c r="S417" i="40"/>
  <c r="S419" i="40"/>
  <c r="S413" i="40"/>
  <c r="S415" i="40"/>
  <c r="S409" i="40"/>
  <c r="S411" i="40"/>
  <c r="S416" i="40"/>
  <c r="S418" i="40"/>
  <c r="S202" i="40"/>
  <c r="S210" i="40"/>
  <c r="S209" i="40"/>
  <c r="S208" i="40"/>
  <c r="S211" i="40"/>
  <c r="R102" i="40"/>
  <c r="E208" i="40"/>
  <c r="E202" i="40"/>
  <c r="E209" i="40"/>
  <c r="E416" i="40"/>
  <c r="E418" i="40"/>
  <c r="E414" i="40"/>
  <c r="E408" i="40"/>
  <c r="E412" i="40"/>
  <c r="E417" i="40"/>
  <c r="E419" i="40"/>
  <c r="E402" i="40"/>
  <c r="E415" i="40"/>
  <c r="E413" i="40"/>
  <c r="O77" i="57"/>
  <c r="AA52" i="62"/>
  <c r="S52" i="62"/>
  <c r="L63" i="62"/>
  <c r="AA50" i="71"/>
  <c r="S50" i="71"/>
  <c r="Z54" i="71"/>
  <c r="R54" i="71"/>
  <c r="Y68" i="71"/>
  <c r="Q68" i="71"/>
  <c r="Q509" i="40"/>
  <c r="Q511" i="40"/>
  <c r="Q514" i="40"/>
  <c r="Q516" i="40"/>
  <c r="Q518" i="40"/>
  <c r="Q520" i="40"/>
  <c r="Q502" i="40"/>
  <c r="Q508" i="40"/>
  <c r="Q512" i="40"/>
  <c r="Q510" i="40"/>
  <c r="Q513" i="40"/>
  <c r="Q515" i="40"/>
  <c r="Q517" i="40"/>
  <c r="Q519" i="40"/>
  <c r="AQ19" i="52"/>
  <c r="N65" i="62"/>
  <c r="N69" i="62"/>
  <c r="K63" i="58"/>
  <c r="O57" i="58"/>
  <c r="O69" i="58"/>
  <c r="O53" i="58"/>
  <c r="CI87" i="40"/>
  <c r="U648" i="40"/>
  <c r="AM647" i="40"/>
  <c r="J59" i="58"/>
  <c r="J57" i="58"/>
  <c r="AM645" i="40"/>
  <c r="W646" i="40"/>
  <c r="U646" i="40"/>
  <c r="S98" i="57"/>
  <c r="AK89" i="40"/>
  <c r="AL89" i="40"/>
  <c r="W645" i="40"/>
  <c r="U645" i="40"/>
  <c r="AN88" i="40"/>
  <c r="AN19" i="52"/>
  <c r="AN89" i="40"/>
  <c r="U644" i="40"/>
  <c r="W622" i="40"/>
  <c r="X108" i="75"/>
  <c r="K95" i="39"/>
  <c r="AR29" i="52"/>
  <c r="X310" i="40"/>
  <c r="X312" i="40"/>
  <c r="X313" i="40"/>
  <c r="X315" i="40"/>
  <c r="X317" i="40"/>
  <c r="X319" i="40"/>
  <c r="X309" i="40"/>
  <c r="X311" i="40"/>
  <c r="X320" i="40"/>
  <c r="X302" i="40"/>
  <c r="X308" i="40"/>
  <c r="X314" i="40"/>
  <c r="X316" i="40"/>
  <c r="X318" i="40"/>
  <c r="AR19" i="52"/>
  <c r="U621" i="40"/>
  <c r="U610" i="40"/>
  <c r="U609" i="40"/>
  <c r="U640" i="40"/>
  <c r="U641" i="40"/>
  <c r="U627" i="40"/>
  <c r="U629" i="40"/>
  <c r="W510" i="40"/>
  <c r="W513" i="40"/>
  <c r="W515" i="40"/>
  <c r="W517" i="40"/>
  <c r="W519" i="40"/>
  <c r="W509" i="40"/>
  <c r="W511" i="40"/>
  <c r="W514" i="40"/>
  <c r="W516" i="40"/>
  <c r="W518" i="40"/>
  <c r="W520" i="40"/>
  <c r="W502" i="40"/>
  <c r="W508" i="40"/>
  <c r="W512" i="40"/>
  <c r="W408" i="40"/>
  <c r="W414" i="40"/>
  <c r="W402" i="40"/>
  <c r="W410" i="40"/>
  <c r="W412" i="40"/>
  <c r="W417" i="40"/>
  <c r="W419" i="40"/>
  <c r="W413" i="40"/>
  <c r="W415" i="40"/>
  <c r="W409" i="40"/>
  <c r="W411" i="40"/>
  <c r="W416" i="40"/>
  <c r="W418" i="40"/>
  <c r="U638" i="40"/>
  <c r="U611" i="40"/>
  <c r="U623" i="40"/>
  <c r="U612" i="40"/>
  <c r="U630" i="40"/>
  <c r="U614" i="40"/>
  <c r="U108" i="75"/>
  <c r="T104" i="75"/>
  <c r="V209" i="40"/>
  <c r="V211" i="40"/>
  <c r="V208" i="40"/>
  <c r="V202" i="40"/>
  <c r="V210" i="40"/>
  <c r="AM601" i="40"/>
  <c r="AM619" i="40"/>
  <c r="AM605" i="40"/>
  <c r="AM628" i="40"/>
  <c r="AM18" i="52"/>
  <c r="AM634" i="40"/>
  <c r="AM31" i="52"/>
  <c r="AM637" i="40"/>
  <c r="AM602" i="40"/>
  <c r="AM615" i="40"/>
  <c r="U102" i="40"/>
  <c r="T502" i="40"/>
  <c r="T508" i="40"/>
  <c r="T512" i="40"/>
  <c r="T510" i="40"/>
  <c r="T513" i="40"/>
  <c r="T515" i="40"/>
  <c r="T517" i="40"/>
  <c r="T519" i="40"/>
  <c r="T509" i="40"/>
  <c r="T511" i="40"/>
  <c r="T514" i="40"/>
  <c r="T516" i="40"/>
  <c r="T518" i="40"/>
  <c r="T520" i="40"/>
  <c r="S313" i="40"/>
  <c r="S315" i="40"/>
  <c r="S317" i="40"/>
  <c r="S319" i="40"/>
  <c r="S309" i="40"/>
  <c r="S311" i="40"/>
  <c r="S320" i="40"/>
  <c r="S302" i="40"/>
  <c r="S308" i="40"/>
  <c r="S314" i="40"/>
  <c r="S316" i="40"/>
  <c r="S318" i="40"/>
  <c r="S310" i="40"/>
  <c r="S312" i="40"/>
  <c r="S89" i="39"/>
  <c r="R509" i="40"/>
  <c r="R511" i="40"/>
  <c r="R514" i="40"/>
  <c r="R516" i="40"/>
  <c r="R518" i="40"/>
  <c r="R520" i="40"/>
  <c r="R502" i="40"/>
  <c r="R508" i="40"/>
  <c r="R512" i="40"/>
  <c r="R510" i="40"/>
  <c r="R513" i="40"/>
  <c r="R515" i="40"/>
  <c r="R517" i="40"/>
  <c r="R519" i="40"/>
  <c r="R309" i="40"/>
  <c r="R311" i="40"/>
  <c r="R320" i="40"/>
  <c r="R302" i="40"/>
  <c r="R308" i="40"/>
  <c r="R314" i="40"/>
  <c r="R316" i="40"/>
  <c r="R318" i="40"/>
  <c r="R310" i="40"/>
  <c r="R312" i="40"/>
  <c r="R313" i="40"/>
  <c r="R315" i="40"/>
  <c r="R317" i="40"/>
  <c r="R319" i="40"/>
  <c r="E502" i="40"/>
  <c r="E508" i="40"/>
  <c r="E513" i="40"/>
  <c r="E515" i="40"/>
  <c r="E517" i="40"/>
  <c r="E519" i="40"/>
  <c r="E509" i="40"/>
  <c r="E511" i="40"/>
  <c r="E514" i="40"/>
  <c r="E516" i="40"/>
  <c r="E518" i="40"/>
  <c r="E520" i="40"/>
  <c r="Q77" i="57"/>
  <c r="E102" i="40"/>
  <c r="I77" i="57"/>
  <c r="E102" i="75"/>
  <c r="AA40" i="71"/>
  <c r="S40" i="71"/>
  <c r="R66" i="62"/>
  <c r="Z66" i="62"/>
  <c r="Y52" i="62"/>
  <c r="Q52" i="62"/>
  <c r="AM654" i="40"/>
  <c r="Z102" i="40"/>
  <c r="Z302" i="40"/>
  <c r="Z308" i="40"/>
  <c r="Z309" i="40"/>
  <c r="Z311" i="40"/>
  <c r="Z320" i="40"/>
  <c r="Z314" i="40"/>
  <c r="Z316" i="40"/>
  <c r="Z318" i="40"/>
  <c r="Z310" i="40"/>
  <c r="Z312" i="40"/>
  <c r="Z313" i="40"/>
  <c r="Z315" i="40"/>
  <c r="Z317" i="40"/>
  <c r="Z319" i="40"/>
  <c r="Z410" i="40"/>
  <c r="Z412" i="40"/>
  <c r="Z417" i="40"/>
  <c r="Z419" i="40"/>
  <c r="Z413" i="40"/>
  <c r="Z415" i="40"/>
  <c r="Z408" i="40"/>
  <c r="Z409" i="40"/>
  <c r="Z411" i="40"/>
  <c r="Z416" i="40"/>
  <c r="Z418" i="40"/>
  <c r="Z402" i="40"/>
  <c r="Z414" i="40"/>
  <c r="J55" i="58"/>
  <c r="J53" i="58"/>
  <c r="AK88" i="40"/>
  <c r="AL88" i="40"/>
  <c r="AN86" i="40"/>
  <c r="W617" i="40"/>
  <c r="W616" i="40"/>
  <c r="W611" i="40"/>
  <c r="W614" i="40"/>
  <c r="W625" i="40"/>
  <c r="W641" i="40"/>
  <c r="W634" i="40"/>
  <c r="W626" i="40"/>
  <c r="W644" i="40"/>
  <c r="W623" i="40"/>
  <c r="W624" i="40"/>
  <c r="W629" i="40"/>
  <c r="W627" i="40"/>
  <c r="W630" i="40"/>
  <c r="W642" i="40"/>
  <c r="W639" i="40"/>
  <c r="W602" i="40"/>
  <c r="W636" i="40"/>
  <c r="U643" i="40"/>
  <c r="X502" i="40"/>
  <c r="X508" i="40"/>
  <c r="X512" i="40"/>
  <c r="X510" i="40"/>
  <c r="X513" i="40"/>
  <c r="X515" i="40"/>
  <c r="X517" i="40"/>
  <c r="X519" i="40"/>
  <c r="X509" i="40"/>
  <c r="X511" i="40"/>
  <c r="X514" i="40"/>
  <c r="X516" i="40"/>
  <c r="X518" i="40"/>
  <c r="X520" i="40"/>
  <c r="W102" i="40"/>
  <c r="U112" i="75"/>
  <c r="U628" i="40"/>
  <c r="U617" i="40"/>
  <c r="U642" i="40"/>
  <c r="U637" i="40"/>
  <c r="V102" i="40"/>
  <c r="AM625" i="40"/>
  <c r="AM629" i="40"/>
  <c r="AM626" i="40"/>
  <c r="AM632" i="40"/>
  <c r="AM604" i="40"/>
  <c r="AM622" i="40"/>
  <c r="AM611" i="40"/>
  <c r="U509" i="40"/>
  <c r="U511" i="40"/>
  <c r="U514" i="40"/>
  <c r="U516" i="40"/>
  <c r="U518" i="40"/>
  <c r="U520" i="40"/>
  <c r="U502" i="40"/>
  <c r="U508" i="40"/>
  <c r="U512" i="40"/>
  <c r="U510" i="40"/>
  <c r="U513" i="40"/>
  <c r="U515" i="40"/>
  <c r="U517" i="40"/>
  <c r="U519" i="40"/>
  <c r="U302" i="40"/>
  <c r="U308" i="40"/>
  <c r="U314" i="40"/>
  <c r="U316" i="40"/>
  <c r="U318" i="40"/>
  <c r="U310" i="40"/>
  <c r="U312" i="40"/>
  <c r="U313" i="40"/>
  <c r="U315" i="40"/>
  <c r="U317" i="40"/>
  <c r="U319" i="40"/>
  <c r="U309" i="40"/>
  <c r="U311" i="40"/>
  <c r="U320" i="40"/>
  <c r="S510" i="40"/>
  <c r="S513" i="40"/>
  <c r="S515" i="40"/>
  <c r="S517" i="40"/>
  <c r="S519" i="40"/>
  <c r="S509" i="40"/>
  <c r="S511" i="40"/>
  <c r="S514" i="40"/>
  <c r="S516" i="40"/>
  <c r="S518" i="40"/>
  <c r="S520" i="40"/>
  <c r="S502" i="40"/>
  <c r="S508" i="40"/>
  <c r="S512" i="40"/>
  <c r="S102" i="40"/>
  <c r="R402" i="40"/>
  <c r="R410" i="40"/>
  <c r="R412" i="40"/>
  <c r="R417" i="40"/>
  <c r="R419" i="40"/>
  <c r="R413" i="40"/>
  <c r="R415" i="40"/>
  <c r="R409" i="40"/>
  <c r="R411" i="40"/>
  <c r="R416" i="40"/>
  <c r="R418" i="40"/>
  <c r="R408" i="40"/>
  <c r="R414" i="40"/>
  <c r="E106" i="75"/>
  <c r="S77" i="39"/>
  <c r="L71" i="62"/>
  <c r="L61" i="62"/>
  <c r="L65" i="62"/>
  <c r="L57" i="62"/>
  <c r="L59" i="62"/>
  <c r="L51" i="62"/>
  <c r="M59" i="62"/>
  <c r="M51" i="62"/>
  <c r="M71" i="62"/>
  <c r="M53" i="62"/>
  <c r="M57" i="62"/>
  <c r="M61" i="62"/>
  <c r="R42" i="71"/>
  <c r="Z42" i="71"/>
  <c r="Q34" i="71"/>
  <c r="Y34" i="71"/>
  <c r="S42" i="71"/>
  <c r="AA42" i="71"/>
  <c r="M65" i="62"/>
  <c r="S56" i="62"/>
  <c r="AA56" i="62"/>
  <c r="M55" i="62"/>
  <c r="L67" i="62"/>
  <c r="M67" i="62"/>
  <c r="AA64" i="71"/>
  <c r="S64" i="71"/>
  <c r="CV17" i="52"/>
  <c r="Y18" i="52"/>
  <c r="Y19" i="52" s="1"/>
  <c r="Y21" i="52"/>
  <c r="AK86" i="40"/>
  <c r="AL86" i="40"/>
  <c r="X409" i="40"/>
  <c r="X411" i="40"/>
  <c r="X416" i="40"/>
  <c r="X418" i="40"/>
  <c r="X408" i="40"/>
  <c r="X414" i="40"/>
  <c r="X402" i="40"/>
  <c r="X410" i="40"/>
  <c r="X412" i="40"/>
  <c r="X417" i="40"/>
  <c r="X419" i="40"/>
  <c r="X415" i="40"/>
  <c r="X413" i="40"/>
  <c r="W202" i="40"/>
  <c r="W210" i="40"/>
  <c r="W211" i="40"/>
  <c r="W208" i="40"/>
  <c r="W209" i="40"/>
  <c r="V509" i="40"/>
  <c r="V511" i="40"/>
  <c r="V514" i="40"/>
  <c r="V516" i="40"/>
  <c r="V518" i="40"/>
  <c r="V520" i="40"/>
  <c r="V502" i="40"/>
  <c r="V508" i="40"/>
  <c r="V512" i="40"/>
  <c r="V510" i="40"/>
  <c r="V513" i="40"/>
  <c r="V515" i="40"/>
  <c r="V517" i="40"/>
  <c r="V519" i="40"/>
  <c r="V309" i="40"/>
  <c r="V311" i="40"/>
  <c r="V320" i="40"/>
  <c r="V302" i="40"/>
  <c r="V308" i="40"/>
  <c r="V314" i="40"/>
  <c r="V316" i="40"/>
  <c r="V318" i="40"/>
  <c r="V310" i="40"/>
  <c r="V312" i="40"/>
  <c r="V313" i="40"/>
  <c r="V315" i="40"/>
  <c r="V317" i="40"/>
  <c r="V319" i="40"/>
  <c r="U413" i="40"/>
  <c r="U415" i="40"/>
  <c r="U409" i="40"/>
  <c r="U411" i="40"/>
  <c r="U416" i="40"/>
  <c r="U418" i="40"/>
  <c r="U408" i="40"/>
  <c r="U414" i="40"/>
  <c r="U402" i="40"/>
  <c r="U410" i="40"/>
  <c r="U412" i="40"/>
  <c r="U417" i="40"/>
  <c r="U419" i="40"/>
  <c r="U209" i="40"/>
  <c r="U211" i="40"/>
  <c r="U208" i="40"/>
  <c r="U202" i="40"/>
  <c r="U210" i="40"/>
  <c r="T409" i="40"/>
  <c r="T411" i="40"/>
  <c r="T416" i="40"/>
  <c r="T418" i="40"/>
  <c r="T408" i="40"/>
  <c r="T414" i="40"/>
  <c r="T402" i="40"/>
  <c r="T410" i="40"/>
  <c r="T412" i="40"/>
  <c r="T417" i="40"/>
  <c r="T419" i="40"/>
  <c r="T415" i="40"/>
  <c r="T413" i="40"/>
  <c r="T208" i="40"/>
  <c r="T202" i="40"/>
  <c r="T210" i="40"/>
  <c r="T209" i="40"/>
  <c r="T211" i="40"/>
  <c r="R209" i="40"/>
  <c r="R211" i="40"/>
  <c r="R208" i="40"/>
  <c r="R202" i="40"/>
  <c r="R210" i="40"/>
  <c r="E302" i="40"/>
  <c r="E308" i="40"/>
  <c r="E310" i="40"/>
  <c r="E312" i="40"/>
  <c r="E313" i="40"/>
  <c r="E315" i="40"/>
  <c r="E317" i="40"/>
  <c r="E319" i="40"/>
  <c r="E309" i="40"/>
  <c r="E311" i="40"/>
  <c r="E320" i="40"/>
  <c r="E314" i="40"/>
  <c r="E316" i="40"/>
  <c r="E318" i="40"/>
  <c r="M69" i="62"/>
  <c r="L53" i="62"/>
  <c r="S44" i="71"/>
  <c r="AA44" i="71"/>
  <c r="AA68" i="71"/>
  <c r="S68" i="71"/>
  <c r="Z58" i="66"/>
  <c r="Q66" i="66"/>
  <c r="Y58" i="66"/>
  <c r="S66" i="66"/>
  <c r="AA66" i="66"/>
  <c r="S58" i="66"/>
  <c r="R66" i="66"/>
  <c r="R50" i="66"/>
  <c r="Z50" i="66" s="1"/>
  <c r="Q54" i="66"/>
  <c r="Q50" i="66"/>
  <c r="Y50" i="66" s="1"/>
  <c r="S64" i="67"/>
  <c r="AA56" i="67"/>
  <c r="Z60" i="67"/>
  <c r="R52" i="67"/>
  <c r="Z52" i="67" s="1"/>
  <c r="Q68" i="67"/>
  <c r="Q56" i="67"/>
  <c r="R70" i="69"/>
  <c r="Z58" i="69"/>
  <c r="Z50" i="69"/>
  <c r="Q50" i="69"/>
  <c r="Y50" i="69" s="1"/>
  <c r="AC50" i="69" s="1"/>
  <c r="AD50" i="69" s="1"/>
  <c r="Q302" i="40"/>
  <c r="Q308" i="40"/>
  <c r="Q314" i="40"/>
  <c r="Q316" i="40"/>
  <c r="Q318" i="40"/>
  <c r="Q310" i="40"/>
  <c r="Q312" i="40"/>
  <c r="Q313" i="40"/>
  <c r="Q315" i="40"/>
  <c r="Q317" i="40"/>
  <c r="Q319" i="40"/>
  <c r="Q309" i="40"/>
  <c r="Q311" i="40"/>
  <c r="Q320" i="40"/>
  <c r="AM593" i="40"/>
  <c r="AM589" i="40"/>
  <c r="AM587" i="40"/>
  <c r="AM571" i="40"/>
  <c r="AM563" i="40"/>
  <c r="AM555" i="40"/>
  <c r="AM547" i="40"/>
  <c r="AM539" i="40"/>
  <c r="E512" i="40"/>
  <c r="S58" i="69"/>
  <c r="AA58" i="69" s="1"/>
  <c r="S70" i="66"/>
  <c r="Y68" i="67"/>
  <c r="S60" i="67"/>
  <c r="R56" i="67"/>
  <c r="Q70" i="66"/>
  <c r="Z70" i="66"/>
  <c r="S50" i="66"/>
  <c r="AA50" i="66" s="1"/>
  <c r="Z54" i="66"/>
  <c r="Y66" i="66"/>
  <c r="S70" i="69"/>
  <c r="AA62" i="69"/>
  <c r="S54" i="69"/>
  <c r="AA54" i="69" s="1"/>
  <c r="R66" i="69"/>
  <c r="Q70" i="69"/>
  <c r="Y54" i="69"/>
  <c r="Q413" i="40"/>
  <c r="Q415" i="40"/>
  <c r="Q409" i="40"/>
  <c r="Q411" i="40"/>
  <c r="Q416" i="40"/>
  <c r="Q418" i="40"/>
  <c r="Q408" i="40"/>
  <c r="Q414" i="40"/>
  <c r="Q402" i="40"/>
  <c r="Q410" i="40"/>
  <c r="Q412" i="40"/>
  <c r="Q417" i="40"/>
  <c r="Q419" i="40"/>
  <c r="AM592" i="40"/>
  <c r="AM590" i="40"/>
  <c r="AM584" i="40"/>
  <c r="AM580" i="40"/>
  <c r="AM576" i="40"/>
  <c r="AM573" i="40"/>
  <c r="AM572" i="40"/>
  <c r="AM565" i="40"/>
  <c r="AM564" i="40"/>
  <c r="AM557" i="40"/>
  <c r="AM556" i="40"/>
  <c r="AM549" i="40"/>
  <c r="AM548" i="40"/>
  <c r="AM541" i="40"/>
  <c r="AM533" i="40"/>
  <c r="AM504" i="40"/>
  <c r="K65" i="62"/>
  <c r="S62" i="66"/>
  <c r="Y54" i="66"/>
  <c r="Z66" i="66"/>
  <c r="S68" i="67"/>
  <c r="Y62" i="66"/>
  <c r="AA62" i="66"/>
  <c r="S54" i="66"/>
  <c r="AA54" i="66" s="1"/>
  <c r="R70" i="66"/>
  <c r="Z62" i="66"/>
  <c r="Y70" i="66"/>
  <c r="Q58" i="66"/>
  <c r="AA68" i="67"/>
  <c r="AA60" i="67"/>
  <c r="S52" i="67"/>
  <c r="AA52" i="67" s="1"/>
  <c r="R64" i="67"/>
  <c r="Z56" i="67"/>
  <c r="Q64" i="67"/>
  <c r="Y60" i="67"/>
  <c r="Q52" i="67"/>
  <c r="Y52" i="67" s="1"/>
  <c r="R54" i="69"/>
  <c r="Z54" i="69" s="1"/>
  <c r="Q66" i="69"/>
  <c r="Y62" i="69"/>
  <c r="Y58" i="69"/>
  <c r="Q102" i="40"/>
  <c r="Q209" i="40"/>
  <c r="Q211" i="40"/>
  <c r="Q208" i="40"/>
  <c r="Q202" i="40"/>
  <c r="Q210" i="40"/>
  <c r="AM591" i="40"/>
  <c r="AM585" i="40"/>
  <c r="AM581" i="40"/>
  <c r="AM577" i="40"/>
  <c r="AM575" i="40"/>
  <c r="AM574" i="40"/>
  <c r="AM567" i="40"/>
  <c r="AM566" i="40"/>
  <c r="AM559" i="40"/>
  <c r="AM558" i="40"/>
  <c r="AM551" i="40"/>
  <c r="AM550" i="40"/>
  <c r="AM543" i="40"/>
  <c r="AM542" i="40"/>
  <c r="AM535" i="40"/>
  <c r="AM534" i="40"/>
  <c r="E510" i="40"/>
  <c r="AM588" i="40"/>
  <c r="AM569" i="40"/>
  <c r="AM561" i="40"/>
  <c r="AM553" i="40"/>
  <c r="AM545" i="40"/>
  <c r="AM544" i="40"/>
  <c r="AM537" i="40"/>
  <c r="AM536" i="40"/>
  <c r="AM413" i="40"/>
  <c r="E410" i="40"/>
  <c r="AM404" i="40"/>
  <c r="E411" i="40"/>
  <c r="E409" i="40"/>
  <c r="AM414" i="40"/>
  <c r="AM401" i="40"/>
  <c r="AM382" i="40"/>
  <c r="AM378" i="40"/>
  <c r="AM372" i="40"/>
  <c r="AM371" i="40"/>
  <c r="AM387" i="40"/>
  <c r="AM385" i="40"/>
  <c r="AM381" i="40"/>
  <c r="AM377" i="40"/>
  <c r="AM373" i="40"/>
  <c r="AM366" i="40"/>
  <c r="AM365" i="40"/>
  <c r="AM361" i="40"/>
  <c r="AM380" i="40"/>
  <c r="AM376" i="40"/>
  <c r="AM368" i="40"/>
  <c r="AM367" i="40"/>
  <c r="AM383" i="40"/>
  <c r="AM379" i="40"/>
  <c r="AM374" i="40"/>
  <c r="AM370" i="40"/>
  <c r="AM369" i="40"/>
  <c r="AM363" i="40"/>
  <c r="AM362" i="40"/>
  <c r="AM340" i="40"/>
  <c r="AM339" i="40"/>
  <c r="AM329" i="40"/>
  <c r="AM328" i="40"/>
  <c r="AM325" i="40"/>
  <c r="AM324" i="40"/>
  <c r="AM341" i="40"/>
  <c r="AM331" i="40"/>
  <c r="AM304" i="40"/>
  <c r="AM336" i="40"/>
  <c r="AM335" i="40"/>
  <c r="AM334" i="40"/>
  <c r="AM333" i="40"/>
  <c r="AM327" i="40"/>
  <c r="AM338" i="40"/>
  <c r="AM337" i="40"/>
  <c r="AM204" i="40"/>
  <c r="AM203" i="40"/>
  <c r="AM104" i="40"/>
  <c r="AM103" i="40"/>
  <c r="HN101" i="40"/>
  <c r="HO101" i="40"/>
  <c r="HM101" i="40"/>
  <c r="AC52" i="69" l="1"/>
  <c r="AD52" i="69" s="1"/>
  <c r="AC62" i="68"/>
  <c r="AD62" i="68" s="1"/>
  <c r="AC56" i="68"/>
  <c r="AD56" i="68" s="1"/>
  <c r="AC54" i="68"/>
  <c r="AD54" i="68" s="1"/>
  <c r="AC54" i="67"/>
  <c r="AD54" i="67" s="1"/>
  <c r="AC52" i="67"/>
  <c r="AD52" i="67" s="1"/>
  <c r="AC50" i="67"/>
  <c r="AD50" i="67" s="1"/>
  <c r="AC52" i="66"/>
  <c r="AD52" i="66" s="1"/>
  <c r="AC50" i="66"/>
  <c r="AD50" i="66" s="1"/>
  <c r="AC52" i="58"/>
  <c r="AD52" i="58" s="1"/>
  <c r="AC50" i="58"/>
  <c r="AD50" i="58" s="1"/>
  <c r="JB283" i="40"/>
  <c r="JA481" i="40"/>
  <c r="JC178" i="40"/>
  <c r="JB477" i="40"/>
  <c r="JC487" i="40"/>
  <c r="JA181" i="40"/>
  <c r="JA276" i="40"/>
  <c r="JC281" i="40"/>
  <c r="JB380" i="40"/>
  <c r="JC376" i="40"/>
  <c r="K59" i="58"/>
  <c r="K65" i="58"/>
  <c r="K53" i="58"/>
  <c r="K71" i="58"/>
  <c r="K55" i="58"/>
  <c r="JA382" i="40"/>
  <c r="JA482" i="40"/>
  <c r="JB585" i="40"/>
  <c r="JC177" i="40"/>
  <c r="JB379" i="40"/>
  <c r="JB483" i="40"/>
  <c r="JB478" i="40"/>
  <c r="JC382" i="40"/>
  <c r="JC482" i="40"/>
  <c r="JA178" i="40"/>
  <c r="JA587" i="40"/>
  <c r="K51" i="58"/>
  <c r="K67" i="58"/>
  <c r="AN21" i="52"/>
  <c r="K69" i="58"/>
  <c r="JB178" i="40"/>
  <c r="JB278" i="40"/>
  <c r="JA378" i="40"/>
  <c r="JC485" i="40"/>
  <c r="JC478" i="40"/>
  <c r="JA176" i="40"/>
  <c r="JA282" i="40"/>
  <c r="JA486" i="40"/>
  <c r="JA480" i="40"/>
  <c r="JC279" i="40"/>
  <c r="JB378" i="40"/>
  <c r="JB485" i="40"/>
  <c r="JC381" i="40"/>
  <c r="JA278" i="40"/>
  <c r="IZ686" i="40"/>
  <c r="JB276" i="40"/>
  <c r="JA478" i="40"/>
  <c r="JA484" i="40"/>
  <c r="JB586" i="40"/>
  <c r="JC182" i="40"/>
  <c r="JB476" i="40"/>
  <c r="JB479" i="40"/>
  <c r="JC486" i="40"/>
  <c r="JB181" i="40"/>
  <c r="JA381" i="40"/>
  <c r="JB587" i="40"/>
  <c r="JC180" i="40"/>
  <c r="JC277" i="40"/>
  <c r="JB376" i="40"/>
  <c r="JC584" i="40"/>
  <c r="JB182" i="40"/>
  <c r="JC278" i="40"/>
  <c r="JB377" i="40"/>
  <c r="JC586" i="40"/>
  <c r="JC380" i="40"/>
  <c r="JC476" i="40"/>
  <c r="JA277" i="40"/>
  <c r="JP211" i="40"/>
  <c r="JA376" i="40"/>
  <c r="JC283" i="40"/>
  <c r="JB382" i="40"/>
  <c r="JB481" i="40"/>
  <c r="JC585" i="40"/>
  <c r="JC378" i="40"/>
  <c r="JA280" i="40"/>
  <c r="JA586" i="40"/>
  <c r="JH584" i="40"/>
  <c r="HY684" i="40"/>
  <c r="HM684" i="40" s="1"/>
  <c r="IA687" i="40"/>
  <c r="HO687" i="40" s="1"/>
  <c r="JH177" i="40"/>
  <c r="JH178" i="40"/>
  <c r="IX687" i="40"/>
  <c r="JB177" i="40"/>
  <c r="JA485" i="40"/>
  <c r="JC176" i="40"/>
  <c r="JB383" i="40"/>
  <c r="JB487" i="40"/>
  <c r="JC377" i="40"/>
  <c r="JC480" i="40"/>
  <c r="JA584" i="40"/>
  <c r="HM20" i="52"/>
  <c r="Y49" i="52" s="1"/>
  <c r="JB282" i="40"/>
  <c r="JA380" i="40"/>
  <c r="JA483" i="40"/>
  <c r="JC276" i="40"/>
  <c r="JC477" i="40"/>
  <c r="JA180" i="40"/>
  <c r="IZ687" i="40"/>
  <c r="JB281" i="40"/>
  <c r="JA383" i="40"/>
  <c r="JA379" i="40"/>
  <c r="JA477" i="40"/>
  <c r="JB584" i="40"/>
  <c r="JB486" i="40"/>
  <c r="JC383" i="40"/>
  <c r="JC484" i="40"/>
  <c r="JC483" i="40"/>
  <c r="JA179" i="40"/>
  <c r="JA585" i="40"/>
  <c r="IA684" i="40"/>
  <c r="JB180" i="40"/>
  <c r="JB280" i="40"/>
  <c r="JA487" i="40"/>
  <c r="JC181" i="40"/>
  <c r="JC282" i="40"/>
  <c r="JB381" i="40"/>
  <c r="JB484" i="40"/>
  <c r="JC587" i="40"/>
  <c r="JC479" i="40"/>
  <c r="JA283" i="40"/>
  <c r="JH176" i="40"/>
  <c r="JB176" i="40"/>
  <c r="JA479" i="40"/>
  <c r="JC179" i="40"/>
  <c r="JB480" i="40"/>
  <c r="JA279" i="40"/>
  <c r="HY685" i="40"/>
  <c r="HM685" i="40" s="1"/>
  <c r="JH586" i="40"/>
  <c r="JH585" i="40"/>
  <c r="JH182" i="40"/>
  <c r="JH277" i="40"/>
  <c r="HZ680" i="40"/>
  <c r="IY680" i="40" s="1"/>
  <c r="HZ679" i="40"/>
  <c r="IY679" i="40" s="1"/>
  <c r="HQ684" i="40"/>
  <c r="JH486" i="40"/>
  <c r="HP686" i="40"/>
  <c r="JH485" i="40"/>
  <c r="HP685" i="40"/>
  <c r="JH487" i="40"/>
  <c r="HP687" i="40"/>
  <c r="JH482" i="40"/>
  <c r="JH376" i="40"/>
  <c r="JH377" i="40"/>
  <c r="JH379" i="40"/>
  <c r="IX684" i="40"/>
  <c r="HY677" i="40"/>
  <c r="IX677" i="40" s="1"/>
  <c r="HY682" i="40"/>
  <c r="IX682" i="40" s="1"/>
  <c r="IA682" i="40"/>
  <c r="IZ682" i="40" s="1"/>
  <c r="IA676" i="40"/>
  <c r="IZ676" i="40" s="1"/>
  <c r="JH587" i="40"/>
  <c r="IA685" i="40"/>
  <c r="IZ685" i="40" s="1"/>
  <c r="HY683" i="40"/>
  <c r="IX683" i="40" s="1"/>
  <c r="JH279" i="40"/>
  <c r="JH278" i="40"/>
  <c r="JH281" i="40"/>
  <c r="HZ676" i="40"/>
  <c r="IY676" i="40" s="1"/>
  <c r="HZ678" i="40"/>
  <c r="IY678" i="40" s="1"/>
  <c r="HZ687" i="40"/>
  <c r="IY687" i="40" s="1"/>
  <c r="HZ686" i="40"/>
  <c r="HR686" i="40"/>
  <c r="JH481" i="40"/>
  <c r="JH477" i="40"/>
  <c r="JH483" i="40"/>
  <c r="HQ687" i="40"/>
  <c r="JH382" i="40"/>
  <c r="HY680" i="40"/>
  <c r="IX680" i="40" s="1"/>
  <c r="HY679" i="40"/>
  <c r="IX679" i="40" s="1"/>
  <c r="IA678" i="40"/>
  <c r="IZ678" i="40" s="1"/>
  <c r="IA679" i="40"/>
  <c r="IZ679" i="40" s="1"/>
  <c r="JP207" i="40"/>
  <c r="JP283" i="40"/>
  <c r="JP281" i="40"/>
  <c r="JP279" i="40"/>
  <c r="JP277" i="40"/>
  <c r="JP276" i="40"/>
  <c r="JP282" i="40"/>
  <c r="JP280" i="40"/>
  <c r="JP278" i="40"/>
  <c r="IA683" i="40"/>
  <c r="IZ683" i="40" s="1"/>
  <c r="JH181" i="40"/>
  <c r="JH276" i="40"/>
  <c r="JH283" i="40"/>
  <c r="HZ681" i="40"/>
  <c r="IY681" i="40" s="1"/>
  <c r="HZ677" i="40"/>
  <c r="IY677" i="40" s="1"/>
  <c r="HZ684" i="40"/>
  <c r="HZ685" i="40"/>
  <c r="HQ686" i="40"/>
  <c r="HR685" i="40"/>
  <c r="JH484" i="40"/>
  <c r="HP684" i="40"/>
  <c r="JH476" i="40"/>
  <c r="JH479" i="40"/>
  <c r="HQ685" i="40"/>
  <c r="JH383" i="40"/>
  <c r="HZ683" i="40"/>
  <c r="IY683" i="40" s="1"/>
  <c r="HY676" i="40"/>
  <c r="IX676" i="40" s="1"/>
  <c r="HY678" i="40"/>
  <c r="IX678" i="40" s="1"/>
  <c r="IA680" i="40"/>
  <c r="IZ680" i="40" s="1"/>
  <c r="E603" i="40"/>
  <c r="R77" i="57"/>
  <c r="E606" i="40"/>
  <c r="E601" i="40"/>
  <c r="E604" i="40"/>
  <c r="E607" i="40"/>
  <c r="E111" i="75"/>
  <c r="E605" i="40"/>
  <c r="HY686" i="40"/>
  <c r="IX686" i="40" s="1"/>
  <c r="JH179" i="40"/>
  <c r="JH180" i="40"/>
  <c r="JH282" i="40"/>
  <c r="JH280" i="40"/>
  <c r="HZ682" i="40"/>
  <c r="IY682" i="40" s="1"/>
  <c r="JH478" i="40"/>
  <c r="JH480" i="40"/>
  <c r="HR687" i="40"/>
  <c r="HR684" i="40"/>
  <c r="JH378" i="40"/>
  <c r="JH381" i="40"/>
  <c r="JH380" i="40"/>
  <c r="HY681" i="40"/>
  <c r="IX681" i="40" s="1"/>
  <c r="IA681" i="40"/>
  <c r="IZ681" i="40" s="1"/>
  <c r="IA677" i="40"/>
  <c r="IZ677" i="40" s="1"/>
  <c r="X300" i="40"/>
  <c r="X296" i="40"/>
  <c r="X292" i="40"/>
  <c r="X288" i="40"/>
  <c r="X280" i="40"/>
  <c r="X297" i="40"/>
  <c r="X293" i="40"/>
  <c r="X289" i="40"/>
  <c r="X287" i="40"/>
  <c r="X285" i="40"/>
  <c r="X283" i="40"/>
  <c r="X298" i="40"/>
  <c r="X294" i="40"/>
  <c r="X290" i="40"/>
  <c r="X282" i="40"/>
  <c r="X299" i="40"/>
  <c r="X295" i="40"/>
  <c r="X291" i="40"/>
  <c r="X286" i="40"/>
  <c r="X284" i="40"/>
  <c r="X281" i="40"/>
  <c r="X275" i="40"/>
  <c r="X271" i="40"/>
  <c r="X267" i="40"/>
  <c r="X263" i="40"/>
  <c r="X259" i="40"/>
  <c r="X255" i="40"/>
  <c r="X251" i="40"/>
  <c r="X247" i="40"/>
  <c r="X243" i="40"/>
  <c r="X239" i="40"/>
  <c r="X235" i="40"/>
  <c r="X231" i="40"/>
  <c r="X227" i="40"/>
  <c r="X276" i="40"/>
  <c r="X272" i="40"/>
  <c r="X268" i="40"/>
  <c r="X264" i="40"/>
  <c r="X260" i="40"/>
  <c r="X256" i="40"/>
  <c r="X252" i="40"/>
  <c r="X248" i="40"/>
  <c r="X244" i="40"/>
  <c r="X240" i="40"/>
  <c r="X236" i="40"/>
  <c r="X232" i="40"/>
  <c r="X228" i="40"/>
  <c r="X225" i="40"/>
  <c r="X222" i="40"/>
  <c r="X279" i="40"/>
  <c r="X277" i="40"/>
  <c r="X273" i="40"/>
  <c r="X269" i="40"/>
  <c r="X265" i="40"/>
  <c r="X261" i="40"/>
  <c r="X257" i="40"/>
  <c r="X253" i="40"/>
  <c r="X249" i="40"/>
  <c r="X245" i="40"/>
  <c r="X241" i="40"/>
  <c r="X237" i="40"/>
  <c r="X233" i="40"/>
  <c r="X229" i="40"/>
  <c r="X223" i="40"/>
  <c r="X278" i="40"/>
  <c r="X274" i="40"/>
  <c r="X270" i="40"/>
  <c r="X266" i="40"/>
  <c r="X262" i="40"/>
  <c r="X258" i="40"/>
  <c r="X254" i="40"/>
  <c r="X250" i="40"/>
  <c r="X246" i="40"/>
  <c r="X242" i="40"/>
  <c r="X238" i="40"/>
  <c r="X234" i="40"/>
  <c r="X230" i="40"/>
  <c r="X226" i="40"/>
  <c r="X224" i="40"/>
  <c r="X221" i="40"/>
  <c r="AN22" i="52"/>
  <c r="AO488" i="40"/>
  <c r="U635" i="40"/>
  <c r="U618" i="40"/>
  <c r="U632" i="40"/>
  <c r="U636" i="40"/>
  <c r="U662" i="40"/>
  <c r="U670" i="40"/>
  <c r="U671" i="40"/>
  <c r="U678" i="40"/>
  <c r="U675" i="40"/>
  <c r="U613" i="40"/>
  <c r="U616" i="40"/>
  <c r="U650" i="40"/>
  <c r="U651" i="40"/>
  <c r="U654" i="40"/>
  <c r="U655" i="40"/>
  <c r="U656" i="40"/>
  <c r="U660" i="40"/>
  <c r="U668" i="40"/>
  <c r="U672" i="40"/>
  <c r="U673" i="40"/>
  <c r="U676" i="40"/>
  <c r="U700" i="40"/>
  <c r="U602" i="40"/>
  <c r="AP602" i="40" s="1"/>
  <c r="U631" i="40"/>
  <c r="U620" i="40"/>
  <c r="U647" i="40"/>
  <c r="U652" i="40"/>
  <c r="U661" i="40"/>
  <c r="U663" i="40"/>
  <c r="U666" i="40"/>
  <c r="U674" i="40"/>
  <c r="U677" i="40"/>
  <c r="U608" i="40"/>
  <c r="U633" i="40"/>
  <c r="U639" i="40"/>
  <c r="U653" i="40"/>
  <c r="U657" i="40"/>
  <c r="U658" i="40"/>
  <c r="U659" i="40"/>
  <c r="U664" i="40"/>
  <c r="U665" i="40"/>
  <c r="U667" i="40"/>
  <c r="U669" i="40"/>
  <c r="V667" i="40"/>
  <c r="V669" i="40"/>
  <c r="V675" i="40"/>
  <c r="V662" i="40"/>
  <c r="V671" i="40"/>
  <c r="V678" i="40"/>
  <c r="V677" i="40"/>
  <c r="V668" i="40"/>
  <c r="V676" i="40"/>
  <c r="V700" i="40"/>
  <c r="AP488" i="40"/>
  <c r="X200" i="40"/>
  <c r="X196" i="40"/>
  <c r="X192" i="40"/>
  <c r="X188" i="40"/>
  <c r="X180" i="40"/>
  <c r="X197" i="40"/>
  <c r="X193" i="40"/>
  <c r="X189" i="40"/>
  <c r="X187" i="40"/>
  <c r="X185" i="40"/>
  <c r="X183" i="40"/>
  <c r="X179" i="40"/>
  <c r="X198" i="40"/>
  <c r="X194" i="40"/>
  <c r="X190" i="40"/>
  <c r="X182" i="40"/>
  <c r="X178" i="40"/>
  <c r="X199" i="40"/>
  <c r="X195" i="40"/>
  <c r="X191" i="40"/>
  <c r="X186" i="40"/>
  <c r="X184" i="40"/>
  <c r="X181" i="40"/>
  <c r="X174" i="40"/>
  <c r="X170" i="40"/>
  <c r="X166" i="40"/>
  <c r="X162" i="40"/>
  <c r="X158" i="40"/>
  <c r="X154" i="40"/>
  <c r="X150" i="40"/>
  <c r="X146" i="40"/>
  <c r="X142" i="40"/>
  <c r="X138" i="40"/>
  <c r="X134" i="40"/>
  <c r="X130" i="40"/>
  <c r="X126" i="40"/>
  <c r="X124" i="40"/>
  <c r="X131" i="40"/>
  <c r="X127" i="40"/>
  <c r="X136" i="40"/>
  <c r="X157" i="40"/>
  <c r="X153" i="40"/>
  <c r="X141" i="40"/>
  <c r="X137" i="40"/>
  <c r="X133" i="40"/>
  <c r="X175" i="40"/>
  <c r="X171" i="40"/>
  <c r="X167" i="40"/>
  <c r="X163" i="40"/>
  <c r="X159" i="40"/>
  <c r="X155" i="40"/>
  <c r="X151" i="40"/>
  <c r="X147" i="40"/>
  <c r="X143" i="40"/>
  <c r="X139" i="40"/>
  <c r="X135" i="40"/>
  <c r="X144" i="40"/>
  <c r="X132" i="40"/>
  <c r="X125" i="40"/>
  <c r="X177" i="40"/>
  <c r="X161" i="40"/>
  <c r="X176" i="40"/>
  <c r="X172" i="40"/>
  <c r="X168" i="40"/>
  <c r="X164" i="40"/>
  <c r="X160" i="40"/>
  <c r="X156" i="40"/>
  <c r="X152" i="40"/>
  <c r="X148" i="40"/>
  <c r="X140" i="40"/>
  <c r="X128" i="40"/>
  <c r="X122" i="40"/>
  <c r="X173" i="40"/>
  <c r="X149" i="40"/>
  <c r="X169" i="40"/>
  <c r="X165" i="40"/>
  <c r="X145" i="40"/>
  <c r="X123" i="40"/>
  <c r="X129" i="40"/>
  <c r="AN488" i="40"/>
  <c r="S90" i="57"/>
  <c r="S636" i="40"/>
  <c r="S634" i="40"/>
  <c r="S623" i="40"/>
  <c r="S613" i="40"/>
  <c r="S633" i="40"/>
  <c r="S615" i="40"/>
  <c r="S624" i="40"/>
  <c r="S602" i="40"/>
  <c r="S611" i="40"/>
  <c r="S642" i="40"/>
  <c r="S643" i="40"/>
  <c r="S650" i="40"/>
  <c r="S651" i="40"/>
  <c r="S654" i="40"/>
  <c r="S655" i="40"/>
  <c r="S656" i="40"/>
  <c r="S660" i="40"/>
  <c r="S663" i="40"/>
  <c r="S672" i="40"/>
  <c r="S674" i="40"/>
  <c r="S679" i="40"/>
  <c r="S680" i="40"/>
  <c r="S681" i="40"/>
  <c r="S682" i="40"/>
  <c r="S683" i="40"/>
  <c r="S630" i="40"/>
  <c r="S618" i="40"/>
  <c r="S612" i="40"/>
  <c r="S637" i="40"/>
  <c r="S614" i="40"/>
  <c r="S628" i="40"/>
  <c r="S617" i="40"/>
  <c r="S609" i="40"/>
  <c r="S646" i="40"/>
  <c r="S647" i="40"/>
  <c r="S649" i="40"/>
  <c r="S652" i="40"/>
  <c r="S661" i="40"/>
  <c r="S666" i="40"/>
  <c r="S667" i="40"/>
  <c r="S669" i="40"/>
  <c r="S675" i="40"/>
  <c r="S677" i="40"/>
  <c r="S700" i="40"/>
  <c r="S638" i="40"/>
  <c r="S610" i="40"/>
  <c r="S635" i="40"/>
  <c r="S639" i="40"/>
  <c r="S616" i="40"/>
  <c r="S608" i="40"/>
  <c r="S621" i="40"/>
  <c r="S641" i="40"/>
  <c r="S644" i="40"/>
  <c r="S653" i="40"/>
  <c r="S657" i="40"/>
  <c r="S658" i="40"/>
  <c r="S659" i="40"/>
  <c r="S662" i="40"/>
  <c r="S664" i="40"/>
  <c r="S665" i="40"/>
  <c r="S671" i="40"/>
  <c r="S678" i="40"/>
  <c r="S112" i="75"/>
  <c r="S619" i="40"/>
  <c r="S631" i="40"/>
  <c r="S629" i="40"/>
  <c r="S632" i="40"/>
  <c r="S640" i="40"/>
  <c r="S627" i="40"/>
  <c r="S622" i="40"/>
  <c r="S620" i="40"/>
  <c r="S645" i="40"/>
  <c r="S648" i="40"/>
  <c r="S668" i="40"/>
  <c r="S670" i="40"/>
  <c r="S673" i="40"/>
  <c r="S676" i="40"/>
  <c r="T668" i="40"/>
  <c r="T673" i="40"/>
  <c r="T676" i="40"/>
  <c r="T700" i="40"/>
  <c r="T663" i="40"/>
  <c r="T674" i="40"/>
  <c r="T679" i="40"/>
  <c r="T680" i="40"/>
  <c r="T681" i="40"/>
  <c r="T682" i="40"/>
  <c r="T683" i="40"/>
  <c r="T667" i="40"/>
  <c r="T669" i="40"/>
  <c r="T675" i="40"/>
  <c r="T678" i="40"/>
  <c r="T662" i="40"/>
  <c r="T671" i="40"/>
  <c r="V187" i="75"/>
  <c r="V186" i="75"/>
  <c r="V185" i="75"/>
  <c r="V184" i="75"/>
  <c r="V684" i="40" s="1"/>
  <c r="V183" i="75"/>
  <c r="T184" i="75"/>
  <c r="T684" i="40" s="1"/>
  <c r="T187" i="75"/>
  <c r="T186" i="75"/>
  <c r="T185" i="75"/>
  <c r="JP178" i="40"/>
  <c r="JP177" i="40"/>
  <c r="JP176" i="40"/>
  <c r="JP179" i="40"/>
  <c r="JP180" i="40"/>
  <c r="JP181" i="40"/>
  <c r="JP182" i="40"/>
  <c r="U187" i="75"/>
  <c r="U186" i="75"/>
  <c r="U183" i="75"/>
  <c r="U185" i="75"/>
  <c r="U184" i="75"/>
  <c r="U684" i="40" s="1"/>
  <c r="C491" i="40"/>
  <c r="AW490" i="40"/>
  <c r="BB490" i="40"/>
  <c r="BF490" i="40"/>
  <c r="BJ490" i="40"/>
  <c r="BN490" i="40"/>
  <c r="BR490" i="40"/>
  <c r="BV490" i="40"/>
  <c r="BZ490" i="40"/>
  <c r="CD490" i="40"/>
  <c r="CH490" i="40"/>
  <c r="DT490" i="40"/>
  <c r="AX490" i="40"/>
  <c r="BC490" i="40"/>
  <c r="BG490" i="40"/>
  <c r="BK490" i="40"/>
  <c r="BO490" i="40"/>
  <c r="BS490" i="40"/>
  <c r="BW490" i="40"/>
  <c r="CA490" i="40"/>
  <c r="CE490" i="40"/>
  <c r="DU490" i="40"/>
  <c r="AZ490" i="40"/>
  <c r="BD490" i="40"/>
  <c r="BH490" i="40"/>
  <c r="BL490" i="40"/>
  <c r="BP490" i="40"/>
  <c r="BT490" i="40"/>
  <c r="BX490" i="40"/>
  <c r="CB490" i="40"/>
  <c r="CF490" i="40"/>
  <c r="DM490" i="40"/>
  <c r="DV490" i="40"/>
  <c r="BI490" i="40"/>
  <c r="BY490" i="40"/>
  <c r="DW490" i="40"/>
  <c r="BM490" i="40"/>
  <c r="CC490" i="40"/>
  <c r="BA490" i="40"/>
  <c r="BQ490" i="40"/>
  <c r="CG490" i="40"/>
  <c r="DS490" i="40"/>
  <c r="BU490" i="40"/>
  <c r="BE490" i="40"/>
  <c r="HJ582" i="40"/>
  <c r="HJ483" i="40"/>
  <c r="HJ382" i="40"/>
  <c r="HJ282" i="40"/>
  <c r="AS18" i="58"/>
  <c r="AR17" i="52"/>
  <c r="U181" i="75"/>
  <c r="U180" i="75"/>
  <c r="U179" i="75"/>
  <c r="U182" i="75"/>
  <c r="V182" i="75"/>
  <c r="V181" i="75"/>
  <c r="V180" i="75"/>
  <c r="V179" i="75"/>
  <c r="I684" i="40"/>
  <c r="F684" i="40"/>
  <c r="H684" i="40"/>
  <c r="B185" i="75"/>
  <c r="Q684" i="40"/>
  <c r="G684" i="40"/>
  <c r="AC684" i="40"/>
  <c r="G685" i="40"/>
  <c r="Q685" i="40"/>
  <c r="AE684" i="40"/>
  <c r="AE685" i="40"/>
  <c r="H685" i="40"/>
  <c r="L7" i="61"/>
  <c r="Y7" i="61" s="1"/>
  <c r="JP204" i="40"/>
  <c r="JP205" i="40"/>
  <c r="JP202" i="40"/>
  <c r="AP22" i="52"/>
  <c r="JP201" i="40"/>
  <c r="Q4" i="59"/>
  <c r="JP209" i="40"/>
  <c r="JP208" i="40"/>
  <c r="JP203" i="40"/>
  <c r="AT18" i="62"/>
  <c r="M7" i="61"/>
  <c r="Z7" i="61" s="1"/>
  <c r="HM104" i="40"/>
  <c r="HP104" i="40" s="1"/>
  <c r="JC104" i="40"/>
  <c r="F9" i="44" s="1"/>
  <c r="AP25" i="52"/>
  <c r="AP28" i="52"/>
  <c r="AO24" i="52"/>
  <c r="AO28" i="52"/>
  <c r="AP407" i="40"/>
  <c r="AN46" i="52"/>
  <c r="AU18" i="58"/>
  <c r="HM29" i="52"/>
  <c r="Y58" i="52" s="1"/>
  <c r="Y59" i="52" s="1"/>
  <c r="AM210" i="40"/>
  <c r="AO207" i="40"/>
  <c r="AO57" i="52"/>
  <c r="AN53" i="52"/>
  <c r="AM395" i="40"/>
  <c r="AO47" i="52"/>
  <c r="AN48" i="52"/>
  <c r="D7" i="44"/>
  <c r="AM418" i="40"/>
  <c r="AP24" i="52"/>
  <c r="AN17" i="52"/>
  <c r="JZ506" i="40"/>
  <c r="JZ206" i="40"/>
  <c r="HO104" i="40"/>
  <c r="HR104" i="40" s="1"/>
  <c r="F65" i="62"/>
  <c r="AS18" i="62"/>
  <c r="JH103" i="40"/>
  <c r="F53" i="62"/>
  <c r="F67" i="62"/>
  <c r="F61" i="62"/>
  <c r="F71" i="62"/>
  <c r="KF104" i="40"/>
  <c r="B397" i="40"/>
  <c r="A396" i="40"/>
  <c r="AN105" i="40"/>
  <c r="B420" i="40"/>
  <c r="L419" i="40"/>
  <c r="AA419" i="40"/>
  <c r="AI419" i="40"/>
  <c r="J419" i="40"/>
  <c r="AJ419" i="40"/>
  <c r="A419" i="40"/>
  <c r="M419" i="40"/>
  <c r="AC419" i="40"/>
  <c r="G419" i="40"/>
  <c r="O419" i="40"/>
  <c r="F419" i="40"/>
  <c r="N419" i="40"/>
  <c r="AE419" i="40"/>
  <c r="H419" i="40"/>
  <c r="AF419" i="40"/>
  <c r="P419" i="40"/>
  <c r="AG419" i="40"/>
  <c r="I419" i="40"/>
  <c r="K419" i="40"/>
  <c r="AH419" i="40"/>
  <c r="JQ696" i="40"/>
  <c r="JU696" i="40" s="1"/>
  <c r="JS696" i="40"/>
  <c r="E8" i="44"/>
  <c r="C212" i="40"/>
  <c r="BX211" i="40"/>
  <c r="E211" i="40" s="1"/>
  <c r="M211" i="40"/>
  <c r="AC211" i="40"/>
  <c r="G211" i="40"/>
  <c r="O211" i="40"/>
  <c r="AX211" i="40"/>
  <c r="BC211" i="40"/>
  <c r="BG211" i="40"/>
  <c r="BK211" i="40"/>
  <c r="BO211" i="40"/>
  <c r="BS211" i="40"/>
  <c r="BW211" i="40"/>
  <c r="CB211" i="40"/>
  <c r="CF211" i="40"/>
  <c r="DU211" i="40"/>
  <c r="F211" i="40"/>
  <c r="N211" i="40"/>
  <c r="AE211" i="40"/>
  <c r="H211" i="40"/>
  <c r="AF211" i="40"/>
  <c r="AZ211" i="40"/>
  <c r="BD211" i="40"/>
  <c r="BH211" i="40"/>
  <c r="BL211" i="40"/>
  <c r="BP211" i="40"/>
  <c r="BT211" i="40"/>
  <c r="BY211" i="40"/>
  <c r="CC211" i="40"/>
  <c r="CG211" i="40"/>
  <c r="DM211" i="40"/>
  <c r="DV211" i="40"/>
  <c r="P211" i="40"/>
  <c r="I211" i="40"/>
  <c r="BA211" i="40"/>
  <c r="BI211" i="40"/>
  <c r="BQ211" i="40"/>
  <c r="BZ211" i="40"/>
  <c r="CH211" i="40"/>
  <c r="DW211" i="40"/>
  <c r="A211" i="40"/>
  <c r="AA211" i="40"/>
  <c r="J211" i="40"/>
  <c r="BB211" i="40"/>
  <c r="BJ211" i="40"/>
  <c r="BR211" i="40"/>
  <c r="CA211" i="40"/>
  <c r="K211" i="40"/>
  <c r="AG211" i="40"/>
  <c r="AH211" i="40"/>
  <c r="BE211" i="40"/>
  <c r="BM211" i="40"/>
  <c r="BU211" i="40"/>
  <c r="CD211" i="40"/>
  <c r="DS211" i="40"/>
  <c r="L211" i="40"/>
  <c r="BF211" i="40"/>
  <c r="DT211" i="40"/>
  <c r="AI211" i="40"/>
  <c r="BN211" i="40"/>
  <c r="AJ211" i="40"/>
  <c r="BV211" i="40"/>
  <c r="JO211" i="40"/>
  <c r="AW211" i="40"/>
  <c r="CE211" i="40"/>
  <c r="D9" i="44"/>
  <c r="KF103" i="40"/>
  <c r="JF105" i="40"/>
  <c r="HN105" i="40" s="1"/>
  <c r="HQ105" i="40" s="1"/>
  <c r="II105" i="40"/>
  <c r="IL105" i="40" s="1"/>
  <c r="A105" i="40"/>
  <c r="IK105" i="40"/>
  <c r="IN105" i="40" s="1"/>
  <c r="IJ105" i="40"/>
  <c r="IM105" i="40" s="1"/>
  <c r="BX105" i="40"/>
  <c r="G105" i="40"/>
  <c r="K105" i="40"/>
  <c r="O105" i="40"/>
  <c r="AC105" i="40"/>
  <c r="AG105" i="40"/>
  <c r="AX105" i="40"/>
  <c r="BB105" i="40"/>
  <c r="BF105" i="40"/>
  <c r="BJ105" i="40"/>
  <c r="BN105" i="40"/>
  <c r="BR105" i="40"/>
  <c r="BV105" i="40"/>
  <c r="CA105" i="40"/>
  <c r="CE105" i="40"/>
  <c r="DT105" i="40"/>
  <c r="I105" i="40"/>
  <c r="M105" i="40"/>
  <c r="AA105" i="40"/>
  <c r="AE105" i="40"/>
  <c r="AI105" i="40"/>
  <c r="AZ105" i="40"/>
  <c r="BD105" i="40"/>
  <c r="BH105" i="40"/>
  <c r="BL105" i="40"/>
  <c r="BP105" i="40"/>
  <c r="BT105" i="40"/>
  <c r="BY105" i="40"/>
  <c r="CC105" i="40"/>
  <c r="CG105" i="40"/>
  <c r="DM105" i="40"/>
  <c r="DV105" i="40"/>
  <c r="J105" i="40"/>
  <c r="AB105" i="40"/>
  <c r="AJ105" i="40"/>
  <c r="BA105" i="40"/>
  <c r="BI105" i="40"/>
  <c r="BQ105" i="40"/>
  <c r="BZ105" i="40"/>
  <c r="CH105" i="40"/>
  <c r="DW105" i="40"/>
  <c r="L105" i="40"/>
  <c r="AD105" i="40"/>
  <c r="BC105" i="40"/>
  <c r="BK105" i="40"/>
  <c r="BS105" i="40"/>
  <c r="CB105" i="40"/>
  <c r="F105" i="40"/>
  <c r="N105" i="40"/>
  <c r="AF105" i="40"/>
  <c r="AW105" i="40"/>
  <c r="BE105" i="40"/>
  <c r="BM105" i="40"/>
  <c r="BU105" i="40"/>
  <c r="CD105" i="40"/>
  <c r="DS105" i="40"/>
  <c r="BW105" i="40"/>
  <c r="H105" i="40"/>
  <c r="AY105" i="40"/>
  <c r="CF105" i="40"/>
  <c r="P105" i="40"/>
  <c r="BG105" i="40"/>
  <c r="DU105" i="40"/>
  <c r="AH105" i="40"/>
  <c r="BO105" i="40"/>
  <c r="JO105" i="40"/>
  <c r="IX105" i="40"/>
  <c r="IY105" i="40"/>
  <c r="IZ105" i="40"/>
  <c r="C106" i="40"/>
  <c r="D8" i="44"/>
  <c r="JS692" i="40"/>
  <c r="JQ692" i="40"/>
  <c r="JU692" i="40" s="1"/>
  <c r="JQ700" i="40"/>
  <c r="JU700" i="40" s="1"/>
  <c r="JS700" i="40"/>
  <c r="IL696" i="40"/>
  <c r="E9" i="44"/>
  <c r="AO306" i="40"/>
  <c r="AP17" i="52"/>
  <c r="N7" i="61"/>
  <c r="AA7" i="61" s="1"/>
  <c r="AO407" i="40"/>
  <c r="E7" i="44"/>
  <c r="AN101" i="40"/>
  <c r="AO104" i="40"/>
  <c r="AT18" i="58"/>
  <c r="F6" i="44"/>
  <c r="M6" i="44" s="1"/>
  <c r="AQ20" i="52"/>
  <c r="AP104" i="40"/>
  <c r="AP201" i="40"/>
  <c r="AU18" i="62"/>
  <c r="AN207" i="40"/>
  <c r="AN26" i="52"/>
  <c r="JZ103" i="40"/>
  <c r="AA506" i="40"/>
  <c r="AA505" i="40"/>
  <c r="AA507" i="40"/>
  <c r="AA58" i="52"/>
  <c r="AA31" i="52"/>
  <c r="AA30" i="52"/>
  <c r="AA29" i="52"/>
  <c r="AA504" i="40"/>
  <c r="AA60" i="52"/>
  <c r="AA59" i="52"/>
  <c r="AA501" i="40"/>
  <c r="AA503" i="40"/>
  <c r="AA109" i="75"/>
  <c r="P108" i="57"/>
  <c r="F55" i="62"/>
  <c r="F63" i="62"/>
  <c r="F69" i="62"/>
  <c r="F57" i="62"/>
  <c r="AO18" i="52"/>
  <c r="AO23" i="52"/>
  <c r="IY209" i="40"/>
  <c r="IY203" i="40"/>
  <c r="IY205" i="40"/>
  <c r="IY207" i="40"/>
  <c r="IY208" i="40"/>
  <c r="IZ201" i="40"/>
  <c r="IX202" i="40"/>
  <c r="IX208" i="40"/>
  <c r="IX201" i="40"/>
  <c r="IX210" i="40"/>
  <c r="IY211" i="40"/>
  <c r="IZ202" i="40"/>
  <c r="IZ204" i="40"/>
  <c r="IZ206" i="40"/>
  <c r="IZ205" i="40"/>
  <c r="IY206" i="40"/>
  <c r="IY204" i="40"/>
  <c r="IY202" i="40"/>
  <c r="IY210" i="40"/>
  <c r="IZ210" i="40"/>
  <c r="IZ207" i="40"/>
  <c r="IZ209" i="40"/>
  <c r="IY212" i="40"/>
  <c r="IZ211" i="40"/>
  <c r="IZ212" i="40"/>
  <c r="IX209" i="40"/>
  <c r="IX207" i="40"/>
  <c r="IZ208" i="40"/>
  <c r="IX203" i="40"/>
  <c r="IZ203" i="40"/>
  <c r="IX205" i="40"/>
  <c r="IX212" i="40"/>
  <c r="IY201" i="40"/>
  <c r="IX204" i="40"/>
  <c r="IX206" i="40"/>
  <c r="IX211" i="40"/>
  <c r="HY604" i="40"/>
  <c r="F59" i="62"/>
  <c r="AC303" i="40"/>
  <c r="AC301" i="40"/>
  <c r="AC306" i="40"/>
  <c r="AC307" i="40"/>
  <c r="AC304" i="40"/>
  <c r="AC305" i="40"/>
  <c r="AC52" i="52"/>
  <c r="AQ52" i="52" s="1"/>
  <c r="AC24" i="52"/>
  <c r="AC54" i="52"/>
  <c r="AQ54" i="52" s="1"/>
  <c r="AC23" i="52"/>
  <c r="AC53" i="52"/>
  <c r="AQ53" i="52" s="1"/>
  <c r="A105" i="75"/>
  <c r="AC25" i="52"/>
  <c r="AQ25" i="52" s="1"/>
  <c r="L111" i="57"/>
  <c r="AC105" i="75"/>
  <c r="HM23" i="52"/>
  <c r="Y52" i="52" s="1"/>
  <c r="Y53" i="52" s="1"/>
  <c r="AN57" i="52"/>
  <c r="AN49" i="52"/>
  <c r="AP206" i="40"/>
  <c r="AP405" i="40"/>
  <c r="AO103" i="40"/>
  <c r="AN206" i="40"/>
  <c r="AN52" i="52"/>
  <c r="AP26" i="52"/>
  <c r="HM26" i="52"/>
  <c r="Y55" i="52" s="1"/>
  <c r="Y56" i="52" s="1"/>
  <c r="AL56" i="52" s="1"/>
  <c r="AN103" i="40"/>
  <c r="AP401" i="40"/>
  <c r="JZ406" i="40"/>
  <c r="AP23" i="52"/>
  <c r="IA605" i="40"/>
  <c r="HM17" i="52"/>
  <c r="Y46" i="52" s="1"/>
  <c r="AN23" i="52"/>
  <c r="AO50" i="52"/>
  <c r="AP52" i="52"/>
  <c r="AN51" i="52"/>
  <c r="HZ605" i="40"/>
  <c r="AN205" i="40"/>
  <c r="AN301" i="40"/>
  <c r="AB308" i="40"/>
  <c r="AB314" i="40"/>
  <c r="AB318" i="40"/>
  <c r="AB310" i="40"/>
  <c r="AB311" i="40"/>
  <c r="AB316" i="40"/>
  <c r="AB320" i="40"/>
  <c r="AB309" i="40"/>
  <c r="AB312" i="40"/>
  <c r="AB317" i="40"/>
  <c r="AB302" i="40"/>
  <c r="AB313" i="40"/>
  <c r="AB315" i="40"/>
  <c r="AB319" i="40"/>
  <c r="M109" i="57"/>
  <c r="AB106" i="75"/>
  <c r="AO101" i="40"/>
  <c r="AO301" i="40"/>
  <c r="AP403" i="40"/>
  <c r="AN24" i="52"/>
  <c r="Y31" i="52"/>
  <c r="AK31" i="52" s="1"/>
  <c r="HZ601" i="40"/>
  <c r="HZ701" i="40" s="1"/>
  <c r="AN203" i="40"/>
  <c r="AD313" i="40"/>
  <c r="AD315" i="40"/>
  <c r="AD319" i="40"/>
  <c r="AD302" i="40"/>
  <c r="AD314" i="40"/>
  <c r="AD318" i="40"/>
  <c r="AD308" i="40"/>
  <c r="AD310" i="40"/>
  <c r="AD311" i="40"/>
  <c r="AD316" i="40"/>
  <c r="AD320" i="40"/>
  <c r="AD312" i="40"/>
  <c r="AD317" i="40"/>
  <c r="AD309" i="40"/>
  <c r="M112" i="57"/>
  <c r="AD106" i="75"/>
  <c r="AN56" i="52"/>
  <c r="JP101" i="40"/>
  <c r="JP103" i="40"/>
  <c r="JP102" i="40"/>
  <c r="JP104" i="40"/>
  <c r="JP105" i="40"/>
  <c r="AN401" i="40"/>
  <c r="IA603" i="40"/>
  <c r="AO405" i="40"/>
  <c r="AO54" i="52"/>
  <c r="AP47" i="52"/>
  <c r="AP53" i="52"/>
  <c r="AN305" i="40"/>
  <c r="AR55" i="52"/>
  <c r="AN407" i="40"/>
  <c r="AR25" i="52"/>
  <c r="AO25" i="52"/>
  <c r="AP56" i="52"/>
  <c r="AR53" i="52"/>
  <c r="AR60" i="52"/>
  <c r="AO206" i="40"/>
  <c r="AO203" i="40"/>
  <c r="AR46" i="52"/>
  <c r="AR49" i="52"/>
  <c r="X501" i="40"/>
  <c r="AN501" i="40" s="1"/>
  <c r="X504" i="40"/>
  <c r="AP504" i="40" s="1"/>
  <c r="X505" i="40"/>
  <c r="AP505" i="40" s="1"/>
  <c r="X506" i="40"/>
  <c r="X507" i="40"/>
  <c r="AP507" i="40" s="1"/>
  <c r="X503" i="40"/>
  <c r="AP503" i="40" s="1"/>
  <c r="X58" i="52"/>
  <c r="AP58" i="52" s="1"/>
  <c r="X30" i="52"/>
  <c r="X29" i="52"/>
  <c r="X59" i="52"/>
  <c r="P95" i="57"/>
  <c r="X60" i="52"/>
  <c r="AN60" i="52" s="1"/>
  <c r="X109" i="75"/>
  <c r="X31" i="52"/>
  <c r="AN50" i="52"/>
  <c r="AP204" i="40"/>
  <c r="AP205" i="40"/>
  <c r="AP57" i="52"/>
  <c r="AP27" i="52"/>
  <c r="AN27" i="52"/>
  <c r="AO27" i="52"/>
  <c r="AP303" i="40"/>
  <c r="AP103" i="40"/>
  <c r="AL24" i="52"/>
  <c r="AL27" i="52"/>
  <c r="AK27" i="52"/>
  <c r="HZ602" i="40"/>
  <c r="HY605" i="40"/>
  <c r="AO404" i="40"/>
  <c r="AO401" i="40"/>
  <c r="AO48" i="52"/>
  <c r="AO307" i="40"/>
  <c r="AO305" i="40"/>
  <c r="AP54" i="52"/>
  <c r="AN303" i="40"/>
  <c r="AN405" i="40"/>
  <c r="AO406" i="40"/>
  <c r="AP49" i="52"/>
  <c r="AR54" i="52"/>
  <c r="AR58" i="52"/>
  <c r="AO49" i="52"/>
  <c r="AO201" i="40"/>
  <c r="AR48" i="52"/>
  <c r="AP301" i="40"/>
  <c r="AO204" i="40"/>
  <c r="AP203" i="40"/>
  <c r="AO52" i="52"/>
  <c r="AP307" i="40"/>
  <c r="AL30" i="52"/>
  <c r="AP101" i="40"/>
  <c r="JH102" i="40"/>
  <c r="HZ604" i="40"/>
  <c r="HY602" i="40"/>
  <c r="HY601" i="40"/>
  <c r="AO403" i="40"/>
  <c r="AO303" i="40"/>
  <c r="AN307" i="40"/>
  <c r="AR56" i="52"/>
  <c r="AP406" i="40"/>
  <c r="AP55" i="52"/>
  <c r="AR59" i="52"/>
  <c r="R92" i="57"/>
  <c r="U603" i="40"/>
  <c r="U607" i="40"/>
  <c r="U605" i="40"/>
  <c r="U111" i="75"/>
  <c r="U601" i="40"/>
  <c r="U604" i="40"/>
  <c r="U606" i="40"/>
  <c r="CT17" i="52"/>
  <c r="AO17" i="52"/>
  <c r="AP18" i="52"/>
  <c r="AR18" i="52"/>
  <c r="AN18" i="52"/>
  <c r="AO51" i="52"/>
  <c r="AO205" i="40"/>
  <c r="AP105" i="40"/>
  <c r="AO304" i="40"/>
  <c r="AR50" i="52"/>
  <c r="AN20" i="52"/>
  <c r="AO20" i="52"/>
  <c r="AP207" i="40"/>
  <c r="AO26" i="52"/>
  <c r="AP404" i="40"/>
  <c r="AP306" i="40"/>
  <c r="AP46" i="52"/>
  <c r="HX103" i="40"/>
  <c r="AN630" i="40"/>
  <c r="Y25" i="52"/>
  <c r="HZ603" i="40"/>
  <c r="AN406" i="40"/>
  <c r="AN201" i="40"/>
  <c r="AN54" i="52"/>
  <c r="HY603" i="40"/>
  <c r="IA601" i="40"/>
  <c r="IA701" i="40" s="1"/>
  <c r="IA604" i="40"/>
  <c r="IA602" i="40"/>
  <c r="AO55" i="52"/>
  <c r="AN55" i="52"/>
  <c r="AO46" i="52"/>
  <c r="AO105" i="40"/>
  <c r="AO53" i="52"/>
  <c r="AN306" i="40"/>
  <c r="AR57" i="52"/>
  <c r="AN25" i="52"/>
  <c r="AN403" i="40"/>
  <c r="JZ306" i="40"/>
  <c r="R106" i="57"/>
  <c r="Z606" i="40"/>
  <c r="Z603" i="40"/>
  <c r="Z111" i="75"/>
  <c r="Z604" i="40"/>
  <c r="Z601" i="40"/>
  <c r="Z607" i="40"/>
  <c r="Z605" i="40"/>
  <c r="S106" i="39"/>
  <c r="AP50" i="52"/>
  <c r="AR52" i="52"/>
  <c r="R93" i="57"/>
  <c r="V601" i="40"/>
  <c r="V605" i="40"/>
  <c r="V607" i="40"/>
  <c r="V111" i="75"/>
  <c r="V606" i="40"/>
  <c r="V604" i="40"/>
  <c r="V603" i="40"/>
  <c r="AK601" i="40"/>
  <c r="R98" i="57"/>
  <c r="AL601" i="40"/>
  <c r="AR47" i="52"/>
  <c r="AR51" i="52"/>
  <c r="W605" i="40"/>
  <c r="W111" i="75"/>
  <c r="W604" i="40"/>
  <c r="W603" i="40"/>
  <c r="R95" i="39"/>
  <c r="W607" i="40"/>
  <c r="W601" i="40"/>
  <c r="W606" i="40"/>
  <c r="R94" i="57"/>
  <c r="AP51" i="52"/>
  <c r="AO56" i="52"/>
  <c r="AP305" i="40"/>
  <c r="AP304" i="40"/>
  <c r="AN47" i="52"/>
  <c r="AP48" i="52"/>
  <c r="HW101" i="40"/>
  <c r="HR101" i="40"/>
  <c r="HW103" i="40"/>
  <c r="AC62" i="66"/>
  <c r="AN410" i="40"/>
  <c r="AN418" i="40"/>
  <c r="AN415" i="40"/>
  <c r="AC66" i="66"/>
  <c r="AN375" i="40"/>
  <c r="AN367" i="40"/>
  <c r="AN359" i="40"/>
  <c r="AN351" i="40"/>
  <c r="AN343" i="40"/>
  <c r="AN366" i="40"/>
  <c r="AN358" i="40"/>
  <c r="AN350" i="40"/>
  <c r="AN342" i="40"/>
  <c r="AN334" i="40"/>
  <c r="AN311" i="40"/>
  <c r="AN315" i="40"/>
  <c r="AN337" i="40"/>
  <c r="AN329" i="40"/>
  <c r="AN321" i="40"/>
  <c r="AN316" i="40"/>
  <c r="AP413" i="40"/>
  <c r="AP412" i="40"/>
  <c r="AP408" i="40"/>
  <c r="AP409" i="40"/>
  <c r="AL28" i="52"/>
  <c r="AK28" i="52"/>
  <c r="E634" i="40"/>
  <c r="E112" i="75"/>
  <c r="E629" i="40"/>
  <c r="E619" i="40"/>
  <c r="E631" i="40"/>
  <c r="E602" i="40"/>
  <c r="E622" i="40"/>
  <c r="E628" i="40"/>
  <c r="E616" i="40"/>
  <c r="E608" i="40"/>
  <c r="E625" i="40"/>
  <c r="E633" i="40"/>
  <c r="E636" i="40"/>
  <c r="E639" i="40"/>
  <c r="E641" i="40"/>
  <c r="E648" i="40"/>
  <c r="E651" i="40"/>
  <c r="E653" i="40"/>
  <c r="E659" i="40"/>
  <c r="E611" i="40"/>
  <c r="E620" i="40"/>
  <c r="E613" i="40"/>
  <c r="E610" i="40"/>
  <c r="E609" i="40"/>
  <c r="E637" i="40"/>
  <c r="E638" i="40"/>
  <c r="E644" i="40"/>
  <c r="E645" i="40"/>
  <c r="E646" i="40"/>
  <c r="E656" i="40"/>
  <c r="E662" i="40"/>
  <c r="S77" i="57"/>
  <c r="E624" i="40"/>
  <c r="E627" i="40"/>
  <c r="E623" i="40"/>
  <c r="E612" i="40"/>
  <c r="E615" i="40"/>
  <c r="E626" i="40"/>
  <c r="E635" i="40"/>
  <c r="E640" i="40"/>
  <c r="E643" i="40"/>
  <c r="E647" i="40"/>
  <c r="E650" i="40"/>
  <c r="E652" i="40"/>
  <c r="E663" i="40"/>
  <c r="E665" i="40"/>
  <c r="E666" i="40"/>
  <c r="E677" i="40"/>
  <c r="E679" i="40"/>
  <c r="E681" i="40"/>
  <c r="E685" i="40"/>
  <c r="E617" i="40"/>
  <c r="E632" i="40"/>
  <c r="E618" i="40"/>
  <c r="E630" i="40"/>
  <c r="E614" i="40"/>
  <c r="E621" i="40"/>
  <c r="E642" i="40"/>
  <c r="E649" i="40"/>
  <c r="E654" i="40"/>
  <c r="E655" i="40"/>
  <c r="E657" i="40"/>
  <c r="E658" i="40"/>
  <c r="E660" i="40"/>
  <c r="E661" i="40"/>
  <c r="E667" i="40"/>
  <c r="E668" i="40"/>
  <c r="E669" i="40"/>
  <c r="E670" i="40"/>
  <c r="E673" i="40"/>
  <c r="E676" i="40"/>
  <c r="E684" i="40"/>
  <c r="E671" i="40"/>
  <c r="E672" i="40"/>
  <c r="E674" i="40"/>
  <c r="E700" i="40"/>
  <c r="E664" i="40"/>
  <c r="E675" i="40"/>
  <c r="E678" i="40"/>
  <c r="E680" i="40"/>
  <c r="E682" i="40"/>
  <c r="E683" i="40"/>
  <c r="AO512" i="40"/>
  <c r="AO576" i="40"/>
  <c r="AO568" i="40"/>
  <c r="AO560" i="40"/>
  <c r="AO552" i="40"/>
  <c r="AO544" i="40"/>
  <c r="AO536" i="40"/>
  <c r="AO528" i="40"/>
  <c r="AO520" i="40"/>
  <c r="AO511" i="40"/>
  <c r="AO571" i="40"/>
  <c r="AO563" i="40"/>
  <c r="AO555" i="40"/>
  <c r="AO547" i="40"/>
  <c r="AO539" i="40"/>
  <c r="AO531" i="40"/>
  <c r="AO523" i="40"/>
  <c r="AO515" i="40"/>
  <c r="Q304" i="40"/>
  <c r="Q504" i="40"/>
  <c r="AP576" i="40"/>
  <c r="AP548" i="40"/>
  <c r="AP558" i="40"/>
  <c r="AP568" i="40"/>
  <c r="AP536" i="40"/>
  <c r="AP546" i="40"/>
  <c r="AP518" i="40"/>
  <c r="AP509" i="40"/>
  <c r="AP569" i="40"/>
  <c r="AP561" i="40"/>
  <c r="AP553" i="40"/>
  <c r="AP545" i="40"/>
  <c r="AP537" i="40"/>
  <c r="AP529" i="40"/>
  <c r="AP521" i="40"/>
  <c r="AP513" i="40"/>
  <c r="AP502" i="40"/>
  <c r="J33" i="62"/>
  <c r="F33" i="58"/>
  <c r="R631" i="40"/>
  <c r="R630" i="40"/>
  <c r="R611" i="40"/>
  <c r="R634" i="40"/>
  <c r="R627" i="40"/>
  <c r="R602" i="40"/>
  <c r="R637" i="40"/>
  <c r="R614" i="40"/>
  <c r="R643" i="40"/>
  <c r="R648" i="40"/>
  <c r="R651" i="40"/>
  <c r="R655" i="40"/>
  <c r="R658" i="40"/>
  <c r="R660" i="40"/>
  <c r="R612" i="40"/>
  <c r="R608" i="40"/>
  <c r="R628" i="40"/>
  <c r="R639" i="40"/>
  <c r="R620" i="40"/>
  <c r="R609" i="40"/>
  <c r="R622" i="40"/>
  <c r="R642" i="40"/>
  <c r="R644" i="40"/>
  <c r="R645" i="40"/>
  <c r="R647" i="40"/>
  <c r="R654" i="40"/>
  <c r="R659" i="40"/>
  <c r="R661" i="40"/>
  <c r="R613" i="40"/>
  <c r="R624" i="40"/>
  <c r="R615" i="40"/>
  <c r="R623" i="40"/>
  <c r="R619" i="40"/>
  <c r="R621" i="40"/>
  <c r="R636" i="40"/>
  <c r="R632" i="40"/>
  <c r="R629" i="40"/>
  <c r="R640" i="40"/>
  <c r="R646" i="40"/>
  <c r="R653" i="40"/>
  <c r="R656" i="40"/>
  <c r="R662" i="40"/>
  <c r="R669" i="40"/>
  <c r="R671" i="40"/>
  <c r="R673" i="40"/>
  <c r="R675" i="40"/>
  <c r="R676" i="40"/>
  <c r="R677" i="40"/>
  <c r="R678" i="40"/>
  <c r="R680" i="40"/>
  <c r="R681" i="40"/>
  <c r="S89" i="57"/>
  <c r="R616" i="40"/>
  <c r="R633" i="40"/>
  <c r="R635" i="40"/>
  <c r="R618" i="40"/>
  <c r="R610" i="40"/>
  <c r="R112" i="75"/>
  <c r="R638" i="40"/>
  <c r="R617" i="40"/>
  <c r="R641" i="40"/>
  <c r="R649" i="40"/>
  <c r="R650" i="40"/>
  <c r="R652" i="40"/>
  <c r="R657" i="40"/>
  <c r="R663" i="40"/>
  <c r="R667" i="40"/>
  <c r="R668" i="40"/>
  <c r="R670" i="40"/>
  <c r="R674" i="40"/>
  <c r="R679" i="40"/>
  <c r="R682" i="40"/>
  <c r="R683" i="40"/>
  <c r="R700" i="40"/>
  <c r="R666" i="40"/>
  <c r="R665" i="40"/>
  <c r="R664" i="40"/>
  <c r="R672" i="40"/>
  <c r="AO375" i="40"/>
  <c r="AO378" i="40"/>
  <c r="AO372" i="40"/>
  <c r="AO364" i="40"/>
  <c r="AO356" i="40"/>
  <c r="AO348" i="40"/>
  <c r="AO373" i="40"/>
  <c r="AO365" i="40"/>
  <c r="AO357" i="40"/>
  <c r="AO349" i="40"/>
  <c r="AO341" i="40"/>
  <c r="AO333" i="40"/>
  <c r="AO310" i="40"/>
  <c r="AO308" i="40"/>
  <c r="AO336" i="40"/>
  <c r="AO328" i="40"/>
  <c r="AO320" i="40"/>
  <c r="AO317" i="40"/>
  <c r="AP373" i="40"/>
  <c r="AP368" i="40"/>
  <c r="AP375" i="40"/>
  <c r="AP362" i="40"/>
  <c r="AP371" i="40"/>
  <c r="AP354" i="40"/>
  <c r="AP346" i="40"/>
  <c r="AP334" i="40"/>
  <c r="AP363" i="40"/>
  <c r="AP355" i="40"/>
  <c r="AP347" i="40"/>
  <c r="AP337" i="40"/>
  <c r="AP328" i="40"/>
  <c r="AP314" i="40"/>
  <c r="AP320" i="40"/>
  <c r="AP317" i="40"/>
  <c r="AP331" i="40"/>
  <c r="AP323" i="40"/>
  <c r="AN575" i="40"/>
  <c r="AN567" i="40"/>
  <c r="AN559" i="40"/>
  <c r="AN551" i="40"/>
  <c r="AN543" i="40"/>
  <c r="AN535" i="40"/>
  <c r="AN527" i="40"/>
  <c r="AN519" i="40"/>
  <c r="AN510" i="40"/>
  <c r="AN574" i="40"/>
  <c r="AN566" i="40"/>
  <c r="AN558" i="40"/>
  <c r="AN550" i="40"/>
  <c r="AN542" i="40"/>
  <c r="AN534" i="40"/>
  <c r="AN518" i="40"/>
  <c r="AN509" i="40"/>
  <c r="AC68" i="71"/>
  <c r="AO418" i="40"/>
  <c r="AO409" i="40"/>
  <c r="AO412" i="40"/>
  <c r="AO408" i="40"/>
  <c r="X102" i="40"/>
  <c r="AP102" i="40" s="1"/>
  <c r="X102" i="75"/>
  <c r="I95" i="57"/>
  <c r="T126" i="75"/>
  <c r="T125" i="75"/>
  <c r="V125" i="75"/>
  <c r="V126" i="75"/>
  <c r="V122" i="75"/>
  <c r="AP644" i="40"/>
  <c r="AP640" i="40"/>
  <c r="AP617" i="40"/>
  <c r="AP621" i="40"/>
  <c r="AP630" i="40"/>
  <c r="AP623" i="40"/>
  <c r="AP619" i="40"/>
  <c r="AP645" i="40"/>
  <c r="HV101" i="40"/>
  <c r="HQ101" i="40"/>
  <c r="HV103" i="40"/>
  <c r="I33" i="62"/>
  <c r="I33" i="58"/>
  <c r="AN419" i="40"/>
  <c r="AN402" i="40"/>
  <c r="AN416" i="40"/>
  <c r="AN413" i="40"/>
  <c r="AC68" i="67"/>
  <c r="AN373" i="40"/>
  <c r="AN365" i="40"/>
  <c r="AN357" i="40"/>
  <c r="AN349" i="40"/>
  <c r="AN372" i="40"/>
  <c r="AN364" i="40"/>
  <c r="AN356" i="40"/>
  <c r="AN348" i="40"/>
  <c r="AN340" i="40"/>
  <c r="AN332" i="40"/>
  <c r="AN324" i="40"/>
  <c r="AN309" i="40"/>
  <c r="AN313" i="40"/>
  <c r="AN335" i="40"/>
  <c r="AN327" i="40"/>
  <c r="AN312" i="40"/>
  <c r="AN314" i="40"/>
  <c r="Q404" i="40"/>
  <c r="AP410" i="40"/>
  <c r="AP418" i="40"/>
  <c r="AL18" i="52"/>
  <c r="AK18" i="52"/>
  <c r="AO508" i="40"/>
  <c r="AO574" i="40"/>
  <c r="AO566" i="40"/>
  <c r="AO558" i="40"/>
  <c r="AO550" i="40"/>
  <c r="AO542" i="40"/>
  <c r="AO534" i="40"/>
  <c r="AO518" i="40"/>
  <c r="AO509" i="40"/>
  <c r="AO569" i="40"/>
  <c r="AO561" i="40"/>
  <c r="AO553" i="40"/>
  <c r="AO545" i="40"/>
  <c r="AO537" i="40"/>
  <c r="AO529" i="40"/>
  <c r="AO521" i="40"/>
  <c r="AO513" i="40"/>
  <c r="AP572" i="40"/>
  <c r="AP540" i="40"/>
  <c r="AP577" i="40"/>
  <c r="AP550" i="40"/>
  <c r="AP560" i="40"/>
  <c r="AP570" i="40"/>
  <c r="AP538" i="40"/>
  <c r="AP524" i="40"/>
  <c r="AP516" i="40"/>
  <c r="AP575" i="40"/>
  <c r="AP567" i="40"/>
  <c r="AP559" i="40"/>
  <c r="AP551" i="40"/>
  <c r="AP543" i="40"/>
  <c r="AP535" i="40"/>
  <c r="AP527" i="40"/>
  <c r="AP519" i="40"/>
  <c r="AP510" i="40"/>
  <c r="AO377" i="40"/>
  <c r="AO370" i="40"/>
  <c r="AO362" i="40"/>
  <c r="AO354" i="40"/>
  <c r="AO346" i="40"/>
  <c r="AO371" i="40"/>
  <c r="AO363" i="40"/>
  <c r="AO355" i="40"/>
  <c r="AO347" i="40"/>
  <c r="AO339" i="40"/>
  <c r="AO331" i="40"/>
  <c r="AO323" i="40"/>
  <c r="AO318" i="40"/>
  <c r="AO302" i="40"/>
  <c r="AO334" i="40"/>
  <c r="AO311" i="40"/>
  <c r="AO315" i="40"/>
  <c r="Q104" i="40"/>
  <c r="AP366" i="40"/>
  <c r="AP367" i="40"/>
  <c r="AP374" i="40"/>
  <c r="AP360" i="40"/>
  <c r="AP352" i="40"/>
  <c r="AP344" i="40"/>
  <c r="AP330" i="40"/>
  <c r="AP361" i="40"/>
  <c r="AP353" i="40"/>
  <c r="AP345" i="40"/>
  <c r="AP332" i="40"/>
  <c r="AP324" i="40"/>
  <c r="AP308" i="40"/>
  <c r="AP311" i="40"/>
  <c r="AP315" i="40"/>
  <c r="AP329" i="40"/>
  <c r="AP321" i="40"/>
  <c r="X208" i="40"/>
  <c r="AP208" i="40" s="1"/>
  <c r="X202" i="40"/>
  <c r="AP202" i="40" s="1"/>
  <c r="X210" i="40"/>
  <c r="AP210" i="40" s="1"/>
  <c r="X212" i="40"/>
  <c r="X211" i="40"/>
  <c r="AP211" i="40" s="1"/>
  <c r="X209" i="40"/>
  <c r="AP209" i="40" s="1"/>
  <c r="K95" i="57"/>
  <c r="X104" i="75"/>
  <c r="AN573" i="40"/>
  <c r="AN565" i="40"/>
  <c r="AN557" i="40"/>
  <c r="AN549" i="40"/>
  <c r="AN541" i="40"/>
  <c r="AN533" i="40"/>
  <c r="AN517" i="40"/>
  <c r="AN512" i="40"/>
  <c r="AN572" i="40"/>
  <c r="AN564" i="40"/>
  <c r="AN556" i="40"/>
  <c r="AN548" i="40"/>
  <c r="AN540" i="40"/>
  <c r="AN532" i="40"/>
  <c r="AN524" i="40"/>
  <c r="AN516" i="40"/>
  <c r="AO415" i="40"/>
  <c r="AO410" i="40"/>
  <c r="AP642" i="40"/>
  <c r="AP612" i="40"/>
  <c r="AP641" i="40"/>
  <c r="AP610" i="40"/>
  <c r="AP615" i="40"/>
  <c r="AP637" i="40"/>
  <c r="AP618" i="40"/>
  <c r="AP638" i="40"/>
  <c r="HP101" i="40"/>
  <c r="AC58" i="69"/>
  <c r="AN417" i="40"/>
  <c r="AN414" i="40"/>
  <c r="AN411" i="40"/>
  <c r="AC54" i="69"/>
  <c r="AN377" i="40"/>
  <c r="AN374" i="40"/>
  <c r="AN371" i="40"/>
  <c r="AN363" i="40"/>
  <c r="AN355" i="40"/>
  <c r="AN347" i="40"/>
  <c r="AN370" i="40"/>
  <c r="AN362" i="40"/>
  <c r="AN354" i="40"/>
  <c r="AN346" i="40"/>
  <c r="AN338" i="40"/>
  <c r="AN330" i="40"/>
  <c r="AN319" i="40"/>
  <c r="AN341" i="40"/>
  <c r="AN333" i="40"/>
  <c r="AN310" i="40"/>
  <c r="AN308" i="40"/>
  <c r="AC58" i="66"/>
  <c r="Q204" i="40"/>
  <c r="AP415" i="40"/>
  <c r="AP419" i="40"/>
  <c r="AP402" i="40"/>
  <c r="AP416" i="40"/>
  <c r="AC34" i="71"/>
  <c r="AO502" i="40"/>
  <c r="AO578" i="40"/>
  <c r="AO572" i="40"/>
  <c r="AO564" i="40"/>
  <c r="AO556" i="40"/>
  <c r="AO548" i="40"/>
  <c r="AO540" i="40"/>
  <c r="AO532" i="40"/>
  <c r="AO524" i="40"/>
  <c r="AO516" i="40"/>
  <c r="AO575" i="40"/>
  <c r="AO567" i="40"/>
  <c r="AO559" i="40"/>
  <c r="AO551" i="40"/>
  <c r="AO543" i="40"/>
  <c r="AO535" i="40"/>
  <c r="AO527" i="40"/>
  <c r="AO519" i="40"/>
  <c r="AO510" i="40"/>
  <c r="AP564" i="40"/>
  <c r="AP532" i="40"/>
  <c r="AP574" i="40"/>
  <c r="AP542" i="40"/>
  <c r="AP552" i="40"/>
  <c r="AP562" i="40"/>
  <c r="AP530" i="40"/>
  <c r="AP514" i="40"/>
  <c r="AP573" i="40"/>
  <c r="AP565" i="40"/>
  <c r="AP557" i="40"/>
  <c r="AP549" i="40"/>
  <c r="AP541" i="40"/>
  <c r="AP533" i="40"/>
  <c r="AP517" i="40"/>
  <c r="AP512" i="40"/>
  <c r="AC52" i="62"/>
  <c r="AO376" i="40"/>
  <c r="AO368" i="40"/>
  <c r="AO360" i="40"/>
  <c r="AO352" i="40"/>
  <c r="AO344" i="40"/>
  <c r="AO369" i="40"/>
  <c r="AO361" i="40"/>
  <c r="AO353" i="40"/>
  <c r="AO345" i="40"/>
  <c r="AO337" i="40"/>
  <c r="AO329" i="40"/>
  <c r="AO321" i="40"/>
  <c r="AO316" i="40"/>
  <c r="AO340" i="40"/>
  <c r="AO332" i="40"/>
  <c r="AO324" i="40"/>
  <c r="AO309" i="40"/>
  <c r="AO313" i="40"/>
  <c r="AP364" i="40"/>
  <c r="AP370" i="40"/>
  <c r="AP378" i="40"/>
  <c r="AP358" i="40"/>
  <c r="AP350" i="40"/>
  <c r="AP342" i="40"/>
  <c r="AP336" i="40"/>
  <c r="AP359" i="40"/>
  <c r="AP351" i="40"/>
  <c r="AP343" i="40"/>
  <c r="AP340" i="40"/>
  <c r="AP318" i="40"/>
  <c r="AP302" i="40"/>
  <c r="AP309" i="40"/>
  <c r="AP313" i="40"/>
  <c r="AP327" i="40"/>
  <c r="AP312" i="40"/>
  <c r="AN576" i="40"/>
  <c r="AN571" i="40"/>
  <c r="AN563" i="40"/>
  <c r="AN555" i="40"/>
  <c r="AN547" i="40"/>
  <c r="AN539" i="40"/>
  <c r="AN531" i="40"/>
  <c r="AN523" i="40"/>
  <c r="AN515" i="40"/>
  <c r="AN508" i="40"/>
  <c r="AN570" i="40"/>
  <c r="AN562" i="40"/>
  <c r="AN554" i="40"/>
  <c r="AN546" i="40"/>
  <c r="AN538" i="40"/>
  <c r="AN530" i="40"/>
  <c r="AN514" i="40"/>
  <c r="AO416" i="40"/>
  <c r="AO413" i="40"/>
  <c r="AO419" i="40"/>
  <c r="AO402" i="40"/>
  <c r="AP611" i="40"/>
  <c r="AP614" i="40"/>
  <c r="AP648" i="40"/>
  <c r="AP628" i="40"/>
  <c r="AP629" i="40"/>
  <c r="AP646" i="40"/>
  <c r="AP643" i="40"/>
  <c r="AC62" i="69"/>
  <c r="AC60" i="67"/>
  <c r="AC70" i="66"/>
  <c r="AC54" i="66"/>
  <c r="AN412" i="40"/>
  <c r="AN408" i="40"/>
  <c r="AN409" i="40"/>
  <c r="AN376" i="40"/>
  <c r="AN378" i="40"/>
  <c r="AN369" i="40"/>
  <c r="AN361" i="40"/>
  <c r="AN353" i="40"/>
  <c r="AN345" i="40"/>
  <c r="AN368" i="40"/>
  <c r="AN360" i="40"/>
  <c r="AN352" i="40"/>
  <c r="AN344" i="40"/>
  <c r="AN336" i="40"/>
  <c r="AN328" i="40"/>
  <c r="AN320" i="40"/>
  <c r="AN317" i="40"/>
  <c r="AN339" i="40"/>
  <c r="AN331" i="40"/>
  <c r="AN323" i="40"/>
  <c r="AN318" i="40"/>
  <c r="AN302" i="40"/>
  <c r="AL19" i="52"/>
  <c r="AK19" i="52"/>
  <c r="AP417" i="40"/>
  <c r="AP414" i="40"/>
  <c r="AP411" i="40"/>
  <c r="Y22" i="52"/>
  <c r="AL21" i="52"/>
  <c r="AK21" i="52"/>
  <c r="AO577" i="40"/>
  <c r="AO570" i="40"/>
  <c r="AO562" i="40"/>
  <c r="AO554" i="40"/>
  <c r="AO546" i="40"/>
  <c r="AO538" i="40"/>
  <c r="AO530" i="40"/>
  <c r="AO514" i="40"/>
  <c r="AO573" i="40"/>
  <c r="AO565" i="40"/>
  <c r="AO557" i="40"/>
  <c r="AO549" i="40"/>
  <c r="AO541" i="40"/>
  <c r="AO533" i="40"/>
  <c r="AO517" i="40"/>
  <c r="U125" i="75"/>
  <c r="U126" i="75"/>
  <c r="AP556" i="40"/>
  <c r="AP566" i="40"/>
  <c r="AP534" i="40"/>
  <c r="AP578" i="40"/>
  <c r="AP544" i="40"/>
  <c r="AP554" i="40"/>
  <c r="AP528" i="40"/>
  <c r="AP520" i="40"/>
  <c r="AP511" i="40"/>
  <c r="AP571" i="40"/>
  <c r="AP563" i="40"/>
  <c r="AP555" i="40"/>
  <c r="AP547" i="40"/>
  <c r="AP539" i="40"/>
  <c r="AP531" i="40"/>
  <c r="AP523" i="40"/>
  <c r="AP515" i="40"/>
  <c r="AP508" i="40"/>
  <c r="AO374" i="40"/>
  <c r="AO366" i="40"/>
  <c r="AO358" i="40"/>
  <c r="AO350" i="40"/>
  <c r="AO342" i="40"/>
  <c r="AO367" i="40"/>
  <c r="AO359" i="40"/>
  <c r="AO351" i="40"/>
  <c r="AO343" i="40"/>
  <c r="AO335" i="40"/>
  <c r="AO327" i="40"/>
  <c r="AO312" i="40"/>
  <c r="AO314" i="40"/>
  <c r="AO338" i="40"/>
  <c r="AO330" i="40"/>
  <c r="AO319" i="40"/>
  <c r="AP377" i="40"/>
  <c r="AP376" i="40"/>
  <c r="AP369" i="40"/>
  <c r="AP372" i="40"/>
  <c r="AP356" i="40"/>
  <c r="AP348" i="40"/>
  <c r="AP341" i="40"/>
  <c r="AP335" i="40"/>
  <c r="AP365" i="40"/>
  <c r="AP357" i="40"/>
  <c r="AP349" i="40"/>
  <c r="AP338" i="40"/>
  <c r="AP339" i="40"/>
  <c r="AP316" i="40"/>
  <c r="AP319" i="40"/>
  <c r="AP333" i="40"/>
  <c r="AP310" i="40"/>
  <c r="AN577" i="40"/>
  <c r="AN578" i="40"/>
  <c r="AN569" i="40"/>
  <c r="AN561" i="40"/>
  <c r="AN553" i="40"/>
  <c r="AN545" i="40"/>
  <c r="AN537" i="40"/>
  <c r="AN529" i="40"/>
  <c r="AN521" i="40"/>
  <c r="AN513" i="40"/>
  <c r="AN502" i="40"/>
  <c r="AN568" i="40"/>
  <c r="AN560" i="40"/>
  <c r="AN552" i="40"/>
  <c r="AN544" i="40"/>
  <c r="AN536" i="40"/>
  <c r="AN528" i="40"/>
  <c r="AN520" i="40"/>
  <c r="AN511" i="40"/>
  <c r="AO411" i="40"/>
  <c r="AO417" i="40"/>
  <c r="AO414" i="40"/>
  <c r="AP609" i="40"/>
  <c r="AP627" i="40"/>
  <c r="AP624" i="40"/>
  <c r="AP649" i="40"/>
  <c r="AP634" i="40"/>
  <c r="AP613" i="40" l="1"/>
  <c r="AO634" i="40"/>
  <c r="AO654" i="40"/>
  <c r="AO505" i="40"/>
  <c r="AO610" i="40"/>
  <c r="AP633" i="40"/>
  <c r="AN643" i="40"/>
  <c r="AN628" i="40"/>
  <c r="AN621" i="40"/>
  <c r="AP655" i="40"/>
  <c r="AO655" i="40"/>
  <c r="AN648" i="40"/>
  <c r="AO627" i="40"/>
  <c r="AP657" i="40"/>
  <c r="AN652" i="40"/>
  <c r="AN644" i="40"/>
  <c r="AO644" i="40"/>
  <c r="AP635" i="40"/>
  <c r="AN638" i="40"/>
  <c r="AN657" i="40"/>
  <c r="AN635" i="40"/>
  <c r="AO660" i="40"/>
  <c r="AN627" i="40"/>
  <c r="AN660" i="40"/>
  <c r="AO652" i="40"/>
  <c r="AO651" i="40"/>
  <c r="AP660" i="40"/>
  <c r="AO637" i="40"/>
  <c r="AN620" i="40"/>
  <c r="AP608" i="40"/>
  <c r="AN611" i="40"/>
  <c r="AP651" i="40"/>
  <c r="AN651" i="40"/>
  <c r="AN633" i="40"/>
  <c r="AO638" i="40"/>
  <c r="AP665" i="40"/>
  <c r="AO609" i="40"/>
  <c r="AP620" i="40"/>
  <c r="AN637" i="40"/>
  <c r="AO611" i="40"/>
  <c r="AP663" i="40"/>
  <c r="AO648" i="40"/>
  <c r="AO663" i="40"/>
  <c r="AN609" i="40"/>
  <c r="AO616" i="40"/>
  <c r="HM686" i="40"/>
  <c r="AN655" i="40"/>
  <c r="AP672" i="40"/>
  <c r="AO618" i="40"/>
  <c r="AP674" i="40"/>
  <c r="AO672" i="40"/>
  <c r="AO624" i="40"/>
  <c r="AO643" i="40"/>
  <c r="AP652" i="40"/>
  <c r="AO632" i="40"/>
  <c r="AO635" i="40"/>
  <c r="AO620" i="40"/>
  <c r="AO628" i="40"/>
  <c r="AP616" i="40"/>
  <c r="AN623" i="40"/>
  <c r="AO621" i="40"/>
  <c r="AN616" i="40"/>
  <c r="AO659" i="40"/>
  <c r="AN659" i="40"/>
  <c r="AP632" i="40"/>
  <c r="Y47" i="52"/>
  <c r="AP659" i="40"/>
  <c r="AN624" i="40"/>
  <c r="AO623" i="40"/>
  <c r="AP639" i="40"/>
  <c r="AN632" i="40"/>
  <c r="AN672" i="40"/>
  <c r="Y51" i="52"/>
  <c r="AK51" i="52" s="1"/>
  <c r="Y48" i="52"/>
  <c r="AL48" i="52" s="1"/>
  <c r="Y50" i="52"/>
  <c r="AK50" i="52" s="1"/>
  <c r="AP647" i="40"/>
  <c r="AO615" i="40"/>
  <c r="AN618" i="40"/>
  <c r="AO614" i="40"/>
  <c r="AO608" i="40"/>
  <c r="AO646" i="40"/>
  <c r="AN629" i="40"/>
  <c r="AO633" i="40"/>
  <c r="AO647" i="40"/>
  <c r="AN670" i="40"/>
  <c r="AN610" i="40"/>
  <c r="AN615" i="40"/>
  <c r="AO642" i="40"/>
  <c r="AN614" i="40"/>
  <c r="AN666" i="40"/>
  <c r="AO629" i="40"/>
  <c r="AP654" i="40"/>
  <c r="AN677" i="40"/>
  <c r="AP670" i="40"/>
  <c r="AN642" i="40"/>
  <c r="AN608" i="40"/>
  <c r="AN634" i="40"/>
  <c r="AP658" i="40"/>
  <c r="AO630" i="40"/>
  <c r="AN646" i="40"/>
  <c r="AN654" i="40"/>
  <c r="AO666" i="40"/>
  <c r="AP666" i="40"/>
  <c r="AN663" i="40"/>
  <c r="AN647" i="40"/>
  <c r="AO670" i="40"/>
  <c r="AO674" i="40"/>
  <c r="AO639" i="40"/>
  <c r="AN602" i="40"/>
  <c r="AO640" i="40"/>
  <c r="IX685" i="40"/>
  <c r="AN612" i="40"/>
  <c r="AO645" i="40"/>
  <c r="AP653" i="40"/>
  <c r="AN645" i="40"/>
  <c r="AN649" i="40"/>
  <c r="AP673" i="40"/>
  <c r="AN613" i="40"/>
  <c r="AO661" i="40"/>
  <c r="AN641" i="40"/>
  <c r="AP636" i="40"/>
  <c r="AO665" i="40"/>
  <c r="AO653" i="40"/>
  <c r="AO631" i="40"/>
  <c r="AO658" i="40"/>
  <c r="AN636" i="40"/>
  <c r="AP631" i="40"/>
  <c r="AN617" i="40"/>
  <c r="AN664" i="40"/>
  <c r="AO673" i="40"/>
  <c r="AN640" i="40"/>
  <c r="AO619" i="40"/>
  <c r="AO641" i="40"/>
  <c r="AO649" i="40"/>
  <c r="AO677" i="40"/>
  <c r="AO612" i="40"/>
  <c r="HN687" i="40"/>
  <c r="HO685" i="40"/>
  <c r="AN673" i="40"/>
  <c r="AP656" i="40"/>
  <c r="AN653" i="40"/>
  <c r="AN631" i="40"/>
  <c r="AN661" i="40"/>
  <c r="AP650" i="40"/>
  <c r="AP661" i="40"/>
  <c r="AO617" i="40"/>
  <c r="AO602" i="40"/>
  <c r="AO656" i="40"/>
  <c r="AN650" i="40"/>
  <c r="HO684" i="40"/>
  <c r="IZ684" i="40"/>
  <c r="AN658" i="40"/>
  <c r="AN639" i="40"/>
  <c r="AN656" i="40"/>
  <c r="AN665" i="40"/>
  <c r="AO636" i="40"/>
  <c r="AO664" i="40"/>
  <c r="AO650" i="40"/>
  <c r="AP664" i="40"/>
  <c r="AN619" i="40"/>
  <c r="AN674" i="40"/>
  <c r="AO613" i="40"/>
  <c r="IY684" i="40"/>
  <c r="HN684" i="40"/>
  <c r="HN686" i="40"/>
  <c r="IY686" i="40"/>
  <c r="JH685" i="40"/>
  <c r="AO657" i="40"/>
  <c r="JH687" i="40"/>
  <c r="JH686" i="40"/>
  <c r="JH684" i="40"/>
  <c r="HN685" i="40"/>
  <c r="IY685" i="40"/>
  <c r="AO676" i="40"/>
  <c r="AN676" i="40"/>
  <c r="AN671" i="40"/>
  <c r="AO671" i="40"/>
  <c r="AN669" i="40"/>
  <c r="AO669" i="40"/>
  <c r="AP676" i="40"/>
  <c r="AP675" i="40"/>
  <c r="AP662" i="40"/>
  <c r="AO700" i="40"/>
  <c r="AN700" i="40"/>
  <c r="AN667" i="40"/>
  <c r="AO667" i="40"/>
  <c r="AP677" i="40"/>
  <c r="AP678" i="40"/>
  <c r="S185" i="75"/>
  <c r="S184" i="75"/>
  <c r="S187" i="75"/>
  <c r="S125" i="75"/>
  <c r="S186" i="75"/>
  <c r="S126" i="75"/>
  <c r="AP669" i="40"/>
  <c r="Q604" i="40"/>
  <c r="AP671" i="40"/>
  <c r="AN668" i="40"/>
  <c r="AO668" i="40"/>
  <c r="AO678" i="40"/>
  <c r="AN678" i="40"/>
  <c r="AN662" i="40"/>
  <c r="AO662" i="40"/>
  <c r="AN675" i="40"/>
  <c r="AO675" i="40"/>
  <c r="AP667" i="40"/>
  <c r="AP700" i="40"/>
  <c r="AP668" i="40"/>
  <c r="V579" i="40"/>
  <c r="V379" i="40"/>
  <c r="V479" i="40"/>
  <c r="V179" i="40"/>
  <c r="V279" i="40"/>
  <c r="A182" i="75"/>
  <c r="U582" i="40"/>
  <c r="U482" i="40"/>
  <c r="U382" i="40"/>
  <c r="U282" i="40"/>
  <c r="U182" i="40"/>
  <c r="A185" i="75"/>
  <c r="U585" i="40"/>
  <c r="U485" i="40"/>
  <c r="U385" i="40"/>
  <c r="U285" i="40"/>
  <c r="U185" i="40"/>
  <c r="T587" i="40"/>
  <c r="T387" i="40"/>
  <c r="T487" i="40"/>
  <c r="T287" i="40"/>
  <c r="T187" i="40"/>
  <c r="V585" i="40"/>
  <c r="V485" i="40"/>
  <c r="V385" i="40"/>
  <c r="V285" i="40"/>
  <c r="V185" i="40"/>
  <c r="A122" i="75"/>
  <c r="V522" i="40"/>
  <c r="V422" i="40"/>
  <c r="V122" i="40"/>
  <c r="V322" i="40"/>
  <c r="V222" i="40"/>
  <c r="T525" i="40"/>
  <c r="T425" i="40"/>
  <c r="T325" i="40"/>
  <c r="T225" i="40"/>
  <c r="T125" i="40"/>
  <c r="V580" i="40"/>
  <c r="V380" i="40"/>
  <c r="V480" i="40"/>
  <c r="V180" i="40"/>
  <c r="V280" i="40"/>
  <c r="U579" i="40"/>
  <c r="A179" i="75"/>
  <c r="U479" i="40"/>
  <c r="U379" i="40"/>
  <c r="U279" i="40"/>
  <c r="U179" i="40"/>
  <c r="U583" i="40"/>
  <c r="A183" i="75"/>
  <c r="U483" i="40"/>
  <c r="U383" i="40"/>
  <c r="U283" i="40"/>
  <c r="U183" i="40"/>
  <c r="U683" i="40"/>
  <c r="T584" i="40"/>
  <c r="T384" i="40"/>
  <c r="T484" i="40"/>
  <c r="T184" i="40"/>
  <c r="T284" i="40"/>
  <c r="V286" i="40"/>
  <c r="V386" i="40"/>
  <c r="V486" i="40"/>
  <c r="V186" i="40"/>
  <c r="V586" i="40"/>
  <c r="A126" i="75"/>
  <c r="U426" i="40"/>
  <c r="U526" i="40"/>
  <c r="U326" i="40"/>
  <c r="U226" i="40"/>
  <c r="U126" i="40"/>
  <c r="V526" i="40"/>
  <c r="V426" i="40"/>
  <c r="V126" i="40"/>
  <c r="V326" i="40"/>
  <c r="V226" i="40"/>
  <c r="T526" i="40"/>
  <c r="T426" i="40"/>
  <c r="T326" i="40"/>
  <c r="T226" i="40"/>
  <c r="T126" i="40"/>
  <c r="V581" i="40"/>
  <c r="V381" i="40"/>
  <c r="V481" i="40"/>
  <c r="V181" i="40"/>
  <c r="V281" i="40"/>
  <c r="U580" i="40"/>
  <c r="A180" i="75"/>
  <c r="U480" i="40"/>
  <c r="U380" i="40"/>
  <c r="U280" i="40"/>
  <c r="U180" i="40"/>
  <c r="U586" i="40"/>
  <c r="A186" i="75"/>
  <c r="U486" i="40"/>
  <c r="U386" i="40"/>
  <c r="U286" i="40"/>
  <c r="U186" i="40"/>
  <c r="T585" i="40"/>
  <c r="T385" i="40"/>
  <c r="T485" i="40"/>
  <c r="T285" i="40"/>
  <c r="T185" i="40"/>
  <c r="V583" i="40"/>
  <c r="V383" i="40"/>
  <c r="V483" i="40"/>
  <c r="V183" i="40"/>
  <c r="V283" i="40"/>
  <c r="V683" i="40"/>
  <c r="V587" i="40"/>
  <c r="V487" i="40"/>
  <c r="V387" i="40"/>
  <c r="V287" i="40"/>
  <c r="V187" i="40"/>
  <c r="A125" i="75"/>
  <c r="U525" i="40"/>
  <c r="U425" i="40"/>
  <c r="U325" i="40"/>
  <c r="U225" i="40"/>
  <c r="U125" i="40"/>
  <c r="V525" i="40"/>
  <c r="V425" i="40"/>
  <c r="V125" i="40"/>
  <c r="V325" i="40"/>
  <c r="V225" i="40"/>
  <c r="R187" i="75"/>
  <c r="R185" i="75"/>
  <c r="R186" i="75"/>
  <c r="R184" i="75"/>
  <c r="V582" i="40"/>
  <c r="V382" i="40"/>
  <c r="V482" i="40"/>
  <c r="V182" i="40"/>
  <c r="V282" i="40"/>
  <c r="U581" i="40"/>
  <c r="A181" i="75"/>
  <c r="U481" i="40"/>
  <c r="U381" i="40"/>
  <c r="U281" i="40"/>
  <c r="U181" i="40"/>
  <c r="U584" i="40"/>
  <c r="U484" i="40"/>
  <c r="A184" i="75"/>
  <c r="U384" i="40"/>
  <c r="U284" i="40"/>
  <c r="U184" i="40"/>
  <c r="A187" i="75"/>
  <c r="U387" i="40"/>
  <c r="U287" i="40"/>
  <c r="U187" i="40"/>
  <c r="U487" i="40"/>
  <c r="U587" i="40"/>
  <c r="T586" i="40"/>
  <c r="T386" i="40"/>
  <c r="T486" i="40"/>
  <c r="T286" i="40"/>
  <c r="T186" i="40"/>
  <c r="V584" i="40"/>
  <c r="V484" i="40"/>
  <c r="V384" i="40"/>
  <c r="V284" i="40"/>
  <c r="V184" i="40"/>
  <c r="C492" i="40"/>
  <c r="AW491" i="40"/>
  <c r="BB491" i="40"/>
  <c r="BF491" i="40"/>
  <c r="BJ491" i="40"/>
  <c r="BN491" i="40"/>
  <c r="BR491" i="40"/>
  <c r="BV491" i="40"/>
  <c r="BZ491" i="40"/>
  <c r="CD491" i="40"/>
  <c r="CH491" i="40"/>
  <c r="DT491" i="40"/>
  <c r="AX491" i="40"/>
  <c r="BC491" i="40"/>
  <c r="BG491" i="40"/>
  <c r="BK491" i="40"/>
  <c r="BO491" i="40"/>
  <c r="BS491" i="40"/>
  <c r="BW491" i="40"/>
  <c r="CA491" i="40"/>
  <c r="CE491" i="40"/>
  <c r="DU491" i="40"/>
  <c r="AZ491" i="40"/>
  <c r="BD491" i="40"/>
  <c r="BH491" i="40"/>
  <c r="BL491" i="40"/>
  <c r="BT491" i="40"/>
  <c r="CB491" i="40"/>
  <c r="DM491" i="40"/>
  <c r="BA491" i="40"/>
  <c r="BM491" i="40"/>
  <c r="BU491" i="40"/>
  <c r="CC491" i="40"/>
  <c r="DS491" i="40"/>
  <c r="BE491" i="40"/>
  <c r="BP491" i="40"/>
  <c r="BX491" i="40"/>
  <c r="CF491" i="40"/>
  <c r="DV491" i="40"/>
  <c r="CG491" i="40"/>
  <c r="BI491" i="40"/>
  <c r="DW491" i="40"/>
  <c r="BY491" i="40"/>
  <c r="BQ491" i="40"/>
  <c r="HV380" i="40"/>
  <c r="HX380" i="40"/>
  <c r="HW380" i="40"/>
  <c r="HV376" i="40"/>
  <c r="HW376" i="40"/>
  <c r="HX376" i="40"/>
  <c r="HX383" i="40"/>
  <c r="HV383" i="40"/>
  <c r="HW383" i="40"/>
  <c r="HW379" i="40"/>
  <c r="HX379" i="40"/>
  <c r="HV379" i="40"/>
  <c r="HV382" i="40"/>
  <c r="HX382" i="40"/>
  <c r="HW382" i="40"/>
  <c r="HJ583" i="40"/>
  <c r="HJ383" i="40"/>
  <c r="HJ283" i="40"/>
  <c r="AQ384" i="40"/>
  <c r="V679" i="40"/>
  <c r="V680" i="40"/>
  <c r="V681" i="40"/>
  <c r="AN211" i="40"/>
  <c r="V682" i="40"/>
  <c r="U682" i="40"/>
  <c r="U679" i="40"/>
  <c r="U680" i="40"/>
  <c r="U681" i="40"/>
  <c r="AP684" i="40"/>
  <c r="AQ385" i="40"/>
  <c r="V685" i="40"/>
  <c r="F685" i="40"/>
  <c r="I685" i="40"/>
  <c r="AC685" i="40"/>
  <c r="U685" i="40"/>
  <c r="AE686" i="40"/>
  <c r="T685" i="40"/>
  <c r="AC686" i="40"/>
  <c r="H686" i="40"/>
  <c r="G686" i="40"/>
  <c r="Y60" i="52"/>
  <c r="AK60" i="52" s="1"/>
  <c r="AO58" i="52"/>
  <c r="AN58" i="52"/>
  <c r="JZ104" i="40"/>
  <c r="Y57" i="52"/>
  <c r="AO202" i="40"/>
  <c r="AN507" i="40"/>
  <c r="IQ105" i="40"/>
  <c r="JC105" i="40" s="1"/>
  <c r="F10" i="44" s="1"/>
  <c r="Y54" i="52"/>
  <c r="HM52" i="52" s="1"/>
  <c r="L99" i="39" s="1"/>
  <c r="AO60" i="52"/>
  <c r="M7" i="44"/>
  <c r="AP60" i="52"/>
  <c r="HX105" i="40"/>
  <c r="AK56" i="52"/>
  <c r="AO211" i="40"/>
  <c r="HM55" i="52"/>
  <c r="N99" i="39" s="1"/>
  <c r="Y403" i="40" s="1"/>
  <c r="AL31" i="52"/>
  <c r="JH104" i="40"/>
  <c r="KA103" i="40"/>
  <c r="M8" i="44"/>
  <c r="AM105" i="40"/>
  <c r="B421" i="40"/>
  <c r="A420" i="40"/>
  <c r="M420" i="40"/>
  <c r="AC420" i="40"/>
  <c r="G420" i="40"/>
  <c r="O420" i="40"/>
  <c r="F420" i="40"/>
  <c r="N420" i="40"/>
  <c r="AE420" i="40"/>
  <c r="H420" i="40"/>
  <c r="AF420" i="40"/>
  <c r="K420" i="40"/>
  <c r="P420" i="40"/>
  <c r="AG420" i="40"/>
  <c r="I420" i="40"/>
  <c r="AH420" i="40"/>
  <c r="AI420" i="40"/>
  <c r="J420" i="40"/>
  <c r="L420" i="40"/>
  <c r="AJ420" i="40"/>
  <c r="AA420" i="40"/>
  <c r="V420" i="40"/>
  <c r="S420" i="40"/>
  <c r="Z420" i="40"/>
  <c r="X420" i="40"/>
  <c r="E420" i="40"/>
  <c r="T420" i="40"/>
  <c r="Q420" i="40"/>
  <c r="W420" i="40"/>
  <c r="R420" i="40"/>
  <c r="U420" i="40"/>
  <c r="AM396" i="40"/>
  <c r="AN210" i="40"/>
  <c r="AO504" i="40"/>
  <c r="AN503" i="40"/>
  <c r="IP105" i="40"/>
  <c r="JB105" i="40" s="1"/>
  <c r="E10" i="44" s="1"/>
  <c r="AM419" i="40"/>
  <c r="C107" i="40"/>
  <c r="JF106" i="40"/>
  <c r="HO106" i="40" s="1"/>
  <c r="BX106" i="40"/>
  <c r="A106" i="40"/>
  <c r="I106" i="40"/>
  <c r="M106" i="40"/>
  <c r="AA106" i="40"/>
  <c r="AE106" i="40"/>
  <c r="AI106" i="40"/>
  <c r="IJ106" i="40"/>
  <c r="IM106" i="40" s="1"/>
  <c r="AW106" i="40"/>
  <c r="BA106" i="40"/>
  <c r="BE106" i="40"/>
  <c r="BI106" i="40"/>
  <c r="BM106" i="40"/>
  <c r="BQ106" i="40"/>
  <c r="BU106" i="40"/>
  <c r="BZ106" i="40"/>
  <c r="CD106" i="40"/>
  <c r="CH106" i="40"/>
  <c r="DU106" i="40"/>
  <c r="G106" i="40"/>
  <c r="K106" i="40"/>
  <c r="O106" i="40"/>
  <c r="AC106" i="40"/>
  <c r="AG106" i="40"/>
  <c r="IK106" i="40"/>
  <c r="IN106" i="40" s="1"/>
  <c r="AY106" i="40"/>
  <c r="BC106" i="40"/>
  <c r="BG106" i="40"/>
  <c r="BK106" i="40"/>
  <c r="BO106" i="40"/>
  <c r="BS106" i="40"/>
  <c r="BW106" i="40"/>
  <c r="CB106" i="40"/>
  <c r="CF106" i="40"/>
  <c r="DS106" i="40"/>
  <c r="DW106" i="40"/>
  <c r="L106" i="40"/>
  <c r="AD106" i="40"/>
  <c r="AZ106" i="40"/>
  <c r="BH106" i="40"/>
  <c r="BP106" i="40"/>
  <c r="BY106" i="40"/>
  <c r="CG106" i="40"/>
  <c r="DT106" i="40"/>
  <c r="F106" i="40"/>
  <c r="N106" i="40"/>
  <c r="AF106" i="40"/>
  <c r="II106" i="40"/>
  <c r="IL106" i="40" s="1"/>
  <c r="BB106" i="40"/>
  <c r="BJ106" i="40"/>
  <c r="BR106" i="40"/>
  <c r="CA106" i="40"/>
  <c r="DV106" i="40"/>
  <c r="H106" i="40"/>
  <c r="P106" i="40"/>
  <c r="AH106" i="40"/>
  <c r="BD106" i="40"/>
  <c r="BL106" i="40"/>
  <c r="BT106" i="40"/>
  <c r="CC106" i="40"/>
  <c r="AB106" i="40"/>
  <c r="AX106" i="40"/>
  <c r="CE106" i="40"/>
  <c r="AJ106" i="40"/>
  <c r="BF106" i="40"/>
  <c r="DM106" i="40"/>
  <c r="BN106" i="40"/>
  <c r="BV106" i="40"/>
  <c r="J106" i="40"/>
  <c r="JO106" i="40"/>
  <c r="IY106" i="40"/>
  <c r="IZ106" i="40"/>
  <c r="IX106" i="40"/>
  <c r="Z106" i="40"/>
  <c r="V106" i="40"/>
  <c r="U106" i="40"/>
  <c r="IA106" i="40"/>
  <c r="IA606" i="40" s="1"/>
  <c r="R106" i="40"/>
  <c r="X106" i="40"/>
  <c r="S106" i="40"/>
  <c r="E106" i="40"/>
  <c r="W106" i="40"/>
  <c r="HY106" i="40"/>
  <c r="HY606" i="40" s="1"/>
  <c r="T106" i="40"/>
  <c r="HZ106" i="40"/>
  <c r="HZ606" i="40" s="1"/>
  <c r="Q106" i="40"/>
  <c r="HM105" i="40"/>
  <c r="HO105" i="40"/>
  <c r="AO503" i="40"/>
  <c r="JP106" i="40"/>
  <c r="IO105" i="40"/>
  <c r="JA105" i="40" s="1"/>
  <c r="D10" i="44" s="1"/>
  <c r="KF105" i="40"/>
  <c r="M9" i="44"/>
  <c r="AM211" i="40"/>
  <c r="C213" i="40"/>
  <c r="BX212" i="40"/>
  <c r="E212" i="40" s="1"/>
  <c r="M212" i="40"/>
  <c r="AC212" i="40"/>
  <c r="G212" i="40"/>
  <c r="O212" i="40"/>
  <c r="AW212" i="40"/>
  <c r="BB212" i="40"/>
  <c r="BF212" i="40"/>
  <c r="BJ212" i="40"/>
  <c r="BN212" i="40"/>
  <c r="BR212" i="40"/>
  <c r="BV212" i="40"/>
  <c r="CA212" i="40"/>
  <c r="CE212" i="40"/>
  <c r="DT212" i="40"/>
  <c r="F212" i="40"/>
  <c r="N212" i="40"/>
  <c r="AE212" i="40"/>
  <c r="H212" i="40"/>
  <c r="AF212" i="40"/>
  <c r="AX212" i="40"/>
  <c r="BC212" i="40"/>
  <c r="BG212" i="40"/>
  <c r="BK212" i="40"/>
  <c r="BO212" i="40"/>
  <c r="BS212" i="40"/>
  <c r="BW212" i="40"/>
  <c r="CB212" i="40"/>
  <c r="CF212" i="40"/>
  <c r="DU212" i="40"/>
  <c r="P212" i="40"/>
  <c r="I212" i="40"/>
  <c r="AZ212" i="40"/>
  <c r="BH212" i="40"/>
  <c r="BP212" i="40"/>
  <c r="BY212" i="40"/>
  <c r="CG212" i="40"/>
  <c r="DV212" i="40"/>
  <c r="A212" i="40"/>
  <c r="AA212" i="40"/>
  <c r="J212" i="40"/>
  <c r="BA212" i="40"/>
  <c r="BI212" i="40"/>
  <c r="BQ212" i="40"/>
  <c r="BZ212" i="40"/>
  <c r="CH212" i="40"/>
  <c r="DW212" i="40"/>
  <c r="K212" i="40"/>
  <c r="AG212" i="40"/>
  <c r="AH212" i="40"/>
  <c r="BD212" i="40"/>
  <c r="BL212" i="40"/>
  <c r="BT212" i="40"/>
  <c r="CC212" i="40"/>
  <c r="DM212" i="40"/>
  <c r="CD212" i="40"/>
  <c r="L212" i="40"/>
  <c r="BE212" i="40"/>
  <c r="DS212" i="40"/>
  <c r="AI212" i="40"/>
  <c r="BM212" i="40"/>
  <c r="BU212" i="40"/>
  <c r="JO212" i="40"/>
  <c r="AJ212" i="40"/>
  <c r="JP212" i="40"/>
  <c r="IA212" i="40"/>
  <c r="V212" i="40"/>
  <c r="W212" i="40"/>
  <c r="R212" i="40"/>
  <c r="U212" i="40"/>
  <c r="T212" i="40"/>
  <c r="AB212" i="40"/>
  <c r="AD212" i="40"/>
  <c r="Z212" i="40"/>
  <c r="HZ212" i="40"/>
  <c r="HY212" i="40"/>
  <c r="S212" i="40"/>
  <c r="Q212" i="40"/>
  <c r="B398" i="40"/>
  <c r="A397" i="40"/>
  <c r="AO208" i="40"/>
  <c r="AN209" i="40"/>
  <c r="L20" i="39"/>
  <c r="IY354" i="40"/>
  <c r="IY334" i="40"/>
  <c r="IY316" i="40"/>
  <c r="IY310" i="40"/>
  <c r="IY345" i="40"/>
  <c r="IY320" i="40"/>
  <c r="IY361" i="40"/>
  <c r="IY346" i="40"/>
  <c r="IY313" i="40"/>
  <c r="IY329" i="40"/>
  <c r="IY328" i="40"/>
  <c r="IY358" i="40"/>
  <c r="IY347" i="40"/>
  <c r="IY321" i="40"/>
  <c r="IY304" i="40"/>
  <c r="IY337" i="40"/>
  <c r="IY330" i="40"/>
  <c r="IZ308" i="40"/>
  <c r="IZ319" i="40"/>
  <c r="IZ320" i="40"/>
  <c r="IZ354" i="40"/>
  <c r="IZ307" i="40"/>
  <c r="IZ306" i="40"/>
  <c r="IZ329" i="40"/>
  <c r="IZ356" i="40"/>
  <c r="IZ310" i="40"/>
  <c r="IZ336" i="40"/>
  <c r="IZ332" i="40"/>
  <c r="IZ322" i="40"/>
  <c r="IZ340" i="40"/>
  <c r="IZ355" i="40"/>
  <c r="IZ349" i="40"/>
  <c r="IX347" i="40"/>
  <c r="IX338" i="40"/>
  <c r="IX337" i="40"/>
  <c r="IX360" i="40"/>
  <c r="IX361" i="40"/>
  <c r="IX315" i="40"/>
  <c r="IX352" i="40"/>
  <c r="IX310" i="40"/>
  <c r="IX334" i="40"/>
  <c r="IX305" i="40"/>
  <c r="IX332" i="40"/>
  <c r="IX320" i="40"/>
  <c r="IX344" i="40"/>
  <c r="IX322" i="40"/>
  <c r="IX358" i="40"/>
  <c r="IY335" i="40"/>
  <c r="IY303" i="40"/>
  <c r="IY339" i="40"/>
  <c r="IY338" i="40"/>
  <c r="IY326" i="40"/>
  <c r="IY350" i="40"/>
  <c r="IY344" i="40"/>
  <c r="IY343" i="40"/>
  <c r="IY356" i="40"/>
  <c r="IY331" i="40"/>
  <c r="IY359" i="40"/>
  <c r="IY305" i="40"/>
  <c r="IY322" i="40"/>
  <c r="IY360" i="40"/>
  <c r="IY325" i="40"/>
  <c r="IY362" i="40"/>
  <c r="IY353" i="40"/>
  <c r="IY315" i="40"/>
  <c r="IY312" i="40"/>
  <c r="IY324" i="40"/>
  <c r="IY308" i="40"/>
  <c r="IY318" i="40"/>
  <c r="IY317" i="40"/>
  <c r="IY333" i="40"/>
  <c r="IY301" i="40"/>
  <c r="IY342" i="40"/>
  <c r="IY311" i="40"/>
  <c r="IY319" i="40"/>
  <c r="IY336" i="40"/>
  <c r="IZ348" i="40"/>
  <c r="IZ330" i="40"/>
  <c r="IZ341" i="40"/>
  <c r="IZ359" i="40"/>
  <c r="IY348" i="40"/>
  <c r="IY327" i="40"/>
  <c r="IY340" i="40"/>
  <c r="IY341" i="40"/>
  <c r="IZ357" i="40"/>
  <c r="IZ314" i="40"/>
  <c r="IZ334" i="40"/>
  <c r="IZ333" i="40"/>
  <c r="IZ353" i="40"/>
  <c r="IZ351" i="40"/>
  <c r="IZ312" i="40"/>
  <c r="IZ338" i="40"/>
  <c r="IZ360" i="40"/>
  <c r="IZ343" i="40"/>
  <c r="IX346" i="40"/>
  <c r="IX339" i="40"/>
  <c r="IX331" i="40"/>
  <c r="IX328" i="40"/>
  <c r="IX335" i="40"/>
  <c r="IX306" i="40"/>
  <c r="IX318" i="40"/>
  <c r="IX312" i="40"/>
  <c r="IX348" i="40"/>
  <c r="IX316" i="40"/>
  <c r="IX314" i="40"/>
  <c r="IY314" i="40"/>
  <c r="IY306" i="40"/>
  <c r="IY307" i="40"/>
  <c r="IZ304" i="40"/>
  <c r="IZ317" i="40"/>
  <c r="IZ345" i="40"/>
  <c r="IZ323" i="40"/>
  <c r="IZ325" i="40"/>
  <c r="IZ327" i="40"/>
  <c r="IZ344" i="40"/>
  <c r="IZ321" i="40"/>
  <c r="IZ301" i="40"/>
  <c r="IZ339" i="40"/>
  <c r="IX317" i="40"/>
  <c r="IX323" i="40"/>
  <c r="IX345" i="40"/>
  <c r="IX329" i="40"/>
  <c r="IX342" i="40"/>
  <c r="IX307" i="40"/>
  <c r="IX304" i="40"/>
  <c r="IX333" i="40"/>
  <c r="IX350" i="40"/>
  <c r="IY357" i="40"/>
  <c r="IY323" i="40"/>
  <c r="IY332" i="40"/>
  <c r="IZ331" i="40"/>
  <c r="IZ303" i="40"/>
  <c r="IZ324" i="40"/>
  <c r="IZ311" i="40"/>
  <c r="IZ358" i="40"/>
  <c r="IZ328" i="40"/>
  <c r="IZ305" i="40"/>
  <c r="IZ335" i="40"/>
  <c r="IZ313" i="40"/>
  <c r="IZ326" i="40"/>
  <c r="IX351" i="40"/>
  <c r="IX341" i="40"/>
  <c r="IX343" i="40"/>
  <c r="IX353" i="40"/>
  <c r="IX349" i="40"/>
  <c r="IX354" i="40"/>
  <c r="IX303" i="40"/>
  <c r="IX356" i="40"/>
  <c r="IX311" i="40"/>
  <c r="IX313" i="40"/>
  <c r="IX319" i="40"/>
  <c r="IX325" i="40"/>
  <c r="IY351" i="40"/>
  <c r="IZ347" i="40"/>
  <c r="IZ316" i="40"/>
  <c r="IX336" i="40"/>
  <c r="IX321" i="40"/>
  <c r="IX326" i="40"/>
  <c r="IY349" i="40"/>
  <c r="IZ361" i="40"/>
  <c r="IZ342" i="40"/>
  <c r="IX340" i="40"/>
  <c r="IX308" i="40"/>
  <c r="IX327" i="40"/>
  <c r="IX362" i="40"/>
  <c r="IY352" i="40"/>
  <c r="IZ346" i="40"/>
  <c r="IZ315" i="40"/>
  <c r="IZ350" i="40"/>
  <c r="IX357" i="40"/>
  <c r="IX301" i="40"/>
  <c r="IY355" i="40"/>
  <c r="IZ337" i="40"/>
  <c r="IZ318" i="40"/>
  <c r="IX355" i="40"/>
  <c r="IX324" i="40"/>
  <c r="IX330" i="40"/>
  <c r="IZ352" i="40"/>
  <c r="IX359" i="40"/>
  <c r="IX375" i="40"/>
  <c r="IY365" i="40"/>
  <c r="IY371" i="40"/>
  <c r="IZ374" i="40"/>
  <c r="IZ363" i="40"/>
  <c r="IX364" i="40"/>
  <c r="IX363" i="40"/>
  <c r="IX365" i="40"/>
  <c r="IY372" i="40"/>
  <c r="IY309" i="40"/>
  <c r="IY370" i="40"/>
  <c r="IY366" i="40"/>
  <c r="IZ372" i="40"/>
  <c r="IZ371" i="40"/>
  <c r="IX372" i="40"/>
  <c r="IX309" i="40"/>
  <c r="IY373" i="40"/>
  <c r="IY302" i="40"/>
  <c r="IY369" i="40"/>
  <c r="IZ369" i="40"/>
  <c r="IZ375" i="40"/>
  <c r="IZ367" i="40"/>
  <c r="IX373" i="40"/>
  <c r="IZ373" i="40"/>
  <c r="IZ368" i="40"/>
  <c r="IX370" i="40"/>
  <c r="IX302" i="40"/>
  <c r="IX367" i="40"/>
  <c r="IY363" i="40"/>
  <c r="IX366" i="40"/>
  <c r="IY368" i="40"/>
  <c r="IY367" i="40"/>
  <c r="IZ309" i="40"/>
  <c r="IY374" i="40"/>
  <c r="IY364" i="40"/>
  <c r="IX368" i="40"/>
  <c r="IX374" i="40"/>
  <c r="IZ365" i="40"/>
  <c r="IZ366" i="40"/>
  <c r="IX369" i="40"/>
  <c r="IX371" i="40"/>
  <c r="IZ364" i="40"/>
  <c r="IZ370" i="40"/>
  <c r="IZ362" i="40"/>
  <c r="IY375" i="40"/>
  <c r="IZ302" i="40"/>
  <c r="AQ23" i="52"/>
  <c r="AC401" i="40"/>
  <c r="AC405" i="40"/>
  <c r="AC407" i="40"/>
  <c r="AC404" i="40"/>
  <c r="AC403" i="40"/>
  <c r="AC406" i="40"/>
  <c r="AC57" i="52"/>
  <c r="AC27" i="52"/>
  <c r="AC28" i="52"/>
  <c r="N111" i="57"/>
  <c r="AC56" i="52"/>
  <c r="AC55" i="52"/>
  <c r="AC26" i="52"/>
  <c r="A111" i="75"/>
  <c r="A108" i="75"/>
  <c r="AC107" i="75"/>
  <c r="A112" i="75"/>
  <c r="A107" i="75"/>
  <c r="AQ24" i="52"/>
  <c r="R108" i="57"/>
  <c r="AA606" i="40"/>
  <c r="AA111" i="75"/>
  <c r="AA601" i="40"/>
  <c r="AA604" i="40"/>
  <c r="AA603" i="40"/>
  <c r="AA607" i="40"/>
  <c r="AA605" i="40"/>
  <c r="AB402" i="40"/>
  <c r="AB410" i="40"/>
  <c r="AB417" i="40"/>
  <c r="AB418" i="40"/>
  <c r="AB419" i="40"/>
  <c r="AB411" i="40"/>
  <c r="AB413" i="40"/>
  <c r="AB414" i="40"/>
  <c r="AB408" i="40"/>
  <c r="AB412" i="40"/>
  <c r="AB415" i="40"/>
  <c r="AB416" i="40"/>
  <c r="AB420" i="40"/>
  <c r="AB409" i="40"/>
  <c r="AB108" i="75"/>
  <c r="O109" i="57"/>
  <c r="AD408" i="40"/>
  <c r="AD409" i="40"/>
  <c r="AD420" i="40"/>
  <c r="AD410" i="40"/>
  <c r="AD417" i="40"/>
  <c r="AD418" i="40"/>
  <c r="AD419" i="40"/>
  <c r="AD402" i="40"/>
  <c r="AD411" i="40"/>
  <c r="AD413" i="40"/>
  <c r="AD414" i="40"/>
  <c r="AD415" i="40"/>
  <c r="AD416" i="40"/>
  <c r="AD108" i="75"/>
  <c r="AD412" i="40"/>
  <c r="O112" i="57"/>
  <c r="AO209" i="40"/>
  <c r="AN102" i="40"/>
  <c r="X111" i="75"/>
  <c r="X606" i="40"/>
  <c r="AP606" i="40" s="1"/>
  <c r="X603" i="40"/>
  <c r="AP603" i="40" s="1"/>
  <c r="X604" i="40"/>
  <c r="AO604" i="40" s="1"/>
  <c r="R95" i="57"/>
  <c r="X607" i="40"/>
  <c r="AP607" i="40" s="1"/>
  <c r="X601" i="40"/>
  <c r="AP601" i="40" s="1"/>
  <c r="X605" i="40"/>
  <c r="AP605" i="40" s="1"/>
  <c r="AN505" i="40"/>
  <c r="AO31" i="52"/>
  <c r="AP31" i="52"/>
  <c r="AN31" i="52"/>
  <c r="AN59" i="52"/>
  <c r="AP59" i="52"/>
  <c r="AO507" i="40"/>
  <c r="AN202" i="40"/>
  <c r="AO210" i="40"/>
  <c r="Z647" i="40"/>
  <c r="Z648" i="40"/>
  <c r="Z632" i="40"/>
  <c r="Z653" i="40"/>
  <c r="Z612" i="40"/>
  <c r="Z645" i="40"/>
  <c r="Z646" i="40"/>
  <c r="Z649" i="40"/>
  <c r="Z619" i="40"/>
  <c r="Z615" i="40"/>
  <c r="Z622" i="40"/>
  <c r="Z617" i="40"/>
  <c r="Z655" i="40"/>
  <c r="Z656" i="40"/>
  <c r="Z657" i="40"/>
  <c r="Z640" i="40"/>
  <c r="Z638" i="40"/>
  <c r="Z618" i="40"/>
  <c r="Z636" i="40"/>
  <c r="Z631" i="40"/>
  <c r="Z630" i="40"/>
  <c r="Z639" i="40"/>
  <c r="Z642" i="40"/>
  <c r="Z652" i="40"/>
  <c r="Z614" i="40"/>
  <c r="Z635" i="40"/>
  <c r="Z650" i="40"/>
  <c r="Z654" i="40"/>
  <c r="Z666" i="40"/>
  <c r="Z673" i="40"/>
  <c r="Z674" i="40"/>
  <c r="Z677" i="40"/>
  <c r="Z679" i="40"/>
  <c r="Z681" i="40"/>
  <c r="S106" i="57"/>
  <c r="Z623" i="40"/>
  <c r="Z641" i="40"/>
  <c r="Z629" i="40"/>
  <c r="Z602" i="40"/>
  <c r="Z627" i="40"/>
  <c r="Z624" i="40"/>
  <c r="Z643" i="40"/>
  <c r="Z634" i="40"/>
  <c r="Z613" i="40"/>
  <c r="Z611" i="40"/>
  <c r="Z609" i="40"/>
  <c r="Z665" i="40"/>
  <c r="Z668" i="40"/>
  <c r="Z669" i="40"/>
  <c r="Z675" i="40"/>
  <c r="Z621" i="40"/>
  <c r="Z616" i="40"/>
  <c r="Z644" i="40"/>
  <c r="Z667" i="40"/>
  <c r="Z672" i="40"/>
  <c r="Z678" i="40"/>
  <c r="Z680" i="40"/>
  <c r="Z700" i="40"/>
  <c r="Z626" i="40"/>
  <c r="Z112" i="75"/>
  <c r="Z651" i="40"/>
  <c r="Z628" i="40"/>
  <c r="Z671" i="40"/>
  <c r="Z682" i="40"/>
  <c r="Z685" i="40"/>
  <c r="Z610" i="40"/>
  <c r="Z633" i="40"/>
  <c r="Z608" i="40"/>
  <c r="Z620" i="40"/>
  <c r="Z659" i="40"/>
  <c r="Z660" i="40"/>
  <c r="Z661" i="40"/>
  <c r="Z664" i="40"/>
  <c r="Z670" i="40"/>
  <c r="Z676" i="40"/>
  <c r="Z684" i="40"/>
  <c r="Z637" i="40"/>
  <c r="Z625" i="40"/>
  <c r="Z658" i="40"/>
  <c r="Z662" i="40"/>
  <c r="Z663" i="40"/>
  <c r="Z683" i="40"/>
  <c r="Z686" i="40"/>
  <c r="AK25" i="52"/>
  <c r="AL25" i="52"/>
  <c r="AN29" i="52"/>
  <c r="AP29" i="52"/>
  <c r="AO29" i="52"/>
  <c r="AO501" i="40"/>
  <c r="AP501" i="40"/>
  <c r="HY701" i="40"/>
  <c r="AO30" i="52"/>
  <c r="AN30" i="52"/>
  <c r="AP30" i="52"/>
  <c r="AP506" i="40"/>
  <c r="AO506" i="40"/>
  <c r="AO59" i="52"/>
  <c r="AN506" i="40"/>
  <c r="AK59" i="52"/>
  <c r="AL59" i="52"/>
  <c r="AD60" i="67"/>
  <c r="AN404" i="40"/>
  <c r="I59" i="58"/>
  <c r="I71" i="58"/>
  <c r="I61" i="58"/>
  <c r="I63" i="58"/>
  <c r="I67" i="58"/>
  <c r="I55" i="58"/>
  <c r="I51" i="58"/>
  <c r="I57" i="58"/>
  <c r="I69" i="58"/>
  <c r="I53" i="58"/>
  <c r="I65" i="58"/>
  <c r="AN208" i="40"/>
  <c r="V622" i="40"/>
  <c r="T625" i="40"/>
  <c r="F51" i="58"/>
  <c r="F53" i="58"/>
  <c r="F61" i="58"/>
  <c r="F63" i="58"/>
  <c r="F59" i="58"/>
  <c r="F55" i="58"/>
  <c r="F71" i="58"/>
  <c r="F57" i="58"/>
  <c r="F69" i="58"/>
  <c r="F65" i="58"/>
  <c r="F67" i="58"/>
  <c r="AL53" i="52"/>
  <c r="AK53" i="52"/>
  <c r="AD66" i="66"/>
  <c r="U626" i="40"/>
  <c r="AD70" i="66"/>
  <c r="AD52" i="62"/>
  <c r="AD34" i="71"/>
  <c r="AD58" i="69"/>
  <c r="I61" i="62"/>
  <c r="I55" i="62"/>
  <c r="I51" i="62"/>
  <c r="I57" i="62"/>
  <c r="I69" i="62"/>
  <c r="I53" i="62"/>
  <c r="I67" i="62"/>
  <c r="I71" i="62"/>
  <c r="I65" i="62"/>
  <c r="I63" i="62"/>
  <c r="I59" i="62"/>
  <c r="V626" i="40"/>
  <c r="T626" i="40"/>
  <c r="AD68" i="71"/>
  <c r="J71" i="62"/>
  <c r="J59" i="62"/>
  <c r="J51" i="62"/>
  <c r="J61" i="62"/>
  <c r="J57" i="62"/>
  <c r="J67" i="62"/>
  <c r="J55" i="62"/>
  <c r="J65" i="62"/>
  <c r="J63" i="62"/>
  <c r="J53" i="62"/>
  <c r="J69" i="62"/>
  <c r="AN304" i="40"/>
  <c r="AO102" i="40"/>
  <c r="U625" i="40"/>
  <c r="AK22" i="52"/>
  <c r="AL22" i="52"/>
  <c r="AD54" i="66"/>
  <c r="AD62" i="69"/>
  <c r="AD54" i="69"/>
  <c r="AN104" i="40"/>
  <c r="AD68" i="67"/>
  <c r="HW102" i="40"/>
  <c r="HV102" i="40"/>
  <c r="HX102" i="40"/>
  <c r="JJ101" i="40"/>
  <c r="V625" i="40"/>
  <c r="R126" i="75"/>
  <c r="R125" i="75"/>
  <c r="HM58" i="52"/>
  <c r="P99" i="39" s="1"/>
  <c r="AN204" i="40"/>
  <c r="AD58" i="66"/>
  <c r="JH101" i="40"/>
  <c r="JJ103" i="40"/>
  <c r="G33" i="58"/>
  <c r="G33" i="62"/>
  <c r="AN504" i="40"/>
  <c r="AD62" i="66"/>
  <c r="AL50" i="52" l="1"/>
  <c r="HM49" i="52"/>
  <c r="J99" i="39" s="1"/>
  <c r="HM46" i="52"/>
  <c r="H99" i="39" s="1"/>
  <c r="Y104" i="40" s="1"/>
  <c r="AL47" i="52"/>
  <c r="AK47" i="52"/>
  <c r="AK48" i="52"/>
  <c r="HV105" i="40"/>
  <c r="AL51" i="52"/>
  <c r="AL54" i="52"/>
  <c r="AK54" i="52"/>
  <c r="AO606" i="40"/>
  <c r="AN607" i="40"/>
  <c r="AN606" i="40"/>
  <c r="AO607" i="40"/>
  <c r="AL60" i="52"/>
  <c r="JP383" i="40"/>
  <c r="JP381" i="40"/>
  <c r="JP379" i="40"/>
  <c r="JP377" i="40"/>
  <c r="JP376" i="40"/>
  <c r="JP382" i="40"/>
  <c r="JP380" i="40"/>
  <c r="JP378" i="40"/>
  <c r="S287" i="40"/>
  <c r="S587" i="40"/>
  <c r="S187" i="40"/>
  <c r="S487" i="40"/>
  <c r="S387" i="40"/>
  <c r="S426" i="40"/>
  <c r="S326" i="40"/>
  <c r="S626" i="40"/>
  <c r="S226" i="40"/>
  <c r="S526" i="40"/>
  <c r="S126" i="40"/>
  <c r="S584" i="40"/>
  <c r="S184" i="40"/>
  <c r="S484" i="40"/>
  <c r="S384" i="40"/>
  <c r="S284" i="40"/>
  <c r="S684" i="40"/>
  <c r="S486" i="40"/>
  <c r="S386" i="40"/>
  <c r="S286" i="40"/>
  <c r="S586" i="40"/>
  <c r="AN586" i="40" s="1"/>
  <c r="S186" i="40"/>
  <c r="S385" i="40"/>
  <c r="AN385" i="40" s="1"/>
  <c r="S685" i="40"/>
  <c r="S485" i="40"/>
  <c r="S585" i="40"/>
  <c r="AO585" i="40" s="1"/>
  <c r="S285" i="40"/>
  <c r="S185" i="40"/>
  <c r="S625" i="40"/>
  <c r="S225" i="40"/>
  <c r="S525" i="40"/>
  <c r="S125" i="40"/>
  <c r="S425" i="40"/>
  <c r="S325" i="40"/>
  <c r="AP384" i="40"/>
  <c r="R586" i="40"/>
  <c r="R486" i="40"/>
  <c r="R386" i="40"/>
  <c r="R286" i="40"/>
  <c r="R186" i="40"/>
  <c r="AN384" i="40"/>
  <c r="AO583" i="40"/>
  <c r="AN583" i="40"/>
  <c r="AP583" i="40"/>
  <c r="R585" i="40"/>
  <c r="R385" i="40"/>
  <c r="R485" i="40"/>
  <c r="R285" i="40"/>
  <c r="R185" i="40"/>
  <c r="R685" i="40"/>
  <c r="AP383" i="40"/>
  <c r="AO383" i="40"/>
  <c r="AN383" i="40"/>
  <c r="R525" i="40"/>
  <c r="R425" i="40"/>
  <c r="R125" i="40"/>
  <c r="R325" i="40"/>
  <c r="R225" i="40"/>
  <c r="R587" i="40"/>
  <c r="R487" i="40"/>
  <c r="R387" i="40"/>
  <c r="R287" i="40"/>
  <c r="R187" i="40"/>
  <c r="AN683" i="40"/>
  <c r="AP683" i="40"/>
  <c r="AO683" i="40"/>
  <c r="R526" i="40"/>
  <c r="R426" i="40"/>
  <c r="R126" i="40"/>
  <c r="R326" i="40"/>
  <c r="R226" i="40"/>
  <c r="AP584" i="40"/>
  <c r="R584" i="40"/>
  <c r="R384" i="40"/>
  <c r="R484" i="40"/>
  <c r="R184" i="40"/>
  <c r="R284" i="40"/>
  <c r="R684" i="40"/>
  <c r="C493" i="40"/>
  <c r="AW492" i="40"/>
  <c r="BB492" i="40"/>
  <c r="BF492" i="40"/>
  <c r="BJ492" i="40"/>
  <c r="BN492" i="40"/>
  <c r="BR492" i="40"/>
  <c r="BV492" i="40"/>
  <c r="BZ492" i="40"/>
  <c r="CD492" i="40"/>
  <c r="CH492" i="40"/>
  <c r="DT492" i="40"/>
  <c r="AX492" i="40"/>
  <c r="BC492" i="40"/>
  <c r="BG492" i="40"/>
  <c r="BK492" i="40"/>
  <c r="BO492" i="40"/>
  <c r="BS492" i="40"/>
  <c r="BW492" i="40"/>
  <c r="CA492" i="40"/>
  <c r="CE492" i="40"/>
  <c r="DU492" i="40"/>
  <c r="AZ492" i="40"/>
  <c r="BH492" i="40"/>
  <c r="BP492" i="40"/>
  <c r="BX492" i="40"/>
  <c r="CF492" i="40"/>
  <c r="DV492" i="40"/>
  <c r="BA492" i="40"/>
  <c r="BI492" i="40"/>
  <c r="BQ492" i="40"/>
  <c r="BY492" i="40"/>
  <c r="CG492" i="40"/>
  <c r="DW492" i="40"/>
  <c r="BD492" i="40"/>
  <c r="BL492" i="40"/>
  <c r="BT492" i="40"/>
  <c r="CB492" i="40"/>
  <c r="DM492" i="40"/>
  <c r="BU492" i="40"/>
  <c r="BM492" i="40"/>
  <c r="CC492" i="40"/>
  <c r="BE492" i="40"/>
  <c r="DS492" i="40"/>
  <c r="JJ379" i="40"/>
  <c r="JJ383" i="40"/>
  <c r="HW378" i="40"/>
  <c r="HX378" i="40"/>
  <c r="HV378" i="40"/>
  <c r="HV381" i="40"/>
  <c r="HX381" i="40"/>
  <c r="HW381" i="40"/>
  <c r="JJ376" i="40"/>
  <c r="HW377" i="40"/>
  <c r="HX377" i="40"/>
  <c r="HV377" i="40"/>
  <c r="JJ382" i="40"/>
  <c r="JJ380" i="40"/>
  <c r="IQ106" i="40"/>
  <c r="JC106" i="40" s="1"/>
  <c r="F11" i="44" s="1"/>
  <c r="AP682" i="40"/>
  <c r="AN682" i="40"/>
  <c r="AO682" i="40"/>
  <c r="AN680" i="40"/>
  <c r="AO680" i="40"/>
  <c r="AP680" i="40"/>
  <c r="AO581" i="40"/>
  <c r="AP581" i="40"/>
  <c r="AN581" i="40"/>
  <c r="AP379" i="40"/>
  <c r="AO379" i="40"/>
  <c r="AN379" i="40"/>
  <c r="AP381" i="40"/>
  <c r="AO381" i="40"/>
  <c r="AN381" i="40"/>
  <c r="AP579" i="40"/>
  <c r="AN579" i="40"/>
  <c r="AO579" i="40"/>
  <c r="AP681" i="40"/>
  <c r="AN681" i="40"/>
  <c r="AO681" i="40"/>
  <c r="AN679" i="40"/>
  <c r="AO679" i="40"/>
  <c r="AP679" i="40"/>
  <c r="AP380" i="40"/>
  <c r="AO380" i="40"/>
  <c r="AN380" i="40"/>
  <c r="AO382" i="40"/>
  <c r="AP382" i="40"/>
  <c r="AN382" i="40"/>
  <c r="AO580" i="40"/>
  <c r="AN580" i="40"/>
  <c r="AP580" i="40"/>
  <c r="AO582" i="40"/>
  <c r="AN582" i="40"/>
  <c r="AP582" i="40"/>
  <c r="AP385" i="40"/>
  <c r="AP685" i="40"/>
  <c r="AP585" i="40"/>
  <c r="Q686" i="40"/>
  <c r="R686" i="40"/>
  <c r="S687" i="40"/>
  <c r="F686" i="40"/>
  <c r="R687" i="40"/>
  <c r="T686" i="40"/>
  <c r="AC687" i="40"/>
  <c r="G687" i="40"/>
  <c r="U686" i="40"/>
  <c r="E686" i="40"/>
  <c r="I686" i="40"/>
  <c r="E687" i="40"/>
  <c r="S686" i="40"/>
  <c r="AP386" i="40"/>
  <c r="AP586" i="40"/>
  <c r="I687" i="40"/>
  <c r="V686" i="40"/>
  <c r="KA104" i="40"/>
  <c r="AL57" i="52"/>
  <c r="AK57" i="52"/>
  <c r="Y107" i="75"/>
  <c r="Y404" i="40"/>
  <c r="AN212" i="40"/>
  <c r="AO212" i="40"/>
  <c r="HW105" i="40"/>
  <c r="Y401" i="40"/>
  <c r="Y405" i="40"/>
  <c r="Y407" i="40"/>
  <c r="O99" i="39"/>
  <c r="Y415" i="40" s="1"/>
  <c r="N99" i="57"/>
  <c r="Y406" i="40"/>
  <c r="AO605" i="40"/>
  <c r="IO106" i="40"/>
  <c r="JA106" i="40" s="1"/>
  <c r="D11" i="44" s="1"/>
  <c r="AN605" i="40"/>
  <c r="IP106" i="40"/>
  <c r="JB106" i="40" s="1"/>
  <c r="E11" i="44" s="1"/>
  <c r="AN420" i="40"/>
  <c r="AP212" i="40"/>
  <c r="HW106" i="40"/>
  <c r="JZ106" i="40"/>
  <c r="HM106" i="40"/>
  <c r="HP106" i="40" s="1"/>
  <c r="HN106" i="40"/>
  <c r="HQ106" i="40" s="1"/>
  <c r="M10" i="44"/>
  <c r="AO106" i="40"/>
  <c r="AM106" i="40"/>
  <c r="AM420" i="40"/>
  <c r="B399" i="40"/>
  <c r="A398" i="40"/>
  <c r="HR105" i="40"/>
  <c r="AP106" i="40"/>
  <c r="AO420" i="40"/>
  <c r="AM397" i="40"/>
  <c r="HP105" i="40"/>
  <c r="HR106" i="40"/>
  <c r="A107" i="40"/>
  <c r="C108" i="40"/>
  <c r="G107" i="40"/>
  <c r="K107" i="40"/>
  <c r="O107" i="40"/>
  <c r="AC107" i="40"/>
  <c r="AG107" i="40"/>
  <c r="JF107" i="40"/>
  <c r="HN107" i="40" s="1"/>
  <c r="II107" i="40"/>
  <c r="IL107" i="40" s="1"/>
  <c r="AX107" i="40"/>
  <c r="BB107" i="40"/>
  <c r="BF107" i="40"/>
  <c r="BJ107" i="40"/>
  <c r="BN107" i="40"/>
  <c r="BR107" i="40"/>
  <c r="BV107" i="40"/>
  <c r="BZ107" i="40"/>
  <c r="CD107" i="40"/>
  <c r="CH107" i="40"/>
  <c r="DT107" i="40"/>
  <c r="I107" i="40"/>
  <c r="M107" i="40"/>
  <c r="AA107" i="40"/>
  <c r="AE107" i="40"/>
  <c r="AI107" i="40"/>
  <c r="AZ107" i="40"/>
  <c r="BD107" i="40"/>
  <c r="BH107" i="40"/>
  <c r="BL107" i="40"/>
  <c r="BP107" i="40"/>
  <c r="BT107" i="40"/>
  <c r="BX107" i="40"/>
  <c r="CB107" i="40"/>
  <c r="CF107" i="40"/>
  <c r="DM107" i="40"/>
  <c r="DV107" i="40"/>
  <c r="J107" i="40"/>
  <c r="AB107" i="40"/>
  <c r="AJ107" i="40"/>
  <c r="AW107" i="40"/>
  <c r="BE107" i="40"/>
  <c r="BM107" i="40"/>
  <c r="BU107" i="40"/>
  <c r="CC107" i="40"/>
  <c r="DW107" i="40"/>
  <c r="L107" i="40"/>
  <c r="AD107" i="40"/>
  <c r="AY107" i="40"/>
  <c r="BG107" i="40"/>
  <c r="BO107" i="40"/>
  <c r="BW107" i="40"/>
  <c r="CE107" i="40"/>
  <c r="F107" i="40"/>
  <c r="IO107" i="40" s="1"/>
  <c r="N107" i="40"/>
  <c r="AF107" i="40"/>
  <c r="IJ107" i="40"/>
  <c r="IM107" i="40" s="1"/>
  <c r="BA107" i="40"/>
  <c r="BI107" i="40"/>
  <c r="BQ107" i="40"/>
  <c r="BY107" i="40"/>
  <c r="CG107" i="40"/>
  <c r="DS107" i="40"/>
  <c r="AH107" i="40"/>
  <c r="BS107" i="40"/>
  <c r="IK107" i="40"/>
  <c r="IN107" i="40" s="1"/>
  <c r="CA107" i="40"/>
  <c r="H107" i="40"/>
  <c r="BC107" i="40"/>
  <c r="BK107" i="40"/>
  <c r="DU107" i="40"/>
  <c r="P107" i="40"/>
  <c r="IY107" i="40"/>
  <c r="JO107" i="40"/>
  <c r="IZ107" i="40"/>
  <c r="IX107" i="40"/>
  <c r="Z107" i="40"/>
  <c r="S107" i="40"/>
  <c r="HY107" i="40"/>
  <c r="HY607" i="40" s="1"/>
  <c r="IA107" i="40"/>
  <c r="IA607" i="40" s="1"/>
  <c r="E107" i="40"/>
  <c r="HZ107" i="40"/>
  <c r="HZ607" i="40" s="1"/>
  <c r="X107" i="40"/>
  <c r="V107" i="40"/>
  <c r="U107" i="40"/>
  <c r="W107" i="40"/>
  <c r="Q107" i="40"/>
  <c r="R107" i="40"/>
  <c r="T107" i="40"/>
  <c r="JP107" i="40"/>
  <c r="AM212" i="40"/>
  <c r="C214" i="40"/>
  <c r="A213" i="40"/>
  <c r="M213" i="40"/>
  <c r="AC213" i="40"/>
  <c r="G213" i="40"/>
  <c r="O213" i="40"/>
  <c r="AX213" i="40"/>
  <c r="BC213" i="40"/>
  <c r="BG213" i="40"/>
  <c r="BK213" i="40"/>
  <c r="BO213" i="40"/>
  <c r="BS213" i="40"/>
  <c r="BW213" i="40"/>
  <c r="CA213" i="40"/>
  <c r="CE213" i="40"/>
  <c r="DT213" i="40"/>
  <c r="F213" i="40"/>
  <c r="N213" i="40"/>
  <c r="AE213" i="40"/>
  <c r="H213" i="40"/>
  <c r="AF213" i="40"/>
  <c r="AZ213" i="40"/>
  <c r="BD213" i="40"/>
  <c r="BH213" i="40"/>
  <c r="BL213" i="40"/>
  <c r="BP213" i="40"/>
  <c r="BT213" i="40"/>
  <c r="BX213" i="40"/>
  <c r="CB213" i="40"/>
  <c r="CF213" i="40"/>
  <c r="DU213" i="40"/>
  <c r="P213" i="40"/>
  <c r="I213" i="40"/>
  <c r="BA213" i="40"/>
  <c r="BI213" i="40"/>
  <c r="BQ213" i="40"/>
  <c r="BY213" i="40"/>
  <c r="CG213" i="40"/>
  <c r="DV213" i="40"/>
  <c r="AA213" i="40"/>
  <c r="J213" i="40"/>
  <c r="BB213" i="40"/>
  <c r="BJ213" i="40"/>
  <c r="BR213" i="40"/>
  <c r="BZ213" i="40"/>
  <c r="CH213" i="40"/>
  <c r="DW213" i="40"/>
  <c r="K213" i="40"/>
  <c r="AG213" i="40"/>
  <c r="AH213" i="40"/>
  <c r="BE213" i="40"/>
  <c r="BM213" i="40"/>
  <c r="BU213" i="40"/>
  <c r="CC213" i="40"/>
  <c r="DM213" i="40"/>
  <c r="AJ213" i="40"/>
  <c r="BV213" i="40"/>
  <c r="AW213" i="40"/>
  <c r="CD213" i="40"/>
  <c r="L213" i="40"/>
  <c r="BF213" i="40"/>
  <c r="DS213" i="40"/>
  <c r="JO213" i="40"/>
  <c r="AI213" i="40"/>
  <c r="BN213" i="40"/>
  <c r="HY213" i="40"/>
  <c r="S213" i="40"/>
  <c r="T213" i="40"/>
  <c r="JP213" i="40"/>
  <c r="HZ213" i="40"/>
  <c r="IA213" i="40"/>
  <c r="Z213" i="40"/>
  <c r="W213" i="40"/>
  <c r="R213" i="40"/>
  <c r="V213" i="40"/>
  <c r="AD213" i="40"/>
  <c r="E213" i="40"/>
  <c r="Q213" i="40"/>
  <c r="AB213" i="40"/>
  <c r="U213" i="40"/>
  <c r="IZ213" i="40"/>
  <c r="IX213" i="40"/>
  <c r="IY213" i="40"/>
  <c r="X213" i="40"/>
  <c r="AN106" i="40"/>
  <c r="AP420" i="40"/>
  <c r="B422" i="40"/>
  <c r="A421" i="40"/>
  <c r="AQ56" i="52"/>
  <c r="AQ57" i="52"/>
  <c r="IY416" i="40"/>
  <c r="IY404" i="40"/>
  <c r="IY408" i="40"/>
  <c r="IY402" i="40"/>
  <c r="IZ418" i="40"/>
  <c r="IZ402" i="40"/>
  <c r="IZ404" i="40"/>
  <c r="IZ408" i="40"/>
  <c r="IZ416" i="40"/>
  <c r="IX410" i="40"/>
  <c r="IX405" i="40"/>
  <c r="IX414" i="40"/>
  <c r="IX413" i="40"/>
  <c r="IX402" i="40"/>
  <c r="IY410" i="40"/>
  <c r="IY415" i="40"/>
  <c r="IY406" i="40"/>
  <c r="IY403" i="40"/>
  <c r="IY417" i="40"/>
  <c r="IY418" i="40"/>
  <c r="IY409" i="40"/>
  <c r="IY401" i="40"/>
  <c r="IY412" i="40"/>
  <c r="IY407" i="40"/>
  <c r="IY411" i="40"/>
  <c r="IZ412" i="40"/>
  <c r="IZ410" i="40"/>
  <c r="IZ413" i="40"/>
  <c r="IX401" i="40"/>
  <c r="IX407" i="40"/>
  <c r="IX409" i="40"/>
  <c r="IY420" i="40"/>
  <c r="IY421" i="40"/>
  <c r="IX422" i="40"/>
  <c r="IY424" i="40"/>
  <c r="IY425" i="40"/>
  <c r="IX426" i="40"/>
  <c r="IX428" i="40"/>
  <c r="IX429" i="40"/>
  <c r="IZ430" i="40"/>
  <c r="IY431" i="40"/>
  <c r="IX432" i="40"/>
  <c r="IZ433" i="40"/>
  <c r="IY435" i="40"/>
  <c r="IY436" i="40"/>
  <c r="IZ437" i="40"/>
  <c r="IY439" i="40"/>
  <c r="IY440" i="40"/>
  <c r="IX441" i="40"/>
  <c r="IY442" i="40"/>
  <c r="IX443" i="40"/>
  <c r="IX444" i="40"/>
  <c r="IY445" i="40"/>
  <c r="IZ446" i="40"/>
  <c r="IY447" i="40"/>
  <c r="IY449" i="40"/>
  <c r="IY450" i="40"/>
  <c r="IX462" i="40"/>
  <c r="IY413" i="40"/>
  <c r="IZ419" i="40"/>
  <c r="IZ409" i="40"/>
  <c r="IZ406" i="40"/>
  <c r="IX406" i="40"/>
  <c r="IX403" i="40"/>
  <c r="IX412" i="40"/>
  <c r="IX416" i="40"/>
  <c r="IZ420" i="40"/>
  <c r="IX421" i="40"/>
  <c r="IY423" i="40"/>
  <c r="IZ424" i="40"/>
  <c r="IZ425" i="40"/>
  <c r="IY427" i="40"/>
  <c r="IZ428" i="40"/>
  <c r="IZ429" i="40"/>
  <c r="IX430" i="40"/>
  <c r="IZ431" i="40"/>
  <c r="IZ432" i="40"/>
  <c r="IX433" i="40"/>
  <c r="IY434" i="40"/>
  <c r="IX435" i="40"/>
  <c r="IX436" i="40"/>
  <c r="IX437" i="40"/>
  <c r="IY438" i="40"/>
  <c r="IZ439" i="40"/>
  <c r="IZ440" i="40"/>
  <c r="IZ442" i="40"/>
  <c r="IZ443" i="40"/>
  <c r="IX445" i="40"/>
  <c r="IX446" i="40"/>
  <c r="IZ447" i="40"/>
  <c r="IY448" i="40"/>
  <c r="IX449" i="40"/>
  <c r="IX450" i="40"/>
  <c r="IY405" i="40"/>
  <c r="IZ415" i="40"/>
  <c r="IZ405" i="40"/>
  <c r="IZ403" i="40"/>
  <c r="IZ414" i="40"/>
  <c r="IX415" i="40"/>
  <c r="IX418" i="40"/>
  <c r="IX411" i="40"/>
  <c r="IX408" i="40"/>
  <c r="IY419" i="40"/>
  <c r="IX420" i="40"/>
  <c r="IZ421" i="40"/>
  <c r="IY422" i="40"/>
  <c r="IZ423" i="40"/>
  <c r="IX424" i="40"/>
  <c r="IX425" i="40"/>
  <c r="IY426" i="40"/>
  <c r="IZ427" i="40"/>
  <c r="IX431" i="40"/>
  <c r="IZ434" i="40"/>
  <c r="IZ435" i="40"/>
  <c r="IZ436" i="40"/>
  <c r="IX438" i="40"/>
  <c r="IX439" i="40"/>
  <c r="IX440" i="40"/>
  <c r="IY441" i="40"/>
  <c r="IX442" i="40"/>
  <c r="IY444" i="40"/>
  <c r="IZ445" i="40"/>
  <c r="IX447" i="40"/>
  <c r="IZ448" i="40"/>
  <c r="IZ449" i="40"/>
  <c r="IZ450" i="40"/>
  <c r="IZ417" i="40"/>
  <c r="IX404" i="40"/>
  <c r="IZ422" i="40"/>
  <c r="IZ426" i="40"/>
  <c r="IZ444" i="40"/>
  <c r="IZ452" i="40"/>
  <c r="IY453" i="40"/>
  <c r="IY454" i="40"/>
  <c r="IX455" i="40"/>
  <c r="IX457" i="40"/>
  <c r="IZ458" i="40"/>
  <c r="IX459" i="40"/>
  <c r="IY460" i="40"/>
  <c r="IZ461" i="40"/>
  <c r="IZ401" i="40"/>
  <c r="IX419" i="40"/>
  <c r="IX423" i="40"/>
  <c r="IX427" i="40"/>
  <c r="IY433" i="40"/>
  <c r="IY446" i="40"/>
  <c r="IX448" i="40"/>
  <c r="IY451" i="40"/>
  <c r="IX452" i="40"/>
  <c r="IZ453" i="40"/>
  <c r="IZ454" i="40"/>
  <c r="IY456" i="40"/>
  <c r="IX458" i="40"/>
  <c r="IZ460" i="40"/>
  <c r="IX461" i="40"/>
  <c r="IZ407" i="40"/>
  <c r="IX417" i="40"/>
  <c r="IY437" i="40"/>
  <c r="IY443" i="40"/>
  <c r="IZ451" i="40"/>
  <c r="IX453" i="40"/>
  <c r="IX454" i="40"/>
  <c r="IY455" i="40"/>
  <c r="IX456" i="40"/>
  <c r="IY457" i="40"/>
  <c r="IY459" i="40"/>
  <c r="IX460" i="40"/>
  <c r="IZ411" i="40"/>
  <c r="IY429" i="40"/>
  <c r="IX434" i="40"/>
  <c r="IX451" i="40"/>
  <c r="IY458" i="40"/>
  <c r="IZ459" i="40"/>
  <c r="IY428" i="40"/>
  <c r="IY432" i="40"/>
  <c r="IZ455" i="40"/>
  <c r="IY414" i="40"/>
  <c r="IZ438" i="40"/>
  <c r="IY461" i="40"/>
  <c r="IY452" i="40"/>
  <c r="IY430" i="40"/>
  <c r="IZ441" i="40"/>
  <c r="IZ456" i="40"/>
  <c r="IZ457" i="40"/>
  <c r="IZ473" i="40"/>
  <c r="IY464" i="40"/>
  <c r="IY463" i="40"/>
  <c r="IY466" i="40"/>
  <c r="IZ475" i="40"/>
  <c r="IY469" i="40"/>
  <c r="IZ472" i="40"/>
  <c r="IX473" i="40"/>
  <c r="IX465" i="40"/>
  <c r="IZ471" i="40"/>
  <c r="N20" i="39"/>
  <c r="IZ469" i="40"/>
  <c r="IX475" i="40"/>
  <c r="IZ462" i="40"/>
  <c r="IY475" i="40"/>
  <c r="IZ467" i="40"/>
  <c r="IZ474" i="40"/>
  <c r="IZ468" i="40"/>
  <c r="IX470" i="40"/>
  <c r="IX472" i="40"/>
  <c r="IX471" i="40"/>
  <c r="IY472" i="40"/>
  <c r="IY471" i="40"/>
  <c r="IX468" i="40"/>
  <c r="IZ465" i="40"/>
  <c r="IZ470" i="40"/>
  <c r="IZ464" i="40"/>
  <c r="IX469" i="40"/>
  <c r="IZ463" i="40"/>
  <c r="IX463" i="40"/>
  <c r="IY468" i="40"/>
  <c r="IY467" i="40"/>
  <c r="IY474" i="40"/>
  <c r="IX467" i="40"/>
  <c r="IZ466" i="40"/>
  <c r="IX474" i="40"/>
  <c r="IX466" i="40"/>
  <c r="IX464" i="40"/>
  <c r="IY470" i="40"/>
  <c r="IY462" i="40"/>
  <c r="IY465" i="40"/>
  <c r="IY473" i="40"/>
  <c r="AQ26" i="52"/>
  <c r="AQ28" i="52"/>
  <c r="AC505" i="40"/>
  <c r="AC507" i="40"/>
  <c r="AC60" i="52"/>
  <c r="AC30" i="52"/>
  <c r="AC501" i="40"/>
  <c r="AC503" i="40"/>
  <c r="AC504" i="40"/>
  <c r="AC506" i="40"/>
  <c r="AC58" i="52"/>
  <c r="AC31" i="52"/>
  <c r="P111" i="57"/>
  <c r="AC59" i="52"/>
  <c r="AC29" i="52"/>
  <c r="A110" i="75"/>
  <c r="AC109" i="75"/>
  <c r="A109" i="75"/>
  <c r="JP374" i="40"/>
  <c r="JP332" i="40"/>
  <c r="JP351" i="40"/>
  <c r="JP355" i="40"/>
  <c r="JP361" i="40"/>
  <c r="JP340" i="40"/>
  <c r="JP338" i="40"/>
  <c r="JP352" i="40"/>
  <c r="JP316" i="40"/>
  <c r="JP319" i="40"/>
  <c r="JP307" i="40"/>
  <c r="JP309" i="40"/>
  <c r="JP305" i="40"/>
  <c r="JP358" i="40"/>
  <c r="JP308" i="40"/>
  <c r="JP327" i="40"/>
  <c r="JP304" i="40"/>
  <c r="JP326" i="40"/>
  <c r="JP339" i="40"/>
  <c r="JP313" i="40"/>
  <c r="JP331" i="40"/>
  <c r="JP321" i="40"/>
  <c r="JP357" i="40"/>
  <c r="JP301" i="40"/>
  <c r="JP330" i="40"/>
  <c r="JP341" i="40"/>
  <c r="JP310" i="40"/>
  <c r="JP335" i="40"/>
  <c r="JP344" i="40"/>
  <c r="JP328" i="40"/>
  <c r="JP336" i="40"/>
  <c r="Q5" i="59"/>
  <c r="JP314" i="40"/>
  <c r="JP354" i="40"/>
  <c r="JP303" i="40"/>
  <c r="JP343" i="40"/>
  <c r="JP345" i="40"/>
  <c r="JP320" i="40"/>
  <c r="JP318" i="40"/>
  <c r="JP324" i="40"/>
  <c r="JP322" i="40"/>
  <c r="JP342" i="40"/>
  <c r="JP348" i="40"/>
  <c r="JP353" i="40"/>
  <c r="JP349" i="40"/>
  <c r="JP347" i="40"/>
  <c r="JP333" i="40"/>
  <c r="JP360" i="40"/>
  <c r="JP359" i="40"/>
  <c r="JP337" i="40"/>
  <c r="JP356" i="40"/>
  <c r="JP315" i="40"/>
  <c r="JP346" i="40"/>
  <c r="JP334" i="40"/>
  <c r="JP350" i="40"/>
  <c r="JP306" i="40"/>
  <c r="JP329" i="40"/>
  <c r="JP323" i="40"/>
  <c r="JP302" i="40"/>
  <c r="JP311" i="40"/>
  <c r="JP312" i="40"/>
  <c r="JP325" i="40"/>
  <c r="JP317" i="40"/>
  <c r="JP363" i="40"/>
  <c r="JP375" i="40"/>
  <c r="JP364" i="40"/>
  <c r="JP362" i="40"/>
  <c r="JP373" i="40"/>
  <c r="JP372" i="40"/>
  <c r="JP370" i="40"/>
  <c r="JP365" i="40"/>
  <c r="JP368" i="40"/>
  <c r="JP369" i="40"/>
  <c r="JP367" i="40"/>
  <c r="JP366" i="40"/>
  <c r="JP371" i="40"/>
  <c r="AQ55" i="52"/>
  <c r="AQ27" i="52"/>
  <c r="AD519" i="40"/>
  <c r="AD520" i="40"/>
  <c r="AD510" i="40"/>
  <c r="AD512" i="40"/>
  <c r="AD513" i="40"/>
  <c r="AD517" i="40"/>
  <c r="AD518" i="40"/>
  <c r="AD508" i="40"/>
  <c r="AD511" i="40"/>
  <c r="AD514" i="40"/>
  <c r="AD509" i="40"/>
  <c r="AD502" i="40"/>
  <c r="AD516" i="40"/>
  <c r="Q112" i="57"/>
  <c r="AD515" i="40"/>
  <c r="AD110" i="75"/>
  <c r="AB508" i="40"/>
  <c r="AB510" i="40"/>
  <c r="AB512" i="40"/>
  <c r="AB513" i="40"/>
  <c r="AB517" i="40"/>
  <c r="AB518" i="40"/>
  <c r="AB502" i="40"/>
  <c r="AB511" i="40"/>
  <c r="AB514" i="40"/>
  <c r="AB509" i="40"/>
  <c r="AB515" i="40"/>
  <c r="AB516" i="40"/>
  <c r="AB520" i="40"/>
  <c r="AB110" i="75"/>
  <c r="Q109" i="57"/>
  <c r="AB519" i="40"/>
  <c r="AO603" i="40"/>
  <c r="AN601" i="40"/>
  <c r="AN603" i="40"/>
  <c r="AP604" i="40"/>
  <c r="AN604" i="40"/>
  <c r="AO601" i="40"/>
  <c r="AP326" i="40"/>
  <c r="AK64" i="58"/>
  <c r="AK70" i="58"/>
  <c r="AK58" i="58"/>
  <c r="AO322" i="40"/>
  <c r="AN322" i="40"/>
  <c r="AP322" i="40"/>
  <c r="AO622" i="40"/>
  <c r="AN622" i="40"/>
  <c r="AP622" i="40"/>
  <c r="AP525" i="40"/>
  <c r="R625" i="40"/>
  <c r="HV104" i="40"/>
  <c r="HX104" i="40"/>
  <c r="HW104" i="40"/>
  <c r="AP625" i="40"/>
  <c r="AP526" i="40"/>
  <c r="AK56" i="58"/>
  <c r="AN522" i="40"/>
  <c r="AO522" i="40"/>
  <c r="AP522" i="40"/>
  <c r="Y204" i="40"/>
  <c r="Y201" i="40"/>
  <c r="Y206" i="40"/>
  <c r="Y205" i="40"/>
  <c r="Y207" i="40"/>
  <c r="Y203" i="40"/>
  <c r="K99" i="39"/>
  <c r="Y103" i="75"/>
  <c r="J99" i="57"/>
  <c r="Y101" i="40"/>
  <c r="R626" i="40"/>
  <c r="JJ102" i="40"/>
  <c r="AP325" i="40"/>
  <c r="AK52" i="58"/>
  <c r="AK68" i="58"/>
  <c r="AK62" i="58"/>
  <c r="AK54" i="58"/>
  <c r="Y504" i="40"/>
  <c r="Y507" i="40"/>
  <c r="Y503" i="40"/>
  <c r="Y505" i="40"/>
  <c r="Y501" i="40"/>
  <c r="Y506" i="40"/>
  <c r="Q99" i="39"/>
  <c r="Y109" i="75"/>
  <c r="P99" i="57"/>
  <c r="AP626" i="40"/>
  <c r="Y301" i="40"/>
  <c r="Y305" i="40"/>
  <c r="Y303" i="40"/>
  <c r="Y306" i="40"/>
  <c r="Y307" i="40"/>
  <c r="Y304" i="40"/>
  <c r="M99" i="39"/>
  <c r="Y105" i="75"/>
  <c r="L99" i="57"/>
  <c r="AK66" i="58"/>
  <c r="AK60" i="58"/>
  <c r="AK50" i="58"/>
  <c r="AO626" i="40" l="1"/>
  <c r="H99" i="57"/>
  <c r="Y103" i="40"/>
  <c r="I99" i="39"/>
  <c r="Y107" i="40"/>
  <c r="R99" i="39"/>
  <c r="Y105" i="40"/>
  <c r="Y101" i="75"/>
  <c r="Y106" i="40"/>
  <c r="JJ105" i="40"/>
  <c r="AN625" i="40"/>
  <c r="AO586" i="40"/>
  <c r="AO625" i="40"/>
  <c r="AN585" i="40"/>
  <c r="AN526" i="40"/>
  <c r="AO325" i="40"/>
  <c r="AN325" i="40"/>
  <c r="AO526" i="40"/>
  <c r="AN626" i="40"/>
  <c r="AO685" i="40"/>
  <c r="AN584" i="40"/>
  <c r="AN685" i="40"/>
  <c r="AO584" i="40"/>
  <c r="AN326" i="40"/>
  <c r="AN386" i="40"/>
  <c r="AO385" i="40"/>
  <c r="AN525" i="40"/>
  <c r="AO386" i="40"/>
  <c r="AO326" i="40"/>
  <c r="AO525" i="40"/>
  <c r="AO384" i="40"/>
  <c r="JP487" i="40"/>
  <c r="JP486" i="40"/>
  <c r="JP483" i="40"/>
  <c r="JP482" i="40"/>
  <c r="JP481" i="40"/>
  <c r="JP480" i="40"/>
  <c r="JP484" i="40"/>
  <c r="JP477" i="40"/>
  <c r="JP476" i="40"/>
  <c r="JP479" i="40"/>
  <c r="JP478" i="40"/>
  <c r="JP485" i="40"/>
  <c r="AN684" i="40"/>
  <c r="AO684" i="40"/>
  <c r="Y587" i="40"/>
  <c r="Y583" i="40"/>
  <c r="Y582" i="40"/>
  <c r="Y581" i="40"/>
  <c r="Y580" i="40"/>
  <c r="Y579" i="40"/>
  <c r="Y578" i="40"/>
  <c r="Y577" i="40"/>
  <c r="Y576" i="40"/>
  <c r="Y575" i="40"/>
  <c r="Y574" i="40"/>
  <c r="Y573" i="40"/>
  <c r="Y572" i="40"/>
  <c r="Y571" i="40"/>
  <c r="Y570" i="40"/>
  <c r="Y569" i="40"/>
  <c r="Y568" i="40"/>
  <c r="Y567" i="40"/>
  <c r="Y566" i="40"/>
  <c r="Y565" i="40"/>
  <c r="Y564" i="40"/>
  <c r="Y563" i="40"/>
  <c r="Y562" i="40"/>
  <c r="Y561" i="40"/>
  <c r="Y560" i="40"/>
  <c r="Y559" i="40"/>
  <c r="Y558" i="40"/>
  <c r="Y557" i="40"/>
  <c r="Y556" i="40"/>
  <c r="Y555" i="40"/>
  <c r="Y554" i="40"/>
  <c r="Y553" i="40"/>
  <c r="Y552" i="40"/>
  <c r="Y551" i="40"/>
  <c r="Y550" i="40"/>
  <c r="Y549" i="40"/>
  <c r="Y548" i="40"/>
  <c r="Y547" i="40"/>
  <c r="Y546" i="40"/>
  <c r="Y545" i="40"/>
  <c r="Y544" i="40"/>
  <c r="Y543" i="40"/>
  <c r="Y542" i="40"/>
  <c r="Y541" i="40"/>
  <c r="Y540" i="40"/>
  <c r="Y539" i="40"/>
  <c r="Y538" i="40"/>
  <c r="Y537" i="40"/>
  <c r="Y584" i="40"/>
  <c r="Y585" i="40"/>
  <c r="Y586" i="40"/>
  <c r="Y536" i="40"/>
  <c r="Y535" i="40"/>
  <c r="Y534" i="40"/>
  <c r="Y533" i="40"/>
  <c r="Y532" i="40"/>
  <c r="Y531" i="40"/>
  <c r="Y530" i="40"/>
  <c r="Y529" i="40"/>
  <c r="Y528" i="40"/>
  <c r="Y527" i="40"/>
  <c r="Y526" i="40"/>
  <c r="Y525" i="40"/>
  <c r="Y521" i="40"/>
  <c r="Y524" i="40"/>
  <c r="Y523" i="40"/>
  <c r="Y522" i="40"/>
  <c r="Y419" i="40"/>
  <c r="Y484" i="40"/>
  <c r="Y488" i="40"/>
  <c r="Y483" i="40"/>
  <c r="Y482" i="40"/>
  <c r="Y481" i="40"/>
  <c r="Y480" i="40"/>
  <c r="Y479" i="40"/>
  <c r="Y478" i="40"/>
  <c r="Y477" i="40"/>
  <c r="Y476" i="40"/>
  <c r="Y475" i="40"/>
  <c r="Y474" i="40"/>
  <c r="Y473" i="40"/>
  <c r="Y472" i="40"/>
  <c r="Y471" i="40"/>
  <c r="Y470" i="40"/>
  <c r="Y469" i="40"/>
  <c r="Y468" i="40"/>
  <c r="Y467" i="40"/>
  <c r="Y466" i="40"/>
  <c r="Y465" i="40"/>
  <c r="Y464" i="40"/>
  <c r="Y463" i="40"/>
  <c r="Y462" i="40"/>
  <c r="Y461" i="40"/>
  <c r="Y460" i="40"/>
  <c r="Y459" i="40"/>
  <c r="Y458" i="40"/>
  <c r="Y457" i="40"/>
  <c r="Y456" i="40"/>
  <c r="Y455" i="40"/>
  <c r="Y454" i="40"/>
  <c r="Y453" i="40"/>
  <c r="Y452" i="40"/>
  <c r="Y451" i="40"/>
  <c r="Y450" i="40"/>
  <c r="Y449" i="40"/>
  <c r="Y448" i="40"/>
  <c r="Y447" i="40"/>
  <c r="Y446" i="40"/>
  <c r="Y445" i="40"/>
  <c r="Y444" i="40"/>
  <c r="Y443" i="40"/>
  <c r="Y442" i="40"/>
  <c r="Y441" i="40"/>
  <c r="Y440" i="40"/>
  <c r="Y439" i="40"/>
  <c r="Y438" i="40"/>
  <c r="Y437" i="40"/>
  <c r="Y436" i="40"/>
  <c r="Y435" i="40"/>
  <c r="Y434" i="40"/>
  <c r="Y433" i="40"/>
  <c r="Y432" i="40"/>
  <c r="Y431" i="40"/>
  <c r="Y430" i="40"/>
  <c r="Y429" i="40"/>
  <c r="Y428" i="40"/>
  <c r="Y427" i="40"/>
  <c r="Y426" i="40"/>
  <c r="Y425" i="40"/>
  <c r="Y424" i="40"/>
  <c r="Y423" i="40"/>
  <c r="Y422" i="40"/>
  <c r="Y421" i="40"/>
  <c r="Y487" i="40"/>
  <c r="Y485" i="40"/>
  <c r="Y486" i="40"/>
  <c r="Y383" i="40"/>
  <c r="Y382" i="40"/>
  <c r="Y381" i="40"/>
  <c r="Y380" i="40"/>
  <c r="Y379" i="40"/>
  <c r="Y378" i="40"/>
  <c r="Y377" i="40"/>
  <c r="Y376" i="40"/>
  <c r="Y375" i="40"/>
  <c r="Y374" i="40"/>
  <c r="Y373" i="40"/>
  <c r="Y372" i="40"/>
  <c r="Y371" i="40"/>
  <c r="Y370" i="40"/>
  <c r="Y369" i="40"/>
  <c r="Y368" i="40"/>
  <c r="Y367" i="40"/>
  <c r="Y366" i="40"/>
  <c r="Y365" i="40"/>
  <c r="Y364" i="40"/>
  <c r="Y363" i="40"/>
  <c r="Y362" i="40"/>
  <c r="Y361" i="40"/>
  <c r="Y360" i="40"/>
  <c r="Y359" i="40"/>
  <c r="Y358" i="40"/>
  <c r="Y357" i="40"/>
  <c r="Y356" i="40"/>
  <c r="Y355" i="40"/>
  <c r="Y354" i="40"/>
  <c r="Y353" i="40"/>
  <c r="Y352" i="40"/>
  <c r="Y351" i="40"/>
  <c r="Y350" i="40"/>
  <c r="Y349" i="40"/>
  <c r="Y348" i="40"/>
  <c r="Y347" i="40"/>
  <c r="Y346" i="40"/>
  <c r="Y345" i="40"/>
  <c r="Y344" i="40"/>
  <c r="Y343" i="40"/>
  <c r="Y342" i="40"/>
  <c r="Y341" i="40"/>
  <c r="Y340" i="40"/>
  <c r="Y339" i="40"/>
  <c r="Y338" i="40"/>
  <c r="Y337" i="40"/>
  <c r="Y336" i="40"/>
  <c r="Y335" i="40"/>
  <c r="Y334" i="40"/>
  <c r="Y384" i="40"/>
  <c r="Y387" i="40"/>
  <c r="Y386" i="40"/>
  <c r="Y385" i="40"/>
  <c r="Y333" i="40"/>
  <c r="Y332" i="40"/>
  <c r="Y331" i="40"/>
  <c r="Y330" i="40"/>
  <c r="Y329" i="40"/>
  <c r="Y328" i="40"/>
  <c r="Y327" i="40"/>
  <c r="Y326" i="40"/>
  <c r="Y325" i="40"/>
  <c r="Y324" i="40"/>
  <c r="Y323" i="40"/>
  <c r="Y322" i="40"/>
  <c r="Y321" i="40"/>
  <c r="Y183" i="40"/>
  <c r="Y182" i="40"/>
  <c r="Y181" i="40"/>
  <c r="Y180" i="40"/>
  <c r="Y179" i="40"/>
  <c r="Y178" i="40"/>
  <c r="Y177" i="40"/>
  <c r="Y176" i="40"/>
  <c r="Y175" i="40"/>
  <c r="Y174" i="40"/>
  <c r="Y173" i="40"/>
  <c r="Y172" i="40"/>
  <c r="Y171" i="40"/>
  <c r="Y170" i="40"/>
  <c r="Y169" i="40"/>
  <c r="Y168" i="40"/>
  <c r="Y167" i="40"/>
  <c r="Y166" i="40"/>
  <c r="Y165" i="40"/>
  <c r="Y164" i="40"/>
  <c r="Y163" i="40"/>
  <c r="Y162" i="40"/>
  <c r="Y161" i="40"/>
  <c r="Y160" i="40"/>
  <c r="Y159" i="40"/>
  <c r="Y158" i="40"/>
  <c r="Y157" i="40"/>
  <c r="Y156" i="40"/>
  <c r="Y155" i="40"/>
  <c r="Y154" i="40"/>
  <c r="Y153" i="40"/>
  <c r="Y152" i="40"/>
  <c r="Y151" i="40"/>
  <c r="Y150" i="40"/>
  <c r="Y149" i="40"/>
  <c r="Y148" i="40"/>
  <c r="Y147" i="40"/>
  <c r="Y146" i="40"/>
  <c r="Y145" i="40"/>
  <c r="Y144" i="40"/>
  <c r="Y143" i="40"/>
  <c r="Y142" i="40"/>
  <c r="Y141" i="40"/>
  <c r="Y140" i="40"/>
  <c r="Y139" i="40"/>
  <c r="Y138" i="40"/>
  <c r="Y137" i="40"/>
  <c r="Y136" i="40"/>
  <c r="Y135" i="40"/>
  <c r="Y134" i="40"/>
  <c r="Y133" i="40"/>
  <c r="Y132" i="40"/>
  <c r="Y131" i="40"/>
  <c r="Y130" i="40"/>
  <c r="Y129" i="40"/>
  <c r="Y128" i="40"/>
  <c r="Y127" i="40"/>
  <c r="Y126" i="40"/>
  <c r="Y125" i="40"/>
  <c r="Y124" i="40"/>
  <c r="Y123" i="40"/>
  <c r="Y122" i="40"/>
  <c r="Y185" i="40"/>
  <c r="Y184" i="40"/>
  <c r="Y187" i="40"/>
  <c r="Y186" i="40"/>
  <c r="Y283" i="40"/>
  <c r="Y282" i="40"/>
  <c r="Y281" i="40"/>
  <c r="Y280" i="40"/>
  <c r="Y279" i="40"/>
  <c r="Y278" i="40"/>
  <c r="Y277" i="40"/>
  <c r="Y276" i="40"/>
  <c r="Y275" i="40"/>
  <c r="Y274" i="40"/>
  <c r="Y273" i="40"/>
  <c r="Y272" i="40"/>
  <c r="Y271" i="40"/>
  <c r="Y270" i="40"/>
  <c r="Y269" i="40"/>
  <c r="Y268" i="40"/>
  <c r="Y267" i="40"/>
  <c r="Y266" i="40"/>
  <c r="Y265" i="40"/>
  <c r="Y264" i="40"/>
  <c r="Y263" i="40"/>
  <c r="Y262" i="40"/>
  <c r="Y261" i="40"/>
  <c r="Y260" i="40"/>
  <c r="Y259" i="40"/>
  <c r="Y258" i="40"/>
  <c r="Y257" i="40"/>
  <c r="Y256" i="40"/>
  <c r="Y255" i="40"/>
  <c r="Y254" i="40"/>
  <c r="Y253" i="40"/>
  <c r="Y252" i="40"/>
  <c r="Y251" i="40"/>
  <c r="Y250" i="40"/>
  <c r="Y249" i="40"/>
  <c r="Y248" i="40"/>
  <c r="Y247" i="40"/>
  <c r="Y246" i="40"/>
  <c r="Y245" i="40"/>
  <c r="Y244" i="40"/>
  <c r="Y243" i="40"/>
  <c r="Y242" i="40"/>
  <c r="Y241" i="40"/>
  <c r="Y240" i="40"/>
  <c r="Y239" i="40"/>
  <c r="Y238" i="40"/>
  <c r="Y237" i="40"/>
  <c r="Y236" i="40"/>
  <c r="Y235" i="40"/>
  <c r="Y234" i="40"/>
  <c r="Y233" i="40"/>
  <c r="Y232" i="40"/>
  <c r="Y231" i="40"/>
  <c r="Y230" i="40"/>
  <c r="Y229" i="40"/>
  <c r="Y228" i="40"/>
  <c r="Y227" i="40"/>
  <c r="Y226" i="40"/>
  <c r="Y225" i="40"/>
  <c r="Y224" i="40"/>
  <c r="Y223" i="40"/>
  <c r="Y222" i="40"/>
  <c r="Y221" i="40"/>
  <c r="Y284" i="40"/>
  <c r="Y285" i="40"/>
  <c r="Y287" i="40"/>
  <c r="Y286" i="40"/>
  <c r="C494" i="40"/>
  <c r="AW493" i="40"/>
  <c r="BB493" i="40"/>
  <c r="BF493" i="40"/>
  <c r="BJ493" i="40"/>
  <c r="BN493" i="40"/>
  <c r="BR493" i="40"/>
  <c r="BV493" i="40"/>
  <c r="BZ493" i="40"/>
  <c r="CD493" i="40"/>
  <c r="CH493" i="40"/>
  <c r="DT493" i="40"/>
  <c r="AX493" i="40"/>
  <c r="BC493" i="40"/>
  <c r="BG493" i="40"/>
  <c r="BK493" i="40"/>
  <c r="BO493" i="40"/>
  <c r="BS493" i="40"/>
  <c r="BW493" i="40"/>
  <c r="CA493" i="40"/>
  <c r="CE493" i="40"/>
  <c r="DU493" i="40"/>
  <c r="BD493" i="40"/>
  <c r="BL493" i="40"/>
  <c r="BT493" i="40"/>
  <c r="CB493" i="40"/>
  <c r="DM493" i="40"/>
  <c r="BE493" i="40"/>
  <c r="BM493" i="40"/>
  <c r="BU493" i="40"/>
  <c r="CC493" i="40"/>
  <c r="DS493" i="40"/>
  <c r="AZ493" i="40"/>
  <c r="BH493" i="40"/>
  <c r="BP493" i="40"/>
  <c r="BX493" i="40"/>
  <c r="CF493" i="40"/>
  <c r="DV493" i="40"/>
  <c r="BI493" i="40"/>
  <c r="DW493" i="40"/>
  <c r="BQ493" i="40"/>
  <c r="BA493" i="40"/>
  <c r="CG493" i="40"/>
  <c r="BY493" i="40"/>
  <c r="JJ381" i="40"/>
  <c r="JJ378" i="40"/>
  <c r="JJ377" i="40"/>
  <c r="AO686" i="40"/>
  <c r="AQ386" i="40"/>
  <c r="AP686" i="40"/>
  <c r="F687" i="40"/>
  <c r="B188" i="75"/>
  <c r="U688" i="40"/>
  <c r="G688" i="40"/>
  <c r="AC688" i="40"/>
  <c r="U687" i="40"/>
  <c r="V688" i="40"/>
  <c r="Q687" i="40"/>
  <c r="Q688" i="40"/>
  <c r="AE687" i="40"/>
  <c r="H687" i="40"/>
  <c r="T687" i="40"/>
  <c r="V687" i="40"/>
  <c r="S688" i="40"/>
  <c r="Z688" i="40"/>
  <c r="Z687" i="40"/>
  <c r="F688" i="40"/>
  <c r="AN686" i="40"/>
  <c r="Y108" i="75"/>
  <c r="Y409" i="40"/>
  <c r="Y420" i="40"/>
  <c r="O99" i="57"/>
  <c r="Y402" i="40"/>
  <c r="Y416" i="40"/>
  <c r="Y417" i="40"/>
  <c r="Y411" i="40"/>
  <c r="Y408" i="40"/>
  <c r="Y413" i="40"/>
  <c r="Y414" i="40"/>
  <c r="Y412" i="40"/>
  <c r="Y418" i="40"/>
  <c r="Y410" i="40"/>
  <c r="HV107" i="40"/>
  <c r="IQ107" i="40"/>
  <c r="JC107" i="40" s="1"/>
  <c r="F12" i="44" s="1"/>
  <c r="IP107" i="40"/>
  <c r="JB107" i="40" s="1"/>
  <c r="E12" i="44" s="1"/>
  <c r="HM107" i="40"/>
  <c r="HP107" i="40" s="1"/>
  <c r="HO107" i="40"/>
  <c r="HR107" i="40" s="1"/>
  <c r="M11" i="44"/>
  <c r="AP421" i="40"/>
  <c r="AN421" i="40"/>
  <c r="B423" i="40"/>
  <c r="A422" i="40"/>
  <c r="AO421" i="40"/>
  <c r="AM421" i="40"/>
  <c r="AP213" i="40"/>
  <c r="AN107" i="40"/>
  <c r="AP107" i="40"/>
  <c r="HQ107" i="40"/>
  <c r="HV106" i="40"/>
  <c r="JH105" i="40"/>
  <c r="JH106" i="40"/>
  <c r="KA106" i="40" s="1"/>
  <c r="AW16" i="58" s="1"/>
  <c r="AO213" i="40"/>
  <c r="AM213" i="40"/>
  <c r="C215" i="40"/>
  <c r="A214" i="40"/>
  <c r="M214" i="40"/>
  <c r="AC214" i="40"/>
  <c r="G214" i="40"/>
  <c r="O214" i="40"/>
  <c r="AX214" i="40"/>
  <c r="BC214" i="40"/>
  <c r="BG214" i="40"/>
  <c r="BK214" i="40"/>
  <c r="BO214" i="40"/>
  <c r="BS214" i="40"/>
  <c r="BW214" i="40"/>
  <c r="CA214" i="40"/>
  <c r="CE214" i="40"/>
  <c r="DU214" i="40"/>
  <c r="F214" i="40"/>
  <c r="N214" i="40"/>
  <c r="AE214" i="40"/>
  <c r="H214" i="40"/>
  <c r="AF214" i="40"/>
  <c r="AZ214" i="40"/>
  <c r="BD214" i="40"/>
  <c r="BH214" i="40"/>
  <c r="BL214" i="40"/>
  <c r="BP214" i="40"/>
  <c r="BT214" i="40"/>
  <c r="BX214" i="40"/>
  <c r="CB214" i="40"/>
  <c r="CF214" i="40"/>
  <c r="DM214" i="40"/>
  <c r="DV214" i="40"/>
  <c r="P214" i="40"/>
  <c r="I214" i="40"/>
  <c r="BA214" i="40"/>
  <c r="BI214" i="40"/>
  <c r="BQ214" i="40"/>
  <c r="BY214" i="40"/>
  <c r="CG214" i="40"/>
  <c r="DW214" i="40"/>
  <c r="AA214" i="40"/>
  <c r="J214" i="40"/>
  <c r="BB214" i="40"/>
  <c r="BJ214" i="40"/>
  <c r="BR214" i="40"/>
  <c r="BZ214" i="40"/>
  <c r="CH214" i="40"/>
  <c r="K214" i="40"/>
  <c r="AG214" i="40"/>
  <c r="AH214" i="40"/>
  <c r="BE214" i="40"/>
  <c r="BM214" i="40"/>
  <c r="BU214" i="40"/>
  <c r="CC214" i="40"/>
  <c r="DS214" i="40"/>
  <c r="AI214" i="40"/>
  <c r="BN214" i="40"/>
  <c r="AJ214" i="40"/>
  <c r="BV214" i="40"/>
  <c r="AW214" i="40"/>
  <c r="CD214" i="40"/>
  <c r="BF214" i="40"/>
  <c r="DT214" i="40"/>
  <c r="JO214" i="40"/>
  <c r="L214" i="40"/>
  <c r="AB214" i="40"/>
  <c r="AD214" i="40"/>
  <c r="JP214" i="40"/>
  <c r="HZ214" i="40"/>
  <c r="E214" i="40"/>
  <c r="U214" i="40"/>
  <c r="HY214" i="40"/>
  <c r="W214" i="40"/>
  <c r="R214" i="40"/>
  <c r="Z214" i="40"/>
  <c r="S214" i="40"/>
  <c r="V214" i="40"/>
  <c r="T214" i="40"/>
  <c r="IA214" i="40"/>
  <c r="Q214" i="40"/>
  <c r="IX214" i="40"/>
  <c r="X214" i="40"/>
  <c r="IZ214" i="40"/>
  <c r="IY214" i="40"/>
  <c r="AO107" i="40"/>
  <c r="AM107" i="40"/>
  <c r="C109" i="40"/>
  <c r="A108" i="40"/>
  <c r="I108" i="40"/>
  <c r="M108" i="40"/>
  <c r="AA108" i="40"/>
  <c r="AE108" i="40"/>
  <c r="AI108" i="40"/>
  <c r="AZ108" i="40"/>
  <c r="BD108" i="40"/>
  <c r="BH108" i="40"/>
  <c r="BL108" i="40"/>
  <c r="BP108" i="40"/>
  <c r="BT108" i="40"/>
  <c r="BX108" i="40"/>
  <c r="CB108" i="40"/>
  <c r="CF108" i="40"/>
  <c r="DU108" i="40"/>
  <c r="G108" i="40"/>
  <c r="K108" i="40"/>
  <c r="O108" i="40"/>
  <c r="AC108" i="40"/>
  <c r="AG108" i="40"/>
  <c r="JF108" i="40"/>
  <c r="HO108" i="40" s="1"/>
  <c r="II108" i="40"/>
  <c r="IL108" i="40" s="1"/>
  <c r="AX108" i="40"/>
  <c r="BB108" i="40"/>
  <c r="BF108" i="40"/>
  <c r="BJ108" i="40"/>
  <c r="BN108" i="40"/>
  <c r="BR108" i="40"/>
  <c r="BV108" i="40"/>
  <c r="BZ108" i="40"/>
  <c r="CD108" i="40"/>
  <c r="CH108" i="40"/>
  <c r="DS108" i="40"/>
  <c r="DW108" i="40"/>
  <c r="L108" i="40"/>
  <c r="AD108" i="40"/>
  <c r="AY108" i="40"/>
  <c r="BG108" i="40"/>
  <c r="BO108" i="40"/>
  <c r="BW108" i="40"/>
  <c r="CE108" i="40"/>
  <c r="DT108" i="40"/>
  <c r="F108" i="40"/>
  <c r="N108" i="40"/>
  <c r="AF108" i="40"/>
  <c r="IJ108" i="40"/>
  <c r="IM108" i="40" s="1"/>
  <c r="BA108" i="40"/>
  <c r="BI108" i="40"/>
  <c r="BQ108" i="40"/>
  <c r="BY108" i="40"/>
  <c r="CG108" i="40"/>
  <c r="DV108" i="40"/>
  <c r="H108" i="40"/>
  <c r="IQ108" i="40" s="1"/>
  <c r="P108" i="40"/>
  <c r="AH108" i="40"/>
  <c r="IK108" i="40"/>
  <c r="IN108" i="40" s="1"/>
  <c r="BC108" i="40"/>
  <c r="BK108" i="40"/>
  <c r="BS108" i="40"/>
  <c r="CA108" i="40"/>
  <c r="J108" i="40"/>
  <c r="BE108" i="40"/>
  <c r="DM108" i="40"/>
  <c r="AB108" i="40"/>
  <c r="BM108" i="40"/>
  <c r="AJ108" i="40"/>
  <c r="BU108" i="40"/>
  <c r="AW108" i="40"/>
  <c r="CC108" i="40"/>
  <c r="IY108" i="40"/>
  <c r="IX108" i="40"/>
  <c r="IZ108" i="40"/>
  <c r="JO108" i="40"/>
  <c r="HY108" i="40"/>
  <c r="HY608" i="40" s="1"/>
  <c r="HZ108" i="40"/>
  <c r="HZ608" i="40" s="1"/>
  <c r="R108" i="40"/>
  <c r="E108" i="40"/>
  <c r="W108" i="40"/>
  <c r="Q108" i="40"/>
  <c r="IA108" i="40"/>
  <c r="IA608" i="40" s="1"/>
  <c r="Z108" i="40"/>
  <c r="V108" i="40"/>
  <c r="T108" i="40"/>
  <c r="U108" i="40"/>
  <c r="S108" i="40"/>
  <c r="X108" i="40"/>
  <c r="JP108" i="40"/>
  <c r="HX106" i="40"/>
  <c r="JZ105" i="40"/>
  <c r="AM398" i="40"/>
  <c r="B400" i="40"/>
  <c r="A399" i="40"/>
  <c r="AN213" i="40"/>
  <c r="JA107" i="40"/>
  <c r="D12" i="44" s="1"/>
  <c r="HW107" i="40"/>
  <c r="IZ562" i="40"/>
  <c r="IY501" i="40"/>
  <c r="IY508" i="40"/>
  <c r="IY513" i="40"/>
  <c r="IY507" i="40"/>
  <c r="IY607" i="40" s="1"/>
  <c r="IY516" i="40"/>
  <c r="IZ506" i="40"/>
  <c r="IZ606" i="40" s="1"/>
  <c r="IZ518" i="40"/>
  <c r="IZ512" i="40"/>
  <c r="IZ507" i="40"/>
  <c r="IZ607" i="40" s="1"/>
  <c r="IZ503" i="40"/>
  <c r="IX510" i="40"/>
  <c r="IX515" i="40"/>
  <c r="IX516" i="40"/>
  <c r="IX503" i="40"/>
  <c r="IX603" i="40" s="1"/>
  <c r="IX518" i="40"/>
  <c r="IX520" i="40"/>
  <c r="IY503" i="40"/>
  <c r="IY603" i="40" s="1"/>
  <c r="IY515" i="40"/>
  <c r="IY502" i="40"/>
  <c r="IY509" i="40"/>
  <c r="IY562" i="40"/>
  <c r="IY514" i="40"/>
  <c r="IY511" i="40"/>
  <c r="IY505" i="40"/>
  <c r="IY504" i="40"/>
  <c r="IY604" i="40" s="1"/>
  <c r="IY506" i="40"/>
  <c r="IZ510" i="40"/>
  <c r="IZ501" i="40"/>
  <c r="IZ502" i="40"/>
  <c r="IZ602" i="40" s="1"/>
  <c r="IZ508" i="40"/>
  <c r="IX519" i="40"/>
  <c r="IX502" i="40"/>
  <c r="IX602" i="40" s="1"/>
  <c r="IX505" i="40"/>
  <c r="IX605" i="40" s="1"/>
  <c r="IY519" i="40"/>
  <c r="IY521" i="40"/>
  <c r="IY524" i="40"/>
  <c r="IY525" i="40"/>
  <c r="IX526" i="40"/>
  <c r="IZ528" i="40"/>
  <c r="IZ529" i="40"/>
  <c r="IZ530" i="40"/>
  <c r="IY531" i="40"/>
  <c r="IZ532" i="40"/>
  <c r="IX533" i="40"/>
  <c r="IZ535" i="40"/>
  <c r="IY536" i="40"/>
  <c r="IX537" i="40"/>
  <c r="IY538" i="40"/>
  <c r="IX539" i="40"/>
  <c r="IY540" i="40"/>
  <c r="IY541" i="40"/>
  <c r="IZ543" i="40"/>
  <c r="IY544" i="40"/>
  <c r="IZ545" i="40"/>
  <c r="IX546" i="40"/>
  <c r="IX547" i="40"/>
  <c r="IX549" i="40"/>
  <c r="IX550" i="40"/>
  <c r="IX562" i="40"/>
  <c r="IY517" i="40"/>
  <c r="IY512" i="40"/>
  <c r="IZ509" i="40"/>
  <c r="IZ511" i="40"/>
  <c r="IZ517" i="40"/>
  <c r="IZ504" i="40"/>
  <c r="IX512" i="40"/>
  <c r="IX513" i="40"/>
  <c r="IX507" i="40"/>
  <c r="IX607" i="40" s="1"/>
  <c r="IX511" i="40"/>
  <c r="IZ521" i="40"/>
  <c r="IY522" i="40"/>
  <c r="IY523" i="40"/>
  <c r="IX524" i="40"/>
  <c r="IX525" i="40"/>
  <c r="IY527" i="40"/>
  <c r="IX528" i="40"/>
  <c r="IX529" i="40"/>
  <c r="IX530" i="40"/>
  <c r="IX531" i="40"/>
  <c r="IX532" i="40"/>
  <c r="IZ533" i="40"/>
  <c r="IY534" i="40"/>
  <c r="IX535" i="40"/>
  <c r="IZ536" i="40"/>
  <c r="IZ538" i="40"/>
  <c r="IZ540" i="40"/>
  <c r="IZ541" i="40"/>
  <c r="IY542" i="40"/>
  <c r="IX543" i="40"/>
  <c r="IX544" i="40"/>
  <c r="IX545" i="40"/>
  <c r="IZ546" i="40"/>
  <c r="IZ547" i="40"/>
  <c r="IY548" i="40"/>
  <c r="IZ549" i="40"/>
  <c r="IZ550" i="40"/>
  <c r="IY518" i="40"/>
  <c r="IZ513" i="40"/>
  <c r="IZ514" i="40"/>
  <c r="IZ515" i="40"/>
  <c r="IX501" i="40"/>
  <c r="IX601" i="40" s="1"/>
  <c r="IX504" i="40"/>
  <c r="IX508" i="40"/>
  <c r="IY520" i="40"/>
  <c r="IX521" i="40"/>
  <c r="IX522" i="40"/>
  <c r="IZ523" i="40"/>
  <c r="IZ524" i="40"/>
  <c r="IZ525" i="40"/>
  <c r="IY526" i="40"/>
  <c r="IZ527" i="40"/>
  <c r="IZ531" i="40"/>
  <c r="IX534" i="40"/>
  <c r="IX536" i="40"/>
  <c r="IY537" i="40"/>
  <c r="IX538" i="40"/>
  <c r="IY539" i="40"/>
  <c r="IX540" i="40"/>
  <c r="IX541" i="40"/>
  <c r="IX542" i="40"/>
  <c r="IZ544" i="40"/>
  <c r="IX548" i="40"/>
  <c r="IY510" i="40"/>
  <c r="IZ516" i="40"/>
  <c r="IZ537" i="40"/>
  <c r="IY543" i="40"/>
  <c r="IY549" i="40"/>
  <c r="IY550" i="40"/>
  <c r="IX553" i="40"/>
  <c r="IZ554" i="40"/>
  <c r="IX555" i="40"/>
  <c r="IY556" i="40"/>
  <c r="IY557" i="40"/>
  <c r="IX558" i="40"/>
  <c r="IX559" i="40"/>
  <c r="IX560" i="40"/>
  <c r="IY561" i="40"/>
  <c r="IZ505" i="40"/>
  <c r="IX506" i="40"/>
  <c r="IX606" i="40" s="1"/>
  <c r="IZ522" i="40"/>
  <c r="IY528" i="40"/>
  <c r="IY529" i="40"/>
  <c r="IY530" i="40"/>
  <c r="IY532" i="40"/>
  <c r="IZ534" i="40"/>
  <c r="IY535" i="40"/>
  <c r="IZ539" i="40"/>
  <c r="IZ542" i="40"/>
  <c r="IY551" i="40"/>
  <c r="IY552" i="40"/>
  <c r="IZ553" i="40"/>
  <c r="IX554" i="40"/>
  <c r="IZ556" i="40"/>
  <c r="IZ557" i="40"/>
  <c r="IZ561" i="40"/>
  <c r="IZ519" i="40"/>
  <c r="IX517" i="40"/>
  <c r="IX514" i="40"/>
  <c r="IZ526" i="40"/>
  <c r="IY545" i="40"/>
  <c r="IY547" i="40"/>
  <c r="IZ551" i="40"/>
  <c r="IZ552" i="40"/>
  <c r="IY555" i="40"/>
  <c r="IX556" i="40"/>
  <c r="IX557" i="40"/>
  <c r="IY558" i="40"/>
  <c r="IY559" i="40"/>
  <c r="IY560" i="40"/>
  <c r="IX561" i="40"/>
  <c r="IX523" i="40"/>
  <c r="IY533" i="40"/>
  <c r="IZ548" i="40"/>
  <c r="IX552" i="40"/>
  <c r="IY553" i="40"/>
  <c r="IX527" i="40"/>
  <c r="IZ558" i="40"/>
  <c r="IX551" i="40"/>
  <c r="IY554" i="40"/>
  <c r="IZ559" i="40"/>
  <c r="IZ520" i="40"/>
  <c r="IY546" i="40"/>
  <c r="IZ560" i="40"/>
  <c r="IZ555" i="40"/>
  <c r="IX509" i="40"/>
  <c r="IZ563" i="40"/>
  <c r="IY569" i="40"/>
  <c r="IY563" i="40"/>
  <c r="IY568" i="40"/>
  <c r="IY575" i="40"/>
  <c r="IZ567" i="40"/>
  <c r="IZ566" i="40"/>
  <c r="IX573" i="40"/>
  <c r="IX564" i="40"/>
  <c r="IY567" i="40"/>
  <c r="IZ572" i="40"/>
  <c r="IY574" i="40"/>
  <c r="IY570" i="40"/>
  <c r="IY572" i="40"/>
  <c r="IX563" i="40"/>
  <c r="IY573" i="40"/>
  <c r="IZ575" i="40"/>
  <c r="IX568" i="40"/>
  <c r="IX570" i="40"/>
  <c r="IZ564" i="40"/>
  <c r="IZ568" i="40"/>
  <c r="IZ573" i="40"/>
  <c r="IZ571" i="40"/>
  <c r="IY571" i="40"/>
  <c r="IY565" i="40"/>
  <c r="IZ574" i="40"/>
  <c r="IX567" i="40"/>
  <c r="IX565" i="40"/>
  <c r="IZ565" i="40"/>
  <c r="IX569" i="40"/>
  <c r="IX574" i="40"/>
  <c r="P20" i="39"/>
  <c r="IX571" i="40"/>
  <c r="IY564" i="40"/>
  <c r="IY566" i="40"/>
  <c r="IZ570" i="40"/>
  <c r="IZ569" i="40"/>
  <c r="IX575" i="40"/>
  <c r="IX566" i="40"/>
  <c r="IX572" i="40"/>
  <c r="AQ60" i="52"/>
  <c r="R24" i="39"/>
  <c r="R20" i="39" s="1"/>
  <c r="R111" i="57"/>
  <c r="AC606" i="40"/>
  <c r="AC601" i="40"/>
  <c r="AC605" i="40"/>
  <c r="AC111" i="75"/>
  <c r="AC603" i="40"/>
  <c r="AC604" i="40"/>
  <c r="AC607" i="40"/>
  <c r="AQ31" i="52"/>
  <c r="AQ29" i="52"/>
  <c r="AQ58" i="52"/>
  <c r="JP469" i="40"/>
  <c r="JP474" i="40"/>
  <c r="Q6" i="59"/>
  <c r="JP423" i="40"/>
  <c r="JP462" i="40"/>
  <c r="JP420" i="40"/>
  <c r="JP432" i="40"/>
  <c r="JP407" i="40"/>
  <c r="JP404" i="40"/>
  <c r="JP431" i="40"/>
  <c r="JP418" i="40"/>
  <c r="JP429" i="40"/>
  <c r="JP443" i="40"/>
  <c r="JP455" i="40"/>
  <c r="JP448" i="40"/>
  <c r="JP435" i="40"/>
  <c r="JP451" i="40"/>
  <c r="JP460" i="40"/>
  <c r="JP459" i="40"/>
  <c r="JP475" i="40"/>
  <c r="JP467" i="40"/>
  <c r="JP472" i="40"/>
  <c r="JP406" i="40"/>
  <c r="JP411" i="40"/>
  <c r="JP401" i="40"/>
  <c r="JP410" i="40"/>
  <c r="JP470" i="40"/>
  <c r="JP405" i="40"/>
  <c r="JP424" i="40"/>
  <c r="JP433" i="40"/>
  <c r="JP415" i="40"/>
  <c r="JP430" i="40"/>
  <c r="JP446" i="40"/>
  <c r="JP436" i="40"/>
  <c r="JP450" i="40"/>
  <c r="JP437" i="40"/>
  <c r="JP456" i="40"/>
  <c r="JP441" i="40"/>
  <c r="JP473" i="40"/>
  <c r="JP465" i="40"/>
  <c r="JP466" i="40"/>
  <c r="JP414" i="40"/>
  <c r="JP426" i="40"/>
  <c r="JP421" i="40"/>
  <c r="JP403" i="40"/>
  <c r="JP468" i="40"/>
  <c r="JP413" i="40"/>
  <c r="JP425" i="40"/>
  <c r="JP416" i="40"/>
  <c r="JP412" i="40"/>
  <c r="JP439" i="40"/>
  <c r="JP449" i="40"/>
  <c r="JP444" i="40"/>
  <c r="JP452" i="40"/>
  <c r="JP438" i="40"/>
  <c r="JP457" i="40"/>
  <c r="JP453" i="40"/>
  <c r="JP471" i="40"/>
  <c r="JP463" i="40"/>
  <c r="JP464" i="40"/>
  <c r="JP409" i="40"/>
  <c r="JP434" i="40"/>
  <c r="JP402" i="40"/>
  <c r="JP428" i="40"/>
  <c r="JP419" i="40"/>
  <c r="JP417" i="40"/>
  <c r="JP427" i="40"/>
  <c r="JP408" i="40"/>
  <c r="JP422" i="40"/>
  <c r="JP440" i="40"/>
  <c r="JP454" i="40"/>
  <c r="JP447" i="40"/>
  <c r="JP461" i="40"/>
  <c r="JP442" i="40"/>
  <c r="JP458" i="40"/>
  <c r="JP445" i="40"/>
  <c r="AQ59" i="52"/>
  <c r="AQ30" i="52"/>
  <c r="AD112" i="75"/>
  <c r="AD623" i="40"/>
  <c r="AD620" i="40"/>
  <c r="AD649" i="40"/>
  <c r="AD646" i="40"/>
  <c r="AD643" i="40"/>
  <c r="AD636" i="40"/>
  <c r="AD615" i="40"/>
  <c r="AD625" i="40"/>
  <c r="AD618" i="40"/>
  <c r="AD633" i="40"/>
  <c r="AD610" i="40"/>
  <c r="AD634" i="40"/>
  <c r="AD629" i="40"/>
  <c r="AD654" i="40"/>
  <c r="AD655" i="40"/>
  <c r="S112" i="57"/>
  <c r="AD617" i="40"/>
  <c r="AD609" i="40"/>
  <c r="AD645" i="40"/>
  <c r="AD635" i="40"/>
  <c r="AD651" i="40"/>
  <c r="AD641" i="40"/>
  <c r="AD621" i="40"/>
  <c r="AD624" i="40"/>
  <c r="AD631" i="40"/>
  <c r="AD640" i="40"/>
  <c r="AD613" i="40"/>
  <c r="AD608" i="40"/>
  <c r="AD602" i="40"/>
  <c r="AD626" i="40"/>
  <c r="AD612" i="40"/>
  <c r="AD637" i="40"/>
  <c r="AD653" i="40"/>
  <c r="AD660" i="40"/>
  <c r="AD663" i="40"/>
  <c r="AD675" i="40"/>
  <c r="AD677" i="40"/>
  <c r="AD679" i="40"/>
  <c r="AD686" i="40"/>
  <c r="AD691" i="40"/>
  <c r="AD693" i="40"/>
  <c r="AD700" i="40"/>
  <c r="AQ700" i="40" s="1"/>
  <c r="AD639" i="40"/>
  <c r="AD638" i="40"/>
  <c r="AD652" i="40"/>
  <c r="AD647" i="40"/>
  <c r="AD656" i="40"/>
  <c r="AD659" i="40"/>
  <c r="AD664" i="40"/>
  <c r="AD666" i="40"/>
  <c r="AD670" i="40"/>
  <c r="AD678" i="40"/>
  <c r="AD680" i="40"/>
  <c r="AD683" i="40"/>
  <c r="AD684" i="40"/>
  <c r="AD687" i="40"/>
  <c r="AD692" i="40"/>
  <c r="AD622" i="40"/>
  <c r="AD632" i="40"/>
  <c r="AD644" i="40"/>
  <c r="AD628" i="40"/>
  <c r="AD619" i="40"/>
  <c r="AD650" i="40"/>
  <c r="AD627" i="40"/>
  <c r="AD630" i="40"/>
  <c r="AD658" i="40"/>
  <c r="AD665" i="40"/>
  <c r="AD668" i="40"/>
  <c r="AD669" i="40"/>
  <c r="AD671" i="40"/>
  <c r="AD672" i="40"/>
  <c r="AD676" i="40"/>
  <c r="AD682" i="40"/>
  <c r="AD685" i="40"/>
  <c r="AD688" i="40"/>
  <c r="AD689" i="40"/>
  <c r="AD690" i="40"/>
  <c r="AD696" i="40"/>
  <c r="AD698" i="40"/>
  <c r="AD699" i="40"/>
  <c r="AD614" i="40"/>
  <c r="AD662" i="40"/>
  <c r="AD695" i="40"/>
  <c r="AD616" i="40"/>
  <c r="AD661" i="40"/>
  <c r="AD681" i="40"/>
  <c r="AD694" i="40"/>
  <c r="AD642" i="40"/>
  <c r="AD611" i="40"/>
  <c r="AD648" i="40"/>
  <c r="AD667" i="40"/>
  <c r="AD673" i="40"/>
  <c r="AD657" i="40"/>
  <c r="AD674" i="40"/>
  <c r="AD697" i="40"/>
  <c r="AB625" i="40"/>
  <c r="AB610" i="40"/>
  <c r="AB639" i="40"/>
  <c r="AB619" i="40"/>
  <c r="AB621" i="40"/>
  <c r="AB646" i="40"/>
  <c r="AB618" i="40"/>
  <c r="AB630" i="40"/>
  <c r="AB641" i="40"/>
  <c r="AB616" i="40"/>
  <c r="AB615" i="40"/>
  <c r="AB654" i="40"/>
  <c r="AB112" i="75"/>
  <c r="AB652" i="40"/>
  <c r="AB649" i="40"/>
  <c r="AB635" i="40"/>
  <c r="AB647" i="40"/>
  <c r="AB623" i="40"/>
  <c r="AB638" i="40"/>
  <c r="AB642" i="40"/>
  <c r="AB611" i="40"/>
  <c r="AB653" i="40"/>
  <c r="AB648" i="40"/>
  <c r="AB609" i="40"/>
  <c r="AB628" i="40"/>
  <c r="AB602" i="40"/>
  <c r="AB622" i="40"/>
  <c r="AB624" i="40"/>
  <c r="AB614" i="40"/>
  <c r="AB644" i="40"/>
  <c r="AB617" i="40"/>
  <c r="AB633" i="40"/>
  <c r="AB650" i="40"/>
  <c r="AB626" i="40"/>
  <c r="AB643" i="40"/>
  <c r="AB627" i="40"/>
  <c r="AB651" i="40"/>
  <c r="AB620" i="40"/>
  <c r="AB634" i="40"/>
  <c r="AB657" i="40"/>
  <c r="AB658" i="40"/>
  <c r="AB665" i="40"/>
  <c r="AB669" i="40"/>
  <c r="AB671" i="40"/>
  <c r="AB672" i="40"/>
  <c r="AB676" i="40"/>
  <c r="AB683" i="40"/>
  <c r="AB685" i="40"/>
  <c r="AB687" i="40"/>
  <c r="AB688" i="40"/>
  <c r="AB689" i="40"/>
  <c r="AB690" i="40"/>
  <c r="AB631" i="40"/>
  <c r="AB636" i="40"/>
  <c r="AB629" i="40"/>
  <c r="AB632" i="40"/>
  <c r="AB655" i="40"/>
  <c r="AB661" i="40"/>
  <c r="AB662" i="40"/>
  <c r="AB668" i="40"/>
  <c r="AB674" i="40"/>
  <c r="AB675" i="40"/>
  <c r="AB681" i="40"/>
  <c r="AB694" i="40"/>
  <c r="AB695" i="40"/>
  <c r="AB696" i="40"/>
  <c r="AB697" i="40"/>
  <c r="AB698" i="40"/>
  <c r="AB699" i="40"/>
  <c r="AB645" i="40"/>
  <c r="AB613" i="40"/>
  <c r="AB608" i="40"/>
  <c r="AB640" i="40"/>
  <c r="AB637" i="40"/>
  <c r="AB659" i="40"/>
  <c r="AB660" i="40"/>
  <c r="AB663" i="40"/>
  <c r="AB667" i="40"/>
  <c r="AB673" i="40"/>
  <c r="AB677" i="40"/>
  <c r="AB679" i="40"/>
  <c r="AB684" i="40"/>
  <c r="AB686" i="40"/>
  <c r="AB691" i="40"/>
  <c r="AB693" i="40"/>
  <c r="AB700" i="40"/>
  <c r="AB656" i="40"/>
  <c r="AB678" i="40"/>
  <c r="AB680" i="40"/>
  <c r="S109" i="57"/>
  <c r="AB664" i="40"/>
  <c r="AB670" i="40"/>
  <c r="AB692" i="40"/>
  <c r="AB612" i="40"/>
  <c r="AB666" i="40"/>
  <c r="AB682" i="40"/>
  <c r="Y108" i="40"/>
  <c r="Y109" i="40"/>
  <c r="Y102" i="40"/>
  <c r="I99" i="57"/>
  <c r="Y102" i="75"/>
  <c r="Y508" i="40"/>
  <c r="Y512" i="40"/>
  <c r="Y516" i="40"/>
  <c r="Y520" i="40"/>
  <c r="Y502" i="40"/>
  <c r="Y515" i="40"/>
  <c r="Y518" i="40"/>
  <c r="Y509" i="40"/>
  <c r="Y514" i="40"/>
  <c r="Y517" i="40"/>
  <c r="Y510" i="40"/>
  <c r="Y513" i="40"/>
  <c r="Y511" i="40"/>
  <c r="Y519" i="40"/>
  <c r="Q99" i="57"/>
  <c r="Y110" i="75"/>
  <c r="Y603" i="40"/>
  <c r="Y606" i="40"/>
  <c r="Y601" i="40"/>
  <c r="Y604" i="40"/>
  <c r="Y605" i="40"/>
  <c r="Y111" i="75"/>
  <c r="R99" i="57"/>
  <c r="Y607" i="40"/>
  <c r="S99" i="39"/>
  <c r="Y309" i="40"/>
  <c r="Y313" i="40"/>
  <c r="Y317" i="40"/>
  <c r="Y316" i="40"/>
  <c r="Y319" i="40"/>
  <c r="Y302" i="40"/>
  <c r="D326" i="40" s="1"/>
  <c r="Y312" i="40"/>
  <c r="Y315" i="40"/>
  <c r="Y318" i="40"/>
  <c r="Y314" i="40"/>
  <c r="Y308" i="40"/>
  <c r="Y311" i="40"/>
  <c r="Y320" i="40"/>
  <c r="Y310" i="40"/>
  <c r="M99" i="57"/>
  <c r="Y106" i="75"/>
  <c r="AK106" i="40"/>
  <c r="AK104" i="40"/>
  <c r="AL104" i="40"/>
  <c r="Y208" i="40"/>
  <c r="Y212" i="40"/>
  <c r="Y211" i="40"/>
  <c r="Y213" i="40"/>
  <c r="Y214" i="40"/>
  <c r="Y202" i="40"/>
  <c r="Y215" i="40"/>
  <c r="Y209" i="40"/>
  <c r="Y210" i="40"/>
  <c r="Y104" i="75"/>
  <c r="K99" i="57"/>
  <c r="AL103" i="40"/>
  <c r="AK103" i="40"/>
  <c r="JJ104" i="40"/>
  <c r="AL107" i="40" l="1"/>
  <c r="AK107" i="40"/>
  <c r="AL106" i="40"/>
  <c r="AL105" i="40"/>
  <c r="AK105" i="40"/>
  <c r="D421" i="40"/>
  <c r="JP576" i="40"/>
  <c r="JP584" i="40"/>
  <c r="JP585" i="40"/>
  <c r="JP587" i="40"/>
  <c r="JP586" i="40"/>
  <c r="JP583" i="40"/>
  <c r="JP582" i="40"/>
  <c r="JP581" i="40"/>
  <c r="JP580" i="40"/>
  <c r="JP579" i="40"/>
  <c r="JP578" i="40"/>
  <c r="JP577" i="40"/>
  <c r="D386" i="40"/>
  <c r="D385" i="40"/>
  <c r="D382" i="40"/>
  <c r="D322" i="40"/>
  <c r="D323" i="40"/>
  <c r="D327" i="40"/>
  <c r="D331" i="40"/>
  <c r="D335" i="40"/>
  <c r="D339" i="40"/>
  <c r="D343" i="40"/>
  <c r="D347" i="40"/>
  <c r="D351" i="40"/>
  <c r="D355" i="40"/>
  <c r="D359" i="40"/>
  <c r="D363" i="40"/>
  <c r="D367" i="40"/>
  <c r="D371" i="40"/>
  <c r="D375" i="40"/>
  <c r="HW585" i="40"/>
  <c r="HX585" i="40"/>
  <c r="HV585" i="40"/>
  <c r="HW587" i="40"/>
  <c r="HV587" i="40"/>
  <c r="HX587" i="40"/>
  <c r="D383" i="40"/>
  <c r="D325" i="40"/>
  <c r="D384" i="40"/>
  <c r="D324" i="40"/>
  <c r="D328" i="40"/>
  <c r="D332" i="40"/>
  <c r="D336" i="40"/>
  <c r="D340" i="40"/>
  <c r="D344" i="40"/>
  <c r="D348" i="40"/>
  <c r="D352" i="40"/>
  <c r="D356" i="40"/>
  <c r="D360" i="40"/>
  <c r="D364" i="40"/>
  <c r="D368" i="40"/>
  <c r="D372" i="40"/>
  <c r="D376" i="40"/>
  <c r="HV586" i="40"/>
  <c r="HX586" i="40"/>
  <c r="HW586" i="40"/>
  <c r="HV584" i="40"/>
  <c r="HX584" i="40"/>
  <c r="HW584" i="40"/>
  <c r="D379" i="40"/>
  <c r="D380" i="40"/>
  <c r="D321" i="40"/>
  <c r="D329" i="40"/>
  <c r="D333" i="40"/>
  <c r="D337" i="40"/>
  <c r="D341" i="40"/>
  <c r="D345" i="40"/>
  <c r="D349" i="40"/>
  <c r="D353" i="40"/>
  <c r="D357" i="40"/>
  <c r="D361" i="40"/>
  <c r="D365" i="40"/>
  <c r="D369" i="40"/>
  <c r="D373" i="40"/>
  <c r="D377" i="40"/>
  <c r="AL488" i="40"/>
  <c r="AK488" i="40"/>
  <c r="D488" i="40"/>
  <c r="AY488" i="40" s="1"/>
  <c r="D381" i="40"/>
  <c r="D330" i="40"/>
  <c r="D334" i="40"/>
  <c r="D338" i="40"/>
  <c r="D342" i="40"/>
  <c r="D346" i="40"/>
  <c r="D350" i="40"/>
  <c r="D354" i="40"/>
  <c r="D358" i="40"/>
  <c r="D362" i="40"/>
  <c r="D366" i="40"/>
  <c r="D370" i="40"/>
  <c r="D374" i="40"/>
  <c r="D378" i="40"/>
  <c r="C495" i="40"/>
  <c r="AW494" i="40"/>
  <c r="BB494" i="40"/>
  <c r="BF494" i="40"/>
  <c r="BJ494" i="40"/>
  <c r="BN494" i="40"/>
  <c r="BR494" i="40"/>
  <c r="BV494" i="40"/>
  <c r="BZ494" i="40"/>
  <c r="CD494" i="40"/>
  <c r="CH494" i="40"/>
  <c r="DT494" i="40"/>
  <c r="AX494" i="40"/>
  <c r="BC494" i="40"/>
  <c r="BG494" i="40"/>
  <c r="BK494" i="40"/>
  <c r="BO494" i="40"/>
  <c r="BS494" i="40"/>
  <c r="BW494" i="40"/>
  <c r="CA494" i="40"/>
  <c r="CE494" i="40"/>
  <c r="DU494" i="40"/>
  <c r="AZ494" i="40"/>
  <c r="BH494" i="40"/>
  <c r="BP494" i="40"/>
  <c r="BX494" i="40"/>
  <c r="CF494" i="40"/>
  <c r="DV494" i="40"/>
  <c r="BA494" i="40"/>
  <c r="BI494" i="40"/>
  <c r="BQ494" i="40"/>
  <c r="BY494" i="40"/>
  <c r="CG494" i="40"/>
  <c r="DW494" i="40"/>
  <c r="BD494" i="40"/>
  <c r="BL494" i="40"/>
  <c r="BT494" i="40"/>
  <c r="CB494" i="40"/>
  <c r="DM494" i="40"/>
  <c r="CC494" i="40"/>
  <c r="BU494" i="40"/>
  <c r="BE494" i="40"/>
  <c r="DS494" i="40"/>
  <c r="BM494" i="40"/>
  <c r="R588" i="40"/>
  <c r="F588" i="40"/>
  <c r="AI588" i="40"/>
  <c r="AE588" i="40"/>
  <c r="AA588" i="40"/>
  <c r="U588" i="40"/>
  <c r="Q588" i="40"/>
  <c r="E588" i="40"/>
  <c r="Y588" i="40"/>
  <c r="T588" i="40"/>
  <c r="H588" i="40"/>
  <c r="AG588" i="40"/>
  <c r="AC588" i="40"/>
  <c r="S588" i="40"/>
  <c r="G588" i="40"/>
  <c r="Z388" i="40"/>
  <c r="V388" i="40"/>
  <c r="R388" i="40"/>
  <c r="F388" i="40"/>
  <c r="T388" i="40"/>
  <c r="H388" i="40"/>
  <c r="AG388" i="40"/>
  <c r="AC388" i="40"/>
  <c r="Q388" i="40"/>
  <c r="G388" i="40"/>
  <c r="T288" i="40"/>
  <c r="H288" i="40"/>
  <c r="Z188" i="40"/>
  <c r="V188" i="40"/>
  <c r="R188" i="40"/>
  <c r="F188" i="40"/>
  <c r="AI388" i="40"/>
  <c r="AE388" i="40"/>
  <c r="AA388" i="40"/>
  <c r="U388" i="40"/>
  <c r="E388" i="40"/>
  <c r="AI288" i="40"/>
  <c r="AE288" i="40"/>
  <c r="AA288" i="40"/>
  <c r="S288" i="40"/>
  <c r="G288" i="40"/>
  <c r="Y388" i="40"/>
  <c r="S388" i="40"/>
  <c r="Z288" i="40"/>
  <c r="V288" i="40"/>
  <c r="R288" i="40"/>
  <c r="F288" i="40"/>
  <c r="E288" i="40"/>
  <c r="Q188" i="40"/>
  <c r="AC288" i="40"/>
  <c r="AI188" i="40"/>
  <c r="AE188" i="40"/>
  <c r="AA188" i="40"/>
  <c r="U188" i="40"/>
  <c r="H188" i="40"/>
  <c r="Q288" i="40"/>
  <c r="AC188" i="40"/>
  <c r="AG288" i="40"/>
  <c r="U288" i="40"/>
  <c r="Y188" i="40"/>
  <c r="T188" i="40"/>
  <c r="G188" i="40"/>
  <c r="Y288" i="40"/>
  <c r="AG188" i="40"/>
  <c r="S188" i="40"/>
  <c r="E188" i="40"/>
  <c r="Z588" i="40"/>
  <c r="V588" i="40"/>
  <c r="A13" i="62"/>
  <c r="AP587" i="40"/>
  <c r="AO387" i="40"/>
  <c r="AP687" i="40"/>
  <c r="AP688" i="40"/>
  <c r="AN387" i="40"/>
  <c r="AO687" i="40"/>
  <c r="AN687" i="40"/>
  <c r="AN587" i="40"/>
  <c r="B189" i="75"/>
  <c r="I688" i="40"/>
  <c r="R688" i="40"/>
  <c r="T688" i="40"/>
  <c r="R689" i="40"/>
  <c r="H688" i="40"/>
  <c r="AE688" i="40"/>
  <c r="E688" i="40"/>
  <c r="AO587" i="40"/>
  <c r="AP387" i="40"/>
  <c r="D387" i="40" s="1"/>
  <c r="AQ387" i="40"/>
  <c r="IO108" i="40"/>
  <c r="JA108" i="40" s="1"/>
  <c r="D13" i="44" s="1"/>
  <c r="HX107" i="40"/>
  <c r="JJ107" i="40" s="1"/>
  <c r="IY608" i="40"/>
  <c r="IX608" i="40"/>
  <c r="HV108" i="40"/>
  <c r="IP108" i="40"/>
  <c r="JB108" i="40" s="1"/>
  <c r="E13" i="44" s="1"/>
  <c r="AP214" i="40"/>
  <c r="AP108" i="40"/>
  <c r="AP422" i="40"/>
  <c r="A13" i="58"/>
  <c r="HN108" i="40"/>
  <c r="HQ108" i="40" s="1"/>
  <c r="AW16" i="62"/>
  <c r="KB101" i="40"/>
  <c r="KB102" i="40" s="1"/>
  <c r="KB103" i="40" s="1"/>
  <c r="KB104" i="40" s="1"/>
  <c r="KB105" i="40" s="1"/>
  <c r="KB106" i="40" s="1"/>
  <c r="KB107" i="40" s="1"/>
  <c r="KB108" i="40" s="1"/>
  <c r="KB109" i="40" s="1"/>
  <c r="KB110" i="40" s="1"/>
  <c r="KB111" i="40" s="1"/>
  <c r="KB112" i="40" s="1"/>
  <c r="KB113" i="40" s="1"/>
  <c r="KB114" i="40" s="1"/>
  <c r="KB115" i="40" s="1"/>
  <c r="KB116" i="40" s="1"/>
  <c r="KB117" i="40" s="1"/>
  <c r="KB118" i="40" s="1"/>
  <c r="KB119" i="40" s="1"/>
  <c r="KB120" i="40" s="1"/>
  <c r="KB121" i="40" s="1"/>
  <c r="KB122" i="40" s="1"/>
  <c r="KB123" i="40" s="1"/>
  <c r="KB124" i="40" s="1"/>
  <c r="KB125" i="40" s="1"/>
  <c r="KB126" i="40" s="1"/>
  <c r="KB127" i="40" s="1"/>
  <c r="KB128" i="40" s="1"/>
  <c r="KB129" i="40" s="1"/>
  <c r="KB130" i="40" s="1"/>
  <c r="KB131" i="40" s="1"/>
  <c r="KB132" i="40" s="1"/>
  <c r="KB133" i="40" s="1"/>
  <c r="KB134" i="40" s="1"/>
  <c r="KB135" i="40" s="1"/>
  <c r="KB136" i="40" s="1"/>
  <c r="KB137" i="40" s="1"/>
  <c r="KB138" i="40" s="1"/>
  <c r="KB139" i="40" s="1"/>
  <c r="KB140" i="40" s="1"/>
  <c r="KB141" i="40" s="1"/>
  <c r="KB142" i="40" s="1"/>
  <c r="KB143" i="40" s="1"/>
  <c r="KB144" i="40" s="1"/>
  <c r="KB145" i="40" s="1"/>
  <c r="KB146" i="40" s="1"/>
  <c r="KB147" i="40" s="1"/>
  <c r="KB148" i="40" s="1"/>
  <c r="KB149" i="40" s="1"/>
  <c r="KB150" i="40" s="1"/>
  <c r="KB151" i="40" s="1"/>
  <c r="KB152" i="40" s="1"/>
  <c r="KB153" i="40" s="1"/>
  <c r="KB154" i="40" s="1"/>
  <c r="KB155" i="40" s="1"/>
  <c r="KB156" i="40" s="1"/>
  <c r="KB157" i="40" s="1"/>
  <c r="KB158" i="40" s="1"/>
  <c r="KB159" i="40" s="1"/>
  <c r="KB160" i="40" s="1"/>
  <c r="KB161" i="40" s="1"/>
  <c r="KB162" i="40" s="1"/>
  <c r="KB163" i="40" s="1"/>
  <c r="KB164" i="40" s="1"/>
  <c r="KB165" i="40" s="1"/>
  <c r="KB166" i="40" s="1"/>
  <c r="KB167" i="40" s="1"/>
  <c r="KB168" i="40" s="1"/>
  <c r="KB169" i="40" s="1"/>
  <c r="KB170" i="40" s="1"/>
  <c r="KB171" i="40" s="1"/>
  <c r="KB172" i="40" s="1"/>
  <c r="KB173" i="40" s="1"/>
  <c r="KB174" i="40" s="1"/>
  <c r="KB175" i="40" s="1"/>
  <c r="KB176" i="40" s="1"/>
  <c r="KB177" i="40" s="1"/>
  <c r="KB178" i="40" s="1"/>
  <c r="KB179" i="40" s="1"/>
  <c r="KB180" i="40" s="1"/>
  <c r="KB181" i="40" s="1"/>
  <c r="KB182" i="40" s="1"/>
  <c r="HM108" i="40"/>
  <c r="HP108" i="40" s="1"/>
  <c r="JC108" i="40"/>
  <c r="F13" i="44" s="1"/>
  <c r="M12" i="44"/>
  <c r="IZ608" i="40"/>
  <c r="IY606" i="40"/>
  <c r="A400" i="40"/>
  <c r="AO108" i="40"/>
  <c r="HR108" i="40"/>
  <c r="AM108" i="40"/>
  <c r="AN214" i="40"/>
  <c r="AN108" i="40"/>
  <c r="AO214" i="40"/>
  <c r="AM214" i="40"/>
  <c r="C216" i="40"/>
  <c r="F215" i="40"/>
  <c r="N215" i="40"/>
  <c r="AE215" i="40"/>
  <c r="H215" i="40"/>
  <c r="AF215" i="40"/>
  <c r="AZ215" i="40"/>
  <c r="BD215" i="40"/>
  <c r="BH215" i="40"/>
  <c r="BL215" i="40"/>
  <c r="BP215" i="40"/>
  <c r="BT215" i="40"/>
  <c r="BX215" i="40"/>
  <c r="CB215" i="40"/>
  <c r="CF215" i="40"/>
  <c r="DM215" i="40"/>
  <c r="DV215" i="40"/>
  <c r="K215" i="40"/>
  <c r="P215" i="40"/>
  <c r="AG215" i="40"/>
  <c r="I215" i="40"/>
  <c r="AH215" i="40"/>
  <c r="BA215" i="40"/>
  <c r="BE215" i="40"/>
  <c r="BI215" i="40"/>
  <c r="BM215" i="40"/>
  <c r="BQ215" i="40"/>
  <c r="BU215" i="40"/>
  <c r="BY215" i="40"/>
  <c r="CC215" i="40"/>
  <c r="CG215" i="40"/>
  <c r="DS215" i="40"/>
  <c r="DW215" i="40"/>
  <c r="AA215" i="40"/>
  <c r="J215" i="40"/>
  <c r="BB215" i="40"/>
  <c r="BJ215" i="40"/>
  <c r="BR215" i="40"/>
  <c r="BZ215" i="40"/>
  <c r="CH215" i="40"/>
  <c r="A215" i="40"/>
  <c r="AC215" i="40"/>
  <c r="O215" i="40"/>
  <c r="BC215" i="40"/>
  <c r="BK215" i="40"/>
  <c r="BS215" i="40"/>
  <c r="CA215" i="40"/>
  <c r="L215" i="40"/>
  <c r="AI215" i="40"/>
  <c r="AJ215" i="40"/>
  <c r="AW215" i="40"/>
  <c r="BF215" i="40"/>
  <c r="BN215" i="40"/>
  <c r="BV215" i="40"/>
  <c r="CD215" i="40"/>
  <c r="DT215" i="40"/>
  <c r="M215" i="40"/>
  <c r="BG215" i="40"/>
  <c r="DU215" i="40"/>
  <c r="G215" i="40"/>
  <c r="BO215" i="40"/>
  <c r="BW215" i="40"/>
  <c r="JO215" i="40"/>
  <c r="AX215" i="40"/>
  <c r="CE215" i="40"/>
  <c r="JP215" i="40"/>
  <c r="HZ215" i="40"/>
  <c r="HY215" i="40"/>
  <c r="S215" i="40"/>
  <c r="E215" i="40"/>
  <c r="U215" i="40"/>
  <c r="AB215" i="40"/>
  <c r="AD215" i="40"/>
  <c r="IA215" i="40"/>
  <c r="Z215" i="40"/>
  <c r="W215" i="40"/>
  <c r="T215" i="40"/>
  <c r="R215" i="40"/>
  <c r="Q215" i="40"/>
  <c r="V215" i="40"/>
  <c r="IY215" i="40"/>
  <c r="IZ215" i="40"/>
  <c r="IX215" i="40"/>
  <c r="X215" i="40"/>
  <c r="AN422" i="40"/>
  <c r="AO422" i="40"/>
  <c r="AM422" i="40"/>
  <c r="D422" i="40" s="1"/>
  <c r="JH107" i="40"/>
  <c r="AM399" i="40"/>
  <c r="C110" i="40"/>
  <c r="BX109" i="40"/>
  <c r="E109" i="40" s="1"/>
  <c r="M109" i="40"/>
  <c r="AC109" i="40"/>
  <c r="G109" i="40"/>
  <c r="O109" i="40"/>
  <c r="AH109" i="40"/>
  <c r="IK109" i="40"/>
  <c r="IN109" i="40" s="1"/>
  <c r="AZ109" i="40"/>
  <c r="BD109" i="40"/>
  <c r="BH109" i="40"/>
  <c r="BL109" i="40"/>
  <c r="BP109" i="40"/>
  <c r="BT109" i="40"/>
  <c r="BY109" i="40"/>
  <c r="CC109" i="40"/>
  <c r="CG109" i="40"/>
  <c r="DU109" i="40"/>
  <c r="K109" i="40"/>
  <c r="P109" i="40"/>
  <c r="AG109" i="40"/>
  <c r="I109" i="40"/>
  <c r="AD109" i="40"/>
  <c r="JF109" i="40"/>
  <c r="HN109" i="40" s="1"/>
  <c r="HQ109" i="40" s="1"/>
  <c r="AW109" i="40"/>
  <c r="BB109" i="40"/>
  <c r="BF109" i="40"/>
  <c r="BJ109" i="40"/>
  <c r="BN109" i="40"/>
  <c r="BR109" i="40"/>
  <c r="BV109" i="40"/>
  <c r="CA109" i="40"/>
  <c r="CE109" i="40"/>
  <c r="DS109" i="40"/>
  <c r="DW109" i="40"/>
  <c r="L109" i="40"/>
  <c r="AI109" i="40"/>
  <c r="AF109" i="40"/>
  <c r="II109" i="40"/>
  <c r="IL109" i="40" s="1"/>
  <c r="BC109" i="40"/>
  <c r="BK109" i="40"/>
  <c r="BS109" i="40"/>
  <c r="CB109" i="40"/>
  <c r="N109" i="40"/>
  <c r="H109" i="40"/>
  <c r="IQ109" i="40" s="1"/>
  <c r="AJ109" i="40"/>
  <c r="BE109" i="40"/>
  <c r="BM109" i="40"/>
  <c r="BU109" i="40"/>
  <c r="CD109" i="40"/>
  <c r="DM109" i="40"/>
  <c r="A109" i="40"/>
  <c r="AA109" i="40"/>
  <c r="J109" i="40"/>
  <c r="AX109" i="40"/>
  <c r="BG109" i="40"/>
  <c r="BO109" i="40"/>
  <c r="BW109" i="40"/>
  <c r="CF109" i="40"/>
  <c r="DT109" i="40"/>
  <c r="IJ109" i="40"/>
  <c r="IM109" i="40" s="1"/>
  <c r="BZ109" i="40"/>
  <c r="F109" i="40"/>
  <c r="BA109" i="40"/>
  <c r="CH109" i="40"/>
  <c r="AE109" i="40"/>
  <c r="BI109" i="40"/>
  <c r="DV109" i="40"/>
  <c r="AB109" i="40"/>
  <c r="BQ109" i="40"/>
  <c r="IY109" i="40"/>
  <c r="IZ109" i="40"/>
  <c r="IX109" i="40"/>
  <c r="JO109" i="40"/>
  <c r="U109" i="40"/>
  <c r="S109" i="40"/>
  <c r="Q109" i="40"/>
  <c r="HY109" i="40"/>
  <c r="HY609" i="40" s="1"/>
  <c r="T109" i="40"/>
  <c r="HZ109" i="40"/>
  <c r="HZ609" i="40" s="1"/>
  <c r="R109" i="40"/>
  <c r="Z109" i="40"/>
  <c r="V109" i="40"/>
  <c r="IA109" i="40"/>
  <c r="IA609" i="40" s="1"/>
  <c r="W109" i="40"/>
  <c r="X109" i="40"/>
  <c r="JP109" i="40"/>
  <c r="KA105" i="40"/>
  <c r="JJ106" i="40"/>
  <c r="B424" i="40"/>
  <c r="A423" i="40"/>
  <c r="JP635" i="40"/>
  <c r="JP636" i="40"/>
  <c r="JP639" i="40"/>
  <c r="JP645" i="40"/>
  <c r="JP646" i="40"/>
  <c r="JP648" i="40"/>
  <c r="JP638" i="40"/>
  <c r="JP640" i="40"/>
  <c r="JP643" i="40"/>
  <c r="JP647" i="40"/>
  <c r="JP649" i="40"/>
  <c r="JP641" i="40"/>
  <c r="JP642" i="40"/>
  <c r="JP644" i="40"/>
  <c r="JP661" i="40"/>
  <c r="JP662" i="40"/>
  <c r="JP663" i="40"/>
  <c r="JP664" i="40"/>
  <c r="JP665" i="40"/>
  <c r="JP666" i="40"/>
  <c r="JP672" i="40"/>
  <c r="JP681" i="40"/>
  <c r="JP683" i="40"/>
  <c r="JP691" i="40"/>
  <c r="JP696" i="40"/>
  <c r="JP698" i="40"/>
  <c r="JP651" i="40"/>
  <c r="JP653" i="40"/>
  <c r="JP659" i="40"/>
  <c r="JP668" i="40"/>
  <c r="JP669" i="40"/>
  <c r="JP679" i="40"/>
  <c r="JP680" i="40"/>
  <c r="JP686" i="40"/>
  <c r="JP688" i="40"/>
  <c r="JP689" i="40"/>
  <c r="JP690" i="40"/>
  <c r="JP693" i="40"/>
  <c r="JP700" i="40"/>
  <c r="JP637" i="40"/>
  <c r="JP650" i="40"/>
  <c r="JP655" i="40"/>
  <c r="JP670" i="40"/>
  <c r="JP684" i="40"/>
  <c r="JP687" i="40"/>
  <c r="JP694" i="40"/>
  <c r="JP699" i="40"/>
  <c r="JP657" i="40"/>
  <c r="JP673" i="40"/>
  <c r="JP674" i="40"/>
  <c r="JP677" i="40"/>
  <c r="JP652" i="40"/>
  <c r="JP660" i="40"/>
  <c r="JP667" i="40"/>
  <c r="JP682" i="40"/>
  <c r="JP658" i="40"/>
  <c r="JP671" i="40"/>
  <c r="JP675" i="40"/>
  <c r="JP676" i="40"/>
  <c r="JP678" i="40"/>
  <c r="JP685" i="40"/>
  <c r="JP697" i="40"/>
  <c r="JP654" i="40"/>
  <c r="JP656" i="40"/>
  <c r="JP692" i="40"/>
  <c r="JP695" i="40"/>
  <c r="JP604" i="40"/>
  <c r="JP620" i="40"/>
  <c r="JP622" i="40"/>
  <c r="JP623" i="40"/>
  <c r="Q8" i="59"/>
  <c r="JP605" i="40"/>
  <c r="JP630" i="40"/>
  <c r="JP613" i="40"/>
  <c r="JP628" i="40"/>
  <c r="JP606" i="40"/>
  <c r="JP608" i="40"/>
  <c r="JP625" i="40"/>
  <c r="JP621" i="40"/>
  <c r="JP611" i="40"/>
  <c r="JP610" i="40"/>
  <c r="JP626" i="40"/>
  <c r="JP607" i="40"/>
  <c r="JP631" i="40"/>
  <c r="JP614" i="40"/>
  <c r="JP615" i="40"/>
  <c r="JP602" i="40"/>
  <c r="JP629" i="40"/>
  <c r="JP612" i="40"/>
  <c r="JP617" i="40"/>
  <c r="JP603" i="40"/>
  <c r="JP616" i="40"/>
  <c r="JP634" i="40"/>
  <c r="JP609" i="40"/>
  <c r="JP632" i="40"/>
  <c r="JP619" i="40"/>
  <c r="JP633" i="40"/>
  <c r="JP618" i="40"/>
  <c r="JP627" i="40"/>
  <c r="JP601" i="40"/>
  <c r="JP624" i="40"/>
  <c r="IZ605" i="40"/>
  <c r="IX604" i="40"/>
  <c r="IZ603" i="40"/>
  <c r="JP542" i="40"/>
  <c r="JP548" i="40"/>
  <c r="JP537" i="40"/>
  <c r="JP539" i="40"/>
  <c r="JP535" i="40"/>
  <c r="JP543" i="40"/>
  <c r="JP545" i="40"/>
  <c r="JP546" i="40"/>
  <c r="JP547" i="40"/>
  <c r="JP549" i="40"/>
  <c r="JP550" i="40"/>
  <c r="JP551" i="40"/>
  <c r="JP540" i="40"/>
  <c r="JP552" i="40"/>
  <c r="JP538" i="40"/>
  <c r="JP555" i="40"/>
  <c r="JP558" i="40"/>
  <c r="JP559" i="40"/>
  <c r="JP560" i="40"/>
  <c r="JP541" i="40"/>
  <c r="JP544" i="40"/>
  <c r="JP553" i="40"/>
  <c r="JP554" i="40"/>
  <c r="JP557" i="40"/>
  <c r="JP561" i="40"/>
  <c r="JP556" i="40"/>
  <c r="JP564" i="40"/>
  <c r="JP565" i="40"/>
  <c r="JP562" i="40"/>
  <c r="JP503" i="40"/>
  <c r="JP508" i="40"/>
  <c r="JP522" i="40"/>
  <c r="JP534" i="40"/>
  <c r="JP517" i="40"/>
  <c r="JP516" i="40"/>
  <c r="JP536" i="40"/>
  <c r="JP509" i="40"/>
  <c r="JP524" i="40"/>
  <c r="JP533" i="40"/>
  <c r="JP573" i="40"/>
  <c r="JP563" i="40"/>
  <c r="Q7" i="59"/>
  <c r="JP501" i="40"/>
  <c r="JP512" i="40"/>
  <c r="JP506" i="40"/>
  <c r="JP575" i="40"/>
  <c r="JP513" i="40"/>
  <c r="JP526" i="40"/>
  <c r="JP569" i="40"/>
  <c r="JP521" i="40"/>
  <c r="JP527" i="40"/>
  <c r="JP571" i="40"/>
  <c r="JP574" i="40"/>
  <c r="JP519" i="40"/>
  <c r="JP502" i="40"/>
  <c r="JP504" i="40"/>
  <c r="JP525" i="40"/>
  <c r="JP523" i="40"/>
  <c r="JP520" i="40"/>
  <c r="JP530" i="40"/>
  <c r="JP566" i="40"/>
  <c r="JP515" i="40"/>
  <c r="JP528" i="40"/>
  <c r="JP572" i="40"/>
  <c r="JP568" i="40"/>
  <c r="JP570" i="40"/>
  <c r="JP507" i="40"/>
  <c r="JP567" i="40"/>
  <c r="JP518" i="40"/>
  <c r="JP531" i="40"/>
  <c r="JP510" i="40"/>
  <c r="JP514" i="40"/>
  <c r="JP532" i="40"/>
  <c r="JP511" i="40"/>
  <c r="JP505" i="40"/>
  <c r="JP529" i="40"/>
  <c r="IX701" i="40"/>
  <c r="IZ604" i="40"/>
  <c r="IY601" i="40"/>
  <c r="IY701" i="40" s="1"/>
  <c r="IZ601" i="40"/>
  <c r="IZ701" i="40" s="1"/>
  <c r="IY605" i="40"/>
  <c r="IY602" i="40"/>
  <c r="AL109" i="40"/>
  <c r="AK109" i="40"/>
  <c r="AK108" i="40"/>
  <c r="AL108" i="40"/>
  <c r="Y112" i="75"/>
  <c r="Y641" i="40"/>
  <c r="Y637" i="40"/>
  <c r="Y608" i="40"/>
  <c r="Y615" i="40"/>
  <c r="Y626" i="40"/>
  <c r="Y628" i="40"/>
  <c r="Y619" i="40"/>
  <c r="Y618" i="40"/>
  <c r="Y627" i="40"/>
  <c r="Y643" i="40"/>
  <c r="Y651" i="40"/>
  <c r="Y658" i="40"/>
  <c r="Y640" i="40"/>
  <c r="Y645" i="40"/>
  <c r="Y614" i="40"/>
  <c r="Y609" i="40"/>
  <c r="Y610" i="40"/>
  <c r="Y613" i="40"/>
  <c r="Y647" i="40"/>
  <c r="Y634" i="40"/>
  <c r="Y616" i="40"/>
  <c r="Y624" i="40"/>
  <c r="Y630" i="40"/>
  <c r="Y653" i="40"/>
  <c r="Y662" i="40"/>
  <c r="Y642" i="40"/>
  <c r="Y623" i="40"/>
  <c r="S99" i="57"/>
  <c r="Y612" i="40"/>
  <c r="Y625" i="40"/>
  <c r="Y646" i="40"/>
  <c r="Y629" i="40"/>
  <c r="Y631" i="40"/>
  <c r="Y632" i="40"/>
  <c r="Y602" i="40"/>
  <c r="Y649" i="40"/>
  <c r="Y652" i="40"/>
  <c r="Y654" i="40"/>
  <c r="Y655" i="40"/>
  <c r="Y656" i="40"/>
  <c r="Y657" i="40"/>
  <c r="Y659" i="40"/>
  <c r="Y660" i="40"/>
  <c r="Y663" i="40"/>
  <c r="Y668" i="40"/>
  <c r="Y671" i="40"/>
  <c r="Y674" i="40"/>
  <c r="Y675" i="40"/>
  <c r="Y676" i="40"/>
  <c r="Y677" i="40"/>
  <c r="Y678" i="40"/>
  <c r="Y680" i="40"/>
  <c r="Y682" i="40"/>
  <c r="Y686" i="40"/>
  <c r="Y633" i="40"/>
  <c r="Y617" i="40"/>
  <c r="Y636" i="40"/>
  <c r="Y635" i="40"/>
  <c r="Y620" i="40"/>
  <c r="Y621" i="40"/>
  <c r="Y644" i="40"/>
  <c r="Y622" i="40"/>
  <c r="Y638" i="40"/>
  <c r="Y639" i="40"/>
  <c r="Y611" i="40"/>
  <c r="Y648" i="40"/>
  <c r="Y650" i="40"/>
  <c r="Y667" i="40"/>
  <c r="Y679" i="40"/>
  <c r="Y685" i="40"/>
  <c r="Y666" i="40"/>
  <c r="Y673" i="40"/>
  <c r="Y683" i="40"/>
  <c r="Y687" i="40"/>
  <c r="Y661" i="40"/>
  <c r="Y664" i="40"/>
  <c r="Y665" i="40"/>
  <c r="Y669" i="40"/>
  <c r="Y670" i="40"/>
  <c r="Y681" i="40"/>
  <c r="Y688" i="40"/>
  <c r="Y672" i="40"/>
  <c r="Y684" i="40"/>
  <c r="Y700" i="40"/>
  <c r="AL102" i="40"/>
  <c r="AN588" i="40" l="1"/>
  <c r="AN388" i="40"/>
  <c r="JJ586" i="40"/>
  <c r="AP388" i="40"/>
  <c r="AQ388" i="40"/>
  <c r="JJ585" i="40"/>
  <c r="AP588" i="40"/>
  <c r="JJ584" i="40"/>
  <c r="JJ587" i="40"/>
  <c r="AO388" i="40"/>
  <c r="D388" i="40"/>
  <c r="AO588" i="40"/>
  <c r="C496" i="40"/>
  <c r="AW495" i="40"/>
  <c r="BB495" i="40"/>
  <c r="BF495" i="40"/>
  <c r="BJ495" i="40"/>
  <c r="BN495" i="40"/>
  <c r="BR495" i="40"/>
  <c r="BV495" i="40"/>
  <c r="BZ495" i="40"/>
  <c r="CD495" i="40"/>
  <c r="CH495" i="40"/>
  <c r="DT495" i="40"/>
  <c r="AX495" i="40"/>
  <c r="BC495" i="40"/>
  <c r="BG495" i="40"/>
  <c r="BK495" i="40"/>
  <c r="BO495" i="40"/>
  <c r="BS495" i="40"/>
  <c r="BW495" i="40"/>
  <c r="CA495" i="40"/>
  <c r="CE495" i="40"/>
  <c r="DU495" i="40"/>
  <c r="BD495" i="40"/>
  <c r="BL495" i="40"/>
  <c r="BT495" i="40"/>
  <c r="CB495" i="40"/>
  <c r="DM495" i="40"/>
  <c r="BE495" i="40"/>
  <c r="BM495" i="40"/>
  <c r="BU495" i="40"/>
  <c r="CC495" i="40"/>
  <c r="DS495" i="40"/>
  <c r="AZ495" i="40"/>
  <c r="BH495" i="40"/>
  <c r="BP495" i="40"/>
  <c r="BX495" i="40"/>
  <c r="CF495" i="40"/>
  <c r="DV495" i="40"/>
  <c r="BQ495" i="40"/>
  <c r="DW495" i="40"/>
  <c r="BY495" i="40"/>
  <c r="BI495" i="40"/>
  <c r="BA495" i="40"/>
  <c r="CG495" i="40"/>
  <c r="Q689" i="40"/>
  <c r="Z589" i="40"/>
  <c r="S189" i="40"/>
  <c r="AA189" i="40"/>
  <c r="Q289" i="40"/>
  <c r="Y189" i="40"/>
  <c r="AG189" i="40"/>
  <c r="Z289" i="40"/>
  <c r="G289" i="40"/>
  <c r="AI289" i="40"/>
  <c r="AC389" i="40"/>
  <c r="AE189" i="40"/>
  <c r="Y289" i="40"/>
  <c r="E289" i="40"/>
  <c r="F289" i="40"/>
  <c r="S289" i="40"/>
  <c r="Y689" i="40"/>
  <c r="I689" i="40"/>
  <c r="F689" i="40"/>
  <c r="E689" i="40"/>
  <c r="F589" i="40"/>
  <c r="R589" i="40"/>
  <c r="G189" i="40"/>
  <c r="AI189" i="40"/>
  <c r="U289" i="40"/>
  <c r="Q189" i="40"/>
  <c r="T189" i="40"/>
  <c r="R289" i="40"/>
  <c r="AA289" i="40"/>
  <c r="AE589" i="40"/>
  <c r="T589" i="40"/>
  <c r="S589" i="40"/>
  <c r="R389" i="40"/>
  <c r="AI389" i="40"/>
  <c r="E389" i="40"/>
  <c r="H289" i="40"/>
  <c r="AA589" i="40"/>
  <c r="G589" i="40"/>
  <c r="E589" i="40"/>
  <c r="F389" i="40"/>
  <c r="AE389" i="40"/>
  <c r="R189" i="40"/>
  <c r="Q389" i="40"/>
  <c r="U589" i="40"/>
  <c r="AG589" i="40"/>
  <c r="Z389" i="40"/>
  <c r="T389" i="40"/>
  <c r="AA389" i="40"/>
  <c r="Y389" i="40"/>
  <c r="F189" i="40"/>
  <c r="Q589" i="40"/>
  <c r="AI589" i="40"/>
  <c r="H589" i="40"/>
  <c r="Y589" i="40"/>
  <c r="AC589" i="40"/>
  <c r="V389" i="40"/>
  <c r="H389" i="40"/>
  <c r="U389" i="40"/>
  <c r="S389" i="40"/>
  <c r="T289" i="40"/>
  <c r="Z189" i="40"/>
  <c r="AG389" i="40"/>
  <c r="V589" i="40"/>
  <c r="U189" i="40"/>
  <c r="E189" i="40"/>
  <c r="H189" i="40"/>
  <c r="AG289" i="40"/>
  <c r="AC189" i="40"/>
  <c r="AC289" i="40"/>
  <c r="V289" i="40"/>
  <c r="G389" i="40"/>
  <c r="AE289" i="40"/>
  <c r="V189" i="40"/>
  <c r="KC103" i="40"/>
  <c r="AO688" i="40"/>
  <c r="AQ588" i="40"/>
  <c r="B190" i="75"/>
  <c r="H689" i="40"/>
  <c r="AC689" i="40"/>
  <c r="U689" i="40"/>
  <c r="T689" i="40"/>
  <c r="G689" i="40"/>
  <c r="V690" i="40"/>
  <c r="V689" i="40"/>
  <c r="Z689" i="40"/>
  <c r="AE689" i="40"/>
  <c r="F690" i="40"/>
  <c r="S689" i="40"/>
  <c r="AN688" i="40"/>
  <c r="IX609" i="40"/>
  <c r="HV109" i="40"/>
  <c r="AP423" i="40"/>
  <c r="AP109" i="40"/>
  <c r="M13" i="44"/>
  <c r="KD103" i="40"/>
  <c r="HM109" i="40"/>
  <c r="HP109" i="40" s="1"/>
  <c r="JC109" i="40"/>
  <c r="F14" i="44" s="1"/>
  <c r="HO109" i="40"/>
  <c r="HR109" i="40" s="1"/>
  <c r="AN423" i="40"/>
  <c r="AN109" i="40"/>
  <c r="HX108" i="40"/>
  <c r="AM400" i="40"/>
  <c r="AO423" i="40"/>
  <c r="AO109" i="40"/>
  <c r="IZ609" i="40"/>
  <c r="IP109" i="40"/>
  <c r="JB109" i="40" s="1"/>
  <c r="E14" i="44" s="1"/>
  <c r="C111" i="40"/>
  <c r="BX110" i="40"/>
  <c r="M110" i="40"/>
  <c r="AC110" i="40"/>
  <c r="G110" i="40"/>
  <c r="O110" i="40"/>
  <c r="AH110" i="40"/>
  <c r="BA110" i="40"/>
  <c r="BE110" i="40"/>
  <c r="BI110" i="40"/>
  <c r="BM110" i="40"/>
  <c r="BQ110" i="40"/>
  <c r="BU110" i="40"/>
  <c r="BZ110" i="40"/>
  <c r="CD110" i="40"/>
  <c r="CH110" i="40"/>
  <c r="DM110" i="40"/>
  <c r="DV110" i="40"/>
  <c r="K110" i="40"/>
  <c r="P110" i="40"/>
  <c r="AG110" i="40"/>
  <c r="I110" i="40"/>
  <c r="AD110" i="40"/>
  <c r="JF110" i="40"/>
  <c r="HO110" i="40" s="1"/>
  <c r="II110" i="40"/>
  <c r="IL110" i="40" s="1"/>
  <c r="AX110" i="40"/>
  <c r="BC110" i="40"/>
  <c r="BG110" i="40"/>
  <c r="BK110" i="40"/>
  <c r="BO110" i="40"/>
  <c r="BS110" i="40"/>
  <c r="BW110" i="40"/>
  <c r="CB110" i="40"/>
  <c r="CF110" i="40"/>
  <c r="A110" i="40"/>
  <c r="AA110" i="40"/>
  <c r="J110" i="40"/>
  <c r="AZ110" i="40"/>
  <c r="BH110" i="40"/>
  <c r="BP110" i="40"/>
  <c r="BY110" i="40"/>
  <c r="CG110" i="40"/>
  <c r="DS110" i="40"/>
  <c r="F110" i="40"/>
  <c r="AE110" i="40"/>
  <c r="AB110" i="40"/>
  <c r="IJ110" i="40"/>
  <c r="IM110" i="40" s="1"/>
  <c r="BB110" i="40"/>
  <c r="BJ110" i="40"/>
  <c r="BR110" i="40"/>
  <c r="CA110" i="40"/>
  <c r="DT110" i="40"/>
  <c r="L110" i="40"/>
  <c r="AI110" i="40"/>
  <c r="AF110" i="40"/>
  <c r="IK110" i="40"/>
  <c r="IN110" i="40" s="1"/>
  <c r="BD110" i="40"/>
  <c r="BL110" i="40"/>
  <c r="BT110" i="40"/>
  <c r="CC110" i="40"/>
  <c r="DU110" i="40"/>
  <c r="H110" i="40"/>
  <c r="BN110" i="40"/>
  <c r="DW110" i="40"/>
  <c r="AJ110" i="40"/>
  <c r="BV110" i="40"/>
  <c r="AW110" i="40"/>
  <c r="CE110" i="40"/>
  <c r="N110" i="40"/>
  <c r="BF110" i="40"/>
  <c r="IX110" i="40"/>
  <c r="JO110" i="40"/>
  <c r="IY110" i="40"/>
  <c r="IZ110" i="40"/>
  <c r="T110" i="40"/>
  <c r="U110" i="40"/>
  <c r="V110" i="40"/>
  <c r="S110" i="40"/>
  <c r="HZ110" i="40"/>
  <c r="HZ610" i="40" s="1"/>
  <c r="Q110" i="40"/>
  <c r="I38" i="58" s="1"/>
  <c r="I39" i="58" s="1"/>
  <c r="E110" i="40"/>
  <c r="HY110" i="40"/>
  <c r="HY610" i="40" s="1"/>
  <c r="R110" i="40"/>
  <c r="Z110" i="40"/>
  <c r="W110" i="40"/>
  <c r="IA110" i="40"/>
  <c r="IA610" i="40" s="1"/>
  <c r="JP110" i="40"/>
  <c r="X110" i="40"/>
  <c r="Y110" i="40"/>
  <c r="AN215" i="40"/>
  <c r="C217" i="40"/>
  <c r="K216" i="40"/>
  <c r="P216" i="40"/>
  <c r="AG216" i="40"/>
  <c r="I216" i="40"/>
  <c r="AH216" i="40"/>
  <c r="BA216" i="40"/>
  <c r="BE216" i="40"/>
  <c r="BI216" i="40"/>
  <c r="BM216" i="40"/>
  <c r="BQ216" i="40"/>
  <c r="BU216" i="40"/>
  <c r="BY216" i="40"/>
  <c r="CC216" i="40"/>
  <c r="CG216" i="40"/>
  <c r="DM216" i="40"/>
  <c r="DV216" i="40"/>
  <c r="L216" i="40"/>
  <c r="AA216" i="40"/>
  <c r="AI216" i="40"/>
  <c r="J216" i="40"/>
  <c r="AJ216" i="40"/>
  <c r="AW216" i="40"/>
  <c r="BB216" i="40"/>
  <c r="BF216" i="40"/>
  <c r="BJ216" i="40"/>
  <c r="BN216" i="40"/>
  <c r="BR216" i="40"/>
  <c r="BV216" i="40"/>
  <c r="BZ216" i="40"/>
  <c r="CD216" i="40"/>
  <c r="CH216" i="40"/>
  <c r="DS216" i="40"/>
  <c r="DW216" i="40"/>
  <c r="A216" i="40"/>
  <c r="AC216" i="40"/>
  <c r="O216" i="40"/>
  <c r="BC216" i="40"/>
  <c r="BK216" i="40"/>
  <c r="BS216" i="40"/>
  <c r="CA216" i="40"/>
  <c r="F216" i="40"/>
  <c r="AE216" i="40"/>
  <c r="AF216" i="40"/>
  <c r="BD216" i="40"/>
  <c r="BL216" i="40"/>
  <c r="BT216" i="40"/>
  <c r="CB216" i="40"/>
  <c r="M216" i="40"/>
  <c r="G216" i="40"/>
  <c r="AX216" i="40"/>
  <c r="BG216" i="40"/>
  <c r="BO216" i="40"/>
  <c r="BW216" i="40"/>
  <c r="CE216" i="40"/>
  <c r="DT216" i="40"/>
  <c r="AZ216" i="40"/>
  <c r="CF216" i="40"/>
  <c r="N216" i="40"/>
  <c r="BH216" i="40"/>
  <c r="DU216" i="40"/>
  <c r="H216" i="40"/>
  <c r="BP216" i="40"/>
  <c r="BX216" i="40"/>
  <c r="JO216" i="40"/>
  <c r="HY216" i="40"/>
  <c r="E216" i="40"/>
  <c r="U216" i="40"/>
  <c r="R216" i="40"/>
  <c r="HZ216" i="40"/>
  <c r="IA216" i="40"/>
  <c r="W216" i="40"/>
  <c r="T216" i="40"/>
  <c r="AB216" i="40"/>
  <c r="Q216" i="40"/>
  <c r="AD216" i="40"/>
  <c r="JP216" i="40"/>
  <c r="Z216" i="40"/>
  <c r="V216" i="40"/>
  <c r="S216" i="40"/>
  <c r="IZ216" i="40"/>
  <c r="X216" i="40"/>
  <c r="IY216" i="40"/>
  <c r="IX216" i="40"/>
  <c r="Y216" i="40"/>
  <c r="AM423" i="40"/>
  <c r="IY609" i="40"/>
  <c r="IO109" i="40"/>
  <c r="JA109" i="40" s="1"/>
  <c r="D14" i="44" s="1"/>
  <c r="K38" i="58"/>
  <c r="K39" i="58" s="1"/>
  <c r="HW108" i="40"/>
  <c r="B425" i="40"/>
  <c r="A424" i="40"/>
  <c r="AM109" i="40"/>
  <c r="JH108" i="40"/>
  <c r="AP215" i="40"/>
  <c r="AO215" i="40"/>
  <c r="AM215" i="40"/>
  <c r="O38" i="58"/>
  <c r="O39" i="58" s="1"/>
  <c r="JR689" i="40"/>
  <c r="JT689" i="40"/>
  <c r="JV689" i="40"/>
  <c r="JW689" i="40" s="1"/>
  <c r="JT691" i="40"/>
  <c r="JR691" i="40"/>
  <c r="JV691" i="40"/>
  <c r="JW691" i="40" s="1"/>
  <c r="JR699" i="40"/>
  <c r="JT699" i="40"/>
  <c r="JV699" i="40"/>
  <c r="JW699" i="40" s="1"/>
  <c r="JR700" i="40"/>
  <c r="JT700" i="40"/>
  <c r="JV700" i="40"/>
  <c r="JW700" i="40" s="1"/>
  <c r="JT695" i="40"/>
  <c r="JR695" i="40"/>
  <c r="JV695" i="40"/>
  <c r="JW695" i="40" s="1"/>
  <c r="JT697" i="40"/>
  <c r="JR697" i="40"/>
  <c r="JV697" i="40"/>
  <c r="JW697" i="40" s="1"/>
  <c r="JT694" i="40"/>
  <c r="JR694" i="40"/>
  <c r="JV694" i="40"/>
  <c r="JW694" i="40" s="1"/>
  <c r="JR693" i="40"/>
  <c r="JT693" i="40"/>
  <c r="JV693" i="40"/>
  <c r="JW693" i="40" s="1"/>
  <c r="JR698" i="40"/>
  <c r="JT698" i="40"/>
  <c r="JV698" i="40"/>
  <c r="JW698" i="40" s="1"/>
  <c r="JT692" i="40"/>
  <c r="JR692" i="40"/>
  <c r="JV692" i="40"/>
  <c r="JW692" i="40" s="1"/>
  <c r="JR690" i="40"/>
  <c r="JT690" i="40"/>
  <c r="JV690" i="40"/>
  <c r="JW690" i="40" s="1"/>
  <c r="JT696" i="40"/>
  <c r="JR696" i="40"/>
  <c r="JV696" i="40"/>
  <c r="JW696" i="40" s="1"/>
  <c r="C497" i="40" l="1"/>
  <c r="AW496" i="40"/>
  <c r="BB496" i="40"/>
  <c r="BF496" i="40"/>
  <c r="BJ496" i="40"/>
  <c r="BN496" i="40"/>
  <c r="BR496" i="40"/>
  <c r="BV496" i="40"/>
  <c r="BZ496" i="40"/>
  <c r="CD496" i="40"/>
  <c r="CH496" i="40"/>
  <c r="DT496" i="40"/>
  <c r="AX496" i="40"/>
  <c r="BC496" i="40"/>
  <c r="BG496" i="40"/>
  <c r="BK496" i="40"/>
  <c r="BO496" i="40"/>
  <c r="BS496" i="40"/>
  <c r="BW496" i="40"/>
  <c r="CA496" i="40"/>
  <c r="CE496" i="40"/>
  <c r="DU496" i="40"/>
  <c r="AZ496" i="40"/>
  <c r="BH496" i="40"/>
  <c r="BP496" i="40"/>
  <c r="BX496" i="40"/>
  <c r="CF496" i="40"/>
  <c r="DV496" i="40"/>
  <c r="BA496" i="40"/>
  <c r="BI496" i="40"/>
  <c r="BQ496" i="40"/>
  <c r="BY496" i="40"/>
  <c r="CG496" i="40"/>
  <c r="DW496" i="40"/>
  <c r="BD496" i="40"/>
  <c r="BL496" i="40"/>
  <c r="BT496" i="40"/>
  <c r="CB496" i="40"/>
  <c r="DM496" i="40"/>
  <c r="BE496" i="40"/>
  <c r="DS496" i="40"/>
  <c r="BM496" i="40"/>
  <c r="CC496" i="40"/>
  <c r="BU496" i="40"/>
  <c r="Z690" i="40"/>
  <c r="AC690" i="40"/>
  <c r="U690" i="40"/>
  <c r="AA190" i="40"/>
  <c r="AE390" i="40"/>
  <c r="F190" i="40"/>
  <c r="D423" i="40"/>
  <c r="AA290" i="40"/>
  <c r="V390" i="40"/>
  <c r="AE590" i="40"/>
  <c r="E390" i="40"/>
  <c r="H190" i="40"/>
  <c r="Q190" i="40"/>
  <c r="F590" i="40"/>
  <c r="Q390" i="40"/>
  <c r="V590" i="40"/>
  <c r="S190" i="40"/>
  <c r="U290" i="40"/>
  <c r="Z590" i="40"/>
  <c r="G190" i="40"/>
  <c r="AG190" i="40"/>
  <c r="E190" i="40"/>
  <c r="AG290" i="40"/>
  <c r="Y390" i="40"/>
  <c r="AI290" i="40"/>
  <c r="AA390" i="40"/>
  <c r="U190" i="40"/>
  <c r="R290" i="40"/>
  <c r="E590" i="40"/>
  <c r="H390" i="40"/>
  <c r="R190" i="40"/>
  <c r="G590" i="40"/>
  <c r="Q290" i="40"/>
  <c r="AE190" i="40"/>
  <c r="S390" i="40"/>
  <c r="AE290" i="40"/>
  <c r="AI190" i="40"/>
  <c r="F290" i="40"/>
  <c r="AC290" i="40"/>
  <c r="AG390" i="40"/>
  <c r="T290" i="40"/>
  <c r="AI590" i="40"/>
  <c r="AI390" i="40"/>
  <c r="Z290" i="40"/>
  <c r="V190" i="40"/>
  <c r="Y190" i="40"/>
  <c r="Y290" i="40"/>
  <c r="S290" i="40"/>
  <c r="AA590" i="40"/>
  <c r="R390" i="40"/>
  <c r="T390" i="40"/>
  <c r="U590" i="40"/>
  <c r="AP590" i="40" s="1"/>
  <c r="Q590" i="40"/>
  <c r="H590" i="40"/>
  <c r="AC190" i="40"/>
  <c r="T190" i="40"/>
  <c r="G290" i="40"/>
  <c r="E290" i="40"/>
  <c r="Y590" i="40"/>
  <c r="S590" i="40"/>
  <c r="T590" i="40"/>
  <c r="F390" i="40"/>
  <c r="G390" i="40"/>
  <c r="U390" i="40"/>
  <c r="AG590" i="40"/>
  <c r="Z390" i="40"/>
  <c r="V290" i="40"/>
  <c r="R590" i="40"/>
  <c r="Z190" i="40"/>
  <c r="AC590" i="40"/>
  <c r="H290" i="40"/>
  <c r="AC390" i="40"/>
  <c r="KE103" i="40"/>
  <c r="KC104" i="40" s="1"/>
  <c r="HM110" i="40"/>
  <c r="HP110" i="40" s="1"/>
  <c r="HN110" i="40"/>
  <c r="HQ110" i="40" s="1"/>
  <c r="AQ389" i="40"/>
  <c r="AN589" i="40"/>
  <c r="AP389" i="40"/>
  <c r="D389" i="40" s="1"/>
  <c r="AP689" i="40"/>
  <c r="AQ589" i="40"/>
  <c r="AO689" i="40"/>
  <c r="AN389" i="40"/>
  <c r="AO389" i="40"/>
  <c r="AP589" i="40"/>
  <c r="AP690" i="40"/>
  <c r="B191" i="75"/>
  <c r="F591" i="40" s="1"/>
  <c r="AE690" i="40"/>
  <c r="H691" i="40"/>
  <c r="I690" i="40"/>
  <c r="R690" i="40"/>
  <c r="Q690" i="40"/>
  <c r="AE691" i="40"/>
  <c r="R691" i="40"/>
  <c r="E691" i="40"/>
  <c r="Y690" i="40"/>
  <c r="U691" i="40"/>
  <c r="AC691" i="40"/>
  <c r="Q691" i="40"/>
  <c r="E690" i="40"/>
  <c r="S690" i="40"/>
  <c r="Y691" i="40"/>
  <c r="H690" i="40"/>
  <c r="G691" i="40"/>
  <c r="T690" i="40"/>
  <c r="AO589" i="40"/>
  <c r="AQ689" i="40"/>
  <c r="AN689" i="40"/>
  <c r="HW109" i="40"/>
  <c r="HX109" i="40"/>
  <c r="AP424" i="40"/>
  <c r="IX610" i="40"/>
  <c r="HX110" i="40"/>
  <c r="D109" i="40"/>
  <c r="D20" i="70" s="1"/>
  <c r="IO110" i="40"/>
  <c r="JA110" i="40" s="1"/>
  <c r="D15" i="44" s="1"/>
  <c r="F38" i="58"/>
  <c r="F39" i="58" s="1"/>
  <c r="IZ610" i="40"/>
  <c r="M14" i="44"/>
  <c r="JJ108" i="40"/>
  <c r="AN424" i="40"/>
  <c r="AP216" i="40"/>
  <c r="AM216" i="40"/>
  <c r="AP110" i="40"/>
  <c r="AO110" i="40"/>
  <c r="IQ110" i="40"/>
  <c r="JC110" i="40" s="1"/>
  <c r="F15" i="44" s="1"/>
  <c r="AM110" i="40"/>
  <c r="AN216" i="40"/>
  <c r="C218" i="40"/>
  <c r="K217" i="40"/>
  <c r="P217" i="40"/>
  <c r="AG217" i="40"/>
  <c r="I217" i="40"/>
  <c r="AH217" i="40"/>
  <c r="AZ217" i="40"/>
  <c r="BD217" i="40"/>
  <c r="BH217" i="40"/>
  <c r="BL217" i="40"/>
  <c r="BP217" i="40"/>
  <c r="BT217" i="40"/>
  <c r="BX217" i="40"/>
  <c r="CB217" i="40"/>
  <c r="CF217" i="40"/>
  <c r="DT217" i="40"/>
  <c r="L217" i="40"/>
  <c r="AA217" i="40"/>
  <c r="AI217" i="40"/>
  <c r="J217" i="40"/>
  <c r="AJ217" i="40"/>
  <c r="BA217" i="40"/>
  <c r="BE217" i="40"/>
  <c r="BI217" i="40"/>
  <c r="BM217" i="40"/>
  <c r="BQ217" i="40"/>
  <c r="BU217" i="40"/>
  <c r="BY217" i="40"/>
  <c r="CC217" i="40"/>
  <c r="CG217" i="40"/>
  <c r="DU217" i="40"/>
  <c r="A217" i="40"/>
  <c r="AC217" i="40"/>
  <c r="O217" i="40"/>
  <c r="BB217" i="40"/>
  <c r="BJ217" i="40"/>
  <c r="BR217" i="40"/>
  <c r="BZ217" i="40"/>
  <c r="CH217" i="40"/>
  <c r="DV217" i="40"/>
  <c r="F217" i="40"/>
  <c r="AE217" i="40"/>
  <c r="AF217" i="40"/>
  <c r="BC217" i="40"/>
  <c r="BK217" i="40"/>
  <c r="BS217" i="40"/>
  <c r="CA217" i="40"/>
  <c r="DW217" i="40"/>
  <c r="M217" i="40"/>
  <c r="G217" i="40"/>
  <c r="AW217" i="40"/>
  <c r="BF217" i="40"/>
  <c r="BN217" i="40"/>
  <c r="BV217" i="40"/>
  <c r="CD217" i="40"/>
  <c r="DM217" i="40"/>
  <c r="BW217" i="40"/>
  <c r="AX217" i="40"/>
  <c r="CE217" i="40"/>
  <c r="N217" i="40"/>
  <c r="BG217" i="40"/>
  <c r="DS217" i="40"/>
  <c r="H217" i="40"/>
  <c r="BO217" i="40"/>
  <c r="JO217" i="40"/>
  <c r="AB217" i="40"/>
  <c r="AD217" i="40"/>
  <c r="E217" i="40"/>
  <c r="V217" i="40"/>
  <c r="U217" i="40"/>
  <c r="T217" i="40"/>
  <c r="R217" i="40"/>
  <c r="HZ217" i="40"/>
  <c r="HY217" i="40"/>
  <c r="Z217" i="40"/>
  <c r="S217" i="40"/>
  <c r="W217" i="40"/>
  <c r="JP217" i="40"/>
  <c r="IA217" i="40"/>
  <c r="Q217" i="40"/>
  <c r="IX217" i="40"/>
  <c r="IZ217" i="40"/>
  <c r="IY217" i="40"/>
  <c r="X217" i="40"/>
  <c r="Y217" i="40"/>
  <c r="IY610" i="40"/>
  <c r="L38" i="58"/>
  <c r="L39" i="58" s="1"/>
  <c r="AO424" i="40"/>
  <c r="B426" i="40"/>
  <c r="A425" i="40"/>
  <c r="AO216" i="40"/>
  <c r="AN110" i="40"/>
  <c r="IP110" i="40"/>
  <c r="JB110" i="40" s="1"/>
  <c r="E15" i="44" s="1"/>
  <c r="C112" i="40"/>
  <c r="F111" i="40"/>
  <c r="N111" i="40"/>
  <c r="AE111" i="40"/>
  <c r="H111" i="40"/>
  <c r="AB111" i="40"/>
  <c r="AJ111" i="40"/>
  <c r="IJ111" i="40"/>
  <c r="IM111" i="40" s="1"/>
  <c r="AW111" i="40"/>
  <c r="BB111" i="40"/>
  <c r="BF111" i="40"/>
  <c r="BJ111" i="40"/>
  <c r="BN111" i="40"/>
  <c r="BR111" i="40"/>
  <c r="BV111" i="40"/>
  <c r="CA111" i="40"/>
  <c r="CE111" i="40"/>
  <c r="DM111" i="40"/>
  <c r="DV111" i="40"/>
  <c r="A111" i="40"/>
  <c r="M111" i="40"/>
  <c r="AG111" i="40"/>
  <c r="J111" i="40"/>
  <c r="AH111" i="40"/>
  <c r="II111" i="40"/>
  <c r="IL111" i="40" s="1"/>
  <c r="AZ111" i="40"/>
  <c r="BE111" i="40"/>
  <c r="BK111" i="40"/>
  <c r="BP111" i="40"/>
  <c r="BU111" i="40"/>
  <c r="CB111" i="40"/>
  <c r="CG111" i="40"/>
  <c r="DW111" i="40"/>
  <c r="BX111" i="40"/>
  <c r="E111" i="40" s="1"/>
  <c r="P111" i="40"/>
  <c r="AI111" i="40"/>
  <c r="O111" i="40"/>
  <c r="JF111" i="40"/>
  <c r="HN111" i="40" s="1"/>
  <c r="IK111" i="40"/>
  <c r="IN111" i="40" s="1"/>
  <c r="BA111" i="40"/>
  <c r="BG111" i="40"/>
  <c r="BL111" i="40"/>
  <c r="BQ111" i="40"/>
  <c r="BW111" i="40"/>
  <c r="CC111" i="40"/>
  <c r="CH111" i="40"/>
  <c r="DS111" i="40"/>
  <c r="K111" i="40"/>
  <c r="AA111" i="40"/>
  <c r="G111" i="40"/>
  <c r="AD111" i="40"/>
  <c r="BC111" i="40"/>
  <c r="BH111" i="40"/>
  <c r="BM111" i="40"/>
  <c r="BS111" i="40"/>
  <c r="BY111" i="40"/>
  <c r="CD111" i="40"/>
  <c r="DT111" i="40"/>
  <c r="AF111" i="40"/>
  <c r="BI111" i="40"/>
  <c r="CF111" i="40"/>
  <c r="L111" i="40"/>
  <c r="BO111" i="40"/>
  <c r="AC111" i="40"/>
  <c r="AX111" i="40"/>
  <c r="BT111" i="40"/>
  <c r="DU111" i="40"/>
  <c r="BZ111" i="40"/>
  <c r="I111" i="40"/>
  <c r="BD111" i="40"/>
  <c r="JO111" i="40"/>
  <c r="IZ111" i="40"/>
  <c r="IY111" i="40"/>
  <c r="IX111" i="40"/>
  <c r="T111" i="40"/>
  <c r="V111" i="40"/>
  <c r="W111" i="40"/>
  <c r="IA111" i="40"/>
  <c r="IA611" i="40" s="1"/>
  <c r="HZ111" i="40"/>
  <c r="HZ611" i="40" s="1"/>
  <c r="R111" i="40"/>
  <c r="U111" i="40"/>
  <c r="S111" i="40"/>
  <c r="Q111" i="40"/>
  <c r="HY111" i="40"/>
  <c r="HY611" i="40" s="1"/>
  <c r="Z111" i="40"/>
  <c r="X111" i="40"/>
  <c r="JP111" i="40"/>
  <c r="Y111" i="40"/>
  <c r="M38" i="58"/>
  <c r="M39" i="58" s="1"/>
  <c r="N38" i="58"/>
  <c r="N39" i="58" s="1"/>
  <c r="AM424" i="40"/>
  <c r="D424" i="40" s="1"/>
  <c r="JH109" i="40"/>
  <c r="AK110" i="40"/>
  <c r="AL110" i="40"/>
  <c r="HR110" i="40"/>
  <c r="H38" i="58"/>
  <c r="KG103" i="40" l="1"/>
  <c r="HS176" i="40" s="1"/>
  <c r="AN590" i="40"/>
  <c r="AP390" i="40"/>
  <c r="AN390" i="40"/>
  <c r="AQ590" i="40"/>
  <c r="AQ390" i="40"/>
  <c r="AO590" i="40"/>
  <c r="C498" i="40"/>
  <c r="AW497" i="40"/>
  <c r="BB497" i="40"/>
  <c r="BF497" i="40"/>
  <c r="BJ497" i="40"/>
  <c r="BN497" i="40"/>
  <c r="BR497" i="40"/>
  <c r="BV497" i="40"/>
  <c r="BZ497" i="40"/>
  <c r="AX497" i="40"/>
  <c r="BC497" i="40"/>
  <c r="BG497" i="40"/>
  <c r="BK497" i="40"/>
  <c r="BO497" i="40"/>
  <c r="BS497" i="40"/>
  <c r="BW497" i="40"/>
  <c r="CA497" i="40"/>
  <c r="BD497" i="40"/>
  <c r="BL497" i="40"/>
  <c r="BT497" i="40"/>
  <c r="CB497" i="40"/>
  <c r="CF497" i="40"/>
  <c r="DM497" i="40"/>
  <c r="DV497" i="40"/>
  <c r="BE497" i="40"/>
  <c r="BM497" i="40"/>
  <c r="BU497" i="40"/>
  <c r="CC497" i="40"/>
  <c r="CG497" i="40"/>
  <c r="DS497" i="40"/>
  <c r="DW497" i="40"/>
  <c r="AZ497" i="40"/>
  <c r="BH497" i="40"/>
  <c r="BP497" i="40"/>
  <c r="BX497" i="40"/>
  <c r="CD497" i="40"/>
  <c r="CH497" i="40"/>
  <c r="DT497" i="40"/>
  <c r="BY497" i="40"/>
  <c r="BQ497" i="40"/>
  <c r="BA497" i="40"/>
  <c r="CE497" i="40"/>
  <c r="DU497" i="40"/>
  <c r="BI497" i="40"/>
  <c r="AO390" i="40"/>
  <c r="D390" i="40"/>
  <c r="AA391" i="40"/>
  <c r="AC291" i="40"/>
  <c r="AC191" i="40"/>
  <c r="AG391" i="40"/>
  <c r="E591" i="40"/>
  <c r="U391" i="40"/>
  <c r="U291" i="40"/>
  <c r="Z391" i="40"/>
  <c r="AG191" i="40"/>
  <c r="T591" i="40"/>
  <c r="H191" i="40"/>
  <c r="R191" i="40"/>
  <c r="H291" i="40"/>
  <c r="Q391" i="40"/>
  <c r="Q291" i="40"/>
  <c r="S191" i="40"/>
  <c r="F391" i="40"/>
  <c r="F291" i="40"/>
  <c r="Y191" i="40"/>
  <c r="AG291" i="40"/>
  <c r="Z191" i="40"/>
  <c r="F191" i="40"/>
  <c r="V391" i="40"/>
  <c r="AA591" i="40"/>
  <c r="AA191" i="40"/>
  <c r="Z591" i="40"/>
  <c r="AE591" i="40"/>
  <c r="V591" i="40"/>
  <c r="Q191" i="40"/>
  <c r="R291" i="40"/>
  <c r="S591" i="40"/>
  <c r="V291" i="40"/>
  <c r="T391" i="40"/>
  <c r="G191" i="40"/>
  <c r="S391" i="40"/>
  <c r="V191" i="40"/>
  <c r="R391" i="40"/>
  <c r="H591" i="40"/>
  <c r="G391" i="40"/>
  <c r="AC391" i="40"/>
  <c r="AI391" i="40"/>
  <c r="AE291" i="40"/>
  <c r="E191" i="40"/>
  <c r="AA291" i="40"/>
  <c r="AI191" i="40"/>
  <c r="E391" i="40"/>
  <c r="Q591" i="40"/>
  <c r="AG591" i="40"/>
  <c r="S291" i="40"/>
  <c r="Y291" i="40"/>
  <c r="AC591" i="40"/>
  <c r="U191" i="40"/>
  <c r="H391" i="40"/>
  <c r="AI291" i="40"/>
  <c r="AI591" i="40"/>
  <c r="AE391" i="40"/>
  <c r="R591" i="40"/>
  <c r="AE191" i="40"/>
  <c r="E291" i="40"/>
  <c r="U591" i="40"/>
  <c r="T191" i="40"/>
  <c r="R192" i="40"/>
  <c r="Z291" i="40"/>
  <c r="G591" i="40"/>
  <c r="Y391" i="40"/>
  <c r="T291" i="40"/>
  <c r="AE392" i="40"/>
  <c r="AE592" i="40"/>
  <c r="G291" i="40"/>
  <c r="G192" i="40"/>
  <c r="F592" i="40"/>
  <c r="Y591" i="40"/>
  <c r="HS178" i="40"/>
  <c r="HS180" i="40"/>
  <c r="HS182" i="40"/>
  <c r="B192" i="75"/>
  <c r="Z691" i="40"/>
  <c r="Z692" i="40"/>
  <c r="T691" i="40"/>
  <c r="V691" i="40"/>
  <c r="H692" i="40"/>
  <c r="F691" i="40"/>
  <c r="AE692" i="40"/>
  <c r="Q692" i="40"/>
  <c r="I692" i="40"/>
  <c r="S691" i="40"/>
  <c r="T692" i="40"/>
  <c r="I691" i="40"/>
  <c r="AQ691" i="40"/>
  <c r="AN690" i="40"/>
  <c r="AO690" i="40"/>
  <c r="JJ109" i="40"/>
  <c r="HW110" i="40"/>
  <c r="HV110" i="40"/>
  <c r="D110" i="40"/>
  <c r="AY110" i="40" s="1"/>
  <c r="AY109" i="40"/>
  <c r="IQ111" i="40"/>
  <c r="JC111" i="40" s="1"/>
  <c r="F16" i="44" s="1"/>
  <c r="AP111" i="40"/>
  <c r="HX111" i="40"/>
  <c r="AP217" i="40"/>
  <c r="HO111" i="40"/>
  <c r="HR111" i="40" s="1"/>
  <c r="HM111" i="40"/>
  <c r="HP111" i="40" s="1"/>
  <c r="IX611" i="40"/>
  <c r="IP111" i="40"/>
  <c r="JB111" i="40" s="1"/>
  <c r="E16" i="44" s="1"/>
  <c r="HQ111" i="40"/>
  <c r="AN425" i="40"/>
  <c r="AM425" i="40"/>
  <c r="JH110" i="40"/>
  <c r="IY611" i="40"/>
  <c r="IO111" i="40"/>
  <c r="JA111" i="40" s="1"/>
  <c r="D16" i="44" s="1"/>
  <c r="AO425" i="40"/>
  <c r="AN217" i="40"/>
  <c r="AN111" i="40"/>
  <c r="IZ611" i="40"/>
  <c r="AM111" i="40"/>
  <c r="C113" i="40"/>
  <c r="F112" i="40"/>
  <c r="N112" i="40"/>
  <c r="AE112" i="40"/>
  <c r="H112" i="40"/>
  <c r="AB112" i="40"/>
  <c r="AJ112" i="40"/>
  <c r="IJ112" i="40"/>
  <c r="IM112" i="40" s="1"/>
  <c r="AW112" i="40"/>
  <c r="BB112" i="40"/>
  <c r="BF112" i="40"/>
  <c r="BJ112" i="40"/>
  <c r="BN112" i="40"/>
  <c r="BR112" i="40"/>
  <c r="BV112" i="40"/>
  <c r="CA112" i="40"/>
  <c r="CE112" i="40"/>
  <c r="DM112" i="40"/>
  <c r="DV112" i="40"/>
  <c r="L112" i="40"/>
  <c r="AC112" i="40"/>
  <c r="I112" i="40"/>
  <c r="AF112" i="40"/>
  <c r="AX112" i="40"/>
  <c r="BD112" i="40"/>
  <c r="BI112" i="40"/>
  <c r="BO112" i="40"/>
  <c r="BT112" i="40"/>
  <c r="BZ112" i="40"/>
  <c r="CF112" i="40"/>
  <c r="DU112" i="40"/>
  <c r="A112" i="40"/>
  <c r="M112" i="40"/>
  <c r="AG112" i="40"/>
  <c r="J112" i="40"/>
  <c r="AH112" i="40"/>
  <c r="II112" i="40"/>
  <c r="IL112" i="40" s="1"/>
  <c r="AZ112" i="40"/>
  <c r="BE112" i="40"/>
  <c r="BK112" i="40"/>
  <c r="BP112" i="40"/>
  <c r="BU112" i="40"/>
  <c r="CB112" i="40"/>
  <c r="CG112" i="40"/>
  <c r="DW112" i="40"/>
  <c r="BX112" i="40"/>
  <c r="E112" i="40" s="1"/>
  <c r="P112" i="40"/>
  <c r="AI112" i="40"/>
  <c r="O112" i="40"/>
  <c r="JF112" i="40"/>
  <c r="HN112" i="40" s="1"/>
  <c r="IK112" i="40"/>
  <c r="IN112" i="40" s="1"/>
  <c r="BA112" i="40"/>
  <c r="BG112" i="40"/>
  <c r="BL112" i="40"/>
  <c r="BQ112" i="40"/>
  <c r="BW112" i="40"/>
  <c r="CC112" i="40"/>
  <c r="CH112" i="40"/>
  <c r="DS112" i="40"/>
  <c r="AA112" i="40"/>
  <c r="BS112" i="40"/>
  <c r="DT112" i="40"/>
  <c r="G112" i="40"/>
  <c r="BC112" i="40"/>
  <c r="BY112" i="40"/>
  <c r="AD112" i="40"/>
  <c r="BH112" i="40"/>
  <c r="CD112" i="40"/>
  <c r="K112" i="40"/>
  <c r="BM112" i="40"/>
  <c r="IZ112" i="40"/>
  <c r="IX112" i="40"/>
  <c r="JO112" i="40"/>
  <c r="IY112" i="40"/>
  <c r="R112" i="40"/>
  <c r="Z112" i="40"/>
  <c r="W112" i="40"/>
  <c r="T112" i="40"/>
  <c r="U112" i="40"/>
  <c r="V112" i="40"/>
  <c r="S112" i="40"/>
  <c r="HO112" i="40"/>
  <c r="IA112" i="40"/>
  <c r="IA612" i="40" s="1"/>
  <c r="HY112" i="40"/>
  <c r="HY612" i="40" s="1"/>
  <c r="Q112" i="40"/>
  <c r="I46" i="58" s="1"/>
  <c r="I47" i="58" s="1"/>
  <c r="HZ112" i="40"/>
  <c r="HZ612" i="40" s="1"/>
  <c r="JP112" i="40"/>
  <c r="X112" i="40"/>
  <c r="Y112" i="40"/>
  <c r="AP425" i="40"/>
  <c r="B427" i="40"/>
  <c r="A426" i="40"/>
  <c r="AO217" i="40"/>
  <c r="AM217" i="40"/>
  <c r="AL111" i="40"/>
  <c r="AK111" i="40"/>
  <c r="AO111" i="40"/>
  <c r="M15" i="44"/>
  <c r="C219" i="40"/>
  <c r="A218" i="40"/>
  <c r="M218" i="40"/>
  <c r="AC218" i="40"/>
  <c r="G218" i="40"/>
  <c r="O218" i="40"/>
  <c r="AX218" i="40"/>
  <c r="BC218" i="40"/>
  <c r="BG218" i="40"/>
  <c r="BK218" i="40"/>
  <c r="BO218" i="40"/>
  <c r="BS218" i="40"/>
  <c r="BW218" i="40"/>
  <c r="CA218" i="40"/>
  <c r="CE218" i="40"/>
  <c r="DU218" i="40"/>
  <c r="F218" i="40"/>
  <c r="N218" i="40"/>
  <c r="AG218" i="40"/>
  <c r="J218" i="40"/>
  <c r="BB218" i="40"/>
  <c r="BH218" i="40"/>
  <c r="BM218" i="40"/>
  <c r="BR218" i="40"/>
  <c r="BX218" i="40"/>
  <c r="CC218" i="40"/>
  <c r="CH218" i="40"/>
  <c r="DV218" i="40"/>
  <c r="P218" i="40"/>
  <c r="AI218" i="40"/>
  <c r="AF218" i="40"/>
  <c r="AW218" i="40"/>
  <c r="BD218" i="40"/>
  <c r="BI218" i="40"/>
  <c r="BN218" i="40"/>
  <c r="BT218" i="40"/>
  <c r="BY218" i="40"/>
  <c r="CD218" i="40"/>
  <c r="DM218" i="40"/>
  <c r="DW218" i="40"/>
  <c r="K218" i="40"/>
  <c r="AA218" i="40"/>
  <c r="H218" i="40"/>
  <c r="AH218" i="40"/>
  <c r="AZ218" i="40"/>
  <c r="BE218" i="40"/>
  <c r="BJ218" i="40"/>
  <c r="BP218" i="40"/>
  <c r="BU218" i="40"/>
  <c r="BZ218" i="40"/>
  <c r="CF218" i="40"/>
  <c r="DS218" i="40"/>
  <c r="AE218" i="40"/>
  <c r="BA218" i="40"/>
  <c r="BV218" i="40"/>
  <c r="I218" i="40"/>
  <c r="BF218" i="40"/>
  <c r="CB218" i="40"/>
  <c r="AJ218" i="40"/>
  <c r="BL218" i="40"/>
  <c r="CG218" i="40"/>
  <c r="L218" i="40"/>
  <c r="BQ218" i="40"/>
  <c r="JO218" i="40"/>
  <c r="DT218" i="40"/>
  <c r="Z218" i="40"/>
  <c r="S218" i="40"/>
  <c r="W218" i="40"/>
  <c r="AB218" i="40"/>
  <c r="E218" i="40"/>
  <c r="HY218" i="40"/>
  <c r="U218" i="40"/>
  <c r="R218" i="40"/>
  <c r="JP218" i="40"/>
  <c r="T218" i="40"/>
  <c r="AD218" i="40"/>
  <c r="HZ218" i="40"/>
  <c r="IA218" i="40"/>
  <c r="Q218" i="40"/>
  <c r="V218" i="40"/>
  <c r="X218" i="40"/>
  <c r="IY218" i="40"/>
  <c r="IZ218" i="40"/>
  <c r="IX218" i="40"/>
  <c r="Y218" i="40"/>
  <c r="HS103" i="40"/>
  <c r="HS105" i="40"/>
  <c r="HS106" i="40"/>
  <c r="HS111" i="40"/>
  <c r="HS108" i="40"/>
  <c r="HS104" i="40"/>
  <c r="HS107" i="40"/>
  <c r="HS109" i="40"/>
  <c r="HS101" i="40"/>
  <c r="HS102" i="40"/>
  <c r="HS110" i="40"/>
  <c r="KD104" i="40"/>
  <c r="KE104" i="40" s="1"/>
  <c r="HS181" i="40" l="1"/>
  <c r="HS177" i="40"/>
  <c r="HS179" i="40"/>
  <c r="AQ591" i="40"/>
  <c r="C499" i="40"/>
  <c r="AZ498" i="40"/>
  <c r="BD498" i="40"/>
  <c r="BH498" i="40"/>
  <c r="BL498" i="40"/>
  <c r="BP498" i="40"/>
  <c r="BT498" i="40"/>
  <c r="BX498" i="40"/>
  <c r="CB498" i="40"/>
  <c r="CF498" i="40"/>
  <c r="DM498" i="40"/>
  <c r="DV498" i="40"/>
  <c r="BA498" i="40"/>
  <c r="BE498" i="40"/>
  <c r="BI498" i="40"/>
  <c r="BM498" i="40"/>
  <c r="BQ498" i="40"/>
  <c r="BU498" i="40"/>
  <c r="BY498" i="40"/>
  <c r="CC498" i="40"/>
  <c r="CG498" i="40"/>
  <c r="DS498" i="40"/>
  <c r="DW498" i="40"/>
  <c r="AW498" i="40"/>
  <c r="BB498" i="40"/>
  <c r="BF498" i="40"/>
  <c r="BJ498" i="40"/>
  <c r="BN498" i="40"/>
  <c r="BR498" i="40"/>
  <c r="BV498" i="40"/>
  <c r="BZ498" i="40"/>
  <c r="CD498" i="40"/>
  <c r="CH498" i="40"/>
  <c r="DT498" i="40"/>
  <c r="AX498" i="40"/>
  <c r="BO498" i="40"/>
  <c r="CE498" i="40"/>
  <c r="BK498" i="40"/>
  <c r="BC498" i="40"/>
  <c r="BS498" i="40"/>
  <c r="CA498" i="40"/>
  <c r="BG498" i="40"/>
  <c r="BW498" i="40"/>
  <c r="DU498" i="40"/>
  <c r="T393" i="40"/>
  <c r="G392" i="40"/>
  <c r="Q392" i="40"/>
  <c r="Q592" i="40"/>
  <c r="Z293" i="40"/>
  <c r="E392" i="40"/>
  <c r="AC592" i="40"/>
  <c r="Y192" i="40"/>
  <c r="S592" i="40"/>
  <c r="F392" i="40"/>
  <c r="AI192" i="40"/>
  <c r="Q193" i="40"/>
  <c r="S192" i="40"/>
  <c r="V292" i="40"/>
  <c r="F192" i="40"/>
  <c r="E292" i="40"/>
  <c r="Z392" i="40"/>
  <c r="F193" i="40"/>
  <c r="AA592" i="40"/>
  <c r="E293" i="40"/>
  <c r="U592" i="40"/>
  <c r="V392" i="40"/>
  <c r="G292" i="40"/>
  <c r="H392" i="40"/>
  <c r="AI592" i="40"/>
  <c r="Y592" i="40"/>
  <c r="AI392" i="40"/>
  <c r="E593" i="40"/>
  <c r="AG592" i="40"/>
  <c r="E192" i="40"/>
  <c r="T192" i="40"/>
  <c r="Y392" i="40"/>
  <c r="H592" i="40"/>
  <c r="R392" i="40"/>
  <c r="T392" i="40"/>
  <c r="S292" i="40"/>
  <c r="Q192" i="40"/>
  <c r="U393" i="40"/>
  <c r="F292" i="40"/>
  <c r="AA392" i="40"/>
  <c r="Y393" i="40"/>
  <c r="AG392" i="40"/>
  <c r="AE193" i="40"/>
  <c r="R292" i="40"/>
  <c r="AI292" i="40"/>
  <c r="T592" i="40"/>
  <c r="AG292" i="40"/>
  <c r="U192" i="40"/>
  <c r="U392" i="40"/>
  <c r="Z192" i="40"/>
  <c r="S392" i="40"/>
  <c r="AI593" i="40"/>
  <c r="AG193" i="40"/>
  <c r="U593" i="40"/>
  <c r="U292" i="40"/>
  <c r="T293" i="40"/>
  <c r="Z292" i="40"/>
  <c r="F293" i="40"/>
  <c r="U293" i="40"/>
  <c r="AA292" i="40"/>
  <c r="H192" i="40"/>
  <c r="AC392" i="40"/>
  <c r="Q292" i="40"/>
  <c r="H292" i="40"/>
  <c r="AA192" i="40"/>
  <c r="H193" i="40"/>
  <c r="Y292" i="40"/>
  <c r="AG192" i="40"/>
  <c r="E592" i="40"/>
  <c r="AE192" i="40"/>
  <c r="T292" i="40"/>
  <c r="AC192" i="40"/>
  <c r="AE292" i="40"/>
  <c r="H293" i="40"/>
  <c r="AC292" i="40"/>
  <c r="G592" i="40"/>
  <c r="D425" i="40"/>
  <c r="AO391" i="40"/>
  <c r="AQ391" i="40"/>
  <c r="B193" i="75"/>
  <c r="R693" i="40"/>
  <c r="E692" i="40"/>
  <c r="G693" i="40"/>
  <c r="V692" i="40"/>
  <c r="R692" i="40"/>
  <c r="Y692" i="40"/>
  <c r="F692" i="40"/>
  <c r="AC692" i="40"/>
  <c r="S693" i="40"/>
  <c r="E693" i="40"/>
  <c r="Y693" i="40"/>
  <c r="U692" i="40"/>
  <c r="G692" i="40"/>
  <c r="AE693" i="40"/>
  <c r="AP391" i="40"/>
  <c r="D391" i="40" s="1"/>
  <c r="AO691" i="40"/>
  <c r="AP691" i="40"/>
  <c r="AO591" i="40"/>
  <c r="AN391" i="40"/>
  <c r="AN591" i="40"/>
  <c r="AP591" i="40"/>
  <c r="AN691" i="40"/>
  <c r="JJ110" i="40"/>
  <c r="D21" i="70"/>
  <c r="D111" i="40"/>
  <c r="AY111" i="40" s="1"/>
  <c r="AP112" i="40"/>
  <c r="HX112" i="40"/>
  <c r="IQ112" i="40"/>
  <c r="JC112" i="40" s="1"/>
  <c r="AP218" i="40"/>
  <c r="HS112" i="40"/>
  <c r="M16" i="44"/>
  <c r="AK112" i="40"/>
  <c r="AL112" i="40"/>
  <c r="HM112" i="40"/>
  <c r="IZ612" i="40"/>
  <c r="IP112" i="40"/>
  <c r="JB112" i="40" s="1"/>
  <c r="E17" i="44" s="1"/>
  <c r="HV111" i="40"/>
  <c r="AN218" i="40"/>
  <c r="JH111" i="40"/>
  <c r="AP426" i="40"/>
  <c r="AO426" i="40"/>
  <c r="AM426" i="40"/>
  <c r="D426" i="40" s="1"/>
  <c r="HR112" i="40"/>
  <c r="IY612" i="40"/>
  <c r="HQ112" i="40"/>
  <c r="HW111" i="40"/>
  <c r="C220" i="40"/>
  <c r="K219" i="40"/>
  <c r="P219" i="40"/>
  <c r="AG219" i="40"/>
  <c r="I219" i="40"/>
  <c r="AH219" i="40"/>
  <c r="BA219" i="40"/>
  <c r="BE219" i="40"/>
  <c r="BI219" i="40"/>
  <c r="BM219" i="40"/>
  <c r="BQ219" i="40"/>
  <c r="BU219" i="40"/>
  <c r="BY219" i="40"/>
  <c r="CC219" i="40"/>
  <c r="CG219" i="40"/>
  <c r="DM219" i="40"/>
  <c r="DV219" i="40"/>
  <c r="L219" i="40"/>
  <c r="AA219" i="40"/>
  <c r="AI219" i="40"/>
  <c r="J219" i="40"/>
  <c r="AJ219" i="40"/>
  <c r="AW219" i="40"/>
  <c r="BB219" i="40"/>
  <c r="BF219" i="40"/>
  <c r="BJ219" i="40"/>
  <c r="BN219" i="40"/>
  <c r="BR219" i="40"/>
  <c r="BV219" i="40"/>
  <c r="BZ219" i="40"/>
  <c r="CD219" i="40"/>
  <c r="CH219" i="40"/>
  <c r="DS219" i="40"/>
  <c r="DW219" i="40"/>
  <c r="A219" i="40"/>
  <c r="M219" i="40"/>
  <c r="AC219" i="40"/>
  <c r="G219" i="40"/>
  <c r="O219" i="40"/>
  <c r="AX219" i="40"/>
  <c r="BC219" i="40"/>
  <c r="BG219" i="40"/>
  <c r="BK219" i="40"/>
  <c r="BO219" i="40"/>
  <c r="BS219" i="40"/>
  <c r="BW219" i="40"/>
  <c r="CA219" i="40"/>
  <c r="CE219" i="40"/>
  <c r="DT219" i="40"/>
  <c r="F219" i="40"/>
  <c r="AF219" i="40"/>
  <c r="BD219" i="40"/>
  <c r="BT219" i="40"/>
  <c r="N219" i="40"/>
  <c r="BH219" i="40"/>
  <c r="BX219" i="40"/>
  <c r="DU219" i="40"/>
  <c r="AE219" i="40"/>
  <c r="BL219" i="40"/>
  <c r="CB219" i="40"/>
  <c r="H219" i="40"/>
  <c r="AZ219" i="40"/>
  <c r="JO219" i="40"/>
  <c r="BP219" i="40"/>
  <c r="CF219" i="40"/>
  <c r="E219" i="40"/>
  <c r="V219" i="40"/>
  <c r="AB219" i="40"/>
  <c r="AD219" i="40"/>
  <c r="JP219" i="40"/>
  <c r="HZ219" i="40"/>
  <c r="HY219" i="40"/>
  <c r="T219" i="40"/>
  <c r="R219" i="40"/>
  <c r="U219" i="40"/>
  <c r="Q219" i="40"/>
  <c r="S219" i="40"/>
  <c r="Z219" i="40"/>
  <c r="IA219" i="40"/>
  <c r="W219" i="40"/>
  <c r="IX219" i="40"/>
  <c r="IY219" i="40"/>
  <c r="IZ219" i="40"/>
  <c r="X219" i="40"/>
  <c r="Y219" i="40"/>
  <c r="B428" i="40"/>
  <c r="A427" i="40"/>
  <c r="AN112" i="40"/>
  <c r="AO112" i="40"/>
  <c r="AM112" i="40"/>
  <c r="IO112" i="40"/>
  <c r="JA112" i="40" s="1"/>
  <c r="D17" i="44" s="1"/>
  <c r="AO218" i="40"/>
  <c r="AM218" i="40"/>
  <c r="AN426" i="40"/>
  <c r="IX612" i="40"/>
  <c r="C114" i="40"/>
  <c r="K113" i="40"/>
  <c r="P113" i="40"/>
  <c r="AG113" i="40"/>
  <c r="I113" i="40"/>
  <c r="AD113" i="40"/>
  <c r="JF113" i="40"/>
  <c r="HM113" i="40" s="1"/>
  <c r="II113" i="40"/>
  <c r="IL113" i="40" s="1"/>
  <c r="AX113" i="40"/>
  <c r="BC113" i="40"/>
  <c r="L113" i="40"/>
  <c r="AC113" i="40"/>
  <c r="H113" i="40"/>
  <c r="IQ113" i="40" s="1"/>
  <c r="AF113" i="40"/>
  <c r="AW113" i="40"/>
  <c r="BD113" i="40"/>
  <c r="BH113" i="40"/>
  <c r="BL113" i="40"/>
  <c r="BP113" i="40"/>
  <c r="BT113" i="40"/>
  <c r="BX113" i="40"/>
  <c r="CB113" i="40"/>
  <c r="CF113" i="40"/>
  <c r="DU113" i="40"/>
  <c r="M113" i="40"/>
  <c r="AE113" i="40"/>
  <c r="J113" i="40"/>
  <c r="AH113" i="40"/>
  <c r="IJ113" i="40"/>
  <c r="IM113" i="40" s="1"/>
  <c r="AZ113" i="40"/>
  <c r="BE113" i="40"/>
  <c r="BI113" i="40"/>
  <c r="BM113" i="40"/>
  <c r="BQ113" i="40"/>
  <c r="BU113" i="40"/>
  <c r="BY113" i="40"/>
  <c r="CC113" i="40"/>
  <c r="CG113" i="40"/>
  <c r="DM113" i="40"/>
  <c r="DV113" i="40"/>
  <c r="A113" i="40"/>
  <c r="N113" i="40"/>
  <c r="AI113" i="40"/>
  <c r="O113" i="40"/>
  <c r="AJ113" i="40"/>
  <c r="IK113" i="40"/>
  <c r="IN113" i="40" s="1"/>
  <c r="BA113" i="40"/>
  <c r="BF113" i="40"/>
  <c r="BJ113" i="40"/>
  <c r="BN113" i="40"/>
  <c r="BR113" i="40"/>
  <c r="BV113" i="40"/>
  <c r="BZ113" i="40"/>
  <c r="CD113" i="40"/>
  <c r="CH113" i="40"/>
  <c r="DS113" i="40"/>
  <c r="DW113" i="40"/>
  <c r="AB113" i="40"/>
  <c r="BG113" i="40"/>
  <c r="BW113" i="40"/>
  <c r="DT113" i="40"/>
  <c r="F113" i="40"/>
  <c r="BK113" i="40"/>
  <c r="CA113" i="40"/>
  <c r="AA113" i="40"/>
  <c r="BO113" i="40"/>
  <c r="CE113" i="40"/>
  <c r="G113" i="40"/>
  <c r="IP113" i="40" s="1"/>
  <c r="BB113" i="40"/>
  <c r="BS113" i="40"/>
  <c r="IY113" i="40"/>
  <c r="JO113" i="40"/>
  <c r="IZ113" i="40"/>
  <c r="IX113" i="40"/>
  <c r="HZ113" i="40"/>
  <c r="HZ613" i="40" s="1"/>
  <c r="E113" i="40"/>
  <c r="W113" i="40"/>
  <c r="IA113" i="40"/>
  <c r="IA613" i="40" s="1"/>
  <c r="R113" i="40"/>
  <c r="U113" i="40"/>
  <c r="Z113" i="40"/>
  <c r="T113" i="40"/>
  <c r="Q113" i="40"/>
  <c r="S113" i="40"/>
  <c r="HY113" i="40"/>
  <c r="HY613" i="40" s="1"/>
  <c r="V113" i="40"/>
  <c r="X113" i="40"/>
  <c r="JP113" i="40"/>
  <c r="Y113" i="40"/>
  <c r="F46" i="58"/>
  <c r="KC105" i="40"/>
  <c r="KG104" i="40"/>
  <c r="C500" i="40" l="1"/>
  <c r="AZ499" i="40"/>
  <c r="BD499" i="40"/>
  <c r="BH499" i="40"/>
  <c r="BL499" i="40"/>
  <c r="BP499" i="40"/>
  <c r="BT499" i="40"/>
  <c r="BX499" i="40"/>
  <c r="CB499" i="40"/>
  <c r="CF499" i="40"/>
  <c r="DM499" i="40"/>
  <c r="DV499" i="40"/>
  <c r="BA499" i="40"/>
  <c r="BE499" i="40"/>
  <c r="BI499" i="40"/>
  <c r="BM499" i="40"/>
  <c r="BQ499" i="40"/>
  <c r="BU499" i="40"/>
  <c r="BY499" i="40"/>
  <c r="CC499" i="40"/>
  <c r="CG499" i="40"/>
  <c r="DS499" i="40"/>
  <c r="DW499" i="40"/>
  <c r="AW499" i="40"/>
  <c r="BB499" i="40"/>
  <c r="BF499" i="40"/>
  <c r="BJ499" i="40"/>
  <c r="BN499" i="40"/>
  <c r="BR499" i="40"/>
  <c r="BV499" i="40"/>
  <c r="BZ499" i="40"/>
  <c r="CD499" i="40"/>
  <c r="CH499" i="40"/>
  <c r="DT499" i="40"/>
  <c r="BC499" i="40"/>
  <c r="BS499" i="40"/>
  <c r="AX499" i="40"/>
  <c r="CE499" i="40"/>
  <c r="BG499" i="40"/>
  <c r="BW499" i="40"/>
  <c r="DU499" i="40"/>
  <c r="BO499" i="40"/>
  <c r="BK499" i="40"/>
  <c r="CA499" i="40"/>
  <c r="AP392" i="40"/>
  <c r="D392" i="40" s="1"/>
  <c r="AQ692" i="40"/>
  <c r="U693" i="40"/>
  <c r="H693" i="40"/>
  <c r="AC693" i="40"/>
  <c r="AQ392" i="40"/>
  <c r="AN392" i="40"/>
  <c r="S293" i="40"/>
  <c r="R393" i="40"/>
  <c r="AA393" i="40"/>
  <c r="S393" i="40"/>
  <c r="AA293" i="40"/>
  <c r="AO392" i="40"/>
  <c r="HT178" i="40"/>
  <c r="HT176" i="40"/>
  <c r="HT177" i="40"/>
  <c r="HT180" i="40"/>
  <c r="HT179" i="40"/>
  <c r="HT181" i="40"/>
  <c r="HT182" i="40"/>
  <c r="AP692" i="40"/>
  <c r="B194" i="75"/>
  <c r="T693" i="40"/>
  <c r="Z693" i="40"/>
  <c r="V693" i="40"/>
  <c r="D22" i="70"/>
  <c r="D11" i="70"/>
  <c r="AY11" i="70" s="1"/>
  <c r="HW112" i="40"/>
  <c r="JB113" i="40"/>
  <c r="E18" i="44" s="1"/>
  <c r="D112" i="40"/>
  <c r="D23" i="70" s="1"/>
  <c r="HV113" i="40"/>
  <c r="IZ613" i="40"/>
  <c r="HO113" i="40"/>
  <c r="HR113" i="40" s="1"/>
  <c r="HN113" i="40"/>
  <c r="HQ113" i="40" s="1"/>
  <c r="JC113" i="40"/>
  <c r="AK113" i="40"/>
  <c r="AL113" i="40"/>
  <c r="C115" i="40"/>
  <c r="F114" i="40"/>
  <c r="N114" i="40"/>
  <c r="AE114" i="40"/>
  <c r="H114" i="40"/>
  <c r="AB114" i="40"/>
  <c r="AJ114" i="40"/>
  <c r="IJ114" i="40"/>
  <c r="IM114" i="40" s="1"/>
  <c r="AZ114" i="40"/>
  <c r="BD114" i="40"/>
  <c r="BH114" i="40"/>
  <c r="BL114" i="40"/>
  <c r="BP114" i="40"/>
  <c r="BT114" i="40"/>
  <c r="BX114" i="40"/>
  <c r="CB114" i="40"/>
  <c r="CF114" i="40"/>
  <c r="DU114" i="40"/>
  <c r="K114" i="40"/>
  <c r="P114" i="40"/>
  <c r="AG114" i="40"/>
  <c r="I114" i="40"/>
  <c r="AD114" i="40"/>
  <c r="JF114" i="40"/>
  <c r="HN114" i="40" s="1"/>
  <c r="II114" i="40"/>
  <c r="IL114" i="40" s="1"/>
  <c r="BA114" i="40"/>
  <c r="BE114" i="40"/>
  <c r="BI114" i="40"/>
  <c r="BM114" i="40"/>
  <c r="BQ114" i="40"/>
  <c r="BU114" i="40"/>
  <c r="BY114" i="40"/>
  <c r="CC114" i="40"/>
  <c r="CG114" i="40"/>
  <c r="DM114" i="40"/>
  <c r="DV114" i="40"/>
  <c r="L114" i="40"/>
  <c r="AA114" i="40"/>
  <c r="AI114" i="40"/>
  <c r="J114" i="40"/>
  <c r="AF114" i="40"/>
  <c r="G114" i="40"/>
  <c r="IP114" i="40" s="1"/>
  <c r="AX114" i="40"/>
  <c r="BG114" i="40"/>
  <c r="BO114" i="40"/>
  <c r="BW114" i="40"/>
  <c r="CE114" i="40"/>
  <c r="DT114" i="40"/>
  <c r="A114" i="40"/>
  <c r="O114" i="40"/>
  <c r="IK114" i="40"/>
  <c r="IN114" i="40" s="1"/>
  <c r="BB114" i="40"/>
  <c r="BJ114" i="40"/>
  <c r="BR114" i="40"/>
  <c r="BZ114" i="40"/>
  <c r="CH114" i="40"/>
  <c r="DW114" i="40"/>
  <c r="M114" i="40"/>
  <c r="AH114" i="40"/>
  <c r="BC114" i="40"/>
  <c r="BK114" i="40"/>
  <c r="BS114" i="40"/>
  <c r="CA114" i="40"/>
  <c r="BF114" i="40"/>
  <c r="DS114" i="40"/>
  <c r="AC114" i="40"/>
  <c r="BN114" i="40"/>
  <c r="BV114" i="40"/>
  <c r="AW114" i="40"/>
  <c r="CD114" i="40"/>
  <c r="IY114" i="40"/>
  <c r="IX114" i="40"/>
  <c r="IZ114" i="40"/>
  <c r="JO114" i="40"/>
  <c r="Z114" i="40"/>
  <c r="U114" i="40"/>
  <c r="V114" i="40"/>
  <c r="HY114" i="40"/>
  <c r="HY614" i="40" s="1"/>
  <c r="T114" i="40"/>
  <c r="W114" i="40"/>
  <c r="S114" i="40"/>
  <c r="Q114" i="40"/>
  <c r="HZ114" i="40"/>
  <c r="HZ614" i="40" s="1"/>
  <c r="IA114" i="40"/>
  <c r="IA614" i="40" s="1"/>
  <c r="R114" i="40"/>
  <c r="E114" i="40"/>
  <c r="X114" i="40"/>
  <c r="JP114" i="40"/>
  <c r="Y114" i="40"/>
  <c r="B429" i="40"/>
  <c r="A428" i="40"/>
  <c r="C221" i="40"/>
  <c r="K220" i="40"/>
  <c r="P220" i="40"/>
  <c r="AG220" i="40"/>
  <c r="I220" i="40"/>
  <c r="AH220" i="40"/>
  <c r="AZ220" i="40"/>
  <c r="BD220" i="40"/>
  <c r="BH220" i="40"/>
  <c r="BL220" i="40"/>
  <c r="BP220" i="40"/>
  <c r="BT220" i="40"/>
  <c r="BX220" i="40"/>
  <c r="CB220" i="40"/>
  <c r="CF220" i="40"/>
  <c r="DU220" i="40"/>
  <c r="L220" i="40"/>
  <c r="AA220" i="40"/>
  <c r="AI220" i="40"/>
  <c r="J220" i="40"/>
  <c r="AJ220" i="40"/>
  <c r="BA220" i="40"/>
  <c r="BE220" i="40"/>
  <c r="BI220" i="40"/>
  <c r="BM220" i="40"/>
  <c r="BQ220" i="40"/>
  <c r="BU220" i="40"/>
  <c r="BY220" i="40"/>
  <c r="CC220" i="40"/>
  <c r="CG220" i="40"/>
  <c r="DM220" i="40"/>
  <c r="DV220" i="40"/>
  <c r="A220" i="40"/>
  <c r="M220" i="40"/>
  <c r="AC220" i="40"/>
  <c r="G220" i="40"/>
  <c r="O220" i="40"/>
  <c r="AW220" i="40"/>
  <c r="BB220" i="40"/>
  <c r="BF220" i="40"/>
  <c r="BJ220" i="40"/>
  <c r="BN220" i="40"/>
  <c r="BR220" i="40"/>
  <c r="BV220" i="40"/>
  <c r="BZ220" i="40"/>
  <c r="CD220" i="40"/>
  <c r="CH220" i="40"/>
  <c r="DS220" i="40"/>
  <c r="DW220" i="40"/>
  <c r="AE220" i="40"/>
  <c r="BK220" i="40"/>
  <c r="CA220" i="40"/>
  <c r="H220" i="40"/>
  <c r="AX220" i="40"/>
  <c r="BO220" i="40"/>
  <c r="CE220" i="40"/>
  <c r="F220" i="40"/>
  <c r="AF220" i="40"/>
  <c r="BC220" i="40"/>
  <c r="BS220" i="40"/>
  <c r="N220" i="40"/>
  <c r="DT220" i="40"/>
  <c r="JO220" i="40"/>
  <c r="BG220" i="40"/>
  <c r="BW220" i="40"/>
  <c r="JP220" i="40"/>
  <c r="IA220" i="40"/>
  <c r="V220" i="40"/>
  <c r="T220" i="40"/>
  <c r="Z220" i="40"/>
  <c r="S220" i="40"/>
  <c r="W220" i="40"/>
  <c r="AB220" i="40"/>
  <c r="AD220" i="40"/>
  <c r="E220" i="40"/>
  <c r="R220" i="40"/>
  <c r="HY220" i="40"/>
  <c r="U220" i="40"/>
  <c r="HZ220" i="40"/>
  <c r="Q220" i="40"/>
  <c r="IX220" i="40"/>
  <c r="IY220" i="40"/>
  <c r="IZ220" i="40"/>
  <c r="X220" i="40"/>
  <c r="Y220" i="40"/>
  <c r="AN113" i="40"/>
  <c r="IY613" i="40"/>
  <c r="HS113" i="40"/>
  <c r="HV112" i="40"/>
  <c r="AN427" i="40"/>
  <c r="AO219" i="40"/>
  <c r="F47" i="58"/>
  <c r="AP113" i="40"/>
  <c r="AO113" i="40"/>
  <c r="IX613" i="40"/>
  <c r="AP427" i="40"/>
  <c r="AP219" i="40"/>
  <c r="AN219" i="40"/>
  <c r="JJ111" i="40"/>
  <c r="HP112" i="40"/>
  <c r="HP113" i="40"/>
  <c r="IO113" i="40"/>
  <c r="JA113" i="40" s="1"/>
  <c r="D18" i="44" s="1"/>
  <c r="AM113" i="40"/>
  <c r="D113" i="40" s="1"/>
  <c r="AO427" i="40"/>
  <c r="AM427" i="40"/>
  <c r="AM219" i="40"/>
  <c r="HT103" i="40"/>
  <c r="HT104" i="40"/>
  <c r="HT105" i="40"/>
  <c r="HT107" i="40"/>
  <c r="HT112" i="40"/>
  <c r="HT106" i="40"/>
  <c r="HT110" i="40"/>
  <c r="HT111" i="40"/>
  <c r="HT109" i="40"/>
  <c r="HT113" i="40"/>
  <c r="HT108" i="40"/>
  <c r="HT101" i="40"/>
  <c r="HT102" i="40"/>
  <c r="KD105" i="40"/>
  <c r="KE105" i="40" s="1"/>
  <c r="KG105" i="40" s="1"/>
  <c r="AQ693" i="40" l="1"/>
  <c r="HW113" i="40"/>
  <c r="AZ500" i="40"/>
  <c r="BD500" i="40"/>
  <c r="BH500" i="40"/>
  <c r="BL500" i="40"/>
  <c r="BP500" i="40"/>
  <c r="BT500" i="40"/>
  <c r="BX500" i="40"/>
  <c r="CB500" i="40"/>
  <c r="CF500" i="40"/>
  <c r="DM500" i="40"/>
  <c r="DV500" i="40"/>
  <c r="BA500" i="40"/>
  <c r="BE500" i="40"/>
  <c r="BI500" i="40"/>
  <c r="BM500" i="40"/>
  <c r="BQ500" i="40"/>
  <c r="BU500" i="40"/>
  <c r="BY500" i="40"/>
  <c r="CC500" i="40"/>
  <c r="CG500" i="40"/>
  <c r="DS500" i="40"/>
  <c r="DW500" i="40"/>
  <c r="AW500" i="40"/>
  <c r="BB500" i="40"/>
  <c r="BF500" i="40"/>
  <c r="BJ500" i="40"/>
  <c r="BN500" i="40"/>
  <c r="BR500" i="40"/>
  <c r="BV500" i="40"/>
  <c r="BZ500" i="40"/>
  <c r="CD500" i="40"/>
  <c r="CH500" i="40"/>
  <c r="DT500" i="40"/>
  <c r="BG500" i="40"/>
  <c r="BW500" i="40"/>
  <c r="DU500" i="40"/>
  <c r="BS500" i="40"/>
  <c r="BK500" i="40"/>
  <c r="CA500" i="40"/>
  <c r="BC500" i="40"/>
  <c r="AX500" i="40"/>
  <c r="BO500" i="40"/>
  <c r="CE500" i="40"/>
  <c r="D427" i="40"/>
  <c r="T694" i="40"/>
  <c r="Z694" i="40"/>
  <c r="HU179" i="40"/>
  <c r="HU176" i="40"/>
  <c r="HU177" i="40"/>
  <c r="JI177" i="40" s="1"/>
  <c r="HU178" i="40"/>
  <c r="HU180" i="40"/>
  <c r="HU181" i="40"/>
  <c r="JI181" i="40" s="1"/>
  <c r="HU182" i="40"/>
  <c r="JI182" i="40" s="1"/>
  <c r="HM114" i="40"/>
  <c r="HP114" i="40" s="1"/>
  <c r="AP693" i="40"/>
  <c r="AO693" i="40"/>
  <c r="B195" i="75"/>
  <c r="R694" i="40"/>
  <c r="E694" i="40"/>
  <c r="Y694" i="40"/>
  <c r="AY112" i="40"/>
  <c r="D12" i="70"/>
  <c r="AY12" i="70" s="1"/>
  <c r="HX113" i="40"/>
  <c r="JJ113" i="40" s="1"/>
  <c r="IX614" i="40"/>
  <c r="IZ614" i="40"/>
  <c r="AP428" i="40"/>
  <c r="HW114" i="40"/>
  <c r="HT114" i="40"/>
  <c r="AY113" i="40"/>
  <c r="D24" i="70"/>
  <c r="JH113" i="40"/>
  <c r="JH112" i="40"/>
  <c r="JJ112" i="40"/>
  <c r="AO220" i="40"/>
  <c r="AM220" i="40"/>
  <c r="AK114" i="40"/>
  <c r="AL114" i="40"/>
  <c r="AO114" i="40"/>
  <c r="AM114" i="40"/>
  <c r="C222" i="40"/>
  <c r="AX221" i="40"/>
  <c r="BC221" i="40"/>
  <c r="BG221" i="40"/>
  <c r="BK221" i="40"/>
  <c r="BO221" i="40"/>
  <c r="BS221" i="40"/>
  <c r="BW221" i="40"/>
  <c r="CA221" i="40"/>
  <c r="CE221" i="40"/>
  <c r="DU221" i="40"/>
  <c r="AZ221" i="40"/>
  <c r="BD221" i="40"/>
  <c r="BH221" i="40"/>
  <c r="BL221" i="40"/>
  <c r="BP221" i="40"/>
  <c r="BT221" i="40"/>
  <c r="BX221" i="40"/>
  <c r="CB221" i="40"/>
  <c r="CF221" i="40"/>
  <c r="DM221" i="40"/>
  <c r="DV221" i="40"/>
  <c r="BA221" i="40"/>
  <c r="BE221" i="40"/>
  <c r="BI221" i="40"/>
  <c r="BM221" i="40"/>
  <c r="BQ221" i="40"/>
  <c r="BU221" i="40"/>
  <c r="BY221" i="40"/>
  <c r="CC221" i="40"/>
  <c r="CG221" i="40"/>
  <c r="DS221" i="40"/>
  <c r="DW221" i="40"/>
  <c r="A221" i="40"/>
  <c r="BB221" i="40"/>
  <c r="BR221" i="40"/>
  <c r="CH221" i="40"/>
  <c r="BF221" i="40"/>
  <c r="BV221" i="40"/>
  <c r="DT221" i="40"/>
  <c r="BJ221" i="40"/>
  <c r="BZ221" i="40"/>
  <c r="CD221" i="40"/>
  <c r="AW221" i="40"/>
  <c r="JO221" i="40"/>
  <c r="BN221" i="40"/>
  <c r="HZ221" i="40"/>
  <c r="IA221" i="40"/>
  <c r="JP221" i="40"/>
  <c r="HY221" i="40"/>
  <c r="IX221" i="40"/>
  <c r="IZ221" i="40"/>
  <c r="IY221" i="40"/>
  <c r="AN428" i="40"/>
  <c r="JB114" i="40"/>
  <c r="E19" i="44" s="1"/>
  <c r="AO428" i="40"/>
  <c r="AM428" i="40"/>
  <c r="B430" i="40"/>
  <c r="A429" i="40"/>
  <c r="AP114" i="40"/>
  <c r="IY614" i="40"/>
  <c r="HS114" i="40"/>
  <c r="IO114" i="40"/>
  <c r="JA114" i="40" s="1"/>
  <c r="D19" i="44" s="1"/>
  <c r="AP220" i="40"/>
  <c r="AN220" i="40"/>
  <c r="AN114" i="40"/>
  <c r="HQ114" i="40"/>
  <c r="HO114" i="40"/>
  <c r="HR114" i="40" s="1"/>
  <c r="IQ114" i="40"/>
  <c r="JC114" i="40" s="1"/>
  <c r="F19" i="44" s="1"/>
  <c r="C116" i="40"/>
  <c r="F115" i="40"/>
  <c r="N115" i="40"/>
  <c r="AE115" i="40"/>
  <c r="H115" i="40"/>
  <c r="AB115" i="40"/>
  <c r="AJ115" i="40"/>
  <c r="IJ115" i="40"/>
  <c r="IM115" i="40" s="1"/>
  <c r="AW115" i="40"/>
  <c r="BB115" i="40"/>
  <c r="BF115" i="40"/>
  <c r="BJ115" i="40"/>
  <c r="BN115" i="40"/>
  <c r="BR115" i="40"/>
  <c r="BV115" i="40"/>
  <c r="K115" i="40"/>
  <c r="P115" i="40"/>
  <c r="AG115" i="40"/>
  <c r="I115" i="40"/>
  <c r="AD115" i="40"/>
  <c r="JF115" i="40"/>
  <c r="HO115" i="40" s="1"/>
  <c r="II115" i="40"/>
  <c r="IL115" i="40" s="1"/>
  <c r="AX115" i="40"/>
  <c r="BC115" i="40"/>
  <c r="BG115" i="40"/>
  <c r="BK115" i="40"/>
  <c r="BO115" i="40"/>
  <c r="BS115" i="40"/>
  <c r="BW115" i="40"/>
  <c r="CA115" i="40"/>
  <c r="CE115" i="40"/>
  <c r="DT115" i="40"/>
  <c r="M115" i="40"/>
  <c r="G115" i="40"/>
  <c r="IP115" i="40" s="1"/>
  <c r="AH115" i="40"/>
  <c r="BE115" i="40"/>
  <c r="BM115" i="40"/>
  <c r="BU115" i="40"/>
  <c r="CB115" i="40"/>
  <c r="CG115" i="40"/>
  <c r="DS115" i="40"/>
  <c r="AA115" i="40"/>
  <c r="J115" i="40"/>
  <c r="AZ115" i="40"/>
  <c r="BH115" i="40"/>
  <c r="BP115" i="40"/>
  <c r="BX115" i="40"/>
  <c r="CC115" i="40"/>
  <c r="CH115" i="40"/>
  <c r="DU115" i="40"/>
  <c r="A115" i="40"/>
  <c r="AC115" i="40"/>
  <c r="O115" i="40"/>
  <c r="BA115" i="40"/>
  <c r="BI115" i="40"/>
  <c r="BQ115" i="40"/>
  <c r="BY115" i="40"/>
  <c r="CD115" i="40"/>
  <c r="DV115" i="40"/>
  <c r="IK115" i="40"/>
  <c r="IN115" i="40" s="1"/>
  <c r="BZ115" i="40"/>
  <c r="L115" i="40"/>
  <c r="BD115" i="40"/>
  <c r="CF115" i="40"/>
  <c r="AI115" i="40"/>
  <c r="BL115" i="40"/>
  <c r="DM115" i="40"/>
  <c r="BT115" i="40"/>
  <c r="DW115" i="40"/>
  <c r="AF115" i="40"/>
  <c r="JO115" i="40"/>
  <c r="IY115" i="40"/>
  <c r="IZ115" i="40"/>
  <c r="IX115" i="40"/>
  <c r="IA115" i="40"/>
  <c r="IA615" i="40" s="1"/>
  <c r="HY115" i="40"/>
  <c r="HY615" i="40" s="1"/>
  <c r="HZ115" i="40"/>
  <c r="HZ615" i="40" s="1"/>
  <c r="T115" i="40"/>
  <c r="R115" i="40"/>
  <c r="Z115" i="40"/>
  <c r="W115" i="40"/>
  <c r="U115" i="40"/>
  <c r="V115" i="40"/>
  <c r="S115" i="40"/>
  <c r="E115" i="40"/>
  <c r="Q115" i="40"/>
  <c r="JP115" i="40"/>
  <c r="X115" i="40"/>
  <c r="Y115" i="40"/>
  <c r="HU103" i="40"/>
  <c r="JI103" i="40" s="1"/>
  <c r="JK103" i="40" s="1"/>
  <c r="HU105" i="40"/>
  <c r="JI105" i="40" s="1"/>
  <c r="JK105" i="40" s="1"/>
  <c r="HU114" i="40"/>
  <c r="HU109" i="40"/>
  <c r="JI109" i="40" s="1"/>
  <c r="JK109" i="40" s="1"/>
  <c r="HU110" i="40"/>
  <c r="JI110" i="40" s="1"/>
  <c r="JK110" i="40" s="1"/>
  <c r="HU108" i="40"/>
  <c r="JI108" i="40" s="1"/>
  <c r="JK108" i="40" s="1"/>
  <c r="HU104" i="40"/>
  <c r="JI104" i="40" s="1"/>
  <c r="JK104" i="40" s="1"/>
  <c r="HU107" i="40"/>
  <c r="JI107" i="40" s="1"/>
  <c r="JK107" i="40" s="1"/>
  <c r="HU113" i="40"/>
  <c r="JI113" i="40" s="1"/>
  <c r="HU111" i="40"/>
  <c r="JI111" i="40" s="1"/>
  <c r="JK111" i="40" s="1"/>
  <c r="HU102" i="40"/>
  <c r="JI102" i="40" s="1"/>
  <c r="JK102" i="40" s="1"/>
  <c r="HU112" i="40"/>
  <c r="JI112" i="40" s="1"/>
  <c r="HU106" i="40"/>
  <c r="JI106" i="40" s="1"/>
  <c r="JK106" i="40" s="1"/>
  <c r="HU101" i="40"/>
  <c r="JI101" i="40" s="1"/>
  <c r="JK101" i="40" s="1"/>
  <c r="IC108" i="40"/>
  <c r="IC107" i="40"/>
  <c r="IC102" i="40"/>
  <c r="IC113" i="40"/>
  <c r="IC110" i="40"/>
  <c r="IC105" i="40"/>
  <c r="IC101" i="40"/>
  <c r="IC109" i="40"/>
  <c r="IC106" i="40"/>
  <c r="IC104" i="40"/>
  <c r="IC111" i="40"/>
  <c r="IC112" i="40"/>
  <c r="IC103" i="40"/>
  <c r="JG176" i="40" l="1"/>
  <c r="JG177" i="40"/>
  <c r="JG181" i="40"/>
  <c r="JG178" i="40"/>
  <c r="JG180" i="40"/>
  <c r="JG179" i="40"/>
  <c r="JG182" i="40"/>
  <c r="JI179" i="40"/>
  <c r="JI178" i="40"/>
  <c r="JI180" i="40"/>
  <c r="JI176" i="40"/>
  <c r="D428" i="40"/>
  <c r="B196" i="75"/>
  <c r="Z696" i="40"/>
  <c r="Z695" i="40"/>
  <c r="Y696" i="40"/>
  <c r="Y695" i="40"/>
  <c r="AP429" i="40"/>
  <c r="D114" i="40"/>
  <c r="AY114" i="40" s="1"/>
  <c r="JI114" i="40"/>
  <c r="AP221" i="40"/>
  <c r="JK113" i="40"/>
  <c r="HN115" i="40"/>
  <c r="HQ115" i="40" s="1"/>
  <c r="HV114" i="40"/>
  <c r="HW115" i="40"/>
  <c r="IX615" i="40"/>
  <c r="AP115" i="40"/>
  <c r="IC114" i="40"/>
  <c r="HM115" i="40"/>
  <c r="HP115" i="40" s="1"/>
  <c r="JK112" i="40"/>
  <c r="HU115" i="40"/>
  <c r="IZ615" i="40"/>
  <c r="HS115" i="40"/>
  <c r="IO115" i="40"/>
  <c r="JA115" i="40" s="1"/>
  <c r="D20" i="44" s="1"/>
  <c r="HX114" i="40"/>
  <c r="AO221" i="40"/>
  <c r="AO115" i="40"/>
  <c r="IY615" i="40"/>
  <c r="HR115" i="40"/>
  <c r="IQ115" i="40"/>
  <c r="JC115" i="40" s="1"/>
  <c r="F20" i="44" s="1"/>
  <c r="C117" i="40"/>
  <c r="A116" i="40"/>
  <c r="M116" i="40"/>
  <c r="AC116" i="40"/>
  <c r="G116" i="40"/>
  <c r="O116" i="40"/>
  <c r="AH116" i="40"/>
  <c r="BA116" i="40"/>
  <c r="BE116" i="40"/>
  <c r="BI116" i="40"/>
  <c r="BM116" i="40"/>
  <c r="BQ116" i="40"/>
  <c r="BU116" i="40"/>
  <c r="BY116" i="40"/>
  <c r="CC116" i="40"/>
  <c r="CG116" i="40"/>
  <c r="DU116" i="40"/>
  <c r="F116" i="40"/>
  <c r="P116" i="40"/>
  <c r="AI116" i="40"/>
  <c r="AB116" i="40"/>
  <c r="JF116" i="40"/>
  <c r="HO116" i="40" s="1"/>
  <c r="IK116" i="40"/>
  <c r="IN116" i="40" s="1"/>
  <c r="BB116" i="40"/>
  <c r="BG116" i="40"/>
  <c r="BL116" i="40"/>
  <c r="BR116" i="40"/>
  <c r="BW116" i="40"/>
  <c r="CB116" i="40"/>
  <c r="CH116" i="40"/>
  <c r="DS116" i="40"/>
  <c r="K116" i="40"/>
  <c r="AA116" i="40"/>
  <c r="H116" i="40"/>
  <c r="AD116" i="40"/>
  <c r="AW116" i="40"/>
  <c r="BC116" i="40"/>
  <c r="BH116" i="40"/>
  <c r="BN116" i="40"/>
  <c r="BS116" i="40"/>
  <c r="BX116" i="40"/>
  <c r="CD116" i="40"/>
  <c r="DT116" i="40"/>
  <c r="L116" i="40"/>
  <c r="AE116" i="40"/>
  <c r="I116" i="40"/>
  <c r="AF116" i="40"/>
  <c r="IJ116" i="40"/>
  <c r="IM116" i="40" s="1"/>
  <c r="AX116" i="40"/>
  <c r="BD116" i="40"/>
  <c r="BJ116" i="40"/>
  <c r="BO116" i="40"/>
  <c r="BT116" i="40"/>
  <c r="BZ116" i="40"/>
  <c r="CE116" i="40"/>
  <c r="DV116" i="40"/>
  <c r="N116" i="40"/>
  <c r="II116" i="40"/>
  <c r="IL116" i="40" s="1"/>
  <c r="BP116" i="40"/>
  <c r="DM116" i="40"/>
  <c r="AG116" i="40"/>
  <c r="AZ116" i="40"/>
  <c r="BV116" i="40"/>
  <c r="DW116" i="40"/>
  <c r="J116" i="40"/>
  <c r="BF116" i="40"/>
  <c r="CA116" i="40"/>
  <c r="CF116" i="40"/>
  <c r="AJ116" i="40"/>
  <c r="BK116" i="40"/>
  <c r="JO116" i="40"/>
  <c r="IZ116" i="40"/>
  <c r="IX116" i="40"/>
  <c r="IY116" i="40"/>
  <c r="Z116" i="40"/>
  <c r="V116" i="40"/>
  <c r="S116" i="40"/>
  <c r="HY116" i="40"/>
  <c r="HY616" i="40" s="1"/>
  <c r="HZ116" i="40"/>
  <c r="E116" i="40"/>
  <c r="R116" i="40"/>
  <c r="U116" i="40"/>
  <c r="W116" i="40"/>
  <c r="IA116" i="40"/>
  <c r="IA616" i="40" s="1"/>
  <c r="T116" i="40"/>
  <c r="Q116" i="40"/>
  <c r="JP116" i="40"/>
  <c r="X116" i="40"/>
  <c r="Y116" i="40"/>
  <c r="B431" i="40"/>
  <c r="A430" i="40"/>
  <c r="AM221" i="40"/>
  <c r="AL115" i="40"/>
  <c r="AK115" i="40"/>
  <c r="AM115" i="40"/>
  <c r="JB115" i="40"/>
  <c r="E20" i="44" s="1"/>
  <c r="HT115" i="40"/>
  <c r="M19" i="44"/>
  <c r="AN429" i="40"/>
  <c r="AN115" i="40"/>
  <c r="JH114" i="40"/>
  <c r="AO429" i="40"/>
  <c r="AM429" i="40"/>
  <c r="AN221" i="40"/>
  <c r="C223" i="40"/>
  <c r="AZ222" i="40"/>
  <c r="BD222" i="40"/>
  <c r="BH222" i="40"/>
  <c r="BL222" i="40"/>
  <c r="BP222" i="40"/>
  <c r="BT222" i="40"/>
  <c r="BX222" i="40"/>
  <c r="CB222" i="40"/>
  <c r="CF222" i="40"/>
  <c r="DM222" i="40"/>
  <c r="DV222" i="40"/>
  <c r="BA222" i="40"/>
  <c r="BE222" i="40"/>
  <c r="BI222" i="40"/>
  <c r="BM222" i="40"/>
  <c r="BQ222" i="40"/>
  <c r="BU222" i="40"/>
  <c r="BY222" i="40"/>
  <c r="CC222" i="40"/>
  <c r="CG222" i="40"/>
  <c r="DS222" i="40"/>
  <c r="DW222" i="40"/>
  <c r="AW222" i="40"/>
  <c r="BB222" i="40"/>
  <c r="BF222" i="40"/>
  <c r="BJ222" i="40"/>
  <c r="BN222" i="40"/>
  <c r="BR222" i="40"/>
  <c r="BV222" i="40"/>
  <c r="BZ222" i="40"/>
  <c r="CD222" i="40"/>
  <c r="CH222" i="40"/>
  <c r="DT222" i="40"/>
  <c r="BK222" i="40"/>
  <c r="CA222" i="40"/>
  <c r="AX222" i="40"/>
  <c r="BO222" i="40"/>
  <c r="CE222" i="40"/>
  <c r="A222" i="40"/>
  <c r="BC222" i="40"/>
  <c r="BS222" i="40"/>
  <c r="BW222" i="40"/>
  <c r="DU222" i="40"/>
  <c r="JO222" i="40"/>
  <c r="BG222" i="40"/>
  <c r="HY222" i="40"/>
  <c r="JP222" i="40"/>
  <c r="IA222" i="40"/>
  <c r="HZ222" i="40"/>
  <c r="IY222" i="40"/>
  <c r="IZ222" i="40"/>
  <c r="IX222" i="40"/>
  <c r="JG102" i="40"/>
  <c r="JG111" i="40"/>
  <c r="JG108" i="40"/>
  <c r="JG101" i="40"/>
  <c r="JG117" i="40"/>
  <c r="JG107" i="40"/>
  <c r="JG109" i="40"/>
  <c r="JG114" i="40"/>
  <c r="JG105" i="40"/>
  <c r="JG104" i="40"/>
  <c r="JG115" i="40"/>
  <c r="JG110" i="40"/>
  <c r="JG113" i="40"/>
  <c r="JG106" i="40"/>
  <c r="JG116" i="40"/>
  <c r="JG112" i="40"/>
  <c r="JG103" i="40"/>
  <c r="D221" i="40" l="1"/>
  <c r="D429" i="40"/>
  <c r="B197" i="75"/>
  <c r="D25" i="70"/>
  <c r="IX616" i="40"/>
  <c r="IP116" i="40"/>
  <c r="JB116" i="40" s="1"/>
  <c r="E21" i="44" s="1"/>
  <c r="D115" i="40"/>
  <c r="AY115" i="40" s="1"/>
  <c r="IZ616" i="40"/>
  <c r="HW116" i="40"/>
  <c r="HN116" i="40"/>
  <c r="HQ116" i="40" s="1"/>
  <c r="HM116" i="40"/>
  <c r="HP116" i="40" s="1"/>
  <c r="M20" i="44"/>
  <c r="HR116" i="40"/>
  <c r="JH115" i="40"/>
  <c r="AN430" i="40"/>
  <c r="AN116" i="40"/>
  <c r="IQ116" i="40"/>
  <c r="JC116" i="40" s="1"/>
  <c r="F21" i="44" s="1"/>
  <c r="IO116" i="40"/>
  <c r="JA116" i="40" s="1"/>
  <c r="D21" i="44" s="1"/>
  <c r="JI115" i="40"/>
  <c r="AP222" i="40"/>
  <c r="AN222" i="40"/>
  <c r="AO222" i="40"/>
  <c r="AM222" i="40"/>
  <c r="AO430" i="40"/>
  <c r="AM430" i="40"/>
  <c r="AK116" i="40"/>
  <c r="AL116" i="40"/>
  <c r="HZ616" i="40"/>
  <c r="IY616" i="40" s="1"/>
  <c r="HT116" i="40"/>
  <c r="C118" i="40"/>
  <c r="F117" i="40"/>
  <c r="N117" i="40"/>
  <c r="A117" i="40"/>
  <c r="P117" i="40"/>
  <c r="AG117" i="40"/>
  <c r="I117" i="40"/>
  <c r="AD117" i="40"/>
  <c r="JF117" i="40"/>
  <c r="HO117" i="40" s="1"/>
  <c r="II117" i="40"/>
  <c r="IL117" i="40" s="1"/>
  <c r="AX117" i="40"/>
  <c r="BC117" i="40"/>
  <c r="BG117" i="40"/>
  <c r="BK117" i="40"/>
  <c r="BO117" i="40"/>
  <c r="BS117" i="40"/>
  <c r="BW117" i="40"/>
  <c r="CA117" i="40"/>
  <c r="CE117" i="40"/>
  <c r="DU117" i="40"/>
  <c r="K117" i="40"/>
  <c r="AA117" i="40"/>
  <c r="AI117" i="40"/>
  <c r="J117" i="40"/>
  <c r="AF117" i="40"/>
  <c r="IK117" i="40"/>
  <c r="IN117" i="40" s="1"/>
  <c r="AZ117" i="40"/>
  <c r="BD117" i="40"/>
  <c r="BH117" i="40"/>
  <c r="BL117" i="40"/>
  <c r="BP117" i="40"/>
  <c r="BT117" i="40"/>
  <c r="BX117" i="40"/>
  <c r="CB117" i="40"/>
  <c r="CF117" i="40"/>
  <c r="DM117" i="40"/>
  <c r="DV117" i="40"/>
  <c r="L117" i="40"/>
  <c r="AC117" i="40"/>
  <c r="G117" i="40"/>
  <c r="O117" i="40"/>
  <c r="AH117" i="40"/>
  <c r="BA117" i="40"/>
  <c r="BE117" i="40"/>
  <c r="BI117" i="40"/>
  <c r="BM117" i="40"/>
  <c r="BQ117" i="40"/>
  <c r="BU117" i="40"/>
  <c r="BY117" i="40"/>
  <c r="CC117" i="40"/>
  <c r="CG117" i="40"/>
  <c r="DS117" i="40"/>
  <c r="DW117" i="40"/>
  <c r="H117" i="40"/>
  <c r="AW117" i="40"/>
  <c r="BN117" i="40"/>
  <c r="CD117" i="40"/>
  <c r="AB117" i="40"/>
  <c r="BB117" i="40"/>
  <c r="BR117" i="40"/>
  <c r="CH117" i="40"/>
  <c r="M117" i="40"/>
  <c r="AJ117" i="40"/>
  <c r="BF117" i="40"/>
  <c r="BV117" i="40"/>
  <c r="DT117" i="40"/>
  <c r="BZ117" i="40"/>
  <c r="AE117" i="40"/>
  <c r="IJ117" i="40"/>
  <c r="IM117" i="40" s="1"/>
  <c r="BJ117" i="40"/>
  <c r="JO117" i="40"/>
  <c r="IX117" i="40"/>
  <c r="IZ117" i="40"/>
  <c r="IY117" i="40"/>
  <c r="IA117" i="40"/>
  <c r="IA617" i="40" s="1"/>
  <c r="HY117" i="40"/>
  <c r="HY617" i="40" s="1"/>
  <c r="E117" i="40"/>
  <c r="Q117" i="40"/>
  <c r="HZ117" i="40"/>
  <c r="T117" i="40"/>
  <c r="R117" i="40"/>
  <c r="Z117" i="40"/>
  <c r="W117" i="40"/>
  <c r="S117" i="40"/>
  <c r="U117" i="40"/>
  <c r="V117" i="40"/>
  <c r="X117" i="40"/>
  <c r="JP117" i="40"/>
  <c r="Y117" i="40"/>
  <c r="HX115" i="40"/>
  <c r="AP430" i="40"/>
  <c r="B432" i="40"/>
  <c r="A431" i="40"/>
  <c r="AP116" i="40"/>
  <c r="AM116" i="40"/>
  <c r="IC115" i="40"/>
  <c r="HV115" i="40"/>
  <c r="JJ114" i="40"/>
  <c r="JK114" i="40" s="1"/>
  <c r="JL114" i="40" s="1"/>
  <c r="C224" i="40"/>
  <c r="BA223" i="40"/>
  <c r="BE223" i="40"/>
  <c r="BI223" i="40"/>
  <c r="BM223" i="40"/>
  <c r="BQ223" i="40"/>
  <c r="BU223" i="40"/>
  <c r="BY223" i="40"/>
  <c r="CC223" i="40"/>
  <c r="CG223" i="40"/>
  <c r="DS223" i="40"/>
  <c r="DW223" i="40"/>
  <c r="AW223" i="40"/>
  <c r="BB223" i="40"/>
  <c r="BF223" i="40"/>
  <c r="BJ223" i="40"/>
  <c r="BN223" i="40"/>
  <c r="BR223" i="40"/>
  <c r="BV223" i="40"/>
  <c r="BZ223" i="40"/>
  <c r="CD223" i="40"/>
  <c r="CH223" i="40"/>
  <c r="DT223" i="40"/>
  <c r="A223" i="40"/>
  <c r="AX223" i="40"/>
  <c r="BC223" i="40"/>
  <c r="BG223" i="40"/>
  <c r="BK223" i="40"/>
  <c r="BO223" i="40"/>
  <c r="BS223" i="40"/>
  <c r="BW223" i="40"/>
  <c r="CA223" i="40"/>
  <c r="CE223" i="40"/>
  <c r="DU223" i="40"/>
  <c r="BD223" i="40"/>
  <c r="BT223" i="40"/>
  <c r="DM223" i="40"/>
  <c r="BH223" i="40"/>
  <c r="BX223" i="40"/>
  <c r="DV223" i="40"/>
  <c r="BL223" i="40"/>
  <c r="CB223" i="40"/>
  <c r="BP223" i="40"/>
  <c r="CF223" i="40"/>
  <c r="JO223" i="40"/>
  <c r="AZ223" i="40"/>
  <c r="IA223" i="40"/>
  <c r="JP223" i="40"/>
  <c r="HZ223" i="40"/>
  <c r="HY223" i="40"/>
  <c r="IY223" i="40"/>
  <c r="IZ223" i="40"/>
  <c r="IX223" i="40"/>
  <c r="AO116" i="40"/>
  <c r="HS116" i="40"/>
  <c r="HU116" i="40"/>
  <c r="JL113" i="40"/>
  <c r="JM113" i="40" s="1"/>
  <c r="JL104" i="40"/>
  <c r="JL101" i="40"/>
  <c r="JM101" i="40" s="1"/>
  <c r="JL102" i="40"/>
  <c r="JL110" i="40"/>
  <c r="JM110" i="40" s="1"/>
  <c r="JL105" i="40"/>
  <c r="JM105" i="40" s="1"/>
  <c r="JL103" i="40"/>
  <c r="JL107" i="40"/>
  <c r="JM107" i="40" s="1"/>
  <c r="JL111" i="40"/>
  <c r="JL112" i="40"/>
  <c r="JM112" i="40" s="1"/>
  <c r="JL106" i="40"/>
  <c r="JM106" i="40" s="1"/>
  <c r="JL109" i="40"/>
  <c r="JM109" i="40" s="1"/>
  <c r="JL108" i="40"/>
  <c r="JM108" i="40" s="1"/>
  <c r="IQ117" i="40" l="1"/>
  <c r="D430" i="40"/>
  <c r="D116" i="40"/>
  <c r="AY116" i="40" s="1"/>
  <c r="HV116" i="40"/>
  <c r="HX116" i="40"/>
  <c r="D222" i="40"/>
  <c r="HM117" i="40"/>
  <c r="HP117" i="40" s="1"/>
  <c r="HN117" i="40"/>
  <c r="HQ117" i="40" s="1"/>
  <c r="B198" i="75"/>
  <c r="Y698" i="40"/>
  <c r="Y697" i="40"/>
  <c r="AP223" i="40"/>
  <c r="IZ617" i="40"/>
  <c r="D13" i="70"/>
  <c r="AY13" i="70" s="1"/>
  <c r="D26" i="70"/>
  <c r="HV117" i="40"/>
  <c r="JC117" i="40"/>
  <c r="F22" i="44" s="1"/>
  <c r="M21" i="44"/>
  <c r="HU117" i="40"/>
  <c r="C225" i="40"/>
  <c r="A224" i="40"/>
  <c r="AX224" i="40"/>
  <c r="BC224" i="40"/>
  <c r="BG224" i="40"/>
  <c r="BK224" i="40"/>
  <c r="BO224" i="40"/>
  <c r="BS224" i="40"/>
  <c r="BW224" i="40"/>
  <c r="CA224" i="40"/>
  <c r="CE224" i="40"/>
  <c r="DU224" i="40"/>
  <c r="AZ224" i="40"/>
  <c r="BD224" i="40"/>
  <c r="BH224" i="40"/>
  <c r="BL224" i="40"/>
  <c r="BP224" i="40"/>
  <c r="BT224" i="40"/>
  <c r="BX224" i="40"/>
  <c r="CB224" i="40"/>
  <c r="CF224" i="40"/>
  <c r="DM224" i="40"/>
  <c r="DV224" i="40"/>
  <c r="BA224" i="40"/>
  <c r="BE224" i="40"/>
  <c r="BI224" i="40"/>
  <c r="BM224" i="40"/>
  <c r="BQ224" i="40"/>
  <c r="BU224" i="40"/>
  <c r="BY224" i="40"/>
  <c r="CC224" i="40"/>
  <c r="CG224" i="40"/>
  <c r="DS224" i="40"/>
  <c r="DW224" i="40"/>
  <c r="AW224" i="40"/>
  <c r="BN224" i="40"/>
  <c r="CD224" i="40"/>
  <c r="BB224" i="40"/>
  <c r="BR224" i="40"/>
  <c r="CH224" i="40"/>
  <c r="BF224" i="40"/>
  <c r="BV224" i="40"/>
  <c r="DT224" i="40"/>
  <c r="BJ224" i="40"/>
  <c r="BZ224" i="40"/>
  <c r="JO224" i="40"/>
  <c r="HZ224" i="40"/>
  <c r="IA224" i="40"/>
  <c r="HY224" i="40"/>
  <c r="JP224" i="40"/>
  <c r="IX224" i="40"/>
  <c r="IY224" i="40"/>
  <c r="IZ224" i="40"/>
  <c r="AN117" i="40"/>
  <c r="AO223" i="40"/>
  <c r="AO431" i="40"/>
  <c r="AM431" i="40"/>
  <c r="AP117" i="40"/>
  <c r="G48" i="58" s="1"/>
  <c r="AO117" i="40"/>
  <c r="HT117" i="40"/>
  <c r="AM117" i="40"/>
  <c r="HW117" i="40"/>
  <c r="HS117" i="40"/>
  <c r="IO117" i="40"/>
  <c r="JA117" i="40" s="1"/>
  <c r="IC116" i="40"/>
  <c r="D27" i="70"/>
  <c r="AN431" i="40"/>
  <c r="IX617" i="40"/>
  <c r="IP117" i="40"/>
  <c r="JB117" i="40" s="1"/>
  <c r="E22" i="44" s="1"/>
  <c r="HR117" i="40"/>
  <c r="C119" i="40"/>
  <c r="F118" i="40"/>
  <c r="N118" i="40"/>
  <c r="AE118" i="40"/>
  <c r="H118" i="40"/>
  <c r="AB118" i="40"/>
  <c r="AJ118" i="40"/>
  <c r="IJ118" i="40"/>
  <c r="IM118" i="40" s="1"/>
  <c r="AW118" i="40"/>
  <c r="BB118" i="40"/>
  <c r="BF118" i="40"/>
  <c r="BJ118" i="40"/>
  <c r="BN118" i="40"/>
  <c r="BR118" i="40"/>
  <c r="BV118" i="40"/>
  <c r="BZ118" i="40"/>
  <c r="CD118" i="40"/>
  <c r="CH118" i="40"/>
  <c r="DM118" i="40"/>
  <c r="DV118" i="40"/>
  <c r="K118" i="40"/>
  <c r="P118" i="40"/>
  <c r="AG118" i="40"/>
  <c r="I118" i="40"/>
  <c r="AD118" i="40"/>
  <c r="JF118" i="40"/>
  <c r="HN118" i="40" s="1"/>
  <c r="II118" i="40"/>
  <c r="IL118" i="40" s="1"/>
  <c r="AX118" i="40"/>
  <c r="BC118" i="40"/>
  <c r="BG118" i="40"/>
  <c r="BK118" i="40"/>
  <c r="BO118" i="40"/>
  <c r="BS118" i="40"/>
  <c r="BW118" i="40"/>
  <c r="CA118" i="40"/>
  <c r="CE118" i="40"/>
  <c r="DS118" i="40"/>
  <c r="DW118" i="40"/>
  <c r="L118" i="40"/>
  <c r="AA118" i="40"/>
  <c r="AI118" i="40"/>
  <c r="J118" i="40"/>
  <c r="AF118" i="40"/>
  <c r="IK118" i="40"/>
  <c r="IN118" i="40" s="1"/>
  <c r="AZ118" i="40"/>
  <c r="BD118" i="40"/>
  <c r="BH118" i="40"/>
  <c r="BL118" i="40"/>
  <c r="BP118" i="40"/>
  <c r="BT118" i="40"/>
  <c r="BX118" i="40"/>
  <c r="CB118" i="40"/>
  <c r="CF118" i="40"/>
  <c r="DT118" i="40"/>
  <c r="M118" i="40"/>
  <c r="AH118" i="40"/>
  <c r="BE118" i="40"/>
  <c r="BU118" i="40"/>
  <c r="AC118" i="40"/>
  <c r="BI118" i="40"/>
  <c r="BY118" i="40"/>
  <c r="DU118" i="40"/>
  <c r="G118" i="40"/>
  <c r="IP118" i="40" s="1"/>
  <c r="BM118" i="40"/>
  <c r="CC118" i="40"/>
  <c r="A118" i="40"/>
  <c r="BA118" i="40"/>
  <c r="O118" i="40"/>
  <c r="BQ118" i="40"/>
  <c r="CG118" i="40"/>
  <c r="IY118" i="40"/>
  <c r="IZ118" i="40"/>
  <c r="IX118" i="40"/>
  <c r="JO118" i="40"/>
  <c r="IA118" i="40"/>
  <c r="IA618" i="40" s="1"/>
  <c r="T118" i="40"/>
  <c r="Q118" i="40"/>
  <c r="Z118" i="40"/>
  <c r="V118" i="40"/>
  <c r="S118" i="40"/>
  <c r="HY118" i="40"/>
  <c r="HY618" i="40" s="1"/>
  <c r="HZ118" i="40"/>
  <c r="E118" i="40"/>
  <c r="R118" i="40"/>
  <c r="U118" i="40"/>
  <c r="W118" i="40"/>
  <c r="X118" i="40"/>
  <c r="JP118" i="40"/>
  <c r="Y118" i="40"/>
  <c r="JG118" i="40"/>
  <c r="JI116" i="40"/>
  <c r="AN223" i="40"/>
  <c r="AM223" i="40"/>
  <c r="JJ115" i="40"/>
  <c r="JK115" i="40" s="1"/>
  <c r="JL115" i="40" s="1"/>
  <c r="AP431" i="40"/>
  <c r="B433" i="40"/>
  <c r="A432" i="40"/>
  <c r="AK117" i="40"/>
  <c r="J48" i="58" s="1"/>
  <c r="J49" i="58" s="1"/>
  <c r="AL117" i="40"/>
  <c r="HZ617" i="40"/>
  <c r="IY617" i="40" s="1"/>
  <c r="JH116" i="40"/>
  <c r="M21" i="70"/>
  <c r="M20" i="70"/>
  <c r="M23" i="70"/>
  <c r="M12" i="70"/>
  <c r="M24" i="70"/>
  <c r="JM111" i="40"/>
  <c r="JX107" i="40"/>
  <c r="JM114" i="40"/>
  <c r="JM103" i="40"/>
  <c r="JM102" i="40"/>
  <c r="JX101" i="40"/>
  <c r="JM104" i="40"/>
  <c r="JJ116" i="40" l="1"/>
  <c r="D223" i="40"/>
  <c r="D431" i="40"/>
  <c r="B199" i="75"/>
  <c r="Y699" i="40"/>
  <c r="IQ118" i="40"/>
  <c r="JC118" i="40" s="1"/>
  <c r="HX117" i="40"/>
  <c r="JJ117" i="40" s="1"/>
  <c r="HV118" i="40"/>
  <c r="IO118" i="40"/>
  <c r="JA118" i="40" s="1"/>
  <c r="AP224" i="40"/>
  <c r="IX618" i="40"/>
  <c r="AP118" i="40"/>
  <c r="D117" i="40"/>
  <c r="AY117" i="40" s="1"/>
  <c r="IC117" i="40"/>
  <c r="JM115" i="40"/>
  <c r="H13" i="70" s="1"/>
  <c r="BC13" i="70" s="1"/>
  <c r="AO432" i="40"/>
  <c r="HQ118" i="40"/>
  <c r="AM224" i="40"/>
  <c r="D224" i="40" s="1"/>
  <c r="C226" i="40"/>
  <c r="AZ225" i="40"/>
  <c r="BD225" i="40"/>
  <c r="BH225" i="40"/>
  <c r="BL225" i="40"/>
  <c r="BP225" i="40"/>
  <c r="BT225" i="40"/>
  <c r="BX225" i="40"/>
  <c r="CB225" i="40"/>
  <c r="CF225" i="40"/>
  <c r="DU225" i="40"/>
  <c r="BA225" i="40"/>
  <c r="BE225" i="40"/>
  <c r="BI225" i="40"/>
  <c r="BM225" i="40"/>
  <c r="BQ225" i="40"/>
  <c r="BU225" i="40"/>
  <c r="BY225" i="40"/>
  <c r="CC225" i="40"/>
  <c r="CG225" i="40"/>
  <c r="DM225" i="40"/>
  <c r="DV225" i="40"/>
  <c r="AW225" i="40"/>
  <c r="BB225" i="40"/>
  <c r="BF225" i="40"/>
  <c r="BJ225" i="40"/>
  <c r="BN225" i="40"/>
  <c r="BR225" i="40"/>
  <c r="BV225" i="40"/>
  <c r="BZ225" i="40"/>
  <c r="CD225" i="40"/>
  <c r="CH225" i="40"/>
  <c r="DS225" i="40"/>
  <c r="DW225" i="40"/>
  <c r="BG225" i="40"/>
  <c r="BW225" i="40"/>
  <c r="DT225" i="40"/>
  <c r="BK225" i="40"/>
  <c r="CA225" i="40"/>
  <c r="AX225" i="40"/>
  <c r="BO225" i="40"/>
  <c r="CE225" i="40"/>
  <c r="BC225" i="40"/>
  <c r="JO225" i="40"/>
  <c r="BS225" i="40"/>
  <c r="A225" i="40"/>
  <c r="HZ225" i="40"/>
  <c r="JP225" i="40"/>
  <c r="IA225" i="40"/>
  <c r="HY225" i="40"/>
  <c r="IY225" i="40"/>
  <c r="IZ225" i="40"/>
  <c r="IX225" i="40"/>
  <c r="AN432" i="40"/>
  <c r="AM432" i="40"/>
  <c r="HZ618" i="40"/>
  <c r="IY618" i="40" s="1"/>
  <c r="HM118" i="40"/>
  <c r="IZ618" i="40"/>
  <c r="HU118" i="40"/>
  <c r="AM118" i="40"/>
  <c r="C120" i="40"/>
  <c r="K119" i="40"/>
  <c r="P119" i="40"/>
  <c r="AI119" i="40"/>
  <c r="J119" i="40"/>
  <c r="AF119" i="40"/>
  <c r="IK119" i="40"/>
  <c r="IN119" i="40" s="1"/>
  <c r="AZ119" i="40"/>
  <c r="BD119" i="40"/>
  <c r="BH119" i="40"/>
  <c r="BL119" i="40"/>
  <c r="BP119" i="40"/>
  <c r="BT119" i="40"/>
  <c r="BX119" i="40"/>
  <c r="CB119" i="40"/>
  <c r="CF119" i="40"/>
  <c r="DM119" i="40"/>
  <c r="DV119" i="40"/>
  <c r="L119" i="40"/>
  <c r="AC119" i="40"/>
  <c r="G119" i="40"/>
  <c r="O119" i="40"/>
  <c r="AH119" i="40"/>
  <c r="BA119" i="40"/>
  <c r="BE119" i="40"/>
  <c r="BI119" i="40"/>
  <c r="BM119" i="40"/>
  <c r="BQ119" i="40"/>
  <c r="BU119" i="40"/>
  <c r="BY119" i="40"/>
  <c r="CC119" i="40"/>
  <c r="CG119" i="40"/>
  <c r="DS119" i="40"/>
  <c r="DW119" i="40"/>
  <c r="A119" i="40"/>
  <c r="M119" i="40"/>
  <c r="AE119" i="40"/>
  <c r="H119" i="40"/>
  <c r="AB119" i="40"/>
  <c r="AJ119" i="40"/>
  <c r="IJ119" i="40"/>
  <c r="IM119" i="40" s="1"/>
  <c r="AW119" i="40"/>
  <c r="BB119" i="40"/>
  <c r="BF119" i="40"/>
  <c r="BJ119" i="40"/>
  <c r="BN119" i="40"/>
  <c r="BR119" i="40"/>
  <c r="BV119" i="40"/>
  <c r="BZ119" i="40"/>
  <c r="CD119" i="40"/>
  <c r="CH119" i="40"/>
  <c r="DT119" i="40"/>
  <c r="AG119" i="40"/>
  <c r="II119" i="40"/>
  <c r="IL119" i="40" s="1"/>
  <c r="BK119" i="40"/>
  <c r="CA119" i="40"/>
  <c r="I119" i="40"/>
  <c r="AX119" i="40"/>
  <c r="BO119" i="40"/>
  <c r="CE119" i="40"/>
  <c r="F119" i="40"/>
  <c r="AD119" i="40"/>
  <c r="BC119" i="40"/>
  <c r="BS119" i="40"/>
  <c r="N119" i="40"/>
  <c r="DU119" i="40"/>
  <c r="JF119" i="40"/>
  <c r="HO119" i="40" s="1"/>
  <c r="BG119" i="40"/>
  <c r="BW119" i="40"/>
  <c r="IY119" i="40"/>
  <c r="IZ119" i="40"/>
  <c r="JO119" i="40"/>
  <c r="IX119" i="40"/>
  <c r="U119" i="40"/>
  <c r="V119" i="40"/>
  <c r="S119" i="40"/>
  <c r="AA119" i="40"/>
  <c r="IA119" i="40"/>
  <c r="IA619" i="40" s="1"/>
  <c r="HY119" i="40"/>
  <c r="HY619" i="40" s="1"/>
  <c r="E119" i="40"/>
  <c r="Q119" i="40"/>
  <c r="T119" i="40"/>
  <c r="R119" i="40"/>
  <c r="HZ119" i="40"/>
  <c r="W119" i="40"/>
  <c r="Z119" i="40"/>
  <c r="JP119" i="40"/>
  <c r="X119" i="40"/>
  <c r="Y119" i="40"/>
  <c r="JG119" i="40"/>
  <c r="JH117" i="40"/>
  <c r="AP432" i="40"/>
  <c r="B434" i="40"/>
  <c r="A433" i="40"/>
  <c r="JK116" i="40"/>
  <c r="JL116" i="40" s="1"/>
  <c r="AL118" i="40"/>
  <c r="AK118" i="40"/>
  <c r="AN118" i="40"/>
  <c r="HO118" i="40"/>
  <c r="JB118" i="40"/>
  <c r="E23" i="44" s="1"/>
  <c r="HT118" i="40"/>
  <c r="AO118" i="40"/>
  <c r="HS118" i="40"/>
  <c r="JI117" i="40"/>
  <c r="AO224" i="40"/>
  <c r="AN224" i="40"/>
  <c r="KO113" i="40"/>
  <c r="H20" i="70"/>
  <c r="KO110" i="40"/>
  <c r="KO107" i="40"/>
  <c r="AE33" i="58"/>
  <c r="KO102" i="40"/>
  <c r="AE33" i="62"/>
  <c r="M25" i="70"/>
  <c r="KO114" i="40"/>
  <c r="H25" i="70"/>
  <c r="KO111" i="40"/>
  <c r="M22" i="70"/>
  <c r="H22" i="70"/>
  <c r="M11" i="70"/>
  <c r="H11" i="70"/>
  <c r="BC11" i="70" s="1"/>
  <c r="H23" i="70"/>
  <c r="KO106" i="40"/>
  <c r="KO109" i="40"/>
  <c r="KO108" i="40"/>
  <c r="H21" i="70"/>
  <c r="H24" i="70"/>
  <c r="KO101" i="40"/>
  <c r="KO105" i="40"/>
  <c r="KO104" i="40"/>
  <c r="KO103" i="40"/>
  <c r="H12" i="70"/>
  <c r="BC12" i="70" s="1"/>
  <c r="KO112" i="40"/>
  <c r="HX118" i="40" l="1"/>
  <c r="D432" i="40"/>
  <c r="IO119" i="40"/>
  <c r="JA119" i="40" s="1"/>
  <c r="B200" i="75"/>
  <c r="F695" i="40"/>
  <c r="G690" i="40"/>
  <c r="T696" i="40"/>
  <c r="U697" i="40"/>
  <c r="V699" i="40"/>
  <c r="F694" i="40"/>
  <c r="S692" i="40"/>
  <c r="H699" i="40"/>
  <c r="S699" i="40"/>
  <c r="AC699" i="40"/>
  <c r="Q694" i="40"/>
  <c r="Q697" i="40"/>
  <c r="F698" i="40"/>
  <c r="G695" i="40"/>
  <c r="S694" i="40"/>
  <c r="AC695" i="40"/>
  <c r="I693" i="40"/>
  <c r="AE696" i="40"/>
  <c r="I698" i="40"/>
  <c r="V694" i="40"/>
  <c r="Q695" i="40"/>
  <c r="I694" i="40"/>
  <c r="H697" i="40"/>
  <c r="G699" i="40"/>
  <c r="H696" i="40"/>
  <c r="I696" i="40"/>
  <c r="S695" i="40"/>
  <c r="F693" i="40"/>
  <c r="S696" i="40"/>
  <c r="AE697" i="40"/>
  <c r="Q693" i="40"/>
  <c r="I697" i="40"/>
  <c r="AE694" i="40"/>
  <c r="F699" i="40"/>
  <c r="H695" i="40"/>
  <c r="AC696" i="40"/>
  <c r="T699" i="40"/>
  <c r="F696" i="40"/>
  <c r="G697" i="40"/>
  <c r="U695" i="40"/>
  <c r="AC697" i="40"/>
  <c r="H694" i="40"/>
  <c r="S697" i="40"/>
  <c r="S698" i="40"/>
  <c r="H698" i="40"/>
  <c r="AC698" i="40"/>
  <c r="AE699" i="40"/>
  <c r="V697" i="40"/>
  <c r="U698" i="40"/>
  <c r="Q698" i="40"/>
  <c r="G694" i="40"/>
  <c r="U694" i="40"/>
  <c r="V696" i="40"/>
  <c r="Q699" i="40"/>
  <c r="F697" i="40"/>
  <c r="AE698" i="40"/>
  <c r="U696" i="40"/>
  <c r="I695" i="40"/>
  <c r="AE695" i="40"/>
  <c r="G696" i="40"/>
  <c r="G698" i="40"/>
  <c r="U699" i="40"/>
  <c r="I699" i="40"/>
  <c r="AC694" i="40"/>
  <c r="Q696" i="40"/>
  <c r="T695" i="40"/>
  <c r="V698" i="40"/>
  <c r="T697" i="40"/>
  <c r="R698" i="40"/>
  <c r="T698" i="40"/>
  <c r="V695" i="40"/>
  <c r="E696" i="40"/>
  <c r="E698" i="40"/>
  <c r="E695" i="40"/>
  <c r="E697" i="40"/>
  <c r="R696" i="40"/>
  <c r="R697" i="40"/>
  <c r="R695" i="40"/>
  <c r="E699" i="40"/>
  <c r="R699" i="40"/>
  <c r="Z698" i="40"/>
  <c r="Z699" i="40"/>
  <c r="Z697" i="40"/>
  <c r="M26" i="70"/>
  <c r="M13" i="70"/>
  <c r="KO115" i="40"/>
  <c r="H26" i="70"/>
  <c r="IQ119" i="40"/>
  <c r="JC119" i="40" s="1"/>
  <c r="F24" i="44" s="1"/>
  <c r="D118" i="40"/>
  <c r="AY118" i="40" s="1"/>
  <c r="HW118" i="40"/>
  <c r="IC118" i="40" s="1"/>
  <c r="HX119" i="40"/>
  <c r="IX619" i="40"/>
  <c r="HN119" i="40"/>
  <c r="HQ119" i="40" s="1"/>
  <c r="HM119" i="40"/>
  <c r="HP119" i="40" s="1"/>
  <c r="JK117" i="40"/>
  <c r="JL117" i="40" s="1"/>
  <c r="JM117" i="40" s="1"/>
  <c r="AP119" i="40"/>
  <c r="HU119" i="40"/>
  <c r="HP118" i="40"/>
  <c r="AN225" i="40"/>
  <c r="AO225" i="40"/>
  <c r="AM225" i="40"/>
  <c r="JI118" i="40"/>
  <c r="HR118" i="40"/>
  <c r="AP433" i="40"/>
  <c r="AN119" i="40"/>
  <c r="HS119" i="40"/>
  <c r="AM119" i="40"/>
  <c r="AP225" i="40"/>
  <c r="C227" i="40"/>
  <c r="AZ226" i="40"/>
  <c r="BD226" i="40"/>
  <c r="BH226" i="40"/>
  <c r="BL226" i="40"/>
  <c r="BP226" i="40"/>
  <c r="BT226" i="40"/>
  <c r="BX226" i="40"/>
  <c r="CB226" i="40"/>
  <c r="CF226" i="40"/>
  <c r="DM226" i="40"/>
  <c r="DV226" i="40"/>
  <c r="BA226" i="40"/>
  <c r="BE226" i="40"/>
  <c r="BI226" i="40"/>
  <c r="BM226" i="40"/>
  <c r="BQ226" i="40"/>
  <c r="BU226" i="40"/>
  <c r="BY226" i="40"/>
  <c r="CC226" i="40"/>
  <c r="CG226" i="40"/>
  <c r="DS226" i="40"/>
  <c r="DW226" i="40"/>
  <c r="AW226" i="40"/>
  <c r="BB226" i="40"/>
  <c r="BF226" i="40"/>
  <c r="BJ226" i="40"/>
  <c r="BN226" i="40"/>
  <c r="BR226" i="40"/>
  <c r="BV226" i="40"/>
  <c r="BZ226" i="40"/>
  <c r="CD226" i="40"/>
  <c r="CH226" i="40"/>
  <c r="DT226" i="40"/>
  <c r="AX226" i="40"/>
  <c r="BO226" i="40"/>
  <c r="CE226" i="40"/>
  <c r="A226" i="40"/>
  <c r="BC226" i="40"/>
  <c r="BS226" i="40"/>
  <c r="BG226" i="40"/>
  <c r="BW226" i="40"/>
  <c r="DU226" i="40"/>
  <c r="JO226" i="40"/>
  <c r="BK226" i="40"/>
  <c r="CA226" i="40"/>
  <c r="JP226" i="40"/>
  <c r="HZ226" i="40"/>
  <c r="HY226" i="40"/>
  <c r="IA226" i="40"/>
  <c r="IX226" i="40"/>
  <c r="IY226" i="40"/>
  <c r="IZ226" i="40"/>
  <c r="D23" i="44"/>
  <c r="AO433" i="40"/>
  <c r="AM433" i="40"/>
  <c r="HZ619" i="40"/>
  <c r="IY619" i="40" s="1"/>
  <c r="AO119" i="40"/>
  <c r="HT119" i="40"/>
  <c r="IP119" i="40"/>
  <c r="JB119" i="40" s="1"/>
  <c r="E24" i="44" s="1"/>
  <c r="C121" i="40"/>
  <c r="K120" i="40"/>
  <c r="P120" i="40"/>
  <c r="AG120" i="40"/>
  <c r="I120" i="40"/>
  <c r="AD120" i="40"/>
  <c r="JF120" i="40"/>
  <c r="HN120" i="40" s="1"/>
  <c r="II120" i="40"/>
  <c r="IL120" i="40" s="1"/>
  <c r="AX120" i="40"/>
  <c r="BC120" i="40"/>
  <c r="BG120" i="40"/>
  <c r="BK120" i="40"/>
  <c r="BO120" i="40"/>
  <c r="BS120" i="40"/>
  <c r="BW120" i="40"/>
  <c r="CA120" i="40"/>
  <c r="CE120" i="40"/>
  <c r="DT120" i="40"/>
  <c r="L120" i="40"/>
  <c r="AA120" i="40"/>
  <c r="AI120" i="40"/>
  <c r="J120" i="40"/>
  <c r="AF120" i="40"/>
  <c r="IK120" i="40"/>
  <c r="IN120" i="40" s="1"/>
  <c r="AZ120" i="40"/>
  <c r="BD120" i="40"/>
  <c r="BH120" i="40"/>
  <c r="BL120" i="40"/>
  <c r="BP120" i="40"/>
  <c r="BT120" i="40"/>
  <c r="BX120" i="40"/>
  <c r="CB120" i="40"/>
  <c r="CF120" i="40"/>
  <c r="DU120" i="40"/>
  <c r="A120" i="40"/>
  <c r="M120" i="40"/>
  <c r="AC120" i="40"/>
  <c r="G120" i="40"/>
  <c r="O120" i="40"/>
  <c r="AH120" i="40"/>
  <c r="BA120" i="40"/>
  <c r="BE120" i="40"/>
  <c r="BI120" i="40"/>
  <c r="BM120" i="40"/>
  <c r="BQ120" i="40"/>
  <c r="BU120" i="40"/>
  <c r="BY120" i="40"/>
  <c r="CC120" i="40"/>
  <c r="CG120" i="40"/>
  <c r="DM120" i="40"/>
  <c r="DV120" i="40"/>
  <c r="F120" i="40"/>
  <c r="IO120" i="40" s="1"/>
  <c r="AB120" i="40"/>
  <c r="BB120" i="40"/>
  <c r="BR120" i="40"/>
  <c r="CH120" i="40"/>
  <c r="N120" i="40"/>
  <c r="AJ120" i="40"/>
  <c r="BF120" i="40"/>
  <c r="BV120" i="40"/>
  <c r="DS120" i="40"/>
  <c r="AE120" i="40"/>
  <c r="IJ120" i="40"/>
  <c r="IM120" i="40" s="1"/>
  <c r="BJ120" i="40"/>
  <c r="BZ120" i="40"/>
  <c r="DW120" i="40"/>
  <c r="CD120" i="40"/>
  <c r="H120" i="40"/>
  <c r="IQ120" i="40" s="1"/>
  <c r="AW120" i="40"/>
  <c r="BN120" i="40"/>
  <c r="IY120" i="40"/>
  <c r="IZ120" i="40"/>
  <c r="IX120" i="40"/>
  <c r="JO120" i="40"/>
  <c r="HZ120" i="40"/>
  <c r="R120" i="40"/>
  <c r="U120" i="40"/>
  <c r="W120" i="40"/>
  <c r="IA120" i="40"/>
  <c r="IA620" i="40" s="1"/>
  <c r="T120" i="40"/>
  <c r="Q120" i="40"/>
  <c r="Z120" i="40"/>
  <c r="V120" i="40"/>
  <c r="S120" i="40"/>
  <c r="HY120" i="40"/>
  <c r="HY620" i="40" s="1"/>
  <c r="E120" i="40"/>
  <c r="X120" i="40"/>
  <c r="JP120" i="40"/>
  <c r="Y120" i="40"/>
  <c r="JG120" i="40"/>
  <c r="F23" i="44"/>
  <c r="JM116" i="40"/>
  <c r="AN433" i="40"/>
  <c r="B435" i="40"/>
  <c r="A434" i="40"/>
  <c r="AK119" i="40"/>
  <c r="AL119" i="40"/>
  <c r="IZ619" i="40"/>
  <c r="HR119" i="40"/>
  <c r="AE71" i="58"/>
  <c r="AI71" i="58" s="1"/>
  <c r="AE55" i="58"/>
  <c r="AI55" i="58" s="1"/>
  <c r="AE65" i="58"/>
  <c r="AI65" i="58" s="1"/>
  <c r="AE57" i="58"/>
  <c r="AI57" i="58" s="1"/>
  <c r="AE69" i="58"/>
  <c r="AI69" i="58" s="1"/>
  <c r="AE63" i="58"/>
  <c r="AI63" i="58" s="1"/>
  <c r="AE53" i="58"/>
  <c r="AI53" i="58" s="1"/>
  <c r="AE59" i="58"/>
  <c r="AI59" i="58" s="1"/>
  <c r="AE67" i="58"/>
  <c r="AI67" i="58" s="1"/>
  <c r="AE51" i="58"/>
  <c r="AI51" i="58" s="1"/>
  <c r="AE61" i="58"/>
  <c r="AI61" i="58" s="1"/>
  <c r="AE51" i="62"/>
  <c r="AI51" i="62" s="1"/>
  <c r="AE55" i="62"/>
  <c r="AI55" i="62" s="1"/>
  <c r="AE71" i="62"/>
  <c r="AI71" i="62" s="1"/>
  <c r="AE69" i="62"/>
  <c r="AI69" i="62" s="1"/>
  <c r="AE61" i="62"/>
  <c r="AI61" i="62" s="1"/>
  <c r="AE57" i="62"/>
  <c r="AI57" i="62" s="1"/>
  <c r="AE65" i="62"/>
  <c r="AI65" i="62" s="1"/>
  <c r="AE63" i="62"/>
  <c r="AI63" i="62" s="1"/>
  <c r="AE59" i="62"/>
  <c r="AI59" i="62" s="1"/>
  <c r="AE67" i="62"/>
  <c r="AI67" i="62" s="1"/>
  <c r="AE53" i="62"/>
  <c r="AI53" i="62" s="1"/>
  <c r="HO120" i="40" l="1"/>
  <c r="Z595" i="40"/>
  <c r="Z599" i="40"/>
  <c r="Z593" i="40"/>
  <c r="F593" i="40"/>
  <c r="F597" i="40"/>
  <c r="V597" i="40"/>
  <c r="R597" i="40"/>
  <c r="F595" i="40"/>
  <c r="Z592" i="40"/>
  <c r="Z597" i="40"/>
  <c r="F598" i="40"/>
  <c r="R598" i="40"/>
  <c r="R600" i="40"/>
  <c r="F600" i="40"/>
  <c r="Z600" i="40"/>
  <c r="R594" i="40"/>
  <c r="F599" i="40"/>
  <c r="Z594" i="40"/>
  <c r="R595" i="40"/>
  <c r="R592" i="40"/>
  <c r="R596" i="40"/>
  <c r="R593" i="40"/>
  <c r="V192" i="40"/>
  <c r="V598" i="40"/>
  <c r="V593" i="40"/>
  <c r="R599" i="40"/>
  <c r="V594" i="40"/>
  <c r="Z598" i="40"/>
  <c r="Z596" i="40"/>
  <c r="F596" i="40"/>
  <c r="F594" i="40"/>
  <c r="V592" i="40"/>
  <c r="V595" i="40"/>
  <c r="V596" i="40"/>
  <c r="V600" i="40"/>
  <c r="V599" i="40"/>
  <c r="R398" i="40"/>
  <c r="AC195" i="40"/>
  <c r="Q300" i="40"/>
  <c r="T299" i="40"/>
  <c r="F194" i="40"/>
  <c r="H393" i="40"/>
  <c r="F297" i="40"/>
  <c r="AG400" i="40"/>
  <c r="Y198" i="40"/>
  <c r="V293" i="40"/>
  <c r="U199" i="40"/>
  <c r="U296" i="40"/>
  <c r="S196" i="40"/>
  <c r="H195" i="40"/>
  <c r="U299" i="40"/>
  <c r="G595" i="40"/>
  <c r="V197" i="40"/>
  <c r="AC393" i="40"/>
  <c r="Z396" i="40"/>
  <c r="H600" i="40"/>
  <c r="AC394" i="40"/>
  <c r="G596" i="40"/>
  <c r="Q598" i="40"/>
  <c r="E195" i="40"/>
  <c r="AA397" i="40"/>
  <c r="AG199" i="40"/>
  <c r="S399" i="40"/>
  <c r="Z399" i="40"/>
  <c r="AE394" i="40"/>
  <c r="AG293" i="40"/>
  <c r="H298" i="40"/>
  <c r="AG595" i="40"/>
  <c r="Z194" i="40"/>
  <c r="E595" i="40"/>
  <c r="U193" i="40"/>
  <c r="E599" i="40"/>
  <c r="Q297" i="40"/>
  <c r="AG297" i="40"/>
  <c r="Y298" i="40"/>
  <c r="S593" i="40"/>
  <c r="AI600" i="40"/>
  <c r="AA194" i="40"/>
  <c r="Q399" i="40"/>
  <c r="F200" i="40"/>
  <c r="H297" i="40"/>
  <c r="AI293" i="40"/>
  <c r="U396" i="40"/>
  <c r="V397" i="40"/>
  <c r="AI597" i="40"/>
  <c r="E396" i="40"/>
  <c r="AI396" i="40"/>
  <c r="T599" i="40"/>
  <c r="T597" i="40"/>
  <c r="R196" i="40"/>
  <c r="H199" i="40"/>
  <c r="AA395" i="40"/>
  <c r="AG197" i="40"/>
  <c r="R399" i="40"/>
  <c r="AG596" i="40"/>
  <c r="Q294" i="40"/>
  <c r="V298" i="40"/>
  <c r="H196" i="40"/>
  <c r="AC397" i="40"/>
  <c r="H599" i="40"/>
  <c r="AE299" i="40"/>
  <c r="Q395" i="40"/>
  <c r="Q396" i="40"/>
  <c r="E193" i="40"/>
  <c r="V295" i="40"/>
  <c r="AG296" i="40"/>
  <c r="Q595" i="40"/>
  <c r="AA193" i="40"/>
  <c r="Q200" i="40"/>
  <c r="AG399" i="40"/>
  <c r="R396" i="40"/>
  <c r="T400" i="40"/>
  <c r="AA294" i="40"/>
  <c r="V296" i="40"/>
  <c r="H198" i="40"/>
  <c r="AG194" i="40"/>
  <c r="Z297" i="40"/>
  <c r="AG600" i="40"/>
  <c r="T398" i="40"/>
  <c r="T395" i="40"/>
  <c r="Y394" i="40"/>
  <c r="U194" i="40"/>
  <c r="AA300" i="40"/>
  <c r="AA595" i="40"/>
  <c r="AI395" i="40"/>
  <c r="AI399" i="40"/>
  <c r="AI598" i="40"/>
  <c r="T193" i="40"/>
  <c r="AI397" i="40"/>
  <c r="AI200" i="40"/>
  <c r="V297" i="40"/>
  <c r="T295" i="40"/>
  <c r="T297" i="40"/>
  <c r="Q293" i="40"/>
  <c r="G298" i="40"/>
  <c r="F400" i="40"/>
  <c r="Y399" i="40"/>
  <c r="AE297" i="40"/>
  <c r="V395" i="40"/>
  <c r="Y600" i="40"/>
  <c r="S193" i="40"/>
  <c r="S396" i="40"/>
  <c r="AC593" i="40"/>
  <c r="E393" i="40"/>
  <c r="AI394" i="40"/>
  <c r="R193" i="40"/>
  <c r="H597" i="40"/>
  <c r="G200" i="40"/>
  <c r="Y299" i="40"/>
  <c r="U295" i="40"/>
  <c r="E597" i="40"/>
  <c r="G195" i="40"/>
  <c r="G198" i="40"/>
  <c r="E395" i="40"/>
  <c r="AC294" i="40"/>
  <c r="AE300" i="40"/>
  <c r="G399" i="40"/>
  <c r="G197" i="40"/>
  <c r="AC196" i="40"/>
  <c r="E600" i="40"/>
  <c r="Y200" i="40"/>
  <c r="AC298" i="40"/>
  <c r="H294" i="40"/>
  <c r="AI198" i="40"/>
  <c r="AC600" i="40"/>
  <c r="Z298" i="40"/>
  <c r="AG299" i="40"/>
  <c r="G398" i="40"/>
  <c r="T595" i="40"/>
  <c r="U200" i="40"/>
  <c r="G600" i="40"/>
  <c r="Y295" i="40"/>
  <c r="V400" i="40"/>
  <c r="AG295" i="40"/>
  <c r="AC598" i="40"/>
  <c r="U196" i="40"/>
  <c r="AA394" i="40"/>
  <c r="S397" i="40"/>
  <c r="AE298" i="40"/>
  <c r="U595" i="40"/>
  <c r="AA594" i="40"/>
  <c r="Z299" i="40"/>
  <c r="F197" i="40"/>
  <c r="E198" i="40"/>
  <c r="U594" i="40"/>
  <c r="S198" i="40"/>
  <c r="U294" i="40"/>
  <c r="H295" i="40"/>
  <c r="E299" i="40"/>
  <c r="Q199" i="40"/>
  <c r="T600" i="40"/>
  <c r="AG298" i="40"/>
  <c r="U599" i="40"/>
  <c r="Y297" i="40"/>
  <c r="Z400" i="40"/>
  <c r="AE395" i="40"/>
  <c r="S594" i="40"/>
  <c r="V294" i="40"/>
  <c r="AA297" i="40"/>
  <c r="AA198" i="40"/>
  <c r="S200" i="40"/>
  <c r="S400" i="40"/>
  <c r="U198" i="40"/>
  <c r="AI295" i="40"/>
  <c r="G396" i="40"/>
  <c r="G598" i="40"/>
  <c r="Z195" i="40"/>
  <c r="R298" i="40"/>
  <c r="Q195" i="40"/>
  <c r="F199" i="40"/>
  <c r="G293" i="40"/>
  <c r="F393" i="40"/>
  <c r="G196" i="40"/>
  <c r="T598" i="40"/>
  <c r="AG195" i="40"/>
  <c r="R394" i="40"/>
  <c r="T198" i="40"/>
  <c r="Z200" i="40"/>
  <c r="Z393" i="40"/>
  <c r="H396" i="40"/>
  <c r="AG196" i="40"/>
  <c r="AI196" i="40"/>
  <c r="AG294" i="40"/>
  <c r="H394" i="40"/>
  <c r="AC299" i="40"/>
  <c r="AA197" i="40"/>
  <c r="S295" i="40"/>
  <c r="AA398" i="40"/>
  <c r="G194" i="40"/>
  <c r="S199" i="40"/>
  <c r="Q194" i="40"/>
  <c r="G300" i="40"/>
  <c r="T194" i="40"/>
  <c r="AI199" i="40"/>
  <c r="T296" i="40"/>
  <c r="U300" i="40"/>
  <c r="G395" i="40"/>
  <c r="F396" i="40"/>
  <c r="H593" i="40"/>
  <c r="T399" i="40"/>
  <c r="AA199" i="40"/>
  <c r="H595" i="40"/>
  <c r="AE198" i="40"/>
  <c r="AC400" i="40"/>
  <c r="AC395" i="40"/>
  <c r="AA396" i="40"/>
  <c r="R293" i="40"/>
  <c r="H300" i="40"/>
  <c r="Z197" i="40"/>
  <c r="E194" i="40"/>
  <c r="AI594" i="40"/>
  <c r="AA597" i="40"/>
  <c r="E398" i="40"/>
  <c r="AI596" i="40"/>
  <c r="R297" i="40"/>
  <c r="AA299" i="40"/>
  <c r="G193" i="40"/>
  <c r="AG397" i="40"/>
  <c r="U400" i="40"/>
  <c r="Y194" i="40"/>
  <c r="Y595" i="40"/>
  <c r="U397" i="40"/>
  <c r="V193" i="40"/>
  <c r="Q393" i="40"/>
  <c r="S398" i="40"/>
  <c r="F298" i="40"/>
  <c r="S394" i="40"/>
  <c r="AI297" i="40"/>
  <c r="V398" i="40"/>
  <c r="U598" i="40"/>
  <c r="AC200" i="40"/>
  <c r="Z199" i="40"/>
  <c r="Z196" i="40"/>
  <c r="Z193" i="40"/>
  <c r="T195" i="40"/>
  <c r="H398" i="40"/>
  <c r="AI194" i="40"/>
  <c r="V200" i="40"/>
  <c r="G299" i="40"/>
  <c r="AG393" i="40"/>
  <c r="AC597" i="40"/>
  <c r="S597" i="40"/>
  <c r="AG593" i="40"/>
  <c r="AA400" i="40"/>
  <c r="Y400" i="40"/>
  <c r="V194" i="40"/>
  <c r="AE596" i="40"/>
  <c r="H395" i="40"/>
  <c r="F394" i="40"/>
  <c r="AE399" i="40"/>
  <c r="AA598" i="40"/>
  <c r="R198" i="40"/>
  <c r="S600" i="40"/>
  <c r="H594" i="40"/>
  <c r="T199" i="40"/>
  <c r="AE599" i="40"/>
  <c r="V393" i="40"/>
  <c r="G393" i="40"/>
  <c r="AE594" i="40"/>
  <c r="AC399" i="40"/>
  <c r="AC398" i="40"/>
  <c r="AE597" i="40"/>
  <c r="Q593" i="40"/>
  <c r="H296" i="40"/>
  <c r="AI400" i="40"/>
  <c r="Y195" i="40"/>
  <c r="Q198" i="40"/>
  <c r="S296" i="40"/>
  <c r="AG394" i="40"/>
  <c r="R300" i="40"/>
  <c r="E296" i="40"/>
  <c r="AE595" i="40"/>
  <c r="U398" i="40"/>
  <c r="Z296" i="40"/>
  <c r="AE200" i="40"/>
  <c r="Y300" i="40"/>
  <c r="Z397" i="40"/>
  <c r="Y196" i="40"/>
  <c r="U596" i="40"/>
  <c r="AG198" i="40"/>
  <c r="V196" i="40"/>
  <c r="AI300" i="40"/>
  <c r="AI298" i="40"/>
  <c r="AC595" i="40"/>
  <c r="R294" i="40"/>
  <c r="E199" i="40"/>
  <c r="V199" i="40"/>
  <c r="S596" i="40"/>
  <c r="V399" i="40"/>
  <c r="Q596" i="40"/>
  <c r="AC596" i="40"/>
  <c r="F294" i="40"/>
  <c r="Z198" i="40"/>
  <c r="Y596" i="40"/>
  <c r="V300" i="40"/>
  <c r="R194" i="40"/>
  <c r="S300" i="40"/>
  <c r="E397" i="40"/>
  <c r="AC296" i="40"/>
  <c r="F299" i="40"/>
  <c r="H200" i="40"/>
  <c r="Q398" i="40"/>
  <c r="H397" i="40"/>
  <c r="E197" i="40"/>
  <c r="AE397" i="40"/>
  <c r="T294" i="40"/>
  <c r="AA296" i="40"/>
  <c r="AI398" i="40"/>
  <c r="R200" i="40"/>
  <c r="AC297" i="40"/>
  <c r="H399" i="40"/>
  <c r="F196" i="40"/>
  <c r="Y594" i="40"/>
  <c r="Q295" i="40"/>
  <c r="AG300" i="40"/>
  <c r="E400" i="40"/>
  <c r="Q597" i="40"/>
  <c r="T593" i="40"/>
  <c r="Q196" i="40"/>
  <c r="U195" i="40"/>
  <c r="Y293" i="40"/>
  <c r="Q600" i="40"/>
  <c r="H598" i="40"/>
  <c r="R299" i="40"/>
  <c r="E200" i="40"/>
  <c r="AE396" i="40"/>
  <c r="Y398" i="40"/>
  <c r="AA399" i="40"/>
  <c r="E294" i="40"/>
  <c r="Q599" i="40"/>
  <c r="AE393" i="40"/>
  <c r="G594" i="40"/>
  <c r="AI195" i="40"/>
  <c r="F399" i="40"/>
  <c r="Q197" i="40"/>
  <c r="Z394" i="40"/>
  <c r="H299" i="40"/>
  <c r="Z398" i="40"/>
  <c r="AG594" i="40"/>
  <c r="T596" i="40"/>
  <c r="AG598" i="40"/>
  <c r="E295" i="40"/>
  <c r="Y396" i="40"/>
  <c r="Q397" i="40"/>
  <c r="S297" i="40"/>
  <c r="E598" i="40"/>
  <c r="AC293" i="40"/>
  <c r="Q296" i="40"/>
  <c r="U395" i="40"/>
  <c r="AE593" i="40"/>
  <c r="AG599" i="40"/>
  <c r="AC599" i="40"/>
  <c r="Y197" i="40"/>
  <c r="U297" i="40"/>
  <c r="R295" i="40"/>
  <c r="R197" i="40"/>
  <c r="AI296" i="40"/>
  <c r="Y193" i="40"/>
  <c r="AI193" i="40"/>
  <c r="Y395" i="40"/>
  <c r="AC295" i="40"/>
  <c r="F295" i="40"/>
  <c r="AA593" i="40"/>
  <c r="S195" i="40"/>
  <c r="S598" i="40"/>
  <c r="AC193" i="40"/>
  <c r="G397" i="40"/>
  <c r="AI197" i="40"/>
  <c r="Z294" i="40"/>
  <c r="AE598" i="40"/>
  <c r="V396" i="40"/>
  <c r="R199" i="40"/>
  <c r="AG396" i="40"/>
  <c r="E394" i="40"/>
  <c r="Q299" i="40"/>
  <c r="AC396" i="40"/>
  <c r="E596" i="40"/>
  <c r="V394" i="40"/>
  <c r="G295" i="40"/>
  <c r="E300" i="40"/>
  <c r="Y598" i="40"/>
  <c r="Q594" i="40"/>
  <c r="H197" i="40"/>
  <c r="AI599" i="40"/>
  <c r="AC194" i="40"/>
  <c r="Y597" i="40"/>
  <c r="Z300" i="40"/>
  <c r="F397" i="40"/>
  <c r="S299" i="40"/>
  <c r="Q400" i="40"/>
  <c r="AI393" i="40"/>
  <c r="AG597" i="40"/>
  <c r="S194" i="40"/>
  <c r="AE400" i="40"/>
  <c r="R296" i="40"/>
  <c r="S294" i="40"/>
  <c r="Y593" i="40"/>
  <c r="U394" i="40"/>
  <c r="AI294" i="40"/>
  <c r="G593" i="40"/>
  <c r="AE294" i="40"/>
  <c r="R397" i="40"/>
  <c r="Y199" i="40"/>
  <c r="V198" i="40"/>
  <c r="AE295" i="40"/>
  <c r="AC199" i="40"/>
  <c r="V195" i="40"/>
  <c r="AA599" i="40"/>
  <c r="U600" i="40"/>
  <c r="R400" i="40"/>
  <c r="E399" i="40"/>
  <c r="Z395" i="40"/>
  <c r="F195" i="40"/>
  <c r="AA195" i="40"/>
  <c r="T594" i="40"/>
  <c r="AE194" i="40"/>
  <c r="H194" i="40"/>
  <c r="AC197" i="40"/>
  <c r="T200" i="40"/>
  <c r="T394" i="40"/>
  <c r="G297" i="40"/>
  <c r="AE600" i="40"/>
  <c r="Q394" i="40"/>
  <c r="AE197" i="40"/>
  <c r="AE293" i="40"/>
  <c r="G294" i="40"/>
  <c r="U597" i="40"/>
  <c r="AP597" i="40" s="1"/>
  <c r="S595" i="40"/>
  <c r="F300" i="40"/>
  <c r="E298" i="40"/>
  <c r="Y296" i="40"/>
  <c r="E297" i="40"/>
  <c r="AE398" i="40"/>
  <c r="Y599" i="40"/>
  <c r="AG200" i="40"/>
  <c r="F198" i="40"/>
  <c r="E594" i="40"/>
  <c r="AG395" i="40"/>
  <c r="AA600" i="40"/>
  <c r="F296" i="40"/>
  <c r="H400" i="40"/>
  <c r="Z295" i="40"/>
  <c r="S298" i="40"/>
  <c r="G394" i="40"/>
  <c r="Y397" i="40"/>
  <c r="T298" i="40"/>
  <c r="AA295" i="40"/>
  <c r="AI595" i="40"/>
  <c r="G599" i="40"/>
  <c r="R395" i="40"/>
  <c r="F395" i="40"/>
  <c r="AA196" i="40"/>
  <c r="G400" i="40"/>
  <c r="T397" i="40"/>
  <c r="S599" i="40"/>
  <c r="Y294" i="40"/>
  <c r="T197" i="40"/>
  <c r="AC300" i="40"/>
  <c r="S395" i="40"/>
  <c r="H596" i="40"/>
  <c r="AA200" i="40"/>
  <c r="AE195" i="40"/>
  <c r="G597" i="40"/>
  <c r="AE199" i="40"/>
  <c r="U298" i="40"/>
  <c r="T300" i="40"/>
  <c r="AE296" i="40"/>
  <c r="S197" i="40"/>
  <c r="AA298" i="40"/>
  <c r="E196" i="40"/>
  <c r="G199" i="40"/>
  <c r="R195" i="40"/>
  <c r="V299" i="40"/>
  <c r="F398" i="40"/>
  <c r="AC198" i="40"/>
  <c r="T396" i="40"/>
  <c r="AI299" i="40"/>
  <c r="AE196" i="40"/>
  <c r="AG398" i="40"/>
  <c r="AC594" i="40"/>
  <c r="Q298" i="40"/>
  <c r="U197" i="40"/>
  <c r="U399" i="40"/>
  <c r="T196" i="40"/>
  <c r="AA596" i="40"/>
  <c r="G296" i="40"/>
  <c r="D225" i="40"/>
  <c r="D433" i="40"/>
  <c r="AQ696" i="40"/>
  <c r="AN696" i="40"/>
  <c r="AP698" i="40"/>
  <c r="AQ697" i="40"/>
  <c r="AO699" i="40"/>
  <c r="AQ690" i="40"/>
  <c r="AN698" i="40"/>
  <c r="AP695" i="40"/>
  <c r="AO695" i="40"/>
  <c r="AN695" i="40"/>
  <c r="AO694" i="40"/>
  <c r="AP699" i="40"/>
  <c r="AP694" i="40"/>
  <c r="AO698" i="40"/>
  <c r="AN693" i="40"/>
  <c r="AO696" i="40"/>
  <c r="AQ695" i="40"/>
  <c r="AN697" i="40"/>
  <c r="AP697" i="40"/>
  <c r="AQ698" i="40"/>
  <c r="AP696" i="40"/>
  <c r="AN699" i="40"/>
  <c r="AQ694" i="40"/>
  <c r="AO697" i="40"/>
  <c r="AQ699" i="40"/>
  <c r="AN694" i="40"/>
  <c r="AQ592" i="40"/>
  <c r="AO692" i="40"/>
  <c r="AN692" i="40"/>
  <c r="HW119" i="40"/>
  <c r="IC119" i="40" s="1"/>
  <c r="JJ118" i="40"/>
  <c r="D119" i="40"/>
  <c r="AY119" i="40" s="1"/>
  <c r="HV119" i="40"/>
  <c r="HX120" i="40"/>
  <c r="AP120" i="40"/>
  <c r="HM120" i="40"/>
  <c r="HP120" i="40" s="1"/>
  <c r="AN120" i="40"/>
  <c r="IX620" i="40"/>
  <c r="AM120" i="40"/>
  <c r="M23" i="44"/>
  <c r="AN226" i="40"/>
  <c r="JI119" i="40"/>
  <c r="D24" i="44"/>
  <c r="AO434" i="40"/>
  <c r="B436" i="40"/>
  <c r="A435" i="40"/>
  <c r="M27" i="70"/>
  <c r="H27" i="70"/>
  <c r="KO116" i="40"/>
  <c r="AO120" i="40"/>
  <c r="IZ620" i="40"/>
  <c r="JC120" i="40"/>
  <c r="HU120" i="40"/>
  <c r="C122" i="40"/>
  <c r="A121" i="40"/>
  <c r="M121" i="40"/>
  <c r="AC121" i="40"/>
  <c r="G121" i="40"/>
  <c r="O121" i="40"/>
  <c r="AH121" i="40"/>
  <c r="BA121" i="40"/>
  <c r="BE121" i="40"/>
  <c r="BI121" i="40"/>
  <c r="BM121" i="40"/>
  <c r="BQ121" i="40"/>
  <c r="BU121" i="40"/>
  <c r="BY121" i="40"/>
  <c r="CC121" i="40"/>
  <c r="CG121" i="40"/>
  <c r="DS121" i="40"/>
  <c r="DW121" i="40"/>
  <c r="F121" i="40"/>
  <c r="N121" i="40"/>
  <c r="AE121" i="40"/>
  <c r="H121" i="40"/>
  <c r="AB121" i="40"/>
  <c r="AJ121" i="40"/>
  <c r="IJ121" i="40"/>
  <c r="IM121" i="40" s="1"/>
  <c r="AW121" i="40"/>
  <c r="BB121" i="40"/>
  <c r="BF121" i="40"/>
  <c r="BJ121" i="40"/>
  <c r="BN121" i="40"/>
  <c r="BR121" i="40"/>
  <c r="BV121" i="40"/>
  <c r="BZ121" i="40"/>
  <c r="CD121" i="40"/>
  <c r="CH121" i="40"/>
  <c r="DT121" i="40"/>
  <c r="K121" i="40"/>
  <c r="P121" i="40"/>
  <c r="I121" i="40"/>
  <c r="AD121" i="40"/>
  <c r="JF121" i="40"/>
  <c r="HN121" i="40" s="1"/>
  <c r="II121" i="40"/>
  <c r="IL121" i="40" s="1"/>
  <c r="AX121" i="40"/>
  <c r="BC121" i="40"/>
  <c r="BG121" i="40"/>
  <c r="BK121" i="40"/>
  <c r="BO121" i="40"/>
  <c r="BS121" i="40"/>
  <c r="BW121" i="40"/>
  <c r="CA121" i="40"/>
  <c r="CE121" i="40"/>
  <c r="DU121" i="40"/>
  <c r="BH121" i="40"/>
  <c r="BX121" i="40"/>
  <c r="DV121" i="40"/>
  <c r="IK121" i="40"/>
  <c r="IN121" i="40" s="1"/>
  <c r="BL121" i="40"/>
  <c r="CB121" i="40"/>
  <c r="J121" i="40"/>
  <c r="AZ121" i="40"/>
  <c r="BP121" i="40"/>
  <c r="CF121" i="40"/>
  <c r="BT121" i="40"/>
  <c r="L121" i="40"/>
  <c r="DM121" i="40"/>
  <c r="AF121" i="40"/>
  <c r="BD121" i="40"/>
  <c r="IX121" i="40"/>
  <c r="JO121" i="40"/>
  <c r="IZ121" i="40"/>
  <c r="IY121" i="40"/>
  <c r="Z121" i="40"/>
  <c r="HZ121" i="40"/>
  <c r="U121" i="40"/>
  <c r="V121" i="40"/>
  <c r="S121" i="40"/>
  <c r="IA121" i="40"/>
  <c r="IA621" i="40" s="1"/>
  <c r="HY121" i="40"/>
  <c r="HY621" i="40" s="1"/>
  <c r="E121" i="40"/>
  <c r="W121" i="40"/>
  <c r="Q121" i="40"/>
  <c r="T121" i="40"/>
  <c r="R121" i="40"/>
  <c r="X121" i="40"/>
  <c r="JP121" i="40"/>
  <c r="Y121" i="40"/>
  <c r="JG121" i="40"/>
  <c r="AE48" i="58"/>
  <c r="M15" i="70"/>
  <c r="M28" i="70"/>
  <c r="H15" i="70"/>
  <c r="BC15" i="70" s="1"/>
  <c r="H28" i="70"/>
  <c r="KO117" i="40"/>
  <c r="C228" i="40"/>
  <c r="BA227" i="40"/>
  <c r="BE227" i="40"/>
  <c r="BI227" i="40"/>
  <c r="BM227" i="40"/>
  <c r="BQ227" i="40"/>
  <c r="BU227" i="40"/>
  <c r="BY227" i="40"/>
  <c r="CC227" i="40"/>
  <c r="CG227" i="40"/>
  <c r="DS227" i="40"/>
  <c r="DW227" i="40"/>
  <c r="AW227" i="40"/>
  <c r="BB227" i="40"/>
  <c r="BF227" i="40"/>
  <c r="BJ227" i="40"/>
  <c r="BN227" i="40"/>
  <c r="BR227" i="40"/>
  <c r="BV227" i="40"/>
  <c r="BZ227" i="40"/>
  <c r="CD227" i="40"/>
  <c r="CH227" i="40"/>
  <c r="DT227" i="40"/>
  <c r="A227" i="40"/>
  <c r="AX227" i="40"/>
  <c r="BC227" i="40"/>
  <c r="BG227" i="40"/>
  <c r="BK227" i="40"/>
  <c r="BO227" i="40"/>
  <c r="BS227" i="40"/>
  <c r="BW227" i="40"/>
  <c r="CA227" i="40"/>
  <c r="CE227" i="40"/>
  <c r="DU227" i="40"/>
  <c r="BH227" i="40"/>
  <c r="BX227" i="40"/>
  <c r="DV227" i="40"/>
  <c r="BL227" i="40"/>
  <c r="CB227" i="40"/>
  <c r="AZ227" i="40"/>
  <c r="BP227" i="40"/>
  <c r="CF227" i="40"/>
  <c r="JO227" i="40"/>
  <c r="BD227" i="40"/>
  <c r="BT227" i="40"/>
  <c r="DM227" i="40"/>
  <c r="JP227" i="40"/>
  <c r="HZ227" i="40"/>
  <c r="HY227" i="40"/>
  <c r="IA227" i="40"/>
  <c r="IY227" i="40"/>
  <c r="IX227" i="40"/>
  <c r="IZ227" i="40"/>
  <c r="JH118" i="40"/>
  <c r="AN434" i="40"/>
  <c r="AK120" i="40"/>
  <c r="AL120" i="40"/>
  <c r="HZ620" i="40"/>
  <c r="IY620" i="40" s="1"/>
  <c r="HT120" i="40"/>
  <c r="JA120" i="40"/>
  <c r="D25" i="44" s="1"/>
  <c r="HS120" i="40"/>
  <c r="AO226" i="40"/>
  <c r="AP434" i="40"/>
  <c r="AM434" i="40"/>
  <c r="HR120" i="40"/>
  <c r="IP120" i="40"/>
  <c r="JB120" i="40" s="1"/>
  <c r="E25" i="44" s="1"/>
  <c r="HQ120" i="40"/>
  <c r="JH119" i="40"/>
  <c r="AP226" i="40"/>
  <c r="AM226" i="40"/>
  <c r="AQ596" i="40" l="1"/>
  <c r="AP596" i="40"/>
  <c r="AN596" i="40"/>
  <c r="AQ599" i="40"/>
  <c r="AQ597" i="40"/>
  <c r="AQ595" i="40"/>
  <c r="D600" i="40"/>
  <c r="AQ598" i="40"/>
  <c r="AQ593" i="40"/>
  <c r="AQ594" i="40"/>
  <c r="AN594" i="40"/>
  <c r="AO599" i="40"/>
  <c r="AN595" i="40"/>
  <c r="AO597" i="40"/>
  <c r="AN598" i="40"/>
  <c r="AN597" i="40"/>
  <c r="AO596" i="40"/>
  <c r="AN593" i="40"/>
  <c r="AP598" i="40"/>
  <c r="AO598" i="40"/>
  <c r="AN599" i="40"/>
  <c r="AP595" i="40"/>
  <c r="AP599" i="40"/>
  <c r="AO595" i="40"/>
  <c r="AP394" i="40"/>
  <c r="D394" i="40" s="1"/>
  <c r="AP393" i="40"/>
  <c r="D393" i="40" s="1"/>
  <c r="AO393" i="40"/>
  <c r="AP594" i="40"/>
  <c r="AN393" i="40"/>
  <c r="AO594" i="40"/>
  <c r="AO593" i="40"/>
  <c r="AP593" i="40"/>
  <c r="AN394" i="40"/>
  <c r="AO394" i="40"/>
  <c r="AP592" i="40"/>
  <c r="AO592" i="40"/>
  <c r="AN592" i="40"/>
  <c r="D434" i="40"/>
  <c r="JK118" i="40"/>
  <c r="JL118" i="40" s="1"/>
  <c r="JM118" i="40" s="1"/>
  <c r="D226" i="40"/>
  <c r="HM121" i="40"/>
  <c r="HP121" i="40" s="1"/>
  <c r="AQ396" i="40"/>
  <c r="JJ119" i="40"/>
  <c r="JK119" i="40" s="1"/>
  <c r="JL119" i="40" s="1"/>
  <c r="AO398" i="40"/>
  <c r="AQ394" i="40"/>
  <c r="AO400" i="40"/>
  <c r="AQ399" i="40"/>
  <c r="AP400" i="40"/>
  <c r="D400" i="40" s="1"/>
  <c r="AO397" i="40"/>
  <c r="AN395" i="40"/>
  <c r="AQ393" i="40"/>
  <c r="AO399" i="40"/>
  <c r="AN400" i="40"/>
  <c r="AQ398" i="40"/>
  <c r="AP397" i="40"/>
  <c r="D397" i="40" s="1"/>
  <c r="AO396" i="40"/>
  <c r="AN396" i="40"/>
  <c r="AQ400" i="40"/>
  <c r="AP399" i="40"/>
  <c r="D399" i="40" s="1"/>
  <c r="AN399" i="40"/>
  <c r="AP398" i="40"/>
  <c r="D398" i="40" s="1"/>
  <c r="AN398" i="40"/>
  <c r="AQ397" i="40"/>
  <c r="AN397" i="40"/>
  <c r="AP396" i="40"/>
  <c r="D396" i="40" s="1"/>
  <c r="AQ395" i="40"/>
  <c r="AP395" i="40"/>
  <c r="D395" i="40" s="1"/>
  <c r="AO395" i="40"/>
  <c r="D120" i="40"/>
  <c r="AY120" i="40" s="1"/>
  <c r="HW120" i="40"/>
  <c r="IC120" i="40" s="1"/>
  <c r="HV120" i="40"/>
  <c r="AP435" i="40"/>
  <c r="AP227" i="40"/>
  <c r="HV121" i="40"/>
  <c r="IZ621" i="40"/>
  <c r="HO121" i="40"/>
  <c r="HR121" i="40" s="1"/>
  <c r="JI120" i="40"/>
  <c r="AN227" i="40"/>
  <c r="AE49" i="58"/>
  <c r="AI49" i="58" s="1"/>
  <c r="AP121" i="40"/>
  <c r="HS121" i="40"/>
  <c r="IO121" i="40"/>
  <c r="JA121" i="40" s="1"/>
  <c r="D26" i="44" s="1"/>
  <c r="F25" i="44"/>
  <c r="M25" i="44" s="1"/>
  <c r="AM435" i="40"/>
  <c r="JH120" i="40"/>
  <c r="AO227" i="40"/>
  <c r="IQ121" i="40"/>
  <c r="JC121" i="40" s="1"/>
  <c r="B437" i="40"/>
  <c r="A436" i="40"/>
  <c r="AM227" i="40"/>
  <c r="AL121" i="40"/>
  <c r="AK121" i="40"/>
  <c r="AN121" i="40"/>
  <c r="HZ621" i="40"/>
  <c r="IY621" i="40" s="1"/>
  <c r="AM121" i="40"/>
  <c r="HT121" i="40"/>
  <c r="IP121" i="40"/>
  <c r="JB121" i="40" s="1"/>
  <c r="E26" i="44" s="1"/>
  <c r="C123" i="40"/>
  <c r="IK122" i="40"/>
  <c r="IN122" i="40" s="1"/>
  <c r="AZ122" i="40"/>
  <c r="BD122" i="40"/>
  <c r="BH122" i="40"/>
  <c r="BL122" i="40"/>
  <c r="BP122" i="40"/>
  <c r="BT122" i="40"/>
  <c r="BX122" i="40"/>
  <c r="CB122" i="40"/>
  <c r="CF122" i="40"/>
  <c r="DS122" i="40"/>
  <c r="DW122" i="40"/>
  <c r="A122" i="40"/>
  <c r="BA122" i="40"/>
  <c r="BE122" i="40"/>
  <c r="BI122" i="40"/>
  <c r="BM122" i="40"/>
  <c r="BQ122" i="40"/>
  <c r="BU122" i="40"/>
  <c r="BY122" i="40"/>
  <c r="CC122" i="40"/>
  <c r="CG122" i="40"/>
  <c r="DT122" i="40"/>
  <c r="IJ122" i="40"/>
  <c r="IM122" i="40" s="1"/>
  <c r="AW122" i="40"/>
  <c r="BB122" i="40"/>
  <c r="BF122" i="40"/>
  <c r="BJ122" i="40"/>
  <c r="BN122" i="40"/>
  <c r="BR122" i="40"/>
  <c r="BV122" i="40"/>
  <c r="BZ122" i="40"/>
  <c r="CD122" i="40"/>
  <c r="CH122" i="40"/>
  <c r="DU122" i="40"/>
  <c r="AX122" i="40"/>
  <c r="BO122" i="40"/>
  <c r="CE122" i="40"/>
  <c r="BC122" i="40"/>
  <c r="BS122" i="40"/>
  <c r="JF122" i="40"/>
  <c r="HN122" i="40" s="1"/>
  <c r="BG122" i="40"/>
  <c r="BW122" i="40"/>
  <c r="DM122" i="40"/>
  <c r="BK122" i="40"/>
  <c r="CA122" i="40"/>
  <c r="DV122" i="40"/>
  <c r="II122" i="40"/>
  <c r="IL122" i="40" s="1"/>
  <c r="IY122" i="40"/>
  <c r="IZ122" i="40"/>
  <c r="IX122" i="40"/>
  <c r="JO122" i="40"/>
  <c r="HY122" i="40"/>
  <c r="HY622" i="40" s="1"/>
  <c r="IA122" i="40"/>
  <c r="IA622" i="40" s="1"/>
  <c r="HZ122" i="40"/>
  <c r="JP122" i="40"/>
  <c r="JG122" i="40"/>
  <c r="AO435" i="40"/>
  <c r="AN435" i="40"/>
  <c r="M24" i="44"/>
  <c r="C229" i="40"/>
  <c r="AW228" i="40"/>
  <c r="BB228" i="40"/>
  <c r="BF228" i="40"/>
  <c r="BJ228" i="40"/>
  <c r="BN228" i="40"/>
  <c r="BR228" i="40"/>
  <c r="BV228" i="40"/>
  <c r="BZ228" i="40"/>
  <c r="CD228" i="40"/>
  <c r="CH228" i="40"/>
  <c r="DT228" i="40"/>
  <c r="A228" i="40"/>
  <c r="AX228" i="40"/>
  <c r="BC228" i="40"/>
  <c r="BG228" i="40"/>
  <c r="BK228" i="40"/>
  <c r="BO228" i="40"/>
  <c r="BS228" i="40"/>
  <c r="BW228" i="40"/>
  <c r="CA228" i="40"/>
  <c r="CE228" i="40"/>
  <c r="DU228" i="40"/>
  <c r="AZ228" i="40"/>
  <c r="BD228" i="40"/>
  <c r="BH228" i="40"/>
  <c r="BL228" i="40"/>
  <c r="BP228" i="40"/>
  <c r="BT228" i="40"/>
  <c r="BX228" i="40"/>
  <c r="CB228" i="40"/>
  <c r="CF228" i="40"/>
  <c r="DM228" i="40"/>
  <c r="DV228" i="40"/>
  <c r="BA228" i="40"/>
  <c r="BQ228" i="40"/>
  <c r="CG228" i="40"/>
  <c r="BE228" i="40"/>
  <c r="BU228" i="40"/>
  <c r="DS228" i="40"/>
  <c r="BI228" i="40"/>
  <c r="BY228" i="40"/>
  <c r="DW228" i="40"/>
  <c r="CC228" i="40"/>
  <c r="JO228" i="40"/>
  <c r="BM228" i="40"/>
  <c r="HZ228" i="40"/>
  <c r="HY228" i="40"/>
  <c r="JP228" i="40"/>
  <c r="IA228" i="40"/>
  <c r="IZ228" i="40"/>
  <c r="IX228" i="40"/>
  <c r="IY228" i="40"/>
  <c r="HQ121" i="40"/>
  <c r="AO121" i="40"/>
  <c r="IX621" i="40"/>
  <c r="HU121" i="40"/>
  <c r="D227" i="40" l="1"/>
  <c r="D435" i="40"/>
  <c r="D121" i="40"/>
  <c r="AY121" i="40" s="1"/>
  <c r="JJ120" i="40"/>
  <c r="JK120" i="40" s="1"/>
  <c r="JL120" i="40" s="1"/>
  <c r="IO122" i="40"/>
  <c r="JA122" i="40" s="1"/>
  <c r="D27" i="44" s="1"/>
  <c r="HV122" i="40"/>
  <c r="IQ122" i="40"/>
  <c r="JC122" i="40" s="1"/>
  <c r="F27" i="44" s="1"/>
  <c r="HM122" i="40"/>
  <c r="HP122" i="40" s="1"/>
  <c r="AP228" i="40"/>
  <c r="AO228" i="40"/>
  <c r="AL122" i="40"/>
  <c r="AK122" i="40"/>
  <c r="AO122" i="40"/>
  <c r="HZ622" i="40"/>
  <c r="IY622" i="40" s="1"/>
  <c r="HW121" i="40"/>
  <c r="IC121" i="40" s="1"/>
  <c r="AN228" i="40"/>
  <c r="AM228" i="40"/>
  <c r="HS122" i="40"/>
  <c r="HQ122" i="40"/>
  <c r="HU122" i="40"/>
  <c r="AN436" i="40"/>
  <c r="AM436" i="40"/>
  <c r="JI121" i="40"/>
  <c r="JM119" i="40"/>
  <c r="F26" i="44"/>
  <c r="M26" i="44" s="1"/>
  <c r="C230" i="40"/>
  <c r="A229" i="40"/>
  <c r="AX229" i="40"/>
  <c r="BC229" i="40"/>
  <c r="BG229" i="40"/>
  <c r="BK229" i="40"/>
  <c r="BO229" i="40"/>
  <c r="BS229" i="40"/>
  <c r="BW229" i="40"/>
  <c r="CA229" i="40"/>
  <c r="CE229" i="40"/>
  <c r="DT229" i="40"/>
  <c r="AZ229" i="40"/>
  <c r="BD229" i="40"/>
  <c r="BH229" i="40"/>
  <c r="BL229" i="40"/>
  <c r="BP229" i="40"/>
  <c r="BT229" i="40"/>
  <c r="BX229" i="40"/>
  <c r="CB229" i="40"/>
  <c r="CF229" i="40"/>
  <c r="DU229" i="40"/>
  <c r="BA229" i="40"/>
  <c r="BE229" i="40"/>
  <c r="BI229" i="40"/>
  <c r="BM229" i="40"/>
  <c r="BQ229" i="40"/>
  <c r="BU229" i="40"/>
  <c r="BY229" i="40"/>
  <c r="CC229" i="40"/>
  <c r="CG229" i="40"/>
  <c r="DM229" i="40"/>
  <c r="DV229" i="40"/>
  <c r="BJ229" i="40"/>
  <c r="BZ229" i="40"/>
  <c r="DW229" i="40"/>
  <c r="AW229" i="40"/>
  <c r="BN229" i="40"/>
  <c r="CD229" i="40"/>
  <c r="BB229" i="40"/>
  <c r="BR229" i="40"/>
  <c r="CH229" i="40"/>
  <c r="BV229" i="40"/>
  <c r="DS229" i="40"/>
  <c r="JO229" i="40"/>
  <c r="BF229" i="40"/>
  <c r="JP229" i="40"/>
  <c r="HZ229" i="40"/>
  <c r="IA229" i="40"/>
  <c r="HY229" i="40"/>
  <c r="IX229" i="40"/>
  <c r="IY229" i="40"/>
  <c r="IZ229" i="40"/>
  <c r="AP122" i="40"/>
  <c r="AN122" i="40"/>
  <c r="IX622" i="40"/>
  <c r="IP122" i="40"/>
  <c r="JB122" i="40" s="1"/>
  <c r="E27" i="44" s="1"/>
  <c r="AP436" i="40"/>
  <c r="B438" i="40"/>
  <c r="A437" i="40"/>
  <c r="HX121" i="40"/>
  <c r="HO122" i="40"/>
  <c r="IZ622" i="40"/>
  <c r="AM122" i="40"/>
  <c r="HT122" i="40"/>
  <c r="C124" i="40"/>
  <c r="IK123" i="40"/>
  <c r="IN123" i="40" s="1"/>
  <c r="AZ123" i="40"/>
  <c r="BD123" i="40"/>
  <c r="BH123" i="40"/>
  <c r="BL123" i="40"/>
  <c r="BP123" i="40"/>
  <c r="BT123" i="40"/>
  <c r="BX123" i="40"/>
  <c r="CB123" i="40"/>
  <c r="CF123" i="40"/>
  <c r="DT123" i="40"/>
  <c r="A123" i="40"/>
  <c r="BA123" i="40"/>
  <c r="BE123" i="40"/>
  <c r="BI123" i="40"/>
  <c r="BM123" i="40"/>
  <c r="BQ123" i="40"/>
  <c r="BU123" i="40"/>
  <c r="BY123" i="40"/>
  <c r="CC123" i="40"/>
  <c r="CG123" i="40"/>
  <c r="DU123" i="40"/>
  <c r="IJ123" i="40"/>
  <c r="IM123" i="40" s="1"/>
  <c r="AW123" i="40"/>
  <c r="BB123" i="40"/>
  <c r="BF123" i="40"/>
  <c r="BJ123" i="40"/>
  <c r="BN123" i="40"/>
  <c r="BR123" i="40"/>
  <c r="BV123" i="40"/>
  <c r="BZ123" i="40"/>
  <c r="CD123" i="40"/>
  <c r="CH123" i="40"/>
  <c r="DM123" i="40"/>
  <c r="DV123" i="40"/>
  <c r="BC123" i="40"/>
  <c r="BS123" i="40"/>
  <c r="JF123" i="40"/>
  <c r="HM123" i="40" s="1"/>
  <c r="BG123" i="40"/>
  <c r="BW123" i="40"/>
  <c r="DS123" i="40"/>
  <c r="II123" i="40"/>
  <c r="IL123" i="40" s="1"/>
  <c r="BK123" i="40"/>
  <c r="CA123" i="40"/>
  <c r="DW123" i="40"/>
  <c r="AX123" i="40"/>
  <c r="BO123" i="40"/>
  <c r="CE123" i="40"/>
  <c r="IZ123" i="40"/>
  <c r="IY123" i="40"/>
  <c r="IX123" i="40"/>
  <c r="JO123" i="40"/>
  <c r="IA123" i="40"/>
  <c r="IA623" i="40" s="1"/>
  <c r="HY123" i="40"/>
  <c r="HY623" i="40" s="1"/>
  <c r="HZ123" i="40"/>
  <c r="JP123" i="40"/>
  <c r="JG123" i="40"/>
  <c r="AO436" i="40"/>
  <c r="JH121" i="40"/>
  <c r="M29" i="70"/>
  <c r="M16" i="70"/>
  <c r="H16" i="70"/>
  <c r="BC16" i="70" s="1"/>
  <c r="KO118" i="40"/>
  <c r="H29" i="70"/>
  <c r="D228" i="40" l="1"/>
  <c r="D436" i="40"/>
  <c r="D122" i="40"/>
  <c r="AY122" i="40" s="1"/>
  <c r="HW123" i="40"/>
  <c r="IO123" i="40"/>
  <c r="JA123" i="40" s="1"/>
  <c r="D28" i="44" s="1"/>
  <c r="IQ123" i="40"/>
  <c r="JC123" i="40" s="1"/>
  <c r="F28" i="44" s="1"/>
  <c r="IZ623" i="40"/>
  <c r="HN123" i="40"/>
  <c r="HQ123" i="40" s="1"/>
  <c r="HO123" i="40"/>
  <c r="HR123" i="40" s="1"/>
  <c r="AO123" i="40"/>
  <c r="IX623" i="40"/>
  <c r="AO437" i="40"/>
  <c r="HW122" i="40"/>
  <c r="JM120" i="40"/>
  <c r="AL123" i="40"/>
  <c r="AK123" i="40"/>
  <c r="AN123" i="40"/>
  <c r="HP123" i="40"/>
  <c r="AM123" i="40"/>
  <c r="IP123" i="40"/>
  <c r="JB123" i="40" s="1"/>
  <c r="E28" i="44" s="1"/>
  <c r="C125" i="40"/>
  <c r="A124" i="40"/>
  <c r="AX124" i="40"/>
  <c r="BC124" i="40"/>
  <c r="BG124" i="40"/>
  <c r="BK124" i="40"/>
  <c r="BO124" i="40"/>
  <c r="BS124" i="40"/>
  <c r="BW124" i="40"/>
  <c r="CA124" i="40"/>
  <c r="CE124" i="40"/>
  <c r="DS124" i="40"/>
  <c r="DW124" i="40"/>
  <c r="IJ124" i="40"/>
  <c r="IM124" i="40" s="1"/>
  <c r="AZ124" i="40"/>
  <c r="BD124" i="40"/>
  <c r="BH124" i="40"/>
  <c r="BL124" i="40"/>
  <c r="BP124" i="40"/>
  <c r="BT124" i="40"/>
  <c r="BX124" i="40"/>
  <c r="CB124" i="40"/>
  <c r="CF124" i="40"/>
  <c r="DT124" i="40"/>
  <c r="JF124" i="40"/>
  <c r="HN124" i="40" s="1"/>
  <c r="II124" i="40"/>
  <c r="IL124" i="40" s="1"/>
  <c r="BA124" i="40"/>
  <c r="BE124" i="40"/>
  <c r="BI124" i="40"/>
  <c r="BM124" i="40"/>
  <c r="BQ124" i="40"/>
  <c r="BU124" i="40"/>
  <c r="BY124" i="40"/>
  <c r="CC124" i="40"/>
  <c r="CG124" i="40"/>
  <c r="DU124" i="40"/>
  <c r="BF124" i="40"/>
  <c r="BV124" i="40"/>
  <c r="DM124" i="40"/>
  <c r="IK124" i="40"/>
  <c r="IN124" i="40" s="1"/>
  <c r="BJ124" i="40"/>
  <c r="BZ124" i="40"/>
  <c r="DV124" i="40"/>
  <c r="AW124" i="40"/>
  <c r="BN124" i="40"/>
  <c r="CD124" i="40"/>
  <c r="BB124" i="40"/>
  <c r="BR124" i="40"/>
  <c r="CH124" i="40"/>
  <c r="IY124" i="40"/>
  <c r="IZ124" i="40"/>
  <c r="IX124" i="40"/>
  <c r="JO124" i="40"/>
  <c r="HZ124" i="40"/>
  <c r="IA124" i="40"/>
  <c r="IA624" i="40" s="1"/>
  <c r="HY124" i="40"/>
  <c r="HY624" i="40" s="1"/>
  <c r="JP124" i="40"/>
  <c r="JG124" i="40"/>
  <c r="HR122" i="40"/>
  <c r="B439" i="40"/>
  <c r="A438" i="40"/>
  <c r="AO229" i="40"/>
  <c r="C231" i="40"/>
  <c r="A230" i="40"/>
  <c r="AX230" i="40"/>
  <c r="BC230" i="40"/>
  <c r="BG230" i="40"/>
  <c r="BK230" i="40"/>
  <c r="BO230" i="40"/>
  <c r="BS230" i="40"/>
  <c r="BW230" i="40"/>
  <c r="CA230" i="40"/>
  <c r="CE230" i="40"/>
  <c r="DT230" i="40"/>
  <c r="AZ230" i="40"/>
  <c r="BD230" i="40"/>
  <c r="BH230" i="40"/>
  <c r="BL230" i="40"/>
  <c r="BP230" i="40"/>
  <c r="BT230" i="40"/>
  <c r="BX230" i="40"/>
  <c r="CB230" i="40"/>
  <c r="CF230" i="40"/>
  <c r="DU230" i="40"/>
  <c r="BA230" i="40"/>
  <c r="BE230" i="40"/>
  <c r="BI230" i="40"/>
  <c r="BM230" i="40"/>
  <c r="BQ230" i="40"/>
  <c r="BU230" i="40"/>
  <c r="BY230" i="40"/>
  <c r="CC230" i="40"/>
  <c r="CG230" i="40"/>
  <c r="DM230" i="40"/>
  <c r="DV230" i="40"/>
  <c r="BB230" i="40"/>
  <c r="BR230" i="40"/>
  <c r="CH230" i="40"/>
  <c r="BF230" i="40"/>
  <c r="BV230" i="40"/>
  <c r="DS230" i="40"/>
  <c r="BJ230" i="40"/>
  <c r="BZ230" i="40"/>
  <c r="DW230" i="40"/>
  <c r="BN230" i="40"/>
  <c r="CD230" i="40"/>
  <c r="JO230" i="40"/>
  <c r="AW230" i="40"/>
  <c r="HZ230" i="40"/>
  <c r="JP230" i="40"/>
  <c r="HY230" i="40"/>
  <c r="IA230" i="40"/>
  <c r="IY230" i="40"/>
  <c r="IZ230" i="40"/>
  <c r="IX230" i="40"/>
  <c r="M27" i="44"/>
  <c r="JI122" i="40"/>
  <c r="HS123" i="40"/>
  <c r="HT123" i="40"/>
  <c r="AN437" i="40"/>
  <c r="AP437" i="40"/>
  <c r="AM437" i="40"/>
  <c r="AM229" i="40"/>
  <c r="H17" i="70"/>
  <c r="H30" i="70"/>
  <c r="KO119" i="40"/>
  <c r="M17" i="70"/>
  <c r="M30" i="70"/>
  <c r="HX122" i="40"/>
  <c r="AP123" i="40"/>
  <c r="HZ623" i="40"/>
  <c r="IY623" i="40" s="1"/>
  <c r="HU123" i="40"/>
  <c r="AP229" i="40"/>
  <c r="AN229" i="40"/>
  <c r="JJ121" i="40"/>
  <c r="JK121" i="40" s="1"/>
  <c r="JL121" i="40" s="1"/>
  <c r="HX123" i="40" l="1"/>
  <c r="HV123" i="40"/>
  <c r="D437" i="40"/>
  <c r="D229" i="40"/>
  <c r="D123" i="40"/>
  <c r="AY123" i="40" s="1"/>
  <c r="AP438" i="40"/>
  <c r="HW124" i="40"/>
  <c r="AP124" i="40"/>
  <c r="IZ624" i="40"/>
  <c r="IO124" i="40"/>
  <c r="JA124" i="40" s="1"/>
  <c r="D29" i="44" s="1"/>
  <c r="IC123" i="40"/>
  <c r="JJ122" i="40"/>
  <c r="JM121" i="40"/>
  <c r="AN230" i="40"/>
  <c r="C232" i="40"/>
  <c r="A231" i="40"/>
  <c r="AX231" i="40"/>
  <c r="BC231" i="40"/>
  <c r="BG231" i="40"/>
  <c r="BK231" i="40"/>
  <c r="BO231" i="40"/>
  <c r="BS231" i="40"/>
  <c r="BW231" i="40"/>
  <c r="CA231" i="40"/>
  <c r="CE231" i="40"/>
  <c r="DU231" i="40"/>
  <c r="AZ231" i="40"/>
  <c r="BD231" i="40"/>
  <c r="BH231" i="40"/>
  <c r="BL231" i="40"/>
  <c r="BP231" i="40"/>
  <c r="BT231" i="40"/>
  <c r="BX231" i="40"/>
  <c r="CB231" i="40"/>
  <c r="CF231" i="40"/>
  <c r="DM231" i="40"/>
  <c r="DV231" i="40"/>
  <c r="BA231" i="40"/>
  <c r="BE231" i="40"/>
  <c r="BI231" i="40"/>
  <c r="BM231" i="40"/>
  <c r="BQ231" i="40"/>
  <c r="BU231" i="40"/>
  <c r="BY231" i="40"/>
  <c r="CC231" i="40"/>
  <c r="CG231" i="40"/>
  <c r="DS231" i="40"/>
  <c r="DW231" i="40"/>
  <c r="BJ231" i="40"/>
  <c r="BZ231" i="40"/>
  <c r="AW231" i="40"/>
  <c r="BN231" i="40"/>
  <c r="CD231" i="40"/>
  <c r="BB231" i="40"/>
  <c r="BR231" i="40"/>
  <c r="CH231" i="40"/>
  <c r="BF231" i="40"/>
  <c r="BV231" i="40"/>
  <c r="DT231" i="40"/>
  <c r="JO231" i="40"/>
  <c r="JP231" i="40"/>
  <c r="HY231" i="40"/>
  <c r="IA231" i="40"/>
  <c r="HZ231" i="40"/>
  <c r="IY231" i="40"/>
  <c r="IZ231" i="40"/>
  <c r="IX231" i="40"/>
  <c r="JH122" i="40"/>
  <c r="AO438" i="40"/>
  <c r="HZ624" i="40"/>
  <c r="IY624" i="40" s="1"/>
  <c r="AP230" i="40"/>
  <c r="AO230" i="40"/>
  <c r="AM230" i="40"/>
  <c r="B440" i="40"/>
  <c r="A439" i="40"/>
  <c r="AN124" i="40"/>
  <c r="HU124" i="40"/>
  <c r="HS124" i="40"/>
  <c r="IP124" i="40"/>
  <c r="JB124" i="40" s="1"/>
  <c r="C126" i="40"/>
  <c r="IK125" i="40"/>
  <c r="IN125" i="40" s="1"/>
  <c r="AZ125" i="40"/>
  <c r="BD125" i="40"/>
  <c r="BH125" i="40"/>
  <c r="BL125" i="40"/>
  <c r="BP125" i="40"/>
  <c r="BT125" i="40"/>
  <c r="BX125" i="40"/>
  <c r="CB125" i="40"/>
  <c r="CF125" i="40"/>
  <c r="DT125" i="40"/>
  <c r="A125" i="40"/>
  <c r="BA125" i="40"/>
  <c r="BE125" i="40"/>
  <c r="BI125" i="40"/>
  <c r="BM125" i="40"/>
  <c r="BQ125" i="40"/>
  <c r="BU125" i="40"/>
  <c r="BY125" i="40"/>
  <c r="CC125" i="40"/>
  <c r="CG125" i="40"/>
  <c r="DU125" i="40"/>
  <c r="IJ125" i="40"/>
  <c r="IM125" i="40" s="1"/>
  <c r="AW125" i="40"/>
  <c r="BB125" i="40"/>
  <c r="BF125" i="40"/>
  <c r="BJ125" i="40"/>
  <c r="BN125" i="40"/>
  <c r="BR125" i="40"/>
  <c r="BV125" i="40"/>
  <c r="BZ125" i="40"/>
  <c r="CD125" i="40"/>
  <c r="CH125" i="40"/>
  <c r="DM125" i="40"/>
  <c r="DV125" i="40"/>
  <c r="II125" i="40"/>
  <c r="IL125" i="40" s="1"/>
  <c r="BK125" i="40"/>
  <c r="CA125" i="40"/>
  <c r="DW125" i="40"/>
  <c r="AX125" i="40"/>
  <c r="BO125" i="40"/>
  <c r="CE125" i="40"/>
  <c r="BC125" i="40"/>
  <c r="BS125" i="40"/>
  <c r="DS125" i="40"/>
  <c r="JF125" i="40"/>
  <c r="HM125" i="40" s="1"/>
  <c r="BG125" i="40"/>
  <c r="BW125" i="40"/>
  <c r="JO125" i="40"/>
  <c r="IY125" i="40"/>
  <c r="IZ125" i="40"/>
  <c r="IX125" i="40"/>
  <c r="IA125" i="40"/>
  <c r="IA625" i="40" s="1"/>
  <c r="HY125" i="40"/>
  <c r="HY625" i="40" s="1"/>
  <c r="HZ125" i="40"/>
  <c r="JP125" i="40"/>
  <c r="JG125" i="40"/>
  <c r="IC122" i="40"/>
  <c r="JI123" i="40"/>
  <c r="M28" i="44"/>
  <c r="AN438" i="40"/>
  <c r="AL124" i="40"/>
  <c r="AK124" i="40"/>
  <c r="AO124" i="40"/>
  <c r="IX624" i="40"/>
  <c r="HQ124" i="40"/>
  <c r="HO124" i="40"/>
  <c r="IQ124" i="40"/>
  <c r="JC124" i="40" s="1"/>
  <c r="HM124" i="40"/>
  <c r="JH123" i="40"/>
  <c r="AM438" i="40"/>
  <c r="AM124" i="40"/>
  <c r="HT124" i="40"/>
  <c r="KO120" i="40"/>
  <c r="M31" i="70"/>
  <c r="H31" i="70"/>
  <c r="JJ123" i="40" l="1"/>
  <c r="D438" i="40"/>
  <c r="D230" i="40"/>
  <c r="D124" i="40"/>
  <c r="AY124" i="40" s="1"/>
  <c r="JK122" i="40"/>
  <c r="JL122" i="40" s="1"/>
  <c r="JM122" i="40" s="1"/>
  <c r="HX124" i="40"/>
  <c r="AP125" i="40"/>
  <c r="IQ125" i="40"/>
  <c r="JC125" i="40" s="1"/>
  <c r="F30" i="44" s="1"/>
  <c r="IP125" i="40"/>
  <c r="JB125" i="40" s="1"/>
  <c r="E30" i="44" s="1"/>
  <c r="AP439" i="40"/>
  <c r="AP231" i="40"/>
  <c r="HO125" i="40"/>
  <c r="HR125" i="40" s="1"/>
  <c r="JK123" i="40"/>
  <c r="JL123" i="40" s="1"/>
  <c r="JM123" i="40" s="1"/>
  <c r="HP125" i="40"/>
  <c r="F29" i="44"/>
  <c r="HP124" i="40"/>
  <c r="HN125" i="40"/>
  <c r="IZ625" i="40"/>
  <c r="AM125" i="40"/>
  <c r="HS125" i="40"/>
  <c r="IO125" i="40"/>
  <c r="JA125" i="40" s="1"/>
  <c r="HV124" i="40"/>
  <c r="AO231" i="40"/>
  <c r="AM231" i="40"/>
  <c r="C233" i="40"/>
  <c r="AZ232" i="40"/>
  <c r="BD232" i="40"/>
  <c r="BH232" i="40"/>
  <c r="BL232" i="40"/>
  <c r="BP232" i="40"/>
  <c r="BT232" i="40"/>
  <c r="BX232" i="40"/>
  <c r="CB232" i="40"/>
  <c r="CF232" i="40"/>
  <c r="DM232" i="40"/>
  <c r="DV232" i="40"/>
  <c r="BA232" i="40"/>
  <c r="BE232" i="40"/>
  <c r="BI232" i="40"/>
  <c r="BM232" i="40"/>
  <c r="BQ232" i="40"/>
  <c r="BU232" i="40"/>
  <c r="BY232" i="40"/>
  <c r="CC232" i="40"/>
  <c r="CG232" i="40"/>
  <c r="DS232" i="40"/>
  <c r="DW232" i="40"/>
  <c r="AW232" i="40"/>
  <c r="BB232" i="40"/>
  <c r="BF232" i="40"/>
  <c r="BJ232" i="40"/>
  <c r="BN232" i="40"/>
  <c r="BR232" i="40"/>
  <c r="BV232" i="40"/>
  <c r="BZ232" i="40"/>
  <c r="CD232" i="40"/>
  <c r="CH232" i="40"/>
  <c r="DT232" i="40"/>
  <c r="A232" i="40"/>
  <c r="BC232" i="40"/>
  <c r="BS232" i="40"/>
  <c r="BG232" i="40"/>
  <c r="BW232" i="40"/>
  <c r="DU232" i="40"/>
  <c r="BK232" i="40"/>
  <c r="CA232" i="40"/>
  <c r="AX232" i="40"/>
  <c r="JO232" i="40"/>
  <c r="BO232" i="40"/>
  <c r="CE232" i="40"/>
  <c r="IA232" i="40"/>
  <c r="JP232" i="40"/>
  <c r="HZ232" i="40"/>
  <c r="HY232" i="40"/>
  <c r="IY232" i="40"/>
  <c r="IZ232" i="40"/>
  <c r="IX232" i="40"/>
  <c r="E29" i="44"/>
  <c r="AK125" i="40"/>
  <c r="AL125" i="40"/>
  <c r="HZ625" i="40"/>
  <c r="IY625" i="40" s="1"/>
  <c r="C127" i="40"/>
  <c r="A126" i="40"/>
  <c r="AZ126" i="40"/>
  <c r="BD126" i="40"/>
  <c r="BH126" i="40"/>
  <c r="BL126" i="40"/>
  <c r="BP126" i="40"/>
  <c r="BT126" i="40"/>
  <c r="BX126" i="40"/>
  <c r="CB126" i="40"/>
  <c r="CF126" i="40"/>
  <c r="DU126" i="40"/>
  <c r="IJ126" i="40"/>
  <c r="IM126" i="40" s="1"/>
  <c r="BA126" i="40"/>
  <c r="BE126" i="40"/>
  <c r="BI126" i="40"/>
  <c r="BM126" i="40"/>
  <c r="BQ126" i="40"/>
  <c r="BU126" i="40"/>
  <c r="BY126" i="40"/>
  <c r="CC126" i="40"/>
  <c r="CG126" i="40"/>
  <c r="DM126" i="40"/>
  <c r="DV126" i="40"/>
  <c r="JF126" i="40"/>
  <c r="HN126" i="40" s="1"/>
  <c r="II126" i="40"/>
  <c r="IL126" i="40" s="1"/>
  <c r="AW126" i="40"/>
  <c r="BB126" i="40"/>
  <c r="BF126" i="40"/>
  <c r="BJ126" i="40"/>
  <c r="BN126" i="40"/>
  <c r="BR126" i="40"/>
  <c r="BV126" i="40"/>
  <c r="BZ126" i="40"/>
  <c r="CD126" i="40"/>
  <c r="CH126" i="40"/>
  <c r="DS126" i="40"/>
  <c r="DW126" i="40"/>
  <c r="AX126" i="40"/>
  <c r="BO126" i="40"/>
  <c r="CE126" i="40"/>
  <c r="BC126" i="40"/>
  <c r="BS126" i="40"/>
  <c r="BG126" i="40"/>
  <c r="BW126" i="40"/>
  <c r="DT126" i="40"/>
  <c r="CA126" i="40"/>
  <c r="IK126" i="40"/>
  <c r="IN126" i="40" s="1"/>
  <c r="BK126" i="40"/>
  <c r="IZ126" i="40"/>
  <c r="IX126" i="40"/>
  <c r="JO126" i="40"/>
  <c r="IY126" i="40"/>
  <c r="IA126" i="40"/>
  <c r="IA626" i="40" s="1"/>
  <c r="HY126" i="40"/>
  <c r="HY626" i="40" s="1"/>
  <c r="HZ126" i="40"/>
  <c r="JP126" i="40"/>
  <c r="JG126" i="40"/>
  <c r="JI124" i="40"/>
  <c r="AN439" i="40"/>
  <c r="AM439" i="40"/>
  <c r="HR124" i="40"/>
  <c r="HX125" i="40"/>
  <c r="AN125" i="40"/>
  <c r="HT125" i="40"/>
  <c r="B441" i="40"/>
  <c r="A440" i="40"/>
  <c r="AN231" i="40"/>
  <c r="AO125" i="40"/>
  <c r="IX625" i="40"/>
  <c r="HU125" i="40"/>
  <c r="AO439" i="40"/>
  <c r="IC124" i="40"/>
  <c r="KO121" i="40"/>
  <c r="H32" i="70"/>
  <c r="M32" i="70"/>
  <c r="D439" i="40" l="1"/>
  <c r="D231" i="40"/>
  <c r="D125" i="40"/>
  <c r="AY125" i="40" s="1"/>
  <c r="M29" i="44"/>
  <c r="AP440" i="40"/>
  <c r="HV126" i="40"/>
  <c r="HO126" i="40"/>
  <c r="HM126" i="40"/>
  <c r="HP126" i="40" s="1"/>
  <c r="B442" i="40"/>
  <c r="A441" i="40"/>
  <c r="HR126" i="40"/>
  <c r="IZ626" i="40"/>
  <c r="AM126" i="40"/>
  <c r="HT126" i="40"/>
  <c r="IP126" i="40"/>
  <c r="JB126" i="40" s="1"/>
  <c r="C128" i="40"/>
  <c r="IJ127" i="40"/>
  <c r="IM127" i="40" s="1"/>
  <c r="BA127" i="40"/>
  <c r="BE127" i="40"/>
  <c r="BI127" i="40"/>
  <c r="BM127" i="40"/>
  <c r="BQ127" i="40"/>
  <c r="BU127" i="40"/>
  <c r="BY127" i="40"/>
  <c r="CC127" i="40"/>
  <c r="CG127" i="40"/>
  <c r="DT127" i="40"/>
  <c r="JF127" i="40"/>
  <c r="HO127" i="40" s="1"/>
  <c r="II127" i="40"/>
  <c r="IL127" i="40" s="1"/>
  <c r="AW127" i="40"/>
  <c r="BB127" i="40"/>
  <c r="BF127" i="40"/>
  <c r="BJ127" i="40"/>
  <c r="BN127" i="40"/>
  <c r="BR127" i="40"/>
  <c r="BV127" i="40"/>
  <c r="BZ127" i="40"/>
  <c r="CD127" i="40"/>
  <c r="CH127" i="40"/>
  <c r="DU127" i="40"/>
  <c r="IK127" i="40"/>
  <c r="IN127" i="40" s="1"/>
  <c r="AX127" i="40"/>
  <c r="BC127" i="40"/>
  <c r="BG127" i="40"/>
  <c r="BK127" i="40"/>
  <c r="BO127" i="40"/>
  <c r="BS127" i="40"/>
  <c r="BW127" i="40"/>
  <c r="CA127" i="40"/>
  <c r="CE127" i="40"/>
  <c r="DM127" i="40"/>
  <c r="DV127" i="40"/>
  <c r="BD127" i="40"/>
  <c r="BT127" i="40"/>
  <c r="BH127" i="40"/>
  <c r="BX127" i="40"/>
  <c r="DS127" i="40"/>
  <c r="BL127" i="40"/>
  <c r="CB127" i="40"/>
  <c r="DW127" i="40"/>
  <c r="AZ127" i="40"/>
  <c r="A127" i="40"/>
  <c r="BP127" i="40"/>
  <c r="CF127" i="40"/>
  <c r="IY127" i="40"/>
  <c r="IX127" i="40"/>
  <c r="IZ127" i="40"/>
  <c r="JO127" i="40"/>
  <c r="IA127" i="40"/>
  <c r="IA627" i="40" s="1"/>
  <c r="HY127" i="40"/>
  <c r="HY627" i="40" s="1"/>
  <c r="HZ127" i="40"/>
  <c r="JP127" i="40"/>
  <c r="JG127" i="40"/>
  <c r="AN232" i="40"/>
  <c r="AO232" i="40"/>
  <c r="AM232" i="40"/>
  <c r="JI125" i="40"/>
  <c r="AK126" i="40"/>
  <c r="AL126" i="40"/>
  <c r="AN126" i="40"/>
  <c r="AO126" i="40"/>
  <c r="HV125" i="40"/>
  <c r="HQ125" i="40"/>
  <c r="JH125" i="40" s="1"/>
  <c r="KO122" i="40"/>
  <c r="M33" i="70"/>
  <c r="H33" i="70"/>
  <c r="AM440" i="40"/>
  <c r="AN440" i="40"/>
  <c r="AO440" i="40"/>
  <c r="AP126" i="40"/>
  <c r="HZ626" i="40"/>
  <c r="IY626" i="40" s="1"/>
  <c r="HU126" i="40"/>
  <c r="HS126" i="40"/>
  <c r="IO126" i="40"/>
  <c r="JA126" i="40" s="1"/>
  <c r="AP232" i="40"/>
  <c r="C234" i="40"/>
  <c r="BA233" i="40"/>
  <c r="BE233" i="40"/>
  <c r="BI233" i="40"/>
  <c r="BM233" i="40"/>
  <c r="BQ233" i="40"/>
  <c r="BU233" i="40"/>
  <c r="BY233" i="40"/>
  <c r="CC233" i="40"/>
  <c r="CG233" i="40"/>
  <c r="DS233" i="40"/>
  <c r="DW233" i="40"/>
  <c r="AW233" i="40"/>
  <c r="BB233" i="40"/>
  <c r="BF233" i="40"/>
  <c r="BJ233" i="40"/>
  <c r="BN233" i="40"/>
  <c r="BR233" i="40"/>
  <c r="BV233" i="40"/>
  <c r="BZ233" i="40"/>
  <c r="CD233" i="40"/>
  <c r="CH233" i="40"/>
  <c r="DT233" i="40"/>
  <c r="A233" i="40"/>
  <c r="AX233" i="40"/>
  <c r="BC233" i="40"/>
  <c r="BG233" i="40"/>
  <c r="BK233" i="40"/>
  <c r="BO233" i="40"/>
  <c r="BS233" i="40"/>
  <c r="BW233" i="40"/>
  <c r="CA233" i="40"/>
  <c r="CE233" i="40"/>
  <c r="DU233" i="40"/>
  <c r="BL233" i="40"/>
  <c r="CB233" i="40"/>
  <c r="AZ233" i="40"/>
  <c r="BP233" i="40"/>
  <c r="CF233" i="40"/>
  <c r="BD233" i="40"/>
  <c r="BT233" i="40"/>
  <c r="DM233" i="40"/>
  <c r="BH233" i="40"/>
  <c r="BX233" i="40"/>
  <c r="DV233" i="40"/>
  <c r="JO233" i="40"/>
  <c r="JP233" i="40"/>
  <c r="HZ233" i="40"/>
  <c r="IA233" i="40"/>
  <c r="HY233" i="40"/>
  <c r="IX233" i="40"/>
  <c r="IY233" i="40"/>
  <c r="IZ233" i="40"/>
  <c r="D30" i="44"/>
  <c r="HW125" i="40"/>
  <c r="KO123" i="40"/>
  <c r="H34" i="70"/>
  <c r="M34" i="70"/>
  <c r="JH124" i="40"/>
  <c r="IX626" i="40"/>
  <c r="HQ126" i="40"/>
  <c r="IQ126" i="40"/>
  <c r="JC126" i="40" s="1"/>
  <c r="F31" i="44" s="1"/>
  <c r="JJ124" i="40"/>
  <c r="HW126" i="40" l="1"/>
  <c r="IC126" i="40" s="1"/>
  <c r="D440" i="40"/>
  <c r="D232" i="40"/>
  <c r="HN127" i="40"/>
  <c r="HQ127" i="40" s="1"/>
  <c r="D126" i="40"/>
  <c r="AY126" i="40" s="1"/>
  <c r="HM127" i="40"/>
  <c r="HP127" i="40" s="1"/>
  <c r="HX126" i="40"/>
  <c r="IZ627" i="40"/>
  <c r="HV127" i="40"/>
  <c r="JK124" i="40"/>
  <c r="JL124" i="40" s="1"/>
  <c r="JM124" i="40" s="1"/>
  <c r="D31" i="44"/>
  <c r="E31" i="44"/>
  <c r="JJ125" i="40"/>
  <c r="JK125" i="40" s="1"/>
  <c r="JL125" i="40" s="1"/>
  <c r="JH126" i="40"/>
  <c r="AP127" i="40"/>
  <c r="HZ627" i="40"/>
  <c r="IY627" i="40" s="1"/>
  <c r="IP127" i="40"/>
  <c r="JB127" i="40" s="1"/>
  <c r="E32" i="44" s="1"/>
  <c r="AM127" i="40"/>
  <c r="D127" i="40" s="1"/>
  <c r="AO441" i="40"/>
  <c r="B443" i="40"/>
  <c r="A442" i="40"/>
  <c r="M30" i="44"/>
  <c r="AM233" i="40"/>
  <c r="AN127" i="40"/>
  <c r="IX627" i="40"/>
  <c r="HU127" i="40"/>
  <c r="IO127" i="40"/>
  <c r="JA127" i="40" s="1"/>
  <c r="D32" i="44" s="1"/>
  <c r="AM441" i="40"/>
  <c r="AP233" i="40"/>
  <c r="AO233" i="40"/>
  <c r="C235" i="40"/>
  <c r="AW234" i="40"/>
  <c r="BB234" i="40"/>
  <c r="BF234" i="40"/>
  <c r="BJ234" i="40"/>
  <c r="BN234" i="40"/>
  <c r="BR234" i="40"/>
  <c r="BV234" i="40"/>
  <c r="BZ234" i="40"/>
  <c r="CD234" i="40"/>
  <c r="CH234" i="40"/>
  <c r="DT234" i="40"/>
  <c r="A234" i="40"/>
  <c r="AX234" i="40"/>
  <c r="BC234" i="40"/>
  <c r="BG234" i="40"/>
  <c r="BK234" i="40"/>
  <c r="BO234" i="40"/>
  <c r="BS234" i="40"/>
  <c r="BW234" i="40"/>
  <c r="CA234" i="40"/>
  <c r="CE234" i="40"/>
  <c r="DU234" i="40"/>
  <c r="AZ234" i="40"/>
  <c r="BD234" i="40"/>
  <c r="BH234" i="40"/>
  <c r="BL234" i="40"/>
  <c r="BP234" i="40"/>
  <c r="BT234" i="40"/>
  <c r="BX234" i="40"/>
  <c r="CB234" i="40"/>
  <c r="CF234" i="40"/>
  <c r="DM234" i="40"/>
  <c r="DV234" i="40"/>
  <c r="BE234" i="40"/>
  <c r="BU234" i="40"/>
  <c r="DS234" i="40"/>
  <c r="BI234" i="40"/>
  <c r="BY234" i="40"/>
  <c r="DW234" i="40"/>
  <c r="BM234" i="40"/>
  <c r="CC234" i="40"/>
  <c r="BA234" i="40"/>
  <c r="BQ234" i="40"/>
  <c r="JO234" i="40"/>
  <c r="CG234" i="40"/>
  <c r="IA234" i="40"/>
  <c r="JP234" i="40"/>
  <c r="HZ234" i="40"/>
  <c r="HY234" i="40"/>
  <c r="IX234" i="40"/>
  <c r="IZ234" i="40"/>
  <c r="IY234" i="40"/>
  <c r="JI126" i="40"/>
  <c r="AO127" i="40"/>
  <c r="HS127" i="40"/>
  <c r="IQ127" i="40"/>
  <c r="JC127" i="40" s="1"/>
  <c r="A128" i="40"/>
  <c r="C129" i="40"/>
  <c r="IJ128" i="40"/>
  <c r="IM128" i="40" s="1"/>
  <c r="AW128" i="40"/>
  <c r="BB128" i="40"/>
  <c r="BF128" i="40"/>
  <c r="BJ128" i="40"/>
  <c r="BN128" i="40"/>
  <c r="BR128" i="40"/>
  <c r="BV128" i="40"/>
  <c r="BZ128" i="40"/>
  <c r="CD128" i="40"/>
  <c r="CH128" i="40"/>
  <c r="DM128" i="40"/>
  <c r="DV128" i="40"/>
  <c r="JF128" i="40"/>
  <c r="HN128" i="40" s="1"/>
  <c r="II128" i="40"/>
  <c r="IL128" i="40" s="1"/>
  <c r="AX128" i="40"/>
  <c r="BC128" i="40"/>
  <c r="BG128" i="40"/>
  <c r="BK128" i="40"/>
  <c r="BO128" i="40"/>
  <c r="BS128" i="40"/>
  <c r="BW128" i="40"/>
  <c r="CA128" i="40"/>
  <c r="CE128" i="40"/>
  <c r="DS128" i="40"/>
  <c r="DW128" i="40"/>
  <c r="IK128" i="40"/>
  <c r="IN128" i="40" s="1"/>
  <c r="AZ128" i="40"/>
  <c r="BD128" i="40"/>
  <c r="BH128" i="40"/>
  <c r="BL128" i="40"/>
  <c r="BP128" i="40"/>
  <c r="BT128" i="40"/>
  <c r="BX128" i="40"/>
  <c r="CB128" i="40"/>
  <c r="CF128" i="40"/>
  <c r="DT128" i="40"/>
  <c r="BI128" i="40"/>
  <c r="BY128" i="40"/>
  <c r="DU128" i="40"/>
  <c r="BM128" i="40"/>
  <c r="CC128" i="40"/>
  <c r="BA128" i="40"/>
  <c r="BQ128" i="40"/>
  <c r="CG128" i="40"/>
  <c r="BE128" i="40"/>
  <c r="BU128" i="40"/>
  <c r="IX128" i="40"/>
  <c r="JO128" i="40"/>
  <c r="IY128" i="40"/>
  <c r="IZ128" i="40"/>
  <c r="HZ128" i="40"/>
  <c r="IA128" i="40"/>
  <c r="IA628" i="40" s="1"/>
  <c r="HY128" i="40"/>
  <c r="HY628" i="40" s="1"/>
  <c r="JP128" i="40"/>
  <c r="JG128" i="40"/>
  <c r="AN441" i="40"/>
  <c r="AP441" i="40"/>
  <c r="AN233" i="40"/>
  <c r="IC125" i="40"/>
  <c r="AL127" i="40"/>
  <c r="AK127" i="40"/>
  <c r="HR127" i="40"/>
  <c r="HT127" i="40"/>
  <c r="JJ126" i="40" l="1"/>
  <c r="JK126" i="40" s="1"/>
  <c r="JL126" i="40" s="1"/>
  <c r="JM126" i="40" s="1"/>
  <c r="D441" i="40"/>
  <c r="D233" i="40"/>
  <c r="IQ128" i="40"/>
  <c r="JC128" i="40" s="1"/>
  <c r="F33" i="44" s="1"/>
  <c r="HX127" i="40"/>
  <c r="HW127" i="40"/>
  <c r="IC127" i="40" s="1"/>
  <c r="AY127" i="40"/>
  <c r="AP234" i="40"/>
  <c r="HV128" i="40"/>
  <c r="AP442" i="40"/>
  <c r="HO128" i="40"/>
  <c r="HR128" i="40" s="1"/>
  <c r="HM128" i="40"/>
  <c r="HP128" i="40" s="1"/>
  <c r="M31" i="44"/>
  <c r="HU128" i="40"/>
  <c r="F32" i="44"/>
  <c r="M32" i="44" s="1"/>
  <c r="AP128" i="40"/>
  <c r="AN128" i="40"/>
  <c r="IZ628" i="40"/>
  <c r="IO128" i="40"/>
  <c r="JA128" i="40" s="1"/>
  <c r="D33" i="44" s="1"/>
  <c r="AO234" i="40"/>
  <c r="AN442" i="40"/>
  <c r="B444" i="40"/>
  <c r="A443" i="40"/>
  <c r="AM128" i="40"/>
  <c r="C130" i="40"/>
  <c r="JF129" i="40"/>
  <c r="HN129" i="40" s="1"/>
  <c r="II129" i="40"/>
  <c r="IL129" i="40" s="1"/>
  <c r="AX129" i="40"/>
  <c r="BC129" i="40"/>
  <c r="BG129" i="40"/>
  <c r="BK129" i="40"/>
  <c r="BO129" i="40"/>
  <c r="BS129" i="40"/>
  <c r="BW129" i="40"/>
  <c r="CA129" i="40"/>
  <c r="CE129" i="40"/>
  <c r="DS129" i="40"/>
  <c r="DW129" i="40"/>
  <c r="IK129" i="40"/>
  <c r="IN129" i="40" s="1"/>
  <c r="AZ129" i="40"/>
  <c r="BD129" i="40"/>
  <c r="BH129" i="40"/>
  <c r="BL129" i="40"/>
  <c r="BP129" i="40"/>
  <c r="BT129" i="40"/>
  <c r="BX129" i="40"/>
  <c r="CB129" i="40"/>
  <c r="CF129" i="40"/>
  <c r="DT129" i="40"/>
  <c r="A129" i="40"/>
  <c r="BA129" i="40"/>
  <c r="BE129" i="40"/>
  <c r="BI129" i="40"/>
  <c r="BM129" i="40"/>
  <c r="BQ129" i="40"/>
  <c r="BU129" i="40"/>
  <c r="BY129" i="40"/>
  <c r="CC129" i="40"/>
  <c r="CG129" i="40"/>
  <c r="DU129" i="40"/>
  <c r="IQ129" i="40"/>
  <c r="AW129" i="40"/>
  <c r="BN129" i="40"/>
  <c r="CD129" i="40"/>
  <c r="IO129" i="40"/>
  <c r="BB129" i="40"/>
  <c r="BR129" i="40"/>
  <c r="CH129" i="40"/>
  <c r="BF129" i="40"/>
  <c r="BV129" i="40"/>
  <c r="DM129" i="40"/>
  <c r="BZ129" i="40"/>
  <c r="DV129" i="40"/>
  <c r="IJ129" i="40"/>
  <c r="IM129" i="40" s="1"/>
  <c r="BJ129" i="40"/>
  <c r="JO129" i="40"/>
  <c r="IY129" i="40"/>
  <c r="IX129" i="40"/>
  <c r="IZ129" i="40"/>
  <c r="IA129" i="40"/>
  <c r="IA629" i="40" s="1"/>
  <c r="HY129" i="40"/>
  <c r="HY629" i="40" s="1"/>
  <c r="HZ129" i="40"/>
  <c r="JP129" i="40"/>
  <c r="JG129" i="40"/>
  <c r="JI127" i="40"/>
  <c r="JM125" i="40"/>
  <c r="AK128" i="40"/>
  <c r="AL128" i="40"/>
  <c r="AO128" i="40"/>
  <c r="HQ128" i="40"/>
  <c r="IP128" i="40"/>
  <c r="JB128" i="40" s="1"/>
  <c r="E33" i="44" s="1"/>
  <c r="HT128" i="40"/>
  <c r="AM234" i="40"/>
  <c r="AO442" i="40"/>
  <c r="AM442" i="40"/>
  <c r="JH127" i="40"/>
  <c r="HZ628" i="40"/>
  <c r="IY628" i="40" s="1"/>
  <c r="IX628" i="40"/>
  <c r="HS128" i="40"/>
  <c r="AN234" i="40"/>
  <c r="C236" i="40"/>
  <c r="A235" i="40"/>
  <c r="AX235" i="40"/>
  <c r="BC235" i="40"/>
  <c r="BG235" i="40"/>
  <c r="BK235" i="40"/>
  <c r="BO235" i="40"/>
  <c r="BS235" i="40"/>
  <c r="BW235" i="40"/>
  <c r="CA235" i="40"/>
  <c r="CE235" i="40"/>
  <c r="DU235" i="40"/>
  <c r="AZ235" i="40"/>
  <c r="BD235" i="40"/>
  <c r="BH235" i="40"/>
  <c r="BL235" i="40"/>
  <c r="BP235" i="40"/>
  <c r="BT235" i="40"/>
  <c r="BX235" i="40"/>
  <c r="CB235" i="40"/>
  <c r="CF235" i="40"/>
  <c r="DM235" i="40"/>
  <c r="DV235" i="40"/>
  <c r="BA235" i="40"/>
  <c r="BE235" i="40"/>
  <c r="BI235" i="40"/>
  <c r="BM235" i="40"/>
  <c r="BQ235" i="40"/>
  <c r="BU235" i="40"/>
  <c r="BY235" i="40"/>
  <c r="CC235" i="40"/>
  <c r="CG235" i="40"/>
  <c r="DS235" i="40"/>
  <c r="DW235" i="40"/>
  <c r="AW235" i="40"/>
  <c r="BN235" i="40"/>
  <c r="CD235" i="40"/>
  <c r="BB235" i="40"/>
  <c r="BR235" i="40"/>
  <c r="CH235" i="40"/>
  <c r="BF235" i="40"/>
  <c r="BV235" i="40"/>
  <c r="DT235" i="40"/>
  <c r="BJ235" i="40"/>
  <c r="BZ235" i="40"/>
  <c r="JO235" i="40"/>
  <c r="HZ235" i="40"/>
  <c r="JP235" i="40"/>
  <c r="HY235" i="40"/>
  <c r="IA235" i="40"/>
  <c r="IZ235" i="40"/>
  <c r="IY235" i="40"/>
  <c r="IX235" i="40"/>
  <c r="KO124" i="40"/>
  <c r="H35" i="70"/>
  <c r="HX128" i="40" l="1"/>
  <c r="D442" i="40"/>
  <c r="D234" i="40"/>
  <c r="D128" i="40"/>
  <c r="AY128" i="40" s="1"/>
  <c r="HO129" i="40"/>
  <c r="HR129" i="40" s="1"/>
  <c r="JJ127" i="40"/>
  <c r="JK127" i="40" s="1"/>
  <c r="JL127" i="40" s="1"/>
  <c r="HW128" i="40"/>
  <c r="IC128" i="40" s="1"/>
  <c r="IX629" i="40"/>
  <c r="AP443" i="40"/>
  <c r="HX129" i="40"/>
  <c r="HT129" i="40"/>
  <c r="HM129" i="40"/>
  <c r="HP129" i="40" s="1"/>
  <c r="AP235" i="40"/>
  <c r="AP129" i="40"/>
  <c r="AN129" i="40"/>
  <c r="AO129" i="40"/>
  <c r="IZ629" i="40"/>
  <c r="HQ129" i="40"/>
  <c r="AM235" i="40"/>
  <c r="C237" i="40"/>
  <c r="AZ236" i="40"/>
  <c r="BD236" i="40"/>
  <c r="BH236" i="40"/>
  <c r="BL236" i="40"/>
  <c r="BP236" i="40"/>
  <c r="BT236" i="40"/>
  <c r="BX236" i="40"/>
  <c r="CB236" i="40"/>
  <c r="CF236" i="40"/>
  <c r="DM236" i="40"/>
  <c r="DV236" i="40"/>
  <c r="BA236" i="40"/>
  <c r="BE236" i="40"/>
  <c r="BI236" i="40"/>
  <c r="BM236" i="40"/>
  <c r="BQ236" i="40"/>
  <c r="BU236" i="40"/>
  <c r="BY236" i="40"/>
  <c r="CC236" i="40"/>
  <c r="CG236" i="40"/>
  <c r="DS236" i="40"/>
  <c r="DW236" i="40"/>
  <c r="AW236" i="40"/>
  <c r="BB236" i="40"/>
  <c r="BF236" i="40"/>
  <c r="BJ236" i="40"/>
  <c r="BN236" i="40"/>
  <c r="BR236" i="40"/>
  <c r="BV236" i="40"/>
  <c r="BZ236" i="40"/>
  <c r="CD236" i="40"/>
  <c r="CH236" i="40"/>
  <c r="DT236" i="40"/>
  <c r="BG236" i="40"/>
  <c r="BW236" i="40"/>
  <c r="DU236" i="40"/>
  <c r="BK236" i="40"/>
  <c r="CA236" i="40"/>
  <c r="AX236" i="40"/>
  <c r="BO236" i="40"/>
  <c r="CE236" i="40"/>
  <c r="A236" i="40"/>
  <c r="JO236" i="40"/>
  <c r="BC236" i="40"/>
  <c r="BS236" i="40"/>
  <c r="IA236" i="40"/>
  <c r="JP236" i="40"/>
  <c r="HY236" i="40"/>
  <c r="HZ236" i="40"/>
  <c r="IY236" i="40"/>
  <c r="IZ236" i="40"/>
  <c r="IX236" i="40"/>
  <c r="KO126" i="40"/>
  <c r="JH128" i="40"/>
  <c r="JC129" i="40"/>
  <c r="HU129" i="40"/>
  <c r="AM129" i="40"/>
  <c r="AM443" i="40"/>
  <c r="D443" i="40" s="1"/>
  <c r="AO235" i="40"/>
  <c r="JA129" i="40"/>
  <c r="C131" i="40"/>
  <c r="IK130" i="40"/>
  <c r="IN130" i="40" s="1"/>
  <c r="AX130" i="40"/>
  <c r="BC130" i="40"/>
  <c r="BG130" i="40"/>
  <c r="BK130" i="40"/>
  <c r="BO130" i="40"/>
  <c r="BS130" i="40"/>
  <c r="BW130" i="40"/>
  <c r="CA130" i="40"/>
  <c r="CE130" i="40"/>
  <c r="DT130" i="40"/>
  <c r="A130" i="40"/>
  <c r="AZ130" i="40"/>
  <c r="BD130" i="40"/>
  <c r="BH130" i="40"/>
  <c r="BL130" i="40"/>
  <c r="BP130" i="40"/>
  <c r="BT130" i="40"/>
  <c r="BX130" i="40"/>
  <c r="CB130" i="40"/>
  <c r="CF130" i="40"/>
  <c r="DU130" i="40"/>
  <c r="IJ130" i="40"/>
  <c r="IM130" i="40" s="1"/>
  <c r="BA130" i="40"/>
  <c r="BE130" i="40"/>
  <c r="BI130" i="40"/>
  <c r="BM130" i="40"/>
  <c r="BQ130" i="40"/>
  <c r="BU130" i="40"/>
  <c r="BY130" i="40"/>
  <c r="CC130" i="40"/>
  <c r="CG130" i="40"/>
  <c r="DM130" i="40"/>
  <c r="DV130" i="40"/>
  <c r="BB130" i="40"/>
  <c r="BR130" i="40"/>
  <c r="CH130" i="40"/>
  <c r="JF130" i="40"/>
  <c r="HO130" i="40" s="1"/>
  <c r="BF130" i="40"/>
  <c r="BV130" i="40"/>
  <c r="DS130" i="40"/>
  <c r="II130" i="40"/>
  <c r="IL130" i="40" s="1"/>
  <c r="BJ130" i="40"/>
  <c r="BZ130" i="40"/>
  <c r="DW130" i="40"/>
  <c r="BN130" i="40"/>
  <c r="CD130" i="40"/>
  <c r="AW130" i="40"/>
  <c r="IX130" i="40"/>
  <c r="JO130" i="40"/>
  <c r="IY130" i="40"/>
  <c r="IZ130" i="40"/>
  <c r="IA130" i="40"/>
  <c r="IA630" i="40" s="1"/>
  <c r="HY130" i="40"/>
  <c r="HY630" i="40" s="1"/>
  <c r="HZ130" i="40"/>
  <c r="JP130" i="40"/>
  <c r="JG130" i="40"/>
  <c r="AO443" i="40"/>
  <c r="B445" i="40"/>
  <c r="A444" i="40"/>
  <c r="AN235" i="40"/>
  <c r="JI128" i="40"/>
  <c r="M33" i="44"/>
  <c r="KO125" i="40"/>
  <c r="H36" i="70"/>
  <c r="M36" i="70"/>
  <c r="AL129" i="40"/>
  <c r="AK129" i="40"/>
  <c r="HZ629" i="40"/>
  <c r="IY629" i="40" s="1"/>
  <c r="IP129" i="40"/>
  <c r="JB129" i="40" s="1"/>
  <c r="E34" i="44" s="1"/>
  <c r="HS129" i="40"/>
  <c r="AN443" i="40"/>
  <c r="D235" i="40" l="1"/>
  <c r="D129" i="40"/>
  <c r="AY129" i="40" s="1"/>
  <c r="JJ128" i="40"/>
  <c r="JK128" i="40" s="1"/>
  <c r="JL128" i="40" s="1"/>
  <c r="JM128" i="40" s="1"/>
  <c r="HV129" i="40"/>
  <c r="HW129" i="40"/>
  <c r="IC129" i="40" s="1"/>
  <c r="IZ630" i="40"/>
  <c r="IO130" i="40"/>
  <c r="JA130" i="40" s="1"/>
  <c r="D35" i="44" s="1"/>
  <c r="AP236" i="40"/>
  <c r="HV130" i="40"/>
  <c r="AP444" i="40"/>
  <c r="B446" i="40"/>
  <c r="A445" i="40"/>
  <c r="AP130" i="40"/>
  <c r="AO130" i="40"/>
  <c r="IQ130" i="40"/>
  <c r="JC130" i="40" s="1"/>
  <c r="F35" i="44" s="1"/>
  <c r="HU130" i="40"/>
  <c r="D34" i="44"/>
  <c r="F34" i="44"/>
  <c r="C238" i="40"/>
  <c r="AZ237" i="40"/>
  <c r="BD237" i="40"/>
  <c r="BH237" i="40"/>
  <c r="BL237" i="40"/>
  <c r="BP237" i="40"/>
  <c r="BT237" i="40"/>
  <c r="BX237" i="40"/>
  <c r="CB237" i="40"/>
  <c r="CF237" i="40"/>
  <c r="DM237" i="40"/>
  <c r="DV237" i="40"/>
  <c r="BA237" i="40"/>
  <c r="BE237" i="40"/>
  <c r="BI237" i="40"/>
  <c r="BM237" i="40"/>
  <c r="BQ237" i="40"/>
  <c r="BU237" i="40"/>
  <c r="BY237" i="40"/>
  <c r="CC237" i="40"/>
  <c r="CG237" i="40"/>
  <c r="DS237" i="40"/>
  <c r="DW237" i="40"/>
  <c r="A237" i="40"/>
  <c r="AW237" i="40"/>
  <c r="BB237" i="40"/>
  <c r="BF237" i="40"/>
  <c r="BJ237" i="40"/>
  <c r="BN237" i="40"/>
  <c r="BR237" i="40"/>
  <c r="BV237" i="40"/>
  <c r="BZ237" i="40"/>
  <c r="CD237" i="40"/>
  <c r="CH237" i="40"/>
  <c r="DT237" i="40"/>
  <c r="AX237" i="40"/>
  <c r="BO237" i="40"/>
  <c r="CE237" i="40"/>
  <c r="BC237" i="40"/>
  <c r="BS237" i="40"/>
  <c r="BG237" i="40"/>
  <c r="BW237" i="40"/>
  <c r="DU237" i="40"/>
  <c r="CA237" i="40"/>
  <c r="JO237" i="40"/>
  <c r="BK237" i="40"/>
  <c r="IA237" i="40"/>
  <c r="HY237" i="40"/>
  <c r="JP237" i="40"/>
  <c r="HZ237" i="40"/>
  <c r="IY237" i="40"/>
  <c r="IX237" i="40"/>
  <c r="IZ237" i="40"/>
  <c r="AO444" i="40"/>
  <c r="AM130" i="40"/>
  <c r="HT130" i="40"/>
  <c r="IP130" i="40"/>
  <c r="JB130" i="40" s="1"/>
  <c r="E35" i="44" s="1"/>
  <c r="HZ630" i="40"/>
  <c r="IY630" i="40" s="1"/>
  <c r="HN130" i="40"/>
  <c r="IX630" i="40"/>
  <c r="HS130" i="40"/>
  <c r="HM130" i="40"/>
  <c r="C132" i="40"/>
  <c r="A131" i="40"/>
  <c r="BA131" i="40"/>
  <c r="BE131" i="40"/>
  <c r="BI131" i="40"/>
  <c r="BM131" i="40"/>
  <c r="BQ131" i="40"/>
  <c r="BU131" i="40"/>
  <c r="BY131" i="40"/>
  <c r="CC131" i="40"/>
  <c r="CG131" i="40"/>
  <c r="DM131" i="40"/>
  <c r="DV131" i="40"/>
  <c r="IJ131" i="40"/>
  <c r="IM131" i="40" s="1"/>
  <c r="AW131" i="40"/>
  <c r="BB131" i="40"/>
  <c r="BF131" i="40"/>
  <c r="BJ131" i="40"/>
  <c r="BN131" i="40"/>
  <c r="BR131" i="40"/>
  <c r="BV131" i="40"/>
  <c r="BZ131" i="40"/>
  <c r="CD131" i="40"/>
  <c r="CH131" i="40"/>
  <c r="DS131" i="40"/>
  <c r="DW131" i="40"/>
  <c r="JF131" i="40"/>
  <c r="HN131" i="40" s="1"/>
  <c r="II131" i="40"/>
  <c r="IL131" i="40" s="1"/>
  <c r="AX131" i="40"/>
  <c r="BC131" i="40"/>
  <c r="BG131" i="40"/>
  <c r="BK131" i="40"/>
  <c r="BO131" i="40"/>
  <c r="BS131" i="40"/>
  <c r="BH131" i="40"/>
  <c r="BW131" i="40"/>
  <c r="CE131" i="40"/>
  <c r="DT131" i="40"/>
  <c r="IK131" i="40"/>
  <c r="IN131" i="40" s="1"/>
  <c r="BL131" i="40"/>
  <c r="BX131" i="40"/>
  <c r="CF131" i="40"/>
  <c r="DU131" i="40"/>
  <c r="AZ131" i="40"/>
  <c r="BP131" i="40"/>
  <c r="CA131" i="40"/>
  <c r="BD131" i="40"/>
  <c r="BT131" i="40"/>
  <c r="CB131" i="40"/>
  <c r="JO131" i="40"/>
  <c r="IY131" i="40"/>
  <c r="IZ131" i="40"/>
  <c r="IX131" i="40"/>
  <c r="HY131" i="40"/>
  <c r="HY631" i="40" s="1"/>
  <c r="HZ131" i="40"/>
  <c r="IA131" i="40"/>
  <c r="IA631" i="40" s="1"/>
  <c r="JP131" i="40"/>
  <c r="JG131" i="40"/>
  <c r="JM127" i="40"/>
  <c r="AN236" i="40"/>
  <c r="AM236" i="40"/>
  <c r="D236" i="40" s="1"/>
  <c r="JH129" i="40"/>
  <c r="JI129" i="40"/>
  <c r="AN444" i="40"/>
  <c r="AM444" i="40"/>
  <c r="D444" i="40" s="1"/>
  <c r="AK130" i="40"/>
  <c r="AL130" i="40"/>
  <c r="AN130" i="40"/>
  <c r="HR130" i="40"/>
  <c r="AO236" i="40"/>
  <c r="JJ129" i="40" l="1"/>
  <c r="D130" i="40"/>
  <c r="AY130" i="40" s="1"/>
  <c r="IX631" i="40"/>
  <c r="HO131" i="40"/>
  <c r="HR131" i="40" s="1"/>
  <c r="HX131" i="40"/>
  <c r="HM131" i="40"/>
  <c r="HP131" i="40" s="1"/>
  <c r="AN131" i="40"/>
  <c r="AO131" i="40"/>
  <c r="HU131" i="40"/>
  <c r="HT131" i="40"/>
  <c r="IP131" i="40"/>
  <c r="JB131" i="40" s="1"/>
  <c r="C133" i="40"/>
  <c r="IK132" i="40"/>
  <c r="IN132" i="40" s="1"/>
  <c r="AW132" i="40"/>
  <c r="BB132" i="40"/>
  <c r="BF132" i="40"/>
  <c r="BJ132" i="40"/>
  <c r="BN132" i="40"/>
  <c r="BR132" i="40"/>
  <c r="BV132" i="40"/>
  <c r="BZ132" i="40"/>
  <c r="CD132" i="40"/>
  <c r="CH132" i="40"/>
  <c r="DS132" i="40"/>
  <c r="DW132" i="40"/>
  <c r="AX132" i="40"/>
  <c r="BC132" i="40"/>
  <c r="BG132" i="40"/>
  <c r="BK132" i="40"/>
  <c r="BO132" i="40"/>
  <c r="BS132" i="40"/>
  <c r="BW132" i="40"/>
  <c r="CA132" i="40"/>
  <c r="CE132" i="40"/>
  <c r="DT132" i="40"/>
  <c r="A132" i="40"/>
  <c r="JF132" i="40"/>
  <c r="HO132" i="40" s="1"/>
  <c r="IJ132" i="40"/>
  <c r="IM132" i="40" s="1"/>
  <c r="AZ132" i="40"/>
  <c r="BD132" i="40"/>
  <c r="BH132" i="40"/>
  <c r="BL132" i="40"/>
  <c r="BP132" i="40"/>
  <c r="BT132" i="40"/>
  <c r="BX132" i="40"/>
  <c r="CB132" i="40"/>
  <c r="CF132" i="40"/>
  <c r="DU132" i="40"/>
  <c r="BA132" i="40"/>
  <c r="BQ132" i="40"/>
  <c r="CG132" i="40"/>
  <c r="BE132" i="40"/>
  <c r="BU132" i="40"/>
  <c r="DM132" i="40"/>
  <c r="II132" i="40"/>
  <c r="IL132" i="40" s="1"/>
  <c r="BI132" i="40"/>
  <c r="BY132" i="40"/>
  <c r="DV132" i="40"/>
  <c r="BM132" i="40"/>
  <c r="CC132" i="40"/>
  <c r="IY132" i="40"/>
  <c r="IX132" i="40"/>
  <c r="IZ132" i="40"/>
  <c r="JO132" i="40"/>
  <c r="IA132" i="40"/>
  <c r="IA632" i="40" s="1"/>
  <c r="HY132" i="40"/>
  <c r="HY632" i="40" s="1"/>
  <c r="HZ132" i="40"/>
  <c r="JP132" i="40"/>
  <c r="JG132" i="40"/>
  <c r="HX130" i="40"/>
  <c r="HQ130" i="40"/>
  <c r="AP237" i="40"/>
  <c r="AM237" i="40"/>
  <c r="M34" i="44"/>
  <c r="B447" i="40"/>
  <c r="A446" i="40"/>
  <c r="AK131" i="40"/>
  <c r="AL131" i="40"/>
  <c r="HS131" i="40"/>
  <c r="HP130" i="40"/>
  <c r="HW130" i="40"/>
  <c r="AN237" i="40"/>
  <c r="C239" i="40"/>
  <c r="AZ238" i="40"/>
  <c r="BD238" i="40"/>
  <c r="BH238" i="40"/>
  <c r="BL238" i="40"/>
  <c r="BP238" i="40"/>
  <c r="BT238" i="40"/>
  <c r="BX238" i="40"/>
  <c r="CB238" i="40"/>
  <c r="CF238" i="40"/>
  <c r="DM238" i="40"/>
  <c r="DV238" i="40"/>
  <c r="BA238" i="40"/>
  <c r="BE238" i="40"/>
  <c r="BI238" i="40"/>
  <c r="BM238" i="40"/>
  <c r="BQ238" i="40"/>
  <c r="BU238" i="40"/>
  <c r="BY238" i="40"/>
  <c r="CC238" i="40"/>
  <c r="CG238" i="40"/>
  <c r="DS238" i="40"/>
  <c r="DW238" i="40"/>
  <c r="A238" i="40"/>
  <c r="AW238" i="40"/>
  <c r="BB238" i="40"/>
  <c r="BF238" i="40"/>
  <c r="BJ238" i="40"/>
  <c r="BN238" i="40"/>
  <c r="BR238" i="40"/>
  <c r="BV238" i="40"/>
  <c r="BZ238" i="40"/>
  <c r="CD238" i="40"/>
  <c r="CH238" i="40"/>
  <c r="DT238" i="40"/>
  <c r="BG238" i="40"/>
  <c r="BW238" i="40"/>
  <c r="DU238" i="40"/>
  <c r="BK238" i="40"/>
  <c r="CA238" i="40"/>
  <c r="AX238" i="40"/>
  <c r="BO238" i="40"/>
  <c r="CE238" i="40"/>
  <c r="BS238" i="40"/>
  <c r="JO238" i="40"/>
  <c r="BC238" i="40"/>
  <c r="HY238" i="40"/>
  <c r="JP238" i="40"/>
  <c r="IA238" i="40"/>
  <c r="HZ238" i="40"/>
  <c r="IY238" i="40"/>
  <c r="IX238" i="40"/>
  <c r="IZ238" i="40"/>
  <c r="AN445" i="40"/>
  <c r="AP445" i="40"/>
  <c r="AM445" i="40"/>
  <c r="M35" i="44"/>
  <c r="HQ131" i="40"/>
  <c r="IO131" i="40"/>
  <c r="JA131" i="40" s="1"/>
  <c r="D36" i="44" s="1"/>
  <c r="KO128" i="40"/>
  <c r="AO237" i="40"/>
  <c r="KO127" i="40"/>
  <c r="JK129" i="40"/>
  <c r="JL129" i="40" s="1"/>
  <c r="HZ631" i="40"/>
  <c r="IY631" i="40" s="1"/>
  <c r="AP131" i="40"/>
  <c r="IZ631" i="40"/>
  <c r="AM131" i="40"/>
  <c r="IQ131" i="40"/>
  <c r="JC131" i="40" s="1"/>
  <c r="F36" i="44" s="1"/>
  <c r="JI130" i="40"/>
  <c r="AO445" i="40"/>
  <c r="D131" i="40" l="1"/>
  <c r="AY131" i="40" s="1"/>
  <c r="D237" i="40"/>
  <c r="D445" i="40"/>
  <c r="HV131" i="40"/>
  <c r="IZ632" i="40"/>
  <c r="HW131" i="40"/>
  <c r="IC131" i="40" s="1"/>
  <c r="AP238" i="40"/>
  <c r="IO132" i="40"/>
  <c r="JA132" i="40" s="1"/>
  <c r="IQ132" i="40"/>
  <c r="JC132" i="40" s="1"/>
  <c r="F37" i="44" s="1"/>
  <c r="AP446" i="40"/>
  <c r="AP132" i="40"/>
  <c r="JJ130" i="40"/>
  <c r="HR132" i="40"/>
  <c r="AN238" i="40"/>
  <c r="AM238" i="40"/>
  <c r="D238" i="40" s="1"/>
  <c r="B448" i="40"/>
  <c r="A447" i="40"/>
  <c r="AL132" i="40"/>
  <c r="AK132" i="40"/>
  <c r="AO132" i="40"/>
  <c r="HZ632" i="40"/>
  <c r="IY632" i="40" s="1"/>
  <c r="HT132" i="40"/>
  <c r="HU132" i="40"/>
  <c r="C134" i="40"/>
  <c r="IK133" i="40"/>
  <c r="IN133" i="40" s="1"/>
  <c r="AZ133" i="40"/>
  <c r="BD133" i="40"/>
  <c r="BH133" i="40"/>
  <c r="BL133" i="40"/>
  <c r="BP133" i="40"/>
  <c r="BT133" i="40"/>
  <c r="BX133" i="40"/>
  <c r="CB133" i="40"/>
  <c r="CF133" i="40"/>
  <c r="DU133" i="40"/>
  <c r="A133" i="40"/>
  <c r="BA133" i="40"/>
  <c r="BE133" i="40"/>
  <c r="BI133" i="40"/>
  <c r="BM133" i="40"/>
  <c r="BQ133" i="40"/>
  <c r="BU133" i="40"/>
  <c r="BY133" i="40"/>
  <c r="CC133" i="40"/>
  <c r="CG133" i="40"/>
  <c r="DM133" i="40"/>
  <c r="DV133" i="40"/>
  <c r="IJ133" i="40"/>
  <c r="IM133" i="40" s="1"/>
  <c r="AW133" i="40"/>
  <c r="BB133" i="40"/>
  <c r="BF133" i="40"/>
  <c r="BJ133" i="40"/>
  <c r="BN133" i="40"/>
  <c r="BR133" i="40"/>
  <c r="BV133" i="40"/>
  <c r="BZ133" i="40"/>
  <c r="CD133" i="40"/>
  <c r="CH133" i="40"/>
  <c r="DS133" i="40"/>
  <c r="DW133" i="40"/>
  <c r="JF133" i="40"/>
  <c r="HN133" i="40" s="1"/>
  <c r="BG133" i="40"/>
  <c r="BW133" i="40"/>
  <c r="DT133" i="40"/>
  <c r="II133" i="40"/>
  <c r="IL133" i="40" s="1"/>
  <c r="BK133" i="40"/>
  <c r="CA133" i="40"/>
  <c r="AX133" i="40"/>
  <c r="BO133" i="40"/>
  <c r="CE133" i="40"/>
  <c r="BC133" i="40"/>
  <c r="BS133" i="40"/>
  <c r="IX133" i="40"/>
  <c r="JO133" i="40"/>
  <c r="IY133" i="40"/>
  <c r="IZ133" i="40"/>
  <c r="HY133" i="40"/>
  <c r="HY633" i="40" s="1"/>
  <c r="IA133" i="40"/>
  <c r="IA633" i="40" s="1"/>
  <c r="HZ133" i="40"/>
  <c r="JP133" i="40"/>
  <c r="JG133" i="40"/>
  <c r="C240" i="40"/>
  <c r="BA239" i="40"/>
  <c r="BE239" i="40"/>
  <c r="BI239" i="40"/>
  <c r="BM239" i="40"/>
  <c r="BQ239" i="40"/>
  <c r="BU239" i="40"/>
  <c r="BY239" i="40"/>
  <c r="CC239" i="40"/>
  <c r="CG239" i="40"/>
  <c r="DS239" i="40"/>
  <c r="DW239" i="40"/>
  <c r="AW239" i="40"/>
  <c r="BB239" i="40"/>
  <c r="BF239" i="40"/>
  <c r="BJ239" i="40"/>
  <c r="BN239" i="40"/>
  <c r="BR239" i="40"/>
  <c r="BV239" i="40"/>
  <c r="BZ239" i="40"/>
  <c r="CD239" i="40"/>
  <c r="CH239" i="40"/>
  <c r="DT239" i="40"/>
  <c r="A239" i="40"/>
  <c r="AX239" i="40"/>
  <c r="BC239" i="40"/>
  <c r="BG239" i="40"/>
  <c r="BK239" i="40"/>
  <c r="BO239" i="40"/>
  <c r="BS239" i="40"/>
  <c r="BW239" i="40"/>
  <c r="CA239" i="40"/>
  <c r="CE239" i="40"/>
  <c r="DU239" i="40"/>
  <c r="AZ239" i="40"/>
  <c r="BP239" i="40"/>
  <c r="CF239" i="40"/>
  <c r="BD239" i="40"/>
  <c r="BT239" i="40"/>
  <c r="DM239" i="40"/>
  <c r="BH239" i="40"/>
  <c r="BX239" i="40"/>
  <c r="DV239" i="40"/>
  <c r="BL239" i="40"/>
  <c r="JO239" i="40"/>
  <c r="CB239" i="40"/>
  <c r="IA239" i="40"/>
  <c r="HZ239" i="40"/>
  <c r="JP239" i="40"/>
  <c r="HY239" i="40"/>
  <c r="IZ239" i="40"/>
  <c r="IX239" i="40"/>
  <c r="IY239" i="40"/>
  <c r="JI131" i="40"/>
  <c r="AN446" i="40"/>
  <c r="AN132" i="40"/>
  <c r="IX632" i="40"/>
  <c r="HW132" i="40"/>
  <c r="HX132" i="40"/>
  <c r="HV132" i="40"/>
  <c r="HS132" i="40"/>
  <c r="JM129" i="40"/>
  <c r="JH131" i="40"/>
  <c r="AO446" i="40"/>
  <c r="AM446" i="40"/>
  <c r="IC130" i="40"/>
  <c r="HN132" i="40"/>
  <c r="HM132" i="40"/>
  <c r="E36" i="44"/>
  <c r="AO238" i="40"/>
  <c r="JH130" i="40"/>
  <c r="IP132" i="40"/>
  <c r="JB132" i="40" s="1"/>
  <c r="E37" i="44" s="1"/>
  <c r="AM132" i="40"/>
  <c r="D132" i="40" s="1"/>
  <c r="D446" i="40" l="1"/>
  <c r="JJ131" i="40"/>
  <c r="JK131" i="40" s="1"/>
  <c r="JL131" i="40" s="1"/>
  <c r="HO133" i="40"/>
  <c r="HR133" i="40" s="1"/>
  <c r="AY132" i="40"/>
  <c r="HW133" i="40"/>
  <c r="AP133" i="40"/>
  <c r="JK130" i="40"/>
  <c r="JL130" i="40" s="1"/>
  <c r="JM130" i="40" s="1"/>
  <c r="HM133" i="40"/>
  <c r="HP133" i="40" s="1"/>
  <c r="M36" i="44"/>
  <c r="HZ633" i="40"/>
  <c r="IY633" i="40" s="1"/>
  <c r="IQ133" i="40"/>
  <c r="JC133" i="40" s="1"/>
  <c r="F38" i="44" s="1"/>
  <c r="B449" i="40"/>
  <c r="A448" i="40"/>
  <c r="HP132" i="40"/>
  <c r="AO239" i="40"/>
  <c r="AM133" i="40"/>
  <c r="HT133" i="40"/>
  <c r="IP133" i="40"/>
  <c r="JB133" i="40" s="1"/>
  <c r="E38" i="44" s="1"/>
  <c r="C135" i="40"/>
  <c r="IJ134" i="40"/>
  <c r="IM134" i="40" s="1"/>
  <c r="AW134" i="40"/>
  <c r="BB134" i="40"/>
  <c r="BF134" i="40"/>
  <c r="BJ134" i="40"/>
  <c r="BN134" i="40"/>
  <c r="BR134" i="40"/>
  <c r="BV134" i="40"/>
  <c r="BZ134" i="40"/>
  <c r="CD134" i="40"/>
  <c r="CH134" i="40"/>
  <c r="DT134" i="40"/>
  <c r="JF134" i="40"/>
  <c r="HO134" i="40" s="1"/>
  <c r="II134" i="40"/>
  <c r="IL134" i="40" s="1"/>
  <c r="AX134" i="40"/>
  <c r="BC134" i="40"/>
  <c r="BG134" i="40"/>
  <c r="BK134" i="40"/>
  <c r="BO134" i="40"/>
  <c r="BS134" i="40"/>
  <c r="BW134" i="40"/>
  <c r="CA134" i="40"/>
  <c r="CE134" i="40"/>
  <c r="DU134" i="40"/>
  <c r="IK134" i="40"/>
  <c r="IN134" i="40" s="1"/>
  <c r="AZ134" i="40"/>
  <c r="BD134" i="40"/>
  <c r="BH134" i="40"/>
  <c r="BL134" i="40"/>
  <c r="BP134" i="40"/>
  <c r="BT134" i="40"/>
  <c r="BX134" i="40"/>
  <c r="CB134" i="40"/>
  <c r="CF134" i="40"/>
  <c r="DM134" i="40"/>
  <c r="DV134" i="40"/>
  <c r="BM134" i="40"/>
  <c r="CC134" i="40"/>
  <c r="A134" i="40"/>
  <c r="BA134" i="40"/>
  <c r="BQ134" i="40"/>
  <c r="CG134" i="40"/>
  <c r="BE134" i="40"/>
  <c r="BU134" i="40"/>
  <c r="DS134" i="40"/>
  <c r="BI134" i="40"/>
  <c r="BY134" i="40"/>
  <c r="DW134" i="40"/>
  <c r="JO134" i="40"/>
  <c r="IY134" i="40"/>
  <c r="IZ134" i="40"/>
  <c r="IX134" i="40"/>
  <c r="IA134" i="40"/>
  <c r="IA634" i="40" s="1"/>
  <c r="HZ134" i="40"/>
  <c r="HY134" i="40"/>
  <c r="HY634" i="40" s="1"/>
  <c r="JP134" i="40"/>
  <c r="JG134" i="40"/>
  <c r="AO447" i="40"/>
  <c r="KO129" i="40"/>
  <c r="JI132" i="40"/>
  <c r="D37" i="44"/>
  <c r="AP239" i="40"/>
  <c r="AM239" i="40"/>
  <c r="AK133" i="40"/>
  <c r="AL133" i="40"/>
  <c r="AO133" i="40"/>
  <c r="IX633" i="40"/>
  <c r="HS133" i="40"/>
  <c r="HQ132" i="40"/>
  <c r="JJ132" i="40"/>
  <c r="AN239" i="40"/>
  <c r="C241" i="40"/>
  <c r="AW240" i="40"/>
  <c r="BB240" i="40"/>
  <c r="BF240" i="40"/>
  <c r="BJ240" i="40"/>
  <c r="BN240" i="40"/>
  <c r="BR240" i="40"/>
  <c r="BV240" i="40"/>
  <c r="BZ240" i="40"/>
  <c r="CD240" i="40"/>
  <c r="CH240" i="40"/>
  <c r="DS240" i="40"/>
  <c r="DW240" i="40"/>
  <c r="A240" i="40"/>
  <c r="AX240" i="40"/>
  <c r="BC240" i="40"/>
  <c r="BG240" i="40"/>
  <c r="BK240" i="40"/>
  <c r="BO240" i="40"/>
  <c r="BS240" i="40"/>
  <c r="BW240" i="40"/>
  <c r="CA240" i="40"/>
  <c r="CE240" i="40"/>
  <c r="DT240" i="40"/>
  <c r="AZ240" i="40"/>
  <c r="BD240" i="40"/>
  <c r="BH240" i="40"/>
  <c r="BL240" i="40"/>
  <c r="BP240" i="40"/>
  <c r="BT240" i="40"/>
  <c r="BX240" i="40"/>
  <c r="CB240" i="40"/>
  <c r="CF240" i="40"/>
  <c r="DU240" i="40"/>
  <c r="BI240" i="40"/>
  <c r="BY240" i="40"/>
  <c r="DV240" i="40"/>
  <c r="BM240" i="40"/>
  <c r="CC240" i="40"/>
  <c r="BA240" i="40"/>
  <c r="BQ240" i="40"/>
  <c r="CG240" i="40"/>
  <c r="BE240" i="40"/>
  <c r="BU240" i="40"/>
  <c r="DM240" i="40"/>
  <c r="JO240" i="40"/>
  <c r="HZ240" i="40"/>
  <c r="HY240" i="40"/>
  <c r="JP240" i="40"/>
  <c r="IA240" i="40"/>
  <c r="IZ240" i="40"/>
  <c r="IY240" i="40"/>
  <c r="IX240" i="40"/>
  <c r="AN133" i="40"/>
  <c r="IZ633" i="40"/>
  <c r="HQ133" i="40"/>
  <c r="IO133" i="40"/>
  <c r="JA133" i="40" s="1"/>
  <c r="HU133" i="40"/>
  <c r="AN447" i="40"/>
  <c r="AP447" i="40"/>
  <c r="AM447" i="40"/>
  <c r="D239" i="40" l="1"/>
  <c r="D133" i="40"/>
  <c r="AY133" i="40" s="1"/>
  <c r="D447" i="40"/>
  <c r="HX134" i="40"/>
  <c r="AP240" i="40"/>
  <c r="IQ134" i="40"/>
  <c r="JC134" i="40" s="1"/>
  <c r="F39" i="44" s="1"/>
  <c r="IO134" i="40"/>
  <c r="JA134" i="40" s="1"/>
  <c r="IC133" i="40"/>
  <c r="HM134" i="40"/>
  <c r="HP134" i="40" s="1"/>
  <c r="HN134" i="40"/>
  <c r="HQ134" i="40" s="1"/>
  <c r="IZ634" i="40"/>
  <c r="HS134" i="40"/>
  <c r="D38" i="44"/>
  <c r="JI133" i="40"/>
  <c r="AN240" i="40"/>
  <c r="HX133" i="40"/>
  <c r="HR134" i="40"/>
  <c r="C136" i="40"/>
  <c r="A135" i="40"/>
  <c r="BA135" i="40"/>
  <c r="BE135" i="40"/>
  <c r="BI135" i="40"/>
  <c r="BM135" i="40"/>
  <c r="BQ135" i="40"/>
  <c r="BU135" i="40"/>
  <c r="BY135" i="40"/>
  <c r="CC135" i="40"/>
  <c r="CG135" i="40"/>
  <c r="DM135" i="40"/>
  <c r="DV135" i="40"/>
  <c r="IJ135" i="40"/>
  <c r="IM135" i="40" s="1"/>
  <c r="AW135" i="40"/>
  <c r="BB135" i="40"/>
  <c r="BF135" i="40"/>
  <c r="BJ135" i="40"/>
  <c r="BN135" i="40"/>
  <c r="BR135" i="40"/>
  <c r="BV135" i="40"/>
  <c r="BZ135" i="40"/>
  <c r="CD135" i="40"/>
  <c r="CH135" i="40"/>
  <c r="DS135" i="40"/>
  <c r="DW135" i="40"/>
  <c r="JF135" i="40"/>
  <c r="HN135" i="40" s="1"/>
  <c r="II135" i="40"/>
  <c r="IL135" i="40" s="1"/>
  <c r="AX135" i="40"/>
  <c r="BC135" i="40"/>
  <c r="BG135" i="40"/>
  <c r="BK135" i="40"/>
  <c r="BO135" i="40"/>
  <c r="BS135" i="40"/>
  <c r="BW135" i="40"/>
  <c r="CA135" i="40"/>
  <c r="CE135" i="40"/>
  <c r="DT135" i="40"/>
  <c r="BD135" i="40"/>
  <c r="BT135" i="40"/>
  <c r="BH135" i="40"/>
  <c r="BX135" i="40"/>
  <c r="DU135" i="40"/>
  <c r="IK135" i="40"/>
  <c r="IN135" i="40" s="1"/>
  <c r="BL135" i="40"/>
  <c r="CB135" i="40"/>
  <c r="CF135" i="40"/>
  <c r="BP135" i="40"/>
  <c r="AZ135" i="40"/>
  <c r="JO135" i="40"/>
  <c r="IY135" i="40"/>
  <c r="IZ135" i="40"/>
  <c r="IX135" i="40"/>
  <c r="HZ135" i="40"/>
  <c r="IA135" i="40"/>
  <c r="IA635" i="40" s="1"/>
  <c r="HY135" i="40"/>
  <c r="HY635" i="40" s="1"/>
  <c r="JP135" i="40"/>
  <c r="JG135" i="40"/>
  <c r="JH133" i="40"/>
  <c r="JH132" i="40"/>
  <c r="JK132" i="40" s="1"/>
  <c r="JL132" i="40" s="1"/>
  <c r="B450" i="40"/>
  <c r="A449" i="40"/>
  <c r="C242" i="40"/>
  <c r="AW241" i="40"/>
  <c r="BB241" i="40"/>
  <c r="BF241" i="40"/>
  <c r="BJ241" i="40"/>
  <c r="BN241" i="40"/>
  <c r="BR241" i="40"/>
  <c r="BV241" i="40"/>
  <c r="BZ241" i="40"/>
  <c r="CD241" i="40"/>
  <c r="CH241" i="40"/>
  <c r="DT241" i="40"/>
  <c r="A241" i="40"/>
  <c r="AX241" i="40"/>
  <c r="BC241" i="40"/>
  <c r="BG241" i="40"/>
  <c r="BK241" i="40"/>
  <c r="BO241" i="40"/>
  <c r="BS241" i="40"/>
  <c r="BW241" i="40"/>
  <c r="CA241" i="40"/>
  <c r="CE241" i="40"/>
  <c r="DU241" i="40"/>
  <c r="AZ241" i="40"/>
  <c r="BD241" i="40"/>
  <c r="BH241" i="40"/>
  <c r="BL241" i="40"/>
  <c r="BP241" i="40"/>
  <c r="BT241" i="40"/>
  <c r="BX241" i="40"/>
  <c r="CB241" i="40"/>
  <c r="CF241" i="40"/>
  <c r="DM241" i="40"/>
  <c r="DV241" i="40"/>
  <c r="BA241" i="40"/>
  <c r="BQ241" i="40"/>
  <c r="CG241" i="40"/>
  <c r="BE241" i="40"/>
  <c r="BU241" i="40"/>
  <c r="DS241" i="40"/>
  <c r="BI241" i="40"/>
  <c r="BY241" i="40"/>
  <c r="DW241" i="40"/>
  <c r="JO241" i="40"/>
  <c r="BM241" i="40"/>
  <c r="CC241" i="40"/>
  <c r="JP241" i="40"/>
  <c r="HZ241" i="40"/>
  <c r="IA241" i="40"/>
  <c r="HY241" i="40"/>
  <c r="IX241" i="40"/>
  <c r="IY241" i="40"/>
  <c r="IZ241" i="40"/>
  <c r="IC132" i="40"/>
  <c r="AM134" i="40"/>
  <c r="AO448" i="40"/>
  <c r="AM448" i="40"/>
  <c r="KO130" i="40"/>
  <c r="AO240" i="40"/>
  <c r="AM240" i="40"/>
  <c r="JM131" i="40"/>
  <c r="HV133" i="40"/>
  <c r="M37" i="44"/>
  <c r="AK134" i="40"/>
  <c r="AL134" i="40"/>
  <c r="HZ634" i="40"/>
  <c r="IY634" i="40" s="1"/>
  <c r="HT134" i="40"/>
  <c r="AP134" i="40"/>
  <c r="AN134" i="40"/>
  <c r="AO134" i="40"/>
  <c r="IX634" i="40"/>
  <c r="IP134" i="40"/>
  <c r="JB134" i="40" s="1"/>
  <c r="E39" i="44" s="1"/>
  <c r="HU134" i="40"/>
  <c r="AN448" i="40"/>
  <c r="AP448" i="40"/>
  <c r="D240" i="40" l="1"/>
  <c r="D448" i="40"/>
  <c r="D134" i="40"/>
  <c r="AY134" i="40" s="1"/>
  <c r="AP135" i="40"/>
  <c r="G42" i="58" s="1"/>
  <c r="IX635" i="40"/>
  <c r="IO135" i="40"/>
  <c r="JA135" i="40" s="1"/>
  <c r="IQ135" i="40"/>
  <c r="JC135" i="40" s="1"/>
  <c r="HM135" i="40"/>
  <c r="HP135" i="40" s="1"/>
  <c r="JM132" i="40"/>
  <c r="AM449" i="40"/>
  <c r="HQ135" i="40"/>
  <c r="JJ133" i="40"/>
  <c r="JK133" i="40" s="1"/>
  <c r="JL133" i="40" s="1"/>
  <c r="JH134" i="40"/>
  <c r="AM241" i="40"/>
  <c r="AN449" i="40"/>
  <c r="HO135" i="40"/>
  <c r="AN135" i="40"/>
  <c r="IZ635" i="40"/>
  <c r="AM135" i="40"/>
  <c r="JI134" i="40"/>
  <c r="D39" i="44"/>
  <c r="KO131" i="40"/>
  <c r="HW134" i="40"/>
  <c r="AP241" i="40"/>
  <c r="AN241" i="40"/>
  <c r="C243" i="40"/>
  <c r="A242" i="40"/>
  <c r="AX242" i="40"/>
  <c r="BC242" i="40"/>
  <c r="BG242" i="40"/>
  <c r="BK242" i="40"/>
  <c r="BO242" i="40"/>
  <c r="BS242" i="40"/>
  <c r="BW242" i="40"/>
  <c r="CA242" i="40"/>
  <c r="CE242" i="40"/>
  <c r="DT242" i="40"/>
  <c r="AZ242" i="40"/>
  <c r="BD242" i="40"/>
  <c r="BH242" i="40"/>
  <c r="BL242" i="40"/>
  <c r="BP242" i="40"/>
  <c r="BT242" i="40"/>
  <c r="BX242" i="40"/>
  <c r="CB242" i="40"/>
  <c r="CF242" i="40"/>
  <c r="DU242" i="40"/>
  <c r="BA242" i="40"/>
  <c r="BE242" i="40"/>
  <c r="BI242" i="40"/>
  <c r="BM242" i="40"/>
  <c r="BQ242" i="40"/>
  <c r="BU242" i="40"/>
  <c r="BY242" i="40"/>
  <c r="CC242" i="40"/>
  <c r="CG242" i="40"/>
  <c r="DM242" i="40"/>
  <c r="DV242" i="40"/>
  <c r="BJ242" i="40"/>
  <c r="BZ242" i="40"/>
  <c r="DW242" i="40"/>
  <c r="AW242" i="40"/>
  <c r="BN242" i="40"/>
  <c r="CD242" i="40"/>
  <c r="BB242" i="40"/>
  <c r="BR242" i="40"/>
  <c r="CH242" i="40"/>
  <c r="JO242" i="40"/>
  <c r="BF242" i="40"/>
  <c r="BV242" i="40"/>
  <c r="DS242" i="40"/>
  <c r="HZ242" i="40"/>
  <c r="HY242" i="40"/>
  <c r="JP242" i="40"/>
  <c r="IA242" i="40"/>
  <c r="IZ242" i="40"/>
  <c r="IY242" i="40"/>
  <c r="IX242" i="40"/>
  <c r="AP449" i="40"/>
  <c r="B451" i="40"/>
  <c r="A450" i="40"/>
  <c r="HZ635" i="40"/>
  <c r="IY635" i="40" s="1"/>
  <c r="HU135" i="40"/>
  <c r="HT135" i="40"/>
  <c r="IP135" i="40"/>
  <c r="JB135" i="40" s="1"/>
  <c r="C137" i="40"/>
  <c r="JF136" i="40"/>
  <c r="HN136" i="40" s="1"/>
  <c r="II136" i="40"/>
  <c r="IL136" i="40" s="1"/>
  <c r="AW136" i="40"/>
  <c r="BB136" i="40"/>
  <c r="BF136" i="40"/>
  <c r="BJ136" i="40"/>
  <c r="BN136" i="40"/>
  <c r="BR136" i="40"/>
  <c r="BV136" i="40"/>
  <c r="BZ136" i="40"/>
  <c r="CD136" i="40"/>
  <c r="CH136" i="40"/>
  <c r="DS136" i="40"/>
  <c r="DW136" i="40"/>
  <c r="IK136" i="40"/>
  <c r="IN136" i="40" s="1"/>
  <c r="AX136" i="40"/>
  <c r="BC136" i="40"/>
  <c r="BG136" i="40"/>
  <c r="BK136" i="40"/>
  <c r="BO136" i="40"/>
  <c r="BS136" i="40"/>
  <c r="BW136" i="40"/>
  <c r="CA136" i="40"/>
  <c r="CE136" i="40"/>
  <c r="DT136" i="40"/>
  <c r="A136" i="40"/>
  <c r="AZ136" i="40"/>
  <c r="BD136" i="40"/>
  <c r="BH136" i="40"/>
  <c r="BL136" i="40"/>
  <c r="BP136" i="40"/>
  <c r="BT136" i="40"/>
  <c r="BX136" i="40"/>
  <c r="CB136" i="40"/>
  <c r="CF136" i="40"/>
  <c r="DU136" i="40"/>
  <c r="IJ136" i="40"/>
  <c r="IM136" i="40" s="1"/>
  <c r="BI136" i="40"/>
  <c r="BY136" i="40"/>
  <c r="DV136" i="40"/>
  <c r="IQ136" i="40"/>
  <c r="BM136" i="40"/>
  <c r="CC136" i="40"/>
  <c r="IO136" i="40"/>
  <c r="BA136" i="40"/>
  <c r="BQ136" i="40"/>
  <c r="CG136" i="40"/>
  <c r="BU136" i="40"/>
  <c r="DM136" i="40"/>
  <c r="BE136" i="40"/>
  <c r="JO136" i="40"/>
  <c r="IY136" i="40"/>
  <c r="IX136" i="40"/>
  <c r="IZ136" i="40"/>
  <c r="IA136" i="40"/>
  <c r="IA636" i="40" s="1"/>
  <c r="HY136" i="40"/>
  <c r="HY636" i="40" s="1"/>
  <c r="HZ136" i="40"/>
  <c r="JP136" i="40"/>
  <c r="JG136" i="40"/>
  <c r="M38" i="44"/>
  <c r="HV134" i="40"/>
  <c r="AO241" i="40"/>
  <c r="AO449" i="40"/>
  <c r="AK135" i="40"/>
  <c r="J42" i="58" s="1"/>
  <c r="J43" i="58" s="1"/>
  <c r="AL135" i="40"/>
  <c r="AO135" i="40"/>
  <c r="HW135" i="40"/>
  <c r="HV135" i="40"/>
  <c r="HX135" i="40"/>
  <c r="HS135" i="40"/>
  <c r="D135" i="40" l="1"/>
  <c r="AY135" i="40" s="1"/>
  <c r="D449" i="40"/>
  <c r="D241" i="40"/>
  <c r="IZ636" i="40"/>
  <c r="AP242" i="40"/>
  <c r="HO136" i="40"/>
  <c r="HR136" i="40" s="1"/>
  <c r="HT136" i="40"/>
  <c r="HM136" i="40"/>
  <c r="HP136" i="40" s="1"/>
  <c r="AK136" i="40"/>
  <c r="AL136" i="40"/>
  <c r="JC136" i="40"/>
  <c r="HS136" i="40"/>
  <c r="F40" i="44"/>
  <c r="JM133" i="40"/>
  <c r="JJ135" i="40"/>
  <c r="AP136" i="40"/>
  <c r="HV136" i="40"/>
  <c r="AN136" i="40"/>
  <c r="IX636" i="40"/>
  <c r="JA136" i="40"/>
  <c r="HQ136" i="40"/>
  <c r="AP450" i="40"/>
  <c r="AN242" i="40"/>
  <c r="C244" i="40"/>
  <c r="A243" i="40"/>
  <c r="AX243" i="40"/>
  <c r="BC243" i="40"/>
  <c r="BG243" i="40"/>
  <c r="BK243" i="40"/>
  <c r="BO243" i="40"/>
  <c r="BS243" i="40"/>
  <c r="BW243" i="40"/>
  <c r="CA243" i="40"/>
  <c r="CE243" i="40"/>
  <c r="DU243" i="40"/>
  <c r="AZ243" i="40"/>
  <c r="BD243" i="40"/>
  <c r="BH243" i="40"/>
  <c r="BL243" i="40"/>
  <c r="BP243" i="40"/>
  <c r="BT243" i="40"/>
  <c r="BX243" i="40"/>
  <c r="CB243" i="40"/>
  <c r="CF243" i="40"/>
  <c r="DM243" i="40"/>
  <c r="DV243" i="40"/>
  <c r="BA243" i="40"/>
  <c r="BE243" i="40"/>
  <c r="BI243" i="40"/>
  <c r="BM243" i="40"/>
  <c r="BQ243" i="40"/>
  <c r="BU243" i="40"/>
  <c r="BY243" i="40"/>
  <c r="CC243" i="40"/>
  <c r="CG243" i="40"/>
  <c r="DS243" i="40"/>
  <c r="DW243" i="40"/>
  <c r="BB243" i="40"/>
  <c r="BR243" i="40"/>
  <c r="CH243" i="40"/>
  <c r="BF243" i="40"/>
  <c r="BV243" i="40"/>
  <c r="DT243" i="40"/>
  <c r="BJ243" i="40"/>
  <c r="BZ243" i="40"/>
  <c r="JO243" i="40"/>
  <c r="AW243" i="40"/>
  <c r="BN243" i="40"/>
  <c r="CD243" i="40"/>
  <c r="HY243" i="40"/>
  <c r="IA243" i="40"/>
  <c r="HZ243" i="40"/>
  <c r="JP243" i="40"/>
  <c r="IY243" i="40"/>
  <c r="IX243" i="40"/>
  <c r="IZ243" i="40"/>
  <c r="D40" i="44"/>
  <c r="HU136" i="40"/>
  <c r="AM136" i="40"/>
  <c r="IC135" i="40"/>
  <c r="AO450" i="40"/>
  <c r="AM450" i="40"/>
  <c r="D450" i="40" s="1"/>
  <c r="AM242" i="40"/>
  <c r="M39" i="44"/>
  <c r="HR135" i="40"/>
  <c r="JH135" i="40" s="1"/>
  <c r="KO132" i="40"/>
  <c r="IC134" i="40"/>
  <c r="JJ134" i="40"/>
  <c r="JK134" i="40" s="1"/>
  <c r="JL134" i="40" s="1"/>
  <c r="JI135" i="40"/>
  <c r="HZ636" i="40"/>
  <c r="IY636" i="40" s="1"/>
  <c r="AO136" i="40"/>
  <c r="IP136" i="40"/>
  <c r="JB136" i="40" s="1"/>
  <c r="E41" i="44" s="1"/>
  <c r="C138" i="40"/>
  <c r="IK137" i="40"/>
  <c r="IN137" i="40" s="1"/>
  <c r="AZ137" i="40"/>
  <c r="BD137" i="40"/>
  <c r="BH137" i="40"/>
  <c r="BL137" i="40"/>
  <c r="BP137" i="40"/>
  <c r="BT137" i="40"/>
  <c r="BX137" i="40"/>
  <c r="CB137" i="40"/>
  <c r="CF137" i="40"/>
  <c r="DT137" i="40"/>
  <c r="A137" i="40"/>
  <c r="BA137" i="40"/>
  <c r="BE137" i="40"/>
  <c r="BI137" i="40"/>
  <c r="BM137" i="40"/>
  <c r="BQ137" i="40"/>
  <c r="BU137" i="40"/>
  <c r="BY137" i="40"/>
  <c r="CC137" i="40"/>
  <c r="CG137" i="40"/>
  <c r="DU137" i="40"/>
  <c r="IJ137" i="40"/>
  <c r="IM137" i="40" s="1"/>
  <c r="AW137" i="40"/>
  <c r="BB137" i="40"/>
  <c r="BF137" i="40"/>
  <c r="BJ137" i="40"/>
  <c r="BN137" i="40"/>
  <c r="BR137" i="40"/>
  <c r="BV137" i="40"/>
  <c r="BZ137" i="40"/>
  <c r="CD137" i="40"/>
  <c r="CH137" i="40"/>
  <c r="DM137" i="40"/>
  <c r="DV137" i="40"/>
  <c r="AX137" i="40"/>
  <c r="BO137" i="40"/>
  <c r="CE137" i="40"/>
  <c r="BC137" i="40"/>
  <c r="BS137" i="40"/>
  <c r="JF137" i="40"/>
  <c r="HM137" i="40" s="1"/>
  <c r="BG137" i="40"/>
  <c r="BW137" i="40"/>
  <c r="DS137" i="40"/>
  <c r="BK137" i="40"/>
  <c r="CA137" i="40"/>
  <c r="II137" i="40"/>
  <c r="IL137" i="40" s="1"/>
  <c r="DW137" i="40"/>
  <c r="JO137" i="40"/>
  <c r="IY137" i="40"/>
  <c r="IZ137" i="40"/>
  <c r="IX137" i="40"/>
  <c r="HZ137" i="40"/>
  <c r="HY137" i="40"/>
  <c r="HY637" i="40" s="1"/>
  <c r="IA137" i="40"/>
  <c r="IA637" i="40" s="1"/>
  <c r="JP137" i="40"/>
  <c r="JG137" i="40"/>
  <c r="AN450" i="40"/>
  <c r="B452" i="40"/>
  <c r="A451" i="40"/>
  <c r="AO242" i="40"/>
  <c r="D242" i="40" l="1"/>
  <c r="D136" i="40"/>
  <c r="AY136" i="40" s="1"/>
  <c r="AP243" i="40"/>
  <c r="HX137" i="40"/>
  <c r="IZ637" i="40"/>
  <c r="HN137" i="40"/>
  <c r="HQ137" i="40" s="1"/>
  <c r="HO137" i="40"/>
  <c r="HR137" i="40" s="1"/>
  <c r="JM134" i="40"/>
  <c r="B453" i="40"/>
  <c r="A452" i="40"/>
  <c r="AK137" i="40"/>
  <c r="AL137" i="40"/>
  <c r="HV137" i="40"/>
  <c r="AN137" i="40"/>
  <c r="HS137" i="40"/>
  <c r="AM137" i="40"/>
  <c r="IQ137" i="40"/>
  <c r="JC137" i="40" s="1"/>
  <c r="F42" i="44" s="1"/>
  <c r="IP137" i="40"/>
  <c r="JB137" i="40" s="1"/>
  <c r="E42" i="44" s="1"/>
  <c r="C139" i="40"/>
  <c r="A138" i="40"/>
  <c r="BA138" i="40"/>
  <c r="BE138" i="40"/>
  <c r="BI138" i="40"/>
  <c r="BM138" i="40"/>
  <c r="BQ138" i="40"/>
  <c r="BU138" i="40"/>
  <c r="BY138" i="40"/>
  <c r="CC138" i="40"/>
  <c r="CG138" i="40"/>
  <c r="DS138" i="40"/>
  <c r="DW138" i="40"/>
  <c r="IJ138" i="40"/>
  <c r="IM138" i="40" s="1"/>
  <c r="AW138" i="40"/>
  <c r="BB138" i="40"/>
  <c r="BF138" i="40"/>
  <c r="BJ138" i="40"/>
  <c r="BN138" i="40"/>
  <c r="BR138" i="40"/>
  <c r="BV138" i="40"/>
  <c r="BZ138" i="40"/>
  <c r="CD138" i="40"/>
  <c r="CH138" i="40"/>
  <c r="DT138" i="40"/>
  <c r="JF138" i="40"/>
  <c r="HO138" i="40" s="1"/>
  <c r="HR138" i="40" s="1"/>
  <c r="II138" i="40"/>
  <c r="IL138" i="40" s="1"/>
  <c r="AX138" i="40"/>
  <c r="BC138" i="40"/>
  <c r="BG138" i="40"/>
  <c r="BK138" i="40"/>
  <c r="BO138" i="40"/>
  <c r="BS138" i="40"/>
  <c r="BW138" i="40"/>
  <c r="CA138" i="40"/>
  <c r="CE138" i="40"/>
  <c r="DU138" i="40"/>
  <c r="BD138" i="40"/>
  <c r="BT138" i="40"/>
  <c r="DM138" i="40"/>
  <c r="BH138" i="40"/>
  <c r="BX138" i="40"/>
  <c r="DV138" i="40"/>
  <c r="IK138" i="40"/>
  <c r="IN138" i="40" s="1"/>
  <c r="BL138" i="40"/>
  <c r="CB138" i="40"/>
  <c r="AZ138" i="40"/>
  <c r="BP138" i="40"/>
  <c r="CF138" i="40"/>
  <c r="IX138" i="40"/>
  <c r="JO138" i="40"/>
  <c r="IY138" i="40"/>
  <c r="IZ138" i="40"/>
  <c r="HY138" i="40"/>
  <c r="HY638" i="40" s="1"/>
  <c r="IA138" i="40"/>
  <c r="IA638" i="40" s="1"/>
  <c r="HZ138" i="40"/>
  <c r="JP138" i="40"/>
  <c r="JG138" i="40"/>
  <c r="HX136" i="40"/>
  <c r="JH136" i="40"/>
  <c r="AP451" i="40"/>
  <c r="AN451" i="40"/>
  <c r="HP137" i="40"/>
  <c r="HZ637" i="40"/>
  <c r="IY637" i="40" s="1"/>
  <c r="HT137" i="40"/>
  <c r="AM243" i="40"/>
  <c r="D243" i="40" s="1"/>
  <c r="C245" i="40"/>
  <c r="AX244" i="40"/>
  <c r="BC244" i="40"/>
  <c r="BG244" i="40"/>
  <c r="BK244" i="40"/>
  <c r="BO244" i="40"/>
  <c r="BS244" i="40"/>
  <c r="BW244" i="40"/>
  <c r="CA244" i="40"/>
  <c r="CE244" i="40"/>
  <c r="DU244" i="40"/>
  <c r="AZ244" i="40"/>
  <c r="BD244" i="40"/>
  <c r="BH244" i="40"/>
  <c r="BL244" i="40"/>
  <c r="BP244" i="40"/>
  <c r="BT244" i="40"/>
  <c r="BX244" i="40"/>
  <c r="CB244" i="40"/>
  <c r="CF244" i="40"/>
  <c r="DM244" i="40"/>
  <c r="DV244" i="40"/>
  <c r="BA244" i="40"/>
  <c r="BE244" i="40"/>
  <c r="BI244" i="40"/>
  <c r="BM244" i="40"/>
  <c r="BQ244" i="40"/>
  <c r="BU244" i="40"/>
  <c r="BY244" i="40"/>
  <c r="CC244" i="40"/>
  <c r="CG244" i="40"/>
  <c r="DS244" i="40"/>
  <c r="DW244" i="40"/>
  <c r="BJ244" i="40"/>
  <c r="BZ244" i="40"/>
  <c r="AW244" i="40"/>
  <c r="BN244" i="40"/>
  <c r="CD244" i="40"/>
  <c r="A244" i="40"/>
  <c r="BB244" i="40"/>
  <c r="BR244" i="40"/>
  <c r="CH244" i="40"/>
  <c r="DT244" i="40"/>
  <c r="BF244" i="40"/>
  <c r="BV244" i="40"/>
  <c r="JO244" i="40"/>
  <c r="JP244" i="40"/>
  <c r="HZ244" i="40"/>
  <c r="HY244" i="40"/>
  <c r="IA244" i="40"/>
  <c r="IY244" i="40"/>
  <c r="IZ244" i="40"/>
  <c r="IX244" i="40"/>
  <c r="D41" i="44"/>
  <c r="HW136" i="40"/>
  <c r="IC136" i="40" s="1"/>
  <c r="AM451" i="40"/>
  <c r="AP137" i="40"/>
  <c r="IX637" i="40"/>
  <c r="HU137" i="40"/>
  <c r="AN243" i="40"/>
  <c r="F41" i="44"/>
  <c r="AO451" i="40"/>
  <c r="AO137" i="40"/>
  <c r="IO137" i="40"/>
  <c r="JA137" i="40" s="1"/>
  <c r="JK135" i="40"/>
  <c r="JL135" i="40" s="1"/>
  <c r="AO243" i="40"/>
  <c r="KO133" i="40"/>
  <c r="JI136" i="40"/>
  <c r="D451" i="40" l="1"/>
  <c r="D137" i="40"/>
  <c r="AY137" i="40" s="1"/>
  <c r="HW138" i="40"/>
  <c r="IQ138" i="40"/>
  <c r="JC138" i="40" s="1"/>
  <c r="IZ638" i="40"/>
  <c r="IO138" i="40"/>
  <c r="JA138" i="40" s="1"/>
  <c r="AP244" i="40"/>
  <c r="AP138" i="40"/>
  <c r="D42" i="44"/>
  <c r="M41" i="44"/>
  <c r="JH137" i="40"/>
  <c r="AK138" i="40"/>
  <c r="AL138" i="40"/>
  <c r="AN138" i="40"/>
  <c r="HZ638" i="40"/>
  <c r="IY638" i="40" s="1"/>
  <c r="IX638" i="40"/>
  <c r="HW137" i="40"/>
  <c r="IC137" i="40" s="1"/>
  <c r="AO452" i="40"/>
  <c r="B454" i="40"/>
  <c r="A453" i="40"/>
  <c r="AN244" i="40"/>
  <c r="AO244" i="40"/>
  <c r="AM244" i="40"/>
  <c r="AO138" i="40"/>
  <c r="HS138" i="40"/>
  <c r="AN452" i="40"/>
  <c r="C246" i="40"/>
  <c r="A245" i="40"/>
  <c r="AZ245" i="40"/>
  <c r="BD245" i="40"/>
  <c r="BH245" i="40"/>
  <c r="BL245" i="40"/>
  <c r="BP245" i="40"/>
  <c r="BT245" i="40"/>
  <c r="BX245" i="40"/>
  <c r="CB245" i="40"/>
  <c r="CF245" i="40"/>
  <c r="DU245" i="40"/>
  <c r="BA245" i="40"/>
  <c r="BE245" i="40"/>
  <c r="BI245" i="40"/>
  <c r="BM245" i="40"/>
  <c r="BQ245" i="40"/>
  <c r="BU245" i="40"/>
  <c r="BY245" i="40"/>
  <c r="CC245" i="40"/>
  <c r="CG245" i="40"/>
  <c r="DM245" i="40"/>
  <c r="DV245" i="40"/>
  <c r="AW245" i="40"/>
  <c r="BB245" i="40"/>
  <c r="BF245" i="40"/>
  <c r="BJ245" i="40"/>
  <c r="BN245" i="40"/>
  <c r="BR245" i="40"/>
  <c r="BV245" i="40"/>
  <c r="BZ245" i="40"/>
  <c r="CD245" i="40"/>
  <c r="CH245" i="40"/>
  <c r="DS245" i="40"/>
  <c r="DW245" i="40"/>
  <c r="BC245" i="40"/>
  <c r="BS245" i="40"/>
  <c r="JO245" i="40"/>
  <c r="BG245" i="40"/>
  <c r="BW245" i="40"/>
  <c r="DT245" i="40"/>
  <c r="BK245" i="40"/>
  <c r="CA245" i="40"/>
  <c r="CE245" i="40"/>
  <c r="AX245" i="40"/>
  <c r="BO245" i="40"/>
  <c r="HZ245" i="40"/>
  <c r="HY245" i="40"/>
  <c r="JP245" i="40"/>
  <c r="IA245" i="40"/>
  <c r="IX245" i="40"/>
  <c r="IZ245" i="40"/>
  <c r="IY245" i="40"/>
  <c r="JI137" i="40"/>
  <c r="AM452" i="40"/>
  <c r="JM135" i="40"/>
  <c r="HN138" i="40"/>
  <c r="HM138" i="40"/>
  <c r="HU138" i="40"/>
  <c r="AM138" i="40"/>
  <c r="HT138" i="40"/>
  <c r="IP138" i="40"/>
  <c r="JB138" i="40" s="1"/>
  <c r="E43" i="44" s="1"/>
  <c r="C140" i="40"/>
  <c r="IK139" i="40"/>
  <c r="IN139" i="40" s="1"/>
  <c r="AZ139" i="40"/>
  <c r="BD139" i="40"/>
  <c r="BH139" i="40"/>
  <c r="BL139" i="40"/>
  <c r="BP139" i="40"/>
  <c r="BT139" i="40"/>
  <c r="BX139" i="40"/>
  <c r="CB139" i="40"/>
  <c r="CF139" i="40"/>
  <c r="DT139" i="40"/>
  <c r="A139" i="40"/>
  <c r="BA139" i="40"/>
  <c r="BE139" i="40"/>
  <c r="BI139" i="40"/>
  <c r="BM139" i="40"/>
  <c r="BQ139" i="40"/>
  <c r="BU139" i="40"/>
  <c r="BY139" i="40"/>
  <c r="CC139" i="40"/>
  <c r="CG139" i="40"/>
  <c r="DU139" i="40"/>
  <c r="IJ139" i="40"/>
  <c r="IM139" i="40" s="1"/>
  <c r="AW139" i="40"/>
  <c r="BB139" i="40"/>
  <c r="BF139" i="40"/>
  <c r="BJ139" i="40"/>
  <c r="BN139" i="40"/>
  <c r="BR139" i="40"/>
  <c r="BV139" i="40"/>
  <c r="BZ139" i="40"/>
  <c r="CD139" i="40"/>
  <c r="CH139" i="40"/>
  <c r="DM139" i="40"/>
  <c r="DV139" i="40"/>
  <c r="II139" i="40"/>
  <c r="IL139" i="40" s="1"/>
  <c r="BK139" i="40"/>
  <c r="CA139" i="40"/>
  <c r="DW139" i="40"/>
  <c r="AX139" i="40"/>
  <c r="BO139" i="40"/>
  <c r="CE139" i="40"/>
  <c r="BC139" i="40"/>
  <c r="BS139" i="40"/>
  <c r="DS139" i="40"/>
  <c r="JF139" i="40"/>
  <c r="HN139" i="40" s="1"/>
  <c r="BG139" i="40"/>
  <c r="BW139" i="40"/>
  <c r="JO139" i="40"/>
  <c r="IY139" i="40"/>
  <c r="IZ139" i="40"/>
  <c r="IX139" i="40"/>
  <c r="IA139" i="40"/>
  <c r="IA639" i="40" s="1"/>
  <c r="HY139" i="40"/>
  <c r="HY639" i="40" s="1"/>
  <c r="HZ139" i="40"/>
  <c r="JP139" i="40"/>
  <c r="JG139" i="40"/>
  <c r="AP452" i="40"/>
  <c r="KO134" i="40"/>
  <c r="JJ136" i="40"/>
  <c r="JK136" i="40" s="1"/>
  <c r="JL136" i="40" s="1"/>
  <c r="D244" i="40" l="1"/>
  <c r="D452" i="40"/>
  <c r="D138" i="40"/>
  <c r="AY138" i="40" s="1"/>
  <c r="HX138" i="40"/>
  <c r="HV138" i="40"/>
  <c r="HV139" i="40"/>
  <c r="IZ639" i="40"/>
  <c r="HO139" i="40"/>
  <c r="HR139" i="40" s="1"/>
  <c r="HM139" i="40"/>
  <c r="HP139" i="40" s="1"/>
  <c r="JM136" i="40"/>
  <c r="HZ639" i="40"/>
  <c r="AO139" i="40"/>
  <c r="AM139" i="40"/>
  <c r="HS139" i="40"/>
  <c r="IO139" i="40"/>
  <c r="JA139" i="40" s="1"/>
  <c r="AO245" i="40"/>
  <c r="AM245" i="40"/>
  <c r="JI138" i="40"/>
  <c r="AL139" i="40"/>
  <c r="AK139" i="40"/>
  <c r="HQ139" i="40"/>
  <c r="IY639" i="40"/>
  <c r="IQ139" i="40"/>
  <c r="JC139" i="40" s="1"/>
  <c r="F44" i="44" s="1"/>
  <c r="IP139" i="40"/>
  <c r="JB139" i="40" s="1"/>
  <c r="C141" i="40"/>
  <c r="A140" i="40"/>
  <c r="BA140" i="40"/>
  <c r="BE140" i="40"/>
  <c r="BI140" i="40"/>
  <c r="BM140" i="40"/>
  <c r="BQ140" i="40"/>
  <c r="BU140" i="40"/>
  <c r="BY140" i="40"/>
  <c r="CC140" i="40"/>
  <c r="CG140" i="40"/>
  <c r="DS140" i="40"/>
  <c r="DW140" i="40"/>
  <c r="IJ140" i="40"/>
  <c r="IM140" i="40" s="1"/>
  <c r="AW140" i="40"/>
  <c r="BB140" i="40"/>
  <c r="BF140" i="40"/>
  <c r="BJ140" i="40"/>
  <c r="BN140" i="40"/>
  <c r="BR140" i="40"/>
  <c r="BV140" i="40"/>
  <c r="BZ140" i="40"/>
  <c r="CD140" i="40"/>
  <c r="CH140" i="40"/>
  <c r="DT140" i="40"/>
  <c r="JF140" i="40"/>
  <c r="HO140" i="40" s="1"/>
  <c r="II140" i="40"/>
  <c r="IL140" i="40" s="1"/>
  <c r="AX140" i="40"/>
  <c r="BC140" i="40"/>
  <c r="BG140" i="40"/>
  <c r="BK140" i="40"/>
  <c r="BO140" i="40"/>
  <c r="BS140" i="40"/>
  <c r="BW140" i="40"/>
  <c r="CA140" i="40"/>
  <c r="CE140" i="40"/>
  <c r="DU140" i="40"/>
  <c r="AZ140" i="40"/>
  <c r="BP140" i="40"/>
  <c r="CF140" i="40"/>
  <c r="BD140" i="40"/>
  <c r="BT140" i="40"/>
  <c r="DM140" i="40"/>
  <c r="BH140" i="40"/>
  <c r="BX140" i="40"/>
  <c r="DV140" i="40"/>
  <c r="BL140" i="40"/>
  <c r="CB140" i="40"/>
  <c r="IK140" i="40"/>
  <c r="IN140" i="40" s="1"/>
  <c r="IX140" i="40"/>
  <c r="IY140" i="40"/>
  <c r="JO140" i="40"/>
  <c r="IZ140" i="40"/>
  <c r="HZ140" i="40"/>
  <c r="HY140" i="40"/>
  <c r="HY640" i="40" s="1"/>
  <c r="IA140" i="40"/>
  <c r="IA640" i="40" s="1"/>
  <c r="JP140" i="40"/>
  <c r="JG140" i="40"/>
  <c r="AN245" i="40"/>
  <c r="AO453" i="40"/>
  <c r="HT139" i="40"/>
  <c r="HP138" i="40"/>
  <c r="AP245" i="40"/>
  <c r="C247" i="40"/>
  <c r="AZ246" i="40"/>
  <c r="BD246" i="40"/>
  <c r="BH246" i="40"/>
  <c r="BL246" i="40"/>
  <c r="BP246" i="40"/>
  <c r="BT246" i="40"/>
  <c r="BX246" i="40"/>
  <c r="CB246" i="40"/>
  <c r="CF246" i="40"/>
  <c r="DU246" i="40"/>
  <c r="BA246" i="40"/>
  <c r="BE246" i="40"/>
  <c r="BI246" i="40"/>
  <c r="BM246" i="40"/>
  <c r="BQ246" i="40"/>
  <c r="BU246" i="40"/>
  <c r="BY246" i="40"/>
  <c r="CC246" i="40"/>
  <c r="CG246" i="40"/>
  <c r="DM246" i="40"/>
  <c r="DV246" i="40"/>
  <c r="AW246" i="40"/>
  <c r="BB246" i="40"/>
  <c r="BF246" i="40"/>
  <c r="BJ246" i="40"/>
  <c r="BN246" i="40"/>
  <c r="BR246" i="40"/>
  <c r="BV246" i="40"/>
  <c r="BZ246" i="40"/>
  <c r="CD246" i="40"/>
  <c r="CH246" i="40"/>
  <c r="DS246" i="40"/>
  <c r="DW246" i="40"/>
  <c r="BK246" i="40"/>
  <c r="CA246" i="40"/>
  <c r="AX246" i="40"/>
  <c r="BO246" i="40"/>
  <c r="CE246" i="40"/>
  <c r="A246" i="40"/>
  <c r="BC246" i="40"/>
  <c r="BS246" i="40"/>
  <c r="JO246" i="40"/>
  <c r="BW246" i="40"/>
  <c r="DT246" i="40"/>
  <c r="BG246" i="40"/>
  <c r="JP246" i="40"/>
  <c r="HZ246" i="40"/>
  <c r="IA246" i="40"/>
  <c r="HY246" i="40"/>
  <c r="IZ246" i="40"/>
  <c r="IY246" i="40"/>
  <c r="IX246" i="40"/>
  <c r="D43" i="44"/>
  <c r="AP453" i="40"/>
  <c r="AN453" i="40"/>
  <c r="M42" i="44"/>
  <c r="JJ137" i="40"/>
  <c r="JK137" i="40" s="1"/>
  <c r="JL137" i="40" s="1"/>
  <c r="AP139" i="40"/>
  <c r="AN139" i="40"/>
  <c r="IX639" i="40"/>
  <c r="HU139" i="40"/>
  <c r="HQ138" i="40"/>
  <c r="KO135" i="40"/>
  <c r="F43" i="44"/>
  <c r="AM453" i="40"/>
  <c r="B455" i="40"/>
  <c r="A454" i="40"/>
  <c r="D453" i="40" l="1"/>
  <c r="JJ138" i="40"/>
  <c r="D245" i="40"/>
  <c r="D139" i="40"/>
  <c r="AY139" i="40" s="1"/>
  <c r="IX640" i="40"/>
  <c r="AP454" i="40"/>
  <c r="JH139" i="40"/>
  <c r="HN140" i="40"/>
  <c r="HQ140" i="40" s="1"/>
  <c r="HM140" i="40"/>
  <c r="HP140" i="40" s="1"/>
  <c r="JM137" i="40"/>
  <c r="AM246" i="40"/>
  <c r="AN140" i="40"/>
  <c r="AM140" i="40"/>
  <c r="HT140" i="40"/>
  <c r="IP140" i="40"/>
  <c r="JB140" i="40" s="1"/>
  <c r="C142" i="40"/>
  <c r="IK141" i="40"/>
  <c r="IN141" i="40" s="1"/>
  <c r="AW141" i="40"/>
  <c r="BB141" i="40"/>
  <c r="BF141" i="40"/>
  <c r="BJ141" i="40"/>
  <c r="BN141" i="40"/>
  <c r="BR141" i="40"/>
  <c r="BV141" i="40"/>
  <c r="BZ141" i="40"/>
  <c r="CD141" i="40"/>
  <c r="CH141" i="40"/>
  <c r="DM141" i="40"/>
  <c r="DV141" i="40"/>
  <c r="A141" i="40"/>
  <c r="AX141" i="40"/>
  <c r="BC141" i="40"/>
  <c r="BG141" i="40"/>
  <c r="BK141" i="40"/>
  <c r="BO141" i="40"/>
  <c r="BS141" i="40"/>
  <c r="BW141" i="40"/>
  <c r="CA141" i="40"/>
  <c r="CE141" i="40"/>
  <c r="DS141" i="40"/>
  <c r="DW141" i="40"/>
  <c r="IJ141" i="40"/>
  <c r="IM141" i="40" s="1"/>
  <c r="AZ141" i="40"/>
  <c r="BD141" i="40"/>
  <c r="BH141" i="40"/>
  <c r="BL141" i="40"/>
  <c r="BP141" i="40"/>
  <c r="BT141" i="40"/>
  <c r="BX141" i="40"/>
  <c r="CB141" i="40"/>
  <c r="CF141" i="40"/>
  <c r="DT141" i="40"/>
  <c r="JF141" i="40"/>
  <c r="HN141" i="40" s="1"/>
  <c r="BE141" i="40"/>
  <c r="BU141" i="40"/>
  <c r="II141" i="40"/>
  <c r="IL141" i="40" s="1"/>
  <c r="BI141" i="40"/>
  <c r="BY141" i="40"/>
  <c r="DU141" i="40"/>
  <c r="BM141" i="40"/>
  <c r="CC141" i="40"/>
  <c r="BA141" i="40"/>
  <c r="BQ141" i="40"/>
  <c r="CG141" i="40"/>
  <c r="IX141" i="40"/>
  <c r="JO141" i="40"/>
  <c r="IY141" i="40"/>
  <c r="IZ141" i="40"/>
  <c r="IA141" i="40"/>
  <c r="IA641" i="40" s="1"/>
  <c r="HY141" i="40"/>
  <c r="HY641" i="40" s="1"/>
  <c r="HZ141" i="40"/>
  <c r="JP141" i="40"/>
  <c r="JG141" i="40"/>
  <c r="JI139" i="40"/>
  <c r="M43" i="44"/>
  <c r="C248" i="40"/>
  <c r="BA247" i="40"/>
  <c r="BE247" i="40"/>
  <c r="BI247" i="40"/>
  <c r="BM247" i="40"/>
  <c r="BQ247" i="40"/>
  <c r="BU247" i="40"/>
  <c r="BY247" i="40"/>
  <c r="CC247" i="40"/>
  <c r="CG247" i="40"/>
  <c r="DS247" i="40"/>
  <c r="DW247" i="40"/>
  <c r="AW247" i="40"/>
  <c r="BB247" i="40"/>
  <c r="BF247" i="40"/>
  <c r="BJ247" i="40"/>
  <c r="BN247" i="40"/>
  <c r="BR247" i="40"/>
  <c r="BV247" i="40"/>
  <c r="BZ247" i="40"/>
  <c r="CD247" i="40"/>
  <c r="CH247" i="40"/>
  <c r="DT247" i="40"/>
  <c r="AX247" i="40"/>
  <c r="BC247" i="40"/>
  <c r="BG247" i="40"/>
  <c r="BK247" i="40"/>
  <c r="BO247" i="40"/>
  <c r="BS247" i="40"/>
  <c r="BW247" i="40"/>
  <c r="CA247" i="40"/>
  <c r="CE247" i="40"/>
  <c r="DU247" i="40"/>
  <c r="A247" i="40"/>
  <c r="AZ247" i="40"/>
  <c r="BP247" i="40"/>
  <c r="CF247" i="40"/>
  <c r="BD247" i="40"/>
  <c r="BT247" i="40"/>
  <c r="DM247" i="40"/>
  <c r="JO247" i="40"/>
  <c r="BH247" i="40"/>
  <c r="BX247" i="40"/>
  <c r="DV247" i="40"/>
  <c r="BL247" i="40"/>
  <c r="CB247" i="40"/>
  <c r="HY247" i="40"/>
  <c r="HZ247" i="40"/>
  <c r="JP247" i="40"/>
  <c r="IA247" i="40"/>
  <c r="IX247" i="40"/>
  <c r="IZ247" i="40"/>
  <c r="IY247" i="40"/>
  <c r="AL140" i="40"/>
  <c r="AK140" i="40"/>
  <c r="HZ640" i="40"/>
  <c r="IY640" i="40" s="1"/>
  <c r="HW139" i="40"/>
  <c r="AO454" i="40"/>
  <c r="AM454" i="40"/>
  <c r="B456" i="40"/>
  <c r="A455" i="40"/>
  <c r="AO246" i="40"/>
  <c r="JH138" i="40"/>
  <c r="AO140" i="40"/>
  <c r="IZ640" i="40"/>
  <c r="HU140" i="40"/>
  <c r="HX140" i="40"/>
  <c r="HV140" i="40"/>
  <c r="HW140" i="40"/>
  <c r="HS140" i="40"/>
  <c r="IO140" i="40"/>
  <c r="JA140" i="40" s="1"/>
  <c r="E44" i="44"/>
  <c r="D44" i="44"/>
  <c r="HX139" i="40"/>
  <c r="AN454" i="40"/>
  <c r="IC138" i="40"/>
  <c r="AP246" i="40"/>
  <c r="AN246" i="40"/>
  <c r="AP140" i="40"/>
  <c r="HR140" i="40"/>
  <c r="IQ140" i="40"/>
  <c r="JC140" i="40" s="1"/>
  <c r="KO136" i="40"/>
  <c r="JK138" i="40" l="1"/>
  <c r="JL138" i="40" s="1"/>
  <c r="JM138" i="40" s="1"/>
  <c r="D454" i="40"/>
  <c r="D246" i="40"/>
  <c r="D140" i="40"/>
  <c r="AY140" i="40" s="1"/>
  <c r="AP247" i="40"/>
  <c r="HX141" i="40"/>
  <c r="IO141" i="40"/>
  <c r="JA141" i="40" s="1"/>
  <c r="D46" i="44" s="1"/>
  <c r="F45" i="44"/>
  <c r="D45" i="44"/>
  <c r="JJ140" i="40"/>
  <c r="AP455" i="40"/>
  <c r="AM455" i="40"/>
  <c r="AO141" i="40"/>
  <c r="IZ641" i="40"/>
  <c r="IX641" i="40"/>
  <c r="HT141" i="40"/>
  <c r="C143" i="40"/>
  <c r="JF142" i="40"/>
  <c r="HO142" i="40" s="1"/>
  <c r="II142" i="40"/>
  <c r="IL142" i="40" s="1"/>
  <c r="AX142" i="40"/>
  <c r="BC142" i="40"/>
  <c r="BG142" i="40"/>
  <c r="BK142" i="40"/>
  <c r="BO142" i="40"/>
  <c r="BS142" i="40"/>
  <c r="BW142" i="40"/>
  <c r="CA142" i="40"/>
  <c r="CE142" i="40"/>
  <c r="DS142" i="40"/>
  <c r="DW142" i="40"/>
  <c r="IK142" i="40"/>
  <c r="IN142" i="40" s="1"/>
  <c r="AZ142" i="40"/>
  <c r="BD142" i="40"/>
  <c r="BH142" i="40"/>
  <c r="BL142" i="40"/>
  <c r="BP142" i="40"/>
  <c r="BT142" i="40"/>
  <c r="BX142" i="40"/>
  <c r="CB142" i="40"/>
  <c r="CF142" i="40"/>
  <c r="DT142" i="40"/>
  <c r="A142" i="40"/>
  <c r="BA142" i="40"/>
  <c r="BE142" i="40"/>
  <c r="BI142" i="40"/>
  <c r="BM142" i="40"/>
  <c r="BQ142" i="40"/>
  <c r="BU142" i="40"/>
  <c r="BY142" i="40"/>
  <c r="CC142" i="40"/>
  <c r="CG142" i="40"/>
  <c r="DU142" i="40"/>
  <c r="IJ142" i="40"/>
  <c r="IM142" i="40" s="1"/>
  <c r="BJ142" i="40"/>
  <c r="BZ142" i="40"/>
  <c r="DV142" i="40"/>
  <c r="AW142" i="40"/>
  <c r="BN142" i="40"/>
  <c r="CD142" i="40"/>
  <c r="BB142" i="40"/>
  <c r="BR142" i="40"/>
  <c r="CH142" i="40"/>
  <c r="BF142" i="40"/>
  <c r="BV142" i="40"/>
  <c r="DM142" i="40"/>
  <c r="IZ142" i="40"/>
  <c r="IY142" i="40"/>
  <c r="IX142" i="40"/>
  <c r="JO142" i="40"/>
  <c r="IA142" i="40"/>
  <c r="IA642" i="40" s="1"/>
  <c r="HY142" i="40"/>
  <c r="HY642" i="40" s="1"/>
  <c r="HZ142" i="40"/>
  <c r="JP142" i="40"/>
  <c r="JG142" i="40"/>
  <c r="JH140" i="40"/>
  <c r="M44" i="44"/>
  <c r="AO455" i="40"/>
  <c r="AN247" i="40"/>
  <c r="C249" i="40"/>
  <c r="AW248" i="40"/>
  <c r="BB248" i="40"/>
  <c r="BF248" i="40"/>
  <c r="BJ248" i="40"/>
  <c r="BN248" i="40"/>
  <c r="BR248" i="40"/>
  <c r="BV248" i="40"/>
  <c r="BZ248" i="40"/>
  <c r="CD248" i="40"/>
  <c r="CH248" i="40"/>
  <c r="DT248" i="40"/>
  <c r="A248" i="40"/>
  <c r="AX248" i="40"/>
  <c r="BC248" i="40"/>
  <c r="BG248" i="40"/>
  <c r="BK248" i="40"/>
  <c r="BO248" i="40"/>
  <c r="BS248" i="40"/>
  <c r="BW248" i="40"/>
  <c r="CA248" i="40"/>
  <c r="CE248" i="40"/>
  <c r="DU248" i="40"/>
  <c r="AZ248" i="40"/>
  <c r="BD248" i="40"/>
  <c r="BH248" i="40"/>
  <c r="BL248" i="40"/>
  <c r="BP248" i="40"/>
  <c r="BT248" i="40"/>
  <c r="BX248" i="40"/>
  <c r="CB248" i="40"/>
  <c r="CF248" i="40"/>
  <c r="DM248" i="40"/>
  <c r="DV248" i="40"/>
  <c r="BI248" i="40"/>
  <c r="BY248" i="40"/>
  <c r="DW248" i="40"/>
  <c r="BM248" i="40"/>
  <c r="CC248" i="40"/>
  <c r="BA248" i="40"/>
  <c r="BQ248" i="40"/>
  <c r="CG248" i="40"/>
  <c r="DS248" i="40"/>
  <c r="BU248" i="40"/>
  <c r="BE248" i="40"/>
  <c r="JO248" i="40"/>
  <c r="JP248" i="40"/>
  <c r="IA248" i="40"/>
  <c r="HZ248" i="40"/>
  <c r="HY248" i="40"/>
  <c r="IX248" i="40"/>
  <c r="IY248" i="40"/>
  <c r="IZ248" i="40"/>
  <c r="AL141" i="40"/>
  <c r="AK141" i="40"/>
  <c r="AM141" i="40"/>
  <c r="JI140" i="40"/>
  <c r="AN455" i="40"/>
  <c r="IC140" i="40"/>
  <c r="AO247" i="40"/>
  <c r="AN141" i="40"/>
  <c r="IP141" i="40"/>
  <c r="JB141" i="40" s="1"/>
  <c r="HU141" i="40"/>
  <c r="E45" i="44"/>
  <c r="JJ139" i="40"/>
  <c r="JK139" i="40" s="1"/>
  <c r="JL139" i="40" s="1"/>
  <c r="B457" i="40"/>
  <c r="A456" i="40"/>
  <c r="AM247" i="40"/>
  <c r="D247" i="40" s="1"/>
  <c r="AP141" i="40"/>
  <c r="HZ641" i="40"/>
  <c r="IY641" i="40" s="1"/>
  <c r="HW141" i="40"/>
  <c r="HS141" i="40"/>
  <c r="HQ141" i="40"/>
  <c r="HO141" i="40"/>
  <c r="IQ141" i="40"/>
  <c r="JC141" i="40" s="1"/>
  <c r="HM141" i="40"/>
  <c r="KO137" i="40"/>
  <c r="IC139" i="40"/>
  <c r="HV141" i="40" l="1"/>
  <c r="JJ141" i="40" s="1"/>
  <c r="D455" i="40"/>
  <c r="D141" i="40"/>
  <c r="AY141" i="40" s="1"/>
  <c r="IO142" i="40"/>
  <c r="JA142" i="40" s="1"/>
  <c r="AP248" i="40"/>
  <c r="HV142" i="40"/>
  <c r="IQ142" i="40"/>
  <c r="JC142" i="40" s="1"/>
  <c r="F47" i="44" s="1"/>
  <c r="IX642" i="40"/>
  <c r="AP142" i="40"/>
  <c r="HM142" i="40"/>
  <c r="HP142" i="40" s="1"/>
  <c r="JK140" i="40"/>
  <c r="JL140" i="40" s="1"/>
  <c r="JM140" i="40" s="1"/>
  <c r="IC141" i="40"/>
  <c r="HN142" i="40"/>
  <c r="HQ142" i="40" s="1"/>
  <c r="E46" i="44"/>
  <c r="JM139" i="40"/>
  <c r="HP141" i="40"/>
  <c r="HR141" i="40"/>
  <c r="AN456" i="40"/>
  <c r="AM456" i="40"/>
  <c r="C250" i="40"/>
  <c r="A249" i="40"/>
  <c r="AW249" i="40"/>
  <c r="BB249" i="40"/>
  <c r="BF249" i="40"/>
  <c r="BJ249" i="40"/>
  <c r="BN249" i="40"/>
  <c r="BR249" i="40"/>
  <c r="BV249" i="40"/>
  <c r="BZ249" i="40"/>
  <c r="CD249" i="40"/>
  <c r="CH249" i="40"/>
  <c r="DT249" i="40"/>
  <c r="AX249" i="40"/>
  <c r="BC249" i="40"/>
  <c r="BG249" i="40"/>
  <c r="BK249" i="40"/>
  <c r="BO249" i="40"/>
  <c r="BS249" i="40"/>
  <c r="BW249" i="40"/>
  <c r="CA249" i="40"/>
  <c r="CE249" i="40"/>
  <c r="DU249" i="40"/>
  <c r="AZ249" i="40"/>
  <c r="BD249" i="40"/>
  <c r="BH249" i="40"/>
  <c r="BL249" i="40"/>
  <c r="BP249" i="40"/>
  <c r="BT249" i="40"/>
  <c r="BX249" i="40"/>
  <c r="CB249" i="40"/>
  <c r="CF249" i="40"/>
  <c r="DM249" i="40"/>
  <c r="DV249" i="40"/>
  <c r="BA249" i="40"/>
  <c r="BQ249" i="40"/>
  <c r="CG249" i="40"/>
  <c r="BE249" i="40"/>
  <c r="BU249" i="40"/>
  <c r="DS249" i="40"/>
  <c r="JO249" i="40"/>
  <c r="BI249" i="40"/>
  <c r="BY249" i="40"/>
  <c r="DW249" i="40"/>
  <c r="CC249" i="40"/>
  <c r="BM249" i="40"/>
  <c r="JP249" i="40"/>
  <c r="HY249" i="40"/>
  <c r="HZ249" i="40"/>
  <c r="IA249" i="40"/>
  <c r="IZ249" i="40"/>
  <c r="IY249" i="40"/>
  <c r="IX249" i="40"/>
  <c r="AN142" i="40"/>
  <c r="HR142" i="40"/>
  <c r="HT142" i="40"/>
  <c r="HU142" i="40"/>
  <c r="AM142" i="40"/>
  <c r="AP456" i="40"/>
  <c r="F46" i="44"/>
  <c r="AO456" i="40"/>
  <c r="B458" i="40"/>
  <c r="A457" i="40"/>
  <c r="AN248" i="40"/>
  <c r="AM248" i="40"/>
  <c r="AO142" i="40"/>
  <c r="C144" i="40"/>
  <c r="IK143" i="40"/>
  <c r="IN143" i="40" s="1"/>
  <c r="AZ143" i="40"/>
  <c r="BD143" i="40"/>
  <c r="BH143" i="40"/>
  <c r="BL143" i="40"/>
  <c r="BP143" i="40"/>
  <c r="BT143" i="40"/>
  <c r="BX143" i="40"/>
  <c r="CB143" i="40"/>
  <c r="CF143" i="40"/>
  <c r="DU143" i="40"/>
  <c r="A143" i="40"/>
  <c r="BA143" i="40"/>
  <c r="BE143" i="40"/>
  <c r="BI143" i="40"/>
  <c r="BM143" i="40"/>
  <c r="BQ143" i="40"/>
  <c r="BU143" i="40"/>
  <c r="BY143" i="40"/>
  <c r="CC143" i="40"/>
  <c r="CG143" i="40"/>
  <c r="DM143" i="40"/>
  <c r="DV143" i="40"/>
  <c r="IJ143" i="40"/>
  <c r="IM143" i="40" s="1"/>
  <c r="AW143" i="40"/>
  <c r="BB143" i="40"/>
  <c r="BF143" i="40"/>
  <c r="BJ143" i="40"/>
  <c r="BN143" i="40"/>
  <c r="BR143" i="40"/>
  <c r="BV143" i="40"/>
  <c r="BZ143" i="40"/>
  <c r="CD143" i="40"/>
  <c r="CH143" i="40"/>
  <c r="DS143" i="40"/>
  <c r="DW143" i="40"/>
  <c r="AX143" i="40"/>
  <c r="BO143" i="40"/>
  <c r="CE143" i="40"/>
  <c r="BC143" i="40"/>
  <c r="BS143" i="40"/>
  <c r="JF143" i="40"/>
  <c r="HN143" i="40" s="1"/>
  <c r="BG143" i="40"/>
  <c r="BW143" i="40"/>
  <c r="DT143" i="40"/>
  <c r="II143" i="40"/>
  <c r="IL143" i="40" s="1"/>
  <c r="BK143" i="40"/>
  <c r="CA143" i="40"/>
  <c r="IZ143" i="40"/>
  <c r="JO143" i="40"/>
  <c r="IX143" i="40"/>
  <c r="IY143" i="40"/>
  <c r="IA143" i="40"/>
  <c r="IA643" i="40" s="1"/>
  <c r="HZ143" i="40"/>
  <c r="HY143" i="40"/>
  <c r="HY643" i="40" s="1"/>
  <c r="JP143" i="40"/>
  <c r="JG143" i="40"/>
  <c r="M45" i="44"/>
  <c r="JI141" i="40"/>
  <c r="AO248" i="40"/>
  <c r="AL142" i="40"/>
  <c r="AK142" i="40"/>
  <c r="HZ642" i="40"/>
  <c r="IY642" i="40" s="1"/>
  <c r="IZ642" i="40"/>
  <c r="IP142" i="40"/>
  <c r="JB142" i="40" s="1"/>
  <c r="HW142" i="40"/>
  <c r="HS142" i="40"/>
  <c r="KO138" i="40"/>
  <c r="HX142" i="40" l="1"/>
  <c r="D248" i="40"/>
  <c r="D456" i="40"/>
  <c r="D142" i="40"/>
  <c r="AY142" i="40" s="1"/>
  <c r="AP249" i="40"/>
  <c r="AP143" i="40"/>
  <c r="HW143" i="40"/>
  <c r="IZ643" i="40"/>
  <c r="IX643" i="40"/>
  <c r="IQ143" i="40"/>
  <c r="JC143" i="40" s="1"/>
  <c r="F48" i="44" s="1"/>
  <c r="IC142" i="40"/>
  <c r="HM143" i="40"/>
  <c r="HP143" i="40" s="1"/>
  <c r="AO457" i="40"/>
  <c r="C251" i="40"/>
  <c r="A250" i="40"/>
  <c r="AX250" i="40"/>
  <c r="BC250" i="40"/>
  <c r="BG250" i="40"/>
  <c r="BK250" i="40"/>
  <c r="BO250" i="40"/>
  <c r="BS250" i="40"/>
  <c r="BW250" i="40"/>
  <c r="CA250" i="40"/>
  <c r="CE250" i="40"/>
  <c r="DU250" i="40"/>
  <c r="AZ250" i="40"/>
  <c r="BD250" i="40"/>
  <c r="BH250" i="40"/>
  <c r="BL250" i="40"/>
  <c r="BP250" i="40"/>
  <c r="BT250" i="40"/>
  <c r="BX250" i="40"/>
  <c r="CB250" i="40"/>
  <c r="CF250" i="40"/>
  <c r="DM250" i="40"/>
  <c r="DV250" i="40"/>
  <c r="BA250" i="40"/>
  <c r="BE250" i="40"/>
  <c r="BI250" i="40"/>
  <c r="BM250" i="40"/>
  <c r="BQ250" i="40"/>
  <c r="BU250" i="40"/>
  <c r="BY250" i="40"/>
  <c r="CC250" i="40"/>
  <c r="CG250" i="40"/>
  <c r="DS250" i="40"/>
  <c r="DW250" i="40"/>
  <c r="BJ250" i="40"/>
  <c r="BZ250" i="40"/>
  <c r="AW250" i="40"/>
  <c r="BN250" i="40"/>
  <c r="CD250" i="40"/>
  <c r="BB250" i="40"/>
  <c r="BR250" i="40"/>
  <c r="CH250" i="40"/>
  <c r="JO250" i="40"/>
  <c r="BV250" i="40"/>
  <c r="DT250" i="40"/>
  <c r="BF250" i="40"/>
  <c r="JP250" i="40"/>
  <c r="HZ250" i="40"/>
  <c r="HY250" i="40"/>
  <c r="IA250" i="40"/>
  <c r="IZ250" i="40"/>
  <c r="IY250" i="40"/>
  <c r="IX250" i="40"/>
  <c r="KO139" i="40"/>
  <c r="AM143" i="40"/>
  <c r="E47" i="44"/>
  <c r="AN143" i="40"/>
  <c r="HO143" i="40"/>
  <c r="HS143" i="40"/>
  <c r="HT143" i="40"/>
  <c r="IP143" i="40"/>
  <c r="JB143" i="40" s="1"/>
  <c r="E48" i="44" s="1"/>
  <c r="C145" i="40"/>
  <c r="IJ144" i="40"/>
  <c r="IM144" i="40" s="1"/>
  <c r="BA144" i="40"/>
  <c r="BE144" i="40"/>
  <c r="BI144" i="40"/>
  <c r="BM144" i="40"/>
  <c r="BQ144" i="40"/>
  <c r="BU144" i="40"/>
  <c r="BY144" i="40"/>
  <c r="CC144" i="40"/>
  <c r="CG144" i="40"/>
  <c r="DU144" i="40"/>
  <c r="JF144" i="40"/>
  <c r="HN144" i="40" s="1"/>
  <c r="II144" i="40"/>
  <c r="IL144" i="40" s="1"/>
  <c r="AW144" i="40"/>
  <c r="BB144" i="40"/>
  <c r="BF144" i="40"/>
  <c r="BJ144" i="40"/>
  <c r="BN144" i="40"/>
  <c r="BR144" i="40"/>
  <c r="BV144" i="40"/>
  <c r="BZ144" i="40"/>
  <c r="CD144" i="40"/>
  <c r="CH144" i="40"/>
  <c r="DM144" i="40"/>
  <c r="DV144" i="40"/>
  <c r="IK144" i="40"/>
  <c r="IN144" i="40" s="1"/>
  <c r="AX144" i="40"/>
  <c r="BC144" i="40"/>
  <c r="BG144" i="40"/>
  <c r="BK144" i="40"/>
  <c r="BO144" i="40"/>
  <c r="BS144" i="40"/>
  <c r="BW144" i="40"/>
  <c r="CA144" i="40"/>
  <c r="CE144" i="40"/>
  <c r="DS144" i="40"/>
  <c r="DW144" i="40"/>
  <c r="BD144" i="40"/>
  <c r="BT144" i="40"/>
  <c r="BH144" i="40"/>
  <c r="BX144" i="40"/>
  <c r="DT144" i="40"/>
  <c r="BL144" i="40"/>
  <c r="CB144" i="40"/>
  <c r="A144" i="40"/>
  <c r="CF144" i="40"/>
  <c r="AZ144" i="40"/>
  <c r="BP144" i="40"/>
  <c r="JO144" i="40"/>
  <c r="IY144" i="40"/>
  <c r="IZ144" i="40"/>
  <c r="IX144" i="40"/>
  <c r="HY144" i="40"/>
  <c r="HY644" i="40" s="1"/>
  <c r="HZ144" i="40"/>
  <c r="IA144" i="40"/>
  <c r="IA644" i="40" s="1"/>
  <c r="JP144" i="40"/>
  <c r="JG144" i="40"/>
  <c r="AP457" i="40"/>
  <c r="AN249" i="40"/>
  <c r="AO249" i="40"/>
  <c r="AM249" i="40"/>
  <c r="D249" i="40" s="1"/>
  <c r="JH142" i="40"/>
  <c r="AO143" i="40"/>
  <c r="HQ143" i="40"/>
  <c r="AN457" i="40"/>
  <c r="AM457" i="40"/>
  <c r="D457" i="40" s="1"/>
  <c r="KO140" i="40"/>
  <c r="JI142" i="40"/>
  <c r="JJ142" i="40"/>
  <c r="AL143" i="40"/>
  <c r="AK143" i="40"/>
  <c r="HZ643" i="40"/>
  <c r="IY643" i="40" s="1"/>
  <c r="IO143" i="40"/>
  <c r="JA143" i="40" s="1"/>
  <c r="HU143" i="40"/>
  <c r="B459" i="40"/>
  <c r="A458" i="40"/>
  <c r="D47" i="44"/>
  <c r="JH141" i="40"/>
  <c r="JK141" i="40" s="1"/>
  <c r="JL141" i="40" s="1"/>
  <c r="M46" i="44"/>
  <c r="HV143" i="40" l="1"/>
  <c r="D143" i="40"/>
  <c r="AY143" i="40" s="1"/>
  <c r="HX143" i="40"/>
  <c r="IX644" i="40"/>
  <c r="HW144" i="40"/>
  <c r="AP144" i="40"/>
  <c r="IQ144" i="40"/>
  <c r="JC144" i="40" s="1"/>
  <c r="IC143" i="40"/>
  <c r="HO144" i="40"/>
  <c r="HR144" i="40" s="1"/>
  <c r="JK142" i="40"/>
  <c r="JL142" i="40" s="1"/>
  <c r="JM142" i="40" s="1"/>
  <c r="JM141" i="40"/>
  <c r="HQ144" i="40"/>
  <c r="D48" i="44"/>
  <c r="AM458" i="40"/>
  <c r="IZ644" i="40"/>
  <c r="HU144" i="40"/>
  <c r="AM144" i="40"/>
  <c r="JI143" i="40"/>
  <c r="HR143" i="40"/>
  <c r="JH143" i="40" s="1"/>
  <c r="AN458" i="40"/>
  <c r="AP458" i="40"/>
  <c r="AN144" i="40"/>
  <c r="HM144" i="40"/>
  <c r="HZ644" i="40"/>
  <c r="IY644" i="40" s="1"/>
  <c r="IO144" i="40"/>
  <c r="JA144" i="40" s="1"/>
  <c r="D49" i="44" s="1"/>
  <c r="AN250" i="40"/>
  <c r="AO458" i="40"/>
  <c r="AK144" i="40"/>
  <c r="AL144" i="40"/>
  <c r="HS144" i="40"/>
  <c r="C146" i="40"/>
  <c r="IJ145" i="40"/>
  <c r="IM145" i="40" s="1"/>
  <c r="AW145" i="40"/>
  <c r="BB145" i="40"/>
  <c r="BF145" i="40"/>
  <c r="BJ145" i="40"/>
  <c r="BN145" i="40"/>
  <c r="BR145" i="40"/>
  <c r="JF145" i="40"/>
  <c r="HM145" i="40" s="1"/>
  <c r="IK145" i="40"/>
  <c r="IN145" i="40" s="1"/>
  <c r="BA145" i="40"/>
  <c r="BG145" i="40"/>
  <c r="BL145" i="40"/>
  <c r="BQ145" i="40"/>
  <c r="BV145" i="40"/>
  <c r="BZ145" i="40"/>
  <c r="CD145" i="40"/>
  <c r="CH145" i="40"/>
  <c r="DM145" i="40"/>
  <c r="DV145" i="40"/>
  <c r="BC145" i="40"/>
  <c r="BH145" i="40"/>
  <c r="BM145" i="40"/>
  <c r="BS145" i="40"/>
  <c r="BW145" i="40"/>
  <c r="CA145" i="40"/>
  <c r="CE145" i="40"/>
  <c r="DS145" i="40"/>
  <c r="DW145" i="40"/>
  <c r="A145" i="40"/>
  <c r="AX145" i="40"/>
  <c r="BD145" i="40"/>
  <c r="BI145" i="40"/>
  <c r="BO145" i="40"/>
  <c r="BT145" i="40"/>
  <c r="BX145" i="40"/>
  <c r="CB145" i="40"/>
  <c r="CF145" i="40"/>
  <c r="DT145" i="40"/>
  <c r="II145" i="40"/>
  <c r="IL145" i="40" s="1"/>
  <c r="BP145" i="40"/>
  <c r="CG145" i="40"/>
  <c r="AZ145" i="40"/>
  <c r="BU145" i="40"/>
  <c r="BY145" i="40"/>
  <c r="CC145" i="40"/>
  <c r="BE145" i="40"/>
  <c r="DU145" i="40"/>
  <c r="BK145" i="40"/>
  <c r="IX145" i="40"/>
  <c r="JO145" i="40"/>
  <c r="IY145" i="40"/>
  <c r="IZ145" i="40"/>
  <c r="IA145" i="40"/>
  <c r="IA645" i="40" s="1"/>
  <c r="HZ145" i="40"/>
  <c r="HY145" i="40"/>
  <c r="HY645" i="40" s="1"/>
  <c r="JP145" i="40"/>
  <c r="JG145" i="40"/>
  <c r="JJ143" i="40"/>
  <c r="AP250" i="40"/>
  <c r="AM250" i="40"/>
  <c r="C252" i="40"/>
  <c r="AX251" i="40"/>
  <c r="BC251" i="40"/>
  <c r="BG251" i="40"/>
  <c r="BK251" i="40"/>
  <c r="BO251" i="40"/>
  <c r="BS251" i="40"/>
  <c r="BW251" i="40"/>
  <c r="CA251" i="40"/>
  <c r="CE251" i="40"/>
  <c r="DU251" i="40"/>
  <c r="AZ251" i="40"/>
  <c r="BD251" i="40"/>
  <c r="BH251" i="40"/>
  <c r="BL251" i="40"/>
  <c r="BP251" i="40"/>
  <c r="BT251" i="40"/>
  <c r="BX251" i="40"/>
  <c r="CB251" i="40"/>
  <c r="CF251" i="40"/>
  <c r="DM251" i="40"/>
  <c r="DV251" i="40"/>
  <c r="BA251" i="40"/>
  <c r="BE251" i="40"/>
  <c r="BI251" i="40"/>
  <c r="BM251" i="40"/>
  <c r="BQ251" i="40"/>
  <c r="BU251" i="40"/>
  <c r="BY251" i="40"/>
  <c r="CC251" i="40"/>
  <c r="CG251" i="40"/>
  <c r="DS251" i="40"/>
  <c r="DW251" i="40"/>
  <c r="A251" i="40"/>
  <c r="BB251" i="40"/>
  <c r="BR251" i="40"/>
  <c r="CH251" i="40"/>
  <c r="BF251" i="40"/>
  <c r="BV251" i="40"/>
  <c r="DT251" i="40"/>
  <c r="BJ251" i="40"/>
  <c r="BZ251" i="40"/>
  <c r="JO251" i="40"/>
  <c r="BN251" i="40"/>
  <c r="AW251" i="40"/>
  <c r="CD251" i="40"/>
  <c r="JP251" i="40"/>
  <c r="HY251" i="40"/>
  <c r="HZ251" i="40"/>
  <c r="IA251" i="40"/>
  <c r="IY251" i="40"/>
  <c r="IZ251" i="40"/>
  <c r="IX251" i="40"/>
  <c r="M47" i="44"/>
  <c r="B460" i="40"/>
  <c r="A459" i="40"/>
  <c r="AO144" i="40"/>
  <c r="IP144" i="40"/>
  <c r="JB144" i="40" s="1"/>
  <c r="E49" i="44" s="1"/>
  <c r="HT144" i="40"/>
  <c r="AO250" i="40"/>
  <c r="HX144" i="40" l="1"/>
  <c r="D250" i="40"/>
  <c r="HV144" i="40"/>
  <c r="D144" i="40"/>
  <c r="AY144" i="40" s="1"/>
  <c r="D458" i="40"/>
  <c r="AP251" i="40"/>
  <c r="HW145" i="40"/>
  <c r="AP145" i="40"/>
  <c r="IQ145" i="40"/>
  <c r="JC145" i="40" s="1"/>
  <c r="IZ645" i="40"/>
  <c r="HO145" i="40"/>
  <c r="HR145" i="40" s="1"/>
  <c r="HN145" i="40"/>
  <c r="HQ145" i="40" s="1"/>
  <c r="IC144" i="40"/>
  <c r="AO459" i="40"/>
  <c r="B461" i="40"/>
  <c r="A460" i="40"/>
  <c r="AN251" i="40"/>
  <c r="HZ645" i="40"/>
  <c r="C147" i="40"/>
  <c r="JF146" i="40"/>
  <c r="HN146" i="40" s="1"/>
  <c r="II146" i="40"/>
  <c r="IL146" i="40" s="1"/>
  <c r="AZ146" i="40"/>
  <c r="BD146" i="40"/>
  <c r="BH146" i="40"/>
  <c r="BL146" i="40"/>
  <c r="BP146" i="40"/>
  <c r="BT146" i="40"/>
  <c r="BX146" i="40"/>
  <c r="CB146" i="40"/>
  <c r="CF146" i="40"/>
  <c r="DU146" i="40"/>
  <c r="IK146" i="40"/>
  <c r="IN146" i="40" s="1"/>
  <c r="BA146" i="40"/>
  <c r="BE146" i="40"/>
  <c r="BI146" i="40"/>
  <c r="BM146" i="40"/>
  <c r="BQ146" i="40"/>
  <c r="BU146" i="40"/>
  <c r="BY146" i="40"/>
  <c r="CC146" i="40"/>
  <c r="CG146" i="40"/>
  <c r="DM146" i="40"/>
  <c r="DV146" i="40"/>
  <c r="A146" i="40"/>
  <c r="AW146" i="40"/>
  <c r="BB146" i="40"/>
  <c r="BF146" i="40"/>
  <c r="BJ146" i="40"/>
  <c r="BN146" i="40"/>
  <c r="BR146" i="40"/>
  <c r="BV146" i="40"/>
  <c r="BZ146" i="40"/>
  <c r="CD146" i="40"/>
  <c r="CH146" i="40"/>
  <c r="DS146" i="40"/>
  <c r="DW146" i="40"/>
  <c r="AX146" i="40"/>
  <c r="BO146" i="40"/>
  <c r="CE146" i="40"/>
  <c r="BC146" i="40"/>
  <c r="BS146" i="40"/>
  <c r="IQ146" i="40"/>
  <c r="CA146" i="40"/>
  <c r="BG146" i="40"/>
  <c r="DT146" i="40"/>
  <c r="BK146" i="40"/>
  <c r="IO146" i="40"/>
  <c r="IJ146" i="40"/>
  <c r="IM146" i="40" s="1"/>
  <c r="IX146" i="40"/>
  <c r="BW146" i="40"/>
  <c r="JO146" i="40"/>
  <c r="IY146" i="40"/>
  <c r="IZ146" i="40"/>
  <c r="HY146" i="40"/>
  <c r="HY646" i="40" s="1"/>
  <c r="HZ146" i="40"/>
  <c r="IA146" i="40"/>
  <c r="IA646" i="40" s="1"/>
  <c r="JP146" i="40"/>
  <c r="JG146" i="40"/>
  <c r="C253" i="40"/>
  <c r="AZ252" i="40"/>
  <c r="BD252" i="40"/>
  <c r="BH252" i="40"/>
  <c r="BL252" i="40"/>
  <c r="BP252" i="40"/>
  <c r="BT252" i="40"/>
  <c r="BX252" i="40"/>
  <c r="CB252" i="40"/>
  <c r="CF252" i="40"/>
  <c r="DM252" i="40"/>
  <c r="DV252" i="40"/>
  <c r="BA252" i="40"/>
  <c r="BE252" i="40"/>
  <c r="BI252" i="40"/>
  <c r="BM252" i="40"/>
  <c r="BQ252" i="40"/>
  <c r="BU252" i="40"/>
  <c r="BY252" i="40"/>
  <c r="CC252" i="40"/>
  <c r="CG252" i="40"/>
  <c r="DS252" i="40"/>
  <c r="DW252" i="40"/>
  <c r="AW252" i="40"/>
  <c r="BB252" i="40"/>
  <c r="BF252" i="40"/>
  <c r="BJ252" i="40"/>
  <c r="BN252" i="40"/>
  <c r="BR252" i="40"/>
  <c r="BV252" i="40"/>
  <c r="BZ252" i="40"/>
  <c r="CD252" i="40"/>
  <c r="CH252" i="40"/>
  <c r="DT252" i="40"/>
  <c r="BK252" i="40"/>
  <c r="CA252" i="40"/>
  <c r="AX252" i="40"/>
  <c r="BO252" i="40"/>
  <c r="CE252" i="40"/>
  <c r="A252" i="40"/>
  <c r="BC252" i="40"/>
  <c r="BS252" i="40"/>
  <c r="JO252" i="40"/>
  <c r="BG252" i="40"/>
  <c r="BW252" i="40"/>
  <c r="DU252" i="40"/>
  <c r="HZ252" i="40"/>
  <c r="HY252" i="40"/>
  <c r="JP252" i="40"/>
  <c r="IA252" i="40"/>
  <c r="IZ252" i="40"/>
  <c r="IY252" i="40"/>
  <c r="IX252" i="40"/>
  <c r="AL145" i="40"/>
  <c r="AK145" i="40"/>
  <c r="AN145" i="40"/>
  <c r="IX645" i="40"/>
  <c r="HS145" i="40"/>
  <c r="HT145" i="40"/>
  <c r="F49" i="44"/>
  <c r="M49" i="44" s="1"/>
  <c r="JK143" i="40"/>
  <c r="JL143" i="40" s="1"/>
  <c r="AP459" i="40"/>
  <c r="AN459" i="40"/>
  <c r="AO251" i="40"/>
  <c r="AO145" i="40"/>
  <c r="HU145" i="40"/>
  <c r="AM145" i="40"/>
  <c r="HP144" i="40"/>
  <c r="M48" i="44"/>
  <c r="KO141" i="40"/>
  <c r="AM459" i="40"/>
  <c r="AM251" i="40"/>
  <c r="IY645" i="40"/>
  <c r="IP145" i="40"/>
  <c r="JB145" i="40" s="1"/>
  <c r="E50" i="44" s="1"/>
  <c r="HP145" i="40"/>
  <c r="IO145" i="40"/>
  <c r="JA145" i="40" s="1"/>
  <c r="D50" i="44" s="1"/>
  <c r="JI144" i="40"/>
  <c r="KO142" i="40"/>
  <c r="JJ144" i="40" l="1"/>
  <c r="D251" i="40"/>
  <c r="D145" i="40"/>
  <c r="AY145" i="40" s="1"/>
  <c r="HV145" i="40"/>
  <c r="D459" i="40"/>
  <c r="AP252" i="40"/>
  <c r="HX146" i="40"/>
  <c r="AP146" i="40"/>
  <c r="HM146" i="40"/>
  <c r="HP146" i="40" s="1"/>
  <c r="JC146" i="40"/>
  <c r="F51" i="44" s="1"/>
  <c r="C254" i="40"/>
  <c r="AZ253" i="40"/>
  <c r="BD253" i="40"/>
  <c r="BH253" i="40"/>
  <c r="BL253" i="40"/>
  <c r="BP253" i="40"/>
  <c r="BT253" i="40"/>
  <c r="BX253" i="40"/>
  <c r="CB253" i="40"/>
  <c r="CF253" i="40"/>
  <c r="DM253" i="40"/>
  <c r="DV253" i="40"/>
  <c r="BA253" i="40"/>
  <c r="BE253" i="40"/>
  <c r="BI253" i="40"/>
  <c r="BM253" i="40"/>
  <c r="BQ253" i="40"/>
  <c r="BU253" i="40"/>
  <c r="BY253" i="40"/>
  <c r="CC253" i="40"/>
  <c r="CG253" i="40"/>
  <c r="DS253" i="40"/>
  <c r="DW253" i="40"/>
  <c r="A253" i="40"/>
  <c r="AW253" i="40"/>
  <c r="BB253" i="40"/>
  <c r="BF253" i="40"/>
  <c r="BJ253" i="40"/>
  <c r="BN253" i="40"/>
  <c r="BR253" i="40"/>
  <c r="BV253" i="40"/>
  <c r="BZ253" i="40"/>
  <c r="CD253" i="40"/>
  <c r="CH253" i="40"/>
  <c r="DT253" i="40"/>
  <c r="BC253" i="40"/>
  <c r="BS253" i="40"/>
  <c r="BG253" i="40"/>
  <c r="BW253" i="40"/>
  <c r="DU253" i="40"/>
  <c r="BK253" i="40"/>
  <c r="CA253" i="40"/>
  <c r="JO253" i="40"/>
  <c r="CE253" i="40"/>
  <c r="AX253" i="40"/>
  <c r="BO253" i="40"/>
  <c r="JP253" i="40"/>
  <c r="HZ253" i="40"/>
  <c r="IA253" i="40"/>
  <c r="HY253" i="40"/>
  <c r="IZ253" i="40"/>
  <c r="IY253" i="40"/>
  <c r="IX253" i="40"/>
  <c r="HQ146" i="40"/>
  <c r="AN460" i="40"/>
  <c r="JH145" i="40"/>
  <c r="HX145" i="40"/>
  <c r="AM146" i="40"/>
  <c r="JM143" i="40"/>
  <c r="AN252" i="40"/>
  <c r="AO252" i="40"/>
  <c r="AM252" i="40"/>
  <c r="AO146" i="40"/>
  <c r="HZ646" i="40"/>
  <c r="IY646" i="40" s="1"/>
  <c r="IZ646" i="40"/>
  <c r="IX646" i="40"/>
  <c r="HU146" i="40"/>
  <c r="HO146" i="40"/>
  <c r="C148" i="40"/>
  <c r="IJ147" i="40"/>
  <c r="IM147" i="40" s="1"/>
  <c r="AW147" i="40"/>
  <c r="BB147" i="40"/>
  <c r="BF147" i="40"/>
  <c r="BJ147" i="40"/>
  <c r="BN147" i="40"/>
  <c r="BR147" i="40"/>
  <c r="BV147" i="40"/>
  <c r="BZ147" i="40"/>
  <c r="CD147" i="40"/>
  <c r="CH147" i="40"/>
  <c r="DM147" i="40"/>
  <c r="DV147" i="40"/>
  <c r="JF147" i="40"/>
  <c r="HO147" i="40" s="1"/>
  <c r="II147" i="40"/>
  <c r="IL147" i="40" s="1"/>
  <c r="AX147" i="40"/>
  <c r="BC147" i="40"/>
  <c r="BG147" i="40"/>
  <c r="BK147" i="40"/>
  <c r="BO147" i="40"/>
  <c r="BS147" i="40"/>
  <c r="BW147" i="40"/>
  <c r="CA147" i="40"/>
  <c r="CE147" i="40"/>
  <c r="DS147" i="40"/>
  <c r="DW147" i="40"/>
  <c r="IK147" i="40"/>
  <c r="IN147" i="40" s="1"/>
  <c r="AZ147" i="40"/>
  <c r="BD147" i="40"/>
  <c r="BH147" i="40"/>
  <c r="BL147" i="40"/>
  <c r="BP147" i="40"/>
  <c r="BT147" i="40"/>
  <c r="BX147" i="40"/>
  <c r="CB147" i="40"/>
  <c r="CF147" i="40"/>
  <c r="DT147" i="40"/>
  <c r="BA147" i="40"/>
  <c r="BQ147" i="40"/>
  <c r="CG147" i="40"/>
  <c r="BE147" i="40"/>
  <c r="BU147" i="40"/>
  <c r="BI147" i="40"/>
  <c r="DU147" i="40"/>
  <c r="BM147" i="40"/>
  <c r="A147" i="40"/>
  <c r="BY147" i="40"/>
  <c r="CC147" i="40"/>
  <c r="IX147" i="40"/>
  <c r="IY147" i="40"/>
  <c r="JO147" i="40"/>
  <c r="IZ147" i="40"/>
  <c r="HY147" i="40"/>
  <c r="HY647" i="40" s="1"/>
  <c r="HZ147" i="40"/>
  <c r="IA147" i="40"/>
  <c r="IA647" i="40" s="1"/>
  <c r="JP147" i="40"/>
  <c r="JG147" i="40"/>
  <c r="IC145" i="40"/>
  <c r="AM460" i="40"/>
  <c r="JH144" i="40"/>
  <c r="F50" i="44"/>
  <c r="M50" i="44" s="1"/>
  <c r="JI145" i="40"/>
  <c r="AK146" i="40"/>
  <c r="AL146" i="40"/>
  <c r="AN146" i="40"/>
  <c r="HT146" i="40"/>
  <c r="IP146" i="40"/>
  <c r="JB146" i="40" s="1"/>
  <c r="E51" i="44" s="1"/>
  <c r="JA146" i="40"/>
  <c r="D51" i="44" s="1"/>
  <c r="HS146" i="40"/>
  <c r="AP460" i="40"/>
  <c r="AO460" i="40"/>
  <c r="B462" i="40"/>
  <c r="A461" i="40"/>
  <c r="JK144" i="40" l="1"/>
  <c r="JL144" i="40" s="1"/>
  <c r="JJ145" i="40"/>
  <c r="HV146" i="40"/>
  <c r="D252" i="40"/>
  <c r="D460" i="40"/>
  <c r="D146" i="40"/>
  <c r="AY146" i="40" s="1"/>
  <c r="HW146" i="40"/>
  <c r="IC146" i="40" s="1"/>
  <c r="AP253" i="40"/>
  <c r="IX647" i="40"/>
  <c r="AP461" i="40"/>
  <c r="HV147" i="40"/>
  <c r="AP147" i="40"/>
  <c r="G38" i="58" s="1"/>
  <c r="HN147" i="40"/>
  <c r="HQ147" i="40" s="1"/>
  <c r="HM147" i="40"/>
  <c r="HP147" i="40" s="1"/>
  <c r="JM144" i="40"/>
  <c r="AO461" i="40"/>
  <c r="AL147" i="40"/>
  <c r="AK147" i="40"/>
  <c r="J38" i="58" s="1"/>
  <c r="HZ647" i="40"/>
  <c r="IY647" i="40" s="1"/>
  <c r="HU147" i="40"/>
  <c r="AM147" i="40"/>
  <c r="IQ147" i="40"/>
  <c r="JC147" i="40" s="1"/>
  <c r="F52" i="44" s="1"/>
  <c r="C149" i="40"/>
  <c r="JF148" i="40"/>
  <c r="HO148" i="40" s="1"/>
  <c r="II148" i="40"/>
  <c r="IL148" i="40" s="1"/>
  <c r="AX148" i="40"/>
  <c r="BC148" i="40"/>
  <c r="BG148" i="40"/>
  <c r="BK148" i="40"/>
  <c r="BO148" i="40"/>
  <c r="BS148" i="40"/>
  <c r="BW148" i="40"/>
  <c r="CA148" i="40"/>
  <c r="CE148" i="40"/>
  <c r="DT148" i="40"/>
  <c r="IK148" i="40"/>
  <c r="IN148" i="40" s="1"/>
  <c r="AZ148" i="40"/>
  <c r="BD148" i="40"/>
  <c r="BH148" i="40"/>
  <c r="BL148" i="40"/>
  <c r="BP148" i="40"/>
  <c r="BT148" i="40"/>
  <c r="BX148" i="40"/>
  <c r="CB148" i="40"/>
  <c r="CF148" i="40"/>
  <c r="DU148" i="40"/>
  <c r="A148" i="40"/>
  <c r="BA148" i="40"/>
  <c r="BE148" i="40"/>
  <c r="BI148" i="40"/>
  <c r="BM148" i="40"/>
  <c r="BQ148" i="40"/>
  <c r="BU148" i="40"/>
  <c r="BY148" i="40"/>
  <c r="CC148" i="40"/>
  <c r="CG148" i="40"/>
  <c r="DM148" i="40"/>
  <c r="DV148" i="40"/>
  <c r="BF148" i="40"/>
  <c r="BV148" i="40"/>
  <c r="DS148" i="40"/>
  <c r="IJ148" i="40"/>
  <c r="IM148" i="40" s="1"/>
  <c r="BJ148" i="40"/>
  <c r="BZ148" i="40"/>
  <c r="DW148" i="40"/>
  <c r="AW148" i="40"/>
  <c r="CD148" i="40"/>
  <c r="IO148" i="40"/>
  <c r="BB148" i="40"/>
  <c r="CH148" i="40"/>
  <c r="IQ148" i="40"/>
  <c r="BN148" i="40"/>
  <c r="BR148" i="40"/>
  <c r="IX148" i="40"/>
  <c r="JO148" i="40"/>
  <c r="IY148" i="40"/>
  <c r="IZ148" i="40"/>
  <c r="IA148" i="40"/>
  <c r="IA648" i="40" s="1"/>
  <c r="HY148" i="40"/>
  <c r="HY648" i="40" s="1"/>
  <c r="HZ148" i="40"/>
  <c r="JP148" i="40"/>
  <c r="JG148" i="40"/>
  <c r="M51" i="44"/>
  <c r="HT147" i="40"/>
  <c r="HR146" i="40"/>
  <c r="JH146" i="40" s="1"/>
  <c r="KO143" i="40"/>
  <c r="AN253" i="40"/>
  <c r="AO253" i="40"/>
  <c r="AM253" i="40"/>
  <c r="D253" i="40" s="1"/>
  <c r="AN461" i="40"/>
  <c r="JI146" i="40"/>
  <c r="AM461" i="40"/>
  <c r="B463" i="40"/>
  <c r="A462" i="40"/>
  <c r="JK145" i="40"/>
  <c r="JL145" i="40" s="1"/>
  <c r="HR147" i="40"/>
  <c r="IZ647" i="40"/>
  <c r="HS147" i="40"/>
  <c r="C255" i="40"/>
  <c r="BA254" i="40"/>
  <c r="BE254" i="40"/>
  <c r="BI254" i="40"/>
  <c r="BM254" i="40"/>
  <c r="BQ254" i="40"/>
  <c r="BU254" i="40"/>
  <c r="BY254" i="40"/>
  <c r="CC254" i="40"/>
  <c r="CG254" i="40"/>
  <c r="DM254" i="40"/>
  <c r="DV254" i="40"/>
  <c r="AW254" i="40"/>
  <c r="BB254" i="40"/>
  <c r="BF254" i="40"/>
  <c r="BJ254" i="40"/>
  <c r="BN254" i="40"/>
  <c r="BR254" i="40"/>
  <c r="BV254" i="40"/>
  <c r="BZ254" i="40"/>
  <c r="CD254" i="40"/>
  <c r="CH254" i="40"/>
  <c r="DS254" i="40"/>
  <c r="DW254" i="40"/>
  <c r="A254" i="40"/>
  <c r="AX254" i="40"/>
  <c r="BC254" i="40"/>
  <c r="BG254" i="40"/>
  <c r="BK254" i="40"/>
  <c r="BO254" i="40"/>
  <c r="BS254" i="40"/>
  <c r="BW254" i="40"/>
  <c r="CA254" i="40"/>
  <c r="CE254" i="40"/>
  <c r="DT254" i="40"/>
  <c r="BL254" i="40"/>
  <c r="CB254" i="40"/>
  <c r="AZ254" i="40"/>
  <c r="BP254" i="40"/>
  <c r="CF254" i="40"/>
  <c r="JO254" i="40"/>
  <c r="BD254" i="40"/>
  <c r="BT254" i="40"/>
  <c r="DU254" i="40"/>
  <c r="BX254" i="40"/>
  <c r="BH254" i="40"/>
  <c r="HY254" i="40"/>
  <c r="JP254" i="40"/>
  <c r="IA254" i="40"/>
  <c r="HZ254" i="40"/>
  <c r="IZ254" i="40"/>
  <c r="IY254" i="40"/>
  <c r="IX254" i="40"/>
  <c r="AN147" i="40"/>
  <c r="AO147" i="40"/>
  <c r="IP147" i="40"/>
  <c r="JB147" i="40" s="1"/>
  <c r="E52" i="44" s="1"/>
  <c r="IO147" i="40"/>
  <c r="JA147" i="40" s="1"/>
  <c r="D52" i="44" s="1"/>
  <c r="D461" i="40" l="1"/>
  <c r="J39" i="58"/>
  <c r="AK38" i="58" s="1"/>
  <c r="D147" i="40"/>
  <c r="AY147" i="40" s="1"/>
  <c r="JJ146" i="40"/>
  <c r="JK146" i="40" s="1"/>
  <c r="JL146" i="40" s="1"/>
  <c r="HV148" i="40"/>
  <c r="AP462" i="40"/>
  <c r="AP148" i="40"/>
  <c r="G40" i="58" s="1"/>
  <c r="HM148" i="40"/>
  <c r="HP148" i="40" s="1"/>
  <c r="HN148" i="40"/>
  <c r="HQ148" i="40" s="1"/>
  <c r="JA148" i="40"/>
  <c r="D53" i="44" s="1"/>
  <c r="AO254" i="40"/>
  <c r="M52" i="44"/>
  <c r="AP254" i="40"/>
  <c r="C256" i="40"/>
  <c r="BA255" i="40"/>
  <c r="BE255" i="40"/>
  <c r="BI255" i="40"/>
  <c r="BM255" i="40"/>
  <c r="BQ255" i="40"/>
  <c r="BU255" i="40"/>
  <c r="BY255" i="40"/>
  <c r="CC255" i="40"/>
  <c r="CG255" i="40"/>
  <c r="DS255" i="40"/>
  <c r="DW255" i="40"/>
  <c r="AW255" i="40"/>
  <c r="BB255" i="40"/>
  <c r="BF255" i="40"/>
  <c r="BJ255" i="40"/>
  <c r="BN255" i="40"/>
  <c r="BR255" i="40"/>
  <c r="BV255" i="40"/>
  <c r="BZ255" i="40"/>
  <c r="CD255" i="40"/>
  <c r="CH255" i="40"/>
  <c r="DT255" i="40"/>
  <c r="A255" i="40"/>
  <c r="AX255" i="40"/>
  <c r="BC255" i="40"/>
  <c r="BG255" i="40"/>
  <c r="BK255" i="40"/>
  <c r="BO255" i="40"/>
  <c r="BS255" i="40"/>
  <c r="BW255" i="40"/>
  <c r="CA255" i="40"/>
  <c r="CE255" i="40"/>
  <c r="DU255" i="40"/>
  <c r="BD255" i="40"/>
  <c r="BT255" i="40"/>
  <c r="DM255" i="40"/>
  <c r="BH255" i="40"/>
  <c r="BX255" i="40"/>
  <c r="DV255" i="40"/>
  <c r="BL255" i="40"/>
  <c r="CB255" i="40"/>
  <c r="CF255" i="40"/>
  <c r="AZ255" i="40"/>
  <c r="JO255" i="40"/>
  <c r="BP255" i="40"/>
  <c r="HZ255" i="40"/>
  <c r="IA255" i="40"/>
  <c r="HY255" i="40"/>
  <c r="JP255" i="40"/>
  <c r="IZ255" i="40"/>
  <c r="IY255" i="40"/>
  <c r="IX255" i="40"/>
  <c r="HW147" i="40"/>
  <c r="IC147" i="40" s="1"/>
  <c r="JM145" i="40"/>
  <c r="AO462" i="40"/>
  <c r="AL148" i="40"/>
  <c r="AK148" i="40"/>
  <c r="HZ648" i="40"/>
  <c r="HR148" i="40"/>
  <c r="JC148" i="40"/>
  <c r="F53" i="44" s="1"/>
  <c r="HU148" i="40"/>
  <c r="C150" i="40"/>
  <c r="A149" i="40"/>
  <c r="BA149" i="40"/>
  <c r="BE149" i="40"/>
  <c r="BI149" i="40"/>
  <c r="BM149" i="40"/>
  <c r="BQ149" i="40"/>
  <c r="BU149" i="40"/>
  <c r="BY149" i="40"/>
  <c r="CC149" i="40"/>
  <c r="CG149" i="40"/>
  <c r="DU149" i="40"/>
  <c r="IJ149" i="40"/>
  <c r="IM149" i="40" s="1"/>
  <c r="AW149" i="40"/>
  <c r="BB149" i="40"/>
  <c r="BF149" i="40"/>
  <c r="BJ149" i="40"/>
  <c r="BN149" i="40"/>
  <c r="BR149" i="40"/>
  <c r="BV149" i="40"/>
  <c r="BZ149" i="40"/>
  <c r="CD149" i="40"/>
  <c r="CH149" i="40"/>
  <c r="DM149" i="40"/>
  <c r="DV149" i="40"/>
  <c r="JF149" i="40"/>
  <c r="HN149" i="40" s="1"/>
  <c r="II149" i="40"/>
  <c r="IL149" i="40" s="1"/>
  <c r="AX149" i="40"/>
  <c r="BC149" i="40"/>
  <c r="BG149" i="40"/>
  <c r="BK149" i="40"/>
  <c r="BO149" i="40"/>
  <c r="BS149" i="40"/>
  <c r="BW149" i="40"/>
  <c r="CA149" i="40"/>
  <c r="CE149" i="40"/>
  <c r="DS149" i="40"/>
  <c r="DW149" i="40"/>
  <c r="IK149" i="40"/>
  <c r="IN149" i="40" s="1"/>
  <c r="BL149" i="40"/>
  <c r="CB149" i="40"/>
  <c r="AZ149" i="40"/>
  <c r="BP149" i="40"/>
  <c r="CF149" i="40"/>
  <c r="BT149" i="40"/>
  <c r="BX149" i="40"/>
  <c r="BD149" i="40"/>
  <c r="BH149" i="40"/>
  <c r="DT149" i="40"/>
  <c r="IZ149" i="40"/>
  <c r="IX149" i="40"/>
  <c r="JO149" i="40"/>
  <c r="IY149" i="40"/>
  <c r="HZ149" i="40"/>
  <c r="IA149" i="40"/>
  <c r="IA649" i="40" s="1"/>
  <c r="HY149" i="40"/>
  <c r="HY649" i="40" s="1"/>
  <c r="JP149" i="40"/>
  <c r="JG149" i="40"/>
  <c r="HX147" i="40"/>
  <c r="AN462" i="40"/>
  <c r="B464" i="40"/>
  <c r="A463" i="40"/>
  <c r="JH147" i="40"/>
  <c r="IX648" i="40"/>
  <c r="HS148" i="40"/>
  <c r="KO144" i="40"/>
  <c r="AN254" i="40"/>
  <c r="AM462" i="40"/>
  <c r="AN148" i="40"/>
  <c r="AO148" i="40"/>
  <c r="IZ648" i="40"/>
  <c r="HT148" i="40"/>
  <c r="IP148" i="40"/>
  <c r="JB148" i="40" s="1"/>
  <c r="AM254" i="40"/>
  <c r="JI147" i="40"/>
  <c r="IY648" i="40"/>
  <c r="AM148" i="40"/>
  <c r="D462" i="40" l="1"/>
  <c r="D254" i="40"/>
  <c r="D148" i="40"/>
  <c r="AY148" i="40" s="1"/>
  <c r="HO149" i="40"/>
  <c r="HR149" i="40" s="1"/>
  <c r="HW149" i="40"/>
  <c r="IX649" i="40"/>
  <c r="IQ149" i="40"/>
  <c r="JC149" i="40" s="1"/>
  <c r="F54" i="44" s="1"/>
  <c r="AP463" i="40"/>
  <c r="HM149" i="40"/>
  <c r="HP149" i="40" s="1"/>
  <c r="JI148" i="40"/>
  <c r="AM463" i="40"/>
  <c r="D463" i="40" s="1"/>
  <c r="AP149" i="40"/>
  <c r="G34" i="58" s="1"/>
  <c r="AN149" i="40"/>
  <c r="HZ649" i="40"/>
  <c r="HQ149" i="40"/>
  <c r="IO149" i="40"/>
  <c r="JA149" i="40" s="1"/>
  <c r="JM146" i="40"/>
  <c r="AP255" i="40"/>
  <c r="HW148" i="40"/>
  <c r="IC148" i="40" s="1"/>
  <c r="AO149" i="40"/>
  <c r="HU149" i="40"/>
  <c r="AM149" i="40"/>
  <c r="IP149" i="40"/>
  <c r="JB149" i="40" s="1"/>
  <c r="E54" i="44" s="1"/>
  <c r="C151" i="40"/>
  <c r="IJ150" i="40"/>
  <c r="IM150" i="40" s="1"/>
  <c r="BA150" i="40"/>
  <c r="BE150" i="40"/>
  <c r="BI150" i="40"/>
  <c r="BM150" i="40"/>
  <c r="BQ150" i="40"/>
  <c r="BU150" i="40"/>
  <c r="BY150" i="40"/>
  <c r="CC150" i="40"/>
  <c r="CG150" i="40"/>
  <c r="DU150" i="40"/>
  <c r="JF150" i="40"/>
  <c r="HO150" i="40" s="1"/>
  <c r="II150" i="40"/>
  <c r="IL150" i="40" s="1"/>
  <c r="AW150" i="40"/>
  <c r="BB150" i="40"/>
  <c r="BF150" i="40"/>
  <c r="BJ150" i="40"/>
  <c r="BN150" i="40"/>
  <c r="BR150" i="40"/>
  <c r="BV150" i="40"/>
  <c r="BZ150" i="40"/>
  <c r="CD150" i="40"/>
  <c r="CH150" i="40"/>
  <c r="DM150" i="40"/>
  <c r="DV150" i="40"/>
  <c r="IK150" i="40"/>
  <c r="IN150" i="40" s="1"/>
  <c r="AX150" i="40"/>
  <c r="BC150" i="40"/>
  <c r="BG150" i="40"/>
  <c r="BK150" i="40"/>
  <c r="BO150" i="40"/>
  <c r="BS150" i="40"/>
  <c r="BW150" i="40"/>
  <c r="CA150" i="40"/>
  <c r="CE150" i="40"/>
  <c r="DS150" i="40"/>
  <c r="DW150" i="40"/>
  <c r="A150" i="40"/>
  <c r="AZ150" i="40"/>
  <c r="BP150" i="40"/>
  <c r="CF150" i="40"/>
  <c r="BD150" i="40"/>
  <c r="BT150" i="40"/>
  <c r="BH150" i="40"/>
  <c r="DT150" i="40"/>
  <c r="BL150" i="40"/>
  <c r="BX150" i="40"/>
  <c r="CB150" i="40"/>
  <c r="IZ150" i="40"/>
  <c r="IX150" i="40"/>
  <c r="JO150" i="40"/>
  <c r="IY150" i="40"/>
  <c r="IA150" i="40"/>
  <c r="IA650" i="40" s="1"/>
  <c r="HY150" i="40"/>
  <c r="HY650" i="40" s="1"/>
  <c r="HZ150" i="40"/>
  <c r="JP150" i="40"/>
  <c r="JG150" i="40"/>
  <c r="AN255" i="40"/>
  <c r="JH148" i="40"/>
  <c r="E53" i="44"/>
  <c r="HX148" i="40"/>
  <c r="AN463" i="40"/>
  <c r="AO463" i="40"/>
  <c r="AK149" i="40"/>
  <c r="J34" i="58" s="1"/>
  <c r="J35" i="58" s="1"/>
  <c r="AL149" i="40"/>
  <c r="HT149" i="40"/>
  <c r="AM255" i="40"/>
  <c r="D255" i="40" s="1"/>
  <c r="B465" i="40"/>
  <c r="A464" i="40"/>
  <c r="IY649" i="40"/>
  <c r="IZ649" i="40"/>
  <c r="HS149" i="40"/>
  <c r="KO145" i="40"/>
  <c r="AO255" i="40"/>
  <c r="A256" i="40"/>
  <c r="C257" i="40"/>
  <c r="AX256" i="40"/>
  <c r="BC256" i="40"/>
  <c r="BG256" i="40"/>
  <c r="BK256" i="40"/>
  <c r="BO256" i="40"/>
  <c r="BS256" i="40"/>
  <c r="BW256" i="40"/>
  <c r="CA256" i="40"/>
  <c r="CE256" i="40"/>
  <c r="DU256" i="40"/>
  <c r="AZ256" i="40"/>
  <c r="BD256" i="40"/>
  <c r="BH256" i="40"/>
  <c r="BL256" i="40"/>
  <c r="BP256" i="40"/>
  <c r="BT256" i="40"/>
  <c r="BX256" i="40"/>
  <c r="CB256" i="40"/>
  <c r="CF256" i="40"/>
  <c r="DM256" i="40"/>
  <c r="DV256" i="40"/>
  <c r="BA256" i="40"/>
  <c r="BE256" i="40"/>
  <c r="BI256" i="40"/>
  <c r="BM256" i="40"/>
  <c r="BQ256" i="40"/>
  <c r="BU256" i="40"/>
  <c r="BY256" i="40"/>
  <c r="CC256" i="40"/>
  <c r="CG256" i="40"/>
  <c r="DS256" i="40"/>
  <c r="DW256" i="40"/>
  <c r="AW256" i="40"/>
  <c r="BN256" i="40"/>
  <c r="CD256" i="40"/>
  <c r="BB256" i="40"/>
  <c r="BR256" i="40"/>
  <c r="CH256" i="40"/>
  <c r="BF256" i="40"/>
  <c r="BV256" i="40"/>
  <c r="DT256" i="40"/>
  <c r="BZ256" i="40"/>
  <c r="JO256" i="40"/>
  <c r="BJ256" i="40"/>
  <c r="JP256" i="40"/>
  <c r="IA256" i="40"/>
  <c r="HZ256" i="40"/>
  <c r="HY256" i="40"/>
  <c r="IZ256" i="40"/>
  <c r="IY256" i="40"/>
  <c r="IX256" i="40"/>
  <c r="JJ147" i="40"/>
  <c r="JK147" i="40" s="1"/>
  <c r="JL147" i="40" s="1"/>
  <c r="HV149" i="40" l="1"/>
  <c r="D149" i="40"/>
  <c r="AY149" i="40" s="1"/>
  <c r="HX149" i="40"/>
  <c r="AP150" i="40"/>
  <c r="G36" i="58" s="1"/>
  <c r="HW150" i="40"/>
  <c r="HM150" i="40"/>
  <c r="HP150" i="40" s="1"/>
  <c r="HN150" i="40"/>
  <c r="HQ150" i="40" s="1"/>
  <c r="JM147" i="40"/>
  <c r="AE38" i="58" s="1"/>
  <c r="AE39" i="58" s="1"/>
  <c r="AI39" i="58" s="1"/>
  <c r="R50" i="59"/>
  <c r="AS15" i="58"/>
  <c r="AT15" i="62"/>
  <c r="AU15" i="62"/>
  <c r="AS15" i="62"/>
  <c r="AT15" i="58"/>
  <c r="AU15" i="58"/>
  <c r="ID113" i="40"/>
  <c r="ID114" i="40"/>
  <c r="ID102" i="40"/>
  <c r="ID108" i="40"/>
  <c r="ID112" i="40"/>
  <c r="ID103" i="40"/>
  <c r="ID106" i="40"/>
  <c r="ID109" i="40"/>
  <c r="ID105" i="40"/>
  <c r="ID115" i="40"/>
  <c r="ID101" i="40"/>
  <c r="ID111" i="40"/>
  <c r="ID110" i="40"/>
  <c r="ID116" i="40"/>
  <c r="ID107" i="40"/>
  <c r="ID104" i="40"/>
  <c r="ID118" i="40"/>
  <c r="ID117" i="40"/>
  <c r="ID119" i="40"/>
  <c r="ID120" i="40"/>
  <c r="ID121" i="40"/>
  <c r="ID122" i="40"/>
  <c r="ID124" i="40"/>
  <c r="ID123" i="40"/>
  <c r="ID125" i="40"/>
  <c r="ID126" i="40"/>
  <c r="ID127" i="40"/>
  <c r="ID128" i="40"/>
  <c r="ID129" i="40"/>
  <c r="ID130" i="40"/>
  <c r="ID132" i="40"/>
  <c r="ID131" i="40"/>
  <c r="ID133" i="40"/>
  <c r="ID134" i="40"/>
  <c r="ID135" i="40"/>
  <c r="ID136" i="40"/>
  <c r="ID137" i="40"/>
  <c r="ID138" i="40"/>
  <c r="ID139" i="40"/>
  <c r="ID140" i="40"/>
  <c r="ID141" i="40"/>
  <c r="ID142" i="40"/>
  <c r="ID144" i="40"/>
  <c r="ID143" i="40"/>
  <c r="ID145" i="40"/>
  <c r="ID146" i="40"/>
  <c r="ID147" i="40"/>
  <c r="ID148" i="40"/>
  <c r="ID149" i="40"/>
  <c r="JI149" i="40"/>
  <c r="AP464" i="40"/>
  <c r="M53" i="44"/>
  <c r="IX650" i="40"/>
  <c r="IO150" i="40"/>
  <c r="JA150" i="40" s="1"/>
  <c r="AN464" i="40"/>
  <c r="AL150" i="40"/>
  <c r="AK150" i="40"/>
  <c r="J36" i="58" s="1"/>
  <c r="J37" i="58" s="1"/>
  <c r="AN150" i="40"/>
  <c r="AO150" i="40"/>
  <c r="IZ650" i="40"/>
  <c r="HS150" i="40"/>
  <c r="IQ150" i="40"/>
  <c r="JC150" i="40" s="1"/>
  <c r="C152" i="40"/>
  <c r="IJ151" i="40"/>
  <c r="IM151" i="40" s="1"/>
  <c r="AX151" i="40"/>
  <c r="BC151" i="40"/>
  <c r="BG151" i="40"/>
  <c r="BK151" i="40"/>
  <c r="BO151" i="40"/>
  <c r="BS151" i="40"/>
  <c r="BW151" i="40"/>
  <c r="CA151" i="40"/>
  <c r="CE151" i="40"/>
  <c r="DT151" i="40"/>
  <c r="JF151" i="40"/>
  <c r="HN151" i="40" s="1"/>
  <c r="II151" i="40"/>
  <c r="IL151" i="40" s="1"/>
  <c r="AZ151" i="40"/>
  <c r="BD151" i="40"/>
  <c r="BH151" i="40"/>
  <c r="BL151" i="40"/>
  <c r="BP151" i="40"/>
  <c r="BT151" i="40"/>
  <c r="BX151" i="40"/>
  <c r="CB151" i="40"/>
  <c r="CF151" i="40"/>
  <c r="DU151" i="40"/>
  <c r="IK151" i="40"/>
  <c r="IN151" i="40" s="1"/>
  <c r="BA151" i="40"/>
  <c r="BE151" i="40"/>
  <c r="BI151" i="40"/>
  <c r="BM151" i="40"/>
  <c r="BQ151" i="40"/>
  <c r="BU151" i="40"/>
  <c r="BY151" i="40"/>
  <c r="CC151" i="40"/>
  <c r="CG151" i="40"/>
  <c r="DM151" i="40"/>
  <c r="DV151" i="40"/>
  <c r="BB151" i="40"/>
  <c r="BR151" i="40"/>
  <c r="CH151" i="40"/>
  <c r="BF151" i="40"/>
  <c r="BV151" i="40"/>
  <c r="DS151" i="40"/>
  <c r="BZ151" i="40"/>
  <c r="A151" i="40"/>
  <c r="AW151" i="40"/>
  <c r="CD151" i="40"/>
  <c r="BJ151" i="40"/>
  <c r="DW151" i="40"/>
  <c r="BN151" i="40"/>
  <c r="IX151" i="40"/>
  <c r="JO151" i="40"/>
  <c r="IY151" i="40"/>
  <c r="IZ151" i="40"/>
  <c r="HY151" i="40"/>
  <c r="HY651" i="40" s="1"/>
  <c r="HZ151" i="40"/>
  <c r="IA151" i="40"/>
  <c r="IA651" i="40" s="1"/>
  <c r="JP151" i="40"/>
  <c r="JG151" i="40"/>
  <c r="AN256" i="40"/>
  <c r="AP256" i="40"/>
  <c r="AO256" i="40"/>
  <c r="C258" i="40"/>
  <c r="AZ257" i="40"/>
  <c r="BD257" i="40"/>
  <c r="BH257" i="40"/>
  <c r="BL257" i="40"/>
  <c r="BP257" i="40"/>
  <c r="BT257" i="40"/>
  <c r="BX257" i="40"/>
  <c r="CB257" i="40"/>
  <c r="CF257" i="40"/>
  <c r="DM257" i="40"/>
  <c r="DV257" i="40"/>
  <c r="BA257" i="40"/>
  <c r="BE257" i="40"/>
  <c r="BI257" i="40"/>
  <c r="BM257" i="40"/>
  <c r="BQ257" i="40"/>
  <c r="BU257" i="40"/>
  <c r="BY257" i="40"/>
  <c r="CC257" i="40"/>
  <c r="CG257" i="40"/>
  <c r="DS257" i="40"/>
  <c r="DW257" i="40"/>
  <c r="AW257" i="40"/>
  <c r="BB257" i="40"/>
  <c r="BF257" i="40"/>
  <c r="BJ257" i="40"/>
  <c r="BN257" i="40"/>
  <c r="BR257" i="40"/>
  <c r="BV257" i="40"/>
  <c r="BZ257" i="40"/>
  <c r="CD257" i="40"/>
  <c r="CH257" i="40"/>
  <c r="DT257" i="40"/>
  <c r="BG257" i="40"/>
  <c r="BW257" i="40"/>
  <c r="DU257" i="40"/>
  <c r="BK257" i="40"/>
  <c r="CA257" i="40"/>
  <c r="JO257" i="40"/>
  <c r="AX257" i="40"/>
  <c r="BO257" i="40"/>
  <c r="CE257" i="40"/>
  <c r="BS257" i="40"/>
  <c r="A257" i="40"/>
  <c r="BC257" i="40"/>
  <c r="HY257" i="40"/>
  <c r="IA257" i="40"/>
  <c r="JP257" i="40"/>
  <c r="HZ257" i="40"/>
  <c r="IZ257" i="40"/>
  <c r="IY257" i="40"/>
  <c r="IX257" i="40"/>
  <c r="AO464" i="40"/>
  <c r="AM464" i="40"/>
  <c r="B466" i="40"/>
  <c r="A465" i="40"/>
  <c r="JH149" i="40"/>
  <c r="IP150" i="40"/>
  <c r="JB150" i="40" s="1"/>
  <c r="HT150" i="40"/>
  <c r="JJ148" i="40"/>
  <c r="JK148" i="40" s="1"/>
  <c r="JL148" i="40" s="1"/>
  <c r="AM256" i="40"/>
  <c r="HZ650" i="40"/>
  <c r="IY650" i="40" s="1"/>
  <c r="HR150" i="40"/>
  <c r="HU150" i="40"/>
  <c r="AM150" i="40"/>
  <c r="KO146" i="40"/>
  <c r="IC149" i="40"/>
  <c r="JJ149" i="40" l="1"/>
  <c r="HX150" i="40"/>
  <c r="D256" i="40"/>
  <c r="D464" i="40"/>
  <c r="D150" i="40"/>
  <c r="AY150" i="40" s="1"/>
  <c r="AP465" i="40"/>
  <c r="HX151" i="40"/>
  <c r="IQ151" i="40"/>
  <c r="JC151" i="40" s="1"/>
  <c r="AP257" i="40"/>
  <c r="IO151" i="40"/>
  <c r="JA151" i="40" s="1"/>
  <c r="ID150" i="40"/>
  <c r="JM148" i="40"/>
  <c r="IC150" i="40"/>
  <c r="AO465" i="40"/>
  <c r="AM465" i="40"/>
  <c r="AN257" i="40"/>
  <c r="AO257" i="40"/>
  <c r="C259" i="40"/>
  <c r="BA258" i="40"/>
  <c r="BE258" i="40"/>
  <c r="BI258" i="40"/>
  <c r="BM258" i="40"/>
  <c r="BQ258" i="40"/>
  <c r="BU258" i="40"/>
  <c r="BY258" i="40"/>
  <c r="CC258" i="40"/>
  <c r="CG258" i="40"/>
  <c r="DS258" i="40"/>
  <c r="DW258" i="40"/>
  <c r="AW258" i="40"/>
  <c r="BB258" i="40"/>
  <c r="BF258" i="40"/>
  <c r="BJ258" i="40"/>
  <c r="BN258" i="40"/>
  <c r="BR258" i="40"/>
  <c r="BV258" i="40"/>
  <c r="BZ258" i="40"/>
  <c r="CD258" i="40"/>
  <c r="CH258" i="40"/>
  <c r="DT258" i="40"/>
  <c r="A258" i="40"/>
  <c r="AX258" i="40"/>
  <c r="BC258" i="40"/>
  <c r="BG258" i="40"/>
  <c r="BK258" i="40"/>
  <c r="BO258" i="40"/>
  <c r="BS258" i="40"/>
  <c r="BW258" i="40"/>
  <c r="CA258" i="40"/>
  <c r="CE258" i="40"/>
  <c r="DU258" i="40"/>
  <c r="AZ258" i="40"/>
  <c r="BP258" i="40"/>
  <c r="CF258" i="40"/>
  <c r="BD258" i="40"/>
  <c r="BT258" i="40"/>
  <c r="DM258" i="40"/>
  <c r="BH258" i="40"/>
  <c r="BX258" i="40"/>
  <c r="DV258" i="40"/>
  <c r="BL258" i="40"/>
  <c r="JO258" i="40"/>
  <c r="CB258" i="40"/>
  <c r="HZ258" i="40"/>
  <c r="HY258" i="40"/>
  <c r="JP258" i="40"/>
  <c r="IA258" i="40"/>
  <c r="IZ258" i="40"/>
  <c r="IX258" i="40"/>
  <c r="IY258" i="40"/>
  <c r="AL151" i="40"/>
  <c r="AK151" i="40"/>
  <c r="J40" i="58" s="1"/>
  <c r="J41" i="58" s="1"/>
  <c r="AN151" i="40"/>
  <c r="HU151" i="40"/>
  <c r="HO151" i="40"/>
  <c r="HR151" i="40" s="1"/>
  <c r="HT151" i="40"/>
  <c r="HV150" i="40"/>
  <c r="IB145" i="40"/>
  <c r="IG145" i="40" s="1"/>
  <c r="IB144" i="40"/>
  <c r="IG144" i="40" s="1"/>
  <c r="IB141" i="40"/>
  <c r="IG141" i="40" s="1"/>
  <c r="IB137" i="40"/>
  <c r="IG137" i="40" s="1"/>
  <c r="IB133" i="40"/>
  <c r="IB130" i="40"/>
  <c r="IB123" i="40"/>
  <c r="IG123" i="40" s="1"/>
  <c r="IB121" i="40"/>
  <c r="IG121" i="40" s="1"/>
  <c r="IB117" i="40"/>
  <c r="IG117" i="40" s="1"/>
  <c r="IB107" i="40"/>
  <c r="IG107" i="40" s="1"/>
  <c r="IB101" i="40"/>
  <c r="IG101" i="40" s="1"/>
  <c r="IB106" i="40"/>
  <c r="IG106" i="40" s="1"/>
  <c r="IB102" i="40"/>
  <c r="IB149" i="40"/>
  <c r="IG149" i="40" s="1"/>
  <c r="AP151" i="40"/>
  <c r="AO151" i="40"/>
  <c r="HS151" i="40"/>
  <c r="JH150" i="40"/>
  <c r="JK149" i="40"/>
  <c r="JL149" i="40" s="1"/>
  <c r="IB147" i="40"/>
  <c r="IG147" i="40" s="1"/>
  <c r="K52" i="44" s="1"/>
  <c r="P52" i="44" s="1"/>
  <c r="IB140" i="40"/>
  <c r="IB136" i="40"/>
  <c r="IG136" i="40" s="1"/>
  <c r="IB129" i="40"/>
  <c r="IG129" i="40" s="1"/>
  <c r="IB126" i="40"/>
  <c r="IB124" i="40"/>
  <c r="IB118" i="40"/>
  <c r="IB116" i="40"/>
  <c r="IG116" i="40" s="1"/>
  <c r="IB115" i="40"/>
  <c r="IB103" i="40"/>
  <c r="IG103" i="40" s="1"/>
  <c r="IB114" i="40"/>
  <c r="IG114" i="40" s="1"/>
  <c r="AN465" i="40"/>
  <c r="AM257" i="40"/>
  <c r="IX651" i="40"/>
  <c r="HQ151" i="40"/>
  <c r="JI150" i="40"/>
  <c r="IB143" i="40"/>
  <c r="IG143" i="40" s="1"/>
  <c r="IB142" i="40"/>
  <c r="IG142" i="40" s="1"/>
  <c r="IB139" i="40"/>
  <c r="IB135" i="40"/>
  <c r="IG135" i="40" s="1"/>
  <c r="KK135" i="40" s="1"/>
  <c r="IB131" i="40"/>
  <c r="IB128" i="40"/>
  <c r="IG128" i="40" s="1"/>
  <c r="IB120" i="40"/>
  <c r="IG120" i="40" s="1"/>
  <c r="IB110" i="40"/>
  <c r="IG110" i="40" s="1"/>
  <c r="IB105" i="40"/>
  <c r="IG105" i="40" s="1"/>
  <c r="IB112" i="40"/>
  <c r="IG112" i="40" s="1"/>
  <c r="IB113" i="40"/>
  <c r="IG113" i="40" s="1"/>
  <c r="KO147" i="40"/>
  <c r="IB148" i="40"/>
  <c r="B467" i="40"/>
  <c r="A466" i="40"/>
  <c r="HZ651" i="40"/>
  <c r="IY651" i="40" s="1"/>
  <c r="IZ651" i="40"/>
  <c r="IP151" i="40"/>
  <c r="JB151" i="40" s="1"/>
  <c r="AM151" i="40"/>
  <c r="HM151" i="40"/>
  <c r="C153" i="40"/>
  <c r="A152" i="40"/>
  <c r="AX152" i="40"/>
  <c r="BC152" i="40"/>
  <c r="BG152" i="40"/>
  <c r="BK152" i="40"/>
  <c r="BO152" i="40"/>
  <c r="BS152" i="40"/>
  <c r="BW152" i="40"/>
  <c r="CA152" i="40"/>
  <c r="CE152" i="40"/>
  <c r="DT152" i="40"/>
  <c r="IJ152" i="40"/>
  <c r="IM152" i="40" s="1"/>
  <c r="AZ152" i="40"/>
  <c r="BD152" i="40"/>
  <c r="JF152" i="40"/>
  <c r="HN152" i="40" s="1"/>
  <c r="II152" i="40"/>
  <c r="IL152" i="40" s="1"/>
  <c r="BA152" i="40"/>
  <c r="BE152" i="40"/>
  <c r="BI152" i="40"/>
  <c r="BM152" i="40"/>
  <c r="BQ152" i="40"/>
  <c r="BU152" i="40"/>
  <c r="BY152" i="40"/>
  <c r="CC152" i="40"/>
  <c r="CG152" i="40"/>
  <c r="DM152" i="40"/>
  <c r="DV152" i="40"/>
  <c r="BF152" i="40"/>
  <c r="BN152" i="40"/>
  <c r="BV152" i="40"/>
  <c r="CD152" i="40"/>
  <c r="DS152" i="40"/>
  <c r="IK152" i="40"/>
  <c r="IN152" i="40" s="1"/>
  <c r="BH152" i="40"/>
  <c r="BP152" i="40"/>
  <c r="BX152" i="40"/>
  <c r="CF152" i="40"/>
  <c r="DU152" i="40"/>
  <c r="BJ152" i="40"/>
  <c r="BZ152" i="40"/>
  <c r="DW152" i="40"/>
  <c r="BL152" i="40"/>
  <c r="CB152" i="40"/>
  <c r="AW152" i="40"/>
  <c r="BR152" i="40"/>
  <c r="CH152" i="40"/>
  <c r="BB152" i="40"/>
  <c r="BT152" i="40"/>
  <c r="JO152" i="40"/>
  <c r="IY152" i="40"/>
  <c r="IZ152" i="40"/>
  <c r="IX152" i="40"/>
  <c r="IA152" i="40"/>
  <c r="IA652" i="40" s="1"/>
  <c r="HY152" i="40"/>
  <c r="HY652" i="40" s="1"/>
  <c r="HZ152" i="40"/>
  <c r="JP152" i="40"/>
  <c r="JG152" i="40"/>
  <c r="IB146" i="40"/>
  <c r="IG146" i="40" s="1"/>
  <c r="IB138" i="40"/>
  <c r="IB134" i="40"/>
  <c r="IB132" i="40"/>
  <c r="IB127" i="40"/>
  <c r="IB125" i="40"/>
  <c r="IB122" i="40"/>
  <c r="IB119" i="40"/>
  <c r="IB104" i="40"/>
  <c r="IB111" i="40"/>
  <c r="IG111" i="40" s="1"/>
  <c r="IB109" i="40"/>
  <c r="IG109" i="40" s="1"/>
  <c r="IB108" i="40"/>
  <c r="IG108" i="40" s="1"/>
  <c r="D257" i="40" l="1"/>
  <c r="D465" i="40"/>
  <c r="D151" i="40"/>
  <c r="AY151" i="40" s="1"/>
  <c r="HV151" i="40"/>
  <c r="HW151" i="40"/>
  <c r="IC151" i="40" s="1"/>
  <c r="AP258" i="40"/>
  <c r="IO152" i="40"/>
  <c r="JA152" i="40" s="1"/>
  <c r="AP466" i="40"/>
  <c r="IQ152" i="40"/>
  <c r="JC152" i="40" s="1"/>
  <c r="HV152" i="40"/>
  <c r="AP152" i="40"/>
  <c r="IB150" i="40"/>
  <c r="IF150" i="40" s="1"/>
  <c r="ID151" i="40"/>
  <c r="KK147" i="40"/>
  <c r="W38" i="58"/>
  <c r="K15" i="44"/>
  <c r="P15" i="44" s="1"/>
  <c r="KK110" i="40"/>
  <c r="K8" i="44"/>
  <c r="P8" i="44" s="1"/>
  <c r="KK103" i="40"/>
  <c r="K13" i="44"/>
  <c r="P13" i="44" s="1"/>
  <c r="KK108" i="40"/>
  <c r="K16" i="44"/>
  <c r="P16" i="44" s="1"/>
  <c r="KK111" i="40"/>
  <c r="IG104" i="40"/>
  <c r="IF104" i="40"/>
  <c r="IE104" i="40"/>
  <c r="IG122" i="40"/>
  <c r="IE122" i="40"/>
  <c r="IF122" i="40"/>
  <c r="IE127" i="40"/>
  <c r="IF127" i="40"/>
  <c r="IE134" i="40"/>
  <c r="IF134" i="40"/>
  <c r="IE138" i="40"/>
  <c r="IF138" i="40"/>
  <c r="IE146" i="40"/>
  <c r="IF146" i="40"/>
  <c r="AL152" i="40"/>
  <c r="AK152" i="40"/>
  <c r="AN152" i="40"/>
  <c r="IZ652" i="40"/>
  <c r="HS152" i="40"/>
  <c r="HM152" i="40"/>
  <c r="HP151" i="40"/>
  <c r="K33" i="44"/>
  <c r="P33" i="44" s="1"/>
  <c r="KK128" i="40"/>
  <c r="IF142" i="40"/>
  <c r="IE142" i="40"/>
  <c r="IF115" i="40"/>
  <c r="IE115" i="40"/>
  <c r="K21" i="44"/>
  <c r="P21" i="44" s="1"/>
  <c r="KK116" i="40"/>
  <c r="IE118" i="40"/>
  <c r="IF118" i="40"/>
  <c r="IE124" i="40"/>
  <c r="IF124" i="40"/>
  <c r="IE140" i="40"/>
  <c r="IF140" i="40"/>
  <c r="IE147" i="40"/>
  <c r="IF147" i="40"/>
  <c r="JI151" i="40"/>
  <c r="IF102" i="40"/>
  <c r="IE102" i="40"/>
  <c r="K6" i="44"/>
  <c r="P6" i="44" s="1"/>
  <c r="K7" i="61"/>
  <c r="AR7" i="61" s="1"/>
  <c r="X7" i="61" s="1"/>
  <c r="K12" i="44"/>
  <c r="P12" i="44" s="1"/>
  <c r="KK107" i="40"/>
  <c r="K28" i="44"/>
  <c r="P28" i="44" s="1"/>
  <c r="KK123" i="40"/>
  <c r="IE137" i="40"/>
  <c r="IF137" i="40"/>
  <c r="AM258" i="40"/>
  <c r="D258" i="40" s="1"/>
  <c r="K14" i="44"/>
  <c r="P14" i="44" s="1"/>
  <c r="KK109" i="40"/>
  <c r="HU152" i="40"/>
  <c r="AN466" i="40"/>
  <c r="AM466" i="40"/>
  <c r="KK113" i="40"/>
  <c r="K18" i="44"/>
  <c r="IE110" i="40"/>
  <c r="IF110" i="40"/>
  <c r="IF139" i="40"/>
  <c r="IE139" i="40"/>
  <c r="K48" i="44"/>
  <c r="P48" i="44" s="1"/>
  <c r="KK143" i="40"/>
  <c r="IF103" i="40"/>
  <c r="IE103" i="40"/>
  <c r="IF126" i="40"/>
  <c r="IE126" i="40"/>
  <c r="K22" i="44"/>
  <c r="W48" i="58"/>
  <c r="KK117" i="40"/>
  <c r="IF133" i="40"/>
  <c r="IE133" i="40"/>
  <c r="K42" i="44"/>
  <c r="P42" i="44" s="1"/>
  <c r="KK137" i="40"/>
  <c r="K46" i="44"/>
  <c r="P46" i="44" s="1"/>
  <c r="KK141" i="40"/>
  <c r="K49" i="44"/>
  <c r="P49" i="44" s="1"/>
  <c r="KK144" i="40"/>
  <c r="AN258" i="40"/>
  <c r="C260" i="40"/>
  <c r="AW259" i="40"/>
  <c r="BB259" i="40"/>
  <c r="BF259" i="40"/>
  <c r="BJ259" i="40"/>
  <c r="BN259" i="40"/>
  <c r="BR259" i="40"/>
  <c r="BV259" i="40"/>
  <c r="BZ259" i="40"/>
  <c r="CD259" i="40"/>
  <c r="CH259" i="40"/>
  <c r="DT259" i="40"/>
  <c r="A259" i="40"/>
  <c r="AX259" i="40"/>
  <c r="BC259" i="40"/>
  <c r="BG259" i="40"/>
  <c r="BK259" i="40"/>
  <c r="BO259" i="40"/>
  <c r="BS259" i="40"/>
  <c r="BW259" i="40"/>
  <c r="CA259" i="40"/>
  <c r="CE259" i="40"/>
  <c r="DU259" i="40"/>
  <c r="AZ259" i="40"/>
  <c r="BD259" i="40"/>
  <c r="BH259" i="40"/>
  <c r="BL259" i="40"/>
  <c r="BP259" i="40"/>
  <c r="BT259" i="40"/>
  <c r="BX259" i="40"/>
  <c r="CB259" i="40"/>
  <c r="CF259" i="40"/>
  <c r="DM259" i="40"/>
  <c r="DV259" i="40"/>
  <c r="BI259" i="40"/>
  <c r="BY259" i="40"/>
  <c r="DW259" i="40"/>
  <c r="BM259" i="40"/>
  <c r="CC259" i="40"/>
  <c r="BA259" i="40"/>
  <c r="BQ259" i="40"/>
  <c r="CG259" i="40"/>
  <c r="JO259" i="40"/>
  <c r="BE259" i="40"/>
  <c r="DS259" i="40"/>
  <c r="BU259" i="40"/>
  <c r="HZ259" i="40"/>
  <c r="HY259" i="40"/>
  <c r="JP259" i="40"/>
  <c r="IA259" i="40"/>
  <c r="IX259" i="40"/>
  <c r="IZ259" i="40"/>
  <c r="IY259" i="40"/>
  <c r="IE119" i="40"/>
  <c r="IF119" i="40"/>
  <c r="HQ152" i="40"/>
  <c r="AM152" i="40"/>
  <c r="HT152" i="40"/>
  <c r="AO466" i="40"/>
  <c r="KK112" i="40"/>
  <c r="K17" i="44"/>
  <c r="K10" i="44"/>
  <c r="P10" i="44" s="1"/>
  <c r="KK105" i="40"/>
  <c r="K25" i="44"/>
  <c r="P25" i="44" s="1"/>
  <c r="KK120" i="40"/>
  <c r="IE131" i="40"/>
  <c r="IF131" i="40"/>
  <c r="IF135" i="40"/>
  <c r="IE135" i="40"/>
  <c r="IG139" i="40"/>
  <c r="K47" i="44"/>
  <c r="P47" i="44" s="1"/>
  <c r="KK142" i="40"/>
  <c r="IE143" i="40"/>
  <c r="IF143" i="40"/>
  <c r="K19" i="44"/>
  <c r="P19" i="44" s="1"/>
  <c r="KK114" i="40"/>
  <c r="IF116" i="40"/>
  <c r="IE116" i="40"/>
  <c r="K34" i="44"/>
  <c r="P34" i="44" s="1"/>
  <c r="KK129" i="40"/>
  <c r="K41" i="44"/>
  <c r="P41" i="44" s="1"/>
  <c r="KK136" i="40"/>
  <c r="IE149" i="40"/>
  <c r="K11" i="44"/>
  <c r="P11" i="44" s="1"/>
  <c r="KK106" i="40"/>
  <c r="IF101" i="40"/>
  <c r="IE101" i="40"/>
  <c r="IE107" i="40"/>
  <c r="IF107" i="40"/>
  <c r="IE117" i="40"/>
  <c r="IF117" i="40"/>
  <c r="K26" i="44"/>
  <c r="P26" i="44" s="1"/>
  <c r="KK121" i="40"/>
  <c r="IE123" i="40"/>
  <c r="IF123" i="40"/>
  <c r="IE144" i="40"/>
  <c r="IF144" i="40"/>
  <c r="K50" i="44"/>
  <c r="P50" i="44" s="1"/>
  <c r="KK145" i="40"/>
  <c r="JJ150" i="40"/>
  <c r="JK150" i="40" s="1"/>
  <c r="JL150" i="40" s="1"/>
  <c r="KO148" i="40"/>
  <c r="IF108" i="40"/>
  <c r="IE108" i="40"/>
  <c r="IE132" i="40"/>
  <c r="IF132" i="40"/>
  <c r="K51" i="44"/>
  <c r="P51" i="44" s="1"/>
  <c r="KK146" i="40"/>
  <c r="HO152" i="40"/>
  <c r="IF109" i="40"/>
  <c r="IE109" i="40"/>
  <c r="IF111" i="40"/>
  <c r="IE111" i="40"/>
  <c r="IG119" i="40"/>
  <c r="IF125" i="40"/>
  <c r="KJ125" i="40" s="1"/>
  <c r="IE125" i="40"/>
  <c r="IG127" i="40"/>
  <c r="IG134" i="40"/>
  <c r="IG125" i="40"/>
  <c r="IG132" i="40"/>
  <c r="IG138" i="40"/>
  <c r="HZ652" i="40"/>
  <c r="IY652" i="40" s="1"/>
  <c r="AO152" i="40"/>
  <c r="IX652" i="40"/>
  <c r="IP152" i="40"/>
  <c r="JB152" i="40" s="1"/>
  <c r="C154" i="40"/>
  <c r="A153" i="40"/>
  <c r="AZ153" i="40"/>
  <c r="BD153" i="40"/>
  <c r="BH153" i="40"/>
  <c r="BL153" i="40"/>
  <c r="BP153" i="40"/>
  <c r="BT153" i="40"/>
  <c r="BX153" i="40"/>
  <c r="CB153" i="40"/>
  <c r="CF153" i="40"/>
  <c r="DT153" i="40"/>
  <c r="JF153" i="40"/>
  <c r="HM153" i="40" s="1"/>
  <c r="II153" i="40"/>
  <c r="IL153" i="40" s="1"/>
  <c r="AW153" i="40"/>
  <c r="BB153" i="40"/>
  <c r="BF153" i="40"/>
  <c r="BJ153" i="40"/>
  <c r="BN153" i="40"/>
  <c r="BR153" i="40"/>
  <c r="BV153" i="40"/>
  <c r="BZ153" i="40"/>
  <c r="CD153" i="40"/>
  <c r="CH153" i="40"/>
  <c r="DM153" i="40"/>
  <c r="DV153" i="40"/>
  <c r="IK153" i="40"/>
  <c r="IN153" i="40" s="1"/>
  <c r="BC153" i="40"/>
  <c r="BK153" i="40"/>
  <c r="BS153" i="40"/>
  <c r="CA153" i="40"/>
  <c r="DW153" i="40"/>
  <c r="BE153" i="40"/>
  <c r="BM153" i="40"/>
  <c r="BU153" i="40"/>
  <c r="CC153" i="40"/>
  <c r="AX153" i="40"/>
  <c r="BO153" i="40"/>
  <c r="CE153" i="40"/>
  <c r="BA153" i="40"/>
  <c r="BQ153" i="40"/>
  <c r="CG153" i="40"/>
  <c r="BG153" i="40"/>
  <c r="BW153" i="40"/>
  <c r="DS153" i="40"/>
  <c r="BY153" i="40"/>
  <c r="DU153" i="40"/>
  <c r="IJ153" i="40"/>
  <c r="IM153" i="40" s="1"/>
  <c r="BI153" i="40"/>
  <c r="IZ153" i="40"/>
  <c r="IX153" i="40"/>
  <c r="JO153" i="40"/>
  <c r="IY153" i="40"/>
  <c r="IA153" i="40"/>
  <c r="IA653" i="40" s="1"/>
  <c r="HZ153" i="40"/>
  <c r="HY153" i="40"/>
  <c r="HY653" i="40" s="1"/>
  <c r="JP153" i="40"/>
  <c r="JG153" i="40"/>
  <c r="B468" i="40"/>
  <c r="A467" i="40"/>
  <c r="IE148" i="40"/>
  <c r="IF148" i="40"/>
  <c r="KJ148" i="40" s="1"/>
  <c r="IF113" i="40"/>
  <c r="IE113" i="40"/>
  <c r="IE112" i="40"/>
  <c r="IF112" i="40"/>
  <c r="IF105" i="40"/>
  <c r="IE105" i="40"/>
  <c r="IE120" i="40"/>
  <c r="IF120" i="40"/>
  <c r="IE128" i="40"/>
  <c r="IF128" i="40"/>
  <c r="IG131" i="40"/>
  <c r="IF114" i="40"/>
  <c r="IE114" i="40"/>
  <c r="IG115" i="40"/>
  <c r="IG118" i="40"/>
  <c r="IG124" i="40"/>
  <c r="IG126" i="40"/>
  <c r="IE129" i="40"/>
  <c r="IF129" i="40"/>
  <c r="IE136" i="40"/>
  <c r="IF136" i="40"/>
  <c r="IG140" i="40"/>
  <c r="JM149" i="40"/>
  <c r="IF149" i="40"/>
  <c r="IG102" i="40"/>
  <c r="IF106" i="40"/>
  <c r="IE106" i="40"/>
  <c r="IF121" i="40"/>
  <c r="IE121" i="40"/>
  <c r="IG130" i="40"/>
  <c r="IE130" i="40"/>
  <c r="IF130" i="40"/>
  <c r="IG133" i="40"/>
  <c r="IF141" i="40"/>
  <c r="IE141" i="40"/>
  <c r="IE145" i="40"/>
  <c r="IF145" i="40"/>
  <c r="IG148" i="40"/>
  <c r="K53" i="44" s="1"/>
  <c r="P53" i="44" s="1"/>
  <c r="AO258" i="40"/>
  <c r="D152" i="40" l="1"/>
  <c r="D466" i="40"/>
  <c r="HX152" i="40"/>
  <c r="HW152" i="40"/>
  <c r="IC152" i="40" s="1"/>
  <c r="JJ151" i="40"/>
  <c r="AY152" i="40"/>
  <c r="IE150" i="40"/>
  <c r="IG150" i="40"/>
  <c r="W36" i="58" s="1"/>
  <c r="HX153" i="40"/>
  <c r="AP259" i="40"/>
  <c r="IZ653" i="40"/>
  <c r="IQ153" i="40"/>
  <c r="JC153" i="40" s="1"/>
  <c r="IO153" i="40"/>
  <c r="JA153" i="40" s="1"/>
  <c r="AP153" i="40"/>
  <c r="AQ149" i="40"/>
  <c r="HP153" i="40"/>
  <c r="J26" i="44"/>
  <c r="AQ121" i="40"/>
  <c r="KJ121" i="40"/>
  <c r="AQ128" i="40"/>
  <c r="KJ128" i="40"/>
  <c r="KJ105" i="40"/>
  <c r="AQ105" i="40"/>
  <c r="J10" i="44"/>
  <c r="AK153" i="40"/>
  <c r="AL153" i="40"/>
  <c r="AQ145" i="40"/>
  <c r="KJ145" i="40"/>
  <c r="KJ149" i="40"/>
  <c r="KK149" i="40"/>
  <c r="KI149" i="40"/>
  <c r="KO149" i="40"/>
  <c r="K23" i="44"/>
  <c r="P23" i="44" s="1"/>
  <c r="KK118" i="40"/>
  <c r="JD114" i="40"/>
  <c r="KP114" i="40"/>
  <c r="I19" i="44"/>
  <c r="KI114" i="40"/>
  <c r="AO153" i="40"/>
  <c r="HO153" i="40"/>
  <c r="HR153" i="40" s="1"/>
  <c r="K37" i="44"/>
  <c r="P37" i="44" s="1"/>
  <c r="KK132" i="40"/>
  <c r="K24" i="44"/>
  <c r="P24" i="44" s="1"/>
  <c r="KK119" i="40"/>
  <c r="HR152" i="40"/>
  <c r="KJ108" i="40"/>
  <c r="AQ108" i="40"/>
  <c r="J13" i="44"/>
  <c r="KK148" i="40"/>
  <c r="AQ144" i="40"/>
  <c r="KJ144" i="40"/>
  <c r="J22" i="44"/>
  <c r="AQ117" i="40"/>
  <c r="V48" i="58"/>
  <c r="KJ117" i="40"/>
  <c r="KJ107" i="40"/>
  <c r="AQ107" i="40"/>
  <c r="J12" i="44"/>
  <c r="AQ101" i="40"/>
  <c r="J6" i="44"/>
  <c r="J7" i="61"/>
  <c r="AQ7" i="61" s="1"/>
  <c r="W7" i="61" s="1"/>
  <c r="JD149" i="40"/>
  <c r="KP149" i="40"/>
  <c r="JM150" i="40"/>
  <c r="AQ131" i="40"/>
  <c r="KJ131" i="40"/>
  <c r="AQ126" i="40"/>
  <c r="KJ126" i="40"/>
  <c r="AQ110" i="40"/>
  <c r="V38" i="58"/>
  <c r="KJ110" i="40"/>
  <c r="J15" i="44"/>
  <c r="KJ147" i="40"/>
  <c r="AQ147" i="40"/>
  <c r="JD124" i="40"/>
  <c r="KP124" i="40"/>
  <c r="KI124" i="40"/>
  <c r="JD118" i="40"/>
  <c r="KP118" i="40"/>
  <c r="I23" i="44"/>
  <c r="KI118" i="40"/>
  <c r="JD142" i="40"/>
  <c r="KP142" i="40"/>
  <c r="KI142" i="40"/>
  <c r="JI152" i="40"/>
  <c r="AQ138" i="40"/>
  <c r="KJ138" i="40"/>
  <c r="AQ134" i="40"/>
  <c r="KJ134" i="40"/>
  <c r="AQ127" i="40"/>
  <c r="KJ127" i="40"/>
  <c r="KI122" i="40"/>
  <c r="JD122" i="40"/>
  <c r="I27" i="44"/>
  <c r="KP122" i="40"/>
  <c r="I9" i="44"/>
  <c r="KI104" i="40"/>
  <c r="JD104" i="40"/>
  <c r="KP104" i="40"/>
  <c r="JD130" i="40"/>
  <c r="KP130" i="40"/>
  <c r="KI130" i="40"/>
  <c r="J11" i="44"/>
  <c r="KJ106" i="40"/>
  <c r="AQ106" i="40"/>
  <c r="AQ130" i="40"/>
  <c r="KJ130" i="40"/>
  <c r="K7" i="44"/>
  <c r="P7" i="44" s="1"/>
  <c r="AU17" i="58"/>
  <c r="AU17" i="62"/>
  <c r="W33" i="58"/>
  <c r="U33" i="62"/>
  <c r="KK102" i="40"/>
  <c r="JD129" i="40"/>
  <c r="KP129" i="40"/>
  <c r="KI129" i="40"/>
  <c r="JD120" i="40"/>
  <c r="KP120" i="40"/>
  <c r="I25" i="44"/>
  <c r="KI120" i="40"/>
  <c r="I18" i="44"/>
  <c r="KI113" i="40"/>
  <c r="KP113" i="40"/>
  <c r="JD113" i="40"/>
  <c r="JD141" i="40"/>
  <c r="KP141" i="40"/>
  <c r="KI141" i="40"/>
  <c r="JD128" i="40"/>
  <c r="KP128" i="40"/>
  <c r="KI128" i="40"/>
  <c r="AQ113" i="40"/>
  <c r="KJ113" i="40"/>
  <c r="J18" i="44"/>
  <c r="JD148" i="40"/>
  <c r="KP148" i="40"/>
  <c r="AO467" i="40"/>
  <c r="AM467" i="40"/>
  <c r="HN153" i="40"/>
  <c r="HT153" i="40"/>
  <c r="AM153" i="40"/>
  <c r="D153" i="40" s="1"/>
  <c r="AY153" i="40" s="1"/>
  <c r="K30" i="44"/>
  <c r="P30" i="44" s="1"/>
  <c r="KK125" i="40"/>
  <c r="KP111" i="40"/>
  <c r="I16" i="44"/>
  <c r="JD111" i="40"/>
  <c r="KI111" i="40"/>
  <c r="JD109" i="40"/>
  <c r="KP109" i="40"/>
  <c r="I14" i="44"/>
  <c r="KI109" i="40"/>
  <c r="JD123" i="40"/>
  <c r="KP123" i="40"/>
  <c r="I28" i="44"/>
  <c r="KI123" i="40"/>
  <c r="KI107" i="40"/>
  <c r="JD107" i="40"/>
  <c r="KP107" i="40"/>
  <c r="I12" i="44"/>
  <c r="I21" i="44"/>
  <c r="JD116" i="40"/>
  <c r="KP116" i="40"/>
  <c r="KI116" i="40"/>
  <c r="AO259" i="40"/>
  <c r="JD133" i="40"/>
  <c r="KP133" i="40"/>
  <c r="KI133" i="40"/>
  <c r="S48" i="58"/>
  <c r="JD139" i="40"/>
  <c r="KP139" i="40"/>
  <c r="KI139" i="40"/>
  <c r="AS17" i="58"/>
  <c r="KP102" i="40"/>
  <c r="AS17" i="62"/>
  <c r="JD102" i="40"/>
  <c r="I7" i="44"/>
  <c r="U33" i="58"/>
  <c r="W33" i="62"/>
  <c r="KI102" i="40"/>
  <c r="JD140" i="40"/>
  <c r="KP140" i="40"/>
  <c r="KI140" i="40"/>
  <c r="AQ142" i="40"/>
  <c r="KJ142" i="40"/>
  <c r="JH151" i="40"/>
  <c r="IB151" i="40"/>
  <c r="AQ146" i="40"/>
  <c r="KJ146" i="40"/>
  <c r="AQ104" i="40"/>
  <c r="J9" i="44"/>
  <c r="KJ104" i="40"/>
  <c r="S38" i="58"/>
  <c r="AA38" i="58" s="1"/>
  <c r="K38" i="44"/>
  <c r="P38" i="44" s="1"/>
  <c r="KK133" i="40"/>
  <c r="AN467" i="40"/>
  <c r="HZ653" i="40"/>
  <c r="IY653" i="40" s="1"/>
  <c r="K35" i="44"/>
  <c r="P35" i="44" s="1"/>
  <c r="KK130" i="40"/>
  <c r="JD136" i="40"/>
  <c r="KP136" i="40"/>
  <c r="KI136" i="40"/>
  <c r="J17" i="44"/>
  <c r="KJ112" i="40"/>
  <c r="AQ112" i="40"/>
  <c r="AP467" i="40"/>
  <c r="K45" i="44"/>
  <c r="P45" i="44" s="1"/>
  <c r="KK140" i="40"/>
  <c r="K20" i="44"/>
  <c r="P20" i="44" s="1"/>
  <c r="KK115" i="40"/>
  <c r="J19" i="44"/>
  <c r="AQ114" i="40"/>
  <c r="KJ114" i="40"/>
  <c r="JD145" i="40"/>
  <c r="KP145" i="40"/>
  <c r="KI145" i="40"/>
  <c r="AQ141" i="40"/>
  <c r="KJ141" i="40"/>
  <c r="JD121" i="40"/>
  <c r="I26" i="44"/>
  <c r="KP121" i="40"/>
  <c r="KI121" i="40"/>
  <c r="KP106" i="40"/>
  <c r="I11" i="44"/>
  <c r="JD106" i="40"/>
  <c r="KI106" i="40"/>
  <c r="AQ136" i="40"/>
  <c r="KJ136" i="40"/>
  <c r="AQ129" i="40"/>
  <c r="KJ129" i="40"/>
  <c r="K31" i="44"/>
  <c r="P31" i="44" s="1"/>
  <c r="KK126" i="40"/>
  <c r="K36" i="44"/>
  <c r="P36" i="44" s="1"/>
  <c r="KK131" i="40"/>
  <c r="AQ120" i="40"/>
  <c r="J25" i="44"/>
  <c r="KJ120" i="40"/>
  <c r="JD105" i="40"/>
  <c r="I10" i="44"/>
  <c r="KI105" i="40"/>
  <c r="KP105" i="40"/>
  <c r="KI112" i="40"/>
  <c r="I17" i="44"/>
  <c r="JD112" i="40"/>
  <c r="KP112" i="40"/>
  <c r="AQ148" i="40"/>
  <c r="B469" i="40"/>
  <c r="A468" i="40"/>
  <c r="AN153" i="40"/>
  <c r="IX653" i="40"/>
  <c r="K39" i="44"/>
  <c r="P39" i="44" s="1"/>
  <c r="KK134" i="40"/>
  <c r="AQ125" i="40"/>
  <c r="JD125" i="40"/>
  <c r="KP125" i="40"/>
  <c r="KI125" i="40"/>
  <c r="J16" i="44"/>
  <c r="AQ111" i="40"/>
  <c r="KJ111" i="40"/>
  <c r="JD132" i="40"/>
  <c r="KP132" i="40"/>
  <c r="KI132" i="40"/>
  <c r="KI148" i="40"/>
  <c r="JD144" i="40"/>
  <c r="KP144" i="40"/>
  <c r="KI144" i="40"/>
  <c r="KP117" i="40"/>
  <c r="I22" i="44"/>
  <c r="U48" i="58"/>
  <c r="JD117" i="40"/>
  <c r="KI117" i="40"/>
  <c r="J21" i="44"/>
  <c r="AQ116" i="40"/>
  <c r="KJ116" i="40"/>
  <c r="AQ143" i="40"/>
  <c r="KJ143" i="40"/>
  <c r="JD135" i="40"/>
  <c r="KP135" i="40"/>
  <c r="KI135" i="40"/>
  <c r="JD131" i="40"/>
  <c r="KP131" i="40"/>
  <c r="KI131" i="40"/>
  <c r="AQ119" i="40"/>
  <c r="J24" i="44"/>
  <c r="KJ119" i="40"/>
  <c r="AN259" i="40"/>
  <c r="JD126" i="40"/>
  <c r="KP126" i="40"/>
  <c r="KI126" i="40"/>
  <c r="I8" i="44"/>
  <c r="KI103" i="40"/>
  <c r="JD103" i="40"/>
  <c r="KP103" i="40"/>
  <c r="AQ139" i="40"/>
  <c r="KJ139" i="40"/>
  <c r="KI110" i="40"/>
  <c r="KP110" i="40"/>
  <c r="JD110" i="40"/>
  <c r="U38" i="58"/>
  <c r="I15" i="44"/>
  <c r="JD137" i="40"/>
  <c r="KP137" i="40"/>
  <c r="KI137" i="40"/>
  <c r="J7" i="44"/>
  <c r="V33" i="62"/>
  <c r="AQ102" i="40"/>
  <c r="O33" i="62" s="1"/>
  <c r="AT17" i="62"/>
  <c r="V33" i="58"/>
  <c r="AT17" i="58"/>
  <c r="KJ102" i="40"/>
  <c r="KI147" i="40"/>
  <c r="JD147" i="40"/>
  <c r="KP147" i="40"/>
  <c r="J23" i="44"/>
  <c r="AQ118" i="40"/>
  <c r="KJ118" i="40"/>
  <c r="KP115" i="40"/>
  <c r="KI115" i="40"/>
  <c r="JD115" i="40"/>
  <c r="I20" i="44"/>
  <c r="HP152" i="40"/>
  <c r="JD146" i="40"/>
  <c r="KP146" i="40"/>
  <c r="KI146" i="40"/>
  <c r="JD127" i="40"/>
  <c r="KP127" i="40"/>
  <c r="KI127" i="40"/>
  <c r="K27" i="44"/>
  <c r="P27" i="44" s="1"/>
  <c r="KK122" i="40"/>
  <c r="K29" i="44"/>
  <c r="P29" i="44" s="1"/>
  <c r="KK124" i="40"/>
  <c r="HU153" i="40"/>
  <c r="HS153" i="40"/>
  <c r="IP153" i="40"/>
  <c r="JB153" i="40" s="1"/>
  <c r="C155" i="40"/>
  <c r="A154" i="40"/>
  <c r="AZ154" i="40"/>
  <c r="BD154" i="40"/>
  <c r="BH154" i="40"/>
  <c r="BL154" i="40"/>
  <c r="BP154" i="40"/>
  <c r="BT154" i="40"/>
  <c r="BX154" i="40"/>
  <c r="CB154" i="40"/>
  <c r="CF154" i="40"/>
  <c r="DT154" i="40"/>
  <c r="JF154" i="40"/>
  <c r="HN154" i="40" s="1"/>
  <c r="HQ154" i="40" s="1"/>
  <c r="II154" i="40"/>
  <c r="IL154" i="40" s="1"/>
  <c r="AW154" i="40"/>
  <c r="BB154" i="40"/>
  <c r="BF154" i="40"/>
  <c r="BJ154" i="40"/>
  <c r="BN154" i="40"/>
  <c r="BR154" i="40"/>
  <c r="BV154" i="40"/>
  <c r="BZ154" i="40"/>
  <c r="CD154" i="40"/>
  <c r="CH154" i="40"/>
  <c r="DM154" i="40"/>
  <c r="DV154" i="40"/>
  <c r="AX154" i="40"/>
  <c r="BG154" i="40"/>
  <c r="BO154" i="40"/>
  <c r="BW154" i="40"/>
  <c r="CE154" i="40"/>
  <c r="DS154" i="40"/>
  <c r="IO154" i="40"/>
  <c r="IJ154" i="40"/>
  <c r="IM154" i="40" s="1"/>
  <c r="BA154" i="40"/>
  <c r="BI154" i="40"/>
  <c r="BQ154" i="40"/>
  <c r="BY154" i="40"/>
  <c r="CG154" i="40"/>
  <c r="DU154" i="40"/>
  <c r="BC154" i="40"/>
  <c r="BS154" i="40"/>
  <c r="BE154" i="40"/>
  <c r="BU154" i="40"/>
  <c r="IK154" i="40"/>
  <c r="IN154" i="40" s="1"/>
  <c r="BK154" i="40"/>
  <c r="CA154" i="40"/>
  <c r="DW154" i="40"/>
  <c r="BM154" i="40"/>
  <c r="CC154" i="40"/>
  <c r="IQ154" i="40"/>
  <c r="IZ154" i="40"/>
  <c r="IX154" i="40"/>
  <c r="JO154" i="40"/>
  <c r="IY154" i="40"/>
  <c r="IA154" i="40"/>
  <c r="IA654" i="40" s="1"/>
  <c r="HY154" i="40"/>
  <c r="HY654" i="40" s="1"/>
  <c r="HZ154" i="40"/>
  <c r="JP154" i="40"/>
  <c r="JG154" i="40"/>
  <c r="K43" i="44"/>
  <c r="P43" i="44" s="1"/>
  <c r="KK138" i="40"/>
  <c r="K32" i="44"/>
  <c r="P32" i="44" s="1"/>
  <c r="KK127" i="40"/>
  <c r="J14" i="44"/>
  <c r="KJ109" i="40"/>
  <c r="AQ109" i="40"/>
  <c r="AQ132" i="40"/>
  <c r="KJ132" i="40"/>
  <c r="KI108" i="40"/>
  <c r="I13" i="44"/>
  <c r="KP108" i="40"/>
  <c r="JD108" i="40"/>
  <c r="J28" i="44"/>
  <c r="AQ123" i="40"/>
  <c r="KJ123" i="40"/>
  <c r="KP101" i="40"/>
  <c r="I7" i="61"/>
  <c r="JD101" i="40"/>
  <c r="I6" i="44"/>
  <c r="JD143" i="40"/>
  <c r="KP143" i="40"/>
  <c r="KI143" i="40"/>
  <c r="K44" i="44"/>
  <c r="P44" i="44" s="1"/>
  <c r="KK139" i="40"/>
  <c r="AQ135" i="40"/>
  <c r="KJ135" i="40"/>
  <c r="I24" i="44"/>
  <c r="JD119" i="40"/>
  <c r="KP119" i="40"/>
  <c r="KI119" i="40"/>
  <c r="AM259" i="40"/>
  <c r="D259" i="40" s="1"/>
  <c r="C261" i="40"/>
  <c r="A260" i="40"/>
  <c r="AX260" i="40"/>
  <c r="BC260" i="40"/>
  <c r="BG260" i="40"/>
  <c r="BK260" i="40"/>
  <c r="BO260" i="40"/>
  <c r="BS260" i="40"/>
  <c r="BW260" i="40"/>
  <c r="CA260" i="40"/>
  <c r="CE260" i="40"/>
  <c r="DU260" i="40"/>
  <c r="AZ260" i="40"/>
  <c r="BD260" i="40"/>
  <c r="BH260" i="40"/>
  <c r="BL260" i="40"/>
  <c r="BP260" i="40"/>
  <c r="BT260" i="40"/>
  <c r="BX260" i="40"/>
  <c r="CB260" i="40"/>
  <c r="CF260" i="40"/>
  <c r="DM260" i="40"/>
  <c r="DV260" i="40"/>
  <c r="BA260" i="40"/>
  <c r="BE260" i="40"/>
  <c r="BI260" i="40"/>
  <c r="BM260" i="40"/>
  <c r="BQ260" i="40"/>
  <c r="BU260" i="40"/>
  <c r="BY260" i="40"/>
  <c r="CC260" i="40"/>
  <c r="CG260" i="40"/>
  <c r="DS260" i="40"/>
  <c r="DW260" i="40"/>
  <c r="BB260" i="40"/>
  <c r="BR260" i="40"/>
  <c r="CH260" i="40"/>
  <c r="BF260" i="40"/>
  <c r="BV260" i="40"/>
  <c r="DT260" i="40"/>
  <c r="JO260" i="40"/>
  <c r="BJ260" i="40"/>
  <c r="BZ260" i="40"/>
  <c r="AW260" i="40"/>
  <c r="BN260" i="40"/>
  <c r="CD260" i="40"/>
  <c r="IA260" i="40"/>
  <c r="JP260" i="40"/>
  <c r="HZ260" i="40"/>
  <c r="HY260" i="40"/>
  <c r="IZ260" i="40"/>
  <c r="IY260" i="40"/>
  <c r="IX260" i="40"/>
  <c r="AQ133" i="40"/>
  <c r="KJ133" i="40"/>
  <c r="AQ103" i="40"/>
  <c r="J8" i="44"/>
  <c r="KJ103" i="40"/>
  <c r="KL103" i="40" s="1"/>
  <c r="AQ137" i="40"/>
  <c r="KJ137" i="40"/>
  <c r="AQ140" i="40"/>
  <c r="KJ140" i="40"/>
  <c r="AQ124" i="40"/>
  <c r="KJ124" i="40"/>
  <c r="J20" i="44"/>
  <c r="KJ115" i="40"/>
  <c r="AQ115" i="40"/>
  <c r="JD138" i="40"/>
  <c r="KP138" i="40"/>
  <c r="KI138" i="40"/>
  <c r="JD134" i="40"/>
  <c r="KP134" i="40"/>
  <c r="KI134" i="40"/>
  <c r="AQ122" i="40"/>
  <c r="J27" i="44"/>
  <c r="KJ122" i="40"/>
  <c r="K9" i="44"/>
  <c r="P9" i="44" s="1"/>
  <c r="KK104" i="40"/>
  <c r="ID152" i="40" l="1"/>
  <c r="N28" i="44"/>
  <c r="HV153" i="40"/>
  <c r="JJ152" i="40"/>
  <c r="IZ654" i="40"/>
  <c r="JK151" i="40"/>
  <c r="JL151" i="40" s="1"/>
  <c r="O6" i="44"/>
  <c r="O13" i="44"/>
  <c r="KL105" i="40"/>
  <c r="AU13" i="62" s="1"/>
  <c r="N14" i="44"/>
  <c r="N25" i="44"/>
  <c r="O11" i="44"/>
  <c r="N19" i="44"/>
  <c r="AN39" i="58"/>
  <c r="W37" i="58"/>
  <c r="O24" i="44"/>
  <c r="KR137" i="40"/>
  <c r="KR135" i="40"/>
  <c r="KR140" i="40"/>
  <c r="KP150" i="40"/>
  <c r="JD150" i="40"/>
  <c r="JR150" i="40" s="1"/>
  <c r="AQ150" i="40"/>
  <c r="D467" i="40"/>
  <c r="KR101" i="40"/>
  <c r="HW153" i="40"/>
  <c r="KR108" i="40"/>
  <c r="KR138" i="40"/>
  <c r="KR134" i="40"/>
  <c r="KR119" i="40"/>
  <c r="KR143" i="40"/>
  <c r="KR115" i="40"/>
  <c r="KR147" i="40"/>
  <c r="KR117" i="40"/>
  <c r="KR125" i="40"/>
  <c r="KR146" i="40"/>
  <c r="KR110" i="40"/>
  <c r="AS16" i="62" s="1"/>
  <c r="KR103" i="40"/>
  <c r="E7" i="61" s="1"/>
  <c r="KR131" i="40"/>
  <c r="KR144" i="40"/>
  <c r="KR132" i="40"/>
  <c r="KR112" i="40"/>
  <c r="KR127" i="40"/>
  <c r="N23" i="44"/>
  <c r="O15" i="44"/>
  <c r="KR126" i="40"/>
  <c r="KR105" i="40"/>
  <c r="G7" i="61" s="1"/>
  <c r="O10" i="44"/>
  <c r="AN49" i="58"/>
  <c r="W39" i="58"/>
  <c r="W49" i="58"/>
  <c r="KR121" i="40"/>
  <c r="KR136" i="40"/>
  <c r="KR106" i="40"/>
  <c r="KR145" i="40"/>
  <c r="AP260" i="40"/>
  <c r="HX154" i="40"/>
  <c r="AP468" i="40"/>
  <c r="KR102" i="40"/>
  <c r="N20" i="44"/>
  <c r="N8" i="44"/>
  <c r="KR148" i="40"/>
  <c r="N16" i="44"/>
  <c r="O12" i="44"/>
  <c r="N27" i="44"/>
  <c r="HM154" i="40"/>
  <c r="HP154" i="40" s="1"/>
  <c r="N7" i="44"/>
  <c r="N21" i="44"/>
  <c r="KR116" i="40"/>
  <c r="O26" i="44"/>
  <c r="KR107" i="40"/>
  <c r="N9" i="44"/>
  <c r="HO154" i="40"/>
  <c r="HR154" i="40" s="1"/>
  <c r="KR139" i="40"/>
  <c r="O7" i="61"/>
  <c r="AF7" i="61" s="1"/>
  <c r="AJ7" i="61" s="1"/>
  <c r="AP7" i="61"/>
  <c r="V7" i="61" s="1"/>
  <c r="AL154" i="40"/>
  <c r="AK154" i="40"/>
  <c r="HW154" i="40"/>
  <c r="AN154" i="40"/>
  <c r="HT154" i="40"/>
  <c r="JA154" i="40"/>
  <c r="HV154" i="40"/>
  <c r="HS154" i="40"/>
  <c r="JH152" i="40"/>
  <c r="IB152" i="40"/>
  <c r="V61" i="58"/>
  <c r="V55" i="58"/>
  <c r="V63" i="58"/>
  <c r="V65" i="58"/>
  <c r="V51" i="58"/>
  <c r="V59" i="58"/>
  <c r="V53" i="58"/>
  <c r="V69" i="58"/>
  <c r="V71" i="58"/>
  <c r="V57" i="58"/>
  <c r="R33" i="58"/>
  <c r="V67" i="58"/>
  <c r="AM65" i="58"/>
  <c r="AM63" i="58"/>
  <c r="AM59" i="58"/>
  <c r="AM69" i="58"/>
  <c r="AM71" i="58"/>
  <c r="AM51" i="58"/>
  <c r="AM53" i="58"/>
  <c r="AM55" i="58"/>
  <c r="AM67" i="58"/>
  <c r="AM61" i="58"/>
  <c r="AM57" i="58"/>
  <c r="JT126" i="40"/>
  <c r="JX126" i="40" s="1"/>
  <c r="JR126" i="40"/>
  <c r="KQ126" i="40"/>
  <c r="KS126" i="40" s="1"/>
  <c r="JQ126" i="40"/>
  <c r="JU126" i="40" s="1"/>
  <c r="JV126" i="40" s="1"/>
  <c r="JW126" i="40" s="1"/>
  <c r="JS126" i="40"/>
  <c r="N24" i="44"/>
  <c r="JS135" i="40"/>
  <c r="JR135" i="40"/>
  <c r="JT135" i="40"/>
  <c r="JX135" i="40" s="1"/>
  <c r="KQ135" i="40"/>
  <c r="KS135" i="40" s="1"/>
  <c r="JQ135" i="40"/>
  <c r="JU135" i="40" s="1"/>
  <c r="JV135" i="40" s="1"/>
  <c r="JW135" i="40" s="1"/>
  <c r="KQ144" i="40"/>
  <c r="KS144" i="40" s="1"/>
  <c r="JT144" i="40"/>
  <c r="JX144" i="40" s="1"/>
  <c r="JR144" i="40"/>
  <c r="JQ144" i="40"/>
  <c r="JU144" i="40" s="1"/>
  <c r="JV144" i="40" s="1"/>
  <c r="JW144" i="40" s="1"/>
  <c r="JS144" i="40"/>
  <c r="JR112" i="40"/>
  <c r="KQ112" i="40"/>
  <c r="KS112" i="40" s="1"/>
  <c r="JQ112" i="40"/>
  <c r="JU112" i="40" s="1"/>
  <c r="G23" i="70"/>
  <c r="JT112" i="40"/>
  <c r="JX112" i="40" s="1"/>
  <c r="JS112" i="40"/>
  <c r="G12" i="70"/>
  <c r="W55" i="62"/>
  <c r="W57" i="62"/>
  <c r="W67" i="62"/>
  <c r="W51" i="62"/>
  <c r="W69" i="62"/>
  <c r="W65" i="62"/>
  <c r="W63" i="62"/>
  <c r="W61" i="62"/>
  <c r="W59" i="62"/>
  <c r="W53" i="62"/>
  <c r="W71" i="62"/>
  <c r="S33" i="62"/>
  <c r="AA33" i="62" s="1"/>
  <c r="AN61" i="62"/>
  <c r="AN65" i="62"/>
  <c r="AN63" i="62"/>
  <c r="AN51" i="62"/>
  <c r="AN69" i="62"/>
  <c r="AN59" i="62"/>
  <c r="AN67" i="62"/>
  <c r="AN71" i="62"/>
  <c r="AN55" i="62"/>
  <c r="AN57" i="62"/>
  <c r="AN53" i="62"/>
  <c r="AV17" i="62"/>
  <c r="JR133" i="40"/>
  <c r="JT133" i="40"/>
  <c r="JX133" i="40" s="1"/>
  <c r="KQ133" i="40"/>
  <c r="KS133" i="40" s="1"/>
  <c r="JQ133" i="40"/>
  <c r="JU133" i="40" s="1"/>
  <c r="JV133" i="40" s="1"/>
  <c r="JW133" i="40" s="1"/>
  <c r="JS133" i="40"/>
  <c r="O21" i="44"/>
  <c r="KQ123" i="40"/>
  <c r="KS123" i="40" s="1"/>
  <c r="JT123" i="40"/>
  <c r="JX123" i="40" s="1"/>
  <c r="JR123" i="40"/>
  <c r="JQ123" i="40"/>
  <c r="JU123" i="40" s="1"/>
  <c r="JV123" i="40" s="1"/>
  <c r="JW123" i="40" s="1"/>
  <c r="G34" i="70"/>
  <c r="JS123" i="40"/>
  <c r="JS109" i="40"/>
  <c r="JR109" i="40"/>
  <c r="KQ109" i="40"/>
  <c r="KS109" i="40" s="1"/>
  <c r="JQ109" i="40"/>
  <c r="JU109" i="40" s="1"/>
  <c r="JV109" i="40" s="1"/>
  <c r="JW109" i="40" s="1"/>
  <c r="G20" i="70"/>
  <c r="JT109" i="40"/>
  <c r="JX109" i="40" s="1"/>
  <c r="KR111" i="40"/>
  <c r="JR128" i="40"/>
  <c r="JT128" i="40"/>
  <c r="JX128" i="40" s="1"/>
  <c r="KQ128" i="40"/>
  <c r="KS128" i="40" s="1"/>
  <c r="JQ128" i="40"/>
  <c r="JU128" i="40" s="1"/>
  <c r="JV128" i="40" s="1"/>
  <c r="JW128" i="40" s="1"/>
  <c r="JS128" i="40"/>
  <c r="JT120" i="40"/>
  <c r="JX120" i="40" s="1"/>
  <c r="KQ120" i="40"/>
  <c r="KS120" i="40" s="1"/>
  <c r="JR120" i="40"/>
  <c r="G31" i="70"/>
  <c r="JQ120" i="40"/>
  <c r="JU120" i="40" s="1"/>
  <c r="JV120" i="40" s="1"/>
  <c r="JW120" i="40" s="1"/>
  <c r="JS120" i="40"/>
  <c r="KR130" i="40"/>
  <c r="KL104" i="40"/>
  <c r="KQ122" i="40"/>
  <c r="KS122" i="40" s="1"/>
  <c r="JT122" i="40"/>
  <c r="JX122" i="40" s="1"/>
  <c r="JR122" i="40"/>
  <c r="G33" i="70"/>
  <c r="JQ122" i="40"/>
  <c r="JU122" i="40" s="1"/>
  <c r="JV122" i="40" s="1"/>
  <c r="JW122" i="40" s="1"/>
  <c r="JS122" i="40"/>
  <c r="JT142" i="40"/>
  <c r="JX142" i="40" s="1"/>
  <c r="JR142" i="40"/>
  <c r="KQ142" i="40"/>
  <c r="KS142" i="40" s="1"/>
  <c r="JQ142" i="40"/>
  <c r="JU142" i="40" s="1"/>
  <c r="JV142" i="40" s="1"/>
  <c r="JW142" i="40" s="1"/>
  <c r="JS142" i="40"/>
  <c r="O23" i="44"/>
  <c r="KR124" i="40"/>
  <c r="ID153" i="40"/>
  <c r="N26" i="44"/>
  <c r="JR134" i="40"/>
  <c r="JT134" i="40"/>
  <c r="JX134" i="40" s="1"/>
  <c r="KQ134" i="40"/>
  <c r="KS134" i="40" s="1"/>
  <c r="JQ134" i="40"/>
  <c r="JU134" i="40" s="1"/>
  <c r="JV134" i="40" s="1"/>
  <c r="JW134" i="40" s="1"/>
  <c r="JS134" i="40"/>
  <c r="KQ143" i="40"/>
  <c r="KS143" i="40" s="1"/>
  <c r="JR143" i="40"/>
  <c r="JT143" i="40"/>
  <c r="JX143" i="40" s="1"/>
  <c r="JQ143" i="40"/>
  <c r="JU143" i="40" s="1"/>
  <c r="JV143" i="40" s="1"/>
  <c r="JW143" i="40" s="1"/>
  <c r="JS143" i="40"/>
  <c r="AP154" i="40"/>
  <c r="HZ654" i="40"/>
  <c r="IY654" i="40" s="1"/>
  <c r="KQ146" i="40"/>
  <c r="KS146" i="40" s="1"/>
  <c r="JT146" i="40"/>
  <c r="JX146" i="40" s="1"/>
  <c r="JR146" i="40"/>
  <c r="JQ146" i="40"/>
  <c r="JU146" i="40" s="1"/>
  <c r="JV146" i="40" s="1"/>
  <c r="JW146" i="40" s="1"/>
  <c r="JS146" i="40"/>
  <c r="JM151" i="40"/>
  <c r="AE40" i="58" s="1"/>
  <c r="O8" i="44"/>
  <c r="JR131" i="40"/>
  <c r="KQ131" i="40"/>
  <c r="KS131" i="40" s="1"/>
  <c r="JT131" i="40"/>
  <c r="JX131" i="40" s="1"/>
  <c r="JQ131" i="40"/>
  <c r="JU131" i="40" s="1"/>
  <c r="JV131" i="40" s="1"/>
  <c r="JW131" i="40" s="1"/>
  <c r="JS131" i="40"/>
  <c r="JT132" i="40"/>
  <c r="JX132" i="40" s="1"/>
  <c r="JR132" i="40"/>
  <c r="KQ132" i="40"/>
  <c r="KS132" i="40" s="1"/>
  <c r="JQ132" i="40"/>
  <c r="JU132" i="40" s="1"/>
  <c r="JV132" i="40" s="1"/>
  <c r="JW132" i="40" s="1"/>
  <c r="JS132" i="40"/>
  <c r="JR121" i="40"/>
  <c r="KQ121" i="40"/>
  <c r="KS121" i="40" s="1"/>
  <c r="JT121" i="40"/>
  <c r="JX121" i="40" s="1"/>
  <c r="G32" i="70"/>
  <c r="JQ121" i="40"/>
  <c r="JU121" i="40" s="1"/>
  <c r="JV121" i="40" s="1"/>
  <c r="JW121" i="40" s="1"/>
  <c r="JS121" i="40"/>
  <c r="U65" i="58"/>
  <c r="U67" i="58"/>
  <c r="U51" i="58"/>
  <c r="U53" i="58"/>
  <c r="U69" i="58"/>
  <c r="U63" i="58"/>
  <c r="U57" i="58"/>
  <c r="U71" i="58"/>
  <c r="U59" i="58"/>
  <c r="U61" i="58"/>
  <c r="Q33" i="58"/>
  <c r="U55" i="58"/>
  <c r="AL61" i="58"/>
  <c r="AL71" i="58"/>
  <c r="AL53" i="58"/>
  <c r="AL63" i="58"/>
  <c r="AL51" i="58"/>
  <c r="AL57" i="58"/>
  <c r="AL69" i="58"/>
  <c r="AL65" i="58"/>
  <c r="AL67" i="58"/>
  <c r="AL59" i="58"/>
  <c r="AL55" i="58"/>
  <c r="JR148" i="40"/>
  <c r="JT148" i="40"/>
  <c r="JX148" i="40" s="1"/>
  <c r="KQ148" i="40"/>
  <c r="KS148" i="40" s="1"/>
  <c r="JQ148" i="40"/>
  <c r="JU148" i="40" s="1"/>
  <c r="JV148" i="40" s="1"/>
  <c r="JW148" i="40" s="1"/>
  <c r="JS148" i="40"/>
  <c r="JT113" i="40"/>
  <c r="JX113" i="40" s="1"/>
  <c r="JS113" i="40"/>
  <c r="JQ113" i="40"/>
  <c r="JU113" i="40" s="1"/>
  <c r="KQ113" i="40"/>
  <c r="KS113" i="40" s="1"/>
  <c r="JR113" i="40"/>
  <c r="G24" i="70"/>
  <c r="U67" i="62"/>
  <c r="U51" i="62"/>
  <c r="U55" i="62"/>
  <c r="Q33" i="62"/>
  <c r="Y33" i="62" s="1"/>
  <c r="U69" i="62"/>
  <c r="U71" i="62"/>
  <c r="U61" i="62"/>
  <c r="U53" i="62"/>
  <c r="U63" i="62"/>
  <c r="U59" i="62"/>
  <c r="U57" i="62"/>
  <c r="U65" i="62"/>
  <c r="AL69" i="62"/>
  <c r="AL51" i="62"/>
  <c r="AL59" i="62"/>
  <c r="AL63" i="62"/>
  <c r="AL55" i="62"/>
  <c r="AL67" i="62"/>
  <c r="AL61" i="62"/>
  <c r="AL57" i="62"/>
  <c r="AL65" i="62"/>
  <c r="AL71" i="62"/>
  <c r="AL53" i="62"/>
  <c r="JT130" i="40"/>
  <c r="JX130" i="40" s="1"/>
  <c r="JR130" i="40"/>
  <c r="KQ130" i="40"/>
  <c r="KS130" i="40" s="1"/>
  <c r="JQ130" i="40"/>
  <c r="JU130" i="40" s="1"/>
  <c r="JV130" i="40" s="1"/>
  <c r="JW130" i="40" s="1"/>
  <c r="JS130" i="40"/>
  <c r="O9" i="44"/>
  <c r="KR118" i="40"/>
  <c r="JS124" i="40"/>
  <c r="KQ124" i="40"/>
  <c r="KS124" i="40" s="1"/>
  <c r="JR124" i="40"/>
  <c r="JT124" i="40"/>
  <c r="JX124" i="40" s="1"/>
  <c r="G35" i="70"/>
  <c r="JQ124" i="40"/>
  <c r="JU124" i="40" s="1"/>
  <c r="JV124" i="40" s="1"/>
  <c r="JW124" i="40" s="1"/>
  <c r="N15" i="44"/>
  <c r="JT149" i="40"/>
  <c r="JX149" i="40" s="1"/>
  <c r="KQ149" i="40"/>
  <c r="KS149" i="40" s="1"/>
  <c r="JR149" i="40"/>
  <c r="JQ149" i="40"/>
  <c r="JU149" i="40" s="1"/>
  <c r="JV149" i="40" s="1"/>
  <c r="JW149" i="40" s="1"/>
  <c r="N12" i="44"/>
  <c r="R48" i="58"/>
  <c r="V49" i="58"/>
  <c r="AM49" i="58"/>
  <c r="O19" i="44"/>
  <c r="N10" i="44"/>
  <c r="JR138" i="40"/>
  <c r="KQ138" i="40"/>
  <c r="KS138" i="40" s="1"/>
  <c r="JT138" i="40"/>
  <c r="JX138" i="40" s="1"/>
  <c r="JQ138" i="40"/>
  <c r="JU138" i="40" s="1"/>
  <c r="JV138" i="40" s="1"/>
  <c r="JW138" i="40" s="1"/>
  <c r="JS138" i="40"/>
  <c r="AS13" i="62"/>
  <c r="AS13" i="58"/>
  <c r="AN260" i="40"/>
  <c r="AM154" i="40"/>
  <c r="JS127" i="40"/>
  <c r="KQ127" i="40"/>
  <c r="KS127" i="40" s="1"/>
  <c r="JR127" i="40"/>
  <c r="JT127" i="40"/>
  <c r="JX127" i="40" s="1"/>
  <c r="JQ127" i="40"/>
  <c r="JU127" i="40" s="1"/>
  <c r="JV127" i="40" s="1"/>
  <c r="JW127" i="40" s="1"/>
  <c r="O20" i="44"/>
  <c r="JR147" i="40"/>
  <c r="KQ147" i="40"/>
  <c r="KS147" i="40" s="1"/>
  <c r="JT147" i="40"/>
  <c r="JX147" i="40" s="1"/>
  <c r="JQ147" i="40"/>
  <c r="JU147" i="40" s="1"/>
  <c r="JV147" i="40" s="1"/>
  <c r="JW147" i="40" s="1"/>
  <c r="JS147" i="40"/>
  <c r="O51" i="62"/>
  <c r="O55" i="62"/>
  <c r="O59" i="62"/>
  <c r="AK64" i="62"/>
  <c r="AK66" i="62"/>
  <c r="AK56" i="62"/>
  <c r="O69" i="62"/>
  <c r="O63" i="62"/>
  <c r="O71" i="62"/>
  <c r="AK60" i="62"/>
  <c r="AK68" i="62"/>
  <c r="AK52" i="62"/>
  <c r="O65" i="62"/>
  <c r="O53" i="62"/>
  <c r="O57" i="62"/>
  <c r="AK62" i="62"/>
  <c r="AK50" i="62"/>
  <c r="O67" i="62"/>
  <c r="O61" i="62"/>
  <c r="AK54" i="62"/>
  <c r="AK58" i="62"/>
  <c r="AK70" i="62"/>
  <c r="AL39" i="58"/>
  <c r="Q38" i="58"/>
  <c r="U39" i="58"/>
  <c r="JT117" i="40"/>
  <c r="JX117" i="40" s="1"/>
  <c r="G28" i="70"/>
  <c r="JR117" i="40"/>
  <c r="G15" i="70"/>
  <c r="JQ117" i="40"/>
  <c r="JU117" i="40" s="1"/>
  <c r="KQ117" i="40"/>
  <c r="KS117" i="40" s="1"/>
  <c r="JS117" i="40"/>
  <c r="AO468" i="40"/>
  <c r="AM468" i="40"/>
  <c r="D468" i="40" s="1"/>
  <c r="JR105" i="40"/>
  <c r="JT105" i="40"/>
  <c r="JX105" i="40" s="1"/>
  <c r="JQ105" i="40"/>
  <c r="JU105" i="40" s="1"/>
  <c r="JV105" i="40" s="1"/>
  <c r="JW105" i="40" s="1"/>
  <c r="JS105" i="40"/>
  <c r="KQ105" i="40"/>
  <c r="KS105" i="40" s="1"/>
  <c r="JS145" i="40"/>
  <c r="JT145" i="40"/>
  <c r="JX145" i="40" s="1"/>
  <c r="KQ145" i="40"/>
  <c r="KS145" i="40" s="1"/>
  <c r="JR145" i="40"/>
  <c r="JQ145" i="40"/>
  <c r="JU145" i="40" s="1"/>
  <c r="JV145" i="40" s="1"/>
  <c r="JW145" i="40" s="1"/>
  <c r="O7" i="44"/>
  <c r="AV17" i="58"/>
  <c r="O28" i="44"/>
  <c r="O14" i="44"/>
  <c r="JT111" i="40"/>
  <c r="JX111" i="40" s="1"/>
  <c r="G11" i="70"/>
  <c r="JQ111" i="40"/>
  <c r="JU111" i="40" s="1"/>
  <c r="JV111" i="40" s="1"/>
  <c r="JW111" i="40" s="1"/>
  <c r="KQ111" i="40"/>
  <c r="KS111" i="40" s="1"/>
  <c r="JS111" i="40"/>
  <c r="JR111" i="40"/>
  <c r="G22" i="70"/>
  <c r="HQ153" i="40"/>
  <c r="JH153" i="40" s="1"/>
  <c r="KR141" i="40"/>
  <c r="KR113" i="40"/>
  <c r="O25" i="44"/>
  <c r="KR129" i="40"/>
  <c r="W57" i="58"/>
  <c r="S33" i="58"/>
  <c r="AA33" i="58" s="1"/>
  <c r="W59" i="58"/>
  <c r="W61" i="58"/>
  <c r="W55" i="58"/>
  <c r="W63" i="58"/>
  <c r="W65" i="58"/>
  <c r="W67" i="58"/>
  <c r="W51" i="58"/>
  <c r="W53" i="58"/>
  <c r="W69" i="58"/>
  <c r="W71" i="58"/>
  <c r="AN67" i="58"/>
  <c r="AN59" i="58"/>
  <c r="AN63" i="58"/>
  <c r="AN65" i="58"/>
  <c r="AN57" i="58"/>
  <c r="AN71" i="58"/>
  <c r="AN61" i="58"/>
  <c r="AN53" i="58"/>
  <c r="AN55" i="58"/>
  <c r="AN69" i="58"/>
  <c r="AN51" i="58"/>
  <c r="N11" i="44"/>
  <c r="KR104" i="40"/>
  <c r="F7" i="61" s="1"/>
  <c r="KR122" i="40"/>
  <c r="JQ118" i="40"/>
  <c r="JU118" i="40" s="1"/>
  <c r="JV118" i="40" s="1"/>
  <c r="JW118" i="40" s="1"/>
  <c r="KQ118" i="40"/>
  <c r="KS118" i="40" s="1"/>
  <c r="JT118" i="40"/>
  <c r="JX118" i="40" s="1"/>
  <c r="G29" i="70"/>
  <c r="JR118" i="40"/>
  <c r="G16" i="70"/>
  <c r="JS118" i="40"/>
  <c r="KO150" i="40"/>
  <c r="KI150" i="40"/>
  <c r="KJ150" i="40"/>
  <c r="KK150" i="40"/>
  <c r="KR114" i="40"/>
  <c r="JS149" i="40"/>
  <c r="AO260" i="40"/>
  <c r="AM260" i="40"/>
  <c r="D260" i="40" s="1"/>
  <c r="C262" i="40"/>
  <c r="AZ261" i="40"/>
  <c r="BD261" i="40"/>
  <c r="BH261" i="40"/>
  <c r="BL261" i="40"/>
  <c r="BP261" i="40"/>
  <c r="BT261" i="40"/>
  <c r="BX261" i="40"/>
  <c r="CB261" i="40"/>
  <c r="CF261" i="40"/>
  <c r="DM261" i="40"/>
  <c r="DV261" i="40"/>
  <c r="BA261" i="40"/>
  <c r="BE261" i="40"/>
  <c r="BI261" i="40"/>
  <c r="BM261" i="40"/>
  <c r="BQ261" i="40"/>
  <c r="BU261" i="40"/>
  <c r="BY261" i="40"/>
  <c r="CC261" i="40"/>
  <c r="CG261" i="40"/>
  <c r="DS261" i="40"/>
  <c r="DW261" i="40"/>
  <c r="AW261" i="40"/>
  <c r="BB261" i="40"/>
  <c r="BF261" i="40"/>
  <c r="BJ261" i="40"/>
  <c r="BN261" i="40"/>
  <c r="BR261" i="40"/>
  <c r="BV261" i="40"/>
  <c r="BZ261" i="40"/>
  <c r="CD261" i="40"/>
  <c r="CH261" i="40"/>
  <c r="DT261" i="40"/>
  <c r="BK261" i="40"/>
  <c r="CA261" i="40"/>
  <c r="JO261" i="40"/>
  <c r="AX261" i="40"/>
  <c r="BO261" i="40"/>
  <c r="CE261" i="40"/>
  <c r="A261" i="40"/>
  <c r="BC261" i="40"/>
  <c r="BS261" i="40"/>
  <c r="DU261" i="40"/>
  <c r="BW261" i="40"/>
  <c r="BG261" i="40"/>
  <c r="HY261" i="40"/>
  <c r="IA261" i="40"/>
  <c r="HZ261" i="40"/>
  <c r="JP261" i="40"/>
  <c r="IZ261" i="40"/>
  <c r="IX261" i="40"/>
  <c r="IY261" i="40"/>
  <c r="G30" i="70"/>
  <c r="JR119" i="40"/>
  <c r="G17" i="70"/>
  <c r="JQ119" i="40"/>
  <c r="JU119" i="40" s="1"/>
  <c r="JV119" i="40" s="1"/>
  <c r="JW119" i="40" s="1"/>
  <c r="KQ119" i="40"/>
  <c r="KS119" i="40" s="1"/>
  <c r="JT119" i="40"/>
  <c r="JX119" i="40" s="1"/>
  <c r="JS119" i="40"/>
  <c r="JS101" i="40"/>
  <c r="JR101" i="40"/>
  <c r="KQ101" i="40"/>
  <c r="KS101" i="40" s="1"/>
  <c r="JQ101" i="40"/>
  <c r="JU101" i="40" s="1"/>
  <c r="JV101" i="40" s="1"/>
  <c r="JW101" i="40" s="1"/>
  <c r="JT101" i="40"/>
  <c r="JQ108" i="40"/>
  <c r="JU108" i="40" s="1"/>
  <c r="JV108" i="40" s="1"/>
  <c r="JW108" i="40" s="1"/>
  <c r="JS108" i="40"/>
  <c r="JR108" i="40"/>
  <c r="JT108" i="40"/>
  <c r="JX108" i="40" s="1"/>
  <c r="KQ108" i="40"/>
  <c r="KS108" i="40" s="1"/>
  <c r="AO154" i="40"/>
  <c r="IX654" i="40"/>
  <c r="JC154" i="40"/>
  <c r="HU154" i="40"/>
  <c r="IP154" i="40"/>
  <c r="JB154" i="40" s="1"/>
  <c r="C156" i="40"/>
  <c r="A155" i="40"/>
  <c r="AX155" i="40"/>
  <c r="BC155" i="40"/>
  <c r="BG155" i="40"/>
  <c r="BK155" i="40"/>
  <c r="BO155" i="40"/>
  <c r="BS155" i="40"/>
  <c r="BW155" i="40"/>
  <c r="CA155" i="40"/>
  <c r="CE155" i="40"/>
  <c r="DT155" i="40"/>
  <c r="JF155" i="40"/>
  <c r="HN155" i="40" s="1"/>
  <c r="II155" i="40"/>
  <c r="IL155" i="40" s="1"/>
  <c r="BA155" i="40"/>
  <c r="BE155" i="40"/>
  <c r="BI155" i="40"/>
  <c r="BM155" i="40"/>
  <c r="BQ155" i="40"/>
  <c r="BU155" i="40"/>
  <c r="BY155" i="40"/>
  <c r="CC155" i="40"/>
  <c r="CG155" i="40"/>
  <c r="DM155" i="40"/>
  <c r="DV155" i="40"/>
  <c r="IK155" i="40"/>
  <c r="IN155" i="40" s="1"/>
  <c r="BB155" i="40"/>
  <c r="BJ155" i="40"/>
  <c r="BR155" i="40"/>
  <c r="BZ155" i="40"/>
  <c r="CH155" i="40"/>
  <c r="DW155" i="40"/>
  <c r="BD155" i="40"/>
  <c r="BL155" i="40"/>
  <c r="BT155" i="40"/>
  <c r="CB155" i="40"/>
  <c r="BF155" i="40"/>
  <c r="BV155" i="40"/>
  <c r="DS155" i="40"/>
  <c r="IJ155" i="40"/>
  <c r="IM155" i="40" s="1"/>
  <c r="BH155" i="40"/>
  <c r="BX155" i="40"/>
  <c r="DU155" i="40"/>
  <c r="AW155" i="40"/>
  <c r="BN155" i="40"/>
  <c r="CD155" i="40"/>
  <c r="AZ155" i="40"/>
  <c r="BP155" i="40"/>
  <c r="CF155" i="40"/>
  <c r="IZ155" i="40"/>
  <c r="IX155" i="40"/>
  <c r="JO155" i="40"/>
  <c r="IY155" i="40"/>
  <c r="IA155" i="40"/>
  <c r="IA655" i="40" s="1"/>
  <c r="HY155" i="40"/>
  <c r="HY655" i="40" s="1"/>
  <c r="HZ155" i="40"/>
  <c r="JP155" i="40"/>
  <c r="JG155" i="40"/>
  <c r="JI153" i="40"/>
  <c r="JS115" i="40"/>
  <c r="JQ115" i="40"/>
  <c r="JU115" i="40" s="1"/>
  <c r="JV115" i="40" s="1"/>
  <c r="JW115" i="40" s="1"/>
  <c r="G13" i="70"/>
  <c r="JR115" i="40"/>
  <c r="KQ115" i="40"/>
  <c r="KS115" i="40" s="1"/>
  <c r="JT115" i="40"/>
  <c r="JX115" i="40" s="1"/>
  <c r="G26" i="70"/>
  <c r="V55" i="62"/>
  <c r="V65" i="62"/>
  <c r="V61" i="62"/>
  <c r="V57" i="62"/>
  <c r="V69" i="62"/>
  <c r="R33" i="62"/>
  <c r="Z33" i="62" s="1"/>
  <c r="V53" i="62"/>
  <c r="V67" i="62"/>
  <c r="V63" i="62"/>
  <c r="V59" i="62"/>
  <c r="V71" i="62"/>
  <c r="V51" i="62"/>
  <c r="AM67" i="62"/>
  <c r="AM65" i="62"/>
  <c r="AM51" i="62"/>
  <c r="AM59" i="62"/>
  <c r="AM55" i="62"/>
  <c r="AM63" i="62"/>
  <c r="AM57" i="62"/>
  <c r="AM71" i="62"/>
  <c r="AM61" i="62"/>
  <c r="AM53" i="62"/>
  <c r="AM69" i="62"/>
  <c r="JR137" i="40"/>
  <c r="KQ137" i="40"/>
  <c r="KS137" i="40" s="1"/>
  <c r="JT137" i="40"/>
  <c r="JX137" i="40" s="1"/>
  <c r="JQ137" i="40"/>
  <c r="JU137" i="40" s="1"/>
  <c r="JV137" i="40" s="1"/>
  <c r="JW137" i="40" s="1"/>
  <c r="JS137" i="40"/>
  <c r="G21" i="70"/>
  <c r="JQ110" i="40"/>
  <c r="JU110" i="40" s="1"/>
  <c r="KQ110" i="40"/>
  <c r="KS110" i="40" s="1"/>
  <c r="JR110" i="40"/>
  <c r="JS110" i="40"/>
  <c r="JT110" i="40"/>
  <c r="JX110" i="40" s="1"/>
  <c r="JR103" i="40"/>
  <c r="JQ103" i="40"/>
  <c r="JU103" i="40" s="1"/>
  <c r="JV103" i="40" s="1"/>
  <c r="JW103" i="40" s="1"/>
  <c r="JT103" i="40"/>
  <c r="JX103" i="40" s="1"/>
  <c r="JS103" i="40"/>
  <c r="KQ103" i="40"/>
  <c r="KS103" i="40" s="1"/>
  <c r="U49" i="58"/>
  <c r="Q48" i="58"/>
  <c r="AL49" i="58"/>
  <c r="JT125" i="40"/>
  <c r="JX125" i="40" s="1"/>
  <c r="KQ125" i="40"/>
  <c r="KS125" i="40" s="1"/>
  <c r="JR125" i="40"/>
  <c r="G36" i="70"/>
  <c r="JQ125" i="40"/>
  <c r="JU125" i="40" s="1"/>
  <c r="JV125" i="40" s="1"/>
  <c r="JW125" i="40" s="1"/>
  <c r="JS125" i="40"/>
  <c r="AN468" i="40"/>
  <c r="B470" i="40"/>
  <c r="A469" i="40"/>
  <c r="JS106" i="40"/>
  <c r="JT106" i="40"/>
  <c r="JX106" i="40" s="1"/>
  <c r="KQ106" i="40"/>
  <c r="KS106" i="40" s="1"/>
  <c r="KT101" i="40"/>
  <c r="JQ106" i="40"/>
  <c r="JU106" i="40" s="1"/>
  <c r="JV106" i="40" s="1"/>
  <c r="JW106" i="40" s="1"/>
  <c r="JR106" i="40"/>
  <c r="JT136" i="40"/>
  <c r="JX136" i="40" s="1"/>
  <c r="JR136" i="40"/>
  <c r="KQ136" i="40"/>
  <c r="KS136" i="40" s="1"/>
  <c r="JQ136" i="40"/>
  <c r="JU136" i="40" s="1"/>
  <c r="JV136" i="40" s="1"/>
  <c r="JW136" i="40" s="1"/>
  <c r="JS136" i="40"/>
  <c r="IG151" i="40"/>
  <c r="W40" i="58" s="1"/>
  <c r="S40" i="58" s="1"/>
  <c r="IE151" i="40"/>
  <c r="U40" i="58" s="1"/>
  <c r="Q40" i="58" s="1"/>
  <c r="IF151" i="40"/>
  <c r="V40" i="58" s="1"/>
  <c r="JT140" i="40"/>
  <c r="JX140" i="40" s="1"/>
  <c r="KQ140" i="40"/>
  <c r="KS140" i="40" s="1"/>
  <c r="JR140" i="40"/>
  <c r="JQ140" i="40"/>
  <c r="JU140" i="40" s="1"/>
  <c r="JV140" i="40" s="1"/>
  <c r="JW140" i="40" s="1"/>
  <c r="JS140" i="40"/>
  <c r="JQ102" i="40"/>
  <c r="JU102" i="40" s="1"/>
  <c r="JT102" i="40"/>
  <c r="JX102" i="40" s="1"/>
  <c r="JR102" i="40"/>
  <c r="JS102" i="40"/>
  <c r="KQ102" i="40"/>
  <c r="KS102" i="40" s="1"/>
  <c r="JR139" i="40"/>
  <c r="JT139" i="40"/>
  <c r="JX139" i="40" s="1"/>
  <c r="KQ139" i="40"/>
  <c r="KS139" i="40" s="1"/>
  <c r="JQ139" i="40"/>
  <c r="JU139" i="40" s="1"/>
  <c r="JV139" i="40" s="1"/>
  <c r="JW139" i="40" s="1"/>
  <c r="JS139" i="40"/>
  <c r="AA48" i="58"/>
  <c r="KR133" i="40"/>
  <c r="JR116" i="40"/>
  <c r="JT116" i="40"/>
  <c r="JX116" i="40" s="1"/>
  <c r="KQ116" i="40"/>
  <c r="KS116" i="40" s="1"/>
  <c r="JQ116" i="40"/>
  <c r="JU116" i="40" s="1"/>
  <c r="JV116" i="40" s="1"/>
  <c r="JW116" i="40" s="1"/>
  <c r="G27" i="70"/>
  <c r="JS116" i="40"/>
  <c r="JQ107" i="40"/>
  <c r="JU107" i="40" s="1"/>
  <c r="JV107" i="40" s="1"/>
  <c r="JW107" i="40" s="1"/>
  <c r="JT107" i="40"/>
  <c r="KQ107" i="40"/>
  <c r="KS107" i="40" s="1"/>
  <c r="JR107" i="40"/>
  <c r="JS107" i="40"/>
  <c r="KR123" i="40"/>
  <c r="KR109" i="40"/>
  <c r="O16" i="44"/>
  <c r="KR128" i="40"/>
  <c r="KQ141" i="40"/>
  <c r="KS141" i="40" s="1"/>
  <c r="JR141" i="40"/>
  <c r="JT141" i="40"/>
  <c r="JX141" i="40" s="1"/>
  <c r="JQ141" i="40"/>
  <c r="JU141" i="40" s="1"/>
  <c r="JV141" i="40" s="1"/>
  <c r="JW141" i="40" s="1"/>
  <c r="JS141" i="40"/>
  <c r="KR120" i="40"/>
  <c r="JS129" i="40"/>
  <c r="JR129" i="40"/>
  <c r="JT129" i="40"/>
  <c r="JX129" i="40" s="1"/>
  <c r="KQ129" i="40"/>
  <c r="KS129" i="40" s="1"/>
  <c r="JQ129" i="40"/>
  <c r="JU129" i="40" s="1"/>
  <c r="JV129" i="40" s="1"/>
  <c r="JW129" i="40" s="1"/>
  <c r="JS104" i="40"/>
  <c r="JR104" i="40"/>
  <c r="KQ104" i="40"/>
  <c r="KS104" i="40" s="1"/>
  <c r="JQ104" i="40"/>
  <c r="JU104" i="40" s="1"/>
  <c r="JV104" i="40" s="1"/>
  <c r="JW104" i="40" s="1"/>
  <c r="JT104" i="40"/>
  <c r="JX104" i="40" s="1"/>
  <c r="O27" i="44"/>
  <c r="KR142" i="40"/>
  <c r="AM39" i="58"/>
  <c r="V39" i="58"/>
  <c r="R38" i="58"/>
  <c r="N6" i="44"/>
  <c r="N13" i="44"/>
  <c r="IG152" i="40"/>
  <c r="JT114" i="40"/>
  <c r="JX114" i="40" s="1"/>
  <c r="KQ114" i="40"/>
  <c r="KS114" i="40" s="1"/>
  <c r="JS114" i="40"/>
  <c r="JQ114" i="40"/>
  <c r="JU114" i="40" s="1"/>
  <c r="JV114" i="40" s="1"/>
  <c r="JW114" i="40" s="1"/>
  <c r="JR114" i="40"/>
  <c r="G25" i="70"/>
  <c r="KR149" i="40"/>
  <c r="JJ153" i="40" l="1"/>
  <c r="JK152" i="40"/>
  <c r="JL152" i="40" s="1"/>
  <c r="JM152" i="40" s="1"/>
  <c r="KK152" i="40" s="1"/>
  <c r="D154" i="40"/>
  <c r="AY154" i="40" s="1"/>
  <c r="JT150" i="40"/>
  <c r="JX150" i="40" s="1"/>
  <c r="AU13" i="58"/>
  <c r="AS16" i="58"/>
  <c r="AM41" i="58"/>
  <c r="R39" i="58"/>
  <c r="KQ150" i="40"/>
  <c r="KS150" i="40" s="1"/>
  <c r="AN7" i="61"/>
  <c r="AM7" i="61"/>
  <c r="JQ150" i="40"/>
  <c r="JU150" i="40" s="1"/>
  <c r="JV150" i="40" s="1"/>
  <c r="JW150" i="40" s="1"/>
  <c r="JS150" i="40"/>
  <c r="R40" i="58"/>
  <c r="R41" i="58" s="1"/>
  <c r="AE41" i="58"/>
  <c r="AI41" i="58" s="1"/>
  <c r="AN41" i="58"/>
  <c r="AL41" i="58"/>
  <c r="V41" i="58"/>
  <c r="U41" i="58"/>
  <c r="AA40" i="58"/>
  <c r="AA41" i="58" s="1"/>
  <c r="W41" i="58"/>
  <c r="IO155" i="40"/>
  <c r="JA155" i="40" s="1"/>
  <c r="IQ155" i="40"/>
  <c r="JC155" i="40" s="1"/>
  <c r="IP155" i="40"/>
  <c r="JB155" i="40" s="1"/>
  <c r="HV155" i="40"/>
  <c r="IZ655" i="40"/>
  <c r="IX655" i="40"/>
  <c r="IC154" i="40"/>
  <c r="R49" i="58"/>
  <c r="Q39" i="58"/>
  <c r="AA49" i="58"/>
  <c r="AQ151" i="40"/>
  <c r="Z38" i="58"/>
  <c r="Q49" i="58"/>
  <c r="Z48" i="58"/>
  <c r="AA51" i="62"/>
  <c r="AA65" i="62"/>
  <c r="AA57" i="62"/>
  <c r="AA61" i="62"/>
  <c r="AA63" i="62"/>
  <c r="AA53" i="62"/>
  <c r="AA71" i="62"/>
  <c r="AA55" i="62"/>
  <c r="AA67" i="62"/>
  <c r="AA59" i="62"/>
  <c r="AA69" i="62"/>
  <c r="AN469" i="40"/>
  <c r="AM469" i="40"/>
  <c r="Y48" i="58"/>
  <c r="HZ655" i="40"/>
  <c r="HO155" i="40"/>
  <c r="HR155" i="40" s="1"/>
  <c r="AP261" i="40"/>
  <c r="AO261" i="40"/>
  <c r="KR150" i="40"/>
  <c r="IC153" i="40"/>
  <c r="Y38" i="58"/>
  <c r="KI151" i="40"/>
  <c r="KJ151" i="40"/>
  <c r="KK151" i="40"/>
  <c r="KO151" i="40"/>
  <c r="AT13" i="58"/>
  <c r="AT13" i="62"/>
  <c r="Y40" i="58"/>
  <c r="Q41" i="58"/>
  <c r="IE152" i="40"/>
  <c r="IF152" i="40"/>
  <c r="AD7" i="61"/>
  <c r="AH7" i="61" s="1"/>
  <c r="AB7" i="61"/>
  <c r="T7" i="61" s="1"/>
  <c r="B471" i="40"/>
  <c r="A470" i="40"/>
  <c r="BB13" i="70"/>
  <c r="JK153" i="40"/>
  <c r="JL153" i="40" s="1"/>
  <c r="AP155" i="40"/>
  <c r="AO155" i="40"/>
  <c r="HS155" i="40"/>
  <c r="AN261" i="40"/>
  <c r="C263" i="40"/>
  <c r="BA262" i="40"/>
  <c r="BE262" i="40"/>
  <c r="BI262" i="40"/>
  <c r="BM262" i="40"/>
  <c r="BQ262" i="40"/>
  <c r="BU262" i="40"/>
  <c r="BY262" i="40"/>
  <c r="CC262" i="40"/>
  <c r="CG262" i="40"/>
  <c r="DS262" i="40"/>
  <c r="DW262" i="40"/>
  <c r="AW262" i="40"/>
  <c r="BB262" i="40"/>
  <c r="BF262" i="40"/>
  <c r="BJ262" i="40"/>
  <c r="BN262" i="40"/>
  <c r="BR262" i="40"/>
  <c r="BV262" i="40"/>
  <c r="BZ262" i="40"/>
  <c r="CD262" i="40"/>
  <c r="CH262" i="40"/>
  <c r="DT262" i="40"/>
  <c r="A262" i="40"/>
  <c r="AX262" i="40"/>
  <c r="BC262" i="40"/>
  <c r="BG262" i="40"/>
  <c r="BK262" i="40"/>
  <c r="BO262" i="40"/>
  <c r="BS262" i="40"/>
  <c r="BW262" i="40"/>
  <c r="CA262" i="40"/>
  <c r="CE262" i="40"/>
  <c r="DU262" i="40"/>
  <c r="BD262" i="40"/>
  <c r="BT262" i="40"/>
  <c r="DM262" i="40"/>
  <c r="BH262" i="40"/>
  <c r="BX262" i="40"/>
  <c r="DV262" i="40"/>
  <c r="BL262" i="40"/>
  <c r="CB262" i="40"/>
  <c r="CF262" i="40"/>
  <c r="JO262" i="40"/>
  <c r="AZ262" i="40"/>
  <c r="BP262" i="40"/>
  <c r="JP262" i="40"/>
  <c r="HZ262" i="40"/>
  <c r="HY262" i="40"/>
  <c r="IA262" i="40"/>
  <c r="IX262" i="40"/>
  <c r="IZ262" i="40"/>
  <c r="IY262" i="40"/>
  <c r="AT16" i="58"/>
  <c r="AT16" i="62"/>
  <c r="BB16" i="70"/>
  <c r="AA61" i="58"/>
  <c r="AA51" i="58"/>
  <c r="AA63" i="58"/>
  <c r="AA69" i="58"/>
  <c r="AA65" i="58"/>
  <c r="AA59" i="58"/>
  <c r="AA57" i="58"/>
  <c r="AA53" i="58"/>
  <c r="AA55" i="58"/>
  <c r="AA67" i="58"/>
  <c r="AA71" i="58"/>
  <c r="S63" i="58"/>
  <c r="S57" i="58"/>
  <c r="S69" i="58"/>
  <c r="S59" i="58"/>
  <c r="S51" i="58"/>
  <c r="S55" i="58"/>
  <c r="S65" i="58"/>
  <c r="S71" i="58"/>
  <c r="S67" i="58"/>
  <c r="S53" i="58"/>
  <c r="S61" i="58"/>
  <c r="JV113" i="40"/>
  <c r="JW113" i="40" s="1"/>
  <c r="S39" i="58"/>
  <c r="S49" i="58"/>
  <c r="Z33" i="58"/>
  <c r="R53" i="58"/>
  <c r="R55" i="58"/>
  <c r="R61" i="58"/>
  <c r="R69" i="58"/>
  <c r="R65" i="58"/>
  <c r="R71" i="58"/>
  <c r="R67" i="58"/>
  <c r="R57" i="58"/>
  <c r="R59" i="58"/>
  <c r="R51" i="58"/>
  <c r="R63" i="58"/>
  <c r="JJ154" i="40"/>
  <c r="JV110" i="40"/>
  <c r="JW110" i="40" s="1"/>
  <c r="AF38" i="58"/>
  <c r="HT155" i="40"/>
  <c r="HU155" i="40"/>
  <c r="HQ155" i="40"/>
  <c r="C157" i="40"/>
  <c r="A156" i="40"/>
  <c r="AZ156" i="40"/>
  <c r="BD156" i="40"/>
  <c r="BH156" i="40"/>
  <c r="BL156" i="40"/>
  <c r="BP156" i="40"/>
  <c r="BT156" i="40"/>
  <c r="BX156" i="40"/>
  <c r="CB156" i="40"/>
  <c r="CF156" i="40"/>
  <c r="DU156" i="40"/>
  <c r="JF156" i="40"/>
  <c r="HN156" i="40" s="1"/>
  <c r="HQ156" i="40" s="1"/>
  <c r="II156" i="40"/>
  <c r="IL156" i="40" s="1"/>
  <c r="AW156" i="40"/>
  <c r="BB156" i="40"/>
  <c r="BF156" i="40"/>
  <c r="BJ156" i="40"/>
  <c r="BN156" i="40"/>
  <c r="BR156" i="40"/>
  <c r="BV156" i="40"/>
  <c r="BZ156" i="40"/>
  <c r="CD156" i="40"/>
  <c r="CH156" i="40"/>
  <c r="DS156" i="40"/>
  <c r="DW156" i="40"/>
  <c r="AX156" i="40"/>
  <c r="BG156" i="40"/>
  <c r="BO156" i="40"/>
  <c r="BW156" i="40"/>
  <c r="CE156" i="40"/>
  <c r="DT156" i="40"/>
  <c r="IO156" i="40"/>
  <c r="IJ156" i="40"/>
  <c r="IM156" i="40" s="1"/>
  <c r="BA156" i="40"/>
  <c r="BI156" i="40"/>
  <c r="BQ156" i="40"/>
  <c r="BY156" i="40"/>
  <c r="CG156" i="40"/>
  <c r="DV156" i="40"/>
  <c r="IK156" i="40"/>
  <c r="IN156" i="40" s="1"/>
  <c r="BK156" i="40"/>
  <c r="CA156" i="40"/>
  <c r="BM156" i="40"/>
  <c r="CC156" i="40"/>
  <c r="BC156" i="40"/>
  <c r="BS156" i="40"/>
  <c r="BE156" i="40"/>
  <c r="BU156" i="40"/>
  <c r="DM156" i="40"/>
  <c r="IZ156" i="40"/>
  <c r="JO156" i="40"/>
  <c r="IX156" i="40"/>
  <c r="IY156" i="40"/>
  <c r="HY156" i="40"/>
  <c r="HY656" i="40" s="1"/>
  <c r="HZ156" i="40"/>
  <c r="IA156" i="40"/>
  <c r="IA656" i="40" s="1"/>
  <c r="JP156" i="40"/>
  <c r="JG156" i="40"/>
  <c r="JV117" i="40"/>
  <c r="JW117" i="40" s="1"/>
  <c r="AF48" i="58"/>
  <c r="JH154" i="40"/>
  <c r="AC33" i="62"/>
  <c r="Y57" i="62"/>
  <c r="Y51" i="62"/>
  <c r="Y55" i="62"/>
  <c r="Y61" i="62"/>
  <c r="Y53" i="62"/>
  <c r="Y71" i="62"/>
  <c r="Y59" i="62"/>
  <c r="Y69" i="62"/>
  <c r="Y67" i="62"/>
  <c r="Y63" i="62"/>
  <c r="Y65" i="62"/>
  <c r="Q69" i="62"/>
  <c r="Q63" i="62"/>
  <c r="Q65" i="62"/>
  <c r="Q55" i="62"/>
  <c r="Q67" i="62"/>
  <c r="Q59" i="62"/>
  <c r="Q51" i="62"/>
  <c r="Q71" i="62"/>
  <c r="Q61" i="62"/>
  <c r="Q57" i="62"/>
  <c r="Q53" i="62"/>
  <c r="Q57" i="58"/>
  <c r="Q71" i="58"/>
  <c r="Q55" i="58"/>
  <c r="Q59" i="58"/>
  <c r="Q63" i="58"/>
  <c r="Q61" i="58"/>
  <c r="Q51" i="58"/>
  <c r="Q69" i="58"/>
  <c r="Q53" i="58"/>
  <c r="Q67" i="58"/>
  <c r="Q65" i="58"/>
  <c r="ID154" i="40"/>
  <c r="S51" i="62"/>
  <c r="S65" i="62"/>
  <c r="S57" i="62"/>
  <c r="S69" i="62"/>
  <c r="S59" i="62"/>
  <c r="S53" i="62"/>
  <c r="S63" i="62"/>
  <c r="S61" i="62"/>
  <c r="S55" i="62"/>
  <c r="S67" i="62"/>
  <c r="S71" i="62"/>
  <c r="BB12" i="70"/>
  <c r="JV112" i="40"/>
  <c r="JW112" i="40" s="1"/>
  <c r="JI154" i="40"/>
  <c r="KU101" i="40"/>
  <c r="KT102" i="40"/>
  <c r="JV102" i="40"/>
  <c r="JW102" i="40" s="1"/>
  <c r="AF33" i="62"/>
  <c r="AF33" i="58"/>
  <c r="JD151" i="40"/>
  <c r="KP151" i="40"/>
  <c r="AP469" i="40"/>
  <c r="AO469" i="40"/>
  <c r="Z53" i="62"/>
  <c r="Z57" i="62"/>
  <c r="Z63" i="62"/>
  <c r="Z55" i="62"/>
  <c r="Z59" i="62"/>
  <c r="Z71" i="62"/>
  <c r="Z61" i="62"/>
  <c r="Z51" i="62"/>
  <c r="Z69" i="62"/>
  <c r="Z65" i="62"/>
  <c r="Z67" i="62"/>
  <c r="R61" i="62"/>
  <c r="R55" i="62"/>
  <c r="R53" i="62"/>
  <c r="R59" i="62"/>
  <c r="R51" i="62"/>
  <c r="R67" i="62"/>
  <c r="R57" i="62"/>
  <c r="R65" i="62"/>
  <c r="R69" i="62"/>
  <c r="R71" i="62"/>
  <c r="R63" i="62"/>
  <c r="AK155" i="40"/>
  <c r="AL155" i="40"/>
  <c r="AN155" i="40"/>
  <c r="IY655" i="40"/>
  <c r="AM155" i="40"/>
  <c r="D155" i="40" s="1"/>
  <c r="HM155" i="40"/>
  <c r="AM261" i="40"/>
  <c r="BB11" i="70"/>
  <c r="BB15" i="70"/>
  <c r="AL7" i="61"/>
  <c r="AU16" i="62"/>
  <c r="AU16" i="58"/>
  <c r="Y33" i="58"/>
  <c r="S41" i="58"/>
  <c r="AA39" i="58"/>
  <c r="D261" i="40" l="1"/>
  <c r="Z40" i="58"/>
  <c r="AC40" i="58" s="1"/>
  <c r="AD40" i="58" s="1"/>
  <c r="D469" i="40"/>
  <c r="AY155" i="40"/>
  <c r="HW156" i="40"/>
  <c r="AP470" i="40"/>
  <c r="IZ656" i="40"/>
  <c r="AP262" i="40"/>
  <c r="AV16" i="58"/>
  <c r="AV16" i="62"/>
  <c r="Z39" i="58"/>
  <c r="JK154" i="40"/>
  <c r="JL154" i="40" s="1"/>
  <c r="JM154" i="40" s="1"/>
  <c r="HM156" i="40"/>
  <c r="JR151" i="40"/>
  <c r="KQ151" i="40"/>
  <c r="KS151" i="40" s="1"/>
  <c r="JT151" i="40"/>
  <c r="JX151" i="40" s="1"/>
  <c r="JQ151" i="40"/>
  <c r="JU151" i="40" s="1"/>
  <c r="A71" i="62"/>
  <c r="A55" i="62"/>
  <c r="AF49" i="58"/>
  <c r="AG49" i="58" s="1"/>
  <c r="HP156" i="40"/>
  <c r="HZ656" i="40"/>
  <c r="IY656" i="40" s="1"/>
  <c r="AF39" i="58"/>
  <c r="AG39" i="58" s="1"/>
  <c r="C264" i="40"/>
  <c r="AW263" i="40"/>
  <c r="BB263" i="40"/>
  <c r="BF263" i="40"/>
  <c r="BJ263" i="40"/>
  <c r="BN263" i="40"/>
  <c r="BR263" i="40"/>
  <c r="BV263" i="40"/>
  <c r="BZ263" i="40"/>
  <c r="CD263" i="40"/>
  <c r="CH263" i="40"/>
  <c r="DT263" i="40"/>
  <c r="A263" i="40"/>
  <c r="AX263" i="40"/>
  <c r="BC263" i="40"/>
  <c r="BG263" i="40"/>
  <c r="BK263" i="40"/>
  <c r="BO263" i="40"/>
  <c r="BS263" i="40"/>
  <c r="BW263" i="40"/>
  <c r="CA263" i="40"/>
  <c r="CE263" i="40"/>
  <c r="DU263" i="40"/>
  <c r="AZ263" i="40"/>
  <c r="BD263" i="40"/>
  <c r="BH263" i="40"/>
  <c r="BL263" i="40"/>
  <c r="BP263" i="40"/>
  <c r="BT263" i="40"/>
  <c r="BX263" i="40"/>
  <c r="CB263" i="40"/>
  <c r="CF263" i="40"/>
  <c r="DM263" i="40"/>
  <c r="DV263" i="40"/>
  <c r="BM263" i="40"/>
  <c r="CC263" i="40"/>
  <c r="BA263" i="40"/>
  <c r="BQ263" i="40"/>
  <c r="CG263" i="40"/>
  <c r="BE263" i="40"/>
  <c r="BU263" i="40"/>
  <c r="DS263" i="40"/>
  <c r="JO263" i="40"/>
  <c r="BY263" i="40"/>
  <c r="BI263" i="40"/>
  <c r="DW263" i="40"/>
  <c r="JP263" i="40"/>
  <c r="HZ263" i="40"/>
  <c r="IY263" i="40"/>
  <c r="IX263" i="40"/>
  <c r="HY263" i="40"/>
  <c r="IA263" i="40"/>
  <c r="IZ263" i="40"/>
  <c r="HX155" i="40"/>
  <c r="ID155" i="40" s="1"/>
  <c r="JM153" i="40"/>
  <c r="AN470" i="40"/>
  <c r="KI152" i="40"/>
  <c r="JD152" i="40"/>
  <c r="JS152" i="40" s="1"/>
  <c r="KP152" i="40"/>
  <c r="Y49" i="58"/>
  <c r="AC48" i="58"/>
  <c r="AF67" i="58"/>
  <c r="AG67" i="58" s="1"/>
  <c r="AF51" i="58"/>
  <c r="AG51" i="58" s="1"/>
  <c r="AF59" i="58"/>
  <c r="AG59" i="58" s="1"/>
  <c r="AF61" i="58"/>
  <c r="AG61" i="58" s="1"/>
  <c r="AF53" i="58"/>
  <c r="AG53" i="58" s="1"/>
  <c r="AF55" i="58"/>
  <c r="AG55" i="58" s="1"/>
  <c r="AF57" i="58"/>
  <c r="AG57" i="58" s="1"/>
  <c r="AF69" i="58"/>
  <c r="AG69" i="58" s="1"/>
  <c r="AF63" i="58"/>
  <c r="AG63" i="58" s="1"/>
  <c r="AF71" i="58"/>
  <c r="AG71" i="58" s="1"/>
  <c r="AF65" i="58"/>
  <c r="AG65" i="58" s="1"/>
  <c r="A51" i="62"/>
  <c r="A65" i="62"/>
  <c r="AN156" i="40"/>
  <c r="HU156" i="40"/>
  <c r="HT156" i="40"/>
  <c r="JA156" i="40"/>
  <c r="HX156" i="40"/>
  <c r="HS156" i="40"/>
  <c r="IP156" i="40"/>
  <c r="JB156" i="40" s="1"/>
  <c r="C158" i="40"/>
  <c r="IJ157" i="40"/>
  <c r="IM157" i="40" s="1"/>
  <c r="AW157" i="40"/>
  <c r="BB157" i="40"/>
  <c r="BF157" i="40"/>
  <c r="BJ157" i="40"/>
  <c r="BN157" i="40"/>
  <c r="BR157" i="40"/>
  <c r="BV157" i="40"/>
  <c r="BZ157" i="40"/>
  <c r="CD157" i="40"/>
  <c r="CH157" i="40"/>
  <c r="DT157" i="40"/>
  <c r="IK157" i="40"/>
  <c r="IN157" i="40" s="1"/>
  <c r="AZ157" i="40"/>
  <c r="BD157" i="40"/>
  <c r="BH157" i="40"/>
  <c r="BL157" i="40"/>
  <c r="BP157" i="40"/>
  <c r="BT157" i="40"/>
  <c r="BX157" i="40"/>
  <c r="CB157" i="40"/>
  <c r="CF157" i="40"/>
  <c r="DM157" i="40"/>
  <c r="DV157" i="40"/>
  <c r="BE157" i="40"/>
  <c r="BM157" i="40"/>
  <c r="BU157" i="40"/>
  <c r="CC157" i="40"/>
  <c r="DS157" i="40"/>
  <c r="JF157" i="40"/>
  <c r="HN157" i="40" s="1"/>
  <c r="HQ157" i="40" s="1"/>
  <c r="AX157" i="40"/>
  <c r="BG157" i="40"/>
  <c r="BO157" i="40"/>
  <c r="BW157" i="40"/>
  <c r="CE157" i="40"/>
  <c r="DU157" i="40"/>
  <c r="A157" i="40"/>
  <c r="BA157" i="40"/>
  <c r="BQ157" i="40"/>
  <c r="CG157" i="40"/>
  <c r="BC157" i="40"/>
  <c r="BS157" i="40"/>
  <c r="BI157" i="40"/>
  <c r="BY157" i="40"/>
  <c r="DW157" i="40"/>
  <c r="CA157" i="40"/>
  <c r="II157" i="40"/>
  <c r="IL157" i="40" s="1"/>
  <c r="IZ157" i="40"/>
  <c r="BK157" i="40"/>
  <c r="IX157" i="40"/>
  <c r="JO157" i="40"/>
  <c r="IY157" i="40"/>
  <c r="HZ157" i="40"/>
  <c r="IA157" i="40"/>
  <c r="IA657" i="40" s="1"/>
  <c r="HY157" i="40"/>
  <c r="HY657" i="40" s="1"/>
  <c r="JP157" i="40"/>
  <c r="JG157" i="40"/>
  <c r="AO262" i="40"/>
  <c r="HW155" i="40"/>
  <c r="IC155" i="40" s="1"/>
  <c r="B472" i="40"/>
  <c r="A471" i="40"/>
  <c r="IB153" i="40"/>
  <c r="IF153" i="40" s="1"/>
  <c r="Y41" i="58"/>
  <c r="Y51" i="58"/>
  <c r="Y71" i="58"/>
  <c r="Y55" i="58"/>
  <c r="Y61" i="58"/>
  <c r="Y53" i="58"/>
  <c r="Y57" i="58"/>
  <c r="Y63" i="58"/>
  <c r="AC33" i="58"/>
  <c r="Y67" i="58"/>
  <c r="Y69" i="58"/>
  <c r="Y65" i="58"/>
  <c r="Y59" i="58"/>
  <c r="AF71" i="62"/>
  <c r="AG71" i="62" s="1"/>
  <c r="AF59" i="62"/>
  <c r="AG59" i="62" s="1"/>
  <c r="AF51" i="62"/>
  <c r="AG51" i="62" s="1"/>
  <c r="AF69" i="62"/>
  <c r="AG69" i="62" s="1"/>
  <c r="AF63" i="62"/>
  <c r="AG63" i="62" s="1"/>
  <c r="AF65" i="62"/>
  <c r="AG65" i="62" s="1"/>
  <c r="AF67" i="62"/>
  <c r="AG67" i="62" s="1"/>
  <c r="AF61" i="62"/>
  <c r="AG61" i="62" s="1"/>
  <c r="AF57" i="62"/>
  <c r="AG57" i="62" s="1"/>
  <c r="AF55" i="62"/>
  <c r="AG55" i="62" s="1"/>
  <c r="AF53" i="62"/>
  <c r="AG53" i="62" s="1"/>
  <c r="KT103" i="40"/>
  <c r="KU102" i="40"/>
  <c r="A57" i="62"/>
  <c r="A59" i="62"/>
  <c r="A63" i="62"/>
  <c r="IB154" i="40"/>
  <c r="IG154" i="40" s="1"/>
  <c r="AL156" i="40"/>
  <c r="AK156" i="40"/>
  <c r="AO156" i="40"/>
  <c r="IQ156" i="40"/>
  <c r="JC156" i="40" s="1"/>
  <c r="HO156" i="40"/>
  <c r="HR156" i="40" s="1"/>
  <c r="KO152" i="40"/>
  <c r="KJ152" i="40"/>
  <c r="AQ152" i="40"/>
  <c r="JS151" i="40"/>
  <c r="HP155" i="40"/>
  <c r="A61" i="62"/>
  <c r="A67" i="62"/>
  <c r="A69" i="62"/>
  <c r="A53" i="62"/>
  <c r="AC65" i="62"/>
  <c r="C65" i="62" s="1"/>
  <c r="AC71" i="62"/>
  <c r="C71" i="62" s="1"/>
  <c r="AC61" i="62"/>
  <c r="C61" i="62" s="1"/>
  <c r="AC57" i="62"/>
  <c r="C57" i="62" s="1"/>
  <c r="AC63" i="62"/>
  <c r="C63" i="62" s="1"/>
  <c r="AC53" i="62"/>
  <c r="C53" i="62" s="1"/>
  <c r="AC55" i="62"/>
  <c r="C55" i="62" s="1"/>
  <c r="AC51" i="62"/>
  <c r="C51" i="62" s="1"/>
  <c r="AC67" i="62"/>
  <c r="C67" i="62" s="1"/>
  <c r="AC69" i="62"/>
  <c r="C69" i="62" s="1"/>
  <c r="AD33" i="62"/>
  <c r="AC59" i="62"/>
  <c r="C59" i="62" s="1"/>
  <c r="AP156" i="40"/>
  <c r="IX656" i="40"/>
  <c r="AM156" i="40"/>
  <c r="Z53" i="58"/>
  <c r="Z69" i="58"/>
  <c r="Z71" i="58"/>
  <c r="Z63" i="58"/>
  <c r="Z57" i="58"/>
  <c r="Z67" i="58"/>
  <c r="Z51" i="58"/>
  <c r="Z65" i="58"/>
  <c r="Z61" i="58"/>
  <c r="Z59" i="58"/>
  <c r="Z55" i="58"/>
  <c r="Z49" i="58"/>
  <c r="AN262" i="40"/>
  <c r="AM262" i="40"/>
  <c r="D262" i="40" s="1"/>
  <c r="JI155" i="40"/>
  <c r="AO470" i="40"/>
  <c r="AM470" i="40"/>
  <c r="KR151" i="40"/>
  <c r="Z41" i="58"/>
  <c r="AC38" i="58"/>
  <c r="Y39" i="58"/>
  <c r="D470" i="40" l="1"/>
  <c r="AC41" i="58"/>
  <c r="C41" i="58" s="1"/>
  <c r="JV151" i="40"/>
  <c r="JW151" i="40" s="1"/>
  <c r="AF40" i="58"/>
  <c r="AF41" i="58" s="1"/>
  <c r="AG41" i="58" s="1"/>
  <c r="D156" i="40"/>
  <c r="AY156" i="40" s="1"/>
  <c r="A57" i="58"/>
  <c r="A59" i="58"/>
  <c r="HV156" i="40"/>
  <c r="JJ156" i="40" s="1"/>
  <c r="AP263" i="40"/>
  <c r="HX157" i="40"/>
  <c r="AP471" i="40"/>
  <c r="AP157" i="40"/>
  <c r="KR152" i="40"/>
  <c r="A53" i="58"/>
  <c r="ID156" i="40"/>
  <c r="HM157" i="40"/>
  <c r="HP157" i="40" s="1"/>
  <c r="IC156" i="40"/>
  <c r="A69" i="58"/>
  <c r="HO157" i="40"/>
  <c r="HR157" i="40" s="1"/>
  <c r="AC39" i="58"/>
  <c r="C39" i="58" s="1"/>
  <c r="AD38" i="58"/>
  <c r="JH155" i="40"/>
  <c r="IB155" i="40"/>
  <c r="IG155" i="40" s="1"/>
  <c r="IE154" i="40"/>
  <c r="KI154" i="40" s="1"/>
  <c r="IF154" i="40"/>
  <c r="KJ154" i="40" s="1"/>
  <c r="KT104" i="40"/>
  <c r="KU103" i="40"/>
  <c r="AC53" i="58"/>
  <c r="C53" i="58" s="1"/>
  <c r="AC71" i="58"/>
  <c r="C71" i="58" s="1"/>
  <c r="AC55" i="58"/>
  <c r="C55" i="58" s="1"/>
  <c r="AC65" i="58"/>
  <c r="C65" i="58" s="1"/>
  <c r="AC57" i="58"/>
  <c r="C57" i="58" s="1"/>
  <c r="AC67" i="58"/>
  <c r="C67" i="58" s="1"/>
  <c r="AC63" i="58"/>
  <c r="C63" i="58" s="1"/>
  <c r="AC51" i="58"/>
  <c r="C51" i="58" s="1"/>
  <c r="AC69" i="58"/>
  <c r="C69" i="58" s="1"/>
  <c r="AC59" i="58"/>
  <c r="C59" i="58" s="1"/>
  <c r="AD33" i="58"/>
  <c r="AD41" i="58" s="1"/>
  <c r="AC61" i="58"/>
  <c r="C61" i="58" s="1"/>
  <c r="A39" i="58"/>
  <c r="A41" i="58"/>
  <c r="AM471" i="40"/>
  <c r="HS157" i="40"/>
  <c r="IP157" i="40"/>
  <c r="JB157" i="40" s="1"/>
  <c r="IO157" i="40"/>
  <c r="JA157" i="40" s="1"/>
  <c r="A67" i="58"/>
  <c r="AO263" i="40"/>
  <c r="AM263" i="40"/>
  <c r="C265" i="40"/>
  <c r="A264" i="40"/>
  <c r="AX264" i="40"/>
  <c r="BC264" i="40"/>
  <c r="BG264" i="40"/>
  <c r="BK264" i="40"/>
  <c r="BO264" i="40"/>
  <c r="BS264" i="40"/>
  <c r="BW264" i="40"/>
  <c r="CA264" i="40"/>
  <c r="CE264" i="40"/>
  <c r="DU264" i="40"/>
  <c r="AZ264" i="40"/>
  <c r="BD264" i="40"/>
  <c r="BH264" i="40"/>
  <c r="BL264" i="40"/>
  <c r="BP264" i="40"/>
  <c r="BT264" i="40"/>
  <c r="BX264" i="40"/>
  <c r="CB264" i="40"/>
  <c r="CF264" i="40"/>
  <c r="DM264" i="40"/>
  <c r="DV264" i="40"/>
  <c r="BA264" i="40"/>
  <c r="BE264" i="40"/>
  <c r="BI264" i="40"/>
  <c r="BM264" i="40"/>
  <c r="BQ264" i="40"/>
  <c r="BU264" i="40"/>
  <c r="BY264" i="40"/>
  <c r="CC264" i="40"/>
  <c r="CG264" i="40"/>
  <c r="DS264" i="40"/>
  <c r="DW264" i="40"/>
  <c r="BF264" i="40"/>
  <c r="BV264" i="40"/>
  <c r="DT264" i="40"/>
  <c r="BJ264" i="40"/>
  <c r="BZ264" i="40"/>
  <c r="AW264" i="40"/>
  <c r="BN264" i="40"/>
  <c r="CD264" i="40"/>
  <c r="JO264" i="40"/>
  <c r="BR264" i="40"/>
  <c r="CH264" i="40"/>
  <c r="BB264" i="40"/>
  <c r="IA264" i="40"/>
  <c r="IZ264" i="40"/>
  <c r="IX264" i="40"/>
  <c r="IY264" i="40"/>
  <c r="JP264" i="40"/>
  <c r="HY264" i="40"/>
  <c r="HZ264" i="40"/>
  <c r="JH156" i="40"/>
  <c r="A55" i="58"/>
  <c r="JJ155" i="40"/>
  <c r="A63" i="58"/>
  <c r="AN471" i="40"/>
  <c r="AO471" i="40"/>
  <c r="B473" i="40"/>
  <c r="A472" i="40"/>
  <c r="AN157" i="40"/>
  <c r="AO157" i="40"/>
  <c r="IX657" i="40"/>
  <c r="HU157" i="40"/>
  <c r="IQ157" i="40"/>
  <c r="JC157" i="40" s="1"/>
  <c r="C159" i="40"/>
  <c r="A158" i="40"/>
  <c r="AX158" i="40"/>
  <c r="BC158" i="40"/>
  <c r="BG158" i="40"/>
  <c r="BK158" i="40"/>
  <c r="BO158" i="40"/>
  <c r="BS158" i="40"/>
  <c r="BW158" i="40"/>
  <c r="CA158" i="40"/>
  <c r="CE158" i="40"/>
  <c r="DT158" i="40"/>
  <c r="JF158" i="40"/>
  <c r="HN158" i="40" s="1"/>
  <c r="HQ158" i="40" s="1"/>
  <c r="II158" i="40"/>
  <c r="IL158" i="40" s="1"/>
  <c r="BA158" i="40"/>
  <c r="BE158" i="40"/>
  <c r="BI158" i="40"/>
  <c r="BM158" i="40"/>
  <c r="BQ158" i="40"/>
  <c r="BU158" i="40"/>
  <c r="BY158" i="40"/>
  <c r="CC158" i="40"/>
  <c r="CG158" i="40"/>
  <c r="DM158" i="40"/>
  <c r="DV158" i="40"/>
  <c r="IK158" i="40"/>
  <c r="IN158" i="40" s="1"/>
  <c r="BB158" i="40"/>
  <c r="BJ158" i="40"/>
  <c r="BR158" i="40"/>
  <c r="BZ158" i="40"/>
  <c r="CH158" i="40"/>
  <c r="DW158" i="40"/>
  <c r="BD158" i="40"/>
  <c r="BL158" i="40"/>
  <c r="BT158" i="40"/>
  <c r="CB158" i="40"/>
  <c r="BF158" i="40"/>
  <c r="BV158" i="40"/>
  <c r="DS158" i="40"/>
  <c r="IJ158" i="40"/>
  <c r="IM158" i="40" s="1"/>
  <c r="BH158" i="40"/>
  <c r="BX158" i="40"/>
  <c r="DU158" i="40"/>
  <c r="AW158" i="40"/>
  <c r="BN158" i="40"/>
  <c r="CD158" i="40"/>
  <c r="BP158" i="40"/>
  <c r="CF158" i="40"/>
  <c r="AZ158" i="40"/>
  <c r="IZ158" i="40"/>
  <c r="JO158" i="40"/>
  <c r="IX158" i="40"/>
  <c r="IY158" i="40"/>
  <c r="HY158" i="40"/>
  <c r="HY658" i="40" s="1"/>
  <c r="HZ158" i="40"/>
  <c r="IA158" i="40"/>
  <c r="IA658" i="40" s="1"/>
  <c r="JP158" i="40"/>
  <c r="JG158" i="40"/>
  <c r="JI156" i="40"/>
  <c r="JR152" i="40"/>
  <c r="KQ152" i="40"/>
  <c r="KS152" i="40" s="1"/>
  <c r="JT152" i="40"/>
  <c r="JX152" i="40" s="1"/>
  <c r="JQ152" i="40"/>
  <c r="JU152" i="40" s="1"/>
  <c r="JV152" i="40" s="1"/>
  <c r="JW152" i="40" s="1"/>
  <c r="A51" i="58"/>
  <c r="AD63" i="62"/>
  <c r="AD65" i="62"/>
  <c r="AD53" i="62"/>
  <c r="AD67" i="62"/>
  <c r="AD61" i="62"/>
  <c r="AD51" i="62"/>
  <c r="AD71" i="62"/>
  <c r="AD55" i="62"/>
  <c r="AD69" i="62"/>
  <c r="AD59" i="62"/>
  <c r="AD57" i="62"/>
  <c r="KK154" i="40"/>
  <c r="KO154" i="40"/>
  <c r="AL157" i="40"/>
  <c r="AK157" i="40"/>
  <c r="HT157" i="40"/>
  <c r="A71" i="58"/>
  <c r="A65" i="58"/>
  <c r="A49" i="58"/>
  <c r="IE153" i="40"/>
  <c r="KI153" i="40" s="1"/>
  <c r="IG153" i="40"/>
  <c r="KK153" i="40" s="1"/>
  <c r="HZ657" i="40"/>
  <c r="IY657" i="40" s="1"/>
  <c r="IZ657" i="40"/>
  <c r="AM157" i="40"/>
  <c r="A61" i="58"/>
  <c r="AD48" i="58"/>
  <c r="AC49" i="58"/>
  <c r="C49" i="58" s="1"/>
  <c r="KJ153" i="40"/>
  <c r="KO153" i="40"/>
  <c r="AN263" i="40"/>
  <c r="D471" i="40" l="1"/>
  <c r="D263" i="40"/>
  <c r="D157" i="40"/>
  <c r="AY157" i="40" s="1"/>
  <c r="IQ158" i="40"/>
  <c r="JC158" i="40" s="1"/>
  <c r="IO158" i="40"/>
  <c r="JA158" i="40" s="1"/>
  <c r="JK156" i="40"/>
  <c r="JL156" i="40" s="1"/>
  <c r="JM156" i="40" s="1"/>
  <c r="IB156" i="40"/>
  <c r="IF156" i="40" s="1"/>
  <c r="IZ658" i="40"/>
  <c r="AP264" i="40"/>
  <c r="JK155" i="40"/>
  <c r="JL155" i="40" s="1"/>
  <c r="JM155" i="40" s="1"/>
  <c r="AD49" i="58"/>
  <c r="AQ153" i="40"/>
  <c r="AL158" i="40"/>
  <c r="AK158" i="40"/>
  <c r="IX658" i="40"/>
  <c r="AM158" i="40"/>
  <c r="HM158" i="40"/>
  <c r="AM472" i="40"/>
  <c r="B474" i="40"/>
  <c r="A473" i="40"/>
  <c r="JI157" i="40"/>
  <c r="AD63" i="58"/>
  <c r="AD59" i="58"/>
  <c r="AD65" i="58"/>
  <c r="AD53" i="58"/>
  <c r="AD57" i="58"/>
  <c r="AD69" i="58"/>
  <c r="AD67" i="58"/>
  <c r="AD61" i="58"/>
  <c r="AD51" i="58"/>
  <c r="AD55" i="58"/>
  <c r="AD71" i="58"/>
  <c r="JD154" i="40"/>
  <c r="KP154" i="40"/>
  <c r="KR154" i="40" s="1"/>
  <c r="AD39" i="58"/>
  <c r="ID157" i="40"/>
  <c r="HT158" i="40"/>
  <c r="IP158" i="40"/>
  <c r="JB158" i="40" s="1"/>
  <c r="C160" i="40"/>
  <c r="A159" i="40"/>
  <c r="BA159" i="40"/>
  <c r="BE159" i="40"/>
  <c r="BI159" i="40"/>
  <c r="BM159" i="40"/>
  <c r="BQ159" i="40"/>
  <c r="BU159" i="40"/>
  <c r="BY159" i="40"/>
  <c r="CC159" i="40"/>
  <c r="CG159" i="40"/>
  <c r="DS159" i="40"/>
  <c r="DW159" i="40"/>
  <c r="JF159" i="40"/>
  <c r="HO159" i="40" s="1"/>
  <c r="HR159" i="40" s="1"/>
  <c r="IK159" i="40"/>
  <c r="IN159" i="40" s="1"/>
  <c r="BB159" i="40"/>
  <c r="BG159" i="40"/>
  <c r="BL159" i="40"/>
  <c r="BR159" i="40"/>
  <c r="BW159" i="40"/>
  <c r="CB159" i="40"/>
  <c r="CH159" i="40"/>
  <c r="DU159" i="40"/>
  <c r="AW159" i="40"/>
  <c r="BC159" i="40"/>
  <c r="BH159" i="40"/>
  <c r="BN159" i="40"/>
  <c r="BS159" i="40"/>
  <c r="BX159" i="40"/>
  <c r="CD159" i="40"/>
  <c r="DV159" i="40"/>
  <c r="AX159" i="40"/>
  <c r="BJ159" i="40"/>
  <c r="BT159" i="40"/>
  <c r="CE159" i="40"/>
  <c r="AZ159" i="40"/>
  <c r="BK159" i="40"/>
  <c r="BV159" i="40"/>
  <c r="CF159" i="40"/>
  <c r="IJ159" i="40"/>
  <c r="IM159" i="40" s="1"/>
  <c r="BD159" i="40"/>
  <c r="BO159" i="40"/>
  <c r="BZ159" i="40"/>
  <c r="DM159" i="40"/>
  <c r="II159" i="40"/>
  <c r="IL159" i="40" s="1"/>
  <c r="DT159" i="40"/>
  <c r="BF159" i="40"/>
  <c r="BP159" i="40"/>
  <c r="CA159" i="40"/>
  <c r="IX159" i="40"/>
  <c r="JO159" i="40"/>
  <c r="IY159" i="40"/>
  <c r="IZ159" i="40"/>
  <c r="HZ159" i="40"/>
  <c r="IA159" i="40"/>
  <c r="IA659" i="40" s="1"/>
  <c r="HY159" i="40"/>
  <c r="HY659" i="40" s="1"/>
  <c r="JP159" i="40"/>
  <c r="JG159" i="40"/>
  <c r="AP158" i="40"/>
  <c r="AO158" i="40"/>
  <c r="HO158" i="40"/>
  <c r="HR158" i="40" s="1"/>
  <c r="AN472" i="40"/>
  <c r="AM264" i="40"/>
  <c r="C266" i="40"/>
  <c r="AZ265" i="40"/>
  <c r="BD265" i="40"/>
  <c r="BH265" i="40"/>
  <c r="BL265" i="40"/>
  <c r="BP265" i="40"/>
  <c r="BT265" i="40"/>
  <c r="BX265" i="40"/>
  <c r="CB265" i="40"/>
  <c r="CF265" i="40"/>
  <c r="DU265" i="40"/>
  <c r="BA265" i="40"/>
  <c r="BE265" i="40"/>
  <c r="BI265" i="40"/>
  <c r="BM265" i="40"/>
  <c r="BQ265" i="40"/>
  <c r="BU265" i="40"/>
  <c r="BY265" i="40"/>
  <c r="CC265" i="40"/>
  <c r="CG265" i="40"/>
  <c r="DM265" i="40"/>
  <c r="DV265" i="40"/>
  <c r="AW265" i="40"/>
  <c r="BB265" i="40"/>
  <c r="BF265" i="40"/>
  <c r="BJ265" i="40"/>
  <c r="BN265" i="40"/>
  <c r="BR265" i="40"/>
  <c r="BV265" i="40"/>
  <c r="BZ265" i="40"/>
  <c r="CD265" i="40"/>
  <c r="CH265" i="40"/>
  <c r="DS265" i="40"/>
  <c r="DW265" i="40"/>
  <c r="AX265" i="40"/>
  <c r="BO265" i="40"/>
  <c r="CE265" i="40"/>
  <c r="A265" i="40"/>
  <c r="BC265" i="40"/>
  <c r="BS265" i="40"/>
  <c r="BG265" i="40"/>
  <c r="BW265" i="40"/>
  <c r="DT265" i="40"/>
  <c r="JO265" i="40"/>
  <c r="BK265" i="40"/>
  <c r="CA265" i="40"/>
  <c r="HZ265" i="40"/>
  <c r="HY265" i="40"/>
  <c r="IY265" i="40"/>
  <c r="IA265" i="40"/>
  <c r="JP265" i="40"/>
  <c r="IX265" i="40"/>
  <c r="IZ265" i="40"/>
  <c r="HV157" i="40"/>
  <c r="KT105" i="40"/>
  <c r="KU104" i="40"/>
  <c r="IF155" i="40"/>
  <c r="IE155" i="40"/>
  <c r="JD153" i="40"/>
  <c r="KP153" i="40"/>
  <c r="KR153" i="40" s="1"/>
  <c r="HZ658" i="40"/>
  <c r="IY658" i="40" s="1"/>
  <c r="HS158" i="40"/>
  <c r="AP472" i="40"/>
  <c r="AO264" i="40"/>
  <c r="HW157" i="40"/>
  <c r="IC157" i="40" s="1"/>
  <c r="JH157" i="40"/>
  <c r="AQ154" i="40"/>
  <c r="HW158" i="40"/>
  <c r="AN158" i="40"/>
  <c r="HU158" i="40"/>
  <c r="AO472" i="40"/>
  <c r="AN264" i="40"/>
  <c r="IG156" i="40" l="1"/>
  <c r="D264" i="40"/>
  <c r="IE156" i="40"/>
  <c r="KI156" i="40" s="1"/>
  <c r="D472" i="40"/>
  <c r="D158" i="40"/>
  <c r="AY158" i="40" s="1"/>
  <c r="HX159" i="40"/>
  <c r="AP473" i="40"/>
  <c r="KK156" i="40"/>
  <c r="AQ155" i="40"/>
  <c r="HN159" i="40"/>
  <c r="HQ159" i="40" s="1"/>
  <c r="HM159" i="40"/>
  <c r="HP159" i="40" s="1"/>
  <c r="IC158" i="40"/>
  <c r="JI158" i="40"/>
  <c r="AM265" i="40"/>
  <c r="IZ659" i="40"/>
  <c r="IQ159" i="40"/>
  <c r="JC159" i="40" s="1"/>
  <c r="AM159" i="40"/>
  <c r="JR154" i="40"/>
  <c r="KQ154" i="40"/>
  <c r="KS154" i="40" s="1"/>
  <c r="JT154" i="40"/>
  <c r="JX154" i="40" s="1"/>
  <c r="JQ154" i="40"/>
  <c r="JU154" i="40" s="1"/>
  <c r="JV154" i="40" s="1"/>
  <c r="JW154" i="40" s="1"/>
  <c r="JS154" i="40"/>
  <c r="HP158" i="40"/>
  <c r="HV158" i="40"/>
  <c r="KJ156" i="40"/>
  <c r="KO156" i="40"/>
  <c r="JR153" i="40"/>
  <c r="JT153" i="40"/>
  <c r="JX153" i="40" s="1"/>
  <c r="KQ153" i="40"/>
  <c r="KS153" i="40" s="1"/>
  <c r="JQ153" i="40"/>
  <c r="JU153" i="40" s="1"/>
  <c r="JV153" i="40" s="1"/>
  <c r="JW153" i="40" s="1"/>
  <c r="JS153" i="40"/>
  <c r="C267" i="40"/>
  <c r="AZ266" i="40"/>
  <c r="BD266" i="40"/>
  <c r="BH266" i="40"/>
  <c r="BL266" i="40"/>
  <c r="BP266" i="40"/>
  <c r="BT266" i="40"/>
  <c r="BX266" i="40"/>
  <c r="CB266" i="40"/>
  <c r="CF266" i="40"/>
  <c r="DU266" i="40"/>
  <c r="BA266" i="40"/>
  <c r="BE266" i="40"/>
  <c r="BI266" i="40"/>
  <c r="BM266" i="40"/>
  <c r="BQ266" i="40"/>
  <c r="BU266" i="40"/>
  <c r="BY266" i="40"/>
  <c r="CC266" i="40"/>
  <c r="CG266" i="40"/>
  <c r="DM266" i="40"/>
  <c r="DV266" i="40"/>
  <c r="AW266" i="40"/>
  <c r="BB266" i="40"/>
  <c r="BF266" i="40"/>
  <c r="BJ266" i="40"/>
  <c r="BN266" i="40"/>
  <c r="BR266" i="40"/>
  <c r="BV266" i="40"/>
  <c r="BZ266" i="40"/>
  <c r="CD266" i="40"/>
  <c r="CH266" i="40"/>
  <c r="DS266" i="40"/>
  <c r="DW266" i="40"/>
  <c r="BG266" i="40"/>
  <c r="BW266" i="40"/>
  <c r="DT266" i="40"/>
  <c r="BK266" i="40"/>
  <c r="CA266" i="40"/>
  <c r="AX266" i="40"/>
  <c r="BO266" i="40"/>
  <c r="CE266" i="40"/>
  <c r="JO266" i="40"/>
  <c r="BC266" i="40"/>
  <c r="BS266" i="40"/>
  <c r="A266" i="40"/>
  <c r="JP266" i="40"/>
  <c r="HZ266" i="40"/>
  <c r="IY266" i="40"/>
  <c r="IZ266" i="40"/>
  <c r="IA266" i="40"/>
  <c r="IX266" i="40"/>
  <c r="HY266" i="40"/>
  <c r="AP159" i="40"/>
  <c r="AO159" i="40"/>
  <c r="AN473" i="40"/>
  <c r="AO473" i="40"/>
  <c r="HX158" i="40"/>
  <c r="JD155" i="40"/>
  <c r="JS155" i="40" s="1"/>
  <c r="KP155" i="40"/>
  <c r="KT106" i="40"/>
  <c r="KU105" i="40"/>
  <c r="AN265" i="40"/>
  <c r="HS159" i="40"/>
  <c r="IO159" i="40"/>
  <c r="JA159" i="40" s="1"/>
  <c r="IP159" i="40"/>
  <c r="JB159" i="40" s="1"/>
  <c r="C161" i="40"/>
  <c r="IK160" i="40"/>
  <c r="IN160" i="40" s="1"/>
  <c r="AZ160" i="40"/>
  <c r="BD160" i="40"/>
  <c r="BH160" i="40"/>
  <c r="BL160" i="40"/>
  <c r="BP160" i="40"/>
  <c r="BT160" i="40"/>
  <c r="BX160" i="40"/>
  <c r="CB160" i="40"/>
  <c r="CF160" i="40"/>
  <c r="DT160" i="40"/>
  <c r="AW160" i="40"/>
  <c r="BC160" i="40"/>
  <c r="BI160" i="40"/>
  <c r="BN160" i="40"/>
  <c r="BS160" i="40"/>
  <c r="BY160" i="40"/>
  <c r="CD160" i="40"/>
  <c r="DU160" i="40"/>
  <c r="IJ160" i="40"/>
  <c r="IM160" i="40" s="1"/>
  <c r="AX160" i="40"/>
  <c r="BE160" i="40"/>
  <c r="BJ160" i="40"/>
  <c r="BO160" i="40"/>
  <c r="BU160" i="40"/>
  <c r="BZ160" i="40"/>
  <c r="CE160" i="40"/>
  <c r="DV160" i="40"/>
  <c r="A160" i="40"/>
  <c r="BA160" i="40"/>
  <c r="BK160" i="40"/>
  <c r="BV160" i="40"/>
  <c r="CG160" i="40"/>
  <c r="DW160" i="40"/>
  <c r="JF160" i="40"/>
  <c r="HN160" i="40" s="1"/>
  <c r="BB160" i="40"/>
  <c r="BM160" i="40"/>
  <c r="BW160" i="40"/>
  <c r="CH160" i="40"/>
  <c r="II160" i="40"/>
  <c r="IL160" i="40" s="1"/>
  <c r="BF160" i="40"/>
  <c r="BQ160" i="40"/>
  <c r="CA160" i="40"/>
  <c r="DM160" i="40"/>
  <c r="BG160" i="40"/>
  <c r="BR160" i="40"/>
  <c r="CC160" i="40"/>
  <c r="DS160" i="40"/>
  <c r="IZ160" i="40"/>
  <c r="IX160" i="40"/>
  <c r="IY160" i="40"/>
  <c r="JO160" i="40"/>
  <c r="IA160" i="40"/>
  <c r="IA660" i="40" s="1"/>
  <c r="HY160" i="40"/>
  <c r="HY660" i="40" s="1"/>
  <c r="HZ160" i="40"/>
  <c r="JP160" i="40"/>
  <c r="JG160" i="40"/>
  <c r="IB157" i="40"/>
  <c r="IF157" i="40" s="1"/>
  <c r="KI155" i="40"/>
  <c r="KJ155" i="40"/>
  <c r="KK155" i="40"/>
  <c r="KO155" i="40"/>
  <c r="JJ157" i="40"/>
  <c r="JK157" i="40" s="1"/>
  <c r="JL157" i="40" s="1"/>
  <c r="AP265" i="40"/>
  <c r="AO265" i="40"/>
  <c r="AL159" i="40"/>
  <c r="AK159" i="40"/>
  <c r="AN159" i="40"/>
  <c r="HZ659" i="40"/>
  <c r="IY659" i="40" s="1"/>
  <c r="IX659" i="40"/>
  <c r="HT159" i="40"/>
  <c r="HU159" i="40"/>
  <c r="AM473" i="40"/>
  <c r="D473" i="40" s="1"/>
  <c r="B475" i="40"/>
  <c r="A474" i="40"/>
  <c r="AQ156" i="40" l="1"/>
  <c r="KP156" i="40"/>
  <c r="JD156" i="40"/>
  <c r="KQ156" i="40" s="1"/>
  <c r="KS156" i="40" s="1"/>
  <c r="D265" i="40"/>
  <c r="D159" i="40"/>
  <c r="AY159" i="40" s="1"/>
  <c r="AP160" i="40"/>
  <c r="G46" i="58" s="1"/>
  <c r="HW160" i="40"/>
  <c r="IO160" i="40"/>
  <c r="JA160" i="40" s="1"/>
  <c r="IQ160" i="40"/>
  <c r="JC160" i="40" s="1"/>
  <c r="AP474" i="40"/>
  <c r="HM160" i="40"/>
  <c r="HP160" i="40" s="1"/>
  <c r="HO160" i="40"/>
  <c r="HR160" i="40" s="1"/>
  <c r="JM157" i="40"/>
  <c r="KJ157" i="40" s="1"/>
  <c r="AM474" i="40"/>
  <c r="AK160" i="40"/>
  <c r="AL160" i="40"/>
  <c r="HZ660" i="40"/>
  <c r="IY660" i="40" s="1"/>
  <c r="AO160" i="40"/>
  <c r="IZ660" i="40"/>
  <c r="JI159" i="40"/>
  <c r="AP266" i="40"/>
  <c r="AN266" i="40"/>
  <c r="JH158" i="40"/>
  <c r="HT160" i="40"/>
  <c r="HU160" i="40"/>
  <c r="HV159" i="40"/>
  <c r="JR155" i="40"/>
  <c r="KQ155" i="40"/>
  <c r="KS155" i="40" s="1"/>
  <c r="JT155" i="40"/>
  <c r="JX155" i="40" s="1"/>
  <c r="JQ155" i="40"/>
  <c r="JU155" i="40" s="1"/>
  <c r="JV155" i="40" s="1"/>
  <c r="JW155" i="40" s="1"/>
  <c r="AM266" i="40"/>
  <c r="JJ158" i="40"/>
  <c r="AN474" i="40"/>
  <c r="ID159" i="40"/>
  <c r="IG157" i="40"/>
  <c r="IE157" i="40"/>
  <c r="HQ160" i="40"/>
  <c r="AM160" i="40"/>
  <c r="HW159" i="40"/>
  <c r="IC159" i="40" s="1"/>
  <c r="C268" i="40"/>
  <c r="AZ267" i="40"/>
  <c r="BD267" i="40"/>
  <c r="BH267" i="40"/>
  <c r="BL267" i="40"/>
  <c r="BP267" i="40"/>
  <c r="BT267" i="40"/>
  <c r="BX267" i="40"/>
  <c r="CB267" i="40"/>
  <c r="CF267" i="40"/>
  <c r="DM267" i="40"/>
  <c r="DV267" i="40"/>
  <c r="BA267" i="40"/>
  <c r="BE267" i="40"/>
  <c r="BI267" i="40"/>
  <c r="BM267" i="40"/>
  <c r="BQ267" i="40"/>
  <c r="BU267" i="40"/>
  <c r="BY267" i="40"/>
  <c r="CC267" i="40"/>
  <c r="CG267" i="40"/>
  <c r="DS267" i="40"/>
  <c r="DW267" i="40"/>
  <c r="AW267" i="40"/>
  <c r="BB267" i="40"/>
  <c r="BF267" i="40"/>
  <c r="BJ267" i="40"/>
  <c r="BN267" i="40"/>
  <c r="BR267" i="40"/>
  <c r="BV267" i="40"/>
  <c r="BZ267" i="40"/>
  <c r="CD267" i="40"/>
  <c r="CH267" i="40"/>
  <c r="DT267" i="40"/>
  <c r="AX267" i="40"/>
  <c r="BO267" i="40"/>
  <c r="CE267" i="40"/>
  <c r="A267" i="40"/>
  <c r="BC267" i="40"/>
  <c r="BS267" i="40"/>
  <c r="BG267" i="40"/>
  <c r="BW267" i="40"/>
  <c r="DU267" i="40"/>
  <c r="JO267" i="40"/>
  <c r="BK267" i="40"/>
  <c r="CA267" i="40"/>
  <c r="HY267" i="40"/>
  <c r="IZ267" i="40"/>
  <c r="HZ267" i="40"/>
  <c r="IA267" i="40"/>
  <c r="IY267" i="40"/>
  <c r="IX267" i="40"/>
  <c r="JP267" i="40"/>
  <c r="KR156" i="40"/>
  <c r="ID158" i="40"/>
  <c r="IB158" i="40" s="1"/>
  <c r="AO474" i="40"/>
  <c r="KR155" i="40"/>
  <c r="B476" i="40"/>
  <c r="A475" i="40"/>
  <c r="JH159" i="40"/>
  <c r="AN160" i="40"/>
  <c r="IX660" i="40"/>
  <c r="HS160" i="40"/>
  <c r="IP160" i="40"/>
  <c r="JB160" i="40" s="1"/>
  <c r="C162" i="40"/>
  <c r="A161" i="40"/>
  <c r="AZ161" i="40"/>
  <c r="BD161" i="40"/>
  <c r="BH161" i="40"/>
  <c r="BL161" i="40"/>
  <c r="BP161" i="40"/>
  <c r="BT161" i="40"/>
  <c r="BX161" i="40"/>
  <c r="CB161" i="40"/>
  <c r="CF161" i="40"/>
  <c r="DU161" i="40"/>
  <c r="BB161" i="40"/>
  <c r="BG161" i="40"/>
  <c r="BM161" i="40"/>
  <c r="BR161" i="40"/>
  <c r="BW161" i="40"/>
  <c r="CC161" i="40"/>
  <c r="CH161" i="40"/>
  <c r="DT161" i="40"/>
  <c r="IJ161" i="40"/>
  <c r="IM161" i="40" s="1"/>
  <c r="AW161" i="40"/>
  <c r="BC161" i="40"/>
  <c r="BI161" i="40"/>
  <c r="BN161" i="40"/>
  <c r="BS161" i="40"/>
  <c r="BY161" i="40"/>
  <c r="CD161" i="40"/>
  <c r="DV161" i="40"/>
  <c r="AX161" i="40"/>
  <c r="BJ161" i="40"/>
  <c r="BU161" i="40"/>
  <c r="CE161" i="40"/>
  <c r="DW161" i="40"/>
  <c r="JF161" i="40"/>
  <c r="HN161" i="40" s="1"/>
  <c r="BA161" i="40"/>
  <c r="BK161" i="40"/>
  <c r="BV161" i="40"/>
  <c r="CG161" i="40"/>
  <c r="II161" i="40"/>
  <c r="IL161" i="40" s="1"/>
  <c r="BE161" i="40"/>
  <c r="BO161" i="40"/>
  <c r="BZ161" i="40"/>
  <c r="DM161" i="40"/>
  <c r="BQ161" i="40"/>
  <c r="CA161" i="40"/>
  <c r="IK161" i="40"/>
  <c r="IN161" i="40" s="1"/>
  <c r="DS161" i="40"/>
  <c r="BF161" i="40"/>
  <c r="JO161" i="40"/>
  <c r="IY161" i="40"/>
  <c r="IX161" i="40"/>
  <c r="IZ161" i="40"/>
  <c r="HZ161" i="40"/>
  <c r="IA161" i="40"/>
  <c r="IA661" i="40" s="1"/>
  <c r="HY161" i="40"/>
  <c r="HY661" i="40" s="1"/>
  <c r="JP161" i="40"/>
  <c r="JG161" i="40"/>
  <c r="KU106" i="40"/>
  <c r="KT107" i="40"/>
  <c r="AO266" i="40"/>
  <c r="JS156" i="40" l="1"/>
  <c r="JT156" i="40"/>
  <c r="JX156" i="40" s="1"/>
  <c r="JQ156" i="40"/>
  <c r="JU156" i="40" s="1"/>
  <c r="JV156" i="40" s="1"/>
  <c r="JW156" i="40" s="1"/>
  <c r="D160" i="40"/>
  <c r="AY160" i="40" s="1"/>
  <c r="JR156" i="40"/>
  <c r="JK158" i="40"/>
  <c r="JL158" i="40" s="1"/>
  <c r="JM158" i="40" s="1"/>
  <c r="D474" i="40"/>
  <c r="D266" i="40"/>
  <c r="HX160" i="40"/>
  <c r="ID160" i="40" s="1"/>
  <c r="HW161" i="40"/>
  <c r="IQ161" i="40"/>
  <c r="JC161" i="40" s="1"/>
  <c r="IB159" i="40"/>
  <c r="IF159" i="40" s="1"/>
  <c r="AQ157" i="40"/>
  <c r="HM161" i="40"/>
  <c r="HP161" i="40" s="1"/>
  <c r="HO161" i="40"/>
  <c r="HR161" i="40" s="1"/>
  <c r="IE158" i="40"/>
  <c r="IF158" i="40"/>
  <c r="KT108" i="40"/>
  <c r="KU107" i="40"/>
  <c r="IX661" i="40"/>
  <c r="HT161" i="40"/>
  <c r="AM161" i="40"/>
  <c r="HV160" i="40"/>
  <c r="AP475" i="40"/>
  <c r="AP267" i="40"/>
  <c r="AM267" i="40"/>
  <c r="JH160" i="40"/>
  <c r="JJ159" i="40"/>
  <c r="JK159" i="40" s="1"/>
  <c r="JL159" i="40" s="1"/>
  <c r="AN161" i="40"/>
  <c r="HZ661" i="40"/>
  <c r="IY661" i="40" s="1"/>
  <c r="AK161" i="40"/>
  <c r="AL161" i="40"/>
  <c r="AP161" i="40"/>
  <c r="AO161" i="40"/>
  <c r="HU161" i="40"/>
  <c r="HQ161" i="40"/>
  <c r="B477" i="40"/>
  <c r="A476" i="40"/>
  <c r="AN267" i="40"/>
  <c r="HS161" i="40"/>
  <c r="IP161" i="40"/>
  <c r="JB161" i="40" s="1"/>
  <c r="C163" i="40"/>
  <c r="IJ162" i="40"/>
  <c r="IM162" i="40" s="1"/>
  <c r="AW162" i="40"/>
  <c r="BB162" i="40"/>
  <c r="BF162" i="40"/>
  <c r="BJ162" i="40"/>
  <c r="BN162" i="40"/>
  <c r="BR162" i="40"/>
  <c r="BV162" i="40"/>
  <c r="BZ162" i="40"/>
  <c r="CD162" i="40"/>
  <c r="CH162" i="40"/>
  <c r="DT162" i="40"/>
  <c r="BC162" i="40"/>
  <c r="BH162" i="40"/>
  <c r="BM162" i="40"/>
  <c r="BS162" i="40"/>
  <c r="BX162" i="40"/>
  <c r="CC162" i="40"/>
  <c r="DM162" i="40"/>
  <c r="DW162" i="40"/>
  <c r="AX162" i="40"/>
  <c r="BD162" i="40"/>
  <c r="BI162" i="40"/>
  <c r="BO162" i="40"/>
  <c r="BT162" i="40"/>
  <c r="BY162" i="40"/>
  <c r="CE162" i="40"/>
  <c r="DS162" i="40"/>
  <c r="AZ162" i="40"/>
  <c r="BK162" i="40"/>
  <c r="BU162" i="40"/>
  <c r="CF162" i="40"/>
  <c r="DU162" i="40"/>
  <c r="A162" i="40"/>
  <c r="JF162" i="40"/>
  <c r="HN162" i="40" s="1"/>
  <c r="HQ162" i="40" s="1"/>
  <c r="BA162" i="40"/>
  <c r="BL162" i="40"/>
  <c r="BW162" i="40"/>
  <c r="CG162" i="40"/>
  <c r="DV162" i="40"/>
  <c r="II162" i="40"/>
  <c r="IL162" i="40" s="1"/>
  <c r="BE162" i="40"/>
  <c r="BP162" i="40"/>
  <c r="CA162" i="40"/>
  <c r="CB162" i="40"/>
  <c r="IK162" i="40"/>
  <c r="IN162" i="40" s="1"/>
  <c r="BG162" i="40"/>
  <c r="BQ162" i="40"/>
  <c r="JO162" i="40"/>
  <c r="IA162" i="40"/>
  <c r="IA662" i="40" s="1"/>
  <c r="HZ162" i="40"/>
  <c r="HY162" i="40"/>
  <c r="HY662" i="40" s="1"/>
  <c r="IZ162" i="40"/>
  <c r="IY162" i="40"/>
  <c r="IX162" i="40"/>
  <c r="JP162" i="40"/>
  <c r="JG162" i="40"/>
  <c r="JI160" i="40"/>
  <c r="AN475" i="40"/>
  <c r="IG158" i="40"/>
  <c r="AO267" i="40"/>
  <c r="C269" i="40"/>
  <c r="AZ268" i="40"/>
  <c r="BD268" i="40"/>
  <c r="BH268" i="40"/>
  <c r="BL268" i="40"/>
  <c r="BP268" i="40"/>
  <c r="BT268" i="40"/>
  <c r="BX268" i="40"/>
  <c r="CB268" i="40"/>
  <c r="CF268" i="40"/>
  <c r="DU268" i="40"/>
  <c r="BA268" i="40"/>
  <c r="BE268" i="40"/>
  <c r="BI268" i="40"/>
  <c r="BM268" i="40"/>
  <c r="BQ268" i="40"/>
  <c r="BU268" i="40"/>
  <c r="BY268" i="40"/>
  <c r="CC268" i="40"/>
  <c r="CG268" i="40"/>
  <c r="DM268" i="40"/>
  <c r="DV268" i="40"/>
  <c r="A268" i="40"/>
  <c r="AW268" i="40"/>
  <c r="BB268" i="40"/>
  <c r="BF268" i="40"/>
  <c r="BJ268" i="40"/>
  <c r="BN268" i="40"/>
  <c r="BR268" i="40"/>
  <c r="BV268" i="40"/>
  <c r="BZ268" i="40"/>
  <c r="CD268" i="40"/>
  <c r="CH268" i="40"/>
  <c r="DS268" i="40"/>
  <c r="DW268" i="40"/>
  <c r="BG268" i="40"/>
  <c r="BW268" i="40"/>
  <c r="DT268" i="40"/>
  <c r="BK268" i="40"/>
  <c r="CA268" i="40"/>
  <c r="AX268" i="40"/>
  <c r="BO268" i="40"/>
  <c r="CE268" i="40"/>
  <c r="JO268" i="40"/>
  <c r="BC268" i="40"/>
  <c r="BS268" i="40"/>
  <c r="JP268" i="40"/>
  <c r="HY268" i="40"/>
  <c r="IY268" i="40"/>
  <c r="IX268" i="40"/>
  <c r="IZ268" i="40"/>
  <c r="HZ268" i="40"/>
  <c r="IA268" i="40"/>
  <c r="KI157" i="40"/>
  <c r="JD157" i="40"/>
  <c r="JS157" i="40" s="1"/>
  <c r="KP157" i="40"/>
  <c r="IC160" i="40"/>
  <c r="IZ661" i="40"/>
  <c r="IO161" i="40"/>
  <c r="JA161" i="40" s="1"/>
  <c r="AO475" i="40"/>
  <c r="AM475" i="40"/>
  <c r="KK157" i="40"/>
  <c r="KO157" i="40"/>
  <c r="D161" i="40" l="1"/>
  <c r="AY161" i="40" s="1"/>
  <c r="D475" i="40"/>
  <c r="HX161" i="40"/>
  <c r="ID161" i="40" s="1"/>
  <c r="HV161" i="40"/>
  <c r="D267" i="40"/>
  <c r="IG159" i="40"/>
  <c r="IE159" i="40"/>
  <c r="IQ162" i="40"/>
  <c r="JC162" i="40" s="1"/>
  <c r="AP162" i="40"/>
  <c r="HW162" i="40"/>
  <c r="AP476" i="40"/>
  <c r="AP268" i="40"/>
  <c r="IO162" i="40"/>
  <c r="JA162" i="40" s="1"/>
  <c r="IB160" i="40"/>
  <c r="IE160" i="40" s="1"/>
  <c r="U46" i="58" s="1"/>
  <c r="HM162" i="40"/>
  <c r="HP162" i="40" s="1"/>
  <c r="IC161" i="40"/>
  <c r="KR157" i="40"/>
  <c r="AN268" i="40"/>
  <c r="AM268" i="40"/>
  <c r="D268" i="40" s="1"/>
  <c r="AK162" i="40"/>
  <c r="AL162" i="40"/>
  <c r="HO162" i="40"/>
  <c r="AN162" i="40"/>
  <c r="HU162" i="40"/>
  <c r="AM162" i="40"/>
  <c r="HT162" i="40"/>
  <c r="KU108" i="40"/>
  <c r="KT109" i="40"/>
  <c r="JD158" i="40"/>
  <c r="KP158" i="40"/>
  <c r="KO158" i="40"/>
  <c r="KI158" i="40"/>
  <c r="KJ158" i="40"/>
  <c r="KK158" i="40"/>
  <c r="C270" i="40"/>
  <c r="AZ269" i="40"/>
  <c r="BD269" i="40"/>
  <c r="BH269" i="40"/>
  <c r="BL269" i="40"/>
  <c r="BP269" i="40"/>
  <c r="BT269" i="40"/>
  <c r="BX269" i="40"/>
  <c r="CB269" i="40"/>
  <c r="CF269" i="40"/>
  <c r="DT269" i="40"/>
  <c r="BA269" i="40"/>
  <c r="BE269" i="40"/>
  <c r="BI269" i="40"/>
  <c r="BM269" i="40"/>
  <c r="BQ269" i="40"/>
  <c r="BU269" i="40"/>
  <c r="BY269" i="40"/>
  <c r="CC269" i="40"/>
  <c r="CG269" i="40"/>
  <c r="DU269" i="40"/>
  <c r="AW269" i="40"/>
  <c r="BB269" i="40"/>
  <c r="BF269" i="40"/>
  <c r="BJ269" i="40"/>
  <c r="BN269" i="40"/>
  <c r="BR269" i="40"/>
  <c r="BV269" i="40"/>
  <c r="BZ269" i="40"/>
  <c r="CD269" i="40"/>
  <c r="CH269" i="40"/>
  <c r="DM269" i="40"/>
  <c r="DV269" i="40"/>
  <c r="AX269" i="40"/>
  <c r="BO269" i="40"/>
  <c r="CE269" i="40"/>
  <c r="A269" i="40"/>
  <c r="BC269" i="40"/>
  <c r="BS269" i="40"/>
  <c r="BG269" i="40"/>
  <c r="BW269" i="40"/>
  <c r="DS269" i="40"/>
  <c r="JO269" i="40"/>
  <c r="DW269" i="40"/>
  <c r="CA269" i="40"/>
  <c r="BK269" i="40"/>
  <c r="JP269" i="40"/>
  <c r="IY269" i="40"/>
  <c r="IA269" i="40"/>
  <c r="IZ269" i="40"/>
  <c r="HY269" i="40"/>
  <c r="HZ269" i="40"/>
  <c r="IX269" i="40"/>
  <c r="IX662" i="40"/>
  <c r="AN476" i="40"/>
  <c r="JJ160" i="40"/>
  <c r="JK160" i="40" s="1"/>
  <c r="JL160" i="40" s="1"/>
  <c r="JH161" i="40"/>
  <c r="JT157" i="40"/>
  <c r="JX157" i="40" s="1"/>
  <c r="JR157" i="40"/>
  <c r="KQ157" i="40"/>
  <c r="KS157" i="40" s="1"/>
  <c r="JQ157" i="40"/>
  <c r="JU157" i="40" s="1"/>
  <c r="JV157" i="40" s="1"/>
  <c r="JW157" i="40" s="1"/>
  <c r="AO162" i="40"/>
  <c r="IZ662" i="40"/>
  <c r="HZ662" i="40"/>
  <c r="IY662" i="40" s="1"/>
  <c r="HS162" i="40"/>
  <c r="IP162" i="40"/>
  <c r="JB162" i="40" s="1"/>
  <c r="AM476" i="40"/>
  <c r="AQ158" i="40"/>
  <c r="AO268" i="40"/>
  <c r="C164" i="40"/>
  <c r="A163" i="40"/>
  <c r="AZ163" i="40"/>
  <c r="BD163" i="40"/>
  <c r="BH163" i="40"/>
  <c r="BL163" i="40"/>
  <c r="BP163" i="40"/>
  <c r="BT163" i="40"/>
  <c r="BX163" i="40"/>
  <c r="CB163" i="40"/>
  <c r="CF163" i="40"/>
  <c r="DT163" i="40"/>
  <c r="II163" i="40"/>
  <c r="IL163" i="40" s="1"/>
  <c r="AX163" i="40"/>
  <c r="BE163" i="40"/>
  <c r="BJ163" i="40"/>
  <c r="BO163" i="40"/>
  <c r="BU163" i="40"/>
  <c r="BZ163" i="40"/>
  <c r="CE163" i="40"/>
  <c r="DV163" i="40"/>
  <c r="JF163" i="40"/>
  <c r="HN163" i="40" s="1"/>
  <c r="HQ163" i="40" s="1"/>
  <c r="IK163" i="40"/>
  <c r="IN163" i="40" s="1"/>
  <c r="BA163" i="40"/>
  <c r="BF163" i="40"/>
  <c r="BK163" i="40"/>
  <c r="BQ163" i="40"/>
  <c r="BV163" i="40"/>
  <c r="CA163" i="40"/>
  <c r="CG163" i="40"/>
  <c r="DM163" i="40"/>
  <c r="DW163" i="40"/>
  <c r="BG163" i="40"/>
  <c r="BR163" i="40"/>
  <c r="CC163" i="40"/>
  <c r="DS163" i="40"/>
  <c r="AW163" i="40"/>
  <c r="BI163" i="40"/>
  <c r="BS163" i="40"/>
  <c r="CD163" i="40"/>
  <c r="DU163" i="40"/>
  <c r="BB163" i="40"/>
  <c r="BM163" i="40"/>
  <c r="BW163" i="40"/>
  <c r="CH163" i="40"/>
  <c r="IJ163" i="40"/>
  <c r="IM163" i="40" s="1"/>
  <c r="BC163" i="40"/>
  <c r="BN163" i="40"/>
  <c r="BY163" i="40"/>
  <c r="JO163" i="40"/>
  <c r="HY163" i="40"/>
  <c r="HY663" i="40" s="1"/>
  <c r="HZ163" i="40"/>
  <c r="IA163" i="40"/>
  <c r="IA663" i="40" s="1"/>
  <c r="IY163" i="40"/>
  <c r="IZ163" i="40"/>
  <c r="IX163" i="40"/>
  <c r="JP163" i="40"/>
  <c r="JG163" i="40"/>
  <c r="JI161" i="40"/>
  <c r="JM159" i="40"/>
  <c r="AO476" i="40"/>
  <c r="B478" i="40"/>
  <c r="A477" i="40"/>
  <c r="HV162" i="40" l="1"/>
  <c r="HX162" i="40"/>
  <c r="IZ663" i="40"/>
  <c r="JJ161" i="40"/>
  <c r="JK161" i="40" s="1"/>
  <c r="JL161" i="40" s="1"/>
  <c r="JM161" i="40" s="1"/>
  <c r="HX476" i="40"/>
  <c r="HW476" i="40"/>
  <c r="HV476" i="40"/>
  <c r="D476" i="40"/>
  <c r="D162" i="40"/>
  <c r="AY162" i="40" s="1"/>
  <c r="U47" i="58"/>
  <c r="Q46" i="58"/>
  <c r="Q47" i="58" s="1"/>
  <c r="JD159" i="40"/>
  <c r="JR159" i="40" s="1"/>
  <c r="KP159" i="40"/>
  <c r="AQ159" i="40"/>
  <c r="IX663" i="40"/>
  <c r="HM163" i="40"/>
  <c r="HP163" i="40" s="1"/>
  <c r="IB161" i="40"/>
  <c r="IF161" i="40" s="1"/>
  <c r="IG160" i="40"/>
  <c r="W46" i="58" s="1"/>
  <c r="IF160" i="40"/>
  <c r="V46" i="58" s="1"/>
  <c r="AP163" i="40"/>
  <c r="G44" i="58" s="1"/>
  <c r="HX163" i="40"/>
  <c r="IC162" i="40"/>
  <c r="AP477" i="40"/>
  <c r="AM477" i="40"/>
  <c r="AL163" i="40"/>
  <c r="AK163" i="40"/>
  <c r="J44" i="58" s="1"/>
  <c r="J45" i="58" s="1"/>
  <c r="AM163" i="40"/>
  <c r="IO163" i="40"/>
  <c r="JA163" i="40" s="1"/>
  <c r="HO163" i="40"/>
  <c r="HR163" i="40" s="1"/>
  <c r="AN163" i="40"/>
  <c r="HZ663" i="40"/>
  <c r="IY663" i="40" s="1"/>
  <c r="HS163" i="40"/>
  <c r="JI162" i="40"/>
  <c r="JM160" i="40"/>
  <c r="AE46" i="58" s="1"/>
  <c r="AP269" i="40"/>
  <c r="KQ158" i="40"/>
  <c r="KS158" i="40" s="1"/>
  <c r="JR158" i="40"/>
  <c r="JT158" i="40"/>
  <c r="JX158" i="40" s="1"/>
  <c r="JQ158" i="40"/>
  <c r="JU158" i="40" s="1"/>
  <c r="JV158" i="40" s="1"/>
  <c r="JW158" i="40" s="1"/>
  <c r="AN477" i="40"/>
  <c r="B479" i="40"/>
  <c r="A478" i="40"/>
  <c r="HT163" i="40"/>
  <c r="JJ162" i="40"/>
  <c r="AN269" i="40"/>
  <c r="AO269" i="40"/>
  <c r="AM269" i="40"/>
  <c r="JS158" i="40"/>
  <c r="KT110" i="40"/>
  <c r="KU109" i="40"/>
  <c r="I20" i="70" s="1"/>
  <c r="HR162" i="40"/>
  <c r="JH162" i="40" s="1"/>
  <c r="AO477" i="40"/>
  <c r="KI159" i="40"/>
  <c r="KJ159" i="40"/>
  <c r="KK159" i="40"/>
  <c r="KO159" i="40"/>
  <c r="AO163" i="40"/>
  <c r="IQ163" i="40"/>
  <c r="JC163" i="40" s="1"/>
  <c r="HU163" i="40"/>
  <c r="IP163" i="40"/>
  <c r="JB163" i="40" s="1"/>
  <c r="C165" i="40"/>
  <c r="A164" i="40"/>
  <c r="BA164" i="40"/>
  <c r="BE164" i="40"/>
  <c r="BI164" i="40"/>
  <c r="BM164" i="40"/>
  <c r="BQ164" i="40"/>
  <c r="BU164" i="40"/>
  <c r="BY164" i="40"/>
  <c r="CC164" i="40"/>
  <c r="CG164" i="40"/>
  <c r="DT164" i="40"/>
  <c r="IJ164" i="40"/>
  <c r="IM164" i="40" s="1"/>
  <c r="AX164" i="40"/>
  <c r="BD164" i="40"/>
  <c r="BJ164" i="40"/>
  <c r="BO164" i="40"/>
  <c r="BT164" i="40"/>
  <c r="BZ164" i="40"/>
  <c r="CE164" i="40"/>
  <c r="DU164" i="40"/>
  <c r="II164" i="40"/>
  <c r="IL164" i="40" s="1"/>
  <c r="AZ164" i="40"/>
  <c r="BF164" i="40"/>
  <c r="BK164" i="40"/>
  <c r="BP164" i="40"/>
  <c r="BV164" i="40"/>
  <c r="CA164" i="40"/>
  <c r="CF164" i="40"/>
  <c r="DV164" i="40"/>
  <c r="IK164" i="40"/>
  <c r="IN164" i="40" s="1"/>
  <c r="BG164" i="40"/>
  <c r="BR164" i="40"/>
  <c r="CB164" i="40"/>
  <c r="DM164" i="40"/>
  <c r="AW164" i="40"/>
  <c r="BH164" i="40"/>
  <c r="BS164" i="40"/>
  <c r="CD164" i="40"/>
  <c r="DS164" i="40"/>
  <c r="JF164" i="40"/>
  <c r="HN164" i="40" s="1"/>
  <c r="HQ164" i="40" s="1"/>
  <c r="BB164" i="40"/>
  <c r="BL164" i="40"/>
  <c r="BW164" i="40"/>
  <c r="CH164" i="40"/>
  <c r="DW164" i="40"/>
  <c r="BC164" i="40"/>
  <c r="BN164" i="40"/>
  <c r="BX164" i="40"/>
  <c r="JO164" i="40"/>
  <c r="IY164" i="40"/>
  <c r="HZ164" i="40"/>
  <c r="HY164" i="40"/>
  <c r="HY664" i="40" s="1"/>
  <c r="IX164" i="40"/>
  <c r="IA164" i="40"/>
  <c r="IA664" i="40" s="1"/>
  <c r="IZ164" i="40"/>
  <c r="JP164" i="40"/>
  <c r="JG164" i="40"/>
  <c r="C271" i="40"/>
  <c r="A270" i="40"/>
  <c r="AX270" i="40"/>
  <c r="BC270" i="40"/>
  <c r="BG270" i="40"/>
  <c r="BK270" i="40"/>
  <c r="BO270" i="40"/>
  <c r="BS270" i="40"/>
  <c r="BW270" i="40"/>
  <c r="CA270" i="40"/>
  <c r="CE270" i="40"/>
  <c r="DT270" i="40"/>
  <c r="AZ270" i="40"/>
  <c r="BD270" i="40"/>
  <c r="BH270" i="40"/>
  <c r="BL270" i="40"/>
  <c r="BP270" i="40"/>
  <c r="BT270" i="40"/>
  <c r="BX270" i="40"/>
  <c r="CB270" i="40"/>
  <c r="CF270" i="40"/>
  <c r="DU270" i="40"/>
  <c r="BA270" i="40"/>
  <c r="BE270" i="40"/>
  <c r="BI270" i="40"/>
  <c r="BM270" i="40"/>
  <c r="BQ270" i="40"/>
  <c r="BU270" i="40"/>
  <c r="BY270" i="40"/>
  <c r="CC270" i="40"/>
  <c r="CG270" i="40"/>
  <c r="DM270" i="40"/>
  <c r="DV270" i="40"/>
  <c r="BF270" i="40"/>
  <c r="BV270" i="40"/>
  <c r="DS270" i="40"/>
  <c r="BJ270" i="40"/>
  <c r="BZ270" i="40"/>
  <c r="DW270" i="40"/>
  <c r="AW270" i="40"/>
  <c r="BN270" i="40"/>
  <c r="CD270" i="40"/>
  <c r="JO270" i="40"/>
  <c r="CH270" i="40"/>
  <c r="BR270" i="40"/>
  <c r="BB270" i="40"/>
  <c r="HZ270" i="40"/>
  <c r="IZ270" i="40"/>
  <c r="HY270" i="40"/>
  <c r="IX270" i="40"/>
  <c r="IA270" i="40"/>
  <c r="JP270" i="40"/>
  <c r="IY270" i="40"/>
  <c r="KR158" i="40"/>
  <c r="D477" i="40" l="1"/>
  <c r="JT159" i="40"/>
  <c r="JX159" i="40" s="1"/>
  <c r="HV477" i="40"/>
  <c r="HX477" i="40"/>
  <c r="HW477" i="40"/>
  <c r="JJ476" i="40"/>
  <c r="IG161" i="40"/>
  <c r="KK161" i="40" s="1"/>
  <c r="D269" i="40"/>
  <c r="KQ159" i="40"/>
  <c r="KS159" i="40" s="1"/>
  <c r="W47" i="58"/>
  <c r="S46" i="58"/>
  <c r="S47" i="58" s="1"/>
  <c r="Y46" i="58"/>
  <c r="AE47" i="58"/>
  <c r="AI47" i="58" s="1"/>
  <c r="AL47" i="58"/>
  <c r="AM47" i="58"/>
  <c r="AN47" i="58"/>
  <c r="JQ159" i="40"/>
  <c r="JU159" i="40" s="1"/>
  <c r="JV159" i="40" s="1"/>
  <c r="JW159" i="40" s="1"/>
  <c r="JS159" i="40"/>
  <c r="V47" i="58"/>
  <c r="R46" i="58"/>
  <c r="KR159" i="40"/>
  <c r="JD160" i="40"/>
  <c r="JR160" i="40" s="1"/>
  <c r="IE161" i="40"/>
  <c r="KP161" i="40" s="1"/>
  <c r="D163" i="40"/>
  <c r="AY163" i="40" s="1"/>
  <c r="KP160" i="40"/>
  <c r="AQ160" i="40"/>
  <c r="KJ160" i="40"/>
  <c r="HW163" i="40"/>
  <c r="IC163" i="40" s="1"/>
  <c r="HV163" i="40"/>
  <c r="HW164" i="40"/>
  <c r="IQ164" i="40"/>
  <c r="JC164" i="40" s="1"/>
  <c r="IO164" i="40"/>
  <c r="JA164" i="40" s="1"/>
  <c r="AP270" i="40"/>
  <c r="HM164" i="40"/>
  <c r="HP164" i="40" s="1"/>
  <c r="HO164" i="40"/>
  <c r="HR164" i="40" s="1"/>
  <c r="AN164" i="40"/>
  <c r="HU164" i="40"/>
  <c r="HT164" i="40"/>
  <c r="KU110" i="40"/>
  <c r="I21" i="70" s="1"/>
  <c r="KT111" i="40"/>
  <c r="AN478" i="40"/>
  <c r="JK162" i="40"/>
  <c r="JL162" i="40" s="1"/>
  <c r="AM270" i="40"/>
  <c r="AO164" i="40"/>
  <c r="IZ664" i="40"/>
  <c r="IP164" i="40"/>
  <c r="JB164" i="40" s="1"/>
  <c r="C166" i="40"/>
  <c r="IJ165" i="40"/>
  <c r="IM165" i="40" s="1"/>
  <c r="AW165" i="40"/>
  <c r="BB165" i="40"/>
  <c r="BF165" i="40"/>
  <c r="BJ165" i="40"/>
  <c r="BN165" i="40"/>
  <c r="BR165" i="40"/>
  <c r="BV165" i="40"/>
  <c r="BZ165" i="40"/>
  <c r="CD165" i="40"/>
  <c r="CH165" i="40"/>
  <c r="DU165" i="40"/>
  <c r="JF165" i="40"/>
  <c r="HO165" i="40" s="1"/>
  <c r="II165" i="40"/>
  <c r="IL165" i="40" s="1"/>
  <c r="AX165" i="40"/>
  <c r="BC165" i="40"/>
  <c r="BG165" i="40"/>
  <c r="BK165" i="40"/>
  <c r="BO165" i="40"/>
  <c r="BS165" i="40"/>
  <c r="BW165" i="40"/>
  <c r="CA165" i="40"/>
  <c r="CE165" i="40"/>
  <c r="DM165" i="40"/>
  <c r="DV165" i="40"/>
  <c r="IK165" i="40"/>
  <c r="IN165" i="40" s="1"/>
  <c r="BD165" i="40"/>
  <c r="BL165" i="40"/>
  <c r="BT165" i="40"/>
  <c r="CB165" i="40"/>
  <c r="DW165" i="40"/>
  <c r="BE165" i="40"/>
  <c r="BM165" i="40"/>
  <c r="BU165" i="40"/>
  <c r="CC165" i="40"/>
  <c r="AZ165" i="40"/>
  <c r="BH165" i="40"/>
  <c r="BP165" i="40"/>
  <c r="BX165" i="40"/>
  <c r="CF165" i="40"/>
  <c r="DS165" i="40"/>
  <c r="A165" i="40"/>
  <c r="BA165" i="40"/>
  <c r="CG165" i="40"/>
  <c r="BI165" i="40"/>
  <c r="DT165" i="40"/>
  <c r="BQ165" i="40"/>
  <c r="BY165" i="40"/>
  <c r="JO165" i="40"/>
  <c r="IA165" i="40"/>
  <c r="IA665" i="40" s="1"/>
  <c r="HZ165" i="40"/>
  <c r="IY165" i="40"/>
  <c r="IZ165" i="40"/>
  <c r="HY165" i="40"/>
  <c r="HY665" i="40" s="1"/>
  <c r="IX165" i="40"/>
  <c r="IX665" i="40" s="1"/>
  <c r="JP165" i="40"/>
  <c r="JG165" i="40"/>
  <c r="KJ161" i="40"/>
  <c r="KO161" i="40"/>
  <c r="AP478" i="40"/>
  <c r="JI163" i="40"/>
  <c r="AN270" i="40"/>
  <c r="AL164" i="40"/>
  <c r="AK164" i="40"/>
  <c r="IX664" i="40"/>
  <c r="HZ664" i="40"/>
  <c r="IY664" i="40" s="1"/>
  <c r="B480" i="40"/>
  <c r="A479" i="40"/>
  <c r="KO160" i="40"/>
  <c r="KI160" i="40"/>
  <c r="JS160" i="40"/>
  <c r="AO270" i="40"/>
  <c r="C272" i="40"/>
  <c r="A271" i="40"/>
  <c r="AX271" i="40"/>
  <c r="BC271" i="40"/>
  <c r="BG271" i="40"/>
  <c r="BK271" i="40"/>
  <c r="BO271" i="40"/>
  <c r="BS271" i="40"/>
  <c r="BW271" i="40"/>
  <c r="CA271" i="40"/>
  <c r="CE271" i="40"/>
  <c r="DT271" i="40"/>
  <c r="AZ271" i="40"/>
  <c r="BD271" i="40"/>
  <c r="BH271" i="40"/>
  <c r="BL271" i="40"/>
  <c r="BP271" i="40"/>
  <c r="BT271" i="40"/>
  <c r="BX271" i="40"/>
  <c r="CB271" i="40"/>
  <c r="CF271" i="40"/>
  <c r="DU271" i="40"/>
  <c r="BA271" i="40"/>
  <c r="BE271" i="40"/>
  <c r="BI271" i="40"/>
  <c r="BM271" i="40"/>
  <c r="BQ271" i="40"/>
  <c r="BU271" i="40"/>
  <c r="BY271" i="40"/>
  <c r="CC271" i="40"/>
  <c r="CG271" i="40"/>
  <c r="DM271" i="40"/>
  <c r="DV271" i="40"/>
  <c r="AW271" i="40"/>
  <c r="BN271" i="40"/>
  <c r="CD271" i="40"/>
  <c r="BB271" i="40"/>
  <c r="BR271" i="40"/>
  <c r="CH271" i="40"/>
  <c r="BF271" i="40"/>
  <c r="BV271" i="40"/>
  <c r="DS271" i="40"/>
  <c r="JO271" i="40"/>
  <c r="BZ271" i="40"/>
  <c r="DW271" i="40"/>
  <c r="BJ271" i="40"/>
  <c r="JP271" i="40"/>
  <c r="IA271" i="40"/>
  <c r="IY271" i="40"/>
  <c r="HY271" i="40"/>
  <c r="IX271" i="40"/>
  <c r="IZ271" i="40"/>
  <c r="HZ271" i="40"/>
  <c r="AP164" i="40"/>
  <c r="AM164" i="40"/>
  <c r="HX164" i="40"/>
  <c r="HS164" i="40"/>
  <c r="ID162" i="40"/>
  <c r="AO478" i="40"/>
  <c r="AM478" i="40"/>
  <c r="JQ160" i="40"/>
  <c r="JU160" i="40" s="1"/>
  <c r="ID163" i="40"/>
  <c r="JH163" i="40"/>
  <c r="KK160" i="40"/>
  <c r="JD161" i="40" l="1"/>
  <c r="JS161" i="40" s="1"/>
  <c r="AQ161" i="40"/>
  <c r="KI161" i="40"/>
  <c r="JJ477" i="40"/>
  <c r="HV164" i="40"/>
  <c r="JJ164" i="40" s="1"/>
  <c r="HV478" i="40"/>
  <c r="HW478" i="40"/>
  <c r="HX478" i="40"/>
  <c r="KQ160" i="40"/>
  <c r="JT160" i="40"/>
  <c r="JX160" i="40" s="1"/>
  <c r="JV160" i="40"/>
  <c r="JW160" i="40" s="1"/>
  <c r="AF46" i="58"/>
  <c r="AF47" i="58" s="1"/>
  <c r="AG47" i="58" s="1"/>
  <c r="AA46" i="58"/>
  <c r="AA47" i="58" s="1"/>
  <c r="Z46" i="58"/>
  <c r="Z47" i="58" s="1"/>
  <c r="R47" i="58"/>
  <c r="A47" i="58" s="1"/>
  <c r="Y47" i="58"/>
  <c r="D478" i="40"/>
  <c r="D270" i="40"/>
  <c r="D164" i="40"/>
  <c r="AY164" i="40" s="1"/>
  <c r="JJ163" i="40"/>
  <c r="JK163" i="40" s="1"/>
  <c r="JL163" i="40" s="1"/>
  <c r="IO165" i="40"/>
  <c r="JA165" i="40" s="1"/>
  <c r="HX165" i="40"/>
  <c r="IB163" i="40"/>
  <c r="IE163" i="40" s="1"/>
  <c r="HN165" i="40"/>
  <c r="HQ165" i="40" s="1"/>
  <c r="IC164" i="40"/>
  <c r="HM165" i="40"/>
  <c r="HP165" i="40" s="1"/>
  <c r="HU165" i="40"/>
  <c r="C273" i="40"/>
  <c r="A272" i="40"/>
  <c r="AX272" i="40"/>
  <c r="BC272" i="40"/>
  <c r="BG272" i="40"/>
  <c r="BK272" i="40"/>
  <c r="BO272" i="40"/>
  <c r="BS272" i="40"/>
  <c r="BW272" i="40"/>
  <c r="CA272" i="40"/>
  <c r="CE272" i="40"/>
  <c r="DU272" i="40"/>
  <c r="AZ272" i="40"/>
  <c r="BD272" i="40"/>
  <c r="BH272" i="40"/>
  <c r="BL272" i="40"/>
  <c r="BP272" i="40"/>
  <c r="BT272" i="40"/>
  <c r="BX272" i="40"/>
  <c r="CB272" i="40"/>
  <c r="CF272" i="40"/>
  <c r="DM272" i="40"/>
  <c r="DV272" i="40"/>
  <c r="BA272" i="40"/>
  <c r="BE272" i="40"/>
  <c r="BI272" i="40"/>
  <c r="BM272" i="40"/>
  <c r="BQ272" i="40"/>
  <c r="BU272" i="40"/>
  <c r="BY272" i="40"/>
  <c r="CC272" i="40"/>
  <c r="CG272" i="40"/>
  <c r="DS272" i="40"/>
  <c r="DW272" i="40"/>
  <c r="BF272" i="40"/>
  <c r="BV272" i="40"/>
  <c r="DT272" i="40"/>
  <c r="BJ272" i="40"/>
  <c r="BZ272" i="40"/>
  <c r="AW272" i="40"/>
  <c r="BN272" i="40"/>
  <c r="CD272" i="40"/>
  <c r="JO272" i="40"/>
  <c r="BR272" i="40"/>
  <c r="CH272" i="40"/>
  <c r="BB272" i="40"/>
  <c r="HZ272" i="40"/>
  <c r="IX272" i="40"/>
  <c r="IY272" i="40"/>
  <c r="IA272" i="40"/>
  <c r="HY272" i="40"/>
  <c r="IZ272" i="40"/>
  <c r="JP272" i="40"/>
  <c r="AM479" i="40"/>
  <c r="B481" i="40"/>
  <c r="A480" i="40"/>
  <c r="JH164" i="40"/>
  <c r="AP165" i="40"/>
  <c r="AO165" i="40"/>
  <c r="JI164" i="40"/>
  <c r="AM271" i="40"/>
  <c r="HS165" i="40"/>
  <c r="AP271" i="40"/>
  <c r="AN271" i="40"/>
  <c r="AO271" i="40"/>
  <c r="KR160" i="40"/>
  <c r="KS160" i="40"/>
  <c r="AP479" i="40"/>
  <c r="JT161" i="40"/>
  <c r="JX161" i="40" s="1"/>
  <c r="KR161" i="40"/>
  <c r="IP165" i="40"/>
  <c r="JB165" i="40" s="1"/>
  <c r="HR165" i="40"/>
  <c r="IQ165" i="40"/>
  <c r="JC165" i="40" s="1"/>
  <c r="C167" i="40"/>
  <c r="IJ166" i="40"/>
  <c r="IM166" i="40" s="1"/>
  <c r="AW166" i="40"/>
  <c r="BB166" i="40"/>
  <c r="BF166" i="40"/>
  <c r="BJ166" i="40"/>
  <c r="BN166" i="40"/>
  <c r="BR166" i="40"/>
  <c r="BV166" i="40"/>
  <c r="BZ166" i="40"/>
  <c r="CD166" i="40"/>
  <c r="CH166" i="40"/>
  <c r="DS166" i="40"/>
  <c r="DW166" i="40"/>
  <c r="JF166" i="40"/>
  <c r="HN166" i="40" s="1"/>
  <c r="HQ166" i="40" s="1"/>
  <c r="II166" i="40"/>
  <c r="IL166" i="40" s="1"/>
  <c r="AX166" i="40"/>
  <c r="BC166" i="40"/>
  <c r="BG166" i="40"/>
  <c r="BK166" i="40"/>
  <c r="BO166" i="40"/>
  <c r="BS166" i="40"/>
  <c r="BW166" i="40"/>
  <c r="CA166" i="40"/>
  <c r="CE166" i="40"/>
  <c r="DT166" i="40"/>
  <c r="AZ166" i="40"/>
  <c r="BH166" i="40"/>
  <c r="BP166" i="40"/>
  <c r="BX166" i="40"/>
  <c r="CF166" i="40"/>
  <c r="DU166" i="40"/>
  <c r="A166" i="40"/>
  <c r="BA166" i="40"/>
  <c r="BI166" i="40"/>
  <c r="BQ166" i="40"/>
  <c r="BY166" i="40"/>
  <c r="CG166" i="40"/>
  <c r="DV166" i="40"/>
  <c r="IK166" i="40"/>
  <c r="IN166" i="40" s="1"/>
  <c r="BD166" i="40"/>
  <c r="BL166" i="40"/>
  <c r="BT166" i="40"/>
  <c r="CB166" i="40"/>
  <c r="BU166" i="40"/>
  <c r="CC166" i="40"/>
  <c r="BE166" i="40"/>
  <c r="DM166" i="40"/>
  <c r="JO166" i="40"/>
  <c r="BM166" i="40"/>
  <c r="IX166" i="40"/>
  <c r="IZ166" i="40"/>
  <c r="HY166" i="40"/>
  <c r="HY666" i="40" s="1"/>
  <c r="IA166" i="40"/>
  <c r="IA666" i="40" s="1"/>
  <c r="IY166" i="40"/>
  <c r="HZ166" i="40"/>
  <c r="JP166" i="40"/>
  <c r="JG166" i="40"/>
  <c r="IB162" i="40"/>
  <c r="JM162" i="40"/>
  <c r="KT112" i="40"/>
  <c r="KU111" i="40"/>
  <c r="ID164" i="40"/>
  <c r="AN479" i="40"/>
  <c r="AO479" i="40"/>
  <c r="AL165" i="40"/>
  <c r="AK165" i="40"/>
  <c r="AN165" i="40"/>
  <c r="IZ665" i="40"/>
  <c r="HZ665" i="40"/>
  <c r="IY665" i="40" s="1"/>
  <c r="AM165" i="40"/>
  <c r="HT165" i="40"/>
  <c r="JQ161" i="40" l="1"/>
  <c r="JU161" i="40" s="1"/>
  <c r="JV161" i="40" s="1"/>
  <c r="JW161" i="40" s="1"/>
  <c r="KQ161" i="40"/>
  <c r="KS161" i="40" s="1"/>
  <c r="JR161" i="40"/>
  <c r="JJ478" i="40"/>
  <c r="HV479" i="40"/>
  <c r="HX479" i="40"/>
  <c r="HW479" i="40"/>
  <c r="AC46" i="58"/>
  <c r="AD46" i="58" s="1"/>
  <c r="AD47" i="58" s="1"/>
  <c r="D479" i="40"/>
  <c r="D271" i="40"/>
  <c r="D165" i="40"/>
  <c r="AY165" i="40" s="1"/>
  <c r="IF163" i="40"/>
  <c r="IG163" i="40"/>
  <c r="W44" i="58" s="1"/>
  <c r="W45" i="58" s="1"/>
  <c r="IO166" i="40"/>
  <c r="JA166" i="40" s="1"/>
  <c r="HW166" i="40"/>
  <c r="AP166" i="40"/>
  <c r="HO166" i="40"/>
  <c r="HR166" i="40" s="1"/>
  <c r="JH165" i="40"/>
  <c r="HM166" i="40"/>
  <c r="HP166" i="40" s="1"/>
  <c r="I22" i="70"/>
  <c r="I11" i="70"/>
  <c r="AL166" i="40"/>
  <c r="AK166" i="40"/>
  <c r="AO166" i="40"/>
  <c r="HT166" i="40"/>
  <c r="JI165" i="40"/>
  <c r="AN480" i="40"/>
  <c r="AM480" i="40"/>
  <c r="IB164" i="40"/>
  <c r="IG164" i="40" s="1"/>
  <c r="KT113" i="40"/>
  <c r="KU112" i="40"/>
  <c r="HU166" i="40"/>
  <c r="HS166" i="40"/>
  <c r="HV165" i="40"/>
  <c r="AN272" i="40"/>
  <c r="AM272" i="40"/>
  <c r="C274" i="40"/>
  <c r="AZ273" i="40"/>
  <c r="BD273" i="40"/>
  <c r="BH273" i="40"/>
  <c r="BL273" i="40"/>
  <c r="BP273" i="40"/>
  <c r="BT273" i="40"/>
  <c r="BX273" i="40"/>
  <c r="CB273" i="40"/>
  <c r="CF273" i="40"/>
  <c r="DU273" i="40"/>
  <c r="BA273" i="40"/>
  <c r="BE273" i="40"/>
  <c r="BI273" i="40"/>
  <c r="BM273" i="40"/>
  <c r="BQ273" i="40"/>
  <c r="BU273" i="40"/>
  <c r="BY273" i="40"/>
  <c r="CC273" i="40"/>
  <c r="CG273" i="40"/>
  <c r="DM273" i="40"/>
  <c r="DV273" i="40"/>
  <c r="AW273" i="40"/>
  <c r="BB273" i="40"/>
  <c r="BF273" i="40"/>
  <c r="BJ273" i="40"/>
  <c r="BN273" i="40"/>
  <c r="BR273" i="40"/>
  <c r="BV273" i="40"/>
  <c r="BZ273" i="40"/>
  <c r="CD273" i="40"/>
  <c r="CH273" i="40"/>
  <c r="DS273" i="40"/>
  <c r="DW273" i="40"/>
  <c r="AX273" i="40"/>
  <c r="BO273" i="40"/>
  <c r="CE273" i="40"/>
  <c r="A273" i="40"/>
  <c r="BC273" i="40"/>
  <c r="BS273" i="40"/>
  <c r="BG273" i="40"/>
  <c r="BW273" i="40"/>
  <c r="DT273" i="40"/>
  <c r="JO273" i="40"/>
  <c r="BK273" i="40"/>
  <c r="CA273" i="40"/>
  <c r="HZ273" i="40"/>
  <c r="IA273" i="40"/>
  <c r="IX273" i="40"/>
  <c r="JP273" i="40"/>
  <c r="IZ273" i="40"/>
  <c r="IY273" i="40"/>
  <c r="HY273" i="40"/>
  <c r="KO162" i="40"/>
  <c r="IP166" i="40"/>
  <c r="JB166" i="40" s="1"/>
  <c r="ID165" i="40"/>
  <c r="HW165" i="40"/>
  <c r="IC165" i="40" s="1"/>
  <c r="JM163" i="40"/>
  <c r="JK164" i="40"/>
  <c r="JL164" i="40" s="1"/>
  <c r="AP480" i="40"/>
  <c r="B482" i="40"/>
  <c r="A481" i="40"/>
  <c r="AP272" i="40"/>
  <c r="AO272" i="40"/>
  <c r="IF162" i="40"/>
  <c r="IE162" i="40"/>
  <c r="KI162" i="40" s="1"/>
  <c r="AN166" i="40"/>
  <c r="HZ666" i="40"/>
  <c r="IZ666" i="40"/>
  <c r="IX666" i="40"/>
  <c r="AM166" i="40"/>
  <c r="IQ166" i="40"/>
  <c r="JC166" i="40" s="1"/>
  <c r="C168" i="40"/>
  <c r="IK167" i="40"/>
  <c r="IN167" i="40" s="1"/>
  <c r="AZ167" i="40"/>
  <c r="BD167" i="40"/>
  <c r="BH167" i="40"/>
  <c r="BL167" i="40"/>
  <c r="BP167" i="40"/>
  <c r="BT167" i="40"/>
  <c r="BX167" i="40"/>
  <c r="CB167" i="40"/>
  <c r="CF167" i="40"/>
  <c r="DS167" i="40"/>
  <c r="DW167" i="40"/>
  <c r="A167" i="40"/>
  <c r="BA167" i="40"/>
  <c r="BE167" i="40"/>
  <c r="BI167" i="40"/>
  <c r="BM167" i="40"/>
  <c r="BQ167" i="40"/>
  <c r="BU167" i="40"/>
  <c r="BY167" i="40"/>
  <c r="CC167" i="40"/>
  <c r="CG167" i="40"/>
  <c r="DT167" i="40"/>
  <c r="AW167" i="40"/>
  <c r="BF167" i="40"/>
  <c r="BN167" i="40"/>
  <c r="BV167" i="40"/>
  <c r="CD167" i="40"/>
  <c r="JF167" i="40"/>
  <c r="HO167" i="40" s="1"/>
  <c r="AX167" i="40"/>
  <c r="BG167" i="40"/>
  <c r="BO167" i="40"/>
  <c r="BW167" i="40"/>
  <c r="CE167" i="40"/>
  <c r="DM167" i="40"/>
  <c r="IO167" i="40"/>
  <c r="IJ167" i="40"/>
  <c r="IM167" i="40" s="1"/>
  <c r="BB167" i="40"/>
  <c r="BJ167" i="40"/>
  <c r="BR167" i="40"/>
  <c r="BZ167" i="40"/>
  <c r="CH167" i="40"/>
  <c r="DU167" i="40"/>
  <c r="BK167" i="40"/>
  <c r="DV167" i="40"/>
  <c r="BS167" i="40"/>
  <c r="II167" i="40"/>
  <c r="IL167" i="40" s="1"/>
  <c r="CA167" i="40"/>
  <c r="BC167" i="40"/>
  <c r="JO167" i="40"/>
  <c r="HY167" i="40"/>
  <c r="HY667" i="40" s="1"/>
  <c r="IA167" i="40"/>
  <c r="IA667" i="40" s="1"/>
  <c r="IZ167" i="40"/>
  <c r="HZ167" i="40"/>
  <c r="IX167" i="40"/>
  <c r="IY167" i="40"/>
  <c r="JP167" i="40"/>
  <c r="JG167" i="40"/>
  <c r="IG162" i="40"/>
  <c r="KK162" i="40" s="1"/>
  <c r="AO480" i="40"/>
  <c r="AC47" i="58" l="1"/>
  <c r="C47" i="58" s="1"/>
  <c r="JJ479" i="40"/>
  <c r="HW480" i="40"/>
  <c r="HX480" i="40"/>
  <c r="HV480" i="40"/>
  <c r="D480" i="40"/>
  <c r="D272" i="40"/>
  <c r="KP163" i="40"/>
  <c r="D166" i="40"/>
  <c r="AY166" i="40" s="1"/>
  <c r="AQ163" i="40"/>
  <c r="JD163" i="40"/>
  <c r="JT163" i="40" s="1"/>
  <c r="JX163" i="40" s="1"/>
  <c r="AP167" i="40"/>
  <c r="HM167" i="40"/>
  <c r="HP167" i="40" s="1"/>
  <c r="HN167" i="40"/>
  <c r="HQ167" i="40" s="1"/>
  <c r="IC166" i="40"/>
  <c r="AK167" i="40"/>
  <c r="AL167" i="40"/>
  <c r="AN167" i="40"/>
  <c r="IX667" i="40"/>
  <c r="IQ167" i="40"/>
  <c r="JC167" i="40" s="1"/>
  <c r="JD162" i="40"/>
  <c r="KP162" i="40"/>
  <c r="KR162" i="40" s="1"/>
  <c r="AP481" i="40"/>
  <c r="AO481" i="40"/>
  <c r="IY666" i="40"/>
  <c r="AP273" i="40"/>
  <c r="AO273" i="40"/>
  <c r="JJ165" i="40"/>
  <c r="JK165" i="40" s="1"/>
  <c r="JL165" i="40" s="1"/>
  <c r="JI166" i="40"/>
  <c r="JH166" i="40"/>
  <c r="AO167" i="40"/>
  <c r="JA167" i="40"/>
  <c r="HW167" i="40"/>
  <c r="HX167" i="40"/>
  <c r="HV167" i="40"/>
  <c r="HS167" i="40"/>
  <c r="HT167" i="40"/>
  <c r="IC167" i="40" s="1"/>
  <c r="HU167" i="40"/>
  <c r="AQ162" i="40"/>
  <c r="B483" i="40"/>
  <c r="A482" i="40"/>
  <c r="JM164" i="40"/>
  <c r="AN273" i="40"/>
  <c r="AM273" i="40"/>
  <c r="HX166" i="40"/>
  <c r="ID166" i="40" s="1"/>
  <c r="HZ667" i="40"/>
  <c r="IY667" i="40" s="1"/>
  <c r="IP167" i="40"/>
  <c r="JB167" i="40" s="1"/>
  <c r="AN481" i="40"/>
  <c r="AM481" i="40"/>
  <c r="KO163" i="40"/>
  <c r="KI163" i="40"/>
  <c r="KK163" i="40"/>
  <c r="KJ163" i="40"/>
  <c r="C275" i="40"/>
  <c r="AZ274" i="40"/>
  <c r="BD274" i="40"/>
  <c r="BH274" i="40"/>
  <c r="BL274" i="40"/>
  <c r="BP274" i="40"/>
  <c r="BT274" i="40"/>
  <c r="BX274" i="40"/>
  <c r="CB274" i="40"/>
  <c r="CF274" i="40"/>
  <c r="DM274" i="40"/>
  <c r="DV274" i="40"/>
  <c r="BA274" i="40"/>
  <c r="BE274" i="40"/>
  <c r="BI274" i="40"/>
  <c r="BM274" i="40"/>
  <c r="BQ274" i="40"/>
  <c r="BU274" i="40"/>
  <c r="BY274" i="40"/>
  <c r="CC274" i="40"/>
  <c r="CG274" i="40"/>
  <c r="DS274" i="40"/>
  <c r="DW274" i="40"/>
  <c r="AW274" i="40"/>
  <c r="BB274" i="40"/>
  <c r="BF274" i="40"/>
  <c r="BJ274" i="40"/>
  <c r="BN274" i="40"/>
  <c r="BR274" i="40"/>
  <c r="BV274" i="40"/>
  <c r="BZ274" i="40"/>
  <c r="CD274" i="40"/>
  <c r="CH274" i="40"/>
  <c r="DT274" i="40"/>
  <c r="BG274" i="40"/>
  <c r="BW274" i="40"/>
  <c r="DU274" i="40"/>
  <c r="BK274" i="40"/>
  <c r="CA274" i="40"/>
  <c r="AX274" i="40"/>
  <c r="BO274" i="40"/>
  <c r="CE274" i="40"/>
  <c r="JO274" i="40"/>
  <c r="BC274" i="40"/>
  <c r="BS274" i="40"/>
  <c r="A274" i="40"/>
  <c r="IZ274" i="40"/>
  <c r="IA274" i="40"/>
  <c r="IX274" i="40"/>
  <c r="JP274" i="40"/>
  <c r="HZ274" i="40"/>
  <c r="IY274" i="40"/>
  <c r="HY274" i="40"/>
  <c r="HV166" i="40"/>
  <c r="I12" i="70"/>
  <c r="I23" i="70"/>
  <c r="IE164" i="40"/>
  <c r="IF164" i="40"/>
  <c r="IZ667" i="40"/>
  <c r="AM167" i="40"/>
  <c r="HR167" i="40"/>
  <c r="C169" i="40"/>
  <c r="IK168" i="40"/>
  <c r="IN168" i="40" s="1"/>
  <c r="AZ168" i="40"/>
  <c r="BD168" i="40"/>
  <c r="BH168" i="40"/>
  <c r="BL168" i="40"/>
  <c r="BP168" i="40"/>
  <c r="BT168" i="40"/>
  <c r="BX168" i="40"/>
  <c r="CB168" i="40"/>
  <c r="CF168" i="40"/>
  <c r="DM168" i="40"/>
  <c r="DV168" i="40"/>
  <c r="A168" i="40"/>
  <c r="BA168" i="40"/>
  <c r="BE168" i="40"/>
  <c r="BI168" i="40"/>
  <c r="BM168" i="40"/>
  <c r="BQ168" i="40"/>
  <c r="BU168" i="40"/>
  <c r="BY168" i="40"/>
  <c r="CC168" i="40"/>
  <c r="CG168" i="40"/>
  <c r="DS168" i="40"/>
  <c r="DW168" i="40"/>
  <c r="IJ168" i="40"/>
  <c r="IM168" i="40" s="1"/>
  <c r="BB168" i="40"/>
  <c r="BJ168" i="40"/>
  <c r="BR168" i="40"/>
  <c r="BZ168" i="40"/>
  <c r="CH168" i="40"/>
  <c r="II168" i="40"/>
  <c r="IL168" i="40" s="1"/>
  <c r="BC168" i="40"/>
  <c r="BK168" i="40"/>
  <c r="BS168" i="40"/>
  <c r="CA168" i="40"/>
  <c r="AW168" i="40"/>
  <c r="BF168" i="40"/>
  <c r="BN168" i="40"/>
  <c r="BV168" i="40"/>
  <c r="CD168" i="40"/>
  <c r="DT168" i="40"/>
  <c r="AX168" i="40"/>
  <c r="CE168" i="40"/>
  <c r="BG168" i="40"/>
  <c r="DU168" i="40"/>
  <c r="BO168" i="40"/>
  <c r="BW168" i="40"/>
  <c r="JF168" i="40"/>
  <c r="HN168" i="40" s="1"/>
  <c r="HQ168" i="40" s="1"/>
  <c r="JO168" i="40"/>
  <c r="HY168" i="40"/>
  <c r="HY668" i="40" s="1"/>
  <c r="IZ168" i="40"/>
  <c r="HZ168" i="40"/>
  <c r="IA168" i="40"/>
  <c r="IA668" i="40" s="1"/>
  <c r="IX168" i="40"/>
  <c r="IY168" i="40"/>
  <c r="JP168" i="40"/>
  <c r="JG168" i="40"/>
  <c r="IB165" i="40"/>
  <c r="IF165" i="40" s="1"/>
  <c r="KJ162" i="40"/>
  <c r="KU113" i="40"/>
  <c r="I24" i="70" s="1"/>
  <c r="KT114" i="40"/>
  <c r="D481" i="40" l="1"/>
  <c r="JJ480" i="40"/>
  <c r="HW481" i="40"/>
  <c r="HV481" i="40"/>
  <c r="HX481" i="40"/>
  <c r="KQ163" i="40"/>
  <c r="JS163" i="40"/>
  <c r="JQ163" i="40"/>
  <c r="JU163" i="40" s="1"/>
  <c r="JV163" i="40" s="1"/>
  <c r="JW163" i="40" s="1"/>
  <c r="JR163" i="40"/>
  <c r="D273" i="40"/>
  <c r="D167" i="40"/>
  <c r="AY167" i="40" s="1"/>
  <c r="IX668" i="40"/>
  <c r="AP482" i="40"/>
  <c r="IZ668" i="40"/>
  <c r="IQ168" i="40"/>
  <c r="JC168" i="40" s="1"/>
  <c r="AP168" i="40"/>
  <c r="AP274" i="40"/>
  <c r="HM168" i="40"/>
  <c r="HP168" i="40" s="1"/>
  <c r="JJ166" i="40"/>
  <c r="JK166" i="40" s="1"/>
  <c r="JL166" i="40" s="1"/>
  <c r="AL168" i="40"/>
  <c r="AK168" i="40"/>
  <c r="HS168" i="40"/>
  <c r="IO168" i="40"/>
  <c r="JA168" i="40" s="1"/>
  <c r="AQ164" i="40"/>
  <c r="AM274" i="40"/>
  <c r="JJ167" i="40"/>
  <c r="HT168" i="40"/>
  <c r="HU168" i="40"/>
  <c r="ID167" i="40"/>
  <c r="IB167" i="40" s="1"/>
  <c r="JH167" i="40"/>
  <c r="JD164" i="40"/>
  <c r="JS164" i="40" s="1"/>
  <c r="KP164" i="40"/>
  <c r="AN274" i="40"/>
  <c r="KR163" i="40"/>
  <c r="KS163" i="40"/>
  <c r="JM165" i="40"/>
  <c r="AO482" i="40"/>
  <c r="AM482" i="40"/>
  <c r="D482" i="40" s="1"/>
  <c r="IB166" i="40"/>
  <c r="HZ668" i="40"/>
  <c r="IY668" i="40" s="1"/>
  <c r="HX168" i="40"/>
  <c r="AN168" i="40"/>
  <c r="AO274" i="40"/>
  <c r="C276" i="40"/>
  <c r="BA275" i="40"/>
  <c r="BE275" i="40"/>
  <c r="BI275" i="40"/>
  <c r="BM275" i="40"/>
  <c r="BQ275" i="40"/>
  <c r="BU275" i="40"/>
  <c r="BY275" i="40"/>
  <c r="CC275" i="40"/>
  <c r="CG275" i="40"/>
  <c r="DS275" i="40"/>
  <c r="DW275" i="40"/>
  <c r="AW275" i="40"/>
  <c r="BB275" i="40"/>
  <c r="BF275" i="40"/>
  <c r="BJ275" i="40"/>
  <c r="BN275" i="40"/>
  <c r="BR275" i="40"/>
  <c r="BV275" i="40"/>
  <c r="BZ275" i="40"/>
  <c r="CD275" i="40"/>
  <c r="CH275" i="40"/>
  <c r="DT275" i="40"/>
  <c r="A275" i="40"/>
  <c r="AX275" i="40"/>
  <c r="BC275" i="40"/>
  <c r="BG275" i="40"/>
  <c r="BK275" i="40"/>
  <c r="BO275" i="40"/>
  <c r="BS275" i="40"/>
  <c r="BW275" i="40"/>
  <c r="CA275" i="40"/>
  <c r="CE275" i="40"/>
  <c r="DU275" i="40"/>
  <c r="AZ275" i="40"/>
  <c r="BP275" i="40"/>
  <c r="CF275" i="40"/>
  <c r="JO275" i="40"/>
  <c r="BD275" i="40"/>
  <c r="BT275" i="40"/>
  <c r="DM275" i="40"/>
  <c r="BH275" i="40"/>
  <c r="BX275" i="40"/>
  <c r="DV275" i="40"/>
  <c r="BL275" i="40"/>
  <c r="CB275" i="40"/>
  <c r="JP275" i="40"/>
  <c r="HZ275" i="40"/>
  <c r="IA275" i="40"/>
  <c r="IZ275" i="40"/>
  <c r="IY275" i="40"/>
  <c r="HY275" i="40"/>
  <c r="IX275" i="40"/>
  <c r="AP275" i="40"/>
  <c r="KJ164" i="40"/>
  <c r="KO164" i="40"/>
  <c r="KK164" i="40"/>
  <c r="KI164" i="40"/>
  <c r="IE165" i="40"/>
  <c r="IP168" i="40"/>
  <c r="JB168" i="40" s="1"/>
  <c r="KU114" i="40"/>
  <c r="I25" i="70" s="1"/>
  <c r="KT115" i="40"/>
  <c r="IG165" i="40"/>
  <c r="HO168" i="40"/>
  <c r="AO168" i="40"/>
  <c r="AM168" i="40"/>
  <c r="C170" i="40"/>
  <c r="JF169" i="40"/>
  <c r="HO169" i="40" s="1"/>
  <c r="II169" i="40"/>
  <c r="IL169" i="40" s="1"/>
  <c r="AX169" i="40"/>
  <c r="BC169" i="40"/>
  <c r="BG169" i="40"/>
  <c r="BK169" i="40"/>
  <c r="BO169" i="40"/>
  <c r="BS169" i="40"/>
  <c r="BW169" i="40"/>
  <c r="CA169" i="40"/>
  <c r="CE169" i="40"/>
  <c r="DT169" i="40"/>
  <c r="IK169" i="40"/>
  <c r="IN169" i="40" s="1"/>
  <c r="AZ169" i="40"/>
  <c r="BD169" i="40"/>
  <c r="BH169" i="40"/>
  <c r="BL169" i="40"/>
  <c r="BP169" i="40"/>
  <c r="BT169" i="40"/>
  <c r="BX169" i="40"/>
  <c r="CB169" i="40"/>
  <c r="CF169" i="40"/>
  <c r="DU169" i="40"/>
  <c r="A169" i="40"/>
  <c r="BA169" i="40"/>
  <c r="BI169" i="40"/>
  <c r="BQ169" i="40"/>
  <c r="BY169" i="40"/>
  <c r="CG169" i="40"/>
  <c r="DV169" i="40"/>
  <c r="IO169" i="40"/>
  <c r="IJ169" i="40"/>
  <c r="IM169" i="40" s="1"/>
  <c r="BB169" i="40"/>
  <c r="BJ169" i="40"/>
  <c r="BR169" i="40"/>
  <c r="BZ169" i="40"/>
  <c r="CH169" i="40"/>
  <c r="DW169" i="40"/>
  <c r="BE169" i="40"/>
  <c r="BM169" i="40"/>
  <c r="BU169" i="40"/>
  <c r="CC169" i="40"/>
  <c r="DM169" i="40"/>
  <c r="BV169" i="40"/>
  <c r="AW169" i="40"/>
  <c r="CD169" i="40"/>
  <c r="BF169" i="40"/>
  <c r="DS169" i="40"/>
  <c r="BN169" i="40"/>
  <c r="JO169" i="40"/>
  <c r="IZ169" i="40"/>
  <c r="IY169" i="40"/>
  <c r="HY169" i="40"/>
  <c r="HY669" i="40" s="1"/>
  <c r="IX169" i="40"/>
  <c r="IA169" i="40"/>
  <c r="IA669" i="40" s="1"/>
  <c r="HZ169" i="40"/>
  <c r="JP169" i="40"/>
  <c r="JG169" i="40"/>
  <c r="AN482" i="40"/>
  <c r="B484" i="40"/>
  <c r="A483" i="40"/>
  <c r="JI167" i="40"/>
  <c r="JS162" i="40"/>
  <c r="KQ162" i="40"/>
  <c r="KS162" i="40" s="1"/>
  <c r="JT162" i="40"/>
  <c r="JX162" i="40" s="1"/>
  <c r="JR162" i="40"/>
  <c r="JQ162" i="40"/>
  <c r="JU162" i="40" s="1"/>
  <c r="JV162" i="40" s="1"/>
  <c r="JW162" i="40" s="1"/>
  <c r="D274" i="40" l="1"/>
  <c r="JJ481" i="40"/>
  <c r="HV482" i="40"/>
  <c r="HX482" i="40"/>
  <c r="HW482" i="40"/>
  <c r="D168" i="40"/>
  <c r="AY168" i="40" s="1"/>
  <c r="IQ169" i="40"/>
  <c r="JC169" i="40" s="1"/>
  <c r="HM169" i="40"/>
  <c r="HP169" i="40" s="1"/>
  <c r="HN169" i="40"/>
  <c r="HQ169" i="40" s="1"/>
  <c r="HW169" i="40"/>
  <c r="JK167" i="40"/>
  <c r="JL167" i="40" s="1"/>
  <c r="JM167" i="40" s="1"/>
  <c r="AQ165" i="40"/>
  <c r="B485" i="40"/>
  <c r="A484" i="40"/>
  <c r="AP169" i="40"/>
  <c r="AM169" i="40"/>
  <c r="KR164" i="40"/>
  <c r="AO275" i="40"/>
  <c r="C277" i="40"/>
  <c r="AZ276" i="40"/>
  <c r="BD276" i="40"/>
  <c r="BH276" i="40"/>
  <c r="BL276" i="40"/>
  <c r="BP276" i="40"/>
  <c r="BT276" i="40"/>
  <c r="BX276" i="40"/>
  <c r="CB276" i="40"/>
  <c r="CF276" i="40"/>
  <c r="DU276" i="40"/>
  <c r="A276" i="40"/>
  <c r="BA276" i="40"/>
  <c r="BE276" i="40"/>
  <c r="BI276" i="40"/>
  <c r="BM276" i="40"/>
  <c r="BQ276" i="40"/>
  <c r="BU276" i="40"/>
  <c r="BY276" i="40"/>
  <c r="CC276" i="40"/>
  <c r="CG276" i="40"/>
  <c r="DM276" i="40"/>
  <c r="DV276" i="40"/>
  <c r="AW276" i="40"/>
  <c r="BB276" i="40"/>
  <c r="BF276" i="40"/>
  <c r="BJ276" i="40"/>
  <c r="BN276" i="40"/>
  <c r="BR276" i="40"/>
  <c r="BV276" i="40"/>
  <c r="BZ276" i="40"/>
  <c r="CD276" i="40"/>
  <c r="CH276" i="40"/>
  <c r="DS276" i="40"/>
  <c r="DW276" i="40"/>
  <c r="AX276" i="40"/>
  <c r="BO276" i="40"/>
  <c r="CE276" i="40"/>
  <c r="BC276" i="40"/>
  <c r="BS276" i="40"/>
  <c r="BG276" i="40"/>
  <c r="BW276" i="40"/>
  <c r="DT276" i="40"/>
  <c r="BK276" i="40"/>
  <c r="CA276" i="40"/>
  <c r="IG166" i="40"/>
  <c r="IE166" i="40"/>
  <c r="HV168" i="40"/>
  <c r="AM483" i="40"/>
  <c r="AO169" i="40"/>
  <c r="IZ669" i="40"/>
  <c r="HU169" i="40"/>
  <c r="C171" i="40"/>
  <c r="A170" i="40"/>
  <c r="BA170" i="40"/>
  <c r="BE170" i="40"/>
  <c r="BI170" i="40"/>
  <c r="BM170" i="40"/>
  <c r="BQ170" i="40"/>
  <c r="BU170" i="40"/>
  <c r="BY170" i="40"/>
  <c r="CC170" i="40"/>
  <c r="CG170" i="40"/>
  <c r="DS170" i="40"/>
  <c r="DW170" i="40"/>
  <c r="IJ170" i="40"/>
  <c r="IM170" i="40" s="1"/>
  <c r="AW170" i="40"/>
  <c r="BB170" i="40"/>
  <c r="BF170" i="40"/>
  <c r="BJ170" i="40"/>
  <c r="BN170" i="40"/>
  <c r="BR170" i="40"/>
  <c r="BV170" i="40"/>
  <c r="BZ170" i="40"/>
  <c r="CD170" i="40"/>
  <c r="CH170" i="40"/>
  <c r="DT170" i="40"/>
  <c r="JF170" i="40"/>
  <c r="HN170" i="40" s="1"/>
  <c r="HQ170" i="40" s="1"/>
  <c r="AX170" i="40"/>
  <c r="BG170" i="40"/>
  <c r="BO170" i="40"/>
  <c r="BW170" i="40"/>
  <c r="CE170" i="40"/>
  <c r="DU170" i="40"/>
  <c r="AZ170" i="40"/>
  <c r="BH170" i="40"/>
  <c r="BP170" i="40"/>
  <c r="BX170" i="40"/>
  <c r="CF170" i="40"/>
  <c r="DV170" i="40"/>
  <c r="II170" i="40"/>
  <c r="IL170" i="40" s="1"/>
  <c r="BC170" i="40"/>
  <c r="BK170" i="40"/>
  <c r="BS170" i="40"/>
  <c r="CA170" i="40"/>
  <c r="BL170" i="40"/>
  <c r="BT170" i="40"/>
  <c r="IK170" i="40"/>
  <c r="IN170" i="40" s="1"/>
  <c r="CB170" i="40"/>
  <c r="BD170" i="40"/>
  <c r="DM170" i="40"/>
  <c r="JO170" i="40"/>
  <c r="IX170" i="40"/>
  <c r="HY170" i="40"/>
  <c r="HY670" i="40" s="1"/>
  <c r="HZ170" i="40"/>
  <c r="IA170" i="40"/>
  <c r="IA670" i="40" s="1"/>
  <c r="IY170" i="40"/>
  <c r="IZ170" i="40"/>
  <c r="JP170" i="40"/>
  <c r="JG170" i="40"/>
  <c r="KU115" i="40"/>
  <c r="KT116" i="40"/>
  <c r="KJ165" i="40"/>
  <c r="KO165" i="40"/>
  <c r="KI165" i="40"/>
  <c r="KK165" i="40"/>
  <c r="JR164" i="40"/>
  <c r="JT164" i="40"/>
  <c r="JX164" i="40" s="1"/>
  <c r="KQ164" i="40"/>
  <c r="KS164" i="40" s="1"/>
  <c r="JQ164" i="40"/>
  <c r="JU164" i="40" s="1"/>
  <c r="JV164" i="40" s="1"/>
  <c r="JW164" i="40" s="1"/>
  <c r="HW168" i="40"/>
  <c r="IC168" i="40" s="1"/>
  <c r="AK169" i="40"/>
  <c r="AL169" i="40"/>
  <c r="IP169" i="40"/>
  <c r="JB169" i="40" s="1"/>
  <c r="HT169" i="40"/>
  <c r="JA169" i="40"/>
  <c r="HS169" i="40"/>
  <c r="HR168" i="40"/>
  <c r="JH168" i="40" s="1"/>
  <c r="IF167" i="40"/>
  <c r="IE167" i="40"/>
  <c r="IG167" i="40"/>
  <c r="AN483" i="40"/>
  <c r="AP483" i="40"/>
  <c r="AO483" i="40"/>
  <c r="AN169" i="40"/>
  <c r="HZ669" i="40"/>
  <c r="IY669" i="40" s="1"/>
  <c r="IX669" i="40"/>
  <c r="HR169" i="40"/>
  <c r="JD165" i="40"/>
  <c r="KP165" i="40"/>
  <c r="AN275" i="40"/>
  <c r="AM275" i="40"/>
  <c r="D275" i="40" s="1"/>
  <c r="JM166" i="40"/>
  <c r="IF166" i="40"/>
  <c r="JI168" i="40"/>
  <c r="HW483" i="40" l="1"/>
  <c r="HX483" i="40"/>
  <c r="HV483" i="40"/>
  <c r="JJ482" i="40"/>
  <c r="D483" i="40"/>
  <c r="D169" i="40"/>
  <c r="AY169" i="40" s="1"/>
  <c r="HV169" i="40"/>
  <c r="AP276" i="40"/>
  <c r="IO170" i="40"/>
  <c r="JA170" i="40" s="1"/>
  <c r="AP170" i="40"/>
  <c r="HV170" i="40"/>
  <c r="IX670" i="40"/>
  <c r="AQ166" i="40"/>
  <c r="HO170" i="40"/>
  <c r="HR170" i="40" s="1"/>
  <c r="AQ167" i="40"/>
  <c r="KK166" i="40"/>
  <c r="KJ166" i="40"/>
  <c r="KO166" i="40"/>
  <c r="KQ165" i="40"/>
  <c r="KS165" i="40" s="1"/>
  <c r="JT165" i="40"/>
  <c r="JX165" i="40" s="1"/>
  <c r="JR165" i="40"/>
  <c r="JQ165" i="40"/>
  <c r="JU165" i="40" s="1"/>
  <c r="JV165" i="40" s="1"/>
  <c r="JW165" i="40" s="1"/>
  <c r="JD167" i="40"/>
  <c r="KP167" i="40"/>
  <c r="ID168" i="40"/>
  <c r="IB168" i="40" s="1"/>
  <c r="IF168" i="40" s="1"/>
  <c r="HX169" i="40"/>
  <c r="ID169" i="40" s="1"/>
  <c r="KR165" i="40"/>
  <c r="AK170" i="40"/>
  <c r="AL170" i="40"/>
  <c r="AN276" i="40"/>
  <c r="AM484" i="40"/>
  <c r="JS165" i="40"/>
  <c r="AO170" i="40"/>
  <c r="HU170" i="40"/>
  <c r="KI166" i="40"/>
  <c r="JD166" i="40"/>
  <c r="KP166" i="40"/>
  <c r="AM276" i="40"/>
  <c r="C278" i="40"/>
  <c r="AW277" i="40"/>
  <c r="BB277" i="40"/>
  <c r="BF277" i="40"/>
  <c r="BJ277" i="40"/>
  <c r="BN277" i="40"/>
  <c r="BR277" i="40"/>
  <c r="BV277" i="40"/>
  <c r="BZ277" i="40"/>
  <c r="CD277" i="40"/>
  <c r="CH277" i="40"/>
  <c r="DT277" i="40"/>
  <c r="AX277" i="40"/>
  <c r="BC277" i="40"/>
  <c r="BG277" i="40"/>
  <c r="BK277" i="40"/>
  <c r="BO277" i="40"/>
  <c r="BS277" i="40"/>
  <c r="BW277" i="40"/>
  <c r="CA277" i="40"/>
  <c r="CE277" i="40"/>
  <c r="DU277" i="40"/>
  <c r="AZ277" i="40"/>
  <c r="BD277" i="40"/>
  <c r="BH277" i="40"/>
  <c r="BL277" i="40"/>
  <c r="BP277" i="40"/>
  <c r="BT277" i="40"/>
  <c r="BX277" i="40"/>
  <c r="CB277" i="40"/>
  <c r="CF277" i="40"/>
  <c r="DM277" i="40"/>
  <c r="DV277" i="40"/>
  <c r="BM277" i="40"/>
  <c r="CC277" i="40"/>
  <c r="BA277" i="40"/>
  <c r="BQ277" i="40"/>
  <c r="CG277" i="40"/>
  <c r="BE277" i="40"/>
  <c r="BU277" i="40"/>
  <c r="DS277" i="40"/>
  <c r="A277" i="40"/>
  <c r="BI277" i="40"/>
  <c r="DW277" i="40"/>
  <c r="BY277" i="40"/>
  <c r="AP484" i="40"/>
  <c r="AO484" i="40"/>
  <c r="JI169" i="40"/>
  <c r="KJ167" i="40"/>
  <c r="KI167" i="40"/>
  <c r="KK167" i="40"/>
  <c r="KO167" i="40"/>
  <c r="KT117" i="40"/>
  <c r="KU116" i="40"/>
  <c r="I27" i="70" s="1"/>
  <c r="HM170" i="40"/>
  <c r="AM170" i="40"/>
  <c r="IQ170" i="40"/>
  <c r="JC170" i="40" s="1"/>
  <c r="AO276" i="40"/>
  <c r="AN484" i="40"/>
  <c r="IC169" i="40"/>
  <c r="I26" i="70"/>
  <c r="I13" i="70"/>
  <c r="IZ670" i="40"/>
  <c r="AN170" i="40"/>
  <c r="HZ670" i="40"/>
  <c r="HS170" i="40"/>
  <c r="HT170" i="40"/>
  <c r="IP170" i="40"/>
  <c r="JB170" i="40" s="1"/>
  <c r="C172" i="40"/>
  <c r="IK171" i="40"/>
  <c r="IN171" i="40" s="1"/>
  <c r="AZ171" i="40"/>
  <c r="BD171" i="40"/>
  <c r="BH171" i="40"/>
  <c r="BL171" i="40"/>
  <c r="BP171" i="40"/>
  <c r="BT171" i="40"/>
  <c r="BX171" i="40"/>
  <c r="CB171" i="40"/>
  <c r="CF171" i="40"/>
  <c r="DT171" i="40"/>
  <c r="A171" i="40"/>
  <c r="BA171" i="40"/>
  <c r="BE171" i="40"/>
  <c r="BI171" i="40"/>
  <c r="BM171" i="40"/>
  <c r="BQ171" i="40"/>
  <c r="BU171" i="40"/>
  <c r="BY171" i="40"/>
  <c r="CC171" i="40"/>
  <c r="CG171" i="40"/>
  <c r="DU171" i="40"/>
  <c r="AW171" i="40"/>
  <c r="BF171" i="40"/>
  <c r="BN171" i="40"/>
  <c r="BV171" i="40"/>
  <c r="CD171" i="40"/>
  <c r="DM171" i="40"/>
  <c r="JF171" i="40"/>
  <c r="HO171" i="40" s="1"/>
  <c r="AX171" i="40"/>
  <c r="BG171" i="40"/>
  <c r="BO171" i="40"/>
  <c r="BW171" i="40"/>
  <c r="CE171" i="40"/>
  <c r="DS171" i="40"/>
  <c r="IO171" i="40"/>
  <c r="IJ171" i="40"/>
  <c r="IM171" i="40" s="1"/>
  <c r="BB171" i="40"/>
  <c r="BJ171" i="40"/>
  <c r="BR171" i="40"/>
  <c r="BZ171" i="40"/>
  <c r="CH171" i="40"/>
  <c r="DV171" i="40"/>
  <c r="BC171" i="40"/>
  <c r="BK171" i="40"/>
  <c r="DW171" i="40"/>
  <c r="BS171" i="40"/>
  <c r="II171" i="40"/>
  <c r="IL171" i="40" s="1"/>
  <c r="CA171" i="40"/>
  <c r="JO171" i="40"/>
  <c r="IY171" i="40"/>
  <c r="IZ171" i="40"/>
  <c r="IX171" i="40"/>
  <c r="HY171" i="40"/>
  <c r="HY671" i="40" s="1"/>
  <c r="HZ171" i="40"/>
  <c r="IA171" i="40"/>
  <c r="IA671" i="40" s="1"/>
  <c r="JP171" i="40"/>
  <c r="JG171" i="40"/>
  <c r="JH169" i="40"/>
  <c r="JJ168" i="40"/>
  <c r="JK168" i="40" s="1"/>
  <c r="JL168" i="40" s="1"/>
  <c r="B486" i="40"/>
  <c r="A485" i="40"/>
  <c r="HV484" i="40" l="1"/>
  <c r="HW484" i="40"/>
  <c r="HW684" i="40" s="1"/>
  <c r="HX484" i="40"/>
  <c r="HX684" i="40" s="1"/>
  <c r="JJ483" i="40"/>
  <c r="HX276" i="40"/>
  <c r="HV276" i="40"/>
  <c r="HW276" i="40"/>
  <c r="D484" i="40"/>
  <c r="D276" i="40"/>
  <c r="D170" i="40"/>
  <c r="AY170" i="40" s="1"/>
  <c r="HW170" i="40"/>
  <c r="IC170" i="40" s="1"/>
  <c r="HM171" i="40"/>
  <c r="HP171" i="40" s="1"/>
  <c r="HX170" i="40"/>
  <c r="ID170" i="40" s="1"/>
  <c r="HX171" i="40"/>
  <c r="AP171" i="40"/>
  <c r="HN171" i="40"/>
  <c r="HQ171" i="40" s="1"/>
  <c r="JJ169" i="40"/>
  <c r="JK169" i="40" s="1"/>
  <c r="JL169" i="40" s="1"/>
  <c r="IB169" i="40"/>
  <c r="IF169" i="40" s="1"/>
  <c r="JM168" i="40"/>
  <c r="B487" i="40"/>
  <c r="A486" i="40"/>
  <c r="AN171" i="40"/>
  <c r="HZ671" i="40"/>
  <c r="IY671" i="40" s="1"/>
  <c r="JA171" i="40"/>
  <c r="IX671" i="40"/>
  <c r="HT171" i="40"/>
  <c r="IQ171" i="40"/>
  <c r="JC171" i="40" s="1"/>
  <c r="HU171" i="40"/>
  <c r="JI170" i="40"/>
  <c r="KU117" i="40"/>
  <c r="KT118" i="40"/>
  <c r="AP277" i="40"/>
  <c r="C279" i="40"/>
  <c r="A278" i="40"/>
  <c r="BA278" i="40"/>
  <c r="BE278" i="40"/>
  <c r="BI278" i="40"/>
  <c r="BM278" i="40"/>
  <c r="BQ278" i="40"/>
  <c r="BU278" i="40"/>
  <c r="BY278" i="40"/>
  <c r="CC278" i="40"/>
  <c r="CG278" i="40"/>
  <c r="DM278" i="40"/>
  <c r="DV278" i="40"/>
  <c r="AW278" i="40"/>
  <c r="BB278" i="40"/>
  <c r="BF278" i="40"/>
  <c r="BJ278" i="40"/>
  <c r="BN278" i="40"/>
  <c r="BR278" i="40"/>
  <c r="BV278" i="40"/>
  <c r="BZ278" i="40"/>
  <c r="CD278" i="40"/>
  <c r="CH278" i="40"/>
  <c r="DS278" i="40"/>
  <c r="DW278" i="40"/>
  <c r="AX278" i="40"/>
  <c r="BC278" i="40"/>
  <c r="BG278" i="40"/>
  <c r="BK278" i="40"/>
  <c r="BO278" i="40"/>
  <c r="BS278" i="40"/>
  <c r="BW278" i="40"/>
  <c r="CA278" i="40"/>
  <c r="CE278" i="40"/>
  <c r="DT278" i="40"/>
  <c r="BL278" i="40"/>
  <c r="CB278" i="40"/>
  <c r="AZ278" i="40"/>
  <c r="BP278" i="40"/>
  <c r="CF278" i="40"/>
  <c r="BD278" i="40"/>
  <c r="BT278" i="40"/>
  <c r="BH278" i="40"/>
  <c r="BX278" i="40"/>
  <c r="DU278" i="40"/>
  <c r="KR166" i="40"/>
  <c r="IZ671" i="40"/>
  <c r="HS171" i="40"/>
  <c r="AM171" i="40"/>
  <c r="KR167" i="40"/>
  <c r="AN277" i="40"/>
  <c r="AP485" i="40"/>
  <c r="AO485" i="40"/>
  <c r="AO171" i="40"/>
  <c r="HR171" i="40"/>
  <c r="IP171" i="40"/>
  <c r="JB171" i="40" s="1"/>
  <c r="C173" i="40"/>
  <c r="A172" i="40"/>
  <c r="BA172" i="40"/>
  <c r="BE172" i="40"/>
  <c r="BI172" i="40"/>
  <c r="BM172" i="40"/>
  <c r="BQ172" i="40"/>
  <c r="BU172" i="40"/>
  <c r="BY172" i="40"/>
  <c r="CC172" i="40"/>
  <c r="CG172" i="40"/>
  <c r="DS172" i="40"/>
  <c r="DW172" i="40"/>
  <c r="IJ172" i="40"/>
  <c r="IM172" i="40" s="1"/>
  <c r="AW172" i="40"/>
  <c r="BB172" i="40"/>
  <c r="BF172" i="40"/>
  <c r="BJ172" i="40"/>
  <c r="BN172" i="40"/>
  <c r="BR172" i="40"/>
  <c r="BV172" i="40"/>
  <c r="BZ172" i="40"/>
  <c r="CD172" i="40"/>
  <c r="CH172" i="40"/>
  <c r="DT172" i="40"/>
  <c r="II172" i="40"/>
  <c r="IL172" i="40" s="1"/>
  <c r="BC172" i="40"/>
  <c r="BK172" i="40"/>
  <c r="BS172" i="40"/>
  <c r="CA172" i="40"/>
  <c r="IK172" i="40"/>
  <c r="IN172" i="40" s="1"/>
  <c r="BD172" i="40"/>
  <c r="BL172" i="40"/>
  <c r="BT172" i="40"/>
  <c r="CB172" i="40"/>
  <c r="DM172" i="40"/>
  <c r="JF172" i="40"/>
  <c r="HN172" i="40" s="1"/>
  <c r="AX172" i="40"/>
  <c r="BG172" i="40"/>
  <c r="BO172" i="40"/>
  <c r="BW172" i="40"/>
  <c r="CE172" i="40"/>
  <c r="DU172" i="40"/>
  <c r="BX172" i="40"/>
  <c r="AZ172" i="40"/>
  <c r="CF172" i="40"/>
  <c r="BH172" i="40"/>
  <c r="DV172" i="40"/>
  <c r="BP172" i="40"/>
  <c r="JO172" i="40"/>
  <c r="HY172" i="40"/>
  <c r="HY672" i="40" s="1"/>
  <c r="IX172" i="40"/>
  <c r="HZ172" i="40"/>
  <c r="IZ172" i="40"/>
  <c r="IY172" i="40"/>
  <c r="IA172" i="40"/>
  <c r="IA672" i="40" s="1"/>
  <c r="JP172" i="40"/>
  <c r="JG172" i="40"/>
  <c r="IE168" i="40"/>
  <c r="HP170" i="40"/>
  <c r="JT166" i="40"/>
  <c r="JX166" i="40" s="1"/>
  <c r="JR166" i="40"/>
  <c r="KQ166" i="40"/>
  <c r="KS166" i="40" s="1"/>
  <c r="JQ166" i="40"/>
  <c r="JU166" i="40" s="1"/>
  <c r="JV166" i="40" s="1"/>
  <c r="JW166" i="40" s="1"/>
  <c r="IY670" i="40"/>
  <c r="JS167" i="40"/>
  <c r="KQ167" i="40"/>
  <c r="KS167" i="40" s="1"/>
  <c r="JR167" i="40"/>
  <c r="JT167" i="40"/>
  <c r="JX167" i="40" s="1"/>
  <c r="JQ167" i="40"/>
  <c r="JU167" i="40" s="1"/>
  <c r="JV167" i="40" s="1"/>
  <c r="JW167" i="40" s="1"/>
  <c r="AN485" i="40"/>
  <c r="AM485" i="40"/>
  <c r="D485" i="40" s="1"/>
  <c r="AK171" i="40"/>
  <c r="AL171" i="40"/>
  <c r="AO277" i="40"/>
  <c r="AM277" i="40"/>
  <c r="IG168" i="40"/>
  <c r="JS166" i="40"/>
  <c r="HW171" i="40" l="1"/>
  <c r="D277" i="40"/>
  <c r="HX485" i="40"/>
  <c r="HX685" i="40" s="1"/>
  <c r="HV485" i="40"/>
  <c r="HV685" i="40" s="1"/>
  <c r="HW485" i="40"/>
  <c r="JJ484" i="40"/>
  <c r="HV684" i="40"/>
  <c r="JJ684" i="40" s="1"/>
  <c r="JJ276" i="40"/>
  <c r="HX277" i="40"/>
  <c r="HW277" i="40"/>
  <c r="HV277" i="40"/>
  <c r="D171" i="40"/>
  <c r="AY171" i="40" s="1"/>
  <c r="IG169" i="40"/>
  <c r="JJ170" i="40"/>
  <c r="HV171" i="40"/>
  <c r="IE169" i="40"/>
  <c r="AP172" i="40"/>
  <c r="HX172" i="40"/>
  <c r="AP278" i="40"/>
  <c r="HM172" i="40"/>
  <c r="HP172" i="40" s="1"/>
  <c r="KK168" i="40"/>
  <c r="HO172" i="40"/>
  <c r="HR172" i="40" s="1"/>
  <c r="IB170" i="40"/>
  <c r="IG170" i="40" s="1"/>
  <c r="AK172" i="40"/>
  <c r="AL172" i="40"/>
  <c r="IZ672" i="40"/>
  <c r="HS172" i="40"/>
  <c r="C280" i="40"/>
  <c r="AX279" i="40"/>
  <c r="BC279" i="40"/>
  <c r="BG279" i="40"/>
  <c r="BK279" i="40"/>
  <c r="BO279" i="40"/>
  <c r="BS279" i="40"/>
  <c r="BW279" i="40"/>
  <c r="CA279" i="40"/>
  <c r="CE279" i="40"/>
  <c r="DU279" i="40"/>
  <c r="AZ279" i="40"/>
  <c r="BD279" i="40"/>
  <c r="BH279" i="40"/>
  <c r="BL279" i="40"/>
  <c r="BP279" i="40"/>
  <c r="BT279" i="40"/>
  <c r="BX279" i="40"/>
  <c r="CB279" i="40"/>
  <c r="CF279" i="40"/>
  <c r="DM279" i="40"/>
  <c r="DV279" i="40"/>
  <c r="A279" i="40"/>
  <c r="BA279" i="40"/>
  <c r="BE279" i="40"/>
  <c r="BI279" i="40"/>
  <c r="BM279" i="40"/>
  <c r="BQ279" i="40"/>
  <c r="BU279" i="40"/>
  <c r="BY279" i="40"/>
  <c r="CC279" i="40"/>
  <c r="CG279" i="40"/>
  <c r="DS279" i="40"/>
  <c r="DW279" i="40"/>
  <c r="BJ279" i="40"/>
  <c r="BZ279" i="40"/>
  <c r="AW279" i="40"/>
  <c r="BN279" i="40"/>
  <c r="CD279" i="40"/>
  <c r="BB279" i="40"/>
  <c r="BR279" i="40"/>
  <c r="CH279" i="40"/>
  <c r="DT279" i="40"/>
  <c r="BF279" i="40"/>
  <c r="BV279" i="40"/>
  <c r="AN486" i="40"/>
  <c r="AM486" i="40"/>
  <c r="JH170" i="40"/>
  <c r="JD168" i="40"/>
  <c r="JS168" i="40" s="1"/>
  <c r="KP168" i="40"/>
  <c r="HZ672" i="40"/>
  <c r="IY672" i="40" s="1"/>
  <c r="IO172" i="40"/>
  <c r="JA172" i="40" s="1"/>
  <c r="AN278" i="40"/>
  <c r="KT119" i="40"/>
  <c r="KU118" i="40"/>
  <c r="AQ168" i="40"/>
  <c r="AP486" i="40"/>
  <c r="AN172" i="40"/>
  <c r="IX672" i="40"/>
  <c r="IQ172" i="40"/>
  <c r="JC172" i="40" s="1"/>
  <c r="AM278" i="40"/>
  <c r="I28" i="70"/>
  <c r="I15" i="70"/>
  <c r="IC171" i="40"/>
  <c r="A487" i="40"/>
  <c r="JM169" i="40"/>
  <c r="AO172" i="40"/>
  <c r="HQ172" i="40"/>
  <c r="HU172" i="40"/>
  <c r="AM172" i="40"/>
  <c r="HT172" i="40"/>
  <c r="IP172" i="40"/>
  <c r="JB172" i="40" s="1"/>
  <c r="C174" i="40"/>
  <c r="IK173" i="40"/>
  <c r="IN173" i="40" s="1"/>
  <c r="AZ173" i="40"/>
  <c r="BD173" i="40"/>
  <c r="BH173" i="40"/>
  <c r="BL173" i="40"/>
  <c r="BP173" i="40"/>
  <c r="BT173" i="40"/>
  <c r="BX173" i="40"/>
  <c r="CB173" i="40"/>
  <c r="CF173" i="40"/>
  <c r="DU173" i="40"/>
  <c r="A173" i="40"/>
  <c r="BA173" i="40"/>
  <c r="BE173" i="40"/>
  <c r="BI173" i="40"/>
  <c r="BM173" i="40"/>
  <c r="BQ173" i="40"/>
  <c r="BU173" i="40"/>
  <c r="BY173" i="40"/>
  <c r="CC173" i="40"/>
  <c r="CG173" i="40"/>
  <c r="DM173" i="40"/>
  <c r="DV173" i="40"/>
  <c r="IJ173" i="40"/>
  <c r="IM173" i="40" s="1"/>
  <c r="BB173" i="40"/>
  <c r="BJ173" i="40"/>
  <c r="BR173" i="40"/>
  <c r="BZ173" i="40"/>
  <c r="CH173" i="40"/>
  <c r="DW173" i="40"/>
  <c r="II173" i="40"/>
  <c r="IL173" i="40" s="1"/>
  <c r="BC173" i="40"/>
  <c r="BK173" i="40"/>
  <c r="BS173" i="40"/>
  <c r="CA173" i="40"/>
  <c r="AW173" i="40"/>
  <c r="BF173" i="40"/>
  <c r="BN173" i="40"/>
  <c r="BV173" i="40"/>
  <c r="CD173" i="40"/>
  <c r="DS173" i="40"/>
  <c r="BO173" i="40"/>
  <c r="JF173" i="40"/>
  <c r="HO173" i="40" s="1"/>
  <c r="BW173" i="40"/>
  <c r="AX173" i="40"/>
  <c r="CE173" i="40"/>
  <c r="DT173" i="40"/>
  <c r="JO173" i="40"/>
  <c r="BG173" i="40"/>
  <c r="HY173" i="40"/>
  <c r="HY673" i="40" s="1"/>
  <c r="IZ173" i="40"/>
  <c r="IY173" i="40"/>
  <c r="HZ173" i="40"/>
  <c r="IA173" i="40"/>
  <c r="IA673" i="40" s="1"/>
  <c r="IX173" i="40"/>
  <c r="JP173" i="40"/>
  <c r="JG173" i="40"/>
  <c r="ID171" i="40"/>
  <c r="JH171" i="40"/>
  <c r="JI171" i="40"/>
  <c r="AO278" i="40"/>
  <c r="AO486" i="40"/>
  <c r="KJ168" i="40"/>
  <c r="KI168" i="40"/>
  <c r="KO168" i="40"/>
  <c r="JD169" i="40" l="1"/>
  <c r="JJ171" i="40"/>
  <c r="JK171" i="40" s="1"/>
  <c r="JL171" i="40" s="1"/>
  <c r="JM171" i="40" s="1"/>
  <c r="D278" i="40"/>
  <c r="JJ485" i="40"/>
  <c r="HW685" i="40"/>
  <c r="JJ685" i="40" s="1"/>
  <c r="HW486" i="40"/>
  <c r="HW686" i="40" s="1"/>
  <c r="HX486" i="40"/>
  <c r="HX686" i="40" s="1"/>
  <c r="HV486" i="40"/>
  <c r="KK169" i="40"/>
  <c r="JK170" i="40"/>
  <c r="JL170" i="40" s="1"/>
  <c r="JM170" i="40" s="1"/>
  <c r="JJ277" i="40"/>
  <c r="HW278" i="40"/>
  <c r="HV278" i="40"/>
  <c r="HX278" i="40"/>
  <c r="D486" i="40"/>
  <c r="AQ169" i="40"/>
  <c r="KP169" i="40"/>
  <c r="D172" i="40"/>
  <c r="AY172" i="40" s="1"/>
  <c r="AP279" i="40"/>
  <c r="HX173" i="40"/>
  <c r="KJ169" i="40"/>
  <c r="HM173" i="40"/>
  <c r="HP173" i="40" s="1"/>
  <c r="IF170" i="40"/>
  <c r="ID172" i="40"/>
  <c r="KR168" i="40"/>
  <c r="HN173" i="40"/>
  <c r="HQ173" i="40" s="1"/>
  <c r="AP173" i="40"/>
  <c r="IX673" i="40"/>
  <c r="HZ673" i="40"/>
  <c r="IQ173" i="40"/>
  <c r="JC173" i="40" s="1"/>
  <c r="IO173" i="40"/>
  <c r="JA173" i="40" s="1"/>
  <c r="HU173" i="40"/>
  <c r="AN487" i="40"/>
  <c r="AO279" i="40"/>
  <c r="AM279" i="40"/>
  <c r="JI172" i="40"/>
  <c r="IZ673" i="40"/>
  <c r="HT173" i="40"/>
  <c r="AP487" i="40"/>
  <c r="AO487" i="40"/>
  <c r="I29" i="70"/>
  <c r="I16" i="70"/>
  <c r="C281" i="40"/>
  <c r="AW280" i="40"/>
  <c r="BB280" i="40"/>
  <c r="BF280" i="40"/>
  <c r="BJ280" i="40"/>
  <c r="BN280" i="40"/>
  <c r="BR280" i="40"/>
  <c r="BV280" i="40"/>
  <c r="BZ280" i="40"/>
  <c r="CD280" i="40"/>
  <c r="CH280" i="40"/>
  <c r="DS280" i="40"/>
  <c r="DW280" i="40"/>
  <c r="AX280" i="40"/>
  <c r="BC280" i="40"/>
  <c r="BG280" i="40"/>
  <c r="BK280" i="40"/>
  <c r="BO280" i="40"/>
  <c r="BS280" i="40"/>
  <c r="BW280" i="40"/>
  <c r="CA280" i="40"/>
  <c r="CE280" i="40"/>
  <c r="DT280" i="40"/>
  <c r="AZ280" i="40"/>
  <c r="BD280" i="40"/>
  <c r="BH280" i="40"/>
  <c r="BL280" i="40"/>
  <c r="BP280" i="40"/>
  <c r="BT280" i="40"/>
  <c r="BX280" i="40"/>
  <c r="CB280" i="40"/>
  <c r="CF280" i="40"/>
  <c r="DU280" i="40"/>
  <c r="A280" i="40"/>
  <c r="BI280" i="40"/>
  <c r="BY280" i="40"/>
  <c r="DV280" i="40"/>
  <c r="BM280" i="40"/>
  <c r="CC280" i="40"/>
  <c r="BA280" i="40"/>
  <c r="BQ280" i="40"/>
  <c r="CG280" i="40"/>
  <c r="BE280" i="40"/>
  <c r="DM280" i="40"/>
  <c r="BU280" i="40"/>
  <c r="HV172" i="40"/>
  <c r="IB171" i="40"/>
  <c r="AO173" i="40"/>
  <c r="HR173" i="40"/>
  <c r="AM173" i="40"/>
  <c r="IP173" i="40"/>
  <c r="JB173" i="40" s="1"/>
  <c r="C175" i="40"/>
  <c r="IJ174" i="40"/>
  <c r="IM174" i="40" s="1"/>
  <c r="AW174" i="40"/>
  <c r="BB174" i="40"/>
  <c r="BF174" i="40"/>
  <c r="BJ174" i="40"/>
  <c r="BN174" i="40"/>
  <c r="BR174" i="40"/>
  <c r="BV174" i="40"/>
  <c r="BZ174" i="40"/>
  <c r="CD174" i="40"/>
  <c r="CH174" i="40"/>
  <c r="DS174" i="40"/>
  <c r="DW174" i="40"/>
  <c r="JF174" i="40"/>
  <c r="HN174" i="40" s="1"/>
  <c r="II174" i="40"/>
  <c r="IL174" i="40" s="1"/>
  <c r="AX174" i="40"/>
  <c r="BC174" i="40"/>
  <c r="BG174" i="40"/>
  <c r="BK174" i="40"/>
  <c r="BO174" i="40"/>
  <c r="BS174" i="40"/>
  <c r="BW174" i="40"/>
  <c r="CA174" i="40"/>
  <c r="CE174" i="40"/>
  <c r="DT174" i="40"/>
  <c r="AZ174" i="40"/>
  <c r="BH174" i="40"/>
  <c r="BP174" i="40"/>
  <c r="BX174" i="40"/>
  <c r="CF174" i="40"/>
  <c r="DU174" i="40"/>
  <c r="A174" i="40"/>
  <c r="BA174" i="40"/>
  <c r="BI174" i="40"/>
  <c r="BQ174" i="40"/>
  <c r="BY174" i="40"/>
  <c r="CG174" i="40"/>
  <c r="DV174" i="40"/>
  <c r="IK174" i="40"/>
  <c r="IN174" i="40" s="1"/>
  <c r="BD174" i="40"/>
  <c r="BL174" i="40"/>
  <c r="BT174" i="40"/>
  <c r="CB174" i="40"/>
  <c r="BE174" i="40"/>
  <c r="DM174" i="40"/>
  <c r="BM174" i="40"/>
  <c r="BU174" i="40"/>
  <c r="CC174" i="40"/>
  <c r="JO174" i="40"/>
  <c r="IZ174" i="40"/>
  <c r="IX174" i="40"/>
  <c r="IY174" i="40"/>
  <c r="HY174" i="40"/>
  <c r="HY674" i="40" s="1"/>
  <c r="HZ174" i="40"/>
  <c r="IA174" i="40"/>
  <c r="IA674" i="40" s="1"/>
  <c r="JP174" i="40"/>
  <c r="JG174" i="40"/>
  <c r="JH172" i="40"/>
  <c r="KI169" i="40"/>
  <c r="KO169" i="40"/>
  <c r="JS169" i="40"/>
  <c r="B489" i="40"/>
  <c r="KU119" i="40"/>
  <c r="KT120" i="40"/>
  <c r="JT168" i="40"/>
  <c r="JX168" i="40" s="1"/>
  <c r="KQ168" i="40"/>
  <c r="KS168" i="40" s="1"/>
  <c r="JR168" i="40"/>
  <c r="JQ168" i="40"/>
  <c r="JU168" i="40" s="1"/>
  <c r="JV168" i="40" s="1"/>
  <c r="JW168" i="40" s="1"/>
  <c r="HW172" i="40"/>
  <c r="IE170" i="40"/>
  <c r="AK173" i="40"/>
  <c r="AL173" i="40"/>
  <c r="AN173" i="40"/>
  <c r="IY673" i="40"/>
  <c r="HS173" i="40"/>
  <c r="AM487" i="40"/>
  <c r="JT169" i="40"/>
  <c r="JX169" i="40" s="1"/>
  <c r="KQ169" i="40"/>
  <c r="JR169" i="40"/>
  <c r="JQ169" i="40"/>
  <c r="JU169" i="40" s="1"/>
  <c r="JV169" i="40" s="1"/>
  <c r="JW169" i="40" s="1"/>
  <c r="AN279" i="40"/>
  <c r="HW487" i="40" l="1"/>
  <c r="HW687" i="40" s="1"/>
  <c r="HX487" i="40"/>
  <c r="HX687" i="40" s="1"/>
  <c r="HV487" i="40"/>
  <c r="JJ486" i="40"/>
  <c r="HV686" i="40"/>
  <c r="JJ686" i="40" s="1"/>
  <c r="N489" i="40"/>
  <c r="W489" i="40"/>
  <c r="L489" i="40"/>
  <c r="K489" i="40"/>
  <c r="J489" i="40"/>
  <c r="I489" i="40"/>
  <c r="AJ489" i="40"/>
  <c r="AH489" i="40"/>
  <c r="AF489" i="40"/>
  <c r="AD489" i="40"/>
  <c r="AB489" i="40"/>
  <c r="X489" i="40"/>
  <c r="M489" i="40"/>
  <c r="P489" i="40"/>
  <c r="O489" i="40"/>
  <c r="V489" i="40"/>
  <c r="H489" i="40"/>
  <c r="U489" i="40"/>
  <c r="Q489" i="40"/>
  <c r="F489" i="40"/>
  <c r="AC489" i="40"/>
  <c r="Z489" i="40"/>
  <c r="T489" i="40"/>
  <c r="Y489" i="40"/>
  <c r="S489" i="40"/>
  <c r="AE489" i="40"/>
  <c r="E489" i="40"/>
  <c r="AG489" i="40"/>
  <c r="R489" i="40"/>
  <c r="AI489" i="40"/>
  <c r="AA489" i="40"/>
  <c r="G489" i="40"/>
  <c r="JJ278" i="40"/>
  <c r="HW279" i="40"/>
  <c r="HX279" i="40"/>
  <c r="HV279" i="40"/>
  <c r="D279" i="40"/>
  <c r="D487" i="40"/>
  <c r="D173" i="40"/>
  <c r="AY173" i="40" s="1"/>
  <c r="HO174" i="40"/>
  <c r="HR174" i="40" s="1"/>
  <c r="HV174" i="40"/>
  <c r="HV173" i="40"/>
  <c r="HW173" i="40"/>
  <c r="AP174" i="40"/>
  <c r="HM174" i="40"/>
  <c r="HP174" i="40" s="1"/>
  <c r="JD170" i="40"/>
  <c r="JS170" i="40" s="1"/>
  <c r="KP170" i="40"/>
  <c r="B490" i="40"/>
  <c r="A489" i="40"/>
  <c r="AK174" i="40"/>
  <c r="AL174" i="40"/>
  <c r="IZ674" i="40"/>
  <c r="HT174" i="40"/>
  <c r="IE171" i="40"/>
  <c r="KI171" i="40" s="1"/>
  <c r="AM280" i="40"/>
  <c r="IG171" i="40"/>
  <c r="KK171" i="40" s="1"/>
  <c r="AQ170" i="40"/>
  <c r="IF171" i="40"/>
  <c r="KJ171" i="40" s="1"/>
  <c r="IX674" i="40"/>
  <c r="AO174" i="40"/>
  <c r="IP174" i="40"/>
  <c r="JB174" i="40" s="1"/>
  <c r="HU174" i="40"/>
  <c r="HS174" i="40"/>
  <c r="JH173" i="40"/>
  <c r="JJ172" i="40"/>
  <c r="JK172" i="40" s="1"/>
  <c r="JL172" i="40" s="1"/>
  <c r="KO171" i="40"/>
  <c r="IC172" i="40"/>
  <c r="IB172" i="40" s="1"/>
  <c r="JI173" i="40"/>
  <c r="KT121" i="40"/>
  <c r="KU120" i="40"/>
  <c r="I31" i="70" s="1"/>
  <c r="KR169" i="40"/>
  <c r="KS169" i="40"/>
  <c r="HZ674" i="40"/>
  <c r="IY674" i="40" s="1"/>
  <c r="HQ174" i="40"/>
  <c r="IO174" i="40"/>
  <c r="JA174" i="40" s="1"/>
  <c r="AP280" i="40"/>
  <c r="AO280" i="40"/>
  <c r="C282" i="40"/>
  <c r="AZ281" i="40"/>
  <c r="BD281" i="40"/>
  <c r="BH281" i="40"/>
  <c r="BL281" i="40"/>
  <c r="BP281" i="40"/>
  <c r="BT281" i="40"/>
  <c r="BX281" i="40"/>
  <c r="CB281" i="40"/>
  <c r="CF281" i="40"/>
  <c r="DU281" i="40"/>
  <c r="A281" i="40"/>
  <c r="BA281" i="40"/>
  <c r="BE281" i="40"/>
  <c r="BI281" i="40"/>
  <c r="BM281" i="40"/>
  <c r="BQ281" i="40"/>
  <c r="BU281" i="40"/>
  <c r="BY281" i="40"/>
  <c r="CC281" i="40"/>
  <c r="CG281" i="40"/>
  <c r="DM281" i="40"/>
  <c r="DV281" i="40"/>
  <c r="AW281" i="40"/>
  <c r="BB281" i="40"/>
  <c r="BF281" i="40"/>
  <c r="BJ281" i="40"/>
  <c r="BN281" i="40"/>
  <c r="BR281" i="40"/>
  <c r="BV281" i="40"/>
  <c r="BZ281" i="40"/>
  <c r="CD281" i="40"/>
  <c r="CH281" i="40"/>
  <c r="DS281" i="40"/>
  <c r="DW281" i="40"/>
  <c r="BG281" i="40"/>
  <c r="BW281" i="40"/>
  <c r="DT281" i="40"/>
  <c r="BK281" i="40"/>
  <c r="CA281" i="40"/>
  <c r="AX281" i="40"/>
  <c r="BO281" i="40"/>
  <c r="CE281" i="40"/>
  <c r="BC281" i="40"/>
  <c r="BS281" i="40"/>
  <c r="I30" i="70"/>
  <c r="I17" i="70"/>
  <c r="KO170" i="40"/>
  <c r="KJ170" i="40"/>
  <c r="KI170" i="40"/>
  <c r="KK170" i="40"/>
  <c r="AN174" i="40"/>
  <c r="AM174" i="40"/>
  <c r="D174" i="40" s="1"/>
  <c r="IQ174" i="40"/>
  <c r="JC174" i="40" s="1"/>
  <c r="C176" i="40"/>
  <c r="IK175" i="40"/>
  <c r="IN175" i="40" s="1"/>
  <c r="AZ175" i="40"/>
  <c r="BD175" i="40"/>
  <c r="BH175" i="40"/>
  <c r="BL175" i="40"/>
  <c r="BP175" i="40"/>
  <c r="BT175" i="40"/>
  <c r="BX175" i="40"/>
  <c r="CB175" i="40"/>
  <c r="CF175" i="40"/>
  <c r="DU175" i="40"/>
  <c r="A175" i="40"/>
  <c r="BA175" i="40"/>
  <c r="BE175" i="40"/>
  <c r="BI175" i="40"/>
  <c r="BM175" i="40"/>
  <c r="BQ175" i="40"/>
  <c r="BU175" i="40"/>
  <c r="BY175" i="40"/>
  <c r="CC175" i="40"/>
  <c r="CG175" i="40"/>
  <c r="DM175" i="40"/>
  <c r="DV175" i="40"/>
  <c r="AW175" i="40"/>
  <c r="BF175" i="40"/>
  <c r="BN175" i="40"/>
  <c r="BV175" i="40"/>
  <c r="CD175" i="40"/>
  <c r="DS175" i="40"/>
  <c r="JF175" i="40"/>
  <c r="HO175" i="40" s="1"/>
  <c r="AX175" i="40"/>
  <c r="BG175" i="40"/>
  <c r="BO175" i="40"/>
  <c r="BW175" i="40"/>
  <c r="CE175" i="40"/>
  <c r="DT175" i="40"/>
  <c r="IO175" i="40"/>
  <c r="IJ175" i="40"/>
  <c r="IM175" i="40" s="1"/>
  <c r="BB175" i="40"/>
  <c r="BJ175" i="40"/>
  <c r="BR175" i="40"/>
  <c r="BZ175" i="40"/>
  <c r="CH175" i="40"/>
  <c r="DW175" i="40"/>
  <c r="II175" i="40"/>
  <c r="IL175" i="40" s="1"/>
  <c r="CA175" i="40"/>
  <c r="BC175" i="40"/>
  <c r="BK175" i="40"/>
  <c r="BS175" i="40"/>
  <c r="JO175" i="40"/>
  <c r="HZ175" i="40"/>
  <c r="IY175" i="40"/>
  <c r="IX175" i="40"/>
  <c r="IA175" i="40"/>
  <c r="IA675" i="40" s="1"/>
  <c r="IZ175" i="40"/>
  <c r="HY175" i="40"/>
  <c r="HY675" i="40" s="1"/>
  <c r="JP175" i="40"/>
  <c r="JG175" i="40"/>
  <c r="AN280" i="40"/>
  <c r="ID173" i="40"/>
  <c r="JJ487" i="40" l="1"/>
  <c r="HV687" i="40"/>
  <c r="JJ687" i="40" s="1"/>
  <c r="K490" i="40"/>
  <c r="J490" i="40"/>
  <c r="I490" i="40"/>
  <c r="N490" i="40"/>
  <c r="AJ490" i="40"/>
  <c r="AH490" i="40"/>
  <c r="AF490" i="40"/>
  <c r="AD490" i="40"/>
  <c r="O490" i="40"/>
  <c r="M490" i="40"/>
  <c r="L490" i="40"/>
  <c r="AB490" i="40"/>
  <c r="X490" i="40"/>
  <c r="W490" i="40"/>
  <c r="P490" i="40"/>
  <c r="V490" i="40"/>
  <c r="AC490" i="40"/>
  <c r="Y490" i="40"/>
  <c r="R490" i="40"/>
  <c r="AI490" i="40"/>
  <c r="AE490" i="40"/>
  <c r="Q490" i="40"/>
  <c r="E490" i="40"/>
  <c r="AA490" i="40"/>
  <c r="H490" i="40"/>
  <c r="S490" i="40"/>
  <c r="U490" i="40"/>
  <c r="AG490" i="40"/>
  <c r="G490" i="40"/>
  <c r="F490" i="40"/>
  <c r="T490" i="40"/>
  <c r="Z490" i="40"/>
  <c r="JJ279" i="40"/>
  <c r="HX280" i="40"/>
  <c r="HW280" i="40"/>
  <c r="HV280" i="40"/>
  <c r="D280" i="40"/>
  <c r="JJ173" i="40"/>
  <c r="JK173" i="40" s="1"/>
  <c r="JL173" i="40" s="1"/>
  <c r="IC173" i="40"/>
  <c r="IB173" i="40" s="1"/>
  <c r="IZ675" i="40"/>
  <c r="AP175" i="40"/>
  <c r="IQ175" i="40"/>
  <c r="JC175" i="40" s="1"/>
  <c r="HW175" i="40"/>
  <c r="AY174" i="40"/>
  <c r="HN175" i="40"/>
  <c r="HQ175" i="40" s="1"/>
  <c r="HM175" i="40"/>
  <c r="HP175" i="40" s="1"/>
  <c r="IF172" i="40"/>
  <c r="IE172" i="40"/>
  <c r="IG172" i="40"/>
  <c r="JA175" i="40"/>
  <c r="IX675" i="40"/>
  <c r="HZ675" i="40"/>
  <c r="IY675" i="40" s="1"/>
  <c r="AM175" i="40"/>
  <c r="IP175" i="40"/>
  <c r="JB175" i="40" s="1"/>
  <c r="C177" i="40"/>
  <c r="AZ176" i="40"/>
  <c r="BD176" i="40"/>
  <c r="BH176" i="40"/>
  <c r="BL176" i="40"/>
  <c r="BP176" i="40"/>
  <c r="BT176" i="40"/>
  <c r="BX176" i="40"/>
  <c r="CB176" i="40"/>
  <c r="CF176" i="40"/>
  <c r="DM176" i="40"/>
  <c r="DV176" i="40"/>
  <c r="BA176" i="40"/>
  <c r="BE176" i="40"/>
  <c r="BI176" i="40"/>
  <c r="BM176" i="40"/>
  <c r="BQ176" i="40"/>
  <c r="BU176" i="40"/>
  <c r="BY176" i="40"/>
  <c r="CC176" i="40"/>
  <c r="CG176" i="40"/>
  <c r="DS176" i="40"/>
  <c r="DW176" i="40"/>
  <c r="BB176" i="40"/>
  <c r="BJ176" i="40"/>
  <c r="BR176" i="40"/>
  <c r="BZ176" i="40"/>
  <c r="CH176" i="40"/>
  <c r="BC176" i="40"/>
  <c r="BK176" i="40"/>
  <c r="BS176" i="40"/>
  <c r="CA176" i="40"/>
  <c r="AW176" i="40"/>
  <c r="BF176" i="40"/>
  <c r="BN176" i="40"/>
  <c r="BV176" i="40"/>
  <c r="CD176" i="40"/>
  <c r="DT176" i="40"/>
  <c r="BW176" i="40"/>
  <c r="AX176" i="40"/>
  <c r="CE176" i="40"/>
  <c r="A176" i="40"/>
  <c r="BG176" i="40"/>
  <c r="DU176" i="40"/>
  <c r="BO176" i="40"/>
  <c r="KR170" i="40"/>
  <c r="AM281" i="40"/>
  <c r="HW174" i="40"/>
  <c r="AQ171" i="40"/>
  <c r="AP489" i="40"/>
  <c r="AO489" i="40"/>
  <c r="AN175" i="40"/>
  <c r="HT175" i="40"/>
  <c r="AP281" i="40"/>
  <c r="AO281" i="40"/>
  <c r="C283" i="40"/>
  <c r="AW282" i="40"/>
  <c r="BB282" i="40"/>
  <c r="BF282" i="40"/>
  <c r="BJ282" i="40"/>
  <c r="BN282" i="40"/>
  <c r="BR282" i="40"/>
  <c r="BV282" i="40"/>
  <c r="BZ282" i="40"/>
  <c r="CD282" i="40"/>
  <c r="CH282" i="40"/>
  <c r="DT282" i="40"/>
  <c r="AX282" i="40"/>
  <c r="BC282" i="40"/>
  <c r="BG282" i="40"/>
  <c r="BK282" i="40"/>
  <c r="BO282" i="40"/>
  <c r="BS282" i="40"/>
  <c r="BW282" i="40"/>
  <c r="CA282" i="40"/>
  <c r="CE282" i="40"/>
  <c r="DU282" i="40"/>
  <c r="AZ282" i="40"/>
  <c r="BD282" i="40"/>
  <c r="BH282" i="40"/>
  <c r="BL282" i="40"/>
  <c r="BP282" i="40"/>
  <c r="BT282" i="40"/>
  <c r="BX282" i="40"/>
  <c r="CB282" i="40"/>
  <c r="CF282" i="40"/>
  <c r="DM282" i="40"/>
  <c r="DV282" i="40"/>
  <c r="BE282" i="40"/>
  <c r="BU282" i="40"/>
  <c r="DS282" i="40"/>
  <c r="A282" i="40"/>
  <c r="BI282" i="40"/>
  <c r="BY282" i="40"/>
  <c r="DW282" i="40"/>
  <c r="BM282" i="40"/>
  <c r="CC282" i="40"/>
  <c r="CG282" i="40"/>
  <c r="BA282" i="40"/>
  <c r="BQ282" i="40"/>
  <c r="HX174" i="40"/>
  <c r="ID174" i="40" s="1"/>
  <c r="AN489" i="40"/>
  <c r="AM489" i="40"/>
  <c r="AO175" i="40"/>
  <c r="HS175" i="40"/>
  <c r="HU175" i="40"/>
  <c r="JH174" i="40"/>
  <c r="JD171" i="40"/>
  <c r="KP171" i="40"/>
  <c r="KR171" i="40" s="1"/>
  <c r="AQ489" i="40"/>
  <c r="B491" i="40"/>
  <c r="A490" i="40"/>
  <c r="JR170" i="40"/>
  <c r="JT170" i="40"/>
  <c r="JX170" i="40" s="1"/>
  <c r="KQ170" i="40"/>
  <c r="KS170" i="40" s="1"/>
  <c r="JQ170" i="40"/>
  <c r="JU170" i="40" s="1"/>
  <c r="JV170" i="40" s="1"/>
  <c r="JW170" i="40" s="1"/>
  <c r="AK175" i="40"/>
  <c r="AL175" i="40"/>
  <c r="HR175" i="40"/>
  <c r="JM172" i="40"/>
  <c r="AN281" i="40"/>
  <c r="KT122" i="40"/>
  <c r="KU121" i="40"/>
  <c r="I32" i="70" s="1"/>
  <c r="JI174" i="40"/>
  <c r="HV175" i="40" l="1"/>
  <c r="HX175" i="40"/>
  <c r="L491" i="40"/>
  <c r="O491" i="40"/>
  <c r="J491" i="40"/>
  <c r="I491" i="40"/>
  <c r="AB491" i="40"/>
  <c r="AH491" i="40"/>
  <c r="AF491" i="40"/>
  <c r="N491" i="40"/>
  <c r="AD491" i="40"/>
  <c r="K491" i="40"/>
  <c r="X491" i="40"/>
  <c r="W491" i="40"/>
  <c r="P491" i="40"/>
  <c r="AJ491" i="40"/>
  <c r="M491" i="40"/>
  <c r="F491" i="40"/>
  <c r="G491" i="40"/>
  <c r="AC491" i="40"/>
  <c r="T491" i="40"/>
  <c r="AI491" i="40"/>
  <c r="AE491" i="40"/>
  <c r="S491" i="40"/>
  <c r="U491" i="40"/>
  <c r="E491" i="40"/>
  <c r="Z491" i="40"/>
  <c r="V491" i="40"/>
  <c r="H491" i="40"/>
  <c r="R491" i="40"/>
  <c r="AG491" i="40"/>
  <c r="AA491" i="40"/>
  <c r="Q491" i="40"/>
  <c r="Y491" i="40"/>
  <c r="HX281" i="40"/>
  <c r="HV281" i="40"/>
  <c r="HW281" i="40"/>
  <c r="JJ280" i="40"/>
  <c r="D489" i="40"/>
  <c r="D281" i="40"/>
  <c r="D175" i="40"/>
  <c r="AY175" i="40" s="1"/>
  <c r="IC175" i="40"/>
  <c r="AQ172" i="40"/>
  <c r="KK172" i="40"/>
  <c r="KJ172" i="40"/>
  <c r="KI172" i="40"/>
  <c r="KO172" i="40"/>
  <c r="AN490" i="40"/>
  <c r="AM490" i="40"/>
  <c r="IE173" i="40"/>
  <c r="IF173" i="40"/>
  <c r="IG173" i="40"/>
  <c r="JD172" i="40"/>
  <c r="KP172" i="40"/>
  <c r="KT123" i="40"/>
  <c r="KU122" i="40"/>
  <c r="I33" i="70" s="1"/>
  <c r="AP490" i="40"/>
  <c r="JT171" i="40"/>
  <c r="JX171" i="40" s="1"/>
  <c r="JR171" i="40"/>
  <c r="KQ171" i="40"/>
  <c r="KS171" i="40" s="1"/>
  <c r="JQ171" i="40"/>
  <c r="JU171" i="40" s="1"/>
  <c r="JV171" i="40" s="1"/>
  <c r="JW171" i="40" s="1"/>
  <c r="JS171" i="40"/>
  <c r="AO282" i="40"/>
  <c r="AM282" i="40"/>
  <c r="AN176" i="40"/>
  <c r="AO176" i="40"/>
  <c r="AM176" i="40"/>
  <c r="ID175" i="40"/>
  <c r="AQ490" i="40"/>
  <c r="B492" i="40"/>
  <c r="A491" i="40"/>
  <c r="JI175" i="40"/>
  <c r="AP282" i="40"/>
  <c r="C284" i="40"/>
  <c r="A283" i="40"/>
  <c r="BA283" i="40"/>
  <c r="BE283" i="40"/>
  <c r="BI283" i="40"/>
  <c r="BM283" i="40"/>
  <c r="BQ283" i="40"/>
  <c r="BU283" i="40"/>
  <c r="BY283" i="40"/>
  <c r="CC283" i="40"/>
  <c r="CG283" i="40"/>
  <c r="DM283" i="40"/>
  <c r="DV283" i="40"/>
  <c r="AW283" i="40"/>
  <c r="BB283" i="40"/>
  <c r="BF283" i="40"/>
  <c r="BJ283" i="40"/>
  <c r="BN283" i="40"/>
  <c r="BR283" i="40"/>
  <c r="BV283" i="40"/>
  <c r="BZ283" i="40"/>
  <c r="CD283" i="40"/>
  <c r="CH283" i="40"/>
  <c r="DS283" i="40"/>
  <c r="DW283" i="40"/>
  <c r="AX283" i="40"/>
  <c r="BC283" i="40"/>
  <c r="BG283" i="40"/>
  <c r="BK283" i="40"/>
  <c r="BO283" i="40"/>
  <c r="BS283" i="40"/>
  <c r="BW283" i="40"/>
  <c r="CA283" i="40"/>
  <c r="CE283" i="40"/>
  <c r="DT283" i="40"/>
  <c r="BD283" i="40"/>
  <c r="BT283" i="40"/>
  <c r="BH283" i="40"/>
  <c r="BX283" i="40"/>
  <c r="DU283" i="40"/>
  <c r="BL283" i="40"/>
  <c r="CB283" i="40"/>
  <c r="AZ283" i="40"/>
  <c r="CF283" i="40"/>
  <c r="BP283" i="40"/>
  <c r="JM173" i="40"/>
  <c r="AL176" i="40"/>
  <c r="AK176" i="40"/>
  <c r="AO490" i="40"/>
  <c r="AN282" i="40"/>
  <c r="AP176" i="40"/>
  <c r="C178" i="40"/>
  <c r="BA177" i="40"/>
  <c r="BE177" i="40"/>
  <c r="BI177" i="40"/>
  <c r="BM177" i="40"/>
  <c r="BQ177" i="40"/>
  <c r="BU177" i="40"/>
  <c r="BY177" i="40"/>
  <c r="CC177" i="40"/>
  <c r="CG177" i="40"/>
  <c r="DM177" i="40"/>
  <c r="DV177" i="40"/>
  <c r="AW177" i="40"/>
  <c r="BB177" i="40"/>
  <c r="BF177" i="40"/>
  <c r="BJ177" i="40"/>
  <c r="BN177" i="40"/>
  <c r="BR177" i="40"/>
  <c r="BV177" i="40"/>
  <c r="BZ177" i="40"/>
  <c r="CD177" i="40"/>
  <c r="CH177" i="40"/>
  <c r="DS177" i="40"/>
  <c r="DW177" i="40"/>
  <c r="A177" i="40"/>
  <c r="AX177" i="40"/>
  <c r="BG177" i="40"/>
  <c r="BO177" i="40"/>
  <c r="BW177" i="40"/>
  <c r="CE177" i="40"/>
  <c r="DT177" i="40"/>
  <c r="AZ177" i="40"/>
  <c r="BH177" i="40"/>
  <c r="BP177" i="40"/>
  <c r="BX177" i="40"/>
  <c r="CF177" i="40"/>
  <c r="DU177" i="40"/>
  <c r="BC177" i="40"/>
  <c r="BK177" i="40"/>
  <c r="BS177" i="40"/>
  <c r="CA177" i="40"/>
  <c r="BT177" i="40"/>
  <c r="CB177" i="40"/>
  <c r="BD177" i="40"/>
  <c r="BL177" i="40"/>
  <c r="JH175" i="40"/>
  <c r="JJ174" i="40"/>
  <c r="JK174" i="40" s="1"/>
  <c r="JL174" i="40" s="1"/>
  <c r="IC174" i="40"/>
  <c r="JJ175" i="40" l="1"/>
  <c r="I492" i="40"/>
  <c r="AJ492" i="40"/>
  <c r="AH492" i="40"/>
  <c r="AF492" i="40"/>
  <c r="AD492" i="40"/>
  <c r="AB492" i="40"/>
  <c r="X492" i="40"/>
  <c r="W492" i="40"/>
  <c r="L492" i="40"/>
  <c r="O492" i="40"/>
  <c r="N492" i="40"/>
  <c r="M492" i="40"/>
  <c r="P492" i="40"/>
  <c r="K492" i="40"/>
  <c r="J492" i="40"/>
  <c r="AG492" i="40"/>
  <c r="Q492" i="40"/>
  <c r="G492" i="40"/>
  <c r="H492" i="40"/>
  <c r="Z492" i="40"/>
  <c r="U492" i="40"/>
  <c r="V492" i="40"/>
  <c r="R492" i="40"/>
  <c r="AA492" i="40"/>
  <c r="AC492" i="40"/>
  <c r="S492" i="40"/>
  <c r="F492" i="40"/>
  <c r="AI492" i="40"/>
  <c r="Y492" i="40"/>
  <c r="E492" i="40"/>
  <c r="AE492" i="40"/>
  <c r="T492" i="40"/>
  <c r="D490" i="40"/>
  <c r="JJ281" i="40"/>
  <c r="HX176" i="40"/>
  <c r="HV176" i="40"/>
  <c r="HW176" i="40"/>
  <c r="HV282" i="40"/>
  <c r="HX282" i="40"/>
  <c r="HW282" i="40"/>
  <c r="D282" i="40"/>
  <c r="D176" i="40"/>
  <c r="AY176" i="40" s="1"/>
  <c r="AP491" i="40"/>
  <c r="IB175" i="40"/>
  <c r="IG175" i="40" s="1"/>
  <c r="JM174" i="40"/>
  <c r="IB174" i="40"/>
  <c r="AP177" i="40"/>
  <c r="AO177" i="40"/>
  <c r="C179" i="40"/>
  <c r="BA178" i="40"/>
  <c r="BE178" i="40"/>
  <c r="BI178" i="40"/>
  <c r="BM178" i="40"/>
  <c r="BQ178" i="40"/>
  <c r="BU178" i="40"/>
  <c r="BY178" i="40"/>
  <c r="CC178" i="40"/>
  <c r="CG178" i="40"/>
  <c r="DS178" i="40"/>
  <c r="DW178" i="40"/>
  <c r="AW178" i="40"/>
  <c r="BB178" i="40"/>
  <c r="BF178" i="40"/>
  <c r="BJ178" i="40"/>
  <c r="BN178" i="40"/>
  <c r="BR178" i="40"/>
  <c r="BV178" i="40"/>
  <c r="BZ178" i="40"/>
  <c r="CD178" i="40"/>
  <c r="CH178" i="40"/>
  <c r="DT178" i="40"/>
  <c r="BC178" i="40"/>
  <c r="BK178" i="40"/>
  <c r="BS178" i="40"/>
  <c r="CA178" i="40"/>
  <c r="BD178" i="40"/>
  <c r="BL178" i="40"/>
  <c r="BT178" i="40"/>
  <c r="CB178" i="40"/>
  <c r="DM178" i="40"/>
  <c r="A178" i="40"/>
  <c r="AX178" i="40"/>
  <c r="BG178" i="40"/>
  <c r="BO178" i="40"/>
  <c r="BW178" i="40"/>
  <c r="CE178" i="40"/>
  <c r="DU178" i="40"/>
  <c r="BP178" i="40"/>
  <c r="BX178" i="40"/>
  <c r="AZ178" i="40"/>
  <c r="CF178" i="40"/>
  <c r="BH178" i="40"/>
  <c r="DV178" i="40"/>
  <c r="AN283" i="40"/>
  <c r="AM283" i="40"/>
  <c r="KO173" i="40"/>
  <c r="KI173" i="40"/>
  <c r="JK175" i="40"/>
  <c r="JL175" i="40" s="1"/>
  <c r="AO491" i="40"/>
  <c r="JT172" i="40"/>
  <c r="JX172" i="40" s="1"/>
  <c r="KQ172" i="40"/>
  <c r="KS172" i="40" s="1"/>
  <c r="JR172" i="40"/>
  <c r="JQ172" i="40"/>
  <c r="JU172" i="40" s="1"/>
  <c r="JV172" i="40" s="1"/>
  <c r="JW172" i="40" s="1"/>
  <c r="JD173" i="40"/>
  <c r="JS173" i="40" s="1"/>
  <c r="KP173" i="40"/>
  <c r="AP283" i="40"/>
  <c r="AO283" i="40"/>
  <c r="C285" i="40"/>
  <c r="AX284" i="40"/>
  <c r="BC284" i="40"/>
  <c r="BG284" i="40"/>
  <c r="BK284" i="40"/>
  <c r="BO284" i="40"/>
  <c r="BS284" i="40"/>
  <c r="BW284" i="40"/>
  <c r="CA284" i="40"/>
  <c r="CE284" i="40"/>
  <c r="DU284" i="40"/>
  <c r="AZ284" i="40"/>
  <c r="BD284" i="40"/>
  <c r="BH284" i="40"/>
  <c r="BL284" i="40"/>
  <c r="BP284" i="40"/>
  <c r="BT284" i="40"/>
  <c r="BX284" i="40"/>
  <c r="CB284" i="40"/>
  <c r="CF284" i="40"/>
  <c r="DM284" i="40"/>
  <c r="DV284" i="40"/>
  <c r="A284" i="40"/>
  <c r="BA284" i="40"/>
  <c r="BE284" i="40"/>
  <c r="BI284" i="40"/>
  <c r="BM284" i="40"/>
  <c r="BQ284" i="40"/>
  <c r="BU284" i="40"/>
  <c r="BY284" i="40"/>
  <c r="CC284" i="40"/>
  <c r="CG284" i="40"/>
  <c r="DS284" i="40"/>
  <c r="DW284" i="40"/>
  <c r="BB284" i="40"/>
  <c r="BR284" i="40"/>
  <c r="CH284" i="40"/>
  <c r="BF284" i="40"/>
  <c r="BV284" i="40"/>
  <c r="DT284" i="40"/>
  <c r="BJ284" i="40"/>
  <c r="BZ284" i="40"/>
  <c r="AW284" i="40"/>
  <c r="BN284" i="40"/>
  <c r="CD284" i="40"/>
  <c r="AM491" i="40"/>
  <c r="D491" i="40" s="1"/>
  <c r="B493" i="40"/>
  <c r="A492" i="40"/>
  <c r="KK173" i="40"/>
  <c r="KJ173" i="40"/>
  <c r="AQ173" i="40"/>
  <c r="KR172" i="40"/>
  <c r="JS172" i="40"/>
  <c r="AK177" i="40"/>
  <c r="AL177" i="40"/>
  <c r="AN177" i="40"/>
  <c r="AM177" i="40"/>
  <c r="AQ491" i="40"/>
  <c r="AN491" i="40"/>
  <c r="KU123" i="40"/>
  <c r="I34" i="70" s="1"/>
  <c r="KT124" i="40"/>
  <c r="X493" i="40" l="1"/>
  <c r="M493" i="40"/>
  <c r="P493" i="40"/>
  <c r="K493" i="40"/>
  <c r="AJ493" i="40"/>
  <c r="AH493" i="40"/>
  <c r="AD493" i="40"/>
  <c r="O493" i="40"/>
  <c r="N493" i="40"/>
  <c r="W493" i="40"/>
  <c r="L493" i="40"/>
  <c r="AF493" i="40"/>
  <c r="J493" i="40"/>
  <c r="I493" i="40"/>
  <c r="AB493" i="40"/>
  <c r="T493" i="40"/>
  <c r="R493" i="40"/>
  <c r="Z493" i="40"/>
  <c r="Y493" i="40"/>
  <c r="G493" i="40"/>
  <c r="E493" i="40"/>
  <c r="AE493" i="40"/>
  <c r="V493" i="40"/>
  <c r="AG493" i="40"/>
  <c r="S493" i="40"/>
  <c r="AI493" i="40"/>
  <c r="AA493" i="40"/>
  <c r="H493" i="40"/>
  <c r="U493" i="40"/>
  <c r="AC493" i="40"/>
  <c r="F493" i="40"/>
  <c r="Q493" i="40"/>
  <c r="JJ282" i="40"/>
  <c r="IC176" i="40"/>
  <c r="HW177" i="40"/>
  <c r="HV177" i="40"/>
  <c r="HX177" i="40"/>
  <c r="JJ176" i="40"/>
  <c r="JK176" i="40" s="1"/>
  <c r="JL176" i="40" s="1"/>
  <c r="JM176" i="40" s="1"/>
  <c r="HW283" i="40"/>
  <c r="HX283" i="40"/>
  <c r="HV283" i="40"/>
  <c r="ID176" i="40"/>
  <c r="D283" i="40"/>
  <c r="D177" i="40"/>
  <c r="AY177" i="40" s="1"/>
  <c r="AP492" i="40"/>
  <c r="AP284" i="40"/>
  <c r="AQ284" i="40"/>
  <c r="IF175" i="40"/>
  <c r="AP178" i="40"/>
  <c r="IE175" i="40"/>
  <c r="KR173" i="40"/>
  <c r="AM284" i="40"/>
  <c r="AK178" i="40"/>
  <c r="AL178" i="40"/>
  <c r="AO178" i="40"/>
  <c r="AM178" i="40"/>
  <c r="AO492" i="40"/>
  <c r="C286" i="40"/>
  <c r="AW285" i="40"/>
  <c r="BB285" i="40"/>
  <c r="BF285" i="40"/>
  <c r="BJ285" i="40"/>
  <c r="BN285" i="40"/>
  <c r="BR285" i="40"/>
  <c r="BV285" i="40"/>
  <c r="BZ285" i="40"/>
  <c r="CD285" i="40"/>
  <c r="CH285" i="40"/>
  <c r="DS285" i="40"/>
  <c r="DW285" i="40"/>
  <c r="AX285" i="40"/>
  <c r="BC285" i="40"/>
  <c r="BG285" i="40"/>
  <c r="BK285" i="40"/>
  <c r="BO285" i="40"/>
  <c r="BS285" i="40"/>
  <c r="BW285" i="40"/>
  <c r="CA285" i="40"/>
  <c r="CE285" i="40"/>
  <c r="DT285" i="40"/>
  <c r="AZ285" i="40"/>
  <c r="BD285" i="40"/>
  <c r="BH285" i="40"/>
  <c r="BL285" i="40"/>
  <c r="BP285" i="40"/>
  <c r="BT285" i="40"/>
  <c r="BX285" i="40"/>
  <c r="CB285" i="40"/>
  <c r="CF285" i="40"/>
  <c r="DU285" i="40"/>
  <c r="BA285" i="40"/>
  <c r="BQ285" i="40"/>
  <c r="CG285" i="40"/>
  <c r="BE285" i="40"/>
  <c r="BU285" i="40"/>
  <c r="DM285" i="40"/>
  <c r="A285" i="40"/>
  <c r="BI285" i="40"/>
  <c r="BY285" i="40"/>
  <c r="DV285" i="40"/>
  <c r="CC285" i="40"/>
  <c r="BM285" i="40"/>
  <c r="C180" i="40"/>
  <c r="AW179" i="40"/>
  <c r="BB179" i="40"/>
  <c r="BF179" i="40"/>
  <c r="BJ179" i="40"/>
  <c r="BN179" i="40"/>
  <c r="BR179" i="40"/>
  <c r="BV179" i="40"/>
  <c r="BZ179" i="40"/>
  <c r="CD179" i="40"/>
  <c r="CH179" i="40"/>
  <c r="DS179" i="40"/>
  <c r="DW179" i="40"/>
  <c r="A179" i="40"/>
  <c r="AX179" i="40"/>
  <c r="BC179" i="40"/>
  <c r="BG179" i="40"/>
  <c r="BK179" i="40"/>
  <c r="BO179" i="40"/>
  <c r="BS179" i="40"/>
  <c r="BW179" i="40"/>
  <c r="CA179" i="40"/>
  <c r="CE179" i="40"/>
  <c r="DT179" i="40"/>
  <c r="AZ179" i="40"/>
  <c r="BH179" i="40"/>
  <c r="BP179" i="40"/>
  <c r="BX179" i="40"/>
  <c r="CF179" i="40"/>
  <c r="DU179" i="40"/>
  <c r="BA179" i="40"/>
  <c r="BI179" i="40"/>
  <c r="BQ179" i="40"/>
  <c r="BY179" i="40"/>
  <c r="CG179" i="40"/>
  <c r="DV179" i="40"/>
  <c r="BD179" i="40"/>
  <c r="BL179" i="40"/>
  <c r="BT179" i="40"/>
  <c r="CB179" i="40"/>
  <c r="BM179" i="40"/>
  <c r="BU179" i="40"/>
  <c r="CC179" i="40"/>
  <c r="BE179" i="40"/>
  <c r="DM179" i="40"/>
  <c r="IE174" i="40"/>
  <c r="KI174" i="40" s="1"/>
  <c r="IG174" i="40"/>
  <c r="KK174" i="40" s="1"/>
  <c r="AN492" i="40"/>
  <c r="AM492" i="40"/>
  <c r="AN284" i="40"/>
  <c r="AO284" i="40"/>
  <c r="JM175" i="40"/>
  <c r="KK175" i="40" s="1"/>
  <c r="KU124" i="40"/>
  <c r="I35" i="70" s="1"/>
  <c r="KT125" i="40"/>
  <c r="AQ492" i="40"/>
  <c r="B494" i="40"/>
  <c r="A493" i="40"/>
  <c r="JT173" i="40"/>
  <c r="JX173" i="40" s="1"/>
  <c r="KQ173" i="40"/>
  <c r="KS173" i="40" s="1"/>
  <c r="JR173" i="40"/>
  <c r="JQ173" i="40"/>
  <c r="JU173" i="40" s="1"/>
  <c r="JV173" i="40" s="1"/>
  <c r="JW173" i="40" s="1"/>
  <c r="AN178" i="40"/>
  <c r="IF174" i="40"/>
  <c r="KJ174" i="40" s="1"/>
  <c r="KO174" i="40"/>
  <c r="J494" i="40" l="1"/>
  <c r="L494" i="40"/>
  <c r="K494" i="40"/>
  <c r="N494" i="40"/>
  <c r="I494" i="40"/>
  <c r="AH494" i="40"/>
  <c r="AB494" i="40"/>
  <c r="W494" i="40"/>
  <c r="AD494" i="40"/>
  <c r="P494" i="40"/>
  <c r="X494" i="40"/>
  <c r="M494" i="40"/>
  <c r="AF494" i="40"/>
  <c r="O494" i="40"/>
  <c r="AJ494" i="40"/>
  <c r="AC494" i="40"/>
  <c r="AG494" i="40"/>
  <c r="AI494" i="40"/>
  <c r="Z494" i="40"/>
  <c r="Q494" i="40"/>
  <c r="H494" i="40"/>
  <c r="E494" i="40"/>
  <c r="F494" i="40"/>
  <c r="AA494" i="40"/>
  <c r="S494" i="40"/>
  <c r="AE494" i="40"/>
  <c r="R494" i="40"/>
  <c r="U494" i="40"/>
  <c r="Y494" i="40"/>
  <c r="G494" i="40"/>
  <c r="T494" i="40"/>
  <c r="V494" i="40"/>
  <c r="HW178" i="40"/>
  <c r="HX178" i="40"/>
  <c r="HV178" i="40"/>
  <c r="IC177" i="40"/>
  <c r="JJ283" i="40"/>
  <c r="KO176" i="40"/>
  <c r="ID177" i="40"/>
  <c r="IB176" i="40"/>
  <c r="IE176" i="40" s="1"/>
  <c r="JJ177" i="40"/>
  <c r="JK177" i="40" s="1"/>
  <c r="JL177" i="40" s="1"/>
  <c r="JM177" i="40" s="1"/>
  <c r="D284" i="40"/>
  <c r="D178" i="40"/>
  <c r="AY178" i="40" s="1"/>
  <c r="D492" i="40"/>
  <c r="AQ175" i="40"/>
  <c r="JD175" i="40"/>
  <c r="JR175" i="40" s="1"/>
  <c r="KP175" i="40"/>
  <c r="AQ174" i="40"/>
  <c r="AN493" i="40"/>
  <c r="KU125" i="40"/>
  <c r="I36" i="70" s="1"/>
  <c r="KT126" i="40"/>
  <c r="AN179" i="40"/>
  <c r="AN285" i="40"/>
  <c r="B495" i="40"/>
  <c r="A494" i="40"/>
  <c r="AO285" i="40"/>
  <c r="AM285" i="40"/>
  <c r="AQ493" i="40"/>
  <c r="AM493" i="40"/>
  <c r="AK179" i="40"/>
  <c r="AL179" i="40"/>
  <c r="AO179" i="40"/>
  <c r="AQ285" i="40"/>
  <c r="AP493" i="40"/>
  <c r="AO493" i="40"/>
  <c r="KJ175" i="40"/>
  <c r="KI175" i="40"/>
  <c r="KO175" i="40"/>
  <c r="JD174" i="40"/>
  <c r="KP174" i="40"/>
  <c r="KR174" i="40" s="1"/>
  <c r="AP179" i="40"/>
  <c r="AM179" i="40"/>
  <c r="C181" i="40"/>
  <c r="AW180" i="40"/>
  <c r="BB180" i="40"/>
  <c r="BF180" i="40"/>
  <c r="BJ180" i="40"/>
  <c r="BN180" i="40"/>
  <c r="BR180" i="40"/>
  <c r="BV180" i="40"/>
  <c r="BZ180" i="40"/>
  <c r="CD180" i="40"/>
  <c r="CH180" i="40"/>
  <c r="DT180" i="40"/>
  <c r="A180" i="40"/>
  <c r="AX180" i="40"/>
  <c r="BC180" i="40"/>
  <c r="BG180" i="40"/>
  <c r="BK180" i="40"/>
  <c r="BO180" i="40"/>
  <c r="BS180" i="40"/>
  <c r="BW180" i="40"/>
  <c r="CA180" i="40"/>
  <c r="CE180" i="40"/>
  <c r="DU180" i="40"/>
  <c r="BD180" i="40"/>
  <c r="BL180" i="40"/>
  <c r="BT180" i="40"/>
  <c r="CB180" i="40"/>
  <c r="DM180" i="40"/>
  <c r="BE180" i="40"/>
  <c r="BM180" i="40"/>
  <c r="BU180" i="40"/>
  <c r="CC180" i="40"/>
  <c r="DS180" i="40"/>
  <c r="AZ180" i="40"/>
  <c r="BH180" i="40"/>
  <c r="BP180" i="40"/>
  <c r="BX180" i="40"/>
  <c r="CF180" i="40"/>
  <c r="DV180" i="40"/>
  <c r="BI180" i="40"/>
  <c r="DW180" i="40"/>
  <c r="BQ180" i="40"/>
  <c r="BY180" i="40"/>
  <c r="BA180" i="40"/>
  <c r="CG180" i="40"/>
  <c r="AP285" i="40"/>
  <c r="C287" i="40"/>
  <c r="AZ286" i="40"/>
  <c r="BD286" i="40"/>
  <c r="BH286" i="40"/>
  <c r="BL286" i="40"/>
  <c r="BP286" i="40"/>
  <c r="BT286" i="40"/>
  <c r="BX286" i="40"/>
  <c r="CB286" i="40"/>
  <c r="CF286" i="40"/>
  <c r="DM286" i="40"/>
  <c r="DV286" i="40"/>
  <c r="A286" i="40"/>
  <c r="BA286" i="40"/>
  <c r="BE286" i="40"/>
  <c r="BI286" i="40"/>
  <c r="BM286" i="40"/>
  <c r="BQ286" i="40"/>
  <c r="BU286" i="40"/>
  <c r="BY286" i="40"/>
  <c r="CC286" i="40"/>
  <c r="CG286" i="40"/>
  <c r="DS286" i="40"/>
  <c r="DW286" i="40"/>
  <c r="AW286" i="40"/>
  <c r="BB286" i="40"/>
  <c r="BF286" i="40"/>
  <c r="BJ286" i="40"/>
  <c r="BN286" i="40"/>
  <c r="BR286" i="40"/>
  <c r="BV286" i="40"/>
  <c r="BZ286" i="40"/>
  <c r="CD286" i="40"/>
  <c r="CH286" i="40"/>
  <c r="DT286" i="40"/>
  <c r="AX286" i="40"/>
  <c r="BO286" i="40"/>
  <c r="CE286" i="40"/>
  <c r="BC286" i="40"/>
  <c r="BS286" i="40"/>
  <c r="BG286" i="40"/>
  <c r="BW286" i="40"/>
  <c r="DU286" i="40"/>
  <c r="CA286" i="40"/>
  <c r="BK286" i="40"/>
  <c r="AB495" i="40" l="1"/>
  <c r="N495" i="40"/>
  <c r="AH495" i="40"/>
  <c r="P495" i="40"/>
  <c r="O495" i="40"/>
  <c r="I495" i="40"/>
  <c r="W495" i="40"/>
  <c r="J495" i="40"/>
  <c r="AD495" i="40"/>
  <c r="K495" i="40"/>
  <c r="X495" i="40"/>
  <c r="L495" i="40"/>
  <c r="AJ495" i="40"/>
  <c r="M495" i="40"/>
  <c r="AF495" i="40"/>
  <c r="AC495" i="40"/>
  <c r="G495" i="40"/>
  <c r="AG495" i="40"/>
  <c r="R495" i="40"/>
  <c r="H495" i="40"/>
  <c r="AA495" i="40"/>
  <c r="Y495" i="40"/>
  <c r="F495" i="40"/>
  <c r="Q495" i="40"/>
  <c r="U495" i="40"/>
  <c r="Z495" i="40"/>
  <c r="S495" i="40"/>
  <c r="AE495" i="40"/>
  <c r="E495" i="40"/>
  <c r="AI495" i="40"/>
  <c r="T495" i="40"/>
  <c r="V495" i="40"/>
  <c r="IB177" i="40"/>
  <c r="JJ178" i="40"/>
  <c r="JK178" i="40" s="1"/>
  <c r="JL178" i="40" s="1"/>
  <c r="JM178" i="40" s="1"/>
  <c r="KO177" i="40"/>
  <c r="KI176" i="40"/>
  <c r="ID178" i="40"/>
  <c r="HX179" i="40"/>
  <c r="HV179" i="40"/>
  <c r="HW179" i="40"/>
  <c r="IG176" i="40"/>
  <c r="KK176" i="40" s="1"/>
  <c r="IF176" i="40"/>
  <c r="IC178" i="40"/>
  <c r="D493" i="40"/>
  <c r="JT175" i="40"/>
  <c r="JX175" i="40" s="1"/>
  <c r="D285" i="40"/>
  <c r="D179" i="40"/>
  <c r="AY179" i="40" s="1"/>
  <c r="KR175" i="40"/>
  <c r="JS175" i="40"/>
  <c r="JQ175" i="40"/>
  <c r="JU175" i="40" s="1"/>
  <c r="JV175" i="40" s="1"/>
  <c r="JW175" i="40" s="1"/>
  <c r="KQ175" i="40"/>
  <c r="KS175" i="40" s="1"/>
  <c r="AP180" i="40"/>
  <c r="AO286" i="40"/>
  <c r="AN180" i="40"/>
  <c r="AM180" i="40"/>
  <c r="AN494" i="40"/>
  <c r="AM286" i="40"/>
  <c r="AP286" i="40"/>
  <c r="AQ286" i="40"/>
  <c r="C288" i="40"/>
  <c r="AX287" i="40"/>
  <c r="BC287" i="40"/>
  <c r="BG287" i="40"/>
  <c r="BK287" i="40"/>
  <c r="BO287" i="40"/>
  <c r="BS287" i="40"/>
  <c r="BW287" i="40"/>
  <c r="CA287" i="40"/>
  <c r="CE287" i="40"/>
  <c r="DU287" i="40"/>
  <c r="AZ287" i="40"/>
  <c r="BD287" i="40"/>
  <c r="BH287" i="40"/>
  <c r="BL287" i="40"/>
  <c r="BP287" i="40"/>
  <c r="BT287" i="40"/>
  <c r="BX287" i="40"/>
  <c r="CB287" i="40"/>
  <c r="CF287" i="40"/>
  <c r="DM287" i="40"/>
  <c r="DV287" i="40"/>
  <c r="A287" i="40"/>
  <c r="BA287" i="40"/>
  <c r="BE287" i="40"/>
  <c r="BI287" i="40"/>
  <c r="BM287" i="40"/>
  <c r="BQ287" i="40"/>
  <c r="BU287" i="40"/>
  <c r="BY287" i="40"/>
  <c r="CC287" i="40"/>
  <c r="CG287" i="40"/>
  <c r="DS287" i="40"/>
  <c r="DW287" i="40"/>
  <c r="AW287" i="40"/>
  <c r="BN287" i="40"/>
  <c r="CD287" i="40"/>
  <c r="BB287" i="40"/>
  <c r="BR287" i="40"/>
  <c r="CH287" i="40"/>
  <c r="BF287" i="40"/>
  <c r="BV287" i="40"/>
  <c r="DT287" i="40"/>
  <c r="BJ287" i="40"/>
  <c r="BZ287" i="40"/>
  <c r="AK180" i="40"/>
  <c r="J46" i="58" s="1"/>
  <c r="J47" i="58" s="1"/>
  <c r="AL180" i="40"/>
  <c r="JT174" i="40"/>
  <c r="JX174" i="40" s="1"/>
  <c r="KQ174" i="40"/>
  <c r="KS174" i="40" s="1"/>
  <c r="JR174" i="40"/>
  <c r="JQ174" i="40"/>
  <c r="JU174" i="40" s="1"/>
  <c r="JV174" i="40" s="1"/>
  <c r="JW174" i="40" s="1"/>
  <c r="JS174" i="40"/>
  <c r="AO494" i="40"/>
  <c r="AP494" i="40"/>
  <c r="C182" i="40"/>
  <c r="A181" i="40"/>
  <c r="AX181" i="40"/>
  <c r="BC181" i="40"/>
  <c r="BG181" i="40"/>
  <c r="BK181" i="40"/>
  <c r="BO181" i="40"/>
  <c r="BS181" i="40"/>
  <c r="BW181" i="40"/>
  <c r="CA181" i="40"/>
  <c r="CE181" i="40"/>
  <c r="DT181" i="40"/>
  <c r="AZ181" i="40"/>
  <c r="BD181" i="40"/>
  <c r="BH181" i="40"/>
  <c r="BL181" i="40"/>
  <c r="BP181" i="40"/>
  <c r="BT181" i="40"/>
  <c r="BX181" i="40"/>
  <c r="CB181" i="40"/>
  <c r="CF181" i="40"/>
  <c r="DU181" i="40"/>
  <c r="BA181" i="40"/>
  <c r="BI181" i="40"/>
  <c r="BQ181" i="40"/>
  <c r="BY181" i="40"/>
  <c r="CG181" i="40"/>
  <c r="DV181" i="40"/>
  <c r="BB181" i="40"/>
  <c r="BJ181" i="40"/>
  <c r="BR181" i="40"/>
  <c r="BZ181" i="40"/>
  <c r="CH181" i="40"/>
  <c r="DW181" i="40"/>
  <c r="BE181" i="40"/>
  <c r="BM181" i="40"/>
  <c r="BU181" i="40"/>
  <c r="CC181" i="40"/>
  <c r="DM181" i="40"/>
  <c r="BF181" i="40"/>
  <c r="DS181" i="40"/>
  <c r="BN181" i="40"/>
  <c r="BV181" i="40"/>
  <c r="AW181" i="40"/>
  <c r="CD181" i="40"/>
  <c r="AQ494" i="40"/>
  <c r="B496" i="40"/>
  <c r="A495" i="40"/>
  <c r="AN286" i="40"/>
  <c r="AO180" i="40"/>
  <c r="AM494" i="40"/>
  <c r="KT127" i="40"/>
  <c r="KU126" i="40"/>
  <c r="I37" i="70" s="1"/>
  <c r="AF496" i="40" l="1"/>
  <c r="AB496" i="40"/>
  <c r="M496" i="40"/>
  <c r="AD496" i="40"/>
  <c r="O496" i="40"/>
  <c r="I496" i="40"/>
  <c r="AH496" i="40"/>
  <c r="N496" i="40"/>
  <c r="K496" i="40"/>
  <c r="P496" i="40"/>
  <c r="J496" i="40"/>
  <c r="AJ496" i="40"/>
  <c r="W496" i="40"/>
  <c r="L496" i="40"/>
  <c r="X496" i="40"/>
  <c r="AG496" i="40"/>
  <c r="T496" i="40"/>
  <c r="R496" i="40"/>
  <c r="V496" i="40"/>
  <c r="Y496" i="40"/>
  <c r="AA496" i="40"/>
  <c r="H496" i="40"/>
  <c r="F496" i="40"/>
  <c r="Z496" i="40"/>
  <c r="U496" i="40"/>
  <c r="AC496" i="40"/>
  <c r="E496" i="40"/>
  <c r="G496" i="40"/>
  <c r="AE496" i="40"/>
  <c r="AI496" i="40"/>
  <c r="S496" i="40"/>
  <c r="Q496" i="40"/>
  <c r="D494" i="40"/>
  <c r="HX180" i="40"/>
  <c r="HW180" i="40"/>
  <c r="HV180" i="40"/>
  <c r="AQ176" i="40"/>
  <c r="KJ176" i="40"/>
  <c r="ID179" i="40"/>
  <c r="IF177" i="40"/>
  <c r="IE177" i="40"/>
  <c r="IB178" i="40"/>
  <c r="IG178" i="40" s="1"/>
  <c r="KK178" i="40" s="1"/>
  <c r="IC179" i="40"/>
  <c r="KO178" i="40"/>
  <c r="KP176" i="40"/>
  <c r="KR176" i="40" s="1"/>
  <c r="JJ179" i="40"/>
  <c r="JK179" i="40" s="1"/>
  <c r="JL179" i="40" s="1"/>
  <c r="JM179" i="40" s="1"/>
  <c r="IG177" i="40"/>
  <c r="KK177" i="40" s="1"/>
  <c r="JD176" i="40"/>
  <c r="D180" i="40"/>
  <c r="AY180" i="40" s="1"/>
  <c r="D286" i="40"/>
  <c r="AP181" i="40"/>
  <c r="AP287" i="40"/>
  <c r="AQ287" i="40"/>
  <c r="AL181" i="40"/>
  <c r="AK181" i="40"/>
  <c r="AN287" i="40"/>
  <c r="AN495" i="40"/>
  <c r="AO495" i="40"/>
  <c r="AM495" i="40"/>
  <c r="AO181" i="40"/>
  <c r="C183" i="40"/>
  <c r="A182" i="40"/>
  <c r="AX182" i="40"/>
  <c r="BC182" i="40"/>
  <c r="BG182" i="40"/>
  <c r="BK182" i="40"/>
  <c r="BO182" i="40"/>
  <c r="BS182" i="40"/>
  <c r="BW182" i="40"/>
  <c r="CA182" i="40"/>
  <c r="CE182" i="40"/>
  <c r="DU182" i="40"/>
  <c r="AZ182" i="40"/>
  <c r="BD182" i="40"/>
  <c r="BH182" i="40"/>
  <c r="BL182" i="40"/>
  <c r="BP182" i="40"/>
  <c r="BT182" i="40"/>
  <c r="BX182" i="40"/>
  <c r="CB182" i="40"/>
  <c r="CF182" i="40"/>
  <c r="DM182" i="40"/>
  <c r="DV182" i="40"/>
  <c r="BE182" i="40"/>
  <c r="BM182" i="40"/>
  <c r="BU182" i="40"/>
  <c r="CC182" i="40"/>
  <c r="DS182" i="40"/>
  <c r="AW182" i="40"/>
  <c r="BF182" i="40"/>
  <c r="BN182" i="40"/>
  <c r="BV182" i="40"/>
  <c r="CD182" i="40"/>
  <c r="DT182" i="40"/>
  <c r="BA182" i="40"/>
  <c r="BI182" i="40"/>
  <c r="BQ182" i="40"/>
  <c r="BY182" i="40"/>
  <c r="CG182" i="40"/>
  <c r="DW182" i="40"/>
  <c r="BB182" i="40"/>
  <c r="CH182" i="40"/>
  <c r="BJ182" i="40"/>
  <c r="BR182" i="40"/>
  <c r="BZ182" i="40"/>
  <c r="AP495" i="40"/>
  <c r="B497" i="40"/>
  <c r="A496" i="40"/>
  <c r="AO287" i="40"/>
  <c r="AM287" i="40"/>
  <c r="KT128" i="40"/>
  <c r="KU127" i="40"/>
  <c r="I38" i="70" s="1"/>
  <c r="AQ495" i="40"/>
  <c r="AN181" i="40"/>
  <c r="AM181" i="40"/>
  <c r="C289" i="40"/>
  <c r="AW288" i="40"/>
  <c r="BB288" i="40"/>
  <c r="BF288" i="40"/>
  <c r="BJ288" i="40"/>
  <c r="BN288" i="40"/>
  <c r="BR288" i="40"/>
  <c r="BV288" i="40"/>
  <c r="BZ288" i="40"/>
  <c r="CD288" i="40"/>
  <c r="CH288" i="40"/>
  <c r="DM288" i="40"/>
  <c r="DV288" i="40"/>
  <c r="AX288" i="40"/>
  <c r="BC288" i="40"/>
  <c r="BG288" i="40"/>
  <c r="BK288" i="40"/>
  <c r="BO288" i="40"/>
  <c r="BS288" i="40"/>
  <c r="BW288" i="40"/>
  <c r="CA288" i="40"/>
  <c r="CE288" i="40"/>
  <c r="DS288" i="40"/>
  <c r="DW288" i="40"/>
  <c r="AZ288" i="40"/>
  <c r="BD288" i="40"/>
  <c r="BH288" i="40"/>
  <c r="BL288" i="40"/>
  <c r="BP288" i="40"/>
  <c r="BT288" i="40"/>
  <c r="BX288" i="40"/>
  <c r="CB288" i="40"/>
  <c r="CF288" i="40"/>
  <c r="DT288" i="40"/>
  <c r="BM288" i="40"/>
  <c r="CC288" i="40"/>
  <c r="BA288" i="40"/>
  <c r="BQ288" i="40"/>
  <c r="CG288" i="40"/>
  <c r="BE288" i="40"/>
  <c r="BU288" i="40"/>
  <c r="A288" i="40"/>
  <c r="DU288" i="40"/>
  <c r="BY288" i="40"/>
  <c r="BI288" i="40"/>
  <c r="W497" i="40" l="1"/>
  <c r="P497" i="40"/>
  <c r="O497" i="40"/>
  <c r="X497" i="40"/>
  <c r="M497" i="40"/>
  <c r="K497" i="40"/>
  <c r="AB497" i="40"/>
  <c r="L497" i="40"/>
  <c r="AF497" i="40"/>
  <c r="J497" i="40"/>
  <c r="AJ497" i="40"/>
  <c r="I497" i="40"/>
  <c r="AD497" i="40"/>
  <c r="N497" i="40"/>
  <c r="AH497" i="40"/>
  <c r="F497" i="40"/>
  <c r="S497" i="40"/>
  <c r="G497" i="40"/>
  <c r="AG497" i="40"/>
  <c r="Y497" i="40"/>
  <c r="T497" i="40"/>
  <c r="Z497" i="40"/>
  <c r="V497" i="40"/>
  <c r="Q497" i="40"/>
  <c r="E497" i="40"/>
  <c r="R497" i="40"/>
  <c r="AC497" i="40"/>
  <c r="AI497" i="40"/>
  <c r="U497" i="40"/>
  <c r="AA497" i="40"/>
  <c r="H497" i="40"/>
  <c r="AE497" i="40"/>
  <c r="D287" i="40"/>
  <c r="IF178" i="40"/>
  <c r="IE178" i="40"/>
  <c r="IB179" i="40"/>
  <c r="IE179" i="40" s="1"/>
  <c r="JJ180" i="40"/>
  <c r="JK180" i="40" s="1"/>
  <c r="JL180" i="40" s="1"/>
  <c r="JM180" i="40" s="1"/>
  <c r="KO179" i="40"/>
  <c r="JD177" i="40"/>
  <c r="KP177" i="40"/>
  <c r="KR177" i="40" s="1"/>
  <c r="KI177" i="40"/>
  <c r="IC180" i="40"/>
  <c r="HW181" i="40"/>
  <c r="HX181" i="40"/>
  <c r="HV181" i="40"/>
  <c r="JS176" i="40"/>
  <c r="JQ176" i="40"/>
  <c r="JU176" i="40" s="1"/>
  <c r="JV176" i="40" s="1"/>
  <c r="JW176" i="40" s="1"/>
  <c r="JR176" i="40"/>
  <c r="JT176" i="40"/>
  <c r="JX176" i="40" s="1"/>
  <c r="KQ176" i="40"/>
  <c r="KS176" i="40" s="1"/>
  <c r="AQ177" i="40"/>
  <c r="KJ177" i="40"/>
  <c r="ID180" i="40"/>
  <c r="D495" i="40"/>
  <c r="D181" i="40"/>
  <c r="AY181" i="40" s="1"/>
  <c r="AP182" i="40"/>
  <c r="AQ496" i="40"/>
  <c r="AO288" i="40"/>
  <c r="AQ288" i="40"/>
  <c r="KT129" i="40"/>
  <c r="KU128" i="40"/>
  <c r="AP496" i="40"/>
  <c r="B498" i="40"/>
  <c r="A497" i="40"/>
  <c r="AK182" i="40"/>
  <c r="AL182" i="40"/>
  <c r="C290" i="40"/>
  <c r="AX289" i="40"/>
  <c r="BC289" i="40"/>
  <c r="BG289" i="40"/>
  <c r="BK289" i="40"/>
  <c r="BO289" i="40"/>
  <c r="BS289" i="40"/>
  <c r="BW289" i="40"/>
  <c r="CA289" i="40"/>
  <c r="CE289" i="40"/>
  <c r="DU289" i="40"/>
  <c r="AZ289" i="40"/>
  <c r="BD289" i="40"/>
  <c r="BH289" i="40"/>
  <c r="BL289" i="40"/>
  <c r="BP289" i="40"/>
  <c r="BT289" i="40"/>
  <c r="BX289" i="40"/>
  <c r="CB289" i="40"/>
  <c r="CF289" i="40"/>
  <c r="DM289" i="40"/>
  <c r="DV289" i="40"/>
  <c r="A289" i="40"/>
  <c r="BA289" i="40"/>
  <c r="BE289" i="40"/>
  <c r="BI289" i="40"/>
  <c r="BM289" i="40"/>
  <c r="BQ289" i="40"/>
  <c r="BU289" i="40"/>
  <c r="BY289" i="40"/>
  <c r="CC289" i="40"/>
  <c r="CG289" i="40"/>
  <c r="DS289" i="40"/>
  <c r="DW289" i="40"/>
  <c r="BJ289" i="40"/>
  <c r="BZ289" i="40"/>
  <c r="AW289" i="40"/>
  <c r="BN289" i="40"/>
  <c r="CD289" i="40"/>
  <c r="BB289" i="40"/>
  <c r="BR289" i="40"/>
  <c r="CH289" i="40"/>
  <c r="DT289" i="40"/>
  <c r="BV289" i="40"/>
  <c r="BF289" i="40"/>
  <c r="AM496" i="40"/>
  <c r="AN182" i="40"/>
  <c r="C184" i="40"/>
  <c r="AZ183" i="40"/>
  <c r="BD183" i="40"/>
  <c r="BH183" i="40"/>
  <c r="BL183" i="40"/>
  <c r="BP183" i="40"/>
  <c r="BT183" i="40"/>
  <c r="BX183" i="40"/>
  <c r="CB183" i="40"/>
  <c r="CF183" i="40"/>
  <c r="DU183" i="40"/>
  <c r="BA183" i="40"/>
  <c r="BE183" i="40"/>
  <c r="BI183" i="40"/>
  <c r="BM183" i="40"/>
  <c r="BQ183" i="40"/>
  <c r="BU183" i="40"/>
  <c r="BY183" i="40"/>
  <c r="CC183" i="40"/>
  <c r="CG183" i="40"/>
  <c r="DM183" i="40"/>
  <c r="DV183" i="40"/>
  <c r="BB183" i="40"/>
  <c r="BJ183" i="40"/>
  <c r="BR183" i="40"/>
  <c r="BZ183" i="40"/>
  <c r="CH183" i="40"/>
  <c r="DW183" i="40"/>
  <c r="BC183" i="40"/>
  <c r="BK183" i="40"/>
  <c r="BS183" i="40"/>
  <c r="CA183" i="40"/>
  <c r="AW183" i="40"/>
  <c r="BF183" i="40"/>
  <c r="BN183" i="40"/>
  <c r="BV183" i="40"/>
  <c r="CD183" i="40"/>
  <c r="DS183" i="40"/>
  <c r="AX183" i="40"/>
  <c r="CE183" i="40"/>
  <c r="A183" i="40"/>
  <c r="BG183" i="40"/>
  <c r="DT183" i="40"/>
  <c r="BO183" i="40"/>
  <c r="BW183" i="40"/>
  <c r="AP288" i="40"/>
  <c r="AN288" i="40"/>
  <c r="AN496" i="40"/>
  <c r="AM288" i="40"/>
  <c r="AO496" i="40"/>
  <c r="AO182" i="40"/>
  <c r="AM182" i="40"/>
  <c r="D496" i="40" l="1"/>
  <c r="J498" i="40"/>
  <c r="P498" i="40"/>
  <c r="O498" i="40"/>
  <c r="AH498" i="40"/>
  <c r="AJ498" i="40"/>
  <c r="AF498" i="40"/>
  <c r="I498" i="40"/>
  <c r="X498" i="40"/>
  <c r="W498" i="40"/>
  <c r="K498" i="40"/>
  <c r="AB498" i="40"/>
  <c r="N498" i="40"/>
  <c r="L498" i="40"/>
  <c r="AD498" i="40"/>
  <c r="M498" i="40"/>
  <c r="S498" i="40"/>
  <c r="G498" i="40"/>
  <c r="T498" i="40"/>
  <c r="Z498" i="40"/>
  <c r="E498" i="40"/>
  <c r="R498" i="40"/>
  <c r="U498" i="40"/>
  <c r="AG498" i="40"/>
  <c r="AC498" i="40"/>
  <c r="Y498" i="40"/>
  <c r="Q498" i="40"/>
  <c r="AE498" i="40"/>
  <c r="AI498" i="40"/>
  <c r="V498" i="40"/>
  <c r="AA498" i="40"/>
  <c r="H498" i="40"/>
  <c r="F498" i="40"/>
  <c r="JJ181" i="40"/>
  <c r="JK181" i="40" s="1"/>
  <c r="JL181" i="40" s="1"/>
  <c r="JM181" i="40" s="1"/>
  <c r="ID181" i="40"/>
  <c r="JD178" i="40"/>
  <c r="KP178" i="40"/>
  <c r="KR178" i="40" s="1"/>
  <c r="KI178" i="40"/>
  <c r="IB180" i="40"/>
  <c r="IG180" i="40" s="1"/>
  <c r="KK180" i="40" s="1"/>
  <c r="IC181" i="40"/>
  <c r="KI179" i="40"/>
  <c r="KO180" i="40"/>
  <c r="AQ178" i="40"/>
  <c r="KJ178" i="40"/>
  <c r="HX182" i="40"/>
  <c r="HV182" i="40"/>
  <c r="HW182" i="40"/>
  <c r="JT177" i="40"/>
  <c r="JX177" i="40" s="1"/>
  <c r="JR177" i="40"/>
  <c r="JQ177" i="40"/>
  <c r="JU177" i="40" s="1"/>
  <c r="JV177" i="40" s="1"/>
  <c r="JW177" i="40" s="1"/>
  <c r="KQ177" i="40"/>
  <c r="KS177" i="40" s="1"/>
  <c r="JS177" i="40"/>
  <c r="IG179" i="40"/>
  <c r="KK179" i="40" s="1"/>
  <c r="IF179" i="40"/>
  <c r="D288" i="40"/>
  <c r="D182" i="40"/>
  <c r="AY182" i="40" s="1"/>
  <c r="AP497" i="40"/>
  <c r="AP183" i="40"/>
  <c r="AQ497" i="40"/>
  <c r="AN183" i="40"/>
  <c r="AK183" i="40"/>
  <c r="AL183" i="40"/>
  <c r="AO183" i="40"/>
  <c r="AM183" i="40"/>
  <c r="AO289" i="40"/>
  <c r="AQ289" i="40"/>
  <c r="B499" i="40"/>
  <c r="A498" i="40"/>
  <c r="C185" i="40"/>
  <c r="AZ184" i="40"/>
  <c r="BD184" i="40"/>
  <c r="BH184" i="40"/>
  <c r="BL184" i="40"/>
  <c r="BP184" i="40"/>
  <c r="BT184" i="40"/>
  <c r="BX184" i="40"/>
  <c r="CB184" i="40"/>
  <c r="CF184" i="40"/>
  <c r="DM184" i="40"/>
  <c r="DV184" i="40"/>
  <c r="BA184" i="40"/>
  <c r="BE184" i="40"/>
  <c r="BI184" i="40"/>
  <c r="BM184" i="40"/>
  <c r="BQ184" i="40"/>
  <c r="BU184" i="40"/>
  <c r="BY184" i="40"/>
  <c r="CC184" i="40"/>
  <c r="CG184" i="40"/>
  <c r="DS184" i="40"/>
  <c r="DW184" i="40"/>
  <c r="AW184" i="40"/>
  <c r="BF184" i="40"/>
  <c r="BN184" i="40"/>
  <c r="BV184" i="40"/>
  <c r="CD184" i="40"/>
  <c r="DT184" i="40"/>
  <c r="A184" i="40"/>
  <c r="AX184" i="40"/>
  <c r="BG184" i="40"/>
  <c r="BO184" i="40"/>
  <c r="BW184" i="40"/>
  <c r="CE184" i="40"/>
  <c r="DU184" i="40"/>
  <c r="BB184" i="40"/>
  <c r="BJ184" i="40"/>
  <c r="BR184" i="40"/>
  <c r="BZ184" i="40"/>
  <c r="CH184" i="40"/>
  <c r="CA184" i="40"/>
  <c r="BC184" i="40"/>
  <c r="BK184" i="40"/>
  <c r="BS184" i="40"/>
  <c r="AM289" i="40"/>
  <c r="AQ183" i="40"/>
  <c r="AP289" i="40"/>
  <c r="AN289" i="40"/>
  <c r="C291" i="40"/>
  <c r="AW290" i="40"/>
  <c r="BB290" i="40"/>
  <c r="BF290" i="40"/>
  <c r="BJ290" i="40"/>
  <c r="BN290" i="40"/>
  <c r="BR290" i="40"/>
  <c r="BV290" i="40"/>
  <c r="BZ290" i="40"/>
  <c r="CD290" i="40"/>
  <c r="CH290" i="40"/>
  <c r="DT290" i="40"/>
  <c r="AX290" i="40"/>
  <c r="BC290" i="40"/>
  <c r="BG290" i="40"/>
  <c r="BK290" i="40"/>
  <c r="BO290" i="40"/>
  <c r="BS290" i="40"/>
  <c r="BW290" i="40"/>
  <c r="CA290" i="40"/>
  <c r="CE290" i="40"/>
  <c r="DU290" i="40"/>
  <c r="AZ290" i="40"/>
  <c r="BD290" i="40"/>
  <c r="BH290" i="40"/>
  <c r="BL290" i="40"/>
  <c r="BP290" i="40"/>
  <c r="BT290" i="40"/>
  <c r="BX290" i="40"/>
  <c r="CB290" i="40"/>
  <c r="CF290" i="40"/>
  <c r="DM290" i="40"/>
  <c r="DV290" i="40"/>
  <c r="A290" i="40"/>
  <c r="BI290" i="40"/>
  <c r="BY290" i="40"/>
  <c r="DW290" i="40"/>
  <c r="BM290" i="40"/>
  <c r="CC290" i="40"/>
  <c r="BA290" i="40"/>
  <c r="BQ290" i="40"/>
  <c r="CG290" i="40"/>
  <c r="DS290" i="40"/>
  <c r="BU290" i="40"/>
  <c r="BE290" i="40"/>
  <c r="I14" i="70"/>
  <c r="I39" i="70"/>
  <c r="AN497" i="40"/>
  <c r="AO497" i="40"/>
  <c r="AM497" i="40"/>
  <c r="KT130" i="40"/>
  <c r="KU129" i="40"/>
  <c r="I40" i="70" s="1"/>
  <c r="O499" i="40" l="1"/>
  <c r="AH499" i="40"/>
  <c r="P499" i="40"/>
  <c r="I499" i="40"/>
  <c r="K499" i="40"/>
  <c r="W499" i="40"/>
  <c r="J499" i="40"/>
  <c r="AJ499" i="40"/>
  <c r="X499" i="40"/>
  <c r="L499" i="40"/>
  <c r="AD499" i="40"/>
  <c r="AB499" i="40"/>
  <c r="M499" i="40"/>
  <c r="AF499" i="40"/>
  <c r="N499" i="40"/>
  <c r="AI499" i="40"/>
  <c r="AC499" i="40"/>
  <c r="V499" i="40"/>
  <c r="T499" i="40"/>
  <c r="H499" i="40"/>
  <c r="AE499" i="40"/>
  <c r="U499" i="40"/>
  <c r="Q499" i="40"/>
  <c r="Z499" i="40"/>
  <c r="R499" i="40"/>
  <c r="AA499" i="40"/>
  <c r="S499" i="40"/>
  <c r="E499" i="40"/>
  <c r="G499" i="40"/>
  <c r="F499" i="40"/>
  <c r="AG499" i="40"/>
  <c r="Y499" i="40"/>
  <c r="D183" i="40"/>
  <c r="AY183" i="40" s="1"/>
  <c r="IC182" i="40"/>
  <c r="IB181" i="40"/>
  <c r="AQ179" i="40"/>
  <c r="KJ179" i="40"/>
  <c r="JJ182" i="40"/>
  <c r="JK182" i="40" s="1"/>
  <c r="JL182" i="40" s="1"/>
  <c r="JM182" i="40" s="1"/>
  <c r="JR178" i="40"/>
  <c r="JQ178" i="40"/>
  <c r="JU178" i="40" s="1"/>
  <c r="JV178" i="40" s="1"/>
  <c r="JW178" i="40" s="1"/>
  <c r="JT178" i="40"/>
  <c r="JX178" i="40" s="1"/>
  <c r="KQ178" i="40"/>
  <c r="KS178" i="40" s="1"/>
  <c r="JS178" i="40"/>
  <c r="JD179" i="40"/>
  <c r="ID182" i="40"/>
  <c r="IF180" i="40"/>
  <c r="IE180" i="40"/>
  <c r="KP179" i="40"/>
  <c r="KR179" i="40" s="1"/>
  <c r="KO181" i="40"/>
  <c r="D497" i="40"/>
  <c r="D289" i="40"/>
  <c r="AP184" i="40"/>
  <c r="KT131" i="40"/>
  <c r="KU130" i="40"/>
  <c r="I41" i="70" s="1"/>
  <c r="AO290" i="40"/>
  <c r="AQ290" i="40"/>
  <c r="AK184" i="40"/>
  <c r="AL184" i="40"/>
  <c r="AQ184" i="40"/>
  <c r="AO498" i="40"/>
  <c r="AM498" i="40"/>
  <c r="AM290" i="40"/>
  <c r="C186" i="40"/>
  <c r="BA185" i="40"/>
  <c r="BE185" i="40"/>
  <c r="BI185" i="40"/>
  <c r="BM185" i="40"/>
  <c r="BQ185" i="40"/>
  <c r="BU185" i="40"/>
  <c r="BY185" i="40"/>
  <c r="CC185" i="40"/>
  <c r="CG185" i="40"/>
  <c r="DM185" i="40"/>
  <c r="DV185" i="40"/>
  <c r="AW185" i="40"/>
  <c r="BB185" i="40"/>
  <c r="BF185" i="40"/>
  <c r="BJ185" i="40"/>
  <c r="BN185" i="40"/>
  <c r="BR185" i="40"/>
  <c r="BV185" i="40"/>
  <c r="BZ185" i="40"/>
  <c r="CD185" i="40"/>
  <c r="CH185" i="40"/>
  <c r="DS185" i="40"/>
  <c r="DW185" i="40"/>
  <c r="BC185" i="40"/>
  <c r="BK185" i="40"/>
  <c r="BS185" i="40"/>
  <c r="CA185" i="40"/>
  <c r="BD185" i="40"/>
  <c r="BL185" i="40"/>
  <c r="BT185" i="40"/>
  <c r="CB185" i="40"/>
  <c r="A185" i="40"/>
  <c r="AX185" i="40"/>
  <c r="BG185" i="40"/>
  <c r="BO185" i="40"/>
  <c r="BW185" i="40"/>
  <c r="CE185" i="40"/>
  <c r="DT185" i="40"/>
  <c r="BX185" i="40"/>
  <c r="AZ185" i="40"/>
  <c r="CF185" i="40"/>
  <c r="BH185" i="40"/>
  <c r="DU185" i="40"/>
  <c r="BP185" i="40"/>
  <c r="AN290" i="40"/>
  <c r="AP290" i="40"/>
  <c r="C292" i="40"/>
  <c r="A291" i="40"/>
  <c r="BA291" i="40"/>
  <c r="BE291" i="40"/>
  <c r="BI291" i="40"/>
  <c r="BM291" i="40"/>
  <c r="BQ291" i="40"/>
  <c r="BU291" i="40"/>
  <c r="BY291" i="40"/>
  <c r="CC291" i="40"/>
  <c r="CG291" i="40"/>
  <c r="DU291" i="40"/>
  <c r="AW291" i="40"/>
  <c r="BB291" i="40"/>
  <c r="BF291" i="40"/>
  <c r="BJ291" i="40"/>
  <c r="BN291" i="40"/>
  <c r="BR291" i="40"/>
  <c r="BV291" i="40"/>
  <c r="BZ291" i="40"/>
  <c r="CD291" i="40"/>
  <c r="CH291" i="40"/>
  <c r="DM291" i="40"/>
  <c r="DV291" i="40"/>
  <c r="AX291" i="40"/>
  <c r="BC291" i="40"/>
  <c r="BG291" i="40"/>
  <c r="BK291" i="40"/>
  <c r="BO291" i="40"/>
  <c r="BS291" i="40"/>
  <c r="BW291" i="40"/>
  <c r="CA291" i="40"/>
  <c r="CE291" i="40"/>
  <c r="DS291" i="40"/>
  <c r="DW291" i="40"/>
  <c r="BH291" i="40"/>
  <c r="BX291" i="40"/>
  <c r="DT291" i="40"/>
  <c r="BL291" i="40"/>
  <c r="CB291" i="40"/>
  <c r="AZ291" i="40"/>
  <c r="BP291" i="40"/>
  <c r="CF291" i="40"/>
  <c r="BD291" i="40"/>
  <c r="BT291" i="40"/>
  <c r="AN184" i="40"/>
  <c r="AN498" i="40"/>
  <c r="AO184" i="40"/>
  <c r="AM184" i="40"/>
  <c r="AQ498" i="40"/>
  <c r="AP498" i="40"/>
  <c r="B500" i="40"/>
  <c r="A499" i="40"/>
  <c r="D498" i="40" l="1"/>
  <c r="AD500" i="40"/>
  <c r="N500" i="40"/>
  <c r="M500" i="40"/>
  <c r="AF500" i="40"/>
  <c r="P500" i="40"/>
  <c r="I500" i="40"/>
  <c r="AH500" i="40"/>
  <c r="O500" i="40"/>
  <c r="AB500" i="40"/>
  <c r="K500" i="40"/>
  <c r="L500" i="40"/>
  <c r="AJ500" i="40"/>
  <c r="W500" i="40"/>
  <c r="J500" i="40"/>
  <c r="X500" i="40"/>
  <c r="AA500" i="40"/>
  <c r="R500" i="40"/>
  <c r="AE500" i="40"/>
  <c r="AC500" i="40"/>
  <c r="Z500" i="40"/>
  <c r="S500" i="40"/>
  <c r="V500" i="40"/>
  <c r="F500" i="40"/>
  <c r="AG500" i="40"/>
  <c r="Y500" i="40"/>
  <c r="E500" i="40"/>
  <c r="T500" i="40"/>
  <c r="Q500" i="40"/>
  <c r="AI500" i="40"/>
  <c r="G500" i="40"/>
  <c r="U500" i="40"/>
  <c r="H500" i="40"/>
  <c r="D184" i="40"/>
  <c r="AY184" i="40" s="1"/>
  <c r="JD180" i="40"/>
  <c r="KP180" i="40"/>
  <c r="KR180" i="40" s="1"/>
  <c r="KI180" i="40"/>
  <c r="IG181" i="40"/>
  <c r="KK181" i="40" s="1"/>
  <c r="IE181" i="40"/>
  <c r="AQ180" i="40"/>
  <c r="KJ180" i="40"/>
  <c r="KO182" i="40"/>
  <c r="JR179" i="40"/>
  <c r="JT179" i="40"/>
  <c r="JX179" i="40" s="1"/>
  <c r="JQ179" i="40"/>
  <c r="JU179" i="40" s="1"/>
  <c r="JV179" i="40" s="1"/>
  <c r="JW179" i="40" s="1"/>
  <c r="KQ179" i="40"/>
  <c r="KS179" i="40" s="1"/>
  <c r="JS179" i="40"/>
  <c r="IB182" i="40"/>
  <c r="IE182" i="40" s="1"/>
  <c r="KI182" i="40" s="1"/>
  <c r="IF181" i="40"/>
  <c r="D290" i="40"/>
  <c r="AO499" i="40"/>
  <c r="AN499" i="40"/>
  <c r="AM499" i="40"/>
  <c r="AP291" i="40"/>
  <c r="AQ291" i="40"/>
  <c r="C293" i="40"/>
  <c r="AW292" i="40"/>
  <c r="BB292" i="40"/>
  <c r="BF292" i="40"/>
  <c r="BJ292" i="40"/>
  <c r="BN292" i="40"/>
  <c r="BR292" i="40"/>
  <c r="BV292" i="40"/>
  <c r="BZ292" i="40"/>
  <c r="CD292" i="40"/>
  <c r="CH292" i="40"/>
  <c r="DT292" i="40"/>
  <c r="AX292" i="40"/>
  <c r="BC292" i="40"/>
  <c r="BG292" i="40"/>
  <c r="BK292" i="40"/>
  <c r="BO292" i="40"/>
  <c r="BS292" i="40"/>
  <c r="BW292" i="40"/>
  <c r="CA292" i="40"/>
  <c r="CE292" i="40"/>
  <c r="DU292" i="40"/>
  <c r="AZ292" i="40"/>
  <c r="BD292" i="40"/>
  <c r="BH292" i="40"/>
  <c r="BL292" i="40"/>
  <c r="BP292" i="40"/>
  <c r="BT292" i="40"/>
  <c r="BX292" i="40"/>
  <c r="CB292" i="40"/>
  <c r="CF292" i="40"/>
  <c r="DM292" i="40"/>
  <c r="DV292" i="40"/>
  <c r="BE292" i="40"/>
  <c r="BU292" i="40"/>
  <c r="DS292" i="40"/>
  <c r="A292" i="40"/>
  <c r="BI292" i="40"/>
  <c r="BY292" i="40"/>
  <c r="DW292" i="40"/>
  <c r="BM292" i="40"/>
  <c r="CC292" i="40"/>
  <c r="CG292" i="40"/>
  <c r="BQ292" i="40"/>
  <c r="BA292" i="40"/>
  <c r="AO291" i="40"/>
  <c r="AK185" i="40"/>
  <c r="AL185" i="40"/>
  <c r="AO185" i="40"/>
  <c r="AM185" i="40"/>
  <c r="AQ499" i="40"/>
  <c r="AP499" i="40"/>
  <c r="A500" i="40"/>
  <c r="AP185" i="40"/>
  <c r="C187" i="40"/>
  <c r="BA186" i="40"/>
  <c r="BE186" i="40"/>
  <c r="BI186" i="40"/>
  <c r="BM186" i="40"/>
  <c r="BQ186" i="40"/>
  <c r="BU186" i="40"/>
  <c r="BY186" i="40"/>
  <c r="CC186" i="40"/>
  <c r="CG186" i="40"/>
  <c r="DS186" i="40"/>
  <c r="DW186" i="40"/>
  <c r="AW186" i="40"/>
  <c r="BB186" i="40"/>
  <c r="BF186" i="40"/>
  <c r="BJ186" i="40"/>
  <c r="BN186" i="40"/>
  <c r="BR186" i="40"/>
  <c r="BV186" i="40"/>
  <c r="BZ186" i="40"/>
  <c r="CD186" i="40"/>
  <c r="CH186" i="40"/>
  <c r="DT186" i="40"/>
  <c r="A186" i="40"/>
  <c r="AX186" i="40"/>
  <c r="BG186" i="40"/>
  <c r="BO186" i="40"/>
  <c r="BW186" i="40"/>
  <c r="CE186" i="40"/>
  <c r="DU186" i="40"/>
  <c r="AZ186" i="40"/>
  <c r="BH186" i="40"/>
  <c r="BP186" i="40"/>
  <c r="BX186" i="40"/>
  <c r="CF186" i="40"/>
  <c r="DV186" i="40"/>
  <c r="BC186" i="40"/>
  <c r="BK186" i="40"/>
  <c r="BS186" i="40"/>
  <c r="CA186" i="40"/>
  <c r="BT186" i="40"/>
  <c r="CB186" i="40"/>
  <c r="BD186" i="40"/>
  <c r="DM186" i="40"/>
  <c r="BL186" i="40"/>
  <c r="KU131" i="40"/>
  <c r="I42" i="70" s="1"/>
  <c r="KT132" i="40"/>
  <c r="AN291" i="40"/>
  <c r="AM291" i="40"/>
  <c r="AN185" i="40"/>
  <c r="AQ185" i="40"/>
  <c r="D499" i="40" l="1"/>
  <c r="D291" i="40"/>
  <c r="D598" i="40"/>
  <c r="D550" i="40"/>
  <c r="D551" i="40"/>
  <c r="D537" i="40"/>
  <c r="D586" i="40"/>
  <c r="D557" i="40"/>
  <c r="D526" i="40"/>
  <c r="D530" i="40"/>
  <c r="D533" i="40"/>
  <c r="D527" i="40"/>
  <c r="D592" i="40"/>
  <c r="D587" i="40"/>
  <c r="D521" i="40"/>
  <c r="D522" i="40"/>
  <c r="D576" i="40"/>
  <c r="D570" i="40"/>
  <c r="D534" i="40"/>
  <c r="D546" i="40"/>
  <c r="D564" i="40"/>
  <c r="D535" i="40"/>
  <c r="D599" i="40"/>
  <c r="D524" i="40"/>
  <c r="D539" i="40"/>
  <c r="D581" i="40"/>
  <c r="D558" i="40"/>
  <c r="D544" i="40"/>
  <c r="D578" i="40"/>
  <c r="D536" i="40"/>
  <c r="D588" i="40"/>
  <c r="D553" i="40"/>
  <c r="D549" i="40"/>
  <c r="D569" i="40"/>
  <c r="D597" i="40"/>
  <c r="D589" i="40"/>
  <c r="D585" i="40"/>
  <c r="D541" i="40"/>
  <c r="D556" i="40"/>
  <c r="D574" i="40"/>
  <c r="D575" i="40"/>
  <c r="D568" i="40"/>
  <c r="D559" i="40"/>
  <c r="D538" i="40"/>
  <c r="D584" i="40"/>
  <c r="D545" i="40"/>
  <c r="D528" i="40"/>
  <c r="D593" i="40"/>
  <c r="D594" i="40"/>
  <c r="D542" i="40"/>
  <c r="D583" i="40"/>
  <c r="D540" i="40"/>
  <c r="D531" i="40"/>
  <c r="D571" i="40"/>
  <c r="D595" i="40"/>
  <c r="D580" i="40"/>
  <c r="D572" i="40"/>
  <c r="D529" i="40"/>
  <c r="D554" i="40"/>
  <c r="D563" i="40"/>
  <c r="D591" i="40"/>
  <c r="D590" i="40"/>
  <c r="D579" i="40"/>
  <c r="D523" i="40"/>
  <c r="D567" i="40"/>
  <c r="D566" i="40"/>
  <c r="D582" i="40"/>
  <c r="D543" i="40"/>
  <c r="D560" i="40"/>
  <c r="D561" i="40"/>
  <c r="D573" i="40"/>
  <c r="D577" i="40"/>
  <c r="D565" i="40"/>
  <c r="D525" i="40"/>
  <c r="D555" i="40"/>
  <c r="D548" i="40"/>
  <c r="D562" i="40"/>
  <c r="D552" i="40"/>
  <c r="D547" i="40"/>
  <c r="D532" i="40"/>
  <c r="D596" i="40"/>
  <c r="IG182" i="40"/>
  <c r="KK182" i="40" s="1"/>
  <c r="IF182" i="40"/>
  <c r="KJ181" i="40"/>
  <c r="AQ181" i="40"/>
  <c r="JD181" i="40"/>
  <c r="KP181" i="40"/>
  <c r="KR181" i="40" s="1"/>
  <c r="KI181" i="40"/>
  <c r="JT180" i="40"/>
  <c r="JX180" i="40" s="1"/>
  <c r="JQ180" i="40"/>
  <c r="JU180" i="40" s="1"/>
  <c r="JV180" i="40" s="1"/>
  <c r="JW180" i="40" s="1"/>
  <c r="JR180" i="40"/>
  <c r="KQ180" i="40"/>
  <c r="KS180" i="40" s="1"/>
  <c r="JS180" i="40"/>
  <c r="D185" i="40"/>
  <c r="AY185" i="40" s="1"/>
  <c r="AP500" i="40"/>
  <c r="AM186" i="40"/>
  <c r="AQ500" i="40"/>
  <c r="AP186" i="40"/>
  <c r="AQ186" i="40"/>
  <c r="C188" i="40"/>
  <c r="AW187" i="40"/>
  <c r="BB187" i="40"/>
  <c r="BF187" i="40"/>
  <c r="BJ187" i="40"/>
  <c r="BN187" i="40"/>
  <c r="BR187" i="40"/>
  <c r="BV187" i="40"/>
  <c r="BZ187" i="40"/>
  <c r="CD187" i="40"/>
  <c r="CH187" i="40"/>
  <c r="DS187" i="40"/>
  <c r="DW187" i="40"/>
  <c r="A187" i="40"/>
  <c r="AX187" i="40"/>
  <c r="BC187" i="40"/>
  <c r="BG187" i="40"/>
  <c r="BK187" i="40"/>
  <c r="BO187" i="40"/>
  <c r="BS187" i="40"/>
  <c r="BW187" i="40"/>
  <c r="CA187" i="40"/>
  <c r="CE187" i="40"/>
  <c r="DT187" i="40"/>
  <c r="BD187" i="40"/>
  <c r="BL187" i="40"/>
  <c r="BT187" i="40"/>
  <c r="CB187" i="40"/>
  <c r="BE187" i="40"/>
  <c r="BM187" i="40"/>
  <c r="BU187" i="40"/>
  <c r="CC187" i="40"/>
  <c r="DM187" i="40"/>
  <c r="AZ187" i="40"/>
  <c r="BH187" i="40"/>
  <c r="BP187" i="40"/>
  <c r="BX187" i="40"/>
  <c r="CF187" i="40"/>
  <c r="DU187" i="40"/>
  <c r="BQ187" i="40"/>
  <c r="BY187" i="40"/>
  <c r="BA187" i="40"/>
  <c r="CG187" i="40"/>
  <c r="BI187" i="40"/>
  <c r="DV187" i="40"/>
  <c r="AQ292" i="40"/>
  <c r="AM292" i="40"/>
  <c r="AK186" i="40"/>
  <c r="AL186" i="40"/>
  <c r="D36" i="70"/>
  <c r="D8" i="70"/>
  <c r="AY8" i="70" s="1"/>
  <c r="D63" i="70"/>
  <c r="D53" i="70"/>
  <c r="D47" i="70"/>
  <c r="D31" i="70"/>
  <c r="D18" i="70"/>
  <c r="D52" i="70"/>
  <c r="D38" i="70"/>
  <c r="D69" i="70"/>
  <c r="D60" i="70"/>
  <c r="D54" i="70"/>
  <c r="D64" i="70"/>
  <c r="D34" i="70"/>
  <c r="D62" i="70"/>
  <c r="D39" i="70"/>
  <c r="D10" i="70"/>
  <c r="AY10" i="70" s="1"/>
  <c r="D44" i="70"/>
  <c r="D55" i="70"/>
  <c r="D56" i="70"/>
  <c r="D43" i="70"/>
  <c r="D40" i="70"/>
  <c r="D32" i="70"/>
  <c r="D41" i="70"/>
  <c r="D57" i="70"/>
  <c r="D58" i="70"/>
  <c r="D17" i="70"/>
  <c r="D48" i="70"/>
  <c r="D59" i="70"/>
  <c r="D35" i="70"/>
  <c r="D14" i="70"/>
  <c r="AY14" i="70" s="1"/>
  <c r="D65" i="70"/>
  <c r="D68" i="70"/>
  <c r="D33" i="70"/>
  <c r="D61" i="70"/>
  <c r="D50" i="70"/>
  <c r="D45" i="70"/>
  <c r="D51" i="70"/>
  <c r="D42" i="70"/>
  <c r="D16" i="70"/>
  <c r="AY16" i="70" s="1"/>
  <c r="D66" i="70"/>
  <c r="D7" i="70"/>
  <c r="AY7" i="70" s="1"/>
  <c r="D30" i="70"/>
  <c r="D46" i="70"/>
  <c r="D49" i="70"/>
  <c r="D9" i="70"/>
  <c r="AY9" i="70" s="1"/>
  <c r="D67" i="70"/>
  <c r="D37" i="70"/>
  <c r="M50" i="70"/>
  <c r="M68" i="70"/>
  <c r="M54" i="70"/>
  <c r="M42" i="70"/>
  <c r="M66" i="70"/>
  <c r="M46" i="70"/>
  <c r="M58" i="70"/>
  <c r="M40" i="70"/>
  <c r="M52" i="70"/>
  <c r="M51" i="70"/>
  <c r="M56" i="70"/>
  <c r="M47" i="70"/>
  <c r="M65" i="70"/>
  <c r="M64" i="70"/>
  <c r="G56" i="70"/>
  <c r="M59" i="70"/>
  <c r="M10" i="70"/>
  <c r="M39" i="70"/>
  <c r="G61" i="70"/>
  <c r="M38" i="70"/>
  <c r="M37" i="70"/>
  <c r="M60" i="70"/>
  <c r="M7" i="70"/>
  <c r="H57" i="70"/>
  <c r="G49" i="70"/>
  <c r="M67" i="70"/>
  <c r="M8" i="70"/>
  <c r="M18" i="70"/>
  <c r="M45" i="70"/>
  <c r="M41" i="70"/>
  <c r="M62" i="70"/>
  <c r="M63" i="70"/>
  <c r="G46" i="70"/>
  <c r="H38" i="70"/>
  <c r="H69" i="70"/>
  <c r="G48" i="70"/>
  <c r="M43" i="70"/>
  <c r="G7" i="70"/>
  <c r="H52" i="70"/>
  <c r="G68" i="70"/>
  <c r="M48" i="70"/>
  <c r="M49" i="70"/>
  <c r="G42" i="70"/>
  <c r="H47" i="70"/>
  <c r="G63" i="70"/>
  <c r="H39" i="70"/>
  <c r="G67" i="70"/>
  <c r="H46" i="70"/>
  <c r="H65" i="70"/>
  <c r="H42" i="70"/>
  <c r="M14" i="70"/>
  <c r="G40" i="70"/>
  <c r="G55" i="70"/>
  <c r="G58" i="70"/>
  <c r="M57" i="70"/>
  <c r="H58" i="70"/>
  <c r="G59" i="70"/>
  <c r="H8" i="70"/>
  <c r="BC8" i="70" s="1"/>
  <c r="H45" i="70"/>
  <c r="G64" i="70"/>
  <c r="G52" i="70"/>
  <c r="G50" i="70"/>
  <c r="H61" i="70"/>
  <c r="H66" i="70"/>
  <c r="G9" i="70"/>
  <c r="M55" i="70"/>
  <c r="M69" i="70"/>
  <c r="H59" i="70"/>
  <c r="H56" i="70"/>
  <c r="H44" i="70"/>
  <c r="H68" i="70"/>
  <c r="M44" i="70"/>
  <c r="M53" i="70"/>
  <c r="H62" i="70"/>
  <c r="G14" i="70"/>
  <c r="H43" i="70"/>
  <c r="H53" i="70"/>
  <c r="G45" i="70"/>
  <c r="H49" i="70"/>
  <c r="H18" i="70"/>
  <c r="H54" i="70"/>
  <c r="H51" i="70"/>
  <c r="G65" i="70"/>
  <c r="G51" i="70"/>
  <c r="M61" i="70"/>
  <c r="G41" i="70"/>
  <c r="G66" i="70"/>
  <c r="G43" i="70"/>
  <c r="G57" i="70"/>
  <c r="H50" i="70"/>
  <c r="H55" i="70"/>
  <c r="G60" i="70"/>
  <c r="G10" i="70"/>
  <c r="G44" i="70"/>
  <c r="H67" i="70"/>
  <c r="H9" i="70"/>
  <c r="BC9" i="70" s="1"/>
  <c r="G39" i="70"/>
  <c r="H7" i="70"/>
  <c r="BC7" i="70" s="1"/>
  <c r="G8" i="70"/>
  <c r="G53" i="70"/>
  <c r="H41" i="70"/>
  <c r="G47" i="70"/>
  <c r="H48" i="70"/>
  <c r="H60" i="70"/>
  <c r="H63" i="70"/>
  <c r="M9" i="70"/>
  <c r="H10" i="70"/>
  <c r="BC10" i="70" s="1"/>
  <c r="H64" i="70"/>
  <c r="H40" i="70"/>
  <c r="G54" i="70"/>
  <c r="H14" i="70"/>
  <c r="BC14" i="70" s="1"/>
  <c r="G69" i="70"/>
  <c r="G62" i="70"/>
  <c r="G18" i="70"/>
  <c r="KU132" i="40"/>
  <c r="KT133" i="40"/>
  <c r="AO500" i="40"/>
  <c r="AM500" i="40"/>
  <c r="D500" i="40" s="1"/>
  <c r="AP292" i="40"/>
  <c r="C294" i="40"/>
  <c r="A293" i="40"/>
  <c r="BA293" i="40"/>
  <c r="BE293" i="40"/>
  <c r="BI293" i="40"/>
  <c r="BM293" i="40"/>
  <c r="BQ293" i="40"/>
  <c r="BU293" i="40"/>
  <c r="BY293" i="40"/>
  <c r="CC293" i="40"/>
  <c r="CG293" i="40"/>
  <c r="DM293" i="40"/>
  <c r="DV293" i="40"/>
  <c r="AW293" i="40"/>
  <c r="BB293" i="40"/>
  <c r="BF293" i="40"/>
  <c r="BJ293" i="40"/>
  <c r="BN293" i="40"/>
  <c r="BR293" i="40"/>
  <c r="BV293" i="40"/>
  <c r="BZ293" i="40"/>
  <c r="CD293" i="40"/>
  <c r="CH293" i="40"/>
  <c r="DS293" i="40"/>
  <c r="DW293" i="40"/>
  <c r="AX293" i="40"/>
  <c r="BC293" i="40"/>
  <c r="BG293" i="40"/>
  <c r="BK293" i="40"/>
  <c r="BO293" i="40"/>
  <c r="BS293" i="40"/>
  <c r="BW293" i="40"/>
  <c r="CA293" i="40"/>
  <c r="CE293" i="40"/>
  <c r="DT293" i="40"/>
  <c r="BD293" i="40"/>
  <c r="BT293" i="40"/>
  <c r="BH293" i="40"/>
  <c r="BX293" i="40"/>
  <c r="DU293" i="40"/>
  <c r="BL293" i="40"/>
  <c r="CB293" i="40"/>
  <c r="CF293" i="40"/>
  <c r="BP293" i="40"/>
  <c r="AZ293" i="40"/>
  <c r="AN186" i="40"/>
  <c r="AO186" i="40"/>
  <c r="AN500" i="40"/>
  <c r="AN292" i="40"/>
  <c r="AO292" i="40"/>
  <c r="KP182" i="40" l="1"/>
  <c r="KR182" i="40" s="1"/>
  <c r="JD182" i="40"/>
  <c r="JT182" i="40" s="1"/>
  <c r="JX182" i="40" s="1"/>
  <c r="KJ182" i="40"/>
  <c r="AQ182" i="40"/>
  <c r="JT181" i="40"/>
  <c r="JX181" i="40" s="1"/>
  <c r="JR181" i="40"/>
  <c r="JQ181" i="40"/>
  <c r="JU181" i="40" s="1"/>
  <c r="JV181" i="40" s="1"/>
  <c r="JW181" i="40" s="1"/>
  <c r="KQ181" i="40"/>
  <c r="KS181" i="40" s="1"/>
  <c r="JS181" i="40"/>
  <c r="JR182" i="40"/>
  <c r="D292" i="40"/>
  <c r="D186" i="40"/>
  <c r="AY186" i="40" s="1"/>
  <c r="AP187" i="40"/>
  <c r="AO293" i="40"/>
  <c r="AK187" i="40"/>
  <c r="AL187" i="40"/>
  <c r="AO187" i="40"/>
  <c r="AQ187" i="40"/>
  <c r="AP293" i="40"/>
  <c r="AN293" i="40"/>
  <c r="AQ293" i="40"/>
  <c r="C295" i="40"/>
  <c r="AW294" i="40"/>
  <c r="BB294" i="40"/>
  <c r="BF294" i="40"/>
  <c r="BJ294" i="40"/>
  <c r="BN294" i="40"/>
  <c r="BR294" i="40"/>
  <c r="BV294" i="40"/>
  <c r="BZ294" i="40"/>
  <c r="CD294" i="40"/>
  <c r="CH294" i="40"/>
  <c r="DT294" i="40"/>
  <c r="AX294" i="40"/>
  <c r="BC294" i="40"/>
  <c r="BG294" i="40"/>
  <c r="BK294" i="40"/>
  <c r="BO294" i="40"/>
  <c r="BS294" i="40"/>
  <c r="BW294" i="40"/>
  <c r="CA294" i="40"/>
  <c r="CE294" i="40"/>
  <c r="DU294" i="40"/>
  <c r="A294" i="40"/>
  <c r="AZ294" i="40"/>
  <c r="BD294" i="40"/>
  <c r="BH294" i="40"/>
  <c r="BL294" i="40"/>
  <c r="BP294" i="40"/>
  <c r="BT294" i="40"/>
  <c r="BX294" i="40"/>
  <c r="CB294" i="40"/>
  <c r="CF294" i="40"/>
  <c r="DM294" i="40"/>
  <c r="DV294" i="40"/>
  <c r="BA294" i="40"/>
  <c r="BQ294" i="40"/>
  <c r="CG294" i="40"/>
  <c r="BE294" i="40"/>
  <c r="BU294" i="40"/>
  <c r="DS294" i="40"/>
  <c r="BI294" i="40"/>
  <c r="BY294" i="40"/>
  <c r="DW294" i="40"/>
  <c r="CC294" i="40"/>
  <c r="BM294" i="40"/>
  <c r="KT134" i="40"/>
  <c r="KU133" i="40"/>
  <c r="I44" i="70" s="1"/>
  <c r="BB8" i="70"/>
  <c r="L8" i="70"/>
  <c r="K9" i="70"/>
  <c r="BB9" i="70"/>
  <c r="BB7" i="70"/>
  <c r="L7" i="70"/>
  <c r="K13" i="70"/>
  <c r="L16" i="70"/>
  <c r="K11" i="70"/>
  <c r="L13" i="70"/>
  <c r="L15" i="70"/>
  <c r="K17" i="70"/>
  <c r="K15" i="70"/>
  <c r="K12" i="70"/>
  <c r="AM187" i="40"/>
  <c r="C189" i="40"/>
  <c r="AW188" i="40"/>
  <c r="BB188" i="40"/>
  <c r="BF188" i="40"/>
  <c r="BJ188" i="40"/>
  <c r="BN188" i="40"/>
  <c r="BR188" i="40"/>
  <c r="BV188" i="40"/>
  <c r="BZ188" i="40"/>
  <c r="CD188" i="40"/>
  <c r="CH188" i="40"/>
  <c r="DS188" i="40"/>
  <c r="DW188" i="40"/>
  <c r="A188" i="40"/>
  <c r="AX188" i="40"/>
  <c r="BC188" i="40"/>
  <c r="BG188" i="40"/>
  <c r="BK188" i="40"/>
  <c r="BO188" i="40"/>
  <c r="BS188" i="40"/>
  <c r="BW188" i="40"/>
  <c r="CA188" i="40"/>
  <c r="CE188" i="40"/>
  <c r="DT188" i="40"/>
  <c r="AZ188" i="40"/>
  <c r="BH188" i="40"/>
  <c r="BP188" i="40"/>
  <c r="BX188" i="40"/>
  <c r="CF188" i="40"/>
  <c r="DU188" i="40"/>
  <c r="BA188" i="40"/>
  <c r="BI188" i="40"/>
  <c r="BQ188" i="40"/>
  <c r="BY188" i="40"/>
  <c r="CG188" i="40"/>
  <c r="DV188" i="40"/>
  <c r="BD188" i="40"/>
  <c r="BL188" i="40"/>
  <c r="BT188" i="40"/>
  <c r="CB188" i="40"/>
  <c r="BM188" i="40"/>
  <c r="BU188" i="40"/>
  <c r="CC188" i="40"/>
  <c r="DM188" i="40"/>
  <c r="BE188" i="40"/>
  <c r="I43" i="70"/>
  <c r="I9" i="70"/>
  <c r="L9" i="70" s="1"/>
  <c r="L14" i="70"/>
  <c r="K14" i="70"/>
  <c r="BB14" i="70"/>
  <c r="AN187" i="40"/>
  <c r="AM293" i="40"/>
  <c r="D293" i="40" s="1"/>
  <c r="BB10" i="70"/>
  <c r="L10" i="70"/>
  <c r="JS182" i="40" l="1"/>
  <c r="KQ182" i="40"/>
  <c r="KS182" i="40" s="1"/>
  <c r="L11" i="70"/>
  <c r="L17" i="70"/>
  <c r="L12" i="70"/>
  <c r="JQ182" i="40"/>
  <c r="JU182" i="40" s="1"/>
  <c r="JV182" i="40" s="1"/>
  <c r="JW182" i="40" s="1"/>
  <c r="D187" i="40"/>
  <c r="AY187" i="40" s="1"/>
  <c r="AP188" i="40"/>
  <c r="AP294" i="40"/>
  <c r="AL188" i="40"/>
  <c r="AK188" i="40"/>
  <c r="AQ188" i="40"/>
  <c r="AO294" i="40"/>
  <c r="AM188" i="40"/>
  <c r="C190" i="40"/>
  <c r="A189" i="40"/>
  <c r="AX189" i="40"/>
  <c r="BC189" i="40"/>
  <c r="BG189" i="40"/>
  <c r="BK189" i="40"/>
  <c r="BO189" i="40"/>
  <c r="BS189" i="40"/>
  <c r="BW189" i="40"/>
  <c r="CA189" i="40"/>
  <c r="CE189" i="40"/>
  <c r="DU189" i="40"/>
  <c r="AW189" i="40"/>
  <c r="BD189" i="40"/>
  <c r="BI189" i="40"/>
  <c r="BN189" i="40"/>
  <c r="BT189" i="40"/>
  <c r="BY189" i="40"/>
  <c r="CD189" i="40"/>
  <c r="DM189" i="40"/>
  <c r="DW189" i="40"/>
  <c r="AZ189" i="40"/>
  <c r="BE189" i="40"/>
  <c r="BJ189" i="40"/>
  <c r="BP189" i="40"/>
  <c r="BU189" i="40"/>
  <c r="BZ189" i="40"/>
  <c r="CF189" i="40"/>
  <c r="DS189" i="40"/>
  <c r="BA189" i="40"/>
  <c r="BF189" i="40"/>
  <c r="BL189" i="40"/>
  <c r="BQ189" i="40"/>
  <c r="BV189" i="40"/>
  <c r="CB189" i="40"/>
  <c r="CG189" i="40"/>
  <c r="DT189" i="40"/>
  <c r="BB189" i="40"/>
  <c r="BX189" i="40"/>
  <c r="BH189" i="40"/>
  <c r="CC189" i="40"/>
  <c r="BM189" i="40"/>
  <c r="CH189" i="40"/>
  <c r="BR189" i="40"/>
  <c r="DV189" i="40"/>
  <c r="AN294" i="40"/>
  <c r="AM294" i="40"/>
  <c r="AN188" i="40"/>
  <c r="AO188" i="40"/>
  <c r="KT135" i="40"/>
  <c r="KU134" i="40"/>
  <c r="AQ294" i="40"/>
  <c r="C296" i="40"/>
  <c r="A295" i="40"/>
  <c r="BA295" i="40"/>
  <c r="BE295" i="40"/>
  <c r="BI295" i="40"/>
  <c r="BM295" i="40"/>
  <c r="BQ295" i="40"/>
  <c r="BU295" i="40"/>
  <c r="BY295" i="40"/>
  <c r="CC295" i="40"/>
  <c r="CG295" i="40"/>
  <c r="DM295" i="40"/>
  <c r="DV295" i="40"/>
  <c r="AW295" i="40"/>
  <c r="BB295" i="40"/>
  <c r="BF295" i="40"/>
  <c r="BJ295" i="40"/>
  <c r="BN295" i="40"/>
  <c r="BR295" i="40"/>
  <c r="BV295" i="40"/>
  <c r="BZ295" i="40"/>
  <c r="CD295" i="40"/>
  <c r="CH295" i="40"/>
  <c r="DS295" i="40"/>
  <c r="DW295" i="40"/>
  <c r="AX295" i="40"/>
  <c r="BC295" i="40"/>
  <c r="BG295" i="40"/>
  <c r="BK295" i="40"/>
  <c r="BO295" i="40"/>
  <c r="BS295" i="40"/>
  <c r="BW295" i="40"/>
  <c r="CA295" i="40"/>
  <c r="CE295" i="40"/>
  <c r="DT295" i="40"/>
  <c r="AZ295" i="40"/>
  <c r="BP295" i="40"/>
  <c r="CF295" i="40"/>
  <c r="BD295" i="40"/>
  <c r="BT295" i="40"/>
  <c r="BH295" i="40"/>
  <c r="BX295" i="40"/>
  <c r="DU295" i="40"/>
  <c r="CB295" i="40"/>
  <c r="BL295" i="40"/>
  <c r="D188" i="40" l="1"/>
  <c r="AY188" i="40" s="1"/>
  <c r="D294" i="40"/>
  <c r="AP189" i="40"/>
  <c r="AM189" i="40"/>
  <c r="C191" i="40"/>
  <c r="AZ190" i="40"/>
  <c r="BD190" i="40"/>
  <c r="BH190" i="40"/>
  <c r="BL190" i="40"/>
  <c r="BP190" i="40"/>
  <c r="BT190" i="40"/>
  <c r="BX190" i="40"/>
  <c r="CB190" i="40"/>
  <c r="CF190" i="40"/>
  <c r="DU190" i="40"/>
  <c r="BA190" i="40"/>
  <c r="BF190" i="40"/>
  <c r="BK190" i="40"/>
  <c r="BQ190" i="40"/>
  <c r="BV190" i="40"/>
  <c r="CA190" i="40"/>
  <c r="CG190" i="40"/>
  <c r="DS190" i="40"/>
  <c r="A190" i="40"/>
  <c r="BB190" i="40"/>
  <c r="BG190" i="40"/>
  <c r="BM190" i="40"/>
  <c r="BR190" i="40"/>
  <c r="BW190" i="40"/>
  <c r="CC190" i="40"/>
  <c r="CH190" i="40"/>
  <c r="DT190" i="40"/>
  <c r="AW190" i="40"/>
  <c r="BC190" i="40"/>
  <c r="BI190" i="40"/>
  <c r="BN190" i="40"/>
  <c r="BS190" i="40"/>
  <c r="BY190" i="40"/>
  <c r="CD190" i="40"/>
  <c r="DV190" i="40"/>
  <c r="AX190" i="40"/>
  <c r="BU190" i="40"/>
  <c r="DW190" i="40"/>
  <c r="BE190" i="40"/>
  <c r="BZ190" i="40"/>
  <c r="BJ190" i="40"/>
  <c r="CE190" i="40"/>
  <c r="BO190" i="40"/>
  <c r="DM190" i="40"/>
  <c r="AM295" i="40"/>
  <c r="I10" i="70"/>
  <c r="I45" i="70"/>
  <c r="AO189" i="40"/>
  <c r="AQ189" i="40"/>
  <c r="AN295" i="40"/>
  <c r="AO295" i="40"/>
  <c r="KT136" i="40"/>
  <c r="KU135" i="40"/>
  <c r="I46" i="70" s="1"/>
  <c r="AP295" i="40"/>
  <c r="AQ295" i="40"/>
  <c r="C297" i="40"/>
  <c r="AX296" i="40"/>
  <c r="BC296" i="40"/>
  <c r="BG296" i="40"/>
  <c r="BK296" i="40"/>
  <c r="BO296" i="40"/>
  <c r="BS296" i="40"/>
  <c r="BW296" i="40"/>
  <c r="CA296" i="40"/>
  <c r="CE296" i="40"/>
  <c r="DS296" i="40"/>
  <c r="DW296" i="40"/>
  <c r="AZ296" i="40"/>
  <c r="BD296" i="40"/>
  <c r="BH296" i="40"/>
  <c r="BL296" i="40"/>
  <c r="BP296" i="40"/>
  <c r="BT296" i="40"/>
  <c r="BX296" i="40"/>
  <c r="CB296" i="40"/>
  <c r="CF296" i="40"/>
  <c r="DT296" i="40"/>
  <c r="A296" i="40"/>
  <c r="BA296" i="40"/>
  <c r="BE296" i="40"/>
  <c r="BI296" i="40"/>
  <c r="BM296" i="40"/>
  <c r="BQ296" i="40"/>
  <c r="BU296" i="40"/>
  <c r="BY296" i="40"/>
  <c r="CC296" i="40"/>
  <c r="CG296" i="40"/>
  <c r="DU296" i="40"/>
  <c r="AW296" i="40"/>
  <c r="BN296" i="40"/>
  <c r="CD296" i="40"/>
  <c r="BB296" i="40"/>
  <c r="BR296" i="40"/>
  <c r="CH296" i="40"/>
  <c r="BF296" i="40"/>
  <c r="BV296" i="40"/>
  <c r="DM296" i="40"/>
  <c r="BZ296" i="40"/>
  <c r="DV296" i="40"/>
  <c r="BJ296" i="40"/>
  <c r="AK189" i="40"/>
  <c r="AL189" i="40"/>
  <c r="AN189" i="40"/>
  <c r="D295" i="40" l="1"/>
  <c r="D189" i="40"/>
  <c r="AY189" i="40" s="1"/>
  <c r="AP190" i="40"/>
  <c r="AO190" i="40"/>
  <c r="C192" i="40"/>
  <c r="AZ191" i="40"/>
  <c r="BD191" i="40"/>
  <c r="BH191" i="40"/>
  <c r="BL191" i="40"/>
  <c r="BP191" i="40"/>
  <c r="BT191" i="40"/>
  <c r="BX191" i="40"/>
  <c r="CB191" i="40"/>
  <c r="CF191" i="40"/>
  <c r="DU191" i="40"/>
  <c r="A191" i="40"/>
  <c r="BB191" i="40"/>
  <c r="BG191" i="40"/>
  <c r="BM191" i="40"/>
  <c r="BR191" i="40"/>
  <c r="BW191" i="40"/>
  <c r="CC191" i="40"/>
  <c r="CH191" i="40"/>
  <c r="DT191" i="40"/>
  <c r="AW191" i="40"/>
  <c r="BC191" i="40"/>
  <c r="BI191" i="40"/>
  <c r="BN191" i="40"/>
  <c r="BS191" i="40"/>
  <c r="BY191" i="40"/>
  <c r="CD191" i="40"/>
  <c r="DV191" i="40"/>
  <c r="AX191" i="40"/>
  <c r="BE191" i="40"/>
  <c r="BJ191" i="40"/>
  <c r="BO191" i="40"/>
  <c r="BU191" i="40"/>
  <c r="BZ191" i="40"/>
  <c r="CE191" i="40"/>
  <c r="DM191" i="40"/>
  <c r="DW191" i="40"/>
  <c r="BQ191" i="40"/>
  <c r="DS191" i="40"/>
  <c r="BA191" i="40"/>
  <c r="BV191" i="40"/>
  <c r="BF191" i="40"/>
  <c r="CA191" i="40"/>
  <c r="BK191" i="40"/>
  <c r="CG191" i="40"/>
  <c r="AN190" i="40"/>
  <c r="AQ190" i="40"/>
  <c r="AM296" i="40"/>
  <c r="D296" i="40" s="1"/>
  <c r="AN296" i="40"/>
  <c r="AP296" i="40"/>
  <c r="AO296" i="40"/>
  <c r="AQ296" i="40"/>
  <c r="C298" i="40"/>
  <c r="AZ297" i="40"/>
  <c r="BD297" i="40"/>
  <c r="BH297" i="40"/>
  <c r="BL297" i="40"/>
  <c r="BP297" i="40"/>
  <c r="BT297" i="40"/>
  <c r="BX297" i="40"/>
  <c r="CB297" i="40"/>
  <c r="CF297" i="40"/>
  <c r="DU297" i="40"/>
  <c r="A297" i="40"/>
  <c r="BA297" i="40"/>
  <c r="BE297" i="40"/>
  <c r="BI297" i="40"/>
  <c r="BM297" i="40"/>
  <c r="BQ297" i="40"/>
  <c r="BU297" i="40"/>
  <c r="BY297" i="40"/>
  <c r="CC297" i="40"/>
  <c r="CG297" i="40"/>
  <c r="DM297" i="40"/>
  <c r="DV297" i="40"/>
  <c r="AW297" i="40"/>
  <c r="BB297" i="40"/>
  <c r="BF297" i="40"/>
  <c r="BJ297" i="40"/>
  <c r="BN297" i="40"/>
  <c r="BR297" i="40"/>
  <c r="BV297" i="40"/>
  <c r="BZ297" i="40"/>
  <c r="CD297" i="40"/>
  <c r="CH297" i="40"/>
  <c r="DS297" i="40"/>
  <c r="DW297" i="40"/>
  <c r="BK297" i="40"/>
  <c r="CA297" i="40"/>
  <c r="AX297" i="40"/>
  <c r="BO297" i="40"/>
  <c r="CE297" i="40"/>
  <c r="BC297" i="40"/>
  <c r="BS297" i="40"/>
  <c r="BW297" i="40"/>
  <c r="DT297" i="40"/>
  <c r="BG297" i="40"/>
  <c r="KT137" i="40"/>
  <c r="KU136" i="40"/>
  <c r="I47" i="70" s="1"/>
  <c r="AK190" i="40"/>
  <c r="AL190" i="40"/>
  <c r="AM190" i="40"/>
  <c r="D190" i="40" l="1"/>
  <c r="AY190" i="40" s="1"/>
  <c r="KU137" i="40"/>
  <c r="I48" i="70" s="1"/>
  <c r="KT138" i="40"/>
  <c r="AP297" i="40"/>
  <c r="C299" i="40"/>
  <c r="AW298" i="40"/>
  <c r="BB298" i="40"/>
  <c r="BF298" i="40"/>
  <c r="BJ298" i="40"/>
  <c r="BN298" i="40"/>
  <c r="BR298" i="40"/>
  <c r="BV298" i="40"/>
  <c r="BZ298" i="40"/>
  <c r="CD298" i="40"/>
  <c r="CH298" i="40"/>
  <c r="DS298" i="40"/>
  <c r="DW298" i="40"/>
  <c r="AX298" i="40"/>
  <c r="BC298" i="40"/>
  <c r="BG298" i="40"/>
  <c r="BK298" i="40"/>
  <c r="BO298" i="40"/>
  <c r="BS298" i="40"/>
  <c r="BW298" i="40"/>
  <c r="CA298" i="40"/>
  <c r="CE298" i="40"/>
  <c r="DT298" i="40"/>
  <c r="AZ298" i="40"/>
  <c r="BD298" i="40"/>
  <c r="BH298" i="40"/>
  <c r="BL298" i="40"/>
  <c r="BP298" i="40"/>
  <c r="BT298" i="40"/>
  <c r="BX298" i="40"/>
  <c r="CB298" i="40"/>
  <c r="CF298" i="40"/>
  <c r="DU298" i="40"/>
  <c r="A298" i="40"/>
  <c r="BI298" i="40"/>
  <c r="BY298" i="40"/>
  <c r="DV298" i="40"/>
  <c r="BM298" i="40"/>
  <c r="CC298" i="40"/>
  <c r="BA298" i="40"/>
  <c r="BQ298" i="40"/>
  <c r="CG298" i="40"/>
  <c r="BU298" i="40"/>
  <c r="BE298" i="40"/>
  <c r="DM298" i="40"/>
  <c r="AP191" i="40"/>
  <c r="C193" i="40"/>
  <c r="AZ192" i="40"/>
  <c r="BD192" i="40"/>
  <c r="AW192" i="40"/>
  <c r="BC192" i="40"/>
  <c r="BH192" i="40"/>
  <c r="BL192" i="40"/>
  <c r="BP192" i="40"/>
  <c r="BT192" i="40"/>
  <c r="BX192" i="40"/>
  <c r="CB192" i="40"/>
  <c r="CF192" i="40"/>
  <c r="DU192" i="40"/>
  <c r="AX192" i="40"/>
  <c r="BE192" i="40"/>
  <c r="BI192" i="40"/>
  <c r="BM192" i="40"/>
  <c r="BQ192" i="40"/>
  <c r="BU192" i="40"/>
  <c r="BY192" i="40"/>
  <c r="CC192" i="40"/>
  <c r="CG192" i="40"/>
  <c r="DM192" i="40"/>
  <c r="DV192" i="40"/>
  <c r="BA192" i="40"/>
  <c r="BF192" i="40"/>
  <c r="BJ192" i="40"/>
  <c r="BN192" i="40"/>
  <c r="BR192" i="40"/>
  <c r="BV192" i="40"/>
  <c r="BZ192" i="40"/>
  <c r="CD192" i="40"/>
  <c r="CH192" i="40"/>
  <c r="DS192" i="40"/>
  <c r="DW192" i="40"/>
  <c r="BK192" i="40"/>
  <c r="CA192" i="40"/>
  <c r="A192" i="40"/>
  <c r="BO192" i="40"/>
  <c r="CE192" i="40"/>
  <c r="BB192" i="40"/>
  <c r="BS192" i="40"/>
  <c r="BW192" i="40"/>
  <c r="DT192" i="40"/>
  <c r="BG192" i="40"/>
  <c r="AQ297" i="40"/>
  <c r="AN191" i="40"/>
  <c r="AQ191" i="40"/>
  <c r="AN297" i="40"/>
  <c r="AO297" i="40"/>
  <c r="AM297" i="40"/>
  <c r="AK191" i="40"/>
  <c r="AL191" i="40"/>
  <c r="AO191" i="40"/>
  <c r="AM191" i="40"/>
  <c r="D297" i="40" l="1"/>
  <c r="D191" i="40"/>
  <c r="AY191" i="40" s="1"/>
  <c r="AQ192" i="40"/>
  <c r="AO192" i="40"/>
  <c r="AN298" i="40"/>
  <c r="AM298" i="40"/>
  <c r="KT139" i="40"/>
  <c r="KU138" i="40"/>
  <c r="I49" i="70" s="1"/>
  <c r="AN192" i="40"/>
  <c r="AM192" i="40"/>
  <c r="AP298" i="40"/>
  <c r="AQ298" i="40"/>
  <c r="C300" i="40"/>
  <c r="AZ299" i="40"/>
  <c r="BD299" i="40"/>
  <c r="BH299" i="40"/>
  <c r="BL299" i="40"/>
  <c r="BP299" i="40"/>
  <c r="BT299" i="40"/>
  <c r="BX299" i="40"/>
  <c r="CB299" i="40"/>
  <c r="CF299" i="40"/>
  <c r="DT299" i="40"/>
  <c r="A299" i="40"/>
  <c r="BA299" i="40"/>
  <c r="BE299" i="40"/>
  <c r="BI299" i="40"/>
  <c r="BM299" i="40"/>
  <c r="BQ299" i="40"/>
  <c r="BU299" i="40"/>
  <c r="BY299" i="40"/>
  <c r="CC299" i="40"/>
  <c r="CG299" i="40"/>
  <c r="DU299" i="40"/>
  <c r="AW299" i="40"/>
  <c r="BB299" i="40"/>
  <c r="BF299" i="40"/>
  <c r="BJ299" i="40"/>
  <c r="BN299" i="40"/>
  <c r="BR299" i="40"/>
  <c r="BV299" i="40"/>
  <c r="BZ299" i="40"/>
  <c r="CD299" i="40"/>
  <c r="CH299" i="40"/>
  <c r="DM299" i="40"/>
  <c r="DV299" i="40"/>
  <c r="BG299" i="40"/>
  <c r="BW299" i="40"/>
  <c r="DS299" i="40"/>
  <c r="BK299" i="40"/>
  <c r="CA299" i="40"/>
  <c r="DW299" i="40"/>
  <c r="AX299" i="40"/>
  <c r="BO299" i="40"/>
  <c r="CE299" i="40"/>
  <c r="BS299" i="40"/>
  <c r="BC299" i="40"/>
  <c r="AO298" i="40"/>
  <c r="AK192" i="40"/>
  <c r="AL192" i="40"/>
  <c r="AP192" i="40"/>
  <c r="C194" i="40"/>
  <c r="AZ193" i="40"/>
  <c r="BD193" i="40"/>
  <c r="BH193" i="40"/>
  <c r="BL193" i="40"/>
  <c r="BP193" i="40"/>
  <c r="BT193" i="40"/>
  <c r="BX193" i="40"/>
  <c r="CB193" i="40"/>
  <c r="CF193" i="40"/>
  <c r="DM193" i="40"/>
  <c r="DV193" i="40"/>
  <c r="BA193" i="40"/>
  <c r="BE193" i="40"/>
  <c r="BI193" i="40"/>
  <c r="BM193" i="40"/>
  <c r="BQ193" i="40"/>
  <c r="BU193" i="40"/>
  <c r="BY193" i="40"/>
  <c r="CC193" i="40"/>
  <c r="CG193" i="40"/>
  <c r="DS193" i="40"/>
  <c r="DW193" i="40"/>
  <c r="AW193" i="40"/>
  <c r="BB193" i="40"/>
  <c r="BF193" i="40"/>
  <c r="BJ193" i="40"/>
  <c r="BN193" i="40"/>
  <c r="BR193" i="40"/>
  <c r="BV193" i="40"/>
  <c r="BZ193" i="40"/>
  <c r="CD193" i="40"/>
  <c r="CH193" i="40"/>
  <c r="DT193" i="40"/>
  <c r="A193" i="40"/>
  <c r="BG193" i="40"/>
  <c r="BW193" i="40"/>
  <c r="DU193" i="40"/>
  <c r="BK193" i="40"/>
  <c r="CA193" i="40"/>
  <c r="AX193" i="40"/>
  <c r="BO193" i="40"/>
  <c r="CE193" i="40"/>
  <c r="BS193" i="40"/>
  <c r="BC193" i="40"/>
  <c r="D298" i="40" l="1"/>
  <c r="D192" i="40"/>
  <c r="AY192" i="40" s="1"/>
  <c r="AQ299" i="40"/>
  <c r="AP193" i="40"/>
  <c r="AN193" i="40"/>
  <c r="AM193" i="40"/>
  <c r="AK193" i="40"/>
  <c r="AL193" i="40"/>
  <c r="AQ193" i="40"/>
  <c r="AP299" i="40"/>
  <c r="AM299" i="40"/>
  <c r="A300" i="40"/>
  <c r="BA300" i="40"/>
  <c r="BE300" i="40"/>
  <c r="BI300" i="40"/>
  <c r="BM300" i="40"/>
  <c r="BQ300" i="40"/>
  <c r="BU300" i="40"/>
  <c r="BY300" i="40"/>
  <c r="CC300" i="40"/>
  <c r="CG300" i="40"/>
  <c r="DM300" i="40"/>
  <c r="DV300" i="40"/>
  <c r="AW300" i="40"/>
  <c r="BB300" i="40"/>
  <c r="BF300" i="40"/>
  <c r="BJ300" i="40"/>
  <c r="BN300" i="40"/>
  <c r="BR300" i="40"/>
  <c r="BV300" i="40"/>
  <c r="BZ300" i="40"/>
  <c r="CD300" i="40"/>
  <c r="CH300" i="40"/>
  <c r="DS300" i="40"/>
  <c r="DW300" i="40"/>
  <c r="AX300" i="40"/>
  <c r="BC300" i="40"/>
  <c r="BG300" i="40"/>
  <c r="BK300" i="40"/>
  <c r="BO300" i="40"/>
  <c r="BS300" i="40"/>
  <c r="BW300" i="40"/>
  <c r="CA300" i="40"/>
  <c r="CE300" i="40"/>
  <c r="DT300" i="40"/>
  <c r="BD300" i="40"/>
  <c r="BT300" i="40"/>
  <c r="BH300" i="40"/>
  <c r="BX300" i="40"/>
  <c r="DU300" i="40"/>
  <c r="BL300" i="40"/>
  <c r="CB300" i="40"/>
  <c r="BP300" i="40"/>
  <c r="AZ300" i="40"/>
  <c r="CF300" i="40"/>
  <c r="KT140" i="40"/>
  <c r="KU139" i="40"/>
  <c r="I50" i="70" s="1"/>
  <c r="C195" i="40"/>
  <c r="BA194" i="40"/>
  <c r="BE194" i="40"/>
  <c r="BI194" i="40"/>
  <c r="BM194" i="40"/>
  <c r="BQ194" i="40"/>
  <c r="BU194" i="40"/>
  <c r="BY194" i="40"/>
  <c r="CC194" i="40"/>
  <c r="CG194" i="40"/>
  <c r="DM194" i="40"/>
  <c r="DV194" i="40"/>
  <c r="AW194" i="40"/>
  <c r="BB194" i="40"/>
  <c r="BF194" i="40"/>
  <c r="BJ194" i="40"/>
  <c r="BN194" i="40"/>
  <c r="BR194" i="40"/>
  <c r="BV194" i="40"/>
  <c r="BZ194" i="40"/>
  <c r="CD194" i="40"/>
  <c r="CH194" i="40"/>
  <c r="DS194" i="40"/>
  <c r="DW194" i="40"/>
  <c r="A194" i="40"/>
  <c r="AX194" i="40"/>
  <c r="BC194" i="40"/>
  <c r="BG194" i="40"/>
  <c r="BK194" i="40"/>
  <c r="BO194" i="40"/>
  <c r="BS194" i="40"/>
  <c r="BW194" i="40"/>
  <c r="CA194" i="40"/>
  <c r="CE194" i="40"/>
  <c r="DT194" i="40"/>
  <c r="BD194" i="40"/>
  <c r="BT194" i="40"/>
  <c r="BH194" i="40"/>
  <c r="BX194" i="40"/>
  <c r="DU194" i="40"/>
  <c r="BL194" i="40"/>
  <c r="CB194" i="40"/>
  <c r="BP194" i="40"/>
  <c r="CF194" i="40"/>
  <c r="AZ194" i="40"/>
  <c r="AN299" i="40"/>
  <c r="AO299" i="40"/>
  <c r="AO193" i="40"/>
  <c r="D299" i="40" l="1"/>
  <c r="D193" i="40"/>
  <c r="AY193" i="40" s="1"/>
  <c r="AP194" i="40"/>
  <c r="AO194" i="40"/>
  <c r="AP300" i="40"/>
  <c r="AO300" i="40"/>
  <c r="AQ300" i="40"/>
  <c r="C196" i="40"/>
  <c r="BA195" i="40"/>
  <c r="BE195" i="40"/>
  <c r="BI195" i="40"/>
  <c r="BM195" i="40"/>
  <c r="BQ195" i="40"/>
  <c r="BU195" i="40"/>
  <c r="BY195" i="40"/>
  <c r="CC195" i="40"/>
  <c r="CG195" i="40"/>
  <c r="DM195" i="40"/>
  <c r="DV195" i="40"/>
  <c r="AW195" i="40"/>
  <c r="BB195" i="40"/>
  <c r="BF195" i="40"/>
  <c r="BJ195" i="40"/>
  <c r="BN195" i="40"/>
  <c r="BR195" i="40"/>
  <c r="BV195" i="40"/>
  <c r="BZ195" i="40"/>
  <c r="CD195" i="40"/>
  <c r="CH195" i="40"/>
  <c r="DS195" i="40"/>
  <c r="DW195" i="40"/>
  <c r="A195" i="40"/>
  <c r="AX195" i="40"/>
  <c r="BC195" i="40"/>
  <c r="BG195" i="40"/>
  <c r="BK195" i="40"/>
  <c r="BO195" i="40"/>
  <c r="BS195" i="40"/>
  <c r="BW195" i="40"/>
  <c r="CA195" i="40"/>
  <c r="CE195" i="40"/>
  <c r="DT195" i="40"/>
  <c r="AZ195" i="40"/>
  <c r="BP195" i="40"/>
  <c r="CF195" i="40"/>
  <c r="BD195" i="40"/>
  <c r="BT195" i="40"/>
  <c r="BH195" i="40"/>
  <c r="BX195" i="40"/>
  <c r="DU195" i="40"/>
  <c r="BL195" i="40"/>
  <c r="CB195" i="40"/>
  <c r="KT141" i="40"/>
  <c r="KU140" i="40"/>
  <c r="AN300" i="40"/>
  <c r="AL194" i="40"/>
  <c r="AK194" i="40"/>
  <c r="AN194" i="40"/>
  <c r="AQ194" i="40"/>
  <c r="AM194" i="40"/>
  <c r="AM300" i="40"/>
  <c r="D300" i="40" l="1"/>
  <c r="D194" i="40"/>
  <c r="AY194" i="40" s="1"/>
  <c r="AQ195" i="40"/>
  <c r="I51" i="70"/>
  <c r="AK195" i="40"/>
  <c r="AL195" i="40"/>
  <c r="AO195" i="40"/>
  <c r="AM195" i="40"/>
  <c r="KU141" i="40"/>
  <c r="I52" i="70" s="1"/>
  <c r="KT142" i="40"/>
  <c r="AP195" i="40"/>
  <c r="C197" i="40"/>
  <c r="BA196" i="40"/>
  <c r="BE196" i="40"/>
  <c r="BI196" i="40"/>
  <c r="BM196" i="40"/>
  <c r="BQ196" i="40"/>
  <c r="BU196" i="40"/>
  <c r="BY196" i="40"/>
  <c r="CC196" i="40"/>
  <c r="CG196" i="40"/>
  <c r="DM196" i="40"/>
  <c r="DV196" i="40"/>
  <c r="AW196" i="40"/>
  <c r="BB196" i="40"/>
  <c r="BF196" i="40"/>
  <c r="BJ196" i="40"/>
  <c r="BN196" i="40"/>
  <c r="BR196" i="40"/>
  <c r="BV196" i="40"/>
  <c r="BZ196" i="40"/>
  <c r="CD196" i="40"/>
  <c r="CH196" i="40"/>
  <c r="DS196" i="40"/>
  <c r="DW196" i="40"/>
  <c r="A196" i="40"/>
  <c r="AX196" i="40"/>
  <c r="BC196" i="40"/>
  <c r="BG196" i="40"/>
  <c r="BK196" i="40"/>
  <c r="BO196" i="40"/>
  <c r="BS196" i="40"/>
  <c r="BW196" i="40"/>
  <c r="CA196" i="40"/>
  <c r="CE196" i="40"/>
  <c r="DT196" i="40"/>
  <c r="BL196" i="40"/>
  <c r="CB196" i="40"/>
  <c r="AZ196" i="40"/>
  <c r="BP196" i="40"/>
  <c r="CF196" i="40"/>
  <c r="BD196" i="40"/>
  <c r="BT196" i="40"/>
  <c r="BH196" i="40"/>
  <c r="BX196" i="40"/>
  <c r="DU196" i="40"/>
  <c r="AN195" i="40"/>
  <c r="D195" i="40" l="1"/>
  <c r="AY195" i="40" s="1"/>
  <c r="AK196" i="40"/>
  <c r="AL196" i="40"/>
  <c r="AQ196" i="40"/>
  <c r="AM196" i="40"/>
  <c r="AP196" i="40"/>
  <c r="C198" i="40"/>
  <c r="BA197" i="40"/>
  <c r="BE197" i="40"/>
  <c r="BI197" i="40"/>
  <c r="BM197" i="40"/>
  <c r="BQ197" i="40"/>
  <c r="BU197" i="40"/>
  <c r="BY197" i="40"/>
  <c r="CC197" i="40"/>
  <c r="CG197" i="40"/>
  <c r="DS197" i="40"/>
  <c r="DW197" i="40"/>
  <c r="AW197" i="40"/>
  <c r="BB197" i="40"/>
  <c r="BF197" i="40"/>
  <c r="BJ197" i="40"/>
  <c r="BN197" i="40"/>
  <c r="BR197" i="40"/>
  <c r="BV197" i="40"/>
  <c r="BZ197" i="40"/>
  <c r="CD197" i="40"/>
  <c r="CH197" i="40"/>
  <c r="DT197" i="40"/>
  <c r="A197" i="40"/>
  <c r="AX197" i="40"/>
  <c r="BC197" i="40"/>
  <c r="BG197" i="40"/>
  <c r="BK197" i="40"/>
  <c r="BO197" i="40"/>
  <c r="BS197" i="40"/>
  <c r="BW197" i="40"/>
  <c r="CA197" i="40"/>
  <c r="CE197" i="40"/>
  <c r="DU197" i="40"/>
  <c r="BH197" i="40"/>
  <c r="BX197" i="40"/>
  <c r="DV197" i="40"/>
  <c r="BL197" i="40"/>
  <c r="CB197" i="40"/>
  <c r="AZ197" i="40"/>
  <c r="BP197" i="40"/>
  <c r="CF197" i="40"/>
  <c r="BD197" i="40"/>
  <c r="BT197" i="40"/>
  <c r="DM197" i="40"/>
  <c r="AN196" i="40"/>
  <c r="AO196" i="40"/>
  <c r="KU142" i="40"/>
  <c r="I53" i="70" s="1"/>
  <c r="KT143" i="40"/>
  <c r="D196" i="40" l="1"/>
  <c r="AY196" i="40" s="1"/>
  <c r="AP197" i="40"/>
  <c r="AQ197" i="40"/>
  <c r="KU143" i="40"/>
  <c r="KT144" i="40"/>
  <c r="AN197" i="40"/>
  <c r="C199" i="40"/>
  <c r="AW198" i="40"/>
  <c r="BB198" i="40"/>
  <c r="BF198" i="40"/>
  <c r="BJ198" i="40"/>
  <c r="BN198" i="40"/>
  <c r="BR198" i="40"/>
  <c r="BV198" i="40"/>
  <c r="BZ198" i="40"/>
  <c r="CD198" i="40"/>
  <c r="CH198" i="40"/>
  <c r="DS198" i="40"/>
  <c r="DW198" i="40"/>
  <c r="A198" i="40"/>
  <c r="AX198" i="40"/>
  <c r="BC198" i="40"/>
  <c r="BG198" i="40"/>
  <c r="BK198" i="40"/>
  <c r="BO198" i="40"/>
  <c r="BS198" i="40"/>
  <c r="BW198" i="40"/>
  <c r="CA198" i="40"/>
  <c r="CE198" i="40"/>
  <c r="DT198" i="40"/>
  <c r="AZ198" i="40"/>
  <c r="BD198" i="40"/>
  <c r="BH198" i="40"/>
  <c r="BL198" i="40"/>
  <c r="BP198" i="40"/>
  <c r="BT198" i="40"/>
  <c r="BX198" i="40"/>
  <c r="CB198" i="40"/>
  <c r="CF198" i="40"/>
  <c r="DU198" i="40"/>
  <c r="BE198" i="40"/>
  <c r="BU198" i="40"/>
  <c r="DM198" i="40"/>
  <c r="BI198" i="40"/>
  <c r="BY198" i="40"/>
  <c r="DV198" i="40"/>
  <c r="BM198" i="40"/>
  <c r="CC198" i="40"/>
  <c r="BA198" i="40"/>
  <c r="BQ198" i="40"/>
  <c r="CG198" i="40"/>
  <c r="AO197" i="40"/>
  <c r="AK197" i="40"/>
  <c r="AL197" i="40"/>
  <c r="AM197" i="40"/>
  <c r="D197" i="40" l="1"/>
  <c r="AY197" i="40" s="1"/>
  <c r="AO198" i="40"/>
  <c r="AK198" i="40"/>
  <c r="AL198" i="40"/>
  <c r="AN198" i="40"/>
  <c r="AQ198" i="40"/>
  <c r="KT145" i="40"/>
  <c r="KU144" i="40"/>
  <c r="AP198" i="40"/>
  <c r="C200" i="40"/>
  <c r="AW199" i="40"/>
  <c r="BB199" i="40"/>
  <c r="BF199" i="40"/>
  <c r="BJ199" i="40"/>
  <c r="BN199" i="40"/>
  <c r="BR199" i="40"/>
  <c r="BV199" i="40"/>
  <c r="BZ199" i="40"/>
  <c r="CD199" i="40"/>
  <c r="CH199" i="40"/>
  <c r="DM199" i="40"/>
  <c r="DV199" i="40"/>
  <c r="A199" i="40"/>
  <c r="AX199" i="40"/>
  <c r="BC199" i="40"/>
  <c r="BG199" i="40"/>
  <c r="BK199" i="40"/>
  <c r="BO199" i="40"/>
  <c r="BS199" i="40"/>
  <c r="BW199" i="40"/>
  <c r="CA199" i="40"/>
  <c r="CE199" i="40"/>
  <c r="DS199" i="40"/>
  <c r="DW199" i="40"/>
  <c r="AZ199" i="40"/>
  <c r="BD199" i="40"/>
  <c r="BH199" i="40"/>
  <c r="BL199" i="40"/>
  <c r="BP199" i="40"/>
  <c r="BT199" i="40"/>
  <c r="BX199" i="40"/>
  <c r="CB199" i="40"/>
  <c r="CF199" i="40"/>
  <c r="DT199" i="40"/>
  <c r="BA199" i="40"/>
  <c r="BQ199" i="40"/>
  <c r="CG199" i="40"/>
  <c r="BE199" i="40"/>
  <c r="BU199" i="40"/>
  <c r="BI199" i="40"/>
  <c r="BY199" i="40"/>
  <c r="DU199" i="40"/>
  <c r="BM199" i="40"/>
  <c r="CC199" i="40"/>
  <c r="I54" i="70"/>
  <c r="AM198" i="40"/>
  <c r="D198" i="40" l="1"/>
  <c r="AY198" i="40" s="1"/>
  <c r="AP199" i="40"/>
  <c r="I55" i="70"/>
  <c r="AL199" i="40"/>
  <c r="AK199" i="40"/>
  <c r="AN199" i="40"/>
  <c r="AO199" i="40"/>
  <c r="AQ199" i="40"/>
  <c r="KT146" i="40"/>
  <c r="KU145" i="40"/>
  <c r="BA200" i="40"/>
  <c r="BE200" i="40"/>
  <c r="BI200" i="40"/>
  <c r="BM200" i="40"/>
  <c r="BQ200" i="40"/>
  <c r="BU200" i="40"/>
  <c r="BY200" i="40"/>
  <c r="CC200" i="40"/>
  <c r="CG200" i="40"/>
  <c r="DM200" i="40"/>
  <c r="DV200" i="40"/>
  <c r="AW200" i="40"/>
  <c r="BB200" i="40"/>
  <c r="BF200" i="40"/>
  <c r="BJ200" i="40"/>
  <c r="BN200" i="40"/>
  <c r="BR200" i="40"/>
  <c r="BV200" i="40"/>
  <c r="BZ200" i="40"/>
  <c r="CD200" i="40"/>
  <c r="CH200" i="40"/>
  <c r="DS200" i="40"/>
  <c r="DW200" i="40"/>
  <c r="A200" i="40"/>
  <c r="AX200" i="40"/>
  <c r="BC200" i="40"/>
  <c r="BG200" i="40"/>
  <c r="BK200" i="40"/>
  <c r="BO200" i="40"/>
  <c r="BS200" i="40"/>
  <c r="BW200" i="40"/>
  <c r="CA200" i="40"/>
  <c r="CE200" i="40"/>
  <c r="DT200" i="40"/>
  <c r="BL200" i="40"/>
  <c r="CB200" i="40"/>
  <c r="AZ200" i="40"/>
  <c r="BP200" i="40"/>
  <c r="CF200" i="40"/>
  <c r="BD200" i="40"/>
  <c r="BT200" i="40"/>
  <c r="BH200" i="40"/>
  <c r="BX200" i="40"/>
  <c r="DU200" i="40"/>
  <c r="AY487" i="40"/>
  <c r="D413" i="40"/>
  <c r="D684" i="40"/>
  <c r="D420" i="40"/>
  <c r="D310" i="40"/>
  <c r="A12" i="68"/>
  <c r="D691" i="40"/>
  <c r="G10" i="59"/>
  <c r="AN14" i="71"/>
  <c r="AY282" i="40"/>
  <c r="AY289" i="40"/>
  <c r="D693" i="40"/>
  <c r="AY595" i="40"/>
  <c r="AY499" i="40"/>
  <c r="AY497" i="40"/>
  <c r="D657" i="40"/>
  <c r="AY657" i="40" s="1"/>
  <c r="D646" i="40"/>
  <c r="AY646" i="40" s="1"/>
  <c r="AY382" i="40"/>
  <c r="D215" i="40"/>
  <c r="N16" i="61"/>
  <c r="AA16" i="61" s="1"/>
  <c r="D516" i="40"/>
  <c r="A13" i="71"/>
  <c r="N10" i="59"/>
  <c r="F47" i="59" s="1"/>
  <c r="AY287" i="40"/>
  <c r="AW16" i="71"/>
  <c r="D639" i="40"/>
  <c r="N9" i="59"/>
  <c r="A12" i="67"/>
  <c r="D510" i="40"/>
  <c r="AY591" i="40"/>
  <c r="D661" i="40"/>
  <c r="AY485" i="40"/>
  <c r="D613" i="40"/>
  <c r="E10" i="59"/>
  <c r="T47" i="59" s="1"/>
  <c r="AY582" i="40"/>
  <c r="D509" i="40"/>
  <c r="D629" i="40"/>
  <c r="D311" i="40"/>
  <c r="E11" i="59"/>
  <c r="T48" i="59" s="1"/>
  <c r="D648" i="40"/>
  <c r="AN14" i="66"/>
  <c r="N23" i="59"/>
  <c r="AN16" i="66"/>
  <c r="AY580" i="40"/>
  <c r="AM199" i="40"/>
  <c r="D665" i="40"/>
  <c r="AY593" i="40"/>
  <c r="AY477" i="40"/>
  <c r="D685" i="40"/>
  <c r="O21" i="59"/>
  <c r="AY587" i="40"/>
  <c r="AY594" i="40"/>
  <c r="AY484" i="40"/>
  <c r="AY576" i="40"/>
  <c r="I16" i="61"/>
  <c r="O10" i="59"/>
  <c r="G22" i="59"/>
  <c r="O23" i="59"/>
  <c r="A12" i="71"/>
  <c r="AY288" i="40"/>
  <c r="D696" i="40"/>
  <c r="AY385" i="40"/>
  <c r="J16" i="61"/>
  <c r="AQ16" i="61" s="1"/>
  <c r="W16" i="61" s="1"/>
  <c r="P10" i="59"/>
  <c r="D317" i="40"/>
  <c r="AY396" i="40"/>
  <c r="AY389" i="40"/>
  <c r="AY387" i="40"/>
  <c r="O9" i="59"/>
  <c r="G46" i="59" s="1"/>
  <c r="D219" i="40"/>
  <c r="D315" i="40"/>
  <c r="AY475" i="40"/>
  <c r="AY579" i="40"/>
  <c r="D514" i="40"/>
  <c r="D519" i="40"/>
  <c r="AY478" i="40"/>
  <c r="AY286" i="40"/>
  <c r="AY391" i="40"/>
  <c r="F14" i="61"/>
  <c r="M15" i="61"/>
  <c r="Z15" i="61" s="1"/>
  <c r="J15" i="61"/>
  <c r="AQ15" i="61" s="1"/>
  <c r="W15" i="61" s="1"/>
  <c r="D689" i="40"/>
  <c r="AY275" i="40"/>
  <c r="K13" i="61"/>
  <c r="AR13" i="61" s="1"/>
  <c r="X13" i="61" s="1"/>
  <c r="D673" i="40"/>
  <c r="K14" i="61"/>
  <c r="AR14" i="61" s="1"/>
  <c r="X14" i="61" s="1"/>
  <c r="AY585" i="40"/>
  <c r="AY378" i="40"/>
  <c r="AY498" i="40"/>
  <c r="D319" i="40"/>
  <c r="J14" i="61"/>
  <c r="AQ14" i="61" s="1"/>
  <c r="W14" i="61" s="1"/>
  <c r="AY283" i="40"/>
  <c r="D676" i="40"/>
  <c r="F13" i="61"/>
  <c r="AU13" i="71"/>
  <c r="AY390" i="40"/>
  <c r="AN16" i="71"/>
  <c r="L15" i="61"/>
  <c r="Y15" i="61" s="1"/>
  <c r="P23" i="59"/>
  <c r="D614" i="40"/>
  <c r="D199" i="40" l="1"/>
  <c r="AY199" i="40" s="1"/>
  <c r="AQ200" i="40"/>
  <c r="G34" i="59"/>
  <c r="Z47" i="59" s="1"/>
  <c r="AY343" i="40"/>
  <c r="AY565" i="40"/>
  <c r="AY547" i="40"/>
  <c r="AY236" i="40"/>
  <c r="AY438" i="40"/>
  <c r="AY468" i="40"/>
  <c r="AY693" i="40"/>
  <c r="KU693" i="40"/>
  <c r="AY538" i="40"/>
  <c r="AY421" i="40"/>
  <c r="AY310" i="40"/>
  <c r="AS15" i="67"/>
  <c r="AY454" i="40"/>
  <c r="AY420" i="40"/>
  <c r="AY375" i="40"/>
  <c r="AY448" i="40"/>
  <c r="AY413" i="40"/>
  <c r="AY281" i="40"/>
  <c r="D666" i="40"/>
  <c r="AY381" i="40"/>
  <c r="H11" i="59"/>
  <c r="N21" i="59"/>
  <c r="N33" i="59" s="1"/>
  <c r="Y46" i="59" s="1"/>
  <c r="H22" i="59"/>
  <c r="D699" i="40"/>
  <c r="D686" i="40"/>
  <c r="AY397" i="40"/>
  <c r="D214" i="40"/>
  <c r="N15" i="61"/>
  <c r="AA15" i="61" s="1"/>
  <c r="D694" i="40"/>
  <c r="G14" i="61"/>
  <c r="D312" i="40"/>
  <c r="AY489" i="40"/>
  <c r="N14" i="61"/>
  <c r="AA14" i="61" s="1"/>
  <c r="D647" i="40"/>
  <c r="D610" i="40"/>
  <c r="O22" i="59"/>
  <c r="O34" i="59" s="1"/>
  <c r="AA47" i="59" s="1"/>
  <c r="D517" i="40"/>
  <c r="D641" i="40"/>
  <c r="D698" i="40"/>
  <c r="AY583" i="40"/>
  <c r="D631" i="40"/>
  <c r="AY631" i="40" s="1"/>
  <c r="AY384" i="40"/>
  <c r="K15" i="61"/>
  <c r="AR15" i="61" s="1"/>
  <c r="X15" i="61" s="1"/>
  <c r="D671" i="40"/>
  <c r="D669" i="40"/>
  <c r="D622" i="40"/>
  <c r="F11" i="59"/>
  <c r="AN14" i="68"/>
  <c r="D630" i="40"/>
  <c r="AY490" i="40"/>
  <c r="AY596" i="40"/>
  <c r="AY296" i="40"/>
  <c r="AY294" i="40"/>
  <c r="AY295" i="40"/>
  <c r="AY495" i="40"/>
  <c r="AY297" i="40"/>
  <c r="AY298" i="40"/>
  <c r="G21" i="59"/>
  <c r="D650" i="40"/>
  <c r="AY480" i="40"/>
  <c r="D316" i="40"/>
  <c r="O11" i="59"/>
  <c r="G48" i="59" s="1"/>
  <c r="D653" i="40"/>
  <c r="AT13" i="71"/>
  <c r="AY395" i="40"/>
  <c r="M9" i="59"/>
  <c r="E46" i="59" s="1"/>
  <c r="F16" i="61"/>
  <c r="AY586" i="40"/>
  <c r="E21" i="59"/>
  <c r="D637" i="40"/>
  <c r="E15" i="61"/>
  <c r="D644" i="40"/>
  <c r="D619" i="40"/>
  <c r="AY280" i="40"/>
  <c r="AN16" i="69"/>
  <c r="I56" i="70"/>
  <c r="M13" i="61"/>
  <c r="Z13" i="61" s="1"/>
  <c r="D623" i="40"/>
  <c r="E23" i="59"/>
  <c r="E35" i="59" s="1"/>
  <c r="AY276" i="40"/>
  <c r="D683" i="40"/>
  <c r="E13" i="61"/>
  <c r="N11" i="59"/>
  <c r="F48" i="59" s="1"/>
  <c r="A12" i="66"/>
  <c r="E16" i="61"/>
  <c r="D313" i="40"/>
  <c r="D674" i="40"/>
  <c r="D612" i="40"/>
  <c r="AY299" i="40"/>
  <c r="AY500" i="40"/>
  <c r="D655" i="40"/>
  <c r="A12" i="69"/>
  <c r="H9" i="59"/>
  <c r="AY394" i="40"/>
  <c r="D515" i="40"/>
  <c r="D681" i="40"/>
  <c r="I14" i="61"/>
  <c r="D415" i="40"/>
  <c r="D652" i="40"/>
  <c r="M10" i="59"/>
  <c r="E47" i="59" s="1"/>
  <c r="D675" i="40"/>
  <c r="D520" i="40"/>
  <c r="AS13" i="71"/>
  <c r="AY492" i="40"/>
  <c r="AY379" i="40"/>
  <c r="AY588" i="40"/>
  <c r="AY494" i="40"/>
  <c r="D667" i="40"/>
  <c r="AY493" i="40"/>
  <c r="AY284" i="40"/>
  <c r="AY315" i="40"/>
  <c r="AY317" i="40"/>
  <c r="AY696" i="40"/>
  <c r="KU696" i="40"/>
  <c r="AY614" i="40"/>
  <c r="AT15" i="71"/>
  <c r="AY573" i="40"/>
  <c r="AY550" i="40"/>
  <c r="AY336" i="40"/>
  <c r="KU689" i="40"/>
  <c r="AY689" i="40"/>
  <c r="AY555" i="40"/>
  <c r="AY519" i="40"/>
  <c r="AY219" i="40"/>
  <c r="H47" i="59"/>
  <c r="R10" i="59"/>
  <c r="U47" i="59" s="1"/>
  <c r="AY561" i="40"/>
  <c r="AY567" i="40"/>
  <c r="AP16" i="61"/>
  <c r="V16" i="61" s="1"/>
  <c r="AD16" i="61" s="1"/>
  <c r="AH16" i="61" s="1"/>
  <c r="O16" i="61"/>
  <c r="AF16" i="61" s="1"/>
  <c r="AY373" i="40"/>
  <c r="AY685" i="40"/>
  <c r="AY648" i="40"/>
  <c r="AY252" i="40"/>
  <c r="AY231" i="40"/>
  <c r="AY613" i="40"/>
  <c r="AY229" i="40"/>
  <c r="AY254" i="40"/>
  <c r="AY215" i="40"/>
  <c r="AY265" i="40"/>
  <c r="AY544" i="40"/>
  <c r="AY566" i="40"/>
  <c r="AY456" i="40"/>
  <c r="AY684" i="40"/>
  <c r="AY249" i="40"/>
  <c r="AK200" i="40"/>
  <c r="AL200" i="40"/>
  <c r="AM200" i="40"/>
  <c r="I15" i="61"/>
  <c r="AY279" i="40"/>
  <c r="AY597" i="40"/>
  <c r="D658" i="40"/>
  <c r="AY300" i="40"/>
  <c r="L13" i="61"/>
  <c r="Y13" i="61" s="1"/>
  <c r="G47" i="59"/>
  <c r="KU146" i="40"/>
  <c r="I57" i="70" s="1"/>
  <c r="KT147" i="40"/>
  <c r="D621" i="40"/>
  <c r="D659" i="40"/>
  <c r="AY486" i="40"/>
  <c r="D695" i="40"/>
  <c r="D651" i="40"/>
  <c r="D309" i="40"/>
  <c r="AY496" i="40"/>
  <c r="G11" i="59"/>
  <c r="M22" i="59"/>
  <c r="D209" i="40"/>
  <c r="AY290" i="40"/>
  <c r="D512" i="40"/>
  <c r="M23" i="59"/>
  <c r="AY581" i="40"/>
  <c r="G16" i="61"/>
  <c r="D417" i="40"/>
  <c r="D616" i="40"/>
  <c r="E14" i="61"/>
  <c r="D649" i="40"/>
  <c r="D670" i="40"/>
  <c r="AY278" i="40"/>
  <c r="D611" i="40"/>
  <c r="AY482" i="40"/>
  <c r="D511" i="40"/>
  <c r="D677" i="40"/>
  <c r="AY577" i="40"/>
  <c r="N13" i="61"/>
  <c r="AA13" i="61" s="1"/>
  <c r="D627" i="40"/>
  <c r="D618" i="40"/>
  <c r="AY292" i="40"/>
  <c r="D662" i="40"/>
  <c r="AY400" i="40"/>
  <c r="AY575" i="40"/>
  <c r="H10" i="59"/>
  <c r="AN14" i="69"/>
  <c r="F21" i="59"/>
  <c r="AY570" i="40"/>
  <c r="AY250" i="40"/>
  <c r="AY676" i="40"/>
  <c r="AY319" i="40"/>
  <c r="AY367" i="40"/>
  <c r="AY458" i="40"/>
  <c r="AY332" i="40"/>
  <c r="AY514" i="40"/>
  <c r="AT15" i="69"/>
  <c r="AY273" i="40"/>
  <c r="AY524" i="40"/>
  <c r="AY230" i="40"/>
  <c r="AY338" i="40"/>
  <c r="AY522" i="40"/>
  <c r="O33" i="59"/>
  <c r="AA46" i="59" s="1"/>
  <c r="AY665" i="40"/>
  <c r="AY311" i="40"/>
  <c r="AY629" i="40"/>
  <c r="AY510" i="40"/>
  <c r="AY639" i="40"/>
  <c r="AY516" i="40"/>
  <c r="AY368" i="40"/>
  <c r="AY244" i="40"/>
  <c r="AY233" i="40"/>
  <c r="AY557" i="40"/>
  <c r="AY337" i="40"/>
  <c r="D678" i="40"/>
  <c r="D636" i="40"/>
  <c r="AN16" i="67"/>
  <c r="D679" i="40"/>
  <c r="H23" i="59"/>
  <c r="H35" i="59" s="1"/>
  <c r="AP200" i="40"/>
  <c r="I13" i="61"/>
  <c r="D638" i="40"/>
  <c r="D690" i="40"/>
  <c r="AY590" i="40"/>
  <c r="M11" i="59"/>
  <c r="E48" i="59" s="1"/>
  <c r="D660" i="40"/>
  <c r="D416" i="40"/>
  <c r="AY584" i="40"/>
  <c r="F10" i="59"/>
  <c r="E9" i="59"/>
  <c r="T46" i="59" s="1"/>
  <c r="M16" i="61"/>
  <c r="Z16" i="61" s="1"/>
  <c r="AN14" i="67"/>
  <c r="D216" i="40"/>
  <c r="D411" i="40"/>
  <c r="G9" i="59"/>
  <c r="D642" i="40"/>
  <c r="D682" i="40"/>
  <c r="AY578" i="40"/>
  <c r="AY476" i="40"/>
  <c r="D656" i="40"/>
  <c r="D615" i="40"/>
  <c r="AY615" i="40" s="1"/>
  <c r="D654" i="40"/>
  <c r="AY654" i="40" s="1"/>
  <c r="D418" i="40"/>
  <c r="P11" i="59"/>
  <c r="R11" i="59" s="1"/>
  <c r="U48" i="59" s="1"/>
  <c r="D412" i="40"/>
  <c r="D518" i="40"/>
  <c r="D687" i="40"/>
  <c r="AY399" i="40"/>
  <c r="J13" i="61"/>
  <c r="AQ13" i="61" s="1"/>
  <c r="W13" i="61" s="1"/>
  <c r="D414" i="40"/>
  <c r="K16" i="61"/>
  <c r="AR16" i="61" s="1"/>
  <c r="X16" i="61" s="1"/>
  <c r="D632" i="40"/>
  <c r="H21" i="59"/>
  <c r="G23" i="59"/>
  <c r="G13" i="61"/>
  <c r="D513" i="40"/>
  <c r="D635" i="40"/>
  <c r="D410" i="40"/>
  <c r="F9" i="59"/>
  <c r="P22" i="59"/>
  <c r="P34" i="59" s="1"/>
  <c r="D697" i="40"/>
  <c r="AY598" i="40"/>
  <c r="D212" i="40"/>
  <c r="D688" i="40"/>
  <c r="AY377" i="40"/>
  <c r="AY380" i="40"/>
  <c r="D645" i="40"/>
  <c r="AY673" i="40"/>
  <c r="AY365" i="40"/>
  <c r="AY227" i="40"/>
  <c r="AY251" i="40"/>
  <c r="AY422" i="40"/>
  <c r="AY328" i="40"/>
  <c r="AY560" i="40"/>
  <c r="AY551" i="40"/>
  <c r="AY553" i="40"/>
  <c r="AY223" i="40"/>
  <c r="AY509" i="40"/>
  <c r="AY661" i="40"/>
  <c r="AY571" i="40"/>
  <c r="AY691" i="40"/>
  <c r="KU691" i="40"/>
  <c r="AY272" i="40"/>
  <c r="AY285" i="40"/>
  <c r="AY291" i="40"/>
  <c r="M21" i="59"/>
  <c r="D672" i="40"/>
  <c r="D633" i="40"/>
  <c r="AY491" i="40"/>
  <c r="AN200" i="40"/>
  <c r="AO200" i="40"/>
  <c r="D628" i="40"/>
  <c r="AY393" i="40"/>
  <c r="D218" i="40"/>
  <c r="D220" i="40"/>
  <c r="AN16" i="68"/>
  <c r="P21" i="59"/>
  <c r="D643" i="40"/>
  <c r="D217" i="40"/>
  <c r="D314" i="40"/>
  <c r="D213" i="40"/>
  <c r="D625" i="40"/>
  <c r="D320" i="40"/>
  <c r="AY483" i="40"/>
  <c r="G15" i="61"/>
  <c r="D668" i="40"/>
  <c r="D624" i="40"/>
  <c r="D663" i="40"/>
  <c r="AY663" i="40" s="1"/>
  <c r="F23" i="59"/>
  <c r="D664" i="40"/>
  <c r="D318" i="40"/>
  <c r="L16" i="61"/>
  <c r="Y16" i="61" s="1"/>
  <c r="AY481" i="40"/>
  <c r="D419" i="40"/>
  <c r="D680" i="40"/>
  <c r="D617" i="40"/>
  <c r="AY386" i="40"/>
  <c r="AY277" i="40"/>
  <c r="AY293" i="40"/>
  <c r="D634" i="40"/>
  <c r="D620" i="40"/>
  <c r="L14" i="61"/>
  <c r="Y14" i="61" s="1"/>
  <c r="AY376" i="40"/>
  <c r="F46" i="59"/>
  <c r="AY599" i="40"/>
  <c r="F22" i="59"/>
  <c r="AY392" i="40"/>
  <c r="E22" i="59"/>
  <c r="E34" i="59" s="1"/>
  <c r="D700" i="40"/>
  <c r="D211" i="40"/>
  <c r="AY388" i="40"/>
  <c r="AY589" i="40"/>
  <c r="P9" i="59"/>
  <c r="R9" i="59" s="1"/>
  <c r="U46" i="59" s="1"/>
  <c r="D640" i="40"/>
  <c r="AY592" i="40"/>
  <c r="AY383" i="40"/>
  <c r="D409" i="40"/>
  <c r="N22" i="59"/>
  <c r="N34" i="59" s="1"/>
  <c r="Y47" i="59" s="1"/>
  <c r="M14" i="61"/>
  <c r="Z14" i="61" s="1"/>
  <c r="F15" i="61"/>
  <c r="AY479" i="40"/>
  <c r="D210" i="40"/>
  <c r="D626" i="40"/>
  <c r="D609" i="40"/>
  <c r="AY609" i="40" s="1"/>
  <c r="AY398" i="40"/>
  <c r="D692" i="40"/>
  <c r="O47" i="59" l="1"/>
  <c r="Z59" i="59" s="1"/>
  <c r="O35" i="59"/>
  <c r="AA48" i="59" s="1"/>
  <c r="AB16" i="61"/>
  <c r="T16" i="61" s="1"/>
  <c r="N35" i="59"/>
  <c r="Y48" i="59" s="1"/>
  <c r="G35" i="59"/>
  <c r="Z48" i="59" s="1"/>
  <c r="M33" i="59"/>
  <c r="W46" i="59" s="1"/>
  <c r="D200" i="40"/>
  <c r="AY200" i="40" s="1"/>
  <c r="H48" i="59"/>
  <c r="F35" i="59"/>
  <c r="H33" i="59"/>
  <c r="AB46" i="59" s="1"/>
  <c r="M34" i="59"/>
  <c r="W47" i="59" s="1"/>
  <c r="P35" i="59"/>
  <c r="AC48" i="59" s="1"/>
  <c r="F34" i="59"/>
  <c r="N47" i="59" s="1"/>
  <c r="AY210" i="40"/>
  <c r="AY528" i="40"/>
  <c r="AY535" i="40"/>
  <c r="AY680" i="40"/>
  <c r="AY326" i="40"/>
  <c r="AY568" i="40"/>
  <c r="AY363" i="40"/>
  <c r="AY625" i="40"/>
  <c r="AY314" i="40"/>
  <c r="AT15" i="67"/>
  <c r="AY218" i="40"/>
  <c r="AU15" i="66"/>
  <c r="AY672" i="40"/>
  <c r="AY224" i="40"/>
  <c r="AY466" i="40"/>
  <c r="AY410" i="40"/>
  <c r="AS15" i="68"/>
  <c r="AY513" i="40"/>
  <c r="AY271" i="40"/>
  <c r="AY257" i="40"/>
  <c r="AY632" i="40"/>
  <c r="AY518" i="40"/>
  <c r="AU15" i="69"/>
  <c r="AY348" i="40"/>
  <c r="AY656" i="40"/>
  <c r="AY356" i="40"/>
  <c r="AY682" i="40"/>
  <c r="AY411" i="40"/>
  <c r="AY444" i="40"/>
  <c r="AY549" i="40"/>
  <c r="AY552" i="40"/>
  <c r="AY429" i="40"/>
  <c r="AY472" i="40"/>
  <c r="AY511" i="40"/>
  <c r="AY559" i="40"/>
  <c r="AY670" i="40"/>
  <c r="AY649" i="40"/>
  <c r="AY248" i="40"/>
  <c r="AY616" i="40"/>
  <c r="AY374" i="40"/>
  <c r="AY269" i="40"/>
  <c r="AY512" i="40"/>
  <c r="AY351" i="40"/>
  <c r="AY329" i="40"/>
  <c r="AY309" i="40"/>
  <c r="AY431" i="40"/>
  <c r="AY370" i="40"/>
  <c r="AY621" i="40"/>
  <c r="AY242" i="40"/>
  <c r="AY369" i="40"/>
  <c r="AY432" i="40"/>
  <c r="AY449" i="40"/>
  <c r="AY225" i="40"/>
  <c r="AY658" i="40"/>
  <c r="AP15" i="61"/>
  <c r="V15" i="61" s="1"/>
  <c r="O15" i="61"/>
  <c r="AF15" i="61" s="1"/>
  <c r="AJ15" i="61" s="1"/>
  <c r="AY531" i="40"/>
  <c r="AY366" i="40"/>
  <c r="AY267" i="40"/>
  <c r="AY674" i="40"/>
  <c r="AY313" i="40"/>
  <c r="AY241" i="40"/>
  <c r="AY623" i="40"/>
  <c r="AY447" i="40"/>
  <c r="AY222" i="40"/>
  <c r="AY238" i="40"/>
  <c r="AY361" i="40"/>
  <c r="G33" i="59"/>
  <c r="AY341" i="40"/>
  <c r="AY630" i="40"/>
  <c r="AY537" i="40"/>
  <c r="AY426" i="40"/>
  <c r="AY517" i="40"/>
  <c r="AY312" i="40"/>
  <c r="AY234" i="40"/>
  <c r="AY243" i="40"/>
  <c r="AY266" i="40"/>
  <c r="AY349" i="40"/>
  <c r="AY666" i="40"/>
  <c r="H46" i="59"/>
  <c r="AY471" i="40"/>
  <c r="AY521" i="40"/>
  <c r="AY457" i="40"/>
  <c r="AY620" i="40"/>
  <c r="AY634" i="40"/>
  <c r="AY439" i="40"/>
  <c r="AY371" i="40"/>
  <c r="AY617" i="40"/>
  <c r="AY353" i="40"/>
  <c r="AY362" i="40"/>
  <c r="AY624" i="40"/>
  <c r="AY453" i="40"/>
  <c r="AY217" i="40"/>
  <c r="P33" i="59"/>
  <c r="AC46" i="59" s="1"/>
  <c r="AY220" i="40"/>
  <c r="AY533" i="40"/>
  <c r="AC47" i="59"/>
  <c r="AY430" i="40"/>
  <c r="AY556" i="40"/>
  <c r="AY327" i="40"/>
  <c r="AY473" i="40"/>
  <c r="AY255" i="40"/>
  <c r="AY527" i="40"/>
  <c r="AY355" i="40"/>
  <c r="AY443" i="40"/>
  <c r="AY216" i="40"/>
  <c r="AY459" i="40"/>
  <c r="AY416" i="40"/>
  <c r="AY442" i="40"/>
  <c r="AY350" i="40"/>
  <c r="AY464" i="40"/>
  <c r="AY542" i="40"/>
  <c r="AY259" i="40"/>
  <c r="M35" i="59"/>
  <c r="M48" i="59" s="1"/>
  <c r="AY357" i="40"/>
  <c r="AY322" i="40"/>
  <c r="KT148" i="40"/>
  <c r="KU147" i="40"/>
  <c r="I58" i="70" s="1"/>
  <c r="AY325" i="40"/>
  <c r="AY324" i="40"/>
  <c r="AN16" i="61"/>
  <c r="AJ16" i="61"/>
  <c r="AY667" i="40"/>
  <c r="AY246" i="40"/>
  <c r="AY470" i="40"/>
  <c r="AY415" i="40"/>
  <c r="AY569" i="40"/>
  <c r="AY247" i="40"/>
  <c r="AY452" i="40"/>
  <c r="AY331" i="40"/>
  <c r="AY235" i="40"/>
  <c r="AY619" i="40"/>
  <c r="AY637" i="40"/>
  <c r="AY526" i="40"/>
  <c r="AY462" i="40"/>
  <c r="AY316" i="40"/>
  <c r="AY554" i="40"/>
  <c r="AY228" i="40"/>
  <c r="AY239" i="40"/>
  <c r="AY346" i="40"/>
  <c r="AY541" i="40"/>
  <c r="AY671" i="40"/>
  <c r="AY253" i="40"/>
  <c r="AY641" i="40"/>
  <c r="AY347" i="40"/>
  <c r="AY446" i="40"/>
  <c r="AY610" i="40"/>
  <c r="AS15" i="71"/>
  <c r="AY647" i="40"/>
  <c r="AY461" i="40"/>
  <c r="KU694" i="40"/>
  <c r="AY694" i="40"/>
  <c r="AY686" i="40"/>
  <c r="AY436" i="40"/>
  <c r="AY226" i="40"/>
  <c r="AY364" i="40"/>
  <c r="AY626" i="40"/>
  <c r="AY409" i="40"/>
  <c r="AY358" i="40"/>
  <c r="AY211" i="40"/>
  <c r="V47" i="59"/>
  <c r="AY344" i="40"/>
  <c r="AY523" i="40"/>
  <c r="AY213" i="40"/>
  <c r="AY545" i="40"/>
  <c r="AY643" i="40"/>
  <c r="AY628" i="40"/>
  <c r="AY633" i="40"/>
  <c r="AY645" i="40"/>
  <c r="AY428" i="40"/>
  <c r="KU697" i="40"/>
  <c r="AY697" i="40"/>
  <c r="AY534" i="40"/>
  <c r="AY441" i="40"/>
  <c r="AY536" i="40"/>
  <c r="AY445" i="40"/>
  <c r="AY414" i="40"/>
  <c r="AT15" i="68"/>
  <c r="AY412" i="40"/>
  <c r="AY372" i="40"/>
  <c r="AY345" i="40"/>
  <c r="AY268" i="40"/>
  <c r="KU690" i="40"/>
  <c r="AY690" i="40"/>
  <c r="AY638" i="40"/>
  <c r="AY679" i="40"/>
  <c r="AY636" i="40"/>
  <c r="AY451" i="40"/>
  <c r="AY339" i="40"/>
  <c r="AY662" i="40"/>
  <c r="AU15" i="71"/>
  <c r="AY618" i="40"/>
  <c r="AY455" i="40"/>
  <c r="AY677" i="40"/>
  <c r="AY572" i="40"/>
  <c r="AY540" i="40"/>
  <c r="AY417" i="40"/>
  <c r="AU15" i="68"/>
  <c r="AY423" i="40"/>
  <c r="AY574" i="40"/>
  <c r="AY651" i="40"/>
  <c r="AY659" i="40"/>
  <c r="AY342" i="40"/>
  <c r="AY321" i="40"/>
  <c r="AY334" i="40"/>
  <c r="AY525" i="40"/>
  <c r="AY652" i="40"/>
  <c r="AP14" i="61"/>
  <c r="V14" i="61" s="1"/>
  <c r="AD14" i="61" s="1"/>
  <c r="AH14" i="61" s="1"/>
  <c r="O14" i="61"/>
  <c r="AF14" i="61" s="1"/>
  <c r="AL14" i="61" s="1"/>
  <c r="AY515" i="40"/>
  <c r="AY683" i="40"/>
  <c r="AY433" i="40"/>
  <c r="AY644" i="40"/>
  <c r="E33" i="59"/>
  <c r="AY256" i="40"/>
  <c r="AY434" i="40"/>
  <c r="AY440" i="40"/>
  <c r="AY653" i="40"/>
  <c r="AY622" i="40"/>
  <c r="AY669" i="40"/>
  <c r="AY359" i="40"/>
  <c r="KU698" i="40"/>
  <c r="AY698" i="40"/>
  <c r="AY264" i="40"/>
  <c r="AY262" i="40"/>
  <c r="AY546" i="40"/>
  <c r="AY563" i="40"/>
  <c r="AY532" i="40"/>
  <c r="AY467" i="40"/>
  <c r="AY699" i="40"/>
  <c r="KU699" i="40"/>
  <c r="AY260" i="40"/>
  <c r="AY562" i="40"/>
  <c r="KU692" i="40"/>
  <c r="AY692" i="40"/>
  <c r="AY640" i="40"/>
  <c r="AY700" i="40"/>
  <c r="KU700" i="40"/>
  <c r="D15" i="70"/>
  <c r="AY15" i="70" s="1"/>
  <c r="D28" i="70"/>
  <c r="D29" i="70"/>
  <c r="AS15" i="69"/>
  <c r="AY245" i="40"/>
  <c r="AY548" i="40"/>
  <c r="AY424" i="40"/>
  <c r="AY419" i="40"/>
  <c r="AY437" i="40"/>
  <c r="AY318" i="40"/>
  <c r="AU15" i="67"/>
  <c r="AY664" i="40"/>
  <c r="AY221" i="40"/>
  <c r="AY668" i="40"/>
  <c r="AY320" i="40"/>
  <c r="AY539" i="40"/>
  <c r="KU688" i="40"/>
  <c r="AY688" i="40"/>
  <c r="AY212" i="40"/>
  <c r="AS15" i="66"/>
  <c r="AY635" i="40"/>
  <c r="AY270" i="40"/>
  <c r="AY687" i="40"/>
  <c r="AY418" i="40"/>
  <c r="AY642" i="40"/>
  <c r="AY274" i="40"/>
  <c r="AY558" i="40"/>
  <c r="AY333" i="40"/>
  <c r="AY529" i="40"/>
  <c r="AY660" i="40"/>
  <c r="AY335" i="40"/>
  <c r="AY435" i="40"/>
  <c r="AP13" i="61"/>
  <c r="V13" i="61" s="1"/>
  <c r="AD13" i="61" s="1"/>
  <c r="AH13" i="61" s="1"/>
  <c r="O13" i="61"/>
  <c r="AF13" i="61" s="1"/>
  <c r="AL13" i="61" s="1"/>
  <c r="I35" i="59"/>
  <c r="AB48" i="59"/>
  <c r="AY678" i="40"/>
  <c r="F33" i="59"/>
  <c r="AY530" i="40"/>
  <c r="AY460" i="40"/>
  <c r="AY627" i="40"/>
  <c r="AY611" i="40"/>
  <c r="AY209" i="40"/>
  <c r="AY427" i="40"/>
  <c r="AY425" i="40"/>
  <c r="AY695" i="40"/>
  <c r="KU695" i="40"/>
  <c r="AY543" i="40"/>
  <c r="AA59" i="59"/>
  <c r="AY261" i="40"/>
  <c r="AY520" i="40"/>
  <c r="AY675" i="40"/>
  <c r="AY237" i="40"/>
  <c r="AY681" i="40"/>
  <c r="AY655" i="40"/>
  <c r="AY612" i="40"/>
  <c r="AY352" i="40"/>
  <c r="AL16" i="61"/>
  <c r="AY450" i="40"/>
  <c r="AY330" i="40"/>
  <c r="V48" i="59"/>
  <c r="AY465" i="40"/>
  <c r="AM16" i="61"/>
  <c r="AY650" i="40"/>
  <c r="AY258" i="40"/>
  <c r="AY474" i="40"/>
  <c r="AY263" i="40"/>
  <c r="AY463" i="40"/>
  <c r="AY469" i="40"/>
  <c r="AY232" i="40"/>
  <c r="AY354" i="40"/>
  <c r="AY564" i="40"/>
  <c r="AY360" i="40"/>
  <c r="AY214" i="40"/>
  <c r="AT15" i="66"/>
  <c r="AY240" i="40"/>
  <c r="AY323" i="40"/>
  <c r="H34" i="59"/>
  <c r="AB47" i="59" s="1"/>
  <c r="AY340" i="40"/>
  <c r="IK581" i="40" l="1"/>
  <c r="IN581" i="40" s="1"/>
  <c r="IJ576" i="40"/>
  <c r="IM576" i="40" s="1"/>
  <c r="IO578" i="40"/>
  <c r="IO580" i="40"/>
  <c r="II580" i="40"/>
  <c r="IL580" i="40" s="1"/>
  <c r="IQ583" i="40"/>
  <c r="IP583" i="40"/>
  <c r="IQ580" i="40"/>
  <c r="IP582" i="40"/>
  <c r="IP580" i="40"/>
  <c r="II583" i="40"/>
  <c r="IL583" i="40" s="1"/>
  <c r="IK577" i="40"/>
  <c r="IN577" i="40" s="1"/>
  <c r="IO576" i="40"/>
  <c r="IO579" i="40"/>
  <c r="II582" i="40"/>
  <c r="IL582" i="40" s="1"/>
  <c r="JF579" i="40"/>
  <c r="HM579" i="40" s="1"/>
  <c r="JF581" i="40"/>
  <c r="HN581" i="40" s="1"/>
  <c r="IP577" i="40"/>
  <c r="IQ577" i="40"/>
  <c r="II579" i="40"/>
  <c r="IL579" i="40" s="1"/>
  <c r="IJ583" i="40"/>
  <c r="IM583" i="40" s="1"/>
  <c r="IP579" i="40"/>
  <c r="IK578" i="40"/>
  <c r="IN578" i="40" s="1"/>
  <c r="JF576" i="40"/>
  <c r="HN576" i="40" s="1"/>
  <c r="JF580" i="40"/>
  <c r="HO580" i="40" s="1"/>
  <c r="IK580" i="40"/>
  <c r="IN580" i="40" s="1"/>
  <c r="IP578" i="40"/>
  <c r="IK582" i="40"/>
  <c r="IN582" i="40" s="1"/>
  <c r="HO581" i="40"/>
  <c r="II581" i="40"/>
  <c r="IL581" i="40" s="1"/>
  <c r="JF577" i="40"/>
  <c r="HM577" i="40" s="1"/>
  <c r="JF582" i="40"/>
  <c r="HO582" i="40" s="1"/>
  <c r="IQ582" i="40"/>
  <c r="IQ581" i="40"/>
  <c r="II576" i="40"/>
  <c r="IL576" i="40" s="1"/>
  <c r="IQ579" i="40"/>
  <c r="IJ580" i="40"/>
  <c r="IM580" i="40" s="1"/>
  <c r="IJ579" i="40"/>
  <c r="IM579" i="40" s="1"/>
  <c r="II578" i="40"/>
  <c r="IL578" i="40" s="1"/>
  <c r="IO582" i="40"/>
  <c r="IK579" i="40"/>
  <c r="IN579" i="40" s="1"/>
  <c r="IO581" i="40"/>
  <c r="IO583" i="40"/>
  <c r="IJ577" i="40"/>
  <c r="IM577" i="40" s="1"/>
  <c r="IP576" i="40"/>
  <c r="JF578" i="40"/>
  <c r="HM578" i="40" s="1"/>
  <c r="HN580" i="40"/>
  <c r="IQ576" i="40"/>
  <c r="II577" i="40"/>
  <c r="IL577" i="40" s="1"/>
  <c r="IK576" i="40"/>
  <c r="IN576" i="40" s="1"/>
  <c r="IK583" i="40"/>
  <c r="IN583" i="40" s="1"/>
  <c r="IQ578" i="40"/>
  <c r="IP581" i="40"/>
  <c r="IJ582" i="40"/>
  <c r="IM582" i="40" s="1"/>
  <c r="JB582" i="40" s="1"/>
  <c r="IO577" i="40"/>
  <c r="JF583" i="40"/>
  <c r="HM583" i="40" s="1"/>
  <c r="IJ581" i="40"/>
  <c r="IM581" i="40" s="1"/>
  <c r="HM581" i="40"/>
  <c r="IJ578" i="40"/>
  <c r="IM578" i="40" s="1"/>
  <c r="HM580" i="40"/>
  <c r="N48" i="59"/>
  <c r="O48" i="59"/>
  <c r="X47" i="59"/>
  <c r="X48" i="59"/>
  <c r="P48" i="59"/>
  <c r="AC60" i="59" s="1"/>
  <c r="AL15" i="61"/>
  <c r="M47" i="59"/>
  <c r="Q34" i="59"/>
  <c r="AN15" i="61"/>
  <c r="AM15" i="61"/>
  <c r="V46" i="59"/>
  <c r="I33" i="59"/>
  <c r="M46" i="59"/>
  <c r="I34" i="59"/>
  <c r="AB13" i="61"/>
  <c r="T13" i="61" s="1"/>
  <c r="KT149" i="40"/>
  <c r="KU148" i="40"/>
  <c r="I59" i="70" s="1"/>
  <c r="O46" i="59"/>
  <c r="Z46" i="59"/>
  <c r="X46" i="59"/>
  <c r="N46" i="59"/>
  <c r="IQ515" i="40"/>
  <c r="IQ210" i="40"/>
  <c r="IP306" i="40"/>
  <c r="IP502" i="40"/>
  <c r="II415" i="40"/>
  <c r="IL415" i="40" s="1"/>
  <c r="IO572" i="40"/>
  <c r="II405" i="40"/>
  <c r="IL405" i="40" s="1"/>
  <c r="IO527" i="40"/>
  <c r="JF209" i="40"/>
  <c r="HN209" i="40" s="1"/>
  <c r="IQ511" i="40"/>
  <c r="II350" i="40"/>
  <c r="IL350" i="40" s="1"/>
  <c r="IP518" i="40"/>
  <c r="IO301" i="40"/>
  <c r="IO575" i="40"/>
  <c r="JF436" i="40"/>
  <c r="HM436" i="40" s="1"/>
  <c r="HP436" i="40" s="1"/>
  <c r="II349" i="40"/>
  <c r="IL349" i="40" s="1"/>
  <c r="IQ527" i="40"/>
  <c r="IQ572" i="40"/>
  <c r="IK351" i="40"/>
  <c r="IN351" i="40" s="1"/>
  <c r="IK323" i="40"/>
  <c r="IN323" i="40" s="1"/>
  <c r="IO363" i="40"/>
  <c r="JF432" i="40"/>
  <c r="HO432" i="40" s="1"/>
  <c r="HR432" i="40" s="1"/>
  <c r="II519" i="40"/>
  <c r="IL519" i="40" s="1"/>
  <c r="IJ461" i="40"/>
  <c r="IM461" i="40" s="1"/>
  <c r="IK425" i="40"/>
  <c r="IN425" i="40" s="1"/>
  <c r="IQ566" i="40"/>
  <c r="IP530" i="40"/>
  <c r="IK365" i="40"/>
  <c r="IN365" i="40" s="1"/>
  <c r="IO566" i="40"/>
  <c r="IP559" i="40"/>
  <c r="IO418" i="40"/>
  <c r="IK306" i="40"/>
  <c r="IN306" i="40" s="1"/>
  <c r="IK514" i="40"/>
  <c r="IN514" i="40" s="1"/>
  <c r="JF525" i="40"/>
  <c r="JF368" i="40"/>
  <c r="HM368" i="40" s="1"/>
  <c r="HP368" i="40" s="1"/>
  <c r="IK337" i="40"/>
  <c r="IN337" i="40" s="1"/>
  <c r="IK311" i="40"/>
  <c r="IN311" i="40" s="1"/>
  <c r="IQ309" i="40"/>
  <c r="IO309" i="40"/>
  <c r="IO511" i="40"/>
  <c r="IP564" i="40"/>
  <c r="JF366" i="40"/>
  <c r="HM366" i="40" s="1"/>
  <c r="HP366" i="40" s="1"/>
  <c r="IO373" i="40"/>
  <c r="II319" i="40"/>
  <c r="IL319" i="40" s="1"/>
  <c r="II426" i="40"/>
  <c r="IL426" i="40" s="1"/>
  <c r="II366" i="40"/>
  <c r="IL366" i="40" s="1"/>
  <c r="JF327" i="40"/>
  <c r="HN327" i="40" s="1"/>
  <c r="HQ327" i="40" s="1"/>
  <c r="IQ368" i="40"/>
  <c r="JF355" i="40"/>
  <c r="HN355" i="40" s="1"/>
  <c r="HQ355" i="40" s="1"/>
  <c r="IK207" i="40"/>
  <c r="IN207" i="40" s="1"/>
  <c r="IK408" i="40"/>
  <c r="IN408" i="40" s="1"/>
  <c r="IQ402" i="40"/>
  <c r="IQ418" i="40"/>
  <c r="IK359" i="40"/>
  <c r="IN359" i="40" s="1"/>
  <c r="IK352" i="40"/>
  <c r="IN352" i="40" s="1"/>
  <c r="II204" i="40"/>
  <c r="IL204" i="40" s="1"/>
  <c r="IJ549" i="40"/>
  <c r="IM549" i="40" s="1"/>
  <c r="IQ541" i="40"/>
  <c r="JF522" i="40"/>
  <c r="HM522" i="40" s="1"/>
  <c r="HP522" i="40" s="1"/>
  <c r="IO315" i="40"/>
  <c r="II346" i="40"/>
  <c r="IL346" i="40" s="1"/>
  <c r="JF559" i="40"/>
  <c r="HO559" i="40" s="1"/>
  <c r="HR559" i="40" s="1"/>
  <c r="JF552" i="40"/>
  <c r="HM552" i="40" s="1"/>
  <c r="HP552" i="40" s="1"/>
  <c r="IK210" i="40"/>
  <c r="IN210" i="40" s="1"/>
  <c r="IK564" i="40"/>
  <c r="IN564" i="40" s="1"/>
  <c r="JF330" i="40"/>
  <c r="HM330" i="40" s="1"/>
  <c r="HP330" i="40" s="1"/>
  <c r="IK303" i="40"/>
  <c r="IN303" i="40" s="1"/>
  <c r="II365" i="40"/>
  <c r="IL365" i="40" s="1"/>
  <c r="IK302" i="40"/>
  <c r="IN302" i="40" s="1"/>
  <c r="IJ209" i="40"/>
  <c r="IM209" i="40" s="1"/>
  <c r="IJ201" i="40"/>
  <c r="IM201" i="40" s="1"/>
  <c r="II317" i="40"/>
  <c r="IL317" i="40" s="1"/>
  <c r="IK335" i="40"/>
  <c r="IN335" i="40" s="1"/>
  <c r="JF331" i="40"/>
  <c r="HN331" i="40" s="1"/>
  <c r="HQ331" i="40" s="1"/>
  <c r="IJ314" i="40"/>
  <c r="IM314" i="40" s="1"/>
  <c r="II509" i="40"/>
  <c r="IL509" i="40" s="1"/>
  <c r="IP364" i="40"/>
  <c r="IO416" i="40"/>
  <c r="IJ318" i="40"/>
  <c r="IM318" i="40" s="1"/>
  <c r="IK360" i="40"/>
  <c r="IN360" i="40" s="1"/>
  <c r="IQ561" i="40"/>
  <c r="IJ404" i="40"/>
  <c r="IM404" i="40" s="1"/>
  <c r="IQ302" i="40"/>
  <c r="IJ308" i="40"/>
  <c r="IM308" i="40" s="1"/>
  <c r="JF375" i="40"/>
  <c r="HN375" i="40" s="1"/>
  <c r="HQ375" i="40" s="1"/>
  <c r="IJ365" i="40"/>
  <c r="IM365" i="40" s="1"/>
  <c r="IK338" i="40"/>
  <c r="IN338" i="40" s="1"/>
  <c r="II339" i="40"/>
  <c r="IL339" i="40" s="1"/>
  <c r="IK454" i="40"/>
  <c r="IN454" i="40" s="1"/>
  <c r="IK326" i="40"/>
  <c r="IN326" i="40" s="1"/>
  <c r="IP533" i="40"/>
  <c r="IJ414" i="40"/>
  <c r="IM414" i="40" s="1"/>
  <c r="JF369" i="40"/>
  <c r="HN369" i="40" s="1"/>
  <c r="HQ369" i="40" s="1"/>
  <c r="JF315" i="40"/>
  <c r="HN315" i="40" s="1"/>
  <c r="HQ315" i="40" s="1"/>
  <c r="IQ353" i="40"/>
  <c r="JF551" i="40"/>
  <c r="HN551" i="40" s="1"/>
  <c r="HQ551" i="40" s="1"/>
  <c r="IK475" i="40"/>
  <c r="IN475" i="40" s="1"/>
  <c r="IO506" i="40"/>
  <c r="II407" i="40"/>
  <c r="IL407" i="40" s="1"/>
  <c r="IP354" i="40"/>
  <c r="II372" i="40"/>
  <c r="IL372" i="40" s="1"/>
  <c r="IQ568" i="40"/>
  <c r="JF504" i="40"/>
  <c r="HM504" i="40" s="1"/>
  <c r="HP504" i="40" s="1"/>
  <c r="IO212" i="40"/>
  <c r="IJ368" i="40"/>
  <c r="IM368" i="40" s="1"/>
  <c r="IJ360" i="40"/>
  <c r="IM360" i="40" s="1"/>
  <c r="IO558" i="40"/>
  <c r="IP414" i="40"/>
  <c r="JF542" i="40"/>
  <c r="HN542" i="40" s="1"/>
  <c r="HQ542" i="40" s="1"/>
  <c r="IQ343" i="40"/>
  <c r="II201" i="40"/>
  <c r="IL201" i="40" s="1"/>
  <c r="IQ359" i="40"/>
  <c r="IJ468" i="40"/>
  <c r="IM468" i="40" s="1"/>
  <c r="IP327" i="40"/>
  <c r="IK449" i="40"/>
  <c r="IN449" i="40" s="1"/>
  <c r="IK318" i="40"/>
  <c r="IN318" i="40" s="1"/>
  <c r="IJ310" i="40"/>
  <c r="IM310" i="40" s="1"/>
  <c r="IP542" i="40"/>
  <c r="JF335" i="40"/>
  <c r="HN335" i="40" s="1"/>
  <c r="HQ335" i="40" s="1"/>
  <c r="JF364" i="40"/>
  <c r="HO364" i="40" s="1"/>
  <c r="HR364" i="40" s="1"/>
  <c r="IK371" i="40"/>
  <c r="IN371" i="40" s="1"/>
  <c r="II361" i="40"/>
  <c r="IL361" i="40" s="1"/>
  <c r="JF356" i="40"/>
  <c r="HM356" i="40" s="1"/>
  <c r="HP356" i="40" s="1"/>
  <c r="IK512" i="40"/>
  <c r="IN512" i="40" s="1"/>
  <c r="IK339" i="40"/>
  <c r="IN339" i="40" s="1"/>
  <c r="IJ348" i="40"/>
  <c r="IM348" i="40" s="1"/>
  <c r="IJ335" i="40"/>
  <c r="IM335" i="40" s="1"/>
  <c r="JF558" i="40"/>
  <c r="HN558" i="40" s="1"/>
  <c r="HQ558" i="40" s="1"/>
  <c r="IJ207" i="40"/>
  <c r="IM207" i="40" s="1"/>
  <c r="JF431" i="40"/>
  <c r="HM431" i="40" s="1"/>
  <c r="HP431" i="40" s="1"/>
  <c r="IJ338" i="40"/>
  <c r="IM338" i="40" s="1"/>
  <c r="IO365" i="40"/>
  <c r="II358" i="40"/>
  <c r="IL358" i="40" s="1"/>
  <c r="JF467" i="40"/>
  <c r="HM467" i="40" s="1"/>
  <c r="HP467" i="40" s="1"/>
  <c r="IP537" i="40"/>
  <c r="JF536" i="40"/>
  <c r="HM536" i="40" s="1"/>
  <c r="HP536" i="40" s="1"/>
  <c r="IQ361" i="40"/>
  <c r="IK415" i="40"/>
  <c r="IN415" i="40" s="1"/>
  <c r="IO343" i="40"/>
  <c r="IK518" i="40"/>
  <c r="IN518" i="40" s="1"/>
  <c r="IP209" i="40"/>
  <c r="IO571" i="40"/>
  <c r="IJ509" i="40"/>
  <c r="IM509" i="40" s="1"/>
  <c r="IK569" i="40"/>
  <c r="IN569" i="40" s="1"/>
  <c r="IP510" i="40"/>
  <c r="IQ211" i="40"/>
  <c r="JF309" i="40"/>
  <c r="HN309" i="40" s="1"/>
  <c r="HQ309" i="40" s="1"/>
  <c r="JF312" i="40"/>
  <c r="HM312" i="40" s="1"/>
  <c r="HP312" i="40" s="1"/>
  <c r="II318" i="40"/>
  <c r="IL318" i="40" s="1"/>
  <c r="IQ565" i="40"/>
  <c r="JF306" i="40"/>
  <c r="HN306" i="40" s="1"/>
  <c r="HQ306" i="40" s="1"/>
  <c r="II321" i="40"/>
  <c r="IL321" i="40" s="1"/>
  <c r="IP418" i="40"/>
  <c r="IJ316" i="40"/>
  <c r="IM316" i="40" s="1"/>
  <c r="JF555" i="40"/>
  <c r="HN555" i="40" s="1"/>
  <c r="HQ555" i="40" s="1"/>
  <c r="II333" i="40"/>
  <c r="IL333" i="40" s="1"/>
  <c r="II329" i="40"/>
  <c r="IL329" i="40" s="1"/>
  <c r="IO533" i="40"/>
  <c r="JF413" i="40"/>
  <c r="HO413" i="40" s="1"/>
  <c r="HR413" i="40" s="1"/>
  <c r="IJ315" i="40"/>
  <c r="IM315" i="40" s="1"/>
  <c r="IP341" i="40"/>
  <c r="JF464" i="40"/>
  <c r="HN464" i="40" s="1"/>
  <c r="HQ464" i="40" s="1"/>
  <c r="JF321" i="40"/>
  <c r="HN321" i="40" s="1"/>
  <c r="HQ321" i="40" s="1"/>
  <c r="IQ526" i="40"/>
  <c r="JF363" i="40"/>
  <c r="HN363" i="40" s="1"/>
  <c r="HQ363" i="40" s="1"/>
  <c r="IK202" i="40"/>
  <c r="IN202" i="40" s="1"/>
  <c r="IJ206" i="40"/>
  <c r="IM206" i="40" s="1"/>
  <c r="II301" i="40"/>
  <c r="IL301" i="40" s="1"/>
  <c r="II336" i="40"/>
  <c r="IL336" i="40" s="1"/>
  <c r="II348" i="40"/>
  <c r="IL348" i="40" s="1"/>
  <c r="IK355" i="40"/>
  <c r="IN355" i="40" s="1"/>
  <c r="JF333" i="40"/>
  <c r="HN333" i="40" s="1"/>
  <c r="HQ333" i="40" s="1"/>
  <c r="IO553" i="40"/>
  <c r="IK357" i="40"/>
  <c r="IN357" i="40" s="1"/>
  <c r="JF538" i="40"/>
  <c r="HO538" i="40" s="1"/>
  <c r="HR538" i="40" s="1"/>
  <c r="IJ303" i="40"/>
  <c r="IM303" i="40" s="1"/>
  <c r="IQ201" i="40"/>
  <c r="JF307" i="40"/>
  <c r="HN307" i="40" s="1"/>
  <c r="HQ307" i="40" s="1"/>
  <c r="IK552" i="40"/>
  <c r="IN552" i="40" s="1"/>
  <c r="IJ542" i="40"/>
  <c r="IM542" i="40" s="1"/>
  <c r="IJ364" i="40"/>
  <c r="IM364" i="40" s="1"/>
  <c r="IJ339" i="40"/>
  <c r="IM339" i="40" s="1"/>
  <c r="IJ343" i="40"/>
  <c r="IM343" i="40" s="1"/>
  <c r="II463" i="40"/>
  <c r="IL463" i="40" s="1"/>
  <c r="II206" i="40"/>
  <c r="IL206" i="40" s="1"/>
  <c r="JF358" i="40"/>
  <c r="HN358" i="40" s="1"/>
  <c r="HQ358" i="40" s="1"/>
  <c r="II207" i="40"/>
  <c r="IL207" i="40" s="1"/>
  <c r="IK461" i="40"/>
  <c r="IN461" i="40" s="1"/>
  <c r="IK349" i="40"/>
  <c r="IN349" i="40" s="1"/>
  <c r="II328" i="40"/>
  <c r="IL328" i="40" s="1"/>
  <c r="II327" i="40"/>
  <c r="IL327" i="40" s="1"/>
  <c r="IJ351" i="40"/>
  <c r="IM351" i="40" s="1"/>
  <c r="IJ534" i="40"/>
  <c r="IM534" i="40" s="1"/>
  <c r="II326" i="40"/>
  <c r="IL326" i="40" s="1"/>
  <c r="JF332" i="40"/>
  <c r="HO332" i="40" s="1"/>
  <c r="HR332" i="40" s="1"/>
  <c r="JF509" i="40"/>
  <c r="HM509" i="40" s="1"/>
  <c r="HP509" i="40" s="1"/>
  <c r="JF339" i="40"/>
  <c r="HN339" i="40" s="1"/>
  <c r="HQ339" i="40" s="1"/>
  <c r="IJ205" i="40"/>
  <c r="IM205" i="40" s="1"/>
  <c r="IP552" i="40"/>
  <c r="IK206" i="40"/>
  <c r="IN206" i="40" s="1"/>
  <c r="II364" i="40"/>
  <c r="IL364" i="40" s="1"/>
  <c r="IK204" i="40"/>
  <c r="IN204" i="40" s="1"/>
  <c r="IK354" i="40"/>
  <c r="IN354" i="40" s="1"/>
  <c r="IK419" i="40"/>
  <c r="IN419" i="40" s="1"/>
  <c r="II205" i="40"/>
  <c r="IL205" i="40" s="1"/>
  <c r="JF359" i="40"/>
  <c r="HO359" i="40" s="1"/>
  <c r="HR359" i="40" s="1"/>
  <c r="IO520" i="40"/>
  <c r="II565" i="40"/>
  <c r="IL565" i="40" s="1"/>
  <c r="IJ355" i="40"/>
  <c r="IM355" i="40" s="1"/>
  <c r="II363" i="40"/>
  <c r="IL363" i="40" s="1"/>
  <c r="IP335" i="40"/>
  <c r="IQ560" i="40"/>
  <c r="IO354" i="40"/>
  <c r="IJ427" i="40"/>
  <c r="IM427" i="40" s="1"/>
  <c r="IJ353" i="40"/>
  <c r="IM353" i="40" s="1"/>
  <c r="JF370" i="40"/>
  <c r="HO370" i="40" s="1"/>
  <c r="HR370" i="40" s="1"/>
  <c r="IO205" i="40"/>
  <c r="II472" i="40"/>
  <c r="IL472" i="40" s="1"/>
  <c r="II210" i="40"/>
  <c r="IL210" i="40" s="1"/>
  <c r="IK542" i="40"/>
  <c r="IN542" i="40" s="1"/>
  <c r="II337" i="40"/>
  <c r="IL337" i="40" s="1"/>
  <c r="IQ403" i="40"/>
  <c r="IK522" i="40"/>
  <c r="IN522" i="40" s="1"/>
  <c r="IJ575" i="40"/>
  <c r="IM575" i="40" s="1"/>
  <c r="IK336" i="40"/>
  <c r="IN336" i="40" s="1"/>
  <c r="IP205" i="40"/>
  <c r="IQ534" i="40"/>
  <c r="II454" i="40"/>
  <c r="IL454" i="40" s="1"/>
  <c r="IQ517" i="40"/>
  <c r="IJ337" i="40"/>
  <c r="IM337" i="40" s="1"/>
  <c r="IJ328" i="40"/>
  <c r="IM328" i="40" s="1"/>
  <c r="II310" i="40"/>
  <c r="IL310" i="40" s="1"/>
  <c r="II470" i="40"/>
  <c r="IL470" i="40" s="1"/>
  <c r="JF334" i="40"/>
  <c r="HO334" i="40" s="1"/>
  <c r="HR334" i="40" s="1"/>
  <c r="IQ535" i="40"/>
  <c r="JF423" i="40"/>
  <c r="HO423" i="40" s="1"/>
  <c r="HR423" i="40" s="1"/>
  <c r="IQ516" i="40"/>
  <c r="IO524" i="40"/>
  <c r="IJ345" i="40"/>
  <c r="IM345" i="40" s="1"/>
  <c r="IJ347" i="40"/>
  <c r="IM347" i="40" s="1"/>
  <c r="IP557" i="40"/>
  <c r="IK539" i="40"/>
  <c r="IN539" i="40" s="1"/>
  <c r="IK370" i="40"/>
  <c r="IN370" i="40" s="1"/>
  <c r="JF351" i="40"/>
  <c r="HO351" i="40" s="1"/>
  <c r="HR351" i="40" s="1"/>
  <c r="IP555" i="40"/>
  <c r="IJ531" i="40"/>
  <c r="IM531" i="40" s="1"/>
  <c r="JF322" i="40"/>
  <c r="HN322" i="40" s="1"/>
  <c r="HQ322" i="40" s="1"/>
  <c r="JF329" i="40"/>
  <c r="HM329" i="40" s="1"/>
  <c r="HP329" i="40" s="1"/>
  <c r="IK362" i="40"/>
  <c r="IN362" i="40" s="1"/>
  <c r="IP315" i="40"/>
  <c r="IO357" i="40"/>
  <c r="IK205" i="40"/>
  <c r="IN205" i="40" s="1"/>
  <c r="IK208" i="40"/>
  <c r="IN208" i="40" s="1"/>
  <c r="IO333" i="40"/>
  <c r="IK561" i="40"/>
  <c r="IN561" i="40" s="1"/>
  <c r="IQ529" i="40"/>
  <c r="IJ527" i="40"/>
  <c r="IM527" i="40" s="1"/>
  <c r="II312" i="40"/>
  <c r="IL312" i="40" s="1"/>
  <c r="IK358" i="40"/>
  <c r="IN358" i="40" s="1"/>
  <c r="IP345" i="40"/>
  <c r="IJ363" i="40"/>
  <c r="IM363" i="40" s="1"/>
  <c r="II345" i="40"/>
  <c r="IL345" i="40" s="1"/>
  <c r="IJ323" i="40"/>
  <c r="IM323" i="40" s="1"/>
  <c r="IJ349" i="40"/>
  <c r="IM349" i="40" s="1"/>
  <c r="II352" i="40"/>
  <c r="IL352" i="40" s="1"/>
  <c r="IJ320" i="40"/>
  <c r="IM320" i="40" s="1"/>
  <c r="IJ203" i="40"/>
  <c r="IM203" i="40" s="1"/>
  <c r="IK313" i="40"/>
  <c r="IN313" i="40" s="1"/>
  <c r="JF337" i="40"/>
  <c r="HO337" i="40" s="1"/>
  <c r="HR337" i="40" s="1"/>
  <c r="II367" i="40"/>
  <c r="IL367" i="40" s="1"/>
  <c r="IK333" i="40"/>
  <c r="IN333" i="40" s="1"/>
  <c r="IJ330" i="40"/>
  <c r="IM330" i="40" s="1"/>
  <c r="II344" i="40"/>
  <c r="IL344" i="40" s="1"/>
  <c r="IJ322" i="40"/>
  <c r="IM322" i="40" s="1"/>
  <c r="IK317" i="40"/>
  <c r="IN317" i="40" s="1"/>
  <c r="IP305" i="40"/>
  <c r="IO203" i="40"/>
  <c r="JF534" i="40"/>
  <c r="HN534" i="40" s="1"/>
  <c r="HQ534" i="40" s="1"/>
  <c r="II354" i="40"/>
  <c r="IL354" i="40" s="1"/>
  <c r="II341" i="40"/>
  <c r="IL341" i="40" s="1"/>
  <c r="II445" i="40"/>
  <c r="IL445" i="40" s="1"/>
  <c r="IK366" i="40"/>
  <c r="IN366" i="40" s="1"/>
  <c r="JF532" i="40"/>
  <c r="HM532" i="40" s="1"/>
  <c r="HP532" i="40" s="1"/>
  <c r="IK566" i="40"/>
  <c r="IN566" i="40" s="1"/>
  <c r="IK369" i="40"/>
  <c r="IN369" i="40" s="1"/>
  <c r="IP574" i="40"/>
  <c r="IQ350" i="40"/>
  <c r="JF301" i="40"/>
  <c r="HM301" i="40" s="1"/>
  <c r="HP301" i="40" s="1"/>
  <c r="IJ305" i="40"/>
  <c r="IM305" i="40" s="1"/>
  <c r="JF350" i="40"/>
  <c r="HO350" i="40" s="1"/>
  <c r="HR350" i="40" s="1"/>
  <c r="II307" i="40"/>
  <c r="IL307" i="40" s="1"/>
  <c r="IJ210" i="40"/>
  <c r="IM210" i="40" s="1"/>
  <c r="II202" i="40"/>
  <c r="IL202" i="40" s="1"/>
  <c r="IP527" i="40"/>
  <c r="HM364" i="40"/>
  <c r="HP364" i="40" s="1"/>
  <c r="IO529" i="40"/>
  <c r="IJ538" i="40"/>
  <c r="IM538" i="40" s="1"/>
  <c r="JF563" i="40"/>
  <c r="HM563" i="40" s="1"/>
  <c r="HP563" i="40" s="1"/>
  <c r="IJ333" i="40"/>
  <c r="IM333" i="40" s="1"/>
  <c r="II523" i="40"/>
  <c r="IL523" i="40" s="1"/>
  <c r="II561" i="40"/>
  <c r="IL561" i="40" s="1"/>
  <c r="IK374" i="40"/>
  <c r="IN374" i="40" s="1"/>
  <c r="IJ574" i="40"/>
  <c r="IM574" i="40" s="1"/>
  <c r="IP421" i="40"/>
  <c r="JF572" i="40"/>
  <c r="HN572" i="40" s="1"/>
  <c r="HQ572" i="40" s="1"/>
  <c r="JF336" i="40"/>
  <c r="HM336" i="40" s="1"/>
  <c r="HP336" i="40" s="1"/>
  <c r="II342" i="40"/>
  <c r="IL342" i="40" s="1"/>
  <c r="IJ565" i="40"/>
  <c r="IM565" i="40" s="1"/>
  <c r="II309" i="40"/>
  <c r="IL309" i="40" s="1"/>
  <c r="JF354" i="40"/>
  <c r="HO354" i="40" s="1"/>
  <c r="HR354" i="40" s="1"/>
  <c r="IQ337" i="40"/>
  <c r="II322" i="40"/>
  <c r="IL322" i="40" s="1"/>
  <c r="JF320" i="40"/>
  <c r="HN320" i="40" s="1"/>
  <c r="HQ320" i="40" s="1"/>
  <c r="IJ366" i="40"/>
  <c r="IM366" i="40" s="1"/>
  <c r="JF439" i="40"/>
  <c r="HN439" i="40" s="1"/>
  <c r="HQ439" i="40" s="1"/>
  <c r="IJ374" i="40"/>
  <c r="IM374" i="40" s="1"/>
  <c r="IK341" i="40"/>
  <c r="IN341" i="40" s="1"/>
  <c r="JF338" i="40"/>
  <c r="HM338" i="40" s="1"/>
  <c r="HP338" i="40" s="1"/>
  <c r="II331" i="40"/>
  <c r="IL331" i="40" s="1"/>
  <c r="JF208" i="40"/>
  <c r="HN208" i="40" s="1"/>
  <c r="II330" i="40"/>
  <c r="IL330" i="40" s="1"/>
  <c r="IO510" i="40"/>
  <c r="II505" i="40"/>
  <c r="IL505" i="40" s="1"/>
  <c r="JF435" i="40"/>
  <c r="HN435" i="40" s="1"/>
  <c r="HQ435" i="40" s="1"/>
  <c r="JF535" i="40"/>
  <c r="HN535" i="40" s="1"/>
  <c r="HQ535" i="40" s="1"/>
  <c r="IJ371" i="40"/>
  <c r="IM371" i="40" s="1"/>
  <c r="JF318" i="40"/>
  <c r="HO318" i="40" s="1"/>
  <c r="HR318" i="40" s="1"/>
  <c r="IJ569" i="40"/>
  <c r="IM569" i="40" s="1"/>
  <c r="IO355" i="40"/>
  <c r="IJ419" i="40"/>
  <c r="IM419" i="40" s="1"/>
  <c r="JF311" i="40"/>
  <c r="HN311" i="40" s="1"/>
  <c r="HQ311" i="40" s="1"/>
  <c r="II368" i="40"/>
  <c r="IL368" i="40" s="1"/>
  <c r="IJ453" i="40"/>
  <c r="IM453" i="40" s="1"/>
  <c r="JF360" i="40"/>
  <c r="HN360" i="40" s="1"/>
  <c r="HQ360" i="40" s="1"/>
  <c r="IJ370" i="40"/>
  <c r="IM370" i="40" s="1"/>
  <c r="JF207" i="40"/>
  <c r="HM207" i="40" s="1"/>
  <c r="IJ372" i="40"/>
  <c r="IM372" i="40" s="1"/>
  <c r="IP517" i="40"/>
  <c r="IK320" i="40"/>
  <c r="IN320" i="40" s="1"/>
  <c r="II308" i="40"/>
  <c r="IL308" i="40" s="1"/>
  <c r="JF201" i="40"/>
  <c r="HM201" i="40" s="1"/>
  <c r="IJ405" i="40"/>
  <c r="IM405" i="40" s="1"/>
  <c r="IK325" i="40"/>
  <c r="IN325" i="40" s="1"/>
  <c r="JF372" i="40"/>
  <c r="HM372" i="40" s="1"/>
  <c r="HP372" i="40" s="1"/>
  <c r="IQ505" i="40"/>
  <c r="JF549" i="40"/>
  <c r="HN549" i="40" s="1"/>
  <c r="HQ549" i="40" s="1"/>
  <c r="IK305" i="40"/>
  <c r="IN305" i="40" s="1"/>
  <c r="II370" i="40"/>
  <c r="IL370" i="40" s="1"/>
  <c r="IP523" i="40"/>
  <c r="IK413" i="40"/>
  <c r="IN413" i="40" s="1"/>
  <c r="IQ339" i="40"/>
  <c r="JF203" i="40"/>
  <c r="HM203" i="40" s="1"/>
  <c r="JF367" i="40"/>
  <c r="HM367" i="40" s="1"/>
  <c r="HP367" i="40" s="1"/>
  <c r="JF469" i="40"/>
  <c r="HN469" i="40" s="1"/>
  <c r="HQ469" i="40" s="1"/>
  <c r="IK322" i="40"/>
  <c r="IN322" i="40" s="1"/>
  <c r="IO517" i="40"/>
  <c r="II458" i="40"/>
  <c r="IL458" i="40" s="1"/>
  <c r="IK356" i="40"/>
  <c r="IN356" i="40" s="1"/>
  <c r="II437" i="40"/>
  <c r="IL437" i="40" s="1"/>
  <c r="JF353" i="40"/>
  <c r="HM353" i="40" s="1"/>
  <c r="HP353" i="40" s="1"/>
  <c r="IK314" i="40"/>
  <c r="IN314" i="40" s="1"/>
  <c r="II450" i="40"/>
  <c r="IL450" i="40" s="1"/>
  <c r="IP356" i="40"/>
  <c r="IK201" i="40"/>
  <c r="IN201" i="40" s="1"/>
  <c r="IO210" i="40"/>
  <c r="IJ433" i="40"/>
  <c r="IM433" i="40" s="1"/>
  <c r="IK364" i="40"/>
  <c r="IN364" i="40" s="1"/>
  <c r="II421" i="40"/>
  <c r="IL421" i="40" s="1"/>
  <c r="IK310" i="40"/>
  <c r="IN310" i="40" s="1"/>
  <c r="JF547" i="40"/>
  <c r="HN547" i="40" s="1"/>
  <c r="HQ547" i="40" s="1"/>
  <c r="II371" i="40"/>
  <c r="IL371" i="40" s="1"/>
  <c r="IJ324" i="40"/>
  <c r="IM324" i="40" s="1"/>
  <c r="II306" i="40"/>
  <c r="IL306" i="40" s="1"/>
  <c r="IO560" i="40"/>
  <c r="IJ341" i="40"/>
  <c r="IM341" i="40" s="1"/>
  <c r="IP210" i="40"/>
  <c r="IK372" i="40"/>
  <c r="IN372" i="40" s="1"/>
  <c r="II209" i="40"/>
  <c r="IL209" i="40" s="1"/>
  <c r="IJ319" i="40"/>
  <c r="IM319" i="40" s="1"/>
  <c r="IJ336" i="40"/>
  <c r="IM336" i="40" s="1"/>
  <c r="JF349" i="40"/>
  <c r="HN349" i="40" s="1"/>
  <c r="HQ349" i="40" s="1"/>
  <c r="IJ375" i="40"/>
  <c r="IM375" i="40" s="1"/>
  <c r="JF447" i="40"/>
  <c r="HN447" i="40" s="1"/>
  <c r="HQ447" i="40" s="1"/>
  <c r="II442" i="40"/>
  <c r="IL442" i="40" s="1"/>
  <c r="IK321" i="40"/>
  <c r="IN321" i="40" s="1"/>
  <c r="IJ208" i="40"/>
  <c r="IM208" i="40" s="1"/>
  <c r="IO316" i="40"/>
  <c r="II373" i="40"/>
  <c r="IL373" i="40" s="1"/>
  <c r="IQ408" i="40"/>
  <c r="II452" i="40"/>
  <c r="IL452" i="40" s="1"/>
  <c r="IQ371" i="40"/>
  <c r="JF206" i="40"/>
  <c r="HN206" i="40" s="1"/>
  <c r="II320" i="40"/>
  <c r="IL320" i="40" s="1"/>
  <c r="IJ344" i="40"/>
  <c r="IM344" i="40" s="1"/>
  <c r="IO415" i="40"/>
  <c r="IK367" i="40"/>
  <c r="IN367" i="40" s="1"/>
  <c r="IK334" i="40"/>
  <c r="IN334" i="40" s="1"/>
  <c r="IK346" i="40"/>
  <c r="IN346" i="40" s="1"/>
  <c r="IO521" i="40"/>
  <c r="JF202" i="40"/>
  <c r="HN202" i="40" s="1"/>
  <c r="II203" i="40"/>
  <c r="IL203" i="40" s="1"/>
  <c r="IO408" i="40"/>
  <c r="JF444" i="40"/>
  <c r="HN444" i="40" s="1"/>
  <c r="HQ444" i="40" s="1"/>
  <c r="JF342" i="40"/>
  <c r="HM342" i="40" s="1"/>
  <c r="HP342" i="40" s="1"/>
  <c r="JF346" i="40"/>
  <c r="HO346" i="40" s="1"/>
  <c r="HR346" i="40" s="1"/>
  <c r="JF305" i="40"/>
  <c r="HM305" i="40" s="1"/>
  <c r="HP305" i="40" s="1"/>
  <c r="JF514" i="40"/>
  <c r="HN514" i="40" s="1"/>
  <c r="HQ514" i="40" s="1"/>
  <c r="IP329" i="40"/>
  <c r="IK353" i="40"/>
  <c r="IN353" i="40" s="1"/>
  <c r="IJ340" i="40"/>
  <c r="IM340" i="40" s="1"/>
  <c r="IK457" i="40"/>
  <c r="IN457" i="40" s="1"/>
  <c r="IJ572" i="40"/>
  <c r="IM572" i="40" s="1"/>
  <c r="IK327" i="40"/>
  <c r="IN327" i="40" s="1"/>
  <c r="IQ348" i="40"/>
  <c r="JF440" i="40"/>
  <c r="HO440" i="40" s="1"/>
  <c r="HR440" i="40" s="1"/>
  <c r="IP504" i="40"/>
  <c r="JF361" i="40"/>
  <c r="HM361" i="40" s="1"/>
  <c r="HP361" i="40" s="1"/>
  <c r="IK575" i="40"/>
  <c r="IN575" i="40" s="1"/>
  <c r="IO332" i="40"/>
  <c r="II516" i="40"/>
  <c r="IL516" i="40" s="1"/>
  <c r="IK324" i="40"/>
  <c r="IN324" i="40" s="1"/>
  <c r="IK471" i="40"/>
  <c r="IN471" i="40" s="1"/>
  <c r="IK466" i="40"/>
  <c r="IN466" i="40" s="1"/>
  <c r="IJ350" i="40"/>
  <c r="IM350" i="40" s="1"/>
  <c r="IJ306" i="40"/>
  <c r="IM306" i="40" s="1"/>
  <c r="IJ325" i="40"/>
  <c r="IM325" i="40" s="1"/>
  <c r="IJ309" i="40"/>
  <c r="IM309" i="40" s="1"/>
  <c r="IJ463" i="40"/>
  <c r="IM463" i="40" s="1"/>
  <c r="IP372" i="40"/>
  <c r="JF303" i="40"/>
  <c r="HN303" i="40" s="1"/>
  <c r="HQ303" i="40" s="1"/>
  <c r="IJ554" i="40"/>
  <c r="IM554" i="40" s="1"/>
  <c r="IO405" i="40"/>
  <c r="JF540" i="40"/>
  <c r="HO540" i="40" s="1"/>
  <c r="HR540" i="40" s="1"/>
  <c r="JF343" i="40"/>
  <c r="HO343" i="40" s="1"/>
  <c r="HR343" i="40" s="1"/>
  <c r="IJ441" i="40"/>
  <c r="IM441" i="40" s="1"/>
  <c r="IP568" i="40"/>
  <c r="IP351" i="40"/>
  <c r="JF316" i="40"/>
  <c r="HO316" i="40" s="1"/>
  <c r="HR316" i="40" s="1"/>
  <c r="IO412" i="40"/>
  <c r="JF512" i="40"/>
  <c r="HN512" i="40" s="1"/>
  <c r="HQ512" i="40" s="1"/>
  <c r="HO361" i="40"/>
  <c r="HR361" i="40" s="1"/>
  <c r="II340" i="40"/>
  <c r="IL340" i="40" s="1"/>
  <c r="JF210" i="40"/>
  <c r="HN210" i="40" s="1"/>
  <c r="IP575" i="40"/>
  <c r="IJ331" i="40"/>
  <c r="IM331" i="40" s="1"/>
  <c r="IP401" i="40"/>
  <c r="II313" i="40"/>
  <c r="IL313" i="40" s="1"/>
  <c r="II315" i="40"/>
  <c r="IL315" i="40" s="1"/>
  <c r="IQ522" i="40"/>
  <c r="JF357" i="40"/>
  <c r="HN357" i="40" s="1"/>
  <c r="HQ357" i="40" s="1"/>
  <c r="JF302" i="40"/>
  <c r="HO302" i="40" s="1"/>
  <c r="HR302" i="40" s="1"/>
  <c r="IJ307" i="40"/>
  <c r="IM307" i="40" s="1"/>
  <c r="IK342" i="40"/>
  <c r="IN342" i="40" s="1"/>
  <c r="IP547" i="40"/>
  <c r="II429" i="40"/>
  <c r="IL429" i="40" s="1"/>
  <c r="IJ304" i="40"/>
  <c r="IM304" i="40" s="1"/>
  <c r="JF506" i="40"/>
  <c r="HM506" i="40" s="1"/>
  <c r="HP506" i="40" s="1"/>
  <c r="IO369" i="40"/>
  <c r="IK307" i="40"/>
  <c r="IN307" i="40" s="1"/>
  <c r="IK345" i="40"/>
  <c r="IN345" i="40" s="1"/>
  <c r="IO352" i="40"/>
  <c r="IP206" i="40"/>
  <c r="IP511" i="40"/>
  <c r="IK329" i="40"/>
  <c r="IN329" i="40" s="1"/>
  <c r="IJ561" i="40"/>
  <c r="IM561" i="40" s="1"/>
  <c r="IP417" i="40"/>
  <c r="JF455" i="40"/>
  <c r="HM455" i="40" s="1"/>
  <c r="HP455" i="40" s="1"/>
  <c r="JF403" i="40"/>
  <c r="HM403" i="40" s="1"/>
  <c r="HP403" i="40" s="1"/>
  <c r="II420" i="40"/>
  <c r="IL420" i="40" s="1"/>
  <c r="IO211" i="40"/>
  <c r="IJ369" i="40"/>
  <c r="IM369" i="40" s="1"/>
  <c r="IP572" i="40"/>
  <c r="IJ521" i="40"/>
  <c r="IM521" i="40" s="1"/>
  <c r="II334" i="40"/>
  <c r="IL334" i="40" s="1"/>
  <c r="IJ512" i="40"/>
  <c r="IM512" i="40" s="1"/>
  <c r="IO321" i="40"/>
  <c r="IJ431" i="40"/>
  <c r="IM431" i="40" s="1"/>
  <c r="IO359" i="40"/>
  <c r="IO334" i="40"/>
  <c r="IJ503" i="40"/>
  <c r="IM503" i="40" s="1"/>
  <c r="JF564" i="40"/>
  <c r="HM564" i="40" s="1"/>
  <c r="HP564" i="40" s="1"/>
  <c r="II416" i="40"/>
  <c r="IL416" i="40" s="1"/>
  <c r="IO327" i="40"/>
  <c r="JF437" i="40"/>
  <c r="HN437" i="40" s="1"/>
  <c r="HQ437" i="40" s="1"/>
  <c r="IO330" i="40"/>
  <c r="IJ559" i="40"/>
  <c r="IM559" i="40" s="1"/>
  <c r="IK308" i="40"/>
  <c r="IN308" i="40" s="1"/>
  <c r="IQ363" i="40"/>
  <c r="IP338" i="40"/>
  <c r="IJ422" i="40"/>
  <c r="IM422" i="40" s="1"/>
  <c r="IO556" i="40"/>
  <c r="IK550" i="40"/>
  <c r="IN550" i="40" s="1"/>
  <c r="IQ518" i="40"/>
  <c r="II369" i="40"/>
  <c r="IL369" i="40" s="1"/>
  <c r="IK441" i="40"/>
  <c r="IN441" i="40" s="1"/>
  <c r="IQ352" i="40"/>
  <c r="II541" i="40"/>
  <c r="IL541" i="40" s="1"/>
  <c r="IP543" i="40"/>
  <c r="II548" i="40"/>
  <c r="IL548" i="40" s="1"/>
  <c r="JF341" i="40"/>
  <c r="HN341" i="40" s="1"/>
  <c r="HQ341" i="40" s="1"/>
  <c r="II562" i="40"/>
  <c r="IL562" i="40" s="1"/>
  <c r="IK519" i="40"/>
  <c r="IN519" i="40" s="1"/>
  <c r="JF475" i="40"/>
  <c r="HN475" i="40" s="1"/>
  <c r="HQ475" i="40" s="1"/>
  <c r="IO318" i="40"/>
  <c r="IK515" i="40"/>
  <c r="IN515" i="40" s="1"/>
  <c r="JF463" i="40"/>
  <c r="HN463" i="40" s="1"/>
  <c r="HQ463" i="40" s="1"/>
  <c r="JF406" i="40"/>
  <c r="HM406" i="40" s="1"/>
  <c r="HP406" i="40" s="1"/>
  <c r="IP212" i="40"/>
  <c r="IQ413" i="40"/>
  <c r="IK510" i="40"/>
  <c r="IN510" i="40" s="1"/>
  <c r="IO507" i="40"/>
  <c r="IQ559" i="40"/>
  <c r="IK557" i="40"/>
  <c r="IN557" i="40" s="1"/>
  <c r="IJ504" i="40"/>
  <c r="IM504" i="40" s="1"/>
  <c r="IJ313" i="40"/>
  <c r="IM313" i="40" s="1"/>
  <c r="JF567" i="40"/>
  <c r="HO567" i="40" s="1"/>
  <c r="HR567" i="40" s="1"/>
  <c r="IJ519" i="40"/>
  <c r="IM519" i="40" s="1"/>
  <c r="IK430" i="40"/>
  <c r="IN430" i="40" s="1"/>
  <c r="IP208" i="40"/>
  <c r="IQ528" i="40"/>
  <c r="IQ553" i="40"/>
  <c r="IQ206" i="40"/>
  <c r="II575" i="40"/>
  <c r="IL575" i="40" s="1"/>
  <c r="JF409" i="40"/>
  <c r="HN409" i="40" s="1"/>
  <c r="HQ409" i="40" s="1"/>
  <c r="IJ435" i="40"/>
  <c r="IM435" i="40" s="1"/>
  <c r="IQ401" i="40"/>
  <c r="IJ448" i="40"/>
  <c r="IM448" i="40" s="1"/>
  <c r="IK563" i="40"/>
  <c r="IN563" i="40" s="1"/>
  <c r="II521" i="40"/>
  <c r="IL521" i="40" s="1"/>
  <c r="IO325" i="40"/>
  <c r="II514" i="40"/>
  <c r="IL514" i="40" s="1"/>
  <c r="IP538" i="40"/>
  <c r="JF529" i="40"/>
  <c r="HN529" i="40" s="1"/>
  <c r="HQ529" i="40" s="1"/>
  <c r="IJ326" i="40"/>
  <c r="IM326" i="40" s="1"/>
  <c r="IK451" i="40"/>
  <c r="IN451" i="40" s="1"/>
  <c r="IO544" i="40"/>
  <c r="II537" i="40"/>
  <c r="IL537" i="40" s="1"/>
  <c r="JF548" i="40"/>
  <c r="HM548" i="40" s="1"/>
  <c r="HP548" i="40" s="1"/>
  <c r="IJ434" i="40"/>
  <c r="IM434" i="40" s="1"/>
  <c r="IQ416" i="40"/>
  <c r="IJ436" i="40"/>
  <c r="IM436" i="40" s="1"/>
  <c r="IJ301" i="40"/>
  <c r="IM301" i="40" s="1"/>
  <c r="IO549" i="40"/>
  <c r="JF328" i="40"/>
  <c r="HN328" i="40" s="1"/>
  <c r="HQ328" i="40" s="1"/>
  <c r="JF412" i="40"/>
  <c r="HN412" i="40" s="1"/>
  <c r="HQ412" i="40" s="1"/>
  <c r="IO548" i="40"/>
  <c r="JF405" i="40"/>
  <c r="HN405" i="40" s="1"/>
  <c r="HQ405" i="40" s="1"/>
  <c r="IP346" i="40"/>
  <c r="II422" i="40"/>
  <c r="IL422" i="40" s="1"/>
  <c r="IO311" i="40"/>
  <c r="IK301" i="40"/>
  <c r="IN301" i="40" s="1"/>
  <c r="IJ548" i="40"/>
  <c r="IM548" i="40" s="1"/>
  <c r="IP328" i="40"/>
  <c r="II568" i="40"/>
  <c r="IL568" i="40" s="1"/>
  <c r="IP371" i="40"/>
  <c r="IK414" i="40"/>
  <c r="IN414" i="40" s="1"/>
  <c r="IP321" i="40"/>
  <c r="JF371" i="40"/>
  <c r="HO371" i="40" s="1"/>
  <c r="HR371" i="40" s="1"/>
  <c r="IK545" i="40"/>
  <c r="IN545" i="40" s="1"/>
  <c r="IK405" i="40"/>
  <c r="IN405" i="40" s="1"/>
  <c r="IK458" i="40"/>
  <c r="IN458" i="40" s="1"/>
  <c r="IJ440" i="40"/>
  <c r="IM440" i="40" s="1"/>
  <c r="IK456" i="40"/>
  <c r="IN456" i="40" s="1"/>
  <c r="II411" i="40"/>
  <c r="IL411" i="40" s="1"/>
  <c r="JF374" i="40"/>
  <c r="HM374" i="40" s="1"/>
  <c r="HP374" i="40" s="1"/>
  <c r="IO569" i="40"/>
  <c r="JF419" i="40"/>
  <c r="HO419" i="40" s="1"/>
  <c r="HR419" i="40" s="1"/>
  <c r="IJ518" i="40"/>
  <c r="IM518" i="40" s="1"/>
  <c r="IP362" i="40"/>
  <c r="IP562" i="40"/>
  <c r="IJ517" i="40"/>
  <c r="IM517" i="40" s="1"/>
  <c r="IK422" i="40"/>
  <c r="IN422" i="40" s="1"/>
  <c r="IQ315" i="40"/>
  <c r="IP373" i="40"/>
  <c r="IK460" i="40"/>
  <c r="IN460" i="40" s="1"/>
  <c r="JF457" i="40"/>
  <c r="HM457" i="40" s="1"/>
  <c r="HP457" i="40" s="1"/>
  <c r="IP304" i="40"/>
  <c r="IP368" i="40"/>
  <c r="IO207" i="40"/>
  <c r="JF537" i="40"/>
  <c r="HN537" i="40" s="1"/>
  <c r="HQ537" i="40" s="1"/>
  <c r="IP413" i="40"/>
  <c r="II338" i="40"/>
  <c r="IL338" i="40" s="1"/>
  <c r="II325" i="40"/>
  <c r="IL325" i="40" s="1"/>
  <c r="II569" i="40"/>
  <c r="IL569" i="40" s="1"/>
  <c r="IJ439" i="40"/>
  <c r="IM439" i="40" s="1"/>
  <c r="IP522" i="40"/>
  <c r="JF521" i="40"/>
  <c r="HO521" i="40" s="1"/>
  <c r="HR521" i="40" s="1"/>
  <c r="IO358" i="40"/>
  <c r="IK453" i="40"/>
  <c r="IN453" i="40" s="1"/>
  <c r="IQ304" i="40"/>
  <c r="II460" i="40"/>
  <c r="IL460" i="40" s="1"/>
  <c r="IP546" i="40"/>
  <c r="IK537" i="40"/>
  <c r="IN537" i="40" s="1"/>
  <c r="II530" i="40"/>
  <c r="IL530" i="40" s="1"/>
  <c r="IQ335" i="40"/>
  <c r="IP203" i="40"/>
  <c r="II302" i="40"/>
  <c r="IL302" i="40" s="1"/>
  <c r="IJ359" i="40"/>
  <c r="IM359" i="40" s="1"/>
  <c r="JF449" i="40"/>
  <c r="HO449" i="40" s="1"/>
  <c r="HR449" i="40" s="1"/>
  <c r="II511" i="40"/>
  <c r="IL511" i="40" s="1"/>
  <c r="JF501" i="40"/>
  <c r="HN501" i="40" s="1"/>
  <c r="HQ501" i="40" s="1"/>
  <c r="IQ306" i="40"/>
  <c r="IP544" i="40"/>
  <c r="IO504" i="40"/>
  <c r="IJ544" i="40"/>
  <c r="IM544" i="40" s="1"/>
  <c r="IO372" i="40"/>
  <c r="IJ529" i="40"/>
  <c r="IM529" i="40" s="1"/>
  <c r="IQ330" i="40"/>
  <c r="IQ331" i="40"/>
  <c r="IO303" i="40"/>
  <c r="IQ556" i="40"/>
  <c r="JF543" i="40"/>
  <c r="HN543" i="40" s="1"/>
  <c r="HQ543" i="40" s="1"/>
  <c r="IK375" i="40"/>
  <c r="IN375" i="40" s="1"/>
  <c r="IJ543" i="40"/>
  <c r="IM543" i="40" s="1"/>
  <c r="JF471" i="40"/>
  <c r="HN471" i="40" s="1"/>
  <c r="HQ471" i="40" s="1"/>
  <c r="IJ429" i="40"/>
  <c r="IM429" i="40" s="1"/>
  <c r="IO562" i="40"/>
  <c r="IQ503" i="40"/>
  <c r="II357" i="40"/>
  <c r="IL357" i="40" s="1"/>
  <c r="IJ403" i="40"/>
  <c r="IM403" i="40" s="1"/>
  <c r="IJ354" i="40"/>
  <c r="IM354" i="40" s="1"/>
  <c r="IQ404" i="40"/>
  <c r="IK412" i="40"/>
  <c r="IN412" i="40" s="1"/>
  <c r="IP317" i="40"/>
  <c r="IK373" i="40"/>
  <c r="IN373" i="40" s="1"/>
  <c r="IK315" i="40"/>
  <c r="IN315" i="40" s="1"/>
  <c r="IK528" i="40"/>
  <c r="IN528" i="40" s="1"/>
  <c r="JF438" i="40"/>
  <c r="HN438" i="40" s="1"/>
  <c r="HQ438" i="40" s="1"/>
  <c r="IP365" i="40"/>
  <c r="IJ507" i="40"/>
  <c r="IM507" i="40" s="1"/>
  <c r="JF553" i="40"/>
  <c r="HN553" i="40" s="1"/>
  <c r="HQ553" i="40" s="1"/>
  <c r="IK436" i="40"/>
  <c r="IN436" i="40" s="1"/>
  <c r="IO547" i="40"/>
  <c r="IK538" i="40"/>
  <c r="IN538" i="40" s="1"/>
  <c r="IJ551" i="40"/>
  <c r="IM551" i="40" s="1"/>
  <c r="II503" i="40"/>
  <c r="IL503" i="40" s="1"/>
  <c r="IJ562" i="40"/>
  <c r="IM562" i="40" s="1"/>
  <c r="II451" i="40"/>
  <c r="IL451" i="40" s="1"/>
  <c r="IK361" i="40"/>
  <c r="IN361" i="40" s="1"/>
  <c r="IJ455" i="40"/>
  <c r="IM455" i="40" s="1"/>
  <c r="IK203" i="40"/>
  <c r="IN203" i="40" s="1"/>
  <c r="II406" i="40"/>
  <c r="IL406" i="40" s="1"/>
  <c r="IP207" i="40"/>
  <c r="IQ513" i="40"/>
  <c r="JF362" i="40"/>
  <c r="HO362" i="40" s="1"/>
  <c r="HR362" i="40" s="1"/>
  <c r="IJ421" i="40"/>
  <c r="IM421" i="40" s="1"/>
  <c r="IO411" i="40"/>
  <c r="IQ562" i="40"/>
  <c r="JF461" i="40"/>
  <c r="HM461" i="40" s="1"/>
  <c r="HP461" i="40" s="1"/>
  <c r="IP337" i="40"/>
  <c r="JF520" i="40"/>
  <c r="HN520" i="40" s="1"/>
  <c r="HQ520" i="40" s="1"/>
  <c r="IP357" i="40"/>
  <c r="II474" i="40"/>
  <c r="IL474" i="40" s="1"/>
  <c r="IK541" i="40"/>
  <c r="IN541" i="40" s="1"/>
  <c r="IK556" i="40"/>
  <c r="IN556" i="40" s="1"/>
  <c r="IO419" i="40"/>
  <c r="IK402" i="40"/>
  <c r="IN402" i="40" s="1"/>
  <c r="IP566" i="40"/>
  <c r="IP349" i="40"/>
  <c r="JF448" i="40"/>
  <c r="HO448" i="40" s="1"/>
  <c r="HR448" i="40" s="1"/>
  <c r="IK574" i="40"/>
  <c r="IN574" i="40" s="1"/>
  <c r="IK424" i="40"/>
  <c r="IN424" i="40" s="1"/>
  <c r="IP545" i="40"/>
  <c r="IK529" i="40"/>
  <c r="IN529" i="40" s="1"/>
  <c r="IO413" i="40"/>
  <c r="IJ418" i="40"/>
  <c r="IM418" i="40" s="1"/>
  <c r="IJ573" i="40"/>
  <c r="IM573" i="40" s="1"/>
  <c r="IP366" i="40"/>
  <c r="II502" i="40"/>
  <c r="IL502" i="40" s="1"/>
  <c r="JF452" i="40"/>
  <c r="HN452" i="40" s="1"/>
  <c r="HQ452" i="40" s="1"/>
  <c r="IO539" i="40"/>
  <c r="IJ508" i="40"/>
  <c r="IM508" i="40" s="1"/>
  <c r="II305" i="40"/>
  <c r="IL305" i="40" s="1"/>
  <c r="IK347" i="40"/>
  <c r="IN347" i="40" s="1"/>
  <c r="IJ413" i="40"/>
  <c r="IM413" i="40" s="1"/>
  <c r="II524" i="40"/>
  <c r="IL524" i="40" s="1"/>
  <c r="II425" i="40"/>
  <c r="IL425" i="40" s="1"/>
  <c r="IJ329" i="40"/>
  <c r="IM329" i="40" s="1"/>
  <c r="IJ465" i="40"/>
  <c r="IM465" i="40" s="1"/>
  <c r="JF344" i="40"/>
  <c r="HM344" i="40" s="1"/>
  <c r="HP344" i="40" s="1"/>
  <c r="JF417" i="40"/>
  <c r="HN417" i="40" s="1"/>
  <c r="HQ417" i="40" s="1"/>
  <c r="JF450" i="40"/>
  <c r="HN450" i="40" s="1"/>
  <c r="HQ450" i="40" s="1"/>
  <c r="IO406" i="40"/>
  <c r="IJ540" i="40"/>
  <c r="IM540" i="40" s="1"/>
  <c r="IO513" i="40"/>
  <c r="IJ352" i="40"/>
  <c r="IM352" i="40" s="1"/>
  <c r="IQ370" i="40"/>
  <c r="JF352" i="40"/>
  <c r="HM352" i="40" s="1"/>
  <c r="HP352" i="40" s="1"/>
  <c r="IK429" i="40"/>
  <c r="IN429" i="40" s="1"/>
  <c r="IJ553" i="40"/>
  <c r="IM553" i="40" s="1"/>
  <c r="IK330" i="40"/>
  <c r="IN330" i="40" s="1"/>
  <c r="JF422" i="40"/>
  <c r="HO422" i="40" s="1"/>
  <c r="HR422" i="40" s="1"/>
  <c r="IK506" i="40"/>
  <c r="IN506" i="40" s="1"/>
  <c r="IP340" i="40"/>
  <c r="IK472" i="40"/>
  <c r="IN472" i="40" s="1"/>
  <c r="II547" i="40"/>
  <c r="IL547" i="40" s="1"/>
  <c r="IK438" i="40"/>
  <c r="IN438" i="40" s="1"/>
  <c r="II404" i="40"/>
  <c r="IL404" i="40" s="1"/>
  <c r="IP202" i="40"/>
  <c r="IQ575" i="40"/>
  <c r="IK503" i="40"/>
  <c r="IN503" i="40" s="1"/>
  <c r="IO532" i="40"/>
  <c r="IO501" i="40"/>
  <c r="IK470" i="40"/>
  <c r="IN470" i="40" s="1"/>
  <c r="II571" i="40"/>
  <c r="IL571" i="40" s="1"/>
  <c r="IP369" i="40"/>
  <c r="IP541" i="40"/>
  <c r="IP407" i="40"/>
  <c r="IP521" i="40"/>
  <c r="JF518" i="40"/>
  <c r="HM518" i="40" s="1"/>
  <c r="HP518" i="40" s="1"/>
  <c r="II430" i="40"/>
  <c r="IL430" i="40" s="1"/>
  <c r="IQ313" i="40"/>
  <c r="JF519" i="40"/>
  <c r="HN519" i="40" s="1"/>
  <c r="HQ519" i="40" s="1"/>
  <c r="IK535" i="40"/>
  <c r="IN535" i="40" s="1"/>
  <c r="IO342" i="40"/>
  <c r="IK418" i="40"/>
  <c r="IN418" i="40" s="1"/>
  <c r="IQ521" i="40"/>
  <c r="II360" i="40"/>
  <c r="IL360" i="40" s="1"/>
  <c r="IO366" i="40"/>
  <c r="IJ550" i="40"/>
  <c r="IM550" i="40" s="1"/>
  <c r="IJ204" i="40"/>
  <c r="IM204" i="40" s="1"/>
  <c r="IK474" i="40"/>
  <c r="IN474" i="40" s="1"/>
  <c r="II441" i="40"/>
  <c r="IL441" i="40" s="1"/>
  <c r="JF531" i="40"/>
  <c r="HN531" i="40" s="1"/>
  <c r="HQ531" i="40" s="1"/>
  <c r="IO541" i="40"/>
  <c r="JF317" i="40"/>
  <c r="HN317" i="40" s="1"/>
  <c r="HQ317" i="40" s="1"/>
  <c r="IK348" i="40"/>
  <c r="IN348" i="40" s="1"/>
  <c r="JF425" i="40"/>
  <c r="HN425" i="40" s="1"/>
  <c r="HQ425" i="40" s="1"/>
  <c r="IQ533" i="40"/>
  <c r="II528" i="40"/>
  <c r="IL528" i="40" s="1"/>
  <c r="IO526" i="40"/>
  <c r="IO336" i="40"/>
  <c r="IK368" i="40"/>
  <c r="IN368" i="40" s="1"/>
  <c r="IK532" i="40"/>
  <c r="IN532" i="40" s="1"/>
  <c r="JF421" i="40"/>
  <c r="HO421" i="40" s="1"/>
  <c r="HR421" i="40" s="1"/>
  <c r="IQ407" i="40"/>
  <c r="JF454" i="40"/>
  <c r="HN454" i="40" s="1"/>
  <c r="HQ454" i="40" s="1"/>
  <c r="IO312" i="40"/>
  <c r="IK531" i="40"/>
  <c r="IN531" i="40" s="1"/>
  <c r="JF472" i="40"/>
  <c r="HN472" i="40" s="1"/>
  <c r="HQ472" i="40" s="1"/>
  <c r="IO206" i="40"/>
  <c r="JF517" i="40"/>
  <c r="HN517" i="40" s="1"/>
  <c r="HQ517" i="40" s="1"/>
  <c r="IO515" i="40"/>
  <c r="IK350" i="40"/>
  <c r="IN350" i="40" s="1"/>
  <c r="IK427" i="40"/>
  <c r="IN427" i="40" s="1"/>
  <c r="JF465" i="40"/>
  <c r="HM465" i="40" s="1"/>
  <c r="HP465" i="40" s="1"/>
  <c r="IK450" i="40"/>
  <c r="IN450" i="40" s="1"/>
  <c r="JF426" i="40"/>
  <c r="HM426" i="40" s="1"/>
  <c r="HP426" i="40" s="1"/>
  <c r="IP308" i="40"/>
  <c r="IJ416" i="40"/>
  <c r="IM416" i="40" s="1"/>
  <c r="IJ454" i="40"/>
  <c r="IM454" i="40" s="1"/>
  <c r="II464" i="40"/>
  <c r="IL464" i="40" s="1"/>
  <c r="IK426" i="40"/>
  <c r="IN426" i="40" s="1"/>
  <c r="IO313" i="40"/>
  <c r="JF433" i="40"/>
  <c r="HN433" i="40" s="1"/>
  <c r="HQ433" i="40" s="1"/>
  <c r="IO306" i="40"/>
  <c r="IP549" i="40"/>
  <c r="IJ424" i="40"/>
  <c r="IM424" i="40" s="1"/>
  <c r="IJ546" i="40"/>
  <c r="IM546" i="40" s="1"/>
  <c r="IP539" i="40"/>
  <c r="IK440" i="40"/>
  <c r="IN440" i="40" s="1"/>
  <c r="JF373" i="40"/>
  <c r="HN373" i="40" s="1"/>
  <c r="HQ373" i="40" s="1"/>
  <c r="JF502" i="40"/>
  <c r="HO502" i="40" s="1"/>
  <c r="HR502" i="40" s="1"/>
  <c r="IP334" i="40"/>
  <c r="IP405" i="40"/>
  <c r="IP319" i="40"/>
  <c r="IO338" i="40"/>
  <c r="IJ451" i="40"/>
  <c r="IM451" i="40" s="1"/>
  <c r="IJ449" i="40"/>
  <c r="IM449" i="40" s="1"/>
  <c r="IP532" i="40"/>
  <c r="IJ506" i="40"/>
  <c r="IM506" i="40" s="1"/>
  <c r="IK502" i="40"/>
  <c r="IN502" i="40" s="1"/>
  <c r="IP551" i="40"/>
  <c r="IJ438" i="40"/>
  <c r="IM438" i="40" s="1"/>
  <c r="IO404" i="40"/>
  <c r="IP556" i="40"/>
  <c r="II314" i="40"/>
  <c r="IL314" i="40" s="1"/>
  <c r="IJ560" i="40"/>
  <c r="IM560" i="40" s="1"/>
  <c r="JF443" i="40"/>
  <c r="HN443" i="40" s="1"/>
  <c r="HQ443" i="40" s="1"/>
  <c r="IK439" i="40"/>
  <c r="IN439" i="40" s="1"/>
  <c r="IJ311" i="40"/>
  <c r="IM311" i="40" s="1"/>
  <c r="IK464" i="40"/>
  <c r="IN464" i="40" s="1"/>
  <c r="JF523" i="40"/>
  <c r="HN523" i="40" s="1"/>
  <c r="HQ523" i="40" s="1"/>
  <c r="IO367" i="40"/>
  <c r="IP501" i="40"/>
  <c r="IQ514" i="40"/>
  <c r="IO348" i="40"/>
  <c r="II448" i="40"/>
  <c r="IL448" i="40" s="1"/>
  <c r="IQ570" i="40"/>
  <c r="IQ554" i="40"/>
  <c r="IJ547" i="40"/>
  <c r="IM547" i="40" s="1"/>
  <c r="IQ323" i="40"/>
  <c r="IO346" i="40"/>
  <c r="IQ519" i="40"/>
  <c r="IP514" i="40"/>
  <c r="IK304" i="40"/>
  <c r="IN304" i="40" s="1"/>
  <c r="IO420" i="40"/>
  <c r="IK469" i="40"/>
  <c r="IN469" i="40" s="1"/>
  <c r="JF402" i="40"/>
  <c r="HN402" i="40" s="1"/>
  <c r="HQ402" i="40" s="1"/>
  <c r="IP332" i="40"/>
  <c r="IQ319" i="40"/>
  <c r="IP519" i="40"/>
  <c r="IP571" i="40"/>
  <c r="IJ474" i="40"/>
  <c r="IM474" i="40" s="1"/>
  <c r="IQ314" i="40"/>
  <c r="IK560" i="40"/>
  <c r="IN560" i="40" s="1"/>
  <c r="IK447" i="40"/>
  <c r="IN447" i="40" s="1"/>
  <c r="II304" i="40"/>
  <c r="IL304" i="40" s="1"/>
  <c r="II453" i="40"/>
  <c r="IL453" i="40" s="1"/>
  <c r="IO512" i="40"/>
  <c r="IJ511" i="40"/>
  <c r="IM511" i="40" s="1"/>
  <c r="IO402" i="40"/>
  <c r="JF568" i="40"/>
  <c r="HM568" i="40" s="1"/>
  <c r="HP568" i="40" s="1"/>
  <c r="IJ443" i="40"/>
  <c r="IM443" i="40" s="1"/>
  <c r="IP201" i="40"/>
  <c r="IO360" i="40"/>
  <c r="IK331" i="40"/>
  <c r="IN331" i="40" s="1"/>
  <c r="IK530" i="40"/>
  <c r="IN530" i="40" s="1"/>
  <c r="IP536" i="40"/>
  <c r="IJ446" i="40"/>
  <c r="IM446" i="40" s="1"/>
  <c r="IO347" i="40"/>
  <c r="II522" i="40"/>
  <c r="IL522" i="40" s="1"/>
  <c r="IQ342" i="40"/>
  <c r="JF348" i="40"/>
  <c r="HM348" i="40" s="1"/>
  <c r="HP348" i="40" s="1"/>
  <c r="IO536" i="40"/>
  <c r="JF204" i="40"/>
  <c r="HM204" i="40" s="1"/>
  <c r="II573" i="40"/>
  <c r="IL573" i="40" s="1"/>
  <c r="IO208" i="40"/>
  <c r="II351" i="40"/>
  <c r="IL351" i="40" s="1"/>
  <c r="JF541" i="40"/>
  <c r="HN541" i="40" s="1"/>
  <c r="HQ541" i="40" s="1"/>
  <c r="IP404" i="40"/>
  <c r="IJ356" i="40"/>
  <c r="IM356" i="40" s="1"/>
  <c r="IK437" i="40"/>
  <c r="IN437" i="40" s="1"/>
  <c r="IQ555" i="40"/>
  <c r="IJ467" i="40"/>
  <c r="IM467" i="40" s="1"/>
  <c r="IO356" i="40"/>
  <c r="II343" i="40"/>
  <c r="IL343" i="40" s="1"/>
  <c r="IQ372" i="40"/>
  <c r="JF516" i="40"/>
  <c r="HO516" i="40" s="1"/>
  <c r="HR516" i="40" s="1"/>
  <c r="IO530" i="40"/>
  <c r="II532" i="40"/>
  <c r="IL532" i="40" s="1"/>
  <c r="IJ321" i="40"/>
  <c r="IM321" i="40" s="1"/>
  <c r="JF310" i="40"/>
  <c r="HN310" i="40" s="1"/>
  <c r="HQ310" i="40" s="1"/>
  <c r="IQ544" i="40"/>
  <c r="IO302" i="40"/>
  <c r="II459" i="40"/>
  <c r="IL459" i="40" s="1"/>
  <c r="IK555" i="40"/>
  <c r="IN555" i="40" s="1"/>
  <c r="JF508" i="40"/>
  <c r="HN508" i="40" s="1"/>
  <c r="HQ508" i="40" s="1"/>
  <c r="IP310" i="40"/>
  <c r="IJ412" i="40"/>
  <c r="IM412" i="40" s="1"/>
  <c r="IK421" i="40"/>
  <c r="IN421" i="40" s="1"/>
  <c r="IK572" i="40"/>
  <c r="IN572" i="40" s="1"/>
  <c r="II501" i="40"/>
  <c r="IL501" i="40" s="1"/>
  <c r="IQ520" i="40"/>
  <c r="IQ345" i="40"/>
  <c r="IQ365" i="40"/>
  <c r="IK468" i="40"/>
  <c r="IN468" i="40" s="1"/>
  <c r="II552" i="40"/>
  <c r="IL552" i="40" s="1"/>
  <c r="IJ408" i="40"/>
  <c r="IM408" i="40" s="1"/>
  <c r="IJ432" i="40"/>
  <c r="IM432" i="40" s="1"/>
  <c r="IO345" i="40"/>
  <c r="IQ410" i="40"/>
  <c r="HN431" i="40"/>
  <c r="HQ431" i="40" s="1"/>
  <c r="JF539" i="40"/>
  <c r="HN539" i="40" s="1"/>
  <c r="HQ539" i="40" s="1"/>
  <c r="IK570" i="40"/>
  <c r="IN570" i="40" s="1"/>
  <c r="JF313" i="40"/>
  <c r="HN313" i="40" s="1"/>
  <c r="HQ313" i="40" s="1"/>
  <c r="JF511" i="40"/>
  <c r="HO511" i="40" s="1"/>
  <c r="HR511" i="40" s="1"/>
  <c r="IO508" i="40"/>
  <c r="IP350" i="40"/>
  <c r="IK309" i="40"/>
  <c r="IN309" i="40" s="1"/>
  <c r="IJ401" i="40"/>
  <c r="IM401" i="40" s="1"/>
  <c r="IO353" i="40"/>
  <c r="IK444" i="40"/>
  <c r="IN444" i="40" s="1"/>
  <c r="IO305" i="40"/>
  <c r="II531" i="40"/>
  <c r="IL531" i="40" s="1"/>
  <c r="IQ508" i="40"/>
  <c r="II517" i="40"/>
  <c r="IL517" i="40" s="1"/>
  <c r="IP408" i="40"/>
  <c r="IQ542" i="40"/>
  <c r="IQ308" i="40"/>
  <c r="IO339" i="40"/>
  <c r="IP348" i="40"/>
  <c r="II208" i="40"/>
  <c r="IL208" i="40" s="1"/>
  <c r="II468" i="40"/>
  <c r="IL468" i="40" s="1"/>
  <c r="JF526" i="40"/>
  <c r="HO526" i="40" s="1"/>
  <c r="HR526" i="40" s="1"/>
  <c r="IO537" i="40"/>
  <c r="JF510" i="40"/>
  <c r="HN510" i="40" s="1"/>
  <c r="HQ510" i="40" s="1"/>
  <c r="IK209" i="40"/>
  <c r="IN209" i="40" s="1"/>
  <c r="IJ471" i="40"/>
  <c r="IM471" i="40" s="1"/>
  <c r="IP531" i="40"/>
  <c r="IP309" i="40"/>
  <c r="IJ502" i="40"/>
  <c r="IM502" i="40" s="1"/>
  <c r="II513" i="40"/>
  <c r="IL513" i="40" s="1"/>
  <c r="IP535" i="40"/>
  <c r="II572" i="40"/>
  <c r="IL572" i="40" s="1"/>
  <c r="IP409" i="40"/>
  <c r="IQ414" i="40"/>
  <c r="IQ538" i="40"/>
  <c r="JF554" i="40"/>
  <c r="HO554" i="40" s="1"/>
  <c r="HR554" i="40" s="1"/>
  <c r="IK340" i="40"/>
  <c r="IN340" i="40" s="1"/>
  <c r="IO337" i="40"/>
  <c r="II211" i="40"/>
  <c r="IL211" i="40" s="1"/>
  <c r="II375" i="40"/>
  <c r="IL375" i="40" s="1"/>
  <c r="JF474" i="40"/>
  <c r="HN474" i="40" s="1"/>
  <c r="HQ474" i="40" s="1"/>
  <c r="IQ332" i="40"/>
  <c r="II520" i="40"/>
  <c r="IL520" i="40" s="1"/>
  <c r="IP406" i="40"/>
  <c r="IJ332" i="40"/>
  <c r="IM332" i="40" s="1"/>
  <c r="IQ564" i="40"/>
  <c r="IP320" i="40"/>
  <c r="IJ202" i="40"/>
  <c r="IM202" i="40" s="1"/>
  <c r="IJ515" i="40"/>
  <c r="IM515" i="40" s="1"/>
  <c r="IO550" i="40"/>
  <c r="IP516" i="40"/>
  <c r="JF308" i="40"/>
  <c r="HO308" i="40" s="1"/>
  <c r="HR308" i="40" s="1"/>
  <c r="IJ447" i="40"/>
  <c r="IM447" i="40" s="1"/>
  <c r="IO209" i="40"/>
  <c r="IO341" i="40"/>
  <c r="IP312" i="40"/>
  <c r="IO307" i="40"/>
  <c r="IQ405" i="40"/>
  <c r="JF507" i="40"/>
  <c r="HO507" i="40" s="1"/>
  <c r="HR507" i="40" s="1"/>
  <c r="IP410" i="40"/>
  <c r="IK546" i="40"/>
  <c r="IN546" i="40" s="1"/>
  <c r="IJ406" i="40"/>
  <c r="IM406" i="40" s="1"/>
  <c r="IJ505" i="40"/>
  <c r="IM505" i="40" s="1"/>
  <c r="IJ535" i="40"/>
  <c r="IM535" i="40" s="1"/>
  <c r="IK452" i="40"/>
  <c r="IN452" i="40" s="1"/>
  <c r="IP402" i="40"/>
  <c r="IJ557" i="40"/>
  <c r="IM557" i="40" s="1"/>
  <c r="IO371" i="40"/>
  <c r="IO518" i="40"/>
  <c r="JF340" i="40"/>
  <c r="HM340" i="40" s="1"/>
  <c r="HP340" i="40" s="1"/>
  <c r="IQ355" i="40"/>
  <c r="IP569" i="40"/>
  <c r="IP318" i="40"/>
  <c r="IQ336" i="40"/>
  <c r="IP325" i="40"/>
  <c r="II303" i="40"/>
  <c r="IL303" i="40" s="1"/>
  <c r="IO573" i="40"/>
  <c r="IK363" i="40"/>
  <c r="IN363" i="40" s="1"/>
  <c r="II447" i="40"/>
  <c r="IL447" i="40" s="1"/>
  <c r="JF513" i="40"/>
  <c r="HO513" i="40" s="1"/>
  <c r="HR513" i="40" s="1"/>
  <c r="IO540" i="40"/>
  <c r="IP311" i="40"/>
  <c r="IK544" i="40"/>
  <c r="IN544" i="40" s="1"/>
  <c r="II362" i="40"/>
  <c r="IL362" i="40" s="1"/>
  <c r="II428" i="40"/>
  <c r="IL428" i="40" s="1"/>
  <c r="IQ512" i="40"/>
  <c r="JF505" i="40"/>
  <c r="HM505" i="40" s="1"/>
  <c r="HP505" i="40" s="1"/>
  <c r="IJ528" i="40"/>
  <c r="IM528" i="40" s="1"/>
  <c r="II455" i="40"/>
  <c r="IL455" i="40" s="1"/>
  <c r="JF546" i="40"/>
  <c r="HN546" i="40" s="1"/>
  <c r="HQ546" i="40" s="1"/>
  <c r="II559" i="40"/>
  <c r="IL559" i="40" s="1"/>
  <c r="II508" i="40"/>
  <c r="IL508" i="40" s="1"/>
  <c r="IP307" i="40"/>
  <c r="II506" i="40"/>
  <c r="IL506" i="40" s="1"/>
  <c r="IQ327" i="40"/>
  <c r="IO559" i="40"/>
  <c r="IQ507" i="40"/>
  <c r="II403" i="40"/>
  <c r="IL403" i="40" s="1"/>
  <c r="IQ523" i="40"/>
  <c r="II424" i="40"/>
  <c r="IL424" i="40" s="1"/>
  <c r="IO503" i="40"/>
  <c r="IP528" i="40"/>
  <c r="JF365" i="40"/>
  <c r="HN365" i="40" s="1"/>
  <c r="HQ365" i="40" s="1"/>
  <c r="IQ543" i="40"/>
  <c r="II527" i="40"/>
  <c r="IL527" i="40" s="1"/>
  <c r="IQ552" i="40"/>
  <c r="IJ533" i="40"/>
  <c r="IM533" i="40" s="1"/>
  <c r="IP301" i="40"/>
  <c r="IQ204" i="40"/>
  <c r="JF345" i="40"/>
  <c r="HM345" i="40" s="1"/>
  <c r="HP345" i="40" s="1"/>
  <c r="IQ311" i="40"/>
  <c r="IP534" i="40"/>
  <c r="IK526" i="40"/>
  <c r="IN526" i="40" s="1"/>
  <c r="IP508" i="40"/>
  <c r="IK508" i="40"/>
  <c r="IN508" i="40" s="1"/>
  <c r="IP548" i="40"/>
  <c r="II539" i="40"/>
  <c r="IL539" i="40" s="1"/>
  <c r="IK406" i="40"/>
  <c r="IN406" i="40" s="1"/>
  <c r="II465" i="40"/>
  <c r="IL465" i="40" s="1"/>
  <c r="JF470" i="40"/>
  <c r="HN470" i="40" s="1"/>
  <c r="HQ470" i="40" s="1"/>
  <c r="IP302" i="40"/>
  <c r="IK435" i="40"/>
  <c r="IN435" i="40" s="1"/>
  <c r="IJ334" i="40"/>
  <c r="IM334" i="40" s="1"/>
  <c r="JF561" i="40"/>
  <c r="HN561" i="40" s="1"/>
  <c r="HQ561" i="40" s="1"/>
  <c r="IK417" i="40"/>
  <c r="IN417" i="40" s="1"/>
  <c r="IO525" i="40"/>
  <c r="HO209" i="40"/>
  <c r="IJ510" i="40"/>
  <c r="IM510" i="40" s="1"/>
  <c r="IJ312" i="40"/>
  <c r="IM312" i="40" s="1"/>
  <c r="IJ442" i="40"/>
  <c r="IM442" i="40" s="1"/>
  <c r="II457" i="40"/>
  <c r="IL457" i="40" s="1"/>
  <c r="IK511" i="40"/>
  <c r="IN511" i="40" s="1"/>
  <c r="JF429" i="40"/>
  <c r="HO429" i="40" s="1"/>
  <c r="HR429" i="40" s="1"/>
  <c r="IQ530" i="40"/>
  <c r="IQ367" i="40"/>
  <c r="IQ209" i="40"/>
  <c r="JF424" i="40"/>
  <c r="HM424" i="40" s="1"/>
  <c r="HP424" i="40" s="1"/>
  <c r="IK513" i="40"/>
  <c r="IN513" i="40" s="1"/>
  <c r="IP512" i="40"/>
  <c r="IK410" i="40"/>
  <c r="IN410" i="40" s="1"/>
  <c r="IK533" i="40"/>
  <c r="IN533" i="40" s="1"/>
  <c r="IK567" i="40"/>
  <c r="IN567" i="40" s="1"/>
  <c r="IJ425" i="40"/>
  <c r="IM425" i="40" s="1"/>
  <c r="IO335" i="40"/>
  <c r="IK525" i="40"/>
  <c r="IN525" i="40" s="1"/>
  <c r="IQ563" i="40"/>
  <c r="II473" i="40"/>
  <c r="IL473" i="40" s="1"/>
  <c r="IQ329" i="40"/>
  <c r="JF418" i="40"/>
  <c r="HN418" i="40" s="1"/>
  <c r="HQ418" i="40" s="1"/>
  <c r="IK431" i="40"/>
  <c r="IN431" i="40" s="1"/>
  <c r="IP529" i="40"/>
  <c r="IK407" i="40"/>
  <c r="IN407" i="40" s="1"/>
  <c r="IQ525" i="40"/>
  <c r="JF415" i="40"/>
  <c r="HN415" i="40" s="1"/>
  <c r="HQ415" i="40" s="1"/>
  <c r="IJ568" i="40"/>
  <c r="IM568" i="40" s="1"/>
  <c r="JF456" i="40"/>
  <c r="HN456" i="40" s="1"/>
  <c r="HQ456" i="40" s="1"/>
  <c r="IJ362" i="40"/>
  <c r="IM362" i="40" s="1"/>
  <c r="IJ472" i="40"/>
  <c r="IM472" i="40" s="1"/>
  <c r="IJ420" i="40"/>
  <c r="IM420" i="40" s="1"/>
  <c r="II563" i="40"/>
  <c r="IL563" i="40" s="1"/>
  <c r="II413" i="40"/>
  <c r="IL413" i="40" s="1"/>
  <c r="IJ522" i="40"/>
  <c r="IM522" i="40" s="1"/>
  <c r="II553" i="40"/>
  <c r="IL553" i="40" s="1"/>
  <c r="JF468" i="40"/>
  <c r="HN468" i="40" s="1"/>
  <c r="HQ468" i="40" s="1"/>
  <c r="IK571" i="40"/>
  <c r="IN571" i="40" s="1"/>
  <c r="IQ531" i="40"/>
  <c r="IQ203" i="40"/>
  <c r="IQ411" i="40"/>
  <c r="IJ464" i="40"/>
  <c r="IM464" i="40" s="1"/>
  <c r="II526" i="40"/>
  <c r="IL526" i="40" s="1"/>
  <c r="IK547" i="40"/>
  <c r="IN547" i="40" s="1"/>
  <c r="IK540" i="40"/>
  <c r="IN540" i="40" s="1"/>
  <c r="IK428" i="40"/>
  <c r="IN428" i="40" s="1"/>
  <c r="IQ419" i="40"/>
  <c r="IP561" i="40"/>
  <c r="IQ207" i="40"/>
  <c r="IQ362" i="40"/>
  <c r="IP570" i="40"/>
  <c r="IK559" i="40"/>
  <c r="IN559" i="40" s="1"/>
  <c r="IK445" i="40"/>
  <c r="IN445" i="40" s="1"/>
  <c r="JF304" i="40"/>
  <c r="HN304" i="40" s="1"/>
  <c r="HQ304" i="40" s="1"/>
  <c r="IK568" i="40"/>
  <c r="IN568" i="40" s="1"/>
  <c r="IK473" i="40"/>
  <c r="IN473" i="40" s="1"/>
  <c r="II515" i="40"/>
  <c r="IL515" i="40" s="1"/>
  <c r="IK501" i="40"/>
  <c r="IN501" i="40" s="1"/>
  <c r="II446" i="40"/>
  <c r="IL446" i="40" s="1"/>
  <c r="IK344" i="40"/>
  <c r="IN344" i="40" s="1"/>
  <c r="HO331" i="40"/>
  <c r="HR331" i="40" s="1"/>
  <c r="IO403" i="40"/>
  <c r="JF319" i="40"/>
  <c r="HN319" i="40" s="1"/>
  <c r="HQ319" i="40" s="1"/>
  <c r="IK534" i="40"/>
  <c r="IN534" i="40" s="1"/>
  <c r="IO340" i="40"/>
  <c r="IK316" i="40"/>
  <c r="IN316" i="40" s="1"/>
  <c r="II462" i="40"/>
  <c r="IL462" i="40" s="1"/>
  <c r="IJ342" i="40"/>
  <c r="IM342" i="40" s="1"/>
  <c r="IO370" i="40"/>
  <c r="II408" i="40"/>
  <c r="IL408" i="40" s="1"/>
  <c r="IQ549" i="40"/>
  <c r="IJ452" i="40"/>
  <c r="IM452" i="40" s="1"/>
  <c r="IP326" i="40"/>
  <c r="IO350" i="40"/>
  <c r="IQ415" i="40"/>
  <c r="IO554" i="40"/>
  <c r="IK319" i="40"/>
  <c r="IN319" i="40" s="1"/>
  <c r="IP567" i="40"/>
  <c r="IQ333" i="40"/>
  <c r="IJ556" i="40"/>
  <c r="IM556" i="40" s="1"/>
  <c r="IQ373" i="40"/>
  <c r="JF326" i="40"/>
  <c r="HN326" i="40" s="1"/>
  <c r="HQ326" i="40" s="1"/>
  <c r="IP324" i="40"/>
  <c r="IO522" i="40"/>
  <c r="IQ502" i="40"/>
  <c r="IO414" i="40"/>
  <c r="IK527" i="40"/>
  <c r="IN527" i="40" s="1"/>
  <c r="JF527" i="40"/>
  <c r="HO527" i="40" s="1"/>
  <c r="HR527" i="40" s="1"/>
  <c r="IK343" i="40"/>
  <c r="IN343" i="40" s="1"/>
  <c r="JF460" i="40"/>
  <c r="HN460" i="40" s="1"/>
  <c r="HQ460" i="40" s="1"/>
  <c r="II471" i="40"/>
  <c r="IL471" i="40" s="1"/>
  <c r="II556" i="40"/>
  <c r="IL556" i="40" s="1"/>
  <c r="II401" i="40"/>
  <c r="IL401" i="40" s="1"/>
  <c r="IJ501" i="40"/>
  <c r="IM501" i="40" s="1"/>
  <c r="HN467" i="40"/>
  <c r="HQ467" i="40" s="1"/>
  <c r="IQ551" i="40"/>
  <c r="IK401" i="40"/>
  <c r="IN401" i="40" s="1"/>
  <c r="IO542" i="40"/>
  <c r="IQ506" i="40"/>
  <c r="IQ205" i="40"/>
  <c r="II570" i="40"/>
  <c r="IL570" i="40" s="1"/>
  <c r="JF347" i="40"/>
  <c r="HN347" i="40" s="1"/>
  <c r="HQ347" i="40" s="1"/>
  <c r="IK312" i="40"/>
  <c r="IN312" i="40" s="1"/>
  <c r="IQ340" i="40"/>
  <c r="II427" i="40"/>
  <c r="IL427" i="40" s="1"/>
  <c r="IO534" i="40"/>
  <c r="IK420" i="40"/>
  <c r="IN420" i="40" s="1"/>
  <c r="IO557" i="40"/>
  <c r="JF445" i="40"/>
  <c r="HN445" i="40" s="1"/>
  <c r="HQ445" i="40" s="1"/>
  <c r="II546" i="40"/>
  <c r="IL546" i="40" s="1"/>
  <c r="IQ571" i="40"/>
  <c r="II438" i="40"/>
  <c r="IL438" i="40" s="1"/>
  <c r="IQ301" i="40"/>
  <c r="IJ541" i="40"/>
  <c r="IM541" i="40" s="1"/>
  <c r="IP347" i="40"/>
  <c r="IK332" i="40"/>
  <c r="IN332" i="40" s="1"/>
  <c r="IJ357" i="40"/>
  <c r="IM357" i="40" s="1"/>
  <c r="IQ569" i="40"/>
  <c r="II332" i="40"/>
  <c r="IL332" i="40" s="1"/>
  <c r="IQ346" i="40"/>
  <c r="IQ307" i="40"/>
  <c r="IK524" i="40"/>
  <c r="IN524" i="40" s="1"/>
  <c r="IP520" i="40"/>
  <c r="IJ539" i="40"/>
  <c r="IM539" i="40" s="1"/>
  <c r="IJ566" i="40"/>
  <c r="IM566" i="40" s="1"/>
  <c r="IP560" i="40"/>
  <c r="IP314" i="40"/>
  <c r="IO551" i="40"/>
  <c r="II533" i="40"/>
  <c r="IL533" i="40" s="1"/>
  <c r="IJ460" i="40"/>
  <c r="IM460" i="40" s="1"/>
  <c r="JF515" i="40"/>
  <c r="HN515" i="40" s="1"/>
  <c r="HQ515" i="40" s="1"/>
  <c r="IP211" i="40"/>
  <c r="IO323" i="40"/>
  <c r="IO561" i="40"/>
  <c r="IJ459" i="40"/>
  <c r="IM459" i="40" s="1"/>
  <c r="IP540" i="40"/>
  <c r="IJ545" i="40"/>
  <c r="IM545" i="40" s="1"/>
  <c r="IK509" i="40"/>
  <c r="IN509" i="40" s="1"/>
  <c r="II433" i="40"/>
  <c r="IL433" i="40" s="1"/>
  <c r="IP505" i="40"/>
  <c r="IJ524" i="40"/>
  <c r="IM524" i="40" s="1"/>
  <c r="IO509" i="40"/>
  <c r="IP419" i="40"/>
  <c r="IQ328" i="40"/>
  <c r="II412" i="40"/>
  <c r="IL412" i="40" s="1"/>
  <c r="IO543" i="40"/>
  <c r="IO570" i="40"/>
  <c r="IO563" i="40"/>
  <c r="IO535" i="40"/>
  <c r="II543" i="40"/>
  <c r="IL543" i="40" s="1"/>
  <c r="IP331" i="40"/>
  <c r="IO202" i="40"/>
  <c r="IJ444" i="40"/>
  <c r="IM444" i="40" s="1"/>
  <c r="IK211" i="40"/>
  <c r="IN211" i="40" s="1"/>
  <c r="IO201" i="40"/>
  <c r="JF407" i="40"/>
  <c r="HN407" i="40" s="1"/>
  <c r="HQ407" i="40" s="1"/>
  <c r="IQ537" i="40"/>
  <c r="II335" i="40"/>
  <c r="IL335" i="40" s="1"/>
  <c r="II535" i="40"/>
  <c r="IL535" i="40" s="1"/>
  <c r="IJ317" i="40"/>
  <c r="IM317" i="40" s="1"/>
  <c r="JF560" i="40"/>
  <c r="HM560" i="40" s="1"/>
  <c r="HP560" i="40" s="1"/>
  <c r="II566" i="40"/>
  <c r="IL566" i="40" s="1"/>
  <c r="II353" i="40"/>
  <c r="IL353" i="40" s="1"/>
  <c r="II359" i="40"/>
  <c r="IL359" i="40" s="1"/>
  <c r="IJ457" i="40"/>
  <c r="IM457" i="40" s="1"/>
  <c r="IP411" i="40"/>
  <c r="IK562" i="40"/>
  <c r="IN562" i="40" s="1"/>
  <c r="IK433" i="40"/>
  <c r="IN433" i="40" s="1"/>
  <c r="IO344" i="40"/>
  <c r="IJ466" i="40"/>
  <c r="IM466" i="40" s="1"/>
  <c r="II550" i="40"/>
  <c r="IL550" i="40" s="1"/>
  <c r="IJ426" i="40"/>
  <c r="IM426" i="40" s="1"/>
  <c r="IP339" i="40"/>
  <c r="II355" i="40"/>
  <c r="IL355" i="40" s="1"/>
  <c r="IJ532" i="40"/>
  <c r="IM532" i="40" s="1"/>
  <c r="IK455" i="40"/>
  <c r="IN455" i="40" s="1"/>
  <c r="JF545" i="40"/>
  <c r="HN545" i="40" s="1"/>
  <c r="HQ545" i="40" s="1"/>
  <c r="IK432" i="40"/>
  <c r="IN432" i="40" s="1"/>
  <c r="IO409" i="40"/>
  <c r="IK416" i="40"/>
  <c r="IN416" i="40" s="1"/>
  <c r="JF325" i="40"/>
  <c r="HM325" i="40" s="1"/>
  <c r="HP325" i="40" s="1"/>
  <c r="II311" i="40"/>
  <c r="IL311" i="40" s="1"/>
  <c r="JF533" i="40"/>
  <c r="HN533" i="40" s="1"/>
  <c r="HQ533" i="40" s="1"/>
  <c r="II409" i="40"/>
  <c r="IL409" i="40" s="1"/>
  <c r="JF571" i="40"/>
  <c r="HN571" i="40" s="1"/>
  <c r="HQ571" i="40" s="1"/>
  <c r="II574" i="40"/>
  <c r="IL574" i="40" s="1"/>
  <c r="IJ523" i="40"/>
  <c r="IM523" i="40" s="1"/>
  <c r="IP336" i="40"/>
  <c r="IO374" i="40"/>
  <c r="IP507" i="40"/>
  <c r="IJ361" i="40"/>
  <c r="IM361" i="40" s="1"/>
  <c r="IP553" i="40"/>
  <c r="IQ310" i="40"/>
  <c r="IK448" i="40"/>
  <c r="IN448" i="40" s="1"/>
  <c r="IQ356" i="40"/>
  <c r="IP333" i="40"/>
  <c r="IP316" i="40"/>
  <c r="IK465" i="40"/>
  <c r="IN465" i="40" s="1"/>
  <c r="IP509" i="40"/>
  <c r="IJ526" i="40"/>
  <c r="IM526" i="40" s="1"/>
  <c r="IO326" i="40"/>
  <c r="IP374" i="40"/>
  <c r="II456" i="40"/>
  <c r="IL456" i="40" s="1"/>
  <c r="JF458" i="40"/>
  <c r="HN458" i="40" s="1"/>
  <c r="HQ458" i="40" s="1"/>
  <c r="IO319" i="40"/>
  <c r="JF557" i="40"/>
  <c r="HN557" i="40" s="1"/>
  <c r="HQ557" i="40" s="1"/>
  <c r="IK463" i="40"/>
  <c r="IN463" i="40" s="1"/>
  <c r="IQ351" i="40"/>
  <c r="IJ537" i="40"/>
  <c r="IM537" i="40" s="1"/>
  <c r="IQ303" i="40"/>
  <c r="IQ532" i="40"/>
  <c r="IK551" i="40"/>
  <c r="IN551" i="40" s="1"/>
  <c r="II560" i="40"/>
  <c r="IL560" i="40" s="1"/>
  <c r="JF205" i="40"/>
  <c r="HN205" i="40" s="1"/>
  <c r="IO555" i="40"/>
  <c r="HN525" i="40"/>
  <c r="HQ525" i="40" s="1"/>
  <c r="IJ456" i="40"/>
  <c r="IM456" i="40" s="1"/>
  <c r="JF404" i="40"/>
  <c r="HM404" i="40" s="1"/>
  <c r="HP404" i="40" s="1"/>
  <c r="II538" i="40"/>
  <c r="IL538" i="40" s="1"/>
  <c r="IQ321" i="40"/>
  <c r="IQ557" i="40"/>
  <c r="II418" i="40"/>
  <c r="IL418" i="40" s="1"/>
  <c r="IK411" i="40"/>
  <c r="IN411" i="40" s="1"/>
  <c r="IK403" i="40"/>
  <c r="IN403" i="40" s="1"/>
  <c r="HO315" i="40"/>
  <c r="HR315" i="40" s="1"/>
  <c r="IQ213" i="40"/>
  <c r="IJ564" i="40"/>
  <c r="IM564" i="40" s="1"/>
  <c r="II374" i="40"/>
  <c r="IL374" i="40" s="1"/>
  <c r="HN502" i="40"/>
  <c r="HQ502" i="40" s="1"/>
  <c r="HM359" i="40"/>
  <c r="HP359" i="40" s="1"/>
  <c r="IO204" i="40"/>
  <c r="IK409" i="40"/>
  <c r="IN409" i="40" s="1"/>
  <c r="II475" i="40"/>
  <c r="IL475" i="40" s="1"/>
  <c r="IQ357" i="40"/>
  <c r="IO331" i="40"/>
  <c r="IJ450" i="40"/>
  <c r="IM450" i="40" s="1"/>
  <c r="JF566" i="40"/>
  <c r="HM566" i="40" s="1"/>
  <c r="HP566" i="40" s="1"/>
  <c r="IO324" i="40"/>
  <c r="IJ211" i="40"/>
  <c r="IM211" i="40" s="1"/>
  <c r="JF416" i="40"/>
  <c r="HO416" i="40" s="1"/>
  <c r="HR416" i="40" s="1"/>
  <c r="IJ327" i="40"/>
  <c r="IM327" i="40" s="1"/>
  <c r="IK565" i="40"/>
  <c r="IN565" i="40" s="1"/>
  <c r="IJ407" i="40"/>
  <c r="IM407" i="40" s="1"/>
  <c r="IO328" i="40"/>
  <c r="IK459" i="40"/>
  <c r="IN459" i="40" s="1"/>
  <c r="II419" i="40"/>
  <c r="IL419" i="40" s="1"/>
  <c r="JF462" i="40"/>
  <c r="HN462" i="40" s="1"/>
  <c r="HQ462" i="40" s="1"/>
  <c r="IO523" i="40"/>
  <c r="II529" i="40"/>
  <c r="IL529" i="40" s="1"/>
  <c r="JF503" i="40"/>
  <c r="HM503" i="40" s="1"/>
  <c r="HP503" i="40" s="1"/>
  <c r="IQ574" i="40"/>
  <c r="IP361" i="40"/>
  <c r="IQ420" i="40"/>
  <c r="II467" i="40"/>
  <c r="IL467" i="40" s="1"/>
  <c r="IP526" i="40"/>
  <c r="IP355" i="40"/>
  <c r="II435" i="40"/>
  <c r="IL435" i="40" s="1"/>
  <c r="IK543" i="40"/>
  <c r="IN543" i="40" s="1"/>
  <c r="JF459" i="40"/>
  <c r="HN459" i="40" s="1"/>
  <c r="HQ459" i="40" s="1"/>
  <c r="IO528" i="40"/>
  <c r="IO514" i="40"/>
  <c r="II347" i="40"/>
  <c r="IL347" i="40" s="1"/>
  <c r="JF401" i="40"/>
  <c r="HN401" i="40" s="1"/>
  <c r="HQ401" i="40" s="1"/>
  <c r="IJ428" i="40"/>
  <c r="IM428" i="40" s="1"/>
  <c r="IP370" i="40"/>
  <c r="IK549" i="40"/>
  <c r="IN549" i="40" s="1"/>
  <c r="JF323" i="40"/>
  <c r="HN323" i="40" s="1"/>
  <c r="HQ323" i="40" s="1"/>
  <c r="IP558" i="40"/>
  <c r="IJ415" i="40"/>
  <c r="IM415" i="40" s="1"/>
  <c r="II545" i="40"/>
  <c r="IL545" i="40" s="1"/>
  <c r="IQ338" i="40"/>
  <c r="HO464" i="40"/>
  <c r="HR464" i="40" s="1"/>
  <c r="IO505" i="40"/>
  <c r="IQ548" i="40"/>
  <c r="IK521" i="40"/>
  <c r="IN521" i="40" s="1"/>
  <c r="IQ358" i="40"/>
  <c r="II444" i="40"/>
  <c r="IL444" i="40" s="1"/>
  <c r="JF562" i="40"/>
  <c r="HO562" i="40" s="1"/>
  <c r="HR562" i="40" s="1"/>
  <c r="IQ510" i="40"/>
  <c r="IK423" i="40"/>
  <c r="IN423" i="40" s="1"/>
  <c r="IQ316" i="40"/>
  <c r="JF528" i="40"/>
  <c r="HN528" i="40" s="1"/>
  <c r="HQ528" i="40" s="1"/>
  <c r="IO317" i="40"/>
  <c r="IP303" i="40"/>
  <c r="HN359" i="40"/>
  <c r="HQ359" i="40" s="1"/>
  <c r="IQ501" i="40"/>
  <c r="II466" i="40"/>
  <c r="IL466" i="40" s="1"/>
  <c r="IJ473" i="40"/>
  <c r="IM473" i="40" s="1"/>
  <c r="IP420" i="40"/>
  <c r="JF575" i="40"/>
  <c r="HN575" i="40" s="1"/>
  <c r="HQ575" i="40" s="1"/>
  <c r="IO329" i="40"/>
  <c r="IP375" i="40"/>
  <c r="JF408" i="40"/>
  <c r="HN408" i="40" s="1"/>
  <c r="HQ408" i="40" s="1"/>
  <c r="JF530" i="40"/>
  <c r="HO530" i="40" s="1"/>
  <c r="HR530" i="40" s="1"/>
  <c r="IO310" i="40"/>
  <c r="II356" i="40"/>
  <c r="IL356" i="40" s="1"/>
  <c r="II525" i="40"/>
  <c r="IL525" i="40" s="1"/>
  <c r="II507" i="40"/>
  <c r="IL507" i="40" s="1"/>
  <c r="JF569" i="40"/>
  <c r="HO569" i="40" s="1"/>
  <c r="HR569" i="40" s="1"/>
  <c r="IO565" i="40"/>
  <c r="HO358" i="40"/>
  <c r="HR358" i="40" s="1"/>
  <c r="HO506" i="40"/>
  <c r="HR506" i="40" s="1"/>
  <c r="HO525" i="40"/>
  <c r="HR525" i="40" s="1"/>
  <c r="IK328" i="40"/>
  <c r="IN328" i="40" s="1"/>
  <c r="II316" i="40"/>
  <c r="IL316" i="40" s="1"/>
  <c r="IQ322" i="40"/>
  <c r="IQ546" i="40"/>
  <c r="JF466" i="40"/>
  <c r="HO466" i="40" s="1"/>
  <c r="HR466" i="40" s="1"/>
  <c r="IJ458" i="40"/>
  <c r="IM458" i="40" s="1"/>
  <c r="IP342" i="40"/>
  <c r="IP515" i="40"/>
  <c r="IQ202" i="40"/>
  <c r="IO502" i="40"/>
  <c r="II564" i="40"/>
  <c r="IL564" i="40" s="1"/>
  <c r="IQ212" i="40"/>
  <c r="IJ536" i="40"/>
  <c r="IM536" i="40" s="1"/>
  <c r="II461" i="40"/>
  <c r="IL461" i="40" s="1"/>
  <c r="II536" i="40"/>
  <c r="IL536" i="40" s="1"/>
  <c r="JF446" i="40"/>
  <c r="HO446" i="40" s="1"/>
  <c r="HR446" i="40" s="1"/>
  <c r="IP358" i="40"/>
  <c r="IP360" i="40"/>
  <c r="II469" i="40"/>
  <c r="IL469" i="40" s="1"/>
  <c r="IO410" i="40"/>
  <c r="IO574" i="40"/>
  <c r="II555" i="40"/>
  <c r="IL555" i="40" s="1"/>
  <c r="IK507" i="40"/>
  <c r="IN507" i="40" s="1"/>
  <c r="IO308" i="40"/>
  <c r="II544" i="40"/>
  <c r="IL544" i="40" s="1"/>
  <c r="IO531" i="40"/>
  <c r="IQ421" i="40"/>
  <c r="IP322" i="40"/>
  <c r="IQ305" i="40"/>
  <c r="II414" i="40"/>
  <c r="IL414" i="40" s="1"/>
  <c r="IP403" i="40"/>
  <c r="IP323" i="40"/>
  <c r="IQ360" i="40"/>
  <c r="IP412" i="40"/>
  <c r="IQ540" i="40"/>
  <c r="IO304" i="40"/>
  <c r="II558" i="40"/>
  <c r="IL558" i="40" s="1"/>
  <c r="IO519" i="40"/>
  <c r="IO516" i="40"/>
  <c r="IK442" i="40"/>
  <c r="IN442" i="40" s="1"/>
  <c r="IO401" i="40"/>
  <c r="IQ354" i="40"/>
  <c r="IJ409" i="40"/>
  <c r="IM409" i="40" s="1"/>
  <c r="II434" i="40"/>
  <c r="IL434" i="40" s="1"/>
  <c r="IJ570" i="40"/>
  <c r="IM570" i="40" s="1"/>
  <c r="II443" i="40"/>
  <c r="IL443" i="40" s="1"/>
  <c r="II504" i="40"/>
  <c r="IL504" i="40" s="1"/>
  <c r="JF410" i="40"/>
  <c r="HN410" i="40" s="1"/>
  <c r="HQ410" i="40" s="1"/>
  <c r="IJ302" i="40"/>
  <c r="IM302" i="40" s="1"/>
  <c r="II554" i="40"/>
  <c r="IL554" i="40" s="1"/>
  <c r="IO368" i="40"/>
  <c r="IJ571" i="40"/>
  <c r="IM571" i="40" s="1"/>
  <c r="IP363" i="40"/>
  <c r="IQ550" i="40"/>
  <c r="IP506" i="40"/>
  <c r="IQ347" i="40"/>
  <c r="IO314" i="40"/>
  <c r="IK505" i="40"/>
  <c r="IN505" i="40" s="1"/>
  <c r="IO407" i="40"/>
  <c r="IJ437" i="40"/>
  <c r="IM437" i="40" s="1"/>
  <c r="IJ346" i="40"/>
  <c r="IM346" i="40" s="1"/>
  <c r="II512" i="40"/>
  <c r="IL512" i="40" s="1"/>
  <c r="JF453" i="40"/>
  <c r="HM453" i="40" s="1"/>
  <c r="HP453" i="40" s="1"/>
  <c r="IP213" i="40"/>
  <c r="JF213" i="40"/>
  <c r="HN213" i="40" s="1"/>
  <c r="IO564" i="40"/>
  <c r="HM464" i="40"/>
  <c r="HP464" i="40" s="1"/>
  <c r="JF565" i="40"/>
  <c r="HO565" i="40" s="1"/>
  <c r="HR565" i="40" s="1"/>
  <c r="IJ411" i="40"/>
  <c r="IM411" i="40" s="1"/>
  <c r="JF441" i="40"/>
  <c r="HN441" i="40" s="1"/>
  <c r="HQ441" i="40" s="1"/>
  <c r="IK462" i="40"/>
  <c r="IN462" i="40" s="1"/>
  <c r="JF544" i="40"/>
  <c r="HM544" i="40" s="1"/>
  <c r="HP544" i="40" s="1"/>
  <c r="II323" i="40"/>
  <c r="IL323" i="40" s="1"/>
  <c r="IP415" i="40"/>
  <c r="IP565" i="40"/>
  <c r="IQ349" i="40"/>
  <c r="IP554" i="40"/>
  <c r="IJ445" i="40"/>
  <c r="IM445" i="40" s="1"/>
  <c r="IK553" i="40"/>
  <c r="IN553" i="40" s="1"/>
  <c r="IP344" i="40"/>
  <c r="IQ374" i="40"/>
  <c r="JF556" i="40"/>
  <c r="HN556" i="40" s="1"/>
  <c r="HQ556" i="40" s="1"/>
  <c r="IJ423" i="40"/>
  <c r="IM423" i="40" s="1"/>
  <c r="IO538" i="40"/>
  <c r="IQ318" i="40"/>
  <c r="IQ344" i="40"/>
  <c r="IQ208" i="40"/>
  <c r="IK558" i="40"/>
  <c r="IN558" i="40" s="1"/>
  <c r="IP353" i="40"/>
  <c r="IK548" i="40"/>
  <c r="IN548" i="40" s="1"/>
  <c r="IQ334" i="40"/>
  <c r="IO362" i="40"/>
  <c r="JF211" i="40"/>
  <c r="HO211" i="40" s="1"/>
  <c r="IP343" i="40"/>
  <c r="IJ516" i="40"/>
  <c r="IM516" i="40" s="1"/>
  <c r="II432" i="40"/>
  <c r="IL432" i="40" s="1"/>
  <c r="JF573" i="40"/>
  <c r="HN573" i="40" s="1"/>
  <c r="HQ573" i="40" s="1"/>
  <c r="IQ539" i="40"/>
  <c r="IJ462" i="40"/>
  <c r="IM462" i="40" s="1"/>
  <c r="IJ513" i="40"/>
  <c r="IM513" i="40" s="1"/>
  <c r="IP367" i="40"/>
  <c r="II431" i="40"/>
  <c r="IL431" i="40" s="1"/>
  <c r="IO351" i="40"/>
  <c r="IQ366" i="40"/>
  <c r="IQ375" i="40"/>
  <c r="IQ312" i="40"/>
  <c r="IJ430" i="40"/>
  <c r="IM430" i="40" s="1"/>
  <c r="IJ475" i="40"/>
  <c r="IM475" i="40" s="1"/>
  <c r="II551" i="40"/>
  <c r="IL551" i="40" s="1"/>
  <c r="II567" i="40"/>
  <c r="IL567" i="40" s="1"/>
  <c r="IJ470" i="40"/>
  <c r="IM470" i="40" s="1"/>
  <c r="JF442" i="40"/>
  <c r="HM442" i="40" s="1"/>
  <c r="HP442" i="40" s="1"/>
  <c r="IQ524" i="40"/>
  <c r="IQ536" i="40"/>
  <c r="IQ406" i="40"/>
  <c r="II439" i="40"/>
  <c r="IL439" i="40" s="1"/>
  <c r="II549" i="40"/>
  <c r="IL549" i="40" s="1"/>
  <c r="JF473" i="40"/>
  <c r="HN473" i="40" s="1"/>
  <c r="HQ473" i="40" s="1"/>
  <c r="IJ402" i="40"/>
  <c r="IM402" i="40" s="1"/>
  <c r="IK517" i="40"/>
  <c r="IN517" i="40" s="1"/>
  <c r="IP416" i="40"/>
  <c r="II410" i="40"/>
  <c r="IL410" i="40" s="1"/>
  <c r="IJ469" i="40"/>
  <c r="IM469" i="40" s="1"/>
  <c r="IP513" i="40"/>
  <c r="IO361" i="40"/>
  <c r="JF314" i="40"/>
  <c r="HO314" i="40" s="1"/>
  <c r="HR314" i="40" s="1"/>
  <c r="IP525" i="40"/>
  <c r="IK554" i="40"/>
  <c r="IN554" i="40" s="1"/>
  <c r="II417" i="40"/>
  <c r="IL417" i="40" s="1"/>
  <c r="IP204" i="40"/>
  <c r="JF550" i="40"/>
  <c r="HN550" i="40" s="1"/>
  <c r="HQ550" i="40" s="1"/>
  <c r="IJ555" i="40"/>
  <c r="IM555" i="40" s="1"/>
  <c r="IJ525" i="40"/>
  <c r="IM525" i="40" s="1"/>
  <c r="IO349" i="40"/>
  <c r="JF414" i="40"/>
  <c r="HN414" i="40" s="1"/>
  <c r="HQ414" i="40" s="1"/>
  <c r="IJ358" i="40"/>
  <c r="IM358" i="40" s="1"/>
  <c r="IQ341" i="40"/>
  <c r="IO417" i="40"/>
  <c r="IQ409" i="40"/>
  <c r="HN432" i="40"/>
  <c r="HQ432" i="40" s="1"/>
  <c r="JF214" i="40"/>
  <c r="HO214" i="40" s="1"/>
  <c r="IJ213" i="40"/>
  <c r="IM213" i="40" s="1"/>
  <c r="IO421" i="40"/>
  <c r="II212" i="40"/>
  <c r="IL212" i="40" s="1"/>
  <c r="HN334" i="40"/>
  <c r="HQ334" i="40" s="1"/>
  <c r="IQ567" i="40"/>
  <c r="HO307" i="40"/>
  <c r="HR307" i="40" s="1"/>
  <c r="IQ547" i="40"/>
  <c r="IK573" i="40"/>
  <c r="IN573" i="40" s="1"/>
  <c r="IP313" i="40"/>
  <c r="IQ326" i="40"/>
  <c r="IK443" i="40"/>
  <c r="IN443" i="40" s="1"/>
  <c r="IQ320" i="40"/>
  <c r="JF574" i="40"/>
  <c r="HO574" i="40" s="1"/>
  <c r="HR574" i="40" s="1"/>
  <c r="II510" i="40"/>
  <c r="IL510" i="40" s="1"/>
  <c r="IJ530" i="40"/>
  <c r="IM530" i="40" s="1"/>
  <c r="II449" i="40"/>
  <c r="IL449" i="40" s="1"/>
  <c r="II436" i="40"/>
  <c r="IL436" i="40" s="1"/>
  <c r="IJ373" i="40"/>
  <c r="IM373" i="40" s="1"/>
  <c r="IK446" i="40"/>
  <c r="IN446" i="40" s="1"/>
  <c r="IK520" i="40"/>
  <c r="IN520" i="40" s="1"/>
  <c r="IJ417" i="40"/>
  <c r="IM417" i="40" s="1"/>
  <c r="JF434" i="40"/>
  <c r="HO434" i="40" s="1"/>
  <c r="HR434" i="40" s="1"/>
  <c r="JF570" i="40"/>
  <c r="HO570" i="40" s="1"/>
  <c r="HR570" i="40" s="1"/>
  <c r="IQ504" i="40"/>
  <c r="II324" i="40"/>
  <c r="IL324" i="40" s="1"/>
  <c r="JF427" i="40"/>
  <c r="HN427" i="40" s="1"/>
  <c r="HQ427" i="40" s="1"/>
  <c r="IO364" i="40"/>
  <c r="IJ567" i="40"/>
  <c r="IM567" i="40" s="1"/>
  <c r="IO375" i="40"/>
  <c r="JF420" i="40"/>
  <c r="HN420" i="40" s="1"/>
  <c r="HQ420" i="40" s="1"/>
  <c r="II534" i="40"/>
  <c r="IL534" i="40" s="1"/>
  <c r="IP330" i="40"/>
  <c r="IK434" i="40"/>
  <c r="IN434" i="40" s="1"/>
  <c r="IQ417" i="40"/>
  <c r="IK404" i="40"/>
  <c r="IN404" i="40" s="1"/>
  <c r="HO431" i="40"/>
  <c r="HR431" i="40" s="1"/>
  <c r="JF451" i="40"/>
  <c r="HO451" i="40" s="1"/>
  <c r="HR451" i="40" s="1"/>
  <c r="IJ367" i="40"/>
  <c r="IM367" i="40" s="1"/>
  <c r="IQ558" i="40"/>
  <c r="IQ509" i="40"/>
  <c r="IO320" i="40"/>
  <c r="II440" i="40"/>
  <c r="IL440" i="40" s="1"/>
  <c r="IP352" i="40"/>
  <c r="II518" i="40"/>
  <c r="IL518" i="40" s="1"/>
  <c r="JF524" i="40"/>
  <c r="HO524" i="40" s="1"/>
  <c r="HR524" i="40" s="1"/>
  <c r="IQ369" i="40"/>
  <c r="IO568" i="40"/>
  <c r="II402" i="40"/>
  <c r="IL402" i="40" s="1"/>
  <c r="IQ364" i="40"/>
  <c r="IJ410" i="40"/>
  <c r="IM410" i="40" s="1"/>
  <c r="IK467" i="40"/>
  <c r="IN467" i="40" s="1"/>
  <c r="II557" i="40"/>
  <c r="IL557" i="40" s="1"/>
  <c r="IP550" i="40"/>
  <c r="IJ514" i="40"/>
  <c r="IM514" i="40" s="1"/>
  <c r="IO552" i="40"/>
  <c r="IJ563" i="40"/>
  <c r="IM563" i="40" s="1"/>
  <c r="II423" i="40"/>
  <c r="IL423" i="40" s="1"/>
  <c r="HO330" i="40"/>
  <c r="HR330" i="40" s="1"/>
  <c r="HO366" i="40"/>
  <c r="HR366" i="40" s="1"/>
  <c r="II540" i="40"/>
  <c r="IL540" i="40" s="1"/>
  <c r="IQ412" i="40"/>
  <c r="JF411" i="40"/>
  <c r="HN411" i="40" s="1"/>
  <c r="HQ411" i="40" s="1"/>
  <c r="IK523" i="40"/>
  <c r="IN523" i="40" s="1"/>
  <c r="IJ558" i="40"/>
  <c r="IM558" i="40" s="1"/>
  <c r="II542" i="40"/>
  <c r="IL542" i="40" s="1"/>
  <c r="IP359" i="40"/>
  <c r="IJ520" i="40"/>
  <c r="IM520" i="40" s="1"/>
  <c r="IO545" i="40"/>
  <c r="IQ545" i="40"/>
  <c r="JF430" i="40"/>
  <c r="HO430" i="40" s="1"/>
  <c r="HR430" i="40" s="1"/>
  <c r="JF428" i="40"/>
  <c r="HO428" i="40" s="1"/>
  <c r="HR428" i="40" s="1"/>
  <c r="IQ324" i="40"/>
  <c r="IK536" i="40"/>
  <c r="IN536" i="40" s="1"/>
  <c r="IO546" i="40"/>
  <c r="IK504" i="40"/>
  <c r="IN504" i="40" s="1"/>
  <c r="IP573" i="40"/>
  <c r="IO322" i="40"/>
  <c r="IK516" i="40"/>
  <c r="IN516" i="40" s="1"/>
  <c r="HO367" i="40"/>
  <c r="HR367" i="40" s="1"/>
  <c r="JF324" i="40"/>
  <c r="HM324" i="40" s="1"/>
  <c r="HP324" i="40" s="1"/>
  <c r="IJ552" i="40"/>
  <c r="IM552" i="40" s="1"/>
  <c r="IQ325" i="40"/>
  <c r="IQ317" i="40"/>
  <c r="HO467" i="40"/>
  <c r="HR467" i="40" s="1"/>
  <c r="HM535" i="40"/>
  <c r="HP535" i="40" s="1"/>
  <c r="HO320" i="40"/>
  <c r="HR320" i="40" s="1"/>
  <c r="AK414" i="40"/>
  <c r="IP422" i="40"/>
  <c r="IP214" i="40"/>
  <c r="IP563" i="40"/>
  <c r="HN367" i="40"/>
  <c r="HQ367" i="40" s="1"/>
  <c r="HM315" i="40"/>
  <c r="HP315" i="40" s="1"/>
  <c r="IO213" i="40"/>
  <c r="IQ214" i="40"/>
  <c r="HM432" i="40"/>
  <c r="HP432" i="40" s="1"/>
  <c r="IO215" i="40"/>
  <c r="IK214" i="40"/>
  <c r="IN214" i="40" s="1"/>
  <c r="IK212" i="40"/>
  <c r="IN212" i="40" s="1"/>
  <c r="HN559" i="40"/>
  <c r="HQ559" i="40" s="1"/>
  <c r="HN366" i="40"/>
  <c r="HQ366" i="40" s="1"/>
  <c r="IP503" i="40"/>
  <c r="IP524" i="40"/>
  <c r="HO535" i="40"/>
  <c r="HR535" i="40" s="1"/>
  <c r="HM559" i="40"/>
  <c r="HP559" i="40" s="1"/>
  <c r="JF212" i="40"/>
  <c r="HN212" i="40" s="1"/>
  <c r="IJ214" i="40"/>
  <c r="IM214" i="40" s="1"/>
  <c r="IQ422" i="40"/>
  <c r="IO423" i="40"/>
  <c r="IK213" i="40"/>
  <c r="IN213" i="40" s="1"/>
  <c r="II213" i="40"/>
  <c r="IL213" i="40" s="1"/>
  <c r="AK403" i="40"/>
  <c r="HM525" i="40"/>
  <c r="HP525" i="40" s="1"/>
  <c r="IO567" i="40"/>
  <c r="HM572" i="40"/>
  <c r="HP572" i="40" s="1"/>
  <c r="IJ212" i="40"/>
  <c r="IM212" i="40" s="1"/>
  <c r="IQ573" i="40"/>
  <c r="IQ215" i="40"/>
  <c r="IO214" i="40"/>
  <c r="AL413" i="40"/>
  <c r="AK307" i="40"/>
  <c r="AL403" i="40"/>
  <c r="IP215" i="40"/>
  <c r="AK407" i="40"/>
  <c r="IO422" i="40"/>
  <c r="AK405" i="40"/>
  <c r="AK204" i="40"/>
  <c r="IK215" i="40"/>
  <c r="IN215" i="40" s="1"/>
  <c r="AL418" i="40"/>
  <c r="AK404" i="40"/>
  <c r="AK303" i="40"/>
  <c r="IO424" i="40"/>
  <c r="IP216" i="40"/>
  <c r="IO216" i="40"/>
  <c r="AL404" i="40"/>
  <c r="AL414" i="40"/>
  <c r="AK406" i="40"/>
  <c r="IJ215" i="40"/>
  <c r="IM215" i="40" s="1"/>
  <c r="AL205" i="40"/>
  <c r="AL407" i="40"/>
  <c r="JF215" i="40"/>
  <c r="HO215" i="40" s="1"/>
  <c r="IQ424" i="40"/>
  <c r="II214" i="40"/>
  <c r="IL214" i="40" s="1"/>
  <c r="AL424" i="40"/>
  <c r="AL306" i="40"/>
  <c r="AL406" i="40"/>
  <c r="AL405" i="40"/>
  <c r="IQ423" i="40"/>
  <c r="AL206" i="40"/>
  <c r="IP423" i="40"/>
  <c r="AL503" i="40"/>
  <c r="AK425" i="40"/>
  <c r="AK413" i="40"/>
  <c r="AL421" i="40"/>
  <c r="AL410" i="40"/>
  <c r="AK412" i="40"/>
  <c r="AK203" i="40"/>
  <c r="AL304" i="40"/>
  <c r="AL415" i="40"/>
  <c r="II215" i="40"/>
  <c r="IL215" i="40" s="1"/>
  <c r="AK421" i="40"/>
  <c r="AK507" i="40"/>
  <c r="AL504" i="40"/>
  <c r="AL417" i="40"/>
  <c r="AL409" i="40"/>
  <c r="AL204" i="40"/>
  <c r="AL598" i="40"/>
  <c r="AK324" i="40"/>
  <c r="AL342" i="40"/>
  <c r="AK596" i="40"/>
  <c r="AK554" i="40"/>
  <c r="AK375" i="40"/>
  <c r="AK213" i="40"/>
  <c r="AL212" i="40"/>
  <c r="AK559" i="40"/>
  <c r="AK588" i="40"/>
  <c r="AK379" i="40"/>
  <c r="AL325" i="40"/>
  <c r="AK359" i="40"/>
  <c r="AK336" i="40"/>
  <c r="AK587" i="40"/>
  <c r="AK310" i="40"/>
  <c r="AL558" i="40"/>
  <c r="AK528" i="40"/>
  <c r="AK205" i="40"/>
  <c r="AL369" i="40"/>
  <c r="AK349" i="40"/>
  <c r="AL211" i="40"/>
  <c r="AK391" i="40"/>
  <c r="AK573" i="40"/>
  <c r="IK216" i="40"/>
  <c r="IN216" i="40" s="1"/>
  <c r="AK343" i="40"/>
  <c r="AK526" i="40"/>
  <c r="AK513" i="40"/>
  <c r="AK578" i="40"/>
  <c r="AL564" i="40"/>
  <c r="AK400" i="40"/>
  <c r="AL375" i="40"/>
  <c r="AL367" i="40"/>
  <c r="AK568" i="40"/>
  <c r="AK322" i="40"/>
  <c r="AK341" i="40"/>
  <c r="AL568" i="40"/>
  <c r="AL505" i="40"/>
  <c r="AL402" i="40"/>
  <c r="AK333" i="40"/>
  <c r="AK319" i="40"/>
  <c r="AK311" i="40"/>
  <c r="AL392" i="40"/>
  <c r="AL384" i="40"/>
  <c r="AL348" i="40"/>
  <c r="AL210" i="40"/>
  <c r="IQ216" i="40"/>
  <c r="AL305" i="40"/>
  <c r="AL534" i="40"/>
  <c r="AL573" i="40"/>
  <c r="AK540" i="40"/>
  <c r="AK208" i="40"/>
  <c r="AK538" i="40"/>
  <c r="AL592" i="40"/>
  <c r="AK304" i="40"/>
  <c r="AL563" i="40"/>
  <c r="AL318" i="40"/>
  <c r="AK523" i="40"/>
  <c r="AL597" i="40"/>
  <c r="IP424" i="40"/>
  <c r="AL585" i="40"/>
  <c r="AK557" i="40"/>
  <c r="AK366" i="40"/>
  <c r="AK566" i="40"/>
  <c r="AL423" i="40"/>
  <c r="AL594" i="40"/>
  <c r="AL397" i="40"/>
  <c r="AL514" i="40"/>
  <c r="AK387" i="40"/>
  <c r="AL203" i="40"/>
  <c r="AL562" i="40"/>
  <c r="AK409" i="40"/>
  <c r="AK398" i="40"/>
  <c r="AK315" i="40"/>
  <c r="AL419" i="40"/>
  <c r="AK372" i="40"/>
  <c r="JF217" i="40"/>
  <c r="HM217" i="40" s="1"/>
  <c r="AK399" i="40"/>
  <c r="AK580" i="40"/>
  <c r="AL302" i="40"/>
  <c r="AL528" i="40"/>
  <c r="AL347" i="40"/>
  <c r="AK386" i="40"/>
  <c r="AL595" i="40"/>
  <c r="AL333" i="40"/>
  <c r="AL579" i="40"/>
  <c r="AK576" i="40"/>
  <c r="AK326" i="40"/>
  <c r="AK522" i="40"/>
  <c r="IQ425" i="40"/>
  <c r="AL531" i="40"/>
  <c r="AK520" i="40"/>
  <c r="AL572" i="40"/>
  <c r="AL329" i="40"/>
  <c r="AK344" i="40"/>
  <c r="AL380" i="40"/>
  <c r="AL216" i="40"/>
  <c r="AL509" i="40"/>
  <c r="AK211" i="40"/>
  <c r="AL533" i="40"/>
  <c r="AK579" i="40"/>
  <c r="AK312" i="40"/>
  <c r="AL208" i="40"/>
  <c r="AL583" i="40"/>
  <c r="AK331" i="40"/>
  <c r="AK214" i="40"/>
  <c r="AK354" i="40"/>
  <c r="AL352" i="40"/>
  <c r="AK339" i="40"/>
  <c r="AK582" i="40"/>
  <c r="AK605" i="40"/>
  <c r="AL388" i="40"/>
  <c r="AL364" i="40"/>
  <c r="AL337" i="40"/>
  <c r="AL541" i="40"/>
  <c r="AK353" i="40"/>
  <c r="AK564" i="40"/>
  <c r="AK370" i="40"/>
  <c r="AK357" i="40"/>
  <c r="AL532" i="40"/>
  <c r="AK590" i="40"/>
  <c r="AL344" i="40"/>
  <c r="AL339" i="40"/>
  <c r="AL545" i="40"/>
  <c r="AL599" i="40"/>
  <c r="AL360" i="40"/>
  <c r="AL527" i="40"/>
  <c r="AL411" i="40"/>
  <c r="AL518" i="40"/>
  <c r="AK592" i="40"/>
  <c r="AK553" i="40"/>
  <c r="AK381" i="40"/>
  <c r="AL383" i="40"/>
  <c r="AL539" i="40"/>
  <c r="AL416" i="40"/>
  <c r="AL581" i="40"/>
  <c r="AK422" i="40"/>
  <c r="AL548" i="40"/>
  <c r="AL346" i="40"/>
  <c r="AK411" i="40"/>
  <c r="AK558" i="40"/>
  <c r="AL385" i="40"/>
  <c r="AK543" i="40"/>
  <c r="IO217" i="40"/>
  <c r="AK360" i="40"/>
  <c r="AL559" i="40"/>
  <c r="AK420" i="40"/>
  <c r="AK309" i="40"/>
  <c r="AL341" i="40"/>
  <c r="AL313" i="40"/>
  <c r="AL378" i="40"/>
  <c r="AK570" i="40"/>
  <c r="AL540" i="40"/>
  <c r="AK212" i="40"/>
  <c r="AK546" i="40"/>
  <c r="AL336" i="40"/>
  <c r="AK215" i="40"/>
  <c r="AK415" i="40"/>
  <c r="AL399" i="40"/>
  <c r="AK567" i="40"/>
  <c r="AL422" i="40"/>
  <c r="AK545" i="40"/>
  <c r="AK544" i="40"/>
  <c r="AL328" i="40"/>
  <c r="AL319" i="40"/>
  <c r="AL549" i="40"/>
  <c r="AL322" i="40"/>
  <c r="AK509" i="40"/>
  <c r="AK586" i="40"/>
  <c r="AL607" i="40"/>
  <c r="AK397" i="40"/>
  <c r="AK408" i="40"/>
  <c r="AK595" i="40"/>
  <c r="AK506" i="40"/>
  <c r="AL355" i="40"/>
  <c r="AK583" i="40"/>
  <c r="AK210" i="40"/>
  <c r="II216" i="40"/>
  <c r="IL216" i="40" s="1"/>
  <c r="AK380" i="40"/>
  <c r="AK392" i="40"/>
  <c r="AK424" i="40"/>
  <c r="AK337" i="40"/>
  <c r="AL596" i="40"/>
  <c r="AL338" i="40"/>
  <c r="IK217" i="40"/>
  <c r="IN217" i="40" s="1"/>
  <c r="AL362" i="40"/>
  <c r="AK577" i="40"/>
  <c r="AL538" i="40"/>
  <c r="AK306" i="40"/>
  <c r="IJ217" i="40"/>
  <c r="IM217" i="40" s="1"/>
  <c r="AL320" i="40"/>
  <c r="AK547" i="40"/>
  <c r="AL330" i="40"/>
  <c r="AK320" i="40"/>
  <c r="AL524" i="40"/>
  <c r="AL353" i="40"/>
  <c r="AL582" i="40"/>
  <c r="AL202" i="40"/>
  <c r="AL312" i="40"/>
  <c r="AL363" i="40"/>
  <c r="AL512" i="40"/>
  <c r="AK589" i="40"/>
  <c r="AL543" i="40"/>
  <c r="AK394" i="40"/>
  <c r="AL519" i="40"/>
  <c r="AL522" i="40"/>
  <c r="AL508" i="40"/>
  <c r="AL326" i="40"/>
  <c r="AK603" i="40"/>
  <c r="AK575" i="40"/>
  <c r="AK556" i="40"/>
  <c r="AL510" i="40"/>
  <c r="AL371" i="40"/>
  <c r="AK389" i="40"/>
  <c r="AL569" i="40"/>
  <c r="AL516" i="40"/>
  <c r="AK348" i="40"/>
  <c r="AL586" i="40"/>
  <c r="AK561" i="40"/>
  <c r="AK516" i="40"/>
  <c r="AL373" i="40"/>
  <c r="AK346" i="40"/>
  <c r="AK514" i="40"/>
  <c r="AL605" i="40"/>
  <c r="AL577" i="40"/>
  <c r="AL332" i="40"/>
  <c r="AK599" i="40"/>
  <c r="AK597" i="40"/>
  <c r="AL335" i="40"/>
  <c r="AK362" i="40"/>
  <c r="AK606" i="40"/>
  <c r="AK378" i="40"/>
  <c r="AK533" i="40"/>
  <c r="AK534" i="40"/>
  <c r="AK317" i="40"/>
  <c r="AL321" i="40"/>
  <c r="AL420" i="40"/>
  <c r="AL356" i="40"/>
  <c r="AL552" i="40"/>
  <c r="AK565" i="40"/>
  <c r="AK525" i="40"/>
  <c r="AK416" i="40"/>
  <c r="AL554" i="40"/>
  <c r="AK340" i="40"/>
  <c r="AK314" i="40"/>
  <c r="AL376" i="40"/>
  <c r="AL310" i="40"/>
  <c r="AK423" i="40"/>
  <c r="AK542" i="40"/>
  <c r="AL544" i="40"/>
  <c r="AK548" i="40"/>
  <c r="AK318" i="40"/>
  <c r="AL557" i="40"/>
  <c r="AK350" i="40"/>
  <c r="AK329" i="40"/>
  <c r="AL393" i="40"/>
  <c r="AK419" i="40"/>
  <c r="AK574" i="40"/>
  <c r="AK530" i="40"/>
  <c r="AK206" i="40"/>
  <c r="HO217" i="40"/>
  <c r="AK328" i="40"/>
  <c r="AL377" i="40"/>
  <c r="AK374" i="40"/>
  <c r="AL311" i="40"/>
  <c r="AL395" i="40"/>
  <c r="AK368" i="40"/>
  <c r="AK313" i="40"/>
  <c r="IJ216" i="40"/>
  <c r="IM216" i="40" s="1"/>
  <c r="AL324" i="40"/>
  <c r="AL323" i="40"/>
  <c r="AK417" i="40"/>
  <c r="AK377" i="40"/>
  <c r="AK383" i="40"/>
  <c r="AL578" i="40"/>
  <c r="AK418" i="40"/>
  <c r="AL350" i="40"/>
  <c r="AL331" i="40"/>
  <c r="JF216" i="40"/>
  <c r="HM216" i="40" s="1"/>
  <c r="AL589" i="40"/>
  <c r="AK532" i="40"/>
  <c r="AK593" i="40"/>
  <c r="AK504" i="40"/>
  <c r="AL327" i="40"/>
  <c r="IP217" i="40"/>
  <c r="AL389" i="40"/>
  <c r="AL374" i="40"/>
  <c r="AL334" i="40"/>
  <c r="AL517" i="40"/>
  <c r="AL520" i="40"/>
  <c r="AK410" i="40"/>
  <c r="AL542" i="40"/>
  <c r="AK511" i="40"/>
  <c r="AK569" i="40"/>
  <c r="AL307" i="40"/>
  <c r="AL381" i="40"/>
  <c r="AK352" i="40"/>
  <c r="AL303" i="40"/>
  <c r="AL550" i="40"/>
  <c r="AL308" i="40"/>
  <c r="AL590" i="40"/>
  <c r="AL515" i="40"/>
  <c r="AK330" i="40"/>
  <c r="AK345" i="40"/>
  <c r="AK521" i="40"/>
  <c r="AL214" i="40"/>
  <c r="AL345" i="40"/>
  <c r="AK512" i="40"/>
  <c r="AK551" i="40"/>
  <c r="AK332" i="40"/>
  <c r="AK358" i="40"/>
  <c r="IQ217" i="40"/>
  <c r="AL314" i="40"/>
  <c r="AK508" i="40"/>
  <c r="AL567" i="40"/>
  <c r="AK560" i="40"/>
  <c r="AK327" i="40"/>
  <c r="AK537" i="40"/>
  <c r="AL309" i="40"/>
  <c r="AK585" i="40"/>
  <c r="AL349" i="40"/>
  <c r="AK371" i="40"/>
  <c r="AL587" i="40"/>
  <c r="AL575" i="40"/>
  <c r="AK524" i="40"/>
  <c r="AL368" i="40"/>
  <c r="AL394" i="40"/>
  <c r="AK571" i="40"/>
  <c r="AK562" i="40"/>
  <c r="AL546" i="40"/>
  <c r="AK355" i="40"/>
  <c r="AK594" i="40"/>
  <c r="AL529" i="40"/>
  <c r="AL580" i="40"/>
  <c r="AL379" i="40"/>
  <c r="AK598" i="40"/>
  <c r="IO425" i="40"/>
  <c r="IP425" i="40"/>
  <c r="AK518" i="40"/>
  <c r="AK393" i="40"/>
  <c r="AL408" i="40"/>
  <c r="AL340" i="40"/>
  <c r="AL525" i="40"/>
  <c r="AK365" i="40"/>
  <c r="AK305" i="40"/>
  <c r="AL343" i="40"/>
  <c r="AK395" i="40"/>
  <c r="AK334" i="40"/>
  <c r="AK364" i="40"/>
  <c r="AL553" i="40"/>
  <c r="AL566" i="40"/>
  <c r="AL555" i="40"/>
  <c r="AK527" i="40"/>
  <c r="AK396" i="40"/>
  <c r="AL521" i="40"/>
  <c r="AK323" i="40"/>
  <c r="AL316" i="40"/>
  <c r="AK316" i="40"/>
  <c r="AL556" i="40"/>
  <c r="AL537" i="40"/>
  <c r="AK367" i="40"/>
  <c r="AL506" i="40"/>
  <c r="AL400" i="40"/>
  <c r="AL209" i="40"/>
  <c r="AL561" i="40"/>
  <c r="AL372" i="40"/>
  <c r="AL565" i="40"/>
  <c r="AK369" i="40"/>
  <c r="AK536" i="40"/>
  <c r="AL511" i="40"/>
  <c r="AL588" i="40"/>
  <c r="AK388" i="40"/>
  <c r="AL315" i="40"/>
  <c r="AK581" i="40"/>
  <c r="AL412" i="40"/>
  <c r="AK321" i="40"/>
  <c r="AL387" i="40"/>
  <c r="AK529" i="40"/>
  <c r="AK531" i="40"/>
  <c r="AK207" i="40"/>
  <c r="AK510" i="40"/>
  <c r="AL591" i="40"/>
  <c r="AK325" i="40"/>
  <c r="AL560" i="40"/>
  <c r="AL530" i="40"/>
  <c r="AL396" i="40"/>
  <c r="AK563" i="40"/>
  <c r="AL584" i="40"/>
  <c r="AK535" i="40"/>
  <c r="AL213" i="40"/>
  <c r="AL317" i="40"/>
  <c r="AL357" i="40"/>
  <c r="AK503" i="40"/>
  <c r="AL507" i="40"/>
  <c r="AK356" i="40"/>
  <c r="AK335" i="40"/>
  <c r="J44" i="67" s="1"/>
  <c r="AL207" i="40"/>
  <c r="AL359" i="40"/>
  <c r="AK384" i="40"/>
  <c r="AL366" i="40"/>
  <c r="AL603" i="40"/>
  <c r="AK517" i="40"/>
  <c r="AK347" i="40"/>
  <c r="AL604" i="40"/>
  <c r="AL513" i="40"/>
  <c r="AK363" i="40"/>
  <c r="AL570" i="40"/>
  <c r="AL571" i="40"/>
  <c r="AK385" i="40"/>
  <c r="AL354" i="40"/>
  <c r="AL523" i="40"/>
  <c r="AK308" i="40"/>
  <c r="AK361" i="40"/>
  <c r="AK555" i="40"/>
  <c r="AL361" i="40"/>
  <c r="AK591" i="40"/>
  <c r="AK390" i="40"/>
  <c r="AL382" i="40"/>
  <c r="AK539" i="40"/>
  <c r="AL576" i="40"/>
  <c r="AK216" i="40"/>
  <c r="AL365" i="40"/>
  <c r="AK604" i="40"/>
  <c r="II217" i="40"/>
  <c r="IL217" i="40" s="1"/>
  <c r="AK505" i="40"/>
  <c r="AL551" i="40"/>
  <c r="AK541" i="40"/>
  <c r="J48" i="69" s="1"/>
  <c r="AL370" i="40"/>
  <c r="AL391" i="40"/>
  <c r="AK607" i="40"/>
  <c r="AL215" i="40"/>
  <c r="AK572" i="40"/>
  <c r="AL526" i="40"/>
  <c r="AL536" i="40"/>
  <c r="AK550" i="40"/>
  <c r="AK640" i="40"/>
  <c r="AK519" i="40"/>
  <c r="AK342" i="40"/>
  <c r="AL398" i="40"/>
  <c r="AL547" i="40"/>
  <c r="AL593" i="40"/>
  <c r="AL358" i="40"/>
  <c r="AK515" i="40"/>
  <c r="AK373" i="40"/>
  <c r="AL502" i="40"/>
  <c r="AL386" i="40"/>
  <c r="AL574" i="40"/>
  <c r="AK549" i="40"/>
  <c r="AL535" i="40"/>
  <c r="AK209" i="40"/>
  <c r="AK684" i="40"/>
  <c r="AK657" i="40"/>
  <c r="AK675" i="40"/>
  <c r="AK659" i="40"/>
  <c r="IP220" i="40"/>
  <c r="AL351" i="40"/>
  <c r="AK338" i="40"/>
  <c r="AK584" i="40"/>
  <c r="AL606" i="40"/>
  <c r="AK351" i="40"/>
  <c r="AK382" i="40"/>
  <c r="AK376" i="40"/>
  <c r="AK552" i="40"/>
  <c r="AL390" i="40"/>
  <c r="AL694" i="40"/>
  <c r="AL664" i="40"/>
  <c r="AL693" i="40"/>
  <c r="AL220" i="40"/>
  <c r="AK685" i="40"/>
  <c r="AL677" i="40"/>
  <c r="AK665" i="40"/>
  <c r="AL631" i="40"/>
  <c r="AK622" i="40"/>
  <c r="IQ218" i="40"/>
  <c r="AL638" i="40"/>
  <c r="IQ426" i="40"/>
  <c r="AK662" i="40"/>
  <c r="AK677" i="40"/>
  <c r="AK616" i="40"/>
  <c r="AL698" i="40"/>
  <c r="AK688" i="40"/>
  <c r="AL628" i="40"/>
  <c r="AK643" i="40"/>
  <c r="AK634" i="40"/>
  <c r="AK673" i="40"/>
  <c r="AL675" i="40"/>
  <c r="AL680" i="40"/>
  <c r="AK669" i="40"/>
  <c r="AL683" i="40"/>
  <c r="AK658" i="40"/>
  <c r="AK608" i="40"/>
  <c r="AL684" i="40"/>
  <c r="AL619" i="40"/>
  <c r="AK636" i="40"/>
  <c r="AL674" i="40"/>
  <c r="AL218" i="40"/>
  <c r="AK631" i="40"/>
  <c r="AK647" i="40"/>
  <c r="AL665" i="40"/>
  <c r="AK681" i="40"/>
  <c r="AK653" i="40"/>
  <c r="AL622" i="40"/>
  <c r="AL641" i="40"/>
  <c r="AL657" i="40"/>
  <c r="AK619" i="40"/>
  <c r="AL678" i="40"/>
  <c r="AL692" i="40"/>
  <c r="AK618" i="40"/>
  <c r="AK426" i="40"/>
  <c r="AL662" i="40"/>
  <c r="AL682" i="40"/>
  <c r="AK641" i="40"/>
  <c r="AL615" i="40"/>
  <c r="AK625" i="40"/>
  <c r="AL639" i="40"/>
  <c r="AL634" i="40"/>
  <c r="AL602" i="40"/>
  <c r="AL618" i="40"/>
  <c r="AL655" i="40"/>
  <c r="AK614" i="40"/>
  <c r="AL630" i="40"/>
  <c r="AL629" i="40"/>
  <c r="AK689" i="40"/>
  <c r="AL623" i="40"/>
  <c r="AK678" i="40"/>
  <c r="AL667" i="40"/>
  <c r="AK690" i="40"/>
  <c r="IO218" i="40"/>
  <c r="AK671" i="40"/>
  <c r="AK700" i="40"/>
  <c r="AL676" i="40"/>
  <c r="AL612" i="40"/>
  <c r="AK656" i="40"/>
  <c r="AL658" i="40"/>
  <c r="AK609" i="40"/>
  <c r="AL608" i="40"/>
  <c r="AL673" i="40"/>
  <c r="AL681" i="40"/>
  <c r="AL650" i="40"/>
  <c r="AK698" i="40"/>
  <c r="AL645" i="40"/>
  <c r="AL660" i="40"/>
  <c r="AL695" i="40"/>
  <c r="AL625" i="40"/>
  <c r="AK650" i="40"/>
  <c r="AK623" i="40"/>
  <c r="AK629" i="40"/>
  <c r="AL691" i="40"/>
  <c r="AK670" i="40"/>
  <c r="AL642" i="40"/>
  <c r="AL633" i="40"/>
  <c r="AK699" i="40"/>
  <c r="AL620" i="40"/>
  <c r="AL636" i="40"/>
  <c r="AL644" i="40"/>
  <c r="AL699" i="40"/>
  <c r="AK627" i="40"/>
  <c r="AL652" i="40"/>
  <c r="AK621" i="40"/>
  <c r="AK676" i="40"/>
  <c r="AL672" i="40"/>
  <c r="AL626" i="40"/>
  <c r="AL661" i="40"/>
  <c r="AL646" i="40"/>
  <c r="AK692" i="40"/>
  <c r="IJ218" i="40"/>
  <c r="IM218" i="40" s="1"/>
  <c r="AL669" i="40"/>
  <c r="AL635" i="40"/>
  <c r="AL613" i="40"/>
  <c r="AK648" i="40"/>
  <c r="AL668" i="40"/>
  <c r="AK642" i="40"/>
  <c r="AL610" i="40"/>
  <c r="AL651" i="40"/>
  <c r="AL686" i="40"/>
  <c r="AK613" i="40"/>
  <c r="II218" i="40"/>
  <c r="IL218" i="40" s="1"/>
  <c r="AK620" i="40"/>
  <c r="AL426" i="40"/>
  <c r="AK635" i="40"/>
  <c r="AK615" i="40"/>
  <c r="AK654" i="40"/>
  <c r="AL671" i="40"/>
  <c r="IP218" i="40"/>
  <c r="AK630" i="40"/>
  <c r="AK679" i="40"/>
  <c r="AK612" i="40"/>
  <c r="AL637" i="40"/>
  <c r="AL643" i="40"/>
  <c r="AK660" i="40"/>
  <c r="AL656" i="40"/>
  <c r="AL659" i="40"/>
  <c r="AK663" i="40"/>
  <c r="AK687" i="40"/>
  <c r="AL697" i="40"/>
  <c r="AK661" i="40"/>
  <c r="AK674" i="40"/>
  <c r="AK632" i="40"/>
  <c r="AK626" i="40"/>
  <c r="AL685" i="40"/>
  <c r="AK628" i="40"/>
  <c r="AK672" i="40"/>
  <c r="AL617" i="40"/>
  <c r="AK680" i="40"/>
  <c r="AK644" i="40"/>
  <c r="AL640" i="40"/>
  <c r="AK695" i="40"/>
  <c r="AK667" i="40"/>
  <c r="AL611" i="40"/>
  <c r="IK218" i="40"/>
  <c r="IN218" i="40" s="1"/>
  <c r="AK666" i="40"/>
  <c r="AL632" i="40"/>
  <c r="AL647" i="40"/>
  <c r="AL700" i="40"/>
  <c r="AL624" i="40"/>
  <c r="AL653" i="40"/>
  <c r="AK683" i="40"/>
  <c r="AK639" i="40"/>
  <c r="AL648" i="40"/>
  <c r="AK646" i="40"/>
  <c r="AK697" i="40"/>
  <c r="AL687" i="40"/>
  <c r="AL688" i="40"/>
  <c r="AL616" i="40"/>
  <c r="AL217" i="40"/>
  <c r="AK696" i="40"/>
  <c r="AL663" i="40"/>
  <c r="AK218" i="40"/>
  <c r="AL689" i="40"/>
  <c r="AL679" i="40"/>
  <c r="AL690" i="40"/>
  <c r="AK624" i="40"/>
  <c r="AK694" i="40"/>
  <c r="AK693" i="40"/>
  <c r="AK651" i="40"/>
  <c r="AL621" i="40"/>
  <c r="AK686" i="40"/>
  <c r="AK610" i="40"/>
  <c r="AL670" i="40"/>
  <c r="AK655" i="40"/>
  <c r="IP426" i="40"/>
  <c r="AL696" i="40"/>
  <c r="AL425" i="40"/>
  <c r="AK638" i="40"/>
  <c r="AK649" i="40"/>
  <c r="AK637" i="40"/>
  <c r="IO426" i="40"/>
  <c r="AK664" i="40"/>
  <c r="AK633" i="40"/>
  <c r="JF218" i="40"/>
  <c r="HN218" i="40" s="1"/>
  <c r="AK682" i="40"/>
  <c r="AK217" i="40"/>
  <c r="AL627" i="40"/>
  <c r="AK617" i="40"/>
  <c r="AL666" i="40"/>
  <c r="AL649" i="40"/>
  <c r="AL614" i="40"/>
  <c r="AK668" i="40"/>
  <c r="AK611" i="40"/>
  <c r="AK691" i="40"/>
  <c r="AK645" i="40"/>
  <c r="AL609" i="40"/>
  <c r="AK652" i="40"/>
  <c r="AL654" i="40"/>
  <c r="AL221" i="40"/>
  <c r="IO428" i="40"/>
  <c r="AK430" i="40"/>
  <c r="AK427" i="40"/>
  <c r="AK220" i="40"/>
  <c r="IK219" i="40"/>
  <c r="IN219" i="40" s="1"/>
  <c r="IP219" i="40"/>
  <c r="JF219" i="40"/>
  <c r="HM219" i="40" s="1"/>
  <c r="II221" i="40"/>
  <c r="IL221" i="40" s="1"/>
  <c r="AL219" i="40"/>
  <c r="AL427" i="40"/>
  <c r="II219" i="40"/>
  <c r="IL219" i="40" s="1"/>
  <c r="IJ219" i="40"/>
  <c r="IM219" i="40" s="1"/>
  <c r="AL428" i="40"/>
  <c r="AK219" i="40"/>
  <c r="IO220" i="40"/>
  <c r="IQ427" i="40"/>
  <c r="IQ219" i="40"/>
  <c r="IP427" i="40"/>
  <c r="IO219" i="40"/>
  <c r="IQ428" i="40"/>
  <c r="IO427" i="40"/>
  <c r="IQ220" i="40"/>
  <c r="AK221" i="40"/>
  <c r="IP429" i="40"/>
  <c r="IQ223" i="40"/>
  <c r="IJ220" i="40"/>
  <c r="IM220" i="40" s="1"/>
  <c r="IJ221" i="40"/>
  <c r="IM221" i="40" s="1"/>
  <c r="II220" i="40"/>
  <c r="IL220" i="40" s="1"/>
  <c r="JF220" i="40"/>
  <c r="HN220" i="40" s="1"/>
  <c r="IQ429" i="40"/>
  <c r="IK221" i="40"/>
  <c r="IN221" i="40" s="1"/>
  <c r="JF221" i="40"/>
  <c r="HN221" i="40" s="1"/>
  <c r="IO221" i="40"/>
  <c r="AK429" i="40"/>
  <c r="IO429" i="40"/>
  <c r="IK220" i="40"/>
  <c r="IN220" i="40" s="1"/>
  <c r="AK428" i="40"/>
  <c r="IP428" i="40"/>
  <c r="IQ221" i="40"/>
  <c r="AL429" i="40"/>
  <c r="IK222" i="40"/>
  <c r="IN222" i="40" s="1"/>
  <c r="JF224" i="40"/>
  <c r="HN224" i="40" s="1"/>
  <c r="IJ224" i="40"/>
  <c r="IM224" i="40" s="1"/>
  <c r="II222" i="40"/>
  <c r="IL222" i="40" s="1"/>
  <c r="IQ222" i="40"/>
  <c r="IJ222" i="40"/>
  <c r="IM222" i="40" s="1"/>
  <c r="IQ430" i="40"/>
  <c r="AK223" i="40"/>
  <c r="IO434" i="40"/>
  <c r="AL432" i="40"/>
  <c r="IK224" i="40"/>
  <c r="IN224" i="40" s="1"/>
  <c r="IO430" i="40"/>
  <c r="AL223" i="40"/>
  <c r="AL222" i="40"/>
  <c r="IQ431" i="40"/>
  <c r="IQ432" i="40"/>
  <c r="IP221" i="40"/>
  <c r="IP222" i="40"/>
  <c r="IO431" i="40"/>
  <c r="IO223" i="40"/>
  <c r="IO222" i="40"/>
  <c r="JF222" i="40"/>
  <c r="HO222" i="40" s="1"/>
  <c r="AK222" i="40"/>
  <c r="AL430" i="40"/>
  <c r="IO432" i="40"/>
  <c r="IP430" i="40"/>
  <c r="IP223" i="40"/>
  <c r="IQ225" i="40"/>
  <c r="II224" i="40"/>
  <c r="IL224" i="40" s="1"/>
  <c r="AK225" i="40"/>
  <c r="IO433" i="40"/>
  <c r="IJ225" i="40"/>
  <c r="IM225" i="40" s="1"/>
  <c r="AL431" i="40"/>
  <c r="IQ433" i="40"/>
  <c r="AL225" i="40"/>
  <c r="IQ224" i="40"/>
  <c r="JF225" i="40"/>
  <c r="HO225" i="40" s="1"/>
  <c r="II223" i="40"/>
  <c r="IL223" i="40" s="1"/>
  <c r="II225" i="40"/>
  <c r="IL225" i="40" s="1"/>
  <c r="AL224" i="40"/>
  <c r="IP432" i="40"/>
  <c r="IP431" i="40"/>
  <c r="IP224" i="40"/>
  <c r="JF223" i="40"/>
  <c r="HN223" i="40" s="1"/>
  <c r="AK431" i="40"/>
  <c r="IK223" i="40"/>
  <c r="IN223" i="40" s="1"/>
  <c r="IJ223" i="40"/>
  <c r="IM223" i="40" s="1"/>
  <c r="IO224" i="40"/>
  <c r="AK224" i="40"/>
  <c r="AK432" i="40"/>
  <c r="IO225" i="40"/>
  <c r="IQ226" i="40"/>
  <c r="AK433" i="40"/>
  <c r="JF226" i="40"/>
  <c r="HN226" i="40" s="1"/>
  <c r="IO226" i="40"/>
  <c r="IK225" i="40"/>
  <c r="IN225" i="40" s="1"/>
  <c r="AL433" i="40"/>
  <c r="IQ434" i="40"/>
  <c r="IP225" i="40"/>
  <c r="IO435" i="40"/>
  <c r="IJ226" i="40"/>
  <c r="IM226" i="40" s="1"/>
  <c r="AL228" i="40"/>
  <c r="AL227" i="40"/>
  <c r="AK227" i="40"/>
  <c r="IP434" i="40"/>
  <c r="II226" i="40"/>
  <c r="IL226" i="40" s="1"/>
  <c r="AK434" i="40"/>
  <c r="IK226" i="40"/>
  <c r="IN226" i="40" s="1"/>
  <c r="AL434" i="40"/>
  <c r="AL226" i="40"/>
  <c r="IP433" i="40"/>
  <c r="AK226" i="40"/>
  <c r="IQ436" i="40"/>
  <c r="JF227" i="40"/>
  <c r="HO227" i="40" s="1"/>
  <c r="IO227" i="40"/>
  <c r="IP227" i="40"/>
  <c r="AK435" i="40"/>
  <c r="IJ227" i="40"/>
  <c r="IM227" i="40" s="1"/>
  <c r="AL435" i="40"/>
  <c r="IQ227" i="40"/>
  <c r="IO436" i="40"/>
  <c r="HN227" i="40"/>
  <c r="AK436" i="40"/>
  <c r="IQ435" i="40"/>
  <c r="IK227" i="40"/>
  <c r="IN227" i="40" s="1"/>
  <c r="IQ228" i="40"/>
  <c r="II227" i="40"/>
  <c r="IL227" i="40" s="1"/>
  <c r="IO228" i="40"/>
  <c r="AL436" i="40"/>
  <c r="IP226" i="40"/>
  <c r="IJ228" i="40"/>
  <c r="IM228" i="40" s="1"/>
  <c r="JF228" i="40"/>
  <c r="HN228" i="40" s="1"/>
  <c r="AK438" i="40"/>
  <c r="AK228" i="40"/>
  <c r="AK230" i="40"/>
  <c r="JF229" i="40"/>
  <c r="HO229" i="40" s="1"/>
  <c r="AK439" i="40"/>
  <c r="IO229" i="40"/>
  <c r="IP435" i="40"/>
  <c r="IK228" i="40"/>
  <c r="IN228" i="40" s="1"/>
  <c r="IP438" i="40"/>
  <c r="AK437" i="40"/>
  <c r="IQ437" i="40"/>
  <c r="AK229" i="40"/>
  <c r="IP228" i="40"/>
  <c r="IP436" i="40"/>
  <c r="IQ229" i="40"/>
  <c r="IO230" i="40"/>
  <c r="IO438" i="40"/>
  <c r="IJ229" i="40"/>
  <c r="IM229" i="40" s="1"/>
  <c r="AL437" i="40"/>
  <c r="AL229" i="40"/>
  <c r="IK229" i="40"/>
  <c r="IN229" i="40" s="1"/>
  <c r="II229" i="40"/>
  <c r="IL229" i="40" s="1"/>
  <c r="IO437" i="40"/>
  <c r="II228" i="40"/>
  <c r="IL228" i="40" s="1"/>
  <c r="IQ438" i="40"/>
  <c r="AL230" i="40"/>
  <c r="IO231" i="40"/>
  <c r="IQ231" i="40"/>
  <c r="IO439" i="40"/>
  <c r="AL439" i="40"/>
  <c r="AK440" i="40"/>
  <c r="IP441" i="40"/>
  <c r="IP437" i="40"/>
  <c r="AK231" i="40"/>
  <c r="AL231" i="40"/>
  <c r="JF230" i="40"/>
  <c r="HN230" i="40" s="1"/>
  <c r="IJ230" i="40"/>
  <c r="IM230" i="40" s="1"/>
  <c r="II231" i="40"/>
  <c r="IL231" i="40" s="1"/>
  <c r="IK231" i="40"/>
  <c r="IN231" i="40" s="1"/>
  <c r="II230" i="40"/>
  <c r="IL230" i="40" s="1"/>
  <c r="IP230" i="40"/>
  <c r="IQ230" i="40"/>
  <c r="AL438" i="40"/>
  <c r="JF231" i="40"/>
  <c r="HO231" i="40" s="1"/>
  <c r="IQ439" i="40"/>
  <c r="IP229" i="40"/>
  <c r="IK230" i="40"/>
  <c r="IN230" i="40" s="1"/>
  <c r="IQ233" i="40"/>
  <c r="AL440" i="40"/>
  <c r="JF232" i="40"/>
  <c r="HN232" i="40" s="1"/>
  <c r="IO233" i="40"/>
  <c r="IP231" i="40"/>
  <c r="AK232" i="40"/>
  <c r="IQ440" i="40"/>
  <c r="IJ231" i="40"/>
  <c r="IM231" i="40" s="1"/>
  <c r="AL232" i="40"/>
  <c r="IO232" i="40"/>
  <c r="IJ232" i="40"/>
  <c r="IM232" i="40" s="1"/>
  <c r="II232" i="40"/>
  <c r="IL232" i="40" s="1"/>
  <c r="IO440" i="40"/>
  <c r="IK232" i="40"/>
  <c r="IN232" i="40" s="1"/>
  <c r="IO441" i="40"/>
  <c r="IQ232" i="40"/>
  <c r="IP439" i="40"/>
  <c r="IQ441" i="40"/>
  <c r="AK445" i="40"/>
  <c r="IP440" i="40"/>
  <c r="IP232" i="40"/>
  <c r="IJ233" i="40"/>
  <c r="IM233" i="40" s="1"/>
  <c r="AK441" i="40"/>
  <c r="AK442" i="40"/>
  <c r="AK234" i="40"/>
  <c r="JF234" i="40"/>
  <c r="HO234" i="40" s="1"/>
  <c r="II234" i="40"/>
  <c r="IL234" i="40" s="1"/>
  <c r="AK233" i="40"/>
  <c r="AL233" i="40"/>
  <c r="AL441" i="40"/>
  <c r="AK444" i="40"/>
  <c r="IO442" i="40"/>
  <c r="II233" i="40"/>
  <c r="IL233" i="40" s="1"/>
  <c r="IK234" i="40"/>
  <c r="IN234" i="40" s="1"/>
  <c r="IO234" i="40"/>
  <c r="IQ234" i="40"/>
  <c r="AL442" i="40"/>
  <c r="IK233" i="40"/>
  <c r="IN233" i="40" s="1"/>
  <c r="JF233" i="40"/>
  <c r="HO233" i="40" s="1"/>
  <c r="IP233" i="40"/>
  <c r="IQ442" i="40"/>
  <c r="IJ234" i="40"/>
  <c r="IM234" i="40" s="1"/>
  <c r="AL234" i="40"/>
  <c r="IO235" i="40"/>
  <c r="AK236" i="40"/>
  <c r="AL235" i="40"/>
  <c r="IO443" i="40"/>
  <c r="IQ235" i="40"/>
  <c r="IK235" i="40"/>
  <c r="IN235" i="40" s="1"/>
  <c r="IP443" i="40"/>
  <c r="IQ443" i="40"/>
  <c r="AK443" i="40"/>
  <c r="IQ236" i="40"/>
  <c r="AL236" i="40"/>
  <c r="IP442" i="40"/>
  <c r="IP234" i="40"/>
  <c r="AL443" i="40"/>
  <c r="IJ235" i="40"/>
  <c r="IM235" i="40" s="1"/>
  <c r="JF235" i="40"/>
  <c r="HO235" i="40" s="1"/>
  <c r="II235" i="40"/>
  <c r="IL235" i="40" s="1"/>
  <c r="IQ444" i="40"/>
  <c r="JF236" i="40"/>
  <c r="HM236" i="40" s="1"/>
  <c r="AK235" i="40"/>
  <c r="IP444" i="40"/>
  <c r="IO237" i="40"/>
  <c r="IO445" i="40"/>
  <c r="IO444" i="40"/>
  <c r="IO236" i="40"/>
  <c r="IP235" i="40"/>
  <c r="IK236" i="40"/>
  <c r="IN236" i="40" s="1"/>
  <c r="IO238" i="40"/>
  <c r="IQ445" i="40"/>
  <c r="IK237" i="40"/>
  <c r="IN237" i="40" s="1"/>
  <c r="AL445" i="40"/>
  <c r="AK238" i="40"/>
  <c r="II237" i="40"/>
  <c r="IL237" i="40" s="1"/>
  <c r="IQ446" i="40"/>
  <c r="II236" i="40"/>
  <c r="IL236" i="40" s="1"/>
  <c r="IQ238" i="40"/>
  <c r="IQ237" i="40"/>
  <c r="AK237" i="40"/>
  <c r="AL237" i="40"/>
  <c r="AK447" i="40"/>
  <c r="IJ236" i="40"/>
  <c r="IM236" i="40" s="1"/>
  <c r="AL444" i="40"/>
  <c r="IQ239" i="40"/>
  <c r="IP445" i="40"/>
  <c r="JF238" i="40"/>
  <c r="HO238" i="40" s="1"/>
  <c r="AL239" i="40"/>
  <c r="IO446" i="40"/>
  <c r="JF237" i="40"/>
  <c r="HO237" i="40" s="1"/>
  <c r="AK239" i="40"/>
  <c r="II238" i="40"/>
  <c r="IL238" i="40" s="1"/>
  <c r="IK239" i="40"/>
  <c r="IN239" i="40" s="1"/>
  <c r="AL238" i="40"/>
  <c r="AL447" i="40"/>
  <c r="IP449" i="40"/>
  <c r="IP237" i="40"/>
  <c r="IQ447" i="40"/>
  <c r="IP236" i="40"/>
  <c r="IK238" i="40"/>
  <c r="IN238" i="40" s="1"/>
  <c r="AL446" i="40"/>
  <c r="IJ238" i="40"/>
  <c r="IM238" i="40" s="1"/>
  <c r="AK446" i="40"/>
  <c r="II239" i="40"/>
  <c r="IL239" i="40" s="1"/>
  <c r="IJ237" i="40"/>
  <c r="IM237" i="40" s="1"/>
  <c r="IO447" i="40"/>
  <c r="IO239" i="40"/>
  <c r="JF239" i="40"/>
  <c r="HO239" i="40" s="1"/>
  <c r="JF240" i="40"/>
  <c r="HM240" i="40" s="1"/>
  <c r="AL448" i="40"/>
  <c r="IO241" i="40"/>
  <c r="AK448" i="40"/>
  <c r="IK240" i="40"/>
  <c r="IN240" i="40" s="1"/>
  <c r="IJ240" i="40"/>
  <c r="IM240" i="40" s="1"/>
  <c r="IQ241" i="40"/>
  <c r="IO240" i="40"/>
  <c r="AL240" i="40"/>
  <c r="IP447" i="40"/>
  <c r="IP239" i="40"/>
  <c r="IQ451" i="40"/>
  <c r="IO448" i="40"/>
  <c r="AL241" i="40"/>
  <c r="IJ239" i="40"/>
  <c r="IM239" i="40" s="1"/>
  <c r="IQ448" i="40"/>
  <c r="AK240" i="40"/>
  <c r="IO449" i="40"/>
  <c r="IP446" i="40"/>
  <c r="IQ240" i="40"/>
  <c r="II240" i="40"/>
  <c r="IL240" i="40" s="1"/>
  <c r="IP238" i="40"/>
  <c r="IQ449" i="40"/>
  <c r="AK451" i="40"/>
  <c r="AL449" i="40"/>
  <c r="JF241" i="40"/>
  <c r="HO241" i="40" s="1"/>
  <c r="IK241" i="40"/>
  <c r="IN241" i="40" s="1"/>
  <c r="IP448" i="40"/>
  <c r="AK242" i="40"/>
  <c r="AK241" i="40"/>
  <c r="II242" i="40"/>
  <c r="IL242" i="40" s="1"/>
  <c r="IP241" i="40"/>
  <c r="IJ242" i="40"/>
  <c r="IM242" i="40" s="1"/>
  <c r="IJ241" i="40"/>
  <c r="IM241" i="40" s="1"/>
  <c r="AK450" i="40"/>
  <c r="II241" i="40"/>
  <c r="IL241" i="40" s="1"/>
  <c r="IO450" i="40"/>
  <c r="AL242" i="40"/>
  <c r="AL450" i="40"/>
  <c r="AK449" i="40"/>
  <c r="IK242" i="40"/>
  <c r="IN242" i="40" s="1"/>
  <c r="HM241" i="40"/>
  <c r="IP240" i="40"/>
  <c r="IO242" i="40"/>
  <c r="JF242" i="40"/>
  <c r="HM242" i="40" s="1"/>
  <c r="IQ242" i="40"/>
  <c r="IQ450" i="40"/>
  <c r="IK243" i="40"/>
  <c r="IN243" i="40" s="1"/>
  <c r="IO451" i="40"/>
  <c r="AL243" i="40"/>
  <c r="AL451" i="40"/>
  <c r="IP242" i="40"/>
  <c r="JF243" i="40"/>
  <c r="HO243" i="40" s="1"/>
  <c r="IP450" i="40"/>
  <c r="II243" i="40"/>
  <c r="IL243" i="40" s="1"/>
  <c r="IJ243" i="40"/>
  <c r="IM243" i="40" s="1"/>
  <c r="IO243" i="40"/>
  <c r="IQ243" i="40"/>
  <c r="AK243" i="40"/>
  <c r="IQ244" i="40"/>
  <c r="AL452" i="40"/>
  <c r="IO247" i="40"/>
  <c r="IQ452" i="40"/>
  <c r="AK452" i="40"/>
  <c r="JF245" i="40"/>
  <c r="HN245" i="40" s="1"/>
  <c r="JF244" i="40"/>
  <c r="HN244" i="40" s="1"/>
  <c r="IO452" i="40"/>
  <c r="AL244" i="40"/>
  <c r="IP451" i="40"/>
  <c r="IJ244" i="40"/>
  <c r="IM244" i="40" s="1"/>
  <c r="AK244" i="40"/>
  <c r="IO244" i="40"/>
  <c r="IK244" i="40"/>
  <c r="IN244" i="40" s="1"/>
  <c r="IP243" i="40"/>
  <c r="II244" i="40"/>
  <c r="IL244" i="40" s="1"/>
  <c r="IQ453" i="40"/>
  <c r="IO453" i="40"/>
  <c r="IO245" i="40"/>
  <c r="II245" i="40"/>
  <c r="IL245" i="40" s="1"/>
  <c r="AL455" i="40"/>
  <c r="AL245" i="40"/>
  <c r="AL453" i="40"/>
  <c r="IK245" i="40"/>
  <c r="IN245" i="40" s="1"/>
  <c r="IP244" i="40"/>
  <c r="IO454" i="40"/>
  <c r="AK245" i="40"/>
  <c r="IJ245" i="40"/>
  <c r="IM245" i="40" s="1"/>
  <c r="IQ245" i="40"/>
  <c r="IO246" i="40"/>
  <c r="AK453" i="40"/>
  <c r="AL454" i="40"/>
  <c r="IQ454" i="40"/>
  <c r="AL246" i="40"/>
  <c r="AK455" i="40"/>
  <c r="IP454" i="40"/>
  <c r="IQ247" i="40"/>
  <c r="IP453" i="40"/>
  <c r="JF247" i="40"/>
  <c r="HN247" i="40" s="1"/>
  <c r="AL247" i="40"/>
  <c r="IP245" i="40"/>
  <c r="IP452" i="40"/>
  <c r="AK454" i="40"/>
  <c r="IQ246" i="40"/>
  <c r="AK246" i="40"/>
  <c r="AL456" i="40"/>
  <c r="IQ248" i="40"/>
  <c r="IO456" i="40"/>
  <c r="IK247" i="40"/>
  <c r="IN247" i="40" s="1"/>
  <c r="JF246" i="40"/>
  <c r="HN246" i="40" s="1"/>
  <c r="IK246" i="40"/>
  <c r="IN246" i="40" s="1"/>
  <c r="II246" i="40"/>
  <c r="IL246" i="40" s="1"/>
  <c r="IQ455" i="40"/>
  <c r="IO248" i="40"/>
  <c r="IP247" i="40"/>
  <c r="IO455" i="40"/>
  <c r="AK247" i="40"/>
  <c r="II247" i="40"/>
  <c r="IL247" i="40" s="1"/>
  <c r="IP246" i="40"/>
  <c r="AL248" i="40"/>
  <c r="IQ456" i="40"/>
  <c r="AK248" i="40"/>
  <c r="AK456" i="40"/>
  <c r="IJ246" i="40"/>
  <c r="IM246" i="40" s="1"/>
  <c r="IJ247" i="40"/>
  <c r="IM247" i="40" s="1"/>
  <c r="IP248" i="40"/>
  <c r="IJ248" i="40"/>
  <c r="IM248" i="40" s="1"/>
  <c r="IQ457" i="40"/>
  <c r="AK249" i="40"/>
  <c r="IP456" i="40"/>
  <c r="IK249" i="40"/>
  <c r="IN249" i="40" s="1"/>
  <c r="AK457" i="40"/>
  <c r="AL249" i="40"/>
  <c r="JF248" i="40"/>
  <c r="HN248" i="40" s="1"/>
  <c r="IP455" i="40"/>
  <c r="AL458" i="40"/>
  <c r="IK248" i="40"/>
  <c r="IN248" i="40" s="1"/>
  <c r="II248" i="40"/>
  <c r="IL248" i="40" s="1"/>
  <c r="IO249" i="40"/>
  <c r="IJ249" i="40"/>
  <c r="IM249" i="40" s="1"/>
  <c r="II249" i="40"/>
  <c r="IL249" i="40" s="1"/>
  <c r="IQ249" i="40"/>
  <c r="IO457" i="40"/>
  <c r="IK253" i="40"/>
  <c r="IN253" i="40" s="1"/>
  <c r="JF249" i="40"/>
  <c r="HM249" i="40" s="1"/>
  <c r="AL457" i="40"/>
  <c r="AK458" i="40"/>
  <c r="AK250" i="40"/>
  <c r="IJ250" i="40"/>
  <c r="IM250" i="40" s="1"/>
  <c r="IQ458" i="40"/>
  <c r="IO250" i="40"/>
  <c r="AL250" i="40"/>
  <c r="JF250" i="40"/>
  <c r="HN250" i="40" s="1"/>
  <c r="IK250" i="40"/>
  <c r="IN250" i="40" s="1"/>
  <c r="IQ250" i="40"/>
  <c r="AL460" i="40"/>
  <c r="IO458" i="40"/>
  <c r="IP249" i="40"/>
  <c r="IO251" i="40"/>
  <c r="II250" i="40"/>
  <c r="IL250" i="40" s="1"/>
  <c r="AK460" i="40"/>
  <c r="AK251" i="40"/>
  <c r="IJ251" i="40"/>
  <c r="IM251" i="40" s="1"/>
  <c r="AL252" i="40"/>
  <c r="AK459" i="40"/>
  <c r="IQ251" i="40"/>
  <c r="AK461" i="40"/>
  <c r="AL251" i="40"/>
  <c r="AK252" i="40"/>
  <c r="IK251" i="40"/>
  <c r="IN251" i="40" s="1"/>
  <c r="IQ459" i="40"/>
  <c r="IP250" i="40"/>
  <c r="JF251" i="40"/>
  <c r="HO251" i="40" s="1"/>
  <c r="IP457" i="40"/>
  <c r="II251" i="40"/>
  <c r="IL251" i="40" s="1"/>
  <c r="AL459" i="40"/>
  <c r="IQ460" i="40"/>
  <c r="IP458" i="40"/>
  <c r="IQ252" i="40"/>
  <c r="IO459" i="40"/>
  <c r="IP253" i="40"/>
  <c r="JF253" i="40"/>
  <c r="HN253" i="40" s="1"/>
  <c r="II253" i="40"/>
  <c r="IL253" i="40" s="1"/>
  <c r="AL463" i="40"/>
  <c r="AL461" i="40"/>
  <c r="IJ253" i="40"/>
  <c r="IM253" i="40" s="1"/>
  <c r="IP459" i="40"/>
  <c r="AL255" i="40"/>
  <c r="AK253" i="40"/>
  <c r="IQ461" i="40"/>
  <c r="AL253" i="40"/>
  <c r="IO460" i="40"/>
  <c r="IO461" i="40"/>
  <c r="IJ252" i="40"/>
  <c r="IM252" i="40" s="1"/>
  <c r="IP251" i="40"/>
  <c r="IQ253" i="40"/>
  <c r="JF252" i="40"/>
  <c r="HN252" i="40" s="1"/>
  <c r="IP252" i="40"/>
  <c r="IQ464" i="40"/>
  <c r="IP460" i="40"/>
  <c r="IK252" i="40"/>
  <c r="IN252" i="40" s="1"/>
  <c r="II252" i="40"/>
  <c r="IL252" i="40" s="1"/>
  <c r="IO253" i="40"/>
  <c r="IO252" i="40"/>
  <c r="IO463" i="40"/>
  <c r="IQ462" i="40"/>
  <c r="II254" i="40"/>
  <c r="IL254" i="40" s="1"/>
  <c r="IK254" i="40"/>
  <c r="IN254" i="40" s="1"/>
  <c r="IP461" i="40"/>
  <c r="IO255" i="40"/>
  <c r="JF254" i="40"/>
  <c r="HN254" i="40" s="1"/>
  <c r="II255" i="40"/>
  <c r="IL255" i="40" s="1"/>
  <c r="IO254" i="40"/>
  <c r="IJ255" i="40"/>
  <c r="IM255" i="40" s="1"/>
  <c r="AK255" i="40"/>
  <c r="AL462" i="40"/>
  <c r="IQ255" i="40"/>
  <c r="AL465" i="40"/>
  <c r="AK254" i="40"/>
  <c r="JF255" i="40"/>
  <c r="HN255" i="40" s="1"/>
  <c r="IJ254" i="40"/>
  <c r="IM254" i="40" s="1"/>
  <c r="AK462" i="40"/>
  <c r="AL257" i="40"/>
  <c r="IK255" i="40"/>
  <c r="IN255" i="40" s="1"/>
  <c r="IP462" i="40"/>
  <c r="IP255" i="40"/>
  <c r="IP464" i="40"/>
  <c r="IP463" i="40"/>
  <c r="AK463" i="40"/>
  <c r="AL464" i="40"/>
  <c r="IK256" i="40"/>
  <c r="IN256" i="40" s="1"/>
  <c r="IO462" i="40"/>
  <c r="IQ256" i="40"/>
  <c r="IO256" i="40"/>
  <c r="IO465" i="40"/>
  <c r="IQ254" i="40"/>
  <c r="AL254" i="40"/>
  <c r="IQ463" i="40"/>
  <c r="AK256" i="40"/>
  <c r="AL256" i="40"/>
  <c r="AK257" i="40"/>
  <c r="IP254" i="40"/>
  <c r="II256" i="40"/>
  <c r="IL256" i="40" s="1"/>
  <c r="IK258" i="40"/>
  <c r="IN258" i="40" s="1"/>
  <c r="IO258" i="40"/>
  <c r="IJ256" i="40"/>
  <c r="IM256" i="40" s="1"/>
  <c r="JF257" i="40"/>
  <c r="HN257" i="40" s="1"/>
  <c r="IQ465" i="40"/>
  <c r="IP256" i="40"/>
  <c r="JF256" i="40"/>
  <c r="HO256" i="40" s="1"/>
  <c r="AK465" i="40"/>
  <c r="AK466" i="40"/>
  <c r="IQ257" i="40"/>
  <c r="AK464" i="40"/>
  <c r="II257" i="40"/>
  <c r="IL257" i="40" s="1"/>
  <c r="IO464" i="40"/>
  <c r="IO257" i="40"/>
  <c r="IQ258" i="40"/>
  <c r="AL259" i="40"/>
  <c r="AK258" i="40"/>
  <c r="II258" i="40"/>
  <c r="IL258" i="40" s="1"/>
  <c r="IK259" i="40"/>
  <c r="IN259" i="40" s="1"/>
  <c r="AL258" i="40"/>
  <c r="AK260" i="40"/>
  <c r="IJ258" i="40"/>
  <c r="IM258" i="40" s="1"/>
  <c r="JF259" i="40"/>
  <c r="HN259" i="40" s="1"/>
  <c r="IJ257" i="40"/>
  <c r="IM257" i="40" s="1"/>
  <c r="IK257" i="40"/>
  <c r="IN257" i="40" s="1"/>
  <c r="IO467" i="40"/>
  <c r="IQ259" i="40"/>
  <c r="JF258" i="40"/>
  <c r="HO258" i="40" s="1"/>
  <c r="IQ467" i="40"/>
  <c r="IJ259" i="40"/>
  <c r="IM259" i="40" s="1"/>
  <c r="AL468" i="40"/>
  <c r="IQ466" i="40"/>
  <c r="AL466" i="40"/>
  <c r="IP257" i="40"/>
  <c r="AK259" i="40"/>
  <c r="IO466" i="40"/>
  <c r="IP258" i="40"/>
  <c r="IQ260" i="40"/>
  <c r="AK467" i="40"/>
  <c r="II259" i="40"/>
  <c r="IL259" i="40" s="1"/>
  <c r="IP259" i="40"/>
  <c r="IP465" i="40"/>
  <c r="IP467" i="40"/>
  <c r="AK468" i="40"/>
  <c r="IO259" i="40"/>
  <c r="IO260" i="40"/>
  <c r="IQ468" i="40"/>
  <c r="IP466" i="40"/>
  <c r="IK261" i="40"/>
  <c r="IN261" i="40" s="1"/>
  <c r="AL467" i="40"/>
  <c r="AL260" i="40"/>
  <c r="IO468" i="40"/>
  <c r="JF261" i="40"/>
  <c r="HN261" i="40" s="1"/>
  <c r="AL261" i="40"/>
  <c r="II262" i="40"/>
  <c r="IL262" i="40" s="1"/>
  <c r="AK469" i="40"/>
  <c r="IQ469" i="40"/>
  <c r="II261" i="40"/>
  <c r="IL261" i="40" s="1"/>
  <c r="IQ261" i="40"/>
  <c r="IK260" i="40"/>
  <c r="IN260" i="40" s="1"/>
  <c r="JF260" i="40"/>
  <c r="HO260" i="40" s="1"/>
  <c r="AK261" i="40"/>
  <c r="IO470" i="40"/>
  <c r="AL469" i="40"/>
  <c r="IP468" i="40"/>
  <c r="IJ260" i="40"/>
  <c r="IM260" i="40" s="1"/>
  <c r="IJ261" i="40"/>
  <c r="IM261" i="40" s="1"/>
  <c r="IP260" i="40"/>
  <c r="IO261" i="40"/>
  <c r="IO469" i="40"/>
  <c r="II260" i="40"/>
  <c r="IL260" i="40" s="1"/>
  <c r="IP261" i="40"/>
  <c r="IO262" i="40"/>
  <c r="IO472" i="40"/>
  <c r="IK263" i="40"/>
  <c r="IN263" i="40" s="1"/>
  <c r="AK470" i="40"/>
  <c r="AL263" i="40"/>
  <c r="IK262" i="40"/>
  <c r="IN262" i="40" s="1"/>
  <c r="IQ471" i="40"/>
  <c r="AL262" i="40"/>
  <c r="IP471" i="40"/>
  <c r="JF262" i="40"/>
  <c r="HO262" i="40" s="1"/>
  <c r="JF263" i="40"/>
  <c r="HN263" i="40" s="1"/>
  <c r="IQ262" i="40"/>
  <c r="IJ262" i="40"/>
  <c r="IM262" i="40" s="1"/>
  <c r="IQ470" i="40"/>
  <c r="AK262" i="40"/>
  <c r="IO263" i="40"/>
  <c r="II263" i="40"/>
  <c r="IL263" i="40" s="1"/>
  <c r="IQ263" i="40"/>
  <c r="AL470" i="40"/>
  <c r="IO471" i="40"/>
  <c r="AK473" i="40"/>
  <c r="IP469" i="40"/>
  <c r="HO263" i="40"/>
  <c r="AL265" i="40"/>
  <c r="IQ472" i="40"/>
  <c r="AK263" i="40"/>
  <c r="AK264" i="40"/>
  <c r="AK471" i="40"/>
  <c r="JF264" i="40"/>
  <c r="HM264" i="40" s="1"/>
  <c r="IO265" i="40"/>
  <c r="IJ263" i="40"/>
  <c r="IM263" i="40" s="1"/>
  <c r="II265" i="40"/>
  <c r="IL265" i="40" s="1"/>
  <c r="IK264" i="40"/>
  <c r="IN264" i="40" s="1"/>
  <c r="IO473" i="40"/>
  <c r="AK472" i="40"/>
  <c r="AL473" i="40"/>
  <c r="IK266" i="40"/>
  <c r="IN266" i="40" s="1"/>
  <c r="IP264" i="40"/>
  <c r="IJ266" i="40"/>
  <c r="IM266" i="40" s="1"/>
  <c r="JF265" i="40"/>
  <c r="HN265" i="40" s="1"/>
  <c r="IQ473" i="40"/>
  <c r="IP262" i="40"/>
  <c r="IP472" i="40"/>
  <c r="IK265" i="40"/>
  <c r="IN265" i="40" s="1"/>
  <c r="IP263" i="40"/>
  <c r="IQ264" i="40"/>
  <c r="IJ264" i="40"/>
  <c r="IM264" i="40" s="1"/>
  <c r="AL264" i="40"/>
  <c r="IQ265" i="40"/>
  <c r="JF266" i="40"/>
  <c r="HM266" i="40" s="1"/>
  <c r="AK265" i="40"/>
  <c r="J48" i="66" s="1"/>
  <c r="II264" i="40"/>
  <c r="IL264" i="40" s="1"/>
  <c r="AL471" i="40"/>
  <c r="AL472" i="40"/>
  <c r="IO264" i="40"/>
  <c r="II266" i="40"/>
  <c r="IL266" i="40" s="1"/>
  <c r="IO266" i="40"/>
  <c r="HO266" i="40"/>
  <c r="AL474" i="40"/>
  <c r="IO267" i="40"/>
  <c r="IQ475" i="40"/>
  <c r="AK266" i="40"/>
  <c r="IQ474" i="40"/>
  <c r="IK267" i="40"/>
  <c r="IN267" i="40" s="1"/>
  <c r="JF267" i="40"/>
  <c r="HN267" i="40" s="1"/>
  <c r="IQ266" i="40"/>
  <c r="IP265" i="40"/>
  <c r="IJ265" i="40"/>
  <c r="IM265" i="40" s="1"/>
  <c r="IP470" i="40"/>
  <c r="IO474" i="40"/>
  <c r="IO475" i="40"/>
  <c r="II267" i="40"/>
  <c r="IL267" i="40" s="1"/>
  <c r="IP473" i="40"/>
  <c r="AL266" i="40"/>
  <c r="AK268" i="40"/>
  <c r="AL476" i="40"/>
  <c r="AK474" i="40"/>
  <c r="AL267" i="40"/>
  <c r="AK267" i="40"/>
  <c r="AK475" i="40"/>
  <c r="IP474" i="40"/>
  <c r="AK477" i="40"/>
  <c r="IJ267" i="40"/>
  <c r="IM267" i="40" s="1"/>
  <c r="IO268" i="40"/>
  <c r="IQ268" i="40"/>
  <c r="AL268" i="40"/>
  <c r="AL475" i="40"/>
  <c r="II268" i="40"/>
  <c r="IL268" i="40" s="1"/>
  <c r="IP266" i="40"/>
  <c r="IQ267" i="40"/>
  <c r="AK476" i="40"/>
  <c r="II269" i="40"/>
  <c r="IL269" i="40" s="1"/>
  <c r="IO270" i="40"/>
  <c r="IP267" i="40"/>
  <c r="IK269" i="40"/>
  <c r="IN269" i="40" s="1"/>
  <c r="IJ268" i="40"/>
  <c r="IM268" i="40" s="1"/>
  <c r="IJ270" i="40"/>
  <c r="IM270" i="40" s="1"/>
  <c r="JF270" i="40"/>
  <c r="HN270" i="40" s="1"/>
  <c r="IP268" i="40"/>
  <c r="IJ269" i="40"/>
  <c r="IM269" i="40" s="1"/>
  <c r="JF269" i="40"/>
  <c r="HN269" i="40" s="1"/>
  <c r="IQ270" i="40"/>
  <c r="JF268" i="40"/>
  <c r="HN268" i="40" s="1"/>
  <c r="IQ269" i="40"/>
  <c r="IO269" i="40"/>
  <c r="IP269" i="40"/>
  <c r="AL269" i="40"/>
  <c r="AL477" i="40"/>
  <c r="AK269" i="40"/>
  <c r="AL478" i="40"/>
  <c r="IK268" i="40"/>
  <c r="IN268" i="40" s="1"/>
  <c r="AL270" i="40"/>
  <c r="II270" i="40"/>
  <c r="IL270" i="40" s="1"/>
  <c r="IP475" i="40"/>
  <c r="IQ271" i="40"/>
  <c r="AL479" i="40"/>
  <c r="AK478" i="40"/>
  <c r="IK270" i="40"/>
  <c r="IN270" i="40" s="1"/>
  <c r="IO271" i="40"/>
  <c r="IO272" i="40"/>
  <c r="IP270" i="40"/>
  <c r="II272" i="40"/>
  <c r="IL272" i="40" s="1"/>
  <c r="AK272" i="40"/>
  <c r="AL480" i="40"/>
  <c r="AK479" i="40"/>
  <c r="IJ271" i="40"/>
  <c r="IM271" i="40" s="1"/>
  <c r="IK271" i="40"/>
  <c r="IN271" i="40" s="1"/>
  <c r="JF271" i="40"/>
  <c r="HN271" i="40" s="1"/>
  <c r="AL272" i="40"/>
  <c r="AL271" i="40"/>
  <c r="II271" i="40"/>
  <c r="IL271" i="40" s="1"/>
  <c r="AK270" i="40"/>
  <c r="AK271" i="40"/>
  <c r="IK273" i="40"/>
  <c r="IN273" i="40" s="1"/>
  <c r="AK480" i="40"/>
  <c r="IK272" i="40"/>
  <c r="IN272" i="40" s="1"/>
  <c r="IO273" i="40"/>
  <c r="II273" i="40"/>
  <c r="IL273" i="40" s="1"/>
  <c r="IQ272" i="40"/>
  <c r="IQ273" i="40"/>
  <c r="JF273" i="40"/>
  <c r="HN273" i="40" s="1"/>
  <c r="JF272" i="40"/>
  <c r="HN272" i="40" s="1"/>
  <c r="IP271" i="40"/>
  <c r="IJ273" i="40"/>
  <c r="IM273" i="40" s="1"/>
  <c r="IP272" i="40"/>
  <c r="IJ272" i="40"/>
  <c r="IM272" i="40" s="1"/>
  <c r="AL481" i="40"/>
  <c r="AK276" i="40"/>
  <c r="IO274" i="40"/>
  <c r="AL273" i="40"/>
  <c r="IK274" i="40"/>
  <c r="IN274" i="40" s="1"/>
  <c r="IQ274" i="40"/>
  <c r="AK482" i="40"/>
  <c r="JF274" i="40"/>
  <c r="HO274" i="40" s="1"/>
  <c r="AK274" i="40"/>
  <c r="AK481" i="40"/>
  <c r="AL482" i="40"/>
  <c r="AK273" i="40"/>
  <c r="II274" i="40"/>
  <c r="IL274" i="40" s="1"/>
  <c r="IP273" i="40"/>
  <c r="AL274" i="40"/>
  <c r="IJ274" i="40"/>
  <c r="IM274" i="40" s="1"/>
  <c r="IJ275" i="40"/>
  <c r="IM275" i="40" s="1"/>
  <c r="JF275" i="40"/>
  <c r="HN275" i="40" s="1"/>
  <c r="II275" i="40"/>
  <c r="IL275" i="40" s="1"/>
  <c r="AK275" i="40"/>
  <c r="IP274" i="40"/>
  <c r="AK483" i="40"/>
  <c r="AL276" i="40"/>
  <c r="IQ275" i="40"/>
  <c r="IK275" i="40"/>
  <c r="IN275" i="40" s="1"/>
  <c r="IO275" i="40"/>
  <c r="AL484" i="40"/>
  <c r="AL275" i="40"/>
  <c r="AL483" i="40"/>
  <c r="AL485" i="40"/>
  <c r="AK484" i="40"/>
  <c r="AL277" i="40"/>
  <c r="AK277" i="40"/>
  <c r="IP275" i="40"/>
  <c r="AK485" i="40"/>
  <c r="AL487" i="40"/>
  <c r="AL279" i="40"/>
  <c r="AK279" i="40"/>
  <c r="AL486" i="40"/>
  <c r="AK486" i="40"/>
  <c r="AL278" i="40"/>
  <c r="AK278" i="40"/>
  <c r="AK282" i="40"/>
  <c r="AK487" i="40"/>
  <c r="AL280" i="40"/>
  <c r="AK280" i="40"/>
  <c r="AK281" i="40"/>
  <c r="AL281" i="40"/>
  <c r="AK489" i="40"/>
  <c r="AL489" i="40"/>
  <c r="AL282" i="40"/>
  <c r="AL490" i="40"/>
  <c r="AK491" i="40"/>
  <c r="AL283" i="40"/>
  <c r="AK283" i="40"/>
  <c r="AL284" i="40"/>
  <c r="AK490" i="40"/>
  <c r="AL491" i="40"/>
  <c r="AK492" i="40"/>
  <c r="AL493" i="40"/>
  <c r="AK284" i="40"/>
  <c r="AL492" i="40"/>
  <c r="AK285" i="40"/>
  <c r="AL286" i="40"/>
  <c r="AL287" i="40"/>
  <c r="AL494" i="40"/>
  <c r="AL285" i="40"/>
  <c r="AL495" i="40"/>
  <c r="AK493" i="40"/>
  <c r="AK286" i="40"/>
  <c r="AK496" i="40"/>
  <c r="AK494" i="40"/>
  <c r="AL288" i="40"/>
  <c r="AK287" i="40"/>
  <c r="AK495" i="40"/>
  <c r="AK288" i="40"/>
  <c r="AL496" i="40"/>
  <c r="AL289" i="40"/>
  <c r="AK290" i="40"/>
  <c r="AK497" i="40"/>
  <c r="AL497" i="40"/>
  <c r="AL498" i="40"/>
  <c r="AL290" i="40"/>
  <c r="AK289" i="40"/>
  <c r="AK500" i="40"/>
  <c r="AK293" i="40"/>
  <c r="AL291" i="40"/>
  <c r="AK498" i="40"/>
  <c r="AK291" i="40"/>
  <c r="AL499" i="40"/>
  <c r="AL500" i="40"/>
  <c r="AL293" i="40"/>
  <c r="AK292" i="40"/>
  <c r="AL292" i="40"/>
  <c r="AK499" i="40"/>
  <c r="AK294" i="40"/>
  <c r="AL294" i="40"/>
  <c r="AL295" i="40"/>
  <c r="AK295" i="40"/>
  <c r="AK296" i="40"/>
  <c r="AL296" i="40"/>
  <c r="AK297" i="40"/>
  <c r="AL297" i="40"/>
  <c r="AK299" i="40"/>
  <c r="AL299" i="40"/>
  <c r="AK298" i="40"/>
  <c r="AL298" i="40"/>
  <c r="AK300" i="40"/>
  <c r="AL300" i="40"/>
  <c r="W48" i="59"/>
  <c r="Q35" i="59"/>
  <c r="P47" i="59"/>
  <c r="Q33" i="59"/>
  <c r="AB14" i="61"/>
  <c r="T14" i="61" s="1"/>
  <c r="V60" i="59"/>
  <c r="W60" i="59"/>
  <c r="Z60" i="59"/>
  <c r="AA60" i="59"/>
  <c r="P46" i="59"/>
  <c r="AJ13" i="61"/>
  <c r="AM13" i="61"/>
  <c r="Y60" i="59"/>
  <c r="X60" i="59"/>
  <c r="AJ14" i="61"/>
  <c r="AM14" i="61"/>
  <c r="W59" i="59"/>
  <c r="V59" i="59"/>
  <c r="X59" i="59"/>
  <c r="Y59" i="59"/>
  <c r="AN14" i="61"/>
  <c r="AD15" i="61"/>
  <c r="AH15" i="61" s="1"/>
  <c r="AB15" i="61"/>
  <c r="T15" i="61" s="1"/>
  <c r="AN13" i="61"/>
  <c r="HM421" i="40" l="1"/>
  <c r="HP421" i="40" s="1"/>
  <c r="HN318" i="40"/>
  <c r="HQ318" i="40" s="1"/>
  <c r="HM433" i="40"/>
  <c r="HP433" i="40" s="1"/>
  <c r="HN421" i="40"/>
  <c r="HQ421" i="40" s="1"/>
  <c r="HO553" i="40"/>
  <c r="HR553" i="40" s="1"/>
  <c r="HN578" i="40"/>
  <c r="HQ578" i="40" s="1"/>
  <c r="HO426" i="40"/>
  <c r="HR426" i="40" s="1"/>
  <c r="HN422" i="40"/>
  <c r="HQ422" i="40" s="1"/>
  <c r="HO537" i="40"/>
  <c r="HR537" i="40" s="1"/>
  <c r="HM422" i="40"/>
  <c r="HP422" i="40" s="1"/>
  <c r="HN424" i="40"/>
  <c r="HQ424" i="40" s="1"/>
  <c r="HM334" i="40"/>
  <c r="HP334" i="40" s="1"/>
  <c r="HM307" i="40"/>
  <c r="HP307" i="40" s="1"/>
  <c r="HM429" i="40"/>
  <c r="HP429" i="40" s="1"/>
  <c r="HN579" i="40"/>
  <c r="HN679" i="40" s="1"/>
  <c r="HO576" i="40"/>
  <c r="HR576" i="40" s="1"/>
  <c r="HR676" i="40" s="1"/>
  <c r="HM582" i="40"/>
  <c r="HM682" i="40" s="1"/>
  <c r="HO457" i="40"/>
  <c r="HR457" i="40" s="1"/>
  <c r="HM537" i="40"/>
  <c r="HP537" i="40" s="1"/>
  <c r="JH537" i="40" s="1"/>
  <c r="HM543" i="40"/>
  <c r="HP543" i="40" s="1"/>
  <c r="HO470" i="40"/>
  <c r="HR470" i="40" s="1"/>
  <c r="HO543" i="40"/>
  <c r="HR543" i="40" s="1"/>
  <c r="HN352" i="40"/>
  <c r="HQ352" i="40" s="1"/>
  <c r="HM438" i="40"/>
  <c r="HP438" i="40" s="1"/>
  <c r="HN457" i="40"/>
  <c r="HQ457" i="40" s="1"/>
  <c r="J44" i="69"/>
  <c r="J42" i="69"/>
  <c r="J38" i="69"/>
  <c r="J46" i="69"/>
  <c r="J36" i="69"/>
  <c r="HN566" i="40"/>
  <c r="HQ566" i="40" s="1"/>
  <c r="J42" i="68"/>
  <c r="J40" i="69"/>
  <c r="JB577" i="40"/>
  <c r="J46" i="68"/>
  <c r="HO579" i="40"/>
  <c r="HR579" i="40" s="1"/>
  <c r="HR679" i="40" s="1"/>
  <c r="HN582" i="40"/>
  <c r="HN682" i="40" s="1"/>
  <c r="JC578" i="40"/>
  <c r="HN583" i="40"/>
  <c r="HN683" i="40" s="1"/>
  <c r="JC580" i="40"/>
  <c r="HM576" i="40"/>
  <c r="HM676" i="40" s="1"/>
  <c r="HO578" i="40"/>
  <c r="HR578" i="40" s="1"/>
  <c r="HR678" i="40" s="1"/>
  <c r="JB578" i="40"/>
  <c r="JC576" i="40"/>
  <c r="HP578" i="40"/>
  <c r="HP678" i="40" s="1"/>
  <c r="HM678" i="40"/>
  <c r="JB580" i="40"/>
  <c r="HR582" i="40"/>
  <c r="HR682" i="40" s="1"/>
  <c r="HO682" i="40"/>
  <c r="JC582" i="40"/>
  <c r="HQ576" i="40"/>
  <c r="HQ676" i="40" s="1"/>
  <c r="HN676" i="40"/>
  <c r="JA579" i="40"/>
  <c r="HW579" i="40"/>
  <c r="HW679" i="40" s="1"/>
  <c r="HX579" i="40"/>
  <c r="HX679" i="40" s="1"/>
  <c r="HV579" i="40"/>
  <c r="JC577" i="40"/>
  <c r="J44" i="68"/>
  <c r="HP581" i="40"/>
  <c r="HM681" i="40"/>
  <c r="HP582" i="40"/>
  <c r="JA577" i="40"/>
  <c r="HW577" i="40"/>
  <c r="HW677" i="40" s="1"/>
  <c r="HV577" i="40"/>
  <c r="HX577" i="40"/>
  <c r="HX677" i="40" s="1"/>
  <c r="JA578" i="40"/>
  <c r="HW578" i="40"/>
  <c r="HW678" i="40" s="1"/>
  <c r="HX578" i="40"/>
  <c r="HX678" i="40" s="1"/>
  <c r="HV578" i="40"/>
  <c r="HP577" i="40"/>
  <c r="HM677" i="40"/>
  <c r="JA582" i="40"/>
  <c r="HV582" i="40"/>
  <c r="HX582" i="40"/>
  <c r="HX682" i="40" s="1"/>
  <c r="HW582" i="40"/>
  <c r="HW682" i="40" s="1"/>
  <c r="JA583" i="40"/>
  <c r="HV583" i="40"/>
  <c r="HX583" i="40"/>
  <c r="HX683" i="40" s="1"/>
  <c r="HW583" i="40"/>
  <c r="HW683" i="40" s="1"/>
  <c r="HP583" i="40"/>
  <c r="HM683" i="40"/>
  <c r="JA576" i="40"/>
  <c r="HV576" i="40"/>
  <c r="HW576" i="40"/>
  <c r="HW676" i="40" s="1"/>
  <c r="HX576" i="40"/>
  <c r="HX676" i="40" s="1"/>
  <c r="HO577" i="40"/>
  <c r="JA581" i="40"/>
  <c r="HV581" i="40"/>
  <c r="HW581" i="40"/>
  <c r="HW681" i="40" s="1"/>
  <c r="HX581" i="40"/>
  <c r="HX681" i="40" s="1"/>
  <c r="JB576" i="40"/>
  <c r="J40" i="68"/>
  <c r="HP580" i="40"/>
  <c r="HM680" i="40"/>
  <c r="HP579" i="40"/>
  <c r="HM679" i="40"/>
  <c r="JB581" i="40"/>
  <c r="JC583" i="40"/>
  <c r="HQ580" i="40"/>
  <c r="HQ680" i="40" s="1"/>
  <c r="HN680" i="40"/>
  <c r="HN577" i="40"/>
  <c r="JC579" i="40"/>
  <c r="JB579" i="40"/>
  <c r="HO583" i="40"/>
  <c r="HR581" i="40"/>
  <c r="HR681" i="40" s="1"/>
  <c r="HO681" i="40"/>
  <c r="HR580" i="40"/>
  <c r="HR680" i="40" s="1"/>
  <c r="HO680" i="40"/>
  <c r="JB583" i="40"/>
  <c r="HQ581" i="40"/>
  <c r="HQ681" i="40" s="1"/>
  <c r="HN681" i="40"/>
  <c r="JA580" i="40"/>
  <c r="HX580" i="40"/>
  <c r="HX680" i="40" s="1"/>
  <c r="HW580" i="40"/>
  <c r="HW680" i="40" s="1"/>
  <c r="HV580" i="40"/>
  <c r="JC581" i="40"/>
  <c r="J34" i="66"/>
  <c r="HM515" i="40"/>
  <c r="HP515" i="40" s="1"/>
  <c r="HN305" i="40"/>
  <c r="HQ305" i="40" s="1"/>
  <c r="HM557" i="40"/>
  <c r="HP557" i="40" s="1"/>
  <c r="HO340" i="40"/>
  <c r="HR340" i="40" s="1"/>
  <c r="J36" i="68"/>
  <c r="J38" i="68"/>
  <c r="HM350" i="40"/>
  <c r="HP350" i="40" s="1"/>
  <c r="HO547" i="40"/>
  <c r="HR547" i="40" s="1"/>
  <c r="HM547" i="40"/>
  <c r="HP547" i="40" s="1"/>
  <c r="HN350" i="40"/>
  <c r="HQ350" i="40" s="1"/>
  <c r="HM322" i="40"/>
  <c r="HP322" i="40" s="1"/>
  <c r="HN413" i="40"/>
  <c r="HQ413" i="40" s="1"/>
  <c r="HM343" i="40"/>
  <c r="HP343" i="40" s="1"/>
  <c r="HO360" i="40"/>
  <c r="HR360" i="40" s="1"/>
  <c r="HO335" i="40"/>
  <c r="HR335" i="40" s="1"/>
  <c r="HN316" i="40"/>
  <c r="HQ316" i="40" s="1"/>
  <c r="HM360" i="40"/>
  <c r="HP360" i="40" s="1"/>
  <c r="HO305" i="40"/>
  <c r="HR305" i="40" s="1"/>
  <c r="JH305" i="40" s="1"/>
  <c r="HO303" i="40"/>
  <c r="HR303" i="40" s="1"/>
  <c r="J44" i="66"/>
  <c r="J36" i="67"/>
  <c r="HM316" i="40"/>
  <c r="HP316" i="40" s="1"/>
  <c r="HO313" i="40"/>
  <c r="HR313" i="40" s="1"/>
  <c r="HM303" i="40"/>
  <c r="HP303" i="40" s="1"/>
  <c r="HN436" i="40"/>
  <c r="HQ436" i="40" s="1"/>
  <c r="HN338" i="40"/>
  <c r="HQ338" i="40" s="1"/>
  <c r="HN343" i="40"/>
  <c r="HQ343" i="40" s="1"/>
  <c r="HO552" i="40"/>
  <c r="HR552" i="40" s="1"/>
  <c r="J34" i="67"/>
  <c r="J46" i="66"/>
  <c r="J42" i="66"/>
  <c r="J36" i="66"/>
  <c r="J46" i="67"/>
  <c r="J40" i="66"/>
  <c r="J42" i="67"/>
  <c r="J38" i="66"/>
  <c r="J34" i="68"/>
  <c r="J40" i="67"/>
  <c r="J38" i="67"/>
  <c r="HO551" i="40"/>
  <c r="HR551" i="40" s="1"/>
  <c r="HO536" i="40"/>
  <c r="HR536" i="40" s="1"/>
  <c r="HM551" i="40"/>
  <c r="HP551" i="40" s="1"/>
  <c r="HN351" i="40"/>
  <c r="HQ351" i="40" s="1"/>
  <c r="HM369" i="40"/>
  <c r="HP369" i="40" s="1"/>
  <c r="HN337" i="40"/>
  <c r="HQ337" i="40" s="1"/>
  <c r="HM554" i="40"/>
  <c r="HP554" i="40" s="1"/>
  <c r="HM445" i="40"/>
  <c r="HP445" i="40" s="1"/>
  <c r="HN342" i="40"/>
  <c r="HQ342" i="40" s="1"/>
  <c r="J34" i="69"/>
  <c r="HO573" i="40"/>
  <c r="HR573" i="40" s="1"/>
  <c r="HO369" i="40"/>
  <c r="HR369" i="40" s="1"/>
  <c r="HO375" i="40"/>
  <c r="HR375" i="40" s="1"/>
  <c r="HM363" i="40"/>
  <c r="HP363" i="40" s="1"/>
  <c r="HO319" i="40"/>
  <c r="HR319" i="40" s="1"/>
  <c r="HM209" i="40"/>
  <c r="HP209" i="40" s="1"/>
  <c r="HM355" i="40"/>
  <c r="HP355" i="40" s="1"/>
  <c r="HO317" i="40"/>
  <c r="HR317" i="40" s="1"/>
  <c r="HM533" i="40"/>
  <c r="HP533" i="40" s="1"/>
  <c r="HM375" i="40"/>
  <c r="HP375" i="40" s="1"/>
  <c r="HN301" i="40"/>
  <c r="HQ301" i="40" s="1"/>
  <c r="HO355" i="40"/>
  <c r="HR355" i="40" s="1"/>
  <c r="HN554" i="40"/>
  <c r="HQ554" i="40" s="1"/>
  <c r="HN406" i="40"/>
  <c r="HQ406" i="40" s="1"/>
  <c r="HM511" i="40"/>
  <c r="HP511" i="40" s="1"/>
  <c r="HM405" i="40"/>
  <c r="HP405" i="40" s="1"/>
  <c r="HN302" i="40"/>
  <c r="HQ302" i="40" s="1"/>
  <c r="HN308" i="40"/>
  <c r="HQ308" i="40" s="1"/>
  <c r="HO443" i="40"/>
  <c r="HR443" i="40" s="1"/>
  <c r="HM311" i="40"/>
  <c r="HP311" i="40" s="1"/>
  <c r="HN455" i="40"/>
  <c r="HQ455" i="40" s="1"/>
  <c r="HM510" i="40"/>
  <c r="HP510" i="40" s="1"/>
  <c r="HN364" i="40"/>
  <c r="HQ364" i="40" s="1"/>
  <c r="HM370" i="40"/>
  <c r="HP370" i="40" s="1"/>
  <c r="HN329" i="40"/>
  <c r="HQ329" i="40" s="1"/>
  <c r="HM351" i="40"/>
  <c r="HP351" i="40" s="1"/>
  <c r="JH351" i="40" s="1"/>
  <c r="HO312" i="40"/>
  <c r="HR312" i="40" s="1"/>
  <c r="HO455" i="40"/>
  <c r="HR455" i="40" s="1"/>
  <c r="HM308" i="40"/>
  <c r="HP308" i="40" s="1"/>
  <c r="HO311" i="40"/>
  <c r="HR311" i="40" s="1"/>
  <c r="HN509" i="40"/>
  <c r="HQ509" i="40" s="1"/>
  <c r="HO509" i="40"/>
  <c r="HR509" i="40" s="1"/>
  <c r="HO444" i="40"/>
  <c r="HR444" i="40" s="1"/>
  <c r="HN312" i="40"/>
  <c r="HQ312" i="40" s="1"/>
  <c r="HN256" i="40"/>
  <c r="HQ256" i="40" s="1"/>
  <c r="HM439" i="40"/>
  <c r="HP439" i="40" s="1"/>
  <c r="HO439" i="40"/>
  <c r="HR439" i="40" s="1"/>
  <c r="HM508" i="40"/>
  <c r="HP508" i="40" s="1"/>
  <c r="HO468" i="40"/>
  <c r="HR468" i="40" s="1"/>
  <c r="HM443" i="40"/>
  <c r="HP443" i="40" s="1"/>
  <c r="HM456" i="40"/>
  <c r="HP456" i="40" s="1"/>
  <c r="HN370" i="40"/>
  <c r="HQ370" i="40" s="1"/>
  <c r="HM452" i="40"/>
  <c r="HP452" i="40" s="1"/>
  <c r="HO558" i="40"/>
  <c r="HR558" i="40" s="1"/>
  <c r="HN423" i="40"/>
  <c r="HQ423" i="40" s="1"/>
  <c r="HM333" i="40"/>
  <c r="HP333" i="40" s="1"/>
  <c r="HO452" i="40"/>
  <c r="HR452" i="40" s="1"/>
  <c r="HO329" i="40"/>
  <c r="HR329" i="40" s="1"/>
  <c r="HM558" i="40"/>
  <c r="HP558" i="40" s="1"/>
  <c r="HN536" i="40"/>
  <c r="HQ536" i="40" s="1"/>
  <c r="HN511" i="40"/>
  <c r="HQ511" i="40" s="1"/>
  <c r="HM468" i="40"/>
  <c r="HP468" i="40" s="1"/>
  <c r="HM318" i="40"/>
  <c r="HP318" i="40" s="1"/>
  <c r="JH318" i="40" s="1"/>
  <c r="HO333" i="40"/>
  <c r="HR333" i="40" s="1"/>
  <c r="HN429" i="40"/>
  <c r="HQ429" i="40" s="1"/>
  <c r="HN348" i="40"/>
  <c r="HQ348" i="40" s="1"/>
  <c r="HO508" i="40"/>
  <c r="HR508" i="40" s="1"/>
  <c r="HN371" i="40"/>
  <c r="HQ371" i="40" s="1"/>
  <c r="HM371" i="40"/>
  <c r="HP371" i="40" s="1"/>
  <c r="HO405" i="40"/>
  <c r="HR405" i="40" s="1"/>
  <c r="HN243" i="40"/>
  <c r="HQ243" i="40" s="1"/>
  <c r="HN204" i="40"/>
  <c r="HQ204" i="40" s="1"/>
  <c r="HM243" i="40"/>
  <c r="HP243" i="40" s="1"/>
  <c r="HN442" i="40"/>
  <c r="HQ442" i="40" s="1"/>
  <c r="HM501" i="40"/>
  <c r="HP501" i="40" s="1"/>
  <c r="HM234" i="40"/>
  <c r="HP234" i="40" s="1"/>
  <c r="HO403" i="40"/>
  <c r="HR403" i="40" s="1"/>
  <c r="HN404" i="40"/>
  <c r="HQ404" i="40" s="1"/>
  <c r="HO404" i="40"/>
  <c r="HR404" i="40" s="1"/>
  <c r="HO373" i="40"/>
  <c r="HR373" i="40" s="1"/>
  <c r="HM402" i="40"/>
  <c r="HP402" i="40" s="1"/>
  <c r="HO206" i="40"/>
  <c r="HN403" i="40"/>
  <c r="HQ403" i="40" s="1"/>
  <c r="HO208" i="40"/>
  <c r="HR208" i="40" s="1"/>
  <c r="HM512" i="40"/>
  <c r="HP512" i="40" s="1"/>
  <c r="HO512" i="40"/>
  <c r="HR512" i="40" s="1"/>
  <c r="HM553" i="40"/>
  <c r="HP553" i="40" s="1"/>
  <c r="JH553" i="40" s="1"/>
  <c r="HO465" i="40"/>
  <c r="HR465" i="40" s="1"/>
  <c r="HO435" i="40"/>
  <c r="HR435" i="40" s="1"/>
  <c r="HO415" i="40"/>
  <c r="HR415" i="40" s="1"/>
  <c r="HM206" i="40"/>
  <c r="HO342" i="40"/>
  <c r="HR342" i="40" s="1"/>
  <c r="HO471" i="40"/>
  <c r="HR471" i="40" s="1"/>
  <c r="HO402" i="40"/>
  <c r="HR402" i="40" s="1"/>
  <c r="HM449" i="40"/>
  <c r="HP449" i="40" s="1"/>
  <c r="HM313" i="40"/>
  <c r="HP313" i="40" s="1"/>
  <c r="HN516" i="40"/>
  <c r="HQ516" i="40" s="1"/>
  <c r="HM310" i="40"/>
  <c r="HP310" i="40" s="1"/>
  <c r="HM323" i="40"/>
  <c r="HP323" i="40" s="1"/>
  <c r="HM507" i="40"/>
  <c r="HP507" i="40" s="1"/>
  <c r="HM471" i="40"/>
  <c r="HP471" i="40" s="1"/>
  <c r="JH471" i="40" s="1"/>
  <c r="HM202" i="40"/>
  <c r="HP202" i="40" s="1"/>
  <c r="HO520" i="40"/>
  <c r="HR520" i="40" s="1"/>
  <c r="HM531" i="40"/>
  <c r="HP531" i="40" s="1"/>
  <c r="HO408" i="40"/>
  <c r="HR408" i="40" s="1"/>
  <c r="HO425" i="40"/>
  <c r="HR425" i="40" s="1"/>
  <c r="HM417" i="40"/>
  <c r="HP417" i="40" s="1"/>
  <c r="HO417" i="40"/>
  <c r="HR417" i="40" s="1"/>
  <c r="HO202" i="40"/>
  <c r="HR202" i="40" s="1"/>
  <c r="HM542" i="40"/>
  <c r="HP542" i="40" s="1"/>
  <c r="HM260" i="40"/>
  <c r="HP260" i="40" s="1"/>
  <c r="HM474" i="40"/>
  <c r="HP474" i="40" s="1"/>
  <c r="HN518" i="40"/>
  <c r="HQ518" i="40" s="1"/>
  <c r="HO515" i="40"/>
  <c r="HR515" i="40" s="1"/>
  <c r="HO454" i="40"/>
  <c r="HR454" i="40" s="1"/>
  <c r="HM341" i="40"/>
  <c r="HP341" i="40" s="1"/>
  <c r="HN564" i="40"/>
  <c r="HQ564" i="40" s="1"/>
  <c r="HM529" i="40"/>
  <c r="HP529" i="40" s="1"/>
  <c r="HN361" i="40"/>
  <c r="HQ361" i="40" s="1"/>
  <c r="JH361" i="40" s="1"/>
  <c r="HO529" i="40"/>
  <c r="HR529" i="40" s="1"/>
  <c r="HO564" i="40"/>
  <c r="HR564" i="40" s="1"/>
  <c r="HO341" i="40"/>
  <c r="HR341" i="40" s="1"/>
  <c r="HO412" i="40"/>
  <c r="HR412" i="40" s="1"/>
  <c r="HM412" i="40"/>
  <c r="HP412" i="40" s="1"/>
  <c r="HM320" i="40"/>
  <c r="HP320" i="40" s="1"/>
  <c r="JH320" i="40" s="1"/>
  <c r="HO572" i="40"/>
  <c r="HR572" i="40" s="1"/>
  <c r="JH572" i="40" s="1"/>
  <c r="HN217" i="40"/>
  <c r="HN617" i="40" s="1"/>
  <c r="HM454" i="40"/>
  <c r="HP454" i="40" s="1"/>
  <c r="HO518" i="40"/>
  <c r="HR518" i="40" s="1"/>
  <c r="HO557" i="40"/>
  <c r="HR557" i="40" s="1"/>
  <c r="HO406" i="40"/>
  <c r="HR406" i="40" s="1"/>
  <c r="HN506" i="40"/>
  <c r="HQ506" i="40" s="1"/>
  <c r="JH506" i="40" s="1"/>
  <c r="KA506" i="40" s="1"/>
  <c r="HO534" i="40"/>
  <c r="HR534" i="40" s="1"/>
  <c r="HM534" i="40"/>
  <c r="HP534" i="40" s="1"/>
  <c r="HM358" i="40"/>
  <c r="HP358" i="40" s="1"/>
  <c r="JH358" i="40" s="1"/>
  <c r="HM571" i="40"/>
  <c r="HP571" i="40" s="1"/>
  <c r="HO336" i="40"/>
  <c r="HR336" i="40" s="1"/>
  <c r="HN426" i="40"/>
  <c r="HQ426" i="40" s="1"/>
  <c r="HM521" i="40"/>
  <c r="HP521" i="40" s="1"/>
  <c r="HN419" i="40"/>
  <c r="HQ419" i="40" s="1"/>
  <c r="HM309" i="40"/>
  <c r="HP309" i="40" s="1"/>
  <c r="HN538" i="40"/>
  <c r="HQ538" i="40" s="1"/>
  <c r="HN211" i="40"/>
  <c r="HM437" i="40"/>
  <c r="HP437" i="40" s="1"/>
  <c r="HO306" i="40"/>
  <c r="HR306" i="40" s="1"/>
  <c r="HO523" i="40"/>
  <c r="HR523" i="40" s="1"/>
  <c r="HM321" i="40"/>
  <c r="HP321" i="40" s="1"/>
  <c r="HO418" i="40"/>
  <c r="HR418" i="40" s="1"/>
  <c r="HO522" i="40"/>
  <c r="HR522" i="40" s="1"/>
  <c r="HN340" i="40"/>
  <c r="HQ340" i="40" s="1"/>
  <c r="HO469" i="40"/>
  <c r="HR469" i="40" s="1"/>
  <c r="HM335" i="40"/>
  <c r="HP335" i="40" s="1"/>
  <c r="JH335" i="40" s="1"/>
  <c r="HM418" i="40"/>
  <c r="HP418" i="40" s="1"/>
  <c r="HM419" i="40"/>
  <c r="HP419" i="40" s="1"/>
  <c r="HM365" i="40"/>
  <c r="HP365" i="40" s="1"/>
  <c r="HO472" i="40"/>
  <c r="HR472" i="40" s="1"/>
  <c r="HN552" i="40"/>
  <c r="HQ552" i="40" s="1"/>
  <c r="JH552" i="40" s="1"/>
  <c r="HM540" i="40"/>
  <c r="HP540" i="40" s="1"/>
  <c r="HO549" i="40"/>
  <c r="HR549" i="40" s="1"/>
  <c r="HO436" i="40"/>
  <c r="HR436" i="40" s="1"/>
  <c r="HO356" i="40"/>
  <c r="HR356" i="40" s="1"/>
  <c r="HN563" i="40"/>
  <c r="HQ563" i="40" s="1"/>
  <c r="HN503" i="40"/>
  <c r="HQ503" i="40" s="1"/>
  <c r="HO321" i="40"/>
  <c r="HR321" i="40" s="1"/>
  <c r="HN521" i="40"/>
  <c r="HQ521" i="40" s="1"/>
  <c r="HM561" i="40"/>
  <c r="HP561" i="40" s="1"/>
  <c r="HO563" i="40"/>
  <c r="HR563" i="40" s="1"/>
  <c r="HM573" i="40"/>
  <c r="HP573" i="40" s="1"/>
  <c r="HM555" i="40"/>
  <c r="HP555" i="40" s="1"/>
  <c r="HM538" i="40"/>
  <c r="HP538" i="40" s="1"/>
  <c r="JH538" i="40" s="1"/>
  <c r="HM519" i="40"/>
  <c r="HP519" i="40" s="1"/>
  <c r="HO437" i="40"/>
  <c r="HR437" i="40" s="1"/>
  <c r="HN368" i="40"/>
  <c r="HQ368" i="40" s="1"/>
  <c r="HN522" i="40"/>
  <c r="HQ522" i="40" s="1"/>
  <c r="HN504" i="40"/>
  <c r="HQ504" i="40" s="1"/>
  <c r="HO309" i="40"/>
  <c r="HR309" i="40" s="1"/>
  <c r="HM332" i="40"/>
  <c r="HP332" i="40" s="1"/>
  <c r="HO327" i="40"/>
  <c r="HR327" i="40" s="1"/>
  <c r="HO368" i="40"/>
  <c r="HR368" i="40" s="1"/>
  <c r="HN574" i="40"/>
  <c r="HQ574" i="40" s="1"/>
  <c r="HN532" i="40"/>
  <c r="HQ532" i="40" s="1"/>
  <c r="HM319" i="40"/>
  <c r="HP319" i="40" s="1"/>
  <c r="HM523" i="40"/>
  <c r="HP523" i="40" s="1"/>
  <c r="HM549" i="40"/>
  <c r="HP549" i="40" s="1"/>
  <c r="HM470" i="40"/>
  <c r="HP470" i="40" s="1"/>
  <c r="HM446" i="40"/>
  <c r="HP446" i="40" s="1"/>
  <c r="HO325" i="40"/>
  <c r="HR325" i="40" s="1"/>
  <c r="HO504" i="40"/>
  <c r="HR504" i="40" s="1"/>
  <c r="HN540" i="40"/>
  <c r="HQ540" i="40" s="1"/>
  <c r="HM306" i="40"/>
  <c r="HP306" i="40" s="1"/>
  <c r="HM346" i="40"/>
  <c r="HP346" i="40" s="1"/>
  <c r="HN356" i="40"/>
  <c r="HQ356" i="40" s="1"/>
  <c r="HM472" i="40"/>
  <c r="HP472" i="40" s="1"/>
  <c r="HO532" i="40"/>
  <c r="HR532" i="40" s="1"/>
  <c r="HM354" i="40"/>
  <c r="HP354" i="40" s="1"/>
  <c r="HN346" i="40"/>
  <c r="HQ346" i="40" s="1"/>
  <c r="HO338" i="40"/>
  <c r="HR338" i="40" s="1"/>
  <c r="HN354" i="40"/>
  <c r="HQ354" i="40" s="1"/>
  <c r="HM349" i="40"/>
  <c r="HP349" i="40" s="1"/>
  <c r="HO271" i="40"/>
  <c r="HR271" i="40" s="1"/>
  <c r="HN449" i="40"/>
  <c r="HQ449" i="40" s="1"/>
  <c r="AB60" i="59"/>
  <c r="HM213" i="40"/>
  <c r="HP213" i="40" s="1"/>
  <c r="HO473" i="40"/>
  <c r="HR473" i="40" s="1"/>
  <c r="HM440" i="40"/>
  <c r="HP440" i="40" s="1"/>
  <c r="HM409" i="40"/>
  <c r="HP409" i="40" s="1"/>
  <c r="HM450" i="40"/>
  <c r="HP450" i="40" s="1"/>
  <c r="HO414" i="40"/>
  <c r="HR414" i="40" s="1"/>
  <c r="HO207" i="40"/>
  <c r="HR207" i="40" s="1"/>
  <c r="HM208" i="40"/>
  <c r="HP208" i="40" s="1"/>
  <c r="HM317" i="40"/>
  <c r="HP317" i="40" s="1"/>
  <c r="HN416" i="40"/>
  <c r="HQ416" i="40" s="1"/>
  <c r="HM458" i="40"/>
  <c r="HP458" i="40" s="1"/>
  <c r="HM373" i="40"/>
  <c r="HP373" i="40" s="1"/>
  <c r="HO458" i="40"/>
  <c r="HR458" i="40" s="1"/>
  <c r="HO213" i="40"/>
  <c r="HR213" i="40" s="1"/>
  <c r="HR613" i="40" s="1"/>
  <c r="HM447" i="40"/>
  <c r="HP447" i="40" s="1"/>
  <c r="HO542" i="40"/>
  <c r="HR542" i="40" s="1"/>
  <c r="HO474" i="40"/>
  <c r="HR474" i="40" s="1"/>
  <c r="HN362" i="40"/>
  <c r="HQ362" i="40" s="1"/>
  <c r="HM416" i="40"/>
  <c r="HP416" i="40" s="1"/>
  <c r="HO450" i="40"/>
  <c r="HR450" i="40" s="1"/>
  <c r="HN207" i="40"/>
  <c r="HQ207" i="40" s="1"/>
  <c r="HM210" i="40"/>
  <c r="HP210" i="40" s="1"/>
  <c r="HM475" i="40"/>
  <c r="HP475" i="40" s="1"/>
  <c r="HO461" i="40"/>
  <c r="HR461" i="40" s="1"/>
  <c r="HO409" i="40"/>
  <c r="HR409" i="40" s="1"/>
  <c r="HO463" i="40"/>
  <c r="HR463" i="40" s="1"/>
  <c r="HO357" i="40"/>
  <c r="HR357" i="40" s="1"/>
  <c r="HO301" i="40"/>
  <c r="HR301" i="40" s="1"/>
  <c r="HO210" i="40"/>
  <c r="HR210" i="40" s="1"/>
  <c r="HM337" i="40"/>
  <c r="HP337" i="40" s="1"/>
  <c r="HN567" i="40"/>
  <c r="HQ567" i="40" s="1"/>
  <c r="HN440" i="40"/>
  <c r="HQ440" i="40" s="1"/>
  <c r="HN372" i="40"/>
  <c r="HQ372" i="40" s="1"/>
  <c r="HM565" i="40"/>
  <c r="HP565" i="40" s="1"/>
  <c r="HO568" i="40"/>
  <c r="HR568" i="40" s="1"/>
  <c r="HO514" i="40"/>
  <c r="HR514" i="40" s="1"/>
  <c r="HM314" i="40"/>
  <c r="HP314" i="40" s="1"/>
  <c r="HM570" i="40"/>
  <c r="HP570" i="40" s="1"/>
  <c r="HN562" i="40"/>
  <c r="HQ562" i="40" s="1"/>
  <c r="HO424" i="40"/>
  <c r="HR424" i="40" s="1"/>
  <c r="HN353" i="40"/>
  <c r="HQ353" i="40" s="1"/>
  <c r="HM414" i="40"/>
  <c r="HP414" i="40" s="1"/>
  <c r="JH414" i="40" s="1"/>
  <c r="HM462" i="40"/>
  <c r="HP462" i="40" s="1"/>
  <c r="HO539" i="40"/>
  <c r="HR539" i="40" s="1"/>
  <c r="HM362" i="40"/>
  <c r="HP362" i="40" s="1"/>
  <c r="HN448" i="40"/>
  <c r="HQ448" i="40" s="1"/>
  <c r="HO363" i="40"/>
  <c r="HR363" i="40" s="1"/>
  <c r="HM463" i="40"/>
  <c r="HP463" i="40" s="1"/>
  <c r="HO548" i="40"/>
  <c r="HR548" i="40" s="1"/>
  <c r="HM448" i="40"/>
  <c r="HP448" i="40" s="1"/>
  <c r="JH448" i="40" s="1"/>
  <c r="HN461" i="40"/>
  <c r="HQ461" i="40" s="1"/>
  <c r="HN330" i="40"/>
  <c r="HQ330" i="40" s="1"/>
  <c r="JH330" i="40" s="1"/>
  <c r="HO204" i="40"/>
  <c r="HO203" i="40"/>
  <c r="HR203" i="40" s="1"/>
  <c r="HM517" i="40"/>
  <c r="HP517" i="40" s="1"/>
  <c r="HO475" i="40"/>
  <c r="HR475" i="40" s="1"/>
  <c r="HM539" i="40"/>
  <c r="HP539" i="40" s="1"/>
  <c r="HM513" i="40"/>
  <c r="HP513" i="40" s="1"/>
  <c r="HO304" i="40"/>
  <c r="HR304" i="40" s="1"/>
  <c r="HM567" i="40"/>
  <c r="HP567" i="40" s="1"/>
  <c r="HM435" i="40"/>
  <c r="HP435" i="40" s="1"/>
  <c r="HM460" i="40"/>
  <c r="HP460" i="40" s="1"/>
  <c r="HN505" i="40"/>
  <c r="HQ505" i="40" s="1"/>
  <c r="HO447" i="40"/>
  <c r="HR447" i="40" s="1"/>
  <c r="HM444" i="40"/>
  <c r="HP444" i="40" s="1"/>
  <c r="JH444" i="40" s="1"/>
  <c r="HM357" i="40"/>
  <c r="HP357" i="40" s="1"/>
  <c r="HM514" i="40"/>
  <c r="HP514" i="40" s="1"/>
  <c r="HM339" i="40"/>
  <c r="HP339" i="40" s="1"/>
  <c r="HN548" i="40"/>
  <c r="HQ548" i="40" s="1"/>
  <c r="JH548" i="40" s="1"/>
  <c r="HO339" i="40"/>
  <c r="HR339" i="40" s="1"/>
  <c r="HO372" i="40"/>
  <c r="HR372" i="40" s="1"/>
  <c r="HM220" i="40"/>
  <c r="HP220" i="40" s="1"/>
  <c r="HN274" i="40"/>
  <c r="HQ274" i="40" s="1"/>
  <c r="HO232" i="40"/>
  <c r="HR232" i="40" s="1"/>
  <c r="HM230" i="40"/>
  <c r="HP230" i="40" s="1"/>
  <c r="HN219" i="40"/>
  <c r="HM545" i="40"/>
  <c r="HP545" i="40" s="1"/>
  <c r="HN264" i="40"/>
  <c r="HQ264" i="40" s="1"/>
  <c r="HM231" i="40"/>
  <c r="HP231" i="40" s="1"/>
  <c r="HN225" i="40"/>
  <c r="HQ225" i="40" s="1"/>
  <c r="HO519" i="40"/>
  <c r="HR519" i="40" s="1"/>
  <c r="HN428" i="40"/>
  <c r="HQ428" i="40" s="1"/>
  <c r="HO441" i="40"/>
  <c r="HR441" i="40" s="1"/>
  <c r="HM407" i="40"/>
  <c r="HP407" i="40" s="1"/>
  <c r="HN251" i="40"/>
  <c r="HQ251" i="40" s="1"/>
  <c r="HM251" i="40"/>
  <c r="HP251" i="40" s="1"/>
  <c r="HM247" i="40"/>
  <c r="HM244" i="40"/>
  <c r="HM237" i="40"/>
  <c r="HP237" i="40" s="1"/>
  <c r="HM408" i="40"/>
  <c r="HP408" i="40" s="1"/>
  <c r="HN453" i="40"/>
  <c r="HQ453" i="40" s="1"/>
  <c r="HN513" i="40"/>
  <c r="HQ513" i="40" s="1"/>
  <c r="HM575" i="40"/>
  <c r="HP575" i="40" s="1"/>
  <c r="HM541" i="40"/>
  <c r="HP541" i="40" s="1"/>
  <c r="HM425" i="40"/>
  <c r="HP425" i="40" s="1"/>
  <c r="HM520" i="40"/>
  <c r="HP520" i="40" s="1"/>
  <c r="HO541" i="40"/>
  <c r="HR541" i="40" s="1"/>
  <c r="HN332" i="40"/>
  <c r="HQ332" i="40" s="1"/>
  <c r="HO322" i="40"/>
  <c r="HR322" i="40" s="1"/>
  <c r="HO264" i="40"/>
  <c r="HR264" i="40" s="1"/>
  <c r="HO247" i="40"/>
  <c r="HR247" i="40" s="1"/>
  <c r="HM239" i="40"/>
  <c r="HP239" i="40" s="1"/>
  <c r="HN238" i="40"/>
  <c r="HQ238" i="40" s="1"/>
  <c r="HM238" i="40"/>
  <c r="HP238" i="40" s="1"/>
  <c r="HN237" i="40"/>
  <c r="HQ237" i="40" s="1"/>
  <c r="HM430" i="40"/>
  <c r="HP430" i="40" s="1"/>
  <c r="HM411" i="40"/>
  <c r="HP411" i="40" s="1"/>
  <c r="HN430" i="40"/>
  <c r="HQ430" i="40" s="1"/>
  <c r="HN434" i="40"/>
  <c r="HQ434" i="40" s="1"/>
  <c r="HO205" i="40"/>
  <c r="HR205" i="40" s="1"/>
  <c r="HN560" i="40"/>
  <c r="HQ560" i="40" s="1"/>
  <c r="HM526" i="40"/>
  <c r="HP526" i="40" s="1"/>
  <c r="HN336" i="40"/>
  <c r="HQ336" i="40" s="1"/>
  <c r="HN374" i="40"/>
  <c r="HQ374" i="40" s="1"/>
  <c r="HM469" i="40"/>
  <c r="HP469" i="40" s="1"/>
  <c r="HM413" i="40"/>
  <c r="HP413" i="40" s="1"/>
  <c r="HN266" i="40"/>
  <c r="HQ266" i="40" s="1"/>
  <c r="HO257" i="40"/>
  <c r="HR257" i="40" s="1"/>
  <c r="HN239" i="40"/>
  <c r="HQ239" i="40" s="1"/>
  <c r="HQ639" i="40" s="1"/>
  <c r="HO401" i="40"/>
  <c r="HR401" i="40" s="1"/>
  <c r="HM401" i="40"/>
  <c r="HP401" i="40" s="1"/>
  <c r="HO374" i="40"/>
  <c r="HR374" i="40" s="1"/>
  <c r="HM265" i="40"/>
  <c r="HP265" i="40" s="1"/>
  <c r="HM263" i="40"/>
  <c r="HP263" i="40" s="1"/>
  <c r="HM245" i="40"/>
  <c r="HP245" i="40" s="1"/>
  <c r="HO244" i="40"/>
  <c r="HR244" i="40" s="1"/>
  <c r="HO242" i="40"/>
  <c r="HR242" i="40" s="1"/>
  <c r="HN242" i="40"/>
  <c r="HQ242" i="40" s="1"/>
  <c r="HN234" i="40"/>
  <c r="HQ234" i="40" s="1"/>
  <c r="HM556" i="40"/>
  <c r="HP556" i="40" s="1"/>
  <c r="HN527" i="40"/>
  <c r="HQ527" i="40" s="1"/>
  <c r="HO445" i="40"/>
  <c r="HR445" i="40" s="1"/>
  <c r="HM326" i="40"/>
  <c r="HP326" i="40" s="1"/>
  <c r="HM546" i="40"/>
  <c r="HP546" i="40" s="1"/>
  <c r="HO531" i="40"/>
  <c r="HR531" i="40" s="1"/>
  <c r="HM327" i="40"/>
  <c r="HP327" i="40" s="1"/>
  <c r="HO269" i="40"/>
  <c r="HR269" i="40" s="1"/>
  <c r="HN260" i="40"/>
  <c r="HM252" i="40"/>
  <c r="HP252" i="40" s="1"/>
  <c r="HN236" i="40"/>
  <c r="HO230" i="40"/>
  <c r="HR230" i="40" s="1"/>
  <c r="HR630" i="40" s="1"/>
  <c r="HM225" i="40"/>
  <c r="HP225" i="40" s="1"/>
  <c r="HN222" i="40"/>
  <c r="HQ222" i="40" s="1"/>
  <c r="HM222" i="40"/>
  <c r="HP222" i="40" s="1"/>
  <c r="HM466" i="40"/>
  <c r="HP466" i="40" s="1"/>
  <c r="HO503" i="40"/>
  <c r="HR503" i="40" s="1"/>
  <c r="HM527" i="40"/>
  <c r="HP527" i="40" s="1"/>
  <c r="JH527" i="40" s="1"/>
  <c r="HO546" i="40"/>
  <c r="HR546" i="40" s="1"/>
  <c r="HO345" i="40"/>
  <c r="HR345" i="40" s="1"/>
  <c r="HO501" i="40"/>
  <c r="HR501" i="40" s="1"/>
  <c r="HN344" i="40"/>
  <c r="HQ344" i="40" s="1"/>
  <c r="HO344" i="40"/>
  <c r="HR344" i="40" s="1"/>
  <c r="HM268" i="40"/>
  <c r="HP268" i="40" s="1"/>
  <c r="HM267" i="40"/>
  <c r="HP267" i="40" s="1"/>
  <c r="HM257" i="40"/>
  <c r="HP257" i="40" s="1"/>
  <c r="HN229" i="40"/>
  <c r="HQ229" i="40" s="1"/>
  <c r="HO226" i="40"/>
  <c r="HR226" i="40" s="1"/>
  <c r="HM226" i="40"/>
  <c r="HP226" i="40" s="1"/>
  <c r="HN215" i="40"/>
  <c r="HQ215" i="40" s="1"/>
  <c r="HQ615" i="40" s="1"/>
  <c r="HM215" i="40"/>
  <c r="HP215" i="40" s="1"/>
  <c r="HM304" i="40"/>
  <c r="HP304" i="40" s="1"/>
  <c r="HQ272" i="40"/>
  <c r="HP242" i="40"/>
  <c r="HP240" i="40"/>
  <c r="HR251" i="40"/>
  <c r="HP249" i="40"/>
  <c r="HQ232" i="40"/>
  <c r="HR222" i="40"/>
  <c r="HQ206" i="40"/>
  <c r="HP236" i="40"/>
  <c r="HM636" i="40"/>
  <c r="HQ230" i="40"/>
  <c r="HQ223" i="40"/>
  <c r="HP216" i="40"/>
  <c r="HM275" i="40"/>
  <c r="HO272" i="40"/>
  <c r="JB267" i="40"/>
  <c r="JC275" i="40"/>
  <c r="JB275" i="40"/>
  <c r="JB273" i="40"/>
  <c r="HQ273" i="40"/>
  <c r="HQ673" i="40" s="1"/>
  <c r="HN673" i="40"/>
  <c r="HO273" i="40"/>
  <c r="JC272" i="40"/>
  <c r="HQ271" i="40"/>
  <c r="HM270" i="40"/>
  <c r="JC270" i="40"/>
  <c r="JC268" i="40"/>
  <c r="HQ268" i="40"/>
  <c r="JC269" i="40"/>
  <c r="HO268" i="40"/>
  <c r="HW267" i="40"/>
  <c r="HV267" i="40"/>
  <c r="HX267" i="40"/>
  <c r="JA267" i="40"/>
  <c r="JB265" i="40"/>
  <c r="HQ267" i="40"/>
  <c r="HV266" i="40"/>
  <c r="HX266" i="40"/>
  <c r="HW266" i="40"/>
  <c r="JA266" i="40"/>
  <c r="JA264" i="40"/>
  <c r="HW264" i="40"/>
  <c r="HV264" i="40"/>
  <c r="HX264" i="40"/>
  <c r="JC265" i="40"/>
  <c r="HQ265" i="40"/>
  <c r="JC264" i="40"/>
  <c r="HP264" i="40"/>
  <c r="HM664" i="40"/>
  <c r="HR263" i="40"/>
  <c r="HQ263" i="40"/>
  <c r="HM262" i="40"/>
  <c r="HM261" i="40"/>
  <c r="HR260" i="40"/>
  <c r="HO261" i="40"/>
  <c r="HQ259" i="40"/>
  <c r="HQ659" i="40" s="1"/>
  <c r="HN659" i="40"/>
  <c r="JC259" i="40"/>
  <c r="HO254" i="40"/>
  <c r="JC256" i="40"/>
  <c r="HW255" i="40"/>
  <c r="HX255" i="40"/>
  <c r="HV255" i="40"/>
  <c r="JA255" i="40"/>
  <c r="JC254" i="40"/>
  <c r="HM253" i="40"/>
  <c r="HO253" i="40"/>
  <c r="HO252" i="40"/>
  <c r="HW250" i="40"/>
  <c r="HV250" i="40"/>
  <c r="HX250" i="40"/>
  <c r="JA250" i="40"/>
  <c r="HO250" i="40"/>
  <c r="JB248" i="40"/>
  <c r="JB246" i="40"/>
  <c r="JC247" i="40"/>
  <c r="HQ247" i="40"/>
  <c r="HQ647" i="40" s="1"/>
  <c r="HN647" i="40"/>
  <c r="JC245" i="40"/>
  <c r="JC242" i="40"/>
  <c r="HN241" i="40"/>
  <c r="HX240" i="40"/>
  <c r="HV240" i="40"/>
  <c r="HW240" i="40"/>
  <c r="JA240" i="40"/>
  <c r="HN240" i="40"/>
  <c r="JB240" i="40"/>
  <c r="JB238" i="40"/>
  <c r="HV238" i="40"/>
  <c r="HW238" i="40"/>
  <c r="HX238" i="40"/>
  <c r="JA238" i="40"/>
  <c r="HX237" i="40"/>
  <c r="HW237" i="40"/>
  <c r="HV237" i="40"/>
  <c r="JA237" i="40"/>
  <c r="HO236" i="40"/>
  <c r="HN235" i="40"/>
  <c r="HN233" i="40"/>
  <c r="JC233" i="40"/>
  <c r="JB233" i="40"/>
  <c r="JC232" i="40"/>
  <c r="HM232" i="40"/>
  <c r="JC230" i="40"/>
  <c r="JB230" i="40"/>
  <c r="JC229" i="40"/>
  <c r="JB229" i="40"/>
  <c r="HO228" i="40"/>
  <c r="HM228" i="40"/>
  <c r="JC227" i="40"/>
  <c r="JC225" i="40"/>
  <c r="JC223" i="40"/>
  <c r="HW225" i="40"/>
  <c r="HX225" i="40"/>
  <c r="HV225" i="40"/>
  <c r="JA225" i="40"/>
  <c r="HM224" i="40"/>
  <c r="JC222" i="40"/>
  <c r="HO221" i="40"/>
  <c r="HQ220" i="40"/>
  <c r="HQ620" i="40" s="1"/>
  <c r="HN620" i="40"/>
  <c r="HV219" i="40"/>
  <c r="HX219" i="40"/>
  <c r="HW219" i="40"/>
  <c r="JA219" i="40"/>
  <c r="HP219" i="40"/>
  <c r="HW218" i="40"/>
  <c r="HV218" i="40"/>
  <c r="HX218" i="40"/>
  <c r="JA218" i="40"/>
  <c r="JC216" i="40"/>
  <c r="HR215" i="40"/>
  <c r="JB215" i="40"/>
  <c r="JB212" i="40"/>
  <c r="HV213" i="40"/>
  <c r="HX213" i="40"/>
  <c r="HW213" i="40"/>
  <c r="JA213" i="40"/>
  <c r="HQ212" i="40"/>
  <c r="JH559" i="40"/>
  <c r="JC212" i="40"/>
  <c r="JH315" i="40"/>
  <c r="JH535" i="40"/>
  <c r="HX542" i="40"/>
  <c r="JA542" i="40"/>
  <c r="HW542" i="40"/>
  <c r="HV542" i="40"/>
  <c r="JB563" i="40"/>
  <c r="JB514" i="40"/>
  <c r="JB410" i="40"/>
  <c r="HW440" i="40"/>
  <c r="HX440" i="40"/>
  <c r="JA440" i="40"/>
  <c r="HV440" i="40"/>
  <c r="JB373" i="40"/>
  <c r="JC443" i="40"/>
  <c r="HM420" i="40"/>
  <c r="HP420" i="40" s="1"/>
  <c r="JB358" i="40"/>
  <c r="HN451" i="40"/>
  <c r="HQ451" i="40" s="1"/>
  <c r="HV417" i="40"/>
  <c r="HX417" i="40"/>
  <c r="JA417" i="40"/>
  <c r="HW417" i="40"/>
  <c r="JC554" i="40"/>
  <c r="JC517" i="40"/>
  <c r="JA439" i="40"/>
  <c r="HW439" i="40"/>
  <c r="HV439" i="40"/>
  <c r="HX439" i="40"/>
  <c r="JB475" i="40"/>
  <c r="JC548" i="40"/>
  <c r="HN324" i="40"/>
  <c r="HQ324" i="40" s="1"/>
  <c r="JB437" i="40"/>
  <c r="JB302" i="40"/>
  <c r="HW443" i="40"/>
  <c r="HV443" i="40"/>
  <c r="JA443" i="40"/>
  <c r="HX443" i="40"/>
  <c r="JA414" i="40"/>
  <c r="HV414" i="40"/>
  <c r="HX414" i="40"/>
  <c r="HW414" i="40"/>
  <c r="JC507" i="40"/>
  <c r="HN565" i="40"/>
  <c r="HQ565" i="40" s="1"/>
  <c r="HV461" i="40"/>
  <c r="JA461" i="40"/>
  <c r="HX461" i="40"/>
  <c r="HW461" i="40"/>
  <c r="JB458" i="40"/>
  <c r="JB473" i="40"/>
  <c r="HN466" i="40"/>
  <c r="HQ466" i="40" s="1"/>
  <c r="JC521" i="40"/>
  <c r="HW347" i="40"/>
  <c r="HV347" i="40"/>
  <c r="HX347" i="40"/>
  <c r="JA347" i="40"/>
  <c r="HM562" i="40"/>
  <c r="HP562" i="40" s="1"/>
  <c r="JC459" i="40"/>
  <c r="JH359" i="40"/>
  <c r="JB564" i="40"/>
  <c r="HN314" i="40"/>
  <c r="HQ314" i="40" s="1"/>
  <c r="JC403" i="40"/>
  <c r="JB456" i="40"/>
  <c r="JA560" i="40"/>
  <c r="HV560" i="40"/>
  <c r="HX560" i="40"/>
  <c r="HW560" i="40"/>
  <c r="JB537" i="40"/>
  <c r="JC465" i="40"/>
  <c r="JC432" i="40"/>
  <c r="JB532" i="40"/>
  <c r="JB426" i="40"/>
  <c r="JC433" i="40"/>
  <c r="HX359" i="40"/>
  <c r="HW359" i="40"/>
  <c r="HV359" i="40"/>
  <c r="JA359" i="40"/>
  <c r="JC211" i="40"/>
  <c r="HV543" i="40"/>
  <c r="HW543" i="40"/>
  <c r="JA543" i="40"/>
  <c r="HX543" i="40"/>
  <c r="JB545" i="40"/>
  <c r="HW533" i="40"/>
  <c r="JA533" i="40"/>
  <c r="HX533" i="40"/>
  <c r="HV533" i="40"/>
  <c r="JB566" i="40"/>
  <c r="JH334" i="40"/>
  <c r="HX332" i="40"/>
  <c r="HW332" i="40"/>
  <c r="HV332" i="40"/>
  <c r="JA332" i="40"/>
  <c r="JC332" i="40"/>
  <c r="JC312" i="40"/>
  <c r="JB501" i="40"/>
  <c r="M11" i="61" s="1"/>
  <c r="Z11" i="61" s="1"/>
  <c r="JC527" i="40"/>
  <c r="JA408" i="40"/>
  <c r="HW408" i="40"/>
  <c r="HV408" i="40"/>
  <c r="HX408" i="40"/>
  <c r="JC534" i="40"/>
  <c r="HM428" i="40"/>
  <c r="HP428" i="40" s="1"/>
  <c r="JC473" i="40"/>
  <c r="JC445" i="40"/>
  <c r="JA526" i="40"/>
  <c r="HV526" i="40"/>
  <c r="HX526" i="40"/>
  <c r="HW526" i="40"/>
  <c r="JB522" i="40"/>
  <c r="JB420" i="40"/>
  <c r="JC431" i="40"/>
  <c r="JA473" i="40"/>
  <c r="HW473" i="40"/>
  <c r="HV473" i="40"/>
  <c r="HX473" i="40"/>
  <c r="JB425" i="40"/>
  <c r="JB312" i="40"/>
  <c r="HO347" i="40"/>
  <c r="HR347" i="40" s="1"/>
  <c r="HV539" i="40"/>
  <c r="JA539" i="40"/>
  <c r="HX539" i="40"/>
  <c r="HW539" i="40"/>
  <c r="HV559" i="40"/>
  <c r="JA559" i="40"/>
  <c r="HW559" i="40"/>
  <c r="HX559" i="40"/>
  <c r="JB528" i="40"/>
  <c r="HW362" i="40"/>
  <c r="HV362" i="40"/>
  <c r="HX362" i="40"/>
  <c r="JA362" i="40"/>
  <c r="HO561" i="40"/>
  <c r="HR561" i="40" s="1"/>
  <c r="JB535" i="40"/>
  <c r="HW375" i="40"/>
  <c r="HV375" i="40"/>
  <c r="HX375" i="40"/>
  <c r="JA375" i="40"/>
  <c r="JB502" i="40"/>
  <c r="JC209" i="40"/>
  <c r="HO533" i="40"/>
  <c r="HR533" i="40" s="1"/>
  <c r="HW531" i="40"/>
  <c r="HV531" i="40"/>
  <c r="JA531" i="40"/>
  <c r="HX531" i="40"/>
  <c r="JB401" i="40"/>
  <c r="M10" i="61" s="1"/>
  <c r="Z10" i="61" s="1"/>
  <c r="JB432" i="40"/>
  <c r="JB412" i="40"/>
  <c r="JA459" i="40"/>
  <c r="HW459" i="40"/>
  <c r="HV459" i="40"/>
  <c r="HX459" i="40"/>
  <c r="JB467" i="40"/>
  <c r="JB356" i="40"/>
  <c r="JH467" i="40"/>
  <c r="JC530" i="40"/>
  <c r="JB511" i="40"/>
  <c r="HV304" i="40"/>
  <c r="JA304" i="40"/>
  <c r="HX304" i="40"/>
  <c r="HW304" i="40"/>
  <c r="JB547" i="40"/>
  <c r="JA448" i="40"/>
  <c r="HX448" i="40"/>
  <c r="HW448" i="40"/>
  <c r="HV448" i="40"/>
  <c r="JC464" i="40"/>
  <c r="JC502" i="40"/>
  <c r="HM528" i="40"/>
  <c r="HP528" i="40" s="1"/>
  <c r="HN325" i="40"/>
  <c r="HQ325" i="40" s="1"/>
  <c r="JB454" i="40"/>
  <c r="JC450" i="40"/>
  <c r="JC531" i="40"/>
  <c r="JC368" i="40"/>
  <c r="JB204" i="40"/>
  <c r="HV360" i="40"/>
  <c r="HX360" i="40"/>
  <c r="HW360" i="40"/>
  <c r="JA360" i="40"/>
  <c r="JC535" i="40"/>
  <c r="HO462" i="40"/>
  <c r="HR462" i="40" s="1"/>
  <c r="JC472" i="40"/>
  <c r="JC330" i="40"/>
  <c r="JB465" i="40"/>
  <c r="HW524" i="40"/>
  <c r="JA524" i="40"/>
  <c r="HV524" i="40"/>
  <c r="HX524" i="40"/>
  <c r="HO556" i="40"/>
  <c r="HR556" i="40" s="1"/>
  <c r="HO352" i="40"/>
  <c r="HR352" i="40" s="1"/>
  <c r="JH352" i="40" s="1"/>
  <c r="JB421" i="40"/>
  <c r="JC361" i="40"/>
  <c r="JB551" i="40"/>
  <c r="HP201" i="40"/>
  <c r="JC373" i="40"/>
  <c r="HX357" i="40"/>
  <c r="HW357" i="40"/>
  <c r="HV357" i="40"/>
  <c r="JA357" i="40"/>
  <c r="JB529" i="40"/>
  <c r="HV530" i="40"/>
  <c r="HX530" i="40"/>
  <c r="JA530" i="40"/>
  <c r="HW530" i="40"/>
  <c r="HV338" i="40"/>
  <c r="HX338" i="40"/>
  <c r="HW338" i="40"/>
  <c r="JA338" i="40"/>
  <c r="JC460" i="40"/>
  <c r="JB517" i="40"/>
  <c r="JC456" i="40"/>
  <c r="JC458" i="40"/>
  <c r="JC405" i="40"/>
  <c r="JB434" i="40"/>
  <c r="JC451" i="40"/>
  <c r="HX514" i="40"/>
  <c r="JA514" i="40"/>
  <c r="HW514" i="40"/>
  <c r="HV514" i="40"/>
  <c r="JC563" i="40"/>
  <c r="JB435" i="40"/>
  <c r="JC430" i="40"/>
  <c r="HO427" i="40"/>
  <c r="HR427" i="40" s="1"/>
  <c r="JA562" i="40"/>
  <c r="HV562" i="40"/>
  <c r="HX562" i="40"/>
  <c r="HW562" i="40"/>
  <c r="HO328" i="40"/>
  <c r="HR328" i="40" s="1"/>
  <c r="HV369" i="40"/>
  <c r="HX369" i="40"/>
  <c r="HW369" i="40"/>
  <c r="JA369" i="40"/>
  <c r="JB503" i="40"/>
  <c r="JB431" i="40"/>
  <c r="JB521" i="40"/>
  <c r="HV420" i="40"/>
  <c r="JA420" i="40"/>
  <c r="HX420" i="40"/>
  <c r="HW420" i="40"/>
  <c r="JB561" i="40"/>
  <c r="JA429" i="40"/>
  <c r="HX429" i="40"/>
  <c r="HV429" i="40"/>
  <c r="HW429" i="40"/>
  <c r="HX313" i="40"/>
  <c r="HV313" i="40"/>
  <c r="HW313" i="40"/>
  <c r="JA313" i="40"/>
  <c r="JB463" i="40"/>
  <c r="JB350" i="40"/>
  <c r="JA516" i="40"/>
  <c r="HW516" i="40"/>
  <c r="HV516" i="40"/>
  <c r="HX516" i="40"/>
  <c r="JB572" i="40"/>
  <c r="HQ202" i="40"/>
  <c r="JC367" i="40"/>
  <c r="HX373" i="40"/>
  <c r="HW373" i="40"/>
  <c r="HV373" i="40"/>
  <c r="JA373" i="40"/>
  <c r="JA442" i="40"/>
  <c r="HV442" i="40"/>
  <c r="HX442" i="40"/>
  <c r="HW442" i="40"/>
  <c r="JB336" i="40"/>
  <c r="JB324" i="40"/>
  <c r="JA421" i="40"/>
  <c r="HX421" i="40"/>
  <c r="HW421" i="40"/>
  <c r="HV421" i="40"/>
  <c r="JC201" i="40"/>
  <c r="JC314" i="40"/>
  <c r="JA458" i="40"/>
  <c r="HW458" i="40"/>
  <c r="HX458" i="40"/>
  <c r="HV458" i="40"/>
  <c r="HN201" i="40"/>
  <c r="JB372" i="40"/>
  <c r="JB419" i="40"/>
  <c r="JB371" i="40"/>
  <c r="HN203" i="40"/>
  <c r="JB374" i="40"/>
  <c r="HW322" i="40"/>
  <c r="HV322" i="40"/>
  <c r="HX322" i="40"/>
  <c r="JA322" i="40"/>
  <c r="JB565" i="40"/>
  <c r="JA523" i="40"/>
  <c r="HX523" i="40"/>
  <c r="HW523" i="40"/>
  <c r="HV523" i="40"/>
  <c r="JB210" i="40"/>
  <c r="JB305" i="40"/>
  <c r="HN570" i="40"/>
  <c r="HQ570" i="40" s="1"/>
  <c r="HW341" i="40"/>
  <c r="HV341" i="40"/>
  <c r="HX341" i="40"/>
  <c r="JA341" i="40"/>
  <c r="JB330" i="40"/>
  <c r="JC313" i="40"/>
  <c r="JB349" i="40"/>
  <c r="JC205" i="40"/>
  <c r="JA470" i="40"/>
  <c r="HV470" i="40"/>
  <c r="HX470" i="40"/>
  <c r="HW470" i="40"/>
  <c r="JB337" i="40"/>
  <c r="JA210" i="40"/>
  <c r="HX210" i="40"/>
  <c r="HV210" i="40"/>
  <c r="HW210" i="40"/>
  <c r="JB353" i="40"/>
  <c r="HW565" i="40"/>
  <c r="HV565" i="40"/>
  <c r="JA565" i="40"/>
  <c r="HX565" i="40"/>
  <c r="HW205" i="40"/>
  <c r="HV205" i="40"/>
  <c r="JA205" i="40"/>
  <c r="HX205" i="40"/>
  <c r="HV364" i="40"/>
  <c r="HX364" i="40"/>
  <c r="HW364" i="40"/>
  <c r="JA364" i="40"/>
  <c r="HW326" i="40"/>
  <c r="HV326" i="40"/>
  <c r="HX326" i="40"/>
  <c r="JA326" i="40"/>
  <c r="HM205" i="40"/>
  <c r="JC349" i="40"/>
  <c r="HO433" i="40"/>
  <c r="HR433" i="40" s="1"/>
  <c r="HN507" i="40"/>
  <c r="HQ507" i="40" s="1"/>
  <c r="JC357" i="40"/>
  <c r="HV348" i="40"/>
  <c r="HX348" i="40"/>
  <c r="HW348" i="40"/>
  <c r="JA348" i="40"/>
  <c r="JC202" i="40"/>
  <c r="HO201" i="40"/>
  <c r="HV333" i="40"/>
  <c r="HW333" i="40"/>
  <c r="HX333" i="40"/>
  <c r="JA333" i="40"/>
  <c r="HW321" i="40"/>
  <c r="HV321" i="40"/>
  <c r="HX321" i="40"/>
  <c r="JA321" i="40"/>
  <c r="JC569" i="40"/>
  <c r="JC518" i="40"/>
  <c r="JB338" i="40"/>
  <c r="JC512" i="40"/>
  <c r="JC318" i="40"/>
  <c r="JB360" i="40"/>
  <c r="JC338" i="40"/>
  <c r="JB318" i="40"/>
  <c r="JB314" i="40"/>
  <c r="JB201" i="40"/>
  <c r="JC303" i="40"/>
  <c r="JA204" i="40"/>
  <c r="HW204" i="40"/>
  <c r="HV204" i="40"/>
  <c r="HX204" i="40"/>
  <c r="HX426" i="40"/>
  <c r="HW426" i="40"/>
  <c r="JA426" i="40"/>
  <c r="HV426" i="40"/>
  <c r="JC311" i="40"/>
  <c r="JC514" i="40"/>
  <c r="JC425" i="40"/>
  <c r="JA415" i="40"/>
  <c r="HW415" i="40"/>
  <c r="HV415" i="40"/>
  <c r="HX415" i="40"/>
  <c r="KT150" i="40"/>
  <c r="KU149" i="40"/>
  <c r="I60" i="70" s="1"/>
  <c r="JB272" i="40"/>
  <c r="HM272" i="40"/>
  <c r="JB268" i="40"/>
  <c r="JC266" i="40"/>
  <c r="AB58" i="59"/>
  <c r="AC58" i="59"/>
  <c r="HX274" i="40"/>
  <c r="HW274" i="40"/>
  <c r="HV274" i="40"/>
  <c r="JA274" i="40"/>
  <c r="JA273" i="40"/>
  <c r="HX273" i="40"/>
  <c r="HW273" i="40"/>
  <c r="HV273" i="40"/>
  <c r="HV271" i="40"/>
  <c r="HX271" i="40"/>
  <c r="HW271" i="40"/>
  <c r="JA271" i="40"/>
  <c r="JC271" i="40"/>
  <c r="HQ270" i="40"/>
  <c r="JC267" i="40"/>
  <c r="JB264" i="40"/>
  <c r="JB266" i="40"/>
  <c r="HV265" i="40"/>
  <c r="HX265" i="40"/>
  <c r="HW265" i="40"/>
  <c r="JA265" i="40"/>
  <c r="JB261" i="40"/>
  <c r="JC260" i="40"/>
  <c r="HQ261" i="40"/>
  <c r="JC261" i="40"/>
  <c r="JB259" i="40"/>
  <c r="JB258" i="40"/>
  <c r="HM258" i="40"/>
  <c r="JC258" i="40"/>
  <c r="HM255" i="40"/>
  <c r="HO255" i="40"/>
  <c r="HQ254" i="40"/>
  <c r="HW254" i="40"/>
  <c r="HV254" i="40"/>
  <c r="HX254" i="40"/>
  <c r="JA254" i="40"/>
  <c r="HQ252" i="40"/>
  <c r="HM254" i="40"/>
  <c r="HX251" i="40"/>
  <c r="HV251" i="40"/>
  <c r="HW251" i="40"/>
  <c r="JA251" i="40"/>
  <c r="JB251" i="40"/>
  <c r="HQ250" i="40"/>
  <c r="JB250" i="40"/>
  <c r="HN249" i="40"/>
  <c r="HX248" i="40"/>
  <c r="HW248" i="40"/>
  <c r="HV248" i="40"/>
  <c r="JA248" i="40"/>
  <c r="HO249" i="40"/>
  <c r="HV246" i="40"/>
  <c r="HX246" i="40"/>
  <c r="HW246" i="40"/>
  <c r="JA246" i="40"/>
  <c r="HM246" i="40"/>
  <c r="HV245" i="40"/>
  <c r="HW245" i="40"/>
  <c r="HX245" i="40"/>
  <c r="JA245" i="40"/>
  <c r="HW244" i="40"/>
  <c r="HX244" i="40"/>
  <c r="HV244" i="40"/>
  <c r="JA244" i="40"/>
  <c r="JB243" i="40"/>
  <c r="JC243" i="40"/>
  <c r="JB239" i="40"/>
  <c r="JC240" i="40"/>
  <c r="JB237" i="40"/>
  <c r="HR238" i="40"/>
  <c r="HX236" i="40"/>
  <c r="HV236" i="40"/>
  <c r="HW236" i="40"/>
  <c r="JA236" i="40"/>
  <c r="JB235" i="40"/>
  <c r="HM235" i="40"/>
  <c r="JC234" i="40"/>
  <c r="HX234" i="40"/>
  <c r="HV234" i="40"/>
  <c r="HW234" i="40"/>
  <c r="JA234" i="40"/>
  <c r="HR234" i="40"/>
  <c r="HR231" i="40"/>
  <c r="HX230" i="40"/>
  <c r="HV230" i="40"/>
  <c r="HW230" i="40"/>
  <c r="JA230" i="40"/>
  <c r="HV228" i="40"/>
  <c r="HX228" i="40"/>
  <c r="HW228" i="40"/>
  <c r="JA228" i="40"/>
  <c r="JC228" i="40"/>
  <c r="HR229" i="40"/>
  <c r="HQ228" i="40"/>
  <c r="HM227" i="40"/>
  <c r="HO224" i="40"/>
  <c r="HW223" i="40"/>
  <c r="HV223" i="40"/>
  <c r="HX223" i="40"/>
  <c r="JA223" i="40"/>
  <c r="HV224" i="40"/>
  <c r="HX224" i="40"/>
  <c r="HW224" i="40"/>
  <c r="JA224" i="40"/>
  <c r="HW222" i="40"/>
  <c r="HV222" i="40"/>
  <c r="HX222" i="40"/>
  <c r="JA222" i="40"/>
  <c r="HQ221" i="40"/>
  <c r="HW220" i="40"/>
  <c r="HV220" i="40"/>
  <c r="HX220" i="40"/>
  <c r="JA220" i="40"/>
  <c r="JB219" i="40"/>
  <c r="HO218" i="40"/>
  <c r="JB217" i="40"/>
  <c r="HV216" i="40"/>
  <c r="HW216" i="40"/>
  <c r="HX216" i="40"/>
  <c r="JA216" i="40"/>
  <c r="HN216" i="40"/>
  <c r="HO216" i="40"/>
  <c r="HV214" i="40"/>
  <c r="HX214" i="40"/>
  <c r="HW214" i="40"/>
  <c r="JA214" i="40"/>
  <c r="JH405" i="40"/>
  <c r="JH525" i="40"/>
  <c r="JC213" i="40"/>
  <c r="JB214" i="40"/>
  <c r="HP207" i="40"/>
  <c r="JC214" i="40"/>
  <c r="JC504" i="40"/>
  <c r="JB558" i="40"/>
  <c r="JB367" i="40"/>
  <c r="JC404" i="40"/>
  <c r="HX324" i="40"/>
  <c r="HW324" i="40"/>
  <c r="HV324" i="40"/>
  <c r="JA324" i="40"/>
  <c r="JB417" i="40"/>
  <c r="JA436" i="40"/>
  <c r="HW436" i="40"/>
  <c r="HX436" i="40"/>
  <c r="HV436" i="40"/>
  <c r="HV510" i="40"/>
  <c r="JA510" i="40"/>
  <c r="HX510" i="40"/>
  <c r="HW510" i="40"/>
  <c r="HO212" i="40"/>
  <c r="JB555" i="40"/>
  <c r="JB469" i="40"/>
  <c r="JB402" i="40"/>
  <c r="JB470" i="40"/>
  <c r="JB430" i="40"/>
  <c r="HO550" i="40"/>
  <c r="HR550" i="40" s="1"/>
  <c r="HR211" i="40"/>
  <c r="JB423" i="40"/>
  <c r="JC553" i="40"/>
  <c r="JC462" i="40"/>
  <c r="JH464" i="40"/>
  <c r="HQ213" i="40"/>
  <c r="JB571" i="40"/>
  <c r="JB570" i="40"/>
  <c r="JA558" i="40"/>
  <c r="HW558" i="40"/>
  <c r="HV558" i="40"/>
  <c r="HX558" i="40"/>
  <c r="JA544" i="40"/>
  <c r="HV544" i="40"/>
  <c r="HX544" i="40"/>
  <c r="HW544" i="40"/>
  <c r="JB536" i="40"/>
  <c r="HX316" i="40"/>
  <c r="HW316" i="40"/>
  <c r="HV316" i="40"/>
  <c r="JA316" i="40"/>
  <c r="HM441" i="40"/>
  <c r="HP441" i="40" s="1"/>
  <c r="HW507" i="40"/>
  <c r="HX507" i="40"/>
  <c r="HV507" i="40"/>
  <c r="JA507" i="40"/>
  <c r="HV466" i="40"/>
  <c r="HX466" i="40"/>
  <c r="JA466" i="40"/>
  <c r="HW466" i="40"/>
  <c r="JC423" i="40"/>
  <c r="JB327" i="40"/>
  <c r="HV475" i="40"/>
  <c r="HW475" i="40"/>
  <c r="JA475" i="40"/>
  <c r="HX475" i="40"/>
  <c r="JC411" i="40"/>
  <c r="HQ205" i="40"/>
  <c r="JC551" i="40"/>
  <c r="JB361" i="40"/>
  <c r="JB523" i="40"/>
  <c r="HW409" i="40"/>
  <c r="JA409" i="40"/>
  <c r="HV409" i="40"/>
  <c r="HX409" i="40"/>
  <c r="HV355" i="40"/>
  <c r="HX355" i="40"/>
  <c r="HW355" i="40"/>
  <c r="JA355" i="40"/>
  <c r="HV550" i="40"/>
  <c r="JA550" i="40"/>
  <c r="HX550" i="40"/>
  <c r="HW550" i="40"/>
  <c r="JC562" i="40"/>
  <c r="HV353" i="40"/>
  <c r="HX353" i="40"/>
  <c r="HW353" i="40"/>
  <c r="JA353" i="40"/>
  <c r="JB317" i="40"/>
  <c r="JB444" i="40"/>
  <c r="JA433" i="40"/>
  <c r="HX433" i="40"/>
  <c r="HW433" i="40"/>
  <c r="HV433" i="40"/>
  <c r="JB539" i="40"/>
  <c r="JC524" i="40"/>
  <c r="JA438" i="40"/>
  <c r="HV438" i="40"/>
  <c r="HX438" i="40"/>
  <c r="HW438" i="40"/>
  <c r="HX427" i="40"/>
  <c r="HW427" i="40"/>
  <c r="JA427" i="40"/>
  <c r="HV427" i="40"/>
  <c r="JC401" i="40"/>
  <c r="N10" i="61" s="1"/>
  <c r="AA10" i="61" s="1"/>
  <c r="HV401" i="40"/>
  <c r="HX401" i="40"/>
  <c r="HW401" i="40"/>
  <c r="JA401" i="40"/>
  <c r="L10" i="61" s="1"/>
  <c r="Y10" i="61" s="1"/>
  <c r="JC343" i="40"/>
  <c r="JB556" i="40"/>
  <c r="JC319" i="40"/>
  <c r="HO459" i="40"/>
  <c r="HR459" i="40" s="1"/>
  <c r="JC316" i="40"/>
  <c r="JC501" i="40"/>
  <c r="N11" i="61" s="1"/>
  <c r="AA11" i="61" s="1"/>
  <c r="JC568" i="40"/>
  <c r="JC559" i="40"/>
  <c r="JC428" i="40"/>
  <c r="JB464" i="40"/>
  <c r="JC571" i="40"/>
  <c r="JA413" i="40"/>
  <c r="HW413" i="40"/>
  <c r="HV413" i="40"/>
  <c r="HX413" i="40"/>
  <c r="JB472" i="40"/>
  <c r="JB568" i="40"/>
  <c r="JC407" i="40"/>
  <c r="JC567" i="40"/>
  <c r="JC513" i="40"/>
  <c r="JC511" i="40"/>
  <c r="JB510" i="40"/>
  <c r="HO571" i="40"/>
  <c r="HR571" i="40" s="1"/>
  <c r="JC526" i="40"/>
  <c r="HX403" i="40"/>
  <c r="HV403" i="40"/>
  <c r="HW403" i="40"/>
  <c r="JA403" i="40"/>
  <c r="HX506" i="40"/>
  <c r="HV506" i="40"/>
  <c r="HW506" i="40"/>
  <c r="JA506" i="40"/>
  <c r="JC544" i="40"/>
  <c r="HV303" i="40"/>
  <c r="HX303" i="40"/>
  <c r="HW303" i="40"/>
  <c r="JA303" i="40"/>
  <c r="JB557" i="40"/>
  <c r="JB505" i="40"/>
  <c r="HO566" i="40"/>
  <c r="HR566" i="40" s="1"/>
  <c r="JH566" i="40" s="1"/>
  <c r="HO505" i="40"/>
  <c r="HR505" i="40" s="1"/>
  <c r="HW520" i="40"/>
  <c r="HV520" i="40"/>
  <c r="JA520" i="40"/>
  <c r="HX520" i="40"/>
  <c r="HV211" i="40"/>
  <c r="HX211" i="40"/>
  <c r="JA211" i="40"/>
  <c r="HW211" i="40"/>
  <c r="HV572" i="40"/>
  <c r="JA572" i="40"/>
  <c r="HX572" i="40"/>
  <c r="HW572" i="40"/>
  <c r="JA468" i="40"/>
  <c r="HX468" i="40"/>
  <c r="HV468" i="40"/>
  <c r="HW468" i="40"/>
  <c r="HV517" i="40"/>
  <c r="JA517" i="40"/>
  <c r="HX517" i="40"/>
  <c r="HW517" i="40"/>
  <c r="JC309" i="40"/>
  <c r="JB408" i="40"/>
  <c r="HN524" i="40"/>
  <c r="HQ524" i="40" s="1"/>
  <c r="HW501" i="40"/>
  <c r="HV501" i="40"/>
  <c r="HX501" i="40"/>
  <c r="JA501" i="40"/>
  <c r="L11" i="61" s="1"/>
  <c r="Y11" i="61" s="1"/>
  <c r="HM214" i="40"/>
  <c r="JB321" i="40"/>
  <c r="HV573" i="40"/>
  <c r="HW573" i="40"/>
  <c r="JA573" i="40"/>
  <c r="HX573" i="40"/>
  <c r="JC331" i="40"/>
  <c r="JB443" i="40"/>
  <c r="JC447" i="40"/>
  <c r="HM410" i="40"/>
  <c r="HP410" i="40" s="1"/>
  <c r="JC304" i="40"/>
  <c r="JH367" i="40"/>
  <c r="JB506" i="40"/>
  <c r="JB451" i="40"/>
  <c r="JB546" i="40"/>
  <c r="JB424" i="40"/>
  <c r="JB416" i="40"/>
  <c r="HN465" i="40"/>
  <c r="HQ465" i="40" s="1"/>
  <c r="JC503" i="40"/>
  <c r="HX404" i="40"/>
  <c r="HW404" i="40"/>
  <c r="HV404" i="40"/>
  <c r="JA404" i="40"/>
  <c r="JB553" i="40"/>
  <c r="JB352" i="40"/>
  <c r="JB413" i="40"/>
  <c r="JB508" i="40"/>
  <c r="JA502" i="40"/>
  <c r="HW502" i="40"/>
  <c r="HV502" i="40"/>
  <c r="HX502" i="40"/>
  <c r="JB418" i="40"/>
  <c r="JC424" i="40"/>
  <c r="JC556" i="40"/>
  <c r="HV474" i="40"/>
  <c r="HX474" i="40"/>
  <c r="HW474" i="40"/>
  <c r="JA474" i="40"/>
  <c r="HX406" i="40"/>
  <c r="HV406" i="40"/>
  <c r="HW406" i="40"/>
  <c r="JA406" i="40"/>
  <c r="JA451" i="40"/>
  <c r="HX451" i="40"/>
  <c r="HW451" i="40"/>
  <c r="HV451" i="40"/>
  <c r="JC538" i="40"/>
  <c r="HO442" i="40"/>
  <c r="HR442" i="40" s="1"/>
  <c r="HO510" i="40"/>
  <c r="HR510" i="40" s="1"/>
  <c r="JB543" i="40"/>
  <c r="HM502" i="40"/>
  <c r="HP502" i="40" s="1"/>
  <c r="JB359" i="40"/>
  <c r="JC537" i="40"/>
  <c r="HO323" i="40"/>
  <c r="HR323" i="40" s="1"/>
  <c r="JH323" i="40" s="1"/>
  <c r="JC453" i="40"/>
  <c r="JB439" i="40"/>
  <c r="JC545" i="40"/>
  <c r="JC414" i="40"/>
  <c r="HN345" i="40"/>
  <c r="HQ345" i="40" s="1"/>
  <c r="JB548" i="40"/>
  <c r="HV422" i="40"/>
  <c r="HX422" i="40"/>
  <c r="JA422" i="40"/>
  <c r="HW422" i="40"/>
  <c r="JB301" i="40"/>
  <c r="M9" i="61" s="1"/>
  <c r="Z9" i="61" s="1"/>
  <c r="JB326" i="40"/>
  <c r="JB448" i="40"/>
  <c r="JB519" i="40"/>
  <c r="JB504" i="40"/>
  <c r="JA541" i="40"/>
  <c r="HW541" i="40"/>
  <c r="HX541" i="40"/>
  <c r="HV541" i="40"/>
  <c r="JB422" i="40"/>
  <c r="JC308" i="40"/>
  <c r="JC329" i="40"/>
  <c r="HQ210" i="40"/>
  <c r="HQ610" i="40" s="1"/>
  <c r="HN610" i="40"/>
  <c r="JB441" i="40"/>
  <c r="JB554" i="40"/>
  <c r="JB309" i="40"/>
  <c r="JC466" i="40"/>
  <c r="JC457" i="40"/>
  <c r="JB319" i="40"/>
  <c r="JB341" i="40"/>
  <c r="HW371" i="40"/>
  <c r="HV371" i="40"/>
  <c r="HX371" i="40"/>
  <c r="JA371" i="40"/>
  <c r="JC364" i="40"/>
  <c r="HP203" i="40"/>
  <c r="HW370" i="40"/>
  <c r="HV370" i="40"/>
  <c r="HX370" i="40"/>
  <c r="JA370" i="40"/>
  <c r="HW308" i="40"/>
  <c r="HV308" i="40"/>
  <c r="HX308" i="40"/>
  <c r="JA308" i="40"/>
  <c r="JB453" i="40"/>
  <c r="HO365" i="40"/>
  <c r="HR365" i="40" s="1"/>
  <c r="HX331" i="40"/>
  <c r="HV331" i="40"/>
  <c r="HW331" i="40"/>
  <c r="JA331" i="40"/>
  <c r="HX342" i="40"/>
  <c r="HW342" i="40"/>
  <c r="HV342" i="40"/>
  <c r="JA342" i="40"/>
  <c r="JB574" i="40"/>
  <c r="JB333" i="40"/>
  <c r="JH364" i="40"/>
  <c r="HX307" i="40"/>
  <c r="HW307" i="40"/>
  <c r="HV307" i="40"/>
  <c r="JA307" i="40"/>
  <c r="JC369" i="40"/>
  <c r="HV354" i="40"/>
  <c r="HX354" i="40"/>
  <c r="HW354" i="40"/>
  <c r="JA354" i="40"/>
  <c r="JC317" i="40"/>
  <c r="JC333" i="40"/>
  <c r="JB203" i="40"/>
  <c r="JB323" i="40"/>
  <c r="JC358" i="40"/>
  <c r="JC561" i="40"/>
  <c r="JC370" i="40"/>
  <c r="JB347" i="40"/>
  <c r="JC336" i="40"/>
  <c r="HV337" i="40"/>
  <c r="HX337" i="40"/>
  <c r="HW337" i="40"/>
  <c r="JA337" i="40"/>
  <c r="HX472" i="40"/>
  <c r="HW472" i="40"/>
  <c r="JA472" i="40"/>
  <c r="HV472" i="40"/>
  <c r="JB427" i="40"/>
  <c r="JC419" i="40"/>
  <c r="JC206" i="40"/>
  <c r="HM328" i="40"/>
  <c r="HP328" i="40" s="1"/>
  <c r="HM423" i="40"/>
  <c r="HP423" i="40" s="1"/>
  <c r="JC461" i="40"/>
  <c r="JA206" i="40"/>
  <c r="HV206" i="40"/>
  <c r="HW206" i="40"/>
  <c r="HX206" i="40"/>
  <c r="JB343" i="40"/>
  <c r="JB542" i="40"/>
  <c r="HX336" i="40"/>
  <c r="HW336" i="40"/>
  <c r="HV336" i="40"/>
  <c r="JA336" i="40"/>
  <c r="JB509" i="40"/>
  <c r="HO349" i="40"/>
  <c r="HR349" i="40" s="1"/>
  <c r="HW358" i="40"/>
  <c r="HV358" i="40"/>
  <c r="HX358" i="40"/>
  <c r="JA358" i="40"/>
  <c r="HO460" i="40"/>
  <c r="HR460" i="40" s="1"/>
  <c r="JB335" i="40"/>
  <c r="JC449" i="40"/>
  <c r="HV201" i="40"/>
  <c r="JA201" i="40"/>
  <c r="HX201" i="40"/>
  <c r="HW201" i="40"/>
  <c r="JB368" i="40"/>
  <c r="HV372" i="40"/>
  <c r="HX372" i="40"/>
  <c r="HW372" i="40"/>
  <c r="JA372" i="40"/>
  <c r="JC475" i="40"/>
  <c r="JC326" i="40"/>
  <c r="JB365" i="40"/>
  <c r="JB404" i="40"/>
  <c r="JB209" i="40"/>
  <c r="HM331" i="40"/>
  <c r="HP331" i="40" s="1"/>
  <c r="JC352" i="40"/>
  <c r="HW319" i="40"/>
  <c r="HX319" i="40"/>
  <c r="HV319" i="40"/>
  <c r="JA319" i="40"/>
  <c r="JC337" i="40"/>
  <c r="JC306" i="40"/>
  <c r="JC365" i="40"/>
  <c r="JB461" i="40"/>
  <c r="JC323" i="40"/>
  <c r="HV349" i="40"/>
  <c r="HX349" i="40"/>
  <c r="HW349" i="40"/>
  <c r="JA349" i="40"/>
  <c r="Y58" i="59"/>
  <c r="X58" i="59"/>
  <c r="HQ275" i="40"/>
  <c r="HQ675" i="40" s="1"/>
  <c r="HN675" i="40"/>
  <c r="JA272" i="40"/>
  <c r="HW272" i="40"/>
  <c r="HV272" i="40"/>
  <c r="HX272" i="40"/>
  <c r="HO275" i="40"/>
  <c r="JB274" i="40"/>
  <c r="AB59" i="59"/>
  <c r="AC59" i="59"/>
  <c r="HV275" i="40"/>
  <c r="HX275" i="40"/>
  <c r="HW275" i="40"/>
  <c r="JA275" i="40"/>
  <c r="HR274" i="40"/>
  <c r="JC274" i="40"/>
  <c r="HM274" i="40"/>
  <c r="HM273" i="40"/>
  <c r="JC273" i="40"/>
  <c r="JB271" i="40"/>
  <c r="HM271" i="40"/>
  <c r="HO270" i="40"/>
  <c r="HV270" i="40"/>
  <c r="HX270" i="40"/>
  <c r="HW270" i="40"/>
  <c r="JA270" i="40"/>
  <c r="HQ269" i="40"/>
  <c r="JB270" i="40"/>
  <c r="HM269" i="40"/>
  <c r="HV269" i="40"/>
  <c r="HX269" i="40"/>
  <c r="HW269" i="40"/>
  <c r="JA269" i="40"/>
  <c r="HW268" i="40"/>
  <c r="HV268" i="40"/>
  <c r="HX268" i="40"/>
  <c r="JA268" i="40"/>
  <c r="HO267" i="40"/>
  <c r="HO265" i="40"/>
  <c r="HR266" i="40"/>
  <c r="HP266" i="40"/>
  <c r="HX263" i="40"/>
  <c r="HW263" i="40"/>
  <c r="HV263" i="40"/>
  <c r="JA263" i="40"/>
  <c r="JB262" i="40"/>
  <c r="HN262" i="40"/>
  <c r="JC263" i="40"/>
  <c r="JB260" i="40"/>
  <c r="HV262" i="40"/>
  <c r="HX262" i="40"/>
  <c r="HW262" i="40"/>
  <c r="JA262" i="40"/>
  <c r="HV259" i="40"/>
  <c r="HX259" i="40"/>
  <c r="HW259" i="40"/>
  <c r="JA259" i="40"/>
  <c r="HM259" i="40"/>
  <c r="JC257" i="40"/>
  <c r="HN258" i="40"/>
  <c r="HO259" i="40"/>
  <c r="HM256" i="40"/>
  <c r="HV257" i="40"/>
  <c r="HX257" i="40"/>
  <c r="HW257" i="40"/>
  <c r="JA257" i="40"/>
  <c r="HQ257" i="40"/>
  <c r="HQ657" i="40" s="1"/>
  <c r="HW256" i="40"/>
  <c r="HV256" i="40"/>
  <c r="HX256" i="40"/>
  <c r="JA256" i="40"/>
  <c r="JB254" i="40"/>
  <c r="JB255" i="40"/>
  <c r="HV252" i="40"/>
  <c r="HX252" i="40"/>
  <c r="HW252" i="40"/>
  <c r="JA252" i="40"/>
  <c r="JB252" i="40"/>
  <c r="HV253" i="40"/>
  <c r="HW253" i="40"/>
  <c r="HX253" i="40"/>
  <c r="JA253" i="40"/>
  <c r="JC251" i="40"/>
  <c r="HM250" i="40"/>
  <c r="JC253" i="40"/>
  <c r="HX249" i="40"/>
  <c r="HV249" i="40"/>
  <c r="HW249" i="40"/>
  <c r="JA249" i="40"/>
  <c r="HO248" i="40"/>
  <c r="JC249" i="40"/>
  <c r="HM248" i="40"/>
  <c r="HW247" i="40"/>
  <c r="HV247" i="40"/>
  <c r="HX247" i="40"/>
  <c r="JA247" i="40"/>
  <c r="JC246" i="40"/>
  <c r="HO246" i="40"/>
  <c r="HO245" i="40"/>
  <c r="JB244" i="40"/>
  <c r="HQ244" i="40"/>
  <c r="HX243" i="40"/>
  <c r="HW243" i="40"/>
  <c r="HV243" i="40"/>
  <c r="JA243" i="40"/>
  <c r="JB241" i="40"/>
  <c r="HW242" i="40"/>
  <c r="HV242" i="40"/>
  <c r="HX242" i="40"/>
  <c r="JA242" i="40"/>
  <c r="JC241" i="40"/>
  <c r="HO240" i="40"/>
  <c r="HR239" i="40"/>
  <c r="HW239" i="40"/>
  <c r="HV239" i="40"/>
  <c r="HX239" i="40"/>
  <c r="JA239" i="40"/>
  <c r="JC238" i="40"/>
  <c r="JC239" i="40"/>
  <c r="HR237" i="40"/>
  <c r="HW235" i="40"/>
  <c r="HV235" i="40"/>
  <c r="HX235" i="40"/>
  <c r="JA235" i="40"/>
  <c r="HW233" i="40"/>
  <c r="HV233" i="40"/>
  <c r="HX233" i="40"/>
  <c r="JA233" i="40"/>
  <c r="HV232" i="40"/>
  <c r="HW232" i="40"/>
  <c r="HX232" i="40"/>
  <c r="JA232" i="40"/>
  <c r="JB231" i="40"/>
  <c r="HN231" i="40"/>
  <c r="JC231" i="40"/>
  <c r="HM229" i="40"/>
  <c r="JB228" i="40"/>
  <c r="HV227" i="40"/>
  <c r="HW227" i="40"/>
  <c r="HX227" i="40"/>
  <c r="JA227" i="40"/>
  <c r="HX226" i="40"/>
  <c r="HV226" i="40"/>
  <c r="HW226" i="40"/>
  <c r="JA226" i="40"/>
  <c r="HQ226" i="40"/>
  <c r="HO223" i="40"/>
  <c r="HR225" i="40"/>
  <c r="JB225" i="40"/>
  <c r="JC224" i="40"/>
  <c r="JB224" i="40"/>
  <c r="HO220" i="40"/>
  <c r="HM221" i="40"/>
  <c r="JC221" i="40"/>
  <c r="JB221" i="40"/>
  <c r="HO219" i="40"/>
  <c r="JC219" i="40"/>
  <c r="HQ218" i="40"/>
  <c r="HM218" i="40"/>
  <c r="HX217" i="40"/>
  <c r="HW217" i="40"/>
  <c r="HV217" i="40"/>
  <c r="JA217" i="40"/>
  <c r="JB216" i="40"/>
  <c r="HR217" i="40"/>
  <c r="JC217" i="40"/>
  <c r="JC215" i="40"/>
  <c r="HO420" i="40"/>
  <c r="HR420" i="40" s="1"/>
  <c r="HQ208" i="40"/>
  <c r="JB552" i="40"/>
  <c r="JC516" i="40"/>
  <c r="JB520" i="40"/>
  <c r="JC523" i="40"/>
  <c r="JA423" i="40"/>
  <c r="HV423" i="40"/>
  <c r="HX423" i="40"/>
  <c r="HW423" i="40"/>
  <c r="HV557" i="40"/>
  <c r="HX557" i="40"/>
  <c r="JA557" i="40"/>
  <c r="HW557" i="40"/>
  <c r="HX402" i="40"/>
  <c r="HW402" i="40"/>
  <c r="HV402" i="40"/>
  <c r="JA402" i="40"/>
  <c r="JA518" i="40"/>
  <c r="HW518" i="40"/>
  <c r="HV518" i="40"/>
  <c r="HX518" i="40"/>
  <c r="HV534" i="40"/>
  <c r="HX534" i="40"/>
  <c r="HW534" i="40"/>
  <c r="JA534" i="40"/>
  <c r="JB567" i="40"/>
  <c r="JC520" i="40"/>
  <c r="JA449" i="40"/>
  <c r="HW449" i="40"/>
  <c r="HV449" i="40"/>
  <c r="HX449" i="40"/>
  <c r="JC573" i="40"/>
  <c r="JB213" i="40"/>
  <c r="HM451" i="40"/>
  <c r="HP451" i="40" s="1"/>
  <c r="HW410" i="40"/>
  <c r="JA410" i="40"/>
  <c r="HV410" i="40"/>
  <c r="HX410" i="40"/>
  <c r="HX567" i="40"/>
  <c r="JA567" i="40"/>
  <c r="HW567" i="40"/>
  <c r="HV567" i="40"/>
  <c r="JB513" i="40"/>
  <c r="HX432" i="40"/>
  <c r="JA432" i="40"/>
  <c r="HW432" i="40"/>
  <c r="HV432" i="40"/>
  <c r="JB445" i="40"/>
  <c r="HN214" i="40"/>
  <c r="HX512" i="40"/>
  <c r="JA512" i="40"/>
  <c r="HW512" i="40"/>
  <c r="HV512" i="40"/>
  <c r="JC505" i="40"/>
  <c r="JA434" i="40"/>
  <c r="HV434" i="40"/>
  <c r="HX434" i="40"/>
  <c r="HW434" i="40"/>
  <c r="JC442" i="40"/>
  <c r="JA555" i="40"/>
  <c r="HW555" i="40"/>
  <c r="HX555" i="40"/>
  <c r="HV555" i="40"/>
  <c r="HW469" i="40"/>
  <c r="HV469" i="40"/>
  <c r="JA469" i="40"/>
  <c r="HX469" i="40"/>
  <c r="JC328" i="40"/>
  <c r="HN530" i="40"/>
  <c r="HQ530" i="40" s="1"/>
  <c r="JA525" i="40"/>
  <c r="HX525" i="40"/>
  <c r="HW525" i="40"/>
  <c r="HV525" i="40"/>
  <c r="JA444" i="40"/>
  <c r="HX444" i="40"/>
  <c r="HV444" i="40"/>
  <c r="HW444" i="40"/>
  <c r="HW545" i="40"/>
  <c r="JA545" i="40"/>
  <c r="HV545" i="40"/>
  <c r="HX545" i="40"/>
  <c r="JB428" i="40"/>
  <c r="JC543" i="40"/>
  <c r="JA467" i="40"/>
  <c r="HX467" i="40"/>
  <c r="HW467" i="40"/>
  <c r="HV467" i="40"/>
  <c r="JB407" i="40"/>
  <c r="JB450" i="40"/>
  <c r="JC409" i="40"/>
  <c r="HM434" i="40"/>
  <c r="HP434" i="40" s="1"/>
  <c r="HM569" i="40"/>
  <c r="HP569" i="40" s="1"/>
  <c r="HX418" i="40"/>
  <c r="HW418" i="40"/>
  <c r="JA418" i="40"/>
  <c r="HV418" i="40"/>
  <c r="HW538" i="40"/>
  <c r="HV538" i="40"/>
  <c r="HX538" i="40"/>
  <c r="JA538" i="40"/>
  <c r="JB526" i="40"/>
  <c r="JC448" i="40"/>
  <c r="HO324" i="40"/>
  <c r="HR324" i="40" s="1"/>
  <c r="HX574" i="40"/>
  <c r="JA574" i="40"/>
  <c r="HW574" i="40"/>
  <c r="HV574" i="40"/>
  <c r="JC416" i="40"/>
  <c r="JZ405" i="40"/>
  <c r="JB466" i="40"/>
  <c r="HO453" i="40"/>
  <c r="HR453" i="40" s="1"/>
  <c r="JA535" i="40"/>
  <c r="HV535" i="40"/>
  <c r="HW535" i="40"/>
  <c r="HX535" i="40"/>
  <c r="JC509" i="40"/>
  <c r="JB459" i="40"/>
  <c r="HO528" i="40"/>
  <c r="HR528" i="40" s="1"/>
  <c r="JB541" i="40"/>
  <c r="HV556" i="40"/>
  <c r="JA556" i="40"/>
  <c r="HX556" i="40"/>
  <c r="HW556" i="40"/>
  <c r="HM415" i="40"/>
  <c r="HP415" i="40" s="1"/>
  <c r="JB452" i="40"/>
  <c r="JB342" i="40"/>
  <c r="JC344" i="40"/>
  <c r="JC540" i="40"/>
  <c r="HX563" i="40"/>
  <c r="HV563" i="40"/>
  <c r="JA563" i="40"/>
  <c r="HW563" i="40"/>
  <c r="JB362" i="40"/>
  <c r="JH307" i="40"/>
  <c r="JC525" i="40"/>
  <c r="JC533" i="40"/>
  <c r="HV457" i="40"/>
  <c r="HX457" i="40"/>
  <c r="JA457" i="40"/>
  <c r="HW457" i="40"/>
  <c r="JC417" i="40"/>
  <c r="JB334" i="40"/>
  <c r="JA465" i="40"/>
  <c r="HW465" i="40"/>
  <c r="HV465" i="40"/>
  <c r="HX465" i="40"/>
  <c r="JC508" i="40"/>
  <c r="JA447" i="40"/>
  <c r="HW447" i="40"/>
  <c r="HV447" i="40"/>
  <c r="HX447" i="40"/>
  <c r="JB406" i="40"/>
  <c r="JB447" i="40"/>
  <c r="JB515" i="40"/>
  <c r="JB332" i="40"/>
  <c r="HW208" i="40"/>
  <c r="HV208" i="40"/>
  <c r="JA208" i="40"/>
  <c r="HX208" i="40"/>
  <c r="JC444" i="40"/>
  <c r="JC570" i="40"/>
  <c r="HO456" i="40"/>
  <c r="HR456" i="40" s="1"/>
  <c r="JH456" i="40" s="1"/>
  <c r="JA552" i="40"/>
  <c r="HX552" i="40"/>
  <c r="HW552" i="40"/>
  <c r="HV552" i="40"/>
  <c r="JC572" i="40"/>
  <c r="JA532" i="40"/>
  <c r="HW532" i="40"/>
  <c r="HV532" i="40"/>
  <c r="HX532" i="40"/>
  <c r="HV343" i="40"/>
  <c r="HX343" i="40"/>
  <c r="HW343" i="40"/>
  <c r="JA343" i="40"/>
  <c r="JC437" i="40"/>
  <c r="HW522" i="40"/>
  <c r="HV522" i="40"/>
  <c r="JA522" i="40"/>
  <c r="HX522" i="40"/>
  <c r="JB446" i="40"/>
  <c r="HO544" i="40"/>
  <c r="HR544" i="40" s="1"/>
  <c r="JA453" i="40"/>
  <c r="HV453" i="40"/>
  <c r="HX453" i="40"/>
  <c r="HW453" i="40"/>
  <c r="HN568" i="40"/>
  <c r="HQ568" i="40" s="1"/>
  <c r="JB474" i="40"/>
  <c r="HM516" i="40"/>
  <c r="HP516" i="40" s="1"/>
  <c r="JB311" i="40"/>
  <c r="JB560" i="40"/>
  <c r="JB438" i="40"/>
  <c r="HO410" i="40"/>
  <c r="HR410" i="40" s="1"/>
  <c r="JC426" i="40"/>
  <c r="JC427" i="40"/>
  <c r="JC532" i="40"/>
  <c r="JC348" i="40"/>
  <c r="JA441" i="40"/>
  <c r="HV441" i="40"/>
  <c r="HX441" i="40"/>
  <c r="HW441" i="40"/>
  <c r="JB550" i="40"/>
  <c r="JC418" i="40"/>
  <c r="HW571" i="40"/>
  <c r="JA571" i="40"/>
  <c r="HV571" i="40"/>
  <c r="HX571" i="40"/>
  <c r="HO575" i="40"/>
  <c r="HR575" i="40" s="1"/>
  <c r="JC438" i="40"/>
  <c r="JC506" i="40"/>
  <c r="JC429" i="40"/>
  <c r="JB329" i="40"/>
  <c r="JC347" i="40"/>
  <c r="JC574" i="40"/>
  <c r="HM574" i="40"/>
  <c r="HP574" i="40" s="1"/>
  <c r="HM427" i="40"/>
  <c r="HP427" i="40" s="1"/>
  <c r="HM473" i="40"/>
  <c r="HP473" i="40" s="1"/>
  <c r="JC203" i="40"/>
  <c r="JB562" i="40"/>
  <c r="JB507" i="40"/>
  <c r="JC528" i="40"/>
  <c r="JB354" i="40"/>
  <c r="JC375" i="40"/>
  <c r="JB544" i="40"/>
  <c r="HO517" i="40"/>
  <c r="HR517" i="40" s="1"/>
  <c r="JA460" i="40"/>
  <c r="HX460" i="40"/>
  <c r="HW460" i="40"/>
  <c r="HV460" i="40"/>
  <c r="JA569" i="40"/>
  <c r="HX569" i="40"/>
  <c r="HW569" i="40"/>
  <c r="HV569" i="40"/>
  <c r="JB440" i="40"/>
  <c r="HW568" i="40"/>
  <c r="HV568" i="40"/>
  <c r="JA568" i="40"/>
  <c r="HX568" i="40"/>
  <c r="JC301" i="40"/>
  <c r="N9" i="61" s="1"/>
  <c r="AA9" i="61" s="1"/>
  <c r="JB436" i="40"/>
  <c r="HW537" i="40"/>
  <c r="HV537" i="40"/>
  <c r="JA537" i="40"/>
  <c r="HX537" i="40"/>
  <c r="JA521" i="40"/>
  <c r="HV521" i="40"/>
  <c r="HX521" i="40"/>
  <c r="HW521" i="40"/>
  <c r="HV575" i="40"/>
  <c r="HX575" i="40"/>
  <c r="HW575" i="40"/>
  <c r="JA575" i="40"/>
  <c r="JC557" i="40"/>
  <c r="JC510" i="40"/>
  <c r="HO348" i="40"/>
  <c r="HR348" i="40" s="1"/>
  <c r="JH348" i="40" s="1"/>
  <c r="JC515" i="40"/>
  <c r="HW548" i="40"/>
  <c r="HV548" i="40"/>
  <c r="JA548" i="40"/>
  <c r="HX548" i="40"/>
  <c r="JC550" i="40"/>
  <c r="JB559" i="40"/>
  <c r="HV416" i="40"/>
  <c r="JA416" i="40"/>
  <c r="HX416" i="40"/>
  <c r="HW416" i="40"/>
  <c r="HO438" i="40"/>
  <c r="HR438" i="40" s="1"/>
  <c r="JB512" i="40"/>
  <c r="JB369" i="40"/>
  <c r="JC345" i="40"/>
  <c r="HM347" i="40"/>
  <c r="HP347" i="40" s="1"/>
  <c r="JC342" i="40"/>
  <c r="HV340" i="40"/>
  <c r="HX340" i="40"/>
  <c r="HW340" i="40"/>
  <c r="JA340" i="40"/>
  <c r="JB325" i="40"/>
  <c r="JC471" i="40"/>
  <c r="JC575" i="40"/>
  <c r="JB340" i="40"/>
  <c r="JC346" i="40"/>
  <c r="JB344" i="40"/>
  <c r="JA452" i="40"/>
  <c r="HX452" i="40"/>
  <c r="HW452" i="40"/>
  <c r="HV452" i="40"/>
  <c r="JB208" i="40"/>
  <c r="JB375" i="40"/>
  <c r="HX209" i="40"/>
  <c r="HW209" i="40"/>
  <c r="HV209" i="40"/>
  <c r="JA209" i="40"/>
  <c r="JB433" i="40"/>
  <c r="HX437" i="40"/>
  <c r="JA437" i="40"/>
  <c r="HW437" i="40"/>
  <c r="HV437" i="40"/>
  <c r="JC322" i="40"/>
  <c r="JC305" i="40"/>
  <c r="JC325" i="40"/>
  <c r="JC320" i="40"/>
  <c r="JB370" i="40"/>
  <c r="HV368" i="40"/>
  <c r="HW368" i="40"/>
  <c r="HX368" i="40"/>
  <c r="JA368" i="40"/>
  <c r="JB569" i="40"/>
  <c r="HX330" i="40"/>
  <c r="HW330" i="40"/>
  <c r="HV330" i="40"/>
  <c r="JA330" i="40"/>
  <c r="JB366" i="40"/>
  <c r="JC374" i="40"/>
  <c r="JH366" i="40"/>
  <c r="JC366" i="40"/>
  <c r="JB322" i="40"/>
  <c r="HW367" i="40"/>
  <c r="HV367" i="40"/>
  <c r="HX367" i="40"/>
  <c r="JA367" i="40"/>
  <c r="JB320" i="40"/>
  <c r="HV345" i="40"/>
  <c r="HX345" i="40"/>
  <c r="HW345" i="40"/>
  <c r="JA345" i="40"/>
  <c r="HX312" i="40"/>
  <c r="HW312" i="40"/>
  <c r="HV312" i="40"/>
  <c r="JA312" i="40"/>
  <c r="JB531" i="40"/>
  <c r="JC539" i="40"/>
  <c r="JB345" i="40"/>
  <c r="HV310" i="40"/>
  <c r="HX310" i="40"/>
  <c r="HW310" i="40"/>
  <c r="JA310" i="40"/>
  <c r="HW454" i="40"/>
  <c r="HV454" i="40"/>
  <c r="HX454" i="40"/>
  <c r="JA454" i="40"/>
  <c r="JB575" i="40"/>
  <c r="JC542" i="40"/>
  <c r="HV363" i="40"/>
  <c r="HX363" i="40"/>
  <c r="HW363" i="40"/>
  <c r="JA363" i="40"/>
  <c r="JC354" i="40"/>
  <c r="JB534" i="40"/>
  <c r="HX327" i="40"/>
  <c r="HV327" i="40"/>
  <c r="HW327" i="40"/>
  <c r="JA327" i="40"/>
  <c r="HO326" i="40"/>
  <c r="HR326" i="40" s="1"/>
  <c r="HM459" i="40"/>
  <c r="HP459" i="40" s="1"/>
  <c r="JB339" i="40"/>
  <c r="JC552" i="40"/>
  <c r="JB303" i="40"/>
  <c r="HV301" i="40"/>
  <c r="HW301" i="40"/>
  <c r="HX301" i="40"/>
  <c r="JA301" i="40"/>
  <c r="L9" i="61" s="1"/>
  <c r="Y9" i="61" s="1"/>
  <c r="JB316" i="40"/>
  <c r="JC415" i="40"/>
  <c r="HO353" i="40"/>
  <c r="HR353" i="40" s="1"/>
  <c r="HM302" i="40"/>
  <c r="HP302" i="40" s="1"/>
  <c r="JH431" i="40"/>
  <c r="JB348" i="40"/>
  <c r="HV361" i="40"/>
  <c r="HW361" i="40"/>
  <c r="HX361" i="40"/>
  <c r="JA361" i="40"/>
  <c r="HO407" i="40"/>
  <c r="HR407" i="40" s="1"/>
  <c r="HO555" i="40"/>
  <c r="HR555" i="40" s="1"/>
  <c r="JH555" i="40" s="1"/>
  <c r="JC454" i="40"/>
  <c r="JC335" i="40"/>
  <c r="JC302" i="40"/>
  <c r="JC564" i="40"/>
  <c r="JC359" i="40"/>
  <c r="JC408" i="40"/>
  <c r="HV519" i="40"/>
  <c r="JA519" i="40"/>
  <c r="HX519" i="40"/>
  <c r="HW519" i="40"/>
  <c r="JC351" i="40"/>
  <c r="HW350" i="40"/>
  <c r="HV350" i="40"/>
  <c r="HX350" i="40"/>
  <c r="JA350" i="40"/>
  <c r="HV405" i="40"/>
  <c r="HW405" i="40"/>
  <c r="HX405" i="40"/>
  <c r="JA405" i="40"/>
  <c r="AA58" i="59"/>
  <c r="Z58" i="59"/>
  <c r="JB269" i="40"/>
  <c r="JB263" i="40"/>
  <c r="HR262" i="40"/>
  <c r="JC262" i="40"/>
  <c r="HW260" i="40"/>
  <c r="HV260" i="40"/>
  <c r="HX260" i="40"/>
  <c r="JA260" i="40"/>
  <c r="HV261" i="40"/>
  <c r="HX261" i="40"/>
  <c r="HW261" i="40"/>
  <c r="JA261" i="40"/>
  <c r="HR258" i="40"/>
  <c r="JB257" i="40"/>
  <c r="HX258" i="40"/>
  <c r="HW258" i="40"/>
  <c r="HV258" i="40"/>
  <c r="JA258" i="40"/>
  <c r="HR256" i="40"/>
  <c r="JB256" i="40"/>
  <c r="JC255" i="40"/>
  <c r="HQ255" i="40"/>
  <c r="HQ655" i="40" s="1"/>
  <c r="JC252" i="40"/>
  <c r="JB253" i="40"/>
  <c r="HQ253" i="40"/>
  <c r="JC250" i="40"/>
  <c r="JB249" i="40"/>
  <c r="JC248" i="40"/>
  <c r="HQ248" i="40"/>
  <c r="JB247" i="40"/>
  <c r="HP247" i="40"/>
  <c r="HQ246" i="40"/>
  <c r="JB245" i="40"/>
  <c r="JC244" i="40"/>
  <c r="HQ245" i="40"/>
  <c r="HP244" i="40"/>
  <c r="HR243" i="40"/>
  <c r="HP241" i="40"/>
  <c r="HV241" i="40"/>
  <c r="HX241" i="40"/>
  <c r="HW241" i="40"/>
  <c r="JA241" i="40"/>
  <c r="JB242" i="40"/>
  <c r="HR241" i="40"/>
  <c r="JB236" i="40"/>
  <c r="JC237" i="40"/>
  <c r="JC236" i="40"/>
  <c r="HQ236" i="40"/>
  <c r="HR235" i="40"/>
  <c r="JC235" i="40"/>
  <c r="JB234" i="40"/>
  <c r="HR233" i="40"/>
  <c r="HM233" i="40"/>
  <c r="JB232" i="40"/>
  <c r="HO630" i="40"/>
  <c r="HW231" i="40"/>
  <c r="HV231" i="40"/>
  <c r="HX231" i="40"/>
  <c r="JA231" i="40"/>
  <c r="HV229" i="40"/>
  <c r="HW229" i="40"/>
  <c r="HX229" i="40"/>
  <c r="JA229" i="40"/>
  <c r="HQ227" i="40"/>
  <c r="JB227" i="40"/>
  <c r="HR227" i="40"/>
  <c r="JC226" i="40"/>
  <c r="JB226" i="40"/>
  <c r="JB223" i="40"/>
  <c r="HM223" i="40"/>
  <c r="JB222" i="40"/>
  <c r="HQ224" i="40"/>
  <c r="JC220" i="40"/>
  <c r="JB220" i="40"/>
  <c r="HQ219" i="40"/>
  <c r="HW221" i="40"/>
  <c r="HV221" i="40"/>
  <c r="HX221" i="40"/>
  <c r="JA221" i="40"/>
  <c r="JC218" i="40"/>
  <c r="JB218" i="40"/>
  <c r="HP217" i="40"/>
  <c r="HW215" i="40"/>
  <c r="HV215" i="40"/>
  <c r="HX215" i="40"/>
  <c r="JA215" i="40"/>
  <c r="JH433" i="40"/>
  <c r="HR206" i="40"/>
  <c r="JH432" i="40"/>
  <c r="JC536" i="40"/>
  <c r="JA540" i="40"/>
  <c r="HW540" i="40"/>
  <c r="HV540" i="40"/>
  <c r="HX540" i="40"/>
  <c r="JC467" i="40"/>
  <c r="JC434" i="40"/>
  <c r="JC446" i="40"/>
  <c r="JB530" i="40"/>
  <c r="HP206" i="40"/>
  <c r="HW212" i="40"/>
  <c r="JA212" i="40"/>
  <c r="HV212" i="40"/>
  <c r="HX212" i="40"/>
  <c r="HR214" i="40"/>
  <c r="JB525" i="40"/>
  <c r="JH421" i="40"/>
  <c r="HX549" i="40"/>
  <c r="HW549" i="40"/>
  <c r="JA549" i="40"/>
  <c r="HV549" i="40"/>
  <c r="HW551" i="40"/>
  <c r="HX551" i="40"/>
  <c r="JA551" i="40"/>
  <c r="HV551" i="40"/>
  <c r="HV431" i="40"/>
  <c r="JA431" i="40"/>
  <c r="HW431" i="40"/>
  <c r="HX431" i="40"/>
  <c r="JB462" i="40"/>
  <c r="JB516" i="40"/>
  <c r="JC558" i="40"/>
  <c r="HV323" i="40"/>
  <c r="HX323" i="40"/>
  <c r="HW323" i="40"/>
  <c r="JA323" i="40"/>
  <c r="JB411" i="40"/>
  <c r="JB346" i="40"/>
  <c r="HV554" i="40"/>
  <c r="JA554" i="40"/>
  <c r="HX554" i="40"/>
  <c r="HW554" i="40"/>
  <c r="HX504" i="40"/>
  <c r="HW504" i="40"/>
  <c r="HV504" i="40"/>
  <c r="JA504" i="40"/>
  <c r="JB409" i="40"/>
  <c r="JA536" i="40"/>
  <c r="HV536" i="40"/>
  <c r="HX536" i="40"/>
  <c r="HW536" i="40"/>
  <c r="JA564" i="40"/>
  <c r="HX564" i="40"/>
  <c r="HW564" i="40"/>
  <c r="HV564" i="40"/>
  <c r="HO411" i="40"/>
  <c r="HR411" i="40" s="1"/>
  <c r="HM212" i="40"/>
  <c r="HW356" i="40"/>
  <c r="HV356" i="40"/>
  <c r="HX356" i="40"/>
  <c r="JA356" i="40"/>
  <c r="JB415" i="40"/>
  <c r="JC549" i="40"/>
  <c r="HX435" i="40"/>
  <c r="HW435" i="40"/>
  <c r="JA435" i="40"/>
  <c r="HV435" i="40"/>
  <c r="JA529" i="40"/>
  <c r="HV529" i="40"/>
  <c r="HX529" i="40"/>
  <c r="HW529" i="40"/>
  <c r="HW419" i="40"/>
  <c r="HV419" i="40"/>
  <c r="HX419" i="40"/>
  <c r="JA419" i="40"/>
  <c r="JC565" i="40"/>
  <c r="JB211" i="40"/>
  <c r="HW374" i="40"/>
  <c r="HV374" i="40"/>
  <c r="HX374" i="40"/>
  <c r="JA374" i="40"/>
  <c r="HQ209" i="40"/>
  <c r="JC463" i="40"/>
  <c r="JA456" i="40"/>
  <c r="HV456" i="40"/>
  <c r="HX456" i="40"/>
  <c r="HW456" i="40"/>
  <c r="HX311" i="40"/>
  <c r="HW311" i="40"/>
  <c r="HV311" i="40"/>
  <c r="JA311" i="40"/>
  <c r="JC455" i="40"/>
  <c r="JB457" i="40"/>
  <c r="HV566" i="40"/>
  <c r="HX566" i="40"/>
  <c r="JA566" i="40"/>
  <c r="HW566" i="40"/>
  <c r="HX335" i="40"/>
  <c r="HW335" i="40"/>
  <c r="HV335" i="40"/>
  <c r="JA335" i="40"/>
  <c r="JA412" i="40"/>
  <c r="HW412" i="40"/>
  <c r="HV412" i="40"/>
  <c r="HX412" i="40"/>
  <c r="JB524" i="40"/>
  <c r="JB460" i="40"/>
  <c r="HN446" i="40"/>
  <c r="HQ446" i="40" s="1"/>
  <c r="JH446" i="40" s="1"/>
  <c r="JB357" i="40"/>
  <c r="HV546" i="40"/>
  <c r="HX546" i="40"/>
  <c r="JA546" i="40"/>
  <c r="HW546" i="40"/>
  <c r="JC420" i="40"/>
  <c r="JA570" i="40"/>
  <c r="HV570" i="40"/>
  <c r="HX570" i="40"/>
  <c r="HW570" i="40"/>
  <c r="JA471" i="40"/>
  <c r="HX471" i="40"/>
  <c r="HW471" i="40"/>
  <c r="HV471" i="40"/>
  <c r="JA462" i="40"/>
  <c r="HW462" i="40"/>
  <c r="HX462" i="40"/>
  <c r="HV462" i="40"/>
  <c r="HX446" i="40"/>
  <c r="JA446" i="40"/>
  <c r="HW446" i="40"/>
  <c r="HV446" i="40"/>
  <c r="HW515" i="40"/>
  <c r="HV515" i="40"/>
  <c r="JA515" i="40"/>
  <c r="HX515" i="40"/>
  <c r="HO545" i="40"/>
  <c r="HR545" i="40" s="1"/>
  <c r="JC547" i="40"/>
  <c r="HV553" i="40"/>
  <c r="HX553" i="40"/>
  <c r="HW553" i="40"/>
  <c r="JA553" i="40"/>
  <c r="JC410" i="40"/>
  <c r="JB442" i="40"/>
  <c r="HR209" i="40"/>
  <c r="JC435" i="40"/>
  <c r="JC406" i="40"/>
  <c r="JB533" i="40"/>
  <c r="HX527" i="40"/>
  <c r="JA527" i="40"/>
  <c r="HW527" i="40"/>
  <c r="HV527" i="40"/>
  <c r="HX424" i="40"/>
  <c r="HW424" i="40"/>
  <c r="JA424" i="40"/>
  <c r="HV424" i="40"/>
  <c r="HW508" i="40"/>
  <c r="JA508" i="40"/>
  <c r="HV508" i="40"/>
  <c r="HX508" i="40"/>
  <c r="JA455" i="40"/>
  <c r="HV455" i="40"/>
  <c r="HX455" i="40"/>
  <c r="HW455" i="40"/>
  <c r="JA428" i="40"/>
  <c r="HW428" i="40"/>
  <c r="HV428" i="40"/>
  <c r="HX428" i="40"/>
  <c r="JC363" i="40"/>
  <c r="HN569" i="40"/>
  <c r="HQ569" i="40" s="1"/>
  <c r="JC452" i="40"/>
  <c r="JC546" i="40"/>
  <c r="JB202" i="40"/>
  <c r="HM211" i="40"/>
  <c r="JC340" i="40"/>
  <c r="JA513" i="40"/>
  <c r="HW513" i="40"/>
  <c r="HV513" i="40"/>
  <c r="HX513" i="40"/>
  <c r="JB471" i="40"/>
  <c r="JC468" i="40"/>
  <c r="JC421" i="40"/>
  <c r="JC555" i="40"/>
  <c r="HX351" i="40"/>
  <c r="HW351" i="40"/>
  <c r="HV351" i="40"/>
  <c r="JA351" i="40"/>
  <c r="HP204" i="40"/>
  <c r="HO560" i="40"/>
  <c r="HR560" i="40" s="1"/>
  <c r="JC560" i="40"/>
  <c r="HM530" i="40"/>
  <c r="HP530" i="40" s="1"/>
  <c r="JC469" i="40"/>
  <c r="JC439" i="40"/>
  <c r="HX314" i="40"/>
  <c r="HW314" i="40"/>
  <c r="HV314" i="40"/>
  <c r="JA314" i="40"/>
  <c r="JB449" i="40"/>
  <c r="HM524" i="40"/>
  <c r="HP524" i="40" s="1"/>
  <c r="HM550" i="40"/>
  <c r="HP550" i="40" s="1"/>
  <c r="JC440" i="40"/>
  <c r="JA464" i="40"/>
  <c r="HW464" i="40"/>
  <c r="HV464" i="40"/>
  <c r="HX464" i="40"/>
  <c r="JC350" i="40"/>
  <c r="HX528" i="40"/>
  <c r="JA528" i="40"/>
  <c r="HW528" i="40"/>
  <c r="HV528" i="40"/>
  <c r="JC474" i="40"/>
  <c r="JA430" i="40"/>
  <c r="HV430" i="40"/>
  <c r="HX430" i="40"/>
  <c r="HW430" i="40"/>
  <c r="JC470" i="40"/>
  <c r="HW547" i="40"/>
  <c r="JA547" i="40"/>
  <c r="HX547" i="40"/>
  <c r="HV547" i="40"/>
  <c r="JB540" i="40"/>
  <c r="JA425" i="40"/>
  <c r="HW425" i="40"/>
  <c r="HV425" i="40"/>
  <c r="HX425" i="40"/>
  <c r="HV305" i="40"/>
  <c r="HW305" i="40"/>
  <c r="HX305" i="40"/>
  <c r="JA305" i="40"/>
  <c r="JB573" i="40"/>
  <c r="JC529" i="40"/>
  <c r="JC402" i="40"/>
  <c r="JC541" i="40"/>
  <c r="JB455" i="40"/>
  <c r="HX503" i="40"/>
  <c r="HW503" i="40"/>
  <c r="HV503" i="40"/>
  <c r="JA503" i="40"/>
  <c r="JC436" i="40"/>
  <c r="JC315" i="40"/>
  <c r="JC412" i="40"/>
  <c r="JB403" i="40"/>
  <c r="JB429" i="40"/>
  <c r="HV511" i="40"/>
  <c r="HX511" i="40"/>
  <c r="JA511" i="40"/>
  <c r="HW511" i="40"/>
  <c r="HW302" i="40"/>
  <c r="HV302" i="40"/>
  <c r="HX302" i="40"/>
  <c r="JA302" i="40"/>
  <c r="HW325" i="40"/>
  <c r="HX325" i="40"/>
  <c r="HV325" i="40"/>
  <c r="JA325" i="40"/>
  <c r="JC422" i="40"/>
  <c r="JB518" i="40"/>
  <c r="JA411" i="40"/>
  <c r="HX411" i="40"/>
  <c r="HW411" i="40"/>
  <c r="HV411" i="40"/>
  <c r="JB313" i="40"/>
  <c r="JC519" i="40"/>
  <c r="JC441" i="40"/>
  <c r="HX334" i="40"/>
  <c r="HW334" i="40"/>
  <c r="HV334" i="40"/>
  <c r="JA334" i="40"/>
  <c r="JC307" i="40"/>
  <c r="JB304" i="40"/>
  <c r="JB307" i="40"/>
  <c r="HV315" i="40"/>
  <c r="HW315" i="40"/>
  <c r="HX315" i="40"/>
  <c r="JA315" i="40"/>
  <c r="JB331" i="40"/>
  <c r="JB306" i="40"/>
  <c r="JC324" i="40"/>
  <c r="JC327" i="40"/>
  <c r="JC353" i="40"/>
  <c r="HV203" i="40"/>
  <c r="HW203" i="40"/>
  <c r="JA203" i="40"/>
  <c r="HX203" i="40"/>
  <c r="JC334" i="40"/>
  <c r="HW320" i="40"/>
  <c r="HV320" i="40"/>
  <c r="HX320" i="40"/>
  <c r="JA320" i="40"/>
  <c r="JC321" i="40"/>
  <c r="JC372" i="40"/>
  <c r="HX306" i="40"/>
  <c r="HW306" i="40"/>
  <c r="HV306" i="40"/>
  <c r="JA306" i="40"/>
  <c r="JC310" i="40"/>
  <c r="HW450" i="40"/>
  <c r="HV450" i="40"/>
  <c r="JA450" i="40"/>
  <c r="HX450" i="40"/>
  <c r="JC356" i="40"/>
  <c r="JC413" i="40"/>
  <c r="JB405" i="40"/>
  <c r="HV505" i="40"/>
  <c r="HX505" i="40"/>
  <c r="HW505" i="40"/>
  <c r="JA505" i="40"/>
  <c r="JC341" i="40"/>
  <c r="HW309" i="40"/>
  <c r="HV309" i="40"/>
  <c r="HX309" i="40"/>
  <c r="JA309" i="40"/>
  <c r="HV561" i="40"/>
  <c r="HW561" i="40"/>
  <c r="JA561" i="40"/>
  <c r="HX561" i="40"/>
  <c r="JB538" i="40"/>
  <c r="HX202" i="40"/>
  <c r="HW202" i="40"/>
  <c r="JA202" i="40"/>
  <c r="HV202" i="40"/>
  <c r="HN526" i="40"/>
  <c r="HQ526" i="40" s="1"/>
  <c r="JC566" i="40"/>
  <c r="JA445" i="40"/>
  <c r="HX445" i="40"/>
  <c r="HW445" i="40"/>
  <c r="HV445" i="40"/>
  <c r="HW344" i="40"/>
  <c r="HV344" i="40"/>
  <c r="HX344" i="40"/>
  <c r="JA344" i="40"/>
  <c r="HV352" i="40"/>
  <c r="HX352" i="40"/>
  <c r="HW352" i="40"/>
  <c r="JA352" i="40"/>
  <c r="JB363" i="40"/>
  <c r="JB527" i="40"/>
  <c r="JC208" i="40"/>
  <c r="JC362" i="40"/>
  <c r="HN544" i="40"/>
  <c r="HQ544" i="40" s="1"/>
  <c r="JB328" i="40"/>
  <c r="JC522" i="40"/>
  <c r="JB355" i="40"/>
  <c r="JC204" i="40"/>
  <c r="JB205" i="40"/>
  <c r="JB351" i="40"/>
  <c r="HX328" i="40"/>
  <c r="HW328" i="40"/>
  <c r="HV328" i="40"/>
  <c r="JA328" i="40"/>
  <c r="HV207" i="40"/>
  <c r="JA207" i="40"/>
  <c r="HW207" i="40"/>
  <c r="HX207" i="40"/>
  <c r="HV463" i="40"/>
  <c r="JA463" i="40"/>
  <c r="HX463" i="40"/>
  <c r="HW463" i="40"/>
  <c r="JB364" i="40"/>
  <c r="JC355" i="40"/>
  <c r="JB206" i="40"/>
  <c r="HO310" i="40"/>
  <c r="HR310" i="40" s="1"/>
  <c r="JH310" i="40" s="1"/>
  <c r="JB315" i="40"/>
  <c r="HX329" i="40"/>
  <c r="HV329" i="40"/>
  <c r="HW329" i="40"/>
  <c r="JA329" i="40"/>
  <c r="HW318" i="40"/>
  <c r="HX318" i="40"/>
  <c r="HV318" i="40"/>
  <c r="JA318" i="40"/>
  <c r="JB207" i="40"/>
  <c r="JC339" i="40"/>
  <c r="JC371" i="40"/>
  <c r="JB310" i="40"/>
  <c r="JB468" i="40"/>
  <c r="HW407" i="40"/>
  <c r="HX407" i="40"/>
  <c r="HV407" i="40"/>
  <c r="JA407" i="40"/>
  <c r="JB414" i="40"/>
  <c r="HV339" i="40"/>
  <c r="HW339" i="40"/>
  <c r="HX339" i="40"/>
  <c r="JA339" i="40"/>
  <c r="JB308" i="40"/>
  <c r="JC360" i="40"/>
  <c r="HX509" i="40"/>
  <c r="JA509" i="40"/>
  <c r="HW509" i="40"/>
  <c r="HV509" i="40"/>
  <c r="HW317" i="40"/>
  <c r="HX317" i="40"/>
  <c r="HV317" i="40"/>
  <c r="JA317" i="40"/>
  <c r="HV365" i="40"/>
  <c r="HW365" i="40"/>
  <c r="HX365" i="40"/>
  <c r="JA365" i="40"/>
  <c r="JC210" i="40"/>
  <c r="HW346" i="40"/>
  <c r="HV346" i="40"/>
  <c r="HX346" i="40"/>
  <c r="JA346" i="40"/>
  <c r="JB549" i="40"/>
  <c r="JC207" i="40"/>
  <c r="HW366" i="40"/>
  <c r="HV366" i="40"/>
  <c r="HX366" i="40"/>
  <c r="JA366" i="40"/>
  <c r="V58" i="59"/>
  <c r="W58" i="59"/>
  <c r="HO676" i="40" l="1"/>
  <c r="JH560" i="40"/>
  <c r="JH424" i="40"/>
  <c r="JH340" i="40"/>
  <c r="JH426" i="40"/>
  <c r="HQ583" i="40"/>
  <c r="HQ683" i="40" s="1"/>
  <c r="JH422" i="40"/>
  <c r="HN678" i="40"/>
  <c r="HR662" i="40"/>
  <c r="HQ622" i="40"/>
  <c r="JH343" i="40"/>
  <c r="HQ579" i="40"/>
  <c r="HQ679" i="40" s="1"/>
  <c r="JH543" i="40"/>
  <c r="JH554" i="40"/>
  <c r="HQ602" i="40"/>
  <c r="JZ305" i="40"/>
  <c r="KA305" i="40" s="1"/>
  <c r="HQ217" i="40"/>
  <c r="HQ617" i="40" s="1"/>
  <c r="HN623" i="40"/>
  <c r="JH470" i="40"/>
  <c r="JH429" i="40"/>
  <c r="HQ582" i="40"/>
  <c r="HQ682" i="40" s="1"/>
  <c r="JH542" i="40"/>
  <c r="JH515" i="40"/>
  <c r="JH407" i="40"/>
  <c r="HQ654" i="40"/>
  <c r="JH514" i="40"/>
  <c r="JH363" i="40"/>
  <c r="JH457" i="40"/>
  <c r="JH561" i="40"/>
  <c r="HO615" i="40"/>
  <c r="HR632" i="40"/>
  <c r="HO678" i="40"/>
  <c r="JH442" i="40"/>
  <c r="HR615" i="40"/>
  <c r="HM642" i="40"/>
  <c r="HQ637" i="40"/>
  <c r="JH534" i="40"/>
  <c r="JH303" i="40"/>
  <c r="JH547" i="40"/>
  <c r="JH551" i="40"/>
  <c r="JH556" i="40"/>
  <c r="JH374" i="40"/>
  <c r="JH440" i="40"/>
  <c r="JH402" i="40"/>
  <c r="JH452" i="40"/>
  <c r="JH339" i="40"/>
  <c r="HN609" i="40"/>
  <c r="JH453" i="40"/>
  <c r="HM667" i="40"/>
  <c r="HM603" i="40"/>
  <c r="JZ505" i="40"/>
  <c r="JH304" i="40"/>
  <c r="JH336" i="40"/>
  <c r="JZ303" i="40"/>
  <c r="HN618" i="40"/>
  <c r="HN613" i="40"/>
  <c r="HN652" i="40"/>
  <c r="JH462" i="40"/>
  <c r="HO651" i="40"/>
  <c r="JH413" i="40"/>
  <c r="HN657" i="40"/>
  <c r="HQ613" i="40"/>
  <c r="HR622" i="40"/>
  <c r="HR651" i="40"/>
  <c r="JH401" i="40"/>
  <c r="JH322" i="40"/>
  <c r="JH557" i="40"/>
  <c r="HQ643" i="40"/>
  <c r="JH313" i="40"/>
  <c r="HO614" i="40"/>
  <c r="JH345" i="40"/>
  <c r="JH326" i="40"/>
  <c r="HO632" i="40"/>
  <c r="JH337" i="40"/>
  <c r="JH436" i="40"/>
  <c r="JH327" i="40"/>
  <c r="JH317" i="40"/>
  <c r="JH508" i="40"/>
  <c r="HO679" i="40"/>
  <c r="HP576" i="40"/>
  <c r="JH576" i="40" s="1"/>
  <c r="HQ577" i="40"/>
  <c r="HQ677" i="40" s="1"/>
  <c r="HN677" i="40"/>
  <c r="JH580" i="40"/>
  <c r="HP680" i="40"/>
  <c r="JH680" i="40" s="1"/>
  <c r="JJ578" i="40"/>
  <c r="HV678" i="40"/>
  <c r="JJ678" i="40" s="1"/>
  <c r="JH578" i="40"/>
  <c r="HQ678" i="40"/>
  <c r="HR583" i="40"/>
  <c r="HR683" i="40" s="1"/>
  <c r="HO683" i="40"/>
  <c r="JJ581" i="40"/>
  <c r="HV681" i="40"/>
  <c r="JJ681" i="40" s="1"/>
  <c r="HP677" i="40"/>
  <c r="JH581" i="40"/>
  <c r="HP681" i="40"/>
  <c r="JH681" i="40" s="1"/>
  <c r="JH678" i="40"/>
  <c r="JJ580" i="40"/>
  <c r="HV680" i="40"/>
  <c r="JJ680" i="40" s="1"/>
  <c r="HP679" i="40"/>
  <c r="JJ576" i="40"/>
  <c r="HV676" i="40"/>
  <c r="JJ676" i="40" s="1"/>
  <c r="JJ583" i="40"/>
  <c r="HV683" i="40"/>
  <c r="JJ683" i="40" s="1"/>
  <c r="JJ582" i="40"/>
  <c r="HV682" i="40"/>
  <c r="JJ682" i="40" s="1"/>
  <c r="JJ579" i="40"/>
  <c r="HV679" i="40"/>
  <c r="JJ679" i="40" s="1"/>
  <c r="HN672" i="40"/>
  <c r="JH469" i="40"/>
  <c r="HR577" i="40"/>
  <c r="HR677" i="40" s="1"/>
  <c r="HO677" i="40"/>
  <c r="HP683" i="40"/>
  <c r="JJ577" i="40"/>
  <c r="HV677" i="40"/>
  <c r="JJ677" i="40" s="1"/>
  <c r="HP682" i="40"/>
  <c r="JH682" i="40" s="1"/>
  <c r="JH536" i="40"/>
  <c r="JH404" i="40"/>
  <c r="JH558" i="40"/>
  <c r="JH546" i="40"/>
  <c r="JH316" i="40"/>
  <c r="AU18" i="68"/>
  <c r="HX608" i="40"/>
  <c r="AS18" i="68"/>
  <c r="JH354" i="40"/>
  <c r="JH449" i="40"/>
  <c r="JH439" i="40"/>
  <c r="JH329" i="40"/>
  <c r="JH455" i="40"/>
  <c r="JH360" i="40"/>
  <c r="JH350" i="40"/>
  <c r="JH501" i="40"/>
  <c r="JH338" i="40"/>
  <c r="HM606" i="40"/>
  <c r="JH319" i="40"/>
  <c r="JH425" i="40"/>
  <c r="JH461" i="40"/>
  <c r="JH540" i="40"/>
  <c r="HR602" i="40"/>
  <c r="JH529" i="40"/>
  <c r="JH341" i="40"/>
  <c r="JH370" i="40"/>
  <c r="JH311" i="40"/>
  <c r="HN650" i="40"/>
  <c r="JH533" i="40"/>
  <c r="HO608" i="40"/>
  <c r="HQ623" i="40"/>
  <c r="JZ404" i="40"/>
  <c r="KA404" i="40" s="1"/>
  <c r="HQ650" i="40"/>
  <c r="HN643" i="40"/>
  <c r="HQ638" i="40"/>
  <c r="HN655" i="40"/>
  <c r="HO662" i="40"/>
  <c r="HN654" i="40"/>
  <c r="HN602" i="40"/>
  <c r="JH541" i="40"/>
  <c r="JH573" i="40"/>
  <c r="JH463" i="40"/>
  <c r="JH472" i="40"/>
  <c r="JH437" i="40"/>
  <c r="JH308" i="40"/>
  <c r="JH403" i="40"/>
  <c r="HM608" i="40"/>
  <c r="HQ628" i="40"/>
  <c r="JH570" i="40"/>
  <c r="HN606" i="40"/>
  <c r="HN625" i="40"/>
  <c r="HX613" i="40"/>
  <c r="HQ608" i="40"/>
  <c r="JH466" i="40"/>
  <c r="HM647" i="40"/>
  <c r="JH567" i="40"/>
  <c r="JH475" i="40"/>
  <c r="JH447" i="40"/>
  <c r="JH532" i="40"/>
  <c r="JH356" i="40"/>
  <c r="JH522" i="40"/>
  <c r="JH306" i="40"/>
  <c r="KA306" i="40" s="1"/>
  <c r="KB301" i="40" s="1"/>
  <c r="KB302" i="40" s="1"/>
  <c r="KB303" i="40" s="1"/>
  <c r="KC303" i="40" s="1"/>
  <c r="JH309" i="40"/>
  <c r="JH564" i="40"/>
  <c r="JH518" i="40"/>
  <c r="JH408" i="40"/>
  <c r="JH435" i="40"/>
  <c r="JH512" i="40"/>
  <c r="JH468" i="40"/>
  <c r="JH509" i="40"/>
  <c r="JH443" i="40"/>
  <c r="JH511" i="40"/>
  <c r="JH301" i="40"/>
  <c r="JH355" i="40"/>
  <c r="JZ304" i="40"/>
  <c r="HQ609" i="40"/>
  <c r="HO634" i="40"/>
  <c r="HQ652" i="40"/>
  <c r="HM643" i="40"/>
  <c r="HQ629" i="40"/>
  <c r="HN636" i="40"/>
  <c r="HQ642" i="40"/>
  <c r="JH332" i="40"/>
  <c r="HQ664" i="40"/>
  <c r="JH357" i="40"/>
  <c r="JH460" i="40"/>
  <c r="JH513" i="40"/>
  <c r="HR603" i="40"/>
  <c r="JH565" i="40"/>
  <c r="JH362" i="40"/>
  <c r="JH416" i="40"/>
  <c r="JH418" i="40"/>
  <c r="JH531" i="40"/>
  <c r="JH342" i="40"/>
  <c r="HR608" i="40"/>
  <c r="JH373" i="40"/>
  <c r="JH371" i="40"/>
  <c r="JH333" i="40"/>
  <c r="JH312" i="40"/>
  <c r="JH375" i="40"/>
  <c r="JH369" i="40"/>
  <c r="JH445" i="40"/>
  <c r="HO635" i="40"/>
  <c r="HN645" i="40"/>
  <c r="HR656" i="40"/>
  <c r="HQ618" i="40"/>
  <c r="HO603" i="40"/>
  <c r="HR635" i="40"/>
  <c r="HO643" i="40"/>
  <c r="HQ645" i="40"/>
  <c r="HN656" i="40"/>
  <c r="HM666" i="40"/>
  <c r="JZ403" i="40"/>
  <c r="HO602" i="40"/>
  <c r="HN605" i="40"/>
  <c r="HM609" i="40"/>
  <c r="HN621" i="40"/>
  <c r="HN629" i="40"/>
  <c r="HR634" i="40"/>
  <c r="HM668" i="40"/>
  <c r="HO664" i="40"/>
  <c r="HN667" i="40"/>
  <c r="HM640" i="40"/>
  <c r="HN611" i="40"/>
  <c r="HM604" i="40"/>
  <c r="JH411" i="40"/>
  <c r="HM625" i="40"/>
  <c r="HQ636" i="40"/>
  <c r="HR643" i="40"/>
  <c r="JH517" i="40"/>
  <c r="HQ605" i="40"/>
  <c r="HQ621" i="40"/>
  <c r="HR664" i="40"/>
  <c r="HR614" i="40"/>
  <c r="HN619" i="40"/>
  <c r="HO633" i="40"/>
  <c r="HQ656" i="40"/>
  <c r="HW638" i="40"/>
  <c r="HN664" i="40"/>
  <c r="HR666" i="40"/>
  <c r="JH510" i="40"/>
  <c r="JH571" i="40"/>
  <c r="HO629" i="40"/>
  <c r="HO613" i="40"/>
  <c r="HN612" i="40"/>
  <c r="HN671" i="40"/>
  <c r="HQ606" i="40"/>
  <c r="JH406" i="40"/>
  <c r="KA406" i="40" s="1"/>
  <c r="KB401" i="40" s="1"/>
  <c r="KB402" i="40" s="1"/>
  <c r="KB403" i="40" s="1"/>
  <c r="JH526" i="40"/>
  <c r="HQ619" i="40"/>
  <c r="HN634" i="40"/>
  <c r="HR633" i="40"/>
  <c r="HO637" i="40"/>
  <c r="HO639" i="40"/>
  <c r="HM622" i="40"/>
  <c r="HR629" i="40"/>
  <c r="HN642" i="40"/>
  <c r="JH507" i="40"/>
  <c r="HQ612" i="40"/>
  <c r="HQ671" i="40"/>
  <c r="HW613" i="40"/>
  <c r="HQ634" i="40"/>
  <c r="HN608" i="40"/>
  <c r="HR637" i="40"/>
  <c r="HR639" i="40"/>
  <c r="HM607" i="40"/>
  <c r="HN628" i="40"/>
  <c r="AT18" i="69"/>
  <c r="JH419" i="40"/>
  <c r="HM638" i="40"/>
  <c r="HM663" i="40"/>
  <c r="HN638" i="40"/>
  <c r="HN663" i="40"/>
  <c r="HN660" i="40"/>
  <c r="HQ663" i="40"/>
  <c r="HQ260" i="40"/>
  <c r="HQ660" i="40" s="1"/>
  <c r="JH539" i="40"/>
  <c r="JH409" i="40"/>
  <c r="JH523" i="40"/>
  <c r="JH344" i="40"/>
  <c r="JH430" i="40"/>
  <c r="JH474" i="40"/>
  <c r="HQ651" i="40"/>
  <c r="HQ674" i="40"/>
  <c r="JH372" i="40"/>
  <c r="JH412" i="40"/>
  <c r="JH454" i="40"/>
  <c r="JH417" i="40"/>
  <c r="JH520" i="40"/>
  <c r="HN615" i="40"/>
  <c r="HN627" i="40"/>
  <c r="HN648" i="40"/>
  <c r="HM660" i="40"/>
  <c r="JH575" i="40"/>
  <c r="HW622" i="40"/>
  <c r="HM613" i="40"/>
  <c r="HQ625" i="40"/>
  <c r="HR674" i="40"/>
  <c r="HQ211" i="40"/>
  <c r="HQ611" i="40" s="1"/>
  <c r="HO606" i="40"/>
  <c r="HN624" i="40"/>
  <c r="HR641" i="40"/>
  <c r="HM652" i="40"/>
  <c r="HW660" i="40"/>
  <c r="HR631" i="40"/>
  <c r="HN637" i="40"/>
  <c r="HM619" i="40"/>
  <c r="HN639" i="40"/>
  <c r="AT18" i="66"/>
  <c r="HR609" i="40"/>
  <c r="HW636" i="40"/>
  <c r="HR606" i="40"/>
  <c r="HW633" i="40"/>
  <c r="HO666" i="40"/>
  <c r="AS18" i="69"/>
  <c r="HR647" i="40"/>
  <c r="HN651" i="40"/>
  <c r="HN674" i="40"/>
  <c r="HO604" i="40"/>
  <c r="JH314" i="40"/>
  <c r="HQ607" i="40"/>
  <c r="JH458" i="40"/>
  <c r="JH450" i="40"/>
  <c r="JH346" i="40"/>
  <c r="JH368" i="40"/>
  <c r="JZ504" i="40"/>
  <c r="JH519" i="40"/>
  <c r="JH563" i="40"/>
  <c r="JZ503" i="40"/>
  <c r="JH549" i="40"/>
  <c r="JH321" i="40"/>
  <c r="JH521" i="40"/>
  <c r="HX636" i="40"/>
  <c r="HN607" i="40"/>
  <c r="HW640" i="40"/>
  <c r="HW621" i="40"/>
  <c r="HQ624" i="40"/>
  <c r="HO627" i="40"/>
  <c r="HQ627" i="40"/>
  <c r="HM637" i="40"/>
  <c r="HQ648" i="40"/>
  <c r="HM651" i="40"/>
  <c r="HN653" i="40"/>
  <c r="HO658" i="40"/>
  <c r="JH353" i="40"/>
  <c r="HW648" i="40"/>
  <c r="JH349" i="40"/>
  <c r="HM665" i="40"/>
  <c r="HQ672" i="40"/>
  <c r="JH545" i="40"/>
  <c r="HM617" i="40"/>
  <c r="HM620" i="40"/>
  <c r="HR627" i="40"/>
  <c r="HM641" i="40"/>
  <c r="HM644" i="40"/>
  <c r="HO647" i="40"/>
  <c r="HQ653" i="40"/>
  <c r="HM657" i="40"/>
  <c r="HW658" i="40"/>
  <c r="HR658" i="40"/>
  <c r="HX660" i="40"/>
  <c r="HX648" i="40"/>
  <c r="JH503" i="40"/>
  <c r="HO605" i="40"/>
  <c r="HR204" i="40"/>
  <c r="HR604" i="40" s="1"/>
  <c r="HO625" i="40"/>
  <c r="JH504" i="40"/>
  <c r="HN622" i="40"/>
  <c r="HR669" i="40"/>
  <c r="HO609" i="40"/>
  <c r="HW654" i="40"/>
  <c r="HW649" i="40"/>
  <c r="HO641" i="40"/>
  <c r="HM645" i="40"/>
  <c r="HX658" i="40"/>
  <c r="HR625" i="40"/>
  <c r="HM639" i="40"/>
  <c r="HO674" i="40"/>
  <c r="HX673" i="40"/>
  <c r="HN604" i="40"/>
  <c r="HO631" i="40"/>
  <c r="JH325" i="40"/>
  <c r="HM649" i="40"/>
  <c r="HR617" i="40"/>
  <c r="JH544" i="40"/>
  <c r="HW653" i="40"/>
  <c r="HM615" i="40"/>
  <c r="HX654" i="40"/>
  <c r="JJ548" i="40"/>
  <c r="JJ537" i="40"/>
  <c r="HX649" i="40"/>
  <c r="HX669" i="40"/>
  <c r="HN661" i="40"/>
  <c r="HQ667" i="40"/>
  <c r="HX621" i="40"/>
  <c r="HW641" i="40"/>
  <c r="HO656" i="40"/>
  <c r="HM626" i="40"/>
  <c r="HQ661" i="40"/>
  <c r="HN670" i="40"/>
  <c r="HM601" i="40"/>
  <c r="HM701" i="40" s="1"/>
  <c r="HO663" i="40"/>
  <c r="AS18" i="67"/>
  <c r="HX641" i="40"/>
  <c r="JJ437" i="40"/>
  <c r="HX633" i="40"/>
  <c r="HQ670" i="40"/>
  <c r="HR657" i="40"/>
  <c r="HR663" i="40"/>
  <c r="HO657" i="40"/>
  <c r="HW602" i="40"/>
  <c r="JJ325" i="40"/>
  <c r="JJ519" i="40"/>
  <c r="HW609" i="40"/>
  <c r="JJ435" i="40"/>
  <c r="JJ413" i="40"/>
  <c r="JJ347" i="40"/>
  <c r="HX605" i="40"/>
  <c r="JJ527" i="40"/>
  <c r="JJ470" i="40"/>
  <c r="HO669" i="40"/>
  <c r="JJ460" i="40"/>
  <c r="JJ373" i="40"/>
  <c r="JJ440" i="40"/>
  <c r="HO622" i="40"/>
  <c r="HX602" i="40"/>
  <c r="JJ309" i="40"/>
  <c r="JJ302" i="40"/>
  <c r="JJ464" i="40"/>
  <c r="JJ314" i="40"/>
  <c r="JJ418" i="40"/>
  <c r="JJ555" i="40"/>
  <c r="JJ518" i="40"/>
  <c r="JJ201" i="40"/>
  <c r="JJ472" i="40"/>
  <c r="JJ331" i="40"/>
  <c r="JJ321" i="40"/>
  <c r="HN632" i="40"/>
  <c r="JJ424" i="40"/>
  <c r="JJ462" i="40"/>
  <c r="JJ426" i="40"/>
  <c r="JJ313" i="40"/>
  <c r="HQ632" i="40"/>
  <c r="JJ327" i="40"/>
  <c r="JJ538" i="40"/>
  <c r="JJ326" i="40"/>
  <c r="JJ421" i="40"/>
  <c r="JJ362" i="40"/>
  <c r="JJ344" i="40"/>
  <c r="JJ553" i="40"/>
  <c r="JJ570" i="40"/>
  <c r="JJ412" i="40"/>
  <c r="JJ335" i="40"/>
  <c r="JJ419" i="40"/>
  <c r="JJ529" i="40"/>
  <c r="JJ551" i="40"/>
  <c r="JJ568" i="40"/>
  <c r="JJ571" i="40"/>
  <c r="JJ457" i="40"/>
  <c r="JJ502" i="40"/>
  <c r="JJ468" i="40"/>
  <c r="JJ353" i="40"/>
  <c r="JJ341" i="40"/>
  <c r="JJ414" i="40"/>
  <c r="JJ407" i="40"/>
  <c r="JJ528" i="40"/>
  <c r="JJ508" i="40"/>
  <c r="JJ447" i="40"/>
  <c r="JJ545" i="40"/>
  <c r="JJ410" i="40"/>
  <c r="JJ371" i="40"/>
  <c r="JJ516" i="40"/>
  <c r="JJ448" i="40"/>
  <c r="JJ318" i="40"/>
  <c r="JJ445" i="40"/>
  <c r="JJ315" i="40"/>
  <c r="JJ311" i="40"/>
  <c r="HW631" i="40"/>
  <c r="JJ454" i="40"/>
  <c r="JJ345" i="40"/>
  <c r="JJ521" i="40"/>
  <c r="JJ467" i="40"/>
  <c r="JJ512" i="40"/>
  <c r="JJ358" i="40"/>
  <c r="JJ475" i="40"/>
  <c r="JJ274" i="40"/>
  <c r="JJ442" i="40"/>
  <c r="JJ524" i="40"/>
  <c r="JJ560" i="40"/>
  <c r="JH324" i="40"/>
  <c r="JJ306" i="40"/>
  <c r="HX612" i="40"/>
  <c r="JJ465" i="40"/>
  <c r="JJ422" i="40"/>
  <c r="JJ473" i="40"/>
  <c r="JJ365" i="40"/>
  <c r="JJ317" i="40"/>
  <c r="JJ366" i="40"/>
  <c r="JJ509" i="40"/>
  <c r="JJ207" i="40"/>
  <c r="HV607" i="40"/>
  <c r="JJ328" i="40"/>
  <c r="JJ202" i="40"/>
  <c r="HV602" i="40"/>
  <c r="HW605" i="40"/>
  <c r="JJ320" i="40"/>
  <c r="HW603" i="40"/>
  <c r="JJ511" i="40"/>
  <c r="JJ503" i="40"/>
  <c r="JJ547" i="40"/>
  <c r="HW628" i="40"/>
  <c r="JJ428" i="40"/>
  <c r="JJ546" i="40"/>
  <c r="JJ456" i="40"/>
  <c r="HX629" i="40"/>
  <c r="HW664" i="40"/>
  <c r="HW651" i="40"/>
  <c r="HW612" i="40"/>
  <c r="JH206" i="40"/>
  <c r="KA206" i="40" s="1"/>
  <c r="AW16" i="66" s="1"/>
  <c r="HP606" i="40"/>
  <c r="JJ540" i="40"/>
  <c r="HX615" i="40"/>
  <c r="JH217" i="40"/>
  <c r="HP617" i="40"/>
  <c r="HP620" i="40"/>
  <c r="HP223" i="40"/>
  <c r="HM623" i="40"/>
  <c r="JJ231" i="40"/>
  <c r="HV631" i="40"/>
  <c r="HX661" i="40"/>
  <c r="JJ260" i="40"/>
  <c r="HV660" i="40"/>
  <c r="HW619" i="40"/>
  <c r="JJ361" i="40"/>
  <c r="JJ301" i="40"/>
  <c r="JJ312" i="40"/>
  <c r="JJ368" i="40"/>
  <c r="JJ452" i="40"/>
  <c r="JJ416" i="40"/>
  <c r="HW668" i="40"/>
  <c r="HV669" i="40"/>
  <c r="JJ569" i="40"/>
  <c r="JH427" i="40"/>
  <c r="HX652" i="40"/>
  <c r="HW608" i="40"/>
  <c r="HX656" i="40"/>
  <c r="JH569" i="40"/>
  <c r="HX645" i="40"/>
  <c r="JJ444" i="40"/>
  <c r="HR605" i="40"/>
  <c r="HW617" i="40"/>
  <c r="HP221" i="40"/>
  <c r="HM621" i="40"/>
  <c r="HW632" i="40"/>
  <c r="JJ235" i="40"/>
  <c r="HV635" i="40"/>
  <c r="JJ239" i="40"/>
  <c r="HV639" i="40"/>
  <c r="JJ243" i="40"/>
  <c r="HV643" i="40"/>
  <c r="HQ644" i="40"/>
  <c r="HR246" i="40"/>
  <c r="HR646" i="40" s="1"/>
  <c r="HO646" i="40"/>
  <c r="HW647" i="40"/>
  <c r="HR248" i="40"/>
  <c r="HR648" i="40" s="1"/>
  <c r="HO648" i="40"/>
  <c r="JJ257" i="40"/>
  <c r="HV657" i="40"/>
  <c r="JJ259" i="40"/>
  <c r="HV659" i="40"/>
  <c r="JJ268" i="40"/>
  <c r="HV668" i="40"/>
  <c r="HP269" i="40"/>
  <c r="HM669" i="40"/>
  <c r="HQ669" i="40"/>
  <c r="HW670" i="40"/>
  <c r="HP271" i="40"/>
  <c r="HM671" i="40"/>
  <c r="JJ275" i="40"/>
  <c r="HV675" i="40"/>
  <c r="HW672" i="40"/>
  <c r="HW601" i="40"/>
  <c r="HW701" i="40" s="1"/>
  <c r="JJ336" i="40"/>
  <c r="JH328" i="40"/>
  <c r="JJ337" i="40"/>
  <c r="JJ354" i="40"/>
  <c r="JJ307" i="40"/>
  <c r="JJ342" i="40"/>
  <c r="JJ308" i="40"/>
  <c r="JJ370" i="40"/>
  <c r="KB501" i="40"/>
  <c r="KB502" i="40" s="1"/>
  <c r="KB503" i="40" s="1"/>
  <c r="A13" i="69"/>
  <c r="A13" i="67"/>
  <c r="AW16" i="69"/>
  <c r="JJ541" i="40"/>
  <c r="JH502" i="40"/>
  <c r="JJ404" i="40"/>
  <c r="JH410" i="40"/>
  <c r="HP214" i="40"/>
  <c r="HM614" i="40"/>
  <c r="HX672" i="40"/>
  <c r="JJ211" i="40"/>
  <c r="HV611" i="40"/>
  <c r="JJ506" i="40"/>
  <c r="JJ427" i="40"/>
  <c r="JJ438" i="40"/>
  <c r="HX650" i="40"/>
  <c r="JH365" i="40"/>
  <c r="JJ409" i="40"/>
  <c r="HW607" i="40"/>
  <c r="JJ316" i="40"/>
  <c r="JJ544" i="40"/>
  <c r="JJ558" i="40"/>
  <c r="HR611" i="40"/>
  <c r="JH209" i="40"/>
  <c r="HP609" i="40"/>
  <c r="HX614" i="40"/>
  <c r="HR216" i="40"/>
  <c r="HR616" i="40" s="1"/>
  <c r="HO616" i="40"/>
  <c r="JJ216" i="40"/>
  <c r="HV616" i="40"/>
  <c r="HO626" i="40"/>
  <c r="JJ228" i="40"/>
  <c r="HV628" i="40"/>
  <c r="JH230" i="40"/>
  <c r="HP630" i="40"/>
  <c r="HX634" i="40"/>
  <c r="JH234" i="40"/>
  <c r="HP634" i="40"/>
  <c r="HO638" i="40"/>
  <c r="HP246" i="40"/>
  <c r="HM646" i="40"/>
  <c r="HW646" i="40"/>
  <c r="JH263" i="40"/>
  <c r="HP663" i="40"/>
  <c r="HW674" i="40"/>
  <c r="HP272" i="40"/>
  <c r="HM672" i="40"/>
  <c r="KT151" i="40"/>
  <c r="KU150" i="40"/>
  <c r="I61" i="70" s="1"/>
  <c r="JJ415" i="40"/>
  <c r="JJ333" i="40"/>
  <c r="HP205" i="40"/>
  <c r="HM605" i="40"/>
  <c r="JJ364" i="40"/>
  <c r="N8" i="61"/>
  <c r="AA8" i="61" s="1"/>
  <c r="HW616" i="40"/>
  <c r="JJ429" i="40"/>
  <c r="HW662" i="40"/>
  <c r="JJ360" i="40"/>
  <c r="JH528" i="40"/>
  <c r="JJ459" i="40"/>
  <c r="HX631" i="40"/>
  <c r="HW659" i="40"/>
  <c r="JJ539" i="40"/>
  <c r="HX626" i="40"/>
  <c r="JH428" i="40"/>
  <c r="JH438" i="40"/>
  <c r="JJ332" i="40"/>
  <c r="JJ533" i="40"/>
  <c r="HW643" i="40"/>
  <c r="HP602" i="40"/>
  <c r="JH202" i="40"/>
  <c r="JJ542" i="40"/>
  <c r="JJ213" i="40"/>
  <c r="HV613" i="40"/>
  <c r="HW618" i="40"/>
  <c r="HX619" i="40"/>
  <c r="HR221" i="40"/>
  <c r="HR621" i="40" s="1"/>
  <c r="HO621" i="40"/>
  <c r="HX625" i="40"/>
  <c r="HR236" i="40"/>
  <c r="HR636" i="40" s="1"/>
  <c r="HO636" i="40"/>
  <c r="JJ237" i="40"/>
  <c r="HV637" i="40"/>
  <c r="JH238" i="40"/>
  <c r="HP638" i="40"/>
  <c r="JJ238" i="40"/>
  <c r="HV638" i="40"/>
  <c r="JJ240" i="40"/>
  <c r="HV640" i="40"/>
  <c r="HP261" i="40"/>
  <c r="HM661" i="40"/>
  <c r="HX664" i="40"/>
  <c r="HX666" i="40"/>
  <c r="JJ267" i="40"/>
  <c r="HV667" i="40"/>
  <c r="HR273" i="40"/>
  <c r="HR673" i="40" s="1"/>
  <c r="HO673" i="40"/>
  <c r="HP275" i="40"/>
  <c r="HM675" i="40"/>
  <c r="HP616" i="40"/>
  <c r="HQ630" i="40"/>
  <c r="JH568" i="40"/>
  <c r="JH465" i="40"/>
  <c r="JJ339" i="40"/>
  <c r="JJ203" i="40"/>
  <c r="HV603" i="40"/>
  <c r="JJ334" i="40"/>
  <c r="JH530" i="40"/>
  <c r="HV666" i="40"/>
  <c r="JJ566" i="40"/>
  <c r="HP212" i="40"/>
  <c r="HM612" i="40"/>
  <c r="JJ215" i="40"/>
  <c r="HV615" i="40"/>
  <c r="JH237" i="40"/>
  <c r="HP637" i="40"/>
  <c r="HP641" i="40"/>
  <c r="JH244" i="40"/>
  <c r="HP644" i="40"/>
  <c r="JH247" i="40"/>
  <c r="HP647" i="40"/>
  <c r="JH257" i="40"/>
  <c r="HP657" i="40"/>
  <c r="JJ258" i="40"/>
  <c r="HV658" i="40"/>
  <c r="JJ261" i="40"/>
  <c r="HV661" i="40"/>
  <c r="JJ405" i="40"/>
  <c r="JH302" i="40"/>
  <c r="HX609" i="40"/>
  <c r="JH347" i="40"/>
  <c r="JH574" i="40"/>
  <c r="HW671" i="40"/>
  <c r="JJ453" i="40"/>
  <c r="JJ522" i="40"/>
  <c r="JH415" i="40"/>
  <c r="JH434" i="40"/>
  <c r="JJ525" i="40"/>
  <c r="HX657" i="40"/>
  <c r="JJ423" i="40"/>
  <c r="JH213" i="40"/>
  <c r="HP613" i="40"/>
  <c r="JH613" i="40" s="1"/>
  <c r="HX617" i="40"/>
  <c r="HR220" i="40"/>
  <c r="JH220" i="40" s="1"/>
  <c r="HO620" i="40"/>
  <c r="HN626" i="40"/>
  <c r="HX627" i="40"/>
  <c r="HQ231" i="40"/>
  <c r="HN631" i="40"/>
  <c r="JJ232" i="40"/>
  <c r="HV632" i="40"/>
  <c r="HW635" i="40"/>
  <c r="HW639" i="40"/>
  <c r="JH239" i="40"/>
  <c r="HP639" i="40"/>
  <c r="JJ242" i="40"/>
  <c r="HV642" i="40"/>
  <c r="HP248" i="40"/>
  <c r="HM648" i="40"/>
  <c r="JJ249" i="40"/>
  <c r="HP250" i="40"/>
  <c r="HM650" i="40"/>
  <c r="JJ253" i="40"/>
  <c r="HV653" i="40"/>
  <c r="JJ252" i="40"/>
  <c r="HV652" i="40"/>
  <c r="HP256" i="40"/>
  <c r="HM656" i="40"/>
  <c r="HX662" i="40"/>
  <c r="JJ263" i="40"/>
  <c r="HV663" i="40"/>
  <c r="HW669" i="40"/>
  <c r="HX670" i="40"/>
  <c r="HP273" i="40"/>
  <c r="HM673" i="40"/>
  <c r="HR275" i="40"/>
  <c r="HR675" i="40" s="1"/>
  <c r="HO675" i="40"/>
  <c r="JJ319" i="40"/>
  <c r="HX601" i="40"/>
  <c r="HX701" i="40" s="1"/>
  <c r="HX606" i="40"/>
  <c r="JJ451" i="40"/>
  <c r="JJ406" i="40"/>
  <c r="JJ573" i="40"/>
  <c r="HV601" i="40"/>
  <c r="JJ501" i="40"/>
  <c r="JJ517" i="40"/>
  <c r="HW611" i="40"/>
  <c r="JJ520" i="40"/>
  <c r="JJ303" i="40"/>
  <c r="JH505" i="40"/>
  <c r="JJ401" i="40"/>
  <c r="JJ355" i="40"/>
  <c r="HM610" i="40"/>
  <c r="JJ436" i="40"/>
  <c r="KA405" i="40"/>
  <c r="JJ214" i="40"/>
  <c r="HV614" i="40"/>
  <c r="HX620" i="40"/>
  <c r="HX622" i="40"/>
  <c r="JH222" i="40"/>
  <c r="HP622" i="40"/>
  <c r="JJ224" i="40"/>
  <c r="HV624" i="40"/>
  <c r="HX623" i="40"/>
  <c r="HR224" i="40"/>
  <c r="HR624" i="40" s="1"/>
  <c r="HO624" i="40"/>
  <c r="HR626" i="40"/>
  <c r="JJ230" i="40"/>
  <c r="HV630" i="40"/>
  <c r="HM631" i="40"/>
  <c r="HP235" i="40"/>
  <c r="HM635" i="40"/>
  <c r="HR638" i="40"/>
  <c r="HW644" i="40"/>
  <c r="JJ251" i="40"/>
  <c r="HV651" i="40"/>
  <c r="HX665" i="40"/>
  <c r="HP665" i="40"/>
  <c r="HP668" i="40"/>
  <c r="HX674" i="40"/>
  <c r="HX604" i="40"/>
  <c r="HR201" i="40"/>
  <c r="HO601" i="40"/>
  <c r="HO701" i="40" s="1"/>
  <c r="JJ348" i="40"/>
  <c r="JJ205" i="40"/>
  <c r="HV605" i="40"/>
  <c r="JJ523" i="40"/>
  <c r="JJ458" i="40"/>
  <c r="HX616" i="40"/>
  <c r="JJ420" i="40"/>
  <c r="JJ369" i="40"/>
  <c r="HX630" i="40"/>
  <c r="HP601" i="40"/>
  <c r="HP701" i="40" s="1"/>
  <c r="HO610" i="40"/>
  <c r="HW624" i="40"/>
  <c r="JJ543" i="40"/>
  <c r="JJ439" i="40"/>
  <c r="JJ417" i="40"/>
  <c r="HW642" i="40"/>
  <c r="JJ219" i="40"/>
  <c r="HV619" i="40"/>
  <c r="HP228" i="40"/>
  <c r="HM628" i="40"/>
  <c r="HW637" i="40"/>
  <c r="HX640" i="40"/>
  <c r="HO644" i="40"/>
  <c r="HR252" i="40"/>
  <c r="HR652" i="40" s="1"/>
  <c r="HO652" i="40"/>
  <c r="JJ255" i="40"/>
  <c r="HV655" i="40"/>
  <c r="HR261" i="40"/>
  <c r="HR661" i="40" s="1"/>
  <c r="HO661" i="40"/>
  <c r="JH264" i="40"/>
  <c r="HP664" i="40"/>
  <c r="JJ264" i="40"/>
  <c r="HV664" i="40"/>
  <c r="JJ266" i="40"/>
  <c r="HW667" i="40"/>
  <c r="HN668" i="40"/>
  <c r="HO671" i="40"/>
  <c r="HP640" i="40"/>
  <c r="AS18" i="66"/>
  <c r="JJ346" i="40"/>
  <c r="JJ329" i="40"/>
  <c r="JJ463" i="40"/>
  <c r="JJ352" i="40"/>
  <c r="JJ505" i="40"/>
  <c r="JJ450" i="40"/>
  <c r="JJ411" i="40"/>
  <c r="HX611" i="40"/>
  <c r="HX603" i="40"/>
  <c r="JJ305" i="40"/>
  <c r="JJ425" i="40"/>
  <c r="JJ430" i="40"/>
  <c r="JH550" i="40"/>
  <c r="HP604" i="40"/>
  <c r="JJ351" i="40"/>
  <c r="JJ513" i="40"/>
  <c r="JJ515" i="40"/>
  <c r="JJ446" i="40"/>
  <c r="HX646" i="40"/>
  <c r="JJ374" i="40"/>
  <c r="JJ356" i="40"/>
  <c r="JJ564" i="40"/>
  <c r="JJ504" i="40"/>
  <c r="JJ554" i="40"/>
  <c r="JJ323" i="40"/>
  <c r="JJ431" i="40"/>
  <c r="HX651" i="40"/>
  <c r="HV649" i="40"/>
  <c r="JJ549" i="40"/>
  <c r="JJ212" i="40"/>
  <c r="HV612" i="40"/>
  <c r="JH215" i="40"/>
  <c r="HP615" i="40"/>
  <c r="JH225" i="40"/>
  <c r="HP625" i="40"/>
  <c r="JJ229" i="40"/>
  <c r="HV629" i="40"/>
  <c r="HP233" i="40"/>
  <c r="HM633" i="40"/>
  <c r="HN646" i="40"/>
  <c r="JJ350" i="40"/>
  <c r="JJ363" i="40"/>
  <c r="JJ310" i="40"/>
  <c r="JJ367" i="40"/>
  <c r="JJ330" i="40"/>
  <c r="JJ340" i="40"/>
  <c r="JJ575" i="40"/>
  <c r="HX637" i="40"/>
  <c r="JJ441" i="40"/>
  <c r="JJ343" i="40"/>
  <c r="JJ532" i="40"/>
  <c r="JJ552" i="40"/>
  <c r="JJ563" i="40"/>
  <c r="JJ535" i="40"/>
  <c r="HV674" i="40"/>
  <c r="JJ574" i="40"/>
  <c r="JJ469" i="40"/>
  <c r="JJ434" i="40"/>
  <c r="JJ432" i="40"/>
  <c r="JJ567" i="40"/>
  <c r="JH451" i="40"/>
  <c r="JJ449" i="40"/>
  <c r="JJ534" i="40"/>
  <c r="HX618" i="40"/>
  <c r="JJ402" i="40"/>
  <c r="HW657" i="40"/>
  <c r="JJ557" i="40"/>
  <c r="KA303" i="40"/>
  <c r="JH208" i="40"/>
  <c r="HP608" i="40"/>
  <c r="HO617" i="40"/>
  <c r="HP218" i="40"/>
  <c r="HM618" i="40"/>
  <c r="HR223" i="40"/>
  <c r="HR623" i="40" s="1"/>
  <c r="HO623" i="40"/>
  <c r="HQ626" i="40"/>
  <c r="HW627" i="40"/>
  <c r="HP229" i="40"/>
  <c r="HM629" i="40"/>
  <c r="JJ233" i="40"/>
  <c r="HV633" i="40"/>
  <c r="HR240" i="40"/>
  <c r="HR640" i="40" s="1"/>
  <c r="HO640" i="40"/>
  <c r="HX643" i="40"/>
  <c r="HX647" i="40"/>
  <c r="JJ256" i="40"/>
  <c r="HV656" i="40"/>
  <c r="HR259" i="40"/>
  <c r="HR659" i="40" s="1"/>
  <c r="HO659" i="40"/>
  <c r="HP259" i="40"/>
  <c r="HM659" i="40"/>
  <c r="JJ262" i="40"/>
  <c r="HV662" i="40"/>
  <c r="HR265" i="40"/>
  <c r="HR665" i="40" s="1"/>
  <c r="HO665" i="40"/>
  <c r="JJ270" i="40"/>
  <c r="HV670" i="40"/>
  <c r="HP274" i="40"/>
  <c r="HM674" i="40"/>
  <c r="HW675" i="40"/>
  <c r="JH331" i="40"/>
  <c r="L8" i="61"/>
  <c r="Y8" i="61" s="1"/>
  <c r="JJ474" i="40"/>
  <c r="JJ572" i="40"/>
  <c r="JJ403" i="40"/>
  <c r="JJ433" i="40"/>
  <c r="JJ466" i="40"/>
  <c r="JJ507" i="40"/>
  <c r="JH210" i="40"/>
  <c r="HP610" i="40"/>
  <c r="HR212" i="40"/>
  <c r="HR612" i="40" s="1"/>
  <c r="HO612" i="40"/>
  <c r="HW610" i="40"/>
  <c r="JJ510" i="40"/>
  <c r="JJ324" i="40"/>
  <c r="HO607" i="40"/>
  <c r="HQ216" i="40"/>
  <c r="HQ616" i="40" s="1"/>
  <c r="HN616" i="40"/>
  <c r="JJ220" i="40"/>
  <c r="HV620" i="40"/>
  <c r="JJ222" i="40"/>
  <c r="HV622" i="40"/>
  <c r="JJ223" i="40"/>
  <c r="HV623" i="40"/>
  <c r="HP227" i="40"/>
  <c r="HM627" i="40"/>
  <c r="HP631" i="40"/>
  <c r="HW634" i="40"/>
  <c r="JJ236" i="40"/>
  <c r="HV636" i="40"/>
  <c r="HO642" i="40"/>
  <c r="HW645" i="40"/>
  <c r="JJ246" i="40"/>
  <c r="HV646" i="40"/>
  <c r="HQ249" i="40"/>
  <c r="HQ649" i="40" s="1"/>
  <c r="HN649" i="40"/>
  <c r="JJ254" i="40"/>
  <c r="HV654" i="40"/>
  <c r="HR255" i="40"/>
  <c r="HR655" i="40" s="1"/>
  <c r="HO655" i="40"/>
  <c r="HP258" i="40"/>
  <c r="HM658" i="40"/>
  <c r="JJ265" i="40"/>
  <c r="HV665" i="40"/>
  <c r="HX671" i="40"/>
  <c r="JJ273" i="40"/>
  <c r="HV673" i="40"/>
  <c r="JJ204" i="40"/>
  <c r="HV604" i="40"/>
  <c r="M8" i="61"/>
  <c r="Z8" i="61" s="1"/>
  <c r="JJ565" i="40"/>
  <c r="JJ210" i="40"/>
  <c r="HV610" i="40"/>
  <c r="JJ322" i="40"/>
  <c r="HQ203" i="40"/>
  <c r="HQ603" i="40" s="1"/>
  <c r="HN603" i="40"/>
  <c r="HQ201" i="40"/>
  <c r="HN601" i="40"/>
  <c r="HN701" i="40" s="1"/>
  <c r="JJ562" i="40"/>
  <c r="JJ514" i="40"/>
  <c r="JJ338" i="40"/>
  <c r="JJ530" i="40"/>
  <c r="JJ357" i="40"/>
  <c r="HR610" i="40"/>
  <c r="HX624" i="40"/>
  <c r="JJ304" i="40"/>
  <c r="JJ531" i="40"/>
  <c r="JJ375" i="40"/>
  <c r="JJ559" i="40"/>
  <c r="HX639" i="40"/>
  <c r="JJ526" i="40"/>
  <c r="JJ408" i="40"/>
  <c r="JJ359" i="40"/>
  <c r="HR228" i="40"/>
  <c r="HR628" i="40" s="1"/>
  <c r="HO628" i="40"/>
  <c r="HQ233" i="40"/>
  <c r="HN633" i="40"/>
  <c r="HX638" i="40"/>
  <c r="HQ241" i="40"/>
  <c r="HQ641" i="40" s="1"/>
  <c r="HN641" i="40"/>
  <c r="JH243" i="40"/>
  <c r="HP643" i="40"/>
  <c r="HR644" i="40"/>
  <c r="HR250" i="40"/>
  <c r="HR650" i="40" s="1"/>
  <c r="HO650" i="40"/>
  <c r="HR253" i="40"/>
  <c r="HR653" i="40" s="1"/>
  <c r="HO653" i="40"/>
  <c r="HX655" i="40"/>
  <c r="HR254" i="40"/>
  <c r="HR654" i="40" s="1"/>
  <c r="HO654" i="40"/>
  <c r="HO660" i="40"/>
  <c r="HN665" i="40"/>
  <c r="HN666" i="40"/>
  <c r="HR268" i="40"/>
  <c r="HR668" i="40" s="1"/>
  <c r="HO668" i="40"/>
  <c r="HQ668" i="40"/>
  <c r="HR671" i="40"/>
  <c r="HP636" i="40"/>
  <c r="JJ561" i="40"/>
  <c r="HX628" i="40"/>
  <c r="JH524" i="40"/>
  <c r="HP211" i="40"/>
  <c r="HM611" i="40"/>
  <c r="JJ455" i="40"/>
  <c r="HW615" i="40"/>
  <c r="JJ471" i="40"/>
  <c r="HW629" i="40"/>
  <c r="JJ536" i="40"/>
  <c r="JJ221" i="40"/>
  <c r="HV621" i="40"/>
  <c r="JJ241" i="40"/>
  <c r="HV641" i="40"/>
  <c r="HP645" i="40"/>
  <c r="HQ646" i="40"/>
  <c r="JH251" i="40"/>
  <c r="HP651" i="40"/>
  <c r="HP652" i="40"/>
  <c r="HW661" i="40"/>
  <c r="HP660" i="40"/>
  <c r="JH459" i="40"/>
  <c r="JJ209" i="40"/>
  <c r="HV609" i="40"/>
  <c r="JH473" i="40"/>
  <c r="JH516" i="40"/>
  <c r="JJ208" i="40"/>
  <c r="HV608" i="40"/>
  <c r="HW663" i="40"/>
  <c r="HW656" i="40"/>
  <c r="JJ556" i="40"/>
  <c r="HW625" i="40"/>
  <c r="HQ214" i="40"/>
  <c r="HQ614" i="40" s="1"/>
  <c r="HN614" i="40"/>
  <c r="JJ217" i="40"/>
  <c r="HV617" i="40"/>
  <c r="HR219" i="40"/>
  <c r="HR619" i="40" s="1"/>
  <c r="HO619" i="40"/>
  <c r="JJ226" i="40"/>
  <c r="HV626" i="40"/>
  <c r="JJ227" i="40"/>
  <c r="HV627" i="40"/>
  <c r="HX632" i="40"/>
  <c r="HX635" i="40"/>
  <c r="HN644" i="40"/>
  <c r="HR245" i="40"/>
  <c r="HR645" i="40" s="1"/>
  <c r="HO645" i="40"/>
  <c r="JJ247" i="40"/>
  <c r="HV647" i="40"/>
  <c r="HX653" i="40"/>
  <c r="HW652" i="40"/>
  <c r="HQ258" i="40"/>
  <c r="HQ658" i="40" s="1"/>
  <c r="HN658" i="40"/>
  <c r="HQ262" i="40"/>
  <c r="HQ662" i="40" s="1"/>
  <c r="HN662" i="40"/>
  <c r="HX663" i="40"/>
  <c r="JH266" i="40"/>
  <c r="HP666" i="40"/>
  <c r="HR267" i="40"/>
  <c r="HR667" i="40" s="1"/>
  <c r="HO667" i="40"/>
  <c r="HX668" i="40"/>
  <c r="JJ269" i="40"/>
  <c r="HN669" i="40"/>
  <c r="HR270" i="40"/>
  <c r="HR670" i="40" s="1"/>
  <c r="HO670" i="40"/>
  <c r="HX675" i="40"/>
  <c r="HP667" i="40"/>
  <c r="JJ272" i="40"/>
  <c r="HV672" i="40"/>
  <c r="JJ349" i="40"/>
  <c r="JJ372" i="40"/>
  <c r="JJ206" i="40"/>
  <c r="HV606" i="40"/>
  <c r="JH423" i="40"/>
  <c r="HP603" i="40"/>
  <c r="HQ604" i="40"/>
  <c r="HW606" i="40"/>
  <c r="HW650" i="40"/>
  <c r="JJ550" i="40"/>
  <c r="HX607" i="40"/>
  <c r="JH441" i="40"/>
  <c r="HX644" i="40"/>
  <c r="HO611" i="40"/>
  <c r="HX610" i="40"/>
  <c r="JH207" i="40"/>
  <c r="HP607" i="40"/>
  <c r="HR607" i="40"/>
  <c r="HR218" i="40"/>
  <c r="HR618" i="40" s="1"/>
  <c r="HO618" i="40"/>
  <c r="HW620" i="40"/>
  <c r="HW623" i="40"/>
  <c r="JH226" i="40"/>
  <c r="HP626" i="40"/>
  <c r="HM630" i="40"/>
  <c r="JJ234" i="40"/>
  <c r="HV634" i="40"/>
  <c r="HM634" i="40"/>
  <c r="HR642" i="40"/>
  <c r="JJ244" i="40"/>
  <c r="HV644" i="40"/>
  <c r="JJ245" i="40"/>
  <c r="HV645" i="40"/>
  <c r="HR249" i="40"/>
  <c r="HR649" i="40" s="1"/>
  <c r="HO649" i="40"/>
  <c r="JJ248" i="40"/>
  <c r="HV648" i="40"/>
  <c r="HP254" i="40"/>
  <c r="HM654" i="40"/>
  <c r="HP255" i="40"/>
  <c r="HM655" i="40"/>
  <c r="JJ271" i="40"/>
  <c r="HV671" i="40"/>
  <c r="HW673" i="40"/>
  <c r="HW604" i="40"/>
  <c r="AU18" i="66"/>
  <c r="HW665" i="40"/>
  <c r="HW614" i="40"/>
  <c r="HW630" i="40"/>
  <c r="HX659" i="40"/>
  <c r="HW626" i="40"/>
  <c r="HM602" i="40"/>
  <c r="JH562" i="40"/>
  <c r="JJ461" i="40"/>
  <c r="JJ443" i="40"/>
  <c r="JH420" i="40"/>
  <c r="HX642" i="40"/>
  <c r="JJ218" i="40"/>
  <c r="HV618" i="40"/>
  <c r="HP619" i="40"/>
  <c r="HP224" i="40"/>
  <c r="HM624" i="40"/>
  <c r="JJ225" i="40"/>
  <c r="HV625" i="40"/>
  <c r="HP232" i="40"/>
  <c r="HM632" i="40"/>
  <c r="HQ235" i="40"/>
  <c r="HQ635" i="40" s="1"/>
  <c r="HN635" i="40"/>
  <c r="HQ240" i="40"/>
  <c r="HQ640" i="40" s="1"/>
  <c r="HN640" i="40"/>
  <c r="JJ250" i="40"/>
  <c r="HV650" i="40"/>
  <c r="HP253" i="40"/>
  <c r="HM653" i="40"/>
  <c r="HW655" i="40"/>
  <c r="HR660" i="40"/>
  <c r="HP262" i="40"/>
  <c r="HM662" i="40"/>
  <c r="HQ665" i="40"/>
  <c r="HW666" i="40"/>
  <c r="HQ666" i="40"/>
  <c r="HX667" i="40"/>
  <c r="HP270" i="40"/>
  <c r="HM670" i="40"/>
  <c r="HR272" i="40"/>
  <c r="HR672" i="40" s="1"/>
  <c r="HO672" i="40"/>
  <c r="HM616" i="40"/>
  <c r="HN630" i="40"/>
  <c r="HP649" i="40"/>
  <c r="JH242" i="40"/>
  <c r="HP642" i="40"/>
  <c r="JH679" i="40" l="1"/>
  <c r="JH579" i="40"/>
  <c r="KA505" i="40"/>
  <c r="JH622" i="40"/>
  <c r="KA304" i="40"/>
  <c r="JJ658" i="40"/>
  <c r="JJ636" i="40"/>
  <c r="JH637" i="40"/>
  <c r="JH582" i="40"/>
  <c r="JH260" i="40"/>
  <c r="AW16" i="68"/>
  <c r="A13" i="68"/>
  <c r="JH615" i="40"/>
  <c r="KA403" i="40"/>
  <c r="JH204" i="40"/>
  <c r="JH602" i="40"/>
  <c r="HP676" i="40"/>
  <c r="JH676" i="40" s="1"/>
  <c r="JH583" i="40"/>
  <c r="JH677" i="40"/>
  <c r="JH577" i="40"/>
  <c r="JH683" i="40"/>
  <c r="JH643" i="40"/>
  <c r="JH664" i="40"/>
  <c r="JH608" i="40"/>
  <c r="JJ609" i="40"/>
  <c r="JH606" i="40"/>
  <c r="KD303" i="40"/>
  <c r="KE303" i="40" s="1"/>
  <c r="KC304" i="40" s="1"/>
  <c r="KD304" i="40" s="1"/>
  <c r="KB304" i="40"/>
  <c r="KB305" i="40" s="1"/>
  <c r="KB306" i="40" s="1"/>
  <c r="KB307" i="40" s="1"/>
  <c r="KB308" i="40" s="1"/>
  <c r="KB309" i="40" s="1"/>
  <c r="KB310" i="40" s="1"/>
  <c r="KB311" i="40" s="1"/>
  <c r="KB312" i="40" s="1"/>
  <c r="KB313" i="40" s="1"/>
  <c r="KB314" i="40" s="1"/>
  <c r="KB315" i="40" s="1"/>
  <c r="KB316" i="40" s="1"/>
  <c r="KB317" i="40" s="1"/>
  <c r="KB318" i="40" s="1"/>
  <c r="KB319" i="40" s="1"/>
  <c r="KB320" i="40" s="1"/>
  <c r="KB321" i="40" s="1"/>
  <c r="KB322" i="40" s="1"/>
  <c r="KB323" i="40" s="1"/>
  <c r="KB324" i="40" s="1"/>
  <c r="KB325" i="40" s="1"/>
  <c r="KB326" i="40" s="1"/>
  <c r="KB327" i="40" s="1"/>
  <c r="KB328" i="40" s="1"/>
  <c r="KB329" i="40" s="1"/>
  <c r="KB330" i="40" s="1"/>
  <c r="KB331" i="40" s="1"/>
  <c r="KB332" i="40" s="1"/>
  <c r="KB333" i="40" s="1"/>
  <c r="KB334" i="40" s="1"/>
  <c r="KB335" i="40" s="1"/>
  <c r="KB336" i="40" s="1"/>
  <c r="KB337" i="40" s="1"/>
  <c r="KB338" i="40" s="1"/>
  <c r="KB339" i="40" s="1"/>
  <c r="KB340" i="40" s="1"/>
  <c r="KB341" i="40" s="1"/>
  <c r="KB342" i="40" s="1"/>
  <c r="KB343" i="40" s="1"/>
  <c r="KB344" i="40" s="1"/>
  <c r="KB345" i="40" s="1"/>
  <c r="KB346" i="40" s="1"/>
  <c r="KB347" i="40" s="1"/>
  <c r="KB348" i="40" s="1"/>
  <c r="KB349" i="40" s="1"/>
  <c r="KB350" i="40" s="1"/>
  <c r="KB351" i="40" s="1"/>
  <c r="KB352" i="40" s="1"/>
  <c r="KB353" i="40" s="1"/>
  <c r="KB354" i="40" s="1"/>
  <c r="KB355" i="40" s="1"/>
  <c r="KB356" i="40" s="1"/>
  <c r="KB357" i="40" s="1"/>
  <c r="KB358" i="40" s="1"/>
  <c r="KB359" i="40" s="1"/>
  <c r="KB360" i="40" s="1"/>
  <c r="KB361" i="40" s="1"/>
  <c r="KB362" i="40" s="1"/>
  <c r="KB363" i="40" s="1"/>
  <c r="KB364" i="40" s="1"/>
  <c r="KB365" i="40" s="1"/>
  <c r="KB366" i="40" s="1"/>
  <c r="KB367" i="40" s="1"/>
  <c r="KB368" i="40" s="1"/>
  <c r="KB369" i="40" s="1"/>
  <c r="KB370" i="40" s="1"/>
  <c r="KB371" i="40" s="1"/>
  <c r="KB372" i="40" s="1"/>
  <c r="KB373" i="40" s="1"/>
  <c r="KB374" i="40" s="1"/>
  <c r="KB375" i="40" s="1"/>
  <c r="KB376" i="40" s="1"/>
  <c r="KB377" i="40" s="1"/>
  <c r="KB378" i="40" s="1"/>
  <c r="KB379" i="40" s="1"/>
  <c r="KB380" i="40" s="1"/>
  <c r="KB381" i="40" s="1"/>
  <c r="KB382" i="40" s="1"/>
  <c r="KB383" i="40" s="1"/>
  <c r="AW16" i="67"/>
  <c r="JZ204" i="40"/>
  <c r="JJ608" i="40"/>
  <c r="JH644" i="40"/>
  <c r="JH636" i="40"/>
  <c r="JH652" i="40"/>
  <c r="JJ605" i="40"/>
  <c r="JH634" i="40"/>
  <c r="JH647" i="40"/>
  <c r="JJ613" i="40"/>
  <c r="JH625" i="40"/>
  <c r="JJ612" i="40"/>
  <c r="JH639" i="40"/>
  <c r="JJ618" i="40"/>
  <c r="JJ654" i="40"/>
  <c r="JJ646" i="40"/>
  <c r="JJ617" i="40"/>
  <c r="JJ622" i="40"/>
  <c r="KA504" i="40"/>
  <c r="JJ633" i="40"/>
  <c r="JJ664" i="40"/>
  <c r="JH663" i="40"/>
  <c r="JJ660" i="40"/>
  <c r="JJ648" i="40"/>
  <c r="JH609" i="40"/>
  <c r="JH236" i="40"/>
  <c r="JJ634" i="40"/>
  <c r="JJ672" i="40"/>
  <c r="JH651" i="40"/>
  <c r="KA503" i="40"/>
  <c r="JH626" i="40"/>
  <c r="HR620" i="40"/>
  <c r="JH620" i="40" s="1"/>
  <c r="JJ621" i="40"/>
  <c r="JJ647" i="40"/>
  <c r="JH657" i="40"/>
  <c r="JJ641" i="40"/>
  <c r="JJ649" i="40"/>
  <c r="JH617" i="40"/>
  <c r="JJ671" i="40"/>
  <c r="JH249" i="40"/>
  <c r="JH642" i="40"/>
  <c r="JJ650" i="40"/>
  <c r="JH619" i="40"/>
  <c r="JJ645" i="40"/>
  <c r="JH219" i="40"/>
  <c r="JJ627" i="40"/>
  <c r="JJ619" i="40"/>
  <c r="JJ674" i="40"/>
  <c r="JZ203" i="40"/>
  <c r="JH252" i="40"/>
  <c r="JJ625" i="40"/>
  <c r="JH603" i="40"/>
  <c r="JJ602" i="40"/>
  <c r="JH649" i="40"/>
  <c r="JJ644" i="40"/>
  <c r="JH203" i="40"/>
  <c r="JH667" i="40"/>
  <c r="JJ670" i="40"/>
  <c r="JJ662" i="40"/>
  <c r="JH267" i="40"/>
  <c r="JJ606" i="40"/>
  <c r="JH262" i="40"/>
  <c r="HP662" i="40"/>
  <c r="JH662" i="40" s="1"/>
  <c r="JH253" i="40"/>
  <c r="HP653" i="40"/>
  <c r="JH653" i="40" s="1"/>
  <c r="JH232" i="40"/>
  <c r="HP632" i="40"/>
  <c r="JH632" i="40" s="1"/>
  <c r="JH254" i="40"/>
  <c r="HP654" i="40"/>
  <c r="JH654" i="40" s="1"/>
  <c r="JH660" i="40"/>
  <c r="KD403" i="40"/>
  <c r="KC403" i="40"/>
  <c r="KB404" i="40"/>
  <c r="KB405" i="40" s="1"/>
  <c r="KB406" i="40" s="1"/>
  <c r="KB407" i="40" s="1"/>
  <c r="KB408" i="40" s="1"/>
  <c r="KB409" i="40" s="1"/>
  <c r="KB410" i="40" s="1"/>
  <c r="KB411" i="40" s="1"/>
  <c r="KB412" i="40" s="1"/>
  <c r="KB413" i="40" s="1"/>
  <c r="KB414" i="40" s="1"/>
  <c r="KB415" i="40" s="1"/>
  <c r="KB416" i="40" s="1"/>
  <c r="KB417" i="40" s="1"/>
  <c r="KB418" i="40" s="1"/>
  <c r="KB419" i="40" s="1"/>
  <c r="KB420" i="40" s="1"/>
  <c r="KB421" i="40" s="1"/>
  <c r="KB422" i="40" s="1"/>
  <c r="KB423" i="40" s="1"/>
  <c r="KB424" i="40" s="1"/>
  <c r="KB425" i="40" s="1"/>
  <c r="KB426" i="40" s="1"/>
  <c r="KB427" i="40" s="1"/>
  <c r="KB428" i="40" s="1"/>
  <c r="KB429" i="40" s="1"/>
  <c r="KB430" i="40" s="1"/>
  <c r="KB431" i="40" s="1"/>
  <c r="KB432" i="40" s="1"/>
  <c r="KB433" i="40" s="1"/>
  <c r="KB434" i="40" s="1"/>
  <c r="KB435" i="40" s="1"/>
  <c r="KB436" i="40" s="1"/>
  <c r="KB437" i="40" s="1"/>
  <c r="KB438" i="40" s="1"/>
  <c r="KB439" i="40" s="1"/>
  <c r="KB440" i="40" s="1"/>
  <c r="KB441" i="40" s="1"/>
  <c r="KB442" i="40" s="1"/>
  <c r="KB443" i="40" s="1"/>
  <c r="KB444" i="40" s="1"/>
  <c r="KB445" i="40" s="1"/>
  <c r="KB446" i="40" s="1"/>
  <c r="KB447" i="40" s="1"/>
  <c r="KB448" i="40" s="1"/>
  <c r="KB449" i="40" s="1"/>
  <c r="KB450" i="40" s="1"/>
  <c r="KB451" i="40" s="1"/>
  <c r="KB452" i="40" s="1"/>
  <c r="KB453" i="40" s="1"/>
  <c r="KB454" i="40" s="1"/>
  <c r="KB455" i="40" s="1"/>
  <c r="KB456" i="40" s="1"/>
  <c r="KB457" i="40" s="1"/>
  <c r="KB458" i="40" s="1"/>
  <c r="KB459" i="40" s="1"/>
  <c r="KB460" i="40" s="1"/>
  <c r="KB461" i="40" s="1"/>
  <c r="KB462" i="40" s="1"/>
  <c r="KB463" i="40" s="1"/>
  <c r="KB464" i="40" s="1"/>
  <c r="KB465" i="40" s="1"/>
  <c r="KB466" i="40" s="1"/>
  <c r="KB467" i="40" s="1"/>
  <c r="KB468" i="40" s="1"/>
  <c r="KB469" i="40" s="1"/>
  <c r="KB470" i="40" s="1"/>
  <c r="KB471" i="40" s="1"/>
  <c r="KB472" i="40" s="1"/>
  <c r="KB473" i="40" s="1"/>
  <c r="KB474" i="40" s="1"/>
  <c r="KB475" i="40" s="1"/>
  <c r="KB476" i="40" s="1"/>
  <c r="KB477" i="40" s="1"/>
  <c r="KB478" i="40" s="1"/>
  <c r="KB479" i="40" s="1"/>
  <c r="KB480" i="40" s="1"/>
  <c r="KB481" i="40" s="1"/>
  <c r="KB482" i="40" s="1"/>
  <c r="KB483" i="40" s="1"/>
  <c r="KB484" i="40" s="1"/>
  <c r="KB485" i="40" s="1"/>
  <c r="KB486" i="40" s="1"/>
  <c r="KB487" i="40" s="1"/>
  <c r="JJ610" i="40"/>
  <c r="JJ665" i="40"/>
  <c r="JH259" i="40"/>
  <c r="HP659" i="40"/>
  <c r="JH659" i="40" s="1"/>
  <c r="JH640" i="40"/>
  <c r="JH201" i="40"/>
  <c r="JH265" i="40"/>
  <c r="JJ653" i="40"/>
  <c r="JJ642" i="40"/>
  <c r="JJ661" i="40"/>
  <c r="JH216" i="40"/>
  <c r="JH261" i="40"/>
  <c r="HP661" i="40"/>
  <c r="JH661" i="40" s="1"/>
  <c r="JH205" i="40"/>
  <c r="HP605" i="40"/>
  <c r="JH605" i="40" s="1"/>
  <c r="JH272" i="40"/>
  <c r="HP672" i="40"/>
  <c r="JH672" i="40" s="1"/>
  <c r="JH246" i="40"/>
  <c r="HP646" i="40"/>
  <c r="JH646" i="40" s="1"/>
  <c r="KC503" i="40"/>
  <c r="KB504" i="40"/>
  <c r="KB505" i="40" s="1"/>
  <c r="KB506" i="40" s="1"/>
  <c r="KB507" i="40" s="1"/>
  <c r="KB508" i="40" s="1"/>
  <c r="KB509" i="40" s="1"/>
  <c r="KB510" i="40" s="1"/>
  <c r="KB511" i="40" s="1"/>
  <c r="KB512" i="40" s="1"/>
  <c r="KB513" i="40" s="1"/>
  <c r="KB514" i="40" s="1"/>
  <c r="KB515" i="40" s="1"/>
  <c r="KB516" i="40" s="1"/>
  <c r="KB517" i="40" s="1"/>
  <c r="KB518" i="40" s="1"/>
  <c r="KB519" i="40" s="1"/>
  <c r="KB520" i="40" s="1"/>
  <c r="KB521" i="40" s="1"/>
  <c r="KB522" i="40" s="1"/>
  <c r="KB523" i="40" s="1"/>
  <c r="KB524" i="40" s="1"/>
  <c r="KB525" i="40" s="1"/>
  <c r="KB526" i="40" s="1"/>
  <c r="KB527" i="40" s="1"/>
  <c r="KB528" i="40" s="1"/>
  <c r="KB529" i="40" s="1"/>
  <c r="KB530" i="40" s="1"/>
  <c r="KB531" i="40" s="1"/>
  <c r="KB532" i="40" s="1"/>
  <c r="KB533" i="40" s="1"/>
  <c r="KB534" i="40" s="1"/>
  <c r="KB535" i="40" s="1"/>
  <c r="KB536" i="40" s="1"/>
  <c r="KB537" i="40" s="1"/>
  <c r="KB538" i="40" s="1"/>
  <c r="KB539" i="40" s="1"/>
  <c r="KB540" i="40" s="1"/>
  <c r="KB541" i="40" s="1"/>
  <c r="KB542" i="40" s="1"/>
  <c r="KB543" i="40" s="1"/>
  <c r="KB544" i="40" s="1"/>
  <c r="KB545" i="40" s="1"/>
  <c r="KB546" i="40" s="1"/>
  <c r="KB547" i="40" s="1"/>
  <c r="KB548" i="40" s="1"/>
  <c r="KB549" i="40" s="1"/>
  <c r="KB550" i="40" s="1"/>
  <c r="KB551" i="40" s="1"/>
  <c r="KB552" i="40" s="1"/>
  <c r="KB553" i="40" s="1"/>
  <c r="KB554" i="40" s="1"/>
  <c r="KB555" i="40" s="1"/>
  <c r="KB556" i="40" s="1"/>
  <c r="KB557" i="40" s="1"/>
  <c r="KB558" i="40" s="1"/>
  <c r="KB559" i="40" s="1"/>
  <c r="KB560" i="40" s="1"/>
  <c r="KB561" i="40" s="1"/>
  <c r="KB562" i="40" s="1"/>
  <c r="KB563" i="40" s="1"/>
  <c r="KB564" i="40" s="1"/>
  <c r="KB565" i="40" s="1"/>
  <c r="KB566" i="40" s="1"/>
  <c r="KB567" i="40" s="1"/>
  <c r="KB568" i="40" s="1"/>
  <c r="KB569" i="40" s="1"/>
  <c r="KB570" i="40" s="1"/>
  <c r="KB571" i="40" s="1"/>
  <c r="KB572" i="40" s="1"/>
  <c r="KB573" i="40" s="1"/>
  <c r="KB574" i="40" s="1"/>
  <c r="KB575" i="40" s="1"/>
  <c r="KB576" i="40" s="1"/>
  <c r="KB577" i="40" s="1"/>
  <c r="KB578" i="40" s="1"/>
  <c r="KB579" i="40" s="1"/>
  <c r="KB580" i="40" s="1"/>
  <c r="KB581" i="40" s="1"/>
  <c r="KB582" i="40" s="1"/>
  <c r="KB583" i="40" s="1"/>
  <c r="KB584" i="40" s="1"/>
  <c r="KB585" i="40" s="1"/>
  <c r="KB586" i="40" s="1"/>
  <c r="KB587" i="40" s="1"/>
  <c r="KD503" i="40"/>
  <c r="JJ657" i="40"/>
  <c r="JJ631" i="40"/>
  <c r="JH270" i="40"/>
  <c r="HP670" i="40"/>
  <c r="JH670" i="40" s="1"/>
  <c r="JH224" i="40"/>
  <c r="HP624" i="40"/>
  <c r="JH624" i="40" s="1"/>
  <c r="JH645" i="40"/>
  <c r="JH211" i="40"/>
  <c r="HP611" i="40"/>
  <c r="JH611" i="40" s="1"/>
  <c r="JJ604" i="40"/>
  <c r="JH228" i="40"/>
  <c r="HP628" i="40"/>
  <c r="JH628" i="40" s="1"/>
  <c r="HR601" i="40"/>
  <c r="HR701" i="40" s="1"/>
  <c r="JH668" i="40"/>
  <c r="JJ624" i="40"/>
  <c r="JJ663" i="40"/>
  <c r="JH256" i="40"/>
  <c r="HP656" i="40"/>
  <c r="JH656" i="40" s="1"/>
  <c r="JJ667" i="40"/>
  <c r="JJ638" i="40"/>
  <c r="JJ616" i="40"/>
  <c r="JJ643" i="40"/>
  <c r="JH221" i="40"/>
  <c r="HP621" i="40"/>
  <c r="JH621" i="40" s="1"/>
  <c r="JZ205" i="40"/>
  <c r="KB201" i="40"/>
  <c r="KB202" i="40" s="1"/>
  <c r="KB203" i="40" s="1"/>
  <c r="A13" i="66"/>
  <c r="JH255" i="40"/>
  <c r="HP655" i="40"/>
  <c r="JH655" i="40" s="1"/>
  <c r="JH666" i="40"/>
  <c r="JH227" i="40"/>
  <c r="HP627" i="40"/>
  <c r="JH627" i="40" s="1"/>
  <c r="JH274" i="40"/>
  <c r="HP674" i="40"/>
  <c r="JH674" i="40" s="1"/>
  <c r="JH229" i="40"/>
  <c r="HP629" i="40"/>
  <c r="JH629" i="40" s="1"/>
  <c r="JH218" i="40"/>
  <c r="HP618" i="40"/>
  <c r="JH618" i="40" s="1"/>
  <c r="HP633" i="40"/>
  <c r="JH604" i="40"/>
  <c r="JH240" i="40"/>
  <c r="JH268" i="40"/>
  <c r="JJ651" i="40"/>
  <c r="JJ630" i="40"/>
  <c r="HV701" i="40"/>
  <c r="JJ701" i="40" s="1"/>
  <c r="JJ601" i="40"/>
  <c r="JH273" i="40"/>
  <c r="HP673" i="40"/>
  <c r="JH673" i="40" s="1"/>
  <c r="JJ652" i="40"/>
  <c r="JH248" i="40"/>
  <c r="HP648" i="40"/>
  <c r="JH648" i="40" s="1"/>
  <c r="JH231" i="40"/>
  <c r="HQ631" i="40"/>
  <c r="JH631" i="40" s="1"/>
  <c r="JH641" i="40"/>
  <c r="JJ615" i="40"/>
  <c r="JH212" i="40"/>
  <c r="HP612" i="40"/>
  <c r="JH612" i="40" s="1"/>
  <c r="JJ666" i="40"/>
  <c r="JJ603" i="40"/>
  <c r="JH616" i="40"/>
  <c r="JH275" i="40"/>
  <c r="HP675" i="40"/>
  <c r="JH675" i="40" s="1"/>
  <c r="JJ640" i="40"/>
  <c r="JJ637" i="40"/>
  <c r="KT152" i="40"/>
  <c r="KU151" i="40"/>
  <c r="I62" i="70" s="1"/>
  <c r="JJ628" i="40"/>
  <c r="JJ611" i="40"/>
  <c r="JH214" i="40"/>
  <c r="HP614" i="40"/>
  <c r="JH614" i="40" s="1"/>
  <c r="JH271" i="40"/>
  <c r="HP671" i="40"/>
  <c r="JH671" i="40" s="1"/>
  <c r="JH269" i="40"/>
  <c r="HP669" i="40"/>
  <c r="JH669" i="40" s="1"/>
  <c r="JJ659" i="40"/>
  <c r="JJ635" i="40"/>
  <c r="JJ669" i="40"/>
  <c r="JH607" i="40"/>
  <c r="JJ626" i="40"/>
  <c r="JH245" i="40"/>
  <c r="JH233" i="40"/>
  <c r="HQ633" i="40"/>
  <c r="HQ601" i="40"/>
  <c r="HQ701" i="40" s="1"/>
  <c r="JJ673" i="40"/>
  <c r="JH258" i="40"/>
  <c r="HP658" i="40"/>
  <c r="JH658" i="40" s="1"/>
  <c r="JJ623" i="40"/>
  <c r="JJ620" i="40"/>
  <c r="JH610" i="40"/>
  <c r="JJ656" i="40"/>
  <c r="JJ629" i="40"/>
  <c r="JJ655" i="40"/>
  <c r="JH665" i="40"/>
  <c r="JH235" i="40"/>
  <c r="HP635" i="40"/>
  <c r="JH635" i="40" s="1"/>
  <c r="JJ614" i="40"/>
  <c r="JH250" i="40"/>
  <c r="HP650" i="40"/>
  <c r="JH650" i="40" s="1"/>
  <c r="JJ632" i="40"/>
  <c r="JH241" i="40"/>
  <c r="JH638" i="40"/>
  <c r="JH630" i="40"/>
  <c r="JJ675" i="40"/>
  <c r="JJ668" i="40"/>
  <c r="JJ639" i="40"/>
  <c r="JH223" i="40"/>
  <c r="HP623" i="40"/>
  <c r="JH623" i="40" s="1"/>
  <c r="JJ607" i="40"/>
  <c r="KA204" i="40" l="1"/>
  <c r="KE403" i="40"/>
  <c r="KE304" i="40"/>
  <c r="KC305" i="40" s="1"/>
  <c r="KD305" i="40" s="1"/>
  <c r="KE305" i="40" s="1"/>
  <c r="KG305" i="40" s="1"/>
  <c r="HU377" i="40" s="1"/>
  <c r="ID377" i="40" s="1"/>
  <c r="KG303" i="40"/>
  <c r="HS378" i="40" s="1"/>
  <c r="HS327" i="40"/>
  <c r="HS307" i="40"/>
  <c r="HS308" i="40"/>
  <c r="HS316" i="40"/>
  <c r="HS374" i="40"/>
  <c r="KA203" i="40"/>
  <c r="JH701" i="40"/>
  <c r="KA205" i="40"/>
  <c r="HU368" i="40"/>
  <c r="ID368" i="40" s="1"/>
  <c r="HU338" i="40"/>
  <c r="ID338" i="40" s="1"/>
  <c r="HU316" i="40"/>
  <c r="ID316" i="40" s="1"/>
  <c r="HU326" i="40"/>
  <c r="ID326" i="40" s="1"/>
  <c r="HU328" i="40"/>
  <c r="ID328" i="40" s="1"/>
  <c r="HU344" i="40"/>
  <c r="ID344" i="40" s="1"/>
  <c r="HU342" i="40"/>
  <c r="ID342" i="40" s="1"/>
  <c r="HU305" i="40"/>
  <c r="ID305" i="40" s="1"/>
  <c r="HU320" i="40"/>
  <c r="ID320" i="40" s="1"/>
  <c r="HU366" i="40"/>
  <c r="ID366" i="40" s="1"/>
  <c r="HU354" i="40"/>
  <c r="ID354" i="40" s="1"/>
  <c r="HU363" i="40"/>
  <c r="ID363" i="40" s="1"/>
  <c r="HU367" i="40"/>
  <c r="ID367" i="40" s="1"/>
  <c r="HU349" i="40"/>
  <c r="ID349" i="40" s="1"/>
  <c r="HU357" i="40"/>
  <c r="ID357" i="40" s="1"/>
  <c r="HU309" i="40"/>
  <c r="ID309" i="40" s="1"/>
  <c r="HU331" i="40"/>
  <c r="ID331" i="40" s="1"/>
  <c r="HU304" i="40"/>
  <c r="ID304" i="40" s="1"/>
  <c r="HU308" i="40"/>
  <c r="ID308" i="40" s="1"/>
  <c r="HU364" i="40"/>
  <c r="ID364" i="40" s="1"/>
  <c r="HU306" i="40"/>
  <c r="ID306" i="40" s="1"/>
  <c r="HU345" i="40"/>
  <c r="ID345" i="40" s="1"/>
  <c r="HU346" i="40"/>
  <c r="ID346" i="40" s="1"/>
  <c r="HU335" i="40"/>
  <c r="ID335" i="40" s="1"/>
  <c r="HU353" i="40"/>
  <c r="ID353" i="40" s="1"/>
  <c r="HU334" i="40"/>
  <c r="ID334" i="40" s="1"/>
  <c r="HU321" i="40"/>
  <c r="ID321" i="40" s="1"/>
  <c r="HU362" i="40"/>
  <c r="ID362" i="40" s="1"/>
  <c r="HU371" i="40"/>
  <c r="ID371" i="40" s="1"/>
  <c r="HU312" i="40"/>
  <c r="ID312" i="40" s="1"/>
  <c r="HU373" i="40"/>
  <c r="ID373" i="40" s="1"/>
  <c r="HU314" i="40"/>
  <c r="ID314" i="40" s="1"/>
  <c r="HU313" i="40"/>
  <c r="ID313" i="40" s="1"/>
  <c r="HU329" i="40"/>
  <c r="ID329" i="40" s="1"/>
  <c r="HU317" i="40"/>
  <c r="ID317" i="40" s="1"/>
  <c r="HU358" i="40"/>
  <c r="ID358" i="40" s="1"/>
  <c r="HU370" i="40"/>
  <c r="ID370" i="40" s="1"/>
  <c r="HU336" i="40"/>
  <c r="ID336" i="40" s="1"/>
  <c r="HU347" i="40"/>
  <c r="ID347" i="40" s="1"/>
  <c r="HU301" i="40"/>
  <c r="ID301" i="40" s="1"/>
  <c r="HU322" i="40"/>
  <c r="ID322" i="40" s="1"/>
  <c r="HU325" i="40"/>
  <c r="ID325" i="40" s="1"/>
  <c r="HU340" i="40"/>
  <c r="ID340" i="40" s="1"/>
  <c r="HU315" i="40"/>
  <c r="ID315" i="40" s="1"/>
  <c r="HU355" i="40"/>
  <c r="ID355" i="40" s="1"/>
  <c r="HU330" i="40"/>
  <c r="ID330" i="40" s="1"/>
  <c r="HU361" i="40"/>
  <c r="ID361" i="40" s="1"/>
  <c r="HU318" i="40"/>
  <c r="ID318" i="40" s="1"/>
  <c r="HU343" i="40"/>
  <c r="ID343" i="40" s="1"/>
  <c r="HU319" i="40"/>
  <c r="ID319" i="40" s="1"/>
  <c r="HU352" i="40"/>
  <c r="ID352" i="40" s="1"/>
  <c r="HU337" i="40"/>
  <c r="ID337" i="40" s="1"/>
  <c r="HU365" i="40"/>
  <c r="ID365" i="40" s="1"/>
  <c r="HU323" i="40"/>
  <c r="ID323" i="40" s="1"/>
  <c r="HU348" i="40"/>
  <c r="ID348" i="40" s="1"/>
  <c r="HU302" i="40"/>
  <c r="ID302" i="40" s="1"/>
  <c r="HU359" i="40"/>
  <c r="ID359" i="40" s="1"/>
  <c r="HU351" i="40"/>
  <c r="ID351" i="40" s="1"/>
  <c r="HU350" i="40"/>
  <c r="ID350" i="40" s="1"/>
  <c r="HU307" i="40"/>
  <c r="ID307" i="40" s="1"/>
  <c r="HU324" i="40"/>
  <c r="ID324" i="40" s="1"/>
  <c r="HU327" i="40"/>
  <c r="ID327" i="40" s="1"/>
  <c r="HU372" i="40"/>
  <c r="ID372" i="40" s="1"/>
  <c r="HU310" i="40"/>
  <c r="ID310" i="40" s="1"/>
  <c r="HU356" i="40"/>
  <c r="ID356" i="40" s="1"/>
  <c r="HU339" i="40"/>
  <c r="ID339" i="40" s="1"/>
  <c r="HU360" i="40"/>
  <c r="ID360" i="40" s="1"/>
  <c r="KC203" i="40"/>
  <c r="KD203" i="40"/>
  <c r="KB204" i="40"/>
  <c r="KB205" i="40" s="1"/>
  <c r="KB206" i="40" s="1"/>
  <c r="KB207" i="40" s="1"/>
  <c r="KB208" i="40" s="1"/>
  <c r="KB209" i="40" s="1"/>
  <c r="KB210" i="40" s="1"/>
  <c r="KB211" i="40" s="1"/>
  <c r="KB212" i="40" s="1"/>
  <c r="KB213" i="40" s="1"/>
  <c r="KB214" i="40" s="1"/>
  <c r="KB215" i="40" s="1"/>
  <c r="KB216" i="40" s="1"/>
  <c r="KB217" i="40" s="1"/>
  <c r="KB218" i="40" s="1"/>
  <c r="KB219" i="40" s="1"/>
  <c r="KB220" i="40" s="1"/>
  <c r="KB221" i="40" s="1"/>
  <c r="KB222" i="40" s="1"/>
  <c r="KB223" i="40" s="1"/>
  <c r="KB224" i="40" s="1"/>
  <c r="KB225" i="40" s="1"/>
  <c r="KB226" i="40" s="1"/>
  <c r="KB227" i="40" s="1"/>
  <c r="KB228" i="40" s="1"/>
  <c r="KB229" i="40" s="1"/>
  <c r="KB230" i="40" s="1"/>
  <c r="KB231" i="40" s="1"/>
  <c r="KB232" i="40" s="1"/>
  <c r="KB233" i="40" s="1"/>
  <c r="KB234" i="40" s="1"/>
  <c r="KB235" i="40" s="1"/>
  <c r="KB236" i="40" s="1"/>
  <c r="KB237" i="40" s="1"/>
  <c r="KB238" i="40" s="1"/>
  <c r="KB239" i="40" s="1"/>
  <c r="KB240" i="40" s="1"/>
  <c r="KB241" i="40" s="1"/>
  <c r="KB242" i="40" s="1"/>
  <c r="KB243" i="40" s="1"/>
  <c r="KB244" i="40" s="1"/>
  <c r="KB245" i="40" s="1"/>
  <c r="KB246" i="40" s="1"/>
  <c r="KB247" i="40" s="1"/>
  <c r="KB248" i="40" s="1"/>
  <c r="KB249" i="40" s="1"/>
  <c r="KB250" i="40" s="1"/>
  <c r="KB251" i="40" s="1"/>
  <c r="KB252" i="40" s="1"/>
  <c r="KB253" i="40" s="1"/>
  <c r="KB254" i="40" s="1"/>
  <c r="KB255" i="40" s="1"/>
  <c r="KB256" i="40" s="1"/>
  <c r="KB257" i="40" s="1"/>
  <c r="KB258" i="40" s="1"/>
  <c r="KB259" i="40" s="1"/>
  <c r="KB260" i="40" s="1"/>
  <c r="KB261" i="40" s="1"/>
  <c r="KB262" i="40" s="1"/>
  <c r="KB263" i="40" s="1"/>
  <c r="KB264" i="40" s="1"/>
  <c r="KB265" i="40" s="1"/>
  <c r="KB266" i="40" s="1"/>
  <c r="KB267" i="40" s="1"/>
  <c r="KB268" i="40" s="1"/>
  <c r="KB269" i="40" s="1"/>
  <c r="KB270" i="40" s="1"/>
  <c r="KB271" i="40" s="1"/>
  <c r="KB272" i="40" s="1"/>
  <c r="KB273" i="40" s="1"/>
  <c r="KB274" i="40" s="1"/>
  <c r="KB275" i="40" s="1"/>
  <c r="KB276" i="40" s="1"/>
  <c r="KB277" i="40" s="1"/>
  <c r="KB278" i="40" s="1"/>
  <c r="KB279" i="40" s="1"/>
  <c r="KB280" i="40" s="1"/>
  <c r="KB281" i="40" s="1"/>
  <c r="KB282" i="40" s="1"/>
  <c r="KB283" i="40" s="1"/>
  <c r="KC404" i="40"/>
  <c r="KG403" i="40"/>
  <c r="JH633" i="40"/>
  <c r="KG304" i="40"/>
  <c r="JH601" i="40"/>
  <c r="KU152" i="40"/>
  <c r="I63" i="70" s="1"/>
  <c r="KT153" i="40"/>
  <c r="KE503" i="40"/>
  <c r="HU341" i="40" l="1"/>
  <c r="ID341" i="40" s="1"/>
  <c r="HU374" i="40"/>
  <c r="ID374" i="40" s="1"/>
  <c r="HU375" i="40"/>
  <c r="ID375" i="40" s="1"/>
  <c r="HU369" i="40"/>
  <c r="ID369" i="40" s="1"/>
  <c r="HU333" i="40"/>
  <c r="ID333" i="40" s="1"/>
  <c r="HU303" i="40"/>
  <c r="ID303" i="40" s="1"/>
  <c r="HU311" i="40"/>
  <c r="ID311" i="40" s="1"/>
  <c r="HU332" i="40"/>
  <c r="ID332" i="40" s="1"/>
  <c r="HS325" i="40"/>
  <c r="HS317" i="40"/>
  <c r="HS360" i="40"/>
  <c r="HS320" i="40"/>
  <c r="HS365" i="40"/>
  <c r="HS363" i="40"/>
  <c r="HS358" i="40"/>
  <c r="HS345" i="40"/>
  <c r="HS335" i="40"/>
  <c r="HS343" i="40"/>
  <c r="HS367" i="40"/>
  <c r="HS338" i="40"/>
  <c r="HS302" i="40"/>
  <c r="HS361" i="40"/>
  <c r="HS311" i="40"/>
  <c r="HS362" i="40"/>
  <c r="HS366" i="40"/>
  <c r="HS313" i="40"/>
  <c r="HS346" i="40"/>
  <c r="HS344" i="40"/>
  <c r="HS332" i="40"/>
  <c r="HS359" i="40"/>
  <c r="HS323" i="40"/>
  <c r="HS348" i="40"/>
  <c r="HS371" i="40"/>
  <c r="HS315" i="40"/>
  <c r="HS372" i="40"/>
  <c r="HS341" i="40"/>
  <c r="HS368" i="40"/>
  <c r="HS349" i="40"/>
  <c r="HS301" i="40"/>
  <c r="HS322" i="40"/>
  <c r="HS309" i="40"/>
  <c r="HS351" i="40"/>
  <c r="HS318" i="40"/>
  <c r="HS380" i="40"/>
  <c r="HS334" i="40"/>
  <c r="HS340" i="40"/>
  <c r="HS355" i="40"/>
  <c r="HS331" i="40"/>
  <c r="HS350" i="40"/>
  <c r="HS312" i="40"/>
  <c r="HS303" i="40"/>
  <c r="HS330" i="40"/>
  <c r="HS339" i="40"/>
  <c r="HS328" i="40"/>
  <c r="HS383" i="40"/>
  <c r="HS353" i="40"/>
  <c r="HS352" i="40"/>
  <c r="HS333" i="40"/>
  <c r="HS304" i="40"/>
  <c r="HS356" i="40"/>
  <c r="HS314" i="40"/>
  <c r="HS379" i="40"/>
  <c r="HS342" i="40"/>
  <c r="HS347" i="40"/>
  <c r="HS364" i="40"/>
  <c r="HS375" i="40"/>
  <c r="HS326" i="40"/>
  <c r="HS369" i="40"/>
  <c r="HS354" i="40"/>
  <c r="HS305" i="40"/>
  <c r="HS321" i="40"/>
  <c r="HS324" i="40"/>
  <c r="HS377" i="40"/>
  <c r="HS688" i="40"/>
  <c r="HS329" i="40"/>
  <c r="HS373" i="40"/>
  <c r="HS381" i="40"/>
  <c r="HS376" i="40"/>
  <c r="HU378" i="40"/>
  <c r="ID378" i="40" s="1"/>
  <c r="HS487" i="40"/>
  <c r="HS485" i="40"/>
  <c r="HS484" i="40"/>
  <c r="HS486" i="40"/>
  <c r="HS357" i="40"/>
  <c r="HS336" i="40"/>
  <c r="HS382" i="40"/>
  <c r="HU382" i="40"/>
  <c r="ID382" i="40" s="1"/>
  <c r="HU380" i="40"/>
  <c r="ID380" i="40" s="1"/>
  <c r="HU376" i="40"/>
  <c r="ID376" i="40" s="1"/>
  <c r="HU383" i="40"/>
  <c r="ID383" i="40" s="1"/>
  <c r="HU379" i="40"/>
  <c r="ID379" i="40" s="1"/>
  <c r="HU381" i="40"/>
  <c r="ID381" i="40" s="1"/>
  <c r="HS476" i="40"/>
  <c r="HS477" i="40"/>
  <c r="HS478" i="40"/>
  <c r="HS479" i="40"/>
  <c r="HS480" i="40"/>
  <c r="HS481" i="40"/>
  <c r="HS482" i="40"/>
  <c r="HS483" i="40"/>
  <c r="HS310" i="40"/>
  <c r="HS370" i="40"/>
  <c r="HS306" i="40"/>
  <c r="HS319" i="40"/>
  <c r="HS337" i="40"/>
  <c r="HT376" i="40"/>
  <c r="IC376" i="40" s="1"/>
  <c r="HT377" i="40"/>
  <c r="IC377" i="40" s="1"/>
  <c r="HT378" i="40"/>
  <c r="IC378" i="40" s="1"/>
  <c r="HT379" i="40"/>
  <c r="IC379" i="40" s="1"/>
  <c r="HT380" i="40"/>
  <c r="IC380" i="40" s="1"/>
  <c r="HT381" i="40"/>
  <c r="IC381" i="40" s="1"/>
  <c r="HT382" i="40"/>
  <c r="IC382" i="40" s="1"/>
  <c r="HT383" i="40"/>
  <c r="IC383" i="40" s="1"/>
  <c r="KE203" i="40"/>
  <c r="KC204" i="40" s="1"/>
  <c r="HT358" i="40"/>
  <c r="HT324" i="40"/>
  <c r="HT372" i="40"/>
  <c r="HT371" i="40"/>
  <c r="HT330" i="40"/>
  <c r="HT349" i="40"/>
  <c r="HT314" i="40"/>
  <c r="HT367" i="40"/>
  <c r="HT309" i="40"/>
  <c r="HT319" i="40"/>
  <c r="HT323" i="40"/>
  <c r="HT347" i="40"/>
  <c r="HT329" i="40"/>
  <c r="HT366" i="40"/>
  <c r="HT345" i="40"/>
  <c r="HT346" i="40"/>
  <c r="HT313" i="40"/>
  <c r="HT328" i="40"/>
  <c r="HT373" i="40"/>
  <c r="HT312" i="40"/>
  <c r="HT350" i="40"/>
  <c r="HT327" i="40"/>
  <c r="HT321" i="40"/>
  <c r="HT359" i="40"/>
  <c r="HT301" i="40"/>
  <c r="HT326" i="40"/>
  <c r="HT334" i="40"/>
  <c r="HT369" i="40"/>
  <c r="HT340" i="40"/>
  <c r="HT375" i="40"/>
  <c r="HT304" i="40"/>
  <c r="HT306" i="40"/>
  <c r="HT308" i="40"/>
  <c r="HT302" i="40"/>
  <c r="HT356" i="40"/>
  <c r="HT336" i="40"/>
  <c r="HT337" i="40"/>
  <c r="HT353" i="40"/>
  <c r="HT338" i="40"/>
  <c r="HT360" i="40"/>
  <c r="HT318" i="40"/>
  <c r="HT361" i="40"/>
  <c r="HT352" i="40"/>
  <c r="HT341" i="40"/>
  <c r="HT333" i="40"/>
  <c r="HT343" i="40"/>
  <c r="HT365" i="40"/>
  <c r="HT342" i="40"/>
  <c r="HT332" i="40"/>
  <c r="HT311" i="40"/>
  <c r="HT354" i="40"/>
  <c r="HT370" i="40"/>
  <c r="HT339" i="40"/>
  <c r="HT303" i="40"/>
  <c r="HT316" i="40"/>
  <c r="HT348" i="40"/>
  <c r="HT357" i="40"/>
  <c r="HT355" i="40"/>
  <c r="HT374" i="40"/>
  <c r="HT305" i="40"/>
  <c r="HT317" i="40"/>
  <c r="HT335" i="40"/>
  <c r="HT368" i="40"/>
  <c r="HT362" i="40"/>
  <c r="HT325" i="40"/>
  <c r="HT344" i="40"/>
  <c r="HT322" i="40"/>
  <c r="HT320" i="40"/>
  <c r="HT307" i="40"/>
  <c r="HT331" i="40"/>
  <c r="HT363" i="40"/>
  <c r="HT315" i="40"/>
  <c r="HT310" i="40"/>
  <c r="HT351" i="40"/>
  <c r="HT364" i="40"/>
  <c r="KG503" i="40"/>
  <c r="KC504" i="40"/>
  <c r="KD504" i="40" s="1"/>
  <c r="KE504" i="40" s="1"/>
  <c r="KT154" i="40"/>
  <c r="KU153" i="40"/>
  <c r="I64" i="70" s="1"/>
  <c r="HS440" i="40"/>
  <c r="HS439" i="40"/>
  <c r="HS461" i="40"/>
  <c r="HS427" i="40"/>
  <c r="HS403" i="40"/>
  <c r="HS468" i="40"/>
  <c r="HS410" i="40"/>
  <c r="HS434" i="40"/>
  <c r="HS469" i="40"/>
  <c r="HS441" i="40"/>
  <c r="HS452" i="40"/>
  <c r="HS464" i="40"/>
  <c r="HS430" i="40"/>
  <c r="HS459" i="40"/>
  <c r="HS448" i="40"/>
  <c r="HS429" i="40"/>
  <c r="HS421" i="40"/>
  <c r="HS426" i="40"/>
  <c r="HS415" i="40"/>
  <c r="HS466" i="40"/>
  <c r="HS409" i="40"/>
  <c r="HS404" i="40"/>
  <c r="HS474" i="40"/>
  <c r="HS406" i="40"/>
  <c r="HS472" i="40"/>
  <c r="HS423" i="40"/>
  <c r="HS444" i="40"/>
  <c r="HS467" i="40"/>
  <c r="HS418" i="40"/>
  <c r="HS453" i="40"/>
  <c r="HS460" i="40"/>
  <c r="HS431" i="40"/>
  <c r="HS471" i="40"/>
  <c r="HS428" i="40"/>
  <c r="HS445" i="40"/>
  <c r="HS463" i="40"/>
  <c r="HS407" i="40"/>
  <c r="HS417" i="40"/>
  <c r="HS473" i="40"/>
  <c r="HS420" i="40"/>
  <c r="HS475" i="40"/>
  <c r="HS433" i="40"/>
  <c r="HS438" i="40"/>
  <c r="HS401" i="40"/>
  <c r="HS413" i="40"/>
  <c r="HS422" i="40"/>
  <c r="HS432" i="40"/>
  <c r="HS457" i="40"/>
  <c r="HS465" i="40"/>
  <c r="HS447" i="40"/>
  <c r="HS405" i="40"/>
  <c r="HS456" i="40"/>
  <c r="HS412" i="40"/>
  <c r="HS446" i="40"/>
  <c r="HS411" i="40"/>
  <c r="HS443" i="40"/>
  <c r="HS414" i="40"/>
  <c r="HS408" i="40"/>
  <c r="HS442" i="40"/>
  <c r="HS458" i="40"/>
  <c r="HS470" i="40"/>
  <c r="HS436" i="40"/>
  <c r="HS451" i="40"/>
  <c r="HS402" i="40"/>
  <c r="HS449" i="40"/>
  <c r="HS416" i="40"/>
  <c r="HS437" i="40"/>
  <c r="HS454" i="40"/>
  <c r="HS435" i="40"/>
  <c r="HS419" i="40"/>
  <c r="HS462" i="40"/>
  <c r="HS424" i="40"/>
  <c r="HS455" i="40"/>
  <c r="HS425" i="40"/>
  <c r="HS450" i="40"/>
  <c r="KD404" i="40"/>
  <c r="KE404" i="40" s="1"/>
  <c r="HS585" i="40" l="1"/>
  <c r="HS587" i="40"/>
  <c r="HS687" i="40" s="1"/>
  <c r="HS584" i="40"/>
  <c r="HS586" i="40"/>
  <c r="HS686" i="40" s="1"/>
  <c r="HS685" i="40"/>
  <c r="JI383" i="40"/>
  <c r="JK383" i="40" s="1"/>
  <c r="HS577" i="40"/>
  <c r="HS576" i="40"/>
  <c r="HS578" i="40"/>
  <c r="HS579" i="40"/>
  <c r="HS580" i="40"/>
  <c r="HS581" i="40"/>
  <c r="HS582" i="40"/>
  <c r="HS583" i="40"/>
  <c r="IB379" i="40"/>
  <c r="IF379" i="40" s="1"/>
  <c r="IB382" i="40"/>
  <c r="IB378" i="40"/>
  <c r="JI378" i="40"/>
  <c r="JK378" i="40" s="1"/>
  <c r="JI377" i="40"/>
  <c r="JK377" i="40" s="1"/>
  <c r="IB383" i="40"/>
  <c r="IB381" i="40"/>
  <c r="IF381" i="40" s="1"/>
  <c r="IB377" i="40"/>
  <c r="JI382" i="40"/>
  <c r="JK382" i="40" s="1"/>
  <c r="JI380" i="40"/>
  <c r="JK380" i="40" s="1"/>
  <c r="JI376" i="40"/>
  <c r="JK376" i="40" s="1"/>
  <c r="JI379" i="40"/>
  <c r="JK379" i="40" s="1"/>
  <c r="IB380" i="40"/>
  <c r="IB376" i="40"/>
  <c r="JI381" i="40"/>
  <c r="JK381" i="40" s="1"/>
  <c r="KG203" i="40"/>
  <c r="HS272" i="40" s="1"/>
  <c r="HS542" i="40"/>
  <c r="HS543" i="40"/>
  <c r="HS533" i="40"/>
  <c r="HS531" i="40"/>
  <c r="HS562" i="40"/>
  <c r="HS572" i="40"/>
  <c r="HS501" i="40"/>
  <c r="HS541" i="40"/>
  <c r="HS534" i="40"/>
  <c r="HS555" i="40"/>
  <c r="HS545" i="40"/>
  <c r="HS568" i="40"/>
  <c r="HS519" i="40"/>
  <c r="HS540" i="40"/>
  <c r="HS551" i="40"/>
  <c r="HS554" i="40"/>
  <c r="HS564" i="40"/>
  <c r="HS566" i="40"/>
  <c r="HS546" i="40"/>
  <c r="HS527" i="40"/>
  <c r="HS547" i="40"/>
  <c r="HS511" i="40"/>
  <c r="HS509" i="40"/>
  <c r="HS560" i="40"/>
  <c r="HS559" i="40"/>
  <c r="HS530" i="40"/>
  <c r="HS514" i="40"/>
  <c r="HS516" i="40"/>
  <c r="HS544" i="40"/>
  <c r="HS550" i="40"/>
  <c r="HS506" i="40"/>
  <c r="HS520" i="40"/>
  <c r="HS512" i="40"/>
  <c r="HS525" i="40"/>
  <c r="HS556" i="40"/>
  <c r="HS522" i="40"/>
  <c r="HS536" i="40"/>
  <c r="HS529" i="40"/>
  <c r="HS553" i="40"/>
  <c r="HS503" i="40"/>
  <c r="HS526" i="40"/>
  <c r="HS539" i="40"/>
  <c r="HS524" i="40"/>
  <c r="HS558" i="40"/>
  <c r="HS517" i="40"/>
  <c r="HS518" i="40"/>
  <c r="HS567" i="40"/>
  <c r="HS574" i="40"/>
  <c r="HS563" i="40"/>
  <c r="HS552" i="40"/>
  <c r="HS571" i="40"/>
  <c r="HS575" i="40"/>
  <c r="HS549" i="40"/>
  <c r="HS570" i="40"/>
  <c r="HS515" i="40"/>
  <c r="HS508" i="40"/>
  <c r="HS528" i="40"/>
  <c r="HS561" i="40"/>
  <c r="HS523" i="40"/>
  <c r="HS565" i="40"/>
  <c r="HS510" i="40"/>
  <c r="HS507" i="40"/>
  <c r="HS573" i="40"/>
  <c r="HS502" i="40"/>
  <c r="HS557" i="40"/>
  <c r="HS538" i="40"/>
  <c r="HS535" i="40"/>
  <c r="HS532" i="40"/>
  <c r="HS569" i="40"/>
  <c r="HS537" i="40"/>
  <c r="HS521" i="40"/>
  <c r="HS548" i="40"/>
  <c r="HS504" i="40"/>
  <c r="HS513" i="40"/>
  <c r="HS505" i="40"/>
  <c r="IC310" i="40"/>
  <c r="IB310" i="40" s="1"/>
  <c r="JI310" i="40"/>
  <c r="JK310" i="40" s="1"/>
  <c r="F17" i="59" s="1"/>
  <c r="IC307" i="40"/>
  <c r="IB307" i="40" s="1"/>
  <c r="JI307" i="40"/>
  <c r="JK307" i="40" s="1"/>
  <c r="IC325" i="40"/>
  <c r="JI325" i="40"/>
  <c r="JK325" i="40" s="1"/>
  <c r="IC317" i="40"/>
  <c r="IB317" i="40" s="1"/>
  <c r="JI317" i="40"/>
  <c r="JK317" i="40" s="1"/>
  <c r="IC357" i="40"/>
  <c r="IB357" i="40" s="1"/>
  <c r="JI357" i="40"/>
  <c r="JK357" i="40" s="1"/>
  <c r="IC339" i="40"/>
  <c r="JI339" i="40"/>
  <c r="JK339" i="40" s="1"/>
  <c r="IC332" i="40"/>
  <c r="IB332" i="40" s="1"/>
  <c r="JI332" i="40"/>
  <c r="JK332" i="40" s="1"/>
  <c r="IC333" i="40"/>
  <c r="IB333" i="40" s="1"/>
  <c r="JI333" i="40"/>
  <c r="JK333" i="40" s="1"/>
  <c r="IC318" i="40"/>
  <c r="IB318" i="40" s="1"/>
  <c r="JI318" i="40"/>
  <c r="JK318" i="40" s="1"/>
  <c r="IC337" i="40"/>
  <c r="JI337" i="40"/>
  <c r="JK337" i="40" s="1"/>
  <c r="IC308" i="40"/>
  <c r="IB308" i="40" s="1"/>
  <c r="JI308" i="40"/>
  <c r="JK308" i="40" s="1"/>
  <c r="IC340" i="40"/>
  <c r="IB340" i="40" s="1"/>
  <c r="JI340" i="40"/>
  <c r="JK340" i="40" s="1"/>
  <c r="IC301" i="40"/>
  <c r="IB301" i="40" s="1"/>
  <c r="JI301" i="40"/>
  <c r="JK301" i="40" s="1"/>
  <c r="IC350" i="40"/>
  <c r="JI350" i="40"/>
  <c r="JK350" i="40" s="1"/>
  <c r="IC313" i="40"/>
  <c r="IB313" i="40" s="1"/>
  <c r="JI313" i="40"/>
  <c r="JK313" i="40" s="1"/>
  <c r="IC329" i="40"/>
  <c r="IB329" i="40" s="1"/>
  <c r="JI329" i="40"/>
  <c r="JK329" i="40" s="1"/>
  <c r="IC309" i="40"/>
  <c r="IB309" i="40" s="1"/>
  <c r="JI309" i="40"/>
  <c r="JK309" i="40" s="1"/>
  <c r="E17" i="59" s="1"/>
  <c r="IC330" i="40"/>
  <c r="JI330" i="40"/>
  <c r="JK330" i="40" s="1"/>
  <c r="IC358" i="40"/>
  <c r="IB358" i="40" s="1"/>
  <c r="JI358" i="40"/>
  <c r="JK358" i="40" s="1"/>
  <c r="KC405" i="40"/>
  <c r="KD405" i="40" s="1"/>
  <c r="KE405" i="40" s="1"/>
  <c r="KG405" i="40" s="1"/>
  <c r="KG404" i="40"/>
  <c r="KT155" i="40"/>
  <c r="KU154" i="40"/>
  <c r="I65" i="70" s="1"/>
  <c r="IC315" i="40"/>
  <c r="IB315" i="40" s="1"/>
  <c r="JI315" i="40"/>
  <c r="JK315" i="40" s="1"/>
  <c r="IC320" i="40"/>
  <c r="IB320" i="40" s="1"/>
  <c r="JI320" i="40"/>
  <c r="JK320" i="40" s="1"/>
  <c r="IC362" i="40"/>
  <c r="IB362" i="40" s="1"/>
  <c r="JI362" i="40"/>
  <c r="JK362" i="40" s="1"/>
  <c r="IC305" i="40"/>
  <c r="IB305" i="40" s="1"/>
  <c r="JI305" i="40"/>
  <c r="JK305" i="40" s="1"/>
  <c r="IC348" i="40"/>
  <c r="IB348" i="40" s="1"/>
  <c r="JI348" i="40"/>
  <c r="JK348" i="40" s="1"/>
  <c r="IC370" i="40"/>
  <c r="IB370" i="40" s="1"/>
  <c r="JI370" i="40"/>
  <c r="JK370" i="40" s="1"/>
  <c r="IC342" i="40"/>
  <c r="JI342" i="40"/>
  <c r="JK342" i="40" s="1"/>
  <c r="IC341" i="40"/>
  <c r="IB341" i="40" s="1"/>
  <c r="JI341" i="40"/>
  <c r="JK341" i="40" s="1"/>
  <c r="IC360" i="40"/>
  <c r="IB360" i="40" s="1"/>
  <c r="JI360" i="40"/>
  <c r="JK360" i="40" s="1"/>
  <c r="IC336" i="40"/>
  <c r="IB336" i="40" s="1"/>
  <c r="JI336" i="40"/>
  <c r="JK336" i="40" s="1"/>
  <c r="IC306" i="40"/>
  <c r="JI306" i="40"/>
  <c r="JK306" i="40" s="1"/>
  <c r="IC369" i="40"/>
  <c r="IB369" i="40" s="1"/>
  <c r="JI369" i="40"/>
  <c r="JK369" i="40" s="1"/>
  <c r="IC359" i="40"/>
  <c r="IB359" i="40" s="1"/>
  <c r="JI359" i="40"/>
  <c r="JK359" i="40" s="1"/>
  <c r="IC312" i="40"/>
  <c r="IB312" i="40" s="1"/>
  <c r="JI312" i="40"/>
  <c r="JK312" i="40" s="1"/>
  <c r="H17" i="59" s="1"/>
  <c r="IC346" i="40"/>
  <c r="JI346" i="40"/>
  <c r="JK346" i="40" s="1"/>
  <c r="IC347" i="40"/>
  <c r="IB347" i="40" s="1"/>
  <c r="JI347" i="40"/>
  <c r="JK347" i="40" s="1"/>
  <c r="IC367" i="40"/>
  <c r="IB367" i="40" s="1"/>
  <c r="JI367" i="40"/>
  <c r="JK367" i="40" s="1"/>
  <c r="IC371" i="40"/>
  <c r="IB371" i="40" s="1"/>
  <c r="JI371" i="40"/>
  <c r="JK371" i="40" s="1"/>
  <c r="IC364" i="40"/>
  <c r="IB364" i="40" s="1"/>
  <c r="JI364" i="40"/>
  <c r="JK364" i="40" s="1"/>
  <c r="IC363" i="40"/>
  <c r="IB363" i="40" s="1"/>
  <c r="JI363" i="40"/>
  <c r="JK363" i="40" s="1"/>
  <c r="IC322" i="40"/>
  <c r="JI322" i="40"/>
  <c r="JK322" i="40" s="1"/>
  <c r="IC368" i="40"/>
  <c r="IB368" i="40" s="1"/>
  <c r="JI368" i="40"/>
  <c r="JK368" i="40" s="1"/>
  <c r="IC374" i="40"/>
  <c r="IB374" i="40" s="1"/>
  <c r="JI374" i="40"/>
  <c r="JK374" i="40" s="1"/>
  <c r="IC316" i="40"/>
  <c r="IB316" i="40" s="1"/>
  <c r="JI316" i="40"/>
  <c r="JK316" i="40" s="1"/>
  <c r="IC354" i="40"/>
  <c r="JI354" i="40"/>
  <c r="JK354" i="40" s="1"/>
  <c r="IC365" i="40"/>
  <c r="IB365" i="40" s="1"/>
  <c r="JI365" i="40"/>
  <c r="JK365" i="40" s="1"/>
  <c r="IC352" i="40"/>
  <c r="IB352" i="40" s="1"/>
  <c r="JI352" i="40"/>
  <c r="JK352" i="40" s="1"/>
  <c r="IC338" i="40"/>
  <c r="JI338" i="40"/>
  <c r="JK338" i="40" s="1"/>
  <c r="IC356" i="40"/>
  <c r="JI356" i="40"/>
  <c r="JK356" i="40" s="1"/>
  <c r="IC304" i="40"/>
  <c r="IB304" i="40" s="1"/>
  <c r="JI304" i="40"/>
  <c r="JK304" i="40" s="1"/>
  <c r="IC334" i="40"/>
  <c r="IB334" i="40" s="1"/>
  <c r="JI334" i="40"/>
  <c r="JK334" i="40" s="1"/>
  <c r="IC321" i="40"/>
  <c r="JI321" i="40"/>
  <c r="JK321" i="40" s="1"/>
  <c r="IC373" i="40"/>
  <c r="JI373" i="40"/>
  <c r="JK373" i="40" s="1"/>
  <c r="IC345" i="40"/>
  <c r="IB345" i="40" s="1"/>
  <c r="JI345" i="40"/>
  <c r="JK345" i="40" s="1"/>
  <c r="IC323" i="40"/>
  <c r="IB323" i="40" s="1"/>
  <c r="JI323" i="40"/>
  <c r="JK323" i="40" s="1"/>
  <c r="IC314" i="40"/>
  <c r="JI314" i="40"/>
  <c r="JK314" i="40" s="1"/>
  <c r="IC372" i="40"/>
  <c r="JI372" i="40"/>
  <c r="JK372" i="40" s="1"/>
  <c r="KD204" i="40"/>
  <c r="KE204" i="40" s="1"/>
  <c r="KC505" i="40"/>
  <c r="KD505" i="40" s="1"/>
  <c r="KE505" i="40" s="1"/>
  <c r="KG505" i="40" s="1"/>
  <c r="KG504" i="40"/>
  <c r="IC351" i="40"/>
  <c r="JI351" i="40"/>
  <c r="JK351" i="40" s="1"/>
  <c r="IC331" i="40"/>
  <c r="IB331" i="40" s="1"/>
  <c r="JI331" i="40"/>
  <c r="JK331" i="40" s="1"/>
  <c r="IC344" i="40"/>
  <c r="IB344" i="40" s="1"/>
  <c r="JI344" i="40"/>
  <c r="JK344" i="40" s="1"/>
  <c r="IC335" i="40"/>
  <c r="JI335" i="40"/>
  <c r="JK335" i="40" s="1"/>
  <c r="IC355" i="40"/>
  <c r="JI355" i="40"/>
  <c r="JK355" i="40" s="1"/>
  <c r="IC303" i="40"/>
  <c r="IB303" i="40" s="1"/>
  <c r="JI303" i="40"/>
  <c r="JK303" i="40" s="1"/>
  <c r="IC311" i="40"/>
  <c r="IB311" i="40" s="1"/>
  <c r="JI311" i="40"/>
  <c r="JK311" i="40" s="1"/>
  <c r="G17" i="59" s="1"/>
  <c r="IC343" i="40"/>
  <c r="JI343" i="40"/>
  <c r="JK343" i="40" s="1"/>
  <c r="IC361" i="40"/>
  <c r="JI361" i="40"/>
  <c r="JK361" i="40" s="1"/>
  <c r="IC353" i="40"/>
  <c r="IB353" i="40" s="1"/>
  <c r="JI353" i="40"/>
  <c r="JK353" i="40" s="1"/>
  <c r="IC302" i="40"/>
  <c r="IB302" i="40" s="1"/>
  <c r="JI302" i="40"/>
  <c r="JK302" i="40" s="1"/>
  <c r="IC375" i="40"/>
  <c r="JI375" i="40"/>
  <c r="JK375" i="40" s="1"/>
  <c r="IC326" i="40"/>
  <c r="JI326" i="40"/>
  <c r="JK326" i="40" s="1"/>
  <c r="IC327" i="40"/>
  <c r="IB327" i="40" s="1"/>
  <c r="JI327" i="40"/>
  <c r="JK327" i="40" s="1"/>
  <c r="IC328" i="40"/>
  <c r="IB328" i="40" s="1"/>
  <c r="JI328" i="40"/>
  <c r="JK328" i="40" s="1"/>
  <c r="IC366" i="40"/>
  <c r="IB366" i="40" s="1"/>
  <c r="JI366" i="40"/>
  <c r="JK366" i="40" s="1"/>
  <c r="IC319" i="40"/>
  <c r="JI319" i="40"/>
  <c r="JK319" i="40" s="1"/>
  <c r="IC349" i="40"/>
  <c r="IB349" i="40" s="1"/>
  <c r="JI349" i="40"/>
  <c r="JK349" i="40" s="1"/>
  <c r="IC324" i="40"/>
  <c r="IB324" i="40" s="1"/>
  <c r="JI324" i="40"/>
  <c r="JK324" i="40" s="1"/>
  <c r="HT584" i="40" l="1"/>
  <c r="IC584" i="40" s="1"/>
  <c r="HT585" i="40"/>
  <c r="IC585" i="40" s="1"/>
  <c r="HT586" i="40"/>
  <c r="IC586" i="40" s="1"/>
  <c r="HT587" i="40"/>
  <c r="IC587" i="40" s="1"/>
  <c r="HU586" i="40"/>
  <c r="ID586" i="40" s="1"/>
  <c r="HU585" i="40"/>
  <c r="ID585" i="40" s="1"/>
  <c r="HU587" i="40"/>
  <c r="ID587" i="40" s="1"/>
  <c r="HU584" i="40"/>
  <c r="ID584" i="40" s="1"/>
  <c r="HS684" i="40"/>
  <c r="JI585" i="40"/>
  <c r="JK585" i="40" s="1"/>
  <c r="HU688" i="40"/>
  <c r="HT688" i="40"/>
  <c r="HT485" i="40"/>
  <c r="HT486" i="40"/>
  <c r="HT487" i="40"/>
  <c r="HT484" i="40"/>
  <c r="HU486" i="40"/>
  <c r="HU487" i="40"/>
  <c r="HU484" i="40"/>
  <c r="HU485" i="40"/>
  <c r="HT576" i="40"/>
  <c r="IC576" i="40" s="1"/>
  <c r="HT577" i="40"/>
  <c r="IC577" i="40" s="1"/>
  <c r="HT578" i="40"/>
  <c r="IC578" i="40" s="1"/>
  <c r="HT579" i="40"/>
  <c r="IC579" i="40" s="1"/>
  <c r="HT580" i="40"/>
  <c r="IC580" i="40" s="1"/>
  <c r="HT581" i="40"/>
  <c r="IC581" i="40" s="1"/>
  <c r="HT582" i="40"/>
  <c r="IC582" i="40" s="1"/>
  <c r="HT583" i="40"/>
  <c r="IC583" i="40" s="1"/>
  <c r="HU576" i="40"/>
  <c r="ID576" i="40" s="1"/>
  <c r="HU577" i="40"/>
  <c r="ID577" i="40" s="1"/>
  <c r="HU578" i="40"/>
  <c r="ID578" i="40" s="1"/>
  <c r="HU579" i="40"/>
  <c r="ID579" i="40" s="1"/>
  <c r="HU580" i="40"/>
  <c r="ID580" i="40" s="1"/>
  <c r="HU581" i="40"/>
  <c r="ID581" i="40" s="1"/>
  <c r="HU582" i="40"/>
  <c r="ID582" i="40" s="1"/>
  <c r="HU583" i="40"/>
  <c r="ID583" i="40" s="1"/>
  <c r="JI580" i="40"/>
  <c r="JK580" i="40" s="1"/>
  <c r="JI577" i="40"/>
  <c r="JK577" i="40" s="1"/>
  <c r="HT476" i="40"/>
  <c r="HT477" i="40"/>
  <c r="HT478" i="40"/>
  <c r="HT479" i="40"/>
  <c r="HT480" i="40"/>
  <c r="HT481" i="40"/>
  <c r="HT482" i="40"/>
  <c r="HT483" i="40"/>
  <c r="HU477" i="40"/>
  <c r="ID477" i="40" s="1"/>
  <c r="HU478" i="40"/>
  <c r="ID478" i="40" s="1"/>
  <c r="HU476" i="40"/>
  <c r="ID476" i="40" s="1"/>
  <c r="HU479" i="40"/>
  <c r="ID479" i="40" s="1"/>
  <c r="HU480" i="40"/>
  <c r="ID480" i="40" s="1"/>
  <c r="HU481" i="40"/>
  <c r="ID481" i="40" s="1"/>
  <c r="HU482" i="40"/>
  <c r="ID482" i="40" s="1"/>
  <c r="HU483" i="40"/>
  <c r="ID483" i="40" s="1"/>
  <c r="IE380" i="40"/>
  <c r="IG380" i="40"/>
  <c r="IE382" i="40"/>
  <c r="IG382" i="40"/>
  <c r="IF380" i="40"/>
  <c r="IF382" i="40"/>
  <c r="IE376" i="40"/>
  <c r="IG376" i="40"/>
  <c r="IE377" i="40"/>
  <c r="IG377" i="40"/>
  <c r="IE383" i="40"/>
  <c r="IG383" i="40"/>
  <c r="IE378" i="40"/>
  <c r="IG378" i="40"/>
  <c r="IE381" i="40"/>
  <c r="IG381" i="40"/>
  <c r="JG383" i="40"/>
  <c r="JG379" i="40"/>
  <c r="JG382" i="40"/>
  <c r="JG381" i="40"/>
  <c r="JG377" i="40"/>
  <c r="JG378" i="40"/>
  <c r="JG380" i="40"/>
  <c r="JG376" i="40"/>
  <c r="IF376" i="40"/>
  <c r="IF377" i="40"/>
  <c r="IF383" i="40"/>
  <c r="IF378" i="40"/>
  <c r="IE379" i="40"/>
  <c r="IG379" i="40"/>
  <c r="HS251" i="40"/>
  <c r="HS277" i="40"/>
  <c r="HS276" i="40"/>
  <c r="HS278" i="40"/>
  <c r="HS279" i="40"/>
  <c r="HS280" i="40"/>
  <c r="HS281" i="40"/>
  <c r="HS282" i="40"/>
  <c r="HS283" i="40"/>
  <c r="HS253" i="40"/>
  <c r="HS202" i="40"/>
  <c r="HS243" i="40"/>
  <c r="HS643" i="40" s="1"/>
  <c r="HS236" i="40"/>
  <c r="HS258" i="40"/>
  <c r="HS658" i="40" s="1"/>
  <c r="HS204" i="40"/>
  <c r="HS234" i="40"/>
  <c r="HS634" i="40" s="1"/>
  <c r="HS244" i="40"/>
  <c r="HS201" i="40"/>
  <c r="HS601" i="40" s="1"/>
  <c r="HS701" i="40" s="1"/>
  <c r="HS256" i="40"/>
  <c r="HS203" i="40"/>
  <c r="HS603" i="40" s="1"/>
  <c r="HS250" i="40"/>
  <c r="HS219" i="40"/>
  <c r="HS619" i="40" s="1"/>
  <c r="HS265" i="40"/>
  <c r="HS211" i="40"/>
  <c r="HS247" i="40"/>
  <c r="HS217" i="40"/>
  <c r="HS617" i="40" s="1"/>
  <c r="HS267" i="40"/>
  <c r="HS207" i="40"/>
  <c r="HS607" i="40" s="1"/>
  <c r="HS208" i="40"/>
  <c r="HS263" i="40"/>
  <c r="HS220" i="40"/>
  <c r="HS620" i="40" s="1"/>
  <c r="HS245" i="40"/>
  <c r="HS645" i="40" s="1"/>
  <c r="HS210" i="40"/>
  <c r="HS610" i="40" s="1"/>
  <c r="HS221" i="40"/>
  <c r="HS621" i="40" s="1"/>
  <c r="HS257" i="40"/>
  <c r="HS657" i="40" s="1"/>
  <c r="HS214" i="40"/>
  <c r="HS614" i="40" s="1"/>
  <c r="HS273" i="40"/>
  <c r="HS673" i="40" s="1"/>
  <c r="HS231" i="40"/>
  <c r="HS631" i="40" s="1"/>
  <c r="HS232" i="40"/>
  <c r="HS632" i="40" s="1"/>
  <c r="HS252" i="40"/>
  <c r="HS652" i="40" s="1"/>
  <c r="HS248" i="40"/>
  <c r="HS648" i="40" s="1"/>
  <c r="HS225" i="40"/>
  <c r="HS625" i="40" s="1"/>
  <c r="HS215" i="40"/>
  <c r="HS615" i="40" s="1"/>
  <c r="HS249" i="40"/>
  <c r="HS649" i="40" s="1"/>
  <c r="HS230" i="40"/>
  <c r="HS630" i="40" s="1"/>
  <c r="HS237" i="40"/>
  <c r="HS637" i="40" s="1"/>
  <c r="HS212" i="40"/>
  <c r="HS612" i="40" s="1"/>
  <c r="HS227" i="40"/>
  <c r="HS627" i="40" s="1"/>
  <c r="HS269" i="40"/>
  <c r="HS669" i="40" s="1"/>
  <c r="HS222" i="40"/>
  <c r="HS622" i="40" s="1"/>
  <c r="HS254" i="40"/>
  <c r="HS654" i="40" s="1"/>
  <c r="HS213" i="40"/>
  <c r="HS613" i="40" s="1"/>
  <c r="HS209" i="40"/>
  <c r="HS609" i="40" s="1"/>
  <c r="HS259" i="40"/>
  <c r="HS659" i="40" s="1"/>
  <c r="HS216" i="40"/>
  <c r="HS616" i="40" s="1"/>
  <c r="HS218" i="40"/>
  <c r="HS618" i="40" s="1"/>
  <c r="HS261" i="40"/>
  <c r="HS661" i="40" s="1"/>
  <c r="HS235" i="40"/>
  <c r="HS635" i="40" s="1"/>
  <c r="HS268" i="40"/>
  <c r="HS668" i="40" s="1"/>
  <c r="HS274" i="40"/>
  <c r="HS674" i="40" s="1"/>
  <c r="HS240" i="40"/>
  <c r="HS640" i="40" s="1"/>
  <c r="HS229" i="40"/>
  <c r="HS629" i="40" s="1"/>
  <c r="HS262" i="40"/>
  <c r="HS662" i="40" s="1"/>
  <c r="HS246" i="40"/>
  <c r="HS646" i="40" s="1"/>
  <c r="HS264" i="40"/>
  <c r="HS664" i="40" s="1"/>
  <c r="HS241" i="40"/>
  <c r="HS641" i="40" s="1"/>
  <c r="HS233" i="40"/>
  <c r="HS206" i="40"/>
  <c r="HS606" i="40" s="1"/>
  <c r="HS223" i="40"/>
  <c r="HS623" i="40" s="1"/>
  <c r="HS271" i="40"/>
  <c r="HS671" i="40" s="1"/>
  <c r="HS255" i="40"/>
  <c r="HS226" i="40"/>
  <c r="HS626" i="40" s="1"/>
  <c r="HS275" i="40"/>
  <c r="HS228" i="40"/>
  <c r="HS628" i="40" s="1"/>
  <c r="HS238" i="40"/>
  <c r="HS638" i="40" s="1"/>
  <c r="HS260" i="40"/>
  <c r="HS660" i="40" s="1"/>
  <c r="HS239" i="40"/>
  <c r="HS639" i="40" s="1"/>
  <c r="HS224" i="40"/>
  <c r="HS624" i="40" s="1"/>
  <c r="HS205" i="40"/>
  <c r="HS266" i="40"/>
  <c r="HS666" i="40" s="1"/>
  <c r="HS242" i="40"/>
  <c r="HS270" i="40"/>
  <c r="HS670" i="40" s="1"/>
  <c r="IE311" i="40"/>
  <c r="IG311" i="40"/>
  <c r="IE369" i="40"/>
  <c r="IG369" i="40"/>
  <c r="IE305" i="40"/>
  <c r="IG305" i="40"/>
  <c r="IE313" i="40"/>
  <c r="IG313" i="40"/>
  <c r="IE332" i="40"/>
  <c r="IG332" i="40"/>
  <c r="IE323" i="40"/>
  <c r="IG323" i="40"/>
  <c r="IE341" i="40"/>
  <c r="IG341" i="40"/>
  <c r="IE362" i="40"/>
  <c r="IG362" i="40"/>
  <c r="IE358" i="40"/>
  <c r="IG358" i="40"/>
  <c r="IE308" i="40"/>
  <c r="IG308" i="40"/>
  <c r="IE374" i="40"/>
  <c r="IG374" i="40"/>
  <c r="IE324" i="40"/>
  <c r="IG324" i="40"/>
  <c r="IE327" i="40"/>
  <c r="IG327" i="40"/>
  <c r="IE302" i="40"/>
  <c r="IG302" i="40"/>
  <c r="IE353" i="40"/>
  <c r="IG353" i="40"/>
  <c r="IE368" i="40"/>
  <c r="IG368" i="40"/>
  <c r="IE367" i="40"/>
  <c r="IG367" i="40"/>
  <c r="IE315" i="40"/>
  <c r="IG315" i="40"/>
  <c r="IF324" i="40"/>
  <c r="IE349" i="40"/>
  <c r="IG349" i="40"/>
  <c r="IB319" i="40"/>
  <c r="IF366" i="40"/>
  <c r="IE303" i="40"/>
  <c r="IG303" i="40"/>
  <c r="IB372" i="40"/>
  <c r="IE345" i="40"/>
  <c r="IG345" i="40"/>
  <c r="IE304" i="40"/>
  <c r="IG304" i="40"/>
  <c r="IF316" i="40"/>
  <c r="IF363" i="40"/>
  <c r="HS608" i="40"/>
  <c r="HS663" i="40"/>
  <c r="IF371" i="40"/>
  <c r="IB346" i="40"/>
  <c r="IF312" i="40"/>
  <c r="IF336" i="40"/>
  <c r="IF370" i="40"/>
  <c r="IF320" i="40"/>
  <c r="IE329" i="40"/>
  <c r="IG329" i="40"/>
  <c r="IE340" i="40"/>
  <c r="IG340" i="40"/>
  <c r="IE317" i="40"/>
  <c r="IG317" i="40"/>
  <c r="IF307" i="40"/>
  <c r="IE328" i="40"/>
  <c r="IG328" i="40"/>
  <c r="IE344" i="40"/>
  <c r="IG344" i="40"/>
  <c r="IE331" i="40"/>
  <c r="IG331" i="40"/>
  <c r="KC205" i="40"/>
  <c r="KD205" i="40" s="1"/>
  <c r="KE205" i="40" s="1"/>
  <c r="KG205" i="40" s="1"/>
  <c r="KG204" i="40"/>
  <c r="IE334" i="40"/>
  <c r="IG334" i="40"/>
  <c r="IE352" i="40"/>
  <c r="IG352" i="40"/>
  <c r="IE365" i="40"/>
  <c r="IG365" i="40"/>
  <c r="IE364" i="40"/>
  <c r="IG364" i="40"/>
  <c r="IE347" i="40"/>
  <c r="IG347" i="40"/>
  <c r="IE359" i="40"/>
  <c r="IG359" i="40"/>
  <c r="IE360" i="40"/>
  <c r="IG360" i="40"/>
  <c r="IE348" i="40"/>
  <c r="IG348" i="40"/>
  <c r="IF362" i="40"/>
  <c r="HT437" i="40"/>
  <c r="HT426" i="40"/>
  <c r="HT432" i="40"/>
  <c r="HT412" i="40"/>
  <c r="HT467" i="40"/>
  <c r="HT418" i="40"/>
  <c r="HT439" i="40"/>
  <c r="HT441" i="40"/>
  <c r="HT427" i="40"/>
  <c r="HT404" i="40"/>
  <c r="HT452" i="40"/>
  <c r="HT406" i="40"/>
  <c r="HT440" i="40"/>
  <c r="HT436" i="40"/>
  <c r="HT462" i="40"/>
  <c r="HT411" i="40"/>
  <c r="HT415" i="40"/>
  <c r="HT455" i="40"/>
  <c r="HT429" i="40"/>
  <c r="HT405" i="40"/>
  <c r="HT420" i="40"/>
  <c r="HT425" i="40"/>
  <c r="HT465" i="40"/>
  <c r="HT421" i="40"/>
  <c r="HT402" i="40"/>
  <c r="HT430" i="40"/>
  <c r="HT444" i="40"/>
  <c r="HT472" i="40"/>
  <c r="HT451" i="40"/>
  <c r="HT424" i="40"/>
  <c r="HT453" i="40"/>
  <c r="HT461" i="40"/>
  <c r="HT445" i="40"/>
  <c r="HT407" i="40"/>
  <c r="HT459" i="40"/>
  <c r="HT474" i="40"/>
  <c r="HT457" i="40"/>
  <c r="HT468" i="40"/>
  <c r="HT414" i="40"/>
  <c r="HT473" i="40"/>
  <c r="HT456" i="40"/>
  <c r="HT401" i="40"/>
  <c r="HT454" i="40"/>
  <c r="HT434" i="40"/>
  <c r="HT435" i="40"/>
  <c r="HT419" i="40"/>
  <c r="HT417" i="40"/>
  <c r="HT423" i="40"/>
  <c r="HT413" i="40"/>
  <c r="HT428" i="40"/>
  <c r="HT466" i="40"/>
  <c r="HT447" i="40"/>
  <c r="HT438" i="40"/>
  <c r="HT433" i="40"/>
  <c r="HT409" i="40"/>
  <c r="HT471" i="40"/>
  <c r="HT403" i="40"/>
  <c r="HT410" i="40"/>
  <c r="HT475" i="40"/>
  <c r="HT458" i="40"/>
  <c r="HT431" i="40"/>
  <c r="HT463" i="40"/>
  <c r="HT469" i="40"/>
  <c r="HT470" i="40"/>
  <c r="HT464" i="40"/>
  <c r="HT408" i="40"/>
  <c r="HT443" i="40"/>
  <c r="HT416" i="40"/>
  <c r="HT448" i="40"/>
  <c r="HT422" i="40"/>
  <c r="HT450" i="40"/>
  <c r="HT446" i="40"/>
  <c r="HT460" i="40"/>
  <c r="HT442" i="40"/>
  <c r="HT449" i="40"/>
  <c r="IF358" i="40"/>
  <c r="IE309" i="40"/>
  <c r="IG309" i="40"/>
  <c r="IF313" i="40"/>
  <c r="IE301" i="40"/>
  <c r="IG301" i="40"/>
  <c r="K9" i="61" s="1"/>
  <c r="IF308" i="40"/>
  <c r="IE318" i="40"/>
  <c r="IG318" i="40"/>
  <c r="IE333" i="40"/>
  <c r="IG333" i="40"/>
  <c r="IF332" i="40"/>
  <c r="IE357" i="40"/>
  <c r="IG357" i="40"/>
  <c r="IE310" i="40"/>
  <c r="IG310" i="40"/>
  <c r="W38" i="67" s="1"/>
  <c r="IF349" i="40"/>
  <c r="IF327" i="40"/>
  <c r="IB375" i="40"/>
  <c r="G5" i="59"/>
  <c r="G29" i="59" s="1"/>
  <c r="H5" i="59"/>
  <c r="H29" i="59" s="1"/>
  <c r="IF353" i="40"/>
  <c r="IB343" i="40"/>
  <c r="IF343" i="40" s="1"/>
  <c r="IF303" i="40"/>
  <c r="IB335" i="40"/>
  <c r="IF331" i="40"/>
  <c r="HT564" i="40"/>
  <c r="IC564" i="40" s="1"/>
  <c r="HT501" i="40"/>
  <c r="IC501" i="40" s="1"/>
  <c r="HT528" i="40"/>
  <c r="IC528" i="40" s="1"/>
  <c r="HT511" i="40"/>
  <c r="IC511" i="40" s="1"/>
  <c r="HT547" i="40"/>
  <c r="IC547" i="40" s="1"/>
  <c r="HT529" i="40"/>
  <c r="IC529" i="40" s="1"/>
  <c r="HT561" i="40"/>
  <c r="IC561" i="40" s="1"/>
  <c r="HT523" i="40"/>
  <c r="IC523" i="40" s="1"/>
  <c r="HT553" i="40"/>
  <c r="IC553" i="40" s="1"/>
  <c r="HT508" i="40"/>
  <c r="IC508" i="40" s="1"/>
  <c r="HT574" i="40"/>
  <c r="IC574" i="40" s="1"/>
  <c r="HT542" i="40"/>
  <c r="IC542" i="40" s="1"/>
  <c r="HT567" i="40"/>
  <c r="IC567" i="40" s="1"/>
  <c r="HT515" i="40"/>
  <c r="IC515" i="40" s="1"/>
  <c r="HT560" i="40"/>
  <c r="IC560" i="40" s="1"/>
  <c r="HT562" i="40"/>
  <c r="IC562" i="40" s="1"/>
  <c r="HT531" i="40"/>
  <c r="IC531" i="40" s="1"/>
  <c r="HT534" i="40"/>
  <c r="IC534" i="40" s="1"/>
  <c r="HT533" i="40"/>
  <c r="IC533" i="40" s="1"/>
  <c r="HT540" i="40"/>
  <c r="IC540" i="40" s="1"/>
  <c r="HT573" i="40"/>
  <c r="IC573" i="40" s="1"/>
  <c r="HT514" i="40"/>
  <c r="IC514" i="40" s="1"/>
  <c r="HT545" i="40"/>
  <c r="IC545" i="40" s="1"/>
  <c r="HT551" i="40"/>
  <c r="IC551" i="40" s="1"/>
  <c r="HT503" i="40"/>
  <c r="IC503" i="40" s="1"/>
  <c r="HT521" i="40"/>
  <c r="IC521" i="40" s="1"/>
  <c r="HT572" i="40"/>
  <c r="IC572" i="40" s="1"/>
  <c r="HT555" i="40"/>
  <c r="IC555" i="40" s="1"/>
  <c r="HT556" i="40"/>
  <c r="IC556" i="40" s="1"/>
  <c r="HT510" i="40"/>
  <c r="IC510" i="40" s="1"/>
  <c r="HT557" i="40"/>
  <c r="IC557" i="40" s="1"/>
  <c r="HT548" i="40"/>
  <c r="IC548" i="40" s="1"/>
  <c r="HT519" i="40"/>
  <c r="IC519" i="40" s="1"/>
  <c r="HT509" i="40"/>
  <c r="IC509" i="40" s="1"/>
  <c r="HT513" i="40"/>
  <c r="IC513" i="40" s="1"/>
  <c r="HT524" i="40"/>
  <c r="IC524" i="40" s="1"/>
  <c r="HT518" i="40"/>
  <c r="IC518" i="40" s="1"/>
  <c r="HT527" i="40"/>
  <c r="IC527" i="40" s="1"/>
  <c r="HT537" i="40"/>
  <c r="IC537" i="40" s="1"/>
  <c r="HT532" i="40"/>
  <c r="IC532" i="40" s="1"/>
  <c r="HT566" i="40"/>
  <c r="IC566" i="40" s="1"/>
  <c r="HT517" i="40"/>
  <c r="IC517" i="40" s="1"/>
  <c r="HT565" i="40"/>
  <c r="IC565" i="40" s="1"/>
  <c r="HT558" i="40"/>
  <c r="IC558" i="40" s="1"/>
  <c r="HT571" i="40"/>
  <c r="IC571" i="40" s="1"/>
  <c r="HT570" i="40"/>
  <c r="IC570" i="40" s="1"/>
  <c r="HT543" i="40"/>
  <c r="IC543" i="40" s="1"/>
  <c r="HT554" i="40"/>
  <c r="IC554" i="40" s="1"/>
  <c r="HT552" i="40"/>
  <c r="IC552" i="40" s="1"/>
  <c r="HT520" i="40"/>
  <c r="IC520" i="40" s="1"/>
  <c r="HT526" i="40"/>
  <c r="IC526" i="40" s="1"/>
  <c r="HT507" i="40"/>
  <c r="IC507" i="40" s="1"/>
  <c r="HT544" i="40"/>
  <c r="IC544" i="40" s="1"/>
  <c r="HT559" i="40"/>
  <c r="IC559" i="40" s="1"/>
  <c r="HT569" i="40"/>
  <c r="IC569" i="40" s="1"/>
  <c r="HT575" i="40"/>
  <c r="IC575" i="40" s="1"/>
  <c r="HT530" i="40"/>
  <c r="IC530" i="40" s="1"/>
  <c r="HT525" i="40"/>
  <c r="IC525" i="40" s="1"/>
  <c r="HT516" i="40"/>
  <c r="IC516" i="40" s="1"/>
  <c r="HT563" i="40"/>
  <c r="IC563" i="40" s="1"/>
  <c r="HT522" i="40"/>
  <c r="IC522" i="40" s="1"/>
  <c r="HT535" i="40"/>
  <c r="IC535" i="40" s="1"/>
  <c r="HT502" i="40"/>
  <c r="IC502" i="40" s="1"/>
  <c r="HT536" i="40"/>
  <c r="IC536" i="40" s="1"/>
  <c r="HT539" i="40"/>
  <c r="IC539" i="40" s="1"/>
  <c r="HT568" i="40"/>
  <c r="IC568" i="40" s="1"/>
  <c r="HT505" i="40"/>
  <c r="IC505" i="40" s="1"/>
  <c r="HT506" i="40"/>
  <c r="IC506" i="40" s="1"/>
  <c r="HT546" i="40"/>
  <c r="IC546" i="40" s="1"/>
  <c r="HT504" i="40"/>
  <c r="IC504" i="40" s="1"/>
  <c r="HT541" i="40"/>
  <c r="IC541" i="40" s="1"/>
  <c r="HT550" i="40"/>
  <c r="IC550" i="40" s="1"/>
  <c r="HT512" i="40"/>
  <c r="IC512" i="40" s="1"/>
  <c r="HT538" i="40"/>
  <c r="IC538" i="40" s="1"/>
  <c r="HT549" i="40"/>
  <c r="IC549" i="40" s="1"/>
  <c r="IB314" i="40"/>
  <c r="IF314" i="40" s="1"/>
  <c r="IF345" i="40"/>
  <c r="IB321" i="40"/>
  <c r="IF304" i="40"/>
  <c r="IB338" i="40"/>
  <c r="IF338" i="40" s="1"/>
  <c r="IF365" i="40"/>
  <c r="IF368" i="40"/>
  <c r="HS633" i="40"/>
  <c r="HS655" i="40"/>
  <c r="HS675" i="40"/>
  <c r="HS605" i="40"/>
  <c r="HS642" i="40"/>
  <c r="HS651" i="40"/>
  <c r="IE371" i="40"/>
  <c r="IG371" i="40"/>
  <c r="IF347" i="40"/>
  <c r="IE312" i="40"/>
  <c r="IG312" i="40"/>
  <c r="IF369" i="40"/>
  <c r="AQ369" i="40" s="1"/>
  <c r="IE336" i="40"/>
  <c r="IG336" i="40"/>
  <c r="IF341" i="40"/>
  <c r="IE370" i="40"/>
  <c r="IG370" i="40"/>
  <c r="IF305" i="40"/>
  <c r="HU403" i="40"/>
  <c r="ID403" i="40" s="1"/>
  <c r="HU432" i="40"/>
  <c r="ID432" i="40" s="1"/>
  <c r="HU464" i="40"/>
  <c r="ID464" i="40" s="1"/>
  <c r="HU450" i="40"/>
  <c r="ID450" i="40" s="1"/>
  <c r="HU460" i="40"/>
  <c r="ID460" i="40" s="1"/>
  <c r="HU456" i="40"/>
  <c r="ID456" i="40" s="1"/>
  <c r="HU405" i="40"/>
  <c r="ID405" i="40" s="1"/>
  <c r="HU451" i="40"/>
  <c r="ID451" i="40" s="1"/>
  <c r="HU430" i="40"/>
  <c r="ID430" i="40" s="1"/>
  <c r="HU425" i="40"/>
  <c r="ID425" i="40" s="1"/>
  <c r="HU423" i="40"/>
  <c r="ID423" i="40" s="1"/>
  <c r="HU419" i="40"/>
  <c r="ID419" i="40" s="1"/>
  <c r="HU448" i="40"/>
  <c r="ID448" i="40" s="1"/>
  <c r="HU437" i="40"/>
  <c r="ID437" i="40" s="1"/>
  <c r="HU415" i="40"/>
  <c r="ID415" i="40" s="1"/>
  <c r="HU467" i="40"/>
  <c r="ID467" i="40" s="1"/>
  <c r="HU446" i="40"/>
  <c r="ID446" i="40" s="1"/>
  <c r="HU435" i="40"/>
  <c r="ID435" i="40" s="1"/>
  <c r="HU421" i="40"/>
  <c r="ID421" i="40" s="1"/>
  <c r="HU469" i="40"/>
  <c r="ID469" i="40" s="1"/>
  <c r="HU402" i="40"/>
  <c r="ID402" i="40" s="1"/>
  <c r="HU436" i="40"/>
  <c r="ID436" i="40" s="1"/>
  <c r="HU412" i="40"/>
  <c r="ID412" i="40" s="1"/>
  <c r="HU465" i="40"/>
  <c r="ID465" i="40" s="1"/>
  <c r="HU473" i="40"/>
  <c r="ID473" i="40" s="1"/>
  <c r="HU431" i="40"/>
  <c r="ID431" i="40" s="1"/>
  <c r="HU472" i="40"/>
  <c r="ID472" i="40" s="1"/>
  <c r="HU411" i="40"/>
  <c r="ID411" i="40" s="1"/>
  <c r="HU401" i="40"/>
  <c r="ID401" i="40" s="1"/>
  <c r="HU428" i="40"/>
  <c r="ID428" i="40" s="1"/>
  <c r="HU407" i="40"/>
  <c r="ID407" i="40" s="1"/>
  <c r="HU447" i="40"/>
  <c r="ID447" i="40" s="1"/>
  <c r="HU457" i="40"/>
  <c r="ID457" i="40" s="1"/>
  <c r="HU409" i="40"/>
  <c r="ID409" i="40" s="1"/>
  <c r="HU426" i="40"/>
  <c r="ID426" i="40" s="1"/>
  <c r="HU418" i="40"/>
  <c r="ID418" i="40" s="1"/>
  <c r="HU471" i="40"/>
  <c r="ID471" i="40" s="1"/>
  <c r="HU408" i="40"/>
  <c r="ID408" i="40" s="1"/>
  <c r="HU463" i="40"/>
  <c r="ID463" i="40" s="1"/>
  <c r="HU410" i="40"/>
  <c r="ID410" i="40" s="1"/>
  <c r="HU441" i="40"/>
  <c r="ID441" i="40" s="1"/>
  <c r="HU413" i="40"/>
  <c r="ID413" i="40" s="1"/>
  <c r="HU459" i="40"/>
  <c r="ID459" i="40" s="1"/>
  <c r="HU433" i="40"/>
  <c r="ID433" i="40" s="1"/>
  <c r="HU458" i="40"/>
  <c r="ID458" i="40" s="1"/>
  <c r="HU404" i="40"/>
  <c r="ID404" i="40" s="1"/>
  <c r="HU462" i="40"/>
  <c r="ID462" i="40" s="1"/>
  <c r="HU424" i="40"/>
  <c r="ID424" i="40" s="1"/>
  <c r="HU453" i="40"/>
  <c r="ID453" i="40" s="1"/>
  <c r="HU414" i="40"/>
  <c r="ID414" i="40" s="1"/>
  <c r="HU466" i="40"/>
  <c r="ID466" i="40" s="1"/>
  <c r="HU461" i="40"/>
  <c r="ID461" i="40" s="1"/>
  <c r="HU475" i="40"/>
  <c r="ID475" i="40" s="1"/>
  <c r="HU416" i="40"/>
  <c r="ID416" i="40" s="1"/>
  <c r="HU444" i="40"/>
  <c r="ID444" i="40" s="1"/>
  <c r="HU438" i="40"/>
  <c r="ID438" i="40" s="1"/>
  <c r="HU429" i="40"/>
  <c r="ID429" i="40" s="1"/>
  <c r="HU434" i="40"/>
  <c r="ID434" i="40" s="1"/>
  <c r="HU420" i="40"/>
  <c r="ID420" i="40" s="1"/>
  <c r="HU406" i="40"/>
  <c r="ID406" i="40" s="1"/>
  <c r="HU468" i="40"/>
  <c r="ID468" i="40" s="1"/>
  <c r="HU470" i="40"/>
  <c r="ID470" i="40" s="1"/>
  <c r="HU443" i="40"/>
  <c r="ID443" i="40" s="1"/>
  <c r="HU445" i="40"/>
  <c r="ID445" i="40" s="1"/>
  <c r="HU449" i="40"/>
  <c r="ID449" i="40" s="1"/>
  <c r="HU442" i="40"/>
  <c r="ID442" i="40" s="1"/>
  <c r="HU417" i="40"/>
  <c r="ID417" i="40" s="1"/>
  <c r="HU427" i="40"/>
  <c r="ID427" i="40" s="1"/>
  <c r="HU454" i="40"/>
  <c r="ID454" i="40" s="1"/>
  <c r="HU455" i="40"/>
  <c r="ID455" i="40" s="1"/>
  <c r="HU452" i="40"/>
  <c r="ID452" i="40" s="1"/>
  <c r="HU439" i="40"/>
  <c r="ID439" i="40" s="1"/>
  <c r="HU440" i="40"/>
  <c r="ID440" i="40" s="1"/>
  <c r="HU474" i="40"/>
  <c r="ID474" i="40" s="1"/>
  <c r="HU422" i="40"/>
  <c r="ID422" i="40" s="1"/>
  <c r="IB330" i="40"/>
  <c r="IF329" i="40"/>
  <c r="IB350" i="40"/>
  <c r="IF340" i="40"/>
  <c r="IB337" i="40"/>
  <c r="IF333" i="40"/>
  <c r="IB339" i="40"/>
  <c r="IF317" i="40"/>
  <c r="IE366" i="40"/>
  <c r="IG366" i="40"/>
  <c r="IF328" i="40"/>
  <c r="IB326" i="40"/>
  <c r="IF302" i="40"/>
  <c r="IB361" i="40"/>
  <c r="IF311" i="40"/>
  <c r="IB355" i="40"/>
  <c r="IF355" i="40" s="1"/>
  <c r="IF344" i="40"/>
  <c r="IB351" i="40"/>
  <c r="IF351" i="40" s="1"/>
  <c r="HU527" i="40"/>
  <c r="ID527" i="40" s="1"/>
  <c r="HU563" i="40"/>
  <c r="ID563" i="40" s="1"/>
  <c r="HU569" i="40"/>
  <c r="ID569" i="40" s="1"/>
  <c r="HU504" i="40"/>
  <c r="ID504" i="40" s="1"/>
  <c r="HU553" i="40"/>
  <c r="ID553" i="40" s="1"/>
  <c r="HU526" i="40"/>
  <c r="ID526" i="40" s="1"/>
  <c r="HU503" i="40"/>
  <c r="ID503" i="40" s="1"/>
  <c r="HU556" i="40"/>
  <c r="ID556" i="40" s="1"/>
  <c r="HU545" i="40"/>
  <c r="ID545" i="40" s="1"/>
  <c r="HU561" i="40"/>
  <c r="ID561" i="40" s="1"/>
  <c r="HU516" i="40"/>
  <c r="ID516" i="40" s="1"/>
  <c r="HU523" i="40"/>
  <c r="ID523" i="40" s="1"/>
  <c r="HU543" i="40"/>
  <c r="ID543" i="40" s="1"/>
  <c r="HU570" i="40"/>
  <c r="ID570" i="40" s="1"/>
  <c r="HU506" i="40"/>
  <c r="ID506" i="40" s="1"/>
  <c r="HU528" i="40"/>
  <c r="ID528" i="40" s="1"/>
  <c r="HU557" i="40"/>
  <c r="ID557" i="40" s="1"/>
  <c r="HU550" i="40"/>
  <c r="ID550" i="40" s="1"/>
  <c r="HU542" i="40"/>
  <c r="ID542" i="40" s="1"/>
  <c r="HU552" i="40"/>
  <c r="ID552" i="40" s="1"/>
  <c r="HU536" i="40"/>
  <c r="ID536" i="40" s="1"/>
  <c r="HU558" i="40"/>
  <c r="ID558" i="40" s="1"/>
  <c r="HU566" i="40"/>
  <c r="ID566" i="40" s="1"/>
  <c r="HU554" i="40"/>
  <c r="ID554" i="40" s="1"/>
  <c r="HU548" i="40"/>
  <c r="ID548" i="40" s="1"/>
  <c r="HU521" i="40"/>
  <c r="ID521" i="40" s="1"/>
  <c r="HU512" i="40"/>
  <c r="ID512" i="40" s="1"/>
  <c r="HU524" i="40"/>
  <c r="ID524" i="40" s="1"/>
  <c r="HU568" i="40"/>
  <c r="ID568" i="40" s="1"/>
  <c r="HU571" i="40"/>
  <c r="ID571" i="40" s="1"/>
  <c r="HU513" i="40"/>
  <c r="ID513" i="40" s="1"/>
  <c r="HU544" i="40"/>
  <c r="ID544" i="40" s="1"/>
  <c r="HU533" i="40"/>
  <c r="ID533" i="40" s="1"/>
  <c r="HU508" i="40"/>
  <c r="ID508" i="40" s="1"/>
  <c r="HU572" i="40"/>
  <c r="ID572" i="40" s="1"/>
  <c r="HU532" i="40"/>
  <c r="ID532" i="40" s="1"/>
  <c r="HU574" i="40"/>
  <c r="ID574" i="40" s="1"/>
  <c r="HU515" i="40"/>
  <c r="ID515" i="40" s="1"/>
  <c r="HU564" i="40"/>
  <c r="ID564" i="40" s="1"/>
  <c r="HU565" i="40"/>
  <c r="ID565" i="40" s="1"/>
  <c r="HU547" i="40"/>
  <c r="ID547" i="40" s="1"/>
  <c r="HU546" i="40"/>
  <c r="ID546" i="40" s="1"/>
  <c r="HU560" i="40"/>
  <c r="ID560" i="40" s="1"/>
  <c r="HU522" i="40"/>
  <c r="ID522" i="40" s="1"/>
  <c r="HU507" i="40"/>
  <c r="ID507" i="40" s="1"/>
  <c r="HU534" i="40"/>
  <c r="ID534" i="40" s="1"/>
  <c r="HU530" i="40"/>
  <c r="ID530" i="40" s="1"/>
  <c r="HU502" i="40"/>
  <c r="ID502" i="40" s="1"/>
  <c r="HU531" i="40"/>
  <c r="ID531" i="40" s="1"/>
  <c r="HU535" i="40"/>
  <c r="ID535" i="40" s="1"/>
  <c r="HU518" i="40"/>
  <c r="ID518" i="40" s="1"/>
  <c r="HU514" i="40"/>
  <c r="ID514" i="40" s="1"/>
  <c r="HU551" i="40"/>
  <c r="ID551" i="40" s="1"/>
  <c r="HU538" i="40"/>
  <c r="ID538" i="40" s="1"/>
  <c r="HU520" i="40"/>
  <c r="ID520" i="40" s="1"/>
  <c r="HU573" i="40"/>
  <c r="ID573" i="40" s="1"/>
  <c r="HU510" i="40"/>
  <c r="ID510" i="40" s="1"/>
  <c r="HU539" i="40"/>
  <c r="ID539" i="40" s="1"/>
  <c r="HU549" i="40"/>
  <c r="ID549" i="40" s="1"/>
  <c r="HU555" i="40"/>
  <c r="ID555" i="40" s="1"/>
  <c r="HU529" i="40"/>
  <c r="ID529" i="40" s="1"/>
  <c r="HU541" i="40"/>
  <c r="ID541" i="40" s="1"/>
  <c r="HU517" i="40"/>
  <c r="ID517" i="40" s="1"/>
  <c r="HU562" i="40"/>
  <c r="ID562" i="40" s="1"/>
  <c r="HU501" i="40"/>
  <c r="ID501" i="40" s="1"/>
  <c r="HU559" i="40"/>
  <c r="ID559" i="40" s="1"/>
  <c r="HU567" i="40"/>
  <c r="ID567" i="40" s="1"/>
  <c r="HU511" i="40"/>
  <c r="ID511" i="40" s="1"/>
  <c r="HU537" i="40"/>
  <c r="ID537" i="40" s="1"/>
  <c r="HU505" i="40"/>
  <c r="ID505" i="40" s="1"/>
  <c r="HU509" i="40"/>
  <c r="ID509" i="40" s="1"/>
  <c r="HU540" i="40"/>
  <c r="ID540" i="40" s="1"/>
  <c r="HU525" i="40"/>
  <c r="ID525" i="40" s="1"/>
  <c r="HU575" i="40"/>
  <c r="ID575" i="40" s="1"/>
  <c r="HU519" i="40"/>
  <c r="ID519" i="40" s="1"/>
  <c r="IF323" i="40"/>
  <c r="IB373" i="40"/>
  <c r="IF334" i="40"/>
  <c r="IB356" i="40"/>
  <c r="IF356" i="40" s="1"/>
  <c r="IF352" i="40"/>
  <c r="IB354" i="40"/>
  <c r="IE316" i="40"/>
  <c r="IG316" i="40"/>
  <c r="IF374" i="40"/>
  <c r="IB322" i="40"/>
  <c r="IE363" i="40"/>
  <c r="IG363" i="40"/>
  <c r="IF364" i="40"/>
  <c r="HS602" i="40"/>
  <c r="HS656" i="40"/>
  <c r="HS611" i="40"/>
  <c r="HS636" i="40"/>
  <c r="HS604" i="40"/>
  <c r="HS647" i="40"/>
  <c r="HS672" i="40"/>
  <c r="HS650" i="40"/>
  <c r="HS653" i="40"/>
  <c r="HS644" i="40"/>
  <c r="HS667" i="40"/>
  <c r="HS665" i="40"/>
  <c r="IF367" i="40"/>
  <c r="IF359" i="40"/>
  <c r="IB306" i="40"/>
  <c r="IF306" i="40" s="1"/>
  <c r="IF360" i="40"/>
  <c r="IB342" i="40"/>
  <c r="IF348" i="40"/>
  <c r="IE320" i="40"/>
  <c r="IG320" i="40"/>
  <c r="IF315" i="40"/>
  <c r="KT156" i="40"/>
  <c r="KU155" i="40"/>
  <c r="IF309" i="40"/>
  <c r="IF301" i="40"/>
  <c r="IF318" i="40"/>
  <c r="IF357" i="40"/>
  <c r="IB325" i="40"/>
  <c r="IE307" i="40"/>
  <c r="IG307" i="40"/>
  <c r="IF310" i="40"/>
  <c r="AQ357" i="40" l="1"/>
  <c r="IB586" i="40"/>
  <c r="IE586" i="40" s="1"/>
  <c r="JI587" i="40"/>
  <c r="JK587" i="40" s="1"/>
  <c r="IB585" i="40"/>
  <c r="IE585" i="40" s="1"/>
  <c r="JI584" i="40"/>
  <c r="JK584" i="40" s="1"/>
  <c r="IB584" i="40"/>
  <c r="IE584" i="40" s="1"/>
  <c r="IB587" i="40"/>
  <c r="IE587" i="40" s="1"/>
  <c r="JI586" i="40"/>
  <c r="JK586" i="40" s="1"/>
  <c r="JI583" i="40"/>
  <c r="JK583" i="40" s="1"/>
  <c r="JI688" i="40"/>
  <c r="IC688" i="40"/>
  <c r="JB688" i="40" s="1"/>
  <c r="IM688" i="40" s="1"/>
  <c r="AQ377" i="40"/>
  <c r="ID688" i="40"/>
  <c r="JC688" i="40" s="1"/>
  <c r="IN688" i="40" s="1"/>
  <c r="ID487" i="40"/>
  <c r="HU687" i="40"/>
  <c r="IC484" i="40"/>
  <c r="HT684" i="40"/>
  <c r="JI484" i="40"/>
  <c r="JK484" i="40" s="1"/>
  <c r="ID486" i="40"/>
  <c r="HU686" i="40"/>
  <c r="IC487" i="40"/>
  <c r="HT687" i="40"/>
  <c r="JI487" i="40"/>
  <c r="JK487" i="40" s="1"/>
  <c r="ID485" i="40"/>
  <c r="HU685" i="40"/>
  <c r="IC486" i="40"/>
  <c r="HT686" i="40"/>
  <c r="JI486" i="40"/>
  <c r="JK486" i="40" s="1"/>
  <c r="ID484" i="40"/>
  <c r="HU684" i="40"/>
  <c r="IC485" i="40"/>
  <c r="HT685" i="40"/>
  <c r="JI485" i="40"/>
  <c r="JK485" i="40" s="1"/>
  <c r="AQ379" i="40"/>
  <c r="IC483" i="40"/>
  <c r="IB483" i="40" s="1"/>
  <c r="IE483" i="40" s="1"/>
  <c r="JI483" i="40"/>
  <c r="JK483" i="40" s="1"/>
  <c r="AQ383" i="40"/>
  <c r="W46" i="67"/>
  <c r="JI581" i="40"/>
  <c r="JK581" i="40" s="1"/>
  <c r="IB580" i="40"/>
  <c r="IE580" i="40" s="1"/>
  <c r="IB576" i="40"/>
  <c r="IE576" i="40" s="1"/>
  <c r="IB583" i="40"/>
  <c r="IE583" i="40" s="1"/>
  <c r="IB579" i="40"/>
  <c r="IE579" i="40" s="1"/>
  <c r="JI578" i="40"/>
  <c r="JK578" i="40" s="1"/>
  <c r="IB582" i="40"/>
  <c r="IE582" i="40" s="1"/>
  <c r="IB578" i="40"/>
  <c r="IE578" i="40" s="1"/>
  <c r="JI582" i="40"/>
  <c r="JK582" i="40" s="1"/>
  <c r="JI576" i="40"/>
  <c r="JK576" i="40" s="1"/>
  <c r="IB581" i="40"/>
  <c r="IE581" i="40" s="1"/>
  <c r="IB577" i="40"/>
  <c r="IE577" i="40" s="1"/>
  <c r="JI579" i="40"/>
  <c r="JK579" i="40" s="1"/>
  <c r="IC479" i="40"/>
  <c r="JI479" i="40"/>
  <c r="JK479" i="40" s="1"/>
  <c r="IC482" i="40"/>
  <c r="JI482" i="40"/>
  <c r="JK482" i="40" s="1"/>
  <c r="IC478" i="40"/>
  <c r="JI478" i="40"/>
  <c r="JK478" i="40" s="1"/>
  <c r="IC481" i="40"/>
  <c r="JI481" i="40"/>
  <c r="JK481" i="40" s="1"/>
  <c r="IC477" i="40"/>
  <c r="JI477" i="40"/>
  <c r="JK477" i="40" s="1"/>
  <c r="AQ381" i="40"/>
  <c r="IC480" i="40"/>
  <c r="JI480" i="40"/>
  <c r="JK480" i="40" s="1"/>
  <c r="IC476" i="40"/>
  <c r="JI476" i="40"/>
  <c r="JK476" i="40" s="1"/>
  <c r="JD379" i="40"/>
  <c r="KP379" i="40"/>
  <c r="AQ376" i="40"/>
  <c r="JL377" i="40"/>
  <c r="JM377" i="40" s="1"/>
  <c r="JL383" i="40"/>
  <c r="AQ382" i="40"/>
  <c r="JD376" i="40"/>
  <c r="KP376" i="40"/>
  <c r="AQ378" i="40"/>
  <c r="JL376" i="40"/>
  <c r="JL381" i="40"/>
  <c r="JD378" i="40"/>
  <c r="KP378" i="40"/>
  <c r="JD377" i="40"/>
  <c r="KP377" i="40"/>
  <c r="AQ380" i="40"/>
  <c r="JD380" i="40"/>
  <c r="KP380" i="40"/>
  <c r="JL378" i="40"/>
  <c r="JM378" i="40" s="1"/>
  <c r="JL379" i="40"/>
  <c r="JD383" i="40"/>
  <c r="KP383" i="40"/>
  <c r="JD382" i="40"/>
  <c r="KP382" i="40"/>
  <c r="JI560" i="40"/>
  <c r="JK560" i="40" s="1"/>
  <c r="JL380" i="40"/>
  <c r="JM380" i="40" s="1"/>
  <c r="JL382" i="40"/>
  <c r="JM382" i="40" s="1"/>
  <c r="JD381" i="40"/>
  <c r="KP381" i="40"/>
  <c r="HS682" i="40"/>
  <c r="HS678" i="40"/>
  <c r="IB516" i="40"/>
  <c r="IE516" i="40" s="1"/>
  <c r="AQ332" i="40"/>
  <c r="HS681" i="40"/>
  <c r="HS676" i="40"/>
  <c r="JI516" i="40"/>
  <c r="JK516" i="40" s="1"/>
  <c r="AQ301" i="40"/>
  <c r="AQ315" i="40"/>
  <c r="AQ311" i="40"/>
  <c r="AQ328" i="40"/>
  <c r="HT277" i="40"/>
  <c r="HT276" i="40"/>
  <c r="HT278" i="40"/>
  <c r="HT279" i="40"/>
  <c r="HT280" i="40"/>
  <c r="HT281" i="40"/>
  <c r="HT282" i="40"/>
  <c r="HT283" i="40"/>
  <c r="HS680" i="40"/>
  <c r="HS677" i="40"/>
  <c r="IB560" i="40"/>
  <c r="IE560" i="40" s="1"/>
  <c r="IB503" i="40"/>
  <c r="IF503" i="40" s="1"/>
  <c r="HU276" i="40"/>
  <c r="HU277" i="40"/>
  <c r="HU278" i="40"/>
  <c r="HU279" i="40"/>
  <c r="HU280" i="40"/>
  <c r="HU281" i="40"/>
  <c r="HU282" i="40"/>
  <c r="HU283" i="40"/>
  <c r="JI283" i="40"/>
  <c r="JK283" i="40" s="1"/>
  <c r="HS683" i="40"/>
  <c r="JI683" i="40" s="1"/>
  <c r="HS679" i="40"/>
  <c r="JI503" i="40"/>
  <c r="JK503" i="40" s="1"/>
  <c r="AQ333" i="40"/>
  <c r="AQ364" i="40"/>
  <c r="AQ345" i="40"/>
  <c r="AQ352" i="40"/>
  <c r="AQ323" i="40"/>
  <c r="IB568" i="40"/>
  <c r="IE568" i="40" s="1"/>
  <c r="AQ344" i="40"/>
  <c r="IB527" i="40"/>
  <c r="IE527" i="40" s="1"/>
  <c r="AQ318" i="40"/>
  <c r="AQ348" i="40"/>
  <c r="AQ359" i="40"/>
  <c r="AQ317" i="40"/>
  <c r="JI520" i="40"/>
  <c r="JK520" i="40" s="1"/>
  <c r="IB548" i="40"/>
  <c r="IE548" i="40" s="1"/>
  <c r="IB531" i="40"/>
  <c r="IE531" i="40" s="1"/>
  <c r="AQ303" i="40"/>
  <c r="JI554" i="40"/>
  <c r="JK554" i="40" s="1"/>
  <c r="IB502" i="40"/>
  <c r="IE502" i="40" s="1"/>
  <c r="JI532" i="40"/>
  <c r="JK532" i="40" s="1"/>
  <c r="JI502" i="40"/>
  <c r="JK502" i="40" s="1"/>
  <c r="H7" i="59" s="1"/>
  <c r="IB554" i="40"/>
  <c r="IE554" i="40" s="1"/>
  <c r="IB522" i="40"/>
  <c r="IE522" i="40" s="1"/>
  <c r="IB565" i="40"/>
  <c r="IE565" i="40" s="1"/>
  <c r="IB532" i="40"/>
  <c r="IE532" i="40" s="1"/>
  <c r="JI522" i="40"/>
  <c r="JK522" i="40" s="1"/>
  <c r="JI565" i="40"/>
  <c r="JK565" i="40" s="1"/>
  <c r="JI558" i="40"/>
  <c r="JK558" i="40" s="1"/>
  <c r="JI541" i="40"/>
  <c r="JK541" i="40" s="1"/>
  <c r="IB508" i="40"/>
  <c r="IE508" i="40" s="1"/>
  <c r="IB558" i="40"/>
  <c r="IE558" i="40" s="1"/>
  <c r="JI568" i="40"/>
  <c r="JK568" i="40" s="1"/>
  <c r="JI527" i="40"/>
  <c r="JK527" i="40" s="1"/>
  <c r="JI508" i="40"/>
  <c r="JK508" i="40" s="1"/>
  <c r="JI548" i="40"/>
  <c r="JK548" i="40" s="1"/>
  <c r="AQ341" i="40"/>
  <c r="AQ365" i="40"/>
  <c r="JI531" i="40"/>
  <c r="JK531" i="40" s="1"/>
  <c r="AQ374" i="40"/>
  <c r="IB541" i="40"/>
  <c r="IE541" i="40" s="1"/>
  <c r="IB520" i="40"/>
  <c r="IE520" i="40" s="1"/>
  <c r="IB574" i="40"/>
  <c r="IE574" i="40" s="1"/>
  <c r="AQ310" i="40"/>
  <c r="AQ305" i="40"/>
  <c r="AQ353" i="40"/>
  <c r="AQ327" i="40"/>
  <c r="JI574" i="40"/>
  <c r="JK574" i="40" s="1"/>
  <c r="AQ340" i="40"/>
  <c r="AQ304" i="40"/>
  <c r="AQ349" i="40"/>
  <c r="AQ358" i="40"/>
  <c r="JD336" i="40"/>
  <c r="JR336" i="40" s="1"/>
  <c r="KP371" i="40"/>
  <c r="IB575" i="40"/>
  <c r="IE575" i="40" s="1"/>
  <c r="JI575" i="40"/>
  <c r="JK575" i="40" s="1"/>
  <c r="JD363" i="40"/>
  <c r="JQ363" i="40" s="1"/>
  <c r="IB563" i="40"/>
  <c r="IE563" i="40" s="1"/>
  <c r="JI563" i="40"/>
  <c r="JK563" i="40" s="1"/>
  <c r="AQ324" i="40"/>
  <c r="JD307" i="40"/>
  <c r="KP307" i="40"/>
  <c r="AB42" i="59"/>
  <c r="IE322" i="40"/>
  <c r="IG322" i="40"/>
  <c r="IE354" i="40"/>
  <c r="IG354" i="40"/>
  <c r="IE373" i="40"/>
  <c r="IG373" i="40"/>
  <c r="JI552" i="40"/>
  <c r="JK552" i="40" s="1"/>
  <c r="JI562" i="40"/>
  <c r="JK562" i="40" s="1"/>
  <c r="JI519" i="40"/>
  <c r="JK519" i="40" s="1"/>
  <c r="JI547" i="40"/>
  <c r="JK547" i="40" s="1"/>
  <c r="JI544" i="40"/>
  <c r="JK544" i="40" s="1"/>
  <c r="JI536" i="40"/>
  <c r="JK536" i="40" s="1"/>
  <c r="JI517" i="40"/>
  <c r="JK517" i="40" s="1"/>
  <c r="JI549" i="40"/>
  <c r="JK549" i="40" s="1"/>
  <c r="JI510" i="40"/>
  <c r="JK510" i="40" s="1"/>
  <c r="F19" i="59" s="1"/>
  <c r="JI569" i="40"/>
  <c r="JK569" i="40" s="1"/>
  <c r="IE330" i="40"/>
  <c r="IG330" i="40"/>
  <c r="AQ370" i="40"/>
  <c r="IF574" i="40"/>
  <c r="IE335" i="40"/>
  <c r="IG335" i="40"/>
  <c r="W44" i="67" s="1"/>
  <c r="IB570" i="40"/>
  <c r="IE570" i="40" s="1"/>
  <c r="IB538" i="40"/>
  <c r="IE538" i="40" s="1"/>
  <c r="JD357" i="40"/>
  <c r="KP357" i="40"/>
  <c r="JD301" i="40"/>
  <c r="KP301" i="40"/>
  <c r="IC446" i="40"/>
  <c r="JI446" i="40"/>
  <c r="JK446" i="40" s="1"/>
  <c r="IC416" i="40"/>
  <c r="JI416" i="40"/>
  <c r="JK416" i="40" s="1"/>
  <c r="IC470" i="40"/>
  <c r="IB470" i="40" s="1"/>
  <c r="JI470" i="40"/>
  <c r="JK470" i="40" s="1"/>
  <c r="IC458" i="40"/>
  <c r="IB458" i="40" s="1"/>
  <c r="JI458" i="40"/>
  <c r="JK458" i="40" s="1"/>
  <c r="IC471" i="40"/>
  <c r="JI471" i="40"/>
  <c r="JK471" i="40" s="1"/>
  <c r="IC447" i="40"/>
  <c r="JI447" i="40"/>
  <c r="JK447" i="40" s="1"/>
  <c r="IC423" i="40"/>
  <c r="IB423" i="40" s="1"/>
  <c r="JI423" i="40"/>
  <c r="JK423" i="40" s="1"/>
  <c r="IC434" i="40"/>
  <c r="IB434" i="40" s="1"/>
  <c r="JI434" i="40"/>
  <c r="JK434" i="40" s="1"/>
  <c r="IC473" i="40"/>
  <c r="JI473" i="40"/>
  <c r="JK473" i="40" s="1"/>
  <c r="IC474" i="40"/>
  <c r="JI474" i="40"/>
  <c r="JK474" i="40" s="1"/>
  <c r="IC461" i="40"/>
  <c r="IB461" i="40" s="1"/>
  <c r="IE461" i="40" s="1"/>
  <c r="JI461" i="40"/>
  <c r="JK461" i="40" s="1"/>
  <c r="IC472" i="40"/>
  <c r="IB472" i="40" s="1"/>
  <c r="JI472" i="40"/>
  <c r="JK472" i="40" s="1"/>
  <c r="IC421" i="40"/>
  <c r="JI421" i="40"/>
  <c r="JK421" i="40" s="1"/>
  <c r="IC405" i="40"/>
  <c r="JI405" i="40"/>
  <c r="JK405" i="40" s="1"/>
  <c r="IC411" i="40"/>
  <c r="JI411" i="40"/>
  <c r="JK411" i="40" s="1"/>
  <c r="G18" i="59" s="1"/>
  <c r="IC406" i="40"/>
  <c r="JI406" i="40"/>
  <c r="JK406" i="40" s="1"/>
  <c r="IC441" i="40"/>
  <c r="JI441" i="40"/>
  <c r="JK441" i="40" s="1"/>
  <c r="IC412" i="40"/>
  <c r="IB412" i="40" s="1"/>
  <c r="JI412" i="40"/>
  <c r="JK412" i="40" s="1"/>
  <c r="H18" i="59" s="1"/>
  <c r="JD360" i="40"/>
  <c r="KP360" i="40"/>
  <c r="JD347" i="40"/>
  <c r="KP347" i="40"/>
  <c r="IF322" i="40"/>
  <c r="JD352" i="40"/>
  <c r="IF373" i="40"/>
  <c r="JD331" i="40"/>
  <c r="KP331" i="40"/>
  <c r="JD328" i="40"/>
  <c r="KP328" i="40"/>
  <c r="JI572" i="40"/>
  <c r="JK572" i="40" s="1"/>
  <c r="JI540" i="40"/>
  <c r="JK540" i="40" s="1"/>
  <c r="JI511" i="40"/>
  <c r="JK511" i="40" s="1"/>
  <c r="G19" i="59" s="1"/>
  <c r="JI550" i="40"/>
  <c r="JK550" i="40" s="1"/>
  <c r="JI529" i="40"/>
  <c r="JK529" i="40" s="1"/>
  <c r="JI501" i="40"/>
  <c r="JK501" i="40" s="1"/>
  <c r="JI551" i="40"/>
  <c r="JK551" i="40" s="1"/>
  <c r="JI509" i="40"/>
  <c r="JK509" i="40" s="1"/>
  <c r="E19" i="59" s="1"/>
  <c r="JI506" i="40"/>
  <c r="JK506" i="40" s="1"/>
  <c r="JI553" i="40"/>
  <c r="JK553" i="40" s="1"/>
  <c r="JI567" i="40"/>
  <c r="JK567" i="40" s="1"/>
  <c r="JI515" i="40"/>
  <c r="JK515" i="40" s="1"/>
  <c r="JI573" i="40"/>
  <c r="JK573" i="40" s="1"/>
  <c r="JI521" i="40"/>
  <c r="JK521" i="40" s="1"/>
  <c r="KP340" i="40"/>
  <c r="JD329" i="40"/>
  <c r="KP329" i="40"/>
  <c r="AQ336" i="40"/>
  <c r="AQ371" i="40"/>
  <c r="AQ363" i="40"/>
  <c r="JD304" i="40"/>
  <c r="KP304" i="40"/>
  <c r="AQ366" i="40"/>
  <c r="JI507" i="40"/>
  <c r="JK507" i="40" s="1"/>
  <c r="JD315" i="40"/>
  <c r="KP315" i="40"/>
  <c r="AQ367" i="40"/>
  <c r="AQ368" i="40"/>
  <c r="KP353" i="40"/>
  <c r="JD327" i="40"/>
  <c r="JD324" i="40"/>
  <c r="KP324" i="40"/>
  <c r="JD308" i="40"/>
  <c r="KP308" i="40"/>
  <c r="JD362" i="40"/>
  <c r="KP362" i="40"/>
  <c r="KP323" i="40"/>
  <c r="IE342" i="40"/>
  <c r="IG342" i="40"/>
  <c r="IE325" i="40"/>
  <c r="IG325" i="40"/>
  <c r="W40" i="67" s="1"/>
  <c r="JD309" i="40"/>
  <c r="AQ309" i="40"/>
  <c r="IE351" i="40"/>
  <c r="IG351" i="40"/>
  <c r="IE361" i="40"/>
  <c r="IG361" i="40"/>
  <c r="IB542" i="40"/>
  <c r="IE542" i="40" s="1"/>
  <c r="IB534" i="40"/>
  <c r="IE534" i="40" s="1"/>
  <c r="IB564" i="40"/>
  <c r="IE564" i="40" s="1"/>
  <c r="IB559" i="40"/>
  <c r="IE559" i="40" s="1"/>
  <c r="IB512" i="40"/>
  <c r="IE512" i="40" s="1"/>
  <c r="IB526" i="40"/>
  <c r="IE526" i="40" s="1"/>
  <c r="IB528" i="40"/>
  <c r="IE528" i="40" s="1"/>
  <c r="IB557" i="40"/>
  <c r="IE557" i="40" s="1"/>
  <c r="IB504" i="40"/>
  <c r="IE504" i="40" s="1"/>
  <c r="IE339" i="40"/>
  <c r="IG339" i="40"/>
  <c r="IE350" i="40"/>
  <c r="IG350" i="40"/>
  <c r="JD370" i="40"/>
  <c r="KP370" i="40"/>
  <c r="IE321" i="40"/>
  <c r="IG321" i="40"/>
  <c r="JI570" i="40"/>
  <c r="JK570" i="40" s="1"/>
  <c r="JI538" i="40"/>
  <c r="JK538" i="40" s="1"/>
  <c r="JD310" i="40"/>
  <c r="KP310" i="40"/>
  <c r="JD318" i="40"/>
  <c r="KP318" i="40"/>
  <c r="AQ313" i="40"/>
  <c r="IC449" i="40"/>
  <c r="JI449" i="40"/>
  <c r="JK449" i="40" s="1"/>
  <c r="IC450" i="40"/>
  <c r="IB450" i="40" s="1"/>
  <c r="JI450" i="40"/>
  <c r="JK450" i="40" s="1"/>
  <c r="IC443" i="40"/>
  <c r="IB443" i="40" s="1"/>
  <c r="IE443" i="40" s="1"/>
  <c r="JI443" i="40"/>
  <c r="JK443" i="40" s="1"/>
  <c r="IC469" i="40"/>
  <c r="IB469" i="40" s="1"/>
  <c r="JI469" i="40"/>
  <c r="JK469" i="40" s="1"/>
  <c r="IC475" i="40"/>
  <c r="JI475" i="40"/>
  <c r="JK475" i="40" s="1"/>
  <c r="IC409" i="40"/>
  <c r="JI409" i="40"/>
  <c r="JK409" i="40" s="1"/>
  <c r="E18" i="59" s="1"/>
  <c r="IC466" i="40"/>
  <c r="IB466" i="40" s="1"/>
  <c r="IE466" i="40" s="1"/>
  <c r="JI466" i="40"/>
  <c r="JK466" i="40" s="1"/>
  <c r="IC417" i="40"/>
  <c r="IB417" i="40" s="1"/>
  <c r="JI417" i="40"/>
  <c r="JK417" i="40" s="1"/>
  <c r="IC454" i="40"/>
  <c r="JI454" i="40"/>
  <c r="JK454" i="40" s="1"/>
  <c r="IC414" i="40"/>
  <c r="IB414" i="40" s="1"/>
  <c r="JI414" i="40"/>
  <c r="JK414" i="40" s="1"/>
  <c r="IC459" i="40"/>
  <c r="IB459" i="40" s="1"/>
  <c r="IE459" i="40" s="1"/>
  <c r="JI459" i="40"/>
  <c r="JK459" i="40" s="1"/>
  <c r="IC453" i="40"/>
  <c r="IB453" i="40" s="1"/>
  <c r="JI453" i="40"/>
  <c r="JK453" i="40" s="1"/>
  <c r="IC444" i="40"/>
  <c r="JI444" i="40"/>
  <c r="JK444" i="40" s="1"/>
  <c r="IC465" i="40"/>
  <c r="IB465" i="40" s="1"/>
  <c r="JI465" i="40"/>
  <c r="JK465" i="40" s="1"/>
  <c r="IC429" i="40"/>
  <c r="IB429" i="40" s="1"/>
  <c r="JI429" i="40"/>
  <c r="JK429" i="40" s="1"/>
  <c r="IC462" i="40"/>
  <c r="IB462" i="40" s="1"/>
  <c r="JI462" i="40"/>
  <c r="JK462" i="40" s="1"/>
  <c r="IC452" i="40"/>
  <c r="JI452" i="40"/>
  <c r="JK452" i="40" s="1"/>
  <c r="IC439" i="40"/>
  <c r="JI439" i="40"/>
  <c r="JK439" i="40" s="1"/>
  <c r="IC432" i="40"/>
  <c r="IB432" i="40" s="1"/>
  <c r="JI432" i="40"/>
  <c r="JK432" i="40" s="1"/>
  <c r="JD348" i="40"/>
  <c r="HT267" i="40"/>
  <c r="HT275" i="40"/>
  <c r="HT265" i="40"/>
  <c r="HT246" i="40"/>
  <c r="HT233" i="40"/>
  <c r="HT243" i="40"/>
  <c r="HT239" i="40"/>
  <c r="HT237" i="40"/>
  <c r="HT235" i="40"/>
  <c r="HT255" i="40"/>
  <c r="HT252" i="40"/>
  <c r="HT231" i="40"/>
  <c r="HT225" i="40"/>
  <c r="HT224" i="40"/>
  <c r="HT256" i="40"/>
  <c r="HT249" i="40"/>
  <c r="HT247" i="40"/>
  <c r="HT236" i="40"/>
  <c r="HT232" i="40"/>
  <c r="HT206" i="40"/>
  <c r="HT238" i="40"/>
  <c r="HT210" i="40"/>
  <c r="HT272" i="40"/>
  <c r="HT268" i="40"/>
  <c r="HT264" i="40"/>
  <c r="HT261" i="40"/>
  <c r="HT259" i="40"/>
  <c r="HT217" i="40"/>
  <c r="HT214" i="40"/>
  <c r="HT271" i="40"/>
  <c r="HT270" i="40"/>
  <c r="HT244" i="40"/>
  <c r="HT263" i="40"/>
  <c r="HT234" i="40"/>
  <c r="HT227" i="40"/>
  <c r="HT223" i="40"/>
  <c r="HT207" i="40"/>
  <c r="HT205" i="40"/>
  <c r="HT248" i="40"/>
  <c r="HT215" i="40"/>
  <c r="HT212" i="40"/>
  <c r="HT204" i="40"/>
  <c r="HT201" i="40"/>
  <c r="HT219" i="40"/>
  <c r="HT203" i="40"/>
  <c r="HT209" i="40"/>
  <c r="HT262" i="40"/>
  <c r="HT254" i="40"/>
  <c r="HT228" i="40"/>
  <c r="HT221" i="40"/>
  <c r="HT213" i="40"/>
  <c r="HT257" i="40"/>
  <c r="HT253" i="40"/>
  <c r="HT245" i="40"/>
  <c r="HT242" i="40"/>
  <c r="HT273" i="40"/>
  <c r="HT240" i="40"/>
  <c r="HT230" i="40"/>
  <c r="HT229" i="40"/>
  <c r="HT266" i="40"/>
  <c r="HT258" i="40"/>
  <c r="HT251" i="40"/>
  <c r="HT250" i="40"/>
  <c r="HT274" i="40"/>
  <c r="HT260" i="40"/>
  <c r="HT241" i="40"/>
  <c r="HT216" i="40"/>
  <c r="HT208" i="40"/>
  <c r="HT269" i="40"/>
  <c r="HT226" i="40"/>
  <c r="HT222" i="40"/>
  <c r="HT220" i="40"/>
  <c r="HT218" i="40"/>
  <c r="HT211" i="40"/>
  <c r="HT202" i="40"/>
  <c r="JD344" i="40"/>
  <c r="IB543" i="40"/>
  <c r="IE543" i="40" s="1"/>
  <c r="IB555" i="40"/>
  <c r="IE555" i="40" s="1"/>
  <c r="IB566" i="40"/>
  <c r="IE566" i="40" s="1"/>
  <c r="IB530" i="40"/>
  <c r="IE530" i="40" s="1"/>
  <c r="IB525" i="40"/>
  <c r="IE525" i="40" s="1"/>
  <c r="IB533" i="40"/>
  <c r="IE533" i="40" s="1"/>
  <c r="IB545" i="40"/>
  <c r="IE545" i="40" s="1"/>
  <c r="IB546" i="40"/>
  <c r="IE546" i="40" s="1"/>
  <c r="IB514" i="40"/>
  <c r="IE514" i="40" s="1"/>
  <c r="IB556" i="40"/>
  <c r="IE556" i="40" s="1"/>
  <c r="IB524" i="40"/>
  <c r="IE524" i="40" s="1"/>
  <c r="IB571" i="40"/>
  <c r="IE571" i="40" s="1"/>
  <c r="IB523" i="40"/>
  <c r="IE523" i="40" s="1"/>
  <c r="IB535" i="40"/>
  <c r="IE535" i="40" s="1"/>
  <c r="IB505" i="40"/>
  <c r="IE505" i="40" s="1"/>
  <c r="JD317" i="40"/>
  <c r="KP317" i="40"/>
  <c r="JD340" i="40"/>
  <c r="IF330" i="40"/>
  <c r="AQ316" i="40"/>
  <c r="IF321" i="40"/>
  <c r="IE372" i="40"/>
  <c r="IG372" i="40"/>
  <c r="JD303" i="40"/>
  <c r="KP303" i="40"/>
  <c r="IE319" i="40"/>
  <c r="IG319" i="40"/>
  <c r="W34" i="67" s="1"/>
  <c r="IB518" i="40"/>
  <c r="IE518" i="40" s="1"/>
  <c r="IB513" i="40"/>
  <c r="IE513" i="40" s="1"/>
  <c r="IF342" i="40"/>
  <c r="JD367" i="40"/>
  <c r="KP367" i="40"/>
  <c r="JD368" i="40"/>
  <c r="KP368" i="40"/>
  <c r="KP327" i="40"/>
  <c r="JD341" i="40"/>
  <c r="JD313" i="40"/>
  <c r="KP313" i="40"/>
  <c r="JD369" i="40"/>
  <c r="KP369" i="40"/>
  <c r="IE503" i="40"/>
  <c r="I7" i="70"/>
  <c r="I66" i="70"/>
  <c r="AQ302" i="40"/>
  <c r="AT17" i="67"/>
  <c r="JD366" i="40"/>
  <c r="KP366" i="40"/>
  <c r="JI542" i="40"/>
  <c r="JK542" i="40" s="1"/>
  <c r="JI534" i="40"/>
  <c r="JK534" i="40" s="1"/>
  <c r="JI564" i="40"/>
  <c r="JK564" i="40" s="1"/>
  <c r="JI559" i="40"/>
  <c r="JK559" i="40" s="1"/>
  <c r="JI512" i="40"/>
  <c r="JK512" i="40" s="1"/>
  <c r="H19" i="59" s="1"/>
  <c r="JI526" i="40"/>
  <c r="JK526" i="40" s="1"/>
  <c r="JI528" i="40"/>
  <c r="JK528" i="40" s="1"/>
  <c r="JI557" i="40"/>
  <c r="JK557" i="40" s="1"/>
  <c r="JI504" i="40"/>
  <c r="JK504" i="40" s="1"/>
  <c r="JD371" i="40"/>
  <c r="Z42" i="59"/>
  <c r="IB539" i="40"/>
  <c r="IE539" i="40" s="1"/>
  <c r="IB561" i="40"/>
  <c r="IE561" i="40" s="1"/>
  <c r="IB537" i="40"/>
  <c r="IE537" i="40" s="1"/>
  <c r="IF325" i="40"/>
  <c r="V40" i="67" s="1"/>
  <c r="IC442" i="40"/>
  <c r="IB442" i="40" s="1"/>
  <c r="JI442" i="40"/>
  <c r="JK442" i="40" s="1"/>
  <c r="IC422" i="40"/>
  <c r="JI422" i="40"/>
  <c r="JK422" i="40" s="1"/>
  <c r="IC408" i="40"/>
  <c r="JI408" i="40"/>
  <c r="JK408" i="40" s="1"/>
  <c r="IC463" i="40"/>
  <c r="IB463" i="40" s="1"/>
  <c r="IE463" i="40" s="1"/>
  <c r="JI463" i="40"/>
  <c r="JK463" i="40" s="1"/>
  <c r="IC410" i="40"/>
  <c r="IB410" i="40" s="1"/>
  <c r="JI410" i="40"/>
  <c r="JK410" i="40" s="1"/>
  <c r="F18" i="59" s="1"/>
  <c r="IC433" i="40"/>
  <c r="JI433" i="40"/>
  <c r="JK433" i="40" s="1"/>
  <c r="IC428" i="40"/>
  <c r="JI428" i="40"/>
  <c r="JK428" i="40" s="1"/>
  <c r="IC419" i="40"/>
  <c r="IB419" i="40" s="1"/>
  <c r="IE419" i="40" s="1"/>
  <c r="JI419" i="40"/>
  <c r="JK419" i="40" s="1"/>
  <c r="IC401" i="40"/>
  <c r="IB401" i="40" s="1"/>
  <c r="JI401" i="40"/>
  <c r="JK401" i="40" s="1"/>
  <c r="IC468" i="40"/>
  <c r="JI468" i="40"/>
  <c r="JK468" i="40" s="1"/>
  <c r="IC407" i="40"/>
  <c r="JI407" i="40"/>
  <c r="JK407" i="40" s="1"/>
  <c r="IC424" i="40"/>
  <c r="IB424" i="40" s="1"/>
  <c r="IE424" i="40" s="1"/>
  <c r="JI424" i="40"/>
  <c r="JK424" i="40" s="1"/>
  <c r="IC430" i="40"/>
  <c r="IB430" i="40" s="1"/>
  <c r="JI430" i="40"/>
  <c r="JK430" i="40" s="1"/>
  <c r="IC425" i="40"/>
  <c r="JI425" i="40"/>
  <c r="JK425" i="40" s="1"/>
  <c r="IC455" i="40"/>
  <c r="IB455" i="40" s="1"/>
  <c r="IE455" i="40" s="1"/>
  <c r="JI455" i="40"/>
  <c r="JK455" i="40" s="1"/>
  <c r="IC436" i="40"/>
  <c r="IB436" i="40" s="1"/>
  <c r="IE436" i="40" s="1"/>
  <c r="JI436" i="40"/>
  <c r="JK436" i="40" s="1"/>
  <c r="IC404" i="40"/>
  <c r="IB404" i="40" s="1"/>
  <c r="JI404" i="40"/>
  <c r="JK404" i="40" s="1"/>
  <c r="IC418" i="40"/>
  <c r="JI418" i="40"/>
  <c r="JK418" i="40" s="1"/>
  <c r="IC426" i="40"/>
  <c r="IB426" i="40" s="1"/>
  <c r="IE426" i="40" s="1"/>
  <c r="JI426" i="40"/>
  <c r="JK426" i="40" s="1"/>
  <c r="KP348" i="40"/>
  <c r="JD359" i="40"/>
  <c r="KP359" i="40"/>
  <c r="JD365" i="40"/>
  <c r="KP365" i="40"/>
  <c r="AQ334" i="40"/>
  <c r="HU272" i="40"/>
  <c r="HU264" i="40"/>
  <c r="HU223" i="40"/>
  <c r="HU212" i="40"/>
  <c r="HU201" i="40"/>
  <c r="HU267" i="40"/>
  <c r="HU251" i="40"/>
  <c r="HU249" i="40"/>
  <c r="HU238" i="40"/>
  <c r="HU221" i="40"/>
  <c r="HU262" i="40"/>
  <c r="HU236" i="40"/>
  <c r="HU275" i="40"/>
  <c r="HU270" i="40"/>
  <c r="HU259" i="40"/>
  <c r="HU230" i="40"/>
  <c r="HU229" i="40"/>
  <c r="HU222" i="40"/>
  <c r="HU211" i="40"/>
  <c r="HU209" i="40"/>
  <c r="HU202" i="40"/>
  <c r="HU234" i="40"/>
  <c r="HU246" i="40"/>
  <c r="HU219" i="40"/>
  <c r="HU215" i="40"/>
  <c r="HU226" i="40"/>
  <c r="HU220" i="40"/>
  <c r="HU218" i="40"/>
  <c r="HU207" i="40"/>
  <c r="HU265" i="40"/>
  <c r="HU256" i="40"/>
  <c r="HU254" i="40"/>
  <c r="HU233" i="40"/>
  <c r="HU232" i="40"/>
  <c r="HU225" i="40"/>
  <c r="HU216" i="40"/>
  <c r="HU205" i="40"/>
  <c r="HU258" i="40"/>
  <c r="HU243" i="40"/>
  <c r="HU240" i="40"/>
  <c r="HU206" i="40"/>
  <c r="HU263" i="40"/>
  <c r="HU257" i="40"/>
  <c r="HU239" i="40"/>
  <c r="HU224" i="40"/>
  <c r="HU217" i="40"/>
  <c r="HU203" i="40"/>
  <c r="HU255" i="40"/>
  <c r="HU252" i="40"/>
  <c r="HU250" i="40"/>
  <c r="HU248" i="40"/>
  <c r="HU244" i="40"/>
  <c r="HU237" i="40"/>
  <c r="HU268" i="40"/>
  <c r="HU269" i="40"/>
  <c r="HU247" i="40"/>
  <c r="HU245" i="40"/>
  <c r="HU242" i="40"/>
  <c r="HU227" i="40"/>
  <c r="HU266" i="40"/>
  <c r="HU271" i="40"/>
  <c r="HU260" i="40"/>
  <c r="HU261" i="40"/>
  <c r="HU228" i="40"/>
  <c r="HU213" i="40"/>
  <c r="HU214" i="40"/>
  <c r="HU274" i="40"/>
  <c r="HU273" i="40"/>
  <c r="HU253" i="40"/>
  <c r="HU241" i="40"/>
  <c r="HU231" i="40"/>
  <c r="HU235" i="40"/>
  <c r="HU208" i="40"/>
  <c r="HU210" i="40"/>
  <c r="HU204" i="40"/>
  <c r="KP344" i="40"/>
  <c r="JI543" i="40"/>
  <c r="JK543" i="40" s="1"/>
  <c r="JI555" i="40"/>
  <c r="JK555" i="40" s="1"/>
  <c r="JI566" i="40"/>
  <c r="JK566" i="40" s="1"/>
  <c r="JI530" i="40"/>
  <c r="JK530" i="40" s="1"/>
  <c r="JI525" i="40"/>
  <c r="JK525" i="40" s="1"/>
  <c r="JI533" i="40"/>
  <c r="JK533" i="40" s="1"/>
  <c r="JI545" i="40"/>
  <c r="JK545" i="40" s="1"/>
  <c r="JI546" i="40"/>
  <c r="JK546" i="40" s="1"/>
  <c r="JI514" i="40"/>
  <c r="JK514" i="40" s="1"/>
  <c r="JI556" i="40"/>
  <c r="JK556" i="40" s="1"/>
  <c r="JI524" i="40"/>
  <c r="JK524" i="40" s="1"/>
  <c r="JI571" i="40"/>
  <c r="JK571" i="40" s="1"/>
  <c r="JI523" i="40"/>
  <c r="JK523" i="40" s="1"/>
  <c r="JI535" i="40"/>
  <c r="JK535" i="40" s="1"/>
  <c r="JI505" i="40"/>
  <c r="JK505" i="40" s="1"/>
  <c r="IF339" i="40"/>
  <c r="IF350" i="40"/>
  <c r="AQ320" i="40"/>
  <c r="AQ312" i="40"/>
  <c r="KP345" i="40"/>
  <c r="IF335" i="40"/>
  <c r="JI518" i="40"/>
  <c r="JK518" i="40" s="1"/>
  <c r="JI513" i="40"/>
  <c r="JK513" i="40" s="1"/>
  <c r="IF354" i="40"/>
  <c r="IF361" i="40"/>
  <c r="JD302" i="40"/>
  <c r="AS17" i="67"/>
  <c r="KP302" i="40"/>
  <c r="IF319" i="40"/>
  <c r="JD374" i="40"/>
  <c r="KP374" i="40"/>
  <c r="JD358" i="40"/>
  <c r="KP358" i="40"/>
  <c r="KP341" i="40"/>
  <c r="JD320" i="40"/>
  <c r="KP320" i="40"/>
  <c r="IE306" i="40"/>
  <c r="IG306" i="40"/>
  <c r="IE356" i="40"/>
  <c r="IG356" i="40"/>
  <c r="KU156" i="40"/>
  <c r="KT157" i="40"/>
  <c r="KP363" i="40"/>
  <c r="JD316" i="40"/>
  <c r="KP316" i="40"/>
  <c r="IE355" i="40"/>
  <c r="IG355" i="40"/>
  <c r="IE326" i="40"/>
  <c r="IG326" i="40"/>
  <c r="IB552" i="40"/>
  <c r="IE552" i="40" s="1"/>
  <c r="IB562" i="40"/>
  <c r="IE562" i="40" s="1"/>
  <c r="IB519" i="40"/>
  <c r="IE519" i="40" s="1"/>
  <c r="IB547" i="40"/>
  <c r="IE547" i="40" s="1"/>
  <c r="IB544" i="40"/>
  <c r="IE544" i="40" s="1"/>
  <c r="IB536" i="40"/>
  <c r="IE536" i="40" s="1"/>
  <c r="IB517" i="40"/>
  <c r="IE517" i="40" s="1"/>
  <c r="IB549" i="40"/>
  <c r="IE549" i="40" s="1"/>
  <c r="IB510" i="40"/>
  <c r="IE510" i="40" s="1"/>
  <c r="IB569" i="40"/>
  <c r="IE569" i="40" s="1"/>
  <c r="IE337" i="40"/>
  <c r="IG337" i="40"/>
  <c r="KP336" i="40"/>
  <c r="JD312" i="40"/>
  <c r="KP312" i="40"/>
  <c r="IE338" i="40"/>
  <c r="IG338" i="40"/>
  <c r="IE314" i="40"/>
  <c r="IG314" i="40"/>
  <c r="IF532" i="40"/>
  <c r="AQ331" i="40"/>
  <c r="IE343" i="40"/>
  <c r="IG343" i="40"/>
  <c r="IE375" i="40"/>
  <c r="IG375" i="40"/>
  <c r="W36" i="67" s="1"/>
  <c r="JI539" i="40"/>
  <c r="JK539" i="40" s="1"/>
  <c r="JI561" i="40"/>
  <c r="JK561" i="40" s="1"/>
  <c r="JI537" i="40"/>
  <c r="JK537" i="40" s="1"/>
  <c r="JD333" i="40"/>
  <c r="KP333" i="40"/>
  <c r="KP309" i="40"/>
  <c r="IC460" i="40"/>
  <c r="JI460" i="40"/>
  <c r="JK460" i="40" s="1"/>
  <c r="IC448" i="40"/>
  <c r="IB448" i="40" s="1"/>
  <c r="IE448" i="40" s="1"/>
  <c r="JI448" i="40"/>
  <c r="JK448" i="40" s="1"/>
  <c r="IC464" i="40"/>
  <c r="IB464" i="40" s="1"/>
  <c r="IE464" i="40" s="1"/>
  <c r="JI464" i="40"/>
  <c r="JK464" i="40" s="1"/>
  <c r="IC431" i="40"/>
  <c r="JI431" i="40"/>
  <c r="JK431" i="40" s="1"/>
  <c r="IC403" i="40"/>
  <c r="JI403" i="40"/>
  <c r="JK403" i="40" s="1"/>
  <c r="IC438" i="40"/>
  <c r="IB438" i="40" s="1"/>
  <c r="IE438" i="40" s="1"/>
  <c r="JI438" i="40"/>
  <c r="JK438" i="40" s="1"/>
  <c r="IC413" i="40"/>
  <c r="IB413" i="40" s="1"/>
  <c r="IE413" i="40" s="1"/>
  <c r="JI413" i="40"/>
  <c r="JK413" i="40" s="1"/>
  <c r="IC435" i="40"/>
  <c r="JI435" i="40"/>
  <c r="JK435" i="40" s="1"/>
  <c r="IC456" i="40"/>
  <c r="JI456" i="40"/>
  <c r="JK456" i="40" s="1"/>
  <c r="IC457" i="40"/>
  <c r="IB457" i="40" s="1"/>
  <c r="IE457" i="40" s="1"/>
  <c r="JI457" i="40"/>
  <c r="JK457" i="40" s="1"/>
  <c r="IC445" i="40"/>
  <c r="IB445" i="40" s="1"/>
  <c r="IE445" i="40" s="1"/>
  <c r="JI445" i="40"/>
  <c r="JK445" i="40" s="1"/>
  <c r="IC451" i="40"/>
  <c r="JI451" i="40"/>
  <c r="JK451" i="40" s="1"/>
  <c r="IC402" i="40"/>
  <c r="JI402" i="40"/>
  <c r="JK402" i="40" s="1"/>
  <c r="IC420" i="40"/>
  <c r="IB420" i="40" s="1"/>
  <c r="IE420" i="40" s="1"/>
  <c r="JI420" i="40"/>
  <c r="JK420" i="40" s="1"/>
  <c r="IC415" i="40"/>
  <c r="IB415" i="40" s="1"/>
  <c r="IE415" i="40" s="1"/>
  <c r="JI415" i="40"/>
  <c r="JK415" i="40" s="1"/>
  <c r="IC440" i="40"/>
  <c r="JI440" i="40"/>
  <c r="JK440" i="40" s="1"/>
  <c r="IC427" i="40"/>
  <c r="JI427" i="40"/>
  <c r="JK427" i="40" s="1"/>
  <c r="IC467" i="40"/>
  <c r="IB467" i="40" s="1"/>
  <c r="IE467" i="40" s="1"/>
  <c r="JI467" i="40"/>
  <c r="JK467" i="40" s="1"/>
  <c r="IC437" i="40"/>
  <c r="IB437" i="40" s="1"/>
  <c r="JI437" i="40"/>
  <c r="JK437" i="40" s="1"/>
  <c r="AQ360" i="40"/>
  <c r="AQ347" i="40"/>
  <c r="JD364" i="40"/>
  <c r="KP364" i="40"/>
  <c r="KP352" i="40"/>
  <c r="JD334" i="40"/>
  <c r="KP334" i="40"/>
  <c r="IB572" i="40"/>
  <c r="IE572" i="40" s="1"/>
  <c r="IB540" i="40"/>
  <c r="IE540" i="40" s="1"/>
  <c r="IB511" i="40"/>
  <c r="IE511" i="40" s="1"/>
  <c r="IB550" i="40"/>
  <c r="IE550" i="40" s="1"/>
  <c r="IB529" i="40"/>
  <c r="IE529" i="40" s="1"/>
  <c r="IB501" i="40"/>
  <c r="IE501" i="40" s="1"/>
  <c r="IB551" i="40"/>
  <c r="IE551" i="40" s="1"/>
  <c r="IB509" i="40"/>
  <c r="IE509" i="40" s="1"/>
  <c r="IB506" i="40"/>
  <c r="IE506" i="40" s="1"/>
  <c r="IB553" i="40"/>
  <c r="IE553" i="40" s="1"/>
  <c r="IB567" i="40"/>
  <c r="IE567" i="40" s="1"/>
  <c r="IB515" i="40"/>
  <c r="IE515" i="40" s="1"/>
  <c r="IB573" i="40"/>
  <c r="IE573" i="40" s="1"/>
  <c r="IB521" i="40"/>
  <c r="IE521" i="40" s="1"/>
  <c r="AQ307" i="40"/>
  <c r="IF337" i="40"/>
  <c r="AQ329" i="40"/>
  <c r="IE346" i="40"/>
  <c r="IG346" i="40"/>
  <c r="JD345" i="40"/>
  <c r="IF375" i="40"/>
  <c r="JD349" i="40"/>
  <c r="KP349" i="40"/>
  <c r="IB507" i="40"/>
  <c r="IE507" i="40" s="1"/>
  <c r="IF346" i="40"/>
  <c r="IF372" i="40"/>
  <c r="JD353" i="40"/>
  <c r="IF326" i="40"/>
  <c r="AQ308" i="40"/>
  <c r="AQ362" i="40"/>
  <c r="JD323" i="40"/>
  <c r="JD332" i="40"/>
  <c r="KP332" i="40"/>
  <c r="JD305" i="40"/>
  <c r="KP305" i="40"/>
  <c r="JD311" i="40"/>
  <c r="KP311" i="40"/>
  <c r="H31" i="59" l="1"/>
  <c r="JI685" i="40"/>
  <c r="IF575" i="40"/>
  <c r="IG538" i="40"/>
  <c r="JI687" i="40"/>
  <c r="IG585" i="40"/>
  <c r="IG584" i="40"/>
  <c r="KP584" i="40" s="1"/>
  <c r="IF585" i="40"/>
  <c r="IF586" i="40"/>
  <c r="IF584" i="40"/>
  <c r="IG587" i="40"/>
  <c r="IF587" i="40"/>
  <c r="IG520" i="40"/>
  <c r="IF563" i="40"/>
  <c r="IG563" i="40"/>
  <c r="JG584" i="40"/>
  <c r="JG585" i="40"/>
  <c r="JG586" i="40"/>
  <c r="JG587" i="40"/>
  <c r="IG570" i="40"/>
  <c r="IF527" i="40"/>
  <c r="IG586" i="40"/>
  <c r="IF570" i="40"/>
  <c r="JI686" i="40"/>
  <c r="JG688" i="40"/>
  <c r="JF688" i="40" s="1"/>
  <c r="IB688" i="40"/>
  <c r="IE688" i="40" s="1"/>
  <c r="ID684" i="40"/>
  <c r="JC684" i="40" s="1"/>
  <c r="IN684" i="40" s="1"/>
  <c r="IB487" i="40"/>
  <c r="IF487" i="40" s="1"/>
  <c r="IC687" i="40"/>
  <c r="JB687" i="40" s="1"/>
  <c r="IM687" i="40" s="1"/>
  <c r="JI684" i="40"/>
  <c r="ID685" i="40"/>
  <c r="JC685" i="40" s="1"/>
  <c r="IN685" i="40" s="1"/>
  <c r="IB484" i="40"/>
  <c r="IG484" i="40" s="1"/>
  <c r="IC684" i="40"/>
  <c r="JB684" i="40" s="1"/>
  <c r="IM684" i="40" s="1"/>
  <c r="JG484" i="40"/>
  <c r="JG485" i="40"/>
  <c r="JG486" i="40"/>
  <c r="JG487" i="40"/>
  <c r="IB485" i="40"/>
  <c r="IG485" i="40" s="1"/>
  <c r="IC685" i="40"/>
  <c r="JB685" i="40" s="1"/>
  <c r="IM685" i="40" s="1"/>
  <c r="ID686" i="40"/>
  <c r="JC686" i="40" s="1"/>
  <c r="IN686" i="40" s="1"/>
  <c r="IB486" i="40"/>
  <c r="IG486" i="40" s="1"/>
  <c r="IC686" i="40"/>
  <c r="JB686" i="40" s="1"/>
  <c r="IM686" i="40" s="1"/>
  <c r="IG487" i="40"/>
  <c r="ID687" i="40"/>
  <c r="JC687" i="40" s="1"/>
  <c r="IN687" i="40" s="1"/>
  <c r="IG579" i="40"/>
  <c r="V42" i="67"/>
  <c r="W42" i="67"/>
  <c r="IG583" i="40"/>
  <c r="IG580" i="40"/>
  <c r="IG577" i="40"/>
  <c r="IG578" i="40"/>
  <c r="IF578" i="40"/>
  <c r="IF577" i="40"/>
  <c r="IG576" i="40"/>
  <c r="IF579" i="40"/>
  <c r="IG581" i="40"/>
  <c r="IF580" i="40"/>
  <c r="IF583" i="40"/>
  <c r="IF576" i="40"/>
  <c r="JG583" i="40"/>
  <c r="JG579" i="40"/>
  <c r="JG582" i="40"/>
  <c r="JG578" i="40"/>
  <c r="JG581" i="40"/>
  <c r="JG580" i="40"/>
  <c r="JG577" i="40"/>
  <c r="JG576" i="40"/>
  <c r="IF581" i="40"/>
  <c r="IF582" i="40"/>
  <c r="IG582" i="40"/>
  <c r="IB476" i="40"/>
  <c r="JG483" i="40"/>
  <c r="JG479" i="40"/>
  <c r="JG482" i="40"/>
  <c r="JG481" i="40"/>
  <c r="JG478" i="40"/>
  <c r="JG480" i="40"/>
  <c r="JG477" i="40"/>
  <c r="JG476" i="40"/>
  <c r="IG560" i="40"/>
  <c r="IB481" i="40"/>
  <c r="IB478" i="40"/>
  <c r="IF478" i="40" s="1"/>
  <c r="IF483" i="40"/>
  <c r="IB480" i="40"/>
  <c r="JI279" i="40"/>
  <c r="JK279" i="40" s="1"/>
  <c r="IB477" i="40"/>
  <c r="IB482" i="40"/>
  <c r="IF482" i="40" s="1"/>
  <c r="IB479" i="40"/>
  <c r="IF479" i="40" s="1"/>
  <c r="IG483" i="40"/>
  <c r="JQ378" i="40"/>
  <c r="JU378" i="40" s="1"/>
  <c r="JV378" i="40" s="1"/>
  <c r="JW378" i="40" s="1"/>
  <c r="JT378" i="40"/>
  <c r="JX378" i="40" s="1"/>
  <c r="JR378" i="40"/>
  <c r="KQ378" i="40"/>
  <c r="KK382" i="40"/>
  <c r="KJ382" i="40"/>
  <c r="JS382" i="40"/>
  <c r="KI382" i="40"/>
  <c r="KQ383" i="40"/>
  <c r="JR383" i="40"/>
  <c r="JQ383" i="40"/>
  <c r="JR381" i="40"/>
  <c r="KQ381" i="40"/>
  <c r="JQ381" i="40"/>
  <c r="KJ380" i="40"/>
  <c r="JS380" i="40"/>
  <c r="KI380" i="40"/>
  <c r="KK380" i="40"/>
  <c r="KI377" i="40"/>
  <c r="JS377" i="40"/>
  <c r="KK377" i="40"/>
  <c r="KJ377" i="40"/>
  <c r="IG503" i="40"/>
  <c r="KP503" i="40" s="1"/>
  <c r="IF516" i="40"/>
  <c r="JR377" i="40"/>
  <c r="JT377" i="40"/>
  <c r="JX377" i="40" s="1"/>
  <c r="KQ377" i="40"/>
  <c r="JQ377" i="40"/>
  <c r="JU377" i="40" s="1"/>
  <c r="JV377" i="40" s="1"/>
  <c r="JW377" i="40" s="1"/>
  <c r="JM381" i="40"/>
  <c r="JT381" i="40" s="1"/>
  <c r="JX381" i="40" s="1"/>
  <c r="JM383" i="40"/>
  <c r="KJ378" i="40"/>
  <c r="JS378" i="40"/>
  <c r="KK378" i="40"/>
  <c r="KI378" i="40"/>
  <c r="IG516" i="40"/>
  <c r="JI280" i="40"/>
  <c r="JK280" i="40" s="1"/>
  <c r="JQ382" i="40"/>
  <c r="JU382" i="40" s="1"/>
  <c r="JV382" i="40" s="1"/>
  <c r="JW382" i="40" s="1"/>
  <c r="KQ382" i="40"/>
  <c r="JT382" i="40"/>
  <c r="JX382" i="40" s="1"/>
  <c r="JR382" i="40"/>
  <c r="JM379" i="40"/>
  <c r="JT379" i="40" s="1"/>
  <c r="JX379" i="40" s="1"/>
  <c r="JR380" i="40"/>
  <c r="JQ380" i="40"/>
  <c r="JU380" i="40" s="1"/>
  <c r="JV380" i="40" s="1"/>
  <c r="JW380" i="40" s="1"/>
  <c r="JT380" i="40"/>
  <c r="JX380" i="40" s="1"/>
  <c r="KQ380" i="40"/>
  <c r="JM376" i="40"/>
  <c r="JT376" i="40" s="1"/>
  <c r="JX376" i="40" s="1"/>
  <c r="KQ376" i="40"/>
  <c r="JR376" i="40"/>
  <c r="JQ376" i="40"/>
  <c r="KQ379" i="40"/>
  <c r="JR379" i="40"/>
  <c r="JQ379" i="40"/>
  <c r="ID278" i="40"/>
  <c r="HU678" i="40"/>
  <c r="IC277" i="40"/>
  <c r="HT677" i="40"/>
  <c r="IG548" i="40"/>
  <c r="ID281" i="40"/>
  <c r="HU681" i="40"/>
  <c r="ID277" i="40"/>
  <c r="HU677" i="40"/>
  <c r="IC283" i="40"/>
  <c r="HT683" i="40"/>
  <c r="IC279" i="40"/>
  <c r="HT679" i="40"/>
  <c r="JI281" i="40"/>
  <c r="JK281" i="40" s="1"/>
  <c r="JI278" i="40"/>
  <c r="JK278" i="40" s="1"/>
  <c r="ID282" i="40"/>
  <c r="HU682" i="40"/>
  <c r="IC280" i="40"/>
  <c r="HT680" i="40"/>
  <c r="IF560" i="40"/>
  <c r="AQ560" i="40" s="1"/>
  <c r="IG574" i="40"/>
  <c r="AQ574" i="40" s="1"/>
  <c r="ID280" i="40"/>
  <c r="HU680" i="40"/>
  <c r="ID276" i="40"/>
  <c r="HU676" i="40"/>
  <c r="JI277" i="40"/>
  <c r="JK277" i="40" s="1"/>
  <c r="IC282" i="40"/>
  <c r="HT682" i="40"/>
  <c r="IC278" i="40"/>
  <c r="HT678" i="40"/>
  <c r="JI678" i="40" s="1"/>
  <c r="IF522" i="40"/>
  <c r="ID283" i="40"/>
  <c r="HU683" i="40"/>
  <c r="ID279" i="40"/>
  <c r="HU679" i="40"/>
  <c r="IC281" i="40"/>
  <c r="HT681" i="40"/>
  <c r="IC276" i="40"/>
  <c r="HT676" i="40"/>
  <c r="JI276" i="40"/>
  <c r="JK276" i="40" s="1"/>
  <c r="JI282" i="40"/>
  <c r="JK282" i="40" s="1"/>
  <c r="JR363" i="40"/>
  <c r="IF531" i="40"/>
  <c r="IG527" i="40"/>
  <c r="IG565" i="40"/>
  <c r="IG571" i="40"/>
  <c r="KQ363" i="40"/>
  <c r="IG541" i="40"/>
  <c r="W48" i="69" s="1"/>
  <c r="IF542" i="40"/>
  <c r="IF558" i="40"/>
  <c r="IG558" i="40"/>
  <c r="IF512" i="40"/>
  <c r="IF502" i="40"/>
  <c r="IG568" i="40"/>
  <c r="IF555" i="40"/>
  <c r="IG542" i="40"/>
  <c r="IG522" i="40"/>
  <c r="IF548" i="40"/>
  <c r="IG535" i="40"/>
  <c r="IG512" i="40"/>
  <c r="IF568" i="40"/>
  <c r="IG502" i="40"/>
  <c r="IG559" i="40"/>
  <c r="IG531" i="40"/>
  <c r="IG508" i="40"/>
  <c r="IF564" i="40"/>
  <c r="IF546" i="40"/>
  <c r="IG564" i="40"/>
  <c r="IG546" i="40"/>
  <c r="IF554" i="40"/>
  <c r="IG575" i="40"/>
  <c r="JD575" i="40" s="1"/>
  <c r="AQ361" i="40"/>
  <c r="IF508" i="40"/>
  <c r="KP508" i="40" s="1"/>
  <c r="IF523" i="40"/>
  <c r="IG539" i="40"/>
  <c r="IG554" i="40"/>
  <c r="IF571" i="40"/>
  <c r="IG518" i="40"/>
  <c r="IF541" i="40"/>
  <c r="IF565" i="40"/>
  <c r="IG526" i="40"/>
  <c r="AQ335" i="40"/>
  <c r="AQ330" i="40"/>
  <c r="IG534" i="40"/>
  <c r="AQ339" i="40"/>
  <c r="IF520" i="40"/>
  <c r="IG532" i="40"/>
  <c r="AQ532" i="40" s="1"/>
  <c r="AQ351" i="40"/>
  <c r="AQ319" i="40"/>
  <c r="IF524" i="40"/>
  <c r="AQ325" i="40"/>
  <c r="IG561" i="40"/>
  <c r="IG505" i="40"/>
  <c r="AQ372" i="40"/>
  <c r="IF518" i="40"/>
  <c r="JQ336" i="40"/>
  <c r="AQ322" i="40"/>
  <c r="AQ373" i="40"/>
  <c r="IE423" i="40"/>
  <c r="IG423" i="40"/>
  <c r="IF556" i="40"/>
  <c r="AQ375" i="40"/>
  <c r="KP355" i="40"/>
  <c r="AQ326" i="40"/>
  <c r="AQ337" i="40"/>
  <c r="IG566" i="40"/>
  <c r="IF536" i="40"/>
  <c r="IF566" i="40"/>
  <c r="IG513" i="40"/>
  <c r="IF538" i="40"/>
  <c r="JD538" i="40" s="1"/>
  <c r="IE401" i="40"/>
  <c r="IG401" i="40"/>
  <c r="K10" i="61" s="1"/>
  <c r="IE429" i="40"/>
  <c r="IG429" i="40"/>
  <c r="IE470" i="40"/>
  <c r="IG470" i="40"/>
  <c r="IE434" i="40"/>
  <c r="IG434" i="40"/>
  <c r="IF562" i="40"/>
  <c r="KP356" i="40"/>
  <c r="IF530" i="40"/>
  <c r="IG530" i="40"/>
  <c r="IF534" i="40"/>
  <c r="IE432" i="40"/>
  <c r="IG432" i="40"/>
  <c r="IE458" i="40"/>
  <c r="IG458" i="40"/>
  <c r="IE430" i="40"/>
  <c r="IG430" i="40"/>
  <c r="JD355" i="40"/>
  <c r="JR355" i="40" s="1"/>
  <c r="IE450" i="40"/>
  <c r="IG450" i="40"/>
  <c r="IE465" i="40"/>
  <c r="IG465" i="40"/>
  <c r="IE453" i="40"/>
  <c r="IG453" i="40"/>
  <c r="IE472" i="40"/>
  <c r="IG472" i="40"/>
  <c r="IE404" i="40"/>
  <c r="IG404" i="40"/>
  <c r="IE442" i="40"/>
  <c r="IG442" i="40"/>
  <c r="IE414" i="40"/>
  <c r="IG414" i="40"/>
  <c r="IE417" i="40"/>
  <c r="IG417" i="40"/>
  <c r="IE437" i="40"/>
  <c r="IG437" i="40"/>
  <c r="IG469" i="40"/>
  <c r="IE469" i="40"/>
  <c r="JR332" i="40"/>
  <c r="JQ332" i="40"/>
  <c r="KQ332" i="40"/>
  <c r="W9" i="70"/>
  <c r="JD346" i="40"/>
  <c r="KP346" i="40"/>
  <c r="JQ364" i="40"/>
  <c r="JR364" i="40"/>
  <c r="KQ364" i="40"/>
  <c r="H6" i="59"/>
  <c r="H30" i="59" s="1"/>
  <c r="G6" i="59"/>
  <c r="G30" i="59" s="1"/>
  <c r="JR333" i="40"/>
  <c r="JQ333" i="40"/>
  <c r="KQ333" i="40"/>
  <c r="W44" i="70"/>
  <c r="JD375" i="40"/>
  <c r="AQ314" i="40"/>
  <c r="IG448" i="40"/>
  <c r="IG457" i="40"/>
  <c r="IG521" i="40"/>
  <c r="I8" i="70"/>
  <c r="J17" i="70" s="1"/>
  <c r="I67" i="70"/>
  <c r="JD306" i="40"/>
  <c r="KP306" i="40"/>
  <c r="JR374" i="40"/>
  <c r="KQ374" i="40"/>
  <c r="JQ374" i="40"/>
  <c r="JQ302" i="40"/>
  <c r="JR302" i="40"/>
  <c r="KQ302" i="40"/>
  <c r="M5" i="59"/>
  <c r="E42" i="59" s="1"/>
  <c r="ID208" i="40"/>
  <c r="HU608" i="40"/>
  <c r="ID253" i="40"/>
  <c r="HU653" i="40"/>
  <c r="ID213" i="40"/>
  <c r="HU613" i="40"/>
  <c r="ID271" i="40"/>
  <c r="HU671" i="40"/>
  <c r="ID245" i="40"/>
  <c r="HU645" i="40"/>
  <c r="ID237" i="40"/>
  <c r="HU637" i="40"/>
  <c r="ID252" i="40"/>
  <c r="HU652" i="40"/>
  <c r="ID224" i="40"/>
  <c r="HU624" i="40"/>
  <c r="ID206" i="40"/>
  <c r="ID606" i="40" s="1"/>
  <c r="HU606" i="40"/>
  <c r="ID205" i="40"/>
  <c r="HU605" i="40"/>
  <c r="ID233" i="40"/>
  <c r="ID633" i="40" s="1"/>
  <c r="HU633" i="40"/>
  <c r="ID207" i="40"/>
  <c r="HU607" i="40"/>
  <c r="ID215" i="40"/>
  <c r="HU615" i="40"/>
  <c r="ID202" i="40"/>
  <c r="HU602" i="40"/>
  <c r="ID229" i="40"/>
  <c r="HU629" i="40"/>
  <c r="ID275" i="40"/>
  <c r="ID675" i="40" s="1"/>
  <c r="HU675" i="40"/>
  <c r="ID238" i="40"/>
  <c r="HU638" i="40"/>
  <c r="HU601" i="40"/>
  <c r="HU701" i="40" s="1"/>
  <c r="ID201" i="40"/>
  <c r="ID272" i="40"/>
  <c r="HU672" i="40"/>
  <c r="IF547" i="40"/>
  <c r="IF573" i="40"/>
  <c r="IF544" i="40"/>
  <c r="KQ371" i="40"/>
  <c r="JR371" i="40"/>
  <c r="JQ371" i="40"/>
  <c r="IG569" i="40"/>
  <c r="IG572" i="40"/>
  <c r="IG567" i="40"/>
  <c r="JQ341" i="40"/>
  <c r="JR341" i="40"/>
  <c r="KQ341" i="40"/>
  <c r="W52" i="70"/>
  <c r="JR303" i="40"/>
  <c r="JQ303" i="40"/>
  <c r="KQ303" i="40"/>
  <c r="JQ340" i="40"/>
  <c r="JR340" i="40"/>
  <c r="KQ340" i="40"/>
  <c r="IC211" i="40"/>
  <c r="HT611" i="40"/>
  <c r="JI211" i="40"/>
  <c r="JK211" i="40" s="1"/>
  <c r="G16" i="59" s="1"/>
  <c r="IC226" i="40"/>
  <c r="HT626" i="40"/>
  <c r="JI226" i="40"/>
  <c r="JK226" i="40" s="1"/>
  <c r="IC241" i="40"/>
  <c r="HT641" i="40"/>
  <c r="JI241" i="40"/>
  <c r="JK241" i="40" s="1"/>
  <c r="IC251" i="40"/>
  <c r="HT651" i="40"/>
  <c r="JI251" i="40"/>
  <c r="JK251" i="40" s="1"/>
  <c r="IC230" i="40"/>
  <c r="HT630" i="40"/>
  <c r="JI230" i="40"/>
  <c r="JK230" i="40" s="1"/>
  <c r="IC245" i="40"/>
  <c r="HT645" i="40"/>
  <c r="JI245" i="40"/>
  <c r="JK245" i="40" s="1"/>
  <c r="IC221" i="40"/>
  <c r="HT621" i="40"/>
  <c r="JI221" i="40"/>
  <c r="JK221" i="40" s="1"/>
  <c r="IC209" i="40"/>
  <c r="HT609" i="40"/>
  <c r="JI209" i="40"/>
  <c r="JK209" i="40" s="1"/>
  <c r="E16" i="59" s="1"/>
  <c r="IC204" i="40"/>
  <c r="HT604" i="40"/>
  <c r="JI204" i="40"/>
  <c r="JK204" i="40" s="1"/>
  <c r="IC205" i="40"/>
  <c r="HT605" i="40"/>
  <c r="JI205" i="40"/>
  <c r="JK205" i="40" s="1"/>
  <c r="IC234" i="40"/>
  <c r="HT634" i="40"/>
  <c r="JI234" i="40"/>
  <c r="JK234" i="40" s="1"/>
  <c r="IC271" i="40"/>
  <c r="HT671" i="40"/>
  <c r="JI271" i="40"/>
  <c r="JK271" i="40" s="1"/>
  <c r="IC261" i="40"/>
  <c r="HT661" i="40"/>
  <c r="JI261" i="40"/>
  <c r="JK261" i="40" s="1"/>
  <c r="IC210" i="40"/>
  <c r="HT610" i="40"/>
  <c r="JI210" i="40"/>
  <c r="JK210" i="40" s="1"/>
  <c r="F16" i="59" s="1"/>
  <c r="IC236" i="40"/>
  <c r="HT636" i="40"/>
  <c r="JI236" i="40"/>
  <c r="JK236" i="40" s="1"/>
  <c r="IC224" i="40"/>
  <c r="HT624" i="40"/>
  <c r="JI224" i="40"/>
  <c r="JK224" i="40" s="1"/>
  <c r="IC255" i="40"/>
  <c r="HT655" i="40"/>
  <c r="JI255" i="40"/>
  <c r="JK255" i="40" s="1"/>
  <c r="IC243" i="40"/>
  <c r="HT643" i="40"/>
  <c r="JI243" i="40"/>
  <c r="JK243" i="40" s="1"/>
  <c r="IC275" i="40"/>
  <c r="HT675" i="40"/>
  <c r="JI275" i="40"/>
  <c r="JK275" i="40" s="1"/>
  <c r="JQ318" i="40"/>
  <c r="JR318" i="40"/>
  <c r="KQ318" i="40"/>
  <c r="W16" i="70"/>
  <c r="IF515" i="40"/>
  <c r="IF510" i="40"/>
  <c r="IF535" i="40"/>
  <c r="AQ321" i="40"/>
  <c r="JR370" i="40"/>
  <c r="JQ370" i="40"/>
  <c r="KQ370" i="40"/>
  <c r="IG415" i="40"/>
  <c r="IG463" i="40"/>
  <c r="IG420" i="40"/>
  <c r="KP339" i="40"/>
  <c r="KP361" i="40"/>
  <c r="IG504" i="40"/>
  <c r="IG552" i="40"/>
  <c r="IG514" i="40"/>
  <c r="IG511" i="40"/>
  <c r="W46" i="69" s="1"/>
  <c r="JQ309" i="40"/>
  <c r="JR309" i="40"/>
  <c r="KQ309" i="40"/>
  <c r="W20" i="70"/>
  <c r="JD342" i="40"/>
  <c r="KP342" i="40"/>
  <c r="IG412" i="40"/>
  <c r="IE412" i="40"/>
  <c r="JQ357" i="40"/>
  <c r="JR357" i="40"/>
  <c r="KQ357" i="40"/>
  <c r="W68" i="70"/>
  <c r="IF561" i="40"/>
  <c r="IF545" i="40"/>
  <c r="IF537" i="40"/>
  <c r="IF569" i="40"/>
  <c r="IG467" i="40"/>
  <c r="IG424" i="40"/>
  <c r="IG445" i="40"/>
  <c r="IG545" i="40"/>
  <c r="IG547" i="40"/>
  <c r="IG510" i="40"/>
  <c r="IG525" i="40"/>
  <c r="JD354" i="40"/>
  <c r="KP354" i="40"/>
  <c r="KQ307" i="40"/>
  <c r="JR307" i="40"/>
  <c r="JQ307" i="40"/>
  <c r="JQ353" i="40"/>
  <c r="JR353" i="40"/>
  <c r="KQ353" i="40"/>
  <c r="JR345" i="40"/>
  <c r="KQ345" i="40"/>
  <c r="JQ345" i="40"/>
  <c r="JR334" i="40"/>
  <c r="KQ334" i="40"/>
  <c r="JQ334" i="40"/>
  <c r="W45" i="70"/>
  <c r="W10" i="70"/>
  <c r="KP375" i="40"/>
  <c r="JD314" i="40"/>
  <c r="KP314" i="40"/>
  <c r="ID235" i="40"/>
  <c r="HU635" i="40"/>
  <c r="ID273" i="40"/>
  <c r="HU673" i="40"/>
  <c r="ID228" i="40"/>
  <c r="HU628" i="40"/>
  <c r="ID266" i="40"/>
  <c r="HU666" i="40"/>
  <c r="ID247" i="40"/>
  <c r="HU647" i="40"/>
  <c r="ID244" i="40"/>
  <c r="HU644" i="40"/>
  <c r="ID255" i="40"/>
  <c r="HU655" i="40"/>
  <c r="ID239" i="40"/>
  <c r="HU639" i="40"/>
  <c r="ID240" i="40"/>
  <c r="HU640" i="40"/>
  <c r="ID216" i="40"/>
  <c r="HU616" i="40"/>
  <c r="ID254" i="40"/>
  <c r="ID654" i="40" s="1"/>
  <c r="HU654" i="40"/>
  <c r="ID218" i="40"/>
  <c r="HU618" i="40"/>
  <c r="ID219" i="40"/>
  <c r="HU619" i="40"/>
  <c r="ID209" i="40"/>
  <c r="HU609" i="40"/>
  <c r="ID230" i="40"/>
  <c r="ID630" i="40" s="1"/>
  <c r="HU630" i="40"/>
  <c r="ID236" i="40"/>
  <c r="HU636" i="40"/>
  <c r="ID249" i="40"/>
  <c r="ID649" i="40" s="1"/>
  <c r="HU649" i="40"/>
  <c r="ID212" i="40"/>
  <c r="HU612" i="40"/>
  <c r="IF455" i="40"/>
  <c r="IG410" i="40"/>
  <c r="IE410" i="40"/>
  <c r="IF553" i="40"/>
  <c r="IG455" i="40"/>
  <c r="JR366" i="40"/>
  <c r="KQ366" i="40"/>
  <c r="JQ366" i="40"/>
  <c r="IG509" i="40"/>
  <c r="JD503" i="40"/>
  <c r="KQ369" i="40"/>
  <c r="JR369" i="40"/>
  <c r="JQ369" i="40"/>
  <c r="JR367" i="40"/>
  <c r="KQ367" i="40"/>
  <c r="JQ367" i="40"/>
  <c r="JD319" i="40"/>
  <c r="KP372" i="40"/>
  <c r="IC218" i="40"/>
  <c r="HT618" i="40"/>
  <c r="JI218" i="40"/>
  <c r="JK218" i="40" s="1"/>
  <c r="IC269" i="40"/>
  <c r="HT669" i="40"/>
  <c r="JI269" i="40"/>
  <c r="JK269" i="40" s="1"/>
  <c r="IC260" i="40"/>
  <c r="HT660" i="40"/>
  <c r="JI260" i="40"/>
  <c r="JK260" i="40" s="1"/>
  <c r="IC258" i="40"/>
  <c r="HT658" i="40"/>
  <c r="JI258" i="40"/>
  <c r="JK258" i="40" s="1"/>
  <c r="IC240" i="40"/>
  <c r="HT640" i="40"/>
  <c r="JI240" i="40"/>
  <c r="JK240" i="40" s="1"/>
  <c r="IC253" i="40"/>
  <c r="HT653" i="40"/>
  <c r="JI253" i="40"/>
  <c r="JK253" i="40" s="1"/>
  <c r="IC228" i="40"/>
  <c r="HT628" i="40"/>
  <c r="JI228" i="40"/>
  <c r="JK228" i="40" s="1"/>
  <c r="IC203" i="40"/>
  <c r="HT603" i="40"/>
  <c r="JI203" i="40"/>
  <c r="JK203" i="40" s="1"/>
  <c r="IC212" i="40"/>
  <c r="HT612" i="40"/>
  <c r="JI212" i="40"/>
  <c r="JK212" i="40" s="1"/>
  <c r="H16" i="59" s="1"/>
  <c r="IC207" i="40"/>
  <c r="HT607" i="40"/>
  <c r="JI207" i="40"/>
  <c r="JK207" i="40" s="1"/>
  <c r="IC263" i="40"/>
  <c r="HT663" i="40"/>
  <c r="JI263" i="40"/>
  <c r="JK263" i="40" s="1"/>
  <c r="IC214" i="40"/>
  <c r="HT614" i="40"/>
  <c r="JI214" i="40"/>
  <c r="JK214" i="40" s="1"/>
  <c r="IC264" i="40"/>
  <c r="HT664" i="40"/>
  <c r="JI264" i="40"/>
  <c r="JK264" i="40" s="1"/>
  <c r="IC238" i="40"/>
  <c r="HT638" i="40"/>
  <c r="JI238" i="40"/>
  <c r="JK238" i="40" s="1"/>
  <c r="IC247" i="40"/>
  <c r="HT647" i="40"/>
  <c r="JI247" i="40"/>
  <c r="JK247" i="40" s="1"/>
  <c r="IC225" i="40"/>
  <c r="HT625" i="40"/>
  <c r="JI225" i="40"/>
  <c r="JK225" i="40" s="1"/>
  <c r="IC235" i="40"/>
  <c r="HT635" i="40"/>
  <c r="JI235" i="40"/>
  <c r="JK235" i="40" s="1"/>
  <c r="IC233" i="40"/>
  <c r="HT633" i="40"/>
  <c r="JI233" i="40"/>
  <c r="JK233" i="40" s="1"/>
  <c r="IC267" i="40"/>
  <c r="HT667" i="40"/>
  <c r="JI267" i="40"/>
  <c r="JK267" i="40" s="1"/>
  <c r="IG462" i="40"/>
  <c r="IE462" i="40"/>
  <c r="IF465" i="40"/>
  <c r="IF414" i="40"/>
  <c r="IF450" i="40"/>
  <c r="IF501" i="40"/>
  <c r="IF509" i="40"/>
  <c r="JD321" i="40"/>
  <c r="KP321" i="40"/>
  <c r="IG464" i="40"/>
  <c r="IG459" i="40"/>
  <c r="IG443" i="40"/>
  <c r="AQ350" i="40"/>
  <c r="JD361" i="40"/>
  <c r="IG556" i="40"/>
  <c r="IG573" i="40"/>
  <c r="IG540" i="40"/>
  <c r="JD325" i="40"/>
  <c r="JR362" i="40"/>
  <c r="KQ362" i="40"/>
  <c r="JQ362" i="40"/>
  <c r="KQ324" i="40"/>
  <c r="JQ324" i="40"/>
  <c r="JR324" i="40"/>
  <c r="W35" i="70"/>
  <c r="KQ328" i="40"/>
  <c r="JQ328" i="40"/>
  <c r="JR328" i="40"/>
  <c r="W14" i="70"/>
  <c r="KQ352" i="40"/>
  <c r="JQ352" i="40"/>
  <c r="JR352" i="40"/>
  <c r="W63" i="70"/>
  <c r="JQ347" i="40"/>
  <c r="JR347" i="40"/>
  <c r="KQ347" i="40"/>
  <c r="IF572" i="40"/>
  <c r="IF549" i="40"/>
  <c r="IG461" i="40"/>
  <c r="IG543" i="40"/>
  <c r="IG507" i="40"/>
  <c r="IG529" i="40"/>
  <c r="KP373" i="40"/>
  <c r="KP322" i="40"/>
  <c r="AQ356" i="40"/>
  <c r="JR311" i="40"/>
  <c r="JQ311" i="40"/>
  <c r="KQ311" i="40"/>
  <c r="W11" i="70"/>
  <c r="O17" i="59"/>
  <c r="JQ323" i="40"/>
  <c r="JR323" i="40"/>
  <c r="KQ323" i="40"/>
  <c r="W34" i="70"/>
  <c r="JQ305" i="40"/>
  <c r="JR305" i="40"/>
  <c r="KQ305" i="40"/>
  <c r="IF467" i="40"/>
  <c r="IB440" i="40"/>
  <c r="IF440" i="40" s="1"/>
  <c r="IF420" i="40"/>
  <c r="IB451" i="40"/>
  <c r="IF457" i="40"/>
  <c r="IB435" i="40"/>
  <c r="IF438" i="40"/>
  <c r="IB431" i="40"/>
  <c r="IF431" i="40" s="1"/>
  <c r="IF448" i="40"/>
  <c r="AQ343" i="40"/>
  <c r="IF511" i="40"/>
  <c r="IF540" i="40"/>
  <c r="IF507" i="40"/>
  <c r="IF506" i="40"/>
  <c r="AQ338" i="40"/>
  <c r="IG550" i="40"/>
  <c r="KQ316" i="40"/>
  <c r="JQ316" i="40"/>
  <c r="JR316" i="40"/>
  <c r="W27" i="70"/>
  <c r="JD356" i="40"/>
  <c r="JR320" i="40"/>
  <c r="KQ320" i="40"/>
  <c r="JQ320" i="40"/>
  <c r="KQ358" i="40"/>
  <c r="JQ358" i="40"/>
  <c r="JR358" i="40"/>
  <c r="ID204" i="40"/>
  <c r="HU604" i="40"/>
  <c r="ID231" i="40"/>
  <c r="HU631" i="40"/>
  <c r="ID274" i="40"/>
  <c r="HU674" i="40"/>
  <c r="ID261" i="40"/>
  <c r="ID661" i="40" s="1"/>
  <c r="HU661" i="40"/>
  <c r="ID227" i="40"/>
  <c r="HU627" i="40"/>
  <c r="ID269" i="40"/>
  <c r="HU669" i="40"/>
  <c r="ID248" i="40"/>
  <c r="ID648" i="40" s="1"/>
  <c r="JC648" i="40" s="1"/>
  <c r="IN648" i="40" s="1"/>
  <c r="HU648" i="40"/>
  <c r="ID203" i="40"/>
  <c r="ID603" i="40" s="1"/>
  <c r="HU603" i="40"/>
  <c r="ID257" i="40"/>
  <c r="HU657" i="40"/>
  <c r="ID243" i="40"/>
  <c r="HU643" i="40"/>
  <c r="ID225" i="40"/>
  <c r="HU625" i="40"/>
  <c r="ID256" i="40"/>
  <c r="ID656" i="40" s="1"/>
  <c r="JC656" i="40" s="1"/>
  <c r="IN656" i="40" s="1"/>
  <c r="HU656" i="40"/>
  <c r="ID220" i="40"/>
  <c r="HU620" i="40"/>
  <c r="ID246" i="40"/>
  <c r="ID646" i="40" s="1"/>
  <c r="HU646" i="40"/>
  <c r="ID211" i="40"/>
  <c r="HU611" i="40"/>
  <c r="ID259" i="40"/>
  <c r="HU659" i="40"/>
  <c r="ID262" i="40"/>
  <c r="HU662" i="40"/>
  <c r="ID251" i="40"/>
  <c r="HU651" i="40"/>
  <c r="ID223" i="40"/>
  <c r="HU623" i="40"/>
  <c r="JQ359" i="40"/>
  <c r="JR359" i="40"/>
  <c r="KQ359" i="40"/>
  <c r="IF426" i="40"/>
  <c r="IF436" i="40"/>
  <c r="IB425" i="40"/>
  <c r="IF425" i="40" s="1"/>
  <c r="IF424" i="40"/>
  <c r="IF419" i="40"/>
  <c r="IB433" i="40"/>
  <c r="IF433" i="40" s="1"/>
  <c r="IF463" i="40"/>
  <c r="IF567" i="40"/>
  <c r="IG436" i="40"/>
  <c r="IG413" i="40"/>
  <c r="IG549" i="40"/>
  <c r="IG519" i="40"/>
  <c r="KP560" i="40"/>
  <c r="KP319" i="40"/>
  <c r="JD372" i="40"/>
  <c r="JR317" i="40"/>
  <c r="KQ317" i="40"/>
  <c r="JQ317" i="40"/>
  <c r="JQ344" i="40"/>
  <c r="JR344" i="40"/>
  <c r="KQ344" i="40"/>
  <c r="W55" i="70"/>
  <c r="IC220" i="40"/>
  <c r="HT620" i="40"/>
  <c r="JI220" i="40"/>
  <c r="JK220" i="40" s="1"/>
  <c r="IC208" i="40"/>
  <c r="HT608" i="40"/>
  <c r="JI208" i="40"/>
  <c r="JK208" i="40" s="1"/>
  <c r="IC274" i="40"/>
  <c r="HT674" i="40"/>
  <c r="JI274" i="40"/>
  <c r="JK274" i="40" s="1"/>
  <c r="IC266" i="40"/>
  <c r="HT666" i="40"/>
  <c r="JI266" i="40"/>
  <c r="JK266" i="40" s="1"/>
  <c r="IC273" i="40"/>
  <c r="HT673" i="40"/>
  <c r="JI273" i="40"/>
  <c r="JK273" i="40" s="1"/>
  <c r="IC257" i="40"/>
  <c r="HT657" i="40"/>
  <c r="JI257" i="40"/>
  <c r="JK257" i="40" s="1"/>
  <c r="IC254" i="40"/>
  <c r="HT654" i="40"/>
  <c r="JI254" i="40"/>
  <c r="JK254" i="40" s="1"/>
  <c r="IC219" i="40"/>
  <c r="HT619" i="40"/>
  <c r="JI219" i="40"/>
  <c r="JK219" i="40" s="1"/>
  <c r="IC215" i="40"/>
  <c r="HT615" i="40"/>
  <c r="JI215" i="40"/>
  <c r="JK215" i="40" s="1"/>
  <c r="IC223" i="40"/>
  <c r="HT623" i="40"/>
  <c r="JI223" i="40"/>
  <c r="JK223" i="40" s="1"/>
  <c r="IC244" i="40"/>
  <c r="HT644" i="40"/>
  <c r="JI244" i="40"/>
  <c r="JK244" i="40" s="1"/>
  <c r="IC217" i="40"/>
  <c r="HT617" i="40"/>
  <c r="JI217" i="40"/>
  <c r="JK217" i="40" s="1"/>
  <c r="IC268" i="40"/>
  <c r="HT668" i="40"/>
  <c r="JI268" i="40"/>
  <c r="JK268" i="40" s="1"/>
  <c r="IC206" i="40"/>
  <c r="HT606" i="40"/>
  <c r="JI206" i="40"/>
  <c r="JK206" i="40" s="1"/>
  <c r="IC249" i="40"/>
  <c r="HT649" i="40"/>
  <c r="JI249" i="40"/>
  <c r="JK249" i="40" s="1"/>
  <c r="IC231" i="40"/>
  <c r="HT631" i="40"/>
  <c r="JI231" i="40"/>
  <c r="JK231" i="40" s="1"/>
  <c r="IC237" i="40"/>
  <c r="HT637" i="40"/>
  <c r="JI237" i="40"/>
  <c r="JK237" i="40" s="1"/>
  <c r="IC246" i="40"/>
  <c r="HT646" i="40"/>
  <c r="JI246" i="40"/>
  <c r="JK246" i="40" s="1"/>
  <c r="IF432" i="40"/>
  <c r="IB452" i="40"/>
  <c r="IF429" i="40"/>
  <c r="IB444" i="40"/>
  <c r="IF444" i="40" s="1"/>
  <c r="IF459" i="40"/>
  <c r="IB454" i="40"/>
  <c r="IF466" i="40"/>
  <c r="IF443" i="40"/>
  <c r="KQ310" i="40"/>
  <c r="JQ310" i="40"/>
  <c r="JR310" i="40"/>
  <c r="W21" i="70"/>
  <c r="IF529" i="40"/>
  <c r="IF514" i="40"/>
  <c r="IF559" i="40"/>
  <c r="IF504" i="40"/>
  <c r="IG466" i="40"/>
  <c r="JD350" i="40"/>
  <c r="KP350" i="40"/>
  <c r="IG523" i="40"/>
  <c r="KP523" i="40" s="1"/>
  <c r="IG524" i="40"/>
  <c r="IG555" i="40"/>
  <c r="KP325" i="40"/>
  <c r="JQ327" i="40"/>
  <c r="JR327" i="40"/>
  <c r="KQ327" i="40"/>
  <c r="W38" i="70"/>
  <c r="JR329" i="40"/>
  <c r="JQ329" i="40"/>
  <c r="KQ329" i="40"/>
  <c r="IF412" i="40"/>
  <c r="IB406" i="40"/>
  <c r="IF406" i="40" s="1"/>
  <c r="IB421" i="40"/>
  <c r="IF421" i="40" s="1"/>
  <c r="IF461" i="40"/>
  <c r="IB473" i="40"/>
  <c r="IF473" i="40" s="1"/>
  <c r="IF423" i="40"/>
  <c r="IF470" i="40"/>
  <c r="JR301" i="40"/>
  <c r="KQ301" i="40"/>
  <c r="JQ301" i="40"/>
  <c r="JD335" i="40"/>
  <c r="KP335" i="40"/>
  <c r="IF557" i="40"/>
  <c r="IF543" i="40"/>
  <c r="IB418" i="40"/>
  <c r="IF418" i="40" s="1"/>
  <c r="IG438" i="40"/>
  <c r="IG557" i="40"/>
  <c r="IG533" i="40"/>
  <c r="IG501" i="40"/>
  <c r="K11" i="61" s="1"/>
  <c r="JD373" i="40"/>
  <c r="JD322" i="40"/>
  <c r="JQ349" i="40"/>
  <c r="KQ349" i="40"/>
  <c r="JR349" i="40"/>
  <c r="W60" i="70"/>
  <c r="AQ346" i="40"/>
  <c r="IF437" i="40"/>
  <c r="IB427" i="40"/>
  <c r="IF415" i="40"/>
  <c r="IB402" i="40"/>
  <c r="IF445" i="40"/>
  <c r="IB456" i="40"/>
  <c r="IF413" i="40"/>
  <c r="IB403" i="40"/>
  <c r="IF464" i="40"/>
  <c r="IB460" i="40"/>
  <c r="JD343" i="40"/>
  <c r="KP343" i="40"/>
  <c r="IF551" i="40"/>
  <c r="IF550" i="40"/>
  <c r="JD338" i="40"/>
  <c r="KP338" i="40"/>
  <c r="JQ312" i="40"/>
  <c r="JR312" i="40"/>
  <c r="KQ312" i="40"/>
  <c r="W23" i="70"/>
  <c r="JD337" i="40"/>
  <c r="KP337" i="40"/>
  <c r="JD326" i="40"/>
  <c r="KP326" i="40"/>
  <c r="IG515" i="40"/>
  <c r="KT158" i="40"/>
  <c r="KU157" i="40"/>
  <c r="I68" i="70" s="1"/>
  <c r="AQ306" i="40"/>
  <c r="ID210" i="40"/>
  <c r="HU610" i="40"/>
  <c r="ID241" i="40"/>
  <c r="HU641" i="40"/>
  <c r="ID214" i="40"/>
  <c r="HU614" i="40"/>
  <c r="ID260" i="40"/>
  <c r="HU660" i="40"/>
  <c r="ID242" i="40"/>
  <c r="HU642" i="40"/>
  <c r="ID268" i="40"/>
  <c r="HU668" i="40"/>
  <c r="ID250" i="40"/>
  <c r="HU650" i="40"/>
  <c r="ID217" i="40"/>
  <c r="HU617" i="40"/>
  <c r="ID263" i="40"/>
  <c r="HU663" i="40"/>
  <c r="ID258" i="40"/>
  <c r="HU658" i="40"/>
  <c r="ID232" i="40"/>
  <c r="HU632" i="40"/>
  <c r="ID265" i="40"/>
  <c r="HU665" i="40"/>
  <c r="ID226" i="40"/>
  <c r="HU626" i="40"/>
  <c r="ID234" i="40"/>
  <c r="HU634" i="40"/>
  <c r="ID222" i="40"/>
  <c r="HU622" i="40"/>
  <c r="ID270" i="40"/>
  <c r="HU670" i="40"/>
  <c r="ID221" i="40"/>
  <c r="HU621" i="40"/>
  <c r="ID267" i="40"/>
  <c r="HU667" i="40"/>
  <c r="ID264" i="40"/>
  <c r="HU664" i="40"/>
  <c r="JR365" i="40"/>
  <c r="JQ365" i="40"/>
  <c r="KQ365" i="40"/>
  <c r="IF404" i="40"/>
  <c r="IF430" i="40"/>
  <c r="IB407" i="40"/>
  <c r="IB468" i="40"/>
  <c r="IF468" i="40" s="1"/>
  <c r="IF401" i="40"/>
  <c r="IB428" i="40"/>
  <c r="IF410" i="40"/>
  <c r="IB408" i="40"/>
  <c r="IF408" i="40" s="1"/>
  <c r="IB422" i="40"/>
  <c r="IF442" i="40"/>
  <c r="IF519" i="40"/>
  <c r="IF552" i="40"/>
  <c r="IF539" i="40"/>
  <c r="AB44" i="59"/>
  <c r="IG506" i="40"/>
  <c r="IG517" i="40"/>
  <c r="JR313" i="40"/>
  <c r="KQ313" i="40"/>
  <c r="JQ313" i="40"/>
  <c r="JR368" i="40"/>
  <c r="JQ368" i="40"/>
  <c r="KQ368" i="40"/>
  <c r="IC202" i="40"/>
  <c r="HT602" i="40"/>
  <c r="JI202" i="40"/>
  <c r="JK202" i="40" s="1"/>
  <c r="IC222" i="40"/>
  <c r="HT622" i="40"/>
  <c r="JI222" i="40"/>
  <c r="JK222" i="40" s="1"/>
  <c r="IC216" i="40"/>
  <c r="HT616" i="40"/>
  <c r="JI216" i="40"/>
  <c r="JK216" i="40" s="1"/>
  <c r="IC250" i="40"/>
  <c r="HT650" i="40"/>
  <c r="JI250" i="40"/>
  <c r="JK250" i="40" s="1"/>
  <c r="IC229" i="40"/>
  <c r="HT629" i="40"/>
  <c r="JI229" i="40"/>
  <c r="JK229" i="40" s="1"/>
  <c r="IC242" i="40"/>
  <c r="HT642" i="40"/>
  <c r="JI242" i="40"/>
  <c r="JK242" i="40" s="1"/>
  <c r="IC213" i="40"/>
  <c r="HT613" i="40"/>
  <c r="JI213" i="40"/>
  <c r="JK213" i="40" s="1"/>
  <c r="IC262" i="40"/>
  <c r="HT662" i="40"/>
  <c r="JI262" i="40"/>
  <c r="JK262" i="40" s="1"/>
  <c r="HT601" i="40"/>
  <c r="IC201" i="40"/>
  <c r="JI201" i="40"/>
  <c r="JK201" i="40" s="1"/>
  <c r="IC248" i="40"/>
  <c r="HT648" i="40"/>
  <c r="JI248" i="40"/>
  <c r="JK248" i="40" s="1"/>
  <c r="IC227" i="40"/>
  <c r="HT627" i="40"/>
  <c r="JI227" i="40"/>
  <c r="JK227" i="40" s="1"/>
  <c r="IC270" i="40"/>
  <c r="HT670" i="40"/>
  <c r="JI270" i="40"/>
  <c r="JK270" i="40" s="1"/>
  <c r="IC259" i="40"/>
  <c r="HT659" i="40"/>
  <c r="JI259" i="40"/>
  <c r="JK259" i="40" s="1"/>
  <c r="IC272" i="40"/>
  <c r="HT672" i="40"/>
  <c r="JI272" i="40"/>
  <c r="JK272" i="40" s="1"/>
  <c r="IC232" i="40"/>
  <c r="HT632" i="40"/>
  <c r="JI232" i="40"/>
  <c r="JK232" i="40" s="1"/>
  <c r="IC256" i="40"/>
  <c r="HT656" i="40"/>
  <c r="JI256" i="40"/>
  <c r="JK256" i="40" s="1"/>
  <c r="IC252" i="40"/>
  <c r="HT652" i="40"/>
  <c r="JI252" i="40"/>
  <c r="JK252" i="40" s="1"/>
  <c r="IC239" i="40"/>
  <c r="HT639" i="40"/>
  <c r="JI239" i="40"/>
  <c r="JK239" i="40" s="1"/>
  <c r="IC265" i="40"/>
  <c r="HT665" i="40"/>
  <c r="JI265" i="40"/>
  <c r="JK265" i="40" s="1"/>
  <c r="JR348" i="40"/>
  <c r="JQ348" i="40"/>
  <c r="KQ348" i="40"/>
  <c r="IB439" i="40"/>
  <c r="IF462" i="40"/>
  <c r="IF453" i="40"/>
  <c r="IF417" i="40"/>
  <c r="IB409" i="40"/>
  <c r="IB475" i="40"/>
  <c r="IF469" i="40"/>
  <c r="IB449" i="40"/>
  <c r="IF449" i="40" s="1"/>
  <c r="IF521" i="40"/>
  <c r="KP521" i="40" s="1"/>
  <c r="IF517" i="40"/>
  <c r="IF525" i="40"/>
  <c r="IG426" i="40"/>
  <c r="JD339" i="40"/>
  <c r="JD351" i="40"/>
  <c r="KP351" i="40"/>
  <c r="IG528" i="40"/>
  <c r="IG544" i="40"/>
  <c r="IG562" i="40"/>
  <c r="AQ562" i="40" s="1"/>
  <c r="AQ342" i="40"/>
  <c r="JR308" i="40"/>
  <c r="JQ308" i="40"/>
  <c r="KQ308" i="40"/>
  <c r="JR315" i="40"/>
  <c r="KQ315" i="40"/>
  <c r="JQ315" i="40"/>
  <c r="W26" i="70"/>
  <c r="JQ304" i="40"/>
  <c r="JR304" i="40"/>
  <c r="KQ304" i="40"/>
  <c r="JR331" i="40"/>
  <c r="JQ331" i="40"/>
  <c r="KQ331" i="40"/>
  <c r="KQ360" i="40"/>
  <c r="JR360" i="40"/>
  <c r="JQ360" i="40"/>
  <c r="IB441" i="40"/>
  <c r="IF441" i="40" s="1"/>
  <c r="IB405" i="40"/>
  <c r="IF405" i="40" s="1"/>
  <c r="IF472" i="40"/>
  <c r="IB474" i="40"/>
  <c r="IF434" i="40"/>
  <c r="IB447" i="40"/>
  <c r="IF447" i="40" s="1"/>
  <c r="IB471" i="40"/>
  <c r="IF471" i="40" s="1"/>
  <c r="IF458" i="40"/>
  <c r="IB416" i="40"/>
  <c r="IF416" i="40" s="1"/>
  <c r="IB446" i="40"/>
  <c r="IF446" i="40" s="1"/>
  <c r="IF528" i="40"/>
  <c r="IF533" i="40"/>
  <c r="IF513" i="40"/>
  <c r="IF526" i="40"/>
  <c r="IF505" i="40"/>
  <c r="AQ505" i="40" s="1"/>
  <c r="KQ336" i="40"/>
  <c r="IG419" i="40"/>
  <c r="IB411" i="40"/>
  <c r="JD330" i="40"/>
  <c r="KP330" i="40"/>
  <c r="IG553" i="40"/>
  <c r="IG536" i="40"/>
  <c r="IG551" i="40"/>
  <c r="IG537" i="40"/>
  <c r="AQ354" i="40"/>
  <c r="AQ355" i="40"/>
  <c r="AQ516" i="40" l="1"/>
  <c r="AQ504" i="40"/>
  <c r="KP516" i="40"/>
  <c r="JD520" i="40"/>
  <c r="JD587" i="40"/>
  <c r="JD586" i="40"/>
  <c r="JR586" i="40" s="1"/>
  <c r="JD527" i="40"/>
  <c r="KP587" i="40"/>
  <c r="AQ570" i="40"/>
  <c r="JD563" i="40"/>
  <c r="JR563" i="40" s="1"/>
  <c r="JD584" i="40"/>
  <c r="JR584" i="40" s="1"/>
  <c r="KP585" i="40"/>
  <c r="JI603" i="40"/>
  <c r="JD556" i="40"/>
  <c r="JQ556" i="40" s="1"/>
  <c r="KP586" i="40"/>
  <c r="JD585" i="40"/>
  <c r="JR585" i="40" s="1"/>
  <c r="W34" i="69"/>
  <c r="AQ563" i="40"/>
  <c r="KP563" i="40"/>
  <c r="AQ420" i="40"/>
  <c r="W42" i="69"/>
  <c r="W44" i="69"/>
  <c r="AQ585" i="40"/>
  <c r="AQ584" i="40"/>
  <c r="AQ587" i="40"/>
  <c r="K7" i="70"/>
  <c r="AQ586" i="40"/>
  <c r="AQ502" i="40"/>
  <c r="JL584" i="40"/>
  <c r="JM584" i="40" s="1"/>
  <c r="KP570" i="40"/>
  <c r="JD516" i="40"/>
  <c r="JR516" i="40" s="1"/>
  <c r="JL587" i="40"/>
  <c r="JM587" i="40" s="1"/>
  <c r="AQ508" i="40"/>
  <c r="JD570" i="40"/>
  <c r="JR570" i="40" s="1"/>
  <c r="JD583" i="40"/>
  <c r="JQ583" i="40" s="1"/>
  <c r="JQ585" i="40"/>
  <c r="JL586" i="40"/>
  <c r="JQ587" i="40"/>
  <c r="JR587" i="40"/>
  <c r="JL585" i="40"/>
  <c r="W36" i="69"/>
  <c r="W46" i="68"/>
  <c r="W38" i="69"/>
  <c r="W40" i="69"/>
  <c r="IF485" i="40"/>
  <c r="IF484" i="40"/>
  <c r="JM688" i="40"/>
  <c r="JA688" i="40"/>
  <c r="IL688" i="40" s="1"/>
  <c r="IF688" i="40"/>
  <c r="IG688" i="40"/>
  <c r="W44" i="68"/>
  <c r="JL688" i="40"/>
  <c r="AQ518" i="40"/>
  <c r="IF486" i="40"/>
  <c r="IE485" i="40"/>
  <c r="IB685" i="40"/>
  <c r="IE685" i="40" s="1"/>
  <c r="JL484" i="40"/>
  <c r="JM484" i="40" s="1"/>
  <c r="JG684" i="40"/>
  <c r="JF684" i="40" s="1"/>
  <c r="IE484" i="40"/>
  <c r="IB684" i="40"/>
  <c r="IE684" i="40" s="1"/>
  <c r="IE487" i="40"/>
  <c r="AQ487" i="40" s="1"/>
  <c r="IB687" i="40"/>
  <c r="IE687" i="40" s="1"/>
  <c r="IE486" i="40"/>
  <c r="IB686" i="40"/>
  <c r="IE686" i="40" s="1"/>
  <c r="JL487" i="40"/>
  <c r="JG687" i="40"/>
  <c r="JF687" i="40" s="1"/>
  <c r="JL486" i="40"/>
  <c r="JG686" i="40"/>
  <c r="JF686" i="40" s="1"/>
  <c r="JL485" i="40"/>
  <c r="JG685" i="40"/>
  <c r="JF685" i="40" s="1"/>
  <c r="KP578" i="40"/>
  <c r="JI649" i="40"/>
  <c r="JD579" i="40"/>
  <c r="JR579" i="40" s="1"/>
  <c r="KP579" i="40"/>
  <c r="AQ579" i="40"/>
  <c r="JD560" i="40"/>
  <c r="JQ560" i="40" s="1"/>
  <c r="JD580" i="40"/>
  <c r="JQ580" i="40" s="1"/>
  <c r="AQ503" i="40"/>
  <c r="JD566" i="40"/>
  <c r="JR566" i="40" s="1"/>
  <c r="JD571" i="40"/>
  <c r="JR571" i="40" s="1"/>
  <c r="AQ568" i="40"/>
  <c r="KP522" i="40"/>
  <c r="JI681" i="40"/>
  <c r="JU376" i="40"/>
  <c r="JV376" i="40" s="1"/>
  <c r="JW376" i="40" s="1"/>
  <c r="AQ581" i="40"/>
  <c r="AQ580" i="40"/>
  <c r="AQ576" i="40"/>
  <c r="JD577" i="40"/>
  <c r="JQ577" i="40" s="1"/>
  <c r="JD483" i="40"/>
  <c r="JR483" i="40" s="1"/>
  <c r="AQ583" i="40"/>
  <c r="KP577" i="40"/>
  <c r="JD578" i="40"/>
  <c r="JQ578" i="40" s="1"/>
  <c r="KP580" i="40"/>
  <c r="KP583" i="40"/>
  <c r="AQ578" i="40"/>
  <c r="KP581" i="40"/>
  <c r="JI680" i="40"/>
  <c r="KP548" i="40"/>
  <c r="JD582" i="40"/>
  <c r="JR582" i="40" s="1"/>
  <c r="AQ577" i="40"/>
  <c r="JD558" i="40"/>
  <c r="JQ558" i="40" s="1"/>
  <c r="JI682" i="40"/>
  <c r="KP483" i="40"/>
  <c r="AQ582" i="40"/>
  <c r="JL580" i="40"/>
  <c r="JL579" i="40"/>
  <c r="JM579" i="40" s="1"/>
  <c r="KP582" i="40"/>
  <c r="KP576" i="40"/>
  <c r="JR580" i="40"/>
  <c r="JL581" i="40"/>
  <c r="JM581" i="40" s="1"/>
  <c r="JL583" i="40"/>
  <c r="JD576" i="40"/>
  <c r="JL576" i="40"/>
  <c r="JM576" i="40" s="1"/>
  <c r="JL578" i="40"/>
  <c r="JM578" i="40" s="1"/>
  <c r="JL577" i="40"/>
  <c r="JM577" i="40" s="1"/>
  <c r="JL582" i="40"/>
  <c r="JM582" i="40" s="1"/>
  <c r="JD581" i="40"/>
  <c r="JR583" i="40"/>
  <c r="JU381" i="40"/>
  <c r="JV381" i="40" s="1"/>
  <c r="JW381" i="40" s="1"/>
  <c r="IE480" i="40"/>
  <c r="IG480" i="40"/>
  <c r="JL476" i="40"/>
  <c r="JL481" i="40"/>
  <c r="JM481" i="40" s="1"/>
  <c r="IE477" i="40"/>
  <c r="IG477" i="40"/>
  <c r="IF480" i="40"/>
  <c r="IE481" i="40"/>
  <c r="IG481" i="40"/>
  <c r="JL477" i="40"/>
  <c r="JM477" i="40" s="1"/>
  <c r="JL482" i="40"/>
  <c r="JM482" i="40" s="1"/>
  <c r="JU379" i="40"/>
  <c r="JV379" i="40" s="1"/>
  <c r="JW379" i="40" s="1"/>
  <c r="IE479" i="40"/>
  <c r="IG479" i="40"/>
  <c r="IF477" i="40"/>
  <c r="AQ483" i="40"/>
  <c r="IF481" i="40"/>
  <c r="JL480" i="40"/>
  <c r="JL479" i="40"/>
  <c r="JM479" i="40" s="1"/>
  <c r="IE476" i="40"/>
  <c r="IG476" i="40"/>
  <c r="IE482" i="40"/>
  <c r="IG482" i="40"/>
  <c r="IE478" i="40"/>
  <c r="IG478" i="40"/>
  <c r="JL478" i="40"/>
  <c r="JL483" i="40"/>
  <c r="IF476" i="40"/>
  <c r="JD548" i="40"/>
  <c r="AQ575" i="40"/>
  <c r="AQ548" i="40"/>
  <c r="JI679" i="40"/>
  <c r="KK383" i="40"/>
  <c r="KJ383" i="40"/>
  <c r="JS383" i="40"/>
  <c r="KI383" i="40"/>
  <c r="JU383" i="40"/>
  <c r="JV383" i="40" s="1"/>
  <c r="JW383" i="40" s="1"/>
  <c r="JD574" i="40"/>
  <c r="JR574" i="40" s="1"/>
  <c r="KP575" i="40"/>
  <c r="AQ535" i="40"/>
  <c r="KP502" i="40"/>
  <c r="KK376" i="40"/>
  <c r="KI376" i="40"/>
  <c r="KJ376" i="40"/>
  <c r="JS376" i="40"/>
  <c r="KI381" i="40"/>
  <c r="KK381" i="40"/>
  <c r="KJ381" i="40"/>
  <c r="JS381" i="40"/>
  <c r="KP574" i="40"/>
  <c r="KK379" i="40"/>
  <c r="KJ379" i="40"/>
  <c r="JS379" i="40"/>
  <c r="KI379" i="40"/>
  <c r="JT383" i="40"/>
  <c r="JX383" i="40" s="1"/>
  <c r="ID683" i="40"/>
  <c r="JC683" i="40" s="1"/>
  <c r="IN683" i="40" s="1"/>
  <c r="ID680" i="40"/>
  <c r="KP520" i="40"/>
  <c r="JI672" i="40"/>
  <c r="AQ558" i="40"/>
  <c r="IB276" i="40"/>
  <c r="IF276" i="40" s="1"/>
  <c r="IC676" i="40"/>
  <c r="IB278" i="40"/>
  <c r="IG278" i="40" s="1"/>
  <c r="IC678" i="40"/>
  <c r="JI676" i="40"/>
  <c r="IB280" i="40"/>
  <c r="IG280" i="40" s="1"/>
  <c r="IC680" i="40"/>
  <c r="JB680" i="40" s="1"/>
  <c r="IM680" i="40" s="1"/>
  <c r="IB283" i="40"/>
  <c r="IF283" i="40" s="1"/>
  <c r="IC683" i="40"/>
  <c r="JB683" i="40" s="1"/>
  <c r="IM683" i="40" s="1"/>
  <c r="ID681" i="40"/>
  <c r="JC681" i="40" s="1"/>
  <c r="IN681" i="40" s="1"/>
  <c r="IB277" i="40"/>
  <c r="IF277" i="40" s="1"/>
  <c r="IC677" i="40"/>
  <c r="JB677" i="40" s="1"/>
  <c r="IM677" i="40" s="1"/>
  <c r="KP558" i="40"/>
  <c r="KP546" i="40"/>
  <c r="ID679" i="40"/>
  <c r="ID676" i="40"/>
  <c r="JI677" i="40"/>
  <c r="AQ559" i="40"/>
  <c r="JG283" i="40"/>
  <c r="JG279" i="40"/>
  <c r="JG282" i="40"/>
  <c r="JG278" i="40"/>
  <c r="JG276" i="40"/>
  <c r="JG280" i="40"/>
  <c r="JG281" i="40"/>
  <c r="JG277" i="40"/>
  <c r="AQ539" i="40"/>
  <c r="AQ401" i="40"/>
  <c r="JD555" i="40"/>
  <c r="JQ555" i="40" s="1"/>
  <c r="JI645" i="40"/>
  <c r="KP531" i="40"/>
  <c r="IB281" i="40"/>
  <c r="IC681" i="40"/>
  <c r="IB282" i="40"/>
  <c r="IG282" i="40" s="1"/>
  <c r="IC682" i="40"/>
  <c r="JB682" i="40" s="1"/>
  <c r="IM682" i="40" s="1"/>
  <c r="ID682" i="40"/>
  <c r="JC682" i="40" s="1"/>
  <c r="IN682" i="40" s="1"/>
  <c r="IB279" i="40"/>
  <c r="IF279" i="40" s="1"/>
  <c r="IC679" i="40"/>
  <c r="ID677" i="40"/>
  <c r="JC677" i="40" s="1"/>
  <c r="IN677" i="40" s="1"/>
  <c r="ID678" i="40"/>
  <c r="JC678" i="40" s="1"/>
  <c r="IN678" i="40" s="1"/>
  <c r="JD565" i="40"/>
  <c r="JQ565" i="40" s="1"/>
  <c r="KP542" i="40"/>
  <c r="AQ404" i="40"/>
  <c r="AQ415" i="40"/>
  <c r="AQ514" i="40"/>
  <c r="W34" i="68"/>
  <c r="KP568" i="40"/>
  <c r="AQ448" i="40"/>
  <c r="AQ450" i="40"/>
  <c r="IB271" i="40"/>
  <c r="IF271" i="40" s="1"/>
  <c r="JR527" i="40"/>
  <c r="JQ527" i="40"/>
  <c r="KP512" i="40"/>
  <c r="AQ520" i="40"/>
  <c r="JQ516" i="40"/>
  <c r="KP566" i="40"/>
  <c r="AQ569" i="40"/>
  <c r="IB245" i="40"/>
  <c r="IB645" i="40" s="1"/>
  <c r="JD508" i="40"/>
  <c r="JQ508" i="40" s="1"/>
  <c r="JD568" i="40"/>
  <c r="JQ568" i="40" s="1"/>
  <c r="IB201" i="40"/>
  <c r="IE201" i="40" s="1"/>
  <c r="AQ412" i="40"/>
  <c r="AQ527" i="40"/>
  <c r="KP527" i="40"/>
  <c r="AQ546" i="40"/>
  <c r="JI671" i="40"/>
  <c r="JD531" i="40"/>
  <c r="JQ531" i="40" s="1"/>
  <c r="AQ541" i="40"/>
  <c r="KP518" i="40"/>
  <c r="JD530" i="40"/>
  <c r="JR530" i="40" s="1"/>
  <c r="AQ512" i="40"/>
  <c r="AQ531" i="40"/>
  <c r="AQ525" i="40"/>
  <c r="JD512" i="40"/>
  <c r="JR512" i="40" s="1"/>
  <c r="AQ519" i="40"/>
  <c r="JI637" i="40"/>
  <c r="JD518" i="40"/>
  <c r="JR518" i="40" s="1"/>
  <c r="AQ542" i="40"/>
  <c r="AQ458" i="40"/>
  <c r="JD542" i="40"/>
  <c r="JQ542" i="40" s="1"/>
  <c r="JD515" i="40"/>
  <c r="JR515" i="40" s="1"/>
  <c r="V33" i="69"/>
  <c r="V69" i="69" s="1"/>
  <c r="JD546" i="40"/>
  <c r="JR546" i="40" s="1"/>
  <c r="JD522" i="40"/>
  <c r="AQ453" i="40"/>
  <c r="AQ522" i="40"/>
  <c r="KP530" i="40"/>
  <c r="AQ462" i="40"/>
  <c r="AQ423" i="40"/>
  <c r="JD554" i="40"/>
  <c r="JQ554" i="40" s="1"/>
  <c r="JD502" i="40"/>
  <c r="JD561" i="40"/>
  <c r="JQ561" i="40" s="1"/>
  <c r="AQ550" i="40"/>
  <c r="KP561" i="40"/>
  <c r="KP419" i="40"/>
  <c r="JI668" i="40"/>
  <c r="JI651" i="40"/>
  <c r="AQ571" i="40"/>
  <c r="AQ554" i="40"/>
  <c r="JI624" i="40"/>
  <c r="IB224" i="40"/>
  <c r="IG224" i="40" s="1"/>
  <c r="KP513" i="40"/>
  <c r="KP571" i="40"/>
  <c r="AQ561" i="40"/>
  <c r="KP554" i="40"/>
  <c r="AQ564" i="40"/>
  <c r="AQ434" i="40"/>
  <c r="KP544" i="40"/>
  <c r="IB229" i="40"/>
  <c r="IB629" i="40" s="1"/>
  <c r="JA629" i="40" s="1"/>
  <c r="IL629" i="40" s="1"/>
  <c r="IB226" i="40"/>
  <c r="IB626" i="40" s="1"/>
  <c r="JA626" i="40" s="1"/>
  <c r="IL626" i="40" s="1"/>
  <c r="KP564" i="40"/>
  <c r="AQ414" i="40"/>
  <c r="JD532" i="40"/>
  <c r="JD541" i="40"/>
  <c r="JQ541" i="40" s="1"/>
  <c r="IB215" i="40"/>
  <c r="IB615" i="40" s="1"/>
  <c r="KP541" i="40"/>
  <c r="JD564" i="40"/>
  <c r="AQ465" i="40"/>
  <c r="IB233" i="40"/>
  <c r="IF233" i="40" s="1"/>
  <c r="JR522" i="40"/>
  <c r="AQ472" i="40"/>
  <c r="AQ437" i="40"/>
  <c r="KP509" i="40"/>
  <c r="JD534" i="40"/>
  <c r="JR534" i="40" s="1"/>
  <c r="AQ565" i="40"/>
  <c r="JI663" i="40"/>
  <c r="J9" i="70"/>
  <c r="J7" i="70"/>
  <c r="KP545" i="40"/>
  <c r="JI662" i="40"/>
  <c r="IB213" i="40"/>
  <c r="IE213" i="40" s="1"/>
  <c r="AQ410" i="40"/>
  <c r="JI667" i="40"/>
  <c r="JI660" i="40"/>
  <c r="KP532" i="40"/>
  <c r="JI643" i="40"/>
  <c r="AQ552" i="40"/>
  <c r="AQ464" i="40"/>
  <c r="AQ445" i="40"/>
  <c r="AQ470" i="40"/>
  <c r="JI635" i="40"/>
  <c r="JD545" i="40"/>
  <c r="JQ545" i="40" s="1"/>
  <c r="KP565" i="40"/>
  <c r="JD507" i="40"/>
  <c r="JQ507" i="40" s="1"/>
  <c r="JD509" i="40"/>
  <c r="KP572" i="40"/>
  <c r="IB223" i="40"/>
  <c r="IE223" i="40" s="1"/>
  <c r="JI601" i="40"/>
  <c r="AQ443" i="40"/>
  <c r="AQ463" i="40"/>
  <c r="JI661" i="40"/>
  <c r="AQ467" i="40"/>
  <c r="JI630" i="40"/>
  <c r="JD533" i="40"/>
  <c r="JQ533" i="40" s="1"/>
  <c r="JI664" i="40"/>
  <c r="JD511" i="40"/>
  <c r="JR511" i="40" s="1"/>
  <c r="AQ572" i="40"/>
  <c r="IB253" i="40"/>
  <c r="IB653" i="40" s="1"/>
  <c r="JA653" i="40" s="1"/>
  <c r="IL653" i="40" s="1"/>
  <c r="IB248" i="40"/>
  <c r="IE248" i="40" s="1"/>
  <c r="IB216" i="40"/>
  <c r="IB616" i="40" s="1"/>
  <c r="JA616" i="40" s="1"/>
  <c r="IL616" i="40" s="1"/>
  <c r="JI604" i="40"/>
  <c r="AQ511" i="40"/>
  <c r="JD547" i="40"/>
  <c r="JR547" i="40" s="1"/>
  <c r="AQ523" i="40"/>
  <c r="KP534" i="40"/>
  <c r="JD536" i="40"/>
  <c r="JR536" i="40" s="1"/>
  <c r="AQ526" i="40"/>
  <c r="AQ538" i="40"/>
  <c r="AQ442" i="40"/>
  <c r="AQ430" i="40"/>
  <c r="IB260" i="40"/>
  <c r="IE260" i="40" s="1"/>
  <c r="JD524" i="40"/>
  <c r="JQ524" i="40" s="1"/>
  <c r="AQ429" i="40"/>
  <c r="JI673" i="40"/>
  <c r="J14" i="70"/>
  <c r="J13" i="70"/>
  <c r="AQ534" i="40"/>
  <c r="KP538" i="40"/>
  <c r="AQ417" i="40"/>
  <c r="JI616" i="40"/>
  <c r="JI614" i="40"/>
  <c r="JI644" i="40"/>
  <c r="KP547" i="40"/>
  <c r="AQ573" i="40"/>
  <c r="J11" i="70"/>
  <c r="J12" i="70"/>
  <c r="KP537" i="40"/>
  <c r="KP511" i="40"/>
  <c r="AQ461" i="40"/>
  <c r="AQ432" i="40"/>
  <c r="AQ567" i="40"/>
  <c r="AQ424" i="40"/>
  <c r="J15" i="70"/>
  <c r="KP466" i="40"/>
  <c r="AQ549" i="40"/>
  <c r="KQ355" i="40"/>
  <c r="AQ556" i="40"/>
  <c r="IB270" i="40"/>
  <c r="IF270" i="40" s="1"/>
  <c r="IB250" i="40"/>
  <c r="IB650" i="40" s="1"/>
  <c r="IB242" i="40"/>
  <c r="IB642" i="40" s="1"/>
  <c r="JA642" i="40" s="1"/>
  <c r="IL642" i="40" s="1"/>
  <c r="KP524" i="40"/>
  <c r="KP567" i="40"/>
  <c r="AQ545" i="40"/>
  <c r="AU17" i="69"/>
  <c r="AQ517" i="40"/>
  <c r="JD567" i="40"/>
  <c r="JQ567" i="40" s="1"/>
  <c r="AQ543" i="40"/>
  <c r="JQ520" i="40"/>
  <c r="JI617" i="40"/>
  <c r="AQ413" i="40"/>
  <c r="JI636" i="40"/>
  <c r="JR520" i="40"/>
  <c r="JQ563" i="40"/>
  <c r="JI612" i="40"/>
  <c r="JD510" i="40"/>
  <c r="JQ510" i="40" s="1"/>
  <c r="AQ530" i="40"/>
  <c r="IB205" i="40"/>
  <c r="IF205" i="40" s="1"/>
  <c r="AQ566" i="40"/>
  <c r="IB217" i="40"/>
  <c r="IG217" i="40" s="1"/>
  <c r="AQ459" i="40"/>
  <c r="KP436" i="40"/>
  <c r="J10" i="70"/>
  <c r="J16" i="70"/>
  <c r="W7" i="70"/>
  <c r="BH7" i="70" s="1"/>
  <c r="JQ355" i="40"/>
  <c r="KP528" i="40"/>
  <c r="JD528" i="40"/>
  <c r="JR528" i="40" s="1"/>
  <c r="JI623" i="40"/>
  <c r="JI647" i="40"/>
  <c r="IB212" i="40"/>
  <c r="IE212" i="40" s="1"/>
  <c r="IB236" i="40"/>
  <c r="IE236" i="40" s="1"/>
  <c r="JI605" i="40"/>
  <c r="KP438" i="40"/>
  <c r="KP549" i="40"/>
  <c r="AQ557" i="40"/>
  <c r="KP557" i="40"/>
  <c r="JD506" i="40"/>
  <c r="JR506" i="40" s="1"/>
  <c r="JD572" i="40"/>
  <c r="JD553" i="40"/>
  <c r="JI618" i="40"/>
  <c r="JI670" i="40"/>
  <c r="JD549" i="40"/>
  <c r="JR549" i="40" s="1"/>
  <c r="AQ540" i="40"/>
  <c r="KP510" i="40"/>
  <c r="IE411" i="40"/>
  <c r="IG411" i="40"/>
  <c r="JQ351" i="40"/>
  <c r="JR351" i="40"/>
  <c r="KQ351" i="40"/>
  <c r="IE409" i="40"/>
  <c r="IG409" i="40"/>
  <c r="IG439" i="40"/>
  <c r="IE439" i="40"/>
  <c r="IC659" i="40"/>
  <c r="IC670" i="40"/>
  <c r="JD505" i="40"/>
  <c r="IE407" i="40"/>
  <c r="IG407" i="40"/>
  <c r="JI665" i="40"/>
  <c r="JR326" i="40"/>
  <c r="JQ326" i="40"/>
  <c r="KQ326" i="40"/>
  <c r="JD517" i="40"/>
  <c r="AQ551" i="40"/>
  <c r="IG460" i="40"/>
  <c r="IE460" i="40"/>
  <c r="IE456" i="40"/>
  <c r="IG456" i="40"/>
  <c r="IE427" i="40"/>
  <c r="IG427" i="40"/>
  <c r="KP551" i="40"/>
  <c r="JR373" i="40"/>
  <c r="JQ373" i="40"/>
  <c r="KQ373" i="40"/>
  <c r="JR335" i="40"/>
  <c r="KQ335" i="40"/>
  <c r="JQ335" i="40"/>
  <c r="KP526" i="40"/>
  <c r="IC646" i="40"/>
  <c r="IC637" i="40"/>
  <c r="IC631" i="40"/>
  <c r="JB631" i="40" s="1"/>
  <c r="IM631" i="40" s="1"/>
  <c r="IC649" i="40"/>
  <c r="IC606" i="40"/>
  <c r="IC673" i="40"/>
  <c r="IC666" i="40"/>
  <c r="JD537" i="40"/>
  <c r="AQ419" i="40"/>
  <c r="AQ426" i="40"/>
  <c r="IB251" i="40"/>
  <c r="IG251" i="40" s="1"/>
  <c r="ID651" i="40"/>
  <c r="JC651" i="40" s="1"/>
  <c r="IN651" i="40" s="1"/>
  <c r="IB259" i="40"/>
  <c r="IG259" i="40" s="1"/>
  <c r="ID659" i="40"/>
  <c r="JC646" i="40"/>
  <c r="IN646" i="40" s="1"/>
  <c r="IB243" i="40"/>
  <c r="IF243" i="40" s="1"/>
  <c r="ID643" i="40"/>
  <c r="JC643" i="40" s="1"/>
  <c r="IN643" i="40" s="1"/>
  <c r="JC603" i="40"/>
  <c r="IN603" i="40" s="1"/>
  <c r="IB269" i="40"/>
  <c r="IG269" i="40" s="1"/>
  <c r="ID669" i="40"/>
  <c r="JC661" i="40"/>
  <c r="IN661" i="40" s="1"/>
  <c r="ID631" i="40"/>
  <c r="AQ524" i="40"/>
  <c r="AQ457" i="40"/>
  <c r="KP413" i="40"/>
  <c r="BH14" i="70"/>
  <c r="JD501" i="40"/>
  <c r="AQ501" i="40"/>
  <c r="KP459" i="40"/>
  <c r="IC635" i="40"/>
  <c r="IC614" i="40"/>
  <c r="IC663" i="40"/>
  <c r="IB203" i="40"/>
  <c r="IF203" i="40" s="1"/>
  <c r="JI669" i="40"/>
  <c r="IC618" i="40"/>
  <c r="KP514" i="40"/>
  <c r="JQ319" i="40"/>
  <c r="JR319" i="40"/>
  <c r="KQ319" i="40"/>
  <c r="JD419" i="40"/>
  <c r="JD430" i="40"/>
  <c r="JC649" i="40"/>
  <c r="IN649" i="40" s="1"/>
  <c r="JC630" i="40"/>
  <c r="IN630" i="40" s="1"/>
  <c r="ID619" i="40"/>
  <c r="JC654" i="40"/>
  <c r="IN654" i="40" s="1"/>
  <c r="ID640" i="40"/>
  <c r="JC640" i="40" s="1"/>
  <c r="IN640" i="40" s="1"/>
  <c r="ID655" i="40"/>
  <c r="JC655" i="40" s="1"/>
  <c r="IN655" i="40" s="1"/>
  <c r="IB247" i="40"/>
  <c r="IG247" i="40" s="1"/>
  <c r="ID647" i="40"/>
  <c r="IB228" i="40"/>
  <c r="IG228" i="40" s="1"/>
  <c r="ID628" i="40"/>
  <c r="IB235" i="40"/>
  <c r="IG235" i="40" s="1"/>
  <c r="W46" i="66" s="1"/>
  <c r="ID635" i="40"/>
  <c r="JC635" i="40" s="1"/>
  <c r="IN635" i="40" s="1"/>
  <c r="JD544" i="40"/>
  <c r="JQ314" i="40"/>
  <c r="JR314" i="40"/>
  <c r="KQ314" i="40"/>
  <c r="W25" i="70"/>
  <c r="IF460" i="40"/>
  <c r="KP445" i="40"/>
  <c r="KP506" i="40"/>
  <c r="JD445" i="40"/>
  <c r="JD470" i="40"/>
  <c r="BH16" i="70"/>
  <c r="KP432" i="40"/>
  <c r="IC675" i="40"/>
  <c r="IB255" i="40"/>
  <c r="IF255" i="40" s="1"/>
  <c r="IB261" i="40"/>
  <c r="IF261" i="40" s="1"/>
  <c r="IB671" i="40"/>
  <c r="JA671" i="40" s="1"/>
  <c r="IL671" i="40" s="1"/>
  <c r="JI634" i="40"/>
  <c r="IC604" i="40"/>
  <c r="IC609" i="40"/>
  <c r="JB609" i="40" s="1"/>
  <c r="IM609" i="40" s="1"/>
  <c r="IE245" i="40"/>
  <c r="IB230" i="40"/>
  <c r="IF230" i="40" s="1"/>
  <c r="JI641" i="40"/>
  <c r="JI626" i="40"/>
  <c r="JI611" i="40"/>
  <c r="KP533" i="40"/>
  <c r="KP535" i="40"/>
  <c r="KP539" i="40"/>
  <c r="JD463" i="40"/>
  <c r="JD424" i="40"/>
  <c r="ID672" i="40"/>
  <c r="JC672" i="40" s="1"/>
  <c r="IN672" i="40" s="1"/>
  <c r="ID638" i="40"/>
  <c r="JC638" i="40" s="1"/>
  <c r="IN638" i="40" s="1"/>
  <c r="ID629" i="40"/>
  <c r="JC629" i="40" s="1"/>
  <c r="IN629" i="40" s="1"/>
  <c r="ID615" i="40"/>
  <c r="JC615" i="40" s="1"/>
  <c r="IN615" i="40" s="1"/>
  <c r="JC633" i="40"/>
  <c r="IN633" i="40" s="1"/>
  <c r="JC606" i="40"/>
  <c r="IN606" i="40" s="1"/>
  <c r="IB252" i="40"/>
  <c r="IG252" i="40" s="1"/>
  <c r="ID652" i="40"/>
  <c r="JC652" i="40" s="1"/>
  <c r="IN652" i="40" s="1"/>
  <c r="ID645" i="40"/>
  <c r="JC645" i="40" s="1"/>
  <c r="IN645" i="40" s="1"/>
  <c r="ID613" i="40"/>
  <c r="JC613" i="40" s="1"/>
  <c r="IN613" i="40" s="1"/>
  <c r="IB208" i="40"/>
  <c r="IG208" i="40" s="1"/>
  <c r="ID608" i="40"/>
  <c r="JD562" i="40"/>
  <c r="JD569" i="40"/>
  <c r="AQ555" i="40"/>
  <c r="KP457" i="40"/>
  <c r="Z43" i="59"/>
  <c r="KP501" i="40"/>
  <c r="JD521" i="40"/>
  <c r="JD469" i="40"/>
  <c r="KP469" i="40"/>
  <c r="JD442" i="40"/>
  <c r="IE474" i="40"/>
  <c r="IG474" i="40"/>
  <c r="KQ538" i="40"/>
  <c r="JR538" i="40"/>
  <c r="JQ538" i="40"/>
  <c r="IC652" i="40"/>
  <c r="JB652" i="40" s="1"/>
  <c r="IM652" i="40" s="1"/>
  <c r="IC656" i="40"/>
  <c r="IC632" i="40"/>
  <c r="IC672" i="40"/>
  <c r="IC602" i="40"/>
  <c r="IE428" i="40"/>
  <c r="IG428" i="40"/>
  <c r="ID667" i="40"/>
  <c r="JC667" i="40" s="1"/>
  <c r="IN667" i="40" s="1"/>
  <c r="ID670" i="40"/>
  <c r="IB234" i="40"/>
  <c r="IG234" i="40" s="1"/>
  <c r="ID634" i="40"/>
  <c r="JC634" i="40" s="1"/>
  <c r="IN634" i="40" s="1"/>
  <c r="IB265" i="40"/>
  <c r="IG265" i="40" s="1"/>
  <c r="W48" i="66" s="1"/>
  <c r="ID665" i="40"/>
  <c r="JC665" i="40" s="1"/>
  <c r="IN665" i="40" s="1"/>
  <c r="ID658" i="40"/>
  <c r="ID617" i="40"/>
  <c r="JC617" i="40" s="1"/>
  <c r="IN617" i="40" s="1"/>
  <c r="IB268" i="40"/>
  <c r="IG268" i="40" s="1"/>
  <c r="ID668" i="40"/>
  <c r="ID660" i="40"/>
  <c r="IB241" i="40"/>
  <c r="IG241" i="40" s="1"/>
  <c r="ID641" i="40"/>
  <c r="JC641" i="40" s="1"/>
  <c r="IN641" i="40" s="1"/>
  <c r="KP519" i="40"/>
  <c r="JD551" i="40"/>
  <c r="IE418" i="40"/>
  <c r="IG418" i="40"/>
  <c r="IG421" i="40"/>
  <c r="IE421" i="40"/>
  <c r="JD526" i="40"/>
  <c r="JQ350" i="40"/>
  <c r="KQ350" i="40"/>
  <c r="JR350" i="40"/>
  <c r="IE444" i="40"/>
  <c r="IG444" i="40"/>
  <c r="IB237" i="40"/>
  <c r="IG237" i="40" s="1"/>
  <c r="IB206" i="40"/>
  <c r="IF206" i="40" s="1"/>
  <c r="IC657" i="40"/>
  <c r="JB657" i="40" s="1"/>
  <c r="IM657" i="40" s="1"/>
  <c r="IC620" i="40"/>
  <c r="KQ372" i="40"/>
  <c r="JR372" i="40"/>
  <c r="JQ372" i="40"/>
  <c r="JI620" i="40"/>
  <c r="JI657" i="40"/>
  <c r="JI648" i="40"/>
  <c r="JI627" i="40"/>
  <c r="JI674" i="40"/>
  <c r="IE431" i="40"/>
  <c r="IG431" i="40"/>
  <c r="W40" i="68" s="1"/>
  <c r="IE451" i="40"/>
  <c r="IG451" i="40"/>
  <c r="KP550" i="40"/>
  <c r="KP515" i="40"/>
  <c r="JD413" i="40"/>
  <c r="KP434" i="40"/>
  <c r="JD443" i="40"/>
  <c r="JQ321" i="40"/>
  <c r="JR321" i="40"/>
  <c r="KQ321" i="40"/>
  <c r="W32" i="70"/>
  <c r="JD459" i="40"/>
  <c r="IF439" i="40"/>
  <c r="IC667" i="40"/>
  <c r="JB667" i="40" s="1"/>
  <c r="IM667" i="40" s="1"/>
  <c r="IC633" i="40"/>
  <c r="IC664" i="40"/>
  <c r="IB263" i="40"/>
  <c r="IG263" i="40" s="1"/>
  <c r="JI658" i="40"/>
  <c r="IC669" i="40"/>
  <c r="KP543" i="40"/>
  <c r="JD514" i="40"/>
  <c r="JD410" i="40"/>
  <c r="KP410" i="40"/>
  <c r="KP401" i="40"/>
  <c r="AQ455" i="40"/>
  <c r="JI639" i="40"/>
  <c r="JI666" i="40"/>
  <c r="KP552" i="40"/>
  <c r="AQ536" i="40"/>
  <c r="KP464" i="40"/>
  <c r="IF427" i="40"/>
  <c r="AQ537" i="40"/>
  <c r="JQ570" i="40"/>
  <c r="KP461" i="40"/>
  <c r="KP559" i="40"/>
  <c r="KP429" i="40"/>
  <c r="JI610" i="40"/>
  <c r="IC634" i="40"/>
  <c r="IC605" i="40"/>
  <c r="IC641" i="40"/>
  <c r="JB641" i="40" s="1"/>
  <c r="IM641" i="40" s="1"/>
  <c r="IC626" i="40"/>
  <c r="JB626" i="40" s="1"/>
  <c r="IM626" i="40" s="1"/>
  <c r="IC611" i="40"/>
  <c r="JD535" i="40"/>
  <c r="AQ544" i="40"/>
  <c r="JD539" i="40"/>
  <c r="KP426" i="40"/>
  <c r="ID601" i="40"/>
  <c r="JI675" i="40"/>
  <c r="JI602" i="40"/>
  <c r="JI607" i="40"/>
  <c r="JI653" i="40"/>
  <c r="J8" i="70"/>
  <c r="K8" i="70"/>
  <c r="K16" i="70"/>
  <c r="K10" i="70"/>
  <c r="KP536" i="40"/>
  <c r="JQ375" i="40"/>
  <c r="JR375" i="40"/>
  <c r="KQ375" i="40"/>
  <c r="W18" i="70"/>
  <c r="JD457" i="40"/>
  <c r="KP467" i="40"/>
  <c r="KP553" i="40"/>
  <c r="JD417" i="40"/>
  <c r="KP417" i="40"/>
  <c r="KP442" i="40"/>
  <c r="JD472" i="40"/>
  <c r="KP472" i="40"/>
  <c r="JD465" i="40"/>
  <c r="KP465" i="40"/>
  <c r="IE471" i="40"/>
  <c r="IG471" i="40"/>
  <c r="IE449" i="40"/>
  <c r="IG449" i="40"/>
  <c r="IE447" i="40"/>
  <c r="IG447" i="40"/>
  <c r="JR339" i="40"/>
  <c r="JQ339" i="40"/>
  <c r="KQ339" i="40"/>
  <c r="IC639" i="40"/>
  <c r="JB639" i="40" s="1"/>
  <c r="IM639" i="40" s="1"/>
  <c r="IB232" i="40"/>
  <c r="IG232" i="40" s="1"/>
  <c r="IC601" i="40"/>
  <c r="IC701" i="40" s="1"/>
  <c r="IC622" i="40"/>
  <c r="IE422" i="40"/>
  <c r="IG422" i="40"/>
  <c r="JI622" i="40"/>
  <c r="JI632" i="40"/>
  <c r="JI650" i="40"/>
  <c r="JI642" i="40"/>
  <c r="JD519" i="40"/>
  <c r="JQ337" i="40"/>
  <c r="JR337" i="40"/>
  <c r="KQ337" i="40"/>
  <c r="JQ338" i="40"/>
  <c r="KQ338" i="40"/>
  <c r="JR338" i="40"/>
  <c r="IE403" i="40"/>
  <c r="IG403" i="40"/>
  <c r="IE402" i="40"/>
  <c r="IG402" i="40"/>
  <c r="AU17" i="68" s="1"/>
  <c r="AQ533" i="40"/>
  <c r="IF411" i="40"/>
  <c r="JD529" i="40"/>
  <c r="AQ529" i="40"/>
  <c r="AQ466" i="40"/>
  <c r="IB246" i="40"/>
  <c r="IB231" i="40"/>
  <c r="IB249" i="40"/>
  <c r="IC644" i="40"/>
  <c r="IF223" i="40"/>
  <c r="IC623" i="40"/>
  <c r="IC615" i="40"/>
  <c r="IC619" i="40"/>
  <c r="IC654" i="40"/>
  <c r="IB266" i="40"/>
  <c r="IF266" i="40" s="1"/>
  <c r="IC608" i="40"/>
  <c r="JQ546" i="40"/>
  <c r="IE425" i="40"/>
  <c r="IG425" i="40"/>
  <c r="W38" i="68" s="1"/>
  <c r="ID623" i="40"/>
  <c r="IB262" i="40"/>
  <c r="IG262" i="40" s="1"/>
  <c r="ID662" i="40"/>
  <c r="JC662" i="40" s="1"/>
  <c r="IN662" i="40" s="1"/>
  <c r="ID611" i="40"/>
  <c r="JC611" i="40" s="1"/>
  <c r="IN611" i="40" s="1"/>
  <c r="IB220" i="40"/>
  <c r="IG220" i="40" s="1"/>
  <c r="ID620" i="40"/>
  <c r="JC620" i="40" s="1"/>
  <c r="IN620" i="40" s="1"/>
  <c r="IB225" i="40"/>
  <c r="IG225" i="40" s="1"/>
  <c r="ID625" i="40"/>
  <c r="IB257" i="40"/>
  <c r="IF257" i="40" s="1"/>
  <c r="ID657" i="40"/>
  <c r="IB227" i="40"/>
  <c r="IG227" i="40" s="1"/>
  <c r="ID627" i="40"/>
  <c r="JC627" i="40" s="1"/>
  <c r="IN627" i="40" s="1"/>
  <c r="IB274" i="40"/>
  <c r="IG274" i="40" s="1"/>
  <c r="ID674" i="40"/>
  <c r="JC674" i="40" s="1"/>
  <c r="IN674" i="40" s="1"/>
  <c r="IB204" i="40"/>
  <c r="IG204" i="40" s="1"/>
  <c r="ID604" i="40"/>
  <c r="JR575" i="40"/>
  <c r="JQ575" i="40"/>
  <c r="AQ506" i="40"/>
  <c r="AQ438" i="40"/>
  <c r="JD550" i="40"/>
  <c r="IF402" i="40"/>
  <c r="KP529" i="40"/>
  <c r="KP458" i="40"/>
  <c r="JD434" i="40"/>
  <c r="AB43" i="59"/>
  <c r="JR325" i="40"/>
  <c r="KQ325" i="40"/>
  <c r="JQ325" i="40"/>
  <c r="W36" i="70"/>
  <c r="KP504" i="40"/>
  <c r="IF409" i="40"/>
  <c r="IG233" i="40"/>
  <c r="IE233" i="40"/>
  <c r="IB633" i="40"/>
  <c r="JI625" i="40"/>
  <c r="IC647" i="40"/>
  <c r="IC638" i="40"/>
  <c r="IC628" i="40"/>
  <c r="IC653" i="40"/>
  <c r="IC640" i="40"/>
  <c r="JB640" i="40" s="1"/>
  <c r="IM640" i="40" s="1"/>
  <c r="IC658" i="40"/>
  <c r="IC660" i="40"/>
  <c r="JD543" i="40"/>
  <c r="JD523" i="40"/>
  <c r="JQ503" i="40"/>
  <c r="JR503" i="40"/>
  <c r="JD432" i="40"/>
  <c r="JD401" i="40"/>
  <c r="ID612" i="40"/>
  <c r="JC612" i="40" s="1"/>
  <c r="IN612" i="40" s="1"/>
  <c r="ID636" i="40"/>
  <c r="JC636" i="40" s="1"/>
  <c r="IN636" i="40" s="1"/>
  <c r="ID609" i="40"/>
  <c r="JC609" i="40" s="1"/>
  <c r="IN609" i="40" s="1"/>
  <c r="IB218" i="40"/>
  <c r="IG218" i="40" s="1"/>
  <c r="ID618" i="40"/>
  <c r="JC618" i="40" s="1"/>
  <c r="IN618" i="40" s="1"/>
  <c r="ID616" i="40"/>
  <c r="IB239" i="40"/>
  <c r="IG239" i="40" s="1"/>
  <c r="ID639" i="40"/>
  <c r="IB244" i="40"/>
  <c r="IG244" i="40" s="1"/>
  <c r="ID644" i="40"/>
  <c r="JC644" i="40" s="1"/>
  <c r="IN644" i="40" s="1"/>
  <c r="ID666" i="40"/>
  <c r="IB273" i="40"/>
  <c r="IG273" i="40" s="1"/>
  <c r="ID673" i="40"/>
  <c r="JD552" i="40"/>
  <c r="JD464" i="40"/>
  <c r="BH10" i="70"/>
  <c r="KP573" i="40"/>
  <c r="JR354" i="40"/>
  <c r="KQ354" i="40"/>
  <c r="JQ354" i="40"/>
  <c r="KP423" i="40"/>
  <c r="JD461" i="40"/>
  <c r="JD412" i="40"/>
  <c r="KP412" i="40"/>
  <c r="JR342" i="40"/>
  <c r="JQ342" i="40"/>
  <c r="KQ342" i="40"/>
  <c r="JD559" i="40"/>
  <c r="AQ510" i="40"/>
  <c r="KP443" i="40"/>
  <c r="JD466" i="40"/>
  <c r="JD429" i="40"/>
  <c r="IB275" i="40"/>
  <c r="IF275" i="40" s="1"/>
  <c r="JI655" i="40"/>
  <c r="IC610" i="40"/>
  <c r="JB610" i="40" s="1"/>
  <c r="IM610" i="40" s="1"/>
  <c r="IC661" i="40"/>
  <c r="IC671" i="40"/>
  <c r="IB209" i="40"/>
  <c r="IF209" i="40" s="1"/>
  <c r="JI621" i="40"/>
  <c r="IC651" i="40"/>
  <c r="KP555" i="40"/>
  <c r="KP556" i="40"/>
  <c r="IF422" i="40"/>
  <c r="KP455" i="40"/>
  <c r="JD426" i="40"/>
  <c r="JC675" i="40"/>
  <c r="IN675" i="40" s="1"/>
  <c r="IB202" i="40"/>
  <c r="IG202" i="40" s="1"/>
  <c r="ID602" i="40"/>
  <c r="JC602" i="40" s="1"/>
  <c r="IN602" i="40" s="1"/>
  <c r="IB207" i="40"/>
  <c r="IG207" i="40" s="1"/>
  <c r="ID607" i="40"/>
  <c r="JC607" i="40" s="1"/>
  <c r="IN607" i="40" s="1"/>
  <c r="ID605" i="40"/>
  <c r="ID624" i="40"/>
  <c r="JC624" i="40" s="1"/>
  <c r="IN624" i="40" s="1"/>
  <c r="ID637" i="40"/>
  <c r="IG271" i="40"/>
  <c r="ID671" i="40"/>
  <c r="JC671" i="40" s="1"/>
  <c r="IN671" i="40" s="1"/>
  <c r="ID653" i="40"/>
  <c r="AQ521" i="40"/>
  <c r="KP448" i="40"/>
  <c r="JD438" i="40"/>
  <c r="JD420" i="40"/>
  <c r="JD467" i="40"/>
  <c r="KP540" i="40"/>
  <c r="JR346" i="40"/>
  <c r="KQ346" i="40"/>
  <c r="JQ346" i="40"/>
  <c r="W57" i="70"/>
  <c r="JD450" i="40"/>
  <c r="IE441" i="40"/>
  <c r="IG441" i="40"/>
  <c r="JD513" i="40"/>
  <c r="AQ513" i="40"/>
  <c r="IG446" i="40"/>
  <c r="IE446" i="40"/>
  <c r="IE405" i="40"/>
  <c r="IG405" i="40"/>
  <c r="KQ542" i="40"/>
  <c r="AQ469" i="40"/>
  <c r="IB256" i="40"/>
  <c r="IB272" i="40"/>
  <c r="IG272" i="40" s="1"/>
  <c r="JR330" i="40"/>
  <c r="KQ330" i="40"/>
  <c r="JQ330" i="40"/>
  <c r="AQ528" i="40"/>
  <c r="IE416" i="40"/>
  <c r="IG416" i="40"/>
  <c r="IE475" i="40"/>
  <c r="IG475" i="40"/>
  <c r="W36" i="68" s="1"/>
  <c r="IC665" i="40"/>
  <c r="JB665" i="40" s="1"/>
  <c r="IM665" i="40" s="1"/>
  <c r="IC627" i="40"/>
  <c r="IC648" i="40"/>
  <c r="HT701" i="40"/>
  <c r="JI701" i="40" s="1"/>
  <c r="IC662" i="40"/>
  <c r="JB662" i="40" s="1"/>
  <c r="IM662" i="40" s="1"/>
  <c r="IC613" i="40"/>
  <c r="IC642" i="40"/>
  <c r="JB642" i="40" s="1"/>
  <c r="IM642" i="40" s="1"/>
  <c r="IC629" i="40"/>
  <c r="IC650" i="40"/>
  <c r="IC616" i="40"/>
  <c r="E4" i="59"/>
  <c r="T41" i="59" s="1"/>
  <c r="H4" i="59"/>
  <c r="H28" i="59" s="1"/>
  <c r="G4" i="59"/>
  <c r="G28" i="59" s="1"/>
  <c r="KP505" i="40"/>
  <c r="IG408" i="40"/>
  <c r="IE408" i="40"/>
  <c r="IE468" i="40"/>
  <c r="IG468" i="40"/>
  <c r="IB264" i="40"/>
  <c r="IG264" i="40" s="1"/>
  <c r="ID664" i="40"/>
  <c r="JC664" i="40" s="1"/>
  <c r="IN664" i="40" s="1"/>
  <c r="IB221" i="40"/>
  <c r="IG221" i="40" s="1"/>
  <c r="ID621" i="40"/>
  <c r="JC621" i="40" s="1"/>
  <c r="IN621" i="40" s="1"/>
  <c r="IB222" i="40"/>
  <c r="IG222" i="40" s="1"/>
  <c r="ID622" i="40"/>
  <c r="ID626" i="40"/>
  <c r="ID632" i="40"/>
  <c r="ID663" i="40"/>
  <c r="JC663" i="40" s="1"/>
  <c r="IN663" i="40" s="1"/>
  <c r="ID650" i="40"/>
  <c r="JC650" i="40" s="1"/>
  <c r="IN650" i="40" s="1"/>
  <c r="ID642" i="40"/>
  <c r="IB214" i="40"/>
  <c r="IF214" i="40" s="1"/>
  <c r="ID614" i="40"/>
  <c r="IB210" i="40"/>
  <c r="IG210" i="40" s="1"/>
  <c r="ID610" i="40"/>
  <c r="KT159" i="40"/>
  <c r="KU158" i="40"/>
  <c r="I69" i="70" s="1"/>
  <c r="J65" i="70" s="1"/>
  <c r="KP517" i="40"/>
  <c r="KP430" i="40"/>
  <c r="JQ343" i="40"/>
  <c r="JR343" i="40"/>
  <c r="KQ343" i="40"/>
  <c r="W54" i="70"/>
  <c r="KQ322" i="40"/>
  <c r="JQ322" i="40"/>
  <c r="JR322" i="40"/>
  <c r="W33" i="70"/>
  <c r="IE473" i="40"/>
  <c r="IG473" i="40"/>
  <c r="IE406" i="40"/>
  <c r="IG406" i="40"/>
  <c r="JD557" i="40"/>
  <c r="IG454" i="40"/>
  <c r="IE454" i="40"/>
  <c r="IE452" i="40"/>
  <c r="IG452" i="40"/>
  <c r="IC668" i="40"/>
  <c r="IC617" i="40"/>
  <c r="IB219" i="40"/>
  <c r="IB254" i="40"/>
  <c r="IF254" i="40" s="1"/>
  <c r="IC674" i="40"/>
  <c r="JB674" i="40" s="1"/>
  <c r="IM674" i="40" s="1"/>
  <c r="IE433" i="40"/>
  <c r="IG433" i="40"/>
  <c r="AQ436" i="40"/>
  <c r="JI659" i="40"/>
  <c r="JI646" i="40"/>
  <c r="JI656" i="40"/>
  <c r="JI631" i="40"/>
  <c r="JR356" i="40"/>
  <c r="KQ356" i="40"/>
  <c r="JQ356" i="40"/>
  <c r="W8" i="70"/>
  <c r="W67" i="70"/>
  <c r="AQ507" i="40"/>
  <c r="IE435" i="40"/>
  <c r="IG435" i="40"/>
  <c r="W42" i="68" s="1"/>
  <c r="IE440" i="40"/>
  <c r="IG440" i="40"/>
  <c r="IF403" i="40"/>
  <c r="KP415" i="40"/>
  <c r="KP507" i="40"/>
  <c r="BH11" i="70"/>
  <c r="JD458" i="40"/>
  <c r="IF474" i="40"/>
  <c r="KQ361" i="40"/>
  <c r="JR361" i="40"/>
  <c r="JQ361" i="40"/>
  <c r="JD504" i="40"/>
  <c r="AQ509" i="40"/>
  <c r="JD462" i="40"/>
  <c r="KP462" i="40"/>
  <c r="IB267" i="40"/>
  <c r="IF267" i="40" s="1"/>
  <c r="IC625" i="40"/>
  <c r="IB238" i="40"/>
  <c r="IC607" i="40"/>
  <c r="IC612" i="40"/>
  <c r="IC603" i="40"/>
  <c r="IB240" i="40"/>
  <c r="IB258" i="40"/>
  <c r="JD525" i="40"/>
  <c r="AQ553" i="40"/>
  <c r="IF428" i="40"/>
  <c r="IF407" i="40"/>
  <c r="JD436" i="40"/>
  <c r="JI619" i="40"/>
  <c r="JI654" i="40"/>
  <c r="JI640" i="40"/>
  <c r="JI628" i="40"/>
  <c r="IF456" i="40"/>
  <c r="JD573" i="40"/>
  <c r="KP525" i="40"/>
  <c r="KP470" i="40"/>
  <c r="JD423" i="40"/>
  <c r="JD415" i="40"/>
  <c r="AQ515" i="40"/>
  <c r="IF475" i="40"/>
  <c r="IF454" i="40"/>
  <c r="IF452" i="40"/>
  <c r="IC643" i="40"/>
  <c r="IC655" i="40"/>
  <c r="IC624" i="40"/>
  <c r="IC636" i="40"/>
  <c r="JI609" i="40"/>
  <c r="IC621" i="40"/>
  <c r="IC645" i="40"/>
  <c r="IC630" i="40"/>
  <c r="IB211" i="40"/>
  <c r="IG211" i="40" s="1"/>
  <c r="AQ547" i="40"/>
  <c r="KP463" i="40"/>
  <c r="KP424" i="40"/>
  <c r="JD455" i="40"/>
  <c r="JI638" i="40"/>
  <c r="JI629" i="40"/>
  <c r="JI615" i="40"/>
  <c r="JI633" i="40"/>
  <c r="JI606" i="40"/>
  <c r="JI652" i="40"/>
  <c r="JI613" i="40"/>
  <c r="JI608" i="40"/>
  <c r="JQ306" i="40"/>
  <c r="JR306" i="40"/>
  <c r="KQ306" i="40"/>
  <c r="KP562" i="40"/>
  <c r="KP569" i="40"/>
  <c r="JD448" i="40"/>
  <c r="IF435" i="40"/>
  <c r="IF451" i="40"/>
  <c r="KP420" i="40"/>
  <c r="JD540" i="40"/>
  <c r="BH9" i="70"/>
  <c r="JD437" i="40"/>
  <c r="KP437" i="40"/>
  <c r="JD414" i="40"/>
  <c r="KP414" i="40"/>
  <c r="JD404" i="40"/>
  <c r="KP404" i="40"/>
  <c r="JD453" i="40"/>
  <c r="KP453" i="40"/>
  <c r="KP450" i="40"/>
  <c r="JR510" i="40" l="1"/>
  <c r="IF215" i="40"/>
  <c r="JQ528" i="40"/>
  <c r="IG215" i="40"/>
  <c r="JT587" i="40"/>
  <c r="JX587" i="40" s="1"/>
  <c r="JQ584" i="40"/>
  <c r="JQ586" i="40"/>
  <c r="KQ572" i="40"/>
  <c r="IE215" i="40"/>
  <c r="JR556" i="40"/>
  <c r="O19" i="59"/>
  <c r="JR568" i="40"/>
  <c r="KQ578" i="40"/>
  <c r="JR542" i="40"/>
  <c r="JQ571" i="40"/>
  <c r="JR561" i="40"/>
  <c r="IF685" i="40"/>
  <c r="JU584" i="40"/>
  <c r="JV584" i="40" s="1"/>
  <c r="JW584" i="40" s="1"/>
  <c r="IF686" i="40"/>
  <c r="IE216" i="40"/>
  <c r="JU587" i="40"/>
  <c r="JV587" i="40" s="1"/>
  <c r="JW587" i="40" s="1"/>
  <c r="KQ586" i="40"/>
  <c r="KQ587" i="40"/>
  <c r="KQ585" i="40"/>
  <c r="JM586" i="40"/>
  <c r="KI587" i="40"/>
  <c r="KK587" i="40"/>
  <c r="JS587" i="40"/>
  <c r="KJ587" i="40"/>
  <c r="KK584" i="40"/>
  <c r="JS584" i="40"/>
  <c r="KJ584" i="40"/>
  <c r="KI584" i="40"/>
  <c r="KQ584" i="40"/>
  <c r="JM585" i="40"/>
  <c r="JU585" i="40" s="1"/>
  <c r="JV585" i="40" s="1"/>
  <c r="JW585" i="40" s="1"/>
  <c r="JT584" i="40"/>
  <c r="JX584" i="40" s="1"/>
  <c r="JR558" i="40"/>
  <c r="AQ484" i="40"/>
  <c r="IF687" i="40"/>
  <c r="IG686" i="40"/>
  <c r="AQ688" i="40"/>
  <c r="JQ579" i="40"/>
  <c r="JU579" i="40" s="1"/>
  <c r="JV579" i="40" s="1"/>
  <c r="JW579" i="40" s="1"/>
  <c r="JD688" i="40"/>
  <c r="JK688" i="40"/>
  <c r="JL685" i="40"/>
  <c r="JL686" i="40"/>
  <c r="JL687" i="40"/>
  <c r="KK484" i="40"/>
  <c r="KI484" i="40"/>
  <c r="KJ484" i="40"/>
  <c r="JM684" i="40"/>
  <c r="JD485" i="40"/>
  <c r="KP485" i="40"/>
  <c r="KQ556" i="40"/>
  <c r="JR560" i="40"/>
  <c r="AQ485" i="40"/>
  <c r="IF684" i="40"/>
  <c r="JM486" i="40"/>
  <c r="JA686" i="40"/>
  <c r="IL686" i="40" s="1"/>
  <c r="JA687" i="40"/>
  <c r="IL687" i="40" s="1"/>
  <c r="JD484" i="40"/>
  <c r="KP484" i="40"/>
  <c r="JL684" i="40"/>
  <c r="AQ486" i="40"/>
  <c r="JD487" i="40"/>
  <c r="KP487" i="40"/>
  <c r="IG687" i="40"/>
  <c r="JQ534" i="40"/>
  <c r="JR555" i="40"/>
  <c r="JM485" i="40"/>
  <c r="IG684" i="40"/>
  <c r="IG685" i="40"/>
  <c r="AQ685" i="40" s="1"/>
  <c r="JM487" i="40"/>
  <c r="JD486" i="40"/>
  <c r="KP486" i="40"/>
  <c r="JA684" i="40"/>
  <c r="IL684" i="40" s="1"/>
  <c r="JA685" i="40"/>
  <c r="IL685" i="40" s="1"/>
  <c r="JR577" i="40"/>
  <c r="JR578" i="40"/>
  <c r="JT579" i="40"/>
  <c r="JX579" i="40" s="1"/>
  <c r="JQ483" i="40"/>
  <c r="IE250" i="40"/>
  <c r="JR533" i="40"/>
  <c r="AM20" i="70"/>
  <c r="V55" i="69"/>
  <c r="W40" i="66"/>
  <c r="IG226" i="40"/>
  <c r="JQ566" i="40"/>
  <c r="IE205" i="40"/>
  <c r="IG270" i="40"/>
  <c r="IE271" i="40"/>
  <c r="JR554" i="40"/>
  <c r="JR567" i="40"/>
  <c r="JQ512" i="40"/>
  <c r="JQ574" i="40"/>
  <c r="IB670" i="40"/>
  <c r="IG670" i="40" s="1"/>
  <c r="KQ548" i="40"/>
  <c r="JQ511" i="40"/>
  <c r="IG216" i="40"/>
  <c r="JR548" i="40"/>
  <c r="KQ555" i="40"/>
  <c r="IF216" i="40"/>
  <c r="JQ548" i="40"/>
  <c r="AQ474" i="40"/>
  <c r="JQ582" i="40"/>
  <c r="JU582" i="40" s="1"/>
  <c r="JV582" i="40" s="1"/>
  <c r="JW582" i="40" s="1"/>
  <c r="AQ477" i="40"/>
  <c r="AQ476" i="40"/>
  <c r="IG276" i="40"/>
  <c r="KK582" i="40"/>
  <c r="KJ582" i="40"/>
  <c r="JS582" i="40"/>
  <c r="KI582" i="40"/>
  <c r="JT582" i="40"/>
  <c r="JX582" i="40" s="1"/>
  <c r="KI577" i="40"/>
  <c r="JS577" i="40"/>
  <c r="KK577" i="40"/>
  <c r="KJ577" i="40"/>
  <c r="JT577" i="40"/>
  <c r="JX577" i="40" s="1"/>
  <c r="KK578" i="40"/>
  <c r="KJ578" i="40"/>
  <c r="JS578" i="40"/>
  <c r="KI578" i="40"/>
  <c r="JT578" i="40"/>
  <c r="JX578" i="40" s="1"/>
  <c r="AQ478" i="40"/>
  <c r="AQ479" i="40"/>
  <c r="JU577" i="40"/>
  <c r="JV577" i="40" s="1"/>
  <c r="JW577" i="40" s="1"/>
  <c r="JR581" i="40"/>
  <c r="KQ581" i="40"/>
  <c r="JT581" i="40"/>
  <c r="JX581" i="40" s="1"/>
  <c r="JQ581" i="40"/>
  <c r="JU581" i="40" s="1"/>
  <c r="JV581" i="40" s="1"/>
  <c r="JW581" i="40" s="1"/>
  <c r="KQ579" i="40"/>
  <c r="JU578" i="40"/>
  <c r="JV578" i="40" s="1"/>
  <c r="JW578" i="40" s="1"/>
  <c r="KQ516" i="40"/>
  <c r="KQ564" i="40"/>
  <c r="KQ532" i="40"/>
  <c r="IG277" i="40"/>
  <c r="AQ481" i="40"/>
  <c r="KQ577" i="40"/>
  <c r="JQ576" i="40"/>
  <c r="JU576" i="40" s="1"/>
  <c r="JV576" i="40" s="1"/>
  <c r="JW576" i="40" s="1"/>
  <c r="JR576" i="40"/>
  <c r="KQ576" i="40"/>
  <c r="JT576" i="40"/>
  <c r="JX576" i="40" s="1"/>
  <c r="KI581" i="40"/>
  <c r="KK581" i="40"/>
  <c r="JS581" i="40"/>
  <c r="KJ581" i="40"/>
  <c r="KK579" i="40"/>
  <c r="KJ579" i="40"/>
  <c r="JS579" i="40"/>
  <c r="KI579" i="40"/>
  <c r="AQ482" i="40"/>
  <c r="KQ580" i="40"/>
  <c r="KQ582" i="40"/>
  <c r="KQ583" i="40"/>
  <c r="KI576" i="40"/>
  <c r="KK576" i="40"/>
  <c r="KJ576" i="40"/>
  <c r="JS576" i="40"/>
  <c r="JM583" i="40"/>
  <c r="JM580" i="40"/>
  <c r="JU580" i="40" s="1"/>
  <c r="JV580" i="40" s="1"/>
  <c r="JW580" i="40" s="1"/>
  <c r="JD482" i="40"/>
  <c r="KP482" i="40"/>
  <c r="KK479" i="40"/>
  <c r="KJ479" i="40"/>
  <c r="KI479" i="40"/>
  <c r="KI477" i="40"/>
  <c r="KJ477" i="40"/>
  <c r="KK477" i="40"/>
  <c r="KI481" i="40"/>
  <c r="KK481" i="40"/>
  <c r="KJ481" i="40"/>
  <c r="IF262" i="40"/>
  <c r="JR507" i="40"/>
  <c r="KQ524" i="40"/>
  <c r="KK482" i="40"/>
  <c r="KJ482" i="40"/>
  <c r="JS482" i="40"/>
  <c r="KI482" i="40"/>
  <c r="JD477" i="40"/>
  <c r="KP477" i="40"/>
  <c r="JD480" i="40"/>
  <c r="KP480" i="40"/>
  <c r="JR524" i="40"/>
  <c r="JM483" i="40"/>
  <c r="JD478" i="40"/>
  <c r="KP478" i="40"/>
  <c r="JD476" i="40"/>
  <c r="KP476" i="40"/>
  <c r="JM480" i="40"/>
  <c r="JD481" i="40"/>
  <c r="KP481" i="40"/>
  <c r="JM476" i="40"/>
  <c r="JM478" i="40"/>
  <c r="JD479" i="40"/>
  <c r="KP479" i="40"/>
  <c r="AQ480" i="40"/>
  <c r="IF260" i="40"/>
  <c r="IG223" i="40"/>
  <c r="AQ223" i="40" s="1"/>
  <c r="IB624" i="40"/>
  <c r="IF624" i="40" s="1"/>
  <c r="JQ518" i="40"/>
  <c r="IF236" i="40"/>
  <c r="KQ547" i="40"/>
  <c r="IB648" i="40"/>
  <c r="JA648" i="40" s="1"/>
  <c r="IL648" i="40" s="1"/>
  <c r="JQ515" i="40"/>
  <c r="IF282" i="40"/>
  <c r="KQ518" i="40"/>
  <c r="IF217" i="40"/>
  <c r="IG201" i="40"/>
  <c r="K8" i="61" s="1"/>
  <c r="IG248" i="40"/>
  <c r="IB623" i="40"/>
  <c r="IG623" i="40" s="1"/>
  <c r="IE229" i="40"/>
  <c r="JL276" i="40"/>
  <c r="JM276" i="40" s="1"/>
  <c r="JG676" i="40"/>
  <c r="JF676" i="40" s="1"/>
  <c r="JL283" i="40"/>
  <c r="JM283" i="40" s="1"/>
  <c r="JG683" i="40"/>
  <c r="JF683" i="40" s="1"/>
  <c r="JB676" i="40"/>
  <c r="IM676" i="40" s="1"/>
  <c r="JQ547" i="40"/>
  <c r="AM65" i="70"/>
  <c r="JR508" i="40"/>
  <c r="JR531" i="40"/>
  <c r="IE279" i="40"/>
  <c r="IB679" i="40"/>
  <c r="IE679" i="40" s="1"/>
  <c r="JB681" i="40"/>
  <c r="IM681" i="40" s="1"/>
  <c r="JL277" i="40"/>
  <c r="JM277" i="40" s="1"/>
  <c r="JG677" i="40"/>
  <c r="JF677" i="40" s="1"/>
  <c r="JL278" i="40"/>
  <c r="JM278" i="40" s="1"/>
  <c r="JG678" i="40"/>
  <c r="JF678" i="40" s="1"/>
  <c r="JB678" i="40"/>
  <c r="IM678" i="40" s="1"/>
  <c r="IF251" i="40"/>
  <c r="IB601" i="40"/>
  <c r="IB701" i="40" s="1"/>
  <c r="IE281" i="40"/>
  <c r="IB681" i="40"/>
  <c r="IE681" i="40" s="1"/>
  <c r="JL281" i="40"/>
  <c r="JM281" i="40" s="1"/>
  <c r="JG681" i="40"/>
  <c r="JF681" i="40" s="1"/>
  <c r="JL282" i="40"/>
  <c r="JM282" i="40" s="1"/>
  <c r="JG682" i="40"/>
  <c r="JF682" i="40" s="1"/>
  <c r="JC679" i="40"/>
  <c r="IN679" i="40" s="1"/>
  <c r="IE280" i="40"/>
  <c r="IB680" i="40"/>
  <c r="IE680" i="40" s="1"/>
  <c r="IE278" i="40"/>
  <c r="IB678" i="40"/>
  <c r="IE678" i="40" s="1"/>
  <c r="IE276" i="40"/>
  <c r="IB676" i="40"/>
  <c r="IE676" i="40" s="1"/>
  <c r="IF269" i="40"/>
  <c r="IG250" i="40"/>
  <c r="IF250" i="40"/>
  <c r="IF248" i="40"/>
  <c r="IF201" i="40"/>
  <c r="IF226" i="40"/>
  <c r="IG260" i="40"/>
  <c r="JR565" i="40"/>
  <c r="JB679" i="40"/>
  <c r="IM679" i="40" s="1"/>
  <c r="IE282" i="40"/>
  <c r="IB682" i="40"/>
  <c r="IE682" i="40" s="1"/>
  <c r="IF281" i="40"/>
  <c r="JL280" i="40"/>
  <c r="JM280" i="40" s="1"/>
  <c r="JG680" i="40"/>
  <c r="JF680" i="40" s="1"/>
  <c r="JL279" i="40"/>
  <c r="JM279" i="40" s="1"/>
  <c r="JG679" i="40"/>
  <c r="JF679" i="40" s="1"/>
  <c r="JC676" i="40"/>
  <c r="IN676" i="40" s="1"/>
  <c r="IG279" i="40"/>
  <c r="AQ279" i="40" s="1"/>
  <c r="IE277" i="40"/>
  <c r="IB677" i="40"/>
  <c r="IG281" i="40"/>
  <c r="IE283" i="40"/>
  <c r="IB683" i="40"/>
  <c r="IE683" i="40" s="1"/>
  <c r="JD683" i="40" s="1"/>
  <c r="IF280" i="40"/>
  <c r="IF278" i="40"/>
  <c r="AQ278" i="40" s="1"/>
  <c r="JC680" i="40"/>
  <c r="IN680" i="40" s="1"/>
  <c r="IG283" i="40"/>
  <c r="AQ283" i="40" s="1"/>
  <c r="V67" i="69"/>
  <c r="KQ567" i="40"/>
  <c r="IF229" i="40"/>
  <c r="P19" i="59"/>
  <c r="IG205" i="40"/>
  <c r="JR532" i="40"/>
  <c r="IE270" i="40"/>
  <c r="IG245" i="40"/>
  <c r="IE224" i="40"/>
  <c r="AM41" i="70"/>
  <c r="IG229" i="40"/>
  <c r="IF245" i="40"/>
  <c r="AQ245" i="40" s="1"/>
  <c r="V53" i="69"/>
  <c r="AM12" i="70"/>
  <c r="BN12" i="70" s="1"/>
  <c r="IG253" i="40"/>
  <c r="JQ564" i="40"/>
  <c r="JQ530" i="40"/>
  <c r="IF224" i="40"/>
  <c r="IB605" i="40"/>
  <c r="IG605" i="40" s="1"/>
  <c r="KQ502" i="40"/>
  <c r="KQ560" i="40"/>
  <c r="KQ527" i="40"/>
  <c r="JQ502" i="40"/>
  <c r="JR502" i="40"/>
  <c r="M7" i="59"/>
  <c r="E44" i="59" s="1"/>
  <c r="IF212" i="40"/>
  <c r="IF274" i="40"/>
  <c r="KQ534" i="40"/>
  <c r="V51" i="69"/>
  <c r="V57" i="69"/>
  <c r="V59" i="69"/>
  <c r="AM53" i="70"/>
  <c r="KQ510" i="40"/>
  <c r="KQ546" i="40"/>
  <c r="KQ574" i="40"/>
  <c r="KQ528" i="40"/>
  <c r="IF234" i="40"/>
  <c r="AM49" i="70"/>
  <c r="KQ554" i="40"/>
  <c r="KQ507" i="40"/>
  <c r="KQ530" i="40"/>
  <c r="KQ561" i="40"/>
  <c r="KQ515" i="40"/>
  <c r="KQ508" i="40"/>
  <c r="AM33" i="70"/>
  <c r="KQ558" i="40"/>
  <c r="KQ568" i="40"/>
  <c r="AQ428" i="40"/>
  <c r="V61" i="69"/>
  <c r="V63" i="69"/>
  <c r="KQ511" i="40"/>
  <c r="KQ566" i="40"/>
  <c r="KQ503" i="40"/>
  <c r="KQ575" i="40"/>
  <c r="AQ411" i="40"/>
  <c r="KQ545" i="40"/>
  <c r="IE226" i="40"/>
  <c r="AM7" i="70"/>
  <c r="AM44" i="70"/>
  <c r="KQ565" i="40"/>
  <c r="KQ563" i="40"/>
  <c r="KQ522" i="40"/>
  <c r="JQ522" i="40"/>
  <c r="V65" i="69"/>
  <c r="V71" i="69"/>
  <c r="KQ512" i="40"/>
  <c r="AM21" i="70"/>
  <c r="KQ570" i="40"/>
  <c r="KQ571" i="40"/>
  <c r="KQ553" i="40"/>
  <c r="KQ531" i="40"/>
  <c r="KQ533" i="40"/>
  <c r="KQ541" i="40"/>
  <c r="KQ520" i="40"/>
  <c r="IF253" i="40"/>
  <c r="IE253" i="40"/>
  <c r="JR541" i="40"/>
  <c r="KQ536" i="40"/>
  <c r="JQ536" i="40"/>
  <c r="AQ439" i="40"/>
  <c r="IE633" i="40"/>
  <c r="AM52" i="70"/>
  <c r="AQ215" i="40"/>
  <c r="JR564" i="40"/>
  <c r="JQ509" i="40"/>
  <c r="IF213" i="40"/>
  <c r="JQ532" i="40"/>
  <c r="IG213" i="40"/>
  <c r="W42" i="66" s="1"/>
  <c r="AQ407" i="40"/>
  <c r="AQ409" i="40"/>
  <c r="AQ456" i="40"/>
  <c r="IG242" i="40"/>
  <c r="IF228" i="40"/>
  <c r="IB612" i="40"/>
  <c r="IF612" i="40" s="1"/>
  <c r="JR545" i="40"/>
  <c r="KQ509" i="40"/>
  <c r="JQ549" i="40"/>
  <c r="IF242" i="40"/>
  <c r="IG212" i="40"/>
  <c r="JR509" i="40"/>
  <c r="IB613" i="40"/>
  <c r="IF613" i="40" s="1"/>
  <c r="AQ451" i="40"/>
  <c r="JR572" i="40"/>
  <c r="IE242" i="40"/>
  <c r="IF221" i="40"/>
  <c r="IF252" i="40"/>
  <c r="IF241" i="40"/>
  <c r="IB660" i="40"/>
  <c r="JA660" i="40" s="1"/>
  <c r="IL660" i="40" s="1"/>
  <c r="J64" i="70"/>
  <c r="AQ427" i="40"/>
  <c r="AQ452" i="40"/>
  <c r="AQ449" i="40"/>
  <c r="AQ425" i="40"/>
  <c r="IF207" i="40"/>
  <c r="AQ403" i="40"/>
  <c r="IF648" i="40"/>
  <c r="IF265" i="40"/>
  <c r="JQ572" i="40"/>
  <c r="AQ460" i="40"/>
  <c r="KQ549" i="40"/>
  <c r="AQ475" i="40"/>
  <c r="IF268" i="40"/>
  <c r="AQ422" i="40"/>
  <c r="IF247" i="40"/>
  <c r="IF208" i="40"/>
  <c r="JQ506" i="40"/>
  <c r="AM60" i="70"/>
  <c r="AQ473" i="40"/>
  <c r="AQ406" i="40"/>
  <c r="IF227" i="40"/>
  <c r="IE217" i="40"/>
  <c r="JD217" i="40" s="1"/>
  <c r="JQ553" i="40"/>
  <c r="AM64" i="70"/>
  <c r="IG236" i="40"/>
  <c r="IB636" i="40"/>
  <c r="JA636" i="40" s="1"/>
  <c r="IL636" i="40" s="1"/>
  <c r="AQ440" i="40"/>
  <c r="AQ441" i="40"/>
  <c r="JD447" i="40"/>
  <c r="JR447" i="40" s="1"/>
  <c r="JR553" i="40"/>
  <c r="IB617" i="40"/>
  <c r="IG617" i="40" s="1"/>
  <c r="AQ435" i="40"/>
  <c r="IF225" i="40"/>
  <c r="KQ506" i="40"/>
  <c r="IG266" i="40"/>
  <c r="AQ471" i="40"/>
  <c r="JC670" i="40"/>
  <c r="IN670" i="40" s="1"/>
  <c r="AQ408" i="40"/>
  <c r="AQ416" i="40"/>
  <c r="AQ446" i="40"/>
  <c r="JD433" i="40"/>
  <c r="JQ433" i="40" s="1"/>
  <c r="IG214" i="40"/>
  <c r="AQ468" i="40"/>
  <c r="AQ405" i="40"/>
  <c r="JA633" i="40"/>
  <c r="IL633" i="40" s="1"/>
  <c r="AQ421" i="40"/>
  <c r="AQ444" i="40"/>
  <c r="JD418" i="40"/>
  <c r="JR418" i="40" s="1"/>
  <c r="JR540" i="40"/>
  <c r="KQ540" i="40"/>
  <c r="JQ540" i="40"/>
  <c r="JB630" i="40"/>
  <c r="IM630" i="40" s="1"/>
  <c r="JB655" i="40"/>
  <c r="IM655" i="40" s="1"/>
  <c r="KQ573" i="40"/>
  <c r="JQ573" i="40"/>
  <c r="JR573" i="40"/>
  <c r="JQ453" i="40"/>
  <c r="JR453" i="40"/>
  <c r="JR414" i="40"/>
  <c r="JQ414" i="40"/>
  <c r="JR455" i="40"/>
  <c r="JQ455" i="40"/>
  <c r="J66" i="70"/>
  <c r="JB624" i="40"/>
  <c r="IM624" i="40" s="1"/>
  <c r="AQ454" i="40"/>
  <c r="IE258" i="40"/>
  <c r="IB658" i="40"/>
  <c r="IE658" i="40" s="1"/>
  <c r="JB612" i="40"/>
  <c r="IM612" i="40" s="1"/>
  <c r="IE238" i="40"/>
  <c r="IB638" i="40"/>
  <c r="IE638" i="40" s="1"/>
  <c r="KP433" i="40"/>
  <c r="JB617" i="40"/>
  <c r="IM617" i="40" s="1"/>
  <c r="KT160" i="40"/>
  <c r="KU159" i="40"/>
  <c r="JC614" i="40"/>
  <c r="IN614" i="40" s="1"/>
  <c r="JC626" i="40"/>
  <c r="IN626" i="40" s="1"/>
  <c r="IG626" i="40"/>
  <c r="IE222" i="40"/>
  <c r="IB622" i="40"/>
  <c r="IF622" i="40" s="1"/>
  <c r="IE221" i="40"/>
  <c r="IB621" i="40"/>
  <c r="IF621" i="40" s="1"/>
  <c r="IE264" i="40"/>
  <c r="IB664" i="40"/>
  <c r="IE664" i="40" s="1"/>
  <c r="Z41" i="59"/>
  <c r="JB613" i="40"/>
  <c r="IM613" i="40" s="1"/>
  <c r="JD475" i="40"/>
  <c r="IG256" i="40"/>
  <c r="IE256" i="40"/>
  <c r="IB656" i="40"/>
  <c r="JA656" i="40" s="1"/>
  <c r="IL656" i="40" s="1"/>
  <c r="KQ513" i="40"/>
  <c r="JQ513" i="40"/>
  <c r="JR513" i="40"/>
  <c r="JR438" i="40"/>
  <c r="JQ438" i="40"/>
  <c r="JB651" i="40"/>
  <c r="IM651" i="40" s="1"/>
  <c r="IE605" i="40"/>
  <c r="AQ271" i="40"/>
  <c r="JQ429" i="40"/>
  <c r="JR429" i="40"/>
  <c r="JQ461" i="40"/>
  <c r="JR461" i="40"/>
  <c r="JR464" i="40"/>
  <c r="JQ464" i="40"/>
  <c r="JC639" i="40"/>
  <c r="IN639" i="40" s="1"/>
  <c r="IE218" i="40"/>
  <c r="IB618" i="40"/>
  <c r="IE618" i="40" s="1"/>
  <c r="JR401" i="40"/>
  <c r="JQ401" i="40"/>
  <c r="JR543" i="40"/>
  <c r="JQ543" i="40"/>
  <c r="KQ543" i="40"/>
  <c r="AM54" i="70"/>
  <c r="IF258" i="40"/>
  <c r="JB653" i="40"/>
  <c r="IM653" i="40" s="1"/>
  <c r="IF653" i="40"/>
  <c r="JB638" i="40"/>
  <c r="IM638" i="40" s="1"/>
  <c r="JR434" i="40"/>
  <c r="JQ434" i="40"/>
  <c r="AQ402" i="40"/>
  <c r="AT17" i="68"/>
  <c r="IE204" i="40"/>
  <c r="IB604" i="40"/>
  <c r="IE604" i="40" s="1"/>
  <c r="IE274" i="40"/>
  <c r="IB674" i="40"/>
  <c r="IG674" i="40" s="1"/>
  <c r="IE227" i="40"/>
  <c r="IB627" i="40"/>
  <c r="IF627" i="40" s="1"/>
  <c r="JC625" i="40"/>
  <c r="IN625" i="40" s="1"/>
  <c r="JB654" i="40"/>
  <c r="IM654" i="40" s="1"/>
  <c r="JB615" i="40"/>
  <c r="IM615" i="40" s="1"/>
  <c r="IF615" i="40"/>
  <c r="JB644" i="40"/>
  <c r="IM644" i="40" s="1"/>
  <c r="IE231" i="40"/>
  <c r="IB631" i="40"/>
  <c r="IG631" i="40" s="1"/>
  <c r="JQ529" i="40"/>
  <c r="JR529" i="40"/>
  <c r="KQ529" i="40"/>
  <c r="JD402" i="40"/>
  <c r="KQ419" i="40" s="1"/>
  <c r="KP402" i="40"/>
  <c r="J68" i="70"/>
  <c r="KP447" i="40"/>
  <c r="JD471" i="40"/>
  <c r="KP471" i="40"/>
  <c r="JR465" i="40"/>
  <c r="JQ465" i="40"/>
  <c r="JQ410" i="40"/>
  <c r="JR410" i="40"/>
  <c r="N18" i="59"/>
  <c r="IE263" i="40"/>
  <c r="IB663" i="40"/>
  <c r="JA663" i="40" s="1"/>
  <c r="IL663" i="40" s="1"/>
  <c r="AQ233" i="40"/>
  <c r="JQ459" i="40"/>
  <c r="JR459" i="40"/>
  <c r="JD451" i="40"/>
  <c r="IE237" i="40"/>
  <c r="IB637" i="40"/>
  <c r="IE637" i="40" s="1"/>
  <c r="JC660" i="40"/>
  <c r="IN660" i="40" s="1"/>
  <c r="IE268" i="40"/>
  <c r="IB668" i="40"/>
  <c r="IF668" i="40" s="1"/>
  <c r="IG258" i="40"/>
  <c r="IE265" i="40"/>
  <c r="AQ265" i="40" s="1"/>
  <c r="IB665" i="40"/>
  <c r="IF665" i="40" s="1"/>
  <c r="IE234" i="40"/>
  <c r="IB634" i="40"/>
  <c r="IE634" i="40" s="1"/>
  <c r="JB602" i="40"/>
  <c r="JB672" i="40"/>
  <c r="IM672" i="40" s="1"/>
  <c r="JB656" i="40"/>
  <c r="IM656" i="40" s="1"/>
  <c r="JQ469" i="40"/>
  <c r="JR469" i="40"/>
  <c r="JC608" i="40"/>
  <c r="IN608" i="40" s="1"/>
  <c r="IG613" i="40"/>
  <c r="JD245" i="40"/>
  <c r="JR445" i="40"/>
  <c r="JQ445" i="40"/>
  <c r="JQ544" i="40"/>
  <c r="JR544" i="40"/>
  <c r="KQ544" i="40"/>
  <c r="IE235" i="40"/>
  <c r="IB635" i="40"/>
  <c r="IE635" i="40" s="1"/>
  <c r="JC647" i="40"/>
  <c r="IN647" i="40" s="1"/>
  <c r="JR430" i="40"/>
  <c r="JQ430" i="40"/>
  <c r="IF218" i="40"/>
  <c r="JB614" i="40"/>
  <c r="IM614" i="40" s="1"/>
  <c r="JC631" i="40"/>
  <c r="IN631" i="40" s="1"/>
  <c r="JC669" i="40"/>
  <c r="IN669" i="40" s="1"/>
  <c r="IE243" i="40"/>
  <c r="IB643" i="40"/>
  <c r="IE643" i="40" s="1"/>
  <c r="IG615" i="40"/>
  <c r="IE615" i="40"/>
  <c r="JB606" i="40"/>
  <c r="IM606" i="40" s="1"/>
  <c r="IF237" i="40"/>
  <c r="JR517" i="40"/>
  <c r="KQ517" i="40"/>
  <c r="JQ517" i="40"/>
  <c r="AM15" i="70"/>
  <c r="IG650" i="40"/>
  <c r="IE650" i="40"/>
  <c r="AQ418" i="40"/>
  <c r="JB645" i="40"/>
  <c r="IM645" i="40" s="1"/>
  <c r="IF645" i="40"/>
  <c r="IE240" i="40"/>
  <c r="IB640" i="40"/>
  <c r="IE640" i="40" s="1"/>
  <c r="JB625" i="40"/>
  <c r="IM625" i="40" s="1"/>
  <c r="JR462" i="40"/>
  <c r="JQ462" i="40"/>
  <c r="JD435" i="40"/>
  <c r="KP435" i="40"/>
  <c r="BH8" i="70"/>
  <c r="JD452" i="40"/>
  <c r="KP452" i="40"/>
  <c r="JD406" i="40"/>
  <c r="KP406" i="40"/>
  <c r="JC610" i="40"/>
  <c r="IN610" i="40" s="1"/>
  <c r="AB41" i="59"/>
  <c r="JB650" i="40"/>
  <c r="IM650" i="40" s="1"/>
  <c r="IF650" i="40"/>
  <c r="JB627" i="40"/>
  <c r="IM627" i="40" s="1"/>
  <c r="JD416" i="40"/>
  <c r="KP416" i="40"/>
  <c r="JC653" i="40"/>
  <c r="IN653" i="40" s="1"/>
  <c r="IG653" i="40"/>
  <c r="JC637" i="40"/>
  <c r="IN637" i="40" s="1"/>
  <c r="J63" i="70"/>
  <c r="JB661" i="40"/>
  <c r="IM661" i="40" s="1"/>
  <c r="IF210" i="40"/>
  <c r="JQ466" i="40"/>
  <c r="JR466" i="40"/>
  <c r="JR559" i="40"/>
  <c r="JQ559" i="40"/>
  <c r="KQ559" i="40"/>
  <c r="IE273" i="40"/>
  <c r="IB673" i="40"/>
  <c r="IE673" i="40" s="1"/>
  <c r="JB660" i="40"/>
  <c r="IM660" i="40" s="1"/>
  <c r="IF238" i="40"/>
  <c r="JC657" i="40"/>
  <c r="IN657" i="40" s="1"/>
  <c r="IE262" i="40"/>
  <c r="IB662" i="40"/>
  <c r="IG662" i="40" s="1"/>
  <c r="JB608" i="40"/>
  <c r="IM608" i="40" s="1"/>
  <c r="IF244" i="40"/>
  <c r="IG246" i="40"/>
  <c r="IE246" i="40"/>
  <c r="IB646" i="40"/>
  <c r="IF646" i="40" s="1"/>
  <c r="JD422" i="40"/>
  <c r="JB622" i="40"/>
  <c r="IM622" i="40" s="1"/>
  <c r="JB601" i="40"/>
  <c r="JC601" i="40"/>
  <c r="IG601" i="40"/>
  <c r="K12" i="61" s="1"/>
  <c r="JR539" i="40"/>
  <c r="KQ539" i="40"/>
  <c r="JQ539" i="40"/>
  <c r="JR535" i="40"/>
  <c r="KQ535" i="40"/>
  <c r="JQ535" i="40"/>
  <c r="AM46" i="70"/>
  <c r="IF626" i="40"/>
  <c r="JB634" i="40"/>
  <c r="IM634" i="40" s="1"/>
  <c r="JQ514" i="40"/>
  <c r="KQ514" i="40"/>
  <c r="JR514" i="40"/>
  <c r="JB664" i="40"/>
  <c r="IM664" i="40" s="1"/>
  <c r="JR413" i="40"/>
  <c r="JQ413" i="40"/>
  <c r="KP451" i="40"/>
  <c r="IF202" i="40"/>
  <c r="IF272" i="40"/>
  <c r="IF256" i="40"/>
  <c r="JR442" i="40"/>
  <c r="JQ442" i="40"/>
  <c r="KQ442" i="40"/>
  <c r="KQ569" i="40"/>
  <c r="JR569" i="40"/>
  <c r="JQ569" i="40"/>
  <c r="JB604" i="40"/>
  <c r="IM604" i="40" s="1"/>
  <c r="IG671" i="40"/>
  <c r="IE671" i="40"/>
  <c r="JC628" i="40"/>
  <c r="IN628" i="40" s="1"/>
  <c r="JQ419" i="40"/>
  <c r="JR419" i="40"/>
  <c r="IG203" i="40"/>
  <c r="IE203" i="40"/>
  <c r="IB603" i="40"/>
  <c r="IF603" i="40" s="1"/>
  <c r="IG231" i="40"/>
  <c r="W44" i="66" s="1"/>
  <c r="IE259" i="40"/>
  <c r="IB659" i="40"/>
  <c r="IF659" i="40" s="1"/>
  <c r="IE251" i="40"/>
  <c r="IB651" i="40"/>
  <c r="IG651" i="40" s="1"/>
  <c r="KQ537" i="40"/>
  <c r="JR537" i="40"/>
  <c r="JQ537" i="40"/>
  <c r="JB673" i="40"/>
  <c r="IM673" i="40" s="1"/>
  <c r="JD215" i="40"/>
  <c r="KP215" i="40"/>
  <c r="JB646" i="40"/>
  <c r="IM646" i="40" s="1"/>
  <c r="JD456" i="40"/>
  <c r="KP456" i="40"/>
  <c r="JD407" i="40"/>
  <c r="KP407" i="40"/>
  <c r="IE616" i="40"/>
  <c r="JA613" i="40"/>
  <c r="IL613" i="40" s="1"/>
  <c r="JB659" i="40"/>
  <c r="IM659" i="40" s="1"/>
  <c r="BN7" i="70"/>
  <c r="JQ448" i="40"/>
  <c r="JR448" i="40"/>
  <c r="JR415" i="40"/>
  <c r="JQ415" i="40"/>
  <c r="JR525" i="40"/>
  <c r="KQ525" i="40"/>
  <c r="JQ525" i="40"/>
  <c r="JB643" i="40"/>
  <c r="IM643" i="40" s="1"/>
  <c r="JR404" i="40"/>
  <c r="JQ404" i="40"/>
  <c r="JQ437" i="40"/>
  <c r="JR437" i="40"/>
  <c r="IE211" i="40"/>
  <c r="IB611" i="40"/>
  <c r="IF611" i="40" s="1"/>
  <c r="JB636" i="40"/>
  <c r="IM636" i="40" s="1"/>
  <c r="JB603" i="40"/>
  <c r="IM603" i="40" s="1"/>
  <c r="JB607" i="40"/>
  <c r="IM607" i="40" s="1"/>
  <c r="JR458" i="40"/>
  <c r="JQ458" i="40"/>
  <c r="IG254" i="40"/>
  <c r="IE254" i="40"/>
  <c r="IB654" i="40"/>
  <c r="IF654" i="40" s="1"/>
  <c r="JB668" i="40"/>
  <c r="IM668" i="40" s="1"/>
  <c r="JD454" i="40"/>
  <c r="KP454" i="40"/>
  <c r="JQ557" i="40"/>
  <c r="JR557" i="40"/>
  <c r="KQ557" i="40"/>
  <c r="AM68" i="70"/>
  <c r="IE214" i="40"/>
  <c r="IB614" i="40"/>
  <c r="IE614" i="40" s="1"/>
  <c r="JC632" i="40"/>
  <c r="IN632" i="40" s="1"/>
  <c r="JC622" i="40"/>
  <c r="IN622" i="40" s="1"/>
  <c r="JD468" i="40"/>
  <c r="KP468" i="40"/>
  <c r="IF642" i="40"/>
  <c r="JB648" i="40"/>
  <c r="IM648" i="40" s="1"/>
  <c r="JD405" i="40"/>
  <c r="KP405" i="40"/>
  <c r="JD441" i="40"/>
  <c r="KP441" i="40"/>
  <c r="JR467" i="40"/>
  <c r="JQ467" i="40"/>
  <c r="JC605" i="40"/>
  <c r="IN605" i="40" s="1"/>
  <c r="JR426" i="40"/>
  <c r="JQ426" i="40"/>
  <c r="JQ552" i="40"/>
  <c r="KQ552" i="40"/>
  <c r="JR552" i="40"/>
  <c r="JC666" i="40"/>
  <c r="IN666" i="40" s="1"/>
  <c r="IE239" i="40"/>
  <c r="IB639" i="40"/>
  <c r="IE639" i="40" s="1"/>
  <c r="IF640" i="40"/>
  <c r="JB628" i="40"/>
  <c r="IM628" i="40" s="1"/>
  <c r="JB647" i="40"/>
  <c r="IM647" i="40" s="1"/>
  <c r="KQ550" i="40"/>
  <c r="JR550" i="40"/>
  <c r="JQ550" i="40"/>
  <c r="JC604" i="40"/>
  <c r="IN604" i="40" s="1"/>
  <c r="IG257" i="40"/>
  <c r="IE225" i="40"/>
  <c r="IB625" i="40"/>
  <c r="IE625" i="40" s="1"/>
  <c r="IE220" i="40"/>
  <c r="IB620" i="40"/>
  <c r="IF620" i="40" s="1"/>
  <c r="JC623" i="40"/>
  <c r="IN623" i="40" s="1"/>
  <c r="JD425" i="40"/>
  <c r="KP425" i="40"/>
  <c r="JB619" i="40"/>
  <c r="IM619" i="40" s="1"/>
  <c r="JB623" i="40"/>
  <c r="IM623" i="40" s="1"/>
  <c r="IF623" i="40"/>
  <c r="KP422" i="40"/>
  <c r="IF222" i="40"/>
  <c r="IF239" i="40"/>
  <c r="JR472" i="40"/>
  <c r="JQ472" i="40"/>
  <c r="JR417" i="40"/>
  <c r="JQ417" i="40"/>
  <c r="JR457" i="40"/>
  <c r="JQ457" i="40"/>
  <c r="ID701" i="40"/>
  <c r="IE701" i="40" s="1"/>
  <c r="JB611" i="40"/>
  <c r="IM611" i="40" s="1"/>
  <c r="E28" i="59"/>
  <c r="IF264" i="40"/>
  <c r="JQ443" i="40"/>
  <c r="JR443" i="40"/>
  <c r="JB620" i="40"/>
  <c r="IM620" i="40" s="1"/>
  <c r="JD444" i="40"/>
  <c r="KP444" i="40"/>
  <c r="JD421" i="40"/>
  <c r="KP421" i="40"/>
  <c r="KP418" i="40"/>
  <c r="KQ551" i="40"/>
  <c r="JR551" i="40"/>
  <c r="JQ551" i="40"/>
  <c r="JC668" i="40"/>
  <c r="IN668" i="40" s="1"/>
  <c r="IE670" i="40"/>
  <c r="JB632" i="40"/>
  <c r="IM632" i="40" s="1"/>
  <c r="JD474" i="40"/>
  <c r="KP474" i="40"/>
  <c r="JQ521" i="40"/>
  <c r="KQ521" i="40"/>
  <c r="JR521" i="40"/>
  <c r="JR562" i="40"/>
  <c r="KQ562" i="40"/>
  <c r="JQ562" i="40"/>
  <c r="IE208" i="40"/>
  <c r="AQ208" i="40" s="1"/>
  <c r="IB608" i="40"/>
  <c r="IG608" i="40" s="1"/>
  <c r="IG633" i="40"/>
  <c r="IG238" i="40"/>
  <c r="JR424" i="40"/>
  <c r="JQ424" i="40"/>
  <c r="AE35" i="70"/>
  <c r="IG230" i="40"/>
  <c r="IE230" i="40"/>
  <c r="IB630" i="40"/>
  <c r="JA630" i="40" s="1"/>
  <c r="IL630" i="40" s="1"/>
  <c r="IF204" i="40"/>
  <c r="AQ204" i="40" s="1"/>
  <c r="JD271" i="40"/>
  <c r="KP271" i="40"/>
  <c r="IG255" i="40"/>
  <c r="IE255" i="40"/>
  <c r="IB655" i="40"/>
  <c r="IE247" i="40"/>
  <c r="IB647" i="40"/>
  <c r="IG640" i="40"/>
  <c r="JC619" i="40"/>
  <c r="IN619" i="40" s="1"/>
  <c r="JB663" i="40"/>
  <c r="IM663" i="40" s="1"/>
  <c r="JB635" i="40"/>
  <c r="IM635" i="40" s="1"/>
  <c r="JQ501" i="40"/>
  <c r="JR501" i="40"/>
  <c r="KQ501" i="40"/>
  <c r="IE269" i="40"/>
  <c r="IB669" i="40"/>
  <c r="IE669" i="40" s="1"/>
  <c r="IF273" i="40"/>
  <c r="JA623" i="40"/>
  <c r="IL623" i="40" s="1"/>
  <c r="IE623" i="40"/>
  <c r="JB649" i="40"/>
  <c r="IM649" i="40" s="1"/>
  <c r="IF231" i="40"/>
  <c r="IF246" i="40"/>
  <c r="JD460" i="40"/>
  <c r="KP460" i="40"/>
  <c r="JD216" i="40"/>
  <c r="KP216" i="40"/>
  <c r="IF259" i="40"/>
  <c r="JD409" i="40"/>
  <c r="KP409" i="40"/>
  <c r="JD411" i="40"/>
  <c r="KP411" i="40"/>
  <c r="IE626" i="40"/>
  <c r="AQ433" i="40"/>
  <c r="AQ431" i="40"/>
  <c r="AQ447" i="40"/>
  <c r="JB621" i="40"/>
  <c r="IM621" i="40" s="1"/>
  <c r="JR423" i="40"/>
  <c r="JQ423" i="40"/>
  <c r="JR436" i="40"/>
  <c r="JQ436" i="40"/>
  <c r="IG267" i="40"/>
  <c r="IE267" i="40"/>
  <c r="IB667" i="40"/>
  <c r="JA667" i="40" s="1"/>
  <c r="IL667" i="40" s="1"/>
  <c r="KQ504" i="40"/>
  <c r="JR504" i="40"/>
  <c r="JQ504" i="40"/>
  <c r="JD440" i="40"/>
  <c r="KP440" i="40"/>
  <c r="IE219" i="40"/>
  <c r="IB619" i="40"/>
  <c r="IE619" i="40" s="1"/>
  <c r="JD473" i="40"/>
  <c r="KP473" i="40"/>
  <c r="J69" i="70"/>
  <c r="J28" i="70"/>
  <c r="J30" i="70"/>
  <c r="J33" i="70"/>
  <c r="J31" i="70"/>
  <c r="J26" i="70"/>
  <c r="J22" i="70"/>
  <c r="J32" i="70"/>
  <c r="J25" i="70"/>
  <c r="J36" i="70"/>
  <c r="J21" i="70"/>
  <c r="J34" i="70"/>
  <c r="J24" i="70"/>
  <c r="J29" i="70"/>
  <c r="J37" i="70"/>
  <c r="J35" i="70"/>
  <c r="J27" i="70"/>
  <c r="J23" i="70"/>
  <c r="J20" i="70"/>
  <c r="J41" i="70"/>
  <c r="J38" i="70"/>
  <c r="J40" i="70"/>
  <c r="J39" i="70"/>
  <c r="J42" i="70"/>
  <c r="J44" i="70"/>
  <c r="J46" i="70"/>
  <c r="J43" i="70"/>
  <c r="J48" i="70"/>
  <c r="J45" i="70"/>
  <c r="J47" i="70"/>
  <c r="J49" i="70"/>
  <c r="J50" i="70"/>
  <c r="J52" i="70"/>
  <c r="J53" i="70"/>
  <c r="J51" i="70"/>
  <c r="J54" i="70"/>
  <c r="J57" i="70"/>
  <c r="J55" i="70"/>
  <c r="J56" i="70"/>
  <c r="J59" i="70"/>
  <c r="J61" i="70"/>
  <c r="J58" i="70"/>
  <c r="J60" i="70"/>
  <c r="J62" i="70"/>
  <c r="IE210" i="40"/>
  <c r="IB610" i="40"/>
  <c r="IE610" i="40" s="1"/>
  <c r="JC642" i="40"/>
  <c r="IN642" i="40" s="1"/>
  <c r="IG642" i="40"/>
  <c r="JD408" i="40"/>
  <c r="KP408" i="40"/>
  <c r="JB616" i="40"/>
  <c r="IM616" i="40" s="1"/>
  <c r="IF616" i="40"/>
  <c r="JB629" i="40"/>
  <c r="IM629" i="40" s="1"/>
  <c r="IF629" i="40"/>
  <c r="KP475" i="40"/>
  <c r="IE272" i="40"/>
  <c r="IB672" i="40"/>
  <c r="JD446" i="40"/>
  <c r="KP446" i="40"/>
  <c r="JR450" i="40"/>
  <c r="JQ450" i="40"/>
  <c r="JQ420" i="40"/>
  <c r="JR420" i="40"/>
  <c r="IE207" i="40"/>
  <c r="IB607" i="40"/>
  <c r="IE202" i="40"/>
  <c r="IB602" i="40"/>
  <c r="IE602" i="40" s="1"/>
  <c r="IG209" i="40"/>
  <c r="IE209" i="40"/>
  <c r="IB609" i="40"/>
  <c r="IE609" i="40" s="1"/>
  <c r="JB671" i="40"/>
  <c r="IM671" i="40" s="1"/>
  <c r="IF671" i="40"/>
  <c r="IG275" i="40"/>
  <c r="IE275" i="40"/>
  <c r="IB675" i="40"/>
  <c r="IF675" i="40" s="1"/>
  <c r="JQ412" i="40"/>
  <c r="JR412" i="40"/>
  <c r="P18" i="59"/>
  <c r="JC673" i="40"/>
  <c r="IN673" i="40" s="1"/>
  <c r="IE244" i="40"/>
  <c r="IB644" i="40"/>
  <c r="IF644" i="40" s="1"/>
  <c r="JC616" i="40"/>
  <c r="IN616" i="40" s="1"/>
  <c r="IG616" i="40"/>
  <c r="JQ432" i="40"/>
  <c r="JR432" i="40"/>
  <c r="JQ523" i="40"/>
  <c r="JR523" i="40"/>
  <c r="KQ523" i="40"/>
  <c r="AM34" i="70"/>
  <c r="JB658" i="40"/>
  <c r="IM658" i="40" s="1"/>
  <c r="IF240" i="40"/>
  <c r="JD233" i="40"/>
  <c r="KP233" i="40"/>
  <c r="IE257" i="40"/>
  <c r="IB657" i="40"/>
  <c r="IF657" i="40" s="1"/>
  <c r="IE266" i="40"/>
  <c r="IB666" i="40"/>
  <c r="IF666" i="40" s="1"/>
  <c r="IF219" i="40"/>
  <c r="IG249" i="40"/>
  <c r="IE249" i="40"/>
  <c r="IB649" i="40"/>
  <c r="JD403" i="40"/>
  <c r="KP403" i="40"/>
  <c r="JR519" i="40"/>
  <c r="KQ519" i="40"/>
  <c r="JQ519" i="40"/>
  <c r="AM30" i="70"/>
  <c r="IE232" i="40"/>
  <c r="IB632" i="40"/>
  <c r="IE632" i="40" s="1"/>
  <c r="JD449" i="40"/>
  <c r="KP449" i="40"/>
  <c r="IF211" i="40"/>
  <c r="JB605" i="40"/>
  <c r="IM605" i="40" s="1"/>
  <c r="IF605" i="40"/>
  <c r="JB669" i="40"/>
  <c r="IM669" i="40" s="1"/>
  <c r="JD212" i="40"/>
  <c r="JB633" i="40"/>
  <c r="IM633" i="40" s="1"/>
  <c r="IF633" i="40"/>
  <c r="JD431" i="40"/>
  <c r="KP431" i="40"/>
  <c r="IF220" i="40"/>
  <c r="IG206" i="40"/>
  <c r="IE206" i="40"/>
  <c r="IB606" i="40"/>
  <c r="IF606" i="40" s="1"/>
  <c r="JR526" i="40"/>
  <c r="KQ526" i="40"/>
  <c r="JQ526" i="40"/>
  <c r="IE241" i="40"/>
  <c r="AQ241" i="40" s="1"/>
  <c r="IB641" i="40"/>
  <c r="IE641" i="40" s="1"/>
  <c r="JC658" i="40"/>
  <c r="IN658" i="40" s="1"/>
  <c r="IG658" i="40"/>
  <c r="JD428" i="40"/>
  <c r="KP428" i="40"/>
  <c r="IE648" i="40"/>
  <c r="KP270" i="40"/>
  <c r="IF232" i="40"/>
  <c r="J67" i="70"/>
  <c r="IG645" i="40"/>
  <c r="IE252" i="40"/>
  <c r="IB652" i="40"/>
  <c r="IG652" i="40" s="1"/>
  <c r="IG629" i="40"/>
  <c r="JR463" i="40"/>
  <c r="JQ463" i="40"/>
  <c r="JA645" i="40"/>
  <c r="IL645" i="40" s="1"/>
  <c r="IE645" i="40"/>
  <c r="IG261" i="40"/>
  <c r="IE261" i="40"/>
  <c r="IB661" i="40"/>
  <c r="JB675" i="40"/>
  <c r="IM675" i="40" s="1"/>
  <c r="JQ470" i="40"/>
  <c r="JR470" i="40"/>
  <c r="IE228" i="40"/>
  <c r="IB628" i="40"/>
  <c r="IF628" i="40" s="1"/>
  <c r="IG240" i="40"/>
  <c r="IG219" i="40"/>
  <c r="W34" i="66" s="1"/>
  <c r="JB618" i="40"/>
  <c r="IM618" i="40" s="1"/>
  <c r="IE653" i="40"/>
  <c r="IF263" i="40"/>
  <c r="IF235" i="40"/>
  <c r="IG243" i="40"/>
  <c r="JC659" i="40"/>
  <c r="IN659" i="40" s="1"/>
  <c r="JB666" i="40"/>
  <c r="IM666" i="40" s="1"/>
  <c r="JA615" i="40"/>
  <c r="IL615" i="40" s="1"/>
  <c r="JD223" i="40"/>
  <c r="KP223" i="40"/>
  <c r="IF249" i="40"/>
  <c r="JB637" i="40"/>
  <c r="IM637" i="40" s="1"/>
  <c r="JD427" i="40"/>
  <c r="KP427" i="40"/>
  <c r="JQ505" i="40"/>
  <c r="JR505" i="40"/>
  <c r="KQ505" i="40"/>
  <c r="JA650" i="40"/>
  <c r="IL650" i="40" s="1"/>
  <c r="IE629" i="40"/>
  <c r="IE642" i="40"/>
  <c r="JB670" i="40"/>
  <c r="IM670" i="40" s="1"/>
  <c r="JD439" i="40"/>
  <c r="KP439" i="40"/>
  <c r="JD260" i="40"/>
  <c r="KP260" i="40"/>
  <c r="IF663" i="40" l="1"/>
  <c r="KQ472" i="40"/>
  <c r="KQ426" i="40"/>
  <c r="KQ467" i="40"/>
  <c r="KQ443" i="40"/>
  <c r="AQ686" i="40"/>
  <c r="AQ277" i="40"/>
  <c r="AQ205" i="40"/>
  <c r="AQ216" i="40"/>
  <c r="KQ415" i="40"/>
  <c r="AQ253" i="40"/>
  <c r="AQ260" i="40"/>
  <c r="KP250" i="40"/>
  <c r="AQ217" i="40"/>
  <c r="AQ236" i="40"/>
  <c r="IG668" i="40"/>
  <c r="KI586" i="40"/>
  <c r="JS586" i="40"/>
  <c r="KJ586" i="40"/>
  <c r="KK586" i="40"/>
  <c r="JT586" i="40"/>
  <c r="JX586" i="40" s="1"/>
  <c r="AQ212" i="40"/>
  <c r="JD686" i="40"/>
  <c r="JQ686" i="40" s="1"/>
  <c r="JS585" i="40"/>
  <c r="KJ585" i="40"/>
  <c r="KK585" i="40"/>
  <c r="KI585" i="40"/>
  <c r="JT585" i="40"/>
  <c r="JX585" i="40" s="1"/>
  <c r="JD250" i="40"/>
  <c r="JU586" i="40"/>
  <c r="JV586" i="40" s="1"/>
  <c r="JW586" i="40" s="1"/>
  <c r="IF658" i="40"/>
  <c r="JA601" i="40"/>
  <c r="IL601" i="40" s="1"/>
  <c r="IG618" i="40"/>
  <c r="AQ250" i="40"/>
  <c r="IF601" i="40"/>
  <c r="AQ270" i="40"/>
  <c r="IE601" i="40"/>
  <c r="KP245" i="40"/>
  <c r="AQ687" i="40"/>
  <c r="AQ684" i="40"/>
  <c r="JQ688" i="40"/>
  <c r="JU688" i="40" s="1"/>
  <c r="JV688" i="40" s="1"/>
  <c r="JW688" i="40" s="1"/>
  <c r="JR688" i="40"/>
  <c r="JT688" i="40"/>
  <c r="JX688" i="40" s="1"/>
  <c r="JS688" i="40"/>
  <c r="JR486" i="40"/>
  <c r="JT486" i="40"/>
  <c r="JX486" i="40" s="1"/>
  <c r="KQ486" i="40"/>
  <c r="JQ486" i="40"/>
  <c r="JU486" i="40" s="1"/>
  <c r="JV486" i="40" s="1"/>
  <c r="JW486" i="40" s="1"/>
  <c r="JS485" i="40"/>
  <c r="KJ485" i="40"/>
  <c r="KK485" i="40"/>
  <c r="KI485" i="40"/>
  <c r="JM685" i="40"/>
  <c r="JD685" i="40"/>
  <c r="JD687" i="40"/>
  <c r="KI487" i="40"/>
  <c r="JS487" i="40"/>
  <c r="KJ487" i="40"/>
  <c r="KK487" i="40"/>
  <c r="JM687" i="40"/>
  <c r="KI486" i="40"/>
  <c r="JS486" i="40"/>
  <c r="KJ486" i="40"/>
  <c r="KK486" i="40"/>
  <c r="JM686" i="40"/>
  <c r="JK687" i="40"/>
  <c r="JR487" i="40"/>
  <c r="JT487" i="40"/>
  <c r="JX487" i="40" s="1"/>
  <c r="KQ487" i="40"/>
  <c r="JQ487" i="40"/>
  <c r="JU487" i="40" s="1"/>
  <c r="JV487" i="40" s="1"/>
  <c r="JW487" i="40" s="1"/>
  <c r="JT484" i="40"/>
  <c r="JX484" i="40" s="1"/>
  <c r="KQ484" i="40"/>
  <c r="JR484" i="40"/>
  <c r="JQ484" i="40"/>
  <c r="JU484" i="40" s="1"/>
  <c r="JV484" i="40" s="1"/>
  <c r="JW484" i="40" s="1"/>
  <c r="JS484" i="40"/>
  <c r="JK685" i="40"/>
  <c r="JK684" i="40"/>
  <c r="JT485" i="40"/>
  <c r="JX485" i="40" s="1"/>
  <c r="KQ485" i="40"/>
  <c r="JQ485" i="40"/>
  <c r="JU485" i="40" s="1"/>
  <c r="JV485" i="40" s="1"/>
  <c r="JW485" i="40" s="1"/>
  <c r="JR485" i="40"/>
  <c r="JD684" i="40"/>
  <c r="JK686" i="40"/>
  <c r="JD226" i="40"/>
  <c r="JQ226" i="40" s="1"/>
  <c r="JD229" i="40"/>
  <c r="IG648" i="40"/>
  <c r="JD648" i="40" s="1"/>
  <c r="JQ648" i="40" s="1"/>
  <c r="JA670" i="40"/>
  <c r="IL670" i="40" s="1"/>
  <c r="IE624" i="40"/>
  <c r="IF656" i="40"/>
  <c r="IF670" i="40"/>
  <c r="KP217" i="40"/>
  <c r="KP205" i="40"/>
  <c r="JA624" i="40"/>
  <c r="IL624" i="40" s="1"/>
  <c r="IG624" i="40"/>
  <c r="JD224" i="40"/>
  <c r="AQ234" i="40"/>
  <c r="JA680" i="40"/>
  <c r="IL680" i="40" s="1"/>
  <c r="AQ226" i="40"/>
  <c r="IF643" i="40"/>
  <c r="JD205" i="40"/>
  <c r="JQ205" i="40" s="1"/>
  <c r="AQ276" i="40"/>
  <c r="KP226" i="40"/>
  <c r="AQ220" i="40"/>
  <c r="AQ262" i="40"/>
  <c r="IG643" i="40"/>
  <c r="IG634" i="40"/>
  <c r="W36" i="66"/>
  <c r="AQ280" i="40"/>
  <c r="W38" i="66"/>
  <c r="KP242" i="40"/>
  <c r="KK583" i="40"/>
  <c r="KJ583" i="40"/>
  <c r="JS583" i="40"/>
  <c r="KI583" i="40"/>
  <c r="JT583" i="40"/>
  <c r="JX583" i="40" s="1"/>
  <c r="AQ201" i="40"/>
  <c r="AQ224" i="40"/>
  <c r="JD201" i="40"/>
  <c r="JQ201" i="40" s="1"/>
  <c r="IG627" i="40"/>
  <c r="IG664" i="40"/>
  <c r="KJ580" i="40"/>
  <c r="JS580" i="40"/>
  <c r="KI580" i="40"/>
  <c r="KK580" i="40"/>
  <c r="JT580" i="40"/>
  <c r="JX580" i="40" s="1"/>
  <c r="JU583" i="40"/>
  <c r="JV583" i="40" s="1"/>
  <c r="JW583" i="40" s="1"/>
  <c r="KP229" i="40"/>
  <c r="KI476" i="40"/>
  <c r="KJ476" i="40"/>
  <c r="JS476" i="40"/>
  <c r="KK476" i="40"/>
  <c r="KJ480" i="40"/>
  <c r="JS480" i="40"/>
  <c r="KI480" i="40"/>
  <c r="KK480" i="40"/>
  <c r="JQ478" i="40"/>
  <c r="JU478" i="40" s="1"/>
  <c r="JV478" i="40" s="1"/>
  <c r="JW478" i="40" s="1"/>
  <c r="JT478" i="40"/>
  <c r="JX478" i="40" s="1"/>
  <c r="JR478" i="40"/>
  <c r="KQ478" i="40"/>
  <c r="JR480" i="40"/>
  <c r="JQ480" i="40"/>
  <c r="JU480" i="40" s="1"/>
  <c r="JV480" i="40" s="1"/>
  <c r="JW480" i="40" s="1"/>
  <c r="JT480" i="40"/>
  <c r="JX480" i="40" s="1"/>
  <c r="KQ480" i="40"/>
  <c r="KQ479" i="40"/>
  <c r="JT479" i="40"/>
  <c r="JX479" i="40" s="1"/>
  <c r="JR479" i="40"/>
  <c r="JQ479" i="40"/>
  <c r="JU479" i="40" s="1"/>
  <c r="JV479" i="40" s="1"/>
  <c r="JW479" i="40" s="1"/>
  <c r="KK483" i="40"/>
  <c r="KJ483" i="40"/>
  <c r="JS483" i="40"/>
  <c r="KI483" i="40"/>
  <c r="JT483" i="40"/>
  <c r="JX483" i="40" s="1"/>
  <c r="JS479" i="40"/>
  <c r="KQ438" i="40"/>
  <c r="KQ483" i="40"/>
  <c r="JR481" i="40"/>
  <c r="KQ481" i="40"/>
  <c r="JT481" i="40"/>
  <c r="JX481" i="40" s="1"/>
  <c r="JQ481" i="40"/>
  <c r="JU481" i="40" s="1"/>
  <c r="JV481" i="40" s="1"/>
  <c r="JW481" i="40" s="1"/>
  <c r="JR476" i="40"/>
  <c r="KQ476" i="40"/>
  <c r="JT476" i="40"/>
  <c r="JX476" i="40" s="1"/>
  <c r="JQ476" i="40"/>
  <c r="JU476" i="40" s="1"/>
  <c r="JV476" i="40" s="1"/>
  <c r="JW476" i="40" s="1"/>
  <c r="JU483" i="40"/>
  <c r="JV483" i="40" s="1"/>
  <c r="JW483" i="40" s="1"/>
  <c r="JQ482" i="40"/>
  <c r="JU482" i="40" s="1"/>
  <c r="JV482" i="40" s="1"/>
  <c r="JW482" i="40" s="1"/>
  <c r="KQ482" i="40"/>
  <c r="JT482" i="40"/>
  <c r="JX482" i="40" s="1"/>
  <c r="JR482" i="40"/>
  <c r="IF669" i="40"/>
  <c r="JA612" i="40"/>
  <c r="IL612" i="40" s="1"/>
  <c r="JA682" i="40"/>
  <c r="IL682" i="40" s="1"/>
  <c r="JD248" i="40"/>
  <c r="JQ248" i="40" s="1"/>
  <c r="IG680" i="40"/>
  <c r="IG681" i="40"/>
  <c r="KJ478" i="40"/>
  <c r="JS478" i="40"/>
  <c r="KK478" i="40"/>
  <c r="KI478" i="40"/>
  <c r="JR477" i="40"/>
  <c r="JT477" i="40"/>
  <c r="JX477" i="40" s="1"/>
  <c r="KQ477" i="40"/>
  <c r="JQ477" i="40"/>
  <c r="JU477" i="40" s="1"/>
  <c r="JV477" i="40" s="1"/>
  <c r="JW477" i="40" s="1"/>
  <c r="JS481" i="40"/>
  <c r="JS477" i="40"/>
  <c r="JD270" i="40"/>
  <c r="IG638" i="40"/>
  <c r="JQ447" i="40"/>
  <c r="KQ462" i="40"/>
  <c r="KQ430" i="40"/>
  <c r="AQ274" i="40"/>
  <c r="JA605" i="40"/>
  <c r="IL605" i="40" s="1"/>
  <c r="KP212" i="40"/>
  <c r="IG683" i="40"/>
  <c r="JA678" i="40"/>
  <c r="IL678" i="40" s="1"/>
  <c r="IF682" i="40"/>
  <c r="IF680" i="40"/>
  <c r="IF681" i="40"/>
  <c r="KP201" i="40"/>
  <c r="AQ222" i="40"/>
  <c r="IF683" i="40"/>
  <c r="IF637" i="40"/>
  <c r="AQ243" i="40"/>
  <c r="AQ264" i="40"/>
  <c r="AQ227" i="40"/>
  <c r="AU17" i="66"/>
  <c r="IG682" i="40"/>
  <c r="KI281" i="40"/>
  <c r="KJ281" i="40"/>
  <c r="KK281" i="40"/>
  <c r="JM681" i="40"/>
  <c r="KK279" i="40"/>
  <c r="KJ279" i="40"/>
  <c r="KI279" i="40"/>
  <c r="JM679" i="40"/>
  <c r="IG659" i="40"/>
  <c r="KP213" i="40"/>
  <c r="AE37" i="70"/>
  <c r="IG622" i="40"/>
  <c r="KQ458" i="40"/>
  <c r="KQ448" i="40"/>
  <c r="AE24" i="70"/>
  <c r="IF664" i="40"/>
  <c r="KQ466" i="40"/>
  <c r="AQ281" i="40"/>
  <c r="IG679" i="40"/>
  <c r="KK282" i="40"/>
  <c r="KI282" i="40"/>
  <c r="KJ282" i="40"/>
  <c r="JM682" i="40"/>
  <c r="JL678" i="40"/>
  <c r="JK678" i="40" s="1"/>
  <c r="JD279" i="40"/>
  <c r="KP279" i="40"/>
  <c r="KK283" i="40"/>
  <c r="KJ283" i="40"/>
  <c r="KI283" i="40"/>
  <c r="JM683" i="40"/>
  <c r="JT683" i="40" s="1"/>
  <c r="JL676" i="40"/>
  <c r="JK676" i="40" s="1"/>
  <c r="JD277" i="40"/>
  <c r="KP277" i="40"/>
  <c r="JL679" i="40"/>
  <c r="JK679" i="40" s="1"/>
  <c r="JD282" i="40"/>
  <c r="KP282" i="40"/>
  <c r="JD276" i="40"/>
  <c r="KP276" i="40"/>
  <c r="JD281" i="40"/>
  <c r="JS281" i="40" s="1"/>
  <c r="KP281" i="40"/>
  <c r="KK278" i="40"/>
  <c r="KI278" i="40"/>
  <c r="KJ278" i="40"/>
  <c r="JM678" i="40"/>
  <c r="KI277" i="40"/>
  <c r="KK277" i="40"/>
  <c r="KJ277" i="40"/>
  <c r="JS277" i="40"/>
  <c r="JM677" i="40"/>
  <c r="KQ470" i="40"/>
  <c r="KQ463" i="40"/>
  <c r="KQ412" i="40"/>
  <c r="KQ420" i="40"/>
  <c r="AE43" i="70"/>
  <c r="IG673" i="40"/>
  <c r="AE47" i="70"/>
  <c r="AE34" i="70"/>
  <c r="KP236" i="40"/>
  <c r="IF635" i="40"/>
  <c r="IG635" i="40"/>
  <c r="KQ424" i="40"/>
  <c r="KQ417" i="40"/>
  <c r="KQ437" i="40"/>
  <c r="AE17" i="70"/>
  <c r="AE16" i="70"/>
  <c r="KQ413" i="40"/>
  <c r="IF634" i="40"/>
  <c r="KP248" i="40"/>
  <c r="AQ248" i="40"/>
  <c r="JQ683" i="40"/>
  <c r="JR683" i="40"/>
  <c r="IF677" i="40"/>
  <c r="IE677" i="40"/>
  <c r="IF679" i="40"/>
  <c r="JD280" i="40"/>
  <c r="KP280" i="40"/>
  <c r="JL682" i="40"/>
  <c r="JK682" i="40" s="1"/>
  <c r="IG678" i="40"/>
  <c r="IF678" i="40"/>
  <c r="IG677" i="40"/>
  <c r="IG676" i="40"/>
  <c r="JX283" i="40"/>
  <c r="JL683" i="40"/>
  <c r="AQ282" i="40"/>
  <c r="JD283" i="40"/>
  <c r="JS283" i="40" s="1"/>
  <c r="KP283" i="40"/>
  <c r="KJ280" i="40"/>
  <c r="KI280" i="40"/>
  <c r="KK280" i="40"/>
  <c r="JM680" i="40"/>
  <c r="JL681" i="40"/>
  <c r="JK681" i="40" s="1"/>
  <c r="KK276" i="40"/>
  <c r="KJ276" i="40"/>
  <c r="KI276" i="40"/>
  <c r="JM676" i="40"/>
  <c r="AQ263" i="40"/>
  <c r="KQ432" i="40"/>
  <c r="KQ450" i="40"/>
  <c r="KQ436" i="40"/>
  <c r="KQ423" i="40"/>
  <c r="JD236" i="40"/>
  <c r="JQ236" i="40" s="1"/>
  <c r="AE54" i="70"/>
  <c r="KQ457" i="40"/>
  <c r="KQ404" i="40"/>
  <c r="AE26" i="70"/>
  <c r="AE59" i="70"/>
  <c r="IF631" i="40"/>
  <c r="KP224" i="40"/>
  <c r="KQ418" i="40"/>
  <c r="KQ447" i="40"/>
  <c r="JA683" i="40"/>
  <c r="IL683" i="40" s="1"/>
  <c r="JA677" i="40"/>
  <c r="IL677" i="40" s="1"/>
  <c r="JL680" i="40"/>
  <c r="JK680" i="40" s="1"/>
  <c r="JA676" i="40"/>
  <c r="IL676" i="40" s="1"/>
  <c r="JD278" i="40"/>
  <c r="KP278" i="40"/>
  <c r="JA681" i="40"/>
  <c r="IL681" i="40" s="1"/>
  <c r="JL677" i="40"/>
  <c r="JK677" i="40" s="1"/>
  <c r="JA679" i="40"/>
  <c r="IL679" i="40" s="1"/>
  <c r="IF676" i="40"/>
  <c r="AQ229" i="40"/>
  <c r="KQ433" i="40"/>
  <c r="JD213" i="40"/>
  <c r="JQ213" i="40" s="1"/>
  <c r="JD253" i="40"/>
  <c r="JR253" i="40" s="1"/>
  <c r="AQ605" i="40"/>
  <c r="JR433" i="40"/>
  <c r="AQ247" i="40"/>
  <c r="IG621" i="40"/>
  <c r="IF660" i="40"/>
  <c r="IG660" i="40"/>
  <c r="IE660" i="40"/>
  <c r="KP253" i="40"/>
  <c r="AQ211" i="40"/>
  <c r="IE613" i="40"/>
  <c r="JD613" i="40" s="1"/>
  <c r="AE56" i="70"/>
  <c r="KQ445" i="40"/>
  <c r="AQ242" i="40"/>
  <c r="AQ232" i="40"/>
  <c r="IE612" i="40"/>
  <c r="IG604" i="40"/>
  <c r="IG612" i="40"/>
  <c r="JD626" i="40"/>
  <c r="JQ626" i="40" s="1"/>
  <c r="JD653" i="40"/>
  <c r="JQ653" i="40" s="1"/>
  <c r="IF618" i="40"/>
  <c r="AQ618" i="40" s="1"/>
  <c r="AQ268" i="40"/>
  <c r="AQ246" i="40"/>
  <c r="AQ633" i="40"/>
  <c r="JQ418" i="40"/>
  <c r="AQ213" i="40"/>
  <c r="AQ231" i="40"/>
  <c r="IE617" i="40"/>
  <c r="JD242" i="40"/>
  <c r="JR242" i="40" s="1"/>
  <c r="IF617" i="40"/>
  <c r="IF638" i="40"/>
  <c r="AQ671" i="40"/>
  <c r="IF662" i="40"/>
  <c r="AQ259" i="40"/>
  <c r="AQ273" i="40"/>
  <c r="JA617" i="40"/>
  <c r="IL617" i="40" s="1"/>
  <c r="AQ235" i="40"/>
  <c r="IG665" i="40"/>
  <c r="AQ256" i="40"/>
  <c r="AQ237" i="40"/>
  <c r="IG636" i="40"/>
  <c r="JD642" i="40"/>
  <c r="JQ642" i="40" s="1"/>
  <c r="IF636" i="40"/>
  <c r="IE636" i="40"/>
  <c r="KQ459" i="40"/>
  <c r="IF609" i="40"/>
  <c r="AQ261" i="40"/>
  <c r="AQ249" i="40"/>
  <c r="AQ275" i="40"/>
  <c r="AE41" i="70"/>
  <c r="KQ469" i="40"/>
  <c r="AE21" i="70"/>
  <c r="JA643" i="40"/>
  <c r="IL643" i="40" s="1"/>
  <c r="JA618" i="40"/>
  <c r="IL618" i="40" s="1"/>
  <c r="JA664" i="40"/>
  <c r="IL664" i="40" s="1"/>
  <c r="JD629" i="40"/>
  <c r="JR629" i="40" s="1"/>
  <c r="IF673" i="40"/>
  <c r="IG637" i="40"/>
  <c r="AQ637" i="40" s="1"/>
  <c r="AQ255" i="40"/>
  <c r="JA641" i="40"/>
  <c r="IL641" i="40" s="1"/>
  <c r="IF604" i="40"/>
  <c r="AQ218" i="40"/>
  <c r="AQ254" i="40"/>
  <c r="AQ650" i="40"/>
  <c r="AQ257" i="40"/>
  <c r="AQ206" i="40"/>
  <c r="JA639" i="40"/>
  <c r="IL639" i="40" s="1"/>
  <c r="JA637" i="40"/>
  <c r="IL637" i="40" s="1"/>
  <c r="JA606" i="40"/>
  <c r="IL606" i="40" s="1"/>
  <c r="AQ616" i="40"/>
  <c r="AQ267" i="40"/>
  <c r="JD623" i="40"/>
  <c r="JR623" i="40" s="1"/>
  <c r="JA669" i="40"/>
  <c r="IL669" i="40" s="1"/>
  <c r="AQ230" i="40"/>
  <c r="JA609" i="40"/>
  <c r="IL609" i="40" s="1"/>
  <c r="JA602" i="40"/>
  <c r="IL602" i="40" s="1"/>
  <c r="KP697" i="40" s="1"/>
  <c r="AQ203" i="40"/>
  <c r="JA635" i="40"/>
  <c r="IL635" i="40" s="1"/>
  <c r="JA658" i="40"/>
  <c r="IL658" i="40" s="1"/>
  <c r="I11" i="61"/>
  <c r="AS17" i="66"/>
  <c r="AS17" i="71"/>
  <c r="I10" i="61"/>
  <c r="AS17" i="68"/>
  <c r="AV17" i="68" s="1"/>
  <c r="I12" i="61"/>
  <c r="AS17" i="69"/>
  <c r="I8" i="61"/>
  <c r="I9" i="61"/>
  <c r="JD228" i="40"/>
  <c r="KP228" i="40"/>
  <c r="JQ428" i="40"/>
  <c r="JR428" i="40"/>
  <c r="KQ428" i="40"/>
  <c r="AE14" i="70"/>
  <c r="AE39" i="70"/>
  <c r="JA661" i="40"/>
  <c r="IL661" i="40" s="1"/>
  <c r="IE661" i="40"/>
  <c r="IG661" i="40"/>
  <c r="JD645" i="40"/>
  <c r="JD252" i="40"/>
  <c r="KP252" i="40"/>
  <c r="JA632" i="40"/>
  <c r="IL632" i="40" s="1"/>
  <c r="AQ219" i="40"/>
  <c r="JA675" i="40"/>
  <c r="IL675" i="40" s="1"/>
  <c r="IE675" i="40"/>
  <c r="IG675" i="40"/>
  <c r="JA607" i="40"/>
  <c r="IL607" i="40" s="1"/>
  <c r="IE607" i="40"/>
  <c r="JQ408" i="40"/>
  <c r="KQ408" i="40"/>
  <c r="JR408" i="40"/>
  <c r="JA610" i="40"/>
  <c r="IL610" i="40" s="1"/>
  <c r="K24" i="73"/>
  <c r="J24" i="73"/>
  <c r="L24" i="73"/>
  <c r="H24" i="73"/>
  <c r="KQ473" i="40"/>
  <c r="JQ473" i="40"/>
  <c r="JR473" i="40"/>
  <c r="JD219" i="40"/>
  <c r="KP219" i="40"/>
  <c r="IF667" i="40"/>
  <c r="IE667" i="40"/>
  <c r="JR411" i="40"/>
  <c r="JQ411" i="40"/>
  <c r="KQ411" i="40"/>
  <c r="O18" i="59"/>
  <c r="AE11" i="70"/>
  <c r="JQ216" i="40"/>
  <c r="JR216" i="40"/>
  <c r="IE630" i="40"/>
  <c r="IG630" i="40"/>
  <c r="IF632" i="40"/>
  <c r="AQ239" i="40"/>
  <c r="AQ623" i="40"/>
  <c r="JA620" i="40"/>
  <c r="IL620" i="40" s="1"/>
  <c r="IE620" i="40"/>
  <c r="JD225" i="40"/>
  <c r="KP225" i="40"/>
  <c r="KQ405" i="40"/>
  <c r="JR405" i="40"/>
  <c r="JQ405" i="40"/>
  <c r="AQ642" i="40"/>
  <c r="IG632" i="40"/>
  <c r="JD214" i="40"/>
  <c r="KP214" i="40"/>
  <c r="AQ225" i="40"/>
  <c r="JQ217" i="40"/>
  <c r="JR217" i="40"/>
  <c r="JQ407" i="40"/>
  <c r="KQ407" i="40"/>
  <c r="JR407" i="40"/>
  <c r="JQ456" i="40"/>
  <c r="KQ456" i="40"/>
  <c r="JR456" i="40"/>
  <c r="JA651" i="40"/>
  <c r="IL651" i="40" s="1"/>
  <c r="IE651" i="40"/>
  <c r="JD671" i="40"/>
  <c r="AQ202" i="40"/>
  <c r="IF639" i="40"/>
  <c r="JA673" i="40"/>
  <c r="IL673" i="40" s="1"/>
  <c r="JR416" i="40"/>
  <c r="JQ416" i="40"/>
  <c r="KQ416" i="40"/>
  <c r="AE27" i="70"/>
  <c r="JQ406" i="40"/>
  <c r="JR406" i="40"/>
  <c r="KQ406" i="40"/>
  <c r="JR435" i="40"/>
  <c r="KQ435" i="40"/>
  <c r="JQ435" i="40"/>
  <c r="JR229" i="40"/>
  <c r="JQ229" i="40"/>
  <c r="IG669" i="40"/>
  <c r="JA634" i="40"/>
  <c r="IL634" i="40" s="1"/>
  <c r="JD265" i="40"/>
  <c r="KP265" i="40"/>
  <c r="JD237" i="40"/>
  <c r="KP237" i="40"/>
  <c r="IF641" i="40"/>
  <c r="KQ465" i="40"/>
  <c r="JD231" i="40"/>
  <c r="KP231" i="40"/>
  <c r="IG620" i="40"/>
  <c r="JD227" i="40"/>
  <c r="KP227" i="40"/>
  <c r="IG639" i="40"/>
  <c r="IF610" i="40"/>
  <c r="IF651" i="40"/>
  <c r="JD256" i="40"/>
  <c r="KP256" i="40"/>
  <c r="JD264" i="40"/>
  <c r="KP264" i="40"/>
  <c r="JD222" i="40"/>
  <c r="KP222" i="40"/>
  <c r="JA638" i="40"/>
  <c r="IL638" i="40" s="1"/>
  <c r="JA649" i="40"/>
  <c r="IL649" i="40" s="1"/>
  <c r="IE649" i="40"/>
  <c r="IG649" i="40"/>
  <c r="JA666" i="40"/>
  <c r="IL666" i="40" s="1"/>
  <c r="IE666" i="40"/>
  <c r="JA657" i="40"/>
  <c r="IL657" i="40" s="1"/>
  <c r="IE657" i="40"/>
  <c r="AQ228" i="40"/>
  <c r="JD275" i="40"/>
  <c r="KP275" i="40"/>
  <c r="KP699" i="40"/>
  <c r="JD207" i="40"/>
  <c r="KP207" i="40"/>
  <c r="JD267" i="40"/>
  <c r="KP267" i="40"/>
  <c r="JD269" i="40"/>
  <c r="KP269" i="40"/>
  <c r="JA655" i="40"/>
  <c r="IL655" i="40" s="1"/>
  <c r="IE655" i="40"/>
  <c r="JR271" i="40"/>
  <c r="JQ271" i="40"/>
  <c r="JD230" i="40"/>
  <c r="KP230" i="40"/>
  <c r="JD633" i="40"/>
  <c r="V41" i="59"/>
  <c r="IG701" i="40"/>
  <c r="AU17" i="67" s="1"/>
  <c r="AV17" i="67" s="1"/>
  <c r="JD220" i="40"/>
  <c r="KP220" i="40"/>
  <c r="IG609" i="40"/>
  <c r="JD239" i="40"/>
  <c r="KP239" i="40"/>
  <c r="IF607" i="40"/>
  <c r="JA611" i="40"/>
  <c r="IL611" i="40" s="1"/>
  <c r="IE611" i="40"/>
  <c r="JR250" i="40"/>
  <c r="JQ250" i="40"/>
  <c r="JQ215" i="40"/>
  <c r="JR215" i="40"/>
  <c r="JD251" i="40"/>
  <c r="KP251" i="40"/>
  <c r="IG667" i="40"/>
  <c r="IN601" i="40"/>
  <c r="JC701" i="40"/>
  <c r="AQ601" i="40"/>
  <c r="J12" i="61"/>
  <c r="JR422" i="40"/>
  <c r="JQ422" i="40"/>
  <c r="KQ422" i="40"/>
  <c r="AE33" i="70"/>
  <c r="AQ244" i="40"/>
  <c r="JA662" i="40"/>
  <c r="IL662" i="40" s="1"/>
  <c r="IE662" i="40"/>
  <c r="IG602" i="40"/>
  <c r="AU17" i="71" s="1"/>
  <c r="AQ653" i="40"/>
  <c r="IF625" i="40"/>
  <c r="JD240" i="40"/>
  <c r="KP240" i="40"/>
  <c r="JD650" i="40"/>
  <c r="IF614" i="40"/>
  <c r="JR248" i="40"/>
  <c r="JR451" i="40"/>
  <c r="JQ451" i="40"/>
  <c r="KQ451" i="40"/>
  <c r="AE62" i="70"/>
  <c r="IG663" i="40"/>
  <c r="IE663" i="40"/>
  <c r="IG625" i="40"/>
  <c r="JA674" i="40"/>
  <c r="IL674" i="40" s="1"/>
  <c r="IE674" i="40"/>
  <c r="JD204" i="40"/>
  <c r="KP204" i="40"/>
  <c r="KQ464" i="40"/>
  <c r="KQ429" i="40"/>
  <c r="JA621" i="40"/>
  <c r="IL621" i="40" s="1"/>
  <c r="IE621" i="40"/>
  <c r="IF674" i="40"/>
  <c r="IF630" i="40"/>
  <c r="IF701" i="40"/>
  <c r="JR226" i="40"/>
  <c r="JR223" i="40"/>
  <c r="JQ223" i="40"/>
  <c r="JD241" i="40"/>
  <c r="KP241" i="40"/>
  <c r="JR439" i="40"/>
  <c r="JQ439" i="40"/>
  <c r="KQ439" i="40"/>
  <c r="AE50" i="70"/>
  <c r="KQ427" i="40"/>
  <c r="JR427" i="40"/>
  <c r="JQ427" i="40"/>
  <c r="JA628" i="40"/>
  <c r="IL628" i="40" s="1"/>
  <c r="IE628" i="40"/>
  <c r="JR270" i="40"/>
  <c r="JQ270" i="40"/>
  <c r="IE606" i="40"/>
  <c r="IG606" i="40"/>
  <c r="JD232" i="40"/>
  <c r="KP232" i="40"/>
  <c r="JD249" i="40"/>
  <c r="KP249" i="40"/>
  <c r="JD266" i="40"/>
  <c r="KP266" i="40"/>
  <c r="JD257" i="40"/>
  <c r="KP257" i="40"/>
  <c r="AQ240" i="40"/>
  <c r="JA644" i="40"/>
  <c r="IL644" i="40" s="1"/>
  <c r="IE644" i="40"/>
  <c r="JA672" i="40"/>
  <c r="IL672" i="40" s="1"/>
  <c r="IE672" i="40"/>
  <c r="JD210" i="40"/>
  <c r="KP210" i="40"/>
  <c r="JA619" i="40"/>
  <c r="IL619" i="40" s="1"/>
  <c r="KQ440" i="40"/>
  <c r="JR440" i="40"/>
  <c r="JQ440" i="40"/>
  <c r="AE51" i="70"/>
  <c r="JR236" i="40"/>
  <c r="JR213" i="40"/>
  <c r="KQ460" i="40"/>
  <c r="JR460" i="40"/>
  <c r="JQ460" i="40"/>
  <c r="JA647" i="40"/>
  <c r="IL647" i="40" s="1"/>
  <c r="IE647" i="40"/>
  <c r="JD255" i="40"/>
  <c r="KP255" i="40"/>
  <c r="JA608" i="40"/>
  <c r="IL608" i="40" s="1"/>
  <c r="IE608" i="40"/>
  <c r="KQ474" i="40"/>
  <c r="JR474" i="40"/>
  <c r="JQ474" i="40"/>
  <c r="JQ444" i="40"/>
  <c r="KQ444" i="40"/>
  <c r="JR444" i="40"/>
  <c r="AE55" i="70"/>
  <c r="IF619" i="40"/>
  <c r="JQ425" i="40"/>
  <c r="JR425" i="40"/>
  <c r="KQ425" i="40"/>
  <c r="AE36" i="70"/>
  <c r="JA625" i="40"/>
  <c r="IL625" i="40" s="1"/>
  <c r="IG666" i="40"/>
  <c r="JR441" i="40"/>
  <c r="JQ441" i="40"/>
  <c r="KQ441" i="40"/>
  <c r="JA614" i="40"/>
  <c r="IL614" i="40" s="1"/>
  <c r="JA654" i="40"/>
  <c r="IL654" i="40" s="1"/>
  <c r="IE654" i="40"/>
  <c r="IG654" i="40"/>
  <c r="JD211" i="40"/>
  <c r="KP211" i="40"/>
  <c r="JD616" i="40"/>
  <c r="JA659" i="40"/>
  <c r="IL659" i="40" s="1"/>
  <c r="IE659" i="40"/>
  <c r="JA603" i="40"/>
  <c r="IL603" i="40" s="1"/>
  <c r="IE603" i="40"/>
  <c r="IG603" i="40"/>
  <c r="IG641" i="40"/>
  <c r="AQ626" i="40"/>
  <c r="IM601" i="40"/>
  <c r="JB701" i="40"/>
  <c r="JA646" i="40"/>
  <c r="IL646" i="40" s="1"/>
  <c r="IE646" i="40"/>
  <c r="IG646" i="40"/>
  <c r="IF608" i="40"/>
  <c r="JD262" i="40"/>
  <c r="KP262" i="40"/>
  <c r="JD273" i="40"/>
  <c r="KP273" i="40"/>
  <c r="AQ210" i="40"/>
  <c r="JR205" i="40"/>
  <c r="IG607" i="40"/>
  <c r="JR452" i="40"/>
  <c r="JQ452" i="40"/>
  <c r="KQ452" i="40"/>
  <c r="AE63" i="70"/>
  <c r="AQ645" i="40"/>
  <c r="BN15" i="70"/>
  <c r="JD615" i="40"/>
  <c r="IG655" i="40"/>
  <c r="JR245" i="40"/>
  <c r="JQ245" i="40"/>
  <c r="IF672" i="40"/>
  <c r="IF602" i="40"/>
  <c r="JD234" i="40"/>
  <c r="KP234" i="40"/>
  <c r="JA668" i="40"/>
  <c r="IL668" i="40" s="1"/>
  <c r="IE668" i="40"/>
  <c r="JD263" i="40"/>
  <c r="KP263" i="40"/>
  <c r="JR471" i="40"/>
  <c r="KQ471" i="40"/>
  <c r="JQ471" i="40"/>
  <c r="AE61" i="70"/>
  <c r="JR402" i="40"/>
  <c r="KQ402" i="40"/>
  <c r="JQ402" i="40"/>
  <c r="N6" i="59"/>
  <c r="F43" i="59" s="1"/>
  <c r="O6" i="59"/>
  <c r="G43" i="59" s="1"/>
  <c r="JD274" i="40"/>
  <c r="KP274" i="40"/>
  <c r="AQ258" i="40"/>
  <c r="KQ401" i="40"/>
  <c r="KQ461" i="40"/>
  <c r="JD605" i="40"/>
  <c r="JD221" i="40"/>
  <c r="KP221" i="40"/>
  <c r="KT161" i="40"/>
  <c r="KU160" i="40"/>
  <c r="JD238" i="40"/>
  <c r="KP238" i="40"/>
  <c r="KQ455" i="40"/>
  <c r="AQ266" i="40"/>
  <c r="AQ209" i="40"/>
  <c r="JR642" i="40"/>
  <c r="JD261" i="40"/>
  <c r="KP261" i="40"/>
  <c r="JR260" i="40"/>
  <c r="JQ260" i="40"/>
  <c r="JA652" i="40"/>
  <c r="IL652" i="40" s="1"/>
  <c r="IE652" i="40"/>
  <c r="IF652" i="40"/>
  <c r="JD206" i="40"/>
  <c r="KP206" i="40"/>
  <c r="JR431" i="40"/>
  <c r="JQ431" i="40"/>
  <c r="KQ431" i="40"/>
  <c r="AE42" i="70"/>
  <c r="JQ212" i="40"/>
  <c r="JR212" i="40"/>
  <c r="JR449" i="40"/>
  <c r="JQ449" i="40"/>
  <c r="KQ449" i="40"/>
  <c r="AE60" i="70"/>
  <c r="JQ403" i="40"/>
  <c r="JR403" i="40"/>
  <c r="KQ403" i="40"/>
  <c r="JR233" i="40"/>
  <c r="JQ233" i="40"/>
  <c r="AQ658" i="40"/>
  <c r="JD244" i="40"/>
  <c r="KP244" i="40"/>
  <c r="JD209" i="40"/>
  <c r="KP209" i="40"/>
  <c r="JD202" i="40"/>
  <c r="O28" i="70" s="1"/>
  <c r="KP202" i="40"/>
  <c r="JQ446" i="40"/>
  <c r="KQ446" i="40"/>
  <c r="JR446" i="40"/>
  <c r="JD272" i="40"/>
  <c r="KP272" i="40"/>
  <c r="AQ629" i="40"/>
  <c r="AQ207" i="40"/>
  <c r="AS18" i="71"/>
  <c r="JR409" i="40"/>
  <c r="JQ409" i="40"/>
  <c r="KQ409" i="40"/>
  <c r="IF649" i="40"/>
  <c r="IG619" i="40"/>
  <c r="JD247" i="40"/>
  <c r="KP247" i="40"/>
  <c r="JD208" i="40"/>
  <c r="KP208" i="40"/>
  <c r="JQ421" i="40"/>
  <c r="KQ421" i="40"/>
  <c r="JR421" i="40"/>
  <c r="IF647" i="40"/>
  <c r="AQ640" i="40"/>
  <c r="JR468" i="40"/>
  <c r="JQ468" i="40"/>
  <c r="KQ468" i="40"/>
  <c r="JQ454" i="40"/>
  <c r="KQ454" i="40"/>
  <c r="JR454" i="40"/>
  <c r="AE65" i="70"/>
  <c r="JD254" i="40"/>
  <c r="KP254" i="40"/>
  <c r="JD259" i="40"/>
  <c r="KP259" i="40"/>
  <c r="JD203" i="40"/>
  <c r="KP203" i="40"/>
  <c r="IG628" i="40"/>
  <c r="JR224" i="40"/>
  <c r="JQ224" i="40"/>
  <c r="AQ272" i="40"/>
  <c r="BK16" i="70"/>
  <c r="JD246" i="40"/>
  <c r="KP246" i="40"/>
  <c r="IG657" i="40"/>
  <c r="AQ238" i="40"/>
  <c r="IG644" i="40"/>
  <c r="IF661" i="40"/>
  <c r="AQ251" i="40"/>
  <c r="IG610" i="40"/>
  <c r="JA640" i="40"/>
  <c r="IL640" i="40" s="1"/>
  <c r="JD243" i="40"/>
  <c r="KP243" i="40"/>
  <c r="IG647" i="40"/>
  <c r="JD235" i="40"/>
  <c r="KP235" i="40"/>
  <c r="IG672" i="40"/>
  <c r="AQ252" i="40"/>
  <c r="IM602" i="40"/>
  <c r="AT18" i="71"/>
  <c r="JA665" i="40"/>
  <c r="IL665" i="40" s="1"/>
  <c r="IE665" i="40"/>
  <c r="JD268" i="40"/>
  <c r="KP268" i="40"/>
  <c r="AQ269" i="40"/>
  <c r="KQ410" i="40"/>
  <c r="JA631" i="40"/>
  <c r="IL631" i="40" s="1"/>
  <c r="IE631" i="40"/>
  <c r="AQ615" i="40"/>
  <c r="IG611" i="40"/>
  <c r="AQ611" i="40" s="1"/>
  <c r="JA627" i="40"/>
  <c r="IL627" i="40" s="1"/>
  <c r="IE627" i="40"/>
  <c r="JA604" i="40"/>
  <c r="IL604" i="40" s="1"/>
  <c r="KQ434" i="40"/>
  <c r="JD218" i="40"/>
  <c r="KP218" i="40"/>
  <c r="IG656" i="40"/>
  <c r="IE656" i="40"/>
  <c r="JQ475" i="40"/>
  <c r="JR475" i="40"/>
  <c r="KQ475" i="40"/>
  <c r="JA622" i="40"/>
  <c r="IL622" i="40" s="1"/>
  <c r="IE622" i="40"/>
  <c r="IG614" i="40"/>
  <c r="JD258" i="40"/>
  <c r="KP258" i="40"/>
  <c r="AQ221" i="40"/>
  <c r="KQ414" i="40"/>
  <c r="KQ453" i="40"/>
  <c r="IF655" i="40"/>
  <c r="AQ214" i="40"/>
  <c r="JD658" i="40" l="1"/>
  <c r="AQ664" i="40"/>
  <c r="AQ662" i="40"/>
  <c r="JR686" i="40"/>
  <c r="JS686" i="40"/>
  <c r="JD624" i="40"/>
  <c r="JD670" i="40"/>
  <c r="JA701" i="40"/>
  <c r="IL701" i="40" s="1"/>
  <c r="JR201" i="40"/>
  <c r="AQ648" i="40"/>
  <c r="KP689" i="40"/>
  <c r="AQ670" i="40"/>
  <c r="JQ623" i="40"/>
  <c r="L12" i="61"/>
  <c r="Y12" i="61" s="1"/>
  <c r="KP642" i="40"/>
  <c r="AQ613" i="40"/>
  <c r="JD643" i="40"/>
  <c r="JQ643" i="40" s="1"/>
  <c r="JR626" i="40"/>
  <c r="KP694" i="40"/>
  <c r="AQ676" i="40"/>
  <c r="JD601" i="40"/>
  <c r="AQ624" i="40"/>
  <c r="AQ638" i="40"/>
  <c r="AQ634" i="40"/>
  <c r="JT686" i="40"/>
  <c r="JX686" i="40" s="1"/>
  <c r="AQ643" i="40"/>
  <c r="JR653" i="40"/>
  <c r="JD669" i="40"/>
  <c r="AQ657" i="40"/>
  <c r="AQ649" i="40"/>
  <c r="JS685" i="40"/>
  <c r="AQ655" i="40"/>
  <c r="KP688" i="40"/>
  <c r="KP698" i="40"/>
  <c r="KP691" i="40"/>
  <c r="AQ681" i="40"/>
  <c r="JQ685" i="40"/>
  <c r="JU685" i="40" s="1"/>
  <c r="JV685" i="40" s="1"/>
  <c r="JW685" i="40" s="1"/>
  <c r="JR685" i="40"/>
  <c r="JT685" i="40"/>
  <c r="JX685" i="40" s="1"/>
  <c r="KP686" i="40"/>
  <c r="JQ684" i="40"/>
  <c r="JU684" i="40" s="1"/>
  <c r="JV684" i="40" s="1"/>
  <c r="JW684" i="40" s="1"/>
  <c r="JR684" i="40"/>
  <c r="JT684" i="40"/>
  <c r="JX684" i="40" s="1"/>
  <c r="JU686" i="40"/>
  <c r="JV686" i="40" s="1"/>
  <c r="JW686" i="40" s="1"/>
  <c r="JQ687" i="40"/>
  <c r="JU687" i="40" s="1"/>
  <c r="JV687" i="40" s="1"/>
  <c r="JW687" i="40" s="1"/>
  <c r="JT687" i="40"/>
  <c r="JX687" i="40" s="1"/>
  <c r="JR687" i="40"/>
  <c r="JS687" i="40"/>
  <c r="JS684" i="40"/>
  <c r="JD682" i="40"/>
  <c r="JT682" i="40" s="1"/>
  <c r="JX682" i="40" s="1"/>
  <c r="AQ680" i="40"/>
  <c r="KP695" i="40"/>
  <c r="JR648" i="40"/>
  <c r="AQ682" i="40"/>
  <c r="JS683" i="40"/>
  <c r="AQ620" i="40"/>
  <c r="AQ660" i="40"/>
  <c r="AQ679" i="40"/>
  <c r="AQ673" i="40"/>
  <c r="AQ683" i="40"/>
  <c r="AQ661" i="40"/>
  <c r="JD634" i="40"/>
  <c r="AQ604" i="40"/>
  <c r="JD680" i="40"/>
  <c r="JS680" i="40" s="1"/>
  <c r="JD637" i="40"/>
  <c r="JR637" i="40" s="1"/>
  <c r="JD609" i="40"/>
  <c r="AQ678" i="40"/>
  <c r="JD635" i="40"/>
  <c r="JQ635" i="40" s="1"/>
  <c r="JQ613" i="40"/>
  <c r="JR613" i="40"/>
  <c r="JX683" i="40"/>
  <c r="JK683" i="40"/>
  <c r="JD676" i="40"/>
  <c r="JS676" i="40" s="1"/>
  <c r="KQ276" i="40"/>
  <c r="JT276" i="40"/>
  <c r="JX276" i="40" s="1"/>
  <c r="JQ276" i="40"/>
  <c r="JU276" i="40" s="1"/>
  <c r="JV276" i="40" s="1"/>
  <c r="JW276" i="40" s="1"/>
  <c r="JR276" i="40"/>
  <c r="KQ279" i="40"/>
  <c r="JT279" i="40"/>
  <c r="JX279" i="40" s="1"/>
  <c r="JR279" i="40"/>
  <c r="JQ279" i="40"/>
  <c r="JU279" i="40" s="1"/>
  <c r="JV279" i="40" s="1"/>
  <c r="JW279" i="40" s="1"/>
  <c r="AQ608" i="40"/>
  <c r="AQ635" i="40"/>
  <c r="JS279" i="40"/>
  <c r="JD664" i="40"/>
  <c r="JR664" i="40" s="1"/>
  <c r="JQ242" i="40"/>
  <c r="JQ253" i="40"/>
  <c r="KQ278" i="40"/>
  <c r="JR278" i="40"/>
  <c r="JT278" i="40"/>
  <c r="JX278" i="40" s="1"/>
  <c r="JQ278" i="40"/>
  <c r="JU278" i="40" s="1"/>
  <c r="JV278" i="40" s="1"/>
  <c r="JW278" i="40" s="1"/>
  <c r="KQ283" i="40"/>
  <c r="JT283" i="40"/>
  <c r="JQ283" i="40"/>
  <c r="JU283" i="40" s="1"/>
  <c r="JV283" i="40" s="1"/>
  <c r="JW283" i="40" s="1"/>
  <c r="JR283" i="40"/>
  <c r="JD681" i="40"/>
  <c r="JR280" i="40"/>
  <c r="KQ280" i="40"/>
  <c r="JT280" i="40"/>
  <c r="JX280" i="40" s="1"/>
  <c r="JQ280" i="40"/>
  <c r="JU280" i="40" s="1"/>
  <c r="JV280" i="40" s="1"/>
  <c r="JW280" i="40" s="1"/>
  <c r="AQ677" i="40"/>
  <c r="JD677" i="40"/>
  <c r="JU683" i="40"/>
  <c r="JV683" i="40" s="1"/>
  <c r="JW683" i="40" s="1"/>
  <c r="JS278" i="40"/>
  <c r="JR281" i="40"/>
  <c r="JT281" i="40"/>
  <c r="JX281" i="40" s="1"/>
  <c r="KQ281" i="40"/>
  <c r="JQ281" i="40"/>
  <c r="JU281" i="40" s="1"/>
  <c r="JV281" i="40" s="1"/>
  <c r="JW281" i="40" s="1"/>
  <c r="KQ282" i="40"/>
  <c r="JT282" i="40"/>
  <c r="JX282" i="40" s="1"/>
  <c r="JR282" i="40"/>
  <c r="JQ282" i="40"/>
  <c r="JU282" i="40" s="1"/>
  <c r="JV282" i="40" s="1"/>
  <c r="JW282" i="40" s="1"/>
  <c r="JR277" i="40"/>
  <c r="KQ277" i="40"/>
  <c r="JT277" i="40"/>
  <c r="JX277" i="40" s="1"/>
  <c r="JQ277" i="40"/>
  <c r="JU277" i="40" s="1"/>
  <c r="JV277" i="40" s="1"/>
  <c r="JW277" i="40" s="1"/>
  <c r="JD618" i="40"/>
  <c r="JQ618" i="40" s="1"/>
  <c r="JS276" i="40"/>
  <c r="JD679" i="40"/>
  <c r="JS679" i="40" s="1"/>
  <c r="JS280" i="40"/>
  <c r="JD678" i="40"/>
  <c r="JS282" i="40"/>
  <c r="KP679" i="40"/>
  <c r="KP676" i="40"/>
  <c r="KP681" i="40"/>
  <c r="KP680" i="40"/>
  <c r="KP678" i="40"/>
  <c r="AQ612" i="40"/>
  <c r="JD660" i="40"/>
  <c r="JR660" i="40" s="1"/>
  <c r="JD612" i="40"/>
  <c r="JR612" i="40" s="1"/>
  <c r="AQ630" i="40"/>
  <c r="JD619" i="40"/>
  <c r="JQ619" i="40" s="1"/>
  <c r="JQ629" i="40"/>
  <c r="AQ675" i="40"/>
  <c r="JD673" i="40"/>
  <c r="JR673" i="40" s="1"/>
  <c r="KQ224" i="40"/>
  <c r="AQ617" i="40"/>
  <c r="AQ609" i="40"/>
  <c r="AQ644" i="40"/>
  <c r="AQ628" i="40"/>
  <c r="KP629" i="40"/>
  <c r="JD636" i="40"/>
  <c r="JQ636" i="40" s="1"/>
  <c r="JD625" i="40"/>
  <c r="JR625" i="40" s="1"/>
  <c r="JD617" i="40"/>
  <c r="JQ617" i="40" s="1"/>
  <c r="JD610" i="40"/>
  <c r="JR610" i="40" s="1"/>
  <c r="AQ666" i="40"/>
  <c r="JD638" i="40"/>
  <c r="JQ638" i="40" s="1"/>
  <c r="KP656" i="40"/>
  <c r="AQ636" i="40"/>
  <c r="JD668" i="40"/>
  <c r="JR668" i="40" s="1"/>
  <c r="JD614" i="40"/>
  <c r="JQ614" i="40" s="1"/>
  <c r="AQ654" i="40"/>
  <c r="AQ663" i="40"/>
  <c r="KP622" i="40"/>
  <c r="AQ602" i="40"/>
  <c r="AQ674" i="40"/>
  <c r="AQ651" i="40"/>
  <c r="AQ603" i="40"/>
  <c r="JD606" i="40"/>
  <c r="JR606" i="40" s="1"/>
  <c r="AQ652" i="40"/>
  <c r="KP663" i="40"/>
  <c r="KQ233" i="40"/>
  <c r="AQ656" i="40"/>
  <c r="JD627" i="40"/>
  <c r="JQ627" i="40" s="1"/>
  <c r="JD631" i="40"/>
  <c r="JR631" i="40" s="1"/>
  <c r="AQ631" i="40"/>
  <c r="AQ646" i="40"/>
  <c r="AQ606" i="40"/>
  <c r="JD621" i="40"/>
  <c r="JR621" i="40" s="1"/>
  <c r="JD675" i="40"/>
  <c r="JR675" i="40" s="1"/>
  <c r="JQ669" i="40"/>
  <c r="JR669" i="40"/>
  <c r="KP604" i="40"/>
  <c r="KP640" i="40"/>
  <c r="JQ203" i="40"/>
  <c r="KQ203" i="40"/>
  <c r="JR203" i="40"/>
  <c r="KQ258" i="40"/>
  <c r="JR258" i="40"/>
  <c r="JQ258" i="40"/>
  <c r="O69" i="70"/>
  <c r="JD622" i="40"/>
  <c r="KP627" i="40"/>
  <c r="KP631" i="40"/>
  <c r="JR235" i="40"/>
  <c r="KQ235" i="40"/>
  <c r="JQ235" i="40"/>
  <c r="JR259" i="40"/>
  <c r="KQ259" i="40"/>
  <c r="JQ259" i="40"/>
  <c r="KP670" i="40"/>
  <c r="JD652" i="40"/>
  <c r="KQ260" i="40"/>
  <c r="JR261" i="40"/>
  <c r="KQ261" i="40"/>
  <c r="JQ261" i="40"/>
  <c r="KP664" i="40"/>
  <c r="KP668" i="40"/>
  <c r="AQ672" i="40"/>
  <c r="KQ262" i="40"/>
  <c r="JR262" i="40"/>
  <c r="JQ262" i="40"/>
  <c r="KP646" i="40"/>
  <c r="KP603" i="40"/>
  <c r="JR616" i="40"/>
  <c r="JQ616" i="40"/>
  <c r="JD654" i="40"/>
  <c r="KQ213" i="40"/>
  <c r="KQ201" i="40"/>
  <c r="JR609" i="40"/>
  <c r="JQ609" i="40"/>
  <c r="JD628" i="40"/>
  <c r="KP636" i="40"/>
  <c r="JQ204" i="40"/>
  <c r="JR204" i="40"/>
  <c r="KQ204" i="40"/>
  <c r="KP635" i="40"/>
  <c r="KP662" i="40"/>
  <c r="JD611" i="40"/>
  <c r="JQ220" i="40"/>
  <c r="KQ220" i="40"/>
  <c r="JR220" i="40"/>
  <c r="JQ633" i="40"/>
  <c r="JR633" i="40"/>
  <c r="JD655" i="40"/>
  <c r="KQ269" i="40"/>
  <c r="JR269" i="40"/>
  <c r="JQ269" i="40"/>
  <c r="JR207" i="40"/>
  <c r="KQ207" i="40"/>
  <c r="JQ207" i="40"/>
  <c r="KP609" i="40"/>
  <c r="KP657" i="40"/>
  <c r="JD649" i="40"/>
  <c r="KQ222" i="40"/>
  <c r="JR222" i="40"/>
  <c r="JQ222" i="40"/>
  <c r="O33" i="70"/>
  <c r="JR256" i="40"/>
  <c r="KQ256" i="40"/>
  <c r="JQ256" i="40"/>
  <c r="AQ641" i="40"/>
  <c r="JR237" i="40"/>
  <c r="KQ237" i="40"/>
  <c r="JQ237" i="40"/>
  <c r="KP634" i="40"/>
  <c r="KQ253" i="40"/>
  <c r="JD640" i="40"/>
  <c r="KP620" i="40"/>
  <c r="JD632" i="40"/>
  <c r="AQ632" i="40"/>
  <c r="JD630" i="40"/>
  <c r="JD607" i="40"/>
  <c r="AQ669" i="40"/>
  <c r="KP661" i="40"/>
  <c r="JD701" i="40"/>
  <c r="KQ268" i="40"/>
  <c r="JR268" i="40"/>
  <c r="JQ268" i="40"/>
  <c r="JR624" i="40"/>
  <c r="JQ624" i="40"/>
  <c r="KP647" i="40"/>
  <c r="KP616" i="40"/>
  <c r="AQ647" i="40"/>
  <c r="KP630" i="40"/>
  <c r="KP669" i="40"/>
  <c r="KP601" i="40"/>
  <c r="KP667" i="40"/>
  <c r="KQ202" i="40"/>
  <c r="JR202" i="40"/>
  <c r="JQ202" i="40"/>
  <c r="N4" i="59"/>
  <c r="F41" i="59" s="1"/>
  <c r="O4" i="59"/>
  <c r="G41" i="59" s="1"/>
  <c r="KQ206" i="40"/>
  <c r="JR206" i="40"/>
  <c r="JQ206" i="40"/>
  <c r="KP652" i="40"/>
  <c r="JQ658" i="40"/>
  <c r="JR658" i="40"/>
  <c r="KT162" i="40"/>
  <c r="KU161" i="40"/>
  <c r="JR263" i="40"/>
  <c r="KQ263" i="40"/>
  <c r="JQ263" i="40"/>
  <c r="JR635" i="40"/>
  <c r="KQ242" i="40"/>
  <c r="JR273" i="40"/>
  <c r="KQ273" i="40"/>
  <c r="JQ273" i="40"/>
  <c r="IM701" i="40"/>
  <c r="AT18" i="67"/>
  <c r="AT18" i="68"/>
  <c r="M12" i="61"/>
  <c r="Z12" i="61" s="1"/>
  <c r="JD659" i="40"/>
  <c r="KP626" i="40"/>
  <c r="KP654" i="40"/>
  <c r="JR255" i="40"/>
  <c r="KQ255" i="40"/>
  <c r="JQ255" i="40"/>
  <c r="KP623" i="40"/>
  <c r="KQ236" i="40"/>
  <c r="KP619" i="40"/>
  <c r="JD672" i="40"/>
  <c r="JD644" i="40"/>
  <c r="KQ257" i="40"/>
  <c r="JR257" i="40"/>
  <c r="JQ257" i="40"/>
  <c r="O68" i="70"/>
  <c r="JR249" i="40"/>
  <c r="KQ249" i="40"/>
  <c r="JQ249" i="40"/>
  <c r="O60" i="70"/>
  <c r="KP628" i="40"/>
  <c r="KP671" i="40"/>
  <c r="JD674" i="40"/>
  <c r="AQ614" i="40"/>
  <c r="IN701" i="40"/>
  <c r="N12" i="61"/>
  <c r="AA12" i="61" s="1"/>
  <c r="AU18" i="71"/>
  <c r="AU18" i="69"/>
  <c r="AU18" i="67"/>
  <c r="KQ250" i="40"/>
  <c r="KP611" i="40"/>
  <c r="JR239" i="40"/>
  <c r="KQ239" i="40"/>
  <c r="JQ239" i="40"/>
  <c r="KP655" i="40"/>
  <c r="JD666" i="40"/>
  <c r="KP649" i="40"/>
  <c r="JD604" i="40"/>
  <c r="KP660" i="40"/>
  <c r="KQ229" i="40"/>
  <c r="KP673" i="40"/>
  <c r="JD651" i="40"/>
  <c r="KQ217" i="40"/>
  <c r="AQ668" i="40"/>
  <c r="JQ219" i="40"/>
  <c r="JR219" i="40"/>
  <c r="KQ219" i="40"/>
  <c r="O30" i="70"/>
  <c r="KP607" i="40"/>
  <c r="JD641" i="40"/>
  <c r="JR645" i="40"/>
  <c r="JQ645" i="40"/>
  <c r="KP650" i="40"/>
  <c r="KP605" i="40"/>
  <c r="AQ665" i="40"/>
  <c r="JD665" i="40"/>
  <c r="KP641" i="40"/>
  <c r="KP606" i="40"/>
  <c r="KP637" i="40"/>
  <c r="KQ234" i="40"/>
  <c r="JR234" i="40"/>
  <c r="JQ234" i="40"/>
  <c r="KQ245" i="40"/>
  <c r="JQ615" i="40"/>
  <c r="JR615" i="40"/>
  <c r="O53" i="70"/>
  <c r="KP633" i="40"/>
  <c r="KP659" i="40"/>
  <c r="JR211" i="40"/>
  <c r="JQ211" i="40"/>
  <c r="KQ211" i="40"/>
  <c r="O11" i="70"/>
  <c r="JR670" i="40"/>
  <c r="JQ670" i="40"/>
  <c r="JD608" i="40"/>
  <c r="JD647" i="40"/>
  <c r="KP672" i="40"/>
  <c r="KP644" i="40"/>
  <c r="KQ270" i="40"/>
  <c r="KP615" i="40"/>
  <c r="KQ241" i="40"/>
  <c r="JR241" i="40"/>
  <c r="JQ241" i="40"/>
  <c r="O52" i="70"/>
  <c r="KQ226" i="40"/>
  <c r="AT17" i="66"/>
  <c r="AV17" i="66" s="1"/>
  <c r="J9" i="61"/>
  <c r="O9" i="61" s="1"/>
  <c r="AF9" i="61" s="1"/>
  <c r="AJ9" i="61" s="1"/>
  <c r="J11" i="61"/>
  <c r="O11" i="61" s="1"/>
  <c r="AF11" i="61" s="1"/>
  <c r="AJ11" i="61" s="1"/>
  <c r="AT17" i="71"/>
  <c r="AV17" i="71" s="1"/>
  <c r="J10" i="61"/>
  <c r="AT17" i="69"/>
  <c r="AV17" i="69" s="1"/>
  <c r="J8" i="61"/>
  <c r="KP674" i="40"/>
  <c r="KP643" i="40"/>
  <c r="KQ240" i="40"/>
  <c r="JR240" i="40"/>
  <c r="JQ240" i="40"/>
  <c r="KQ215" i="40"/>
  <c r="AQ607" i="40"/>
  <c r="KQ271" i="40"/>
  <c r="AQ621" i="40"/>
  <c r="JR275" i="40"/>
  <c r="KQ275" i="40"/>
  <c r="JQ275" i="40"/>
  <c r="KP666" i="40"/>
  <c r="KP638" i="40"/>
  <c r="KQ264" i="40"/>
  <c r="JR264" i="40"/>
  <c r="JQ264" i="40"/>
  <c r="KQ231" i="40"/>
  <c r="JR231" i="40"/>
  <c r="JQ231" i="40"/>
  <c r="N30" i="59"/>
  <c r="Y43" i="59" s="1"/>
  <c r="KP624" i="40"/>
  <c r="O40" i="70"/>
  <c r="AQ639" i="40"/>
  <c r="KP651" i="40"/>
  <c r="KQ225" i="40"/>
  <c r="JR225" i="40"/>
  <c r="JQ225" i="40"/>
  <c r="O36" i="70"/>
  <c r="KQ216" i="40"/>
  <c r="BK11" i="70"/>
  <c r="JD667" i="40"/>
  <c r="KP610" i="40"/>
  <c r="KP675" i="40"/>
  <c r="KQ228" i="40"/>
  <c r="JR228" i="40"/>
  <c r="JQ228" i="40"/>
  <c r="O14" i="70"/>
  <c r="O39" i="70"/>
  <c r="KP645" i="40"/>
  <c r="JQ218" i="40"/>
  <c r="JR218" i="40"/>
  <c r="KQ218" i="40"/>
  <c r="O29" i="70"/>
  <c r="JR246" i="40"/>
  <c r="KQ246" i="40"/>
  <c r="JQ246" i="40"/>
  <c r="O57" i="70"/>
  <c r="KP613" i="40"/>
  <c r="KP612" i="40"/>
  <c r="JR208" i="40"/>
  <c r="JQ208" i="40"/>
  <c r="KQ208" i="40"/>
  <c r="JD656" i="40"/>
  <c r="KP665" i="40"/>
  <c r="KQ243" i="40"/>
  <c r="JR243" i="40"/>
  <c r="JQ243" i="40"/>
  <c r="AQ622" i="40"/>
  <c r="O35" i="70"/>
  <c r="KQ254" i="40"/>
  <c r="JR254" i="40"/>
  <c r="JQ254" i="40"/>
  <c r="KP639" i="40"/>
  <c r="JR247" i="40"/>
  <c r="KQ247" i="40"/>
  <c r="JQ247" i="40"/>
  <c r="KP684" i="40"/>
  <c r="KP693" i="40"/>
  <c r="KP692" i="40"/>
  <c r="KP690" i="40"/>
  <c r="KP700" i="40"/>
  <c r="KP685" i="40"/>
  <c r="KP682" i="40"/>
  <c r="KP687" i="40"/>
  <c r="KP683" i="40"/>
  <c r="KP677" i="40"/>
  <c r="KP696" i="40"/>
  <c r="JR272" i="40"/>
  <c r="KQ272" i="40"/>
  <c r="JQ272" i="40"/>
  <c r="JQ209" i="40"/>
  <c r="KQ209" i="40"/>
  <c r="JR209" i="40"/>
  <c r="KQ244" i="40"/>
  <c r="JR244" i="40"/>
  <c r="JQ244" i="40"/>
  <c r="KQ212" i="40"/>
  <c r="KQ238" i="40"/>
  <c r="JR238" i="40"/>
  <c r="JQ238" i="40"/>
  <c r="O49" i="70"/>
  <c r="JR221" i="40"/>
  <c r="KQ221" i="40"/>
  <c r="JQ221" i="40"/>
  <c r="JR605" i="40"/>
  <c r="JQ605" i="40"/>
  <c r="JR274" i="40"/>
  <c r="KQ274" i="40"/>
  <c r="JQ274" i="40"/>
  <c r="JQ668" i="40"/>
  <c r="KP617" i="40"/>
  <c r="KQ205" i="40"/>
  <c r="JD646" i="40"/>
  <c r="JD603" i="40"/>
  <c r="KP614" i="40"/>
  <c r="AQ619" i="40"/>
  <c r="KP608" i="40"/>
  <c r="JQ210" i="40"/>
  <c r="JR210" i="40"/>
  <c r="KQ210" i="40"/>
  <c r="O21" i="70"/>
  <c r="JD602" i="40"/>
  <c r="KQ650" i="40" s="1"/>
  <c r="JR266" i="40"/>
  <c r="KQ266" i="40"/>
  <c r="JQ266" i="40"/>
  <c r="JR232" i="40"/>
  <c r="KQ232" i="40"/>
  <c r="JQ232" i="40"/>
  <c r="O9" i="70"/>
  <c r="KQ223" i="40"/>
  <c r="KP653" i="40"/>
  <c r="KP658" i="40"/>
  <c r="KP621" i="40"/>
  <c r="KP618" i="40"/>
  <c r="KP625" i="40"/>
  <c r="JD663" i="40"/>
  <c r="JR634" i="40"/>
  <c r="JQ634" i="40"/>
  <c r="KQ248" i="40"/>
  <c r="JR650" i="40"/>
  <c r="JQ650" i="40"/>
  <c r="AQ625" i="40"/>
  <c r="JD662" i="40"/>
  <c r="KQ251" i="40"/>
  <c r="JR251" i="40"/>
  <c r="JQ251" i="40"/>
  <c r="O62" i="70"/>
  <c r="JR636" i="40"/>
  <c r="JR230" i="40"/>
  <c r="KQ230" i="40"/>
  <c r="JQ230" i="40"/>
  <c r="O41" i="70"/>
  <c r="JR267" i="40"/>
  <c r="KQ267" i="40"/>
  <c r="JQ267" i="40"/>
  <c r="KP602" i="40"/>
  <c r="JD657" i="40"/>
  <c r="KP648" i="40"/>
  <c r="AQ610" i="40"/>
  <c r="KQ227" i="40"/>
  <c r="JR227" i="40"/>
  <c r="JQ227" i="40"/>
  <c r="O38" i="70"/>
  <c r="KQ265" i="40"/>
  <c r="JR265" i="40"/>
  <c r="JQ265" i="40"/>
  <c r="JR601" i="40"/>
  <c r="JQ601" i="40"/>
  <c r="AQ627" i="40"/>
  <c r="JR671" i="40"/>
  <c r="JQ671" i="40"/>
  <c r="AQ659" i="40"/>
  <c r="JR214" i="40"/>
  <c r="KQ214" i="40"/>
  <c r="JQ214" i="40"/>
  <c r="JD639" i="40"/>
  <c r="JD620" i="40"/>
  <c r="O30" i="59"/>
  <c r="AQ667" i="40"/>
  <c r="KP632" i="40"/>
  <c r="JR252" i="40"/>
  <c r="KQ252" i="40"/>
  <c r="JQ252" i="40"/>
  <c r="JD661" i="40"/>
  <c r="BK14" i="70"/>
  <c r="JQ664" i="40" l="1"/>
  <c r="JQ631" i="40"/>
  <c r="JQ621" i="40"/>
  <c r="JR643" i="40"/>
  <c r="JR618" i="40"/>
  <c r="JQ637" i="40"/>
  <c r="JR682" i="40"/>
  <c r="JS682" i="40"/>
  <c r="JQ682" i="40"/>
  <c r="JU682" i="40" s="1"/>
  <c r="JV682" i="40" s="1"/>
  <c r="JW682" i="40" s="1"/>
  <c r="JQ675" i="40"/>
  <c r="JQ612" i="40"/>
  <c r="JR680" i="40"/>
  <c r="JR619" i="40"/>
  <c r="JQ680" i="40"/>
  <c r="JU680" i="40" s="1"/>
  <c r="JV680" i="40" s="1"/>
  <c r="JW680" i="40" s="1"/>
  <c r="JQ610" i="40"/>
  <c r="JT680" i="40"/>
  <c r="JX680" i="40" s="1"/>
  <c r="JQ673" i="40"/>
  <c r="KP701" i="40"/>
  <c r="JT677" i="40"/>
  <c r="JX677" i="40" s="1"/>
  <c r="JQ677" i="40"/>
  <c r="JU677" i="40" s="1"/>
  <c r="JV677" i="40" s="1"/>
  <c r="JW677" i="40" s="1"/>
  <c r="JR677" i="40"/>
  <c r="JR678" i="40"/>
  <c r="JQ678" i="40"/>
  <c r="JU678" i="40" s="1"/>
  <c r="JV678" i="40" s="1"/>
  <c r="JW678" i="40" s="1"/>
  <c r="JT678" i="40"/>
  <c r="JX678" i="40" s="1"/>
  <c r="JR617" i="40"/>
  <c r="JR679" i="40"/>
  <c r="JQ679" i="40"/>
  <c r="JU679" i="40" s="1"/>
  <c r="JV679" i="40" s="1"/>
  <c r="JW679" i="40" s="1"/>
  <c r="JT679" i="40"/>
  <c r="JX679" i="40" s="1"/>
  <c r="JR627" i="40"/>
  <c r="JS677" i="40"/>
  <c r="JS678" i="40"/>
  <c r="JT681" i="40"/>
  <c r="JX681" i="40" s="1"/>
  <c r="JR681" i="40"/>
  <c r="JQ681" i="40"/>
  <c r="JU681" i="40" s="1"/>
  <c r="JV681" i="40" s="1"/>
  <c r="JW681" i="40" s="1"/>
  <c r="JS681" i="40"/>
  <c r="JR676" i="40"/>
  <c r="JQ676" i="40"/>
  <c r="JU676" i="40" s="1"/>
  <c r="JV676" i="40" s="1"/>
  <c r="JW676" i="40" s="1"/>
  <c r="JT676" i="40"/>
  <c r="JX676" i="40" s="1"/>
  <c r="JQ660" i="40"/>
  <c r="JQ625" i="40"/>
  <c r="JR638" i="40"/>
  <c r="JR614" i="40"/>
  <c r="O12" i="61"/>
  <c r="AF12" i="61" s="1"/>
  <c r="AJ12" i="61" s="1"/>
  <c r="KQ671" i="40"/>
  <c r="KQ601" i="40"/>
  <c r="AU61" i="70"/>
  <c r="KQ634" i="40"/>
  <c r="JQ606" i="40"/>
  <c r="AU25" i="70"/>
  <c r="KQ637" i="40"/>
  <c r="AU38" i="70"/>
  <c r="KQ636" i="40"/>
  <c r="AU36" i="70"/>
  <c r="JR639" i="40"/>
  <c r="JQ639" i="40"/>
  <c r="KQ639" i="40"/>
  <c r="KQ614" i="40"/>
  <c r="JQ602" i="40"/>
  <c r="KQ602" i="40"/>
  <c r="JR602" i="40"/>
  <c r="P8" i="59"/>
  <c r="N8" i="59"/>
  <c r="F45" i="59" s="1"/>
  <c r="KQ691" i="40"/>
  <c r="KQ690" i="40"/>
  <c r="KQ693" i="40"/>
  <c r="KQ679" i="40"/>
  <c r="O8" i="59"/>
  <c r="G45" i="59" s="1"/>
  <c r="KQ697" i="40"/>
  <c r="KQ692" i="40"/>
  <c r="KQ696" i="40"/>
  <c r="M8" i="59"/>
  <c r="E45" i="59" s="1"/>
  <c r="KQ623" i="40"/>
  <c r="AU40" i="70"/>
  <c r="KQ660" i="40"/>
  <c r="KQ626" i="40"/>
  <c r="KQ642" i="40"/>
  <c r="KQ629" i="40"/>
  <c r="KQ648" i="40"/>
  <c r="KQ653" i="40"/>
  <c r="KQ613" i="40"/>
  <c r="JR646" i="40"/>
  <c r="JQ646" i="40"/>
  <c r="KQ646" i="40"/>
  <c r="AU57" i="70"/>
  <c r="KQ605" i="40"/>
  <c r="AU48" i="70"/>
  <c r="KQ631" i="40"/>
  <c r="KQ627" i="40"/>
  <c r="BE11" i="70"/>
  <c r="KQ641" i="40"/>
  <c r="JR641" i="40"/>
  <c r="JQ641" i="40"/>
  <c r="AU52" i="70"/>
  <c r="KQ675" i="40"/>
  <c r="JQ666" i="40"/>
  <c r="JR666" i="40"/>
  <c r="KQ666" i="40"/>
  <c r="JQ672" i="40"/>
  <c r="JR672" i="40"/>
  <c r="KQ672" i="40"/>
  <c r="KQ659" i="40"/>
  <c r="JR659" i="40"/>
  <c r="JQ659" i="40"/>
  <c r="AU54" i="70"/>
  <c r="KQ618" i="40"/>
  <c r="KQ658" i="40"/>
  <c r="KQ701" i="40"/>
  <c r="JR701" i="40"/>
  <c r="JQ701" i="40"/>
  <c r="G37" i="70"/>
  <c r="G38" i="70"/>
  <c r="AE57" i="70"/>
  <c r="KQ689" i="40"/>
  <c r="O16" i="70"/>
  <c r="AM36" i="70"/>
  <c r="AU66" i="70"/>
  <c r="AU68" i="70"/>
  <c r="AM17" i="70"/>
  <c r="W47" i="70"/>
  <c r="N20" i="59"/>
  <c r="AM31" i="70"/>
  <c r="AE7" i="70"/>
  <c r="W30" i="70"/>
  <c r="KQ684" i="40"/>
  <c r="AU28" i="70"/>
  <c r="O24" i="70"/>
  <c r="AU67" i="70"/>
  <c r="W17" i="70"/>
  <c r="N19" i="59"/>
  <c r="AM57" i="70"/>
  <c r="AU10" i="70"/>
  <c r="BQ10" i="70" s="1"/>
  <c r="P17" i="59"/>
  <c r="W28" i="70"/>
  <c r="O66" i="70"/>
  <c r="P6" i="59"/>
  <c r="KQ680" i="40"/>
  <c r="AM24" i="70"/>
  <c r="AE69" i="70"/>
  <c r="AE12" i="70"/>
  <c r="AM48" i="70"/>
  <c r="W37" i="70"/>
  <c r="AU8" i="70"/>
  <c r="BQ8" i="70" s="1"/>
  <c r="AM43" i="70"/>
  <c r="W13" i="70"/>
  <c r="AM38" i="70"/>
  <c r="AE45" i="70"/>
  <c r="M17" i="59"/>
  <c r="M29" i="59" s="1"/>
  <c r="AE38" i="70"/>
  <c r="AM26" i="70"/>
  <c r="W39" i="70"/>
  <c r="AM63" i="70"/>
  <c r="W53" i="70"/>
  <c r="AM13" i="70"/>
  <c r="AE52" i="70"/>
  <c r="AE67" i="70"/>
  <c r="AU55" i="70"/>
  <c r="AM37" i="70"/>
  <c r="AE58" i="70"/>
  <c r="O15" i="70"/>
  <c r="M16" i="59"/>
  <c r="AU47" i="70"/>
  <c r="W40" i="70"/>
  <c r="AE25" i="70"/>
  <c r="P16" i="59"/>
  <c r="AM23" i="70"/>
  <c r="AU46" i="70"/>
  <c r="AM11" i="70"/>
  <c r="M6" i="59"/>
  <c r="E43" i="59" s="1"/>
  <c r="KQ698" i="40"/>
  <c r="AM61" i="70"/>
  <c r="AE15" i="70"/>
  <c r="AU44" i="70"/>
  <c r="O31" i="70"/>
  <c r="AE8" i="70"/>
  <c r="AE30" i="70"/>
  <c r="AM32" i="70"/>
  <c r="W24" i="70"/>
  <c r="O42" i="70"/>
  <c r="KQ682" i="40"/>
  <c r="AU30" i="70"/>
  <c r="AM29" i="70"/>
  <c r="AM45" i="70"/>
  <c r="O5" i="59"/>
  <c r="AU13" i="70"/>
  <c r="BQ13" i="70" s="1"/>
  <c r="W12" i="70"/>
  <c r="O25" i="70"/>
  <c r="W48" i="70"/>
  <c r="AE68" i="70"/>
  <c r="KQ700" i="40"/>
  <c r="AE64" i="70"/>
  <c r="AE32" i="70"/>
  <c r="AE20" i="70"/>
  <c r="AM58" i="70"/>
  <c r="O65" i="70"/>
  <c r="AE29" i="70"/>
  <c r="M20" i="59"/>
  <c r="O32" i="70"/>
  <c r="KQ699" i="40"/>
  <c r="KQ685" i="40"/>
  <c r="AM14" i="70"/>
  <c r="AU64" i="70"/>
  <c r="AE28" i="70"/>
  <c r="AM55" i="70"/>
  <c r="W46" i="70"/>
  <c r="O8" i="70"/>
  <c r="W58" i="70"/>
  <c r="AM28" i="70"/>
  <c r="AM25" i="70"/>
  <c r="P5" i="59"/>
  <c r="O44" i="70"/>
  <c r="KQ676" i="40"/>
  <c r="AM8" i="70"/>
  <c r="AM66" i="70"/>
  <c r="AU26" i="70"/>
  <c r="W66" i="70"/>
  <c r="O45" i="70"/>
  <c r="AU43" i="70"/>
  <c r="O61" i="70"/>
  <c r="AE22" i="70"/>
  <c r="AU63" i="70"/>
  <c r="O47" i="70"/>
  <c r="AM59" i="70"/>
  <c r="AM40" i="70"/>
  <c r="O16" i="59"/>
  <c r="O28" i="59" s="1"/>
  <c r="AE23" i="70"/>
  <c r="W31" i="70"/>
  <c r="AM42" i="70"/>
  <c r="W62" i="70"/>
  <c r="N16" i="59"/>
  <c r="N28" i="59" s="1"/>
  <c r="Y41" i="59" s="1"/>
  <c r="O27" i="70"/>
  <c r="AU41" i="70"/>
  <c r="O55" i="70"/>
  <c r="O63" i="70"/>
  <c r="AU31" i="70"/>
  <c r="M18" i="59"/>
  <c r="O67" i="70"/>
  <c r="W49" i="70"/>
  <c r="AE13" i="70"/>
  <c r="AE31" i="70"/>
  <c r="O22" i="70"/>
  <c r="AM51" i="70"/>
  <c r="O43" i="70"/>
  <c r="W29" i="70"/>
  <c r="AM16" i="70"/>
  <c r="O7" i="59"/>
  <c r="AU34" i="70"/>
  <c r="KQ686" i="40"/>
  <c r="AM39" i="70"/>
  <c r="KQ687" i="40"/>
  <c r="W69" i="70"/>
  <c r="W22" i="70"/>
  <c r="AE40" i="70"/>
  <c r="W43" i="70"/>
  <c r="N7" i="59"/>
  <c r="F44" i="59" s="1"/>
  <c r="AU42" i="70"/>
  <c r="W65" i="70"/>
  <c r="AU14" i="70"/>
  <c r="BQ14" i="70" s="1"/>
  <c r="KQ678" i="40"/>
  <c r="AU51" i="70"/>
  <c r="W41" i="70"/>
  <c r="AM10" i="70"/>
  <c r="O17" i="70"/>
  <c r="AU37" i="70"/>
  <c r="W61" i="70"/>
  <c r="O58" i="70"/>
  <c r="KQ681" i="40"/>
  <c r="W15" i="70"/>
  <c r="KQ677" i="40"/>
  <c r="P4" i="59"/>
  <c r="O20" i="70"/>
  <c r="O12" i="70"/>
  <c r="AM67" i="70"/>
  <c r="O23" i="70"/>
  <c r="AM62" i="70"/>
  <c r="AE53" i="70"/>
  <c r="P20" i="59"/>
  <c r="AE48" i="70"/>
  <c r="AM69" i="70"/>
  <c r="AU45" i="70"/>
  <c r="AM50" i="70"/>
  <c r="O13" i="70"/>
  <c r="AM9" i="70"/>
  <c r="W51" i="70"/>
  <c r="O50" i="70"/>
  <c r="KQ683" i="40"/>
  <c r="W50" i="70"/>
  <c r="AM22" i="70"/>
  <c r="AU24" i="70"/>
  <c r="AM56" i="70"/>
  <c r="W64" i="70"/>
  <c r="AE44" i="70"/>
  <c r="N5" i="59"/>
  <c r="F42" i="59" s="1"/>
  <c r="W56" i="70"/>
  <c r="AM47" i="70"/>
  <c r="AU56" i="70"/>
  <c r="O54" i="70"/>
  <c r="AU49" i="70"/>
  <c r="O48" i="70"/>
  <c r="KQ688" i="40"/>
  <c r="O46" i="70"/>
  <c r="O7" i="70"/>
  <c r="O59" i="70"/>
  <c r="AE46" i="70"/>
  <c r="N17" i="59"/>
  <c r="N29" i="59" s="1"/>
  <c r="Y42" i="59" s="1"/>
  <c r="AU69" i="70"/>
  <c r="KQ694" i="40"/>
  <c r="AM27" i="70"/>
  <c r="O51" i="70"/>
  <c r="P7" i="59"/>
  <c r="AE18" i="70"/>
  <c r="M19" i="59"/>
  <c r="M31" i="59" s="1"/>
  <c r="KQ695" i="40"/>
  <c r="W59" i="70"/>
  <c r="O18" i="70"/>
  <c r="AU16" i="70"/>
  <c r="BQ16" i="70" s="1"/>
  <c r="AE9" i="70"/>
  <c r="AU50" i="70"/>
  <c r="M4" i="59"/>
  <c r="E41" i="59" s="1"/>
  <c r="AM18" i="70"/>
  <c r="AU29" i="70"/>
  <c r="AM35" i="70"/>
  <c r="W42" i="70"/>
  <c r="O10" i="70"/>
  <c r="O37" i="70"/>
  <c r="AE49" i="70"/>
  <c r="AE66" i="70"/>
  <c r="AE10" i="70"/>
  <c r="O34" i="70"/>
  <c r="O56" i="70"/>
  <c r="O26" i="70"/>
  <c r="AU53" i="70"/>
  <c r="AU59" i="70"/>
  <c r="O64" i="70"/>
  <c r="JR640" i="40"/>
  <c r="JQ640" i="40"/>
  <c r="KQ640" i="40"/>
  <c r="JQ655" i="40"/>
  <c r="JR655" i="40"/>
  <c r="KQ655" i="40"/>
  <c r="AU7" i="70"/>
  <c r="BQ7" i="70" s="1"/>
  <c r="AU15" i="70"/>
  <c r="BQ15" i="70" s="1"/>
  <c r="AU27" i="70"/>
  <c r="KQ616" i="40"/>
  <c r="KQ669" i="40"/>
  <c r="KQ610" i="40"/>
  <c r="JQ620" i="40"/>
  <c r="JR620" i="40"/>
  <c r="KQ620" i="40"/>
  <c r="JR661" i="40"/>
  <c r="KQ661" i="40"/>
  <c r="JQ661" i="40"/>
  <c r="AA43" i="59"/>
  <c r="O43" i="59"/>
  <c r="JR662" i="40"/>
  <c r="KQ662" i="40"/>
  <c r="JQ662" i="40"/>
  <c r="KQ668" i="40"/>
  <c r="KQ667" i="40"/>
  <c r="JR667" i="40"/>
  <c r="JQ667" i="40"/>
  <c r="AU32" i="70"/>
  <c r="KQ625" i="40"/>
  <c r="KQ665" i="40"/>
  <c r="JQ665" i="40"/>
  <c r="JR665" i="40"/>
  <c r="KQ645" i="40"/>
  <c r="AU18" i="70"/>
  <c r="KQ651" i="40"/>
  <c r="JQ651" i="40"/>
  <c r="JR651" i="40"/>
  <c r="AU62" i="70"/>
  <c r="JR674" i="40"/>
  <c r="KQ674" i="40"/>
  <c r="JQ674" i="40"/>
  <c r="O10" i="61"/>
  <c r="AF10" i="61" s="1"/>
  <c r="AJ10" i="61" s="1"/>
  <c r="JR607" i="40"/>
  <c r="JQ607" i="40"/>
  <c r="KQ607" i="40"/>
  <c r="JQ630" i="40"/>
  <c r="JR630" i="40"/>
  <c r="KQ630" i="40"/>
  <c r="KQ649" i="40"/>
  <c r="JR649" i="40"/>
  <c r="JQ649" i="40"/>
  <c r="AU60" i="70"/>
  <c r="JR611" i="40"/>
  <c r="KQ611" i="40"/>
  <c r="JQ611" i="40"/>
  <c r="O20" i="59"/>
  <c r="O32" i="59" s="1"/>
  <c r="AA45" i="59" s="1"/>
  <c r="AU22" i="70"/>
  <c r="AU11" i="70"/>
  <c r="BQ11" i="70" s="1"/>
  <c r="AU23" i="70"/>
  <c r="JR652" i="40"/>
  <c r="JQ652" i="40"/>
  <c r="KQ652" i="40"/>
  <c r="KQ622" i="40"/>
  <c r="JQ622" i="40"/>
  <c r="JR622" i="40"/>
  <c r="AU33" i="70"/>
  <c r="AU17" i="70"/>
  <c r="KQ619" i="40"/>
  <c r="JR663" i="40"/>
  <c r="JQ663" i="40"/>
  <c r="KQ663" i="40"/>
  <c r="KQ621" i="40"/>
  <c r="JR647" i="40"/>
  <c r="JQ647" i="40"/>
  <c r="KQ647" i="40"/>
  <c r="AU58" i="70"/>
  <c r="KQ670" i="40"/>
  <c r="JR604" i="40"/>
  <c r="KQ604" i="40"/>
  <c r="JQ604" i="40"/>
  <c r="KQ606" i="40"/>
  <c r="KQ643" i="40"/>
  <c r="O8" i="61"/>
  <c r="AF8" i="61" s="1"/>
  <c r="AJ8" i="61" s="1"/>
  <c r="KQ633" i="40"/>
  <c r="KQ617" i="40"/>
  <c r="JR628" i="40"/>
  <c r="JQ628" i="40"/>
  <c r="KQ628" i="40"/>
  <c r="AU39" i="70"/>
  <c r="AU12" i="70"/>
  <c r="BQ12" i="70" s="1"/>
  <c r="KQ612" i="40"/>
  <c r="AU21" i="70"/>
  <c r="KQ657" i="40"/>
  <c r="JR657" i="40"/>
  <c r="JQ657" i="40"/>
  <c r="BE9" i="70"/>
  <c r="JR603" i="40"/>
  <c r="KQ603" i="40"/>
  <c r="JQ603" i="40"/>
  <c r="JR656" i="40"/>
  <c r="JQ656" i="40"/>
  <c r="KQ656" i="40"/>
  <c r="KQ664" i="40"/>
  <c r="BE14" i="70"/>
  <c r="JR608" i="40"/>
  <c r="KQ608" i="40"/>
  <c r="JQ608" i="40"/>
  <c r="KQ615" i="40"/>
  <c r="KQ673" i="40"/>
  <c r="JR644" i="40"/>
  <c r="JQ644" i="40"/>
  <c r="KQ644" i="40"/>
  <c r="KQ635" i="40"/>
  <c r="KU162" i="40"/>
  <c r="KT163" i="40"/>
  <c r="AU35" i="70"/>
  <c r="KQ624" i="40"/>
  <c r="KQ632" i="40"/>
  <c r="JR632" i="40"/>
  <c r="JQ632" i="40"/>
  <c r="AU9" i="70"/>
  <c r="BQ9" i="70" s="1"/>
  <c r="KQ638" i="40"/>
  <c r="AU20" i="70"/>
  <c r="KQ609" i="40"/>
  <c r="JQ654" i="40"/>
  <c r="JR654" i="40"/>
  <c r="KQ654" i="40"/>
  <c r="AU65" i="70"/>
  <c r="P32" i="59" l="1"/>
  <c r="AC45" i="59" s="1"/>
  <c r="N32" i="59"/>
  <c r="Y45" i="59" s="1"/>
  <c r="M30" i="59"/>
  <c r="W43" i="59" s="1"/>
  <c r="T68" i="70"/>
  <c r="T69" i="70"/>
  <c r="T9" i="70"/>
  <c r="T52" i="70"/>
  <c r="S9" i="70"/>
  <c r="S36" i="70"/>
  <c r="S33" i="70"/>
  <c r="T14" i="70"/>
  <c r="S21" i="70"/>
  <c r="S62" i="70"/>
  <c r="M32" i="59"/>
  <c r="T38" i="70"/>
  <c r="S30" i="70"/>
  <c r="S11" i="70"/>
  <c r="Z55" i="59"/>
  <c r="AA55" i="59"/>
  <c r="BK10" i="70"/>
  <c r="AJ10" i="70"/>
  <c r="BE10" i="70"/>
  <c r="T10" i="70"/>
  <c r="AQ18" i="70"/>
  <c r="W44" i="59"/>
  <c r="AQ27" i="70"/>
  <c r="AQ22" i="70"/>
  <c r="AR52" i="70"/>
  <c r="AQ33" i="70"/>
  <c r="AQ21" i="70"/>
  <c r="AR49" i="70"/>
  <c r="AR64" i="70"/>
  <c r="AQ30" i="70"/>
  <c r="AQ34" i="70"/>
  <c r="AR68" i="70"/>
  <c r="AQ54" i="70"/>
  <c r="S12" i="70"/>
  <c r="T12" i="70"/>
  <c r="BE12" i="70"/>
  <c r="AA15" i="70"/>
  <c r="BH15" i="70"/>
  <c r="AA22" i="70"/>
  <c r="AB68" i="70"/>
  <c r="AB44" i="70"/>
  <c r="AA27" i="70"/>
  <c r="AB38" i="70"/>
  <c r="AA21" i="70"/>
  <c r="AB26" i="70"/>
  <c r="AA34" i="70"/>
  <c r="AB55" i="70"/>
  <c r="AB67" i="70"/>
  <c r="AA33" i="70"/>
  <c r="AB57" i="70"/>
  <c r="AA36" i="70"/>
  <c r="AI31" i="70"/>
  <c r="AQ40" i="70"/>
  <c r="AB66" i="70"/>
  <c r="AR55" i="70"/>
  <c r="AI32" i="70"/>
  <c r="AB48" i="70"/>
  <c r="G42" i="59"/>
  <c r="O29" i="59"/>
  <c r="AI30" i="70"/>
  <c r="BK15" i="70"/>
  <c r="AI15" i="70"/>
  <c r="BN11" i="70"/>
  <c r="AQ11" i="70"/>
  <c r="AJ25" i="70"/>
  <c r="BE15" i="70"/>
  <c r="S15" i="70"/>
  <c r="AJ67" i="70"/>
  <c r="W42" i="59"/>
  <c r="AI12" i="70"/>
  <c r="BK12" i="70"/>
  <c r="AJ12" i="70"/>
  <c r="R6" i="59"/>
  <c r="U43" i="59" s="1"/>
  <c r="H43" i="59"/>
  <c r="P30" i="59"/>
  <c r="AA30" i="70"/>
  <c r="AQ36" i="70"/>
  <c r="L38" i="70"/>
  <c r="K38" i="70"/>
  <c r="KT164" i="40"/>
  <c r="KU163" i="40"/>
  <c r="AJ66" i="70"/>
  <c r="S18" i="70"/>
  <c r="AI18" i="70"/>
  <c r="T48" i="70"/>
  <c r="AR47" i="70"/>
  <c r="BN9" i="70"/>
  <c r="AR9" i="70"/>
  <c r="AQ9" i="70"/>
  <c r="AR69" i="70"/>
  <c r="AQ62" i="70"/>
  <c r="S17" i="70"/>
  <c r="AB69" i="70"/>
  <c r="BK13" i="70"/>
  <c r="AI13" i="70"/>
  <c r="S27" i="70"/>
  <c r="AA31" i="70"/>
  <c r="T44" i="70"/>
  <c r="AJ64" i="70"/>
  <c r="BK8" i="70"/>
  <c r="AJ8" i="70"/>
  <c r="AA40" i="70"/>
  <c r="AJ52" i="70"/>
  <c r="AJ69" i="70"/>
  <c r="T66" i="70"/>
  <c r="S24" i="70"/>
  <c r="BK7" i="70"/>
  <c r="AI7" i="70"/>
  <c r="AJ7" i="70"/>
  <c r="AI17" i="70"/>
  <c r="AI16" i="70"/>
  <c r="AI11" i="70"/>
  <c r="AJ14" i="70"/>
  <c r="AQ17" i="70"/>
  <c r="BE16" i="70"/>
  <c r="S16" i="70"/>
  <c r="K31" i="70"/>
  <c r="K22" i="70"/>
  <c r="K20" i="70"/>
  <c r="K33" i="70"/>
  <c r="L28" i="70"/>
  <c r="K32" i="70"/>
  <c r="K30" i="70"/>
  <c r="K36" i="70"/>
  <c r="K34" i="70"/>
  <c r="L35" i="70"/>
  <c r="K24" i="70"/>
  <c r="L25" i="70"/>
  <c r="K27" i="70"/>
  <c r="K21" i="70"/>
  <c r="L29" i="70"/>
  <c r="L22" i="70"/>
  <c r="L24" i="70"/>
  <c r="L31" i="70"/>
  <c r="K26" i="70"/>
  <c r="L33" i="70"/>
  <c r="L36" i="70"/>
  <c r="L34" i="70"/>
  <c r="K23" i="70"/>
  <c r="L20" i="70"/>
  <c r="K25" i="70"/>
  <c r="L30" i="70"/>
  <c r="K35" i="70"/>
  <c r="L37" i="70"/>
  <c r="L23" i="70"/>
  <c r="L26" i="70"/>
  <c r="L32" i="70"/>
  <c r="L21" i="70"/>
  <c r="L27" i="70"/>
  <c r="K28" i="70"/>
  <c r="K29" i="70"/>
  <c r="L54" i="70"/>
  <c r="K60" i="70"/>
  <c r="K65" i="70"/>
  <c r="L55" i="70"/>
  <c r="L49" i="70"/>
  <c r="L39" i="70"/>
  <c r="L40" i="70"/>
  <c r="L68" i="70"/>
  <c r="K44" i="70"/>
  <c r="K63" i="70"/>
  <c r="K54" i="70"/>
  <c r="L60" i="70"/>
  <c r="L65" i="70"/>
  <c r="K55" i="70"/>
  <c r="K49" i="70"/>
  <c r="K39" i="70"/>
  <c r="L58" i="70"/>
  <c r="K68" i="70"/>
  <c r="K56" i="70"/>
  <c r="K47" i="70"/>
  <c r="K57" i="70"/>
  <c r="K45" i="70"/>
  <c r="K52" i="70"/>
  <c r="L63" i="70"/>
  <c r="L69" i="70"/>
  <c r="L53" i="70"/>
  <c r="L51" i="70"/>
  <c r="K64" i="70"/>
  <c r="K42" i="70"/>
  <c r="L41" i="70"/>
  <c r="L67" i="70"/>
  <c r="K61" i="70"/>
  <c r="L47" i="70"/>
  <c r="L43" i="70"/>
  <c r="L50" i="70"/>
  <c r="K59" i="70"/>
  <c r="K37" i="70"/>
  <c r="L46" i="70"/>
  <c r="L56" i="70"/>
  <c r="L62" i="70"/>
  <c r="L57" i="70"/>
  <c r="L45" i="70"/>
  <c r="K48" i="70"/>
  <c r="K46" i="70"/>
  <c r="K69" i="70"/>
  <c r="K53" i="70"/>
  <c r="K51" i="70"/>
  <c r="L64" i="70"/>
  <c r="L42" i="70"/>
  <c r="K41" i="70"/>
  <c r="K40" i="70"/>
  <c r="L66" i="70"/>
  <c r="K67" i="70"/>
  <c r="L61" i="70"/>
  <c r="K62" i="70"/>
  <c r="L44" i="70"/>
  <c r="K43" i="70"/>
  <c r="K50" i="70"/>
  <c r="L59" i="70"/>
  <c r="L48" i="70"/>
  <c r="K66" i="70"/>
  <c r="K58" i="70"/>
  <c r="L52" i="70"/>
  <c r="R8" i="59"/>
  <c r="U45" i="59" s="1"/>
  <c r="H45" i="59"/>
  <c r="T56" i="70"/>
  <c r="AJ49" i="70"/>
  <c r="R7" i="59"/>
  <c r="U44" i="59" s="1"/>
  <c r="H44" i="59"/>
  <c r="P31" i="59"/>
  <c r="T7" i="70"/>
  <c r="S7" i="70"/>
  <c r="BE7" i="70"/>
  <c r="AB56" i="70"/>
  <c r="AR56" i="70"/>
  <c r="S13" i="70"/>
  <c r="BE13" i="70"/>
  <c r="AJ48" i="70"/>
  <c r="R4" i="59"/>
  <c r="U41" i="59" s="1"/>
  <c r="H41" i="59"/>
  <c r="BN10" i="70"/>
  <c r="AR10" i="70"/>
  <c r="G44" i="59"/>
  <c r="O31" i="59"/>
  <c r="AA44" i="59" s="1"/>
  <c r="T47" i="70"/>
  <c r="AR66" i="70"/>
  <c r="R5" i="59"/>
  <c r="U42" i="59" s="1"/>
  <c r="H42" i="59"/>
  <c r="T8" i="70"/>
  <c r="BE8" i="70"/>
  <c r="BH12" i="70"/>
  <c r="AA12" i="70"/>
  <c r="AA9" i="70"/>
  <c r="AB9" i="70"/>
  <c r="AA11" i="70"/>
  <c r="AB7" i="70"/>
  <c r="AA18" i="70"/>
  <c r="AB8" i="70"/>
  <c r="AA7" i="70"/>
  <c r="AB10" i="70"/>
  <c r="AA16" i="70"/>
  <c r="AB14" i="70"/>
  <c r="AA24" i="70"/>
  <c r="S31" i="70"/>
  <c r="AQ37" i="70"/>
  <c r="BN13" i="70"/>
  <c r="AR13" i="70"/>
  <c r="AQ13" i="70"/>
  <c r="AR26" i="70"/>
  <c r="AR38" i="70"/>
  <c r="AA37" i="70"/>
  <c r="AQ24" i="70"/>
  <c r="N31" i="59"/>
  <c r="Y44" i="59" s="1"/>
  <c r="AQ31" i="70"/>
  <c r="S34" i="70"/>
  <c r="S37" i="70"/>
  <c r="BK9" i="70"/>
  <c r="AI9" i="70"/>
  <c r="AJ9" i="70"/>
  <c r="AR67" i="70"/>
  <c r="AA61" i="70"/>
  <c r="AB41" i="70"/>
  <c r="AI40" i="70"/>
  <c r="BN16" i="70"/>
  <c r="AQ16" i="70"/>
  <c r="S22" i="70"/>
  <c r="T67" i="70"/>
  <c r="T55" i="70"/>
  <c r="AA62" i="70"/>
  <c r="AA41" i="59"/>
  <c r="O41" i="59"/>
  <c r="AR14" i="70"/>
  <c r="BN8" i="70"/>
  <c r="AR8" i="70"/>
  <c r="AQ7" i="70"/>
  <c r="AQ12" i="70"/>
  <c r="AR7" i="70"/>
  <c r="AR12" i="70"/>
  <c r="AQ15" i="70"/>
  <c r="AR25" i="70"/>
  <c r="BN14" i="70"/>
  <c r="W45" i="59"/>
  <c r="AI20" i="70"/>
  <c r="AI54" i="70"/>
  <c r="AI37" i="70"/>
  <c r="AI21" i="70"/>
  <c r="AI24" i="70"/>
  <c r="AJ47" i="70"/>
  <c r="AI34" i="70"/>
  <c r="AJ56" i="70"/>
  <c r="AI27" i="70"/>
  <c r="AI33" i="70"/>
  <c r="AJ63" i="70"/>
  <c r="AI36" i="70"/>
  <c r="AI62" i="70"/>
  <c r="AJ55" i="70"/>
  <c r="AJ68" i="70"/>
  <c r="AQ32" i="70"/>
  <c r="P28" i="59"/>
  <c r="M28" i="59"/>
  <c r="AJ38" i="70"/>
  <c r="BH13" i="70"/>
  <c r="AB13" i="70"/>
  <c r="AA13" i="70"/>
  <c r="AR48" i="70"/>
  <c r="P29" i="59"/>
  <c r="AA17" i="70"/>
  <c r="S40" i="70"/>
  <c r="T57" i="70"/>
  <c r="T41" i="70"/>
  <c r="Q30" i="59" l="1"/>
  <c r="Q32" i="59"/>
  <c r="Q29" i="59"/>
  <c r="W41" i="59"/>
  <c r="Q28" i="59"/>
  <c r="M41" i="59"/>
  <c r="AA42" i="59"/>
  <c r="O42" i="59"/>
  <c r="AC43" i="59"/>
  <c r="P43" i="59"/>
  <c r="Q31" i="59"/>
  <c r="Z53" i="59"/>
  <c r="AA53" i="59"/>
  <c r="W24" i="73"/>
  <c r="V24" i="73"/>
  <c r="X24" i="73"/>
  <c r="T24" i="73"/>
  <c r="AC41" i="59"/>
  <c r="P41" i="59"/>
  <c r="AC42" i="59"/>
  <c r="P42" i="59"/>
  <c r="AC44" i="59"/>
  <c r="P44" i="59"/>
  <c r="Q24" i="73"/>
  <c r="N24" i="73"/>
  <c r="R24" i="73"/>
  <c r="P24" i="73"/>
  <c r="KU164" i="40"/>
  <c r="KT165" i="40"/>
  <c r="AB54" i="59" l="1"/>
  <c r="AC54" i="59"/>
  <c r="AB55" i="59"/>
  <c r="AC55" i="59"/>
  <c r="W53" i="59"/>
  <c r="V53" i="59"/>
  <c r="KT166" i="40"/>
  <c r="KU165" i="40"/>
  <c r="AC56" i="59"/>
  <c r="AB56" i="59"/>
  <c r="AC53" i="59"/>
  <c r="AB53" i="59"/>
  <c r="AA54" i="59"/>
  <c r="Z54" i="59"/>
  <c r="KT167" i="40" l="1"/>
  <c r="KU166" i="40"/>
  <c r="KU167" i="40" l="1"/>
  <c r="KT168" i="40"/>
  <c r="KU168" i="40" l="1"/>
  <c r="KT169" i="40"/>
  <c r="KT170" i="40" l="1"/>
  <c r="KU169" i="40"/>
  <c r="KU170" i="40" l="1"/>
  <c r="KT171" i="40"/>
  <c r="KU171" i="40" l="1"/>
  <c r="KT172" i="40"/>
  <c r="KT173" i="40" l="1"/>
  <c r="KU172" i="40"/>
  <c r="KT174" i="40" l="1"/>
  <c r="KU173" i="40"/>
  <c r="KU174" i="40" l="1"/>
  <c r="KT175" i="40"/>
  <c r="KU175" i="40" l="1"/>
  <c r="I18" i="70" s="1"/>
  <c r="L18" i="70" s="1"/>
  <c r="KT176" i="40"/>
  <c r="KT177" i="40" l="1"/>
  <c r="KU176" i="40"/>
  <c r="J18" i="70"/>
  <c r="K18" i="70"/>
  <c r="KT178" i="40" l="1"/>
  <c r="KU177" i="40"/>
  <c r="KT179" i="40" l="1"/>
  <c r="KU178" i="40"/>
  <c r="KT180" i="40" l="1"/>
  <c r="KU179" i="40"/>
  <c r="KT181" i="40" l="1"/>
  <c r="KU180" i="40"/>
  <c r="KT182" i="40" l="1"/>
  <c r="KU182" i="40" s="1"/>
  <c r="KU181" i="40"/>
  <c r="JG209" i="40"/>
  <c r="JG201" i="40"/>
  <c r="JG210" i="40"/>
  <c r="JL210" i="40" s="1"/>
  <c r="JG211" i="40"/>
  <c r="JL211" i="40" s="1"/>
  <c r="JM211" i="40" s="1"/>
  <c r="U22" i="70" s="1"/>
  <c r="JG212" i="40"/>
  <c r="JL212" i="40" s="1"/>
  <c r="JG213" i="40"/>
  <c r="JG214" i="40"/>
  <c r="JL214" i="40" s="1"/>
  <c r="JG215" i="40"/>
  <c r="JL215" i="40" s="1"/>
  <c r="JM215" i="40" s="1"/>
  <c r="JT215" i="40" s="1"/>
  <c r="JX215" i="40" s="1"/>
  <c r="JG216" i="40"/>
  <c r="JL216" i="40" s="1"/>
  <c r="JG217" i="40"/>
  <c r="JG218" i="40"/>
  <c r="JL218" i="40" s="1"/>
  <c r="JG309" i="40"/>
  <c r="JL309" i="40" s="1"/>
  <c r="JM309" i="40" s="1"/>
  <c r="KI309" i="40" s="1"/>
  <c r="JG301" i="40"/>
  <c r="JG310" i="40"/>
  <c r="JG311" i="40"/>
  <c r="JG312" i="40"/>
  <c r="JL312" i="40" s="1"/>
  <c r="JG313" i="40"/>
  <c r="JG314" i="40"/>
  <c r="JG315" i="40"/>
  <c r="JG316" i="40"/>
  <c r="JL316" i="40" s="1"/>
  <c r="JG317" i="40"/>
  <c r="JL317" i="40" s="1"/>
  <c r="JG318" i="40"/>
  <c r="JG409" i="40"/>
  <c r="JL409" i="40" s="1"/>
  <c r="JM409" i="40" s="1"/>
  <c r="JG401" i="40"/>
  <c r="JL401" i="40" s="1"/>
  <c r="JG410" i="40"/>
  <c r="JL410" i="40" s="1"/>
  <c r="JG411" i="40"/>
  <c r="JG412" i="40"/>
  <c r="JL412" i="40" s="1"/>
  <c r="JM412" i="40" s="1"/>
  <c r="JG413" i="40"/>
  <c r="JL413" i="40" s="1"/>
  <c r="JG414" i="40"/>
  <c r="JL414" i="40" s="1"/>
  <c r="JM414" i="40" s="1"/>
  <c r="JT414" i="40" s="1"/>
  <c r="JX414" i="40" s="1"/>
  <c r="JG415" i="40"/>
  <c r="JG416" i="40"/>
  <c r="JL416" i="40" s="1"/>
  <c r="JM416" i="40" s="1"/>
  <c r="JG417" i="40"/>
  <c r="JL417" i="40" s="1"/>
  <c r="JG418" i="40"/>
  <c r="JL418" i="40" s="1"/>
  <c r="JM418" i="40" s="1"/>
  <c r="AK29" i="70" s="1"/>
  <c r="JG509" i="40"/>
  <c r="JG501" i="40"/>
  <c r="JL501" i="40" s="1"/>
  <c r="JG510" i="40"/>
  <c r="JL510" i="40" s="1"/>
  <c r="JM510" i="40" s="1"/>
  <c r="JT510" i="40" s="1"/>
  <c r="JX510" i="40" s="1"/>
  <c r="JG511" i="40"/>
  <c r="JL511" i="40" s="1"/>
  <c r="JG512" i="40"/>
  <c r="JG513" i="40"/>
  <c r="JL513" i="40" s="1"/>
  <c r="JG514" i="40"/>
  <c r="JL514" i="40" s="1"/>
  <c r="JM514" i="40" s="1"/>
  <c r="JG515" i="40"/>
  <c r="JL515" i="40" s="1"/>
  <c r="JG516" i="40"/>
  <c r="JG517" i="40"/>
  <c r="JG518" i="40"/>
  <c r="JL518" i="40" s="1"/>
  <c r="JM518" i="40" s="1"/>
  <c r="JG219" i="40"/>
  <c r="JG220" i="40"/>
  <c r="JL220" i="40" s="1"/>
  <c r="JM220" i="40" s="1"/>
  <c r="JG221" i="40"/>
  <c r="JG222" i="40"/>
  <c r="JL222" i="40" s="1"/>
  <c r="JG223" i="40"/>
  <c r="JL223" i="40" s="1"/>
  <c r="JG224" i="40"/>
  <c r="JL224" i="40" s="1"/>
  <c r="JG225" i="40"/>
  <c r="JL225" i="40" s="1"/>
  <c r="JG226" i="40"/>
  <c r="JL226" i="40" s="1"/>
  <c r="JG227" i="40"/>
  <c r="JL227" i="40" s="1"/>
  <c r="JG228" i="40"/>
  <c r="JL228" i="40" s="1"/>
  <c r="JG229" i="40"/>
  <c r="JG230" i="40"/>
  <c r="JL230" i="40" s="1"/>
  <c r="JG231" i="40"/>
  <c r="JG232" i="40"/>
  <c r="JL232" i="40" s="1"/>
  <c r="JG233" i="40"/>
  <c r="JG234" i="40"/>
  <c r="JG235" i="40"/>
  <c r="JL235" i="40" s="1"/>
  <c r="JG236" i="40"/>
  <c r="JG237" i="40"/>
  <c r="JG238" i="40"/>
  <c r="JG239" i="40"/>
  <c r="JL239" i="40" s="1"/>
  <c r="JG240" i="40"/>
  <c r="JG241" i="40"/>
  <c r="JG242" i="40"/>
  <c r="JG243" i="40"/>
  <c r="JL243" i="40" s="1"/>
  <c r="JG244" i="40"/>
  <c r="JG245" i="40"/>
  <c r="JG246" i="40"/>
  <c r="JG247" i="40"/>
  <c r="JL247" i="40" s="1"/>
  <c r="JG248" i="40"/>
  <c r="JG249" i="40"/>
  <c r="JG250" i="40"/>
  <c r="JG251" i="40"/>
  <c r="JL251" i="40" s="1"/>
  <c r="JG252" i="40"/>
  <c r="JG253" i="40"/>
  <c r="JL253" i="40" s="1"/>
  <c r="JG254" i="40"/>
  <c r="JG255" i="40"/>
  <c r="JG256" i="40"/>
  <c r="JG257" i="40"/>
  <c r="JL257" i="40" s="1"/>
  <c r="JM257" i="40" s="1"/>
  <c r="JG258" i="40"/>
  <c r="JG319" i="40"/>
  <c r="JL319" i="40" s="1"/>
  <c r="JG320" i="40"/>
  <c r="JL320" i="40" s="1"/>
  <c r="JM320" i="40" s="1"/>
  <c r="JT320" i="40" s="1"/>
  <c r="JX320" i="40" s="1"/>
  <c r="JG321" i="40"/>
  <c r="JL321" i="40" s="1"/>
  <c r="JG322" i="40"/>
  <c r="JL322" i="40" s="1"/>
  <c r="JG323" i="40"/>
  <c r="JL323" i="40" s="1"/>
  <c r="JG324" i="40"/>
  <c r="JL324" i="40" s="1"/>
  <c r="JG325" i="40"/>
  <c r="JL325" i="40" s="1"/>
  <c r="JG326" i="40"/>
  <c r="JL326" i="40" s="1"/>
  <c r="JM326" i="40" s="1"/>
  <c r="JU326" i="40" s="1"/>
  <c r="JV326" i="40" s="1"/>
  <c r="JW326" i="40" s="1"/>
  <c r="JG327" i="40"/>
  <c r="JL327" i="40" s="1"/>
  <c r="JM327" i="40" s="1"/>
  <c r="JU327" i="40" s="1"/>
  <c r="JV327" i="40" s="1"/>
  <c r="JW327" i="40" s="1"/>
  <c r="JG328" i="40"/>
  <c r="JL328" i="40" s="1"/>
  <c r="JM328" i="40" s="1"/>
  <c r="JG329" i="40"/>
  <c r="JG330" i="40"/>
  <c r="JG331" i="40"/>
  <c r="JL331" i="40" s="1"/>
  <c r="JG332" i="40"/>
  <c r="JG333" i="40"/>
  <c r="JG334" i="40"/>
  <c r="JL334" i="40" s="1"/>
  <c r="JG335" i="40"/>
  <c r="JL335" i="40" s="1"/>
  <c r="JG336" i="40"/>
  <c r="JG337" i="40"/>
  <c r="JL337" i="40" s="1"/>
  <c r="JG338" i="40"/>
  <c r="JL338" i="40" s="1"/>
  <c r="JG339" i="40"/>
  <c r="JL339" i="40" s="1"/>
  <c r="JG340" i="40"/>
  <c r="JG341" i="40"/>
  <c r="JL341" i="40" s="1"/>
  <c r="JG342" i="40"/>
  <c r="JL342" i="40" s="1"/>
  <c r="JG343" i="40"/>
  <c r="JL343" i="40" s="1"/>
  <c r="JM343" i="40" s="1"/>
  <c r="KJ343" i="40" s="1"/>
  <c r="JG344" i="40"/>
  <c r="JG345" i="40"/>
  <c r="JL345" i="40" s="1"/>
  <c r="JM345" i="40" s="1"/>
  <c r="JG346" i="40"/>
  <c r="JL346" i="40" s="1"/>
  <c r="JG347" i="40"/>
  <c r="JL347" i="40" s="1"/>
  <c r="JM347" i="40" s="1"/>
  <c r="JG348" i="40"/>
  <c r="JL348" i="40" s="1"/>
  <c r="JG349" i="40"/>
  <c r="JL349" i="40" s="1"/>
  <c r="JM349" i="40" s="1"/>
  <c r="JG350" i="40"/>
  <c r="JL350" i="40" s="1"/>
  <c r="JG351" i="40"/>
  <c r="JL351" i="40" s="1"/>
  <c r="JM351" i="40" s="1"/>
  <c r="KK351" i="40" s="1"/>
  <c r="JG352" i="40"/>
  <c r="JL352" i="40" s="1"/>
  <c r="JG353" i="40"/>
  <c r="JL353" i="40" s="1"/>
  <c r="JM353" i="40" s="1"/>
  <c r="JG354" i="40"/>
  <c r="JL354" i="40" s="1"/>
  <c r="JG355" i="40"/>
  <c r="JL355" i="40" s="1"/>
  <c r="JM355" i="40" s="1"/>
  <c r="JG356" i="40"/>
  <c r="JL356" i="40" s="1"/>
  <c r="JG357" i="40"/>
  <c r="JL357" i="40" s="1"/>
  <c r="JG358" i="40"/>
  <c r="JL358" i="40" s="1"/>
  <c r="JG419" i="40"/>
  <c r="JL419" i="40" s="1"/>
  <c r="JG420" i="40"/>
  <c r="JG421" i="40"/>
  <c r="JL421" i="40" s="1"/>
  <c r="JG422" i="40"/>
  <c r="JL422" i="40" s="1"/>
  <c r="JG423" i="40"/>
  <c r="JG424" i="40"/>
  <c r="JG425" i="40"/>
  <c r="JL425" i="40" s="1"/>
  <c r="JM425" i="40" s="1"/>
  <c r="AK36" i="70" s="1"/>
  <c r="JG426" i="40"/>
  <c r="JL426" i="40" s="1"/>
  <c r="JG427" i="40"/>
  <c r="JL427" i="40" s="1"/>
  <c r="JG428" i="40"/>
  <c r="JG429" i="40"/>
  <c r="JL429" i="40" s="1"/>
  <c r="JM429" i="40" s="1"/>
  <c r="JG430" i="40"/>
  <c r="JL430" i="40" s="1"/>
  <c r="JG431" i="40"/>
  <c r="JL431" i="40" s="1"/>
  <c r="JM431" i="40" s="1"/>
  <c r="JU431" i="40" s="1"/>
  <c r="JV431" i="40" s="1"/>
  <c r="JW431" i="40" s="1"/>
  <c r="JG432" i="40"/>
  <c r="JL432" i="40" s="1"/>
  <c r="JG433" i="40"/>
  <c r="JL433" i="40" s="1"/>
  <c r="JM433" i="40" s="1"/>
  <c r="JG434" i="40"/>
  <c r="JL434" i="40" s="1"/>
  <c r="JG435" i="40"/>
  <c r="JG436" i="40"/>
  <c r="JL436" i="40" s="1"/>
  <c r="JG437" i="40"/>
  <c r="JL437" i="40" s="1"/>
  <c r="JM437" i="40" s="1"/>
  <c r="JG438" i="40"/>
  <c r="JL438" i="40" s="1"/>
  <c r="JG439" i="40"/>
  <c r="JG440" i="40"/>
  <c r="JL440" i="40" s="1"/>
  <c r="JG441" i="40"/>
  <c r="JL441" i="40" s="1"/>
  <c r="JG442" i="40"/>
  <c r="JL442" i="40" s="1"/>
  <c r="JG443" i="40"/>
  <c r="JL443" i="40" s="1"/>
  <c r="JG444" i="40"/>
  <c r="JL444" i="40" s="1"/>
  <c r="JG445" i="40"/>
  <c r="JL445" i="40" s="1"/>
  <c r="JG446" i="40"/>
  <c r="JL446" i="40" s="1"/>
  <c r="JG447" i="40"/>
  <c r="JG448" i="40"/>
  <c r="JL448" i="40" s="1"/>
  <c r="JG449" i="40"/>
  <c r="JL449" i="40" s="1"/>
  <c r="JG450" i="40"/>
  <c r="JG451" i="40"/>
  <c r="JL451" i="40" s="1"/>
  <c r="JM451" i="40" s="1"/>
  <c r="KK451" i="40" s="1"/>
  <c r="JG452" i="40"/>
  <c r="JG453" i="40"/>
  <c r="JL453" i="40" s="1"/>
  <c r="JG454" i="40"/>
  <c r="JG455" i="40"/>
  <c r="JL455" i="40" s="1"/>
  <c r="JM455" i="40" s="1"/>
  <c r="JG456" i="40"/>
  <c r="JG457" i="40"/>
  <c r="JL457" i="40" s="1"/>
  <c r="JM457" i="40" s="1"/>
  <c r="JG458" i="40"/>
  <c r="JG519" i="40"/>
  <c r="JL519" i="40" s="1"/>
  <c r="JG520" i="40"/>
  <c r="JL520" i="40" s="1"/>
  <c r="JM520" i="40" s="1"/>
  <c r="JG521" i="40"/>
  <c r="JL521" i="40" s="1"/>
  <c r="JG522" i="40"/>
  <c r="JG523" i="40"/>
  <c r="JL523" i="40" s="1"/>
  <c r="JG524" i="40"/>
  <c r="JL524" i="40" s="1"/>
  <c r="JG525" i="40"/>
  <c r="JG526" i="40"/>
  <c r="JG527" i="40"/>
  <c r="JL527" i="40" s="1"/>
  <c r="JM527" i="40" s="1"/>
  <c r="KK527" i="40" s="1"/>
  <c r="JG528" i="40"/>
  <c r="JL528" i="40" s="1"/>
  <c r="JG529" i="40"/>
  <c r="JL529" i="40" s="1"/>
  <c r="JM529" i="40" s="1"/>
  <c r="JG530" i="40"/>
  <c r="JG531" i="40"/>
  <c r="JL531" i="40" s="1"/>
  <c r="JM531" i="40" s="1"/>
  <c r="AS42" i="70" s="1"/>
  <c r="JG532" i="40"/>
  <c r="JL532" i="40" s="1"/>
  <c r="JG533" i="40"/>
  <c r="JL533" i="40" s="1"/>
  <c r="JM533" i="40" s="1"/>
  <c r="JG534" i="40"/>
  <c r="JG535" i="40"/>
  <c r="JL535" i="40" s="1"/>
  <c r="JM535" i="40" s="1"/>
  <c r="JU535" i="40" s="1"/>
  <c r="JV535" i="40" s="1"/>
  <c r="JW535" i="40" s="1"/>
  <c r="JG536" i="40"/>
  <c r="JL536" i="40" s="1"/>
  <c r="JG537" i="40"/>
  <c r="JL537" i="40" s="1"/>
  <c r="JM537" i="40" s="1"/>
  <c r="JG538" i="40"/>
  <c r="JG539" i="40"/>
  <c r="JL539" i="40" s="1"/>
  <c r="JM539" i="40" s="1"/>
  <c r="JG540" i="40"/>
  <c r="JL540" i="40" s="1"/>
  <c r="JG541" i="40"/>
  <c r="JL541" i="40" s="1"/>
  <c r="JM541" i="40" s="1"/>
  <c r="AE48" i="69" s="1"/>
  <c r="JG542" i="40"/>
  <c r="JG543" i="40"/>
  <c r="JL543" i="40" s="1"/>
  <c r="JM543" i="40" s="1"/>
  <c r="JG544" i="40"/>
  <c r="JL544" i="40" s="1"/>
  <c r="JG545" i="40"/>
  <c r="JL545" i="40" s="1"/>
  <c r="JM545" i="40" s="1"/>
  <c r="JG546" i="40"/>
  <c r="JG547" i="40"/>
  <c r="JL547" i="40" s="1"/>
  <c r="JM547" i="40" s="1"/>
  <c r="JG548" i="40"/>
  <c r="JL548" i="40" s="1"/>
  <c r="JG549" i="40"/>
  <c r="JL549" i="40" s="1"/>
  <c r="JM549" i="40" s="1"/>
  <c r="JG550" i="40"/>
  <c r="JL550" i="40" s="1"/>
  <c r="JG551" i="40"/>
  <c r="JL551" i="40" s="1"/>
  <c r="JM551" i="40" s="1"/>
  <c r="KJ551" i="40" s="1"/>
  <c r="JG552" i="40"/>
  <c r="JL552" i="40" s="1"/>
  <c r="JG553" i="40"/>
  <c r="JL553" i="40" s="1"/>
  <c r="JM553" i="40" s="1"/>
  <c r="AS64" i="70" s="1"/>
  <c r="JG554" i="40"/>
  <c r="JL554" i="40" s="1"/>
  <c r="JG555" i="40"/>
  <c r="JL555" i="40" s="1"/>
  <c r="JM555" i="40" s="1"/>
  <c r="JS555" i="40" s="1"/>
  <c r="JG556" i="40"/>
  <c r="JL556" i="40" s="1"/>
  <c r="JG557" i="40"/>
  <c r="JL557" i="40" s="1"/>
  <c r="JM557" i="40" s="1"/>
  <c r="JG558" i="40"/>
  <c r="JL558" i="40" s="1"/>
  <c r="JG202" i="40"/>
  <c r="JL202" i="40" s="1"/>
  <c r="JM202" i="40" s="1"/>
  <c r="JG302" i="40"/>
  <c r="JL302" i="40" s="1"/>
  <c r="JG402" i="40"/>
  <c r="JG502" i="40"/>
  <c r="JL502" i="40" s="1"/>
  <c r="JM502" i="40" s="1"/>
  <c r="JG266" i="40"/>
  <c r="JL266" i="40" s="1"/>
  <c r="JM266" i="40" s="1"/>
  <c r="JG366" i="40"/>
  <c r="JG466" i="40"/>
  <c r="JL466" i="40" s="1"/>
  <c r="JG566" i="40"/>
  <c r="JL566" i="40" s="1"/>
  <c r="S40" i="68"/>
  <c r="AA40" i="68" s="1"/>
  <c r="W33" i="68"/>
  <c r="S33" i="68" s="1"/>
  <c r="S71" i="68" s="1"/>
  <c r="S42" i="66"/>
  <c r="W33" i="66"/>
  <c r="S44" i="68"/>
  <c r="AA44" i="68" s="1"/>
  <c r="S34" i="69"/>
  <c r="AA34" i="69" s="1"/>
  <c r="W33" i="69"/>
  <c r="S33" i="69" s="1"/>
  <c r="S59" i="69" s="1"/>
  <c r="S38" i="68"/>
  <c r="S46" i="68"/>
  <c r="AA46" i="68" s="1"/>
  <c r="E7" i="59"/>
  <c r="E31" i="59" s="1"/>
  <c r="M44" i="59" s="1"/>
  <c r="E6" i="59"/>
  <c r="F6" i="59"/>
  <c r="F30" i="59" s="1"/>
  <c r="S40" i="67"/>
  <c r="AA40" i="67" s="1"/>
  <c r="F5" i="59"/>
  <c r="F29" i="59" s="1"/>
  <c r="X42" i="59" s="1"/>
  <c r="E5" i="59"/>
  <c r="E29" i="59" s="1"/>
  <c r="F7" i="59"/>
  <c r="F31" i="59" s="1"/>
  <c r="G7" i="59"/>
  <c r="G31" i="59" s="1"/>
  <c r="Z44" i="59" s="1"/>
  <c r="F4" i="59"/>
  <c r="F28" i="59" s="1"/>
  <c r="JG275" i="40"/>
  <c r="JG575" i="40"/>
  <c r="JL575" i="40" s="1"/>
  <c r="JM575" i="40" s="1"/>
  <c r="JG475" i="40"/>
  <c r="JL475" i="40" s="1"/>
  <c r="JM475" i="40" s="1"/>
  <c r="KK475" i="40" s="1"/>
  <c r="JG273" i="40"/>
  <c r="JL273" i="40" s="1"/>
  <c r="JG373" i="40"/>
  <c r="JG473" i="40"/>
  <c r="JL473" i="40" s="1"/>
  <c r="JM473" i="40" s="1"/>
  <c r="JG573" i="40"/>
  <c r="JL573" i="40" s="1"/>
  <c r="JG270" i="40"/>
  <c r="JG370" i="40"/>
  <c r="JG470" i="40"/>
  <c r="JG570" i="40"/>
  <c r="JG271" i="40"/>
  <c r="JG371" i="40"/>
  <c r="JG471" i="40"/>
  <c r="JG571" i="40"/>
  <c r="JG267" i="40"/>
  <c r="JG367" i="40"/>
  <c r="JG467" i="40"/>
  <c r="JL467" i="40" s="1"/>
  <c r="JM467" i="40" s="1"/>
  <c r="JG567" i="40"/>
  <c r="S44" i="58"/>
  <c r="S45" i="58" s="1"/>
  <c r="JG263" i="40"/>
  <c r="JL263" i="40" s="1"/>
  <c r="JM263" i="40" s="1"/>
  <c r="KK263" i="40" s="1"/>
  <c r="JG363" i="40"/>
  <c r="JG463" i="40"/>
  <c r="JL463" i="40" s="1"/>
  <c r="JM463" i="40" s="1"/>
  <c r="JS463" i="40" s="1"/>
  <c r="JG563" i="40"/>
  <c r="JG260" i="40"/>
  <c r="JG360" i="40"/>
  <c r="JL360" i="40" s="1"/>
  <c r="JM360" i="40" s="1"/>
  <c r="JG460" i="40"/>
  <c r="JG560" i="40"/>
  <c r="JG261" i="40"/>
  <c r="JG361" i="40"/>
  <c r="JL361" i="40" s="1"/>
  <c r="JG461" i="40"/>
  <c r="JG561" i="40"/>
  <c r="JL561" i="40" s="1"/>
  <c r="JM561" i="40" s="1"/>
  <c r="JG259" i="40"/>
  <c r="JG359" i="40"/>
  <c r="JG459" i="40"/>
  <c r="JG559" i="40"/>
  <c r="JL559" i="40" s="1"/>
  <c r="AE34" i="58"/>
  <c r="U34" i="58"/>
  <c r="V34" i="58"/>
  <c r="W34" i="58"/>
  <c r="AP10" i="61"/>
  <c r="V10" i="61" s="1"/>
  <c r="AP11" i="61"/>
  <c r="V11" i="61" s="1"/>
  <c r="AQ11" i="61"/>
  <c r="W11" i="61" s="1"/>
  <c r="AR11" i="61"/>
  <c r="X11" i="61" s="1"/>
  <c r="J53" i="44"/>
  <c r="I53" i="44"/>
  <c r="I52" i="44"/>
  <c r="J52" i="44"/>
  <c r="J51" i="44"/>
  <c r="I51" i="44"/>
  <c r="J50" i="44"/>
  <c r="I50" i="44"/>
  <c r="I48" i="44"/>
  <c r="J48" i="44"/>
  <c r="J49" i="44"/>
  <c r="I49" i="44"/>
  <c r="J47" i="44"/>
  <c r="I47" i="44"/>
  <c r="J46" i="44"/>
  <c r="I46" i="44"/>
  <c r="I45" i="44"/>
  <c r="J45" i="44"/>
  <c r="J44" i="44"/>
  <c r="I44" i="44"/>
  <c r="J43" i="44"/>
  <c r="I43" i="44"/>
  <c r="I42" i="44"/>
  <c r="J42" i="44"/>
  <c r="I41" i="44"/>
  <c r="J41" i="44"/>
  <c r="E40" i="44"/>
  <c r="J40" i="44"/>
  <c r="I40" i="44"/>
  <c r="I39" i="44"/>
  <c r="J39" i="44"/>
  <c r="J38" i="44"/>
  <c r="I38" i="44"/>
  <c r="J37" i="44"/>
  <c r="I37" i="44"/>
  <c r="J36" i="44"/>
  <c r="I36" i="44"/>
  <c r="I35" i="44"/>
  <c r="J35" i="44"/>
  <c r="I34" i="44"/>
  <c r="J34" i="44"/>
  <c r="J33" i="44"/>
  <c r="I33" i="44"/>
  <c r="J32" i="44"/>
  <c r="I32" i="44"/>
  <c r="J31" i="44"/>
  <c r="I31" i="44"/>
  <c r="J30" i="44"/>
  <c r="I30" i="44"/>
  <c r="J29" i="44"/>
  <c r="I29" i="44"/>
  <c r="U44" i="58"/>
  <c r="Q44" i="58" s="1"/>
  <c r="Q45" i="58" s="1"/>
  <c r="V44" i="58"/>
  <c r="AE44" i="58"/>
  <c r="U33" i="71"/>
  <c r="U63" i="71" s="1"/>
  <c r="V33" i="71"/>
  <c r="W33" i="71"/>
  <c r="W45" i="71" s="1"/>
  <c r="U36" i="58"/>
  <c r="V36" i="58"/>
  <c r="S36" i="58"/>
  <c r="AA36" i="58" s="1"/>
  <c r="AA37" i="58" s="1"/>
  <c r="AE36" i="58"/>
  <c r="JG203" i="40"/>
  <c r="JL203" i="40" s="1"/>
  <c r="JG303" i="40"/>
  <c r="JL303" i="40" s="1"/>
  <c r="JM303" i="40" s="1"/>
  <c r="JS303" i="40" s="1"/>
  <c r="JG403" i="40"/>
  <c r="JL403" i="40" s="1"/>
  <c r="JM403" i="40" s="1"/>
  <c r="JT403" i="40" s="1"/>
  <c r="JX403" i="40" s="1"/>
  <c r="JG503" i="40"/>
  <c r="JL503" i="40" s="1"/>
  <c r="JG204" i="40"/>
  <c r="JL204" i="40" s="1"/>
  <c r="JG304" i="40"/>
  <c r="JL304" i="40" s="1"/>
  <c r="JM304" i="40" s="1"/>
  <c r="KJ304" i="40" s="1"/>
  <c r="JG404" i="40"/>
  <c r="JL404" i="40" s="1"/>
  <c r="JM404" i="40" s="1"/>
  <c r="KK404" i="40" s="1"/>
  <c r="JG504" i="40"/>
  <c r="JL504" i="40" s="1"/>
  <c r="JG205" i="40"/>
  <c r="JL205" i="40" s="1"/>
  <c r="JG305" i="40"/>
  <c r="JL305" i="40" s="1"/>
  <c r="JM305" i="40" s="1"/>
  <c r="KJ305" i="40" s="1"/>
  <c r="JG405" i="40"/>
  <c r="JG505" i="40"/>
  <c r="JL505" i="40" s="1"/>
  <c r="V42" i="58"/>
  <c r="V43" i="58" s="1"/>
  <c r="AE42" i="58"/>
  <c r="U42" i="58"/>
  <c r="Q42" i="58" s="1"/>
  <c r="Q43" i="58" s="1"/>
  <c r="W42" i="58"/>
  <c r="S42" i="58" s="1"/>
  <c r="S43" i="58" s="1"/>
  <c r="JG264" i="40"/>
  <c r="JL264" i="40" s="1"/>
  <c r="JG364" i="40"/>
  <c r="JL364" i="40" s="1"/>
  <c r="JG464" i="40"/>
  <c r="JL464" i="40" s="1"/>
  <c r="JM464" i="40" s="1"/>
  <c r="JU464" i="40" s="1"/>
  <c r="JV464" i="40" s="1"/>
  <c r="JW464" i="40" s="1"/>
  <c r="JG564" i="40"/>
  <c r="JG206" i="40"/>
  <c r="JG306" i="40"/>
  <c r="JG406" i="40"/>
  <c r="JL406" i="40" s="1"/>
  <c r="JG506" i="40"/>
  <c r="JL506" i="40" s="1"/>
  <c r="JG265" i="40"/>
  <c r="JL265" i="40" s="1"/>
  <c r="JG365" i="40"/>
  <c r="JL365" i="40" s="1"/>
  <c r="JG465" i="40"/>
  <c r="JG565" i="40"/>
  <c r="JL565" i="40" s="1"/>
  <c r="JM565" i="40" s="1"/>
  <c r="JG375" i="40"/>
  <c r="JL375" i="40" s="1"/>
  <c r="AK27" i="70"/>
  <c r="AK48" i="70"/>
  <c r="AK20" i="70"/>
  <c r="AC64" i="70"/>
  <c r="AC37" i="70"/>
  <c r="AK12" i="70"/>
  <c r="H37" i="70"/>
  <c r="M35" i="70"/>
  <c r="JG207" i="40"/>
  <c r="JG307" i="40"/>
  <c r="JL307" i="40" s="1"/>
  <c r="JG407" i="40"/>
  <c r="JL407" i="40" s="1"/>
  <c r="JM407" i="40" s="1"/>
  <c r="JU407" i="40" s="1"/>
  <c r="JV407" i="40" s="1"/>
  <c r="JW407" i="40" s="1"/>
  <c r="JG507" i="40"/>
  <c r="JL507" i="40" s="1"/>
  <c r="JX507" i="40" s="1"/>
  <c r="JG269" i="40"/>
  <c r="JG369" i="40"/>
  <c r="JL369" i="40" s="1"/>
  <c r="JG469" i="40"/>
  <c r="JL469" i="40" s="1"/>
  <c r="JG569" i="40"/>
  <c r="JL569" i="40" s="1"/>
  <c r="JG262" i="40"/>
  <c r="JL262" i="40" s="1"/>
  <c r="JM262" i="40" s="1"/>
  <c r="KK262" i="40" s="1"/>
  <c r="JG362" i="40"/>
  <c r="JL362" i="40" s="1"/>
  <c r="JG462" i="40"/>
  <c r="JG562" i="40"/>
  <c r="JL562" i="40" s="1"/>
  <c r="JG208" i="40"/>
  <c r="JL208" i="40" s="1"/>
  <c r="JG308" i="40"/>
  <c r="JL308" i="40" s="1"/>
  <c r="JG408" i="40"/>
  <c r="JG508" i="40"/>
  <c r="JL508" i="40" s="1"/>
  <c r="JM508" i="40" s="1"/>
  <c r="KJ508" i="40" s="1"/>
  <c r="JG268" i="40"/>
  <c r="JL268" i="40" s="1"/>
  <c r="JM268" i="40" s="1"/>
  <c r="KI268" i="40" s="1"/>
  <c r="JG368" i="40"/>
  <c r="JL368" i="40" s="1"/>
  <c r="JG468" i="40"/>
  <c r="JL468" i="40" s="1"/>
  <c r="JG568" i="40"/>
  <c r="JL568" i="40" s="1"/>
  <c r="JG272" i="40"/>
  <c r="JL272" i="40" s="1"/>
  <c r="JG372" i="40"/>
  <c r="JL372" i="40" s="1"/>
  <c r="JM372" i="40" s="1"/>
  <c r="KJ372" i="40" s="1"/>
  <c r="JG472" i="40"/>
  <c r="JL472" i="40" s="1"/>
  <c r="JM472" i="40" s="1"/>
  <c r="KI472" i="40" s="1"/>
  <c r="JG572" i="40"/>
  <c r="JL572" i="40" s="1"/>
  <c r="JG274" i="40"/>
  <c r="JL274" i="40" s="1"/>
  <c r="JG374" i="40"/>
  <c r="JL374" i="40" s="1"/>
  <c r="JG474" i="40"/>
  <c r="JL474" i="40" s="1"/>
  <c r="JG574" i="40"/>
  <c r="JL574" i="40" s="1"/>
  <c r="JM574" i="40" s="1"/>
  <c r="KI574" i="40" s="1"/>
  <c r="F18" i="44"/>
  <c r="JG653" i="40"/>
  <c r="JF653" i="40" s="1"/>
  <c r="U33" i="66"/>
  <c r="V33" i="66"/>
  <c r="R33" i="66" s="1"/>
  <c r="U40" i="68"/>
  <c r="V40" i="68"/>
  <c r="R40" i="68" s="1"/>
  <c r="AE40" i="68"/>
  <c r="U33" i="68"/>
  <c r="U51" i="68" s="1"/>
  <c r="V33" i="68"/>
  <c r="V61" i="68" s="1"/>
  <c r="U44" i="69"/>
  <c r="V44" i="69"/>
  <c r="S44" i="69"/>
  <c r="AA44" i="69" s="1"/>
  <c r="U33" i="69"/>
  <c r="U59" i="69" s="1"/>
  <c r="R33" i="69"/>
  <c r="U36" i="66"/>
  <c r="Q36" i="66" s="1"/>
  <c r="V36" i="66"/>
  <c r="S36" i="66"/>
  <c r="U44" i="68"/>
  <c r="V44" i="68"/>
  <c r="U38" i="68"/>
  <c r="V38" i="68"/>
  <c r="R38" i="68" s="1"/>
  <c r="U42" i="66"/>
  <c r="Q42" i="66" s="1"/>
  <c r="V42" i="66"/>
  <c r="U40" i="69"/>
  <c r="V40" i="69"/>
  <c r="V41" i="69" s="1"/>
  <c r="S40" i="69"/>
  <c r="AA40" i="69" s="1"/>
  <c r="U42" i="69"/>
  <c r="V42" i="69"/>
  <c r="S42" i="69"/>
  <c r="AA42" i="69" s="1"/>
  <c r="U36" i="69"/>
  <c r="V36" i="69"/>
  <c r="R36" i="69" s="1"/>
  <c r="S36" i="69"/>
  <c r="AA36" i="69" s="1"/>
  <c r="AE36" i="69"/>
  <c r="U48" i="69"/>
  <c r="V48" i="69"/>
  <c r="S48" i="69"/>
  <c r="AA48" i="69" s="1"/>
  <c r="U38" i="66"/>
  <c r="V38" i="66"/>
  <c r="R38" i="66" s="1"/>
  <c r="Z38" i="66" s="1"/>
  <c r="S38" i="66"/>
  <c r="AA38" i="66" s="1"/>
  <c r="U34" i="69"/>
  <c r="V34" i="69"/>
  <c r="U46" i="66"/>
  <c r="Q46" i="66" s="1"/>
  <c r="V46" i="66"/>
  <c r="S46" i="66"/>
  <c r="U44" i="66"/>
  <c r="Q44" i="66" s="1"/>
  <c r="V44" i="66"/>
  <c r="S44" i="66"/>
  <c r="U44" i="67"/>
  <c r="Q44" i="67" s="1"/>
  <c r="Y44" i="67" s="1"/>
  <c r="V44" i="67"/>
  <c r="S44" i="67"/>
  <c r="AA44" i="67" s="1"/>
  <c r="U33" i="67"/>
  <c r="V33" i="67"/>
  <c r="V53" i="67" s="1"/>
  <c r="W33" i="67"/>
  <c r="W51" i="67" s="1"/>
  <c r="U34" i="67"/>
  <c r="V34" i="67"/>
  <c r="R34" i="67" s="1"/>
  <c r="S34" i="67"/>
  <c r="AA34" i="67" s="1"/>
  <c r="U48" i="66"/>
  <c r="V48" i="66"/>
  <c r="S48" i="66"/>
  <c r="U38" i="69"/>
  <c r="Q38" i="69" s="1"/>
  <c r="V38" i="69"/>
  <c r="S38" i="69"/>
  <c r="AA38" i="69" s="1"/>
  <c r="U34" i="66"/>
  <c r="V34" i="66"/>
  <c r="S34" i="66"/>
  <c r="AA34" i="66" s="1"/>
  <c r="U46" i="67"/>
  <c r="V46" i="67"/>
  <c r="R46" i="67" s="1"/>
  <c r="S46" i="67"/>
  <c r="U36" i="68"/>
  <c r="Q36" i="68" s="1"/>
  <c r="V36" i="68"/>
  <c r="S36" i="68"/>
  <c r="AA36" i="68" s="1"/>
  <c r="U42" i="68"/>
  <c r="Q42" i="68" s="1"/>
  <c r="V42" i="68"/>
  <c r="R42" i="68" s="1"/>
  <c r="Z42" i="68" s="1"/>
  <c r="S42" i="68"/>
  <c r="U40" i="66"/>
  <c r="Q40" i="66" s="1"/>
  <c r="V40" i="66"/>
  <c r="R40" i="66" s="1"/>
  <c r="S40" i="66"/>
  <c r="U38" i="67"/>
  <c r="V38" i="67"/>
  <c r="S38" i="67"/>
  <c r="AA38" i="67" s="1"/>
  <c r="U46" i="69"/>
  <c r="V46" i="69"/>
  <c r="S46" i="69"/>
  <c r="U36" i="67"/>
  <c r="Q36" i="67" s="1"/>
  <c r="Y36" i="67" s="1"/>
  <c r="V36" i="67"/>
  <c r="R36" i="67" s="1"/>
  <c r="S36" i="67"/>
  <c r="AA36" i="67" s="1"/>
  <c r="U34" i="68"/>
  <c r="U46" i="68"/>
  <c r="V34" i="68"/>
  <c r="V46" i="68"/>
  <c r="R46" i="68" s="1"/>
  <c r="S34" i="68"/>
  <c r="U40" i="67"/>
  <c r="R40" i="67"/>
  <c r="Z40" i="67" s="1"/>
  <c r="U42" i="67"/>
  <c r="Q42" i="67" s="1"/>
  <c r="R42" i="67"/>
  <c r="S42" i="67"/>
  <c r="W35" i="69"/>
  <c r="W43" i="69"/>
  <c r="W51" i="69"/>
  <c r="W67" i="69"/>
  <c r="JU541" i="40"/>
  <c r="JV541" i="40" s="1"/>
  <c r="JW541" i="40" s="1"/>
  <c r="KO541" i="40"/>
  <c r="KS541" i="40" s="1"/>
  <c r="U11" i="70"/>
  <c r="KJ211" i="40"/>
  <c r="KK518" i="40"/>
  <c r="JU537" i="40"/>
  <c r="JV537" i="40" s="1"/>
  <c r="JW537" i="40" s="1"/>
  <c r="JT537" i="40"/>
  <c r="JX537" i="40" s="1"/>
  <c r="AS48" i="70"/>
  <c r="KJ537" i="40"/>
  <c r="KK537" i="40"/>
  <c r="JS537" i="40"/>
  <c r="KI537" i="40"/>
  <c r="JU257" i="40"/>
  <c r="JV257" i="40" s="1"/>
  <c r="JW257" i="40" s="1"/>
  <c r="JT257" i="40"/>
  <c r="JX257" i="40" s="1"/>
  <c r="U68" i="70"/>
  <c r="KI257" i="40"/>
  <c r="JS257" i="40"/>
  <c r="KK257" i="40"/>
  <c r="KJ257" i="40"/>
  <c r="KJ215" i="40"/>
  <c r="JT574" i="40"/>
  <c r="JX574" i="40" s="1"/>
  <c r="JT557" i="40"/>
  <c r="JX557" i="40" s="1"/>
  <c r="JT541" i="40"/>
  <c r="JX541" i="40" s="1"/>
  <c r="JU533" i="40"/>
  <c r="JV533" i="40" s="1"/>
  <c r="JW533" i="40" s="1"/>
  <c r="JT533" i="40"/>
  <c r="JX533" i="40" s="1"/>
  <c r="AS44" i="70"/>
  <c r="JS533" i="40"/>
  <c r="KI533" i="40"/>
  <c r="KK533" i="40"/>
  <c r="KJ533" i="40"/>
  <c r="JU549" i="40"/>
  <c r="JV549" i="40" s="1"/>
  <c r="JW549" i="40" s="1"/>
  <c r="JT549" i="40"/>
  <c r="JX549" i="40" s="1"/>
  <c r="AS60" i="70"/>
  <c r="KJ549" i="40"/>
  <c r="KI549" i="40"/>
  <c r="JS549" i="40"/>
  <c r="KK549" i="40"/>
  <c r="JT553" i="40"/>
  <c r="JX553" i="40" s="1"/>
  <c r="JU545" i="40"/>
  <c r="JV545" i="40" s="1"/>
  <c r="JW545" i="40" s="1"/>
  <c r="JT545" i="40"/>
  <c r="JX545" i="40" s="1"/>
  <c r="AS56" i="70"/>
  <c r="KK545" i="40"/>
  <c r="KI545" i="40"/>
  <c r="KJ545" i="40"/>
  <c r="JS545" i="40"/>
  <c r="JU547" i="40"/>
  <c r="JV547" i="40" s="1"/>
  <c r="JW547" i="40" s="1"/>
  <c r="JT514" i="40"/>
  <c r="JX514" i="40" s="1"/>
  <c r="KI514" i="40"/>
  <c r="AS52" i="70"/>
  <c r="KJ541" i="40"/>
  <c r="KK541" i="40"/>
  <c r="KI541" i="40"/>
  <c r="JS541" i="40"/>
  <c r="JU539" i="40"/>
  <c r="JV539" i="40" s="1"/>
  <c r="JW539" i="40" s="1"/>
  <c r="JU553" i="40"/>
  <c r="JV553" i="40" s="1"/>
  <c r="JW553" i="40" s="1"/>
  <c r="KJ553" i="40"/>
  <c r="KK553" i="40"/>
  <c r="KI553" i="40"/>
  <c r="JS553" i="40"/>
  <c r="JT349" i="40"/>
  <c r="JX349" i="40" s="1"/>
  <c r="AC60" i="70"/>
  <c r="KJ349" i="40"/>
  <c r="KK349" i="40"/>
  <c r="KI349" i="40"/>
  <c r="JS349" i="40"/>
  <c r="JU349" i="40"/>
  <c r="JV349" i="40" s="1"/>
  <c r="JW349" i="40" s="1"/>
  <c r="KK510" i="40"/>
  <c r="JU437" i="40"/>
  <c r="JV437" i="40" s="1"/>
  <c r="JW437" i="40" s="1"/>
  <c r="JT437" i="40"/>
  <c r="JX437" i="40" s="1"/>
  <c r="JS437" i="40"/>
  <c r="KI437" i="40"/>
  <c r="KJ437" i="40"/>
  <c r="KK437" i="40"/>
  <c r="JU557" i="40"/>
  <c r="JV557" i="40" s="1"/>
  <c r="JW557" i="40" s="1"/>
  <c r="AS68" i="70"/>
  <c r="KI557" i="40"/>
  <c r="KJ557" i="40"/>
  <c r="JS557" i="40"/>
  <c r="KK557" i="40"/>
  <c r="JU529" i="40"/>
  <c r="JV529" i="40" s="1"/>
  <c r="JW529" i="40" s="1"/>
  <c r="JT529" i="40"/>
  <c r="JX529" i="40" s="1"/>
  <c r="AS40" i="70"/>
  <c r="KK529" i="40"/>
  <c r="JS529" i="40"/>
  <c r="KI529" i="40"/>
  <c r="KJ529" i="40"/>
  <c r="JX501" i="40"/>
  <c r="JT425" i="40"/>
  <c r="JX425" i="40" s="1"/>
  <c r="JS451" i="40"/>
  <c r="JU412" i="40"/>
  <c r="JV412" i="40" s="1"/>
  <c r="JW412" i="40" s="1"/>
  <c r="JT412" i="40"/>
  <c r="JX412" i="40" s="1"/>
  <c r="AK23" i="70"/>
  <c r="JS412" i="40"/>
  <c r="KJ412" i="40"/>
  <c r="KI412" i="40"/>
  <c r="KK412" i="40"/>
  <c r="F17" i="44"/>
  <c r="H46" i="58"/>
  <c r="K46" i="58"/>
  <c r="K47" i="58" s="1"/>
  <c r="L46" i="58"/>
  <c r="L47" i="58" s="1"/>
  <c r="M46" i="58"/>
  <c r="M47" i="58" s="1"/>
  <c r="N46" i="58"/>
  <c r="N47" i="58" s="1"/>
  <c r="O46" i="58"/>
  <c r="O47" i="58" s="1"/>
  <c r="JT416" i="40"/>
  <c r="JX416" i="40" s="1"/>
  <c r="KJ326" i="40"/>
  <c r="JT467" i="40"/>
  <c r="JX467" i="40" s="1"/>
  <c r="JU353" i="40"/>
  <c r="JV353" i="40" s="1"/>
  <c r="JW353" i="40" s="1"/>
  <c r="JT353" i="40"/>
  <c r="JX353" i="40" s="1"/>
  <c r="KK353" i="40"/>
  <c r="KI353" i="40"/>
  <c r="KJ353" i="40"/>
  <c r="JS353" i="40"/>
  <c r="JU457" i="40"/>
  <c r="JV457" i="40" s="1"/>
  <c r="JW457" i="40" s="1"/>
  <c r="JT457" i="40"/>
  <c r="JX457" i="40" s="1"/>
  <c r="KK457" i="40"/>
  <c r="KJ457" i="40"/>
  <c r="KI457" i="40"/>
  <c r="AK68" i="70"/>
  <c r="JS457" i="40"/>
  <c r="JU425" i="40"/>
  <c r="JV425" i="40" s="1"/>
  <c r="JW425" i="40" s="1"/>
  <c r="KK425" i="40"/>
  <c r="JS425" i="40"/>
  <c r="KI425" i="40"/>
  <c r="KJ425" i="40"/>
  <c r="JU429" i="40"/>
  <c r="JV429" i="40" s="1"/>
  <c r="JW429" i="40" s="1"/>
  <c r="KI429" i="40"/>
  <c r="KJ429" i="40"/>
  <c r="KJ407" i="40"/>
  <c r="JU416" i="40"/>
  <c r="JV416" i="40" s="1"/>
  <c r="JW416" i="40" s="1"/>
  <c r="JS416" i="40"/>
  <c r="KI416" i="40"/>
  <c r="KK416" i="40"/>
  <c r="KJ416" i="40"/>
  <c r="JU409" i="40"/>
  <c r="JV409" i="40" s="1"/>
  <c r="JW409" i="40" s="1"/>
  <c r="JT409" i="40"/>
  <c r="JX409" i="40" s="1"/>
  <c r="KI409" i="40"/>
  <c r="KK409" i="40"/>
  <c r="KJ409" i="40"/>
  <c r="JS409" i="40"/>
  <c r="KJ418" i="40"/>
  <c r="JS309" i="40"/>
  <c r="JU345" i="40"/>
  <c r="JV345" i="40" s="1"/>
  <c r="JW345" i="40" s="1"/>
  <c r="JT345" i="40"/>
  <c r="JX345" i="40" s="1"/>
  <c r="AC56" i="70"/>
  <c r="KJ345" i="40"/>
  <c r="JS345" i="40"/>
  <c r="KK345" i="40"/>
  <c r="KI345" i="40"/>
  <c r="JX401" i="40"/>
  <c r="D54" i="44"/>
  <c r="M54" i="44" s="1"/>
  <c r="K54" i="44"/>
  <c r="J54" i="44"/>
  <c r="I54" i="44"/>
  <c r="K40" i="44"/>
  <c r="D22" i="44"/>
  <c r="M22" i="44" s="1"/>
  <c r="G48" i="66"/>
  <c r="G46" i="68"/>
  <c r="G34" i="66"/>
  <c r="G46" i="66"/>
  <c r="G44" i="66"/>
  <c r="G44" i="68"/>
  <c r="AF44" i="58"/>
  <c r="AF45" i="58" s="1"/>
  <c r="AG45" i="58" s="1"/>
  <c r="AF34" i="58"/>
  <c r="AF35" i="58" s="1"/>
  <c r="AG35" i="58" s="1"/>
  <c r="AF36" i="58"/>
  <c r="AF37" i="58" s="1"/>
  <c r="AG37" i="58" s="1"/>
  <c r="AF42" i="58"/>
  <c r="AF43" i="58" s="1"/>
  <c r="AG43" i="58" s="1"/>
  <c r="G42" i="68"/>
  <c r="G40" i="68"/>
  <c r="G38" i="66"/>
  <c r="G42" i="66"/>
  <c r="F38" i="68"/>
  <c r="I36" i="66"/>
  <c r="I33" i="66"/>
  <c r="I67" i="66" s="1"/>
  <c r="I34" i="69"/>
  <c r="G46" i="69"/>
  <c r="F42" i="66"/>
  <c r="G38" i="68"/>
  <c r="F34" i="69"/>
  <c r="F46" i="67"/>
  <c r="F44" i="58"/>
  <c r="F45" i="58" s="1"/>
  <c r="I33" i="69"/>
  <c r="I67" i="69" s="1"/>
  <c r="I34" i="68"/>
  <c r="I33" i="68"/>
  <c r="I63" i="68" s="1"/>
  <c r="F40" i="66"/>
  <c r="F38" i="66"/>
  <c r="F36" i="67"/>
  <c r="F34" i="66"/>
  <c r="I34" i="67"/>
  <c r="I36" i="69"/>
  <c r="I37" i="69" s="1"/>
  <c r="G48" i="69"/>
  <c r="I42" i="67"/>
  <c r="G38" i="69"/>
  <c r="I36" i="58"/>
  <c r="I37" i="58" s="1"/>
  <c r="I44" i="69"/>
  <c r="I48" i="58"/>
  <c r="I49" i="58" s="1"/>
  <c r="F33" i="66"/>
  <c r="I46" i="68"/>
  <c r="I40" i="69"/>
  <c r="F33" i="71"/>
  <c r="F71" i="71" s="1"/>
  <c r="I36" i="67"/>
  <c r="I38" i="68"/>
  <c r="F42" i="69"/>
  <c r="F44" i="68"/>
  <c r="I48" i="66"/>
  <c r="I40" i="68"/>
  <c r="F33" i="69"/>
  <c r="F67" i="69" s="1"/>
  <c r="I46" i="66"/>
  <c r="F46" i="68"/>
  <c r="F33" i="67"/>
  <c r="F53" i="67" s="1"/>
  <c r="I46" i="69"/>
  <c r="I40" i="67"/>
  <c r="F48" i="66"/>
  <c r="F49" i="66" s="1"/>
  <c r="F40" i="69"/>
  <c r="F42" i="68"/>
  <c r="I46" i="67"/>
  <c r="F42" i="58"/>
  <c r="F43" i="58" s="1"/>
  <c r="F38" i="67"/>
  <c r="F39" i="67" s="1"/>
  <c r="I44" i="66"/>
  <c r="F46" i="69"/>
  <c r="I38" i="66"/>
  <c r="I44" i="68"/>
  <c r="I42" i="66"/>
  <c r="I40" i="58"/>
  <c r="I41" i="58" s="1"/>
  <c r="I42" i="69"/>
  <c r="I34" i="58"/>
  <c r="I35" i="58" s="1"/>
  <c r="F36" i="58"/>
  <c r="F37" i="58" s="1"/>
  <c r="F40" i="58"/>
  <c r="F41" i="58" s="1"/>
  <c r="F36" i="66"/>
  <c r="F37" i="66" s="1"/>
  <c r="F46" i="66"/>
  <c r="G40" i="67"/>
  <c r="I44" i="58"/>
  <c r="I45" i="58" s="1"/>
  <c r="F34" i="67"/>
  <c r="F34" i="68"/>
  <c r="I48" i="69"/>
  <c r="F40" i="67"/>
  <c r="F38" i="69"/>
  <c r="G46" i="67"/>
  <c r="F48" i="58"/>
  <c r="F49" i="58" s="1"/>
  <c r="G34" i="68"/>
  <c r="F40" i="68"/>
  <c r="F48" i="69"/>
  <c r="F36" i="68"/>
  <c r="F33" i="68"/>
  <c r="F57" i="68" s="1"/>
  <c r="F44" i="66"/>
  <c r="F45" i="66" s="1"/>
  <c r="I42" i="68"/>
  <c r="F36" i="69"/>
  <c r="F37" i="69" s="1"/>
  <c r="I42" i="58"/>
  <c r="I43" i="58" s="1"/>
  <c r="I36" i="68"/>
  <c r="I38" i="69"/>
  <c r="I38" i="67"/>
  <c r="G36" i="69"/>
  <c r="F44" i="69"/>
  <c r="G42" i="69"/>
  <c r="N33" i="66"/>
  <c r="N55" i="66" s="1"/>
  <c r="M42" i="69"/>
  <c r="K34" i="67"/>
  <c r="M38" i="69"/>
  <c r="O46" i="67"/>
  <c r="O33" i="67"/>
  <c r="O71" i="67" s="1"/>
  <c r="G40" i="69"/>
  <c r="G33" i="66"/>
  <c r="H46" i="67"/>
  <c r="G33" i="71"/>
  <c r="L38" i="68"/>
  <c r="M33" i="67"/>
  <c r="M59" i="67" s="1"/>
  <c r="N42" i="68"/>
  <c r="M40" i="68"/>
  <c r="M33" i="68"/>
  <c r="M61" i="68" s="1"/>
  <c r="H34" i="68"/>
  <c r="N48" i="69"/>
  <c r="O33" i="66"/>
  <c r="O57" i="66" s="1"/>
  <c r="N34" i="69"/>
  <c r="H34" i="69"/>
  <c r="O34" i="58"/>
  <c r="O35" i="58" s="1"/>
  <c r="O38" i="68"/>
  <c r="H42" i="58"/>
  <c r="K33" i="66"/>
  <c r="K71" i="66" s="1"/>
  <c r="M36" i="67"/>
  <c r="I34" i="66"/>
  <c r="G38" i="67"/>
  <c r="I33" i="67"/>
  <c r="G34" i="67"/>
  <c r="G44" i="67"/>
  <c r="H42" i="68"/>
  <c r="L46" i="67"/>
  <c r="H38" i="69"/>
  <c r="L42" i="58"/>
  <c r="L43" i="58" s="1"/>
  <c r="K36" i="68"/>
  <c r="K44" i="69"/>
  <c r="O34" i="68"/>
  <c r="K42" i="66"/>
  <c r="N44" i="58"/>
  <c r="N45" i="58" s="1"/>
  <c r="H40" i="68"/>
  <c r="H33" i="68"/>
  <c r="K36" i="69"/>
  <c r="N46" i="69"/>
  <c r="L42" i="66"/>
  <c r="K42" i="69"/>
  <c r="K44" i="66"/>
  <c r="N36" i="69"/>
  <c r="N33" i="69"/>
  <c r="N55" i="69" s="1"/>
  <c r="L48" i="58"/>
  <c r="L49" i="58" s="1"/>
  <c r="N38" i="67"/>
  <c r="I44" i="67"/>
  <c r="I40" i="66"/>
  <c r="G33" i="68"/>
  <c r="G36" i="66"/>
  <c r="M33" i="71"/>
  <c r="M61" i="71" s="1"/>
  <c r="M40" i="58"/>
  <c r="M41" i="58" s="1"/>
  <c r="O34" i="66"/>
  <c r="O44" i="68"/>
  <c r="O48" i="69"/>
  <c r="M34" i="58"/>
  <c r="M35" i="58" s="1"/>
  <c r="M42" i="58"/>
  <c r="M43" i="58" s="1"/>
  <c r="H44" i="66"/>
  <c r="H42" i="67"/>
  <c r="L38" i="67"/>
  <c r="L33" i="67"/>
  <c r="L59" i="67" s="1"/>
  <c r="M42" i="67"/>
  <c r="K42" i="67"/>
  <c r="M44" i="66"/>
  <c r="O36" i="68"/>
  <c r="G44" i="69"/>
  <c r="G40" i="66"/>
  <c r="F44" i="67"/>
  <c r="F45" i="67" s="1"/>
  <c r="F34" i="58"/>
  <c r="F35" i="58" s="1"/>
  <c r="M42" i="66"/>
  <c r="M33" i="66"/>
  <c r="L40" i="66"/>
  <c r="M44" i="67"/>
  <c r="O44" i="66"/>
  <c r="O36" i="58"/>
  <c r="O37" i="58" s="1"/>
  <c r="K44" i="68"/>
  <c r="M44" i="58"/>
  <c r="M45" i="58" s="1"/>
  <c r="L42" i="67"/>
  <c r="M48" i="58"/>
  <c r="M49" i="58" s="1"/>
  <c r="N33" i="67"/>
  <c r="N61" i="67" s="1"/>
  <c r="K34" i="68"/>
  <c r="K33" i="68"/>
  <c r="K57" i="68" s="1"/>
  <c r="K48" i="69"/>
  <c r="M44" i="69"/>
  <c r="G33" i="69"/>
  <c r="G36" i="67"/>
  <c r="L34" i="69"/>
  <c r="L33" i="69"/>
  <c r="L51" i="69" s="1"/>
  <c r="G42" i="67"/>
  <c r="G34" i="69"/>
  <c r="F42" i="67"/>
  <c r="N40" i="68"/>
  <c r="L34" i="66"/>
  <c r="H44" i="69"/>
  <c r="N40" i="67"/>
  <c r="K46" i="67"/>
  <c r="H34" i="58"/>
  <c r="N42" i="58"/>
  <c r="N43" i="58" s="1"/>
  <c r="N36" i="68"/>
  <c r="K46" i="68"/>
  <c r="K33" i="67"/>
  <c r="K63" i="67" s="1"/>
  <c r="O44" i="58"/>
  <c r="O45" i="58" s="1"/>
  <c r="K48" i="66"/>
  <c r="L33" i="71"/>
  <c r="L49" i="71" s="1"/>
  <c r="M36" i="58"/>
  <c r="M37" i="58" s="1"/>
  <c r="O40" i="66"/>
  <c r="M46" i="68"/>
  <c r="M47" i="68" s="1"/>
  <c r="N34" i="68"/>
  <c r="H34" i="66"/>
  <c r="L48" i="66"/>
  <c r="L33" i="68"/>
  <c r="L69" i="68" s="1"/>
  <c r="O33" i="71"/>
  <c r="O69" i="71" s="1"/>
  <c r="I33" i="71"/>
  <c r="I39" i="71" s="1"/>
  <c r="K36" i="66"/>
  <c r="O38" i="67"/>
  <c r="H40" i="69"/>
  <c r="O40" i="67"/>
  <c r="L46" i="68"/>
  <c r="N36" i="58"/>
  <c r="N37" i="58" s="1"/>
  <c r="M40" i="66"/>
  <c r="M38" i="66"/>
  <c r="K38" i="69"/>
  <c r="L44" i="68"/>
  <c r="N34" i="66"/>
  <c r="M46" i="69"/>
  <c r="J33" i="68"/>
  <c r="J39" i="68" s="1"/>
  <c r="M34" i="67"/>
  <c r="H34" i="67"/>
  <c r="H33" i="67"/>
  <c r="K36" i="67"/>
  <c r="M40" i="67"/>
  <c r="N48" i="58"/>
  <c r="N49" i="58" s="1"/>
  <c r="N40" i="58"/>
  <c r="N41" i="58" s="1"/>
  <c r="M34" i="68"/>
  <c r="L46" i="69"/>
  <c r="L36" i="69"/>
  <c r="O42" i="69"/>
  <c r="G36" i="68"/>
  <c r="K33" i="69"/>
  <c r="N33" i="68"/>
  <c r="N69" i="68" s="1"/>
  <c r="L44" i="67"/>
  <c r="O44" i="69"/>
  <c r="O33" i="69"/>
  <c r="O36" i="69"/>
  <c r="K44" i="67"/>
  <c r="K45" i="67" s="1"/>
  <c r="O38" i="69"/>
  <c r="O48" i="58"/>
  <c r="O34" i="69"/>
  <c r="M38" i="67"/>
  <c r="H44" i="67"/>
  <c r="K44" i="58"/>
  <c r="K45" i="58" s="1"/>
  <c r="N36" i="66"/>
  <c r="N46" i="66"/>
  <c r="M36" i="66"/>
  <c r="L42" i="69"/>
  <c r="L36" i="66"/>
  <c r="N38" i="68"/>
  <c r="H44" i="58"/>
  <c r="K36" i="58"/>
  <c r="K37" i="58" s="1"/>
  <c r="H46" i="66"/>
  <c r="M48" i="69"/>
  <c r="O42" i="68"/>
  <c r="O42" i="66"/>
  <c r="H44" i="68"/>
  <c r="O40" i="69"/>
  <c r="M34" i="69"/>
  <c r="M36" i="69"/>
  <c r="L40" i="68"/>
  <c r="K46" i="69"/>
  <c r="L34" i="68"/>
  <c r="N33" i="71"/>
  <c r="N57" i="71" s="1"/>
  <c r="N40" i="66"/>
  <c r="N44" i="67"/>
  <c r="N40" i="69"/>
  <c r="H40" i="58"/>
  <c r="H38" i="68"/>
  <c r="L44" i="66"/>
  <c r="G33" i="67"/>
  <c r="L40" i="67"/>
  <c r="K33" i="71"/>
  <c r="K41" i="71" s="1"/>
  <c r="L40" i="69"/>
  <c r="K38" i="68"/>
  <c r="K39" i="68" s="1"/>
  <c r="L36" i="58"/>
  <c r="L37" i="58" s="1"/>
  <c r="J33" i="71"/>
  <c r="J47" i="71" s="1"/>
  <c r="N48" i="66"/>
  <c r="N49" i="66" s="1"/>
  <c r="K38" i="66"/>
  <c r="H42" i="66"/>
  <c r="K48" i="58"/>
  <c r="K49" i="58" s="1"/>
  <c r="K42" i="58"/>
  <c r="K43" i="58" s="1"/>
  <c r="H48" i="69"/>
  <c r="O46" i="66"/>
  <c r="L44" i="69"/>
  <c r="M46" i="67"/>
  <c r="L36" i="67"/>
  <c r="L34" i="58"/>
  <c r="L35" i="58" s="1"/>
  <c r="N46" i="67"/>
  <c r="M34" i="66"/>
  <c r="M38" i="68"/>
  <c r="H36" i="67"/>
  <c r="N34" i="58"/>
  <c r="N35" i="58" s="1"/>
  <c r="H36" i="66"/>
  <c r="M40" i="69"/>
  <c r="H42" i="69"/>
  <c r="N46" i="68"/>
  <c r="L42" i="68"/>
  <c r="N44" i="68"/>
  <c r="N38" i="66"/>
  <c r="L44" i="58"/>
  <c r="L45" i="58" s="1"/>
  <c r="M42" i="68"/>
  <c r="K34" i="69"/>
  <c r="H36" i="58"/>
  <c r="J33" i="67"/>
  <c r="J35" i="67" s="1"/>
  <c r="N38" i="69"/>
  <c r="H40" i="67"/>
  <c r="N44" i="69"/>
  <c r="N42" i="66"/>
  <c r="O36" i="66"/>
  <c r="O42" i="67"/>
  <c r="O43" i="67" s="1"/>
  <c r="H36" i="68"/>
  <c r="H46" i="69"/>
  <c r="K38" i="67"/>
  <c r="K39" i="67" s="1"/>
  <c r="L40" i="58"/>
  <c r="L41" i="58" s="1"/>
  <c r="H36" i="69"/>
  <c r="O40" i="68"/>
  <c r="O33" i="68"/>
  <c r="O61" i="68" s="1"/>
  <c r="L34" i="67"/>
  <c r="L36" i="68"/>
  <c r="L37" i="68" s="1"/>
  <c r="H48" i="58"/>
  <c r="O36" i="67"/>
  <c r="O38" i="66"/>
  <c r="K46" i="66"/>
  <c r="M48" i="66"/>
  <c r="O34" i="67"/>
  <c r="K40" i="66"/>
  <c r="H33" i="71"/>
  <c r="H33" i="69"/>
  <c r="H38" i="67"/>
  <c r="O44" i="67"/>
  <c r="K40" i="68"/>
  <c r="N36" i="67"/>
  <c r="N34" i="67"/>
  <c r="K40" i="67"/>
  <c r="N44" i="66"/>
  <c r="O46" i="69"/>
  <c r="L46" i="66"/>
  <c r="H48" i="66"/>
  <c r="K42" i="68"/>
  <c r="M44" i="68"/>
  <c r="K40" i="69"/>
  <c r="M46" i="66"/>
  <c r="H40" i="66"/>
  <c r="O46" i="68"/>
  <c r="L33" i="66"/>
  <c r="L48" i="69"/>
  <c r="J33" i="66"/>
  <c r="J45" i="66" s="1"/>
  <c r="K34" i="58"/>
  <c r="K35" i="58" s="1"/>
  <c r="H33" i="66"/>
  <c r="K34" i="66"/>
  <c r="O48" i="66"/>
  <c r="O40" i="58"/>
  <c r="O41" i="58" s="1"/>
  <c r="K40" i="58"/>
  <c r="L38" i="66"/>
  <c r="N42" i="69"/>
  <c r="M33" i="69"/>
  <c r="M67" i="69" s="1"/>
  <c r="H38" i="66"/>
  <c r="N42" i="67"/>
  <c r="H46" i="68"/>
  <c r="L38" i="69"/>
  <c r="M36" i="68"/>
  <c r="O42" i="58"/>
  <c r="O43" i="58" s="1"/>
  <c r="J33" i="69"/>
  <c r="J39" i="69" s="1"/>
  <c r="F67" i="68"/>
  <c r="F55" i="66"/>
  <c r="I69" i="67"/>
  <c r="O41" i="66" l="1"/>
  <c r="I55" i="68"/>
  <c r="F37" i="71"/>
  <c r="W59" i="69"/>
  <c r="KO547" i="40"/>
  <c r="KS547" i="40" s="1"/>
  <c r="J59" i="68"/>
  <c r="JG627" i="40"/>
  <c r="JF627" i="40" s="1"/>
  <c r="JS418" i="40"/>
  <c r="JS327" i="40"/>
  <c r="KJ574" i="40"/>
  <c r="L55" i="67"/>
  <c r="KV116" i="40"/>
  <c r="JU574" i="40"/>
  <c r="JV574" i="40" s="1"/>
  <c r="JW574" i="40" s="1"/>
  <c r="V43" i="66"/>
  <c r="KO587" i="40"/>
  <c r="KO584" i="40"/>
  <c r="KO586" i="40"/>
  <c r="KO585" i="40"/>
  <c r="W61" i="68"/>
  <c r="AF40" i="68"/>
  <c r="N47" i="68"/>
  <c r="S61" i="68"/>
  <c r="L45" i="68"/>
  <c r="M67" i="68"/>
  <c r="U59" i="68"/>
  <c r="K53" i="68"/>
  <c r="M69" i="68"/>
  <c r="M65" i="69"/>
  <c r="J49" i="68"/>
  <c r="F53" i="68"/>
  <c r="I53" i="68"/>
  <c r="F55" i="71"/>
  <c r="JS574" i="40"/>
  <c r="U53" i="69"/>
  <c r="W53" i="68"/>
  <c r="JG657" i="40"/>
  <c r="JF657" i="40" s="1"/>
  <c r="K67" i="68"/>
  <c r="M71" i="71"/>
  <c r="O51" i="66"/>
  <c r="J45" i="68"/>
  <c r="F71" i="68"/>
  <c r="F49" i="71"/>
  <c r="F65" i="71"/>
  <c r="KK574" i="40"/>
  <c r="S63" i="68"/>
  <c r="W45" i="68"/>
  <c r="U67" i="68"/>
  <c r="K61" i="68"/>
  <c r="O51" i="67"/>
  <c r="J57" i="68"/>
  <c r="J35" i="68"/>
  <c r="I57" i="68"/>
  <c r="F59" i="71"/>
  <c r="N42" i="59"/>
  <c r="X54" i="59" s="1"/>
  <c r="W69" i="68"/>
  <c r="W37" i="68"/>
  <c r="U61" i="68"/>
  <c r="O49" i="67"/>
  <c r="O65" i="67"/>
  <c r="K55" i="67"/>
  <c r="V57" i="66"/>
  <c r="KO582" i="40"/>
  <c r="KO581" i="40"/>
  <c r="KO576" i="40"/>
  <c r="KO577" i="40"/>
  <c r="KO578" i="40"/>
  <c r="KO579" i="40"/>
  <c r="KO583" i="40"/>
  <c r="KO580" i="40"/>
  <c r="U47" i="67"/>
  <c r="O49" i="68"/>
  <c r="M51" i="69"/>
  <c r="V44" i="59"/>
  <c r="S53" i="68"/>
  <c r="S67" i="68"/>
  <c r="S51" i="68"/>
  <c r="W67" i="68"/>
  <c r="W59" i="68"/>
  <c r="W51" i="68"/>
  <c r="W43" i="68"/>
  <c r="W35" i="68"/>
  <c r="O49" i="44"/>
  <c r="N43" i="69"/>
  <c r="I57" i="71"/>
  <c r="S55" i="68"/>
  <c r="S57" i="68"/>
  <c r="S69" i="68"/>
  <c r="S59" i="68"/>
  <c r="S49" i="68"/>
  <c r="W65" i="68"/>
  <c r="W57" i="68"/>
  <c r="W49" i="68"/>
  <c r="W41" i="68"/>
  <c r="AN16" i="70"/>
  <c r="BO16" i="70" s="1"/>
  <c r="AN25" i="70"/>
  <c r="S65" i="68"/>
  <c r="W71" i="68"/>
  <c r="W63" i="68"/>
  <c r="W55" i="68"/>
  <c r="W47" i="68"/>
  <c r="W39" i="68"/>
  <c r="JM559" i="40"/>
  <c r="JT559" i="40" s="1"/>
  <c r="JX559" i="40" s="1"/>
  <c r="M53" i="68"/>
  <c r="N71" i="66"/>
  <c r="I47" i="71"/>
  <c r="O47" i="68"/>
  <c r="KK309" i="40"/>
  <c r="AC20" i="70"/>
  <c r="KI407" i="40"/>
  <c r="JS326" i="40"/>
  <c r="JS510" i="40"/>
  <c r="KK514" i="40"/>
  <c r="JS514" i="40"/>
  <c r="JU309" i="40"/>
  <c r="JV309" i="40" s="1"/>
  <c r="JW309" i="40" s="1"/>
  <c r="KK304" i="40"/>
  <c r="KK215" i="40"/>
  <c r="U26" i="70"/>
  <c r="KI518" i="40"/>
  <c r="JS211" i="40"/>
  <c r="JU211" i="40"/>
  <c r="JV211" i="40" s="1"/>
  <c r="JW211" i="40" s="1"/>
  <c r="W65" i="69"/>
  <c r="W57" i="69"/>
  <c r="W49" i="69"/>
  <c r="W41" i="69"/>
  <c r="U13" i="70"/>
  <c r="KV110" i="40"/>
  <c r="P40" i="44"/>
  <c r="KJ309" i="40"/>
  <c r="JT309" i="40"/>
  <c r="JX309" i="40" s="1"/>
  <c r="JS372" i="40"/>
  <c r="KK407" i="40"/>
  <c r="JT407" i="40"/>
  <c r="KK326" i="40"/>
  <c r="JT326" i="40"/>
  <c r="JX326" i="40" s="1"/>
  <c r="JT304" i="40"/>
  <c r="JX304" i="40" s="1"/>
  <c r="KI510" i="40"/>
  <c r="KJ514" i="40"/>
  <c r="JU514" i="40"/>
  <c r="JV514" i="40" s="1"/>
  <c r="JW514" i="40" s="1"/>
  <c r="JS215" i="40"/>
  <c r="JU215" i="40"/>
  <c r="JV215" i="40" s="1"/>
  <c r="JW215" i="40" s="1"/>
  <c r="JS518" i="40"/>
  <c r="AS29" i="70"/>
  <c r="KI211" i="40"/>
  <c r="JT211" i="40"/>
  <c r="JX211" i="40" s="1"/>
  <c r="W71" i="69"/>
  <c r="W63" i="69"/>
  <c r="W55" i="69"/>
  <c r="W47" i="69"/>
  <c r="W39" i="69"/>
  <c r="JU518" i="40"/>
  <c r="AS16" i="70"/>
  <c r="AR10" i="61"/>
  <c r="X10" i="61" s="1"/>
  <c r="AE33" i="66"/>
  <c r="KO281" i="40"/>
  <c r="KO279" i="40"/>
  <c r="KO283" i="40"/>
  <c r="KO280" i="40"/>
  <c r="KO282" i="40"/>
  <c r="KO278" i="40"/>
  <c r="KO277" i="40"/>
  <c r="KO276" i="40"/>
  <c r="KV114" i="40"/>
  <c r="O67" i="68"/>
  <c r="K49" i="67"/>
  <c r="I63" i="71"/>
  <c r="I65" i="71"/>
  <c r="O57" i="68"/>
  <c r="M65" i="71"/>
  <c r="K67" i="67"/>
  <c r="I53" i="71"/>
  <c r="N22" i="44"/>
  <c r="M47" i="66"/>
  <c r="JX407" i="40"/>
  <c r="JS407" i="40"/>
  <c r="KI326" i="40"/>
  <c r="KJ510" i="40"/>
  <c r="AS25" i="70"/>
  <c r="KI215" i="40"/>
  <c r="KJ518" i="40"/>
  <c r="JT518" i="40"/>
  <c r="JX518" i="40" s="1"/>
  <c r="KK211" i="40"/>
  <c r="W69" i="69"/>
  <c r="W61" i="69"/>
  <c r="W53" i="69"/>
  <c r="W45" i="69"/>
  <c r="W37" i="69"/>
  <c r="KO518" i="40"/>
  <c r="AQ10" i="61"/>
  <c r="W10" i="61" s="1"/>
  <c r="KV118" i="40"/>
  <c r="O53" i="44"/>
  <c r="KV113" i="40"/>
  <c r="KV115" i="40"/>
  <c r="KV109" i="40"/>
  <c r="KV111" i="40"/>
  <c r="KV112" i="40"/>
  <c r="KV117" i="40"/>
  <c r="M61" i="67"/>
  <c r="F69" i="67"/>
  <c r="J69" i="71"/>
  <c r="K59" i="71"/>
  <c r="J69" i="66"/>
  <c r="O47" i="71"/>
  <c r="K39" i="71"/>
  <c r="N53" i="68"/>
  <c r="J67" i="67"/>
  <c r="J57" i="71"/>
  <c r="J61" i="67"/>
  <c r="J47" i="67"/>
  <c r="J61" i="69"/>
  <c r="J35" i="69"/>
  <c r="F45" i="68"/>
  <c r="F59" i="68"/>
  <c r="AK58" i="68" s="1"/>
  <c r="F61" i="68"/>
  <c r="F49" i="68"/>
  <c r="J47" i="68"/>
  <c r="I59" i="68"/>
  <c r="I69" i="68"/>
  <c r="I51" i="68"/>
  <c r="F35" i="71"/>
  <c r="F45" i="71"/>
  <c r="F53" i="71"/>
  <c r="F69" i="71"/>
  <c r="F41" i="71"/>
  <c r="M35" i="69"/>
  <c r="O37" i="66"/>
  <c r="O41" i="67"/>
  <c r="K65" i="68"/>
  <c r="K59" i="68"/>
  <c r="O55" i="67"/>
  <c r="O61" i="66"/>
  <c r="J55" i="68"/>
  <c r="J65" i="68"/>
  <c r="J37" i="68"/>
  <c r="K49" i="68"/>
  <c r="K51" i="68"/>
  <c r="K55" i="68"/>
  <c r="O67" i="67"/>
  <c r="O61" i="67"/>
  <c r="O63" i="67"/>
  <c r="O59" i="66"/>
  <c r="J71" i="68"/>
  <c r="J63" i="68"/>
  <c r="J53" i="68"/>
  <c r="J41" i="68"/>
  <c r="F55" i="68"/>
  <c r="F69" i="68"/>
  <c r="F63" i="68"/>
  <c r="I67" i="68"/>
  <c r="I49" i="68"/>
  <c r="I65" i="68"/>
  <c r="F67" i="71"/>
  <c r="F51" i="71"/>
  <c r="F39" i="71"/>
  <c r="F61" i="71"/>
  <c r="O49" i="66"/>
  <c r="K43" i="68"/>
  <c r="K41" i="68"/>
  <c r="I41" i="67"/>
  <c r="I43" i="68"/>
  <c r="JT472" i="40"/>
  <c r="JX472" i="40" s="1"/>
  <c r="U43" i="67"/>
  <c r="K63" i="68"/>
  <c r="O69" i="67"/>
  <c r="O53" i="67"/>
  <c r="J61" i="68"/>
  <c r="K69" i="68"/>
  <c r="K71" i="68"/>
  <c r="O59" i="67"/>
  <c r="O57" i="67"/>
  <c r="J69" i="68"/>
  <c r="J51" i="68"/>
  <c r="J67" i="68"/>
  <c r="J43" i="68"/>
  <c r="F65" i="68"/>
  <c r="F51" i="68"/>
  <c r="I71" i="68"/>
  <c r="I61" i="68"/>
  <c r="F57" i="71"/>
  <c r="F47" i="71"/>
  <c r="F63" i="71"/>
  <c r="F43" i="71"/>
  <c r="O45" i="67"/>
  <c r="O39" i="67"/>
  <c r="N48" i="44"/>
  <c r="V37" i="66"/>
  <c r="L43" i="69"/>
  <c r="M41" i="67"/>
  <c r="M35" i="67"/>
  <c r="F35" i="67"/>
  <c r="AF44" i="69"/>
  <c r="KK464" i="40"/>
  <c r="O44" i="59"/>
  <c r="Z56" i="59" s="1"/>
  <c r="S47" i="68"/>
  <c r="K53" i="71"/>
  <c r="J49" i="67"/>
  <c r="J51" i="69"/>
  <c r="J37" i="71"/>
  <c r="J63" i="71"/>
  <c r="N51" i="68"/>
  <c r="N43" i="67"/>
  <c r="K35" i="66"/>
  <c r="N45" i="69"/>
  <c r="K51" i="71"/>
  <c r="L69" i="69"/>
  <c r="J49" i="66"/>
  <c r="J59" i="69"/>
  <c r="J59" i="71"/>
  <c r="J45" i="71"/>
  <c r="K39" i="66"/>
  <c r="N59" i="68"/>
  <c r="N63" i="68"/>
  <c r="I55" i="66"/>
  <c r="KJ464" i="40"/>
  <c r="K65" i="71"/>
  <c r="K69" i="71"/>
  <c r="J69" i="67"/>
  <c r="J55" i="66"/>
  <c r="J37" i="69"/>
  <c r="AK36" i="69" s="1"/>
  <c r="F59" i="67"/>
  <c r="L49" i="69"/>
  <c r="K47" i="66"/>
  <c r="K49" i="71"/>
  <c r="K57" i="71"/>
  <c r="J57" i="67"/>
  <c r="J45" i="67"/>
  <c r="AK44" i="67" s="1"/>
  <c r="K45" i="71"/>
  <c r="K67" i="71"/>
  <c r="J65" i="67"/>
  <c r="J39" i="67"/>
  <c r="AK38" i="67" s="1"/>
  <c r="J37" i="66"/>
  <c r="J41" i="69"/>
  <c r="J67" i="71"/>
  <c r="J35" i="71"/>
  <c r="N61" i="68"/>
  <c r="I49" i="67"/>
  <c r="I59" i="66"/>
  <c r="K49" i="66"/>
  <c r="I37" i="68"/>
  <c r="U69" i="68"/>
  <c r="U53" i="68"/>
  <c r="O45" i="66"/>
  <c r="W43" i="67"/>
  <c r="I39" i="69"/>
  <c r="V37" i="69"/>
  <c r="U43" i="68"/>
  <c r="K45" i="68"/>
  <c r="F35" i="68"/>
  <c r="I41" i="68"/>
  <c r="I39" i="68"/>
  <c r="I47" i="68"/>
  <c r="N61" i="71"/>
  <c r="U69" i="69"/>
  <c r="U51" i="69"/>
  <c r="M59" i="71"/>
  <c r="U67" i="69"/>
  <c r="U37" i="69"/>
  <c r="W53" i="71"/>
  <c r="L41" i="68"/>
  <c r="U45" i="68"/>
  <c r="F41" i="68"/>
  <c r="AK40" i="68" s="1"/>
  <c r="N39" i="44"/>
  <c r="M49" i="66"/>
  <c r="K37" i="68"/>
  <c r="F47" i="68"/>
  <c r="AK46" i="68" s="1"/>
  <c r="I35" i="67"/>
  <c r="O49" i="69"/>
  <c r="O55" i="69"/>
  <c r="F71" i="66"/>
  <c r="F53" i="66"/>
  <c r="F67" i="66"/>
  <c r="F57" i="66"/>
  <c r="F59" i="66"/>
  <c r="F43" i="66"/>
  <c r="JL460" i="40"/>
  <c r="JM460" i="40" s="1"/>
  <c r="JL571" i="40"/>
  <c r="JM571" i="40" s="1"/>
  <c r="M53" i="71"/>
  <c r="F61" i="66"/>
  <c r="JS559" i="40"/>
  <c r="R48" i="66"/>
  <c r="V49" i="66"/>
  <c r="Z33" i="69"/>
  <c r="R61" i="69"/>
  <c r="R51" i="69"/>
  <c r="R63" i="69"/>
  <c r="R71" i="69"/>
  <c r="R59" i="69"/>
  <c r="R67" i="69"/>
  <c r="R55" i="69"/>
  <c r="R65" i="69"/>
  <c r="R69" i="69"/>
  <c r="Q34" i="58"/>
  <c r="Q35" i="58" s="1"/>
  <c r="U35" i="58"/>
  <c r="JL359" i="40"/>
  <c r="JM359" i="40" s="1"/>
  <c r="KJ360" i="40"/>
  <c r="JT360" i="40"/>
  <c r="JX360" i="40" s="1"/>
  <c r="JS360" i="40"/>
  <c r="JU360" i="40"/>
  <c r="JV360" i="40" s="1"/>
  <c r="JW360" i="40" s="1"/>
  <c r="KK360" i="40"/>
  <c r="JS467" i="40"/>
  <c r="KJ467" i="40"/>
  <c r="KK467" i="40"/>
  <c r="KI467" i="40"/>
  <c r="N43" i="59"/>
  <c r="Y55" i="59" s="1"/>
  <c r="X43" i="59"/>
  <c r="S33" i="66"/>
  <c r="W39" i="66"/>
  <c r="W71" i="66"/>
  <c r="W41" i="66"/>
  <c r="W57" i="66"/>
  <c r="AN60" i="70"/>
  <c r="AE33" i="69"/>
  <c r="AM55" i="69" s="1"/>
  <c r="KO502" i="40"/>
  <c r="KS502" i="40" s="1"/>
  <c r="KO553" i="40"/>
  <c r="KS553" i="40" s="1"/>
  <c r="JT502" i="40"/>
  <c r="JX502" i="40" s="1"/>
  <c r="AN52" i="70"/>
  <c r="KJ502" i="40"/>
  <c r="AN68" i="70"/>
  <c r="JU502" i="40"/>
  <c r="KO537" i="40"/>
  <c r="KS537" i="40" s="1"/>
  <c r="KO557" i="40"/>
  <c r="KR557" i="40" s="1"/>
  <c r="KO545" i="40"/>
  <c r="AN44" i="70"/>
  <c r="AN56" i="70"/>
  <c r="KI502" i="40"/>
  <c r="AN64" i="70"/>
  <c r="KO574" i="40"/>
  <c r="KR574" i="40" s="1"/>
  <c r="JS502" i="40"/>
  <c r="AN48" i="70"/>
  <c r="KK502" i="40"/>
  <c r="AN7" i="70"/>
  <c r="BO7" i="70" s="1"/>
  <c r="AN66" i="70"/>
  <c r="KK555" i="40"/>
  <c r="JU555" i="40"/>
  <c r="JV555" i="40" s="1"/>
  <c r="JW555" i="40" s="1"/>
  <c r="KI555" i="40"/>
  <c r="KJ555" i="40"/>
  <c r="JT555" i="40"/>
  <c r="JX555" i="40" s="1"/>
  <c r="KK551" i="40"/>
  <c r="AN62" i="70"/>
  <c r="JT551" i="40"/>
  <c r="JX551" i="40" s="1"/>
  <c r="JS551" i="40"/>
  <c r="AS62" i="70"/>
  <c r="KO551" i="40"/>
  <c r="KR551" i="40" s="1"/>
  <c r="JU551" i="40"/>
  <c r="JV551" i="40" s="1"/>
  <c r="JW551" i="40" s="1"/>
  <c r="KI551" i="40"/>
  <c r="JT547" i="40"/>
  <c r="JX547" i="40" s="1"/>
  <c r="AN58" i="70"/>
  <c r="KK547" i="40"/>
  <c r="KI547" i="40"/>
  <c r="AS58" i="70"/>
  <c r="JS547" i="40"/>
  <c r="KJ547" i="40"/>
  <c r="AN54" i="70"/>
  <c r="KO543" i="40"/>
  <c r="KS543" i="40" s="1"/>
  <c r="KJ543" i="40"/>
  <c r="AS54" i="70"/>
  <c r="JU543" i="40"/>
  <c r="JV543" i="40" s="1"/>
  <c r="JW543" i="40" s="1"/>
  <c r="KK543" i="40"/>
  <c r="JT543" i="40"/>
  <c r="JX543" i="40" s="1"/>
  <c r="JS543" i="40"/>
  <c r="AS50" i="70"/>
  <c r="KI539" i="40"/>
  <c r="KJ539" i="40"/>
  <c r="KO539" i="40"/>
  <c r="KR539" i="40" s="1"/>
  <c r="KK539" i="40"/>
  <c r="JT539" i="40"/>
  <c r="JX539" i="40" s="1"/>
  <c r="JS539" i="40"/>
  <c r="KO535" i="40"/>
  <c r="KR535" i="40" s="1"/>
  <c r="JT535" i="40"/>
  <c r="JX535" i="40" s="1"/>
  <c r="KJ535" i="40"/>
  <c r="AN46" i="70"/>
  <c r="AE44" i="69"/>
  <c r="AM45" i="69" s="1"/>
  <c r="KI535" i="40"/>
  <c r="KK535" i="40"/>
  <c r="AS46" i="70"/>
  <c r="JS535" i="40"/>
  <c r="AS38" i="70"/>
  <c r="JU527" i="40"/>
  <c r="JV527" i="40" s="1"/>
  <c r="JW527" i="40" s="1"/>
  <c r="KJ527" i="40"/>
  <c r="AN38" i="70"/>
  <c r="KI527" i="40"/>
  <c r="JT527" i="40"/>
  <c r="JX527" i="40" s="1"/>
  <c r="JS527" i="40"/>
  <c r="AK7" i="70"/>
  <c r="JT455" i="40"/>
  <c r="JX455" i="40" s="1"/>
  <c r="JU455" i="40"/>
  <c r="JV455" i="40" s="1"/>
  <c r="JW455" i="40" s="1"/>
  <c r="KI455" i="40"/>
  <c r="AK66" i="70"/>
  <c r="JS455" i="40"/>
  <c r="KJ431" i="40"/>
  <c r="KI431" i="40"/>
  <c r="AK42" i="70"/>
  <c r="JS431" i="40"/>
  <c r="KK431" i="40"/>
  <c r="AC66" i="70"/>
  <c r="JT355" i="40"/>
  <c r="JX355" i="40" s="1"/>
  <c r="KK355" i="40"/>
  <c r="JU355" i="40"/>
  <c r="JV355" i="40" s="1"/>
  <c r="JW355" i="40" s="1"/>
  <c r="KJ355" i="40"/>
  <c r="AC62" i="70"/>
  <c r="JS351" i="40"/>
  <c r="KI351" i="40"/>
  <c r="JU351" i="40"/>
  <c r="JV351" i="40" s="1"/>
  <c r="JW351" i="40" s="1"/>
  <c r="JT351" i="40"/>
  <c r="JX351" i="40" s="1"/>
  <c r="KJ347" i="40"/>
  <c r="JU347" i="40"/>
  <c r="JV347" i="40" s="1"/>
  <c r="JW347" i="40" s="1"/>
  <c r="KI347" i="40"/>
  <c r="JT347" i="40"/>
  <c r="JX347" i="40" s="1"/>
  <c r="AC58" i="70"/>
  <c r="KK347" i="40"/>
  <c r="JS343" i="40"/>
  <c r="JU343" i="40"/>
  <c r="JV343" i="40" s="1"/>
  <c r="JW343" i="40" s="1"/>
  <c r="KK343" i="40"/>
  <c r="AC54" i="70"/>
  <c r="KI343" i="40"/>
  <c r="JT327" i="40"/>
  <c r="JX327" i="40" s="1"/>
  <c r="KI327" i="40"/>
  <c r="KJ327" i="40"/>
  <c r="AC38" i="70"/>
  <c r="KK327" i="40"/>
  <c r="JM319" i="40"/>
  <c r="AE34" i="67" s="1"/>
  <c r="JL255" i="40"/>
  <c r="JG655" i="40"/>
  <c r="JF655" i="40" s="1"/>
  <c r="JG631" i="40"/>
  <c r="JF631" i="40" s="1"/>
  <c r="JL219" i="40"/>
  <c r="JM219" i="40" s="1"/>
  <c r="JG619" i="40"/>
  <c r="JF619" i="40" s="1"/>
  <c r="AK16" i="70"/>
  <c r="KK418" i="40"/>
  <c r="JU418" i="40"/>
  <c r="JV418" i="40" s="1"/>
  <c r="JW418" i="40" s="1"/>
  <c r="KI418" i="40"/>
  <c r="JU414" i="40"/>
  <c r="JV414" i="40" s="1"/>
  <c r="JW414" i="40" s="1"/>
  <c r="KK414" i="40"/>
  <c r="KJ414" i="40"/>
  <c r="KI414" i="40"/>
  <c r="JS414" i="40"/>
  <c r="AP9" i="61"/>
  <c r="V9" i="61" s="1"/>
  <c r="AQ9" i="61"/>
  <c r="W9" i="61" s="1"/>
  <c r="M43" i="71"/>
  <c r="M39" i="71"/>
  <c r="M55" i="71"/>
  <c r="M51" i="71"/>
  <c r="M63" i="68"/>
  <c r="M65" i="68"/>
  <c r="M71" i="68"/>
  <c r="JT508" i="40"/>
  <c r="JX508" i="40" s="1"/>
  <c r="KI508" i="40"/>
  <c r="KO508" i="40"/>
  <c r="KR508" i="40" s="1"/>
  <c r="KK508" i="40"/>
  <c r="JU508" i="40"/>
  <c r="JV508" i="40" s="1"/>
  <c r="JW508" i="40" s="1"/>
  <c r="JS508" i="40"/>
  <c r="JL570" i="40"/>
  <c r="JM570" i="40" s="1"/>
  <c r="JU475" i="40"/>
  <c r="JV475" i="40" s="1"/>
  <c r="JW475" i="40" s="1"/>
  <c r="JS475" i="40"/>
  <c r="JT475" i="40"/>
  <c r="JX475" i="40" s="1"/>
  <c r="KJ475" i="40"/>
  <c r="U31" i="70"/>
  <c r="KK220" i="40"/>
  <c r="M51" i="68"/>
  <c r="M57" i="71"/>
  <c r="M47" i="71"/>
  <c r="N45" i="71"/>
  <c r="F35" i="66"/>
  <c r="KK463" i="40"/>
  <c r="I31" i="59"/>
  <c r="U49" i="67"/>
  <c r="U57" i="67"/>
  <c r="U65" i="67"/>
  <c r="U51" i="67"/>
  <c r="U59" i="67"/>
  <c r="U67" i="67"/>
  <c r="U53" i="67"/>
  <c r="U69" i="67"/>
  <c r="U55" i="67"/>
  <c r="U71" i="67"/>
  <c r="Q44" i="69"/>
  <c r="U45" i="69"/>
  <c r="JG663" i="40"/>
  <c r="JF663" i="40" s="1"/>
  <c r="N44" i="59"/>
  <c r="Y56" i="59" s="1"/>
  <c r="X44" i="59"/>
  <c r="AN42" i="70"/>
  <c r="KI531" i="40"/>
  <c r="KO531" i="40"/>
  <c r="JS531" i="40"/>
  <c r="JT531" i="40"/>
  <c r="JX531" i="40" s="1"/>
  <c r="JU531" i="40"/>
  <c r="JV531" i="40" s="1"/>
  <c r="JW531" i="40" s="1"/>
  <c r="KK531" i="40"/>
  <c r="K55" i="71"/>
  <c r="K61" i="71"/>
  <c r="K63" i="71"/>
  <c r="M49" i="68"/>
  <c r="M59" i="68"/>
  <c r="M67" i="71"/>
  <c r="M69" i="71"/>
  <c r="M49" i="71"/>
  <c r="M41" i="71"/>
  <c r="J51" i="67"/>
  <c r="J55" i="67"/>
  <c r="AK54" i="67" s="1"/>
  <c r="J63" i="67"/>
  <c r="J71" i="66"/>
  <c r="J63" i="69"/>
  <c r="J67" i="69"/>
  <c r="J41" i="71"/>
  <c r="F69" i="66"/>
  <c r="F65" i="66"/>
  <c r="KK455" i="40"/>
  <c r="JS355" i="40"/>
  <c r="KI360" i="40"/>
  <c r="JU467" i="40"/>
  <c r="JV467" i="40" s="1"/>
  <c r="JW467" i="40" s="1"/>
  <c r="JS347" i="40"/>
  <c r="JT343" i="40"/>
  <c r="JX343" i="40" s="1"/>
  <c r="KI543" i="40"/>
  <c r="U63" i="67"/>
  <c r="AS7" i="70"/>
  <c r="KJ531" i="40"/>
  <c r="KO549" i="40"/>
  <c r="KR549" i="40" s="1"/>
  <c r="AC7" i="70"/>
  <c r="AS66" i="70"/>
  <c r="AR9" i="61"/>
  <c r="X9" i="61" s="1"/>
  <c r="K71" i="69"/>
  <c r="K41" i="69"/>
  <c r="L57" i="68"/>
  <c r="L53" i="68"/>
  <c r="M71" i="66"/>
  <c r="M63" i="66"/>
  <c r="L39" i="68"/>
  <c r="F41" i="66"/>
  <c r="Z42" i="67"/>
  <c r="R33" i="67"/>
  <c r="R69" i="67" s="1"/>
  <c r="V55" i="67"/>
  <c r="V71" i="67"/>
  <c r="V61" i="67"/>
  <c r="V63" i="67"/>
  <c r="V69" i="67"/>
  <c r="U55" i="66"/>
  <c r="U63" i="66"/>
  <c r="JT463" i="40"/>
  <c r="JX463" i="40" s="1"/>
  <c r="KI463" i="40"/>
  <c r="KJ463" i="40"/>
  <c r="M57" i="68"/>
  <c r="M55" i="68"/>
  <c r="M45" i="71"/>
  <c r="M35" i="71"/>
  <c r="M63" i="71"/>
  <c r="M37" i="71"/>
  <c r="F51" i="66"/>
  <c r="AK50" i="66" s="1"/>
  <c r="F63" i="66"/>
  <c r="J49" i="69"/>
  <c r="J47" i="69"/>
  <c r="J69" i="69"/>
  <c r="J65" i="69"/>
  <c r="J71" i="69"/>
  <c r="J43" i="69"/>
  <c r="J45" i="69"/>
  <c r="J55" i="69"/>
  <c r="J53" i="69"/>
  <c r="J57" i="69"/>
  <c r="J39" i="66"/>
  <c r="AK38" i="66" s="1"/>
  <c r="J43" i="66"/>
  <c r="J63" i="66"/>
  <c r="J59" i="66"/>
  <c r="J43" i="67"/>
  <c r="AK42" i="67" s="1"/>
  <c r="J41" i="67"/>
  <c r="J53" i="67"/>
  <c r="J59" i="67"/>
  <c r="J71" i="67"/>
  <c r="J61" i="71"/>
  <c r="J51" i="71"/>
  <c r="J49" i="71"/>
  <c r="J39" i="71"/>
  <c r="J71" i="71"/>
  <c r="J43" i="71"/>
  <c r="J55" i="71"/>
  <c r="J53" i="71"/>
  <c r="J65" i="71"/>
  <c r="K43" i="71"/>
  <c r="K71" i="71"/>
  <c r="K35" i="71"/>
  <c r="K37" i="71"/>
  <c r="K47" i="71"/>
  <c r="N45" i="68"/>
  <c r="N67" i="68"/>
  <c r="N71" i="68"/>
  <c r="N49" i="68"/>
  <c r="N65" i="68"/>
  <c r="N55" i="68"/>
  <c r="N57" i="68"/>
  <c r="L43" i="71"/>
  <c r="L39" i="71"/>
  <c r="N41" i="67"/>
  <c r="N67" i="67"/>
  <c r="N53" i="67"/>
  <c r="M45" i="66"/>
  <c r="N51" i="69"/>
  <c r="N71" i="69"/>
  <c r="N63" i="69"/>
  <c r="I37" i="67"/>
  <c r="I65" i="67"/>
  <c r="K51" i="66"/>
  <c r="K61" i="66"/>
  <c r="M65" i="67"/>
  <c r="M69" i="67"/>
  <c r="F47" i="66"/>
  <c r="I69" i="69"/>
  <c r="I61" i="69"/>
  <c r="O22" i="44"/>
  <c r="P22" i="44"/>
  <c r="KJ455" i="40"/>
  <c r="KI355" i="40"/>
  <c r="JT418" i="40"/>
  <c r="JX418" i="40" s="1"/>
  <c r="JU463" i="40"/>
  <c r="JV463" i="40" s="1"/>
  <c r="JW463" i="40" s="1"/>
  <c r="KI475" i="40"/>
  <c r="AN40" i="70"/>
  <c r="JT431" i="40"/>
  <c r="JX431" i="40" s="1"/>
  <c r="AN50" i="70"/>
  <c r="KJ351" i="40"/>
  <c r="U61" i="67"/>
  <c r="AN29" i="70"/>
  <c r="KO529" i="40"/>
  <c r="KS529" i="40" s="1"/>
  <c r="KO533" i="40"/>
  <c r="KS533" i="40" s="1"/>
  <c r="W55" i="66"/>
  <c r="KO527" i="40"/>
  <c r="KS527" i="40" s="1"/>
  <c r="KO514" i="40"/>
  <c r="KR514" i="40" s="1"/>
  <c r="AT16" i="69" s="1"/>
  <c r="KO555" i="40"/>
  <c r="KS555" i="40" s="1"/>
  <c r="JG651" i="40"/>
  <c r="JF651" i="40" s="1"/>
  <c r="JM307" i="40"/>
  <c r="JX307" i="40"/>
  <c r="AK25" i="70"/>
  <c r="AK18" i="70"/>
  <c r="M37" i="68"/>
  <c r="M37" i="66"/>
  <c r="AK36" i="66" s="1"/>
  <c r="Q33" i="69"/>
  <c r="Q57" i="69" s="1"/>
  <c r="U55" i="69"/>
  <c r="U63" i="69"/>
  <c r="U71" i="69"/>
  <c r="U57" i="69"/>
  <c r="U65" i="69"/>
  <c r="AE37" i="58"/>
  <c r="AI37" i="58" s="1"/>
  <c r="AN37" i="58"/>
  <c r="W37" i="71"/>
  <c r="W61" i="71"/>
  <c r="N39" i="68"/>
  <c r="U61" i="69"/>
  <c r="U43" i="69"/>
  <c r="U39" i="67"/>
  <c r="U49" i="69"/>
  <c r="Q33" i="68"/>
  <c r="Q65" i="68" s="1"/>
  <c r="U55" i="68"/>
  <c r="U63" i="68"/>
  <c r="U71" i="68"/>
  <c r="U49" i="68"/>
  <c r="U57" i="68"/>
  <c r="U65" i="68"/>
  <c r="JU372" i="40"/>
  <c r="JV372" i="40" s="1"/>
  <c r="JW372" i="40" s="1"/>
  <c r="KK372" i="40"/>
  <c r="JT372" i="40"/>
  <c r="JX372" i="40" s="1"/>
  <c r="KI372" i="40"/>
  <c r="JT464" i="40"/>
  <c r="JX464" i="40" s="1"/>
  <c r="KI464" i="40"/>
  <c r="JS464" i="40"/>
  <c r="V41" i="71"/>
  <c r="V65" i="71"/>
  <c r="U35" i="68"/>
  <c r="U47" i="69"/>
  <c r="O30" i="44"/>
  <c r="N34" i="44"/>
  <c r="O36" i="44"/>
  <c r="M49" i="69"/>
  <c r="M47" i="69"/>
  <c r="N43" i="68"/>
  <c r="F43" i="68"/>
  <c r="F39" i="66"/>
  <c r="O63" i="68"/>
  <c r="O65" i="68"/>
  <c r="O51" i="68"/>
  <c r="O71" i="68"/>
  <c r="O59" i="68"/>
  <c r="M69" i="69"/>
  <c r="M57" i="69"/>
  <c r="M61" i="69"/>
  <c r="K35" i="67"/>
  <c r="K59" i="67"/>
  <c r="K61" i="67"/>
  <c r="K57" i="67"/>
  <c r="I59" i="71"/>
  <c r="I43" i="71"/>
  <c r="I41" i="71"/>
  <c r="I35" i="71"/>
  <c r="I51" i="71"/>
  <c r="L41" i="67"/>
  <c r="L47" i="69"/>
  <c r="L35" i="68"/>
  <c r="N37" i="68"/>
  <c r="O53" i="68"/>
  <c r="O55" i="68"/>
  <c r="O69" i="68"/>
  <c r="L71" i="67"/>
  <c r="M53" i="69"/>
  <c r="M71" i="69"/>
  <c r="K41" i="67"/>
  <c r="K65" i="67"/>
  <c r="K53" i="67"/>
  <c r="K69" i="67"/>
  <c r="M41" i="69"/>
  <c r="M43" i="69"/>
  <c r="O45" i="68"/>
  <c r="K37" i="67"/>
  <c r="I55" i="71"/>
  <c r="I49" i="71"/>
  <c r="I45" i="71"/>
  <c r="I71" i="71"/>
  <c r="L35" i="67"/>
  <c r="M59" i="69"/>
  <c r="M55" i="69"/>
  <c r="M63" i="69"/>
  <c r="N63" i="66"/>
  <c r="K51" i="67"/>
  <c r="K71" i="67"/>
  <c r="I69" i="71"/>
  <c r="I37" i="71"/>
  <c r="I61" i="71"/>
  <c r="I67" i="71"/>
  <c r="N35" i="66"/>
  <c r="K47" i="67"/>
  <c r="N41" i="68"/>
  <c r="L39" i="69"/>
  <c r="M45" i="69"/>
  <c r="L41" i="66"/>
  <c r="K37" i="66"/>
  <c r="M39" i="69"/>
  <c r="F43" i="67"/>
  <c r="I43" i="69"/>
  <c r="I39" i="66"/>
  <c r="U39" i="68"/>
  <c r="I57" i="69"/>
  <c r="I59" i="69"/>
  <c r="I63" i="67"/>
  <c r="I53" i="67"/>
  <c r="I57" i="67"/>
  <c r="I63" i="66"/>
  <c r="I53" i="66"/>
  <c r="F57" i="67"/>
  <c r="F51" i="67"/>
  <c r="F55" i="67"/>
  <c r="F41" i="67"/>
  <c r="I45" i="67"/>
  <c r="I49" i="66"/>
  <c r="L43" i="66"/>
  <c r="N35" i="67"/>
  <c r="K41" i="66"/>
  <c r="AF48" i="69"/>
  <c r="W67" i="67"/>
  <c r="W35" i="67"/>
  <c r="AN53" i="69"/>
  <c r="V69" i="68"/>
  <c r="N71" i="71"/>
  <c r="L55" i="69"/>
  <c r="M49" i="67"/>
  <c r="M67" i="67"/>
  <c r="K67" i="66"/>
  <c r="L49" i="68"/>
  <c r="L51" i="68"/>
  <c r="L59" i="68"/>
  <c r="N61" i="69"/>
  <c r="N53" i="69"/>
  <c r="N59" i="69"/>
  <c r="N71" i="67"/>
  <c r="N57" i="67"/>
  <c r="L47" i="68"/>
  <c r="N47" i="69"/>
  <c r="N41" i="69"/>
  <c r="L41" i="69"/>
  <c r="I63" i="69"/>
  <c r="O61" i="69"/>
  <c r="O59" i="69"/>
  <c r="N65" i="71"/>
  <c r="N67" i="71"/>
  <c r="L71" i="69"/>
  <c r="L61" i="69"/>
  <c r="L65" i="69"/>
  <c r="M71" i="67"/>
  <c r="M55" i="67"/>
  <c r="M51" i="67"/>
  <c r="K59" i="66"/>
  <c r="K69" i="66"/>
  <c r="K55" i="66"/>
  <c r="L65" i="68"/>
  <c r="L55" i="68"/>
  <c r="L67" i="68"/>
  <c r="N57" i="69"/>
  <c r="N65" i="69"/>
  <c r="N67" i="69"/>
  <c r="N63" i="67"/>
  <c r="N69" i="67"/>
  <c r="N51" i="67"/>
  <c r="M43" i="67"/>
  <c r="N39" i="69"/>
  <c r="N47" i="67"/>
  <c r="N35" i="69"/>
  <c r="I71" i="69"/>
  <c r="I55" i="69"/>
  <c r="I71" i="67"/>
  <c r="I51" i="67"/>
  <c r="I55" i="67"/>
  <c r="I57" i="66"/>
  <c r="I51" i="66"/>
  <c r="I61" i="66"/>
  <c r="F63" i="67"/>
  <c r="F65" i="67"/>
  <c r="F67" i="67"/>
  <c r="I43" i="67"/>
  <c r="L43" i="68"/>
  <c r="N45" i="67"/>
  <c r="K45" i="66"/>
  <c r="K43" i="66"/>
  <c r="I35" i="66"/>
  <c r="W59" i="67"/>
  <c r="AM65" i="69"/>
  <c r="O65" i="69"/>
  <c r="N63" i="71"/>
  <c r="L53" i="69"/>
  <c r="L57" i="69"/>
  <c r="M53" i="67"/>
  <c r="K57" i="66"/>
  <c r="K53" i="66"/>
  <c r="N55" i="67"/>
  <c r="O71" i="69"/>
  <c r="N51" i="71"/>
  <c r="N69" i="71"/>
  <c r="L63" i="69"/>
  <c r="L59" i="69"/>
  <c r="L67" i="69"/>
  <c r="M57" i="67"/>
  <c r="M63" i="67"/>
  <c r="K65" i="66"/>
  <c r="K63" i="66"/>
  <c r="L71" i="68"/>
  <c r="L61" i="68"/>
  <c r="L63" i="68"/>
  <c r="N69" i="69"/>
  <c r="N49" i="67"/>
  <c r="N65" i="67"/>
  <c r="N59" i="67"/>
  <c r="N39" i="67"/>
  <c r="N37" i="67"/>
  <c r="I65" i="69"/>
  <c r="I53" i="69"/>
  <c r="I51" i="69"/>
  <c r="I59" i="67"/>
  <c r="I61" i="67"/>
  <c r="I67" i="67"/>
  <c r="I69" i="66"/>
  <c r="I65" i="66"/>
  <c r="I71" i="66"/>
  <c r="F61" i="67"/>
  <c r="F49" i="67"/>
  <c r="F71" i="67"/>
  <c r="L45" i="69"/>
  <c r="I49" i="69"/>
  <c r="I43" i="66"/>
  <c r="N38" i="44"/>
  <c r="O43" i="68"/>
  <c r="K43" i="67"/>
  <c r="O39" i="68"/>
  <c r="I47" i="67"/>
  <c r="F47" i="67"/>
  <c r="F39" i="68"/>
  <c r="AK38" i="68" s="1"/>
  <c r="O35" i="66"/>
  <c r="W65" i="66"/>
  <c r="W49" i="66"/>
  <c r="W63" i="66"/>
  <c r="W47" i="66"/>
  <c r="V65" i="66"/>
  <c r="M61" i="66"/>
  <c r="M59" i="66"/>
  <c r="M57" i="66"/>
  <c r="M55" i="66"/>
  <c r="M69" i="66"/>
  <c r="M51" i="66"/>
  <c r="M67" i="66"/>
  <c r="M53" i="66"/>
  <c r="M43" i="68"/>
  <c r="M35" i="66"/>
  <c r="M47" i="67"/>
  <c r="M39" i="67"/>
  <c r="M39" i="66"/>
  <c r="M65" i="66"/>
  <c r="AK56" i="67"/>
  <c r="M41" i="66"/>
  <c r="O63" i="66"/>
  <c r="O67" i="66"/>
  <c r="V71" i="66"/>
  <c r="V63" i="66"/>
  <c r="J53" i="66"/>
  <c r="J57" i="66"/>
  <c r="J67" i="66"/>
  <c r="J41" i="66"/>
  <c r="J35" i="66"/>
  <c r="O65" i="66"/>
  <c r="O71" i="66"/>
  <c r="O53" i="66"/>
  <c r="N39" i="66"/>
  <c r="O47" i="66"/>
  <c r="O43" i="66"/>
  <c r="W69" i="66"/>
  <c r="W61" i="66"/>
  <c r="W53" i="66"/>
  <c r="W45" i="66"/>
  <c r="W37" i="66"/>
  <c r="V69" i="66"/>
  <c r="V61" i="66"/>
  <c r="V53" i="66"/>
  <c r="O55" i="66"/>
  <c r="V55" i="66"/>
  <c r="J61" i="66"/>
  <c r="J51" i="66"/>
  <c r="J65" i="66"/>
  <c r="J47" i="66"/>
  <c r="O69" i="66"/>
  <c r="O39" i="66"/>
  <c r="W67" i="66"/>
  <c r="W59" i="66"/>
  <c r="W51" i="66"/>
  <c r="W43" i="66"/>
  <c r="W35" i="66"/>
  <c r="V67" i="66"/>
  <c r="V59" i="66"/>
  <c r="V51" i="66"/>
  <c r="V47" i="67"/>
  <c r="U37" i="67"/>
  <c r="V37" i="67"/>
  <c r="V39" i="66"/>
  <c r="U35" i="67"/>
  <c r="V41" i="66"/>
  <c r="K47" i="68"/>
  <c r="V45" i="68"/>
  <c r="N42" i="44"/>
  <c r="O44" i="44"/>
  <c r="O46" i="44"/>
  <c r="O50" i="44"/>
  <c r="N52" i="44"/>
  <c r="I47" i="66"/>
  <c r="M37" i="67"/>
  <c r="I45" i="66"/>
  <c r="I45" i="69"/>
  <c r="F37" i="68"/>
  <c r="AB10" i="61"/>
  <c r="T10" i="61" s="1"/>
  <c r="N35" i="68"/>
  <c r="AK60" i="69"/>
  <c r="O37" i="68"/>
  <c r="O35" i="68"/>
  <c r="N49" i="69"/>
  <c r="I39" i="67"/>
  <c r="F37" i="67"/>
  <c r="I35" i="69"/>
  <c r="O54" i="44"/>
  <c r="O31" i="44"/>
  <c r="O33" i="44"/>
  <c r="N35" i="44"/>
  <c r="O37" i="44"/>
  <c r="N45" i="44"/>
  <c r="O47" i="44"/>
  <c r="O51" i="44"/>
  <c r="M37" i="69"/>
  <c r="AK40" i="58"/>
  <c r="K41" i="58"/>
  <c r="AK48" i="58"/>
  <c r="O49" i="58"/>
  <c r="K45" i="69"/>
  <c r="K39" i="69"/>
  <c r="K63" i="69"/>
  <c r="K55" i="69"/>
  <c r="K67" i="69"/>
  <c r="K51" i="69"/>
  <c r="K53" i="69"/>
  <c r="K69" i="69"/>
  <c r="K37" i="69"/>
  <c r="K49" i="69"/>
  <c r="K61" i="69"/>
  <c r="K65" i="69"/>
  <c r="K35" i="69"/>
  <c r="L45" i="71"/>
  <c r="L67" i="71"/>
  <c r="L35" i="71"/>
  <c r="L41" i="71"/>
  <c r="L55" i="71"/>
  <c r="L59" i="71"/>
  <c r="L47" i="71"/>
  <c r="L65" i="71"/>
  <c r="L53" i="71"/>
  <c r="L63" i="71"/>
  <c r="L69" i="71"/>
  <c r="L37" i="71"/>
  <c r="L71" i="71"/>
  <c r="L61" i="71"/>
  <c r="L35" i="66"/>
  <c r="AK62" i="67"/>
  <c r="AK66" i="67"/>
  <c r="L47" i="67"/>
  <c r="L61" i="67"/>
  <c r="L67" i="67"/>
  <c r="L49" i="67"/>
  <c r="L45" i="67"/>
  <c r="L53" i="67"/>
  <c r="L69" i="67"/>
  <c r="L51" i="67"/>
  <c r="L37" i="67"/>
  <c r="L57" i="67"/>
  <c r="L63" i="67"/>
  <c r="L65" i="67"/>
  <c r="AK48" i="68"/>
  <c r="AK66" i="68"/>
  <c r="AK56" i="68"/>
  <c r="AK60" i="68"/>
  <c r="AK64" i="68"/>
  <c r="K43" i="69"/>
  <c r="N45" i="66"/>
  <c r="N59" i="66"/>
  <c r="N69" i="66"/>
  <c r="N53" i="66"/>
  <c r="N37" i="66"/>
  <c r="N47" i="66"/>
  <c r="N67" i="66"/>
  <c r="N57" i="66"/>
  <c r="N65" i="66"/>
  <c r="N41" i="66"/>
  <c r="N61" i="66"/>
  <c r="N51" i="66"/>
  <c r="F63" i="69"/>
  <c r="F69" i="69"/>
  <c r="AK58" i="69"/>
  <c r="F61" i="69"/>
  <c r="F59" i="69"/>
  <c r="F41" i="69"/>
  <c r="AK50" i="69"/>
  <c r="F55" i="69"/>
  <c r="AK54" i="69" s="1"/>
  <c r="O38" i="44"/>
  <c r="AN69" i="69"/>
  <c r="Q34" i="69"/>
  <c r="Y34" i="69" s="1"/>
  <c r="U35" i="69"/>
  <c r="AM49" i="69"/>
  <c r="AN49" i="69"/>
  <c r="AL49" i="69"/>
  <c r="AE53" i="69"/>
  <c r="AI53" i="69" s="1"/>
  <c r="AE51" i="69"/>
  <c r="AI51" i="69" s="1"/>
  <c r="AE69" i="69"/>
  <c r="AI69" i="69" s="1"/>
  <c r="AE71" i="69"/>
  <c r="AI71" i="69" s="1"/>
  <c r="AE65" i="69"/>
  <c r="AI65" i="69" s="1"/>
  <c r="AN55" i="69"/>
  <c r="AM57" i="69"/>
  <c r="AN63" i="69"/>
  <c r="AL53" i="69"/>
  <c r="AL67" i="69"/>
  <c r="AL55" i="69"/>
  <c r="AN67" i="69"/>
  <c r="AM59" i="69"/>
  <c r="AL69" i="69"/>
  <c r="AE61" i="69"/>
  <c r="AI61" i="69" s="1"/>
  <c r="AE59" i="69"/>
  <c r="AI59" i="69" s="1"/>
  <c r="AL59" i="69"/>
  <c r="AN71" i="69"/>
  <c r="AM51" i="69"/>
  <c r="AL65" i="69"/>
  <c r="AN57" i="69"/>
  <c r="AN61" i="69"/>
  <c r="AL57" i="69"/>
  <c r="AL71" i="69"/>
  <c r="AE55" i="69"/>
  <c r="AI55" i="69" s="1"/>
  <c r="AM67" i="69"/>
  <c r="AM69" i="69"/>
  <c r="AN59" i="69"/>
  <c r="AL61" i="69"/>
  <c r="AM61" i="69"/>
  <c r="AN65" i="69"/>
  <c r="AM53" i="69"/>
  <c r="AM71" i="69"/>
  <c r="JS304" i="40"/>
  <c r="KI304" i="40"/>
  <c r="KL304" i="40" s="1"/>
  <c r="AT13" i="67" s="1"/>
  <c r="JU304" i="40"/>
  <c r="JV304" i="40" s="1"/>
  <c r="JW304" i="40" s="1"/>
  <c r="R36" i="58"/>
  <c r="R37" i="58" s="1"/>
  <c r="AM37" i="58"/>
  <c r="AE35" i="58"/>
  <c r="AI35" i="58" s="1"/>
  <c r="AL35" i="58"/>
  <c r="JL371" i="40"/>
  <c r="JM371" i="40" s="1"/>
  <c r="AC39" i="70"/>
  <c r="KI328" i="40"/>
  <c r="AK60" i="66"/>
  <c r="AK64" i="66"/>
  <c r="L49" i="66"/>
  <c r="L51" i="66"/>
  <c r="L57" i="66"/>
  <c r="L53" i="66"/>
  <c r="L39" i="66"/>
  <c r="L63" i="66"/>
  <c r="L67" i="66"/>
  <c r="L65" i="66"/>
  <c r="L37" i="66"/>
  <c r="L71" i="66"/>
  <c r="L61" i="66"/>
  <c r="L69" i="66"/>
  <c r="L47" i="66"/>
  <c r="N49" i="71"/>
  <c r="N53" i="71"/>
  <c r="O47" i="69"/>
  <c r="O41" i="69"/>
  <c r="O35" i="69"/>
  <c r="O67" i="71"/>
  <c r="O39" i="71"/>
  <c r="O45" i="71"/>
  <c r="O65" i="71"/>
  <c r="O53" i="71"/>
  <c r="O63" i="71"/>
  <c r="O49" i="71"/>
  <c r="O59" i="71"/>
  <c r="O51" i="71"/>
  <c r="O43" i="71"/>
  <c r="O71" i="71"/>
  <c r="O37" i="71"/>
  <c r="O41" i="71"/>
  <c r="O57" i="71"/>
  <c r="O55" i="71"/>
  <c r="O69" i="69"/>
  <c r="O67" i="69"/>
  <c r="O63" i="69"/>
  <c r="N39" i="71"/>
  <c r="N47" i="71"/>
  <c r="N37" i="71"/>
  <c r="N41" i="71"/>
  <c r="L51" i="71"/>
  <c r="L59" i="66"/>
  <c r="K57" i="69"/>
  <c r="O61" i="71"/>
  <c r="K47" i="69"/>
  <c r="L43" i="67"/>
  <c r="AK70" i="66"/>
  <c r="AK52" i="68"/>
  <c r="JU305" i="40"/>
  <c r="JV305" i="40" s="1"/>
  <c r="JW305" i="40" s="1"/>
  <c r="AL63" i="69"/>
  <c r="AL51" i="69"/>
  <c r="AE67" i="69"/>
  <c r="AI67" i="69" s="1"/>
  <c r="R38" i="67"/>
  <c r="R39" i="67" s="1"/>
  <c r="V39" i="67"/>
  <c r="AE63" i="69"/>
  <c r="AI63" i="69" s="1"/>
  <c r="AA42" i="68"/>
  <c r="S43" i="68"/>
  <c r="R36" i="68"/>
  <c r="Z36" i="68" s="1"/>
  <c r="V37" i="68"/>
  <c r="AE57" i="69"/>
  <c r="AI57" i="69" s="1"/>
  <c r="R44" i="66"/>
  <c r="R45" i="66" s="1"/>
  <c r="V45" i="66"/>
  <c r="JS472" i="40"/>
  <c r="KJ472" i="40"/>
  <c r="JU472" i="40"/>
  <c r="JV472" i="40" s="1"/>
  <c r="JW472" i="40" s="1"/>
  <c r="KK472" i="40"/>
  <c r="JL306" i="40"/>
  <c r="JM306" i="40" s="1"/>
  <c r="JT305" i="40"/>
  <c r="JX305" i="40" s="1"/>
  <c r="JS305" i="40"/>
  <c r="KI305" i="40"/>
  <c r="KL305" i="40" s="1"/>
  <c r="AU13" i="67" s="1"/>
  <c r="KK305" i="40"/>
  <c r="KI303" i="40"/>
  <c r="KJ303" i="40"/>
  <c r="JU303" i="40"/>
  <c r="JV303" i="40" s="1"/>
  <c r="JW303" i="40" s="1"/>
  <c r="KK303" i="40"/>
  <c r="JT303" i="40"/>
  <c r="JX303" i="40" s="1"/>
  <c r="JL367" i="40"/>
  <c r="JM367" i="40" s="1"/>
  <c r="JL370" i="40"/>
  <c r="JM370" i="40" s="1"/>
  <c r="JL275" i="40"/>
  <c r="JM275" i="40" s="1"/>
  <c r="JG675" i="40"/>
  <c r="JF675" i="40" s="1"/>
  <c r="O57" i="69"/>
  <c r="O53" i="69"/>
  <c r="O51" i="69"/>
  <c r="N35" i="71"/>
  <c r="N59" i="71"/>
  <c r="N43" i="71"/>
  <c r="N55" i="71"/>
  <c r="L57" i="71"/>
  <c r="L55" i="66"/>
  <c r="K59" i="69"/>
  <c r="O35" i="71"/>
  <c r="L45" i="66"/>
  <c r="O43" i="69"/>
  <c r="AK48" i="67"/>
  <c r="AN51" i="69"/>
  <c r="AM63" i="69"/>
  <c r="AA34" i="68"/>
  <c r="S35" i="68"/>
  <c r="V45" i="67"/>
  <c r="JG670" i="40"/>
  <c r="JF670" i="40" s="1"/>
  <c r="AM35" i="58"/>
  <c r="W43" i="58"/>
  <c r="AE57" i="66"/>
  <c r="AI57" i="66" s="1"/>
  <c r="AE61" i="66"/>
  <c r="AI61" i="66" s="1"/>
  <c r="AM65" i="66"/>
  <c r="AM59" i="66"/>
  <c r="AN67" i="66"/>
  <c r="AN51" i="66"/>
  <c r="AN69" i="66"/>
  <c r="AM67" i="66"/>
  <c r="AE67" i="66"/>
  <c r="AI67" i="66" s="1"/>
  <c r="AE59" i="66"/>
  <c r="AI59" i="66" s="1"/>
  <c r="AE55" i="66"/>
  <c r="AI55" i="66" s="1"/>
  <c r="AM61" i="66"/>
  <c r="AN55" i="66"/>
  <c r="AN53" i="66"/>
  <c r="AN59" i="66"/>
  <c r="AN71" i="66"/>
  <c r="AM69" i="66"/>
  <c r="AM57" i="66"/>
  <c r="AM63" i="66"/>
  <c r="AM51" i="66"/>
  <c r="AM71" i="66"/>
  <c r="AM53" i="66"/>
  <c r="AN63" i="66"/>
  <c r="AN57" i="66"/>
  <c r="AL59" i="66"/>
  <c r="AM55" i="66"/>
  <c r="AN65" i="66"/>
  <c r="AL51" i="66"/>
  <c r="AN61" i="66"/>
  <c r="KO565" i="40"/>
  <c r="KJ565" i="40"/>
  <c r="JU565" i="40"/>
  <c r="JV565" i="40" s="1"/>
  <c r="JW565" i="40" s="1"/>
  <c r="JS565" i="40"/>
  <c r="KI320" i="40"/>
  <c r="JS320" i="40"/>
  <c r="AC31" i="70"/>
  <c r="JU320" i="40"/>
  <c r="JV320" i="40" s="1"/>
  <c r="JW320" i="40" s="1"/>
  <c r="KK320" i="40"/>
  <c r="JL512" i="40"/>
  <c r="JM512" i="40" s="1"/>
  <c r="AS12" i="70" s="1"/>
  <c r="JG612" i="40"/>
  <c r="JF612" i="40" s="1"/>
  <c r="JL411" i="40"/>
  <c r="JM411" i="40" s="1"/>
  <c r="JG611" i="40"/>
  <c r="JF611" i="40" s="1"/>
  <c r="AK48" i="71"/>
  <c r="AK34" i="71"/>
  <c r="AK70" i="67"/>
  <c r="AK64" i="67"/>
  <c r="AK68" i="67"/>
  <c r="AK60" i="67"/>
  <c r="AK62" i="68"/>
  <c r="F39" i="69"/>
  <c r="AK38" i="69" s="1"/>
  <c r="F49" i="69"/>
  <c r="F51" i="69"/>
  <c r="AK66" i="69"/>
  <c r="AK56" i="69"/>
  <c r="AK62" i="69"/>
  <c r="F71" i="69"/>
  <c r="F47" i="69"/>
  <c r="F45" i="69"/>
  <c r="AK44" i="69" s="1"/>
  <c r="F57" i="69"/>
  <c r="AK52" i="69"/>
  <c r="F53" i="69"/>
  <c r="F65" i="69"/>
  <c r="F43" i="69"/>
  <c r="F35" i="69"/>
  <c r="KK565" i="40"/>
  <c r="KK202" i="40"/>
  <c r="S33" i="67"/>
  <c r="S43" i="67" s="1"/>
  <c r="W37" i="67"/>
  <c r="W45" i="67"/>
  <c r="W53" i="67"/>
  <c r="W61" i="67"/>
  <c r="W69" i="67"/>
  <c r="W39" i="67"/>
  <c r="W47" i="67"/>
  <c r="W55" i="67"/>
  <c r="W63" i="67"/>
  <c r="W71" i="67"/>
  <c r="W41" i="67"/>
  <c r="W49" i="67"/>
  <c r="W57" i="67"/>
  <c r="W65" i="67"/>
  <c r="W69" i="71"/>
  <c r="JL560" i="40"/>
  <c r="JM560" i="40" s="1"/>
  <c r="JL563" i="40"/>
  <c r="JM563" i="40" s="1"/>
  <c r="JG671" i="40"/>
  <c r="JF671" i="40" s="1"/>
  <c r="I28" i="59"/>
  <c r="N41" i="59"/>
  <c r="Y53" i="59" s="1"/>
  <c r="X41" i="59"/>
  <c r="S71" i="66"/>
  <c r="S51" i="66"/>
  <c r="S57" i="66"/>
  <c r="S39" i="66"/>
  <c r="S35" i="66"/>
  <c r="KO257" i="40"/>
  <c r="KR257" i="40" s="1"/>
  <c r="KJ202" i="40"/>
  <c r="P11" i="70"/>
  <c r="BF11" i="70" s="1"/>
  <c r="P13" i="70"/>
  <c r="BF13" i="70" s="1"/>
  <c r="JU202" i="40"/>
  <c r="JV202" i="40" s="1"/>
  <c r="JW202" i="40" s="1"/>
  <c r="JS202" i="40"/>
  <c r="P68" i="70"/>
  <c r="P26" i="70"/>
  <c r="KI202" i="40"/>
  <c r="JS520" i="40"/>
  <c r="KO520" i="40"/>
  <c r="KS520" i="40" s="1"/>
  <c r="JT520" i="40"/>
  <c r="JX520" i="40" s="1"/>
  <c r="JU520" i="40"/>
  <c r="JV520" i="40" s="1"/>
  <c r="JW520" i="40" s="1"/>
  <c r="KJ520" i="40"/>
  <c r="AN31" i="70"/>
  <c r="AS31" i="70"/>
  <c r="KK520" i="40"/>
  <c r="KJ328" i="40"/>
  <c r="JU328" i="40"/>
  <c r="JV328" i="40" s="1"/>
  <c r="JW328" i="40" s="1"/>
  <c r="KK328" i="40"/>
  <c r="JT328" i="40"/>
  <c r="JX328" i="40" s="1"/>
  <c r="JS328" i="40"/>
  <c r="KO220" i="40"/>
  <c r="KR220" i="40" s="1"/>
  <c r="JT220" i="40"/>
  <c r="JX220" i="40" s="1"/>
  <c r="KJ220" i="40"/>
  <c r="JU220" i="40"/>
  <c r="JV220" i="40" s="1"/>
  <c r="JW220" i="40" s="1"/>
  <c r="KI220" i="40"/>
  <c r="P31" i="70"/>
  <c r="JS220" i="40"/>
  <c r="JL509" i="40"/>
  <c r="JM509" i="40" s="1"/>
  <c r="JG609" i="40"/>
  <c r="JF609" i="40" s="1"/>
  <c r="AK34" i="66"/>
  <c r="AK62" i="66"/>
  <c r="AK54" i="66"/>
  <c r="KI520" i="40"/>
  <c r="JT202" i="40"/>
  <c r="JX202" i="40" s="1"/>
  <c r="AA42" i="67"/>
  <c r="KO202" i="40"/>
  <c r="KR202" i="40" s="1"/>
  <c r="KO211" i="40"/>
  <c r="KR211" i="40" s="1"/>
  <c r="R48" i="69"/>
  <c r="Z48" i="69" s="1"/>
  <c r="Z49" i="69" s="1"/>
  <c r="V49" i="69"/>
  <c r="JT262" i="40"/>
  <c r="JX262" i="40" s="1"/>
  <c r="KJ262" i="40"/>
  <c r="KI262" i="40"/>
  <c r="KO262" i="40"/>
  <c r="KS262" i="40" s="1"/>
  <c r="JU262" i="40"/>
  <c r="JV262" i="40" s="1"/>
  <c r="JW262" i="40" s="1"/>
  <c r="JS262" i="40"/>
  <c r="AC14" i="70"/>
  <c r="S33" i="71"/>
  <c r="S63" i="71" s="1"/>
  <c r="W39" i="71"/>
  <c r="W47" i="71"/>
  <c r="W55" i="71"/>
  <c r="W63" i="71"/>
  <c r="W71" i="71"/>
  <c r="W41" i="71"/>
  <c r="W49" i="71"/>
  <c r="W57" i="71"/>
  <c r="W65" i="71"/>
  <c r="W35" i="71"/>
  <c r="W43" i="71"/>
  <c r="W51" i="71"/>
  <c r="W59" i="71"/>
  <c r="W67" i="71"/>
  <c r="AE45" i="58"/>
  <c r="AI45" i="58" s="1"/>
  <c r="AN45" i="58"/>
  <c r="AL45" i="58"/>
  <c r="O41" i="44"/>
  <c r="N41" i="44"/>
  <c r="JL459" i="40"/>
  <c r="JM459" i="40" s="1"/>
  <c r="JT459" i="40" s="1"/>
  <c r="JX459" i="40" s="1"/>
  <c r="JG659" i="40"/>
  <c r="JF659" i="40" s="1"/>
  <c r="JL461" i="40"/>
  <c r="JM461" i="40" s="1"/>
  <c r="V56" i="59"/>
  <c r="W56" i="59"/>
  <c r="M42" i="59"/>
  <c r="W54" i="59" s="1"/>
  <c r="V42" i="59"/>
  <c r="JL516" i="40"/>
  <c r="JM516" i="40" s="1"/>
  <c r="JG616" i="40"/>
  <c r="JF616" i="40" s="1"/>
  <c r="JL415" i="40"/>
  <c r="JG615" i="40"/>
  <c r="JF615" i="40" s="1"/>
  <c r="AK56" i="66"/>
  <c r="AK58" i="66"/>
  <c r="AK68" i="66"/>
  <c r="I29" i="59"/>
  <c r="KJ320" i="40"/>
  <c r="KO215" i="40"/>
  <c r="KS215" i="40" s="1"/>
  <c r="S71" i="69"/>
  <c r="JT268" i="40"/>
  <c r="JX268" i="40" s="1"/>
  <c r="JU268" i="40"/>
  <c r="JV268" i="40" s="1"/>
  <c r="JW268" i="40" s="1"/>
  <c r="KJ268" i="40"/>
  <c r="KK268" i="40"/>
  <c r="KO268" i="40"/>
  <c r="KR268" i="40" s="1"/>
  <c r="JS268" i="40"/>
  <c r="JL405" i="40"/>
  <c r="JM405" i="40" s="1"/>
  <c r="JU405" i="40" s="1"/>
  <c r="JV405" i="40" s="1"/>
  <c r="JW405" i="40" s="1"/>
  <c r="JG605" i="40"/>
  <c r="JF605" i="40" s="1"/>
  <c r="JS404" i="40"/>
  <c r="JU404" i="40"/>
  <c r="JV404" i="40" s="1"/>
  <c r="JW404" i="40" s="1"/>
  <c r="KJ404" i="40"/>
  <c r="JT404" i="40"/>
  <c r="JX404" i="40" s="1"/>
  <c r="KI404" i="40"/>
  <c r="KL404" i="40" s="1"/>
  <c r="AT13" i="68" s="1"/>
  <c r="JS403" i="40"/>
  <c r="KI403" i="40"/>
  <c r="JU403" i="40"/>
  <c r="JV403" i="40" s="1"/>
  <c r="JW403" i="40" s="1"/>
  <c r="JM361" i="40"/>
  <c r="AK44" i="58"/>
  <c r="AK68" i="69"/>
  <c r="Z46" i="68"/>
  <c r="AK42" i="58"/>
  <c r="AK56" i="71"/>
  <c r="N43" i="66"/>
  <c r="AK52" i="67"/>
  <c r="JU473" i="40"/>
  <c r="JV473" i="40" s="1"/>
  <c r="JW473" i="40" s="1"/>
  <c r="KJ473" i="40"/>
  <c r="JT473" i="40"/>
  <c r="JX473" i="40" s="1"/>
  <c r="KK473" i="40"/>
  <c r="JS473" i="40"/>
  <c r="KI473" i="40"/>
  <c r="S37" i="68"/>
  <c r="R57" i="69"/>
  <c r="V57" i="71"/>
  <c r="V37" i="58"/>
  <c r="AL37" i="58"/>
  <c r="N36" i="44"/>
  <c r="N53" i="44"/>
  <c r="AK40" i="67"/>
  <c r="Y36" i="66"/>
  <c r="JM406" i="40"/>
  <c r="V49" i="71"/>
  <c r="AB11" i="61"/>
  <c r="T11" i="61" s="1"/>
  <c r="AK68" i="68"/>
  <c r="AK54" i="68"/>
  <c r="AK66" i="71"/>
  <c r="R53" i="69"/>
  <c r="N29" i="44"/>
  <c r="AK34" i="58"/>
  <c r="KO575" i="40"/>
  <c r="JT575" i="40"/>
  <c r="JX575" i="40" s="1"/>
  <c r="KJ575" i="40"/>
  <c r="JS575" i="40"/>
  <c r="KK575" i="40"/>
  <c r="AN18" i="70"/>
  <c r="KI575" i="40"/>
  <c r="JU575" i="40"/>
  <c r="JV575" i="40" s="1"/>
  <c r="JW575" i="40" s="1"/>
  <c r="AS18" i="70"/>
  <c r="JT433" i="40"/>
  <c r="JX433" i="40" s="1"/>
  <c r="AK44" i="70"/>
  <c r="KJ433" i="40"/>
  <c r="JS433" i="40"/>
  <c r="KI433" i="40"/>
  <c r="JU433" i="40"/>
  <c r="JV433" i="40" s="1"/>
  <c r="JW433" i="40" s="1"/>
  <c r="KK433" i="40"/>
  <c r="J37" i="67"/>
  <c r="AK50" i="71"/>
  <c r="AK52" i="71"/>
  <c r="KR533" i="40"/>
  <c r="AK44" i="66"/>
  <c r="M41" i="68"/>
  <c r="KR527" i="40"/>
  <c r="AK48" i="66"/>
  <c r="AK40" i="69"/>
  <c r="AK66" i="66"/>
  <c r="AK52" i="66"/>
  <c r="AK70" i="68"/>
  <c r="AK50" i="68"/>
  <c r="AK64" i="69"/>
  <c r="AK70" i="69"/>
  <c r="AK50" i="67"/>
  <c r="AK58" i="67"/>
  <c r="AK36" i="58"/>
  <c r="AK44" i="68"/>
  <c r="AK58" i="71"/>
  <c r="M45" i="68"/>
  <c r="O35" i="67"/>
  <c r="O37" i="67"/>
  <c r="M39" i="68"/>
  <c r="M35" i="68"/>
  <c r="I41" i="66"/>
  <c r="O52" i="44"/>
  <c r="AA46" i="67"/>
  <c r="R34" i="66"/>
  <c r="Z34" i="66" s="1"/>
  <c r="V35" i="66"/>
  <c r="R53" i="67"/>
  <c r="R59" i="67"/>
  <c r="R42" i="69"/>
  <c r="R43" i="69" s="1"/>
  <c r="V43" i="69"/>
  <c r="Q40" i="69"/>
  <c r="Q41" i="69" s="1"/>
  <c r="U41" i="69"/>
  <c r="Q69" i="69"/>
  <c r="Q59" i="69"/>
  <c r="R44" i="69"/>
  <c r="V45" i="69"/>
  <c r="AE43" i="58"/>
  <c r="AI43" i="58" s="1"/>
  <c r="AM43" i="58"/>
  <c r="AL43" i="58"/>
  <c r="AN43" i="58"/>
  <c r="JL267" i="40"/>
  <c r="JM267" i="40" s="1"/>
  <c r="JL373" i="40"/>
  <c r="JL673" i="40" s="1"/>
  <c r="JG673" i="40"/>
  <c r="JF673" i="40" s="1"/>
  <c r="JL447" i="40"/>
  <c r="JM447" i="40" s="1"/>
  <c r="JG647" i="40"/>
  <c r="JF647" i="40" s="1"/>
  <c r="JL435" i="40"/>
  <c r="JM435" i="40" s="1"/>
  <c r="JU435" i="40" s="1"/>
  <c r="JG635" i="40"/>
  <c r="JF635" i="40" s="1"/>
  <c r="JL428" i="40"/>
  <c r="JL628" i="40" s="1"/>
  <c r="JG628" i="40"/>
  <c r="JF628" i="40" s="1"/>
  <c r="JL424" i="40"/>
  <c r="JL624" i="40" s="1"/>
  <c r="JG624" i="40"/>
  <c r="JF624" i="40" s="1"/>
  <c r="JL420" i="40"/>
  <c r="JL620" i="40" s="1"/>
  <c r="JG620" i="40"/>
  <c r="JF620" i="40" s="1"/>
  <c r="JL344" i="40"/>
  <c r="JM344" i="40" s="1"/>
  <c r="JG644" i="40"/>
  <c r="JF644" i="40" s="1"/>
  <c r="JL340" i="40"/>
  <c r="JM340" i="40" s="1"/>
  <c r="JG640" i="40"/>
  <c r="JF640" i="40" s="1"/>
  <c r="JL336" i="40"/>
  <c r="JM336" i="40" s="1"/>
  <c r="JG636" i="40"/>
  <c r="JF636" i="40" s="1"/>
  <c r="JL332" i="40"/>
  <c r="JL632" i="40" s="1"/>
  <c r="JG632" i="40"/>
  <c r="JF632" i="40" s="1"/>
  <c r="JL318" i="40"/>
  <c r="JL618" i="40" s="1"/>
  <c r="JG618" i="40"/>
  <c r="JL314" i="40"/>
  <c r="JL614" i="40" s="1"/>
  <c r="JG614" i="40"/>
  <c r="JF614" i="40" s="1"/>
  <c r="JL310" i="40"/>
  <c r="JM310" i="40" s="1"/>
  <c r="JG610" i="40"/>
  <c r="JF610" i="40" s="1"/>
  <c r="JL217" i="40"/>
  <c r="JM217" i="40" s="1"/>
  <c r="JG617" i="40"/>
  <c r="JF617" i="40" s="1"/>
  <c r="JL213" i="40"/>
  <c r="JM213" i="40" s="1"/>
  <c r="JG613" i="40"/>
  <c r="JF613" i="40" s="1"/>
  <c r="AP8" i="61"/>
  <c r="V8" i="61" s="1"/>
  <c r="AQ8" i="61"/>
  <c r="W8" i="61" s="1"/>
  <c r="JG601" i="40"/>
  <c r="JG701" i="40" s="1"/>
  <c r="AR8" i="61"/>
  <c r="X8" i="61" s="1"/>
  <c r="O47" i="67"/>
  <c r="I35" i="68"/>
  <c r="R46" i="66"/>
  <c r="R47" i="66" s="1"/>
  <c r="V47" i="66"/>
  <c r="R33" i="68"/>
  <c r="Z33" i="68" s="1"/>
  <c r="V39" i="68"/>
  <c r="V55" i="68"/>
  <c r="V63" i="68"/>
  <c r="V71" i="68"/>
  <c r="V41" i="68"/>
  <c r="V49" i="68"/>
  <c r="V57" i="68"/>
  <c r="V65" i="68"/>
  <c r="V43" i="68"/>
  <c r="V51" i="68"/>
  <c r="V59" i="68"/>
  <c r="V67" i="68"/>
  <c r="Q40" i="68"/>
  <c r="Y40" i="68" s="1"/>
  <c r="U41" i="68"/>
  <c r="Q33" i="66"/>
  <c r="Q55" i="66" s="1"/>
  <c r="AL69" i="66"/>
  <c r="AL63" i="66"/>
  <c r="U41" i="66"/>
  <c r="U57" i="66"/>
  <c r="U65" i="66"/>
  <c r="AL55" i="66"/>
  <c r="AL57" i="66"/>
  <c r="AL61" i="66"/>
  <c r="AL71" i="66"/>
  <c r="U43" i="66"/>
  <c r="U51" i="66"/>
  <c r="U59" i="66"/>
  <c r="U67" i="66"/>
  <c r="AL53" i="66"/>
  <c r="AL67" i="66"/>
  <c r="AL65" i="66"/>
  <c r="U35" i="66"/>
  <c r="U45" i="66"/>
  <c r="U53" i="66"/>
  <c r="U61" i="66"/>
  <c r="U69" i="66"/>
  <c r="JL567" i="40"/>
  <c r="JM567" i="40" s="1"/>
  <c r="JL546" i="40"/>
  <c r="JM546" i="40" s="1"/>
  <c r="JG646" i="40"/>
  <c r="JF646" i="40" s="1"/>
  <c r="JL542" i="40"/>
  <c r="JM542" i="40" s="1"/>
  <c r="JG642" i="40"/>
  <c r="JF642" i="40" s="1"/>
  <c r="JL538" i="40"/>
  <c r="JM538" i="40" s="1"/>
  <c r="JG638" i="40"/>
  <c r="JF638" i="40" s="1"/>
  <c r="JL534" i="40"/>
  <c r="JM534" i="40" s="1"/>
  <c r="JG634" i="40"/>
  <c r="JF634" i="40" s="1"/>
  <c r="JL530" i="40"/>
  <c r="JM530" i="40" s="1"/>
  <c r="JG630" i="40"/>
  <c r="JF630" i="40" s="1"/>
  <c r="JL526" i="40"/>
  <c r="JL626" i="40" s="1"/>
  <c r="JG626" i="40"/>
  <c r="JF626" i="40" s="1"/>
  <c r="JL458" i="40"/>
  <c r="JM458" i="40" s="1"/>
  <c r="JG658" i="40"/>
  <c r="JF658" i="40" s="1"/>
  <c r="JG654" i="40"/>
  <c r="JF654" i="40" s="1"/>
  <c r="JG650" i="40"/>
  <c r="JF650" i="40" s="1"/>
  <c r="AK44" i="71"/>
  <c r="AK46" i="71"/>
  <c r="AK40" i="71"/>
  <c r="AK60" i="71"/>
  <c r="AK62" i="71"/>
  <c r="L37" i="69"/>
  <c r="N37" i="69"/>
  <c r="I45" i="68"/>
  <c r="V67" i="67"/>
  <c r="V59" i="67"/>
  <c r="V51" i="67"/>
  <c r="V43" i="67"/>
  <c r="V35" i="67"/>
  <c r="U47" i="66"/>
  <c r="V53" i="68"/>
  <c r="R46" i="69"/>
  <c r="R47" i="69" s="1"/>
  <c r="V47" i="69"/>
  <c r="JG667" i="40"/>
  <c r="JF667" i="40" s="1"/>
  <c r="AE37" i="69"/>
  <c r="AI37" i="69" s="1"/>
  <c r="AN37" i="69"/>
  <c r="AL37" i="69"/>
  <c r="R36" i="66"/>
  <c r="Z36" i="66" s="1"/>
  <c r="JG604" i="40"/>
  <c r="JF604" i="40" s="1"/>
  <c r="S34" i="58"/>
  <c r="S35" i="58" s="1"/>
  <c r="W35" i="58"/>
  <c r="AN35" i="58"/>
  <c r="JL261" i="40"/>
  <c r="JM261" i="40" s="1"/>
  <c r="JG661" i="40"/>
  <c r="JF661" i="40" s="1"/>
  <c r="JL260" i="40"/>
  <c r="JM260" i="40" s="1"/>
  <c r="JG660" i="40"/>
  <c r="JF660" i="40" s="1"/>
  <c r="JU263" i="40"/>
  <c r="JV263" i="40" s="1"/>
  <c r="JW263" i="40" s="1"/>
  <c r="KI263" i="40"/>
  <c r="KO263" i="40"/>
  <c r="KS263" i="40" s="1"/>
  <c r="JS263" i="40"/>
  <c r="JT263" i="40"/>
  <c r="JX263" i="40" s="1"/>
  <c r="KJ263" i="40"/>
  <c r="S35" i="69"/>
  <c r="S65" i="69"/>
  <c r="AA33" i="69"/>
  <c r="AA37" i="69" s="1"/>
  <c r="S61" i="69"/>
  <c r="S37" i="69"/>
  <c r="S57" i="69"/>
  <c r="S53" i="69"/>
  <c r="S45" i="69"/>
  <c r="S43" i="69"/>
  <c r="S55" i="69"/>
  <c r="S51" i="69"/>
  <c r="S49" i="69"/>
  <c r="S69" i="69"/>
  <c r="S63" i="69"/>
  <c r="S39" i="69"/>
  <c r="S67" i="69"/>
  <c r="S41" i="69"/>
  <c r="AA33" i="66"/>
  <c r="S69" i="66"/>
  <c r="S65" i="66"/>
  <c r="S59" i="66"/>
  <c r="S55" i="66"/>
  <c r="S63" i="66"/>
  <c r="S67" i="66"/>
  <c r="S53" i="66"/>
  <c r="S61" i="66"/>
  <c r="AN21" i="70"/>
  <c r="KO510" i="40"/>
  <c r="JU510" i="40"/>
  <c r="AS21" i="70"/>
  <c r="AK64" i="71"/>
  <c r="AK42" i="71"/>
  <c r="O41" i="68"/>
  <c r="K35" i="68"/>
  <c r="I37" i="66"/>
  <c r="KI565" i="40"/>
  <c r="JT565" i="40"/>
  <c r="JX565" i="40" s="1"/>
  <c r="U45" i="67"/>
  <c r="V65" i="67"/>
  <c r="V57" i="67"/>
  <c r="V49" i="67"/>
  <c r="V41" i="67"/>
  <c r="AM37" i="69"/>
  <c r="U39" i="69"/>
  <c r="U71" i="66"/>
  <c r="U37" i="66"/>
  <c r="Q48" i="66"/>
  <c r="U49" i="66"/>
  <c r="R35" i="67"/>
  <c r="R34" i="69"/>
  <c r="Z34" i="69" s="1"/>
  <c r="Z35" i="69" s="1"/>
  <c r="V35" i="69"/>
  <c r="JG643" i="40"/>
  <c r="JF643" i="40" s="1"/>
  <c r="JG648" i="40"/>
  <c r="JF648" i="40" s="1"/>
  <c r="JG652" i="40"/>
  <c r="JF652" i="40" s="1"/>
  <c r="JM506" i="40"/>
  <c r="JL604" i="40"/>
  <c r="Q33" i="71"/>
  <c r="Q37" i="71" s="1"/>
  <c r="U47" i="71"/>
  <c r="V45" i="58"/>
  <c r="AM45" i="58"/>
  <c r="JL329" i="40"/>
  <c r="JM329" i="40" s="1"/>
  <c r="JL249" i="40"/>
  <c r="JL649" i="40" s="1"/>
  <c r="JG649" i="40"/>
  <c r="JF649" i="40" s="1"/>
  <c r="JL245" i="40"/>
  <c r="JL645" i="40" s="1"/>
  <c r="JG645" i="40"/>
  <c r="JF645" i="40" s="1"/>
  <c r="JL241" i="40"/>
  <c r="JL641" i="40" s="1"/>
  <c r="JG641" i="40"/>
  <c r="JF641" i="40" s="1"/>
  <c r="JL237" i="40"/>
  <c r="JL637" i="40" s="1"/>
  <c r="JG637" i="40"/>
  <c r="JF637" i="40" s="1"/>
  <c r="JL233" i="40"/>
  <c r="JM233" i="40" s="1"/>
  <c r="JG633" i="40"/>
  <c r="JF633" i="40" s="1"/>
  <c r="JG629" i="40"/>
  <c r="JF629" i="40" s="1"/>
  <c r="JL221" i="40"/>
  <c r="JM221" i="40" s="1"/>
  <c r="JG621" i="40"/>
  <c r="JF621" i="40" s="1"/>
  <c r="N30" i="44"/>
  <c r="N32" i="44"/>
  <c r="N51" i="44"/>
  <c r="JL653" i="40"/>
  <c r="JK653" i="40" s="1"/>
  <c r="KR555" i="40"/>
  <c r="V47" i="68"/>
  <c r="N37" i="44"/>
  <c r="N44" i="44"/>
  <c r="O37" i="69"/>
  <c r="JL603" i="40"/>
  <c r="KO561" i="40"/>
  <c r="KS561" i="40" s="1"/>
  <c r="KI561" i="40"/>
  <c r="JU561" i="40"/>
  <c r="JV561" i="40" s="1"/>
  <c r="JW561" i="40" s="1"/>
  <c r="KJ561" i="40"/>
  <c r="JT561" i="40"/>
  <c r="JX561" i="40" s="1"/>
  <c r="KK561" i="40"/>
  <c r="JS561" i="40"/>
  <c r="JM443" i="40"/>
  <c r="AE42" i="68"/>
  <c r="AK36" i="71"/>
  <c r="Q55" i="68"/>
  <c r="JM573" i="40"/>
  <c r="JM427" i="40"/>
  <c r="JL627" i="40"/>
  <c r="JK627" i="40" s="1"/>
  <c r="JM419" i="40"/>
  <c r="JT512" i="40"/>
  <c r="JX512" i="40" s="1"/>
  <c r="AN23" i="70"/>
  <c r="O39" i="69"/>
  <c r="O45" i="69"/>
  <c r="L35" i="69"/>
  <c r="JM375" i="40"/>
  <c r="JL675" i="40"/>
  <c r="KK403" i="40"/>
  <c r="KJ403" i="40"/>
  <c r="Y34" i="58"/>
  <c r="Y35" i="58" s="1"/>
  <c r="KO266" i="40"/>
  <c r="KR266" i="40" s="1"/>
  <c r="JS266" i="40"/>
  <c r="KJ266" i="40"/>
  <c r="JT266" i="40"/>
  <c r="JX266" i="40" s="1"/>
  <c r="KK266" i="40"/>
  <c r="JU266" i="40"/>
  <c r="JV266" i="40" s="1"/>
  <c r="JW266" i="40" s="1"/>
  <c r="KI266" i="40"/>
  <c r="JM441" i="40"/>
  <c r="M43" i="66"/>
  <c r="Z59" i="69"/>
  <c r="Z69" i="69"/>
  <c r="Z51" i="69"/>
  <c r="Z67" i="69"/>
  <c r="Z55" i="69"/>
  <c r="Z53" i="69"/>
  <c r="Z63" i="69"/>
  <c r="Z65" i="69"/>
  <c r="Z61" i="69"/>
  <c r="Z57" i="69"/>
  <c r="Z71" i="69"/>
  <c r="Z40" i="68"/>
  <c r="R63" i="66"/>
  <c r="R61" i="66"/>
  <c r="R55" i="66"/>
  <c r="R39" i="66"/>
  <c r="R59" i="66"/>
  <c r="R71" i="66"/>
  <c r="AE49" i="69"/>
  <c r="AI49" i="69" s="1"/>
  <c r="Y42" i="66"/>
  <c r="U59" i="71"/>
  <c r="U43" i="71"/>
  <c r="R42" i="58"/>
  <c r="O39" i="44"/>
  <c r="N46" i="44"/>
  <c r="N49" i="44"/>
  <c r="JM453" i="40"/>
  <c r="KI453" i="40" s="1"/>
  <c r="JM449" i="40"/>
  <c r="JS449" i="40" s="1"/>
  <c r="JM337" i="40"/>
  <c r="JS337" i="40" s="1"/>
  <c r="JM334" i="40"/>
  <c r="KI334" i="40" s="1"/>
  <c r="JM325" i="40"/>
  <c r="JT325" i="40" s="1"/>
  <c r="JX325" i="40" s="1"/>
  <c r="JM410" i="40"/>
  <c r="KK410" i="40" s="1"/>
  <c r="KR537" i="40"/>
  <c r="JG603" i="40"/>
  <c r="U71" i="71"/>
  <c r="U55" i="71"/>
  <c r="U39" i="71"/>
  <c r="U45" i="58"/>
  <c r="R44" i="58"/>
  <c r="R45" i="58" s="1"/>
  <c r="O48" i="44"/>
  <c r="X56" i="59"/>
  <c r="JG674" i="40"/>
  <c r="JF674" i="40" s="1"/>
  <c r="U67" i="71"/>
  <c r="U51" i="71"/>
  <c r="U35" i="71"/>
  <c r="O32" i="44"/>
  <c r="O40" i="44"/>
  <c r="O42" i="44"/>
  <c r="JM521" i="40"/>
  <c r="KS535" i="40"/>
  <c r="KR547" i="40"/>
  <c r="AK68" i="71"/>
  <c r="AK54" i="71"/>
  <c r="P17" i="44"/>
  <c r="N17" i="44"/>
  <c r="M17" i="44"/>
  <c r="JL522" i="40"/>
  <c r="JM522" i="40" s="1"/>
  <c r="JG622" i="40"/>
  <c r="JF622" i="40" s="1"/>
  <c r="JG656" i="40"/>
  <c r="JF656" i="40" s="1"/>
  <c r="AK62" i="70"/>
  <c r="JU451" i="40"/>
  <c r="JV451" i="40" s="1"/>
  <c r="JW451" i="40" s="1"/>
  <c r="KI451" i="40"/>
  <c r="JT451" i="40"/>
  <c r="JX451" i="40" s="1"/>
  <c r="KJ451" i="40"/>
  <c r="JM445" i="40"/>
  <c r="JL439" i="40"/>
  <c r="JL639" i="40" s="1"/>
  <c r="JG639" i="40"/>
  <c r="AK40" i="70"/>
  <c r="KK429" i="40"/>
  <c r="JT429" i="40"/>
  <c r="JX429" i="40" s="1"/>
  <c r="JS429" i="40"/>
  <c r="JL423" i="40"/>
  <c r="JG623" i="40"/>
  <c r="JF623" i="40" s="1"/>
  <c r="JL655" i="40"/>
  <c r="JL651" i="40"/>
  <c r="JL643" i="40"/>
  <c r="AE36" i="68"/>
  <c r="Q40" i="67"/>
  <c r="Y40" i="67" s="1"/>
  <c r="AC40" i="67" s="1"/>
  <c r="U41" i="67"/>
  <c r="AK70" i="71"/>
  <c r="AK38" i="71"/>
  <c r="L39" i="67"/>
  <c r="AK46" i="58"/>
  <c r="KR545" i="40"/>
  <c r="KS545" i="40"/>
  <c r="O17" i="44"/>
  <c r="KS518" i="40"/>
  <c r="KR518" i="40"/>
  <c r="AU16" i="69" s="1"/>
  <c r="Q46" i="69"/>
  <c r="M45" i="67"/>
  <c r="I47" i="69"/>
  <c r="I41" i="69"/>
  <c r="P54" i="44"/>
  <c r="KR565" i="40"/>
  <c r="KS565" i="40"/>
  <c r="R38" i="69"/>
  <c r="R39" i="69" s="1"/>
  <c r="V39" i="69"/>
  <c r="R67" i="67"/>
  <c r="R47" i="67"/>
  <c r="R63" i="67"/>
  <c r="R51" i="67"/>
  <c r="R57" i="67"/>
  <c r="R55" i="67"/>
  <c r="R49" i="67"/>
  <c r="R61" i="67"/>
  <c r="R41" i="67"/>
  <c r="R65" i="67"/>
  <c r="R71" i="67"/>
  <c r="S47" i="66"/>
  <c r="AA46" i="66"/>
  <c r="Q38" i="66"/>
  <c r="U39" i="66"/>
  <c r="KS539" i="40"/>
  <c r="V35" i="68"/>
  <c r="S49" i="66"/>
  <c r="AA48" i="66"/>
  <c r="S45" i="66"/>
  <c r="AA44" i="66"/>
  <c r="Y42" i="67"/>
  <c r="U47" i="68"/>
  <c r="Q46" i="68"/>
  <c r="AA46" i="69"/>
  <c r="S47" i="69"/>
  <c r="Q38" i="67"/>
  <c r="Y38" i="67" s="1"/>
  <c r="S41" i="66"/>
  <c r="AA40" i="66"/>
  <c r="Q48" i="69"/>
  <c r="Z36" i="69"/>
  <c r="Z37" i="69" s="1"/>
  <c r="R37" i="69"/>
  <c r="JL269" i="40"/>
  <c r="JL669" i="40" s="1"/>
  <c r="JG669" i="40"/>
  <c r="JF669" i="40" s="1"/>
  <c r="JL564" i="40"/>
  <c r="JL664" i="40" s="1"/>
  <c r="JG664" i="40"/>
  <c r="JF664" i="40" s="1"/>
  <c r="R34" i="68"/>
  <c r="R41" i="66"/>
  <c r="Z40" i="66"/>
  <c r="Y48" i="66"/>
  <c r="Q34" i="68"/>
  <c r="U37" i="68"/>
  <c r="Y42" i="68"/>
  <c r="Y36" i="68"/>
  <c r="Y38" i="69"/>
  <c r="JG672" i="40"/>
  <c r="JF672" i="40" s="1"/>
  <c r="Q44" i="68"/>
  <c r="Q45" i="68" s="1"/>
  <c r="AE69" i="66"/>
  <c r="AI69" i="66" s="1"/>
  <c r="AE53" i="66"/>
  <c r="AI53" i="66" s="1"/>
  <c r="AE51" i="66"/>
  <c r="AI51" i="66" s="1"/>
  <c r="AE63" i="66"/>
  <c r="AI63" i="66" s="1"/>
  <c r="AE71" i="66"/>
  <c r="AI71" i="66" s="1"/>
  <c r="AE65" i="66"/>
  <c r="AI65" i="66" s="1"/>
  <c r="JL465" i="40"/>
  <c r="JG665" i="40"/>
  <c r="JF665" i="40" s="1"/>
  <c r="R37" i="67"/>
  <c r="Z34" i="67"/>
  <c r="R69" i="66"/>
  <c r="R57" i="66"/>
  <c r="R65" i="66"/>
  <c r="R67" i="66"/>
  <c r="Z33" i="66"/>
  <c r="R53" i="66"/>
  <c r="R51" i="66"/>
  <c r="O18" i="44"/>
  <c r="P18" i="44"/>
  <c r="M18" i="44"/>
  <c r="JL408" i="40"/>
  <c r="JM408" i="40" s="1"/>
  <c r="JG608" i="40"/>
  <c r="JF608" i="40" s="1"/>
  <c r="JL462" i="40"/>
  <c r="JM462" i="40" s="1"/>
  <c r="JG662" i="40"/>
  <c r="JF662" i="40" s="1"/>
  <c r="JL207" i="40"/>
  <c r="JX207" i="40" s="1"/>
  <c r="JG607" i="40"/>
  <c r="JF607" i="40" s="1"/>
  <c r="JL259" i="40"/>
  <c r="JM259" i="40" s="1"/>
  <c r="Z46" i="67"/>
  <c r="Z33" i="67"/>
  <c r="S37" i="66"/>
  <c r="AA36" i="66"/>
  <c r="JL672" i="40"/>
  <c r="JM264" i="40"/>
  <c r="JL525" i="40"/>
  <c r="JG625" i="40"/>
  <c r="JF625" i="40" s="1"/>
  <c r="JM230" i="40"/>
  <c r="Z38" i="68"/>
  <c r="JG668" i="40"/>
  <c r="JF668" i="40" s="1"/>
  <c r="R33" i="71"/>
  <c r="R67" i="71" s="1"/>
  <c r="V35" i="71"/>
  <c r="V43" i="71"/>
  <c r="V51" i="71"/>
  <c r="V59" i="71"/>
  <c r="V67" i="71"/>
  <c r="V37" i="71"/>
  <c r="V45" i="71"/>
  <c r="V53" i="71"/>
  <c r="V61" i="71"/>
  <c r="V69" i="71"/>
  <c r="V39" i="71"/>
  <c r="V47" i="71"/>
  <c r="V55" i="71"/>
  <c r="V63" i="71"/>
  <c r="V71" i="71"/>
  <c r="O43" i="44"/>
  <c r="S43" i="66"/>
  <c r="AA42" i="66"/>
  <c r="JL366" i="40"/>
  <c r="JG666" i="40"/>
  <c r="JF666" i="40" s="1"/>
  <c r="JM421" i="40"/>
  <c r="JL330" i="40"/>
  <c r="Q36" i="58"/>
  <c r="Q37" i="58" s="1"/>
  <c r="U37" i="58"/>
  <c r="R34" i="58"/>
  <c r="V35" i="58"/>
  <c r="JL363" i="40"/>
  <c r="JM363" i="40" s="1"/>
  <c r="JL471" i="40"/>
  <c r="JM471" i="40" s="1"/>
  <c r="JL470" i="40"/>
  <c r="JM470" i="40" s="1"/>
  <c r="E30" i="59"/>
  <c r="T43" i="59"/>
  <c r="JL402" i="40"/>
  <c r="JM402" i="40" s="1"/>
  <c r="JM357" i="40"/>
  <c r="JL657" i="40"/>
  <c r="JM342" i="40"/>
  <c r="JL333" i="40"/>
  <c r="JM333" i="40" s="1"/>
  <c r="JM232" i="40"/>
  <c r="JM205" i="40"/>
  <c r="JM203" i="40"/>
  <c r="N31" i="44"/>
  <c r="N40" i="44"/>
  <c r="O45" i="44"/>
  <c r="N47" i="44"/>
  <c r="JM322" i="40"/>
  <c r="JM515" i="40"/>
  <c r="O34" i="44"/>
  <c r="M40" i="44"/>
  <c r="JM341" i="40"/>
  <c r="JM321" i="40"/>
  <c r="JM255" i="40"/>
  <c r="JM253" i="40"/>
  <c r="JM251" i="40"/>
  <c r="JM247" i="40"/>
  <c r="JM243" i="40"/>
  <c r="JM239" i="40"/>
  <c r="JM235" i="40"/>
  <c r="JM228" i="40"/>
  <c r="JM226" i="40"/>
  <c r="JM224" i="40"/>
  <c r="JM222" i="40"/>
  <c r="JM365" i="40"/>
  <c r="JM204" i="40"/>
  <c r="N33" i="44"/>
  <c r="O35" i="44"/>
  <c r="N43" i="44"/>
  <c r="N50" i="44"/>
  <c r="JM273" i="40"/>
  <c r="S39" i="68"/>
  <c r="JM466" i="40"/>
  <c r="JM338" i="40"/>
  <c r="JM316" i="40"/>
  <c r="JM312" i="40"/>
  <c r="JM513" i="40"/>
  <c r="JM511" i="40"/>
  <c r="AN22" i="70" s="1"/>
  <c r="JM501" i="40"/>
  <c r="JL315" i="40"/>
  <c r="JL313" i="40"/>
  <c r="JM313" i="40" s="1"/>
  <c r="JL311" i="40"/>
  <c r="JM311" i="40" s="1"/>
  <c r="JL301" i="40"/>
  <c r="JX301" i="40" s="1"/>
  <c r="JL201" i="40"/>
  <c r="JM201" i="40" s="1"/>
  <c r="N54" i="44"/>
  <c r="KR543" i="40"/>
  <c r="KR553" i="40"/>
  <c r="KS531" i="40"/>
  <c r="KR531" i="40"/>
  <c r="Y40" i="66"/>
  <c r="Y44" i="66"/>
  <c r="Y46" i="66"/>
  <c r="KR541" i="40"/>
  <c r="R49" i="66"/>
  <c r="Z48" i="66"/>
  <c r="S39" i="67"/>
  <c r="S51" i="67"/>
  <c r="S69" i="67"/>
  <c r="S63" i="67"/>
  <c r="AA33" i="67"/>
  <c r="S37" i="67"/>
  <c r="S67" i="67"/>
  <c r="S49" i="67"/>
  <c r="Q46" i="67"/>
  <c r="Y46" i="67" s="1"/>
  <c r="Q34" i="66"/>
  <c r="Q34" i="67"/>
  <c r="Q33" i="67"/>
  <c r="Y33" i="67" s="1"/>
  <c r="R44" i="67"/>
  <c r="R45" i="67" s="1"/>
  <c r="Q36" i="69"/>
  <c r="Q37" i="69" s="1"/>
  <c r="Q42" i="69"/>
  <c r="R40" i="69"/>
  <c r="R41" i="69" s="1"/>
  <c r="R42" i="66"/>
  <c r="R43" i="66" s="1"/>
  <c r="Q38" i="68"/>
  <c r="JM368" i="40"/>
  <c r="JL668" i="40"/>
  <c r="JM362" i="40"/>
  <c r="JM274" i="40"/>
  <c r="JL674" i="40"/>
  <c r="JM369" i="40"/>
  <c r="X55" i="59"/>
  <c r="KR215" i="40"/>
  <c r="Z36" i="67"/>
  <c r="X53" i="59"/>
  <c r="R44" i="68"/>
  <c r="N18" i="44"/>
  <c r="JM374" i="40"/>
  <c r="JM572" i="40"/>
  <c r="JM468" i="40"/>
  <c r="JM208" i="40"/>
  <c r="JM469" i="40"/>
  <c r="JM507" i="40"/>
  <c r="JM474" i="40"/>
  <c r="JM272" i="40"/>
  <c r="JM568" i="40"/>
  <c r="JM308" i="40"/>
  <c r="JM562" i="40"/>
  <c r="JM569" i="40"/>
  <c r="JM265" i="40"/>
  <c r="JL206" i="40"/>
  <c r="JG606" i="40"/>
  <c r="JF606" i="40" s="1"/>
  <c r="JM364" i="40"/>
  <c r="AD10" i="61"/>
  <c r="AH10" i="61" s="1"/>
  <c r="AD11" i="61"/>
  <c r="AH11" i="61" s="1"/>
  <c r="AA44" i="58"/>
  <c r="AA45" i="58" s="1"/>
  <c r="S41" i="68"/>
  <c r="S45" i="68"/>
  <c r="AA33" i="68"/>
  <c r="U69" i="71"/>
  <c r="U61" i="71"/>
  <c r="U53" i="71"/>
  <c r="U45" i="71"/>
  <c r="U37" i="71"/>
  <c r="AA42" i="58"/>
  <c r="AA43" i="58" s="1"/>
  <c r="S37" i="58"/>
  <c r="P22" i="70"/>
  <c r="JM505" i="40"/>
  <c r="JM504" i="40"/>
  <c r="JM503" i="40"/>
  <c r="Y44" i="58"/>
  <c r="O29" i="44"/>
  <c r="JL271" i="40"/>
  <c r="JM271" i="40" s="1"/>
  <c r="JL270" i="40"/>
  <c r="U65" i="71"/>
  <c r="U57" i="71"/>
  <c r="U49" i="71"/>
  <c r="U41" i="71"/>
  <c r="U43" i="58"/>
  <c r="Y42" i="58"/>
  <c r="JG602" i="40"/>
  <c r="JF602" i="40" s="1"/>
  <c r="AA38" i="68"/>
  <c r="T42" i="59"/>
  <c r="T44" i="59"/>
  <c r="JM566" i="40"/>
  <c r="JM302" i="40"/>
  <c r="JM519" i="40"/>
  <c r="JL456" i="40"/>
  <c r="JM456" i="40" s="1"/>
  <c r="JM558" i="40"/>
  <c r="JM556" i="40"/>
  <c r="JM554" i="40"/>
  <c r="JM552" i="40"/>
  <c r="JM550" i="40"/>
  <c r="JM548" i="40"/>
  <c r="JM544" i="40"/>
  <c r="JM540" i="40"/>
  <c r="JM536" i="40"/>
  <c r="JM532" i="40"/>
  <c r="JM528" i="40"/>
  <c r="JM526" i="40"/>
  <c r="JM524" i="40"/>
  <c r="JL450" i="40"/>
  <c r="JM450" i="40" s="1"/>
  <c r="JM523" i="40"/>
  <c r="JL452" i="40"/>
  <c r="JM452" i="40" s="1"/>
  <c r="JL454" i="40"/>
  <c r="JM454" i="40" s="1"/>
  <c r="JM335" i="40"/>
  <c r="JL250" i="40"/>
  <c r="JM250" i="40" s="1"/>
  <c r="JL242" i="40"/>
  <c r="JM242" i="40" s="1"/>
  <c r="JL234" i="40"/>
  <c r="JM234" i="40" s="1"/>
  <c r="JM448" i="40"/>
  <c r="JM446" i="40"/>
  <c r="JM444" i="40"/>
  <c r="JM442" i="40"/>
  <c r="JM440" i="40"/>
  <c r="JM438" i="40"/>
  <c r="JM436" i="40"/>
  <c r="JM434" i="40"/>
  <c r="JM432" i="40"/>
  <c r="JM430" i="40"/>
  <c r="JM428" i="40"/>
  <c r="JM426" i="40"/>
  <c r="JM422" i="40"/>
  <c r="JM358" i="40"/>
  <c r="JM356" i="40"/>
  <c r="JM354" i="40"/>
  <c r="JM352" i="40"/>
  <c r="JM350" i="40"/>
  <c r="JM348" i="40"/>
  <c r="JM346" i="40"/>
  <c r="JM324" i="40"/>
  <c r="JL258" i="40"/>
  <c r="JM258" i="40" s="1"/>
  <c r="JL256" i="40"/>
  <c r="JM256" i="40" s="1"/>
  <c r="JL248" i="40"/>
  <c r="JM248" i="40" s="1"/>
  <c r="JL240" i="40"/>
  <c r="JM240" i="40" s="1"/>
  <c r="JM339" i="40"/>
  <c r="JM331" i="40"/>
  <c r="JM323" i="40"/>
  <c r="JL254" i="40"/>
  <c r="JL246" i="40"/>
  <c r="JM246" i="40" s="1"/>
  <c r="JL238" i="40"/>
  <c r="JL252" i="40"/>
  <c r="JM252" i="40" s="1"/>
  <c r="JL244" i="40"/>
  <c r="JL236" i="40"/>
  <c r="JM236" i="40" s="1"/>
  <c r="JL231" i="40"/>
  <c r="JL229" i="40"/>
  <c r="JM229" i="40" s="1"/>
  <c r="JL517" i="40"/>
  <c r="JM517" i="40" s="1"/>
  <c r="JL209" i="40"/>
  <c r="JM209" i="40" s="1"/>
  <c r="JM317" i="40"/>
  <c r="JM227" i="40"/>
  <c r="JM225" i="40"/>
  <c r="JM223" i="40"/>
  <c r="JM417" i="40"/>
  <c r="JM415" i="40"/>
  <c r="JM413" i="40"/>
  <c r="JM401" i="40"/>
  <c r="JM218" i="40"/>
  <c r="JM216" i="40"/>
  <c r="JM214" i="40"/>
  <c r="JM212" i="40"/>
  <c r="JM210" i="40"/>
  <c r="AK46" i="69" l="1"/>
  <c r="AL45" i="69"/>
  <c r="AE45" i="69"/>
  <c r="AI45" i="69" s="1"/>
  <c r="AK42" i="68"/>
  <c r="AK36" i="68"/>
  <c r="AK46" i="67"/>
  <c r="AK40" i="66"/>
  <c r="AK36" i="67"/>
  <c r="S55" i="71"/>
  <c r="S71" i="71"/>
  <c r="AA33" i="71"/>
  <c r="AA71" i="71" s="1"/>
  <c r="KS257" i="40"/>
  <c r="S61" i="71"/>
  <c r="AN45" i="69"/>
  <c r="KR585" i="40"/>
  <c r="KS585" i="40"/>
  <c r="KS586" i="40"/>
  <c r="KR586" i="40"/>
  <c r="KR584" i="40"/>
  <c r="KS584" i="40"/>
  <c r="KR587" i="40"/>
  <c r="KS587" i="40"/>
  <c r="KO484" i="40"/>
  <c r="KO485" i="40"/>
  <c r="KO486" i="40"/>
  <c r="KO487" i="40"/>
  <c r="Y40" i="69"/>
  <c r="Q47" i="69"/>
  <c r="Q55" i="69"/>
  <c r="Q71" i="69"/>
  <c r="Q51" i="69"/>
  <c r="Q35" i="69"/>
  <c r="Q49" i="69"/>
  <c r="AC42" i="67"/>
  <c r="Y33" i="69"/>
  <c r="Y63" i="69" s="1"/>
  <c r="AK34" i="68"/>
  <c r="AU19" i="58"/>
  <c r="AU20" i="58" s="1"/>
  <c r="Q53" i="69"/>
  <c r="Q67" i="69"/>
  <c r="Q61" i="69"/>
  <c r="Q39" i="69"/>
  <c r="AK48" i="69"/>
  <c r="Q43" i="69"/>
  <c r="Q65" i="69"/>
  <c r="Q63" i="69"/>
  <c r="Y54" i="59"/>
  <c r="JM314" i="40"/>
  <c r="KJ314" i="40" s="1"/>
  <c r="JM332" i="40"/>
  <c r="JM632" i="40" s="1"/>
  <c r="AA37" i="66"/>
  <c r="KR262" i="40"/>
  <c r="Z38" i="67"/>
  <c r="Z39" i="67" s="1"/>
  <c r="AK46" i="66"/>
  <c r="KJ559" i="40"/>
  <c r="JK620" i="40"/>
  <c r="Q43" i="71"/>
  <c r="JM420" i="40"/>
  <c r="AK31" i="70" s="1"/>
  <c r="JL610" i="40"/>
  <c r="Q47" i="71"/>
  <c r="Q51" i="71"/>
  <c r="Q41" i="71"/>
  <c r="Z44" i="66"/>
  <c r="Z45" i="66" s="1"/>
  <c r="AA43" i="66"/>
  <c r="AA45" i="66"/>
  <c r="AK42" i="66"/>
  <c r="Z44" i="58"/>
  <c r="Z45" i="58" s="1"/>
  <c r="KS580" i="40"/>
  <c r="KR580" i="40"/>
  <c r="KS577" i="40"/>
  <c r="KR577" i="40"/>
  <c r="KS583" i="40"/>
  <c r="KR583" i="40"/>
  <c r="KR576" i="40"/>
  <c r="KS576" i="40"/>
  <c r="KS579" i="40"/>
  <c r="KR579" i="40"/>
  <c r="KS581" i="40"/>
  <c r="KR581" i="40"/>
  <c r="KR578" i="40"/>
  <c r="KS578" i="40"/>
  <c r="KR582" i="40"/>
  <c r="KS582" i="40"/>
  <c r="KO477" i="40"/>
  <c r="KO479" i="40"/>
  <c r="KO481" i="40"/>
  <c r="KO482" i="40"/>
  <c r="KO483" i="40"/>
  <c r="KO476" i="40"/>
  <c r="KO480" i="40"/>
  <c r="KO478" i="40"/>
  <c r="Q45" i="69"/>
  <c r="AU19" i="69"/>
  <c r="AU20" i="69" s="1"/>
  <c r="AU19" i="68"/>
  <c r="AU21" i="68" s="1"/>
  <c r="Q67" i="68"/>
  <c r="JU559" i="40"/>
  <c r="JV559" i="40" s="1"/>
  <c r="JW559" i="40" s="1"/>
  <c r="KO380" i="40"/>
  <c r="KO382" i="40"/>
  <c r="KO377" i="40"/>
  <c r="KO378" i="40"/>
  <c r="KO381" i="40"/>
  <c r="KO383" i="40"/>
  <c r="KO376" i="40"/>
  <c r="KO379" i="40"/>
  <c r="KS551" i="40"/>
  <c r="Q57" i="71"/>
  <c r="R45" i="68"/>
  <c r="R35" i="68"/>
  <c r="AA49" i="66"/>
  <c r="AA35" i="69"/>
  <c r="JL647" i="40"/>
  <c r="Q69" i="68"/>
  <c r="AD8" i="61"/>
  <c r="AH8" i="61" s="1"/>
  <c r="KI559" i="40"/>
  <c r="JK632" i="40"/>
  <c r="KS549" i="40"/>
  <c r="R37" i="66"/>
  <c r="AA41" i="66"/>
  <c r="AA47" i="69"/>
  <c r="AA47" i="66"/>
  <c r="KS514" i="40"/>
  <c r="Q51" i="68"/>
  <c r="KK559" i="40"/>
  <c r="KO559" i="40"/>
  <c r="KR282" i="40"/>
  <c r="KS282" i="40"/>
  <c r="KS281" i="40"/>
  <c r="KR281" i="40"/>
  <c r="JV518" i="40"/>
  <c r="JW518" i="40" s="1"/>
  <c r="AF36" i="69"/>
  <c r="Q37" i="68"/>
  <c r="Q71" i="68"/>
  <c r="AK34" i="69"/>
  <c r="KR276" i="40"/>
  <c r="KS276" i="40"/>
  <c r="KS280" i="40"/>
  <c r="KR280" i="40"/>
  <c r="Q39" i="68"/>
  <c r="V54" i="59"/>
  <c r="Y33" i="68"/>
  <c r="Y49" i="68" s="1"/>
  <c r="Q57" i="68"/>
  <c r="Q61" i="68"/>
  <c r="AS19" i="69"/>
  <c r="S65" i="71"/>
  <c r="AA34" i="58"/>
  <c r="AA35" i="58" s="1"/>
  <c r="S57" i="67"/>
  <c r="S35" i="67"/>
  <c r="S41" i="67"/>
  <c r="KR529" i="40"/>
  <c r="Y44" i="69"/>
  <c r="KR520" i="40"/>
  <c r="AS23" i="70"/>
  <c r="Q49" i="68"/>
  <c r="Q43" i="68"/>
  <c r="Q59" i="68"/>
  <c r="Q41" i="68"/>
  <c r="KS574" i="40"/>
  <c r="AK34" i="67"/>
  <c r="KS277" i="40"/>
  <c r="KR277" i="40"/>
  <c r="KS283" i="40"/>
  <c r="KR283" i="40"/>
  <c r="AF64" i="70"/>
  <c r="KS202" i="40"/>
  <c r="S69" i="71"/>
  <c r="JM564" i="40"/>
  <c r="KK564" i="40" s="1"/>
  <c r="S61" i="67"/>
  <c r="S45" i="67"/>
  <c r="S53" i="67"/>
  <c r="S55" i="67"/>
  <c r="JM237" i="40"/>
  <c r="KJ237" i="40" s="1"/>
  <c r="JK655" i="40"/>
  <c r="KS508" i="40"/>
  <c r="KJ459" i="40"/>
  <c r="Q53" i="68"/>
  <c r="Q63" i="68"/>
  <c r="JL605" i="40"/>
  <c r="JK605" i="40" s="1"/>
  <c r="R37" i="68"/>
  <c r="KR278" i="40"/>
  <c r="KS278" i="40"/>
  <c r="KS279" i="40"/>
  <c r="KR279" i="40"/>
  <c r="C34" i="62"/>
  <c r="C44" i="62"/>
  <c r="C48" i="62"/>
  <c r="C36" i="62"/>
  <c r="C46" i="62"/>
  <c r="C40" i="62"/>
  <c r="C42" i="62"/>
  <c r="C38" i="62"/>
  <c r="Y36" i="58"/>
  <c r="Z36" i="58"/>
  <c r="Z37" i="58" s="1"/>
  <c r="AB9" i="61"/>
  <c r="T9" i="61" s="1"/>
  <c r="AT19" i="58"/>
  <c r="AT20" i="58" s="1"/>
  <c r="KS211" i="40"/>
  <c r="JL612" i="40"/>
  <c r="JK612" i="40" s="1"/>
  <c r="H20" i="59" s="1"/>
  <c r="JS512" i="40"/>
  <c r="KO512" i="40"/>
  <c r="KS512" i="40" s="1"/>
  <c r="JL619" i="40"/>
  <c r="JK619" i="40" s="1"/>
  <c r="KS557" i="40"/>
  <c r="AK42" i="69"/>
  <c r="AA56" i="59"/>
  <c r="KI512" i="40"/>
  <c r="AN12" i="70"/>
  <c r="BO12" i="70" s="1"/>
  <c r="KK512" i="40"/>
  <c r="KR502" i="40"/>
  <c r="JM245" i="40"/>
  <c r="P56" i="70" s="1"/>
  <c r="AD9" i="61"/>
  <c r="AH9" i="61" s="1"/>
  <c r="JU512" i="40"/>
  <c r="JV512" i="40" s="1"/>
  <c r="JW512" i="40" s="1"/>
  <c r="KJ512" i="40"/>
  <c r="JM207" i="40"/>
  <c r="KI207" i="40" s="1"/>
  <c r="JL607" i="40"/>
  <c r="JK607" i="40" s="1"/>
  <c r="JK643" i="40"/>
  <c r="AS19" i="67"/>
  <c r="AS20" i="67" s="1"/>
  <c r="R43" i="67"/>
  <c r="JS460" i="40"/>
  <c r="KJ460" i="40"/>
  <c r="JT460" i="40"/>
  <c r="JX460" i="40" s="1"/>
  <c r="KK460" i="40"/>
  <c r="JU460" i="40"/>
  <c r="JV460" i="40" s="1"/>
  <c r="JW460" i="40" s="1"/>
  <c r="KI460" i="40"/>
  <c r="JL663" i="40"/>
  <c r="JK663" i="40" s="1"/>
  <c r="KL403" i="40"/>
  <c r="AS13" i="68" s="1"/>
  <c r="KS220" i="40"/>
  <c r="R39" i="68"/>
  <c r="R37" i="71"/>
  <c r="JK645" i="40"/>
  <c r="R41" i="68"/>
  <c r="JM424" i="40"/>
  <c r="JU424" i="40" s="1"/>
  <c r="JV424" i="40" s="1"/>
  <c r="JW424" i="40" s="1"/>
  <c r="JL635" i="40"/>
  <c r="JK635" i="40" s="1"/>
  <c r="JK675" i="40"/>
  <c r="AF33" i="66"/>
  <c r="AF55" i="66" s="1"/>
  <c r="AG55" i="66" s="1"/>
  <c r="JL661" i="40"/>
  <c r="JK661" i="40" s="1"/>
  <c r="JM318" i="40"/>
  <c r="KJ318" i="40" s="1"/>
  <c r="S47" i="67"/>
  <c r="KJ307" i="40"/>
  <c r="JU307" i="40"/>
  <c r="JV307" i="40" s="1"/>
  <c r="JW307" i="40" s="1"/>
  <c r="KI307" i="40"/>
  <c r="KK307" i="40"/>
  <c r="JS307" i="40"/>
  <c r="JT307" i="40"/>
  <c r="AF33" i="69"/>
  <c r="AF49" i="69" s="1"/>
  <c r="AG49" i="69" s="1"/>
  <c r="JV502" i="40"/>
  <c r="JW502" i="40" s="1"/>
  <c r="JS571" i="40"/>
  <c r="KO571" i="40"/>
  <c r="JT571" i="40"/>
  <c r="JX571" i="40" s="1"/>
  <c r="KJ571" i="40"/>
  <c r="JU571" i="40"/>
  <c r="JV571" i="40" s="1"/>
  <c r="JW571" i="40" s="1"/>
  <c r="KI571" i="40"/>
  <c r="KK571" i="40"/>
  <c r="JL608" i="40"/>
  <c r="JK608" i="40" s="1"/>
  <c r="AA49" i="69"/>
  <c r="KJ405" i="40"/>
  <c r="JU570" i="40"/>
  <c r="JV570" i="40" s="1"/>
  <c r="JW570" i="40" s="1"/>
  <c r="KK570" i="40"/>
  <c r="KO570" i="40"/>
  <c r="JT570" i="40"/>
  <c r="JX570" i="40" s="1"/>
  <c r="KI570" i="40"/>
  <c r="JS570" i="40"/>
  <c r="KJ570" i="40"/>
  <c r="JT359" i="40"/>
  <c r="JX359" i="40" s="1"/>
  <c r="JS359" i="40"/>
  <c r="KI359" i="40"/>
  <c r="JU359" i="40"/>
  <c r="JV359" i="40" s="1"/>
  <c r="JW359" i="40" s="1"/>
  <c r="KJ359" i="40"/>
  <c r="KK359" i="40"/>
  <c r="Z37" i="67"/>
  <c r="AA51" i="69"/>
  <c r="KI405" i="40"/>
  <c r="JS405" i="40"/>
  <c r="AC17" i="70"/>
  <c r="KK319" i="40"/>
  <c r="JS319" i="40"/>
  <c r="JT319" i="40"/>
  <c r="JX319" i="40" s="1"/>
  <c r="KI319" i="40"/>
  <c r="AC30" i="70"/>
  <c r="KJ319" i="40"/>
  <c r="JU319" i="40"/>
  <c r="KS266" i="40"/>
  <c r="AA41" i="69"/>
  <c r="JK614" i="40"/>
  <c r="KK405" i="40"/>
  <c r="KL303" i="40"/>
  <c r="AS13" i="67" s="1"/>
  <c r="R53" i="71"/>
  <c r="Q59" i="66"/>
  <c r="AA61" i="69"/>
  <c r="AA57" i="69"/>
  <c r="AA69" i="69"/>
  <c r="R35" i="69"/>
  <c r="JL616" i="40"/>
  <c r="JK616" i="40" s="1"/>
  <c r="R49" i="69"/>
  <c r="R47" i="71"/>
  <c r="R51" i="71"/>
  <c r="AA65" i="69"/>
  <c r="AA59" i="69"/>
  <c r="AA67" i="69"/>
  <c r="R69" i="71"/>
  <c r="JL667" i="40"/>
  <c r="JK667" i="40" s="1"/>
  <c r="JM241" i="40"/>
  <c r="KK241" i="40" s="1"/>
  <c r="JM249" i="40"/>
  <c r="JM649" i="40" s="1"/>
  <c r="A45" i="58"/>
  <c r="AA43" i="69"/>
  <c r="AA63" i="69"/>
  <c r="AU19" i="66"/>
  <c r="AU21" i="66" s="1"/>
  <c r="JS306" i="40"/>
  <c r="KK306" i="40"/>
  <c r="JU306" i="40"/>
  <c r="JV306" i="40" s="1"/>
  <c r="JW306" i="40" s="1"/>
  <c r="KJ306" i="40"/>
  <c r="Q45" i="66"/>
  <c r="Q37" i="66"/>
  <c r="Q51" i="66"/>
  <c r="Y33" i="66"/>
  <c r="AC33" i="66" s="1"/>
  <c r="Q53" i="66"/>
  <c r="Q57" i="66"/>
  <c r="Q61" i="66"/>
  <c r="Q69" i="66"/>
  <c r="Q49" i="66"/>
  <c r="Q35" i="66"/>
  <c r="Q47" i="66"/>
  <c r="Q41" i="66"/>
  <c r="Q71" i="66"/>
  <c r="Q67" i="66"/>
  <c r="Q63" i="66"/>
  <c r="Q65" i="66"/>
  <c r="Q39" i="66"/>
  <c r="AC36" i="70"/>
  <c r="JK604" i="40"/>
  <c r="JT405" i="40"/>
  <c r="JX405" i="40" s="1"/>
  <c r="AC48" i="70"/>
  <c r="JM603" i="40"/>
  <c r="JS603" i="40" s="1"/>
  <c r="JL602" i="40"/>
  <c r="KI410" i="40"/>
  <c r="JT410" i="40"/>
  <c r="JX410" i="40" s="1"/>
  <c r="KI449" i="40"/>
  <c r="KJ410" i="40"/>
  <c r="AK21" i="70"/>
  <c r="KI337" i="40"/>
  <c r="JS410" i="40"/>
  <c r="JU410" i="40"/>
  <c r="AK60" i="70"/>
  <c r="JK641" i="40"/>
  <c r="KK325" i="40"/>
  <c r="JT453" i="40"/>
  <c r="JX453" i="40" s="1"/>
  <c r="AU19" i="71"/>
  <c r="AU21" i="71" s="1"/>
  <c r="KJ325" i="40"/>
  <c r="KJ453" i="40"/>
  <c r="JT371" i="40"/>
  <c r="JX371" i="40" s="1"/>
  <c r="KJ371" i="40"/>
  <c r="KK371" i="40"/>
  <c r="KI371" i="40"/>
  <c r="JU371" i="40"/>
  <c r="JV371" i="40" s="1"/>
  <c r="JW371" i="40" s="1"/>
  <c r="JS371" i="40"/>
  <c r="KJ367" i="40"/>
  <c r="JU367" i="40"/>
  <c r="JV367" i="40" s="1"/>
  <c r="JW367" i="40" s="1"/>
  <c r="JS367" i="40"/>
  <c r="KK367" i="40"/>
  <c r="JT367" i="40"/>
  <c r="JX367" i="40" s="1"/>
  <c r="KI367" i="40"/>
  <c r="AT19" i="71"/>
  <c r="AT21" i="71" s="1"/>
  <c r="AU19" i="67"/>
  <c r="AU20" i="67" s="1"/>
  <c r="JS370" i="40"/>
  <c r="JU370" i="40"/>
  <c r="JV370" i="40" s="1"/>
  <c r="JW370" i="40" s="1"/>
  <c r="KJ370" i="40"/>
  <c r="JT370" i="40"/>
  <c r="JX370" i="40" s="1"/>
  <c r="KK370" i="40"/>
  <c r="KI370" i="40"/>
  <c r="KI306" i="40"/>
  <c r="JT306" i="40"/>
  <c r="JX306" i="40" s="1"/>
  <c r="AT19" i="67"/>
  <c r="AT21" i="67" s="1"/>
  <c r="KO563" i="40"/>
  <c r="KJ563" i="40"/>
  <c r="JU563" i="40"/>
  <c r="JV563" i="40" s="1"/>
  <c r="JW563" i="40" s="1"/>
  <c r="KK563" i="40"/>
  <c r="JT563" i="40"/>
  <c r="JX563" i="40" s="1"/>
  <c r="KI563" i="40"/>
  <c r="JS563" i="40"/>
  <c r="KJ560" i="40"/>
  <c r="KI560" i="40"/>
  <c r="JU560" i="40"/>
  <c r="JV560" i="40" s="1"/>
  <c r="JW560" i="40" s="1"/>
  <c r="KK560" i="40"/>
  <c r="KO560" i="40"/>
  <c r="JT560" i="40"/>
  <c r="JX560" i="40" s="1"/>
  <c r="JS560" i="40"/>
  <c r="JT461" i="40"/>
  <c r="JX461" i="40" s="1"/>
  <c r="KJ461" i="40"/>
  <c r="KK461" i="40"/>
  <c r="KI461" i="40"/>
  <c r="JU461" i="40"/>
  <c r="JV461" i="40" s="1"/>
  <c r="JW461" i="40" s="1"/>
  <c r="JS461" i="40"/>
  <c r="JM604" i="40"/>
  <c r="JT604" i="40" s="1"/>
  <c r="JX604" i="40" s="1"/>
  <c r="JL660" i="40"/>
  <c r="JK660" i="40" s="1"/>
  <c r="S35" i="71"/>
  <c r="S67" i="71"/>
  <c r="S47" i="71"/>
  <c r="S57" i="71"/>
  <c r="S41" i="71"/>
  <c r="Q53" i="71"/>
  <c r="Q45" i="71"/>
  <c r="Q49" i="71"/>
  <c r="Q39" i="71"/>
  <c r="JL662" i="40"/>
  <c r="JK662" i="40" s="1"/>
  <c r="KR561" i="40"/>
  <c r="JL621" i="40"/>
  <c r="JK621" i="40" s="1"/>
  <c r="Z46" i="66"/>
  <c r="Z47" i="66" s="1"/>
  <c r="Y59" i="69"/>
  <c r="JK610" i="40"/>
  <c r="F20" i="59" s="1"/>
  <c r="JK637" i="40"/>
  <c r="JS459" i="40"/>
  <c r="R35" i="66"/>
  <c r="AS19" i="58"/>
  <c r="AS20" i="58" s="1"/>
  <c r="S43" i="71"/>
  <c r="S51" i="71"/>
  <c r="S53" i="71"/>
  <c r="S45" i="71"/>
  <c r="S49" i="71"/>
  <c r="Q59" i="71"/>
  <c r="Q63" i="71"/>
  <c r="Q61" i="71"/>
  <c r="Q65" i="71"/>
  <c r="Z46" i="69"/>
  <c r="Z47" i="69" s="1"/>
  <c r="Z49" i="66"/>
  <c r="Z42" i="69"/>
  <c r="Z43" i="69" s="1"/>
  <c r="JK626" i="40"/>
  <c r="Y39" i="69"/>
  <c r="AS19" i="66"/>
  <c r="AS20" i="66" s="1"/>
  <c r="AT19" i="69"/>
  <c r="Y67" i="69"/>
  <c r="KK459" i="40"/>
  <c r="KI459" i="40"/>
  <c r="KO516" i="40"/>
  <c r="JS516" i="40"/>
  <c r="AS27" i="70"/>
  <c r="JU516" i="40"/>
  <c r="JV516" i="40" s="1"/>
  <c r="JW516" i="40" s="1"/>
  <c r="KK516" i="40"/>
  <c r="JT516" i="40"/>
  <c r="JX516" i="40" s="1"/>
  <c r="KJ516" i="40"/>
  <c r="AN27" i="70"/>
  <c r="KI516" i="40"/>
  <c r="S71" i="67"/>
  <c r="S59" i="67"/>
  <c r="S65" i="67"/>
  <c r="Y33" i="71"/>
  <c r="Y63" i="71" s="1"/>
  <c r="JL659" i="40"/>
  <c r="JK659" i="40" s="1"/>
  <c r="S39" i="71"/>
  <c r="S37" i="71"/>
  <c r="S59" i="71"/>
  <c r="Q69" i="71"/>
  <c r="Q55" i="71"/>
  <c r="Q71" i="71"/>
  <c r="Q35" i="71"/>
  <c r="Q67" i="71"/>
  <c r="KR263" i="40"/>
  <c r="KS268" i="40"/>
  <c r="JK673" i="40"/>
  <c r="JK624" i="40"/>
  <c r="AT19" i="68"/>
  <c r="AC10" i="70"/>
  <c r="JU459" i="40"/>
  <c r="JV459" i="40" s="1"/>
  <c r="JW459" i="40" s="1"/>
  <c r="KI361" i="40"/>
  <c r="KJ361" i="40"/>
  <c r="JU361" i="40"/>
  <c r="JV361" i="40" s="1"/>
  <c r="JW361" i="40" s="1"/>
  <c r="JS361" i="40"/>
  <c r="KK361" i="40"/>
  <c r="JT361" i="40"/>
  <c r="JX361" i="40" s="1"/>
  <c r="AS19" i="68"/>
  <c r="AS20" i="68" s="1"/>
  <c r="KJ334" i="40"/>
  <c r="JS406" i="40"/>
  <c r="KJ406" i="40"/>
  <c r="JT406" i="40"/>
  <c r="JX406" i="40" s="1"/>
  <c r="KK406" i="40"/>
  <c r="KI406" i="40"/>
  <c r="JU406" i="40"/>
  <c r="JV406" i="40" s="1"/>
  <c r="JW406" i="40" s="1"/>
  <c r="JM667" i="40"/>
  <c r="JT667" i="40" s="1"/>
  <c r="KR575" i="40"/>
  <c r="KS575" i="40"/>
  <c r="JU329" i="40"/>
  <c r="JV329" i="40" s="1"/>
  <c r="JW329" i="40" s="1"/>
  <c r="KJ329" i="40"/>
  <c r="JT329" i="40"/>
  <c r="JX329" i="40" s="1"/>
  <c r="KI329" i="40"/>
  <c r="AC40" i="70"/>
  <c r="KK329" i="40"/>
  <c r="JS329" i="40"/>
  <c r="KO260" i="40"/>
  <c r="JS260" i="40"/>
  <c r="KJ260" i="40"/>
  <c r="JU260" i="40"/>
  <c r="JV260" i="40" s="1"/>
  <c r="JW260" i="40" s="1"/>
  <c r="KK260" i="40"/>
  <c r="KI260" i="40"/>
  <c r="JT260" i="40"/>
  <c r="JX260" i="40" s="1"/>
  <c r="JM660" i="40"/>
  <c r="JV510" i="40"/>
  <c r="JW510" i="40" s="1"/>
  <c r="R63" i="68"/>
  <c r="R57" i="68"/>
  <c r="R51" i="68"/>
  <c r="R61" i="68"/>
  <c r="R55" i="68"/>
  <c r="R43" i="68"/>
  <c r="R71" i="68"/>
  <c r="R49" i="68"/>
  <c r="R67" i="68"/>
  <c r="R53" i="68"/>
  <c r="R59" i="68"/>
  <c r="R65" i="68"/>
  <c r="R69" i="68"/>
  <c r="AQ12" i="61"/>
  <c r="W12" i="61" s="1"/>
  <c r="AR12" i="61"/>
  <c r="X12" i="61" s="1"/>
  <c r="AP12" i="61"/>
  <c r="V12" i="61" s="1"/>
  <c r="JF601" i="40"/>
  <c r="JF701" i="40" s="1"/>
  <c r="JU213" i="40"/>
  <c r="AE42" i="66"/>
  <c r="KK213" i="40"/>
  <c r="JT213" i="40"/>
  <c r="JX213" i="40" s="1"/>
  <c r="KJ213" i="40"/>
  <c r="KI213" i="40"/>
  <c r="JS213" i="40"/>
  <c r="P24" i="70"/>
  <c r="U24" i="70"/>
  <c r="KO213" i="40"/>
  <c r="JT336" i="40"/>
  <c r="JX336" i="40" s="1"/>
  <c r="KK336" i="40"/>
  <c r="AC47" i="70"/>
  <c r="KI336" i="40"/>
  <c r="KJ336" i="40"/>
  <c r="JU336" i="40"/>
  <c r="JV336" i="40" s="1"/>
  <c r="JW336" i="40" s="1"/>
  <c r="JS336" i="40"/>
  <c r="AK46" i="70"/>
  <c r="KK435" i="40"/>
  <c r="JS435" i="40"/>
  <c r="KI435" i="40"/>
  <c r="JT435" i="40"/>
  <c r="JX435" i="40" s="1"/>
  <c r="KJ435" i="40"/>
  <c r="JM373" i="40"/>
  <c r="JM673" i="40" s="1"/>
  <c r="Z44" i="69"/>
  <c r="Z45" i="69" s="1"/>
  <c r="R45" i="69"/>
  <c r="AT19" i="66"/>
  <c r="Z38" i="69"/>
  <c r="JL622" i="40"/>
  <c r="JK622" i="40" s="1"/>
  <c r="KR510" i="40"/>
  <c r="AS16" i="69" s="1"/>
  <c r="AV16" i="69" s="1"/>
  <c r="KS510" i="40"/>
  <c r="KO267" i="40"/>
  <c r="KI267" i="40"/>
  <c r="JU267" i="40"/>
  <c r="JV267" i="40" s="1"/>
  <c r="JW267" i="40" s="1"/>
  <c r="KJ267" i="40"/>
  <c r="JT267" i="40"/>
  <c r="JX267" i="40" s="1"/>
  <c r="JS267" i="40"/>
  <c r="KK267" i="40"/>
  <c r="Q43" i="66"/>
  <c r="KO506" i="40"/>
  <c r="JU506" i="40"/>
  <c r="JV506" i="40" s="1"/>
  <c r="JW506" i="40" s="1"/>
  <c r="KK506" i="40"/>
  <c r="JT506" i="40"/>
  <c r="JX506" i="40" s="1"/>
  <c r="KJ506" i="40"/>
  <c r="JS506" i="40"/>
  <c r="KI506" i="40"/>
  <c r="AA39" i="69"/>
  <c r="AA45" i="69"/>
  <c r="AA55" i="69"/>
  <c r="AA71" i="69"/>
  <c r="AA53" i="69"/>
  <c r="KO567" i="40"/>
  <c r="JU567" i="40"/>
  <c r="JV567" i="40" s="1"/>
  <c r="JW567" i="40" s="1"/>
  <c r="JS567" i="40"/>
  <c r="KJ567" i="40"/>
  <c r="JT567" i="40"/>
  <c r="JX567" i="40" s="1"/>
  <c r="KK567" i="40"/>
  <c r="KI567" i="40"/>
  <c r="AB8" i="61"/>
  <c r="T8" i="61" s="1"/>
  <c r="U15" i="70"/>
  <c r="P28" i="70"/>
  <c r="JT217" i="40"/>
  <c r="JX217" i="40" s="1"/>
  <c r="KJ217" i="40"/>
  <c r="KO217" i="40"/>
  <c r="P15" i="70"/>
  <c r="BF15" i="70" s="1"/>
  <c r="JS217" i="40"/>
  <c r="JU217" i="40"/>
  <c r="KK217" i="40"/>
  <c r="U28" i="70"/>
  <c r="KI217" i="40"/>
  <c r="AE38" i="66"/>
  <c r="JK628" i="40"/>
  <c r="JT447" i="40"/>
  <c r="JX447" i="40" s="1"/>
  <c r="KJ447" i="40"/>
  <c r="AK58" i="70"/>
  <c r="JS447" i="40"/>
  <c r="KK447" i="40"/>
  <c r="JU447" i="40"/>
  <c r="JV447" i="40" s="1"/>
  <c r="JW447" i="40" s="1"/>
  <c r="KI447" i="40"/>
  <c r="AA51" i="66"/>
  <c r="AA69" i="66"/>
  <c r="AA59" i="66"/>
  <c r="AA35" i="66"/>
  <c r="AA71" i="66"/>
  <c r="AA65" i="66"/>
  <c r="AA39" i="66"/>
  <c r="AA57" i="66"/>
  <c r="AA53" i="66"/>
  <c r="AA61" i="66"/>
  <c r="AA67" i="66"/>
  <c r="AA63" i="66"/>
  <c r="AA55" i="66"/>
  <c r="R47" i="68"/>
  <c r="JK618" i="40"/>
  <c r="JF618" i="40"/>
  <c r="JS334" i="40"/>
  <c r="JU334" i="40"/>
  <c r="JV334" i="40" s="1"/>
  <c r="JW334" i="40" s="1"/>
  <c r="AC45" i="70"/>
  <c r="KK334" i="40"/>
  <c r="Y51" i="69"/>
  <c r="AC18" i="70"/>
  <c r="JT375" i="40"/>
  <c r="JX375" i="40" s="1"/>
  <c r="KJ375" i="40"/>
  <c r="KK375" i="40"/>
  <c r="KI375" i="40"/>
  <c r="JU375" i="40"/>
  <c r="JV375" i="40" s="1"/>
  <c r="JW375" i="40" s="1"/>
  <c r="JS375" i="40"/>
  <c r="JM668" i="40"/>
  <c r="JU668" i="40" s="1"/>
  <c r="JV668" i="40" s="1"/>
  <c r="JW668" i="40" s="1"/>
  <c r="JK664" i="40"/>
  <c r="Y69" i="68"/>
  <c r="Y57" i="68"/>
  <c r="Y61" i="68"/>
  <c r="KK337" i="40"/>
  <c r="KJ337" i="40"/>
  <c r="JT337" i="40"/>
  <c r="JX337" i="40" s="1"/>
  <c r="JU337" i="40"/>
  <c r="JV337" i="40" s="1"/>
  <c r="JW337" i="40" s="1"/>
  <c r="AK17" i="70"/>
  <c r="AK30" i="70"/>
  <c r="KI419" i="40"/>
  <c r="JU419" i="40"/>
  <c r="JV419" i="40" s="1"/>
  <c r="JW419" i="40" s="1"/>
  <c r="JS419" i="40"/>
  <c r="JT419" i="40"/>
  <c r="JX419" i="40" s="1"/>
  <c r="KJ419" i="40"/>
  <c r="KK419" i="40"/>
  <c r="KJ573" i="40"/>
  <c r="KO573" i="40"/>
  <c r="JU573" i="40"/>
  <c r="JV573" i="40" s="1"/>
  <c r="JW573" i="40" s="1"/>
  <c r="JS573" i="40"/>
  <c r="JT573" i="40"/>
  <c r="JX573" i="40" s="1"/>
  <c r="KK573" i="40"/>
  <c r="KI573" i="40"/>
  <c r="JT449" i="40"/>
  <c r="JX449" i="40" s="1"/>
  <c r="JU449" i="40"/>
  <c r="JV449" i="40" s="1"/>
  <c r="JW449" i="40" s="1"/>
  <c r="KK449" i="40"/>
  <c r="KJ449" i="40"/>
  <c r="KI443" i="40"/>
  <c r="JU443" i="40"/>
  <c r="JV443" i="40" s="1"/>
  <c r="JW443" i="40" s="1"/>
  <c r="JS443" i="40"/>
  <c r="AK54" i="70"/>
  <c r="JT443" i="40"/>
  <c r="JX443" i="40" s="1"/>
  <c r="KJ443" i="40"/>
  <c r="KK443" i="40"/>
  <c r="Y46" i="69"/>
  <c r="JT334" i="40"/>
  <c r="JX334" i="40" s="1"/>
  <c r="KJ521" i="40"/>
  <c r="AN32" i="70"/>
  <c r="KO521" i="40"/>
  <c r="JT521" i="40"/>
  <c r="JX521" i="40" s="1"/>
  <c r="JU521" i="40"/>
  <c r="JV521" i="40" s="1"/>
  <c r="JW521" i="40" s="1"/>
  <c r="JS521" i="40"/>
  <c r="AS32" i="70"/>
  <c r="KK521" i="40"/>
  <c r="KI521" i="40"/>
  <c r="JK603" i="40"/>
  <c r="JF603" i="40"/>
  <c r="JU325" i="40"/>
  <c r="JV325" i="40" s="1"/>
  <c r="JW325" i="40" s="1"/>
  <c r="JS325" i="40"/>
  <c r="KI325" i="40"/>
  <c r="AK64" i="70"/>
  <c r="KK453" i="40"/>
  <c r="JS453" i="40"/>
  <c r="JU453" i="40"/>
  <c r="JV453" i="40" s="1"/>
  <c r="JW453" i="40" s="1"/>
  <c r="R43" i="58"/>
  <c r="A43" i="58" s="1"/>
  <c r="Z42" i="58"/>
  <c r="Z43" i="58" s="1"/>
  <c r="AK52" i="70"/>
  <c r="KJ441" i="40"/>
  <c r="KI441" i="40"/>
  <c r="KK441" i="40"/>
  <c r="JT441" i="40"/>
  <c r="JX441" i="40" s="1"/>
  <c r="JU441" i="40"/>
  <c r="JV441" i="40" s="1"/>
  <c r="JW441" i="40" s="1"/>
  <c r="JS441" i="40"/>
  <c r="JU427" i="40"/>
  <c r="JV427" i="40" s="1"/>
  <c r="JW427" i="40" s="1"/>
  <c r="KJ427" i="40"/>
  <c r="JT427" i="40"/>
  <c r="JX427" i="40" s="1"/>
  <c r="KK427" i="40"/>
  <c r="KI427" i="40"/>
  <c r="AK38" i="70"/>
  <c r="JS427" i="40"/>
  <c r="JV435" i="40"/>
  <c r="JW435" i="40" s="1"/>
  <c r="AF42" i="68"/>
  <c r="KO470" i="40"/>
  <c r="KJ470" i="40"/>
  <c r="JU470" i="40"/>
  <c r="JV470" i="40" s="1"/>
  <c r="JW470" i="40" s="1"/>
  <c r="KK470" i="40"/>
  <c r="KI470" i="40"/>
  <c r="JT470" i="40"/>
  <c r="JX470" i="40" s="1"/>
  <c r="JS470" i="40"/>
  <c r="JS471" i="40"/>
  <c r="JU471" i="40"/>
  <c r="JV471" i="40" s="1"/>
  <c r="JW471" i="40" s="1"/>
  <c r="KO471" i="40"/>
  <c r="KJ471" i="40"/>
  <c r="KI471" i="40"/>
  <c r="JT471" i="40"/>
  <c r="JX471" i="40" s="1"/>
  <c r="KK471" i="40"/>
  <c r="KO522" i="40"/>
  <c r="AS33" i="70"/>
  <c r="KI522" i="40"/>
  <c r="AN33" i="70"/>
  <c r="JS522" i="40"/>
  <c r="JT522" i="40"/>
  <c r="JX522" i="40" s="1"/>
  <c r="JU522" i="40"/>
  <c r="JV522" i="40" s="1"/>
  <c r="JW522" i="40" s="1"/>
  <c r="KK522" i="40"/>
  <c r="KJ522" i="40"/>
  <c r="AE40" i="67"/>
  <c r="AD40" i="67" s="1"/>
  <c r="AC24" i="70"/>
  <c r="KI313" i="40"/>
  <c r="KK313" i="40"/>
  <c r="JU313" i="40"/>
  <c r="JT313" i="40"/>
  <c r="JX313" i="40" s="1"/>
  <c r="JS313" i="40"/>
  <c r="KJ313" i="40"/>
  <c r="KT201" i="40"/>
  <c r="KT202" i="40" s="1"/>
  <c r="JS201" i="40"/>
  <c r="KO201" i="40"/>
  <c r="JU201" i="40"/>
  <c r="JV201" i="40" s="1"/>
  <c r="JW201" i="40" s="1"/>
  <c r="JT201" i="40"/>
  <c r="JM663" i="40"/>
  <c r="JT363" i="40"/>
  <c r="JX363" i="40" s="1"/>
  <c r="KK363" i="40"/>
  <c r="KI363" i="40"/>
  <c r="JS363" i="40"/>
  <c r="KJ363" i="40"/>
  <c r="JU363" i="40"/>
  <c r="JV363" i="40" s="1"/>
  <c r="JW363" i="40" s="1"/>
  <c r="KO259" i="40"/>
  <c r="JU259" i="40"/>
  <c r="JV259" i="40" s="1"/>
  <c r="JW259" i="40" s="1"/>
  <c r="KJ259" i="40"/>
  <c r="JT259" i="40"/>
  <c r="JX259" i="40" s="1"/>
  <c r="JS259" i="40"/>
  <c r="KK259" i="40"/>
  <c r="KI259" i="40"/>
  <c r="JM659" i="40"/>
  <c r="JU659" i="40" s="1"/>
  <c r="JV659" i="40" s="1"/>
  <c r="JW659" i="40" s="1"/>
  <c r="JL615" i="40"/>
  <c r="JK615" i="40" s="1"/>
  <c r="AN24" i="70"/>
  <c r="JT513" i="40"/>
  <c r="JX513" i="40" s="1"/>
  <c r="JU513" i="40"/>
  <c r="AS24" i="70"/>
  <c r="KJ513" i="40"/>
  <c r="JS513" i="40"/>
  <c r="KI513" i="40"/>
  <c r="KK513" i="40"/>
  <c r="KO513" i="40"/>
  <c r="AC25" i="70"/>
  <c r="JS314" i="40"/>
  <c r="JU466" i="40"/>
  <c r="JV466" i="40" s="1"/>
  <c r="JW466" i="40" s="1"/>
  <c r="JS466" i="40"/>
  <c r="KJ466" i="40"/>
  <c r="KK466" i="40"/>
  <c r="KO466" i="40"/>
  <c r="JT466" i="40"/>
  <c r="JX466" i="40" s="1"/>
  <c r="KI466" i="40"/>
  <c r="KO204" i="40"/>
  <c r="KI204" i="40"/>
  <c r="JU204" i="40"/>
  <c r="JV204" i="40" s="1"/>
  <c r="JW204" i="40" s="1"/>
  <c r="KK204" i="40"/>
  <c r="JT204" i="40"/>
  <c r="JX204" i="40" s="1"/>
  <c r="KJ204" i="40"/>
  <c r="JS204" i="40"/>
  <c r="P37" i="70"/>
  <c r="KO226" i="40"/>
  <c r="JS226" i="40"/>
  <c r="JU226" i="40"/>
  <c r="JV226" i="40" s="1"/>
  <c r="JW226" i="40" s="1"/>
  <c r="U37" i="70"/>
  <c r="KJ226" i="40"/>
  <c r="KI226" i="40"/>
  <c r="KK226" i="40"/>
  <c r="JT226" i="40"/>
  <c r="JX226" i="40" s="1"/>
  <c r="JU237" i="40"/>
  <c r="JV237" i="40" s="1"/>
  <c r="JW237" i="40" s="1"/>
  <c r="JM645" i="40"/>
  <c r="JM653" i="40"/>
  <c r="P64" i="70"/>
  <c r="KO253" i="40"/>
  <c r="JU253" i="40"/>
  <c r="JV253" i="40" s="1"/>
  <c r="JW253" i="40" s="1"/>
  <c r="JS253" i="40"/>
  <c r="KK253" i="40"/>
  <c r="JT253" i="40"/>
  <c r="JX253" i="40" s="1"/>
  <c r="KJ253" i="40"/>
  <c r="KI253" i="40"/>
  <c r="U64" i="70"/>
  <c r="AC52" i="70"/>
  <c r="JS341" i="40"/>
  <c r="KJ341" i="40"/>
  <c r="JU341" i="40"/>
  <c r="JV341" i="40" s="1"/>
  <c r="JW341" i="40" s="1"/>
  <c r="JT341" i="40"/>
  <c r="JX341" i="40" s="1"/>
  <c r="KK341" i="40"/>
  <c r="KI341" i="40"/>
  <c r="AC44" i="70"/>
  <c r="JS333" i="40"/>
  <c r="KJ333" i="40"/>
  <c r="JU333" i="40"/>
  <c r="JV333" i="40" s="1"/>
  <c r="JW333" i="40" s="1"/>
  <c r="KK333" i="40"/>
  <c r="JT333" i="40"/>
  <c r="JX333" i="40" s="1"/>
  <c r="KI333" i="40"/>
  <c r="JM657" i="40"/>
  <c r="AC68" i="70"/>
  <c r="KI357" i="40"/>
  <c r="KJ357" i="40"/>
  <c r="JU357" i="40"/>
  <c r="JV357" i="40" s="1"/>
  <c r="JW357" i="40" s="1"/>
  <c r="JT357" i="40"/>
  <c r="JX357" i="40" s="1"/>
  <c r="KK357" i="40"/>
  <c r="JS357" i="40"/>
  <c r="M43" i="59"/>
  <c r="I30" i="59"/>
  <c r="V43" i="59"/>
  <c r="R35" i="58"/>
  <c r="A35" i="58" s="1"/>
  <c r="Z34" i="58"/>
  <c r="JM525" i="40"/>
  <c r="AE38" i="69" s="1"/>
  <c r="AM39" i="69" s="1"/>
  <c r="JL625" i="40"/>
  <c r="JK625" i="40" s="1"/>
  <c r="Z61" i="67"/>
  <c r="Z49" i="67"/>
  <c r="Z53" i="67"/>
  <c r="Z55" i="67"/>
  <c r="Z69" i="67"/>
  <c r="Z65" i="67"/>
  <c r="Z51" i="67"/>
  <c r="Z63" i="67"/>
  <c r="Z59" i="67"/>
  <c r="Z71" i="67"/>
  <c r="Z57" i="67"/>
  <c r="Z67" i="67"/>
  <c r="Z35" i="67"/>
  <c r="JK647" i="40"/>
  <c r="JK639" i="40"/>
  <c r="JF639" i="40"/>
  <c r="AK56" i="70"/>
  <c r="AF56" i="70"/>
  <c r="KO445" i="40"/>
  <c r="KI445" i="40"/>
  <c r="KJ445" i="40"/>
  <c r="JU445" i="40"/>
  <c r="JV445" i="40" s="1"/>
  <c r="JW445" i="40" s="1"/>
  <c r="KK445" i="40"/>
  <c r="JT445" i="40"/>
  <c r="JX445" i="40" s="1"/>
  <c r="JS445" i="40"/>
  <c r="AF60" i="70"/>
  <c r="KO453" i="40"/>
  <c r="AC27" i="70"/>
  <c r="JT316" i="40"/>
  <c r="JX316" i="40" s="1"/>
  <c r="JS316" i="40"/>
  <c r="KK316" i="40"/>
  <c r="KJ316" i="40"/>
  <c r="JU316" i="40"/>
  <c r="JV316" i="40" s="1"/>
  <c r="JW316" i="40" s="1"/>
  <c r="KI316" i="40"/>
  <c r="KI365" i="40"/>
  <c r="JT365" i="40"/>
  <c r="JX365" i="40" s="1"/>
  <c r="KJ365" i="40"/>
  <c r="JS365" i="40"/>
  <c r="KK365" i="40"/>
  <c r="JU365" i="40"/>
  <c r="JV365" i="40" s="1"/>
  <c r="JW365" i="40" s="1"/>
  <c r="P14" i="70"/>
  <c r="BF14" i="70" s="1"/>
  <c r="U39" i="70"/>
  <c r="U14" i="70"/>
  <c r="KO228" i="40"/>
  <c r="JS228" i="40"/>
  <c r="JT228" i="40"/>
  <c r="JX228" i="40" s="1"/>
  <c r="JU228" i="40"/>
  <c r="JV228" i="40" s="1"/>
  <c r="JW228" i="40" s="1"/>
  <c r="KK228" i="40"/>
  <c r="KJ228" i="40"/>
  <c r="P39" i="70"/>
  <c r="KI228" i="40"/>
  <c r="P50" i="70"/>
  <c r="U50" i="70"/>
  <c r="KJ239" i="40"/>
  <c r="KO239" i="40"/>
  <c r="JT239" i="40"/>
  <c r="JX239" i="40" s="1"/>
  <c r="JS239" i="40"/>
  <c r="JU239" i="40"/>
  <c r="JV239" i="40" s="1"/>
  <c r="JW239" i="40" s="1"/>
  <c r="KI239" i="40"/>
  <c r="KK239" i="40"/>
  <c r="U58" i="70"/>
  <c r="P58" i="70"/>
  <c r="JM647" i="40"/>
  <c r="JU247" i="40"/>
  <c r="AE34" i="66"/>
  <c r="KJ247" i="40"/>
  <c r="KK247" i="40"/>
  <c r="KO247" i="40"/>
  <c r="JT247" i="40"/>
  <c r="JX247" i="40" s="1"/>
  <c r="JS247" i="40"/>
  <c r="KI247" i="40"/>
  <c r="JM655" i="40"/>
  <c r="P7" i="70"/>
  <c r="BF7" i="70" s="1"/>
  <c r="KO255" i="40"/>
  <c r="U7" i="70"/>
  <c r="KI255" i="40"/>
  <c r="U66" i="70"/>
  <c r="JU255" i="40"/>
  <c r="JV255" i="40" s="1"/>
  <c r="JW255" i="40" s="1"/>
  <c r="P66" i="70"/>
  <c r="KK255" i="40"/>
  <c r="JT255" i="40"/>
  <c r="JX255" i="40" s="1"/>
  <c r="JS255" i="40"/>
  <c r="KJ255" i="40"/>
  <c r="JM315" i="40"/>
  <c r="X26" i="70" s="1"/>
  <c r="P43" i="70"/>
  <c r="P9" i="70"/>
  <c r="BF9" i="70" s="1"/>
  <c r="U9" i="70"/>
  <c r="JT232" i="40"/>
  <c r="JX232" i="40" s="1"/>
  <c r="KJ232" i="40"/>
  <c r="KK232" i="40"/>
  <c r="KO232" i="40"/>
  <c r="U43" i="70"/>
  <c r="JS232" i="40"/>
  <c r="KI232" i="40"/>
  <c r="JU232" i="40"/>
  <c r="JV232" i="40" s="1"/>
  <c r="JW232" i="40" s="1"/>
  <c r="JM330" i="40"/>
  <c r="X41" i="70" s="1"/>
  <c r="JM366" i="40"/>
  <c r="KO366" i="40" s="1"/>
  <c r="JL666" i="40"/>
  <c r="JK666" i="40" s="1"/>
  <c r="JL630" i="40"/>
  <c r="JK630" i="40" s="1"/>
  <c r="KO264" i="40"/>
  <c r="KI264" i="40"/>
  <c r="JT264" i="40"/>
  <c r="JX264" i="40" s="1"/>
  <c r="KJ264" i="40"/>
  <c r="JU264" i="40"/>
  <c r="JV264" i="40" s="1"/>
  <c r="JW264" i="40" s="1"/>
  <c r="KK264" i="40"/>
  <c r="JS264" i="40"/>
  <c r="Z47" i="67"/>
  <c r="KO408" i="40"/>
  <c r="KI408" i="40"/>
  <c r="JU408" i="40"/>
  <c r="JV408" i="40" s="1"/>
  <c r="JW408" i="40" s="1"/>
  <c r="JS408" i="40"/>
  <c r="KJ408" i="40"/>
  <c r="KK408" i="40"/>
  <c r="JT408" i="40"/>
  <c r="JX408" i="40" s="1"/>
  <c r="JM465" i="40"/>
  <c r="JM665" i="40" s="1"/>
  <c r="JL665" i="40"/>
  <c r="JK665" i="40" s="1"/>
  <c r="Z35" i="66"/>
  <c r="Z41" i="66"/>
  <c r="JM269" i="40"/>
  <c r="JM669" i="40" s="1"/>
  <c r="Y48" i="69"/>
  <c r="Z43" i="67"/>
  <c r="KO410" i="40"/>
  <c r="JK651" i="40"/>
  <c r="JM439" i="40"/>
  <c r="JM639" i="40" s="1"/>
  <c r="Z44" i="68"/>
  <c r="Z45" i="68" s="1"/>
  <c r="JL601" i="40"/>
  <c r="JX201" i="40"/>
  <c r="JL611" i="40"/>
  <c r="JK611" i="40" s="1"/>
  <c r="G20" i="59" s="1"/>
  <c r="KT501" i="40"/>
  <c r="KT502" i="40" s="1"/>
  <c r="KO501" i="40"/>
  <c r="JT501" i="40"/>
  <c r="JS501" i="40"/>
  <c r="JU501" i="40"/>
  <c r="JV501" i="40" s="1"/>
  <c r="JW501" i="40" s="1"/>
  <c r="AC21" i="70"/>
  <c r="AE38" i="67"/>
  <c r="JU310" i="40"/>
  <c r="KI310" i="40"/>
  <c r="JS310" i="40"/>
  <c r="JT310" i="40"/>
  <c r="JX310" i="40" s="1"/>
  <c r="KK310" i="40"/>
  <c r="KJ310" i="40"/>
  <c r="AC49" i="70"/>
  <c r="JT338" i="40"/>
  <c r="JX338" i="40" s="1"/>
  <c r="KJ338" i="40"/>
  <c r="KI338" i="40"/>
  <c r="JS338" i="40"/>
  <c r="KK338" i="40"/>
  <c r="JU338" i="40"/>
  <c r="JV338" i="40" s="1"/>
  <c r="JW338" i="40" s="1"/>
  <c r="JU273" i="40"/>
  <c r="JV273" i="40" s="1"/>
  <c r="JW273" i="40" s="1"/>
  <c r="KJ273" i="40"/>
  <c r="JS273" i="40"/>
  <c r="JT273" i="40"/>
  <c r="JX273" i="40" s="1"/>
  <c r="KK273" i="40"/>
  <c r="KI273" i="40"/>
  <c r="KO273" i="40"/>
  <c r="P33" i="70"/>
  <c r="U33" i="70"/>
  <c r="JT222" i="40"/>
  <c r="JX222" i="40" s="1"/>
  <c r="KI222" i="40"/>
  <c r="JU222" i="40"/>
  <c r="JV222" i="40" s="1"/>
  <c r="JW222" i="40" s="1"/>
  <c r="JS222" i="40"/>
  <c r="KJ222" i="40"/>
  <c r="KO222" i="40"/>
  <c r="KK222" i="40"/>
  <c r="U44" i="70"/>
  <c r="P44" i="70"/>
  <c r="JM633" i="40"/>
  <c r="KO233" i="40"/>
  <c r="JT233" i="40"/>
  <c r="JX233" i="40" s="1"/>
  <c r="KI233" i="40"/>
  <c r="JS233" i="40"/>
  <c r="JU233" i="40"/>
  <c r="JV233" i="40" s="1"/>
  <c r="JW233" i="40" s="1"/>
  <c r="KJ233" i="40"/>
  <c r="KK233" i="40"/>
  <c r="U60" i="70"/>
  <c r="JT249" i="40"/>
  <c r="JX249" i="40" s="1"/>
  <c r="JM301" i="40"/>
  <c r="KO301" i="40" s="1"/>
  <c r="AS13" i="70"/>
  <c r="AN26" i="70"/>
  <c r="AS26" i="70"/>
  <c r="KO515" i="40"/>
  <c r="AN13" i="70"/>
  <c r="BO13" i="70" s="1"/>
  <c r="KJ515" i="40"/>
  <c r="JU515" i="40"/>
  <c r="JV515" i="40" s="1"/>
  <c r="JW515" i="40" s="1"/>
  <c r="JS515" i="40"/>
  <c r="JT515" i="40"/>
  <c r="JX515" i="40" s="1"/>
  <c r="KK515" i="40"/>
  <c r="KI515" i="40"/>
  <c r="KO203" i="40"/>
  <c r="JT203" i="40"/>
  <c r="JX203" i="40" s="1"/>
  <c r="JS203" i="40"/>
  <c r="KK203" i="40"/>
  <c r="KJ203" i="40"/>
  <c r="JU203" i="40"/>
  <c r="JV203" i="40" s="1"/>
  <c r="JW203" i="40" s="1"/>
  <c r="KI203" i="40"/>
  <c r="AC53" i="70"/>
  <c r="KK342" i="40"/>
  <c r="KJ342" i="40"/>
  <c r="KI342" i="40"/>
  <c r="JU342" i="40"/>
  <c r="JV342" i="40" s="1"/>
  <c r="JW342" i="40" s="1"/>
  <c r="JT342" i="40"/>
  <c r="JX342" i="40" s="1"/>
  <c r="JS342" i="40"/>
  <c r="KO457" i="40"/>
  <c r="AF48" i="70"/>
  <c r="AF30" i="70"/>
  <c r="AF12" i="70"/>
  <c r="BL12" i="70" s="1"/>
  <c r="AF68" i="70"/>
  <c r="AE33" i="68"/>
  <c r="AN37" i="68" s="1"/>
  <c r="AF58" i="70"/>
  <c r="AF44" i="70"/>
  <c r="AF16" i="70"/>
  <c r="BL16" i="70" s="1"/>
  <c r="AF66" i="70"/>
  <c r="AF18" i="70"/>
  <c r="AF17" i="70"/>
  <c r="KO404" i="40"/>
  <c r="KO405" i="40"/>
  <c r="AF20" i="70"/>
  <c r="AF42" i="70"/>
  <c r="KO414" i="40"/>
  <c r="KO463" i="40"/>
  <c r="KO406" i="40"/>
  <c r="KO402" i="40"/>
  <c r="KO443" i="40"/>
  <c r="KO435" i="40"/>
  <c r="KO441" i="40"/>
  <c r="KO460" i="40"/>
  <c r="KO427" i="40"/>
  <c r="KO418" i="40"/>
  <c r="JU402" i="40"/>
  <c r="KO433" i="40"/>
  <c r="KO437" i="40"/>
  <c r="KO419" i="40"/>
  <c r="AF36" i="70"/>
  <c r="KO431" i="40"/>
  <c r="KO464" i="40"/>
  <c r="KO455" i="40"/>
  <c r="KO412" i="40"/>
  <c r="KO459" i="40"/>
  <c r="KO416" i="40"/>
  <c r="KO447" i="40"/>
  <c r="AF54" i="70"/>
  <c r="JT402" i="40"/>
  <c r="JX402" i="40" s="1"/>
  <c r="KK402" i="40"/>
  <c r="KO407" i="40"/>
  <c r="AF23" i="70"/>
  <c r="AF38" i="70"/>
  <c r="KO403" i="40"/>
  <c r="KO461" i="40"/>
  <c r="KO425" i="40"/>
  <c r="KI402" i="40"/>
  <c r="AF52" i="70"/>
  <c r="KO467" i="40"/>
  <c r="AF29" i="70"/>
  <c r="AF7" i="70"/>
  <c r="BL7" i="70" s="1"/>
  <c r="KO409" i="40"/>
  <c r="KJ402" i="40"/>
  <c r="KO472" i="40"/>
  <c r="AF40" i="70"/>
  <c r="AF25" i="70"/>
  <c r="JS402" i="40"/>
  <c r="AF46" i="70"/>
  <c r="AF27" i="70"/>
  <c r="KO473" i="40"/>
  <c r="KO475" i="40"/>
  <c r="JL633" i="40"/>
  <c r="JK633" i="40" s="1"/>
  <c r="Z33" i="71"/>
  <c r="R39" i="71"/>
  <c r="R49" i="71"/>
  <c r="R63" i="71"/>
  <c r="R43" i="71"/>
  <c r="R65" i="71"/>
  <c r="R45" i="71"/>
  <c r="R55" i="71"/>
  <c r="R61" i="71"/>
  <c r="R41" i="71"/>
  <c r="R59" i="71"/>
  <c r="R57" i="71"/>
  <c r="R71" i="71"/>
  <c r="R35" i="71"/>
  <c r="JU230" i="40"/>
  <c r="JV230" i="40" s="1"/>
  <c r="JW230" i="40" s="1"/>
  <c r="KJ230" i="40"/>
  <c r="KO230" i="40"/>
  <c r="JT230" i="40"/>
  <c r="JX230" i="40" s="1"/>
  <c r="KK230" i="40"/>
  <c r="KI230" i="40"/>
  <c r="P41" i="70"/>
  <c r="JS230" i="40"/>
  <c r="U41" i="70"/>
  <c r="JK672" i="40"/>
  <c r="AC36" i="66"/>
  <c r="Y44" i="68"/>
  <c r="Q35" i="68"/>
  <c r="Y34" i="68"/>
  <c r="Z41" i="67"/>
  <c r="Y38" i="66"/>
  <c r="AC38" i="66" s="1"/>
  <c r="AF21" i="70"/>
  <c r="JV410" i="40"/>
  <c r="JW410" i="40" s="1"/>
  <c r="AF36" i="68"/>
  <c r="JM423" i="40"/>
  <c r="JM623" i="40" s="1"/>
  <c r="JL623" i="40"/>
  <c r="JK623" i="40" s="1"/>
  <c r="KO451" i="40"/>
  <c r="AS19" i="71"/>
  <c r="AS20" i="71" s="1"/>
  <c r="A37" i="58"/>
  <c r="JL613" i="40"/>
  <c r="JK613" i="40" s="1"/>
  <c r="AS11" i="70"/>
  <c r="AS22" i="70"/>
  <c r="AE46" i="69"/>
  <c r="JU511" i="40"/>
  <c r="KO511" i="40"/>
  <c r="KJ511" i="40"/>
  <c r="AN11" i="70"/>
  <c r="BO11" i="70" s="1"/>
  <c r="KK511" i="40"/>
  <c r="JS511" i="40"/>
  <c r="JT511" i="40"/>
  <c r="JX511" i="40" s="1"/>
  <c r="KI511" i="40"/>
  <c r="AC23" i="70"/>
  <c r="JT312" i="40"/>
  <c r="JX312" i="40" s="1"/>
  <c r="KI312" i="40"/>
  <c r="AC12" i="70"/>
  <c r="JS312" i="40"/>
  <c r="JU312" i="40"/>
  <c r="JV312" i="40" s="1"/>
  <c r="JW312" i="40" s="1"/>
  <c r="KK312" i="40"/>
  <c r="KJ312" i="40"/>
  <c r="U35" i="70"/>
  <c r="KO224" i="40"/>
  <c r="KJ224" i="40"/>
  <c r="JU224" i="40"/>
  <c r="JV224" i="40" s="1"/>
  <c r="JW224" i="40" s="1"/>
  <c r="KI224" i="40"/>
  <c r="KK224" i="40"/>
  <c r="P35" i="70"/>
  <c r="JT224" i="40"/>
  <c r="JX224" i="40" s="1"/>
  <c r="JS224" i="40"/>
  <c r="JU235" i="40"/>
  <c r="U46" i="70"/>
  <c r="P46" i="70"/>
  <c r="AE46" i="66"/>
  <c r="KO235" i="40"/>
  <c r="KI235" i="40"/>
  <c r="KJ235" i="40"/>
  <c r="JT235" i="40"/>
  <c r="JX235" i="40" s="1"/>
  <c r="JS235" i="40"/>
  <c r="KK235" i="40"/>
  <c r="P54" i="70"/>
  <c r="U54" i="70"/>
  <c r="KO243" i="40"/>
  <c r="JM643" i="40"/>
  <c r="KJ243" i="40"/>
  <c r="JT243" i="40"/>
  <c r="JX243" i="40" s="1"/>
  <c r="KK243" i="40"/>
  <c r="JS243" i="40"/>
  <c r="JU243" i="40"/>
  <c r="JV243" i="40" s="1"/>
  <c r="JW243" i="40" s="1"/>
  <c r="KI243" i="40"/>
  <c r="JM651" i="40"/>
  <c r="P62" i="70"/>
  <c r="U62" i="70"/>
  <c r="JT251" i="40"/>
  <c r="JX251" i="40" s="1"/>
  <c r="JS251" i="40"/>
  <c r="KO251" i="40"/>
  <c r="KJ251" i="40"/>
  <c r="JU251" i="40"/>
  <c r="JV251" i="40" s="1"/>
  <c r="JW251" i="40" s="1"/>
  <c r="KK251" i="40"/>
  <c r="KI251" i="40"/>
  <c r="AC32" i="70"/>
  <c r="KK321" i="40"/>
  <c r="KJ321" i="40"/>
  <c r="JS321" i="40"/>
  <c r="JU321" i="40"/>
  <c r="JV321" i="40" s="1"/>
  <c r="JW321" i="40" s="1"/>
  <c r="JT321" i="40"/>
  <c r="JX321" i="40" s="1"/>
  <c r="KI321" i="40"/>
  <c r="AC11" i="70"/>
  <c r="KI311" i="40"/>
  <c r="AC22" i="70"/>
  <c r="KK311" i="40"/>
  <c r="JT311" i="40"/>
  <c r="JX311" i="40" s="1"/>
  <c r="JS311" i="40"/>
  <c r="JU311" i="40"/>
  <c r="JV311" i="40" s="1"/>
  <c r="JW311" i="40" s="1"/>
  <c r="KJ311" i="40"/>
  <c r="KJ322" i="40"/>
  <c r="KK322" i="40"/>
  <c r="JU322" i="40"/>
  <c r="JV322" i="40" s="1"/>
  <c r="JW322" i="40" s="1"/>
  <c r="JT322" i="40"/>
  <c r="JX322" i="40" s="1"/>
  <c r="AC33" i="70"/>
  <c r="KI322" i="40"/>
  <c r="JS322" i="40"/>
  <c r="KO205" i="40"/>
  <c r="KI205" i="40"/>
  <c r="KJ205" i="40"/>
  <c r="JS205" i="40"/>
  <c r="JT205" i="40"/>
  <c r="JX205" i="40" s="1"/>
  <c r="KK205" i="40"/>
  <c r="JU205" i="40"/>
  <c r="JV205" i="40" s="1"/>
  <c r="JW205" i="40" s="1"/>
  <c r="JK657" i="40"/>
  <c r="JK649" i="40"/>
  <c r="AK32" i="70"/>
  <c r="KO421" i="40"/>
  <c r="KI421" i="40"/>
  <c r="KJ421" i="40"/>
  <c r="KK421" i="40"/>
  <c r="AF32" i="70"/>
  <c r="JS421" i="40"/>
  <c r="JU421" i="40"/>
  <c r="JV421" i="40" s="1"/>
  <c r="JW421" i="40" s="1"/>
  <c r="JT421" i="40"/>
  <c r="JX421" i="40" s="1"/>
  <c r="Z37" i="66"/>
  <c r="Z51" i="66"/>
  <c r="Z71" i="66"/>
  <c r="Z61" i="66"/>
  <c r="Z67" i="66"/>
  <c r="Z69" i="66"/>
  <c r="Z59" i="66"/>
  <c r="Z65" i="66"/>
  <c r="Z63" i="66"/>
  <c r="Z39" i="66"/>
  <c r="Z57" i="66"/>
  <c r="Z55" i="66"/>
  <c r="Z53" i="66"/>
  <c r="AC42" i="68"/>
  <c r="AD42" i="68" s="1"/>
  <c r="Y43" i="68"/>
  <c r="Q47" i="68"/>
  <c r="Y46" i="68"/>
  <c r="Z34" i="68"/>
  <c r="Z35" i="68" s="1"/>
  <c r="KO429" i="40"/>
  <c r="KO449" i="40"/>
  <c r="AF62" i="70"/>
  <c r="JM650" i="40"/>
  <c r="KO250" i="40"/>
  <c r="P61" i="70"/>
  <c r="JS250" i="40"/>
  <c r="U61" i="70"/>
  <c r="KI250" i="40"/>
  <c r="JT250" i="40"/>
  <c r="JX250" i="40" s="1"/>
  <c r="KK250" i="40"/>
  <c r="JU250" i="40"/>
  <c r="JV250" i="40" s="1"/>
  <c r="JW250" i="40" s="1"/>
  <c r="KJ250" i="40"/>
  <c r="JT668" i="40"/>
  <c r="JX668" i="40" s="1"/>
  <c r="AC33" i="67"/>
  <c r="AC41" i="67" s="1"/>
  <c r="Y39" i="67"/>
  <c r="Y43" i="67"/>
  <c r="Y65" i="67"/>
  <c r="Y51" i="67"/>
  <c r="Y59" i="67"/>
  <c r="Y45" i="67"/>
  <c r="Y67" i="67"/>
  <c r="Y71" i="67"/>
  <c r="Y57" i="67"/>
  <c r="Y41" i="67"/>
  <c r="Y37" i="67"/>
  <c r="Y69" i="67"/>
  <c r="Y61" i="67"/>
  <c r="Y55" i="67"/>
  <c r="Y63" i="67"/>
  <c r="Y53" i="67"/>
  <c r="Y49" i="67"/>
  <c r="AN15" i="70"/>
  <c r="BO15" i="70" s="1"/>
  <c r="AN28" i="70"/>
  <c r="AS15" i="70"/>
  <c r="AS28" i="70"/>
  <c r="JU517" i="40"/>
  <c r="AE34" i="69"/>
  <c r="KO517" i="40"/>
  <c r="KK517" i="40"/>
  <c r="JT517" i="40"/>
  <c r="JX517" i="40" s="1"/>
  <c r="KI517" i="40"/>
  <c r="KJ517" i="40"/>
  <c r="JS517" i="40"/>
  <c r="JM629" i="40"/>
  <c r="U40" i="70"/>
  <c r="KO229" i="40"/>
  <c r="KK229" i="40"/>
  <c r="KJ229" i="40"/>
  <c r="P40" i="70"/>
  <c r="JS229" i="40"/>
  <c r="JT229" i="40"/>
  <c r="JX229" i="40" s="1"/>
  <c r="JU229" i="40"/>
  <c r="JV229" i="40" s="1"/>
  <c r="JW229" i="40" s="1"/>
  <c r="KI229" i="40"/>
  <c r="P45" i="70"/>
  <c r="JM634" i="40"/>
  <c r="P10" i="70"/>
  <c r="BF10" i="70" s="1"/>
  <c r="KO234" i="40"/>
  <c r="JT234" i="40"/>
  <c r="JX234" i="40" s="1"/>
  <c r="KI234" i="40"/>
  <c r="JU234" i="40"/>
  <c r="JV234" i="40" s="1"/>
  <c r="JW234" i="40" s="1"/>
  <c r="KJ234" i="40"/>
  <c r="U45" i="70"/>
  <c r="KK234" i="40"/>
  <c r="U10" i="70"/>
  <c r="JS234" i="40"/>
  <c r="U69" i="70"/>
  <c r="P69" i="70"/>
  <c r="JM658" i="40"/>
  <c r="KO258" i="40"/>
  <c r="JU258" i="40"/>
  <c r="JV258" i="40" s="1"/>
  <c r="JW258" i="40" s="1"/>
  <c r="KI258" i="40"/>
  <c r="JS258" i="40"/>
  <c r="KK258" i="40"/>
  <c r="JT258" i="40"/>
  <c r="KJ258" i="40"/>
  <c r="AC46" i="67"/>
  <c r="Y47" i="67"/>
  <c r="JM648" i="40"/>
  <c r="KO248" i="40"/>
  <c r="U59" i="70"/>
  <c r="KK248" i="40"/>
  <c r="JT248" i="40"/>
  <c r="JX248" i="40" s="1"/>
  <c r="KJ248" i="40"/>
  <c r="JU248" i="40"/>
  <c r="JV248" i="40" s="1"/>
  <c r="JW248" i="40" s="1"/>
  <c r="JS248" i="40"/>
  <c r="P59" i="70"/>
  <c r="KI248" i="40"/>
  <c r="AK61" i="70"/>
  <c r="AF61" i="70"/>
  <c r="JT450" i="40"/>
  <c r="JX450" i="40" s="1"/>
  <c r="JU450" i="40"/>
  <c r="JV450" i="40" s="1"/>
  <c r="JW450" i="40" s="1"/>
  <c r="KI450" i="40"/>
  <c r="JS450" i="40"/>
  <c r="KO450" i="40"/>
  <c r="KJ450" i="40"/>
  <c r="KK450" i="40"/>
  <c r="KO526" i="40"/>
  <c r="JU526" i="40"/>
  <c r="JV526" i="40" s="1"/>
  <c r="JW526" i="40" s="1"/>
  <c r="AN37" i="70"/>
  <c r="JS526" i="40"/>
  <c r="KJ526" i="40"/>
  <c r="JT526" i="40"/>
  <c r="JX526" i="40" s="1"/>
  <c r="KI526" i="40"/>
  <c r="AS37" i="70"/>
  <c r="KK526" i="40"/>
  <c r="AN10" i="70"/>
  <c r="BO10" i="70" s="1"/>
  <c r="AN45" i="70"/>
  <c r="KO534" i="40"/>
  <c r="JU534" i="40"/>
  <c r="JV534" i="40" s="1"/>
  <c r="JW534" i="40" s="1"/>
  <c r="KK534" i="40"/>
  <c r="AS45" i="70"/>
  <c r="KI534" i="40"/>
  <c r="AS10" i="70"/>
  <c r="KJ534" i="40"/>
  <c r="JT534" i="40"/>
  <c r="JX534" i="40" s="1"/>
  <c r="JS534" i="40"/>
  <c r="AS53" i="70"/>
  <c r="AN53" i="70"/>
  <c r="KO542" i="40"/>
  <c r="JT542" i="40"/>
  <c r="JX542" i="40" s="1"/>
  <c r="KJ542" i="40"/>
  <c r="JU542" i="40"/>
  <c r="JV542" i="40" s="1"/>
  <c r="JW542" i="40" s="1"/>
  <c r="KK542" i="40"/>
  <c r="JS542" i="40"/>
  <c r="KI542" i="40"/>
  <c r="AN61" i="70"/>
  <c r="KO550" i="40"/>
  <c r="JT550" i="40"/>
  <c r="JX550" i="40" s="1"/>
  <c r="JS550" i="40"/>
  <c r="JU550" i="40"/>
  <c r="JV550" i="40" s="1"/>
  <c r="JW550" i="40" s="1"/>
  <c r="KI550" i="40"/>
  <c r="AS61" i="70"/>
  <c r="KK550" i="40"/>
  <c r="KJ550" i="40"/>
  <c r="AS69" i="70"/>
  <c r="AN69" i="70"/>
  <c r="KO558" i="40"/>
  <c r="JU558" i="40"/>
  <c r="JV558" i="40" s="1"/>
  <c r="JW558" i="40" s="1"/>
  <c r="JS558" i="40"/>
  <c r="KI558" i="40"/>
  <c r="KK558" i="40"/>
  <c r="JT558" i="40"/>
  <c r="JX558" i="40" s="1"/>
  <c r="KJ558" i="40"/>
  <c r="AS17" i="70"/>
  <c r="AS30" i="70"/>
  <c r="AN30" i="70"/>
  <c r="KO519" i="40"/>
  <c r="AN17" i="70"/>
  <c r="KK519" i="40"/>
  <c r="KJ519" i="40"/>
  <c r="JT519" i="40"/>
  <c r="JX519" i="40" s="1"/>
  <c r="JS519" i="40"/>
  <c r="JU519" i="40"/>
  <c r="JV519" i="40" s="1"/>
  <c r="JW519" i="40" s="1"/>
  <c r="KI519" i="40"/>
  <c r="JM661" i="40"/>
  <c r="KO261" i="40"/>
  <c r="KJ261" i="40"/>
  <c r="KK261" i="40"/>
  <c r="JT261" i="40"/>
  <c r="JX261" i="40" s="1"/>
  <c r="JS261" i="40"/>
  <c r="JU261" i="40"/>
  <c r="JV261" i="40" s="1"/>
  <c r="JW261" i="40" s="1"/>
  <c r="KI261" i="40"/>
  <c r="JL670" i="40"/>
  <c r="Y45" i="58"/>
  <c r="KO505" i="40"/>
  <c r="KI505" i="40"/>
  <c r="KJ505" i="40"/>
  <c r="JS505" i="40"/>
  <c r="JT505" i="40"/>
  <c r="JX505" i="40" s="1"/>
  <c r="KK505" i="40"/>
  <c r="JU505" i="40"/>
  <c r="JV505" i="40" s="1"/>
  <c r="JW505" i="40" s="1"/>
  <c r="AA35" i="68"/>
  <c r="AA55" i="68"/>
  <c r="AA71" i="68"/>
  <c r="AA51" i="68"/>
  <c r="AA65" i="68"/>
  <c r="AA63" i="68"/>
  <c r="AA67" i="68"/>
  <c r="AA61" i="68"/>
  <c r="AA57" i="68"/>
  <c r="AA59" i="68"/>
  <c r="AA41" i="68"/>
  <c r="AA43" i="68"/>
  <c r="AA49" i="68"/>
  <c r="AA53" i="68"/>
  <c r="AA69" i="68"/>
  <c r="AA47" i="68"/>
  <c r="AA37" i="68"/>
  <c r="JL606" i="40"/>
  <c r="JM206" i="40"/>
  <c r="KJ308" i="40"/>
  <c r="JT308" i="40"/>
  <c r="JX308" i="40" s="1"/>
  <c r="KI308" i="40"/>
  <c r="JU308" i="40"/>
  <c r="JV308" i="40" s="1"/>
  <c r="JW308" i="40" s="1"/>
  <c r="KO308" i="40"/>
  <c r="KK308" i="40"/>
  <c r="JS308" i="40"/>
  <c r="Y43" i="66"/>
  <c r="Y55" i="66"/>
  <c r="Y65" i="66"/>
  <c r="Y67" i="66"/>
  <c r="KO462" i="40"/>
  <c r="KI462" i="40"/>
  <c r="JS462" i="40"/>
  <c r="JT462" i="40"/>
  <c r="JX462" i="40" s="1"/>
  <c r="KK462" i="40"/>
  <c r="JU462" i="40"/>
  <c r="JV462" i="40" s="1"/>
  <c r="JW462" i="40" s="1"/>
  <c r="KJ462" i="40"/>
  <c r="KO572" i="40"/>
  <c r="JT572" i="40"/>
  <c r="JX572" i="40" s="1"/>
  <c r="KK572" i="40"/>
  <c r="KI572" i="40"/>
  <c r="KJ572" i="40"/>
  <c r="JU572" i="40"/>
  <c r="JV572" i="40" s="1"/>
  <c r="JW572" i="40" s="1"/>
  <c r="JS572" i="40"/>
  <c r="JM662" i="40"/>
  <c r="JK668" i="40"/>
  <c r="Y36" i="69"/>
  <c r="Y45" i="66"/>
  <c r="AC40" i="66"/>
  <c r="Y34" i="66"/>
  <c r="JL644" i="40"/>
  <c r="U51" i="70"/>
  <c r="JM640" i="40"/>
  <c r="KO240" i="40"/>
  <c r="P51" i="70"/>
  <c r="JS240" i="40"/>
  <c r="KK240" i="40"/>
  <c r="JT240" i="40"/>
  <c r="JX240" i="40" s="1"/>
  <c r="KI240" i="40"/>
  <c r="JU240" i="40"/>
  <c r="JV240" i="40" s="1"/>
  <c r="JW240" i="40" s="1"/>
  <c r="KJ240" i="40"/>
  <c r="KO346" i="40"/>
  <c r="JT346" i="40"/>
  <c r="JX346" i="40" s="1"/>
  <c r="KJ346" i="40"/>
  <c r="JU346" i="40"/>
  <c r="JV346" i="40" s="1"/>
  <c r="JW346" i="40" s="1"/>
  <c r="KI346" i="40"/>
  <c r="AC57" i="70"/>
  <c r="JS346" i="40"/>
  <c r="X57" i="70"/>
  <c r="KK346" i="40"/>
  <c r="AK33" i="70"/>
  <c r="JM622" i="40"/>
  <c r="KO422" i="40"/>
  <c r="AF33" i="70"/>
  <c r="KJ422" i="40"/>
  <c r="JT422" i="40"/>
  <c r="JX422" i="40" s="1"/>
  <c r="JU422" i="40"/>
  <c r="JV422" i="40" s="1"/>
  <c r="JW422" i="40" s="1"/>
  <c r="KI422" i="40"/>
  <c r="JS422" i="40"/>
  <c r="KK422" i="40"/>
  <c r="AF57" i="70"/>
  <c r="AK57" i="70"/>
  <c r="JU446" i="40"/>
  <c r="JV446" i="40" s="1"/>
  <c r="JW446" i="40" s="1"/>
  <c r="KI446" i="40"/>
  <c r="JS446" i="40"/>
  <c r="KO446" i="40"/>
  <c r="JT446" i="40"/>
  <c r="JX446" i="40" s="1"/>
  <c r="KJ446" i="40"/>
  <c r="KK446" i="40"/>
  <c r="X46" i="70"/>
  <c r="JM635" i="40"/>
  <c r="AE44" i="67"/>
  <c r="JS335" i="40"/>
  <c r="KO335" i="40"/>
  <c r="JU335" i="40"/>
  <c r="KK335" i="40"/>
  <c r="JT335" i="40"/>
  <c r="JX335" i="40" s="1"/>
  <c r="KI335" i="40"/>
  <c r="AC46" i="70"/>
  <c r="KJ335" i="40"/>
  <c r="U29" i="70"/>
  <c r="P16" i="70"/>
  <c r="BF16" i="70" s="1"/>
  <c r="P29" i="70"/>
  <c r="KO218" i="40"/>
  <c r="JT218" i="40"/>
  <c r="JX218" i="40" s="1"/>
  <c r="JU218" i="40"/>
  <c r="JV218" i="40" s="1"/>
  <c r="JW218" i="40" s="1"/>
  <c r="KK218" i="40"/>
  <c r="KI218" i="40"/>
  <c r="KJ218" i="40"/>
  <c r="U16" i="70"/>
  <c r="JS218" i="40"/>
  <c r="AN39" i="70"/>
  <c r="AS39" i="70"/>
  <c r="AS14" i="70"/>
  <c r="KO528" i="40"/>
  <c r="AN14" i="70"/>
  <c r="BO14" i="70" s="1"/>
  <c r="JS528" i="40"/>
  <c r="JU528" i="40"/>
  <c r="JV528" i="40" s="1"/>
  <c r="JW528" i="40" s="1"/>
  <c r="KK528" i="40"/>
  <c r="KI528" i="40"/>
  <c r="JT528" i="40"/>
  <c r="JX528" i="40" s="1"/>
  <c r="KJ528" i="40"/>
  <c r="AN47" i="70"/>
  <c r="KO536" i="40"/>
  <c r="JT536" i="40"/>
  <c r="JX536" i="40" s="1"/>
  <c r="KI536" i="40"/>
  <c r="JU536" i="40"/>
  <c r="JV536" i="40" s="1"/>
  <c r="JW536" i="40" s="1"/>
  <c r="JS536" i="40"/>
  <c r="AS47" i="70"/>
  <c r="KK536" i="40"/>
  <c r="KJ536" i="40"/>
  <c r="AS55" i="70"/>
  <c r="AN55" i="70"/>
  <c r="KO544" i="40"/>
  <c r="JT544" i="40"/>
  <c r="JX544" i="40" s="1"/>
  <c r="JU544" i="40"/>
  <c r="JV544" i="40" s="1"/>
  <c r="JW544" i="40" s="1"/>
  <c r="KJ544" i="40"/>
  <c r="KI544" i="40"/>
  <c r="JS544" i="40"/>
  <c r="KK544" i="40"/>
  <c r="AS63" i="70"/>
  <c r="JT552" i="40"/>
  <c r="JX552" i="40" s="1"/>
  <c r="KJ552" i="40"/>
  <c r="JU552" i="40"/>
  <c r="JV552" i="40" s="1"/>
  <c r="JW552" i="40" s="1"/>
  <c r="JS552" i="40"/>
  <c r="AN63" i="70"/>
  <c r="KK552" i="40"/>
  <c r="KO552" i="40"/>
  <c r="KI552" i="40"/>
  <c r="AK67" i="70"/>
  <c r="AF67" i="70"/>
  <c r="AK8" i="70"/>
  <c r="KO456" i="40"/>
  <c r="JU456" i="40"/>
  <c r="JV456" i="40" s="1"/>
  <c r="JW456" i="40" s="1"/>
  <c r="KJ456" i="40"/>
  <c r="AF8" i="70"/>
  <c r="BL8" i="70" s="1"/>
  <c r="KI456" i="40"/>
  <c r="KK456" i="40"/>
  <c r="JT456" i="40"/>
  <c r="JX456" i="40" s="1"/>
  <c r="JS456" i="40"/>
  <c r="Y43" i="58"/>
  <c r="JM671" i="40"/>
  <c r="KO271" i="40"/>
  <c r="JS271" i="40"/>
  <c r="JT271" i="40"/>
  <c r="JX271" i="40" s="1"/>
  <c r="KJ271" i="40"/>
  <c r="JU271" i="40"/>
  <c r="JV271" i="40" s="1"/>
  <c r="JW271" i="40" s="1"/>
  <c r="KK271" i="40"/>
  <c r="KI271" i="40"/>
  <c r="AT20" i="71"/>
  <c r="JT364" i="40"/>
  <c r="JX364" i="40" s="1"/>
  <c r="KJ364" i="40"/>
  <c r="KO364" i="40"/>
  <c r="JS364" i="40"/>
  <c r="KK364" i="40"/>
  <c r="JU364" i="40"/>
  <c r="JV364" i="40" s="1"/>
  <c r="JW364" i="40" s="1"/>
  <c r="KI364" i="40"/>
  <c r="JM605" i="40"/>
  <c r="AE48" i="66"/>
  <c r="KO265" i="40"/>
  <c r="JU265" i="40"/>
  <c r="JT265" i="40"/>
  <c r="JX265" i="40" s="1"/>
  <c r="KI265" i="40"/>
  <c r="KJ265" i="40"/>
  <c r="JS265" i="40"/>
  <c r="KK265" i="40"/>
  <c r="KK207" i="40"/>
  <c r="KO568" i="40"/>
  <c r="JT568" i="40"/>
  <c r="JX568" i="40" s="1"/>
  <c r="KI568" i="40"/>
  <c r="KJ568" i="40"/>
  <c r="JU568" i="40"/>
  <c r="JV568" i="40" s="1"/>
  <c r="JW568" i="40" s="1"/>
  <c r="JS568" i="40"/>
  <c r="KK568" i="40"/>
  <c r="JM608" i="40"/>
  <c r="KO208" i="40"/>
  <c r="KI208" i="40"/>
  <c r="KJ208" i="40"/>
  <c r="JT208" i="40"/>
  <c r="JX208" i="40" s="1"/>
  <c r="JS208" i="40"/>
  <c r="JU208" i="40"/>
  <c r="JV208" i="40" s="1"/>
  <c r="JW208" i="40" s="1"/>
  <c r="KK208" i="40"/>
  <c r="KO374" i="40"/>
  <c r="KK374" i="40"/>
  <c r="KI374" i="40"/>
  <c r="JS374" i="40"/>
  <c r="JT374" i="40"/>
  <c r="JX374" i="40" s="1"/>
  <c r="JU374" i="40"/>
  <c r="JV374" i="40" s="1"/>
  <c r="JW374" i="40" s="1"/>
  <c r="KJ374" i="40"/>
  <c r="JK674" i="40"/>
  <c r="KO362" i="40"/>
  <c r="JT362" i="40"/>
  <c r="JX362" i="40" s="1"/>
  <c r="KI362" i="40"/>
  <c r="JS362" i="40"/>
  <c r="JU362" i="40"/>
  <c r="JV362" i="40" s="1"/>
  <c r="JW362" i="40" s="1"/>
  <c r="KK362" i="40"/>
  <c r="KJ362" i="40"/>
  <c r="KI368" i="40"/>
  <c r="JT368" i="40"/>
  <c r="JX368" i="40" s="1"/>
  <c r="KJ368" i="40"/>
  <c r="JU368" i="40"/>
  <c r="JV368" i="40" s="1"/>
  <c r="JW368" i="40" s="1"/>
  <c r="JS368" i="40"/>
  <c r="KO368" i="40"/>
  <c r="KK368" i="40"/>
  <c r="P27" i="70"/>
  <c r="U27" i="70"/>
  <c r="JM616" i="40"/>
  <c r="KO216" i="40"/>
  <c r="JT216" i="40"/>
  <c r="JX216" i="40" s="1"/>
  <c r="KI216" i="40"/>
  <c r="JU216" i="40"/>
  <c r="JV216" i="40" s="1"/>
  <c r="JW216" i="40" s="1"/>
  <c r="KJ216" i="40"/>
  <c r="JS216" i="40"/>
  <c r="KK216" i="40"/>
  <c r="JM619" i="40"/>
  <c r="P30" i="70"/>
  <c r="P17" i="70"/>
  <c r="U17" i="70"/>
  <c r="JT219" i="40"/>
  <c r="JX219" i="40" s="1"/>
  <c r="JS219" i="40"/>
  <c r="JU219" i="40"/>
  <c r="JV219" i="40" s="1"/>
  <c r="JW219" i="40" s="1"/>
  <c r="U30" i="70"/>
  <c r="KI219" i="40"/>
  <c r="KO219" i="40"/>
  <c r="KK219" i="40"/>
  <c r="KJ219" i="40"/>
  <c r="JL638" i="40"/>
  <c r="X35" i="70"/>
  <c r="KO324" i="40"/>
  <c r="JU324" i="40"/>
  <c r="JV324" i="40" s="1"/>
  <c r="JW324" i="40" s="1"/>
  <c r="KK324" i="40"/>
  <c r="JT324" i="40"/>
  <c r="JX324" i="40" s="1"/>
  <c r="KI324" i="40"/>
  <c r="KJ324" i="40"/>
  <c r="AC35" i="70"/>
  <c r="JS324" i="40"/>
  <c r="KO438" i="40"/>
  <c r="JS438" i="40"/>
  <c r="JT438" i="40"/>
  <c r="JX438" i="40" s="1"/>
  <c r="KK438" i="40"/>
  <c r="AK49" i="70"/>
  <c r="KJ438" i="40"/>
  <c r="JU438" i="40"/>
  <c r="JV438" i="40" s="1"/>
  <c r="JW438" i="40" s="1"/>
  <c r="AF49" i="70"/>
  <c r="KI438" i="40"/>
  <c r="KO454" i="40"/>
  <c r="AF65" i="70"/>
  <c r="AK65" i="70"/>
  <c r="JT454" i="40"/>
  <c r="JX454" i="40" s="1"/>
  <c r="KK454" i="40"/>
  <c r="JU454" i="40"/>
  <c r="JV454" i="40" s="1"/>
  <c r="JW454" i="40" s="1"/>
  <c r="KJ454" i="40"/>
  <c r="JS454" i="40"/>
  <c r="KI454" i="40"/>
  <c r="KO452" i="40"/>
  <c r="KI452" i="40"/>
  <c r="AF63" i="70"/>
  <c r="KJ452" i="40"/>
  <c r="JU452" i="40"/>
  <c r="JV452" i="40" s="1"/>
  <c r="JW452" i="40" s="1"/>
  <c r="AK63" i="70"/>
  <c r="KK452" i="40"/>
  <c r="JT452" i="40"/>
  <c r="JS452" i="40"/>
  <c r="U12" i="70"/>
  <c r="JM612" i="40"/>
  <c r="P12" i="70"/>
  <c r="BF12" i="70" s="1"/>
  <c r="P23" i="70"/>
  <c r="KO212" i="40"/>
  <c r="JT212" i="40"/>
  <c r="JX212" i="40" s="1"/>
  <c r="JS212" i="40"/>
  <c r="JU212" i="40"/>
  <c r="JV212" i="40" s="1"/>
  <c r="JW212" i="40" s="1"/>
  <c r="KK212" i="40"/>
  <c r="KI212" i="40"/>
  <c r="KJ212" i="40"/>
  <c r="U23" i="70"/>
  <c r="KT401" i="40"/>
  <c r="KT402" i="40" s="1"/>
  <c r="JM601" i="40"/>
  <c r="JM701" i="40" s="1"/>
  <c r="KO401" i="40"/>
  <c r="JT401" i="40"/>
  <c r="JU401" i="40"/>
  <c r="JV401" i="40" s="1"/>
  <c r="JW401" i="40" s="1"/>
  <c r="JS401" i="40"/>
  <c r="AK28" i="70"/>
  <c r="AK15" i="70"/>
  <c r="AF15" i="70"/>
  <c r="BL15" i="70" s="1"/>
  <c r="AE34" i="68"/>
  <c r="KO417" i="40"/>
  <c r="JU417" i="40"/>
  <c r="JT417" i="40"/>
  <c r="JX417" i="40" s="1"/>
  <c r="KK417" i="40"/>
  <c r="KI417" i="40"/>
  <c r="AF28" i="70"/>
  <c r="KJ417" i="40"/>
  <c r="JS417" i="40"/>
  <c r="P34" i="70"/>
  <c r="U34" i="70"/>
  <c r="KO223" i="40"/>
  <c r="KI223" i="40"/>
  <c r="JT223" i="40"/>
  <c r="JX223" i="40" s="1"/>
  <c r="KK223" i="40"/>
  <c r="JS223" i="40"/>
  <c r="JU223" i="40"/>
  <c r="JV223" i="40" s="1"/>
  <c r="JW223" i="40" s="1"/>
  <c r="KJ223" i="40"/>
  <c r="JL609" i="40"/>
  <c r="JL636" i="40"/>
  <c r="JL652" i="40"/>
  <c r="JL646" i="40"/>
  <c r="AC42" i="70"/>
  <c r="JU331" i="40"/>
  <c r="AE42" i="67"/>
  <c r="JS331" i="40"/>
  <c r="KO331" i="40"/>
  <c r="X42" i="70"/>
  <c r="KJ331" i="40"/>
  <c r="JT331" i="40"/>
  <c r="JX331" i="40" s="1"/>
  <c r="KK331" i="40"/>
  <c r="KI331" i="40"/>
  <c r="X51" i="70"/>
  <c r="JU340" i="40"/>
  <c r="JV340" i="40" s="1"/>
  <c r="JW340" i="40" s="1"/>
  <c r="KJ340" i="40"/>
  <c r="KI340" i="40"/>
  <c r="KK340" i="40"/>
  <c r="KO340" i="40"/>
  <c r="JT340" i="40"/>
  <c r="JX340" i="40" s="1"/>
  <c r="AC51" i="70"/>
  <c r="JS340" i="40"/>
  <c r="X61" i="70"/>
  <c r="KI350" i="40"/>
  <c r="AC61" i="70"/>
  <c r="JS350" i="40"/>
  <c r="JT350" i="40"/>
  <c r="JX350" i="40" s="1"/>
  <c r="JU350" i="40"/>
  <c r="JV350" i="40" s="1"/>
  <c r="JW350" i="40" s="1"/>
  <c r="KK350" i="40"/>
  <c r="KO350" i="40"/>
  <c r="KJ350" i="40"/>
  <c r="AC69" i="70"/>
  <c r="X69" i="70"/>
  <c r="KO358" i="40"/>
  <c r="KJ358" i="40"/>
  <c r="JU358" i="40"/>
  <c r="JV358" i="40" s="1"/>
  <c r="JW358" i="40" s="1"/>
  <c r="KK358" i="40"/>
  <c r="JS358" i="40"/>
  <c r="JT358" i="40"/>
  <c r="JX358" i="40" s="1"/>
  <c r="KI358" i="40"/>
  <c r="AF37" i="70"/>
  <c r="JM626" i="40"/>
  <c r="AK37" i="70"/>
  <c r="KO426" i="40"/>
  <c r="KI426" i="40"/>
  <c r="JT426" i="40"/>
  <c r="JX426" i="40" s="1"/>
  <c r="JS426" i="40"/>
  <c r="JU426" i="40"/>
  <c r="JV426" i="40" s="1"/>
  <c r="JW426" i="40" s="1"/>
  <c r="KK426" i="40"/>
  <c r="KJ426" i="40"/>
  <c r="AK45" i="70"/>
  <c r="AF10" i="70"/>
  <c r="BL10" i="70" s="1"/>
  <c r="KO434" i="40"/>
  <c r="JT434" i="40"/>
  <c r="JX434" i="40" s="1"/>
  <c r="KK434" i="40"/>
  <c r="JU434" i="40"/>
  <c r="JV434" i="40" s="1"/>
  <c r="JW434" i="40" s="1"/>
  <c r="KI434" i="40"/>
  <c r="AK10" i="70"/>
  <c r="KJ434" i="40"/>
  <c r="AF45" i="70"/>
  <c r="JS434" i="40"/>
  <c r="AK53" i="70"/>
  <c r="AF53" i="70"/>
  <c r="JT442" i="40"/>
  <c r="JX442" i="40" s="1"/>
  <c r="JS442" i="40"/>
  <c r="KO442" i="40"/>
  <c r="KI442" i="40"/>
  <c r="KJ442" i="40"/>
  <c r="JU442" i="40"/>
  <c r="JV442" i="40" s="1"/>
  <c r="JW442" i="40" s="1"/>
  <c r="KK442" i="40"/>
  <c r="JX452" i="40"/>
  <c r="AS41" i="70"/>
  <c r="KO530" i="40"/>
  <c r="JT530" i="40"/>
  <c r="JX530" i="40" s="1"/>
  <c r="KK530" i="40"/>
  <c r="JU530" i="40"/>
  <c r="JV530" i="40" s="1"/>
  <c r="JW530" i="40" s="1"/>
  <c r="JS530" i="40"/>
  <c r="AN41" i="70"/>
  <c r="KJ530" i="40"/>
  <c r="KI530" i="40"/>
  <c r="AN49" i="70"/>
  <c r="KJ538" i="40"/>
  <c r="KO538" i="40"/>
  <c r="JS538" i="40"/>
  <c r="AS49" i="70"/>
  <c r="KI538" i="40"/>
  <c r="JU538" i="40"/>
  <c r="JV538" i="40" s="1"/>
  <c r="JW538" i="40" s="1"/>
  <c r="KK538" i="40"/>
  <c r="JT538" i="40"/>
  <c r="JX538" i="40" s="1"/>
  <c r="AS57" i="70"/>
  <c r="KO546" i="40"/>
  <c r="AN57" i="70"/>
  <c r="JS546" i="40"/>
  <c r="KJ546" i="40"/>
  <c r="JT546" i="40"/>
  <c r="JX546" i="40" s="1"/>
  <c r="KK546" i="40"/>
  <c r="JU546" i="40"/>
  <c r="JV546" i="40" s="1"/>
  <c r="JW546" i="40" s="1"/>
  <c r="KI546" i="40"/>
  <c r="AN65" i="70"/>
  <c r="KO554" i="40"/>
  <c r="AS65" i="70"/>
  <c r="KJ554" i="40"/>
  <c r="JU554" i="40"/>
  <c r="JV554" i="40" s="1"/>
  <c r="JW554" i="40" s="1"/>
  <c r="JS554" i="40"/>
  <c r="KI554" i="40"/>
  <c r="JT554" i="40"/>
  <c r="JX554" i="40" s="1"/>
  <c r="KK554" i="40"/>
  <c r="X52" i="70"/>
  <c r="X23" i="70"/>
  <c r="X31" i="70"/>
  <c r="X14" i="70"/>
  <c r="BI14" i="70" s="1"/>
  <c r="X24" i="70"/>
  <c r="X21" i="70"/>
  <c r="X58" i="70"/>
  <c r="X7" i="70"/>
  <c r="BI7" i="70" s="1"/>
  <c r="X20" i="70"/>
  <c r="X10" i="70"/>
  <c r="BI10" i="70" s="1"/>
  <c r="X47" i="70"/>
  <c r="X11" i="70"/>
  <c r="BI11" i="70" s="1"/>
  <c r="X39" i="70"/>
  <c r="X22" i="70"/>
  <c r="X56" i="70"/>
  <c r="X36" i="70"/>
  <c r="X37" i="70"/>
  <c r="X60" i="70"/>
  <c r="X64" i="70"/>
  <c r="X12" i="70"/>
  <c r="BI12" i="70" s="1"/>
  <c r="AE33" i="67"/>
  <c r="KO304" i="40"/>
  <c r="KO305" i="40"/>
  <c r="KO361" i="40"/>
  <c r="KO359" i="40"/>
  <c r="KO342" i="40"/>
  <c r="KO371" i="40"/>
  <c r="KO309" i="40"/>
  <c r="KO343" i="40"/>
  <c r="KO334" i="40"/>
  <c r="KO345" i="40"/>
  <c r="KO370" i="40"/>
  <c r="KO302" i="40"/>
  <c r="KO303" i="40"/>
  <c r="KO351" i="40"/>
  <c r="KO310" i="40"/>
  <c r="KO316" i="40"/>
  <c r="KO349" i="40"/>
  <c r="KO328" i="40"/>
  <c r="KO336" i="40"/>
  <c r="JU302" i="40"/>
  <c r="KO311" i="40"/>
  <c r="KO363" i="40"/>
  <c r="KO367" i="40"/>
  <c r="KO307" i="40"/>
  <c r="KO355" i="40"/>
  <c r="KO347" i="40"/>
  <c r="KO322" i="40"/>
  <c r="KO306" i="40"/>
  <c r="KO313" i="40"/>
  <c r="KO312" i="40"/>
  <c r="KO375" i="40"/>
  <c r="KO338" i="40"/>
  <c r="KO333" i="40"/>
  <c r="KO337" i="40"/>
  <c r="KO326" i="40"/>
  <c r="X44" i="70"/>
  <c r="KJ302" i="40"/>
  <c r="KK302" i="40"/>
  <c r="X18" i="70"/>
  <c r="X48" i="70"/>
  <c r="X45" i="70"/>
  <c r="KO341" i="40"/>
  <c r="KO329" i="40"/>
  <c r="KO319" i="40"/>
  <c r="KO320" i="40"/>
  <c r="KO372" i="40"/>
  <c r="KO327" i="40"/>
  <c r="X27" i="70"/>
  <c r="X32" i="70"/>
  <c r="X17" i="70"/>
  <c r="JS302" i="40"/>
  <c r="KO321" i="40"/>
  <c r="KO357" i="40"/>
  <c r="KO325" i="40"/>
  <c r="KO360" i="40"/>
  <c r="X54" i="70"/>
  <c r="X38" i="70"/>
  <c r="JT302" i="40"/>
  <c r="JX302" i="40" s="1"/>
  <c r="KI302" i="40"/>
  <c r="X33" i="70"/>
  <c r="X66" i="70"/>
  <c r="X49" i="70"/>
  <c r="X62" i="70"/>
  <c r="KO353" i="40"/>
  <c r="KO365" i="40"/>
  <c r="X53" i="70"/>
  <c r="X40" i="70"/>
  <c r="X30" i="70"/>
  <c r="X68" i="70"/>
  <c r="JK602" i="40"/>
  <c r="AA39" i="68"/>
  <c r="AA45" i="68"/>
  <c r="JL671" i="40"/>
  <c r="KO503" i="40"/>
  <c r="KJ503" i="40"/>
  <c r="JU503" i="40"/>
  <c r="JV503" i="40" s="1"/>
  <c r="JW503" i="40" s="1"/>
  <c r="KK503" i="40"/>
  <c r="JS503" i="40"/>
  <c r="JT503" i="40"/>
  <c r="JX503" i="40" s="1"/>
  <c r="KI503" i="40"/>
  <c r="Y37" i="58"/>
  <c r="AA45" i="71"/>
  <c r="AA61" i="71"/>
  <c r="AA67" i="71"/>
  <c r="AA43" i="71"/>
  <c r="KO569" i="40"/>
  <c r="KJ569" i="40"/>
  <c r="JT569" i="40"/>
  <c r="JX569" i="40" s="1"/>
  <c r="JS569" i="40"/>
  <c r="JU569" i="40"/>
  <c r="JV569" i="40" s="1"/>
  <c r="JW569" i="40" s="1"/>
  <c r="KK569" i="40"/>
  <c r="KI569" i="40"/>
  <c r="JM672" i="40"/>
  <c r="KO272" i="40"/>
  <c r="KI272" i="40"/>
  <c r="KJ272" i="40"/>
  <c r="JU272" i="40"/>
  <c r="JV272" i="40" s="1"/>
  <c r="JW272" i="40" s="1"/>
  <c r="KK272" i="40"/>
  <c r="JT272" i="40"/>
  <c r="JX272" i="40" s="1"/>
  <c r="JS272" i="40"/>
  <c r="AC40" i="68"/>
  <c r="KO507" i="40"/>
  <c r="KJ507" i="40"/>
  <c r="KK507" i="40"/>
  <c r="JT507" i="40"/>
  <c r="JS507" i="40"/>
  <c r="JU507" i="40"/>
  <c r="JV507" i="40" s="1"/>
  <c r="JW507" i="40" s="1"/>
  <c r="KI507" i="40"/>
  <c r="Z37" i="68"/>
  <c r="JK669" i="40"/>
  <c r="JM674" i="40"/>
  <c r="KO274" i="40"/>
  <c r="KJ274" i="40"/>
  <c r="KK274" i="40"/>
  <c r="JU274" i="40"/>
  <c r="JV274" i="40" s="1"/>
  <c r="JW274" i="40" s="1"/>
  <c r="KI274" i="40"/>
  <c r="JT274" i="40"/>
  <c r="JX274" i="40" s="1"/>
  <c r="JS274" i="40"/>
  <c r="Q37" i="67"/>
  <c r="Q45" i="67"/>
  <c r="Q57" i="67"/>
  <c r="Q67" i="67"/>
  <c r="Q49" i="67"/>
  <c r="Q61" i="67"/>
  <c r="Q43" i="67"/>
  <c r="Q39" i="67"/>
  <c r="Q51" i="67"/>
  <c r="Q63" i="67"/>
  <c r="Q53" i="67"/>
  <c r="Q55" i="67"/>
  <c r="Q69" i="67"/>
  <c r="Q65" i="67"/>
  <c r="Q59" i="67"/>
  <c r="Q71" i="67"/>
  <c r="Q41" i="67"/>
  <c r="Z40" i="69"/>
  <c r="AA43" i="67"/>
  <c r="AA41" i="67"/>
  <c r="AA39" i="67"/>
  <c r="AA47" i="67"/>
  <c r="AA65" i="67"/>
  <c r="AA63" i="67"/>
  <c r="AA71" i="67"/>
  <c r="AA67" i="67"/>
  <c r="AA51" i="67"/>
  <c r="AA53" i="67"/>
  <c r="AA37" i="67"/>
  <c r="AA49" i="67"/>
  <c r="AA57" i="67"/>
  <c r="AA55" i="67"/>
  <c r="AA35" i="67"/>
  <c r="AA45" i="67"/>
  <c r="AA69" i="67"/>
  <c r="AA61" i="67"/>
  <c r="AA59" i="67"/>
  <c r="AC36" i="68"/>
  <c r="Y38" i="68"/>
  <c r="Y47" i="66"/>
  <c r="Z44" i="67"/>
  <c r="AC36" i="67"/>
  <c r="AC48" i="66"/>
  <c r="AK24" i="70"/>
  <c r="JM613" i="40"/>
  <c r="AE38" i="68"/>
  <c r="JU413" i="40"/>
  <c r="KO413" i="40"/>
  <c r="KI413" i="40"/>
  <c r="AF24" i="70"/>
  <c r="KJ413" i="40"/>
  <c r="JS413" i="40"/>
  <c r="JT413" i="40"/>
  <c r="JX413" i="40" s="1"/>
  <c r="KK413" i="40"/>
  <c r="JM627" i="40"/>
  <c r="KO227" i="40"/>
  <c r="JT227" i="40"/>
  <c r="JX227" i="40" s="1"/>
  <c r="KK227" i="40"/>
  <c r="JU227" i="40"/>
  <c r="JV227" i="40" s="1"/>
  <c r="JW227" i="40" s="1"/>
  <c r="KI227" i="40"/>
  <c r="P38" i="70"/>
  <c r="JS227" i="40"/>
  <c r="U38" i="70"/>
  <c r="KJ227" i="40"/>
  <c r="JL631" i="40"/>
  <c r="JL654" i="40"/>
  <c r="JM656" i="40"/>
  <c r="U67" i="70"/>
  <c r="P67" i="70"/>
  <c r="KO256" i="40"/>
  <c r="JT256" i="40"/>
  <c r="JX256" i="40" s="1"/>
  <c r="U8" i="70"/>
  <c r="JS256" i="40"/>
  <c r="JU256" i="40"/>
  <c r="JV256" i="40" s="1"/>
  <c r="JW256" i="40" s="1"/>
  <c r="P8" i="70"/>
  <c r="BF8" i="70" s="1"/>
  <c r="KJ256" i="40"/>
  <c r="KK256" i="40"/>
  <c r="KI256" i="40"/>
  <c r="AC65" i="70"/>
  <c r="X65" i="70"/>
  <c r="KO354" i="40"/>
  <c r="JT354" i="40"/>
  <c r="JX354" i="40" s="1"/>
  <c r="KK354" i="40"/>
  <c r="JU354" i="40"/>
  <c r="JV354" i="40" s="1"/>
  <c r="JW354" i="40" s="1"/>
  <c r="KI354" i="40"/>
  <c r="JS354" i="40"/>
  <c r="KJ354" i="40"/>
  <c r="AF41" i="70"/>
  <c r="AK41" i="70"/>
  <c r="KO430" i="40"/>
  <c r="JU430" i="40"/>
  <c r="JV430" i="40" s="1"/>
  <c r="JW430" i="40" s="1"/>
  <c r="KK430" i="40"/>
  <c r="JS430" i="40"/>
  <c r="KJ430" i="40"/>
  <c r="KI430" i="40"/>
  <c r="JT430" i="40"/>
  <c r="JX430" i="40" s="1"/>
  <c r="JM642" i="40"/>
  <c r="KO242" i="40"/>
  <c r="JU242" i="40"/>
  <c r="JV242" i="40" s="1"/>
  <c r="JW242" i="40" s="1"/>
  <c r="JS242" i="40"/>
  <c r="U53" i="70"/>
  <c r="KK242" i="40"/>
  <c r="P53" i="70"/>
  <c r="KI242" i="40"/>
  <c r="JT242" i="40"/>
  <c r="JX242" i="40" s="1"/>
  <c r="KJ242" i="40"/>
  <c r="P21" i="70"/>
  <c r="JM610" i="40"/>
  <c r="U21" i="70"/>
  <c r="AE40" i="66"/>
  <c r="JU210" i="40"/>
  <c r="KO210" i="40"/>
  <c r="KJ210" i="40"/>
  <c r="JT210" i="40"/>
  <c r="JX210" i="40" s="1"/>
  <c r="KI210" i="40"/>
  <c r="KK210" i="40"/>
  <c r="JS210" i="40"/>
  <c r="AK13" i="70"/>
  <c r="KO415" i="40"/>
  <c r="JU415" i="40"/>
  <c r="JV415" i="40" s="1"/>
  <c r="JW415" i="40" s="1"/>
  <c r="AK26" i="70"/>
  <c r="JS415" i="40"/>
  <c r="AF13" i="70"/>
  <c r="BL13" i="70" s="1"/>
  <c r="KI415" i="40"/>
  <c r="KK415" i="40"/>
  <c r="JT415" i="40"/>
  <c r="JX415" i="40" s="1"/>
  <c r="AF26" i="70"/>
  <c r="KJ415" i="40"/>
  <c r="JM621" i="40"/>
  <c r="P32" i="70"/>
  <c r="JS221" i="40"/>
  <c r="KO221" i="40"/>
  <c r="JT221" i="40"/>
  <c r="JX221" i="40" s="1"/>
  <c r="KI221" i="40"/>
  <c r="JU221" i="40"/>
  <c r="JV221" i="40" s="1"/>
  <c r="JW221" i="40" s="1"/>
  <c r="KJ221" i="40"/>
  <c r="KK221" i="40"/>
  <c r="U32" i="70"/>
  <c r="AC15" i="70"/>
  <c r="X28" i="70"/>
  <c r="JM617" i="40"/>
  <c r="AC28" i="70"/>
  <c r="AE36" i="67"/>
  <c r="JU317" i="40"/>
  <c r="KO317" i="40"/>
  <c r="JT317" i="40"/>
  <c r="JX317" i="40" s="1"/>
  <c r="KI317" i="40"/>
  <c r="JS317" i="40"/>
  <c r="X15" i="70"/>
  <c r="BI15" i="70" s="1"/>
  <c r="KJ317" i="40"/>
  <c r="KK317" i="40"/>
  <c r="U20" i="70"/>
  <c r="AE36" i="66"/>
  <c r="JM609" i="40"/>
  <c r="KK209" i="40"/>
  <c r="P20" i="70"/>
  <c r="KI209" i="40"/>
  <c r="JU209" i="40"/>
  <c r="JS209" i="40"/>
  <c r="KO209" i="40"/>
  <c r="JT209" i="40"/>
  <c r="JX209" i="40" s="1"/>
  <c r="KJ209" i="40"/>
  <c r="JM636" i="40"/>
  <c r="KO236" i="40"/>
  <c r="JU236" i="40"/>
  <c r="JV236" i="40" s="1"/>
  <c r="JW236" i="40" s="1"/>
  <c r="KI236" i="40"/>
  <c r="P47" i="70"/>
  <c r="JS236" i="40"/>
  <c r="U47" i="70"/>
  <c r="KJ236" i="40"/>
  <c r="JT236" i="40"/>
  <c r="JX236" i="40" s="1"/>
  <c r="KK236" i="40"/>
  <c r="JM652" i="40"/>
  <c r="U63" i="70"/>
  <c r="P63" i="70"/>
  <c r="KO252" i="40"/>
  <c r="KI252" i="40"/>
  <c r="KJ252" i="40"/>
  <c r="JS252" i="40"/>
  <c r="JT252" i="40"/>
  <c r="JX252" i="40" s="1"/>
  <c r="JU252" i="40"/>
  <c r="JV252" i="40" s="1"/>
  <c r="JW252" i="40" s="1"/>
  <c r="KK252" i="40"/>
  <c r="U57" i="70"/>
  <c r="P57" i="70"/>
  <c r="JM646" i="40"/>
  <c r="KK246" i="40"/>
  <c r="JT246" i="40"/>
  <c r="JX246" i="40" s="1"/>
  <c r="JS246" i="40"/>
  <c r="KO246" i="40"/>
  <c r="KI246" i="40"/>
  <c r="JU246" i="40"/>
  <c r="JV246" i="40" s="1"/>
  <c r="JW246" i="40" s="1"/>
  <c r="KJ246" i="40"/>
  <c r="X34" i="70"/>
  <c r="KO323" i="40"/>
  <c r="JT323" i="40"/>
  <c r="JX323" i="40" s="1"/>
  <c r="JS323" i="40"/>
  <c r="JU323" i="40"/>
  <c r="JV323" i="40" s="1"/>
  <c r="JW323" i="40" s="1"/>
  <c r="KI323" i="40"/>
  <c r="AC34" i="70"/>
  <c r="KJ323" i="40"/>
  <c r="KK323" i="40"/>
  <c r="JL640" i="40"/>
  <c r="JL656" i="40"/>
  <c r="X43" i="70"/>
  <c r="JT332" i="40"/>
  <c r="JX332" i="40" s="1"/>
  <c r="KJ332" i="40"/>
  <c r="AC59" i="70"/>
  <c r="X59" i="70"/>
  <c r="JT348" i="40"/>
  <c r="JX348" i="40" s="1"/>
  <c r="JS348" i="40"/>
  <c r="KJ348" i="40"/>
  <c r="KO348" i="40"/>
  <c r="KI348" i="40"/>
  <c r="JU348" i="40"/>
  <c r="JV348" i="40" s="1"/>
  <c r="JW348" i="40" s="1"/>
  <c r="KK348" i="40"/>
  <c r="AC67" i="70"/>
  <c r="AC8" i="70"/>
  <c r="KK356" i="40"/>
  <c r="KO356" i="40"/>
  <c r="X67" i="70"/>
  <c r="JS356" i="40"/>
  <c r="JU356" i="40"/>
  <c r="JV356" i="40" s="1"/>
  <c r="JW356" i="40" s="1"/>
  <c r="X8" i="70"/>
  <c r="BI8" i="70" s="1"/>
  <c r="KJ356" i="40"/>
  <c r="JT356" i="40"/>
  <c r="JX356" i="40" s="1"/>
  <c r="KI356" i="40"/>
  <c r="AF9" i="70"/>
  <c r="BL9" i="70" s="1"/>
  <c r="AK43" i="70"/>
  <c r="AK9" i="70"/>
  <c r="KO432" i="40"/>
  <c r="JT432" i="40"/>
  <c r="JX432" i="40" s="1"/>
  <c r="KJ432" i="40"/>
  <c r="JS432" i="40"/>
  <c r="AF43" i="70"/>
  <c r="KI432" i="40"/>
  <c r="KK432" i="40"/>
  <c r="JU432" i="40"/>
  <c r="JV432" i="40" s="1"/>
  <c r="JW432" i="40" s="1"/>
  <c r="AK51" i="70"/>
  <c r="AF51" i="70"/>
  <c r="KO440" i="40"/>
  <c r="JS440" i="40"/>
  <c r="JT440" i="40"/>
  <c r="JX440" i="40" s="1"/>
  <c r="KJ440" i="40"/>
  <c r="JU440" i="40"/>
  <c r="JV440" i="40" s="1"/>
  <c r="JW440" i="40" s="1"/>
  <c r="KI440" i="40"/>
  <c r="KK440" i="40"/>
  <c r="AF59" i="70"/>
  <c r="AK59" i="70"/>
  <c r="KO448" i="40"/>
  <c r="KK448" i="40"/>
  <c r="KI448" i="40"/>
  <c r="JT448" i="40"/>
  <c r="JX448" i="40" s="1"/>
  <c r="JS448" i="40"/>
  <c r="JU448" i="40"/>
  <c r="JV448" i="40" s="1"/>
  <c r="JW448" i="40" s="1"/>
  <c r="KJ448" i="40"/>
  <c r="JL642" i="40"/>
  <c r="P25" i="70"/>
  <c r="U25" i="70"/>
  <c r="KO214" i="40"/>
  <c r="KJ214" i="40"/>
  <c r="JT214" i="40"/>
  <c r="JX214" i="40" s="1"/>
  <c r="JU214" i="40"/>
  <c r="JV214" i="40" s="1"/>
  <c r="JW214" i="40" s="1"/>
  <c r="KI214" i="40"/>
  <c r="JS214" i="40"/>
  <c r="KK214" i="40"/>
  <c r="AK22" i="70"/>
  <c r="AF22" i="70"/>
  <c r="JM611" i="40"/>
  <c r="AF11" i="70"/>
  <c r="BL11" i="70" s="1"/>
  <c r="KI411" i="40"/>
  <c r="KJ411" i="40"/>
  <c r="JT411" i="40"/>
  <c r="JX411" i="40" s="1"/>
  <c r="AK11" i="70"/>
  <c r="KK411" i="40"/>
  <c r="KO411" i="40"/>
  <c r="JU411" i="40"/>
  <c r="JV411" i="40" s="1"/>
  <c r="JW411" i="40" s="1"/>
  <c r="JS411" i="40"/>
  <c r="KO509" i="40"/>
  <c r="JT509" i="40"/>
  <c r="JX509" i="40" s="1"/>
  <c r="KJ509" i="40"/>
  <c r="JU509" i="40"/>
  <c r="JV509" i="40" s="1"/>
  <c r="JW509" i="40" s="1"/>
  <c r="KI509" i="40"/>
  <c r="AS20" i="70"/>
  <c r="JS509" i="40"/>
  <c r="AN20" i="70"/>
  <c r="KK509" i="40"/>
  <c r="P36" i="70"/>
  <c r="JT225" i="40"/>
  <c r="JX225" i="40" s="1"/>
  <c r="KI225" i="40"/>
  <c r="JU225" i="40"/>
  <c r="JV225" i="40" s="1"/>
  <c r="JW225" i="40" s="1"/>
  <c r="JS225" i="40"/>
  <c r="U36" i="70"/>
  <c r="KJ225" i="40"/>
  <c r="KO225" i="40"/>
  <c r="KK225" i="40"/>
  <c r="JL617" i="40"/>
  <c r="JL629" i="40"/>
  <c r="JM231" i="40"/>
  <c r="JM244" i="40"/>
  <c r="JM238" i="40"/>
  <c r="JM254" i="40"/>
  <c r="KO339" i="40"/>
  <c r="AC50" i="70"/>
  <c r="KK339" i="40"/>
  <c r="X50" i="70"/>
  <c r="JS339" i="40"/>
  <c r="JT339" i="40"/>
  <c r="JX339" i="40" s="1"/>
  <c r="KI339" i="40"/>
  <c r="JU339" i="40"/>
  <c r="JV339" i="40" s="1"/>
  <c r="JW339" i="40" s="1"/>
  <c r="KJ339" i="40"/>
  <c r="JL648" i="40"/>
  <c r="JL658" i="40"/>
  <c r="JX258" i="40"/>
  <c r="AC55" i="70"/>
  <c r="X55" i="70"/>
  <c r="KO344" i="40"/>
  <c r="JU344" i="40"/>
  <c r="JV344" i="40" s="1"/>
  <c r="JW344" i="40" s="1"/>
  <c r="KJ344" i="40"/>
  <c r="KI344" i="40"/>
  <c r="JS344" i="40"/>
  <c r="JT344" i="40"/>
  <c r="JX344" i="40" s="1"/>
  <c r="KK344" i="40"/>
  <c r="JU352" i="40"/>
  <c r="JV352" i="40" s="1"/>
  <c r="JW352" i="40" s="1"/>
  <c r="AC63" i="70"/>
  <c r="KI352" i="40"/>
  <c r="KO352" i="40"/>
  <c r="JT352" i="40"/>
  <c r="JX352" i="40" s="1"/>
  <c r="JS352" i="40"/>
  <c r="KK352" i="40"/>
  <c r="X63" i="70"/>
  <c r="KJ352" i="40"/>
  <c r="KK420" i="40"/>
  <c r="JU420" i="40"/>
  <c r="JV420" i="40" s="1"/>
  <c r="JW420" i="40" s="1"/>
  <c r="JM628" i="40"/>
  <c r="AF39" i="70"/>
  <c r="AK39" i="70"/>
  <c r="KJ428" i="40"/>
  <c r="KI428" i="40"/>
  <c r="AK14" i="70"/>
  <c r="JS428" i="40"/>
  <c r="KO428" i="40"/>
  <c r="JT428" i="40"/>
  <c r="JX428" i="40" s="1"/>
  <c r="JU428" i="40"/>
  <c r="JV428" i="40" s="1"/>
  <c r="JW428" i="40" s="1"/>
  <c r="AF14" i="70"/>
  <c r="BL14" i="70" s="1"/>
  <c r="KK428" i="40"/>
  <c r="AE44" i="68"/>
  <c r="JU436" i="40"/>
  <c r="KO436" i="40"/>
  <c r="AK47" i="70"/>
  <c r="KJ436" i="40"/>
  <c r="JT436" i="40"/>
  <c r="JX436" i="40" s="1"/>
  <c r="AF47" i="70"/>
  <c r="JS436" i="40"/>
  <c r="KI436" i="40"/>
  <c r="KK436" i="40"/>
  <c r="KO444" i="40"/>
  <c r="AF55" i="70"/>
  <c r="KK444" i="40"/>
  <c r="AK55" i="70"/>
  <c r="KJ444" i="40"/>
  <c r="JT444" i="40"/>
  <c r="JX444" i="40" s="1"/>
  <c r="JS444" i="40"/>
  <c r="JU444" i="40"/>
  <c r="JV444" i="40" s="1"/>
  <c r="JW444" i="40" s="1"/>
  <c r="KI444" i="40"/>
  <c r="JL634" i="40"/>
  <c r="JL650" i="40"/>
  <c r="AS34" i="70"/>
  <c r="AN34" i="70"/>
  <c r="KO523" i="40"/>
  <c r="JT523" i="40"/>
  <c r="JX523" i="40" s="1"/>
  <c r="JS523" i="40"/>
  <c r="JU523" i="40"/>
  <c r="JV523" i="40" s="1"/>
  <c r="JW523" i="40" s="1"/>
  <c r="KJ523" i="40"/>
  <c r="KK523" i="40"/>
  <c r="KI523" i="40"/>
  <c r="AN35" i="70"/>
  <c r="KO524" i="40"/>
  <c r="JS524" i="40"/>
  <c r="KJ524" i="40"/>
  <c r="AS35" i="70"/>
  <c r="KK524" i="40"/>
  <c r="JT524" i="40"/>
  <c r="JX524" i="40" s="1"/>
  <c r="JU524" i="40"/>
  <c r="JV524" i="40" s="1"/>
  <c r="JW524" i="40" s="1"/>
  <c r="KI524" i="40"/>
  <c r="AS43" i="70"/>
  <c r="AN43" i="70"/>
  <c r="KO532" i="40"/>
  <c r="AN9" i="70"/>
  <c r="BO9" i="70" s="1"/>
  <c r="KI532" i="40"/>
  <c r="KK532" i="40"/>
  <c r="JT532" i="40"/>
  <c r="JX532" i="40" s="1"/>
  <c r="AS9" i="70"/>
  <c r="KJ532" i="40"/>
  <c r="JU532" i="40"/>
  <c r="JV532" i="40" s="1"/>
  <c r="JW532" i="40" s="1"/>
  <c r="JS532" i="40"/>
  <c r="AS51" i="70"/>
  <c r="AE42" i="69"/>
  <c r="KO540" i="40"/>
  <c r="JU540" i="40"/>
  <c r="KI540" i="40"/>
  <c r="AN51" i="70"/>
  <c r="KK540" i="40"/>
  <c r="JS540" i="40"/>
  <c r="JT540" i="40"/>
  <c r="JX540" i="40" s="1"/>
  <c r="KJ540" i="40"/>
  <c r="KO548" i="40"/>
  <c r="AN59" i="70"/>
  <c r="KJ548" i="40"/>
  <c r="JT548" i="40"/>
  <c r="JX548" i="40" s="1"/>
  <c r="KK548" i="40"/>
  <c r="JU548" i="40"/>
  <c r="JV548" i="40" s="1"/>
  <c r="JW548" i="40" s="1"/>
  <c r="KI548" i="40"/>
  <c r="AS59" i="70"/>
  <c r="JS548" i="40"/>
  <c r="AS8" i="70"/>
  <c r="AN8" i="70"/>
  <c r="BO8" i="70" s="1"/>
  <c r="AN67" i="70"/>
  <c r="KO556" i="40"/>
  <c r="JU556" i="40"/>
  <c r="JV556" i="40" s="1"/>
  <c r="JW556" i="40" s="1"/>
  <c r="KJ556" i="40"/>
  <c r="AS67" i="70"/>
  <c r="KI556" i="40"/>
  <c r="KK556" i="40"/>
  <c r="JT556" i="40"/>
  <c r="JX556" i="40" s="1"/>
  <c r="JS556" i="40"/>
  <c r="AK69" i="70"/>
  <c r="AF69" i="70"/>
  <c r="KO458" i="40"/>
  <c r="KJ458" i="40"/>
  <c r="KI458" i="40"/>
  <c r="JT458" i="40"/>
  <c r="JX458" i="40" s="1"/>
  <c r="KK458" i="40"/>
  <c r="JU458" i="40"/>
  <c r="JV458" i="40" s="1"/>
  <c r="JW458" i="40" s="1"/>
  <c r="JS458" i="40"/>
  <c r="KO566" i="40"/>
  <c r="JU566" i="40"/>
  <c r="JV566" i="40" s="1"/>
  <c r="JW566" i="40" s="1"/>
  <c r="JS566" i="40"/>
  <c r="KJ566" i="40"/>
  <c r="KK566" i="40"/>
  <c r="JT566" i="40"/>
  <c r="JX566" i="40" s="1"/>
  <c r="KI566" i="40"/>
  <c r="U18" i="70"/>
  <c r="P18" i="70"/>
  <c r="JM675" i="40"/>
  <c r="JT275" i="40"/>
  <c r="JX275" i="40" s="1"/>
  <c r="KO275" i="40"/>
  <c r="JU275" i="40"/>
  <c r="JV275" i="40" s="1"/>
  <c r="JW275" i="40" s="1"/>
  <c r="JS275" i="40"/>
  <c r="KK275" i="40"/>
  <c r="KI275" i="40"/>
  <c r="KJ275" i="40"/>
  <c r="JM270" i="40"/>
  <c r="KO504" i="40"/>
  <c r="KI504" i="40"/>
  <c r="KK504" i="40"/>
  <c r="JS504" i="40"/>
  <c r="JT504" i="40"/>
  <c r="JX504" i="40" s="1"/>
  <c r="KJ504" i="40"/>
  <c r="JU504" i="40"/>
  <c r="JV504" i="40" s="1"/>
  <c r="JW504" i="40" s="1"/>
  <c r="JM602" i="40"/>
  <c r="KO562" i="40"/>
  <c r="JT562" i="40"/>
  <c r="JX562" i="40" s="1"/>
  <c r="KI562" i="40"/>
  <c r="JU562" i="40"/>
  <c r="JV562" i="40" s="1"/>
  <c r="JW562" i="40" s="1"/>
  <c r="KJ562" i="40"/>
  <c r="KK562" i="40"/>
  <c r="JS562" i="40"/>
  <c r="KO474" i="40"/>
  <c r="JU474" i="40"/>
  <c r="JV474" i="40" s="1"/>
  <c r="JW474" i="40" s="1"/>
  <c r="KI474" i="40"/>
  <c r="JS474" i="40"/>
  <c r="KJ474" i="40"/>
  <c r="JT474" i="40"/>
  <c r="JX474" i="40" s="1"/>
  <c r="KK474" i="40"/>
  <c r="Z63" i="68"/>
  <c r="Z71" i="68"/>
  <c r="Z59" i="68"/>
  <c r="Z43" i="68"/>
  <c r="Z51" i="68"/>
  <c r="Z67" i="68"/>
  <c r="Z49" i="68"/>
  <c r="Z41" i="68"/>
  <c r="Z39" i="68"/>
  <c r="Z69" i="68"/>
  <c r="Z61" i="68"/>
  <c r="Z53" i="68"/>
  <c r="Z47" i="68"/>
  <c r="Z65" i="68"/>
  <c r="Z57" i="68"/>
  <c r="Z55" i="68"/>
  <c r="KO469" i="40"/>
  <c r="KI469" i="40"/>
  <c r="KK469" i="40"/>
  <c r="KJ469" i="40"/>
  <c r="JT469" i="40"/>
  <c r="JX469" i="40" s="1"/>
  <c r="JU469" i="40"/>
  <c r="JV469" i="40" s="1"/>
  <c r="JW469" i="40" s="1"/>
  <c r="JS469" i="40"/>
  <c r="KO468" i="40"/>
  <c r="JT468" i="40"/>
  <c r="JX468" i="40" s="1"/>
  <c r="JU468" i="40"/>
  <c r="JV468" i="40" s="1"/>
  <c r="JW468" i="40" s="1"/>
  <c r="JS468" i="40"/>
  <c r="KK468" i="40"/>
  <c r="KI468" i="40"/>
  <c r="KJ468" i="40"/>
  <c r="KO369" i="40"/>
  <c r="KI369" i="40"/>
  <c r="KJ369" i="40"/>
  <c r="JT369" i="40"/>
  <c r="JX369" i="40" s="1"/>
  <c r="JS369" i="40"/>
  <c r="JU369" i="40"/>
  <c r="JV369" i="40" s="1"/>
  <c r="JW369" i="40" s="1"/>
  <c r="KK369" i="40"/>
  <c r="Q35" i="67"/>
  <c r="Q47" i="67"/>
  <c r="Y42" i="69"/>
  <c r="Z42" i="66"/>
  <c r="AC34" i="69"/>
  <c r="Y34" i="67"/>
  <c r="AU21" i="69" l="1"/>
  <c r="JS420" i="40"/>
  <c r="KO420" i="40"/>
  <c r="KK332" i="40"/>
  <c r="AC43" i="70"/>
  <c r="KJ420" i="40"/>
  <c r="AF31" i="70"/>
  <c r="KI332" i="40"/>
  <c r="KO332" i="40"/>
  <c r="KO564" i="40"/>
  <c r="KI420" i="40"/>
  <c r="JM620" i="40"/>
  <c r="JU620" i="40" s="1"/>
  <c r="JV620" i="40" s="1"/>
  <c r="JW620" i="40" s="1"/>
  <c r="JU332" i="40"/>
  <c r="JV332" i="40" s="1"/>
  <c r="JW332" i="40" s="1"/>
  <c r="JS332" i="40"/>
  <c r="JX607" i="40"/>
  <c r="AF53" i="66"/>
  <c r="AG53" i="66" s="1"/>
  <c r="JU207" i="40"/>
  <c r="JV207" i="40" s="1"/>
  <c r="JW207" i="40" s="1"/>
  <c r="JS237" i="40"/>
  <c r="P48" i="70"/>
  <c r="AC46" i="66"/>
  <c r="AD46" i="66" s="1"/>
  <c r="JS207" i="40"/>
  <c r="KK245" i="40"/>
  <c r="KI237" i="40"/>
  <c r="KJ207" i="40"/>
  <c r="JU318" i="40"/>
  <c r="JV318" i="40" s="1"/>
  <c r="JW318" i="40" s="1"/>
  <c r="KJ245" i="40"/>
  <c r="JT237" i="40"/>
  <c r="JX237" i="40" s="1"/>
  <c r="Y41" i="69"/>
  <c r="Y35" i="69"/>
  <c r="AA53" i="71"/>
  <c r="AA39" i="71"/>
  <c r="AA41" i="71"/>
  <c r="KI314" i="40"/>
  <c r="Y55" i="68"/>
  <c r="Y71" i="68"/>
  <c r="Y51" i="68"/>
  <c r="Y69" i="69"/>
  <c r="Y71" i="69"/>
  <c r="JM666" i="40"/>
  <c r="KO666" i="40" s="1"/>
  <c r="JM614" i="40"/>
  <c r="AV25" i="70" s="1"/>
  <c r="AA47" i="71"/>
  <c r="AA59" i="71"/>
  <c r="AA69" i="71"/>
  <c r="AA55" i="71"/>
  <c r="AA35" i="71"/>
  <c r="KO314" i="40"/>
  <c r="KO207" i="40"/>
  <c r="KS207" i="40" s="1"/>
  <c r="JM607" i="40"/>
  <c r="JS607" i="40" s="1"/>
  <c r="AC44" i="58"/>
  <c r="Y45" i="68"/>
  <c r="JU647" i="40"/>
  <c r="JV647" i="40" s="1"/>
  <c r="JW647" i="40" s="1"/>
  <c r="JS245" i="40"/>
  <c r="KK237" i="40"/>
  <c r="KO237" i="40"/>
  <c r="JM637" i="40"/>
  <c r="JT637" i="40" s="1"/>
  <c r="JX637" i="40" s="1"/>
  <c r="KK314" i="40"/>
  <c r="JT314" i="40"/>
  <c r="JX314" i="40" s="1"/>
  <c r="Y59" i="68"/>
  <c r="Y63" i="68"/>
  <c r="Y67" i="68"/>
  <c r="Y37" i="68"/>
  <c r="Y45" i="69"/>
  <c r="AC38" i="67"/>
  <c r="AD38" i="67" s="1"/>
  <c r="AA37" i="71"/>
  <c r="AA63" i="71"/>
  <c r="AC36" i="58"/>
  <c r="Y57" i="69"/>
  <c r="Y61" i="69"/>
  <c r="AS21" i="69"/>
  <c r="AC33" i="68"/>
  <c r="JM625" i="40"/>
  <c r="AV36" i="70" s="1"/>
  <c r="Y41" i="68"/>
  <c r="AA65" i="71"/>
  <c r="AA49" i="71"/>
  <c r="AA51" i="71"/>
  <c r="AA57" i="71"/>
  <c r="X25" i="70"/>
  <c r="JT207" i="40"/>
  <c r="AC44" i="66"/>
  <c r="AC45" i="66" s="1"/>
  <c r="JT603" i="40"/>
  <c r="JX603" i="40" s="1"/>
  <c r="KI245" i="40"/>
  <c r="U56" i="70"/>
  <c r="U48" i="70"/>
  <c r="JU314" i="40"/>
  <c r="JV314" i="40" s="1"/>
  <c r="JW314" i="40" s="1"/>
  <c r="Y47" i="69"/>
  <c r="Y65" i="68"/>
  <c r="Y53" i="68"/>
  <c r="Y65" i="69"/>
  <c r="AC33" i="69"/>
  <c r="AC51" i="69" s="1"/>
  <c r="C51" i="69" s="1"/>
  <c r="Y55" i="69"/>
  <c r="A57" i="66"/>
  <c r="Y53" i="69"/>
  <c r="AC16" i="70"/>
  <c r="JS424" i="40"/>
  <c r="X29" i="70"/>
  <c r="JM624" i="40"/>
  <c r="JT624" i="40" s="1"/>
  <c r="JX624" i="40" s="1"/>
  <c r="KJ564" i="40"/>
  <c r="AU21" i="58"/>
  <c r="Y71" i="66"/>
  <c r="Y57" i="66"/>
  <c r="Y59" i="66"/>
  <c r="JS249" i="40"/>
  <c r="KI249" i="40"/>
  <c r="P60" i="70"/>
  <c r="Y41" i="66"/>
  <c r="Y63" i="66"/>
  <c r="Y51" i="66"/>
  <c r="Y49" i="66"/>
  <c r="Y37" i="66"/>
  <c r="KJ249" i="40"/>
  <c r="KO249" i="40"/>
  <c r="JT420" i="40"/>
  <c r="JX420" i="40" s="1"/>
  <c r="X9" i="70"/>
  <c r="BI9" i="70" s="1"/>
  <c r="AC9" i="70"/>
  <c r="Y61" i="66"/>
  <c r="Y53" i="66"/>
  <c r="Y69" i="66"/>
  <c r="KK249" i="40"/>
  <c r="JU249" i="40"/>
  <c r="JV249" i="40" s="1"/>
  <c r="JW249" i="40" s="1"/>
  <c r="AE40" i="69"/>
  <c r="AL41" i="69" s="1"/>
  <c r="JT245" i="40"/>
  <c r="JX245" i="40" s="1"/>
  <c r="JU245" i="40"/>
  <c r="JV245" i="40" s="1"/>
  <c r="JW245" i="40" s="1"/>
  <c r="JX667" i="40"/>
  <c r="KO245" i="40"/>
  <c r="KR245" i="40" s="1"/>
  <c r="AN39" i="69"/>
  <c r="AL39" i="69"/>
  <c r="AE39" i="69"/>
  <c r="AI39" i="69" s="1"/>
  <c r="AS20" i="69"/>
  <c r="KR487" i="40"/>
  <c r="KS487" i="40"/>
  <c r="KS486" i="40"/>
  <c r="KR486" i="40"/>
  <c r="KR485" i="40"/>
  <c r="KS485" i="40"/>
  <c r="KR484" i="40"/>
  <c r="KS484" i="40"/>
  <c r="AU20" i="68"/>
  <c r="KR478" i="40"/>
  <c r="KS478" i="40"/>
  <c r="KR482" i="40"/>
  <c r="KS482" i="40"/>
  <c r="KS480" i="40"/>
  <c r="KR480" i="40"/>
  <c r="KS481" i="40"/>
  <c r="KR481" i="40"/>
  <c r="KS476" i="40"/>
  <c r="KR476" i="40"/>
  <c r="KS479" i="40"/>
  <c r="KR479" i="40"/>
  <c r="KS483" i="40"/>
  <c r="KR483" i="40"/>
  <c r="KS477" i="40"/>
  <c r="KR477" i="40"/>
  <c r="KR382" i="40"/>
  <c r="KS382" i="40"/>
  <c r="KS383" i="40"/>
  <c r="KR383" i="40"/>
  <c r="KJ424" i="40"/>
  <c r="JT564" i="40"/>
  <c r="JX564" i="40" s="1"/>
  <c r="KO318" i="40"/>
  <c r="KS318" i="40" s="1"/>
  <c r="X16" i="70"/>
  <c r="BI16" i="70" s="1"/>
  <c r="JM618" i="40"/>
  <c r="AV16" i="70" s="1"/>
  <c r="BR16" i="70" s="1"/>
  <c r="AD38" i="66"/>
  <c r="KK318" i="40"/>
  <c r="JS318" i="40"/>
  <c r="JM664" i="40"/>
  <c r="KO664" i="40" s="1"/>
  <c r="KS381" i="40"/>
  <c r="KR381" i="40"/>
  <c r="KS380" i="40"/>
  <c r="KR380" i="40"/>
  <c r="JS564" i="40"/>
  <c r="KI564" i="40"/>
  <c r="KI318" i="40"/>
  <c r="AC29" i="70"/>
  <c r="KR559" i="40"/>
  <c r="KS559" i="40"/>
  <c r="KS379" i="40"/>
  <c r="KR379" i="40"/>
  <c r="KR378" i="40"/>
  <c r="KS378" i="40"/>
  <c r="JU564" i="40"/>
  <c r="JV564" i="40" s="1"/>
  <c r="JW564" i="40" s="1"/>
  <c r="JT318" i="40"/>
  <c r="JX318" i="40" s="1"/>
  <c r="KR376" i="40"/>
  <c r="KS376" i="40"/>
  <c r="KS377" i="40"/>
  <c r="KR377" i="40"/>
  <c r="J38" i="62"/>
  <c r="J39" i="62" s="1"/>
  <c r="U38" i="62"/>
  <c r="Q38" i="62" s="1"/>
  <c r="Q39" i="62" s="1"/>
  <c r="O38" i="62"/>
  <c r="O39" i="62" s="1"/>
  <c r="L38" i="62"/>
  <c r="L39" i="62" s="1"/>
  <c r="F38" i="62"/>
  <c r="M38" i="62"/>
  <c r="M39" i="62" s="1"/>
  <c r="K38" i="62"/>
  <c r="K39" i="62" s="1"/>
  <c r="AF38" i="62"/>
  <c r="AF39" i="62" s="1"/>
  <c r="AG39" i="62" s="1"/>
  <c r="V38" i="62"/>
  <c r="N38" i="62"/>
  <c r="N39" i="62" s="1"/>
  <c r="AE38" i="62"/>
  <c r="I38" i="62"/>
  <c r="I39" i="62" s="1"/>
  <c r="H38" i="62"/>
  <c r="W38" i="62"/>
  <c r="S38" i="62" s="1"/>
  <c r="S39" i="62" s="1"/>
  <c r="G38" i="62"/>
  <c r="AE36" i="62"/>
  <c r="J36" i="62"/>
  <c r="J37" i="62" s="1"/>
  <c r="O36" i="62"/>
  <c r="O37" i="62" s="1"/>
  <c r="F36" i="62"/>
  <c r="V36" i="62"/>
  <c r="R36" i="62" s="1"/>
  <c r="R37" i="62" s="1"/>
  <c r="H36" i="62"/>
  <c r="N36" i="62"/>
  <c r="N37" i="62" s="1"/>
  <c r="K36" i="62"/>
  <c r="K37" i="62" s="1"/>
  <c r="AF36" i="62"/>
  <c r="AF37" i="62" s="1"/>
  <c r="AG37" i="62" s="1"/>
  <c r="I36" i="62"/>
  <c r="I37" i="62" s="1"/>
  <c r="G36" i="62"/>
  <c r="W36" i="62"/>
  <c r="S36" i="62" s="1"/>
  <c r="S37" i="62" s="1"/>
  <c r="L36" i="62"/>
  <c r="L37" i="62" s="1"/>
  <c r="M36" i="62"/>
  <c r="M37" i="62" s="1"/>
  <c r="U36" i="62"/>
  <c r="Q36" i="62" s="1"/>
  <c r="Q37" i="62" s="1"/>
  <c r="AE42" i="62"/>
  <c r="K42" i="62"/>
  <c r="K43" i="62" s="1"/>
  <c r="U42" i="62"/>
  <c r="Q42" i="62" s="1"/>
  <c r="Q43" i="62" s="1"/>
  <c r="I42" i="62"/>
  <c r="I43" i="62" s="1"/>
  <c r="N42" i="62"/>
  <c r="N43" i="62" s="1"/>
  <c r="M42" i="62"/>
  <c r="M43" i="62" s="1"/>
  <c r="AF42" i="62"/>
  <c r="AF43" i="62" s="1"/>
  <c r="AG43" i="62" s="1"/>
  <c r="G42" i="62"/>
  <c r="V42" i="62"/>
  <c r="W42" i="62"/>
  <c r="S42" i="62" s="1"/>
  <c r="S43" i="62" s="1"/>
  <c r="L42" i="62"/>
  <c r="L43" i="62" s="1"/>
  <c r="H42" i="62"/>
  <c r="O42" i="62"/>
  <c r="O43" i="62" s="1"/>
  <c r="F42" i="62"/>
  <c r="J42" i="62"/>
  <c r="J43" i="62" s="1"/>
  <c r="K48" i="62"/>
  <c r="K49" i="62" s="1"/>
  <c r="I48" i="62"/>
  <c r="I49" i="62" s="1"/>
  <c r="N48" i="62"/>
  <c r="N49" i="62" s="1"/>
  <c r="AE48" i="62"/>
  <c r="O48" i="62"/>
  <c r="O49" i="62" s="1"/>
  <c r="L48" i="62"/>
  <c r="L49" i="62" s="1"/>
  <c r="U48" i="62"/>
  <c r="AF48" i="62"/>
  <c r="AF49" i="62" s="1"/>
  <c r="AG49" i="62" s="1"/>
  <c r="G48" i="62"/>
  <c r="W48" i="62"/>
  <c r="S48" i="62" s="1"/>
  <c r="S49" i="62" s="1"/>
  <c r="F48" i="62"/>
  <c r="V48" i="62"/>
  <c r="H48" i="62"/>
  <c r="J48" i="62"/>
  <c r="J49" i="62" s="1"/>
  <c r="M48" i="62"/>
  <c r="M49" i="62" s="1"/>
  <c r="I40" i="62"/>
  <c r="I41" i="62" s="1"/>
  <c r="AF40" i="62"/>
  <c r="AF41" i="62" s="1"/>
  <c r="AG41" i="62" s="1"/>
  <c r="U40" i="62"/>
  <c r="Q40" i="62" s="1"/>
  <c r="Q41" i="62" s="1"/>
  <c r="G40" i="62"/>
  <c r="AE40" i="62"/>
  <c r="H40" i="62"/>
  <c r="O40" i="62"/>
  <c r="O41" i="62" s="1"/>
  <c r="F40" i="62"/>
  <c r="N40" i="62"/>
  <c r="N41" i="62" s="1"/>
  <c r="W40" i="62"/>
  <c r="V40" i="62"/>
  <c r="M40" i="62"/>
  <c r="M41" i="62" s="1"/>
  <c r="J40" i="62"/>
  <c r="J41" i="62" s="1"/>
  <c r="K40" i="62"/>
  <c r="K41" i="62" s="1"/>
  <c r="L40" i="62"/>
  <c r="L41" i="62" s="1"/>
  <c r="AE44" i="62"/>
  <c r="N44" i="62"/>
  <c r="N45" i="62" s="1"/>
  <c r="V44" i="62"/>
  <c r="R44" i="62" s="1"/>
  <c r="R45" i="62" s="1"/>
  <c r="M44" i="62"/>
  <c r="M45" i="62" s="1"/>
  <c r="AF44" i="62"/>
  <c r="AF45" i="62" s="1"/>
  <c r="AG45" i="62" s="1"/>
  <c r="W44" i="62"/>
  <c r="S44" i="62" s="1"/>
  <c r="S45" i="62" s="1"/>
  <c r="K44" i="62"/>
  <c r="K45" i="62" s="1"/>
  <c r="O44" i="62"/>
  <c r="O45" i="62" s="1"/>
  <c r="L44" i="62"/>
  <c r="L45" i="62" s="1"/>
  <c r="I44" i="62"/>
  <c r="I45" i="62" s="1"/>
  <c r="G44" i="62"/>
  <c r="F44" i="62"/>
  <c r="H44" i="62"/>
  <c r="U44" i="62"/>
  <c r="Q44" i="62" s="1"/>
  <c r="Q45" i="62" s="1"/>
  <c r="J44" i="62"/>
  <c r="J45" i="62" s="1"/>
  <c r="JV319" i="40"/>
  <c r="JW319" i="40" s="1"/>
  <c r="AF34" i="67"/>
  <c r="L46" i="62"/>
  <c r="L47" i="62" s="1"/>
  <c r="J46" i="62"/>
  <c r="J47" i="62" s="1"/>
  <c r="G46" i="62"/>
  <c r="K46" i="62"/>
  <c r="K47" i="62" s="1"/>
  <c r="H46" i="62"/>
  <c r="W46" i="62"/>
  <c r="S46" i="62" s="1"/>
  <c r="S47" i="62" s="1"/>
  <c r="AE46" i="62"/>
  <c r="M46" i="62"/>
  <c r="M47" i="62" s="1"/>
  <c r="O46" i="62"/>
  <c r="O47" i="62" s="1"/>
  <c r="N46" i="62"/>
  <c r="N47" i="62" s="1"/>
  <c r="V46" i="62"/>
  <c r="R46" i="62" s="1"/>
  <c r="R47" i="62" s="1"/>
  <c r="F46" i="62"/>
  <c r="I46" i="62"/>
  <c r="I47" i="62" s="1"/>
  <c r="U46" i="62"/>
  <c r="AF46" i="62"/>
  <c r="AF47" i="62" s="1"/>
  <c r="AG47" i="62" s="1"/>
  <c r="G34" i="62"/>
  <c r="O34" i="62"/>
  <c r="O35" i="62" s="1"/>
  <c r="L34" i="62"/>
  <c r="L35" i="62" s="1"/>
  <c r="U34" i="62"/>
  <c r="H34" i="62"/>
  <c r="N34" i="62"/>
  <c r="N35" i="62" s="1"/>
  <c r="V34" i="62"/>
  <c r="M34" i="62"/>
  <c r="M35" i="62" s="1"/>
  <c r="F34" i="62"/>
  <c r="AF34" i="62"/>
  <c r="AF35" i="62" s="1"/>
  <c r="AG35" i="62" s="1"/>
  <c r="K34" i="62"/>
  <c r="K35" i="62" s="1"/>
  <c r="I34" i="62"/>
  <c r="I35" i="62" s="1"/>
  <c r="J34" i="62"/>
  <c r="J35" i="62" s="1"/>
  <c r="W34" i="62"/>
  <c r="AE34" i="62"/>
  <c r="Q34" i="62"/>
  <c r="Q35" i="62" s="1"/>
  <c r="AT21" i="58"/>
  <c r="AK35" i="70"/>
  <c r="JT424" i="40"/>
  <c r="JX424" i="40" s="1"/>
  <c r="AS21" i="67"/>
  <c r="Y39" i="71"/>
  <c r="JU603" i="40"/>
  <c r="JV603" i="40" s="1"/>
  <c r="JW603" i="40" s="1"/>
  <c r="AS21" i="58"/>
  <c r="AC63" i="69"/>
  <c r="C63" i="69" s="1"/>
  <c r="AF71" i="66"/>
  <c r="AG71" i="66" s="1"/>
  <c r="KI424" i="40"/>
  <c r="KK424" i="40"/>
  <c r="KO424" i="40"/>
  <c r="KS424" i="40" s="1"/>
  <c r="KO373" i="40"/>
  <c r="KR373" i="40" s="1"/>
  <c r="AV19" i="58"/>
  <c r="JT241" i="40"/>
  <c r="JX241" i="40" s="1"/>
  <c r="AC67" i="69"/>
  <c r="C67" i="69" s="1"/>
  <c r="JU663" i="40"/>
  <c r="JV663" i="40" s="1"/>
  <c r="JW663" i="40" s="1"/>
  <c r="AF63" i="66"/>
  <c r="AG63" i="66" s="1"/>
  <c r="AF67" i="66"/>
  <c r="AG67" i="66" s="1"/>
  <c r="KO603" i="40"/>
  <c r="KR603" i="40" s="1"/>
  <c r="E12" i="61" s="1"/>
  <c r="AF35" i="70"/>
  <c r="AL37" i="68"/>
  <c r="KO241" i="40"/>
  <c r="KR241" i="40" s="1"/>
  <c r="AC55" i="69"/>
  <c r="C55" i="69" s="1"/>
  <c r="AF51" i="66"/>
  <c r="AG51" i="66" s="1"/>
  <c r="AF61" i="66"/>
  <c r="AG61" i="66" s="1"/>
  <c r="KR512" i="40"/>
  <c r="A45" i="69"/>
  <c r="KU201" i="40"/>
  <c r="AF57" i="66"/>
  <c r="AG57" i="66" s="1"/>
  <c r="KL405" i="40"/>
  <c r="AU13" i="68" s="1"/>
  <c r="JM630" i="40"/>
  <c r="JS630" i="40" s="1"/>
  <c r="KO330" i="40"/>
  <c r="KR330" i="40" s="1"/>
  <c r="AF59" i="66"/>
  <c r="AG59" i="66" s="1"/>
  <c r="AF69" i="66"/>
  <c r="AG69" i="66" s="1"/>
  <c r="AF65" i="66"/>
  <c r="AG65" i="66" s="1"/>
  <c r="KR570" i="40"/>
  <c r="KS570" i="40"/>
  <c r="AF69" i="69"/>
  <c r="AG69" i="69" s="1"/>
  <c r="AF55" i="69"/>
  <c r="AG55" i="69" s="1"/>
  <c r="AF51" i="69"/>
  <c r="AG51" i="69" s="1"/>
  <c r="AF67" i="69"/>
  <c r="AG67" i="69" s="1"/>
  <c r="AF61" i="69"/>
  <c r="AG61" i="69" s="1"/>
  <c r="AF59" i="69"/>
  <c r="AG59" i="69" s="1"/>
  <c r="AF71" i="69"/>
  <c r="AG71" i="69" s="1"/>
  <c r="AF57" i="69"/>
  <c r="AG57" i="69" s="1"/>
  <c r="AF53" i="69"/>
  <c r="AG53" i="69" s="1"/>
  <c r="AF45" i="69"/>
  <c r="AG45" i="69" s="1"/>
  <c r="AF37" i="69"/>
  <c r="AG37" i="69" s="1"/>
  <c r="AF63" i="69"/>
  <c r="AG63" i="69" s="1"/>
  <c r="AF65" i="69"/>
  <c r="AG65" i="69" s="1"/>
  <c r="KR571" i="40"/>
  <c r="KS571" i="40"/>
  <c r="AU20" i="66"/>
  <c r="JS241" i="40"/>
  <c r="KJ241" i="40"/>
  <c r="P52" i="70"/>
  <c r="AT21" i="69"/>
  <c r="AU20" i="71"/>
  <c r="KI241" i="40"/>
  <c r="JU241" i="40"/>
  <c r="JV241" i="40" s="1"/>
  <c r="JW241" i="40" s="1"/>
  <c r="JM641" i="40"/>
  <c r="JT641" i="40" s="1"/>
  <c r="JX641" i="40" s="1"/>
  <c r="JU604" i="40"/>
  <c r="JV604" i="40" s="1"/>
  <c r="JW604" i="40" s="1"/>
  <c r="U52" i="70"/>
  <c r="AC43" i="67"/>
  <c r="AE37" i="68"/>
  <c r="AI37" i="68" s="1"/>
  <c r="A37" i="68" s="1"/>
  <c r="AM37" i="68"/>
  <c r="JU660" i="40"/>
  <c r="JV660" i="40" s="1"/>
  <c r="JW660" i="40" s="1"/>
  <c r="AU21" i="67"/>
  <c r="AT20" i="67"/>
  <c r="Y53" i="71"/>
  <c r="Y43" i="71"/>
  <c r="AS21" i="71"/>
  <c r="JS667" i="40"/>
  <c r="AC46" i="69"/>
  <c r="JU667" i="40"/>
  <c r="JV667" i="40" s="1"/>
  <c r="JW667" i="40" s="1"/>
  <c r="Y65" i="71"/>
  <c r="Y49" i="71"/>
  <c r="AV19" i="67"/>
  <c r="AS21" i="68"/>
  <c r="AV19" i="68"/>
  <c r="A69" i="69"/>
  <c r="AS21" i="66"/>
  <c r="JM615" i="40"/>
  <c r="JS615" i="40" s="1"/>
  <c r="AC39" i="66"/>
  <c r="X13" i="70"/>
  <c r="BI13" i="70" s="1"/>
  <c r="Y59" i="71"/>
  <c r="Y45" i="71"/>
  <c r="Y57" i="71"/>
  <c r="Y35" i="71"/>
  <c r="Y61" i="71"/>
  <c r="AC44" i="69"/>
  <c r="AD44" i="69" s="1"/>
  <c r="AT20" i="69"/>
  <c r="AT20" i="68"/>
  <c r="AT21" i="68"/>
  <c r="KR516" i="40"/>
  <c r="KS516" i="40"/>
  <c r="A55" i="69"/>
  <c r="A51" i="69"/>
  <c r="KR563" i="40"/>
  <c r="KS563" i="40"/>
  <c r="AV19" i="69"/>
  <c r="Y39" i="66"/>
  <c r="JS604" i="40"/>
  <c r="Y71" i="71"/>
  <c r="Y41" i="71"/>
  <c r="Y51" i="71"/>
  <c r="Y47" i="71"/>
  <c r="AC33" i="71"/>
  <c r="AC59" i="71" s="1"/>
  <c r="JS668" i="40"/>
  <c r="KR560" i="40"/>
  <c r="KS560" i="40"/>
  <c r="KO315" i="40"/>
  <c r="KR315" i="40" s="1"/>
  <c r="Y67" i="71"/>
  <c r="Y55" i="71"/>
  <c r="Y69" i="71"/>
  <c r="Y37" i="71"/>
  <c r="AC42" i="58"/>
  <c r="AC43" i="58" s="1"/>
  <c r="C43" i="58" s="1"/>
  <c r="KR506" i="40"/>
  <c r="KS506" i="40"/>
  <c r="KS213" i="40"/>
  <c r="KR213" i="40"/>
  <c r="AE43" i="66"/>
  <c r="AI43" i="66" s="1"/>
  <c r="A43" i="66" s="1"/>
  <c r="AL43" i="66"/>
  <c r="AN43" i="66"/>
  <c r="AM43" i="66"/>
  <c r="KR260" i="40"/>
  <c r="KS260" i="40"/>
  <c r="AV19" i="71"/>
  <c r="KL204" i="40"/>
  <c r="AT13" i="66" s="1"/>
  <c r="KS217" i="40"/>
  <c r="KR217" i="40"/>
  <c r="KR567" i="40"/>
  <c r="KS567" i="40"/>
  <c r="KR267" i="40"/>
  <c r="KS267" i="40"/>
  <c r="Z39" i="69"/>
  <c r="AC38" i="69"/>
  <c r="AF42" i="66"/>
  <c r="AF43" i="66" s="1"/>
  <c r="AG43" i="66" s="1"/>
  <c r="JV213" i="40"/>
  <c r="JW213" i="40" s="1"/>
  <c r="JS660" i="40"/>
  <c r="JT660" i="40"/>
  <c r="JX660" i="40" s="1"/>
  <c r="AE39" i="66"/>
  <c r="AI39" i="66" s="1"/>
  <c r="C39" i="66" s="1"/>
  <c r="AM39" i="66"/>
  <c r="AN39" i="66"/>
  <c r="AL39" i="66"/>
  <c r="AF38" i="66"/>
  <c r="AF39" i="66" s="1"/>
  <c r="AG39" i="66" s="1"/>
  <c r="JV217" i="40"/>
  <c r="JW217" i="40" s="1"/>
  <c r="AT20" i="66"/>
  <c r="AT21" i="66"/>
  <c r="AV19" i="66"/>
  <c r="JT373" i="40"/>
  <c r="JX373" i="40" s="1"/>
  <c r="KK373" i="40"/>
  <c r="JU373" i="40"/>
  <c r="JV373" i="40" s="1"/>
  <c r="JW373" i="40" s="1"/>
  <c r="KI373" i="40"/>
  <c r="KJ373" i="40"/>
  <c r="JS373" i="40"/>
  <c r="AB12" i="61"/>
  <c r="T12" i="61" s="1"/>
  <c r="AD12" i="61"/>
  <c r="AH12" i="61" s="1"/>
  <c r="AH5" i="61" s="1"/>
  <c r="KL505" i="40"/>
  <c r="AU13" i="69" s="1"/>
  <c r="KS521" i="40"/>
  <c r="KR521" i="40"/>
  <c r="KR573" i="40"/>
  <c r="KS573" i="40"/>
  <c r="KR205" i="40"/>
  <c r="G8" i="61" s="1"/>
  <c r="AN8" i="61" s="1"/>
  <c r="KS205" i="40"/>
  <c r="KR243" i="40"/>
  <c r="KS243" i="40"/>
  <c r="AF46" i="69"/>
  <c r="AF47" i="69" s="1"/>
  <c r="AG47" i="69" s="1"/>
  <c r="JV511" i="40"/>
  <c r="JW511" i="40" s="1"/>
  <c r="AC34" i="68"/>
  <c r="AD34" i="68" s="1"/>
  <c r="Y35" i="68"/>
  <c r="Z47" i="71"/>
  <c r="Z59" i="71"/>
  <c r="Z67" i="71"/>
  <c r="Z39" i="71"/>
  <c r="Z57" i="71"/>
  <c r="Z43" i="71"/>
  <c r="Z35" i="71"/>
  <c r="Z37" i="71"/>
  <c r="Z71" i="71"/>
  <c r="Z61" i="71"/>
  <c r="Z45" i="71"/>
  <c r="Z53" i="71"/>
  <c r="Z55" i="71"/>
  <c r="Z69" i="71"/>
  <c r="Z65" i="71"/>
  <c r="Z51" i="71"/>
  <c r="Z41" i="71"/>
  <c r="Z63" i="71"/>
  <c r="Z49" i="71"/>
  <c r="KS459" i="40"/>
  <c r="KR459" i="40"/>
  <c r="KR431" i="40"/>
  <c r="KS431" i="40"/>
  <c r="KR433" i="40"/>
  <c r="KS433" i="40"/>
  <c r="KR460" i="40"/>
  <c r="KS460" i="40"/>
  <c r="KR402" i="40"/>
  <c r="KS402" i="40"/>
  <c r="JS633" i="40"/>
  <c r="JU633" i="40"/>
  <c r="JV633" i="40" s="1"/>
  <c r="JW633" i="40" s="1"/>
  <c r="JT633" i="40"/>
  <c r="JX633" i="40" s="1"/>
  <c r="AC48" i="69"/>
  <c r="Y49" i="69"/>
  <c r="JT330" i="40"/>
  <c r="JX330" i="40" s="1"/>
  <c r="JS330" i="40"/>
  <c r="JU330" i="40"/>
  <c r="JV330" i="40" s="1"/>
  <c r="JW330" i="40" s="1"/>
  <c r="KJ330" i="40"/>
  <c r="AC41" i="70"/>
  <c r="KK330" i="40"/>
  <c r="KI330" i="40"/>
  <c r="KR255" i="40"/>
  <c r="KS255" i="40"/>
  <c r="JT647" i="40"/>
  <c r="JX647" i="40" s="1"/>
  <c r="JS647" i="40"/>
  <c r="AS36" i="70"/>
  <c r="AN36" i="70"/>
  <c r="JS525" i="40"/>
  <c r="JT525" i="40"/>
  <c r="JX525" i="40" s="1"/>
  <c r="JU525" i="40"/>
  <c r="AF40" i="69" s="1"/>
  <c r="AF41" i="69" s="1"/>
  <c r="AG41" i="69" s="1"/>
  <c r="KI525" i="40"/>
  <c r="KK525" i="40"/>
  <c r="KJ525" i="40"/>
  <c r="KO525" i="40"/>
  <c r="KS253" i="40"/>
  <c r="KR253" i="40"/>
  <c r="KR237" i="40"/>
  <c r="KS237" i="40"/>
  <c r="JU637" i="40"/>
  <c r="JV637" i="40" s="1"/>
  <c r="JW637" i="40" s="1"/>
  <c r="JV513" i="40"/>
  <c r="JW513" i="40" s="1"/>
  <c r="KT203" i="40"/>
  <c r="KU202" i="40"/>
  <c r="AF40" i="67"/>
  <c r="JV313" i="40"/>
  <c r="JW313" i="40" s="1"/>
  <c r="KR522" i="40"/>
  <c r="KS522" i="40"/>
  <c r="KR235" i="40"/>
  <c r="KS235" i="40"/>
  <c r="AF46" i="66"/>
  <c r="AF47" i="66" s="1"/>
  <c r="AG47" i="66" s="1"/>
  <c r="JV235" i="40"/>
  <c r="JW235" i="40" s="1"/>
  <c r="AE47" i="69"/>
  <c r="AI47" i="69" s="1"/>
  <c r="AL47" i="69"/>
  <c r="AM47" i="69"/>
  <c r="AN47" i="69"/>
  <c r="KR472" i="40"/>
  <c r="KS472" i="40"/>
  <c r="KS425" i="40"/>
  <c r="KR425" i="40"/>
  <c r="KR412" i="40"/>
  <c r="KS412" i="40"/>
  <c r="AF33" i="68"/>
  <c r="AF37" i="68" s="1"/>
  <c r="AG37" i="68" s="1"/>
  <c r="JV402" i="40"/>
  <c r="JW402" i="40" s="1"/>
  <c r="KR441" i="40"/>
  <c r="KS441" i="40"/>
  <c r="KR406" i="40"/>
  <c r="KS406" i="40"/>
  <c r="KS222" i="40"/>
  <c r="KR222" i="40"/>
  <c r="KU501" i="40"/>
  <c r="KR501" i="40"/>
  <c r="KS501" i="40"/>
  <c r="KS410" i="40"/>
  <c r="KR410" i="40"/>
  <c r="AS16" i="68" s="1"/>
  <c r="KS239" i="40"/>
  <c r="KR239" i="40"/>
  <c r="KS228" i="40"/>
  <c r="KR228" i="40"/>
  <c r="KS453" i="40"/>
  <c r="KR453" i="40"/>
  <c r="KR445" i="40"/>
  <c r="KS445" i="40"/>
  <c r="JU645" i="40"/>
  <c r="JV645" i="40" s="1"/>
  <c r="JW645" i="40" s="1"/>
  <c r="JS645" i="40"/>
  <c r="JT645" i="40"/>
  <c r="JX645" i="40" s="1"/>
  <c r="KS226" i="40"/>
  <c r="KR226" i="40"/>
  <c r="KL504" i="40"/>
  <c r="AT13" i="69" s="1"/>
  <c r="KL503" i="40"/>
  <c r="AS13" i="69" s="1"/>
  <c r="KS449" i="40"/>
  <c r="KR449" i="40"/>
  <c r="AC46" i="68"/>
  <c r="AC47" i="68" s="1"/>
  <c r="Y47" i="68"/>
  <c r="KS251" i="40"/>
  <c r="KR251" i="40"/>
  <c r="AE47" i="66"/>
  <c r="AI47" i="66" s="1"/>
  <c r="A47" i="66" s="1"/>
  <c r="AL47" i="66"/>
  <c r="AN47" i="66"/>
  <c r="AM47" i="66"/>
  <c r="KS224" i="40"/>
  <c r="KR224" i="40"/>
  <c r="AF34" i="70"/>
  <c r="KO423" i="40"/>
  <c r="AK34" i="70"/>
  <c r="JS423" i="40"/>
  <c r="KK423" i="40"/>
  <c r="KJ423" i="40"/>
  <c r="KI423" i="40"/>
  <c r="JT423" i="40"/>
  <c r="JX423" i="40" s="1"/>
  <c r="JU423" i="40"/>
  <c r="JV423" i="40" s="1"/>
  <c r="JW423" i="40" s="1"/>
  <c r="KR475" i="40"/>
  <c r="KS475" i="40"/>
  <c r="KR467" i="40"/>
  <c r="KS467" i="40"/>
  <c r="KS461" i="40"/>
  <c r="KR461" i="40"/>
  <c r="KS407" i="40"/>
  <c r="KR407" i="40"/>
  <c r="KR447" i="40"/>
  <c r="KS447" i="40"/>
  <c r="KR455" i="40"/>
  <c r="KS455" i="40"/>
  <c r="KS419" i="40"/>
  <c r="KR419" i="40"/>
  <c r="KR418" i="40"/>
  <c r="KS418" i="40"/>
  <c r="KR435" i="40"/>
  <c r="KS435" i="40"/>
  <c r="KR463" i="40"/>
  <c r="KS463" i="40"/>
  <c r="KR405" i="40"/>
  <c r="G10" i="61" s="1"/>
  <c r="AN10" i="61" s="1"/>
  <c r="KS405" i="40"/>
  <c r="AE41" i="68"/>
  <c r="AI41" i="68" s="1"/>
  <c r="A41" i="68" s="1"/>
  <c r="AE59" i="68"/>
  <c r="AI59" i="68" s="1"/>
  <c r="A59" i="68" s="1"/>
  <c r="AE51" i="68"/>
  <c r="AI51" i="68" s="1"/>
  <c r="A51" i="68" s="1"/>
  <c r="AE61" i="68"/>
  <c r="AI61" i="68" s="1"/>
  <c r="A61" i="68" s="1"/>
  <c r="AE65" i="68"/>
  <c r="AI65" i="68" s="1"/>
  <c r="A65" i="68" s="1"/>
  <c r="AE69" i="68"/>
  <c r="AI69" i="68" s="1"/>
  <c r="A69" i="68" s="1"/>
  <c r="AE67" i="68"/>
  <c r="AI67" i="68" s="1"/>
  <c r="A67" i="68" s="1"/>
  <c r="AM41" i="68"/>
  <c r="AL63" i="68"/>
  <c r="AN49" i="68"/>
  <c r="AM49" i="68"/>
  <c r="AM63" i="68"/>
  <c r="AL49" i="68"/>
  <c r="AM67" i="68"/>
  <c r="AN67" i="68"/>
  <c r="AL67" i="68"/>
  <c r="AL51" i="68"/>
  <c r="AE49" i="68"/>
  <c r="AI49" i="68" s="1"/>
  <c r="A49" i="68" s="1"/>
  <c r="AE55" i="68"/>
  <c r="AI55" i="68" s="1"/>
  <c r="A55" i="68" s="1"/>
  <c r="AN41" i="68"/>
  <c r="AN43" i="68"/>
  <c r="AN55" i="68"/>
  <c r="AN53" i="68"/>
  <c r="AM69" i="68"/>
  <c r="AM71" i="68"/>
  <c r="AL61" i="68"/>
  <c r="AM61" i="68"/>
  <c r="AL57" i="68"/>
  <c r="AL69" i="68"/>
  <c r="AM53" i="68"/>
  <c r="AE57" i="68"/>
  <c r="AI57" i="68" s="1"/>
  <c r="A57" i="68" s="1"/>
  <c r="AE53" i="68"/>
  <c r="AI53" i="68" s="1"/>
  <c r="A53" i="68" s="1"/>
  <c r="AE43" i="68"/>
  <c r="AI43" i="68" s="1"/>
  <c r="A43" i="68" s="1"/>
  <c r="AL41" i="68"/>
  <c r="AL43" i="68"/>
  <c r="AL65" i="68"/>
  <c r="AM65" i="68"/>
  <c r="AN71" i="68"/>
  <c r="AL59" i="68"/>
  <c r="AN59" i="68"/>
  <c r="AN51" i="68"/>
  <c r="AM57" i="68"/>
  <c r="AM51" i="68"/>
  <c r="AL53" i="68"/>
  <c r="AE71" i="68"/>
  <c r="AI71" i="68" s="1"/>
  <c r="A71" i="68" s="1"/>
  <c r="AN61" i="68"/>
  <c r="AM59" i="68"/>
  <c r="AE63" i="68"/>
  <c r="AI63" i="68" s="1"/>
  <c r="A63" i="68" s="1"/>
  <c r="AL71" i="68"/>
  <c r="AN65" i="68"/>
  <c r="AN57" i="68"/>
  <c r="AL55" i="68"/>
  <c r="AN63" i="68"/>
  <c r="AN69" i="68"/>
  <c r="AM43" i="68"/>
  <c r="AM55" i="68"/>
  <c r="KL203" i="40"/>
  <c r="AS13" i="66" s="1"/>
  <c r="KR203" i="40"/>
  <c r="E8" i="61" s="1"/>
  <c r="KS203" i="40"/>
  <c r="KS515" i="40"/>
  <c r="KR515" i="40"/>
  <c r="KT301" i="40"/>
  <c r="KT302" i="40" s="1"/>
  <c r="JU301" i="40"/>
  <c r="JV301" i="40" s="1"/>
  <c r="JW301" i="40" s="1"/>
  <c r="JT301" i="40"/>
  <c r="JS301" i="40"/>
  <c r="KS249" i="40"/>
  <c r="KR249" i="40"/>
  <c r="JV310" i="40"/>
  <c r="JW310" i="40" s="1"/>
  <c r="AF38" i="67"/>
  <c r="KT503" i="40"/>
  <c r="KU502" i="40"/>
  <c r="JL701" i="40"/>
  <c r="JU701" i="40" s="1"/>
  <c r="JV701" i="40" s="1"/>
  <c r="JW701" i="40" s="1"/>
  <c r="JX601" i="40"/>
  <c r="JK601" i="40"/>
  <c r="AF50" i="70"/>
  <c r="AK50" i="70"/>
  <c r="JT439" i="40"/>
  <c r="JX439" i="40" s="1"/>
  <c r="KJ439" i="40"/>
  <c r="KK439" i="40"/>
  <c r="KO439" i="40"/>
  <c r="JU439" i="40"/>
  <c r="JV439" i="40" s="1"/>
  <c r="JW439" i="40" s="1"/>
  <c r="JS439" i="40"/>
  <c r="KI439" i="40"/>
  <c r="JS269" i="40"/>
  <c r="KI269" i="40"/>
  <c r="KO269" i="40"/>
  <c r="KJ269" i="40"/>
  <c r="KK269" i="40"/>
  <c r="JT269" i="40"/>
  <c r="JX269" i="40" s="1"/>
  <c r="JU269" i="40"/>
  <c r="JV269" i="40" s="1"/>
  <c r="JW269" i="40" s="1"/>
  <c r="KR408" i="40"/>
  <c r="KS408" i="40"/>
  <c r="KR232" i="40"/>
  <c r="KS232" i="40"/>
  <c r="AE46" i="67"/>
  <c r="AM47" i="67" s="1"/>
  <c r="AC26" i="70"/>
  <c r="JU315" i="40"/>
  <c r="KK315" i="40"/>
  <c r="AC13" i="70"/>
  <c r="KJ315" i="40"/>
  <c r="JT315" i="40"/>
  <c r="JX315" i="40" s="1"/>
  <c r="KI315" i="40"/>
  <c r="JS315" i="40"/>
  <c r="JT655" i="40"/>
  <c r="JX655" i="40" s="1"/>
  <c r="JU655" i="40"/>
  <c r="JV655" i="40" s="1"/>
  <c r="JW655" i="40" s="1"/>
  <c r="JS655" i="40"/>
  <c r="AE35" i="66"/>
  <c r="AI35" i="66" s="1"/>
  <c r="A35" i="66" s="1"/>
  <c r="AN35" i="66"/>
  <c r="AM35" i="66"/>
  <c r="AL35" i="66"/>
  <c r="Z35" i="58"/>
  <c r="AC34" i="58"/>
  <c r="V55" i="59"/>
  <c r="W55" i="59"/>
  <c r="JT657" i="40"/>
  <c r="JX657" i="40" s="1"/>
  <c r="JU657" i="40"/>
  <c r="JV657" i="40" s="1"/>
  <c r="JW657" i="40" s="1"/>
  <c r="JS657" i="40"/>
  <c r="JS653" i="40"/>
  <c r="JU653" i="40"/>
  <c r="JV653" i="40" s="1"/>
  <c r="JW653" i="40" s="1"/>
  <c r="JT653" i="40"/>
  <c r="JX653" i="40" s="1"/>
  <c r="KS466" i="40"/>
  <c r="KR466" i="40"/>
  <c r="KS513" i="40"/>
  <c r="KR513" i="40"/>
  <c r="JT663" i="40"/>
  <c r="JX663" i="40" s="1"/>
  <c r="JS663" i="40"/>
  <c r="KR201" i="40"/>
  <c r="KS201" i="40"/>
  <c r="KS471" i="40"/>
  <c r="KR471" i="40"/>
  <c r="KS429" i="40"/>
  <c r="KR429" i="40"/>
  <c r="JS673" i="40"/>
  <c r="JU673" i="40"/>
  <c r="JV673" i="40" s="1"/>
  <c r="JW673" i="40" s="1"/>
  <c r="JT673" i="40"/>
  <c r="JX673" i="40" s="1"/>
  <c r="KS421" i="40"/>
  <c r="KR421" i="40"/>
  <c r="KL205" i="40"/>
  <c r="AU13" i="66" s="1"/>
  <c r="JS651" i="40"/>
  <c r="JU651" i="40"/>
  <c r="JV651" i="40" s="1"/>
  <c r="JW651" i="40" s="1"/>
  <c r="JT651" i="40"/>
  <c r="JX651" i="40" s="1"/>
  <c r="JU643" i="40"/>
  <c r="JV643" i="40" s="1"/>
  <c r="JW643" i="40" s="1"/>
  <c r="JT643" i="40"/>
  <c r="JX643" i="40" s="1"/>
  <c r="JS643" i="40"/>
  <c r="KR511" i="40"/>
  <c r="KS511" i="40"/>
  <c r="KS451" i="40"/>
  <c r="KR451" i="40"/>
  <c r="KR230" i="40"/>
  <c r="KS230" i="40"/>
  <c r="KS473" i="40"/>
  <c r="KR473" i="40"/>
  <c r="KR409" i="40"/>
  <c r="KS409" i="40"/>
  <c r="KR403" i="40"/>
  <c r="E10" i="61" s="1"/>
  <c r="KS403" i="40"/>
  <c r="KS416" i="40"/>
  <c r="KR416" i="40"/>
  <c r="KS464" i="40"/>
  <c r="KR464" i="40"/>
  <c r="KS437" i="40"/>
  <c r="KR437" i="40"/>
  <c r="KR427" i="40"/>
  <c r="KS427" i="40"/>
  <c r="KS443" i="40"/>
  <c r="KR443" i="40"/>
  <c r="KR414" i="40"/>
  <c r="AT16" i="68" s="1"/>
  <c r="KS414" i="40"/>
  <c r="KR404" i="40"/>
  <c r="F10" i="61" s="1"/>
  <c r="KS404" i="40"/>
  <c r="KS457" i="40"/>
  <c r="KR457" i="40"/>
  <c r="JU649" i="40"/>
  <c r="JV649" i="40" s="1"/>
  <c r="JW649" i="40" s="1"/>
  <c r="JT649" i="40"/>
  <c r="JX649" i="40" s="1"/>
  <c r="JS649" i="40"/>
  <c r="KS233" i="40"/>
  <c r="KR233" i="40"/>
  <c r="KR273" i="40"/>
  <c r="KS273" i="40"/>
  <c r="AC44" i="68"/>
  <c r="AD44" i="68" s="1"/>
  <c r="AE46" i="68"/>
  <c r="KO465" i="40"/>
  <c r="JT465" i="40"/>
  <c r="JX465" i="40" s="1"/>
  <c r="KK465" i="40"/>
  <c r="JU465" i="40"/>
  <c r="KI465" i="40"/>
  <c r="JS465" i="40"/>
  <c r="KJ465" i="40"/>
  <c r="KR264" i="40"/>
  <c r="KS264" i="40"/>
  <c r="KJ366" i="40"/>
  <c r="JU366" i="40"/>
  <c r="JV366" i="40" s="1"/>
  <c r="JW366" i="40" s="1"/>
  <c r="KK366" i="40"/>
  <c r="KI366" i="40"/>
  <c r="JT366" i="40"/>
  <c r="JX366" i="40" s="1"/>
  <c r="JS366" i="40"/>
  <c r="KR247" i="40"/>
  <c r="KS247" i="40"/>
  <c r="JV247" i="40"/>
  <c r="JW247" i="40" s="1"/>
  <c r="AF34" i="66"/>
  <c r="AF35" i="66" s="1"/>
  <c r="AG35" i="66" s="1"/>
  <c r="KR204" i="40"/>
  <c r="F8" i="61" s="1"/>
  <c r="KS204" i="40"/>
  <c r="JS659" i="40"/>
  <c r="JT659" i="40"/>
  <c r="JX659" i="40" s="1"/>
  <c r="KS259" i="40"/>
  <c r="KR259" i="40"/>
  <c r="KR470" i="40"/>
  <c r="KS470" i="40"/>
  <c r="AE45" i="68"/>
  <c r="AI45" i="68" s="1"/>
  <c r="AL45" i="68"/>
  <c r="AN45" i="68"/>
  <c r="AM45" i="68"/>
  <c r="KO620" i="40"/>
  <c r="KO611" i="40"/>
  <c r="JS611" i="40"/>
  <c r="JT611" i="40"/>
  <c r="JX611" i="40" s="1"/>
  <c r="AV11" i="70"/>
  <c r="BR11" i="70" s="1"/>
  <c r="JU611" i="40"/>
  <c r="JV611" i="40" s="1"/>
  <c r="JW611" i="40" s="1"/>
  <c r="AV22" i="70"/>
  <c r="AD34" i="69"/>
  <c r="AC35" i="69"/>
  <c r="JM670" i="40"/>
  <c r="KO270" i="40"/>
  <c r="JU270" i="40"/>
  <c r="JV270" i="40" s="1"/>
  <c r="JW270" i="40" s="1"/>
  <c r="KI270" i="40"/>
  <c r="JS270" i="40"/>
  <c r="KJ270" i="40"/>
  <c r="JT270" i="40"/>
  <c r="JX270" i="40" s="1"/>
  <c r="KK270" i="40"/>
  <c r="KO675" i="40"/>
  <c r="AV18" i="70"/>
  <c r="JU675" i="40"/>
  <c r="JV675" i="40" s="1"/>
  <c r="JW675" i="40" s="1"/>
  <c r="JT675" i="40"/>
  <c r="JX675" i="40" s="1"/>
  <c r="JS675" i="40"/>
  <c r="AC42" i="66"/>
  <c r="Z43" i="66"/>
  <c r="KO669" i="40"/>
  <c r="JS669" i="40"/>
  <c r="JU669" i="40"/>
  <c r="JV669" i="40" s="1"/>
  <c r="JW669" i="40" s="1"/>
  <c r="JT669" i="40"/>
  <c r="JX669" i="40" s="1"/>
  <c r="KR468" i="40"/>
  <c r="KS468" i="40"/>
  <c r="KS469" i="40"/>
  <c r="KR469" i="40"/>
  <c r="KS556" i="40"/>
  <c r="KR556" i="40"/>
  <c r="JV436" i="40"/>
  <c r="JW436" i="40" s="1"/>
  <c r="AF44" i="68"/>
  <c r="KS352" i="40"/>
  <c r="KR352" i="40"/>
  <c r="JK658" i="40"/>
  <c r="AV50" i="70"/>
  <c r="KO639" i="40"/>
  <c r="JT639" i="40"/>
  <c r="JX639" i="40" s="1"/>
  <c r="JU639" i="40"/>
  <c r="JV639" i="40" s="1"/>
  <c r="JW639" i="40" s="1"/>
  <c r="JS639" i="40"/>
  <c r="JM644" i="40"/>
  <c r="U55" i="70"/>
  <c r="KO244" i="40"/>
  <c r="JT244" i="40"/>
  <c r="JX244" i="40" s="1"/>
  <c r="JS244" i="40"/>
  <c r="KJ244" i="40"/>
  <c r="P55" i="70"/>
  <c r="KK244" i="40"/>
  <c r="JU244" i="40"/>
  <c r="JV244" i="40" s="1"/>
  <c r="JW244" i="40" s="1"/>
  <c r="KI244" i="40"/>
  <c r="KS225" i="40"/>
  <c r="KR225" i="40"/>
  <c r="JS625" i="40"/>
  <c r="KS448" i="40"/>
  <c r="KR448" i="40"/>
  <c r="JK656" i="40"/>
  <c r="KS246" i="40"/>
  <c r="KR246" i="40"/>
  <c r="JS646" i="40"/>
  <c r="JU646" i="40"/>
  <c r="JV646" i="40" s="1"/>
  <c r="JW646" i="40" s="1"/>
  <c r="JT646" i="40"/>
  <c r="JX646" i="40" s="1"/>
  <c r="KO646" i="40"/>
  <c r="AV57" i="70"/>
  <c r="KO636" i="40"/>
  <c r="AV47" i="70"/>
  <c r="JU636" i="40"/>
  <c r="JV636" i="40" s="1"/>
  <c r="JW636" i="40" s="1"/>
  <c r="JT636" i="40"/>
  <c r="JX636" i="40" s="1"/>
  <c r="JS636" i="40"/>
  <c r="KR317" i="40"/>
  <c r="KS317" i="40"/>
  <c r="AV28" i="70"/>
  <c r="AV15" i="70"/>
  <c r="BR15" i="70" s="1"/>
  <c r="KO617" i="40"/>
  <c r="JS617" i="40"/>
  <c r="JT617" i="40"/>
  <c r="JX617" i="40" s="1"/>
  <c r="JU617" i="40"/>
  <c r="JV617" i="40" s="1"/>
  <c r="JW617" i="40" s="1"/>
  <c r="KR415" i="40"/>
  <c r="KS415" i="40"/>
  <c r="KS242" i="40"/>
  <c r="KR242" i="40"/>
  <c r="KS354" i="40"/>
  <c r="KR354" i="40"/>
  <c r="KR256" i="40"/>
  <c r="KS256" i="40"/>
  <c r="JK631" i="40"/>
  <c r="JV413" i="40"/>
  <c r="JW413" i="40" s="1"/>
  <c r="AF38" i="68"/>
  <c r="AC38" i="68"/>
  <c r="Y39" i="68"/>
  <c r="KS274" i="40"/>
  <c r="KR274" i="40"/>
  <c r="KO672" i="40"/>
  <c r="JS672" i="40"/>
  <c r="JU672" i="40"/>
  <c r="JV672" i="40" s="1"/>
  <c r="JW672" i="40" s="1"/>
  <c r="JT672" i="40"/>
  <c r="JX672" i="40" s="1"/>
  <c r="KS569" i="40"/>
  <c r="KR569" i="40"/>
  <c r="KR301" i="40"/>
  <c r="KS301" i="40"/>
  <c r="KR360" i="40"/>
  <c r="KS360" i="40"/>
  <c r="KR327" i="40"/>
  <c r="KS327" i="40"/>
  <c r="KR329" i="40"/>
  <c r="KS329" i="40"/>
  <c r="KS338" i="40"/>
  <c r="KR338" i="40"/>
  <c r="KR306" i="40"/>
  <c r="KS306" i="40"/>
  <c r="KS347" i="40"/>
  <c r="KR347" i="40"/>
  <c r="KR363" i="40"/>
  <c r="KS363" i="40"/>
  <c r="KS328" i="40"/>
  <c r="KR328" i="40"/>
  <c r="KR310" i="40"/>
  <c r="AS16" i="67" s="1"/>
  <c r="KS310" i="40"/>
  <c r="KS370" i="40"/>
  <c r="KR370" i="40"/>
  <c r="KS309" i="40"/>
  <c r="KR309" i="40"/>
  <c r="KS361" i="40"/>
  <c r="KR361" i="40"/>
  <c r="AE39" i="67"/>
  <c r="AI39" i="67" s="1"/>
  <c r="AE51" i="67"/>
  <c r="AI51" i="67" s="1"/>
  <c r="AE55" i="67"/>
  <c r="AI55" i="67" s="1"/>
  <c r="AE69" i="67"/>
  <c r="AI69" i="67" s="1"/>
  <c r="AE71" i="67"/>
  <c r="AI71" i="67" s="1"/>
  <c r="AE67" i="67"/>
  <c r="AI67" i="67" s="1"/>
  <c r="AE65" i="67"/>
  <c r="AI65" i="67" s="1"/>
  <c r="AE41" i="67"/>
  <c r="AI41" i="67" s="1"/>
  <c r="AE63" i="67"/>
  <c r="AI63" i="67" s="1"/>
  <c r="AE53" i="67"/>
  <c r="AI53" i="67" s="1"/>
  <c r="AE35" i="67"/>
  <c r="AI35" i="67" s="1"/>
  <c r="AE57" i="67"/>
  <c r="AI57" i="67" s="1"/>
  <c r="AE59" i="67"/>
  <c r="AI59" i="67" s="1"/>
  <c r="AE49" i="67"/>
  <c r="AI49" i="67" s="1"/>
  <c r="AE61" i="67"/>
  <c r="AI61" i="67" s="1"/>
  <c r="AN39" i="67"/>
  <c r="AL39" i="67"/>
  <c r="AM39" i="67"/>
  <c r="AL41" i="67"/>
  <c r="AL53" i="67"/>
  <c r="AN59" i="67"/>
  <c r="AM71" i="67"/>
  <c r="AM59" i="67"/>
  <c r="AL61" i="67"/>
  <c r="AL63" i="67"/>
  <c r="AN55" i="67"/>
  <c r="AN51" i="67"/>
  <c r="AM51" i="67"/>
  <c r="AL35" i="67"/>
  <c r="AN41" i="67"/>
  <c r="AM49" i="67"/>
  <c r="AN49" i="67"/>
  <c r="AN53" i="67"/>
  <c r="AN63" i="67"/>
  <c r="AN61" i="67"/>
  <c r="AN71" i="67"/>
  <c r="AM63" i="67"/>
  <c r="AL49" i="67"/>
  <c r="AL59" i="67"/>
  <c r="AM41" i="67"/>
  <c r="AL57" i="67"/>
  <c r="AM65" i="67"/>
  <c r="AM69" i="67"/>
  <c r="AL67" i="67"/>
  <c r="AL71" i="67"/>
  <c r="AL51" i="67"/>
  <c r="AL55" i="67"/>
  <c r="AN57" i="67"/>
  <c r="AM53" i="67"/>
  <c r="AM35" i="67"/>
  <c r="AL69" i="67"/>
  <c r="AM61" i="67"/>
  <c r="AN65" i="67"/>
  <c r="AN67" i="67"/>
  <c r="AM67" i="67"/>
  <c r="AM55" i="67"/>
  <c r="AN69" i="67"/>
  <c r="AL65" i="67"/>
  <c r="AM57" i="67"/>
  <c r="AN35" i="67"/>
  <c r="KR554" i="40"/>
  <c r="KS554" i="40"/>
  <c r="JK652" i="40"/>
  <c r="JK609" i="40"/>
  <c r="E20" i="59" s="1"/>
  <c r="AE35" i="68"/>
  <c r="AI35" i="68" s="1"/>
  <c r="AM35" i="68"/>
  <c r="AL35" i="68"/>
  <c r="AN35" i="68"/>
  <c r="KT403" i="40"/>
  <c r="KU402" i="40"/>
  <c r="KS212" i="40"/>
  <c r="KR212" i="40"/>
  <c r="AS16" i="66" s="1"/>
  <c r="KR454" i="40"/>
  <c r="KS454" i="40"/>
  <c r="KO624" i="40"/>
  <c r="JU624" i="40"/>
  <c r="JV624" i="40" s="1"/>
  <c r="JW624" i="40" s="1"/>
  <c r="JK638" i="40"/>
  <c r="KS374" i="40"/>
  <c r="KR374" i="40"/>
  <c r="KR208" i="40"/>
  <c r="KS208" i="40"/>
  <c r="KO665" i="40"/>
  <c r="JS665" i="40"/>
  <c r="JU665" i="40"/>
  <c r="JV665" i="40" s="1"/>
  <c r="JW665" i="40" s="1"/>
  <c r="JT665" i="40"/>
  <c r="JX665" i="40" s="1"/>
  <c r="KR364" i="40"/>
  <c r="KS364" i="40"/>
  <c r="KS536" i="40"/>
  <c r="KR536" i="40"/>
  <c r="JV335" i="40"/>
  <c r="JW335" i="40" s="1"/>
  <c r="AF44" i="67"/>
  <c r="AV46" i="70"/>
  <c r="JU635" i="40"/>
  <c r="JV635" i="40" s="1"/>
  <c r="JW635" i="40" s="1"/>
  <c r="JS635" i="40"/>
  <c r="JT635" i="40"/>
  <c r="JX635" i="40" s="1"/>
  <c r="KO635" i="40"/>
  <c r="KR422" i="40"/>
  <c r="KS422" i="40"/>
  <c r="KR346" i="40"/>
  <c r="KS346" i="40"/>
  <c r="AC36" i="69"/>
  <c r="Y37" i="69"/>
  <c r="KS572" i="40"/>
  <c r="KR572" i="40"/>
  <c r="KS462" i="40"/>
  <c r="KR462" i="40"/>
  <c r="JK606" i="40"/>
  <c r="KT601" i="40" s="1"/>
  <c r="KT602" i="40" s="1"/>
  <c r="KT603" i="40" s="1"/>
  <c r="AV10" i="70"/>
  <c r="BR10" i="70" s="1"/>
  <c r="JU634" i="40"/>
  <c r="JV634" i="40" s="1"/>
  <c r="JW634" i="40" s="1"/>
  <c r="JS634" i="40"/>
  <c r="KO634" i="40"/>
  <c r="JT634" i="40"/>
  <c r="JX634" i="40" s="1"/>
  <c r="AV45" i="70"/>
  <c r="AV40" i="70"/>
  <c r="KO629" i="40"/>
  <c r="JT629" i="40"/>
  <c r="JX629" i="40" s="1"/>
  <c r="JU629" i="40"/>
  <c r="JV629" i="40" s="1"/>
  <c r="JW629" i="40" s="1"/>
  <c r="JS629" i="40"/>
  <c r="AE35" i="69"/>
  <c r="AI35" i="69" s="1"/>
  <c r="AL35" i="69"/>
  <c r="AM35" i="69"/>
  <c r="AN35" i="69"/>
  <c r="KS275" i="40"/>
  <c r="KR275" i="40"/>
  <c r="JV540" i="40"/>
  <c r="JW540" i="40" s="1"/>
  <c r="AF42" i="69"/>
  <c r="AF43" i="69" s="1"/>
  <c r="AG43" i="69" s="1"/>
  <c r="JM631" i="40"/>
  <c r="KO231" i="40"/>
  <c r="JU231" i="40"/>
  <c r="AE44" i="66"/>
  <c r="P42" i="70"/>
  <c r="KK231" i="40"/>
  <c r="U42" i="70"/>
  <c r="JS231" i="40"/>
  <c r="JT231" i="40"/>
  <c r="JX231" i="40" s="1"/>
  <c r="KJ231" i="40"/>
  <c r="KI231" i="40"/>
  <c r="KS332" i="40"/>
  <c r="KR332" i="40"/>
  <c r="KO652" i="40"/>
  <c r="AV63" i="70"/>
  <c r="JU652" i="40"/>
  <c r="JV652" i="40" s="1"/>
  <c r="JW652" i="40" s="1"/>
  <c r="JT652" i="40"/>
  <c r="JX652" i="40" s="1"/>
  <c r="JS652" i="40"/>
  <c r="AF36" i="66"/>
  <c r="AF37" i="66" s="1"/>
  <c r="AG37" i="66" s="1"/>
  <c r="JV209" i="40"/>
  <c r="JW209" i="40" s="1"/>
  <c r="KO609" i="40"/>
  <c r="AV20" i="70"/>
  <c r="JS609" i="40"/>
  <c r="JU609" i="40"/>
  <c r="JV609" i="40" s="1"/>
  <c r="JW609" i="40" s="1"/>
  <c r="JT609" i="40"/>
  <c r="JX609" i="40" s="1"/>
  <c r="JV317" i="40"/>
  <c r="JW317" i="40" s="1"/>
  <c r="AF36" i="67"/>
  <c r="KO621" i="40"/>
  <c r="AV32" i="70"/>
  <c r="JU621" i="40"/>
  <c r="JV621" i="40" s="1"/>
  <c r="JW621" i="40" s="1"/>
  <c r="JT621" i="40"/>
  <c r="JX621" i="40" s="1"/>
  <c r="JS621" i="40"/>
  <c r="KS210" i="40"/>
  <c r="KR210" i="40"/>
  <c r="KO610" i="40"/>
  <c r="AV21" i="70"/>
  <c r="JS610" i="40"/>
  <c r="JT610" i="40"/>
  <c r="JX610" i="40" s="1"/>
  <c r="JU610" i="40"/>
  <c r="JV610" i="40" s="1"/>
  <c r="JW610" i="40" s="1"/>
  <c r="KO642" i="40"/>
  <c r="AV53" i="70"/>
  <c r="JU642" i="40"/>
  <c r="JV642" i="40" s="1"/>
  <c r="JW642" i="40" s="1"/>
  <c r="JT642" i="40"/>
  <c r="JX642" i="40" s="1"/>
  <c r="JS642" i="40"/>
  <c r="KS430" i="40"/>
  <c r="KR430" i="40"/>
  <c r="AE39" i="68"/>
  <c r="AI39" i="68" s="1"/>
  <c r="AN39" i="68"/>
  <c r="AL39" i="68"/>
  <c r="AM39" i="68"/>
  <c r="AD48" i="66"/>
  <c r="AC49" i="66"/>
  <c r="AC47" i="66"/>
  <c r="AD36" i="68"/>
  <c r="AC37" i="68"/>
  <c r="JS674" i="40"/>
  <c r="KO674" i="40"/>
  <c r="JU674" i="40"/>
  <c r="JV674" i="40" s="1"/>
  <c r="JW674" i="40" s="1"/>
  <c r="JT674" i="40"/>
  <c r="JX674" i="40" s="1"/>
  <c r="KS507" i="40"/>
  <c r="KR507" i="40"/>
  <c r="JK671" i="40"/>
  <c r="E8" i="59"/>
  <c r="T45" i="59" s="1"/>
  <c r="F8" i="59"/>
  <c r="F32" i="59" s="1"/>
  <c r="H8" i="59"/>
  <c r="H32" i="59" s="1"/>
  <c r="G8" i="59"/>
  <c r="G32" i="59" s="1"/>
  <c r="KR353" i="40"/>
  <c r="KS353" i="40"/>
  <c r="KS325" i="40"/>
  <c r="KR325" i="40"/>
  <c r="KR372" i="40"/>
  <c r="KS372" i="40"/>
  <c r="KS341" i="40"/>
  <c r="KR341" i="40"/>
  <c r="KR326" i="40"/>
  <c r="KS326" i="40"/>
  <c r="KS375" i="40"/>
  <c r="KR375" i="40"/>
  <c r="KR355" i="40"/>
  <c r="KS355" i="40"/>
  <c r="KR311" i="40"/>
  <c r="KS311" i="40"/>
  <c r="KR349" i="40"/>
  <c r="KS349" i="40"/>
  <c r="KS351" i="40"/>
  <c r="KR351" i="40"/>
  <c r="KS345" i="40"/>
  <c r="KR345" i="40"/>
  <c r="KS371" i="40"/>
  <c r="KR371" i="40"/>
  <c r="KS314" i="40"/>
  <c r="KR314" i="40"/>
  <c r="AT16" i="67" s="1"/>
  <c r="KS434" i="40"/>
  <c r="KR434" i="40"/>
  <c r="AV37" i="70"/>
  <c r="JS626" i="40"/>
  <c r="KO626" i="40"/>
  <c r="JT626" i="40"/>
  <c r="JX626" i="40" s="1"/>
  <c r="JU626" i="40"/>
  <c r="JV626" i="40" s="1"/>
  <c r="JW626" i="40" s="1"/>
  <c r="AL43" i="67"/>
  <c r="AE43" i="67"/>
  <c r="AI43" i="67" s="1"/>
  <c r="AN43" i="67"/>
  <c r="AM43" i="67"/>
  <c r="KS401" i="40"/>
  <c r="KR401" i="40"/>
  <c r="KS219" i="40"/>
  <c r="KR219" i="40"/>
  <c r="JU608" i="40"/>
  <c r="JV608" i="40" s="1"/>
  <c r="JW608" i="40" s="1"/>
  <c r="KO608" i="40"/>
  <c r="JS608" i="40"/>
  <c r="JT608" i="40"/>
  <c r="JX608" i="40" s="1"/>
  <c r="KR568" i="40"/>
  <c r="KS568" i="40"/>
  <c r="AF48" i="66"/>
  <c r="AF49" i="66" s="1"/>
  <c r="AG49" i="66" s="1"/>
  <c r="JV265" i="40"/>
  <c r="JW265" i="40" s="1"/>
  <c r="KO605" i="40"/>
  <c r="JU605" i="40"/>
  <c r="JV605" i="40" s="1"/>
  <c r="JW605" i="40" s="1"/>
  <c r="JT605" i="40"/>
  <c r="JX605" i="40" s="1"/>
  <c r="JS605" i="40"/>
  <c r="KS271" i="40"/>
  <c r="KR271" i="40"/>
  <c r="KS544" i="40"/>
  <c r="KR544" i="40"/>
  <c r="KR218" i="40"/>
  <c r="AU16" i="66" s="1"/>
  <c r="KS218" i="40"/>
  <c r="KR335" i="40"/>
  <c r="KS335" i="40"/>
  <c r="AV33" i="70"/>
  <c r="KO622" i="40"/>
  <c r="JS622" i="40"/>
  <c r="JU622" i="40"/>
  <c r="JV622" i="40" s="1"/>
  <c r="JW622" i="40" s="1"/>
  <c r="JT622" i="40"/>
  <c r="JX622" i="40" s="1"/>
  <c r="KS240" i="40"/>
  <c r="KR240" i="40"/>
  <c r="AC34" i="66"/>
  <c r="Y35" i="66"/>
  <c r="KS550" i="40"/>
  <c r="KR550" i="40"/>
  <c r="KR258" i="40"/>
  <c r="KS258" i="40"/>
  <c r="JV517" i="40"/>
  <c r="JW517" i="40" s="1"/>
  <c r="AF34" i="69"/>
  <c r="AF35" i="69" s="1"/>
  <c r="AG35" i="69" s="1"/>
  <c r="AC51" i="67"/>
  <c r="AC53" i="67"/>
  <c r="AC59" i="67"/>
  <c r="AC63" i="67"/>
  <c r="AD33" i="67"/>
  <c r="AC55" i="67"/>
  <c r="AC49" i="67"/>
  <c r="AC69" i="67"/>
  <c r="AC71" i="67"/>
  <c r="AC61" i="67"/>
  <c r="AC67" i="67"/>
  <c r="AC65" i="67"/>
  <c r="AC57" i="67"/>
  <c r="KS250" i="40"/>
  <c r="KR250" i="40"/>
  <c r="AC42" i="69"/>
  <c r="Y43" i="69"/>
  <c r="KR548" i="40"/>
  <c r="KS548" i="40"/>
  <c r="KR524" i="40"/>
  <c r="KS524" i="40"/>
  <c r="JK634" i="40"/>
  <c r="JK629" i="40"/>
  <c r="KR432" i="40"/>
  <c r="KS432" i="40"/>
  <c r="AD33" i="68"/>
  <c r="AC59" i="68"/>
  <c r="AC51" i="68"/>
  <c r="AC67" i="68"/>
  <c r="AC63" i="68"/>
  <c r="AC49" i="68"/>
  <c r="AC61" i="68"/>
  <c r="AC65" i="68"/>
  <c r="AC57" i="68"/>
  <c r="AC55" i="68"/>
  <c r="AC53" i="68"/>
  <c r="AC69" i="68"/>
  <c r="AC43" i="68"/>
  <c r="AC71" i="68"/>
  <c r="KS474" i="40"/>
  <c r="KR474" i="40"/>
  <c r="KR562" i="40"/>
  <c r="KS562" i="40"/>
  <c r="KO657" i="40"/>
  <c r="KO651" i="40"/>
  <c r="KO676" i="40"/>
  <c r="KO677" i="40"/>
  <c r="AE33" i="71"/>
  <c r="JU602" i="40"/>
  <c r="KO602" i="40"/>
  <c r="KO686" i="40"/>
  <c r="KO693" i="40"/>
  <c r="KO695" i="40"/>
  <c r="KO678" i="40"/>
  <c r="KO689" i="40"/>
  <c r="KO680" i="40"/>
  <c r="KO697" i="40"/>
  <c r="KO690" i="40"/>
  <c r="KO653" i="40"/>
  <c r="KO681" i="40"/>
  <c r="KO700" i="40"/>
  <c r="KO645" i="40"/>
  <c r="KO685" i="40"/>
  <c r="KO684" i="40"/>
  <c r="KO692" i="40"/>
  <c r="KO688" i="40"/>
  <c r="AV68" i="70"/>
  <c r="KO696" i="40"/>
  <c r="KO683" i="40"/>
  <c r="KO699" i="40"/>
  <c r="KO694" i="40"/>
  <c r="KO687" i="40"/>
  <c r="AV64" i="70"/>
  <c r="KO679" i="40"/>
  <c r="KO698" i="40"/>
  <c r="KO682" i="40"/>
  <c r="KO691" i="40"/>
  <c r="AV44" i="70"/>
  <c r="KO655" i="40"/>
  <c r="JS602" i="40"/>
  <c r="AV62" i="70"/>
  <c r="AV58" i="70"/>
  <c r="AV60" i="70"/>
  <c r="JT602" i="40"/>
  <c r="JX602" i="40" s="1"/>
  <c r="KO643" i="40"/>
  <c r="AV66" i="70"/>
  <c r="AV56" i="70"/>
  <c r="KO647" i="40"/>
  <c r="KO673" i="40"/>
  <c r="AV7" i="70"/>
  <c r="BR7" i="70" s="1"/>
  <c r="KO667" i="40"/>
  <c r="KO660" i="40"/>
  <c r="KO649" i="40"/>
  <c r="KO659" i="40"/>
  <c r="KO663" i="40"/>
  <c r="KO633" i="40"/>
  <c r="AV54" i="70"/>
  <c r="KR504" i="40"/>
  <c r="F11" i="61" s="1"/>
  <c r="KS504" i="40"/>
  <c r="KS566" i="40"/>
  <c r="KR566" i="40"/>
  <c r="KR540" i="40"/>
  <c r="KS540" i="40"/>
  <c r="KR532" i="40"/>
  <c r="KS532" i="40"/>
  <c r="KS523" i="40"/>
  <c r="KR523" i="40"/>
  <c r="KR444" i="40"/>
  <c r="KS444" i="40"/>
  <c r="KO628" i="40"/>
  <c r="AV39" i="70"/>
  <c r="AV14" i="70"/>
  <c r="BR14" i="70" s="1"/>
  <c r="JU628" i="40"/>
  <c r="JV628" i="40" s="1"/>
  <c r="JW628" i="40" s="1"/>
  <c r="JT628" i="40"/>
  <c r="JX628" i="40" s="1"/>
  <c r="JS628" i="40"/>
  <c r="JK648" i="40"/>
  <c r="JM654" i="40"/>
  <c r="U65" i="70"/>
  <c r="P65" i="70"/>
  <c r="KO254" i="40"/>
  <c r="JT254" i="40"/>
  <c r="JX254" i="40" s="1"/>
  <c r="JS254" i="40"/>
  <c r="KJ254" i="40"/>
  <c r="JU254" i="40"/>
  <c r="JV254" i="40" s="1"/>
  <c r="JW254" i="40" s="1"/>
  <c r="KI254" i="40"/>
  <c r="KK254" i="40"/>
  <c r="JK617" i="40"/>
  <c r="KR509" i="40"/>
  <c r="KS509" i="40"/>
  <c r="KS411" i="40"/>
  <c r="KR411" i="40"/>
  <c r="JT614" i="40"/>
  <c r="JX614" i="40" s="1"/>
  <c r="KS440" i="40"/>
  <c r="KR440" i="40"/>
  <c r="JK640" i="40"/>
  <c r="KR323" i="40"/>
  <c r="KS323" i="40"/>
  <c r="KR252" i="40"/>
  <c r="KS252" i="40"/>
  <c r="AE37" i="66"/>
  <c r="AI37" i="66" s="1"/>
  <c r="AL37" i="66"/>
  <c r="AN37" i="66"/>
  <c r="AM37" i="66"/>
  <c r="AD36" i="66"/>
  <c r="AE37" i="67"/>
  <c r="AI37" i="67" s="1"/>
  <c r="AL37" i="67"/>
  <c r="AN37" i="67"/>
  <c r="AM37" i="67"/>
  <c r="KR221" i="40"/>
  <c r="KS221" i="40"/>
  <c r="AF40" i="66"/>
  <c r="AF41" i="66" s="1"/>
  <c r="AG41" i="66" s="1"/>
  <c r="JV210" i="40"/>
  <c r="JW210" i="40" s="1"/>
  <c r="JK654" i="40"/>
  <c r="KR227" i="40"/>
  <c r="KS227" i="40"/>
  <c r="AV24" i="70"/>
  <c r="KO613" i="40"/>
  <c r="JS613" i="40"/>
  <c r="JU613" i="40"/>
  <c r="JV613" i="40" s="1"/>
  <c r="JW613" i="40" s="1"/>
  <c r="JT613" i="40"/>
  <c r="JX613" i="40" s="1"/>
  <c r="AD36" i="67"/>
  <c r="AC37" i="67"/>
  <c r="AD36" i="58"/>
  <c r="AD37" i="58" s="1"/>
  <c r="AC37" i="58"/>
  <c r="C37" i="58" s="1"/>
  <c r="KR357" i="40"/>
  <c r="KS357" i="40"/>
  <c r="KR320" i="40"/>
  <c r="KS320" i="40"/>
  <c r="KS337" i="40"/>
  <c r="KR337" i="40"/>
  <c r="KR312" i="40"/>
  <c r="KS312" i="40"/>
  <c r="KS322" i="40"/>
  <c r="KR322" i="40"/>
  <c r="KR307" i="40"/>
  <c r="KS307" i="40"/>
  <c r="AF33" i="67"/>
  <c r="JV302" i="40"/>
  <c r="JW302" i="40" s="1"/>
  <c r="KR316" i="40"/>
  <c r="KS316" i="40"/>
  <c r="KS303" i="40"/>
  <c r="KR303" i="40"/>
  <c r="E9" i="61" s="1"/>
  <c r="KR334" i="40"/>
  <c r="KS334" i="40"/>
  <c r="KR342" i="40"/>
  <c r="KS342" i="40"/>
  <c r="KR305" i="40"/>
  <c r="G9" i="61" s="1"/>
  <c r="AN9" i="61" s="1"/>
  <c r="KS305" i="40"/>
  <c r="KS546" i="40"/>
  <c r="KR546" i="40"/>
  <c r="KR530" i="40"/>
  <c r="KS530" i="40"/>
  <c r="KS358" i="40"/>
  <c r="KR358" i="40"/>
  <c r="JV331" i="40"/>
  <c r="JW331" i="40" s="1"/>
  <c r="AF42" i="67"/>
  <c r="JK646" i="40"/>
  <c r="JK636" i="40"/>
  <c r="KO623" i="40"/>
  <c r="AV34" i="70"/>
  <c r="JU623" i="40"/>
  <c r="JV623" i="40" s="1"/>
  <c r="JW623" i="40" s="1"/>
  <c r="JT623" i="40"/>
  <c r="JX623" i="40" s="1"/>
  <c r="JS623" i="40"/>
  <c r="JV417" i="40"/>
  <c r="JW417" i="40" s="1"/>
  <c r="AF34" i="68"/>
  <c r="KU401" i="40"/>
  <c r="KO701" i="40"/>
  <c r="JT701" i="40"/>
  <c r="JS701" i="40"/>
  <c r="KR452" i="40"/>
  <c r="KS452" i="40"/>
  <c r="KR438" i="40"/>
  <c r="KS438" i="40"/>
  <c r="KO619" i="40"/>
  <c r="AV30" i="70"/>
  <c r="AV17" i="70"/>
  <c r="JT619" i="40"/>
  <c r="JX619" i="40" s="1"/>
  <c r="JU619" i="40"/>
  <c r="JV619" i="40" s="1"/>
  <c r="JW619" i="40" s="1"/>
  <c r="JS619" i="40"/>
  <c r="KR216" i="40"/>
  <c r="KS216" i="40"/>
  <c r="KS368" i="40"/>
  <c r="KR368" i="40"/>
  <c r="KO607" i="40"/>
  <c r="KS265" i="40"/>
  <c r="KR265" i="40"/>
  <c r="KO671" i="40"/>
  <c r="JU671" i="40"/>
  <c r="JV671" i="40" s="1"/>
  <c r="JW671" i="40" s="1"/>
  <c r="JT671" i="40"/>
  <c r="JX671" i="40" s="1"/>
  <c r="JS671" i="40"/>
  <c r="KR456" i="40"/>
  <c r="KS456" i="40"/>
  <c r="KR552" i="40"/>
  <c r="KS552" i="40"/>
  <c r="KS528" i="40"/>
  <c r="KR528" i="40"/>
  <c r="KS446" i="40"/>
  <c r="KR446" i="40"/>
  <c r="AV51" i="70"/>
  <c r="KO640" i="40"/>
  <c r="JS640" i="40"/>
  <c r="JT640" i="40"/>
  <c r="JX640" i="40" s="1"/>
  <c r="JU640" i="40"/>
  <c r="JV640" i="40" s="1"/>
  <c r="JW640" i="40" s="1"/>
  <c r="JK644" i="40"/>
  <c r="KO662" i="40"/>
  <c r="JS662" i="40"/>
  <c r="JT662" i="40"/>
  <c r="JX662" i="40" s="1"/>
  <c r="JU662" i="40"/>
  <c r="JV662" i="40" s="1"/>
  <c r="JW662" i="40" s="1"/>
  <c r="KR308" i="40"/>
  <c r="KS308" i="40"/>
  <c r="KR505" i="40"/>
  <c r="G11" i="61" s="1"/>
  <c r="AN11" i="61" s="1"/>
  <c r="KS505" i="40"/>
  <c r="JK670" i="40"/>
  <c r="KS261" i="40"/>
  <c r="KR261" i="40"/>
  <c r="KS558" i="40"/>
  <c r="KR558" i="40"/>
  <c r="KR542" i="40"/>
  <c r="KS542" i="40"/>
  <c r="KR534" i="40"/>
  <c r="KS534" i="40"/>
  <c r="KR526" i="40"/>
  <c r="KS526" i="40"/>
  <c r="KS450" i="40"/>
  <c r="KR450" i="40"/>
  <c r="KR248" i="40"/>
  <c r="KS248" i="40"/>
  <c r="AC47" i="67"/>
  <c r="KO658" i="40"/>
  <c r="AV69" i="70"/>
  <c r="JS658" i="40"/>
  <c r="JU658" i="40"/>
  <c r="JV658" i="40" s="1"/>
  <c r="JW658" i="40" s="1"/>
  <c r="JT658" i="40"/>
  <c r="JX658" i="40" s="1"/>
  <c r="KS234" i="40"/>
  <c r="KR234" i="40"/>
  <c r="KS229" i="40"/>
  <c r="KR229" i="40"/>
  <c r="KO668" i="40"/>
  <c r="AV61" i="70"/>
  <c r="KO650" i="40"/>
  <c r="JS650" i="40"/>
  <c r="JU650" i="40"/>
  <c r="JV650" i="40" s="1"/>
  <c r="JW650" i="40" s="1"/>
  <c r="JT650" i="40"/>
  <c r="JX650" i="40" s="1"/>
  <c r="AC34" i="67"/>
  <c r="Y35" i="67"/>
  <c r="JS666" i="40"/>
  <c r="KR458" i="40"/>
  <c r="KS458" i="40"/>
  <c r="KR420" i="40"/>
  <c r="KS420" i="40"/>
  <c r="JK642" i="40"/>
  <c r="KS369" i="40"/>
  <c r="KR369" i="40"/>
  <c r="AE43" i="69"/>
  <c r="AI43" i="69" s="1"/>
  <c r="AL43" i="69"/>
  <c r="AN43" i="69"/>
  <c r="AM43" i="69"/>
  <c r="JK650" i="40"/>
  <c r="KS436" i="40"/>
  <c r="KR436" i="40"/>
  <c r="KS428" i="40"/>
  <c r="KR428" i="40"/>
  <c r="KR344" i="40"/>
  <c r="KS344" i="40"/>
  <c r="KS339" i="40"/>
  <c r="KR339" i="40"/>
  <c r="JM638" i="40"/>
  <c r="U49" i="70"/>
  <c r="KO238" i="40"/>
  <c r="P49" i="70"/>
  <c r="KI238" i="40"/>
  <c r="JU238" i="40"/>
  <c r="JV238" i="40" s="1"/>
  <c r="JW238" i="40" s="1"/>
  <c r="JS238" i="40"/>
  <c r="JT238" i="40"/>
  <c r="JX238" i="40" s="1"/>
  <c r="KJ238" i="40"/>
  <c r="KK238" i="40"/>
  <c r="KS214" i="40"/>
  <c r="KR214" i="40"/>
  <c r="AT16" i="66" s="1"/>
  <c r="KR356" i="40"/>
  <c r="KS356" i="40"/>
  <c r="KR348" i="40"/>
  <c r="KS348" i="40"/>
  <c r="KO632" i="40"/>
  <c r="AV9" i="70"/>
  <c r="BR9" i="70" s="1"/>
  <c r="JU632" i="40"/>
  <c r="JV632" i="40" s="1"/>
  <c r="JW632" i="40" s="1"/>
  <c r="JT632" i="40"/>
  <c r="JX632" i="40" s="1"/>
  <c r="JS632" i="40"/>
  <c r="AV43" i="70"/>
  <c r="KR236" i="40"/>
  <c r="KS236" i="40"/>
  <c r="KR209" i="40"/>
  <c r="KS209" i="40"/>
  <c r="AL41" i="66"/>
  <c r="AE41" i="66"/>
  <c r="AI41" i="66" s="1"/>
  <c r="AN41" i="66"/>
  <c r="AM41" i="66"/>
  <c r="KO656" i="40"/>
  <c r="JU656" i="40"/>
  <c r="JV656" i="40" s="1"/>
  <c r="JW656" i="40" s="1"/>
  <c r="AV67" i="70"/>
  <c r="JS656" i="40"/>
  <c r="AV8" i="70"/>
  <c r="BR8" i="70" s="1"/>
  <c r="JT656" i="40"/>
  <c r="JX656" i="40" s="1"/>
  <c r="KO627" i="40"/>
  <c r="AV38" i="70"/>
  <c r="JT627" i="40"/>
  <c r="JX627" i="40" s="1"/>
  <c r="JS627" i="40"/>
  <c r="JU627" i="40"/>
  <c r="JV627" i="40" s="1"/>
  <c r="JW627" i="40" s="1"/>
  <c r="KR413" i="40"/>
  <c r="KS413" i="40"/>
  <c r="Z45" i="67"/>
  <c r="AC44" i="67"/>
  <c r="AC40" i="69"/>
  <c r="Z41" i="69"/>
  <c r="AD40" i="68"/>
  <c r="AC41" i="68"/>
  <c r="KR272" i="40"/>
  <c r="KS272" i="40"/>
  <c r="KS564" i="40"/>
  <c r="KR564" i="40"/>
  <c r="KR503" i="40"/>
  <c r="E11" i="61" s="1"/>
  <c r="KS503" i="40"/>
  <c r="KR365" i="40"/>
  <c r="KS365" i="40"/>
  <c r="KR321" i="40"/>
  <c r="KS321" i="40"/>
  <c r="KR319" i="40"/>
  <c r="KS319" i="40"/>
  <c r="KS333" i="40"/>
  <c r="KR333" i="40"/>
  <c r="KS313" i="40"/>
  <c r="KR313" i="40"/>
  <c r="KS366" i="40"/>
  <c r="KR366" i="40"/>
  <c r="KS367" i="40"/>
  <c r="KR367" i="40"/>
  <c r="KS336" i="40"/>
  <c r="KR336" i="40"/>
  <c r="KR302" i="40"/>
  <c r="KS302" i="40"/>
  <c r="KS343" i="40"/>
  <c r="KR343" i="40"/>
  <c r="KS359" i="40"/>
  <c r="KR359" i="40"/>
  <c r="KR304" i="40"/>
  <c r="F9" i="61" s="1"/>
  <c r="KS304" i="40"/>
  <c r="KS538" i="40"/>
  <c r="KR538" i="40"/>
  <c r="KR442" i="40"/>
  <c r="KS442" i="40"/>
  <c r="KS426" i="40"/>
  <c r="KR426" i="40"/>
  <c r="KR350" i="40"/>
  <c r="KS350" i="40"/>
  <c r="KR340" i="40"/>
  <c r="KS340" i="40"/>
  <c r="KS331" i="40"/>
  <c r="KR331" i="40"/>
  <c r="KR223" i="40"/>
  <c r="KS223" i="40"/>
  <c r="KR417" i="40"/>
  <c r="AU16" i="68" s="1"/>
  <c r="KS417" i="40"/>
  <c r="KO601" i="40"/>
  <c r="JU601" i="40"/>
  <c r="JV601" i="40" s="1"/>
  <c r="JW601" i="40" s="1"/>
  <c r="JS601" i="40"/>
  <c r="JT601" i="40"/>
  <c r="AV23" i="70"/>
  <c r="AV12" i="70"/>
  <c r="BR12" i="70" s="1"/>
  <c r="KO612" i="40"/>
  <c r="JT612" i="40"/>
  <c r="JX612" i="40" s="1"/>
  <c r="JU612" i="40"/>
  <c r="JV612" i="40" s="1"/>
  <c r="JW612" i="40" s="1"/>
  <c r="JS612" i="40"/>
  <c r="KS324" i="40"/>
  <c r="KR324" i="40"/>
  <c r="AV27" i="70"/>
  <c r="KO616" i="40"/>
  <c r="JU616" i="40"/>
  <c r="JV616" i="40" s="1"/>
  <c r="JW616" i="40" s="1"/>
  <c r="JT616" i="40"/>
  <c r="JX616" i="40" s="1"/>
  <c r="JS616" i="40"/>
  <c r="KR362" i="40"/>
  <c r="KS362" i="40"/>
  <c r="AE49" i="66"/>
  <c r="AI49" i="66" s="1"/>
  <c r="AM49" i="66"/>
  <c r="AL49" i="66"/>
  <c r="AN49" i="66"/>
  <c r="KO604" i="40"/>
  <c r="AE45" i="67"/>
  <c r="AI45" i="67" s="1"/>
  <c r="AM45" i="67"/>
  <c r="AL45" i="67"/>
  <c r="AN45" i="67"/>
  <c r="AD40" i="66"/>
  <c r="AC41" i="66"/>
  <c r="AD42" i="67"/>
  <c r="AC69" i="66"/>
  <c r="C69" i="66" s="1"/>
  <c r="AC57" i="66"/>
  <c r="C57" i="66" s="1"/>
  <c r="AC63" i="66"/>
  <c r="C63" i="66" s="1"/>
  <c r="AC71" i="66"/>
  <c r="C71" i="66" s="1"/>
  <c r="AC67" i="66"/>
  <c r="C67" i="66" s="1"/>
  <c r="AC53" i="66"/>
  <c r="C53" i="66" s="1"/>
  <c r="AC51" i="66"/>
  <c r="C51" i="66" s="1"/>
  <c r="AD33" i="66"/>
  <c r="AC61" i="66"/>
  <c r="C61" i="66" s="1"/>
  <c r="AC55" i="66"/>
  <c r="C55" i="66" s="1"/>
  <c r="A65" i="66"/>
  <c r="A61" i="66"/>
  <c r="AC65" i="66"/>
  <c r="C65" i="66" s="1"/>
  <c r="AC59" i="66"/>
  <c r="C59" i="66" s="1"/>
  <c r="A53" i="66"/>
  <c r="A69" i="66"/>
  <c r="A67" i="66"/>
  <c r="A71" i="66"/>
  <c r="A55" i="66"/>
  <c r="A51" i="66"/>
  <c r="AC37" i="66"/>
  <c r="A63" i="66"/>
  <c r="A59" i="66"/>
  <c r="JM606" i="40"/>
  <c r="KO206" i="40"/>
  <c r="JU206" i="40"/>
  <c r="JV206" i="40" s="1"/>
  <c r="JW206" i="40" s="1"/>
  <c r="KJ206" i="40"/>
  <c r="KK206" i="40"/>
  <c r="JS206" i="40"/>
  <c r="JT206" i="40"/>
  <c r="JX206" i="40" s="1"/>
  <c r="KI206" i="40"/>
  <c r="AD44" i="58"/>
  <c r="AD45" i="58" s="1"/>
  <c r="AC45" i="58"/>
  <c r="C45" i="58" s="1"/>
  <c r="KO661" i="40"/>
  <c r="JU661" i="40"/>
  <c r="JV661" i="40" s="1"/>
  <c r="JW661" i="40" s="1"/>
  <c r="JT661" i="40"/>
  <c r="JX661" i="40" s="1"/>
  <c r="JS661" i="40"/>
  <c r="KR519" i="40"/>
  <c r="KS519" i="40"/>
  <c r="JU648" i="40"/>
  <c r="JV648" i="40" s="1"/>
  <c r="JW648" i="40" s="1"/>
  <c r="AV59" i="70"/>
  <c r="KO648" i="40"/>
  <c r="JT648" i="40"/>
  <c r="JX648" i="40" s="1"/>
  <c r="JS648" i="40"/>
  <c r="KR517" i="40"/>
  <c r="KS517" i="40"/>
  <c r="AM41" i="69" l="1"/>
  <c r="KO630" i="40"/>
  <c r="KS373" i="40"/>
  <c r="KS241" i="40"/>
  <c r="A47" i="69"/>
  <c r="A67" i="69"/>
  <c r="A57" i="69"/>
  <c r="A59" i="69"/>
  <c r="AC47" i="69"/>
  <c r="C47" i="69" s="1"/>
  <c r="AC53" i="69"/>
  <c r="C53" i="69" s="1"/>
  <c r="AC71" i="69"/>
  <c r="C71" i="69" s="1"/>
  <c r="A39" i="69"/>
  <c r="KS315" i="40"/>
  <c r="A49" i="69"/>
  <c r="A63" i="69"/>
  <c r="AC45" i="69"/>
  <c r="C45" i="69" s="1"/>
  <c r="A61" i="69"/>
  <c r="AC61" i="69"/>
  <c r="C61" i="69" s="1"/>
  <c r="AD33" i="69"/>
  <c r="AD45" i="69" s="1"/>
  <c r="A71" i="69"/>
  <c r="A53" i="69"/>
  <c r="A65" i="69"/>
  <c r="AC65" i="69"/>
  <c r="C65" i="69" s="1"/>
  <c r="AC59" i="69"/>
  <c r="C59" i="69" s="1"/>
  <c r="JU630" i="40"/>
  <c r="JV630" i="40" s="1"/>
  <c r="JW630" i="40" s="1"/>
  <c r="AV41" i="70"/>
  <c r="JT630" i="40"/>
  <c r="JX630" i="40" s="1"/>
  <c r="JU607" i="40"/>
  <c r="JV607" i="40" s="1"/>
  <c r="JW607" i="40" s="1"/>
  <c r="JU614" i="40"/>
  <c r="JV614" i="40" s="1"/>
  <c r="JW614" i="40" s="1"/>
  <c r="KO614" i="40"/>
  <c r="AV35" i="70"/>
  <c r="JS620" i="40"/>
  <c r="KS245" i="40"/>
  <c r="AN41" i="69"/>
  <c r="JT607" i="40"/>
  <c r="JS614" i="40"/>
  <c r="JS624" i="40"/>
  <c r="JT620" i="40"/>
  <c r="JX620" i="40" s="1"/>
  <c r="AV31" i="70"/>
  <c r="AE41" i="69"/>
  <c r="AI41" i="69" s="1"/>
  <c r="A41" i="69" s="1"/>
  <c r="C51" i="68"/>
  <c r="JU666" i="40"/>
  <c r="JV666" i="40" s="1"/>
  <c r="JW666" i="40" s="1"/>
  <c r="KR207" i="40"/>
  <c r="JS618" i="40"/>
  <c r="JT625" i="40"/>
  <c r="JX625" i="40" s="1"/>
  <c r="KO625" i="40"/>
  <c r="JS637" i="40"/>
  <c r="JT666" i="40"/>
  <c r="JX666" i="40" s="1"/>
  <c r="KO637" i="40"/>
  <c r="AV48" i="70"/>
  <c r="AV29" i="70"/>
  <c r="JU625" i="40"/>
  <c r="JV625" i="40" s="1"/>
  <c r="JW625" i="40" s="1"/>
  <c r="AC39" i="67"/>
  <c r="AD44" i="66"/>
  <c r="AC57" i="69"/>
  <c r="C57" i="69" s="1"/>
  <c r="AD39" i="67"/>
  <c r="A37" i="69"/>
  <c r="AC69" i="69"/>
  <c r="C69" i="69" s="1"/>
  <c r="JU618" i="40"/>
  <c r="JV618" i="40" s="1"/>
  <c r="JW618" i="40" s="1"/>
  <c r="KO618" i="40"/>
  <c r="KR618" i="40" s="1"/>
  <c r="AU16" i="71" s="1"/>
  <c r="JT618" i="40"/>
  <c r="JX618" i="40" s="1"/>
  <c r="JV525" i="40"/>
  <c r="JW525" i="40" s="1"/>
  <c r="AF38" i="69"/>
  <c r="AF39" i="69" s="1"/>
  <c r="AG39" i="69" s="1"/>
  <c r="KU601" i="40"/>
  <c r="KU602" i="40"/>
  <c r="KR318" i="40"/>
  <c r="AU16" i="67" s="1"/>
  <c r="AV16" i="67" s="1"/>
  <c r="C65" i="68"/>
  <c r="C57" i="68"/>
  <c r="C67" i="68"/>
  <c r="C55" i="68"/>
  <c r="AD46" i="67"/>
  <c r="AD47" i="67" s="1"/>
  <c r="AC67" i="71"/>
  <c r="AD43" i="67"/>
  <c r="AD41" i="68"/>
  <c r="KR424" i="40"/>
  <c r="AE47" i="67"/>
  <c r="AI47" i="67" s="1"/>
  <c r="C47" i="67" s="1"/>
  <c r="AL47" i="67"/>
  <c r="AN47" i="67"/>
  <c r="AC69" i="71"/>
  <c r="AC35" i="71"/>
  <c r="AC57" i="71"/>
  <c r="AC43" i="71"/>
  <c r="KS603" i="40"/>
  <c r="AD69" i="69"/>
  <c r="JU664" i="40"/>
  <c r="JV664" i="40" s="1"/>
  <c r="JW664" i="40" s="1"/>
  <c r="JS664" i="40"/>
  <c r="JT664" i="40"/>
  <c r="JX664" i="40" s="1"/>
  <c r="C43" i="68"/>
  <c r="AD61" i="69"/>
  <c r="AD65" i="69"/>
  <c r="AD63" i="69"/>
  <c r="JU615" i="40"/>
  <c r="JV615" i="40" s="1"/>
  <c r="JW615" i="40" s="1"/>
  <c r="AV52" i="70"/>
  <c r="C71" i="68"/>
  <c r="C37" i="68"/>
  <c r="AD35" i="69"/>
  <c r="AD57" i="69"/>
  <c r="AD51" i="69"/>
  <c r="AD71" i="69"/>
  <c r="C41" i="68"/>
  <c r="AD53" i="69"/>
  <c r="AD59" i="69"/>
  <c r="AA34" i="62"/>
  <c r="AA35" i="62" s="1"/>
  <c r="W35" i="62"/>
  <c r="Z46" i="62"/>
  <c r="Z47" i="62" s="1"/>
  <c r="V47" i="62"/>
  <c r="AL47" i="62"/>
  <c r="AN47" i="62"/>
  <c r="AM47" i="62"/>
  <c r="AE47" i="62"/>
  <c r="AI47" i="62" s="1"/>
  <c r="V45" i="62"/>
  <c r="Z44" i="62"/>
  <c r="Z45" i="62" s="1"/>
  <c r="R40" i="62"/>
  <c r="R41" i="62" s="1"/>
  <c r="Z40" i="62"/>
  <c r="Z41" i="62" s="1"/>
  <c r="V41" i="62"/>
  <c r="U41" i="62"/>
  <c r="Y40" i="62"/>
  <c r="AK48" i="62"/>
  <c r="F49" i="62"/>
  <c r="Q48" i="62"/>
  <c r="Q49" i="62" s="1"/>
  <c r="U49" i="62"/>
  <c r="Y48" i="62"/>
  <c r="AM39" i="62"/>
  <c r="AL39" i="62"/>
  <c r="AN39" i="62"/>
  <c r="AE39" i="62"/>
  <c r="AI39" i="62" s="1"/>
  <c r="S34" i="62"/>
  <c r="S35" i="62" s="1"/>
  <c r="AK34" i="62"/>
  <c r="F35" i="62"/>
  <c r="Q46" i="62"/>
  <c r="Q47" i="62" s="1"/>
  <c r="Y46" i="62"/>
  <c r="U47" i="62"/>
  <c r="AA46" i="62"/>
  <c r="AA47" i="62" s="1"/>
  <c r="W47" i="62"/>
  <c r="U45" i="62"/>
  <c r="Y44" i="62"/>
  <c r="AA44" i="62"/>
  <c r="AA45" i="62" s="1"/>
  <c r="W45" i="62"/>
  <c r="S40" i="62"/>
  <c r="S41" i="62" s="1"/>
  <c r="AA40" i="62"/>
  <c r="AA41" i="62" s="1"/>
  <c r="W41" i="62"/>
  <c r="AA48" i="62"/>
  <c r="AA49" i="62" s="1"/>
  <c r="W49" i="62"/>
  <c r="Y42" i="62"/>
  <c r="U43" i="62"/>
  <c r="W37" i="62"/>
  <c r="AA36" i="62"/>
  <c r="AA37" i="62" s="1"/>
  <c r="V37" i="62"/>
  <c r="Z36" i="62"/>
  <c r="Z37" i="62" s="1"/>
  <c r="AN37" i="62"/>
  <c r="AL37" i="62"/>
  <c r="AE37" i="62"/>
  <c r="AI37" i="62" s="1"/>
  <c r="A37" i="62" s="1"/>
  <c r="AM37" i="62"/>
  <c r="AA38" i="62"/>
  <c r="AA39" i="62" s="1"/>
  <c r="W39" i="62"/>
  <c r="U35" i="62"/>
  <c r="Y34" i="62"/>
  <c r="AE45" i="62"/>
  <c r="AI45" i="62" s="1"/>
  <c r="A45" i="62" s="1"/>
  <c r="AM45" i="62"/>
  <c r="AN45" i="62"/>
  <c r="AL45" i="62"/>
  <c r="AL41" i="62"/>
  <c r="AN41" i="62"/>
  <c r="AE41" i="62"/>
  <c r="AI41" i="62" s="1"/>
  <c r="AM41" i="62"/>
  <c r="F43" i="62"/>
  <c r="AK42" i="62"/>
  <c r="W43" i="62"/>
  <c r="AA42" i="62"/>
  <c r="AA43" i="62" s="1"/>
  <c r="Y36" i="62"/>
  <c r="U37" i="62"/>
  <c r="F37" i="62"/>
  <c r="AK36" i="62"/>
  <c r="V39" i="62"/>
  <c r="Z38" i="62"/>
  <c r="Z39" i="62" s="1"/>
  <c r="AK38" i="62"/>
  <c r="F39" i="62"/>
  <c r="Y38" i="62"/>
  <c r="U39" i="62"/>
  <c r="AN35" i="62"/>
  <c r="AE35" i="62"/>
  <c r="AI35" i="62" s="1"/>
  <c r="AM35" i="62"/>
  <c r="AL35" i="62"/>
  <c r="R34" i="62"/>
  <c r="R35" i="62" s="1"/>
  <c r="Z34" i="62"/>
  <c r="Z35" i="62" s="1"/>
  <c r="V35" i="62"/>
  <c r="F47" i="62"/>
  <c r="AK46" i="62"/>
  <c r="AK44" i="62"/>
  <c r="F45" i="62"/>
  <c r="AK40" i="62"/>
  <c r="F41" i="62"/>
  <c r="R48" i="62"/>
  <c r="R49" i="62" s="1"/>
  <c r="Z48" i="62"/>
  <c r="Z49" i="62" s="1"/>
  <c r="V49" i="62"/>
  <c r="AE49" i="62"/>
  <c r="AI49" i="62" s="1"/>
  <c r="AN49" i="62"/>
  <c r="AL49" i="62"/>
  <c r="AM49" i="62"/>
  <c r="R42" i="62"/>
  <c r="R43" i="62" s="1"/>
  <c r="V43" i="62"/>
  <c r="Z42" i="62"/>
  <c r="Z43" i="62" s="1"/>
  <c r="AE43" i="62"/>
  <c r="AI43" i="62" s="1"/>
  <c r="AN43" i="62"/>
  <c r="AM43" i="62"/>
  <c r="AL43" i="62"/>
  <c r="R38" i="62"/>
  <c r="R39" i="62" s="1"/>
  <c r="KS330" i="40"/>
  <c r="AD42" i="58"/>
  <c r="AD43" i="58" s="1"/>
  <c r="C53" i="68"/>
  <c r="C61" i="68"/>
  <c r="AM9" i="61"/>
  <c r="AC63" i="71"/>
  <c r="AC39" i="71"/>
  <c r="AC51" i="71"/>
  <c r="AC47" i="71"/>
  <c r="AC45" i="71"/>
  <c r="A39" i="66"/>
  <c r="AD46" i="69"/>
  <c r="AD47" i="69" s="1"/>
  <c r="AC35" i="68"/>
  <c r="C35" i="68" s="1"/>
  <c r="AC61" i="71"/>
  <c r="AC41" i="71"/>
  <c r="AC49" i="71"/>
  <c r="AC53" i="71"/>
  <c r="AC37" i="71"/>
  <c r="AC55" i="71"/>
  <c r="AC65" i="71"/>
  <c r="AC71" i="71"/>
  <c r="AD45" i="68"/>
  <c r="AV16" i="68"/>
  <c r="AC45" i="68"/>
  <c r="C45" i="68" s="1"/>
  <c r="KO615" i="40"/>
  <c r="KR615" i="40" s="1"/>
  <c r="KO641" i="40"/>
  <c r="KR641" i="40" s="1"/>
  <c r="JU641" i="40"/>
  <c r="JV641" i="40" s="1"/>
  <c r="JW641" i="40" s="1"/>
  <c r="JT615" i="40"/>
  <c r="JX615" i="40" s="1"/>
  <c r="AV26" i="70"/>
  <c r="C63" i="68"/>
  <c r="JS641" i="40"/>
  <c r="AV13" i="70"/>
  <c r="BR13" i="70" s="1"/>
  <c r="C47" i="66"/>
  <c r="AD37" i="67"/>
  <c r="KU301" i="40"/>
  <c r="AF35" i="68"/>
  <c r="AG35" i="68" s="1"/>
  <c r="C69" i="68"/>
  <c r="C49" i="68"/>
  <c r="C59" i="68"/>
  <c r="AF45" i="68"/>
  <c r="AG45" i="68" s="1"/>
  <c r="AF39" i="68"/>
  <c r="AG39" i="68" s="1"/>
  <c r="AM8" i="61"/>
  <c r="AM10" i="61"/>
  <c r="AC39" i="69"/>
  <c r="C39" i="69" s="1"/>
  <c r="AD38" i="69"/>
  <c r="AD39" i="69" s="1"/>
  <c r="KS465" i="40"/>
  <c r="KR465" i="40"/>
  <c r="KR439" i="40"/>
  <c r="KS439" i="40"/>
  <c r="JK701" i="40"/>
  <c r="JX701" i="40"/>
  <c r="AF46" i="68"/>
  <c r="AF47" i="68" s="1"/>
  <c r="AG47" i="68" s="1"/>
  <c r="JV465" i="40"/>
  <c r="JW465" i="40" s="1"/>
  <c r="AE47" i="68"/>
  <c r="AI47" i="68" s="1"/>
  <c r="A47" i="68" s="1"/>
  <c r="AM47" i="68"/>
  <c r="AL47" i="68"/>
  <c r="AN47" i="68"/>
  <c r="JV315" i="40"/>
  <c r="JW315" i="40" s="1"/>
  <c r="AF46" i="67"/>
  <c r="AF47" i="67" s="1"/>
  <c r="AG47" i="67" s="1"/>
  <c r="KS269" i="40"/>
  <c r="KR269" i="40"/>
  <c r="KR525" i="40"/>
  <c r="KS525" i="40"/>
  <c r="AL10" i="61"/>
  <c r="AC35" i="58"/>
  <c r="C35" i="58" s="1"/>
  <c r="AD34" i="58"/>
  <c r="AD35" i="58" s="1"/>
  <c r="KT504" i="40"/>
  <c r="KU503" i="40"/>
  <c r="KS423" i="40"/>
  <c r="KR423" i="40"/>
  <c r="KT303" i="40"/>
  <c r="KU302" i="40"/>
  <c r="AL8" i="61"/>
  <c r="AD46" i="68"/>
  <c r="AD47" i="68" s="1"/>
  <c r="AF67" i="68"/>
  <c r="AG67" i="68" s="1"/>
  <c r="AF41" i="68"/>
  <c r="AG41" i="68" s="1"/>
  <c r="AF65" i="68"/>
  <c r="AG65" i="68" s="1"/>
  <c r="AF59" i="68"/>
  <c r="AG59" i="68" s="1"/>
  <c r="AF49" i="68"/>
  <c r="AG49" i="68" s="1"/>
  <c r="AF51" i="68"/>
  <c r="AG51" i="68" s="1"/>
  <c r="AF71" i="68"/>
  <c r="AG71" i="68" s="1"/>
  <c r="AF57" i="68"/>
  <c r="AG57" i="68" s="1"/>
  <c r="AF69" i="68"/>
  <c r="AG69" i="68" s="1"/>
  <c r="AF53" i="68"/>
  <c r="AG53" i="68" s="1"/>
  <c r="AF43" i="68"/>
  <c r="AG43" i="68" s="1"/>
  <c r="AF61" i="68"/>
  <c r="AG61" i="68" s="1"/>
  <c r="AF55" i="68"/>
  <c r="AG55" i="68" s="1"/>
  <c r="AF63" i="68"/>
  <c r="AG63" i="68" s="1"/>
  <c r="KT204" i="40"/>
  <c r="KU203" i="40"/>
  <c r="AD48" i="69"/>
  <c r="AD49" i="69" s="1"/>
  <c r="AC49" i="69"/>
  <c r="C49" i="69" s="1"/>
  <c r="KS648" i="40"/>
  <c r="KR648" i="40"/>
  <c r="KR604" i="40"/>
  <c r="F12" i="61" s="1"/>
  <c r="KS604" i="40"/>
  <c r="C49" i="66"/>
  <c r="A49" i="66"/>
  <c r="AD44" i="67"/>
  <c r="AD45" i="67" s="1"/>
  <c r="AC45" i="67"/>
  <c r="C45" i="67" s="1"/>
  <c r="KS656" i="40"/>
  <c r="KR656" i="40"/>
  <c r="KR238" i="40"/>
  <c r="KS238" i="40"/>
  <c r="AD34" i="67"/>
  <c r="AD35" i="67" s="1"/>
  <c r="AC35" i="67"/>
  <c r="C35" i="67" s="1"/>
  <c r="KS668" i="40"/>
  <c r="KR668" i="40"/>
  <c r="KS671" i="40"/>
  <c r="KR671" i="40"/>
  <c r="KR701" i="40"/>
  <c r="KS701" i="40"/>
  <c r="AF71" i="67"/>
  <c r="AG71" i="67" s="1"/>
  <c r="AF57" i="67"/>
  <c r="AG57" i="67" s="1"/>
  <c r="AF49" i="67"/>
  <c r="AG49" i="67" s="1"/>
  <c r="AF61" i="67"/>
  <c r="AG61" i="67" s="1"/>
  <c r="AF65" i="67"/>
  <c r="AG65" i="67" s="1"/>
  <c r="AF59" i="67"/>
  <c r="AG59" i="67" s="1"/>
  <c r="AF53" i="67"/>
  <c r="AG53" i="67" s="1"/>
  <c r="AF55" i="67"/>
  <c r="AG55" i="67" s="1"/>
  <c r="AF51" i="67"/>
  <c r="AG51" i="67" s="1"/>
  <c r="AF69" i="67"/>
  <c r="AG69" i="67" s="1"/>
  <c r="AF63" i="67"/>
  <c r="AG63" i="67" s="1"/>
  <c r="AF67" i="67"/>
  <c r="AG67" i="67" s="1"/>
  <c r="AF35" i="67"/>
  <c r="AG35" i="67" s="1"/>
  <c r="AF41" i="67"/>
  <c r="AG41" i="67" s="1"/>
  <c r="AF39" i="67"/>
  <c r="AG39" i="67" s="1"/>
  <c r="KS613" i="40"/>
  <c r="KR613" i="40"/>
  <c r="KR614" i="40"/>
  <c r="AT16" i="71" s="1"/>
  <c r="KS614" i="40"/>
  <c r="KS628" i="40"/>
  <c r="KR628" i="40"/>
  <c r="KR659" i="40"/>
  <c r="KS659" i="40"/>
  <c r="KS637" i="40"/>
  <c r="KR637" i="40"/>
  <c r="KS679" i="40"/>
  <c r="KR679" i="40"/>
  <c r="KS699" i="40"/>
  <c r="KR699" i="40"/>
  <c r="KS688" i="40"/>
  <c r="KR688" i="40"/>
  <c r="KS645" i="40"/>
  <c r="KR645" i="40"/>
  <c r="KR690" i="40"/>
  <c r="KS690" i="40"/>
  <c r="KR678" i="40"/>
  <c r="KS678" i="40"/>
  <c r="KS602" i="40"/>
  <c r="KR602" i="40"/>
  <c r="KS676" i="40"/>
  <c r="KR676" i="40"/>
  <c r="AD61" i="67"/>
  <c r="AD71" i="67"/>
  <c r="AD65" i="67"/>
  <c r="AD63" i="67"/>
  <c r="AD51" i="67"/>
  <c r="AD69" i="67"/>
  <c r="AD59" i="67"/>
  <c r="AD49" i="67"/>
  <c r="AD55" i="67"/>
  <c r="AD67" i="67"/>
  <c r="AD57" i="67"/>
  <c r="AD53" i="67"/>
  <c r="KR608" i="40"/>
  <c r="KS608" i="40"/>
  <c r="KR626" i="40"/>
  <c r="KS626" i="40"/>
  <c r="KS642" i="40"/>
  <c r="KR642" i="40"/>
  <c r="JV231" i="40"/>
  <c r="JW231" i="40" s="1"/>
  <c r="AF44" i="66"/>
  <c r="AF45" i="66" s="1"/>
  <c r="AG45" i="66" s="1"/>
  <c r="AF45" i="67"/>
  <c r="AG45" i="67" s="1"/>
  <c r="KS618" i="40"/>
  <c r="AD41" i="67"/>
  <c r="KS624" i="40"/>
  <c r="KR624" i="40"/>
  <c r="A49" i="67"/>
  <c r="C49" i="67"/>
  <c r="C53" i="67"/>
  <c r="A53" i="67"/>
  <c r="C67" i="67"/>
  <c r="A67" i="67"/>
  <c r="A51" i="67"/>
  <c r="C51" i="67"/>
  <c r="KS661" i="40"/>
  <c r="KR661" i="40"/>
  <c r="AD65" i="66"/>
  <c r="AD59" i="66"/>
  <c r="AD53" i="66"/>
  <c r="AD63" i="66"/>
  <c r="AD69" i="66"/>
  <c r="AD55" i="66"/>
  <c r="AD61" i="66"/>
  <c r="AD67" i="66"/>
  <c r="AD57" i="66"/>
  <c r="AD51" i="66"/>
  <c r="AD71" i="66"/>
  <c r="A45" i="67"/>
  <c r="KR612" i="40"/>
  <c r="KS612" i="40"/>
  <c r="KS632" i="40"/>
  <c r="KR632" i="40"/>
  <c r="KS206" i="40"/>
  <c r="KR206" i="40"/>
  <c r="AL11" i="61"/>
  <c r="KS627" i="40"/>
  <c r="KR627" i="40"/>
  <c r="A41" i="66"/>
  <c r="C41" i="66"/>
  <c r="KS650" i="40"/>
  <c r="KR650" i="40"/>
  <c r="KS640" i="40"/>
  <c r="KR640" i="40"/>
  <c r="KR623" i="40"/>
  <c r="KS623" i="40"/>
  <c r="AF43" i="67"/>
  <c r="AG43" i="67" s="1"/>
  <c r="AD39" i="66"/>
  <c r="KR649" i="40"/>
  <c r="KS649" i="40"/>
  <c r="KR691" i="40"/>
  <c r="KS691" i="40"/>
  <c r="KR683" i="40"/>
  <c r="KS683" i="40"/>
  <c r="KS692" i="40"/>
  <c r="KR692" i="40"/>
  <c r="KS700" i="40"/>
  <c r="KR700" i="40"/>
  <c r="KR697" i="40"/>
  <c r="KS697" i="40"/>
  <c r="KS695" i="40"/>
  <c r="KR695" i="40"/>
  <c r="AF33" i="71"/>
  <c r="JV602" i="40"/>
  <c r="JW602" i="40" s="1"/>
  <c r="KS651" i="40"/>
  <c r="KR651" i="40"/>
  <c r="AD69" i="68"/>
  <c r="AD61" i="68"/>
  <c r="AD59" i="68"/>
  <c r="AD49" i="68"/>
  <c r="AD51" i="68"/>
  <c r="AD55" i="68"/>
  <c r="AD53" i="68"/>
  <c r="AD71" i="68"/>
  <c r="AD65" i="68"/>
  <c r="AD67" i="68"/>
  <c r="AD63" i="68"/>
  <c r="AD57" i="68"/>
  <c r="AD43" i="68"/>
  <c r="AD42" i="69"/>
  <c r="AD43" i="69" s="1"/>
  <c r="AC43" i="69"/>
  <c r="C43" i="69" s="1"/>
  <c r="KR622" i="40"/>
  <c r="KS622" i="40"/>
  <c r="O45" i="59"/>
  <c r="Z45" i="59"/>
  <c r="AD47" i="66"/>
  <c r="KS652" i="40"/>
  <c r="KR652" i="40"/>
  <c r="KS231" i="40"/>
  <c r="KR231" i="40"/>
  <c r="C35" i="69"/>
  <c r="A35" i="69"/>
  <c r="AD36" i="69"/>
  <c r="AD37" i="69" s="1"/>
  <c r="AC37" i="69"/>
  <c r="C37" i="69" s="1"/>
  <c r="E32" i="59"/>
  <c r="C59" i="67"/>
  <c r="A59" i="67"/>
  <c r="C63" i="67"/>
  <c r="A63" i="67"/>
  <c r="A71" i="67"/>
  <c r="C71" i="67"/>
  <c r="A39" i="67"/>
  <c r="C39" i="67"/>
  <c r="KR617" i="40"/>
  <c r="KS617" i="40"/>
  <c r="KR636" i="40"/>
  <c r="KS636" i="40"/>
  <c r="KR625" i="40"/>
  <c r="KS625" i="40"/>
  <c r="KS244" i="40"/>
  <c r="KR244" i="40"/>
  <c r="KS639" i="40"/>
  <c r="KR639" i="40"/>
  <c r="KS669" i="40"/>
  <c r="KR669" i="40"/>
  <c r="KS675" i="40"/>
  <c r="KR675" i="40"/>
  <c r="KS270" i="40"/>
  <c r="KR270" i="40"/>
  <c r="KO606" i="40"/>
  <c r="JT606" i="40"/>
  <c r="JX606" i="40" s="1"/>
  <c r="JU606" i="40"/>
  <c r="JV606" i="40" s="1"/>
  <c r="JW606" i="40" s="1"/>
  <c r="JS606" i="40"/>
  <c r="AD41" i="66"/>
  <c r="KS616" i="40"/>
  <c r="KR616" i="40"/>
  <c r="AD40" i="69"/>
  <c r="AD41" i="69" s="1"/>
  <c r="AC41" i="69"/>
  <c r="KO638" i="40"/>
  <c r="AV49" i="70"/>
  <c r="JU638" i="40"/>
  <c r="JV638" i="40" s="1"/>
  <c r="JW638" i="40" s="1"/>
  <c r="JT638" i="40"/>
  <c r="JX638" i="40" s="1"/>
  <c r="JS638" i="40"/>
  <c r="KS666" i="40"/>
  <c r="KR666" i="40"/>
  <c r="KS662" i="40"/>
  <c r="KR662" i="40"/>
  <c r="KS619" i="40"/>
  <c r="KR619" i="40"/>
  <c r="KS630" i="40"/>
  <c r="KR630" i="40"/>
  <c r="A37" i="67"/>
  <c r="C37" i="67"/>
  <c r="AD37" i="66"/>
  <c r="A37" i="66"/>
  <c r="C37" i="66"/>
  <c r="KO654" i="40"/>
  <c r="AV65" i="70"/>
  <c r="JU654" i="40"/>
  <c r="JV654" i="40" s="1"/>
  <c r="JW654" i="40" s="1"/>
  <c r="JT654" i="40"/>
  <c r="JX654" i="40" s="1"/>
  <c r="JS654" i="40"/>
  <c r="KR633" i="40"/>
  <c r="KS633" i="40"/>
  <c r="KR660" i="40"/>
  <c r="KS660" i="40"/>
  <c r="KS673" i="40"/>
  <c r="KR673" i="40"/>
  <c r="KS682" i="40"/>
  <c r="KR682" i="40"/>
  <c r="KR687" i="40"/>
  <c r="KS687" i="40"/>
  <c r="KS696" i="40"/>
  <c r="KR696" i="40"/>
  <c r="KS684" i="40"/>
  <c r="KR684" i="40"/>
  <c r="KS681" i="40"/>
  <c r="KR681" i="40"/>
  <c r="KS680" i="40"/>
  <c r="KR680" i="40"/>
  <c r="KS693" i="40"/>
  <c r="KR693" i="40"/>
  <c r="AE49" i="71"/>
  <c r="AI49" i="71" s="1"/>
  <c r="AE51" i="71"/>
  <c r="AI51" i="71" s="1"/>
  <c r="AE67" i="71"/>
  <c r="AI67" i="71" s="1"/>
  <c r="AE65" i="71"/>
  <c r="AI65" i="71" s="1"/>
  <c r="AE41" i="71"/>
  <c r="AI41" i="71" s="1"/>
  <c r="AE71" i="71"/>
  <c r="AI71" i="71" s="1"/>
  <c r="AE63" i="71"/>
  <c r="AI63" i="71" s="1"/>
  <c r="AE39" i="71"/>
  <c r="AI39" i="71" s="1"/>
  <c r="AE43" i="71"/>
  <c r="AI43" i="71" s="1"/>
  <c r="AE55" i="71"/>
  <c r="AI55" i="71" s="1"/>
  <c r="AE37" i="71"/>
  <c r="AI37" i="71" s="1"/>
  <c r="AE35" i="71"/>
  <c r="AI35" i="71" s="1"/>
  <c r="AE61" i="71"/>
  <c r="AI61" i="71" s="1"/>
  <c r="AE45" i="71"/>
  <c r="AI45" i="71" s="1"/>
  <c r="AE57" i="71"/>
  <c r="AI57" i="71" s="1"/>
  <c r="AE59" i="71"/>
  <c r="AI59" i="71" s="1"/>
  <c r="AE53" i="71"/>
  <c r="AI53" i="71" s="1"/>
  <c r="AE47" i="71"/>
  <c r="AI47" i="71" s="1"/>
  <c r="AE69" i="71"/>
  <c r="AI69" i="71" s="1"/>
  <c r="AN59" i="71"/>
  <c r="AN51" i="71"/>
  <c r="AM51" i="71"/>
  <c r="AN41" i="71"/>
  <c r="AN49" i="71"/>
  <c r="AM63" i="71"/>
  <c r="AM61" i="71"/>
  <c r="AN61" i="71"/>
  <c r="AL67" i="71"/>
  <c r="AL55" i="71"/>
  <c r="AN67" i="71"/>
  <c r="AL61" i="71"/>
  <c r="AM59" i="71"/>
  <c r="AL59" i="71"/>
  <c r="AL49" i="71"/>
  <c r="AM35" i="71"/>
  <c r="AL57" i="71"/>
  <c r="AN53" i="71"/>
  <c r="AL45" i="71"/>
  <c r="AL35" i="71"/>
  <c r="AL65" i="71"/>
  <c r="AM45" i="71"/>
  <c r="AM41" i="71"/>
  <c r="AN47" i="71"/>
  <c r="AN37" i="71"/>
  <c r="AL69" i="71"/>
  <c r="AN35" i="71"/>
  <c r="AN65" i="71"/>
  <c r="AM37" i="71"/>
  <c r="AN57" i="71"/>
  <c r="AL47" i="71"/>
  <c r="AL39" i="71"/>
  <c r="AM47" i="71"/>
  <c r="AM55" i="71"/>
  <c r="AM65" i="71"/>
  <c r="AL51" i="71"/>
  <c r="AL37" i="71"/>
  <c r="AN39" i="71"/>
  <c r="AL53" i="71"/>
  <c r="AM69" i="71"/>
  <c r="AN55" i="71"/>
  <c r="AM39" i="71"/>
  <c r="AL41" i="71"/>
  <c r="AM57" i="71"/>
  <c r="AN69" i="71"/>
  <c r="AM43" i="71"/>
  <c r="AN43" i="71"/>
  <c r="AL43" i="71"/>
  <c r="AM67" i="71"/>
  <c r="AM49" i="71"/>
  <c r="AL63" i="71"/>
  <c r="AM71" i="71"/>
  <c r="AM53" i="71"/>
  <c r="AL71" i="71"/>
  <c r="AN71" i="71"/>
  <c r="AN63" i="71"/>
  <c r="AN45" i="71"/>
  <c r="KS657" i="40"/>
  <c r="KR657" i="40"/>
  <c r="AD34" i="66"/>
  <c r="AD35" i="66" s="1"/>
  <c r="AC35" i="66"/>
  <c r="C35" i="66" s="1"/>
  <c r="AD33" i="71"/>
  <c r="P45" i="59"/>
  <c r="AB45" i="59"/>
  <c r="KR610" i="40"/>
  <c r="AS16" i="71" s="1"/>
  <c r="KS610" i="40"/>
  <c r="KR621" i="40"/>
  <c r="KS621" i="40"/>
  <c r="KO631" i="40"/>
  <c r="AV42" i="70"/>
  <c r="JS631" i="40"/>
  <c r="JU631" i="40"/>
  <c r="JV631" i="40" s="1"/>
  <c r="JW631" i="40" s="1"/>
  <c r="JT631" i="40"/>
  <c r="JX631" i="40" s="1"/>
  <c r="KR629" i="40"/>
  <c r="KS629" i="40"/>
  <c r="KS634" i="40"/>
  <c r="KR634" i="40"/>
  <c r="KT604" i="40"/>
  <c r="KU603" i="40"/>
  <c r="AD45" i="66"/>
  <c r="KR635" i="40"/>
  <c r="KS635" i="40"/>
  <c r="KT404" i="40"/>
  <c r="KU403" i="40"/>
  <c r="A57" i="67"/>
  <c r="C57" i="67"/>
  <c r="A41" i="67"/>
  <c r="C41" i="67"/>
  <c r="A69" i="67"/>
  <c r="C69" i="67"/>
  <c r="KS672" i="40"/>
  <c r="KR672" i="40"/>
  <c r="AD38" i="68"/>
  <c r="AD39" i="68" s="1"/>
  <c r="AC39" i="68"/>
  <c r="C39" i="68" s="1"/>
  <c r="KO670" i="40"/>
  <c r="JS670" i="40"/>
  <c r="JU670" i="40"/>
  <c r="JV670" i="40" s="1"/>
  <c r="JW670" i="40" s="1"/>
  <c r="JT670" i="40"/>
  <c r="JX670" i="40" s="1"/>
  <c r="KS620" i="40"/>
  <c r="KR620" i="40"/>
  <c r="KR601" i="40"/>
  <c r="KS601" i="40"/>
  <c r="A43" i="69"/>
  <c r="KR658" i="40"/>
  <c r="KS658" i="40"/>
  <c r="KS607" i="40"/>
  <c r="KR607" i="40"/>
  <c r="AL9" i="61"/>
  <c r="KS254" i="40"/>
  <c r="KR254" i="40"/>
  <c r="AM11" i="61"/>
  <c r="KS663" i="40"/>
  <c r="KR663" i="40"/>
  <c r="KS667" i="40"/>
  <c r="KR667" i="40"/>
  <c r="KS647" i="40"/>
  <c r="KR647" i="40"/>
  <c r="KS643" i="40"/>
  <c r="KR643" i="40"/>
  <c r="KS655" i="40"/>
  <c r="KR655" i="40"/>
  <c r="KS698" i="40"/>
  <c r="KR698" i="40"/>
  <c r="KR694" i="40"/>
  <c r="KS694" i="40"/>
  <c r="KR685" i="40"/>
  <c r="KS685" i="40"/>
  <c r="KS653" i="40"/>
  <c r="KR653" i="40"/>
  <c r="KS689" i="40"/>
  <c r="KR689" i="40"/>
  <c r="KR686" i="40"/>
  <c r="KS686" i="40"/>
  <c r="KR677" i="40"/>
  <c r="KS677" i="40"/>
  <c r="KR605" i="40"/>
  <c r="G12" i="61" s="1"/>
  <c r="AN12" i="61" s="1"/>
  <c r="KS605" i="40"/>
  <c r="A43" i="67"/>
  <c r="C43" i="67"/>
  <c r="N45" i="59"/>
  <c r="X45" i="59"/>
  <c r="KS674" i="40"/>
  <c r="KR674" i="40"/>
  <c r="AD37" i="68"/>
  <c r="AD49" i="66"/>
  <c r="A39" i="68"/>
  <c r="AF37" i="67"/>
  <c r="AG37" i="67" s="1"/>
  <c r="KS609" i="40"/>
  <c r="KR609" i="40"/>
  <c r="AE45" i="66"/>
  <c r="AI45" i="66" s="1"/>
  <c r="AN45" i="66"/>
  <c r="AM45" i="66"/>
  <c r="AL45" i="66"/>
  <c r="KR664" i="40"/>
  <c r="KS664" i="40"/>
  <c r="KR665" i="40"/>
  <c r="KS665" i="40"/>
  <c r="AV16" i="66"/>
  <c r="AD35" i="68"/>
  <c r="A35" i="68"/>
  <c r="A47" i="67"/>
  <c r="A61" i="67"/>
  <c r="C61" i="67"/>
  <c r="A35" i="67"/>
  <c r="A65" i="67"/>
  <c r="C65" i="67"/>
  <c r="A55" i="67"/>
  <c r="C55" i="67"/>
  <c r="KS646" i="40"/>
  <c r="KR646" i="40"/>
  <c r="KO644" i="40"/>
  <c r="AV55" i="70"/>
  <c r="JU644" i="40"/>
  <c r="JV644" i="40" s="1"/>
  <c r="JW644" i="40" s="1"/>
  <c r="JS644" i="40"/>
  <c r="JT644" i="40"/>
  <c r="JX644" i="40" s="1"/>
  <c r="AD42" i="66"/>
  <c r="AD43" i="66" s="1"/>
  <c r="AC43" i="66"/>
  <c r="C43" i="66" s="1"/>
  <c r="KS611" i="40"/>
  <c r="KR611" i="40"/>
  <c r="A45" i="68"/>
  <c r="C41" i="69" l="1"/>
  <c r="AD55" i="69"/>
  <c r="AD67" i="69"/>
  <c r="A49" i="62"/>
  <c r="A41" i="62"/>
  <c r="AT19" i="62"/>
  <c r="AT21" i="62" s="1"/>
  <c r="A39" i="62"/>
  <c r="AC38" i="62"/>
  <c r="Y39" i="62"/>
  <c r="A35" i="62"/>
  <c r="Y35" i="62"/>
  <c r="AC34" i="62"/>
  <c r="Y41" i="62"/>
  <c r="AC40" i="62"/>
  <c r="AC36" i="62"/>
  <c r="Y37" i="62"/>
  <c r="AC48" i="62"/>
  <c r="Y49" i="62"/>
  <c r="AS19" i="62"/>
  <c r="Y43" i="62"/>
  <c r="AC42" i="62"/>
  <c r="Y45" i="62"/>
  <c r="AC44" i="62"/>
  <c r="AU19" i="62"/>
  <c r="A47" i="62"/>
  <c r="A43" i="62"/>
  <c r="AC46" i="62"/>
  <c r="Y47" i="62"/>
  <c r="KS615" i="40"/>
  <c r="KS641" i="40"/>
  <c r="AV16" i="71"/>
  <c r="C47" i="68"/>
  <c r="KT304" i="40"/>
  <c r="KU303" i="40"/>
  <c r="KT505" i="40"/>
  <c r="KU504" i="40"/>
  <c r="KT205" i="40"/>
  <c r="KU204" i="40"/>
  <c r="KR644" i="40"/>
  <c r="KS644" i="40"/>
  <c r="C45" i="66"/>
  <c r="A45" i="66"/>
  <c r="X57" i="59"/>
  <c r="Y57" i="59"/>
  <c r="KR670" i="40"/>
  <c r="KS670" i="40"/>
  <c r="KT405" i="40"/>
  <c r="KU404" i="40"/>
  <c r="AB57" i="59"/>
  <c r="AC57" i="59"/>
  <c r="C47" i="71"/>
  <c r="A47" i="71"/>
  <c r="C45" i="71"/>
  <c r="A45" i="71"/>
  <c r="A55" i="71"/>
  <c r="C55" i="71"/>
  <c r="A71" i="71"/>
  <c r="C71" i="71"/>
  <c r="C51" i="71"/>
  <c r="A51" i="71"/>
  <c r="KS654" i="40"/>
  <c r="KR654" i="40"/>
  <c r="KR631" i="40"/>
  <c r="KS631" i="40"/>
  <c r="C53" i="71"/>
  <c r="A53" i="71"/>
  <c r="C61" i="71"/>
  <c r="A61" i="71"/>
  <c r="C43" i="71"/>
  <c r="A43" i="71"/>
  <c r="A41" i="71"/>
  <c r="C41" i="71"/>
  <c r="A49" i="71"/>
  <c r="C49" i="71"/>
  <c r="AL12" i="61"/>
  <c r="I32" i="59"/>
  <c r="V45" i="59"/>
  <c r="M45" i="59"/>
  <c r="Z57" i="59"/>
  <c r="AA57" i="59"/>
  <c r="AD45" i="71"/>
  <c r="AD71" i="71"/>
  <c r="AD39" i="71"/>
  <c r="AD43" i="71"/>
  <c r="AD57" i="71"/>
  <c r="AD65" i="71"/>
  <c r="AD37" i="71"/>
  <c r="AD61" i="71"/>
  <c r="AD69" i="71"/>
  <c r="AD67" i="71"/>
  <c r="AD63" i="71"/>
  <c r="AD41" i="71"/>
  <c r="AD35" i="71"/>
  <c r="AD53" i="71"/>
  <c r="AD49" i="71"/>
  <c r="AD47" i="71"/>
  <c r="AD55" i="71"/>
  <c r="AD51" i="71"/>
  <c r="AD59" i="71"/>
  <c r="C59" i="71"/>
  <c r="A59" i="71"/>
  <c r="C35" i="71"/>
  <c r="A35" i="71"/>
  <c r="A39" i="71"/>
  <c r="C39" i="71"/>
  <c r="C65" i="71"/>
  <c r="A65" i="71"/>
  <c r="KR638" i="40"/>
  <c r="KS638" i="40"/>
  <c r="KR606" i="40"/>
  <c r="KS606" i="40"/>
  <c r="AM12" i="61"/>
  <c r="KT605" i="40"/>
  <c r="KU604" i="40"/>
  <c r="C69" i="71"/>
  <c r="A69" i="71"/>
  <c r="C57" i="71"/>
  <c r="A57" i="71"/>
  <c r="C37" i="71"/>
  <c r="A37" i="71"/>
  <c r="C63" i="71"/>
  <c r="A63" i="71"/>
  <c r="C67" i="71"/>
  <c r="A67" i="71"/>
  <c r="AF69" i="71"/>
  <c r="AG69" i="71" s="1"/>
  <c r="AF47" i="71"/>
  <c r="AG47" i="71" s="1"/>
  <c r="AF41" i="71"/>
  <c r="AG41" i="71" s="1"/>
  <c r="AF37" i="71"/>
  <c r="AG37" i="71" s="1"/>
  <c r="AF35" i="71"/>
  <c r="AG35" i="71" s="1"/>
  <c r="AF43" i="71"/>
  <c r="AG43" i="71" s="1"/>
  <c r="AF63" i="71"/>
  <c r="AG63" i="71" s="1"/>
  <c r="AF49" i="71"/>
  <c r="AG49" i="71" s="1"/>
  <c r="AF59" i="71"/>
  <c r="AG59" i="71" s="1"/>
  <c r="AF67" i="71"/>
  <c r="AG67" i="71" s="1"/>
  <c r="AF45" i="71"/>
  <c r="AG45" i="71" s="1"/>
  <c r="AF53" i="71"/>
  <c r="AG53" i="71" s="1"/>
  <c r="AF39" i="71"/>
  <c r="AG39" i="71" s="1"/>
  <c r="AF51" i="71"/>
  <c r="AG51" i="71" s="1"/>
  <c r="AF57" i="71"/>
  <c r="AG57" i="71" s="1"/>
  <c r="AF55" i="71"/>
  <c r="AG55" i="71" s="1"/>
  <c r="AF65" i="71"/>
  <c r="AG65" i="71" s="1"/>
  <c r="AF61" i="71"/>
  <c r="AG61" i="71" s="1"/>
  <c r="AF71" i="71"/>
  <c r="AG71" i="71" s="1"/>
  <c r="AT20" i="62" l="1"/>
  <c r="AD42" i="62"/>
  <c r="AD43" i="62" s="1"/>
  <c r="AC43" i="62"/>
  <c r="C43" i="62" s="1"/>
  <c r="AU21" i="62"/>
  <c r="AU20" i="62"/>
  <c r="AC35" i="62"/>
  <c r="C35" i="62" s="1"/>
  <c r="AD34" i="62"/>
  <c r="AD35" i="62" s="1"/>
  <c r="AD38" i="62"/>
  <c r="AD39" i="62" s="1"/>
  <c r="AC39" i="62"/>
  <c r="C39" i="62" s="1"/>
  <c r="AD48" i="62"/>
  <c r="AD49" i="62" s="1"/>
  <c r="AC49" i="62"/>
  <c r="C49" i="62" s="1"/>
  <c r="AC47" i="62"/>
  <c r="C47" i="62" s="1"/>
  <c r="AD46" i="62"/>
  <c r="AD47" i="62" s="1"/>
  <c r="AC45" i="62"/>
  <c r="C45" i="62" s="1"/>
  <c r="AD44" i="62"/>
  <c r="AD45" i="62" s="1"/>
  <c r="AS21" i="62"/>
  <c r="AS20" i="62"/>
  <c r="AV19" i="62"/>
  <c r="AC37" i="62"/>
  <c r="C37" i="62" s="1"/>
  <c r="AD36" i="62"/>
  <c r="AD37" i="62" s="1"/>
  <c r="AD40" i="62"/>
  <c r="AD41" i="62" s="1"/>
  <c r="AC41" i="62"/>
  <c r="C41" i="62" s="1"/>
  <c r="KT506" i="40"/>
  <c r="KU505" i="40"/>
  <c r="KT206" i="40"/>
  <c r="KU205" i="40"/>
  <c r="KT305" i="40"/>
  <c r="KU304" i="40"/>
  <c r="KT606" i="40"/>
  <c r="KU605" i="40"/>
  <c r="KT406" i="40"/>
  <c r="KU405" i="40"/>
  <c r="V57" i="59"/>
  <c r="W57" i="59"/>
  <c r="KT207" i="40" l="1"/>
  <c r="KU206" i="40"/>
  <c r="KT306" i="40"/>
  <c r="KU305" i="40"/>
  <c r="KT507" i="40"/>
  <c r="KU506" i="40"/>
  <c r="KT407" i="40"/>
  <c r="KU406" i="40"/>
  <c r="KT607" i="40"/>
  <c r="KU606" i="40"/>
  <c r="KT307" i="40" l="1"/>
  <c r="KU306" i="40"/>
  <c r="KT508" i="40"/>
  <c r="KU507" i="40"/>
  <c r="KT208" i="40"/>
  <c r="KU207" i="40"/>
  <c r="KT608" i="40"/>
  <c r="KU607" i="40"/>
  <c r="KT408" i="40"/>
  <c r="KU407" i="40"/>
  <c r="KT509" i="40" l="1"/>
  <c r="KU508" i="40"/>
  <c r="KT209" i="40"/>
  <c r="KU208" i="40"/>
  <c r="KT308" i="40"/>
  <c r="KU307" i="40"/>
  <c r="KT409" i="40"/>
  <c r="KU408" i="40"/>
  <c r="KT609" i="40"/>
  <c r="KU608" i="40"/>
  <c r="KT210" i="40" l="1"/>
  <c r="KU209" i="40"/>
  <c r="KT309" i="40"/>
  <c r="KU308" i="40"/>
  <c r="KT510" i="40"/>
  <c r="KU509" i="40"/>
  <c r="KT410" i="40"/>
  <c r="KU409" i="40"/>
  <c r="KT610" i="40"/>
  <c r="KU609" i="40"/>
  <c r="KT310" i="40" l="1"/>
  <c r="KU309" i="40"/>
  <c r="Q20" i="70"/>
  <c r="KV209" i="40"/>
  <c r="AO20" i="70"/>
  <c r="KV509" i="40"/>
  <c r="KT511" i="40"/>
  <c r="KU510" i="40"/>
  <c r="KT211" i="40"/>
  <c r="KU210" i="40"/>
  <c r="KV409" i="40"/>
  <c r="AG20" i="70"/>
  <c r="KT611" i="40"/>
  <c r="KU610" i="40"/>
  <c r="KT411" i="40"/>
  <c r="KU410" i="40"/>
  <c r="AO21" i="70" l="1"/>
  <c r="KV510" i="40"/>
  <c r="KT512" i="40"/>
  <c r="KU511" i="40"/>
  <c r="Q21" i="70"/>
  <c r="KV210" i="40"/>
  <c r="KV309" i="40"/>
  <c r="Y20" i="70"/>
  <c r="KT212" i="40"/>
  <c r="KU211" i="40"/>
  <c r="KT311" i="40"/>
  <c r="KU310" i="40"/>
  <c r="KT412" i="40"/>
  <c r="KU411" i="40"/>
  <c r="KV410" i="40"/>
  <c r="AG21" i="70"/>
  <c r="KT612" i="40"/>
  <c r="KU611" i="40"/>
  <c r="Y21" i="70" l="1"/>
  <c r="KV310" i="40"/>
  <c r="KT312" i="40"/>
  <c r="KU311" i="40"/>
  <c r="Q22" i="70"/>
  <c r="Q11" i="70"/>
  <c r="KV211" i="40"/>
  <c r="KT213" i="40"/>
  <c r="KU212" i="40"/>
  <c r="KV511" i="40"/>
  <c r="AO22" i="70"/>
  <c r="AO11" i="70"/>
  <c r="KT513" i="40"/>
  <c r="KU512" i="40"/>
  <c r="KT613" i="40"/>
  <c r="KU612" i="40"/>
  <c r="KV411" i="40"/>
  <c r="AG22" i="70"/>
  <c r="AG11" i="70"/>
  <c r="KT413" i="40"/>
  <c r="KU412" i="40"/>
  <c r="KT514" i="40" l="1"/>
  <c r="KU513" i="40"/>
  <c r="KT214" i="40"/>
  <c r="KU213" i="40"/>
  <c r="KV311" i="40"/>
  <c r="Y22" i="70"/>
  <c r="Y11" i="70"/>
  <c r="KT313" i="40"/>
  <c r="KU312" i="40"/>
  <c r="KV512" i="40"/>
  <c r="AO23" i="70"/>
  <c r="AO12" i="70"/>
  <c r="Q23" i="70"/>
  <c r="Q12" i="70"/>
  <c r="KV212" i="40"/>
  <c r="KV412" i="40"/>
  <c r="AG23" i="70"/>
  <c r="AG12" i="70"/>
  <c r="KT614" i="40"/>
  <c r="KU613" i="40"/>
  <c r="KT414" i="40"/>
  <c r="KU413" i="40"/>
  <c r="Y12" i="70" l="1"/>
  <c r="KV312" i="40"/>
  <c r="Y23" i="70"/>
  <c r="KT515" i="40"/>
  <c r="KU514" i="40"/>
  <c r="KT314" i="40"/>
  <c r="KU313" i="40"/>
  <c r="KV213" i="40"/>
  <c r="Q24" i="70"/>
  <c r="KT215" i="40"/>
  <c r="KU214" i="40"/>
  <c r="KV513" i="40"/>
  <c r="AO24" i="70"/>
  <c r="KV413" i="40"/>
  <c r="AG24" i="70"/>
  <c r="KT415" i="40"/>
  <c r="KU414" i="40"/>
  <c r="KT615" i="40"/>
  <c r="KU614" i="40"/>
  <c r="KV313" i="40" l="1"/>
  <c r="Y24" i="70"/>
  <c r="KV514" i="40"/>
  <c r="AO25" i="70"/>
  <c r="KT315" i="40"/>
  <c r="KU314" i="40"/>
  <c r="KT516" i="40"/>
  <c r="KU515" i="40"/>
  <c r="Q25" i="70"/>
  <c r="KV214" i="40"/>
  <c r="KT216" i="40"/>
  <c r="KU215" i="40"/>
  <c r="KT616" i="40"/>
  <c r="KU615" i="40"/>
  <c r="KV414" i="40"/>
  <c r="AG25" i="70"/>
  <c r="KT416" i="40"/>
  <c r="KU415" i="40"/>
  <c r="KV215" i="40" l="1"/>
  <c r="Q26" i="70"/>
  <c r="Q13" i="70"/>
  <c r="KV314" i="40"/>
  <c r="Y25" i="70"/>
  <c r="KT217" i="40"/>
  <c r="KU216" i="40"/>
  <c r="KT316" i="40"/>
  <c r="KU315" i="40"/>
  <c r="KV515" i="40"/>
  <c r="AO26" i="70"/>
  <c r="AO13" i="70"/>
  <c r="KT517" i="40"/>
  <c r="KU516" i="40"/>
  <c r="KT417" i="40"/>
  <c r="KU416" i="40"/>
  <c r="KT617" i="40"/>
  <c r="KU616" i="40"/>
  <c r="KV415" i="40"/>
  <c r="AG26" i="70"/>
  <c r="AG13" i="70"/>
  <c r="KV216" i="40" l="1"/>
  <c r="Q27" i="70"/>
  <c r="KT518" i="40"/>
  <c r="KU517" i="40"/>
  <c r="KT218" i="40"/>
  <c r="KU217" i="40"/>
  <c r="KV315" i="40"/>
  <c r="Y26" i="70"/>
  <c r="Y13" i="70"/>
  <c r="KT317" i="40"/>
  <c r="KU316" i="40"/>
  <c r="KV516" i="40"/>
  <c r="AO27" i="70"/>
  <c r="KV416" i="40"/>
  <c r="AG27" i="70"/>
  <c r="KT618" i="40"/>
  <c r="KU617" i="40"/>
  <c r="KT418" i="40"/>
  <c r="KU417" i="40"/>
  <c r="KT519" i="40" l="1"/>
  <c r="KU518" i="40"/>
  <c r="Q15" i="70"/>
  <c r="KV217" i="40"/>
  <c r="Q28" i="70"/>
  <c r="KV316" i="40"/>
  <c r="Y27" i="70"/>
  <c r="KT219" i="40"/>
  <c r="KU218" i="40"/>
  <c r="KT318" i="40"/>
  <c r="KU317" i="40"/>
  <c r="KV517" i="40"/>
  <c r="AO28" i="70"/>
  <c r="AO15" i="70"/>
  <c r="KV417" i="40"/>
  <c r="AG28" i="70"/>
  <c r="AG15" i="70"/>
  <c r="KT619" i="40"/>
  <c r="KU618" i="40"/>
  <c r="KT419" i="40"/>
  <c r="KU418" i="40"/>
  <c r="KT319" i="40" l="1"/>
  <c r="KU318" i="40"/>
  <c r="KV218" i="40"/>
  <c r="Q29" i="70"/>
  <c r="Q16" i="70"/>
  <c r="T16" i="70" s="1"/>
  <c r="T15" i="70"/>
  <c r="T11" i="70"/>
  <c r="T13" i="70"/>
  <c r="AO16" i="70"/>
  <c r="AR15" i="70" s="1"/>
  <c r="KV518" i="40"/>
  <c r="AO29" i="70"/>
  <c r="KT220" i="40"/>
  <c r="KU219" i="40"/>
  <c r="KV317" i="40"/>
  <c r="Y28" i="70"/>
  <c r="Y15" i="70"/>
  <c r="AB12" i="70" s="1"/>
  <c r="KT520" i="40"/>
  <c r="KU519" i="40"/>
  <c r="KV418" i="40"/>
  <c r="AG29" i="70"/>
  <c r="AG16" i="70"/>
  <c r="AJ11" i="70" s="1"/>
  <c r="KT420" i="40"/>
  <c r="KU419" i="40"/>
  <c r="KT620" i="40"/>
  <c r="KU619" i="40"/>
  <c r="AJ13" i="70" l="1"/>
  <c r="Q30" i="70"/>
  <c r="Q17" i="70"/>
  <c r="KV318" i="40"/>
  <c r="AM19" i="71" s="1"/>
  <c r="Y29" i="70"/>
  <c r="Y16" i="70"/>
  <c r="AB16" i="70" s="1"/>
  <c r="KT221" i="40"/>
  <c r="KU220" i="40"/>
  <c r="Q31" i="70" s="1"/>
  <c r="KT320" i="40"/>
  <c r="KU319" i="40"/>
  <c r="AO30" i="70"/>
  <c r="AO17" i="70"/>
  <c r="KT521" i="40"/>
  <c r="KU520" i="40"/>
  <c r="AO31" i="70" s="1"/>
  <c r="AR16" i="70"/>
  <c r="AR11" i="70"/>
  <c r="KT421" i="40"/>
  <c r="KU420" i="40"/>
  <c r="AG31" i="70" s="1"/>
  <c r="AJ16" i="70"/>
  <c r="KT621" i="40"/>
  <c r="KU620" i="40"/>
  <c r="AJ15" i="70"/>
  <c r="AG30" i="70"/>
  <c r="AG17" i="70"/>
  <c r="AM19" i="68" l="1"/>
  <c r="AM19" i="62"/>
  <c r="AM19" i="58"/>
  <c r="AM19" i="67"/>
  <c r="AM19" i="66"/>
  <c r="AM19" i="69"/>
  <c r="AB11" i="70"/>
  <c r="AR17" i="70"/>
  <c r="KT222" i="40"/>
  <c r="KU221" i="40"/>
  <c r="Q32" i="70" s="1"/>
  <c r="Y30" i="70"/>
  <c r="Y17" i="70"/>
  <c r="AB17" i="70" s="1"/>
  <c r="KT522" i="40"/>
  <c r="KU521" i="40"/>
  <c r="AO32" i="70" s="1"/>
  <c r="KT321" i="40"/>
  <c r="KU320" i="40"/>
  <c r="Y31" i="70" s="1"/>
  <c r="AB15" i="70"/>
  <c r="T17" i="70"/>
  <c r="AJ17" i="70"/>
  <c r="KT422" i="40"/>
  <c r="KU421" i="40"/>
  <c r="AG32" i="70" s="1"/>
  <c r="KT622" i="40"/>
  <c r="KU621" i="40"/>
  <c r="KT322" i="40" l="1"/>
  <c r="KU321" i="40"/>
  <c r="Y32" i="70" s="1"/>
  <c r="KT223" i="40"/>
  <c r="KU222" i="40"/>
  <c r="Q33" i="70" s="1"/>
  <c r="KT523" i="40"/>
  <c r="KU522" i="40"/>
  <c r="AO33" i="70" s="1"/>
  <c r="KT623" i="40"/>
  <c r="KU622" i="40"/>
  <c r="KT423" i="40"/>
  <c r="KU422" i="40"/>
  <c r="AG33" i="70" s="1"/>
  <c r="KT524" i="40" l="1"/>
  <c r="KU523" i="40"/>
  <c r="AO34" i="70" s="1"/>
  <c r="KT323" i="40"/>
  <c r="KU322" i="40"/>
  <c r="Y33" i="70" s="1"/>
  <c r="KT224" i="40"/>
  <c r="KU223" i="40"/>
  <c r="Q34" i="70" s="1"/>
  <c r="KT424" i="40"/>
  <c r="KU423" i="40"/>
  <c r="AG34" i="70" s="1"/>
  <c r="KT624" i="40"/>
  <c r="KU623" i="40"/>
  <c r="KT225" i="40" l="1"/>
  <c r="KU224" i="40"/>
  <c r="Q35" i="70" s="1"/>
  <c r="KT324" i="40"/>
  <c r="KU323" i="40"/>
  <c r="Y34" i="70" s="1"/>
  <c r="KT525" i="40"/>
  <c r="KU524" i="40"/>
  <c r="AO35" i="70" s="1"/>
  <c r="KT625" i="40"/>
  <c r="KU624" i="40"/>
  <c r="KT425" i="40"/>
  <c r="KU424" i="40"/>
  <c r="AG35" i="70" s="1"/>
  <c r="KT526" i="40" l="1"/>
  <c r="KU525" i="40"/>
  <c r="AO36" i="70" s="1"/>
  <c r="KT226" i="40"/>
  <c r="KU225" i="40"/>
  <c r="Q36" i="70" s="1"/>
  <c r="KT325" i="40"/>
  <c r="KU324" i="40"/>
  <c r="Y35" i="70" s="1"/>
  <c r="KT426" i="40"/>
  <c r="KU425" i="40"/>
  <c r="AG36" i="70" s="1"/>
  <c r="KT626" i="40"/>
  <c r="KU625" i="40"/>
  <c r="KT227" i="40" l="1"/>
  <c r="KU226" i="40"/>
  <c r="Q37" i="70" s="1"/>
  <c r="KT326" i="40"/>
  <c r="KU325" i="40"/>
  <c r="Y36" i="70" s="1"/>
  <c r="KT527" i="40"/>
  <c r="KU526" i="40"/>
  <c r="AO37" i="70" s="1"/>
  <c r="KT627" i="40"/>
  <c r="KU626" i="40"/>
  <c r="KT427" i="40"/>
  <c r="KU426" i="40"/>
  <c r="AG37" i="70" s="1"/>
  <c r="KT228" i="40" l="1"/>
  <c r="KU227" i="40"/>
  <c r="Q38" i="70" s="1"/>
  <c r="KT528" i="40"/>
  <c r="KU527" i="40"/>
  <c r="AO38" i="70" s="1"/>
  <c r="KU326" i="40"/>
  <c r="Y37" i="70" s="1"/>
  <c r="KT327" i="40"/>
  <c r="KT428" i="40"/>
  <c r="KU427" i="40"/>
  <c r="AG38" i="70" s="1"/>
  <c r="KT628" i="40"/>
  <c r="KU627" i="40"/>
  <c r="KT328" i="40" l="1"/>
  <c r="KU327" i="40"/>
  <c r="Y38" i="70" s="1"/>
  <c r="KT529" i="40"/>
  <c r="KU528" i="40"/>
  <c r="KT229" i="40"/>
  <c r="KU228" i="40"/>
  <c r="KT429" i="40"/>
  <c r="KU428" i="40"/>
  <c r="KT629" i="40"/>
  <c r="KU628" i="40"/>
  <c r="AO14" i="70" l="1"/>
  <c r="AO39" i="70"/>
  <c r="KT329" i="40"/>
  <c r="KU328" i="40"/>
  <c r="Q39" i="70"/>
  <c r="Q14" i="70"/>
  <c r="KT230" i="40"/>
  <c r="KU229" i="40"/>
  <c r="Q40" i="70" s="1"/>
  <c r="KT530" i="40"/>
  <c r="KU529" i="40"/>
  <c r="AO40" i="70" s="1"/>
  <c r="KT430" i="40"/>
  <c r="KU429" i="40"/>
  <c r="AG40" i="70" s="1"/>
  <c r="AG39" i="70"/>
  <c r="AG14" i="70"/>
  <c r="KT630" i="40"/>
  <c r="KU629" i="40"/>
  <c r="Y39" i="70" l="1"/>
  <c r="Y14" i="70"/>
  <c r="KT231" i="40"/>
  <c r="KU230" i="40"/>
  <c r="Q41" i="70" s="1"/>
  <c r="KT330" i="40"/>
  <c r="KU329" i="40"/>
  <c r="Y40" i="70" s="1"/>
  <c r="KT531" i="40"/>
  <c r="KU530" i="40"/>
  <c r="AO41" i="70" s="1"/>
  <c r="KT631" i="40"/>
  <c r="KU630" i="40"/>
  <c r="KT431" i="40"/>
  <c r="KU430" i="40"/>
  <c r="AG41" i="70" s="1"/>
  <c r="KT331" i="40" l="1"/>
  <c r="KU330" i="40"/>
  <c r="Y41" i="70" s="1"/>
  <c r="KT232" i="40"/>
  <c r="KU231" i="40"/>
  <c r="Q42" i="70" s="1"/>
  <c r="KT532" i="40"/>
  <c r="KU531" i="40"/>
  <c r="AO42" i="70" s="1"/>
  <c r="KT632" i="40"/>
  <c r="KU631" i="40"/>
  <c r="KT432" i="40"/>
  <c r="KU431" i="40"/>
  <c r="AG42" i="70" s="1"/>
  <c r="KT233" i="40" l="1"/>
  <c r="KU232" i="40"/>
  <c r="KT533" i="40"/>
  <c r="KU532" i="40"/>
  <c r="KU331" i="40"/>
  <c r="Y42" i="70" s="1"/>
  <c r="KT332" i="40"/>
  <c r="KT433" i="40"/>
  <c r="KU432" i="40"/>
  <c r="KT633" i="40"/>
  <c r="KU632" i="40"/>
  <c r="AO43" i="70" l="1"/>
  <c r="AO9" i="70"/>
  <c r="KT234" i="40"/>
  <c r="KU233" i="40"/>
  <c r="Q44" i="70" s="1"/>
  <c r="KT333" i="40"/>
  <c r="KU332" i="40"/>
  <c r="KT534" i="40"/>
  <c r="KU533" i="40"/>
  <c r="AO44" i="70" s="1"/>
  <c r="Q43" i="70"/>
  <c r="Q9" i="70"/>
  <c r="KT434" i="40"/>
  <c r="KU433" i="40"/>
  <c r="AG44" i="70" s="1"/>
  <c r="KT634" i="40"/>
  <c r="KU633" i="40"/>
  <c r="AG43" i="70"/>
  <c r="AG9" i="70"/>
  <c r="KT535" i="40" l="1"/>
  <c r="KU534" i="40"/>
  <c r="KT235" i="40"/>
  <c r="KU234" i="40"/>
  <c r="Y43" i="70"/>
  <c r="Y9" i="70"/>
  <c r="KT334" i="40"/>
  <c r="KU333" i="40"/>
  <c r="Y44" i="70" s="1"/>
  <c r="KT635" i="40"/>
  <c r="KU634" i="40"/>
  <c r="KT435" i="40"/>
  <c r="KU434" i="40"/>
  <c r="Q45" i="70" l="1"/>
  <c r="Q10" i="70"/>
  <c r="KT236" i="40"/>
  <c r="KU235" i="40"/>
  <c r="Q46" i="70" s="1"/>
  <c r="KT335" i="40"/>
  <c r="KU334" i="40"/>
  <c r="AO45" i="70"/>
  <c r="AO10" i="70"/>
  <c r="KT536" i="40"/>
  <c r="KU535" i="40"/>
  <c r="AO46" i="70" s="1"/>
  <c r="AG45" i="70"/>
  <c r="AG10" i="70"/>
  <c r="KT636" i="40"/>
  <c r="KU635" i="40"/>
  <c r="KT436" i="40"/>
  <c r="KU435" i="40"/>
  <c r="AG46" i="70" s="1"/>
  <c r="KT237" i="40" l="1"/>
  <c r="KU236" i="40"/>
  <c r="Q47" i="70" s="1"/>
  <c r="Y45" i="70"/>
  <c r="Y10" i="70"/>
  <c r="KT336" i="40"/>
  <c r="KU335" i="40"/>
  <c r="Y46" i="70" s="1"/>
  <c r="KT537" i="40"/>
  <c r="KU536" i="40"/>
  <c r="AO47" i="70" s="1"/>
  <c r="KT437" i="40"/>
  <c r="KU436" i="40"/>
  <c r="AG47" i="70" s="1"/>
  <c r="KT637" i="40"/>
  <c r="KU636" i="40"/>
  <c r="KT337" i="40" l="1"/>
  <c r="KU336" i="40"/>
  <c r="Y47" i="70" s="1"/>
  <c r="KT238" i="40"/>
  <c r="KU237" i="40"/>
  <c r="Q48" i="70" s="1"/>
  <c r="KT538" i="40"/>
  <c r="KU537" i="40"/>
  <c r="AO48" i="70" s="1"/>
  <c r="KT638" i="40"/>
  <c r="KU637" i="40"/>
  <c r="KT438" i="40"/>
  <c r="KU437" i="40"/>
  <c r="AG48" i="70" s="1"/>
  <c r="KT539" i="40" l="1"/>
  <c r="KU538" i="40"/>
  <c r="AO49" i="70" s="1"/>
  <c r="KT239" i="40"/>
  <c r="KU238" i="40"/>
  <c r="Q49" i="70" s="1"/>
  <c r="KU337" i="40"/>
  <c r="Y48" i="70" s="1"/>
  <c r="KT338" i="40"/>
  <c r="KT639" i="40"/>
  <c r="KU638" i="40"/>
  <c r="KT439" i="40"/>
  <c r="KU438" i="40"/>
  <c r="AG49" i="70" s="1"/>
  <c r="KT540" i="40" l="1"/>
  <c r="KU539" i="40"/>
  <c r="AO50" i="70" s="1"/>
  <c r="KT240" i="40"/>
  <c r="KU239" i="40"/>
  <c r="Q50" i="70" s="1"/>
  <c r="KT339" i="40"/>
  <c r="KU338" i="40"/>
  <c r="Y49" i="70" s="1"/>
  <c r="KT440" i="40"/>
  <c r="KU439" i="40"/>
  <c r="AG50" i="70" s="1"/>
  <c r="KT640" i="40"/>
  <c r="KU639" i="40"/>
  <c r="KU339" i="40" l="1"/>
  <c r="Y50" i="70" s="1"/>
  <c r="KT340" i="40"/>
  <c r="KT241" i="40"/>
  <c r="KU240" i="40"/>
  <c r="Q51" i="70" s="1"/>
  <c r="KT541" i="40"/>
  <c r="KU540" i="40"/>
  <c r="AO51" i="70" s="1"/>
  <c r="KT641" i="40"/>
  <c r="KU640" i="40"/>
  <c r="KT441" i="40"/>
  <c r="KU440" i="40"/>
  <c r="AG51" i="70" s="1"/>
  <c r="KT242" i="40" l="1"/>
  <c r="KU241" i="40"/>
  <c r="Q52" i="70" s="1"/>
  <c r="KT341" i="40"/>
  <c r="KU340" i="40"/>
  <c r="Y51" i="70" s="1"/>
  <c r="KT542" i="40"/>
  <c r="KU541" i="40"/>
  <c r="AO52" i="70" s="1"/>
  <c r="KT642" i="40"/>
  <c r="KU641" i="40"/>
  <c r="KT442" i="40"/>
  <c r="KU441" i="40"/>
  <c r="AG52" i="70" s="1"/>
  <c r="KT543" i="40" l="1"/>
  <c r="KU542" i="40"/>
  <c r="AO53" i="70" s="1"/>
  <c r="KT243" i="40"/>
  <c r="KU242" i="40"/>
  <c r="Q53" i="70" s="1"/>
  <c r="KT342" i="40"/>
  <c r="KU341" i="40"/>
  <c r="Y52" i="70" s="1"/>
  <c r="KT643" i="40"/>
  <c r="KU642" i="40"/>
  <c r="KT443" i="40"/>
  <c r="KU442" i="40"/>
  <c r="AG53" i="70" s="1"/>
  <c r="KT544" i="40" l="1"/>
  <c r="KU543" i="40"/>
  <c r="AO54" i="70" s="1"/>
  <c r="KU342" i="40"/>
  <c r="Y53" i="70" s="1"/>
  <c r="KT343" i="40"/>
  <c r="KT244" i="40"/>
  <c r="KU243" i="40"/>
  <c r="Q54" i="70" s="1"/>
  <c r="KT444" i="40"/>
  <c r="KU443" i="40"/>
  <c r="AG54" i="70" s="1"/>
  <c r="KT644" i="40"/>
  <c r="KU643" i="40"/>
  <c r="KT545" i="40" l="1"/>
  <c r="KU544" i="40"/>
  <c r="AO55" i="70" s="1"/>
  <c r="KU343" i="40"/>
  <c r="Y54" i="70" s="1"/>
  <c r="KT344" i="40"/>
  <c r="KT245" i="40"/>
  <c r="KU244" i="40"/>
  <c r="Q55" i="70" s="1"/>
  <c r="KT445" i="40"/>
  <c r="KU444" i="40"/>
  <c r="AG55" i="70" s="1"/>
  <c r="KT645" i="40"/>
  <c r="KU644" i="40"/>
  <c r="KT246" i="40" l="1"/>
  <c r="KU245" i="40"/>
  <c r="Q56" i="70" s="1"/>
  <c r="KT345" i="40"/>
  <c r="KU344" i="40"/>
  <c r="Y55" i="70" s="1"/>
  <c r="KT546" i="40"/>
  <c r="KU545" i="40"/>
  <c r="AO56" i="70" s="1"/>
  <c r="KT446" i="40"/>
  <c r="KU445" i="40"/>
  <c r="AG56" i="70" s="1"/>
  <c r="KT646" i="40"/>
  <c r="KU645" i="40"/>
  <c r="KT346" i="40" l="1"/>
  <c r="KU345" i="40"/>
  <c r="Y56" i="70" s="1"/>
  <c r="KT547" i="40"/>
  <c r="KU546" i="40"/>
  <c r="AO57" i="70" s="1"/>
  <c r="KT247" i="40"/>
  <c r="KU246" i="40"/>
  <c r="Q57" i="70" s="1"/>
  <c r="KT447" i="40"/>
  <c r="KU446" i="40"/>
  <c r="AG57" i="70" s="1"/>
  <c r="KT647" i="40"/>
  <c r="KU646" i="40"/>
  <c r="KT347" i="40" l="1"/>
  <c r="KU346" i="40"/>
  <c r="Y57" i="70" s="1"/>
  <c r="KT548" i="40"/>
  <c r="KU547" i="40"/>
  <c r="AO58" i="70" s="1"/>
  <c r="KT248" i="40"/>
  <c r="KU247" i="40"/>
  <c r="Q58" i="70" s="1"/>
  <c r="KT448" i="40"/>
  <c r="KU447" i="40"/>
  <c r="AG58" i="70" s="1"/>
  <c r="KT648" i="40"/>
  <c r="KU647" i="40"/>
  <c r="KT549" i="40" l="1"/>
  <c r="KU548" i="40"/>
  <c r="AO59" i="70" s="1"/>
  <c r="KT348" i="40"/>
  <c r="KU347" i="40"/>
  <c r="Y58" i="70" s="1"/>
  <c r="KT249" i="40"/>
  <c r="KU248" i="40"/>
  <c r="Q59" i="70" s="1"/>
  <c r="KT649" i="40"/>
  <c r="KU648" i="40"/>
  <c r="KT449" i="40"/>
  <c r="KU448" i="40"/>
  <c r="AG59" i="70" s="1"/>
  <c r="KT250" i="40" l="1"/>
  <c r="KU249" i="40"/>
  <c r="Q60" i="70" s="1"/>
  <c r="KT550" i="40"/>
  <c r="KU549" i="40"/>
  <c r="AO60" i="70" s="1"/>
  <c r="KU348" i="40"/>
  <c r="Y59" i="70" s="1"/>
  <c r="KT349" i="40"/>
  <c r="KT650" i="40"/>
  <c r="KU649" i="40"/>
  <c r="KT450" i="40"/>
  <c r="KU449" i="40"/>
  <c r="AG60" i="70" s="1"/>
  <c r="KT251" i="40" l="1"/>
  <c r="KU250" i="40"/>
  <c r="Q61" i="70" s="1"/>
  <c r="KT350" i="40"/>
  <c r="KU349" i="40"/>
  <c r="Y60" i="70" s="1"/>
  <c r="KT551" i="40"/>
  <c r="KU550" i="40"/>
  <c r="AO61" i="70" s="1"/>
  <c r="KT651" i="40"/>
  <c r="KU650" i="40"/>
  <c r="KT451" i="40"/>
  <c r="KU450" i="40"/>
  <c r="AG61" i="70" s="1"/>
  <c r="KU350" i="40" l="1"/>
  <c r="Y61" i="70" s="1"/>
  <c r="KT351" i="40"/>
  <c r="KT552" i="40"/>
  <c r="KU551" i="40"/>
  <c r="AO62" i="70" s="1"/>
  <c r="KT252" i="40"/>
  <c r="KU251" i="40"/>
  <c r="Q62" i="70" s="1"/>
  <c r="KT452" i="40"/>
  <c r="KU451" i="40"/>
  <c r="AG62" i="70" s="1"/>
  <c r="KT652" i="40"/>
  <c r="KU651" i="40"/>
  <c r="KT253" i="40" l="1"/>
  <c r="KU252" i="40"/>
  <c r="Q63" i="70" s="1"/>
  <c r="KT352" i="40"/>
  <c r="KU351" i="40"/>
  <c r="Y62" i="70" s="1"/>
  <c r="AB52" i="70" s="1"/>
  <c r="AR51" i="70"/>
  <c r="AR60" i="70"/>
  <c r="AR58" i="70"/>
  <c r="AR59" i="70"/>
  <c r="KT553" i="40"/>
  <c r="KU552" i="40"/>
  <c r="AO63" i="70" s="1"/>
  <c r="AJ58" i="70"/>
  <c r="AJ59" i="70"/>
  <c r="AJ60" i="70"/>
  <c r="AJ51" i="70"/>
  <c r="KT653" i="40"/>
  <c r="KU652" i="40"/>
  <c r="KT453" i="40"/>
  <c r="KU452" i="40"/>
  <c r="AG63" i="70" s="1"/>
  <c r="AB59" i="70" l="1"/>
  <c r="AB58" i="70"/>
  <c r="AB60" i="70"/>
  <c r="AB51" i="70"/>
  <c r="KT353" i="40"/>
  <c r="KU352" i="40"/>
  <c r="Y63" i="70" s="1"/>
  <c r="KT554" i="40"/>
  <c r="KU553" i="40"/>
  <c r="AO64" i="70" s="1"/>
  <c r="KT254" i="40"/>
  <c r="KU253" i="40"/>
  <c r="Q64" i="70" s="1"/>
  <c r="KT454" i="40"/>
  <c r="KU453" i="40"/>
  <c r="AG64" i="70" s="1"/>
  <c r="KT654" i="40"/>
  <c r="KU653" i="40"/>
  <c r="T51" i="70" l="1"/>
  <c r="KT555" i="40"/>
  <c r="KU554" i="40"/>
  <c r="AO65" i="70" s="1"/>
  <c r="KT354" i="40"/>
  <c r="KU353" i="40"/>
  <c r="Y64" i="70" s="1"/>
  <c r="KT255" i="40"/>
  <c r="KU254" i="40"/>
  <c r="Q65" i="70" s="1"/>
  <c r="T65" i="70" s="1"/>
  <c r="KT455" i="40"/>
  <c r="KU454" i="40"/>
  <c r="AG65" i="70" s="1"/>
  <c r="KT655" i="40"/>
  <c r="KU654" i="40"/>
  <c r="T61" i="70" l="1"/>
  <c r="AJ65" i="70"/>
  <c r="AJ57" i="70"/>
  <c r="AJ54" i="70"/>
  <c r="AJ61" i="70"/>
  <c r="AJ62" i="70"/>
  <c r="AB64" i="70"/>
  <c r="AR65" i="70"/>
  <c r="AR54" i="70"/>
  <c r="AR62" i="70"/>
  <c r="AR61" i="70"/>
  <c r="AR53" i="70"/>
  <c r="AR63" i="70"/>
  <c r="T60" i="70"/>
  <c r="T50" i="70"/>
  <c r="T46" i="70"/>
  <c r="T63" i="70"/>
  <c r="T62" i="70"/>
  <c r="T58" i="70"/>
  <c r="T59" i="70"/>
  <c r="T64" i="70"/>
  <c r="KT355" i="40"/>
  <c r="KU354" i="40"/>
  <c r="Y65" i="70" s="1"/>
  <c r="KT256" i="40"/>
  <c r="KU255" i="40"/>
  <c r="KT556" i="40"/>
  <c r="KU555" i="40"/>
  <c r="KT656" i="40"/>
  <c r="KU655" i="40"/>
  <c r="KT456" i="40"/>
  <c r="KU455" i="40"/>
  <c r="AB65" i="70" l="1"/>
  <c r="AB61" i="70"/>
  <c r="AB62" i="70"/>
  <c r="AB63" i="70"/>
  <c r="Q66" i="70"/>
  <c r="Q7" i="70"/>
  <c r="KT257" i="40"/>
  <c r="KU256" i="40"/>
  <c r="KU355" i="40"/>
  <c r="KT356" i="40"/>
  <c r="AO66" i="70"/>
  <c r="AO7" i="70"/>
  <c r="KT557" i="40"/>
  <c r="KU556" i="40"/>
  <c r="AG66" i="70"/>
  <c r="AG7" i="70"/>
  <c r="KT457" i="40"/>
  <c r="KU456" i="40"/>
  <c r="KT657" i="40"/>
  <c r="KU656" i="40"/>
  <c r="AO67" i="70" l="1"/>
  <c r="AO8" i="70"/>
  <c r="AP7" i="70" s="1"/>
  <c r="KT357" i="40"/>
  <c r="KU356" i="40"/>
  <c r="KT558" i="40"/>
  <c r="KU557" i="40"/>
  <c r="AO68" i="70" s="1"/>
  <c r="Y66" i="70"/>
  <c r="Y7" i="70"/>
  <c r="Q67" i="70"/>
  <c r="Q8" i="70"/>
  <c r="R11" i="70" s="1"/>
  <c r="KT258" i="40"/>
  <c r="KU257" i="40"/>
  <c r="Q68" i="70" s="1"/>
  <c r="AG67" i="70"/>
  <c r="AG8" i="70"/>
  <c r="AH7" i="70" s="1"/>
  <c r="KT658" i="40"/>
  <c r="KU657" i="40"/>
  <c r="KT458" i="40"/>
  <c r="KU457" i="40"/>
  <c r="AG68" i="70" s="1"/>
  <c r="AQ60" i="70" l="1"/>
  <c r="AP17" i="70"/>
  <c r="AP15" i="70"/>
  <c r="AP9" i="70"/>
  <c r="AP12" i="70"/>
  <c r="AP13" i="70"/>
  <c r="AP14" i="70"/>
  <c r="AP11" i="70"/>
  <c r="AP10" i="70"/>
  <c r="AP16" i="70"/>
  <c r="AH10" i="70"/>
  <c r="AH15" i="70"/>
  <c r="AH9" i="70"/>
  <c r="AH12" i="70"/>
  <c r="AH16" i="70"/>
  <c r="AH17" i="70"/>
  <c r="AH11" i="70"/>
  <c r="AH14" i="70"/>
  <c r="AH13" i="70"/>
  <c r="R9" i="70"/>
  <c r="R15" i="70"/>
  <c r="Y8" i="70"/>
  <c r="Z14" i="70" s="1"/>
  <c r="Y67" i="70"/>
  <c r="R14" i="70"/>
  <c r="R12" i="70"/>
  <c r="KU357" i="40"/>
  <c r="Y68" i="70" s="1"/>
  <c r="KT358" i="40"/>
  <c r="KT259" i="40"/>
  <c r="KU258" i="40"/>
  <c r="Q69" i="70" s="1"/>
  <c r="KT559" i="40"/>
  <c r="KU558" i="40"/>
  <c r="AO69" i="70" s="1"/>
  <c r="R17" i="70"/>
  <c r="AQ8" i="70"/>
  <c r="AP8" i="70"/>
  <c r="AQ14" i="70"/>
  <c r="AQ10" i="70"/>
  <c r="R13" i="70"/>
  <c r="S8" i="70"/>
  <c r="R8" i="70"/>
  <c r="S14" i="70"/>
  <c r="S10" i="70"/>
  <c r="Z16" i="70"/>
  <c r="Z15" i="70"/>
  <c r="R10" i="70"/>
  <c r="R16" i="70"/>
  <c r="R7" i="70"/>
  <c r="KT659" i="40"/>
  <c r="KU658" i="40"/>
  <c r="AI8" i="70"/>
  <c r="AH8" i="70"/>
  <c r="AI14" i="70"/>
  <c r="AI10" i="70"/>
  <c r="KT459" i="40"/>
  <c r="KU458" i="40"/>
  <c r="AG69" i="70" s="1"/>
  <c r="AJ23" i="70" l="1"/>
  <c r="AJ35" i="70"/>
  <c r="AI28" i="70"/>
  <c r="AI29" i="70"/>
  <c r="AI41" i="70"/>
  <c r="AI42" i="70"/>
  <c r="AI46" i="70"/>
  <c r="AJ39" i="70"/>
  <c r="AJ44" i="70"/>
  <c r="AI50" i="70"/>
  <c r="AI51" i="70"/>
  <c r="AJ43" i="70"/>
  <c r="AJ45" i="70"/>
  <c r="AJ53" i="70"/>
  <c r="AI59" i="70"/>
  <c r="AI58" i="70"/>
  <c r="AI60" i="70"/>
  <c r="S26" i="70"/>
  <c r="T23" i="70"/>
  <c r="S20" i="70"/>
  <c r="T25" i="70"/>
  <c r="S28" i="70"/>
  <c r="T35" i="70"/>
  <c r="S32" i="70"/>
  <c r="S42" i="70"/>
  <c r="S46" i="70"/>
  <c r="S50" i="70"/>
  <c r="T39" i="70"/>
  <c r="S59" i="70"/>
  <c r="S58" i="70"/>
  <c r="S60" i="70"/>
  <c r="T43" i="70"/>
  <c r="T53" i="70"/>
  <c r="T45" i="70"/>
  <c r="T49" i="70"/>
  <c r="AQ68" i="70"/>
  <c r="AQ20" i="70"/>
  <c r="AR23" i="70"/>
  <c r="AR35" i="70"/>
  <c r="AQ28" i="70"/>
  <c r="AQ29" i="70"/>
  <c r="AQ41" i="70"/>
  <c r="AQ42" i="70"/>
  <c r="AQ46" i="70"/>
  <c r="AQ50" i="70"/>
  <c r="AQ51" i="70"/>
  <c r="AR44" i="70"/>
  <c r="AR39" i="70"/>
  <c r="AR45" i="70"/>
  <c r="AR43" i="70"/>
  <c r="AR57" i="70"/>
  <c r="AQ59" i="70"/>
  <c r="AQ58" i="70"/>
  <c r="AH68" i="70"/>
  <c r="AJ26" i="70"/>
  <c r="AI22" i="70"/>
  <c r="AQ67" i="70"/>
  <c r="Z10" i="70"/>
  <c r="Z9" i="70"/>
  <c r="Z7" i="70"/>
  <c r="T29" i="70"/>
  <c r="S51" i="70"/>
  <c r="Z13" i="70"/>
  <c r="AP67" i="70"/>
  <c r="AI68" i="70"/>
  <c r="AI67" i="70"/>
  <c r="S63" i="70"/>
  <c r="S65" i="70"/>
  <c r="Z17" i="70"/>
  <c r="Z12" i="70"/>
  <c r="Z11" i="70"/>
  <c r="S64" i="70"/>
  <c r="S67" i="70"/>
  <c r="T54" i="70"/>
  <c r="AH67" i="70"/>
  <c r="AP66" i="70"/>
  <c r="AP68" i="70"/>
  <c r="S68" i="70"/>
  <c r="S61" i="70"/>
  <c r="AP69" i="70"/>
  <c r="AQ69" i="70"/>
  <c r="AP21" i="70"/>
  <c r="AP23" i="70"/>
  <c r="AP20" i="70"/>
  <c r="AR20" i="70"/>
  <c r="AP22" i="70"/>
  <c r="AP25" i="70"/>
  <c r="AP27" i="70"/>
  <c r="AP24" i="70"/>
  <c r="AR22" i="70"/>
  <c r="AR21" i="70"/>
  <c r="AP28" i="70"/>
  <c r="AR24" i="70"/>
  <c r="AP26" i="70"/>
  <c r="AR27" i="70"/>
  <c r="AP29" i="70"/>
  <c r="AP31" i="70"/>
  <c r="AP30" i="70"/>
  <c r="AR29" i="70"/>
  <c r="AR28" i="70"/>
  <c r="AP33" i="70"/>
  <c r="AR30" i="70"/>
  <c r="AP32" i="70"/>
  <c r="AP34" i="70"/>
  <c r="AR32" i="70"/>
  <c r="AR31" i="70"/>
  <c r="AP35" i="70"/>
  <c r="AR33" i="70"/>
  <c r="AQ23" i="70"/>
  <c r="AP36" i="70"/>
  <c r="AR34" i="70"/>
  <c r="AP37" i="70"/>
  <c r="AR36" i="70"/>
  <c r="AQ25" i="70"/>
  <c r="AP38" i="70"/>
  <c r="AQ26" i="70"/>
  <c r="AP39" i="70"/>
  <c r="AP40" i="70"/>
  <c r="AR40" i="70"/>
  <c r="AQ35" i="70"/>
  <c r="AR37" i="70"/>
  <c r="AP41" i="70"/>
  <c r="AQ38" i="70"/>
  <c r="AQ43" i="70"/>
  <c r="AP42" i="70"/>
  <c r="AQ39" i="70"/>
  <c r="AQ44" i="70"/>
  <c r="AP43" i="70"/>
  <c r="AP44" i="70"/>
  <c r="AR41" i="70"/>
  <c r="AP45" i="70"/>
  <c r="AQ47" i="70"/>
  <c r="AP47" i="70"/>
  <c r="AP46" i="70"/>
  <c r="AQ45" i="70"/>
  <c r="AR42" i="70"/>
  <c r="AP48" i="70"/>
  <c r="AP49" i="70"/>
  <c r="AP50" i="70"/>
  <c r="AQ48" i="70"/>
  <c r="AP52" i="70"/>
  <c r="AP51" i="70"/>
  <c r="AR50" i="70"/>
  <c r="AP53" i="70"/>
  <c r="AP55" i="70"/>
  <c r="AP54" i="70"/>
  <c r="AR46" i="70"/>
  <c r="AP56" i="70"/>
  <c r="AQ49" i="70"/>
  <c r="AQ52" i="70"/>
  <c r="AQ53" i="70"/>
  <c r="AP57" i="70"/>
  <c r="AP59" i="70"/>
  <c r="AP58" i="70"/>
  <c r="AP61" i="70"/>
  <c r="AQ56" i="70"/>
  <c r="AQ55" i="70"/>
  <c r="AQ57" i="70"/>
  <c r="AQ63" i="70"/>
  <c r="AP65" i="70"/>
  <c r="AP63" i="70"/>
  <c r="AQ65" i="70"/>
  <c r="AQ66" i="70"/>
  <c r="AQ61" i="70"/>
  <c r="AP64" i="70"/>
  <c r="AP60" i="70"/>
  <c r="AP62" i="70"/>
  <c r="AQ64" i="70"/>
  <c r="KT260" i="40"/>
  <c r="KU259" i="40"/>
  <c r="R68" i="70"/>
  <c r="S57" i="70"/>
  <c r="KT560" i="40"/>
  <c r="KU559" i="40"/>
  <c r="KT359" i="40"/>
  <c r="KU358" i="40"/>
  <c r="Y69" i="70" s="1"/>
  <c r="S69" i="70"/>
  <c r="R69" i="70"/>
  <c r="R20" i="70"/>
  <c r="R23" i="70"/>
  <c r="T20" i="70"/>
  <c r="R21" i="70"/>
  <c r="T22" i="70"/>
  <c r="R27" i="70"/>
  <c r="R24" i="70"/>
  <c r="T21" i="70"/>
  <c r="R25" i="70"/>
  <c r="T24" i="70"/>
  <c r="R26" i="70"/>
  <c r="R28" i="70"/>
  <c r="T26" i="70"/>
  <c r="T27" i="70"/>
  <c r="T28" i="70"/>
  <c r="R29" i="70"/>
  <c r="T31" i="70"/>
  <c r="R30" i="70"/>
  <c r="T30" i="70"/>
  <c r="R31" i="70"/>
  <c r="R32" i="70"/>
  <c r="R33" i="70"/>
  <c r="S23" i="70"/>
  <c r="T33" i="70"/>
  <c r="S25" i="70"/>
  <c r="T32" i="70"/>
  <c r="R34" i="70"/>
  <c r="T34" i="70"/>
  <c r="R35" i="70"/>
  <c r="R36" i="70"/>
  <c r="R37" i="70"/>
  <c r="S29" i="70"/>
  <c r="R41" i="70"/>
  <c r="T36" i="70"/>
  <c r="S35" i="70"/>
  <c r="R38" i="70"/>
  <c r="S38" i="70"/>
  <c r="R39" i="70"/>
  <c r="R40" i="70"/>
  <c r="S44" i="70"/>
  <c r="R42" i="70"/>
  <c r="S39" i="70"/>
  <c r="S41" i="70"/>
  <c r="T37" i="70"/>
  <c r="R43" i="70"/>
  <c r="R46" i="70"/>
  <c r="R44" i="70"/>
  <c r="R45" i="70"/>
  <c r="R47" i="70"/>
  <c r="S43" i="70"/>
  <c r="R48" i="70"/>
  <c r="S45" i="70"/>
  <c r="S47" i="70"/>
  <c r="S48" i="70"/>
  <c r="R22" i="70"/>
  <c r="R49" i="70"/>
  <c r="R50" i="70"/>
  <c r="R53" i="70"/>
  <c r="S49" i="70"/>
  <c r="T40" i="70"/>
  <c r="R54" i="70"/>
  <c r="R51" i="70"/>
  <c r="R52" i="70"/>
  <c r="T42" i="70"/>
  <c r="S53" i="70"/>
  <c r="R57" i="70"/>
  <c r="S52" i="70"/>
  <c r="R55" i="70"/>
  <c r="R56" i="70"/>
  <c r="R58" i="70"/>
  <c r="R59" i="70"/>
  <c r="R61" i="70"/>
  <c r="S66" i="70"/>
  <c r="R65" i="70"/>
  <c r="R63" i="70"/>
  <c r="S55" i="70"/>
  <c r="R60" i="70"/>
  <c r="R64" i="70"/>
  <c r="S54" i="70"/>
  <c r="R62" i="70"/>
  <c r="S56" i="70"/>
  <c r="AA68" i="70"/>
  <c r="AA8" i="70"/>
  <c r="AA14" i="70"/>
  <c r="Z8" i="70"/>
  <c r="AA10" i="70"/>
  <c r="R67" i="70"/>
  <c r="R66" i="70"/>
  <c r="AI69" i="70"/>
  <c r="AH69" i="70"/>
  <c r="AH20" i="70"/>
  <c r="AH21" i="70"/>
  <c r="AH22" i="70"/>
  <c r="AJ20" i="70"/>
  <c r="AJ22" i="70"/>
  <c r="AJ21" i="70"/>
  <c r="AH25" i="70"/>
  <c r="AH23" i="70"/>
  <c r="AH24" i="70"/>
  <c r="AH27" i="70"/>
  <c r="AH26" i="70"/>
  <c r="AJ24" i="70"/>
  <c r="AJ27" i="70"/>
  <c r="AH29" i="70"/>
  <c r="AH28" i="70"/>
  <c r="AH30" i="70"/>
  <c r="AJ30" i="70"/>
  <c r="AJ28" i="70"/>
  <c r="AH31" i="70"/>
  <c r="AJ31" i="70"/>
  <c r="AH32" i="70"/>
  <c r="AI23" i="70"/>
  <c r="AH36" i="70"/>
  <c r="AJ32" i="70"/>
  <c r="AI25" i="70"/>
  <c r="AJ29" i="70"/>
  <c r="AH34" i="70"/>
  <c r="AH33" i="70"/>
  <c r="AJ33" i="70"/>
  <c r="AH35" i="70"/>
  <c r="AJ36" i="70"/>
  <c r="AH37" i="70"/>
  <c r="AI26" i="70"/>
  <c r="AH39" i="70"/>
  <c r="AJ34" i="70"/>
  <c r="AI35" i="70"/>
  <c r="AJ37" i="70"/>
  <c r="AH38" i="70"/>
  <c r="AH40" i="70"/>
  <c r="AH43" i="70"/>
  <c r="AI38" i="70"/>
  <c r="AH41" i="70"/>
  <c r="AH42" i="70"/>
  <c r="AI39" i="70"/>
  <c r="AH44" i="70"/>
  <c r="AJ40" i="70"/>
  <c r="AH46" i="70"/>
  <c r="AH45" i="70"/>
  <c r="AH47" i="70"/>
  <c r="AI44" i="70"/>
  <c r="AI43" i="70"/>
  <c r="AH48" i="70"/>
  <c r="AJ41" i="70"/>
  <c r="AH49" i="70"/>
  <c r="AI47" i="70"/>
  <c r="AH51" i="70"/>
  <c r="AH50" i="70"/>
  <c r="AI45" i="70"/>
  <c r="AH52" i="70"/>
  <c r="AI49" i="70"/>
  <c r="AI48" i="70"/>
  <c r="AH53" i="70"/>
  <c r="AJ42" i="70"/>
  <c r="AJ46" i="70"/>
  <c r="AH54" i="70"/>
  <c r="AJ50" i="70"/>
  <c r="AI52" i="70"/>
  <c r="AH55" i="70"/>
  <c r="AH58" i="70"/>
  <c r="AH56" i="70"/>
  <c r="AH57" i="70"/>
  <c r="AH59" i="70"/>
  <c r="AI53" i="70"/>
  <c r="AI55" i="70"/>
  <c r="AH60" i="70"/>
  <c r="AI66" i="70"/>
  <c r="AI61" i="70"/>
  <c r="AH66" i="70"/>
  <c r="AH62" i="70"/>
  <c r="AI56" i="70"/>
  <c r="AH65" i="70"/>
  <c r="AH61" i="70"/>
  <c r="AH64" i="70"/>
  <c r="AI63" i="70"/>
  <c r="AH63" i="70"/>
  <c r="AI65" i="70"/>
  <c r="AI64" i="70"/>
  <c r="AI57" i="70"/>
  <c r="KT460" i="40"/>
  <c r="KU459" i="40"/>
  <c r="KT660" i="40"/>
  <c r="KU659" i="40"/>
  <c r="AA20" i="70" l="1"/>
  <c r="AB25" i="70"/>
  <c r="AB35" i="70"/>
  <c r="AA28" i="70"/>
  <c r="AA32" i="70"/>
  <c r="AA42" i="70"/>
  <c r="AA46" i="70"/>
  <c r="AB39" i="70"/>
  <c r="AA50" i="70"/>
  <c r="AA51" i="70"/>
  <c r="AB49" i="70"/>
  <c r="AB45" i="70"/>
  <c r="AB43" i="70"/>
  <c r="AB53" i="70"/>
  <c r="AB54" i="70"/>
  <c r="AA59" i="70"/>
  <c r="AA58" i="70"/>
  <c r="AA60" i="70"/>
  <c r="Z61" i="70"/>
  <c r="AB23" i="70"/>
  <c r="AA29" i="70"/>
  <c r="AA52" i="70"/>
  <c r="AB47" i="70"/>
  <c r="AA56" i="70"/>
  <c r="Z65" i="70"/>
  <c r="AA63" i="70"/>
  <c r="Z64" i="70"/>
  <c r="Z68" i="70"/>
  <c r="Z63" i="70"/>
  <c r="AA57" i="70"/>
  <c r="P25" i="73"/>
  <c r="R25" i="73"/>
  <c r="N25" i="73"/>
  <c r="Q25" i="73"/>
  <c r="V25" i="73"/>
  <c r="X25" i="73"/>
  <c r="W25" i="73"/>
  <c r="T25" i="73"/>
  <c r="Z67" i="70"/>
  <c r="Z66" i="70"/>
  <c r="AA64" i="70"/>
  <c r="AA67" i="70"/>
  <c r="KT561" i="40"/>
  <c r="KU560" i="40"/>
  <c r="KT261" i="40"/>
  <c r="KU260" i="40"/>
  <c r="P28" i="73"/>
  <c r="R28" i="73"/>
  <c r="Q28" i="73"/>
  <c r="T28" i="73"/>
  <c r="N28" i="73"/>
  <c r="V28" i="73"/>
  <c r="W28" i="73"/>
  <c r="X28" i="73"/>
  <c r="H25" i="73"/>
  <c r="K25" i="73"/>
  <c r="J25" i="73"/>
  <c r="L25" i="73"/>
  <c r="Z69" i="70"/>
  <c r="AA69" i="70"/>
  <c r="Z43" i="70"/>
  <c r="Z38" i="70"/>
  <c r="Z30" i="70"/>
  <c r="Z23" i="70"/>
  <c r="Z32" i="70"/>
  <c r="Z45" i="70"/>
  <c r="Z20" i="70"/>
  <c r="Z39" i="70"/>
  <c r="Z33" i="70"/>
  <c r="Z44" i="70"/>
  <c r="Z29" i="70"/>
  <c r="Z41" i="70"/>
  <c r="Z24" i="70"/>
  <c r="Z26" i="70"/>
  <c r="Z35" i="70"/>
  <c r="Z40" i="70"/>
  <c r="Z27" i="70"/>
  <c r="Z37" i="70"/>
  <c r="Z31" i="70"/>
  <c r="Z28" i="70"/>
  <c r="Z22" i="70"/>
  <c r="Z34" i="70"/>
  <c r="Z42" i="70"/>
  <c r="Z36" i="70"/>
  <c r="Z47" i="70"/>
  <c r="Z25" i="70"/>
  <c r="Z46" i="70"/>
  <c r="Z48" i="70"/>
  <c r="Z21" i="70"/>
  <c r="AA44" i="70"/>
  <c r="AA39" i="70"/>
  <c r="AA45" i="70"/>
  <c r="AA23" i="70"/>
  <c r="AA41" i="70"/>
  <c r="AA38" i="70"/>
  <c r="AA43" i="70"/>
  <c r="AA25" i="70"/>
  <c r="AA47" i="70"/>
  <c r="AA48" i="70"/>
  <c r="AA35" i="70"/>
  <c r="AA26" i="70"/>
  <c r="Z49" i="70"/>
  <c r="Z51" i="70"/>
  <c r="Z50" i="70"/>
  <c r="Z54" i="70"/>
  <c r="AB36" i="70"/>
  <c r="AB33" i="70"/>
  <c r="AB22" i="70"/>
  <c r="Z55" i="70"/>
  <c r="AB31" i="70"/>
  <c r="AB34" i="70"/>
  <c r="AB21" i="70"/>
  <c r="Z53" i="70"/>
  <c r="AB50" i="70"/>
  <c r="Z52" i="70"/>
  <c r="AB29" i="70"/>
  <c r="AB42" i="70"/>
  <c r="AB28" i="70"/>
  <c r="AB46" i="70"/>
  <c r="AB32" i="70"/>
  <c r="AB20" i="70"/>
  <c r="AB24" i="70"/>
  <c r="AB37" i="70"/>
  <c r="AB30" i="70"/>
  <c r="AB27" i="70"/>
  <c r="AB40" i="70"/>
  <c r="AA49" i="70"/>
  <c r="Z58" i="70"/>
  <c r="Z56" i="70"/>
  <c r="AA53" i="70"/>
  <c r="Z57" i="70"/>
  <c r="Z59" i="70"/>
  <c r="AA54" i="70"/>
  <c r="Z60" i="70"/>
  <c r="AA55" i="70"/>
  <c r="AA65" i="70"/>
  <c r="Z62" i="70"/>
  <c r="J28" i="73"/>
  <c r="K28" i="73"/>
  <c r="L28" i="73"/>
  <c r="H28" i="73"/>
  <c r="KU359" i="40"/>
  <c r="KT360" i="40"/>
  <c r="AA66" i="70"/>
  <c r="KT461" i="40"/>
  <c r="KU460" i="40"/>
  <c r="N27" i="73"/>
  <c r="P27" i="73"/>
  <c r="R27" i="73"/>
  <c r="T27" i="73"/>
  <c r="Q27" i="73"/>
  <c r="L27" i="73"/>
  <c r="H27" i="73"/>
  <c r="K27" i="73"/>
  <c r="J27" i="73"/>
  <c r="V27" i="73"/>
  <c r="X27" i="73"/>
  <c r="W27" i="73"/>
  <c r="KT661" i="40"/>
  <c r="KU660" i="40"/>
  <c r="V26" i="73" l="1"/>
  <c r="X26" i="73"/>
  <c r="X30" i="73" s="1"/>
  <c r="W26" i="73"/>
  <c r="N26" i="73"/>
  <c r="P26" i="73"/>
  <c r="R26" i="73"/>
  <c r="R30" i="73" s="1"/>
  <c r="Q26" i="73"/>
  <c r="T26" i="73"/>
  <c r="KT262" i="40"/>
  <c r="KU261" i="40"/>
  <c r="KT361" i="40"/>
  <c r="KU360" i="40"/>
  <c r="L26" i="73"/>
  <c r="L30" i="73" s="1"/>
  <c r="J26" i="73"/>
  <c r="H26" i="73"/>
  <c r="K26" i="73"/>
  <c r="KT562" i="40"/>
  <c r="KU561" i="40"/>
  <c r="KT662" i="40"/>
  <c r="KU661" i="40"/>
  <c r="KT462" i="40"/>
  <c r="KU461" i="40"/>
  <c r="Q30" i="73" l="1"/>
  <c r="K35" i="73" s="1"/>
  <c r="W30" i="73"/>
  <c r="K36" i="73" s="1"/>
  <c r="P30" i="73"/>
  <c r="J35" i="73" s="1"/>
  <c r="V30" i="73"/>
  <c r="J36" i="73" s="1"/>
  <c r="J30" i="73"/>
  <c r="J34" i="73" s="1"/>
  <c r="K30" i="73"/>
  <c r="K34" i="73" s="1"/>
  <c r="KT263" i="40"/>
  <c r="KU262" i="40"/>
  <c r="KT362" i="40"/>
  <c r="KU361" i="40"/>
  <c r="KT563" i="40"/>
  <c r="KU562" i="40"/>
  <c r="KT463" i="40"/>
  <c r="KU462" i="40"/>
  <c r="KT663" i="40"/>
  <c r="KU662" i="40"/>
  <c r="KT363" i="40" l="1"/>
  <c r="KU362" i="40"/>
  <c r="KT564" i="40"/>
  <c r="KU563" i="40"/>
  <c r="KT264" i="40"/>
  <c r="KU263" i="40"/>
  <c r="KT664" i="40"/>
  <c r="KU663" i="40"/>
  <c r="KT464" i="40"/>
  <c r="KU463" i="40"/>
  <c r="KT565" i="40" l="1"/>
  <c r="KU564" i="40"/>
  <c r="KT265" i="40"/>
  <c r="KU264" i="40"/>
  <c r="KT364" i="40"/>
  <c r="KU363" i="40"/>
  <c r="KT465" i="40"/>
  <c r="KU464" i="40"/>
  <c r="KT665" i="40"/>
  <c r="KU664" i="40"/>
  <c r="KT266" i="40" l="1"/>
  <c r="KU265" i="40"/>
  <c r="KT365" i="40"/>
  <c r="KU364" i="40"/>
  <c r="KT566" i="40"/>
  <c r="KU565" i="40"/>
  <c r="KT466" i="40"/>
  <c r="KU465" i="40"/>
  <c r="KT666" i="40"/>
  <c r="KU665" i="40"/>
  <c r="KU365" i="40" l="1"/>
  <c r="KT366" i="40"/>
  <c r="KT567" i="40"/>
  <c r="KU566" i="40"/>
  <c r="KT267" i="40"/>
  <c r="KU266" i="40"/>
  <c r="KT667" i="40"/>
  <c r="KU666" i="40"/>
  <c r="KT467" i="40"/>
  <c r="KU466" i="40"/>
  <c r="KT568" i="40" l="1"/>
  <c r="KU567" i="40"/>
  <c r="KT367" i="40"/>
  <c r="KU366" i="40"/>
  <c r="KT268" i="40"/>
  <c r="KU267" i="40"/>
  <c r="KT468" i="40"/>
  <c r="KU467" i="40"/>
  <c r="KT668" i="40"/>
  <c r="KU667" i="40"/>
  <c r="KU367" i="40" l="1"/>
  <c r="KT368" i="40"/>
  <c r="KT269" i="40"/>
  <c r="KU268" i="40"/>
  <c r="KT569" i="40"/>
  <c r="KU568" i="40"/>
  <c r="KT669" i="40"/>
  <c r="KU668" i="40"/>
  <c r="KT469" i="40"/>
  <c r="KU468" i="40"/>
  <c r="KT270" i="40" l="1"/>
  <c r="KU269" i="40"/>
  <c r="KT369" i="40"/>
  <c r="KU368" i="40"/>
  <c r="KT570" i="40"/>
  <c r="KU569" i="40"/>
  <c r="KT470" i="40"/>
  <c r="KU469" i="40"/>
  <c r="KT670" i="40"/>
  <c r="KU669" i="40"/>
  <c r="KT370" i="40" l="1"/>
  <c r="KU369" i="40"/>
  <c r="KT571" i="40"/>
  <c r="KU570" i="40"/>
  <c r="KT271" i="40"/>
  <c r="KU270" i="40"/>
  <c r="KT671" i="40"/>
  <c r="KU670" i="40"/>
  <c r="KT471" i="40"/>
  <c r="KU470" i="40"/>
  <c r="KT572" i="40" l="1"/>
  <c r="KU571" i="40"/>
  <c r="KT272" i="40"/>
  <c r="KU271" i="40"/>
  <c r="KT371" i="40"/>
  <c r="KU370" i="40"/>
  <c r="KT472" i="40"/>
  <c r="KU471" i="40"/>
  <c r="KT672" i="40"/>
  <c r="KU671" i="40"/>
  <c r="KT273" i="40" l="1"/>
  <c r="KU272" i="40"/>
  <c r="KT372" i="40"/>
  <c r="KU371" i="40"/>
  <c r="KT573" i="40"/>
  <c r="KU572" i="40"/>
  <c r="KT673" i="40"/>
  <c r="KU672" i="40"/>
  <c r="KT473" i="40"/>
  <c r="KU472" i="40"/>
  <c r="KT373" i="40" l="1"/>
  <c r="KU372" i="40"/>
  <c r="KT574" i="40"/>
  <c r="KU573" i="40"/>
  <c r="KT274" i="40"/>
  <c r="KU273" i="40"/>
  <c r="KT674" i="40"/>
  <c r="KU673" i="40"/>
  <c r="KT474" i="40"/>
  <c r="KU473" i="40"/>
  <c r="KT575" i="40" l="1"/>
  <c r="KU574" i="40"/>
  <c r="KT275" i="40"/>
  <c r="KU274" i="40"/>
  <c r="KT374" i="40"/>
  <c r="KU373" i="40"/>
  <c r="KT475" i="40"/>
  <c r="KU474" i="40"/>
  <c r="KT675" i="40"/>
  <c r="KU674" i="40"/>
  <c r="KU575" i="40" l="1"/>
  <c r="AO18" i="70" s="1"/>
  <c r="AR18" i="70" s="1"/>
  <c r="KT576" i="40"/>
  <c r="KU475" i="40"/>
  <c r="AG18" i="70" s="1"/>
  <c r="AH18" i="70" s="1"/>
  <c r="KT476" i="40"/>
  <c r="KU275" i="40"/>
  <c r="Q18" i="70" s="1"/>
  <c r="T18" i="70" s="1"/>
  <c r="KT276" i="40"/>
  <c r="KU374" i="40"/>
  <c r="KT375" i="40"/>
  <c r="KT676" i="40"/>
  <c r="KU675" i="40"/>
  <c r="AP18" i="70" l="1"/>
  <c r="AJ18" i="70"/>
  <c r="KT577" i="40"/>
  <c r="KU576" i="40"/>
  <c r="KT477" i="40"/>
  <c r="KU476" i="40"/>
  <c r="KU375" i="40"/>
  <c r="Y18" i="70" s="1"/>
  <c r="Z18" i="70" s="1"/>
  <c r="KT376" i="40"/>
  <c r="R18" i="70"/>
  <c r="KT277" i="40"/>
  <c r="KU276" i="40"/>
  <c r="KT677" i="40"/>
  <c r="KU676" i="40"/>
  <c r="AB18" i="70" l="1"/>
  <c r="KT578" i="40"/>
  <c r="KU577" i="40"/>
  <c r="KT478" i="40"/>
  <c r="KU477" i="40"/>
  <c r="KT377" i="40"/>
  <c r="KU376" i="40"/>
  <c r="KT278" i="40"/>
  <c r="KU277" i="40"/>
  <c r="KT678" i="40"/>
  <c r="KU677" i="40"/>
  <c r="KT579" i="40" l="1"/>
  <c r="KU578" i="40"/>
  <c r="KT479" i="40"/>
  <c r="KU478" i="40"/>
  <c r="KT378" i="40"/>
  <c r="KU377" i="40"/>
  <c r="KT279" i="40"/>
  <c r="KU278" i="40"/>
  <c r="KT679" i="40"/>
  <c r="KU678" i="40"/>
  <c r="KT580" i="40" l="1"/>
  <c r="KU579" i="40"/>
  <c r="KT480" i="40"/>
  <c r="KU479" i="40"/>
  <c r="KT379" i="40"/>
  <c r="KU378" i="40"/>
  <c r="KT280" i="40"/>
  <c r="KU279" i="40"/>
  <c r="KT680" i="40"/>
  <c r="KU679" i="40"/>
  <c r="KT581" i="40" l="1"/>
  <c r="KU580" i="40"/>
  <c r="KT481" i="40"/>
  <c r="KU480" i="40"/>
  <c r="KT380" i="40"/>
  <c r="KU379" i="40"/>
  <c r="KT281" i="40"/>
  <c r="KU280" i="40"/>
  <c r="KT681" i="40"/>
  <c r="KU680" i="40"/>
  <c r="KT582" i="40" l="1"/>
  <c r="KU581" i="40"/>
  <c r="KT482" i="40"/>
  <c r="KU481" i="40"/>
  <c r="KT381" i="40"/>
  <c r="KU380" i="40"/>
  <c r="KT282" i="40"/>
  <c r="KU281" i="40"/>
  <c r="KT682" i="40"/>
  <c r="KU681" i="40"/>
  <c r="KT583" i="40" l="1"/>
  <c r="KU582" i="40"/>
  <c r="KT483" i="40"/>
  <c r="KU482" i="40"/>
  <c r="KT382" i="40"/>
  <c r="KU381" i="40"/>
  <c r="KT283" i="40"/>
  <c r="KU283" i="40" s="1"/>
  <c r="KU282" i="40"/>
  <c r="KT683" i="40"/>
  <c r="KU682" i="40"/>
  <c r="KU583" i="40" l="1"/>
  <c r="KT584" i="40"/>
  <c r="KU483" i="40"/>
  <c r="KT484" i="40"/>
  <c r="KT684" i="40"/>
  <c r="KU683" i="40"/>
  <c r="KT383" i="40"/>
  <c r="KU383" i="40" s="1"/>
  <c r="KU382" i="40"/>
  <c r="KT585" i="40" l="1"/>
  <c r="KU584" i="40"/>
  <c r="KT485" i="40"/>
  <c r="KU484" i="40"/>
  <c r="KT685" i="40"/>
  <c r="KU684" i="40"/>
  <c r="KT586" i="40" l="1"/>
  <c r="KU585" i="40"/>
  <c r="KT486" i="40"/>
  <c r="KU485" i="40"/>
  <c r="KT686" i="40"/>
  <c r="KU685" i="40"/>
  <c r="KT587" i="40" l="1"/>
  <c r="KU587" i="40" s="1"/>
  <c r="KU586" i="40"/>
  <c r="KT487" i="40"/>
  <c r="KU486" i="40"/>
  <c r="KT687" i="40"/>
  <c r="KU686" i="40"/>
  <c r="KU487" i="40" l="1"/>
  <c r="KT688" i="40"/>
  <c r="KT689" i="40" s="1"/>
  <c r="KT690" i="40" s="1"/>
  <c r="KT691" i="40" s="1"/>
  <c r="KT692" i="40" s="1"/>
  <c r="KT693" i="40" s="1"/>
  <c r="KT694" i="40" s="1"/>
  <c r="KT695" i="40" s="1"/>
  <c r="KT696" i="40" s="1"/>
  <c r="KT697" i="40" s="1"/>
  <c r="KT698" i="40" s="1"/>
  <c r="KT699" i="40" s="1"/>
  <c r="KT700" i="40" s="1"/>
  <c r="KT701" i="40" s="1"/>
  <c r="KU687" i="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500-000001000000}">
      <text>
        <r>
          <rPr>
            <b/>
            <sz val="8"/>
            <color indexed="81"/>
            <rFont val="Tahoma"/>
            <family val="2"/>
          </rPr>
          <t xml:space="preserve">Ideal source: Client data … in absence of client data divide Vehicle Price by 0.95.
Alternative source; DSS
</t>
        </r>
      </text>
    </comment>
    <comment ref="G25" authorId="1" shapeId="0" xr:uid="{00000000-0006-0000-05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500-000003000000}">
      <text>
        <r>
          <rPr>
            <b/>
            <sz val="8"/>
            <color indexed="81"/>
            <rFont val="Tahoma"/>
            <family val="2"/>
          </rPr>
          <t>Best = PIN Navigator APR on OEM non-captive transactions of A+/A/B</t>
        </r>
      </text>
    </comment>
    <comment ref="G33" authorId="0" shapeId="0" xr:uid="{00000000-0006-0000-05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500-000005000000}">
      <text>
        <r>
          <rPr>
            <b/>
            <sz val="8"/>
            <color indexed="81"/>
            <rFont val="Tahoma"/>
            <family val="2"/>
          </rPr>
          <t>Source: Use data directly from DSS</t>
        </r>
      </text>
    </comment>
    <comment ref="G63" authorId="0" shapeId="0" xr:uid="{00000000-0006-0000-0500-000006000000}">
      <text>
        <r>
          <rPr>
            <b/>
            <sz val="8"/>
            <color indexed="81"/>
            <rFont val="Tahoma"/>
            <family val="2"/>
          </rPr>
          <t>Source: Use data directly from DSS</t>
        </r>
        <r>
          <rPr>
            <sz val="8"/>
            <color indexed="81"/>
            <rFont val="Tahoma"/>
            <family val="2"/>
          </rPr>
          <t xml:space="preserve">
</t>
        </r>
      </text>
    </comment>
    <comment ref="G69" authorId="0" shapeId="0" xr:uid="{00000000-0006-0000-0500-000007000000}">
      <text>
        <r>
          <rPr>
            <b/>
            <sz val="8"/>
            <color indexed="81"/>
            <rFont val="Tahoma"/>
            <family val="2"/>
          </rPr>
          <t xml:space="preserve">Source: Use data directly from DSS
</t>
        </r>
      </text>
    </comment>
    <comment ref="G97" authorId="0" shapeId="0" xr:uid="{00000000-0006-0000-05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5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5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 ref="G140" authorId="0" shapeId="0" xr:uid="{00000000-0006-0000-0500-00000B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A Innes</author>
  </authors>
  <commentList>
    <comment ref="HL14" authorId="0" shapeId="0" xr:uid="{00000000-0006-0000-0700-000001000000}">
      <text>
        <r>
          <rPr>
            <sz val="8"/>
            <color indexed="81"/>
            <rFont val="Tahoma"/>
            <family val="2"/>
          </rPr>
          <t>Called out in separate columns to allow easy conversion to multiple vehicle forecasting</t>
        </r>
      </text>
    </comment>
    <comment ref="HM14" authorId="0" shapeId="0" xr:uid="{00000000-0006-0000-0700-000002000000}">
      <text>
        <r>
          <rPr>
            <sz val="8"/>
            <color indexed="81"/>
            <rFont val="Tahoma"/>
            <family val="2"/>
          </rPr>
          <t>Spend delta applied to market performance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joseph_derkos</author>
    <author>Taylor, Charity</author>
  </authors>
  <commentList>
    <comment ref="G16" authorId="0" shapeId="0" xr:uid="{00000000-0006-0000-0600-000001000000}">
      <text>
        <r>
          <rPr>
            <b/>
            <sz val="8"/>
            <color indexed="81"/>
            <rFont val="Tahoma"/>
            <family val="2"/>
          </rPr>
          <t xml:space="preserve">Ideal source: Client data … in absence of client data divide Vehicle Price by 0.95.
Alternative source; DSS
</t>
        </r>
      </text>
    </comment>
    <comment ref="G25" authorId="1" shapeId="0" xr:uid="{00000000-0006-0000-0600-000002000000}">
      <text>
        <r>
          <rPr>
            <b/>
            <sz val="8"/>
            <color indexed="81"/>
            <rFont val="Tahoma"/>
            <family val="2"/>
          </rPr>
          <t xml:space="preserve">Note: </t>
        </r>
        <r>
          <rPr>
            <sz val="8"/>
            <color indexed="81"/>
            <rFont val="Tahoma"/>
            <family val="2"/>
          </rPr>
          <t>This set of assumptions will feed the remainder of the DSS analysis and should reflect the most realistic assumptions (could be client, ISR, or a combination of the two sources)</t>
        </r>
        <r>
          <rPr>
            <sz val="8"/>
            <color indexed="81"/>
            <rFont val="Tahoma"/>
            <family val="2"/>
          </rPr>
          <t xml:space="preserve">
</t>
        </r>
      </text>
    </comment>
    <comment ref="G32" authorId="0" shapeId="0" xr:uid="{00000000-0006-0000-0600-000003000000}">
      <text>
        <r>
          <rPr>
            <b/>
            <sz val="8"/>
            <color indexed="81"/>
            <rFont val="Tahoma"/>
            <family val="2"/>
          </rPr>
          <t>Best = PIN Navigator APR on OEM non-captive transactions of A+/A/B</t>
        </r>
      </text>
    </comment>
    <comment ref="G33" authorId="0" shapeId="0" xr:uid="{00000000-0006-0000-0600-000004000000}">
      <text>
        <r>
          <rPr>
            <b/>
            <sz val="8"/>
            <color indexed="81"/>
            <rFont val="Tahoma"/>
            <family val="2"/>
          </rPr>
          <t>If COF is greater than captive standard rate, incremental rebate offers will shift consumers to standard rate + rebate … costs associated with standard rate need to be captured … template in current form does NOT do this! 
Default value = NO</t>
        </r>
      </text>
    </comment>
    <comment ref="G57" authorId="0" shapeId="0" xr:uid="{00000000-0006-0000-0600-000005000000}">
      <text>
        <r>
          <rPr>
            <b/>
            <sz val="8"/>
            <color indexed="81"/>
            <rFont val="Tahoma"/>
            <family val="2"/>
          </rPr>
          <t>Source: Use data directly from DSS</t>
        </r>
      </text>
    </comment>
    <comment ref="G63" authorId="0" shapeId="0" xr:uid="{00000000-0006-0000-0600-000006000000}">
      <text>
        <r>
          <rPr>
            <b/>
            <sz val="8"/>
            <color indexed="81"/>
            <rFont val="Tahoma"/>
            <family val="2"/>
          </rPr>
          <t>Source: Use data directly from DSS</t>
        </r>
        <r>
          <rPr>
            <sz val="8"/>
            <color indexed="81"/>
            <rFont val="Tahoma"/>
            <family val="2"/>
          </rPr>
          <t xml:space="preserve">
</t>
        </r>
      </text>
    </comment>
    <comment ref="G69" authorId="0" shapeId="0" xr:uid="{00000000-0006-0000-0600-000007000000}">
      <text>
        <r>
          <rPr>
            <b/>
            <sz val="8"/>
            <color indexed="81"/>
            <rFont val="Tahoma"/>
            <family val="2"/>
          </rPr>
          <t xml:space="preserve">Source: Use data directly from DSS
</t>
        </r>
      </text>
    </comment>
    <comment ref="G97" authorId="0" shapeId="0" xr:uid="{00000000-0006-0000-0600-000008000000}">
      <text>
        <r>
          <rPr>
            <b/>
            <sz val="8"/>
            <color indexed="81"/>
            <rFont val="Tahoma"/>
            <family val="2"/>
          </rPr>
          <t xml:space="preserve">Model baseline scenario, varying lease cash input to match baseline lease penetration within 1ppt. If possible, do not allow DSS lease support to dip below $0. Hold all other lease inputs constant throughout scenarios (residual, money factor)
</t>
        </r>
      </text>
    </comment>
    <comment ref="G104" authorId="1" shapeId="0" xr:uid="{00000000-0006-0000-0600-000009000000}">
      <text>
        <r>
          <rPr>
            <b/>
            <sz val="8"/>
            <color indexed="81"/>
            <rFont val="Tahoma"/>
            <family val="2"/>
          </rPr>
          <t>Note:</t>
        </r>
        <r>
          <rPr>
            <sz val="8"/>
            <color indexed="81"/>
            <rFont val="Tahoma"/>
            <family val="2"/>
          </rPr>
          <t xml:space="preserve">  Default is 70% but should be adjusted if different results in market are experienced based on share/TR changes or based on changes in dealer gross
Another option is to run three scenarios:
1) Some baseline offer
2) Baseline w/ $1000 BC
3) Baseline w/ $1000 on the three dealer cash offers in the model
Then compare the lifts of scenario 2 and 3 from scenario 1 to determine the effectiveness of DC
</t>
        </r>
      </text>
    </comment>
    <comment ref="G105" authorId="0" shapeId="0" xr:uid="{00000000-0006-0000-0600-00000A000000}">
      <text>
        <r>
          <rPr>
            <b/>
            <sz val="8"/>
            <color indexed="81"/>
            <rFont val="Tahoma"/>
            <family val="2"/>
          </rPr>
          <t>Note: Check OEM guidelines to ensure complete compatibility with other incentive offers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Innes, David</author>
    <author>David A Innes</author>
  </authors>
  <commentList>
    <comment ref="HX98" authorId="0" shapeId="0" xr:uid="{00000000-0006-0000-0800-000001000000}">
      <text>
        <r>
          <rPr>
            <sz val="9"/>
            <color indexed="81"/>
            <rFont val="Tahoma"/>
            <family val="2"/>
          </rPr>
          <t>cash/finance/lease/combo cash/adding APR/scale all lift in default formula)</t>
        </r>
      </text>
    </comment>
    <comment ref="IG98" authorId="1" shapeId="0" xr:uid="{00000000-0006-0000-0800-000002000000}">
      <text>
        <r>
          <rPr>
            <sz val="8"/>
            <color indexed="81"/>
            <rFont val="Tahoma"/>
            <family val="2"/>
          </rPr>
          <t>Rebalance to 100%</t>
        </r>
      </text>
    </comment>
    <comment ref="IK98" authorId="1" shapeId="0" xr:uid="{00000000-0006-0000-0800-000003000000}">
      <text>
        <r>
          <rPr>
            <sz val="8"/>
            <color indexed="81"/>
            <rFont val="Tahoma"/>
            <family val="2"/>
          </rPr>
          <t>Called out in separate columns to allow easy conversion to multiple vehicle forecasting</t>
        </r>
      </text>
    </comment>
    <comment ref="IT98" authorId="1" shapeId="0" xr:uid="{00000000-0006-0000-0800-000004000000}">
      <text>
        <r>
          <rPr>
            <sz val="8"/>
            <color indexed="81"/>
            <rFont val="Tahoma"/>
            <family val="2"/>
          </rPr>
          <t>Called out in separate columns to allow easy conversion to multiple vehicle forecasting</t>
        </r>
      </text>
    </comment>
    <comment ref="IZ98" authorId="1" shapeId="0" xr:uid="{00000000-0006-0000-0800-000005000000}">
      <text>
        <r>
          <rPr>
            <sz val="8"/>
            <color indexed="81"/>
            <rFont val="Tahoma"/>
            <family val="2"/>
          </rPr>
          <t>Called out in separate columns to allow easy conversion to multiple vehicle forecasting</t>
        </r>
      </text>
    </comment>
    <comment ref="HK99" authorId="0" shapeId="0" xr:uid="{00000000-0006-0000-0800-000006000000}">
      <text>
        <r>
          <rPr>
            <sz val="9"/>
            <color indexed="81"/>
            <rFont val="Tahoma"/>
            <family val="2"/>
          </rPr>
          <t>Note: If HL is "Off", than Finance Adjustment Is turned off regardless of finance seting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SandBox_Cube_v2" description="CFTP Cube new structure for testing"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 id="2" xr16:uid="{00000000-0015-0000-FFFF-FFFF01000000}" keepAlive="1" name="SandBox_Cube_v21" description="SandBox Cube v2 on ViaWest PROD, with redesigned Segmentation dependent on BodyType and ModelYear" type="5" refreshedVersion="6" savePassword="1" background="1" saveData="1">
    <dbPr connection="Provider=MSOLAP.8;Password=pc@JDPA123;Persist Security Info=True;User ID=JDP\svc-pinconsult;Initial Catalog=SandBox_Cube_v2;Data Source=10.22.79.14;Location=10.22.79.14;MDX Compatibility=1;Safety Options=2;MDX Missing Member Mode=Error;Update Isolation Level=2" command="CFTP"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8">
    <s v="{[Model].[Series].[All]}"/>
    <s v="{[TrimLevel].[Trim].[All]}"/>
    <s v="{[Fuel Type].[Fuel Type].[All]}"/>
    <s v="{[Drive Type].[Drive Type ID].[All]}"/>
    <s v="{[Customer Regions].[GM Region].[All]}"/>
    <s v="{[Segmentation].[PIN Segment].[All]}"/>
    <s v="{[Customer Regions].[FCA Region].[All]}"/>
    <s v="{[Customer Regions].[Honda Region].[All]}"/>
    <s v="{[Customer Regions].[Lexus Region].[All]}"/>
    <s v="{[Customer Regions].[Nissan Region].[All]}"/>
    <s v="{[Customer Regions].[PIN Region].[All]}"/>
    <s v="{[Customer Regions].[Toyota Region].[All]}"/>
    <s v="{[Customer Regions].[Ford Region].[All]}"/>
    <s v="{[TIME].[Calendar Year].[All]}"/>
    <s v="SandBox_Cube_v21"/>
    <s v="{[Model].[OEM].[All]}"/>
    <s v="{[Type of Sale].[Type of Sale].[All]}"/>
    <s v="{[Model].[Car Or Truck].[All]}"/>
    <s v="{[Model].[Model].[All]}"/>
    <s v="{[Model].[Make].&amp;[Nissan]}"/>
    <s v="{[TIME].[Sales Year].[All]}"/>
    <s v="{[TIME].[Sales Month Of Year].[All]}"/>
    <s v="{[Model].[Series].&amp;[Sentra]}"/>
    <s v="{[Model].[Premium Hierarchy].[All]}"/>
    <s v="{[Model Year].[Model Year].&amp;[2018]}"/>
    <s v="SandBox_Cube_v2"/>
    <s v="{[Model].[Model].&amp;[Optima]}"/>
    <s v="{[Customer Regions].[Kia2 Region].&amp;[L1]}"/>
  </metadataStrings>
  <mdxMetadata count="27">
    <mdx n="14" f="s">
      <ms ns="15" c="0"/>
    </mdx>
    <mdx n="14" f="s">
      <ms ns="16" c="0"/>
    </mdx>
    <mdx n="14" f="s">
      <ms ns="5" c="0"/>
    </mdx>
    <mdx n="14" f="s">
      <ms ns="17" c="0"/>
    </mdx>
    <mdx n="14" f="s">
      <ms ns="18" c="0"/>
    </mdx>
    <mdx n="14" f="s">
      <ms ns="19" c="0"/>
    </mdx>
    <mdx n="14" f="s">
      <ms ns="20" c="0"/>
    </mdx>
    <mdx n="14" f="s">
      <ms ns="21" c="0"/>
    </mdx>
    <mdx n="14" f="s">
      <ms ns="22" c="0"/>
    </mdx>
    <mdx n="14" f="s">
      <ms ns="23" c="0"/>
    </mdx>
    <mdx n="14" f="s">
      <ms ns="24" c="0"/>
    </mdx>
    <mdx n="25" f="s">
      <ms ns="0" c="0"/>
    </mdx>
    <mdx n="25" f="s">
      <ms ns="1" c="0"/>
    </mdx>
    <mdx n="25" f="s">
      <ms ns="2" c="0"/>
    </mdx>
    <mdx n="25" f="s">
      <ms ns="3" c="0"/>
    </mdx>
    <mdx n="25" f="s">
      <ms ns="4" c="0"/>
    </mdx>
    <mdx n="25" f="s">
      <ms ns="5" c="0"/>
    </mdx>
    <mdx n="25" f="s">
      <ms ns="6" c="0"/>
    </mdx>
    <mdx n="25" f="s">
      <ms ns="7" c="0"/>
    </mdx>
    <mdx n="25" f="s">
      <ms ns="8" c="0"/>
    </mdx>
    <mdx n="25" f="s">
      <ms ns="9" c="0"/>
    </mdx>
    <mdx n="25" f="s">
      <ms ns="10" c="0"/>
    </mdx>
    <mdx n="25" f="s">
      <ms ns="11" c="0"/>
    </mdx>
    <mdx n="25" f="s">
      <ms ns="12" c="0"/>
    </mdx>
    <mdx n="25" f="s">
      <ms ns="13" c="0"/>
    </mdx>
    <mdx n="25" f="s">
      <ms ns="26" c="0"/>
    </mdx>
    <mdx n="25" f="s">
      <ms ns="27" c="0"/>
    </mdx>
  </mdxMetadata>
  <valueMetadata count="2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valueMetadata>
</metadata>
</file>

<file path=xl/sharedStrings.xml><?xml version="1.0" encoding="utf-8"?>
<sst xmlns="http://schemas.openxmlformats.org/spreadsheetml/2006/main" count="10834" uniqueCount="1165">
  <si>
    <t>Dealer Cash</t>
  </si>
  <si>
    <t>APR</t>
  </si>
  <si>
    <t xml:space="preserve"> </t>
  </si>
  <si>
    <t>Segment</t>
  </si>
  <si>
    <t>Model</t>
  </si>
  <si>
    <t>Rebate</t>
  </si>
  <si>
    <t>Lease Cash</t>
  </si>
  <si>
    <t>Bonus Cash</t>
  </si>
  <si>
    <t>Volkswagen Jetta</t>
  </si>
  <si>
    <t>Volkswagen Passat</t>
  </si>
  <si>
    <t>Scenario Setup</t>
  </si>
  <si>
    <t>Assumptions</t>
  </si>
  <si>
    <t>Input</t>
  </si>
  <si>
    <t>Output</t>
  </si>
  <si>
    <t>Calculated Values</t>
  </si>
  <si>
    <t>Market Rate</t>
  </si>
  <si>
    <t>Cost of Funds</t>
  </si>
  <si>
    <t>Vehicle Price</t>
  </si>
  <si>
    <t>Down Payment</t>
  </si>
  <si>
    <t>Incentive Offerings</t>
  </si>
  <si>
    <t>Take Rates and Term Mix</t>
  </si>
  <si>
    <t>Stackable Incentive Offering (Total cost/affected unit)</t>
  </si>
  <si>
    <t>APR/Lease subsidy costs</t>
  </si>
  <si>
    <t>Stackable Incentive Offering and Take Rate: 3 Incentive Types</t>
  </si>
  <si>
    <t>Transaction Price and Incentive Cost</t>
  </si>
  <si>
    <t>Market Share</t>
  </si>
  <si>
    <t>Effectiveness / Efficiency</t>
  </si>
  <si>
    <t>Loyalty / Conquest Penetration</t>
  </si>
  <si>
    <t>Monthly Payments</t>
  </si>
  <si>
    <t>Proportion of buyers qualified</t>
  </si>
  <si>
    <t>Finance Market Rate</t>
  </si>
  <si>
    <t>Lease Market Rate</t>
  </si>
  <si>
    <t>Finance Cost of Funds</t>
  </si>
  <si>
    <t>Lease Cost of Funds</t>
  </si>
  <si>
    <t>Finance ($ or %)</t>
  </si>
  <si>
    <t>Lease ($ or %)</t>
  </si>
  <si>
    <t>Market Rate-Captive Available?</t>
  </si>
  <si>
    <t>Finance APR</t>
  </si>
  <si>
    <t>Rebate Combo</t>
  </si>
  <si>
    <t>APR Combo</t>
  </si>
  <si>
    <t>Lease Rate (%)</t>
  </si>
  <si>
    <t>Dealer Volume Bonus</t>
  </si>
  <si>
    <t>Lease Loyalty</t>
  </si>
  <si>
    <t>Conquest Cash</t>
  </si>
  <si>
    <t>Loyalty Make</t>
  </si>
  <si>
    <t>Loyalty OEM</t>
  </si>
  <si>
    <t>Captive Cash</t>
  </si>
  <si>
    <t>MSRP</t>
  </si>
  <si>
    <t>Residual Subsidy</t>
  </si>
  <si>
    <t>ALG Residual</t>
  </si>
  <si>
    <t>1. Cash (%)</t>
  </si>
  <si>
    <t>Market Rate (%)</t>
  </si>
  <si>
    <t>Standalone APR Term Mix</t>
  </si>
  <si>
    <t>4. Standalone APR (%)</t>
  </si>
  <si>
    <t>APR Combo Term Mix</t>
  </si>
  <si>
    <t>5. APR Combo (%)</t>
  </si>
  <si>
    <t>Lease Term Mix</t>
  </si>
  <si>
    <t>6. Lease (%)</t>
  </si>
  <si>
    <t>Captive (%)</t>
  </si>
  <si>
    <t>1. Cash ($)</t>
  </si>
  <si>
    <t>Market Rate ($)</t>
  </si>
  <si>
    <t>4. Standalone APR ($)</t>
  </si>
  <si>
    <t>5. APR Combo ($)</t>
  </si>
  <si>
    <t>6. Lease ($)</t>
  </si>
  <si>
    <t>Market Rate-Captive/Unit Cost</t>
  </si>
  <si>
    <t>Standalone APR/Unit Cost</t>
  </si>
  <si>
    <t>APR Combo/Unit Cost</t>
  </si>
  <si>
    <t>APR Combo/
Unit Cost</t>
  </si>
  <si>
    <t>Lease/Unit Cost</t>
  </si>
  <si>
    <t>Lease/
Unit Cost</t>
  </si>
  <si>
    <t>Cash Incentive (%)</t>
  </si>
  <si>
    <t>Captive, Supported Finance Incentive (%)</t>
  </si>
  <si>
    <t>Captive, Supported Lease Incentive (%)</t>
  </si>
  <si>
    <t>Cash Incentive ($)</t>
  </si>
  <si>
    <t>Captive, Supported Finance ($)</t>
  </si>
  <si>
    <t>Captive, Supported Lease Incentive ($)</t>
  </si>
  <si>
    <t>Total/Unit Cost</t>
  </si>
  <si>
    <t>Net Transaction 
Price</t>
  </si>
  <si>
    <t>Vehicle Share of Segment</t>
  </si>
  <si>
    <t>Vehicle Regional Mix</t>
  </si>
  <si>
    <t>Lift (%)</t>
  </si>
  <si>
    <t>Elasticity vs. Base</t>
  </si>
  <si>
    <t>Cost Per Incremental Unit Lift vs. Base</t>
  </si>
  <si>
    <t>Market Rate Monthly Payments (60 months)</t>
  </si>
  <si>
    <t>Standalone APR Monthly Payments</t>
  </si>
  <si>
    <t>Standalone APR Monthly Payment</t>
  </si>
  <si>
    <t>APR Combo Monthly Payments</t>
  </si>
  <si>
    <t>APR Combo Monthly Payment</t>
  </si>
  <si>
    <t>Lease Monthly Payments</t>
  </si>
  <si>
    <t>Lease Monthly Payment</t>
  </si>
  <si>
    <t>Scenario Number</t>
  </si>
  <si>
    <t>Scenario Type</t>
  </si>
  <si>
    <t>Reference Scenario</t>
  </si>
  <si>
    <t>OEM</t>
  </si>
  <si>
    <t>Region</t>
  </si>
  <si>
    <t>Model Year</t>
  </si>
  <si>
    <t>Model Year Weight</t>
  </si>
  <si>
    <t>Cash Type of Sale</t>
  </si>
  <si>
    <t>Finance Type of Sale</t>
  </si>
  <si>
    <t>Lease Type of Sale</t>
  </si>
  <si>
    <t>24 mo
($ or %)</t>
  </si>
  <si>
    <t>36 mo
($ or %)</t>
  </si>
  <si>
    <t>39 mo
($ or %)</t>
  </si>
  <si>
    <t>48 mo
($ or %)</t>
  </si>
  <si>
    <t>60 mo
($ or %)</t>
  </si>
  <si>
    <t>24 mo
(% or $)</t>
  </si>
  <si>
    <t>36 mo
(% or $)</t>
  </si>
  <si>
    <t>39 mo
(% or $)</t>
  </si>
  <si>
    <t>48 mo
(% or $)</t>
  </si>
  <si>
    <t>60 mo
(% or $)</t>
  </si>
  <si>
    <t>2. Captive</t>
  </si>
  <si>
    <t>3. Non Captive</t>
  </si>
  <si>
    <t>72</t>
  </si>
  <si>
    <t>39</t>
  </si>
  <si>
    <t>48</t>
  </si>
  <si>
    <t>60</t>
  </si>
  <si>
    <t>Base</t>
  </si>
  <si>
    <t>New</t>
  </si>
  <si>
    <t>Captive</t>
  </si>
  <si>
    <t>Non Captive</t>
  </si>
  <si>
    <t>Baseline</t>
  </si>
  <si>
    <t>I</t>
  </si>
  <si>
    <t>Market</t>
  </si>
  <si>
    <t>ACM ($M)</t>
  </si>
  <si>
    <t>Total Incentive Spend ($M)</t>
  </si>
  <si>
    <t>Other Adjustments if Necessary</t>
  </si>
  <si>
    <t>Final Lift (%)</t>
  </si>
  <si>
    <t>Final Lift (units)</t>
  </si>
  <si>
    <t>New Volume</t>
  </si>
  <si>
    <t>Delta ACM ($M)</t>
  </si>
  <si>
    <t>Instructions</t>
  </si>
  <si>
    <t>Cost per Incr Unit</t>
  </si>
  <si>
    <t>Delta Total Incentive Spend ($M)</t>
  </si>
  <si>
    <t>Delta Total/Unit Cost</t>
  </si>
  <si>
    <t>SCENARIO</t>
  </si>
  <si>
    <t>COST ($ / Affected Unit)</t>
  </si>
  <si>
    <t>TAKE RATE</t>
  </si>
  <si>
    <t>CONTRIBUTION TO SPEND ($ / Unit)</t>
  </si>
  <si>
    <t>IMPACT</t>
  </si>
  <si>
    <t>Cust. Cash</t>
  </si>
  <si>
    <t>A</t>
  </si>
  <si>
    <t>h/(l) Baseline</t>
  </si>
  <si>
    <t>Current Market Performace</t>
  </si>
  <si>
    <t>Delta versus DSS Baseline</t>
  </si>
  <si>
    <t>Base DSS Share</t>
  </si>
  <si>
    <t>New Total/Unit Cost</t>
  </si>
  <si>
    <t>Final Take Rate</t>
  </si>
  <si>
    <t>Incentive Spend Adjustments</t>
  </si>
  <si>
    <t>Lift vs DSS Baseline Scenario 2</t>
  </si>
  <si>
    <t>Delta ACM (%)</t>
  </si>
  <si>
    <t>Final Lift</t>
  </si>
  <si>
    <t>Lift Calculations</t>
  </si>
  <si>
    <t>Baselines</t>
  </si>
  <si>
    <t>Other Financials Measures</t>
  </si>
  <si>
    <t>Base Contribution Margin (excluding incentives)</t>
  </si>
  <si>
    <t>Cash Rebate Offer</t>
  </si>
  <si>
    <t>DSS Output</t>
  </si>
  <si>
    <t>Raw offer value</t>
  </si>
  <si>
    <t>Cash offer value</t>
  </si>
  <si>
    <t>Lease offer value req'd to match base penetration</t>
  </si>
  <si>
    <t>DSS Input Value: 24 mo</t>
  </si>
  <si>
    <t>DSS Input Value: 36 mo</t>
  </si>
  <si>
    <t>DSS Input Value: 48 mo</t>
  </si>
  <si>
    <t>DSS Input Value: 60 mo</t>
  </si>
  <si>
    <t>DSS Input Value: 72 mo</t>
  </si>
  <si>
    <t>N</t>
  </si>
  <si>
    <t>Scenario</t>
  </si>
  <si>
    <t>Audi A6</t>
  </si>
  <si>
    <t>BMW 5 Series</t>
  </si>
  <si>
    <t>Jaguar XF</t>
  </si>
  <si>
    <t>Lexus ES</t>
  </si>
  <si>
    <t>Lexus GS</t>
  </si>
  <si>
    <t>Mercedes-Benz E-Class</t>
  </si>
  <si>
    <t>Honda Fit</t>
  </si>
  <si>
    <t>Hyundai Accent</t>
  </si>
  <si>
    <t>Kia Rio</t>
  </si>
  <si>
    <t>Nissan Versa</t>
  </si>
  <si>
    <t>Toyota Yaris</t>
  </si>
  <si>
    <t>Ford Focus</t>
  </si>
  <si>
    <t>Honda Civic</t>
  </si>
  <si>
    <t>Hyundai Elantra</t>
  </si>
  <si>
    <t>Mazda 3</t>
  </si>
  <si>
    <t>Mini Cooper</t>
  </si>
  <si>
    <t>Nissan Sentra</t>
  </si>
  <si>
    <t>Toyota Corolla</t>
  </si>
  <si>
    <t>Toyota Prius</t>
  </si>
  <si>
    <t>Volkswagen Beetle</t>
  </si>
  <si>
    <t>Chevrolet Equinox</t>
  </si>
  <si>
    <t>Ford Escape</t>
  </si>
  <si>
    <t>Honda CR-V</t>
  </si>
  <si>
    <t>Hyundai Tucson</t>
  </si>
  <si>
    <t>Jeep Compass</t>
  </si>
  <si>
    <t>Kia Soul</t>
  </si>
  <si>
    <t>Kia Sportage</t>
  </si>
  <si>
    <t>Mitsubishi Outlander</t>
  </si>
  <si>
    <t>Nissan Rogue</t>
  </si>
  <si>
    <t>Subaru Forester</t>
  </si>
  <si>
    <t>Toyota RAV4</t>
  </si>
  <si>
    <t>Volkswagen Tiguan</t>
  </si>
  <si>
    <t>Audi A3</t>
  </si>
  <si>
    <t>Audi A4</t>
  </si>
  <si>
    <t>Audi A5</t>
  </si>
  <si>
    <t>Audi S5</t>
  </si>
  <si>
    <t>BMW 3 Series</t>
  </si>
  <si>
    <t>BMW M3</t>
  </si>
  <si>
    <t>Cadillac CTS</t>
  </si>
  <si>
    <t>Lexus IS</t>
  </si>
  <si>
    <t>Lincoln MKZ</t>
  </si>
  <si>
    <t>Audi TT</t>
  </si>
  <si>
    <t>Mazda MX-5 Miata</t>
  </si>
  <si>
    <t>Subaru Impreza</t>
  </si>
  <si>
    <t>Volkswagen GTI</t>
  </si>
  <si>
    <t>Jeep Wrangler</t>
  </si>
  <si>
    <t>Chevrolet Impala</t>
  </si>
  <si>
    <t>Chrysler 300</t>
  </si>
  <si>
    <t>Dodge Charger</t>
  </si>
  <si>
    <t>Ford Taurus</t>
  </si>
  <si>
    <t>Nissan Maxima</t>
  </si>
  <si>
    <t>Toyota Avalon</t>
  </si>
  <si>
    <t>Chevrolet Silverado 1500</t>
  </si>
  <si>
    <t>Chevrolet Silverado 2500/3500</t>
  </si>
  <si>
    <t>Ford F-150</t>
  </si>
  <si>
    <t>Ford F-250/350</t>
  </si>
  <si>
    <t>GMC Sierra 1500</t>
  </si>
  <si>
    <t>GMC Sierra 2500/3500</t>
  </si>
  <si>
    <t>Nissan Titan</t>
  </si>
  <si>
    <t>Toyota Tundra</t>
  </si>
  <si>
    <t>Audi A8</t>
  </si>
  <si>
    <t>BMW 7 Series</t>
  </si>
  <si>
    <t>Jaguar XJ</t>
  </si>
  <si>
    <t>Lexus LS</t>
  </si>
  <si>
    <t>Mercedes-Benz S-Class</t>
  </si>
  <si>
    <t>Cadillac Escalade</t>
  </si>
  <si>
    <t>Cadillac Escalade ESV</t>
  </si>
  <si>
    <t>Land Rover Range Rover</t>
  </si>
  <si>
    <t>Land Rover Range Rover Sport</t>
  </si>
  <si>
    <t>Lexus LX</t>
  </si>
  <si>
    <t>Lincoln Navigator</t>
  </si>
  <si>
    <t>Mercedes-Benz G-Class</t>
  </si>
  <si>
    <t>Toyota Land Cruiser</t>
  </si>
  <si>
    <t>Chevrolet Suburban</t>
  </si>
  <si>
    <t>Chevrolet Tahoe</t>
  </si>
  <si>
    <t>Ford Expedition</t>
  </si>
  <si>
    <t>Ford Expedition EL</t>
  </si>
  <si>
    <t>GMC Yukon</t>
  </si>
  <si>
    <t>GMC Yukon XL</t>
  </si>
  <si>
    <t>Nissan Armada</t>
  </si>
  <si>
    <t>Toyota Sequoia</t>
  </si>
  <si>
    <t>Chevrolet Express</t>
  </si>
  <si>
    <t>GMC Savana</t>
  </si>
  <si>
    <t>BMW 6 Series</t>
  </si>
  <si>
    <t>Chevrolet Corvette</t>
  </si>
  <si>
    <t>Mercedes-Benz SL-Class</t>
  </si>
  <si>
    <t>Porsche 911</t>
  </si>
  <si>
    <t>Buick LaCrosse</t>
  </si>
  <si>
    <t>Chevrolet Malibu</t>
  </si>
  <si>
    <t>Ford Fusion</t>
  </si>
  <si>
    <t>Ford Fusion Hybrid</t>
  </si>
  <si>
    <t>Honda Accord</t>
  </si>
  <si>
    <t>Hyundai Sonata</t>
  </si>
  <si>
    <t>Kia Optima</t>
  </si>
  <si>
    <t>Mazda 6</t>
  </si>
  <si>
    <t>Nissan Altima</t>
  </si>
  <si>
    <t>Subaru Legacy</t>
  </si>
  <si>
    <t>Subaru Outback</t>
  </si>
  <si>
    <t>Toyota Camry</t>
  </si>
  <si>
    <t>Toyota Camry Hybrid</t>
  </si>
  <si>
    <t>Buick Enclave</t>
  </si>
  <si>
    <t>Chevrolet Traverse</t>
  </si>
  <si>
    <t>Dodge Journey</t>
  </si>
  <si>
    <t>Ford Edge</t>
  </si>
  <si>
    <t>Ford Flex</t>
  </si>
  <si>
    <t>GMC Acadia</t>
  </si>
  <si>
    <t>Mazda CX-9</t>
  </si>
  <si>
    <t>Nissan Murano</t>
  </si>
  <si>
    <t>Toyota Highlander</t>
  </si>
  <si>
    <t>Toyota Highlander Hybrid</t>
  </si>
  <si>
    <t>Honda Ridgeline</t>
  </si>
  <si>
    <t>Nissan Frontier</t>
  </si>
  <si>
    <t>Toyota Tacoma</t>
  </si>
  <si>
    <t>Acura MDX</t>
  </si>
  <si>
    <t>Acura RDX</t>
  </si>
  <si>
    <t>Audi Q5</t>
  </si>
  <si>
    <t>Audi Q7</t>
  </si>
  <si>
    <t>BMW X3</t>
  </si>
  <si>
    <t>BMW X5</t>
  </si>
  <si>
    <t>BMW X6</t>
  </si>
  <si>
    <t>Lexus RX</t>
  </si>
  <si>
    <t>Lexus RX Hybrid</t>
  </si>
  <si>
    <t>Lincoln MKX</t>
  </si>
  <si>
    <t>Porsche Cayenne</t>
  </si>
  <si>
    <t>Volvo XC60</t>
  </si>
  <si>
    <t>Volvo XC90</t>
  </si>
  <si>
    <t>Chevrolet Camaro</t>
  </si>
  <si>
    <t>Dodge Challenger</t>
  </si>
  <si>
    <t>Ford Mustang</t>
  </si>
  <si>
    <t>Ford Explorer</t>
  </si>
  <si>
    <t>Honda Pilot</t>
  </si>
  <si>
    <t>Jeep Grand Cherokee</t>
  </si>
  <si>
    <t>Kia Sorento</t>
  </si>
  <si>
    <t>Toyota 4Runner</t>
  </si>
  <si>
    <t>Dodge Grand Caravan</t>
  </si>
  <si>
    <t>Honda Odyssey</t>
  </si>
  <si>
    <t>Kia Sedona</t>
  </si>
  <si>
    <t>Toyota Sienna</t>
  </si>
  <si>
    <t>Baseline incentive cost per affected unit</t>
  </si>
  <si>
    <t>Accepted mix assumptions for this analysis (best available)</t>
  </si>
  <si>
    <t>Section 1: Summary of Baseline Assumptions</t>
  </si>
  <si>
    <t>Dealer cash lift adjustment factor</t>
  </si>
  <si>
    <t>Scenario #</t>
  </si>
  <si>
    <t>Lift</t>
  </si>
  <si>
    <t>Total Incentive Spend [$ mil]</t>
  </si>
  <si>
    <t>YES</t>
  </si>
  <si>
    <t>Show absolute data?=&gt;</t>
  </si>
  <si>
    <t>Description</t>
  </si>
  <si>
    <t>Base Monthly Volume</t>
  </si>
  <si>
    <t>CM/Unit (after Incentives)</t>
  </si>
  <si>
    <t>DSS Input Creation</t>
  </si>
  <si>
    <t>72 Mo</t>
  </si>
  <si>
    <t>60 Mo</t>
  </si>
  <si>
    <t>48 Mo</t>
  </si>
  <si>
    <t>36 Mo</t>
  </si>
  <si>
    <t>24 Mo</t>
  </si>
  <si>
    <t>OEM Cost of Funds Assumptions - Lease</t>
  </si>
  <si>
    <t>OEM Cost of Funds Assumptions - Finance</t>
  </si>
  <si>
    <t>Market Rate Assumptions - Lease</t>
  </si>
  <si>
    <t>Market Rate Assumptions - Finance</t>
  </si>
  <si>
    <t>Finance contracts - % of buyers qualified for supported APR</t>
  </si>
  <si>
    <t>Cash</t>
  </si>
  <si>
    <t>Finance</t>
  </si>
  <si>
    <t>Lease</t>
  </si>
  <si>
    <t>Other/misc. (100% applicable to all sale types)</t>
  </si>
  <si>
    <t>Cash rebate:</t>
  </si>
  <si>
    <t>APR support:</t>
  </si>
  <si>
    <t>Combo/APR support:</t>
  </si>
  <si>
    <t>Model year</t>
  </si>
  <si>
    <t>Model year weight</t>
  </si>
  <si>
    <t>Market rate captive available?</t>
  </si>
  <si>
    <t>"DSS Input Creation" column =&gt;</t>
  </si>
  <si>
    <t>39 Mo</t>
  </si>
  <si>
    <t>ALG residual  [$ or ppt]</t>
  </si>
  <si>
    <t>Down Payment: Finance [$ or ppt]</t>
  </si>
  <si>
    <t>Down Payment: Lease  [$ or ppt]</t>
  </si>
  <si>
    <t>Lookups</t>
  </si>
  <si>
    <t>Misc. Inputs (Reference for Presentation Output)</t>
  </si>
  <si>
    <t>Other</t>
  </si>
  <si>
    <t>Lease Support Offer</t>
  </si>
  <si>
    <t>SCENARIO OPTIONS</t>
  </si>
  <si>
    <t>Cash Incentive [$]</t>
  </si>
  <si>
    <t>PIN DSS Excel Template</t>
  </si>
  <si>
    <t>Dealer Cash-Cash Offer (NOT SCALED)</t>
  </si>
  <si>
    <t>Dealer Cash-Finance Offer (NOT SCALED)</t>
  </si>
  <si>
    <t>Dealer Cash-Lease Offer (NOT SCALED)</t>
  </si>
  <si>
    <t>On</t>
  </si>
  <si>
    <t>TACTICS</t>
  </si>
  <si>
    <t>Profit
[$mil]</t>
  </si>
  <si>
    <t>Sales
[Units]</t>
  </si>
  <si>
    <t>Volkswagen Golf</t>
  </si>
  <si>
    <t>Kia Forte</t>
  </si>
  <si>
    <t>GMC Terrain</t>
  </si>
  <si>
    <t>Nissan 370Z</t>
  </si>
  <si>
    <t>Porsche Panamera</t>
  </si>
  <si>
    <t>Lexus GX</t>
  </si>
  <si>
    <t>Lincoln MKT</t>
  </si>
  <si>
    <t>Chevrolet Cruze</t>
  </si>
  <si>
    <t>Chevrolet Volt</t>
  </si>
  <si>
    <t>Nissan LEAF</t>
  </si>
  <si>
    <t>Mini Countryman</t>
  </si>
  <si>
    <t>Mitsubishi Outlander Sport</t>
  </si>
  <si>
    <t>Volvo S60</t>
  </si>
  <si>
    <t>Ford Transit Connect</t>
  </si>
  <si>
    <t>Buick Regal</t>
  </si>
  <si>
    <t>Ford Fiesta</t>
  </si>
  <si>
    <t>Dodge Durango</t>
  </si>
  <si>
    <t>Lift [%]</t>
  </si>
  <si>
    <t>Incentives 
[$ / Unit]</t>
  </si>
  <si>
    <t>Hyundai Veloster</t>
  </si>
  <si>
    <t>Acura ILX</t>
  </si>
  <si>
    <t>Mazda CX-5</t>
  </si>
  <si>
    <t>RAM Ram 1500</t>
  </si>
  <si>
    <t>RAM Ram 2500/3500</t>
  </si>
  <si>
    <t>Audi A7</t>
  </si>
  <si>
    <t>Hyundai Sonata Hybrid</t>
  </si>
  <si>
    <t>Kia Optima Hybrid</t>
  </si>
  <si>
    <t>Cadillac XTS</t>
  </si>
  <si>
    <t>BMW X1</t>
  </si>
  <si>
    <t>Land Rover Range Rover Evoque</t>
  </si>
  <si>
    <t>Chevrolet Sonic</t>
  </si>
  <si>
    <t>Chevrolet Spark</t>
  </si>
  <si>
    <t>Fiat 500</t>
  </si>
  <si>
    <t>Toyota Prius c</t>
  </si>
  <si>
    <t>x</t>
  </si>
  <si>
    <t>NA</t>
  </si>
  <si>
    <t>Subaru BRZ</t>
  </si>
  <si>
    <t>BMW 4 Series</t>
  </si>
  <si>
    <t>Cadillac ATS</t>
  </si>
  <si>
    <t>Infiniti Q50</t>
  </si>
  <si>
    <t>Buick Encore</t>
  </si>
  <si>
    <t>Kia Cadenza</t>
  </si>
  <si>
    <t>Audi S6</t>
  </si>
  <si>
    <t>Nissan NV Van</t>
  </si>
  <si>
    <t>Ford Fusion Energi</t>
  </si>
  <si>
    <t>Acura RLX</t>
  </si>
  <si>
    <t>Audi A4 allroad</t>
  </si>
  <si>
    <t>Infiniti QX50</t>
  </si>
  <si>
    <t>Infiniti QX60</t>
  </si>
  <si>
    <t>Hyundai Santa Fe LWB</t>
  </si>
  <si>
    <t>Hyundai Santa Fe Sport</t>
  </si>
  <si>
    <t>Nissan Versa Note</t>
  </si>
  <si>
    <t>Midsize Car (34)</t>
  </si>
  <si>
    <t>Per ElastQA file</t>
  </si>
  <si>
    <t>QC Elasticity: Bonus Cash</t>
  </si>
  <si>
    <t>Derivative approximation arc = $500</t>
  </si>
  <si>
    <t>Calculated around scenario from file with given MY</t>
  </si>
  <si>
    <t>Segment Name</t>
  </si>
  <si>
    <t>Vehicle Model Name</t>
  </si>
  <si>
    <t>MY=2018</t>
  </si>
  <si>
    <t>Compact Conventional/Sporty Car (43)</t>
  </si>
  <si>
    <t>Buick Cascada</t>
  </si>
  <si>
    <t>Subaru WRX</t>
  </si>
  <si>
    <t>Toyota 86</t>
  </si>
  <si>
    <t>Volkswagen e-Golf</t>
  </si>
  <si>
    <t>Volkswagen Golf R</t>
  </si>
  <si>
    <t>Volkswagen Golf SportWagen</t>
  </si>
  <si>
    <t>Compact Premium Car (39)</t>
  </si>
  <si>
    <t>Acura TLX</t>
  </si>
  <si>
    <t>Alfa Romeo Giulia</t>
  </si>
  <si>
    <t>Audi A3 e-tron</t>
  </si>
  <si>
    <t>BMW 330e Plug-In Hybrid</t>
  </si>
  <si>
    <t>BMW i3</t>
  </si>
  <si>
    <t>Infiniti Q60</t>
  </si>
  <si>
    <t>Jaguar XE</t>
  </si>
  <si>
    <t>Lexus RC</t>
  </si>
  <si>
    <t>Mercedes-Benz C-Class Conv</t>
  </si>
  <si>
    <t>Mercedes-Benz C-Class Coupe</t>
  </si>
  <si>
    <t>Mercedes-Benz C-Class Sedan</t>
  </si>
  <si>
    <t>Mercedes-Benz CLA</t>
  </si>
  <si>
    <t>Volvo V60</t>
  </si>
  <si>
    <t>Compact Premium SUV (58)</t>
  </si>
  <si>
    <t>Audi Q3</t>
  </si>
  <si>
    <t>Audi SQ5</t>
  </si>
  <si>
    <t>BMW X4</t>
  </si>
  <si>
    <t>Infiniti QX30</t>
  </si>
  <si>
    <t>Jaguar F-Pace</t>
  </si>
  <si>
    <t>Land Rover Discovery Sport</t>
  </si>
  <si>
    <t>Lexus NX</t>
  </si>
  <si>
    <t>Lincoln MKC</t>
  </si>
  <si>
    <t>Mercedes-Benz GLA</t>
  </si>
  <si>
    <t>Mercedes-Benz GLC</t>
  </si>
  <si>
    <t>Porsche Macan</t>
  </si>
  <si>
    <t>Compact SUV (52)</t>
  </si>
  <si>
    <t>Buick Envision</t>
  </si>
  <si>
    <t>Chevrolet Trax</t>
  </si>
  <si>
    <t>Fiat 500L</t>
  </si>
  <si>
    <t>Fiat 500X</t>
  </si>
  <si>
    <t>Honda HR-V</t>
  </si>
  <si>
    <t>Jeep Cherokee</t>
  </si>
  <si>
    <t>Jeep Renegade</t>
  </si>
  <si>
    <t>Mazda CX-3</t>
  </si>
  <si>
    <t>Subaru Crosstrek</t>
  </si>
  <si>
    <t>Toyota RAV4 Hybrid</t>
  </si>
  <si>
    <t>Large Car (35)</t>
  </si>
  <si>
    <t>Toyota Avalon Hybrid</t>
  </si>
  <si>
    <t>Large Pickup (31)</t>
  </si>
  <si>
    <t>Nissan Titan XD</t>
  </si>
  <si>
    <t>Cadillac CT6</t>
  </si>
  <si>
    <t>Genesis G90</t>
  </si>
  <si>
    <t>Maserati Quattroporte</t>
  </si>
  <si>
    <t>Large Premium SUV (48)</t>
  </si>
  <si>
    <t>Infiniti QX80</t>
  </si>
  <si>
    <t>Land Rover Range Rover LWB</t>
  </si>
  <si>
    <t>Mercedes-Benz GLS</t>
  </si>
  <si>
    <t>Large SUV (44)</t>
  </si>
  <si>
    <t>Chrysler Pacifica</t>
  </si>
  <si>
    <t>Ford Transit</t>
  </si>
  <si>
    <t>Nissan NV200</t>
  </si>
  <si>
    <t>RAM ProMaster City</t>
  </si>
  <si>
    <t>RAM ProMaster Series</t>
  </si>
  <si>
    <t>Honda Accord Hybrid</t>
  </si>
  <si>
    <t>Midsize Pickup (36)</t>
  </si>
  <si>
    <t>Chevrolet Colorado</t>
  </si>
  <si>
    <t>GMC Canyon</t>
  </si>
  <si>
    <t>Genesis G80</t>
  </si>
  <si>
    <t>Infiniti Q70</t>
  </si>
  <si>
    <t>Lincoln Continental</t>
  </si>
  <si>
    <t>Maserati Ghibli</t>
  </si>
  <si>
    <t>Volvo S90</t>
  </si>
  <si>
    <t>Volvo V90</t>
  </si>
  <si>
    <t>Midsize Premium SUV (47)</t>
  </si>
  <si>
    <t>Cadillac XT5</t>
  </si>
  <si>
    <t>Maserati Levante</t>
  </si>
  <si>
    <t>Mercedes-Benz GLE</t>
  </si>
  <si>
    <t>Porsche Cayenne E-Hybrid</t>
  </si>
  <si>
    <t>Volvo XC90 Plug-In Hybrid</t>
  </si>
  <si>
    <t>Midsize Sporty Car (54)</t>
  </si>
  <si>
    <t>Midsize SUV (42)</t>
  </si>
  <si>
    <t>Nissan Pathfinder CUV</t>
  </si>
  <si>
    <t>Volkswagen Atlas</t>
  </si>
  <si>
    <t>Premium Sporty Car (45)</t>
  </si>
  <si>
    <t>BMW i8</t>
  </si>
  <si>
    <t>BMW M2</t>
  </si>
  <si>
    <t>BMW M4</t>
  </si>
  <si>
    <t>Jaguar F-Type</t>
  </si>
  <si>
    <t>Maserati GranTurismo</t>
  </si>
  <si>
    <t>Mercedes-Benz AMG GT</t>
  </si>
  <si>
    <t>Mercedes-Benz SLC</t>
  </si>
  <si>
    <t>Porsche 718 Boxster</t>
  </si>
  <si>
    <t>Porsche 718 Cayman</t>
  </si>
  <si>
    <t>Small Car (51)</t>
  </si>
  <si>
    <t>Chevrolet Bolt EV</t>
  </si>
  <si>
    <t>Kia Rio 5</t>
  </si>
  <si>
    <t>Mitsubishi Mirage</t>
  </si>
  <si>
    <t>Mitsubishi Mirage G4</t>
  </si>
  <si>
    <t>Scenario 1</t>
  </si>
  <si>
    <t>Scenario 2</t>
  </si>
  <si>
    <t>Model in DSS</t>
  </si>
  <si>
    <t>Vehicle contribution margin prior to incentives (default 30% of VP)</t>
  </si>
  <si>
    <t>Average CM of canabilized units (for ACM calc)</t>
  </si>
  <si>
    <t>Diversion from rest of portfolio for ACM calc</t>
  </si>
  <si>
    <t>Lease (incl. residual decline)</t>
  </si>
  <si>
    <t>Sales Volume Assumption [units / month]</t>
  </si>
  <si>
    <t>Respective scenairio # for volume assumption</t>
  </si>
  <si>
    <t>Section 2: Incentive Tactics</t>
  </si>
  <si>
    <t>Lease Offer/Pmt to Display in Presnetaiton Output</t>
  </si>
  <si>
    <t>Dealer cash offer value - cash</t>
  </si>
  <si>
    <t>Dealer cash offer value - finance</t>
  </si>
  <si>
    <t>Dealer cash offer value - lease</t>
  </si>
  <si>
    <t>Bonus cash:  STACKABILITY HERE (Default is all types of sales)</t>
  </si>
  <si>
    <t>Percent of sales affected/pass thru</t>
  </si>
  <si>
    <t>Row lookup from Input Creation:</t>
  </si>
  <si>
    <t>na</t>
  </si>
  <si>
    <t>Offers for Chart Display</t>
  </si>
  <si>
    <t>Client / ISR Input</t>
  </si>
  <si>
    <t>Model x Scenario #</t>
  </si>
  <si>
    <t>Dealer Cash Pass Through</t>
  </si>
  <si>
    <t>APR 
24M</t>
  </si>
  <si>
    <t>APR 
36M</t>
  </si>
  <si>
    <t>APR 
48M</t>
  </si>
  <si>
    <t>APR 
60M</t>
  </si>
  <si>
    <t>APR 
72M</t>
  </si>
  <si>
    <t>APR 
84M</t>
  </si>
  <si>
    <t>Display
84M</t>
  </si>
  <si>
    <t>Rebate Combo Cash</t>
  </si>
  <si>
    <t>Other 3: Percent of Inventory Affected</t>
  </si>
  <si>
    <t>Lease Support Offer for Chart</t>
  </si>
  <si>
    <t>Lease Support Offer as a Payment for Chart</t>
  </si>
  <si>
    <t>APR Ref</t>
  </si>
  <si>
    <t>APR Combo Ref</t>
  </si>
  <si>
    <t>APR Combo Ref 
(rate only display)</t>
  </si>
  <si>
    <t>Delta Applied to Market Performance (elim negatives)</t>
  </si>
  <si>
    <t>Spending of DSS Baseline</t>
  </si>
  <si>
    <t>Cost for Dealer Cash Pass Thru Adjustment</t>
  </si>
  <si>
    <t xml:space="preserve">Cost Sharing w/Captive </t>
  </si>
  <si>
    <t>Aggregated Spend</t>
  </si>
  <si>
    <t>New Calculations for Auto Adjustments</t>
  </si>
  <si>
    <t>Quality Check of Take Rate Shifts</t>
  </si>
  <si>
    <t>Auto Adjust of Lift per Elasticities</t>
  </si>
  <si>
    <t>Base Total/Unit Cost</t>
  </si>
  <si>
    <t>Can't gain sales from non-escalating offers</t>
  </si>
  <si>
    <t>Spend/Pmt Change per Adjusted TR</t>
  </si>
  <si>
    <t>Implied DSS Elascity (unadjusted)</t>
  </si>
  <si>
    <t>DSS BC Elasticity</t>
  </si>
  <si>
    <t xml:space="preserve">Min </t>
  </si>
  <si>
    <t>Max</t>
  </si>
  <si>
    <t>Lift Adjustment per $1000</t>
  </si>
  <si>
    <t>ok/error?</t>
  </si>
  <si>
    <t>Baseline1</t>
  </si>
  <si>
    <t>Baseline2</t>
  </si>
  <si>
    <t>Calibration - Lease (vs Base1)</t>
  </si>
  <si>
    <t>Baseline2 for Copy</t>
  </si>
  <si>
    <t>Ref: BC Elasticity</t>
  </si>
  <si>
    <t>Implied Elast w/o Take Rate Shifts</t>
  </si>
  <si>
    <t>Implied Elasticity</t>
  </si>
  <si>
    <r>
      <t>Profit
[</t>
    </r>
    <r>
      <rPr>
        <sz val="14"/>
        <color theme="1"/>
        <rFont val="Calibri"/>
        <family val="2"/>
      </rPr>
      <t>∆</t>
    </r>
    <r>
      <rPr>
        <sz val="14"/>
        <color theme="1"/>
        <rFont val="Calibri"/>
        <family val="2"/>
        <scheme val="minor"/>
      </rPr>
      <t>%]</t>
    </r>
  </si>
  <si>
    <t>Labels=&gt;</t>
  </si>
  <si>
    <t>Select Vehicle:</t>
  </si>
  <si>
    <t>(See Pivot Table)</t>
  </si>
  <si>
    <t>Start Date</t>
  </si>
  <si>
    <t>Exclude points with transaction counts lower than:</t>
  </si>
  <si>
    <t>End Date</t>
  </si>
  <si>
    <t>INPUT DSS OUTPUT DATA (Paste Values):</t>
  </si>
  <si>
    <t>CHART CALCULATIONS:</t>
  </si>
  <si>
    <t>Offer</t>
  </si>
  <si>
    <t>Take Rates</t>
  </si>
  <si>
    <t>Take Rate</t>
  </si>
  <si>
    <t>F-C</t>
  </si>
  <si>
    <t>L-P</t>
  </si>
  <si>
    <t>Series</t>
  </si>
  <si>
    <t>All</t>
  </si>
  <si>
    <t>Trim</t>
  </si>
  <si>
    <t>Fuel Type</t>
  </si>
  <si>
    <t>Drive Type ID</t>
  </si>
  <si>
    <t>GM Region</t>
  </si>
  <si>
    <t>PIN Segment</t>
  </si>
  <si>
    <t>FCA Region</t>
  </si>
  <si>
    <t>Honda Region</t>
  </si>
  <si>
    <t>Lexus Region</t>
  </si>
  <si>
    <t>Nissan Region</t>
  </si>
  <si>
    <t>PIN Region</t>
  </si>
  <si>
    <t>Toyota Region</t>
  </si>
  <si>
    <t>Ford Region</t>
  </si>
  <si>
    <t>Avg Residual</t>
  </si>
  <si>
    <t>Calendar Year</t>
  </si>
  <si>
    <t>CHART CALCULATIONS for Historical ISR Data:</t>
  </si>
  <si>
    <t>Values</t>
  </si>
  <si>
    <t>Sales Year</t>
  </si>
  <si>
    <t>Sales Month Of Year</t>
  </si>
  <si>
    <t>IncentiveSpending by Cash</t>
  </si>
  <si>
    <t>IncentiveSpending by Finance</t>
  </si>
  <si>
    <t>IncentiveSpending by Lease</t>
  </si>
  <si>
    <t>IncentiveMix by Cash</t>
  </si>
  <si>
    <t>IncentiveMix by Finance</t>
  </si>
  <si>
    <t>IncentiveMix by Lease</t>
  </si>
  <si>
    <t>ALG36</t>
  </si>
  <si>
    <t>ISR Wtd Cts</t>
  </si>
  <si>
    <t>Lease (adj. for resid.)</t>
  </si>
  <si>
    <t>2016</t>
  </si>
  <si>
    <t>03</t>
  </si>
  <si>
    <t>04</t>
  </si>
  <si>
    <t>05</t>
  </si>
  <si>
    <t>06</t>
  </si>
  <si>
    <t>07</t>
  </si>
  <si>
    <t>08</t>
  </si>
  <si>
    <t>2017</t>
  </si>
  <si>
    <t>09</t>
  </si>
  <si>
    <t>10</t>
  </si>
  <si>
    <t>11</t>
  </si>
  <si>
    <t>12</t>
  </si>
  <si>
    <t>01</t>
  </si>
  <si>
    <t>02</t>
  </si>
  <si>
    <t>2018</t>
  </si>
  <si>
    <t>Reference:</t>
  </si>
  <si>
    <t xml:space="preserve"> CC</t>
  </si>
  <si>
    <t xml:space="preserve"> Lease</t>
  </si>
  <si>
    <t>Baseline1 for Copy</t>
  </si>
  <si>
    <t>Row #</t>
  </si>
  <si>
    <t>Enter Model Year</t>
  </si>
  <si>
    <t>Leave this at 100%</t>
  </si>
  <si>
    <t>Incentive cost per affected unit, (Client data or ISR)</t>
  </si>
  <si>
    <t>Cash: Cash Incentive Offering/Unit</t>
  </si>
  <si>
    <t>Finance: Supported Finance Incentive Offering/Unit</t>
  </si>
  <si>
    <t>26-28</t>
  </si>
  <si>
    <t>Mix assumptions (Client data or ISR)</t>
  </si>
  <si>
    <t>Finance: Supported Finance Incentive Penetration</t>
  </si>
  <si>
    <t>Market rates Lease, add 1% to the corresponding Market Rate - Finance</t>
  </si>
  <si>
    <t>OEM Cost of Funds Assumptions - Finance (Client data or ISR)</t>
  </si>
  <si>
    <t>OEM Cost of Funds Assumptions - Lease (Client data or ISR)</t>
  </si>
  <si>
    <t>Vehicle Price: Vehicle Price from ISR or Explorer</t>
  </si>
  <si>
    <t>Cash rebate: Client data or ISR, Customer Cash Rebate: $ Offer</t>
  </si>
  <si>
    <t>Step 1</t>
  </si>
  <si>
    <t>Step 2</t>
  </si>
  <si>
    <t>Step 3</t>
  </si>
  <si>
    <t>Step 4</t>
  </si>
  <si>
    <t>Step 5</t>
  </si>
  <si>
    <t>Step 6</t>
  </si>
  <si>
    <t>Step 7</t>
  </si>
  <si>
    <t>Simulating Scenarios in DSS</t>
  </si>
  <si>
    <t>QC</t>
  </si>
  <si>
    <t>Start with 1 lever changes (i.e. $500 customer cash increase only) to see changes in cost and take rates</t>
  </si>
  <si>
    <t>Time Saving Tips</t>
  </si>
  <si>
    <t>If segment calibration has not changed since previous modeling and inputs have not changed significantly, prior DSS work should be leveraged.</t>
  </si>
  <si>
    <t>To determine how much spending is required to close a gap to an objective, take an existing efficent scenario and apply bonus cash increments to it rather than running a variety of higher tactics to keep efficiency.</t>
  </si>
  <si>
    <t>If an additional scenario is required for a previous analysis but the model has been updated, rerun the baseline scenario and the new desired scenario.  Then apply the deltas of these results to the previous baseline run.</t>
  </si>
  <si>
    <t>Specify geographical granularity. For national, type “National”, for specific region, look up region nomenclature from DSS</t>
  </si>
  <si>
    <t>Enter Model that will be used in DSS</t>
  </si>
  <si>
    <t>Enter gross contribution margin (Client Data or default of 30% of VP if unavailable)</t>
  </si>
  <si>
    <t>21-24</t>
  </si>
  <si>
    <t>Lease: Supported Lease Incentive Offering/Unit (add any residual decline expected for next month since assumption is customer offer will remain unchanged)</t>
  </si>
  <si>
    <t>Select scenario number that volume assumption should be applied to</t>
  </si>
  <si>
    <t>34-38</t>
  </si>
  <si>
    <t>40-44</t>
  </si>
  <si>
    <t>46-50</t>
  </si>
  <si>
    <t>52-56</t>
  </si>
  <si>
    <t>57-68</t>
  </si>
  <si>
    <t>69-74</t>
  </si>
  <si>
    <t>ALG residual: Set to a default 60%/55%/52%/50%/45%.</t>
  </si>
  <si>
    <t>79-96</t>
  </si>
  <si>
    <t>Dealer Cash Lift Adjustment:  Default is 70% of pass through of visibile cash offer.  This can be adjusted by reviewing historical performance or running DC on all types of sales versus bonus cash in DSS.</t>
  </si>
  <si>
    <t>Bonus Cash: Client Data or ISR, sum of all remaining misc. programs that stack equally on cash/finance/lease, such as conquest cash: Wgt'd $/unit, loyalty cash: Wgt'd $/unit, etc.</t>
  </si>
  <si>
    <t>107-121</t>
  </si>
  <si>
    <t xml:space="preserve">Update formulas in columns CI, CP, CV, and DB as necessary to account for the stackability of dealer cash and misc programs. </t>
  </si>
  <si>
    <t>Generating Scenarios. Worksheet: "DSS_Calc"</t>
  </si>
  <si>
    <t>Adjust Calibration Scenarios 3 to 5 as necessary.  These scenarios are used to address issues that occur with disconnects between DSS and Client take rates.  Finance calibration scenario should only leverage incremental combo cash if 60M or 72M APR are already 0% to avoid issues from the changes in term mix.</t>
  </si>
  <si>
    <t xml:space="preserve">Open DSS_IP_TemplateForCopies.xlsx file </t>
  </si>
  <si>
    <t xml:space="preserve">Click on "Options" under the DSS Add-ins, then "Scenarios and Connections", then select both model years and Select All segment, then click create "Create base .scn …" </t>
  </si>
  <si>
    <t>Click on "BSG" under the DSS Add-ins, then "Run Existing Scenarios", then "Next"</t>
  </si>
  <si>
    <t>Copy and paste DSS output as values back into the DSS Calc tab</t>
  </si>
  <si>
    <t>If proposing significant changes in APR like dropping to 0%/72M or baseline APR take rate is very low (less than 1%), confirm that the finance cost/unit is near expectations or historical value of that offer.</t>
  </si>
  <si>
    <t>Best Practices:</t>
  </si>
  <si>
    <t>Presentation Output</t>
  </si>
  <si>
    <t>Adjust headers, labels, and referrences in rows 28 to 32 as necessary.   Columns AP to AR on DSS_calc can be leveraged to create other offers to reference.</t>
  </si>
  <si>
    <t>Hide columns as needed for each client.  Recommendation is to show all offers that are included in the spend/unit, cash/finance/lease take rates, incentive spend/unit, sales (units), profit ($M), sales lift.</t>
  </si>
  <si>
    <t>If a high spend/volume is required to close the gap, show the scenario in the table but restrict the x and y axis of the chart to exclude that scenario so that others remain legible</t>
  </si>
  <si>
    <t>Updating References, Worksheet "Lookup".</t>
  </si>
  <si>
    <t>APR Combo Ref 
(rate only display for 48/60/72M)</t>
  </si>
  <si>
    <t>All: Auto Adjustments (On/Off):</t>
  </si>
  <si>
    <t>Finance Only: Auto Adjustments (On/Off):</t>
  </si>
  <si>
    <t>Update formulas in column IO to IT, as necessary, for incremental cost of dealer offers versus what is run in the model and any cost sharing with captive</t>
  </si>
  <si>
    <t>Cash Incentive ($)
(excl cost of captive mkt rate)</t>
  </si>
  <si>
    <t>Copy and paste data from ElastQA from DSSIP setup files.  This should be updated when a segment is recalibrated.</t>
  </si>
  <si>
    <t>If baseline offers and takes rates are similar to prior month, then recommendations should be similar as well</t>
  </si>
  <si>
    <t>Misc Prog: Client Data or ISR.  Any programs that don't stack on all incentive types.  Note the stackability for others and future reference</t>
  </si>
  <si>
    <t>Fiat 124 Spider</t>
  </si>
  <si>
    <t>Hyundai Ioniq Hybrid</t>
  </si>
  <si>
    <t>Mini Clubman</t>
  </si>
  <si>
    <t>Toyota Prius Prime</t>
  </si>
  <si>
    <t>Volkswagen Golf Alltrack</t>
  </si>
  <si>
    <t>Kia Niro</t>
  </si>
  <si>
    <t>Nissan Rogue Sport</t>
  </si>
  <si>
    <t>Toyota C-HR</t>
  </si>
  <si>
    <t>Copy latest market environment/calibration files into your DSS modeling folder</t>
  </si>
  <si>
    <t>Copy scenarios starting in column G of BSG Input tab.</t>
  </si>
  <si>
    <t>Highlight entire row of scenarios to run and click "Start" in BSG window on right.  Note: all scenarios highlighted need to be in consecutive rows with incremental scenarios numbers.</t>
  </si>
  <si>
    <t>2015</t>
  </si>
  <si>
    <t xml:space="preserve"> APR Cash</t>
  </si>
  <si>
    <t>APR Cash</t>
  </si>
  <si>
    <t>Estimated Lease Cash for Current Mkt Lease TR</t>
  </si>
  <si>
    <t>Scenarios to Aid in Calibrating Lease Cash</t>
  </si>
  <si>
    <t>2) Adjust range of Lease Cash offer in column Y as necessary</t>
  </si>
  <si>
    <t>4) Estimated Lease Cash Offer required for each model is in column HM (repeat if necessary)</t>
  </si>
  <si>
    <t>3) Run scenarios in DSS and paste output in column DY+</t>
  </si>
  <si>
    <t>Kia2 Region</t>
  </si>
  <si>
    <t>Elasticity of Scenario (adjusted target)</t>
  </si>
  <si>
    <t>ROUND 2</t>
  </si>
  <si>
    <t>Alfa Romeo Stelvio</t>
  </si>
  <si>
    <t>Land Rover Range Rover Velar</t>
  </si>
  <si>
    <t>Volvo XC60 Plug-In Hybrid</t>
  </si>
  <si>
    <t>Chevrolet Malibu Hybrid</t>
  </si>
  <si>
    <t>Acura MDX Hybrid</t>
  </si>
  <si>
    <t>Land Rover Discovery</t>
  </si>
  <si>
    <t>Audi RS 3</t>
  </si>
  <si>
    <t>BMW M5</t>
  </si>
  <si>
    <t>Lexus LC 500</t>
  </si>
  <si>
    <t>Other (60/72)</t>
  </si>
  <si>
    <t>APR
(60/72)</t>
  </si>
  <si>
    <t>Sales
Event</t>
  </si>
  <si>
    <t>Other
(display)</t>
  </si>
  <si>
    <t>Other
(Display)</t>
  </si>
  <si>
    <t xml:space="preserve"> Event</t>
  </si>
  <si>
    <t xml:space="preserve"> Other</t>
  </si>
  <si>
    <t>Calibration - Cash (vs Base1)</t>
  </si>
  <si>
    <t>Calibration - Finance (vs Base1) - (Note: If 60M or 72M APR is 0% in Baseline1, then only add Combo Cash)</t>
  </si>
  <si>
    <t>Reference - Bonus Cash (vs Base1)</t>
  </si>
  <si>
    <t>Baseline Scenario</t>
  </si>
  <si>
    <t>Spend/Unit (net)</t>
  </si>
  <si>
    <t>Spend/Unit (w/o TR changes)</t>
  </si>
  <si>
    <t>Implied Elasticity (column C)</t>
  </si>
  <si>
    <t>Implied Elast w/o Take Rate Shifts (column A)</t>
  </si>
  <si>
    <t>Additional QC Steps vs Independent Scenario &amp; Metrics on Output Sheet</t>
  </si>
  <si>
    <t>Labels</t>
  </si>
  <si>
    <t xml:space="preserve"> BC</t>
  </si>
  <si>
    <t xml:space="preserve"> Combo</t>
  </si>
  <si>
    <t xml:space="preserve"> DC</t>
  </si>
  <si>
    <t xml:space="preserve"> (M1)</t>
  </si>
  <si>
    <t xml:space="preserve"> (M4)</t>
  </si>
  <si>
    <t xml:space="preserve"> (M5)</t>
  </si>
  <si>
    <t xml:space="preserve">Misc 3: TYPE DESCRIPTION &amp; STACKABILITY HERE </t>
  </si>
  <si>
    <t xml:space="preserve">Misc 4: TYPE DESCRIPTION &amp; STACKABILITY HERE </t>
  </si>
  <si>
    <t xml:space="preserve">Misc 5: TYPE DESCRIPTION &amp; STACKABILITY HERE </t>
  </si>
  <si>
    <t>Misc 1: Percent of Inventory Affected</t>
  </si>
  <si>
    <t>Misc 2: Percent of Inventory Affected</t>
  </si>
  <si>
    <t>Misc 4: Percent of Inventory Affected</t>
  </si>
  <si>
    <t>Misc 5: Percent of Inventory Affected</t>
  </si>
  <si>
    <t>TOI</t>
  </si>
  <si>
    <t>Lease (identify as TOS instead if lease w/o any support)</t>
  </si>
  <si>
    <t>Section 1: Summary of Baseline Assumptions - Not Applicable</t>
  </si>
  <si>
    <t>DSS Input Creation - Future Month Proposals from Clients</t>
  </si>
  <si>
    <t>Misc 3: Percent of Inventory Affected</t>
  </si>
  <si>
    <t>1) Adjust mapping of offers into DSS Inputs the same as DSS_calc tab</t>
  </si>
  <si>
    <t>Auto Adjustments</t>
  </si>
  <si>
    <t>QC Check Summary</t>
  </si>
  <si>
    <t>Spend change from scenario 1 to 2</t>
  </si>
  <si>
    <t>Incr. sales only in single lever moves vs scen 1</t>
  </si>
  <si>
    <t>BC (pre-Adj)</t>
  </si>
  <si>
    <t>Note: Need to adjust formula if additional group is added</t>
  </si>
  <si>
    <t>Rank of Efficiency</t>
  </si>
  <si>
    <t>Implied Elasticty from est. $0 Spend sceanrio</t>
  </si>
  <si>
    <t>Baseline formulas available for copying for reference</t>
  </si>
  <si>
    <t>Baseline1 from Input</t>
  </si>
  <si>
    <t>Baseline2 from Input</t>
  </si>
  <si>
    <r>
      <t>Description</t>
    </r>
    <r>
      <rPr>
        <sz val="9"/>
        <color theme="1"/>
        <rFont val="Calibri"/>
        <family val="2"/>
        <scheme val="minor"/>
      </rPr>
      <t xml:space="preserve"> </t>
    </r>
    <r>
      <rPr>
        <sz val="8"/>
        <color theme="1"/>
        <rFont val="Calibri"/>
        <family val="2"/>
        <scheme val="minor"/>
      </rPr>
      <t>(cells blank per formula will be skipped in DSSIP run)</t>
    </r>
  </si>
  <si>
    <t>Reference of tactic changes:</t>
  </si>
  <si>
    <t>Leave Area Blank</t>
  </si>
  <si>
    <t>Optimal</t>
  </si>
  <si>
    <t>Delta</t>
  </si>
  <si>
    <t>Central</t>
  </si>
  <si>
    <t>Mid-Atlantic</t>
  </si>
  <si>
    <t>Midwest</t>
  </si>
  <si>
    <t>Mountain</t>
  </si>
  <si>
    <t>Northeast</t>
  </si>
  <si>
    <t>Type of Sale</t>
  </si>
  <si>
    <t>Northwest</t>
  </si>
  <si>
    <t>Southeast</t>
  </si>
  <si>
    <t>Car Or Truck</t>
  </si>
  <si>
    <t>West</t>
  </si>
  <si>
    <t>Make</t>
  </si>
  <si>
    <t>Nissan</t>
  </si>
  <si>
    <t>Changes off optimal</t>
  </si>
  <si>
    <t>+ $500 Cust. Cash</t>
  </si>
  <si>
    <t>+ $500 Combo Cash</t>
  </si>
  <si>
    <t>+ $500 Lease</t>
  </si>
  <si>
    <t>+ $500 Bonus Cash</t>
  </si>
  <si>
    <t>Sentra</t>
  </si>
  <si>
    <t>Premium Hierarchy</t>
  </si>
  <si>
    <t>Estimated Retail Sales</t>
  </si>
  <si>
    <t>Total</t>
  </si>
  <si>
    <t>Lift Change</t>
  </si>
  <si>
    <t>Cost Change</t>
  </si>
  <si>
    <t>REGIONAL ENHANCEMENTS</t>
  </si>
  <si>
    <t>REGION</t>
  </si>
  <si>
    <t xml:space="preserve">Mix of MY18 National Sales </t>
  </si>
  <si>
    <t>National</t>
  </si>
  <si>
    <t>Elasticity</t>
  </si>
  <si>
    <r>
      <t xml:space="preserve">∆ </t>
    </r>
    <r>
      <rPr>
        <sz val="8.8000000000000007"/>
        <color rgb="FFC00000"/>
        <rFont val="Calibri"/>
        <family val="2"/>
      </rPr>
      <t>LIFT</t>
    </r>
  </si>
  <si>
    <r>
      <t xml:space="preserve">∆ </t>
    </r>
    <r>
      <rPr>
        <sz val="8.8000000000000007"/>
        <color rgb="FFC00000"/>
        <rFont val="Calibri"/>
        <family val="2"/>
      </rPr>
      <t>$/Unit</t>
    </r>
  </si>
  <si>
    <t>CALCULATED ELASTICITIES</t>
  </si>
  <si>
    <t>(Single levers vs BC)</t>
  </si>
  <si>
    <t>Optimal National Scenario #</t>
  </si>
  <si>
    <t>Optimal Scenario # in Regional Runs</t>
  </si>
  <si>
    <t>Dealer cash (define as type of sale/type of incentive by mapping on DSS_calc)</t>
  </si>
  <si>
    <t>Audi S3</t>
  </si>
  <si>
    <t>Audi S4</t>
  </si>
  <si>
    <t>Cadillac ATS Coupe</t>
  </si>
  <si>
    <t>Kia Stinger</t>
  </si>
  <si>
    <t>Avg (w/ limits)</t>
  </si>
  <si>
    <t>Model / Region #</t>
  </si>
  <si>
    <t>Model /Region #</t>
  </si>
  <si>
    <t>L</t>
  </si>
  <si>
    <t>F/P</t>
  </si>
  <si>
    <t>Take Rates x Share of DSS Baseline</t>
  </si>
  <si>
    <t>Sales Delta versus DSS Baseline</t>
  </si>
  <si>
    <t>Auto Adjustment of Sales (per elasticity)</t>
  </si>
  <si>
    <t>Take Rate/Lift Adjustments per Sales</t>
  </si>
  <si>
    <t>Current Market Sales Performace</t>
  </si>
  <si>
    <t>Volume Est at $0 Spend</t>
  </si>
  <si>
    <t>Other Sales Adjustments if Necessary</t>
  </si>
  <si>
    <t xml:space="preserve">Other Lift Adjustment (see columns HV to HX) </t>
  </si>
  <si>
    <t>Cash Incentive</t>
  </si>
  <si>
    <t>Captive, Supported Finance Incentive</t>
  </si>
  <si>
    <t>Captive, Supported Lease Incentive</t>
  </si>
  <si>
    <t>Lease support:</t>
  </si>
  <si>
    <t>Scen #</t>
  </si>
  <si>
    <t>Scen</t>
  </si>
  <si>
    <t>Model:</t>
  </si>
  <si>
    <t>Reference for Macro</t>
  </si>
  <si>
    <t>Right</t>
  </si>
  <si>
    <t>Label Pos</t>
  </si>
  <si>
    <t>Min</t>
  </si>
  <si>
    <t>X</t>
  </si>
  <si>
    <t>Y</t>
  </si>
  <si>
    <t>Incr</t>
  </si>
  <si>
    <t>Baseline1 from Input(+) tab</t>
  </si>
  <si>
    <t>Baseline2 from Input(+) tab</t>
  </si>
  <si>
    <t>Left</t>
  </si>
  <si>
    <t>Below</t>
  </si>
  <si>
    <t>Lease (identify as TOS instead if leasing w/o any support)</t>
  </si>
  <si>
    <t>C</t>
  </si>
  <si>
    <t>F</t>
  </si>
  <si>
    <t>Spend</t>
  </si>
  <si>
    <t>VP</t>
  </si>
  <si>
    <t>Reference: Lease Ad Pmt Calculator</t>
  </si>
  <si>
    <t>Monthly Payment</t>
  </si>
  <si>
    <t>Due at Signing</t>
  </si>
  <si>
    <t>Term</t>
  </si>
  <si>
    <t>Equivalent Payment @ $0 Down</t>
  </si>
  <si>
    <t>Change OEM Spend</t>
  </si>
  <si>
    <t>Memo: National Elasticity from ElastQA</t>
  </si>
  <si>
    <t>Universal Min Cash Elasticity</t>
  </si>
  <si>
    <r>
      <t xml:space="preserve">Ref: </t>
    </r>
    <r>
      <rPr>
        <sz val="12"/>
        <color theme="1"/>
        <rFont val="Calibri"/>
        <family val="2"/>
      </rPr>
      <t xml:space="preserve">∆ Sales </t>
    </r>
    <r>
      <rPr>
        <sz val="12"/>
        <color theme="1"/>
        <rFont val="Calibri"/>
        <family val="2"/>
        <scheme val="minor"/>
      </rPr>
      <t>by Tactic</t>
    </r>
  </si>
  <si>
    <t>Lift +1</t>
  </si>
  <si>
    <t>Estimated Change in Spend</t>
  </si>
  <si>
    <t>Reference: Cost of 1ppt of APR (60M/72M)</t>
  </si>
  <si>
    <t>Model/ Region #</t>
  </si>
  <si>
    <t>Take Rate/Sales</t>
  </si>
  <si>
    <t>Total Spend Change Target</t>
  </si>
  <si>
    <t>Elasticity per:</t>
  </si>
  <si>
    <t>Scenarios 3-5</t>
  </si>
  <si>
    <t>Take rate shift from scenario 1 to 2</t>
  </si>
  <si>
    <t>Reference scenario #</t>
  </si>
  <si>
    <t>Reference: spend change by tactic</t>
  </si>
  <si>
    <t>Under Development to have all models/regions on one output sheet</t>
  </si>
  <si>
    <t>Max absolute value take rate shift on chart</t>
  </si>
  <si>
    <t>Universal Baseline Scenario Reference for QCs</t>
  </si>
  <si>
    <t>Per ElastQA</t>
  </si>
  <si>
    <t>Per Scenarios 3-5</t>
  </si>
  <si>
    <t>Maximize</t>
  </si>
  <si>
    <t>Optional: rate subvention cost</t>
  </si>
  <si>
    <t xml:space="preserve">Tool to estimate the scenarios that should be run to target efficiency gains (uses Solver Add-In under Data toolbar to estimate spend changes) </t>
  </si>
  <si>
    <t>Notes: If no scenarios already run, select elasticities from ElastQA in cell G5.  If scenarios 3-5 have been run, select it for elasticities.</t>
  </si>
  <si>
    <t>Directions: Change columns A to C as necessary.  Set spending in columns Q to S to $0 before running Solver the first time.  Run Solver and adjust limits if necessary.  Solver can be rerun to further refine initial solutions.</t>
  </si>
  <si>
    <t>Mercedes-Benz CLS-Class</t>
  </si>
  <si>
    <t>Preparing the Inputs, Worksheet "Input".</t>
  </si>
  <si>
    <t>Version 3.3</t>
  </si>
  <si>
    <t>Publication date: May 7, 2018</t>
  </si>
  <si>
    <t>Enter Vehicle/Region for your own reference</t>
  </si>
  <si>
    <t>Ener OEM of vehicle being run in DSS</t>
  </si>
  <si>
    <t>Other/Misc that stack on Cash, Finance, and Lease</t>
  </si>
  <si>
    <t>Cash: Cash Incentive Penetration (Default to equal 100%)</t>
  </si>
  <si>
    <t>Lease: Supported Lease Incentive Penetration (If no supported lease, model can still be calibrated to lease type of sale to more accurately capture the adding of a lease offer)</t>
  </si>
  <si>
    <t>Leave at 70% default so that 1 scenario is run in the backgorund of the incentive model</t>
  </si>
  <si>
    <t>Enter baseline volume assumptions (Client data or IP walkcharts with MY mix applied).  These can be rounded.</t>
  </si>
  <si>
    <t xml:space="preserve">Select 'Y' if captive offers market rate for non-supported loans. (Does not impact lifts, just divides finance deals with cash incentive between captive and non-captive) </t>
  </si>
  <si>
    <t xml:space="preserve">Market rates Finance (Pull APR rates for non-captive loans (per PIN Explorer definitions) from PIN Navigator for credit tiers A+,A,B for the respective OEM or the clients standard rates). </t>
  </si>
  <si>
    <t>Down payment Finance and Lease: estimate from ISR or PIN Explorer as $ or %.  Or keep at default 10% as long as finance offer already exists in baseline.</t>
  </si>
  <si>
    <t>APR Support: Client data, website, Incentive watch pdfs etc. If only one supported APR offer available, recommendation is to put in Combo field 87-95.  Additionally, 84M financing currently available for display purposes only in output. If currently available, recommendation is to reduce at same increment as 72M offer is changed in generating other scenarios.  If need to run other higher term offers for impact, manually calculate the additional incentive cost versus the current finance offer.  Leverage a miscellaneous incentive field and map it into combo cash.  Rows 86 and 96 available if you want to capture the cost of the rate subvention only so that you can map the spending in rows 21 to 24 to Section 2.</t>
  </si>
  <si>
    <t>(These could be mapped to the offers in Section 2 of the inputs if desired)</t>
  </si>
  <si>
    <t>100-103</t>
  </si>
  <si>
    <t>Dealer Cash: Client Data or ISR.  Stackability by type of sale or type of incentive can be adjusted on DSS_Calc sheet as they will be mapped into rebate, rebate combo, lease cash, or bonus cash field.</t>
  </si>
  <si>
    <t>Adjusting Incentive Stackability &amp; Costing, Worksheet "LC Calib" &amp; "DSS_Calc"</t>
  </si>
  <si>
    <t>Actual Lease Offer to display in output: Client data or ISR.  This can be Lease Spend/Unit, Incremental Lease Spend/Unit (as in the case of Toyota Regional), or a Lease Ad Payment.  Rows added from 150-155 if client is providing change in Ad Payments in order to estimate cost change.</t>
  </si>
  <si>
    <t>Copy these formulas down to all scenarios within that Model/Region.  These should remain consistent for all scenarios.</t>
  </si>
  <si>
    <t>Lease cash amount in DSS required to reach given level of lease penetration (See instructions below "Adjusting lease cash for needed lease penetration" after finishing all inputs and adjusting incentive stackability)</t>
  </si>
  <si>
    <t>Adjusting Lease Cash for Needed Lease Penetration per "LC Calib"</t>
  </si>
  <si>
    <t>This tab is running two sets of 3 scenarios for each Model/Region to determine the best lease cash value for lease take rate in the model to match the output</t>
  </si>
  <si>
    <t>If more Models/Regions are being run, copy rows 29-31 down and change cell in column C to next Model/Region #.  Do the same in the second batch as well</t>
  </si>
  <si>
    <t>Select first group of scenarios from AT17 to DW##.  Paste scenarios as values into the DSS_IP_TemplateForCopies.xlsx file, "BSG Input" Worksheet</t>
  </si>
  <si>
    <t>Run the scenarios and paste the results as values in DY17+</t>
  </si>
  <si>
    <t xml:space="preserve">Repeat steps 2 and 3 for rows 49+. </t>
  </si>
  <si>
    <t>Confirm that lease cash estimates to use in the model are reasonable. (i.e. Not estimated -$10K lease cash to get lease penetration down).  If unusual, override row 99 on the Input tab to a lease cash level before lease cash moves appear to stop responding to changes.  Highlight the cell yellow for reference for future months.   If nothing is unusual, these will automatically be mapped back to the Input tab.</t>
  </si>
  <si>
    <t>This tab is setup for mapping everything into scenarios for the actual model.  Then applying the outputs from the model to the client take rate and costing inputs as well as allowing for additional adjustments.  The tab is set up to handle multiple vehicles in batches of 100 to ease alignment of row numbers to model/scenario numbers.  It is not recommended to run this many scenarios and the model will automatically skip computing a scenario that is blank in column D.</t>
  </si>
  <si>
    <t>The default file is set up to handle 5 vehicles.  If more is necessary, copy any set of 100 scenario to the end and adjust the Model/Region # in first row of column C.  Then adjust the formula in column KV to be a rank of those respective 100 cells.  Note:  Avoid putting an entire portfolio in one file since adding more Models/Regions and Output tabs increases file size and slows calculations.  If running less vehicles, these sets of rows can be deleted as well and column C can still pull in any vehicle from the Input tab.</t>
  </si>
  <si>
    <t>Adjust scenarios 9 to 25 as desired.  These should be some single lever moves and any scenarios that you think have a high probablity of being efficient to run the first time.  Historically backing off lease for purchase tactics would be worth the run time but using Solver setup already on the Scenario Rec tab can be directional guidance as well.</t>
  </si>
  <si>
    <t>Run scenarios in DSS model (see "Simulating Scenarios in DSS") by copying columns AT to DW into the model and paste values of the results in columns DY to HH</t>
  </si>
  <si>
    <t>Review and QC results.  If necessary, turn off auto adjustments in HJ and HK (most likely when adding an APR from market rate), and/or add adjustments in columns HV to HX, IU to IW.  Lift adjustments should now be done in columns HV to HX as sales increase but can be as a formula of percentage lift of total sales.</t>
  </si>
  <si>
    <t>For 1 lever moves, lift should be smaller than take rate shift. Example: if 1ppts APR increase causes finance take rate increase of 3%, the lift should be less or equal to 3% as well.  If it is smaller, take the next step to confirm if sales of other tactics are increasing despite no offer increase.  This check is included in KL of DSS_Calc and result summarized in AS13 to AU13.</t>
  </si>
  <si>
    <t>If going from only a market APR to supported APR, run a scenario with an offer at 0.1ppt below market rate to check for step functions in lift that will need to be negated in column HV to HX of DSS_calc</t>
  </si>
  <si>
    <t>Use QC tab to check take rates versus historical ISR performance.  Focus on trends rather than overall value.  For issues or significant offer changes, look for historical incidents of those offers.  Adjust the sales/ take rates if needed in columns HV to HX of DSS_Calc</t>
  </si>
  <si>
    <t>Step 8</t>
  </si>
  <si>
    <t>Confirm implied elasticities for 1 lever moves (excluding impact of take rate shifts) make sense.  Elasticitiy for a visible cash move should be within about 20% of bonus cash elasticity; but extra cautious for vehicles with bonus cash elasticities over 5.  A finance move should have an equal to or higher elasticity than cash as these buyers are more price sensitive.  A lease move should have an equal or higher elasticity than finance for same reason.  See column A in either Output tab when a scenario is selected.  If an issue occurs, add adjust in column HV and HX of DSS_Calc and/or turn off auto adjustments on DSS_Calc.  Additionally, these results can be summarized be selecting the desired single lever moves in AS14 to AU14 on Output</t>
  </si>
  <si>
    <t>Be cautious of significant shifts in take rates and offers.  Cells AV17 and AV19 on Output tab highlight when double digit move is occuring.</t>
  </si>
  <si>
    <t>Detering what scenarios that you want to show in the model.  Multiple options:</t>
  </si>
  <si>
    <t xml:space="preserve">Create additional scenarios by leveraging any of the exisitng scenarios or Input(+) from row 88/89 by copying the entire row down and adjust offers as desired.  Rows can be copied from other sets of updated Models/Region scenarios but need to make sure they have the same mapping into DSSIP fields and any additional adjustments are copied down for that respective model/scenario. 
Additional efficient scenarios can be determined by
A) Taking the most efficient tactic to escalate and subtracting the least efficient tactic
B) Taking the most efficient balanced tactic and adding three scenarios of increasing each tactic to determine the next most efficient move.  Keep repeating on next most efficient tactic
C) Leverage the Scenario Rec tab to determine if there is additional opportunity to rebalance </t>
  </si>
  <si>
    <t>C) Go to DSS_Calc tab, condense all the column groups in order to just see description of tactics and results.</t>
  </si>
  <si>
    <t>For changes in captive cost sharing, down payments, or vehicle price assumptions after running DSS, leverage the costing adjustment columns in IR thru IW of DSS_Calc rather than rerunning scenarios</t>
  </si>
  <si>
    <t>-Show one single lever move of cash, finance, and lease to level set on respective efficiency of each escalation and then 2-3 efficient balancing of tactics.</t>
  </si>
  <si>
    <t>-Do not show scenarios with a total customer cash or combo cash of $250/unit since these are not considered feasible options to advertise</t>
  </si>
  <si>
    <t>-Be cautious with significant lease penetration changes as other factors come into play with timing of returns, residuals, used car cannibalizing new car sales.</t>
  </si>
  <si>
    <t>-Don't propose customer cash on luxury vehicles; however it can be respun as dual conquest/loyalty or option credits</t>
  </si>
  <si>
    <t>-For clear communication to client, recommend chosing efficient scenarios that are incremental in tactics to the efficent scenario at lower spending</t>
  </si>
  <si>
    <t>Decide which output order to use (Cash/Finance/Lease) or (Lease/Finance/Cash) and put the Model/Region # in F11.  Make a copy of Output tab for each model/region and delete unused Outputs.</t>
  </si>
  <si>
    <t>Notes:</t>
  </si>
  <si>
    <t>Second column is to be used in cases when the offers are known but the baseline take rates and costs are not</t>
  </si>
  <si>
    <t>Columns B to F can be leveraged to create lookups to other files or incremental tabs</t>
  </si>
  <si>
    <t xml:space="preserve">Input(+) tab can be leveraged if client has provided offers for a future month </t>
  </si>
  <si>
    <t xml:space="preserve">A) Note that market environment changes only change baseline share and thus lift but will not impact take rates or their shifts.  If share has declined, then the lift is expected to increase due to additional upside possible.  Therefore, adjust lift in HV or HX of DSS_Calc sheet. </t>
  </si>
  <si>
    <t xml:space="preserve">Order scenario numbers in column C either in A) escalating spend of all scenarios or B) escalating spend of individual levers and then escalating spend of efficient scenarios.   Each can be achieved by the macros in column AK.  </t>
  </si>
  <si>
    <t>B) Put the most efficient scenario (based on comparing elasticity to an estimated $0 spend scenario).  Number of scenarios can be adjusted in column AL19 up to 19 or the max number of unique scenarios. To eliminate scenarios, change scenario number back "x"</t>
  </si>
  <si>
    <t>A) Put as many of the scenario after the initial calibration vs scenario 1 by running the macro in column AK of Set Scenarios (9 to 27).  To eliminate scenarios, change scenario number back "x"</t>
  </si>
  <si>
    <t>Kia</t>
  </si>
  <si>
    <t>Kia-LR - L1</t>
  </si>
  <si>
    <t>Kia-LR - L2</t>
  </si>
  <si>
    <t>Kia-LR - L3</t>
  </si>
  <si>
    <t>Kia-LR - R1</t>
  </si>
  <si>
    <t>Kia-LR - R2</t>
  </si>
  <si>
    <t xml:space="preserve"> - 75mo Term Available?</t>
  </si>
  <si>
    <t>L1</t>
  </si>
  <si>
    <t>L2</t>
  </si>
  <si>
    <t>L3</t>
  </si>
  <si>
    <t>R1</t>
  </si>
  <si>
    <t>R2</t>
  </si>
  <si>
    <t>RBC</t>
  </si>
  <si>
    <t>Misc 2: Retail Bonus Cash</t>
  </si>
  <si>
    <t>Forte</t>
  </si>
  <si>
    <t>Retail Bonus Cash</t>
  </si>
  <si>
    <t>Optima</t>
  </si>
  <si>
    <t>Sportage</t>
  </si>
  <si>
    <t>Sorento</t>
  </si>
  <si>
    <t>Soul</t>
  </si>
  <si>
    <t>Niro</t>
  </si>
  <si>
    <t>APR 60</t>
  </si>
  <si>
    <t>APR 66</t>
  </si>
  <si>
    <t>APR 72</t>
  </si>
  <si>
    <t>APR 75</t>
  </si>
  <si>
    <t>APR 
75M</t>
  </si>
  <si>
    <t>Display
75M</t>
  </si>
  <si>
    <t>APR
(60/66/72/75)</t>
  </si>
  <si>
    <t>MY=2019</t>
  </si>
  <si>
    <t>Ford EcoSport</t>
  </si>
  <si>
    <t>Hyundai Kona</t>
  </si>
  <si>
    <t>Mitsubishi Eclipse Cross</t>
  </si>
  <si>
    <t xml:space="preserve">Mitsubishi Outlander PHEV </t>
  </si>
  <si>
    <t>Honda Clarity Plug-In Hybrid</t>
  </si>
  <si>
    <t>#</t>
  </si>
  <si>
    <t>Scenario Details</t>
  </si>
  <si>
    <t>Vehicle</t>
  </si>
  <si>
    <r>
      <t xml:space="preserve">Spend </t>
    </r>
    <r>
      <rPr>
        <sz val="11"/>
        <color theme="1" tint="0.249977111117893"/>
        <rFont val="Calibri"/>
        <family val="2"/>
      </rPr>
      <t>Δ</t>
    </r>
  </si>
  <si>
    <t>Elas.</t>
  </si>
  <si>
    <t>Volume</t>
  </si>
  <si>
    <t>BMW X2</t>
  </si>
  <si>
    <t>Jaguar E-Pace</t>
  </si>
  <si>
    <t>Volvo XC40</t>
  </si>
  <si>
    <t>Baseline/Scenario Summary</t>
  </si>
  <si>
    <t>Deltas to be applied to all vehicles/regions</t>
  </si>
  <si>
    <t xml:space="preserve"> OLP/CBP, </t>
  </si>
  <si>
    <t xml:space="preserve">% 60M, </t>
  </si>
  <si>
    <t xml:space="preserve">% 72M, </t>
  </si>
  <si>
    <t xml:space="preserve">Lease, </t>
  </si>
  <si>
    <t xml:space="preserve">BC, </t>
  </si>
  <si>
    <t xml:space="preserve">RBC, </t>
  </si>
  <si>
    <t xml:space="preserve">Combo, </t>
  </si>
  <si>
    <t xml:space="preserve">CC, </t>
  </si>
  <si>
    <t xml:space="preserve">DC, </t>
  </si>
  <si>
    <t>Overall</t>
  </si>
  <si>
    <t>+ Spend</t>
  </si>
  <si>
    <t>- Spend</t>
  </si>
  <si>
    <t>Combined</t>
  </si>
  <si>
    <t>Scen. 1</t>
  </si>
  <si>
    <t>Scen. 2</t>
  </si>
  <si>
    <t>Scen. 3</t>
  </si>
  <si>
    <t>Control</t>
  </si>
  <si>
    <t>Scenario 3</t>
  </si>
  <si>
    <t>$ &lt;50%</t>
  </si>
  <si>
    <t>$ &gt;50%</t>
  </si>
  <si>
    <t xml:space="preserve"> OLP/CBP</t>
  </si>
  <si>
    <t>Sales</t>
  </si>
  <si>
    <t>Pen</t>
  </si>
  <si>
    <t>Offers</t>
  </si>
  <si>
    <t>Sales Month</t>
  </si>
  <si>
    <t>Incentive Region</t>
  </si>
  <si>
    <t>Addntl Cash</t>
  </si>
  <si>
    <t>Addntl Finance</t>
  </si>
  <si>
    <t>Addntl Lease</t>
  </si>
  <si>
    <t>LM RDR</t>
  </si>
  <si>
    <t>Customer Cash</t>
  </si>
  <si>
    <t>KMF Bonus</t>
  </si>
  <si>
    <t>APR 24</t>
  </si>
  <si>
    <t>APR 36</t>
  </si>
  <si>
    <t>APR 48</t>
  </si>
  <si>
    <t>APR 84</t>
  </si>
  <si>
    <t>Forte2019L1</t>
  </si>
  <si>
    <t>Forte2019L2</t>
  </si>
  <si>
    <t>Forte2019L3</t>
  </si>
  <si>
    <t>Forte2019R1</t>
  </si>
  <si>
    <t>Forte2019R2</t>
  </si>
  <si>
    <t>Optima2019L1</t>
  </si>
  <si>
    <t>Optima2019L2</t>
  </si>
  <si>
    <t>Optima2019L3</t>
  </si>
  <si>
    <t>Optima2019R1</t>
  </si>
  <si>
    <t>Optima2019R2</t>
  </si>
  <si>
    <t>Sportage2019L1</t>
  </si>
  <si>
    <t>Sportage2019L2</t>
  </si>
  <si>
    <t>Sportage2019L3</t>
  </si>
  <si>
    <t>Sportage2019R1</t>
  </si>
  <si>
    <t>Sportage2019R2</t>
  </si>
  <si>
    <t>Sorento2019L1</t>
  </si>
  <si>
    <t>Sorento2019L2</t>
  </si>
  <si>
    <t>Sorento2019L3</t>
  </si>
  <si>
    <t>Sorento2019R1</t>
  </si>
  <si>
    <t>Sorento2019R2</t>
  </si>
  <si>
    <t>Soul2019L1</t>
  </si>
  <si>
    <t>Soul2019L2</t>
  </si>
  <si>
    <t>Soul2019L3</t>
  </si>
  <si>
    <t>Soul2019R1</t>
  </si>
  <si>
    <t>Soul2019R2</t>
  </si>
  <si>
    <t>Niro2019L1</t>
  </si>
  <si>
    <t>Niro2019L2</t>
  </si>
  <si>
    <t>Niro2019L3</t>
  </si>
  <si>
    <t>Niro2019R1</t>
  </si>
  <si>
    <t>Niro2019R2</t>
  </si>
  <si>
    <t xml:space="preserve"> KMF BC</t>
  </si>
  <si>
    <t>APR
(48/60/66/72)</t>
  </si>
  <si>
    <t>Soul2020L1</t>
  </si>
  <si>
    <t>Soul2020L2</t>
  </si>
  <si>
    <t>Soul2020L3</t>
  </si>
  <si>
    <t>Soul2020R1</t>
  </si>
  <si>
    <t>Soul2020R2</t>
  </si>
  <si>
    <t>84 Mo</t>
  </si>
  <si>
    <t>DSS Input Value: 84 mo</t>
  </si>
  <si>
    <t>84</t>
  </si>
  <si>
    <t>Sportage2020L1</t>
  </si>
  <si>
    <t>Sportage2020L2</t>
  </si>
  <si>
    <t>Sportage2020L3</t>
  </si>
  <si>
    <t>Sportage2020R1</t>
  </si>
  <si>
    <t>Sportage2020R2</t>
  </si>
  <si>
    <t>Telluride2020L1</t>
  </si>
  <si>
    <t>Telluride</t>
  </si>
  <si>
    <t>Telluride2020L2</t>
  </si>
  <si>
    <t>Telluride2020L3</t>
  </si>
  <si>
    <t>Telluride2020R1</t>
  </si>
  <si>
    <t>Telluride2020R2</t>
  </si>
  <si>
    <t>PPT Slide Width:</t>
  </si>
  <si>
    <t>Ending Column:</t>
  </si>
  <si>
    <t>AI</t>
  </si>
  <si>
    <t>Title:</t>
  </si>
  <si>
    <t>Footer:</t>
  </si>
  <si>
    <t>Notes: Profitability based on a contribution margin before incentives of 30% vehicle price</t>
  </si>
  <si>
    <t>Source:</t>
  </si>
  <si>
    <t>Source: PIN Incentive Planning &amp; Consulting</t>
  </si>
  <si>
    <t>Region L1 (Eastern) Incentive Scenarios</t>
  </si>
  <si>
    <t>Region L2 (Eastern, Central, SW) Incentive Scenarios</t>
  </si>
  <si>
    <t>Region L3 (Southern, Western) Incentive Scenarios</t>
  </si>
  <si>
    <t>Region R1 (Southern, Southwest) Incentive Scenarios</t>
  </si>
  <si>
    <t>Region R2 (Central, Western) Incentive Scenarios</t>
  </si>
  <si>
    <t>AN</t>
  </si>
  <si>
    <t>Ending Row:</t>
  </si>
  <si>
    <t>Honda Insight</t>
  </si>
  <si>
    <t>Mini Coupe/Roadster</t>
  </si>
  <si>
    <t>Audi A3 Convertible</t>
  </si>
  <si>
    <t>BMW 2 Series</t>
  </si>
  <si>
    <t>BMW 4 Series Convertible</t>
  </si>
  <si>
    <t>Kia Niro Plug-In Hybrid</t>
  </si>
  <si>
    <t>Mini Countryman Plug-In Hybrid</t>
  </si>
  <si>
    <t>Nissan Kicks</t>
  </si>
  <si>
    <t>Nissan Rogue Hybrid</t>
  </si>
  <si>
    <t>Subaru Ascent</t>
  </si>
  <si>
    <t>Midsize Van (32)</t>
  </si>
  <si>
    <t>Midsize/Large Premium Car (40)</t>
  </si>
  <si>
    <t>Acura RLX Hybrid</t>
  </si>
  <si>
    <t>BMW 8 Series</t>
  </si>
  <si>
    <t>BMW M550</t>
  </si>
  <si>
    <t>Porsche Panamera E-Hybrid</t>
  </si>
  <si>
    <t>Audi RS 5</t>
  </si>
  <si>
    <t>Mercedes-Benz C63</t>
  </si>
  <si>
    <t>Mercedes-Benz E63</t>
  </si>
  <si>
    <t>Utility Van (53)</t>
  </si>
  <si>
    <t>Mercedes-Benz Vans Metris</t>
  </si>
  <si>
    <t>Mercedes-Benz Vans Sprinter</t>
  </si>
  <si>
    <t>Date/Time of calculation: 2019-07-09 21:03 (UTC-04:00)</t>
  </si>
  <si>
    <t>Alfa Romeo Stelvio Quadrifoglio</t>
  </si>
  <si>
    <t>Cadillac XT4</t>
  </si>
  <si>
    <t>Jaguar I-Pace</t>
  </si>
  <si>
    <t>Lexus UX</t>
  </si>
  <si>
    <t>Fiat 500C</t>
  </si>
  <si>
    <t>Fiat 500e</t>
  </si>
  <si>
    <t>smart fortwo electric drive</t>
  </si>
  <si>
    <t xml:space="preserve"> Bonus</t>
  </si>
  <si>
    <t>Forte2020L1</t>
  </si>
  <si>
    <t>Forte2020L2</t>
  </si>
  <si>
    <t>Forte2020L3</t>
  </si>
  <si>
    <t>Forte2020R1</t>
  </si>
  <si>
    <t>Forte2020R2</t>
  </si>
  <si>
    <t>Mix</t>
  </si>
  <si>
    <t>Optima2020L1</t>
  </si>
  <si>
    <t>Optima2020L2</t>
  </si>
  <si>
    <t>Optima2020L3</t>
  </si>
  <si>
    <t>Optima2020R1</t>
  </si>
  <si>
    <t>Optima2020R2</t>
  </si>
  <si>
    <t>Sorento2020L1</t>
  </si>
  <si>
    <t>Sorento2020L2</t>
  </si>
  <si>
    <t>Sorento2020L3</t>
  </si>
  <si>
    <t>Sorento2020R1</t>
  </si>
  <si>
    <t>Sorento2020R2</t>
  </si>
  <si>
    <t>Niro2020L1</t>
  </si>
  <si>
    <t>Niro2020L2</t>
  </si>
  <si>
    <t>Niro2020L3</t>
  </si>
  <si>
    <t>Niro2020R1</t>
  </si>
  <si>
    <t>Niro2020R2</t>
  </si>
  <si>
    <t>APR
(60/66/72/84)</t>
  </si>
  <si>
    <t>Misc 1: Event Purchase RBV (C, F)</t>
  </si>
  <si>
    <t>Misc 2: Event Lease Bonus (L)</t>
  </si>
  <si>
    <t>Event
RBC</t>
  </si>
  <si>
    <t>Event
Lease</t>
  </si>
  <si>
    <t xml:space="preserve"> Event (RBC)</t>
  </si>
  <si>
    <t xml:space="preserve"> Event (L)</t>
  </si>
  <si>
    <t>December</t>
  </si>
  <si>
    <t>Misc 3: Stackable Bonus Cash</t>
  </si>
  <si>
    <t>SW Bonus Cash</t>
  </si>
  <si>
    <t>SO Bonus Cash</t>
  </si>
  <si>
    <t xml:space="preserve"> Event RBC</t>
  </si>
  <si>
    <t xml:space="preserve"> Event Lease</t>
  </si>
  <si>
    <t xml:space="preserve"> Bonus (SW)</t>
  </si>
  <si>
    <t xml:space="preserve"> Bonus (SO)</t>
  </si>
  <si>
    <t>January</t>
  </si>
  <si>
    <t>Misc 4: State-Level RBC (C, F)</t>
  </si>
  <si>
    <t>Misc 5: Bonus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</si>
</sst>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5" formatCode="&quot;$&quot;#,##0_);\(&quot;$&quot;#,##0\)"/>
    <numFmt numFmtId="6" formatCode="&quot;$&quot;#,##0_);[Red]\(&quot;$&quot;#,##0\)"/>
    <numFmt numFmtId="44" formatCode="_(&quot;$&quot;* #,##0.00_);_(&quot;$&quot;* \(#,##0.00\);_(&quot;$&quot;* &quot;-&quot;??_);_(@_)"/>
    <numFmt numFmtId="43" formatCode="_(* #,##0.00_);_(* \(#,##0.00\);_(* &quot;-&quot;??_);_(@_)"/>
    <numFmt numFmtId="164" formatCode="0.0%"/>
    <numFmt numFmtId="165" formatCode="&quot;$&quot;#,##0.00"/>
    <numFmt numFmtId="166" formatCode="&quot;$&quot;#,##0"/>
    <numFmt numFmtId="167" formatCode="_(&quot;$&quot;* #,##0_);_(&quot;$&quot;* \(#,##0\);_(&quot;$&quot;* &quot;-&quot;??_);_(@_)"/>
    <numFmt numFmtId="168" formatCode="_(* #,##0_);_(* \(#,##0\);_(* &quot;-&quot;??_);_(@_)"/>
    <numFmt numFmtId="169" formatCode="_(&quot;$&quot;* #,##0.0_);_(&quot;$&quot;* \(#,##0.0\);_(&quot;$&quot;* &quot;-&quot;??_);_(@_)"/>
    <numFmt numFmtId="170" formatCode="[$-409]d\-mmm\-yyyy;@"/>
    <numFmt numFmtId="171" formatCode="0.0"/>
    <numFmt numFmtId="172" formatCode="_(&quot;$&quot;* #,##0.000_);_(&quot;$&quot;* \(#,##0.000\);_(&quot;$&quot;* &quot;-&quot;??_);_(@_)"/>
    <numFmt numFmtId="173" formatCode="0.00000000"/>
    <numFmt numFmtId="174" formatCode="0.000000000000000%"/>
    <numFmt numFmtId="175" formatCode="General_)"/>
    <numFmt numFmtId="176" formatCode="0.0000000000000%"/>
    <numFmt numFmtId="177" formatCode="#,##0.0_);\(#,##0.0\)"/>
    <numFmt numFmtId="178" formatCode="&quot;$&quot;#,##0.0"/>
    <numFmt numFmtId="179" formatCode="&quot;$&quot;#,##0.000"/>
    <numFmt numFmtId="180" formatCode="0_);[Red]\(0\)"/>
  </numFmts>
  <fonts count="99">
    <font>
      <sz val="11"/>
      <color theme="1"/>
      <name val="Calibri"/>
      <family val="2"/>
      <scheme val="minor"/>
    </font>
    <font>
      <sz val="11"/>
      <color theme="1"/>
      <name val="Calibri"/>
      <family val="2"/>
      <scheme val="minor"/>
    </font>
    <font>
      <i/>
      <sz val="11"/>
      <color rgb="FF7F7F7F"/>
      <name val="Calibri"/>
      <family val="2"/>
      <scheme val="minor"/>
    </font>
    <font>
      <b/>
      <sz val="11"/>
      <color theme="1"/>
      <name val="Calibri"/>
      <family val="2"/>
      <scheme val="minor"/>
    </font>
    <font>
      <sz val="11"/>
      <color rgb="FFFF0000"/>
      <name val="Calibri"/>
      <family val="2"/>
    </font>
    <font>
      <sz val="11"/>
      <color theme="3"/>
      <name val="Calibri"/>
      <family val="2"/>
      <scheme val="minor"/>
    </font>
    <font>
      <b/>
      <sz val="11"/>
      <name val="Calibri"/>
      <family val="2"/>
    </font>
    <font>
      <b/>
      <sz val="18"/>
      <name val="Calibri"/>
      <family val="2"/>
      <scheme val="minor"/>
    </font>
    <font>
      <sz val="8"/>
      <color indexed="81"/>
      <name val="Tahoma"/>
      <family val="2"/>
    </font>
    <font>
      <b/>
      <sz val="11"/>
      <name val="Calibri"/>
      <family val="2"/>
      <scheme val="minor"/>
    </font>
    <font>
      <b/>
      <sz val="8"/>
      <color indexed="81"/>
      <name val="Tahoma"/>
      <family val="2"/>
    </font>
    <font>
      <b/>
      <sz val="15"/>
      <color theme="3"/>
      <name val="Calibri"/>
      <family val="2"/>
    </font>
    <font>
      <b/>
      <sz val="13"/>
      <color theme="3"/>
      <name val="Calibri"/>
      <family val="2"/>
    </font>
    <font>
      <b/>
      <sz val="11"/>
      <color theme="5" tint="-0.24994659260841701"/>
      <name val="Calibri"/>
      <family val="2"/>
      <scheme val="minor"/>
    </font>
    <font>
      <sz val="10"/>
      <name val="Calibri"/>
      <family val="2"/>
      <scheme val="minor"/>
    </font>
    <font>
      <b/>
      <sz val="11"/>
      <color theme="5" tint="-0.499984740745262"/>
      <name val="Calibri"/>
      <family val="2"/>
    </font>
    <font>
      <sz val="11"/>
      <color theme="3" tint="0.39994506668294322"/>
      <name val="Calibri"/>
      <family val="2"/>
    </font>
    <font>
      <b/>
      <sz val="11"/>
      <color theme="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10"/>
      <color theme="3"/>
      <name val="Calibri"/>
      <family val="2"/>
      <scheme val="minor"/>
    </font>
    <font>
      <b/>
      <sz val="10"/>
      <color theme="0"/>
      <name val="Calibri"/>
      <family val="2"/>
      <scheme val="minor"/>
    </font>
    <font>
      <sz val="11"/>
      <color theme="3" tint="0.39994506668294322"/>
      <name val="Calibri"/>
      <family val="2"/>
      <scheme val="minor"/>
    </font>
    <font>
      <b/>
      <sz val="10"/>
      <color rgb="FFFF0000"/>
      <name val="Calibri"/>
      <family val="2"/>
      <scheme val="minor"/>
    </font>
    <font>
      <sz val="10"/>
      <color indexed="10"/>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theme="0"/>
      <name val="Calibri"/>
      <family val="2"/>
      <scheme val="minor"/>
    </font>
    <font>
      <b/>
      <sz val="11"/>
      <color theme="3"/>
      <name val="Calibri"/>
      <family val="2"/>
      <scheme val="minor"/>
    </font>
    <font>
      <b/>
      <sz val="24"/>
      <name val="Calibri"/>
      <family val="2"/>
    </font>
    <font>
      <b/>
      <sz val="28"/>
      <name val="Calibri"/>
      <family val="2"/>
      <scheme val="minor"/>
    </font>
    <font>
      <sz val="28"/>
      <color theme="1"/>
      <name val="Calibri"/>
      <family val="2"/>
      <scheme val="minor"/>
    </font>
    <font>
      <i/>
      <sz val="18"/>
      <color rgb="FF7F7F7F"/>
      <name val="Calibri"/>
      <family val="2"/>
      <scheme val="minor"/>
    </font>
    <font>
      <b/>
      <sz val="10"/>
      <color indexed="10"/>
      <name val="Calibri"/>
      <family val="2"/>
      <scheme val="minor"/>
    </font>
    <font>
      <b/>
      <sz val="14"/>
      <name val="Calibri"/>
      <family val="2"/>
      <scheme val="minor"/>
    </font>
    <font>
      <b/>
      <sz val="12"/>
      <name val="Calibri"/>
      <family val="2"/>
      <scheme val="minor"/>
    </font>
    <font>
      <sz val="11"/>
      <color indexed="8"/>
      <name val="Calibri"/>
      <family val="2"/>
    </font>
    <font>
      <sz val="10"/>
      <name val="Arial"/>
      <family val="2"/>
    </font>
    <font>
      <b/>
      <sz val="14"/>
      <color indexed="9"/>
      <name val="Calibri"/>
      <family val="2"/>
      <scheme val="minor"/>
    </font>
    <font>
      <sz val="14"/>
      <color theme="1"/>
      <name val="Calibri"/>
      <family val="2"/>
      <scheme val="minor"/>
    </font>
    <font>
      <b/>
      <sz val="14"/>
      <color theme="1"/>
      <name val="Calibri"/>
      <family val="2"/>
      <scheme val="minor"/>
    </font>
    <font>
      <b/>
      <sz val="14"/>
      <color theme="5" tint="-0.24994659260841701"/>
      <name val="Calibri"/>
      <family val="2"/>
      <scheme val="minor"/>
    </font>
    <font>
      <sz val="14"/>
      <color indexed="9"/>
      <name val="Calibri"/>
      <family val="2"/>
      <scheme val="minor"/>
    </font>
    <font>
      <sz val="10"/>
      <color theme="0"/>
      <name val="Calibri"/>
      <family val="2"/>
      <scheme val="minor"/>
    </font>
    <font>
      <b/>
      <sz val="14"/>
      <color indexed="8"/>
      <name val="Calibri"/>
      <family val="2"/>
      <scheme val="minor"/>
    </font>
    <font>
      <b/>
      <sz val="14"/>
      <color rgb="FFFF0000"/>
      <name val="Calibri"/>
      <family val="2"/>
      <scheme val="minor"/>
    </font>
    <font>
      <sz val="11"/>
      <color rgb="FFFF0000"/>
      <name val="Calibri"/>
      <family val="2"/>
      <scheme val="minor"/>
    </font>
    <font>
      <sz val="14"/>
      <color theme="1"/>
      <name val="Calibri"/>
      <family val="2"/>
    </font>
    <font>
      <sz val="14"/>
      <color rgb="FFFF0000"/>
      <name val="Calibri"/>
      <family val="2"/>
      <scheme val="minor"/>
    </font>
    <font>
      <sz val="11"/>
      <color rgb="FF3F3F76"/>
      <name val="Calibri"/>
      <family val="2"/>
      <scheme val="minor"/>
    </font>
    <font>
      <b/>
      <sz val="11"/>
      <color rgb="FF953735"/>
      <name val="Calibri"/>
      <family val="2"/>
      <scheme val="minor"/>
    </font>
    <font>
      <sz val="8"/>
      <color theme="1"/>
      <name val="Calibri"/>
      <family val="2"/>
      <scheme val="minor"/>
    </font>
    <font>
      <b/>
      <sz val="10"/>
      <color theme="3" tint="0.39994506668294322"/>
      <name val="Calibri"/>
      <family val="2"/>
      <scheme val="minor"/>
    </font>
    <font>
      <sz val="10"/>
      <color theme="3" tint="0.39994506668294322"/>
      <name val="Calibri"/>
      <family val="2"/>
      <scheme val="minor"/>
    </font>
    <font>
      <sz val="12"/>
      <name val="Arial"/>
      <family val="2"/>
    </font>
    <font>
      <sz val="12"/>
      <name val="Arial MT"/>
    </font>
    <font>
      <b/>
      <sz val="11"/>
      <color rgb="FFFA7D00"/>
      <name val="Calibri"/>
      <family val="2"/>
      <scheme val="minor"/>
    </font>
    <font>
      <b/>
      <sz val="15"/>
      <color theme="3"/>
      <name val="Calibri"/>
      <family val="2"/>
      <scheme val="minor"/>
    </font>
    <font>
      <b/>
      <sz val="13"/>
      <color theme="3"/>
      <name val="Calibri"/>
      <family val="2"/>
      <scheme val="minor"/>
    </font>
    <font>
      <sz val="11"/>
      <color rgb="FFFA7D00"/>
      <name val="Calibri"/>
      <family val="2"/>
      <scheme val="minor"/>
    </font>
    <font>
      <b/>
      <sz val="18"/>
      <color theme="3"/>
      <name val="Cambria"/>
      <family val="2"/>
      <scheme val="major"/>
    </font>
    <font>
      <sz val="10"/>
      <color theme="4"/>
      <name val="Calibri"/>
      <family val="2"/>
      <scheme val="minor"/>
    </font>
    <font>
      <sz val="11"/>
      <color theme="5" tint="-0.249977111117893"/>
      <name val="Calibri"/>
      <family val="2"/>
    </font>
    <font>
      <sz val="8"/>
      <color theme="4"/>
      <name val="Calibri"/>
      <family val="2"/>
      <scheme val="minor"/>
    </font>
    <font>
      <b/>
      <sz val="8"/>
      <color theme="4"/>
      <name val="Calibri"/>
      <family val="2"/>
      <scheme val="minor"/>
    </font>
    <font>
      <b/>
      <sz val="11"/>
      <color theme="4"/>
      <name val="Calibri"/>
      <family val="2"/>
      <scheme val="minor"/>
    </font>
    <font>
      <b/>
      <u/>
      <sz val="12"/>
      <color theme="1"/>
      <name val="Calibri"/>
      <family val="2"/>
      <scheme val="minor"/>
    </font>
    <font>
      <u/>
      <sz val="10"/>
      <name val="Calibri"/>
      <family val="2"/>
      <scheme val="minor"/>
    </font>
    <font>
      <b/>
      <u/>
      <sz val="12"/>
      <name val="Calibri"/>
      <family val="2"/>
      <scheme val="minor"/>
    </font>
    <font>
      <sz val="10"/>
      <color rgb="FFFF0000"/>
      <name val="Calibri"/>
      <family val="2"/>
      <scheme val="minor"/>
    </font>
    <font>
      <sz val="14"/>
      <name val="Calibri"/>
      <family val="2"/>
      <scheme val="minor"/>
    </font>
    <font>
      <b/>
      <u/>
      <sz val="11"/>
      <name val="Calibri"/>
      <family val="2"/>
    </font>
    <font>
      <sz val="11"/>
      <color theme="3" tint="0.39997558519241921"/>
      <name val="Calibri"/>
      <family val="2"/>
      <scheme val="minor"/>
    </font>
    <font>
      <b/>
      <sz val="11"/>
      <color theme="5" tint="-0.249977111117893"/>
      <name val="Calibri"/>
      <family val="2"/>
      <scheme val="minor"/>
    </font>
    <font>
      <b/>
      <sz val="10"/>
      <color rgb="FF000000"/>
      <name val="Calibri"/>
      <family val="2"/>
    </font>
    <font>
      <b/>
      <sz val="10"/>
      <color theme="5" tint="-0.24994659260841701"/>
      <name val="Calibri"/>
      <family val="2"/>
      <scheme val="minor"/>
    </font>
    <font>
      <sz val="10"/>
      <color theme="3" tint="0.39994506668294322"/>
      <name val="Calibri"/>
      <family val="2"/>
    </font>
    <font>
      <sz val="9"/>
      <color indexed="81"/>
      <name val="Tahoma"/>
      <family val="2"/>
    </font>
    <font>
      <sz val="14"/>
      <color theme="3" tint="0.39994506668294322"/>
      <name val="Calibri"/>
      <family val="2"/>
    </font>
    <font>
      <b/>
      <u/>
      <sz val="14"/>
      <color theme="1"/>
      <name val="Calibri"/>
      <family val="2"/>
      <scheme val="minor"/>
    </font>
    <font>
      <sz val="9"/>
      <color theme="1"/>
      <name val="Calibri"/>
      <family val="2"/>
      <scheme val="minor"/>
    </font>
    <font>
      <sz val="11"/>
      <color rgb="FFC00000"/>
      <name val="Calibri"/>
      <family val="2"/>
    </font>
    <font>
      <sz val="8.8000000000000007"/>
      <color rgb="FFC00000"/>
      <name val="Calibri"/>
      <family val="2"/>
    </font>
    <font>
      <sz val="11"/>
      <color rgb="FFC00000"/>
      <name val="Calibri"/>
      <family val="2"/>
      <scheme val="minor"/>
    </font>
    <font>
      <sz val="12"/>
      <color theme="1"/>
      <name val="Calibri"/>
      <family val="2"/>
      <scheme val="minor"/>
    </font>
    <font>
      <sz val="12"/>
      <color theme="1"/>
      <name val="Calibri"/>
      <family val="2"/>
    </font>
    <font>
      <b/>
      <u/>
      <sz val="11"/>
      <color theme="1"/>
      <name val="Calibri"/>
      <family val="2"/>
      <scheme val="minor"/>
    </font>
    <font>
      <u/>
      <sz val="12"/>
      <color theme="1"/>
      <name val="Calibri"/>
      <family val="2"/>
      <scheme val="minor"/>
    </font>
    <font>
      <sz val="11"/>
      <color theme="1" tint="0.249977111117893"/>
      <name val="Calibri"/>
      <family val="2"/>
      <scheme val="minor"/>
    </font>
    <font>
      <sz val="11"/>
      <color theme="1" tint="0.249977111117893"/>
      <name val="Calibri"/>
      <family val="2"/>
    </font>
    <font>
      <b/>
      <sz val="11"/>
      <color theme="1" tint="0.249977111117893"/>
      <name val="Calibri"/>
      <family val="2"/>
      <scheme val="minor"/>
    </font>
    <font>
      <b/>
      <sz val="10"/>
      <color theme="1" tint="0.249977111117893"/>
      <name val="Calibri"/>
      <family val="2"/>
      <scheme val="minor"/>
    </font>
    <font>
      <sz val="10"/>
      <color theme="1" tint="0.249977111117893"/>
      <name val="Calibri"/>
      <family val="2"/>
      <scheme val="minor"/>
    </font>
    <font>
      <b/>
      <sz val="11"/>
      <color rgb="FFC00000"/>
      <name val="Calibri"/>
      <family val="2"/>
      <scheme val="minor"/>
    </font>
    <font>
      <sz val="10"/>
      <color rgb="FF000000"/>
      <name val="Calibri"/>
      <family val="2"/>
      <scheme val="minor"/>
    </font>
  </fonts>
  <fills count="67">
    <fill>
      <patternFill patternType="none"/>
    </fill>
    <fill>
      <patternFill patternType="gray125"/>
    </fill>
    <fill>
      <patternFill patternType="solid">
        <fgColor theme="0" tint="-0.34998626667073579"/>
        <bgColor indexed="64"/>
      </patternFill>
    </fill>
    <fill>
      <patternFill patternType="solid">
        <fgColor indexed="9"/>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rgb="FF7030A0"/>
        <bgColor indexed="64"/>
      </patternFill>
    </fill>
    <fill>
      <patternFill patternType="solid">
        <fgColor rgb="FF00B0F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CCFFCC"/>
        <bgColor indexed="64"/>
      </patternFill>
    </fill>
    <fill>
      <patternFill patternType="solid">
        <fgColor rgb="FFCCFFFF"/>
        <bgColor indexed="64"/>
      </patternFill>
    </fill>
    <fill>
      <patternFill patternType="solid">
        <fgColor rgb="FFFFCC99"/>
        <bgColor indexed="64"/>
      </patternFill>
    </fill>
    <fill>
      <patternFill patternType="solid">
        <fgColor rgb="FFFFFF99"/>
        <bgColor indexed="64"/>
      </patternFill>
    </fill>
    <fill>
      <patternFill patternType="solid">
        <fgColor rgb="FFB8CCE4"/>
        <bgColor indexed="64"/>
      </patternFill>
    </fill>
    <fill>
      <patternFill patternType="solid">
        <fgColor rgb="FFDBE5F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8"/>
        <bgColor indexed="64"/>
      </patternFill>
    </fill>
    <fill>
      <patternFill patternType="solid">
        <fgColor rgb="FFC00000"/>
        <bgColor indexed="64"/>
      </patternFill>
    </fill>
    <fill>
      <patternFill patternType="solid">
        <fgColor rgb="FFFFCC99"/>
      </patternFill>
    </fill>
    <fill>
      <patternFill patternType="solid">
        <fgColor rgb="FFEEECE1"/>
        <bgColor indexed="64"/>
      </patternFill>
    </fill>
    <fill>
      <patternFill patternType="solid">
        <fgColor indexed="44"/>
      </patternFill>
    </fill>
    <fill>
      <patternFill patternType="lightGray">
        <fgColor indexed="8"/>
      </patternFill>
    </fill>
    <fill>
      <patternFill patternType="gray125">
        <fgColor indexed="8"/>
      </patternFill>
    </fill>
    <fill>
      <patternFill patternType="solid">
        <fgColor theme="0" tint="-0.14999847407452621"/>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0" tint="-0.499984740745262"/>
        <bgColor indexed="64"/>
      </patternFill>
    </fill>
    <fill>
      <patternFill patternType="solid">
        <fgColor rgb="FF0070C0"/>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5" tint="-0.499984740745262"/>
      </bottom>
      <diagonal/>
    </border>
    <border>
      <left/>
      <right/>
      <top style="thin">
        <color theme="5" tint="-0.499984740745262"/>
      </top>
      <bottom style="double">
        <color theme="5" tint="-0.49998474074526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style="thin">
        <color indexed="64"/>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theme="5" tint="-0.499984740745262"/>
      </top>
      <bottom style="medium">
        <color theme="5" tint="-0.499984740745262"/>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theme="5" tint="-0.499984740745262"/>
      </left>
      <right style="medium">
        <color theme="5" tint="-0.499984740745262"/>
      </right>
      <top style="medium">
        <color theme="5" tint="-0.499984740745262"/>
      </top>
      <bottom style="thin">
        <color theme="5" tint="-0.499984740745262"/>
      </bottom>
      <diagonal/>
    </border>
    <border>
      <left style="medium">
        <color theme="5" tint="-0.499984740745262"/>
      </left>
      <right style="medium">
        <color theme="5" tint="-0.499984740745262"/>
      </right>
      <top style="thin">
        <color theme="5" tint="-0.499984740745262"/>
      </top>
      <bottom style="thin">
        <color theme="5"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right/>
      <top style="medium">
        <color theme="1" tint="0.34998626667073579"/>
      </top>
      <bottom/>
      <diagonal/>
    </border>
    <border>
      <left style="medium">
        <color indexed="64"/>
      </left>
      <right style="thin">
        <color indexed="64"/>
      </right>
      <top style="thin">
        <color indexed="64"/>
      </top>
      <bottom style="thin">
        <color indexed="64"/>
      </bottom>
      <diagonal/>
    </border>
    <border>
      <left/>
      <right/>
      <top style="medium">
        <color theme="5" tint="-0.499984740745262"/>
      </top>
      <bottom/>
      <diagonal/>
    </border>
    <border>
      <left/>
      <right style="medium">
        <color theme="5" tint="-0.499984740745262"/>
      </right>
      <top/>
      <bottom/>
      <diagonal/>
    </border>
    <border>
      <left/>
      <right style="medium">
        <color theme="5" tint="-0.499984740745262"/>
      </right>
      <top/>
      <bottom style="medium">
        <color theme="5" tint="-0.499984740745262"/>
      </bottom>
      <diagonal/>
    </border>
    <border>
      <left/>
      <right style="medium">
        <color theme="5" tint="-0.499984740745262"/>
      </right>
      <top style="hair">
        <color auto="1"/>
      </top>
      <bottom/>
      <diagonal/>
    </border>
    <border>
      <left/>
      <right style="medium">
        <color theme="5" tint="-0.499984740745262"/>
      </right>
      <top style="hair">
        <color auto="1"/>
      </top>
      <bottom style="hair">
        <color auto="1"/>
      </bottom>
      <diagonal/>
    </border>
    <border>
      <left/>
      <right style="medium">
        <color theme="5" tint="-0.499984740745262"/>
      </right>
      <top style="hair">
        <color auto="1"/>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right style="medium">
        <color theme="5" tint="-0.499984740745262"/>
      </right>
      <top style="medium">
        <color theme="5" tint="-0.499984740745262"/>
      </top>
      <bottom/>
      <diagonal/>
    </border>
    <border>
      <left/>
      <right style="medium">
        <color theme="5" tint="-0.499984740745262"/>
      </right>
      <top style="thin">
        <color theme="5" tint="-0.499984740745262"/>
      </top>
      <bottom style="hair">
        <color auto="1"/>
      </bottom>
      <diagonal/>
    </border>
    <border>
      <left style="medium">
        <color theme="5" tint="-0.499984740745262"/>
      </left>
      <right style="medium">
        <color theme="5" tint="-0.499984740745262"/>
      </right>
      <top/>
      <bottom/>
      <diagonal/>
    </border>
    <border>
      <left style="medium">
        <color theme="5" tint="-0.499984740745262"/>
      </left>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style="medium">
        <color theme="5" tint="-0.499984740745262"/>
      </left>
      <right style="dotted">
        <color theme="5" tint="-0.499984740745262"/>
      </right>
      <top/>
      <bottom/>
      <diagonal/>
    </border>
    <border>
      <left style="medium">
        <color theme="5" tint="-0.499984740745262"/>
      </left>
      <right style="dotted">
        <color theme="5" tint="-0.499984740745262"/>
      </right>
      <top/>
      <bottom style="medium">
        <color theme="5" tint="-0.499984740745262"/>
      </bottom>
      <diagonal/>
    </border>
    <border>
      <left style="medium">
        <color theme="5" tint="-0.499984740745262"/>
      </left>
      <right style="dotted">
        <color theme="5" tint="-0.499984740745262"/>
      </right>
      <top style="hair">
        <color auto="1"/>
      </top>
      <bottom/>
      <diagonal/>
    </border>
    <border>
      <left style="medium">
        <color theme="5" tint="-0.499984740745262"/>
      </left>
      <right style="dotted">
        <color theme="5" tint="-0.499984740745262"/>
      </right>
      <top style="hair">
        <color auto="1"/>
      </top>
      <bottom style="hair">
        <color auto="1"/>
      </bottom>
      <diagonal/>
    </border>
    <border>
      <left style="medium">
        <color theme="5" tint="-0.499984740745262"/>
      </left>
      <right style="dotted">
        <color theme="5" tint="-0.499984740745262"/>
      </right>
      <top style="hair">
        <color auto="1"/>
      </top>
      <bottom style="medium">
        <color theme="5" tint="-0.499984740745262"/>
      </bottom>
      <diagonal/>
    </border>
    <border>
      <left style="medium">
        <color theme="5" tint="-0.499984740745262"/>
      </left>
      <right style="dotted">
        <color theme="5" tint="-0.499984740745262"/>
      </right>
      <top style="medium">
        <color theme="5" tint="-0.499984740745262"/>
      </top>
      <bottom style="medium">
        <color theme="5" tint="-0.499984740745262"/>
      </bottom>
      <diagonal/>
    </border>
    <border>
      <left style="medium">
        <color theme="5" tint="-0.499984740745262"/>
      </left>
      <right style="dotted">
        <color theme="5" tint="-0.499984740745262"/>
      </right>
      <top style="thin">
        <color theme="5" tint="-0.499984740745262"/>
      </top>
      <bottom style="hair">
        <color auto="1"/>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5" tint="-0.499984740745262"/>
      </left>
      <right style="medium">
        <color theme="5" tint="-0.499984740745262"/>
      </right>
      <top/>
      <bottom style="medium">
        <color theme="5" tint="-0.49998474074526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style="hair">
        <color auto="1"/>
      </top>
      <bottom/>
      <diagonal/>
    </border>
    <border>
      <left style="medium">
        <color theme="5" tint="-0.499984740745262"/>
      </left>
      <right style="medium">
        <color theme="5" tint="-0.499984740745262"/>
      </right>
      <top style="hair">
        <color auto="1"/>
      </top>
      <bottom style="hair">
        <color auto="1"/>
      </bottom>
      <diagonal/>
    </border>
    <border>
      <left style="medium">
        <color theme="5" tint="-0.499984740745262"/>
      </left>
      <right style="medium">
        <color theme="5" tint="-0.499984740745262"/>
      </right>
      <top style="hair">
        <color auto="1"/>
      </top>
      <bottom style="medium">
        <color theme="5" tint="-0.499984740745262"/>
      </bottom>
      <diagonal/>
    </border>
    <border>
      <left/>
      <right style="dotted">
        <color theme="5" tint="-0.499984740745262"/>
      </right>
      <top style="medium">
        <color theme="5" tint="-0.499984740745262"/>
      </top>
      <bottom style="medium">
        <color theme="5" tint="-0.499984740745262"/>
      </bottom>
      <diagonal/>
    </border>
    <border>
      <left/>
      <right style="dotted">
        <color theme="5" tint="-0.499984740745262"/>
      </right>
      <top style="medium">
        <color theme="5" tint="-0.499984740745262"/>
      </top>
      <bottom/>
      <diagonal/>
    </border>
    <border>
      <left/>
      <right style="dotted">
        <color theme="5" tint="-0.499984740745262"/>
      </right>
      <top style="thin">
        <color theme="5" tint="-0.499984740745262"/>
      </top>
      <bottom style="hair">
        <color auto="1"/>
      </bottom>
      <diagonal/>
    </border>
    <border>
      <left/>
      <right style="dotted">
        <color theme="5" tint="-0.499984740745262"/>
      </right>
      <top style="hair">
        <color auto="1"/>
      </top>
      <bottom style="hair">
        <color auto="1"/>
      </bottom>
      <diagonal/>
    </border>
    <border>
      <left/>
      <right style="dotted">
        <color theme="5" tint="-0.499984740745262"/>
      </right>
      <top style="hair">
        <color auto="1"/>
      </top>
      <bottom style="medium">
        <color theme="5" tint="-0.499984740745262"/>
      </bottom>
      <diagonal/>
    </border>
    <border>
      <left/>
      <right style="dotted">
        <color theme="5" tint="-0.499984740745262"/>
      </right>
      <top style="thin">
        <color theme="5" tint="-0.499984740745262"/>
      </top>
      <bottom style="thin">
        <color theme="5" tint="-0.499984740745262"/>
      </bottom>
      <diagonal/>
    </border>
    <border>
      <left/>
      <right style="dotted">
        <color theme="5" tint="-0.499984740745262"/>
      </right>
      <top/>
      <bottom/>
      <diagonal/>
    </border>
    <border>
      <left style="medium">
        <color theme="5" tint="-0.499984740745262"/>
      </left>
      <right style="medium">
        <color theme="5" tint="-0.499984740745262"/>
      </right>
      <top style="thin">
        <color theme="5" tint="-0.499984740745262"/>
      </top>
      <bottom style="hair">
        <color auto="1"/>
      </bottom>
      <diagonal/>
    </border>
    <border>
      <left style="medium">
        <color theme="5" tint="-0.499984740745262"/>
      </left>
      <right/>
      <top style="hair">
        <color auto="1"/>
      </top>
      <bottom style="hair">
        <color auto="1"/>
      </bottom>
      <diagonal/>
    </border>
    <border>
      <left/>
      <right style="dotted">
        <color theme="5" tint="-0.499984740745262"/>
      </right>
      <top/>
      <bottom style="medium">
        <color theme="5" tint="-0.499984740745262"/>
      </bottom>
      <diagonal/>
    </border>
    <border>
      <left style="medium">
        <color theme="5" tint="-0.499984740745262"/>
      </left>
      <right style="dotted">
        <color theme="5" tint="-0.499984740745262"/>
      </right>
      <top style="thin">
        <color theme="5" tint="-0.499984740745262"/>
      </top>
      <bottom style="medium">
        <color theme="5" tint="-0.499984740745262"/>
      </bottom>
      <diagonal/>
    </border>
    <border>
      <left/>
      <right style="thin">
        <color indexed="64"/>
      </right>
      <top style="medium">
        <color indexed="64"/>
      </top>
      <bottom/>
      <diagonal/>
    </border>
    <border>
      <left/>
      <right style="medium">
        <color theme="5" tint="-0.499984740745262"/>
      </right>
      <top style="medium">
        <color theme="5" tint="-0.499984740745262"/>
      </top>
      <bottom style="dotted">
        <color theme="5" tint="-0.499984740745262"/>
      </bottom>
      <diagonal/>
    </border>
    <border>
      <left style="medium">
        <color theme="5" tint="-0.499984740745262"/>
      </left>
      <right/>
      <top/>
      <bottom/>
      <diagonal/>
    </border>
    <border>
      <left style="medium">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dotted">
        <color theme="5" tint="-0.499984740745262"/>
      </right>
      <top style="medium">
        <color theme="5" tint="-0.499984740745262"/>
      </top>
      <bottom style="dotted">
        <color theme="5" tint="-0.499984740745262"/>
      </bottom>
      <diagonal/>
    </border>
    <border>
      <left style="dotted">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dotted">
        <color theme="5" tint="-0.499984740745262"/>
      </right>
      <top style="dotted">
        <color theme="5" tint="-0.499984740745262"/>
      </top>
      <bottom style="medium">
        <color theme="5" tint="-0.499984740745262"/>
      </bottom>
      <diagonal/>
    </border>
    <border>
      <left style="dotted">
        <color theme="5" tint="-0.499984740745262"/>
      </left>
      <right style="medium">
        <color theme="5" tint="-0.499984740745262"/>
      </right>
      <top style="dotted">
        <color theme="5" tint="-0.499984740745262"/>
      </top>
      <bottom style="medium">
        <color theme="5" tint="-0.499984740745262"/>
      </bottom>
      <diagonal/>
    </border>
    <border>
      <left style="medium">
        <color theme="5" tint="-0.499984740745262"/>
      </left>
      <right style="medium">
        <color theme="5" tint="-0.499984740745262"/>
      </right>
      <top style="medium">
        <color theme="5" tint="-0.499984740745262"/>
      </top>
      <bottom style="dotted">
        <color theme="5" tint="-0.499984740745262"/>
      </bottom>
      <diagonal/>
    </border>
    <border>
      <left style="medium">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dotted">
        <color theme="5" tint="-0.499984740745262"/>
      </right>
      <top style="dotted">
        <color theme="5" tint="-0.499984740745262"/>
      </top>
      <bottom style="dotted">
        <color theme="5" tint="-0.499984740745262"/>
      </bottom>
      <diagonal/>
    </border>
    <border>
      <left style="dotted">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dotted">
        <color theme="5" tint="-0.499984740745262"/>
      </bottom>
      <diagonal/>
    </border>
    <border>
      <left style="medium">
        <color theme="5" tint="-0.499984740745262"/>
      </left>
      <right style="medium">
        <color theme="5" tint="-0.499984740745262"/>
      </right>
      <top style="dotted">
        <color theme="5" tint="-0.499984740745262"/>
      </top>
      <bottom style="medium">
        <color theme="5" tint="-0.499984740745262"/>
      </bottom>
      <diagonal/>
    </border>
    <border>
      <left/>
      <right/>
      <top/>
      <bottom style="thin">
        <color indexed="8"/>
      </bottom>
      <diagonal/>
    </border>
    <border>
      <left/>
      <right/>
      <top/>
      <bottom style="medium">
        <color indexed="8"/>
      </bottom>
      <diagonal/>
    </border>
    <border>
      <left style="medium">
        <color indexed="8"/>
      </left>
      <right style="medium">
        <color indexed="8"/>
      </right>
      <top style="medium">
        <color indexed="8"/>
      </top>
      <bottom style="medium">
        <color indexed="8"/>
      </bottom>
      <diagonal/>
    </border>
    <border>
      <left/>
      <right/>
      <top/>
      <bottom style="medium">
        <color theme="4" tint="0.39997558519241921"/>
      </bottom>
      <diagonal/>
    </border>
    <border>
      <left/>
      <right/>
      <top/>
      <bottom style="double">
        <color rgb="FFFF8001"/>
      </bottom>
      <diagonal/>
    </border>
    <border>
      <left/>
      <right/>
      <top style="thin">
        <color theme="4"/>
      </top>
      <bottom style="double">
        <color theme="4"/>
      </bottom>
      <diagonal/>
    </border>
    <border>
      <left style="medium">
        <color theme="5" tint="-0.249977111117893"/>
      </left>
      <right style="medium">
        <color theme="5" tint="-0.499984740745262"/>
      </right>
      <top style="medium">
        <color theme="5" tint="-0.249977111117893"/>
      </top>
      <bottom style="medium">
        <color theme="5" tint="-0.249977111117893"/>
      </bottom>
      <diagonal/>
    </border>
    <border>
      <left style="medium">
        <color theme="5" tint="-0.499984740745262"/>
      </left>
      <right style="dotted">
        <color theme="5" tint="-0.499984740745262"/>
      </right>
      <top style="medium">
        <color theme="5" tint="-0.249977111117893"/>
      </top>
      <bottom style="medium">
        <color theme="5" tint="-0.249977111117893"/>
      </bottom>
      <diagonal/>
    </border>
    <border>
      <left/>
      <right style="medium">
        <color theme="5" tint="-0.499984740745262"/>
      </right>
      <top style="medium">
        <color theme="5" tint="-0.249977111117893"/>
      </top>
      <bottom style="medium">
        <color theme="5" tint="-0.249977111117893"/>
      </bottom>
      <diagonal/>
    </border>
    <border>
      <left style="medium">
        <color theme="5" tint="-0.499984740745262"/>
      </left>
      <right style="medium">
        <color theme="5" tint="-0.499984740745262"/>
      </right>
      <top/>
      <bottom style="hair">
        <color auto="1"/>
      </bottom>
      <diagonal/>
    </border>
    <border>
      <left style="medium">
        <color indexed="64"/>
      </left>
      <right/>
      <top style="medium">
        <color indexed="64"/>
      </top>
      <bottom style="thin">
        <color theme="5" tint="-0.499984740745262"/>
      </bottom>
      <diagonal/>
    </border>
    <border>
      <left style="medium">
        <color indexed="64"/>
      </left>
      <right style="medium">
        <color indexed="64"/>
      </right>
      <top/>
      <bottom style="thin">
        <color indexed="64"/>
      </bottom>
      <diagonal/>
    </border>
    <border>
      <left style="dashed">
        <color auto="1"/>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style="dashed">
        <color rgb="FF632523"/>
      </left>
      <right style="medium">
        <color theme="5" tint="-0.499984740745262"/>
      </right>
      <top style="hair">
        <color auto="1"/>
      </top>
      <bottom style="hair">
        <color auto="1"/>
      </bottom>
      <diagonal/>
    </border>
  </borders>
  <cellStyleXfs count="2034">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Protection="0">
      <alignment horizontal="left"/>
    </xf>
    <xf numFmtId="0" fontId="9" fillId="0" borderId="20" applyNumberFormat="0" applyFill="0" applyAlignment="0" applyProtection="0"/>
    <xf numFmtId="0" fontId="2" fillId="0" borderId="0" applyNumberFormat="0" applyFill="0" applyBorder="0" applyAlignment="0" applyProtection="0"/>
    <xf numFmtId="43" fontId="1" fillId="0" borderId="0" applyFont="0" applyFill="0" applyBorder="0" applyAlignment="0" applyProtection="0"/>
    <xf numFmtId="0" fontId="13" fillId="39" borderId="13" applyNumberFormat="0" applyBorder="0" applyAlignment="0" applyProtection="0"/>
    <xf numFmtId="0" fontId="5"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0" applyNumberFormat="0" applyBorder="0" applyAlignment="0" applyProtection="0"/>
    <xf numFmtId="0" fontId="30" fillId="12" borderId="60" applyNumberFormat="0" applyAlignment="0" applyProtection="0"/>
    <xf numFmtId="0" fontId="17" fillId="13" borderId="61" applyNumberFormat="0" applyAlignment="0" applyProtection="0"/>
    <xf numFmtId="0" fontId="1" fillId="14" borderId="62" applyNumberFormat="0" applyFont="0" applyAlignment="0" applyProtection="0"/>
    <xf numFmtId="0" fontId="31" fillId="15" borderId="0" applyNumberFormat="0" applyBorder="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31" fillId="26" borderId="0" applyNumberFormat="0" applyBorder="0" applyAlignment="0" applyProtection="0"/>
    <xf numFmtId="0" fontId="31" fillId="27" borderId="0" applyNumberForma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0" borderId="0" applyNumberFormat="0" applyBorder="0" applyAlignment="0" applyProtection="0"/>
    <xf numFmtId="0" fontId="3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1" fillId="34" borderId="0" applyNumberFormat="0" applyBorder="0" applyAlignment="0" applyProtection="0"/>
    <xf numFmtId="0" fontId="31" fillId="35" borderId="0" applyNumberFormat="0" applyFont="0" applyBorder="0" applyAlignment="0" applyProtection="0"/>
    <xf numFmtId="0" fontId="1" fillId="36" borderId="0" applyNumberFormat="0" applyBorder="0" applyAlignment="0" applyProtection="0"/>
    <xf numFmtId="0" fontId="1" fillId="37" borderId="0" applyNumberFormat="0" applyBorder="0" applyAlignment="0" applyProtection="0"/>
    <xf numFmtId="0" fontId="31" fillId="38" borderId="0" applyNumberFormat="0" applyBorder="0" applyAlignment="0" applyProtection="0"/>
    <xf numFmtId="0" fontId="38" fillId="0" borderId="0" applyNumberFormat="0" applyFill="0" applyAlignment="0" applyProtection="0"/>
    <xf numFmtId="0" fontId="39" fillId="0" borderId="0" applyNumberFormat="0" applyFill="0" applyAlignment="0" applyProtection="0"/>
    <xf numFmtId="0" fontId="32" fillId="39" borderId="13" applyNumberFormat="0" applyBorder="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 fillId="0" borderId="0"/>
    <xf numFmtId="0" fontId="41" fillId="0" borderId="0"/>
    <xf numFmtId="0" fontId="41" fillId="0" borderId="0"/>
    <xf numFmtId="0" fontId="41" fillId="0" borderId="0"/>
    <xf numFmtId="0" fontId="41" fillId="0" borderId="0"/>
    <xf numFmtId="0" fontId="41" fillId="0" borderId="0"/>
    <xf numFmtId="0" fontId="7" fillId="0" borderId="0" applyNumberFormat="0" applyFill="0" applyBorder="0" applyProtection="0">
      <alignment horizontal="left"/>
    </xf>
    <xf numFmtId="0" fontId="9" fillId="0" borderId="20" applyNumberFormat="0" applyFill="0" applyAlignment="0" applyProtection="0"/>
    <xf numFmtId="0" fontId="13" fillId="39" borderId="13" applyNumberFormat="0" applyBorder="0" applyAlignment="0" applyProtection="0"/>
    <xf numFmtId="0" fontId="5" fillId="0" borderId="0" applyNumberFormat="0" applyFill="0" applyAlignment="0" applyProtection="0"/>
    <xf numFmtId="0" fontId="6" fillId="0" borderId="0" applyNumberFormat="0" applyFill="0" applyBorder="0" applyAlignment="0" applyProtection="0"/>
    <xf numFmtId="0" fontId="16" fillId="0" borderId="13" applyNumberFormat="0" applyBorder="0" applyAlignment="0" applyProtection="0"/>
    <xf numFmtId="0" fontId="4" fillId="0" borderId="0" applyNumberFormat="0" applyFill="0" applyBorder="0" applyAlignment="0" applyProtection="0"/>
    <xf numFmtId="0" fontId="15" fillId="0" borderId="21" applyNumberFormat="0" applyFill="0" applyAlignment="0" applyProtection="0"/>
    <xf numFmtId="0" fontId="1" fillId="16" borderId="0" applyNumberFormat="0" applyFont="0" applyBorder="0" applyAlignment="0" applyProtection="0"/>
    <xf numFmtId="0" fontId="1" fillId="17" borderId="0" applyNumberFormat="0" applyFont="0" applyBorder="0" applyAlignment="0" applyProtection="0"/>
    <xf numFmtId="0" fontId="1" fillId="24" borderId="0" applyNumberFormat="0" applyFont="0" applyBorder="0" applyAlignment="0" applyProtection="0"/>
    <xf numFmtId="0" fontId="1" fillId="25" borderId="0" applyNumberFormat="0" applyFont="0" applyBorder="0" applyAlignment="0" applyProtection="0"/>
    <xf numFmtId="0" fontId="1" fillId="28" borderId="0" applyNumberFormat="0" applyFont="0" applyBorder="0" applyAlignment="0" applyProtection="0"/>
    <xf numFmtId="0" fontId="1" fillId="29" borderId="0" applyNumberFormat="0" applyFont="0" applyBorder="0" applyAlignment="0" applyProtection="0"/>
    <xf numFmtId="0" fontId="31" fillId="35" borderId="0" applyNumberFormat="0" applyFont="0" applyBorder="0" applyAlignment="0" applyProtection="0"/>
    <xf numFmtId="0" fontId="38" fillId="0" borderId="0" applyNumberFormat="0" applyFill="0" applyAlignment="0" applyProtection="0"/>
    <xf numFmtId="0" fontId="39" fillId="0" borderId="0"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1" fillId="0" borderId="18" applyNumberFormat="0" applyFill="0" applyAlignment="0" applyProtection="0"/>
    <xf numFmtId="0" fontId="53" fillId="57" borderId="13" applyNumberFormat="0" applyAlignment="0" applyProtection="0"/>
    <xf numFmtId="0" fontId="53" fillId="57" borderId="13" applyNumberFormat="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Fon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Fon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Fon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Fon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Fon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Border="0" applyAlignment="0" applyProtection="0"/>
    <xf numFmtId="0" fontId="1" fillId="29" borderId="0" applyNumberFormat="0" applyFon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3"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31" fillId="35" borderId="0" applyNumberFormat="0" applyBorder="0" applyAlignment="0" applyProtection="0"/>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0" fontId="41" fillId="59" borderId="0" applyNumberFormat="0" applyBorder="0" applyAlignment="0">
      <protection locked="0"/>
    </xf>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37" fontId="58" fillId="0" borderId="125"/>
    <xf numFmtId="175" fontId="59"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37" fontId="58" fillId="0" borderId="126"/>
    <xf numFmtId="175" fontId="59" fillId="0" borderId="127"/>
    <xf numFmtId="0" fontId="60" fillId="12" borderId="13" applyNumberFormat="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1"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44" fontId="41" fillId="0" borderId="0" applyFont="0" applyFill="0" applyBorder="0" applyAlignment="0" applyProtection="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37" fontId="58" fillId="60" borderId="0"/>
    <xf numFmtId="175" fontId="59" fillId="60" borderId="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11" fillId="0" borderId="18" applyNumberFormat="0" applyFill="0" applyAlignment="0" applyProtection="0"/>
    <xf numFmtId="0" fontId="61" fillId="0" borderId="18"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12" fillId="0" borderId="19" applyNumberFormat="0" applyFill="0" applyAlignment="0" applyProtection="0"/>
    <xf numFmtId="0" fontId="62" fillId="0" borderId="19" applyNumberFormat="0" applyFill="0" applyAlignment="0" applyProtection="0"/>
    <xf numFmtId="0" fontId="32" fillId="0" borderId="128" applyNumberFormat="0" applyFill="0" applyAlignment="0" applyProtection="0"/>
    <xf numFmtId="0" fontId="32" fillId="0" borderId="0" applyNumberFormat="0" applyFill="0" applyBorder="0" applyAlignment="0" applyProtection="0"/>
    <xf numFmtId="0" fontId="53" fillId="57" borderId="13" applyNumberFormat="0" applyAlignment="0" applyProtection="0"/>
    <xf numFmtId="0" fontId="63" fillId="0" borderId="129" applyNumberFormat="0" applyFill="0" applyAlignment="0" applyProtection="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37" fontId="58" fillId="61" borderId="0"/>
    <xf numFmtId="175" fontId="59" fillId="61" borderId="0"/>
    <xf numFmtId="0" fontId="41" fillId="0" borderId="0"/>
    <xf numFmtId="0" fontId="41" fillId="0" borderId="0"/>
    <xf numFmtId="0" fontId="40" fillId="0" borderId="0"/>
    <xf numFmtId="0" fontId="4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applyNumberFormat="0" applyFont="0" applyFill="0" applyBorder="0" applyAlignment="0" applyProtection="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41" fillId="0" borderId="0" applyNumberFormat="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1" fillId="0" borderId="0"/>
    <xf numFmtId="0" fontId="41" fillId="0" borderId="0"/>
    <xf numFmtId="0" fontId="1" fillId="0" borderId="0"/>
    <xf numFmtId="0" fontId="1" fillId="0" borderId="0"/>
    <xf numFmtId="0" fontId="1" fillId="0" borderId="0"/>
    <xf numFmtId="0" fontId="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40" fillId="0" borderId="0"/>
    <xf numFmtId="0" fontId="41" fillId="0" borderId="0"/>
    <xf numFmtId="0" fontId="41" fillId="0" borderId="0"/>
    <xf numFmtId="0" fontId="41" fillId="0" borderId="0"/>
    <xf numFmtId="0" fontId="41" fillId="0" borderId="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0" fontId="1" fillId="14" borderId="62" applyNumberFormat="0" applyFont="0" applyAlignment="0" applyProtection="0"/>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37" fontId="58" fillId="0" borderId="127"/>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9" fontId="41" fillId="0" borderId="0" applyFont="0" applyFill="0" applyBorder="0" applyAlignment="0" applyProtection="0"/>
    <xf numFmtId="175" fontId="59"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37" fontId="58" fillId="0" borderId="0"/>
    <xf numFmtId="0" fontId="64" fillId="0" borderId="0" applyNumberFormat="0" applyFill="0" applyBorder="0" applyAlignment="0" applyProtection="0"/>
    <xf numFmtId="0" fontId="3" fillId="0" borderId="130" applyNumberFormat="0" applyFill="0" applyAlignment="0" applyProtection="0"/>
    <xf numFmtId="0" fontId="50" fillId="0" borderId="0" applyNumberFormat="0" applyFill="0" applyBorder="0" applyAlignment="0" applyProtection="0"/>
  </cellStyleXfs>
  <cellXfs count="1153">
    <xf numFmtId="0" fontId="0" fillId="0" borderId="0" xfId="0"/>
    <xf numFmtId="164" fontId="14" fillId="0" borderId="0" xfId="2" applyNumberFormat="1" applyFont="1" applyFill="1" applyBorder="1" applyAlignment="1">
      <alignment horizontal="right"/>
    </xf>
    <xf numFmtId="164" fontId="22" fillId="5" borderId="14" xfId="2" applyNumberFormat="1" applyFont="1" applyFill="1" applyBorder="1" applyAlignment="1">
      <alignment horizontal="right"/>
    </xf>
    <xf numFmtId="0" fontId="14" fillId="0" borderId="0" xfId="0" applyFont="1" applyFill="1" applyBorder="1" applyAlignment="1">
      <alignment horizontal="right"/>
    </xf>
    <xf numFmtId="164" fontId="17" fillId="5" borderId="14" xfId="2" applyNumberFormat="1" applyFont="1" applyFill="1" applyBorder="1"/>
    <xf numFmtId="169" fontId="14" fillId="0" borderId="0" xfId="1" applyNumberFormat="1" applyFont="1" applyFill="1" applyBorder="1"/>
    <xf numFmtId="169" fontId="26" fillId="0" borderId="0" xfId="1" applyNumberFormat="1" applyFont="1" applyFill="1" applyBorder="1"/>
    <xf numFmtId="164" fontId="26" fillId="0" borderId="0" xfId="2" applyNumberFormat="1" applyFont="1" applyFill="1" applyBorder="1"/>
    <xf numFmtId="168" fontId="22" fillId="5" borderId="16" xfId="6" applyNumberFormat="1" applyFont="1" applyFill="1" applyBorder="1" applyAlignment="1">
      <alignment horizontal="right"/>
    </xf>
    <xf numFmtId="168" fontId="22" fillId="5" borderId="15" xfId="6" applyNumberFormat="1" applyFont="1" applyFill="1" applyBorder="1" applyAlignment="1">
      <alignment horizontal="right"/>
    </xf>
    <xf numFmtId="10" fontId="22" fillId="5" borderId="15" xfId="0" applyNumberFormat="1" applyFont="1" applyFill="1" applyBorder="1" applyAlignment="1">
      <alignment horizontal="left"/>
    </xf>
    <xf numFmtId="164" fontId="22" fillId="5" borderId="16" xfId="2" applyNumberFormat="1" applyFont="1" applyFill="1" applyBorder="1" applyAlignment="1">
      <alignment horizontal="right"/>
    </xf>
    <xf numFmtId="169" fontId="22" fillId="5" borderId="16" xfId="1" applyNumberFormat="1" applyFont="1" applyFill="1" applyBorder="1" applyAlignment="1">
      <alignment horizontal="right"/>
    </xf>
    <xf numFmtId="169" fontId="22" fillId="5" borderId="14" xfId="1" applyNumberFormat="1" applyFont="1" applyFill="1" applyBorder="1"/>
    <xf numFmtId="164" fontId="26" fillId="0" borderId="0" xfId="0" applyNumberFormat="1" applyFont="1" applyFill="1" applyBorder="1"/>
    <xf numFmtId="168" fontId="14" fillId="0" borderId="0" xfId="6" applyNumberFormat="1" applyFont="1" applyFill="1" applyBorder="1" applyAlignment="1">
      <alignment horizontal="right"/>
    </xf>
    <xf numFmtId="0" fontId="14" fillId="0" borderId="0" xfId="0" applyFont="1" applyFill="1" applyBorder="1" applyAlignment="1">
      <alignment horizontal="center"/>
    </xf>
    <xf numFmtId="169" fontId="22" fillId="5" borderId="48" xfId="1" applyNumberFormat="1" applyFont="1" applyFill="1" applyBorder="1" applyAlignment="1">
      <alignment horizontal="right"/>
    </xf>
    <xf numFmtId="164" fontId="22" fillId="6" borderId="15" xfId="2" applyNumberFormat="1" applyFont="1" applyFill="1" applyBorder="1" applyAlignment="1">
      <alignment horizontal="right"/>
    </xf>
    <xf numFmtId="167" fontId="14" fillId="0" borderId="0" xfId="1" applyNumberFormat="1" applyFont="1" applyFill="1" applyBorder="1" applyAlignment="1">
      <alignment horizontal="right"/>
    </xf>
    <xf numFmtId="9" fontId="14" fillId="0" borderId="0" xfId="2" applyFont="1" applyFill="1" applyBorder="1" applyAlignment="1">
      <alignment horizontal="right"/>
    </xf>
    <xf numFmtId="10" fontId="14" fillId="0" borderId="0" xfId="0" applyNumberFormat="1" applyFont="1" applyFill="1" applyBorder="1" applyAlignment="1">
      <alignment horizontal="center"/>
    </xf>
    <xf numFmtId="10" fontId="22" fillId="5" borderId="15" xfId="2" applyNumberFormat="1" applyFont="1" applyFill="1" applyBorder="1" applyAlignment="1">
      <alignment horizontal="right"/>
    </xf>
    <xf numFmtId="168" fontId="22" fillId="6" borderId="15" xfId="6" applyNumberFormat="1" applyFont="1" applyFill="1" applyBorder="1" applyAlignment="1">
      <alignment horizontal="right"/>
    </xf>
    <xf numFmtId="164" fontId="22" fillId="6" borderId="14" xfId="2" applyNumberFormat="1" applyFont="1" applyFill="1" applyBorder="1" applyAlignment="1">
      <alignment horizontal="right"/>
    </xf>
    <xf numFmtId="169" fontId="22" fillId="5" borderId="14" xfId="1" applyNumberFormat="1" applyFont="1" applyFill="1" applyBorder="1" applyAlignment="1">
      <alignment horizontal="right"/>
    </xf>
    <xf numFmtId="0" fontId="14" fillId="0" borderId="0" xfId="0" applyFont="1" applyFill="1" applyBorder="1"/>
    <xf numFmtId="169" fontId="22" fillId="5" borderId="15" xfId="1" applyNumberFormat="1" applyFont="1" applyFill="1" applyBorder="1"/>
    <xf numFmtId="164" fontId="22" fillId="7" borderId="14" xfId="2" applyNumberFormat="1" applyFont="1" applyFill="1" applyBorder="1" applyAlignment="1">
      <alignment horizontal="right"/>
    </xf>
    <xf numFmtId="169" fontId="22" fillId="5" borderId="15" xfId="1" applyNumberFormat="1" applyFont="1" applyFill="1" applyBorder="1" applyAlignment="1">
      <alignment horizontal="right"/>
    </xf>
    <xf numFmtId="166" fontId="16" fillId="0" borderId="0" xfId="12" applyNumberFormat="1" applyBorder="1" applyAlignment="1">
      <alignment horizontal="right"/>
    </xf>
    <xf numFmtId="0" fontId="22" fillId="5" borderId="15" xfId="0" applyFont="1" applyFill="1" applyBorder="1"/>
    <xf numFmtId="0" fontId="16" fillId="0" borderId="0" xfId="12" applyBorder="1" applyAlignment="1">
      <alignment horizontal="center"/>
    </xf>
    <xf numFmtId="164" fontId="17" fillId="5" borderId="16" xfId="0" applyNumberFormat="1" applyFont="1" applyFill="1" applyBorder="1"/>
    <xf numFmtId="164" fontId="17" fillId="5" borderId="15" xfId="0" applyNumberFormat="1" applyFont="1" applyFill="1" applyBorder="1"/>
    <xf numFmtId="2" fontId="17" fillId="5" borderId="15" xfId="0" applyNumberFormat="1" applyFont="1" applyFill="1" applyBorder="1"/>
    <xf numFmtId="169" fontId="17" fillId="5" borderId="15" xfId="1" applyNumberFormat="1" applyFont="1" applyFill="1" applyBorder="1"/>
    <xf numFmtId="164" fontId="17" fillId="5" borderId="15" xfId="2" applyNumberFormat="1" applyFont="1" applyFill="1" applyBorder="1"/>
    <xf numFmtId="164" fontId="22" fillId="5" borderId="15" xfId="2" applyNumberFormat="1" applyFont="1" applyFill="1" applyBorder="1" applyAlignment="1">
      <alignment horizontal="right"/>
    </xf>
    <xf numFmtId="169" fontId="14" fillId="0" borderId="0" xfId="1" applyNumberFormat="1" applyFont="1" applyFill="1" applyBorder="1" applyAlignment="1">
      <alignment horizontal="right"/>
    </xf>
    <xf numFmtId="167" fontId="22" fillId="5" borderId="16" xfId="1" applyNumberFormat="1" applyFont="1" applyFill="1" applyBorder="1" applyAlignment="1">
      <alignment horizontal="right"/>
    </xf>
    <xf numFmtId="0" fontId="14" fillId="0" borderId="0" xfId="0" applyFont="1" applyFill="1" applyBorder="1" applyAlignment="1">
      <alignment horizontal="left"/>
    </xf>
    <xf numFmtId="2" fontId="26" fillId="0" borderId="0" xfId="0" applyNumberFormat="1" applyFont="1" applyFill="1" applyBorder="1"/>
    <xf numFmtId="164" fontId="22" fillId="6" borderId="16" xfId="2" applyNumberFormat="1" applyFont="1" applyFill="1" applyBorder="1" applyAlignment="1">
      <alignment horizontal="right"/>
    </xf>
    <xf numFmtId="0" fontId="22" fillId="5" borderId="16" xfId="0" applyFont="1" applyFill="1" applyBorder="1" applyAlignment="1">
      <alignment horizontal="center"/>
    </xf>
    <xf numFmtId="0" fontId="22" fillId="5" borderId="15" xfId="0" applyFont="1" applyFill="1" applyBorder="1" applyAlignment="1">
      <alignment horizontal="left"/>
    </xf>
    <xf numFmtId="0" fontId="22" fillId="5" borderId="15" xfId="0" applyFont="1" applyFill="1" applyBorder="1" applyAlignment="1">
      <alignment horizontal="center"/>
    </xf>
    <xf numFmtId="166" fontId="22" fillId="5" borderId="15" xfId="0" applyNumberFormat="1" applyFont="1" applyFill="1" applyBorder="1" applyAlignment="1">
      <alignment horizontal="right"/>
    </xf>
    <xf numFmtId="9" fontId="22" fillId="5" borderId="16" xfId="2" applyFont="1" applyFill="1" applyBorder="1" applyAlignment="1">
      <alignment horizontal="right"/>
    </xf>
    <xf numFmtId="167" fontId="22" fillId="5" borderId="15" xfId="1" applyNumberFormat="1" applyFont="1" applyFill="1" applyBorder="1" applyAlignment="1">
      <alignment horizontal="right"/>
    </xf>
    <xf numFmtId="0" fontId="22" fillId="5" borderId="15" xfId="0" applyFont="1" applyFill="1" applyBorder="1" applyAlignment="1">
      <alignment horizontal="right"/>
    </xf>
    <xf numFmtId="0" fontId="0" fillId="0" borderId="0" xfId="0" applyAlignment="1">
      <alignment horizontal="center"/>
    </xf>
    <xf numFmtId="0" fontId="0" fillId="0" borderId="0" xfId="0" applyAlignment="1">
      <alignment horizontal="left"/>
    </xf>
    <xf numFmtId="49" fontId="14" fillId="0" borderId="0" xfId="0" applyNumberFormat="1" applyFont="1" applyFill="1" applyBorder="1" applyAlignment="1">
      <alignment horizontal="center" vertical="center" wrapText="1"/>
    </xf>
    <xf numFmtId="0" fontId="0" fillId="0" borderId="0" xfId="0" applyAlignment="1">
      <alignment horizontal="right"/>
    </xf>
    <xf numFmtId="0" fontId="19" fillId="0" borderId="0" xfId="0" applyFont="1" applyAlignment="1">
      <alignment horizontal="center"/>
    </xf>
    <xf numFmtId="0" fontId="19" fillId="0" borderId="0" xfId="0" applyFont="1"/>
    <xf numFmtId="0" fontId="19" fillId="0" borderId="0" xfId="0" applyFont="1" applyAlignment="1">
      <alignment horizontal="right"/>
    </xf>
    <xf numFmtId="0" fontId="19" fillId="0" borderId="0" xfId="0" applyFont="1" applyBorder="1"/>
    <xf numFmtId="0" fontId="19" fillId="0" borderId="0" xfId="0" applyFont="1" applyFill="1" applyBorder="1" applyAlignment="1">
      <alignment horizontal="right"/>
    </xf>
    <xf numFmtId="0" fontId="19" fillId="0" borderId="0" xfId="0" applyFont="1" applyFill="1" applyBorder="1"/>
    <xf numFmtId="0" fontId="19" fillId="0" borderId="0" xfId="0" applyFont="1" applyFill="1"/>
    <xf numFmtId="0" fontId="19" fillId="0" borderId="0" xfId="0" applyFont="1" applyFill="1" applyAlignment="1">
      <alignment horizontal="center"/>
    </xf>
    <xf numFmtId="9" fontId="19" fillId="0" borderId="0" xfId="2" applyFont="1" applyBorder="1" applyAlignment="1">
      <alignment horizontal="right"/>
    </xf>
    <xf numFmtId="0" fontId="20" fillId="0" borderId="0" xfId="0" applyFont="1" applyBorder="1" applyAlignment="1">
      <alignment horizontal="right"/>
    </xf>
    <xf numFmtId="9" fontId="19" fillId="0" borderId="0" xfId="2" applyFont="1" applyFill="1" applyBorder="1" applyAlignment="1">
      <alignment horizontal="right"/>
    </xf>
    <xf numFmtId="1" fontId="19" fillId="0" borderId="0" xfId="0" applyNumberFormat="1" applyFont="1" applyBorder="1" applyAlignment="1">
      <alignment horizontal="right"/>
    </xf>
    <xf numFmtId="166" fontId="19" fillId="0" borderId="0" xfId="0" applyNumberFormat="1" applyFont="1" applyBorder="1" applyAlignment="1">
      <alignment horizontal="right"/>
    </xf>
    <xf numFmtId="166" fontId="21" fillId="0" borderId="0" xfId="0" applyNumberFormat="1" applyFont="1" applyBorder="1" applyAlignment="1">
      <alignment horizontal="right"/>
    </xf>
    <xf numFmtId="165" fontId="21" fillId="0" borderId="0" xfId="0" applyNumberFormat="1" applyFont="1" applyBorder="1" applyAlignment="1">
      <alignment horizontal="right"/>
    </xf>
    <xf numFmtId="49" fontId="19" fillId="0" borderId="0" xfId="0" applyNumberFormat="1" applyFont="1" applyBorder="1" applyAlignment="1">
      <alignment horizontal="right"/>
    </xf>
    <xf numFmtId="49" fontId="19" fillId="0" borderId="0" xfId="0" applyNumberFormat="1" applyFont="1" applyAlignment="1">
      <alignment vertical="center"/>
    </xf>
    <xf numFmtId="49" fontId="19" fillId="0" borderId="0" xfId="0" applyNumberFormat="1" applyFont="1" applyFill="1" applyBorder="1" applyAlignment="1">
      <alignment vertical="center"/>
    </xf>
    <xf numFmtId="49" fontId="20" fillId="0" borderId="15" xfId="0" applyNumberFormat="1" applyFont="1" applyFill="1" applyBorder="1" applyAlignment="1">
      <alignment horizontal="right" vertical="center"/>
    </xf>
    <xf numFmtId="49" fontId="20" fillId="0" borderId="16" xfId="0" applyNumberFormat="1" applyFont="1" applyFill="1" applyBorder="1" applyAlignment="1">
      <alignment horizontal="right" vertical="center"/>
    </xf>
    <xf numFmtId="49" fontId="20" fillId="0" borderId="15" xfId="0" applyNumberFormat="1" applyFont="1" applyBorder="1" applyAlignment="1">
      <alignment horizontal="right" vertical="center"/>
    </xf>
    <xf numFmtId="49" fontId="20" fillId="0" borderId="16" xfId="0" applyNumberFormat="1" applyFont="1" applyBorder="1" applyAlignment="1">
      <alignment horizontal="right" vertical="center"/>
    </xf>
    <xf numFmtId="49" fontId="20" fillId="0" borderId="14" xfId="0" applyNumberFormat="1" applyFont="1" applyFill="1" applyBorder="1" applyAlignment="1">
      <alignment horizontal="left" vertical="center"/>
    </xf>
    <xf numFmtId="49" fontId="19" fillId="0" borderId="15" xfId="0" applyNumberFormat="1" applyFont="1" applyFill="1" applyBorder="1" applyAlignment="1">
      <alignment horizontal="right" vertical="center"/>
    </xf>
    <xf numFmtId="49" fontId="20" fillId="0" borderId="14" xfId="0" applyNumberFormat="1" applyFont="1" applyBorder="1" applyAlignment="1">
      <alignment horizontal="left" vertical="center"/>
    </xf>
    <xf numFmtId="49" fontId="19" fillId="0" borderId="15" xfId="0" applyNumberFormat="1" applyFont="1" applyBorder="1" applyAlignment="1">
      <alignment horizontal="right" vertical="center"/>
    </xf>
    <xf numFmtId="49" fontId="19" fillId="0" borderId="16" xfId="0" applyNumberFormat="1" applyFont="1" applyBorder="1" applyAlignment="1">
      <alignment horizontal="right" vertical="center"/>
    </xf>
    <xf numFmtId="0" fontId="20" fillId="0" borderId="14" xfId="0" applyFont="1" applyBorder="1" applyAlignment="1">
      <alignment horizontal="left" vertical="center"/>
    </xf>
    <xf numFmtId="9" fontId="19" fillId="0" borderId="15" xfId="2" applyFont="1" applyFill="1" applyBorder="1" applyAlignment="1">
      <alignment horizontal="right"/>
    </xf>
    <xf numFmtId="9" fontId="18" fillId="0" borderId="14" xfId="2" applyFont="1" applyFill="1" applyBorder="1" applyAlignment="1">
      <alignment horizontal="right"/>
    </xf>
    <xf numFmtId="9" fontId="18" fillId="0" borderId="15" xfId="2" applyFont="1" applyFill="1" applyBorder="1" applyAlignment="1">
      <alignment horizontal="right"/>
    </xf>
    <xf numFmtId="49" fontId="18" fillId="0" borderId="16" xfId="0" applyNumberFormat="1" applyFont="1" applyBorder="1" applyAlignment="1">
      <alignment horizontal="right"/>
    </xf>
    <xf numFmtId="0" fontId="20" fillId="0" borderId="14" xfId="0" applyFont="1" applyBorder="1" applyAlignment="1">
      <alignment horizontal="left"/>
    </xf>
    <xf numFmtId="49" fontId="19" fillId="0" borderId="15" xfId="0" applyNumberFormat="1" applyFont="1" applyBorder="1" applyAlignment="1">
      <alignment horizontal="right"/>
    </xf>
    <xf numFmtId="49" fontId="19" fillId="0" borderId="0" xfId="0" applyNumberFormat="1" applyFont="1" applyBorder="1" applyAlignment="1">
      <alignment vertical="center"/>
    </xf>
    <xf numFmtId="49" fontId="19" fillId="0" borderId="0" xfId="0" applyNumberFormat="1" applyFont="1" applyAlignment="1">
      <alignment vertical="center" wrapText="1"/>
    </xf>
    <xf numFmtId="49" fontId="19" fillId="0" borderId="0" xfId="0" applyNumberFormat="1" applyFont="1" applyFill="1" applyBorder="1" applyAlignment="1">
      <alignment vertical="center" wrapText="1"/>
    </xf>
    <xf numFmtId="49" fontId="19" fillId="0" borderId="0" xfId="0" applyNumberFormat="1" applyFont="1" applyFill="1" applyAlignment="1">
      <alignment horizontal="center" vertical="center" wrapText="1"/>
    </xf>
    <xf numFmtId="49" fontId="19" fillId="0" borderId="0" xfId="0" applyNumberFormat="1" applyFont="1" applyFill="1" applyBorder="1" applyAlignment="1">
      <alignment horizontal="center" vertical="center" wrapText="1"/>
    </xf>
    <xf numFmtId="0" fontId="19" fillId="0" borderId="0" xfId="0" applyFont="1" applyFill="1" applyBorder="1" applyAlignment="1">
      <alignment horizontal="center"/>
    </xf>
    <xf numFmtId="10" fontId="19" fillId="0" borderId="0" xfId="0" applyNumberFormat="1" applyFont="1" applyFill="1" applyBorder="1" applyAlignment="1">
      <alignment horizontal="center"/>
    </xf>
    <xf numFmtId="0" fontId="19" fillId="0" borderId="0" xfId="0" applyFont="1" applyBorder="1" applyAlignment="1">
      <alignment horizontal="left"/>
    </xf>
    <xf numFmtId="0" fontId="19" fillId="0" borderId="0" xfId="0" applyFont="1" applyBorder="1" applyAlignment="1">
      <alignment horizontal="center"/>
    </xf>
    <xf numFmtId="0" fontId="19" fillId="0" borderId="0" xfId="0" applyFont="1" applyAlignment="1">
      <alignment horizontal="left"/>
    </xf>
    <xf numFmtId="49"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xf>
    <xf numFmtId="9" fontId="19" fillId="0" borderId="0" xfId="2" applyFont="1" applyBorder="1" applyAlignment="1">
      <alignment horizontal="right" vertical="center"/>
    </xf>
    <xf numFmtId="164" fontId="19" fillId="0" borderId="0" xfId="0" applyNumberFormat="1" applyFont="1" applyBorder="1" applyAlignment="1">
      <alignment horizontal="right" vertical="center"/>
    </xf>
    <xf numFmtId="9" fontId="19" fillId="0" borderId="0" xfId="2" applyFont="1" applyFill="1" applyBorder="1" applyAlignment="1">
      <alignment vertical="center"/>
    </xf>
    <xf numFmtId="166" fontId="19" fillId="0" borderId="0" xfId="0" applyNumberFormat="1" applyFont="1" applyBorder="1" applyAlignment="1">
      <alignment horizontal="right" vertical="center"/>
    </xf>
    <xf numFmtId="166" fontId="19" fillId="0" borderId="0" xfId="0" applyNumberFormat="1" applyFont="1" applyFill="1" applyBorder="1" applyAlignment="1">
      <alignment horizontal="right" vertical="center"/>
    </xf>
    <xf numFmtId="49" fontId="19" fillId="0" borderId="0" xfId="0" applyNumberFormat="1" applyFont="1" applyBorder="1" applyAlignment="1">
      <alignment horizontal="right" vertical="center" wrapText="1"/>
    </xf>
    <xf numFmtId="49" fontId="19" fillId="0" borderId="0" xfId="0" applyNumberFormat="1" applyFont="1" applyFill="1" applyBorder="1" applyAlignment="1">
      <alignment horizontal="right" vertical="center" wrapText="1"/>
    </xf>
    <xf numFmtId="0" fontId="14" fillId="0" borderId="0" xfId="0" applyFont="1"/>
    <xf numFmtId="0" fontId="14" fillId="0" borderId="0" xfId="0" applyFont="1" applyFill="1"/>
    <xf numFmtId="0" fontId="18" fillId="0" borderId="0" xfId="0" applyFont="1" applyAlignment="1">
      <alignment horizontal="right"/>
    </xf>
    <xf numFmtId="0" fontId="14" fillId="0" borderId="0" xfId="0" applyFont="1" applyAlignment="1">
      <alignment horizontal="left"/>
    </xf>
    <xf numFmtId="0" fontId="18" fillId="0" borderId="0" xfId="0" applyFont="1" applyFill="1" applyAlignment="1">
      <alignment horizontal="right"/>
    </xf>
    <xf numFmtId="0" fontId="14" fillId="0" borderId="0" xfId="0" applyFont="1" applyFill="1" applyAlignment="1">
      <alignment horizontal="right"/>
    </xf>
    <xf numFmtId="0" fontId="14" fillId="0" borderId="0" xfId="0" applyFont="1" applyAlignment="1">
      <alignment horizontal="center"/>
    </xf>
    <xf numFmtId="167" fontId="16" fillId="0" borderId="0" xfId="12" applyNumberFormat="1" applyBorder="1" applyAlignment="1">
      <alignment horizontal="right"/>
    </xf>
    <xf numFmtId="0" fontId="16" fillId="0" borderId="0" xfId="12" applyBorder="1" applyAlignment="1">
      <alignment horizontal="right"/>
    </xf>
    <xf numFmtId="0" fontId="16" fillId="0" borderId="0" xfId="12" applyBorder="1"/>
    <xf numFmtId="9" fontId="16" fillId="0" borderId="0" xfId="2" applyFont="1" applyBorder="1" applyAlignment="1">
      <alignment horizontal="right"/>
    </xf>
    <xf numFmtId="0" fontId="6" fillId="0" borderId="0" xfId="11" applyFill="1" applyBorder="1" applyAlignment="1">
      <alignment horizontal="left"/>
    </xf>
    <xf numFmtId="0" fontId="0" fillId="0" borderId="0" xfId="0" applyBorder="1"/>
    <xf numFmtId="0" fontId="6" fillId="0" borderId="0" xfId="11" applyAlignment="1">
      <alignment horizontal="left"/>
    </xf>
    <xf numFmtId="0" fontId="14" fillId="0" borderId="0" xfId="0" applyFont="1" applyAlignment="1">
      <alignment horizontal="right"/>
    </xf>
    <xf numFmtId="0" fontId="19" fillId="0" borderId="0" xfId="0" applyFont="1" applyBorder="1" applyAlignment="1">
      <alignment horizontal="right"/>
    </xf>
    <xf numFmtId="167" fontId="14" fillId="0" borderId="0" xfId="0" applyNumberFormat="1" applyFont="1"/>
    <xf numFmtId="0" fontId="0" fillId="0" borderId="0" xfId="0" applyBorder="1" applyAlignment="1">
      <alignment horizontal="right"/>
    </xf>
    <xf numFmtId="44" fontId="19" fillId="0" borderId="0" xfId="0" applyNumberFormat="1" applyFont="1" applyAlignment="1">
      <alignment horizontal="right"/>
    </xf>
    <xf numFmtId="169" fontId="14" fillId="0" borderId="0" xfId="1" applyNumberFormat="1" applyFont="1" applyFill="1" applyBorder="1" applyAlignment="1">
      <alignment horizontal="left"/>
    </xf>
    <xf numFmtId="9" fontId="14" fillId="0" borderId="0" xfId="2" applyNumberFormat="1" applyFont="1" applyFill="1" applyBorder="1" applyAlignment="1">
      <alignment horizontal="right"/>
    </xf>
    <xf numFmtId="9" fontId="22" fillId="5" borderId="14" xfId="2" applyNumberFormat="1" applyFont="1" applyFill="1" applyBorder="1" applyAlignment="1">
      <alignment horizontal="right"/>
    </xf>
    <xf numFmtId="0" fontId="13" fillId="0" borderId="0" xfId="7" applyFill="1" applyBorder="1" applyAlignment="1">
      <alignment horizontal="right"/>
    </xf>
    <xf numFmtId="0" fontId="0" fillId="0" borderId="72" xfId="0" applyBorder="1"/>
    <xf numFmtId="0" fontId="0" fillId="0" borderId="66" xfId="0" applyBorder="1"/>
    <xf numFmtId="0" fontId="0" fillId="0" borderId="68" xfId="0" applyBorder="1"/>
    <xf numFmtId="0" fontId="0" fillId="0" borderId="69" xfId="0" applyBorder="1"/>
    <xf numFmtId="0" fontId="0" fillId="0" borderId="70" xfId="0" applyBorder="1"/>
    <xf numFmtId="0" fontId="0" fillId="0" borderId="71" xfId="0" applyBorder="1"/>
    <xf numFmtId="0" fontId="0" fillId="39" borderId="65" xfId="0" applyFill="1" applyBorder="1"/>
    <xf numFmtId="0" fontId="0" fillId="39" borderId="67" xfId="0" applyFill="1" applyBorder="1"/>
    <xf numFmtId="0" fontId="0" fillId="39" borderId="69" xfId="0" applyFill="1" applyBorder="1"/>
    <xf numFmtId="0" fontId="0" fillId="39" borderId="70" xfId="0" applyFill="1" applyBorder="1"/>
    <xf numFmtId="0" fontId="0" fillId="39" borderId="71" xfId="0" applyFill="1" applyBorder="1"/>
    <xf numFmtId="0" fontId="0" fillId="39" borderId="66" xfId="0" applyFill="1" applyBorder="1"/>
    <xf numFmtId="0" fontId="0" fillId="39" borderId="68" xfId="0" applyFill="1" applyBorder="1"/>
    <xf numFmtId="0" fontId="0" fillId="39" borderId="72" xfId="0" applyFill="1" applyBorder="1"/>
    <xf numFmtId="0" fontId="33" fillId="0" borderId="67" xfId="11" applyFont="1" applyBorder="1" applyAlignment="1">
      <alignment horizontal="left" indent="1"/>
    </xf>
    <xf numFmtId="0" fontId="34" fillId="0" borderId="65" xfId="3" applyFont="1" applyBorder="1" applyAlignment="1">
      <alignment horizontal="left" indent="1"/>
    </xf>
    <xf numFmtId="0" fontId="35" fillId="0" borderId="72" xfId="0" applyFont="1" applyBorder="1"/>
    <xf numFmtId="0" fontId="35" fillId="0" borderId="0" xfId="0" applyFont="1" applyBorder="1"/>
    <xf numFmtId="0" fontId="36" fillId="0" borderId="67" xfId="5" applyFont="1" applyBorder="1" applyAlignment="1">
      <alignment horizontal="left" indent="1"/>
    </xf>
    <xf numFmtId="167" fontId="16" fillId="0" borderId="0" xfId="12" applyNumberFormat="1" applyFill="1" applyBorder="1" applyAlignment="1">
      <alignment horizontal="right"/>
    </xf>
    <xf numFmtId="0" fontId="23" fillId="0" borderId="77" xfId="12" applyFont="1" applyFill="1" applyBorder="1" applyAlignment="1">
      <alignment horizontal="left"/>
    </xf>
    <xf numFmtId="167" fontId="13" fillId="8" borderId="79" xfId="1" applyNumberFormat="1" applyFont="1" applyFill="1" applyBorder="1" applyAlignment="1">
      <alignment horizontal="left"/>
    </xf>
    <xf numFmtId="9" fontId="32" fillId="0" borderId="78" xfId="47" applyNumberFormat="1" applyFill="1" applyBorder="1" applyAlignment="1">
      <alignment horizontal="right"/>
    </xf>
    <xf numFmtId="164" fontId="13" fillId="39" borderId="78" xfId="7" applyNumberFormat="1" applyBorder="1" applyAlignment="1">
      <alignment horizontal="right"/>
    </xf>
    <xf numFmtId="0" fontId="14" fillId="0" borderId="75" xfId="0" applyFont="1" applyBorder="1"/>
    <xf numFmtId="0" fontId="25" fillId="0" borderId="75" xfId="0" applyFont="1" applyBorder="1"/>
    <xf numFmtId="0" fontId="23" fillId="0" borderId="88" xfId="12" applyFont="1" applyFill="1" applyBorder="1" applyAlignment="1">
      <alignment horizontal="left"/>
    </xf>
    <xf numFmtId="0" fontId="13" fillId="39" borderId="89" xfId="7" applyFont="1" applyBorder="1" applyAlignment="1">
      <alignment horizontal="left"/>
    </xf>
    <xf numFmtId="164" fontId="13" fillId="39" borderId="89" xfId="7" applyNumberFormat="1" applyBorder="1" applyAlignment="1">
      <alignment horizontal="right"/>
    </xf>
    <xf numFmtId="0" fontId="14" fillId="0" borderId="86" xfId="0" applyFont="1" applyBorder="1"/>
    <xf numFmtId="0" fontId="37" fillId="0" borderId="86" xfId="0" applyFont="1" applyBorder="1"/>
    <xf numFmtId="43" fontId="14" fillId="0" borderId="86" xfId="6" applyFont="1" applyBorder="1"/>
    <xf numFmtId="164" fontId="13" fillId="39" borderId="92" xfId="7" applyNumberFormat="1" applyBorder="1" applyAlignment="1">
      <alignment horizontal="right"/>
    </xf>
    <xf numFmtId="164" fontId="13" fillId="39" borderId="82" xfId="7" applyNumberFormat="1" applyBorder="1" applyAlignment="1">
      <alignment horizontal="right"/>
    </xf>
    <xf numFmtId="0" fontId="9" fillId="0" borderId="91" xfId="4" applyBorder="1"/>
    <xf numFmtId="0" fontId="9" fillId="0" borderId="80" xfId="4" applyBorder="1"/>
    <xf numFmtId="0" fontId="14" fillId="0" borderId="95" xfId="0" applyFont="1" applyFill="1" applyBorder="1"/>
    <xf numFmtId="0" fontId="14" fillId="0" borderId="96" xfId="0" applyFont="1" applyFill="1" applyBorder="1"/>
    <xf numFmtId="0" fontId="14" fillId="0" borderId="97" xfId="0" applyFont="1" applyFill="1" applyBorder="1"/>
    <xf numFmtId="167" fontId="16" fillId="0" borderId="100" xfId="12" applyNumberFormat="1" applyBorder="1" applyAlignment="1">
      <alignment horizontal="right"/>
    </xf>
    <xf numFmtId="167" fontId="13" fillId="39" borderId="101" xfId="7" applyNumberFormat="1" applyBorder="1" applyAlignment="1">
      <alignment horizontal="left"/>
    </xf>
    <xf numFmtId="0" fontId="4" fillId="0" borderId="104" xfId="13" applyBorder="1" applyAlignment="1">
      <alignment horizontal="right"/>
    </xf>
    <xf numFmtId="9" fontId="13" fillId="39" borderId="102" xfId="7" applyNumberFormat="1" applyBorder="1" applyAlignment="1">
      <alignment horizontal="right"/>
    </xf>
    <xf numFmtId="9" fontId="13" fillId="39" borderId="103" xfId="7" applyNumberFormat="1" applyBorder="1" applyAlignment="1">
      <alignment horizontal="right"/>
    </xf>
    <xf numFmtId="168" fontId="13" fillId="39" borderId="105" xfId="7" applyNumberFormat="1" applyBorder="1" applyAlignment="1">
      <alignment horizontal="right"/>
    </xf>
    <xf numFmtId="9" fontId="13" fillId="39" borderId="99" xfId="7" applyNumberFormat="1" applyBorder="1" applyAlignment="1">
      <alignment horizontal="right"/>
    </xf>
    <xf numFmtId="9" fontId="13" fillId="39" borderId="101" xfId="7" applyNumberFormat="1" applyBorder="1" applyAlignment="1">
      <alignment horizontal="right"/>
    </xf>
    <xf numFmtId="164" fontId="13" fillId="39" borderId="102" xfId="7" applyNumberFormat="1" applyBorder="1" applyAlignment="1">
      <alignment horizontal="right"/>
    </xf>
    <xf numFmtId="164" fontId="13" fillId="39" borderId="103" xfId="7" applyNumberFormat="1" applyBorder="1" applyAlignment="1">
      <alignment horizontal="right"/>
    </xf>
    <xf numFmtId="164" fontId="13" fillId="39" borderId="101" xfId="7" applyNumberFormat="1" applyBorder="1" applyAlignment="1">
      <alignment horizontal="right"/>
    </xf>
    <xf numFmtId="0" fontId="14" fillId="0" borderId="105" xfId="0" applyFont="1" applyBorder="1" applyAlignment="1">
      <alignment horizontal="centerContinuous"/>
    </xf>
    <xf numFmtId="0" fontId="18" fillId="0" borderId="93" xfId="0" applyFont="1" applyFill="1" applyBorder="1"/>
    <xf numFmtId="0" fontId="18" fillId="0" borderId="95" xfId="0" applyFont="1" applyFill="1" applyBorder="1"/>
    <xf numFmtId="0" fontId="14" fillId="0" borderId="106" xfId="0" applyFont="1" applyFill="1" applyBorder="1" applyAlignment="1">
      <alignment horizontal="left" indent="1"/>
    </xf>
    <xf numFmtId="0" fontId="14" fillId="0" borderId="97" xfId="0" applyFont="1" applyFill="1" applyBorder="1" applyAlignment="1">
      <alignment horizontal="left" indent="1"/>
    </xf>
    <xf numFmtId="0" fontId="14" fillId="0" borderId="98" xfId="0" applyFont="1" applyFill="1" applyBorder="1" applyAlignment="1">
      <alignment horizontal="left" indent="1"/>
    </xf>
    <xf numFmtId="0" fontId="18" fillId="0" borderId="59" xfId="0" applyFont="1" applyFill="1" applyBorder="1" applyAlignment="1">
      <alignment horizontal="left" indent="1"/>
    </xf>
    <xf numFmtId="0" fontId="14" fillId="0" borderId="97" xfId="0" applyFont="1" applyFill="1" applyBorder="1" applyAlignment="1">
      <alignment horizontal="left" indent="2"/>
    </xf>
    <xf numFmtId="0" fontId="14" fillId="0" borderId="96" xfId="0" applyFont="1" applyFill="1" applyBorder="1" applyAlignment="1">
      <alignment horizontal="left" indent="2"/>
    </xf>
    <xf numFmtId="0" fontId="14" fillId="0" borderId="98" xfId="0" applyFont="1" applyFill="1" applyBorder="1" applyAlignment="1">
      <alignment horizontal="left" indent="2"/>
    </xf>
    <xf numFmtId="0" fontId="18" fillId="0" borderId="83" xfId="0" applyFont="1" applyFill="1" applyBorder="1" applyAlignment="1"/>
    <xf numFmtId="0" fontId="14" fillId="0" borderId="106" xfId="0" applyFont="1" applyFill="1" applyBorder="1" applyAlignment="1">
      <alignment horizontal="left" indent="2"/>
    </xf>
    <xf numFmtId="0" fontId="18" fillId="0" borderId="83" xfId="0" applyFont="1" applyFill="1" applyBorder="1"/>
    <xf numFmtId="167" fontId="13" fillId="39" borderId="92" xfId="7" applyNumberFormat="1" applyBorder="1"/>
    <xf numFmtId="167" fontId="13" fillId="39" borderId="82" xfId="7" applyNumberFormat="1" applyBorder="1"/>
    <xf numFmtId="9" fontId="13" fillId="39" borderId="89" xfId="7" applyNumberFormat="1" applyBorder="1"/>
    <xf numFmtId="167" fontId="16" fillId="0" borderId="78" xfId="12" applyNumberFormat="1" applyBorder="1"/>
    <xf numFmtId="164" fontId="13" fillId="39" borderId="89" xfId="7" applyNumberFormat="1" applyBorder="1"/>
    <xf numFmtId="164" fontId="13" fillId="39" borderId="78" xfId="7" applyNumberFormat="1" applyBorder="1"/>
    <xf numFmtId="167" fontId="13" fillId="39" borderId="89" xfId="7" applyNumberFormat="1" applyBorder="1"/>
    <xf numFmtId="167" fontId="13" fillId="39" borderId="78" xfId="7" applyNumberFormat="1" applyBorder="1"/>
    <xf numFmtId="0" fontId="18" fillId="0" borderId="83" xfId="0" applyFont="1" applyBorder="1" applyAlignment="1">
      <alignment horizontal="left"/>
    </xf>
    <xf numFmtId="0" fontId="14" fillId="0" borderId="97" xfId="0" applyFont="1" applyBorder="1" applyAlignment="1">
      <alignment horizontal="left" indent="2"/>
    </xf>
    <xf numFmtId="0" fontId="18" fillId="0" borderId="83" xfId="0" applyFont="1" applyBorder="1"/>
    <xf numFmtId="0" fontId="18" fillId="0" borderId="83" xfId="0" applyFont="1" applyFill="1" applyBorder="1" applyAlignment="1">
      <alignment horizontal="left"/>
    </xf>
    <xf numFmtId="0" fontId="14" fillId="0" borderId="106" xfId="0" applyFont="1" applyFill="1" applyBorder="1"/>
    <xf numFmtId="49" fontId="1" fillId="45" borderId="14" xfId="22" applyNumberFormat="1" applyFill="1" applyBorder="1" applyAlignment="1">
      <alignment horizontal="right" vertical="center" wrapText="1"/>
    </xf>
    <xf numFmtId="49" fontId="1" fillId="45" borderId="33" xfId="22" applyNumberFormat="1" applyFill="1" applyBorder="1" applyAlignment="1">
      <alignment horizontal="right" vertical="center" wrapText="1"/>
    </xf>
    <xf numFmtId="49" fontId="1" fillId="45" borderId="27" xfId="22" applyNumberFormat="1" applyFill="1" applyBorder="1" applyAlignment="1">
      <alignment horizontal="right" vertical="center" wrapText="1"/>
    </xf>
    <xf numFmtId="49" fontId="1" fillId="45" borderId="38" xfId="22" applyNumberFormat="1" applyFill="1" applyBorder="1" applyAlignment="1">
      <alignment horizontal="right" vertical="center" wrapText="1"/>
    </xf>
    <xf numFmtId="49" fontId="1" fillId="45" borderId="34" xfId="22" applyNumberFormat="1" applyFill="1" applyBorder="1" applyAlignment="1">
      <alignment horizontal="right" vertical="center" wrapText="1"/>
    </xf>
    <xf numFmtId="49" fontId="1" fillId="46" borderId="2" xfId="22" applyNumberFormat="1" applyFill="1" applyBorder="1" applyAlignment="1">
      <alignment horizontal="left" vertical="center"/>
    </xf>
    <xf numFmtId="49" fontId="1" fillId="46" borderId="3" xfId="22" applyNumberFormat="1" applyFill="1" applyBorder="1" applyAlignment="1">
      <alignment horizontal="left" vertical="center"/>
    </xf>
    <xf numFmtId="49" fontId="1" fillId="46" borderId="39" xfId="22" applyNumberFormat="1" applyFill="1" applyBorder="1" applyAlignment="1">
      <alignment horizontal="left" vertical="center"/>
    </xf>
    <xf numFmtId="49" fontId="1" fillId="46" borderId="27" xfId="22" applyNumberFormat="1" applyFill="1" applyBorder="1" applyAlignment="1">
      <alignment horizontal="right" vertical="center" wrapText="1"/>
    </xf>
    <xf numFmtId="49" fontId="1" fillId="46" borderId="28" xfId="22" applyNumberFormat="1" applyFill="1" applyBorder="1" applyAlignment="1">
      <alignment horizontal="right" vertical="center" wrapText="1"/>
    </xf>
    <xf numFmtId="49" fontId="1" fillId="47" borderId="2" xfId="30" applyNumberFormat="1" applyFill="1" applyBorder="1" applyAlignment="1">
      <alignment horizontal="left" vertical="center"/>
    </xf>
    <xf numFmtId="49" fontId="1" fillId="47" borderId="4" xfId="30" applyNumberFormat="1" applyFill="1" applyBorder="1" applyAlignment="1">
      <alignment horizontal="left" vertical="center"/>
    </xf>
    <xf numFmtId="49" fontId="1" fillId="47" borderId="3" xfId="30" applyNumberFormat="1" applyFill="1" applyBorder="1" applyAlignment="1">
      <alignment horizontal="left" vertical="center"/>
    </xf>
    <xf numFmtId="49" fontId="1" fillId="47" borderId="27" xfId="30" quotePrefix="1" applyNumberFormat="1" applyFill="1" applyBorder="1" applyAlignment="1">
      <alignment horizontal="right" vertical="center" wrapText="1"/>
    </xf>
    <xf numFmtId="49" fontId="1" fillId="47" borderId="27" xfId="30" applyNumberFormat="1" applyFill="1" applyBorder="1" applyAlignment="1">
      <alignment horizontal="right" vertical="center" wrapText="1"/>
    </xf>
    <xf numFmtId="49" fontId="1" fillId="47" borderId="30" xfId="30" applyNumberFormat="1" applyFill="1" applyBorder="1" applyAlignment="1">
      <alignment horizontal="right" vertical="center" wrapText="1"/>
    </xf>
    <xf numFmtId="49" fontId="1" fillId="43" borderId="2" xfId="30" applyNumberFormat="1" applyFill="1" applyBorder="1" applyAlignment="1">
      <alignment horizontal="left" vertical="center"/>
    </xf>
    <xf numFmtId="49" fontId="1" fillId="43" borderId="4" xfId="30" applyNumberFormat="1" applyFill="1" applyBorder="1" applyAlignment="1">
      <alignment horizontal="left" vertical="center"/>
    </xf>
    <xf numFmtId="49" fontId="19" fillId="48" borderId="25" xfId="30" applyNumberFormat="1" applyFont="1" applyFill="1" applyBorder="1" applyAlignment="1">
      <alignment horizontal="right" vertical="center" wrapText="1"/>
    </xf>
    <xf numFmtId="49" fontId="19" fillId="48" borderId="27" xfId="30" quotePrefix="1" applyNumberFormat="1" applyFont="1" applyFill="1" applyBorder="1" applyAlignment="1">
      <alignment horizontal="right" vertical="center" wrapText="1"/>
    </xf>
    <xf numFmtId="49" fontId="19" fillId="49" borderId="27" xfId="30" quotePrefix="1" applyNumberFormat="1" applyFont="1" applyFill="1" applyBorder="1" applyAlignment="1">
      <alignment horizontal="right" vertical="center" wrapText="1"/>
    </xf>
    <xf numFmtId="49" fontId="19" fillId="49" borderId="27" xfId="30" applyNumberFormat="1" applyFont="1" applyFill="1" applyBorder="1" applyAlignment="1">
      <alignment horizontal="right" vertical="center" wrapText="1"/>
    </xf>
    <xf numFmtId="0" fontId="43" fillId="8" borderId="0" xfId="0" applyFont="1" applyFill="1" applyBorder="1" applyAlignment="1">
      <alignment horizontal="center" vertical="top" wrapText="1"/>
    </xf>
    <xf numFmtId="0" fontId="43" fillId="8" borderId="0" xfId="0" applyFont="1" applyFill="1" applyBorder="1" applyAlignment="1">
      <alignment horizontal="right" vertical="top" wrapText="1"/>
    </xf>
    <xf numFmtId="0" fontId="43" fillId="8" borderId="0" xfId="0" applyFont="1" applyFill="1" applyAlignment="1">
      <alignment horizontal="right"/>
    </xf>
    <xf numFmtId="0" fontId="43" fillId="8" borderId="0" xfId="0" applyFont="1" applyFill="1" applyAlignment="1">
      <alignment horizontal="center"/>
    </xf>
    <xf numFmtId="0" fontId="43" fillId="8" borderId="0" xfId="0" applyFont="1" applyFill="1" applyAlignment="1">
      <alignment horizontal="center" wrapText="1"/>
    </xf>
    <xf numFmtId="0" fontId="43" fillId="8" borderId="0" xfId="0" applyFont="1" applyFill="1" applyAlignment="1">
      <alignment horizontal="right" wrapText="1"/>
    </xf>
    <xf numFmtId="0" fontId="43" fillId="0" borderId="0" xfId="0" applyFont="1" applyAlignment="1">
      <alignment horizontal="right"/>
    </xf>
    <xf numFmtId="0" fontId="43" fillId="3" borderId="0" xfId="0" applyFont="1" applyFill="1" applyAlignment="1">
      <alignment horizontal="center" wrapText="1"/>
    </xf>
    <xf numFmtId="0" fontId="43" fillId="3" borderId="0" xfId="0" applyFont="1" applyFill="1" applyBorder="1" applyAlignment="1">
      <alignment horizontal="right" vertical="top" wrapText="1"/>
    </xf>
    <xf numFmtId="0" fontId="43" fillId="3" borderId="0" xfId="0" applyFont="1" applyFill="1" applyBorder="1" applyAlignment="1">
      <alignment horizontal="center" vertical="top" wrapText="1"/>
    </xf>
    <xf numFmtId="0" fontId="44" fillId="0" borderId="0" xfId="0" applyFont="1" applyAlignment="1">
      <alignment horizontal="right"/>
    </xf>
    <xf numFmtId="0" fontId="45" fillId="39" borderId="0" xfId="7" applyFont="1" applyBorder="1" applyAlignment="1">
      <alignment horizontal="right"/>
    </xf>
    <xf numFmtId="0" fontId="43" fillId="0" borderId="0" xfId="0" applyFont="1"/>
    <xf numFmtId="168" fontId="45" fillId="39" borderId="0" xfId="6" applyNumberFormat="1" applyFont="1" applyFill="1" applyBorder="1" applyAlignment="1">
      <alignment horizontal="right"/>
    </xf>
    <xf numFmtId="0" fontId="45" fillId="0" borderId="0" xfId="7" applyFont="1" applyFill="1" applyBorder="1" applyAlignment="1">
      <alignment horizontal="right"/>
    </xf>
    <xf numFmtId="0" fontId="45" fillId="39" borderId="0" xfId="7" applyFont="1" applyBorder="1" applyAlignment="1">
      <alignment horizontal="right" vertical="top" wrapText="1"/>
    </xf>
    <xf numFmtId="0" fontId="45" fillId="39" borderId="0" xfId="7" applyFont="1" applyBorder="1"/>
    <xf numFmtId="168" fontId="45" fillId="39" borderId="0" xfId="6" applyNumberFormat="1" applyFont="1" applyFill="1" applyBorder="1"/>
    <xf numFmtId="0" fontId="45" fillId="0" borderId="0" xfId="7" applyFont="1" applyFill="1" applyBorder="1"/>
    <xf numFmtId="0" fontId="45" fillId="0" borderId="0" xfId="7" applyFont="1" applyFill="1" applyBorder="1" applyAlignment="1">
      <alignment horizontal="right" vertical="top" wrapText="1"/>
    </xf>
    <xf numFmtId="168" fontId="43" fillId="0" borderId="0" xfId="6" applyNumberFormat="1" applyFont="1"/>
    <xf numFmtId="0" fontId="43" fillId="3" borderId="0" xfId="0" applyFont="1" applyFill="1" applyBorder="1" applyAlignment="1">
      <alignment horizontal="center" wrapText="1"/>
    </xf>
    <xf numFmtId="0" fontId="43" fillId="3" borderId="0" xfId="0" applyFont="1" applyFill="1" applyBorder="1" applyAlignment="1">
      <alignment horizontal="right" wrapText="1"/>
    </xf>
    <xf numFmtId="168" fontId="43" fillId="3" borderId="0" xfId="6" applyNumberFormat="1" applyFont="1" applyFill="1" applyBorder="1" applyAlignment="1">
      <alignment horizontal="right" wrapText="1"/>
    </xf>
    <xf numFmtId="0" fontId="46" fillId="3" borderId="0" xfId="0" applyFont="1" applyFill="1" applyAlignment="1">
      <alignment horizontal="right" wrapText="1"/>
    </xf>
    <xf numFmtId="9" fontId="43" fillId="3" borderId="0" xfId="2" applyNumberFormat="1" applyFont="1" applyFill="1" applyAlignment="1">
      <alignment horizontal="right" wrapText="1"/>
    </xf>
    <xf numFmtId="0" fontId="43" fillId="3" borderId="6" xfId="0" applyFont="1" applyFill="1" applyBorder="1"/>
    <xf numFmtId="167" fontId="43" fillId="3" borderId="6" xfId="1" applyNumberFormat="1" applyFont="1" applyFill="1" applyBorder="1" applyAlignment="1">
      <alignment horizontal="center"/>
    </xf>
    <xf numFmtId="9" fontId="43" fillId="3" borderId="6" xfId="2" applyFont="1" applyFill="1" applyBorder="1" applyAlignment="1">
      <alignment horizontal="right"/>
    </xf>
    <xf numFmtId="0" fontId="43" fillId="3" borderId="0" xfId="0" applyFont="1" applyFill="1" applyAlignment="1">
      <alignment horizontal="center"/>
    </xf>
    <xf numFmtId="169" fontId="43" fillId="3" borderId="6" xfId="1" applyNumberFormat="1" applyFont="1" applyFill="1" applyBorder="1" applyAlignment="1">
      <alignment horizontal="center"/>
    </xf>
    <xf numFmtId="168" fontId="43" fillId="3" borderId="6" xfId="6" applyNumberFormat="1" applyFont="1" applyFill="1" applyBorder="1" applyAlignment="1">
      <alignment horizontal="center"/>
    </xf>
    <xf numFmtId="0" fontId="43" fillId="3" borderId="12" xfId="0" applyFont="1" applyFill="1" applyBorder="1"/>
    <xf numFmtId="167" fontId="43" fillId="3" borderId="0" xfId="1" applyNumberFormat="1" applyFont="1" applyFill="1" applyBorder="1" applyAlignment="1">
      <alignment horizontal="center"/>
    </xf>
    <xf numFmtId="9" fontId="43" fillId="3" borderId="0" xfId="2" applyFont="1" applyFill="1" applyBorder="1" applyAlignment="1">
      <alignment horizontal="right"/>
    </xf>
    <xf numFmtId="169" fontId="43" fillId="3" borderId="0" xfId="1" applyNumberFormat="1" applyFont="1" applyFill="1" applyBorder="1" applyAlignment="1">
      <alignment horizontal="center"/>
    </xf>
    <xf numFmtId="168" fontId="43" fillId="3" borderId="0" xfId="6" applyNumberFormat="1" applyFont="1" applyFill="1" applyBorder="1" applyAlignment="1">
      <alignment horizontal="center"/>
    </xf>
    <xf numFmtId="0" fontId="43" fillId="3" borderId="3" xfId="0" applyFont="1" applyFill="1" applyBorder="1"/>
    <xf numFmtId="167" fontId="43" fillId="3" borderId="3" xfId="0" applyNumberFormat="1" applyFont="1" applyFill="1" applyBorder="1" applyAlignment="1">
      <alignment horizontal="center"/>
    </xf>
    <xf numFmtId="9" fontId="43" fillId="3" borderId="3" xfId="2" applyFont="1" applyFill="1" applyBorder="1" applyAlignment="1">
      <alignment horizontal="right"/>
    </xf>
    <xf numFmtId="169" fontId="43" fillId="3" borderId="3" xfId="0" applyNumberFormat="1" applyFont="1" applyFill="1" applyBorder="1" applyAlignment="1">
      <alignment horizontal="center"/>
    </xf>
    <xf numFmtId="168" fontId="43" fillId="3" borderId="3" xfId="6" applyNumberFormat="1" applyFont="1" applyFill="1" applyBorder="1" applyAlignment="1">
      <alignment horizontal="center"/>
    </xf>
    <xf numFmtId="0" fontId="43" fillId="0" borderId="0" xfId="0" applyFont="1" applyFill="1" applyAlignment="1">
      <alignment horizontal="center" wrapText="1"/>
    </xf>
    <xf numFmtId="0" fontId="43" fillId="0" borderId="0" xfId="0" applyFont="1" applyFill="1" applyAlignment="1">
      <alignment horizontal="right"/>
    </xf>
    <xf numFmtId="0" fontId="43" fillId="0" borderId="0" xfId="0" applyFont="1" applyFill="1" applyBorder="1" applyAlignment="1">
      <alignment horizontal="center" wrapText="1"/>
    </xf>
    <xf numFmtId="169" fontId="19" fillId="0" borderId="0" xfId="0" applyNumberFormat="1" applyFont="1" applyBorder="1" applyAlignment="1">
      <alignment horizontal="right"/>
    </xf>
    <xf numFmtId="0" fontId="43" fillId="8" borderId="0" xfId="0" applyFont="1" applyFill="1" applyAlignment="1">
      <alignment vertical="center"/>
    </xf>
    <xf numFmtId="0" fontId="48" fillId="8" borderId="0" xfId="3" applyFont="1" applyFill="1" applyAlignment="1">
      <alignment horizontal="left"/>
    </xf>
    <xf numFmtId="0" fontId="43" fillId="0" borderId="0" xfId="0" applyFont="1" applyFill="1" applyAlignment="1">
      <alignment horizontal="center" vertical="center"/>
    </xf>
    <xf numFmtId="0" fontId="43" fillId="8" borderId="0" xfId="0" applyFont="1" applyFill="1" applyAlignment="1">
      <alignment horizontal="center" vertical="center"/>
    </xf>
    <xf numFmtId="0" fontId="43" fillId="0" borderId="0" xfId="0" applyFont="1" applyFill="1" applyBorder="1" applyAlignment="1">
      <alignment horizontal="center" vertical="top" wrapText="1"/>
    </xf>
    <xf numFmtId="0" fontId="43" fillId="0" borderId="0" xfId="0" applyFont="1" applyAlignment="1">
      <alignment wrapText="1"/>
    </xf>
    <xf numFmtId="0" fontId="43" fillId="0" borderId="0" xfId="0" applyFont="1" applyAlignment="1">
      <alignment vertical="center"/>
    </xf>
    <xf numFmtId="0" fontId="43" fillId="0" borderId="0" xfId="0" applyFont="1" applyFill="1" applyAlignment="1">
      <alignment vertical="center"/>
    </xf>
    <xf numFmtId="0" fontId="43" fillId="8" borderId="0" xfId="0" applyFont="1" applyFill="1" applyBorder="1"/>
    <xf numFmtId="0" fontId="43" fillId="0" borderId="0" xfId="0" applyFont="1" applyBorder="1"/>
    <xf numFmtId="0" fontId="43" fillId="3" borderId="0" xfId="0" applyFont="1" applyFill="1"/>
    <xf numFmtId="0" fontId="43" fillId="0" borderId="0" xfId="0" applyFont="1" applyFill="1"/>
    <xf numFmtId="1" fontId="45" fillId="39" borderId="0" xfId="7" applyNumberFormat="1" applyFont="1" applyBorder="1" applyAlignment="1">
      <alignment horizontal="center"/>
    </xf>
    <xf numFmtId="1" fontId="45" fillId="0" borderId="0" xfId="7" applyNumberFormat="1" applyFont="1" applyFill="1" applyBorder="1" applyAlignment="1">
      <alignment horizontal="center"/>
    </xf>
    <xf numFmtId="0" fontId="43" fillId="8" borderId="0" xfId="0" applyFont="1" applyFill="1" applyBorder="1" applyAlignment="1">
      <alignment horizontal="center"/>
    </xf>
    <xf numFmtId="0" fontId="43" fillId="0" borderId="0" xfId="0" applyFont="1" applyFill="1" applyAlignment="1">
      <alignment horizontal="center"/>
    </xf>
    <xf numFmtId="0" fontId="43" fillId="3" borderId="0" xfId="0" applyFont="1" applyFill="1" applyAlignment="1">
      <alignment horizontal="right"/>
    </xf>
    <xf numFmtId="169" fontId="43" fillId="3" borderId="0" xfId="0" applyNumberFormat="1" applyFont="1" applyFill="1" applyAlignment="1">
      <alignment horizontal="right"/>
    </xf>
    <xf numFmtId="0" fontId="43" fillId="0" borderId="0" xfId="0" applyFont="1" applyAlignment="1">
      <alignment horizontal="center"/>
    </xf>
    <xf numFmtId="0" fontId="43" fillId="0" borderId="0" xfId="0" applyFont="1" applyFill="1" applyBorder="1" applyAlignment="1">
      <alignment horizontal="center"/>
    </xf>
    <xf numFmtId="0" fontId="24" fillId="0" borderId="0" xfId="0" applyFont="1"/>
    <xf numFmtId="0" fontId="49" fillId="8" borderId="0" xfId="0" applyFont="1" applyFill="1" applyAlignment="1">
      <alignment horizontal="left"/>
    </xf>
    <xf numFmtId="9" fontId="13" fillId="39" borderId="92" xfId="7" applyNumberFormat="1" applyBorder="1"/>
    <xf numFmtId="167" fontId="22" fillId="5" borderId="14" xfId="1" applyNumberFormat="1" applyFont="1" applyFill="1" applyBorder="1" applyAlignment="1">
      <alignment horizontal="right"/>
    </xf>
    <xf numFmtId="164" fontId="43" fillId="3" borderId="6" xfId="2" applyNumberFormat="1" applyFont="1" applyFill="1" applyBorder="1" applyAlignment="1">
      <alignment horizontal="right"/>
    </xf>
    <xf numFmtId="164" fontId="43" fillId="3" borderId="0" xfId="2" applyNumberFormat="1" applyFont="1" applyFill="1" applyBorder="1" applyAlignment="1">
      <alignment horizontal="right"/>
    </xf>
    <xf numFmtId="164" fontId="43" fillId="3" borderId="3" xfId="2" applyNumberFormat="1" applyFont="1" applyFill="1" applyBorder="1" applyAlignment="1">
      <alignment horizontal="right"/>
    </xf>
    <xf numFmtId="0" fontId="16" fillId="0" borderId="0" xfId="12" applyFill="1" applyBorder="1" applyAlignment="1">
      <alignment horizontal="center"/>
    </xf>
    <xf numFmtId="0" fontId="0" fillId="0" borderId="0" xfId="0"/>
    <xf numFmtId="167" fontId="14" fillId="0" borderId="0" xfId="1" applyNumberFormat="1" applyFont="1" applyFill="1" applyBorder="1" applyAlignment="1">
      <alignment horizontal="left"/>
    </xf>
    <xf numFmtId="9" fontId="14" fillId="0" borderId="105" xfId="2" applyFont="1" applyFill="1" applyBorder="1" applyAlignment="1">
      <alignment horizontal="centerContinuous"/>
    </xf>
    <xf numFmtId="49" fontId="19" fillId="48" borderId="26" xfId="30" applyNumberFormat="1" applyFont="1" applyFill="1" applyBorder="1" applyAlignment="1">
      <alignment horizontal="right" vertical="center" wrapText="1"/>
    </xf>
    <xf numFmtId="0" fontId="38" fillId="0" borderId="0" xfId="3" applyFont="1">
      <alignment horizontal="left"/>
    </xf>
    <xf numFmtId="0" fontId="0" fillId="41" borderId="0" xfId="0" applyFill="1" applyAlignment="1">
      <alignment horizontal="right"/>
    </xf>
    <xf numFmtId="171" fontId="0" fillId="41" borderId="0" xfId="0" applyNumberFormat="1" applyFill="1"/>
    <xf numFmtId="0" fontId="13" fillId="39" borderId="14" xfId="7" applyBorder="1"/>
    <xf numFmtId="0" fontId="13" fillId="39" borderId="16" xfId="7" applyBorder="1"/>
    <xf numFmtId="0" fontId="23" fillId="0" borderId="81" xfId="12" applyFont="1" applyFill="1" applyBorder="1" applyAlignment="1">
      <alignment horizontal="left"/>
    </xf>
    <xf numFmtId="0" fontId="13" fillId="39" borderId="107" xfId="7" applyFont="1" applyBorder="1" applyAlignment="1">
      <alignment horizontal="left"/>
    </xf>
    <xf numFmtId="0" fontId="16" fillId="0" borderId="75" xfId="12" applyBorder="1" applyAlignment="1">
      <alignment horizontal="left"/>
    </xf>
    <xf numFmtId="9" fontId="13" fillId="39" borderId="107" xfId="7" applyNumberFormat="1" applyBorder="1" applyAlignment="1">
      <alignment horizontal="left"/>
    </xf>
    <xf numFmtId="9" fontId="16" fillId="0" borderId="75" xfId="2" applyFont="1" applyBorder="1" applyAlignment="1">
      <alignment horizontal="left"/>
    </xf>
    <xf numFmtId="0" fontId="14" fillId="0" borderId="96" xfId="0" applyFont="1" applyBorder="1"/>
    <xf numFmtId="0" fontId="13" fillId="39" borderId="88" xfId="7" applyFont="1" applyBorder="1" applyAlignment="1">
      <alignment horizontal="left"/>
    </xf>
    <xf numFmtId="0" fontId="38" fillId="40" borderId="14" xfId="3" applyFont="1" applyFill="1" applyBorder="1">
      <alignment horizontal="left"/>
    </xf>
    <xf numFmtId="0" fontId="9" fillId="40" borderId="15" xfId="4" applyFont="1" applyFill="1" applyBorder="1" applyAlignment="1">
      <alignment horizontal="center"/>
    </xf>
    <xf numFmtId="0" fontId="18" fillId="0" borderId="94" xfId="0" applyFont="1" applyFill="1" applyBorder="1"/>
    <xf numFmtId="170" fontId="13" fillId="39" borderId="108" xfId="7" applyNumberFormat="1" applyBorder="1" applyAlignment="1">
      <alignment horizontal="left"/>
    </xf>
    <xf numFmtId="170" fontId="13" fillId="39" borderId="76" xfId="7" applyNumberFormat="1" applyBorder="1" applyAlignment="1">
      <alignment horizontal="left"/>
    </xf>
    <xf numFmtId="9" fontId="13" fillId="39" borderId="101" xfId="2" applyFont="1" applyFill="1" applyBorder="1" applyAlignment="1">
      <alignment horizontal="right"/>
    </xf>
    <xf numFmtId="168" fontId="13" fillId="39" borderId="109" xfId="7" applyNumberFormat="1" applyBorder="1" applyAlignment="1">
      <alignment horizontal="right"/>
    </xf>
    <xf numFmtId="0" fontId="14" fillId="0" borderId="0" xfId="0" applyFont="1" applyFill="1" applyAlignment="1">
      <alignment horizontal="center"/>
    </xf>
    <xf numFmtId="9" fontId="13" fillId="39" borderId="88" xfId="7" applyNumberFormat="1" applyBorder="1"/>
    <xf numFmtId="0" fontId="14" fillId="0" borderId="96" xfId="0" applyFont="1" applyBorder="1" applyAlignment="1">
      <alignment horizontal="left" indent="2"/>
    </xf>
    <xf numFmtId="164" fontId="13" fillId="39" borderId="88" xfId="7" applyNumberFormat="1" applyBorder="1" applyAlignment="1">
      <alignment horizontal="right"/>
    </xf>
    <xf numFmtId="164" fontId="13" fillId="39" borderId="77" xfId="7" applyNumberFormat="1" applyBorder="1" applyAlignment="1">
      <alignment horizontal="right"/>
    </xf>
    <xf numFmtId="0" fontId="19" fillId="0" borderId="0" xfId="0" applyFont="1" applyFill="1" applyAlignment="1">
      <alignment horizontal="right"/>
    </xf>
    <xf numFmtId="164" fontId="19" fillId="0" borderId="0" xfId="2" applyNumberFormat="1" applyFont="1" applyFill="1" applyBorder="1" applyAlignment="1">
      <alignment horizontal="right"/>
    </xf>
    <xf numFmtId="173" fontId="19" fillId="0" borderId="0" xfId="0" applyNumberFormat="1" applyFont="1" applyAlignment="1">
      <alignment horizontal="right"/>
    </xf>
    <xf numFmtId="167" fontId="19" fillId="0" borderId="0" xfId="1" applyNumberFormat="1" applyFont="1" applyAlignment="1">
      <alignment horizontal="right"/>
    </xf>
    <xf numFmtId="0" fontId="13" fillId="39" borderId="58" xfId="7" applyFont="1" applyBorder="1" applyAlignment="1">
      <alignment horizontal="right"/>
    </xf>
    <xf numFmtId="0" fontId="18" fillId="0" borderId="0" xfId="4" applyFont="1" applyFill="1" applyBorder="1"/>
    <xf numFmtId="164" fontId="19" fillId="0" borderId="0" xfId="2" applyNumberFormat="1" applyFont="1" applyBorder="1" applyAlignment="1">
      <alignment horizontal="right"/>
    </xf>
    <xf numFmtId="0" fontId="19" fillId="0" borderId="0" xfId="0" applyFont="1" applyFill="1" applyAlignment="1">
      <alignment horizontal="left"/>
    </xf>
    <xf numFmtId="0" fontId="2" fillId="0" borderId="0" xfId="5" applyAlignment="1">
      <alignment horizontal="left"/>
    </xf>
    <xf numFmtId="169" fontId="19" fillId="0" borderId="0" xfId="0" applyNumberFormat="1" applyFont="1" applyAlignment="1">
      <alignment horizontal="right"/>
    </xf>
    <xf numFmtId="166" fontId="19" fillId="0" borderId="0" xfId="0" applyNumberFormat="1" applyFont="1" applyFill="1" applyBorder="1"/>
    <xf numFmtId="2" fontId="19" fillId="0" borderId="0" xfId="0" applyNumberFormat="1" applyFont="1" applyFill="1" applyBorder="1"/>
    <xf numFmtId="49" fontId="20" fillId="2" borderId="14" xfId="0" applyNumberFormat="1" applyFont="1" applyFill="1" applyBorder="1" applyAlignment="1">
      <alignment vertical="center"/>
    </xf>
    <xf numFmtId="49" fontId="20" fillId="2" borderId="15" xfId="0" applyNumberFormat="1" applyFont="1" applyFill="1" applyBorder="1" applyAlignment="1">
      <alignment vertical="center"/>
    </xf>
    <xf numFmtId="49" fontId="20" fillId="40" borderId="14" xfId="0" applyNumberFormat="1" applyFont="1" applyFill="1" applyBorder="1" applyAlignment="1">
      <alignment vertical="center"/>
    </xf>
    <xf numFmtId="49" fontId="20" fillId="40" borderId="15" xfId="0" applyNumberFormat="1" applyFont="1" applyFill="1" applyBorder="1" applyAlignment="1">
      <alignment vertical="center"/>
    </xf>
    <xf numFmtId="49" fontId="20" fillId="40" borderId="16" xfId="0" applyNumberFormat="1" applyFont="1" applyFill="1" applyBorder="1" applyAlignment="1">
      <alignment vertical="center"/>
    </xf>
    <xf numFmtId="49" fontId="20" fillId="0" borderId="0" xfId="0" applyNumberFormat="1" applyFont="1" applyFill="1" applyBorder="1" applyAlignment="1">
      <alignment vertical="center"/>
    </xf>
    <xf numFmtId="49" fontId="1" fillId="0" borderId="15" xfId="22" applyNumberFormat="1" applyFill="1" applyBorder="1" applyAlignment="1">
      <alignment horizontal="center" vertical="center"/>
    </xf>
    <xf numFmtId="49" fontId="20" fillId="0" borderId="0" xfId="30" applyNumberFormat="1" applyFont="1" applyFill="1" applyBorder="1" applyAlignment="1">
      <alignment horizontal="center" vertical="center"/>
    </xf>
    <xf numFmtId="164" fontId="21" fillId="0" borderId="0" xfId="0" applyNumberFormat="1" applyFont="1" applyBorder="1" applyAlignment="1">
      <alignment horizontal="left" vertical="center"/>
    </xf>
    <xf numFmtId="164" fontId="19" fillId="0" borderId="0" xfId="2" applyNumberFormat="1" applyFont="1" applyBorder="1" applyAlignment="1">
      <alignment horizontal="right" vertical="center"/>
    </xf>
    <xf numFmtId="49" fontId="20" fillId="0" borderId="14" xfId="30" applyNumberFormat="1" applyFont="1" applyFill="1" applyBorder="1" applyAlignment="1">
      <alignment horizontal="left" vertical="center"/>
    </xf>
    <xf numFmtId="49" fontId="20" fillId="0" borderId="16" xfId="30" applyNumberFormat="1" applyFont="1" applyFill="1" applyBorder="1" applyAlignment="1">
      <alignment horizontal="center" vertical="center"/>
    </xf>
    <xf numFmtId="164" fontId="19" fillId="0" borderId="16" xfId="2" applyNumberFormat="1" applyFont="1" applyFill="1" applyBorder="1" applyAlignment="1">
      <alignment horizontal="right"/>
    </xf>
    <xf numFmtId="49" fontId="19" fillId="0" borderId="15" xfId="0" applyNumberFormat="1" applyFont="1" applyBorder="1" applyAlignment="1">
      <alignment vertical="center"/>
    </xf>
    <xf numFmtId="49" fontId="19" fillId="0" borderId="16" xfId="0" applyNumberFormat="1" applyFont="1" applyBorder="1" applyAlignment="1">
      <alignment vertical="center"/>
    </xf>
    <xf numFmtId="49" fontId="1" fillId="0" borderId="0" xfId="22" applyNumberFormat="1" applyFill="1" applyBorder="1" applyAlignment="1">
      <alignment horizontal="left" vertical="center"/>
    </xf>
    <xf numFmtId="49" fontId="19" fillId="0" borderId="50" xfId="0" applyNumberFormat="1" applyFont="1" applyBorder="1" applyAlignment="1">
      <alignment vertical="center" wrapText="1"/>
    </xf>
    <xf numFmtId="49" fontId="19" fillId="0" borderId="15" xfId="0" applyNumberFormat="1" applyFont="1" applyBorder="1" applyAlignment="1">
      <alignment vertical="center" wrapText="1"/>
    </xf>
    <xf numFmtId="49" fontId="19" fillId="0" borderId="16" xfId="0" applyNumberFormat="1" applyFont="1" applyBorder="1" applyAlignment="1">
      <alignment vertical="center" wrapText="1"/>
    </xf>
    <xf numFmtId="49" fontId="1" fillId="0" borderId="57" xfId="22" applyNumberFormat="1" applyFill="1" applyBorder="1" applyAlignment="1">
      <alignment horizontal="right" vertical="center" wrapText="1"/>
    </xf>
    <xf numFmtId="49" fontId="19" fillId="0" borderId="52" xfId="0" applyNumberFormat="1" applyFont="1" applyFill="1" applyBorder="1" applyAlignment="1">
      <alignment horizontal="center" vertical="center" wrapText="1"/>
    </xf>
    <xf numFmtId="49" fontId="19" fillId="0" borderId="56" xfId="0" applyNumberFormat="1" applyFont="1" applyFill="1" applyBorder="1" applyAlignment="1">
      <alignment horizontal="center" vertical="center" wrapText="1"/>
    </xf>
    <xf numFmtId="167" fontId="22" fillId="5" borderId="15" xfId="0" applyNumberFormat="1" applyFont="1" applyFill="1" applyBorder="1" applyAlignment="1">
      <alignment horizontal="right"/>
    </xf>
    <xf numFmtId="167" fontId="22" fillId="5" borderId="15" xfId="1" applyNumberFormat="1" applyFont="1" applyFill="1" applyBorder="1" applyAlignment="1">
      <alignment horizontal="left"/>
    </xf>
    <xf numFmtId="9" fontId="22" fillId="5" borderId="15" xfId="2" applyFont="1" applyFill="1" applyBorder="1" applyAlignment="1">
      <alignment horizontal="right"/>
    </xf>
    <xf numFmtId="0" fontId="22" fillId="0" borderId="0" xfId="0" applyFont="1" applyFill="1" applyBorder="1" applyAlignment="1">
      <alignment horizontal="center"/>
    </xf>
    <xf numFmtId="9" fontId="22" fillId="0" borderId="15" xfId="2" applyFont="1" applyFill="1" applyBorder="1" applyAlignment="1">
      <alignment horizontal="right"/>
    </xf>
    <xf numFmtId="167" fontId="22" fillId="5" borderId="0" xfId="1" applyNumberFormat="1" applyFont="1" applyFill="1" applyBorder="1" applyAlignment="1">
      <alignment horizontal="right"/>
    </xf>
    <xf numFmtId="164" fontId="22" fillId="5" borderId="0" xfId="2" applyNumberFormat="1" applyFont="1" applyFill="1" applyBorder="1" applyAlignment="1">
      <alignment horizontal="right"/>
    </xf>
    <xf numFmtId="167" fontId="22" fillId="6" borderId="14" xfId="2" applyNumberFormat="1" applyFont="1" applyFill="1" applyBorder="1" applyAlignment="1">
      <alignment horizontal="right"/>
    </xf>
    <xf numFmtId="167" fontId="22" fillId="6" borderId="15" xfId="2" applyNumberFormat="1" applyFont="1" applyFill="1" applyBorder="1" applyAlignment="1">
      <alignment horizontal="right"/>
    </xf>
    <xf numFmtId="167" fontId="22" fillId="6" borderId="16" xfId="2" applyNumberFormat="1" applyFont="1" applyFill="1" applyBorder="1" applyAlignment="1">
      <alignment horizontal="right"/>
    </xf>
    <xf numFmtId="167" fontId="22" fillId="6" borderId="14" xfId="1" applyNumberFormat="1" applyFont="1" applyFill="1" applyBorder="1" applyAlignment="1">
      <alignment horizontal="right"/>
    </xf>
    <xf numFmtId="172" fontId="22" fillId="5" borderId="15" xfId="1" applyNumberFormat="1" applyFont="1" applyFill="1" applyBorder="1" applyAlignment="1">
      <alignment horizontal="right"/>
    </xf>
    <xf numFmtId="166" fontId="19" fillId="0" borderId="14" xfId="0" applyNumberFormat="1" applyFont="1" applyFill="1" applyBorder="1"/>
    <xf numFmtId="0" fontId="19" fillId="0" borderId="15" xfId="0" applyNumberFormat="1" applyFont="1" applyFill="1" applyBorder="1"/>
    <xf numFmtId="0" fontId="19" fillId="0" borderId="15" xfId="0" applyFont="1" applyFill="1" applyBorder="1"/>
    <xf numFmtId="0" fontId="19" fillId="0" borderId="16" xfId="0" applyFont="1" applyFill="1" applyBorder="1"/>
    <xf numFmtId="0" fontId="19" fillId="0" borderId="14" xfId="0" applyFont="1" applyFill="1" applyBorder="1"/>
    <xf numFmtId="169" fontId="19" fillId="0" borderId="0" xfId="0" applyNumberFormat="1" applyFont="1" applyFill="1" applyBorder="1" applyAlignment="1">
      <alignment horizontal="center"/>
    </xf>
    <xf numFmtId="164" fontId="16" fillId="0" borderId="0" xfId="2" applyNumberFormat="1" applyFont="1" applyBorder="1" applyAlignment="1">
      <alignment horizontal="right"/>
    </xf>
    <xf numFmtId="9" fontId="14" fillId="0" borderId="0" xfId="2" applyFont="1" applyFill="1" applyBorder="1" applyAlignment="1">
      <alignment horizontal="left"/>
    </xf>
    <xf numFmtId="172" fontId="14" fillId="0" borderId="0" xfId="1" applyNumberFormat="1" applyFont="1" applyFill="1" applyBorder="1" applyAlignment="1">
      <alignment horizontal="right"/>
    </xf>
    <xf numFmtId="9" fontId="19" fillId="0" borderId="0" xfId="2" applyFont="1" applyBorder="1"/>
    <xf numFmtId="164" fontId="19" fillId="0" borderId="0" xfId="2" applyNumberFormat="1" applyFont="1" applyBorder="1"/>
    <xf numFmtId="9" fontId="0" fillId="0" borderId="0" xfId="2" applyFont="1"/>
    <xf numFmtId="2" fontId="43" fillId="8" borderId="0" xfId="0" applyNumberFormat="1" applyFont="1" applyFill="1" applyAlignment="1">
      <alignment horizontal="center"/>
    </xf>
    <xf numFmtId="0" fontId="43" fillId="0" borderId="0" xfId="0" applyFont="1" applyFill="1" applyAlignment="1">
      <alignment horizontal="center" vertical="top"/>
    </xf>
    <xf numFmtId="43" fontId="43" fillId="8" borderId="0" xfId="0" applyNumberFormat="1" applyFont="1" applyFill="1"/>
    <xf numFmtId="0" fontId="43" fillId="0" borderId="0" xfId="0" applyFont="1" applyFill="1" applyAlignment="1">
      <alignment horizontal="right" wrapText="1"/>
    </xf>
    <xf numFmtId="0" fontId="52" fillId="8" borderId="0" xfId="0" applyFont="1" applyFill="1" applyAlignment="1">
      <alignment wrapText="1"/>
    </xf>
    <xf numFmtId="167" fontId="43" fillId="3" borderId="0" xfId="0" applyNumberFormat="1" applyFont="1" applyFill="1" applyBorder="1" applyAlignment="1">
      <alignment horizontal="right" wrapText="1"/>
    </xf>
    <xf numFmtId="9" fontId="43" fillId="3" borderId="6" xfId="2" applyNumberFormat="1" applyFont="1" applyFill="1" applyBorder="1" applyAlignment="1">
      <alignment horizontal="right"/>
    </xf>
    <xf numFmtId="0" fontId="43" fillId="42" borderId="12" xfId="0" applyFont="1" applyFill="1" applyBorder="1"/>
    <xf numFmtId="167" fontId="43" fillId="42" borderId="0" xfId="1" applyNumberFormat="1" applyFont="1" applyFill="1" applyBorder="1" applyAlignment="1">
      <alignment horizontal="center"/>
    </xf>
    <xf numFmtId="9" fontId="43" fillId="42" borderId="0" xfId="2" applyFont="1" applyFill="1" applyBorder="1" applyAlignment="1">
      <alignment horizontal="right"/>
    </xf>
    <xf numFmtId="169" fontId="43" fillId="42" borderId="0" xfId="1" applyNumberFormat="1" applyFont="1" applyFill="1" applyBorder="1" applyAlignment="1">
      <alignment horizontal="center"/>
    </xf>
    <xf numFmtId="168" fontId="43" fillId="42" borderId="0" xfId="6" applyNumberFormat="1" applyFont="1" applyFill="1" applyBorder="1" applyAlignment="1">
      <alignment horizontal="center"/>
    </xf>
    <xf numFmtId="164" fontId="43" fillId="42" borderId="0" xfId="2" applyNumberFormat="1" applyFont="1" applyFill="1" applyBorder="1" applyAlignment="1">
      <alignment horizontal="right"/>
    </xf>
    <xf numFmtId="2" fontId="43" fillId="0" borderId="0" xfId="0" applyNumberFormat="1" applyFont="1" applyFill="1" applyAlignment="1">
      <alignment horizontal="center"/>
    </xf>
    <xf numFmtId="0" fontId="43" fillId="42" borderId="3" xfId="0" applyFont="1" applyFill="1" applyBorder="1"/>
    <xf numFmtId="167" fontId="43" fillId="42" borderId="3" xfId="0" applyNumberFormat="1" applyFont="1" applyFill="1" applyBorder="1" applyAlignment="1">
      <alignment horizontal="center"/>
    </xf>
    <xf numFmtId="9" fontId="43" fillId="42" borderId="3" xfId="2" applyFont="1" applyFill="1" applyBorder="1" applyAlignment="1">
      <alignment horizontal="right"/>
    </xf>
    <xf numFmtId="169" fontId="43" fillId="42" borderId="3" xfId="0" applyNumberFormat="1" applyFont="1" applyFill="1" applyBorder="1" applyAlignment="1">
      <alignment horizontal="center"/>
    </xf>
    <xf numFmtId="168" fontId="43" fillId="42" borderId="3" xfId="6" applyNumberFormat="1" applyFont="1" applyFill="1" applyBorder="1" applyAlignment="1">
      <alignment horizontal="center"/>
    </xf>
    <xf numFmtId="164" fontId="43" fillId="42" borderId="3" xfId="2" applyNumberFormat="1" applyFont="1" applyFill="1" applyBorder="1" applyAlignment="1">
      <alignment horizontal="right"/>
    </xf>
    <xf numFmtId="167" fontId="43" fillId="3" borderId="0" xfId="0" applyNumberFormat="1" applyFont="1" applyFill="1" applyAlignment="1">
      <alignment horizontal="center"/>
    </xf>
    <xf numFmtId="0" fontId="20" fillId="0" borderId="93" xfId="0" applyFont="1" applyBorder="1" applyAlignment="1">
      <alignment horizontal="right"/>
    </xf>
    <xf numFmtId="0" fontId="54" fillId="58" borderId="93" xfId="99" applyNumberFormat="1" applyFont="1" applyFill="1" applyBorder="1"/>
    <xf numFmtId="0" fontId="54" fillId="58" borderId="93" xfId="100" applyNumberFormat="1" applyFont="1" applyFill="1" applyBorder="1"/>
    <xf numFmtId="9" fontId="0" fillId="0" borderId="0" xfId="0" applyNumberFormat="1"/>
    <xf numFmtId="0" fontId="55" fillId="0" borderId="0" xfId="0" applyFont="1"/>
    <xf numFmtId="0" fontId="20" fillId="0" borderId="84" xfId="0" applyFont="1" applyBorder="1" applyAlignment="1">
      <alignment horizontal="left"/>
    </xf>
    <xf numFmtId="0" fontId="0" fillId="0" borderId="53" xfId="0" applyBorder="1"/>
    <xf numFmtId="0" fontId="0" fillId="0" borderId="80" xfId="0" applyBorder="1"/>
    <xf numFmtId="0" fontId="19" fillId="0" borderId="53" xfId="0" applyFont="1" applyBorder="1" applyAlignment="1">
      <alignment horizontal="center"/>
    </xf>
    <xf numFmtId="0" fontId="19" fillId="0" borderId="80" xfId="0" applyFont="1" applyBorder="1" applyAlignment="1">
      <alignment horizontal="center"/>
    </xf>
    <xf numFmtId="0" fontId="0" fillId="0" borderId="95" xfId="0" applyBorder="1"/>
    <xf numFmtId="0" fontId="20" fillId="0" borderId="85" xfId="0" applyFont="1" applyBorder="1" applyAlignment="1">
      <alignment horizontal="centerContinuous"/>
    </xf>
    <xf numFmtId="0" fontId="0" fillId="0" borderId="74" xfId="0" applyBorder="1" applyAlignment="1">
      <alignment horizontal="centerContinuous"/>
    </xf>
    <xf numFmtId="0" fontId="0" fillId="0" borderId="111" xfId="0" applyBorder="1" applyAlignment="1">
      <alignment horizontal="centerContinuous"/>
    </xf>
    <xf numFmtId="0" fontId="20" fillId="0" borderId="112" xfId="0" applyFont="1" applyBorder="1" applyAlignment="1">
      <alignment horizontal="center"/>
    </xf>
    <xf numFmtId="0" fontId="20" fillId="0" borderId="75" xfId="0" applyFont="1" applyBorder="1" applyAlignment="1">
      <alignment horizontal="center"/>
    </xf>
    <xf numFmtId="0" fontId="0" fillId="0" borderId="81" xfId="0" applyBorder="1" applyAlignment="1">
      <alignment horizontal="centerContinuous"/>
    </xf>
    <xf numFmtId="0" fontId="20" fillId="0" borderId="113" xfId="0" applyFont="1" applyBorder="1" applyAlignment="1">
      <alignment horizontal="center"/>
    </xf>
    <xf numFmtId="0" fontId="20" fillId="0" borderId="114" xfId="0" applyFont="1" applyBorder="1" applyAlignment="1">
      <alignment horizontal="center"/>
    </xf>
    <xf numFmtId="0" fontId="20" fillId="0" borderId="115" xfId="0" applyFont="1" applyBorder="1" applyAlignment="1">
      <alignment horizontal="center"/>
    </xf>
    <xf numFmtId="0" fontId="20" fillId="0" borderId="0" xfId="0" applyFont="1" applyBorder="1" applyAlignment="1">
      <alignment horizontal="center"/>
    </xf>
    <xf numFmtId="0" fontId="20" fillId="0" borderId="94" xfId="0" applyFont="1" applyBorder="1" applyAlignment="1">
      <alignment horizontal="center"/>
    </xf>
    <xf numFmtId="0" fontId="20" fillId="0" borderId="116" xfId="0" applyFont="1" applyBorder="1" applyAlignment="1">
      <alignment horizontal="center"/>
    </xf>
    <xf numFmtId="0" fontId="20" fillId="0" borderId="117" xfId="0" applyFont="1" applyBorder="1" applyAlignment="1">
      <alignment horizontal="center"/>
    </xf>
    <xf numFmtId="0" fontId="20" fillId="0" borderId="118" xfId="0" applyFont="1" applyBorder="1" applyAlignment="1">
      <alignment horizontal="center"/>
    </xf>
    <xf numFmtId="167" fontId="54" fillId="8" borderId="112" xfId="99" applyNumberFormat="1" applyFont="1" applyFill="1" applyBorder="1" applyAlignment="1">
      <alignment horizontal="right"/>
    </xf>
    <xf numFmtId="167" fontId="54" fillId="8" borderId="75" xfId="99" applyNumberFormat="1" applyFont="1" applyFill="1" applyBorder="1" applyAlignment="1">
      <alignment horizontal="right"/>
    </xf>
    <xf numFmtId="167" fontId="54" fillId="58" borderId="120" xfId="99" applyNumberFormat="1" applyFont="1" applyFill="1" applyBorder="1" applyAlignment="1">
      <alignment horizontal="right"/>
    </xf>
    <xf numFmtId="167" fontId="54" fillId="58" borderId="121" xfId="99" applyNumberFormat="1" applyFont="1" applyFill="1" applyBorder="1" applyAlignment="1">
      <alignment horizontal="right"/>
    </xf>
    <xf numFmtId="167" fontId="54" fillId="58" borderId="122" xfId="99" applyNumberFormat="1" applyFont="1" applyFill="1" applyBorder="1" applyAlignment="1">
      <alignment horizontal="right"/>
    </xf>
    <xf numFmtId="9" fontId="54" fillId="58" borderId="120" xfId="99" applyNumberFormat="1" applyFont="1" applyFill="1" applyBorder="1" applyAlignment="1">
      <alignment horizontal="right"/>
    </xf>
    <xf numFmtId="9" fontId="54" fillId="58" borderId="121" xfId="99" applyNumberFormat="1" applyFont="1" applyFill="1" applyBorder="1" applyAlignment="1">
      <alignment horizontal="right"/>
    </xf>
    <xf numFmtId="9" fontId="54" fillId="58" borderId="122" xfId="99" applyNumberFormat="1" applyFont="1" applyFill="1" applyBorder="1" applyAlignment="1">
      <alignment horizontal="right"/>
    </xf>
    <xf numFmtId="9" fontId="56" fillId="0" borderId="114" xfId="2" applyFont="1" applyBorder="1" applyAlignment="1">
      <alignment horizontal="right"/>
    </xf>
    <xf numFmtId="9" fontId="56" fillId="0" borderId="115" xfId="2" applyFont="1" applyBorder="1" applyAlignment="1">
      <alignment horizontal="right"/>
    </xf>
    <xf numFmtId="9" fontId="56" fillId="0" borderId="0" xfId="2" applyFont="1" applyBorder="1" applyAlignment="1">
      <alignment horizontal="right"/>
    </xf>
    <xf numFmtId="0" fontId="20" fillId="0" borderId="123" xfId="0" applyFont="1" applyBorder="1" applyAlignment="1">
      <alignment horizontal="center"/>
    </xf>
    <xf numFmtId="9" fontId="56" fillId="0" borderId="121" xfId="2" applyFont="1" applyBorder="1" applyAlignment="1">
      <alignment horizontal="right"/>
    </xf>
    <xf numFmtId="9" fontId="56" fillId="0" borderId="122" xfId="2" applyFont="1" applyBorder="1" applyAlignment="1">
      <alignment horizontal="right"/>
    </xf>
    <xf numFmtId="3" fontId="19" fillId="0" borderId="0" xfId="0" applyNumberFormat="1" applyFont="1"/>
    <xf numFmtId="0" fontId="20" fillId="0" borderId="0" xfId="0" applyFont="1"/>
    <xf numFmtId="0" fontId="20" fillId="0" borderId="114" xfId="0" applyFont="1" applyBorder="1" applyAlignment="1">
      <alignment horizontal="centerContinuous"/>
    </xf>
    <xf numFmtId="9" fontId="19" fillId="0" borderId="0" xfId="0" applyNumberFormat="1" applyFont="1"/>
    <xf numFmtId="166" fontId="57" fillId="0" borderId="121" xfId="1" applyNumberFormat="1" applyFont="1" applyBorder="1"/>
    <xf numFmtId="166" fontId="57" fillId="0" borderId="121" xfId="0" applyNumberFormat="1" applyFont="1" applyBorder="1"/>
    <xf numFmtId="9" fontId="57" fillId="0" borderId="121" xfId="2" applyFont="1" applyBorder="1"/>
    <xf numFmtId="9" fontId="57" fillId="0" borderId="122" xfId="2" applyFont="1" applyBorder="1"/>
    <xf numFmtId="0" fontId="20" fillId="0" borderId="124" xfId="0" applyFont="1" applyBorder="1" applyAlignment="1">
      <alignment horizontal="center"/>
    </xf>
    <xf numFmtId="167" fontId="54" fillId="58" borderId="116" xfId="99" applyNumberFormat="1" applyFont="1" applyFill="1" applyBorder="1" applyAlignment="1">
      <alignment horizontal="right"/>
    </xf>
    <xf numFmtId="167" fontId="54" fillId="58" borderId="117" xfId="99" applyNumberFormat="1" applyFont="1" applyFill="1" applyBorder="1" applyAlignment="1">
      <alignment horizontal="right"/>
    </xf>
    <xf numFmtId="167" fontId="54" fillId="58" borderId="118" xfId="99" applyNumberFormat="1" applyFont="1" applyFill="1" applyBorder="1" applyAlignment="1">
      <alignment horizontal="right"/>
    </xf>
    <xf numFmtId="167" fontId="0" fillId="0" borderId="0" xfId="0" applyNumberFormat="1"/>
    <xf numFmtId="9" fontId="54" fillId="58" borderId="116" xfId="2" applyFont="1" applyFill="1" applyBorder="1" applyAlignment="1">
      <alignment horizontal="right"/>
    </xf>
    <xf numFmtId="9" fontId="54" fillId="58" borderId="117" xfId="2" applyFont="1" applyFill="1" applyBorder="1" applyAlignment="1">
      <alignment horizontal="right"/>
    </xf>
    <xf numFmtId="9" fontId="54" fillId="58" borderId="118" xfId="2" applyFont="1" applyFill="1" applyBorder="1" applyAlignment="1">
      <alignment horizontal="right"/>
    </xf>
    <xf numFmtId="9" fontId="56" fillId="0" borderId="117" xfId="2" applyFont="1" applyBorder="1" applyAlignment="1">
      <alignment horizontal="right"/>
    </xf>
    <xf numFmtId="9" fontId="56" fillId="0" borderId="118" xfId="2" applyFont="1" applyBorder="1" applyAlignment="1">
      <alignment horizontal="right"/>
    </xf>
    <xf numFmtId="166" fontId="0" fillId="0" borderId="0" xfId="0" applyNumberFormat="1"/>
    <xf numFmtId="166" fontId="65" fillId="0" borderId="0" xfId="0" applyNumberFormat="1" applyFont="1" applyFill="1" applyBorder="1"/>
    <xf numFmtId="2" fontId="65" fillId="0" borderId="0" xfId="0" applyNumberFormat="1" applyFont="1" applyFill="1" applyBorder="1"/>
    <xf numFmtId="1" fontId="65" fillId="0" borderId="0" xfId="0" applyNumberFormat="1" applyFont="1" applyFill="1" applyBorder="1"/>
    <xf numFmtId="10" fontId="65" fillId="0" borderId="0" xfId="2" applyNumberFormat="1" applyFont="1" applyFill="1" applyBorder="1"/>
    <xf numFmtId="0" fontId="65" fillId="0" borderId="0" xfId="0" applyFont="1" applyFill="1" applyBorder="1"/>
    <xf numFmtId="168" fontId="65" fillId="0" borderId="0" xfId="0" applyNumberFormat="1" applyFont="1" applyFill="1" applyBorder="1"/>
    <xf numFmtId="2" fontId="65" fillId="0" borderId="15" xfId="0" applyNumberFormat="1" applyFont="1" applyFill="1" applyBorder="1"/>
    <xf numFmtId="167" fontId="66" fillId="42" borderId="0" xfId="12" applyNumberFormat="1" applyFont="1" applyFill="1" applyBorder="1" applyAlignment="1">
      <alignment horizontal="right"/>
    </xf>
    <xf numFmtId="9" fontId="66" fillId="42" borderId="0" xfId="2" applyFont="1" applyFill="1" applyBorder="1" applyAlignment="1">
      <alignment horizontal="right"/>
    </xf>
    <xf numFmtId="166" fontId="66" fillId="42" borderId="0" xfId="12" applyNumberFormat="1" applyFont="1" applyFill="1" applyBorder="1" applyAlignment="1">
      <alignment horizontal="right"/>
    </xf>
    <xf numFmtId="164" fontId="66" fillId="42" borderId="0" xfId="2" applyNumberFormat="1" applyFont="1" applyFill="1" applyBorder="1" applyAlignment="1">
      <alignment horizontal="right"/>
    </xf>
    <xf numFmtId="167" fontId="13" fillId="39" borderId="133" xfId="7" applyNumberFormat="1" applyBorder="1"/>
    <xf numFmtId="0" fontId="18" fillId="0" borderId="131" xfId="0" applyFont="1" applyFill="1" applyBorder="1"/>
    <xf numFmtId="0" fontId="14" fillId="0" borderId="134" xfId="0" applyFont="1" applyBorder="1" applyAlignment="1">
      <alignment horizontal="left" indent="2"/>
    </xf>
    <xf numFmtId="0" fontId="14" fillId="0" borderId="59" xfId="0" applyFont="1" applyBorder="1" applyAlignment="1">
      <alignment horizontal="left" indent="2"/>
    </xf>
    <xf numFmtId="0" fontId="38" fillId="40" borderId="135" xfId="3" applyFont="1" applyFill="1" applyBorder="1">
      <alignment horizontal="left"/>
    </xf>
    <xf numFmtId="0" fontId="19" fillId="0" borderId="0" xfId="0" pivotButton="1" applyFont="1"/>
    <xf numFmtId="0" fontId="67" fillId="0" borderId="0" xfId="7" applyFont="1" applyFill="1" applyBorder="1" applyAlignment="1">
      <alignment horizontal="right" wrapText="1"/>
    </xf>
    <xf numFmtId="0" fontId="68" fillId="0" borderId="0" xfId="7" applyFont="1" applyFill="1" applyBorder="1" applyAlignment="1">
      <alignment horizontal="right"/>
    </xf>
    <xf numFmtId="0" fontId="69" fillId="0" borderId="0" xfId="7" applyFont="1" applyFill="1" applyBorder="1" applyAlignment="1">
      <alignment horizontal="right"/>
    </xf>
    <xf numFmtId="0" fontId="70" fillId="0" borderId="0" xfId="0" applyFont="1"/>
    <xf numFmtId="0" fontId="39" fillId="0" borderId="0" xfId="0" applyFont="1" applyAlignment="1">
      <alignment vertical="top"/>
    </xf>
    <xf numFmtId="0" fontId="39" fillId="0" borderId="0" xfId="0" applyFont="1" applyAlignment="1">
      <alignment vertical="top" wrapText="1"/>
    </xf>
    <xf numFmtId="0" fontId="14" fillId="0" borderId="0" xfId="0" applyFont="1" applyAlignment="1">
      <alignment vertical="top"/>
    </xf>
    <xf numFmtId="0" fontId="14" fillId="0" borderId="0" xfId="0" applyFont="1" applyAlignment="1">
      <alignment vertical="top" wrapText="1"/>
    </xf>
    <xf numFmtId="0" fontId="14" fillId="0" borderId="0" xfId="0" applyFont="1" applyAlignment="1">
      <alignment horizontal="right" vertical="top"/>
    </xf>
    <xf numFmtId="0" fontId="14" fillId="0" borderId="0" xfId="0" applyFont="1" applyAlignment="1">
      <alignment horizontal="left" vertical="top" wrapText="1"/>
    </xf>
    <xf numFmtId="0" fontId="20" fillId="0" borderId="0" xfId="0" applyFont="1" applyBorder="1" applyAlignment="1">
      <alignment horizontal="left"/>
    </xf>
    <xf numFmtId="0" fontId="0" fillId="0" borderId="0" xfId="0" applyAlignment="1">
      <alignment wrapText="1"/>
    </xf>
    <xf numFmtId="0" fontId="71" fillId="0" borderId="0" xfId="0" applyFont="1" applyAlignment="1">
      <alignment vertical="top" wrapText="1"/>
    </xf>
    <xf numFmtId="0" fontId="72" fillId="0" borderId="0" xfId="0" applyFont="1" applyAlignment="1">
      <alignment vertical="top"/>
    </xf>
    <xf numFmtId="0" fontId="20" fillId="0" borderId="0" xfId="0" applyFont="1" applyAlignment="1">
      <alignment horizontal="left"/>
    </xf>
    <xf numFmtId="0" fontId="18" fillId="0" borderId="0" xfId="4" applyFont="1" applyBorder="1"/>
    <xf numFmtId="44" fontId="19" fillId="0" borderId="0" xfId="0" applyNumberFormat="1" applyFont="1" applyBorder="1" applyAlignment="1">
      <alignment horizontal="right"/>
    </xf>
    <xf numFmtId="37" fontId="22" fillId="5" borderId="15" xfId="1" applyNumberFormat="1" applyFont="1" applyFill="1" applyBorder="1" applyAlignment="1"/>
    <xf numFmtId="37" fontId="14" fillId="0" borderId="0" xfId="1" applyNumberFormat="1" applyFont="1" applyFill="1" applyBorder="1" applyAlignment="1"/>
    <xf numFmtId="0" fontId="14" fillId="0" borderId="83" xfId="0" applyFont="1" applyBorder="1" applyAlignment="1">
      <alignment horizontal="left"/>
    </xf>
    <xf numFmtId="0" fontId="9" fillId="0" borderId="87" xfId="4" applyFill="1" applyBorder="1" applyAlignment="1">
      <alignment horizontal="left"/>
    </xf>
    <xf numFmtId="0" fontId="9" fillId="0" borderId="76" xfId="4" applyFill="1" applyBorder="1" applyAlignment="1">
      <alignment horizontal="left"/>
    </xf>
    <xf numFmtId="167" fontId="22" fillId="5" borderId="16" xfId="0" applyNumberFormat="1" applyFont="1" applyFill="1" applyBorder="1" applyAlignment="1">
      <alignment horizontal="center"/>
    </xf>
    <xf numFmtId="0" fontId="24" fillId="5" borderId="15" xfId="0" applyFont="1" applyFill="1" applyBorder="1"/>
    <xf numFmtId="49" fontId="19" fillId="48" borderId="26" xfId="30" applyNumberFormat="1" applyFon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1" fontId="65" fillId="0" borderId="14" xfId="0" applyNumberFormat="1" applyFont="1" applyFill="1" applyBorder="1"/>
    <xf numFmtId="1" fontId="65" fillId="0" borderId="15" xfId="0" applyNumberFormat="1" applyFont="1" applyFill="1" applyBorder="1"/>
    <xf numFmtId="0" fontId="20" fillId="41" borderId="119" xfId="0" applyFont="1" applyFill="1" applyBorder="1" applyAlignment="1">
      <alignment horizontal="center"/>
    </xf>
    <xf numFmtId="169" fontId="73" fillId="0" borderId="0" xfId="1" applyNumberFormat="1" applyFont="1" applyFill="1" applyBorder="1" applyAlignment="1">
      <alignment horizontal="left"/>
    </xf>
    <xf numFmtId="166" fontId="24" fillId="5" borderId="15" xfId="1" applyNumberFormat="1" applyFont="1" applyFill="1" applyBorder="1" applyAlignment="1">
      <alignment horizontal="right"/>
    </xf>
    <xf numFmtId="167" fontId="17" fillId="5" borderId="15" xfId="1" applyNumberFormat="1" applyFont="1" applyFill="1" applyBorder="1"/>
    <xf numFmtId="167" fontId="26" fillId="0" borderId="0" xfId="1" applyNumberFormat="1" applyFont="1" applyFill="1" applyBorder="1"/>
    <xf numFmtId="169" fontId="73" fillId="42" borderId="0" xfId="1" applyNumberFormat="1" applyFont="1" applyFill="1" applyBorder="1" applyAlignment="1">
      <alignment horizontal="left"/>
    </xf>
    <xf numFmtId="0" fontId="74" fillId="0" borderId="0" xfId="3" applyFont="1">
      <alignment horizontal="left"/>
    </xf>
    <xf numFmtId="0" fontId="0" fillId="0" borderId="0" xfId="0" applyFont="1"/>
    <xf numFmtId="0" fontId="75" fillId="0" borderId="0" xfId="12" applyFont="1" applyBorder="1"/>
    <xf numFmtId="9" fontId="16" fillId="0" borderId="78" xfId="2" applyFont="1" applyBorder="1"/>
    <xf numFmtId="9" fontId="76" fillId="0" borderId="78" xfId="47" applyNumberFormat="1" applyFont="1" applyFill="1" applyBorder="1" applyAlignment="1">
      <alignment horizontal="right"/>
    </xf>
    <xf numFmtId="164" fontId="76" fillId="0" borderId="78" xfId="47" applyNumberFormat="1" applyFont="1" applyFill="1" applyBorder="1" applyAlignment="1"/>
    <xf numFmtId="164" fontId="76" fillId="8" borderId="79" xfId="1" applyNumberFormat="1" applyFont="1" applyFill="1" applyBorder="1" applyAlignment="1"/>
    <xf numFmtId="9" fontId="76" fillId="0" borderId="78" xfId="47" applyNumberFormat="1" applyFont="1" applyFill="1" applyBorder="1" applyAlignment="1"/>
    <xf numFmtId="9" fontId="76" fillId="8" borderId="79" xfId="1" applyNumberFormat="1" applyFont="1" applyFill="1" applyBorder="1" applyAlignment="1"/>
    <xf numFmtId="9" fontId="76" fillId="8" borderId="79" xfId="2" applyFont="1" applyFill="1" applyBorder="1" applyAlignment="1">
      <alignment horizontal="right"/>
    </xf>
    <xf numFmtId="9" fontId="76" fillId="8" borderId="78" xfId="7" applyNumberFormat="1" applyFont="1" applyFill="1" applyBorder="1"/>
    <xf numFmtId="9" fontId="76" fillId="8" borderId="102" xfId="7" applyNumberFormat="1" applyFont="1" applyFill="1" applyBorder="1" applyAlignment="1">
      <alignment horizontal="right"/>
    </xf>
    <xf numFmtId="167" fontId="77" fillId="39" borderId="132" xfId="7" applyNumberFormat="1" applyFont="1" applyFill="1" applyBorder="1"/>
    <xf numFmtId="167" fontId="76" fillId="8" borderId="89" xfId="7" applyNumberFormat="1" applyFont="1" applyFill="1" applyBorder="1"/>
    <xf numFmtId="167" fontId="76" fillId="8" borderId="78" xfId="47" applyNumberFormat="1" applyFont="1" applyFill="1" applyBorder="1" applyAlignment="1">
      <alignment horizontal="right"/>
    </xf>
    <xf numFmtId="167" fontId="16" fillId="0" borderId="0" xfId="12" applyNumberFormat="1" applyBorder="1" applyAlignment="1">
      <alignment horizontal="center"/>
    </xf>
    <xf numFmtId="167" fontId="16" fillId="0" borderId="101" xfId="12" applyNumberFormat="1" applyBorder="1" applyAlignment="1">
      <alignment horizontal="left"/>
    </xf>
    <xf numFmtId="167" fontId="13" fillId="39" borderId="102" xfId="7" applyNumberFormat="1" applyBorder="1" applyAlignment="1">
      <alignment horizontal="left"/>
    </xf>
    <xf numFmtId="167" fontId="13" fillId="39" borderId="103" xfId="7" applyNumberFormat="1" applyBorder="1" applyAlignment="1">
      <alignment horizontal="left"/>
    </xf>
    <xf numFmtId="164" fontId="65" fillId="0" borderId="15" xfId="2" applyNumberFormat="1" applyFont="1" applyFill="1" applyBorder="1"/>
    <xf numFmtId="164" fontId="65" fillId="0" borderId="0" xfId="2" applyNumberFormat="1" applyFont="1" applyFill="1" applyBorder="1"/>
    <xf numFmtId="0" fontId="79" fillId="39" borderId="14" xfId="7" applyNumberFormat="1" applyFont="1" applyBorder="1"/>
    <xf numFmtId="0" fontId="80" fillId="0" borderId="14" xfId="12" applyNumberFormat="1" applyFont="1" applyBorder="1"/>
    <xf numFmtId="0" fontId="80" fillId="0" borderId="0" xfId="12" applyNumberFormat="1" applyFont="1" applyBorder="1"/>
    <xf numFmtId="166" fontId="65" fillId="0" borderId="15" xfId="1" applyNumberFormat="1" applyFont="1" applyFill="1" applyBorder="1"/>
    <xf numFmtId="166" fontId="65" fillId="0" borderId="0" xfId="1" applyNumberFormat="1" applyFont="1" applyFill="1" applyBorder="1"/>
    <xf numFmtId="171" fontId="65" fillId="0" borderId="15" xfId="0" applyNumberFormat="1" applyFont="1" applyFill="1" applyBorder="1"/>
    <xf numFmtId="171" fontId="65" fillId="0" borderId="0" xfId="0" applyNumberFormat="1" applyFont="1" applyFill="1" applyBorder="1"/>
    <xf numFmtId="0" fontId="65" fillId="0" borderId="15" xfId="0" applyNumberFormat="1" applyFont="1" applyFill="1" applyBorder="1"/>
    <xf numFmtId="0" fontId="20" fillId="0" borderId="0" xfId="0" applyFont="1" applyBorder="1" applyAlignment="1">
      <alignment horizontal="left"/>
    </xf>
    <xf numFmtId="49" fontId="19" fillId="2" borderId="26" xfId="0" applyNumberFormat="1" applyFont="1" applyFill="1" applyBorder="1" applyAlignment="1">
      <alignment vertical="center"/>
    </xf>
    <xf numFmtId="49" fontId="19" fillId="2" borderId="27" xfId="0" applyNumberFormat="1" applyFont="1" applyFill="1" applyBorder="1" applyAlignment="1">
      <alignment vertical="center" wrapText="1"/>
    </xf>
    <xf numFmtId="49" fontId="19" fillId="2" borderId="26" xfId="0" applyNumberFormat="1" applyFont="1" applyFill="1" applyBorder="1" applyAlignment="1">
      <alignment vertical="center" wrapText="1"/>
    </xf>
    <xf numFmtId="49" fontId="19" fillId="40" borderId="64" xfId="0" applyNumberFormat="1" applyFont="1" applyFill="1" applyBorder="1" applyAlignment="1">
      <alignment vertical="center" wrapText="1"/>
    </xf>
    <xf numFmtId="49" fontId="19" fillId="2" borderId="38" xfId="0" applyNumberFormat="1" applyFont="1" applyFill="1" applyBorder="1" applyAlignment="1">
      <alignment vertical="center" wrapText="1"/>
    </xf>
    <xf numFmtId="49" fontId="19" fillId="40" borderId="63" xfId="0" applyNumberFormat="1" applyFont="1" applyFill="1" applyBorder="1" applyAlignment="1">
      <alignment vertical="center" wrapText="1"/>
    </xf>
    <xf numFmtId="49" fontId="19" fillId="40" borderId="8" xfId="0" applyNumberFormat="1" applyFont="1" applyFill="1" applyBorder="1" applyAlignment="1">
      <alignment vertical="center" wrapText="1"/>
    </xf>
    <xf numFmtId="167" fontId="13" fillId="39" borderId="79" xfId="7" applyNumberFormat="1" applyBorder="1" applyAlignment="1">
      <alignment horizontal="left"/>
    </xf>
    <xf numFmtId="0" fontId="13" fillId="39" borderId="15" xfId="7" applyFont="1" applyBorder="1"/>
    <xf numFmtId="0" fontId="17" fillId="5" borderId="15" xfId="0" applyFont="1" applyFill="1" applyBorder="1"/>
    <xf numFmtId="0" fontId="16" fillId="0" borderId="0" xfId="12" applyFont="1" applyBorder="1"/>
    <xf numFmtId="0" fontId="20" fillId="0" borderId="0" xfId="0" applyFont="1" applyBorder="1" applyAlignment="1">
      <alignment horizontal="left"/>
    </xf>
    <xf numFmtId="0" fontId="43" fillId="8" borderId="0" xfId="0" applyFont="1" applyFill="1"/>
    <xf numFmtId="171" fontId="43" fillId="3" borderId="0" xfId="0" applyNumberFormat="1" applyFont="1" applyFill="1" applyAlignment="1">
      <alignment horizontal="center"/>
    </xf>
    <xf numFmtId="0" fontId="82" fillId="0" borderId="0" xfId="12" applyFont="1" applyBorder="1" applyAlignment="1">
      <alignment horizontal="left"/>
    </xf>
    <xf numFmtId="0" fontId="43" fillId="8" borderId="0" xfId="0" applyFont="1" applyFill="1"/>
    <xf numFmtId="164" fontId="43" fillId="0" borderId="0" xfId="2" applyNumberFormat="1" applyFont="1"/>
    <xf numFmtId="0" fontId="16" fillId="0" borderId="16" xfId="12" applyBorder="1"/>
    <xf numFmtId="2" fontId="16" fillId="0" borderId="0" xfId="12" applyNumberFormat="1" applyBorder="1"/>
    <xf numFmtId="49" fontId="1" fillId="46" borderId="26" xfId="22"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0" fontId="43" fillId="8" borderId="0" xfId="0" applyFont="1" applyFill="1"/>
    <xf numFmtId="0" fontId="19" fillId="0" borderId="0" xfId="0" applyFont="1" applyFill="1" applyBorder="1" applyAlignment="1">
      <alignment horizontal="left"/>
    </xf>
    <xf numFmtId="49" fontId="1" fillId="0" borderId="0" xfId="22" applyNumberFormat="1" applyFill="1" applyBorder="1" applyAlignment="1">
      <alignment horizontal="center" vertical="center"/>
    </xf>
    <xf numFmtId="49" fontId="1" fillId="0" borderId="0" xfId="22" applyNumberFormat="1" applyFill="1" applyBorder="1" applyAlignment="1">
      <alignment horizontal="right" vertical="center" wrapText="1"/>
    </xf>
    <xf numFmtId="9" fontId="22" fillId="0" borderId="0" xfId="2" applyFont="1" applyFill="1" applyBorder="1" applyAlignment="1">
      <alignment horizontal="right"/>
    </xf>
    <xf numFmtId="9" fontId="22" fillId="5" borderId="14" xfId="2" applyFont="1" applyFill="1" applyBorder="1" applyAlignment="1">
      <alignment horizontal="right"/>
    </xf>
    <xf numFmtId="0" fontId="22" fillId="5" borderId="14" xfId="0" applyFont="1" applyFill="1" applyBorder="1" applyAlignment="1">
      <alignment horizontal="right"/>
    </xf>
    <xf numFmtId="0" fontId="43" fillId="8" borderId="0" xfId="0" applyFont="1" applyFill="1"/>
    <xf numFmtId="0" fontId="43" fillId="8" borderId="0" xfId="0" applyFont="1" applyFill="1" applyAlignment="1">
      <alignment horizontal="left"/>
    </xf>
    <xf numFmtId="44" fontId="19" fillId="0" borderId="0" xfId="0" applyNumberFormat="1" applyFont="1" applyFill="1" applyBorder="1"/>
    <xf numFmtId="49" fontId="19" fillId="41" borderId="0" xfId="0" applyNumberFormat="1" applyFont="1" applyFill="1" applyAlignment="1">
      <alignment vertical="center"/>
    </xf>
    <xf numFmtId="166" fontId="22" fillId="5" borderId="15" xfId="1" applyNumberFormat="1" applyFont="1" applyFill="1" applyBorder="1" applyAlignment="1">
      <alignment horizontal="right"/>
    </xf>
    <xf numFmtId="0" fontId="43" fillId="62" borderId="0" xfId="0" applyFont="1" applyFill="1"/>
    <xf numFmtId="0" fontId="43" fillId="62" borderId="0" xfId="0" applyFont="1" applyFill="1" applyAlignment="1">
      <alignment horizontal="right"/>
    </xf>
    <xf numFmtId="1" fontId="54" fillId="58" borderId="93" xfId="99" applyNumberFormat="1" applyFont="1" applyFill="1" applyBorder="1"/>
    <xf numFmtId="0" fontId="0" fillId="0" borderId="0" xfId="0" quotePrefix="1" applyAlignment="1">
      <alignment horizontal="center"/>
    </xf>
    <xf numFmtId="9" fontId="0" fillId="0" borderId="0" xfId="2" applyFont="1" applyAlignment="1">
      <alignment horizontal="center"/>
    </xf>
    <xf numFmtId="164" fontId="0" fillId="0" borderId="0" xfId="2" applyNumberFormat="1" applyFont="1" applyAlignment="1">
      <alignment horizontal="center"/>
    </xf>
    <xf numFmtId="166" fontId="0" fillId="0" borderId="0" xfId="2" applyNumberFormat="1" applyFont="1" applyAlignment="1">
      <alignment horizontal="center"/>
    </xf>
    <xf numFmtId="166" fontId="0" fillId="0" borderId="0" xfId="0" applyNumberFormat="1" applyAlignment="1">
      <alignment horizontal="center"/>
    </xf>
    <xf numFmtId="166" fontId="0" fillId="0" borderId="0" xfId="0" applyNumberFormat="1" applyAlignment="1">
      <alignment horizontal="left"/>
    </xf>
    <xf numFmtId="10" fontId="0" fillId="0" borderId="0" xfId="0" applyNumberFormat="1"/>
    <xf numFmtId="164" fontId="0" fillId="0" borderId="0" xfId="0" applyNumberFormat="1" applyAlignment="1">
      <alignment horizontal="center"/>
    </xf>
    <xf numFmtId="0" fontId="9" fillId="8" borderId="0" xfId="0" applyFont="1" applyFill="1" applyAlignment="1">
      <alignment horizontal="left"/>
    </xf>
    <xf numFmtId="176" fontId="9" fillId="8" borderId="0" xfId="0" applyNumberFormat="1" applyFont="1" applyFill="1" applyAlignment="1"/>
    <xf numFmtId="0" fontId="26" fillId="8" borderId="0" xfId="0" applyFont="1" applyFill="1" applyAlignment="1">
      <alignment horizontal="left"/>
    </xf>
    <xf numFmtId="0" fontId="85" fillId="8" borderId="0" xfId="0" applyFont="1" applyFill="1" applyAlignment="1">
      <alignment horizontal="right"/>
    </xf>
    <xf numFmtId="0" fontId="87" fillId="8" borderId="0" xfId="0" applyFont="1" applyFill="1" applyAlignment="1">
      <alignment horizontal="right"/>
    </xf>
    <xf numFmtId="0" fontId="85" fillId="8" borderId="137" xfId="0" applyFont="1" applyFill="1" applyBorder="1" applyAlignment="1">
      <alignment horizontal="right"/>
    </xf>
    <xf numFmtId="0" fontId="87" fillId="8" borderId="0" xfId="0" applyFont="1" applyFill="1" applyBorder="1" applyAlignment="1">
      <alignment horizontal="right"/>
    </xf>
    <xf numFmtId="0" fontId="87" fillId="8" borderId="0" xfId="0" applyFont="1" applyFill="1" applyAlignment="1">
      <alignment horizontal="center"/>
    </xf>
    <xf numFmtId="177" fontId="0" fillId="0" borderId="0" xfId="6" applyNumberFormat="1" applyFont="1" applyAlignment="1">
      <alignment horizontal="center"/>
    </xf>
    <xf numFmtId="9" fontId="26" fillId="8" borderId="0" xfId="0" applyNumberFormat="1" applyFont="1" applyFill="1" applyAlignment="1">
      <alignment horizontal="center"/>
    </xf>
    <xf numFmtId="164" fontId="26" fillId="8" borderId="0" xfId="2" applyNumberFormat="1" applyFont="1" applyFill="1" applyAlignment="1">
      <alignment horizontal="right"/>
    </xf>
    <xf numFmtId="166" fontId="26" fillId="8" borderId="0" xfId="2" applyNumberFormat="1" applyFont="1" applyFill="1" applyAlignment="1">
      <alignment horizontal="right"/>
    </xf>
    <xf numFmtId="164" fontId="26" fillId="8" borderId="137" xfId="2" applyNumberFormat="1" applyFont="1" applyFill="1" applyBorder="1" applyAlignment="1">
      <alignment horizontal="right"/>
    </xf>
    <xf numFmtId="5" fontId="26" fillId="8" borderId="0" xfId="2" applyNumberFormat="1" applyFont="1" applyFill="1" applyBorder="1" applyAlignment="1">
      <alignment horizontal="right"/>
    </xf>
    <xf numFmtId="5" fontId="26" fillId="8" borderId="0" xfId="2" applyNumberFormat="1" applyFont="1" applyFill="1" applyAlignment="1">
      <alignment horizontal="right"/>
    </xf>
    <xf numFmtId="0" fontId="26" fillId="62" borderId="0" xfId="0" applyFont="1" applyFill="1" applyAlignment="1">
      <alignment horizontal="left"/>
    </xf>
    <xf numFmtId="9" fontId="26" fillId="62" borderId="0" xfId="0" applyNumberFormat="1" applyFont="1" applyFill="1" applyAlignment="1">
      <alignment horizontal="center"/>
    </xf>
    <xf numFmtId="164" fontId="26" fillId="62" borderId="0" xfId="2" applyNumberFormat="1" applyFont="1" applyFill="1" applyAlignment="1">
      <alignment horizontal="right"/>
    </xf>
    <xf numFmtId="166" fontId="26" fillId="62" borderId="0" xfId="2" applyNumberFormat="1" applyFont="1" applyFill="1" applyAlignment="1">
      <alignment horizontal="right"/>
    </xf>
    <xf numFmtId="164" fontId="26" fillId="62" borderId="137" xfId="2" applyNumberFormat="1" applyFont="1" applyFill="1" applyBorder="1" applyAlignment="1">
      <alignment horizontal="right"/>
    </xf>
    <xf numFmtId="5" fontId="26" fillId="62" borderId="0" xfId="2" applyNumberFormat="1" applyFont="1" applyFill="1" applyBorder="1" applyAlignment="1">
      <alignment horizontal="right"/>
    </xf>
    <xf numFmtId="5" fontId="26" fillId="62" borderId="0" xfId="2" applyNumberFormat="1" applyFont="1" applyFill="1" applyAlignment="1">
      <alignment horizontal="right"/>
    </xf>
    <xf numFmtId="0" fontId="0" fillId="8" borderId="0" xfId="0" applyFill="1" applyAlignment="1">
      <alignment horizontal="left"/>
    </xf>
    <xf numFmtId="0" fontId="0" fillId="8" borderId="0" xfId="0" applyFill="1" applyAlignment="1">
      <alignment horizontal="right"/>
    </xf>
    <xf numFmtId="0" fontId="3" fillId="8" borderId="0" xfId="0" applyFont="1" applyFill="1" applyAlignment="1"/>
    <xf numFmtId="0" fontId="3" fillId="8" borderId="0" xfId="0" applyFont="1" applyFill="1" applyAlignment="1">
      <alignment horizontal="left"/>
    </xf>
    <xf numFmtId="0" fontId="3" fillId="8" borderId="0" xfId="0" applyFont="1" applyFill="1" applyAlignment="1">
      <alignment horizontal="right"/>
    </xf>
    <xf numFmtId="171" fontId="26" fillId="8" borderId="0" xfId="2" applyNumberFormat="1" applyFont="1" applyFill="1" applyAlignment="1">
      <alignment horizontal="right"/>
    </xf>
    <xf numFmtId="171" fontId="26" fillId="62" borderId="0" xfId="2" applyNumberFormat="1" applyFont="1" applyFill="1" applyAlignment="1">
      <alignment horizontal="right"/>
    </xf>
    <xf numFmtId="0" fontId="0" fillId="0" borderId="0" xfId="0" applyFill="1" applyAlignment="1">
      <alignment horizontal="center"/>
    </xf>
    <xf numFmtId="9" fontId="13" fillId="39" borderId="0" xfId="7" applyNumberFormat="1" applyBorder="1" applyAlignment="1">
      <alignment horizontal="center"/>
    </xf>
    <xf numFmtId="0" fontId="13" fillId="39" borderId="0" xfId="7" applyBorder="1" applyAlignment="1">
      <alignment horizontal="center"/>
    </xf>
    <xf numFmtId="0" fontId="38" fillId="0" borderId="0" xfId="0" applyFont="1" applyFill="1" applyBorder="1" applyAlignment="1">
      <alignment horizontal="right"/>
    </xf>
    <xf numFmtId="178" fontId="57" fillId="0" borderId="121" xfId="0" applyNumberFormat="1" applyFont="1" applyBorder="1"/>
    <xf numFmtId="165" fontId="57" fillId="0" borderId="121" xfId="0" applyNumberFormat="1" applyFont="1" applyBorder="1"/>
    <xf numFmtId="179" fontId="56" fillId="0" borderId="113" xfId="0" applyNumberFormat="1" applyFont="1" applyBorder="1" applyAlignment="1">
      <alignment horizontal="right"/>
    </xf>
    <xf numFmtId="179" fontId="56" fillId="0" borderId="120" xfId="0" applyNumberFormat="1" applyFont="1" applyBorder="1" applyAlignment="1">
      <alignment horizontal="right"/>
    </xf>
    <xf numFmtId="179" fontId="56" fillId="0" borderId="116" xfId="0" applyNumberFormat="1" applyFont="1" applyBorder="1" applyAlignment="1">
      <alignment horizontal="right"/>
    </xf>
    <xf numFmtId="179" fontId="56" fillId="0" borderId="114" xfId="2" applyNumberFormat="1" applyFont="1" applyBorder="1" applyAlignment="1">
      <alignment horizontal="right"/>
    </xf>
    <xf numFmtId="179" fontId="56" fillId="0" borderId="121" xfId="2" applyNumberFormat="1" applyFont="1" applyBorder="1" applyAlignment="1">
      <alignment horizontal="right"/>
    </xf>
    <xf numFmtId="179" fontId="56" fillId="0" borderId="117" xfId="2" applyNumberFormat="1" applyFont="1" applyBorder="1" applyAlignment="1">
      <alignment horizontal="right"/>
    </xf>
    <xf numFmtId="0" fontId="20" fillId="0" borderId="0" xfId="0" applyFont="1" applyBorder="1" applyAlignment="1">
      <alignment horizontal="left"/>
    </xf>
    <xf numFmtId="10" fontId="22" fillId="5" borderId="16" xfId="2" applyNumberFormat="1" applyFont="1" applyFill="1" applyBorder="1" applyAlignment="1">
      <alignment horizontal="right"/>
    </xf>
    <xf numFmtId="10" fontId="14" fillId="0" borderId="0" xfId="2" applyNumberFormat="1" applyFont="1" applyFill="1" applyBorder="1" applyAlignment="1">
      <alignment horizontal="right"/>
    </xf>
    <xf numFmtId="10" fontId="22" fillId="5" borderId="14" xfId="2" applyNumberFormat="1" applyFont="1" applyFill="1" applyBorder="1" applyAlignment="1">
      <alignment horizontal="right"/>
    </xf>
    <xf numFmtId="1" fontId="22" fillId="6" borderId="15" xfId="2" applyNumberFormat="1" applyFont="1" applyFill="1" applyBorder="1" applyAlignment="1">
      <alignment horizontal="right"/>
    </xf>
    <xf numFmtId="1" fontId="22" fillId="6" borderId="16" xfId="2" applyNumberFormat="1" applyFont="1" applyFill="1" applyBorder="1" applyAlignment="1">
      <alignment horizontal="right"/>
    </xf>
    <xf numFmtId="1" fontId="22" fillId="6" borderId="14" xfId="2" applyNumberFormat="1" applyFont="1" applyFill="1" applyBorder="1" applyAlignment="1">
      <alignment horizontal="right"/>
    </xf>
    <xf numFmtId="1" fontId="14" fillId="0" borderId="0" xfId="2" applyNumberFormat="1" applyFont="1" applyFill="1" applyBorder="1" applyAlignment="1">
      <alignment horizontal="right"/>
    </xf>
    <xf numFmtId="0" fontId="22" fillId="5" borderId="14" xfId="2" applyNumberFormat="1" applyFont="1" applyFill="1" applyBorder="1" applyAlignment="1">
      <alignment horizontal="right"/>
    </xf>
    <xf numFmtId="0" fontId="22" fillId="5" borderId="15" xfId="2" applyNumberFormat="1" applyFont="1" applyFill="1" applyBorder="1" applyAlignment="1">
      <alignment horizontal="right"/>
    </xf>
    <xf numFmtId="0" fontId="22" fillId="5" borderId="16" xfId="2" applyNumberFormat="1" applyFont="1" applyFill="1" applyBorder="1" applyAlignment="1">
      <alignment horizontal="right"/>
    </xf>
    <xf numFmtId="0" fontId="14" fillId="0" borderId="0" xfId="2" applyNumberFormat="1" applyFont="1" applyFill="1" applyBorder="1" applyAlignment="1">
      <alignment horizontal="right"/>
    </xf>
    <xf numFmtId="1" fontId="22" fillId="5" borderId="14" xfId="2" applyNumberFormat="1" applyFont="1" applyFill="1" applyBorder="1" applyAlignment="1">
      <alignment horizontal="right"/>
    </xf>
    <xf numFmtId="1" fontId="22" fillId="5" borderId="15" xfId="2" applyNumberFormat="1" applyFont="1" applyFill="1" applyBorder="1" applyAlignment="1">
      <alignment horizontal="right"/>
    </xf>
    <xf numFmtId="1" fontId="22" fillId="5" borderId="16" xfId="2" applyNumberFormat="1" applyFont="1" applyFill="1" applyBorder="1" applyAlignment="1">
      <alignment horizontal="right"/>
    </xf>
    <xf numFmtId="9" fontId="22" fillId="5" borderId="15" xfId="2" applyNumberFormat="1" applyFont="1" applyFill="1" applyBorder="1" applyAlignment="1">
      <alignment horizontal="right"/>
    </xf>
    <xf numFmtId="9" fontId="22" fillId="5" borderId="16" xfId="2" applyNumberFormat="1" applyFont="1" applyFill="1" applyBorder="1" applyAlignment="1">
      <alignment horizontal="right"/>
    </xf>
    <xf numFmtId="167" fontId="77" fillId="39" borderId="92" xfId="7" applyNumberFormat="1" applyFont="1" applyFill="1" applyBorder="1" applyAlignment="1">
      <alignment horizontal="right"/>
    </xf>
    <xf numFmtId="167" fontId="13" fillId="39" borderId="82" xfId="7" applyNumberFormat="1" applyBorder="1" applyAlignment="1">
      <alignment horizontal="right"/>
    </xf>
    <xf numFmtId="0" fontId="79" fillId="39" borderId="42" xfId="7" applyNumberFormat="1" applyFont="1" applyBorder="1"/>
    <xf numFmtId="164" fontId="65" fillId="0" borderId="57" xfId="2" applyNumberFormat="1" applyFont="1" applyFill="1" applyBorder="1"/>
    <xf numFmtId="166" fontId="65" fillId="0" borderId="57" xfId="1" applyNumberFormat="1" applyFont="1" applyFill="1" applyBorder="1"/>
    <xf numFmtId="0" fontId="65" fillId="0" borderId="57" xfId="0" applyNumberFormat="1" applyFont="1" applyFill="1" applyBorder="1"/>
    <xf numFmtId="0" fontId="16" fillId="0" borderId="138" xfId="12" applyBorder="1"/>
    <xf numFmtId="168" fontId="65" fillId="0" borderId="15" xfId="0" applyNumberFormat="1" applyFont="1" applyFill="1" applyBorder="1"/>
    <xf numFmtId="2" fontId="80" fillId="0" borderId="15" xfId="12" applyNumberFormat="1" applyFont="1" applyBorder="1"/>
    <xf numFmtId="2" fontId="80" fillId="0" borderId="0" xfId="12" applyNumberFormat="1" applyFont="1" applyBorder="1"/>
    <xf numFmtId="167" fontId="77" fillId="0" borderId="92" xfId="7" applyNumberFormat="1" applyFont="1" applyFill="1" applyBorder="1" applyAlignment="1">
      <alignment horizontal="right"/>
    </xf>
    <xf numFmtId="167" fontId="13" fillId="0" borderId="82" xfId="7" applyNumberFormat="1" applyFill="1" applyBorder="1" applyAlignment="1">
      <alignment horizontal="right"/>
    </xf>
    <xf numFmtId="0" fontId="43" fillId="8" borderId="0" xfId="0" applyFont="1" applyFill="1"/>
    <xf numFmtId="167" fontId="13" fillId="39" borderId="92" xfId="7" applyNumberFormat="1" applyBorder="1" applyAlignment="1">
      <alignment horizontal="right"/>
    </xf>
    <xf numFmtId="167" fontId="16" fillId="0" borderId="89" xfId="12" applyNumberFormat="1" applyBorder="1"/>
    <xf numFmtId="0" fontId="13" fillId="39" borderId="0" xfId="7" applyBorder="1" applyAlignment="1">
      <alignment horizontal="right"/>
    </xf>
    <xf numFmtId="0" fontId="13" fillId="39" borderId="10" xfId="7" applyBorder="1" applyAlignment="1">
      <alignment horizontal="right"/>
    </xf>
    <xf numFmtId="0" fontId="0" fillId="0" borderId="10" xfId="0" applyBorder="1" applyAlignment="1">
      <alignment horizontal="right"/>
    </xf>
    <xf numFmtId="0" fontId="43" fillId="3" borderId="10" xfId="0" applyFont="1" applyFill="1" applyBorder="1" applyAlignment="1">
      <alignment horizontal="right" vertical="top" wrapText="1"/>
    </xf>
    <xf numFmtId="0" fontId="43" fillId="0" borderId="10" xfId="0" applyFont="1" applyBorder="1"/>
    <xf numFmtId="0" fontId="43" fillId="3" borderId="10" xfId="0" applyFont="1" applyFill="1" applyBorder="1" applyAlignment="1">
      <alignment horizontal="center" vertical="top" wrapText="1"/>
    </xf>
    <xf numFmtId="0" fontId="43" fillId="3" borderId="10" xfId="0" applyFont="1" applyFill="1" applyBorder="1" applyAlignment="1">
      <alignment horizontal="center"/>
    </xf>
    <xf numFmtId="0" fontId="44" fillId="3" borderId="0" xfId="0" applyFont="1" applyFill="1" applyBorder="1" applyAlignment="1">
      <alignment horizontal="right" vertical="top" wrapText="1"/>
    </xf>
    <xf numFmtId="0" fontId="44" fillId="3" borderId="10" xfId="0" applyFont="1" applyFill="1" applyBorder="1" applyAlignment="1">
      <alignment horizontal="right" vertical="top" wrapText="1"/>
    </xf>
    <xf numFmtId="0" fontId="83" fillId="3" borderId="0" xfId="0" applyFont="1" applyFill="1" applyBorder="1" applyAlignment="1">
      <alignment horizontal="right" vertical="top" wrapText="1"/>
    </xf>
    <xf numFmtId="0" fontId="83" fillId="0" borderId="0" xfId="0" applyFont="1" applyAlignment="1">
      <alignment wrapText="1"/>
    </xf>
    <xf numFmtId="0" fontId="83" fillId="3" borderId="10" xfId="0" applyFont="1" applyFill="1" applyBorder="1" applyAlignment="1">
      <alignment horizontal="right" vertical="top" wrapText="1"/>
    </xf>
    <xf numFmtId="0" fontId="83" fillId="8" borderId="0" xfId="0" applyFont="1" applyFill="1" applyAlignment="1">
      <alignment horizontal="right"/>
    </xf>
    <xf numFmtId="0" fontId="44" fillId="3" borderId="0" xfId="0" applyFont="1" applyFill="1" applyBorder="1" applyAlignment="1">
      <alignment horizontal="left" vertical="top"/>
    </xf>
    <xf numFmtId="0" fontId="44" fillId="0" borderId="0" xfId="0" applyFont="1"/>
    <xf numFmtId="0" fontId="83" fillId="8" borderId="10" xfId="0" applyFont="1" applyFill="1" applyBorder="1" applyAlignment="1">
      <alignment horizontal="right"/>
    </xf>
    <xf numFmtId="166" fontId="13" fillId="39" borderId="0" xfId="7" applyNumberFormat="1" applyBorder="1" applyAlignment="1">
      <alignment horizontal="right"/>
    </xf>
    <xf numFmtId="9" fontId="13" fillId="39" borderId="10" xfId="2" applyFont="1" applyFill="1" applyBorder="1" applyAlignment="1">
      <alignment horizontal="right"/>
    </xf>
    <xf numFmtId="2" fontId="0" fillId="0" borderId="0" xfId="0" applyNumberFormat="1"/>
    <xf numFmtId="1" fontId="0" fillId="0" borderId="0" xfId="0" applyNumberFormat="1"/>
    <xf numFmtId="166" fontId="0" fillId="0" borderId="0" xfId="2" applyNumberFormat="1" applyFont="1"/>
    <xf numFmtId="164" fontId="0" fillId="0" borderId="0" xfId="2" applyNumberFormat="1" applyFont="1"/>
    <xf numFmtId="164" fontId="0" fillId="0" borderId="0" xfId="0" applyNumberFormat="1"/>
    <xf numFmtId="10" fontId="0" fillId="0" borderId="0" xfId="2" applyNumberFormat="1" applyFont="1"/>
    <xf numFmtId="171" fontId="0" fillId="0" borderId="0" xfId="0" applyNumberFormat="1"/>
    <xf numFmtId="0" fontId="43" fillId="62" borderId="0" xfId="0" applyFont="1" applyFill="1" applyAlignment="1">
      <alignment vertical="center"/>
    </xf>
    <xf numFmtId="0" fontId="18" fillId="0" borderId="0" xfId="0" applyFont="1"/>
    <xf numFmtId="1" fontId="13" fillId="39" borderId="0" xfId="7" applyNumberFormat="1" applyBorder="1" applyAlignment="1">
      <alignment horizontal="right" vertical="center"/>
    </xf>
    <xf numFmtId="0" fontId="88" fillId="0" borderId="0" xfId="0" applyFont="1" applyAlignment="1">
      <alignment horizontal="left"/>
    </xf>
    <xf numFmtId="0" fontId="88" fillId="0" borderId="0" xfId="0" applyFont="1" applyAlignment="1">
      <alignment horizontal="right"/>
    </xf>
    <xf numFmtId="9" fontId="88" fillId="0" borderId="0" xfId="0" applyNumberFormat="1" applyFont="1" applyAlignment="1">
      <alignment horizontal="right"/>
    </xf>
    <xf numFmtId="180" fontId="88" fillId="0" borderId="0" xfId="0" applyNumberFormat="1" applyFont="1" applyAlignment="1">
      <alignment horizontal="right"/>
    </xf>
    <xf numFmtId="165" fontId="0" fillId="0" borderId="0" xfId="0" applyNumberFormat="1"/>
    <xf numFmtId="178" fontId="0" fillId="0" borderId="0" xfId="0" applyNumberFormat="1"/>
    <xf numFmtId="0" fontId="13" fillId="39" borderId="0" xfId="7" applyBorder="1"/>
    <xf numFmtId="0" fontId="90" fillId="0" borderId="0" xfId="0" applyFont="1"/>
    <xf numFmtId="9" fontId="0" fillId="0" borderId="0" xfId="2" applyNumberFormat="1" applyFont="1"/>
    <xf numFmtId="166" fontId="13" fillId="39" borderId="0" xfId="7" applyNumberFormat="1" applyBorder="1"/>
    <xf numFmtId="0" fontId="3" fillId="0" borderId="0" xfId="0" applyFont="1"/>
    <xf numFmtId="0" fontId="13" fillId="39" borderId="0" xfId="7" applyFont="1" applyBorder="1"/>
    <xf numFmtId="0" fontId="13" fillId="39" borderId="0" xfId="7" applyFont="1" applyBorder="1" applyAlignment="1">
      <alignment horizontal="right"/>
    </xf>
    <xf numFmtId="0" fontId="3" fillId="0" borderId="0" xfId="0" applyFont="1" applyAlignment="1">
      <alignment vertical="top" wrapText="1"/>
    </xf>
    <xf numFmtId="166" fontId="3" fillId="0" borderId="0" xfId="2" applyNumberFormat="1" applyFont="1" applyAlignment="1">
      <alignment vertical="top" wrapText="1"/>
    </xf>
    <xf numFmtId="0" fontId="43" fillId="0" borderId="15" xfId="0" applyFont="1" applyBorder="1" applyAlignment="1">
      <alignment horizontal="right"/>
    </xf>
    <xf numFmtId="0" fontId="43" fillId="0" borderId="16" xfId="0" applyFont="1" applyBorder="1" applyAlignment="1">
      <alignment horizontal="right"/>
    </xf>
    <xf numFmtId="0" fontId="43" fillId="0" borderId="140" xfId="0" applyFont="1" applyBorder="1" applyAlignment="1">
      <alignment horizontal="right"/>
    </xf>
    <xf numFmtId="0" fontId="43" fillId="0" borderId="140" xfId="0" applyFont="1" applyBorder="1"/>
    <xf numFmtId="1" fontId="45" fillId="39" borderId="140" xfId="7" applyNumberFormat="1" applyFont="1" applyBorder="1" applyAlignment="1">
      <alignment horizontal="right"/>
    </xf>
    <xf numFmtId="0" fontId="43" fillId="0" borderId="141" xfId="0" applyFont="1" applyBorder="1" applyAlignment="1">
      <alignment horizontal="right"/>
    </xf>
    <xf numFmtId="0" fontId="43" fillId="0" borderId="0" xfId="0" applyFont="1" applyBorder="1" applyAlignment="1">
      <alignment horizontal="right"/>
    </xf>
    <xf numFmtId="0" fontId="43" fillId="0" borderId="142" xfId="0" applyFont="1" applyBorder="1"/>
    <xf numFmtId="0" fontId="43" fillId="0" borderId="57" xfId="0" applyFont="1" applyBorder="1" applyAlignment="1">
      <alignment horizontal="right"/>
    </xf>
    <xf numFmtId="0" fontId="43" fillId="0" borderId="57" xfId="0" applyFont="1" applyBorder="1"/>
    <xf numFmtId="2" fontId="43" fillId="0" borderId="57" xfId="0" applyNumberFormat="1" applyFont="1" applyBorder="1" applyAlignment="1">
      <alignment horizontal="right"/>
    </xf>
    <xf numFmtId="0" fontId="43" fillId="0" borderId="138" xfId="0" applyFont="1" applyBorder="1" applyAlignment="1">
      <alignment horizontal="right"/>
    </xf>
    <xf numFmtId="0" fontId="43" fillId="8" borderId="140" xfId="0" applyFont="1" applyFill="1" applyBorder="1" applyAlignment="1">
      <alignment horizontal="right"/>
    </xf>
    <xf numFmtId="9" fontId="43" fillId="0" borderId="140" xfId="2" applyFont="1" applyBorder="1" applyAlignment="1">
      <alignment horizontal="right"/>
    </xf>
    <xf numFmtId="166" fontId="43" fillId="0" borderId="57" xfId="0" applyNumberFormat="1" applyFont="1" applyBorder="1"/>
    <xf numFmtId="9" fontId="43" fillId="0" borderId="140" xfId="2" applyNumberFormat="1" applyFont="1" applyBorder="1" applyAlignment="1">
      <alignment horizontal="right"/>
    </xf>
    <xf numFmtId="0" fontId="43" fillId="0" borderId="142" xfId="0" applyFont="1" applyBorder="1" applyAlignment="1">
      <alignment horizontal="right"/>
    </xf>
    <xf numFmtId="166" fontId="43" fillId="0" borderId="57" xfId="0" applyNumberFormat="1" applyFont="1" applyBorder="1" applyAlignment="1">
      <alignment horizontal="right"/>
    </xf>
    <xf numFmtId="0" fontId="43" fillId="0" borderId="141" xfId="0" applyFont="1" applyBorder="1"/>
    <xf numFmtId="0" fontId="43" fillId="0" borderId="42" xfId="0" applyFont="1" applyBorder="1"/>
    <xf numFmtId="0" fontId="43" fillId="8" borderId="57" xfId="0" applyFont="1" applyFill="1" applyBorder="1"/>
    <xf numFmtId="0" fontId="83" fillId="0" borderId="139" xfId="0" applyFont="1" applyBorder="1"/>
    <xf numFmtId="0" fontId="43" fillId="0" borderId="0" xfId="0" applyFont="1" applyBorder="1" applyAlignment="1">
      <alignment horizontal="left"/>
    </xf>
    <xf numFmtId="0" fontId="44" fillId="0" borderId="57" xfId="0" applyFont="1" applyBorder="1" applyAlignment="1">
      <alignment horizontal="center"/>
    </xf>
    <xf numFmtId="0" fontId="44" fillId="0" borderId="57" xfId="0" applyFont="1" applyBorder="1" applyAlignment="1">
      <alignment horizontal="right"/>
    </xf>
    <xf numFmtId="0" fontId="44" fillId="0" borderId="138" xfId="0" applyFont="1" applyBorder="1" applyAlignment="1">
      <alignment horizontal="right"/>
    </xf>
    <xf numFmtId="6" fontId="3" fillId="62" borderId="0" xfId="0" applyNumberFormat="1" applyFont="1" applyFill="1"/>
    <xf numFmtId="9" fontId="3" fillId="62" borderId="0" xfId="2" applyFont="1" applyFill="1"/>
    <xf numFmtId="165" fontId="13" fillId="39" borderId="90" xfId="7" applyNumberFormat="1" applyBorder="1" applyAlignment="1">
      <alignment horizontal="right"/>
    </xf>
    <xf numFmtId="165" fontId="13" fillId="39" borderId="79" xfId="7" applyNumberFormat="1" applyBorder="1" applyAlignment="1">
      <alignment horizontal="right"/>
    </xf>
    <xf numFmtId="166" fontId="13" fillId="39" borderId="90" xfId="7" applyNumberFormat="1" applyBorder="1" applyAlignment="1">
      <alignment horizontal="right"/>
    </xf>
    <xf numFmtId="166" fontId="13" fillId="39" borderId="79" xfId="7" applyNumberFormat="1" applyBorder="1" applyAlignment="1">
      <alignment horizontal="right"/>
    </xf>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43" fillId="8" borderId="3" xfId="0" applyFont="1" applyFill="1" applyBorder="1"/>
    <xf numFmtId="180" fontId="88" fillId="0" borderId="3" xfId="0" applyNumberFormat="1" applyFont="1" applyBorder="1" applyAlignment="1">
      <alignment horizontal="right"/>
    </xf>
    <xf numFmtId="174" fontId="43" fillId="8" borderId="3" xfId="0" applyNumberFormat="1" applyFont="1" applyFill="1" applyBorder="1"/>
    <xf numFmtId="0" fontId="91" fillId="0" borderId="0" xfId="0" applyFont="1" applyAlignment="1">
      <alignment horizontal="right"/>
    </xf>
    <xf numFmtId="0" fontId="88" fillId="0" borderId="3" xfId="0" applyFont="1" applyBorder="1" applyAlignment="1">
      <alignment horizontal="right"/>
    </xf>
    <xf numFmtId="0" fontId="14" fillId="0" borderId="0" xfId="0" quotePrefix="1" applyFont="1" applyAlignment="1">
      <alignment vertical="top" wrapText="1"/>
    </xf>
    <xf numFmtId="0" fontId="14" fillId="0" borderId="0" xfId="0" applyFont="1" applyFill="1" applyAlignment="1">
      <alignment vertical="top" wrapText="1"/>
    </xf>
    <xf numFmtId="0" fontId="14" fillId="0" borderId="0" xfId="0" applyFont="1" applyAlignment="1">
      <alignment horizontal="right" vertical="top" wrapText="1"/>
    </xf>
    <xf numFmtId="0" fontId="71" fillId="0" borderId="0" xfId="0" applyFont="1" applyAlignment="1">
      <alignment vertical="top"/>
    </xf>
    <xf numFmtId="0" fontId="43" fillId="8" borderId="0" xfId="0" applyFont="1" applyFill="1"/>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76" fillId="8" borderId="102" xfId="7" applyNumberFormat="1" applyFont="1" applyFill="1" applyBorder="1" applyAlignment="1">
      <alignment horizontal="right"/>
    </xf>
    <xf numFmtId="9" fontId="76" fillId="0" borderId="103" xfId="7" applyNumberFormat="1" applyFont="1" applyFill="1" applyBorder="1" applyAlignment="1">
      <alignment horizontal="right"/>
    </xf>
    <xf numFmtId="167" fontId="76" fillId="0" borderId="102" xfId="7" applyNumberFormat="1" applyFont="1" applyFill="1" applyBorder="1" applyAlignment="1">
      <alignment horizontal="left"/>
    </xf>
    <xf numFmtId="0" fontId="16" fillId="41" borderId="0" xfId="12" applyFont="1" applyFill="1" applyBorder="1"/>
    <xf numFmtId="0" fontId="43" fillId="8" borderId="0" xfId="0" applyFont="1" applyFill="1"/>
    <xf numFmtId="0" fontId="31" fillId="0" borderId="0" xfId="0" applyFont="1"/>
    <xf numFmtId="0" fontId="31" fillId="0" borderId="0" xfId="0" applyFont="1" applyAlignment="1">
      <alignment vertical="center"/>
    </xf>
    <xf numFmtId="0" fontId="0" fillId="0" borderId="0" xfId="0" applyAlignment="1">
      <alignment vertical="center"/>
    </xf>
    <xf numFmtId="0" fontId="17" fillId="0" borderId="0" xfId="0" applyFont="1" applyAlignment="1">
      <alignment vertical="center"/>
    </xf>
    <xf numFmtId="0" fontId="92" fillId="0" borderId="3" xfId="0" applyFont="1" applyBorder="1" applyAlignment="1">
      <alignment vertical="center"/>
    </xf>
    <xf numFmtId="0" fontId="92" fillId="0" borderId="0" xfId="0" applyFont="1"/>
    <xf numFmtId="0" fontId="92" fillId="0" borderId="3" xfId="0" applyFont="1" applyBorder="1" applyAlignment="1">
      <alignment horizontal="center"/>
    </xf>
    <xf numFmtId="0" fontId="92" fillId="0" borderId="0" xfId="0" quotePrefix="1" applyFont="1"/>
    <xf numFmtId="164" fontId="92" fillId="0" borderId="0" xfId="0" applyNumberFormat="1" applyFont="1"/>
    <xf numFmtId="167" fontId="92" fillId="0" borderId="0" xfId="0" applyNumberFormat="1" applyFont="1"/>
    <xf numFmtId="0" fontId="92" fillId="62" borderId="0" xfId="0" applyFont="1" applyFill="1"/>
    <xf numFmtId="0" fontId="92" fillId="62" borderId="0" xfId="0" quotePrefix="1" applyFont="1" applyFill="1"/>
    <xf numFmtId="167" fontId="92" fillId="62" borderId="0" xfId="0" applyNumberFormat="1" applyFont="1" applyFill="1"/>
    <xf numFmtId="164" fontId="92" fillId="62" borderId="0" xfId="0" applyNumberFormat="1" applyFont="1" applyFill="1"/>
    <xf numFmtId="0" fontId="43" fillId="8" borderId="0" xfId="0" applyFont="1" applyFill="1"/>
    <xf numFmtId="0" fontId="42" fillId="56" borderId="0" xfId="0" applyFont="1" applyFill="1" applyAlignment="1">
      <alignment horizontal="center" vertical="center"/>
    </xf>
    <xf numFmtId="0" fontId="43" fillId="0" borderId="57" xfId="0" applyFont="1" applyBorder="1" applyAlignment="1">
      <alignment horizontal="right"/>
    </xf>
    <xf numFmtId="0" fontId="43" fillId="0" borderId="140" xfId="0" applyFont="1" applyBorder="1" applyAlignment="1">
      <alignment horizontal="right"/>
    </xf>
    <xf numFmtId="0" fontId="43" fillId="0" borderId="0" xfId="0" applyFont="1" applyBorder="1" applyAlignment="1">
      <alignment horizontal="right"/>
    </xf>
    <xf numFmtId="0" fontId="92" fillId="0" borderId="3" xfId="0" applyFont="1" applyBorder="1" applyAlignment="1">
      <alignment horizontal="right"/>
    </xf>
    <xf numFmtId="2" fontId="92" fillId="0" borderId="0" xfId="0" applyNumberFormat="1" applyFont="1"/>
    <xf numFmtId="2" fontId="92" fillId="62" borderId="0" xfId="0" applyNumberFormat="1" applyFont="1" applyFill="1"/>
    <xf numFmtId="0" fontId="65" fillId="0" borderId="14" xfId="0" applyFont="1" applyFill="1" applyBorder="1"/>
    <xf numFmtId="0" fontId="65" fillId="0" borderId="15" xfId="0" applyFont="1" applyFill="1" applyBorder="1"/>
    <xf numFmtId="0" fontId="80" fillId="0" borderId="14" xfId="12" applyFont="1" applyBorder="1"/>
    <xf numFmtId="0" fontId="65" fillId="0" borderId="0" xfId="2" applyNumberFormat="1" applyFont="1" applyFill="1" applyBorder="1"/>
    <xf numFmtId="0" fontId="80" fillId="0" borderId="0" xfId="12" applyFont="1" applyBorder="1"/>
    <xf numFmtId="164" fontId="14" fillId="0" borderId="0" xfId="0" applyNumberFormat="1" applyFont="1" applyFill="1" applyBorder="1"/>
    <xf numFmtId="166" fontId="14" fillId="0" borderId="0" xfId="0" applyNumberFormat="1" applyFont="1" applyFill="1" applyBorder="1"/>
    <xf numFmtId="168" fontId="14" fillId="0" borderId="0" xfId="0" applyNumberFormat="1" applyFont="1" applyFill="1" applyBorder="1"/>
    <xf numFmtId="2" fontId="14" fillId="0" borderId="0" xfId="0" applyNumberFormat="1" applyFont="1" applyFill="1" applyBorder="1"/>
    <xf numFmtId="10" fontId="19" fillId="0" borderId="0" xfId="0" applyNumberFormat="1" applyFont="1" applyFill="1" applyBorder="1" applyAlignment="1">
      <alignment horizontal="right"/>
    </xf>
    <xf numFmtId="1" fontId="19" fillId="0" borderId="0" xfId="0" applyNumberFormat="1" applyFont="1" applyFill="1" applyBorder="1" applyAlignment="1">
      <alignment horizontal="right"/>
    </xf>
    <xf numFmtId="9" fontId="19" fillId="0" borderId="0" xfId="0" applyNumberFormat="1" applyFont="1" applyBorder="1" applyAlignment="1">
      <alignment horizontal="right"/>
    </xf>
    <xf numFmtId="10" fontId="19" fillId="0" borderId="0" xfId="0" applyNumberFormat="1" applyFont="1" applyFill="1" applyBorder="1"/>
    <xf numFmtId="167" fontId="19" fillId="0" borderId="0" xfId="0" applyNumberFormat="1" applyFont="1" applyFill="1" applyBorder="1" applyAlignment="1">
      <alignment horizontal="right"/>
    </xf>
    <xf numFmtId="167" fontId="19" fillId="0" borderId="0" xfId="0" applyNumberFormat="1" applyFont="1" applyBorder="1" applyAlignment="1">
      <alignment horizontal="right"/>
    </xf>
    <xf numFmtId="169" fontId="19" fillId="0" borderId="0" xfId="0" applyNumberFormat="1" applyFont="1" applyFill="1" applyBorder="1" applyAlignment="1">
      <alignment horizontal="right"/>
    </xf>
    <xf numFmtId="164" fontId="19" fillId="0" borderId="0" xfId="0" applyNumberFormat="1" applyFont="1" applyFill="1" applyBorder="1" applyAlignment="1">
      <alignment horizontal="right"/>
    </xf>
    <xf numFmtId="168" fontId="19" fillId="0" borderId="0" xfId="0" applyNumberFormat="1" applyFont="1" applyFill="1" applyBorder="1" applyAlignment="1">
      <alignment horizontal="right"/>
    </xf>
    <xf numFmtId="168" fontId="19" fillId="0" borderId="0" xfId="0" applyNumberFormat="1" applyFont="1" applyBorder="1" applyAlignment="1">
      <alignment horizontal="right"/>
    </xf>
    <xf numFmtId="166" fontId="19" fillId="0" borderId="0" xfId="0" applyNumberFormat="1" applyFont="1" applyBorder="1"/>
    <xf numFmtId="2" fontId="19" fillId="0" borderId="0" xfId="0" applyNumberFormat="1" applyFont="1" applyBorder="1"/>
    <xf numFmtId="164" fontId="19" fillId="0" borderId="0" xfId="0" applyNumberFormat="1" applyFont="1" applyBorder="1"/>
    <xf numFmtId="168" fontId="19" fillId="0" borderId="0" xfId="0" applyNumberFormat="1" applyFont="1" applyBorder="1"/>
    <xf numFmtId="1" fontId="92" fillId="0" borderId="0" xfId="0" applyNumberFormat="1" applyFont="1"/>
    <xf numFmtId="1" fontId="92" fillId="62" borderId="0" xfId="0" applyNumberFormat="1" applyFont="1" applyFill="1"/>
    <xf numFmtId="0" fontId="92" fillId="0" borderId="0" xfId="0" applyNumberFormat="1" applyFont="1"/>
    <xf numFmtId="0" fontId="17" fillId="65" borderId="15" xfId="0" applyFont="1" applyFill="1" applyBorder="1"/>
    <xf numFmtId="167" fontId="22" fillId="65" borderId="15" xfId="0" applyNumberFormat="1" applyFont="1" applyFill="1" applyBorder="1" applyAlignment="1">
      <alignment horizontal="right"/>
    </xf>
    <xf numFmtId="167" fontId="22" fillId="65" borderId="15" xfId="1" applyNumberFormat="1" applyFont="1" applyFill="1" applyBorder="1" applyAlignment="1">
      <alignment horizontal="left"/>
    </xf>
    <xf numFmtId="167" fontId="22" fillId="65" borderId="15" xfId="1" applyNumberFormat="1" applyFont="1" applyFill="1" applyBorder="1" applyAlignment="1">
      <alignment horizontal="right"/>
    </xf>
    <xf numFmtId="9" fontId="22" fillId="65" borderId="15" xfId="2" applyFont="1" applyFill="1" applyBorder="1" applyAlignment="1">
      <alignment horizontal="right"/>
    </xf>
    <xf numFmtId="166" fontId="22" fillId="65" borderId="15" xfId="0" applyNumberFormat="1" applyFont="1" applyFill="1" applyBorder="1" applyAlignment="1">
      <alignment horizontal="right"/>
    </xf>
    <xf numFmtId="164" fontId="22" fillId="65" borderId="15" xfId="2" applyNumberFormat="1" applyFont="1" applyFill="1" applyBorder="1" applyAlignment="1">
      <alignment horizontal="right"/>
    </xf>
    <xf numFmtId="166" fontId="22" fillId="65" borderId="15" xfId="1" applyNumberFormat="1" applyFont="1" applyFill="1" applyBorder="1" applyAlignment="1">
      <alignment horizontal="right"/>
    </xf>
    <xf numFmtId="9" fontId="22" fillId="65" borderId="16" xfId="2" applyFont="1" applyFill="1" applyBorder="1" applyAlignment="1">
      <alignment horizontal="right"/>
    </xf>
    <xf numFmtId="49" fontId="19" fillId="2" borderId="34" xfId="0" applyNumberFormat="1" applyFont="1" applyFill="1" applyBorder="1" applyAlignment="1">
      <alignment vertical="center" wrapText="1"/>
    </xf>
    <xf numFmtId="0" fontId="13" fillId="65" borderId="15" xfId="7" applyFont="1" applyFill="1" applyBorder="1"/>
    <xf numFmtId="0" fontId="94" fillId="0" borderId="0" xfId="0" applyFont="1" applyFill="1" applyBorder="1"/>
    <xf numFmtId="0" fontId="94" fillId="0" borderId="0" xfId="7" applyFont="1" applyFill="1" applyBorder="1"/>
    <xf numFmtId="167" fontId="95" fillId="0" borderId="0" xfId="0" applyNumberFormat="1" applyFont="1" applyFill="1" applyBorder="1" applyAlignment="1">
      <alignment horizontal="right"/>
    </xf>
    <xf numFmtId="167" fontId="95" fillId="0" borderId="0" xfId="1" applyNumberFormat="1" applyFont="1" applyFill="1" applyBorder="1" applyAlignment="1">
      <alignment horizontal="left"/>
    </xf>
    <xf numFmtId="167" fontId="95" fillId="0" borderId="0" xfId="1" applyNumberFormat="1" applyFont="1" applyFill="1" applyBorder="1" applyAlignment="1">
      <alignment horizontal="right"/>
    </xf>
    <xf numFmtId="9" fontId="95" fillId="0" borderId="0" xfId="2" applyFont="1" applyFill="1" applyBorder="1" applyAlignment="1">
      <alignment horizontal="right"/>
    </xf>
    <xf numFmtId="166" fontId="95" fillId="0" borderId="0" xfId="0" applyNumberFormat="1" applyFont="1" applyFill="1" applyBorder="1" applyAlignment="1">
      <alignment horizontal="right"/>
    </xf>
    <xf numFmtId="164" fontId="95" fillId="0" borderId="0" xfId="2" applyNumberFormat="1" applyFont="1" applyFill="1" applyBorder="1" applyAlignment="1">
      <alignment horizontal="right"/>
    </xf>
    <xf numFmtId="166" fontId="95" fillId="0" borderId="0" xfId="1" applyNumberFormat="1" applyFont="1" applyFill="1" applyBorder="1" applyAlignment="1">
      <alignment horizontal="right"/>
    </xf>
    <xf numFmtId="0" fontId="96" fillId="0" borderId="0" xfId="0" applyFont="1" applyFill="1" applyBorder="1"/>
    <xf numFmtId="0" fontId="92" fillId="0" borderId="0" xfId="0" applyFont="1" applyAlignment="1">
      <alignment horizontal="left"/>
    </xf>
    <xf numFmtId="0" fontId="92" fillId="0" borderId="3" xfId="0" quotePrefix="1" applyFont="1" applyBorder="1" applyAlignment="1">
      <alignment horizontal="right"/>
    </xf>
    <xf numFmtId="0" fontId="92" fillId="0" borderId="0" xfId="0" applyFont="1" applyAlignment="1">
      <alignment vertical="center"/>
    </xf>
    <xf numFmtId="167" fontId="92" fillId="0" borderId="0" xfId="0" applyNumberFormat="1" applyFont="1" applyAlignment="1">
      <alignment vertical="center"/>
    </xf>
    <xf numFmtId="1" fontId="92" fillId="0" borderId="0" xfId="0" applyNumberFormat="1" applyFont="1" applyFill="1"/>
    <xf numFmtId="0" fontId="92" fillId="0" borderId="3" xfId="0" applyFont="1" applyBorder="1"/>
    <xf numFmtId="0" fontId="92" fillId="0" borderId="0" xfId="0" applyFont="1" applyAlignment="1"/>
    <xf numFmtId="0" fontId="92" fillId="0" borderId="0" xfId="0" applyFont="1" applyAlignment="1">
      <alignment horizontal="left" vertical="center"/>
    </xf>
    <xf numFmtId="0" fontId="92" fillId="0" borderId="0" xfId="0" applyFont="1" applyAlignment="1">
      <alignment horizontal="right"/>
    </xf>
    <xf numFmtId="0" fontId="92" fillId="0" borderId="0" xfId="0" applyFont="1" applyAlignment="1">
      <alignment horizontal="center" vertical="center"/>
    </xf>
    <xf numFmtId="6" fontId="92" fillId="0" borderId="0" xfId="0" applyNumberFormat="1" applyFont="1" applyAlignment="1">
      <alignment vertical="center"/>
    </xf>
    <xf numFmtId="164" fontId="92" fillId="0" borderId="0" xfId="2" applyNumberFormat="1" applyFont="1" applyAlignment="1">
      <alignment vertical="center"/>
    </xf>
    <xf numFmtId="1" fontId="92" fillId="0" borderId="0" xfId="0" applyNumberFormat="1" applyFont="1" applyAlignment="1">
      <alignment horizontal="right" vertical="center"/>
    </xf>
    <xf numFmtId="1" fontId="92" fillId="0" borderId="0" xfId="0" applyNumberFormat="1" applyFont="1" applyAlignment="1"/>
    <xf numFmtId="1" fontId="92" fillId="0" borderId="0" xfId="0" applyNumberFormat="1" applyFont="1" applyAlignment="1">
      <alignment vertical="center"/>
    </xf>
    <xf numFmtId="0" fontId="92" fillId="41" borderId="0" xfId="0" applyFont="1" applyFill="1"/>
    <xf numFmtId="0" fontId="92" fillId="41" borderId="0" xfId="0" applyFont="1" applyFill="1" applyAlignment="1">
      <alignment horizontal="center" vertical="center"/>
    </xf>
    <xf numFmtId="0" fontId="92" fillId="62" borderId="0" xfId="0" applyFont="1" applyFill="1" applyAlignment="1">
      <alignment vertical="center"/>
    </xf>
    <xf numFmtId="0" fontId="92" fillId="62" borderId="0" xfId="0" applyFont="1" applyFill="1" applyAlignment="1"/>
    <xf numFmtId="0" fontId="92" fillId="0" borderId="3" xfId="0" applyFont="1" applyBorder="1" applyAlignment="1"/>
    <xf numFmtId="167" fontId="92" fillId="0" borderId="3" xfId="0" applyNumberFormat="1" applyFont="1" applyBorder="1"/>
    <xf numFmtId="164" fontId="92" fillId="0" borderId="3" xfId="0" applyNumberFormat="1" applyFont="1" applyBorder="1"/>
    <xf numFmtId="0" fontId="92" fillId="0" borderId="6" xfId="0" applyFont="1" applyBorder="1" applyAlignment="1">
      <alignment vertical="center"/>
    </xf>
    <xf numFmtId="167" fontId="92" fillId="0" borderId="6" xfId="0" applyNumberFormat="1" applyFont="1" applyBorder="1" applyAlignment="1">
      <alignment vertical="center"/>
    </xf>
    <xf numFmtId="164" fontId="92" fillId="0" borderId="6" xfId="2" applyNumberFormat="1" applyFont="1" applyBorder="1" applyAlignment="1">
      <alignment vertical="center"/>
    </xf>
    <xf numFmtId="0" fontId="92" fillId="0" borderId="0" xfId="0" applyFont="1" applyBorder="1"/>
    <xf numFmtId="0" fontId="98" fillId="0" borderId="0" xfId="0" applyFont="1" applyFill="1" applyBorder="1" applyAlignment="1">
      <alignment horizontal="left" vertical="top"/>
    </xf>
    <xf numFmtId="0" fontId="98" fillId="0" borderId="0" xfId="0" applyFont="1" applyFill="1" applyBorder="1" applyAlignment="1">
      <alignment horizontal="right" vertical="top"/>
    </xf>
    <xf numFmtId="0" fontId="98" fillId="0" borderId="3" xfId="0" applyFont="1" applyFill="1" applyBorder="1" applyAlignment="1">
      <alignment horizontal="left" wrapText="1"/>
    </xf>
    <xf numFmtId="0" fontId="98" fillId="0" borderId="3" xfId="0" applyFont="1" applyFill="1" applyBorder="1" applyAlignment="1">
      <alignment horizontal="right" wrapText="1"/>
    </xf>
    <xf numFmtId="0" fontId="98" fillId="0" borderId="3" xfId="0" quotePrefix="1" applyFont="1" applyFill="1" applyBorder="1" applyAlignment="1">
      <alignment horizontal="right" wrapText="1"/>
    </xf>
    <xf numFmtId="0" fontId="98" fillId="41" borderId="0" xfId="0" applyFont="1" applyFill="1" applyBorder="1" applyAlignment="1">
      <alignment horizontal="left" vertical="top"/>
    </xf>
    <xf numFmtId="1" fontId="98" fillId="0" borderId="0" xfId="0" applyNumberFormat="1" applyFont="1" applyFill="1" applyBorder="1" applyAlignment="1">
      <alignment horizontal="right" vertical="top"/>
    </xf>
    <xf numFmtId="9" fontId="98" fillId="0" borderId="0" xfId="2" applyFont="1" applyFill="1" applyBorder="1" applyAlignment="1">
      <alignment horizontal="right" vertical="top"/>
    </xf>
    <xf numFmtId="164" fontId="98" fillId="0" borderId="0" xfId="2" applyNumberFormat="1" applyFont="1" applyFill="1" applyBorder="1" applyAlignment="1">
      <alignment horizontal="right" vertical="top"/>
    </xf>
    <xf numFmtId="0" fontId="98" fillId="62" borderId="0" xfId="0" applyFont="1" applyFill="1" applyBorder="1" applyAlignment="1">
      <alignment horizontal="left" vertical="top"/>
    </xf>
    <xf numFmtId="1" fontId="98" fillId="62" borderId="0" xfId="0" applyNumberFormat="1" applyFont="1" applyFill="1" applyBorder="1" applyAlignment="1">
      <alignment horizontal="right" vertical="top"/>
    </xf>
    <xf numFmtId="9" fontId="98" fillId="62" borderId="0" xfId="2" applyFont="1" applyFill="1" applyBorder="1" applyAlignment="1">
      <alignment horizontal="right" vertical="top"/>
    </xf>
    <xf numFmtId="164" fontId="98" fillId="62" borderId="0" xfId="2" applyNumberFormat="1" applyFont="1" applyFill="1" applyBorder="1" applyAlignment="1">
      <alignment horizontal="right" vertical="top"/>
    </xf>
    <xf numFmtId="0" fontId="98" fillId="62" borderId="0" xfId="0" applyFont="1" applyFill="1" applyBorder="1" applyAlignment="1">
      <alignment horizontal="right" vertical="top"/>
    </xf>
    <xf numFmtId="1" fontId="98" fillId="0" borderId="0" xfId="0" applyNumberFormat="1" applyFont="1" applyFill="1" applyBorder="1" applyAlignment="1">
      <alignment horizontal="left" vertical="top"/>
    </xf>
    <xf numFmtId="9" fontId="98" fillId="0" borderId="0" xfId="2" applyFont="1" applyFill="1" applyBorder="1" applyAlignment="1">
      <alignment horizontal="left" vertical="top"/>
    </xf>
    <xf numFmtId="167" fontId="76" fillId="8" borderId="92" xfId="7" applyNumberFormat="1" applyFont="1" applyFill="1" applyBorder="1"/>
    <xf numFmtId="167" fontId="16" fillId="0" borderId="82" xfId="12" applyNumberFormat="1" applyBorder="1"/>
    <xf numFmtId="0" fontId="14" fillId="41" borderId="0" xfId="0" applyFont="1" applyFill="1"/>
    <xf numFmtId="10" fontId="98" fillId="0" borderId="0" xfId="0" applyNumberFormat="1" applyFont="1" applyFill="1" applyBorder="1" applyAlignment="1">
      <alignment horizontal="right" vertical="top"/>
    </xf>
    <xf numFmtId="10" fontId="98" fillId="62" borderId="0" xfId="0" applyNumberFormat="1" applyFont="1" applyFill="1" applyBorder="1" applyAlignment="1">
      <alignment horizontal="right" vertical="top"/>
    </xf>
    <xf numFmtId="10" fontId="98" fillId="0" borderId="0" xfId="0" applyNumberFormat="1" applyFont="1" applyFill="1" applyBorder="1" applyAlignment="1">
      <alignment horizontal="left" vertical="top"/>
    </xf>
    <xf numFmtId="10" fontId="16" fillId="0" borderId="0" xfId="2" applyNumberFormat="1" applyFont="1" applyBorder="1" applyAlignment="1">
      <alignment horizontal="right"/>
    </xf>
    <xf numFmtId="10" fontId="66" fillId="42" borderId="0" xfId="2" applyNumberFormat="1" applyFont="1" applyFill="1" applyBorder="1" applyAlignment="1">
      <alignment horizontal="right"/>
    </xf>
    <xf numFmtId="10" fontId="13" fillId="39" borderId="78" xfId="7" applyNumberFormat="1" applyBorder="1" applyAlignment="1">
      <alignment horizontal="right"/>
    </xf>
    <xf numFmtId="10" fontId="13" fillId="41" borderId="78" xfId="7" applyNumberFormat="1" applyFill="1" applyBorder="1"/>
    <xf numFmtId="164" fontId="13" fillId="41" borderId="89" xfId="7" applyNumberFormat="1" applyFill="1" applyBorder="1" applyAlignment="1">
      <alignment horizontal="right"/>
    </xf>
    <xf numFmtId="9" fontId="14" fillId="41" borderId="0" xfId="0" applyNumberFormat="1" applyFont="1" applyFill="1" applyAlignment="1">
      <alignment horizontal="right"/>
    </xf>
    <xf numFmtId="0" fontId="22" fillId="5" borderId="16" xfId="0" quotePrefix="1" applyFont="1" applyFill="1" applyBorder="1" applyAlignment="1">
      <alignment horizontal="center"/>
    </xf>
    <xf numFmtId="49" fontId="0" fillId="45" borderId="27" xfId="22" applyNumberFormat="1" applyFont="1" applyFill="1" applyBorder="1" applyAlignment="1">
      <alignment horizontal="right" vertical="center" wrapText="1"/>
    </xf>
    <xf numFmtId="49" fontId="0" fillId="46" borderId="27" xfId="22" applyNumberFormat="1" applyFont="1" applyFill="1" applyBorder="1" applyAlignment="1">
      <alignment horizontal="right" vertical="center" wrapText="1"/>
    </xf>
    <xf numFmtId="44" fontId="16" fillId="0" borderId="101" xfId="12" applyNumberFormat="1" applyBorder="1" applyAlignment="1">
      <alignment horizontal="left"/>
    </xf>
    <xf numFmtId="0" fontId="43" fillId="0" borderId="0" xfId="0" applyFont="1" applyAlignment="1">
      <alignment horizontal="right" vertical="center"/>
    </xf>
    <xf numFmtId="0" fontId="43" fillId="43" borderId="0" xfId="0" applyFont="1" applyFill="1" applyAlignment="1">
      <alignment horizontal="right"/>
    </xf>
    <xf numFmtId="0" fontId="43" fillId="43" borderId="0" xfId="0" applyFont="1" applyFill="1" applyAlignment="1">
      <alignment horizontal="left"/>
    </xf>
    <xf numFmtId="0" fontId="26" fillId="43" borderId="0" xfId="0" applyFont="1" applyFill="1"/>
    <xf numFmtId="9" fontId="13" fillId="39" borderId="107" xfId="7" applyNumberFormat="1" applyBorder="1"/>
    <xf numFmtId="9" fontId="13" fillId="39" borderId="144" xfId="7" applyNumberFormat="1" applyBorder="1"/>
    <xf numFmtId="0" fontId="42" fillId="66" borderId="0" xfId="0" applyFont="1" applyFill="1" applyAlignment="1">
      <alignment horizontal="center" vertical="center"/>
    </xf>
    <xf numFmtId="9" fontId="14" fillId="0" borderId="0" xfId="0" applyNumberFormat="1" applyFont="1"/>
    <xf numFmtId="9" fontId="14" fillId="0" borderId="0" xfId="2" applyFont="1"/>
    <xf numFmtId="49" fontId="20" fillId="48" borderId="14" xfId="30" applyNumberFormat="1" applyFont="1" applyFill="1" applyBorder="1" applyAlignment="1">
      <alignment horizontal="center" vertical="center"/>
    </xf>
    <xf numFmtId="49" fontId="19" fillId="48" borderId="54" xfId="30" applyNumberFormat="1" applyFont="1" applyFill="1" applyBorder="1" applyAlignment="1">
      <alignment horizontal="left" vertical="center" wrapText="1"/>
    </xf>
    <xf numFmtId="49" fontId="19" fillId="49" borderId="46" xfId="30" applyNumberFormat="1" applyFont="1" applyFill="1" applyBorder="1" applyAlignment="1">
      <alignment horizontal="right" vertical="center" wrapText="1"/>
    </xf>
    <xf numFmtId="49" fontId="47" fillId="53" borderId="46" xfId="41" applyNumberFormat="1" applyFont="1" applyFill="1" applyBorder="1" applyAlignment="1">
      <alignment horizontal="right" vertical="center" wrapText="1"/>
    </xf>
    <xf numFmtId="49" fontId="47" fillId="53" borderId="26" xfId="41" applyNumberFormat="1" applyFont="1" applyFill="1" applyBorder="1" applyAlignment="1">
      <alignment horizontal="right" vertical="center" wrapText="1"/>
    </xf>
    <xf numFmtId="49" fontId="14" fillId="29" borderId="31" xfId="35" applyNumberFormat="1" applyFont="1" applyBorder="1" applyAlignment="1">
      <alignment horizontal="right" vertical="center" wrapText="1"/>
    </xf>
    <xf numFmtId="49" fontId="14" fillId="29" borderId="37" xfId="35" applyNumberFormat="1" applyFont="1" applyBorder="1" applyAlignment="1">
      <alignment horizontal="right" vertical="center" wrapText="1"/>
    </xf>
    <xf numFmtId="49" fontId="14" fillId="29" borderId="7" xfId="35" applyNumberFormat="1" applyFont="1" applyBorder="1" applyAlignment="1">
      <alignment horizontal="right" vertical="center" wrapText="1"/>
    </xf>
    <xf numFmtId="49" fontId="14" fillId="29" borderId="27" xfId="35" applyNumberFormat="1" applyFont="1" applyBorder="1" applyAlignment="1">
      <alignment horizontal="right" vertical="center" wrapText="1"/>
    </xf>
    <xf numFmtId="49" fontId="14" fillId="29" borderId="29" xfId="35" applyNumberFormat="1" applyFont="1" applyBorder="1" applyAlignment="1">
      <alignment horizontal="right" vertical="center" wrapText="1"/>
    </xf>
    <xf numFmtId="49" fontId="14" fillId="29" borderId="34" xfId="35" applyNumberFormat="1" applyFont="1" applyBorder="1" applyAlignment="1">
      <alignment horizontal="right" vertical="center" wrapText="1"/>
    </xf>
    <xf numFmtId="49" fontId="19" fillId="49" borderId="54" xfId="30" applyNumberFormat="1" applyFont="1" applyFill="1" applyBorder="1" applyAlignment="1">
      <alignment horizontal="left" vertical="center" wrapText="1"/>
    </xf>
    <xf numFmtId="49" fontId="19" fillId="48" borderId="22" xfId="30" applyNumberFormat="1" applyFont="1" applyFill="1" applyBorder="1" applyAlignment="1">
      <alignment horizontal="left" vertical="center" wrapText="1"/>
    </xf>
    <xf numFmtId="49" fontId="19" fillId="48" borderId="46" xfId="30" applyNumberFormat="1" applyFont="1" applyFill="1" applyBorder="1" applyAlignment="1">
      <alignment horizontal="right" vertical="center" wrapText="1"/>
    </xf>
    <xf numFmtId="49" fontId="19" fillId="48" borderId="26" xfId="30" applyNumberFormat="1" applyFont="1" applyFill="1" applyBorder="1" applyAlignment="1">
      <alignment horizontal="right" vertical="center" wrapText="1"/>
    </xf>
    <xf numFmtId="49" fontId="19" fillId="49" borderId="23" xfId="30" applyNumberFormat="1" applyFont="1" applyFill="1" applyBorder="1" applyAlignment="1">
      <alignment horizontal="left" vertical="center" wrapText="1"/>
    </xf>
    <xf numFmtId="49" fontId="19" fillId="49" borderId="55" xfId="30" applyNumberFormat="1" applyFont="1" applyFill="1" applyBorder="1" applyAlignment="1">
      <alignment horizontal="left" vertical="center" wrapText="1"/>
    </xf>
    <xf numFmtId="49" fontId="19" fillId="49" borderId="47" xfId="30" applyNumberFormat="1" applyFont="1" applyFill="1" applyBorder="1" applyAlignment="1">
      <alignment horizontal="right" vertical="center" wrapText="1"/>
    </xf>
    <xf numFmtId="49" fontId="19" fillId="49" borderId="28" xfId="30" applyNumberFormat="1" applyFont="1" applyFill="1" applyBorder="1" applyAlignment="1">
      <alignment horizontal="right" vertical="center" wrapText="1"/>
    </xf>
    <xf numFmtId="49" fontId="1" fillId="47" borderId="46" xfId="30" applyNumberFormat="1" applyFill="1" applyBorder="1" applyAlignment="1">
      <alignment horizontal="right" vertical="center" wrapText="1"/>
    </xf>
    <xf numFmtId="49" fontId="1" fillId="47" borderId="26" xfId="30" applyNumberFormat="1" applyFill="1" applyBorder="1" applyAlignment="1">
      <alignment horizontal="right" vertical="center" wrapText="1"/>
    </xf>
    <xf numFmtId="49" fontId="1" fillId="47" borderId="47" xfId="30" applyNumberFormat="1" applyFill="1" applyBorder="1" applyAlignment="1">
      <alignment horizontal="right" vertical="center" wrapText="1"/>
    </xf>
    <xf numFmtId="49" fontId="1" fillId="47" borderId="28" xfId="30" applyNumberFormat="1" applyFill="1" applyBorder="1" applyAlignment="1">
      <alignment horizontal="right" vertical="center" wrapText="1"/>
    </xf>
    <xf numFmtId="49" fontId="1" fillId="43" borderId="46" xfId="30" applyNumberFormat="1" applyFill="1" applyBorder="1" applyAlignment="1">
      <alignment horizontal="right" vertical="center" wrapText="1"/>
    </xf>
    <xf numFmtId="49" fontId="1" fillId="43" borderId="26" xfId="30" applyNumberFormat="1" applyFill="1" applyBorder="1" applyAlignment="1">
      <alignment horizontal="right" vertical="center" wrapText="1"/>
    </xf>
    <xf numFmtId="49" fontId="1" fillId="47" borderId="48" xfId="30" applyNumberFormat="1" applyFill="1" applyBorder="1" applyAlignment="1">
      <alignment horizontal="left" vertical="center"/>
    </xf>
    <xf numFmtId="49" fontId="1" fillId="47" borderId="15" xfId="30" applyNumberFormat="1" applyFill="1" applyBorder="1" applyAlignment="1">
      <alignment horizontal="left" vertical="center"/>
    </xf>
    <xf numFmtId="49" fontId="1" fillId="47" borderId="49" xfId="30" applyNumberFormat="1" applyFill="1" applyBorder="1" applyAlignment="1">
      <alignment horizontal="left" vertical="center"/>
    </xf>
    <xf numFmtId="49" fontId="1" fillId="47" borderId="16" xfId="30" applyNumberFormat="1" applyFill="1" applyBorder="1" applyAlignment="1">
      <alignment horizontal="left" vertical="center"/>
    </xf>
    <xf numFmtId="49" fontId="1" fillId="43" borderId="48" xfId="30" applyNumberFormat="1" applyFill="1" applyBorder="1" applyAlignment="1">
      <alignment horizontal="left" vertical="center"/>
    </xf>
    <xf numFmtId="49" fontId="1" fillId="43" borderId="15" xfId="30" applyNumberFormat="1" applyFill="1" applyBorder="1" applyAlignment="1">
      <alignment horizontal="left" vertical="center"/>
    </xf>
    <xf numFmtId="49" fontId="1" fillId="43" borderId="49" xfId="30" applyNumberFormat="1" applyFill="1" applyBorder="1" applyAlignment="1">
      <alignment horizontal="left" vertical="center"/>
    </xf>
    <xf numFmtId="49" fontId="1" fillId="47" borderId="48" xfId="30" applyNumberFormat="1" applyFill="1" applyBorder="1" applyAlignment="1">
      <alignment horizontal="left" vertical="center" wrapText="1"/>
    </xf>
    <xf numFmtId="49" fontId="1" fillId="47" borderId="15" xfId="30" applyNumberFormat="1" applyFill="1" applyBorder="1" applyAlignment="1">
      <alignment horizontal="left" vertical="center" wrapText="1"/>
    </xf>
    <xf numFmtId="49" fontId="1" fillId="47" borderId="49" xfId="30" applyNumberFormat="1" applyFill="1" applyBorder="1" applyAlignment="1">
      <alignment horizontal="left" vertical="center" wrapText="1"/>
    </xf>
    <xf numFmtId="49" fontId="1" fillId="46" borderId="46" xfId="22" applyNumberFormat="1" applyFill="1" applyBorder="1" applyAlignment="1">
      <alignment horizontal="right" vertical="center" wrapText="1"/>
    </xf>
    <xf numFmtId="49" fontId="1" fillId="46" borderId="26" xfId="22" applyNumberFormat="1" applyFill="1" applyBorder="1" applyAlignment="1">
      <alignment horizontal="right" vertical="center" wrapText="1"/>
    </xf>
    <xf numFmtId="49" fontId="1" fillId="46" borderId="54" xfId="22" applyNumberFormat="1" applyFill="1" applyBorder="1" applyAlignment="1">
      <alignment horizontal="left" vertical="center" wrapText="1"/>
    </xf>
    <xf numFmtId="49" fontId="1" fillId="46" borderId="55" xfId="22" applyNumberFormat="1" applyFill="1" applyBorder="1" applyAlignment="1">
      <alignment horizontal="left" vertical="center" wrapText="1"/>
    </xf>
    <xf numFmtId="49" fontId="1" fillId="46" borderId="23" xfId="22" applyNumberFormat="1" applyFill="1" applyBorder="1" applyAlignment="1">
      <alignment horizontal="left" vertical="center" wrapText="1"/>
    </xf>
    <xf numFmtId="49" fontId="1" fillId="47" borderId="45" xfId="30" applyNumberFormat="1" applyFill="1" applyBorder="1" applyAlignment="1">
      <alignment horizontal="right" vertical="center" wrapText="1"/>
    </xf>
    <xf numFmtId="49" fontId="1" fillId="47" borderId="25" xfId="30" applyNumberFormat="1" applyFill="1" applyBorder="1" applyAlignment="1">
      <alignment horizontal="right" vertical="center" wrapText="1"/>
    </xf>
    <xf numFmtId="49" fontId="1" fillId="46" borderId="14" xfId="22" applyNumberFormat="1" applyFill="1" applyBorder="1" applyAlignment="1">
      <alignment horizontal="center" vertical="center"/>
    </xf>
    <xf numFmtId="49" fontId="1" fillId="46" borderId="15" xfId="22" applyNumberFormat="1" applyFill="1" applyBorder="1" applyAlignment="1">
      <alignment horizontal="center" vertical="center"/>
    </xf>
    <xf numFmtId="49" fontId="1" fillId="46" borderId="16" xfId="22" applyNumberFormat="1" applyFill="1" applyBorder="1" applyAlignment="1">
      <alignment horizontal="center" vertical="center"/>
    </xf>
    <xf numFmtId="49" fontId="1" fillId="47" borderId="14" xfId="30" applyNumberFormat="1" applyFill="1" applyBorder="1" applyAlignment="1">
      <alignment horizontal="center" vertical="center"/>
    </xf>
    <xf numFmtId="49" fontId="1" fillId="47" borderId="15" xfId="30" applyNumberFormat="1" applyFill="1" applyBorder="1" applyAlignment="1">
      <alignment horizontal="center" vertical="center"/>
    </xf>
    <xf numFmtId="49" fontId="1" fillId="47" borderId="49" xfId="30" applyNumberFormat="1" applyFill="1" applyBorder="1" applyAlignment="1">
      <alignment horizontal="center" vertical="center"/>
    </xf>
    <xf numFmtId="49" fontId="1" fillId="46" borderId="45" xfId="22" applyNumberFormat="1" applyFill="1" applyBorder="1" applyAlignment="1">
      <alignment horizontal="right" vertical="center" wrapText="1"/>
    </xf>
    <xf numFmtId="49" fontId="1" fillId="46" borderId="25" xfId="22" applyNumberFormat="1" applyFill="1" applyBorder="1" applyAlignment="1">
      <alignment horizontal="right" vertical="center" wrapText="1"/>
    </xf>
    <xf numFmtId="49" fontId="1" fillId="46" borderId="46" xfId="22" applyNumberFormat="1" applyFill="1" applyBorder="1" applyAlignment="1">
      <alignment horizontal="center" vertical="center" wrapText="1"/>
    </xf>
    <xf numFmtId="49" fontId="1" fillId="46" borderId="26" xfId="22" applyNumberFormat="1" applyFill="1" applyBorder="1" applyAlignment="1">
      <alignment horizontal="center" vertical="center" wrapText="1"/>
    </xf>
    <xf numFmtId="49" fontId="1" fillId="44" borderId="46" xfId="22" applyNumberFormat="1" applyFill="1" applyBorder="1" applyAlignment="1">
      <alignment horizontal="right" vertical="center" wrapText="1"/>
    </xf>
    <xf numFmtId="49" fontId="1" fillId="44" borderId="9" xfId="22" applyNumberFormat="1" applyFill="1" applyBorder="1" applyAlignment="1">
      <alignment horizontal="right" vertical="center" wrapText="1"/>
    </xf>
    <xf numFmtId="49" fontId="1" fillId="44" borderId="26" xfId="22" applyNumberFormat="1" applyFill="1" applyBorder="1" applyAlignment="1">
      <alignment horizontal="right" vertical="center" wrapText="1"/>
    </xf>
    <xf numFmtId="49" fontId="1" fillId="44" borderId="47" xfId="22" applyNumberFormat="1" applyFill="1" applyBorder="1" applyAlignment="1">
      <alignment horizontal="right" vertical="center" wrapText="1"/>
    </xf>
    <xf numFmtId="49" fontId="1" fillId="44" borderId="41" xfId="22" applyNumberFormat="1" applyFill="1" applyBorder="1" applyAlignment="1">
      <alignment horizontal="right" vertical="center" wrapText="1"/>
    </xf>
    <xf numFmtId="49" fontId="1" fillId="44" borderId="28" xfId="22" applyNumberFormat="1" applyFill="1" applyBorder="1" applyAlignment="1">
      <alignment horizontal="right" vertical="center" wrapText="1"/>
    </xf>
    <xf numFmtId="49" fontId="1" fillId="45" borderId="48" xfId="22" applyNumberFormat="1" applyFill="1" applyBorder="1" applyAlignment="1">
      <alignment horizontal="left" vertical="center" wrapText="1"/>
    </xf>
    <xf numFmtId="49" fontId="1" fillId="45" borderId="15" xfId="22" applyNumberFormat="1" applyFill="1" applyBorder="1" applyAlignment="1">
      <alignment horizontal="left" vertical="center" wrapText="1"/>
    </xf>
    <xf numFmtId="49" fontId="1" fillId="45" borderId="49" xfId="22" applyNumberFormat="1" applyFill="1" applyBorder="1" applyAlignment="1">
      <alignment horizontal="left" vertical="center" wrapText="1"/>
    </xf>
    <xf numFmtId="49" fontId="1" fillId="45" borderId="16" xfId="22" applyNumberFormat="1" applyFill="1" applyBorder="1" applyAlignment="1">
      <alignment horizontal="left" vertical="center" wrapText="1"/>
    </xf>
    <xf numFmtId="49" fontId="1" fillId="45" borderId="50" xfId="22" applyNumberFormat="1" applyFill="1" applyBorder="1" applyAlignment="1">
      <alignment horizontal="right" vertical="center" wrapText="1"/>
    </xf>
    <xf numFmtId="49" fontId="1" fillId="45" borderId="51" xfId="22" applyNumberFormat="1" applyFill="1" applyBorder="1" applyAlignment="1">
      <alignment horizontal="right" vertical="center" wrapText="1"/>
    </xf>
    <xf numFmtId="49" fontId="1" fillId="45" borderId="52" xfId="22" applyNumberFormat="1" applyFill="1" applyBorder="1" applyAlignment="1">
      <alignment horizontal="right" vertical="center" wrapText="1"/>
    </xf>
    <xf numFmtId="49" fontId="1" fillId="45" borderId="14" xfId="22" applyNumberFormat="1" applyFill="1" applyBorder="1" applyAlignment="1">
      <alignment horizontal="left" vertical="center"/>
    </xf>
    <xf numFmtId="49" fontId="1" fillId="45" borderId="15" xfId="22" applyNumberFormat="1" applyFill="1" applyBorder="1" applyAlignment="1">
      <alignment horizontal="left" vertical="center"/>
    </xf>
    <xf numFmtId="49" fontId="1" fillId="45" borderId="16" xfId="22" applyNumberFormat="1" applyFill="1" applyBorder="1" applyAlignment="1">
      <alignment horizontal="left" vertical="center"/>
    </xf>
    <xf numFmtId="49" fontId="1" fillId="45" borderId="54" xfId="22" applyNumberFormat="1" applyFill="1" applyBorder="1" applyAlignment="1">
      <alignment horizontal="left" vertical="center" wrapText="1"/>
    </xf>
    <xf numFmtId="49" fontId="1" fillId="45" borderId="23" xfId="22" applyNumberFormat="1" applyFill="1" applyBorder="1" applyAlignment="1">
      <alignment horizontal="left" vertical="center" wrapText="1"/>
    </xf>
    <xf numFmtId="49" fontId="1" fillId="45" borderId="24" xfId="22" applyNumberFormat="1" applyFill="1" applyBorder="1" applyAlignment="1">
      <alignment horizontal="left" vertical="center" wrapText="1"/>
    </xf>
    <xf numFmtId="49" fontId="1" fillId="44" borderId="46" xfId="22" applyNumberFormat="1" applyFill="1" applyBorder="1" applyAlignment="1">
      <alignment horizontal="left" vertical="center" wrapText="1"/>
    </xf>
    <xf numFmtId="49" fontId="1" fillId="44" borderId="9" xfId="22" applyNumberFormat="1" applyFill="1" applyBorder="1" applyAlignment="1">
      <alignment horizontal="left" vertical="center" wrapText="1"/>
    </xf>
    <xf numFmtId="49" fontId="1" fillId="44" borderId="26" xfId="22" applyNumberFormat="1" applyFill="1" applyBorder="1" applyAlignment="1">
      <alignment horizontal="left" vertical="center" wrapText="1"/>
    </xf>
    <xf numFmtId="49" fontId="1" fillId="45" borderId="45" xfId="22" applyNumberFormat="1" applyFill="1" applyBorder="1" applyAlignment="1">
      <alignment horizontal="right" vertical="center" wrapText="1"/>
    </xf>
    <xf numFmtId="49" fontId="1" fillId="45" borderId="25" xfId="22" applyNumberFormat="1" applyFill="1" applyBorder="1" applyAlignment="1">
      <alignment horizontal="right" vertical="center" wrapText="1"/>
    </xf>
    <xf numFmtId="49" fontId="1" fillId="45" borderId="55" xfId="22" applyNumberFormat="1" applyFill="1" applyBorder="1" applyAlignment="1">
      <alignment horizontal="left" vertical="center" wrapText="1"/>
    </xf>
    <xf numFmtId="49" fontId="1" fillId="45" borderId="22" xfId="22" applyNumberFormat="1" applyFill="1" applyBorder="1" applyAlignment="1">
      <alignment horizontal="left" vertical="center" wrapText="1"/>
    </xf>
    <xf numFmtId="49" fontId="19" fillId="40" borderId="36" xfId="0" applyNumberFormat="1" applyFont="1" applyFill="1" applyBorder="1" applyAlignment="1">
      <alignment horizontal="center" vertical="center" wrapText="1"/>
    </xf>
    <xf numFmtId="49" fontId="19" fillId="40" borderId="32" xfId="0" applyNumberFormat="1" applyFont="1" applyFill="1" applyBorder="1" applyAlignment="1">
      <alignment horizontal="center" vertical="center" wrapText="1"/>
    </xf>
    <xf numFmtId="49" fontId="19" fillId="40" borderId="64" xfId="0" applyNumberFormat="1" applyFont="1" applyFill="1" applyBorder="1" applyAlignment="1">
      <alignment horizontal="center" vertical="center" wrapText="1"/>
    </xf>
    <xf numFmtId="49" fontId="1" fillId="44" borderId="110" xfId="22" applyNumberFormat="1" applyFill="1" applyBorder="1" applyAlignment="1">
      <alignment horizontal="right" vertical="center" wrapText="1"/>
    </xf>
    <xf numFmtId="49" fontId="1" fillId="44" borderId="10" xfId="22" applyNumberFormat="1" applyFill="1" applyBorder="1" applyAlignment="1">
      <alignment horizontal="right" vertical="center" wrapText="1"/>
    </xf>
    <xf numFmtId="49" fontId="1" fillId="44" borderId="30" xfId="22" applyNumberFormat="1" applyFill="1" applyBorder="1" applyAlignment="1">
      <alignment horizontal="right" vertical="center" wrapText="1"/>
    </xf>
    <xf numFmtId="49" fontId="19" fillId="2" borderId="17" xfId="0" applyNumberFormat="1" applyFont="1" applyFill="1" applyBorder="1" applyAlignment="1">
      <alignment horizontal="right" vertical="center" wrapText="1"/>
    </xf>
    <xf numFmtId="49" fontId="19" fillId="2" borderId="1" xfId="0" applyNumberFormat="1" applyFont="1" applyFill="1" applyBorder="1" applyAlignment="1">
      <alignment horizontal="right" vertical="center" wrapText="1"/>
    </xf>
    <xf numFmtId="49" fontId="19" fillId="2" borderId="27" xfId="0" applyNumberFormat="1" applyFont="1" applyFill="1" applyBorder="1" applyAlignment="1">
      <alignment horizontal="right" vertical="center" wrapText="1"/>
    </xf>
    <xf numFmtId="0" fontId="19" fillId="2" borderId="17" xfId="0" applyNumberFormat="1" applyFont="1" applyFill="1" applyBorder="1" applyAlignment="1">
      <alignment horizontal="right" vertical="center" wrapText="1"/>
    </xf>
    <xf numFmtId="0" fontId="19" fillId="2" borderId="1" xfId="0" applyNumberFormat="1" applyFont="1" applyFill="1" applyBorder="1" applyAlignment="1">
      <alignment horizontal="right" vertical="center" wrapText="1"/>
    </xf>
    <xf numFmtId="0" fontId="19" fillId="2" borderId="27" xfId="0" applyNumberFormat="1" applyFont="1" applyFill="1" applyBorder="1" applyAlignment="1">
      <alignment horizontal="right" vertical="center" wrapText="1"/>
    </xf>
    <xf numFmtId="49" fontId="19" fillId="2" borderId="54" xfId="0" applyNumberFormat="1" applyFont="1" applyFill="1" applyBorder="1" applyAlignment="1">
      <alignment horizontal="right" vertical="center" wrapText="1"/>
    </xf>
    <xf numFmtId="49" fontId="19" fillId="2" borderId="5" xfId="0" applyNumberFormat="1" applyFont="1" applyFill="1" applyBorder="1" applyAlignment="1">
      <alignment horizontal="right" vertical="center" wrapText="1"/>
    </xf>
    <xf numFmtId="49" fontId="19" fillId="2" borderId="38" xfId="0" applyNumberFormat="1" applyFont="1" applyFill="1" applyBorder="1" applyAlignment="1">
      <alignment horizontal="right" vertical="center" wrapText="1"/>
    </xf>
    <xf numFmtId="49" fontId="19" fillId="40" borderId="35" xfId="0" applyNumberFormat="1" applyFont="1" applyFill="1" applyBorder="1" applyAlignment="1">
      <alignment horizontal="right" vertical="center" wrapText="1"/>
    </xf>
    <xf numFmtId="49" fontId="19" fillId="40" borderId="73" xfId="0" applyNumberFormat="1" applyFont="1" applyFill="1" applyBorder="1" applyAlignment="1">
      <alignment horizontal="right" vertical="center" wrapText="1"/>
    </xf>
    <xf numFmtId="49" fontId="19" fillId="40" borderId="63" xfId="0" applyNumberFormat="1" applyFont="1" applyFill="1" applyBorder="1" applyAlignment="1">
      <alignment horizontal="right" vertical="center" wrapText="1"/>
    </xf>
    <xf numFmtId="49" fontId="19" fillId="40" borderId="17" xfId="0" applyNumberFormat="1" applyFont="1" applyFill="1" applyBorder="1" applyAlignment="1">
      <alignment horizontal="right" vertical="center" wrapText="1"/>
    </xf>
    <xf numFmtId="49" fontId="19" fillId="40" borderId="1" xfId="0" applyNumberFormat="1" applyFont="1" applyFill="1" applyBorder="1" applyAlignment="1">
      <alignment horizontal="right" vertical="center" wrapText="1"/>
    </xf>
    <xf numFmtId="49" fontId="19" fillId="40" borderId="8" xfId="0" applyNumberFormat="1" applyFont="1" applyFill="1" applyBorder="1" applyAlignment="1">
      <alignment horizontal="right" vertical="center" wrapText="1"/>
    </xf>
    <xf numFmtId="49" fontId="19" fillId="40" borderId="17" xfId="0" applyNumberFormat="1" applyFont="1" applyFill="1" applyBorder="1" applyAlignment="1">
      <alignment horizontal="center" vertical="center" wrapText="1"/>
    </xf>
    <xf numFmtId="49" fontId="19" fillId="40" borderId="1" xfId="0" applyNumberFormat="1" applyFont="1" applyFill="1" applyBorder="1" applyAlignment="1">
      <alignment horizontal="center" vertical="center" wrapText="1"/>
    </xf>
    <xf numFmtId="49" fontId="19" fillId="40" borderId="8" xfId="0" applyNumberFormat="1" applyFont="1" applyFill="1" applyBorder="1" applyAlignment="1">
      <alignment horizontal="center" vertical="center" wrapText="1"/>
    </xf>
    <xf numFmtId="49" fontId="19" fillId="2" borderId="46" xfId="0" applyNumberFormat="1" applyFont="1" applyFill="1" applyBorder="1" applyAlignment="1">
      <alignment horizontal="right" vertical="center" wrapText="1"/>
    </xf>
    <xf numFmtId="49" fontId="19" fillId="2" borderId="9" xfId="0" applyNumberFormat="1" applyFont="1" applyFill="1" applyBorder="1" applyAlignment="1">
      <alignment horizontal="right" vertical="center" wrapText="1"/>
    </xf>
    <xf numFmtId="49" fontId="19" fillId="2" borderId="26" xfId="0" applyNumberFormat="1" applyFont="1" applyFill="1" applyBorder="1" applyAlignment="1">
      <alignment horizontal="right" vertical="center" wrapText="1"/>
    </xf>
    <xf numFmtId="49" fontId="1" fillId="44" borderId="14" xfId="22" applyNumberFormat="1" applyFill="1" applyBorder="1" applyAlignment="1">
      <alignment horizontal="center" vertical="center"/>
    </xf>
    <xf numFmtId="49" fontId="1" fillId="44" borderId="15" xfId="22" applyNumberFormat="1" applyFill="1" applyBorder="1" applyAlignment="1">
      <alignment horizontal="center" vertical="center"/>
    </xf>
    <xf numFmtId="49" fontId="1" fillId="44" borderId="16" xfId="22" applyNumberFormat="1" applyFill="1" applyBorder="1" applyAlignment="1">
      <alignment horizontal="center" vertical="center"/>
    </xf>
    <xf numFmtId="49" fontId="1" fillId="45" borderId="14" xfId="22" applyNumberFormat="1" applyFill="1" applyBorder="1" applyAlignment="1">
      <alignment horizontal="center" vertical="center"/>
    </xf>
    <xf numFmtId="49" fontId="1" fillId="45" borderId="15" xfId="22" applyNumberFormat="1" applyFill="1" applyBorder="1" applyAlignment="1">
      <alignment horizontal="center" vertical="center"/>
    </xf>
    <xf numFmtId="49" fontId="1" fillId="45" borderId="16" xfId="22" applyNumberFormat="1" applyFill="1" applyBorder="1" applyAlignment="1">
      <alignment horizontal="center" vertical="center"/>
    </xf>
    <xf numFmtId="49" fontId="1" fillId="47" borderId="16" xfId="30" applyNumberFormat="1" applyFill="1" applyBorder="1" applyAlignment="1">
      <alignment horizontal="center" vertical="center"/>
    </xf>
    <xf numFmtId="49" fontId="20" fillId="48" borderId="15" xfId="30" applyNumberFormat="1" applyFont="1" applyFill="1" applyBorder="1" applyAlignment="1">
      <alignment horizontal="center" vertical="center"/>
    </xf>
    <xf numFmtId="49" fontId="20" fillId="48" borderId="16" xfId="30" applyNumberFormat="1" applyFont="1" applyFill="1" applyBorder="1" applyAlignment="1">
      <alignment horizontal="center" vertical="center"/>
    </xf>
    <xf numFmtId="49" fontId="22" fillId="6" borderId="14" xfId="0" applyNumberFormat="1" applyFont="1" applyFill="1" applyBorder="1" applyAlignment="1">
      <alignment horizontal="center" vertical="center"/>
    </xf>
    <xf numFmtId="49" fontId="22" fillId="6" borderId="15" xfId="0" applyNumberFormat="1" applyFont="1" applyFill="1" applyBorder="1" applyAlignment="1">
      <alignment horizontal="center" vertical="center"/>
    </xf>
    <xf numFmtId="49" fontId="22" fillId="6" borderId="16" xfId="0" applyNumberFormat="1" applyFont="1" applyFill="1" applyBorder="1" applyAlignment="1">
      <alignment horizontal="center" vertical="center"/>
    </xf>
    <xf numFmtId="49" fontId="19" fillId="2" borderId="50" xfId="0" applyNumberFormat="1" applyFont="1" applyFill="1" applyBorder="1" applyAlignment="1">
      <alignment horizontal="center" vertical="center" wrapText="1"/>
    </xf>
    <xf numFmtId="49" fontId="19" fillId="2" borderId="51" xfId="0" applyNumberFormat="1" applyFont="1" applyFill="1" applyBorder="1" applyAlignment="1">
      <alignment horizontal="center" vertical="center" wrapText="1"/>
    </xf>
    <xf numFmtId="49" fontId="19" fillId="2" borderId="52" xfId="0" applyNumberFormat="1" applyFont="1" applyFill="1" applyBorder="1" applyAlignment="1">
      <alignment horizontal="center" vertical="center" wrapText="1"/>
    </xf>
    <xf numFmtId="49" fontId="19" fillId="2" borderId="45" xfId="0" applyNumberFormat="1" applyFont="1" applyFill="1" applyBorder="1" applyAlignment="1">
      <alignment horizontal="center" vertical="center"/>
    </xf>
    <xf numFmtId="49" fontId="19" fillId="2" borderId="44" xfId="0" applyNumberFormat="1" applyFont="1" applyFill="1" applyBorder="1" applyAlignment="1">
      <alignment horizontal="center" vertical="center"/>
    </xf>
    <xf numFmtId="49" fontId="19" fillId="2" borderId="25" xfId="0" applyNumberFormat="1" applyFont="1" applyFill="1" applyBorder="1" applyAlignment="1">
      <alignment horizontal="center" vertical="center"/>
    </xf>
    <xf numFmtId="49" fontId="19" fillId="2" borderId="45" xfId="0" applyNumberFormat="1" applyFont="1" applyFill="1" applyBorder="1" applyAlignment="1">
      <alignment horizontal="center" vertical="center" wrapText="1"/>
    </xf>
    <xf numFmtId="49" fontId="19" fillId="2" borderId="44" xfId="0" applyNumberFormat="1" applyFont="1" applyFill="1" applyBorder="1" applyAlignment="1">
      <alignment horizontal="center" vertical="center" wrapText="1"/>
    </xf>
    <xf numFmtId="49" fontId="19" fillId="2" borderId="25" xfId="0" applyNumberFormat="1" applyFont="1" applyFill="1" applyBorder="1" applyAlignment="1">
      <alignment horizontal="center" vertical="center" wrapText="1"/>
    </xf>
    <xf numFmtId="49" fontId="19" fillId="2" borderId="46" xfId="0" applyNumberFormat="1" applyFont="1" applyFill="1" applyBorder="1" applyAlignment="1">
      <alignment horizontal="left" vertical="center"/>
    </xf>
    <xf numFmtId="49" fontId="19" fillId="2" borderId="9" xfId="0" applyNumberFormat="1" applyFont="1" applyFill="1" applyBorder="1" applyAlignment="1">
      <alignment horizontal="left" vertical="center"/>
    </xf>
    <xf numFmtId="49" fontId="19" fillId="2" borderId="26" xfId="0" applyNumberFormat="1" applyFont="1" applyFill="1" applyBorder="1" applyAlignment="1">
      <alignment horizontal="left" vertical="center"/>
    </xf>
    <xf numFmtId="49" fontId="19" fillId="2" borderId="46" xfId="0" applyNumberFormat="1" applyFont="1" applyFill="1" applyBorder="1" applyAlignment="1">
      <alignment horizontal="center" vertical="center" wrapText="1"/>
    </xf>
    <xf numFmtId="49" fontId="19" fillId="2" borderId="7" xfId="0" applyNumberFormat="1" applyFont="1" applyFill="1" applyBorder="1" applyAlignment="1">
      <alignment horizontal="center" vertical="center" wrapText="1"/>
    </xf>
    <xf numFmtId="0" fontId="19" fillId="2" borderId="46" xfId="0" applyNumberFormat="1" applyFont="1" applyFill="1" applyBorder="1" applyAlignment="1">
      <alignment horizontal="center" vertical="center" wrapText="1"/>
    </xf>
    <xf numFmtId="0" fontId="19" fillId="2" borderId="7" xfId="0" applyNumberFormat="1" applyFont="1" applyFill="1" applyBorder="1" applyAlignment="1">
      <alignment horizontal="center" vertical="center" wrapText="1"/>
    </xf>
    <xf numFmtId="49" fontId="19" fillId="2" borderId="47" xfId="0" applyNumberFormat="1" applyFont="1" applyFill="1" applyBorder="1" applyAlignment="1">
      <alignment horizontal="center" vertical="center" wrapText="1"/>
    </xf>
    <xf numFmtId="49" fontId="19" fillId="2" borderId="29" xfId="0" applyNumberFormat="1" applyFont="1" applyFill="1" applyBorder="1" applyAlignment="1">
      <alignment horizontal="center" vertical="center" wrapText="1"/>
    </xf>
    <xf numFmtId="49" fontId="14" fillId="4" borderId="9" xfId="0" applyNumberFormat="1" applyFont="1" applyFill="1" applyBorder="1" applyAlignment="1">
      <alignment horizontal="right" vertical="center" wrapText="1"/>
    </xf>
    <xf numFmtId="49" fontId="14" fillId="52" borderId="9" xfId="0" applyNumberFormat="1" applyFont="1" applyFill="1" applyBorder="1" applyAlignment="1">
      <alignment horizontal="right" vertical="center" wrapText="1"/>
    </xf>
    <xf numFmtId="49" fontId="14" fillId="52" borderId="41" xfId="0" applyNumberFormat="1" applyFont="1" applyFill="1" applyBorder="1" applyAlignment="1">
      <alignment horizontal="right" vertical="center" wrapText="1"/>
    </xf>
    <xf numFmtId="49" fontId="14" fillId="55" borderId="40" xfId="0" applyNumberFormat="1" applyFont="1" applyFill="1" applyBorder="1" applyAlignment="1">
      <alignment horizontal="right" vertical="center" wrapText="1"/>
    </xf>
    <xf numFmtId="49" fontId="14" fillId="55" borderId="41" xfId="0" applyNumberFormat="1" applyFont="1" applyFill="1" applyBorder="1" applyAlignment="1">
      <alignment horizontal="right" vertical="center" wrapText="1"/>
    </xf>
    <xf numFmtId="49" fontId="14" fillId="4" borderId="44" xfId="0" applyNumberFormat="1" applyFont="1" applyFill="1" applyBorder="1" applyAlignment="1">
      <alignment horizontal="right" vertical="center" wrapText="1"/>
    </xf>
    <xf numFmtId="49" fontId="14" fillId="41" borderId="11" xfId="0" applyNumberFormat="1" applyFont="1" applyFill="1" applyBorder="1" applyAlignment="1">
      <alignment horizontal="right" vertical="center" wrapText="1"/>
    </xf>
    <xf numFmtId="49" fontId="14" fillId="41" borderId="43" xfId="0" applyNumberFormat="1" applyFont="1" applyFill="1" applyBorder="1" applyAlignment="1">
      <alignment horizontal="right" vertical="center" wrapText="1"/>
    </xf>
    <xf numFmtId="164" fontId="14" fillId="41" borderId="41" xfId="2" applyNumberFormat="1" applyFont="1" applyFill="1" applyBorder="1" applyAlignment="1">
      <alignment horizontal="right" vertical="center" wrapText="1"/>
    </xf>
    <xf numFmtId="164" fontId="14" fillId="41" borderId="28" xfId="2" applyNumberFormat="1" applyFont="1" applyFill="1" applyBorder="1" applyAlignment="1">
      <alignment horizontal="right" vertical="center" wrapText="1"/>
    </xf>
    <xf numFmtId="49" fontId="47" fillId="53" borderId="40" xfId="0" applyNumberFormat="1" applyFont="1" applyFill="1" applyBorder="1" applyAlignment="1">
      <alignment horizontal="right" vertical="center" wrapText="1"/>
    </xf>
    <xf numFmtId="49" fontId="47" fillId="53" borderId="42" xfId="0" applyNumberFormat="1" applyFont="1" applyFill="1" applyBorder="1" applyAlignment="1">
      <alignment horizontal="right" vertical="center" wrapText="1"/>
    </xf>
    <xf numFmtId="49" fontId="47" fillId="53" borderId="11" xfId="0" applyNumberFormat="1" applyFont="1" applyFill="1" applyBorder="1" applyAlignment="1">
      <alignment horizontal="right" vertical="center" wrapText="1"/>
    </xf>
    <xf numFmtId="49" fontId="47" fillId="53" borderId="43" xfId="0" applyNumberFormat="1" applyFont="1" applyFill="1" applyBorder="1" applyAlignment="1">
      <alignment horizontal="right" vertical="center" wrapText="1"/>
    </xf>
    <xf numFmtId="49" fontId="47" fillId="53" borderId="41" xfId="0" applyNumberFormat="1" applyFont="1" applyFill="1" applyBorder="1" applyAlignment="1">
      <alignment horizontal="right" vertical="center" wrapText="1"/>
    </xf>
    <xf numFmtId="49" fontId="47" fillId="53" borderId="28" xfId="0" applyNumberFormat="1" applyFont="1" applyFill="1" applyBorder="1" applyAlignment="1">
      <alignment horizontal="right" vertical="center" wrapText="1"/>
    </xf>
    <xf numFmtId="49" fontId="47" fillId="53" borderId="35" xfId="41" applyNumberFormat="1" applyFont="1" applyFill="1" applyBorder="1" applyAlignment="1">
      <alignment horizontal="right" vertical="center" wrapText="1"/>
    </xf>
    <xf numFmtId="49" fontId="47" fillId="53" borderId="37" xfId="41" applyNumberFormat="1" applyFont="1" applyFill="1" applyBorder="1" applyAlignment="1">
      <alignment horizontal="right" vertical="center" wrapText="1"/>
    </xf>
    <xf numFmtId="49" fontId="47" fillId="53" borderId="7" xfId="41" applyNumberFormat="1" applyFont="1" applyFill="1" applyBorder="1" applyAlignment="1">
      <alignment horizontal="right" vertical="center" wrapText="1"/>
    </xf>
    <xf numFmtId="49" fontId="47" fillId="53" borderId="27" xfId="41" applyNumberFormat="1" applyFont="1" applyFill="1" applyBorder="1" applyAlignment="1">
      <alignment horizontal="right" vertical="center" wrapText="1"/>
    </xf>
    <xf numFmtId="49" fontId="47" fillId="53" borderId="2" xfId="41" applyNumberFormat="1" applyFont="1" applyFill="1" applyBorder="1" applyAlignment="1">
      <alignment horizontal="right" vertical="center" wrapText="1"/>
    </xf>
    <xf numFmtId="49" fontId="47" fillId="53" borderId="38" xfId="41" applyNumberFormat="1" applyFont="1" applyFill="1" applyBorder="1" applyAlignment="1">
      <alignment horizontal="right" vertical="center" wrapText="1"/>
    </xf>
    <xf numFmtId="49" fontId="22" fillId="54" borderId="29" xfId="41" applyNumberFormat="1" applyFont="1" applyFill="1" applyBorder="1" applyAlignment="1">
      <alignment horizontal="right" vertical="center" wrapText="1"/>
    </xf>
    <xf numFmtId="49" fontId="22" fillId="54" borderId="34" xfId="41" applyNumberFormat="1" applyFont="1" applyFill="1" applyBorder="1" applyAlignment="1">
      <alignment horizontal="right" vertical="center" wrapText="1"/>
    </xf>
    <xf numFmtId="49" fontId="14" fillId="55" borderId="42" xfId="0" applyNumberFormat="1" applyFont="1" applyFill="1" applyBorder="1" applyAlignment="1">
      <alignment horizontal="right" vertical="center" wrapText="1"/>
    </xf>
    <xf numFmtId="49" fontId="14" fillId="55" borderId="11" xfId="0" applyNumberFormat="1" applyFont="1" applyFill="1" applyBorder="1" applyAlignment="1">
      <alignment horizontal="right" vertical="center" wrapText="1"/>
    </xf>
    <xf numFmtId="49" fontId="14" fillId="55" borderId="43" xfId="0" applyNumberFormat="1" applyFont="1" applyFill="1" applyBorder="1" applyAlignment="1">
      <alignment horizontal="right" vertical="center" wrapText="1"/>
    </xf>
    <xf numFmtId="49" fontId="14" fillId="35" borderId="31" xfId="41" applyNumberFormat="1" applyFont="1" applyBorder="1" applyAlignment="1">
      <alignment horizontal="right" vertical="center" wrapText="1"/>
    </xf>
    <xf numFmtId="49" fontId="14" fillId="35" borderId="37" xfId="41" applyNumberFormat="1" applyFont="1" applyBorder="1" applyAlignment="1">
      <alignment horizontal="right" vertical="center" wrapText="1"/>
    </xf>
    <xf numFmtId="49" fontId="14" fillId="35" borderId="7" xfId="41" applyNumberFormat="1" applyFont="1" applyBorder="1" applyAlignment="1">
      <alignment horizontal="right" vertical="center" wrapText="1"/>
    </xf>
    <xf numFmtId="49" fontId="14" fillId="35" borderId="27" xfId="41" applyNumberFormat="1" applyFont="1" applyBorder="1" applyAlignment="1">
      <alignment horizontal="right" vertical="center" wrapText="1"/>
    </xf>
    <xf numFmtId="49" fontId="14" fillId="35" borderId="29" xfId="41" applyNumberFormat="1" applyFont="1" applyBorder="1" applyAlignment="1">
      <alignment horizontal="right" vertical="center" wrapText="1"/>
    </xf>
    <xf numFmtId="49" fontId="14" fillId="35" borderId="34" xfId="41" applyNumberFormat="1" applyFont="1" applyBorder="1" applyAlignment="1">
      <alignment horizontal="right" vertical="center" wrapText="1"/>
    </xf>
    <xf numFmtId="49" fontId="14" fillId="51" borderId="31" xfId="41" applyNumberFormat="1" applyFont="1" applyFill="1" applyBorder="1" applyAlignment="1">
      <alignment horizontal="right" vertical="center" wrapText="1"/>
    </xf>
    <xf numFmtId="49" fontId="14" fillId="51" borderId="37" xfId="41" applyNumberFormat="1" applyFont="1" applyFill="1" applyBorder="1" applyAlignment="1">
      <alignment horizontal="right" vertical="center" wrapText="1"/>
    </xf>
    <xf numFmtId="49" fontId="14" fillId="51" borderId="7" xfId="41" applyNumberFormat="1" applyFont="1" applyFill="1" applyBorder="1" applyAlignment="1">
      <alignment horizontal="right" vertical="center" wrapText="1"/>
    </xf>
    <xf numFmtId="49" fontId="14" fillId="51" borderId="27" xfId="41" applyNumberFormat="1" applyFont="1" applyFill="1" applyBorder="1" applyAlignment="1">
      <alignment horizontal="right" vertical="center" wrapText="1"/>
    </xf>
    <xf numFmtId="49" fontId="14" fillId="51" borderId="29" xfId="41" applyNumberFormat="1" applyFont="1" applyFill="1" applyBorder="1" applyAlignment="1">
      <alignment horizontal="right" vertical="center" wrapText="1"/>
    </xf>
    <xf numFmtId="49" fontId="14" fillId="51" borderId="34" xfId="41" applyNumberFormat="1" applyFont="1" applyFill="1" applyBorder="1" applyAlignment="1">
      <alignment horizontal="right" vertical="center" wrapText="1"/>
    </xf>
    <xf numFmtId="49" fontId="14" fillId="51" borderId="2" xfId="41" applyNumberFormat="1" applyFont="1" applyFill="1" applyBorder="1" applyAlignment="1">
      <alignment horizontal="right" vertical="center" wrapText="1"/>
    </xf>
    <xf numFmtId="49" fontId="14" fillId="51" borderId="38" xfId="41" applyNumberFormat="1" applyFont="1" applyFill="1" applyBorder="1" applyAlignment="1">
      <alignment horizontal="right" vertical="center" wrapText="1"/>
    </xf>
    <xf numFmtId="49" fontId="14" fillId="55" borderId="35" xfId="41" applyNumberFormat="1" applyFont="1" applyFill="1" applyBorder="1" applyAlignment="1">
      <alignment horizontal="right" vertical="center" wrapText="1"/>
    </xf>
    <xf numFmtId="49" fontId="14" fillId="55" borderId="37" xfId="41" applyNumberFormat="1" applyFont="1" applyFill="1" applyBorder="1" applyAlignment="1">
      <alignment horizontal="right" vertical="center" wrapText="1"/>
    </xf>
    <xf numFmtId="49" fontId="14" fillId="55" borderId="7" xfId="41" applyNumberFormat="1" applyFont="1" applyFill="1" applyBorder="1" applyAlignment="1">
      <alignment horizontal="right" vertical="center" wrapText="1"/>
    </xf>
    <xf numFmtId="49" fontId="14" fillId="55" borderId="27" xfId="41" applyNumberFormat="1" applyFont="1" applyFill="1" applyBorder="1" applyAlignment="1">
      <alignment horizontal="right" vertical="center" wrapText="1"/>
    </xf>
    <xf numFmtId="49" fontId="14" fillId="55" borderId="29" xfId="41" applyNumberFormat="1" applyFont="1" applyFill="1" applyBorder="1" applyAlignment="1">
      <alignment horizontal="right" vertical="center" wrapText="1"/>
    </xf>
    <xf numFmtId="49" fontId="14" fillId="55" borderId="34" xfId="41" applyNumberFormat="1" applyFont="1" applyFill="1" applyBorder="1" applyAlignment="1">
      <alignment horizontal="right" vertical="center" wrapText="1"/>
    </xf>
    <xf numFmtId="49" fontId="14" fillId="50" borderId="31" xfId="35" applyNumberFormat="1" applyFont="1" applyFill="1" applyBorder="1" applyAlignment="1">
      <alignment horizontal="right" vertical="center" wrapText="1"/>
    </xf>
    <xf numFmtId="49" fontId="14" fillId="50" borderId="37" xfId="35" applyNumberFormat="1" applyFont="1" applyFill="1" applyBorder="1" applyAlignment="1">
      <alignment horizontal="right" vertical="center" wrapText="1"/>
    </xf>
    <xf numFmtId="49" fontId="14" fillId="50" borderId="7" xfId="35" applyNumberFormat="1" applyFont="1" applyFill="1" applyBorder="1" applyAlignment="1">
      <alignment horizontal="right" vertical="center" wrapText="1"/>
    </xf>
    <xf numFmtId="49" fontId="14" fillId="50" borderId="27" xfId="35" applyNumberFormat="1" applyFont="1" applyFill="1" applyBorder="1" applyAlignment="1">
      <alignment horizontal="right" vertical="center" wrapText="1"/>
    </xf>
    <xf numFmtId="49" fontId="14" fillId="50" borderId="29" xfId="35" applyNumberFormat="1" applyFont="1" applyFill="1" applyBorder="1" applyAlignment="1">
      <alignment horizontal="right" vertical="center" wrapText="1"/>
    </xf>
    <xf numFmtId="49" fontId="14" fillId="50" borderId="34" xfId="35" applyNumberFormat="1" applyFont="1" applyFill="1" applyBorder="1" applyAlignment="1">
      <alignment horizontal="right" vertical="center" wrapText="1"/>
    </xf>
    <xf numFmtId="49" fontId="47" fillId="53" borderId="35" xfId="35" applyNumberFormat="1" applyFont="1" applyFill="1" applyBorder="1" applyAlignment="1">
      <alignment horizontal="right" vertical="center" wrapText="1"/>
    </xf>
    <xf numFmtId="49" fontId="47" fillId="53" borderId="37" xfId="35" applyNumberFormat="1" applyFont="1" applyFill="1" applyBorder="1" applyAlignment="1">
      <alignment horizontal="right" vertical="center" wrapText="1"/>
    </xf>
    <xf numFmtId="49" fontId="47" fillId="53" borderId="7" xfId="35" applyNumberFormat="1" applyFont="1" applyFill="1" applyBorder="1" applyAlignment="1">
      <alignment horizontal="right" vertical="center" wrapText="1"/>
    </xf>
    <xf numFmtId="49" fontId="47" fillId="53" borderId="27" xfId="35" applyNumberFormat="1" applyFont="1" applyFill="1" applyBorder="1" applyAlignment="1">
      <alignment horizontal="right" vertical="center" wrapText="1"/>
    </xf>
    <xf numFmtId="49" fontId="47" fillId="53" borderId="29" xfId="35" applyNumberFormat="1" applyFont="1" applyFill="1" applyBorder="1" applyAlignment="1">
      <alignment horizontal="right" vertical="center" wrapText="1"/>
    </xf>
    <xf numFmtId="49" fontId="47" fillId="53" borderId="34" xfId="35" applyNumberFormat="1" applyFont="1" applyFill="1" applyBorder="1" applyAlignment="1">
      <alignment horizontal="right" vertical="center" wrapText="1"/>
    </xf>
    <xf numFmtId="49" fontId="14" fillId="29" borderId="4" xfId="35" applyNumberFormat="1" applyFont="1" applyBorder="1" applyAlignment="1">
      <alignment horizontal="right" vertical="center" wrapText="1"/>
    </xf>
    <xf numFmtId="49" fontId="14" fillId="29" borderId="33" xfId="35" applyNumberFormat="1" applyFont="1" applyBorder="1" applyAlignment="1">
      <alignment horizontal="right" vertical="center" wrapText="1"/>
    </xf>
    <xf numFmtId="49" fontId="14" fillId="55" borderId="31" xfId="35" applyNumberFormat="1" applyFont="1" applyFill="1" applyBorder="1" applyAlignment="1">
      <alignment horizontal="right" vertical="center" wrapText="1"/>
    </xf>
    <xf numFmtId="49" fontId="14" fillId="55" borderId="37" xfId="35" applyNumberFormat="1" applyFont="1" applyFill="1" applyBorder="1" applyAlignment="1">
      <alignment horizontal="right" vertical="center" wrapText="1"/>
    </xf>
    <xf numFmtId="49" fontId="14" fillId="55" borderId="7" xfId="35" applyNumberFormat="1" applyFont="1" applyFill="1" applyBorder="1" applyAlignment="1">
      <alignment horizontal="right" vertical="center" wrapText="1"/>
    </xf>
    <xf numFmtId="49" fontId="14" fillId="55" borderId="27" xfId="35" applyNumberFormat="1" applyFont="1" applyFill="1" applyBorder="1" applyAlignment="1">
      <alignment horizontal="right" vertical="center" wrapText="1"/>
    </xf>
    <xf numFmtId="49" fontId="14" fillId="55" borderId="29" xfId="35" applyNumberFormat="1" applyFont="1" applyFill="1" applyBorder="1" applyAlignment="1">
      <alignment horizontal="right" vertical="center" wrapText="1"/>
    </xf>
    <xf numFmtId="49" fontId="14" fillId="55" borderId="34" xfId="35" applyNumberFormat="1" applyFont="1" applyFill="1" applyBorder="1" applyAlignment="1">
      <alignment horizontal="right" vertical="center" wrapText="1"/>
    </xf>
    <xf numFmtId="49" fontId="19" fillId="48" borderId="55" xfId="30" applyNumberFormat="1" applyFont="1" applyFill="1" applyBorder="1" applyAlignment="1">
      <alignment horizontal="left" vertical="center" wrapText="1"/>
    </xf>
    <xf numFmtId="49" fontId="19" fillId="49" borderId="26" xfId="30" applyNumberFormat="1" applyFont="1" applyFill="1" applyBorder="1" applyAlignment="1">
      <alignment horizontal="right" vertical="center" wrapText="1"/>
    </xf>
    <xf numFmtId="49" fontId="19" fillId="48" borderId="23" xfId="30" applyNumberFormat="1" applyFont="1" applyFill="1" applyBorder="1" applyAlignment="1">
      <alignment horizontal="left" vertical="center" wrapText="1"/>
    </xf>
    <xf numFmtId="49" fontId="19" fillId="0" borderId="46" xfId="30" applyNumberFormat="1" applyFont="1" applyFill="1" applyBorder="1" applyAlignment="1">
      <alignment horizontal="center" vertical="center" wrapText="1"/>
    </xf>
    <xf numFmtId="49" fontId="19" fillId="0" borderId="7" xfId="30" applyNumberFormat="1" applyFont="1" applyFill="1" applyBorder="1" applyAlignment="1">
      <alignment horizontal="center" vertical="center" wrapText="1"/>
    </xf>
    <xf numFmtId="49" fontId="19" fillId="40" borderId="45" xfId="0" applyNumberFormat="1" applyFont="1" applyFill="1" applyBorder="1" applyAlignment="1">
      <alignment horizontal="center" vertical="center" wrapText="1"/>
    </xf>
    <xf numFmtId="49" fontId="19" fillId="40" borderId="31" xfId="0" applyNumberFormat="1" applyFont="1" applyFill="1" applyBorder="1" applyAlignment="1">
      <alignment horizontal="center" vertical="center" wrapText="1"/>
    </xf>
    <xf numFmtId="49" fontId="19" fillId="40" borderId="46" xfId="0" applyNumberFormat="1" applyFont="1" applyFill="1" applyBorder="1" applyAlignment="1">
      <alignment horizontal="center" vertical="center" wrapText="1"/>
    </xf>
    <xf numFmtId="49" fontId="19" fillId="40" borderId="7" xfId="0" applyNumberFormat="1" applyFont="1" applyFill="1" applyBorder="1" applyAlignment="1">
      <alignment horizontal="center" vertical="center" wrapText="1"/>
    </xf>
    <xf numFmtId="49" fontId="19" fillId="40" borderId="47" xfId="0" applyNumberFormat="1" applyFont="1" applyFill="1" applyBorder="1" applyAlignment="1">
      <alignment horizontal="center" vertical="center" wrapText="1"/>
    </xf>
    <xf numFmtId="49" fontId="19" fillId="40" borderId="29" xfId="0" applyNumberFormat="1" applyFont="1" applyFill="1" applyBorder="1" applyAlignment="1">
      <alignment horizontal="center" vertical="center" wrapText="1"/>
    </xf>
    <xf numFmtId="49" fontId="1" fillId="44" borderId="45" xfId="22" applyNumberFormat="1" applyFill="1" applyBorder="1" applyAlignment="1">
      <alignment horizontal="right" vertical="center" wrapText="1"/>
    </xf>
    <xf numFmtId="49" fontId="1" fillId="44" borderId="44" xfId="22" applyNumberFormat="1" applyFill="1" applyBorder="1" applyAlignment="1">
      <alignment horizontal="right" vertical="center" wrapText="1"/>
    </xf>
    <xf numFmtId="49" fontId="1" fillId="44" borderId="25" xfId="22" applyNumberFormat="1" applyFill="1" applyBorder="1" applyAlignment="1">
      <alignment horizontal="right" vertical="center" wrapText="1"/>
    </xf>
    <xf numFmtId="49" fontId="19" fillId="40" borderId="50" xfId="0" applyNumberFormat="1" applyFont="1" applyFill="1" applyBorder="1" applyAlignment="1">
      <alignment horizontal="center" vertical="center" wrapText="1"/>
    </xf>
    <xf numFmtId="49" fontId="19" fillId="40" borderId="136" xfId="0" applyNumberFormat="1" applyFont="1" applyFill="1" applyBorder="1" applyAlignment="1">
      <alignment horizontal="center" vertical="center" wrapText="1"/>
    </xf>
    <xf numFmtId="0" fontId="20" fillId="0" borderId="0" xfId="0" applyFont="1" applyBorder="1" applyAlignment="1">
      <alignment horizontal="left"/>
    </xf>
    <xf numFmtId="0" fontId="43" fillId="8" borderId="0" xfId="0" applyFont="1" applyFill="1"/>
    <xf numFmtId="0" fontId="42" fillId="66" borderId="0" xfId="0" applyFont="1" applyFill="1" applyBorder="1" applyAlignment="1">
      <alignment horizontal="center" vertical="center"/>
    </xf>
    <xf numFmtId="0" fontId="43" fillId="0" borderId="0" xfId="0" applyFont="1" applyAlignment="1">
      <alignment horizontal="center" vertical="top" wrapText="1"/>
    </xf>
    <xf numFmtId="0" fontId="42" fillId="56" borderId="0" xfId="0" applyFont="1" applyFill="1" applyAlignment="1">
      <alignment horizontal="center" vertical="center"/>
    </xf>
    <xf numFmtId="0" fontId="42" fillId="66" borderId="0" xfId="0" applyFont="1" applyFill="1" applyAlignment="1">
      <alignment horizontal="center" vertical="center"/>
    </xf>
    <xf numFmtId="0" fontId="43" fillId="0" borderId="42" xfId="0" applyFont="1" applyBorder="1" applyAlignment="1">
      <alignment horizontal="right"/>
    </xf>
    <xf numFmtId="0" fontId="43" fillId="0" borderId="57" xfId="0" applyFont="1" applyBorder="1" applyAlignment="1">
      <alignment horizontal="right"/>
    </xf>
    <xf numFmtId="0" fontId="43" fillId="0" borderId="139" xfId="0" applyFont="1" applyBorder="1" applyAlignment="1">
      <alignment horizontal="right"/>
    </xf>
    <xf numFmtId="0" fontId="43" fillId="0" borderId="140" xfId="0" applyFont="1" applyBorder="1" applyAlignment="1">
      <alignment horizontal="right"/>
    </xf>
    <xf numFmtId="0" fontId="43" fillId="0" borderId="40" xfId="0" applyFont="1" applyBorder="1" applyAlignment="1">
      <alignment horizontal="right"/>
    </xf>
    <xf numFmtId="0" fontId="43" fillId="0" borderId="0" xfId="0" applyFont="1" applyBorder="1" applyAlignment="1">
      <alignment horizontal="right"/>
    </xf>
    <xf numFmtId="0" fontId="43" fillId="0" borderId="14" xfId="0" applyFont="1" applyBorder="1" applyAlignment="1">
      <alignment horizontal="center"/>
    </xf>
    <xf numFmtId="0" fontId="43" fillId="0" borderId="15" xfId="0" applyFont="1" applyBorder="1" applyAlignment="1">
      <alignment horizontal="center"/>
    </xf>
    <xf numFmtId="0" fontId="42" fillId="56" borderId="0" xfId="0" applyFont="1" applyFill="1" applyBorder="1" applyAlignment="1">
      <alignment horizontal="center" vertical="center"/>
    </xf>
    <xf numFmtId="0" fontId="97" fillId="41" borderId="0" xfId="0" applyFont="1" applyFill="1" applyAlignment="1">
      <alignment horizontal="center"/>
    </xf>
    <xf numFmtId="0" fontId="17" fillId="64" borderId="0" xfId="0" applyFont="1" applyFill="1" applyAlignment="1">
      <alignment horizontal="center"/>
    </xf>
    <xf numFmtId="0" fontId="17" fillId="65" borderId="0" xfId="0" applyFont="1" applyFill="1" applyAlignment="1">
      <alignment horizontal="center"/>
    </xf>
    <xf numFmtId="0" fontId="17" fillId="56" borderId="0" xfId="0" applyFont="1" applyFill="1" applyAlignment="1">
      <alignment horizontal="center"/>
    </xf>
    <xf numFmtId="0" fontId="17" fillId="63" borderId="0" xfId="0" applyFont="1" applyFill="1" applyAlignment="1">
      <alignment horizontal="center"/>
    </xf>
    <xf numFmtId="0" fontId="94" fillId="0" borderId="5" xfId="0" applyFont="1" applyFill="1" applyBorder="1" applyAlignment="1">
      <alignment horizontal="center" vertical="center"/>
    </xf>
    <xf numFmtId="0" fontId="94" fillId="0" borderId="143" xfId="0" applyFont="1" applyFill="1" applyBorder="1" applyAlignment="1">
      <alignment horizontal="center" vertical="center"/>
    </xf>
    <xf numFmtId="0" fontId="17" fillId="66" borderId="0" xfId="0" applyFont="1" applyFill="1" applyAlignment="1">
      <alignment horizontal="center" vertical="center"/>
    </xf>
    <xf numFmtId="0" fontId="17" fillId="7" borderId="0" xfId="0" applyFont="1" applyFill="1" applyAlignment="1">
      <alignment horizontal="center" vertical="center"/>
    </xf>
    <xf numFmtId="0" fontId="17" fillId="64" borderId="0" xfId="0" applyFont="1" applyFill="1" applyAlignment="1">
      <alignment horizontal="center" vertical="center"/>
    </xf>
    <xf numFmtId="0" fontId="17" fillId="65" borderId="0" xfId="0" applyFont="1" applyFill="1" applyAlignment="1">
      <alignment horizontal="center" vertical="center"/>
    </xf>
    <xf numFmtId="0" fontId="17" fillId="40" borderId="0" xfId="0" applyFont="1" applyFill="1" applyAlignment="1">
      <alignment horizontal="center" vertical="center"/>
    </xf>
    <xf numFmtId="0" fontId="3" fillId="8" borderId="0" xfId="0" applyFont="1" applyFill="1" applyAlignment="1">
      <alignment horizontal="right"/>
    </xf>
    <xf numFmtId="0" fontId="9" fillId="8" borderId="0" xfId="0" applyFont="1" applyFill="1" applyAlignment="1">
      <alignment horizontal="center" wrapText="1"/>
    </xf>
    <xf numFmtId="176" fontId="9" fillId="8" borderId="0" xfId="0" applyNumberFormat="1" applyFont="1" applyFill="1" applyAlignment="1">
      <alignment horizontal="center"/>
    </xf>
    <xf numFmtId="176" fontId="9" fillId="8" borderId="137" xfId="0" applyNumberFormat="1" applyFont="1" applyFill="1" applyBorder="1" applyAlignment="1">
      <alignment horizontal="center"/>
    </xf>
    <xf numFmtId="176" fontId="9" fillId="8" borderId="0" xfId="0" applyNumberFormat="1" applyFont="1" applyFill="1" applyBorder="1" applyAlignment="1">
      <alignment horizontal="center"/>
    </xf>
  </cellXfs>
  <cellStyles count="2034">
    <cellStyle name="20% - Accent1" xfId="22" builtinId="30" customBuiltin="1"/>
    <cellStyle name="20% - Accent1 2" xfId="76" xr:uid="{00000000-0005-0000-0000-000001000000}"/>
    <cellStyle name="20% - Accent1 2 2" xfId="101" xr:uid="{00000000-0005-0000-0000-000002000000}"/>
    <cellStyle name="20% - Accent1 2 3" xfId="102" xr:uid="{00000000-0005-0000-0000-000003000000}"/>
    <cellStyle name="20% - Accent1 2 4" xfId="103" xr:uid="{00000000-0005-0000-0000-000004000000}"/>
    <cellStyle name="20% - Accent1 2 5" xfId="104" xr:uid="{00000000-0005-0000-0000-000005000000}"/>
    <cellStyle name="20% - Accent1 2 6" xfId="105" xr:uid="{00000000-0005-0000-0000-000006000000}"/>
    <cellStyle name="20% - Accent1 3" xfId="106" xr:uid="{00000000-0005-0000-0000-000007000000}"/>
    <cellStyle name="20% - Accent1 4" xfId="107" xr:uid="{00000000-0005-0000-0000-000008000000}"/>
    <cellStyle name="20% - Accent2" xfId="26" builtinId="34" customBuiltin="1"/>
    <cellStyle name="20% - Accent2 2" xfId="108" xr:uid="{00000000-0005-0000-0000-00000A000000}"/>
    <cellStyle name="20% - Accent2 2 2" xfId="109" xr:uid="{00000000-0005-0000-0000-00000B000000}"/>
    <cellStyle name="20% - Accent2 2 3" xfId="110" xr:uid="{00000000-0005-0000-0000-00000C000000}"/>
    <cellStyle name="20% - Accent2 2 4" xfId="111" xr:uid="{00000000-0005-0000-0000-00000D000000}"/>
    <cellStyle name="20% - Accent2 2 5" xfId="112" xr:uid="{00000000-0005-0000-0000-00000E000000}"/>
    <cellStyle name="20% - Accent2 2 6" xfId="113" xr:uid="{00000000-0005-0000-0000-00000F000000}"/>
    <cellStyle name="20% - Accent3" xfId="30" builtinId="38" customBuiltin="1"/>
    <cellStyle name="20% - Accent3 2" xfId="78" xr:uid="{00000000-0005-0000-0000-000011000000}"/>
    <cellStyle name="20% - Accent3 2 2" xfId="114" xr:uid="{00000000-0005-0000-0000-000012000000}"/>
    <cellStyle name="20% - Accent3 2 3" xfId="115" xr:uid="{00000000-0005-0000-0000-000013000000}"/>
    <cellStyle name="20% - Accent3 2 4" xfId="116" xr:uid="{00000000-0005-0000-0000-000014000000}"/>
    <cellStyle name="20% - Accent3 2 5" xfId="117" xr:uid="{00000000-0005-0000-0000-000015000000}"/>
    <cellStyle name="20% - Accent3 2 6" xfId="118" xr:uid="{00000000-0005-0000-0000-000016000000}"/>
    <cellStyle name="20% - Accent3 3" xfId="119" xr:uid="{00000000-0005-0000-0000-000017000000}"/>
    <cellStyle name="20% - Accent3 4" xfId="120" xr:uid="{00000000-0005-0000-0000-000018000000}"/>
    <cellStyle name="20% - Accent4" xfId="34" builtinId="42" customBuiltin="1"/>
    <cellStyle name="20% - Accent4 2" xfId="80" xr:uid="{00000000-0005-0000-0000-00001A000000}"/>
    <cellStyle name="20% - Accent4 2 2" xfId="121" xr:uid="{00000000-0005-0000-0000-00001B000000}"/>
    <cellStyle name="20% - Accent4 2 3" xfId="122" xr:uid="{00000000-0005-0000-0000-00001C000000}"/>
    <cellStyle name="20% - Accent4 2 4" xfId="123" xr:uid="{00000000-0005-0000-0000-00001D000000}"/>
    <cellStyle name="20% - Accent4 2 5" xfId="124" xr:uid="{00000000-0005-0000-0000-00001E000000}"/>
    <cellStyle name="20% - Accent4 2 6" xfId="125" xr:uid="{00000000-0005-0000-0000-00001F000000}"/>
    <cellStyle name="20% - Accent4 3" xfId="126" xr:uid="{00000000-0005-0000-0000-000020000000}"/>
    <cellStyle name="20% - Accent4 4" xfId="127" xr:uid="{00000000-0005-0000-0000-000021000000}"/>
    <cellStyle name="20% - Accent5" xfId="38" builtinId="46" customBuiltin="1"/>
    <cellStyle name="20% - Accent5 2" xfId="128" xr:uid="{00000000-0005-0000-0000-000023000000}"/>
    <cellStyle name="20% - Accent5 2 2" xfId="129" xr:uid="{00000000-0005-0000-0000-000024000000}"/>
    <cellStyle name="20% - Accent5 2 3" xfId="130" xr:uid="{00000000-0005-0000-0000-000025000000}"/>
    <cellStyle name="20% - Accent5 2 4" xfId="131" xr:uid="{00000000-0005-0000-0000-000026000000}"/>
    <cellStyle name="20% - Accent5 2 5" xfId="132" xr:uid="{00000000-0005-0000-0000-000027000000}"/>
    <cellStyle name="20% - Accent5 2 6" xfId="133" xr:uid="{00000000-0005-0000-0000-000028000000}"/>
    <cellStyle name="20% - Accent6" xfId="42" builtinId="50" customBuiltin="1"/>
    <cellStyle name="20% - Accent6 2" xfId="134" xr:uid="{00000000-0005-0000-0000-00002A000000}"/>
    <cellStyle name="20% - Accent6 2 2" xfId="135" xr:uid="{00000000-0005-0000-0000-00002B000000}"/>
    <cellStyle name="20% - Accent6 2 3" xfId="136" xr:uid="{00000000-0005-0000-0000-00002C000000}"/>
    <cellStyle name="20% - Accent6 2 4" xfId="137" xr:uid="{00000000-0005-0000-0000-00002D000000}"/>
    <cellStyle name="20% - Accent6 2 5" xfId="138" xr:uid="{00000000-0005-0000-0000-00002E000000}"/>
    <cellStyle name="20% - Accent6 2 6" xfId="139" xr:uid="{00000000-0005-0000-0000-00002F000000}"/>
    <cellStyle name="40% - Accent1" xfId="23" builtinId="31" customBuiltin="1"/>
    <cellStyle name="40% - Accent1 2" xfId="77" xr:uid="{00000000-0005-0000-0000-000031000000}"/>
    <cellStyle name="40% - Accent1 2 2" xfId="140" xr:uid="{00000000-0005-0000-0000-000032000000}"/>
    <cellStyle name="40% - Accent1 2 3" xfId="141" xr:uid="{00000000-0005-0000-0000-000033000000}"/>
    <cellStyle name="40% - Accent1 2 4" xfId="142" xr:uid="{00000000-0005-0000-0000-000034000000}"/>
    <cellStyle name="40% - Accent1 2 5" xfId="143" xr:uid="{00000000-0005-0000-0000-000035000000}"/>
    <cellStyle name="40% - Accent1 2 6" xfId="144" xr:uid="{00000000-0005-0000-0000-000036000000}"/>
    <cellStyle name="40% - Accent1 3" xfId="145" xr:uid="{00000000-0005-0000-0000-000037000000}"/>
    <cellStyle name="40% - Accent1 4" xfId="146" xr:uid="{00000000-0005-0000-0000-000038000000}"/>
    <cellStyle name="40% - Accent2" xfId="27" builtinId="35" customBuiltin="1"/>
    <cellStyle name="40% - Accent2 2" xfId="147" xr:uid="{00000000-0005-0000-0000-00003A000000}"/>
    <cellStyle name="40% - Accent2 2 2" xfId="148" xr:uid="{00000000-0005-0000-0000-00003B000000}"/>
    <cellStyle name="40% - Accent2 2 3" xfId="149" xr:uid="{00000000-0005-0000-0000-00003C000000}"/>
    <cellStyle name="40% - Accent2 2 4" xfId="150" xr:uid="{00000000-0005-0000-0000-00003D000000}"/>
    <cellStyle name="40% - Accent2 2 5" xfId="151" xr:uid="{00000000-0005-0000-0000-00003E000000}"/>
    <cellStyle name="40% - Accent2 2 6" xfId="152" xr:uid="{00000000-0005-0000-0000-00003F000000}"/>
    <cellStyle name="40% - Accent3" xfId="31" builtinId="39" customBuiltin="1"/>
    <cellStyle name="40% - Accent3 2" xfId="79" xr:uid="{00000000-0005-0000-0000-000041000000}"/>
    <cellStyle name="40% - Accent3 2 2" xfId="153" xr:uid="{00000000-0005-0000-0000-000042000000}"/>
    <cellStyle name="40% - Accent3 2 3" xfId="154" xr:uid="{00000000-0005-0000-0000-000043000000}"/>
    <cellStyle name="40% - Accent3 2 4" xfId="155" xr:uid="{00000000-0005-0000-0000-000044000000}"/>
    <cellStyle name="40% - Accent3 2 5" xfId="156" xr:uid="{00000000-0005-0000-0000-000045000000}"/>
    <cellStyle name="40% - Accent3 2 6" xfId="157" xr:uid="{00000000-0005-0000-0000-000046000000}"/>
    <cellStyle name="40% - Accent3 3" xfId="158" xr:uid="{00000000-0005-0000-0000-000047000000}"/>
    <cellStyle name="40% - Accent3 4" xfId="159" xr:uid="{00000000-0005-0000-0000-000048000000}"/>
    <cellStyle name="40% - Accent4" xfId="35" builtinId="43" customBuiltin="1"/>
    <cellStyle name="40% - Accent4 2" xfId="81" xr:uid="{00000000-0005-0000-0000-00004A000000}"/>
    <cellStyle name="40% - Accent4 2 2" xfId="160" xr:uid="{00000000-0005-0000-0000-00004B000000}"/>
    <cellStyle name="40% - Accent4 2 3" xfId="161" xr:uid="{00000000-0005-0000-0000-00004C000000}"/>
    <cellStyle name="40% - Accent4 2 4" xfId="162" xr:uid="{00000000-0005-0000-0000-00004D000000}"/>
    <cellStyle name="40% - Accent4 2 5" xfId="163" xr:uid="{00000000-0005-0000-0000-00004E000000}"/>
    <cellStyle name="40% - Accent4 2 6" xfId="164" xr:uid="{00000000-0005-0000-0000-00004F000000}"/>
    <cellStyle name="40% - Accent4 3" xfId="165" xr:uid="{00000000-0005-0000-0000-000050000000}"/>
    <cellStyle name="40% - Accent4 4" xfId="166" xr:uid="{00000000-0005-0000-0000-000051000000}"/>
    <cellStyle name="40% - Accent5" xfId="39" builtinId="47" customBuiltin="1"/>
    <cellStyle name="40% - Accent5 2" xfId="167" xr:uid="{00000000-0005-0000-0000-000053000000}"/>
    <cellStyle name="40% - Accent5 2 2" xfId="168" xr:uid="{00000000-0005-0000-0000-000054000000}"/>
    <cellStyle name="40% - Accent5 2 3" xfId="169" xr:uid="{00000000-0005-0000-0000-000055000000}"/>
    <cellStyle name="40% - Accent5 2 4" xfId="170" xr:uid="{00000000-0005-0000-0000-000056000000}"/>
    <cellStyle name="40% - Accent5 2 5" xfId="171" xr:uid="{00000000-0005-0000-0000-000057000000}"/>
    <cellStyle name="40% - Accent5 2 6" xfId="172" xr:uid="{00000000-0005-0000-0000-000058000000}"/>
    <cellStyle name="40% - Accent6" xfId="43" builtinId="51" customBuiltin="1"/>
    <cellStyle name="40% - Accent6 2" xfId="173" xr:uid="{00000000-0005-0000-0000-00005A000000}"/>
    <cellStyle name="40% - Accent6 2 2" xfId="174" xr:uid="{00000000-0005-0000-0000-00005B000000}"/>
    <cellStyle name="40% - Accent6 2 3" xfId="175" xr:uid="{00000000-0005-0000-0000-00005C000000}"/>
    <cellStyle name="40% - Accent6 2 4" xfId="176" xr:uid="{00000000-0005-0000-0000-00005D000000}"/>
    <cellStyle name="40% - Accent6 2 5" xfId="177" xr:uid="{00000000-0005-0000-0000-00005E000000}"/>
    <cellStyle name="40% - Accent6 2 6" xfId="178" xr:uid="{00000000-0005-0000-0000-00005F000000}"/>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Accent6 2" xfId="82" xr:uid="{00000000-0005-0000-0000-00006C000000}"/>
    <cellStyle name="Accent6 3" xfId="179" xr:uid="{00000000-0005-0000-0000-00006D000000}"/>
    <cellStyle name="Bad" xfId="16" builtinId="27" customBuiltin="1"/>
    <cellStyle name="Best" xfId="180" xr:uid="{00000000-0005-0000-0000-00006F000000}"/>
    <cellStyle name="Best 10" xfId="181" xr:uid="{00000000-0005-0000-0000-000070000000}"/>
    <cellStyle name="Best 11" xfId="182" xr:uid="{00000000-0005-0000-0000-000071000000}"/>
    <cellStyle name="Best 12" xfId="183" xr:uid="{00000000-0005-0000-0000-000072000000}"/>
    <cellStyle name="Best 13" xfId="184" xr:uid="{00000000-0005-0000-0000-000073000000}"/>
    <cellStyle name="Best 14" xfId="185" xr:uid="{00000000-0005-0000-0000-000074000000}"/>
    <cellStyle name="Best 15" xfId="186" xr:uid="{00000000-0005-0000-0000-000075000000}"/>
    <cellStyle name="Best 16" xfId="187" xr:uid="{00000000-0005-0000-0000-000076000000}"/>
    <cellStyle name="Best 16 2" xfId="188" xr:uid="{00000000-0005-0000-0000-000077000000}"/>
    <cellStyle name="Best 16 3" xfId="189" xr:uid="{00000000-0005-0000-0000-000078000000}"/>
    <cellStyle name="Best 16 4" xfId="190" xr:uid="{00000000-0005-0000-0000-000079000000}"/>
    <cellStyle name="Best 17" xfId="191" xr:uid="{00000000-0005-0000-0000-00007A000000}"/>
    <cellStyle name="Best 18" xfId="192" xr:uid="{00000000-0005-0000-0000-00007B000000}"/>
    <cellStyle name="Best 19" xfId="193" xr:uid="{00000000-0005-0000-0000-00007C000000}"/>
    <cellStyle name="Best 2" xfId="194" xr:uid="{00000000-0005-0000-0000-00007D000000}"/>
    <cellStyle name="Best 3" xfId="195" xr:uid="{00000000-0005-0000-0000-00007E000000}"/>
    <cellStyle name="Best 4" xfId="196" xr:uid="{00000000-0005-0000-0000-00007F000000}"/>
    <cellStyle name="Best 5" xfId="197" xr:uid="{00000000-0005-0000-0000-000080000000}"/>
    <cellStyle name="Best 6" xfId="198" xr:uid="{00000000-0005-0000-0000-000081000000}"/>
    <cellStyle name="Best 7" xfId="199" xr:uid="{00000000-0005-0000-0000-000082000000}"/>
    <cellStyle name="Best 8" xfId="200" xr:uid="{00000000-0005-0000-0000-000083000000}"/>
    <cellStyle name="Best 9" xfId="201" xr:uid="{00000000-0005-0000-0000-000084000000}"/>
    <cellStyle name="Best_109. Nat'l Price (Jul09) - Leg" xfId="202" xr:uid="{00000000-0005-0000-0000-000085000000}"/>
    <cellStyle name="BOT - Style1" xfId="203" xr:uid="{00000000-0005-0000-0000-000086000000}"/>
    <cellStyle name="BOT - Style1 10" xfId="204" xr:uid="{00000000-0005-0000-0000-000087000000}"/>
    <cellStyle name="BOT - Style1 11" xfId="205" xr:uid="{00000000-0005-0000-0000-000088000000}"/>
    <cellStyle name="BOT - Style1 12" xfId="206" xr:uid="{00000000-0005-0000-0000-000089000000}"/>
    <cellStyle name="BOT - Style1 13" xfId="207" xr:uid="{00000000-0005-0000-0000-00008A000000}"/>
    <cellStyle name="BOT - Style1 14" xfId="208" xr:uid="{00000000-0005-0000-0000-00008B000000}"/>
    <cellStyle name="BOT - Style1 15" xfId="209" xr:uid="{00000000-0005-0000-0000-00008C000000}"/>
    <cellStyle name="BOT - Style1 16" xfId="210" xr:uid="{00000000-0005-0000-0000-00008D000000}"/>
    <cellStyle name="BOT - Style1 17" xfId="211" xr:uid="{00000000-0005-0000-0000-00008E000000}"/>
    <cellStyle name="BOT - Style1 2" xfId="212" xr:uid="{00000000-0005-0000-0000-00008F000000}"/>
    <cellStyle name="BOT - Style1 3" xfId="213" xr:uid="{00000000-0005-0000-0000-000090000000}"/>
    <cellStyle name="BOT - Style1 4" xfId="214" xr:uid="{00000000-0005-0000-0000-000091000000}"/>
    <cellStyle name="BOT - Style1 5" xfId="215" xr:uid="{00000000-0005-0000-0000-000092000000}"/>
    <cellStyle name="BOT - Style1 6" xfId="216" xr:uid="{00000000-0005-0000-0000-000093000000}"/>
    <cellStyle name="BOT - Style1 7" xfId="217" xr:uid="{00000000-0005-0000-0000-000094000000}"/>
    <cellStyle name="BOT - Style1 8" xfId="218" xr:uid="{00000000-0005-0000-0000-000095000000}"/>
    <cellStyle name="BOT - Style1 9" xfId="219" xr:uid="{00000000-0005-0000-0000-000096000000}"/>
    <cellStyle name="BOT - Style1_109. Nat'l Price (Jul09) - Leg" xfId="220" xr:uid="{00000000-0005-0000-0000-000097000000}"/>
    <cellStyle name="BOT HV - Style2" xfId="221" xr:uid="{00000000-0005-0000-0000-000098000000}"/>
    <cellStyle name="BOT HV - Style5" xfId="222" xr:uid="{00000000-0005-0000-0000-000099000000}"/>
    <cellStyle name="BOT HV - Style5 10" xfId="223" xr:uid="{00000000-0005-0000-0000-00009A000000}"/>
    <cellStyle name="BOT HV - Style5 11" xfId="224" xr:uid="{00000000-0005-0000-0000-00009B000000}"/>
    <cellStyle name="BOT HV - Style5 12" xfId="225" xr:uid="{00000000-0005-0000-0000-00009C000000}"/>
    <cellStyle name="BOT HV - Style5 13" xfId="226" xr:uid="{00000000-0005-0000-0000-00009D000000}"/>
    <cellStyle name="BOT HV - Style5 14" xfId="227" xr:uid="{00000000-0005-0000-0000-00009E000000}"/>
    <cellStyle name="BOT HV - Style5 15" xfId="228" xr:uid="{00000000-0005-0000-0000-00009F000000}"/>
    <cellStyle name="BOT HV - Style5 16" xfId="229" xr:uid="{00000000-0005-0000-0000-0000A0000000}"/>
    <cellStyle name="BOT HV - Style5 17" xfId="230" xr:uid="{00000000-0005-0000-0000-0000A1000000}"/>
    <cellStyle name="BOT HV - Style5 2" xfId="231" xr:uid="{00000000-0005-0000-0000-0000A2000000}"/>
    <cellStyle name="BOT HV - Style5 3" xfId="232" xr:uid="{00000000-0005-0000-0000-0000A3000000}"/>
    <cellStyle name="BOT HV - Style5 4" xfId="233" xr:uid="{00000000-0005-0000-0000-0000A4000000}"/>
    <cellStyle name="BOT HV - Style5 5" xfId="234" xr:uid="{00000000-0005-0000-0000-0000A5000000}"/>
    <cellStyle name="BOT HV - Style5 6" xfId="235" xr:uid="{00000000-0005-0000-0000-0000A6000000}"/>
    <cellStyle name="BOT HV - Style5 7" xfId="236" xr:uid="{00000000-0005-0000-0000-0000A7000000}"/>
    <cellStyle name="BOT HV - Style5 8" xfId="237" xr:uid="{00000000-0005-0000-0000-0000A8000000}"/>
    <cellStyle name="BOT HV - Style5 9" xfId="238" xr:uid="{00000000-0005-0000-0000-0000A9000000}"/>
    <cellStyle name="BOT HV - Style5_109. Nat'l Price (Jul09) - Leg" xfId="239" xr:uid="{00000000-0005-0000-0000-0000AA000000}"/>
    <cellStyle name="BOX HV - Style7" xfId="240" xr:uid="{00000000-0005-0000-0000-0000AB000000}"/>
    <cellStyle name="Calculation" xfId="12" builtinId="22" customBuiltin="1"/>
    <cellStyle name="Calculation 2" xfId="73" xr:uid="{00000000-0005-0000-0000-0000AD000000}"/>
    <cellStyle name="Calculation 3" xfId="241" xr:uid="{00000000-0005-0000-0000-0000AE000000}"/>
    <cellStyle name="Check Cell" xfId="19" builtinId="23" customBuiltin="1"/>
    <cellStyle name="CLEAR - Style5" xfId="242" xr:uid="{00000000-0005-0000-0000-0000B0000000}"/>
    <cellStyle name="CLR - Style4" xfId="243" xr:uid="{00000000-0005-0000-0000-0000B1000000}"/>
    <cellStyle name="CLR - Style4 10" xfId="244" xr:uid="{00000000-0005-0000-0000-0000B2000000}"/>
    <cellStyle name="CLR - Style4 11" xfId="245" xr:uid="{00000000-0005-0000-0000-0000B3000000}"/>
    <cellStyle name="CLR - Style4 12" xfId="246" xr:uid="{00000000-0005-0000-0000-0000B4000000}"/>
    <cellStyle name="CLR - Style4 13" xfId="247" xr:uid="{00000000-0005-0000-0000-0000B5000000}"/>
    <cellStyle name="CLR - Style4 14" xfId="248" xr:uid="{00000000-0005-0000-0000-0000B6000000}"/>
    <cellStyle name="CLR - Style4 15" xfId="249" xr:uid="{00000000-0005-0000-0000-0000B7000000}"/>
    <cellStyle name="CLR - Style4 16" xfId="250" xr:uid="{00000000-0005-0000-0000-0000B8000000}"/>
    <cellStyle name="CLR - Style4 17" xfId="251" xr:uid="{00000000-0005-0000-0000-0000B9000000}"/>
    <cellStyle name="CLR - Style4 2" xfId="252" xr:uid="{00000000-0005-0000-0000-0000BA000000}"/>
    <cellStyle name="CLR - Style4 3" xfId="253" xr:uid="{00000000-0005-0000-0000-0000BB000000}"/>
    <cellStyle name="CLR - Style4 4" xfId="254" xr:uid="{00000000-0005-0000-0000-0000BC000000}"/>
    <cellStyle name="CLR - Style4 5" xfId="255" xr:uid="{00000000-0005-0000-0000-0000BD000000}"/>
    <cellStyle name="CLR - Style4 6" xfId="256" xr:uid="{00000000-0005-0000-0000-0000BE000000}"/>
    <cellStyle name="CLR - Style4 7" xfId="257" xr:uid="{00000000-0005-0000-0000-0000BF000000}"/>
    <cellStyle name="CLR - Style4 8" xfId="258" xr:uid="{00000000-0005-0000-0000-0000C0000000}"/>
    <cellStyle name="CLR - Style4 9" xfId="259" xr:uid="{00000000-0005-0000-0000-0000C1000000}"/>
    <cellStyle name="CLR - Style4_109. Nat'l Price (Jul09) - Leg" xfId="260" xr:uid="{00000000-0005-0000-0000-0000C2000000}"/>
    <cellStyle name="Comma" xfId="6" builtinId="3"/>
    <cellStyle name="Comma 11" xfId="261" xr:uid="{00000000-0005-0000-0000-0000C4000000}"/>
    <cellStyle name="Comma 12" xfId="262" xr:uid="{00000000-0005-0000-0000-0000C5000000}"/>
    <cellStyle name="Comma 14" xfId="263" xr:uid="{00000000-0005-0000-0000-0000C6000000}"/>
    <cellStyle name="Comma 15" xfId="264" xr:uid="{00000000-0005-0000-0000-0000C7000000}"/>
    <cellStyle name="Comma 16" xfId="265" xr:uid="{00000000-0005-0000-0000-0000C8000000}"/>
    <cellStyle name="Comma 17" xfId="266" xr:uid="{00000000-0005-0000-0000-0000C9000000}"/>
    <cellStyle name="Comma 18" xfId="267" xr:uid="{00000000-0005-0000-0000-0000CA000000}"/>
    <cellStyle name="Comma 19" xfId="268" xr:uid="{00000000-0005-0000-0000-0000CB000000}"/>
    <cellStyle name="Comma 2" xfId="269" xr:uid="{00000000-0005-0000-0000-0000CC000000}"/>
    <cellStyle name="Comma 24" xfId="270" xr:uid="{00000000-0005-0000-0000-0000CD000000}"/>
    <cellStyle name="Comma 8" xfId="271" xr:uid="{00000000-0005-0000-0000-0000CE000000}"/>
    <cellStyle name="Comma 9" xfId="272" xr:uid="{00000000-0005-0000-0000-0000CF000000}"/>
    <cellStyle name="CTR XA - Style8" xfId="273" xr:uid="{00000000-0005-0000-0000-0000D0000000}"/>
    <cellStyle name="CTR XA - Style8 10" xfId="274" xr:uid="{00000000-0005-0000-0000-0000D1000000}"/>
    <cellStyle name="CTR XA - Style8 11" xfId="275" xr:uid="{00000000-0005-0000-0000-0000D2000000}"/>
    <cellStyle name="CTR XA - Style8 12" xfId="276" xr:uid="{00000000-0005-0000-0000-0000D3000000}"/>
    <cellStyle name="CTR XA - Style8 13" xfId="277" xr:uid="{00000000-0005-0000-0000-0000D4000000}"/>
    <cellStyle name="CTR XA - Style8 14" xfId="278" xr:uid="{00000000-0005-0000-0000-0000D5000000}"/>
    <cellStyle name="CTR XA - Style8 15" xfId="279" xr:uid="{00000000-0005-0000-0000-0000D6000000}"/>
    <cellStyle name="CTR XA - Style8 16" xfId="280" xr:uid="{00000000-0005-0000-0000-0000D7000000}"/>
    <cellStyle name="CTR XA - Style8 17" xfId="281" xr:uid="{00000000-0005-0000-0000-0000D8000000}"/>
    <cellStyle name="CTR XA - Style8 2" xfId="282" xr:uid="{00000000-0005-0000-0000-0000D9000000}"/>
    <cellStyle name="CTR XA - Style8 3" xfId="283" xr:uid="{00000000-0005-0000-0000-0000DA000000}"/>
    <cellStyle name="CTR XA - Style8 4" xfId="284" xr:uid="{00000000-0005-0000-0000-0000DB000000}"/>
    <cellStyle name="CTR XA - Style8 5" xfId="285" xr:uid="{00000000-0005-0000-0000-0000DC000000}"/>
    <cellStyle name="CTR XA - Style8 6" xfId="286" xr:uid="{00000000-0005-0000-0000-0000DD000000}"/>
    <cellStyle name="CTR XA - Style8 7" xfId="287" xr:uid="{00000000-0005-0000-0000-0000DE000000}"/>
    <cellStyle name="CTR XA - Style8 8" xfId="288" xr:uid="{00000000-0005-0000-0000-0000DF000000}"/>
    <cellStyle name="CTR XA - Style8 9" xfId="289" xr:uid="{00000000-0005-0000-0000-0000E0000000}"/>
    <cellStyle name="CTR XA - Style8_109. Nat'l Price (Jul09) - Leg" xfId="290" xr:uid="{00000000-0005-0000-0000-0000E1000000}"/>
    <cellStyle name="Currency" xfId="1" builtinId="4"/>
    <cellStyle name="Currency 2" xfId="291" xr:uid="{00000000-0005-0000-0000-0000E3000000}"/>
    <cellStyle name="Currency 2 10" xfId="292" xr:uid="{00000000-0005-0000-0000-0000E4000000}"/>
    <cellStyle name="Currency 2 11" xfId="293" xr:uid="{00000000-0005-0000-0000-0000E5000000}"/>
    <cellStyle name="Currency 2 12" xfId="294" xr:uid="{00000000-0005-0000-0000-0000E6000000}"/>
    <cellStyle name="Currency 2 13" xfId="295" xr:uid="{00000000-0005-0000-0000-0000E7000000}"/>
    <cellStyle name="Currency 2 14" xfId="296" xr:uid="{00000000-0005-0000-0000-0000E8000000}"/>
    <cellStyle name="Currency 2 15" xfId="297" xr:uid="{00000000-0005-0000-0000-0000E9000000}"/>
    <cellStyle name="Currency 2 16" xfId="298" xr:uid="{00000000-0005-0000-0000-0000EA000000}"/>
    <cellStyle name="Currency 2 2" xfId="299" xr:uid="{00000000-0005-0000-0000-0000EB000000}"/>
    <cellStyle name="Currency 2 3" xfId="300" xr:uid="{00000000-0005-0000-0000-0000EC000000}"/>
    <cellStyle name="Currency 2 4" xfId="301" xr:uid="{00000000-0005-0000-0000-0000ED000000}"/>
    <cellStyle name="Currency 2 5" xfId="302" xr:uid="{00000000-0005-0000-0000-0000EE000000}"/>
    <cellStyle name="Currency 2 6" xfId="303" xr:uid="{00000000-0005-0000-0000-0000EF000000}"/>
    <cellStyle name="Currency 2 7" xfId="304" xr:uid="{00000000-0005-0000-0000-0000F0000000}"/>
    <cellStyle name="Currency 2 8" xfId="305" xr:uid="{00000000-0005-0000-0000-0000F1000000}"/>
    <cellStyle name="Currency 2 9" xfId="306" xr:uid="{00000000-0005-0000-0000-0000F2000000}"/>
    <cellStyle name="DK - Style3" xfId="307" xr:uid="{00000000-0005-0000-0000-0000F3000000}"/>
    <cellStyle name="DK - Style3 10" xfId="308" xr:uid="{00000000-0005-0000-0000-0000F4000000}"/>
    <cellStyle name="DK - Style3 11" xfId="309" xr:uid="{00000000-0005-0000-0000-0000F5000000}"/>
    <cellStyle name="DK - Style3 12" xfId="310" xr:uid="{00000000-0005-0000-0000-0000F6000000}"/>
    <cellStyle name="DK - Style3 13" xfId="311" xr:uid="{00000000-0005-0000-0000-0000F7000000}"/>
    <cellStyle name="DK - Style3 14" xfId="312" xr:uid="{00000000-0005-0000-0000-0000F8000000}"/>
    <cellStyle name="DK - Style3 15" xfId="313" xr:uid="{00000000-0005-0000-0000-0000F9000000}"/>
    <cellStyle name="DK - Style3 16" xfId="314" xr:uid="{00000000-0005-0000-0000-0000FA000000}"/>
    <cellStyle name="DK - Style3 17" xfId="315" xr:uid="{00000000-0005-0000-0000-0000FB000000}"/>
    <cellStyle name="DK - Style3 2" xfId="316" xr:uid="{00000000-0005-0000-0000-0000FC000000}"/>
    <cellStyle name="DK - Style3 3" xfId="317" xr:uid="{00000000-0005-0000-0000-0000FD000000}"/>
    <cellStyle name="DK - Style3 4" xfId="318" xr:uid="{00000000-0005-0000-0000-0000FE000000}"/>
    <cellStyle name="DK - Style3 5" xfId="319" xr:uid="{00000000-0005-0000-0000-0000FF000000}"/>
    <cellStyle name="DK - Style3 6" xfId="320" xr:uid="{00000000-0005-0000-0000-000000010000}"/>
    <cellStyle name="DK - Style3 7" xfId="321" xr:uid="{00000000-0005-0000-0000-000001010000}"/>
    <cellStyle name="DK - Style3 8" xfId="322" xr:uid="{00000000-0005-0000-0000-000002010000}"/>
    <cellStyle name="DK - Style3 9" xfId="323" xr:uid="{00000000-0005-0000-0000-000003010000}"/>
    <cellStyle name="DK - Style3_109. Nat'l Price (Jul09) - Leg" xfId="324" xr:uid="{00000000-0005-0000-0000-000004010000}"/>
    <cellStyle name="DK - Style4" xfId="325" xr:uid="{00000000-0005-0000-0000-000005010000}"/>
    <cellStyle name="Explanatory Text" xfId="5" builtinId="53" customBuiltin="1"/>
    <cellStyle name="Good" xfId="15" builtinId="26" customBuiltin="1"/>
    <cellStyle name="Heading 1" xfId="9" builtinId="16" hidden="1"/>
    <cellStyle name="Heading 1" xfId="45" builtinId="16" customBuiltin="1"/>
    <cellStyle name="Heading 1 2" xfId="48" hidden="1" xr:uid="{00000000-0005-0000-0000-00000A010000}"/>
    <cellStyle name="Heading 1 2" xfId="50" hidden="1" xr:uid="{00000000-0005-0000-0000-00000B010000}"/>
    <cellStyle name="Heading 1 2" xfId="52" hidden="1" xr:uid="{00000000-0005-0000-0000-00000C010000}"/>
    <cellStyle name="Heading 1 2" xfId="54" hidden="1" xr:uid="{00000000-0005-0000-0000-00000D010000}"/>
    <cellStyle name="Heading 1 2" xfId="56" hidden="1" xr:uid="{00000000-0005-0000-0000-00000E010000}"/>
    <cellStyle name="Heading 1 2" xfId="58" hidden="1" xr:uid="{00000000-0005-0000-0000-00000F010000}"/>
    <cellStyle name="Heading 1 2" xfId="61" hidden="1" xr:uid="{00000000-0005-0000-0000-000010010000}"/>
    <cellStyle name="Heading 1 2" xfId="85" hidden="1" xr:uid="{00000000-0005-0000-0000-000011010000}"/>
    <cellStyle name="Heading 1 2" xfId="87" hidden="1" xr:uid="{00000000-0005-0000-0000-000012010000}"/>
    <cellStyle name="Heading 1 2" xfId="89" hidden="1" xr:uid="{00000000-0005-0000-0000-000013010000}"/>
    <cellStyle name="Heading 1 2" xfId="91" hidden="1" xr:uid="{00000000-0005-0000-0000-000014010000}"/>
    <cellStyle name="Heading 1 2" xfId="93" hidden="1" xr:uid="{00000000-0005-0000-0000-000015010000}"/>
    <cellStyle name="Heading 1 2" xfId="95" hidden="1" xr:uid="{00000000-0005-0000-0000-000016010000}"/>
    <cellStyle name="Heading 1 2" xfId="98" hidden="1" xr:uid="{00000000-0005-0000-0000-000017010000}"/>
    <cellStyle name="Heading 1 2" xfId="83" xr:uid="{00000000-0005-0000-0000-000018010000}"/>
    <cellStyle name="Heading 1 2 2" xfId="326" xr:uid="{00000000-0005-0000-0000-000019010000}"/>
    <cellStyle name="Heading 1 2 3" xfId="327" xr:uid="{00000000-0005-0000-0000-00001A010000}"/>
    <cellStyle name="Heading 1 2 4" xfId="328" xr:uid="{00000000-0005-0000-0000-00001B010000}"/>
    <cellStyle name="Heading 1 2 5" xfId="329" xr:uid="{00000000-0005-0000-0000-00001C010000}"/>
    <cellStyle name="Heading 1 2 6" xfId="330" xr:uid="{00000000-0005-0000-0000-00001D010000}"/>
    <cellStyle name="Heading 1 2 7" xfId="331" xr:uid="{00000000-0005-0000-0000-00001E010000}"/>
    <cellStyle name="Heading 1 2 8" xfId="332" xr:uid="{00000000-0005-0000-0000-00001F010000}"/>
    <cellStyle name="Heading 1 3" xfId="333" xr:uid="{00000000-0005-0000-0000-000020010000}"/>
    <cellStyle name="Heading 2" xfId="10" builtinId="17" hidden="1"/>
    <cellStyle name="Heading 2" xfId="46" builtinId="17" customBuiltin="1"/>
    <cellStyle name="Heading 2 2" xfId="49" hidden="1" xr:uid="{00000000-0005-0000-0000-000023010000}"/>
    <cellStyle name="Heading 2 2" xfId="51" hidden="1" xr:uid="{00000000-0005-0000-0000-000024010000}"/>
    <cellStyle name="Heading 2 2" xfId="53" hidden="1" xr:uid="{00000000-0005-0000-0000-000025010000}"/>
    <cellStyle name="Heading 2 2" xfId="55" hidden="1" xr:uid="{00000000-0005-0000-0000-000026010000}"/>
    <cellStyle name="Heading 2 2" xfId="57" hidden="1" xr:uid="{00000000-0005-0000-0000-000027010000}"/>
    <cellStyle name="Heading 2 2" xfId="59" hidden="1" xr:uid="{00000000-0005-0000-0000-000028010000}"/>
    <cellStyle name="Heading 2 2" xfId="60" hidden="1" xr:uid="{00000000-0005-0000-0000-000029010000}"/>
    <cellStyle name="Heading 2 2" xfId="86" hidden="1" xr:uid="{00000000-0005-0000-0000-00002A010000}"/>
    <cellStyle name="Heading 2 2" xfId="88" hidden="1" xr:uid="{00000000-0005-0000-0000-00002B010000}"/>
    <cellStyle name="Heading 2 2" xfId="90" hidden="1" xr:uid="{00000000-0005-0000-0000-00002C010000}"/>
    <cellStyle name="Heading 2 2" xfId="92" hidden="1" xr:uid="{00000000-0005-0000-0000-00002D010000}"/>
    <cellStyle name="Heading 2 2" xfId="94" hidden="1" xr:uid="{00000000-0005-0000-0000-00002E010000}"/>
    <cellStyle name="Heading 2 2" xfId="96" hidden="1" xr:uid="{00000000-0005-0000-0000-00002F010000}"/>
    <cellStyle name="Heading 2 2" xfId="97" hidden="1" xr:uid="{00000000-0005-0000-0000-000030010000}"/>
    <cellStyle name="Heading 2 2" xfId="84" xr:uid="{00000000-0005-0000-0000-000031010000}"/>
    <cellStyle name="Heading 2 2 2" xfId="334" xr:uid="{00000000-0005-0000-0000-000032010000}"/>
    <cellStyle name="Heading 2 2 3" xfId="335" xr:uid="{00000000-0005-0000-0000-000033010000}"/>
    <cellStyle name="Heading 2 2 4" xfId="336" xr:uid="{00000000-0005-0000-0000-000034010000}"/>
    <cellStyle name="Heading 2 2 5" xfId="337" xr:uid="{00000000-0005-0000-0000-000035010000}"/>
    <cellStyle name="Heading 2 2 6" xfId="338" xr:uid="{00000000-0005-0000-0000-000036010000}"/>
    <cellStyle name="Heading 2 2 7" xfId="339" xr:uid="{00000000-0005-0000-0000-000037010000}"/>
    <cellStyle name="Heading 2 2 8" xfId="340" xr:uid="{00000000-0005-0000-0000-000038010000}"/>
    <cellStyle name="Heading 2 3" xfId="341" xr:uid="{00000000-0005-0000-0000-000039010000}"/>
    <cellStyle name="Heading 3" xfId="4" builtinId="18" customBuiltin="1"/>
    <cellStyle name="Heading 3 2" xfId="69" xr:uid="{00000000-0005-0000-0000-00003B010000}"/>
    <cellStyle name="Heading 3 3" xfId="342" xr:uid="{00000000-0005-0000-0000-00003C010000}"/>
    <cellStyle name="Heading 4" xfId="11" builtinId="19" customBuiltin="1"/>
    <cellStyle name="Heading 4 2" xfId="72" xr:uid="{00000000-0005-0000-0000-00003E010000}"/>
    <cellStyle name="Heading 4 3" xfId="343" xr:uid="{00000000-0005-0000-0000-00003F010000}"/>
    <cellStyle name="Input" xfId="7" builtinId="20" customBuiltin="1"/>
    <cellStyle name="Input 15" xfId="100" xr:uid="{00000000-0005-0000-0000-000041010000}"/>
    <cellStyle name="Input 2" xfId="70" xr:uid="{00000000-0005-0000-0000-000042010000}"/>
    <cellStyle name="Input 2 2" xfId="99" xr:uid="{00000000-0005-0000-0000-000043010000}"/>
    <cellStyle name="Input 3" xfId="344" xr:uid="{00000000-0005-0000-0000-000044010000}"/>
    <cellStyle name="Input Optional" xfId="47" xr:uid="{00000000-0005-0000-0000-000045010000}"/>
    <cellStyle name="Linked Cell" xfId="8" builtinId="24" customBuiltin="1"/>
    <cellStyle name="Linked Cell 2" xfId="71" xr:uid="{00000000-0005-0000-0000-000047010000}"/>
    <cellStyle name="Linked Cell 3" xfId="345" xr:uid="{00000000-0005-0000-0000-000048010000}"/>
    <cellStyle name="LT - Style2" xfId="346" xr:uid="{00000000-0005-0000-0000-000049010000}"/>
    <cellStyle name="LT - Style2 10" xfId="347" xr:uid="{00000000-0005-0000-0000-00004A010000}"/>
    <cellStyle name="LT - Style2 11" xfId="348" xr:uid="{00000000-0005-0000-0000-00004B010000}"/>
    <cellStyle name="LT - Style2 12" xfId="349" xr:uid="{00000000-0005-0000-0000-00004C010000}"/>
    <cellStyle name="LT - Style2 13" xfId="350" xr:uid="{00000000-0005-0000-0000-00004D010000}"/>
    <cellStyle name="LT - Style2 14" xfId="351" xr:uid="{00000000-0005-0000-0000-00004E010000}"/>
    <cellStyle name="LT - Style2 15" xfId="352" xr:uid="{00000000-0005-0000-0000-00004F010000}"/>
    <cellStyle name="LT - Style2 16" xfId="353" xr:uid="{00000000-0005-0000-0000-000050010000}"/>
    <cellStyle name="LT - Style2 17" xfId="354" xr:uid="{00000000-0005-0000-0000-000051010000}"/>
    <cellStyle name="LT - Style2 2" xfId="355" xr:uid="{00000000-0005-0000-0000-000052010000}"/>
    <cellStyle name="LT - Style2 3" xfId="356" xr:uid="{00000000-0005-0000-0000-000053010000}"/>
    <cellStyle name="LT - Style2 4" xfId="357" xr:uid="{00000000-0005-0000-0000-000054010000}"/>
    <cellStyle name="LT - Style2 5" xfId="358" xr:uid="{00000000-0005-0000-0000-000055010000}"/>
    <cellStyle name="LT - Style2 6" xfId="359" xr:uid="{00000000-0005-0000-0000-000056010000}"/>
    <cellStyle name="LT - Style2 7" xfId="360" xr:uid="{00000000-0005-0000-0000-000057010000}"/>
    <cellStyle name="LT - Style2 8" xfId="361" xr:uid="{00000000-0005-0000-0000-000058010000}"/>
    <cellStyle name="LT - Style2 9" xfId="362" xr:uid="{00000000-0005-0000-0000-000059010000}"/>
    <cellStyle name="LT - Style2_109. Nat'l Price (Jul09) - Leg" xfId="363" xr:uid="{00000000-0005-0000-0000-00005A010000}"/>
    <cellStyle name="LT - Style3" xfId="364" xr:uid="{00000000-0005-0000-0000-00005B010000}"/>
    <cellStyle name="Neutral" xfId="17" builtinId="28" customBuiltin="1"/>
    <cellStyle name="Normal" xfId="0" builtinId="0"/>
    <cellStyle name="Normal 10" xfId="365" xr:uid="{00000000-0005-0000-0000-00005E010000}"/>
    <cellStyle name="Normal 11" xfId="366" xr:uid="{00000000-0005-0000-0000-00005F010000}"/>
    <cellStyle name="Normal 12" xfId="367" xr:uid="{00000000-0005-0000-0000-000060010000}"/>
    <cellStyle name="Normal 12 2" xfId="368" xr:uid="{00000000-0005-0000-0000-000061010000}"/>
    <cellStyle name="Normal 13" xfId="369" xr:uid="{00000000-0005-0000-0000-000062010000}"/>
    <cellStyle name="Normal 14" xfId="370" xr:uid="{00000000-0005-0000-0000-000063010000}"/>
    <cellStyle name="Normal 14 10" xfId="371" xr:uid="{00000000-0005-0000-0000-000064010000}"/>
    <cellStyle name="Normal 14 10 2" xfId="372" xr:uid="{00000000-0005-0000-0000-000065010000}"/>
    <cellStyle name="Normal 14 10 3" xfId="373" xr:uid="{00000000-0005-0000-0000-000066010000}"/>
    <cellStyle name="Normal 14 10 4" xfId="374" xr:uid="{00000000-0005-0000-0000-000067010000}"/>
    <cellStyle name="Normal 14 10 5" xfId="375" xr:uid="{00000000-0005-0000-0000-000068010000}"/>
    <cellStyle name="Normal 14 10 6" xfId="376" xr:uid="{00000000-0005-0000-0000-000069010000}"/>
    <cellStyle name="Normal 14 11" xfId="377" xr:uid="{00000000-0005-0000-0000-00006A010000}"/>
    <cellStyle name="Normal 14 12" xfId="378" xr:uid="{00000000-0005-0000-0000-00006B010000}"/>
    <cellStyle name="Normal 14 13" xfId="379" xr:uid="{00000000-0005-0000-0000-00006C010000}"/>
    <cellStyle name="Normal 14 14" xfId="380" xr:uid="{00000000-0005-0000-0000-00006D010000}"/>
    <cellStyle name="Normal 14 15" xfId="381" xr:uid="{00000000-0005-0000-0000-00006E010000}"/>
    <cellStyle name="Normal 14 2" xfId="382" xr:uid="{00000000-0005-0000-0000-00006F010000}"/>
    <cellStyle name="Normal 14 2 2" xfId="383" xr:uid="{00000000-0005-0000-0000-000070010000}"/>
    <cellStyle name="Normal 14 2 2 2" xfId="384" xr:uid="{00000000-0005-0000-0000-000071010000}"/>
    <cellStyle name="Normal 14 2 2 3" xfId="385" xr:uid="{00000000-0005-0000-0000-000072010000}"/>
    <cellStyle name="Normal 14 2 2 4" xfId="386" xr:uid="{00000000-0005-0000-0000-000073010000}"/>
    <cellStyle name="Normal 14 2 2 5" xfId="387" xr:uid="{00000000-0005-0000-0000-000074010000}"/>
    <cellStyle name="Normal 14 2 2 6" xfId="388" xr:uid="{00000000-0005-0000-0000-000075010000}"/>
    <cellStyle name="Normal 14 2 3" xfId="389" xr:uid="{00000000-0005-0000-0000-000076010000}"/>
    <cellStyle name="Normal 14 2 3 2" xfId="390" xr:uid="{00000000-0005-0000-0000-000077010000}"/>
    <cellStyle name="Normal 14 2 3 3" xfId="391" xr:uid="{00000000-0005-0000-0000-000078010000}"/>
    <cellStyle name="Normal 14 2 3 4" xfId="392" xr:uid="{00000000-0005-0000-0000-000079010000}"/>
    <cellStyle name="Normal 14 2 3 5" xfId="393" xr:uid="{00000000-0005-0000-0000-00007A010000}"/>
    <cellStyle name="Normal 14 2 3 6" xfId="394" xr:uid="{00000000-0005-0000-0000-00007B010000}"/>
    <cellStyle name="Normal 14 2 4" xfId="395" xr:uid="{00000000-0005-0000-0000-00007C010000}"/>
    <cellStyle name="Normal 14 2 5" xfId="396" xr:uid="{00000000-0005-0000-0000-00007D010000}"/>
    <cellStyle name="Normal 14 2 6" xfId="397" xr:uid="{00000000-0005-0000-0000-00007E010000}"/>
    <cellStyle name="Normal 14 2 7" xfId="398" xr:uid="{00000000-0005-0000-0000-00007F010000}"/>
    <cellStyle name="Normal 14 2 8" xfId="399" xr:uid="{00000000-0005-0000-0000-000080010000}"/>
    <cellStyle name="Normal 14 2_109. Nat'l Price (Jul09) - Leg" xfId="400" xr:uid="{00000000-0005-0000-0000-000081010000}"/>
    <cellStyle name="Normal 14 3" xfId="401" xr:uid="{00000000-0005-0000-0000-000082010000}"/>
    <cellStyle name="Normal 14 3 2" xfId="402" xr:uid="{00000000-0005-0000-0000-000083010000}"/>
    <cellStyle name="Normal 14 3 2 2" xfId="403" xr:uid="{00000000-0005-0000-0000-000084010000}"/>
    <cellStyle name="Normal 14 3 2 3" xfId="404" xr:uid="{00000000-0005-0000-0000-000085010000}"/>
    <cellStyle name="Normal 14 3 2 4" xfId="405" xr:uid="{00000000-0005-0000-0000-000086010000}"/>
    <cellStyle name="Normal 14 3 2 5" xfId="406" xr:uid="{00000000-0005-0000-0000-000087010000}"/>
    <cellStyle name="Normal 14 3 2 6" xfId="407" xr:uid="{00000000-0005-0000-0000-000088010000}"/>
    <cellStyle name="Normal 14 3 3" xfId="408" xr:uid="{00000000-0005-0000-0000-000089010000}"/>
    <cellStyle name="Normal 14 3 3 2" xfId="409" xr:uid="{00000000-0005-0000-0000-00008A010000}"/>
    <cellStyle name="Normal 14 3 3 3" xfId="410" xr:uid="{00000000-0005-0000-0000-00008B010000}"/>
    <cellStyle name="Normal 14 3 3 4" xfId="411" xr:uid="{00000000-0005-0000-0000-00008C010000}"/>
    <cellStyle name="Normal 14 3 3 5" xfId="412" xr:uid="{00000000-0005-0000-0000-00008D010000}"/>
    <cellStyle name="Normal 14 3 3 6" xfId="413" xr:uid="{00000000-0005-0000-0000-00008E010000}"/>
    <cellStyle name="Normal 14 3 4" xfId="414" xr:uid="{00000000-0005-0000-0000-00008F010000}"/>
    <cellStyle name="Normal 14 3 5" xfId="415" xr:uid="{00000000-0005-0000-0000-000090010000}"/>
    <cellStyle name="Normal 14 3 6" xfId="416" xr:uid="{00000000-0005-0000-0000-000091010000}"/>
    <cellStyle name="Normal 14 3 7" xfId="417" xr:uid="{00000000-0005-0000-0000-000092010000}"/>
    <cellStyle name="Normal 14 3 8" xfId="418" xr:uid="{00000000-0005-0000-0000-000093010000}"/>
    <cellStyle name="Normal 14 3_109. Nat'l Price (Jul09) - Leg" xfId="419" xr:uid="{00000000-0005-0000-0000-000094010000}"/>
    <cellStyle name="Normal 14 4" xfId="420" xr:uid="{00000000-0005-0000-0000-000095010000}"/>
    <cellStyle name="Normal 14 4 2" xfId="421" xr:uid="{00000000-0005-0000-0000-000096010000}"/>
    <cellStyle name="Normal 14 4 2 2" xfId="422" xr:uid="{00000000-0005-0000-0000-000097010000}"/>
    <cellStyle name="Normal 14 4 2 3" xfId="423" xr:uid="{00000000-0005-0000-0000-000098010000}"/>
    <cellStyle name="Normal 14 4 2 4" xfId="424" xr:uid="{00000000-0005-0000-0000-000099010000}"/>
    <cellStyle name="Normal 14 4 2 5" xfId="425" xr:uid="{00000000-0005-0000-0000-00009A010000}"/>
    <cellStyle name="Normal 14 4 2 6" xfId="426" xr:uid="{00000000-0005-0000-0000-00009B010000}"/>
    <cellStyle name="Normal 14 4 3" xfId="427" xr:uid="{00000000-0005-0000-0000-00009C010000}"/>
    <cellStyle name="Normal 14 4 3 2" xfId="428" xr:uid="{00000000-0005-0000-0000-00009D010000}"/>
    <cellStyle name="Normal 14 4 3 3" xfId="429" xr:uid="{00000000-0005-0000-0000-00009E010000}"/>
    <cellStyle name="Normal 14 4 3 4" xfId="430" xr:uid="{00000000-0005-0000-0000-00009F010000}"/>
    <cellStyle name="Normal 14 4 3 5" xfId="431" xr:uid="{00000000-0005-0000-0000-0000A0010000}"/>
    <cellStyle name="Normal 14 4 3 6" xfId="432" xr:uid="{00000000-0005-0000-0000-0000A1010000}"/>
    <cellStyle name="Normal 14 4 4" xfId="433" xr:uid="{00000000-0005-0000-0000-0000A2010000}"/>
    <cellStyle name="Normal 14 4 5" xfId="434" xr:uid="{00000000-0005-0000-0000-0000A3010000}"/>
    <cellStyle name="Normal 14 4 6" xfId="435" xr:uid="{00000000-0005-0000-0000-0000A4010000}"/>
    <cellStyle name="Normal 14 4 7" xfId="436" xr:uid="{00000000-0005-0000-0000-0000A5010000}"/>
    <cellStyle name="Normal 14 4 8" xfId="437" xr:uid="{00000000-0005-0000-0000-0000A6010000}"/>
    <cellStyle name="Normal 14 4_109. Nat'l Price (Jul09) - Leg" xfId="438" xr:uid="{00000000-0005-0000-0000-0000A7010000}"/>
    <cellStyle name="Normal 14 5" xfId="439" xr:uid="{00000000-0005-0000-0000-0000A8010000}"/>
    <cellStyle name="Normal 14 5 2" xfId="440" xr:uid="{00000000-0005-0000-0000-0000A9010000}"/>
    <cellStyle name="Normal 14 5 2 2" xfId="441" xr:uid="{00000000-0005-0000-0000-0000AA010000}"/>
    <cellStyle name="Normal 14 5 2 3" xfId="442" xr:uid="{00000000-0005-0000-0000-0000AB010000}"/>
    <cellStyle name="Normal 14 5 2 4" xfId="443" xr:uid="{00000000-0005-0000-0000-0000AC010000}"/>
    <cellStyle name="Normal 14 5 2 5" xfId="444" xr:uid="{00000000-0005-0000-0000-0000AD010000}"/>
    <cellStyle name="Normal 14 5 2 6" xfId="445" xr:uid="{00000000-0005-0000-0000-0000AE010000}"/>
    <cellStyle name="Normal 14 5 3" xfId="446" xr:uid="{00000000-0005-0000-0000-0000AF010000}"/>
    <cellStyle name="Normal 14 5 4" xfId="447" xr:uid="{00000000-0005-0000-0000-0000B0010000}"/>
    <cellStyle name="Normal 14 5 5" xfId="448" xr:uid="{00000000-0005-0000-0000-0000B1010000}"/>
    <cellStyle name="Normal 14 5 6" xfId="449" xr:uid="{00000000-0005-0000-0000-0000B2010000}"/>
    <cellStyle name="Normal 14 5 7" xfId="450" xr:uid="{00000000-0005-0000-0000-0000B3010000}"/>
    <cellStyle name="Normal 14 6" xfId="451" xr:uid="{00000000-0005-0000-0000-0000B4010000}"/>
    <cellStyle name="Normal 14 6 2" xfId="452" xr:uid="{00000000-0005-0000-0000-0000B5010000}"/>
    <cellStyle name="Normal 14 6 2 2" xfId="453" xr:uid="{00000000-0005-0000-0000-0000B6010000}"/>
    <cellStyle name="Normal 14 6 2 3" xfId="454" xr:uid="{00000000-0005-0000-0000-0000B7010000}"/>
    <cellStyle name="Normal 14 6 2 4" xfId="455" xr:uid="{00000000-0005-0000-0000-0000B8010000}"/>
    <cellStyle name="Normal 14 6 2 5" xfId="456" xr:uid="{00000000-0005-0000-0000-0000B9010000}"/>
    <cellStyle name="Normal 14 6 2 6" xfId="457" xr:uid="{00000000-0005-0000-0000-0000BA010000}"/>
    <cellStyle name="Normal 14 6 3" xfId="458" xr:uid="{00000000-0005-0000-0000-0000BB010000}"/>
    <cellStyle name="Normal 14 6 4" xfId="459" xr:uid="{00000000-0005-0000-0000-0000BC010000}"/>
    <cellStyle name="Normal 14 6 5" xfId="460" xr:uid="{00000000-0005-0000-0000-0000BD010000}"/>
    <cellStyle name="Normal 14 6 6" xfId="461" xr:uid="{00000000-0005-0000-0000-0000BE010000}"/>
    <cellStyle name="Normal 14 6 7" xfId="462" xr:uid="{00000000-0005-0000-0000-0000BF010000}"/>
    <cellStyle name="Normal 14 7" xfId="463" xr:uid="{00000000-0005-0000-0000-0000C0010000}"/>
    <cellStyle name="Normal 14 7 2" xfId="464" xr:uid="{00000000-0005-0000-0000-0000C1010000}"/>
    <cellStyle name="Normal 14 7 2 2" xfId="465" xr:uid="{00000000-0005-0000-0000-0000C2010000}"/>
    <cellStyle name="Normal 14 7 2 3" xfId="466" xr:uid="{00000000-0005-0000-0000-0000C3010000}"/>
    <cellStyle name="Normal 14 7 2 4" xfId="467" xr:uid="{00000000-0005-0000-0000-0000C4010000}"/>
    <cellStyle name="Normal 14 7 2 5" xfId="468" xr:uid="{00000000-0005-0000-0000-0000C5010000}"/>
    <cellStyle name="Normal 14 7 2 6" xfId="469" xr:uid="{00000000-0005-0000-0000-0000C6010000}"/>
    <cellStyle name="Normal 14 7 3" xfId="470" xr:uid="{00000000-0005-0000-0000-0000C7010000}"/>
    <cellStyle name="Normal 14 7 4" xfId="471" xr:uid="{00000000-0005-0000-0000-0000C8010000}"/>
    <cellStyle name="Normal 14 7 5" xfId="472" xr:uid="{00000000-0005-0000-0000-0000C9010000}"/>
    <cellStyle name="Normal 14 7 6" xfId="473" xr:uid="{00000000-0005-0000-0000-0000CA010000}"/>
    <cellStyle name="Normal 14 7 7" xfId="474" xr:uid="{00000000-0005-0000-0000-0000CB010000}"/>
    <cellStyle name="Normal 14 8" xfId="475" xr:uid="{00000000-0005-0000-0000-0000CC010000}"/>
    <cellStyle name="Normal 14 8 2" xfId="476" xr:uid="{00000000-0005-0000-0000-0000CD010000}"/>
    <cellStyle name="Normal 14 8 2 2" xfId="477" xr:uid="{00000000-0005-0000-0000-0000CE010000}"/>
    <cellStyle name="Normal 14 8 2 3" xfId="478" xr:uid="{00000000-0005-0000-0000-0000CF010000}"/>
    <cellStyle name="Normal 14 8 2 4" xfId="479" xr:uid="{00000000-0005-0000-0000-0000D0010000}"/>
    <cellStyle name="Normal 14 8 2 5" xfId="480" xr:uid="{00000000-0005-0000-0000-0000D1010000}"/>
    <cellStyle name="Normal 14 8 2 6" xfId="481" xr:uid="{00000000-0005-0000-0000-0000D2010000}"/>
    <cellStyle name="Normal 14 8 3" xfId="482" xr:uid="{00000000-0005-0000-0000-0000D3010000}"/>
    <cellStyle name="Normal 14 8 4" xfId="483" xr:uid="{00000000-0005-0000-0000-0000D4010000}"/>
    <cellStyle name="Normal 14 8 5" xfId="484" xr:uid="{00000000-0005-0000-0000-0000D5010000}"/>
    <cellStyle name="Normal 14 8 6" xfId="485" xr:uid="{00000000-0005-0000-0000-0000D6010000}"/>
    <cellStyle name="Normal 14 8 7" xfId="486" xr:uid="{00000000-0005-0000-0000-0000D7010000}"/>
    <cellStyle name="Normal 14 9" xfId="487" xr:uid="{00000000-0005-0000-0000-0000D8010000}"/>
    <cellStyle name="Normal 14 9 2" xfId="488" xr:uid="{00000000-0005-0000-0000-0000D9010000}"/>
    <cellStyle name="Normal 14 9 3" xfId="489" xr:uid="{00000000-0005-0000-0000-0000DA010000}"/>
    <cellStyle name="Normal 14 9 4" xfId="490" xr:uid="{00000000-0005-0000-0000-0000DB010000}"/>
    <cellStyle name="Normal 14 9 5" xfId="491" xr:uid="{00000000-0005-0000-0000-0000DC010000}"/>
    <cellStyle name="Normal 14 9 6" xfId="492" xr:uid="{00000000-0005-0000-0000-0000DD010000}"/>
    <cellStyle name="Normal 14_109. Nat'l Price (Jul09) - Leg" xfId="493" xr:uid="{00000000-0005-0000-0000-0000DE010000}"/>
    <cellStyle name="Normal 15" xfId="494" xr:uid="{00000000-0005-0000-0000-0000DF010000}"/>
    <cellStyle name="Normal 15 10" xfId="495" xr:uid="{00000000-0005-0000-0000-0000E0010000}"/>
    <cellStyle name="Normal 15 10 2" xfId="496" xr:uid="{00000000-0005-0000-0000-0000E1010000}"/>
    <cellStyle name="Normal 15 10 3" xfId="497" xr:uid="{00000000-0005-0000-0000-0000E2010000}"/>
    <cellStyle name="Normal 15 10 4" xfId="498" xr:uid="{00000000-0005-0000-0000-0000E3010000}"/>
    <cellStyle name="Normal 15 10 5" xfId="499" xr:uid="{00000000-0005-0000-0000-0000E4010000}"/>
    <cellStyle name="Normal 15 10 6" xfId="500" xr:uid="{00000000-0005-0000-0000-0000E5010000}"/>
    <cellStyle name="Normal 15 11" xfId="501" xr:uid="{00000000-0005-0000-0000-0000E6010000}"/>
    <cellStyle name="Normal 15 12" xfId="502" xr:uid="{00000000-0005-0000-0000-0000E7010000}"/>
    <cellStyle name="Normal 15 13" xfId="503" xr:uid="{00000000-0005-0000-0000-0000E8010000}"/>
    <cellStyle name="Normal 15 14" xfId="504" xr:uid="{00000000-0005-0000-0000-0000E9010000}"/>
    <cellStyle name="Normal 15 15" xfId="505" xr:uid="{00000000-0005-0000-0000-0000EA010000}"/>
    <cellStyle name="Normal 15 2" xfId="506" xr:uid="{00000000-0005-0000-0000-0000EB010000}"/>
    <cellStyle name="Normal 15 2 2" xfId="507" xr:uid="{00000000-0005-0000-0000-0000EC010000}"/>
    <cellStyle name="Normal 15 2 2 2" xfId="508" xr:uid="{00000000-0005-0000-0000-0000ED010000}"/>
    <cellStyle name="Normal 15 2 2 3" xfId="509" xr:uid="{00000000-0005-0000-0000-0000EE010000}"/>
    <cellStyle name="Normal 15 2 2 4" xfId="510" xr:uid="{00000000-0005-0000-0000-0000EF010000}"/>
    <cellStyle name="Normal 15 2 2 5" xfId="511" xr:uid="{00000000-0005-0000-0000-0000F0010000}"/>
    <cellStyle name="Normal 15 2 2 6" xfId="512" xr:uid="{00000000-0005-0000-0000-0000F1010000}"/>
    <cellStyle name="Normal 15 2 3" xfId="513" xr:uid="{00000000-0005-0000-0000-0000F2010000}"/>
    <cellStyle name="Normal 15 2 3 2" xfId="514" xr:uid="{00000000-0005-0000-0000-0000F3010000}"/>
    <cellStyle name="Normal 15 2 3 3" xfId="515" xr:uid="{00000000-0005-0000-0000-0000F4010000}"/>
    <cellStyle name="Normal 15 2 3 4" xfId="516" xr:uid="{00000000-0005-0000-0000-0000F5010000}"/>
    <cellStyle name="Normal 15 2 3 5" xfId="517" xr:uid="{00000000-0005-0000-0000-0000F6010000}"/>
    <cellStyle name="Normal 15 2 3 6" xfId="518" xr:uid="{00000000-0005-0000-0000-0000F7010000}"/>
    <cellStyle name="Normal 15 2 4" xfId="519" xr:uid="{00000000-0005-0000-0000-0000F8010000}"/>
    <cellStyle name="Normal 15 2 5" xfId="520" xr:uid="{00000000-0005-0000-0000-0000F9010000}"/>
    <cellStyle name="Normal 15 2 6" xfId="521" xr:uid="{00000000-0005-0000-0000-0000FA010000}"/>
    <cellStyle name="Normal 15 2 7" xfId="522" xr:uid="{00000000-0005-0000-0000-0000FB010000}"/>
    <cellStyle name="Normal 15 2 8" xfId="523" xr:uid="{00000000-0005-0000-0000-0000FC010000}"/>
    <cellStyle name="Normal 15 2_109. Nat'l Price (Jul09) - Leg" xfId="524" xr:uid="{00000000-0005-0000-0000-0000FD010000}"/>
    <cellStyle name="Normal 15 3" xfId="525" xr:uid="{00000000-0005-0000-0000-0000FE010000}"/>
    <cellStyle name="Normal 15 3 2" xfId="526" xr:uid="{00000000-0005-0000-0000-0000FF010000}"/>
    <cellStyle name="Normal 15 3 2 2" xfId="527" xr:uid="{00000000-0005-0000-0000-000000020000}"/>
    <cellStyle name="Normal 15 3 2 3" xfId="528" xr:uid="{00000000-0005-0000-0000-000001020000}"/>
    <cellStyle name="Normal 15 3 2 4" xfId="529" xr:uid="{00000000-0005-0000-0000-000002020000}"/>
    <cellStyle name="Normal 15 3 2 5" xfId="530" xr:uid="{00000000-0005-0000-0000-000003020000}"/>
    <cellStyle name="Normal 15 3 2 6" xfId="531" xr:uid="{00000000-0005-0000-0000-000004020000}"/>
    <cellStyle name="Normal 15 3 3" xfId="532" xr:uid="{00000000-0005-0000-0000-000005020000}"/>
    <cellStyle name="Normal 15 3 3 2" xfId="533" xr:uid="{00000000-0005-0000-0000-000006020000}"/>
    <cellStyle name="Normal 15 3 3 3" xfId="534" xr:uid="{00000000-0005-0000-0000-000007020000}"/>
    <cellStyle name="Normal 15 3 3 4" xfId="535" xr:uid="{00000000-0005-0000-0000-000008020000}"/>
    <cellStyle name="Normal 15 3 3 5" xfId="536" xr:uid="{00000000-0005-0000-0000-000009020000}"/>
    <cellStyle name="Normal 15 3 3 6" xfId="537" xr:uid="{00000000-0005-0000-0000-00000A020000}"/>
    <cellStyle name="Normal 15 3 4" xfId="538" xr:uid="{00000000-0005-0000-0000-00000B020000}"/>
    <cellStyle name="Normal 15 3 5" xfId="539" xr:uid="{00000000-0005-0000-0000-00000C020000}"/>
    <cellStyle name="Normal 15 3 6" xfId="540" xr:uid="{00000000-0005-0000-0000-00000D020000}"/>
    <cellStyle name="Normal 15 3 7" xfId="541" xr:uid="{00000000-0005-0000-0000-00000E020000}"/>
    <cellStyle name="Normal 15 3 8" xfId="542" xr:uid="{00000000-0005-0000-0000-00000F020000}"/>
    <cellStyle name="Normal 15 3_109. Nat'l Price (Jul09) - Leg" xfId="543" xr:uid="{00000000-0005-0000-0000-000010020000}"/>
    <cellStyle name="Normal 15 4" xfId="544" xr:uid="{00000000-0005-0000-0000-000011020000}"/>
    <cellStyle name="Normal 15 4 2" xfId="545" xr:uid="{00000000-0005-0000-0000-000012020000}"/>
    <cellStyle name="Normal 15 4 2 2" xfId="546" xr:uid="{00000000-0005-0000-0000-000013020000}"/>
    <cellStyle name="Normal 15 4 2 3" xfId="547" xr:uid="{00000000-0005-0000-0000-000014020000}"/>
    <cellStyle name="Normal 15 4 2 4" xfId="548" xr:uid="{00000000-0005-0000-0000-000015020000}"/>
    <cellStyle name="Normal 15 4 2 5" xfId="549" xr:uid="{00000000-0005-0000-0000-000016020000}"/>
    <cellStyle name="Normal 15 4 2 6" xfId="550" xr:uid="{00000000-0005-0000-0000-000017020000}"/>
    <cellStyle name="Normal 15 4 3" xfId="551" xr:uid="{00000000-0005-0000-0000-000018020000}"/>
    <cellStyle name="Normal 15 4 3 2" xfId="552" xr:uid="{00000000-0005-0000-0000-000019020000}"/>
    <cellStyle name="Normal 15 4 3 3" xfId="553" xr:uid="{00000000-0005-0000-0000-00001A020000}"/>
    <cellStyle name="Normal 15 4 3 4" xfId="554" xr:uid="{00000000-0005-0000-0000-00001B020000}"/>
    <cellStyle name="Normal 15 4 3 5" xfId="555" xr:uid="{00000000-0005-0000-0000-00001C020000}"/>
    <cellStyle name="Normal 15 4 3 6" xfId="556" xr:uid="{00000000-0005-0000-0000-00001D020000}"/>
    <cellStyle name="Normal 15 4 4" xfId="557" xr:uid="{00000000-0005-0000-0000-00001E020000}"/>
    <cellStyle name="Normal 15 4 5" xfId="558" xr:uid="{00000000-0005-0000-0000-00001F020000}"/>
    <cellStyle name="Normal 15 4 6" xfId="559" xr:uid="{00000000-0005-0000-0000-000020020000}"/>
    <cellStyle name="Normal 15 4 7" xfId="560" xr:uid="{00000000-0005-0000-0000-000021020000}"/>
    <cellStyle name="Normal 15 4 8" xfId="561" xr:uid="{00000000-0005-0000-0000-000022020000}"/>
    <cellStyle name="Normal 15 4_109. Nat'l Price (Jul09) - Leg" xfId="562" xr:uid="{00000000-0005-0000-0000-000023020000}"/>
    <cellStyle name="Normal 15 5" xfId="563" xr:uid="{00000000-0005-0000-0000-000024020000}"/>
    <cellStyle name="Normal 15 5 2" xfId="564" xr:uid="{00000000-0005-0000-0000-000025020000}"/>
    <cellStyle name="Normal 15 5 2 2" xfId="565" xr:uid="{00000000-0005-0000-0000-000026020000}"/>
    <cellStyle name="Normal 15 5 2 3" xfId="566" xr:uid="{00000000-0005-0000-0000-000027020000}"/>
    <cellStyle name="Normal 15 5 2 4" xfId="567" xr:uid="{00000000-0005-0000-0000-000028020000}"/>
    <cellStyle name="Normal 15 5 2 5" xfId="568" xr:uid="{00000000-0005-0000-0000-000029020000}"/>
    <cellStyle name="Normal 15 5 2 6" xfId="569" xr:uid="{00000000-0005-0000-0000-00002A020000}"/>
    <cellStyle name="Normal 15 5 3" xfId="570" xr:uid="{00000000-0005-0000-0000-00002B020000}"/>
    <cellStyle name="Normal 15 5 4" xfId="571" xr:uid="{00000000-0005-0000-0000-00002C020000}"/>
    <cellStyle name="Normal 15 5 5" xfId="572" xr:uid="{00000000-0005-0000-0000-00002D020000}"/>
    <cellStyle name="Normal 15 5 6" xfId="573" xr:uid="{00000000-0005-0000-0000-00002E020000}"/>
    <cellStyle name="Normal 15 5 7" xfId="574" xr:uid="{00000000-0005-0000-0000-00002F020000}"/>
    <cellStyle name="Normal 15 6" xfId="575" xr:uid="{00000000-0005-0000-0000-000030020000}"/>
    <cellStyle name="Normal 15 6 2" xfId="576" xr:uid="{00000000-0005-0000-0000-000031020000}"/>
    <cellStyle name="Normal 15 6 2 2" xfId="577" xr:uid="{00000000-0005-0000-0000-000032020000}"/>
    <cellStyle name="Normal 15 6 2 3" xfId="578" xr:uid="{00000000-0005-0000-0000-000033020000}"/>
    <cellStyle name="Normal 15 6 2 4" xfId="579" xr:uid="{00000000-0005-0000-0000-000034020000}"/>
    <cellStyle name="Normal 15 6 2 5" xfId="580" xr:uid="{00000000-0005-0000-0000-000035020000}"/>
    <cellStyle name="Normal 15 6 2 6" xfId="581" xr:uid="{00000000-0005-0000-0000-000036020000}"/>
    <cellStyle name="Normal 15 6 3" xfId="582" xr:uid="{00000000-0005-0000-0000-000037020000}"/>
    <cellStyle name="Normal 15 6 4" xfId="583" xr:uid="{00000000-0005-0000-0000-000038020000}"/>
    <cellStyle name="Normal 15 6 5" xfId="584" xr:uid="{00000000-0005-0000-0000-000039020000}"/>
    <cellStyle name="Normal 15 6 6" xfId="585" xr:uid="{00000000-0005-0000-0000-00003A020000}"/>
    <cellStyle name="Normal 15 6 7" xfId="586" xr:uid="{00000000-0005-0000-0000-00003B020000}"/>
    <cellStyle name="Normal 15 7" xfId="587" xr:uid="{00000000-0005-0000-0000-00003C020000}"/>
    <cellStyle name="Normal 15 7 2" xfId="588" xr:uid="{00000000-0005-0000-0000-00003D020000}"/>
    <cellStyle name="Normal 15 7 2 2" xfId="589" xr:uid="{00000000-0005-0000-0000-00003E020000}"/>
    <cellStyle name="Normal 15 7 2 3" xfId="590" xr:uid="{00000000-0005-0000-0000-00003F020000}"/>
    <cellStyle name="Normal 15 7 2 4" xfId="591" xr:uid="{00000000-0005-0000-0000-000040020000}"/>
    <cellStyle name="Normal 15 7 2 5" xfId="592" xr:uid="{00000000-0005-0000-0000-000041020000}"/>
    <cellStyle name="Normal 15 7 2 6" xfId="593" xr:uid="{00000000-0005-0000-0000-000042020000}"/>
    <cellStyle name="Normal 15 7 3" xfId="594" xr:uid="{00000000-0005-0000-0000-000043020000}"/>
    <cellStyle name="Normal 15 7 4" xfId="595" xr:uid="{00000000-0005-0000-0000-000044020000}"/>
    <cellStyle name="Normal 15 7 5" xfId="596" xr:uid="{00000000-0005-0000-0000-000045020000}"/>
    <cellStyle name="Normal 15 7 6" xfId="597" xr:uid="{00000000-0005-0000-0000-000046020000}"/>
    <cellStyle name="Normal 15 7 7" xfId="598" xr:uid="{00000000-0005-0000-0000-000047020000}"/>
    <cellStyle name="Normal 15 8" xfId="599" xr:uid="{00000000-0005-0000-0000-000048020000}"/>
    <cellStyle name="Normal 15 8 2" xfId="600" xr:uid="{00000000-0005-0000-0000-000049020000}"/>
    <cellStyle name="Normal 15 8 2 2" xfId="601" xr:uid="{00000000-0005-0000-0000-00004A020000}"/>
    <cellStyle name="Normal 15 8 2 3" xfId="602" xr:uid="{00000000-0005-0000-0000-00004B020000}"/>
    <cellStyle name="Normal 15 8 2 4" xfId="603" xr:uid="{00000000-0005-0000-0000-00004C020000}"/>
    <cellStyle name="Normal 15 8 2 5" xfId="604" xr:uid="{00000000-0005-0000-0000-00004D020000}"/>
    <cellStyle name="Normal 15 8 2 6" xfId="605" xr:uid="{00000000-0005-0000-0000-00004E020000}"/>
    <cellStyle name="Normal 15 8 3" xfId="606" xr:uid="{00000000-0005-0000-0000-00004F020000}"/>
    <cellStyle name="Normal 15 8 4" xfId="607" xr:uid="{00000000-0005-0000-0000-000050020000}"/>
    <cellStyle name="Normal 15 8 5" xfId="608" xr:uid="{00000000-0005-0000-0000-000051020000}"/>
    <cellStyle name="Normal 15 8 6" xfId="609" xr:uid="{00000000-0005-0000-0000-000052020000}"/>
    <cellStyle name="Normal 15 8 7" xfId="610" xr:uid="{00000000-0005-0000-0000-000053020000}"/>
    <cellStyle name="Normal 15 9" xfId="611" xr:uid="{00000000-0005-0000-0000-000054020000}"/>
    <cellStyle name="Normal 15 9 2" xfId="612" xr:uid="{00000000-0005-0000-0000-000055020000}"/>
    <cellStyle name="Normal 15 9 3" xfId="613" xr:uid="{00000000-0005-0000-0000-000056020000}"/>
    <cellStyle name="Normal 15 9 4" xfId="614" xr:uid="{00000000-0005-0000-0000-000057020000}"/>
    <cellStyle name="Normal 15 9 5" xfId="615" xr:uid="{00000000-0005-0000-0000-000058020000}"/>
    <cellStyle name="Normal 15 9 6" xfId="616" xr:uid="{00000000-0005-0000-0000-000059020000}"/>
    <cellStyle name="Normal 15_109. Nat'l Price (Jul09) - Leg" xfId="617" xr:uid="{00000000-0005-0000-0000-00005A020000}"/>
    <cellStyle name="Normal 16" xfId="618" xr:uid="{00000000-0005-0000-0000-00005B020000}"/>
    <cellStyle name="Normal 16 2" xfId="619" xr:uid="{00000000-0005-0000-0000-00005C020000}"/>
    <cellStyle name="Normal 16 2 2" xfId="620" xr:uid="{00000000-0005-0000-0000-00005D020000}"/>
    <cellStyle name="Normal 16 2 3" xfId="621" xr:uid="{00000000-0005-0000-0000-00005E020000}"/>
    <cellStyle name="Normal 16 2 4" xfId="622" xr:uid="{00000000-0005-0000-0000-00005F020000}"/>
    <cellStyle name="Normal 16 2 5" xfId="623" xr:uid="{00000000-0005-0000-0000-000060020000}"/>
    <cellStyle name="Normal 16 2 6" xfId="624" xr:uid="{00000000-0005-0000-0000-000061020000}"/>
    <cellStyle name="Normal 16 3" xfId="625" xr:uid="{00000000-0005-0000-0000-000062020000}"/>
    <cellStyle name="Normal 16 3 2" xfId="626" xr:uid="{00000000-0005-0000-0000-000063020000}"/>
    <cellStyle name="Normal 16 3 3" xfId="627" xr:uid="{00000000-0005-0000-0000-000064020000}"/>
    <cellStyle name="Normal 16 3 4" xfId="628" xr:uid="{00000000-0005-0000-0000-000065020000}"/>
    <cellStyle name="Normal 16 3 5" xfId="629" xr:uid="{00000000-0005-0000-0000-000066020000}"/>
    <cellStyle name="Normal 16 3 6" xfId="630" xr:uid="{00000000-0005-0000-0000-000067020000}"/>
    <cellStyle name="Normal 16 4" xfId="631" xr:uid="{00000000-0005-0000-0000-000068020000}"/>
    <cellStyle name="Normal 16 5" xfId="632" xr:uid="{00000000-0005-0000-0000-000069020000}"/>
    <cellStyle name="Normal 16 6" xfId="633" xr:uid="{00000000-0005-0000-0000-00006A020000}"/>
    <cellStyle name="Normal 16 7" xfId="634" xr:uid="{00000000-0005-0000-0000-00006B020000}"/>
    <cellStyle name="Normal 16 8" xfId="635" xr:uid="{00000000-0005-0000-0000-00006C020000}"/>
    <cellStyle name="Normal 16_109. Nat'l Price (Jul09) - Leg" xfId="636" xr:uid="{00000000-0005-0000-0000-00006D020000}"/>
    <cellStyle name="Normal 17" xfId="637" xr:uid="{00000000-0005-0000-0000-00006E020000}"/>
    <cellStyle name="Normal 18" xfId="638" xr:uid="{00000000-0005-0000-0000-00006F020000}"/>
    <cellStyle name="Normal 18 2" xfId="639" xr:uid="{00000000-0005-0000-0000-000070020000}"/>
    <cellStyle name="Normal 18 2 2" xfId="640" xr:uid="{00000000-0005-0000-0000-000071020000}"/>
    <cellStyle name="Normal 18 2 3" xfId="641" xr:uid="{00000000-0005-0000-0000-000072020000}"/>
    <cellStyle name="Normal 18 2 4" xfId="642" xr:uid="{00000000-0005-0000-0000-000073020000}"/>
    <cellStyle name="Normal 18 2 5" xfId="643" xr:uid="{00000000-0005-0000-0000-000074020000}"/>
    <cellStyle name="Normal 18 2 6" xfId="644" xr:uid="{00000000-0005-0000-0000-000075020000}"/>
    <cellStyle name="Normal 18 3" xfId="645" xr:uid="{00000000-0005-0000-0000-000076020000}"/>
    <cellStyle name="Normal 18 3 2" xfId="646" xr:uid="{00000000-0005-0000-0000-000077020000}"/>
    <cellStyle name="Normal 18 3 3" xfId="647" xr:uid="{00000000-0005-0000-0000-000078020000}"/>
    <cellStyle name="Normal 18 3 4" xfId="648" xr:uid="{00000000-0005-0000-0000-000079020000}"/>
    <cellStyle name="Normal 18 3 5" xfId="649" xr:uid="{00000000-0005-0000-0000-00007A020000}"/>
    <cellStyle name="Normal 18 3 6" xfId="650" xr:uid="{00000000-0005-0000-0000-00007B020000}"/>
    <cellStyle name="Normal 18 4" xfId="651" xr:uid="{00000000-0005-0000-0000-00007C020000}"/>
    <cellStyle name="Normal 18 5" xfId="652" xr:uid="{00000000-0005-0000-0000-00007D020000}"/>
    <cellStyle name="Normal 18 6" xfId="653" xr:uid="{00000000-0005-0000-0000-00007E020000}"/>
    <cellStyle name="Normal 18 7" xfId="654" xr:uid="{00000000-0005-0000-0000-00007F020000}"/>
    <cellStyle name="Normal 18 8" xfId="655" xr:uid="{00000000-0005-0000-0000-000080020000}"/>
    <cellStyle name="Normal 18_109. Nat'l Price (Jul09) - Leg" xfId="656" xr:uid="{00000000-0005-0000-0000-000081020000}"/>
    <cellStyle name="Normal 19" xfId="657" xr:uid="{00000000-0005-0000-0000-000082020000}"/>
    <cellStyle name="Normal 19 2" xfId="658" xr:uid="{00000000-0005-0000-0000-000083020000}"/>
    <cellStyle name="Normal 19 2 2" xfId="659" xr:uid="{00000000-0005-0000-0000-000084020000}"/>
    <cellStyle name="Normal 19 2 3" xfId="660" xr:uid="{00000000-0005-0000-0000-000085020000}"/>
    <cellStyle name="Normal 19 2 4" xfId="661" xr:uid="{00000000-0005-0000-0000-000086020000}"/>
    <cellStyle name="Normal 19 2 5" xfId="662" xr:uid="{00000000-0005-0000-0000-000087020000}"/>
    <cellStyle name="Normal 19 2 6" xfId="663" xr:uid="{00000000-0005-0000-0000-000088020000}"/>
    <cellStyle name="Normal 19 3" xfId="664" xr:uid="{00000000-0005-0000-0000-000089020000}"/>
    <cellStyle name="Normal 19 3 2" xfId="665" xr:uid="{00000000-0005-0000-0000-00008A020000}"/>
    <cellStyle name="Normal 19 3 3" xfId="666" xr:uid="{00000000-0005-0000-0000-00008B020000}"/>
    <cellStyle name="Normal 19 3 4" xfId="667" xr:uid="{00000000-0005-0000-0000-00008C020000}"/>
    <cellStyle name="Normal 19 3 5" xfId="668" xr:uid="{00000000-0005-0000-0000-00008D020000}"/>
    <cellStyle name="Normal 19 3 6" xfId="669" xr:uid="{00000000-0005-0000-0000-00008E020000}"/>
    <cellStyle name="Normal 19 4" xfId="670" xr:uid="{00000000-0005-0000-0000-00008F020000}"/>
    <cellStyle name="Normal 19 4 2" xfId="671" xr:uid="{00000000-0005-0000-0000-000090020000}"/>
    <cellStyle name="Normal 19 4 3" xfId="672" xr:uid="{00000000-0005-0000-0000-000091020000}"/>
    <cellStyle name="Normal 19 4 4" xfId="673" xr:uid="{00000000-0005-0000-0000-000092020000}"/>
    <cellStyle name="Normal 19 4 5" xfId="674" xr:uid="{00000000-0005-0000-0000-000093020000}"/>
    <cellStyle name="Normal 19 4 6" xfId="675" xr:uid="{00000000-0005-0000-0000-000094020000}"/>
    <cellStyle name="Normal 19 5" xfId="676" xr:uid="{00000000-0005-0000-0000-000095020000}"/>
    <cellStyle name="Normal 19 6" xfId="677" xr:uid="{00000000-0005-0000-0000-000096020000}"/>
    <cellStyle name="Normal 19 7" xfId="678" xr:uid="{00000000-0005-0000-0000-000097020000}"/>
    <cellStyle name="Normal 19 8" xfId="679" xr:uid="{00000000-0005-0000-0000-000098020000}"/>
    <cellStyle name="Normal 19 9" xfId="680" xr:uid="{00000000-0005-0000-0000-000099020000}"/>
    <cellStyle name="Normal 2" xfId="681" xr:uid="{00000000-0005-0000-0000-00009A020000}"/>
    <cellStyle name="Normal 2 10" xfId="682" xr:uid="{00000000-0005-0000-0000-00009B020000}"/>
    <cellStyle name="Normal 2 11" xfId="683" xr:uid="{00000000-0005-0000-0000-00009C020000}"/>
    <cellStyle name="Normal 2 12" xfId="684" xr:uid="{00000000-0005-0000-0000-00009D020000}"/>
    <cellStyle name="Normal 2 12 2" xfId="685" xr:uid="{00000000-0005-0000-0000-00009E020000}"/>
    <cellStyle name="Normal 2 12 2 2" xfId="686" xr:uid="{00000000-0005-0000-0000-00009F020000}"/>
    <cellStyle name="Normal 2 12 2 3" xfId="687" xr:uid="{00000000-0005-0000-0000-0000A0020000}"/>
    <cellStyle name="Normal 2 12 2 4" xfId="688" xr:uid="{00000000-0005-0000-0000-0000A1020000}"/>
    <cellStyle name="Normal 2 12 3" xfId="689" xr:uid="{00000000-0005-0000-0000-0000A2020000}"/>
    <cellStyle name="Normal 2 12 4" xfId="690" xr:uid="{00000000-0005-0000-0000-0000A3020000}"/>
    <cellStyle name="Normal 2 12 5" xfId="691" xr:uid="{00000000-0005-0000-0000-0000A4020000}"/>
    <cellStyle name="Normal 2 13" xfId="692" xr:uid="{00000000-0005-0000-0000-0000A5020000}"/>
    <cellStyle name="Normal 2 13 2" xfId="693" xr:uid="{00000000-0005-0000-0000-0000A6020000}"/>
    <cellStyle name="Normal 2 13 2 2" xfId="694" xr:uid="{00000000-0005-0000-0000-0000A7020000}"/>
    <cellStyle name="Normal 2 13 2 3" xfId="695" xr:uid="{00000000-0005-0000-0000-0000A8020000}"/>
    <cellStyle name="Normal 2 13 2 4" xfId="696" xr:uid="{00000000-0005-0000-0000-0000A9020000}"/>
    <cellStyle name="Normal 2 13 3" xfId="697" xr:uid="{00000000-0005-0000-0000-0000AA020000}"/>
    <cellStyle name="Normal 2 13 4" xfId="698" xr:uid="{00000000-0005-0000-0000-0000AB020000}"/>
    <cellStyle name="Normal 2 13 5" xfId="699" xr:uid="{00000000-0005-0000-0000-0000AC020000}"/>
    <cellStyle name="Normal 2 14" xfId="700" xr:uid="{00000000-0005-0000-0000-0000AD020000}"/>
    <cellStyle name="Normal 2 14 2" xfId="701" xr:uid="{00000000-0005-0000-0000-0000AE020000}"/>
    <cellStyle name="Normal 2 14 2 2" xfId="702" xr:uid="{00000000-0005-0000-0000-0000AF020000}"/>
    <cellStyle name="Normal 2 14 2 3" xfId="703" xr:uid="{00000000-0005-0000-0000-0000B0020000}"/>
    <cellStyle name="Normal 2 14 2 4" xfId="704" xr:uid="{00000000-0005-0000-0000-0000B1020000}"/>
    <cellStyle name="Normal 2 14 3" xfId="705" xr:uid="{00000000-0005-0000-0000-0000B2020000}"/>
    <cellStyle name="Normal 2 14 4" xfId="706" xr:uid="{00000000-0005-0000-0000-0000B3020000}"/>
    <cellStyle name="Normal 2 14 5" xfId="707" xr:uid="{00000000-0005-0000-0000-0000B4020000}"/>
    <cellStyle name="Normal 2 15" xfId="708" xr:uid="{00000000-0005-0000-0000-0000B5020000}"/>
    <cellStyle name="Normal 2 15 2" xfId="709" xr:uid="{00000000-0005-0000-0000-0000B6020000}"/>
    <cellStyle name="Normal 2 15 2 2" xfId="710" xr:uid="{00000000-0005-0000-0000-0000B7020000}"/>
    <cellStyle name="Normal 2 15 2 3" xfId="711" xr:uid="{00000000-0005-0000-0000-0000B8020000}"/>
    <cellStyle name="Normal 2 15 2 4" xfId="712" xr:uid="{00000000-0005-0000-0000-0000B9020000}"/>
    <cellStyle name="Normal 2 15 3" xfId="713" xr:uid="{00000000-0005-0000-0000-0000BA020000}"/>
    <cellStyle name="Normal 2 15 4" xfId="714" xr:uid="{00000000-0005-0000-0000-0000BB020000}"/>
    <cellStyle name="Normal 2 15 5" xfId="715" xr:uid="{00000000-0005-0000-0000-0000BC020000}"/>
    <cellStyle name="Normal 2 16" xfId="716" xr:uid="{00000000-0005-0000-0000-0000BD020000}"/>
    <cellStyle name="Normal 2 16 2" xfId="717" xr:uid="{00000000-0005-0000-0000-0000BE020000}"/>
    <cellStyle name="Normal 2 16 3" xfId="718" xr:uid="{00000000-0005-0000-0000-0000BF020000}"/>
    <cellStyle name="Normal 2 16 4" xfId="719" xr:uid="{00000000-0005-0000-0000-0000C0020000}"/>
    <cellStyle name="Normal 2 17" xfId="720" xr:uid="{00000000-0005-0000-0000-0000C1020000}"/>
    <cellStyle name="Normal 2 17 2" xfId="721" xr:uid="{00000000-0005-0000-0000-0000C2020000}"/>
    <cellStyle name="Normal 2 17 3" xfId="722" xr:uid="{00000000-0005-0000-0000-0000C3020000}"/>
    <cellStyle name="Normal 2 17 4" xfId="723" xr:uid="{00000000-0005-0000-0000-0000C4020000}"/>
    <cellStyle name="Normal 2 18" xfId="724" xr:uid="{00000000-0005-0000-0000-0000C5020000}"/>
    <cellStyle name="Normal 2 19" xfId="725" xr:uid="{00000000-0005-0000-0000-0000C6020000}"/>
    <cellStyle name="Normal 2 2" xfId="726" xr:uid="{00000000-0005-0000-0000-0000C7020000}"/>
    <cellStyle name="Normal 2 2 10" xfId="727" xr:uid="{00000000-0005-0000-0000-0000C8020000}"/>
    <cellStyle name="Normal 2 2 11" xfId="728" xr:uid="{00000000-0005-0000-0000-0000C9020000}"/>
    <cellStyle name="Normal 2 2 12" xfId="729" xr:uid="{00000000-0005-0000-0000-0000CA020000}"/>
    <cellStyle name="Normal 2 2 13" xfId="730" xr:uid="{00000000-0005-0000-0000-0000CB020000}"/>
    <cellStyle name="Normal 2 2 14" xfId="731" xr:uid="{00000000-0005-0000-0000-0000CC020000}"/>
    <cellStyle name="Normal 2 2 15" xfId="732" xr:uid="{00000000-0005-0000-0000-0000CD020000}"/>
    <cellStyle name="Normal 2 2 16" xfId="733" xr:uid="{00000000-0005-0000-0000-0000CE020000}"/>
    <cellStyle name="Normal 2 2 17" xfId="734" xr:uid="{00000000-0005-0000-0000-0000CF020000}"/>
    <cellStyle name="Normal 2 2 18" xfId="735" xr:uid="{00000000-0005-0000-0000-0000D0020000}"/>
    <cellStyle name="Normal 2 2 19" xfId="736" xr:uid="{00000000-0005-0000-0000-0000D1020000}"/>
    <cellStyle name="Normal 2 2 2" xfId="737" xr:uid="{00000000-0005-0000-0000-0000D2020000}"/>
    <cellStyle name="Normal 2 2 2 10" xfId="738" xr:uid="{00000000-0005-0000-0000-0000D3020000}"/>
    <cellStyle name="Normal 2 2 2 11" xfId="739" xr:uid="{00000000-0005-0000-0000-0000D4020000}"/>
    <cellStyle name="Normal 2 2 2 12" xfId="740" xr:uid="{00000000-0005-0000-0000-0000D5020000}"/>
    <cellStyle name="Normal 2 2 2 13" xfId="741" xr:uid="{00000000-0005-0000-0000-0000D6020000}"/>
    <cellStyle name="Normal 2 2 2 14" xfId="742" xr:uid="{00000000-0005-0000-0000-0000D7020000}"/>
    <cellStyle name="Normal 2 2 2 15" xfId="743" xr:uid="{00000000-0005-0000-0000-0000D8020000}"/>
    <cellStyle name="Normal 2 2 2 16" xfId="744" xr:uid="{00000000-0005-0000-0000-0000D9020000}"/>
    <cellStyle name="Normal 2 2 2 17" xfId="745" xr:uid="{00000000-0005-0000-0000-0000DA020000}"/>
    <cellStyle name="Normal 2 2 2 18" xfId="746" xr:uid="{00000000-0005-0000-0000-0000DB020000}"/>
    <cellStyle name="Normal 2 2 2 2" xfId="747" xr:uid="{00000000-0005-0000-0000-0000DC020000}"/>
    <cellStyle name="Normal 2 2 2 2 10" xfId="748" xr:uid="{00000000-0005-0000-0000-0000DD020000}"/>
    <cellStyle name="Normal 2 2 2 2 11" xfId="749" xr:uid="{00000000-0005-0000-0000-0000DE020000}"/>
    <cellStyle name="Normal 2 2 2 2 12" xfId="750" xr:uid="{00000000-0005-0000-0000-0000DF020000}"/>
    <cellStyle name="Normal 2 2 2 2 13" xfId="751" xr:uid="{00000000-0005-0000-0000-0000E0020000}"/>
    <cellStyle name="Normal 2 2 2 2 14" xfId="752" xr:uid="{00000000-0005-0000-0000-0000E1020000}"/>
    <cellStyle name="Normal 2 2 2 2 15" xfId="753" xr:uid="{00000000-0005-0000-0000-0000E2020000}"/>
    <cellStyle name="Normal 2 2 2 2 16" xfId="754" xr:uid="{00000000-0005-0000-0000-0000E3020000}"/>
    <cellStyle name="Normal 2 2 2 2 17" xfId="755" xr:uid="{00000000-0005-0000-0000-0000E4020000}"/>
    <cellStyle name="Normal 2 2 2 2 18" xfId="756" xr:uid="{00000000-0005-0000-0000-0000E5020000}"/>
    <cellStyle name="Normal 2 2 2 2 2" xfId="757" xr:uid="{00000000-0005-0000-0000-0000E6020000}"/>
    <cellStyle name="Normal 2 2 2 2 2 10" xfId="758" xr:uid="{00000000-0005-0000-0000-0000E7020000}"/>
    <cellStyle name="Normal 2 2 2 2 2 11" xfId="759" xr:uid="{00000000-0005-0000-0000-0000E8020000}"/>
    <cellStyle name="Normal 2 2 2 2 2 2" xfId="760" xr:uid="{00000000-0005-0000-0000-0000E9020000}"/>
    <cellStyle name="Normal 2 2 2 2 2 2 10" xfId="761" xr:uid="{00000000-0005-0000-0000-0000EA020000}"/>
    <cellStyle name="Normal 2 2 2 2 2 2 11" xfId="762" xr:uid="{00000000-0005-0000-0000-0000EB020000}"/>
    <cellStyle name="Normal 2 2 2 2 2 2 2" xfId="763" xr:uid="{00000000-0005-0000-0000-0000EC020000}"/>
    <cellStyle name="Normal 2 2 2 2 2 2 2 10" xfId="764" xr:uid="{00000000-0005-0000-0000-0000ED020000}"/>
    <cellStyle name="Normal 2 2 2 2 2 2 2 2" xfId="765" xr:uid="{00000000-0005-0000-0000-0000EE020000}"/>
    <cellStyle name="Normal 2 2 2 2 2 2 2 3" xfId="766" xr:uid="{00000000-0005-0000-0000-0000EF020000}"/>
    <cellStyle name="Normal 2 2 2 2 2 2 2 4" xfId="767" xr:uid="{00000000-0005-0000-0000-0000F0020000}"/>
    <cellStyle name="Normal 2 2 2 2 2 2 2 5" xfId="768" xr:uid="{00000000-0005-0000-0000-0000F1020000}"/>
    <cellStyle name="Normal 2 2 2 2 2 2 2 6" xfId="769" xr:uid="{00000000-0005-0000-0000-0000F2020000}"/>
    <cellStyle name="Normal 2 2 2 2 2 2 2 7" xfId="770" xr:uid="{00000000-0005-0000-0000-0000F3020000}"/>
    <cellStyle name="Normal 2 2 2 2 2 2 2 8" xfId="771" xr:uid="{00000000-0005-0000-0000-0000F4020000}"/>
    <cellStyle name="Normal 2 2 2 2 2 2 2 9" xfId="772" xr:uid="{00000000-0005-0000-0000-0000F5020000}"/>
    <cellStyle name="Normal 2 2 2 2 2 2 3" xfId="773" xr:uid="{00000000-0005-0000-0000-0000F6020000}"/>
    <cellStyle name="Normal 2 2 2 2 2 2 4" xfId="774" xr:uid="{00000000-0005-0000-0000-0000F7020000}"/>
    <cellStyle name="Normal 2 2 2 2 2 2 5" xfId="775" xr:uid="{00000000-0005-0000-0000-0000F8020000}"/>
    <cellStyle name="Normal 2 2 2 2 2 2 6" xfId="776" xr:uid="{00000000-0005-0000-0000-0000F9020000}"/>
    <cellStyle name="Normal 2 2 2 2 2 2 7" xfId="777" xr:uid="{00000000-0005-0000-0000-0000FA020000}"/>
    <cellStyle name="Normal 2 2 2 2 2 2 8" xfId="778" xr:uid="{00000000-0005-0000-0000-0000FB020000}"/>
    <cellStyle name="Normal 2 2 2 2 2 2 9" xfId="779" xr:uid="{00000000-0005-0000-0000-0000FC020000}"/>
    <cellStyle name="Normal 2 2 2 2 2 3" xfId="780" xr:uid="{00000000-0005-0000-0000-0000FD020000}"/>
    <cellStyle name="Normal 2 2 2 2 2 4" xfId="781" xr:uid="{00000000-0005-0000-0000-0000FE020000}"/>
    <cellStyle name="Normal 2 2 2 2 2 5" xfId="782" xr:uid="{00000000-0005-0000-0000-0000FF020000}"/>
    <cellStyle name="Normal 2 2 2 2 2 6" xfId="783" xr:uid="{00000000-0005-0000-0000-000000030000}"/>
    <cellStyle name="Normal 2 2 2 2 2 7" xfId="784" xr:uid="{00000000-0005-0000-0000-000001030000}"/>
    <cellStyle name="Normal 2 2 2 2 2 8" xfId="785" xr:uid="{00000000-0005-0000-0000-000002030000}"/>
    <cellStyle name="Normal 2 2 2 2 2 9" xfId="786" xr:uid="{00000000-0005-0000-0000-000003030000}"/>
    <cellStyle name="Normal 2 2 2 2 3" xfId="787" xr:uid="{00000000-0005-0000-0000-000004030000}"/>
    <cellStyle name="Normal 2 2 2 2 4" xfId="788" xr:uid="{00000000-0005-0000-0000-000005030000}"/>
    <cellStyle name="Normal 2 2 2 2 5" xfId="789" xr:uid="{00000000-0005-0000-0000-000006030000}"/>
    <cellStyle name="Normal 2 2 2 2 6" xfId="790" xr:uid="{00000000-0005-0000-0000-000007030000}"/>
    <cellStyle name="Normal 2 2 2 2 7" xfId="791" xr:uid="{00000000-0005-0000-0000-000008030000}"/>
    <cellStyle name="Normal 2 2 2 2 8" xfId="792" xr:uid="{00000000-0005-0000-0000-000009030000}"/>
    <cellStyle name="Normal 2 2 2 2 9" xfId="793" xr:uid="{00000000-0005-0000-0000-00000A030000}"/>
    <cellStyle name="Normal 2 2 2 2_109. Nat'l Price (Jul09) - Leg" xfId="794" xr:uid="{00000000-0005-0000-0000-00000B030000}"/>
    <cellStyle name="Normal 2 2 2 3" xfId="795" xr:uid="{00000000-0005-0000-0000-00000C030000}"/>
    <cellStyle name="Normal 2 2 2 3 2" xfId="796" xr:uid="{00000000-0005-0000-0000-00000D030000}"/>
    <cellStyle name="Normal 2 2 2 3 2 2" xfId="797" xr:uid="{00000000-0005-0000-0000-00000E030000}"/>
    <cellStyle name="Normal 2 2 2 3 2 3" xfId="798" xr:uid="{00000000-0005-0000-0000-00000F030000}"/>
    <cellStyle name="Normal 2 2 2 3 3" xfId="799" xr:uid="{00000000-0005-0000-0000-000010030000}"/>
    <cellStyle name="Normal 2 2 2 3_109. Nat'l Price (Jul09) - Leg" xfId="800" xr:uid="{00000000-0005-0000-0000-000011030000}"/>
    <cellStyle name="Normal 2 2 2 4" xfId="801" xr:uid="{00000000-0005-0000-0000-000012030000}"/>
    <cellStyle name="Normal 2 2 2 5" xfId="802" xr:uid="{00000000-0005-0000-0000-000013030000}"/>
    <cellStyle name="Normal 2 2 2 6" xfId="803" xr:uid="{00000000-0005-0000-0000-000014030000}"/>
    <cellStyle name="Normal 2 2 2 7" xfId="804" xr:uid="{00000000-0005-0000-0000-000015030000}"/>
    <cellStyle name="Normal 2 2 2 8" xfId="805" xr:uid="{00000000-0005-0000-0000-000016030000}"/>
    <cellStyle name="Normal 2 2 2 9" xfId="806" xr:uid="{00000000-0005-0000-0000-000017030000}"/>
    <cellStyle name="Normal 2 2 20" xfId="807" xr:uid="{00000000-0005-0000-0000-000018030000}"/>
    <cellStyle name="Normal 2 2 21" xfId="808" xr:uid="{00000000-0005-0000-0000-000019030000}"/>
    <cellStyle name="Normal 2 2 3" xfId="809" xr:uid="{00000000-0005-0000-0000-00001A030000}"/>
    <cellStyle name="Normal 2 2 4" xfId="810" xr:uid="{00000000-0005-0000-0000-00001B030000}"/>
    <cellStyle name="Normal 2 2 5" xfId="811" xr:uid="{00000000-0005-0000-0000-00001C030000}"/>
    <cellStyle name="Normal 2 2 5 2" xfId="812" xr:uid="{00000000-0005-0000-0000-00001D030000}"/>
    <cellStyle name="Normal 2 2 5 2 2" xfId="813" xr:uid="{00000000-0005-0000-0000-00001E030000}"/>
    <cellStyle name="Normal 2 2 5 2 3" xfId="814" xr:uid="{00000000-0005-0000-0000-00001F030000}"/>
    <cellStyle name="Normal 2 2 5 3" xfId="815" xr:uid="{00000000-0005-0000-0000-000020030000}"/>
    <cellStyle name="Normal 2 2 6" xfId="816" xr:uid="{00000000-0005-0000-0000-000021030000}"/>
    <cellStyle name="Normal 2 2 7" xfId="817" xr:uid="{00000000-0005-0000-0000-000022030000}"/>
    <cellStyle name="Normal 2 2 8" xfId="818" xr:uid="{00000000-0005-0000-0000-000023030000}"/>
    <cellStyle name="Normal 2 2 9" xfId="819" xr:uid="{00000000-0005-0000-0000-000024030000}"/>
    <cellStyle name="Normal 2 2_109. Nat'l Price (Jul09) - Leg" xfId="820" xr:uid="{00000000-0005-0000-0000-000025030000}"/>
    <cellStyle name="Normal 2 20" xfId="821" xr:uid="{00000000-0005-0000-0000-000026030000}"/>
    <cellStyle name="Normal 2 21" xfId="822" xr:uid="{00000000-0005-0000-0000-000027030000}"/>
    <cellStyle name="Normal 2 22" xfId="823" xr:uid="{00000000-0005-0000-0000-000028030000}"/>
    <cellStyle name="Normal 2 23" xfId="824" xr:uid="{00000000-0005-0000-0000-000029030000}"/>
    <cellStyle name="Normal 2 24" xfId="825" xr:uid="{00000000-0005-0000-0000-00002A030000}"/>
    <cellStyle name="Normal 2 25" xfId="826" xr:uid="{00000000-0005-0000-0000-00002B030000}"/>
    <cellStyle name="Normal 2 26" xfId="827" xr:uid="{00000000-0005-0000-0000-00002C030000}"/>
    <cellStyle name="Normal 2 3" xfId="828" xr:uid="{00000000-0005-0000-0000-00002D030000}"/>
    <cellStyle name="Normal 2 4" xfId="829" xr:uid="{00000000-0005-0000-0000-00002E030000}"/>
    <cellStyle name="Normal 2 5" xfId="830" xr:uid="{00000000-0005-0000-0000-00002F030000}"/>
    <cellStyle name="Normal 2 6" xfId="831" xr:uid="{00000000-0005-0000-0000-000030030000}"/>
    <cellStyle name="Normal 2 7" xfId="832" xr:uid="{00000000-0005-0000-0000-000031030000}"/>
    <cellStyle name="Normal 2 8" xfId="833" xr:uid="{00000000-0005-0000-0000-000032030000}"/>
    <cellStyle name="Normal 2 9" xfId="834" xr:uid="{00000000-0005-0000-0000-000033030000}"/>
    <cellStyle name="Normal 2 9 2" xfId="835" xr:uid="{00000000-0005-0000-0000-000034030000}"/>
    <cellStyle name="Normal 2 9 2 2" xfId="836" xr:uid="{00000000-0005-0000-0000-000035030000}"/>
    <cellStyle name="Normal 2 9 2 3" xfId="837" xr:uid="{00000000-0005-0000-0000-000036030000}"/>
    <cellStyle name="Normal 2 9 3" xfId="838" xr:uid="{00000000-0005-0000-0000-000037030000}"/>
    <cellStyle name="Normal 2 9_109. Nat'l Price (Jul09) - Leg" xfId="839" xr:uid="{00000000-0005-0000-0000-000038030000}"/>
    <cellStyle name="Normal 20" xfId="840" xr:uid="{00000000-0005-0000-0000-000039030000}"/>
    <cellStyle name="Normal 20 2" xfId="841" xr:uid="{00000000-0005-0000-0000-00003A030000}"/>
    <cellStyle name="Normal 21" xfId="842" xr:uid="{00000000-0005-0000-0000-00003B030000}"/>
    <cellStyle name="Normal 21 2" xfId="843" xr:uid="{00000000-0005-0000-0000-00003C030000}"/>
    <cellStyle name="Normal 21 2 2" xfId="844" xr:uid="{00000000-0005-0000-0000-00003D030000}"/>
    <cellStyle name="Normal 21 2 3" xfId="845" xr:uid="{00000000-0005-0000-0000-00003E030000}"/>
    <cellStyle name="Normal 21 2 4" xfId="846" xr:uid="{00000000-0005-0000-0000-00003F030000}"/>
    <cellStyle name="Normal 21 2 5" xfId="847" xr:uid="{00000000-0005-0000-0000-000040030000}"/>
    <cellStyle name="Normal 21 2 6" xfId="848" xr:uid="{00000000-0005-0000-0000-000041030000}"/>
    <cellStyle name="Normal 21 3" xfId="849" xr:uid="{00000000-0005-0000-0000-000042030000}"/>
    <cellStyle name="Normal 21 3 2" xfId="850" xr:uid="{00000000-0005-0000-0000-000043030000}"/>
    <cellStyle name="Normal 21 3 3" xfId="851" xr:uid="{00000000-0005-0000-0000-000044030000}"/>
    <cellStyle name="Normal 21 3 4" xfId="852" xr:uid="{00000000-0005-0000-0000-000045030000}"/>
    <cellStyle name="Normal 21 3 5" xfId="853" xr:uid="{00000000-0005-0000-0000-000046030000}"/>
    <cellStyle name="Normal 21 3 6" xfId="854" xr:uid="{00000000-0005-0000-0000-000047030000}"/>
    <cellStyle name="Normal 21 4" xfId="855" xr:uid="{00000000-0005-0000-0000-000048030000}"/>
    <cellStyle name="Normal 21 5" xfId="856" xr:uid="{00000000-0005-0000-0000-000049030000}"/>
    <cellStyle name="Normal 21 6" xfId="857" xr:uid="{00000000-0005-0000-0000-00004A030000}"/>
    <cellStyle name="Normal 21 7" xfId="858" xr:uid="{00000000-0005-0000-0000-00004B030000}"/>
    <cellStyle name="Normal 21 8" xfId="859" xr:uid="{00000000-0005-0000-0000-00004C030000}"/>
    <cellStyle name="Normal 22" xfId="860" xr:uid="{00000000-0005-0000-0000-00004D030000}"/>
    <cellStyle name="Normal 22 2" xfId="861" xr:uid="{00000000-0005-0000-0000-00004E030000}"/>
    <cellStyle name="Normal 22 2 2" xfId="862" xr:uid="{00000000-0005-0000-0000-00004F030000}"/>
    <cellStyle name="Normal 22 2 3" xfId="863" xr:uid="{00000000-0005-0000-0000-000050030000}"/>
    <cellStyle name="Normal 22 2 4" xfId="864" xr:uid="{00000000-0005-0000-0000-000051030000}"/>
    <cellStyle name="Normal 22 2 5" xfId="865" xr:uid="{00000000-0005-0000-0000-000052030000}"/>
    <cellStyle name="Normal 22 2 6" xfId="866" xr:uid="{00000000-0005-0000-0000-000053030000}"/>
    <cellStyle name="Normal 22 3" xfId="867" xr:uid="{00000000-0005-0000-0000-000054030000}"/>
    <cellStyle name="Normal 22 3 2" xfId="868" xr:uid="{00000000-0005-0000-0000-000055030000}"/>
    <cellStyle name="Normal 22 3 3" xfId="869" xr:uid="{00000000-0005-0000-0000-000056030000}"/>
    <cellStyle name="Normal 22 3 4" xfId="870" xr:uid="{00000000-0005-0000-0000-000057030000}"/>
    <cellStyle name="Normal 22 3 5" xfId="871" xr:uid="{00000000-0005-0000-0000-000058030000}"/>
    <cellStyle name="Normal 22 3 6" xfId="872" xr:uid="{00000000-0005-0000-0000-000059030000}"/>
    <cellStyle name="Normal 22 4" xfId="873" xr:uid="{00000000-0005-0000-0000-00005A030000}"/>
    <cellStyle name="Normal 22 5" xfId="874" xr:uid="{00000000-0005-0000-0000-00005B030000}"/>
    <cellStyle name="Normal 22 6" xfId="875" xr:uid="{00000000-0005-0000-0000-00005C030000}"/>
    <cellStyle name="Normal 22 7" xfId="876" xr:uid="{00000000-0005-0000-0000-00005D030000}"/>
    <cellStyle name="Normal 22 8" xfId="877" xr:uid="{00000000-0005-0000-0000-00005E030000}"/>
    <cellStyle name="Normal 23" xfId="878" xr:uid="{00000000-0005-0000-0000-00005F030000}"/>
    <cellStyle name="Normal 23 2" xfId="879" xr:uid="{00000000-0005-0000-0000-000060030000}"/>
    <cellStyle name="Normal 23 2 2" xfId="880" xr:uid="{00000000-0005-0000-0000-000061030000}"/>
    <cellStyle name="Normal 23 2 3" xfId="881" xr:uid="{00000000-0005-0000-0000-000062030000}"/>
    <cellStyle name="Normal 23 2 4" xfId="882" xr:uid="{00000000-0005-0000-0000-000063030000}"/>
    <cellStyle name="Normal 23 2 5" xfId="883" xr:uid="{00000000-0005-0000-0000-000064030000}"/>
    <cellStyle name="Normal 23 2 6" xfId="884" xr:uid="{00000000-0005-0000-0000-000065030000}"/>
    <cellStyle name="Normal 23 3" xfId="885" xr:uid="{00000000-0005-0000-0000-000066030000}"/>
    <cellStyle name="Normal 23 3 2" xfId="886" xr:uid="{00000000-0005-0000-0000-000067030000}"/>
    <cellStyle name="Normal 23 3 3" xfId="887" xr:uid="{00000000-0005-0000-0000-000068030000}"/>
    <cellStyle name="Normal 23 3 4" xfId="888" xr:uid="{00000000-0005-0000-0000-000069030000}"/>
    <cellStyle name="Normal 23 3 5" xfId="889" xr:uid="{00000000-0005-0000-0000-00006A030000}"/>
    <cellStyle name="Normal 23 3 6" xfId="890" xr:uid="{00000000-0005-0000-0000-00006B030000}"/>
    <cellStyle name="Normal 23 4" xfId="891" xr:uid="{00000000-0005-0000-0000-00006C030000}"/>
    <cellStyle name="Normal 23 5" xfId="892" xr:uid="{00000000-0005-0000-0000-00006D030000}"/>
    <cellStyle name="Normal 23 6" xfId="893" xr:uid="{00000000-0005-0000-0000-00006E030000}"/>
    <cellStyle name="Normal 23 7" xfId="894" xr:uid="{00000000-0005-0000-0000-00006F030000}"/>
    <cellStyle name="Normal 23 8" xfId="895" xr:uid="{00000000-0005-0000-0000-000070030000}"/>
    <cellStyle name="Normal 24" xfId="896" xr:uid="{00000000-0005-0000-0000-000071030000}"/>
    <cellStyle name="Normal 24 2" xfId="897" xr:uid="{00000000-0005-0000-0000-000072030000}"/>
    <cellStyle name="Normal 25" xfId="898" xr:uid="{00000000-0005-0000-0000-000073030000}"/>
    <cellStyle name="Normal 25 2" xfId="899" xr:uid="{00000000-0005-0000-0000-000074030000}"/>
    <cellStyle name="Normal 26" xfId="900" xr:uid="{00000000-0005-0000-0000-000075030000}"/>
    <cellStyle name="Normal 26 10" xfId="901" xr:uid="{00000000-0005-0000-0000-000076030000}"/>
    <cellStyle name="Normal 26 11" xfId="902" xr:uid="{00000000-0005-0000-0000-000077030000}"/>
    <cellStyle name="Normal 26 12" xfId="903" xr:uid="{00000000-0005-0000-0000-000078030000}"/>
    <cellStyle name="Normal 26 13" xfId="904" xr:uid="{00000000-0005-0000-0000-000079030000}"/>
    <cellStyle name="Normal 26 14" xfId="905" xr:uid="{00000000-0005-0000-0000-00007A030000}"/>
    <cellStyle name="Normal 26 15" xfId="906" xr:uid="{00000000-0005-0000-0000-00007B030000}"/>
    <cellStyle name="Normal 26 16" xfId="907" xr:uid="{00000000-0005-0000-0000-00007C030000}"/>
    <cellStyle name="Normal 26 17" xfId="908" xr:uid="{00000000-0005-0000-0000-00007D030000}"/>
    <cellStyle name="Normal 26 18" xfId="909" xr:uid="{00000000-0005-0000-0000-00007E030000}"/>
    <cellStyle name="Normal 26 19" xfId="910" xr:uid="{00000000-0005-0000-0000-00007F030000}"/>
    <cellStyle name="Normal 26 2" xfId="911" xr:uid="{00000000-0005-0000-0000-000080030000}"/>
    <cellStyle name="Normal 26 2 2" xfId="912" xr:uid="{00000000-0005-0000-0000-000081030000}"/>
    <cellStyle name="Normal 26 2 3" xfId="913" xr:uid="{00000000-0005-0000-0000-000082030000}"/>
    <cellStyle name="Normal 26 2 4" xfId="914" xr:uid="{00000000-0005-0000-0000-000083030000}"/>
    <cellStyle name="Normal 26 20" xfId="915" xr:uid="{00000000-0005-0000-0000-000084030000}"/>
    <cellStyle name="Normal 26 21" xfId="916" xr:uid="{00000000-0005-0000-0000-000085030000}"/>
    <cellStyle name="Normal 26 22" xfId="917" xr:uid="{00000000-0005-0000-0000-000086030000}"/>
    <cellStyle name="Normal 26 23" xfId="918" xr:uid="{00000000-0005-0000-0000-000087030000}"/>
    <cellStyle name="Normal 26 24" xfId="919" xr:uid="{00000000-0005-0000-0000-000088030000}"/>
    <cellStyle name="Normal 26 25" xfId="920" xr:uid="{00000000-0005-0000-0000-000089030000}"/>
    <cellStyle name="Normal 26 26" xfId="921" xr:uid="{00000000-0005-0000-0000-00008A030000}"/>
    <cellStyle name="Normal 26 27" xfId="922" xr:uid="{00000000-0005-0000-0000-00008B030000}"/>
    <cellStyle name="Normal 26 28" xfId="923" xr:uid="{00000000-0005-0000-0000-00008C030000}"/>
    <cellStyle name="Normal 26 29" xfId="924" xr:uid="{00000000-0005-0000-0000-00008D030000}"/>
    <cellStyle name="Normal 26 3" xfId="925" xr:uid="{00000000-0005-0000-0000-00008E030000}"/>
    <cellStyle name="Normal 26 3 2" xfId="926" xr:uid="{00000000-0005-0000-0000-00008F030000}"/>
    <cellStyle name="Normal 26 3 3" xfId="927" xr:uid="{00000000-0005-0000-0000-000090030000}"/>
    <cellStyle name="Normal 26 3 4" xfId="928" xr:uid="{00000000-0005-0000-0000-000091030000}"/>
    <cellStyle name="Normal 26 4" xfId="929" xr:uid="{00000000-0005-0000-0000-000092030000}"/>
    <cellStyle name="Normal 26 5" xfId="930" xr:uid="{00000000-0005-0000-0000-000093030000}"/>
    <cellStyle name="Normal 26 6" xfId="931" xr:uid="{00000000-0005-0000-0000-000094030000}"/>
    <cellStyle name="Normal 26 7" xfId="932" xr:uid="{00000000-0005-0000-0000-000095030000}"/>
    <cellStyle name="Normal 26 8" xfId="933" xr:uid="{00000000-0005-0000-0000-000096030000}"/>
    <cellStyle name="Normal 26 9" xfId="934" xr:uid="{00000000-0005-0000-0000-000097030000}"/>
    <cellStyle name="Normal 27" xfId="935" xr:uid="{00000000-0005-0000-0000-000098030000}"/>
    <cellStyle name="Normal 27 2" xfId="936" xr:uid="{00000000-0005-0000-0000-000099030000}"/>
    <cellStyle name="Normal 27 2 2" xfId="937" xr:uid="{00000000-0005-0000-0000-00009A030000}"/>
    <cellStyle name="Normal 27 2 3" xfId="938" xr:uid="{00000000-0005-0000-0000-00009B030000}"/>
    <cellStyle name="Normal 27 2 4" xfId="939" xr:uid="{00000000-0005-0000-0000-00009C030000}"/>
    <cellStyle name="Normal 27 2 5" xfId="940" xr:uid="{00000000-0005-0000-0000-00009D030000}"/>
    <cellStyle name="Normal 27 2 6" xfId="941" xr:uid="{00000000-0005-0000-0000-00009E030000}"/>
    <cellStyle name="Normal 27 3" xfId="942" xr:uid="{00000000-0005-0000-0000-00009F030000}"/>
    <cellStyle name="Normal 27 3 2" xfId="943" xr:uid="{00000000-0005-0000-0000-0000A0030000}"/>
    <cellStyle name="Normal 27 3 3" xfId="944" xr:uid="{00000000-0005-0000-0000-0000A1030000}"/>
    <cellStyle name="Normal 27 3 4" xfId="945" xr:uid="{00000000-0005-0000-0000-0000A2030000}"/>
    <cellStyle name="Normal 27 3 5" xfId="946" xr:uid="{00000000-0005-0000-0000-0000A3030000}"/>
    <cellStyle name="Normal 27 3 6" xfId="947" xr:uid="{00000000-0005-0000-0000-0000A4030000}"/>
    <cellStyle name="Normal 27 4" xfId="948" xr:uid="{00000000-0005-0000-0000-0000A5030000}"/>
    <cellStyle name="Normal 27 5" xfId="949" xr:uid="{00000000-0005-0000-0000-0000A6030000}"/>
    <cellStyle name="Normal 27 6" xfId="950" xr:uid="{00000000-0005-0000-0000-0000A7030000}"/>
    <cellStyle name="Normal 27 7" xfId="951" xr:uid="{00000000-0005-0000-0000-0000A8030000}"/>
    <cellStyle name="Normal 27 8" xfId="952" xr:uid="{00000000-0005-0000-0000-0000A9030000}"/>
    <cellStyle name="Normal 28" xfId="953" xr:uid="{00000000-0005-0000-0000-0000AA030000}"/>
    <cellStyle name="Normal 28 2" xfId="954" xr:uid="{00000000-0005-0000-0000-0000AB030000}"/>
    <cellStyle name="Normal 28 3" xfId="955" xr:uid="{00000000-0005-0000-0000-0000AC030000}"/>
    <cellStyle name="Normal 28 4" xfId="956" xr:uid="{00000000-0005-0000-0000-0000AD030000}"/>
    <cellStyle name="Normal 28 5" xfId="957" xr:uid="{00000000-0005-0000-0000-0000AE030000}"/>
    <cellStyle name="Normal 28 6" xfId="958" xr:uid="{00000000-0005-0000-0000-0000AF030000}"/>
    <cellStyle name="Normal 29" xfId="62" xr:uid="{00000000-0005-0000-0000-0000B0030000}"/>
    <cellStyle name="Normal 29 2" xfId="959" xr:uid="{00000000-0005-0000-0000-0000B1030000}"/>
    <cellStyle name="Normal 29 3" xfId="960" xr:uid="{00000000-0005-0000-0000-0000B2030000}"/>
    <cellStyle name="Normal 29 4" xfId="961" xr:uid="{00000000-0005-0000-0000-0000B3030000}"/>
    <cellStyle name="Normal 3" xfId="962" xr:uid="{00000000-0005-0000-0000-0000B4030000}"/>
    <cellStyle name="Normal 3 10" xfId="963" xr:uid="{00000000-0005-0000-0000-0000B5030000}"/>
    <cellStyle name="Normal 3 10 2" xfId="964" xr:uid="{00000000-0005-0000-0000-0000B6030000}"/>
    <cellStyle name="Normal 3 10 2 2" xfId="965" xr:uid="{00000000-0005-0000-0000-0000B7030000}"/>
    <cellStyle name="Normal 3 10 2 3" xfId="966" xr:uid="{00000000-0005-0000-0000-0000B8030000}"/>
    <cellStyle name="Normal 3 10 2 4" xfId="967" xr:uid="{00000000-0005-0000-0000-0000B9030000}"/>
    <cellStyle name="Normal 3 10 2 5" xfId="968" xr:uid="{00000000-0005-0000-0000-0000BA030000}"/>
    <cellStyle name="Normal 3 10 2 6" xfId="969" xr:uid="{00000000-0005-0000-0000-0000BB030000}"/>
    <cellStyle name="Normal 3 10 3" xfId="970" xr:uid="{00000000-0005-0000-0000-0000BC030000}"/>
    <cellStyle name="Normal 3 10 4" xfId="971" xr:uid="{00000000-0005-0000-0000-0000BD030000}"/>
    <cellStyle name="Normal 3 10 5" xfId="972" xr:uid="{00000000-0005-0000-0000-0000BE030000}"/>
    <cellStyle name="Normal 3 10 6" xfId="973" xr:uid="{00000000-0005-0000-0000-0000BF030000}"/>
    <cellStyle name="Normal 3 10 7" xfId="974" xr:uid="{00000000-0005-0000-0000-0000C0030000}"/>
    <cellStyle name="Normal 3 11" xfId="975" xr:uid="{00000000-0005-0000-0000-0000C1030000}"/>
    <cellStyle name="Normal 3 11 2" xfId="976" xr:uid="{00000000-0005-0000-0000-0000C2030000}"/>
    <cellStyle name="Normal 3 11 2 2" xfId="977" xr:uid="{00000000-0005-0000-0000-0000C3030000}"/>
    <cellStyle name="Normal 3 11 2 3" xfId="978" xr:uid="{00000000-0005-0000-0000-0000C4030000}"/>
    <cellStyle name="Normal 3 11 2 4" xfId="979" xr:uid="{00000000-0005-0000-0000-0000C5030000}"/>
    <cellStyle name="Normal 3 11 2 5" xfId="980" xr:uid="{00000000-0005-0000-0000-0000C6030000}"/>
    <cellStyle name="Normal 3 11 2 6" xfId="981" xr:uid="{00000000-0005-0000-0000-0000C7030000}"/>
    <cellStyle name="Normal 3 11 3" xfId="982" xr:uid="{00000000-0005-0000-0000-0000C8030000}"/>
    <cellStyle name="Normal 3 11 4" xfId="983" xr:uid="{00000000-0005-0000-0000-0000C9030000}"/>
    <cellStyle name="Normal 3 11 5" xfId="984" xr:uid="{00000000-0005-0000-0000-0000CA030000}"/>
    <cellStyle name="Normal 3 11 6" xfId="985" xr:uid="{00000000-0005-0000-0000-0000CB030000}"/>
    <cellStyle name="Normal 3 11 7" xfId="986" xr:uid="{00000000-0005-0000-0000-0000CC030000}"/>
    <cellStyle name="Normal 3 12" xfId="987" xr:uid="{00000000-0005-0000-0000-0000CD030000}"/>
    <cellStyle name="Normal 3 12 2" xfId="988" xr:uid="{00000000-0005-0000-0000-0000CE030000}"/>
    <cellStyle name="Normal 3 12 3" xfId="989" xr:uid="{00000000-0005-0000-0000-0000CF030000}"/>
    <cellStyle name="Normal 3 12 4" xfId="990" xr:uid="{00000000-0005-0000-0000-0000D0030000}"/>
    <cellStyle name="Normal 3 12 5" xfId="991" xr:uid="{00000000-0005-0000-0000-0000D1030000}"/>
    <cellStyle name="Normal 3 12 6" xfId="992" xr:uid="{00000000-0005-0000-0000-0000D2030000}"/>
    <cellStyle name="Normal 3 13" xfId="993" xr:uid="{00000000-0005-0000-0000-0000D3030000}"/>
    <cellStyle name="Normal 3 13 2" xfId="994" xr:uid="{00000000-0005-0000-0000-0000D4030000}"/>
    <cellStyle name="Normal 3 13 3" xfId="995" xr:uid="{00000000-0005-0000-0000-0000D5030000}"/>
    <cellStyle name="Normal 3 13 4" xfId="996" xr:uid="{00000000-0005-0000-0000-0000D6030000}"/>
    <cellStyle name="Normal 3 13 5" xfId="997" xr:uid="{00000000-0005-0000-0000-0000D7030000}"/>
    <cellStyle name="Normal 3 13 6" xfId="998" xr:uid="{00000000-0005-0000-0000-0000D8030000}"/>
    <cellStyle name="Normal 3 14" xfId="999" xr:uid="{00000000-0005-0000-0000-0000D9030000}"/>
    <cellStyle name="Normal 3 15" xfId="1000" xr:uid="{00000000-0005-0000-0000-0000DA030000}"/>
    <cellStyle name="Normal 3 16" xfId="1001" xr:uid="{00000000-0005-0000-0000-0000DB030000}"/>
    <cellStyle name="Normal 3 17" xfId="1002" xr:uid="{00000000-0005-0000-0000-0000DC030000}"/>
    <cellStyle name="Normal 3 17 2" xfId="1003" xr:uid="{00000000-0005-0000-0000-0000DD030000}"/>
    <cellStyle name="Normal 3 18" xfId="1004" xr:uid="{00000000-0005-0000-0000-0000DE030000}"/>
    <cellStyle name="Normal 3 19" xfId="1005" xr:uid="{00000000-0005-0000-0000-0000DF030000}"/>
    <cellStyle name="Normal 3 2" xfId="1006" xr:uid="{00000000-0005-0000-0000-0000E0030000}"/>
    <cellStyle name="Normal 3 2 2" xfId="1007" xr:uid="{00000000-0005-0000-0000-0000E1030000}"/>
    <cellStyle name="Normal 3 2 2 2" xfId="1008" xr:uid="{00000000-0005-0000-0000-0000E2030000}"/>
    <cellStyle name="Normal 3 2 2 3" xfId="1009" xr:uid="{00000000-0005-0000-0000-0000E3030000}"/>
    <cellStyle name="Normal 3 2 2 4" xfId="1010" xr:uid="{00000000-0005-0000-0000-0000E4030000}"/>
    <cellStyle name="Normal 3 2 2 5" xfId="1011" xr:uid="{00000000-0005-0000-0000-0000E5030000}"/>
    <cellStyle name="Normal 3 2 2 6" xfId="1012" xr:uid="{00000000-0005-0000-0000-0000E6030000}"/>
    <cellStyle name="Normal 3 2 3" xfId="1013" xr:uid="{00000000-0005-0000-0000-0000E7030000}"/>
    <cellStyle name="Normal 3 2 3 2" xfId="1014" xr:uid="{00000000-0005-0000-0000-0000E8030000}"/>
    <cellStyle name="Normal 3 2 3 3" xfId="1015" xr:uid="{00000000-0005-0000-0000-0000E9030000}"/>
    <cellStyle name="Normal 3 2 3 4" xfId="1016" xr:uid="{00000000-0005-0000-0000-0000EA030000}"/>
    <cellStyle name="Normal 3 2 3 5" xfId="1017" xr:uid="{00000000-0005-0000-0000-0000EB030000}"/>
    <cellStyle name="Normal 3 2 3 6" xfId="1018" xr:uid="{00000000-0005-0000-0000-0000EC030000}"/>
    <cellStyle name="Normal 3 2 4" xfId="1019" xr:uid="{00000000-0005-0000-0000-0000ED030000}"/>
    <cellStyle name="Normal 3 2 5" xfId="1020" xr:uid="{00000000-0005-0000-0000-0000EE030000}"/>
    <cellStyle name="Normal 3 2 6" xfId="1021" xr:uid="{00000000-0005-0000-0000-0000EF030000}"/>
    <cellStyle name="Normal 3 2 7" xfId="1022" xr:uid="{00000000-0005-0000-0000-0000F0030000}"/>
    <cellStyle name="Normal 3 2 8" xfId="1023" xr:uid="{00000000-0005-0000-0000-0000F1030000}"/>
    <cellStyle name="Normal 3 2_109. Nat'l Price (Jul09) - Leg" xfId="1024" xr:uid="{00000000-0005-0000-0000-0000F2030000}"/>
    <cellStyle name="Normal 3 3" xfId="1025" xr:uid="{00000000-0005-0000-0000-0000F3030000}"/>
    <cellStyle name="Normal 3 3 2" xfId="1026" xr:uid="{00000000-0005-0000-0000-0000F4030000}"/>
    <cellStyle name="Normal 3 3 2 2" xfId="1027" xr:uid="{00000000-0005-0000-0000-0000F5030000}"/>
    <cellStyle name="Normal 3 3 2 3" xfId="1028" xr:uid="{00000000-0005-0000-0000-0000F6030000}"/>
    <cellStyle name="Normal 3 3 2 4" xfId="1029" xr:uid="{00000000-0005-0000-0000-0000F7030000}"/>
    <cellStyle name="Normal 3 3 2 5" xfId="1030" xr:uid="{00000000-0005-0000-0000-0000F8030000}"/>
    <cellStyle name="Normal 3 3 2 6" xfId="1031" xr:uid="{00000000-0005-0000-0000-0000F9030000}"/>
    <cellStyle name="Normal 3 3 3" xfId="1032" xr:uid="{00000000-0005-0000-0000-0000FA030000}"/>
    <cellStyle name="Normal 3 3 3 2" xfId="1033" xr:uid="{00000000-0005-0000-0000-0000FB030000}"/>
    <cellStyle name="Normal 3 3 3 3" xfId="1034" xr:uid="{00000000-0005-0000-0000-0000FC030000}"/>
    <cellStyle name="Normal 3 3 3 4" xfId="1035" xr:uid="{00000000-0005-0000-0000-0000FD030000}"/>
    <cellStyle name="Normal 3 3 3 5" xfId="1036" xr:uid="{00000000-0005-0000-0000-0000FE030000}"/>
    <cellStyle name="Normal 3 3 3 6" xfId="1037" xr:uid="{00000000-0005-0000-0000-0000FF030000}"/>
    <cellStyle name="Normal 3 3 4" xfId="1038" xr:uid="{00000000-0005-0000-0000-000000040000}"/>
    <cellStyle name="Normal 3 3 5" xfId="1039" xr:uid="{00000000-0005-0000-0000-000001040000}"/>
    <cellStyle name="Normal 3 3 6" xfId="1040" xr:uid="{00000000-0005-0000-0000-000002040000}"/>
    <cellStyle name="Normal 3 3 7" xfId="1041" xr:uid="{00000000-0005-0000-0000-000003040000}"/>
    <cellStyle name="Normal 3 3 8" xfId="1042" xr:uid="{00000000-0005-0000-0000-000004040000}"/>
    <cellStyle name="Normal 3 3_109. Nat'l Price (Jul09) - Leg" xfId="1043" xr:uid="{00000000-0005-0000-0000-000005040000}"/>
    <cellStyle name="Normal 3 4" xfId="1044" xr:uid="{00000000-0005-0000-0000-000006040000}"/>
    <cellStyle name="Normal 3 4 2" xfId="1045" xr:uid="{00000000-0005-0000-0000-000007040000}"/>
    <cellStyle name="Normal 3 4 2 2" xfId="1046" xr:uid="{00000000-0005-0000-0000-000008040000}"/>
    <cellStyle name="Normal 3 4 2 3" xfId="1047" xr:uid="{00000000-0005-0000-0000-000009040000}"/>
    <cellStyle name="Normal 3 4 2 4" xfId="1048" xr:uid="{00000000-0005-0000-0000-00000A040000}"/>
    <cellStyle name="Normal 3 4 2 5" xfId="1049" xr:uid="{00000000-0005-0000-0000-00000B040000}"/>
    <cellStyle name="Normal 3 4 2 6" xfId="1050" xr:uid="{00000000-0005-0000-0000-00000C040000}"/>
    <cellStyle name="Normal 3 4 3" xfId="1051" xr:uid="{00000000-0005-0000-0000-00000D040000}"/>
    <cellStyle name="Normal 3 4 3 2" xfId="1052" xr:uid="{00000000-0005-0000-0000-00000E040000}"/>
    <cellStyle name="Normal 3 4 3 3" xfId="1053" xr:uid="{00000000-0005-0000-0000-00000F040000}"/>
    <cellStyle name="Normal 3 4 3 4" xfId="1054" xr:uid="{00000000-0005-0000-0000-000010040000}"/>
    <cellStyle name="Normal 3 4 3 5" xfId="1055" xr:uid="{00000000-0005-0000-0000-000011040000}"/>
    <cellStyle name="Normal 3 4 3 6" xfId="1056" xr:uid="{00000000-0005-0000-0000-000012040000}"/>
    <cellStyle name="Normal 3 4 4" xfId="1057" xr:uid="{00000000-0005-0000-0000-000013040000}"/>
    <cellStyle name="Normal 3 4 5" xfId="1058" xr:uid="{00000000-0005-0000-0000-000014040000}"/>
    <cellStyle name="Normal 3 4 6" xfId="1059" xr:uid="{00000000-0005-0000-0000-000015040000}"/>
    <cellStyle name="Normal 3 4 7" xfId="1060" xr:uid="{00000000-0005-0000-0000-000016040000}"/>
    <cellStyle name="Normal 3 4 8" xfId="1061" xr:uid="{00000000-0005-0000-0000-000017040000}"/>
    <cellStyle name="Normal 3 4_109. Nat'l Price (Jul09) - Leg" xfId="1062" xr:uid="{00000000-0005-0000-0000-000018040000}"/>
    <cellStyle name="Normal 3 5" xfId="1063" xr:uid="{00000000-0005-0000-0000-000019040000}"/>
    <cellStyle name="Normal 3 5 2" xfId="1064" xr:uid="{00000000-0005-0000-0000-00001A040000}"/>
    <cellStyle name="Normal 3 5 2 2" xfId="1065" xr:uid="{00000000-0005-0000-0000-00001B040000}"/>
    <cellStyle name="Normal 3 5 2 3" xfId="1066" xr:uid="{00000000-0005-0000-0000-00001C040000}"/>
    <cellStyle name="Normal 3 5 2 4" xfId="1067" xr:uid="{00000000-0005-0000-0000-00001D040000}"/>
    <cellStyle name="Normal 3 5 2 5" xfId="1068" xr:uid="{00000000-0005-0000-0000-00001E040000}"/>
    <cellStyle name="Normal 3 5 2 6" xfId="1069" xr:uid="{00000000-0005-0000-0000-00001F040000}"/>
    <cellStyle name="Normal 3 5 3" xfId="1070" xr:uid="{00000000-0005-0000-0000-000020040000}"/>
    <cellStyle name="Normal 3 5 3 2" xfId="1071" xr:uid="{00000000-0005-0000-0000-000021040000}"/>
    <cellStyle name="Normal 3 5 3 3" xfId="1072" xr:uid="{00000000-0005-0000-0000-000022040000}"/>
    <cellStyle name="Normal 3 5 3 4" xfId="1073" xr:uid="{00000000-0005-0000-0000-000023040000}"/>
    <cellStyle name="Normal 3 5 3 5" xfId="1074" xr:uid="{00000000-0005-0000-0000-000024040000}"/>
    <cellStyle name="Normal 3 5 3 6" xfId="1075" xr:uid="{00000000-0005-0000-0000-000025040000}"/>
    <cellStyle name="Normal 3 5 4" xfId="1076" xr:uid="{00000000-0005-0000-0000-000026040000}"/>
    <cellStyle name="Normal 3 5 5" xfId="1077" xr:uid="{00000000-0005-0000-0000-000027040000}"/>
    <cellStyle name="Normal 3 5 6" xfId="1078" xr:uid="{00000000-0005-0000-0000-000028040000}"/>
    <cellStyle name="Normal 3 5 7" xfId="1079" xr:uid="{00000000-0005-0000-0000-000029040000}"/>
    <cellStyle name="Normal 3 5 8" xfId="1080" xr:uid="{00000000-0005-0000-0000-00002A040000}"/>
    <cellStyle name="Normal 3 5_109. Nat'l Price (Jul09) - Leg" xfId="1081" xr:uid="{00000000-0005-0000-0000-00002B040000}"/>
    <cellStyle name="Normal 3 6" xfId="1082" xr:uid="{00000000-0005-0000-0000-00002C040000}"/>
    <cellStyle name="Normal 3 6 2" xfId="1083" xr:uid="{00000000-0005-0000-0000-00002D040000}"/>
    <cellStyle name="Normal 3 6 2 2" xfId="1084" xr:uid="{00000000-0005-0000-0000-00002E040000}"/>
    <cellStyle name="Normal 3 6 2 3" xfId="1085" xr:uid="{00000000-0005-0000-0000-00002F040000}"/>
    <cellStyle name="Normal 3 6 2 4" xfId="1086" xr:uid="{00000000-0005-0000-0000-000030040000}"/>
    <cellStyle name="Normal 3 6 2 5" xfId="1087" xr:uid="{00000000-0005-0000-0000-000031040000}"/>
    <cellStyle name="Normal 3 6 2 6" xfId="1088" xr:uid="{00000000-0005-0000-0000-000032040000}"/>
    <cellStyle name="Normal 3 6 3" xfId="1089" xr:uid="{00000000-0005-0000-0000-000033040000}"/>
    <cellStyle name="Normal 3 6 3 2" xfId="1090" xr:uid="{00000000-0005-0000-0000-000034040000}"/>
    <cellStyle name="Normal 3 6 3 3" xfId="1091" xr:uid="{00000000-0005-0000-0000-000035040000}"/>
    <cellStyle name="Normal 3 6 3 4" xfId="1092" xr:uid="{00000000-0005-0000-0000-000036040000}"/>
    <cellStyle name="Normal 3 6 3 5" xfId="1093" xr:uid="{00000000-0005-0000-0000-000037040000}"/>
    <cellStyle name="Normal 3 6 3 6" xfId="1094" xr:uid="{00000000-0005-0000-0000-000038040000}"/>
    <cellStyle name="Normal 3 6 4" xfId="1095" xr:uid="{00000000-0005-0000-0000-000039040000}"/>
    <cellStyle name="Normal 3 6 5" xfId="1096" xr:uid="{00000000-0005-0000-0000-00003A040000}"/>
    <cellStyle name="Normal 3 6 6" xfId="1097" xr:uid="{00000000-0005-0000-0000-00003B040000}"/>
    <cellStyle name="Normal 3 6 7" xfId="1098" xr:uid="{00000000-0005-0000-0000-00003C040000}"/>
    <cellStyle name="Normal 3 6 8" xfId="1099" xr:uid="{00000000-0005-0000-0000-00003D040000}"/>
    <cellStyle name="Normal 3 6_109. Nat'l Price (Jul09) - Leg" xfId="1100" xr:uid="{00000000-0005-0000-0000-00003E040000}"/>
    <cellStyle name="Normal 3 7" xfId="1101" xr:uid="{00000000-0005-0000-0000-00003F040000}"/>
    <cellStyle name="Normal 3 7 2" xfId="1102" xr:uid="{00000000-0005-0000-0000-000040040000}"/>
    <cellStyle name="Normal 3 7 2 2" xfId="1103" xr:uid="{00000000-0005-0000-0000-000041040000}"/>
    <cellStyle name="Normal 3 7 2 3" xfId="1104" xr:uid="{00000000-0005-0000-0000-000042040000}"/>
    <cellStyle name="Normal 3 7 2 4" xfId="1105" xr:uid="{00000000-0005-0000-0000-000043040000}"/>
    <cellStyle name="Normal 3 7 2 5" xfId="1106" xr:uid="{00000000-0005-0000-0000-000044040000}"/>
    <cellStyle name="Normal 3 7 2 6" xfId="1107" xr:uid="{00000000-0005-0000-0000-000045040000}"/>
    <cellStyle name="Normal 3 7 3" xfId="1108" xr:uid="{00000000-0005-0000-0000-000046040000}"/>
    <cellStyle name="Normal 3 7 3 2" xfId="1109" xr:uid="{00000000-0005-0000-0000-000047040000}"/>
    <cellStyle name="Normal 3 7 3 3" xfId="1110" xr:uid="{00000000-0005-0000-0000-000048040000}"/>
    <cellStyle name="Normal 3 7 3 4" xfId="1111" xr:uid="{00000000-0005-0000-0000-000049040000}"/>
    <cellStyle name="Normal 3 7 3 5" xfId="1112" xr:uid="{00000000-0005-0000-0000-00004A040000}"/>
    <cellStyle name="Normal 3 7 3 6" xfId="1113" xr:uid="{00000000-0005-0000-0000-00004B040000}"/>
    <cellStyle name="Normal 3 7 4" xfId="1114" xr:uid="{00000000-0005-0000-0000-00004C040000}"/>
    <cellStyle name="Normal 3 7 5" xfId="1115" xr:uid="{00000000-0005-0000-0000-00004D040000}"/>
    <cellStyle name="Normal 3 7 6" xfId="1116" xr:uid="{00000000-0005-0000-0000-00004E040000}"/>
    <cellStyle name="Normal 3 7 7" xfId="1117" xr:uid="{00000000-0005-0000-0000-00004F040000}"/>
    <cellStyle name="Normal 3 7 8" xfId="1118" xr:uid="{00000000-0005-0000-0000-000050040000}"/>
    <cellStyle name="Normal 3 7_109. Nat'l Price (Jul09) - Leg" xfId="1119" xr:uid="{00000000-0005-0000-0000-000051040000}"/>
    <cellStyle name="Normal 3 8" xfId="1120" xr:uid="{00000000-0005-0000-0000-000052040000}"/>
    <cellStyle name="Normal 3 8 2" xfId="1121" xr:uid="{00000000-0005-0000-0000-000053040000}"/>
    <cellStyle name="Normal 3 8 2 2" xfId="1122" xr:uid="{00000000-0005-0000-0000-000054040000}"/>
    <cellStyle name="Normal 3 8 2 3" xfId="1123" xr:uid="{00000000-0005-0000-0000-000055040000}"/>
    <cellStyle name="Normal 3 8 2 4" xfId="1124" xr:uid="{00000000-0005-0000-0000-000056040000}"/>
    <cellStyle name="Normal 3 8 2 5" xfId="1125" xr:uid="{00000000-0005-0000-0000-000057040000}"/>
    <cellStyle name="Normal 3 8 2 6" xfId="1126" xr:uid="{00000000-0005-0000-0000-000058040000}"/>
    <cellStyle name="Normal 3 8 3" xfId="1127" xr:uid="{00000000-0005-0000-0000-000059040000}"/>
    <cellStyle name="Normal 3 8 4" xfId="1128" xr:uid="{00000000-0005-0000-0000-00005A040000}"/>
    <cellStyle name="Normal 3 8 5" xfId="1129" xr:uid="{00000000-0005-0000-0000-00005B040000}"/>
    <cellStyle name="Normal 3 8 6" xfId="1130" xr:uid="{00000000-0005-0000-0000-00005C040000}"/>
    <cellStyle name="Normal 3 8 7" xfId="1131" xr:uid="{00000000-0005-0000-0000-00005D040000}"/>
    <cellStyle name="Normal 3 9" xfId="1132" xr:uid="{00000000-0005-0000-0000-00005E040000}"/>
    <cellStyle name="Normal 3 9 2" xfId="1133" xr:uid="{00000000-0005-0000-0000-00005F040000}"/>
    <cellStyle name="Normal 3 9 2 2" xfId="1134" xr:uid="{00000000-0005-0000-0000-000060040000}"/>
    <cellStyle name="Normal 3 9 2 3" xfId="1135" xr:uid="{00000000-0005-0000-0000-000061040000}"/>
    <cellStyle name="Normal 3 9 2 4" xfId="1136" xr:uid="{00000000-0005-0000-0000-000062040000}"/>
    <cellStyle name="Normal 3 9 2 5" xfId="1137" xr:uid="{00000000-0005-0000-0000-000063040000}"/>
    <cellStyle name="Normal 3 9 2 6" xfId="1138" xr:uid="{00000000-0005-0000-0000-000064040000}"/>
    <cellStyle name="Normal 3 9 3" xfId="1139" xr:uid="{00000000-0005-0000-0000-000065040000}"/>
    <cellStyle name="Normal 3 9 4" xfId="1140" xr:uid="{00000000-0005-0000-0000-000066040000}"/>
    <cellStyle name="Normal 3 9 5" xfId="1141" xr:uid="{00000000-0005-0000-0000-000067040000}"/>
    <cellStyle name="Normal 3 9 6" xfId="1142" xr:uid="{00000000-0005-0000-0000-000068040000}"/>
    <cellStyle name="Normal 3 9 7" xfId="1143" xr:uid="{00000000-0005-0000-0000-000069040000}"/>
    <cellStyle name="Normal 3_109. Nat'l Price (Jul09) - Leg" xfId="1144" xr:uid="{00000000-0005-0000-0000-00006A040000}"/>
    <cellStyle name="Normal 30" xfId="1145" xr:uid="{00000000-0005-0000-0000-00006B040000}"/>
    <cellStyle name="Normal 31" xfId="1146" xr:uid="{00000000-0005-0000-0000-00006C040000}"/>
    <cellStyle name="Normal 32" xfId="1147" xr:uid="{00000000-0005-0000-0000-00006D040000}"/>
    <cellStyle name="Normal 33" xfId="1148" xr:uid="{00000000-0005-0000-0000-00006E040000}"/>
    <cellStyle name="Normal 34" xfId="1149" xr:uid="{00000000-0005-0000-0000-00006F040000}"/>
    <cellStyle name="Normal 35" xfId="1150" xr:uid="{00000000-0005-0000-0000-000070040000}"/>
    <cellStyle name="Normal 36" xfId="67" xr:uid="{00000000-0005-0000-0000-000071040000}"/>
    <cellStyle name="Normal 36 10" xfId="1151" xr:uid="{00000000-0005-0000-0000-000072040000}"/>
    <cellStyle name="Normal 36 2" xfId="1152" xr:uid="{00000000-0005-0000-0000-000073040000}"/>
    <cellStyle name="Normal 36 3" xfId="1153" xr:uid="{00000000-0005-0000-0000-000074040000}"/>
    <cellStyle name="Normal 36 4" xfId="1154" xr:uid="{00000000-0005-0000-0000-000075040000}"/>
    <cellStyle name="Normal 36 5" xfId="1155" xr:uid="{00000000-0005-0000-0000-000076040000}"/>
    <cellStyle name="Normal 36 6" xfId="1156" xr:uid="{00000000-0005-0000-0000-000077040000}"/>
    <cellStyle name="Normal 36 7" xfId="1157" xr:uid="{00000000-0005-0000-0000-000078040000}"/>
    <cellStyle name="Normal 36 8" xfId="1158" xr:uid="{00000000-0005-0000-0000-000079040000}"/>
    <cellStyle name="Normal 36 9" xfId="1159" xr:uid="{00000000-0005-0000-0000-00007A040000}"/>
    <cellStyle name="Normal 37" xfId="1160" xr:uid="{00000000-0005-0000-0000-00007B040000}"/>
    <cellStyle name="Normal 38" xfId="1161" xr:uid="{00000000-0005-0000-0000-00007C040000}"/>
    <cellStyle name="Normal 39" xfId="1162" xr:uid="{00000000-0005-0000-0000-00007D040000}"/>
    <cellStyle name="Normal 4" xfId="1163" xr:uid="{00000000-0005-0000-0000-00007E040000}"/>
    <cellStyle name="Normal 4 10" xfId="1164" xr:uid="{00000000-0005-0000-0000-00007F040000}"/>
    <cellStyle name="Normal 4 10 2" xfId="1165" xr:uid="{00000000-0005-0000-0000-000080040000}"/>
    <cellStyle name="Normal 4 10 2 2" xfId="1166" xr:uid="{00000000-0005-0000-0000-000081040000}"/>
    <cellStyle name="Normal 4 10 2 3" xfId="1167" xr:uid="{00000000-0005-0000-0000-000082040000}"/>
    <cellStyle name="Normal 4 10 2 4" xfId="1168" xr:uid="{00000000-0005-0000-0000-000083040000}"/>
    <cellStyle name="Normal 4 10 2 5" xfId="1169" xr:uid="{00000000-0005-0000-0000-000084040000}"/>
    <cellStyle name="Normal 4 10 2 6" xfId="1170" xr:uid="{00000000-0005-0000-0000-000085040000}"/>
    <cellStyle name="Normal 4 10 3" xfId="1171" xr:uid="{00000000-0005-0000-0000-000086040000}"/>
    <cellStyle name="Normal 4 10 4" xfId="1172" xr:uid="{00000000-0005-0000-0000-000087040000}"/>
    <cellStyle name="Normal 4 10 5" xfId="1173" xr:uid="{00000000-0005-0000-0000-000088040000}"/>
    <cellStyle name="Normal 4 10 6" xfId="1174" xr:uid="{00000000-0005-0000-0000-000089040000}"/>
    <cellStyle name="Normal 4 10 7" xfId="1175" xr:uid="{00000000-0005-0000-0000-00008A040000}"/>
    <cellStyle name="Normal 4 11" xfId="1176" xr:uid="{00000000-0005-0000-0000-00008B040000}"/>
    <cellStyle name="Normal 4 11 2" xfId="1177" xr:uid="{00000000-0005-0000-0000-00008C040000}"/>
    <cellStyle name="Normal 4 11 2 2" xfId="1178" xr:uid="{00000000-0005-0000-0000-00008D040000}"/>
    <cellStyle name="Normal 4 11 2 3" xfId="1179" xr:uid="{00000000-0005-0000-0000-00008E040000}"/>
    <cellStyle name="Normal 4 11 2 4" xfId="1180" xr:uid="{00000000-0005-0000-0000-00008F040000}"/>
    <cellStyle name="Normal 4 11 2 5" xfId="1181" xr:uid="{00000000-0005-0000-0000-000090040000}"/>
    <cellStyle name="Normal 4 11 2 6" xfId="1182" xr:uid="{00000000-0005-0000-0000-000091040000}"/>
    <cellStyle name="Normal 4 11 3" xfId="1183" xr:uid="{00000000-0005-0000-0000-000092040000}"/>
    <cellStyle name="Normal 4 11 4" xfId="1184" xr:uid="{00000000-0005-0000-0000-000093040000}"/>
    <cellStyle name="Normal 4 11 5" xfId="1185" xr:uid="{00000000-0005-0000-0000-000094040000}"/>
    <cellStyle name="Normal 4 11 6" xfId="1186" xr:uid="{00000000-0005-0000-0000-000095040000}"/>
    <cellStyle name="Normal 4 11 7" xfId="1187" xr:uid="{00000000-0005-0000-0000-000096040000}"/>
    <cellStyle name="Normal 4 12" xfId="1188" xr:uid="{00000000-0005-0000-0000-000097040000}"/>
    <cellStyle name="Normal 4 12 2" xfId="1189" xr:uid="{00000000-0005-0000-0000-000098040000}"/>
    <cellStyle name="Normal 4 12 3" xfId="1190" xr:uid="{00000000-0005-0000-0000-000099040000}"/>
    <cellStyle name="Normal 4 12 4" xfId="1191" xr:uid="{00000000-0005-0000-0000-00009A040000}"/>
    <cellStyle name="Normal 4 12 5" xfId="1192" xr:uid="{00000000-0005-0000-0000-00009B040000}"/>
    <cellStyle name="Normal 4 12 6" xfId="1193" xr:uid="{00000000-0005-0000-0000-00009C040000}"/>
    <cellStyle name="Normal 4 13" xfId="1194" xr:uid="{00000000-0005-0000-0000-00009D040000}"/>
    <cellStyle name="Normal 4 13 2" xfId="1195" xr:uid="{00000000-0005-0000-0000-00009E040000}"/>
    <cellStyle name="Normal 4 13 3" xfId="1196" xr:uid="{00000000-0005-0000-0000-00009F040000}"/>
    <cellStyle name="Normal 4 13 4" xfId="1197" xr:uid="{00000000-0005-0000-0000-0000A0040000}"/>
    <cellStyle name="Normal 4 13 5" xfId="1198" xr:uid="{00000000-0005-0000-0000-0000A1040000}"/>
    <cellStyle name="Normal 4 13 6" xfId="1199" xr:uid="{00000000-0005-0000-0000-0000A2040000}"/>
    <cellStyle name="Normal 4 14" xfId="1200" xr:uid="{00000000-0005-0000-0000-0000A3040000}"/>
    <cellStyle name="Normal 4 15" xfId="1201" xr:uid="{00000000-0005-0000-0000-0000A4040000}"/>
    <cellStyle name="Normal 4 16" xfId="1202" xr:uid="{00000000-0005-0000-0000-0000A5040000}"/>
    <cellStyle name="Normal 4 17" xfId="1203" xr:uid="{00000000-0005-0000-0000-0000A6040000}"/>
    <cellStyle name="Normal 4 18" xfId="1204" xr:uid="{00000000-0005-0000-0000-0000A7040000}"/>
    <cellStyle name="Normal 4 2" xfId="1205" xr:uid="{00000000-0005-0000-0000-0000A8040000}"/>
    <cellStyle name="Normal 4 2 2" xfId="1206" xr:uid="{00000000-0005-0000-0000-0000A9040000}"/>
    <cellStyle name="Normal 4 2 2 2" xfId="1207" xr:uid="{00000000-0005-0000-0000-0000AA040000}"/>
    <cellStyle name="Normal 4 2 2 3" xfId="1208" xr:uid="{00000000-0005-0000-0000-0000AB040000}"/>
    <cellStyle name="Normal 4 2 2 4" xfId="1209" xr:uid="{00000000-0005-0000-0000-0000AC040000}"/>
    <cellStyle name="Normal 4 2 2 5" xfId="1210" xr:uid="{00000000-0005-0000-0000-0000AD040000}"/>
    <cellStyle name="Normal 4 2 2 6" xfId="1211" xr:uid="{00000000-0005-0000-0000-0000AE040000}"/>
    <cellStyle name="Normal 4 2 3" xfId="1212" xr:uid="{00000000-0005-0000-0000-0000AF040000}"/>
    <cellStyle name="Normal 4 2 3 2" xfId="1213" xr:uid="{00000000-0005-0000-0000-0000B0040000}"/>
    <cellStyle name="Normal 4 2 3 3" xfId="1214" xr:uid="{00000000-0005-0000-0000-0000B1040000}"/>
    <cellStyle name="Normal 4 2 3 4" xfId="1215" xr:uid="{00000000-0005-0000-0000-0000B2040000}"/>
    <cellStyle name="Normal 4 2 3 5" xfId="1216" xr:uid="{00000000-0005-0000-0000-0000B3040000}"/>
    <cellStyle name="Normal 4 2 3 6" xfId="1217" xr:uid="{00000000-0005-0000-0000-0000B4040000}"/>
    <cellStyle name="Normal 4 2 4" xfId="1218" xr:uid="{00000000-0005-0000-0000-0000B5040000}"/>
    <cellStyle name="Normal 4 2 5" xfId="1219" xr:uid="{00000000-0005-0000-0000-0000B6040000}"/>
    <cellStyle name="Normal 4 2 6" xfId="1220" xr:uid="{00000000-0005-0000-0000-0000B7040000}"/>
    <cellStyle name="Normal 4 2 7" xfId="1221" xr:uid="{00000000-0005-0000-0000-0000B8040000}"/>
    <cellStyle name="Normal 4 2 8" xfId="1222" xr:uid="{00000000-0005-0000-0000-0000B9040000}"/>
    <cellStyle name="Normal 4 2_109. Nat'l Price (Jul09) - Leg" xfId="1223" xr:uid="{00000000-0005-0000-0000-0000BA040000}"/>
    <cellStyle name="Normal 4 3" xfId="1224" xr:uid="{00000000-0005-0000-0000-0000BB040000}"/>
    <cellStyle name="Normal 4 3 2" xfId="1225" xr:uid="{00000000-0005-0000-0000-0000BC040000}"/>
    <cellStyle name="Normal 4 3 2 2" xfId="1226" xr:uid="{00000000-0005-0000-0000-0000BD040000}"/>
    <cellStyle name="Normal 4 3 2 3" xfId="1227" xr:uid="{00000000-0005-0000-0000-0000BE040000}"/>
    <cellStyle name="Normal 4 3 2 4" xfId="1228" xr:uid="{00000000-0005-0000-0000-0000BF040000}"/>
    <cellStyle name="Normal 4 3 2 5" xfId="1229" xr:uid="{00000000-0005-0000-0000-0000C0040000}"/>
    <cellStyle name="Normal 4 3 2 6" xfId="1230" xr:uid="{00000000-0005-0000-0000-0000C1040000}"/>
    <cellStyle name="Normal 4 3 3" xfId="1231" xr:uid="{00000000-0005-0000-0000-0000C2040000}"/>
    <cellStyle name="Normal 4 3 3 2" xfId="1232" xr:uid="{00000000-0005-0000-0000-0000C3040000}"/>
    <cellStyle name="Normal 4 3 3 3" xfId="1233" xr:uid="{00000000-0005-0000-0000-0000C4040000}"/>
    <cellStyle name="Normal 4 3 3 4" xfId="1234" xr:uid="{00000000-0005-0000-0000-0000C5040000}"/>
    <cellStyle name="Normal 4 3 3 5" xfId="1235" xr:uid="{00000000-0005-0000-0000-0000C6040000}"/>
    <cellStyle name="Normal 4 3 3 6" xfId="1236" xr:uid="{00000000-0005-0000-0000-0000C7040000}"/>
    <cellStyle name="Normal 4 3 4" xfId="1237" xr:uid="{00000000-0005-0000-0000-0000C8040000}"/>
    <cellStyle name="Normal 4 3 5" xfId="1238" xr:uid="{00000000-0005-0000-0000-0000C9040000}"/>
    <cellStyle name="Normal 4 3 6" xfId="1239" xr:uid="{00000000-0005-0000-0000-0000CA040000}"/>
    <cellStyle name="Normal 4 3 7" xfId="1240" xr:uid="{00000000-0005-0000-0000-0000CB040000}"/>
    <cellStyle name="Normal 4 3 8" xfId="1241" xr:uid="{00000000-0005-0000-0000-0000CC040000}"/>
    <cellStyle name="Normal 4 3_109. Nat'l Price (Jul09) - Leg" xfId="1242" xr:uid="{00000000-0005-0000-0000-0000CD040000}"/>
    <cellStyle name="Normal 4 4" xfId="1243" xr:uid="{00000000-0005-0000-0000-0000CE040000}"/>
    <cellStyle name="Normal 4 4 2" xfId="1244" xr:uid="{00000000-0005-0000-0000-0000CF040000}"/>
    <cellStyle name="Normal 4 4 2 2" xfId="1245" xr:uid="{00000000-0005-0000-0000-0000D0040000}"/>
    <cellStyle name="Normal 4 4 2 3" xfId="1246" xr:uid="{00000000-0005-0000-0000-0000D1040000}"/>
    <cellStyle name="Normal 4 4 2 4" xfId="1247" xr:uid="{00000000-0005-0000-0000-0000D2040000}"/>
    <cellStyle name="Normal 4 4 2 5" xfId="1248" xr:uid="{00000000-0005-0000-0000-0000D3040000}"/>
    <cellStyle name="Normal 4 4 2 6" xfId="1249" xr:uid="{00000000-0005-0000-0000-0000D4040000}"/>
    <cellStyle name="Normal 4 4 3" xfId="1250" xr:uid="{00000000-0005-0000-0000-0000D5040000}"/>
    <cellStyle name="Normal 4 4 3 2" xfId="1251" xr:uid="{00000000-0005-0000-0000-0000D6040000}"/>
    <cellStyle name="Normal 4 4 3 3" xfId="1252" xr:uid="{00000000-0005-0000-0000-0000D7040000}"/>
    <cellStyle name="Normal 4 4 3 4" xfId="1253" xr:uid="{00000000-0005-0000-0000-0000D8040000}"/>
    <cellStyle name="Normal 4 4 3 5" xfId="1254" xr:uid="{00000000-0005-0000-0000-0000D9040000}"/>
    <cellStyle name="Normal 4 4 3 6" xfId="1255" xr:uid="{00000000-0005-0000-0000-0000DA040000}"/>
    <cellStyle name="Normal 4 4 4" xfId="1256" xr:uid="{00000000-0005-0000-0000-0000DB040000}"/>
    <cellStyle name="Normal 4 4 5" xfId="1257" xr:uid="{00000000-0005-0000-0000-0000DC040000}"/>
    <cellStyle name="Normal 4 4 6" xfId="1258" xr:uid="{00000000-0005-0000-0000-0000DD040000}"/>
    <cellStyle name="Normal 4 4 7" xfId="1259" xr:uid="{00000000-0005-0000-0000-0000DE040000}"/>
    <cellStyle name="Normal 4 4 8" xfId="1260" xr:uid="{00000000-0005-0000-0000-0000DF040000}"/>
    <cellStyle name="Normal 4 4_109. Nat'l Price (Jul09) - Leg" xfId="1261" xr:uid="{00000000-0005-0000-0000-0000E0040000}"/>
    <cellStyle name="Normal 4 5" xfId="1262" xr:uid="{00000000-0005-0000-0000-0000E1040000}"/>
    <cellStyle name="Normal 4 5 2" xfId="1263" xr:uid="{00000000-0005-0000-0000-0000E2040000}"/>
    <cellStyle name="Normal 4 5 2 2" xfId="1264" xr:uid="{00000000-0005-0000-0000-0000E3040000}"/>
    <cellStyle name="Normal 4 5 2 3" xfId="1265" xr:uid="{00000000-0005-0000-0000-0000E4040000}"/>
    <cellStyle name="Normal 4 5 2 4" xfId="1266" xr:uid="{00000000-0005-0000-0000-0000E5040000}"/>
    <cellStyle name="Normal 4 5 2 5" xfId="1267" xr:uid="{00000000-0005-0000-0000-0000E6040000}"/>
    <cellStyle name="Normal 4 5 2 6" xfId="1268" xr:uid="{00000000-0005-0000-0000-0000E7040000}"/>
    <cellStyle name="Normal 4 5 3" xfId="1269" xr:uid="{00000000-0005-0000-0000-0000E8040000}"/>
    <cellStyle name="Normal 4 5 3 2" xfId="1270" xr:uid="{00000000-0005-0000-0000-0000E9040000}"/>
    <cellStyle name="Normal 4 5 3 3" xfId="1271" xr:uid="{00000000-0005-0000-0000-0000EA040000}"/>
    <cellStyle name="Normal 4 5 3 4" xfId="1272" xr:uid="{00000000-0005-0000-0000-0000EB040000}"/>
    <cellStyle name="Normal 4 5 3 5" xfId="1273" xr:uid="{00000000-0005-0000-0000-0000EC040000}"/>
    <cellStyle name="Normal 4 5 3 6" xfId="1274" xr:uid="{00000000-0005-0000-0000-0000ED040000}"/>
    <cellStyle name="Normal 4 5 4" xfId="1275" xr:uid="{00000000-0005-0000-0000-0000EE040000}"/>
    <cellStyle name="Normal 4 5 5" xfId="1276" xr:uid="{00000000-0005-0000-0000-0000EF040000}"/>
    <cellStyle name="Normal 4 5 6" xfId="1277" xr:uid="{00000000-0005-0000-0000-0000F0040000}"/>
    <cellStyle name="Normal 4 5 7" xfId="1278" xr:uid="{00000000-0005-0000-0000-0000F1040000}"/>
    <cellStyle name="Normal 4 5 8" xfId="1279" xr:uid="{00000000-0005-0000-0000-0000F2040000}"/>
    <cellStyle name="Normal 4 5_109. Nat'l Price (Jul09) - Leg" xfId="1280" xr:uid="{00000000-0005-0000-0000-0000F3040000}"/>
    <cellStyle name="Normal 4 6" xfId="1281" xr:uid="{00000000-0005-0000-0000-0000F4040000}"/>
    <cellStyle name="Normal 4 6 2" xfId="1282" xr:uid="{00000000-0005-0000-0000-0000F5040000}"/>
    <cellStyle name="Normal 4 6 2 2" xfId="1283" xr:uid="{00000000-0005-0000-0000-0000F6040000}"/>
    <cellStyle name="Normal 4 6 2 3" xfId="1284" xr:uid="{00000000-0005-0000-0000-0000F7040000}"/>
    <cellStyle name="Normal 4 6 2 4" xfId="1285" xr:uid="{00000000-0005-0000-0000-0000F8040000}"/>
    <cellStyle name="Normal 4 6 2 5" xfId="1286" xr:uid="{00000000-0005-0000-0000-0000F9040000}"/>
    <cellStyle name="Normal 4 6 2 6" xfId="1287" xr:uid="{00000000-0005-0000-0000-0000FA040000}"/>
    <cellStyle name="Normal 4 6 3" xfId="1288" xr:uid="{00000000-0005-0000-0000-0000FB040000}"/>
    <cellStyle name="Normal 4 6 3 2" xfId="1289" xr:uid="{00000000-0005-0000-0000-0000FC040000}"/>
    <cellStyle name="Normal 4 6 3 3" xfId="1290" xr:uid="{00000000-0005-0000-0000-0000FD040000}"/>
    <cellStyle name="Normal 4 6 3 4" xfId="1291" xr:uid="{00000000-0005-0000-0000-0000FE040000}"/>
    <cellStyle name="Normal 4 6 3 5" xfId="1292" xr:uid="{00000000-0005-0000-0000-0000FF040000}"/>
    <cellStyle name="Normal 4 6 3 6" xfId="1293" xr:uid="{00000000-0005-0000-0000-000000050000}"/>
    <cellStyle name="Normal 4 6 4" xfId="1294" xr:uid="{00000000-0005-0000-0000-000001050000}"/>
    <cellStyle name="Normal 4 6 5" xfId="1295" xr:uid="{00000000-0005-0000-0000-000002050000}"/>
    <cellStyle name="Normal 4 6 6" xfId="1296" xr:uid="{00000000-0005-0000-0000-000003050000}"/>
    <cellStyle name="Normal 4 6 7" xfId="1297" xr:uid="{00000000-0005-0000-0000-000004050000}"/>
    <cellStyle name="Normal 4 6 8" xfId="1298" xr:uid="{00000000-0005-0000-0000-000005050000}"/>
    <cellStyle name="Normal 4 6_109. Nat'l Price (Jul09) - Leg" xfId="1299" xr:uid="{00000000-0005-0000-0000-000006050000}"/>
    <cellStyle name="Normal 4 7" xfId="1300" xr:uid="{00000000-0005-0000-0000-000007050000}"/>
    <cellStyle name="Normal 4 7 2" xfId="1301" xr:uid="{00000000-0005-0000-0000-000008050000}"/>
    <cellStyle name="Normal 4 7 2 2" xfId="1302" xr:uid="{00000000-0005-0000-0000-000009050000}"/>
    <cellStyle name="Normal 4 7 2 3" xfId="1303" xr:uid="{00000000-0005-0000-0000-00000A050000}"/>
    <cellStyle name="Normal 4 7 2 4" xfId="1304" xr:uid="{00000000-0005-0000-0000-00000B050000}"/>
    <cellStyle name="Normal 4 7 2 5" xfId="1305" xr:uid="{00000000-0005-0000-0000-00000C050000}"/>
    <cellStyle name="Normal 4 7 2 6" xfId="1306" xr:uid="{00000000-0005-0000-0000-00000D050000}"/>
    <cellStyle name="Normal 4 7 3" xfId="1307" xr:uid="{00000000-0005-0000-0000-00000E050000}"/>
    <cellStyle name="Normal 4 7 3 2" xfId="1308" xr:uid="{00000000-0005-0000-0000-00000F050000}"/>
    <cellStyle name="Normal 4 7 3 3" xfId="1309" xr:uid="{00000000-0005-0000-0000-000010050000}"/>
    <cellStyle name="Normal 4 7 3 4" xfId="1310" xr:uid="{00000000-0005-0000-0000-000011050000}"/>
    <cellStyle name="Normal 4 7 3 5" xfId="1311" xr:uid="{00000000-0005-0000-0000-000012050000}"/>
    <cellStyle name="Normal 4 7 3 6" xfId="1312" xr:uid="{00000000-0005-0000-0000-000013050000}"/>
    <cellStyle name="Normal 4 7 4" xfId="1313" xr:uid="{00000000-0005-0000-0000-000014050000}"/>
    <cellStyle name="Normal 4 7 5" xfId="1314" xr:uid="{00000000-0005-0000-0000-000015050000}"/>
    <cellStyle name="Normal 4 7 6" xfId="1315" xr:uid="{00000000-0005-0000-0000-000016050000}"/>
    <cellStyle name="Normal 4 7 7" xfId="1316" xr:uid="{00000000-0005-0000-0000-000017050000}"/>
    <cellStyle name="Normal 4 7 8" xfId="1317" xr:uid="{00000000-0005-0000-0000-000018050000}"/>
    <cellStyle name="Normal 4 7_109. Nat'l Price (Jul09) - Leg" xfId="1318" xr:uid="{00000000-0005-0000-0000-000019050000}"/>
    <cellStyle name="Normal 4 8" xfId="1319" xr:uid="{00000000-0005-0000-0000-00001A050000}"/>
    <cellStyle name="Normal 4 8 2" xfId="1320" xr:uid="{00000000-0005-0000-0000-00001B050000}"/>
    <cellStyle name="Normal 4 8 2 2" xfId="1321" xr:uid="{00000000-0005-0000-0000-00001C050000}"/>
    <cellStyle name="Normal 4 8 2 3" xfId="1322" xr:uid="{00000000-0005-0000-0000-00001D050000}"/>
    <cellStyle name="Normal 4 8 2 4" xfId="1323" xr:uid="{00000000-0005-0000-0000-00001E050000}"/>
    <cellStyle name="Normal 4 8 2 5" xfId="1324" xr:uid="{00000000-0005-0000-0000-00001F050000}"/>
    <cellStyle name="Normal 4 8 2 6" xfId="1325" xr:uid="{00000000-0005-0000-0000-000020050000}"/>
    <cellStyle name="Normal 4 8 3" xfId="1326" xr:uid="{00000000-0005-0000-0000-000021050000}"/>
    <cellStyle name="Normal 4 8 4" xfId="1327" xr:uid="{00000000-0005-0000-0000-000022050000}"/>
    <cellStyle name="Normal 4 8 5" xfId="1328" xr:uid="{00000000-0005-0000-0000-000023050000}"/>
    <cellStyle name="Normal 4 8 6" xfId="1329" xr:uid="{00000000-0005-0000-0000-000024050000}"/>
    <cellStyle name="Normal 4 8 7" xfId="1330" xr:uid="{00000000-0005-0000-0000-000025050000}"/>
    <cellStyle name="Normal 4 9" xfId="1331" xr:uid="{00000000-0005-0000-0000-000026050000}"/>
    <cellStyle name="Normal 4 9 2" xfId="1332" xr:uid="{00000000-0005-0000-0000-000027050000}"/>
    <cellStyle name="Normal 4 9 2 2" xfId="1333" xr:uid="{00000000-0005-0000-0000-000028050000}"/>
    <cellStyle name="Normal 4 9 2 3" xfId="1334" xr:uid="{00000000-0005-0000-0000-000029050000}"/>
    <cellStyle name="Normal 4 9 2 4" xfId="1335" xr:uid="{00000000-0005-0000-0000-00002A050000}"/>
    <cellStyle name="Normal 4 9 2 5" xfId="1336" xr:uid="{00000000-0005-0000-0000-00002B050000}"/>
    <cellStyle name="Normal 4 9 2 6" xfId="1337" xr:uid="{00000000-0005-0000-0000-00002C050000}"/>
    <cellStyle name="Normal 4 9 3" xfId="1338" xr:uid="{00000000-0005-0000-0000-00002D050000}"/>
    <cellStyle name="Normal 4 9 4" xfId="1339" xr:uid="{00000000-0005-0000-0000-00002E050000}"/>
    <cellStyle name="Normal 4 9 5" xfId="1340" xr:uid="{00000000-0005-0000-0000-00002F050000}"/>
    <cellStyle name="Normal 4 9 6" xfId="1341" xr:uid="{00000000-0005-0000-0000-000030050000}"/>
    <cellStyle name="Normal 4 9 7" xfId="1342" xr:uid="{00000000-0005-0000-0000-000031050000}"/>
    <cellStyle name="Normal 4_109. Nat'l Price (Jul09) - Leg" xfId="1343" xr:uid="{00000000-0005-0000-0000-000032050000}"/>
    <cellStyle name="Normal 40" xfId="1344" xr:uid="{00000000-0005-0000-0000-000033050000}"/>
    <cellStyle name="Normal 41" xfId="1345" xr:uid="{00000000-0005-0000-0000-000034050000}"/>
    <cellStyle name="Normal 42" xfId="1346" xr:uid="{00000000-0005-0000-0000-000035050000}"/>
    <cellStyle name="Normal 43" xfId="1347" xr:uid="{00000000-0005-0000-0000-000036050000}"/>
    <cellStyle name="Normal 44" xfId="1348" xr:uid="{00000000-0005-0000-0000-000037050000}"/>
    <cellStyle name="Normal 45" xfId="1349" xr:uid="{00000000-0005-0000-0000-000038050000}"/>
    <cellStyle name="Normal 46" xfId="1350" xr:uid="{00000000-0005-0000-0000-000039050000}"/>
    <cellStyle name="Normal 47" xfId="1351" xr:uid="{00000000-0005-0000-0000-00003A050000}"/>
    <cellStyle name="Normal 48" xfId="1352" xr:uid="{00000000-0005-0000-0000-00003B050000}"/>
    <cellStyle name="Normal 49" xfId="1353" xr:uid="{00000000-0005-0000-0000-00003C050000}"/>
    <cellStyle name="Normal 5" xfId="1354" xr:uid="{00000000-0005-0000-0000-00003D050000}"/>
    <cellStyle name="Normal 5 10" xfId="1355" xr:uid="{00000000-0005-0000-0000-00003E050000}"/>
    <cellStyle name="Normal 5 10 2" xfId="1356" xr:uid="{00000000-0005-0000-0000-00003F050000}"/>
    <cellStyle name="Normal 5 10 2 2" xfId="1357" xr:uid="{00000000-0005-0000-0000-000040050000}"/>
    <cellStyle name="Normal 5 10 2 3" xfId="1358" xr:uid="{00000000-0005-0000-0000-000041050000}"/>
    <cellStyle name="Normal 5 10 2 4" xfId="1359" xr:uid="{00000000-0005-0000-0000-000042050000}"/>
    <cellStyle name="Normal 5 10 2 5" xfId="1360" xr:uid="{00000000-0005-0000-0000-000043050000}"/>
    <cellStyle name="Normal 5 10 2 6" xfId="1361" xr:uid="{00000000-0005-0000-0000-000044050000}"/>
    <cellStyle name="Normal 5 10 3" xfId="1362" xr:uid="{00000000-0005-0000-0000-000045050000}"/>
    <cellStyle name="Normal 5 10 4" xfId="1363" xr:uid="{00000000-0005-0000-0000-000046050000}"/>
    <cellStyle name="Normal 5 10 5" xfId="1364" xr:uid="{00000000-0005-0000-0000-000047050000}"/>
    <cellStyle name="Normal 5 10 6" xfId="1365" xr:uid="{00000000-0005-0000-0000-000048050000}"/>
    <cellStyle name="Normal 5 10 7" xfId="1366" xr:uid="{00000000-0005-0000-0000-000049050000}"/>
    <cellStyle name="Normal 5 11" xfId="1367" xr:uid="{00000000-0005-0000-0000-00004A050000}"/>
    <cellStyle name="Normal 5 11 2" xfId="1368" xr:uid="{00000000-0005-0000-0000-00004B050000}"/>
    <cellStyle name="Normal 5 11 2 2" xfId="1369" xr:uid="{00000000-0005-0000-0000-00004C050000}"/>
    <cellStyle name="Normal 5 11 2 3" xfId="1370" xr:uid="{00000000-0005-0000-0000-00004D050000}"/>
    <cellStyle name="Normal 5 11 2 4" xfId="1371" xr:uid="{00000000-0005-0000-0000-00004E050000}"/>
    <cellStyle name="Normal 5 11 2 5" xfId="1372" xr:uid="{00000000-0005-0000-0000-00004F050000}"/>
    <cellStyle name="Normal 5 11 2 6" xfId="1373" xr:uid="{00000000-0005-0000-0000-000050050000}"/>
    <cellStyle name="Normal 5 11 3" xfId="1374" xr:uid="{00000000-0005-0000-0000-000051050000}"/>
    <cellStyle name="Normal 5 11 4" xfId="1375" xr:uid="{00000000-0005-0000-0000-000052050000}"/>
    <cellStyle name="Normal 5 11 5" xfId="1376" xr:uid="{00000000-0005-0000-0000-000053050000}"/>
    <cellStyle name="Normal 5 11 6" xfId="1377" xr:uid="{00000000-0005-0000-0000-000054050000}"/>
    <cellStyle name="Normal 5 11 7" xfId="1378" xr:uid="{00000000-0005-0000-0000-000055050000}"/>
    <cellStyle name="Normal 5 12" xfId="1379" xr:uid="{00000000-0005-0000-0000-000056050000}"/>
    <cellStyle name="Normal 5 12 2" xfId="1380" xr:uid="{00000000-0005-0000-0000-000057050000}"/>
    <cellStyle name="Normal 5 12 3" xfId="1381" xr:uid="{00000000-0005-0000-0000-000058050000}"/>
    <cellStyle name="Normal 5 12 4" xfId="1382" xr:uid="{00000000-0005-0000-0000-000059050000}"/>
    <cellStyle name="Normal 5 12 5" xfId="1383" xr:uid="{00000000-0005-0000-0000-00005A050000}"/>
    <cellStyle name="Normal 5 12 6" xfId="1384" xr:uid="{00000000-0005-0000-0000-00005B050000}"/>
    <cellStyle name="Normal 5 13" xfId="1385" xr:uid="{00000000-0005-0000-0000-00005C050000}"/>
    <cellStyle name="Normal 5 13 2" xfId="1386" xr:uid="{00000000-0005-0000-0000-00005D050000}"/>
    <cellStyle name="Normal 5 13 3" xfId="1387" xr:uid="{00000000-0005-0000-0000-00005E050000}"/>
    <cellStyle name="Normal 5 13 4" xfId="1388" xr:uid="{00000000-0005-0000-0000-00005F050000}"/>
    <cellStyle name="Normal 5 13 5" xfId="1389" xr:uid="{00000000-0005-0000-0000-000060050000}"/>
    <cellStyle name="Normal 5 13 6" xfId="1390" xr:uid="{00000000-0005-0000-0000-000061050000}"/>
    <cellStyle name="Normal 5 14" xfId="1391" xr:uid="{00000000-0005-0000-0000-000062050000}"/>
    <cellStyle name="Normal 5 15" xfId="1392" xr:uid="{00000000-0005-0000-0000-000063050000}"/>
    <cellStyle name="Normal 5 16" xfId="1393" xr:uid="{00000000-0005-0000-0000-000064050000}"/>
    <cellStyle name="Normal 5 17" xfId="1394" xr:uid="{00000000-0005-0000-0000-000065050000}"/>
    <cellStyle name="Normal 5 18" xfId="1395" xr:uid="{00000000-0005-0000-0000-000066050000}"/>
    <cellStyle name="Normal 5 2" xfId="1396" xr:uid="{00000000-0005-0000-0000-000067050000}"/>
    <cellStyle name="Normal 5 2 2" xfId="1397" xr:uid="{00000000-0005-0000-0000-000068050000}"/>
    <cellStyle name="Normal 5 2 2 2" xfId="1398" xr:uid="{00000000-0005-0000-0000-000069050000}"/>
    <cellStyle name="Normal 5 2 2 3" xfId="1399" xr:uid="{00000000-0005-0000-0000-00006A050000}"/>
    <cellStyle name="Normal 5 2 2 4" xfId="1400" xr:uid="{00000000-0005-0000-0000-00006B050000}"/>
    <cellStyle name="Normal 5 2 2 5" xfId="1401" xr:uid="{00000000-0005-0000-0000-00006C050000}"/>
    <cellStyle name="Normal 5 2 2 6" xfId="1402" xr:uid="{00000000-0005-0000-0000-00006D050000}"/>
    <cellStyle name="Normal 5 2 3" xfId="1403" xr:uid="{00000000-0005-0000-0000-00006E050000}"/>
    <cellStyle name="Normal 5 2 3 2" xfId="1404" xr:uid="{00000000-0005-0000-0000-00006F050000}"/>
    <cellStyle name="Normal 5 2 3 3" xfId="1405" xr:uid="{00000000-0005-0000-0000-000070050000}"/>
    <cellStyle name="Normal 5 2 3 4" xfId="1406" xr:uid="{00000000-0005-0000-0000-000071050000}"/>
    <cellStyle name="Normal 5 2 3 5" xfId="1407" xr:uid="{00000000-0005-0000-0000-000072050000}"/>
    <cellStyle name="Normal 5 2 3 6" xfId="1408" xr:uid="{00000000-0005-0000-0000-000073050000}"/>
    <cellStyle name="Normal 5 2 4" xfId="1409" xr:uid="{00000000-0005-0000-0000-000074050000}"/>
    <cellStyle name="Normal 5 2 5" xfId="1410" xr:uid="{00000000-0005-0000-0000-000075050000}"/>
    <cellStyle name="Normal 5 2 6" xfId="1411" xr:uid="{00000000-0005-0000-0000-000076050000}"/>
    <cellStyle name="Normal 5 2 7" xfId="1412" xr:uid="{00000000-0005-0000-0000-000077050000}"/>
    <cellStyle name="Normal 5 2 8" xfId="1413" xr:uid="{00000000-0005-0000-0000-000078050000}"/>
    <cellStyle name="Normal 5 2_109. Nat'l Price (Jul09) - Leg" xfId="1414" xr:uid="{00000000-0005-0000-0000-000079050000}"/>
    <cellStyle name="Normal 5 3" xfId="1415" xr:uid="{00000000-0005-0000-0000-00007A050000}"/>
    <cellStyle name="Normal 5 3 2" xfId="1416" xr:uid="{00000000-0005-0000-0000-00007B050000}"/>
    <cellStyle name="Normal 5 3 2 2" xfId="1417" xr:uid="{00000000-0005-0000-0000-00007C050000}"/>
    <cellStyle name="Normal 5 3 2 3" xfId="1418" xr:uid="{00000000-0005-0000-0000-00007D050000}"/>
    <cellStyle name="Normal 5 3 2 4" xfId="1419" xr:uid="{00000000-0005-0000-0000-00007E050000}"/>
    <cellStyle name="Normal 5 3 2 5" xfId="1420" xr:uid="{00000000-0005-0000-0000-00007F050000}"/>
    <cellStyle name="Normal 5 3 2 6" xfId="1421" xr:uid="{00000000-0005-0000-0000-000080050000}"/>
    <cellStyle name="Normal 5 3 3" xfId="1422" xr:uid="{00000000-0005-0000-0000-000081050000}"/>
    <cellStyle name="Normal 5 3 3 2" xfId="1423" xr:uid="{00000000-0005-0000-0000-000082050000}"/>
    <cellStyle name="Normal 5 3 3 3" xfId="1424" xr:uid="{00000000-0005-0000-0000-000083050000}"/>
    <cellStyle name="Normal 5 3 3 4" xfId="1425" xr:uid="{00000000-0005-0000-0000-000084050000}"/>
    <cellStyle name="Normal 5 3 3 5" xfId="1426" xr:uid="{00000000-0005-0000-0000-000085050000}"/>
    <cellStyle name="Normal 5 3 3 6" xfId="1427" xr:uid="{00000000-0005-0000-0000-000086050000}"/>
    <cellStyle name="Normal 5 3 4" xfId="1428" xr:uid="{00000000-0005-0000-0000-000087050000}"/>
    <cellStyle name="Normal 5 3 5" xfId="1429" xr:uid="{00000000-0005-0000-0000-000088050000}"/>
    <cellStyle name="Normal 5 3 6" xfId="1430" xr:uid="{00000000-0005-0000-0000-000089050000}"/>
    <cellStyle name="Normal 5 3 7" xfId="1431" xr:uid="{00000000-0005-0000-0000-00008A050000}"/>
    <cellStyle name="Normal 5 3 8" xfId="1432" xr:uid="{00000000-0005-0000-0000-00008B050000}"/>
    <cellStyle name="Normal 5 3_109. Nat'l Price (Jul09) - Leg" xfId="1433" xr:uid="{00000000-0005-0000-0000-00008C050000}"/>
    <cellStyle name="Normal 5 4" xfId="1434" xr:uid="{00000000-0005-0000-0000-00008D050000}"/>
    <cellStyle name="Normal 5 4 2" xfId="1435" xr:uid="{00000000-0005-0000-0000-00008E050000}"/>
    <cellStyle name="Normal 5 4 2 2" xfId="1436" xr:uid="{00000000-0005-0000-0000-00008F050000}"/>
    <cellStyle name="Normal 5 4 2 3" xfId="1437" xr:uid="{00000000-0005-0000-0000-000090050000}"/>
    <cellStyle name="Normal 5 4 2 4" xfId="1438" xr:uid="{00000000-0005-0000-0000-000091050000}"/>
    <cellStyle name="Normal 5 4 2 5" xfId="1439" xr:uid="{00000000-0005-0000-0000-000092050000}"/>
    <cellStyle name="Normal 5 4 2 6" xfId="1440" xr:uid="{00000000-0005-0000-0000-000093050000}"/>
    <cellStyle name="Normal 5 4 3" xfId="1441" xr:uid="{00000000-0005-0000-0000-000094050000}"/>
    <cellStyle name="Normal 5 4 3 2" xfId="1442" xr:uid="{00000000-0005-0000-0000-000095050000}"/>
    <cellStyle name="Normal 5 4 3 3" xfId="1443" xr:uid="{00000000-0005-0000-0000-000096050000}"/>
    <cellStyle name="Normal 5 4 3 4" xfId="1444" xr:uid="{00000000-0005-0000-0000-000097050000}"/>
    <cellStyle name="Normal 5 4 3 5" xfId="1445" xr:uid="{00000000-0005-0000-0000-000098050000}"/>
    <cellStyle name="Normal 5 4 3 6" xfId="1446" xr:uid="{00000000-0005-0000-0000-000099050000}"/>
    <cellStyle name="Normal 5 4 4" xfId="1447" xr:uid="{00000000-0005-0000-0000-00009A050000}"/>
    <cellStyle name="Normal 5 4 5" xfId="1448" xr:uid="{00000000-0005-0000-0000-00009B050000}"/>
    <cellStyle name="Normal 5 4 6" xfId="1449" xr:uid="{00000000-0005-0000-0000-00009C050000}"/>
    <cellStyle name="Normal 5 4 7" xfId="1450" xr:uid="{00000000-0005-0000-0000-00009D050000}"/>
    <cellStyle name="Normal 5 4 8" xfId="1451" xr:uid="{00000000-0005-0000-0000-00009E050000}"/>
    <cellStyle name="Normal 5 4_109. Nat'l Price (Jul09) - Leg" xfId="1452" xr:uid="{00000000-0005-0000-0000-00009F050000}"/>
    <cellStyle name="Normal 5 5" xfId="1453" xr:uid="{00000000-0005-0000-0000-0000A0050000}"/>
    <cellStyle name="Normal 5 5 2" xfId="1454" xr:uid="{00000000-0005-0000-0000-0000A1050000}"/>
    <cellStyle name="Normal 5 5 2 2" xfId="1455" xr:uid="{00000000-0005-0000-0000-0000A2050000}"/>
    <cellStyle name="Normal 5 5 2 3" xfId="1456" xr:uid="{00000000-0005-0000-0000-0000A3050000}"/>
    <cellStyle name="Normal 5 5 2 4" xfId="1457" xr:uid="{00000000-0005-0000-0000-0000A4050000}"/>
    <cellStyle name="Normal 5 5 2 5" xfId="1458" xr:uid="{00000000-0005-0000-0000-0000A5050000}"/>
    <cellStyle name="Normal 5 5 2 6" xfId="1459" xr:uid="{00000000-0005-0000-0000-0000A6050000}"/>
    <cellStyle name="Normal 5 5 3" xfId="1460" xr:uid="{00000000-0005-0000-0000-0000A7050000}"/>
    <cellStyle name="Normal 5 5 3 2" xfId="1461" xr:uid="{00000000-0005-0000-0000-0000A8050000}"/>
    <cellStyle name="Normal 5 5 3 3" xfId="1462" xr:uid="{00000000-0005-0000-0000-0000A9050000}"/>
    <cellStyle name="Normal 5 5 3 4" xfId="1463" xr:uid="{00000000-0005-0000-0000-0000AA050000}"/>
    <cellStyle name="Normal 5 5 3 5" xfId="1464" xr:uid="{00000000-0005-0000-0000-0000AB050000}"/>
    <cellStyle name="Normal 5 5 3 6" xfId="1465" xr:uid="{00000000-0005-0000-0000-0000AC050000}"/>
    <cellStyle name="Normal 5 5 4" xfId="1466" xr:uid="{00000000-0005-0000-0000-0000AD050000}"/>
    <cellStyle name="Normal 5 5 5" xfId="1467" xr:uid="{00000000-0005-0000-0000-0000AE050000}"/>
    <cellStyle name="Normal 5 5 6" xfId="1468" xr:uid="{00000000-0005-0000-0000-0000AF050000}"/>
    <cellStyle name="Normal 5 5 7" xfId="1469" xr:uid="{00000000-0005-0000-0000-0000B0050000}"/>
    <cellStyle name="Normal 5 5 8" xfId="1470" xr:uid="{00000000-0005-0000-0000-0000B1050000}"/>
    <cellStyle name="Normal 5 5_109. Nat'l Price (Jul09) - Leg" xfId="1471" xr:uid="{00000000-0005-0000-0000-0000B2050000}"/>
    <cellStyle name="Normal 5 6" xfId="1472" xr:uid="{00000000-0005-0000-0000-0000B3050000}"/>
    <cellStyle name="Normal 5 6 2" xfId="1473" xr:uid="{00000000-0005-0000-0000-0000B4050000}"/>
    <cellStyle name="Normal 5 6 2 2" xfId="1474" xr:uid="{00000000-0005-0000-0000-0000B5050000}"/>
    <cellStyle name="Normal 5 6 2 3" xfId="1475" xr:uid="{00000000-0005-0000-0000-0000B6050000}"/>
    <cellStyle name="Normal 5 6 2 4" xfId="1476" xr:uid="{00000000-0005-0000-0000-0000B7050000}"/>
    <cellStyle name="Normal 5 6 2 5" xfId="1477" xr:uid="{00000000-0005-0000-0000-0000B8050000}"/>
    <cellStyle name="Normal 5 6 2 6" xfId="1478" xr:uid="{00000000-0005-0000-0000-0000B9050000}"/>
    <cellStyle name="Normal 5 6 3" xfId="1479" xr:uid="{00000000-0005-0000-0000-0000BA050000}"/>
    <cellStyle name="Normal 5 6 3 2" xfId="1480" xr:uid="{00000000-0005-0000-0000-0000BB050000}"/>
    <cellStyle name="Normal 5 6 3 3" xfId="1481" xr:uid="{00000000-0005-0000-0000-0000BC050000}"/>
    <cellStyle name="Normal 5 6 3 4" xfId="1482" xr:uid="{00000000-0005-0000-0000-0000BD050000}"/>
    <cellStyle name="Normal 5 6 3 5" xfId="1483" xr:uid="{00000000-0005-0000-0000-0000BE050000}"/>
    <cellStyle name="Normal 5 6 3 6" xfId="1484" xr:uid="{00000000-0005-0000-0000-0000BF050000}"/>
    <cellStyle name="Normal 5 6 4" xfId="1485" xr:uid="{00000000-0005-0000-0000-0000C0050000}"/>
    <cellStyle name="Normal 5 6 5" xfId="1486" xr:uid="{00000000-0005-0000-0000-0000C1050000}"/>
    <cellStyle name="Normal 5 6 6" xfId="1487" xr:uid="{00000000-0005-0000-0000-0000C2050000}"/>
    <cellStyle name="Normal 5 6 7" xfId="1488" xr:uid="{00000000-0005-0000-0000-0000C3050000}"/>
    <cellStyle name="Normal 5 6 8" xfId="1489" xr:uid="{00000000-0005-0000-0000-0000C4050000}"/>
    <cellStyle name="Normal 5 6_109. Nat'l Price (Jul09) - Leg" xfId="1490" xr:uid="{00000000-0005-0000-0000-0000C5050000}"/>
    <cellStyle name="Normal 5 7" xfId="1491" xr:uid="{00000000-0005-0000-0000-0000C6050000}"/>
    <cellStyle name="Normal 5 7 2" xfId="1492" xr:uid="{00000000-0005-0000-0000-0000C7050000}"/>
    <cellStyle name="Normal 5 7 2 2" xfId="1493" xr:uid="{00000000-0005-0000-0000-0000C8050000}"/>
    <cellStyle name="Normal 5 7 2 3" xfId="1494" xr:uid="{00000000-0005-0000-0000-0000C9050000}"/>
    <cellStyle name="Normal 5 7 2 4" xfId="1495" xr:uid="{00000000-0005-0000-0000-0000CA050000}"/>
    <cellStyle name="Normal 5 7 2 5" xfId="1496" xr:uid="{00000000-0005-0000-0000-0000CB050000}"/>
    <cellStyle name="Normal 5 7 2 6" xfId="1497" xr:uid="{00000000-0005-0000-0000-0000CC050000}"/>
    <cellStyle name="Normal 5 7 3" xfId="1498" xr:uid="{00000000-0005-0000-0000-0000CD050000}"/>
    <cellStyle name="Normal 5 7 3 2" xfId="1499" xr:uid="{00000000-0005-0000-0000-0000CE050000}"/>
    <cellStyle name="Normal 5 7 3 3" xfId="1500" xr:uid="{00000000-0005-0000-0000-0000CF050000}"/>
    <cellStyle name="Normal 5 7 3 4" xfId="1501" xr:uid="{00000000-0005-0000-0000-0000D0050000}"/>
    <cellStyle name="Normal 5 7 3 5" xfId="1502" xr:uid="{00000000-0005-0000-0000-0000D1050000}"/>
    <cellStyle name="Normal 5 7 3 6" xfId="1503" xr:uid="{00000000-0005-0000-0000-0000D2050000}"/>
    <cellStyle name="Normal 5 7 4" xfId="1504" xr:uid="{00000000-0005-0000-0000-0000D3050000}"/>
    <cellStyle name="Normal 5 7 5" xfId="1505" xr:uid="{00000000-0005-0000-0000-0000D4050000}"/>
    <cellStyle name="Normal 5 7 6" xfId="1506" xr:uid="{00000000-0005-0000-0000-0000D5050000}"/>
    <cellStyle name="Normal 5 7 7" xfId="1507" xr:uid="{00000000-0005-0000-0000-0000D6050000}"/>
    <cellStyle name="Normal 5 7 8" xfId="1508" xr:uid="{00000000-0005-0000-0000-0000D7050000}"/>
    <cellStyle name="Normal 5 7_109. Nat'l Price (Jul09) - Leg" xfId="1509" xr:uid="{00000000-0005-0000-0000-0000D8050000}"/>
    <cellStyle name="Normal 5 8" xfId="1510" xr:uid="{00000000-0005-0000-0000-0000D9050000}"/>
    <cellStyle name="Normal 5 8 2" xfId="1511" xr:uid="{00000000-0005-0000-0000-0000DA050000}"/>
    <cellStyle name="Normal 5 8 2 2" xfId="1512" xr:uid="{00000000-0005-0000-0000-0000DB050000}"/>
    <cellStyle name="Normal 5 8 2 3" xfId="1513" xr:uid="{00000000-0005-0000-0000-0000DC050000}"/>
    <cellStyle name="Normal 5 8 2 4" xfId="1514" xr:uid="{00000000-0005-0000-0000-0000DD050000}"/>
    <cellStyle name="Normal 5 8 2 5" xfId="1515" xr:uid="{00000000-0005-0000-0000-0000DE050000}"/>
    <cellStyle name="Normal 5 8 2 6" xfId="1516" xr:uid="{00000000-0005-0000-0000-0000DF050000}"/>
    <cellStyle name="Normal 5 8 3" xfId="1517" xr:uid="{00000000-0005-0000-0000-0000E0050000}"/>
    <cellStyle name="Normal 5 8 4" xfId="1518" xr:uid="{00000000-0005-0000-0000-0000E1050000}"/>
    <cellStyle name="Normal 5 8 5" xfId="1519" xr:uid="{00000000-0005-0000-0000-0000E2050000}"/>
    <cellStyle name="Normal 5 8 6" xfId="1520" xr:uid="{00000000-0005-0000-0000-0000E3050000}"/>
    <cellStyle name="Normal 5 8 7" xfId="1521" xr:uid="{00000000-0005-0000-0000-0000E4050000}"/>
    <cellStyle name="Normal 5 9" xfId="1522" xr:uid="{00000000-0005-0000-0000-0000E5050000}"/>
    <cellStyle name="Normal 5 9 2" xfId="1523" xr:uid="{00000000-0005-0000-0000-0000E6050000}"/>
    <cellStyle name="Normal 5 9 2 2" xfId="1524" xr:uid="{00000000-0005-0000-0000-0000E7050000}"/>
    <cellStyle name="Normal 5 9 2 3" xfId="1525" xr:uid="{00000000-0005-0000-0000-0000E8050000}"/>
    <cellStyle name="Normal 5 9 2 4" xfId="1526" xr:uid="{00000000-0005-0000-0000-0000E9050000}"/>
    <cellStyle name="Normal 5 9 2 5" xfId="1527" xr:uid="{00000000-0005-0000-0000-0000EA050000}"/>
    <cellStyle name="Normal 5 9 2 6" xfId="1528" xr:uid="{00000000-0005-0000-0000-0000EB050000}"/>
    <cellStyle name="Normal 5 9 3" xfId="1529" xr:uid="{00000000-0005-0000-0000-0000EC050000}"/>
    <cellStyle name="Normal 5 9 4" xfId="1530" xr:uid="{00000000-0005-0000-0000-0000ED050000}"/>
    <cellStyle name="Normal 5 9 5" xfId="1531" xr:uid="{00000000-0005-0000-0000-0000EE050000}"/>
    <cellStyle name="Normal 5 9 6" xfId="1532" xr:uid="{00000000-0005-0000-0000-0000EF050000}"/>
    <cellStyle name="Normal 5 9 7" xfId="1533" xr:uid="{00000000-0005-0000-0000-0000F0050000}"/>
    <cellStyle name="Normal 5_109. Nat'l Price (Jul09) - Leg" xfId="1534" xr:uid="{00000000-0005-0000-0000-0000F1050000}"/>
    <cellStyle name="Normal 50" xfId="1535" xr:uid="{00000000-0005-0000-0000-0000F2050000}"/>
    <cellStyle name="Normal 51" xfId="1536" xr:uid="{00000000-0005-0000-0000-0000F3050000}"/>
    <cellStyle name="Normal 52" xfId="1537" xr:uid="{00000000-0005-0000-0000-0000F4050000}"/>
    <cellStyle name="Normal 53" xfId="1538" xr:uid="{00000000-0005-0000-0000-0000F5050000}"/>
    <cellStyle name="Normal 55" xfId="1539" xr:uid="{00000000-0005-0000-0000-0000F6050000}"/>
    <cellStyle name="Normal 56" xfId="64" xr:uid="{00000000-0005-0000-0000-0000F7050000}"/>
    <cellStyle name="Normal 57" xfId="65" xr:uid="{00000000-0005-0000-0000-0000F8050000}"/>
    <cellStyle name="Normal 58" xfId="66" xr:uid="{00000000-0005-0000-0000-0000F9050000}"/>
    <cellStyle name="Normal 6" xfId="1540" xr:uid="{00000000-0005-0000-0000-0000FA050000}"/>
    <cellStyle name="Normal 6 10" xfId="1541" xr:uid="{00000000-0005-0000-0000-0000FB050000}"/>
    <cellStyle name="Normal 6 10 2" xfId="1542" xr:uid="{00000000-0005-0000-0000-0000FC050000}"/>
    <cellStyle name="Normal 6 10 2 2" xfId="1543" xr:uid="{00000000-0005-0000-0000-0000FD050000}"/>
    <cellStyle name="Normal 6 10 2 3" xfId="1544" xr:uid="{00000000-0005-0000-0000-0000FE050000}"/>
    <cellStyle name="Normal 6 10 2 4" xfId="1545" xr:uid="{00000000-0005-0000-0000-0000FF050000}"/>
    <cellStyle name="Normal 6 10 2 5" xfId="1546" xr:uid="{00000000-0005-0000-0000-000000060000}"/>
    <cellStyle name="Normal 6 10 2 6" xfId="1547" xr:uid="{00000000-0005-0000-0000-000001060000}"/>
    <cellStyle name="Normal 6 10 3" xfId="1548" xr:uid="{00000000-0005-0000-0000-000002060000}"/>
    <cellStyle name="Normal 6 10 4" xfId="1549" xr:uid="{00000000-0005-0000-0000-000003060000}"/>
    <cellStyle name="Normal 6 10 5" xfId="1550" xr:uid="{00000000-0005-0000-0000-000004060000}"/>
    <cellStyle name="Normal 6 10 6" xfId="1551" xr:uid="{00000000-0005-0000-0000-000005060000}"/>
    <cellStyle name="Normal 6 10 7" xfId="1552" xr:uid="{00000000-0005-0000-0000-000006060000}"/>
    <cellStyle name="Normal 6 11" xfId="1553" xr:uid="{00000000-0005-0000-0000-000007060000}"/>
    <cellStyle name="Normal 6 11 2" xfId="1554" xr:uid="{00000000-0005-0000-0000-000008060000}"/>
    <cellStyle name="Normal 6 11 2 2" xfId="1555" xr:uid="{00000000-0005-0000-0000-000009060000}"/>
    <cellStyle name="Normal 6 11 2 3" xfId="1556" xr:uid="{00000000-0005-0000-0000-00000A060000}"/>
    <cellStyle name="Normal 6 11 2 4" xfId="1557" xr:uid="{00000000-0005-0000-0000-00000B060000}"/>
    <cellStyle name="Normal 6 11 2 5" xfId="1558" xr:uid="{00000000-0005-0000-0000-00000C060000}"/>
    <cellStyle name="Normal 6 11 2 6" xfId="1559" xr:uid="{00000000-0005-0000-0000-00000D060000}"/>
    <cellStyle name="Normal 6 11 3" xfId="1560" xr:uid="{00000000-0005-0000-0000-00000E060000}"/>
    <cellStyle name="Normal 6 11 4" xfId="1561" xr:uid="{00000000-0005-0000-0000-00000F060000}"/>
    <cellStyle name="Normal 6 11 5" xfId="1562" xr:uid="{00000000-0005-0000-0000-000010060000}"/>
    <cellStyle name="Normal 6 11 6" xfId="1563" xr:uid="{00000000-0005-0000-0000-000011060000}"/>
    <cellStyle name="Normal 6 11 7" xfId="1564" xr:uid="{00000000-0005-0000-0000-000012060000}"/>
    <cellStyle name="Normal 6 12" xfId="1565" xr:uid="{00000000-0005-0000-0000-000013060000}"/>
    <cellStyle name="Normal 6 12 2" xfId="1566" xr:uid="{00000000-0005-0000-0000-000014060000}"/>
    <cellStyle name="Normal 6 12 3" xfId="1567" xr:uid="{00000000-0005-0000-0000-000015060000}"/>
    <cellStyle name="Normal 6 12 4" xfId="1568" xr:uid="{00000000-0005-0000-0000-000016060000}"/>
    <cellStyle name="Normal 6 12 5" xfId="1569" xr:uid="{00000000-0005-0000-0000-000017060000}"/>
    <cellStyle name="Normal 6 12 6" xfId="1570" xr:uid="{00000000-0005-0000-0000-000018060000}"/>
    <cellStyle name="Normal 6 13" xfId="1571" xr:uid="{00000000-0005-0000-0000-000019060000}"/>
    <cellStyle name="Normal 6 13 2" xfId="1572" xr:uid="{00000000-0005-0000-0000-00001A060000}"/>
    <cellStyle name="Normal 6 13 3" xfId="1573" xr:uid="{00000000-0005-0000-0000-00001B060000}"/>
    <cellStyle name="Normal 6 13 4" xfId="1574" xr:uid="{00000000-0005-0000-0000-00001C060000}"/>
    <cellStyle name="Normal 6 13 5" xfId="1575" xr:uid="{00000000-0005-0000-0000-00001D060000}"/>
    <cellStyle name="Normal 6 13 6" xfId="1576" xr:uid="{00000000-0005-0000-0000-00001E060000}"/>
    <cellStyle name="Normal 6 14" xfId="1577" xr:uid="{00000000-0005-0000-0000-00001F060000}"/>
    <cellStyle name="Normal 6 15" xfId="1578" xr:uid="{00000000-0005-0000-0000-000020060000}"/>
    <cellStyle name="Normal 6 16" xfId="1579" xr:uid="{00000000-0005-0000-0000-000021060000}"/>
    <cellStyle name="Normal 6 17" xfId="1580" xr:uid="{00000000-0005-0000-0000-000022060000}"/>
    <cellStyle name="Normal 6 18" xfId="1581" xr:uid="{00000000-0005-0000-0000-000023060000}"/>
    <cellStyle name="Normal 6 2" xfId="1582" xr:uid="{00000000-0005-0000-0000-000024060000}"/>
    <cellStyle name="Normal 6 2 2" xfId="1583" xr:uid="{00000000-0005-0000-0000-000025060000}"/>
    <cellStyle name="Normal 6 2 2 2" xfId="1584" xr:uid="{00000000-0005-0000-0000-000026060000}"/>
    <cellStyle name="Normal 6 2 2 3" xfId="1585" xr:uid="{00000000-0005-0000-0000-000027060000}"/>
    <cellStyle name="Normal 6 2 2 4" xfId="1586" xr:uid="{00000000-0005-0000-0000-000028060000}"/>
    <cellStyle name="Normal 6 2 2 5" xfId="1587" xr:uid="{00000000-0005-0000-0000-000029060000}"/>
    <cellStyle name="Normal 6 2 2 6" xfId="1588" xr:uid="{00000000-0005-0000-0000-00002A060000}"/>
    <cellStyle name="Normal 6 2 3" xfId="1589" xr:uid="{00000000-0005-0000-0000-00002B060000}"/>
    <cellStyle name="Normal 6 2 3 2" xfId="1590" xr:uid="{00000000-0005-0000-0000-00002C060000}"/>
    <cellStyle name="Normal 6 2 3 3" xfId="1591" xr:uid="{00000000-0005-0000-0000-00002D060000}"/>
    <cellStyle name="Normal 6 2 3 4" xfId="1592" xr:uid="{00000000-0005-0000-0000-00002E060000}"/>
    <cellStyle name="Normal 6 2 3 5" xfId="1593" xr:uid="{00000000-0005-0000-0000-00002F060000}"/>
    <cellStyle name="Normal 6 2 3 6" xfId="1594" xr:uid="{00000000-0005-0000-0000-000030060000}"/>
    <cellStyle name="Normal 6 2 4" xfId="1595" xr:uid="{00000000-0005-0000-0000-000031060000}"/>
    <cellStyle name="Normal 6 2 5" xfId="1596" xr:uid="{00000000-0005-0000-0000-000032060000}"/>
    <cellStyle name="Normal 6 2 6" xfId="1597" xr:uid="{00000000-0005-0000-0000-000033060000}"/>
    <cellStyle name="Normal 6 2 7" xfId="1598" xr:uid="{00000000-0005-0000-0000-000034060000}"/>
    <cellStyle name="Normal 6 2 8" xfId="1599" xr:uid="{00000000-0005-0000-0000-000035060000}"/>
    <cellStyle name="Normal 6 2_109. Nat'l Price (Jul09) - Leg" xfId="1600" xr:uid="{00000000-0005-0000-0000-000036060000}"/>
    <cellStyle name="Normal 6 3" xfId="1601" xr:uid="{00000000-0005-0000-0000-000037060000}"/>
    <cellStyle name="Normal 6 3 2" xfId="1602" xr:uid="{00000000-0005-0000-0000-000038060000}"/>
    <cellStyle name="Normal 6 3 2 2" xfId="1603" xr:uid="{00000000-0005-0000-0000-000039060000}"/>
    <cellStyle name="Normal 6 3 2 3" xfId="1604" xr:uid="{00000000-0005-0000-0000-00003A060000}"/>
    <cellStyle name="Normal 6 3 2 4" xfId="1605" xr:uid="{00000000-0005-0000-0000-00003B060000}"/>
    <cellStyle name="Normal 6 3 2 5" xfId="1606" xr:uid="{00000000-0005-0000-0000-00003C060000}"/>
    <cellStyle name="Normal 6 3 2 6" xfId="1607" xr:uid="{00000000-0005-0000-0000-00003D060000}"/>
    <cellStyle name="Normal 6 3 3" xfId="1608" xr:uid="{00000000-0005-0000-0000-00003E060000}"/>
    <cellStyle name="Normal 6 3 3 2" xfId="1609" xr:uid="{00000000-0005-0000-0000-00003F060000}"/>
    <cellStyle name="Normal 6 3 3 3" xfId="1610" xr:uid="{00000000-0005-0000-0000-000040060000}"/>
    <cellStyle name="Normal 6 3 3 4" xfId="1611" xr:uid="{00000000-0005-0000-0000-000041060000}"/>
    <cellStyle name="Normal 6 3 3 5" xfId="1612" xr:uid="{00000000-0005-0000-0000-000042060000}"/>
    <cellStyle name="Normal 6 3 3 6" xfId="1613" xr:uid="{00000000-0005-0000-0000-000043060000}"/>
    <cellStyle name="Normal 6 3 4" xfId="1614" xr:uid="{00000000-0005-0000-0000-000044060000}"/>
    <cellStyle name="Normal 6 3 5" xfId="1615" xr:uid="{00000000-0005-0000-0000-000045060000}"/>
    <cellStyle name="Normal 6 3 6" xfId="1616" xr:uid="{00000000-0005-0000-0000-000046060000}"/>
    <cellStyle name="Normal 6 3 7" xfId="1617" xr:uid="{00000000-0005-0000-0000-000047060000}"/>
    <cellStyle name="Normal 6 3 8" xfId="1618" xr:uid="{00000000-0005-0000-0000-000048060000}"/>
    <cellStyle name="Normal 6 3_109. Nat'l Price (Jul09) - Leg" xfId="1619" xr:uid="{00000000-0005-0000-0000-000049060000}"/>
    <cellStyle name="Normal 6 4" xfId="1620" xr:uid="{00000000-0005-0000-0000-00004A060000}"/>
    <cellStyle name="Normal 6 4 2" xfId="1621" xr:uid="{00000000-0005-0000-0000-00004B060000}"/>
    <cellStyle name="Normal 6 4 2 2" xfId="1622" xr:uid="{00000000-0005-0000-0000-00004C060000}"/>
    <cellStyle name="Normal 6 4 2 3" xfId="1623" xr:uid="{00000000-0005-0000-0000-00004D060000}"/>
    <cellStyle name="Normal 6 4 2 4" xfId="1624" xr:uid="{00000000-0005-0000-0000-00004E060000}"/>
    <cellStyle name="Normal 6 4 2 5" xfId="1625" xr:uid="{00000000-0005-0000-0000-00004F060000}"/>
    <cellStyle name="Normal 6 4 2 6" xfId="1626" xr:uid="{00000000-0005-0000-0000-000050060000}"/>
    <cellStyle name="Normal 6 4 3" xfId="1627" xr:uid="{00000000-0005-0000-0000-000051060000}"/>
    <cellStyle name="Normal 6 4 3 2" xfId="1628" xr:uid="{00000000-0005-0000-0000-000052060000}"/>
    <cellStyle name="Normal 6 4 3 3" xfId="1629" xr:uid="{00000000-0005-0000-0000-000053060000}"/>
    <cellStyle name="Normal 6 4 3 4" xfId="1630" xr:uid="{00000000-0005-0000-0000-000054060000}"/>
    <cellStyle name="Normal 6 4 3 5" xfId="1631" xr:uid="{00000000-0005-0000-0000-000055060000}"/>
    <cellStyle name="Normal 6 4 3 6" xfId="1632" xr:uid="{00000000-0005-0000-0000-000056060000}"/>
    <cellStyle name="Normal 6 4 4" xfId="1633" xr:uid="{00000000-0005-0000-0000-000057060000}"/>
    <cellStyle name="Normal 6 4 5" xfId="1634" xr:uid="{00000000-0005-0000-0000-000058060000}"/>
    <cellStyle name="Normal 6 4 6" xfId="1635" xr:uid="{00000000-0005-0000-0000-000059060000}"/>
    <cellStyle name="Normal 6 4 7" xfId="1636" xr:uid="{00000000-0005-0000-0000-00005A060000}"/>
    <cellStyle name="Normal 6 4 8" xfId="1637" xr:uid="{00000000-0005-0000-0000-00005B060000}"/>
    <cellStyle name="Normal 6 4_109. Nat'l Price (Jul09) - Leg" xfId="1638" xr:uid="{00000000-0005-0000-0000-00005C060000}"/>
    <cellStyle name="Normal 6 5" xfId="1639" xr:uid="{00000000-0005-0000-0000-00005D060000}"/>
    <cellStyle name="Normal 6 5 2" xfId="1640" xr:uid="{00000000-0005-0000-0000-00005E060000}"/>
    <cellStyle name="Normal 6 5 2 2" xfId="1641" xr:uid="{00000000-0005-0000-0000-00005F060000}"/>
    <cellStyle name="Normal 6 5 2 3" xfId="1642" xr:uid="{00000000-0005-0000-0000-000060060000}"/>
    <cellStyle name="Normal 6 5 2 4" xfId="1643" xr:uid="{00000000-0005-0000-0000-000061060000}"/>
    <cellStyle name="Normal 6 5 2 5" xfId="1644" xr:uid="{00000000-0005-0000-0000-000062060000}"/>
    <cellStyle name="Normal 6 5 2 6" xfId="1645" xr:uid="{00000000-0005-0000-0000-000063060000}"/>
    <cellStyle name="Normal 6 5 3" xfId="1646" xr:uid="{00000000-0005-0000-0000-000064060000}"/>
    <cellStyle name="Normal 6 5 3 2" xfId="1647" xr:uid="{00000000-0005-0000-0000-000065060000}"/>
    <cellStyle name="Normal 6 5 3 3" xfId="1648" xr:uid="{00000000-0005-0000-0000-000066060000}"/>
    <cellStyle name="Normal 6 5 3 4" xfId="1649" xr:uid="{00000000-0005-0000-0000-000067060000}"/>
    <cellStyle name="Normal 6 5 3 5" xfId="1650" xr:uid="{00000000-0005-0000-0000-000068060000}"/>
    <cellStyle name="Normal 6 5 3 6" xfId="1651" xr:uid="{00000000-0005-0000-0000-000069060000}"/>
    <cellStyle name="Normal 6 5 4" xfId="1652" xr:uid="{00000000-0005-0000-0000-00006A060000}"/>
    <cellStyle name="Normal 6 5 5" xfId="1653" xr:uid="{00000000-0005-0000-0000-00006B060000}"/>
    <cellStyle name="Normal 6 5 6" xfId="1654" xr:uid="{00000000-0005-0000-0000-00006C060000}"/>
    <cellStyle name="Normal 6 5 7" xfId="1655" xr:uid="{00000000-0005-0000-0000-00006D060000}"/>
    <cellStyle name="Normal 6 5 8" xfId="1656" xr:uid="{00000000-0005-0000-0000-00006E060000}"/>
    <cellStyle name="Normal 6 5_109. Nat'l Price (Jul09) - Leg" xfId="1657" xr:uid="{00000000-0005-0000-0000-00006F060000}"/>
    <cellStyle name="Normal 6 6" xfId="1658" xr:uid="{00000000-0005-0000-0000-000070060000}"/>
    <cellStyle name="Normal 6 6 2" xfId="1659" xr:uid="{00000000-0005-0000-0000-000071060000}"/>
    <cellStyle name="Normal 6 6 2 2" xfId="1660" xr:uid="{00000000-0005-0000-0000-000072060000}"/>
    <cellStyle name="Normal 6 6 2 3" xfId="1661" xr:uid="{00000000-0005-0000-0000-000073060000}"/>
    <cellStyle name="Normal 6 6 2 4" xfId="1662" xr:uid="{00000000-0005-0000-0000-000074060000}"/>
    <cellStyle name="Normal 6 6 2 5" xfId="1663" xr:uid="{00000000-0005-0000-0000-000075060000}"/>
    <cellStyle name="Normal 6 6 2 6" xfId="1664" xr:uid="{00000000-0005-0000-0000-000076060000}"/>
    <cellStyle name="Normal 6 6 3" xfId="1665" xr:uid="{00000000-0005-0000-0000-000077060000}"/>
    <cellStyle name="Normal 6 6 3 2" xfId="1666" xr:uid="{00000000-0005-0000-0000-000078060000}"/>
    <cellStyle name="Normal 6 6 3 3" xfId="1667" xr:uid="{00000000-0005-0000-0000-000079060000}"/>
    <cellStyle name="Normal 6 6 3 4" xfId="1668" xr:uid="{00000000-0005-0000-0000-00007A060000}"/>
    <cellStyle name="Normal 6 6 3 5" xfId="1669" xr:uid="{00000000-0005-0000-0000-00007B060000}"/>
    <cellStyle name="Normal 6 6 3 6" xfId="1670" xr:uid="{00000000-0005-0000-0000-00007C060000}"/>
    <cellStyle name="Normal 6 6 4" xfId="1671" xr:uid="{00000000-0005-0000-0000-00007D060000}"/>
    <cellStyle name="Normal 6 6 5" xfId="1672" xr:uid="{00000000-0005-0000-0000-00007E060000}"/>
    <cellStyle name="Normal 6 6 6" xfId="1673" xr:uid="{00000000-0005-0000-0000-00007F060000}"/>
    <cellStyle name="Normal 6 6 7" xfId="1674" xr:uid="{00000000-0005-0000-0000-000080060000}"/>
    <cellStyle name="Normal 6 6 8" xfId="1675" xr:uid="{00000000-0005-0000-0000-000081060000}"/>
    <cellStyle name="Normal 6 6_109. Nat'l Price (Jul09) - Leg" xfId="1676" xr:uid="{00000000-0005-0000-0000-000082060000}"/>
    <cellStyle name="Normal 6 7" xfId="1677" xr:uid="{00000000-0005-0000-0000-000083060000}"/>
    <cellStyle name="Normal 6 7 2" xfId="1678" xr:uid="{00000000-0005-0000-0000-000084060000}"/>
    <cellStyle name="Normal 6 7 2 2" xfId="1679" xr:uid="{00000000-0005-0000-0000-000085060000}"/>
    <cellStyle name="Normal 6 7 2 3" xfId="1680" xr:uid="{00000000-0005-0000-0000-000086060000}"/>
    <cellStyle name="Normal 6 7 2 4" xfId="1681" xr:uid="{00000000-0005-0000-0000-000087060000}"/>
    <cellStyle name="Normal 6 7 2 5" xfId="1682" xr:uid="{00000000-0005-0000-0000-000088060000}"/>
    <cellStyle name="Normal 6 7 2 6" xfId="1683" xr:uid="{00000000-0005-0000-0000-000089060000}"/>
    <cellStyle name="Normal 6 7 3" xfId="1684" xr:uid="{00000000-0005-0000-0000-00008A060000}"/>
    <cellStyle name="Normal 6 7 3 2" xfId="1685" xr:uid="{00000000-0005-0000-0000-00008B060000}"/>
    <cellStyle name="Normal 6 7 3 3" xfId="1686" xr:uid="{00000000-0005-0000-0000-00008C060000}"/>
    <cellStyle name="Normal 6 7 3 4" xfId="1687" xr:uid="{00000000-0005-0000-0000-00008D060000}"/>
    <cellStyle name="Normal 6 7 3 5" xfId="1688" xr:uid="{00000000-0005-0000-0000-00008E060000}"/>
    <cellStyle name="Normal 6 7 3 6" xfId="1689" xr:uid="{00000000-0005-0000-0000-00008F060000}"/>
    <cellStyle name="Normal 6 7 4" xfId="1690" xr:uid="{00000000-0005-0000-0000-000090060000}"/>
    <cellStyle name="Normal 6 7 5" xfId="1691" xr:uid="{00000000-0005-0000-0000-000091060000}"/>
    <cellStyle name="Normal 6 7 6" xfId="1692" xr:uid="{00000000-0005-0000-0000-000092060000}"/>
    <cellStyle name="Normal 6 7 7" xfId="1693" xr:uid="{00000000-0005-0000-0000-000093060000}"/>
    <cellStyle name="Normal 6 7 8" xfId="1694" xr:uid="{00000000-0005-0000-0000-000094060000}"/>
    <cellStyle name="Normal 6 7_109. Nat'l Price (Jul09) - Leg" xfId="1695" xr:uid="{00000000-0005-0000-0000-000095060000}"/>
    <cellStyle name="Normal 6 8" xfId="1696" xr:uid="{00000000-0005-0000-0000-000096060000}"/>
    <cellStyle name="Normal 6 8 2" xfId="1697" xr:uid="{00000000-0005-0000-0000-000097060000}"/>
    <cellStyle name="Normal 6 8 2 2" xfId="1698" xr:uid="{00000000-0005-0000-0000-000098060000}"/>
    <cellStyle name="Normal 6 8 2 3" xfId="1699" xr:uid="{00000000-0005-0000-0000-000099060000}"/>
    <cellStyle name="Normal 6 8 2 4" xfId="1700" xr:uid="{00000000-0005-0000-0000-00009A060000}"/>
    <cellStyle name="Normal 6 8 2 5" xfId="1701" xr:uid="{00000000-0005-0000-0000-00009B060000}"/>
    <cellStyle name="Normal 6 8 2 6" xfId="1702" xr:uid="{00000000-0005-0000-0000-00009C060000}"/>
    <cellStyle name="Normal 6 8 3" xfId="1703" xr:uid="{00000000-0005-0000-0000-00009D060000}"/>
    <cellStyle name="Normal 6 8 4" xfId="1704" xr:uid="{00000000-0005-0000-0000-00009E060000}"/>
    <cellStyle name="Normal 6 8 5" xfId="1705" xr:uid="{00000000-0005-0000-0000-00009F060000}"/>
    <cellStyle name="Normal 6 8 6" xfId="1706" xr:uid="{00000000-0005-0000-0000-0000A0060000}"/>
    <cellStyle name="Normal 6 8 7" xfId="1707" xr:uid="{00000000-0005-0000-0000-0000A1060000}"/>
    <cellStyle name="Normal 6 9" xfId="1708" xr:uid="{00000000-0005-0000-0000-0000A2060000}"/>
    <cellStyle name="Normal 6 9 2" xfId="1709" xr:uid="{00000000-0005-0000-0000-0000A3060000}"/>
    <cellStyle name="Normal 6 9 2 2" xfId="1710" xr:uid="{00000000-0005-0000-0000-0000A4060000}"/>
    <cellStyle name="Normal 6 9 2 3" xfId="1711" xr:uid="{00000000-0005-0000-0000-0000A5060000}"/>
    <cellStyle name="Normal 6 9 2 4" xfId="1712" xr:uid="{00000000-0005-0000-0000-0000A6060000}"/>
    <cellStyle name="Normal 6 9 2 5" xfId="1713" xr:uid="{00000000-0005-0000-0000-0000A7060000}"/>
    <cellStyle name="Normal 6 9 2 6" xfId="1714" xr:uid="{00000000-0005-0000-0000-0000A8060000}"/>
    <cellStyle name="Normal 6 9 3" xfId="1715" xr:uid="{00000000-0005-0000-0000-0000A9060000}"/>
    <cellStyle name="Normal 6 9 4" xfId="1716" xr:uid="{00000000-0005-0000-0000-0000AA060000}"/>
    <cellStyle name="Normal 6 9 5" xfId="1717" xr:uid="{00000000-0005-0000-0000-0000AB060000}"/>
    <cellStyle name="Normal 6 9 6" xfId="1718" xr:uid="{00000000-0005-0000-0000-0000AC060000}"/>
    <cellStyle name="Normal 6 9 7" xfId="1719" xr:uid="{00000000-0005-0000-0000-0000AD060000}"/>
    <cellStyle name="Normal 6_109. Nat'l Price (Jul09) - Leg" xfId="1720" xr:uid="{00000000-0005-0000-0000-0000AE060000}"/>
    <cellStyle name="Normal 60" xfId="63" xr:uid="{00000000-0005-0000-0000-0000AF060000}"/>
    <cellStyle name="Normal 7" xfId="1721" xr:uid="{00000000-0005-0000-0000-0000B0060000}"/>
    <cellStyle name="Normal 7 2" xfId="1722" xr:uid="{00000000-0005-0000-0000-0000B1060000}"/>
    <cellStyle name="Normal 7 3" xfId="1723" xr:uid="{00000000-0005-0000-0000-0000B2060000}"/>
    <cellStyle name="Normal 7 4" xfId="1724" xr:uid="{00000000-0005-0000-0000-0000B3060000}"/>
    <cellStyle name="Normal 7 5" xfId="1725" xr:uid="{00000000-0005-0000-0000-0000B4060000}"/>
    <cellStyle name="Normal 7 5 2" xfId="1726" xr:uid="{00000000-0005-0000-0000-0000B5060000}"/>
    <cellStyle name="Normal 7 5 3" xfId="1727" xr:uid="{00000000-0005-0000-0000-0000B6060000}"/>
    <cellStyle name="Normal 7 5 4" xfId="1728" xr:uid="{00000000-0005-0000-0000-0000B7060000}"/>
    <cellStyle name="Normal 7 6" xfId="1729" xr:uid="{00000000-0005-0000-0000-0000B8060000}"/>
    <cellStyle name="Normal 7 6 2" xfId="1730" xr:uid="{00000000-0005-0000-0000-0000B9060000}"/>
    <cellStyle name="Normal 7 6 3" xfId="1731" xr:uid="{00000000-0005-0000-0000-0000BA060000}"/>
    <cellStyle name="Normal 7 6 4" xfId="1732" xr:uid="{00000000-0005-0000-0000-0000BB060000}"/>
    <cellStyle name="Normal 8" xfId="1733" xr:uid="{00000000-0005-0000-0000-0000BC060000}"/>
    <cellStyle name="Normal 8 10" xfId="1734" xr:uid="{00000000-0005-0000-0000-0000BD060000}"/>
    <cellStyle name="Normal 8 10 2" xfId="1735" xr:uid="{00000000-0005-0000-0000-0000BE060000}"/>
    <cellStyle name="Normal 8 10 2 2" xfId="1736" xr:uid="{00000000-0005-0000-0000-0000BF060000}"/>
    <cellStyle name="Normal 8 10 2 3" xfId="1737" xr:uid="{00000000-0005-0000-0000-0000C0060000}"/>
    <cellStyle name="Normal 8 10 2 4" xfId="1738" xr:uid="{00000000-0005-0000-0000-0000C1060000}"/>
    <cellStyle name="Normal 8 10 2 5" xfId="1739" xr:uid="{00000000-0005-0000-0000-0000C2060000}"/>
    <cellStyle name="Normal 8 10 2 6" xfId="1740" xr:uid="{00000000-0005-0000-0000-0000C3060000}"/>
    <cellStyle name="Normal 8 10 3" xfId="1741" xr:uid="{00000000-0005-0000-0000-0000C4060000}"/>
    <cellStyle name="Normal 8 10 4" xfId="1742" xr:uid="{00000000-0005-0000-0000-0000C5060000}"/>
    <cellStyle name="Normal 8 10 5" xfId="1743" xr:uid="{00000000-0005-0000-0000-0000C6060000}"/>
    <cellStyle name="Normal 8 10 6" xfId="1744" xr:uid="{00000000-0005-0000-0000-0000C7060000}"/>
    <cellStyle name="Normal 8 10 7" xfId="1745" xr:uid="{00000000-0005-0000-0000-0000C8060000}"/>
    <cellStyle name="Normal 8 11" xfId="1746" xr:uid="{00000000-0005-0000-0000-0000C9060000}"/>
    <cellStyle name="Normal 8 11 2" xfId="1747" xr:uid="{00000000-0005-0000-0000-0000CA060000}"/>
    <cellStyle name="Normal 8 11 2 2" xfId="1748" xr:uid="{00000000-0005-0000-0000-0000CB060000}"/>
    <cellStyle name="Normal 8 11 2 3" xfId="1749" xr:uid="{00000000-0005-0000-0000-0000CC060000}"/>
    <cellStyle name="Normal 8 11 2 4" xfId="1750" xr:uid="{00000000-0005-0000-0000-0000CD060000}"/>
    <cellStyle name="Normal 8 11 2 5" xfId="1751" xr:uid="{00000000-0005-0000-0000-0000CE060000}"/>
    <cellStyle name="Normal 8 11 2 6" xfId="1752" xr:uid="{00000000-0005-0000-0000-0000CF060000}"/>
    <cellStyle name="Normal 8 11 3" xfId="1753" xr:uid="{00000000-0005-0000-0000-0000D0060000}"/>
    <cellStyle name="Normal 8 11 4" xfId="1754" xr:uid="{00000000-0005-0000-0000-0000D1060000}"/>
    <cellStyle name="Normal 8 11 5" xfId="1755" xr:uid="{00000000-0005-0000-0000-0000D2060000}"/>
    <cellStyle name="Normal 8 11 6" xfId="1756" xr:uid="{00000000-0005-0000-0000-0000D3060000}"/>
    <cellStyle name="Normal 8 11 7" xfId="1757" xr:uid="{00000000-0005-0000-0000-0000D4060000}"/>
    <cellStyle name="Normal 8 12" xfId="1758" xr:uid="{00000000-0005-0000-0000-0000D5060000}"/>
    <cellStyle name="Normal 8 12 2" xfId="1759" xr:uid="{00000000-0005-0000-0000-0000D6060000}"/>
    <cellStyle name="Normal 8 12 3" xfId="1760" xr:uid="{00000000-0005-0000-0000-0000D7060000}"/>
    <cellStyle name="Normal 8 12 4" xfId="1761" xr:uid="{00000000-0005-0000-0000-0000D8060000}"/>
    <cellStyle name="Normal 8 12 5" xfId="1762" xr:uid="{00000000-0005-0000-0000-0000D9060000}"/>
    <cellStyle name="Normal 8 12 6" xfId="1763" xr:uid="{00000000-0005-0000-0000-0000DA060000}"/>
    <cellStyle name="Normal 8 13" xfId="1764" xr:uid="{00000000-0005-0000-0000-0000DB060000}"/>
    <cellStyle name="Normal 8 13 2" xfId="1765" xr:uid="{00000000-0005-0000-0000-0000DC060000}"/>
    <cellStyle name="Normal 8 13 3" xfId="1766" xr:uid="{00000000-0005-0000-0000-0000DD060000}"/>
    <cellStyle name="Normal 8 13 4" xfId="1767" xr:uid="{00000000-0005-0000-0000-0000DE060000}"/>
    <cellStyle name="Normal 8 13 5" xfId="1768" xr:uid="{00000000-0005-0000-0000-0000DF060000}"/>
    <cellStyle name="Normal 8 13 6" xfId="1769" xr:uid="{00000000-0005-0000-0000-0000E0060000}"/>
    <cellStyle name="Normal 8 14" xfId="1770" xr:uid="{00000000-0005-0000-0000-0000E1060000}"/>
    <cellStyle name="Normal 8 15" xfId="1771" xr:uid="{00000000-0005-0000-0000-0000E2060000}"/>
    <cellStyle name="Normal 8 16" xfId="1772" xr:uid="{00000000-0005-0000-0000-0000E3060000}"/>
    <cellStyle name="Normal 8 17" xfId="1773" xr:uid="{00000000-0005-0000-0000-0000E4060000}"/>
    <cellStyle name="Normal 8 18" xfId="1774" xr:uid="{00000000-0005-0000-0000-0000E5060000}"/>
    <cellStyle name="Normal 8 2" xfId="1775" xr:uid="{00000000-0005-0000-0000-0000E6060000}"/>
    <cellStyle name="Normal 8 2 2" xfId="1776" xr:uid="{00000000-0005-0000-0000-0000E7060000}"/>
    <cellStyle name="Normal 8 2 2 2" xfId="1777" xr:uid="{00000000-0005-0000-0000-0000E8060000}"/>
    <cellStyle name="Normal 8 2 2 3" xfId="1778" xr:uid="{00000000-0005-0000-0000-0000E9060000}"/>
    <cellStyle name="Normal 8 2 2 4" xfId="1779" xr:uid="{00000000-0005-0000-0000-0000EA060000}"/>
    <cellStyle name="Normal 8 2 2 5" xfId="1780" xr:uid="{00000000-0005-0000-0000-0000EB060000}"/>
    <cellStyle name="Normal 8 2 2 6" xfId="1781" xr:uid="{00000000-0005-0000-0000-0000EC060000}"/>
    <cellStyle name="Normal 8 2 3" xfId="1782" xr:uid="{00000000-0005-0000-0000-0000ED060000}"/>
    <cellStyle name="Normal 8 2 3 2" xfId="1783" xr:uid="{00000000-0005-0000-0000-0000EE060000}"/>
    <cellStyle name="Normal 8 2 3 3" xfId="1784" xr:uid="{00000000-0005-0000-0000-0000EF060000}"/>
    <cellStyle name="Normal 8 2 3 4" xfId="1785" xr:uid="{00000000-0005-0000-0000-0000F0060000}"/>
    <cellStyle name="Normal 8 2 3 5" xfId="1786" xr:uid="{00000000-0005-0000-0000-0000F1060000}"/>
    <cellStyle name="Normal 8 2 3 6" xfId="1787" xr:uid="{00000000-0005-0000-0000-0000F2060000}"/>
    <cellStyle name="Normal 8 2 4" xfId="1788" xr:uid="{00000000-0005-0000-0000-0000F3060000}"/>
    <cellStyle name="Normal 8 2 5" xfId="1789" xr:uid="{00000000-0005-0000-0000-0000F4060000}"/>
    <cellStyle name="Normal 8 2 6" xfId="1790" xr:uid="{00000000-0005-0000-0000-0000F5060000}"/>
    <cellStyle name="Normal 8 2 7" xfId="1791" xr:uid="{00000000-0005-0000-0000-0000F6060000}"/>
    <cellStyle name="Normal 8 2 8" xfId="1792" xr:uid="{00000000-0005-0000-0000-0000F7060000}"/>
    <cellStyle name="Normal 8 2_109. Nat'l Price (Jul09) - Leg" xfId="1793" xr:uid="{00000000-0005-0000-0000-0000F8060000}"/>
    <cellStyle name="Normal 8 3" xfId="1794" xr:uid="{00000000-0005-0000-0000-0000F9060000}"/>
    <cellStyle name="Normal 8 3 2" xfId="1795" xr:uid="{00000000-0005-0000-0000-0000FA060000}"/>
    <cellStyle name="Normal 8 3 2 2" xfId="1796" xr:uid="{00000000-0005-0000-0000-0000FB060000}"/>
    <cellStyle name="Normal 8 3 2 3" xfId="1797" xr:uid="{00000000-0005-0000-0000-0000FC060000}"/>
    <cellStyle name="Normal 8 3 2 4" xfId="1798" xr:uid="{00000000-0005-0000-0000-0000FD060000}"/>
    <cellStyle name="Normal 8 3 2 5" xfId="1799" xr:uid="{00000000-0005-0000-0000-0000FE060000}"/>
    <cellStyle name="Normal 8 3 2 6" xfId="1800" xr:uid="{00000000-0005-0000-0000-0000FF060000}"/>
    <cellStyle name="Normal 8 3 3" xfId="1801" xr:uid="{00000000-0005-0000-0000-000000070000}"/>
    <cellStyle name="Normal 8 3 3 2" xfId="1802" xr:uid="{00000000-0005-0000-0000-000001070000}"/>
    <cellStyle name="Normal 8 3 3 3" xfId="1803" xr:uid="{00000000-0005-0000-0000-000002070000}"/>
    <cellStyle name="Normal 8 3 3 4" xfId="1804" xr:uid="{00000000-0005-0000-0000-000003070000}"/>
    <cellStyle name="Normal 8 3 3 5" xfId="1805" xr:uid="{00000000-0005-0000-0000-000004070000}"/>
    <cellStyle name="Normal 8 3 3 6" xfId="1806" xr:uid="{00000000-0005-0000-0000-000005070000}"/>
    <cellStyle name="Normal 8 3 4" xfId="1807" xr:uid="{00000000-0005-0000-0000-000006070000}"/>
    <cellStyle name="Normal 8 3 5" xfId="1808" xr:uid="{00000000-0005-0000-0000-000007070000}"/>
    <cellStyle name="Normal 8 3 6" xfId="1809" xr:uid="{00000000-0005-0000-0000-000008070000}"/>
    <cellStyle name="Normal 8 3 7" xfId="1810" xr:uid="{00000000-0005-0000-0000-000009070000}"/>
    <cellStyle name="Normal 8 3 8" xfId="1811" xr:uid="{00000000-0005-0000-0000-00000A070000}"/>
    <cellStyle name="Normal 8 3_109. Nat'l Price (Jul09) - Leg" xfId="1812" xr:uid="{00000000-0005-0000-0000-00000B070000}"/>
    <cellStyle name="Normal 8 4" xfId="1813" xr:uid="{00000000-0005-0000-0000-00000C070000}"/>
    <cellStyle name="Normal 8 4 2" xfId="1814" xr:uid="{00000000-0005-0000-0000-00000D070000}"/>
    <cellStyle name="Normal 8 4 2 2" xfId="1815" xr:uid="{00000000-0005-0000-0000-00000E070000}"/>
    <cellStyle name="Normal 8 4 2 3" xfId="1816" xr:uid="{00000000-0005-0000-0000-00000F070000}"/>
    <cellStyle name="Normal 8 4 2 4" xfId="1817" xr:uid="{00000000-0005-0000-0000-000010070000}"/>
    <cellStyle name="Normal 8 4 2 5" xfId="1818" xr:uid="{00000000-0005-0000-0000-000011070000}"/>
    <cellStyle name="Normal 8 4 2 6" xfId="1819" xr:uid="{00000000-0005-0000-0000-000012070000}"/>
    <cellStyle name="Normal 8 4 3" xfId="1820" xr:uid="{00000000-0005-0000-0000-000013070000}"/>
    <cellStyle name="Normal 8 4 3 2" xfId="1821" xr:uid="{00000000-0005-0000-0000-000014070000}"/>
    <cellStyle name="Normal 8 4 3 3" xfId="1822" xr:uid="{00000000-0005-0000-0000-000015070000}"/>
    <cellStyle name="Normal 8 4 3 4" xfId="1823" xr:uid="{00000000-0005-0000-0000-000016070000}"/>
    <cellStyle name="Normal 8 4 3 5" xfId="1824" xr:uid="{00000000-0005-0000-0000-000017070000}"/>
    <cellStyle name="Normal 8 4 3 6" xfId="1825" xr:uid="{00000000-0005-0000-0000-000018070000}"/>
    <cellStyle name="Normal 8 4 4" xfId="1826" xr:uid="{00000000-0005-0000-0000-000019070000}"/>
    <cellStyle name="Normal 8 4 5" xfId="1827" xr:uid="{00000000-0005-0000-0000-00001A070000}"/>
    <cellStyle name="Normal 8 4 6" xfId="1828" xr:uid="{00000000-0005-0000-0000-00001B070000}"/>
    <cellStyle name="Normal 8 4 7" xfId="1829" xr:uid="{00000000-0005-0000-0000-00001C070000}"/>
    <cellStyle name="Normal 8 4 8" xfId="1830" xr:uid="{00000000-0005-0000-0000-00001D070000}"/>
    <cellStyle name="Normal 8 4_109. Nat'l Price (Jul09) - Leg" xfId="1831" xr:uid="{00000000-0005-0000-0000-00001E070000}"/>
    <cellStyle name="Normal 8 5" xfId="1832" xr:uid="{00000000-0005-0000-0000-00001F070000}"/>
    <cellStyle name="Normal 8 5 2" xfId="1833" xr:uid="{00000000-0005-0000-0000-000020070000}"/>
    <cellStyle name="Normal 8 5 2 2" xfId="1834" xr:uid="{00000000-0005-0000-0000-000021070000}"/>
    <cellStyle name="Normal 8 5 2 3" xfId="1835" xr:uid="{00000000-0005-0000-0000-000022070000}"/>
    <cellStyle name="Normal 8 5 2 4" xfId="1836" xr:uid="{00000000-0005-0000-0000-000023070000}"/>
    <cellStyle name="Normal 8 5 2 5" xfId="1837" xr:uid="{00000000-0005-0000-0000-000024070000}"/>
    <cellStyle name="Normal 8 5 2 6" xfId="1838" xr:uid="{00000000-0005-0000-0000-000025070000}"/>
    <cellStyle name="Normal 8 5 3" xfId="1839" xr:uid="{00000000-0005-0000-0000-000026070000}"/>
    <cellStyle name="Normal 8 5 3 2" xfId="1840" xr:uid="{00000000-0005-0000-0000-000027070000}"/>
    <cellStyle name="Normal 8 5 3 3" xfId="1841" xr:uid="{00000000-0005-0000-0000-000028070000}"/>
    <cellStyle name="Normal 8 5 3 4" xfId="1842" xr:uid="{00000000-0005-0000-0000-000029070000}"/>
    <cellStyle name="Normal 8 5 3 5" xfId="1843" xr:uid="{00000000-0005-0000-0000-00002A070000}"/>
    <cellStyle name="Normal 8 5 3 6" xfId="1844" xr:uid="{00000000-0005-0000-0000-00002B070000}"/>
    <cellStyle name="Normal 8 5 4" xfId="1845" xr:uid="{00000000-0005-0000-0000-00002C070000}"/>
    <cellStyle name="Normal 8 5 5" xfId="1846" xr:uid="{00000000-0005-0000-0000-00002D070000}"/>
    <cellStyle name="Normal 8 5 6" xfId="1847" xr:uid="{00000000-0005-0000-0000-00002E070000}"/>
    <cellStyle name="Normal 8 5 7" xfId="1848" xr:uid="{00000000-0005-0000-0000-00002F070000}"/>
    <cellStyle name="Normal 8 5 8" xfId="1849" xr:uid="{00000000-0005-0000-0000-000030070000}"/>
    <cellStyle name="Normal 8 5_109. Nat'l Price (Jul09) - Leg" xfId="1850" xr:uid="{00000000-0005-0000-0000-000031070000}"/>
    <cellStyle name="Normal 8 6" xfId="1851" xr:uid="{00000000-0005-0000-0000-000032070000}"/>
    <cellStyle name="Normal 8 6 2" xfId="1852" xr:uid="{00000000-0005-0000-0000-000033070000}"/>
    <cellStyle name="Normal 8 6 2 2" xfId="1853" xr:uid="{00000000-0005-0000-0000-000034070000}"/>
    <cellStyle name="Normal 8 6 2 3" xfId="1854" xr:uid="{00000000-0005-0000-0000-000035070000}"/>
    <cellStyle name="Normal 8 6 2 4" xfId="1855" xr:uid="{00000000-0005-0000-0000-000036070000}"/>
    <cellStyle name="Normal 8 6 2 5" xfId="1856" xr:uid="{00000000-0005-0000-0000-000037070000}"/>
    <cellStyle name="Normal 8 6 2 6" xfId="1857" xr:uid="{00000000-0005-0000-0000-000038070000}"/>
    <cellStyle name="Normal 8 6 3" xfId="1858" xr:uid="{00000000-0005-0000-0000-000039070000}"/>
    <cellStyle name="Normal 8 6 3 2" xfId="1859" xr:uid="{00000000-0005-0000-0000-00003A070000}"/>
    <cellStyle name="Normal 8 6 3 3" xfId="1860" xr:uid="{00000000-0005-0000-0000-00003B070000}"/>
    <cellStyle name="Normal 8 6 3 4" xfId="1861" xr:uid="{00000000-0005-0000-0000-00003C070000}"/>
    <cellStyle name="Normal 8 6 3 5" xfId="1862" xr:uid="{00000000-0005-0000-0000-00003D070000}"/>
    <cellStyle name="Normal 8 6 3 6" xfId="1863" xr:uid="{00000000-0005-0000-0000-00003E070000}"/>
    <cellStyle name="Normal 8 6 4" xfId="1864" xr:uid="{00000000-0005-0000-0000-00003F070000}"/>
    <cellStyle name="Normal 8 6 5" xfId="1865" xr:uid="{00000000-0005-0000-0000-000040070000}"/>
    <cellStyle name="Normal 8 6 6" xfId="1866" xr:uid="{00000000-0005-0000-0000-000041070000}"/>
    <cellStyle name="Normal 8 6 7" xfId="1867" xr:uid="{00000000-0005-0000-0000-000042070000}"/>
    <cellStyle name="Normal 8 6 8" xfId="1868" xr:uid="{00000000-0005-0000-0000-000043070000}"/>
    <cellStyle name="Normal 8 6_109. Nat'l Price (Jul09) - Leg" xfId="1869" xr:uid="{00000000-0005-0000-0000-000044070000}"/>
    <cellStyle name="Normal 8 7" xfId="1870" xr:uid="{00000000-0005-0000-0000-000045070000}"/>
    <cellStyle name="Normal 8 7 2" xfId="1871" xr:uid="{00000000-0005-0000-0000-000046070000}"/>
    <cellStyle name="Normal 8 7 2 2" xfId="1872" xr:uid="{00000000-0005-0000-0000-000047070000}"/>
    <cellStyle name="Normal 8 7 2 3" xfId="1873" xr:uid="{00000000-0005-0000-0000-000048070000}"/>
    <cellStyle name="Normal 8 7 2 4" xfId="1874" xr:uid="{00000000-0005-0000-0000-000049070000}"/>
    <cellStyle name="Normal 8 7 2 5" xfId="1875" xr:uid="{00000000-0005-0000-0000-00004A070000}"/>
    <cellStyle name="Normal 8 7 2 6" xfId="1876" xr:uid="{00000000-0005-0000-0000-00004B070000}"/>
    <cellStyle name="Normal 8 7 3" xfId="1877" xr:uid="{00000000-0005-0000-0000-00004C070000}"/>
    <cellStyle name="Normal 8 7 3 2" xfId="1878" xr:uid="{00000000-0005-0000-0000-00004D070000}"/>
    <cellStyle name="Normal 8 7 3 3" xfId="1879" xr:uid="{00000000-0005-0000-0000-00004E070000}"/>
    <cellStyle name="Normal 8 7 3 4" xfId="1880" xr:uid="{00000000-0005-0000-0000-00004F070000}"/>
    <cellStyle name="Normal 8 7 3 5" xfId="1881" xr:uid="{00000000-0005-0000-0000-000050070000}"/>
    <cellStyle name="Normal 8 7 3 6" xfId="1882" xr:uid="{00000000-0005-0000-0000-000051070000}"/>
    <cellStyle name="Normal 8 7 4" xfId="1883" xr:uid="{00000000-0005-0000-0000-000052070000}"/>
    <cellStyle name="Normal 8 7 5" xfId="1884" xr:uid="{00000000-0005-0000-0000-000053070000}"/>
    <cellStyle name="Normal 8 7 6" xfId="1885" xr:uid="{00000000-0005-0000-0000-000054070000}"/>
    <cellStyle name="Normal 8 7 7" xfId="1886" xr:uid="{00000000-0005-0000-0000-000055070000}"/>
    <cellStyle name="Normal 8 7 8" xfId="1887" xr:uid="{00000000-0005-0000-0000-000056070000}"/>
    <cellStyle name="Normal 8 7_109. Nat'l Price (Jul09) - Leg" xfId="1888" xr:uid="{00000000-0005-0000-0000-000057070000}"/>
    <cellStyle name="Normal 8 8" xfId="1889" xr:uid="{00000000-0005-0000-0000-000058070000}"/>
    <cellStyle name="Normal 8 8 2" xfId="1890" xr:uid="{00000000-0005-0000-0000-000059070000}"/>
    <cellStyle name="Normal 8 8 2 2" xfId="1891" xr:uid="{00000000-0005-0000-0000-00005A070000}"/>
    <cellStyle name="Normal 8 8 2 3" xfId="1892" xr:uid="{00000000-0005-0000-0000-00005B070000}"/>
    <cellStyle name="Normal 8 8 2 4" xfId="1893" xr:uid="{00000000-0005-0000-0000-00005C070000}"/>
    <cellStyle name="Normal 8 8 2 5" xfId="1894" xr:uid="{00000000-0005-0000-0000-00005D070000}"/>
    <cellStyle name="Normal 8 8 2 6" xfId="1895" xr:uid="{00000000-0005-0000-0000-00005E070000}"/>
    <cellStyle name="Normal 8 8 3" xfId="1896" xr:uid="{00000000-0005-0000-0000-00005F070000}"/>
    <cellStyle name="Normal 8 8 4" xfId="1897" xr:uid="{00000000-0005-0000-0000-000060070000}"/>
    <cellStyle name="Normal 8 8 5" xfId="1898" xr:uid="{00000000-0005-0000-0000-000061070000}"/>
    <cellStyle name="Normal 8 8 6" xfId="1899" xr:uid="{00000000-0005-0000-0000-000062070000}"/>
    <cellStyle name="Normal 8 8 7" xfId="1900" xr:uid="{00000000-0005-0000-0000-000063070000}"/>
    <cellStyle name="Normal 8 9" xfId="1901" xr:uid="{00000000-0005-0000-0000-000064070000}"/>
    <cellStyle name="Normal 8 9 2" xfId="1902" xr:uid="{00000000-0005-0000-0000-000065070000}"/>
    <cellStyle name="Normal 8 9 2 2" xfId="1903" xr:uid="{00000000-0005-0000-0000-000066070000}"/>
    <cellStyle name="Normal 8 9 2 3" xfId="1904" xr:uid="{00000000-0005-0000-0000-000067070000}"/>
    <cellStyle name="Normal 8 9 2 4" xfId="1905" xr:uid="{00000000-0005-0000-0000-000068070000}"/>
    <cellStyle name="Normal 8 9 2 5" xfId="1906" xr:uid="{00000000-0005-0000-0000-000069070000}"/>
    <cellStyle name="Normal 8 9 2 6" xfId="1907" xr:uid="{00000000-0005-0000-0000-00006A070000}"/>
    <cellStyle name="Normal 8 9 3" xfId="1908" xr:uid="{00000000-0005-0000-0000-00006B070000}"/>
    <cellStyle name="Normal 8 9 4" xfId="1909" xr:uid="{00000000-0005-0000-0000-00006C070000}"/>
    <cellStyle name="Normal 8 9 5" xfId="1910" xr:uid="{00000000-0005-0000-0000-00006D070000}"/>
    <cellStyle name="Normal 8 9 6" xfId="1911" xr:uid="{00000000-0005-0000-0000-00006E070000}"/>
    <cellStyle name="Normal 8 9 7" xfId="1912" xr:uid="{00000000-0005-0000-0000-00006F070000}"/>
    <cellStyle name="Normal 8_109. Nat'l Price (Jul09) - Leg" xfId="1913" xr:uid="{00000000-0005-0000-0000-000070070000}"/>
    <cellStyle name="Normal 9" xfId="1914" xr:uid="{00000000-0005-0000-0000-000071070000}"/>
    <cellStyle name="Normal 9 2" xfId="1915" xr:uid="{00000000-0005-0000-0000-000072070000}"/>
    <cellStyle name="Normal 9 3" xfId="1916" xr:uid="{00000000-0005-0000-0000-000073070000}"/>
    <cellStyle name="Normal 9 4" xfId="1917" xr:uid="{00000000-0005-0000-0000-000074070000}"/>
    <cellStyle name="Normal 9 5" xfId="1918" xr:uid="{00000000-0005-0000-0000-000075070000}"/>
    <cellStyle name="Note" xfId="20" builtinId="10" customBuiltin="1"/>
    <cellStyle name="Note 2" xfId="1919" xr:uid="{00000000-0005-0000-0000-000077070000}"/>
    <cellStyle name="Note 2 2" xfId="1920" xr:uid="{00000000-0005-0000-0000-000078070000}"/>
    <cellStyle name="Note 2 2 2" xfId="1921" xr:uid="{00000000-0005-0000-0000-000079070000}"/>
    <cellStyle name="Note 2 2 3" xfId="1922" xr:uid="{00000000-0005-0000-0000-00007A070000}"/>
    <cellStyle name="Note 2 2 4" xfId="1923" xr:uid="{00000000-0005-0000-0000-00007B070000}"/>
    <cellStyle name="Note 2 2 5" xfId="1924" xr:uid="{00000000-0005-0000-0000-00007C070000}"/>
    <cellStyle name="Note 2 2 6" xfId="1925" xr:uid="{00000000-0005-0000-0000-00007D070000}"/>
    <cellStyle name="Note 2 3" xfId="1926" xr:uid="{00000000-0005-0000-0000-00007E070000}"/>
    <cellStyle name="Note 2 3 2" xfId="1927" xr:uid="{00000000-0005-0000-0000-00007F070000}"/>
    <cellStyle name="Note 2 3 3" xfId="1928" xr:uid="{00000000-0005-0000-0000-000080070000}"/>
    <cellStyle name="Note 2 3 4" xfId="1929" xr:uid="{00000000-0005-0000-0000-000081070000}"/>
    <cellStyle name="Note 2 3 5" xfId="1930" xr:uid="{00000000-0005-0000-0000-000082070000}"/>
    <cellStyle name="Note 2 3 6" xfId="1931" xr:uid="{00000000-0005-0000-0000-000083070000}"/>
    <cellStyle name="Note 2 4" xfId="1932" xr:uid="{00000000-0005-0000-0000-000084070000}"/>
    <cellStyle name="Note 2 5" xfId="1933" xr:uid="{00000000-0005-0000-0000-000085070000}"/>
    <cellStyle name="Note 2 6" xfId="1934" xr:uid="{00000000-0005-0000-0000-000086070000}"/>
    <cellStyle name="Note 2 7" xfId="1935" xr:uid="{00000000-0005-0000-0000-000087070000}"/>
    <cellStyle name="Note 2 8" xfId="1936" xr:uid="{00000000-0005-0000-0000-000088070000}"/>
    <cellStyle name="OUTL H - Style7" xfId="1937" xr:uid="{00000000-0005-0000-0000-000089070000}"/>
    <cellStyle name="OUTL H - Style7 10" xfId="1938" xr:uid="{00000000-0005-0000-0000-00008A070000}"/>
    <cellStyle name="OUTL H - Style7 11" xfId="1939" xr:uid="{00000000-0005-0000-0000-00008B070000}"/>
    <cellStyle name="OUTL H - Style7 12" xfId="1940" xr:uid="{00000000-0005-0000-0000-00008C070000}"/>
    <cellStyle name="OUTL H - Style7 13" xfId="1941" xr:uid="{00000000-0005-0000-0000-00008D070000}"/>
    <cellStyle name="OUTL H - Style7 14" xfId="1942" xr:uid="{00000000-0005-0000-0000-00008E070000}"/>
    <cellStyle name="OUTL H - Style7 15" xfId="1943" xr:uid="{00000000-0005-0000-0000-00008F070000}"/>
    <cellStyle name="OUTL H - Style7 16" xfId="1944" xr:uid="{00000000-0005-0000-0000-000090070000}"/>
    <cellStyle name="OUTL H - Style7 17" xfId="1945" xr:uid="{00000000-0005-0000-0000-000091070000}"/>
    <cellStyle name="OUTL H - Style7 2" xfId="1946" xr:uid="{00000000-0005-0000-0000-000092070000}"/>
    <cellStyle name="OUTL H - Style7 3" xfId="1947" xr:uid="{00000000-0005-0000-0000-000093070000}"/>
    <cellStyle name="OUTL H - Style7 4" xfId="1948" xr:uid="{00000000-0005-0000-0000-000094070000}"/>
    <cellStyle name="OUTL H - Style7 5" xfId="1949" xr:uid="{00000000-0005-0000-0000-000095070000}"/>
    <cellStyle name="OUTL H - Style7 6" xfId="1950" xr:uid="{00000000-0005-0000-0000-000096070000}"/>
    <cellStyle name="OUTL H - Style7 7" xfId="1951" xr:uid="{00000000-0005-0000-0000-000097070000}"/>
    <cellStyle name="OUTL H - Style7 8" xfId="1952" xr:uid="{00000000-0005-0000-0000-000098070000}"/>
    <cellStyle name="OUTL H - Style7 9" xfId="1953" xr:uid="{00000000-0005-0000-0000-000099070000}"/>
    <cellStyle name="OUTL H - Style7_109. Nat'l Price (Jul09) - Leg" xfId="1954" xr:uid="{00000000-0005-0000-0000-00009A070000}"/>
    <cellStyle name="Output" xfId="18" builtinId="21" customBuiltin="1"/>
    <cellStyle name="Percent" xfId="2" builtinId="5"/>
    <cellStyle name="Percent 2" xfId="1955" xr:uid="{00000000-0005-0000-0000-00009D070000}"/>
    <cellStyle name="Percent 2 10" xfId="1956" xr:uid="{00000000-0005-0000-0000-00009E070000}"/>
    <cellStyle name="Percent 2 11" xfId="1957" xr:uid="{00000000-0005-0000-0000-00009F070000}"/>
    <cellStyle name="Percent 2 12" xfId="1958" xr:uid="{00000000-0005-0000-0000-0000A0070000}"/>
    <cellStyle name="Percent 2 13" xfId="1959" xr:uid="{00000000-0005-0000-0000-0000A1070000}"/>
    <cellStyle name="Percent 2 14" xfId="1960" xr:uid="{00000000-0005-0000-0000-0000A2070000}"/>
    <cellStyle name="Percent 2 15" xfId="1961" xr:uid="{00000000-0005-0000-0000-0000A3070000}"/>
    <cellStyle name="Percent 2 16" xfId="1962" xr:uid="{00000000-0005-0000-0000-0000A4070000}"/>
    <cellStyle name="Percent 2 17" xfId="1963" xr:uid="{00000000-0005-0000-0000-0000A5070000}"/>
    <cellStyle name="Percent 2 18" xfId="1964" xr:uid="{00000000-0005-0000-0000-0000A6070000}"/>
    <cellStyle name="Percent 2 19" xfId="1965" xr:uid="{00000000-0005-0000-0000-0000A7070000}"/>
    <cellStyle name="Percent 2 2" xfId="1966" xr:uid="{00000000-0005-0000-0000-0000A8070000}"/>
    <cellStyle name="Percent 2 3" xfId="1967" xr:uid="{00000000-0005-0000-0000-0000A9070000}"/>
    <cellStyle name="Percent 2 4" xfId="1968" xr:uid="{00000000-0005-0000-0000-0000AA070000}"/>
    <cellStyle name="Percent 2 5" xfId="1969" xr:uid="{00000000-0005-0000-0000-0000AB070000}"/>
    <cellStyle name="Percent 2 6" xfId="1970" xr:uid="{00000000-0005-0000-0000-0000AC070000}"/>
    <cellStyle name="Percent 2 7" xfId="1971" xr:uid="{00000000-0005-0000-0000-0000AD070000}"/>
    <cellStyle name="Percent 2 7 2" xfId="1972" xr:uid="{00000000-0005-0000-0000-0000AE070000}"/>
    <cellStyle name="Percent 2 7 3" xfId="1973" xr:uid="{00000000-0005-0000-0000-0000AF070000}"/>
    <cellStyle name="Percent 2 7 4" xfId="1974" xr:uid="{00000000-0005-0000-0000-0000B0070000}"/>
    <cellStyle name="Percent 2 7 5" xfId="1975" xr:uid="{00000000-0005-0000-0000-0000B1070000}"/>
    <cellStyle name="Percent 2 7 6" xfId="1976" xr:uid="{00000000-0005-0000-0000-0000B2070000}"/>
    <cellStyle name="Percent 2 8" xfId="1977" xr:uid="{00000000-0005-0000-0000-0000B3070000}"/>
    <cellStyle name="Percent 2 8 2" xfId="1978" xr:uid="{00000000-0005-0000-0000-0000B4070000}"/>
    <cellStyle name="Percent 2 8 3" xfId="1979" xr:uid="{00000000-0005-0000-0000-0000B5070000}"/>
    <cellStyle name="Percent 2 8 4" xfId="1980" xr:uid="{00000000-0005-0000-0000-0000B6070000}"/>
    <cellStyle name="Percent 2 9" xfId="1981" xr:uid="{00000000-0005-0000-0000-0000B7070000}"/>
    <cellStyle name="Percent 3" xfId="1982" xr:uid="{00000000-0005-0000-0000-0000B8070000}"/>
    <cellStyle name="Percent 3 2" xfId="1983" xr:uid="{00000000-0005-0000-0000-0000B9070000}"/>
    <cellStyle name="Percent 3 2 2" xfId="1984" xr:uid="{00000000-0005-0000-0000-0000BA070000}"/>
    <cellStyle name="Percent 3 2 3" xfId="1985" xr:uid="{00000000-0005-0000-0000-0000BB070000}"/>
    <cellStyle name="Percent 3 2 4" xfId="1986" xr:uid="{00000000-0005-0000-0000-0000BC070000}"/>
    <cellStyle name="Percent 3 2 5" xfId="1987" xr:uid="{00000000-0005-0000-0000-0000BD070000}"/>
    <cellStyle name="Percent 3 2 6" xfId="1988" xr:uid="{00000000-0005-0000-0000-0000BE070000}"/>
    <cellStyle name="Percent 3 3" xfId="1989" xr:uid="{00000000-0005-0000-0000-0000BF070000}"/>
    <cellStyle name="Percent 3 3 2" xfId="1990" xr:uid="{00000000-0005-0000-0000-0000C0070000}"/>
    <cellStyle name="Percent 3 3 3" xfId="1991" xr:uid="{00000000-0005-0000-0000-0000C1070000}"/>
    <cellStyle name="Percent 3 3 4" xfId="1992" xr:uid="{00000000-0005-0000-0000-0000C2070000}"/>
    <cellStyle name="Percent 3 3 5" xfId="1993" xr:uid="{00000000-0005-0000-0000-0000C3070000}"/>
    <cellStyle name="Percent 3 3 6" xfId="1994" xr:uid="{00000000-0005-0000-0000-0000C4070000}"/>
    <cellStyle name="Percent 3 4" xfId="1995" xr:uid="{00000000-0005-0000-0000-0000C5070000}"/>
    <cellStyle name="Percent 3 5" xfId="1996" xr:uid="{00000000-0005-0000-0000-0000C6070000}"/>
    <cellStyle name="Percent 3 6" xfId="1997" xr:uid="{00000000-0005-0000-0000-0000C7070000}"/>
    <cellStyle name="Percent 3 7" xfId="1998" xr:uid="{00000000-0005-0000-0000-0000C8070000}"/>
    <cellStyle name="Percent 3 8" xfId="1999" xr:uid="{00000000-0005-0000-0000-0000C9070000}"/>
    <cellStyle name="Percent 4" xfId="2000" xr:uid="{00000000-0005-0000-0000-0000CA070000}"/>
    <cellStyle name="Percent 4 2" xfId="2001" xr:uid="{00000000-0005-0000-0000-0000CB070000}"/>
    <cellStyle name="Percent 5" xfId="2002" xr:uid="{00000000-0005-0000-0000-0000CC070000}"/>
    <cellStyle name="Percent 5 2" xfId="2003" xr:uid="{00000000-0005-0000-0000-0000CD070000}"/>
    <cellStyle name="Percent 6" xfId="2004" xr:uid="{00000000-0005-0000-0000-0000CE070000}"/>
    <cellStyle name="Percent 6 2" xfId="2005" xr:uid="{00000000-0005-0000-0000-0000CF070000}"/>
    <cellStyle name="Percent 6 2 2" xfId="2006" xr:uid="{00000000-0005-0000-0000-0000D0070000}"/>
    <cellStyle name="Percent 6 2 3" xfId="2007" xr:uid="{00000000-0005-0000-0000-0000D1070000}"/>
    <cellStyle name="Percent 6 2 4" xfId="2008" xr:uid="{00000000-0005-0000-0000-0000D2070000}"/>
    <cellStyle name="Percent 6 3" xfId="2009" xr:uid="{00000000-0005-0000-0000-0000D3070000}"/>
    <cellStyle name="Percent 6 4" xfId="2010" xr:uid="{00000000-0005-0000-0000-0000D4070000}"/>
    <cellStyle name="Percent 6 5" xfId="2011" xr:uid="{00000000-0005-0000-0000-0000D5070000}"/>
    <cellStyle name="SHADOW - Style6" xfId="2012" xr:uid="{00000000-0005-0000-0000-0000D6070000}"/>
    <cellStyle name="SHADW - Style6" xfId="2013" xr:uid="{00000000-0005-0000-0000-0000D7070000}"/>
    <cellStyle name="SHADW - Style6 10" xfId="2014" xr:uid="{00000000-0005-0000-0000-0000D8070000}"/>
    <cellStyle name="SHADW - Style6 11" xfId="2015" xr:uid="{00000000-0005-0000-0000-0000D9070000}"/>
    <cellStyle name="SHADW - Style6 12" xfId="2016" xr:uid="{00000000-0005-0000-0000-0000DA070000}"/>
    <cellStyle name="SHADW - Style6 13" xfId="2017" xr:uid="{00000000-0005-0000-0000-0000DB070000}"/>
    <cellStyle name="SHADW - Style6 14" xfId="2018" xr:uid="{00000000-0005-0000-0000-0000DC070000}"/>
    <cellStyle name="SHADW - Style6 15" xfId="2019" xr:uid="{00000000-0005-0000-0000-0000DD070000}"/>
    <cellStyle name="SHADW - Style6 16" xfId="2020" xr:uid="{00000000-0005-0000-0000-0000DE070000}"/>
    <cellStyle name="SHADW - Style6 17" xfId="2021" xr:uid="{00000000-0005-0000-0000-0000DF070000}"/>
    <cellStyle name="SHADW - Style6 2" xfId="2022" xr:uid="{00000000-0005-0000-0000-0000E0070000}"/>
    <cellStyle name="SHADW - Style6 3" xfId="2023" xr:uid="{00000000-0005-0000-0000-0000E1070000}"/>
    <cellStyle name="SHADW - Style6 4" xfId="2024" xr:uid="{00000000-0005-0000-0000-0000E2070000}"/>
    <cellStyle name="SHADW - Style6 5" xfId="2025" xr:uid="{00000000-0005-0000-0000-0000E3070000}"/>
    <cellStyle name="SHADW - Style6 6" xfId="2026" xr:uid="{00000000-0005-0000-0000-0000E4070000}"/>
    <cellStyle name="SHADW - Style6 7" xfId="2027" xr:uid="{00000000-0005-0000-0000-0000E5070000}"/>
    <cellStyle name="SHADW - Style6 8" xfId="2028" xr:uid="{00000000-0005-0000-0000-0000E6070000}"/>
    <cellStyle name="SHADW - Style6 9" xfId="2029" xr:uid="{00000000-0005-0000-0000-0000E7070000}"/>
    <cellStyle name="SHADW - Style6_109. Nat'l Price (Jul09) - Leg" xfId="2030" xr:uid="{00000000-0005-0000-0000-0000E8070000}"/>
    <cellStyle name="Title" xfId="3" builtinId="15" customBuiltin="1"/>
    <cellStyle name="Title 2" xfId="68" xr:uid="{00000000-0005-0000-0000-0000EA070000}"/>
    <cellStyle name="Title 3" xfId="2031" xr:uid="{00000000-0005-0000-0000-0000EB070000}"/>
    <cellStyle name="Total" xfId="14" builtinId="25" customBuiltin="1"/>
    <cellStyle name="Total 2" xfId="75" xr:uid="{00000000-0005-0000-0000-0000ED070000}"/>
    <cellStyle name="Total 3" xfId="2032" xr:uid="{00000000-0005-0000-0000-0000EE070000}"/>
    <cellStyle name="Warning Text" xfId="13" builtinId="11"/>
    <cellStyle name="Warning Text 2" xfId="74" xr:uid="{00000000-0005-0000-0000-0000F0070000}"/>
    <cellStyle name="Warning Text 3" xfId="2033" xr:uid="{00000000-0005-0000-0000-0000F1070000}"/>
  </cellStyles>
  <dxfs count="1783">
    <dxf>
      <numFmt numFmtId="14" formatCode="0.00%"/>
    </dxf>
    <dxf>
      <alignment wrapText="1"/>
    </dxf>
    <dxf>
      <alignment wrapText="1"/>
    </dxf>
    <dxf>
      <alignment wrapText="1"/>
    </dxf>
    <dxf>
      <alignment wrapText="1"/>
    </dxf>
    <dxf>
      <alignment wrapText="1"/>
    </dxf>
    <dxf>
      <numFmt numFmtId="3" formatCode="#,##0"/>
    </dxf>
    <dxf>
      <font>
        <b/>
        <i val="0"/>
        <color rgb="FF00B050"/>
      </font>
    </dxf>
    <dxf>
      <font>
        <b/>
        <i val="0"/>
        <color rgb="FF00B050"/>
      </font>
    </dxf>
    <dxf>
      <numFmt numFmtId="13" formatCode="0%"/>
    </dxf>
    <dxf>
      <font>
        <sz val="10"/>
      </font>
    </dxf>
    <dxf>
      <numFmt numFmtId="3" formatCode="#,##0"/>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numFmt numFmtId="181" formatCode=";;;"/>
    </dxf>
    <dxf>
      <numFmt numFmtId="181" formatCode=";;;"/>
    </dxf>
    <dxf>
      <font>
        <color rgb="FFC00000"/>
      </font>
      <numFmt numFmtId="181" formatCode=";;;"/>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color rgb="FFC00000"/>
      </font>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numFmt numFmtId="181" formatCode=";;;"/>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val="0"/>
        <i val="0"/>
        <strike/>
        <color auto="1"/>
      </font>
      <fill>
        <patternFill patternType="none">
          <bgColor auto="1"/>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3947A57C-25C3-4378-9127-7B35B0388E40}">
      <tableStyleElement type="wholeTable" dxfId="1782"/>
      <tableStyleElement type="headerRow" dxfId="1781"/>
    </tableStyle>
  </tableStyles>
  <colors>
    <mruColors>
      <color rgb="FFFFFF99"/>
      <color rgb="FFDBE5F1"/>
      <color rgb="FFDBE5E0"/>
      <color rgb="FFB8CCE4"/>
      <color rgb="FFB8CC9E"/>
      <color rgb="FFFFC000"/>
      <color rgb="FFFFCC99"/>
      <color rgb="FFCCFFFF"/>
      <color rgb="FFCC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aredStrings" Target="sharedStrings.xml"/><Relationship Id="rId30"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9713753158366795E-2"/>
          <c:y val="3.1801983104662188E-2"/>
          <c:w val="0.91231438631878803"/>
          <c:h val="0.81599521419845633"/>
        </c:manualLayout>
      </c:layout>
      <c:scatterChart>
        <c:scatterStyle val="lineMarker"/>
        <c:varyColors val="0"/>
        <c:ser>
          <c:idx val="0"/>
          <c:order val="0"/>
          <c:tx>
            <c:strRef>
              <c:f>'L1'!$AK$34</c:f>
              <c:strCache>
                <c:ptCount val="1"/>
                <c:pt idx="0">
                  <c:v>A: +1000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'L1'!$AK$34</c:f>
                  <c:strCache>
                    <c:ptCount val="1"/>
                    <c:pt idx="0">
                      <c:v>A: +1000 CC, -360 Lease</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{D13C941E-E171-4627-9293-0E3C42D639FA}</c15:txfldGUID>
                      <c15:f>'L1'!$AK$34</c15:f>
                      <c15:dlblFieldTableCache>
                        <c:ptCount val="1"/>
                        <c:pt idx="0">
                          <c:v>A: +1000 CC, -360 Lease</c:v>
                        </c:pt>
                      </c15:dlblFieldTableCache>
                    </c15:dlblFTEntry>
                  </c15:dlblFieldTable>
                  <c15:showDataLabelsRange val="0"/>
                </c:ext>
                <c:ext xmlns:c16="http://schemas.microsoft.com/office/drawing/2014/chart" uri="{C3380CC4-5D6E-409C-BE32-E72D297353CC}">
                  <c16:uniqueId val="{00000000-629C-4594-8CFA-F6E78B950076}"/>
                </c:ext>
              </c:extLst>
            </c:dLbl>
            <c:spPr>
              <a:noFill/>
            </c:spPr>
            <c:txPr>
              <a:bodyPr vertOverflow="overflow" horzOverflow="overflow">
                <a:spAutoFit/>
              </a:bodyPr>
              <a:lstStyle/>
              <a:p>
                <a:pPr>
                  <a:defRPr sz="1400" b="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'L1'!$AC$35</c:f>
              <c:numCache>
                <c:formatCode>_("$"* #,##0_);_("$"* \(#,##0\);_("$"* "-"??_);_(@_)</c:formatCode>
                <c:ptCount val="1"/>
                <c:pt idx="0">
                  <c:v>-125.80005488078132</c:v>
                </c:pt>
              </c:numCache>
              <c:extLst xmlns:c15="http://schemas.microsoft.com/office/drawing/2012/chart"/>
            </c:numRef>
          </c:xVal>
          <c:yVal>
            <c:numRef>
              <c:f>'L1'!$AI$35</c:f>
              <c:numCache>
                <c:formatCode>0.0%</c:formatCode>
                <c:ptCount val="1"/>
                <c:pt idx="0">
                  <c:v>2.1411057504827215E-2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29C-4594-8CFA-F6E78B950076}"/>
            </c:ext>
          </c:extLst>
        </c:ser>
        <c:ser>
          <c:idx val="1"/>
          <c:order val="1"/>
          <c:tx>
            <c:strRef>
              <c:f>'L1'!$AK$36</c:f>
              <c:strCache>
                <c:ptCount val="1"/>
                <c:pt idx="0">
                  <c:v>B: +750 CC, -360 Lease</c:v>
                </c:pt>
              </c:strCache>
            </c:strRef>
          </c:tx>
          <c:spPr>
            <a:ln w="31750">
              <a:noFill/>
            </a:ln>
          </c:spPr>
          <c:marker>
            <c:symbol val="diamond"/>
            <c:size val="8"/>
            <c:spPr>
              <a:solidFill>
                <a:schemeClr val="tx1"/>
              </a:solidFill>
              <a:ln w="15875">
                <a:solidFill>
                  <a:schemeClr val="tx1"/>
                </a:solidFill>
              </a:ln>
            </c:spPr>
          </c:marker>
          <c:dLbls>
            <c:dLbl>
              <c:idx val="0"/>
              <c:tx>
                <c:strRef>
                  <c:f>'L1'!$AK$36</c:f>
                  <c:strCache>
                    <c:ptCount val="1"/>
                    <c:pt idx="0">
                      <c:v>B: +750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{9053258A-BB31-4144-BB90-8128C46D52B7}</c15:txfldGUID>
                      <c15:f>'L1'!$AK$36</c15:f>
                      <c15:dlblFieldTableCache>
                        <c:ptCount val="1"/>
                        <c:pt idx="0">
                          <c:v>B: +750 CC, -360 Lease</c:v>
                        </c:pt>
                      </c15:dlblFieldTableCache>
                    </c15:dlblFTEntry>
                  </c15:dlblFieldTable>
                  <c15:showDataLabelsRange val="0"/>
                </c:ext>
                <c:ext xmlns:c16="http://schemas.microsoft.com/office/drawing/2014/chart" uri="{C3380CC4-5D6E-409C-BE32-E72D297353CC}">
                  <c16:uniqueId val="{00000002-629C-4594-8CFA-F6E78B950076}"/>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'L1'!$AC$37</c:f>
              <c:numCache>
                <c:formatCode>_("$"* #,##0_);_("$"* \(#,##0\);_("$"* "-"??_);_(@_)</c:formatCode>
                <c:ptCount val="1"/>
                <c:pt idx="0">
                  <c:v>-192.01132082874528</c:v>
                </c:pt>
              </c:numCache>
            </c:numRef>
          </c:xVal>
          <c:yVal>
            <c:numRef>
              <c:f>'L1'!$AI$37</c:f>
              <c:numCache>
                <c:formatCode>0.0%</c:formatCode>
                <c:ptCount val="1"/>
                <c:pt idx="0">
                  <c:v>6.3181367592998628E-3</c:v>
                </c:pt>
              </c:numCache>
            </c:numRef>
          </c:yVal>
          <c:smooth val="0"/>
          <c:extLst>
            <c:ext xmlns:c16="http://schemas.microsoft.com/office/drawing/2014/chart" uri="{C3380CC4-5D6E-409C-BE32-E72D297353CC}">
              <c16:uniqueId val="{00000003-629C-4594-8CFA-F6E78B950076}"/>
            </c:ext>
          </c:extLst>
        </c:ser>
        <c:ser>
          <c:idx val="2"/>
          <c:order val="2"/>
          <c:tx>
            <c:strRef>
              <c:f>'L1'!$AK$38</c:f>
              <c:strCache>
                <c:ptCount val="1"/>
                <c:pt idx="0">
                  <c:v>C: +1000 CC, 0/0/0.9/3.9</c:v>
                </c:pt>
              </c:strCache>
            </c:strRef>
          </c:tx>
          <c:spPr>
            <a:ln w="28575">
              <a:noFill/>
            </a:ln>
          </c:spPr>
          <c:marker>
            <c:symbol val="diamond"/>
            <c:size val="8"/>
            <c:spPr>
              <a:solidFill>
                <a:schemeClr val="tx1"/>
              </a:solidFill>
              <a:ln w="15875">
                <a:solidFill>
                  <a:schemeClr val="tx1"/>
                </a:solidFill>
              </a:ln>
            </c:spPr>
          </c:marker>
          <c:dLbls>
            <c:dLbl>
              <c:idx val="0"/>
              <c:tx>
                <c:strRef>
                  <c:f>'L1'!$AK$38</c:f>
                  <c:strCache>
                    <c:ptCount val="1"/>
                    <c:pt idx="0">
                      <c:v>C: +1000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{B95D5D45-C25F-41AC-8DA3-08E6B0E5A0FD}</c15:txfldGUID>
                      <c15:f>'L1'!$AK$38</c15:f>
                      <c15:dlblFieldTableCache>
                        <c:ptCount val="1"/>
                        <c:pt idx="0">
                          <c:v>C: +1000 CC, 0/0/0.9/3.9</c:v>
                        </c:pt>
                      </c15:dlblFieldTableCache>
                    </c15:dlblFTEntry>
                  </c15:dlblFieldTable>
                  <c15:showDataLabelsRange val="0"/>
                </c:ext>
                <c:ext xmlns:c16="http://schemas.microsoft.com/office/drawing/2014/chart" uri="{C3380CC4-5D6E-409C-BE32-E72D297353CC}">
                  <c16:uniqueId val="{00000004-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'L1'!$AC$39</c:f>
              <c:numCache>
                <c:formatCode>_("$"* #,##0_);_("$"* \(#,##0\);_("$"* "-"??_);_(@_)</c:formatCode>
                <c:ptCount val="1"/>
                <c:pt idx="0">
                  <c:v>150.9449455606059</c:v>
                </c:pt>
              </c:numCache>
            </c:numRef>
          </c:xVal>
          <c:yVal>
            <c:numRef>
              <c:f>'L1'!$AI$39</c:f>
              <c:numCache>
                <c:formatCode>0.0%</c:formatCode>
                <c:ptCount val="1"/>
                <c:pt idx="0">
                  <c:v>6.3665717311895575E-2</c:v>
                </c:pt>
              </c:numCache>
            </c:numRef>
          </c:yVal>
          <c:smooth val="0"/>
          <c:extLst>
            <c:ext xmlns:c16="http://schemas.microsoft.com/office/drawing/2014/chart" uri="{C3380CC4-5D6E-409C-BE32-E72D297353CC}">
              <c16:uniqueId val="{00000005-629C-4594-8CFA-F6E78B950076}"/>
            </c:ext>
          </c:extLst>
        </c:ser>
        <c:ser>
          <c:idx val="3"/>
          <c:order val="3"/>
          <c:tx>
            <c:strRef>
              <c:f>'L1'!$AK$40</c:f>
              <c:strCache>
                <c:ptCount val="1"/>
                <c:pt idx="0">
                  <c:v>D: +500 CC, -360 Lease</c:v>
                </c:pt>
              </c:strCache>
            </c:strRef>
          </c:tx>
          <c:spPr>
            <a:ln w="28575">
              <a:noFill/>
            </a:ln>
          </c:spPr>
          <c:marker>
            <c:symbol val="diamond"/>
            <c:size val="8"/>
            <c:spPr>
              <a:solidFill>
                <a:schemeClr val="tx1"/>
              </a:solidFill>
              <a:ln w="15875">
                <a:solidFill>
                  <a:schemeClr val="tx1"/>
                </a:solidFill>
              </a:ln>
            </c:spPr>
          </c:marker>
          <c:dLbls>
            <c:dLbl>
              <c:idx val="0"/>
              <c:tx>
                <c:strRef>
                  <c:f>'L1'!$AK$40</c:f>
                  <c:strCache>
                    <c:ptCount val="1"/>
                    <c:pt idx="0">
                      <c:v>D: +500 CC,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{DEB9F665-36F3-4116-887F-649CAFA41F3E}</c15:txfldGUID>
                      <c15:f>'L1'!$AK$40</c15:f>
                      <c15:dlblFieldTableCache>
                        <c:ptCount val="1"/>
                        <c:pt idx="0">
                          <c:v>D: +500 CC, -360 Lease</c:v>
                        </c:pt>
                      </c15:dlblFieldTableCache>
                    </c15:dlblFTEntry>
                  </c15:dlblFieldTable>
                  <c15:showDataLabelsRange val="0"/>
                </c:ext>
                <c:ext xmlns:c16="http://schemas.microsoft.com/office/drawing/2014/chart" uri="{C3380CC4-5D6E-409C-BE32-E72D297353CC}">
                  <c16:uniqueId val="{00000006-629C-4594-8CFA-F6E78B950076}"/>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'L1'!$AC$41</c:f>
              <c:numCache>
                <c:formatCode>_("$"* #,##0_);_("$"* \(#,##0\);_("$"* "-"??_);_(@_)</c:formatCode>
                <c:ptCount val="1"/>
                <c:pt idx="0">
                  <c:v>-241.23956516522367</c:v>
                </c:pt>
              </c:numCache>
            </c:numRef>
          </c:xVal>
          <c:yVal>
            <c:numRef>
              <c:f>'L1'!$AI$41</c:f>
              <c:numCache>
                <c:formatCode>0.0%</c:formatCode>
                <c:ptCount val="1"/>
                <c:pt idx="0">
                  <c:v>-7.2255644582319596E-3</c:v>
                </c:pt>
              </c:numCache>
            </c:numRef>
          </c:yVal>
          <c:smooth val="0"/>
          <c:extLst>
            <c:ext xmlns:c16="http://schemas.microsoft.com/office/drawing/2014/chart" uri="{C3380CC4-5D6E-409C-BE32-E72D297353CC}">
              <c16:uniqueId val="{00000007-629C-4594-8CFA-F6E78B950076}"/>
            </c:ext>
          </c:extLst>
        </c:ser>
        <c:ser>
          <c:idx val="4"/>
          <c:order val="4"/>
          <c:tx>
            <c:strRef>
              <c:f>'L1'!$AK$42</c:f>
              <c:strCache>
                <c:ptCount val="1"/>
                <c:pt idx="0">
                  <c:v>E: +750 CC, 0/0/0.9/3.9</c:v>
                </c:pt>
              </c:strCache>
            </c:strRef>
          </c:tx>
          <c:spPr>
            <a:ln w="15875">
              <a:noFill/>
            </a:ln>
          </c:spPr>
          <c:marker>
            <c:symbol val="diamond"/>
            <c:size val="8"/>
            <c:spPr>
              <a:solidFill>
                <a:schemeClr val="tx1"/>
              </a:solidFill>
              <a:ln w="15875">
                <a:solidFill>
                  <a:schemeClr val="tx1"/>
                </a:solidFill>
              </a:ln>
            </c:spPr>
          </c:marker>
          <c:dLbls>
            <c:dLbl>
              <c:idx val="0"/>
              <c:tx>
                <c:strRef>
                  <c:f>'L1'!$AK$42</c:f>
                  <c:strCache>
                    <c:ptCount val="1"/>
                    <c:pt idx="0">
                      <c:v>E: +750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{16EB0855-6449-4C4C-B3DD-C2D98A2B154D}</c15:txfldGUID>
                      <c15:f>'L1'!$AK$42</c15:f>
                      <c15:dlblFieldTableCache>
                        <c:ptCount val="1"/>
                        <c:pt idx="0">
                          <c:v>E: +750 CC, 0/0/0.9/3.9</c:v>
                        </c:pt>
                      </c15:dlblFieldTableCache>
                    </c15:dlblFTEntry>
                  </c15:dlblFieldTable>
                  <c15:showDataLabelsRange val="0"/>
                </c:ext>
                <c:ext xmlns:c16="http://schemas.microsoft.com/office/drawing/2014/chart" uri="{C3380CC4-5D6E-409C-BE32-E72D297353CC}">
                  <c16:uniqueId val="{00000008-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'L1'!$AC$43</c:f>
              <c:numCache>
                <c:formatCode>_("$"* #,##0_);_("$"* \(#,##0\);_("$"* "-"??_);_(@_)</c:formatCode>
                <c:ptCount val="1"/>
                <c:pt idx="0">
                  <c:v>110.97341516198685</c:v>
                </c:pt>
              </c:numCache>
            </c:numRef>
          </c:xVal>
          <c:yVal>
            <c:numRef>
              <c:f>'L1'!$AI$43</c:f>
              <c:numCache>
                <c:formatCode>0.0%</c:formatCode>
                <c:ptCount val="1"/>
                <c:pt idx="0">
                  <c:v>4.9833375068811595E-2</c:v>
                </c:pt>
              </c:numCache>
            </c:numRef>
          </c:yVal>
          <c:smooth val="0"/>
          <c:extLst>
            <c:ext xmlns:c16="http://schemas.microsoft.com/office/drawing/2014/chart" uri="{C3380CC4-5D6E-409C-BE32-E72D297353CC}">
              <c16:uniqueId val="{00000009-629C-4594-8CFA-F6E78B950076}"/>
            </c:ext>
          </c:extLst>
        </c:ser>
        <c:ser>
          <c:idx val="5"/>
          <c:order val="5"/>
          <c:tx>
            <c:strRef>
              <c:f>'L1'!$AK$44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'L1'!$AK$44</c:f>
                  <c:strCache>
                    <c:ptCount val="1"/>
                    <c:pt idx="0">
                      <c:v>F: +250 CC,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{1E162CFA-8A87-4E38-9AAE-11FB6BBE46FD}</c15:txfldGUID>
                      <c15:f>'L1'!$AK$44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'L1'!$AC$45</c:f>
              <c:numCache>
                <c:formatCode>_("$"* #,##0_);_("$"* \(#,##0\);_("$"* "-"??_);_(@_)</c:formatCode>
                <c:ptCount val="1"/>
                <c:pt idx="0">
                  <c:v>-273.4728992513642</c:v>
                </c:pt>
              </c:numCache>
            </c:numRef>
          </c:xVal>
          <c:yVal>
            <c:numRef>
              <c:f>'L1'!$AI$45</c:f>
              <c:numCache>
                <c:formatCode>0.0%</c:formatCode>
                <c:ptCount val="1"/>
                <c:pt idx="0">
                  <c:v>-1.9250910336049813E-2</c:v>
                </c:pt>
              </c:numCache>
            </c:numRef>
          </c:yVal>
          <c:smooth val="0"/>
          <c:extLst>
            <c:ext xmlns:c16="http://schemas.microsoft.com/office/drawing/2014/chart" uri="{C3380CC4-5D6E-409C-BE32-E72D297353CC}">
              <c16:uniqueId val="{0000000B-629C-4594-8CFA-F6E78B950076}"/>
            </c:ext>
          </c:extLst>
        </c:ser>
        <c:ser>
          <c:idx val="6"/>
          <c:order val="6"/>
          <c:tx>
            <c:strRef>
              <c:f>'L1'!$AK$46</c:f>
              <c:strCache>
                <c:ptCount val="1"/>
                <c:pt idx="0">
                  <c:v>G: +1000 CC, 0/0/0.9/3.9, -360 Lease</c:v>
                </c:pt>
              </c:strCache>
            </c:strRef>
          </c:tx>
          <c:spPr>
            <a:ln w="15875">
              <a:noFill/>
            </a:ln>
          </c:spPr>
          <c:marker>
            <c:symbol val="diamond"/>
            <c:size val="8"/>
            <c:spPr>
              <a:solidFill>
                <a:schemeClr val="tx1"/>
              </a:solidFill>
              <a:ln w="15875">
                <a:solidFill>
                  <a:schemeClr val="tx1"/>
                </a:solidFill>
              </a:ln>
            </c:spPr>
          </c:marker>
          <c:dLbls>
            <c:dLbl>
              <c:idx val="0"/>
              <c:tx>
                <c:strRef>
                  <c:f>'L1'!$AK$46</c:f>
                  <c:strCache>
                    <c:ptCount val="1"/>
                    <c:pt idx="0">
                      <c:v>G: +1000 CC, 0/0/0.9/3.9,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{F0BCA4D6-653F-41C9-8479-00189DF34CDC}</c15:txfldGUID>
                      <c15:f>'L1'!$AK$46</c15:f>
                      <c15:dlblFieldTableCache>
                        <c:ptCount val="1"/>
                        <c:pt idx="0">
                          <c:v>G: +1000 CC, 0/0/0.9/3.9, -360 Lease</c:v>
                        </c:pt>
                      </c15:dlblFieldTableCache>
                    </c15:dlblFTEntry>
                  </c15:dlblFieldTable>
                  <c15:showDataLabelsRange val="0"/>
                </c:ext>
                <c:ext xmlns:c16="http://schemas.microsoft.com/office/drawing/2014/chart" uri="{C3380CC4-5D6E-409C-BE32-E72D297353CC}">
                  <c16:uniqueId val="{0000000C-629C-4594-8CFA-F6E78B950076}"/>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'L1'!$AC$47</c:f>
              <c:numCache>
                <c:formatCode>_("$"* #,##0_);_("$"* \(#,##0\);_("$"* "-"??_);_(@_)</c:formatCode>
                <c:ptCount val="1"/>
                <c:pt idx="0">
                  <c:v>-44.008250289910848</c:v>
                </c:pt>
              </c:numCache>
            </c:numRef>
          </c:xVal>
          <c:yVal>
            <c:numRef>
              <c:f>'L1'!$AI$47</c:f>
              <c:numCache>
                <c:formatCode>0.0%</c:formatCode>
                <c:ptCount val="1"/>
                <c:pt idx="0">
                  <c:v>3.8508284572095285E-2</c:v>
                </c:pt>
              </c:numCache>
            </c:numRef>
          </c:yVal>
          <c:smooth val="0"/>
          <c:extLst>
            <c:ext xmlns:c16="http://schemas.microsoft.com/office/drawing/2014/chart" uri="{C3380CC4-5D6E-409C-BE32-E72D297353CC}">
              <c16:uniqueId val="{0000000D-629C-4594-8CFA-F6E78B950076}"/>
            </c:ext>
          </c:extLst>
        </c:ser>
        <c:ser>
          <c:idx val="7"/>
          <c:order val="7"/>
          <c:tx>
            <c:strRef>
              <c:f>'L1'!$AK$48</c:f>
              <c:strCache>
                <c:ptCount val="1"/>
                <c:pt idx="0">
                  <c:v>H: +750 CC, 0/0/0.9/3.9, -360 Lease</c:v>
                </c:pt>
              </c:strCache>
            </c:strRef>
          </c:tx>
          <c:spPr>
            <a:ln w="15875">
              <a:noFill/>
            </a:ln>
          </c:spPr>
          <c:marker>
            <c:symbol val="diamond"/>
            <c:size val="8"/>
            <c:spPr>
              <a:solidFill>
                <a:schemeClr val="tx1"/>
              </a:solidFill>
              <a:ln w="15875">
                <a:solidFill>
                  <a:schemeClr val="tx1"/>
                </a:solidFill>
              </a:ln>
            </c:spPr>
          </c:marker>
          <c:dLbls>
            <c:dLbl>
              <c:idx val="0"/>
              <c:tx>
                <c:strRef>
                  <c:f>'L1'!$AK$48</c:f>
                  <c:strCache>
                    <c:ptCount val="1"/>
                    <c:pt idx="0">
                      <c:v>H: +750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{2BEBDBDA-0CC6-4CAA-BB3D-11ACC448B0DF}</c15:txfldGUID>
                      <c15:f>'L1'!$AK$48</c15:f>
                      <c15:dlblFieldTableCache>
                        <c:ptCount val="1"/>
                        <c:pt idx="0">
                          <c:v>H: +750 CC, 0/0/0.9/3.9, -360 Lease</c:v>
                        </c:pt>
                      </c15:dlblFieldTableCache>
                    </c15:dlblFTEntry>
                  </c15:dlblFieldTable>
                  <c15:showDataLabelsRange val="0"/>
                </c:ext>
                <c:ext xmlns:c16="http://schemas.microsoft.com/office/drawing/2014/chart" uri="{C3380CC4-5D6E-409C-BE32-E72D297353CC}">
                  <c16:uniqueId val="{0000000E-629C-4594-8CFA-F6E78B950076}"/>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'L1'!$AC$49</c:f>
              <c:numCache>
                <c:formatCode>_("$"* #,##0_);_("$"* \(#,##0\);_("$"* "-"??_);_(@_)</c:formatCode>
                <c:ptCount val="1"/>
                <c:pt idx="0">
                  <c:v>-104.94754918396302</c:v>
                </c:pt>
              </c:numCache>
            </c:numRef>
          </c:xVal>
          <c:yVal>
            <c:numRef>
              <c:f>'L1'!$AI$49</c:f>
              <c:numCache>
                <c:formatCode>0.0%</c:formatCode>
                <c:ptCount val="1"/>
                <c:pt idx="0">
                  <c:v>2.3596504953774775E-2</c:v>
                </c:pt>
              </c:numCache>
            </c:numRef>
          </c:yVal>
          <c:smooth val="0"/>
          <c:extLst>
            <c:ext xmlns:c16="http://schemas.microsoft.com/office/drawing/2014/chart" uri="{C3380CC4-5D6E-409C-BE32-E72D297353CC}">
              <c16:uniqueId val="{0000000F-629C-4594-8CFA-F6E78B950076}"/>
            </c:ext>
          </c:extLst>
        </c:ser>
        <c:ser>
          <c:idx val="8"/>
          <c:order val="8"/>
          <c:tx>
            <c:strRef>
              <c:f>'L1'!$AK$50</c:f>
              <c:strCache>
                <c:ptCount val="1"/>
                <c:pt idx="0">
                  <c:v>I: +1000 CC, +1000 APR Cash, -360 Lease</c:v>
                </c:pt>
              </c:strCache>
            </c:strRef>
          </c:tx>
          <c:spPr>
            <a:ln w="28575">
              <a:noFill/>
            </a:ln>
          </c:spPr>
          <c:marker>
            <c:symbol val="diamond"/>
            <c:size val="8"/>
            <c:spPr>
              <a:solidFill>
                <a:schemeClr val="tx1"/>
              </a:solidFill>
              <a:ln w="15875">
                <a:solidFill>
                  <a:schemeClr val="tx1"/>
                </a:solidFill>
              </a:ln>
            </c:spPr>
          </c:marker>
          <c:dLbls>
            <c:dLbl>
              <c:idx val="0"/>
              <c:tx>
                <c:strRef>
                  <c:f>'L1'!$AK$50</c:f>
                  <c:strCache>
                    <c:ptCount val="1"/>
                    <c:pt idx="0">
                      <c:v>I: +1000 CC, +1000 APR Cash,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{CC50048A-C151-4095-9A99-027D2F15518F}</c15:txfldGUID>
                      <c15:f>'L1'!$AK$50</c15:f>
                      <c15:dlblFieldTableCache>
                        <c:ptCount val="1"/>
                        <c:pt idx="0">
                          <c:v>I: +1000 CC, +1000 APR Cash, -360 Lease</c:v>
                        </c:pt>
                      </c15:dlblFieldTableCache>
                    </c15:dlblFTEntry>
                  </c15:dlblFieldTable>
                  <c15:showDataLabelsRange val="0"/>
                </c:ext>
                <c:ext xmlns:c16="http://schemas.microsoft.com/office/drawing/2014/chart" uri="{C3380CC4-5D6E-409C-BE32-E72D297353CC}">
                  <c16:uniqueId val="{00000010-629C-4594-8CFA-F6E78B950076}"/>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'L1'!$AC$51</c:f>
              <c:numCache>
                <c:formatCode>_("$"* #,##0_);_("$"* \(#,##0\);_("$"* "-"??_);_(@_)</c:formatCode>
                <c:ptCount val="1"/>
                <c:pt idx="0">
                  <c:v>210.54616813557459</c:v>
                </c:pt>
              </c:numCache>
            </c:numRef>
          </c:xVal>
          <c:yVal>
            <c:numRef>
              <c:f>'L1'!$AI$51</c:f>
              <c:numCache>
                <c:formatCode>0.0%</c:formatCode>
                <c:ptCount val="1"/>
                <c:pt idx="0">
                  <c:v>7.9752557642416178E-2</c:v>
                </c:pt>
              </c:numCache>
            </c:numRef>
          </c:yVal>
          <c:smooth val="0"/>
          <c:extLst>
            <c:ext xmlns:c16="http://schemas.microsoft.com/office/drawing/2014/chart" uri="{C3380CC4-5D6E-409C-BE32-E72D297353CC}">
              <c16:uniqueId val="{00000011-629C-4594-8CFA-F6E78B950076}"/>
            </c:ext>
          </c:extLst>
        </c:ser>
        <c:ser>
          <c:idx val="9"/>
          <c:order val="9"/>
          <c:tx>
            <c:strRef>
              <c:f>'L1'!$AK$52</c:f>
              <c:strCache>
                <c:ptCount val="1"/>
                <c:pt idx="0">
                  <c:v>J: +1000 CC, +1000 APR Cash, -180 Lease</c:v>
                </c:pt>
              </c:strCache>
            </c:strRef>
          </c:tx>
          <c:spPr>
            <a:ln w="28575">
              <a:noFill/>
            </a:ln>
          </c:spPr>
          <c:marker>
            <c:symbol val="diamond"/>
            <c:size val="8"/>
            <c:spPr>
              <a:solidFill>
                <a:schemeClr val="tx1"/>
              </a:solidFill>
              <a:ln w="15875">
                <a:solidFill>
                  <a:schemeClr val="tx1"/>
                </a:solidFill>
              </a:ln>
            </c:spPr>
          </c:marker>
          <c:dLbls>
            <c:dLbl>
              <c:idx val="0"/>
              <c:tx>
                <c:strRef>
                  <c:f>'L1'!$AK$52</c:f>
                  <c:strCache>
                    <c:ptCount val="1"/>
                    <c:pt idx="0">
                      <c:v>J: +1000 CC, +1000 APR Cash, -180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{03C2CE8C-B072-4F2A-8A64-FAE74C0206A3}</c15:txfldGUID>
                      <c15:f>'L1'!$AK$52</c15:f>
                      <c15:dlblFieldTableCache>
                        <c:ptCount val="1"/>
                        <c:pt idx="0">
                          <c:v>J: +1000 CC, +1000 APR Cash, -180 Lease</c:v>
                        </c:pt>
                      </c15:dlblFieldTableCache>
                    </c15:dlblFTEntry>
                  </c15:dlblFieldTable>
                  <c15:showDataLabelsRange val="0"/>
                </c:ext>
                <c:ext xmlns:c16="http://schemas.microsoft.com/office/drawing/2014/chart" uri="{C3380CC4-5D6E-409C-BE32-E72D297353CC}">
                  <c16:uniqueId val="{00000012-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'L1'!$AC$53</c:f>
              <c:numCache>
                <c:formatCode>_("$"* #,##0_);_("$"* \(#,##0\);_("$"* "-"??_);_(@_)</c:formatCode>
                <c:ptCount val="1"/>
                <c:pt idx="0">
                  <c:v>294.71554145988694</c:v>
                </c:pt>
              </c:numCache>
            </c:numRef>
          </c:xVal>
          <c:yVal>
            <c:numRef>
              <c:f>'L1'!$AI$53</c:f>
              <c:numCache>
                <c:formatCode>0.0%</c:formatCode>
                <c:ptCount val="1"/>
                <c:pt idx="0">
                  <c:v>9.1858454256854724E-2</c:v>
                </c:pt>
              </c:numCache>
            </c:numRef>
          </c:yVal>
          <c:smooth val="0"/>
          <c:extLst>
            <c:ext xmlns:c16="http://schemas.microsoft.com/office/drawing/2014/chart" uri="{C3380CC4-5D6E-409C-BE32-E72D297353CC}">
              <c16:uniqueId val="{00000013-629C-4594-8CFA-F6E78B950076}"/>
            </c:ext>
          </c:extLst>
        </c:ser>
        <c:ser>
          <c:idx val="10"/>
          <c:order val="10"/>
          <c:tx>
            <c:strRef>
              <c:f>'L1'!$AK$54</c:f>
              <c:strCache>
                <c:ptCount val="1"/>
                <c:pt idx="0">
                  <c:v>K: +500 CC, 0/0/0.9/3.9, -360 Lease</c:v>
                </c:pt>
              </c:strCache>
            </c:strRef>
          </c:tx>
          <c:spPr>
            <a:ln w="28575">
              <a:noFill/>
            </a:ln>
          </c:spPr>
          <c:marker>
            <c:symbol val="diamond"/>
            <c:size val="8"/>
            <c:spPr>
              <a:solidFill>
                <a:schemeClr val="tx1"/>
              </a:solidFill>
              <a:ln w="15875">
                <a:solidFill>
                  <a:schemeClr val="tx1"/>
                </a:solidFill>
              </a:ln>
            </c:spPr>
          </c:marker>
          <c:dLbls>
            <c:dLbl>
              <c:idx val="0"/>
              <c:tx>
                <c:strRef>
                  <c:f>'L1'!$AK$54</c:f>
                  <c:strCache>
                    <c:ptCount val="1"/>
                    <c:pt idx="0">
                      <c:v>K: +500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{DE1943E5-EBF3-4DF5-AA47-171C34AA3242}</c15:txfldGUID>
                      <c15:f>'L1'!$AK$54</c15:f>
                      <c15:dlblFieldTableCache>
                        <c:ptCount val="1"/>
                        <c:pt idx="0">
                          <c:v>K: +500 CC, 0/0/0.9/3.9, -360 Lease</c:v>
                        </c:pt>
                      </c15:dlblFieldTableCache>
                    </c15:dlblFTEntry>
                  </c15:dlblFieldTable>
                  <c15:showDataLabelsRange val="0"/>
                </c:ext>
                <c:ext xmlns:c16="http://schemas.microsoft.com/office/drawing/2014/chart" uri="{C3380CC4-5D6E-409C-BE32-E72D297353CC}">
                  <c16:uniqueId val="{00000014-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'L1'!$AC$55</c:f>
              <c:numCache>
                <c:formatCode>_("$"* #,##0_);_("$"* \(#,##0\);_("$"* "-"??_);_(@_)</c:formatCode>
                <c:ptCount val="1"/>
                <c:pt idx="0">
                  <c:v>-149.13342903705052</c:v>
                </c:pt>
              </c:numCache>
            </c:numRef>
          </c:xVal>
          <c:yVal>
            <c:numRef>
              <c:f>'L1'!$AI$55</c:f>
              <c:numCache>
                <c:formatCode>0.0%</c:formatCode>
                <c:ptCount val="1"/>
                <c:pt idx="0">
                  <c:v>1.0239662017676836E-2</c:v>
                </c:pt>
              </c:numCache>
            </c:numRef>
          </c:yVal>
          <c:smooth val="0"/>
          <c:extLst>
            <c:ext xmlns:c16="http://schemas.microsoft.com/office/drawing/2014/chart" uri="{C3380CC4-5D6E-409C-BE32-E72D297353CC}">
              <c16:uniqueId val="{00000015-629C-4594-8CFA-F6E78B950076}"/>
            </c:ext>
          </c:extLst>
        </c:ser>
        <c:ser>
          <c:idx val="11"/>
          <c:order val="11"/>
          <c:tx>
            <c:strRef>
              <c:f>'L1'!$AK$56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{98045FDF-BD2D-43F4-8482-9C08EF89CFA0}</c15:txfldGUID>
                      <c15:f>'L1'!$AK$56</c15:f>
                      <c15:dlblFieldTableCache>
                        <c:ptCount val="1"/>
                        <c:pt idx="0">
                          <c:v>#VALUE!</c:v>
                        </c:pt>
                      </c15:dlblFieldTableCache>
                    </c15:dlblFTEntry>
                  </c15:dlblFieldTable>
                  <c15:showDataLabelsRange val="0"/>
                </c:ext>
                <c:ext xmlns:c16="http://schemas.microsoft.com/office/drawing/2014/chart" uri="{C3380CC4-5D6E-409C-BE32-E72D297353CC}">
                  <c16:uniqueId val="{00000016-629C-4594-8CFA-F6E78B950076}"/>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'L1'!$AC$57</c:f>
              <c:numCache>
                <c:formatCode>_("$"* #,##0_);_("$"* \(#,##0\);_("$"* "-"??_);_(@_)</c:formatCode>
                <c:ptCount val="1"/>
                <c:pt idx="0">
                  <c:v>#N/A</c:v>
                </c:pt>
              </c:numCache>
            </c:numRef>
          </c:xVal>
          <c:yVal>
            <c:numRef>
              <c:f>'L1'!$AI$57</c:f>
              <c:numCache>
                <c:formatCode>0.0%</c:formatCode>
                <c:ptCount val="1"/>
                <c:pt idx="0">
                  <c:v>#N/A</c:v>
                </c:pt>
              </c:numCache>
            </c:numRef>
          </c:yVal>
          <c:smooth val="0"/>
          <c:extLst>
            <c:ext xmlns:c16="http://schemas.microsoft.com/office/drawing/2014/chart" uri="{C3380CC4-5D6E-409C-BE32-E72D297353CC}">
              <c16:uniqueId val="{00000017-629C-4594-8CFA-F6E78B950076}"/>
            </c:ext>
          </c:extLst>
        </c:ser>
        <c:ser>
          <c:idx val="12"/>
          <c:order val="12"/>
          <c:tx>
            <c:strRef>
              <c:f>'L1'!$AK$58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{F14F4FF2-DA3A-4E32-AD46-83D22C7BDB89}</c15:txfldGUID>
                      <c15:f>'L1'!$AK$58</c15:f>
                      <c15:dlblFieldTableCache>
                        <c:ptCount val="1"/>
                        <c:pt idx="0">
                          <c:v>#VALUE!</c:v>
                        </c:pt>
                      </c15:dlblFieldTableCache>
                    </c15:dlblFTEntry>
                  </c15:dlblFieldTable>
                  <c15:showDataLabelsRange val="0"/>
                </c:ext>
                <c:ext xmlns:c16="http://schemas.microsoft.com/office/drawing/2014/chart" uri="{C3380CC4-5D6E-409C-BE32-E72D297353CC}">
                  <c16:uniqueId val="{00000018-629C-4594-8CFA-F6E78B950076}"/>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'L1'!$AC$59</c:f>
              <c:numCache>
                <c:formatCode>_("$"* #,##0_);_("$"* \(#,##0\);_("$"* "-"??_);_(@_)</c:formatCode>
                <c:ptCount val="1"/>
                <c:pt idx="0">
                  <c:v>#N/A</c:v>
                </c:pt>
              </c:numCache>
            </c:numRef>
          </c:xVal>
          <c:yVal>
            <c:numRef>
              <c:f>'L1'!$AI$59</c:f>
              <c:numCache>
                <c:formatCode>0.0%</c:formatCode>
                <c:ptCount val="1"/>
                <c:pt idx="0">
                  <c:v>#N/A</c:v>
                </c:pt>
              </c:numCache>
            </c:numRef>
          </c:yVal>
          <c:smooth val="0"/>
          <c:extLst>
            <c:ext xmlns:c16="http://schemas.microsoft.com/office/drawing/2014/chart" uri="{C3380CC4-5D6E-409C-BE32-E72D297353CC}">
              <c16:uniqueId val="{00000019-629C-4594-8CFA-F6E78B950076}"/>
            </c:ext>
          </c:extLst>
        </c:ser>
        <c:ser>
          <c:idx val="13"/>
          <c:order val="13"/>
          <c:tx>
            <c:strRef>
              <c:f>'L1'!$AK$60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{4FB9B449-46A5-40E5-93B4-C847D20B45B9}</c15:txfldGUID>
                      <c15:f>'L1'!$AK$60</c15:f>
                      <c15:dlblFieldTableCache>
                        <c:ptCount val="1"/>
                        <c:pt idx="0">
                          <c:v>#VALUE!</c:v>
                        </c:pt>
                      </c15:dlblFieldTableCache>
                    </c15:dlblFTEntry>
                  </c15:dlblFieldTable>
                  <c15:showDataLabelsRange val="0"/>
                </c:ext>
                <c:ext xmlns:c16="http://schemas.microsoft.com/office/drawing/2014/chart" uri="{C3380CC4-5D6E-409C-BE32-E72D297353CC}">
                  <c16:uniqueId val="{0000001A-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'L1'!$AC$61</c:f>
              <c:numCache>
                <c:formatCode>_("$"* #,##0_);_("$"* \(#,##0\);_("$"* "-"??_);_(@_)</c:formatCode>
                <c:ptCount val="1"/>
                <c:pt idx="0">
                  <c:v>#N/A</c:v>
                </c:pt>
              </c:numCache>
            </c:numRef>
          </c:xVal>
          <c:yVal>
            <c:numRef>
              <c:f>'L1'!$AI$61</c:f>
              <c:numCache>
                <c:formatCode>0.0%</c:formatCode>
                <c:ptCount val="1"/>
                <c:pt idx="0">
                  <c:v>#N/A</c:v>
                </c:pt>
              </c:numCache>
            </c:numRef>
          </c:yVal>
          <c:smooth val="0"/>
          <c:extLst>
            <c:ext xmlns:c16="http://schemas.microsoft.com/office/drawing/2014/chart" uri="{C3380CC4-5D6E-409C-BE32-E72D297353CC}">
              <c16:uniqueId val="{0000001B-629C-4594-8CFA-F6E78B950076}"/>
            </c:ext>
          </c:extLst>
        </c:ser>
        <c:ser>
          <c:idx val="14"/>
          <c:order val="14"/>
          <c:tx>
            <c:strRef>
              <c:f>'L1'!$AK$62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'L1'!$AK$62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{E483E9ED-C466-4404-AFE3-EDA51C21AED3}</c15:txfldGUID>
                      <c15:f>'L1'!$AK$62</c15:f>
                      <c15:dlblFieldTableCache>
                        <c:ptCount val="1"/>
                        <c:pt idx="0">
                          <c:v>#VALUE!</c:v>
                        </c:pt>
                      </c15:dlblFieldTableCache>
                    </c15:dlblFTEntry>
                  </c15:dlblFieldTable>
                  <c15:showDataLabelsRange val="0"/>
                </c:ext>
                <c:ext xmlns:c16="http://schemas.microsoft.com/office/drawing/2014/chart" uri="{C3380CC4-5D6E-409C-BE32-E72D297353CC}">
                  <c16:uniqueId val="{0000001C-629C-4594-8CFA-F6E78B950076}"/>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'L1'!$AC$63</c:f>
              <c:numCache>
                <c:formatCode>_("$"* #,##0_);_("$"* \(#,##0\);_("$"* "-"??_);_(@_)</c:formatCode>
                <c:ptCount val="1"/>
                <c:pt idx="0">
                  <c:v>#N/A</c:v>
                </c:pt>
              </c:numCache>
            </c:numRef>
          </c:xVal>
          <c:yVal>
            <c:numRef>
              <c:f>'L1'!$AI$63</c:f>
              <c:numCache>
                <c:formatCode>0.0%</c:formatCode>
                <c:ptCount val="1"/>
                <c:pt idx="0">
                  <c:v>#N/A</c:v>
                </c:pt>
              </c:numCache>
            </c:numRef>
          </c:yVal>
          <c:smooth val="0"/>
          <c:extLst>
            <c:ext xmlns:c16="http://schemas.microsoft.com/office/drawing/2014/chart" uri="{C3380CC4-5D6E-409C-BE32-E72D297353CC}">
              <c16:uniqueId val="{0000001D-629C-4594-8CFA-F6E78B950076}"/>
            </c:ext>
          </c:extLst>
        </c:ser>
        <c:ser>
          <c:idx val="15"/>
          <c:order val="15"/>
          <c:tx>
            <c:strRef>
              <c:f>'L1'!$AK$64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{0DB06D1B-BB31-48E9-AEB0-4FA7192B7770}</c15:txfldGUID>
                      <c15:f>'L1'!$AK$64</c15:f>
                      <c15:dlblFieldTableCache>
                        <c:ptCount val="1"/>
                        <c:pt idx="0">
                          <c:v>#VALUE!</c:v>
                        </c:pt>
                      </c15:dlblFieldTableCache>
                    </c15:dlblFTEntry>
                  </c15:dlblFieldTable>
                  <c15:showDataLabelsRange val="0"/>
                </c:ext>
                <c:ext xmlns:c16="http://schemas.microsoft.com/office/drawing/2014/chart" uri="{C3380CC4-5D6E-409C-BE32-E72D297353CC}">
                  <c16:uniqueId val="{0000001E-629C-4594-8CFA-F6E78B950076}"/>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'L1'!$AC$65</c:f>
              <c:numCache>
                <c:formatCode>_("$"* #,##0_);_("$"* \(#,##0\);_("$"* "-"??_);_(@_)</c:formatCode>
                <c:ptCount val="1"/>
                <c:pt idx="0">
                  <c:v>#N/A</c:v>
                </c:pt>
              </c:numCache>
            </c:numRef>
          </c:xVal>
          <c:yVal>
            <c:numRef>
              <c:f>'L1'!$AI$65</c:f>
              <c:numCache>
                <c:formatCode>0.0%</c:formatCode>
                <c:ptCount val="1"/>
                <c:pt idx="0">
                  <c:v>#N/A</c:v>
                </c:pt>
              </c:numCache>
            </c:numRef>
          </c:yVal>
          <c:smooth val="0"/>
          <c:extLst>
            <c:ext xmlns:c16="http://schemas.microsoft.com/office/drawing/2014/chart" uri="{C3380CC4-5D6E-409C-BE32-E72D297353CC}">
              <c16:uniqueId val="{0000001F-629C-4594-8CFA-F6E78B950076}"/>
            </c:ext>
          </c:extLst>
        </c:ser>
        <c:ser>
          <c:idx val="17"/>
          <c:order val="16"/>
          <c:tx>
            <c:strRef>
              <c:f>'L1'!$AK$66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'L1'!$AC$67</c:f>
              <c:numCache>
                <c:formatCode>_("$"* #,##0_);_("$"* \(#,##0\);_("$"* "-"??_);_(@_)</c:formatCode>
                <c:ptCount val="1"/>
                <c:pt idx="0">
                  <c:v>#N/A</c:v>
                </c:pt>
              </c:numCache>
            </c:numRef>
          </c:xVal>
          <c:yVal>
            <c:numRef>
              <c:f>'L1'!$AI$67</c:f>
              <c:numCache>
                <c:formatCode>0.0%</c:formatCode>
                <c:ptCount val="1"/>
                <c:pt idx="0">
                  <c:v>#N/A</c:v>
                </c:pt>
              </c:numCache>
            </c:numRef>
          </c:yVal>
          <c:smooth val="0"/>
          <c:extLst>
            <c:ext xmlns:c16="http://schemas.microsoft.com/office/drawing/2014/chart" uri="{C3380CC4-5D6E-409C-BE32-E72D297353CC}">
              <c16:uniqueId val="{00000020-629C-4594-8CFA-F6E78B950076}"/>
            </c:ext>
          </c:extLst>
        </c:ser>
        <c:ser>
          <c:idx val="18"/>
          <c:order val="17"/>
          <c:tx>
            <c:strRef>
              <c:f>'L1'!$AK$68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'L1'!$AC$69</c:f>
              <c:numCache>
                <c:formatCode>_("$"* #,##0_);_("$"* \(#,##0\);_("$"* "-"??_);_(@_)</c:formatCode>
                <c:ptCount val="1"/>
                <c:pt idx="0">
                  <c:v>#N/A</c:v>
                </c:pt>
              </c:numCache>
            </c:numRef>
          </c:xVal>
          <c:yVal>
            <c:numRef>
              <c:f>'L1'!$AI$69</c:f>
              <c:numCache>
                <c:formatCode>0.0%</c:formatCode>
                <c:ptCount val="1"/>
                <c:pt idx="0">
                  <c:v>#N/A</c:v>
                </c:pt>
              </c:numCache>
            </c:numRef>
          </c:yVal>
          <c:smooth val="0"/>
          <c:extLst>
            <c:ext xmlns:c16="http://schemas.microsoft.com/office/drawing/2014/chart" uri="{C3380CC4-5D6E-409C-BE32-E72D297353CC}">
              <c16:uniqueId val="{00000021-629C-4594-8CFA-F6E78B950076}"/>
            </c:ext>
          </c:extLst>
        </c:ser>
        <c:ser>
          <c:idx val="16"/>
          <c:order val="18"/>
          <c:tx>
            <c:strRef>
              <c:f>'L1'!$AK$70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{BFDBAA36-837C-4FE5-94F0-C459BEBC7021}</c15:txfldGUID>
                      <c15:f>'L1'!$AK$70</c15:f>
                      <c15:dlblFieldTableCache>
                        <c:ptCount val="1"/>
                        <c:pt idx="0">
                          <c:v>#VALUE!</c:v>
                        </c:pt>
                      </c15:dlblFieldTableCache>
                    </c15:dlblFTEntry>
                  </c15:dlblFieldTable>
                  <c15:showDataLabelsRange val="0"/>
                </c:ext>
                <c:ext xmlns:c16="http://schemas.microsoft.com/office/drawing/2014/chart" uri="{C3380CC4-5D6E-409C-BE32-E72D297353CC}">
                  <c16:uniqueId val="{00000022-629C-4594-8CFA-F6E78B950076}"/>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'L1'!$AC$71</c:f>
              <c:numCache>
                <c:formatCode>_("$"* #,##0_);_("$"* \(#,##0\);_("$"* "-"??_);_(@_)</c:formatCode>
                <c:ptCount val="1"/>
                <c:pt idx="0">
                  <c:v>#N/A</c:v>
                </c:pt>
              </c:numCache>
            </c:numRef>
          </c:xVal>
          <c:yVal>
            <c:numRef>
              <c:f>'L1'!$AI$71</c:f>
              <c:numCache>
                <c:formatCode>0.0%</c:formatCode>
                <c:ptCount val="1"/>
                <c:pt idx="0">
                  <c:v>#N/A</c:v>
                </c:pt>
              </c:numCache>
            </c:numRef>
          </c:yVal>
          <c:smooth val="0"/>
          <c:extLst>
            <c:ext xmlns:c16="http://schemas.microsoft.com/office/drawing/2014/chart" uri="{C3380CC4-5D6E-409C-BE32-E72D297353CC}">
              <c16:uniqueId val="{00000023-629C-4594-8CFA-F6E78B950076}"/>
            </c:ext>
          </c:extLst>
        </c:ser>
        <c:ser>
          <c:idx val="19"/>
          <c:order val="19"/>
          <c:tx>
            <c:strRef>
              <c:f>'L1'!$AK$33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2581324361339896E-3"/>
                  <c:y val="5.4643957617906726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696-4E0A-B710-09A2080DA0D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'L1'!$AI$33</c:f>
              <c:numCache>
                <c:formatCode>0.0%</c:formatCode>
                <c:ptCount val="1"/>
                <c:pt idx="0">
                  <c:v>0</c:v>
                </c:pt>
              </c:numCache>
            </c:numRef>
          </c:yVal>
          <c:smooth val="0"/>
          <c:extLst>
            <c:ext xmlns:c16="http://schemas.microsoft.com/office/drawing/2014/chart" uri="{C3380CC4-5D6E-409C-BE32-E72D297353CC}">
              <c16:uniqueId val="{00000000-6F73-4608-8E49-538D25D8CDD6}"/>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'Output (LFC)'!$AK$34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(LFC)'!$AK$34</c:f>
                  <c:strCache>
                    <c:ptCount val="1"/>
                    <c:pt idx="0">
                      <c:v>#N/A</c:v>
                    </c:pt>
                  </c:strCache>
                </c:strRef>
              </c:tx>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{6DED627C-96B4-45BD-AF66-FDE02D510E8B}</c15:txfldGUID>
                      <c15:f>'Output (LFC)'!$AK$34</c15:f>
                      <c15:dlblFieldTableCache>
                        <c:ptCount val="1"/>
                        <c:pt idx="0">
                          <c:v>#N/A</c:v>
                        </c:pt>
                      </c15:dlblFieldTableCache>
                    </c15:dlblFTEntry>
                  </c15:dlblFieldTable>
                  <c15:showDataLabelsRange val="0"/>
                </c:ext>
                <c:ext xmlns:c16="http://schemas.microsoft.com/office/drawing/2014/chart" uri="{C3380CC4-5D6E-409C-BE32-E72D297353CC}">
                  <c16:uniqueId val="{00000000-6272-4083-AA15-E018103285B7}"/>
                </c:ext>
              </c:extLst>
            </c:dLbl>
            <c:spPr>
              <a:noFill/>
            </c:spPr>
            <c:txPr>
              <a:bodyPr vertOverflow="overflow" horzOverflow="overflow">
                <a:spAutoFit/>
              </a:bodyPr>
              <a:lstStyle/>
              <a:p>
                <a:pPr>
                  <a:defRPr sz="11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(LFC)'!$AC$35</c:f>
              <c:numCache>
                <c:formatCode>_("$"* #,##0_);_("$"* \(#,##0\);_("$"* "-"??_);_(@_)</c:formatCode>
                <c:ptCount val="1"/>
                <c:pt idx="0">
                  <c:v>#N/A</c:v>
                </c:pt>
              </c:numCache>
            </c:numRef>
          </c:xVal>
          <c:yVal>
            <c:numRef>
              <c:f>'Output (LFC)'!$AI$35</c:f>
              <c:numCache>
                <c:formatCode>0.0%</c:formatCode>
                <c:ptCount val="1"/>
                <c:pt idx="0">
                  <c:v>#N/A</c:v>
                </c:pt>
              </c:numCache>
            </c:numRef>
          </c:yVal>
          <c:smooth val="0"/>
          <c:extLst>
            <c:ext xmlns:c16="http://schemas.microsoft.com/office/drawing/2014/chart" uri="{C3380CC4-5D6E-409C-BE32-E72D297353CC}">
              <c16:uniqueId val="{00000001-6272-4083-AA15-E018103285B7}"/>
            </c:ext>
          </c:extLst>
        </c:ser>
        <c:ser>
          <c:idx val="1"/>
          <c:order val="1"/>
          <c:tx>
            <c:strRef>
              <c:f>'Output (LFC)'!$AK$36</c:f>
              <c:strCache>
                <c:ptCount val="1"/>
                <c:pt idx="0">
                  <c:v>#N/A</c:v>
                </c:pt>
              </c:strCache>
            </c:strRef>
          </c:tx>
          <c:spPr>
            <a:ln w="31750">
              <a:noFill/>
            </a:ln>
          </c:spPr>
          <c:marker>
            <c:symbol val="diamond"/>
            <c:size val="8"/>
            <c:spPr>
              <a:solidFill>
                <a:schemeClr val="tx1"/>
              </a:solidFill>
              <a:ln w="15875">
                <a:solidFill>
                  <a:schemeClr val="tx1"/>
                </a:solidFill>
              </a:ln>
            </c:spPr>
          </c:marker>
          <c:dLbls>
            <c:dLbl>
              <c:idx val="0"/>
              <c:tx>
                <c:strRef>
                  <c:f>'Output (LFC)'!$AK$36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{ECC6D0E8-5899-44FF-9F7D-4EA3C81A1548}</c15:txfldGUID>
                      <c15:f>'Output (LFC)'!$AK$36</c15:f>
                      <c15:dlblFieldTableCache>
                        <c:ptCount val="1"/>
                        <c:pt idx="0">
                          <c:v>#N/A</c:v>
                        </c:pt>
                      </c15:dlblFieldTableCache>
                    </c15:dlblFTEntry>
                  </c15:dlblFieldTable>
                  <c15:showDataLabelsRange val="0"/>
                </c:ext>
                <c:ext xmlns:c16="http://schemas.microsoft.com/office/drawing/2014/chart" uri="{C3380CC4-5D6E-409C-BE32-E72D297353CC}">
                  <c16:uniqueId val="{00000002-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(LFC)'!$AC$37</c:f>
              <c:numCache>
                <c:formatCode>_("$"* #,##0_);_("$"* \(#,##0\);_("$"* "-"??_);_(@_)</c:formatCode>
                <c:ptCount val="1"/>
                <c:pt idx="0">
                  <c:v>#N/A</c:v>
                </c:pt>
              </c:numCache>
            </c:numRef>
          </c:xVal>
          <c:yVal>
            <c:numRef>
              <c:f>'Output (LFC)'!$AI$37</c:f>
              <c:numCache>
                <c:formatCode>0.0%</c:formatCode>
                <c:ptCount val="1"/>
                <c:pt idx="0">
                  <c:v>#N/A</c:v>
                </c:pt>
              </c:numCache>
            </c:numRef>
          </c:yVal>
          <c:smooth val="0"/>
          <c:extLst>
            <c:ext xmlns:c16="http://schemas.microsoft.com/office/drawing/2014/chart" uri="{C3380CC4-5D6E-409C-BE32-E72D297353CC}">
              <c16:uniqueId val="{00000003-6272-4083-AA15-E018103285B7}"/>
            </c:ext>
          </c:extLst>
        </c:ser>
        <c:ser>
          <c:idx val="2"/>
          <c:order val="2"/>
          <c:tx>
            <c:strRef>
              <c:f>'Output (LFC)'!$AK$38</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(LFC)'!$AK$38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{CB3DA60B-4BBF-4DC3-A42D-4E8B2BA9532F}</c15:txfldGUID>
                      <c15:f>'Output (LFC)'!$AK$38</c15:f>
                      <c15:dlblFieldTableCache>
                        <c:ptCount val="1"/>
                        <c:pt idx="0">
                          <c:v>#N/A</c:v>
                        </c:pt>
                      </c15:dlblFieldTableCache>
                    </c15:dlblFTEntry>
                  </c15:dlblFieldTable>
                  <c15:showDataLabelsRange val="0"/>
                </c:ext>
                <c:ext xmlns:c16="http://schemas.microsoft.com/office/drawing/2014/chart" uri="{C3380CC4-5D6E-409C-BE32-E72D297353CC}">
                  <c16:uniqueId val="{00000004-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(LFC)'!$AC$39</c:f>
              <c:numCache>
                <c:formatCode>_("$"* #,##0_);_("$"* \(#,##0\);_("$"* "-"??_);_(@_)</c:formatCode>
                <c:ptCount val="1"/>
                <c:pt idx="0">
                  <c:v>#N/A</c:v>
                </c:pt>
              </c:numCache>
            </c:numRef>
          </c:xVal>
          <c:yVal>
            <c:numRef>
              <c:f>'Output (LFC)'!$AI$39</c:f>
              <c:numCache>
                <c:formatCode>0.0%</c:formatCode>
                <c:ptCount val="1"/>
                <c:pt idx="0">
                  <c:v>#N/A</c:v>
                </c:pt>
              </c:numCache>
            </c:numRef>
          </c:yVal>
          <c:smooth val="0"/>
          <c:extLst>
            <c:ext xmlns:c16="http://schemas.microsoft.com/office/drawing/2014/chart" uri="{C3380CC4-5D6E-409C-BE32-E72D297353CC}">
              <c16:uniqueId val="{00000005-6272-4083-AA15-E018103285B7}"/>
            </c:ext>
          </c:extLst>
        </c:ser>
        <c:ser>
          <c:idx val="3"/>
          <c:order val="3"/>
          <c:tx>
            <c:strRef>
              <c:f>'Output (LFC)'!$AK$40</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(LFC)'!$AK$40</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{C3F027DC-2F9D-4DAC-9D05-A8553C585546}</c15:txfldGUID>
                      <c15:f>'Output (LFC)'!$AK$40</c15:f>
                      <c15:dlblFieldTableCache>
                        <c:ptCount val="1"/>
                        <c:pt idx="0">
                          <c:v>#N/A</c:v>
                        </c:pt>
                      </c15:dlblFieldTableCache>
                    </c15:dlblFTEntry>
                  </c15:dlblFieldTable>
                  <c15:showDataLabelsRange val="0"/>
                </c:ext>
                <c:ext xmlns:c16="http://schemas.microsoft.com/office/drawing/2014/chart" uri="{C3380CC4-5D6E-409C-BE32-E72D297353CC}">
                  <c16:uniqueId val="{00000006-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(LFC)'!$AC$41</c:f>
              <c:numCache>
                <c:formatCode>_("$"* #,##0_);_("$"* \(#,##0\);_("$"* "-"??_);_(@_)</c:formatCode>
                <c:ptCount val="1"/>
                <c:pt idx="0">
                  <c:v>#N/A</c:v>
                </c:pt>
              </c:numCache>
            </c:numRef>
          </c:xVal>
          <c:yVal>
            <c:numRef>
              <c:f>'Output (LFC)'!$AI$41</c:f>
              <c:numCache>
                <c:formatCode>0.0%</c:formatCode>
                <c:ptCount val="1"/>
                <c:pt idx="0">
                  <c:v>#N/A</c:v>
                </c:pt>
              </c:numCache>
            </c:numRef>
          </c:yVal>
          <c:smooth val="0"/>
          <c:extLst>
            <c:ext xmlns:c16="http://schemas.microsoft.com/office/drawing/2014/chart" uri="{C3380CC4-5D6E-409C-BE32-E72D297353CC}">
              <c16:uniqueId val="{00000007-6272-4083-AA15-E018103285B7}"/>
            </c:ext>
          </c:extLst>
        </c:ser>
        <c:ser>
          <c:idx val="4"/>
          <c:order val="4"/>
          <c:tx>
            <c:strRef>
              <c:f>'Output (LFC)'!$AK$42</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(LFC)'!$AK$42</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{57F1FEC4-8029-4BE1-B53E-F3A31BFF48F6}</c15:txfldGUID>
                      <c15:f>'Output (LFC)'!$AK$42</c15:f>
                      <c15:dlblFieldTableCache>
                        <c:ptCount val="1"/>
                        <c:pt idx="0">
                          <c:v>#N/A</c:v>
                        </c:pt>
                      </c15:dlblFieldTableCache>
                    </c15:dlblFTEntry>
                  </c15:dlblFieldTable>
                  <c15:showDataLabelsRange val="0"/>
                </c:ext>
                <c:ext xmlns:c16="http://schemas.microsoft.com/office/drawing/2014/chart" uri="{C3380CC4-5D6E-409C-BE32-E72D297353CC}">
                  <c16:uniqueId val="{0000000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(LFC)'!$AC$43</c:f>
              <c:numCache>
                <c:formatCode>_("$"* #,##0_);_("$"* \(#,##0\);_("$"* "-"??_);_(@_)</c:formatCode>
                <c:ptCount val="1"/>
                <c:pt idx="0">
                  <c:v>#N/A</c:v>
                </c:pt>
              </c:numCache>
            </c:numRef>
          </c:xVal>
          <c:yVal>
            <c:numRef>
              <c:f>'Output (LFC)'!$AI$43</c:f>
              <c:numCache>
                <c:formatCode>0.0%</c:formatCode>
                <c:ptCount val="1"/>
                <c:pt idx="0">
                  <c:v>#N/A</c:v>
                </c:pt>
              </c:numCache>
            </c:numRef>
          </c:yVal>
          <c:smooth val="0"/>
          <c:extLst>
            <c:ext xmlns:c16="http://schemas.microsoft.com/office/drawing/2014/chart" uri="{C3380CC4-5D6E-409C-BE32-E72D297353CC}">
              <c16:uniqueId val="{00000009-6272-4083-AA15-E018103285B7}"/>
            </c:ext>
          </c:extLst>
        </c:ser>
        <c:ser>
          <c:idx val="5"/>
          <c:order val="5"/>
          <c:tx>
            <c:strRef>
              <c:f>'Output (LFC)'!$AK$44</c:f>
              <c:strCache>
                <c:ptCount val="1"/>
                <c:pt idx="0">
                  <c:v>#N/A</c:v>
                </c:pt>
              </c:strCache>
            </c:strRef>
          </c:tx>
          <c:spPr>
            <a:ln w="28575">
              <a:noFill/>
            </a:ln>
          </c:spPr>
          <c:marker>
            <c:symbol val="diamond"/>
            <c:size val="8"/>
            <c:spPr>
              <a:solidFill>
                <a:schemeClr val="tx1"/>
              </a:solidFill>
              <a:ln w="15875">
                <a:solidFill>
                  <a:schemeClr val="tx1"/>
                </a:solidFill>
              </a:ln>
            </c:spPr>
          </c:marker>
          <c:dLbls>
            <c:dLbl>
              <c:idx val="0"/>
              <c:tx>
                <c:strRef>
                  <c:f>'Output (LFC)'!$AK$44</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{0C805441-C548-45CC-A97D-9B99FA8A4609}</c15:txfldGUID>
                      <c15:f>'Output (LFC)'!$AK$44</c15:f>
                      <c15:dlblFieldTableCache>
                        <c:ptCount val="1"/>
                        <c:pt idx="0">
                          <c:v>#N/A</c:v>
                        </c:pt>
                      </c15:dlblFieldTableCache>
                    </c15:dlblFTEntry>
                  </c15:dlblFieldTable>
                  <c15:showDataLabelsRange val="0"/>
                </c:ext>
                <c:ext xmlns:c16="http://schemas.microsoft.com/office/drawing/2014/chart" uri="{C3380CC4-5D6E-409C-BE32-E72D297353CC}">
                  <c16:uniqueId val="{0000000A-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(LFC)'!$AC$45</c:f>
              <c:numCache>
                <c:formatCode>_("$"* #,##0_);_("$"* \(#,##0\);_("$"* "-"??_);_(@_)</c:formatCode>
                <c:ptCount val="1"/>
                <c:pt idx="0">
                  <c:v>#N/A</c:v>
                </c:pt>
              </c:numCache>
            </c:numRef>
          </c:xVal>
          <c:yVal>
            <c:numRef>
              <c:f>'Output (LFC)'!$AI$45</c:f>
              <c:numCache>
                <c:formatCode>0.0%</c:formatCode>
                <c:ptCount val="1"/>
                <c:pt idx="0">
                  <c:v>#N/A</c:v>
                </c:pt>
              </c:numCache>
            </c:numRef>
          </c:yVal>
          <c:smooth val="0"/>
          <c:extLst>
            <c:ext xmlns:c16="http://schemas.microsoft.com/office/drawing/2014/chart" uri="{C3380CC4-5D6E-409C-BE32-E72D297353CC}">
              <c16:uniqueId val="{0000000B-6272-4083-AA15-E018103285B7}"/>
            </c:ext>
          </c:extLst>
        </c:ser>
        <c:ser>
          <c:idx val="6"/>
          <c:order val="6"/>
          <c:tx>
            <c:strRef>
              <c:f>'Output (LFC)'!$AK$46</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(LFC)'!$AK$46</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{1C632EBE-3A3A-401D-90FF-7B65359632F4}</c15:txfldGUID>
                      <c15:f>'Output (LFC)'!$AK$46</c15:f>
                      <c15:dlblFieldTableCache>
                        <c:ptCount val="1"/>
                        <c:pt idx="0">
                          <c:v>#N/A</c:v>
                        </c:pt>
                      </c15:dlblFieldTableCache>
                    </c15:dlblFTEntry>
                  </c15:dlblFieldTable>
                  <c15:showDataLabelsRange val="0"/>
                </c:ext>
                <c:ext xmlns:c16="http://schemas.microsoft.com/office/drawing/2014/chart" uri="{C3380CC4-5D6E-409C-BE32-E72D297353CC}">
                  <c16:uniqueId val="{0000000C-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(LFC)'!$AC$47</c:f>
              <c:numCache>
                <c:formatCode>_("$"* #,##0_);_("$"* \(#,##0\);_("$"* "-"??_);_(@_)</c:formatCode>
                <c:ptCount val="1"/>
                <c:pt idx="0">
                  <c:v>#N/A</c:v>
                </c:pt>
              </c:numCache>
            </c:numRef>
          </c:xVal>
          <c:yVal>
            <c:numRef>
              <c:f>'Output (LFC)'!$AI$47</c:f>
              <c:numCache>
                <c:formatCode>0.0%</c:formatCode>
                <c:ptCount val="1"/>
                <c:pt idx="0">
                  <c:v>#N/A</c:v>
                </c:pt>
              </c:numCache>
            </c:numRef>
          </c:yVal>
          <c:smooth val="0"/>
          <c:extLst>
            <c:ext xmlns:c16="http://schemas.microsoft.com/office/drawing/2014/chart" uri="{C3380CC4-5D6E-409C-BE32-E72D297353CC}">
              <c16:uniqueId val="{0000000D-6272-4083-AA15-E018103285B7}"/>
            </c:ext>
          </c:extLst>
        </c:ser>
        <c:ser>
          <c:idx val="7"/>
          <c:order val="7"/>
          <c:tx>
            <c:strRef>
              <c:f>'Output (LFC)'!$AK$48</c:f>
              <c:strCache>
                <c:ptCount val="1"/>
                <c:pt idx="0">
                  <c:v>#N/A</c:v>
                </c:pt>
              </c:strCache>
            </c:strRef>
          </c:tx>
          <c:spPr>
            <a:ln w="15875">
              <a:noFill/>
            </a:ln>
          </c:spPr>
          <c:marker>
            <c:symbol val="diamond"/>
            <c:size val="8"/>
            <c:spPr>
              <a:solidFill>
                <a:schemeClr val="tx1"/>
              </a:solidFill>
              <a:ln w="15875">
                <a:solidFill>
                  <a:schemeClr val="tx1"/>
                </a:solidFill>
              </a:ln>
            </c:spPr>
          </c:marker>
          <c:dLbls>
            <c:dLbl>
              <c:idx val="0"/>
              <c:tx>
                <c:strRef>
                  <c:f>'Output (LFC)'!$AK$48</c:f>
                  <c:strCache>
                    <c:ptCount val="1"/>
                    <c:pt idx="0">
                      <c:v>#N/A</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{961C7257-F601-466A-B1BF-EBCD2B174520}</c15:txfldGUID>
                      <c15:f>'Output (LFC)'!$AK$48</c15:f>
                      <c15:dlblFieldTableCache>
                        <c:ptCount val="1"/>
                        <c:pt idx="0">
                          <c:v>#N/A</c:v>
                        </c:pt>
                      </c15:dlblFieldTableCache>
                    </c15:dlblFTEntry>
                  </c15:dlblFieldTable>
                  <c15:showDataLabelsRange val="0"/>
                </c:ext>
                <c:ext xmlns:c16="http://schemas.microsoft.com/office/drawing/2014/chart" uri="{C3380CC4-5D6E-409C-BE32-E72D297353CC}">
                  <c16:uniqueId val="{0000000E-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(LFC)'!$AC$49</c:f>
              <c:numCache>
                <c:formatCode>_("$"* #,##0_);_("$"* \(#,##0\);_("$"* "-"??_);_(@_)</c:formatCode>
                <c:ptCount val="1"/>
                <c:pt idx="0">
                  <c:v>#N/A</c:v>
                </c:pt>
              </c:numCache>
            </c:numRef>
          </c:xVal>
          <c:yVal>
            <c:numRef>
              <c:f>'Output (LFC)'!$AI$49</c:f>
              <c:numCache>
                <c:formatCode>0.0%</c:formatCode>
                <c:ptCount val="1"/>
                <c:pt idx="0">
                  <c:v>#N/A</c:v>
                </c:pt>
              </c:numCache>
            </c:numRef>
          </c:yVal>
          <c:smooth val="0"/>
          <c:extLst>
            <c:ext xmlns:c16="http://schemas.microsoft.com/office/drawing/2014/chart" uri="{C3380CC4-5D6E-409C-BE32-E72D297353CC}">
              <c16:uniqueId val="{0000000F-6272-4083-AA15-E018103285B7}"/>
            </c:ext>
          </c:extLst>
        </c:ser>
        <c:ser>
          <c:idx val="8"/>
          <c:order val="8"/>
          <c:tx>
            <c:strRef>
              <c:f>'Output (LFC)'!$AK$50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(LFC)'!$AK$50</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{81C0688D-C866-40D9-A71C-964F09F4033F}</c15:txfldGUID>
                      <c15:f>'Output (LFC)'!$AK$50</c15:f>
                      <c15:dlblFieldTableCache>
                        <c:ptCount val="1"/>
                        <c:pt idx="0">
                          <c:v>#VALUE!</c:v>
                        </c:pt>
                      </c15:dlblFieldTableCache>
                    </c15:dlblFTEntry>
                  </c15:dlblFieldTable>
                  <c15:showDataLabelsRange val="0"/>
                </c:ext>
                <c:ext xmlns:c16="http://schemas.microsoft.com/office/drawing/2014/chart" uri="{C3380CC4-5D6E-409C-BE32-E72D297353CC}">
                  <c16:uniqueId val="{00000010-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(LFC)'!$AC$51</c:f>
              <c:numCache>
                <c:formatCode>_("$"* #,##0_);_("$"* \(#,##0\);_("$"* "-"??_);_(@_)</c:formatCode>
                <c:ptCount val="1"/>
                <c:pt idx="0">
                  <c:v>#N/A</c:v>
                </c:pt>
              </c:numCache>
            </c:numRef>
          </c:xVal>
          <c:yVal>
            <c:numRef>
              <c:f>'Output (LFC)'!$AI$51</c:f>
              <c:numCache>
                <c:formatCode>0.0%</c:formatCode>
                <c:ptCount val="1"/>
                <c:pt idx="0">
                  <c:v>#N/A</c:v>
                </c:pt>
              </c:numCache>
            </c:numRef>
          </c:yVal>
          <c:smooth val="0"/>
          <c:extLst>
            <c:ext xmlns:c16="http://schemas.microsoft.com/office/drawing/2014/chart" uri="{C3380CC4-5D6E-409C-BE32-E72D297353CC}">
              <c16:uniqueId val="{00000011-6272-4083-AA15-E018103285B7}"/>
            </c:ext>
          </c:extLst>
        </c:ser>
        <c:ser>
          <c:idx val="9"/>
          <c:order val="9"/>
          <c:tx>
            <c:strRef>
              <c:f>'Output (LFC)'!$AK$52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{FBE72699-73A6-4954-9B0C-FEA2D5FE293A}</c15:txfldGUID>
                      <c15:f>'Output (LFC)'!$AK$52</c15:f>
                      <c15:dlblFieldTableCache>
                        <c:ptCount val="1"/>
                        <c:pt idx="0">
                          <c:v>#VALUE!</c:v>
                        </c:pt>
                      </c15:dlblFieldTableCache>
                    </c15:dlblFTEntry>
                  </c15:dlblFieldTable>
                  <c15:showDataLabelsRange val="0"/>
                </c:ext>
                <c:ext xmlns:c16="http://schemas.microsoft.com/office/drawing/2014/chart" uri="{C3380CC4-5D6E-409C-BE32-E72D297353CC}">
                  <c16:uniqueId val="{00000012-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(LFC)'!$AC$53</c:f>
              <c:numCache>
                <c:formatCode>_("$"* #,##0_);_("$"* \(#,##0\);_("$"* "-"??_);_(@_)</c:formatCode>
                <c:ptCount val="1"/>
                <c:pt idx="0">
                  <c:v>#N/A</c:v>
                </c:pt>
              </c:numCache>
            </c:numRef>
          </c:xVal>
          <c:yVal>
            <c:numRef>
              <c:f>'Output (LFC)'!$AI$53</c:f>
              <c:numCache>
                <c:formatCode>0.0%</c:formatCode>
                <c:ptCount val="1"/>
                <c:pt idx="0">
                  <c:v>#N/A</c:v>
                </c:pt>
              </c:numCache>
            </c:numRef>
          </c:yVal>
          <c:smooth val="0"/>
          <c:extLst>
            <c:ext xmlns:c16="http://schemas.microsoft.com/office/drawing/2014/chart" uri="{C3380CC4-5D6E-409C-BE32-E72D297353CC}">
              <c16:uniqueId val="{00000013-6272-4083-AA15-E018103285B7}"/>
            </c:ext>
          </c:extLst>
        </c:ser>
        <c:ser>
          <c:idx val="10"/>
          <c:order val="10"/>
          <c:tx>
            <c:strRef>
              <c:f>'Output (LFC)'!$AK$54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{E07699DE-9C9B-4C90-BC8F-3162968C92DB}</c15:txfldGUID>
                      <c15:f>'Output (LFC)'!$AK$54</c15:f>
                      <c15:dlblFieldTableCache>
                        <c:ptCount val="1"/>
                        <c:pt idx="0">
                          <c:v>#VALUE!</c:v>
                        </c:pt>
                      </c15:dlblFieldTableCache>
                    </c15:dlblFTEntry>
                  </c15:dlblFieldTable>
                  <c15:showDataLabelsRange val="0"/>
                </c:ext>
                <c:ext xmlns:c16="http://schemas.microsoft.com/office/drawing/2014/chart" uri="{C3380CC4-5D6E-409C-BE32-E72D297353CC}">
                  <c16:uniqueId val="{00000014-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(LFC)'!$AC$55</c:f>
              <c:numCache>
                <c:formatCode>_("$"* #,##0_);_("$"* \(#,##0\);_("$"* "-"??_);_(@_)</c:formatCode>
                <c:ptCount val="1"/>
                <c:pt idx="0">
                  <c:v>#N/A</c:v>
                </c:pt>
              </c:numCache>
            </c:numRef>
          </c:xVal>
          <c:yVal>
            <c:numRef>
              <c:f>'Output (LFC)'!$AI$55</c:f>
              <c:numCache>
                <c:formatCode>0.0%</c:formatCode>
                <c:ptCount val="1"/>
                <c:pt idx="0">
                  <c:v>#N/A</c:v>
                </c:pt>
              </c:numCache>
            </c:numRef>
          </c:yVal>
          <c:smooth val="0"/>
          <c:extLst>
            <c:ext xmlns:c16="http://schemas.microsoft.com/office/drawing/2014/chart" uri="{C3380CC4-5D6E-409C-BE32-E72D297353CC}">
              <c16:uniqueId val="{00000015-6272-4083-AA15-E018103285B7}"/>
            </c:ext>
          </c:extLst>
        </c:ser>
        <c:ser>
          <c:idx val="11"/>
          <c:order val="11"/>
          <c:tx>
            <c:strRef>
              <c:f>'Output (LFC)'!$AK$56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{202A21A7-35D3-40D0-AE74-1555E40A421C}</c15:txfldGUID>
                      <c15:f>'Output (LFC)'!$AK$56</c15:f>
                      <c15:dlblFieldTableCache>
                        <c:ptCount val="1"/>
                        <c:pt idx="0">
                          <c:v>#VALUE!</c:v>
                        </c:pt>
                      </c15:dlblFieldTableCache>
                    </c15:dlblFTEntry>
                  </c15:dlblFieldTable>
                  <c15:showDataLabelsRange val="0"/>
                </c:ext>
                <c:ext xmlns:c16="http://schemas.microsoft.com/office/drawing/2014/chart" uri="{C3380CC4-5D6E-409C-BE32-E72D297353CC}">
                  <c16:uniqueId val="{00000016-6272-4083-AA15-E018103285B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(LFC)'!$AC$57</c:f>
              <c:numCache>
                <c:formatCode>_("$"* #,##0_);_("$"* \(#,##0\);_("$"* "-"??_);_(@_)</c:formatCode>
                <c:ptCount val="1"/>
                <c:pt idx="0">
                  <c:v>#N/A</c:v>
                </c:pt>
              </c:numCache>
            </c:numRef>
          </c:xVal>
          <c:yVal>
            <c:numRef>
              <c:f>'Output (LFC)'!$AI$57</c:f>
              <c:numCache>
                <c:formatCode>0.0%</c:formatCode>
                <c:ptCount val="1"/>
                <c:pt idx="0">
                  <c:v>#N/A</c:v>
                </c:pt>
              </c:numCache>
            </c:numRef>
          </c:yVal>
          <c:smooth val="0"/>
          <c:extLst>
            <c:ext xmlns:c16="http://schemas.microsoft.com/office/drawing/2014/chart" uri="{C3380CC4-5D6E-409C-BE32-E72D297353CC}">
              <c16:uniqueId val="{00000017-6272-4083-AA15-E018103285B7}"/>
            </c:ext>
          </c:extLst>
        </c:ser>
        <c:ser>
          <c:idx val="12"/>
          <c:order val="12"/>
          <c:tx>
            <c:strRef>
              <c:f>'Output (LFC)'!$AK$58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{2531B123-F8D0-4D97-BC7F-BA2CF75E0CC5}</c15:txfldGUID>
                      <c15:f>'Output (LFC)'!$AK$58</c15:f>
                      <c15:dlblFieldTableCache>
                        <c:ptCount val="1"/>
                        <c:pt idx="0">
                          <c:v>#VALUE!</c:v>
                        </c:pt>
                      </c15:dlblFieldTableCache>
                    </c15:dlblFTEntry>
                  </c15:dlblFieldTable>
                  <c15:showDataLabelsRange val="0"/>
                </c:ext>
                <c:ext xmlns:c16="http://schemas.microsoft.com/office/drawing/2014/chart" uri="{C3380CC4-5D6E-409C-BE32-E72D297353CC}">
                  <c16:uniqueId val="{00000018-6272-4083-AA15-E018103285B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(LFC)'!$AC$59</c:f>
              <c:numCache>
                <c:formatCode>_("$"* #,##0_);_("$"* \(#,##0\);_("$"* "-"??_);_(@_)</c:formatCode>
                <c:ptCount val="1"/>
                <c:pt idx="0">
                  <c:v>#N/A</c:v>
                </c:pt>
              </c:numCache>
            </c:numRef>
          </c:xVal>
          <c:yVal>
            <c:numRef>
              <c:f>'Output (LFC)'!$AI$59</c:f>
              <c:numCache>
                <c:formatCode>0.0%</c:formatCode>
                <c:ptCount val="1"/>
                <c:pt idx="0">
                  <c:v>#N/A</c:v>
                </c:pt>
              </c:numCache>
            </c:numRef>
          </c:yVal>
          <c:smooth val="0"/>
          <c:extLst>
            <c:ext xmlns:c16="http://schemas.microsoft.com/office/drawing/2014/chart" uri="{C3380CC4-5D6E-409C-BE32-E72D297353CC}">
              <c16:uniqueId val="{00000019-6272-4083-AA15-E018103285B7}"/>
            </c:ext>
          </c:extLst>
        </c:ser>
        <c:ser>
          <c:idx val="13"/>
          <c:order val="13"/>
          <c:tx>
            <c:strRef>
              <c:f>'Output (LFC)'!$AK$60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{8B49B1AB-34F0-4C5B-BC87-21AD82F8CFBE}</c15:txfldGUID>
                      <c15:f>'Output (LFC)'!$AK$60</c15:f>
                      <c15:dlblFieldTableCache>
                        <c:ptCount val="1"/>
                        <c:pt idx="0">
                          <c:v>#VALUE!</c:v>
                        </c:pt>
                      </c15:dlblFieldTableCache>
                    </c15:dlblFTEntry>
                  </c15:dlblFieldTable>
                  <c15:showDataLabelsRange val="0"/>
                </c:ext>
                <c:ext xmlns:c16="http://schemas.microsoft.com/office/drawing/2014/chart" uri="{C3380CC4-5D6E-409C-BE32-E72D297353CC}">
                  <c16:uniqueId val="{0000001A-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(LFC)'!$AC$61</c:f>
              <c:numCache>
                <c:formatCode>_("$"* #,##0_);_("$"* \(#,##0\);_("$"* "-"??_);_(@_)</c:formatCode>
                <c:ptCount val="1"/>
                <c:pt idx="0">
                  <c:v>#N/A</c:v>
                </c:pt>
              </c:numCache>
            </c:numRef>
          </c:xVal>
          <c:yVal>
            <c:numRef>
              <c:f>'Output (LFC)'!$AI$61</c:f>
              <c:numCache>
                <c:formatCode>0.0%</c:formatCode>
                <c:ptCount val="1"/>
                <c:pt idx="0">
                  <c:v>#N/A</c:v>
                </c:pt>
              </c:numCache>
            </c:numRef>
          </c:yVal>
          <c:smooth val="0"/>
          <c:extLst>
            <c:ext xmlns:c16="http://schemas.microsoft.com/office/drawing/2014/chart" uri="{C3380CC4-5D6E-409C-BE32-E72D297353CC}">
              <c16:uniqueId val="{0000001B-6272-4083-AA15-E018103285B7}"/>
            </c:ext>
          </c:extLst>
        </c:ser>
        <c:ser>
          <c:idx val="14"/>
          <c:order val="14"/>
          <c:tx>
            <c:strRef>
              <c:f>'Output (LFC)'!$AK$62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'Output (LFC)'!$AK$62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{8ED0BF8F-5D07-4892-90CB-1499FD45EB2C}</c15:txfldGUID>
                      <c15:f>'Output (LFC)'!$AK$62</c15:f>
                      <c15:dlblFieldTableCache>
                        <c:ptCount val="1"/>
                        <c:pt idx="0">
                          <c:v>#VALUE!</c:v>
                        </c:pt>
                      </c15:dlblFieldTableCache>
                    </c15:dlblFTEntry>
                  </c15:dlblFieldTable>
                  <c15:showDataLabelsRange val="0"/>
                </c:ext>
                <c:ext xmlns:c16="http://schemas.microsoft.com/office/drawing/2014/chart" uri="{C3380CC4-5D6E-409C-BE32-E72D297353CC}">
                  <c16:uniqueId val="{0000001C-6272-4083-AA15-E018103285B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(LFC)'!$AC$63</c:f>
              <c:numCache>
                <c:formatCode>_("$"* #,##0_);_("$"* \(#,##0\);_("$"* "-"??_);_(@_)</c:formatCode>
                <c:ptCount val="1"/>
                <c:pt idx="0">
                  <c:v>#N/A</c:v>
                </c:pt>
              </c:numCache>
            </c:numRef>
          </c:xVal>
          <c:yVal>
            <c:numRef>
              <c:f>'Output (LFC)'!$AI$63</c:f>
              <c:numCache>
                <c:formatCode>0.0%</c:formatCode>
                <c:ptCount val="1"/>
                <c:pt idx="0">
                  <c:v>#N/A</c:v>
                </c:pt>
              </c:numCache>
            </c:numRef>
          </c:yVal>
          <c:smooth val="0"/>
          <c:extLst>
            <c:ext xmlns:c16="http://schemas.microsoft.com/office/drawing/2014/chart" uri="{C3380CC4-5D6E-409C-BE32-E72D297353CC}">
              <c16:uniqueId val="{0000001D-6272-4083-AA15-E018103285B7}"/>
            </c:ext>
          </c:extLst>
        </c:ser>
        <c:ser>
          <c:idx val="15"/>
          <c:order val="15"/>
          <c:tx>
            <c:strRef>
              <c:f>'Output (LFC)'!$AK$64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{EC007A46-DD4F-4E1B-990F-BD3C363300CA}</c15:txfldGUID>
                      <c15:f>'Output (LFC)'!$AK$64</c15:f>
                      <c15:dlblFieldTableCache>
                        <c:ptCount val="1"/>
                        <c:pt idx="0">
                          <c:v>#VALUE!</c:v>
                        </c:pt>
                      </c15:dlblFieldTableCache>
                    </c15:dlblFTEntry>
                  </c15:dlblFieldTable>
                  <c15:showDataLabelsRange val="0"/>
                </c:ext>
                <c:ext xmlns:c16="http://schemas.microsoft.com/office/drawing/2014/chart" uri="{C3380CC4-5D6E-409C-BE32-E72D297353CC}">
                  <c16:uniqueId val="{0000001E-6272-4083-AA15-E018103285B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(LFC)'!$AC$65</c:f>
              <c:numCache>
                <c:formatCode>_("$"* #,##0_);_("$"* \(#,##0\);_("$"* "-"??_);_(@_)</c:formatCode>
                <c:ptCount val="1"/>
                <c:pt idx="0">
                  <c:v>#N/A</c:v>
                </c:pt>
              </c:numCache>
            </c:numRef>
          </c:xVal>
          <c:yVal>
            <c:numRef>
              <c:f>'Output (LFC)'!$AI$65</c:f>
              <c:numCache>
                <c:formatCode>0.0%</c:formatCode>
                <c:ptCount val="1"/>
                <c:pt idx="0">
                  <c:v>#N/A</c:v>
                </c:pt>
              </c:numCache>
            </c:numRef>
          </c:yVal>
          <c:smooth val="0"/>
          <c:extLst>
            <c:ext xmlns:c16="http://schemas.microsoft.com/office/drawing/2014/chart" uri="{C3380CC4-5D6E-409C-BE32-E72D297353CC}">
              <c16:uniqueId val="{0000001F-6272-4083-AA15-E018103285B7}"/>
            </c:ext>
          </c:extLst>
        </c:ser>
        <c:ser>
          <c:idx val="17"/>
          <c:order val="16"/>
          <c:tx>
            <c:strRef>
              <c:f>'Output (LFC)'!$AK$66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(LFC)'!$AC$67</c:f>
              <c:numCache>
                <c:formatCode>_("$"* #,##0_);_("$"* \(#,##0\);_("$"* "-"??_);_(@_)</c:formatCode>
                <c:ptCount val="1"/>
                <c:pt idx="0">
                  <c:v>#N/A</c:v>
                </c:pt>
              </c:numCache>
            </c:numRef>
          </c:xVal>
          <c:yVal>
            <c:numRef>
              <c:f>'Output (LFC)'!$AI$67</c:f>
              <c:numCache>
                <c:formatCode>0.0%</c:formatCode>
                <c:ptCount val="1"/>
                <c:pt idx="0">
                  <c:v>#N/A</c:v>
                </c:pt>
              </c:numCache>
            </c:numRef>
          </c:yVal>
          <c:smooth val="0"/>
          <c:extLst>
            <c:ext xmlns:c16="http://schemas.microsoft.com/office/drawing/2014/chart" uri="{C3380CC4-5D6E-409C-BE32-E72D297353CC}">
              <c16:uniqueId val="{00000020-6272-4083-AA15-E018103285B7}"/>
            </c:ext>
          </c:extLst>
        </c:ser>
        <c:ser>
          <c:idx val="18"/>
          <c:order val="17"/>
          <c:tx>
            <c:strRef>
              <c:f>'Output (LFC)'!$AK$68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'Output (LFC)'!$AC$69</c:f>
              <c:numCache>
                <c:formatCode>_("$"* #,##0_);_("$"* \(#,##0\);_("$"* "-"??_);_(@_)</c:formatCode>
                <c:ptCount val="1"/>
                <c:pt idx="0">
                  <c:v>#N/A</c:v>
                </c:pt>
              </c:numCache>
            </c:numRef>
          </c:xVal>
          <c:yVal>
            <c:numRef>
              <c:f>'Output (LFC)'!$AI$69</c:f>
              <c:numCache>
                <c:formatCode>0.0%</c:formatCode>
                <c:ptCount val="1"/>
                <c:pt idx="0">
                  <c:v>#N/A</c:v>
                </c:pt>
              </c:numCache>
            </c:numRef>
          </c:yVal>
          <c:smooth val="0"/>
          <c:extLst>
            <c:ext xmlns:c16="http://schemas.microsoft.com/office/drawing/2014/chart" uri="{C3380CC4-5D6E-409C-BE32-E72D297353CC}">
              <c16:uniqueId val="{00000021-6272-4083-AA15-E018103285B7}"/>
            </c:ext>
          </c:extLst>
        </c:ser>
        <c:ser>
          <c:idx val="16"/>
          <c:order val="18"/>
          <c:tx>
            <c:strRef>
              <c:f>'Output (LFC)'!$AK$70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'Output (LFC)'!$AK$70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{E36464D2-875B-4B78-B26C-C4ED921AE46C}</c15:txfldGUID>
                      <c15:f>'Output (LFC)'!$AK$70</c15:f>
                      <c15:dlblFieldTableCache>
                        <c:ptCount val="1"/>
                        <c:pt idx="0">
                          <c:v>#VALUE!</c:v>
                        </c:pt>
                      </c15:dlblFieldTableCache>
                    </c15:dlblFTEntry>
                  </c15:dlblFieldTable>
                  <c15:showDataLabelsRange val="0"/>
                </c:ext>
                <c:ext xmlns:c16="http://schemas.microsoft.com/office/drawing/2014/chart" uri="{C3380CC4-5D6E-409C-BE32-E72D297353CC}">
                  <c16:uniqueId val="{00000022-6272-4083-AA15-E018103285B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'Output (LFC)'!$AC$71</c:f>
              <c:numCache>
                <c:formatCode>_("$"* #,##0_);_("$"* \(#,##0\);_("$"* "-"??_);_(@_)</c:formatCode>
                <c:ptCount val="1"/>
                <c:pt idx="0">
                  <c:v>#N/A</c:v>
                </c:pt>
              </c:numCache>
            </c:numRef>
          </c:xVal>
          <c:yVal>
            <c:numRef>
              <c:f>'Output (LFC)'!$AI$71</c:f>
              <c:numCache>
                <c:formatCode>0.0%</c:formatCode>
                <c:ptCount val="1"/>
                <c:pt idx="0">
                  <c:v>#N/A</c:v>
                </c:pt>
              </c:numCache>
            </c:numRef>
          </c:yVal>
          <c:smooth val="0"/>
          <c:extLst>
            <c:ext xmlns:c16="http://schemas.microsoft.com/office/drawing/2014/chart" uri="{C3380CC4-5D6E-409C-BE32-E72D297353CC}">
              <c16:uniqueId val="{00000023-6272-4083-AA15-E018103285B7}"/>
            </c:ext>
          </c:extLst>
        </c:ser>
        <c:ser>
          <c:idx val="19"/>
          <c:order val="19"/>
          <c:tx>
            <c:strRef>
              <c:f>'Output (LFC)'!$AK$33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0102992062133747E-3"/>
                  <c:y val="6.611277694486079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272-4083-AA15-E018103285B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'Output (LFC)'!$AI$33</c:f>
              <c:numCache>
                <c:formatCode>0.0%</c:formatCode>
                <c:ptCount val="1"/>
                <c:pt idx="0">
                  <c:v>0</c:v>
                </c:pt>
              </c:numCache>
            </c:numRef>
          </c:yVal>
          <c:smooth val="0"/>
          <c:extLst>
            <c:ext xmlns:c16="http://schemas.microsoft.com/office/drawing/2014/chart" uri="{C3380CC4-5D6E-409C-BE32-E72D297353CC}">
              <c16:uniqueId val="{00000025-6272-4083-AA15-E018103285B7}"/>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'L2'!$AK$34</c:f>
              <c:strCache>
                <c:ptCount val="1"/>
                <c:pt idx="0">
                  <c:v>A: +750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'L2'!$AK$34</c:f>
                  <c:strCache>
                    <c:ptCount val="1"/>
                    <c:pt idx="0">
                      <c:v>A: +750 CC, -360 Lease</c:v>
                    </c:pt>
                  </c:strCache>
                </c:strRef>
              </c:tx>
              <c:dLblPos val="t"/>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{DC883E8B-97FA-47A0-9A55-5D6413C80868}</c15:txfldGUID>
                      <c15:f>'L2'!$AK$34</c15:f>
                      <c15:dlblFieldTableCache>
                        <c:ptCount val="1"/>
                        <c:pt idx="0">
                          <c:v>A: +750 CC, -360 Lease</c:v>
                        </c:pt>
                      </c15:dlblFieldTableCache>
                    </c15:dlblFTEntry>
                  </c15:dlblFieldTable>
                  <c15:showDataLabelsRange val="0"/>
                </c:ext>
                <c:ext xmlns:c16="http://schemas.microsoft.com/office/drawing/2014/chart" uri="{C3380CC4-5D6E-409C-BE32-E72D297353CC}">
                  <c16:uniqueId val="{00000000-60B6-425A-B1FF-A5B1D8CFC8DF}"/>
                </c:ext>
              </c:extLst>
            </c:dLbl>
            <c:spPr>
              <a:solidFill>
                <a:sysClr val="window" lastClr="FFFFFF"/>
              </a:solidFill>
            </c:spPr>
            <c:txPr>
              <a:bodyPr vertOverflow="overflow" horzOverflow="overflow">
                <a:spAutoFit/>
              </a:bodyPr>
              <a:lstStyle/>
              <a:p>
                <a:pPr>
                  <a:defRPr sz="1400" b="0">
                    <a:latin typeface="+mn-lt"/>
                  </a:defRPr>
                </a:pPr>
                <a:endParaRPr lang="en-US"/>
              </a:p>
            </c:txPr>
            <c:dLblPos val="t"/>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'L2'!$AC$35</c:f>
              <c:numCache>
                <c:formatCode>_("$"* #,##0_);_("$"* \(#,##0\);_("$"* "-"??_);_(@_)</c:formatCode>
                <c:ptCount val="1"/>
                <c:pt idx="0">
                  <c:v>125.24287026346929</c:v>
                </c:pt>
              </c:numCache>
              <c:extLst xmlns:c15="http://schemas.microsoft.com/office/drawing/2012/chart"/>
            </c:numRef>
          </c:xVal>
          <c:yVal>
            <c:numRef>
              <c:f>'L2'!$AI$35</c:f>
              <c:numCache>
                <c:formatCode>0.0%</c:formatCode>
                <c:ptCount val="1"/>
                <c:pt idx="0">
                  <c:v>2.7928836914485909E-2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60B6-425A-B1FF-A5B1D8CFC8DF}"/>
            </c:ext>
          </c:extLst>
        </c:ser>
        <c:ser>
          <c:idx val="1"/>
          <c:order val="1"/>
          <c:tx>
            <c:strRef>
              <c:f>'L2'!$AK$36</c:f>
              <c:strCache>
                <c:ptCount val="1"/>
                <c:pt idx="0">
                  <c:v>B: +500 CC, -360 Lease</c:v>
                </c:pt>
              </c:strCache>
            </c:strRef>
          </c:tx>
          <c:spPr>
            <a:ln w="31750">
              <a:noFill/>
            </a:ln>
          </c:spPr>
          <c:marker>
            <c:symbol val="diamond"/>
            <c:size val="8"/>
            <c:spPr>
              <a:solidFill>
                <a:schemeClr val="tx1"/>
              </a:solidFill>
              <a:ln w="15875">
                <a:solidFill>
                  <a:schemeClr val="tx1"/>
                </a:solidFill>
              </a:ln>
            </c:spPr>
          </c:marker>
          <c:dLbls>
            <c:dLbl>
              <c:idx val="0"/>
              <c:tx>
                <c:strRef>
                  <c:f>'L2'!$AK$36</c:f>
                  <c:strCache>
                    <c:ptCount val="1"/>
                    <c:pt idx="0">
                      <c:v>B: +500 CC,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{09EB846D-885D-4DDA-9BE4-26E364955F21}</c15:txfldGUID>
                      <c15:f>'L2'!$AK$36</c15:f>
                      <c15:dlblFieldTableCache>
                        <c:ptCount val="1"/>
                        <c:pt idx="0">
                          <c:v>B: +500 CC, -360 Lease</c:v>
                        </c:pt>
                      </c15:dlblFieldTableCache>
                    </c15:dlblFTEntry>
                  </c15:dlblFieldTable>
                  <c15:showDataLabelsRange val="0"/>
                </c:ext>
                <c:ext xmlns:c16="http://schemas.microsoft.com/office/drawing/2014/chart" uri="{C3380CC4-5D6E-409C-BE32-E72D297353CC}">
                  <c16:uniqueId val="{00000002-60B6-425A-B1FF-A5B1D8CFC8DF}"/>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'L2'!$AC$37</c:f>
              <c:numCache>
                <c:formatCode>_("$"* #,##0_);_("$"* \(#,##0\);_("$"* "-"??_);_(@_)</c:formatCode>
                <c:ptCount val="1"/>
                <c:pt idx="0">
                  <c:v>30.254359448789273</c:v>
                </c:pt>
              </c:numCache>
            </c:numRef>
          </c:xVal>
          <c:yVal>
            <c:numRef>
              <c:f>'L2'!$AI$37</c:f>
              <c:numCache>
                <c:formatCode>0.0%</c:formatCode>
                <c:ptCount val="1"/>
                <c:pt idx="0">
                  <c:v>1.2900219696254453E-2</c:v>
                </c:pt>
              </c:numCache>
            </c:numRef>
          </c:yVal>
          <c:smooth val="0"/>
          <c:extLst>
            <c:ext xmlns:c16="http://schemas.microsoft.com/office/drawing/2014/chart" uri="{C3380CC4-5D6E-409C-BE32-E72D297353CC}">
              <c16:uniqueId val="{00000003-60B6-425A-B1FF-A5B1D8CFC8DF}"/>
            </c:ext>
          </c:extLst>
        </c:ser>
        <c:ser>
          <c:idx val="2"/>
          <c:order val="2"/>
          <c:tx>
            <c:strRef>
              <c:f>'L2'!$AK$38</c:f>
              <c:strCache>
                <c:ptCount val="1"/>
                <c:pt idx="0">
                  <c:v>C: +1000 CC, -360 Lease</c:v>
                </c:pt>
              </c:strCache>
            </c:strRef>
          </c:tx>
          <c:spPr>
            <a:ln w="28575">
              <a:noFill/>
            </a:ln>
          </c:spPr>
          <c:marker>
            <c:symbol val="diamond"/>
            <c:size val="8"/>
            <c:spPr>
              <a:solidFill>
                <a:schemeClr val="tx1"/>
              </a:solidFill>
              <a:ln w="15875">
                <a:solidFill>
                  <a:schemeClr val="tx1"/>
                </a:solidFill>
              </a:ln>
            </c:spPr>
          </c:marker>
          <c:dLbls>
            <c:dLbl>
              <c:idx val="0"/>
              <c:tx>
                <c:strRef>
                  <c:f>'L2'!$AK$38</c:f>
                  <c:strCache>
                    <c:ptCount val="1"/>
                    <c:pt idx="0">
                      <c:v>C: +1000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{F5C94C9F-3AD0-4FEC-A466-27E0C44DA19F}</c15:txfldGUID>
                      <c15:f>'L2'!$AK$38</c15:f>
                      <c15:dlblFieldTableCache>
                        <c:ptCount val="1"/>
                        <c:pt idx="0">
                          <c:v>C: +1000 CC, -360 Lease</c:v>
                        </c:pt>
                      </c15:dlblFieldTableCache>
                    </c15:dlblFTEntry>
                  </c15:dlblFieldTable>
                  <c15:showDataLabelsRange val="0"/>
                </c:ext>
                <c:ext xmlns:c16="http://schemas.microsoft.com/office/drawing/2014/chart" uri="{C3380CC4-5D6E-409C-BE32-E72D297353CC}">
                  <c16:uniqueId val="{00000004-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'L2'!$AC$39</c:f>
              <c:numCache>
                <c:formatCode>_("$"* #,##0_);_("$"* \(#,##0\);_("$"* "-"??_);_(@_)</c:formatCode>
                <c:ptCount val="1"/>
                <c:pt idx="0">
                  <c:v>232.845322029822</c:v>
                </c:pt>
              </c:numCache>
            </c:numRef>
          </c:xVal>
          <c:yVal>
            <c:numRef>
              <c:f>'L2'!$AI$39</c:f>
              <c:numCache>
                <c:formatCode>0.0%</c:formatCode>
                <c:ptCount val="1"/>
                <c:pt idx="0">
                  <c:v>4.429524744693078E-2</c:v>
                </c:pt>
              </c:numCache>
            </c:numRef>
          </c:yVal>
          <c:smooth val="0"/>
          <c:extLst>
            <c:ext xmlns:c16="http://schemas.microsoft.com/office/drawing/2014/chart" uri="{C3380CC4-5D6E-409C-BE32-E72D297353CC}">
              <c16:uniqueId val="{00000005-60B6-425A-B1FF-A5B1D8CFC8DF}"/>
            </c:ext>
          </c:extLst>
        </c:ser>
        <c:ser>
          <c:idx val="3"/>
          <c:order val="3"/>
          <c:tx>
            <c:strRef>
              <c:f>'L2'!$AK$40</c:f>
              <c:strCache>
                <c:ptCount val="1"/>
                <c:pt idx="0">
                  <c:v>D: +250 CC, -360 Lease</c:v>
                </c:pt>
              </c:strCache>
            </c:strRef>
          </c:tx>
          <c:spPr>
            <a:ln w="28575">
              <a:noFill/>
            </a:ln>
          </c:spPr>
          <c:marker>
            <c:symbol val="diamond"/>
            <c:size val="8"/>
            <c:spPr>
              <a:solidFill>
                <a:schemeClr val="tx1"/>
              </a:solidFill>
              <a:ln w="15875">
                <a:solidFill>
                  <a:schemeClr val="tx1"/>
                </a:solidFill>
              </a:ln>
            </c:spPr>
          </c:marker>
          <c:dLbls>
            <c:dLbl>
              <c:idx val="0"/>
              <c:tx>
                <c:strRef>
                  <c:f>'L2'!$AK$40</c:f>
                  <c:strCache>
                    <c:ptCount val="1"/>
                    <c:pt idx="0">
                      <c:v>D: +250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{BABDCA5E-EDF4-46EC-B349-D275E8253F50}</c15:txfldGUID>
                      <c15:f>'L2'!$AK$40</c15:f>
                      <c15:dlblFieldTableCache>
                        <c:ptCount val="1"/>
                        <c:pt idx="0">
                          <c:v>D: +250 CC, -360 Lease</c:v>
                        </c:pt>
                      </c15:dlblFieldTableCache>
                    </c15:dlblFTEntry>
                  </c15:dlblFieldTable>
                  <c15:showDataLabelsRange val="0"/>
                </c:ext>
                <c:ext xmlns:c16="http://schemas.microsoft.com/office/drawing/2014/chart" uri="{C3380CC4-5D6E-409C-BE32-E72D297353CC}">
                  <c16:uniqueId val="{00000006-60B6-425A-B1FF-A5B1D8CFC8DF}"/>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'L2'!$AC$41</c:f>
              <c:numCache>
                <c:formatCode>_("$"* #,##0_);_("$"* \(#,##0\);_("$"* "-"??_);_(@_)</c:formatCode>
                <c:ptCount val="1"/>
                <c:pt idx="0">
                  <c:v>-51.457688565103126</c:v>
                </c:pt>
              </c:numCache>
            </c:numRef>
          </c:xVal>
          <c:yVal>
            <c:numRef>
              <c:f>'L2'!$AI$41</c:f>
              <c:numCache>
                <c:formatCode>0.0%</c:formatCode>
                <c:ptCount val="1"/>
                <c:pt idx="0">
                  <c:v>-8.0243022905243026E-4</c:v>
                </c:pt>
              </c:numCache>
            </c:numRef>
          </c:yVal>
          <c:smooth val="0"/>
          <c:extLst>
            <c:ext xmlns:c16="http://schemas.microsoft.com/office/drawing/2014/chart" uri="{C3380CC4-5D6E-409C-BE32-E72D297353CC}">
              <c16:uniqueId val="{00000007-60B6-425A-B1FF-A5B1D8CFC8DF}"/>
            </c:ext>
          </c:extLst>
        </c:ser>
        <c:ser>
          <c:idx val="4"/>
          <c:order val="4"/>
          <c:tx>
            <c:strRef>
              <c:f>'L2'!$AK$42</c:f>
              <c:strCache>
                <c:ptCount val="1"/>
                <c:pt idx="0">
                  <c:v>E: +250 CC, +250 APR Cash</c:v>
                </c:pt>
              </c:strCache>
            </c:strRef>
          </c:tx>
          <c:spPr>
            <a:ln w="15875">
              <a:noFill/>
            </a:ln>
          </c:spPr>
          <c:marker>
            <c:symbol val="diamond"/>
            <c:size val="8"/>
            <c:spPr>
              <a:solidFill>
                <a:schemeClr val="tx1"/>
              </a:solidFill>
              <a:ln w="15875">
                <a:solidFill>
                  <a:schemeClr val="tx1"/>
                </a:solidFill>
              </a:ln>
            </c:spPr>
          </c:marker>
          <c:dLbls>
            <c:dLbl>
              <c:idx val="0"/>
              <c:tx>
                <c:strRef>
                  <c:f>'L2'!$AK$42</c:f>
                  <c:strCache>
                    <c:ptCount val="1"/>
                    <c:pt idx="0">
                      <c:v>E: +250 CC, +250 APR Cash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{D0B11B81-F503-47F4-96FA-4CFF21EAEB51}</c15:txfldGUID>
                      <c15:f>'L2'!$AK$42</c15:f>
                      <c15:dlblFieldTableCache>
                        <c:ptCount val="1"/>
                        <c:pt idx="0">
                          <c:v>E: +250 CC, +250 APR Cash</c:v>
                        </c:pt>
                      </c15:dlblFieldTableCache>
                    </c15:dlblFTEntry>
                  </c15:dlblFieldTable>
                  <c15:showDataLabelsRange val="0"/>
                </c:ext>
                <c:ext xmlns:c16="http://schemas.microsoft.com/office/drawing/2014/chart" uri="{C3380CC4-5D6E-409C-BE32-E72D297353CC}">
                  <c16:uniqueId val="{00000008-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'L2'!$AC$43</c:f>
              <c:numCache>
                <c:formatCode>_("$"* #,##0_);_("$"* \(#,##0\);_("$"* "-"??_);_(@_)</c:formatCode>
                <c:ptCount val="1"/>
                <c:pt idx="0">
                  <c:v>172.68848913196007</c:v>
                </c:pt>
              </c:numCache>
            </c:numRef>
          </c:xVal>
          <c:yVal>
            <c:numRef>
              <c:f>'L2'!$AI$43</c:f>
              <c:numCache>
                <c:formatCode>0.0%</c:formatCode>
                <c:ptCount val="1"/>
                <c:pt idx="0">
                  <c:v>2.9558410146434955E-2</c:v>
                </c:pt>
              </c:numCache>
            </c:numRef>
          </c:yVal>
          <c:smooth val="0"/>
          <c:extLst>
            <c:ext xmlns:c16="http://schemas.microsoft.com/office/drawing/2014/chart" uri="{C3380CC4-5D6E-409C-BE32-E72D297353CC}">
              <c16:uniqueId val="{00000009-60B6-425A-B1FF-A5B1D8CFC8DF}"/>
            </c:ext>
          </c:extLst>
        </c:ser>
        <c:ser>
          <c:idx val="5"/>
          <c:order val="5"/>
          <c:tx>
            <c:strRef>
              <c:f>'L2'!$AK$44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'L2'!$AK$44</c:f>
                  <c:strCache>
                    <c:ptCount val="1"/>
                    <c:pt idx="0">
                      <c:v>F: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{35DCCAC6-ACC6-4FA1-88F5-4EAED144C46D}</c15:txfldGUID>
                      <c15:f>'L2'!$AK$44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'L2'!$AC$45</c:f>
              <c:numCache>
                <c:formatCode>_("$"* #,##0_);_("$"* \(#,##0\);_("$"* "-"??_);_(@_)</c:formatCode>
                <c:ptCount val="1"/>
                <c:pt idx="0">
                  <c:v>-172.94999472893323</c:v>
                </c:pt>
              </c:numCache>
            </c:numRef>
          </c:xVal>
          <c:yVal>
            <c:numRef>
              <c:f>'L2'!$AI$45</c:f>
              <c:numCache>
                <c:formatCode>0.0%</c:formatCode>
                <c:ptCount val="1"/>
                <c:pt idx="0">
                  <c:v>-2.427872534434948E-2</c:v>
                </c:pt>
              </c:numCache>
            </c:numRef>
          </c:yVal>
          <c:smooth val="0"/>
          <c:extLst>
            <c:ext xmlns:c16="http://schemas.microsoft.com/office/drawing/2014/chart" uri="{C3380CC4-5D6E-409C-BE32-E72D297353CC}">
              <c16:uniqueId val="{0000000B-60B6-425A-B1FF-A5B1D8CFC8DF}"/>
            </c:ext>
          </c:extLst>
        </c:ser>
        <c:ser>
          <c:idx val="6"/>
          <c:order val="6"/>
          <c:tx>
            <c:strRef>
              <c:f>'L2'!$AK$46</c:f>
              <c:strCache>
                <c:ptCount val="1"/>
                <c:pt idx="0">
                  <c:v>G: -1000 Event RBC, -500 Event Lease</c:v>
                </c:pt>
              </c:strCache>
            </c:strRef>
          </c:tx>
          <c:spPr>
            <a:ln w="15875">
              <a:noFill/>
            </a:ln>
          </c:spPr>
          <c:marker>
            <c:symbol val="diamond"/>
            <c:size val="8"/>
            <c:spPr>
              <a:solidFill>
                <a:schemeClr val="tx1"/>
              </a:solidFill>
              <a:ln w="15875">
                <a:solidFill>
                  <a:schemeClr val="tx1"/>
                </a:solidFill>
              </a:ln>
            </c:spPr>
          </c:marker>
          <c:dLbls>
            <c:dLbl>
              <c:idx val="0"/>
              <c:tx>
                <c:strRef>
                  <c:f>'L2'!$AK$46</c:f>
                  <c:strCache>
                    <c:ptCount val="1"/>
                    <c:pt idx="0">
                      <c:v>G: -1000 Event RBC, -500 Event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{3E667DE7-13E7-43A7-9256-0A6DCB931AA3}</c15:txfldGUID>
                      <c15:f>'L2'!$AK$46</c15:f>
                      <c15:dlblFieldTableCache>
                        <c:ptCount val="1"/>
                        <c:pt idx="0">
                          <c:v>G: -1000 Event RBC, -500 Event Lease</c:v>
                        </c:pt>
                      </c15:dlblFieldTableCache>
                    </c15:dlblFTEntry>
                  </c15:dlblFieldTable>
                  <c15:showDataLabelsRange val="0"/>
                </c:ext>
                <c:ext xmlns:c16="http://schemas.microsoft.com/office/drawing/2014/chart" uri="{C3380CC4-5D6E-409C-BE32-E72D297353CC}">
                  <c16:uniqueId val="{0000000C-60B6-425A-B1FF-A5B1D8CFC8DF}"/>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'L2'!$AC$47</c:f>
              <c:numCache>
                <c:formatCode>_("$"* #,##0_);_("$"* \(#,##0\);_("$"* "-"??_);_(@_)</c:formatCode>
                <c:ptCount val="1"/>
                <c:pt idx="0">
                  <c:v>-229.4269206990175</c:v>
                </c:pt>
              </c:numCache>
            </c:numRef>
          </c:xVal>
          <c:yVal>
            <c:numRef>
              <c:f>'L2'!$AI$47</c:f>
              <c:numCache>
                <c:formatCode>0.0%</c:formatCode>
                <c:ptCount val="1"/>
                <c:pt idx="0">
                  <c:v>-3.5894690769274609E-2</c:v>
                </c:pt>
              </c:numCache>
            </c:numRef>
          </c:yVal>
          <c:smooth val="0"/>
          <c:extLst>
            <c:ext xmlns:c16="http://schemas.microsoft.com/office/drawing/2014/chart" uri="{C3380CC4-5D6E-409C-BE32-E72D297353CC}">
              <c16:uniqueId val="{0000000D-60B6-425A-B1FF-A5B1D8CFC8DF}"/>
            </c:ext>
          </c:extLst>
        </c:ser>
        <c:ser>
          <c:idx val="7"/>
          <c:order val="7"/>
          <c:tx>
            <c:strRef>
              <c:f>'L2'!$AK$48</c:f>
              <c:strCache>
                <c:ptCount val="1"/>
                <c:pt idx="0">
                  <c:v>H: -500 CC, -360 Lease</c:v>
                </c:pt>
              </c:strCache>
            </c:strRef>
          </c:tx>
          <c:spPr>
            <a:ln w="15875">
              <a:noFill/>
            </a:ln>
          </c:spPr>
          <c:marker>
            <c:symbol val="diamond"/>
            <c:size val="8"/>
            <c:spPr>
              <a:solidFill>
                <a:schemeClr val="tx1"/>
              </a:solidFill>
              <a:ln w="15875">
                <a:solidFill>
                  <a:schemeClr val="tx1"/>
                </a:solidFill>
              </a:ln>
            </c:spPr>
          </c:marker>
          <c:dLbls>
            <c:dLbl>
              <c:idx val="0"/>
              <c:tx>
                <c:strRef>
                  <c:f>'L2'!$AK$48</c:f>
                  <c:strCache>
                    <c:ptCount val="1"/>
                    <c:pt idx="0">
                      <c:v>H: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{CA4C765C-2AF1-44DF-8A78-7AE481FA211B}</c15:txfldGUID>
                      <c15:f>'L2'!$AK$48</c15:f>
                      <c15:dlblFieldTableCache>
                        <c:ptCount val="1"/>
                        <c:pt idx="0">
                          <c:v>H: -500 CC, -360 Lease</c:v>
                        </c:pt>
                      </c15:dlblFieldTableCache>
                    </c15:dlblFTEntry>
                  </c15:dlblFieldTable>
                  <c15:showDataLabelsRange val="0"/>
                </c:ext>
                <c:ext xmlns:c16="http://schemas.microsoft.com/office/drawing/2014/chart" uri="{C3380CC4-5D6E-409C-BE32-E72D297353CC}">
                  <c16:uniqueId val="{0000000E-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'L2'!$AC$49</c:f>
              <c:numCache>
                <c:formatCode>_("$"* #,##0_);_("$"* \(#,##0\);_("$"* "-"??_);_(@_)</c:formatCode>
                <c:ptCount val="1"/>
                <c:pt idx="0">
                  <c:v>-212.06424416435721</c:v>
                </c:pt>
              </c:numCache>
            </c:numRef>
          </c:xVal>
          <c:yVal>
            <c:numRef>
              <c:f>'L2'!$AI$49</c:f>
              <c:numCache>
                <c:formatCode>0.0%</c:formatCode>
                <c:ptCount val="1"/>
                <c:pt idx="0">
                  <c:v>-3.4079200237072324E-2</c:v>
                </c:pt>
              </c:numCache>
            </c:numRef>
          </c:yVal>
          <c:smooth val="0"/>
          <c:extLst>
            <c:ext xmlns:c16="http://schemas.microsoft.com/office/drawing/2014/chart" uri="{C3380CC4-5D6E-409C-BE32-E72D297353CC}">
              <c16:uniqueId val="{0000000F-60B6-425A-B1FF-A5B1D8CFC8DF}"/>
            </c:ext>
          </c:extLst>
        </c:ser>
        <c:ser>
          <c:idx val="8"/>
          <c:order val="8"/>
          <c:tx>
            <c:strRef>
              <c:f>'L2'!$AK$50</c:f>
              <c:strCache>
                <c:ptCount val="1"/>
                <c:pt idx="0">
                  <c:v>I: +750 CC, 0/0/0.9/3.9, -360 Lease</c:v>
                </c:pt>
              </c:strCache>
            </c:strRef>
          </c:tx>
          <c:spPr>
            <a:ln w="28575">
              <a:noFill/>
            </a:ln>
          </c:spPr>
          <c:marker>
            <c:symbol val="diamond"/>
            <c:size val="8"/>
            <c:spPr>
              <a:solidFill>
                <a:schemeClr val="tx1"/>
              </a:solidFill>
              <a:ln w="15875">
                <a:solidFill>
                  <a:schemeClr val="tx1"/>
                </a:solidFill>
              </a:ln>
            </c:spPr>
          </c:marker>
          <c:dLbls>
            <c:dLbl>
              <c:idx val="0"/>
              <c:tx>
                <c:strRef>
                  <c:f>'L2'!$AK$50</c:f>
                  <c:strCache>
                    <c:ptCount val="1"/>
                    <c:pt idx="0">
                      <c:v>I: +750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{8E5FCE56-4625-4C27-828F-CFBD63E2D182}</c15:txfldGUID>
                      <c15:f>'L2'!$AK$50</c15:f>
                      <c15:dlblFieldTableCache>
                        <c:ptCount val="1"/>
                        <c:pt idx="0">
                          <c:v>I: +750 CC, 0/0/0.9/3.9, -360 Lease</c:v>
                        </c:pt>
                      </c15:dlblFieldTableCache>
                    </c15:dlblFTEntry>
                  </c15:dlblFieldTable>
                  <c15:showDataLabelsRange val="0"/>
                </c:ext>
                <c:ext xmlns:c16="http://schemas.microsoft.com/office/drawing/2014/chart" uri="{C3380CC4-5D6E-409C-BE32-E72D297353CC}">
                  <c16:uniqueId val="{00000010-60B6-425A-B1FF-A5B1D8CFC8DF}"/>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'L2'!$AC$51</c:f>
              <c:numCache>
                <c:formatCode>_("$"* #,##0_);_("$"* \(#,##0\);_("$"* "-"??_);_(@_)</c:formatCode>
                <c:ptCount val="1"/>
                <c:pt idx="0">
                  <c:v>260.62078695078708</c:v>
                </c:pt>
              </c:numCache>
            </c:numRef>
          </c:xVal>
          <c:yVal>
            <c:numRef>
              <c:f>'L2'!$AI$51</c:f>
              <c:numCache>
                <c:formatCode>0.0%</c:formatCode>
                <c:ptCount val="1"/>
                <c:pt idx="0">
                  <c:v>5.0492402592961623E-2</c:v>
                </c:pt>
              </c:numCache>
            </c:numRef>
          </c:yVal>
          <c:smooth val="0"/>
          <c:extLst>
            <c:ext xmlns:c16="http://schemas.microsoft.com/office/drawing/2014/chart" uri="{C3380CC4-5D6E-409C-BE32-E72D297353CC}">
              <c16:uniqueId val="{00000011-60B6-425A-B1FF-A5B1D8CFC8DF}"/>
            </c:ext>
          </c:extLst>
        </c:ser>
        <c:ser>
          <c:idx val="9"/>
          <c:order val="9"/>
          <c:tx>
            <c:strRef>
              <c:f>'L2'!$AK$52</c:f>
              <c:strCache>
                <c:ptCount val="1"/>
                <c:pt idx="0">
                  <c:v>J: +500 CC, 0/0/0.9/3.9, -360 Lease</c:v>
                </c:pt>
              </c:strCache>
            </c:strRef>
          </c:tx>
          <c:spPr>
            <a:ln w="28575">
              <a:noFill/>
            </a:ln>
          </c:spPr>
          <c:marker>
            <c:symbol val="diamond"/>
            <c:size val="8"/>
            <c:spPr>
              <a:solidFill>
                <a:schemeClr val="tx1"/>
              </a:solidFill>
              <a:ln w="15875">
                <a:solidFill>
                  <a:schemeClr val="tx1"/>
                </a:solidFill>
              </a:ln>
            </c:spPr>
          </c:marker>
          <c:dLbls>
            <c:dLbl>
              <c:idx val="0"/>
              <c:tx>
                <c:strRef>
                  <c:f>'L2'!$AK$52</c:f>
                  <c:strCache>
                    <c:ptCount val="1"/>
                    <c:pt idx="0">
                      <c:v>J: +500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{4A6F1AB7-3D20-4BF2-A08E-1FB51D74BB7B}</c15:txfldGUID>
                      <c15:f>'L2'!$AK$52</c15:f>
                      <c15:dlblFieldTableCache>
                        <c:ptCount val="1"/>
                        <c:pt idx="0">
                          <c:v>J: +500 CC, 0/0/0.9/3.9, -360 Lease</c:v>
                        </c:pt>
                      </c15:dlblFieldTableCache>
                    </c15:dlblFTEntry>
                  </c15:dlblFieldTable>
                  <c15:showDataLabelsRange val="0"/>
                </c:ext>
                <c:ext xmlns:c16="http://schemas.microsoft.com/office/drawing/2014/chart" uri="{C3380CC4-5D6E-409C-BE32-E72D297353CC}">
                  <c16:uniqueId val="{00000012-60B6-425A-B1FF-A5B1D8CFC8DF}"/>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'L2'!$AC$53</c:f>
              <c:numCache>
                <c:formatCode>_("$"* #,##0_);_("$"* \(#,##0\);_("$"* "-"??_);_(@_)</c:formatCode>
                <c:ptCount val="1"/>
                <c:pt idx="0">
                  <c:v>173.8478894113282</c:v>
                </c:pt>
              </c:numCache>
            </c:numRef>
          </c:xVal>
          <c:yVal>
            <c:numRef>
              <c:f>'L2'!$AI$53</c:f>
              <c:numCache>
                <c:formatCode>0.0%</c:formatCode>
                <c:ptCount val="1"/>
                <c:pt idx="0">
                  <c:v>3.5727306078815267E-2</c:v>
                </c:pt>
              </c:numCache>
            </c:numRef>
          </c:yVal>
          <c:smooth val="0"/>
          <c:extLst>
            <c:ext xmlns:c16="http://schemas.microsoft.com/office/drawing/2014/chart" uri="{C3380CC4-5D6E-409C-BE32-E72D297353CC}">
              <c16:uniqueId val="{00000013-60B6-425A-B1FF-A5B1D8CFC8DF}"/>
            </c:ext>
          </c:extLst>
        </c:ser>
        <c:ser>
          <c:idx val="10"/>
          <c:order val="10"/>
          <c:tx>
            <c:strRef>
              <c:f>'L2'!$AK$54</c:f>
              <c:strCache>
                <c:ptCount val="1"/>
                <c:pt idx="0">
                  <c:v>K: +250 CC, 0/0/0.9/3.9, -360 Lease</c:v>
                </c:pt>
              </c:strCache>
            </c:strRef>
          </c:tx>
          <c:spPr>
            <a:ln w="28575">
              <a:noFill/>
            </a:ln>
          </c:spPr>
          <c:marker>
            <c:symbol val="diamond"/>
            <c:size val="8"/>
            <c:spPr>
              <a:solidFill>
                <a:schemeClr val="tx1"/>
              </a:solidFill>
              <a:ln w="15875">
                <a:solidFill>
                  <a:schemeClr val="tx1"/>
                </a:solidFill>
              </a:ln>
            </c:spPr>
          </c:marker>
          <c:dLbls>
            <c:dLbl>
              <c:idx val="0"/>
              <c:tx>
                <c:strRef>
                  <c:f>'L2'!$AK$54</c:f>
                  <c:strCache>
                    <c:ptCount val="1"/>
                    <c:pt idx="0">
                      <c:v>K: +250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{CE597382-EA4C-4180-9BC3-B2B1CD82E04B}</c15:txfldGUID>
                      <c15:f>'L2'!$AK$54</c15:f>
                      <c15:dlblFieldTableCache>
                        <c:ptCount val="1"/>
                        <c:pt idx="0">
                          <c:v>K: +250 CC, 0/0/0.9/3.9, -360 Lease</c:v>
                        </c:pt>
                      </c15:dlblFieldTableCache>
                    </c15:dlblFTEntry>
                  </c15:dlblFieldTable>
                  <c15:showDataLabelsRange val="0"/>
                </c:ext>
                <c:ext xmlns:c16="http://schemas.microsoft.com/office/drawing/2014/chart" uri="{C3380CC4-5D6E-409C-BE32-E72D297353CC}">
                  <c16:uniqueId val="{00000014-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'L2'!$AC$55</c:f>
              <c:numCache>
                <c:formatCode>_("$"* #,##0_);_("$"* \(#,##0\);_("$"* "-"??_);_(@_)</c:formatCode>
                <c:ptCount val="1"/>
                <c:pt idx="0">
                  <c:v>100.41919116167628</c:v>
                </c:pt>
              </c:numCache>
            </c:numRef>
          </c:xVal>
          <c:yVal>
            <c:numRef>
              <c:f>'L2'!$AI$55</c:f>
              <c:numCache>
                <c:formatCode>0.0%</c:formatCode>
                <c:ptCount val="1"/>
                <c:pt idx="0">
                  <c:v>2.230473941873614E-2</c:v>
                </c:pt>
              </c:numCache>
            </c:numRef>
          </c:yVal>
          <c:smooth val="0"/>
          <c:extLst>
            <c:ext xmlns:c16="http://schemas.microsoft.com/office/drawing/2014/chart" uri="{C3380CC4-5D6E-409C-BE32-E72D297353CC}">
              <c16:uniqueId val="{00000015-60B6-425A-B1FF-A5B1D8CFC8DF}"/>
            </c:ext>
          </c:extLst>
        </c:ser>
        <c:ser>
          <c:idx val="11"/>
          <c:order val="11"/>
          <c:tx>
            <c:strRef>
              <c:f>'L2'!$AK$56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{0572A434-1FB3-43CA-A770-32B7B7800668}</c15:txfldGUID>
                      <c15:f>'L2'!$AK$56</c15:f>
                      <c15:dlblFieldTableCache>
                        <c:ptCount val="1"/>
                        <c:pt idx="0">
                          <c:v>#VALUE!</c:v>
                        </c:pt>
                      </c15:dlblFieldTableCache>
                    </c15:dlblFTEntry>
                  </c15:dlblFieldTable>
                  <c15:showDataLabelsRange val="0"/>
                </c:ext>
                <c:ext xmlns:c16="http://schemas.microsoft.com/office/drawing/2014/chart" uri="{C3380CC4-5D6E-409C-BE32-E72D297353CC}">
                  <c16:uniqueId val="{00000016-60B6-425A-B1FF-A5B1D8CFC8DF}"/>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'L2'!$AC$57</c:f>
              <c:numCache>
                <c:formatCode>_("$"* #,##0_);_("$"* \(#,##0\);_("$"* "-"??_);_(@_)</c:formatCode>
                <c:ptCount val="1"/>
                <c:pt idx="0">
                  <c:v>#N/A</c:v>
                </c:pt>
              </c:numCache>
            </c:numRef>
          </c:xVal>
          <c:yVal>
            <c:numRef>
              <c:f>'L2'!$AI$57</c:f>
              <c:numCache>
                <c:formatCode>0.0%</c:formatCode>
                <c:ptCount val="1"/>
                <c:pt idx="0">
                  <c:v>#N/A</c:v>
                </c:pt>
              </c:numCache>
            </c:numRef>
          </c:yVal>
          <c:smooth val="0"/>
          <c:extLst>
            <c:ext xmlns:c16="http://schemas.microsoft.com/office/drawing/2014/chart" uri="{C3380CC4-5D6E-409C-BE32-E72D297353CC}">
              <c16:uniqueId val="{00000017-60B6-425A-B1FF-A5B1D8CFC8DF}"/>
            </c:ext>
          </c:extLst>
        </c:ser>
        <c:ser>
          <c:idx val="12"/>
          <c:order val="12"/>
          <c:tx>
            <c:strRef>
              <c:f>'L2'!$AK$58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{5388980F-93D7-4D1F-A288-6EF2A2F6197E}</c15:txfldGUID>
                      <c15:f>'L2'!$AK$58</c15:f>
                      <c15:dlblFieldTableCache>
                        <c:ptCount val="1"/>
                        <c:pt idx="0">
                          <c:v>#VALUE!</c:v>
                        </c:pt>
                      </c15:dlblFieldTableCache>
                    </c15:dlblFTEntry>
                  </c15:dlblFieldTable>
                  <c15:showDataLabelsRange val="0"/>
                </c:ext>
                <c:ext xmlns:c16="http://schemas.microsoft.com/office/drawing/2014/chart" uri="{C3380CC4-5D6E-409C-BE32-E72D297353CC}">
                  <c16:uniqueId val="{00000018-60B6-425A-B1FF-A5B1D8CFC8DF}"/>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'L2'!$AC$59</c:f>
              <c:numCache>
                <c:formatCode>_("$"* #,##0_);_("$"* \(#,##0\);_("$"* "-"??_);_(@_)</c:formatCode>
                <c:ptCount val="1"/>
                <c:pt idx="0">
                  <c:v>#N/A</c:v>
                </c:pt>
              </c:numCache>
            </c:numRef>
          </c:xVal>
          <c:yVal>
            <c:numRef>
              <c:f>'L2'!$AI$59</c:f>
              <c:numCache>
                <c:formatCode>0.0%</c:formatCode>
                <c:ptCount val="1"/>
                <c:pt idx="0">
                  <c:v>#N/A</c:v>
                </c:pt>
              </c:numCache>
            </c:numRef>
          </c:yVal>
          <c:smooth val="0"/>
          <c:extLst>
            <c:ext xmlns:c16="http://schemas.microsoft.com/office/drawing/2014/chart" uri="{C3380CC4-5D6E-409C-BE32-E72D297353CC}">
              <c16:uniqueId val="{00000019-60B6-425A-B1FF-A5B1D8CFC8DF}"/>
            </c:ext>
          </c:extLst>
        </c:ser>
        <c:ser>
          <c:idx val="13"/>
          <c:order val="13"/>
          <c:tx>
            <c:strRef>
              <c:f>'L2'!$AK$60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{DCF749B7-4A76-4788-8F7C-C5E8167BD6D7}</c15:txfldGUID>
                      <c15:f>'L2'!$AK$60</c15:f>
                      <c15:dlblFieldTableCache>
                        <c:ptCount val="1"/>
                        <c:pt idx="0">
                          <c:v>#VALUE!</c:v>
                        </c:pt>
                      </c15:dlblFieldTableCache>
                    </c15:dlblFTEntry>
                  </c15:dlblFieldTable>
                  <c15:showDataLabelsRange val="0"/>
                </c:ext>
                <c:ext xmlns:c16="http://schemas.microsoft.com/office/drawing/2014/chart" uri="{C3380CC4-5D6E-409C-BE32-E72D297353CC}">
                  <c16:uniqueId val="{0000001A-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'L2'!$AC$61</c:f>
              <c:numCache>
                <c:formatCode>_("$"* #,##0_);_("$"* \(#,##0\);_("$"* "-"??_);_(@_)</c:formatCode>
                <c:ptCount val="1"/>
                <c:pt idx="0">
                  <c:v>#N/A</c:v>
                </c:pt>
              </c:numCache>
            </c:numRef>
          </c:xVal>
          <c:yVal>
            <c:numRef>
              <c:f>'L2'!$AI$61</c:f>
              <c:numCache>
                <c:formatCode>0.0%</c:formatCode>
                <c:ptCount val="1"/>
                <c:pt idx="0">
                  <c:v>#N/A</c:v>
                </c:pt>
              </c:numCache>
            </c:numRef>
          </c:yVal>
          <c:smooth val="0"/>
          <c:extLst>
            <c:ext xmlns:c16="http://schemas.microsoft.com/office/drawing/2014/chart" uri="{C3380CC4-5D6E-409C-BE32-E72D297353CC}">
              <c16:uniqueId val="{0000001B-60B6-425A-B1FF-A5B1D8CFC8DF}"/>
            </c:ext>
          </c:extLst>
        </c:ser>
        <c:ser>
          <c:idx val="14"/>
          <c:order val="14"/>
          <c:tx>
            <c:strRef>
              <c:f>'L2'!$AK$62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{178F2366-B9A8-4FE4-A2E2-DE1FEB8CCFF4}</c15:txfldGUID>
                      <c15:f>'L2'!$AK$62</c15:f>
                      <c15:dlblFieldTableCache>
                        <c:ptCount val="1"/>
                        <c:pt idx="0">
                          <c:v>#VALUE!</c:v>
                        </c:pt>
                      </c15:dlblFieldTableCache>
                    </c15:dlblFTEntry>
                  </c15:dlblFieldTable>
                  <c15:showDataLabelsRange val="0"/>
                </c:ext>
                <c:ext xmlns:c16="http://schemas.microsoft.com/office/drawing/2014/chart" uri="{C3380CC4-5D6E-409C-BE32-E72D297353CC}">
                  <c16:uniqueId val="{0000001C-60B6-425A-B1FF-A5B1D8CFC8DF}"/>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'L2'!$AC$63</c:f>
              <c:numCache>
                <c:formatCode>_("$"* #,##0_);_("$"* \(#,##0\);_("$"* "-"??_);_(@_)</c:formatCode>
                <c:ptCount val="1"/>
                <c:pt idx="0">
                  <c:v>#N/A</c:v>
                </c:pt>
              </c:numCache>
            </c:numRef>
          </c:xVal>
          <c:yVal>
            <c:numRef>
              <c:f>'L2'!$AI$63</c:f>
              <c:numCache>
                <c:formatCode>0.0%</c:formatCode>
                <c:ptCount val="1"/>
                <c:pt idx="0">
                  <c:v>#N/A</c:v>
                </c:pt>
              </c:numCache>
            </c:numRef>
          </c:yVal>
          <c:smooth val="0"/>
          <c:extLst>
            <c:ext xmlns:c16="http://schemas.microsoft.com/office/drawing/2014/chart" uri="{C3380CC4-5D6E-409C-BE32-E72D297353CC}">
              <c16:uniqueId val="{0000001D-60B6-425A-B1FF-A5B1D8CFC8DF}"/>
            </c:ext>
          </c:extLst>
        </c:ser>
        <c:ser>
          <c:idx val="15"/>
          <c:order val="15"/>
          <c:tx>
            <c:strRef>
              <c:f>'L2'!$AK$64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{2627116A-077A-4D8A-BC4C-02A3204F3299}</c15:txfldGUID>
                      <c15:f>'L2'!$AK$64</c15:f>
                      <c15:dlblFieldTableCache>
                        <c:ptCount val="1"/>
                        <c:pt idx="0">
                          <c:v>#VALUE!</c:v>
                        </c:pt>
                      </c15:dlblFieldTableCache>
                    </c15:dlblFTEntry>
                  </c15:dlblFieldTable>
                  <c15:showDataLabelsRange val="0"/>
                </c:ext>
                <c:ext xmlns:c16="http://schemas.microsoft.com/office/drawing/2014/chart" uri="{C3380CC4-5D6E-409C-BE32-E72D297353CC}">
                  <c16:uniqueId val="{0000001E-60B6-425A-B1FF-A5B1D8CFC8DF}"/>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'L2'!$AC$65</c:f>
              <c:numCache>
                <c:formatCode>_("$"* #,##0_);_("$"* \(#,##0\);_("$"* "-"??_);_(@_)</c:formatCode>
                <c:ptCount val="1"/>
                <c:pt idx="0">
                  <c:v>#N/A</c:v>
                </c:pt>
              </c:numCache>
            </c:numRef>
          </c:xVal>
          <c:yVal>
            <c:numRef>
              <c:f>'L2'!$AI$65</c:f>
              <c:numCache>
                <c:formatCode>0.0%</c:formatCode>
                <c:ptCount val="1"/>
                <c:pt idx="0">
                  <c:v>#N/A</c:v>
                </c:pt>
              </c:numCache>
            </c:numRef>
          </c:yVal>
          <c:smooth val="0"/>
          <c:extLst>
            <c:ext xmlns:c16="http://schemas.microsoft.com/office/drawing/2014/chart" uri="{C3380CC4-5D6E-409C-BE32-E72D297353CC}">
              <c16:uniqueId val="{0000001F-60B6-425A-B1FF-A5B1D8CFC8DF}"/>
            </c:ext>
          </c:extLst>
        </c:ser>
        <c:ser>
          <c:idx val="17"/>
          <c:order val="16"/>
          <c:tx>
            <c:strRef>
              <c:f>'L2'!$AK$66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'L2'!$AC$67</c:f>
              <c:numCache>
                <c:formatCode>_("$"* #,##0_);_("$"* \(#,##0\);_("$"* "-"??_);_(@_)</c:formatCode>
                <c:ptCount val="1"/>
                <c:pt idx="0">
                  <c:v>#N/A</c:v>
                </c:pt>
              </c:numCache>
            </c:numRef>
          </c:xVal>
          <c:yVal>
            <c:numRef>
              <c:f>'L2'!$AI$67</c:f>
              <c:numCache>
                <c:formatCode>0.0%</c:formatCode>
                <c:ptCount val="1"/>
                <c:pt idx="0">
                  <c:v>#N/A</c:v>
                </c:pt>
              </c:numCache>
            </c:numRef>
          </c:yVal>
          <c:smooth val="0"/>
          <c:extLst>
            <c:ext xmlns:c16="http://schemas.microsoft.com/office/drawing/2014/chart" uri="{C3380CC4-5D6E-409C-BE32-E72D297353CC}">
              <c16:uniqueId val="{00000020-60B6-425A-B1FF-A5B1D8CFC8DF}"/>
            </c:ext>
          </c:extLst>
        </c:ser>
        <c:ser>
          <c:idx val="18"/>
          <c:order val="17"/>
          <c:tx>
            <c:strRef>
              <c:f>'L2'!$AK$68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'L2'!$AC$69</c:f>
              <c:numCache>
                <c:formatCode>_("$"* #,##0_);_("$"* \(#,##0\);_("$"* "-"??_);_(@_)</c:formatCode>
                <c:ptCount val="1"/>
                <c:pt idx="0">
                  <c:v>#N/A</c:v>
                </c:pt>
              </c:numCache>
            </c:numRef>
          </c:xVal>
          <c:yVal>
            <c:numRef>
              <c:f>'L2'!$AI$69</c:f>
              <c:numCache>
                <c:formatCode>0.0%</c:formatCode>
                <c:ptCount val="1"/>
                <c:pt idx="0">
                  <c:v>#N/A</c:v>
                </c:pt>
              </c:numCache>
            </c:numRef>
          </c:yVal>
          <c:smooth val="0"/>
          <c:extLst>
            <c:ext xmlns:c16="http://schemas.microsoft.com/office/drawing/2014/chart" uri="{C3380CC4-5D6E-409C-BE32-E72D297353CC}">
              <c16:uniqueId val="{00000021-60B6-425A-B1FF-A5B1D8CFC8DF}"/>
            </c:ext>
          </c:extLst>
        </c:ser>
        <c:ser>
          <c:idx val="16"/>
          <c:order val="18"/>
          <c:tx>
            <c:strRef>
              <c:f>'L2'!$AK$70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{D4091FCE-84C1-4C4A-A9BC-53426AECD649}</c15:txfldGUID>
                      <c15:f>'L2'!$AK$70</c15:f>
                      <c15:dlblFieldTableCache>
                        <c:ptCount val="1"/>
                        <c:pt idx="0">
                          <c:v>#VALUE!</c:v>
                        </c:pt>
                      </c15:dlblFieldTableCache>
                    </c15:dlblFTEntry>
                  </c15:dlblFieldTable>
                  <c15:showDataLabelsRange val="0"/>
                </c:ext>
                <c:ext xmlns:c16="http://schemas.microsoft.com/office/drawing/2014/chart" uri="{C3380CC4-5D6E-409C-BE32-E72D297353CC}">
                  <c16:uniqueId val="{00000022-60B6-425A-B1FF-A5B1D8CFC8DF}"/>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'L2'!$AC$71</c:f>
              <c:numCache>
                <c:formatCode>_("$"* #,##0_);_("$"* \(#,##0\);_("$"* "-"??_);_(@_)</c:formatCode>
                <c:ptCount val="1"/>
                <c:pt idx="0">
                  <c:v>#N/A</c:v>
                </c:pt>
              </c:numCache>
            </c:numRef>
          </c:xVal>
          <c:yVal>
            <c:numRef>
              <c:f>'L2'!$AI$71</c:f>
              <c:numCache>
                <c:formatCode>0.0%</c:formatCode>
                <c:ptCount val="1"/>
                <c:pt idx="0">
                  <c:v>#N/A</c:v>
                </c:pt>
              </c:numCache>
            </c:numRef>
          </c:yVal>
          <c:smooth val="0"/>
          <c:extLst>
            <c:ext xmlns:c16="http://schemas.microsoft.com/office/drawing/2014/chart" uri="{C3380CC4-5D6E-409C-BE32-E72D297353CC}">
              <c16:uniqueId val="{00000023-60B6-425A-B1FF-A5B1D8CFC8DF}"/>
            </c:ext>
          </c:extLst>
        </c:ser>
        <c:ser>
          <c:idx val="19"/>
          <c:order val="19"/>
          <c:tx>
            <c:strRef>
              <c:f>'L2'!$AK$33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1273188901774268E-2"/>
                  <c:y val="3.963287752062941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60B6-425A-B1FF-A5B1D8CFC8DF}"/>
                </c:ext>
              </c:extLst>
            </c:dLbl>
            <c:spPr>
              <a:noFill/>
              <a:ln>
                <a:noFill/>
              </a:ln>
              <a:effectLst/>
            </c:spPr>
            <c:txPr>
              <a:bodyPr wrap="square" lIns="38100" tIns="19050" rIns="38100" bIns="19050" anchor="ctr">
                <a:spAutoFit/>
              </a:bodyPr>
              <a:lstStyle/>
              <a:p>
                <a:pPr>
                  <a:defRPr lang="en-US" sz="12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'L2'!$AI$33</c:f>
              <c:numCache>
                <c:formatCode>0.0%</c:formatCode>
                <c:ptCount val="1"/>
                <c:pt idx="0">
                  <c:v>0</c:v>
                </c:pt>
              </c:numCache>
            </c:numRef>
          </c:yVal>
          <c:smooth val="0"/>
          <c:extLst>
            <c:ext xmlns:c16="http://schemas.microsoft.com/office/drawing/2014/chart" uri="{C3380CC4-5D6E-409C-BE32-E72D297353CC}">
              <c16:uniqueId val="{00000025-60B6-425A-B1FF-A5B1D8CFC8DF}"/>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'L3'!$AK$34</c:f>
              <c:strCache>
                <c:ptCount val="1"/>
                <c:pt idx="0">
                  <c:v>A: +1000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'L3'!$AK$34</c:f>
                  <c:strCache>
                    <c:ptCount val="1"/>
                    <c:pt idx="0">
                      <c:v>A: +1000 CC, -360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{D88293E0-243A-4C8F-A6A9-36E8D8145383}</c15:txfldGUID>
                      <c15:f>'L3'!$AK$34</c15:f>
                      <c15:dlblFieldTableCache>
                        <c:ptCount val="1"/>
                        <c:pt idx="0">
                          <c:v>A: +1000 CC, -360 Lease</c:v>
                        </c:pt>
                      </c15:dlblFieldTableCache>
                    </c15:dlblFTEntry>
                  </c15:dlblFieldTable>
                  <c15:showDataLabelsRange val="0"/>
                </c:ext>
                <c:ext xmlns:c16="http://schemas.microsoft.com/office/drawing/2014/chart" uri="{C3380CC4-5D6E-409C-BE32-E72D297353CC}">
                  <c16:uniqueId val="{00000000-1B15-40C5-B6E7-B8A5AFDD95AB}"/>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'L3'!$AC$35</c:f>
              <c:numCache>
                <c:formatCode>_("$"* #,##0_);_("$"* \(#,##0\);_("$"* "-"??_);_(@_)</c:formatCode>
                <c:ptCount val="1"/>
                <c:pt idx="0">
                  <c:v>206.65622918804684</c:v>
                </c:pt>
              </c:numCache>
              <c:extLst xmlns:c15="http://schemas.microsoft.com/office/drawing/2012/chart"/>
            </c:numRef>
          </c:xVal>
          <c:yVal>
            <c:numRef>
              <c:f>'L3'!$AI$35</c:f>
              <c:numCache>
                <c:formatCode>0.0%</c:formatCode>
                <c:ptCount val="1"/>
                <c:pt idx="0">
                  <c:v>3.8263926336309095E-2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B15-40C5-B6E7-B8A5AFDD95AB}"/>
            </c:ext>
          </c:extLst>
        </c:ser>
        <c:ser>
          <c:idx val="1"/>
          <c:order val="1"/>
          <c:tx>
            <c:strRef>
              <c:f>'L3'!$AK$36</c:f>
              <c:strCache>
                <c:ptCount val="1"/>
                <c:pt idx="0">
                  <c:v>B: +750 CC, -360 Lease</c:v>
                </c:pt>
              </c:strCache>
            </c:strRef>
          </c:tx>
          <c:spPr>
            <a:ln w="31750">
              <a:noFill/>
            </a:ln>
          </c:spPr>
          <c:marker>
            <c:symbol val="diamond"/>
            <c:size val="8"/>
            <c:spPr>
              <a:solidFill>
                <a:schemeClr val="tx1"/>
              </a:solidFill>
              <a:ln w="15875">
                <a:solidFill>
                  <a:schemeClr val="tx1"/>
                </a:solidFill>
              </a:ln>
            </c:spPr>
          </c:marker>
          <c:dLbls>
            <c:dLbl>
              <c:idx val="0"/>
              <c:tx>
                <c:strRef>
                  <c:f>'L3'!$AK$36</c:f>
                  <c:strCache>
                    <c:ptCount val="1"/>
                    <c:pt idx="0">
                      <c:v>B: +750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{DE4DD715-793A-47F7-8492-3AF889D51304}</c15:txfldGUID>
                      <c15:f>'L3'!$AK$36</c15:f>
                      <c15:dlblFieldTableCache>
                        <c:ptCount val="1"/>
                        <c:pt idx="0">
                          <c:v>B: +750 CC, -360 Lease</c:v>
                        </c:pt>
                      </c15:dlblFieldTableCache>
                    </c15:dlblFTEntry>
                  </c15:dlblFieldTable>
                  <c15:showDataLabelsRange val="0"/>
                </c:ext>
                <c:ext xmlns:c16="http://schemas.microsoft.com/office/drawing/2014/chart" uri="{C3380CC4-5D6E-409C-BE32-E72D297353CC}">
                  <c16:uniqueId val="{00000002-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'L3'!$AC$37</c:f>
              <c:numCache>
                <c:formatCode>_("$"* #,##0_);_("$"* \(#,##0\);_("$"* "-"??_);_(@_)</c:formatCode>
                <c:ptCount val="1"/>
                <c:pt idx="0">
                  <c:v>112.06322978339267</c:v>
                </c:pt>
              </c:numCache>
            </c:numRef>
          </c:xVal>
          <c:yVal>
            <c:numRef>
              <c:f>'L3'!$AI$37</c:f>
              <c:numCache>
                <c:formatCode>0.0%</c:formatCode>
                <c:ptCount val="1"/>
                <c:pt idx="0">
                  <c:v>2.3926464440530287E-2</c:v>
                </c:pt>
              </c:numCache>
            </c:numRef>
          </c:yVal>
          <c:smooth val="0"/>
          <c:extLst>
            <c:ext xmlns:c16="http://schemas.microsoft.com/office/drawing/2014/chart" uri="{C3380CC4-5D6E-409C-BE32-E72D297353CC}">
              <c16:uniqueId val="{00000003-1B15-40C5-B6E7-B8A5AFDD95AB}"/>
            </c:ext>
          </c:extLst>
        </c:ser>
        <c:ser>
          <c:idx val="2"/>
          <c:order val="2"/>
          <c:tx>
            <c:strRef>
              <c:f>'L3'!$AK$38</c:f>
              <c:strCache>
                <c:ptCount val="1"/>
                <c:pt idx="0">
                  <c:v>C: +500 CC, -360 Lease</c:v>
                </c:pt>
              </c:strCache>
            </c:strRef>
          </c:tx>
          <c:spPr>
            <a:ln w="28575">
              <a:noFill/>
            </a:ln>
          </c:spPr>
          <c:marker>
            <c:symbol val="diamond"/>
            <c:size val="8"/>
            <c:spPr>
              <a:solidFill>
                <a:schemeClr val="tx1"/>
              </a:solidFill>
              <a:ln w="15875">
                <a:solidFill>
                  <a:schemeClr val="tx1"/>
                </a:solidFill>
              </a:ln>
            </c:spPr>
          </c:marker>
          <c:dLbls>
            <c:dLbl>
              <c:idx val="0"/>
              <c:tx>
                <c:strRef>
                  <c:f>'L3'!$AK$38</c:f>
                  <c:strCache>
                    <c:ptCount val="1"/>
                    <c:pt idx="0">
                      <c:v>C: +500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{25D232A4-2D06-473B-B461-E03A1FDF171D}</c15:txfldGUID>
                      <c15:f>'L3'!$AK$38</c15:f>
                      <c15:dlblFieldTableCache>
                        <c:ptCount val="1"/>
                        <c:pt idx="0">
                          <c:v>C: +500 CC, -360 Lease</c:v>
                        </c:pt>
                      </c15:dlblFieldTableCache>
                    </c15:dlblFTEntry>
                  </c15:dlblFieldTable>
                  <c15:showDataLabelsRange val="0"/>
                </c:ext>
                <c:ext xmlns:c16="http://schemas.microsoft.com/office/drawing/2014/chart" uri="{C3380CC4-5D6E-409C-BE32-E72D297353CC}">
                  <c16:uniqueId val="{00000004-1B15-40C5-B6E7-B8A5AFDD95A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'L3'!$AC$39</c:f>
              <c:numCache>
                <c:formatCode>_("$"* #,##0_);_("$"* \(#,##0\);_("$"* "-"??_);_(@_)</c:formatCode>
                <c:ptCount val="1"/>
                <c:pt idx="0">
                  <c:v>28.702794383803393</c:v>
                </c:pt>
              </c:numCache>
            </c:numRef>
          </c:xVal>
          <c:yVal>
            <c:numRef>
              <c:f>'L3'!$AI$39</c:f>
              <c:numCache>
                <c:formatCode>0.0%</c:formatCode>
                <c:ptCount val="1"/>
                <c:pt idx="0">
                  <c:v>1.0770014845718013E-2</c:v>
                </c:pt>
              </c:numCache>
            </c:numRef>
          </c:yVal>
          <c:smooth val="0"/>
          <c:extLst>
            <c:ext xmlns:c16="http://schemas.microsoft.com/office/drawing/2014/chart" uri="{C3380CC4-5D6E-409C-BE32-E72D297353CC}">
              <c16:uniqueId val="{00000005-1B15-40C5-B6E7-B8A5AFDD95AB}"/>
            </c:ext>
          </c:extLst>
        </c:ser>
        <c:ser>
          <c:idx val="3"/>
          <c:order val="3"/>
          <c:tx>
            <c:strRef>
              <c:f>'L3'!$AK$40</c:f>
              <c:strCache>
                <c:ptCount val="1"/>
                <c:pt idx="0">
                  <c:v>D: +250 CC, -360 Lease</c:v>
                </c:pt>
              </c:strCache>
            </c:strRef>
          </c:tx>
          <c:spPr>
            <a:ln w="28575">
              <a:noFill/>
            </a:ln>
          </c:spPr>
          <c:marker>
            <c:symbol val="diamond"/>
            <c:size val="8"/>
            <c:spPr>
              <a:solidFill>
                <a:schemeClr val="tx1"/>
              </a:solidFill>
              <a:ln w="15875">
                <a:solidFill>
                  <a:schemeClr val="tx1"/>
                </a:solidFill>
              </a:ln>
            </c:spPr>
          </c:marker>
          <c:dLbls>
            <c:dLbl>
              <c:idx val="0"/>
              <c:tx>
                <c:strRef>
                  <c:f>'L3'!$AK$40</c:f>
                  <c:strCache>
                    <c:ptCount val="1"/>
                    <c:pt idx="0">
                      <c:v>D: +250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{0B829829-305C-4268-A6E4-35F964E66514}</c15:txfldGUID>
                      <c15:f>'L3'!$AK$40</c15:f>
                      <c15:dlblFieldTableCache>
                        <c:ptCount val="1"/>
                        <c:pt idx="0">
                          <c:v>D: +250 CC, -360 Lease</c:v>
                        </c:pt>
                      </c15:dlblFieldTableCache>
                    </c15:dlblFTEntry>
                  </c15:dlblFieldTable>
                  <c15:showDataLabelsRange val="0"/>
                </c:ext>
                <c:ext xmlns:c16="http://schemas.microsoft.com/office/drawing/2014/chart" uri="{C3380CC4-5D6E-409C-BE32-E72D297353CC}">
                  <c16:uniqueId val="{00000006-1B15-40C5-B6E7-B8A5AFDD95A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'L3'!$AC$41</c:f>
              <c:numCache>
                <c:formatCode>_("$"* #,##0_);_("$"* \(#,##0\);_("$"* "-"??_);_(@_)</c:formatCode>
                <c:ptCount val="1"/>
                <c:pt idx="0">
                  <c:v>-42.849647522861687</c:v>
                </c:pt>
              </c:numCache>
            </c:numRef>
          </c:xVal>
          <c:yVal>
            <c:numRef>
              <c:f>'L3'!$AI$41</c:f>
              <c:numCache>
                <c:formatCode>0.0%</c:formatCode>
                <c:ptCount val="1"/>
                <c:pt idx="0">
                  <c:v>-1.2116081857010349E-3</c:v>
                </c:pt>
              </c:numCache>
            </c:numRef>
          </c:yVal>
          <c:smooth val="0"/>
          <c:extLst>
            <c:ext xmlns:c16="http://schemas.microsoft.com/office/drawing/2014/chart" uri="{C3380CC4-5D6E-409C-BE32-E72D297353CC}">
              <c16:uniqueId val="{00000007-1B15-40C5-B6E7-B8A5AFDD95AB}"/>
            </c:ext>
          </c:extLst>
        </c:ser>
        <c:ser>
          <c:idx val="4"/>
          <c:order val="4"/>
          <c:tx>
            <c:strRef>
              <c:f>'L3'!$AK$42</c:f>
              <c:strCache>
                <c:ptCount val="1"/>
                <c:pt idx="0">
                  <c:v>E: 0/0/0.9/3.9, -360 Lease</c:v>
                </c:pt>
              </c:strCache>
            </c:strRef>
          </c:tx>
          <c:spPr>
            <a:ln w="15875">
              <a:noFill/>
            </a:ln>
          </c:spPr>
          <c:marker>
            <c:symbol val="diamond"/>
            <c:size val="8"/>
            <c:spPr>
              <a:solidFill>
                <a:schemeClr val="tx1"/>
              </a:solidFill>
              <a:ln w="15875">
                <a:solidFill>
                  <a:schemeClr val="tx1"/>
                </a:solidFill>
              </a:ln>
            </c:spPr>
          </c:marker>
          <c:dLbls>
            <c:dLbl>
              <c:idx val="0"/>
              <c:tx>
                <c:strRef>
                  <c:f>'L3'!$AK$42</c:f>
                  <c:strCache>
                    <c:ptCount val="1"/>
                    <c:pt idx="0">
                      <c:v>E: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{A95F8EC3-2428-49BC-B5A2-9973FA5CA5FB}</c15:txfldGUID>
                      <c15:f>'L3'!$AK$42</c15:f>
                      <c15:dlblFieldTableCache>
                        <c:ptCount val="1"/>
                        <c:pt idx="0">
                          <c:v>E: 0/0/0.9/3.9, -360 Lease</c:v>
                        </c:pt>
                      </c15:dlblFieldTableCache>
                    </c15:dlblFTEntry>
                  </c15:dlblFieldTable>
                  <c15:showDataLabelsRange val="0"/>
                </c:ext>
                <c:ext xmlns:c16="http://schemas.microsoft.com/office/drawing/2014/chart" uri="{C3380CC4-5D6E-409C-BE32-E72D297353CC}">
                  <c16:uniqueId val="{00000008-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'L3'!$AC$43</c:f>
              <c:numCache>
                <c:formatCode>_("$"* #,##0_);_("$"* \(#,##0\);_("$"* "-"??_);_(@_)</c:formatCode>
                <c:ptCount val="1"/>
                <c:pt idx="0">
                  <c:v>81.875587089234614</c:v>
                </c:pt>
              </c:numCache>
            </c:numRef>
          </c:xVal>
          <c:yVal>
            <c:numRef>
              <c:f>'L3'!$AI$43</c:f>
              <c:numCache>
                <c:formatCode>0.0%</c:formatCode>
                <c:ptCount val="1"/>
                <c:pt idx="0">
                  <c:v>1.3987899350309608E-2</c:v>
                </c:pt>
              </c:numCache>
            </c:numRef>
          </c:yVal>
          <c:smooth val="0"/>
          <c:extLst>
            <c:ext xmlns:c16="http://schemas.microsoft.com/office/drawing/2014/chart" uri="{C3380CC4-5D6E-409C-BE32-E72D297353CC}">
              <c16:uniqueId val="{00000009-1B15-40C5-B6E7-B8A5AFDD95AB}"/>
            </c:ext>
          </c:extLst>
        </c:ser>
        <c:ser>
          <c:idx val="5"/>
          <c:order val="5"/>
          <c:tx>
            <c:strRef>
              <c:f>'L3'!$AK$44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'L3'!$AK$44</c:f>
                  <c:strCache>
                    <c:ptCount val="1"/>
                    <c:pt idx="0">
                      <c:v>F: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{C02AEE47-71AC-4E1F-8A14-B558EE213758}</c15:txfldGUID>
                      <c15:f>'L3'!$AK$44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'L3'!$AC$45</c:f>
              <c:numCache>
                <c:formatCode>_("$"* #,##0_);_("$"* \(#,##0\);_("$"* "-"??_);_(@_)</c:formatCode>
                <c:ptCount val="1"/>
                <c:pt idx="0">
                  <c:v>-148.56686647367269</c:v>
                </c:pt>
              </c:numCache>
            </c:numRef>
          </c:xVal>
          <c:yVal>
            <c:numRef>
              <c:f>'L3'!$AI$45</c:f>
              <c:numCache>
                <c:formatCode>0.0%</c:formatCode>
                <c:ptCount val="1"/>
                <c:pt idx="0">
                  <c:v>-2.1674560995426927E-2</c:v>
                </c:pt>
              </c:numCache>
            </c:numRef>
          </c:yVal>
          <c:smooth val="0"/>
          <c:extLst>
            <c:ext xmlns:c16="http://schemas.microsoft.com/office/drawing/2014/chart" uri="{C3380CC4-5D6E-409C-BE32-E72D297353CC}">
              <c16:uniqueId val="{0000000B-1B15-40C5-B6E7-B8A5AFDD95AB}"/>
            </c:ext>
          </c:extLst>
        </c:ser>
        <c:ser>
          <c:idx val="6"/>
          <c:order val="6"/>
          <c:tx>
            <c:strRef>
              <c:f>'L3'!$AK$46</c:f>
              <c:strCache>
                <c:ptCount val="1"/>
                <c:pt idx="0">
                  <c:v>G: +750 CC, 0/0/0.9/3.9, -360 Lease</c:v>
                </c:pt>
              </c:strCache>
            </c:strRef>
          </c:tx>
          <c:spPr>
            <a:ln w="15875">
              <a:noFill/>
            </a:ln>
          </c:spPr>
          <c:marker>
            <c:symbol val="diamond"/>
            <c:size val="8"/>
            <c:spPr>
              <a:solidFill>
                <a:schemeClr val="tx1"/>
              </a:solidFill>
              <a:ln w="15875">
                <a:solidFill>
                  <a:schemeClr val="tx1"/>
                </a:solidFill>
              </a:ln>
            </c:spPr>
          </c:marker>
          <c:dLbls>
            <c:dLbl>
              <c:idx val="0"/>
              <c:tx>
                <c:strRef>
                  <c:f>'L3'!$AK$46</c:f>
                  <c:strCache>
                    <c:ptCount val="1"/>
                    <c:pt idx="0">
                      <c:v>G: +750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{83E08E62-9FBF-45C8-AA54-17C22C787A74}</c15:txfldGUID>
                      <c15:f>'L3'!$AK$46</c15:f>
                      <c15:dlblFieldTableCache>
                        <c:ptCount val="1"/>
                        <c:pt idx="0">
                          <c:v>G: +750 CC, 0/0/0.9/3.9, -360 Lease</c:v>
                        </c:pt>
                      </c15:dlblFieldTableCache>
                    </c15:dlblFTEntry>
                  </c15:dlblFieldTable>
                  <c15:showDataLabelsRange val="0"/>
                </c:ext>
                <c:ext xmlns:c16="http://schemas.microsoft.com/office/drawing/2014/chart" uri="{C3380CC4-5D6E-409C-BE32-E72D297353CC}">
                  <c16:uniqueId val="{0000000C-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'L3'!$AC$47</c:f>
              <c:numCache>
                <c:formatCode>_("$"* #,##0_);_("$"* \(#,##0\);_("$"* "-"??_);_(@_)</c:formatCode>
                <c:ptCount val="1"/>
                <c:pt idx="0">
                  <c:v>272.41321246017833</c:v>
                </c:pt>
              </c:numCache>
            </c:numRef>
          </c:xVal>
          <c:yVal>
            <c:numRef>
              <c:f>'L3'!$AI$47</c:f>
              <c:numCache>
                <c:formatCode>0.0%</c:formatCode>
                <c:ptCount val="1"/>
                <c:pt idx="0">
                  <c:v>4.920040337268014E-2</c:v>
                </c:pt>
              </c:numCache>
            </c:numRef>
          </c:yVal>
          <c:smooth val="0"/>
          <c:extLst>
            <c:ext xmlns:c16="http://schemas.microsoft.com/office/drawing/2014/chart" uri="{C3380CC4-5D6E-409C-BE32-E72D297353CC}">
              <c16:uniqueId val="{0000000D-1B15-40C5-B6E7-B8A5AFDD95AB}"/>
            </c:ext>
          </c:extLst>
        </c:ser>
        <c:ser>
          <c:idx val="7"/>
          <c:order val="7"/>
          <c:tx>
            <c:strRef>
              <c:f>'L3'!$AK$48</c:f>
              <c:strCache>
                <c:ptCount val="1"/>
                <c:pt idx="0">
                  <c:v>H: +500 CC, 0/0/0.9/3.9, -360 Lease</c:v>
                </c:pt>
              </c:strCache>
            </c:strRef>
          </c:tx>
          <c:spPr>
            <a:ln w="15875">
              <a:noFill/>
            </a:ln>
          </c:spPr>
          <c:marker>
            <c:symbol val="diamond"/>
            <c:size val="8"/>
            <c:spPr>
              <a:solidFill>
                <a:schemeClr val="tx1"/>
              </a:solidFill>
              <a:ln w="15875">
                <a:solidFill>
                  <a:schemeClr val="tx1"/>
                </a:solidFill>
              </a:ln>
            </c:spPr>
          </c:marker>
          <c:dLbls>
            <c:dLbl>
              <c:idx val="0"/>
              <c:tx>
                <c:strRef>
                  <c:f>'L3'!$AK$48</c:f>
                  <c:strCache>
                    <c:ptCount val="1"/>
                    <c:pt idx="0">
                      <c:v>H: +500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{C3FDA018-D44C-4ABD-9094-3D6F14CEF959}</c15:txfldGUID>
                      <c15:f>'L3'!$AK$48</c15:f>
                      <c15:dlblFieldTableCache>
                        <c:ptCount val="1"/>
                        <c:pt idx="0">
                          <c:v>H: +500 CC, 0/0/0.9/3.9, -360 Lease</c:v>
                        </c:pt>
                      </c15:dlblFieldTableCache>
                    </c15:dlblFTEntry>
                  </c15:dlblFieldTable>
                  <c15:showDataLabelsRange val="0"/>
                </c:ext>
                <c:ext xmlns:c16="http://schemas.microsoft.com/office/drawing/2014/chart" uri="{C3380CC4-5D6E-409C-BE32-E72D297353CC}">
                  <c16:uniqueId val="{0000000E-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'L3'!$AC$49</c:f>
              <c:numCache>
                <c:formatCode>_("$"* #,##0_);_("$"* \(#,##0\);_("$"* "-"??_);_(@_)</c:formatCode>
                <c:ptCount val="1"/>
                <c:pt idx="0">
                  <c:v>196.9140756741017</c:v>
                </c:pt>
              </c:numCache>
            </c:numRef>
          </c:xVal>
          <c:yVal>
            <c:numRef>
              <c:f>'L3'!$AI$49</c:f>
              <c:numCache>
                <c:formatCode>0.0%</c:formatCode>
                <c:ptCount val="1"/>
                <c:pt idx="0">
                  <c:v>3.6273649098767714E-2</c:v>
                </c:pt>
              </c:numCache>
            </c:numRef>
          </c:yVal>
          <c:smooth val="0"/>
          <c:extLst>
            <c:ext xmlns:c16="http://schemas.microsoft.com/office/drawing/2014/chart" uri="{C3380CC4-5D6E-409C-BE32-E72D297353CC}">
              <c16:uniqueId val="{0000000F-1B15-40C5-B6E7-B8A5AFDD95AB}"/>
            </c:ext>
          </c:extLst>
        </c:ser>
        <c:ser>
          <c:idx val="8"/>
          <c:order val="8"/>
          <c:tx>
            <c:strRef>
              <c:f>'L3'!$AK$50</c:f>
              <c:strCache>
                <c:ptCount val="1"/>
                <c:pt idx="0">
                  <c:v>I: +500 CC, +500 APR Cash, -360 Lease</c:v>
                </c:pt>
              </c:strCache>
            </c:strRef>
          </c:tx>
          <c:spPr>
            <a:ln w="28575">
              <a:noFill/>
            </a:ln>
          </c:spPr>
          <c:marker>
            <c:symbol val="diamond"/>
            <c:size val="8"/>
            <c:spPr>
              <a:solidFill>
                <a:schemeClr val="tx1"/>
              </a:solidFill>
              <a:ln w="15875">
                <a:solidFill>
                  <a:schemeClr val="tx1"/>
                </a:solidFill>
              </a:ln>
            </c:spPr>
          </c:marker>
          <c:dLbls>
            <c:dLbl>
              <c:idx val="0"/>
              <c:tx>
                <c:strRef>
                  <c:f>'L3'!$AK$50</c:f>
                  <c:strCache>
                    <c:ptCount val="1"/>
                    <c:pt idx="0">
                      <c:v>I: +500 CC, +500 APR Cash,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{ADFC5C5F-1343-4F6A-B9CF-8C6A98849AA2}</c15:txfldGUID>
                      <c15:f>'L3'!$AK$50</c15:f>
                      <c15:dlblFieldTableCache>
                        <c:ptCount val="1"/>
                        <c:pt idx="0">
                          <c:v>I: +500 CC, +500 APR Cash, -360 Lease</c:v>
                        </c:pt>
                      </c15:dlblFieldTableCache>
                    </c15:dlblFTEntry>
                  </c15:dlblFieldTable>
                  <c15:showDataLabelsRange val="0"/>
                </c:ext>
                <c:ext xmlns:c16="http://schemas.microsoft.com/office/drawing/2014/chart" uri="{C3380CC4-5D6E-409C-BE32-E72D297353CC}">
                  <c16:uniqueId val="{00000010-1B15-40C5-B6E7-B8A5AFDD95A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'L3'!$AC$51</c:f>
              <c:numCache>
                <c:formatCode>_("$"* #,##0_);_("$"* \(#,##0\);_("$"* "-"??_);_(@_)</c:formatCode>
                <c:ptCount val="1"/>
                <c:pt idx="0">
                  <c:v>298.04336481345308</c:v>
                </c:pt>
              </c:numCache>
            </c:numRef>
          </c:xVal>
          <c:yVal>
            <c:numRef>
              <c:f>'L3'!$AI$51</c:f>
              <c:numCache>
                <c:formatCode>0.0%</c:formatCode>
                <c:ptCount val="1"/>
                <c:pt idx="0">
                  <c:v>4.9549268732450129E-2</c:v>
                </c:pt>
              </c:numCache>
            </c:numRef>
          </c:yVal>
          <c:smooth val="0"/>
          <c:extLst>
            <c:ext xmlns:c16="http://schemas.microsoft.com/office/drawing/2014/chart" uri="{C3380CC4-5D6E-409C-BE32-E72D297353CC}">
              <c16:uniqueId val="{00000011-1B15-40C5-B6E7-B8A5AFDD95AB}"/>
            </c:ext>
          </c:extLst>
        </c:ser>
        <c:ser>
          <c:idx val="9"/>
          <c:order val="9"/>
          <c:tx>
            <c:strRef>
              <c:f>'L3'!$AK$52</c:f>
              <c:strCache>
                <c:ptCount val="1"/>
                <c:pt idx="0">
                  <c:v>J: +250 CC, 0/0/0.9/3.9, -360 Lease</c:v>
                </c:pt>
              </c:strCache>
            </c:strRef>
          </c:tx>
          <c:spPr>
            <a:ln w="28575">
              <a:noFill/>
            </a:ln>
          </c:spPr>
          <c:marker>
            <c:symbol val="diamond"/>
            <c:size val="8"/>
            <c:spPr>
              <a:solidFill>
                <a:schemeClr val="tx1"/>
              </a:solidFill>
              <a:ln w="15875">
                <a:solidFill>
                  <a:schemeClr val="tx1"/>
                </a:solidFill>
              </a:ln>
            </c:spPr>
          </c:marker>
          <c:dLbls>
            <c:dLbl>
              <c:idx val="0"/>
              <c:tx>
                <c:strRef>
                  <c:f>'L3'!$AK$52</c:f>
                  <c:strCache>
                    <c:ptCount val="1"/>
                    <c:pt idx="0">
                      <c:v>J: +250 CC,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{5B9355F8-0D18-452B-B500-6DD681B1F6CD}</c15:txfldGUID>
                      <c15:f>'L3'!$AK$52</c15:f>
                      <c15:dlblFieldTableCache>
                        <c:ptCount val="1"/>
                        <c:pt idx="0">
                          <c:v>J: +250 CC, 0/0/0.9/3.9, -360 Lease</c:v>
                        </c:pt>
                      </c15:dlblFieldTableCache>
                    </c15:dlblFTEntry>
                  </c15:dlblFieldTable>
                  <c15:showDataLabelsRange val="0"/>
                </c:ext>
                <c:ext xmlns:c16="http://schemas.microsoft.com/office/drawing/2014/chart" uri="{C3380CC4-5D6E-409C-BE32-E72D297353CC}">
                  <c16:uniqueId val="{00000012-1B15-40C5-B6E7-B8A5AFDD95AB}"/>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'L3'!$AC$53</c:f>
              <c:numCache>
                <c:formatCode>_("$"* #,##0_);_("$"* \(#,##0\);_("$"* "-"??_);_(@_)</c:formatCode>
                <c:ptCount val="1"/>
                <c:pt idx="0">
                  <c:v>133.25043792079941</c:v>
                </c:pt>
              </c:numCache>
            </c:numRef>
          </c:xVal>
          <c:yVal>
            <c:numRef>
              <c:f>'L3'!$AI$53</c:f>
              <c:numCache>
                <c:formatCode>0.0%</c:formatCode>
                <c:ptCount val="1"/>
                <c:pt idx="0">
                  <c:v>2.4538190571986331E-2</c:v>
                </c:pt>
              </c:numCache>
            </c:numRef>
          </c:yVal>
          <c:smooth val="0"/>
          <c:extLst>
            <c:ext xmlns:c16="http://schemas.microsoft.com/office/drawing/2014/chart" uri="{C3380CC4-5D6E-409C-BE32-E72D297353CC}">
              <c16:uniqueId val="{00000013-1B15-40C5-B6E7-B8A5AFDD95AB}"/>
            </c:ext>
          </c:extLst>
        </c:ser>
        <c:ser>
          <c:idx val="10"/>
          <c:order val="10"/>
          <c:tx>
            <c:strRef>
              <c:f>'L3'!$AK$54</c:f>
              <c:strCache>
                <c:ptCount val="1"/>
                <c:pt idx="0">
                  <c:v>K: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'L3'!$AK$54</c:f>
                  <c:strCache>
                    <c:ptCount val="1"/>
                    <c:pt idx="0">
                      <c:v>K: +250 CC, 0.9/1.9/2.9/3.9,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{3F02E0F7-3B2C-456C-A9F2-901809DD85ED}</c15:txfldGUID>
                      <c15:f>'L3'!$AK$54</c15:f>
                      <c15:dlblFieldTableCache>
                        <c:ptCount val="1"/>
                        <c:pt idx="0">
                          <c:v>K: +250 CC, 0.9/1.9/2.9/3.9, -360 Lease</c:v>
                        </c:pt>
                      </c15:dlblFieldTableCache>
                    </c15:dlblFTEntry>
                  </c15:dlblFieldTable>
                  <c15:showDataLabelsRange val="0"/>
                </c:ext>
                <c:ext xmlns:c16="http://schemas.microsoft.com/office/drawing/2014/chart" uri="{C3380CC4-5D6E-409C-BE32-E72D297353CC}">
                  <c16:uniqueId val="{00000014-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'L3'!$AC$55</c:f>
              <c:numCache>
                <c:formatCode>_("$"* #,##0_);_("$"* \(#,##0\);_("$"* "-"??_);_(@_)</c:formatCode>
                <c:ptCount val="1"/>
                <c:pt idx="0">
                  <c:v>-237.11812403685917</c:v>
                </c:pt>
              </c:numCache>
            </c:numRef>
          </c:xVal>
          <c:yVal>
            <c:numRef>
              <c:f>'L3'!$AI$55</c:f>
              <c:numCache>
                <c:formatCode>0.0%</c:formatCode>
                <c:ptCount val="1"/>
                <c:pt idx="0">
                  <c:v>-3.1661683125018394E-2</c:v>
                </c:pt>
              </c:numCache>
            </c:numRef>
          </c:yVal>
          <c:smooth val="0"/>
          <c:extLst>
            <c:ext xmlns:c16="http://schemas.microsoft.com/office/drawing/2014/chart" uri="{C3380CC4-5D6E-409C-BE32-E72D297353CC}">
              <c16:uniqueId val="{00000015-1B15-40C5-B6E7-B8A5AFDD95AB}"/>
            </c:ext>
          </c:extLst>
        </c:ser>
        <c:ser>
          <c:idx val="11"/>
          <c:order val="11"/>
          <c:tx>
            <c:strRef>
              <c:f>'L3'!$AK$56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{306952A1-A983-4069-A20C-DBC6A521A638}</c15:txfldGUID>
                      <c15:f>'L3'!$AK$56</c15:f>
                      <c15:dlblFieldTableCache>
                        <c:ptCount val="1"/>
                        <c:pt idx="0">
                          <c:v>#VALUE!</c:v>
                        </c:pt>
                      </c15:dlblFieldTableCache>
                    </c15:dlblFTEntry>
                  </c15:dlblFieldTable>
                  <c15:showDataLabelsRange val="0"/>
                </c:ext>
                <c:ext xmlns:c16="http://schemas.microsoft.com/office/drawing/2014/chart" uri="{C3380CC4-5D6E-409C-BE32-E72D297353CC}">
                  <c16:uniqueId val="{00000016-1B15-40C5-B6E7-B8A5AFDD95A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'L3'!$AC$57</c:f>
              <c:numCache>
                <c:formatCode>_("$"* #,##0_);_("$"* \(#,##0\);_("$"* "-"??_);_(@_)</c:formatCode>
                <c:ptCount val="1"/>
                <c:pt idx="0">
                  <c:v>#N/A</c:v>
                </c:pt>
              </c:numCache>
            </c:numRef>
          </c:xVal>
          <c:yVal>
            <c:numRef>
              <c:f>'L3'!$AI$57</c:f>
              <c:numCache>
                <c:formatCode>0.0%</c:formatCode>
                <c:ptCount val="1"/>
                <c:pt idx="0">
                  <c:v>#N/A</c:v>
                </c:pt>
              </c:numCache>
            </c:numRef>
          </c:yVal>
          <c:smooth val="0"/>
          <c:extLst>
            <c:ext xmlns:c16="http://schemas.microsoft.com/office/drawing/2014/chart" uri="{C3380CC4-5D6E-409C-BE32-E72D297353CC}">
              <c16:uniqueId val="{00000017-1B15-40C5-B6E7-B8A5AFDD95AB}"/>
            </c:ext>
          </c:extLst>
        </c:ser>
        <c:ser>
          <c:idx val="12"/>
          <c:order val="12"/>
          <c:tx>
            <c:strRef>
              <c:f>'L3'!$AK$58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{995249F7-99B6-4515-8728-6FCFBD27515E}</c15:txfldGUID>
                      <c15:f>'L3'!$AK$58</c15:f>
                      <c15:dlblFieldTableCache>
                        <c:ptCount val="1"/>
                        <c:pt idx="0">
                          <c:v>#VALUE!</c:v>
                        </c:pt>
                      </c15:dlblFieldTableCache>
                    </c15:dlblFTEntry>
                  </c15:dlblFieldTable>
                  <c15:showDataLabelsRange val="0"/>
                </c:ext>
                <c:ext xmlns:c16="http://schemas.microsoft.com/office/drawing/2014/chart" uri="{C3380CC4-5D6E-409C-BE32-E72D297353CC}">
                  <c16:uniqueId val="{00000018-1B15-40C5-B6E7-B8A5AFDD95A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'L3'!$AC$59</c:f>
              <c:numCache>
                <c:formatCode>_("$"* #,##0_);_("$"* \(#,##0\);_("$"* "-"??_);_(@_)</c:formatCode>
                <c:ptCount val="1"/>
                <c:pt idx="0">
                  <c:v>#N/A</c:v>
                </c:pt>
              </c:numCache>
            </c:numRef>
          </c:xVal>
          <c:yVal>
            <c:numRef>
              <c:f>'L3'!$AI$59</c:f>
              <c:numCache>
                <c:formatCode>0.0%</c:formatCode>
                <c:ptCount val="1"/>
                <c:pt idx="0">
                  <c:v>#N/A</c:v>
                </c:pt>
              </c:numCache>
            </c:numRef>
          </c:yVal>
          <c:smooth val="0"/>
          <c:extLst>
            <c:ext xmlns:c16="http://schemas.microsoft.com/office/drawing/2014/chart" uri="{C3380CC4-5D6E-409C-BE32-E72D297353CC}">
              <c16:uniqueId val="{00000019-1B15-40C5-B6E7-B8A5AFDD95AB}"/>
            </c:ext>
          </c:extLst>
        </c:ser>
        <c:ser>
          <c:idx val="13"/>
          <c:order val="13"/>
          <c:tx>
            <c:strRef>
              <c:f>'L3'!$AK$60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{F6749E00-BC97-4674-980D-A259C3FD8BB5}</c15:txfldGUID>
                      <c15:f>'L3'!$AK$60</c15:f>
                      <c15:dlblFieldTableCache>
                        <c:ptCount val="1"/>
                        <c:pt idx="0">
                          <c:v>#VALUE!</c:v>
                        </c:pt>
                      </c15:dlblFieldTableCache>
                    </c15:dlblFTEntry>
                  </c15:dlblFieldTable>
                  <c15:showDataLabelsRange val="0"/>
                </c:ext>
                <c:ext xmlns:c16="http://schemas.microsoft.com/office/drawing/2014/chart" uri="{C3380CC4-5D6E-409C-BE32-E72D297353CC}">
                  <c16:uniqueId val="{0000001A-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'L3'!$AC$61</c:f>
              <c:numCache>
                <c:formatCode>_("$"* #,##0_);_("$"* \(#,##0\);_("$"* "-"??_);_(@_)</c:formatCode>
                <c:ptCount val="1"/>
                <c:pt idx="0">
                  <c:v>#N/A</c:v>
                </c:pt>
              </c:numCache>
            </c:numRef>
          </c:xVal>
          <c:yVal>
            <c:numRef>
              <c:f>'L3'!$AI$61</c:f>
              <c:numCache>
                <c:formatCode>0.0%</c:formatCode>
                <c:ptCount val="1"/>
                <c:pt idx="0">
                  <c:v>#N/A</c:v>
                </c:pt>
              </c:numCache>
            </c:numRef>
          </c:yVal>
          <c:smooth val="0"/>
          <c:extLst>
            <c:ext xmlns:c16="http://schemas.microsoft.com/office/drawing/2014/chart" uri="{C3380CC4-5D6E-409C-BE32-E72D297353CC}">
              <c16:uniqueId val="{0000001B-1B15-40C5-B6E7-B8A5AFDD95AB}"/>
            </c:ext>
          </c:extLst>
        </c:ser>
        <c:ser>
          <c:idx val="14"/>
          <c:order val="14"/>
          <c:tx>
            <c:strRef>
              <c:f>'L3'!$AK$62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'L3'!$AK$62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{358A4F2E-783A-43E7-9931-9A3A2892D8DF}</c15:txfldGUID>
                      <c15:f>'L3'!$AK$62</c15:f>
                      <c15:dlblFieldTableCache>
                        <c:ptCount val="1"/>
                        <c:pt idx="0">
                          <c:v>#VALUE!</c:v>
                        </c:pt>
                      </c15:dlblFieldTableCache>
                    </c15:dlblFTEntry>
                  </c15:dlblFieldTable>
                  <c15:showDataLabelsRange val="0"/>
                </c:ext>
                <c:ext xmlns:c16="http://schemas.microsoft.com/office/drawing/2014/chart" uri="{C3380CC4-5D6E-409C-BE32-E72D297353CC}">
                  <c16:uniqueId val="{0000001C-1B15-40C5-B6E7-B8A5AFDD95A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'L3'!$AC$63</c:f>
              <c:numCache>
                <c:formatCode>_("$"* #,##0_);_("$"* \(#,##0\);_("$"* "-"??_);_(@_)</c:formatCode>
                <c:ptCount val="1"/>
                <c:pt idx="0">
                  <c:v>#N/A</c:v>
                </c:pt>
              </c:numCache>
            </c:numRef>
          </c:xVal>
          <c:yVal>
            <c:numRef>
              <c:f>'L3'!$AI$63</c:f>
              <c:numCache>
                <c:formatCode>0.0%</c:formatCode>
                <c:ptCount val="1"/>
                <c:pt idx="0">
                  <c:v>#N/A</c:v>
                </c:pt>
              </c:numCache>
            </c:numRef>
          </c:yVal>
          <c:smooth val="0"/>
          <c:extLst>
            <c:ext xmlns:c16="http://schemas.microsoft.com/office/drawing/2014/chart" uri="{C3380CC4-5D6E-409C-BE32-E72D297353CC}">
              <c16:uniqueId val="{0000001D-1B15-40C5-B6E7-B8A5AFDD95AB}"/>
            </c:ext>
          </c:extLst>
        </c:ser>
        <c:ser>
          <c:idx val="15"/>
          <c:order val="15"/>
          <c:tx>
            <c:strRef>
              <c:f>'L3'!$AK$64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{D0F7B54D-E527-407B-B1CC-AB2EE9A16954}</c15:txfldGUID>
                      <c15:f>'L3'!$AK$64</c15:f>
                      <c15:dlblFieldTableCache>
                        <c:ptCount val="1"/>
                        <c:pt idx="0">
                          <c:v>#VALUE!</c:v>
                        </c:pt>
                      </c15:dlblFieldTableCache>
                    </c15:dlblFTEntry>
                  </c15:dlblFieldTable>
                  <c15:showDataLabelsRange val="0"/>
                </c:ext>
                <c:ext xmlns:c16="http://schemas.microsoft.com/office/drawing/2014/chart" uri="{C3380CC4-5D6E-409C-BE32-E72D297353CC}">
                  <c16:uniqueId val="{0000001E-1B15-40C5-B6E7-B8A5AFDD95A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'L3'!$AC$65</c:f>
              <c:numCache>
                <c:formatCode>_("$"* #,##0_);_("$"* \(#,##0\);_("$"* "-"??_);_(@_)</c:formatCode>
                <c:ptCount val="1"/>
                <c:pt idx="0">
                  <c:v>#N/A</c:v>
                </c:pt>
              </c:numCache>
            </c:numRef>
          </c:xVal>
          <c:yVal>
            <c:numRef>
              <c:f>'L3'!$AI$65</c:f>
              <c:numCache>
                <c:formatCode>0.0%</c:formatCode>
                <c:ptCount val="1"/>
                <c:pt idx="0">
                  <c:v>#N/A</c:v>
                </c:pt>
              </c:numCache>
            </c:numRef>
          </c:yVal>
          <c:smooth val="0"/>
          <c:extLst>
            <c:ext xmlns:c16="http://schemas.microsoft.com/office/drawing/2014/chart" uri="{C3380CC4-5D6E-409C-BE32-E72D297353CC}">
              <c16:uniqueId val="{0000001F-1B15-40C5-B6E7-B8A5AFDD95AB}"/>
            </c:ext>
          </c:extLst>
        </c:ser>
        <c:ser>
          <c:idx val="17"/>
          <c:order val="16"/>
          <c:tx>
            <c:strRef>
              <c:f>'L3'!$AK$66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'L3'!$AC$67</c:f>
              <c:numCache>
                <c:formatCode>_("$"* #,##0_);_("$"* \(#,##0\);_("$"* "-"??_);_(@_)</c:formatCode>
                <c:ptCount val="1"/>
                <c:pt idx="0">
                  <c:v>#N/A</c:v>
                </c:pt>
              </c:numCache>
            </c:numRef>
          </c:xVal>
          <c:yVal>
            <c:numRef>
              <c:f>'L3'!$AI$67</c:f>
              <c:numCache>
                <c:formatCode>0.0%</c:formatCode>
                <c:ptCount val="1"/>
                <c:pt idx="0">
                  <c:v>#N/A</c:v>
                </c:pt>
              </c:numCache>
            </c:numRef>
          </c:yVal>
          <c:smooth val="0"/>
          <c:extLst>
            <c:ext xmlns:c16="http://schemas.microsoft.com/office/drawing/2014/chart" uri="{C3380CC4-5D6E-409C-BE32-E72D297353CC}">
              <c16:uniqueId val="{00000020-1B15-40C5-B6E7-B8A5AFDD95AB}"/>
            </c:ext>
          </c:extLst>
        </c:ser>
        <c:ser>
          <c:idx val="18"/>
          <c:order val="17"/>
          <c:tx>
            <c:strRef>
              <c:f>'L3'!$AK$68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'L3'!$AC$69</c:f>
              <c:numCache>
                <c:formatCode>_("$"* #,##0_);_("$"* \(#,##0\);_("$"* "-"??_);_(@_)</c:formatCode>
                <c:ptCount val="1"/>
                <c:pt idx="0">
                  <c:v>#N/A</c:v>
                </c:pt>
              </c:numCache>
            </c:numRef>
          </c:xVal>
          <c:yVal>
            <c:numRef>
              <c:f>'L3'!$AI$69</c:f>
              <c:numCache>
                <c:formatCode>0.0%</c:formatCode>
                <c:ptCount val="1"/>
                <c:pt idx="0">
                  <c:v>#N/A</c:v>
                </c:pt>
              </c:numCache>
            </c:numRef>
          </c:yVal>
          <c:smooth val="0"/>
          <c:extLst>
            <c:ext xmlns:c16="http://schemas.microsoft.com/office/drawing/2014/chart" uri="{C3380CC4-5D6E-409C-BE32-E72D297353CC}">
              <c16:uniqueId val="{00000021-1B15-40C5-B6E7-B8A5AFDD95AB}"/>
            </c:ext>
          </c:extLst>
        </c:ser>
        <c:ser>
          <c:idx val="16"/>
          <c:order val="18"/>
          <c:tx>
            <c:strRef>
              <c:f>'L3'!$AK$70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'L3'!$AK$70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{DF6BD25B-EBBF-495F-8084-10EE7A8FCB78}</c15:txfldGUID>
                      <c15:f>'L3'!$AK$70</c15:f>
                      <c15:dlblFieldTableCache>
                        <c:ptCount val="1"/>
                        <c:pt idx="0">
                          <c:v>#VALUE!</c:v>
                        </c:pt>
                      </c15:dlblFieldTableCache>
                    </c15:dlblFTEntry>
                  </c15:dlblFieldTable>
                  <c15:showDataLabelsRange val="0"/>
                </c:ext>
                <c:ext xmlns:c16="http://schemas.microsoft.com/office/drawing/2014/chart" uri="{C3380CC4-5D6E-409C-BE32-E72D297353CC}">
                  <c16:uniqueId val="{00000022-1B15-40C5-B6E7-B8A5AFDD95A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'L3'!$AC$71</c:f>
              <c:numCache>
                <c:formatCode>_("$"* #,##0_);_("$"* \(#,##0\);_("$"* "-"??_);_(@_)</c:formatCode>
                <c:ptCount val="1"/>
                <c:pt idx="0">
                  <c:v>#N/A</c:v>
                </c:pt>
              </c:numCache>
            </c:numRef>
          </c:xVal>
          <c:yVal>
            <c:numRef>
              <c:f>'L3'!$AI$71</c:f>
              <c:numCache>
                <c:formatCode>0.0%</c:formatCode>
                <c:ptCount val="1"/>
                <c:pt idx="0">
                  <c:v>#N/A</c:v>
                </c:pt>
              </c:numCache>
            </c:numRef>
          </c:yVal>
          <c:smooth val="0"/>
          <c:extLst>
            <c:ext xmlns:c16="http://schemas.microsoft.com/office/drawing/2014/chart" uri="{C3380CC4-5D6E-409C-BE32-E72D297353CC}">
              <c16:uniqueId val="{00000023-1B15-40C5-B6E7-B8A5AFDD95AB}"/>
            </c:ext>
          </c:extLst>
        </c:ser>
        <c:ser>
          <c:idx val="19"/>
          <c:order val="19"/>
          <c:tx>
            <c:strRef>
              <c:f>'L3'!$AK$33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4.1098050969802409E-3"/>
                  <c:y val="6.6112620597525873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B15-40C5-B6E7-B8A5AFDD95A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'L3'!$AI$33</c:f>
              <c:numCache>
                <c:formatCode>0.0%</c:formatCode>
                <c:ptCount val="1"/>
                <c:pt idx="0">
                  <c:v>0</c:v>
                </c:pt>
              </c:numCache>
            </c:numRef>
          </c:yVal>
          <c:smooth val="0"/>
          <c:extLst>
            <c:ext xmlns:c16="http://schemas.microsoft.com/office/drawing/2014/chart" uri="{C3380CC4-5D6E-409C-BE32-E72D297353CC}">
              <c16:uniqueId val="{00000025-1B15-40C5-B6E7-B8A5AFDD95AB}"/>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'R1'!$AK$34</c:f>
              <c:strCache>
                <c:ptCount val="1"/>
                <c:pt idx="0">
                  <c:v>A: +750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'R1'!$AK$34</c:f>
                  <c:strCache>
                    <c:ptCount val="1"/>
                    <c:pt idx="0">
                      <c:v>A: +750 CC, -360 Lease</c:v>
                    </c:pt>
                  </c:strCache>
                </c:strRef>
              </c:tx>
              <c:dLblPos val="l"/>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{B26B366F-1FA6-4738-A28F-E3196005F615}</c15:txfldGUID>
                      <c15:f>'R1'!$AK$34</c15:f>
                      <c15:dlblFieldTableCache>
                        <c:ptCount val="1"/>
                        <c:pt idx="0">
                          <c:v>A: +750 CC, -360 Lease</c:v>
                        </c:pt>
                      </c15:dlblFieldTableCache>
                    </c15:dlblFTEntry>
                  </c15:dlblFieldTable>
                  <c15:showDataLabelsRange val="0"/>
                </c:ext>
                <c:ext xmlns:c16="http://schemas.microsoft.com/office/drawing/2014/chart" uri="{C3380CC4-5D6E-409C-BE32-E72D297353CC}">
                  <c16:uniqueId val="{00000000-B8B7-4A0A-B6CE-6EC59DE0E144}"/>
                </c:ext>
              </c:extLst>
            </c:dLbl>
            <c:spPr>
              <a:noFill/>
            </c:spPr>
            <c:txPr>
              <a:bodyPr vertOverflow="overflow" horzOverflow="overflow">
                <a:spAutoFit/>
              </a:bodyPr>
              <a:lstStyle/>
              <a:p>
                <a:pPr>
                  <a:defRPr sz="1400" b="0">
                    <a:latin typeface="+mn-lt"/>
                  </a:defRPr>
                </a:pPr>
                <a:endParaRPr lang="en-US"/>
              </a:p>
            </c:txPr>
            <c:dLblPos val="l"/>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'R1'!$AC$35</c:f>
              <c:numCache>
                <c:formatCode>_("$"* #,##0_);_("$"* \(#,##0\);_("$"* "-"??_);_(@_)</c:formatCode>
                <c:ptCount val="1"/>
                <c:pt idx="0">
                  <c:v>271.0942736962902</c:v>
                </c:pt>
              </c:numCache>
              <c:extLst xmlns:c15="http://schemas.microsoft.com/office/drawing/2012/chart"/>
            </c:numRef>
          </c:xVal>
          <c:yVal>
            <c:numRef>
              <c:f>'R1'!$AI$35</c:f>
              <c:numCache>
                <c:formatCode>0.0%</c:formatCode>
                <c:ptCount val="1"/>
                <c:pt idx="0">
                  <c:v>3.7897501715996471E-2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B8B7-4A0A-B6CE-6EC59DE0E144}"/>
            </c:ext>
          </c:extLst>
        </c:ser>
        <c:ser>
          <c:idx val="1"/>
          <c:order val="1"/>
          <c:tx>
            <c:strRef>
              <c:f>'R1'!$AK$36</c:f>
              <c:strCache>
                <c:ptCount val="1"/>
                <c:pt idx="0">
                  <c:v>B: +250 CC, 0/0/0.9/3.9</c:v>
                </c:pt>
              </c:strCache>
            </c:strRef>
          </c:tx>
          <c:spPr>
            <a:ln w="31750">
              <a:noFill/>
            </a:ln>
          </c:spPr>
          <c:marker>
            <c:symbol val="diamond"/>
            <c:size val="8"/>
            <c:spPr>
              <a:solidFill>
                <a:schemeClr val="tx1"/>
              </a:solidFill>
              <a:ln w="15875">
                <a:solidFill>
                  <a:schemeClr val="tx1"/>
                </a:solidFill>
              </a:ln>
            </c:spPr>
          </c:marker>
          <c:dLbls>
            <c:dLbl>
              <c:idx val="0"/>
              <c:tx>
                <c:strRef>
                  <c:f>'R1'!$AK$36</c:f>
                  <c:strCache>
                    <c:ptCount val="1"/>
                    <c:pt idx="0">
                      <c:v>B: +250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{E1D1826F-8CAC-44A2-96F7-4F14D869E203}</c15:txfldGUID>
                      <c15:f>'R1'!$AK$36</c15:f>
                      <c15:dlblFieldTableCache>
                        <c:ptCount val="1"/>
                        <c:pt idx="0">
                          <c:v>B: +250 CC, 0/0/0.9/3.9</c:v>
                        </c:pt>
                      </c15:dlblFieldTableCache>
                    </c15:dlblFTEntry>
                  </c15:dlblFieldTable>
                  <c15:showDataLabelsRange val="0"/>
                </c:ext>
                <c:ext xmlns:c16="http://schemas.microsoft.com/office/drawing/2014/chart" uri="{C3380CC4-5D6E-409C-BE32-E72D297353CC}">
                  <c16:uniqueId val="{00000002-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'R1'!$AC$37</c:f>
              <c:numCache>
                <c:formatCode>_("$"* #,##0_);_("$"* \(#,##0\);_("$"* "-"??_);_(@_)</c:formatCode>
                <c:ptCount val="1"/>
                <c:pt idx="0">
                  <c:v>280.17093355111592</c:v>
                </c:pt>
              </c:numCache>
            </c:numRef>
          </c:xVal>
          <c:yVal>
            <c:numRef>
              <c:f>'R1'!$AI$37</c:f>
              <c:numCache>
                <c:formatCode>0.0%</c:formatCode>
                <c:ptCount val="1"/>
                <c:pt idx="0">
                  <c:v>3.9039541025146667E-2</c:v>
                </c:pt>
              </c:numCache>
            </c:numRef>
          </c:yVal>
          <c:smooth val="0"/>
          <c:extLst>
            <c:ext xmlns:c16="http://schemas.microsoft.com/office/drawing/2014/chart" uri="{C3380CC4-5D6E-409C-BE32-E72D297353CC}">
              <c16:uniqueId val="{00000003-B8B7-4A0A-B6CE-6EC59DE0E144}"/>
            </c:ext>
          </c:extLst>
        </c:ser>
        <c:ser>
          <c:idx val="2"/>
          <c:order val="2"/>
          <c:tx>
            <c:strRef>
              <c:f>'R1'!$AK$38</c:f>
              <c:strCache>
                <c:ptCount val="1"/>
                <c:pt idx="0">
                  <c:v>C: +500 CC, -360 Lease</c:v>
                </c:pt>
              </c:strCache>
            </c:strRef>
          </c:tx>
          <c:spPr>
            <a:ln w="28575">
              <a:noFill/>
            </a:ln>
          </c:spPr>
          <c:marker>
            <c:symbol val="diamond"/>
            <c:size val="8"/>
            <c:spPr>
              <a:solidFill>
                <a:schemeClr val="tx1"/>
              </a:solidFill>
              <a:ln w="15875">
                <a:solidFill>
                  <a:schemeClr val="tx1"/>
                </a:solidFill>
              </a:ln>
            </c:spPr>
          </c:marker>
          <c:dLbls>
            <c:dLbl>
              <c:idx val="0"/>
              <c:tx>
                <c:strRef>
                  <c:f>'R1'!$AK$38</c:f>
                  <c:strCache>
                    <c:ptCount val="1"/>
                    <c:pt idx="0">
                      <c:v>C: +500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{649C5EA4-58C8-4400-B808-1621BBD70C49}</c15:txfldGUID>
                      <c15:f>'R1'!$AK$38</c15:f>
                      <c15:dlblFieldTableCache>
                        <c:ptCount val="1"/>
                        <c:pt idx="0">
                          <c:v>C: +500 CC, -360 Lease</c:v>
                        </c:pt>
                      </c15:dlblFieldTableCache>
                    </c15:dlblFTEntry>
                  </c15:dlblFieldTable>
                  <c15:showDataLabelsRange val="0"/>
                </c:ext>
                <c:ext xmlns:c16="http://schemas.microsoft.com/office/drawing/2014/chart" uri="{C3380CC4-5D6E-409C-BE32-E72D297353CC}">
                  <c16:uniqueId val="{00000004-B8B7-4A0A-B6CE-6EC59DE0E144}"/>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'R1'!$AC$39</c:f>
              <c:numCache>
                <c:formatCode>_("$"* #,##0_);_("$"* \(#,##0\);_("$"* "-"??_);_(@_)</c:formatCode>
                <c:ptCount val="1"/>
                <c:pt idx="0">
                  <c:v>160.47577373609556</c:v>
                </c:pt>
              </c:numCache>
            </c:numRef>
          </c:xVal>
          <c:yVal>
            <c:numRef>
              <c:f>'R1'!$AI$39</c:f>
              <c:numCache>
                <c:formatCode>0.0%</c:formatCode>
                <c:ptCount val="1"/>
                <c:pt idx="0">
                  <c:v>2.3011475735844656E-2</c:v>
                </c:pt>
              </c:numCache>
            </c:numRef>
          </c:yVal>
          <c:smooth val="0"/>
          <c:extLst>
            <c:ext xmlns:c16="http://schemas.microsoft.com/office/drawing/2014/chart" uri="{C3380CC4-5D6E-409C-BE32-E72D297353CC}">
              <c16:uniqueId val="{00000005-B8B7-4A0A-B6CE-6EC59DE0E144}"/>
            </c:ext>
          </c:extLst>
        </c:ser>
        <c:ser>
          <c:idx val="3"/>
          <c:order val="3"/>
          <c:tx>
            <c:strRef>
              <c:f>'R1'!$AK$40</c:f>
              <c:strCache>
                <c:ptCount val="1"/>
                <c:pt idx="0">
                  <c:v>D: +250 CC, -360 Lease</c:v>
                </c:pt>
              </c:strCache>
            </c:strRef>
          </c:tx>
          <c:spPr>
            <a:ln w="28575">
              <a:noFill/>
            </a:ln>
          </c:spPr>
          <c:marker>
            <c:symbol val="diamond"/>
            <c:size val="8"/>
            <c:spPr>
              <a:solidFill>
                <a:schemeClr val="tx1"/>
              </a:solidFill>
              <a:ln w="15875">
                <a:solidFill>
                  <a:schemeClr val="tx1"/>
                </a:solidFill>
              </a:ln>
            </c:spPr>
          </c:marker>
          <c:dLbls>
            <c:dLbl>
              <c:idx val="0"/>
              <c:tx>
                <c:strRef>
                  <c:f>'R1'!$AK$40</c:f>
                  <c:strCache>
                    <c:ptCount val="1"/>
                    <c:pt idx="0">
                      <c:v>D: +250 CC, -360 Lease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{659CDCD5-CFAC-4863-BB57-2EDC2E92EF6A}</c15:txfldGUID>
                      <c15:f>'R1'!$AK$40</c15:f>
                      <c15:dlblFieldTableCache>
                        <c:ptCount val="1"/>
                        <c:pt idx="0">
                          <c:v>D: +250 CC, -360 Lease</c:v>
                        </c:pt>
                      </c15:dlblFieldTableCache>
                    </c15:dlblFTEntry>
                  </c15:dlblFieldTable>
                  <c15:showDataLabelsRange val="0"/>
                </c:ext>
                <c:ext xmlns:c16="http://schemas.microsoft.com/office/drawing/2014/chart" uri="{C3380CC4-5D6E-409C-BE32-E72D297353CC}">
                  <c16:uniqueId val="{00000006-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'R1'!$AC$41</c:f>
              <c:numCache>
                <c:formatCode>_("$"* #,##0_);_("$"* \(#,##0\);_("$"* "-"??_);_(@_)</c:formatCode>
                <c:ptCount val="1"/>
                <c:pt idx="0">
                  <c:v>57.668386836002355</c:v>
                </c:pt>
              </c:numCache>
            </c:numRef>
          </c:xVal>
          <c:yVal>
            <c:numRef>
              <c:f>'R1'!$AI$41</c:f>
              <c:numCache>
                <c:formatCode>0.0%</c:formatCode>
                <c:ptCount val="1"/>
                <c:pt idx="0">
                  <c:v>9.0813974074254941E-3</c:v>
                </c:pt>
              </c:numCache>
            </c:numRef>
          </c:yVal>
          <c:smooth val="0"/>
          <c:extLst>
            <c:ext xmlns:c16="http://schemas.microsoft.com/office/drawing/2014/chart" uri="{C3380CC4-5D6E-409C-BE32-E72D297353CC}">
              <c16:uniqueId val="{00000007-B8B7-4A0A-B6CE-6EC59DE0E144}"/>
            </c:ext>
          </c:extLst>
        </c:ser>
        <c:ser>
          <c:idx val="4"/>
          <c:order val="4"/>
          <c:tx>
            <c:strRef>
              <c:f>'R1'!$AK$42</c:f>
              <c:strCache>
                <c:ptCount val="1"/>
                <c:pt idx="0">
                  <c:v>E: +250 CC, +250 APR Cash</c:v>
                </c:pt>
              </c:strCache>
            </c:strRef>
          </c:tx>
          <c:spPr>
            <a:ln w="15875">
              <a:noFill/>
            </a:ln>
          </c:spPr>
          <c:marker>
            <c:symbol val="diamond"/>
            <c:size val="8"/>
            <c:spPr>
              <a:solidFill>
                <a:schemeClr val="tx1"/>
              </a:solidFill>
              <a:ln w="15875">
                <a:solidFill>
                  <a:schemeClr val="tx1"/>
                </a:solidFill>
              </a:ln>
            </c:spPr>
          </c:marker>
          <c:dLbls>
            <c:dLbl>
              <c:idx val="0"/>
              <c:layout>
                <c:manualLayout>
                  <c:x val="-5.0818251886876449E-2"/>
                  <c:y val="8.9197873478392364E-2"/>
                </c:manualLayout>
              </c:layout>
              <c:tx>
                <c:strRef>
                  <c:f>'R1'!$AK$42</c:f>
                  <c:strCache>
                    <c:ptCount val="1"/>
                    <c:pt idx="0">
                      <c:v>E: +250 CC, +250 APR Cash</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{F4F1BC61-1292-441D-B1E6-64CEE1A58E1B}</c15:txfldGUID>
                      <c15:f>'R1'!$AK$42</c15:f>
                      <c15:dlblFieldTableCache>
                        <c:ptCount val="1"/>
                        <c:pt idx="0">
                          <c:v>E: +250 CC, +250 APR Cash</c:v>
                        </c:pt>
                      </c15:dlblFieldTableCache>
                    </c15:dlblFTEntry>
                  </c15:dlblFieldTable>
                  <c15:showDataLabelsRange val="0"/>
                </c:ext>
                <c:ext xmlns:c16="http://schemas.microsoft.com/office/drawing/2014/chart" uri="{C3380CC4-5D6E-409C-BE32-E72D297353CC}">
                  <c16:uniqueId val="{00000008-B8B7-4A0A-B6CE-6EC59DE0E144}"/>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'R1'!$AC$43</c:f>
              <c:numCache>
                <c:formatCode>_("$"* #,##0_);_("$"* \(#,##0\);_("$"* "-"??_);_(@_)</c:formatCode>
                <c:ptCount val="1"/>
                <c:pt idx="0">
                  <c:v>226.66103656240648</c:v>
                </c:pt>
              </c:numCache>
            </c:numRef>
          </c:xVal>
          <c:yVal>
            <c:numRef>
              <c:f>'R1'!$AI$43</c:f>
              <c:numCache>
                <c:formatCode>0.0%</c:formatCode>
                <c:ptCount val="1"/>
                <c:pt idx="0">
                  <c:v>3.1279927838115923E-2</c:v>
                </c:pt>
              </c:numCache>
            </c:numRef>
          </c:yVal>
          <c:smooth val="0"/>
          <c:extLst>
            <c:ext xmlns:c16="http://schemas.microsoft.com/office/drawing/2014/chart" uri="{C3380CC4-5D6E-409C-BE32-E72D297353CC}">
              <c16:uniqueId val="{00000009-B8B7-4A0A-B6CE-6EC59DE0E144}"/>
            </c:ext>
          </c:extLst>
        </c:ser>
        <c:ser>
          <c:idx val="5"/>
          <c:order val="5"/>
          <c:tx>
            <c:strRef>
              <c:f>'R1'!$AK$44</c:f>
              <c:strCache>
                <c:ptCount val="1"/>
                <c:pt idx="0">
                  <c:v>F: +500 CC, +360 Lease</c:v>
                </c:pt>
              </c:strCache>
            </c:strRef>
          </c:tx>
          <c:spPr>
            <a:ln w="28575">
              <a:noFill/>
            </a:ln>
          </c:spPr>
          <c:marker>
            <c:symbol val="diamond"/>
            <c:size val="8"/>
            <c:spPr>
              <a:solidFill>
                <a:schemeClr val="tx1"/>
              </a:solidFill>
              <a:ln w="15875">
                <a:solidFill>
                  <a:schemeClr val="tx1"/>
                </a:solidFill>
              </a:ln>
            </c:spPr>
          </c:marker>
          <c:dLbls>
            <c:dLbl>
              <c:idx val="0"/>
              <c:tx>
                <c:strRef>
                  <c:f>'R1'!$AK$44</c:f>
                  <c:strCache>
                    <c:ptCount val="1"/>
                    <c:pt idx="0">
                      <c:v>F: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{2F254BB8-A0EF-4F2C-B2C6-6D70B92A1300}</c15:txfldGUID>
                      <c15:f>'R1'!$AK$44</c15:f>
                      <c15:dlblFieldTableCache>
                        <c:ptCount val="1"/>
                        <c:pt idx="0">
                          <c:v>F: +500 CC, +360 Lease</c:v>
                        </c:pt>
                      </c15:dlblFieldTableCache>
                    </c15:dlblFTEntry>
                  </c15:dlblFieldTable>
                  <c15:showDataLabelsRange val="0"/>
                </c:ext>
                <c:ext xmlns:c16="http://schemas.microsoft.com/office/drawing/2014/chart" uri="{C3380CC4-5D6E-409C-BE32-E72D297353CC}">
                  <c16:uniqueId val="{0000000A-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'R1'!$AC$45</c:f>
              <c:numCache>
                <c:formatCode>_("$"* #,##0_);_("$"* \(#,##0\);_("$"* "-"??_);_(@_)</c:formatCode>
                <c:ptCount val="1"/>
                <c:pt idx="0">
                  <c:v>225.49691228216034</c:v>
                </c:pt>
              </c:numCache>
            </c:numRef>
          </c:xVal>
          <c:yVal>
            <c:numRef>
              <c:f>'R1'!$AI$45</c:f>
              <c:numCache>
                <c:formatCode>0.0%</c:formatCode>
                <c:ptCount val="1"/>
                <c:pt idx="0">
                  <c:v>3.0526092647504159E-2</c:v>
                </c:pt>
              </c:numCache>
            </c:numRef>
          </c:yVal>
          <c:smooth val="0"/>
          <c:extLst>
            <c:ext xmlns:c16="http://schemas.microsoft.com/office/drawing/2014/chart" uri="{C3380CC4-5D6E-409C-BE32-E72D297353CC}">
              <c16:uniqueId val="{0000000B-B8B7-4A0A-B6CE-6EC59DE0E144}"/>
            </c:ext>
          </c:extLst>
        </c:ser>
        <c:ser>
          <c:idx val="6"/>
          <c:order val="6"/>
          <c:tx>
            <c:strRef>
              <c:f>'R1'!$AK$46</c:f>
              <c:strCache>
                <c:ptCount val="1"/>
                <c:pt idx="0">
                  <c:v>G: -250 CC, -360 Lease</c:v>
                </c:pt>
              </c:strCache>
            </c:strRef>
          </c:tx>
          <c:spPr>
            <a:ln w="15875">
              <a:noFill/>
            </a:ln>
          </c:spPr>
          <c:marker>
            <c:symbol val="diamond"/>
            <c:size val="8"/>
            <c:spPr>
              <a:solidFill>
                <a:schemeClr val="tx1"/>
              </a:solidFill>
              <a:ln w="15875">
                <a:solidFill>
                  <a:schemeClr val="tx1"/>
                </a:solidFill>
              </a:ln>
            </c:spPr>
          </c:marker>
          <c:dLbls>
            <c:dLbl>
              <c:idx val="0"/>
              <c:tx>
                <c:strRef>
                  <c:f>'R1'!$AK$46</c:f>
                  <c:strCache>
                    <c:ptCount val="1"/>
                    <c:pt idx="0">
                      <c:v>G: -250 CC, -360 Lease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{0A84D0A8-1823-4F20-8B5C-2EDF3191868B}</c15:txfldGUID>
                      <c15:f>'R1'!$AK$46</c15:f>
                      <c15:dlblFieldTableCache>
                        <c:ptCount val="1"/>
                        <c:pt idx="0">
                          <c:v>G: -250 CC, -360 Lease</c:v>
                        </c:pt>
                      </c15:dlblFieldTableCache>
                    </c15:dlblFTEntry>
                  </c15:dlblFieldTable>
                  <c15:showDataLabelsRange val="0"/>
                </c:ext>
                <c:ext xmlns:c16="http://schemas.microsoft.com/office/drawing/2014/chart" uri="{C3380CC4-5D6E-409C-BE32-E72D297353CC}">
                  <c16:uniqueId val="{0000000C-B8B7-4A0A-B6CE-6EC59DE0E144}"/>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'R1'!$AC$47</c:f>
              <c:numCache>
                <c:formatCode>_("$"* #,##0_);_("$"* \(#,##0\);_("$"* "-"??_);_(@_)</c:formatCode>
                <c:ptCount val="1"/>
                <c:pt idx="0">
                  <c:v>-122.79259606867208</c:v>
                </c:pt>
              </c:numCache>
            </c:numRef>
          </c:xVal>
          <c:yVal>
            <c:numRef>
              <c:f>'R1'!$AI$47</c:f>
              <c:numCache>
                <c:formatCode>0.0%</c:formatCode>
                <c:ptCount val="1"/>
                <c:pt idx="0">
                  <c:v>-1.594073819651242E-2</c:v>
                </c:pt>
              </c:numCache>
            </c:numRef>
          </c:yVal>
          <c:smooth val="0"/>
          <c:extLst>
            <c:ext xmlns:c16="http://schemas.microsoft.com/office/drawing/2014/chart" uri="{C3380CC4-5D6E-409C-BE32-E72D297353CC}">
              <c16:uniqueId val="{0000000D-B8B7-4A0A-B6CE-6EC59DE0E144}"/>
            </c:ext>
          </c:extLst>
        </c:ser>
        <c:ser>
          <c:idx val="7"/>
          <c:order val="7"/>
          <c:tx>
            <c:strRef>
              <c:f>'R1'!$AK$48</c:f>
              <c:strCache>
                <c:ptCount val="1"/>
                <c:pt idx="0">
                  <c:v>H: -1000 Event RBC, -500 Event Lease</c:v>
                </c:pt>
              </c:strCache>
            </c:strRef>
          </c:tx>
          <c:spPr>
            <a:ln w="15875">
              <a:noFill/>
            </a:ln>
          </c:spPr>
          <c:marker>
            <c:symbol val="diamond"/>
            <c:size val="8"/>
            <c:spPr>
              <a:solidFill>
                <a:schemeClr val="tx1"/>
              </a:solidFill>
              <a:ln w="15875">
                <a:solidFill>
                  <a:schemeClr val="tx1"/>
                </a:solidFill>
              </a:ln>
            </c:spPr>
          </c:marker>
          <c:dLbls>
            <c:dLbl>
              <c:idx val="0"/>
              <c:tx>
                <c:strRef>
                  <c:f>'R1'!$AK$48</c:f>
                  <c:strCache>
                    <c:ptCount val="1"/>
                    <c:pt idx="0">
                      <c:v>H: -1000 Event RBC, -500 Event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{A46D258E-374C-47FF-833F-F251D11FE3DC}</c15:txfldGUID>
                      <c15:f>'R1'!$AK$48</c15:f>
                      <c15:dlblFieldTableCache>
                        <c:ptCount val="1"/>
                        <c:pt idx="0">
                          <c:v>H: -1000 Event RBC, -500 Event Lease</c:v>
                        </c:pt>
                      </c15:dlblFieldTableCache>
                    </c15:dlblFTEntry>
                  </c15:dlblFieldTable>
                  <c15:showDataLabelsRange val="0"/>
                </c:ext>
                <c:ext xmlns:c16="http://schemas.microsoft.com/office/drawing/2014/chart" uri="{C3380CC4-5D6E-409C-BE32-E72D297353CC}">
                  <c16:uniqueId val="{0000000E-B8B7-4A0A-B6CE-6EC59DE0E144}"/>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'R1'!$AC$49</c:f>
              <c:numCache>
                <c:formatCode>_("$"* #,##0_);_("$"* \(#,##0\);_("$"* "-"??_);_(@_)</c:formatCode>
                <c:ptCount val="1"/>
                <c:pt idx="0">
                  <c:v>-258.10427414256947</c:v>
                </c:pt>
              </c:numCache>
            </c:numRef>
          </c:xVal>
          <c:yVal>
            <c:numRef>
              <c:f>'R1'!$AI$49</c:f>
              <c:numCache>
                <c:formatCode>0.0%</c:formatCode>
                <c:ptCount val="1"/>
                <c:pt idx="0">
                  <c:v>-3.4376907928380239E-2</c:v>
                </c:pt>
              </c:numCache>
            </c:numRef>
          </c:yVal>
          <c:smooth val="0"/>
          <c:extLst>
            <c:ext xmlns:c16="http://schemas.microsoft.com/office/drawing/2014/chart" uri="{C3380CC4-5D6E-409C-BE32-E72D297353CC}">
              <c16:uniqueId val="{0000000F-B8B7-4A0A-B6CE-6EC59DE0E144}"/>
            </c:ext>
          </c:extLst>
        </c:ser>
        <c:ser>
          <c:idx val="8"/>
          <c:order val="8"/>
          <c:tx>
            <c:strRef>
              <c:f>'R1'!$AK$50</c:f>
              <c:strCache>
                <c:ptCount val="1"/>
                <c:pt idx="0">
                  <c:v>I: +250 CC, +360 Lease</c:v>
                </c:pt>
              </c:strCache>
            </c:strRef>
          </c:tx>
          <c:spPr>
            <a:ln w="28575">
              <a:noFill/>
            </a:ln>
          </c:spPr>
          <c:marker>
            <c:symbol val="diamond"/>
            <c:size val="8"/>
            <c:spPr>
              <a:solidFill>
                <a:schemeClr val="tx1"/>
              </a:solidFill>
              <a:ln w="15875">
                <a:solidFill>
                  <a:schemeClr val="tx1"/>
                </a:solidFill>
              </a:ln>
            </c:spPr>
          </c:marker>
          <c:dLbls>
            <c:dLbl>
              <c:idx val="0"/>
              <c:tx>
                <c:strRef>
                  <c:f>'R1'!$AK$50</c:f>
                  <c:strCache>
                    <c:ptCount val="1"/>
                    <c:pt idx="0">
                      <c:v>I: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{90AEB366-199A-45EA-A670-D245129921FB}</c15:txfldGUID>
                      <c15:f>'R1'!$AK$50</c15:f>
                      <c15:dlblFieldTableCache>
                        <c:ptCount val="1"/>
                        <c:pt idx="0">
                          <c:v>I: +250 CC, +360 Lease</c:v>
                        </c:pt>
                      </c15:dlblFieldTableCache>
                    </c15:dlblFTEntry>
                  </c15:dlblFieldTable>
                  <c15:showDataLabelsRange val="0"/>
                </c:ext>
                <c:ext xmlns:c16="http://schemas.microsoft.com/office/drawing/2014/chart" uri="{C3380CC4-5D6E-409C-BE32-E72D297353CC}">
                  <c16:uniqueId val="{00000010-B8B7-4A0A-B6CE-6EC59DE0E144}"/>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'R1'!$AC$51</c:f>
              <c:numCache>
                <c:formatCode>_("$"* #,##0_);_("$"* \(#,##0\);_("$"* "-"??_);_(@_)</c:formatCode>
                <c:ptCount val="1"/>
                <c:pt idx="0">
                  <c:v>132.25254136819149</c:v>
                </c:pt>
              </c:numCache>
            </c:numRef>
          </c:xVal>
          <c:yVal>
            <c:numRef>
              <c:f>'R1'!$AI$51</c:f>
              <c:numCache>
                <c:formatCode>0.0%</c:formatCode>
                <c:ptCount val="1"/>
                <c:pt idx="0">
                  <c:v>1.6936918096430165E-2</c:v>
                </c:pt>
              </c:numCache>
            </c:numRef>
          </c:yVal>
          <c:smooth val="0"/>
          <c:extLst>
            <c:ext xmlns:c16="http://schemas.microsoft.com/office/drawing/2014/chart" uri="{C3380CC4-5D6E-409C-BE32-E72D297353CC}">
              <c16:uniqueId val="{00000011-B8B7-4A0A-B6CE-6EC59DE0E144}"/>
            </c:ext>
          </c:extLst>
        </c:ser>
        <c:ser>
          <c:idx val="9"/>
          <c:order val="9"/>
          <c:tx>
            <c:strRef>
              <c:f>'R1'!$AK$52</c:f>
              <c:strCache>
                <c:ptCount val="1"/>
                <c:pt idx="0">
                  <c:v>J: -500 CC, -360 Lease</c:v>
                </c:pt>
              </c:strCache>
            </c:strRef>
          </c:tx>
          <c:spPr>
            <a:ln w="28575">
              <a:noFill/>
            </a:ln>
          </c:spPr>
          <c:marker>
            <c:symbol val="diamond"/>
            <c:size val="8"/>
            <c:spPr>
              <a:solidFill>
                <a:schemeClr val="tx1"/>
              </a:solidFill>
              <a:ln w="15875">
                <a:solidFill>
                  <a:schemeClr val="tx1"/>
                </a:solidFill>
              </a:ln>
            </c:spPr>
          </c:marker>
          <c:dLbls>
            <c:dLbl>
              <c:idx val="0"/>
              <c:tx>
                <c:strRef>
                  <c:f>'R1'!$AK$52</c:f>
                  <c:strCache>
                    <c:ptCount val="1"/>
                    <c:pt idx="0">
                      <c:v>J: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{FEAE91D4-0D92-4E18-9F30-BB5768B59A92}</c15:txfldGUID>
                      <c15:f>'R1'!$AK$52</c15:f>
                      <c15:dlblFieldTableCache>
                        <c:ptCount val="1"/>
                        <c:pt idx="0">
                          <c:v>J: -500 CC, -360 Lease</c:v>
                        </c:pt>
                      </c15:dlblFieldTableCache>
                    </c15:dlblFTEntry>
                  </c15:dlblFieldTable>
                  <c15:showDataLabelsRange val="0"/>
                </c:ext>
                <c:ext xmlns:c16="http://schemas.microsoft.com/office/drawing/2014/chart" uri="{C3380CC4-5D6E-409C-BE32-E72D297353CC}">
                  <c16:uniqueId val="{00000012-B8B7-4A0A-B6CE-6EC59DE0E144}"/>
                </c:ext>
              </c:extLst>
            </c:dLbl>
            <c:spPr>
              <a:noFill/>
              <a:ln>
                <a:noFill/>
              </a:ln>
              <a:effectLst/>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'R1'!$AC$53</c:f>
              <c:numCache>
                <c:formatCode>_("$"* #,##0_);_("$"* \(#,##0\);_("$"* "-"??_);_(@_)</c:formatCode>
                <c:ptCount val="1"/>
                <c:pt idx="0">
                  <c:v>-199.55370091136774</c:v>
                </c:pt>
              </c:numCache>
            </c:numRef>
          </c:xVal>
          <c:yVal>
            <c:numRef>
              <c:f>'R1'!$AI$53</c:f>
              <c:numCache>
                <c:formatCode>0.0%</c:formatCode>
                <c:ptCount val="1"/>
                <c:pt idx="0">
                  <c:v>-2.7044887626930136E-2</c:v>
                </c:pt>
              </c:numCache>
            </c:numRef>
          </c:yVal>
          <c:smooth val="0"/>
          <c:extLst>
            <c:ext xmlns:c16="http://schemas.microsoft.com/office/drawing/2014/chart" uri="{C3380CC4-5D6E-409C-BE32-E72D297353CC}">
              <c16:uniqueId val="{00000013-B8B7-4A0A-B6CE-6EC59DE0E144}"/>
            </c:ext>
          </c:extLst>
        </c:ser>
        <c:ser>
          <c:idx val="10"/>
          <c:order val="10"/>
          <c:tx>
            <c:strRef>
              <c:f>'R1'!$AK$54</c:f>
              <c:strCache>
                <c:ptCount val="1"/>
                <c:pt idx="0">
                  <c:v>K: 0.9/1.9/2.9/3.9, -360 Lease</c:v>
                </c:pt>
              </c:strCache>
            </c:strRef>
          </c:tx>
          <c:spPr>
            <a:ln w="28575">
              <a:noFill/>
            </a:ln>
          </c:spPr>
          <c:marker>
            <c:symbol val="diamond"/>
            <c:size val="8"/>
            <c:spPr>
              <a:solidFill>
                <a:schemeClr val="tx1"/>
              </a:solidFill>
              <a:ln w="15875">
                <a:solidFill>
                  <a:schemeClr val="tx1"/>
                </a:solidFill>
              </a:ln>
            </c:spPr>
          </c:marker>
          <c:dLbls>
            <c:dLbl>
              <c:idx val="0"/>
              <c:tx>
                <c:strRef>
                  <c:f>'R1'!$AK$54</c:f>
                  <c:strCache>
                    <c:ptCount val="1"/>
                    <c:pt idx="0">
                      <c:v>K: 0.9/1.9/2.9/3.9,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{834AD8B2-84EF-4020-BF80-ABDD6DC619A6}</c15:txfldGUID>
                      <c15:f>'R1'!$AK$54</c15:f>
                      <c15:dlblFieldTableCache>
                        <c:ptCount val="1"/>
                        <c:pt idx="0">
                          <c:v>K: 0.9/1.9/2.9/3.9, -360 Lease</c:v>
                        </c:pt>
                      </c15:dlblFieldTableCache>
                    </c15:dlblFTEntry>
                  </c15:dlblFieldTable>
                  <c15:showDataLabelsRange val="0"/>
                </c:ext>
                <c:ext xmlns:c16="http://schemas.microsoft.com/office/drawing/2014/chart" uri="{C3380CC4-5D6E-409C-BE32-E72D297353CC}">
                  <c16:uniqueId val="{00000014-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'R1'!$AC$55</c:f>
              <c:numCache>
                <c:formatCode>_("$"* #,##0_);_("$"* \(#,##0\);_("$"* "-"??_);_(@_)</c:formatCode>
                <c:ptCount val="1"/>
                <c:pt idx="0">
                  <c:v>-248.24758998717925</c:v>
                </c:pt>
              </c:numCache>
            </c:numRef>
          </c:xVal>
          <c:yVal>
            <c:numRef>
              <c:f>'R1'!$AI$55</c:f>
              <c:numCache>
                <c:formatCode>0.0%</c:formatCode>
                <c:ptCount val="1"/>
                <c:pt idx="0">
                  <c:v>-3.3547863802929713E-2</c:v>
                </c:pt>
              </c:numCache>
            </c:numRef>
          </c:yVal>
          <c:smooth val="0"/>
          <c:extLst>
            <c:ext xmlns:c16="http://schemas.microsoft.com/office/drawing/2014/chart" uri="{C3380CC4-5D6E-409C-BE32-E72D297353CC}">
              <c16:uniqueId val="{00000015-B8B7-4A0A-B6CE-6EC59DE0E144}"/>
            </c:ext>
          </c:extLst>
        </c:ser>
        <c:ser>
          <c:idx val="11"/>
          <c:order val="11"/>
          <c:tx>
            <c:strRef>
              <c:f>'R1'!$AK$56</c:f>
              <c:strCache>
                <c:ptCount val="1"/>
                <c:pt idx="0">
                  <c:v>L: 0.9/1.9/2.9/3.9, -360 Lease</c:v>
                </c:pt>
              </c:strCache>
            </c:strRef>
          </c:tx>
          <c:spPr>
            <a:ln w="28575">
              <a:noFill/>
            </a:ln>
          </c:spPr>
          <c:marker>
            <c:symbol val="diamond"/>
            <c:size val="8"/>
            <c:spPr>
              <a:solidFill>
                <a:schemeClr val="tx1"/>
              </a:solidFill>
              <a:ln w="15875">
                <a:solidFill>
                  <a:schemeClr val="tx1"/>
                </a:solidFill>
              </a:ln>
            </c:spPr>
          </c:marker>
          <c:dLbls>
            <c:dLbl>
              <c:idx val="0"/>
              <c:tx>
                <c:strRef>
                  <c:f>'R1'!$AK$56</c:f>
                  <c:strCache>
                    <c:ptCount val="1"/>
                    <c:pt idx="0">
                      <c:v>L: 0.9/1.9/2.9/3.9,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{D103BF5E-1BDE-4E3B-A102-EB4F8D66079B}</c15:txfldGUID>
                      <c15:f>'R1'!$AK$56</c15:f>
                      <c15:dlblFieldTableCache>
                        <c:ptCount val="1"/>
                        <c:pt idx="0">
                          <c:v>L: 0.9/1.9/2.9/3.9, -360 Lease</c:v>
                        </c:pt>
                      </c15:dlblFieldTableCache>
                    </c15:dlblFTEntry>
                  </c15:dlblFieldTable>
                  <c15:showDataLabelsRange val="0"/>
                </c:ext>
                <c:ext xmlns:c16="http://schemas.microsoft.com/office/drawing/2014/chart" uri="{C3380CC4-5D6E-409C-BE32-E72D297353CC}">
                  <c16:uniqueId val="{00000016-B8B7-4A0A-B6CE-6EC59DE0E144}"/>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'R1'!$AC$57</c:f>
              <c:numCache>
                <c:formatCode>_("$"* #,##0_);_("$"* \(#,##0\);_("$"* "-"??_);_(@_)</c:formatCode>
                <c:ptCount val="1"/>
                <c:pt idx="0">
                  <c:v>-248.24758998717925</c:v>
                </c:pt>
              </c:numCache>
            </c:numRef>
          </c:xVal>
          <c:yVal>
            <c:numRef>
              <c:f>'R1'!$AI$57</c:f>
              <c:numCache>
                <c:formatCode>0.0%</c:formatCode>
                <c:ptCount val="1"/>
                <c:pt idx="0">
                  <c:v>-3.3547863802929713E-2</c:v>
                </c:pt>
              </c:numCache>
            </c:numRef>
          </c:yVal>
          <c:smooth val="0"/>
          <c:extLst>
            <c:ext xmlns:c16="http://schemas.microsoft.com/office/drawing/2014/chart" uri="{C3380CC4-5D6E-409C-BE32-E72D297353CC}">
              <c16:uniqueId val="{00000017-B8B7-4A0A-B6CE-6EC59DE0E144}"/>
            </c:ext>
          </c:extLst>
        </c:ser>
        <c:ser>
          <c:idx val="12"/>
          <c:order val="12"/>
          <c:tx>
            <c:strRef>
              <c:f>'R1'!$AK$58</c:f>
              <c:strCache>
                <c:ptCount val="1"/>
                <c:pt idx="0">
                  <c:v>M: -250 CC, 0/0/0.9/3.9</c:v>
                </c:pt>
              </c:strCache>
            </c:strRef>
          </c:tx>
          <c:spPr>
            <a:ln w="28575">
              <a:noFill/>
            </a:ln>
          </c:spPr>
          <c:marker>
            <c:symbol val="diamond"/>
            <c:size val="8"/>
            <c:spPr>
              <a:solidFill>
                <a:schemeClr val="tx1"/>
              </a:solidFill>
              <a:ln w="15875">
                <a:solidFill>
                  <a:schemeClr val="tx1"/>
                </a:solidFill>
              </a:ln>
            </c:spPr>
          </c:marker>
          <c:dLbls>
            <c:dLbl>
              <c:idx val="0"/>
              <c:tx>
                <c:strRef>
                  <c:f>'R1'!$AK$58</c:f>
                  <c:strCache>
                    <c:ptCount val="1"/>
                    <c:pt idx="0">
                      <c:v>M: -250 CC, 0/0/0.9/3.9</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{CDB361A0-3319-4DA4-AE5C-64009CEB6C85}</c15:txfldGUID>
                      <c15:f>'R1'!$AK$58</c15:f>
                      <c15:dlblFieldTableCache>
                        <c:ptCount val="1"/>
                        <c:pt idx="0">
                          <c:v>M: -250 CC, 0/0/0.9/3.9</c:v>
                        </c:pt>
                      </c15:dlblFieldTableCache>
                    </c15:dlblFTEntry>
                  </c15:dlblFieldTable>
                  <c15:showDataLabelsRange val="0"/>
                </c:ext>
                <c:ext xmlns:c16="http://schemas.microsoft.com/office/drawing/2014/chart" uri="{C3380CC4-5D6E-409C-BE32-E72D297353CC}">
                  <c16:uniqueId val="{00000018-B8B7-4A0A-B6CE-6EC59DE0E144}"/>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'R1'!$AC$59</c:f>
              <c:numCache>
                <c:formatCode>_("$"* #,##0_);_("$"* \(#,##0\);_("$"* "-"??_);_(@_)</c:formatCode>
                <c:ptCount val="1"/>
                <c:pt idx="0">
                  <c:v>128.11887391159689</c:v>
                </c:pt>
              </c:numCache>
            </c:numRef>
          </c:xVal>
          <c:yVal>
            <c:numRef>
              <c:f>'R1'!$AI$59</c:f>
              <c:numCache>
                <c:formatCode>0.0%</c:formatCode>
                <c:ptCount val="1"/>
                <c:pt idx="0">
                  <c:v>1.4897879976956881E-2</c:v>
                </c:pt>
              </c:numCache>
            </c:numRef>
          </c:yVal>
          <c:smooth val="0"/>
          <c:extLst>
            <c:ext xmlns:c16="http://schemas.microsoft.com/office/drawing/2014/chart" uri="{C3380CC4-5D6E-409C-BE32-E72D297353CC}">
              <c16:uniqueId val="{00000019-B8B7-4A0A-B6CE-6EC59DE0E144}"/>
            </c:ext>
          </c:extLst>
        </c:ser>
        <c:ser>
          <c:idx val="13"/>
          <c:order val="13"/>
          <c:tx>
            <c:strRef>
              <c:f>'R1'!$AK$60</c:f>
              <c:strCache>
                <c:ptCount val="1"/>
                <c:pt idx="0">
                  <c:v>N: +250 CC, 0/0/0.9/3.9, -360 Lease</c:v>
                </c:pt>
              </c:strCache>
            </c:strRef>
          </c:tx>
          <c:spPr>
            <a:ln w="28575">
              <a:noFill/>
            </a:ln>
          </c:spPr>
          <c:marker>
            <c:symbol val="diamond"/>
            <c:size val="8"/>
            <c:spPr>
              <a:solidFill>
                <a:schemeClr val="tx1"/>
              </a:solidFill>
              <a:ln w="15875">
                <a:solidFill>
                  <a:schemeClr val="tx1"/>
                </a:solidFill>
              </a:ln>
            </c:spPr>
          </c:marker>
          <c:dLbls>
            <c:dLbl>
              <c:idx val="0"/>
              <c:tx>
                <c:strRef>
                  <c:f>'R1'!$AK$60</c:f>
                  <c:strCache>
                    <c:ptCount val="1"/>
                    <c:pt idx="0">
                      <c:v>N: +250 CC, 0/0/0.9/3.9, -360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{24FB5499-F77E-44FC-80E5-8B6A97C667B7}</c15:txfldGUID>
                      <c15:f>'R1'!$AK$60</c15:f>
                      <c15:dlblFieldTableCache>
                        <c:ptCount val="1"/>
                        <c:pt idx="0">
                          <c:v>N: +250 CC, 0/0/0.9/3.9, -360 Lease</c:v>
                        </c:pt>
                      </c15:dlblFieldTableCache>
                    </c15:dlblFTEntry>
                  </c15:dlblFieldTable>
                  <c15:showDataLabelsRange val="0"/>
                </c:ext>
                <c:ext xmlns:c16="http://schemas.microsoft.com/office/drawing/2014/chart" uri="{C3380CC4-5D6E-409C-BE32-E72D297353CC}">
                  <c16:uniqueId val="{0000001A-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'R1'!$AC$61</c:f>
              <c:numCache>
                <c:formatCode>_("$"* #,##0_);_("$"* \(#,##0\);_("$"* "-"??_);_(@_)</c:formatCode>
                <c:ptCount val="1"/>
                <c:pt idx="0">
                  <c:v>249.81250990710805</c:v>
                </c:pt>
              </c:numCache>
            </c:numRef>
          </c:xVal>
          <c:yVal>
            <c:numRef>
              <c:f>'R1'!$AI$61</c:f>
              <c:numCache>
                <c:formatCode>0.0%</c:formatCode>
                <c:ptCount val="1"/>
                <c:pt idx="0">
                  <c:v>3.531579391793796E-2</c:v>
                </c:pt>
              </c:numCache>
            </c:numRef>
          </c:yVal>
          <c:smooth val="0"/>
          <c:extLst>
            <c:ext xmlns:c16="http://schemas.microsoft.com/office/drawing/2014/chart" uri="{C3380CC4-5D6E-409C-BE32-E72D297353CC}">
              <c16:uniqueId val="{0000001B-B8B7-4A0A-B6CE-6EC59DE0E144}"/>
            </c:ext>
          </c:extLst>
        </c:ser>
        <c:ser>
          <c:idx val="14"/>
          <c:order val="14"/>
          <c:tx>
            <c:strRef>
              <c:f>'R1'!$AK$62</c:f>
              <c:strCache>
                <c:ptCount val="1"/>
                <c:pt idx="0">
                  <c:v>O: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'R1'!$AK$62</c:f>
                  <c:strCache>
                    <c:ptCount val="1"/>
                    <c:pt idx="0">
                      <c:v>O: +250 CC, 0.9/1.9/2.9/3.9, -360 Lease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{97538A84-D728-42BC-908F-E89CE13D073C}</c15:txfldGUID>
                      <c15:f>'R1'!$AK$62</c15:f>
                      <c15:dlblFieldTableCache>
                        <c:ptCount val="1"/>
                        <c:pt idx="0">
                          <c:v>O: +250 CC, 0.9/1.9/2.9/3.9, -360 Lease</c:v>
                        </c:pt>
                      </c15:dlblFieldTableCache>
                    </c15:dlblFTEntry>
                  </c15:dlblFieldTable>
                  <c15:showDataLabelsRange val="0"/>
                </c:ext>
                <c:ext xmlns:c16="http://schemas.microsoft.com/office/drawing/2014/chart" uri="{C3380CC4-5D6E-409C-BE32-E72D297353CC}">
                  <c16:uniqueId val="{0000001C-B8B7-4A0A-B6CE-6EC59DE0E144}"/>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'R1'!$AC$63</c:f>
              <c:numCache>
                <c:formatCode>_("$"* #,##0_);_("$"* \(#,##0\);_("$"* "-"??_);_(@_)</c:formatCode>
                <c:ptCount val="1"/>
                <c:pt idx="0">
                  <c:v>-143.9717546303059</c:v>
                </c:pt>
              </c:numCache>
            </c:numRef>
          </c:xVal>
          <c:yVal>
            <c:numRef>
              <c:f>'R1'!$AI$63</c:f>
              <c:numCache>
                <c:formatCode>0.0%</c:formatCode>
                <c:ptCount val="1"/>
                <c:pt idx="0">
                  <c:v>-2.0321955671584336E-2</c:v>
                </c:pt>
              </c:numCache>
            </c:numRef>
          </c:yVal>
          <c:smooth val="0"/>
          <c:extLst>
            <c:ext xmlns:c16="http://schemas.microsoft.com/office/drawing/2014/chart" uri="{C3380CC4-5D6E-409C-BE32-E72D297353CC}">
              <c16:uniqueId val="{0000001D-B8B7-4A0A-B6CE-6EC59DE0E144}"/>
            </c:ext>
          </c:extLst>
        </c:ser>
        <c:ser>
          <c:idx val="15"/>
          <c:order val="15"/>
          <c:tx>
            <c:strRef>
              <c:f>'R1'!$AK$64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{BA5C56E2-DA32-4593-8D2C-BE27B4746BA8}</c15:txfldGUID>
                      <c15:f>'R1'!$AK$64</c15:f>
                      <c15:dlblFieldTableCache>
                        <c:ptCount val="1"/>
                        <c:pt idx="0">
                          <c:v>#VALUE!</c:v>
                        </c:pt>
                      </c15:dlblFieldTableCache>
                    </c15:dlblFTEntry>
                  </c15:dlblFieldTable>
                  <c15:showDataLabelsRange val="0"/>
                </c:ext>
                <c:ext xmlns:c16="http://schemas.microsoft.com/office/drawing/2014/chart" uri="{C3380CC4-5D6E-409C-BE32-E72D297353CC}">
                  <c16:uniqueId val="{0000001E-B8B7-4A0A-B6CE-6EC59DE0E144}"/>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'R1'!$AC$65</c:f>
              <c:numCache>
                <c:formatCode>_("$"* #,##0_);_("$"* \(#,##0\);_("$"* "-"??_);_(@_)</c:formatCode>
                <c:ptCount val="1"/>
                <c:pt idx="0">
                  <c:v>#N/A</c:v>
                </c:pt>
              </c:numCache>
            </c:numRef>
          </c:xVal>
          <c:yVal>
            <c:numRef>
              <c:f>'R1'!$AI$65</c:f>
              <c:numCache>
                <c:formatCode>0.0%</c:formatCode>
                <c:ptCount val="1"/>
                <c:pt idx="0">
                  <c:v>#N/A</c:v>
                </c:pt>
              </c:numCache>
            </c:numRef>
          </c:yVal>
          <c:smooth val="0"/>
          <c:extLst>
            <c:ext xmlns:c16="http://schemas.microsoft.com/office/drawing/2014/chart" uri="{C3380CC4-5D6E-409C-BE32-E72D297353CC}">
              <c16:uniqueId val="{0000001F-B8B7-4A0A-B6CE-6EC59DE0E144}"/>
            </c:ext>
          </c:extLst>
        </c:ser>
        <c:ser>
          <c:idx val="17"/>
          <c:order val="16"/>
          <c:tx>
            <c:strRef>
              <c:f>'R1'!$AK$66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'R1'!$AC$67</c:f>
              <c:numCache>
                <c:formatCode>_("$"* #,##0_);_("$"* \(#,##0\);_("$"* "-"??_);_(@_)</c:formatCode>
                <c:ptCount val="1"/>
                <c:pt idx="0">
                  <c:v>#N/A</c:v>
                </c:pt>
              </c:numCache>
            </c:numRef>
          </c:xVal>
          <c:yVal>
            <c:numRef>
              <c:f>'R1'!$AI$67</c:f>
              <c:numCache>
                <c:formatCode>0.0%</c:formatCode>
                <c:ptCount val="1"/>
                <c:pt idx="0">
                  <c:v>#N/A</c:v>
                </c:pt>
              </c:numCache>
            </c:numRef>
          </c:yVal>
          <c:smooth val="0"/>
          <c:extLst>
            <c:ext xmlns:c16="http://schemas.microsoft.com/office/drawing/2014/chart" uri="{C3380CC4-5D6E-409C-BE32-E72D297353CC}">
              <c16:uniqueId val="{00000020-B8B7-4A0A-B6CE-6EC59DE0E144}"/>
            </c:ext>
          </c:extLst>
        </c:ser>
        <c:ser>
          <c:idx val="18"/>
          <c:order val="17"/>
          <c:tx>
            <c:strRef>
              <c:f>'R1'!$AK$68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'R1'!$AC$69</c:f>
              <c:numCache>
                <c:formatCode>_("$"* #,##0_);_("$"* \(#,##0\);_("$"* "-"??_);_(@_)</c:formatCode>
                <c:ptCount val="1"/>
                <c:pt idx="0">
                  <c:v>#N/A</c:v>
                </c:pt>
              </c:numCache>
            </c:numRef>
          </c:xVal>
          <c:yVal>
            <c:numRef>
              <c:f>'R1'!$AI$69</c:f>
              <c:numCache>
                <c:formatCode>0.0%</c:formatCode>
                <c:ptCount val="1"/>
                <c:pt idx="0">
                  <c:v>#N/A</c:v>
                </c:pt>
              </c:numCache>
            </c:numRef>
          </c:yVal>
          <c:smooth val="0"/>
          <c:extLst>
            <c:ext xmlns:c16="http://schemas.microsoft.com/office/drawing/2014/chart" uri="{C3380CC4-5D6E-409C-BE32-E72D297353CC}">
              <c16:uniqueId val="{00000021-B8B7-4A0A-B6CE-6EC59DE0E144}"/>
            </c:ext>
          </c:extLst>
        </c:ser>
        <c:ser>
          <c:idx val="16"/>
          <c:order val="18"/>
          <c:tx>
            <c:strRef>
              <c:f>'R1'!$AK$70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'R1'!$AK$70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{0BA8FEF5-D1E1-4B01-9FD7-B36977BB4DC4}</c15:txfldGUID>
                      <c15:f>'R1'!$AK$70</c15:f>
                      <c15:dlblFieldTableCache>
                        <c:ptCount val="1"/>
                        <c:pt idx="0">
                          <c:v>#VALUE!</c:v>
                        </c:pt>
                      </c15:dlblFieldTableCache>
                    </c15:dlblFTEntry>
                  </c15:dlblFieldTable>
                  <c15:showDataLabelsRange val="0"/>
                </c:ext>
                <c:ext xmlns:c16="http://schemas.microsoft.com/office/drawing/2014/chart" uri="{C3380CC4-5D6E-409C-BE32-E72D297353CC}">
                  <c16:uniqueId val="{00000022-B8B7-4A0A-B6CE-6EC59DE0E144}"/>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'R1'!$AC$71</c:f>
              <c:numCache>
                <c:formatCode>_("$"* #,##0_);_("$"* \(#,##0\);_("$"* "-"??_);_(@_)</c:formatCode>
                <c:ptCount val="1"/>
                <c:pt idx="0">
                  <c:v>#N/A</c:v>
                </c:pt>
              </c:numCache>
            </c:numRef>
          </c:xVal>
          <c:yVal>
            <c:numRef>
              <c:f>'R1'!$AI$71</c:f>
              <c:numCache>
                <c:formatCode>0.0%</c:formatCode>
                <c:ptCount val="1"/>
                <c:pt idx="0">
                  <c:v>#N/A</c:v>
                </c:pt>
              </c:numCache>
            </c:numRef>
          </c:yVal>
          <c:smooth val="0"/>
          <c:extLst>
            <c:ext xmlns:c16="http://schemas.microsoft.com/office/drawing/2014/chart" uri="{C3380CC4-5D6E-409C-BE32-E72D297353CC}">
              <c16:uniqueId val="{00000023-B8B7-4A0A-B6CE-6EC59DE0E144}"/>
            </c:ext>
          </c:extLst>
        </c:ser>
        <c:ser>
          <c:idx val="19"/>
          <c:order val="19"/>
          <c:tx>
            <c:strRef>
              <c:f>'R1'!$AK$33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6413039262652876E-2"/>
                  <c:y val="4.69410443228614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B8B7-4A0A-B6CE-6EC59DE0E144}"/>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'R1'!$AI$33</c:f>
              <c:numCache>
                <c:formatCode>0.0%</c:formatCode>
                <c:ptCount val="1"/>
                <c:pt idx="0">
                  <c:v>0</c:v>
                </c:pt>
              </c:numCache>
            </c:numRef>
          </c:yVal>
          <c:smooth val="0"/>
          <c:extLst>
            <c:ext xmlns:c16="http://schemas.microsoft.com/office/drawing/2014/chart" uri="{C3380CC4-5D6E-409C-BE32-E72D297353CC}">
              <c16:uniqueId val="{00000025-B8B7-4A0A-B6CE-6EC59DE0E144}"/>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'R2'!$AK$34</c:f>
              <c:strCache>
                <c:ptCount val="1"/>
                <c:pt idx="0">
                  <c:v>A: +250 CC, -360 Lease</c:v>
                </c:pt>
              </c:strCache>
              <c:extLst xmlns:c15="http://schemas.microsoft.com/office/drawing/2012/chart"/>
            </c:strRef>
          </c:tx>
          <c:spPr>
            <a:ln w="28575">
              <a:noFill/>
            </a:ln>
          </c:spPr>
          <c:marker>
            <c:symbol val="diamond"/>
            <c:size val="8"/>
            <c:spPr>
              <a:solidFill>
                <a:schemeClr val="tx1"/>
              </a:solidFill>
              <a:ln w="15875">
                <a:solidFill>
                  <a:schemeClr val="tx1"/>
                </a:solidFill>
              </a:ln>
            </c:spPr>
          </c:marker>
          <c:dLbls>
            <c:dLbl>
              <c:idx val="0"/>
              <c:tx>
                <c:strRef>
                  <c:f>'R2'!$AK$34</c:f>
                  <c:strCache>
                    <c:ptCount val="1"/>
                    <c:pt idx="0">
                      <c:v>A: +250 CC, -360 Lease</c:v>
                    </c:pt>
                  </c:strCache>
                </c:strRef>
              </c:tx>
              <c:dLblPos val="b"/>
              <c:showLegendKey val="0"/>
              <c:showVal val="1"/>
              <c:showCatName val="0"/>
              <c:showSerName val="0"/>
              <c:showPercent val="0"/>
              <c:showBubbleSize val="0"/>
              <c:extLst xmlns:c15="http://schemas.microsoft.com/office/drawing/2012/chart">
                <c:ext xmlns:c15="http://schemas.microsoft.com/office/drawing/2012/chart" uri="{CE6537A1-D6FC-4f65-9D91-7224C49458BB}">
                  <c15:dlblFieldTable>
                    <c15:dlblFTEntry>
                      <c15:txfldGUID>{5431A040-DC41-43C4-8CAF-2F60BD0181D2}</c15:txfldGUID>
                      <c15:f>'R2'!$AK$34</c15:f>
                      <c15:dlblFieldTableCache>
                        <c:ptCount val="1"/>
                        <c:pt idx="0">
                          <c:v>A: +250 CC, -360 Lease</c:v>
                        </c:pt>
                      </c15:dlblFieldTableCache>
                    </c15:dlblFTEntry>
                  </c15:dlblFieldTable>
                  <c15:showDataLabelsRange val="0"/>
                </c:ext>
                <c:ext xmlns:c16="http://schemas.microsoft.com/office/drawing/2014/chart" uri="{C3380CC4-5D6E-409C-BE32-E72D297353CC}">
                  <c16:uniqueId val="{00000000-1AE6-4E13-9684-BC54195DB087}"/>
                </c:ext>
              </c:extLst>
            </c:dLbl>
            <c:spPr>
              <a:noFill/>
            </c:spPr>
            <c:txPr>
              <a:bodyPr vertOverflow="overflow" horzOverflow="overflow">
                <a:spAutoFit/>
              </a:bodyPr>
              <a:lstStyle/>
              <a:p>
                <a:pPr>
                  <a:defRPr sz="1400" b="0">
                    <a:latin typeface="+mn-lt"/>
                  </a:defRPr>
                </a:pPr>
                <a:endParaRPr lang="en-US"/>
              </a:p>
            </c:txPr>
            <c:dLblPos val="b"/>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0"/>
              </c:ext>
            </c:extLst>
          </c:dLbls>
          <c:xVal>
            <c:numRef>
              <c:f>'R2'!$AC$35</c:f>
              <c:numCache>
                <c:formatCode>_("$"* #,##0_);_("$"* \(#,##0\);_("$"* "-"??_);_(@_)</c:formatCode>
                <c:ptCount val="1"/>
                <c:pt idx="0">
                  <c:v>36.438699578405476</c:v>
                </c:pt>
              </c:numCache>
              <c:extLst xmlns:c15="http://schemas.microsoft.com/office/drawing/2012/chart"/>
            </c:numRef>
          </c:xVal>
          <c:yVal>
            <c:numRef>
              <c:f>'R2'!$AI$35</c:f>
              <c:numCache>
                <c:formatCode>0.0%</c:formatCode>
                <c:ptCount val="1"/>
                <c:pt idx="0">
                  <c:v>7.0965747469096691E-3</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1AE6-4E13-9684-BC54195DB087}"/>
            </c:ext>
          </c:extLst>
        </c:ser>
        <c:ser>
          <c:idx val="1"/>
          <c:order val="1"/>
          <c:tx>
            <c:strRef>
              <c:f>'R2'!$AK$36</c:f>
              <c:strCache>
                <c:ptCount val="1"/>
                <c:pt idx="0">
                  <c:v>B: +250 CC, 0/0/0.9/3.9</c:v>
                </c:pt>
              </c:strCache>
            </c:strRef>
          </c:tx>
          <c:spPr>
            <a:ln w="31750">
              <a:noFill/>
            </a:ln>
          </c:spPr>
          <c:marker>
            <c:symbol val="diamond"/>
            <c:size val="8"/>
            <c:spPr>
              <a:solidFill>
                <a:schemeClr val="tx1"/>
              </a:solidFill>
              <a:ln w="15875">
                <a:solidFill>
                  <a:schemeClr val="tx1"/>
                </a:solidFill>
              </a:ln>
            </c:spPr>
          </c:marker>
          <c:dLbls>
            <c:dLbl>
              <c:idx val="0"/>
              <c:tx>
                <c:strRef>
                  <c:f>'R2'!$AK$36</c:f>
                  <c:strCache>
                    <c:ptCount val="1"/>
                    <c:pt idx="0">
                      <c:v>B: +250 CC, 0/0/0.9/3.9</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{CB1A9B14-347D-46B1-AFF0-915E8D5E2324}</c15:txfldGUID>
                      <c15:f>'R2'!$AK$36</c15:f>
                      <c15:dlblFieldTableCache>
                        <c:ptCount val="1"/>
                        <c:pt idx="0">
                          <c:v>B: +250 CC, 0/0/0.9/3.9</c:v>
                        </c:pt>
                      </c15:dlblFieldTableCache>
                    </c15:dlblFTEntry>
                  </c15:dlblFieldTable>
                  <c15:showDataLabelsRange val="0"/>
                </c:ext>
                <c:ext xmlns:c16="http://schemas.microsoft.com/office/drawing/2014/chart" uri="{C3380CC4-5D6E-409C-BE32-E72D297353CC}">
                  <c16:uniqueId val="{00000002-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'R2'!$AC$37</c:f>
              <c:numCache>
                <c:formatCode>_("$"* #,##0_);_("$"* \(#,##0\);_("$"* "-"??_);_(@_)</c:formatCode>
                <c:ptCount val="1"/>
                <c:pt idx="0">
                  <c:v>256.11590203935339</c:v>
                </c:pt>
              </c:numCache>
            </c:numRef>
          </c:xVal>
          <c:yVal>
            <c:numRef>
              <c:f>'R2'!$AI$37</c:f>
              <c:numCache>
                <c:formatCode>0.0%</c:formatCode>
                <c:ptCount val="1"/>
                <c:pt idx="0">
                  <c:v>3.8882437056373523E-2</c:v>
                </c:pt>
              </c:numCache>
            </c:numRef>
          </c:yVal>
          <c:smooth val="0"/>
          <c:extLst>
            <c:ext xmlns:c16="http://schemas.microsoft.com/office/drawing/2014/chart" uri="{C3380CC4-5D6E-409C-BE32-E72D297353CC}">
              <c16:uniqueId val="{00000003-1AE6-4E13-9684-BC54195DB087}"/>
            </c:ext>
          </c:extLst>
        </c:ser>
        <c:ser>
          <c:idx val="2"/>
          <c:order val="2"/>
          <c:tx>
            <c:strRef>
              <c:f>'R2'!$AK$38</c:f>
              <c:strCache>
                <c:ptCount val="1"/>
                <c:pt idx="0">
                  <c:v>C: +500 CC, -360 Lease</c:v>
                </c:pt>
              </c:strCache>
            </c:strRef>
          </c:tx>
          <c:spPr>
            <a:ln w="28575">
              <a:noFill/>
            </a:ln>
          </c:spPr>
          <c:marker>
            <c:symbol val="diamond"/>
            <c:size val="8"/>
            <c:spPr>
              <a:solidFill>
                <a:schemeClr val="tx1"/>
              </a:solidFill>
              <a:ln w="15875">
                <a:solidFill>
                  <a:schemeClr val="tx1"/>
                </a:solidFill>
              </a:ln>
            </c:spPr>
          </c:marker>
          <c:dLbls>
            <c:dLbl>
              <c:idx val="0"/>
              <c:tx>
                <c:strRef>
                  <c:f>'R2'!$AK$38</c:f>
                  <c:strCache>
                    <c:ptCount val="1"/>
                    <c:pt idx="0">
                      <c:v>C: +500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{CB45765E-BDD3-4615-B4A0-69DEEDAC68C9}</c15:txfldGUID>
                      <c15:f>'R2'!$AK$38</c15:f>
                      <c15:dlblFieldTableCache>
                        <c:ptCount val="1"/>
                        <c:pt idx="0">
                          <c:v>C: +500 CC, -360 Lease</c:v>
                        </c:pt>
                      </c15:dlblFieldTableCache>
                    </c15:dlblFTEntry>
                  </c15:dlblFieldTable>
                  <c15:showDataLabelsRange val="0"/>
                </c:ext>
                <c:ext xmlns:c16="http://schemas.microsoft.com/office/drawing/2014/chart" uri="{C3380CC4-5D6E-409C-BE32-E72D297353CC}">
                  <c16:uniqueId val="{00000004-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'R2'!$AC$39</c:f>
              <c:numCache>
                <c:formatCode>_("$"* #,##0_);_("$"* \(#,##0\);_("$"* "-"??_);_(@_)</c:formatCode>
                <c:ptCount val="1"/>
                <c:pt idx="0">
                  <c:v>133.33645382765417</c:v>
                </c:pt>
              </c:numCache>
            </c:numRef>
          </c:xVal>
          <c:yVal>
            <c:numRef>
              <c:f>'R2'!$AI$39</c:f>
              <c:numCache>
                <c:formatCode>0.0%</c:formatCode>
                <c:ptCount val="1"/>
                <c:pt idx="0">
                  <c:v>2.1016137982804054E-2</c:v>
                </c:pt>
              </c:numCache>
            </c:numRef>
          </c:yVal>
          <c:smooth val="0"/>
          <c:extLst>
            <c:ext xmlns:c16="http://schemas.microsoft.com/office/drawing/2014/chart" uri="{C3380CC4-5D6E-409C-BE32-E72D297353CC}">
              <c16:uniqueId val="{00000005-1AE6-4E13-9684-BC54195DB087}"/>
            </c:ext>
          </c:extLst>
        </c:ser>
        <c:ser>
          <c:idx val="3"/>
          <c:order val="3"/>
          <c:tx>
            <c:strRef>
              <c:f>'R2'!$AK$40</c:f>
              <c:strCache>
                <c:ptCount val="1"/>
                <c:pt idx="0">
                  <c:v>D: +750 CC, -360 Lease</c:v>
                </c:pt>
              </c:strCache>
            </c:strRef>
          </c:tx>
          <c:spPr>
            <a:ln w="28575">
              <a:noFill/>
            </a:ln>
          </c:spPr>
          <c:marker>
            <c:symbol val="diamond"/>
            <c:size val="8"/>
            <c:spPr>
              <a:solidFill>
                <a:schemeClr val="tx1"/>
              </a:solidFill>
              <a:ln w="15875">
                <a:solidFill>
                  <a:schemeClr val="tx1"/>
                </a:solidFill>
              </a:ln>
            </c:spPr>
          </c:marker>
          <c:dLbls>
            <c:dLbl>
              <c:idx val="0"/>
              <c:tx>
                <c:strRef>
                  <c:f>'R2'!$AK$40</c:f>
                  <c:strCache>
                    <c:ptCount val="1"/>
                    <c:pt idx="0">
                      <c:v>D: +750 CC, -360 Lease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{79B6FF68-CE30-42D9-B143-3AD9B4BDFA9D}</c15:txfldGUID>
                      <c15:f>'R2'!$AK$40</c15:f>
                      <c15:dlblFieldTableCache>
                        <c:ptCount val="1"/>
                        <c:pt idx="0">
                          <c:v>D: +750 CC, -360 Lease</c:v>
                        </c:pt>
                      </c15:dlblFieldTableCache>
                    </c15:dlblFTEntry>
                  </c15:dlblFieldTable>
                  <c15:showDataLabelsRange val="0"/>
                </c:ext>
                <c:ext xmlns:c16="http://schemas.microsoft.com/office/drawing/2014/chart" uri="{C3380CC4-5D6E-409C-BE32-E72D297353CC}">
                  <c16:uniqueId val="{00000006-1AE6-4E13-9684-BC54195DB087}"/>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'R2'!$AC$41</c:f>
              <c:numCache>
                <c:formatCode>_("$"* #,##0_);_("$"* \(#,##0\);_("$"* "-"??_);_(@_)</c:formatCode>
                <c:ptCount val="1"/>
                <c:pt idx="0">
                  <c:v>240.33144368128978</c:v>
                </c:pt>
              </c:numCache>
            </c:numRef>
          </c:xVal>
          <c:yVal>
            <c:numRef>
              <c:f>'R2'!$AI$41</c:f>
              <c:numCache>
                <c:formatCode>0.0%</c:formatCode>
                <c:ptCount val="1"/>
                <c:pt idx="0">
                  <c:v>3.6122768408241891E-2</c:v>
                </c:pt>
              </c:numCache>
            </c:numRef>
          </c:yVal>
          <c:smooth val="0"/>
          <c:extLst>
            <c:ext xmlns:c16="http://schemas.microsoft.com/office/drawing/2014/chart" uri="{C3380CC4-5D6E-409C-BE32-E72D297353CC}">
              <c16:uniqueId val="{00000007-1AE6-4E13-9684-BC54195DB087}"/>
            </c:ext>
          </c:extLst>
        </c:ser>
        <c:ser>
          <c:idx val="4"/>
          <c:order val="4"/>
          <c:tx>
            <c:strRef>
              <c:f>'R2'!$AK$42</c:f>
              <c:strCache>
                <c:ptCount val="1"/>
                <c:pt idx="0">
                  <c:v>E: 0/0/0.9/3.9, -360 Lease</c:v>
                </c:pt>
              </c:strCache>
            </c:strRef>
          </c:tx>
          <c:spPr>
            <a:ln w="15875">
              <a:noFill/>
            </a:ln>
          </c:spPr>
          <c:marker>
            <c:symbol val="diamond"/>
            <c:size val="8"/>
            <c:spPr>
              <a:solidFill>
                <a:schemeClr val="tx1"/>
              </a:solidFill>
              <a:ln w="15875">
                <a:solidFill>
                  <a:schemeClr val="tx1"/>
                </a:solidFill>
              </a:ln>
            </c:spPr>
          </c:marker>
          <c:dLbls>
            <c:dLbl>
              <c:idx val="0"/>
              <c:tx>
                <c:strRef>
                  <c:f>'R2'!$AK$42</c:f>
                  <c:strCache>
                    <c:ptCount val="1"/>
                    <c:pt idx="0">
                      <c:v>E: 0/0/0.9/3.9,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{E7E7AE12-D814-44C0-9086-DC0B619097C9}</c15:txfldGUID>
                      <c15:f>'R2'!$AK$42</c15:f>
                      <c15:dlblFieldTableCache>
                        <c:ptCount val="1"/>
                        <c:pt idx="0">
                          <c:v>E: 0/0/0.9/3.9, -360 Lease</c:v>
                        </c:pt>
                      </c15:dlblFieldTableCache>
                    </c15:dlblFTEntry>
                  </c15:dlblFieldTable>
                  <c15:showDataLabelsRange val="0"/>
                </c:ext>
                <c:ext xmlns:c16="http://schemas.microsoft.com/office/drawing/2014/chart" uri="{C3380CC4-5D6E-409C-BE32-E72D297353CC}">
                  <c16:uniqueId val="{00000008-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'R2'!$AC$43</c:f>
              <c:numCache>
                <c:formatCode>_("$"* #,##0_);_("$"* \(#,##0\);_("$"* "-"??_);_(@_)</c:formatCode>
                <c:ptCount val="1"/>
                <c:pt idx="0">
                  <c:v>140.41603461616478</c:v>
                </c:pt>
              </c:numCache>
            </c:numRef>
          </c:xVal>
          <c:yVal>
            <c:numRef>
              <c:f>'R2'!$AI$43</c:f>
              <c:numCache>
                <c:formatCode>0.0%</c:formatCode>
                <c:ptCount val="1"/>
                <c:pt idx="0">
                  <c:v>2.1186796261293141E-2</c:v>
                </c:pt>
              </c:numCache>
            </c:numRef>
          </c:yVal>
          <c:smooth val="0"/>
          <c:extLst>
            <c:ext xmlns:c16="http://schemas.microsoft.com/office/drawing/2014/chart" uri="{C3380CC4-5D6E-409C-BE32-E72D297353CC}">
              <c16:uniqueId val="{00000009-1AE6-4E13-9684-BC54195DB087}"/>
            </c:ext>
          </c:extLst>
        </c:ser>
        <c:ser>
          <c:idx val="5"/>
          <c:order val="5"/>
          <c:tx>
            <c:strRef>
              <c:f>'R2'!$AK$44</c:f>
              <c:strCache>
                <c:ptCount val="1"/>
                <c:pt idx="0">
                  <c:v>F: -250 CC, -360 Lease</c:v>
                </c:pt>
              </c:strCache>
            </c:strRef>
          </c:tx>
          <c:spPr>
            <a:ln w="28575">
              <a:noFill/>
            </a:ln>
          </c:spPr>
          <c:marker>
            <c:symbol val="diamond"/>
            <c:size val="8"/>
            <c:spPr>
              <a:solidFill>
                <a:schemeClr val="tx1"/>
              </a:solidFill>
              <a:ln w="15875">
                <a:solidFill>
                  <a:schemeClr val="tx1"/>
                </a:solidFill>
              </a:ln>
            </c:spPr>
          </c:marker>
          <c:dLbls>
            <c:dLbl>
              <c:idx val="0"/>
              <c:tx>
                <c:strRef>
                  <c:f>'R2'!$AK$44</c:f>
                  <c:strCache>
                    <c:ptCount val="1"/>
                    <c:pt idx="0">
                      <c:v>F: -250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{FCE29DD8-A803-4413-B42A-17BC213A6127}</c15:txfldGUID>
                      <c15:f>'R2'!$AK$44</c15:f>
                      <c15:dlblFieldTableCache>
                        <c:ptCount val="1"/>
                        <c:pt idx="0">
                          <c:v>F: -250 CC, -360 Lease</c:v>
                        </c:pt>
                      </c15:dlblFieldTableCache>
                    </c15:dlblFTEntry>
                  </c15:dlblFieldTable>
                  <c15:showDataLabelsRange val="0"/>
                </c:ext>
                <c:ext xmlns:c16="http://schemas.microsoft.com/office/drawing/2014/chart" uri="{C3380CC4-5D6E-409C-BE32-E72D297353CC}">
                  <c16:uniqueId val="{0000000A-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'R2'!$AC$45</c:f>
              <c:numCache>
                <c:formatCode>_("$"* #,##0_);_("$"* \(#,##0\);_("$"* "-"??_);_(@_)</c:formatCode>
                <c:ptCount val="1"/>
                <c:pt idx="0">
                  <c:v>-124.62010828487541</c:v>
                </c:pt>
              </c:numCache>
            </c:numRef>
          </c:xVal>
          <c:yVal>
            <c:numRef>
              <c:f>'R2'!$AI$45</c:f>
              <c:numCache>
                <c:formatCode>0.0%</c:formatCode>
                <c:ptCount val="1"/>
                <c:pt idx="0">
                  <c:v>-1.7209003876461574E-2</c:v>
                </c:pt>
              </c:numCache>
            </c:numRef>
          </c:yVal>
          <c:smooth val="0"/>
          <c:extLst>
            <c:ext xmlns:c16="http://schemas.microsoft.com/office/drawing/2014/chart" uri="{C3380CC4-5D6E-409C-BE32-E72D297353CC}">
              <c16:uniqueId val="{0000000B-1AE6-4E13-9684-BC54195DB087}"/>
            </c:ext>
          </c:extLst>
        </c:ser>
        <c:ser>
          <c:idx val="6"/>
          <c:order val="6"/>
          <c:tx>
            <c:strRef>
              <c:f>'R2'!$AK$46</c:f>
              <c:strCache>
                <c:ptCount val="1"/>
                <c:pt idx="0">
                  <c:v>G: -1000 Event RBC, -500 Event Lease</c:v>
                </c:pt>
              </c:strCache>
            </c:strRef>
          </c:tx>
          <c:spPr>
            <a:ln w="15875">
              <a:noFill/>
            </a:ln>
          </c:spPr>
          <c:marker>
            <c:symbol val="diamond"/>
            <c:size val="8"/>
            <c:spPr>
              <a:solidFill>
                <a:schemeClr val="tx1"/>
              </a:solidFill>
              <a:ln w="15875">
                <a:solidFill>
                  <a:schemeClr val="tx1"/>
                </a:solidFill>
              </a:ln>
            </c:spPr>
          </c:marker>
          <c:dLbls>
            <c:dLbl>
              <c:idx val="0"/>
              <c:tx>
                <c:strRef>
                  <c:f>'R2'!$AK$46</c:f>
                  <c:strCache>
                    <c:ptCount val="1"/>
                    <c:pt idx="0">
                      <c:v>G: -1000 Event RBC, -500 Event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{3718CF8F-A61D-4FE2-886B-1732744D40C5}</c15:txfldGUID>
                      <c15:f>'R2'!$AK$46</c15:f>
                      <c15:dlblFieldTableCache>
                        <c:ptCount val="1"/>
                        <c:pt idx="0">
                          <c:v>G: -1000 Event RBC, -500 Event Lease</c:v>
                        </c:pt>
                      </c15:dlblFieldTableCache>
                    </c15:dlblFTEntry>
                  </c15:dlblFieldTable>
                  <c15:showDataLabelsRange val="0"/>
                </c:ext>
                <c:ext xmlns:c16="http://schemas.microsoft.com/office/drawing/2014/chart" uri="{C3380CC4-5D6E-409C-BE32-E72D297353CC}">
                  <c16:uniqueId val="{0000000C-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'R2'!$AC$47</c:f>
              <c:numCache>
                <c:formatCode>_("$"* #,##0_);_("$"* \(#,##0\);_("$"* "-"??_);_(@_)</c:formatCode>
                <c:ptCount val="1"/>
                <c:pt idx="0">
                  <c:v>-253.30971645909676</c:v>
                </c:pt>
              </c:numCache>
            </c:numRef>
          </c:xVal>
          <c:yVal>
            <c:numRef>
              <c:f>'R2'!$AI$47</c:f>
              <c:numCache>
                <c:formatCode>0.0%</c:formatCode>
                <c:ptCount val="1"/>
                <c:pt idx="0">
                  <c:v>-3.6014067807592684E-2</c:v>
                </c:pt>
              </c:numCache>
            </c:numRef>
          </c:yVal>
          <c:smooth val="0"/>
          <c:extLst>
            <c:ext xmlns:c16="http://schemas.microsoft.com/office/drawing/2014/chart" uri="{C3380CC4-5D6E-409C-BE32-E72D297353CC}">
              <c16:uniqueId val="{0000000D-1AE6-4E13-9684-BC54195DB087}"/>
            </c:ext>
          </c:extLst>
        </c:ser>
        <c:ser>
          <c:idx val="7"/>
          <c:order val="7"/>
          <c:tx>
            <c:strRef>
              <c:f>'R2'!$AK$48</c:f>
              <c:strCache>
                <c:ptCount val="1"/>
                <c:pt idx="0">
                  <c:v>H: 0.9/1.9/2.9/3.9, -360 Lease</c:v>
                </c:pt>
              </c:strCache>
            </c:strRef>
          </c:tx>
          <c:spPr>
            <a:ln w="15875">
              <a:noFill/>
            </a:ln>
          </c:spPr>
          <c:marker>
            <c:symbol val="diamond"/>
            <c:size val="8"/>
            <c:spPr>
              <a:solidFill>
                <a:schemeClr val="tx1"/>
              </a:solidFill>
              <a:ln w="15875">
                <a:solidFill>
                  <a:schemeClr val="tx1"/>
                </a:solidFill>
              </a:ln>
            </c:spPr>
          </c:marker>
          <c:dLbls>
            <c:dLbl>
              <c:idx val="0"/>
              <c:tx>
                <c:strRef>
                  <c:f>'R2'!$AK$48</c:f>
                  <c:strCache>
                    <c:ptCount val="1"/>
                    <c:pt idx="0">
                      <c:v>H: 0.9/1.9/2.9/3.9,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{AA525983-3121-428F-BDA0-C9B96227083B}</c15:txfldGUID>
                      <c15:f>'R2'!$AK$48</c15:f>
                      <c15:dlblFieldTableCache>
                        <c:ptCount val="1"/>
                        <c:pt idx="0">
                          <c:v>H: 0.9/1.9/2.9/3.9, -360 Lease</c:v>
                        </c:pt>
                      </c15:dlblFieldTableCache>
                    </c15:dlblFTEntry>
                  </c15:dlblFieldTable>
                  <c15:showDataLabelsRange val="0"/>
                </c:ext>
                <c:ext xmlns:c16="http://schemas.microsoft.com/office/drawing/2014/chart" uri="{C3380CC4-5D6E-409C-BE32-E72D297353CC}">
                  <c16:uniqueId val="{0000000E-1AE6-4E13-9684-BC54195DB087}"/>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'R2'!$AC$49</c:f>
              <c:numCache>
                <c:formatCode>_("$"* #,##0_);_("$"* \(#,##0\);_("$"* "-"??_);_(@_)</c:formatCode>
                <c:ptCount val="1"/>
                <c:pt idx="0">
                  <c:v>-261.1485179042777</c:v>
                </c:pt>
              </c:numCache>
            </c:numRef>
          </c:xVal>
          <c:yVal>
            <c:numRef>
              <c:f>'R2'!$AI$49</c:f>
              <c:numCache>
                <c:formatCode>0.0%</c:formatCode>
                <c:ptCount val="1"/>
                <c:pt idx="0">
                  <c:v>-3.7850876933887674E-2</c:v>
                </c:pt>
              </c:numCache>
            </c:numRef>
          </c:yVal>
          <c:smooth val="0"/>
          <c:extLst>
            <c:ext xmlns:c16="http://schemas.microsoft.com/office/drawing/2014/chart" uri="{C3380CC4-5D6E-409C-BE32-E72D297353CC}">
              <c16:uniqueId val="{0000000F-1AE6-4E13-9684-BC54195DB087}"/>
            </c:ext>
          </c:extLst>
        </c:ser>
        <c:ser>
          <c:idx val="8"/>
          <c:order val="8"/>
          <c:tx>
            <c:strRef>
              <c:f>'R2'!$AK$50</c:f>
              <c:strCache>
                <c:ptCount val="1"/>
                <c:pt idx="0">
                  <c:v>I: 0.9/1.9/2.9/3.9, -360 Lease</c:v>
                </c:pt>
              </c:strCache>
            </c:strRef>
          </c:tx>
          <c:spPr>
            <a:ln w="28575">
              <a:noFill/>
            </a:ln>
          </c:spPr>
          <c:marker>
            <c:symbol val="diamond"/>
            <c:size val="8"/>
            <c:spPr>
              <a:solidFill>
                <a:schemeClr val="tx1"/>
              </a:solidFill>
              <a:ln w="15875">
                <a:solidFill>
                  <a:schemeClr val="tx1"/>
                </a:solidFill>
              </a:ln>
            </c:spPr>
          </c:marker>
          <c:dLbls>
            <c:dLbl>
              <c:idx val="0"/>
              <c:tx>
                <c:strRef>
                  <c:f>'R2'!$AK$50</c:f>
                  <c:strCache>
                    <c:ptCount val="1"/>
                    <c:pt idx="0">
                      <c:v>I: 0.9/1.9/2.9/3.9,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{3FB8C37D-E3B9-40AA-B79E-D693D7EE2E89}</c15:txfldGUID>
                      <c15:f>'R2'!$AK$50</c15:f>
                      <c15:dlblFieldTableCache>
                        <c:ptCount val="1"/>
                        <c:pt idx="0">
                          <c:v>I: 0.9/1.9/2.9/3.9, -360 Lease</c:v>
                        </c:pt>
                      </c15:dlblFieldTableCache>
                    </c15:dlblFTEntry>
                  </c15:dlblFieldTable>
                  <c15:showDataLabelsRange val="0"/>
                </c:ext>
                <c:ext xmlns:c16="http://schemas.microsoft.com/office/drawing/2014/chart" uri="{C3380CC4-5D6E-409C-BE32-E72D297353CC}">
                  <c16:uniqueId val="{00000010-1AE6-4E13-9684-BC54195DB087}"/>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'R2'!$AC$51</c:f>
              <c:numCache>
                <c:formatCode>_("$"* #,##0_);_("$"* \(#,##0\);_("$"* "-"??_);_(@_)</c:formatCode>
                <c:ptCount val="1"/>
                <c:pt idx="0">
                  <c:v>-261.1485179042777</c:v>
                </c:pt>
              </c:numCache>
            </c:numRef>
          </c:xVal>
          <c:yVal>
            <c:numRef>
              <c:f>'R2'!$AI$51</c:f>
              <c:numCache>
                <c:formatCode>0.0%</c:formatCode>
                <c:ptCount val="1"/>
                <c:pt idx="0">
                  <c:v>-3.7850876933887674E-2</c:v>
                </c:pt>
              </c:numCache>
            </c:numRef>
          </c:yVal>
          <c:smooth val="0"/>
          <c:extLst>
            <c:ext xmlns:c16="http://schemas.microsoft.com/office/drawing/2014/chart" uri="{C3380CC4-5D6E-409C-BE32-E72D297353CC}">
              <c16:uniqueId val="{00000011-1AE6-4E13-9684-BC54195DB087}"/>
            </c:ext>
          </c:extLst>
        </c:ser>
        <c:ser>
          <c:idx val="9"/>
          <c:order val="9"/>
          <c:tx>
            <c:strRef>
              <c:f>'R2'!$AK$52</c:f>
              <c:strCache>
                <c:ptCount val="1"/>
                <c:pt idx="0">
                  <c:v>J: -500 CC, -360 Lease</c:v>
                </c:pt>
              </c:strCache>
            </c:strRef>
          </c:tx>
          <c:spPr>
            <a:ln w="28575">
              <a:noFill/>
            </a:ln>
          </c:spPr>
          <c:marker>
            <c:symbol val="diamond"/>
            <c:size val="8"/>
            <c:spPr>
              <a:solidFill>
                <a:schemeClr val="tx1"/>
              </a:solidFill>
              <a:ln w="15875">
                <a:solidFill>
                  <a:schemeClr val="tx1"/>
                </a:solidFill>
              </a:ln>
            </c:spPr>
          </c:marker>
          <c:dLbls>
            <c:dLbl>
              <c:idx val="0"/>
              <c:tx>
                <c:strRef>
                  <c:f>'R2'!$AK$52</c:f>
                  <c:strCache>
                    <c:ptCount val="1"/>
                    <c:pt idx="0">
                      <c:v>J: -500 CC, -360 Lease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{EEC1DCD2-E06A-4EC8-9B41-3E8C44608BBC}</c15:txfldGUID>
                      <c15:f>'R2'!$AK$52</c15:f>
                      <c15:dlblFieldTableCache>
                        <c:ptCount val="1"/>
                        <c:pt idx="0">
                          <c:v>J: -500 CC, -360 Lease</c:v>
                        </c:pt>
                      </c15:dlblFieldTableCache>
                    </c15:dlblFTEntry>
                  </c15:dlblFieldTable>
                  <c15:showDataLabelsRange val="0"/>
                </c:ext>
                <c:ext xmlns:c16="http://schemas.microsoft.com/office/drawing/2014/chart" uri="{C3380CC4-5D6E-409C-BE32-E72D297353CC}">
                  <c16:uniqueId val="{00000012-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'R2'!$AC$53</c:f>
              <c:numCache>
                <c:formatCode>_("$"* #,##0_);_("$"* \(#,##0\);_("$"* "-"??_);_(@_)</c:formatCode>
                <c:ptCount val="1"/>
                <c:pt idx="0">
                  <c:v>-187.63396735123024</c:v>
                </c:pt>
              </c:numCache>
            </c:numRef>
          </c:xVal>
          <c:yVal>
            <c:numRef>
              <c:f>'R2'!$AI$53</c:f>
              <c:numCache>
                <c:formatCode>0.0%</c:formatCode>
                <c:ptCount val="1"/>
                <c:pt idx="0">
                  <c:v>-2.7606436225014103E-2</c:v>
                </c:pt>
              </c:numCache>
            </c:numRef>
          </c:yVal>
          <c:smooth val="0"/>
          <c:extLst>
            <c:ext xmlns:c16="http://schemas.microsoft.com/office/drawing/2014/chart" uri="{C3380CC4-5D6E-409C-BE32-E72D297353CC}">
              <c16:uniqueId val="{00000013-1AE6-4E13-9684-BC54195DB087}"/>
            </c:ext>
          </c:extLst>
        </c:ser>
        <c:ser>
          <c:idx val="10"/>
          <c:order val="10"/>
          <c:tx>
            <c:strRef>
              <c:f>'R2'!$AK$54</c:f>
              <c:strCache>
                <c:ptCount val="1"/>
                <c:pt idx="0">
                  <c:v>K: -250 CC, 0/0/0.9/3.9</c:v>
                </c:pt>
              </c:strCache>
            </c:strRef>
          </c:tx>
          <c:spPr>
            <a:ln w="28575">
              <a:noFill/>
            </a:ln>
          </c:spPr>
          <c:marker>
            <c:symbol val="diamond"/>
            <c:size val="8"/>
            <c:spPr>
              <a:solidFill>
                <a:schemeClr val="tx1"/>
              </a:solidFill>
              <a:ln w="15875">
                <a:solidFill>
                  <a:schemeClr val="tx1"/>
                </a:solidFill>
              </a:ln>
            </c:spPr>
          </c:marker>
          <c:dLbls>
            <c:dLbl>
              <c:idx val="0"/>
              <c:tx>
                <c:strRef>
                  <c:f>'R2'!$AK$54</c:f>
                  <c:strCache>
                    <c:ptCount val="1"/>
                    <c:pt idx="0">
                      <c:v>K: -250 CC, 0/0/0.9/3.9</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{16E40AC4-1C73-4077-83BA-0D012CBAC326}</c15:txfldGUID>
                      <c15:f>'R2'!$AK$54</c15:f>
                      <c15:dlblFieldTableCache>
                        <c:ptCount val="1"/>
                        <c:pt idx="0">
                          <c:v>K: -250 CC, 0/0/0.9/3.9</c:v>
                        </c:pt>
                      </c15:dlblFieldTableCache>
                    </c15:dlblFTEntry>
                  </c15:dlblFieldTable>
                  <c15:showDataLabelsRange val="0"/>
                </c:ext>
                <c:ext xmlns:c16="http://schemas.microsoft.com/office/drawing/2014/chart" uri="{C3380CC4-5D6E-409C-BE32-E72D297353CC}">
                  <c16:uniqueId val="{00000014-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'R2'!$AC$55</c:f>
              <c:numCache>
                <c:formatCode>_("$"* #,##0_);_("$"* \(#,##0\);_("$"* "-"??_);_(@_)</c:formatCode>
                <c:ptCount val="1"/>
                <c:pt idx="0">
                  <c:v>129.74071977034328</c:v>
                </c:pt>
              </c:numCache>
            </c:numRef>
          </c:xVal>
          <c:yVal>
            <c:numRef>
              <c:f>'R2'!$AI$55</c:f>
              <c:numCache>
                <c:formatCode>0.0%</c:formatCode>
                <c:ptCount val="1"/>
                <c:pt idx="0">
                  <c:v>1.5922054831434006E-2</c:v>
                </c:pt>
              </c:numCache>
            </c:numRef>
          </c:yVal>
          <c:smooth val="0"/>
          <c:extLst>
            <c:ext xmlns:c16="http://schemas.microsoft.com/office/drawing/2014/chart" uri="{C3380CC4-5D6E-409C-BE32-E72D297353CC}">
              <c16:uniqueId val="{00000015-1AE6-4E13-9684-BC54195DB087}"/>
            </c:ext>
          </c:extLst>
        </c:ser>
        <c:ser>
          <c:idx val="11"/>
          <c:order val="11"/>
          <c:tx>
            <c:strRef>
              <c:f>'R2'!$AK$56</c:f>
              <c:strCache>
                <c:ptCount val="1"/>
                <c:pt idx="0">
                  <c:v>L: +250 CC, 0/0/0.9/3.9, -360 Lease</c:v>
                </c:pt>
              </c:strCache>
            </c:strRef>
          </c:tx>
          <c:spPr>
            <a:ln w="28575">
              <a:noFill/>
            </a:ln>
          </c:spPr>
          <c:marker>
            <c:symbol val="diamond"/>
            <c:size val="8"/>
            <c:spPr>
              <a:solidFill>
                <a:schemeClr val="tx1"/>
              </a:solidFill>
              <a:ln w="15875">
                <a:solidFill>
                  <a:schemeClr val="tx1"/>
                </a:solidFill>
              </a:ln>
            </c:spPr>
          </c:marker>
          <c:dLbls>
            <c:dLbl>
              <c:idx val="0"/>
              <c:tx>
                <c:strRef>
                  <c:f>'R2'!$AK$56</c:f>
                  <c:strCache>
                    <c:ptCount val="1"/>
                    <c:pt idx="0">
                      <c:v>L: +250 CC, 0/0/0.9/3.9, -360 Lease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{434EEB0E-0D98-422B-8224-B79FA4A74F93}</c15:txfldGUID>
                      <c15:f>'R2'!$AK$56</c15:f>
                      <c15:dlblFieldTableCache>
                        <c:ptCount val="1"/>
                        <c:pt idx="0">
                          <c:v>L: +250 CC, 0/0/0.9/3.9, -360 Lease</c:v>
                        </c:pt>
                      </c15:dlblFieldTableCache>
                    </c15:dlblFTEntry>
                  </c15:dlblFieldTable>
                  <c15:showDataLabelsRange val="0"/>
                </c:ext>
                <c:ext xmlns:c16="http://schemas.microsoft.com/office/drawing/2014/chart" uri="{C3380CC4-5D6E-409C-BE32-E72D297353CC}">
                  <c16:uniqueId val="{00000016-1AE6-4E13-9684-BC54195DB087}"/>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'R2'!$AC$57</c:f>
              <c:numCache>
                <c:formatCode>_("$"* #,##0_);_("$"* \(#,##0\);_("$"* "-"??_);_(@_)</c:formatCode>
                <c:ptCount val="1"/>
                <c:pt idx="0">
                  <c:v>215.33599875546452</c:v>
                </c:pt>
              </c:numCache>
            </c:numRef>
          </c:xVal>
          <c:yVal>
            <c:numRef>
              <c:f>'R2'!$AI$57</c:f>
              <c:numCache>
                <c:formatCode>0.0%</c:formatCode>
                <c:ptCount val="1"/>
                <c:pt idx="0">
                  <c:v>3.3501043734797863E-2</c:v>
                </c:pt>
              </c:numCache>
            </c:numRef>
          </c:yVal>
          <c:smooth val="0"/>
          <c:extLst>
            <c:ext xmlns:c16="http://schemas.microsoft.com/office/drawing/2014/chart" uri="{C3380CC4-5D6E-409C-BE32-E72D297353CC}">
              <c16:uniqueId val="{00000017-1AE6-4E13-9684-BC54195DB087}"/>
            </c:ext>
          </c:extLst>
        </c:ser>
        <c:ser>
          <c:idx val="12"/>
          <c:order val="12"/>
          <c:tx>
            <c:strRef>
              <c:f>'R2'!$AK$58</c:f>
              <c:strCache>
                <c:ptCount val="1"/>
                <c:pt idx="0">
                  <c:v>M: +250 CC, 0.9/1.9/2.9/3.9, -360 Lease</c:v>
                </c:pt>
              </c:strCache>
            </c:strRef>
          </c:tx>
          <c:spPr>
            <a:ln w="28575">
              <a:noFill/>
            </a:ln>
          </c:spPr>
          <c:marker>
            <c:symbol val="diamond"/>
            <c:size val="8"/>
            <c:spPr>
              <a:solidFill>
                <a:schemeClr val="tx1"/>
              </a:solidFill>
              <a:ln w="15875">
                <a:solidFill>
                  <a:schemeClr val="tx1"/>
                </a:solidFill>
              </a:ln>
            </c:spPr>
          </c:marker>
          <c:dLbls>
            <c:dLbl>
              <c:idx val="0"/>
              <c:tx>
                <c:strRef>
                  <c:f>'R2'!$AK$58</c:f>
                  <c:strCache>
                    <c:ptCount val="1"/>
                    <c:pt idx="0">
                      <c:v>M: +250 CC, 0.9/1.9/2.9/3.9, -360 Lease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{3347AB5E-BEDB-41A8-BA91-0DA296769575}</c15:txfldGUID>
                      <c15:f>'R2'!$AK$58</c15:f>
                      <c15:dlblFieldTableCache>
                        <c:ptCount val="1"/>
                        <c:pt idx="0">
                          <c:v>M: +250 CC, 0.9/1.9/2.9/3.9, -360 Lease</c:v>
                        </c:pt>
                      </c15:dlblFieldTableCache>
                    </c15:dlblFTEntry>
                  </c15:dlblFieldTable>
                  <c15:showDataLabelsRange val="0"/>
                </c:ext>
                <c:ext xmlns:c16="http://schemas.microsoft.com/office/drawing/2014/chart" uri="{C3380CC4-5D6E-409C-BE32-E72D297353CC}">
                  <c16:uniqueId val="{00000018-1AE6-4E13-9684-BC54195DB087}"/>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'R2'!$AC$59</c:f>
              <c:numCache>
                <c:formatCode>_("$"* #,##0_);_("$"* \(#,##0\);_("$"* "-"??_);_(@_)</c:formatCode>
                <c:ptCount val="1"/>
                <c:pt idx="0">
                  <c:v>-162.60890909412819</c:v>
                </c:pt>
              </c:numCache>
            </c:numRef>
          </c:xVal>
          <c:yVal>
            <c:numRef>
              <c:f>'R2'!$AI$59</c:f>
              <c:numCache>
                <c:formatCode>0.0%</c:formatCode>
                <c:ptCount val="1"/>
                <c:pt idx="0">
                  <c:v>-2.4668800674429912E-2</c:v>
                </c:pt>
              </c:numCache>
            </c:numRef>
          </c:yVal>
          <c:smooth val="0"/>
          <c:extLst>
            <c:ext xmlns:c16="http://schemas.microsoft.com/office/drawing/2014/chart" uri="{C3380CC4-5D6E-409C-BE32-E72D297353CC}">
              <c16:uniqueId val="{00000019-1AE6-4E13-9684-BC54195DB087}"/>
            </c:ext>
          </c:extLst>
        </c:ser>
        <c:ser>
          <c:idx val="13"/>
          <c:order val="13"/>
          <c:tx>
            <c:strRef>
              <c:f>'R2'!$AK$60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{A4E3FB1B-94A5-4E31-A963-CDE9FD1B0831}</c15:txfldGUID>
                      <c15:f>'R2'!$AK$60</c15:f>
                      <c15:dlblFieldTableCache>
                        <c:ptCount val="1"/>
                        <c:pt idx="0">
                          <c:v>#VALUE!</c:v>
                        </c:pt>
                      </c15:dlblFieldTableCache>
                    </c15:dlblFTEntry>
                  </c15:dlblFieldTable>
                  <c15:showDataLabelsRange val="0"/>
                </c:ext>
                <c:ext xmlns:c16="http://schemas.microsoft.com/office/drawing/2014/chart" uri="{C3380CC4-5D6E-409C-BE32-E72D297353CC}">
                  <c16:uniqueId val="{0000001A-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'R2'!$AC$61</c:f>
              <c:numCache>
                <c:formatCode>_("$"* #,##0_);_("$"* \(#,##0\);_("$"* "-"??_);_(@_)</c:formatCode>
                <c:ptCount val="1"/>
                <c:pt idx="0">
                  <c:v>#N/A</c:v>
                </c:pt>
              </c:numCache>
            </c:numRef>
          </c:xVal>
          <c:yVal>
            <c:numRef>
              <c:f>'R2'!$AI$61</c:f>
              <c:numCache>
                <c:formatCode>0.0%</c:formatCode>
                <c:ptCount val="1"/>
                <c:pt idx="0">
                  <c:v>#N/A</c:v>
                </c:pt>
              </c:numCache>
            </c:numRef>
          </c:yVal>
          <c:smooth val="0"/>
          <c:extLst>
            <c:ext xmlns:c16="http://schemas.microsoft.com/office/drawing/2014/chart" uri="{C3380CC4-5D6E-409C-BE32-E72D297353CC}">
              <c16:uniqueId val="{0000001B-1AE6-4E13-9684-BC54195DB087}"/>
            </c:ext>
          </c:extLst>
        </c:ser>
        <c:ser>
          <c:idx val="14"/>
          <c:order val="14"/>
          <c:tx>
            <c:strRef>
              <c:f>'R2'!$AK$62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'R2'!$AK$62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{809A5DEA-A0F0-4C4A-8BD7-E5866E486580}</c15:txfldGUID>
                      <c15:f>'R2'!$AK$62</c15:f>
                      <c15:dlblFieldTableCache>
                        <c:ptCount val="1"/>
                        <c:pt idx="0">
                          <c:v>#VALUE!</c:v>
                        </c:pt>
                      </c15:dlblFieldTableCache>
                    </c15:dlblFTEntry>
                  </c15:dlblFieldTable>
                  <c15:showDataLabelsRange val="0"/>
                </c:ext>
                <c:ext xmlns:c16="http://schemas.microsoft.com/office/drawing/2014/chart" uri="{C3380CC4-5D6E-409C-BE32-E72D297353CC}">
                  <c16:uniqueId val="{0000001C-1AE6-4E13-9684-BC54195DB087}"/>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'R2'!$AC$63</c:f>
              <c:numCache>
                <c:formatCode>_("$"* #,##0_);_("$"* \(#,##0\);_("$"* "-"??_);_(@_)</c:formatCode>
                <c:ptCount val="1"/>
                <c:pt idx="0">
                  <c:v>#N/A</c:v>
                </c:pt>
              </c:numCache>
            </c:numRef>
          </c:xVal>
          <c:yVal>
            <c:numRef>
              <c:f>'R2'!$AI$63</c:f>
              <c:numCache>
                <c:formatCode>0.0%</c:formatCode>
                <c:ptCount val="1"/>
                <c:pt idx="0">
                  <c:v>#N/A</c:v>
                </c:pt>
              </c:numCache>
            </c:numRef>
          </c:yVal>
          <c:smooth val="0"/>
          <c:extLst>
            <c:ext xmlns:c16="http://schemas.microsoft.com/office/drawing/2014/chart" uri="{C3380CC4-5D6E-409C-BE32-E72D297353CC}">
              <c16:uniqueId val="{0000001D-1AE6-4E13-9684-BC54195DB087}"/>
            </c:ext>
          </c:extLst>
        </c:ser>
        <c:ser>
          <c:idx val="15"/>
          <c:order val="15"/>
          <c:tx>
            <c:strRef>
              <c:f>'R2'!$AK$64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{36F0FDE8-E832-47E3-8CE9-9D37ADC0E7AC}</c15:txfldGUID>
                      <c15:f>'R2'!$AK$64</c15:f>
                      <c15:dlblFieldTableCache>
                        <c:ptCount val="1"/>
                        <c:pt idx="0">
                          <c:v>#VALUE!</c:v>
                        </c:pt>
                      </c15:dlblFieldTableCache>
                    </c15:dlblFTEntry>
                  </c15:dlblFieldTable>
                  <c15:showDataLabelsRange val="0"/>
                </c:ext>
                <c:ext xmlns:c16="http://schemas.microsoft.com/office/drawing/2014/chart" uri="{C3380CC4-5D6E-409C-BE32-E72D297353CC}">
                  <c16:uniqueId val="{0000001E-1AE6-4E13-9684-BC54195DB087}"/>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'R2'!$AC$65</c:f>
              <c:numCache>
                <c:formatCode>_("$"* #,##0_);_("$"* \(#,##0\);_("$"* "-"??_);_(@_)</c:formatCode>
                <c:ptCount val="1"/>
                <c:pt idx="0">
                  <c:v>#N/A</c:v>
                </c:pt>
              </c:numCache>
            </c:numRef>
          </c:xVal>
          <c:yVal>
            <c:numRef>
              <c:f>'R2'!$AI$65</c:f>
              <c:numCache>
                <c:formatCode>0.0%</c:formatCode>
                <c:ptCount val="1"/>
                <c:pt idx="0">
                  <c:v>#N/A</c:v>
                </c:pt>
              </c:numCache>
            </c:numRef>
          </c:yVal>
          <c:smooth val="0"/>
          <c:extLst>
            <c:ext xmlns:c16="http://schemas.microsoft.com/office/drawing/2014/chart" uri="{C3380CC4-5D6E-409C-BE32-E72D297353CC}">
              <c16:uniqueId val="{0000001F-1AE6-4E13-9684-BC54195DB087}"/>
            </c:ext>
          </c:extLst>
        </c:ser>
        <c:ser>
          <c:idx val="17"/>
          <c:order val="16"/>
          <c:tx>
            <c:strRef>
              <c:f>'R2'!$AK$66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'R2'!$AC$67</c:f>
              <c:numCache>
                <c:formatCode>_("$"* #,##0_);_("$"* \(#,##0\);_("$"* "-"??_);_(@_)</c:formatCode>
                <c:ptCount val="1"/>
                <c:pt idx="0">
                  <c:v>#N/A</c:v>
                </c:pt>
              </c:numCache>
            </c:numRef>
          </c:xVal>
          <c:yVal>
            <c:numRef>
              <c:f>'R2'!$AI$67</c:f>
              <c:numCache>
                <c:formatCode>0.0%</c:formatCode>
                <c:ptCount val="1"/>
                <c:pt idx="0">
                  <c:v>#N/A</c:v>
                </c:pt>
              </c:numCache>
            </c:numRef>
          </c:yVal>
          <c:smooth val="0"/>
          <c:extLst>
            <c:ext xmlns:c16="http://schemas.microsoft.com/office/drawing/2014/chart" uri="{C3380CC4-5D6E-409C-BE32-E72D297353CC}">
              <c16:uniqueId val="{00000020-1AE6-4E13-9684-BC54195DB087}"/>
            </c:ext>
          </c:extLst>
        </c:ser>
        <c:ser>
          <c:idx val="18"/>
          <c:order val="17"/>
          <c:tx>
            <c:strRef>
              <c:f>'R2'!$AK$68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'R2'!$AC$69</c:f>
              <c:numCache>
                <c:formatCode>_("$"* #,##0_);_("$"* \(#,##0\);_("$"* "-"??_);_(@_)</c:formatCode>
                <c:ptCount val="1"/>
                <c:pt idx="0">
                  <c:v>#N/A</c:v>
                </c:pt>
              </c:numCache>
            </c:numRef>
          </c:xVal>
          <c:yVal>
            <c:numRef>
              <c:f>'R2'!$AI$69</c:f>
              <c:numCache>
                <c:formatCode>0.0%</c:formatCode>
                <c:ptCount val="1"/>
                <c:pt idx="0">
                  <c:v>#N/A</c:v>
                </c:pt>
              </c:numCache>
            </c:numRef>
          </c:yVal>
          <c:smooth val="0"/>
          <c:extLst>
            <c:ext xmlns:c16="http://schemas.microsoft.com/office/drawing/2014/chart" uri="{C3380CC4-5D6E-409C-BE32-E72D297353CC}">
              <c16:uniqueId val="{00000021-1AE6-4E13-9684-BC54195DB087}"/>
            </c:ext>
          </c:extLst>
        </c:ser>
        <c:ser>
          <c:idx val="16"/>
          <c:order val="18"/>
          <c:tx>
            <c:strRef>
              <c:f>'R2'!$AK$70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'R2'!$AK$70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{9308EDFE-C23F-433D-887C-E45C55A8FFD8}</c15:txfldGUID>
                      <c15:f>'R2'!$AK$70</c15:f>
                      <c15:dlblFieldTableCache>
                        <c:ptCount val="1"/>
                        <c:pt idx="0">
                          <c:v>#VALUE!</c:v>
                        </c:pt>
                      </c15:dlblFieldTableCache>
                    </c15:dlblFTEntry>
                  </c15:dlblFieldTable>
                  <c15:showDataLabelsRange val="0"/>
                </c:ext>
                <c:ext xmlns:c16="http://schemas.microsoft.com/office/drawing/2014/chart" uri="{C3380CC4-5D6E-409C-BE32-E72D297353CC}">
                  <c16:uniqueId val="{00000022-1AE6-4E13-9684-BC54195DB087}"/>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'R2'!$AC$71</c:f>
              <c:numCache>
                <c:formatCode>_("$"* #,##0_);_("$"* \(#,##0\);_("$"* "-"??_);_(@_)</c:formatCode>
                <c:ptCount val="1"/>
                <c:pt idx="0">
                  <c:v>#N/A</c:v>
                </c:pt>
              </c:numCache>
            </c:numRef>
          </c:xVal>
          <c:yVal>
            <c:numRef>
              <c:f>'R2'!$AI$71</c:f>
              <c:numCache>
                <c:formatCode>0.0%</c:formatCode>
                <c:ptCount val="1"/>
                <c:pt idx="0">
                  <c:v>#N/A</c:v>
                </c:pt>
              </c:numCache>
            </c:numRef>
          </c:yVal>
          <c:smooth val="0"/>
          <c:extLst>
            <c:ext xmlns:c16="http://schemas.microsoft.com/office/drawing/2014/chart" uri="{C3380CC4-5D6E-409C-BE32-E72D297353CC}">
              <c16:uniqueId val="{00000023-1AE6-4E13-9684-BC54195DB087}"/>
            </c:ext>
          </c:extLst>
        </c:ser>
        <c:ser>
          <c:idx val="19"/>
          <c:order val="19"/>
          <c:tx>
            <c:strRef>
              <c:f>'R2'!$AK$33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1.9028255701805639E-2"/>
                  <c:y val="5.041341248041719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1AE6-4E13-9684-BC54195DB087}"/>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'R2'!$AI$33</c:f>
              <c:numCache>
                <c:formatCode>0.0%</c:formatCode>
                <c:ptCount val="1"/>
                <c:pt idx="0">
                  <c:v>0</c:v>
                </c:pt>
              </c:numCache>
            </c:numRef>
          </c:yVal>
          <c:smooth val="0"/>
          <c:extLst>
            <c:ext xmlns:c16="http://schemas.microsoft.com/office/drawing/2014/chart" uri="{C3380CC4-5D6E-409C-BE32-E72D297353CC}">
              <c16:uniqueId val="{00000025-1AE6-4E13-9684-BC54195DB087}"/>
            </c:ext>
          </c:extLst>
        </c:ser>
        <c:dLbls>
          <c:showLegendKey val="0"/>
          <c:showVal val="1"/>
          <c:showCatName val="0"/>
          <c:showSerName val="0"/>
          <c:showPercent val="0"/>
          <c:showBubbleSize val="0"/>
        </c:dLbls>
        <c:axId val="668316416"/>
        <c:axId val="668318336"/>
        <c:extLst/>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majorUnit val="1.0000000000000002E-2"/>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233804598930572E-2"/>
          <c:y val="2.4301365918453818E-2"/>
          <c:w val="0.91231438631878803"/>
          <c:h val="0.81599521419845633"/>
        </c:manualLayout>
      </c:layout>
      <c:scatterChart>
        <c:scatterStyle val="lineMarker"/>
        <c:varyColors val="0"/>
        <c:ser>
          <c:idx val="0"/>
          <c:order val="0"/>
          <c:tx>
            <c:strRef>
              <c:f>Dum!$AK$34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{2A8F5420-D93B-40E6-8866-28E64FB5A371}</c15:txfldGUID>
                      <c15:f>Dum!$AK$34</c15:f>
                      <c15:dlblFieldTableCache>
                        <c:ptCount val="1"/>
                        <c:pt idx="0">
                          <c:v>#VALUE!</c:v>
                        </c:pt>
                      </c15:dlblFieldTableCache>
                    </c15:dlblFTEntry>
                  </c15:dlblFieldTable>
                  <c15:showDataLabelsRange val="0"/>
                </c:ext>
                <c:ext xmlns:c16="http://schemas.microsoft.com/office/drawing/2014/chart" uri="{C3380CC4-5D6E-409C-BE32-E72D297353CC}">
                  <c16:uniqueId val="{00000000-CFFD-467B-A0E1-4FA624B6092B}"/>
                </c:ext>
              </c:extLst>
            </c:dLbl>
            <c:spPr>
              <a:noFill/>
            </c:spPr>
            <c:txPr>
              <a:bodyPr vertOverflow="overflow" horzOverflow="overflow">
                <a:spAutoFit/>
              </a:bodyPr>
              <a:lstStyle/>
              <a:p>
                <a:pPr>
                  <a:defRPr sz="1400" b="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Dum!$AC$35</c:f>
              <c:numCache>
                <c:formatCode>_("$"* #,##0_);_("$"* \(#,##0\);_("$"* "-"??_);_(@_)</c:formatCode>
                <c:ptCount val="1"/>
                <c:pt idx="0">
                  <c:v>#N/A</c:v>
                </c:pt>
              </c:numCache>
            </c:numRef>
          </c:xVal>
          <c:yVal>
            <c:numRef>
              <c:f>Dum!$AI$35</c:f>
              <c:numCache>
                <c:formatCode>0.0%</c:formatCode>
                <c:ptCount val="1"/>
                <c:pt idx="0">
                  <c:v>#N/A</c:v>
                </c:pt>
              </c:numCache>
            </c:numRef>
          </c:yVal>
          <c:smooth val="0"/>
          <c:extLst>
            <c:ext xmlns:c16="http://schemas.microsoft.com/office/drawing/2014/chart" uri="{C3380CC4-5D6E-409C-BE32-E72D297353CC}">
              <c16:uniqueId val="{00000001-CFFD-467B-A0E1-4FA624B6092B}"/>
            </c:ext>
          </c:extLst>
        </c:ser>
        <c:ser>
          <c:idx val="1"/>
          <c:order val="1"/>
          <c:tx>
            <c:strRef>
              <c:f>Dum!$AK$36</c:f>
              <c:strCache>
                <c:ptCount val="1"/>
                <c:pt idx="0">
                  <c:v>#VALUE!</c:v>
                </c:pt>
              </c:strCache>
            </c:strRef>
          </c:tx>
          <c:spPr>
            <a:ln w="31750">
              <a:noFill/>
            </a:ln>
          </c:spPr>
          <c:marker>
            <c:symbol val="diamond"/>
            <c:size val="8"/>
            <c:spPr>
              <a:solidFill>
                <a:schemeClr val="tx1"/>
              </a:solidFill>
              <a:ln w="15875">
                <a:solidFill>
                  <a:schemeClr val="tx1"/>
                </a:solidFill>
              </a:ln>
            </c:spPr>
          </c:marker>
          <c:dLbls>
            <c:dLbl>
              <c:idx val="0"/>
              <c:tx>
                <c:strRef>
                  <c:f>Dum!$AK$36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{D91A4619-9F1A-49E7-8CB2-EA4CB4103519}</c15:txfldGUID>
                      <c15:f>Dum!$AK$36</c15:f>
                      <c15:dlblFieldTableCache>
                        <c:ptCount val="1"/>
                        <c:pt idx="0">
                          <c:v>#VALUE!</c:v>
                        </c:pt>
                      </c15:dlblFieldTableCache>
                    </c15:dlblFTEntry>
                  </c15:dlblFieldTable>
                  <c15:showDataLabelsRange val="0"/>
                </c:ext>
                <c:ext xmlns:c16="http://schemas.microsoft.com/office/drawing/2014/chart" uri="{C3380CC4-5D6E-409C-BE32-E72D297353CC}">
                  <c16:uniqueId val="{00000002-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Dum!$AC$37</c:f>
              <c:numCache>
                <c:formatCode>_("$"* #,##0_);_("$"* \(#,##0\);_("$"* "-"??_);_(@_)</c:formatCode>
                <c:ptCount val="1"/>
                <c:pt idx="0">
                  <c:v>#N/A</c:v>
                </c:pt>
              </c:numCache>
            </c:numRef>
          </c:xVal>
          <c:yVal>
            <c:numRef>
              <c:f>Dum!$AI$37</c:f>
              <c:numCache>
                <c:formatCode>0.0%</c:formatCode>
                <c:ptCount val="1"/>
                <c:pt idx="0">
                  <c:v>#N/A</c:v>
                </c:pt>
              </c:numCache>
            </c:numRef>
          </c:yVal>
          <c:smooth val="0"/>
          <c:extLst>
            <c:ext xmlns:c16="http://schemas.microsoft.com/office/drawing/2014/chart" uri="{C3380CC4-5D6E-409C-BE32-E72D297353CC}">
              <c16:uniqueId val="{00000003-CFFD-467B-A0E1-4FA624B6092B}"/>
            </c:ext>
          </c:extLst>
        </c:ser>
        <c:ser>
          <c:idx val="2"/>
          <c:order val="2"/>
          <c:tx>
            <c:strRef>
              <c:f>Dum!$AK$38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Dum!$AK$38</c:f>
                  <c:strCache>
                    <c:ptCount val="1"/>
                    <c:pt idx="0">
                      <c:v>#VALUE!</c:v>
                    </c:pt>
                  </c:strCache>
                </c:strRef>
              </c:tx>
              <c:dLblPos val="b"/>
              <c:showLegendKey val="0"/>
              <c:showVal val="1"/>
              <c:showCatName val="0"/>
              <c:showSerName val="0"/>
              <c:showPercent val="0"/>
              <c:showBubbleSize val="0"/>
              <c:extLst>
                <c:ext xmlns:c15="http://schemas.microsoft.com/office/drawing/2012/chart" uri="{CE6537A1-D6FC-4f65-9D91-7224C49458BB}">
                  <c15:dlblFieldTable>
                    <c15:dlblFTEntry>
                      <c15:txfldGUID>{556C0F7E-C656-4712-BE19-39498CA28D11}</c15:txfldGUID>
                      <c15:f>Dum!$AK$38</c15:f>
                      <c15:dlblFieldTableCache>
                        <c:ptCount val="1"/>
                        <c:pt idx="0">
                          <c:v>#VALUE!</c:v>
                        </c:pt>
                      </c15:dlblFieldTableCache>
                    </c15:dlblFTEntry>
                  </c15:dlblFieldTable>
                  <c15:showDataLabelsRange val="0"/>
                </c:ext>
                <c:ext xmlns:c16="http://schemas.microsoft.com/office/drawing/2014/chart" uri="{C3380CC4-5D6E-409C-BE32-E72D297353CC}">
                  <c16:uniqueId val="{00000004-CFFD-467B-A0E1-4FA624B6092B}"/>
                </c:ext>
              </c:extLst>
            </c:dLbl>
            <c:spPr>
              <a:noFill/>
            </c:spPr>
            <c:txPr>
              <a:bodyPr vertOverflow="overflow" horzOverflow="overflow">
                <a:spAutoFit/>
              </a:bodyPr>
              <a:lstStyle/>
              <a:p>
                <a:pPr>
                  <a:defRPr sz="1400">
                    <a:latin typeface="+mn-lt"/>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Dum!$AC$39</c:f>
              <c:numCache>
                <c:formatCode>_("$"* #,##0_);_("$"* \(#,##0\);_("$"* "-"??_);_(@_)</c:formatCode>
                <c:ptCount val="1"/>
                <c:pt idx="0">
                  <c:v>#N/A</c:v>
                </c:pt>
              </c:numCache>
            </c:numRef>
          </c:xVal>
          <c:yVal>
            <c:numRef>
              <c:f>Dum!$AI$39</c:f>
              <c:numCache>
                <c:formatCode>0.0%</c:formatCode>
                <c:ptCount val="1"/>
                <c:pt idx="0">
                  <c:v>#N/A</c:v>
                </c:pt>
              </c:numCache>
            </c:numRef>
          </c:yVal>
          <c:smooth val="0"/>
          <c:extLst>
            <c:ext xmlns:c16="http://schemas.microsoft.com/office/drawing/2014/chart" uri="{C3380CC4-5D6E-409C-BE32-E72D297353CC}">
              <c16:uniqueId val="{00000005-CFFD-467B-A0E1-4FA624B6092B}"/>
            </c:ext>
          </c:extLst>
        </c:ser>
        <c:ser>
          <c:idx val="3"/>
          <c:order val="3"/>
          <c:tx>
            <c:strRef>
              <c:f>Dum!$AK$40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Dum!$AK$40</c:f>
                  <c:strCache>
                    <c:ptCount val="1"/>
                    <c:pt idx="0">
                      <c:v>#VALUE!</c:v>
                    </c:pt>
                  </c:strCache>
                </c:strRef>
              </c:tx>
              <c:dLblPos val="t"/>
              <c:showLegendKey val="0"/>
              <c:showVal val="1"/>
              <c:showCatName val="0"/>
              <c:showSerName val="0"/>
              <c:showPercent val="0"/>
              <c:showBubbleSize val="0"/>
              <c:extLst>
                <c:ext xmlns:c15="http://schemas.microsoft.com/office/drawing/2012/chart" uri="{CE6537A1-D6FC-4f65-9D91-7224C49458BB}">
                  <c15:dlblFieldTable>
                    <c15:dlblFTEntry>
                      <c15:txfldGUID>{4D732404-FB4A-4726-86E3-8C8714EEA613}</c15:txfldGUID>
                      <c15:f>Dum!$AK$40</c15:f>
                      <c15:dlblFieldTableCache>
                        <c:ptCount val="1"/>
                        <c:pt idx="0">
                          <c:v>#VALUE!</c:v>
                        </c:pt>
                      </c15:dlblFieldTableCache>
                    </c15:dlblFTEntry>
                  </c15:dlblFieldTable>
                  <c15:showDataLabelsRange val="0"/>
                </c:ext>
                <c:ext xmlns:c16="http://schemas.microsoft.com/office/drawing/2014/chart" uri="{C3380CC4-5D6E-409C-BE32-E72D297353CC}">
                  <c16:uniqueId val="{00000006-CFFD-467B-A0E1-4FA624B6092B}"/>
                </c:ext>
              </c:extLst>
            </c:dLbl>
            <c:spPr>
              <a:noFill/>
            </c:spPr>
            <c:txPr>
              <a:bodyPr vertOverflow="overflow" horzOverflow="overflow">
                <a:spAutoFit/>
              </a:bodyPr>
              <a:lstStyle/>
              <a:p>
                <a:pPr>
                  <a:defRPr sz="1400">
                    <a:latin typeface="+mn-l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Dum!$AC$41</c:f>
              <c:numCache>
                <c:formatCode>_("$"* #,##0_);_("$"* \(#,##0\);_("$"* "-"??_);_(@_)</c:formatCode>
                <c:ptCount val="1"/>
                <c:pt idx="0">
                  <c:v>#N/A</c:v>
                </c:pt>
              </c:numCache>
            </c:numRef>
          </c:xVal>
          <c:yVal>
            <c:numRef>
              <c:f>Dum!$AI$41</c:f>
              <c:numCache>
                <c:formatCode>0.0%</c:formatCode>
                <c:ptCount val="1"/>
                <c:pt idx="0">
                  <c:v>#N/A</c:v>
                </c:pt>
              </c:numCache>
            </c:numRef>
          </c:yVal>
          <c:smooth val="0"/>
          <c:extLst>
            <c:ext xmlns:c16="http://schemas.microsoft.com/office/drawing/2014/chart" uri="{C3380CC4-5D6E-409C-BE32-E72D297353CC}">
              <c16:uniqueId val="{00000007-CFFD-467B-A0E1-4FA624B6092B}"/>
            </c:ext>
          </c:extLst>
        </c:ser>
        <c:ser>
          <c:idx val="4"/>
          <c:order val="4"/>
          <c:tx>
            <c:strRef>
              <c:f>Dum!$AK$42</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{FFEFF4ED-928C-4802-9811-905BAE9B9784}</c15:txfldGUID>
                      <c15:f>Dum!$AK$42</c15:f>
                      <c15:dlblFieldTableCache>
                        <c:ptCount val="1"/>
                        <c:pt idx="0">
                          <c:v>#VALUE!</c:v>
                        </c:pt>
                      </c15:dlblFieldTableCache>
                    </c15:dlblFTEntry>
                  </c15:dlblFieldTable>
                  <c15:showDataLabelsRange val="0"/>
                </c:ext>
                <c:ext xmlns:c16="http://schemas.microsoft.com/office/drawing/2014/chart" uri="{C3380CC4-5D6E-409C-BE32-E72D297353CC}">
                  <c16:uniqueId val="{00000008-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Dum!$AC$43</c:f>
              <c:numCache>
                <c:formatCode>_("$"* #,##0_);_("$"* \(#,##0\);_("$"* "-"??_);_(@_)</c:formatCode>
                <c:ptCount val="1"/>
                <c:pt idx="0">
                  <c:v>#N/A</c:v>
                </c:pt>
              </c:numCache>
            </c:numRef>
          </c:xVal>
          <c:yVal>
            <c:numRef>
              <c:f>Dum!$AI$43</c:f>
              <c:numCache>
                <c:formatCode>0.0%</c:formatCode>
                <c:ptCount val="1"/>
                <c:pt idx="0">
                  <c:v>#N/A</c:v>
                </c:pt>
              </c:numCache>
            </c:numRef>
          </c:yVal>
          <c:smooth val="0"/>
          <c:extLst>
            <c:ext xmlns:c16="http://schemas.microsoft.com/office/drawing/2014/chart" uri="{C3380CC4-5D6E-409C-BE32-E72D297353CC}">
              <c16:uniqueId val="{00000009-CFFD-467B-A0E1-4FA624B6092B}"/>
            </c:ext>
          </c:extLst>
        </c:ser>
        <c:ser>
          <c:idx val="5"/>
          <c:order val="5"/>
          <c:tx>
            <c:strRef>
              <c:f>Dum!$AK$44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Dum!$AK$44</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{FA21ADA8-5904-4BA7-AEFA-87C5310F0341}</c15:txfldGUID>
                      <c15:f>Dum!$AK$44</c15:f>
                      <c15:dlblFieldTableCache>
                        <c:ptCount val="1"/>
                        <c:pt idx="0">
                          <c:v>#VALUE!</c:v>
                        </c:pt>
                      </c15:dlblFieldTableCache>
                    </c15:dlblFTEntry>
                  </c15:dlblFieldTable>
                  <c15:showDataLabelsRange val="0"/>
                </c:ext>
                <c:ext xmlns:c16="http://schemas.microsoft.com/office/drawing/2014/chart" uri="{C3380CC4-5D6E-409C-BE32-E72D297353CC}">
                  <c16:uniqueId val="{0000000A-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Dum!$AC$45</c:f>
              <c:numCache>
                <c:formatCode>_("$"* #,##0_);_("$"* \(#,##0\);_("$"* "-"??_);_(@_)</c:formatCode>
                <c:ptCount val="1"/>
                <c:pt idx="0">
                  <c:v>#N/A</c:v>
                </c:pt>
              </c:numCache>
            </c:numRef>
          </c:xVal>
          <c:yVal>
            <c:numRef>
              <c:f>Dum!$AI$45</c:f>
              <c:numCache>
                <c:formatCode>0.0%</c:formatCode>
                <c:ptCount val="1"/>
                <c:pt idx="0">
                  <c:v>#N/A</c:v>
                </c:pt>
              </c:numCache>
            </c:numRef>
          </c:yVal>
          <c:smooth val="0"/>
          <c:extLst>
            <c:ext xmlns:c16="http://schemas.microsoft.com/office/drawing/2014/chart" uri="{C3380CC4-5D6E-409C-BE32-E72D297353CC}">
              <c16:uniqueId val="{0000000B-CFFD-467B-A0E1-4FA624B6092B}"/>
            </c:ext>
          </c:extLst>
        </c:ser>
        <c:ser>
          <c:idx val="6"/>
          <c:order val="6"/>
          <c:tx>
            <c:strRef>
              <c:f>Dum!$AK$46</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Dum!$AK$46</c:f>
                  <c:strCache>
                    <c:ptCount val="1"/>
                    <c:pt idx="0">
                      <c:v>#VALUE!</c:v>
                    </c:pt>
                  </c:strCache>
                </c:strRef>
              </c:tx>
              <c:dLblPos val="l"/>
              <c:showLegendKey val="0"/>
              <c:showVal val="1"/>
              <c:showCatName val="0"/>
              <c:showSerName val="0"/>
              <c:showPercent val="0"/>
              <c:showBubbleSize val="0"/>
              <c:extLst>
                <c:ext xmlns:c15="http://schemas.microsoft.com/office/drawing/2012/chart" uri="{CE6537A1-D6FC-4f65-9D91-7224C49458BB}">
                  <c15:dlblFieldTable>
                    <c15:dlblFTEntry>
                      <c15:txfldGUID>{F4FD9305-E54E-46BC-9F66-FA18182E2A0C}</c15:txfldGUID>
                      <c15:f>Dum!$AK$46</c15:f>
                      <c15:dlblFieldTableCache>
                        <c:ptCount val="1"/>
                        <c:pt idx="0">
                          <c:v>#VALUE!</c:v>
                        </c:pt>
                      </c15:dlblFieldTableCache>
                    </c15:dlblFTEntry>
                  </c15:dlblFieldTable>
                  <c15:showDataLabelsRange val="0"/>
                </c:ext>
                <c:ext xmlns:c16="http://schemas.microsoft.com/office/drawing/2014/chart" uri="{C3380CC4-5D6E-409C-BE32-E72D297353CC}">
                  <c16:uniqueId val="{0000000C-CFFD-467B-A0E1-4FA624B6092B}"/>
                </c:ext>
              </c:extLst>
            </c:dLbl>
            <c:spPr>
              <a:noFill/>
            </c:spPr>
            <c:txPr>
              <a:bodyPr vertOverflow="overflow" horzOverflow="overflow">
                <a:spAutoFit/>
              </a:bodyPr>
              <a:lstStyle/>
              <a:p>
                <a:pPr>
                  <a:defRPr sz="1400">
                    <a:latin typeface="+mn-lt"/>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Dum!$AC$47</c:f>
              <c:numCache>
                <c:formatCode>_("$"* #,##0_);_("$"* \(#,##0\);_("$"* "-"??_);_(@_)</c:formatCode>
                <c:ptCount val="1"/>
                <c:pt idx="0">
                  <c:v>#N/A</c:v>
                </c:pt>
              </c:numCache>
            </c:numRef>
          </c:xVal>
          <c:yVal>
            <c:numRef>
              <c:f>Dum!$AI$47</c:f>
              <c:numCache>
                <c:formatCode>0.0%</c:formatCode>
                <c:ptCount val="1"/>
                <c:pt idx="0">
                  <c:v>#N/A</c:v>
                </c:pt>
              </c:numCache>
            </c:numRef>
          </c:yVal>
          <c:smooth val="0"/>
          <c:extLst>
            <c:ext xmlns:c16="http://schemas.microsoft.com/office/drawing/2014/chart" uri="{C3380CC4-5D6E-409C-BE32-E72D297353CC}">
              <c16:uniqueId val="{0000000D-CFFD-467B-A0E1-4FA624B6092B}"/>
            </c:ext>
          </c:extLst>
        </c:ser>
        <c:ser>
          <c:idx val="7"/>
          <c:order val="7"/>
          <c:tx>
            <c:strRef>
              <c:f>Dum!$AK$48</c:f>
              <c:strCache>
                <c:ptCount val="1"/>
                <c:pt idx="0">
                  <c:v>#VALUE!</c:v>
                </c:pt>
              </c:strCache>
            </c:strRef>
          </c:tx>
          <c:spPr>
            <a:ln w="15875">
              <a:noFill/>
            </a:ln>
          </c:spPr>
          <c:marker>
            <c:symbol val="diamond"/>
            <c:size val="8"/>
            <c:spPr>
              <a:solidFill>
                <a:schemeClr val="tx1"/>
              </a:solidFill>
              <a:ln w="15875">
                <a:solidFill>
                  <a:schemeClr val="tx1"/>
                </a:solidFill>
              </a:ln>
            </c:spPr>
          </c:marker>
          <c:dLbls>
            <c:dLbl>
              <c:idx val="0"/>
              <c:tx>
                <c:strRef>
                  <c:f>Dum!$AK$48</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{E1B3F258-283B-4638-A0D0-92DA1B6B1F35}</c15:txfldGUID>
                      <c15:f>Dum!$AK$48</c15:f>
                      <c15:dlblFieldTableCache>
                        <c:ptCount val="1"/>
                        <c:pt idx="0">
                          <c:v>#VALUE!</c:v>
                        </c:pt>
                      </c15:dlblFieldTableCache>
                    </c15:dlblFTEntry>
                  </c15:dlblFieldTable>
                  <c15:showDataLabelsRange val="0"/>
                </c:ext>
                <c:ext xmlns:c16="http://schemas.microsoft.com/office/drawing/2014/chart" uri="{C3380CC4-5D6E-409C-BE32-E72D297353CC}">
                  <c16:uniqueId val="{0000000E-CFFD-467B-A0E1-4FA624B6092B}"/>
                </c:ext>
              </c:extLst>
            </c:dLbl>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Dum!$AC$49</c:f>
              <c:numCache>
                <c:formatCode>_("$"* #,##0_);_("$"* \(#,##0\);_("$"* "-"??_);_(@_)</c:formatCode>
                <c:ptCount val="1"/>
                <c:pt idx="0">
                  <c:v>#N/A</c:v>
                </c:pt>
              </c:numCache>
            </c:numRef>
          </c:xVal>
          <c:yVal>
            <c:numRef>
              <c:f>Dum!$AI$49</c:f>
              <c:numCache>
                <c:formatCode>0.0%</c:formatCode>
                <c:ptCount val="1"/>
                <c:pt idx="0">
                  <c:v>#N/A</c:v>
                </c:pt>
              </c:numCache>
            </c:numRef>
          </c:yVal>
          <c:smooth val="0"/>
          <c:extLst>
            <c:ext xmlns:c16="http://schemas.microsoft.com/office/drawing/2014/chart" uri="{C3380CC4-5D6E-409C-BE32-E72D297353CC}">
              <c16:uniqueId val="{0000000F-CFFD-467B-A0E1-4FA624B6092B}"/>
            </c:ext>
          </c:extLst>
        </c:ser>
        <c:ser>
          <c:idx val="8"/>
          <c:order val="8"/>
          <c:tx>
            <c:strRef>
              <c:f>Dum!$AK$50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Dum!$AK$50</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{68A35663-7770-4409-9DFE-41DD25FD178A}</c15:txfldGUID>
                      <c15:f>Dum!$AK$50</c15:f>
                      <c15:dlblFieldTableCache>
                        <c:ptCount val="1"/>
                        <c:pt idx="0">
                          <c:v>#VALUE!</c:v>
                        </c:pt>
                      </c15:dlblFieldTableCache>
                    </c15:dlblFTEntry>
                  </c15:dlblFieldTable>
                  <c15:showDataLabelsRange val="0"/>
                </c:ext>
                <c:ext xmlns:c16="http://schemas.microsoft.com/office/drawing/2014/chart" uri="{C3380CC4-5D6E-409C-BE32-E72D297353CC}">
                  <c16:uniqueId val="{00000010-CFFD-467B-A0E1-4FA624B6092B}"/>
                </c:ext>
              </c:extLst>
            </c:dLbl>
            <c:spPr>
              <a:noFill/>
            </c:spPr>
            <c:txPr>
              <a:bodyPr vertOverflow="overflow" horzOverflow="overflow">
                <a:spAutoFit/>
              </a:bodyPr>
              <a:lstStyle/>
              <a:p>
                <a:pPr>
                  <a:defRPr sz="10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Dum!$AC$51</c:f>
              <c:numCache>
                <c:formatCode>_("$"* #,##0_);_("$"* \(#,##0\);_("$"* "-"??_);_(@_)</c:formatCode>
                <c:ptCount val="1"/>
                <c:pt idx="0">
                  <c:v>#N/A</c:v>
                </c:pt>
              </c:numCache>
            </c:numRef>
          </c:xVal>
          <c:yVal>
            <c:numRef>
              <c:f>Dum!$AI$51</c:f>
              <c:numCache>
                <c:formatCode>0.0%</c:formatCode>
                <c:ptCount val="1"/>
                <c:pt idx="0">
                  <c:v>#N/A</c:v>
                </c:pt>
              </c:numCache>
            </c:numRef>
          </c:yVal>
          <c:smooth val="0"/>
          <c:extLst>
            <c:ext xmlns:c16="http://schemas.microsoft.com/office/drawing/2014/chart" uri="{C3380CC4-5D6E-409C-BE32-E72D297353CC}">
              <c16:uniqueId val="{00000011-CFFD-467B-A0E1-4FA624B6092B}"/>
            </c:ext>
          </c:extLst>
        </c:ser>
        <c:ser>
          <c:idx val="9"/>
          <c:order val="9"/>
          <c:tx>
            <c:strRef>
              <c:f>Dum!$AK$52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Dum!$AK$52</c:f>
                  <c:strCache>
                    <c:ptCount val="1"/>
                    <c:pt idx="0">
                      <c:v>#VALUE!</c:v>
                    </c:pt>
                  </c:strCache>
                </c:strRef>
              </c:tx>
              <c:dLblPos val="r"/>
              <c:showLegendKey val="0"/>
              <c:showVal val="1"/>
              <c:showCatName val="0"/>
              <c:showSerName val="0"/>
              <c:showPercent val="0"/>
              <c:showBubbleSize val="0"/>
              <c:extLst>
                <c:ext xmlns:c15="http://schemas.microsoft.com/office/drawing/2012/chart" uri="{CE6537A1-D6FC-4f65-9D91-7224C49458BB}">
                  <c15:dlblFieldTable>
                    <c15:dlblFTEntry>
                      <c15:txfldGUID>{64056ACE-140C-4ADF-8AF0-671549143500}</c15:txfldGUID>
                      <c15:f>Dum!$AK$52</c15:f>
                      <c15:dlblFieldTableCache>
                        <c:ptCount val="1"/>
                        <c:pt idx="0">
                          <c:v>#VALUE!</c:v>
                        </c:pt>
                      </c15:dlblFieldTableCache>
                    </c15:dlblFTEntry>
                  </c15:dlblFieldTable>
                  <c15:showDataLabelsRange val="0"/>
                </c:ext>
                <c:ext xmlns:c16="http://schemas.microsoft.com/office/drawing/2014/chart" uri="{C3380CC4-5D6E-409C-BE32-E72D297353CC}">
                  <c16:uniqueId val="{00000012-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Dum!$AC$53</c:f>
              <c:numCache>
                <c:formatCode>_("$"* #,##0_);_("$"* \(#,##0\);_("$"* "-"??_);_(@_)</c:formatCode>
                <c:ptCount val="1"/>
                <c:pt idx="0">
                  <c:v>#N/A</c:v>
                </c:pt>
              </c:numCache>
            </c:numRef>
          </c:xVal>
          <c:yVal>
            <c:numRef>
              <c:f>Dum!$AI$53</c:f>
              <c:numCache>
                <c:formatCode>0.0%</c:formatCode>
                <c:ptCount val="1"/>
                <c:pt idx="0">
                  <c:v>#N/A</c:v>
                </c:pt>
              </c:numCache>
            </c:numRef>
          </c:yVal>
          <c:smooth val="0"/>
          <c:extLst>
            <c:ext xmlns:c16="http://schemas.microsoft.com/office/drawing/2014/chart" uri="{C3380CC4-5D6E-409C-BE32-E72D297353CC}">
              <c16:uniqueId val="{00000013-CFFD-467B-A0E1-4FA624B6092B}"/>
            </c:ext>
          </c:extLst>
        </c:ser>
        <c:ser>
          <c:idx val="10"/>
          <c:order val="10"/>
          <c:tx>
            <c:strRef>
              <c:f>Dum!$AK$54</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Dum!$AK$54</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{5D5C8B67-E795-4D24-A066-E84DFBA1FF0A}</c15:txfldGUID>
                      <c15:f>Dum!$AK$54</c15:f>
                      <c15:dlblFieldTableCache>
                        <c:ptCount val="1"/>
                        <c:pt idx="0">
                          <c:v>#VALUE!</c:v>
                        </c:pt>
                      </c15:dlblFieldTableCache>
                    </c15:dlblFTEntry>
                  </c15:dlblFieldTable>
                  <c15:showDataLabelsRange val="0"/>
                </c:ext>
                <c:ext xmlns:c16="http://schemas.microsoft.com/office/drawing/2014/chart" uri="{C3380CC4-5D6E-409C-BE32-E72D297353CC}">
                  <c16:uniqueId val="{00000014-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Dum!$AC$55</c:f>
              <c:numCache>
                <c:formatCode>_("$"* #,##0_);_("$"* \(#,##0\);_("$"* "-"??_);_(@_)</c:formatCode>
                <c:ptCount val="1"/>
                <c:pt idx="0">
                  <c:v>#N/A</c:v>
                </c:pt>
              </c:numCache>
            </c:numRef>
          </c:xVal>
          <c:yVal>
            <c:numRef>
              <c:f>Dum!$AI$55</c:f>
              <c:numCache>
                <c:formatCode>0.0%</c:formatCode>
                <c:ptCount val="1"/>
                <c:pt idx="0">
                  <c:v>#N/A</c:v>
                </c:pt>
              </c:numCache>
            </c:numRef>
          </c:yVal>
          <c:smooth val="0"/>
          <c:extLst>
            <c:ext xmlns:c16="http://schemas.microsoft.com/office/drawing/2014/chart" uri="{C3380CC4-5D6E-409C-BE32-E72D297353CC}">
              <c16:uniqueId val="{00000015-CFFD-467B-A0E1-4FA624B6092B}"/>
            </c:ext>
          </c:extLst>
        </c:ser>
        <c:ser>
          <c:idx val="11"/>
          <c:order val="11"/>
          <c:tx>
            <c:strRef>
              <c:f>Dum!$AK$56</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Dum!$AK$56</c:f>
                  <c:strCache>
                    <c:ptCount val="1"/>
                    <c:pt idx="0">
                      <c:v>#VALUE!</c:v>
                    </c:pt>
                  </c:strCache>
                </c:strRef>
              </c:tx>
              <c:spPr>
                <a:noFill/>
                <a:ln>
                  <a:noFill/>
                </a:ln>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dlblFTEntry>
                      <c15:txfldGUID>{C6C8214D-AAD4-4EB5-9961-06DE8E3E5719}</c15:txfldGUID>
                      <c15:f>Dum!$AK$56</c15:f>
                      <c15:dlblFieldTableCache>
                        <c:ptCount val="1"/>
                        <c:pt idx="0">
                          <c:v>#VALUE!</c:v>
                        </c:pt>
                      </c15:dlblFieldTableCache>
                    </c15:dlblFTEntry>
                  </c15:dlblFieldTable>
                  <c15:showDataLabelsRange val="0"/>
                </c:ext>
                <c:ext xmlns:c16="http://schemas.microsoft.com/office/drawing/2014/chart" uri="{C3380CC4-5D6E-409C-BE32-E72D297353CC}">
                  <c16:uniqueId val="{00000016-CFFD-467B-A0E1-4FA624B6092B}"/>
                </c:ext>
              </c:extLst>
            </c:dLbl>
            <c:spPr>
              <a:noFill/>
              <a:ln>
                <a:noFill/>
              </a:ln>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Dum!$AC$57</c:f>
              <c:numCache>
                <c:formatCode>_("$"* #,##0_);_("$"* \(#,##0\);_("$"* "-"??_);_(@_)</c:formatCode>
                <c:ptCount val="1"/>
                <c:pt idx="0">
                  <c:v>#N/A</c:v>
                </c:pt>
              </c:numCache>
            </c:numRef>
          </c:xVal>
          <c:yVal>
            <c:numRef>
              <c:f>Dum!$AI$57</c:f>
              <c:numCache>
                <c:formatCode>0.0%</c:formatCode>
                <c:ptCount val="1"/>
                <c:pt idx="0">
                  <c:v>#N/A</c:v>
                </c:pt>
              </c:numCache>
            </c:numRef>
          </c:yVal>
          <c:smooth val="0"/>
          <c:extLst>
            <c:ext xmlns:c16="http://schemas.microsoft.com/office/drawing/2014/chart" uri="{C3380CC4-5D6E-409C-BE32-E72D297353CC}">
              <c16:uniqueId val="{00000017-CFFD-467B-A0E1-4FA624B6092B}"/>
            </c:ext>
          </c:extLst>
        </c:ser>
        <c:ser>
          <c:idx val="12"/>
          <c:order val="12"/>
          <c:tx>
            <c:strRef>
              <c:f>Dum!$AK$58</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Dum!$AK$58</c:f>
                  <c:strCache>
                    <c:ptCount val="1"/>
                    <c:pt idx="0">
                      <c:v>#VALUE!</c:v>
                    </c:pt>
                  </c:strCache>
                </c:strRef>
              </c:tx>
              <c:spPr>
                <a:noFill/>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{3A6E2B08-1784-4764-BC12-B4EAC3A499C8}</c15:txfldGUID>
                      <c15:f>Dum!$AK$58</c15:f>
                      <c15:dlblFieldTableCache>
                        <c:ptCount val="1"/>
                        <c:pt idx="0">
                          <c:v>#VALUE!</c:v>
                        </c:pt>
                      </c15:dlblFieldTableCache>
                    </c15:dlblFTEntry>
                  </c15:dlblFieldTable>
                  <c15:showDataLabelsRange val="0"/>
                </c:ext>
                <c:ext xmlns:c16="http://schemas.microsoft.com/office/drawing/2014/chart" uri="{C3380CC4-5D6E-409C-BE32-E72D297353CC}">
                  <c16:uniqueId val="{00000018-CFFD-467B-A0E1-4FA624B6092B}"/>
                </c:ext>
              </c:extLst>
            </c:dLbl>
            <c:spPr>
              <a:noFill/>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Dum!$AC$59</c:f>
              <c:numCache>
                <c:formatCode>_("$"* #,##0_);_("$"* \(#,##0\);_("$"* "-"??_);_(@_)</c:formatCode>
                <c:ptCount val="1"/>
                <c:pt idx="0">
                  <c:v>#N/A</c:v>
                </c:pt>
              </c:numCache>
            </c:numRef>
          </c:xVal>
          <c:yVal>
            <c:numRef>
              <c:f>Dum!$AI$59</c:f>
              <c:numCache>
                <c:formatCode>0.0%</c:formatCode>
                <c:ptCount val="1"/>
                <c:pt idx="0">
                  <c:v>#N/A</c:v>
                </c:pt>
              </c:numCache>
            </c:numRef>
          </c:yVal>
          <c:smooth val="0"/>
          <c:extLst>
            <c:ext xmlns:c16="http://schemas.microsoft.com/office/drawing/2014/chart" uri="{C3380CC4-5D6E-409C-BE32-E72D297353CC}">
              <c16:uniqueId val="{00000019-CFFD-467B-A0E1-4FA624B6092B}"/>
            </c:ext>
          </c:extLst>
        </c:ser>
        <c:ser>
          <c:idx val="13"/>
          <c:order val="13"/>
          <c:tx>
            <c:strRef>
              <c:f>Dum!$AK$60</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Dum!$AK$60</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{8A61F1DD-9E24-49B4-A735-DE596289B9C5}</c15:txfldGUID>
                      <c15:f>Dum!$AK$60</c15:f>
                      <c15:dlblFieldTableCache>
                        <c:ptCount val="1"/>
                        <c:pt idx="0">
                          <c:v>#VALUE!</c:v>
                        </c:pt>
                      </c15:dlblFieldTableCache>
                    </c15:dlblFTEntry>
                  </c15:dlblFieldTable>
                  <c15:showDataLabelsRange val="0"/>
                </c:ext>
                <c:ext xmlns:c16="http://schemas.microsoft.com/office/drawing/2014/chart" uri="{C3380CC4-5D6E-409C-BE32-E72D297353CC}">
                  <c16:uniqueId val="{0000001A-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Dum!$AC$61</c:f>
              <c:numCache>
                <c:formatCode>_("$"* #,##0_);_("$"* \(#,##0\);_("$"* "-"??_);_(@_)</c:formatCode>
                <c:ptCount val="1"/>
                <c:pt idx="0">
                  <c:v>#N/A</c:v>
                </c:pt>
              </c:numCache>
            </c:numRef>
          </c:xVal>
          <c:yVal>
            <c:numRef>
              <c:f>Dum!$AI$61</c:f>
              <c:numCache>
                <c:formatCode>0.0%</c:formatCode>
                <c:ptCount val="1"/>
                <c:pt idx="0">
                  <c:v>#N/A</c:v>
                </c:pt>
              </c:numCache>
            </c:numRef>
          </c:yVal>
          <c:smooth val="0"/>
          <c:extLst>
            <c:ext xmlns:c16="http://schemas.microsoft.com/office/drawing/2014/chart" uri="{C3380CC4-5D6E-409C-BE32-E72D297353CC}">
              <c16:uniqueId val="{0000001B-CFFD-467B-A0E1-4FA624B6092B}"/>
            </c:ext>
          </c:extLst>
        </c:ser>
        <c:ser>
          <c:idx val="14"/>
          <c:order val="14"/>
          <c:tx>
            <c:strRef>
              <c:f>Dum!$AK$62</c:f>
              <c:strCache>
                <c:ptCount val="1"/>
                <c:pt idx="0">
                  <c:v>#VALUE!</c:v>
                </c:pt>
              </c:strCache>
            </c:strRef>
          </c:tx>
          <c:spPr>
            <a:ln w="28575">
              <a:noFill/>
            </a:ln>
          </c:spPr>
          <c:marker>
            <c:symbol val="diamond"/>
            <c:size val="8"/>
            <c:spPr>
              <a:solidFill>
                <a:schemeClr val="tx1"/>
              </a:solidFill>
              <a:ln w="15875">
                <a:solidFill>
                  <a:schemeClr val="tx1"/>
                </a:solidFill>
              </a:ln>
            </c:spPr>
          </c:marker>
          <c:dLbls>
            <c:dLbl>
              <c:idx val="0"/>
              <c:tx>
                <c:strRef>
                  <c:f>Dum!$AK$62</c:f>
                  <c:strCache>
                    <c:ptCount val="1"/>
                    <c:pt idx="0">
                      <c:v>#VALUE!</c:v>
                    </c:pt>
                  </c:strCache>
                </c:strRef>
              </c:tx>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{645E015A-2ADA-4ADA-9120-1F5EB9C396AF}</c15:txfldGUID>
                      <c15:f>Dum!$AK$62</c15:f>
                      <c15:dlblFieldTableCache>
                        <c:ptCount val="1"/>
                        <c:pt idx="0">
                          <c:v>#VALUE!</c:v>
                        </c:pt>
                      </c15:dlblFieldTableCache>
                    </c15:dlblFTEntry>
                  </c15:dlblFieldTable>
                  <c15:showDataLabelsRange val="0"/>
                </c:ext>
                <c:ext xmlns:c16="http://schemas.microsoft.com/office/drawing/2014/chart" uri="{C3380CC4-5D6E-409C-BE32-E72D297353CC}">
                  <c16:uniqueId val="{0000001C-CFFD-467B-A0E1-4FA624B6092B}"/>
                </c:ext>
              </c:extLst>
            </c:dLbl>
            <c:spPr>
              <a:noFill/>
              <a:ln>
                <a:noFill/>
              </a:ln>
              <a:effectLst/>
            </c:spPr>
            <c:txPr>
              <a:bodyPr vertOverflow="overflow" horzOverflow="overflow">
                <a:spAutoFit/>
              </a:bodyPr>
              <a:lstStyle/>
              <a:p>
                <a:pPr>
                  <a:defRPr sz="11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Dum!$AC$63</c:f>
              <c:numCache>
                <c:formatCode>_("$"* #,##0_);_("$"* \(#,##0\);_("$"* "-"??_);_(@_)</c:formatCode>
                <c:ptCount val="1"/>
                <c:pt idx="0">
                  <c:v>#N/A</c:v>
                </c:pt>
              </c:numCache>
            </c:numRef>
          </c:xVal>
          <c:yVal>
            <c:numRef>
              <c:f>Dum!$AI$63</c:f>
              <c:numCache>
                <c:formatCode>0.0%</c:formatCode>
                <c:ptCount val="1"/>
                <c:pt idx="0">
                  <c:v>#N/A</c:v>
                </c:pt>
              </c:numCache>
            </c:numRef>
          </c:yVal>
          <c:smooth val="0"/>
          <c:extLst>
            <c:ext xmlns:c16="http://schemas.microsoft.com/office/drawing/2014/chart" uri="{C3380CC4-5D6E-409C-BE32-E72D297353CC}">
              <c16:uniqueId val="{0000001D-CFFD-467B-A0E1-4FA624B6092B}"/>
            </c:ext>
          </c:extLst>
        </c:ser>
        <c:ser>
          <c:idx val="15"/>
          <c:order val="15"/>
          <c:tx>
            <c:strRef>
              <c:f>Dum!$AK$64</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Dum!$AK$64</c:f>
                  <c:strCache>
                    <c:ptCount val="1"/>
                    <c:pt idx="0">
                      <c:v>#VALUE!</c:v>
                    </c:pt>
                  </c:strCache>
                </c:strRef>
              </c:tx>
              <c:spPr/>
              <c:txPr>
                <a:bodyPr vertOverflow="overflow" horzOverflow="overflow">
                  <a:spAutoFit/>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{A93E7473-BCBA-4DCE-A1E5-A112906C2215}</c15:txfldGUID>
                      <c15:f>Dum!$AK$64</c15:f>
                      <c15:dlblFieldTableCache>
                        <c:ptCount val="1"/>
                        <c:pt idx="0">
                          <c:v>#VALUE!</c:v>
                        </c:pt>
                      </c15:dlblFieldTableCache>
                    </c15:dlblFTEntry>
                  </c15:dlblFieldTable>
                  <c15:showDataLabelsRange val="0"/>
                </c:ext>
                <c:ext xmlns:c16="http://schemas.microsoft.com/office/drawing/2014/chart" uri="{C3380CC4-5D6E-409C-BE32-E72D297353CC}">
                  <c16:uniqueId val="{0000001E-CFFD-467B-A0E1-4FA624B6092B}"/>
                </c:ext>
              </c:extLst>
            </c:dLbl>
            <c:spPr>
              <a:noFill/>
              <a:ln>
                <a:noFill/>
              </a:ln>
              <a:effectLst/>
            </c:spPr>
            <c:txPr>
              <a:bodyPr vertOverflow="overflow" horzOverflow="overflow">
                <a:spAutoFit/>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Dum!$AC$65</c:f>
              <c:numCache>
                <c:formatCode>_("$"* #,##0_);_("$"* \(#,##0\);_("$"* "-"??_);_(@_)</c:formatCode>
                <c:ptCount val="1"/>
                <c:pt idx="0">
                  <c:v>#N/A</c:v>
                </c:pt>
              </c:numCache>
            </c:numRef>
          </c:xVal>
          <c:yVal>
            <c:numRef>
              <c:f>Dum!$AI$65</c:f>
              <c:numCache>
                <c:formatCode>0.0%</c:formatCode>
                <c:ptCount val="1"/>
                <c:pt idx="0">
                  <c:v>#N/A</c:v>
                </c:pt>
              </c:numCache>
            </c:numRef>
          </c:yVal>
          <c:smooth val="0"/>
          <c:extLst>
            <c:ext xmlns:c16="http://schemas.microsoft.com/office/drawing/2014/chart" uri="{C3380CC4-5D6E-409C-BE32-E72D297353CC}">
              <c16:uniqueId val="{0000001F-CFFD-467B-A0E1-4FA624B6092B}"/>
            </c:ext>
          </c:extLst>
        </c:ser>
        <c:ser>
          <c:idx val="17"/>
          <c:order val="16"/>
          <c:tx>
            <c:strRef>
              <c:f>Dum!$AK$66</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Dum!$AC$67</c:f>
              <c:numCache>
                <c:formatCode>_("$"* #,##0_);_("$"* \(#,##0\);_("$"* "-"??_);_(@_)</c:formatCode>
                <c:ptCount val="1"/>
                <c:pt idx="0">
                  <c:v>#N/A</c:v>
                </c:pt>
              </c:numCache>
            </c:numRef>
          </c:xVal>
          <c:yVal>
            <c:numRef>
              <c:f>Dum!$AI$67</c:f>
              <c:numCache>
                <c:formatCode>0.0%</c:formatCode>
                <c:ptCount val="1"/>
                <c:pt idx="0">
                  <c:v>#N/A</c:v>
                </c:pt>
              </c:numCache>
            </c:numRef>
          </c:yVal>
          <c:smooth val="0"/>
          <c:extLst>
            <c:ext xmlns:c16="http://schemas.microsoft.com/office/drawing/2014/chart" uri="{C3380CC4-5D6E-409C-BE32-E72D297353CC}">
              <c16:uniqueId val="{00000020-CFFD-467B-A0E1-4FA624B6092B}"/>
            </c:ext>
          </c:extLst>
        </c:ser>
        <c:ser>
          <c:idx val="18"/>
          <c:order val="17"/>
          <c:tx>
            <c:strRef>
              <c:f>Dum!$AK$68</c:f>
              <c:strCache>
                <c:ptCount val="1"/>
                <c:pt idx="0">
                  <c:v>#VALUE!</c:v>
                </c:pt>
              </c:strCache>
            </c:strRef>
          </c:tx>
          <c:spPr>
            <a:ln w="28575">
              <a:noFill/>
            </a:ln>
          </c:spPr>
          <c:marker>
            <c:symbol val="diamond"/>
            <c:size val="8"/>
            <c:spPr>
              <a:solidFill>
                <a:schemeClr val="tx1"/>
              </a:solidFill>
              <a:ln>
                <a:solidFill>
                  <a:schemeClr val="tx1"/>
                </a:solidFill>
              </a:ln>
            </c:spPr>
          </c:marker>
          <c:dLbls>
            <c:spPr>
              <a:noFill/>
              <a:ln>
                <a:noFill/>
              </a:ln>
              <a:effectLst/>
            </c:spPr>
            <c:txPr>
              <a:bodyPr vertOverflow="overflow" horzOverflow="overflow" wrap="square" lIns="38100" tIns="19050" rIns="38100" bIns="19050" anchor="ctr">
                <a:spAutoFit/>
              </a:bodyPr>
              <a:lstStyle/>
              <a:p>
                <a:pPr>
                  <a:defRPr sz="1400">
                    <a:latin typeface="+mn-lt"/>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Dum!$AC$69</c:f>
              <c:numCache>
                <c:formatCode>_("$"* #,##0_);_("$"* \(#,##0\);_("$"* "-"??_);_(@_)</c:formatCode>
                <c:ptCount val="1"/>
                <c:pt idx="0">
                  <c:v>#N/A</c:v>
                </c:pt>
              </c:numCache>
            </c:numRef>
          </c:xVal>
          <c:yVal>
            <c:numRef>
              <c:f>Dum!$AI$69</c:f>
              <c:numCache>
                <c:formatCode>0.0%</c:formatCode>
                <c:ptCount val="1"/>
                <c:pt idx="0">
                  <c:v>#N/A</c:v>
                </c:pt>
              </c:numCache>
            </c:numRef>
          </c:yVal>
          <c:smooth val="0"/>
          <c:extLst>
            <c:ext xmlns:c16="http://schemas.microsoft.com/office/drawing/2014/chart" uri="{C3380CC4-5D6E-409C-BE32-E72D297353CC}">
              <c16:uniqueId val="{00000021-CFFD-467B-A0E1-4FA624B6092B}"/>
            </c:ext>
          </c:extLst>
        </c:ser>
        <c:ser>
          <c:idx val="16"/>
          <c:order val="18"/>
          <c:tx>
            <c:strRef>
              <c:f>Dum!$AK$70</c:f>
              <c:strCache>
                <c:ptCount val="1"/>
                <c:pt idx="0">
                  <c:v>#VALUE!</c:v>
                </c:pt>
              </c:strCache>
            </c:strRef>
          </c:tx>
          <c:spPr>
            <a:ln w="28575">
              <a:noFill/>
            </a:ln>
          </c:spPr>
          <c:marker>
            <c:symbol val="diamond"/>
            <c:size val="8"/>
            <c:spPr>
              <a:solidFill>
                <a:schemeClr val="tx1"/>
              </a:solidFill>
              <a:ln>
                <a:solidFill>
                  <a:schemeClr val="tx1"/>
                </a:solidFill>
              </a:ln>
            </c:spPr>
          </c:marker>
          <c:dLbls>
            <c:dLbl>
              <c:idx val="0"/>
              <c:tx>
                <c:strRef>
                  <c:f>Dum!$AK$70</c:f>
                  <c:strCache>
                    <c:ptCount val="1"/>
                    <c:pt idx="0">
                      <c:v>#VALUE!</c:v>
                    </c:pt>
                  </c:strCache>
                </c:strRef>
              </c:tx>
              <c:spPr/>
              <c:txPr>
                <a:bodyPr/>
                <a:lstStyle/>
                <a:p>
                  <a:pPr>
                    <a:defRPr sz="1400" b="0" i="0" strike="noStrike">
                      <a:latin typeface="+mn-lt"/>
                    </a:defRPr>
                  </a:pPr>
                  <a:endParaRPr lang="en-US"/>
                </a:p>
              </c:txPr>
              <c:dLblPos val="r"/>
              <c:showLegendKey val="0"/>
              <c:showVal val="1"/>
              <c:showCatName val="0"/>
              <c:showSerName val="0"/>
              <c:showPercent val="0"/>
              <c:showBubbleSize val="0"/>
              <c:extLst>
                <c:ext xmlns:c15="http://schemas.microsoft.com/office/drawing/2012/chart" uri="{CE6537A1-D6FC-4f65-9D91-7224C49458BB}">
                  <c15:dlblFieldTable>
                    <c15:dlblFTEntry>
                      <c15:txfldGUID>{347EAE1A-B492-4EC1-99D5-07136E47DCBB}</c15:txfldGUID>
                      <c15:f>Dum!$AK$70</c15:f>
                      <c15:dlblFieldTableCache>
                        <c:ptCount val="1"/>
                        <c:pt idx="0">
                          <c:v>#VALUE!</c:v>
                        </c:pt>
                      </c15:dlblFieldTableCache>
                    </c15:dlblFTEntry>
                  </c15:dlblFieldTable>
                  <c15:showDataLabelsRange val="0"/>
                </c:ext>
                <c:ext xmlns:c16="http://schemas.microsoft.com/office/drawing/2014/chart" uri="{C3380CC4-5D6E-409C-BE32-E72D297353CC}">
                  <c16:uniqueId val="{00000022-CFFD-467B-A0E1-4FA624B6092B}"/>
                </c:ext>
              </c:extLst>
            </c:dLbl>
            <c:spPr>
              <a:noFill/>
              <a:ln>
                <a:noFill/>
              </a:ln>
              <a:effectLst/>
            </c:spPr>
            <c:txPr>
              <a:bodyPr/>
              <a:lstStyle/>
              <a:p>
                <a:pPr>
                  <a:defRPr sz="1400">
                    <a:latin typeface="+mn-lt"/>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Dum!$AC$71</c:f>
              <c:numCache>
                <c:formatCode>_("$"* #,##0_);_("$"* \(#,##0\);_("$"* "-"??_);_(@_)</c:formatCode>
                <c:ptCount val="1"/>
                <c:pt idx="0">
                  <c:v>#N/A</c:v>
                </c:pt>
              </c:numCache>
            </c:numRef>
          </c:xVal>
          <c:yVal>
            <c:numRef>
              <c:f>Dum!$AI$71</c:f>
              <c:numCache>
                <c:formatCode>0.0%</c:formatCode>
                <c:ptCount val="1"/>
                <c:pt idx="0">
                  <c:v>#N/A</c:v>
                </c:pt>
              </c:numCache>
            </c:numRef>
          </c:yVal>
          <c:smooth val="0"/>
          <c:extLst>
            <c:ext xmlns:c16="http://schemas.microsoft.com/office/drawing/2014/chart" uri="{C3380CC4-5D6E-409C-BE32-E72D297353CC}">
              <c16:uniqueId val="{00000023-CFFD-467B-A0E1-4FA624B6092B}"/>
            </c:ext>
          </c:extLst>
        </c:ser>
        <c:ser>
          <c:idx val="19"/>
          <c:order val="19"/>
          <c:tx>
            <c:strRef>
              <c:f>Dum!$AK$33</c:f>
              <c:strCache>
                <c:ptCount val="1"/>
                <c:pt idx="0">
                  <c:v>Baseline</c:v>
                </c:pt>
              </c:strCache>
            </c:strRef>
          </c:tx>
          <c:spPr>
            <a:ln w="28575">
              <a:noFill/>
            </a:ln>
          </c:spPr>
          <c:marker>
            <c:symbol val="diamond"/>
            <c:size val="8"/>
            <c:spPr>
              <a:solidFill>
                <a:schemeClr val="tx1"/>
              </a:solidFill>
              <a:ln>
                <a:solidFill>
                  <a:schemeClr val="tx1"/>
                </a:solidFill>
              </a:ln>
            </c:spPr>
          </c:marker>
          <c:dLbls>
            <c:dLbl>
              <c:idx val="0"/>
              <c:layout>
                <c:manualLayout>
                  <c:x val="-7.0305317936031307E-3"/>
                  <c:y val="6.0879551225156314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4-CFFD-467B-A0E1-4FA624B6092B}"/>
                </c:ext>
              </c:extLst>
            </c:dLbl>
            <c:spPr>
              <a:noFill/>
              <a:ln>
                <a:noFill/>
              </a:ln>
              <a:effectLst/>
            </c:spPr>
            <c:txPr>
              <a:bodyPr wrap="square" lIns="38100" tIns="19050" rIns="38100" bIns="19050" anchor="ctr">
                <a:spAutoFit/>
              </a:bodyPr>
              <a:lstStyle/>
              <a:p>
                <a:pPr>
                  <a:defRPr lang="en-US" sz="1400" b="0" i="0" u="none" strike="noStrike" kern="1200" baseline="0">
                    <a:solidFill>
                      <a:srgbClr val="000000"/>
                    </a:solidFill>
                    <a:latin typeface="+mn-lt"/>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Dum!$AI$33</c:f>
              <c:numCache>
                <c:formatCode>0.0%</c:formatCode>
                <c:ptCount val="1"/>
                <c:pt idx="0">
                  <c:v>0</c:v>
                </c:pt>
              </c:numCache>
            </c:numRef>
          </c:yVal>
          <c:smooth val="0"/>
          <c:extLst>
            <c:ext xmlns:c16="http://schemas.microsoft.com/office/drawing/2014/chart" uri="{C3380CC4-5D6E-409C-BE32-E72D297353CC}">
              <c16:uniqueId val="{00000025-CFFD-467B-A0E1-4FA624B6092B}"/>
            </c:ext>
          </c:extLst>
        </c:ser>
        <c:dLbls>
          <c:showLegendKey val="0"/>
          <c:showVal val="1"/>
          <c:showCatName val="0"/>
          <c:showSerName val="0"/>
          <c:showPercent val="0"/>
          <c:showBubbleSize val="0"/>
        </c:dLbls>
        <c:axId val="668316416"/>
        <c:axId val="668318336"/>
      </c:scatterChart>
      <c:valAx>
        <c:axId val="668316416"/>
        <c:scaling>
          <c:orientation val="minMax"/>
        </c:scaling>
        <c:delete val="0"/>
        <c:axPos val="b"/>
        <c:title>
          <c:tx>
            <c:rich>
              <a:bodyPr/>
              <a:lstStyle/>
              <a:p>
                <a:pPr>
                  <a:defRPr sz="1075" b="0" i="0" u="none" strike="noStrike" baseline="0">
                    <a:solidFill>
                      <a:srgbClr val="000000"/>
                    </a:solidFill>
                    <a:latin typeface="Arial"/>
                    <a:ea typeface="Arial"/>
                    <a:cs typeface="Arial"/>
                  </a:defRPr>
                </a:pPr>
                <a:r>
                  <a:rPr lang="en-US"/>
                  <a:t>Change in Spend/Unit</a:t>
                </a:r>
              </a:p>
            </c:rich>
          </c:tx>
          <c:layout>
            <c:manualLayout>
              <c:xMode val="edge"/>
              <c:yMode val="edge"/>
              <c:x val="0.44273393110717729"/>
              <c:y val="0.93922429207711933"/>
            </c:manualLayout>
          </c:layout>
          <c:overlay val="0"/>
          <c:spPr>
            <a:noFill/>
            <a:ln w="25400">
              <a:noFill/>
            </a:ln>
          </c:spPr>
        </c:title>
        <c:numFmt formatCode="\$#,##0_);[Red]\(\$#,##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8336"/>
        <c:crossesAt val="0"/>
        <c:crossBetween val="midCat"/>
      </c:valAx>
      <c:valAx>
        <c:axId val="668318336"/>
        <c:scaling>
          <c:orientation val="minMax"/>
        </c:scaling>
        <c:delete val="0"/>
        <c:axPos val="l"/>
        <c:title>
          <c:tx>
            <c:rich>
              <a:bodyPr/>
              <a:lstStyle/>
              <a:p>
                <a:pPr>
                  <a:defRPr sz="1075" b="0" i="0" u="none" strike="noStrike" baseline="0">
                    <a:solidFill>
                      <a:srgbClr val="000000"/>
                    </a:solidFill>
                    <a:latin typeface="Arial"/>
                    <a:ea typeface="Arial"/>
                    <a:cs typeface="Arial"/>
                  </a:defRPr>
                </a:pPr>
                <a:r>
                  <a:rPr lang="en-US"/>
                  <a:t>Lift</a:t>
                </a:r>
              </a:p>
            </c:rich>
          </c:tx>
          <c:layout>
            <c:manualLayout>
              <c:xMode val="edge"/>
              <c:yMode val="edge"/>
              <c:x val="7.1893948546625642E-4"/>
              <c:y val="0.43468655708976023"/>
            </c:manualLayout>
          </c:layout>
          <c:overlay val="0"/>
          <c:spPr>
            <a:noFill/>
            <a:ln w="25400">
              <a:noFill/>
            </a:ln>
          </c:spPr>
        </c:title>
        <c:numFmt formatCode="0%" sourceLinked="0"/>
        <c:majorTickMark val="out"/>
        <c:minorTickMark val="none"/>
        <c:tickLblPos val="low"/>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668316416"/>
        <c:crossesAt val="0"/>
        <c:crossBetween val="midCat"/>
      </c:valAx>
      <c:spPr>
        <a:noFill/>
        <a:ln w="25400">
          <a:noFill/>
        </a:ln>
      </c:spPr>
    </c:plotArea>
    <c:plotVisOnly val="1"/>
    <c:dispBlanksAs val="gap"/>
    <c:showDLblsOverMax val="0"/>
  </c:chart>
  <c:spPr>
    <a:no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triangle"/>
            <c:size val="5"/>
            <c:spPr>
              <a:solidFill>
                <a:srgbClr val="C00000"/>
              </a:solidFill>
              <a:ln w="9525">
                <a:noFill/>
              </a:ln>
              <a:effectLst/>
            </c:spPr>
          </c:marker>
          <c:dPt>
            <c:idx val="0"/>
            <c:marker>
              <c:symbol val="square"/>
              <c:size val="5"/>
              <c:spPr>
                <a:solidFill>
                  <a:srgbClr val="C00000"/>
                </a:solidFill>
                <a:ln w="9525">
                  <a:noFill/>
                </a:ln>
                <a:effectLst/>
              </c:spPr>
            </c:marker>
            <c:bubble3D val="0"/>
            <c:spPr>
              <a:ln w="28575" cap="rnd">
                <a:noFill/>
                <a:round/>
              </a:ln>
              <a:effectLst/>
            </c:spPr>
            <c:extLst>
              <c:ext xmlns:c16="http://schemas.microsoft.com/office/drawing/2014/chart" uri="{C3380CC4-5D6E-409C-BE32-E72D297353CC}">
                <c16:uniqueId val="{00000001-1C02-44CA-87A4-D0883570B2DA}"/>
              </c:ext>
            </c:extLst>
          </c:dPt>
          <c:dPt>
            <c:idx val="1"/>
            <c:marker>
              <c:symbol val="triangle"/>
              <c:size val="5"/>
              <c:spPr>
                <a:solidFill>
                  <a:schemeClr val="accent1">
                    <a:lumMod val="75000"/>
                  </a:schemeClr>
                </a:solidFill>
                <a:ln w="9525">
                  <a:noFill/>
                </a:ln>
                <a:effectLst/>
              </c:spPr>
            </c:marker>
            <c:bubble3D val="0"/>
            <c:extLst>
              <c:ext xmlns:c16="http://schemas.microsoft.com/office/drawing/2014/chart" uri="{C3380CC4-5D6E-409C-BE32-E72D297353CC}">
                <c16:uniqueId val="{00000002-1C02-44CA-87A4-D0883570B2DA}"/>
              </c:ext>
            </c:extLst>
          </c:dPt>
          <c:dPt>
            <c:idx val="2"/>
            <c:marker>
              <c:symbol val="circle"/>
              <c:size val="5"/>
              <c:spPr>
                <a:solidFill>
                  <a:schemeClr val="tx1">
                    <a:lumMod val="75000"/>
                    <a:lumOff val="25000"/>
                  </a:schemeClr>
                </a:solidFill>
                <a:ln w="9525">
                  <a:noFill/>
                </a:ln>
                <a:effectLst/>
              </c:spPr>
            </c:marker>
            <c:bubble3D val="0"/>
            <c:extLst>
              <c:ext xmlns:c16="http://schemas.microsoft.com/office/drawing/2014/chart" uri="{C3380CC4-5D6E-409C-BE32-E72D297353CC}">
                <c16:uniqueId val="{00000003-1C02-44CA-87A4-D0883570B2DA}"/>
              </c:ext>
            </c:extLst>
          </c:dPt>
          <c:dLbls>
            <c:dLbl>
              <c:idx val="0"/>
              <c:tx>
                <c:rich>
                  <a:bodyPr/>
                  <a:lstStyle/>
                  <a:p>
                    <a:r>
                      <a:rPr lang="en-US"/>
                      <a:t>Scenario</a:t>
                    </a:r>
                    <a:r>
                      <a:rPr lang="en-US" baseline="0"/>
                      <a:t> 1</a:t>
                    </a:r>
                    <a:endParaRPr lang="en-US"/>
                  </a:p>
                </c:rich>
              </c:tx>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C02-44CA-87A4-D0883570B2DA}"/>
                </c:ext>
              </c:extLst>
            </c:dLbl>
            <c:dLbl>
              <c:idx val="1"/>
              <c:tx>
                <c:rich>
                  <a:bodyPr/>
                  <a:lstStyle/>
                  <a:p>
                    <a:r>
                      <a:rPr lang="en-US"/>
                      <a:t>Scenario 2</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1C02-44CA-87A4-D0883570B2DA}"/>
                </c:ext>
              </c:extLst>
            </c:dLbl>
            <c:dLbl>
              <c:idx val="2"/>
              <c:tx>
                <c:rich>
                  <a:bodyPr/>
                  <a:lstStyle/>
                  <a:p>
                    <a:r>
                      <a:rPr lang="en-US"/>
                      <a:t>Scenario</a:t>
                    </a:r>
                    <a:r>
                      <a:rPr lang="en-US" baseline="0"/>
                      <a:t> 3</a:t>
                    </a:r>
                  </a:p>
                </c:rich>
              </c:tx>
              <c:dLblPos val="b"/>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1C02-44CA-87A4-D0883570B2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spPr>
              <a:ln w="19050" cap="rnd">
                <a:solidFill>
                  <a:schemeClr val="tx1">
                    <a:lumMod val="75000"/>
                    <a:lumOff val="25000"/>
                  </a:schemeClr>
                </a:solidFill>
                <a:prstDash val="sysDot"/>
              </a:ln>
              <a:effectLst/>
            </c:spPr>
            <c:trendlineType val="linear"/>
            <c:dispRSqr val="0"/>
            <c:dispEq val="0"/>
          </c:trendline>
          <c:xVal>
            <c:numRef>
              <c:f>National!$J$34:$J$36</c:f>
              <c:numCache>
                <c:formatCode>_("$"* #,##0_);_("$"* \(#,##0\);_("$"* "-"??_);_(@_)</c:formatCode>
                <c:ptCount val="3"/>
                <c:pt idx="0">
                  <c:v>592.95571386660663</c:v>
                </c:pt>
                <c:pt idx="1">
                  <c:v>609.30563709996693</c:v>
                </c:pt>
                <c:pt idx="2">
                  <c:v>116.26305502567165</c:v>
                </c:pt>
              </c:numCache>
            </c:numRef>
          </c:xVal>
          <c:yVal>
            <c:numRef>
              <c:f>National!$K$34:$K$36</c:f>
              <c:numCache>
                <c:formatCode>0.0%</c:formatCode>
                <c:ptCount val="3"/>
                <c:pt idx="0">
                  <c:v>9.3620501762427075E-2</c:v>
                </c:pt>
                <c:pt idx="1">
                  <c:v>9.6215104316387412E-2</c:v>
                </c:pt>
                <c:pt idx="2">
                  <c:v>2.3642512472866452E-2</c:v>
                </c:pt>
              </c:numCache>
            </c:numRef>
          </c:yVal>
          <c:smooth val="0"/>
          <c:extLst>
            <c:ext xmlns:c16="http://schemas.microsoft.com/office/drawing/2014/chart" uri="{C3380CC4-5D6E-409C-BE32-E72D297353CC}">
              <c16:uniqueId val="{00000000-1C02-44CA-87A4-D0883570B2DA}"/>
            </c:ext>
          </c:extLst>
        </c:ser>
        <c:dLbls>
          <c:showLegendKey val="0"/>
          <c:showVal val="0"/>
          <c:showCatName val="0"/>
          <c:showSerName val="0"/>
          <c:showPercent val="0"/>
          <c:showBubbleSize val="0"/>
        </c:dLbls>
        <c:axId val="462133008"/>
        <c:axId val="524131440"/>
      </c:scatterChart>
      <c:valAx>
        <c:axId val="462133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Change in Spend/Unit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31440"/>
        <c:crossesAt val="0"/>
        <c:crossBetween val="midCat"/>
      </c:valAx>
      <c:valAx>
        <c:axId val="52413144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Lift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33008"/>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87000315555023"/>
          <c:y val="5.9074438182829023E-2"/>
          <c:w val="0.81773204626592855"/>
          <c:h val="0.69480231920440849"/>
        </c:manualLayout>
      </c:layout>
      <c:scatterChart>
        <c:scatterStyle val="lineMarker"/>
        <c:varyColors val="0"/>
        <c:ser>
          <c:idx val="0"/>
          <c:order val="0"/>
          <c:spPr>
            <a:ln w="28575">
              <a:noFill/>
            </a:ln>
          </c:spPr>
          <c:trendline>
            <c:trendlineType val="linear"/>
            <c:dispRSqr val="1"/>
            <c:dispEq val="1"/>
            <c:trendlineLbl>
              <c:layout>
                <c:manualLayout>
                  <c:x val="0.20810930423073665"/>
                  <c:y val="-0.21227085829330949"/>
                </c:manualLayout>
              </c:layout>
              <c:numFmt formatCode="0.00%" sourceLinked="0"/>
            </c:trendlineLbl>
          </c:trendline>
          <c:xVal>
            <c:numRef>
              <c:f>QC!$AO$31:$AO$130</c:f>
              <c:numCache>
                <c:formatCode>"$"#,##0</c:formatCode>
                <c:ptCount val="100"/>
                <c:pt idx="0" formatCode="&quot;$&quot;#,##0.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1.462745721295899</c:v>
                </c:pt>
                <c:pt idx="26">
                  <c:v>#N/A</c:v>
                </c:pt>
                <c:pt idx="27">
                  <c:v>1.9017914007669958</c:v>
                </c:pt>
                <c:pt idx="28">
                  <c:v>#N/A</c:v>
                </c:pt>
                <c:pt idx="29">
                  <c:v>0.7548487633593095</c:v>
                </c:pt>
                <c:pt idx="30">
                  <c:v>1.5735472907071668</c:v>
                </c:pt>
                <c:pt idx="31">
                  <c:v>#N/A</c:v>
                </c:pt>
                <c:pt idx="32">
                  <c:v>2.091252560204643</c:v>
                </c:pt>
                <c:pt idx="33">
                  <c:v>1.0810892685529621</c:v>
                </c:pt>
                <c:pt idx="34">
                  <c:v>#N/A</c:v>
                </c:pt>
                <c:pt idx="35">
                  <c:v>#N/A</c:v>
                </c:pt>
                <c:pt idx="36">
                  <c:v>1.554427185399323</c:v>
                </c:pt>
                <c:pt idx="37">
                  <c:v>#N/A</c:v>
                </c:pt>
                <c:pt idx="38">
                  <c:v>#N/A</c:v>
                </c:pt>
                <c:pt idx="39">
                  <c:v>1.7982495791797626</c:v>
                </c:pt>
                <c:pt idx="40">
                  <c:v>#N/A</c:v>
                </c:pt>
                <c:pt idx="41">
                  <c:v>#N/A</c:v>
                </c:pt>
                <c:pt idx="42">
                  <c:v>1.8188406566912034</c:v>
                </c:pt>
                <c:pt idx="43">
                  <c:v>#N/A</c:v>
                </c:pt>
                <c:pt idx="44">
                  <c:v>#N/A</c:v>
                </c:pt>
                <c:pt idx="45">
                  <c:v>0.60392947792766982</c:v>
                </c:pt>
                <c:pt idx="46">
                  <c:v>1.4437732746280856</c:v>
                </c:pt>
                <c:pt idx="47">
                  <c:v>#N/A</c:v>
                </c:pt>
                <c:pt idx="48">
                  <c:v>#N/A</c:v>
                </c:pt>
                <c:pt idx="49">
                  <c:v>1.3911691714386538</c:v>
                </c:pt>
                <c:pt idx="50">
                  <c:v>#N/A</c:v>
                </c:pt>
                <c:pt idx="51">
                  <c:v>#N/A</c:v>
                </c:pt>
                <c:pt idx="52">
                  <c:v>1.3820692540735136</c:v>
                </c:pt>
                <c:pt idx="53">
                  <c:v>#N/A</c:v>
                </c:pt>
                <c:pt idx="54">
                  <c:v>#N/A</c:v>
                </c:pt>
                <c:pt idx="55">
                  <c:v>1.3638291421534818</c:v>
                </c:pt>
                <c:pt idx="56">
                  <c:v>#N/A</c:v>
                </c:pt>
                <c:pt idx="57">
                  <c:v>#N/A</c:v>
                </c:pt>
                <c:pt idx="58">
                  <c:v>1.4976519823317465</c:v>
                </c:pt>
                <c:pt idx="59">
                  <c:v>#N/A</c:v>
                </c:pt>
                <c:pt idx="60">
                  <c:v>#N/A</c:v>
                </c:pt>
                <c:pt idx="61">
                  <c:v>2.3050481648883392</c:v>
                </c:pt>
                <c:pt idx="62">
                  <c:v>#N/A</c:v>
                </c:pt>
                <c:pt idx="63">
                  <c:v>#N/A</c:v>
                </c:pt>
                <c:pt idx="64">
                  <c:v>2.1869962728308279</c:v>
                </c:pt>
                <c:pt idx="65">
                  <c:v>#N/A</c:v>
                </c:pt>
                <c:pt idx="66">
                  <c:v>1.2525479795965127</c:v>
                </c:pt>
                <c:pt idx="67">
                  <c:v>#N/A</c:v>
                </c:pt>
                <c:pt idx="68">
                  <c:v>1.5960501508300404</c:v>
                </c:pt>
                <c:pt idx="69">
                  <c:v>#N/A</c:v>
                </c:pt>
                <c:pt idx="70">
                  <c:v>0.87078270579697703</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QC!$AP$31:$AP$130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0.13577994172184762</c:v>
                </c:pt>
                <c:pt idx="26">
                  <c:v>#N/A</c:v>
                </c:pt>
                <c:pt idx="27">
                  <c:v>0.12287434721902291</c:v>
                </c:pt>
                <c:pt idx="28">
                  <c:v>#N/A</c:v>
                </c:pt>
                <c:pt idx="29">
                  <c:v>0.15959548572656521</c:v>
                </c:pt>
                <c:pt idx="30">
                  <c:v>0.21178208992757447</c:v>
                </c:pt>
                <c:pt idx="31">
                  <c:v>#N/A</c:v>
                </c:pt>
                <c:pt idx="32">
                  <c:v>6.1113246418844518E-2</c:v>
                </c:pt>
                <c:pt idx="33">
                  <c:v>0.10982704830679649</c:v>
                </c:pt>
                <c:pt idx="34">
                  <c:v>#N/A</c:v>
                </c:pt>
                <c:pt idx="35">
                  <c:v>#N/A</c:v>
                </c:pt>
                <c:pt idx="36">
                  <c:v>0.1750425468498932</c:v>
                </c:pt>
                <c:pt idx="37">
                  <c:v>#N/A</c:v>
                </c:pt>
                <c:pt idx="38">
                  <c:v>#N/A</c:v>
                </c:pt>
                <c:pt idx="39">
                  <c:v>0.25201358609183111</c:v>
                </c:pt>
                <c:pt idx="40">
                  <c:v>#N/A</c:v>
                </c:pt>
                <c:pt idx="41">
                  <c:v>#N/A</c:v>
                </c:pt>
                <c:pt idx="42">
                  <c:v>0.16828829458243308</c:v>
                </c:pt>
                <c:pt idx="43">
                  <c:v>#N/A</c:v>
                </c:pt>
                <c:pt idx="44">
                  <c:v>#N/A</c:v>
                </c:pt>
                <c:pt idx="45">
                  <c:v>7.9464079379764407E-2</c:v>
                </c:pt>
                <c:pt idx="46">
                  <c:v>0.2116367309615349</c:v>
                </c:pt>
                <c:pt idx="47">
                  <c:v>#N/A</c:v>
                </c:pt>
                <c:pt idx="48">
                  <c:v>#N/A</c:v>
                </c:pt>
                <c:pt idx="49">
                  <c:v>0.22939285955090979</c:v>
                </c:pt>
                <c:pt idx="50">
                  <c:v>#N/A</c:v>
                </c:pt>
                <c:pt idx="51">
                  <c:v>#N/A</c:v>
                </c:pt>
                <c:pt idx="52">
                  <c:v>0.20463972144413695</c:v>
                </c:pt>
                <c:pt idx="53">
                  <c:v>#N/A</c:v>
                </c:pt>
                <c:pt idx="54">
                  <c:v>#N/A</c:v>
                </c:pt>
                <c:pt idx="55">
                  <c:v>0.20050225480710676</c:v>
                </c:pt>
                <c:pt idx="56">
                  <c:v>#N/A</c:v>
                </c:pt>
                <c:pt idx="57">
                  <c:v>#N/A</c:v>
                </c:pt>
                <c:pt idx="58">
                  <c:v>0.12725140465931795</c:v>
                </c:pt>
                <c:pt idx="59">
                  <c:v>#N/A</c:v>
                </c:pt>
                <c:pt idx="60">
                  <c:v>#N/A</c:v>
                </c:pt>
                <c:pt idx="61">
                  <c:v>0.24567384098142223</c:v>
                </c:pt>
                <c:pt idx="62">
                  <c:v>#N/A</c:v>
                </c:pt>
                <c:pt idx="63">
                  <c:v>#N/A</c:v>
                </c:pt>
                <c:pt idx="64">
                  <c:v>0.21687323774227837</c:v>
                </c:pt>
                <c:pt idx="65">
                  <c:v>#N/A</c:v>
                </c:pt>
                <c:pt idx="66">
                  <c:v>9.2265298284551933E-2</c:v>
                </c:pt>
                <c:pt idx="67">
                  <c:v>#N/A</c:v>
                </c:pt>
                <c:pt idx="68">
                  <c:v>0.18949028965029532</c:v>
                </c:pt>
                <c:pt idx="69">
                  <c:v>#N/A</c:v>
                </c:pt>
                <c:pt idx="70">
                  <c:v>0.11360176408761605</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00C9-44C3-B935-C7D2217FE82A}"/>
            </c:ext>
          </c:extLst>
        </c:ser>
        <c:ser>
          <c:idx val="1"/>
          <c:order val="1"/>
          <c:spPr>
            <a:ln w="28575">
              <a:noFill/>
            </a:ln>
          </c:spPr>
          <c:xVal>
            <c:numRef>
              <c:f>QC!$M$6:$M$55</c:f>
              <c:numCache>
                <c:formatCode>"$"#,##0.000</c:formatCode>
                <c:ptCount val="50"/>
                <c:pt idx="0">
                  <c:v>0.86006245338236109</c:v>
                </c:pt>
                <c:pt idx="1">
                  <c:v>0.86006245338236065</c:v>
                </c:pt>
                <c:pt idx="2">
                  <c:v>0.36006245338236109</c:v>
                </c:pt>
                <c:pt idx="3">
                  <c:v>1.360062453382362</c:v>
                </c:pt>
                <c:pt idx="4">
                  <c:v>0.86006245338236109</c:v>
                </c:pt>
                <c:pt idx="5">
                  <c:v>0.86006245338236087</c:v>
                </c:pt>
                <c:pt idx="6">
                  <c:v>0.86006245338236109</c:v>
                </c:pt>
                <c:pt idx="7">
                  <c:v>0.86006245338236065</c:v>
                </c:pt>
                <c:pt idx="8">
                  <c:v>0.61006245338236065</c:v>
                </c:pt>
                <c:pt idx="9">
                  <c:v>0.36006245338236087</c:v>
                </c:pt>
                <c:pt idx="10">
                  <c:v>0.11006245338236198</c:v>
                </c:pt>
                <c:pt idx="11">
                  <c:v>-0.13993754661763891</c:v>
                </c:pt>
                <c:pt idx="12">
                  <c:v>1.1401894910073043</c:v>
                </c:pt>
                <c:pt idx="13">
                  <c:v>1.4642263852697333</c:v>
                </c:pt>
                <c:pt idx="14">
                  <c:v>1.3600624533823609</c:v>
                </c:pt>
                <c:pt idx="15">
                  <c:v>0.86006245338236087</c:v>
                </c:pt>
                <c:pt idx="16">
                  <c:v>0.86006245338236109</c:v>
                </c:pt>
                <c:pt idx="17">
                  <c:v>0.8600624533823622</c:v>
                </c:pt>
                <c:pt idx="18">
                  <c:v>0.86006245338236131</c:v>
                </c:pt>
                <c:pt idx="19">
                  <c:v>0.86006245338236065</c:v>
                </c:pt>
                <c:pt idx="20">
                  <c:v>1.1401894910073043</c:v>
                </c:pt>
                <c:pt idx="21">
                  <c:v>0.67554271384818398</c:v>
                </c:pt>
                <c:pt idx="22">
                  <c:v>1.1401894910073043</c:v>
                </c:pt>
                <c:pt idx="23">
                  <c:v>1.4642263852697333</c:v>
                </c:pt>
                <c:pt idx="24">
                  <c:v>0.46456547358288303</c:v>
                </c:pt>
                <c:pt idx="25">
                  <c:v>9.0323633887630317E-2</c:v>
                </c:pt>
                <c:pt idx="26">
                  <c:v>1.6100624533823611</c:v>
                </c:pt>
                <c:pt idx="27">
                  <c:v>1.8600624533823611</c:v>
                </c:pt>
                <c:pt idx="28">
                  <c:v>0.86006245338236087</c:v>
                </c:pt>
                <c:pt idx="29">
                  <c:v>0.86006245338236087</c:v>
                </c:pt>
                <c:pt idx="30">
                  <c:v>0.86006245338236176</c:v>
                </c:pt>
                <c:pt idx="31">
                  <c:v>0.86006245338236065</c:v>
                </c:pt>
                <c:pt idx="32">
                  <c:v>0.86006245338236109</c:v>
                </c:pt>
                <c:pt idx="33">
                  <c:v>0.86006245338236065</c:v>
                </c:pt>
                <c:pt idx="34">
                  <c:v>0.89018949100730338</c:v>
                </c:pt>
                <c:pt idx="35">
                  <c:v>0.64018949100730316</c:v>
                </c:pt>
                <c:pt idx="36">
                  <c:v>0.39018949100730405</c:v>
                </c:pt>
                <c:pt idx="37">
                  <c:v>0.14018949100730405</c:v>
                </c:pt>
                <c:pt idx="38">
                  <c:v>0.61006245338236154</c:v>
                </c:pt>
                <c:pt idx="39">
                  <c:v>0.36006245338236176</c:v>
                </c:pt>
                <c:pt idx="40">
                  <c:v>0.11006245338236109</c:v>
                </c:pt>
                <c:pt idx="41">
                  <c:v>-0.13993754661763802</c:v>
                </c:pt>
                <c:pt idx="42">
                  <c:v>1.1401894910073036</c:v>
                </c:pt>
                <c:pt idx="43">
                  <c:v>1.4642263852697328</c:v>
                </c:pt>
                <c:pt idx="44">
                  <c:v>1.4642263852697328</c:v>
                </c:pt>
                <c:pt idx="45">
                  <c:v>1.4642263852697328</c:v>
                </c:pt>
                <c:pt idx="46">
                  <c:v>0.61006245338236087</c:v>
                </c:pt>
                <c:pt idx="47">
                  <c:v>0.36006245338236065</c:v>
                </c:pt>
                <c:pt idx="48">
                  <c:v>0.11006245338236109</c:v>
                </c:pt>
                <c:pt idx="49">
                  <c:v>#N/A</c:v>
                </c:pt>
              </c:numCache>
            </c:numRef>
          </c:xVal>
          <c:yVal>
            <c:numRef>
              <c:f>QC!$N$6:$N$55</c:f>
              <c:numCache>
                <c:formatCode>0%</c:formatCode>
                <c:ptCount val="50"/>
                <c:pt idx="0">
                  <c:v>0.58801498127340823</c:v>
                </c:pt>
                <c:pt idx="1">
                  <c:v>0.58684136035800349</c:v>
                </c:pt>
                <c:pt idx="2">
                  <c:v>0.51524072627318218</c:v>
                </c:pt>
                <c:pt idx="3">
                  <c:v>0.62164051449187308</c:v>
                </c:pt>
                <c:pt idx="4">
                  <c:v>0.64519433841857698</c:v>
                </c:pt>
                <c:pt idx="5">
                  <c:v>0.59300646391600653</c:v>
                </c:pt>
                <c:pt idx="6">
                  <c:v>0.58801498127340823</c:v>
                </c:pt>
                <c:pt idx="7">
                  <c:v>0.58684136035800349</c:v>
                </c:pt>
                <c:pt idx="8">
                  <c:v>0.54949010154957045</c:v>
                </c:pt>
                <c:pt idx="9">
                  <c:v>0.51423652314024204</c:v>
                </c:pt>
                <c:pt idx="10">
                  <c:v>0.48114265238453552</c:v>
                </c:pt>
                <c:pt idx="11">
                  <c:v>0.45020743158094051</c:v>
                </c:pt>
                <c:pt idx="12">
                  <c:v>0.60937037846086273</c:v>
                </c:pt>
                <c:pt idx="13">
                  <c:v>0.63511760183761157</c:v>
                </c:pt>
                <c:pt idx="14">
                  <c:v>0.62044102660925282</c:v>
                </c:pt>
                <c:pt idx="15">
                  <c:v>0.55670608019767742</c:v>
                </c:pt>
                <c:pt idx="16">
                  <c:v>0.62571526877096573</c:v>
                </c:pt>
                <c:pt idx="17">
                  <c:v>0.67637166609861976</c:v>
                </c:pt>
                <c:pt idx="18">
                  <c:v>0.597445064488759</c:v>
                </c:pt>
                <c:pt idx="19">
                  <c:v>0.58684136035800349</c:v>
                </c:pt>
                <c:pt idx="20">
                  <c:v>0.60937037846086273</c:v>
                </c:pt>
                <c:pt idx="21">
                  <c:v>0.57069669819675317</c:v>
                </c:pt>
                <c:pt idx="22">
                  <c:v>0.60937037846086273</c:v>
                </c:pt>
                <c:pt idx="23">
                  <c:v>0.63511760183761157</c:v>
                </c:pt>
                <c:pt idx="24">
                  <c:v>0.5559157897533219</c:v>
                </c:pt>
                <c:pt idx="25">
                  <c:v>0.52631644272547551</c:v>
                </c:pt>
                <c:pt idx="26">
                  <c:v>0.6374071475778027</c:v>
                </c:pt>
                <c:pt idx="27">
                  <c:v>0.6545637073320455</c:v>
                </c:pt>
                <c:pt idx="28">
                  <c:v>0.5331247440558563</c:v>
                </c:pt>
                <c:pt idx="29">
                  <c:v>0.74311512585707129</c:v>
                </c:pt>
                <c:pt idx="30">
                  <c:v>0.56618009510609257</c:v>
                </c:pt>
                <c:pt idx="31">
                  <c:v>0.54730155139295422</c:v>
                </c:pt>
                <c:pt idx="32">
                  <c:v>0.5300419410229269</c:v>
                </c:pt>
                <c:pt idx="33">
                  <c:v>0.51424321954313512</c:v>
                </c:pt>
                <c:pt idx="34">
                  <c:v>0.57184766235594331</c:v>
                </c:pt>
                <c:pt idx="35">
                  <c:v>0.53622986355941971</c:v>
                </c:pt>
                <c:pt idx="36">
                  <c:v>0.50262245635380609</c:v>
                </c:pt>
                <c:pt idx="37">
                  <c:v>0.47106413697223393</c:v>
                </c:pt>
                <c:pt idx="38">
                  <c:v>0.58425820204740286</c:v>
                </c:pt>
                <c:pt idx="39">
                  <c:v>0.54507685211030155</c:v>
                </c:pt>
                <c:pt idx="40">
                  <c:v>0.5082962372930413</c:v>
                </c:pt>
                <c:pt idx="41">
                  <c:v>0.47395583630848814</c:v>
                </c:pt>
                <c:pt idx="42">
                  <c:v>0.64718631499902113</c:v>
                </c:pt>
                <c:pt idx="43">
                  <c:v>0.6716050852666795</c:v>
                </c:pt>
                <c:pt idx="44">
                  <c:v>0.6716050852666795</c:v>
                </c:pt>
                <c:pt idx="45">
                  <c:v>0.6716050852666795</c:v>
                </c:pt>
                <c:pt idx="46">
                  <c:v>0.52264969259193805</c:v>
                </c:pt>
                <c:pt idx="47">
                  <c:v>0.4905105614044627</c:v>
                </c:pt>
                <c:pt idx="48">
                  <c:v>0.46031224712853608</c:v>
                </c:pt>
                <c:pt idx="49">
                  <c:v>#N/A</c:v>
                </c:pt>
              </c:numCache>
            </c:numRef>
          </c:yVal>
          <c:smooth val="0"/>
          <c:extLst>
            <c:ext xmlns:c16="http://schemas.microsoft.com/office/drawing/2014/chart" uri="{C3380CC4-5D6E-409C-BE32-E72D297353CC}">
              <c16:uniqueId val="{00000002-00C9-44C3-B935-C7D2217FE82A}"/>
            </c:ext>
          </c:extLst>
        </c:ser>
        <c:dLbls>
          <c:showLegendKey val="0"/>
          <c:showVal val="0"/>
          <c:showCatName val="0"/>
          <c:showSerName val="0"/>
          <c:showPercent val="0"/>
          <c:showBubbleSize val="0"/>
        </c:dLbls>
        <c:axId val="671442432"/>
        <c:axId val="671444352"/>
      </c:scatterChart>
      <c:valAx>
        <c:axId val="671442432"/>
        <c:scaling>
          <c:orientation val="minMax"/>
        </c:scaling>
        <c:delete val="0"/>
        <c:axPos val="b"/>
        <c:title>
          <c:tx>
            <c:rich>
              <a:bodyPr/>
              <a:lstStyle/>
              <a:p>
                <a:pPr>
                  <a:defRPr b="0"/>
                </a:pPr>
                <a:r>
                  <a:rPr lang="en-US" b="0"/>
                  <a:t>Finance Offer - Cash Offer (k)</a:t>
                </a:r>
              </a:p>
            </c:rich>
          </c:tx>
          <c:overlay val="0"/>
        </c:title>
        <c:numFmt formatCode="&quot;$&quot;#,##0.00" sourceLinked="1"/>
        <c:majorTickMark val="out"/>
        <c:minorTickMark val="none"/>
        <c:tickLblPos val="nextTo"/>
        <c:crossAx val="671444352"/>
        <c:crosses val="autoZero"/>
        <c:crossBetween val="midCat"/>
      </c:valAx>
      <c:valAx>
        <c:axId val="671444352"/>
        <c:scaling>
          <c:orientation val="minMax"/>
          <c:max val="1"/>
          <c:min val="0"/>
        </c:scaling>
        <c:delete val="0"/>
        <c:axPos val="l"/>
        <c:majorGridlines/>
        <c:title>
          <c:tx>
            <c:rich>
              <a:bodyPr rot="-5400000" vert="horz"/>
              <a:lstStyle/>
              <a:p>
                <a:pPr>
                  <a:defRPr b="0"/>
                </a:pPr>
                <a:r>
                  <a:rPr lang="en-US" b="0" baseline="0"/>
                  <a:t>Finance TR w/i </a:t>
                </a:r>
                <a:r>
                  <a:rPr lang="en-US" b="0"/>
                  <a:t>Purchase </a:t>
                </a:r>
              </a:p>
            </c:rich>
          </c:tx>
          <c:layout>
            <c:manualLayout>
              <c:xMode val="edge"/>
              <c:yMode val="edge"/>
              <c:x val="9.0429429612475364E-3"/>
              <c:y val="0.18626031850306662"/>
            </c:manualLayout>
          </c:layout>
          <c:overlay val="0"/>
        </c:title>
        <c:numFmt formatCode="0%" sourceLinked="1"/>
        <c:majorTickMark val="out"/>
        <c:minorTickMark val="none"/>
        <c:tickLblPos val="nextTo"/>
        <c:crossAx val="671442432"/>
        <c:crosses val="autoZero"/>
        <c:crossBetween val="midCat"/>
        <c:majorUnit val="0.2"/>
      </c:valAx>
    </c:plotArea>
    <c:plotVisOnly val="1"/>
    <c:dispBlanksAs val="gap"/>
    <c:showDLblsOverMax val="0"/>
  </c:chart>
  <c:printSettings>
    <c:headerFooter/>
    <c:pageMargins b="0.75000000000001288" l="0.70000000000000062" r="0.70000000000000062" t="0.750000000000012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80672972746722"/>
          <c:y val="6.2944047881865237E-2"/>
          <c:w val="0.81124319393118716"/>
          <c:h val="0.71433803531226836"/>
        </c:manualLayout>
      </c:layout>
      <c:scatterChart>
        <c:scatterStyle val="lineMarker"/>
        <c:varyColors val="0"/>
        <c:ser>
          <c:idx val="0"/>
          <c:order val="0"/>
          <c:spPr>
            <a:ln w="28575">
              <a:noFill/>
            </a:ln>
          </c:spPr>
          <c:trendline>
            <c:trendlineType val="linear"/>
            <c:dispRSqr val="1"/>
            <c:dispEq val="1"/>
            <c:trendlineLbl>
              <c:layout>
                <c:manualLayout>
                  <c:x val="0.21437198597683754"/>
                  <c:y val="-0.45558882414320118"/>
                </c:manualLayout>
              </c:layout>
              <c:numFmt formatCode="0.00%" sourceLinked="0"/>
            </c:trendlineLbl>
          </c:trendline>
          <c:xVal>
            <c:numRef>
              <c:f>QC!$AQ$31:$AQ$130</c:f>
              <c:numCache>
                <c:formatCode>"$"#,##0</c:formatCode>
                <c:ptCount val="100"/>
                <c:pt idx="0" formatCode="&quot;$&quot;#,##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4.5648194949699086</c:v>
                </c:pt>
                <c:pt idx="26">
                  <c:v>#N/A</c:v>
                </c:pt>
                <c:pt idx="27">
                  <c:v>4.6471973220623974</c:v>
                </c:pt>
                <c:pt idx="28">
                  <c:v>#N/A</c:v>
                </c:pt>
                <c:pt idx="29">
                  <c:v>5.6495177757236128</c:v>
                </c:pt>
                <c:pt idx="30">
                  <c:v>3.9159431085980381</c:v>
                </c:pt>
                <c:pt idx="31">
                  <c:v>#N/A</c:v>
                </c:pt>
                <c:pt idx="32">
                  <c:v>5.8037540236689775</c:v>
                </c:pt>
                <c:pt idx="33">
                  <c:v>3.7156735961945619</c:v>
                </c:pt>
                <c:pt idx="34">
                  <c:v>#N/A</c:v>
                </c:pt>
                <c:pt idx="35">
                  <c:v>#N/A</c:v>
                </c:pt>
                <c:pt idx="36">
                  <c:v>3.3570441593287756</c:v>
                </c:pt>
                <c:pt idx="37">
                  <c:v>#N/A</c:v>
                </c:pt>
                <c:pt idx="38">
                  <c:v>#N/A</c:v>
                </c:pt>
                <c:pt idx="39">
                  <c:v>3.3132086357808417</c:v>
                </c:pt>
                <c:pt idx="40">
                  <c:v>#N/A</c:v>
                </c:pt>
                <c:pt idx="41">
                  <c:v>#N/A</c:v>
                </c:pt>
                <c:pt idx="42">
                  <c:v>3.3120251781448298</c:v>
                </c:pt>
                <c:pt idx="43">
                  <c:v>#N/A</c:v>
                </c:pt>
                <c:pt idx="44">
                  <c:v>#N/A</c:v>
                </c:pt>
                <c:pt idx="45">
                  <c:v>3.3406842378121704</c:v>
                </c:pt>
                <c:pt idx="46">
                  <c:v>5.1905998009064893</c:v>
                </c:pt>
                <c:pt idx="47">
                  <c:v>#N/A</c:v>
                </c:pt>
                <c:pt idx="48">
                  <c:v>3.4229845457709942</c:v>
                </c:pt>
                <c:pt idx="49">
                  <c:v>4.5321908920192371</c:v>
                </c:pt>
                <c:pt idx="50">
                  <c:v>#N/A</c:v>
                </c:pt>
                <c:pt idx="51">
                  <c:v>#N/A</c:v>
                </c:pt>
                <c:pt idx="52">
                  <c:v>4.6886870667637357</c:v>
                </c:pt>
                <c:pt idx="53">
                  <c:v>#N/A</c:v>
                </c:pt>
                <c:pt idx="54">
                  <c:v>#N/A</c:v>
                </c:pt>
                <c:pt idx="55">
                  <c:v>4.3146875152239144</c:v>
                </c:pt>
                <c:pt idx="56">
                  <c:v>#N/A</c:v>
                </c:pt>
                <c:pt idx="57">
                  <c:v>#N/A</c:v>
                </c:pt>
                <c:pt idx="58">
                  <c:v>3.8601837080472277</c:v>
                </c:pt>
                <c:pt idx="59">
                  <c:v>#N/A</c:v>
                </c:pt>
                <c:pt idx="60">
                  <c:v>#N/A</c:v>
                </c:pt>
                <c:pt idx="61">
                  <c:v>3.3925422456004779</c:v>
                </c:pt>
                <c:pt idx="62">
                  <c:v>#N/A</c:v>
                </c:pt>
                <c:pt idx="63">
                  <c:v>#N/A</c:v>
                </c:pt>
                <c:pt idx="64">
                  <c:v>3.5838947249309121</c:v>
                </c:pt>
                <c:pt idx="65">
                  <c:v>#N/A</c:v>
                </c:pt>
                <c:pt idx="66">
                  <c:v>3.2195163723333735</c:v>
                </c:pt>
                <c:pt idx="67">
                  <c:v>#N/A</c:v>
                </c:pt>
                <c:pt idx="68">
                  <c:v>2.9951585721796512</c:v>
                </c:pt>
                <c:pt idx="69">
                  <c:v>#N/A</c:v>
                </c:pt>
                <c:pt idx="70">
                  <c:v>2.6164090073219821</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QC!$AR$31:$AR$130</c:f>
              <c:numCache>
                <c:formatCode>0%</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0.71042732733982195</c:v>
                </c:pt>
                <c:pt idx="26">
                  <c:v>#N/A</c:v>
                </c:pt>
                <c:pt idx="27">
                  <c:v>0.72201443001229504</c:v>
                </c:pt>
                <c:pt idx="28">
                  <c:v>#N/A</c:v>
                </c:pt>
                <c:pt idx="29">
                  <c:v>0.72797254895796593</c:v>
                </c:pt>
                <c:pt idx="30">
                  <c:v>0.61990350057584231</c:v>
                </c:pt>
                <c:pt idx="31">
                  <c:v>#N/A</c:v>
                </c:pt>
                <c:pt idx="32">
                  <c:v>0.68795249549753623</c:v>
                </c:pt>
                <c:pt idx="33">
                  <c:v>0.59140813814009052</c:v>
                </c:pt>
                <c:pt idx="34">
                  <c:v>#N/A</c:v>
                </c:pt>
                <c:pt idx="35">
                  <c:v>#N/A</c:v>
                </c:pt>
                <c:pt idx="36">
                  <c:v>0.64822047471138255</c:v>
                </c:pt>
                <c:pt idx="37">
                  <c:v>#N/A</c:v>
                </c:pt>
                <c:pt idx="38">
                  <c:v>#N/A</c:v>
                </c:pt>
                <c:pt idx="39">
                  <c:v>0.70183850986406671</c:v>
                </c:pt>
                <c:pt idx="40">
                  <c:v>#N/A</c:v>
                </c:pt>
                <c:pt idx="41">
                  <c:v>#N/A</c:v>
                </c:pt>
                <c:pt idx="42">
                  <c:v>0.70953991032835817</c:v>
                </c:pt>
                <c:pt idx="43">
                  <c:v>#N/A</c:v>
                </c:pt>
                <c:pt idx="44">
                  <c:v>#N/A</c:v>
                </c:pt>
                <c:pt idx="45">
                  <c:v>0.5805325200633803</c:v>
                </c:pt>
                <c:pt idx="46">
                  <c:v>0.76407755104337383</c:v>
                </c:pt>
                <c:pt idx="47">
                  <c:v>#N/A</c:v>
                </c:pt>
                <c:pt idx="48">
                  <c:v>0.51466822083958319</c:v>
                </c:pt>
                <c:pt idx="49">
                  <c:v>0.79793344233875951</c:v>
                </c:pt>
                <c:pt idx="50">
                  <c:v>#N/A</c:v>
                </c:pt>
                <c:pt idx="51">
                  <c:v>#N/A</c:v>
                </c:pt>
                <c:pt idx="52">
                  <c:v>0.81473101282428484</c:v>
                </c:pt>
                <c:pt idx="53">
                  <c:v>#N/A</c:v>
                </c:pt>
                <c:pt idx="54">
                  <c:v>#N/A</c:v>
                </c:pt>
                <c:pt idx="55">
                  <c:v>0.79198829779689728</c:v>
                </c:pt>
                <c:pt idx="56">
                  <c:v>#N/A</c:v>
                </c:pt>
                <c:pt idx="57">
                  <c:v>#N/A</c:v>
                </c:pt>
                <c:pt idx="58">
                  <c:v>0.70749494720249018</c:v>
                </c:pt>
                <c:pt idx="59">
                  <c:v>#N/A</c:v>
                </c:pt>
                <c:pt idx="60">
                  <c:v>#N/A</c:v>
                </c:pt>
                <c:pt idx="61">
                  <c:v>0.72126746549903087</c:v>
                </c:pt>
                <c:pt idx="62">
                  <c:v>#N/A</c:v>
                </c:pt>
                <c:pt idx="63">
                  <c:v>#N/A</c:v>
                </c:pt>
                <c:pt idx="64">
                  <c:v>0.73658935407392001</c:v>
                </c:pt>
                <c:pt idx="65">
                  <c:v>#N/A</c:v>
                </c:pt>
                <c:pt idx="66">
                  <c:v>0.68321561310515522</c:v>
                </c:pt>
                <c:pt idx="67">
                  <c:v>#N/A</c:v>
                </c:pt>
                <c:pt idx="68">
                  <c:v>0.63755491753550042</c:v>
                </c:pt>
                <c:pt idx="69">
                  <c:v>#N/A</c:v>
                </c:pt>
                <c:pt idx="70">
                  <c:v>0.55591335192837799</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1-4AFA-4E1A-A0A6-7D7C96EACAE1}"/>
            </c:ext>
          </c:extLst>
        </c:ser>
        <c:ser>
          <c:idx val="1"/>
          <c:order val="1"/>
          <c:spPr>
            <a:ln w="28575">
              <a:noFill/>
            </a:ln>
          </c:spPr>
          <c:xVal>
            <c:numRef>
              <c:f>QC!$O$6:$O$55</c:f>
              <c:numCache>
                <c:formatCode>"$"#,##0.000</c:formatCode>
                <c:ptCount val="50"/>
                <c:pt idx="0">
                  <c:v>2.5979868083551949</c:v>
                </c:pt>
                <c:pt idx="1">
                  <c:v>2.5839961956390383</c:v>
                </c:pt>
                <c:pt idx="2">
                  <c:v>2.4181975757903533</c:v>
                </c:pt>
                <c:pt idx="3">
                  <c:v>2.2582464925130949</c:v>
                </c:pt>
                <c:pt idx="4">
                  <c:v>3.0488089901660942</c:v>
                </c:pt>
                <c:pt idx="5">
                  <c:v>2.593693821547586</c:v>
                </c:pt>
                <c:pt idx="6">
                  <c:v>2.5979868083551949</c:v>
                </c:pt>
                <c:pt idx="7">
                  <c:v>2.5839961956390383</c:v>
                </c:pt>
                <c:pt idx="8">
                  <c:v>2.5034931363141313</c:v>
                </c:pt>
                <c:pt idx="9">
                  <c:v>2.4035591516340942</c:v>
                </c:pt>
                <c:pt idx="10">
                  <c:v>2.2857606750264461</c:v>
                </c:pt>
                <c:pt idx="11">
                  <c:v>2.1517173392192501</c:v>
                </c:pt>
                <c:pt idx="12">
                  <c:v>2.3939187141225657</c:v>
                </c:pt>
                <c:pt idx="13">
                  <c:v>2.1587604654149173</c:v>
                </c:pt>
                <c:pt idx="14">
                  <c:v>2.2448778709455337</c:v>
                </c:pt>
                <c:pt idx="15">
                  <c:v>2.2499144186270925</c:v>
                </c:pt>
                <c:pt idx="16">
                  <c:v>2.9105622065968251</c:v>
                </c:pt>
                <c:pt idx="17">
                  <c:v>3.2269945412316901</c:v>
                </c:pt>
                <c:pt idx="18">
                  <c:v>2.7098763478493995</c:v>
                </c:pt>
                <c:pt idx="19">
                  <c:v>2.5839961956390383</c:v>
                </c:pt>
                <c:pt idx="20">
                  <c:v>2.3939187141225657</c:v>
                </c:pt>
                <c:pt idx="21">
                  <c:v>2.703186419490752</c:v>
                </c:pt>
                <c:pt idx="22">
                  <c:v>2.3939187141225657</c:v>
                </c:pt>
                <c:pt idx="23">
                  <c:v>2.1587604654149173</c:v>
                </c:pt>
                <c:pt idx="24">
                  <c:v>2.8304571336358304</c:v>
                </c:pt>
                <c:pt idx="25">
                  <c:v>3.0411776020930095</c:v>
                </c:pt>
                <c:pt idx="26">
                  <c:v>2.0624510999422152</c:v>
                </c:pt>
                <c:pt idx="27">
                  <c:v>1.8711870404196871</c:v>
                </c:pt>
                <c:pt idx="28">
                  <c:v>1.9101958404432617</c:v>
                </c:pt>
                <c:pt idx="29">
                  <c:v>3.5295909974846102</c:v>
                </c:pt>
                <c:pt idx="30">
                  <c:v>2.3517661741215798</c:v>
                </c:pt>
                <c:pt idx="31">
                  <c:v>2.1180029007437882</c:v>
                </c:pt>
                <c:pt idx="32">
                  <c:v>1.8828472435830572</c:v>
                </c:pt>
                <c:pt idx="33">
                  <c:v>1.6464351307392722</c:v>
                </c:pt>
                <c:pt idx="34">
                  <c:v>2.3296636362884313</c:v>
                </c:pt>
                <c:pt idx="35">
                  <c:v>2.2454276923597645</c:v>
                </c:pt>
                <c:pt idx="36">
                  <c:v>2.1425984153612525</c:v>
                </c:pt>
                <c:pt idx="37">
                  <c:v>2.0226781741808528</c:v>
                </c:pt>
                <c:pt idx="38">
                  <c:v>2.8422824236249791</c:v>
                </c:pt>
                <c:pt idx="39">
                  <c:v>2.7524547071220153</c:v>
                </c:pt>
                <c:pt idx="40">
                  <c:v>2.6427720848532905</c:v>
                </c:pt>
                <c:pt idx="41">
                  <c:v>2.5150406327129056</c:v>
                </c:pt>
                <c:pt idx="42">
                  <c:v>2.7108013806891584</c:v>
                </c:pt>
                <c:pt idx="43">
                  <c:v>2.4653345294459843</c:v>
                </c:pt>
                <c:pt idx="44">
                  <c:v>2.4653345294459843</c:v>
                </c:pt>
                <c:pt idx="45">
                  <c:v>2.4653345294459843</c:v>
                </c:pt>
                <c:pt idx="46">
                  <c:v>2.1598674620526102</c:v>
                </c:pt>
                <c:pt idx="47">
                  <c:v>2.0521019796255349</c:v>
                </c:pt>
                <c:pt idx="48">
                  <c:v>1.9280533205338704</c:v>
                </c:pt>
                <c:pt idx="49">
                  <c:v>#N/A</c:v>
                </c:pt>
              </c:numCache>
            </c:numRef>
          </c:xVal>
          <c:yVal>
            <c:numRef>
              <c:f>QC!$P$6:$P$55</c:f>
              <c:numCache>
                <c:formatCode>0%</c:formatCode>
                <c:ptCount val="50"/>
                <c:pt idx="0">
                  <c:v>0.40134529147982062</c:v>
                </c:pt>
                <c:pt idx="1">
                  <c:v>0.40038603060986427</c:v>
                </c:pt>
                <c:pt idx="2">
                  <c:v>0.35813838612016541</c:v>
                </c:pt>
                <c:pt idx="3">
                  <c:v>0.3869360859397068</c:v>
                </c:pt>
                <c:pt idx="4">
                  <c:v>0.48706465305450797</c:v>
                </c:pt>
                <c:pt idx="5">
                  <c:v>0.42760569387931274</c:v>
                </c:pt>
                <c:pt idx="6">
                  <c:v>0.40134529147982062</c:v>
                </c:pt>
                <c:pt idx="7">
                  <c:v>0.40038603060986427</c:v>
                </c:pt>
                <c:pt idx="8">
                  <c:v>0.37879335768467959</c:v>
                </c:pt>
                <c:pt idx="9">
                  <c:v>0.35721844532917307</c:v>
                </c:pt>
                <c:pt idx="10">
                  <c:v>0.33590236826085301</c:v>
                </c:pt>
                <c:pt idx="11">
                  <c:v>0.31506620000805619</c:v>
                </c:pt>
                <c:pt idx="12">
                  <c:v>0.39040023369520938</c:v>
                </c:pt>
                <c:pt idx="13">
                  <c:v>0.37879952580067461</c:v>
                </c:pt>
                <c:pt idx="14">
                  <c:v>0.38605112921515217</c:v>
                </c:pt>
                <c:pt idx="15">
                  <c:v>0.34289977300570029</c:v>
                </c:pt>
                <c:pt idx="16">
                  <c:v>0.46151067258955036</c:v>
                </c:pt>
                <c:pt idx="17">
                  <c:v>0.52541819385116117</c:v>
                </c:pt>
                <c:pt idx="18">
                  <c:v>0.40914375680807552</c:v>
                </c:pt>
                <c:pt idx="19">
                  <c:v>0.40038603060986427</c:v>
                </c:pt>
                <c:pt idx="20">
                  <c:v>0.39040023369520938</c:v>
                </c:pt>
                <c:pt idx="21">
                  <c:v>0.40748643466708134</c:v>
                </c:pt>
                <c:pt idx="22">
                  <c:v>0.39040023369520938</c:v>
                </c:pt>
                <c:pt idx="23">
                  <c:v>0.37879952580067461</c:v>
                </c:pt>
                <c:pt idx="24">
                  <c:v>0.41400749431634626</c:v>
                </c:pt>
                <c:pt idx="25">
                  <c:v>0.42690122005096637</c:v>
                </c:pt>
                <c:pt idx="26">
                  <c:v>0.37873025654036052</c:v>
                </c:pt>
                <c:pt idx="27">
                  <c:v>0.37127308486618149</c:v>
                </c:pt>
                <c:pt idx="28">
                  <c:v>0.28948486463809009</c:v>
                </c:pt>
                <c:pt idx="29">
                  <c:v>0.59079160869060876</c:v>
                </c:pt>
                <c:pt idx="30">
                  <c:v>0.3722944473144521</c:v>
                </c:pt>
                <c:pt idx="31">
                  <c:v>0.34536656492334805</c:v>
                </c:pt>
                <c:pt idx="32">
                  <c:v>0.31977086979494368</c:v>
                </c:pt>
                <c:pt idx="33">
                  <c:v>0.29563642172471699</c:v>
                </c:pt>
                <c:pt idx="34">
                  <c:v>0.36977168186303644</c:v>
                </c:pt>
                <c:pt idx="35">
                  <c:v>0.34911152666549145</c:v>
                </c:pt>
                <c:pt idx="36">
                  <c:v>0.32865310163518419</c:v>
                </c:pt>
                <c:pt idx="37">
                  <c:v>0.30861207282177966</c:v>
                </c:pt>
                <c:pt idx="38">
                  <c:v>0.43909992702821576</c:v>
                </c:pt>
                <c:pt idx="39">
                  <c:v>0.41631215815155131</c:v>
                </c:pt>
                <c:pt idx="40">
                  <c:v>0.39341353467102413</c:v>
                </c:pt>
                <c:pt idx="41">
                  <c:v>0.37066250878723994</c:v>
                </c:pt>
                <c:pt idx="42">
                  <c:v>0.45069238139379553</c:v>
                </c:pt>
                <c:pt idx="43">
                  <c:v>0.43811725407637436</c:v>
                </c:pt>
                <c:pt idx="44">
                  <c:v>0.43811725407637436</c:v>
                </c:pt>
                <c:pt idx="45">
                  <c:v>0.43811725407637436</c:v>
                </c:pt>
                <c:pt idx="46">
                  <c:v>0.32270236914571165</c:v>
                </c:pt>
                <c:pt idx="47">
                  <c:v>0.30284177144918589</c:v>
                </c:pt>
                <c:pt idx="48">
                  <c:v>0.28352005524288554</c:v>
                </c:pt>
                <c:pt idx="49">
                  <c:v>#N/A</c:v>
                </c:pt>
              </c:numCache>
            </c:numRef>
          </c:yVal>
          <c:smooth val="0"/>
          <c:extLst>
            <c:ext xmlns:c16="http://schemas.microsoft.com/office/drawing/2014/chart" uri="{C3380CC4-5D6E-409C-BE32-E72D297353CC}">
              <c16:uniqueId val="{00000002-4AFA-4E1A-A0A6-7D7C96EACAE1}"/>
            </c:ext>
          </c:extLst>
        </c:ser>
        <c:dLbls>
          <c:showLegendKey val="0"/>
          <c:showVal val="0"/>
          <c:showCatName val="0"/>
          <c:showSerName val="0"/>
          <c:showPercent val="0"/>
          <c:showBubbleSize val="0"/>
        </c:dLbls>
        <c:axId val="671474432"/>
        <c:axId val="671476352"/>
      </c:scatterChart>
      <c:valAx>
        <c:axId val="671474432"/>
        <c:scaling>
          <c:orientation val="minMax"/>
        </c:scaling>
        <c:delete val="0"/>
        <c:axPos val="b"/>
        <c:title>
          <c:tx>
            <c:rich>
              <a:bodyPr/>
              <a:lstStyle/>
              <a:p>
                <a:pPr>
                  <a:defRPr b="0"/>
                </a:pPr>
                <a:r>
                  <a:rPr lang="en-US" b="0"/>
                  <a:t>Lease</a:t>
                </a:r>
                <a:r>
                  <a:rPr lang="en-US" b="0" baseline="0"/>
                  <a:t> Offer - Purchase Offer (k)</a:t>
                </a:r>
                <a:endParaRPr lang="en-US" b="0"/>
              </a:p>
            </c:rich>
          </c:tx>
          <c:overlay val="0"/>
        </c:title>
        <c:numFmt formatCode="&quot;$&quot;#,##0.0" sourceLinked="1"/>
        <c:majorTickMark val="out"/>
        <c:minorTickMark val="none"/>
        <c:tickLblPos val="nextTo"/>
        <c:crossAx val="671476352"/>
        <c:crosses val="autoZero"/>
        <c:crossBetween val="midCat"/>
      </c:valAx>
      <c:valAx>
        <c:axId val="671476352"/>
        <c:scaling>
          <c:orientation val="minMax"/>
          <c:max val="1"/>
          <c:min val="0"/>
        </c:scaling>
        <c:delete val="0"/>
        <c:axPos val="l"/>
        <c:majorGridlines/>
        <c:title>
          <c:tx>
            <c:rich>
              <a:bodyPr rot="-5400000" vert="horz"/>
              <a:lstStyle/>
              <a:p>
                <a:pPr>
                  <a:defRPr b="0"/>
                </a:pPr>
                <a:r>
                  <a:rPr lang="en-US" b="0"/>
                  <a:t>Lease TR</a:t>
                </a:r>
              </a:p>
            </c:rich>
          </c:tx>
          <c:overlay val="0"/>
        </c:title>
        <c:numFmt formatCode="0%" sourceLinked="1"/>
        <c:majorTickMark val="out"/>
        <c:minorTickMark val="none"/>
        <c:tickLblPos val="nextTo"/>
        <c:crossAx val="671474432"/>
        <c:crosses val="autoZero"/>
        <c:crossBetween val="midCat"/>
        <c:majorUnit val="0.2"/>
      </c:valAx>
    </c:plotArea>
    <c:plotVisOnly val="1"/>
    <c:dispBlanksAs val="gap"/>
    <c:showDLblsOverMax val="0"/>
  </c:chart>
  <c:printSettings>
    <c:headerFooter/>
    <c:pageMargins b="0.7500000000000131" l="0.70000000000000062" r="0.70000000000000062" t="0.750000000000013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37</xdr:col>
      <xdr:colOff>489858</xdr:colOff>
      <xdr:row>599</xdr:row>
      <xdr:rowOff>122464</xdr:rowOff>
    </xdr:from>
    <xdr:to>
      <xdr:col>50</xdr:col>
      <xdr:colOff>612322</xdr:colOff>
      <xdr:row>603</xdr:row>
      <xdr:rowOff>108857</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28670251" y="98910321"/>
          <a:ext cx="12001500" cy="789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Don't run - National is an</a:t>
          </a:r>
          <a:r>
            <a:rPr lang="en-US" sz="2400" baseline="0"/>
            <a:t> aggregate of other 5 regions</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3" name="Chart 1">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900-000004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07526" name="Button 6" hidden="1">
              <a:extLst>
                <a:ext uri="{63B3BB69-23CF-44E3-9099-C40C66FF867C}">
                  <a14:compatExt spid="_x0000_s107526"/>
                </a:ext>
                <a:ext uri="{FF2B5EF4-FFF2-40B4-BE49-F238E27FC236}">
                  <a16:creationId xmlns:a16="http://schemas.microsoft.com/office/drawing/2014/main" id="{00000000-0008-0000-0900-000006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07528" name="Button 8" hidden="1">
              <a:extLst>
                <a:ext uri="{63B3BB69-23CF-44E3-9099-C40C66FF867C}">
                  <a14:compatExt spid="_x0000_s107528"/>
                </a:ext>
                <a:ext uri="{FF2B5EF4-FFF2-40B4-BE49-F238E27FC236}">
                  <a16:creationId xmlns:a16="http://schemas.microsoft.com/office/drawing/2014/main" id="{00000000-0008-0000-0900-000008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07529" name="Button 9" hidden="1">
              <a:extLst>
                <a:ext uri="{63B3BB69-23CF-44E3-9099-C40C66FF867C}">
                  <a14:compatExt spid="_x0000_s107529"/>
                </a:ext>
                <a:ext uri="{FF2B5EF4-FFF2-40B4-BE49-F238E27FC236}">
                  <a16:creationId xmlns:a16="http://schemas.microsoft.com/office/drawing/2014/main" id="{00000000-0008-0000-0900-000009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07530" name="Button 10" hidden="1">
              <a:extLst>
                <a:ext uri="{63B3BB69-23CF-44E3-9099-C40C66FF867C}">
                  <a14:compatExt spid="_x0000_s107530"/>
                </a:ext>
                <a:ext uri="{FF2B5EF4-FFF2-40B4-BE49-F238E27FC236}">
                  <a16:creationId xmlns:a16="http://schemas.microsoft.com/office/drawing/2014/main" id="{00000000-0008-0000-0900-00000A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07531" name="Button 11" hidden="1">
              <a:extLst>
                <a:ext uri="{63B3BB69-23CF-44E3-9099-C40C66FF867C}">
                  <a14:compatExt spid="_x0000_s107531"/>
                </a:ext>
                <a:ext uri="{FF2B5EF4-FFF2-40B4-BE49-F238E27FC236}">
                  <a16:creationId xmlns:a16="http://schemas.microsoft.com/office/drawing/2014/main" id="{00000000-0008-0000-0900-00000B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07533" name="Button 13" hidden="1">
              <a:extLst>
                <a:ext uri="{63B3BB69-23CF-44E3-9099-C40C66FF867C}">
                  <a14:compatExt spid="_x0000_s107533"/>
                </a:ext>
                <a:ext uri="{FF2B5EF4-FFF2-40B4-BE49-F238E27FC236}">
                  <a16:creationId xmlns:a16="http://schemas.microsoft.com/office/drawing/2014/main" id="{00000000-0008-0000-0900-00000D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07536" name="Button 16" hidden="1">
              <a:extLst>
                <a:ext uri="{63B3BB69-23CF-44E3-9099-C40C66FF867C}">
                  <a14:compatExt spid="_x0000_s107536"/>
                </a:ext>
                <a:ext uri="{FF2B5EF4-FFF2-40B4-BE49-F238E27FC236}">
                  <a16:creationId xmlns:a16="http://schemas.microsoft.com/office/drawing/2014/main" id="{00000000-0008-0000-0900-000010A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0A00-000001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0A00-000002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0A00-000003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0A00-000004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13669" name="Button 5" hidden="1">
              <a:extLst>
                <a:ext uri="{63B3BB69-23CF-44E3-9099-C40C66FF867C}">
                  <a14:compatExt spid="_x0000_s113669"/>
                </a:ext>
                <a:ext uri="{FF2B5EF4-FFF2-40B4-BE49-F238E27FC236}">
                  <a16:creationId xmlns:a16="http://schemas.microsoft.com/office/drawing/2014/main" id="{00000000-0008-0000-0A00-000005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13670" name="Button 6" hidden="1">
              <a:extLst>
                <a:ext uri="{63B3BB69-23CF-44E3-9099-C40C66FF867C}">
                  <a14:compatExt spid="_x0000_s113670"/>
                </a:ext>
                <a:ext uri="{FF2B5EF4-FFF2-40B4-BE49-F238E27FC236}">
                  <a16:creationId xmlns:a16="http://schemas.microsoft.com/office/drawing/2014/main" id="{00000000-0008-0000-0A00-000006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13671" name="Button 7" hidden="1">
              <a:extLst>
                <a:ext uri="{63B3BB69-23CF-44E3-9099-C40C66FF867C}">
                  <a14:compatExt spid="_x0000_s113671"/>
                </a:ext>
                <a:ext uri="{FF2B5EF4-FFF2-40B4-BE49-F238E27FC236}">
                  <a16:creationId xmlns:a16="http://schemas.microsoft.com/office/drawing/2014/main" id="{00000000-0008-0000-0A00-000007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13672" name="Button 8" hidden="1">
              <a:extLst>
                <a:ext uri="{63B3BB69-23CF-44E3-9099-C40C66FF867C}">
                  <a14:compatExt spid="_x0000_s113672"/>
                </a:ext>
                <a:ext uri="{FF2B5EF4-FFF2-40B4-BE49-F238E27FC236}">
                  <a16:creationId xmlns:a16="http://schemas.microsoft.com/office/drawing/2014/main" id="{00000000-0008-0000-0A00-000008B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B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0B00-000002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0B00-000003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0B00-000004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2885" name="Button 5" hidden="1">
              <a:extLst>
                <a:ext uri="{63B3BB69-23CF-44E3-9099-C40C66FF867C}">
                  <a14:compatExt spid="_x0000_s122885"/>
                </a:ext>
                <a:ext uri="{FF2B5EF4-FFF2-40B4-BE49-F238E27FC236}">
                  <a16:creationId xmlns:a16="http://schemas.microsoft.com/office/drawing/2014/main" id="{00000000-0008-0000-0B00-000005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2886" name="Button 6" hidden="1">
              <a:extLst>
                <a:ext uri="{63B3BB69-23CF-44E3-9099-C40C66FF867C}">
                  <a14:compatExt spid="_x0000_s122886"/>
                </a:ext>
                <a:ext uri="{FF2B5EF4-FFF2-40B4-BE49-F238E27FC236}">
                  <a16:creationId xmlns:a16="http://schemas.microsoft.com/office/drawing/2014/main" id="{00000000-0008-0000-0B00-000006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2887" name="Button 7" hidden="1">
              <a:extLst>
                <a:ext uri="{63B3BB69-23CF-44E3-9099-C40C66FF867C}">
                  <a14:compatExt spid="_x0000_s122887"/>
                </a:ext>
                <a:ext uri="{FF2B5EF4-FFF2-40B4-BE49-F238E27FC236}">
                  <a16:creationId xmlns:a16="http://schemas.microsoft.com/office/drawing/2014/main" id="{00000000-0008-0000-0B00-000007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2888" name="Button 8" hidden="1">
              <a:extLst>
                <a:ext uri="{63B3BB69-23CF-44E3-9099-C40C66FF867C}">
                  <a14:compatExt spid="_x0000_s122888"/>
                </a:ext>
                <a:ext uri="{FF2B5EF4-FFF2-40B4-BE49-F238E27FC236}">
                  <a16:creationId xmlns:a16="http://schemas.microsoft.com/office/drawing/2014/main" id="{00000000-0008-0000-0B00-000008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0C00-000001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0C00-000002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0C00-000003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0C00-000004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3909" name="Button 5" hidden="1">
              <a:extLst>
                <a:ext uri="{63B3BB69-23CF-44E3-9099-C40C66FF867C}">
                  <a14:compatExt spid="_x0000_s123909"/>
                </a:ext>
                <a:ext uri="{FF2B5EF4-FFF2-40B4-BE49-F238E27FC236}">
                  <a16:creationId xmlns:a16="http://schemas.microsoft.com/office/drawing/2014/main" id="{00000000-0008-0000-0C00-000005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C00-000006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3911" name="Button 7" hidden="1">
              <a:extLst>
                <a:ext uri="{63B3BB69-23CF-44E3-9099-C40C66FF867C}">
                  <a14:compatExt spid="_x0000_s123911"/>
                </a:ext>
                <a:ext uri="{FF2B5EF4-FFF2-40B4-BE49-F238E27FC236}">
                  <a16:creationId xmlns:a16="http://schemas.microsoft.com/office/drawing/2014/main" id="{00000000-0008-0000-0C00-000007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3912" name="Button 8" hidden="1">
              <a:extLst>
                <a:ext uri="{63B3BB69-23CF-44E3-9099-C40C66FF867C}">
                  <a14:compatExt spid="_x0000_s123912"/>
                </a:ext>
                <a:ext uri="{FF2B5EF4-FFF2-40B4-BE49-F238E27FC236}">
                  <a16:creationId xmlns:a16="http://schemas.microsoft.com/office/drawing/2014/main" id="{00000000-0008-0000-0C00-000008E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D00-000001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0D00-000002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0D00-000003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0D00-000004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4933" name="Button 5" hidden="1">
              <a:extLst>
                <a:ext uri="{63B3BB69-23CF-44E3-9099-C40C66FF867C}">
                  <a14:compatExt spid="_x0000_s124933"/>
                </a:ext>
                <a:ext uri="{FF2B5EF4-FFF2-40B4-BE49-F238E27FC236}">
                  <a16:creationId xmlns:a16="http://schemas.microsoft.com/office/drawing/2014/main" id="{00000000-0008-0000-0D00-000005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4934" name="Button 6" hidden="1">
              <a:extLst>
                <a:ext uri="{63B3BB69-23CF-44E3-9099-C40C66FF867C}">
                  <a14:compatExt spid="_x0000_s124934"/>
                </a:ext>
                <a:ext uri="{FF2B5EF4-FFF2-40B4-BE49-F238E27FC236}">
                  <a16:creationId xmlns:a16="http://schemas.microsoft.com/office/drawing/2014/main" id="{00000000-0008-0000-0D00-000006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4935" name="Button 7" hidden="1">
              <a:extLst>
                <a:ext uri="{63B3BB69-23CF-44E3-9099-C40C66FF867C}">
                  <a14:compatExt spid="_x0000_s124935"/>
                </a:ext>
                <a:ext uri="{FF2B5EF4-FFF2-40B4-BE49-F238E27FC236}">
                  <a16:creationId xmlns:a16="http://schemas.microsoft.com/office/drawing/2014/main" id="{00000000-0008-0000-0D00-000007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4936" name="Button 8" hidden="1">
              <a:extLst>
                <a:ext uri="{63B3BB69-23CF-44E3-9099-C40C66FF867C}">
                  <a14:compatExt spid="_x0000_s124936"/>
                </a:ext>
                <a:ext uri="{FF2B5EF4-FFF2-40B4-BE49-F238E27FC236}">
                  <a16:creationId xmlns:a16="http://schemas.microsoft.com/office/drawing/2014/main" id="{00000000-0008-0000-0D00-000008E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E00-000001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E00-000002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E00-000003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E00-000004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E00-000005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E00-000006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E00-000007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E00-000008E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38100</xdr:colOff>
      <xdr:row>13</xdr:row>
      <xdr:rowOff>112568</xdr:rowOff>
    </xdr:from>
    <xdr:to>
      <xdr:col>35</xdr:col>
      <xdr:colOff>28575</xdr:colOff>
      <xdr:row>25</xdr:row>
      <xdr:rowOff>90156</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161925</xdr:colOff>
          <xdr:row>19</xdr:row>
          <xdr:rowOff>161925</xdr:rowOff>
        </xdr:from>
        <xdr:to>
          <xdr:col>36</xdr:col>
          <xdr:colOff>1895475</xdr:colOff>
          <xdr:row>21</xdr:row>
          <xdr:rowOff>28575</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0F00-000001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Sort Scenarios (skip first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16</xdr:row>
          <xdr:rowOff>47625</xdr:rowOff>
        </xdr:from>
        <xdr:to>
          <xdr:col>36</xdr:col>
          <xdr:colOff>1885950</xdr:colOff>
          <xdr:row>17</xdr:row>
          <xdr:rowOff>114300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0F00-000002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(9 to 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17</xdr:row>
          <xdr:rowOff>180975</xdr:rowOff>
        </xdr:from>
        <xdr:to>
          <xdr:col>36</xdr:col>
          <xdr:colOff>1885950</xdr:colOff>
          <xdr:row>19</xdr:row>
          <xdr:rowOff>47625</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0F00-000003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(Top # Efficient):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133350</xdr:colOff>
          <xdr:row>14</xdr:row>
          <xdr:rowOff>152400</xdr:rowOff>
        </xdr:from>
        <xdr:to>
          <xdr:col>36</xdr:col>
          <xdr:colOff>1885950</xdr:colOff>
          <xdr:row>15</xdr:row>
          <xdr:rowOff>200025</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00000000-0008-0000-0F00-000004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Scenarios to "x"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171450</xdr:colOff>
          <xdr:row>21</xdr:row>
          <xdr:rowOff>142875</xdr:rowOff>
        </xdr:from>
        <xdr:to>
          <xdr:col>36</xdr:col>
          <xdr:colOff>1914525</xdr:colOff>
          <xdr:row>22</xdr:row>
          <xdr:rowOff>200025</xdr:rowOff>
        </xdr:to>
        <xdr:sp macro="" textlink="">
          <xdr:nvSpPr>
            <xdr:cNvPr id="136197" name="Button 5" hidden="1">
              <a:extLst>
                <a:ext uri="{63B3BB69-23CF-44E3-9099-C40C66FF867C}">
                  <a14:compatExt spid="_x0000_s136197"/>
                </a:ext>
                <a:ext uri="{FF2B5EF4-FFF2-40B4-BE49-F238E27FC236}">
                  <a16:creationId xmlns:a16="http://schemas.microsoft.com/office/drawing/2014/main" id="{00000000-0008-0000-0F00-000005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Right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161925</xdr:colOff>
          <xdr:row>23</xdr:row>
          <xdr:rowOff>123825</xdr:rowOff>
        </xdr:from>
        <xdr:to>
          <xdr:col>36</xdr:col>
          <xdr:colOff>1895475</xdr:colOff>
          <xdr:row>24</xdr:row>
          <xdr:rowOff>171450</xdr:rowOff>
        </xdr:to>
        <xdr:sp macro="" textlink="">
          <xdr:nvSpPr>
            <xdr:cNvPr id="136198" name="Button 6" hidden="1">
              <a:extLst>
                <a:ext uri="{63B3BB69-23CF-44E3-9099-C40C66FF867C}">
                  <a14:compatExt spid="_x0000_s136198"/>
                </a:ext>
                <a:ext uri="{FF2B5EF4-FFF2-40B4-BE49-F238E27FC236}">
                  <a16:creationId xmlns:a16="http://schemas.microsoft.com/office/drawing/2014/main" id="{00000000-0008-0000-0F00-000006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Labels to Below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18</xdr:row>
          <xdr:rowOff>180975</xdr:rowOff>
        </xdr:from>
        <xdr:to>
          <xdr:col>56</xdr:col>
          <xdr:colOff>457200</xdr:colOff>
          <xdr:row>20</xdr:row>
          <xdr:rowOff>114300</xdr:rowOff>
        </xdr:to>
        <xdr:sp macro="" textlink="">
          <xdr:nvSpPr>
            <xdr:cNvPr id="136199" name="Button 7" hidden="1">
              <a:extLst>
                <a:ext uri="{63B3BB69-23CF-44E3-9099-C40C66FF867C}">
                  <a14:compatExt spid="_x0000_s136199"/>
                </a:ext>
                <a:ext uri="{FF2B5EF4-FFF2-40B4-BE49-F238E27FC236}">
                  <a16:creationId xmlns:a16="http://schemas.microsoft.com/office/drawing/2014/main" id="{00000000-0008-0000-0F00-000007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Set Chart to List of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304800</xdr:colOff>
          <xdr:row>16</xdr:row>
          <xdr:rowOff>180975</xdr:rowOff>
        </xdr:from>
        <xdr:to>
          <xdr:col>56</xdr:col>
          <xdr:colOff>485775</xdr:colOff>
          <xdr:row>18</xdr:row>
          <xdr:rowOff>114300</xdr:rowOff>
        </xdr:to>
        <xdr:sp macro="" textlink="">
          <xdr:nvSpPr>
            <xdr:cNvPr id="136200" name="Button 8" hidden="1">
              <a:extLst>
                <a:ext uri="{63B3BB69-23CF-44E3-9099-C40C66FF867C}">
                  <a14:compatExt spid="_x0000_s136200"/>
                </a:ext>
                <a:ext uri="{FF2B5EF4-FFF2-40B4-BE49-F238E27FC236}">
                  <a16:creationId xmlns:a16="http://schemas.microsoft.com/office/drawing/2014/main" id="{00000000-0008-0000-0F00-0000081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Reset Axis of Chart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246529</xdr:colOff>
      <xdr:row>3</xdr:row>
      <xdr:rowOff>11206</xdr:rowOff>
    </xdr:from>
    <xdr:to>
      <xdr:col>22</xdr:col>
      <xdr:colOff>605117</xdr:colOff>
      <xdr:row>20</xdr:row>
      <xdr:rowOff>179294</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123825</xdr:colOff>
      <xdr:row>2</xdr:row>
      <xdr:rowOff>95250</xdr:rowOff>
    </xdr:from>
    <xdr:to>
      <xdr:col>1</xdr:col>
      <xdr:colOff>1152525</xdr:colOff>
      <xdr:row>15</xdr:row>
      <xdr:rowOff>133350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16</xdr:row>
      <xdr:rowOff>85724</xdr:rowOff>
    </xdr:from>
    <xdr:to>
      <xdr:col>1</xdr:col>
      <xdr:colOff>1152525</xdr:colOff>
      <xdr:row>29</xdr:row>
      <xdr:rowOff>180974</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ve, Andy" refreshedDate="43187.926548263888" backgroundQuery="1" createdVersion="4" refreshedVersion="6" minRefreshableVersion="3" recordCount="0" supportSubquery="1" supportAdvancedDrill="1" xr:uid="{00000000-000A-0000-FFFF-FFFF1F000000}">
  <cacheSource type="external" connectionId="2"/>
  <cacheFields count="15">
    <cacheField name="[TIME].[Sales Month Full Name].[Sales Month Full Name]" caption="Sales Month Full Name" numFmtId="0" hierarchy="80" level="1">
      <sharedItems count="2">
        <s v="[TIME].[Sales Month Full Name].&amp;[201802]" c="Feb-18"/>
        <s v="[TIME].[Sales Month Full Name].&amp;[201803]" c="Mar-18"/>
      </sharedItems>
    </cacheField>
    <cacheField name="[Model].[Car Or Truck].[Car Or Truck]" caption="Car Or Truck" numFmtId="0" hierarchy="35" level="1">
      <sharedItems containsSemiMixedTypes="0" containsString="0"/>
    </cacheField>
    <cacheField name="[Type of Sale].[Type of Sale].[Type of Sale]" caption="Type of Sale" numFmtId="0" hierarchy="88" level="1">
      <sharedItems containsSemiMixedTypes="0" containsString="0"/>
    </cacheField>
    <cacheField name="[Segmentation].[PIN Segment].[PIN Segment]" caption="PIN Segment" numFmtId="0" hierarchy="70" level="1">
      <sharedItems containsSemiMixedTypes="0" containsString="0"/>
    </cacheField>
    <cacheField name="[Model].[Model].[Model]" caption="Model" numFmtId="0" hierarchy="38" level="1">
      <sharedItems containsSemiMixedTypes="0" containsString="0"/>
    </cacheField>
    <cacheField name="[Model].[OEM].[OEM]" caption="OEM" numFmtId="0" hierarchy="39" level="1">
      <sharedItems containsSemiMixedTypes="0" containsString="0"/>
    </cacheField>
    <cacheField name="[Model].[Make].[Make]" caption="Make" numFmtId="0" hierarchy="37" level="1">
      <sharedItems count="1">
        <s v="[Model].[Make].&amp;[Nissan]" c="Nissan"/>
      </sharedItems>
    </cacheField>
    <cacheField name="[Model].[Series].[Series]" caption="Series" numFmtId="0" hierarchy="43" level="1">
      <sharedItems containsSemiMixedTypes="0" containsString="0"/>
    </cacheField>
    <cacheField name="[TIME].[Sales Month Of Year].[Sales Month Of Year]" caption="Sales Month Of Year" numFmtId="0" hierarchy="82" level="1">
      <sharedItems containsSemiMixedTypes="0" containsString="0"/>
    </cacheField>
    <cacheField name="[Model].[Premium Hierarchy].[Premium Ind]" caption="Premium Ind" numFmtId="0" hierarchy="41" level="1">
      <sharedItems containsSemiMixedTypes="0" containsString="0"/>
    </cacheField>
    <cacheField name="[Model].[Premium Hierarchy].[Make]" caption="Make" numFmtId="0" hierarchy="41" level="2">
      <sharedItems containsSemiMixedTypes="0" containsString="0"/>
    </cacheField>
    <cacheField name="[Model Year].[Model Year].[Model Year]" caption="Model Year" numFmtId="0" hierarchy="44" level="1">
      <sharedItems count="1">
        <s v="[Model Year].[Model Year].&amp;[2018]" c="2018"/>
      </sharedItems>
    </cacheField>
    <cacheField name="[Customer Regions].[Nissan Region].[Nissan Region]" caption="Nissan Region" numFmtId="0" hierarchy="18" level="1">
      <sharedItems count="8">
        <s v="[Customer Regions].[Nissan Region].&amp;[Central]" c="Central"/>
        <s v="[Customer Regions].[Nissan Region].&amp;[Mid-Atlantic]" c="Mid-Atlantic"/>
        <s v="[Customer Regions].[Nissan Region].&amp;[Midwest]" c="Midwest"/>
        <s v="[Customer Regions].[Nissan Region].&amp;[Mountain]" c="Mountain"/>
        <s v="[Customer Regions].[Nissan Region].&amp;[Northeast]" c="Northeast"/>
        <s v="[Customer Regions].[Nissan Region].&amp;[Northwest]" c="Northwest"/>
        <s v="[Customer Regions].[Nissan Region].&amp;[Southeast]" c="Southeast"/>
        <s v="[Customer Regions].[Nissan Region].&amp;[West]" c="West"/>
      </sharedItems>
    </cacheField>
    <cacheField name="[Measures].[Estimated Retail Sales]" caption="Estimated Retail Sales" numFmtId="0" hierarchy="131" level="32767"/>
    <cacheField name="[TIME].[Sales Year].[Sales Year]" caption="Sales Year" numFmtId="0" hierarchy="84" level="1">
      <sharedItems containsSemiMixedTypes="0" containsString="0"/>
    </cacheField>
  </cacheFields>
  <cacheHierarchies count="406">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0" unbalanced="0"/>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0" unbalanced="0"/>
    <cacheHierarchy uniqueName="[Customer Regions].[GM Region]" caption="GM Region" attribute="1" defaultMemberUniqueName="[Customer Regions].[GM Region].[All]" allUniqueName="[Customer Regions].[GM Region].[All]" dimensionUniqueName="[Customer Regions]" displayFolder="" count="0" unbalanced="0"/>
    <cacheHierarchy uniqueName="[Customer Regions].[Honda Region]" caption="Honda Region" attribute="1" defaultMemberUniqueName="[Customer Regions].[Honda Region].[All]" allUniqueName="[Customer Regions].[Honda Region].[All]" dimensionUniqueName="[Customer Regions]" displayFolder="" count="0" unbalanced="0"/>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Lexus Region]" caption="Lexus Region" attribute="1" defaultMemberUniqueName="[Customer Regions].[Lexus Region].[All]" allUniqueName="[Customer Regions].[Lexus Region].[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12"/>
      </fieldsUsage>
    </cacheHierarchy>
    <cacheHierarchy uniqueName="[Customer Regions].[PIN Region]" caption="PIN Region" attribute="1" defaultMemberUniqueName="[Customer Regions].[PIN Region].[All]" allUniqueName="[Customer Regions].[PIN Region].[All]" dimensionUniqueName="[Customer Regions]" displayFolder="" count="0" unbalanced="0"/>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0" unbalanced="0"/>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0" unbalanced="0"/>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0" unbalanced="0"/>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2" unbalanced="0">
      <fieldsUsage count="2">
        <fieldUsage x="-1"/>
        <fieldUsage x="1"/>
      </fieldsUsage>
    </cacheHierarchy>
    <cacheHierarchy uniqueName="[Model].[Car_Truck Hierarchy]" caption="Car_Truck Hierarchy" defaultMemberUniqueName="[Model].[Car_Truck Hierarchy].[All]" allUniqueName="[Model].[Car_Truck Hierarchy].[All]" dimensionUniqueName="[Model]" displayFolder="" count="3" unbalanced="0"/>
    <cacheHierarchy uniqueName="[Model].[Make]" caption="Make" attribute="1" defaultMemberUniqueName="[Model].[Make].[All]" allUniqueName="[Model].[Make].[All]" dimensionUniqueName="[Model]" displayFolder="" count="2" unbalanced="0">
      <fieldsUsage count="2">
        <fieldUsage x="-1"/>
        <fieldUsage x="6"/>
      </fieldsUsage>
    </cacheHierarchy>
    <cacheHierarchy uniqueName="[Model].[Model]" caption="Model" attribute="1" defaultMemberUniqueName="[Model].[Model].[All]" allUniqueName="[Model].[Model].[All]" dimensionUniqueName="[Model]" displayFolder="" count="2" unbalanced="0">
      <fieldsUsage count="2">
        <fieldUsage x="-1"/>
        <fieldUsage x="4"/>
      </fieldsUsage>
    </cacheHierarchy>
    <cacheHierarchy uniqueName="[Model].[OEM]" caption="OEM" attribute="1" defaultMemberUniqueName="[Model].[OEM].[All]" allUniqueName="[Model].[OEM].[All]" dimensionUniqueName="[Model]" displayFolder="" count="2" unbalanced="0">
      <fieldsUsage count="2">
        <fieldUsage x="-1"/>
        <fieldUsage x="5"/>
      </fieldsUsage>
    </cacheHierarchy>
    <cacheHierarchy uniqueName="[Model].[OEM Hierarchy]" caption="OEM Hierarchy" defaultMemberUniqueName="[Model].[OEM Hierarchy].[All]" allUniqueName="[Model].[OEM Hierarchy].[All]" dimensionUniqueName="[Model]" displayFolder="" count="5" unbalanced="0"/>
    <cacheHierarchy uniqueName="[Model].[Premium Hierarchy]" caption="Premium Hierarchy" defaultMemberUniqueName="[Model].[Premium Hierarchy].[All]" allUniqueName="[Model].[Premium Hierarchy].[All]" dimensionUniqueName="[Model]" displayFolder="" count="3" unbalanced="0">
      <fieldsUsage count="3">
        <fieldUsage x="-1"/>
        <fieldUsage x="9"/>
        <fieldUsage x="10"/>
      </fieldsUsage>
    </cacheHierarchy>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7"/>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11"/>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3"/>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0" unbalanced="0"/>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2" unbalanced="0">
      <fieldsUsage count="2">
        <fieldUsage x="-1"/>
        <fieldUsage x="0"/>
      </fieldsUsage>
    </cacheHierarchy>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8"/>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14"/>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0" unbalanced="0"/>
    <cacheHierarchy uniqueName="[Type of Sale].[Type of Sale]" caption="Type of Sale" attribute="1" defaultMemberUniqueName="[Type of Sale].[Type of Sale].[All]" allUniqueName="[Type of Sale].[Type of Sale].[All]" dimensionUniqueName="[Type of Sale]" displayFolder="" count="2" unbalanced="0">
      <fieldsUsage count="2">
        <fieldUsage x="-1"/>
        <fieldUsage x="2"/>
      </fieldsUsage>
    </cacheHierarchy>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Month]" caption="Sales Month" attribute="1" defaultMemberUniqueName="[TIME].[Sales Month].[All]" allUniqueName="[TIME].[Sales 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oneField="1">
      <fieldsUsage count="1">
        <fieldUsage x="13"/>
      </fieldsUsage>
    </cacheHierarchy>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Expenditure]" caption="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ily Sales Rate]" caption="Daily Sales Rate" measure="1" displayFolder="" measureGroup="Wards Days Supply" count="0"/>
    <cacheHierarchy uniqueName="[Measures].[Month End Supply]" caption="Month End Supply" measure="1" displayFolder="" measureGroup="Wards Days Supply"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Sales - V18 S5]" caption="Sales - V18 S5" measure="1" displayFolder="" measureGroup="Pseudo New V18 S5" count="0" hidden="1"/>
    <cacheHierarchy uniqueName="[Measures].[Pseudo New Sales - V18 S5]" caption="Pseudo New Sales - V18 S5" measure="1" displayFolder="" measureGroup="Pseudo New V18 S5" count="0" hidden="1"/>
    <cacheHierarchy uniqueName="[Measures].[Retail Sales - V18 S5]" caption="Retail Sales - V18 S5" measure="1" displayFolder="" measureGroup="Pseudo New V18 S5" count="0" hidden="1"/>
    <cacheHierarchy uniqueName="[Measures].[CTP Sales - V18 S5]" caption="CTP Sales - V18 S5" measure="1" displayFolder="" measureGroup="Pseudo New V18 S5" count="0" hidden="1"/>
    <cacheHierarchy uniqueName="[Measures].[Test Run - V18 S5]" caption="Test Run - V18 S5" measure="1" displayFolder="" measureGroup="Pseudo New V18 S5"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S5" caption="Pseudo New V18 S5"/>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nnes, David" refreshedDate="43270.448205671295" backgroundQuery="1" createdVersion="4" refreshedVersion="6" minRefreshableVersion="3" recordCount="0" supportSubquery="1" supportAdvancedDrill="1" xr:uid="{00000000-000A-0000-FFFF-FFFF20000000}">
  <cacheSource type="external" connectionId="1"/>
  <cacheFields count="28">
    <cacheField name="[Model].[Series].[Series]" caption="Series" numFmtId="0" hierarchy="47" level="1">
      <sharedItems containsSemiMixedTypes="0" containsString="0"/>
    </cacheField>
    <cacheField name="[Model].[Model].[Model]" caption="Model" numFmtId="0" hierarchy="42" level="1">
      <sharedItems containsSemiMixedTypes="0" containsString="0"/>
    </cacheField>
    <cacheField name="[Segmentation].[PIN Segment].[PIN Segment]" caption="PIN Segment" numFmtId="0" hierarchy="74" level="1">
      <sharedItems containsSemiMixedTypes="0" containsString="0"/>
    </cacheField>
    <cacheField name="[Measures].[IncentiveSpending by Cash]" caption="IncentiveSpending by Cash" numFmtId="0" hierarchy="207" level="32767"/>
    <cacheField name="[Measures].[IncentiveSpending by Finance]" caption="IncentiveSpending by Finance" numFmtId="0" hierarchy="210" level="32767"/>
    <cacheField name="[Measures].[IncentiveSpending by Lease]" caption="IncentiveSpending by Lease" numFmtId="0" hierarchy="213" level="32767"/>
    <cacheField name="[Model Year].[Model Year].[Model Year]" caption="Model Year" numFmtId="0" hierarchy="48" level="1">
      <sharedItems count="4">
        <s v="[Model Year].[Model Year].&amp;[2015]" c="2015"/>
        <s v="[Model Year].[Model Year].&amp;[2016]" c="2016"/>
        <s v="[Model Year].[Model Year].&amp;[2017]" c="2017"/>
        <s v="[Model Year].[Model Year].&amp;[2018]" c="2018"/>
      </sharedItems>
    </cacheField>
    <cacheField name="[Customer Regions].[Ford Region].[Ford Region]" caption="Ford Region" numFmtId="0" hierarchy="9" level="1">
      <sharedItems containsSemiMixedTypes="0" containsString="0"/>
    </cacheField>
    <cacheField name="[TIME].[Sales Year].[Sales Year]" caption="Sales Year" numFmtId="0" hierarchy="89" level="1">
      <sharedItems count="3">
        <s v="[TIME].[Sales Year].&amp;[2016]" c="2016"/>
        <s v="[TIME].[Sales Year].&amp;[2017]" c="2017"/>
        <s v="[TIME].[Sales Year].&amp;[2018]" c="2018"/>
      </sharedItems>
    </cacheField>
    <cacheField name="[Measures].[IncentiveMix by Cash]" caption="IncentiveMix by Cash" numFmtId="0" hierarchy="195" level="32767"/>
    <cacheField name="[Measures].[IncentiveMix by Finance]" caption="IncentiveMix by Finance" numFmtId="0" hierarchy="198" level="32767"/>
    <cacheField name="[Measures].[IncentiveMix by Lease]" caption="IncentiveMix by Lease" numFmtId="0" hierarchy="201" level="32767"/>
    <cacheField name="[Measures].[ALG36]" caption="ALG36" numFmtId="0" hierarchy="222" level="32767"/>
    <cacheField name="[Measures].[MSRP]" caption="MSRP" numFmtId="0" hierarchy="233" level="32767"/>
    <cacheField name="[TrimLevel].[Trim].[Trim]" caption="Trim" numFmtId="0" hierarchy="92" level="1">
      <sharedItems containsSemiMixedTypes="0" containsString="0"/>
    </cacheField>
    <cacheField name="[TIME].[Calendar Year].[Calendar Year]" caption="Calendar Year" numFmtId="0" hierarchy="80" level="1">
      <sharedItems containsSemiMixedTypes="0" containsString="0"/>
    </cacheField>
    <cacheField name="[TIME].[Sales Month Of Year].[Sales Month Of Year]" caption="Sales Month Of Year" numFmtId="0" hierarchy="87" level="1">
      <sharedItems count="12">
        <s v="[TIME].[Sales Month Of Year].&amp;[01]" c="01"/>
        <s v="[TIME].[Sales Month Of Year].&amp;[02]" c="02"/>
        <s v="[TIME].[Sales Month Of Year].&amp;[03]" c="03"/>
        <s v="[TIME].[Sales Month Of Year].&amp;[04]" c="04"/>
        <s v="[TIME].[Sales Month Of Year].&amp;[05]" c="05"/>
        <s v="[TIME].[Sales Month Of Year].&amp;[06]" c="06"/>
        <s v="[TIME].[Sales Month Of Year].&amp;[07]" c="07"/>
        <s v="[TIME].[Sales Month Of Year].&amp;[08]" c="08"/>
        <s v="[TIME].[Sales Month Of Year].&amp;[09]" c="09"/>
        <s v="[TIME].[Sales Month Of Year].&amp;[10]" c="10"/>
        <s v="[TIME].[Sales Month Of Year].&amp;[11]" c="11"/>
        <s v="[TIME].[Sales Month Of Year].&amp;[12]" c="12"/>
      </sharedItems>
    </cacheField>
    <cacheField name="[Measures].[ISR Wtd Cts]" caption="ISR Wtd Cts" numFmtId="0" hierarchy="132" level="32767"/>
    <cacheField name="[Customer Regions].[Toyota Region].[Toyota Region]" caption="Toyota Region" numFmtId="0" hierarchy="26" level="1">
      <sharedItems containsSemiMixedTypes="0" containsString="0"/>
    </cacheField>
    <cacheField name="[Customer Regions].[PIN Region].[PIN Region]" caption="PIN Region" numFmtId="0" hierarchy="23" level="1">
      <sharedItems containsSemiMixedTypes="0" containsString="0"/>
    </cacheField>
    <cacheField name="[Customer Regions].[Nissan Region].[Nissan Region]" caption="Nissan Region" numFmtId="0" hierarchy="21" level="1">
      <sharedItems containsSemiMixedTypes="0" containsString="0"/>
    </cacheField>
    <cacheField name="[Customer Regions].[Lexus Region].[Lexus Region]" caption="Lexus Region" numFmtId="0" hierarchy="16" level="1">
      <sharedItems containsSemiMixedTypes="0" containsString="0"/>
    </cacheField>
    <cacheField name="[Customer Regions].[Honda Region].[Honda Region]" caption="Honda Region" numFmtId="0" hierarchy="11" level="1">
      <sharedItems containsSemiMixedTypes="0" containsString="0"/>
    </cacheField>
    <cacheField name="[Customer Regions].[FCA Region].[FCA Region]" caption="FCA Region" numFmtId="0" hierarchy="7" level="1">
      <sharedItems containsSemiMixedTypes="0" containsString="0"/>
    </cacheField>
    <cacheField name="[Customer Regions].[GM Region].[GM Region]" caption="GM Region" numFmtId="0" hierarchy="10" level="1">
      <sharedItems containsSemiMixedTypes="0" containsString="0"/>
    </cacheField>
    <cacheField name="[Fuel Type].[Fuel Type].[Fuel Type]" caption="Fuel Type" numFmtId="0" hierarchy="33" level="1">
      <sharedItems containsSemiMixedTypes="0" containsString="0"/>
    </cacheField>
    <cacheField name="[Drive Type].[Drive Type ID].[Drive Type ID]" caption="Drive Type ID" numFmtId="0" hierarchy="31" level="1">
      <sharedItems containsSemiMixedTypes="0" containsString="0"/>
    </cacheField>
    <cacheField name="[Customer Regions].[Kia2 Region].[Kia2 Region]" caption="Kia2 Region" numFmtId="0" hierarchy="15" level="1">
      <sharedItems containsSemiMixedTypes="0" containsString="0"/>
    </cacheField>
  </cacheFields>
  <cacheHierarchies count="415">
    <cacheHierarchy uniqueName="[Age Group].[Age Group]" caption="Age Group" attribute="1" defaultMemberUniqueName="[Age Group].[Age Group].[All]" allUniqueName="[Age Group].[Age Group].[All]" dimensionUniqueName="[Age Group]" displayFolder="" count="0" unbalanced="0"/>
    <cacheHierarchy uniqueName="[Body Type].[Body Type]" caption="Body Type" attribute="1" keyAttribute="1" defaultMemberUniqueName="[Body Type].[Body Type].[All]" allUniqueName="[Body Type].[Body Type].[All]" dimensionUniqueName="[Body Type]" displayFolder="" count="0" unbalanced="0"/>
    <cacheHierarchy uniqueName="[BodyType2].[BodyType2]" caption="BodyType2" attribute="1" keyAttribute="1" defaultMemberUniqueName="[BodyType2].[BodyType2].[All]" allUniqueName="[BodyType2].[BodyType2].[All]" dimensionUniqueName="[BodyType2]" displayFolder="" count="0" unbalanced="0"/>
    <cacheHierarchy uniqueName="[Customer Regions].[Acura District]" caption="Acura District" attribute="1" defaultMemberUniqueName="[Customer Regions].[Acura District].[All]" allUniqueName="[Customer Regions].[Acura District].[All]" dimensionUniqueName="[Customer Regions]" displayFolder="" count="0" unbalanced="0"/>
    <cacheHierarchy uniqueName="[Customer Regions].[Acura Region]" caption="Acura Region" attribute="1" defaultMemberUniqueName="[Customer Regions].[Acura Region].[All]" allUniqueName="[Customer Regions].[Acura Region].[All]" dimensionUniqueName="[Customer Regions]" displayFolder="" count="0" unbalanced="0"/>
    <cacheHierarchy uniqueName="[Customer Regions].[BMW Market]" caption="BMW Market" attribute="1" defaultMemberUniqueName="[Customer Regions].[BMW Market].[All]" allUniqueName="[Customer Regions].[BMW Market].[All]" dimensionUniqueName="[Customer Regions]" displayFolder="" count="0" unbalanced="0"/>
    <cacheHierarchy uniqueName="[Customer Regions].[BMW Region]" caption="BMW Region" attribute="1" defaultMemberUniqueName="[Customer Regions].[BMW Region].[All]" allUniqueName="[Customer Regions].[BMW Region].[All]" dimensionUniqueName="[Customer Regions]" displayFolder="" count="0" unbalanced="0"/>
    <cacheHierarchy uniqueName="[Customer Regions].[FCA Region]" caption="FCA Region" attribute="1" defaultMemberUniqueName="[Customer Regions].[FCA Region].[All]" allUniqueName="[Customer Regions].[FCA Region].[All]" dimensionUniqueName="[Customer Regions]" displayFolder="" count="2" unbalanced="0">
      <fieldsUsage count="2">
        <fieldUsage x="-1"/>
        <fieldUsage x="23"/>
      </fieldsUsage>
    </cacheHierarchy>
    <cacheHierarchy uniqueName="[Customer Regions].[Ford Market Name]" caption="Ford Market Name" attribute="1" defaultMemberUniqueName="[Customer Regions].[Ford Market Name].[All]" allUniqueName="[Customer Regions].[Ford Market Name].[All]" dimensionUniqueName="[Customer Regions]" displayFolder="" count="0" unbalanced="0"/>
    <cacheHierarchy uniqueName="[Customer Regions].[Ford Region]" caption="Ford Region" attribute="1" defaultMemberUniqueName="[Customer Regions].[Ford Region].[All]" allUniqueName="[Customer Regions].[Ford Region].[All]" dimensionUniqueName="[Customer Regions]" displayFolder="" count="2" unbalanced="0">
      <fieldsUsage count="2">
        <fieldUsage x="-1"/>
        <fieldUsage x="7"/>
      </fieldsUsage>
    </cacheHierarchy>
    <cacheHierarchy uniqueName="[Customer Regions].[GM Region]" caption="GM Region" attribute="1" defaultMemberUniqueName="[Customer Regions].[GM Region].[All]" allUniqueName="[Customer Regions].[GM Region].[All]" dimensionUniqueName="[Customer Regions]" displayFolder="" count="2" unbalanced="0">
      <fieldsUsage count="2">
        <fieldUsage x="-1"/>
        <fieldUsage x="24"/>
      </fieldsUsage>
    </cacheHierarchy>
    <cacheHierarchy uniqueName="[Customer Regions].[Honda Region]" caption="Honda Region" attribute="1" defaultMemberUniqueName="[Customer Regions].[Honda Region].[All]" allUniqueName="[Customer Regions].[Honda Region].[All]" dimensionUniqueName="[Customer Regions]" displayFolder="" count="2" unbalanced="0">
      <fieldsUsage count="2">
        <fieldUsage x="-1"/>
        <fieldUsage x="22"/>
      </fieldsUsage>
    </cacheHierarchy>
    <cacheHierarchy uniqueName="[Customer Regions].[Hyundai Region]" caption="Hyundai Region" attribute="1" defaultMemberUniqueName="[Customer Regions].[Hyundai Region].[All]" allUniqueName="[Customer Regions].[Hyundai Region].[All]" dimensionUniqueName="[Customer Regions]" displayFolder="" count="0" unbalanced="0"/>
    <cacheHierarchy uniqueName="[Customer Regions].[Infiniti Region]" caption="Infiniti Region" attribute="1" defaultMemberUniqueName="[Customer Regions].[Infiniti Region].[All]" allUniqueName="[Customer Regions].[Infiniti Region].[All]" dimensionUniqueName="[Customer Regions]" displayFolder="" count="0" unbalanced="0"/>
    <cacheHierarchy uniqueName="[Customer Regions].[Kia Region]" caption="Kia Region" attribute="1" defaultMemberUniqueName="[Customer Regions].[Kia Region].[All]" allUniqueName="[Customer Regions].[Kia Region].[All]" dimensionUniqueName="[Customer Regions]" displayFolder="" count="0" unbalanced="0"/>
    <cacheHierarchy uniqueName="[Customer Regions].[Kia2 Region]" caption="Kia2 Region" attribute="1" defaultMemberUniqueName="[Customer Regions].[Kia2 Region].[All]" allUniqueName="[Customer Regions].[Kia2 Region].[All]" dimensionUniqueName="[Customer Regions]" displayFolder="" count="2" unbalanced="0">
      <fieldsUsage count="2">
        <fieldUsage x="-1"/>
        <fieldUsage x="27"/>
      </fieldsUsage>
    </cacheHierarchy>
    <cacheHierarchy uniqueName="[Customer Regions].[Lexus Region]" caption="Lexus Region" attribute="1" defaultMemberUniqueName="[Customer Regions].[Lexus Region].[All]" allUniqueName="[Customer Regions].[Lexus Region].[All]" dimensionUniqueName="[Customer Regions]" displayFolder="" count="2" unbalanced="0">
      <fieldsUsage count="2">
        <fieldUsage x="-1"/>
        <fieldUsage x="21"/>
      </fieldsUsage>
    </cacheHierarchy>
    <cacheHierarchy uniqueName="[Customer Regions].[Mazda Market]" caption="Mazda Market" attribute="1" defaultMemberUniqueName="[Customer Regions].[Mazda Market].[All]" allUniqueName="[Customer Regions].[Mazda Market].[All]" dimensionUniqueName="[Customer Regions]" displayFolder="" count="0" unbalanced="0"/>
    <cacheHierarchy uniqueName="[Customer Regions].[Mazda Region]" caption="Mazda Region" attribute="1" defaultMemberUniqueName="[Customer Regions].[Mazda Region].[All]" allUniqueName="[Customer Regions].[Mazda Region].[All]" dimensionUniqueName="[Customer Regions]" displayFolder="" count="0" unbalanced="0"/>
    <cacheHierarchy uniqueName="[Customer Regions].[Nielsen DMA]" caption="Nielsen DMA" attribute="1" defaultMemberUniqueName="[Customer Regions].[Nielsen DMA].[All]" allUniqueName="[Customer Regions].[Nielsen DMA].[All]" dimensionUniqueName="[Customer Regions]" displayFolder="" count="0" unbalanced="0"/>
    <cacheHierarchy uniqueName="[Customer Regions].[Nielsen Dma ID]" caption="Nielsen Dma ID" attribute="1" keyAttribute="1" defaultMemberUniqueName="[Customer Regions].[Nielsen Dma ID].[All]" allUniqueName="[Customer Regions].[Nielsen Dma ID].[All]" dimensionUniqueName="[Customer Regions]" displayFolder="" count="0" unbalanced="0"/>
    <cacheHierarchy uniqueName="[Customer Regions].[Nissan Region]" caption="Nissan Region" attribute="1" defaultMemberUniqueName="[Customer Regions].[Nissan Region].[All]" allUniqueName="[Customer Regions].[Nissan Region].[All]" dimensionUniqueName="[Customer Regions]" displayFolder="" count="2" unbalanced="0">
      <fieldsUsage count="2">
        <fieldUsage x="-1"/>
        <fieldUsage x="20"/>
      </fieldsUsage>
    </cacheHierarchy>
    <cacheHierarchy uniqueName="[Customer Regions].[PIN Market]" caption="PIN Market" attribute="1" defaultMemberUniqueName="[Customer Regions].[PIN Market].[All]" allUniqueName="[Customer Regions].[PIN Market].[All]" dimensionUniqueName="[Customer Regions]" displayFolder="" count="0" unbalanced="0"/>
    <cacheHierarchy uniqueName="[Customer Regions].[PIN Region]" caption="PIN Region" attribute="1" defaultMemberUniqueName="[Customer Regions].[PIN Region].[All]" allUniqueName="[Customer Regions].[PIN Region].[All]" dimensionUniqueName="[Customer Regions]" displayFolder="" count="2" unbalanced="0">
      <fieldsUsage count="2">
        <fieldUsage x="-1"/>
        <fieldUsage x="19"/>
      </fieldsUsage>
    </cacheHierarchy>
    <cacheHierarchy uniqueName="[Customer Regions].[State Name]" caption="State Name" attribute="1" defaultMemberUniqueName="[Customer Regions].[State Name].[All]" allUniqueName="[Customer Regions].[State Name].[All]" dimensionUniqueName="[Customer Regions]" displayFolder="" count="0" unbalanced="0"/>
    <cacheHierarchy uniqueName="[Customer Regions].[Subaru Region]" caption="Subaru Region" attribute="1" defaultMemberUniqueName="[Customer Regions].[Subaru Region].[All]" allUniqueName="[Customer Regions].[Subaru Region].[All]" dimensionUniqueName="[Customer Regions]" displayFolder="" count="0" unbalanced="0"/>
    <cacheHierarchy uniqueName="[Customer Regions].[Toyota Region]" caption="Toyota Region" attribute="1" defaultMemberUniqueName="[Customer Regions].[Toyota Region].[All]" allUniqueName="[Customer Regions].[Toyota Region].[All]" dimensionUniqueName="[Customer Regions]" displayFolder="" count="2" unbalanced="0">
      <fieldsUsage count="2">
        <fieldUsage x="-1"/>
        <fieldUsage x="18"/>
      </fieldsUsage>
    </cacheHierarchy>
    <cacheHierarchy uniqueName="[Customer Regions].[VW Region]" caption="VW Region" attribute="1" defaultMemberUniqueName="[Customer Regions].[VW Region].[All]" allUniqueName="[Customer Regions].[VW Region].[All]" dimensionUniqueName="[Customer Regions]" displayFolder="" count="0" unbalanced="0"/>
    <cacheHierarchy uniqueName="[Cylinder].[Cylinder]" caption="Cylinder" attribute="1" keyAttribute="1" defaultMemberUniqueName="[Cylinder].[Cylinder].[All]" allUniqueName="[Cylinder].[Cylinder].[All]" dimensionUniqueName="[Cylinder]" displayFolder="" count="0" unbalanced="0"/>
    <cacheHierarchy uniqueName="[Demo Flag].[Demo Flag]" caption="Demo Flag" attribute="1" keyAttribute="1" defaultMemberUniqueName="[Demo Flag].[Demo Flag].[All]" allUniqueName="[Demo Flag].[Demo Flag].[All]" dimensionUniqueName="[Demo Flag]" displayFolder="" count="0" unbalanced="0"/>
    <cacheHierarchy uniqueName="[Door Type].[Door Type]" caption="Door Type" attribute="1" keyAttribute="1" defaultMemberUniqueName="[Door Type].[Door Type].[All]" allUniqueName="[Door Type].[Door Type].[All]" dimensionUniqueName="[Door Type]" displayFolder="" count="0" unbalanced="0"/>
    <cacheHierarchy uniqueName="[Drive Type].[Drive Type ID]" caption="Drive Type ID" attribute="1" keyAttribute="1" defaultMemberUniqueName="[Drive Type].[Drive Type ID].[All]" allUniqueName="[Drive Type].[Drive Type ID].[All]" dimensionUniqueName="[Drive Type]" displayFolder="" count="2" unbalanced="0">
      <fieldsUsage count="2">
        <fieldUsage x="-1"/>
        <fieldUsage x="26"/>
      </fieldsUsage>
    </cacheHierarchy>
    <cacheHierarchy uniqueName="[FLAG Ln C].[FLAG Ln C]" caption="FLAG Ln C" attribute="1" keyAttribute="1" defaultMemberUniqueName="[FLAG Ln C].[FLAG Ln C].[All]" allUniqueName="[FLAG Ln C].[FLAG Ln C].[All]" dimensionUniqueName="[FLAG Ln C]" displayFolder="" count="0" unbalanced="0"/>
    <cacheHierarchy uniqueName="[Fuel Type].[Fuel Type]" caption="Fuel Type" attribute="1" keyAttribute="1" defaultMemberUniqueName="[Fuel Type].[Fuel Type].[All]" allUniqueName="[Fuel Type].[Fuel Type].[All]" dimensionUniqueName="[Fuel Type]" displayFolder="" count="2" unbalanced="0">
      <fieldsUsage count="2">
        <fieldUsage x="-1"/>
        <fieldUsage x="25"/>
      </fieldsUsage>
    </cacheHierarchy>
    <cacheHierarchy uniqueName="[Gender].[Gender]" caption="Gender" attribute="1" defaultMemberUniqueName="[Gender].[Gender].[All]" allUniqueName="[Gender].[Gender].[All]" dimensionUniqueName="[Gender]" displayFolder="" count="0" unbalanced="0"/>
    <cacheHierarchy uniqueName="[Generation].[Generation]" caption="Generation" attribute="1" defaultMemberUniqueName="[Generation].[Generation].[All]" allUniqueName="[Generation].[Generation].[All]" dimensionUniqueName="[Generation]" displayFolder="" count="0" unbalanced="0"/>
    <cacheHierarchy uniqueName="[Incentive Type].[Incentive Type]" caption="Incentive Type" attribute="1" defaultMemberUniqueName="[Incentive Type].[Incentive Type].[All]" allUniqueName="[Incentive Type].[Incentive Type].[All]" dimensionUniqueName="[Incentive Type]" displayFolder="" count="0" unbalanced="0"/>
    <cacheHierarchy uniqueName="[Mkt Timer Sale Type].[Sale Type]" caption="Sale Type" attribute="1" defaultMemberUniqueName="[Mkt Timer Sale Type].[Sale Type].[All]" allUniqueName="[Mkt Timer Sale Type].[Sale Type].[All]" dimensionUniqueName="[Mkt Timer Sale Type]" displayFolder="" count="0" unbalanced="0"/>
    <cacheHierarchy uniqueName="[Mkt Timer Term Group].[Term Group]" caption="Term Group" attribute="1" defaultMemberUniqueName="[Mkt Timer Term Group].[Term Group].[All]" allUniqueName="[Mkt Timer Term Group].[Term Group].[All]" dimensionUniqueName="[Mkt Timer Term Group]" displayFolder="" count="0" unbalanced="0"/>
    <cacheHierarchy uniqueName="[Model].[Car Or Truck]" caption="Car Or Truck" attribute="1" defaultMemberUniqueName="[Model].[Car Or Truck].[All]" allUniqueName="[Model].[Car Or Truck].[All]" dimensionUniqueName="[Model]" displayFolder="" count="0" unbalanced="0"/>
    <cacheHierarchy uniqueName="[Model].[Car_Truck Hierarchy]" caption="Car_Truck Hierarchy" defaultMemberUniqueName="[Model].[Car_Truck Hierarchy].[All]" allUniqueName="[Model].[Car_Truck Hierarchy].[All]" dimensionUniqueName="[Model]" displayFolder="" count="0" unbalanced="0"/>
    <cacheHierarchy uniqueName="[Model].[Make]" caption="Make" attribute="1" defaultMemberUniqueName="[Model].[Make].[All]" allUniqueName="[Model].[Make].[All]" dimensionUniqueName="[Model]" displayFolder="" count="0" unbalanced="0"/>
    <cacheHierarchy uniqueName="[Model].[Model]" caption="Model" attribute="1" defaultMemberUniqueName="[Model].[Model].[All]" allUniqueName="[Model].[Model].[All]" dimensionUniqueName="[Model]" displayFolder="" count="2" unbalanced="0">
      <fieldsUsage count="2">
        <fieldUsage x="-1"/>
        <fieldUsage x="1"/>
      </fieldsUsage>
    </cacheHierarchy>
    <cacheHierarchy uniqueName="[Model].[OEM]" caption="OEM" attribute="1" defaultMemberUniqueName="[Model].[OEM].[All]" allUniqueName="[Model].[OEM].[All]" dimensionUniqueName="[Model]" displayFolder="" count="0" unbalanced="0"/>
    <cacheHierarchy uniqueName="[Model].[OEM Hierarchy]" caption="OEM Hierarchy" defaultMemberUniqueName="[Model].[OEM Hierarchy].[All]" allUniqueName="[Model].[OEM Hierarchy].[All]" dimensionUniqueName="[Model]" displayFolder="" count="0" unbalanced="0"/>
    <cacheHierarchy uniqueName="[Model].[Premium Hierarchy]" caption="Premium Hierarchy" defaultMemberUniqueName="[Model].[Premium Hierarchy].[All]" allUniqueName="[Model].[Premium Hierarchy].[All]" dimensionUniqueName="[Model]" displayFolder="" count="0" unbalanced="0"/>
    <cacheHierarchy uniqueName="[Model].[Premium Ind]" caption="Premium Ind" attribute="1" defaultMemberUniqueName="[Model].[Premium Ind].[All]" allUniqueName="[Model].[Premium Ind].[All]" dimensionUniqueName="[Model]" displayFolder="" count="0" unbalanced="0"/>
    <cacheHierarchy uniqueName="[Model].[Series]" caption="Series" attribute="1" defaultMemberUniqueName="[Model].[Series].[All]" allUniqueName="[Model].[Series].[All]" dimensionUniqueName="[Model]" displayFolder="" count="2" unbalanced="0">
      <fieldsUsage count="2">
        <fieldUsage x="-1"/>
        <fieldUsage x="0"/>
      </fieldsUsage>
    </cacheHierarchy>
    <cacheHierarchy uniqueName="[Model Year].[Model Year]" caption="Model Year" attribute="1" keyAttribute="1" defaultMemberUniqueName="[Model Year].[Model Year].[All]" allUniqueName="[Model Year].[Model Year].[All]" dimensionUniqueName="[Model Year]" displayFolder="" count="2" unbalanced="0">
      <fieldsUsage count="2">
        <fieldUsage x="-1"/>
        <fieldUsage x="6"/>
      </fieldsUsage>
    </cacheHierarchy>
    <cacheHierarchy uniqueName="[MSRP Category 1000].[MSRPLower_1000]" caption="MSRPLower_1000" attribute="1" defaultMemberUniqueName="[MSRP Category 1000].[MSRPLower_1000].[All]" allUniqueName="[MSRP Category 1000].[MSRPLower_1000].[All]" dimensionUniqueName="[MSRP Category 1000]" displayFolder="" count="0" unbalanced="0"/>
    <cacheHierarchy uniqueName="[MSRP Category 10000].[MSRPLower_10000]" caption="MSRPLower_10000" attribute="1" defaultMemberUniqueName="[MSRP Category 10000].[MSRPLower_10000].[All]" allUniqueName="[MSRP Category 10000].[MSRPLower_10000].[All]" dimensionUniqueName="[MSRP Category 10000]" displayFolder="" count="0" unbalanced="0"/>
    <cacheHierarchy uniqueName="[MSRP Category 2000].[MSRPLower_2000]" caption="MSRPLower_2000" attribute="1" defaultMemberUniqueName="[MSRP Category 2000].[MSRPLower_2000].[All]" allUniqueName="[MSRP Category 2000].[MSRPLower_2000].[All]" dimensionUniqueName="[MSRP Category 2000]" displayFolder="" count="0" unbalanced="0"/>
    <cacheHierarchy uniqueName="[MSRP Category 500].[MSRPLower_500]" caption="MSRPLower_500" attribute="1" defaultMemberUniqueName="[MSRP Category 500].[MSRPLower_500].[All]" allUniqueName="[MSRP Category 500].[MSRPLower_500].[All]" dimensionUniqueName="[MSRP Category 500]" displayFolder="" count="0" unbalanced="0"/>
    <cacheHierarchy uniqueName="[MSRP Category 5000].[MSRPLower_5000]" caption="MSRPLower_5000" attribute="1" defaultMemberUniqueName="[MSRP Category 5000].[MSRPLower_5000].[All]" allUniqueName="[MSRP Category 5000].[MSRPLower_5000].[All]" dimensionUniqueName="[MSRP Category 5000]" displayFolder="" count="0" unbalanced="0"/>
    <cacheHierarchy uniqueName="[Price Category 1000].[CategoryLower_1000]" caption="CategoryLower_1000" attribute="1" defaultMemberUniqueName="[Price Category 1000].[CategoryLower_1000].[All]" allUniqueName="[Price Category 1000].[CategoryLower_1000].[All]" dimensionUniqueName="[Price Category 1000]" displayFolder="" count="0" unbalanced="0"/>
    <cacheHierarchy uniqueName="[Price Category 10000].[CategoryLower_10000]" caption="CategoryLower_10000" attribute="1" defaultMemberUniqueName="[Price Category 10000].[CategoryLower_10000].[All]" allUniqueName="[Price Category 10000].[CategoryLower_10000].[All]" dimensionUniqueName="[Price Category 10000]" displayFolder="" count="0" unbalanced="0"/>
    <cacheHierarchy uniqueName="[Price Category 2000].[CategoryLower_2000]" caption="CategoryLower_2000" attribute="1" defaultMemberUniqueName="[Price Category 2000].[CategoryLower_2000].[All]" allUniqueName="[Price Category 2000].[CategoryLower_2000].[All]" dimensionUniqueName="[Price Category 2000]" displayFolder="" count="0" unbalanced="0"/>
    <cacheHierarchy uniqueName="[Price Category 500].[CategoryLower_500]" caption="CategoryLower_500" attribute="1" defaultMemberUniqueName="[Price Category 500].[CategoryLower_500].[All]" allUniqueName="[Price Category 500].[CategoryLower_500].[All]" dimensionUniqueName="[Price Category 500]" displayFolder="" count="0" unbalanced="0"/>
    <cacheHierarchy uniqueName="[Price Category 5000].[CategoryLower_5000]" caption="CategoryLower_5000" attribute="1" defaultMemberUniqueName="[Price Category 5000].[CategoryLower_5000].[All]" allUniqueName="[Price Category 5000].[CategoryLower_5000].[All]" dimensionUniqueName="[Price Category 5000]" displayFolder="" count="0" unbalanced="0"/>
    <cacheHierarchy uniqueName="[Segmentation].[Acura Segment]" caption="Acura Segment" attribute="1" defaultMemberUniqueName="[Segmentation].[Acura Segment].[All]" allUniqueName="[Segmentation].[Acura Segment].[All]" dimensionUniqueName="[Segmentation]" displayFolder="" count="0" unbalanced="0"/>
    <cacheHierarchy uniqueName="[Segmentation].[BMW Segment]" caption="BMW Segment" attribute="1" defaultMemberUniqueName="[Segmentation].[BMW Segment].[All]" allUniqueName="[Segmentation].[BMW Segment].[All]" dimensionUniqueName="[Segmentation]" displayFolder="" count="0" unbalanced="0"/>
    <cacheHierarchy uniqueName="[Segmentation].[Car_Truck_SUV]" caption="Car_Truck_SUV" attribute="1" defaultMemberUniqueName="[Segmentation].[Car_Truck_SUV].[All]" allUniqueName="[Segmentation].[Car_Truck_SUV].[All]" dimensionUniqueName="[Segmentation]" displayFolder="" count="0" unbalanced="0"/>
    <cacheHierarchy uniqueName="[Segmentation].[FCA Segment]" caption="FCA Segment" attribute="1" defaultMemberUniqueName="[Segmentation].[FCA Segment].[All]" allUniqueName="[Segmentation].[FCA Segment].[All]" dimensionUniqueName="[Segmentation]" displayFolder="" count="0" unbalanced="0"/>
    <cacheHierarchy uniqueName="[Segmentation].[Ford Segment]" caption="Ford Segment" attribute="1" defaultMemberUniqueName="[Segmentation].[Ford Segment].[All]" allUniqueName="[Segmentation].[Ford Segment].[All]" dimensionUniqueName="[Segmentation]" displayFolder="" count="0" unbalanced="0"/>
    <cacheHierarchy uniqueName="[Segmentation].[GM Segment]" caption="GM Segment" attribute="1" defaultMemberUniqueName="[Segmentation].[GM Segment].[All]" allUniqueName="[Segmentation].[GM Segment].[All]" dimensionUniqueName="[Segmentation]" displayFolder="" count="0" unbalanced="0"/>
    <cacheHierarchy uniqueName="[Segmentation].[Honda Segment]" caption="Honda Segment" attribute="1" defaultMemberUniqueName="[Segmentation].[Honda Segment].[All]" allUniqueName="[Segmentation].[Honda Segment].[All]" dimensionUniqueName="[Segmentation]" displayFolder="" count="0" unbalanced="0"/>
    <cacheHierarchy uniqueName="[Segmentation].[Hyundai Segment]" caption="Hyundai Segment" attribute="1" defaultMemberUniqueName="[Segmentation].[Hyundai Segment].[All]" allUniqueName="[Segmentation].[Hyundai Segment].[All]" dimensionUniqueName="[Segmentation]" displayFolder="" count="0" unbalanced="0"/>
    <cacheHierarchy uniqueName="[Segmentation].[Infiniti Segment]" caption="Infiniti Segment" attribute="1" defaultMemberUniqueName="[Segmentation].[Infiniti Segment].[All]" allUniqueName="[Segmentation].[Infiniti Segment].[All]" dimensionUniqueName="[Segmentation]" displayFolder="" count="0" unbalanced="0"/>
    <cacheHierarchy uniqueName="[Segmentation].[Jaguar Segment]" caption="Jaguar Segment" attribute="1" defaultMemberUniqueName="[Segmentation].[Jaguar Segment].[All]" allUniqueName="[Segmentation].[Jaguar Segment].[All]" dimensionUniqueName="[Segmentation]" displayFolder="" count="0" unbalanced="0"/>
    <cacheHierarchy uniqueName="[Segmentation].[Kia Segment]" caption="Kia Segment" attribute="1" defaultMemberUniqueName="[Segmentation].[Kia Segment].[All]" allUniqueName="[Segmentation].[Kia Segment].[All]" dimensionUniqueName="[Segmentation]" displayFolder="" count="0" unbalanced="0"/>
    <cacheHierarchy uniqueName="[Segmentation].[Mazda Segment]" caption="Mazda Segment" attribute="1" defaultMemberUniqueName="[Segmentation].[Mazda Segment].[All]" allUniqueName="[Segmentation].[Mazda Segment].[All]" dimensionUniqueName="[Segmentation]" displayFolder="" count="0" unbalanced="0"/>
    <cacheHierarchy uniqueName="[Segmentation].[Mercedes-Benz Segment]" caption="Mercedes-Benz Segment" attribute="1" defaultMemberUniqueName="[Segmentation].[Mercedes-Benz Segment].[All]" allUniqueName="[Segmentation].[Mercedes-Benz Segment].[All]" dimensionUniqueName="[Segmentation]" displayFolder="" count="0" unbalanced="0"/>
    <cacheHierarchy uniqueName="[Segmentation].[Mitsubishi Segment]" caption="Mitsubishi Segment" attribute="1" defaultMemberUniqueName="[Segmentation].[Mitsubishi Segment].[All]" allUniqueName="[Segmentation].[Mitsubishi Segment].[All]" dimensionUniqueName="[Segmentation]" displayFolder="" count="0" unbalanced="0"/>
    <cacheHierarchy uniqueName="[Segmentation].[Nissan Segment]" caption="Nissan Segment" attribute="1" defaultMemberUniqueName="[Segmentation].[Nissan Segment].[All]" allUniqueName="[Segmentation].[Nissan Segment].[All]" dimensionUniqueName="[Segmentation]" displayFolder="" count="0" unbalanced="0"/>
    <cacheHierarchy uniqueName="[Segmentation].[PIN Segment]" caption="PIN Segment" attribute="1" defaultMemberUniqueName="[Segmentation].[PIN Segment].[All]" allUniqueName="[Segmentation].[PIN Segment].[All]" dimensionUniqueName="[Segmentation]" displayFolder="" count="2" unbalanced="0">
      <fieldsUsage count="2">
        <fieldUsage x="-1"/>
        <fieldUsage x="2"/>
      </fieldsUsage>
    </cacheHierarchy>
    <cacheHierarchy uniqueName="[Segmentation].[Toyota Segment]" caption="Toyota Segment" attribute="1" defaultMemberUniqueName="[Segmentation].[Toyota Segment].[All]" allUniqueName="[Segmentation].[Toyota Segment].[All]" dimensionUniqueName="[Segmentation]" displayFolder="" count="0" unbalanced="0"/>
    <cacheHierarchy uniqueName="[Segmentation].[VW Segment]" caption="VW Segment" attribute="1" defaultMemberUniqueName="[Segmentation].[VW Segment].[All]" allUniqueName="[Segmentation].[VW Segment].[All]" dimensionUniqueName="[Segmentation]" displayFolder="" count="0" unbalanced="0"/>
    <cacheHierarchy uniqueName="[TIME].[Calendar Month Full Name]" caption="Calendar Month Full Name" attribute="1" defaultMemberUniqueName="[TIME].[Calendar Month Full Name].[All]" allUniqueName="[TIME].[Calendar Month Full Name].[All]" dimensionUniqueName="[TIME]" displayFolder="" count="0" unbalanced="0"/>
    <cacheHierarchy uniqueName="[TIME].[Calendar Month Of Quarter]" caption="Calendar Month Of Quarter" attribute="1" defaultMemberUniqueName="[TIME].[Calendar Month Of Quarter].[All]" allUniqueName="[TIME].[Calendar Month Of Quarter].[All]" dimensionUniqueName="[TIME]" displayFolder="" count="0" unbalanced="0"/>
    <cacheHierarchy uniqueName="[TIME].[Calendar Month Of Year]" caption="Calendar Month Of Year" attribute="1" defaultMemberUniqueName="[TIME].[Calendar Month Of Year].[All]" allUniqueName="[TIME].[Calendar Month Of Year].[All]" dimensionUniqueName="[TIME]" displayFolder="" count="0" unbalanced="0"/>
    <cacheHierarchy uniqueName="[TIME].[Calendar Year]" caption="Calendar Year" attribute="1" defaultMemberUniqueName="[TIME].[Calendar Year].[All]" allUniqueName="[TIME].[Calendar Year].[All]" dimensionUniqueName="[TIME]" displayFolder="" count="2" unbalanced="0">
      <fieldsUsage count="2">
        <fieldUsage x="-1"/>
        <fieldUsage x="15"/>
      </fieldsUsage>
    </cacheHierarchy>
    <cacheHierarchy uniqueName="[TIME].[CloseDate]" caption="CloseDate" attribute="1" keyAttribute="1" defaultMemberUniqueName="[TIME].[CloseDate].[All]" allUniqueName="[TIME].[CloseDate].[All]" dimensionUniqueName="[TIME]" displayFolder="" count="0" unbalanced="0"/>
    <cacheHierarchy uniqueName="[TIME].[Day Of Week]" caption="Day Of Week" attribute="1" defaultMemberUniqueName="[TIME].[Day Of Week].[All]" allUniqueName="[TIME].[Day Of Week].[All]" dimensionUniqueName="[TIME]" displayFolder="" count="0" unbalanced="0"/>
    <cacheHierarchy uniqueName="[TIME].[Fiscal Year]" caption="Fiscal Year" attribute="1" defaultMemberUniqueName="[TIME].[Fiscal Year].[All]" allUniqueName="[TIME].[Fiscal Year].[All]" dimensionUniqueName="[TIME]" displayFolder="" count="0" unbalanced="0"/>
    <cacheHierarchy uniqueName="[TIME].[Sales Month]" caption="Sales Month" attribute="1" defaultMemberUniqueName="[TIME].[Sales Month].[All]" allUniqueName="[TIME].[Sales Month].[All]" dimensionUniqueName="[TIME]" displayFolder="" count="0" unbalanced="0"/>
    <cacheHierarchy uniqueName="[TIME].[Sales Month Full Name]" caption="Sales Month Full Name" attribute="1" defaultMemberUniqueName="[TIME].[Sales Month Full Name].[All]" allUniqueName="[TIME].[Sales Month Full Name].[All]" dimensionUniqueName="[TIME]" displayFolder="" count="0" unbalanced="0"/>
    <cacheHierarchy uniqueName="[TIME].[Sales Month Of Quarter]" caption="Sales Month Of Quarter" attribute="1" defaultMemberUniqueName="[TIME].[Sales Month Of Quarter].[All]" allUniqueName="[TIME].[Sales Month Of Quarter].[All]" dimensionUniqueName="[TIME]" displayFolder="" count="0" unbalanced="0"/>
    <cacheHierarchy uniqueName="[TIME].[Sales Month Of Year]" caption="Sales Month Of Year" attribute="1" defaultMemberUniqueName="[TIME].[Sales Month Of Year].[All]" allUniqueName="[TIME].[Sales Month Of Year].[All]" dimensionUniqueName="[TIME]" displayFolder="" count="2" unbalanced="0">
      <fieldsUsage count="2">
        <fieldUsage x="-1"/>
        <fieldUsage x="16"/>
      </fieldsUsage>
    </cacheHierarchy>
    <cacheHierarchy uniqueName="[TIME].[Sales Quarter Full Name]" caption="Sales Quarter Full Name" attribute="1" defaultMemberUniqueName="[TIME].[Sales Quarter Full Name].[All]" allUniqueName="[TIME].[Sales Quarter Full Name].[All]" dimensionUniqueName="[TIME]" displayFolder="" count="0" unbalanced="0"/>
    <cacheHierarchy uniqueName="[TIME].[Sales Year]" caption="Sales Year" attribute="1" defaultMemberUniqueName="[TIME].[Sales Year].[All]" allUniqueName="[TIME].[Sales Year].[All]" dimensionUniqueName="[TIME]" displayFolder="" count="2" unbalanced="0">
      <fieldsUsage count="2">
        <fieldUsage x="-1"/>
        <fieldUsage x="8"/>
      </fieldsUsage>
    </cacheHierarchy>
    <cacheHierarchy uniqueName="[TIME].[Week Ending Date]" caption="Week Ending Date" attribute="1" defaultMemberUniqueName="[TIME].[Week Ending Date].[All]" allUniqueName="[TIME].[Week Ending Date].[All]" dimensionUniqueName="[TIME]" displayFolder="" count="0" unbalanced="0"/>
    <cacheHierarchy uniqueName="[TIME].[Year To Date]" caption="Year To Date" attribute="1" defaultMemberUniqueName="[TIME].[Year To Date].[All]" allUniqueName="[TIME].[Year To Date].[All]" dimensionUniqueName="[TIME]" displayFolder="" count="0" unbalanced="0"/>
    <cacheHierarchy uniqueName="[TrimLevel].[Trim]" caption="Trim" attribute="1" defaultMemberUniqueName="[TrimLevel].[Trim].[All]" allUniqueName="[TrimLevel].[Trim].[All]" dimensionUniqueName="[TrimLevel]" displayFolder="" count="2" unbalanced="0">
      <fieldsUsage count="2">
        <fieldUsage x="-1"/>
        <fieldUsage x="14"/>
      </fieldsUsage>
    </cacheHierarchy>
    <cacheHierarchy uniqueName="[Type of Sale].[Type of Sale]" caption="Type of Sale" attribute="1" defaultMemberUniqueName="[Type of Sale].[Type of Sale].[All]" allUniqueName="[Type of Sale].[Type of Sale].[All]" dimensionUniqueName="[Type of Sale]" displayFolder="" count="0" unbalanced="0"/>
    <cacheHierarchy uniqueName="[VehPrice Category 1000].[VehPriceLower_1000]" caption="VehPriceLower_1000" attribute="1" defaultMemberUniqueName="[VehPrice Category 1000].[VehPriceLower_1000].[All]" allUniqueName="[VehPrice Category 1000].[VehPriceLower_1000].[All]" dimensionUniqueName="[VehPrice Category 1000]" displayFolder="" count="0" unbalanced="0"/>
    <cacheHierarchy uniqueName="[VehPrice Category 10000].[VehPriceLower_10000]" caption="VehPriceLower_10000" attribute="1" defaultMemberUniqueName="[VehPrice Category 10000].[VehPriceLower_10000].[All]" allUniqueName="[VehPrice Category 10000].[VehPriceLower_10000].[All]" dimensionUniqueName="[VehPrice Category 10000]" displayFolder="" count="0" unbalanced="0"/>
    <cacheHierarchy uniqueName="[VehPrice Category 2000].[VehPriceLower_2000]" caption="VehPriceLower_2000" attribute="1" defaultMemberUniqueName="[VehPrice Category 2000].[VehPriceLower_2000].[All]" allUniqueName="[VehPrice Category 2000].[VehPriceLower_2000].[All]" dimensionUniqueName="[VehPrice Category 2000]" displayFolder="" count="0" unbalanced="0"/>
    <cacheHierarchy uniqueName="[VehPrice Category 500].[VehPriceLower_500]" caption="VehPriceLower_500" attribute="1" defaultMemberUniqueName="[VehPrice Category 500].[VehPriceLower_500].[All]" allUniqueName="[VehPrice Category 500].[VehPriceLower_500].[All]" dimensionUniqueName="[VehPrice Category 500]" displayFolder="" count="0" unbalanced="0"/>
    <cacheHierarchy uniqueName="[VehPrice Category 5000].[VehPriceLower_5000]" caption="VehPriceLower_5000" attribute="1" defaultMemberUniqueName="[VehPrice Category 5000].[VehPriceLower_5000].[All]" allUniqueName="[VehPrice Category 5000].[VehPriceLower_5000].[All]" dimensionUniqueName="[VehPrice Category 5000]" displayFolder="" count="0" unbalanced="0"/>
    <cacheHierarchy uniqueName="[Age Group].[Age Group ID]" caption="Age Group ID" attribute="1" keyAttribute="1" defaultMemberUniqueName="[Age Group].[Age Group ID].[All]" allUniqueName="[Age Group].[Age Group ID].[All]" dimensionUniqueName="[Age Group]" displayFolder="" count="0" unbalanced="0" hidden="1"/>
    <cacheHierarchy uniqueName="[Demo Flag].[Description]" caption="Description" attribute="1" defaultMemberUniqueName="[Demo Flag].[Description].[All]" allUniqueName="[Demo Flag].[Description].[All]" dimensionUniqueName="[Demo Flag]" displayFolder="" count="0" unbalanced="0" hidden="1"/>
    <cacheHierarchy uniqueName="[Gender].[GenderID]" caption="GenderID" attribute="1" keyAttribute="1" defaultMemberUniqueName="[Gender].[GenderID].[All]" allUniqueName="[Gender].[GenderID].[All]" dimensionUniqueName="[Gender]" displayFolder="" count="0" unbalanced="0" hidden="1"/>
    <cacheHierarchy uniqueName="[Generation].[Generation ID]" caption="Generation ID" attribute="1" keyAttribute="1" defaultMemberUniqueName="[Generation].[Generation ID].[All]" allUniqueName="[Generation].[Generation ID].[All]" dimensionUniqueName="[Generation]" displayFolder="" count="0" unbalanced="0" hidden="1"/>
    <cacheHierarchy uniqueName="[Incentive Type].[Incentive Type ID]" caption="Incentive Type ID" attribute="1" keyAttribute="1" defaultMemberUniqueName="[Incentive Type].[Incentive Type ID].[All]" allUniqueName="[Incentive Type].[Incentive Type ID].[All]" dimensionUniqueName="[Incentive Type]" displayFolder="" count="0" unbalanced="0" hidden="1"/>
    <cacheHierarchy uniqueName="[Mkt Timer Sale Type].[Sale Type ID]" caption="Sale Type ID" attribute="1" keyAttribute="1" defaultMemberUniqueName="[Mkt Timer Sale Type].[Sale Type ID].[All]" allUniqueName="[Mkt Timer Sale Type].[Sale Type ID].[All]" dimensionUniqueName="[Mkt Timer Sale Type]" displayFolder="" count="0" unbalanced="0" hidden="1"/>
    <cacheHierarchy uniqueName="[Mkt Timer Term Group].[Term Group ID]" caption="Term Group ID" attribute="1" keyAttribute="1" defaultMemberUniqueName="[Mkt Timer Term Group].[Term Group ID].[All]" allUniqueName="[Mkt Timer Term Group].[Term Group ID].[All]" dimensionUniqueName="[Mkt Timer Term Group]" displayFolder="" count="0" unbalanced="0" hidden="1"/>
    <cacheHierarchy uniqueName="[Model].[Make ID]" caption="Make ID" attribute="1" defaultMemberUniqueName="[Model].[Make ID].[All]" allUniqueName="[Model].[Make ID].[All]" dimensionUniqueName="[Model]" displayFolder="" count="0" unbalanced="0" hidden="1"/>
    <cacheHierarchy uniqueName="[Model].[Model ID]" caption="Model ID" attribute="1" keyAttribute="1" defaultMemberUniqueName="[Model].[Model ID].[All]" allUniqueName="[Model].[Model ID].[All]" dimensionUniqueName="[Model]" displayFolder="" count="0" unbalanced="0" hidden="1"/>
    <cacheHierarchy uniqueName="[MSRP Category 1000].[Category PK]" caption="Category PK" attribute="1" keyAttribute="1" defaultMemberUniqueName="[MSRP Category 1000].[Category PK].[All]" allUniqueName="[MSRP Category 1000].[Category PK].[All]" dimensionUniqueName="[MSRP Category 1000]" displayFolder="" count="0" unbalanced="0" hidden="1"/>
    <cacheHierarchy uniqueName="[MSRP Category 10000].[Category PK]" caption="Category PK" attribute="1" keyAttribute="1" defaultMemberUniqueName="[MSRP Category 10000].[Category PK].[All]" allUniqueName="[MSRP Category 10000].[Category PK].[All]" dimensionUniqueName="[MSRP Category 10000]" displayFolder="" count="0" unbalanced="0" hidden="1"/>
    <cacheHierarchy uniqueName="[MSRP Category 2000].[Category PK]" caption="Category PK" attribute="1" keyAttribute="1" defaultMemberUniqueName="[MSRP Category 2000].[Category PK].[All]" allUniqueName="[MSRP Category 2000].[Category PK].[All]" dimensionUniqueName="[MSRP Category 2000]" displayFolder="" count="0" unbalanced="0" hidden="1"/>
    <cacheHierarchy uniqueName="[MSRP Category 500].[Category PK]" caption="Category PK" attribute="1" keyAttribute="1" defaultMemberUniqueName="[MSRP Category 500].[Category PK].[All]" allUniqueName="[MSRP Category 500].[Category PK].[All]" dimensionUniqueName="[MSRP Category 500]" displayFolder="" count="0" unbalanced="0" hidden="1"/>
    <cacheHierarchy uniqueName="[MSRP Category 5000].[Category PK]" caption="Category PK" attribute="1" keyAttribute="1" defaultMemberUniqueName="[MSRP Category 5000].[Category PK].[All]" allUniqueName="[MSRP Category 5000].[Category PK].[All]" dimensionUniqueName="[MSRP Category 5000]" displayFolder="" count="0" unbalanced="0" hidden="1"/>
    <cacheHierarchy uniqueName="[Price Category 1000].[Category PK]" caption="Category PK" attribute="1" keyAttribute="1" defaultMemberUniqueName="[Price Category 1000].[Category PK].[All]" allUniqueName="[Price Category 1000].[Category PK].[All]" dimensionUniqueName="[Price Category 1000]" displayFolder="" count="0" unbalanced="0" hidden="1"/>
    <cacheHierarchy uniqueName="[Price Category 10000].[Category PK]" caption="Category PK" attribute="1" keyAttribute="1" defaultMemberUniqueName="[Price Category 10000].[Category PK].[All]" allUniqueName="[Price Category 10000].[Category PK].[All]" dimensionUniqueName="[Price Category 10000]" displayFolder="" count="0" unbalanced="0" hidden="1"/>
    <cacheHierarchy uniqueName="[Price Category 2000].[Category PK]" caption="Category PK" attribute="1" keyAttribute="1" defaultMemberUniqueName="[Price Category 2000].[Category PK].[All]" allUniqueName="[Price Category 2000].[Category PK].[All]" dimensionUniqueName="[Price Category 2000]" displayFolder="" count="0" unbalanced="0" hidden="1"/>
    <cacheHierarchy uniqueName="[Price Category 500].[Category PK]" caption="Category PK" attribute="1" keyAttribute="1" defaultMemberUniqueName="[Price Category 500].[Category PK].[All]" allUniqueName="[Price Category 500].[Category PK].[All]" dimensionUniqueName="[Price Category 500]" displayFolder="" count="0" unbalanced="0" hidden="1"/>
    <cacheHierarchy uniqueName="[Price Category 5000].[Category PK]" caption="Category PK" attribute="1" keyAttribute="1" defaultMemberUniqueName="[Price Category 5000].[Category PK].[All]" allUniqueName="[Price Category 5000].[Category PK].[All]" dimensionUniqueName="[Price Category 5000]" displayFolder="" count="0" unbalanced="0" hidden="1"/>
    <cacheHierarchy uniqueName="[Segmentation].[Model BTMY]" caption="Model BTMY" attribute="1" keyAttribute="1" defaultMemberUniqueName="[Segmentation].[Model BTMY].[All]" allUniqueName="[Segmentation].[Model BTMY].[All]" dimensionUniqueName="[Segmentation]" displayFolder="" count="0" unbalanced="0" hidden="1"/>
    <cacheHierarchy uniqueName="[Segmentation].[Model FK]" caption="Model FK" attribute="1" defaultMemberUniqueName="[Segmentation].[Model FK].[All]" allUniqueName="[Segmentation].[Model FK].[All]" dimensionUniqueName="[Segmentation]" displayFolder="" count="0" unbalanced="0" hidden="1"/>
    <cacheHierarchy uniqueName="[TIME].[Calendar Month]" caption="Calendar Month" attribute="1" defaultMemberUniqueName="[TIME].[Calendar Month].[All]" allUniqueName="[TIME].[Calendar Month].[All]" dimensionUniqueName="[TIME]" displayFolder="" count="0" unbalanced="0" hidden="1"/>
    <cacheHierarchy uniqueName="[TIME].[Calendar Quarter]" caption="Calendar Quarter" attribute="1" defaultMemberUniqueName="[TIME].[Calendar Quarter].[All]" allUniqueName="[TIME].[Calendar Quarter].[All]" dimensionUniqueName="[TIME]" displayFolder="" count="0" unbalanced="0" hidden="1"/>
    <cacheHierarchy uniqueName="[TIME].[Calendar Quarter Of Year]" caption="Calendar Quarter Of Year" attribute="1" defaultMemberUniqueName="[TIME].[Calendar Quarter Of Year].[All]" allUniqueName="[TIME].[Calendar Quarter Of Year].[All]" dimensionUniqueName="[TIME]" displayFolder="" count="0" unbalanced="0" hidden="1"/>
    <cacheHierarchy uniqueName="[TIME].[CalendarMonth]" caption="CalendarMonth" attribute="1" defaultMemberUniqueName="[TIME].[CalendarMonth].[All]" allUniqueName="[TIME].[CalendarMonth].[All]" dimensionUniqueName="[TIME]" displayFolder="" count="0" unbalanced="0" hidden="1"/>
    <cacheHierarchy uniqueName="[TIME].[Sales Quarter]" caption="Sales Quarter" attribute="1" defaultMemberUniqueName="[TIME].[Sales Quarter].[All]" allUniqueName="[TIME].[Sales Quarter].[All]" dimensionUniqueName="[TIME]" displayFolder="" count="0" unbalanced="0" hidden="1"/>
    <cacheHierarchy uniqueName="[TrimLevel].[Trim ID]" caption="Trim ID" attribute="1" keyAttribute="1" defaultMemberUniqueName="[TrimLevel].[Trim ID].[All]" allUniqueName="[TrimLevel].[Trim ID].[All]" dimensionUniqueName="[TrimLevel]" displayFolder="" count="0" unbalanced="0" hidden="1"/>
    <cacheHierarchy uniqueName="[Type of Sale].[TransactionTypeID]" caption="TransactionTypeID" attribute="1" keyAttribute="1" defaultMemberUniqueName="[Type of Sale].[TransactionTypeID].[All]" allUniqueName="[Type of Sale].[TransactionTypeID].[All]" dimensionUniqueName="[Type of Sale]" displayFolder="" count="0" unbalanced="0" hidden="1"/>
    <cacheHierarchy uniqueName="[VehPrice Category 1000].[Category PK]" caption="Category PK" attribute="1" keyAttribute="1" defaultMemberUniqueName="[VehPrice Category 1000].[Category PK].[All]" allUniqueName="[VehPrice Category 1000].[Category PK].[All]" dimensionUniqueName="[VehPrice Category 1000]" displayFolder="" count="0" unbalanced="0" hidden="1"/>
    <cacheHierarchy uniqueName="[VehPrice Category 10000].[Category PK]" caption="Category PK" attribute="1" keyAttribute="1" defaultMemberUniqueName="[VehPrice Category 10000].[Category PK].[All]" allUniqueName="[VehPrice Category 10000].[Category PK].[All]" dimensionUniqueName="[VehPrice Category 10000]" displayFolder="" count="0" unbalanced="0" hidden="1"/>
    <cacheHierarchy uniqueName="[VehPrice Category 2000].[Category PK]" caption="Category PK" attribute="1" keyAttribute="1" defaultMemberUniqueName="[VehPrice Category 2000].[Category PK].[All]" allUniqueName="[VehPrice Category 2000].[Category PK].[All]" dimensionUniqueName="[VehPrice Category 2000]" displayFolder="" count="0" unbalanced="0" hidden="1"/>
    <cacheHierarchy uniqueName="[VehPrice Category 500].[Category PK]" caption="Category PK" attribute="1" keyAttribute="1" defaultMemberUniqueName="[VehPrice Category 500].[Category PK].[All]" allUniqueName="[VehPrice Category 500].[Category PK].[All]" dimensionUniqueName="[VehPrice Category 500]" displayFolder="" count="0" unbalanced="0" hidden="1"/>
    <cacheHierarchy uniqueName="[VehPrice Category 5000].[Category PK]" caption="Category PK" attribute="1" keyAttribute="1" defaultMemberUniqueName="[VehPrice Category 5000].[Category PK].[All]" allUniqueName="[VehPrice Category 5000].[Category PK].[All]" dimensionUniqueName="[VehPrice Category 5000]" displayFolder="" count="0" unbalanced="0" hidden="1"/>
    <cacheHierarchy uniqueName="[Measures].[ISR Wtd Cts]" caption="ISR Wtd Cts" measure="1" displayFolder="" measureGroup="CFTP Transactions" count="0" oneField="1">
      <fieldsUsage count="1">
        <fieldUsage x="17"/>
      </fieldsUsage>
    </cacheHierarchy>
    <cacheHierarchy uniqueName="[Measures].[TotalIncentiveSpending]" caption="TotalIncentiveSpending" measure="1" displayFolder="" measureGroup="CFTP Transactions" count="0"/>
    <cacheHierarchy uniqueName="[Measures].[PINTransCount]" caption="PINTransCount" measure="1" displayFolder="" measureGroup="CFTP Transactions" count="0"/>
    <cacheHierarchy uniqueName="[Measures].[Estimated Retail Sales]" caption="Estimated Retail Sales" measure="1" displayFolder="" measureGroup="Estimated Sales" count="0"/>
    <cacheHierarchy uniqueName="[Measures].[Selling Days]" caption="Selling Days" measure="1" displayFolder="" measureGroup="Miscellaneous" count="0"/>
    <cacheHierarchy uniqueName="[Measures].[Weekends]" caption="Weekends" measure="1" displayFolder="" measureGroup="Miscellaneous" count="0"/>
    <cacheHierarchy uniqueName="[Measures].[Pseudo New Sales]" caption="Pseudo New Sales" measure="1" displayFolder="" measureGroup="Pseudo New" count="0"/>
    <cacheHierarchy uniqueName="[Measures].[Retail Sales]" caption="Retail Sales" measure="1" displayFolder="" measureGroup="Pseudo New" count="0"/>
    <cacheHierarchy uniqueName="[Measures].[CTP Sales]" caption="CTP Sales" measure="1" displayFolder="" measureGroup="Pseudo New" count="0"/>
    <cacheHierarchy uniqueName="[Measures].[Test Run]" caption="Test Run" measure="1" displayFolder="" measureGroup="Pseudo New" count="0"/>
    <cacheHierarchy uniqueName="[Measures].[Polk Sales]" caption="Polk Sales" measure="1" displayFolder="" measureGroup="Polk Data" count="0"/>
    <cacheHierarchy uniqueName="[Measures].[Total Reported Sales]" caption="Total Reported Sales" measure="1" displayFolder="" measureGroup="Total Reported Sales" count="0"/>
    <cacheHierarchy uniqueName="[Measures].[Sales - AgeGender]" caption="Sales - AgeGender" measure="1" displayFolder="" measureGroup="Age Gender" count="0"/>
    <cacheHierarchy uniqueName="[Measures].[Consumer Expenditure]" caption="Consumer Expenditure" measure="1" displayFolder="" measureGroup="Expenditure" count="0"/>
    <cacheHierarchy uniqueName="[Measures].[Used Sales]" caption="Used Sales" measure="1" displayFolder="" measureGroup="Franchised Used Sales" count="0"/>
    <cacheHierarchy uniqueName="[Measures].[Returning Volume]" caption="Returning Volume" measure="1" displayFolder="" measureGroup="Market Timer" count="0"/>
    <cacheHierarchy uniqueName="[Measures].[Returning Vol - Purchase]" caption="Returning Vol - Purchase" measure="1" displayFolder="" measureGroup="Market Timer" count="0"/>
    <cacheHierarchy uniqueName="[Measures].[Returning Vol - Lease]" caption="Returning Vol - Lease" measure="1" displayFolder="" measureGroup="Market Timer" count="0"/>
    <cacheHierarchy uniqueName="[Measures].[Total SAAR]" caption="Total SAAR" measure="1" displayFolder="" measureGroup="SAAR" count="0"/>
    <cacheHierarchy uniqueName="[Measures].[Retail]" caption="Retail" measure="1" displayFolder="" measureGroup="SAAR" count="0"/>
    <cacheHierarchy uniqueName="[Measures].[Fleet]" caption="Fleet" measure="1" displayFolder="" measureGroup="SAAR" count="0"/>
    <cacheHierarchy uniqueName="[Measures].[Sales - V18 R]" caption="Sales - V18 R" measure="1" displayFolder="" measureGroup="Pseudo New V18 R" count="0"/>
    <cacheHierarchy uniqueName="[Measures].[Pseudo New Sales - V18 R]" caption="Pseudo New Sales - V18 R" measure="1" displayFolder="" measureGroup="Pseudo New V18 R" count="0"/>
    <cacheHierarchy uniqueName="[Measures].[Retail Sales - V18 R]" caption="Retail Sales - V18 R" measure="1" displayFolder="" measureGroup="Pseudo New V18 R" count="0"/>
    <cacheHierarchy uniqueName="[Measures].[CTP Sales - V18 R]" caption="CTP Sales - V18 R" measure="1" displayFolder="" measureGroup="Pseudo New V18 R" count="0"/>
    <cacheHierarchy uniqueName="[Measures].[Test Run - V18 R]" caption="Test Run - V18 R" measure="1" displayFolder="" measureGroup="Pseudo New V18 R" count="0"/>
    <cacheHierarchy uniqueName="[Measures].[Weighted Count]" caption="Weighted Count" measure="1" displayFolder="" measureGroup="Score Card" count="0"/>
    <cacheHierarchy uniqueName="[Measures].[PIN Count]" caption="PIN Count" measure="1" displayFolder="" measureGroup="Score Card" count="0"/>
    <cacheHierarchy uniqueName="[Measures].[FICO Weighted Count]" caption="FICO Weighted Count" measure="1" displayFolder="" measureGroup="Score Card" count="0"/>
    <cacheHierarchy uniqueName="[Measures].[FICO Count]" caption="FICO Count" measure="1" displayFolder="" measureGroup="Score Card" count="0"/>
    <cacheHierarchy uniqueName="[Measures].[Volume]" caption="Volume" measure="1" displayFolder="" measureGroup="Auction" count="0"/>
    <cacheHierarchy uniqueName="[Measures].[Month End Inventory]" caption="Month End Inventory" measure="1" displayFolder="" measureGroup="Wards Days Supply" count="0"/>
    <cacheHierarchy uniqueName="[Measures].[Days Supply]" caption="Days Supply" measure="1" displayFolder="" measureGroup="Wards Days Supply" count="0"/>
    <cacheHierarchy uniqueName="[Measures].[Expenditure]" caption="Expenditure" measure="1" displayFolder="" measureGroup="Expenditure" count="0"/>
    <cacheHierarchy uniqueName="[Measures].[Sub 620 FICO Mix]" caption="Sub 620 FICO Mix" measure="1" displayFolder="" measureGroup="Score Card" count="0"/>
    <cacheHierarchy uniqueName="[Measures].[Sub 650 FICO Mix]" caption="Sub 650 FICO Mix" measure="1" displayFolder="" measureGroup="Score Card" count="0"/>
    <cacheHierarchy uniqueName="[Measures].[Credit Score]" caption="Credit Score" measure="1" displayFolder="" measureGroup="Score Card" count="0"/>
    <cacheHierarchy uniqueName="[Measures].[Loan]" caption="Loan" measure="1" displayFolder="" measureGroup="Score Card" count="0"/>
    <cacheHierarchy uniqueName="[Measures].[Value]" caption="Value" measure="1" displayFolder="" measureGroup="Score Card" count="0"/>
    <cacheHierarchy uniqueName="[Measures].[Loan To Value]" caption="Loan To Value" measure="1" displayFolder="" measureGroup="Score Card" count="0"/>
    <cacheHierarchy uniqueName="[Measures].[Age]" caption="Age" measure="1" displayFolder="" measureGroup="Auction" count="0"/>
    <cacheHierarchy uniqueName="[Measures].[Raw Price]" caption="Raw Price" measure="1" displayFolder="" measureGroup="Auction" count="0"/>
    <cacheHierarchy uniqueName="[Measures].[NADA Price]" caption="NADA Price" measure="1" displayFolder="" measureGroup="Auction" count="0"/>
    <cacheHierarchy uniqueName="[Measures].[Base MSRP]" caption="Base MSRP" measure="1" displayFolder="" measureGroup="Auction" count="0"/>
    <cacheHierarchy uniqueName="[Measures].[Mileage]" caption="Mileage" measure="1" displayFolder="" measureGroup="Auction" count="0"/>
    <cacheHierarchy uniqueName="[Measures].[Pct NegEquity]" caption="Pct NegEquity" measure="1" displayFolder="" measureGroup="Score Card" count="0"/>
    <cacheHierarchy uniqueName="[Measures].[DaysToTurn]" caption="DaysToTurn" measure="1" displayFolder="" measureGroup="Score Card" count="0"/>
    <cacheHierarchy uniqueName="[Measures].[VehGross]" caption="VehGross" measure="1" displayFolder="" measureGroup="Score Card" count="0"/>
    <cacheHierarchy uniqueName="[Measures].[Term72Plus Mix]" caption="Term72Plus Mix" measure="1" displayFolder="" measureGroup="Score Card" count="0"/>
    <cacheHierarchy uniqueName="[Measures].[StdTerm Mix]" caption="StdTerm Mix" measure="1" displayFolder="" measureGroup="Score Card" count="0"/>
    <cacheHierarchy uniqueName="[Measures].[Term84Plus Mix]" caption="Term84Plus Mix" measure="1" displayFolder="" measureGroup="Score Card" count="0"/>
    <cacheHierarchy uniqueName="[Measures].[Lease Pct]" caption="Lease Pct" measure="1" displayFolder="" measureGroup="Score Card" count="0"/>
    <cacheHierarchy uniqueName="[Measures].[Finance Pct]" caption="Finance Pct" measure="1" displayFolder="" measureGroup="Score Card" count="0"/>
    <cacheHierarchy uniqueName="[Measures].[Cash Pct]" caption="Cash Pct" measure="1" displayFolder="" measureGroup="Score Card" count="0"/>
    <cacheHierarchy uniqueName="[Measures].[Avg Loan Term]" caption="Avg Loan Term" measure="1" displayFolder="" measureGroup="Score Card" count="0"/>
    <cacheHierarchy uniqueName="[Measures].[Avg Lease Term]" caption="Avg Lease Term" measure="1" displayFolder="" measureGroup="Score Card" count="0"/>
    <cacheHierarchy uniqueName="[Measures].[Avg Finance Term]" caption="Avg Finance Term" measure="1" displayFolder="" measureGroup="Score Card" count="0"/>
    <cacheHierarchy uniqueName="[Measures].[Trade Equity]" caption="Trade Equity" measure="1" displayFolder="" measureGroup="Score Card" count="0"/>
    <cacheHierarchy uniqueName="[Measures].[FIInc Unit]" caption="FIInc Unit" measure="1" displayFolder="" measureGroup="Score Card" count="0"/>
    <cacheHierarchy uniqueName="[Measures].[Used Vehicle Price]" caption="Used Vehicle Price" measure="1" displayFolder="" measureGroup="Score Card" count="0"/>
    <cacheHierarchy uniqueName="[Measures].[Used Odometer]" caption="Used Odometer" measure="1" displayFolder="" measureGroup="Score Card" count="0"/>
    <cacheHierarchy uniqueName="[Measures].[Used New Ratio]" caption="Used New Ratio" measure="1" displayFolder="" measureGroup="Score Card" count="0"/>
    <cacheHierarchy uniqueName="[Measures].[MonthlyPayment]" caption="MonthlyPayment" measure="1" displayFolder="" measureGroup="Market Timer" count="0"/>
    <cacheHierarchy uniqueName="[Measures].[IncentiveMix by Cash]" caption="IncentiveMix by Cash" measure="1" displayFolder="" measureGroup="CFTP Transactions" count="0" oneField="1">
      <fieldsUsage count="1">
        <fieldUsage x="9"/>
      </fieldsUsage>
    </cacheHierarchy>
    <cacheHierarchy uniqueName="[Measures].[IncentiveMix by Cash - Nissan]" caption="IncentiveMix by Cash - Nissan" measure="1" displayFolder="" measureGroup="Nissan ISR" count="0"/>
    <cacheHierarchy uniqueName="[Measures].[IncentiveMix by Cash - FCA]" caption="IncentiveMix by Cash - FCA" measure="1" displayFolder="" measureGroup="FCA ISR" count="0"/>
    <cacheHierarchy uniqueName="[Measures].[IncentiveMix by Finance]" caption="IncentiveMix by Finance" measure="1" displayFolder="" measureGroup="CFTP Transactions" count="0" oneField="1">
      <fieldsUsage count="1">
        <fieldUsage x="10"/>
      </fieldsUsage>
    </cacheHierarchy>
    <cacheHierarchy uniqueName="[Measures].[IncentiveMix by Finance - Nissan]" caption="IncentiveMix by Finance - Nissan" measure="1" displayFolder="" measureGroup="Nissan ISR" count="0"/>
    <cacheHierarchy uniqueName="[Measures].[IncentiveMix by Finance - FCA]" caption="IncentiveMix by Finance - FCA" measure="1" displayFolder="" measureGroup="FCA ISR" count="0"/>
    <cacheHierarchy uniqueName="[Measures].[IncentiveMix by Lease]" caption="IncentiveMix by Lease" measure="1" displayFolder="" measureGroup="CFTP Transactions" count="0" oneField="1">
      <fieldsUsage count="1">
        <fieldUsage x="11"/>
      </fieldsUsage>
    </cacheHierarchy>
    <cacheHierarchy uniqueName="[Measures].[IncentiveMix by Lease - Nissan]" caption="IncentiveMix by Lease - Nissan" measure="1" displayFolder="" measureGroup="Nissan ISR" count="0"/>
    <cacheHierarchy uniqueName="[Measures].[IncentiveMix by Lease - FCA]" caption="IncentiveMix by Lease - FCA" measure="1" displayFolder="" measureGroup="FCA ISR" count="0"/>
    <cacheHierarchy uniqueName="[Measures].[IncentiveMix by Purchase]" caption="IncentiveMix by Purchase" measure="1" displayFolder="" measureGroup="CFTP Transactions" count="0"/>
    <cacheHierarchy uniqueName="[Measures].[IncentiveMix by Purchase - Nissan]" caption="IncentiveMix by Purchase - Nissan" measure="1" displayFolder="" measureGroup="Nissan ISR" count="0"/>
    <cacheHierarchy uniqueName="[Measures].[IncentiveMix by Purchase - FCA]" caption="IncentiveMix by Purchase - FCA" measure="1" displayFolder="" measureGroup="FCA ISR" count="0"/>
    <cacheHierarchy uniqueName="[Measures].[IncentiveSpending by Cash]" caption="IncentiveSpending by Cash" measure="1" displayFolder="" measureGroup="CFTP Transactions" count="0" oneField="1">
      <fieldsUsage count="1">
        <fieldUsage x="3"/>
      </fieldsUsage>
    </cacheHierarchy>
    <cacheHierarchy uniqueName="[Measures].[IncentiveSpending by Cash - Nissan]" caption="IncentiveSpending by Cash - Nissan" measure="1" displayFolder="" measureGroup="Nissan ISR" count="0"/>
    <cacheHierarchy uniqueName="[Measures].[IncentiveSpending by Cash - FCA]" caption="IncentiveSpending by Cash - FCA" measure="1" displayFolder="" measureGroup="FCA ISR" count="0"/>
    <cacheHierarchy uniqueName="[Measures].[IncentiveSpending by Finance]" caption="IncentiveSpending by Finance" measure="1" displayFolder="" measureGroup="CFTP Transactions" count="0" oneField="1">
      <fieldsUsage count="1">
        <fieldUsage x="4"/>
      </fieldsUsage>
    </cacheHierarchy>
    <cacheHierarchy uniqueName="[Measures].[IncentiveSpending by Finance - Nissan]" caption="IncentiveSpending by Finance - Nissan" measure="1" displayFolder="" measureGroup="Nissan ISR" count="0"/>
    <cacheHierarchy uniqueName="[Measures].[IncentiveSpending by Finance - FCA]" caption="IncentiveSpending by Finance - FCA" measure="1" displayFolder="" measureGroup="FCA ISR" count="0"/>
    <cacheHierarchy uniqueName="[Measures].[IncentiveSpending by Lease]" caption="IncentiveSpending by Lease" measure="1" displayFolder="" measureGroup="CFTP Transactions" count="0" oneField="1">
      <fieldsUsage count="1">
        <fieldUsage x="5"/>
      </fieldsUsage>
    </cacheHierarchy>
    <cacheHierarchy uniqueName="[Measures].[IncentiveSpending by Lease - Nissan]" caption="IncentiveSpending by Lease - Nissan" measure="1" displayFolder="" measureGroup="Nissan ISR" count="0"/>
    <cacheHierarchy uniqueName="[Measures].[IncentiveSpending by Lease - FCA]" caption="IncentiveSpending by Lease - FCA" measure="1" displayFolder="" measureGroup="FCA ISR" count="0"/>
    <cacheHierarchy uniqueName="[Measures].[IncentiveSpending by Purchase]" caption="IncentiveSpending by Purchase" measure="1" displayFolder="" measureGroup="CFTP Transactions" count="0"/>
    <cacheHierarchy uniqueName="[Measures].[IncentiveSpending by Purchase - Nissan]" caption="IncentiveSpending by Purchase - Nissan" measure="1" displayFolder="" measureGroup="Nissan ISR" count="0"/>
    <cacheHierarchy uniqueName="[Measures].[IncentiveSpending by Purchase - FCA]" caption="IncentiveSpending by Purchase - FCA" measure="1" displayFolder="" measureGroup="FCA ISR" count="0"/>
    <cacheHierarchy uniqueName="[Measures].[v18 @ Customer DMA]" caption="v18 @ Customer DMA" measure="1" displayFolder="" measureGroup="Estimated Sales" count="0"/>
    <cacheHierarchy uniqueName="[Measures].[AvgCFTP]" caption="AvgCFTP" measure="1" displayFolder="" measureGroup="CFTP Transactions" count="0"/>
    <cacheHierarchy uniqueName="[Measures].[ALG24]" caption="ALG24" measure="1" displayFolder="Residual" measureGroup="CFTP Transactions" count="0"/>
    <cacheHierarchy uniqueName="[Measures].[ALG36]" caption="ALG36" measure="1" displayFolder="Residual" measureGroup="CFTP Transactions" count="0" oneField="1">
      <fieldsUsage count="1">
        <fieldUsage x="12"/>
      </fieldsUsage>
    </cacheHierarchy>
    <cacheHierarchy uniqueName="[Measures].[ALG48]" caption="ALG48" measure="1" displayFolder="Residual" measureGroup="CFTP Transactions" count="0"/>
    <cacheHierarchy uniqueName="[Measures].[ALG60]" caption="ALG60" measure="1" displayFolder="Residual" measureGroup="CFTP Transactions" count="0"/>
    <cacheHierarchy uniqueName="[Measures].[IncentiveSpending]" caption="IncentiveSpending" measure="1" displayFolder="" measureGroup="CFTP Transactions" count="0"/>
    <cacheHierarchy uniqueName="[Measures].[Incentive % of MSRP]" caption="Incentive % of MSRP" measure="1" displayFolder="" measureGroup="CFTP Transactions" count="0"/>
    <cacheHierarchy uniqueName="[Measures].[IncentiveSpending - Nissan]" caption="IncentiveSpending - Nissan" measure="1" displayFolder="" measureGroup="Nissan ISR" count="0"/>
    <cacheHierarchy uniqueName="[Measures].[IncentiveSpending - FCA]" caption="IncentiveSpending - FCA" measure="1" displayFolder="" measureGroup="FCA ISR" count="0"/>
    <cacheHierarchy uniqueName="[Measures].[AvgCFTP - Nissan]" caption="AvgCFTP - Nissan" measure="1" displayFolder="" measureGroup="Nissan ISR" count="0"/>
    <cacheHierarchy uniqueName="[Measures].[AvgCFTP - FCA]" caption="AvgCFTP - FCA" measure="1" displayFolder="" measureGroup="FCA ISR" count="0"/>
    <cacheHierarchy uniqueName="[Measures].[IS as % of VehPrice]" caption="IS as % of VehPrice" measure="1" displayFolder="" measureGroup="CFTP Transactions" count="0"/>
    <cacheHierarchy uniqueName="[Measures].[VehiclePrice]" caption="VehiclePrice" measure="1" displayFolder="" measureGroup="CFTP Transactions" count="0"/>
    <cacheHierarchy uniqueName="[Measures].[MSRP]" caption="MSRP" measure="1" displayFolder="" measureGroup="CFTP Transactions" count="0" oneField="1">
      <fieldsUsage count="1">
        <fieldUsage x="13"/>
      </fieldsUsage>
    </cacheHierarchy>
    <cacheHierarchy uniqueName="[Measures].[Total Reported Sales By Model ModelYear]" caption="Total Reported Sales By Model ModelYear" measure="1" displayFolder="" measureGroup="Total Reported Sales" count="0"/>
    <cacheHierarchy uniqueName="[Measures].[DSR: Total Reported Sales]" caption="DSR: Total Reported Sales" measure="1" displayFolder="" measureGroup="Miscellaneous" count="0"/>
    <cacheHierarchy uniqueName="[Measures].[Non-Retail Sales]" caption="Non-Retail Sales" measure="1" displayFolder="" measureGroup="Miscellaneous" count="0"/>
    <cacheHierarchy uniqueName="[Measures].[Non-retail Mix %]" caption="Non-retail Mix %" measure="1" displayFolder="" measureGroup="Miscellaneous" count="0"/>
    <cacheHierarchy uniqueName="[Measures].[Retail Mix %]" caption="Retail Mix %" measure="1" displayFolder="" measureGroup="Miscellaneous" count="0"/>
    <cacheHierarchy uniqueName="[Measures].[StableCount]" caption="StableCount" measure="1" displayFolder="" measureGroup="Miscellaneous" count="0"/>
    <cacheHierarchy uniqueName="[Measures].[DSR: Est. Retail Sales]" caption="DSR: Est. Retail Sales" measure="1" displayFolder="" measureGroup="Miscellaneous" count="0"/>
    <cacheHierarchy uniqueName="[Measures].[Consumer Expenditures]" caption="Consumer Expenditures" measure="1" displayFolder="" measureGroup="Miscellaneous" count="0"/>
    <cacheHierarchy uniqueName="[Measures].[CFTP]" caption="CFTP" measure="1" displayFolder="" measureGroup="CFTP Transactions" count="0" hidden="1"/>
    <cacheHierarchy uniqueName="[Measures].[TotalCFTP]" caption="TotalCFTP" measure="1" displayFolder="" measureGroup="CFTP Transactions" count="0" hidden="1"/>
    <cacheHierarchy uniqueName="[Measures].[TotalALG24]" caption="TotalALG24" measure="1" displayFolder="" measureGroup="CFTP Transactions" count="0" hidden="1"/>
    <cacheHierarchy uniqueName="[Measures].[TotalALG36]" caption="TotalALG36" measure="1" displayFolder="" measureGroup="CFTP Transactions" count="0" hidden="1"/>
    <cacheHierarchy uniqueName="[Measures].[TotalALG48]" caption="TotalALG48" measure="1" displayFolder="" measureGroup="CFTP Transactions" count="0" hidden="1"/>
    <cacheHierarchy uniqueName="[Measures].[TotalALG60]" caption="TotalALG60" measure="1" displayFolder="" measureGroup="CFTP Transactions" count="0" hidden="1"/>
    <cacheHierarchy uniqueName="[Measures].[ALGSales]" caption="ALGSales" measure="1" displayFolder="" measureGroup="CFTP Transactions" count="0" hidden="1"/>
    <cacheHierarchy uniqueName="[Measures].[TotalMSRP]" caption="TotalMSRP" measure="1" displayFolder="" measureGroup="CFTP Transactions" count="0" hidden="1"/>
    <cacheHierarchy uniqueName="[Measures].[TotalVehPrice]" caption="TotalVehPrice" measure="1" displayFolder="" measureGroup="CFTP Transactions" count="0" hidden="1"/>
    <cacheHierarchy uniqueName="[Measures].[MSRPSales]" caption="MSRPSales" measure="1" displayFolder="" measureGroup="CFTP Transactions" count="0" hidden="1"/>
    <cacheHierarchy uniqueName="[Measures].[ISForMSRP]" caption="ISForMSRP" measure="1" displayFolder="" measureGroup="CFTP Transactions" count="0" hidden="1"/>
    <cacheHierarchy uniqueName="[Measures].[ISForVehPrice]" caption="ISForVehPrice" measure="1" displayFolder="" measureGroup="CFTP Transactions" count="0" hidden="1"/>
    <cacheHierarchy uniqueName="[Measures].[IncentiveMix_Cash]" caption="IncentiveMix_Cash" measure="1" displayFolder="" measureGroup="CFTP Transactions" count="0" hidden="1"/>
    <cacheHierarchy uniqueName="[Measures].[IncentiveMix_Finance]" caption="IncentiveMix_Finance" measure="1" displayFolder="" measureGroup="CFTP Transactions" count="0" hidden="1"/>
    <cacheHierarchy uniqueName="[Measures].[IncentiveMix_Lease]" caption="IncentiveMix_Lease" measure="1" displayFolder="" measureGroup="CFTP Transactions" count="0" hidden="1"/>
    <cacheHierarchy uniqueName="[Measures].[IncentiveMix_Purchase]" caption="IncentiveMix_Purchase" measure="1" displayFolder="" measureGroup="CFTP Transactions" count="0" hidden="1"/>
    <cacheHierarchy uniqueName="[Measures].[SellingDay]" caption="SellingDay" measure="1" displayFolder="" measureGroup="Miscellaneous" count="0" hidden="1"/>
    <cacheHierarchy uniqueName="[Measures].[Weekend]" caption="Weekend" measure="1" displayFolder="" measureGroup="Miscellaneous" count="0" hidden="1"/>
    <cacheHierarchy uniqueName="[Measures].[VF Selling Day Count]" caption="VF Selling Day Count" measure="1" displayFolder="" measureGroup="Miscellaneous" count="0" hidden="1"/>
    <cacheHierarchy uniqueName="[Measures].[ShareBasedSales]" caption="ShareBasedSales" measure="1" displayFolder="" measureGroup="Pseudo New" count="0" hidden="1"/>
    <cacheHierarchy uniqueName="[Measures].[ShareBasedSales2]" caption="ShareBasedSales2" measure="1" displayFolder="" measureGroup="Pseudo New" count="0" hidden="1"/>
    <cacheHierarchy uniqueName="[Measures].[Sales]" caption="Sales" measure="1" displayFolder="" measureGroup="Total Sales" count="0" hidden="1"/>
    <cacheHierarchy uniqueName="[Measures].[Stable Count]" caption="Stable Count" measure="1" displayFolder="" measureGroup="Stable Count" count="0" hidden="1"/>
    <cacheHierarchy uniqueName="[Measures].[Sales_IS]" caption="Sales_IS" measure="1" displayFolder="" measureGroup="IncentiveSpending" count="0" hidden="1"/>
    <cacheHierarchy uniqueName="[Measures].[Total_ChUnit1]" caption="Total_ChUnit1" measure="1" displayFolder="" measureGroup="IncentiveSpending" count="0" hidden="1"/>
    <cacheHierarchy uniqueName="[Measures].[Total_FiUnit1]" caption="Total_FiUnit1" measure="1" displayFolder="" measureGroup="IncentiveSpending" count="0" hidden="1"/>
    <cacheHierarchy uniqueName="[Measures].[Total_LsUnit1]" caption="Total_LsUnit1" measure="1" displayFolder="" measureGroup="IncentiveSpending" count="0" hidden="1"/>
    <cacheHierarchy uniqueName="[Measures].[Total_ChUnit2]" caption="Total_ChUnit2" measure="1" displayFolder="" measureGroup="IncentiveSpending" count="0" hidden="1"/>
    <cacheHierarchy uniqueName="[Measures].[Total_FiUnit2]" caption="Total_FiUnit2" measure="1" displayFolder="" measureGroup="IncentiveSpending" count="0" hidden="1"/>
    <cacheHierarchy uniqueName="[Measures].[Total_LsUnit2]" caption="Total_LsUnit2" measure="1" displayFolder="" measureGroup="IncentiveSpending" count="0" hidden="1"/>
    <cacheHierarchy uniqueName="[Measures].[Total_ChPct]" caption="Total_ChPct" measure="1" displayFolder="" measureGroup="IncentiveSpending" count="0" hidden="1"/>
    <cacheHierarchy uniqueName="[Measures].[Total_FiPct]" caption="Total_FiPct" measure="1" displayFolder="" measureGroup="IncentiveSpending" count="0" hidden="1"/>
    <cacheHierarchy uniqueName="[Measures].[Total_LsPct]" caption="Total_LsPct" measure="1" displayFolder="" measureGroup="IncentiveSpending" count="0" hidden="1"/>
    <cacheHierarchy uniqueName="[Measures].[Total_ChPct2]" caption="Total_ChPct2" measure="1" displayFolder="" measureGroup="IncentiveSpending" count="0" hidden="1"/>
    <cacheHierarchy uniqueName="[Measures].[Total_FiPct2]" caption="Total_FiPct2" measure="1" displayFolder="" measureGroup="IncentiveSpending" count="0" hidden="1"/>
    <cacheHierarchy uniqueName="[Measures].[Total_LsPct2]" caption="Total_LsPct2" measure="1" displayFolder="" measureGroup="IncentiveSpending" count="0" hidden="1"/>
    <cacheHierarchy uniqueName="[Measures].[Total_Sales_IS]" caption="Total_Sales_IS" measure="1" displayFolder="" measureGroup="IncentiveSpending" count="0" hidden="1"/>
    <cacheHierarchy uniqueName="[Measures].[TotalSales - Nissan]" caption="TotalSales - Nissan" measure="1" displayFolder="" measureGroup="Nissan ISR" count="0" hidden="1"/>
    <cacheHierarchy uniqueName="[Measures].[TotalIncentiveSpending - Nissan]" caption="TotalIncentiveSpending - Nissan" measure="1" displayFolder="" measureGroup="Nissan ISR" count="0" hidden="1"/>
    <cacheHierarchy uniqueName="[Measures].[IncentiveMix_Cash - Nissan]" caption="IncentiveMix_Cash - Nissan" measure="1" displayFolder="" measureGroup="Nissan ISR" count="0" hidden="1"/>
    <cacheHierarchy uniqueName="[Measures].[IncentiveMix_Finance - Nissan]" caption="IncentiveMix_Finance - Nissan" measure="1" displayFolder="" measureGroup="Nissan ISR" count="0" hidden="1"/>
    <cacheHierarchy uniqueName="[Measures].[IncentiveMix_Lease - Nissan]" caption="IncentiveMix_Lease - Nissan" measure="1" displayFolder="" measureGroup="Nissan ISR" count="0" hidden="1"/>
    <cacheHierarchy uniqueName="[Measures].[IncentiveMix_Purchase - Nissan]" caption="IncentiveMix_Purchase - Nissan" measure="1" displayFolder="" measureGroup="Nissan ISR" count="0" hidden="1"/>
    <cacheHierarchy uniqueName="[Measures].[TotalCFTP - Nissan]" caption="TotalCFTP - Nissan" measure="1" displayFolder="" measureGroup="Nissan ISR" count="0" hidden="1"/>
    <cacheHierarchy uniqueName="[Measures].[Sales - Nissan]" caption="Sales - Nissan" measure="1" displayFolder="" measureGroup="NissanISR_Hidden" count="0" hidden="1"/>
    <cacheHierarchy uniqueName="[Measures].[Total_ChUnit1 - Nissan]" caption="Total_ChUnit1 - Nissan" measure="1" displayFolder="" measureGroup="NissanISR_Hidden" count="0" hidden="1"/>
    <cacheHierarchy uniqueName="[Measures].[Total_FiUnit1 - Nissan]" caption="Total_FiUnit1 - Nissan" measure="1" displayFolder="" measureGroup="NissanISR_Hidden" count="0" hidden="1"/>
    <cacheHierarchy uniqueName="[Measures].[Total_LsUnit1 - Nissan]" caption="Total_LsUnit1 - Nissan" measure="1" displayFolder="" measureGroup="NissanISR_Hidden" count="0" hidden="1"/>
    <cacheHierarchy uniqueName="[Measures].[Total_ChUnit2 - Nissan]" caption="Total_ChUnit2 - Nissan" measure="1" displayFolder="" measureGroup="NissanISR_Hidden" count="0" hidden="1"/>
    <cacheHierarchy uniqueName="[Measures].[Total_FiUnit2 - Nissan]" caption="Total_FiUnit2 - Nissan" measure="1" displayFolder="" measureGroup="NissanISR_Hidden" count="0" hidden="1"/>
    <cacheHierarchy uniqueName="[Measures].[Total_LsUnit2 - Nissan]" caption="Total_LsUnit2 - Nissan" measure="1" displayFolder="" measureGroup="NissanISR_Hidden" count="0" hidden="1"/>
    <cacheHierarchy uniqueName="[Measures].[Total_ChPct - Nissan]" caption="Total_ChPct - Nissan" measure="1" displayFolder="" measureGroup="NissanISR_Hidden" count="0" hidden="1"/>
    <cacheHierarchy uniqueName="[Measures].[Total_FiPct - Nissan]" caption="Total_FiPct - Nissan" measure="1" displayFolder="" measureGroup="NissanISR_Hidden" count="0" hidden="1"/>
    <cacheHierarchy uniqueName="[Measures].[Total_LsPct - Nissan]" caption="Total_LsPct - Nissan" measure="1" displayFolder="" measureGroup="NissanISR_Hidden" count="0" hidden="1"/>
    <cacheHierarchy uniqueName="[Measures].[Total_ChPct2 - Nissan]" caption="Total_ChPct2 - Nissan" measure="1" displayFolder="" measureGroup="NissanISR_Hidden" count="0" hidden="1"/>
    <cacheHierarchy uniqueName="[Measures].[Total_FiPct2 - Nissan]" caption="Total_FiPct2 - Nissan" measure="1" displayFolder="" measureGroup="NissanISR_Hidden" count="0" hidden="1"/>
    <cacheHierarchy uniqueName="[Measures].[Total_LsPct2 - Nissan]" caption="Total_LsPct2 - Nissan" measure="1" displayFolder="" measureGroup="NissanISR_Hidden" count="0" hidden="1"/>
    <cacheHierarchy uniqueName="[Measures].[TotalMonthlyPayment]" caption="TotalMonthlyPayment" measure="1" displayFolder="" measureGroup="Market Timer" count="0" hidden="1"/>
    <cacheHierarchy uniqueName="[Measures].[TotalSales - FCA]" caption="TotalSales - FCA" measure="1" displayFolder="" measureGroup="FCA ISR" count="0" hidden="1"/>
    <cacheHierarchy uniqueName="[Measures].[TotalCFTP - FCA]" caption="TotalCFTP - FCA" measure="1" displayFolder="" measureGroup="FCA ISR" count="0" hidden="1"/>
    <cacheHierarchy uniqueName="[Measures].[TotalIncentiveSpending - FCA]" caption="TotalIncentiveSpending - FCA" measure="1" displayFolder="" measureGroup="FCA ISR" count="0" hidden="1"/>
    <cacheHierarchy uniqueName="[Measures].[IncentiveMix_Cash - FCA]" caption="IncentiveMix_Cash - FCA" measure="1" displayFolder="" measureGroup="FCA ISR" count="0" hidden="1"/>
    <cacheHierarchy uniqueName="[Measures].[IncentiveMix_Finance - FCA]" caption="IncentiveMix_Finance - FCA" measure="1" displayFolder="" measureGroup="FCA ISR" count="0" hidden="1"/>
    <cacheHierarchy uniqueName="[Measures].[IncentiveMix_Lease - FCA]" caption="IncentiveMix_Lease - FCA" measure="1" displayFolder="" measureGroup="FCA ISR" count="0" hidden="1"/>
    <cacheHierarchy uniqueName="[Measures].[IncentiveMix_Purchase - FCA]" caption="IncentiveMix_Purchase - FCA" measure="1" displayFolder="" measureGroup="FCA ISR" count="0" hidden="1"/>
    <cacheHierarchy uniqueName="[Measures].[Sales - FCA]" caption="Sales - FCA" measure="1" displayFolder="" measureGroup="FcaISR_Hidden" count="0" hidden="1"/>
    <cacheHierarchy uniqueName="[Measures].[Total_ChUnit1 - FCA]" caption="Total_ChUnit1 - FCA" measure="1" displayFolder="" measureGroup="FcaISR_Hidden" count="0" hidden="1"/>
    <cacheHierarchy uniqueName="[Measures].[Total_FiUnit1 - FCA]" caption="Total_FiUnit1 - FCA" measure="1" displayFolder="" measureGroup="FcaISR_Hidden" count="0" hidden="1"/>
    <cacheHierarchy uniqueName="[Measures].[Total_LsUnit1 - FCA]" caption="Total_LsUnit1 - FCA" measure="1" displayFolder="" measureGroup="FcaISR_Hidden" count="0" hidden="1"/>
    <cacheHierarchy uniqueName="[Measures].[Total_ChUnit2 - FCA]" caption="Total_ChUnit2 - FCA" measure="1" displayFolder="" measureGroup="FcaISR_Hidden" count="0" hidden="1"/>
    <cacheHierarchy uniqueName="[Measures].[Total_FiUnit2 - FCA]" caption="Total_FiUnit2 - FCA" measure="1" displayFolder="" measureGroup="FcaISR_Hidden" count="0" hidden="1"/>
    <cacheHierarchy uniqueName="[Measures].[Total_LsUnit2 - FCA]" caption="Total_LsUnit2 - FCA" measure="1" displayFolder="" measureGroup="FcaISR_Hidden" count="0" hidden="1"/>
    <cacheHierarchy uniqueName="[Measures].[Total_ChPct - FCA]" caption="Total_ChPct - FCA" measure="1" displayFolder="" measureGroup="FcaISR_Hidden" count="0" hidden="1"/>
    <cacheHierarchy uniqueName="[Measures].[Total_FiPct - FCA]" caption="Total_FiPct - FCA" measure="1" displayFolder="" measureGroup="FcaISR_Hidden" count="0" hidden="1"/>
    <cacheHierarchy uniqueName="[Measures].[Total_LsPct - FCA]" caption="Total_LsPct - FCA" measure="1" displayFolder="" measureGroup="FcaISR_Hidden" count="0" hidden="1"/>
    <cacheHierarchy uniqueName="[Measures].[Total_ChPct2 - FCA]" caption="Total_ChPct2 - FCA" measure="1" displayFolder="" measureGroup="FcaISR_Hidden" count="0" hidden="1"/>
    <cacheHierarchy uniqueName="[Measures].[Total_FiPct2 - FCA]" caption="Total_FiPct2 - FCA" measure="1" displayFolder="" measureGroup="FcaISR_Hidden" count="0" hidden="1"/>
    <cacheHierarchy uniqueName="[Measures].[Total_LsPct2 - FCA]" caption="Total_LsPct2 - FCA" measure="1" displayFolder="" measureGroup="FcaISR_Hidden" count="0" hidden="1"/>
    <cacheHierarchy uniqueName="[Measures].[NegEquityWeight]" caption="NegEquityWeight" measure="1" displayFolder="" measureGroup="Score Card" count="0" hidden="1"/>
    <cacheHierarchy uniqueName="[Measures].[EquityWeight]" caption="EquityWeight" measure="1" displayFolder="" measureGroup="Score Card" count="0" hidden="1"/>
    <cacheHierarchy uniqueName="[Measures].[WeightedDaysToTurn]" caption="WeightedDaysToTurn" measure="1" displayFolder="" measureGroup="Score Card" count="0" hidden="1"/>
    <cacheHierarchy uniqueName="[Measures].[DaysToTurnWeight]" caption="DaysToTurnWeight" measure="1" displayFolder="" measureGroup="Score Card" count="0" hidden="1"/>
    <cacheHierarchy uniqueName="[Measures].[WeightedVehGross]" caption="WeightedVehGross" measure="1" displayFolder="" measureGroup="Score Card" count="0" hidden="1"/>
    <cacheHierarchy uniqueName="[Measures].[VehGrossWeight]" caption="VehGrossWeight" measure="1" displayFolder="" measureGroup="Score Card" count="0" hidden="1"/>
    <cacheHierarchy uniqueName="[Measures].[Term72PlusWeight]" caption="Term72PlusWeight" measure="1" displayFolder="" measureGroup="Score Card" count="0" hidden="1"/>
    <cacheHierarchy uniqueName="[Measures].[Term84PlusWeight]" caption="Term84PlusWeight" measure="1" displayFolder="" measureGroup="Score Card" count="0" hidden="1"/>
    <cacheHierarchy uniqueName="[Measures].[LeaseWeight]" caption="LeaseWeight" measure="1" displayFolder="" measureGroup="Score Card" count="0" hidden="1"/>
    <cacheHierarchy uniqueName="[Measures].[FinanceWeight]" caption="FinanceWeight" measure="1" displayFolder="" measureGroup="Score Card" count="0" hidden="1"/>
    <cacheHierarchy uniqueName="[Measures].[CashWeight]" caption="CashWeight" measure="1" displayFolder="" measureGroup="Score Card" count="0" hidden="1"/>
    <cacheHierarchy uniqueName="[Measures].[WeightedLeaseTerm]" caption="WeightedLeaseTerm" measure="1" displayFolder="" measureGroup="Score Card" count="0" hidden="1"/>
    <cacheHierarchy uniqueName="[Measures].[LeaseTermWeight]" caption="LeaseTermWeight" measure="1" displayFolder="" measureGroup="Score Card" count="0" hidden="1"/>
    <cacheHierarchy uniqueName="[Measures].[WeightedFinanceTerm]" caption="WeightedFinanceTerm" measure="1" displayFolder="" measureGroup="Score Card" count="0" hidden="1"/>
    <cacheHierarchy uniqueName="[Measures].[FinanceTermWeight]" caption="FinanceTermWeight" measure="1" displayFolder="" measureGroup="Score Card" count="0" hidden="1"/>
    <cacheHierarchy uniqueName="[Measures].[WeightedTerm]" caption="WeightedTerm" measure="1" displayFolder="" measureGroup="Score Card" count="0" hidden="1"/>
    <cacheHierarchy uniqueName="[Measures].[TermWeight]" caption="TermWeight" measure="1" displayFolder="" measureGroup="Score Card" count="0" hidden="1"/>
    <cacheHierarchy uniqueName="[Measures].[WeightedTradeEquity]" caption="WeightedTradeEquity" measure="1" displayFolder="" measureGroup="Score Card" count="0" hidden="1"/>
    <cacheHierarchy uniqueName="[Measures].[TradeEquityWeight]" caption="TradeEquityWeight" measure="1" displayFolder="" measureGroup="Score Card" count="0" hidden="1"/>
    <cacheHierarchy uniqueName="[Measures].[WeightedFIIncome]" caption="WeightedFIIncome" measure="1" displayFolder="" measureGroup="Score Card" count="0" hidden="1"/>
    <cacheHierarchy uniqueName="[Measures].[VehPriceWeight]" caption="VehPriceWeight" measure="1" displayFolder="" measureGroup="Score Card" count="0" hidden="1"/>
    <cacheHierarchy uniqueName="[Measures].[UsedCount]" caption="UsedCount" measure="1" displayFolder="" measureGroup="Score Card" count="0" hidden="1"/>
    <cacheHierarchy uniqueName="[Measures].[WeightedUsedVehPrice]" caption="WeightedUsedVehPrice" measure="1" displayFolder="" measureGroup="Score Card" count="0" hidden="1"/>
    <cacheHierarchy uniqueName="[Measures].[UsedVehPriceWeight]" caption="UsedVehPriceWeight" measure="1" displayFolder="" measureGroup="Score Card" count="0" hidden="1"/>
    <cacheHierarchy uniqueName="[Measures].[WeightedUsedOdometer]" caption="WeightedUsedOdometer" measure="1" displayFolder="" measureGroup="Score Card" count="0" hidden="1"/>
    <cacheHierarchy uniqueName="[Measures].[UsedOdometerWeight]" caption="UsedOdometerWeight" measure="1" displayFolder="" measureGroup="Score Card" count="0" hidden="1"/>
    <cacheHierarchy uniqueName="[Measures].[ScoreCardCount]" caption="ScoreCardCount" measure="1" displayFolder="" measureGroup="Score Card" count="0" hidden="1"/>
    <cacheHierarchy uniqueName="[Measures].[StdTerm_Weight]" caption="StdTerm_Weight" measure="1" displayFolder="" measureGroup="Score Card" count="0" hidden="1"/>
    <cacheHierarchy uniqueName="[Measures].[CSSub620Count]" caption="CSSub620Count" measure="1" displayFolder="" measureGroup="Score Card" count="0" hidden="1"/>
    <cacheHierarchy uniqueName="[Measures].[CSSub650Count]" caption="CSSub650Count" measure="1" displayFolder="" measureGroup="Score Card" count="0" hidden="1"/>
    <cacheHierarchy uniqueName="[Measures].[WeightedCreditScore]" caption="WeightedCreditScore" measure="1" displayFolder="" measureGroup="Score Card" count="0" hidden="1"/>
    <cacheHierarchy uniqueName="[Measures].[CreditScoreWeight]" caption="CreditScoreWeight" measure="1" displayFolder="" measureGroup="Score Card" count="0" hidden="1"/>
    <cacheHierarchy uniqueName="[Measures].[WeightedFinanced]" caption="WeightedFinanced" measure="1" displayFolder="" measureGroup="Score Card" count="0" hidden="1"/>
    <cacheHierarchy uniqueName="[Measures].[FinancedWeight]" caption="FinancedWeight" measure="1" displayFolder="" measureGroup="Score Card" count="0" hidden="1"/>
    <cacheHierarchy uniqueName="[Measures].[WeightedFinancedToRebateL]" caption="WeightedFinancedToRebateL" measure="1" displayFolder="" measureGroup="Score Card" count="0" hidden="1"/>
    <cacheHierarchy uniqueName="[Measures].[FinancedToRebateLWeight]" caption="FinancedToRebateLWeight" measure="1" displayFolder="" measureGroup="Score Card" count="0" hidden="1"/>
    <cacheHierarchy uniqueName="[Measures].[WeightedPriceMinusRebate]" caption="WeightedPriceMinusRebate" measure="1" displayFolder="" measureGroup="Score Card" count="0" hidden="1"/>
    <cacheHierarchy uniqueName="[Measures].[PriceMinusRebateWeight]" caption="PriceMinusRebateWeight" measure="1" displayFolder="" measureGroup="Score Card" count="0" hidden="1"/>
    <cacheHierarchy uniqueName="[Measures].[MSRP Volumn]" caption="MSRP Volumn" measure="1" displayFolder="" measureGroup="Auction" count="0" hidden="1"/>
    <cacheHierarchy uniqueName="[Measures].[Total Age]" caption="Total Age" measure="1" displayFolder="" measureGroup="Auction" count="0" hidden="1"/>
    <cacheHierarchy uniqueName="[Measures].[Raw Price Total]" caption="Raw Price Total" measure="1" displayFolder="" measureGroup="Auction" count="0" hidden="1"/>
    <cacheHierarchy uniqueName="[Measures].[NADA Price Total]" caption="NADA Price Total" measure="1" displayFolder="" measureGroup="Auction" count="0" hidden="1"/>
    <cacheHierarchy uniqueName="[Measures].[MSRP Total]" caption="MSRP Total" measure="1" displayFolder="" measureGroup="Auction" count="0" hidden="1"/>
    <cacheHierarchy uniqueName="[Measures].[Mileage Total]" caption="Mileage Total" measure="1" displayFolder="" measureGroup="Auction" count="0" hidden="1"/>
    <cacheHierarchy uniqueName="[Measures].[Daily_Sales_Rate]" caption="Daily_Sales_Rate" measure="1" displayFolder="" measureGroup="Wards Days Supply" count="0" hidden="1"/>
    <cacheHierarchy uniqueName="[Measures].[Total Supply]" caption="Total Supply" measure="1" displayFolder="" measureGroup="Wards Days Supply" count="0" hidden="1"/>
    <cacheHierarchy uniqueName="[Measures].[v18 @ Retailer DMA]" caption="v18 @ Retailer DMA" measure="1" displayFolder="" measureGroup="Estimated Sales" count="0" hidden="1"/>
    <cacheHierarchy uniqueName="[Measures].[Cash_Unit1]" caption="Cash_Unit1" measure="1" displayFolder="" measureGroup="IncentiveSpending" count="0" hidden="1"/>
    <cacheHierarchy uniqueName="[Measures].[Cash_Unit1 - Nissan]" caption="Cash_Unit1 - Nissan" measure="1" displayFolder="" measureGroup="NissanISR_Hidden" count="0" hidden="1"/>
    <cacheHierarchy uniqueName="[Measures].[Cash_Unit1 - FCA]" caption="Cash_Unit1 - FCA" measure="1" displayFolder="" measureGroup="FcaISR_Hidden" count="0" hidden="1"/>
    <cacheHierarchy uniqueName="[Measures].[Finance_Unit1]" caption="Finance_Unit1" measure="1" displayFolder="" measureGroup="IncentiveSpending" count="0" hidden="1"/>
    <cacheHierarchy uniqueName="[Measures].[Finance_Unit1 - Nissan]" caption="Finance_Unit1 - Nissan" measure="1" displayFolder="" measureGroup="NissanISR_Hidden" count="0" hidden="1"/>
    <cacheHierarchy uniqueName="[Measures].[Finance_Unit1 - FCA]" caption="Finance_Unit1 - FCA" measure="1" displayFolder="" measureGroup="FcaISR_Hidden" count="0" hidden="1"/>
    <cacheHierarchy uniqueName="[Measures].[Lease_Unit1]" caption="Lease_Unit1" measure="1" displayFolder="" measureGroup="IncentiveSpending" count="0" hidden="1"/>
    <cacheHierarchy uniqueName="[Measures].[Lease_Unit1 - Nissan]" caption="Lease_Unit1 - Nissan" measure="1" displayFolder="" measureGroup="NissanISR_Hidden" count="0" hidden="1"/>
    <cacheHierarchy uniqueName="[Measures].[Lease_Unit1 - FCA]" caption="Lease_Unit1 - FCA" measure="1" displayFolder="" measureGroup="FcaISR_Hidden" count="0" hidden="1"/>
    <cacheHierarchy uniqueName="[Measures].[Cash_Unit2]" caption="Cash_Unit2" measure="1" displayFolder="" measureGroup="IncentiveSpending" count="0" hidden="1"/>
    <cacheHierarchy uniqueName="[Measures].[Cash_Unit2 - Nissan]" caption="Cash_Unit2 - Nissan" measure="1" displayFolder="" measureGroup="NissanISR_Hidden" count="0" hidden="1"/>
    <cacheHierarchy uniqueName="[Measures].[Cash_Unit2 - FCA]" caption="Cash_Unit2 - FCA" measure="1" displayFolder="" measureGroup="FcaISR_Hidden" count="0" hidden="1"/>
    <cacheHierarchy uniqueName="[Measures].[Finance_Unit2]" caption="Finance_Unit2" measure="1" displayFolder="" measureGroup="IncentiveSpending" count="0" hidden="1"/>
    <cacheHierarchy uniqueName="[Measures].[Finance_Unit2 - Nissan]" caption="Finance_Unit2 - Nissan" measure="1" displayFolder="" measureGroup="NissanISR_Hidden" count="0" hidden="1"/>
    <cacheHierarchy uniqueName="[Measures].[Finance_Unit2 - FCA]" caption="Finance_Unit2 - FCA" measure="1" displayFolder="" measureGroup="FcaISR_Hidden" count="0" hidden="1"/>
    <cacheHierarchy uniqueName="[Measures].[Lease_Unit2]" caption="Lease_Unit2" measure="1" displayFolder="" measureGroup="IncentiveSpending" count="0" hidden="1"/>
    <cacheHierarchy uniqueName="[Measures].[Lease_Unit2 - Nissan]" caption="Lease_Unit2 - Nissan" measure="1" displayFolder="" measureGroup="NissanISR_Hidden" count="0" hidden="1"/>
    <cacheHierarchy uniqueName="[Measures].[Lease_Unit2 - FCA]" caption="Lease_Unit2 - FCA" measure="1" displayFolder="" measureGroup="FcaISR_Hidden" count="0" hidden="1"/>
    <cacheHierarchy uniqueName="[Measures].[Cash_Pct]" caption="Cash_Pct" measure="1" displayFolder="" measureGroup="IncentiveSpending" count="0" hidden="1"/>
    <cacheHierarchy uniqueName="[Measures].[Cash_Pct - Nissan]" caption="Cash_Pct - Nissan" measure="1" displayFolder="" measureGroup="NissanISR_Hidden" count="0" hidden="1"/>
    <cacheHierarchy uniqueName="[Measures].[Cash_Pct - FCA]" caption="Cash_Pct - FCA" measure="1" displayFolder="" measureGroup="FcaISR_Hidden" count="0" hidden="1"/>
    <cacheHierarchy uniqueName="[Measures].[Finance_Pct]" caption="Finance_Pct" measure="1" displayFolder="" measureGroup="IncentiveSpending" count="0" hidden="1"/>
    <cacheHierarchy uniqueName="[Measures].[Finance_Pct - Nissan]" caption="Finance_Pct - Nissan" measure="1" displayFolder="" measureGroup="NissanISR_Hidden" count="0" hidden="1"/>
    <cacheHierarchy uniqueName="[Measures].[Finance_Pct - FCA]" caption="Finance_Pct - FCA" measure="1" displayFolder="" measureGroup="FcaISR_Hidden" count="0" hidden="1"/>
    <cacheHierarchy uniqueName="[Measures].[Lease_Pct]" caption="Lease_Pct" measure="1" displayFolder="" measureGroup="IncentiveSpending" count="0" hidden="1"/>
    <cacheHierarchy uniqueName="[Measures].[Lease_Pct - Nissan]" caption="Lease_Pct - Nissan" measure="1" displayFolder="" measureGroup="NissanISR_Hidden" count="0" hidden="1"/>
    <cacheHierarchy uniqueName="[Measures].[Lease_Pct - FCA]" caption="Lease_Pct - FCA" measure="1" displayFolder="" measureGroup="FcaISR_Hidden" count="0" hidden="1"/>
    <cacheHierarchy uniqueName="[Measures].[Cash_Pct2]" caption="Cash_Pct2" measure="1" displayFolder="" measureGroup="IncentiveSpending" count="0" hidden="1"/>
    <cacheHierarchy uniqueName="[Measures].[Cash_Pct2 - Nissan]" caption="Cash_Pct2 - Nissan" measure="1" displayFolder="" measureGroup="NissanISR_Hidden" count="0" hidden="1"/>
    <cacheHierarchy uniqueName="[Measures].[Cash_Pct2 - FCA]" caption="Cash_Pct2 - FCA" measure="1" displayFolder="" measureGroup="FcaISR_Hidden" count="0" hidden="1"/>
    <cacheHierarchy uniqueName="[Measures].[Finance_Pct2]" caption="Finance_Pct2" measure="1" displayFolder="" measureGroup="IncentiveSpending" count="0" hidden="1"/>
    <cacheHierarchy uniqueName="[Measures].[Finance_Pct2 - Nissan]" caption="Finance_Pct2 - Nissan" measure="1" displayFolder="" measureGroup="NissanISR_Hidden" count="0" hidden="1"/>
    <cacheHierarchy uniqueName="[Measures].[Finance_Pct2 - FCA]" caption="Finance_Pct2 - FCA" measure="1" displayFolder="" measureGroup="FcaISR_Hidden" count="0" hidden="1"/>
    <cacheHierarchy uniqueName="[Measures].[Lease_Pct2]" caption="Lease_Pct2" measure="1" displayFolder="" measureGroup="IncentiveSpending" count="0" hidden="1"/>
    <cacheHierarchy uniqueName="[Measures].[Lease_Pct2 - Nissan]" caption="Lease_Pct2 - Nissan" measure="1" displayFolder="" measureGroup="NissanISR_Hidden" count="0" hidden="1"/>
    <cacheHierarchy uniqueName="[Measures].[Lease_Pct2 - FCA]" caption="Lease_Pct2 - FCA" measure="1" displayFolder="" measureGroup="FcaISR_Hidden" count="0" hidden="1"/>
    <cacheHierarchy uniqueName="[Measures].[Purchase_Unit1]" caption="Purchase_Unit1" measure="1" displayFolder="" measureGroup="IncentiveSpending" count="0" hidden="1"/>
    <cacheHierarchy uniqueName="[Measures].[Purchase_Unit1 - Nissan]" caption="Purchase_Unit1 - Nissan" measure="1" displayFolder="" measureGroup="NissanISR_Hidden" count="0" hidden="1"/>
    <cacheHierarchy uniqueName="[Measures].[Purchase_Unit1 - FCA]" caption="Purchase_Unit1 - FCA" measure="1" displayFolder="" measureGroup="FcaISR_Hidden" count="0" hidden="1"/>
    <cacheHierarchy uniqueName="[Measures].[Purchase_Unit2]" caption="Purchase_Unit2" measure="1" displayFolder="" measureGroup="IncentiveSpending" count="0" hidden="1"/>
    <cacheHierarchy uniqueName="[Measures].[Purchase_Unit2 - Nissan]" caption="Purchase_Unit2 - Nissan" measure="1" displayFolder="" measureGroup="NissanISR_Hidden" count="0" hidden="1"/>
    <cacheHierarchy uniqueName="[Measures].[Purchase_Unit2 - FCA]" caption="Purchase_Unit2 - FCA" measure="1" displayFolder="" measureGroup="FcaISR_Hidden" count="0" hidden="1"/>
    <cacheHierarchy uniqueName="[Measures].[Purchase_Unit21]" caption="Purchase_Unit21" measure="1" displayFolder="" measureGroup="IncentiveSpending" count="0" hidden="1"/>
    <cacheHierarchy uniqueName="[Measures].[Purchase_Unit21 - Nissan]" caption="Purchase_Unit21 - Nissan" measure="1" displayFolder="" measureGroup="NissanISR_Hidden" count="0" hidden="1"/>
    <cacheHierarchy uniqueName="[Measures].[Purchase_Unit21 - FCA]" caption="Purchase_Unit21 - FCA" measure="1" displayFolder="" measureGroup="FcaISR_Hidden" count="0" hidden="1"/>
    <cacheHierarchy uniqueName="[Measures].[Purchase_Unit22]" caption="Purchase_Unit22" measure="1" displayFolder="" measureGroup="IncentiveSpending" count="0" hidden="1"/>
    <cacheHierarchy uniqueName="[Measures].[Purchase_Unit22 - Nissan]" caption="Purchase_Unit22 - Nissan" measure="1" displayFolder="" measureGroup="NissanISR_Hidden" count="0" hidden="1"/>
    <cacheHierarchy uniqueName="[Measures].[Purchase_Unit22 - FCA]" caption="Purchase_Unit22 - FCA" measure="1" displayFolder="" measureGroup="FcaISR_Hidden" count="0" hidden="1"/>
  </cacheHierarchies>
  <kpis count="0"/>
  <dimensions count="37">
    <dimension name="Age Group" uniqueName="[Age Group]" caption="Age Group"/>
    <dimension name="Body Type" uniqueName="[Body Type]" caption="Body Type"/>
    <dimension name="BodyType2" uniqueName="[BodyType2]" caption="BodyType2"/>
    <dimension name="Customer Regions" uniqueName="[Customer Regions]" caption="Customer Regions"/>
    <dimension name="Cylinder" uniqueName="[Cylinder]" caption="Cylinder"/>
    <dimension name="Demo Flag" uniqueName="[Demo Flag]" caption="Demo Flag"/>
    <dimension name="Door Type" uniqueName="[Door Type]" caption="Door Type"/>
    <dimension name="Drive Type" uniqueName="[Drive Type]" caption="Drive Type"/>
    <dimension name="FLAG Ln C" uniqueName="[FLAG Ln C]" caption="FLAG Ln C"/>
    <dimension name="Fuel Type" uniqueName="[Fuel Type]" caption="Fuel Type"/>
    <dimension name="Gender" uniqueName="[Gender]" caption="Gender"/>
    <dimension name="Generation" uniqueName="[Generation]" caption="Generation"/>
    <dimension name="Incentive Type" uniqueName="[Incentive Type]" caption="Incentive Type"/>
    <dimension measure="1" name="Measures" uniqueName="[Measures]" caption="Measures"/>
    <dimension name="Mkt Timer Sale Type" uniqueName="[Mkt Timer Sale Type]" caption="Mkt Timer Sale Type"/>
    <dimension name="Mkt Timer Term Group" uniqueName="[Mkt Timer Term Group]" caption="Mkt Timer Term Group"/>
    <dimension name="Model" uniqueName="[Model]" caption="Model"/>
    <dimension name="Model Year" uniqueName="[Model Year]" caption="Model Year"/>
    <dimension name="MSRP Category 1000" uniqueName="[MSRP Category 1000]" caption="MSRP Category 1000"/>
    <dimension name="MSRP Category 10000" uniqueName="[MSRP Category 10000]" caption="MSRP Category 10000"/>
    <dimension name="MSRP Category 2000" uniqueName="[MSRP Category 2000]" caption="MSRP Category 2000"/>
    <dimension name="MSRP Category 500" uniqueName="[MSRP Category 500]" caption="MSRP Category 500"/>
    <dimension name="MSRP Category 5000" uniqueName="[MSRP Category 5000]" caption="MSRP Category 5000"/>
    <dimension name="Price Category 1000" uniqueName="[Price Category 1000]" caption="Price Category 1000"/>
    <dimension name="Price Category 10000" uniqueName="[Price Category 10000]" caption="Price Category 10000"/>
    <dimension name="Price Category 2000" uniqueName="[Price Category 2000]" caption="Price Category 2000"/>
    <dimension name="Price Category 500" uniqueName="[Price Category 500]" caption="Price Category 500"/>
    <dimension name="Price Category 5000" uniqueName="[Price Category 5000]" caption="Price Category 5000"/>
    <dimension name="Segmentation" uniqueName="[Segmentation]" caption="Segmentation"/>
    <dimension name="TIME" uniqueName="[TIME]" caption="TIME"/>
    <dimension name="TrimLevel" uniqueName="[TrimLevel]" caption="TrimLevel"/>
    <dimension name="Type of Sale" uniqueName="[Type of Sale]" caption="Type of Sale"/>
    <dimension name="VehPrice Category 1000" uniqueName="[VehPrice Category 1000]" caption="VehPrice Category 1000"/>
    <dimension name="VehPrice Category 10000" uniqueName="[VehPrice Category 10000]" caption="VehPrice Category 10000"/>
    <dimension name="VehPrice Category 2000" uniqueName="[VehPrice Category 2000]" caption="VehPrice Category 2000"/>
    <dimension name="VehPrice Category 500" uniqueName="[VehPrice Category 500]" caption="VehPrice Category 500"/>
    <dimension name="VehPrice Category 5000" uniqueName="[VehPrice Category 5000]" caption="VehPrice Category 5000"/>
  </dimensions>
  <measureGroups count="22">
    <measureGroup name="Age Gender" caption="Age Gender"/>
    <measureGroup name="Auction" caption="Auction"/>
    <measureGroup name="CFTP Transactions" caption="CFTP Transactions"/>
    <measureGroup name="Estimated Sales" caption="Estimated Sales"/>
    <measureGroup name="Expenditure" caption="Expenditure"/>
    <measureGroup name="FCA ISR" caption="FCA ISR"/>
    <measureGroup name="FcaISR_Hidden" caption="FcaISR_Hidden"/>
    <measureGroup name="Franchised Used Sales" caption="Franchised Used Sales"/>
    <measureGroup name="IncentiveSpending" caption="IncentiveSpending"/>
    <measureGroup name="Market Timer" caption="Market Timer"/>
    <measureGroup name="Miscellaneous" caption="Miscellaneous"/>
    <measureGroup name="Nissan ISR" caption="Nissan ISR"/>
    <measureGroup name="NissanISR_Hidden" caption="NissanISR_Hidden"/>
    <measureGroup name="Polk Data" caption="Polk Data"/>
    <measureGroup name="Pseudo New" caption="Pseudo New"/>
    <measureGroup name="Pseudo New V18 R" caption="Pseudo New V18 R"/>
    <measureGroup name="SAAR" caption="SAAR"/>
    <measureGroup name="Score Card" caption="Score Card"/>
    <measureGroup name="Stable Count" caption="Stable Count"/>
    <measureGroup name="Total Reported Sales" caption="Total Reported Sales"/>
    <measureGroup name="Total Sales" caption="Total Sales"/>
    <measureGroup name="Wards Days Supply" caption="Wards Days Supply"/>
  </measureGroups>
  <maps count="186">
    <map measureGroup="0" dimension="0"/>
    <map measureGroup="0" dimension="3"/>
    <map measureGroup="0" dimension="10"/>
    <map measureGroup="0" dimension="11"/>
    <map measureGroup="0" dimension="16"/>
    <map measureGroup="0" dimension="17"/>
    <map measureGroup="0" dimension="28"/>
    <map measureGroup="0" dimension="29"/>
    <map measureGroup="1" dimension="1"/>
    <map measureGroup="1" dimension="2"/>
    <map measureGroup="1" dimension="4"/>
    <map measureGroup="1" dimension="6"/>
    <map measureGroup="1" dimension="7"/>
    <map measureGroup="1" dimension="9"/>
    <map measureGroup="1" dimension="16"/>
    <map measureGroup="1" dimension="17"/>
    <map measureGroup="1" dimension="28"/>
    <map measureGroup="1" dimension="29"/>
    <map measureGroup="2" dimension="1"/>
    <map measureGroup="2" dimension="2"/>
    <map measureGroup="2" dimension="3"/>
    <map measureGroup="2" dimension="4"/>
    <map measureGroup="2" dimension="6"/>
    <map measureGroup="2" dimension="7"/>
    <map measureGroup="2" dimension="8"/>
    <map measureGroup="2" dimension="9"/>
    <map measureGroup="2" dimension="12"/>
    <map measureGroup="2" dimension="16"/>
    <map measureGroup="2" dimension="17"/>
    <map measureGroup="2" dimension="18"/>
    <map measureGroup="2" dimension="19"/>
    <map measureGroup="2" dimension="20"/>
    <map measureGroup="2" dimension="21"/>
    <map measureGroup="2" dimension="22"/>
    <map measureGroup="2" dimension="23"/>
    <map measureGroup="2" dimension="24"/>
    <map measureGroup="2" dimension="25"/>
    <map measureGroup="2" dimension="26"/>
    <map measureGroup="2" dimension="27"/>
    <map measureGroup="2" dimension="28"/>
    <map measureGroup="2" dimension="29"/>
    <map measureGroup="2" dimension="30"/>
    <map measureGroup="2" dimension="31"/>
    <map measureGroup="2" dimension="32"/>
    <map measureGroup="2" dimension="33"/>
    <map measureGroup="2" dimension="34"/>
    <map measureGroup="2" dimension="35"/>
    <map measureGroup="2" dimension="36"/>
    <map measureGroup="3" dimension="1"/>
    <map measureGroup="3" dimension="2"/>
    <map measureGroup="3" dimension="3"/>
    <map measureGroup="3" dimension="4"/>
    <map measureGroup="3" dimension="6"/>
    <map measureGroup="3" dimension="7"/>
    <map measureGroup="3" dimension="16"/>
    <map measureGroup="3" dimension="17"/>
    <map measureGroup="3" dimension="28"/>
    <map measureGroup="3" dimension="29"/>
    <map measureGroup="3" dimension="30"/>
    <map measureGroup="3" dimension="31"/>
    <map measureGroup="4" dimension="1"/>
    <map measureGroup="4" dimension="2"/>
    <map measureGroup="4" dimension="3"/>
    <map measureGroup="4" dimension="4"/>
    <map measureGroup="4" dimension="6"/>
    <map measureGroup="4" dimension="7"/>
    <map measureGroup="4" dimension="9"/>
    <map measureGroup="4" dimension="12"/>
    <map measureGroup="4" dimension="16"/>
    <map measureGroup="4" dimension="17"/>
    <map measureGroup="4" dimension="28"/>
    <map measureGroup="4" dimension="29"/>
    <map measureGroup="4" dimension="30"/>
    <map measureGroup="4" dimension="31"/>
    <map measureGroup="5" dimension="1"/>
    <map measureGroup="5" dimension="2"/>
    <map measureGroup="5" dimension="3"/>
    <map measureGroup="5" dimension="4"/>
    <map measureGroup="5" dimension="6"/>
    <map measureGroup="5" dimension="7"/>
    <map measureGroup="5" dimension="9"/>
    <map measureGroup="5" dimension="12"/>
    <map measureGroup="5" dimension="16"/>
    <map measureGroup="5" dimension="17"/>
    <map measureGroup="5" dimension="28"/>
    <map measureGroup="5" dimension="29"/>
    <map measureGroup="5" dimension="30"/>
    <map measureGroup="5" dimension="31"/>
    <map measureGroup="6" dimension="2"/>
    <map measureGroup="6" dimension="3"/>
    <map measureGroup="6" dimension="16"/>
    <map measureGroup="6" dimension="17"/>
    <map measureGroup="6" dimension="28"/>
    <map measureGroup="6" dimension="29"/>
    <map measureGroup="7" dimension="1"/>
    <map measureGroup="7" dimension="2"/>
    <map measureGroup="7" dimension="3"/>
    <map measureGroup="7" dimension="4"/>
    <map measureGroup="7" dimension="5"/>
    <map measureGroup="7" dimension="6"/>
    <map measureGroup="7" dimension="7"/>
    <map measureGroup="7" dimension="9"/>
    <map measureGroup="7" dimension="16"/>
    <map measureGroup="7" dimension="17"/>
    <map measureGroup="7" dimension="28"/>
    <map measureGroup="7" dimension="29"/>
    <map measureGroup="7" dimension="30"/>
    <map measureGroup="7" dimension="31"/>
    <map measureGroup="8" dimension="2"/>
    <map measureGroup="8" dimension="3"/>
    <map measureGroup="8" dimension="16"/>
    <map measureGroup="8" dimension="17"/>
    <map measureGroup="8" dimension="28"/>
    <map measureGroup="8" dimension="29"/>
    <map measureGroup="9" dimension="14"/>
    <map measureGroup="9" dimension="15"/>
    <map measureGroup="9" dimension="16"/>
    <map measureGroup="9" dimension="28"/>
    <map measureGroup="9" dimension="29"/>
    <map measureGroup="10" dimension="29"/>
    <map measureGroup="11" dimension="1"/>
    <map measureGroup="11" dimension="2"/>
    <map measureGroup="11" dimension="3"/>
    <map measureGroup="11" dimension="4"/>
    <map measureGroup="11" dimension="6"/>
    <map measureGroup="11" dimension="7"/>
    <map measureGroup="11" dimension="9"/>
    <map measureGroup="11" dimension="12"/>
    <map measureGroup="11" dimension="16"/>
    <map measureGroup="11" dimension="17"/>
    <map measureGroup="11" dimension="28"/>
    <map measureGroup="11" dimension="29"/>
    <map measureGroup="11" dimension="30"/>
    <map measureGroup="11" dimension="31"/>
    <map measureGroup="12" dimension="2"/>
    <map measureGroup="12" dimension="3"/>
    <map measureGroup="12" dimension="16"/>
    <map measureGroup="12" dimension="17"/>
    <map measureGroup="12" dimension="28"/>
    <map measureGroup="12" dimension="29"/>
    <map measureGroup="13" dimension="3"/>
    <map measureGroup="13" dimension="16"/>
    <map measureGroup="13" dimension="17"/>
    <map measureGroup="13" dimension="28"/>
    <map measureGroup="13" dimension="29"/>
    <map measureGroup="14" dimension="1"/>
    <map measureGroup="14" dimension="2"/>
    <map measureGroup="14" dimension="3"/>
    <map measureGroup="14" dimension="4"/>
    <map measureGroup="14" dimension="6"/>
    <map measureGroup="14" dimension="7"/>
    <map measureGroup="14" dimension="16"/>
    <map measureGroup="14" dimension="17"/>
    <map measureGroup="14" dimension="28"/>
    <map measureGroup="14" dimension="29"/>
    <map measureGroup="14" dimension="30"/>
    <map measureGroup="14" dimension="31"/>
    <map measureGroup="15" dimension="2"/>
    <map measureGroup="15" dimension="3"/>
    <map measureGroup="15" dimension="4"/>
    <map measureGroup="15" dimension="6"/>
    <map measureGroup="15" dimension="7"/>
    <map measureGroup="15" dimension="16"/>
    <map measureGroup="15" dimension="17"/>
    <map measureGroup="15" dimension="28"/>
    <map measureGroup="15" dimension="29"/>
    <map measureGroup="15" dimension="30"/>
    <map measureGroup="15" dimension="31"/>
    <map measureGroup="16" dimension="29"/>
    <map measureGroup="17" dimension="3"/>
    <map measureGroup="17" dimension="16"/>
    <map measureGroup="17" dimension="28"/>
    <map measureGroup="17" dimension="29"/>
    <map measureGroup="18" dimension="3"/>
    <map measureGroup="18" dimension="16"/>
    <map measureGroup="18" dimension="29"/>
    <map measureGroup="19" dimension="16"/>
    <map measureGroup="19" dimension="28"/>
    <map measureGroup="19" dimension="29"/>
    <map measureGroup="20" dimension="16"/>
    <map measureGroup="20" dimension="17"/>
    <map measureGroup="20" dimension="28"/>
    <map measureGroup="20" dimension="29"/>
    <map measureGroup="21" dimension="16"/>
    <map measureGroup="21" dimension="28"/>
    <map measureGroup="21" dimension="2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4" cacheId="1" applyNumberFormats="0" applyBorderFormats="0" applyFontFormats="0" applyPatternFormats="0" applyAlignmentFormats="0" applyWidthHeightFormats="1" dataCaption="Values" showError="1" updatedVersion="6" minRefreshableVersion="3" subtotalHiddenItems="1" rowGrandTotals="0" itemPrintTitles="1" createdVersion="4" indent="0" compact="0" compactData="0" gridDropZones="1" multipleFieldFilters="0" fieldListSortAscending="1">
  <location ref="S29:AD102" firstHeaderRow="1" firstDataRow="2" firstDataCol="3" rowPageCount="16" colPageCount="1"/>
  <pivotFields count="28">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AttributeDrillState="1">
      <items count="5">
        <item x="0"/>
        <item x="1"/>
        <item x="2"/>
        <item x="3"/>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 axis="axisPage" compact="0" allDrilled="1" outline="0" showAll="0" dataSourceSort="1" defaultAttributeDrillState="1">
      <items count="1">
        <item t="default"/>
      </items>
      <extLst>
        <ext xmlns:x14="http://schemas.microsoft.com/office/spreadsheetml/2009/9/main" uri="{2946ED86-A175-432a-8AC1-64E0C546D7DE}">
          <x14:pivotField fillDownLabels="1"/>
        </ext>
      </extLst>
    </pivotField>
  </pivotFields>
  <rowFields count="3">
    <field x="8"/>
    <field x="16"/>
    <field x="6"/>
  </rowFields>
  <rowItems count="72">
    <i>
      <x/>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x v="1"/>
      <x/>
      <x/>
    </i>
    <i r="2">
      <x v="1"/>
    </i>
    <i r="1">
      <x v="1"/>
      <x/>
    </i>
    <i r="2">
      <x v="1"/>
    </i>
    <i r="2">
      <x v="2"/>
    </i>
    <i r="1">
      <x v="2"/>
      <x v="1"/>
    </i>
    <i r="2">
      <x v="2"/>
    </i>
    <i r="1">
      <x v="3"/>
      <x/>
    </i>
    <i r="2">
      <x v="1"/>
    </i>
    <i r="2">
      <x v="2"/>
    </i>
    <i r="1">
      <x v="4"/>
      <x/>
    </i>
    <i r="2">
      <x v="1"/>
    </i>
    <i r="2">
      <x v="2"/>
    </i>
    <i r="1">
      <x v="5"/>
      <x/>
    </i>
    <i r="2">
      <x v="1"/>
    </i>
    <i r="2">
      <x v="2"/>
    </i>
    <i r="1">
      <x v="6"/>
      <x/>
    </i>
    <i r="2">
      <x v="1"/>
    </i>
    <i r="2">
      <x v="2"/>
    </i>
    <i r="2">
      <x v="3"/>
    </i>
    <i r="1">
      <x v="7"/>
      <x v="1"/>
    </i>
    <i r="2">
      <x v="2"/>
    </i>
    <i r="2">
      <x v="3"/>
    </i>
    <i r="1">
      <x v="8"/>
      <x v="1"/>
    </i>
    <i r="2">
      <x v="2"/>
    </i>
    <i r="2">
      <x v="3"/>
    </i>
    <i r="1">
      <x v="9"/>
      <x v="1"/>
    </i>
    <i r="2">
      <x v="2"/>
    </i>
    <i r="2">
      <x v="3"/>
    </i>
    <i r="1">
      <x v="10"/>
      <x v="1"/>
    </i>
    <i r="2">
      <x v="2"/>
    </i>
    <i r="2">
      <x v="3"/>
    </i>
    <i r="1">
      <x v="11"/>
      <x v="1"/>
    </i>
    <i r="2">
      <x v="2"/>
    </i>
    <i r="2">
      <x v="3"/>
    </i>
    <i>
      <x v="2"/>
      <x/>
      <x v="1"/>
    </i>
    <i r="2">
      <x v="2"/>
    </i>
    <i r="2">
      <x v="3"/>
    </i>
    <i r="1">
      <x v="1"/>
      <x v="1"/>
    </i>
    <i r="2">
      <x v="2"/>
    </i>
    <i r="2">
      <x v="3"/>
    </i>
    <i r="1">
      <x v="2"/>
      <x v="2"/>
    </i>
    <i r="2">
      <x v="3"/>
    </i>
    <i r="1">
      <x v="3"/>
      <x v="2"/>
    </i>
    <i r="2">
      <x v="3"/>
    </i>
    <i r="1">
      <x v="4"/>
      <x v="2"/>
    </i>
    <i r="2">
      <x v="3"/>
    </i>
    <i r="1">
      <x v="5"/>
      <x v="3"/>
    </i>
  </rowItems>
  <colFields count="1">
    <field x="-2"/>
  </colFields>
  <colItems count="9">
    <i>
      <x/>
    </i>
    <i i="1">
      <x v="1"/>
    </i>
    <i i="2">
      <x v="2"/>
    </i>
    <i i="3">
      <x v="3"/>
    </i>
    <i i="4">
      <x v="4"/>
    </i>
    <i i="5">
      <x v="5"/>
    </i>
    <i i="6">
      <x v="6"/>
    </i>
    <i i="7">
      <x v="7"/>
    </i>
    <i i="8">
      <x v="8"/>
    </i>
  </colItems>
  <pageFields count="16">
    <pageField fld="27" hier="15" name="[Customer Regions].[Kia2 Region].&amp;[L1]" cap="L1"/>
    <pageField fld="0" hier="47" name="[Model].[Series].[All]" cap="All"/>
    <pageField fld="1" hier="42" name="[Model].[Model].&amp;[Optima]" cap="Optima"/>
    <pageField fld="14" hier="92" name="[TrimLevel].[Trim].[All]" cap="All"/>
    <pageField fld="25" hier="33" name="[Fuel Type].[Fuel Type].[All]" cap="All"/>
    <pageField fld="26" hier="31" name="[Drive Type].[Drive Type ID].[All]" cap="All"/>
    <pageField fld="24" hier="10" name="[Customer Regions].[GM Region].[All]" cap="All"/>
    <pageField fld="2" hier="74" name="[Segmentation].[PIN Segment].[All]" cap="All"/>
    <pageField fld="23" hier="7" name="[Customer Regions].[FCA Region].[All]" cap="All"/>
    <pageField fld="22" hier="11" name="[Customer Regions].[Honda Region].[All]" cap="All"/>
    <pageField fld="21" hier="16" name="[Customer Regions].[Lexus Region].[All]" cap="All"/>
    <pageField fld="20" hier="21" name="[Customer Regions].[Nissan Region].[All]" cap="All"/>
    <pageField fld="19" hier="23" name="[Customer Regions].[PIN Region].[All]" cap="All"/>
    <pageField fld="18" hier="26" name="[Customer Regions].[Toyota Region].[All]" cap="All"/>
    <pageField fld="7" hier="9" name="[Customer Regions].[Ford Region].[All]" cap="All"/>
    <pageField fld="15" hier="80" name="[TIME].[Calendar Year].[All]" cap="All"/>
  </pageFields>
  <dataFields count="9">
    <dataField fld="3" baseField="0" baseItem="0"/>
    <dataField fld="4" baseField="0" baseItem="0"/>
    <dataField fld="5" baseField="0" baseItem="0"/>
    <dataField fld="9" baseField="0" baseItem="0" numFmtId="9"/>
    <dataField fld="10" baseField="0" baseItem="0" numFmtId="9"/>
    <dataField fld="11" baseField="0" baseItem="0" numFmtId="9"/>
    <dataField fld="12" baseField="0" baseItem="0"/>
    <dataField fld="13" baseField="0" baseItem="0"/>
    <dataField fld="17" baseField="0" baseItem="0"/>
  </dataFields>
  <formats count="3">
    <format dxfId="11">
      <pivotArea outline="0" collapsedLevelsAreSubtotals="1" fieldPosition="0"/>
    </format>
    <format dxfId="10">
      <pivotArea type="all" dataOnly="0" outline="0" fieldPosition="0"/>
    </format>
    <format dxfId="9">
      <pivotArea outline="0" collapsedLevelsAreSubtotals="1" fieldPosition="0">
        <references count="1">
          <reference field="4294967294" count="3" selected="0">
            <x v="3"/>
            <x v="4"/>
            <x v="5"/>
          </reference>
        </references>
      </pivotArea>
    </format>
  </formats>
  <pivotHierarchies count="415">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embers count="1" level="1">
        <member name="[Model].[Model].&amp;[Optima]"/>
      </members>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89"/>
    <rowHierarchyUsage hierarchyUsage="87"/>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0" applyNumberFormats="0" applyBorderFormats="0" applyFontFormats="0" applyPatternFormats="0" applyAlignmentFormats="0" applyWidthHeightFormats="1" dataCaption="Values" updatedVersion="6" minRefreshableVersion="3" subtotalHiddenItems="1" rowGrandTotals="0" colGrandTotals="0" itemPrintTitles="1" createdVersion="4" indent="0" compact="0" compactData="0" gridDropZones="1" multipleFieldFilters="0" fieldListSortAscending="1">
  <location ref="W19:X28" firstHeaderRow="2" firstDataRow="2" firstDataCol="1" rowPageCount="11" colPageCount="1"/>
  <pivotFields count="15">
    <pivotField compact="0" allDrilled="1" outline="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s>
  <rowFields count="1">
    <field x="12"/>
  </rowFields>
  <rowItems count="8">
    <i>
      <x/>
    </i>
    <i>
      <x v="1"/>
    </i>
    <i>
      <x v="2"/>
    </i>
    <i>
      <x v="3"/>
    </i>
    <i>
      <x v="4"/>
    </i>
    <i>
      <x v="5"/>
    </i>
    <i>
      <x v="6"/>
    </i>
    <i>
      <x v="7"/>
    </i>
  </rowItems>
  <colItems count="1">
    <i/>
  </colItems>
  <pageFields count="11">
    <pageField fld="5" hier="39" name="[Model].[OEM].[All]" cap="All"/>
    <pageField fld="2" hier="88" name="[Type of Sale].[Type of Sale].[All]" cap="All"/>
    <pageField fld="3" hier="70" name="[Segmentation].[PIN Segment].[All]" cap="All"/>
    <pageField fld="1" hier="35" name="[Model].[Car Or Truck].[All]" cap="All"/>
    <pageField fld="4" hier="38" name="[Model].[Model].[All]" cap="All"/>
    <pageField fld="6" hier="37" name="[Model].[Make].&amp;[Nissan]" cap="Nissan"/>
    <pageField fld="14" hier="84" name="[TIME].[Sales Year].[All]" cap="All"/>
    <pageField fld="8" hier="82" name="[TIME].[Sales Month Of Year].[All]" cap="All"/>
    <pageField fld="7" hier="43" name="[Model].[Series].&amp;[Sentra]" cap="Sentra"/>
    <pageField fld="9" hier="41" name="[Model].[Premium Hierarchy].[All]" cap="All"/>
    <pageField fld="11" hier="44" name="[Model Year].[Model Year].&amp;[2018]" cap="2018"/>
  </pageFields>
  <dataFields count="1">
    <dataField fld="13" showDataAs="percentOfCol" baseField="12" baseItem="0" numFmtId="10"/>
  </dataFields>
  <formats count="7">
    <format dxfId="6">
      <pivotArea outline="0" collapsedLevelsAreSubtotals="1" fieldPosition="0"/>
    </format>
    <format dxfId="5">
      <pivotArea type="origin" dataOnly="0" labelOnly="1" outline="0" fieldPosition="0"/>
    </format>
    <format dxfId="4">
      <pivotArea field="0" type="button" dataOnly="0" labelOnly="1" outline="0"/>
    </format>
    <format dxfId="3">
      <pivotArea field="-2" type="button" dataOnly="0" labelOnly="1" outline="0" axis="axisValues" fieldPosition="0"/>
    </format>
    <format dxfId="2">
      <pivotArea type="topRight" dataOnly="0" labelOnly="1" outline="0" fieldPosition="0"/>
    </format>
    <format dxfId="1">
      <pivotArea field="7" type="button" dataOnly="0" labelOnly="1" outline="0" axis="axisPage" fieldPosition="8"/>
    </format>
    <format dxfId="0">
      <pivotArea outline="0" fieldPosition="0">
        <references count="1">
          <reference field="4294967294" count="1">
            <x v="0"/>
          </reference>
        </references>
      </pivotArea>
    </format>
  </formats>
  <pivotHierarchies count="40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multipleItemSelectionAllowed="1"/>
    <pivotHierarchy/>
    <pivotHierarchy multipleItemSelectionAllowed="1"/>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6.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8.vml"/><Relationship Id="rId7" Type="http://schemas.openxmlformats.org/officeDocument/2006/relationships/ctrlProp" Target="../ctrlProps/ctrlProp28.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0.vml"/><Relationship Id="rId7" Type="http://schemas.openxmlformats.org/officeDocument/2006/relationships/ctrlProp" Target="../ctrlProps/ctrlProp44.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1.vml"/><Relationship Id="rId7" Type="http://schemas.openxmlformats.org/officeDocument/2006/relationships/ctrlProp" Target="../ctrlProps/ctrlProp52.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pageSetUpPr fitToPage="1"/>
  </sheetPr>
  <dimension ref="B1:G120"/>
  <sheetViews>
    <sheetView showGridLines="0" zoomScale="80" zoomScaleNormal="80" workbookViewId="0"/>
  </sheetViews>
  <sheetFormatPr defaultColWidth="8.85546875" defaultRowHeight="15"/>
  <cols>
    <col min="1" max="1" width="2.140625" style="303" customWidth="1"/>
    <col min="2" max="2" width="1.42578125" style="303" bestFit="1" customWidth="1"/>
    <col min="3" max="3" width="6.7109375" style="303" customWidth="1"/>
    <col min="4" max="4" width="7.42578125" style="303" customWidth="1"/>
    <col min="5" max="5" width="113.140625" style="303" customWidth="1"/>
    <col min="6" max="6" width="2.28515625" style="303" customWidth="1"/>
    <col min="7" max="7" width="1.42578125" style="303" bestFit="1" customWidth="1"/>
    <col min="8" max="16384" width="8.85546875" style="303"/>
  </cols>
  <sheetData>
    <row r="1" spans="2:7" ht="15.75" thickBot="1">
      <c r="B1" s="303" t="s">
        <v>2</v>
      </c>
      <c r="G1" s="303" t="s">
        <v>2</v>
      </c>
    </row>
    <row r="2" spans="2:7" ht="7.5" customHeight="1" thickBot="1">
      <c r="B2" s="137"/>
      <c r="C2" s="144"/>
      <c r="D2" s="144"/>
      <c r="E2" s="144"/>
      <c r="F2" s="144"/>
      <c r="G2" s="142"/>
    </row>
    <row r="3" spans="2:7" ht="36">
      <c r="B3" s="138"/>
      <c r="C3" s="146" t="s">
        <v>349</v>
      </c>
      <c r="D3" s="147"/>
      <c r="E3" s="131"/>
      <c r="F3" s="132"/>
      <c r="G3" s="143"/>
    </row>
    <row r="4" spans="2:7" ht="36">
      <c r="B4" s="138"/>
      <c r="C4" s="145" t="s">
        <v>892</v>
      </c>
      <c r="D4" s="148"/>
      <c r="E4" s="120"/>
      <c r="F4" s="133"/>
      <c r="G4" s="143"/>
    </row>
    <row r="5" spans="2:7" ht="36">
      <c r="B5" s="138"/>
      <c r="C5" s="149" t="s">
        <v>893</v>
      </c>
      <c r="D5" s="148"/>
      <c r="E5" s="120"/>
      <c r="F5" s="133"/>
      <c r="G5" s="143"/>
    </row>
    <row r="6" spans="2:7" ht="15.75" thickBot="1">
      <c r="B6" s="138"/>
      <c r="C6" s="134"/>
      <c r="D6" s="135"/>
      <c r="E6" s="135"/>
      <c r="F6" s="136"/>
      <c r="G6" s="143"/>
    </row>
    <row r="7" spans="2:7" ht="7.5" customHeight="1" thickBot="1">
      <c r="B7" s="139"/>
      <c r="C7" s="140"/>
      <c r="D7" s="140"/>
      <c r="E7" s="140"/>
      <c r="F7" s="140"/>
      <c r="G7" s="141"/>
    </row>
    <row r="9" spans="2:7" ht="15.75">
      <c r="C9" s="498" t="s">
        <v>130</v>
      </c>
    </row>
    <row r="10" spans="2:7" ht="15.75">
      <c r="C10" s="489">
        <v>1</v>
      </c>
      <c r="D10" s="489" t="s">
        <v>693</v>
      </c>
    </row>
    <row r="11" spans="2:7" ht="15.75">
      <c r="C11" s="488"/>
      <c r="E11" s="496" t="s">
        <v>699</v>
      </c>
    </row>
    <row r="12" spans="2:7" ht="15.75">
      <c r="C12" s="488"/>
    </row>
    <row r="13" spans="2:7" ht="15.75">
      <c r="C13" s="489">
        <v>2</v>
      </c>
      <c r="D13" s="489" t="s">
        <v>891</v>
      </c>
      <c r="E13" s="490"/>
    </row>
    <row r="14" spans="2:7" ht="15.75">
      <c r="C14" s="489"/>
      <c r="D14" s="756" t="s">
        <v>940</v>
      </c>
      <c r="E14" s="492" t="s">
        <v>941</v>
      </c>
    </row>
    <row r="15" spans="2:7" ht="15.75">
      <c r="C15" s="489"/>
      <c r="D15" s="492"/>
      <c r="E15" s="492" t="s">
        <v>942</v>
      </c>
    </row>
    <row r="16" spans="2:7" ht="15.75">
      <c r="C16" s="489"/>
      <c r="D16" s="492"/>
      <c r="E16" s="492" t="s">
        <v>943</v>
      </c>
    </row>
    <row r="17" spans="3:5">
      <c r="C17" s="491"/>
      <c r="D17" s="757" t="s">
        <v>635</v>
      </c>
      <c r="E17" s="497" t="s">
        <v>314</v>
      </c>
    </row>
    <row r="18" spans="3:5">
      <c r="C18" s="491"/>
      <c r="D18" s="491">
        <v>2</v>
      </c>
      <c r="E18" s="492" t="s">
        <v>894</v>
      </c>
    </row>
    <row r="19" spans="3:5">
      <c r="C19" s="491"/>
      <c r="D19" s="491">
        <v>7</v>
      </c>
      <c r="E19" s="492" t="s">
        <v>895</v>
      </c>
    </row>
    <row r="20" spans="3:5">
      <c r="C20" s="491"/>
      <c r="D20" s="493">
        <v>9</v>
      </c>
      <c r="E20" s="494" t="s">
        <v>636</v>
      </c>
    </row>
    <row r="21" spans="3:5">
      <c r="C21" s="491"/>
      <c r="D21" s="493">
        <v>10</v>
      </c>
      <c r="E21" s="494" t="s">
        <v>637</v>
      </c>
    </row>
    <row r="22" spans="3:5">
      <c r="C22" s="491"/>
      <c r="D22" s="493">
        <v>11</v>
      </c>
      <c r="E22" s="494" t="s">
        <v>663</v>
      </c>
    </row>
    <row r="23" spans="3:5">
      <c r="C23" s="491"/>
      <c r="D23" s="493">
        <v>12</v>
      </c>
      <c r="E23" s="494" t="s">
        <v>664</v>
      </c>
    </row>
    <row r="24" spans="3:5">
      <c r="C24" s="491"/>
      <c r="D24" s="493">
        <v>15</v>
      </c>
      <c r="E24" s="492" t="s">
        <v>647</v>
      </c>
    </row>
    <row r="25" spans="3:5">
      <c r="C25" s="491"/>
      <c r="D25" s="493">
        <v>17</v>
      </c>
      <c r="E25" s="494" t="s">
        <v>665</v>
      </c>
    </row>
    <row r="26" spans="3:5">
      <c r="C26" s="491"/>
      <c r="D26" s="493" t="s">
        <v>666</v>
      </c>
      <c r="E26" s="492" t="s">
        <v>638</v>
      </c>
    </row>
    <row r="27" spans="3:5">
      <c r="C27" s="491"/>
      <c r="D27" s="493"/>
      <c r="E27" s="494" t="s">
        <v>639</v>
      </c>
    </row>
    <row r="28" spans="3:5">
      <c r="C28" s="491"/>
      <c r="D28" s="493"/>
      <c r="E28" s="494" t="s">
        <v>640</v>
      </c>
    </row>
    <row r="29" spans="3:5" ht="25.5">
      <c r="C29" s="491"/>
      <c r="D29" s="493"/>
      <c r="E29" s="494" t="s">
        <v>667</v>
      </c>
    </row>
    <row r="30" spans="3:5">
      <c r="C30" s="491"/>
      <c r="D30" s="493"/>
      <c r="E30" s="494" t="s">
        <v>896</v>
      </c>
    </row>
    <row r="31" spans="3:5">
      <c r="C31" s="491"/>
      <c r="D31" s="493"/>
      <c r="E31" s="494" t="s">
        <v>905</v>
      </c>
    </row>
    <row r="32" spans="3:5">
      <c r="C32" s="491"/>
      <c r="D32" s="493" t="s">
        <v>641</v>
      </c>
      <c r="E32" s="492" t="s">
        <v>642</v>
      </c>
    </row>
    <row r="33" spans="3:5">
      <c r="C33" s="491"/>
      <c r="D33" s="493"/>
      <c r="E33" s="494" t="s">
        <v>897</v>
      </c>
    </row>
    <row r="34" spans="3:5">
      <c r="C34" s="491"/>
      <c r="D34" s="493"/>
      <c r="E34" s="494" t="s">
        <v>643</v>
      </c>
    </row>
    <row r="35" spans="3:5" ht="25.5">
      <c r="C35" s="491"/>
      <c r="D35" s="493"/>
      <c r="E35" s="494" t="s">
        <v>898</v>
      </c>
    </row>
    <row r="36" spans="3:5">
      <c r="C36" s="491"/>
      <c r="D36" s="493">
        <v>29</v>
      </c>
      <c r="E36" s="492" t="s">
        <v>900</v>
      </c>
    </row>
    <row r="37" spans="3:5">
      <c r="C37" s="491"/>
      <c r="D37" s="493">
        <v>30</v>
      </c>
      <c r="E37" s="492" t="s">
        <v>668</v>
      </c>
    </row>
    <row r="38" spans="3:5">
      <c r="C38" s="491"/>
      <c r="D38" s="493">
        <v>31</v>
      </c>
      <c r="E38" s="492" t="s">
        <v>899</v>
      </c>
    </row>
    <row r="39" spans="3:5" ht="25.5">
      <c r="C39" s="491"/>
      <c r="D39" s="493">
        <v>33</v>
      </c>
      <c r="E39" s="492" t="s">
        <v>901</v>
      </c>
    </row>
    <row r="40" spans="3:5" ht="25.5">
      <c r="C40" s="491"/>
      <c r="D40" s="493" t="s">
        <v>669</v>
      </c>
      <c r="E40" s="492" t="s">
        <v>902</v>
      </c>
    </row>
    <row r="41" spans="3:5">
      <c r="C41" s="491"/>
      <c r="D41" s="493" t="s">
        <v>670</v>
      </c>
      <c r="E41" s="492" t="s">
        <v>644</v>
      </c>
    </row>
    <row r="42" spans="3:5">
      <c r="C42" s="491"/>
      <c r="D42" s="493" t="s">
        <v>671</v>
      </c>
      <c r="E42" s="492" t="s">
        <v>645</v>
      </c>
    </row>
    <row r="43" spans="3:5">
      <c r="C43" s="491"/>
      <c r="D43" s="493" t="s">
        <v>672</v>
      </c>
      <c r="E43" s="492" t="s">
        <v>646</v>
      </c>
    </row>
    <row r="44" spans="3:5" ht="25.5">
      <c r="C44" s="491"/>
      <c r="D44" s="493" t="s">
        <v>673</v>
      </c>
      <c r="E44" s="492" t="s">
        <v>903</v>
      </c>
    </row>
    <row r="45" spans="3:5">
      <c r="C45" s="491"/>
      <c r="D45" s="493" t="s">
        <v>674</v>
      </c>
      <c r="E45" s="492" t="s">
        <v>675</v>
      </c>
    </row>
    <row r="46" spans="3:5">
      <c r="C46" s="491"/>
      <c r="D46" s="493">
        <v>77</v>
      </c>
      <c r="E46" s="492" t="s">
        <v>648</v>
      </c>
    </row>
    <row r="47" spans="3:5" ht="68.45" customHeight="1">
      <c r="C47" s="491"/>
      <c r="D47" s="493" t="s">
        <v>676</v>
      </c>
      <c r="E47" s="492" t="s">
        <v>904</v>
      </c>
    </row>
    <row r="48" spans="3:5" ht="30.6" customHeight="1">
      <c r="C48" s="491"/>
      <c r="D48" s="493">
        <v>98</v>
      </c>
      <c r="E48" s="492" t="s">
        <v>909</v>
      </c>
    </row>
    <row r="49" spans="3:5" ht="25.5">
      <c r="C49" s="491"/>
      <c r="D49" s="493">
        <v>99</v>
      </c>
      <c r="E49" s="755" t="s">
        <v>911</v>
      </c>
    </row>
    <row r="50" spans="3:5" ht="25.5">
      <c r="C50" s="491"/>
      <c r="D50" s="493" t="s">
        <v>906</v>
      </c>
      <c r="E50" s="492" t="s">
        <v>907</v>
      </c>
    </row>
    <row r="51" spans="3:5" ht="25.5">
      <c r="C51" s="491"/>
      <c r="D51" s="493">
        <v>104</v>
      </c>
      <c r="E51" s="492" t="s">
        <v>677</v>
      </c>
    </row>
    <row r="52" spans="3:5" ht="25.5">
      <c r="C52" s="491"/>
      <c r="D52" s="493">
        <v>105</v>
      </c>
      <c r="E52" s="492" t="s">
        <v>678</v>
      </c>
    </row>
    <row r="53" spans="3:5">
      <c r="C53" s="491"/>
      <c r="D53" s="493" t="s">
        <v>679</v>
      </c>
      <c r="E53" s="492" t="s">
        <v>701</v>
      </c>
    </row>
    <row r="54" spans="3:5">
      <c r="C54" s="491"/>
      <c r="D54" s="493"/>
      <c r="E54" s="492"/>
    </row>
    <row r="55" spans="3:5">
      <c r="C55" s="491"/>
      <c r="D55" s="493"/>
      <c r="E55" s="492"/>
    </row>
    <row r="56" spans="3:5" ht="15.75">
      <c r="C56" s="489">
        <v>3</v>
      </c>
      <c r="D56" s="489" t="s">
        <v>908</v>
      </c>
      <c r="E56" s="490"/>
    </row>
    <row r="57" spans="3:5">
      <c r="C57" s="491"/>
      <c r="D57" s="493" t="s">
        <v>649</v>
      </c>
      <c r="E57" s="492" t="s">
        <v>680</v>
      </c>
    </row>
    <row r="58" spans="3:5" ht="25.5">
      <c r="C58" s="491"/>
      <c r="D58" s="493" t="s">
        <v>650</v>
      </c>
      <c r="E58" s="492" t="s">
        <v>697</v>
      </c>
    </row>
    <row r="59" spans="3:5">
      <c r="C59" s="491"/>
      <c r="D59" s="493" t="s">
        <v>651</v>
      </c>
      <c r="E59" s="492" t="s">
        <v>910</v>
      </c>
    </row>
    <row r="60" spans="3:5" ht="15.75">
      <c r="C60" s="489"/>
      <c r="D60" s="489"/>
      <c r="E60" s="490"/>
    </row>
    <row r="61" spans="3:5" ht="15.75">
      <c r="C61" s="489">
        <v>4</v>
      </c>
      <c r="D61" s="489" t="s">
        <v>912</v>
      </c>
      <c r="E61" s="490"/>
    </row>
    <row r="62" spans="3:5" ht="25.5">
      <c r="C62" s="489"/>
      <c r="D62" s="756" t="s">
        <v>940</v>
      </c>
      <c r="E62" s="492" t="s">
        <v>913</v>
      </c>
    </row>
    <row r="63" spans="3:5" ht="25.5">
      <c r="C63" s="491"/>
      <c r="D63" s="493" t="s">
        <v>649</v>
      </c>
      <c r="E63" s="492" t="s">
        <v>914</v>
      </c>
    </row>
    <row r="64" spans="3:5" ht="25.5">
      <c r="C64" s="491"/>
      <c r="D64" s="493" t="s">
        <v>650</v>
      </c>
      <c r="E64" s="492" t="s">
        <v>915</v>
      </c>
    </row>
    <row r="65" spans="3:5">
      <c r="C65" s="491"/>
      <c r="D65" s="493" t="s">
        <v>651</v>
      </c>
      <c r="E65" s="492" t="s">
        <v>916</v>
      </c>
    </row>
    <row r="66" spans="3:5">
      <c r="C66" s="491"/>
      <c r="D66" s="493" t="s">
        <v>652</v>
      </c>
      <c r="E66" s="492" t="s">
        <v>917</v>
      </c>
    </row>
    <row r="67" spans="3:5" ht="38.25">
      <c r="C67" s="491"/>
      <c r="D67" s="493" t="s">
        <v>653</v>
      </c>
      <c r="E67" s="492" t="s">
        <v>918</v>
      </c>
    </row>
    <row r="68" spans="3:5">
      <c r="C68" s="491"/>
      <c r="D68" s="491"/>
      <c r="E68" s="492"/>
    </row>
    <row r="69" spans="3:5" ht="15.75">
      <c r="C69" s="489">
        <v>5</v>
      </c>
      <c r="D69" s="489" t="s">
        <v>681</v>
      </c>
      <c r="E69" s="490"/>
    </row>
    <row r="70" spans="3:5" ht="51">
      <c r="C70" s="489"/>
      <c r="D70" s="489"/>
      <c r="E70" s="492" t="s">
        <v>919</v>
      </c>
    </row>
    <row r="71" spans="3:5" ht="51">
      <c r="C71" s="489"/>
      <c r="D71" s="493" t="s">
        <v>649</v>
      </c>
      <c r="E71" s="492" t="s">
        <v>920</v>
      </c>
    </row>
    <row r="72" spans="3:5" ht="38.25">
      <c r="C72" s="489"/>
      <c r="D72" s="493" t="s">
        <v>650</v>
      </c>
      <c r="E72" s="492" t="s">
        <v>682</v>
      </c>
    </row>
    <row r="73" spans="3:5" ht="38.25">
      <c r="C73" s="489"/>
      <c r="D73" s="493" t="s">
        <v>651</v>
      </c>
      <c r="E73" s="492" t="s">
        <v>921</v>
      </c>
    </row>
    <row r="74" spans="3:5" ht="25.5">
      <c r="C74" s="489"/>
      <c r="D74" s="493" t="s">
        <v>651</v>
      </c>
      <c r="E74" s="492" t="s">
        <v>922</v>
      </c>
    </row>
    <row r="75" spans="3:5" ht="38.25">
      <c r="C75" s="489"/>
      <c r="D75" s="493" t="s">
        <v>652</v>
      </c>
      <c r="E75" s="492" t="s">
        <v>923</v>
      </c>
    </row>
    <row r="76" spans="3:5" ht="114.75">
      <c r="C76" s="489"/>
      <c r="D76" s="493" t="s">
        <v>653</v>
      </c>
      <c r="E76" s="492" t="s">
        <v>931</v>
      </c>
    </row>
    <row r="77" spans="3:5">
      <c r="C77" s="491"/>
      <c r="D77" s="491"/>
      <c r="E77" s="492"/>
    </row>
    <row r="78" spans="3:5" ht="15.75">
      <c r="C78" s="489">
        <v>6</v>
      </c>
      <c r="D78" s="489" t="s">
        <v>656</v>
      </c>
      <c r="E78" s="490"/>
    </row>
    <row r="79" spans="3:5" ht="15.75">
      <c r="C79" s="489"/>
      <c r="D79" s="493" t="s">
        <v>649</v>
      </c>
      <c r="E79" s="492" t="s">
        <v>710</v>
      </c>
    </row>
    <row r="80" spans="3:5" ht="15.75">
      <c r="C80" s="489"/>
      <c r="D80" s="493" t="s">
        <v>650</v>
      </c>
      <c r="E80" s="492" t="s">
        <v>683</v>
      </c>
    </row>
    <row r="81" spans="3:5" ht="25.5">
      <c r="C81" s="489"/>
      <c r="D81" s="493" t="s">
        <v>651</v>
      </c>
      <c r="E81" s="492" t="s">
        <v>684</v>
      </c>
    </row>
    <row r="82" spans="3:5" ht="15.75">
      <c r="C82" s="489"/>
      <c r="D82" s="493" t="s">
        <v>652</v>
      </c>
      <c r="E82" s="492" t="s">
        <v>685</v>
      </c>
    </row>
    <row r="83" spans="3:5" ht="15.75">
      <c r="C83" s="489"/>
      <c r="D83" s="493" t="s">
        <v>653</v>
      </c>
      <c r="E83" s="492" t="s">
        <v>711</v>
      </c>
    </row>
    <row r="84" spans="3:5" ht="25.5">
      <c r="C84" s="489"/>
      <c r="D84" s="493" t="s">
        <v>654</v>
      </c>
      <c r="E84" s="492" t="s">
        <v>712</v>
      </c>
    </row>
    <row r="85" spans="3:5" ht="15.75">
      <c r="C85" s="489"/>
      <c r="D85" s="493" t="s">
        <v>655</v>
      </c>
      <c r="E85" s="492" t="s">
        <v>686</v>
      </c>
    </row>
    <row r="86" spans="3:5">
      <c r="C86" s="491"/>
      <c r="D86" s="493"/>
      <c r="E86" s="492"/>
    </row>
    <row r="87" spans="3:5" ht="15.75">
      <c r="C87" s="489">
        <v>7</v>
      </c>
      <c r="D87" s="489" t="s">
        <v>657</v>
      </c>
      <c r="E87" s="490"/>
    </row>
    <row r="88" spans="3:5">
      <c r="C88" s="491"/>
      <c r="D88" s="493" t="s">
        <v>649</v>
      </c>
      <c r="E88" s="492" t="s">
        <v>658</v>
      </c>
    </row>
    <row r="89" spans="3:5" ht="38.25">
      <c r="C89" s="491"/>
      <c r="D89" s="493" t="s">
        <v>650</v>
      </c>
      <c r="E89" s="492" t="s">
        <v>924</v>
      </c>
    </row>
    <row r="90" spans="3:5" ht="25.5">
      <c r="C90" s="491"/>
      <c r="D90" s="493" t="s">
        <v>651</v>
      </c>
      <c r="E90" s="492" t="s">
        <v>925</v>
      </c>
    </row>
    <row r="91" spans="3:5" ht="25.5">
      <c r="C91" s="491"/>
      <c r="D91" s="493" t="s">
        <v>652</v>
      </c>
      <c r="E91" s="492" t="s">
        <v>687</v>
      </c>
    </row>
    <row r="92" spans="3:5" ht="25.5">
      <c r="C92" s="491"/>
      <c r="D92" s="493" t="s">
        <v>653</v>
      </c>
      <c r="E92" s="492" t="s">
        <v>926</v>
      </c>
    </row>
    <row r="93" spans="3:5" ht="76.5">
      <c r="C93" s="491"/>
      <c r="D93" s="493" t="s">
        <v>654</v>
      </c>
      <c r="E93" s="492" t="s">
        <v>928</v>
      </c>
    </row>
    <row r="94" spans="3:5">
      <c r="C94" s="491"/>
      <c r="D94" s="493" t="s">
        <v>655</v>
      </c>
      <c r="E94" s="492" t="s">
        <v>700</v>
      </c>
    </row>
    <row r="95" spans="3:5">
      <c r="C95" s="491"/>
      <c r="D95" s="493" t="s">
        <v>927</v>
      </c>
      <c r="E95" s="492" t="s">
        <v>929</v>
      </c>
    </row>
    <row r="96" spans="3:5">
      <c r="C96" s="491"/>
      <c r="D96" s="491"/>
      <c r="E96" s="492"/>
    </row>
    <row r="97" spans="3:5" ht="15.75">
      <c r="C97" s="489">
        <v>8</v>
      </c>
      <c r="D97" s="489" t="s">
        <v>689</v>
      </c>
      <c r="E97" s="490"/>
    </row>
    <row r="98" spans="3:5" ht="25.5">
      <c r="C98" s="491"/>
      <c r="D98" s="493" t="s">
        <v>649</v>
      </c>
      <c r="E98" s="492" t="s">
        <v>939</v>
      </c>
    </row>
    <row r="99" spans="3:5">
      <c r="C99" s="491"/>
      <c r="D99" s="493" t="s">
        <v>650</v>
      </c>
      <c r="E99" s="492" t="s">
        <v>930</v>
      </c>
    </row>
    <row r="100" spans="3:5" ht="25.5">
      <c r="C100" s="491"/>
      <c r="D100" s="493"/>
      <c r="E100" s="492" t="s">
        <v>947</v>
      </c>
    </row>
    <row r="101" spans="3:5" ht="25.5">
      <c r="C101" s="491"/>
      <c r="D101" s="493"/>
      <c r="E101" s="492" t="s">
        <v>946</v>
      </c>
    </row>
    <row r="102" spans="3:5">
      <c r="C102" s="491"/>
      <c r="D102" s="493"/>
      <c r="E102" s="492" t="s">
        <v>932</v>
      </c>
    </row>
    <row r="103" spans="3:5" ht="25.5">
      <c r="C103" s="491"/>
      <c r="D103" s="493" t="s">
        <v>651</v>
      </c>
      <c r="E103" s="492" t="s">
        <v>945</v>
      </c>
    </row>
    <row r="104" spans="3:5" ht="25.5">
      <c r="C104" s="491"/>
      <c r="D104" s="493" t="s">
        <v>652</v>
      </c>
      <c r="E104" s="492" t="s">
        <v>690</v>
      </c>
    </row>
    <row r="105" spans="3:5" ht="25.5">
      <c r="C105" s="491"/>
      <c r="D105" s="493" t="s">
        <v>653</v>
      </c>
      <c r="E105" s="492" t="s">
        <v>691</v>
      </c>
    </row>
    <row r="106" spans="3:5" ht="25.5">
      <c r="C106" s="491"/>
      <c r="D106" s="493" t="s">
        <v>653</v>
      </c>
      <c r="E106" s="492" t="s">
        <v>692</v>
      </c>
    </row>
    <row r="107" spans="3:5">
      <c r="C107" s="491"/>
      <c r="D107" s="493"/>
      <c r="E107" s="492"/>
    </row>
    <row r="108" spans="3:5">
      <c r="E108" s="497" t="s">
        <v>688</v>
      </c>
    </row>
    <row r="109" spans="3:5" ht="25.5">
      <c r="E109" s="754" t="s">
        <v>934</v>
      </c>
    </row>
    <row r="110" spans="3:5" ht="25.5">
      <c r="E110" s="754" t="s">
        <v>935</v>
      </c>
    </row>
    <row r="111" spans="3:5" ht="25.5">
      <c r="E111" s="754" t="s">
        <v>936</v>
      </c>
    </row>
    <row r="112" spans="3:5">
      <c r="E112" s="754" t="s">
        <v>937</v>
      </c>
    </row>
    <row r="113" spans="3:5" ht="25.5">
      <c r="E113" s="754" t="s">
        <v>938</v>
      </c>
    </row>
    <row r="114" spans="3:5">
      <c r="C114" s="491"/>
      <c r="D114" s="491"/>
      <c r="E114" s="492"/>
    </row>
    <row r="115" spans="3:5" ht="15.75">
      <c r="C115" s="489">
        <v>9</v>
      </c>
      <c r="D115" s="489" t="s">
        <v>659</v>
      </c>
      <c r="E115" s="490"/>
    </row>
    <row r="116" spans="3:5" ht="16.149999999999999" customHeight="1">
      <c r="C116" s="491"/>
      <c r="D116" s="493">
        <v>1</v>
      </c>
      <c r="E116" s="492" t="s">
        <v>660</v>
      </c>
    </row>
    <row r="117" spans="3:5" ht="25.5">
      <c r="C117" s="491"/>
      <c r="D117" s="493"/>
      <c r="E117" s="492" t="s">
        <v>944</v>
      </c>
    </row>
    <row r="118" spans="3:5" ht="25.5">
      <c r="C118" s="491"/>
      <c r="D118" s="493">
        <v>2</v>
      </c>
      <c r="E118" s="492" t="s">
        <v>933</v>
      </c>
    </row>
    <row r="119" spans="3:5" ht="25.5">
      <c r="C119" s="491"/>
      <c r="D119" s="493">
        <v>3</v>
      </c>
      <c r="E119" s="492" t="s">
        <v>661</v>
      </c>
    </row>
    <row r="120" spans="3:5" ht="25.5">
      <c r="C120" s="491"/>
      <c r="D120" s="493">
        <v>4</v>
      </c>
      <c r="E120" s="492" t="s">
        <v>662</v>
      </c>
    </row>
  </sheetData>
  <pageMargins left="0.7" right="0.7" top="0.75" bottom="0.75" header="0.3" footer="0.3"/>
  <pageSetup scale="59" fitToHeight="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FFF00"/>
  </sheetPr>
  <dimension ref="A1:E377"/>
  <sheetViews>
    <sheetView showGridLines="0" zoomScale="80" zoomScaleNormal="80" workbookViewId="0">
      <selection activeCell="A11" sqref="A1:D1048576"/>
    </sheetView>
  </sheetViews>
  <sheetFormatPr defaultRowHeight="15"/>
  <cols>
    <col min="1" max="1" width="37.28515625" style="303" customWidth="1"/>
    <col min="2" max="2" width="24.7109375" style="303" customWidth="1"/>
    <col min="3" max="4" width="16.28515625" style="303" customWidth="1"/>
    <col min="5" max="5" width="13.7109375" style="303" customWidth="1"/>
    <col min="6" max="216" width="9.140625" style="108"/>
    <col min="217" max="217" width="28" style="108" bestFit="1" customWidth="1"/>
    <col min="218" max="218" width="15.28515625" style="108" customWidth="1"/>
    <col min="219" max="219" width="16.28515625" style="108" customWidth="1"/>
    <col min="220" max="220" width="11.5703125" style="108" customWidth="1"/>
    <col min="221" max="221" width="26.7109375" style="108" bestFit="1" customWidth="1"/>
    <col min="222" max="472" width="9.140625" style="108"/>
    <col min="473" max="473" width="28" style="108" bestFit="1" customWidth="1"/>
    <col min="474" max="474" width="15.28515625" style="108" customWidth="1"/>
    <col min="475" max="475" width="16.28515625" style="108" customWidth="1"/>
    <col min="476" max="476" width="11.5703125" style="108" customWidth="1"/>
    <col min="477" max="477" width="26.7109375" style="108" bestFit="1" customWidth="1"/>
    <col min="478" max="728" width="9.140625" style="108"/>
    <col min="729" max="729" width="28" style="108" bestFit="1" customWidth="1"/>
    <col min="730" max="730" width="15.28515625" style="108" customWidth="1"/>
    <col min="731" max="731" width="16.28515625" style="108" customWidth="1"/>
    <col min="732" max="732" width="11.5703125" style="108" customWidth="1"/>
    <col min="733" max="733" width="26.7109375" style="108" bestFit="1" customWidth="1"/>
    <col min="734" max="984" width="9.140625" style="108"/>
    <col min="985" max="985" width="28" style="108" bestFit="1" customWidth="1"/>
    <col min="986" max="986" width="15.28515625" style="108" customWidth="1"/>
    <col min="987" max="987" width="16.28515625" style="108" customWidth="1"/>
    <col min="988" max="988" width="11.5703125" style="108" customWidth="1"/>
    <col min="989" max="989" width="26.7109375" style="108" bestFit="1" customWidth="1"/>
    <col min="990" max="1240" width="9.140625" style="108"/>
    <col min="1241" max="1241" width="28" style="108" bestFit="1" customWidth="1"/>
    <col min="1242" max="1242" width="15.28515625" style="108" customWidth="1"/>
    <col min="1243" max="1243" width="16.28515625" style="108" customWidth="1"/>
    <col min="1244" max="1244" width="11.5703125" style="108" customWidth="1"/>
    <col min="1245" max="1245" width="26.7109375" style="108" bestFit="1" customWidth="1"/>
    <col min="1246" max="1496" width="9.140625" style="108"/>
    <col min="1497" max="1497" width="28" style="108" bestFit="1" customWidth="1"/>
    <col min="1498" max="1498" width="15.28515625" style="108" customWidth="1"/>
    <col min="1499" max="1499" width="16.28515625" style="108" customWidth="1"/>
    <col min="1500" max="1500" width="11.5703125" style="108" customWidth="1"/>
    <col min="1501" max="1501" width="26.7109375" style="108" bestFit="1" customWidth="1"/>
    <col min="1502" max="1752" width="9.140625" style="108"/>
    <col min="1753" max="1753" width="28" style="108" bestFit="1" customWidth="1"/>
    <col min="1754" max="1754" width="15.28515625" style="108" customWidth="1"/>
    <col min="1755" max="1755" width="16.28515625" style="108" customWidth="1"/>
    <col min="1756" max="1756" width="11.5703125" style="108" customWidth="1"/>
    <col min="1757" max="1757" width="26.7109375" style="108" bestFit="1" customWidth="1"/>
    <col min="1758" max="2008" width="9.140625" style="108"/>
    <col min="2009" max="2009" width="28" style="108" bestFit="1" customWidth="1"/>
    <col min="2010" max="2010" width="15.28515625" style="108" customWidth="1"/>
    <col min="2011" max="2011" width="16.28515625" style="108" customWidth="1"/>
    <col min="2012" max="2012" width="11.5703125" style="108" customWidth="1"/>
    <col min="2013" max="2013" width="26.7109375" style="108" bestFit="1" customWidth="1"/>
    <col min="2014" max="2264" width="9.140625" style="108"/>
    <col min="2265" max="2265" width="28" style="108" bestFit="1" customWidth="1"/>
    <col min="2266" max="2266" width="15.28515625" style="108" customWidth="1"/>
    <col min="2267" max="2267" width="16.28515625" style="108" customWidth="1"/>
    <col min="2268" max="2268" width="11.5703125" style="108" customWidth="1"/>
    <col min="2269" max="2269" width="26.7109375" style="108" bestFit="1" customWidth="1"/>
    <col min="2270" max="2520" width="9.140625" style="108"/>
    <col min="2521" max="2521" width="28" style="108" bestFit="1" customWidth="1"/>
    <col min="2522" max="2522" width="15.28515625" style="108" customWidth="1"/>
    <col min="2523" max="2523" width="16.28515625" style="108" customWidth="1"/>
    <col min="2524" max="2524" width="11.5703125" style="108" customWidth="1"/>
    <col min="2525" max="2525" width="26.7109375" style="108" bestFit="1" customWidth="1"/>
    <col min="2526" max="2776" width="9.140625" style="108"/>
    <col min="2777" max="2777" width="28" style="108" bestFit="1" customWidth="1"/>
    <col min="2778" max="2778" width="15.28515625" style="108" customWidth="1"/>
    <col min="2779" max="2779" width="16.28515625" style="108" customWidth="1"/>
    <col min="2780" max="2780" width="11.5703125" style="108" customWidth="1"/>
    <col min="2781" max="2781" width="26.7109375" style="108" bestFit="1" customWidth="1"/>
    <col min="2782" max="3032" width="9.140625" style="108"/>
    <col min="3033" max="3033" width="28" style="108" bestFit="1" customWidth="1"/>
    <col min="3034" max="3034" width="15.28515625" style="108" customWidth="1"/>
    <col min="3035" max="3035" width="16.28515625" style="108" customWidth="1"/>
    <col min="3036" max="3036" width="11.5703125" style="108" customWidth="1"/>
    <col min="3037" max="3037" width="26.7109375" style="108" bestFit="1" customWidth="1"/>
    <col min="3038" max="3288" width="9.140625" style="108"/>
    <col min="3289" max="3289" width="28" style="108" bestFit="1" customWidth="1"/>
    <col min="3290" max="3290" width="15.28515625" style="108" customWidth="1"/>
    <col min="3291" max="3291" width="16.28515625" style="108" customWidth="1"/>
    <col min="3292" max="3292" width="11.5703125" style="108" customWidth="1"/>
    <col min="3293" max="3293" width="26.7109375" style="108" bestFit="1" customWidth="1"/>
    <col min="3294" max="3544" width="9.140625" style="108"/>
    <col min="3545" max="3545" width="28" style="108" bestFit="1" customWidth="1"/>
    <col min="3546" max="3546" width="15.28515625" style="108" customWidth="1"/>
    <col min="3547" max="3547" width="16.28515625" style="108" customWidth="1"/>
    <col min="3548" max="3548" width="11.5703125" style="108" customWidth="1"/>
    <col min="3549" max="3549" width="26.7109375" style="108" bestFit="1" customWidth="1"/>
    <col min="3550" max="3800" width="9.140625" style="108"/>
    <col min="3801" max="3801" width="28" style="108" bestFit="1" customWidth="1"/>
    <col min="3802" max="3802" width="15.28515625" style="108" customWidth="1"/>
    <col min="3803" max="3803" width="16.28515625" style="108" customWidth="1"/>
    <col min="3804" max="3804" width="11.5703125" style="108" customWidth="1"/>
    <col min="3805" max="3805" width="26.7109375" style="108" bestFit="1" customWidth="1"/>
    <col min="3806" max="4056" width="9.140625" style="108"/>
    <col min="4057" max="4057" width="28" style="108" bestFit="1" customWidth="1"/>
    <col min="4058" max="4058" width="15.28515625" style="108" customWidth="1"/>
    <col min="4059" max="4059" width="16.28515625" style="108" customWidth="1"/>
    <col min="4060" max="4060" width="11.5703125" style="108" customWidth="1"/>
    <col min="4061" max="4061" width="26.7109375" style="108" bestFit="1" customWidth="1"/>
    <col min="4062" max="4312" width="9.140625" style="108"/>
    <col min="4313" max="4313" width="28" style="108" bestFit="1" customWidth="1"/>
    <col min="4314" max="4314" width="15.28515625" style="108" customWidth="1"/>
    <col min="4315" max="4315" width="16.28515625" style="108" customWidth="1"/>
    <col min="4316" max="4316" width="11.5703125" style="108" customWidth="1"/>
    <col min="4317" max="4317" width="26.7109375" style="108" bestFit="1" customWidth="1"/>
    <col min="4318" max="4568" width="9.140625" style="108"/>
    <col min="4569" max="4569" width="28" style="108" bestFit="1" customWidth="1"/>
    <col min="4570" max="4570" width="15.28515625" style="108" customWidth="1"/>
    <col min="4571" max="4571" width="16.28515625" style="108" customWidth="1"/>
    <col min="4572" max="4572" width="11.5703125" style="108" customWidth="1"/>
    <col min="4573" max="4573" width="26.7109375" style="108" bestFit="1" customWidth="1"/>
    <col min="4574" max="4824" width="9.140625" style="108"/>
    <col min="4825" max="4825" width="28" style="108" bestFit="1" customWidth="1"/>
    <col min="4826" max="4826" width="15.28515625" style="108" customWidth="1"/>
    <col min="4827" max="4827" width="16.28515625" style="108" customWidth="1"/>
    <col min="4828" max="4828" width="11.5703125" style="108" customWidth="1"/>
    <col min="4829" max="4829" width="26.7109375" style="108" bestFit="1" customWidth="1"/>
    <col min="4830" max="5080" width="9.140625" style="108"/>
    <col min="5081" max="5081" width="28" style="108" bestFit="1" customWidth="1"/>
    <col min="5082" max="5082" width="15.28515625" style="108" customWidth="1"/>
    <col min="5083" max="5083" width="16.28515625" style="108" customWidth="1"/>
    <col min="5084" max="5084" width="11.5703125" style="108" customWidth="1"/>
    <col min="5085" max="5085" width="26.7109375" style="108" bestFit="1" customWidth="1"/>
    <col min="5086" max="5336" width="9.140625" style="108"/>
    <col min="5337" max="5337" width="28" style="108" bestFit="1" customWidth="1"/>
    <col min="5338" max="5338" width="15.28515625" style="108" customWidth="1"/>
    <col min="5339" max="5339" width="16.28515625" style="108" customWidth="1"/>
    <col min="5340" max="5340" width="11.5703125" style="108" customWidth="1"/>
    <col min="5341" max="5341" width="26.7109375" style="108" bestFit="1" customWidth="1"/>
    <col min="5342" max="5592" width="9.140625" style="108"/>
    <col min="5593" max="5593" width="28" style="108" bestFit="1" customWidth="1"/>
    <col min="5594" max="5594" width="15.28515625" style="108" customWidth="1"/>
    <col min="5595" max="5595" width="16.28515625" style="108" customWidth="1"/>
    <col min="5596" max="5596" width="11.5703125" style="108" customWidth="1"/>
    <col min="5597" max="5597" width="26.7109375" style="108" bestFit="1" customWidth="1"/>
    <col min="5598" max="5848" width="9.140625" style="108"/>
    <col min="5849" max="5849" width="28" style="108" bestFit="1" customWidth="1"/>
    <col min="5850" max="5850" width="15.28515625" style="108" customWidth="1"/>
    <col min="5851" max="5851" width="16.28515625" style="108" customWidth="1"/>
    <col min="5852" max="5852" width="11.5703125" style="108" customWidth="1"/>
    <col min="5853" max="5853" width="26.7109375" style="108" bestFit="1" customWidth="1"/>
    <col min="5854" max="6104" width="9.140625" style="108"/>
    <col min="6105" max="6105" width="28" style="108" bestFit="1" customWidth="1"/>
    <col min="6106" max="6106" width="15.28515625" style="108" customWidth="1"/>
    <col min="6107" max="6107" width="16.28515625" style="108" customWidth="1"/>
    <col min="6108" max="6108" width="11.5703125" style="108" customWidth="1"/>
    <col min="6109" max="6109" width="26.7109375" style="108" bestFit="1" customWidth="1"/>
    <col min="6110" max="6360" width="9.140625" style="108"/>
    <col min="6361" max="6361" width="28" style="108" bestFit="1" customWidth="1"/>
    <col min="6362" max="6362" width="15.28515625" style="108" customWidth="1"/>
    <col min="6363" max="6363" width="16.28515625" style="108" customWidth="1"/>
    <col min="6364" max="6364" width="11.5703125" style="108" customWidth="1"/>
    <col min="6365" max="6365" width="26.7109375" style="108" bestFit="1" customWidth="1"/>
    <col min="6366" max="6616" width="9.140625" style="108"/>
    <col min="6617" max="6617" width="28" style="108" bestFit="1" customWidth="1"/>
    <col min="6618" max="6618" width="15.28515625" style="108" customWidth="1"/>
    <col min="6619" max="6619" width="16.28515625" style="108" customWidth="1"/>
    <col min="6620" max="6620" width="11.5703125" style="108" customWidth="1"/>
    <col min="6621" max="6621" width="26.7109375" style="108" bestFit="1" customWidth="1"/>
    <col min="6622" max="6872" width="9.140625" style="108"/>
    <col min="6873" max="6873" width="28" style="108" bestFit="1" customWidth="1"/>
    <col min="6874" max="6874" width="15.28515625" style="108" customWidth="1"/>
    <col min="6875" max="6875" width="16.28515625" style="108" customWidth="1"/>
    <col min="6876" max="6876" width="11.5703125" style="108" customWidth="1"/>
    <col min="6877" max="6877" width="26.7109375" style="108" bestFit="1" customWidth="1"/>
    <col min="6878" max="7128" width="9.140625" style="108"/>
    <col min="7129" max="7129" width="28" style="108" bestFit="1" customWidth="1"/>
    <col min="7130" max="7130" width="15.28515625" style="108" customWidth="1"/>
    <col min="7131" max="7131" width="16.28515625" style="108" customWidth="1"/>
    <col min="7132" max="7132" width="11.5703125" style="108" customWidth="1"/>
    <col min="7133" max="7133" width="26.7109375" style="108" bestFit="1" customWidth="1"/>
    <col min="7134" max="7384" width="9.140625" style="108"/>
    <col min="7385" max="7385" width="28" style="108" bestFit="1" customWidth="1"/>
    <col min="7386" max="7386" width="15.28515625" style="108" customWidth="1"/>
    <col min="7387" max="7387" width="16.28515625" style="108" customWidth="1"/>
    <col min="7388" max="7388" width="11.5703125" style="108" customWidth="1"/>
    <col min="7389" max="7389" width="26.7109375" style="108" bestFit="1" customWidth="1"/>
    <col min="7390" max="7640" width="9.140625" style="108"/>
    <col min="7641" max="7641" width="28" style="108" bestFit="1" customWidth="1"/>
    <col min="7642" max="7642" width="15.28515625" style="108" customWidth="1"/>
    <col min="7643" max="7643" width="16.28515625" style="108" customWidth="1"/>
    <col min="7644" max="7644" width="11.5703125" style="108" customWidth="1"/>
    <col min="7645" max="7645" width="26.7109375" style="108" bestFit="1" customWidth="1"/>
    <col min="7646" max="7896" width="9.140625" style="108"/>
    <col min="7897" max="7897" width="28" style="108" bestFit="1" customWidth="1"/>
    <col min="7898" max="7898" width="15.28515625" style="108" customWidth="1"/>
    <col min="7899" max="7899" width="16.28515625" style="108" customWidth="1"/>
    <col min="7900" max="7900" width="11.5703125" style="108" customWidth="1"/>
    <col min="7901" max="7901" width="26.7109375" style="108" bestFit="1" customWidth="1"/>
    <col min="7902" max="8152" width="9.140625" style="108"/>
    <col min="8153" max="8153" width="28" style="108" bestFit="1" customWidth="1"/>
    <col min="8154" max="8154" width="15.28515625" style="108" customWidth="1"/>
    <col min="8155" max="8155" width="16.28515625" style="108" customWidth="1"/>
    <col min="8156" max="8156" width="11.5703125" style="108" customWidth="1"/>
    <col min="8157" max="8157" width="26.7109375" style="108" bestFit="1" customWidth="1"/>
    <col min="8158" max="8408" width="9.140625" style="108"/>
    <col min="8409" max="8409" width="28" style="108" bestFit="1" customWidth="1"/>
    <col min="8410" max="8410" width="15.28515625" style="108" customWidth="1"/>
    <col min="8411" max="8411" width="16.28515625" style="108" customWidth="1"/>
    <col min="8412" max="8412" width="11.5703125" style="108" customWidth="1"/>
    <col min="8413" max="8413" width="26.7109375" style="108" bestFit="1" customWidth="1"/>
    <col min="8414" max="8664" width="9.140625" style="108"/>
    <col min="8665" max="8665" width="28" style="108" bestFit="1" customWidth="1"/>
    <col min="8666" max="8666" width="15.28515625" style="108" customWidth="1"/>
    <col min="8667" max="8667" width="16.28515625" style="108" customWidth="1"/>
    <col min="8668" max="8668" width="11.5703125" style="108" customWidth="1"/>
    <col min="8669" max="8669" width="26.7109375" style="108" bestFit="1" customWidth="1"/>
    <col min="8670" max="8920" width="9.140625" style="108"/>
    <col min="8921" max="8921" width="28" style="108" bestFit="1" customWidth="1"/>
    <col min="8922" max="8922" width="15.28515625" style="108" customWidth="1"/>
    <col min="8923" max="8923" width="16.28515625" style="108" customWidth="1"/>
    <col min="8924" max="8924" width="11.5703125" style="108" customWidth="1"/>
    <col min="8925" max="8925" width="26.7109375" style="108" bestFit="1" customWidth="1"/>
    <col min="8926" max="9176" width="9.140625" style="108"/>
    <col min="9177" max="9177" width="28" style="108" bestFit="1" customWidth="1"/>
    <col min="9178" max="9178" width="15.28515625" style="108" customWidth="1"/>
    <col min="9179" max="9179" width="16.28515625" style="108" customWidth="1"/>
    <col min="9180" max="9180" width="11.5703125" style="108" customWidth="1"/>
    <col min="9181" max="9181" width="26.7109375" style="108" bestFit="1" customWidth="1"/>
    <col min="9182" max="9432" width="9.140625" style="108"/>
    <col min="9433" max="9433" width="28" style="108" bestFit="1" customWidth="1"/>
    <col min="9434" max="9434" width="15.28515625" style="108" customWidth="1"/>
    <col min="9435" max="9435" width="16.28515625" style="108" customWidth="1"/>
    <col min="9436" max="9436" width="11.5703125" style="108" customWidth="1"/>
    <col min="9437" max="9437" width="26.7109375" style="108" bestFit="1" customWidth="1"/>
    <col min="9438" max="9688" width="9.140625" style="108"/>
    <col min="9689" max="9689" width="28" style="108" bestFit="1" customWidth="1"/>
    <col min="9690" max="9690" width="15.28515625" style="108" customWidth="1"/>
    <col min="9691" max="9691" width="16.28515625" style="108" customWidth="1"/>
    <col min="9692" max="9692" width="11.5703125" style="108" customWidth="1"/>
    <col min="9693" max="9693" width="26.7109375" style="108" bestFit="1" customWidth="1"/>
    <col min="9694" max="9944" width="9.140625" style="108"/>
    <col min="9945" max="9945" width="28" style="108" bestFit="1" customWidth="1"/>
    <col min="9946" max="9946" width="15.28515625" style="108" customWidth="1"/>
    <col min="9947" max="9947" width="16.28515625" style="108" customWidth="1"/>
    <col min="9948" max="9948" width="11.5703125" style="108" customWidth="1"/>
    <col min="9949" max="9949" width="26.7109375" style="108" bestFit="1" customWidth="1"/>
    <col min="9950" max="10200" width="9.140625" style="108"/>
    <col min="10201" max="10201" width="28" style="108" bestFit="1" customWidth="1"/>
    <col min="10202" max="10202" width="15.28515625" style="108" customWidth="1"/>
    <col min="10203" max="10203" width="16.28515625" style="108" customWidth="1"/>
    <col min="10204" max="10204" width="11.5703125" style="108" customWidth="1"/>
    <col min="10205" max="10205" width="26.7109375" style="108" bestFit="1" customWidth="1"/>
    <col min="10206" max="10456" width="9.140625" style="108"/>
    <col min="10457" max="10457" width="28" style="108" bestFit="1" customWidth="1"/>
    <col min="10458" max="10458" width="15.28515625" style="108" customWidth="1"/>
    <col min="10459" max="10459" width="16.28515625" style="108" customWidth="1"/>
    <col min="10460" max="10460" width="11.5703125" style="108" customWidth="1"/>
    <col min="10461" max="10461" width="26.7109375" style="108" bestFit="1" customWidth="1"/>
    <col min="10462" max="10712" width="9.140625" style="108"/>
    <col min="10713" max="10713" width="28" style="108" bestFit="1" customWidth="1"/>
    <col min="10714" max="10714" width="15.28515625" style="108" customWidth="1"/>
    <col min="10715" max="10715" width="16.28515625" style="108" customWidth="1"/>
    <col min="10716" max="10716" width="11.5703125" style="108" customWidth="1"/>
    <col min="10717" max="10717" width="26.7109375" style="108" bestFit="1" customWidth="1"/>
    <col min="10718" max="10968" width="9.140625" style="108"/>
    <col min="10969" max="10969" width="28" style="108" bestFit="1" customWidth="1"/>
    <col min="10970" max="10970" width="15.28515625" style="108" customWidth="1"/>
    <col min="10971" max="10971" width="16.28515625" style="108" customWidth="1"/>
    <col min="10972" max="10972" width="11.5703125" style="108" customWidth="1"/>
    <col min="10973" max="10973" width="26.7109375" style="108" bestFit="1" customWidth="1"/>
    <col min="10974" max="11224" width="9.140625" style="108"/>
    <col min="11225" max="11225" width="28" style="108" bestFit="1" customWidth="1"/>
    <col min="11226" max="11226" width="15.28515625" style="108" customWidth="1"/>
    <col min="11227" max="11227" width="16.28515625" style="108" customWidth="1"/>
    <col min="11228" max="11228" width="11.5703125" style="108" customWidth="1"/>
    <col min="11229" max="11229" width="26.7109375" style="108" bestFit="1" customWidth="1"/>
    <col min="11230" max="11480" width="9.140625" style="108"/>
    <col min="11481" max="11481" width="28" style="108" bestFit="1" customWidth="1"/>
    <col min="11482" max="11482" width="15.28515625" style="108" customWidth="1"/>
    <col min="11483" max="11483" width="16.28515625" style="108" customWidth="1"/>
    <col min="11484" max="11484" width="11.5703125" style="108" customWidth="1"/>
    <col min="11485" max="11485" width="26.7109375" style="108" bestFit="1" customWidth="1"/>
    <col min="11486" max="11736" width="9.140625" style="108"/>
    <col min="11737" max="11737" width="28" style="108" bestFit="1" customWidth="1"/>
    <col min="11738" max="11738" width="15.28515625" style="108" customWidth="1"/>
    <col min="11739" max="11739" width="16.28515625" style="108" customWidth="1"/>
    <col min="11740" max="11740" width="11.5703125" style="108" customWidth="1"/>
    <col min="11741" max="11741" width="26.7109375" style="108" bestFit="1" customWidth="1"/>
    <col min="11742" max="11992" width="9.140625" style="108"/>
    <col min="11993" max="11993" width="28" style="108" bestFit="1" customWidth="1"/>
    <col min="11994" max="11994" width="15.28515625" style="108" customWidth="1"/>
    <col min="11995" max="11995" width="16.28515625" style="108" customWidth="1"/>
    <col min="11996" max="11996" width="11.5703125" style="108" customWidth="1"/>
    <col min="11997" max="11997" width="26.7109375" style="108" bestFit="1" customWidth="1"/>
    <col min="11998" max="12248" width="9.140625" style="108"/>
    <col min="12249" max="12249" width="28" style="108" bestFit="1" customWidth="1"/>
    <col min="12250" max="12250" width="15.28515625" style="108" customWidth="1"/>
    <col min="12251" max="12251" width="16.28515625" style="108" customWidth="1"/>
    <col min="12252" max="12252" width="11.5703125" style="108" customWidth="1"/>
    <col min="12253" max="12253" width="26.7109375" style="108" bestFit="1" customWidth="1"/>
    <col min="12254" max="12504" width="9.140625" style="108"/>
    <col min="12505" max="12505" width="28" style="108" bestFit="1" customWidth="1"/>
    <col min="12506" max="12506" width="15.28515625" style="108" customWidth="1"/>
    <col min="12507" max="12507" width="16.28515625" style="108" customWidth="1"/>
    <col min="12508" max="12508" width="11.5703125" style="108" customWidth="1"/>
    <col min="12509" max="12509" width="26.7109375" style="108" bestFit="1" customWidth="1"/>
    <col min="12510" max="12760" width="9.140625" style="108"/>
    <col min="12761" max="12761" width="28" style="108" bestFit="1" customWidth="1"/>
    <col min="12762" max="12762" width="15.28515625" style="108" customWidth="1"/>
    <col min="12763" max="12763" width="16.28515625" style="108" customWidth="1"/>
    <col min="12764" max="12764" width="11.5703125" style="108" customWidth="1"/>
    <col min="12765" max="12765" width="26.7109375" style="108" bestFit="1" customWidth="1"/>
    <col min="12766" max="13016" width="9.140625" style="108"/>
    <col min="13017" max="13017" width="28" style="108" bestFit="1" customWidth="1"/>
    <col min="13018" max="13018" width="15.28515625" style="108" customWidth="1"/>
    <col min="13019" max="13019" width="16.28515625" style="108" customWidth="1"/>
    <col min="13020" max="13020" width="11.5703125" style="108" customWidth="1"/>
    <col min="13021" max="13021" width="26.7109375" style="108" bestFit="1" customWidth="1"/>
    <col min="13022" max="13272" width="9.140625" style="108"/>
    <col min="13273" max="13273" width="28" style="108" bestFit="1" customWidth="1"/>
    <col min="13274" max="13274" width="15.28515625" style="108" customWidth="1"/>
    <col min="13275" max="13275" width="16.28515625" style="108" customWidth="1"/>
    <col min="13276" max="13276" width="11.5703125" style="108" customWidth="1"/>
    <col min="13277" max="13277" width="26.7109375" style="108" bestFit="1" customWidth="1"/>
    <col min="13278" max="13528" width="9.140625" style="108"/>
    <col min="13529" max="13529" width="28" style="108" bestFit="1" customWidth="1"/>
    <col min="13530" max="13530" width="15.28515625" style="108" customWidth="1"/>
    <col min="13531" max="13531" width="16.28515625" style="108" customWidth="1"/>
    <col min="13532" max="13532" width="11.5703125" style="108" customWidth="1"/>
    <col min="13533" max="13533" width="26.7109375" style="108" bestFit="1" customWidth="1"/>
    <col min="13534" max="13784" width="9.140625" style="108"/>
    <col min="13785" max="13785" width="28" style="108" bestFit="1" customWidth="1"/>
    <col min="13786" max="13786" width="15.28515625" style="108" customWidth="1"/>
    <col min="13787" max="13787" width="16.28515625" style="108" customWidth="1"/>
    <col min="13788" max="13788" width="11.5703125" style="108" customWidth="1"/>
    <col min="13789" max="13789" width="26.7109375" style="108" bestFit="1" customWidth="1"/>
    <col min="13790" max="14040" width="9.140625" style="108"/>
    <col min="14041" max="14041" width="28" style="108" bestFit="1" customWidth="1"/>
    <col min="14042" max="14042" width="15.28515625" style="108" customWidth="1"/>
    <col min="14043" max="14043" width="16.28515625" style="108" customWidth="1"/>
    <col min="14044" max="14044" width="11.5703125" style="108" customWidth="1"/>
    <col min="14045" max="14045" width="26.7109375" style="108" bestFit="1" customWidth="1"/>
    <col min="14046" max="14296" width="9.140625" style="108"/>
    <col min="14297" max="14297" width="28" style="108" bestFit="1" customWidth="1"/>
    <col min="14298" max="14298" width="15.28515625" style="108" customWidth="1"/>
    <col min="14299" max="14299" width="16.28515625" style="108" customWidth="1"/>
    <col min="14300" max="14300" width="11.5703125" style="108" customWidth="1"/>
    <col min="14301" max="14301" width="26.7109375" style="108" bestFit="1" customWidth="1"/>
    <col min="14302" max="14552" width="9.140625" style="108"/>
    <col min="14553" max="14553" width="28" style="108" bestFit="1" customWidth="1"/>
    <col min="14554" max="14554" width="15.28515625" style="108" customWidth="1"/>
    <col min="14555" max="14555" width="16.28515625" style="108" customWidth="1"/>
    <col min="14556" max="14556" width="11.5703125" style="108" customWidth="1"/>
    <col min="14557" max="14557" width="26.7109375" style="108" bestFit="1" customWidth="1"/>
    <col min="14558" max="14808" width="9.140625" style="108"/>
    <col min="14809" max="14809" width="28" style="108" bestFit="1" customWidth="1"/>
    <col min="14810" max="14810" width="15.28515625" style="108" customWidth="1"/>
    <col min="14811" max="14811" width="16.28515625" style="108" customWidth="1"/>
    <col min="14812" max="14812" width="11.5703125" style="108" customWidth="1"/>
    <col min="14813" max="14813" width="26.7109375" style="108" bestFit="1" customWidth="1"/>
    <col min="14814" max="15064" width="9.140625" style="108"/>
    <col min="15065" max="15065" width="28" style="108" bestFit="1" customWidth="1"/>
    <col min="15066" max="15066" width="15.28515625" style="108" customWidth="1"/>
    <col min="15067" max="15067" width="16.28515625" style="108" customWidth="1"/>
    <col min="15068" max="15068" width="11.5703125" style="108" customWidth="1"/>
    <col min="15069" max="15069" width="26.7109375" style="108" bestFit="1" customWidth="1"/>
    <col min="15070" max="15320" width="9.140625" style="108"/>
    <col min="15321" max="15321" width="28" style="108" bestFit="1" customWidth="1"/>
    <col min="15322" max="15322" width="15.28515625" style="108" customWidth="1"/>
    <col min="15323" max="15323" width="16.28515625" style="108" customWidth="1"/>
    <col min="15324" max="15324" width="11.5703125" style="108" customWidth="1"/>
    <col min="15325" max="15325" width="26.7109375" style="108" bestFit="1" customWidth="1"/>
    <col min="15326" max="15576" width="9.140625" style="108"/>
    <col min="15577" max="15577" width="28" style="108" bestFit="1" customWidth="1"/>
    <col min="15578" max="15578" width="15.28515625" style="108" customWidth="1"/>
    <col min="15579" max="15579" width="16.28515625" style="108" customWidth="1"/>
    <col min="15580" max="15580" width="11.5703125" style="108" customWidth="1"/>
    <col min="15581" max="15581" width="26.7109375" style="108" bestFit="1" customWidth="1"/>
    <col min="15582" max="15832" width="9.140625" style="108"/>
    <col min="15833" max="15833" width="28" style="108" bestFit="1" customWidth="1"/>
    <col min="15834" max="15834" width="15.28515625" style="108" customWidth="1"/>
    <col min="15835" max="15835" width="16.28515625" style="108" customWidth="1"/>
    <col min="15836" max="15836" width="11.5703125" style="108" customWidth="1"/>
    <col min="15837" max="15837" width="26.7109375" style="108" bestFit="1" customWidth="1"/>
    <col min="15838" max="16088" width="9.140625" style="108"/>
    <col min="16089" max="16089" width="28" style="108" bestFit="1" customWidth="1"/>
    <col min="16090" max="16090" width="15.28515625" style="108" customWidth="1"/>
    <col min="16091" max="16091" width="16.28515625" style="108" customWidth="1"/>
    <col min="16092" max="16092" width="11.5703125" style="108" customWidth="1"/>
    <col min="16093" max="16093" width="26.7109375" style="108" bestFit="1" customWidth="1"/>
    <col min="16094" max="16368" width="9.140625" style="108"/>
    <col min="16369" max="16384" width="9.140625" style="108" customWidth="1"/>
  </cols>
  <sheetData>
    <row r="1" spans="1:5">
      <c r="A1" s="108"/>
    </row>
    <row r="2" spans="1:5" ht="18.75">
      <c r="A2" s="307" t="s">
        <v>343</v>
      </c>
    </row>
    <row r="3" spans="1:5">
      <c r="A3" s="108"/>
    </row>
    <row r="4" spans="1:5">
      <c r="A4" s="121" t="s">
        <v>410</v>
      </c>
    </row>
    <row r="7" spans="1:5" ht="15.75" customHeight="1">
      <c r="A7" s="303" t="s">
        <v>411</v>
      </c>
    </row>
    <row r="8" spans="1:5">
      <c r="A8" s="303" t="s">
        <v>1117</v>
      </c>
    </row>
    <row r="9" spans="1:5">
      <c r="A9" s="303" t="s">
        <v>412</v>
      </c>
    </row>
    <row r="10" spans="1:5">
      <c r="A10" s="303" t="s">
        <v>413</v>
      </c>
    </row>
    <row r="11" spans="1:5" s="303" customFormat="1"/>
    <row r="12" spans="1:5">
      <c r="A12" s="303" t="s">
        <v>414</v>
      </c>
      <c r="B12" s="303" t="s">
        <v>415</v>
      </c>
      <c r="C12" s="303" t="s">
        <v>416</v>
      </c>
      <c r="D12" s="303" t="s">
        <v>976</v>
      </c>
      <c r="E12" s="308" t="s">
        <v>824</v>
      </c>
    </row>
    <row r="13" spans="1:5">
      <c r="A13" s="303" t="s">
        <v>417</v>
      </c>
      <c r="B13" s="303" t="s">
        <v>418</v>
      </c>
      <c r="C13" s="303">
        <v>4.8099999999999996</v>
      </c>
      <c r="D13" s="303">
        <v>4.83</v>
      </c>
      <c r="E13" s="309">
        <f>AVERAGE(MAX(MIN(C13,10),1.5),MAX(MIN(D13,10),1.5))</f>
        <v>4.82</v>
      </c>
    </row>
    <row r="14" spans="1:5">
      <c r="A14" s="303" t="s">
        <v>417</v>
      </c>
      <c r="B14" s="303" t="s">
        <v>364</v>
      </c>
      <c r="C14" s="303">
        <v>3.95</v>
      </c>
      <c r="D14" s="303">
        <v>4.09</v>
      </c>
      <c r="E14" s="309">
        <f t="shared" ref="E14:E77" si="0">AVERAGE(MAX(MIN(C14,10),1.5),MAX(MIN(D14,10),1.5))</f>
        <v>4.0199999999999996</v>
      </c>
    </row>
    <row r="15" spans="1:5">
      <c r="A15" s="303" t="s">
        <v>417</v>
      </c>
      <c r="B15" s="303" t="s">
        <v>365</v>
      </c>
      <c r="C15" s="303">
        <v>4.33</v>
      </c>
      <c r="D15" s="303">
        <v>4.41</v>
      </c>
      <c r="E15" s="309">
        <f t="shared" si="0"/>
        <v>4.37</v>
      </c>
    </row>
    <row r="16" spans="1:5">
      <c r="A16" s="303" t="s">
        <v>417</v>
      </c>
      <c r="B16" s="303" t="s">
        <v>702</v>
      </c>
      <c r="C16" s="303">
        <v>5.0199999999999996</v>
      </c>
      <c r="D16" s="303">
        <v>4.9000000000000004</v>
      </c>
      <c r="E16" s="309">
        <f t="shared" si="0"/>
        <v>4.96</v>
      </c>
    </row>
    <row r="17" spans="1:5">
      <c r="A17" s="303" t="s">
        <v>417</v>
      </c>
      <c r="B17" s="303" t="s">
        <v>178</v>
      </c>
      <c r="C17" s="303">
        <v>4.2699999999999996</v>
      </c>
      <c r="D17" s="303">
        <v>4.4000000000000004</v>
      </c>
      <c r="E17" s="309">
        <f t="shared" si="0"/>
        <v>4.335</v>
      </c>
    </row>
    <row r="18" spans="1:5">
      <c r="A18" s="303" t="s">
        <v>417</v>
      </c>
      <c r="B18" s="303" t="s">
        <v>179</v>
      </c>
      <c r="C18" s="303">
        <v>3.23</v>
      </c>
      <c r="D18" s="303">
        <v>3.39</v>
      </c>
      <c r="E18" s="309">
        <f t="shared" si="0"/>
        <v>3.31</v>
      </c>
    </row>
    <row r="19" spans="1:5">
      <c r="A19" s="303" t="s">
        <v>417</v>
      </c>
      <c r="B19" s="303" t="s">
        <v>1095</v>
      </c>
      <c r="C19" s="303">
        <v>4.97</v>
      </c>
      <c r="D19" s="303">
        <v>4.9800000000000004</v>
      </c>
      <c r="E19" s="309">
        <f t="shared" si="0"/>
        <v>4.9749999999999996</v>
      </c>
    </row>
    <row r="20" spans="1:5">
      <c r="A20" s="303" t="s">
        <v>417</v>
      </c>
      <c r="B20" s="303" t="s">
        <v>180</v>
      </c>
      <c r="C20" s="303">
        <v>3.86</v>
      </c>
      <c r="D20" s="303">
        <v>3.99</v>
      </c>
      <c r="E20" s="309">
        <f t="shared" si="0"/>
        <v>3.9249999999999998</v>
      </c>
    </row>
    <row r="21" spans="1:5">
      <c r="A21" s="303" t="s">
        <v>417</v>
      </c>
      <c r="B21" s="303" t="s">
        <v>703</v>
      </c>
      <c r="C21" s="303">
        <v>5</v>
      </c>
      <c r="D21" s="303">
        <v>5.09</v>
      </c>
      <c r="E21" s="309">
        <f t="shared" si="0"/>
        <v>5.0449999999999999</v>
      </c>
    </row>
    <row r="22" spans="1:5">
      <c r="A22" s="303" t="s">
        <v>417</v>
      </c>
      <c r="B22" s="303" t="s">
        <v>376</v>
      </c>
      <c r="C22" s="303">
        <v>4.93</v>
      </c>
      <c r="D22" s="303">
        <v>5.05</v>
      </c>
      <c r="E22" s="309">
        <f t="shared" si="0"/>
        <v>4.99</v>
      </c>
    </row>
    <row r="23" spans="1:5">
      <c r="A23" s="303" t="s">
        <v>417</v>
      </c>
      <c r="B23" s="303" t="s">
        <v>358</v>
      </c>
      <c r="C23" s="303">
        <v>3.98</v>
      </c>
      <c r="D23" s="303">
        <v>4.21</v>
      </c>
      <c r="E23" s="309">
        <f t="shared" si="0"/>
        <v>4.0949999999999998</v>
      </c>
    </row>
    <row r="24" spans="1:5">
      <c r="A24" s="303" t="s">
        <v>417</v>
      </c>
      <c r="B24" s="303" t="s">
        <v>181</v>
      </c>
      <c r="C24" s="303">
        <v>4.58</v>
      </c>
      <c r="D24" s="303">
        <v>4.79</v>
      </c>
      <c r="E24" s="309">
        <f t="shared" si="0"/>
        <v>4.6850000000000005</v>
      </c>
    </row>
    <row r="25" spans="1:5">
      <c r="A25" s="303" t="s">
        <v>417</v>
      </c>
      <c r="B25" s="303" t="s">
        <v>209</v>
      </c>
      <c r="C25" s="303">
        <v>5</v>
      </c>
      <c r="D25" s="303">
        <v>4.9800000000000004</v>
      </c>
      <c r="E25" s="309">
        <f t="shared" si="0"/>
        <v>4.99</v>
      </c>
    </row>
    <row r="26" spans="1:5">
      <c r="A26" s="303" t="s">
        <v>417</v>
      </c>
      <c r="B26" s="303" t="s">
        <v>704</v>
      </c>
      <c r="C26" s="303">
        <v>4.5199999999999996</v>
      </c>
      <c r="D26" s="303">
        <v>4.6100000000000003</v>
      </c>
      <c r="E26" s="309">
        <f t="shared" si="0"/>
        <v>4.5649999999999995</v>
      </c>
    </row>
    <row r="27" spans="1:5">
      <c r="A27" s="303" t="s">
        <v>417</v>
      </c>
      <c r="B27" s="303" t="s">
        <v>182</v>
      </c>
      <c r="C27" s="303">
        <v>4.6900000000000004</v>
      </c>
      <c r="D27" s="303">
        <v>4.76</v>
      </c>
      <c r="E27" s="309">
        <f t="shared" si="0"/>
        <v>4.7249999999999996</v>
      </c>
    </row>
    <row r="28" spans="1:5">
      <c r="A28" s="303" t="s">
        <v>417</v>
      </c>
      <c r="B28" s="303" t="s">
        <v>1096</v>
      </c>
      <c r="C28" s="303">
        <v>4.5999999999999996</v>
      </c>
      <c r="D28" s="303">
        <v>4.68</v>
      </c>
      <c r="E28" s="309">
        <f t="shared" si="0"/>
        <v>4.6399999999999997</v>
      </c>
    </row>
    <row r="29" spans="1:5">
      <c r="A29" s="303" t="s">
        <v>417</v>
      </c>
      <c r="B29" s="303" t="s">
        <v>366</v>
      </c>
      <c r="C29" s="303">
        <v>4.45</v>
      </c>
      <c r="D29" s="303">
        <v>5.12</v>
      </c>
      <c r="E29" s="309">
        <f t="shared" si="0"/>
        <v>4.7850000000000001</v>
      </c>
    </row>
    <row r="30" spans="1:5">
      <c r="A30" s="303" t="s">
        <v>417</v>
      </c>
      <c r="B30" s="303" t="s">
        <v>183</v>
      </c>
      <c r="C30" s="303">
        <v>3.7</v>
      </c>
      <c r="D30" s="303">
        <v>3.95</v>
      </c>
      <c r="E30" s="309">
        <f t="shared" si="0"/>
        <v>3.8250000000000002</v>
      </c>
    </row>
    <row r="31" spans="1:5">
      <c r="A31" s="303" t="s">
        <v>417</v>
      </c>
      <c r="B31" s="303" t="s">
        <v>393</v>
      </c>
      <c r="C31" s="303">
        <v>4.99</v>
      </c>
      <c r="D31" s="303">
        <v>5.0199999999999996</v>
      </c>
      <c r="E31" s="309">
        <f t="shared" si="0"/>
        <v>5.0049999999999999</v>
      </c>
    </row>
    <row r="32" spans="1:5">
      <c r="A32" s="303" t="s">
        <v>417</v>
      </c>
      <c r="B32" s="303" t="s">
        <v>210</v>
      </c>
      <c r="C32" s="303">
        <v>4.6100000000000003</v>
      </c>
      <c r="D32" s="303">
        <v>4.7699999999999996</v>
      </c>
      <c r="E32" s="309">
        <f t="shared" si="0"/>
        <v>4.6899999999999995</v>
      </c>
    </row>
    <row r="33" spans="1:5">
      <c r="A33" s="303" t="s">
        <v>417</v>
      </c>
      <c r="B33" s="303" t="s">
        <v>419</v>
      </c>
      <c r="C33" s="303">
        <v>4.8499999999999996</v>
      </c>
      <c r="D33" s="303">
        <v>4.88</v>
      </c>
      <c r="E33" s="309">
        <f t="shared" si="0"/>
        <v>4.8650000000000002</v>
      </c>
    </row>
    <row r="34" spans="1:5">
      <c r="A34" s="303" t="s">
        <v>417</v>
      </c>
      <c r="B34" s="303" t="s">
        <v>420</v>
      </c>
      <c r="C34" s="303">
        <v>4.99</v>
      </c>
      <c r="D34" s="303">
        <v>5.01</v>
      </c>
      <c r="E34" s="309">
        <f t="shared" si="0"/>
        <v>5</v>
      </c>
    </row>
    <row r="35" spans="1:5">
      <c r="A35" s="303" t="s">
        <v>417</v>
      </c>
      <c r="B35" s="303" t="s">
        <v>184</v>
      </c>
      <c r="C35" s="303">
        <v>3.24</v>
      </c>
      <c r="D35" s="303">
        <v>3.27</v>
      </c>
      <c r="E35" s="309">
        <f t="shared" si="0"/>
        <v>3.2549999999999999</v>
      </c>
    </row>
    <row r="36" spans="1:5">
      <c r="A36" s="303" t="s">
        <v>417</v>
      </c>
      <c r="B36" s="303" t="s">
        <v>185</v>
      </c>
      <c r="C36" s="303">
        <v>4.68</v>
      </c>
      <c r="D36" s="303">
        <v>4.6500000000000004</v>
      </c>
      <c r="E36" s="309">
        <f t="shared" si="0"/>
        <v>4.665</v>
      </c>
    </row>
    <row r="37" spans="1:5">
      <c r="A37" s="303" t="s">
        <v>417</v>
      </c>
      <c r="B37" s="303" t="s">
        <v>705</v>
      </c>
      <c r="C37" s="303">
        <v>4.82</v>
      </c>
      <c r="D37" s="303">
        <v>4.8</v>
      </c>
      <c r="E37" s="309">
        <f t="shared" si="0"/>
        <v>4.8100000000000005</v>
      </c>
    </row>
    <row r="38" spans="1:5">
      <c r="A38" s="303" t="s">
        <v>417</v>
      </c>
      <c r="B38" s="303" t="s">
        <v>186</v>
      </c>
      <c r="C38" s="303">
        <v>4.8899999999999997</v>
      </c>
      <c r="D38" s="303">
        <v>4.8899999999999997</v>
      </c>
      <c r="E38" s="309">
        <f t="shared" si="0"/>
        <v>4.8899999999999997</v>
      </c>
    </row>
    <row r="39" spans="1:5">
      <c r="A39" s="303" t="s">
        <v>417</v>
      </c>
      <c r="B39" s="303" t="s">
        <v>421</v>
      </c>
      <c r="C39" s="303">
        <v>4.5</v>
      </c>
      <c r="D39" s="303">
        <v>5.8</v>
      </c>
      <c r="E39" s="309">
        <f t="shared" si="0"/>
        <v>5.15</v>
      </c>
    </row>
    <row r="40" spans="1:5">
      <c r="A40" s="303" t="s">
        <v>417</v>
      </c>
      <c r="B40" s="303" t="s">
        <v>357</v>
      </c>
      <c r="C40" s="303">
        <v>4.68</v>
      </c>
      <c r="D40" s="303">
        <v>4.83</v>
      </c>
      <c r="E40" s="309">
        <f t="shared" si="0"/>
        <v>4.7549999999999999</v>
      </c>
    </row>
    <row r="41" spans="1:5">
      <c r="A41" s="303" t="s">
        <v>417</v>
      </c>
      <c r="B41" s="303" t="s">
        <v>706</v>
      </c>
      <c r="C41" s="303">
        <v>5.01</v>
      </c>
      <c r="D41" s="303">
        <v>5.08</v>
      </c>
      <c r="E41" s="309">
        <f t="shared" si="0"/>
        <v>5.0449999999999999</v>
      </c>
    </row>
    <row r="42" spans="1:5">
      <c r="A42" s="303" t="s">
        <v>417</v>
      </c>
      <c r="B42" s="303" t="s">
        <v>422</v>
      </c>
      <c r="C42" s="303">
        <v>4.9000000000000004</v>
      </c>
      <c r="D42" s="303">
        <v>4.9000000000000004</v>
      </c>
      <c r="E42" s="309">
        <f t="shared" si="0"/>
        <v>4.9000000000000004</v>
      </c>
    </row>
    <row r="43" spans="1:5">
      <c r="A43" s="303" t="s">
        <v>417</v>
      </c>
      <c r="B43" s="303" t="s">
        <v>423</v>
      </c>
      <c r="C43" s="303">
        <v>4.97</v>
      </c>
      <c r="D43" s="303">
        <v>5</v>
      </c>
      <c r="E43" s="309">
        <f t="shared" si="0"/>
        <v>4.9849999999999994</v>
      </c>
    </row>
    <row r="44" spans="1:5">
      <c r="A44" s="303" t="s">
        <v>417</v>
      </c>
      <c r="B44" s="303" t="s">
        <v>211</v>
      </c>
      <c r="C44" s="303">
        <v>4.8899999999999997</v>
      </c>
      <c r="D44" s="303">
        <v>4.9800000000000004</v>
      </c>
      <c r="E44" s="309">
        <f t="shared" si="0"/>
        <v>4.9350000000000005</v>
      </c>
    </row>
    <row r="45" spans="1:5">
      <c r="A45" s="303" t="s">
        <v>417</v>
      </c>
      <c r="B45" s="303" t="s">
        <v>8</v>
      </c>
      <c r="C45" s="303">
        <v>4.29</v>
      </c>
      <c r="D45" s="303">
        <v>4.53</v>
      </c>
      <c r="E45" s="309">
        <f t="shared" si="0"/>
        <v>4.41</v>
      </c>
    </row>
    <row r="46" spans="1:5">
      <c r="A46" s="303" t="s">
        <v>424</v>
      </c>
      <c r="B46" s="303" t="s">
        <v>377</v>
      </c>
      <c r="C46" s="303">
        <v>2.74</v>
      </c>
      <c r="D46" s="303">
        <v>3.82</v>
      </c>
      <c r="E46" s="309">
        <f t="shared" si="0"/>
        <v>3.2800000000000002</v>
      </c>
    </row>
    <row r="47" spans="1:5">
      <c r="A47" s="303" t="s">
        <v>424</v>
      </c>
      <c r="B47" s="303" t="s">
        <v>425</v>
      </c>
      <c r="C47" s="303">
        <v>1.96</v>
      </c>
      <c r="D47" s="303">
        <v>2.94</v>
      </c>
      <c r="E47" s="309">
        <f t="shared" si="0"/>
        <v>2.4500000000000002</v>
      </c>
    </row>
    <row r="48" spans="1:5">
      <c r="A48" s="303" t="s">
        <v>424</v>
      </c>
      <c r="B48" s="303" t="s">
        <v>426</v>
      </c>
      <c r="C48" s="303">
        <v>2.57</v>
      </c>
      <c r="D48" s="303">
        <v>3.1</v>
      </c>
      <c r="E48" s="309">
        <f t="shared" si="0"/>
        <v>2.835</v>
      </c>
    </row>
    <row r="49" spans="1:5">
      <c r="A49" s="303" t="s">
        <v>424</v>
      </c>
      <c r="B49" s="303" t="s">
        <v>199</v>
      </c>
      <c r="C49" s="303">
        <v>2.41</v>
      </c>
      <c r="D49" s="303">
        <v>2.59</v>
      </c>
      <c r="E49" s="309">
        <f t="shared" si="0"/>
        <v>2.5</v>
      </c>
    </row>
    <row r="50" spans="1:5">
      <c r="A50" s="303" t="s">
        <v>424</v>
      </c>
      <c r="B50" s="303" t="s">
        <v>1097</v>
      </c>
      <c r="C50" s="303">
        <v>2.89</v>
      </c>
      <c r="D50" s="303">
        <v>2.91</v>
      </c>
      <c r="E50" s="309">
        <f t="shared" si="0"/>
        <v>2.9000000000000004</v>
      </c>
    </row>
    <row r="51" spans="1:5">
      <c r="A51" s="303" t="s">
        <v>424</v>
      </c>
      <c r="B51" s="303" t="s">
        <v>427</v>
      </c>
      <c r="C51" s="303">
        <v>2.79</v>
      </c>
      <c r="D51" s="303">
        <v>2.58</v>
      </c>
      <c r="E51" s="309">
        <f t="shared" si="0"/>
        <v>2.6850000000000001</v>
      </c>
    </row>
    <row r="52" spans="1:5">
      <c r="A52" s="303" t="s">
        <v>424</v>
      </c>
      <c r="B52" s="303" t="s">
        <v>200</v>
      </c>
      <c r="C52" s="303">
        <v>2.2799999999999998</v>
      </c>
      <c r="D52" s="303">
        <v>2.66</v>
      </c>
      <c r="E52" s="309">
        <f t="shared" si="0"/>
        <v>2.4699999999999998</v>
      </c>
    </row>
    <row r="53" spans="1:5">
      <c r="A53" s="303" t="s">
        <v>424</v>
      </c>
      <c r="B53" s="303" t="s">
        <v>403</v>
      </c>
      <c r="C53" s="303">
        <v>2.64</v>
      </c>
      <c r="D53" s="303">
        <v>2.68</v>
      </c>
      <c r="E53" s="309">
        <f t="shared" si="0"/>
        <v>2.66</v>
      </c>
    </row>
    <row r="54" spans="1:5">
      <c r="A54" s="303" t="s">
        <v>424</v>
      </c>
      <c r="B54" s="303" t="s">
        <v>201</v>
      </c>
      <c r="C54" s="303">
        <v>2.61</v>
      </c>
      <c r="D54" s="303">
        <v>2.7</v>
      </c>
      <c r="E54" s="309">
        <f t="shared" si="0"/>
        <v>2.6550000000000002</v>
      </c>
    </row>
    <row r="55" spans="1:5">
      <c r="A55" s="303" t="s">
        <v>424</v>
      </c>
      <c r="B55" s="303" t="s">
        <v>820</v>
      </c>
      <c r="C55" s="303">
        <v>2.59</v>
      </c>
      <c r="D55" s="303">
        <v>2.79</v>
      </c>
      <c r="E55" s="309">
        <f t="shared" si="0"/>
        <v>2.69</v>
      </c>
    </row>
    <row r="56" spans="1:5">
      <c r="A56" s="303" t="s">
        <v>424</v>
      </c>
      <c r="B56" s="303" t="s">
        <v>821</v>
      </c>
      <c r="C56" s="303">
        <v>2.58</v>
      </c>
      <c r="D56" s="303">
        <v>2.9</v>
      </c>
      <c r="E56" s="309">
        <f t="shared" si="0"/>
        <v>2.74</v>
      </c>
    </row>
    <row r="57" spans="1:5">
      <c r="A57" s="303" t="s">
        <v>424</v>
      </c>
      <c r="B57" s="303" t="s">
        <v>202</v>
      </c>
      <c r="C57" s="303">
        <v>2.74</v>
      </c>
      <c r="D57" s="303">
        <v>2.82</v>
      </c>
      <c r="E57" s="309">
        <f t="shared" si="0"/>
        <v>2.7800000000000002</v>
      </c>
    </row>
    <row r="58" spans="1:5">
      <c r="A58" s="303" t="s">
        <v>424</v>
      </c>
      <c r="B58" s="303" t="s">
        <v>208</v>
      </c>
      <c r="C58" s="303">
        <v>2.84</v>
      </c>
      <c r="D58" s="303">
        <v>2.86</v>
      </c>
      <c r="E58" s="309">
        <f t="shared" si="0"/>
        <v>2.8499999999999996</v>
      </c>
    </row>
    <row r="59" spans="1:5">
      <c r="A59" s="303" t="s">
        <v>424</v>
      </c>
      <c r="B59" s="303" t="s">
        <v>1098</v>
      </c>
      <c r="C59" s="303">
        <v>2.87</v>
      </c>
      <c r="D59" s="303">
        <v>2.86</v>
      </c>
      <c r="E59" s="309">
        <f t="shared" si="0"/>
        <v>2.8650000000000002</v>
      </c>
    </row>
    <row r="60" spans="1:5">
      <c r="A60" s="303" t="s">
        <v>424</v>
      </c>
      <c r="B60" s="303" t="s">
        <v>203</v>
      </c>
      <c r="C60" s="303">
        <v>1.95</v>
      </c>
      <c r="D60" s="303">
        <v>2.23</v>
      </c>
      <c r="E60" s="309">
        <f t="shared" si="0"/>
        <v>2.09</v>
      </c>
    </row>
    <row r="61" spans="1:5">
      <c r="A61" s="303" t="s">
        <v>424</v>
      </c>
      <c r="B61" s="303" t="s">
        <v>428</v>
      </c>
      <c r="C61" s="303">
        <v>2.41</v>
      </c>
      <c r="D61" s="303">
        <v>2.38</v>
      </c>
      <c r="E61" s="309">
        <f t="shared" si="0"/>
        <v>2.395</v>
      </c>
    </row>
    <row r="62" spans="1:5">
      <c r="A62" s="303" t="s">
        <v>424</v>
      </c>
      <c r="B62" s="303" t="s">
        <v>394</v>
      </c>
      <c r="C62" s="303">
        <v>2.4700000000000002</v>
      </c>
      <c r="D62" s="303">
        <v>2.85</v>
      </c>
      <c r="E62" s="309">
        <f t="shared" si="0"/>
        <v>2.66</v>
      </c>
    </row>
    <row r="63" spans="1:5">
      <c r="A63" s="303" t="s">
        <v>424</v>
      </c>
      <c r="B63" s="303" t="s">
        <v>1099</v>
      </c>
      <c r="C63" s="303">
        <v>2.52</v>
      </c>
      <c r="D63" s="303">
        <v>2.76</v>
      </c>
      <c r="E63" s="309">
        <f t="shared" si="0"/>
        <v>2.6399999999999997</v>
      </c>
    </row>
    <row r="64" spans="1:5">
      <c r="A64" s="303" t="s">
        <v>424</v>
      </c>
      <c r="B64" s="303" t="s">
        <v>429</v>
      </c>
      <c r="C64" s="303">
        <v>2.4900000000000002</v>
      </c>
      <c r="D64" s="303">
        <v>3.42</v>
      </c>
      <c r="E64" s="309">
        <f t="shared" si="0"/>
        <v>2.9550000000000001</v>
      </c>
    </row>
    <row r="65" spans="1:5">
      <c r="A65" s="303" t="s">
        <v>424</v>
      </c>
      <c r="B65" s="303" t="s">
        <v>395</v>
      </c>
      <c r="C65" s="303">
        <v>1.99</v>
      </c>
      <c r="D65" s="303">
        <v>2.14</v>
      </c>
      <c r="E65" s="309">
        <f t="shared" si="0"/>
        <v>2.0649999999999999</v>
      </c>
    </row>
    <row r="66" spans="1:5">
      <c r="A66" s="303" t="s">
        <v>424</v>
      </c>
      <c r="B66" s="303" t="s">
        <v>822</v>
      </c>
      <c r="C66" s="303">
        <v>2.2999999999999998</v>
      </c>
      <c r="D66" s="303">
        <v>2.4900000000000002</v>
      </c>
      <c r="E66" s="309">
        <f t="shared" si="0"/>
        <v>2.395</v>
      </c>
    </row>
    <row r="67" spans="1:5">
      <c r="A67" s="303" t="s">
        <v>424</v>
      </c>
      <c r="B67" s="303" t="s">
        <v>396</v>
      </c>
      <c r="C67" s="303">
        <v>2.38</v>
      </c>
      <c r="D67" s="303">
        <v>2.65</v>
      </c>
      <c r="E67" s="309">
        <f t="shared" si="0"/>
        <v>2.5149999999999997</v>
      </c>
    </row>
    <row r="68" spans="1:5">
      <c r="A68" s="303" t="s">
        <v>424</v>
      </c>
      <c r="B68" s="303" t="s">
        <v>430</v>
      </c>
      <c r="C68" s="303">
        <v>2.69</v>
      </c>
      <c r="D68" s="303">
        <v>2.93</v>
      </c>
      <c r="E68" s="309">
        <f t="shared" si="0"/>
        <v>2.81</v>
      </c>
    </row>
    <row r="69" spans="1:5">
      <c r="A69" s="303" t="s">
        <v>424</v>
      </c>
      <c r="B69" s="303" t="s">
        <v>431</v>
      </c>
      <c r="C69" s="303">
        <v>2.78</v>
      </c>
      <c r="D69" s="303">
        <v>3.35</v>
      </c>
      <c r="E69" s="309">
        <f t="shared" si="0"/>
        <v>3.0649999999999999</v>
      </c>
    </row>
    <row r="70" spans="1:5">
      <c r="A70" s="303" t="s">
        <v>424</v>
      </c>
      <c r="B70" s="303" t="s">
        <v>823</v>
      </c>
      <c r="C70" s="303">
        <v>2.88</v>
      </c>
      <c r="D70" s="303">
        <v>2.76</v>
      </c>
      <c r="E70" s="309">
        <f t="shared" si="0"/>
        <v>2.82</v>
      </c>
    </row>
    <row r="71" spans="1:5">
      <c r="A71" s="303" t="s">
        <v>424</v>
      </c>
      <c r="B71" s="303" t="s">
        <v>170</v>
      </c>
      <c r="C71" s="303">
        <v>1.54</v>
      </c>
      <c r="D71" s="303">
        <v>1.79</v>
      </c>
      <c r="E71" s="309">
        <f t="shared" si="0"/>
        <v>1.665</v>
      </c>
    </row>
    <row r="72" spans="1:5">
      <c r="A72" s="303" t="s">
        <v>424</v>
      </c>
      <c r="B72" s="303" t="s">
        <v>206</v>
      </c>
      <c r="C72" s="303">
        <v>2.15</v>
      </c>
      <c r="D72" s="303">
        <v>2.75</v>
      </c>
      <c r="E72" s="309">
        <f t="shared" si="0"/>
        <v>2.4500000000000002</v>
      </c>
    </row>
    <row r="73" spans="1:5">
      <c r="A73" s="303" t="s">
        <v>424</v>
      </c>
      <c r="B73" s="303" t="s">
        <v>432</v>
      </c>
      <c r="C73" s="303">
        <v>2.59</v>
      </c>
      <c r="D73" s="303">
        <v>2.87</v>
      </c>
      <c r="E73" s="309">
        <f t="shared" si="0"/>
        <v>2.73</v>
      </c>
    </row>
    <row r="74" spans="1:5">
      <c r="A74" s="303" t="s">
        <v>424</v>
      </c>
      <c r="B74" s="303" t="s">
        <v>207</v>
      </c>
      <c r="C74" s="303">
        <v>1.64</v>
      </c>
      <c r="D74" s="303">
        <v>2.04</v>
      </c>
      <c r="E74" s="309">
        <f t="shared" si="0"/>
        <v>1.8399999999999999</v>
      </c>
    </row>
    <row r="75" spans="1:5">
      <c r="A75" s="303" t="s">
        <v>424</v>
      </c>
      <c r="B75" s="303" t="s">
        <v>433</v>
      </c>
      <c r="C75" s="303">
        <v>2.4</v>
      </c>
      <c r="D75" s="303">
        <v>2.4</v>
      </c>
      <c r="E75" s="309">
        <f t="shared" si="0"/>
        <v>2.4</v>
      </c>
    </row>
    <row r="76" spans="1:5">
      <c r="A76" s="303" t="s">
        <v>424</v>
      </c>
      <c r="B76" s="303" t="s">
        <v>434</v>
      </c>
      <c r="C76" s="303">
        <v>2.38</v>
      </c>
      <c r="D76" s="303">
        <v>2.39</v>
      </c>
      <c r="E76" s="309">
        <f t="shared" si="0"/>
        <v>2.3849999999999998</v>
      </c>
    </row>
    <row r="77" spans="1:5">
      <c r="A77" s="303" t="s">
        <v>424</v>
      </c>
      <c r="B77" s="303" t="s">
        <v>435</v>
      </c>
      <c r="C77" s="303">
        <v>2.17</v>
      </c>
      <c r="D77" s="303">
        <v>2.3199999999999998</v>
      </c>
      <c r="E77" s="309">
        <f t="shared" si="0"/>
        <v>2.2450000000000001</v>
      </c>
    </row>
    <row r="78" spans="1:5">
      <c r="A78" s="303" t="s">
        <v>424</v>
      </c>
      <c r="B78" s="303" t="s">
        <v>436</v>
      </c>
      <c r="C78" s="303">
        <v>2.46</v>
      </c>
      <c r="D78" s="303">
        <v>2.67</v>
      </c>
      <c r="E78" s="309">
        <f t="shared" ref="E78:E141" si="1">AVERAGE(MAX(MIN(C78,10),1.5),MAX(MIN(D78,10),1.5))</f>
        <v>2.5649999999999999</v>
      </c>
    </row>
    <row r="79" spans="1:5">
      <c r="A79" s="303" t="s">
        <v>424</v>
      </c>
      <c r="B79" s="303" t="s">
        <v>369</v>
      </c>
      <c r="C79" s="303">
        <v>2.73</v>
      </c>
      <c r="D79" s="303">
        <v>2.91</v>
      </c>
      <c r="E79" s="309">
        <f t="shared" si="1"/>
        <v>2.8200000000000003</v>
      </c>
    </row>
    <row r="80" spans="1:5">
      <c r="A80" s="303" t="s">
        <v>424</v>
      </c>
      <c r="B80" s="303" t="s">
        <v>437</v>
      </c>
      <c r="C80" s="303">
        <v>2.93</v>
      </c>
      <c r="D80" s="303">
        <v>2.98</v>
      </c>
      <c r="E80" s="309">
        <f t="shared" si="1"/>
        <v>2.9550000000000001</v>
      </c>
    </row>
    <row r="81" spans="1:5">
      <c r="A81" s="303" t="s">
        <v>438</v>
      </c>
      <c r="B81" s="303" t="s">
        <v>281</v>
      </c>
      <c r="C81" s="303">
        <v>1.98</v>
      </c>
      <c r="D81" s="303">
        <v>2.19</v>
      </c>
      <c r="E81" s="309">
        <f t="shared" si="1"/>
        <v>2.085</v>
      </c>
    </row>
    <row r="82" spans="1:5">
      <c r="A82" s="303" t="s">
        <v>438</v>
      </c>
      <c r="B82" s="303" t="s">
        <v>724</v>
      </c>
      <c r="C82" s="303">
        <v>4.6500000000000004</v>
      </c>
      <c r="D82" s="303">
        <v>5.12</v>
      </c>
      <c r="E82" s="309">
        <f t="shared" si="1"/>
        <v>4.8849999999999998</v>
      </c>
    </row>
    <row r="83" spans="1:5">
      <c r="A83" s="303" t="s">
        <v>438</v>
      </c>
      <c r="B83" s="303" t="s">
        <v>1118</v>
      </c>
      <c r="C83" s="303">
        <v>3.2</v>
      </c>
      <c r="D83" s="303">
        <v>3.23</v>
      </c>
      <c r="E83" s="309">
        <f t="shared" si="1"/>
        <v>3.2149999999999999</v>
      </c>
    </row>
    <row r="84" spans="1:5">
      <c r="A84" s="303" t="s">
        <v>438</v>
      </c>
      <c r="B84" s="303" t="s">
        <v>439</v>
      </c>
      <c r="C84" s="303">
        <v>3.57</v>
      </c>
      <c r="D84" s="303">
        <v>3.59</v>
      </c>
      <c r="E84" s="309">
        <f t="shared" si="1"/>
        <v>3.58</v>
      </c>
    </row>
    <row r="85" spans="1:5">
      <c r="A85" s="303" t="s">
        <v>438</v>
      </c>
      <c r="B85" s="303" t="s">
        <v>282</v>
      </c>
      <c r="C85" s="303">
        <v>2.8</v>
      </c>
      <c r="D85" s="303">
        <v>3.1</v>
      </c>
      <c r="E85" s="309">
        <f t="shared" si="1"/>
        <v>2.95</v>
      </c>
    </row>
    <row r="86" spans="1:5">
      <c r="A86" s="303" t="s">
        <v>438</v>
      </c>
      <c r="B86" s="303" t="s">
        <v>440</v>
      </c>
      <c r="C86" s="303">
        <v>3.56</v>
      </c>
      <c r="D86" s="303">
        <v>3.91</v>
      </c>
      <c r="E86" s="309">
        <f t="shared" si="1"/>
        <v>3.7350000000000003</v>
      </c>
    </row>
    <row r="87" spans="1:5">
      <c r="A87" s="303" t="s">
        <v>438</v>
      </c>
      <c r="B87" s="303" t="s">
        <v>385</v>
      </c>
      <c r="C87" s="303">
        <v>3.11</v>
      </c>
      <c r="D87" s="303">
        <v>3.27</v>
      </c>
      <c r="E87" s="309">
        <f t="shared" si="1"/>
        <v>3.19</v>
      </c>
    </row>
    <row r="88" spans="1:5">
      <c r="A88" s="303" t="s">
        <v>438</v>
      </c>
      <c r="B88" s="303" t="s">
        <v>988</v>
      </c>
      <c r="C88" s="303">
        <v>3.9</v>
      </c>
      <c r="D88" s="303">
        <v>4.34</v>
      </c>
      <c r="E88" s="309">
        <f t="shared" si="1"/>
        <v>4.12</v>
      </c>
    </row>
    <row r="89" spans="1:5">
      <c r="A89" s="303" t="s">
        <v>438</v>
      </c>
      <c r="B89" s="303" t="s">
        <v>284</v>
      </c>
      <c r="C89" s="303">
        <v>2.99</v>
      </c>
      <c r="D89" s="303">
        <v>3.26</v>
      </c>
      <c r="E89" s="309">
        <f t="shared" si="1"/>
        <v>3.125</v>
      </c>
    </row>
    <row r="90" spans="1:5">
      <c r="A90" s="303" t="s">
        <v>438</v>
      </c>
      <c r="B90" s="303" t="s">
        <v>441</v>
      </c>
      <c r="C90" s="303">
        <v>4.25</v>
      </c>
      <c r="D90" s="303">
        <v>4.55</v>
      </c>
      <c r="E90" s="309">
        <f t="shared" si="1"/>
        <v>4.4000000000000004</v>
      </c>
    </row>
    <row r="91" spans="1:5">
      <c r="A91" s="303" t="s">
        <v>438</v>
      </c>
      <c r="B91" s="303" t="s">
        <v>1119</v>
      </c>
      <c r="C91" s="303">
        <v>2.2799999999999998</v>
      </c>
      <c r="D91" s="303">
        <v>2.42</v>
      </c>
      <c r="E91" s="309">
        <f t="shared" si="1"/>
        <v>2.3499999999999996</v>
      </c>
    </row>
    <row r="92" spans="1:5">
      <c r="A92" s="303" t="s">
        <v>438</v>
      </c>
      <c r="B92" s="303" t="s">
        <v>442</v>
      </c>
      <c r="C92" s="303">
        <v>2.88</v>
      </c>
      <c r="D92" s="303">
        <v>2.91</v>
      </c>
      <c r="E92" s="309">
        <f t="shared" si="1"/>
        <v>2.895</v>
      </c>
    </row>
    <row r="93" spans="1:5">
      <c r="A93" s="303" t="s">
        <v>438</v>
      </c>
      <c r="B93" s="303" t="s">
        <v>404</v>
      </c>
      <c r="C93" s="303">
        <v>2.92</v>
      </c>
      <c r="D93" s="303">
        <v>3.12</v>
      </c>
      <c r="E93" s="309">
        <f t="shared" si="1"/>
        <v>3.02</v>
      </c>
    </row>
    <row r="94" spans="1:5">
      <c r="A94" s="303" t="s">
        <v>438</v>
      </c>
      <c r="B94" s="303" t="s">
        <v>989</v>
      </c>
      <c r="C94" s="303">
        <v>3.38</v>
      </c>
      <c r="D94" s="303">
        <v>3.71</v>
      </c>
      <c r="E94" s="309">
        <f t="shared" si="1"/>
        <v>3.5449999999999999</v>
      </c>
    </row>
    <row r="95" spans="1:5">
      <c r="A95" s="303" t="s">
        <v>438</v>
      </c>
      <c r="B95" s="303" t="s">
        <v>443</v>
      </c>
      <c r="C95" s="303">
        <v>3.25</v>
      </c>
      <c r="D95" s="303">
        <v>3.91</v>
      </c>
      <c r="E95" s="309">
        <f t="shared" si="1"/>
        <v>3.58</v>
      </c>
    </row>
    <row r="96" spans="1:5">
      <c r="A96" s="303" t="s">
        <v>438</v>
      </c>
      <c r="B96" s="303" t="s">
        <v>1120</v>
      </c>
      <c r="C96" s="303">
        <v>2.66</v>
      </c>
      <c r="D96" s="303">
        <v>2.81</v>
      </c>
      <c r="E96" s="309">
        <f t="shared" si="1"/>
        <v>2.7350000000000003</v>
      </c>
    </row>
    <row r="97" spans="1:5">
      <c r="A97" s="303" t="s">
        <v>438</v>
      </c>
      <c r="B97" s="303" t="s">
        <v>444</v>
      </c>
      <c r="C97" s="303">
        <v>3.52</v>
      </c>
      <c r="D97" s="303">
        <v>3.86</v>
      </c>
      <c r="E97" s="309">
        <f t="shared" si="1"/>
        <v>3.69</v>
      </c>
    </row>
    <row r="98" spans="1:5">
      <c r="A98" s="303" t="s">
        <v>438</v>
      </c>
      <c r="B98" s="303" t="s">
        <v>386</v>
      </c>
      <c r="C98" s="303">
        <v>3.42</v>
      </c>
      <c r="D98" s="303">
        <v>3.94</v>
      </c>
      <c r="E98" s="309">
        <f t="shared" si="1"/>
        <v>3.6799999999999997</v>
      </c>
    </row>
    <row r="99" spans="1:5">
      <c r="A99" s="303" t="s">
        <v>438</v>
      </c>
      <c r="B99" s="303" t="s">
        <v>725</v>
      </c>
      <c r="C99" s="303">
        <v>3.24</v>
      </c>
      <c r="D99" s="303">
        <v>3.48</v>
      </c>
      <c r="E99" s="309">
        <f t="shared" si="1"/>
        <v>3.3600000000000003</v>
      </c>
    </row>
    <row r="100" spans="1:5">
      <c r="A100" s="303" t="s">
        <v>438</v>
      </c>
      <c r="B100" s="303" t="s">
        <v>445</v>
      </c>
      <c r="C100" s="303">
        <v>2.64</v>
      </c>
      <c r="D100" s="303">
        <v>3.34</v>
      </c>
      <c r="E100" s="309">
        <f t="shared" si="1"/>
        <v>2.99</v>
      </c>
    </row>
    <row r="101" spans="1:5">
      <c r="A101" s="303" t="s">
        <v>438</v>
      </c>
      <c r="B101" s="303" t="s">
        <v>1121</v>
      </c>
      <c r="C101" s="303">
        <v>3.02</v>
      </c>
      <c r="D101" s="303">
        <v>3.67</v>
      </c>
      <c r="E101" s="309">
        <f t="shared" si="1"/>
        <v>3.3449999999999998</v>
      </c>
    </row>
    <row r="102" spans="1:5">
      <c r="A102" s="303" t="s">
        <v>438</v>
      </c>
      <c r="B102" s="303" t="s">
        <v>446</v>
      </c>
      <c r="C102" s="303">
        <v>2.93</v>
      </c>
      <c r="D102" s="303">
        <v>3.73</v>
      </c>
      <c r="E102" s="309">
        <f t="shared" si="1"/>
        <v>3.33</v>
      </c>
    </row>
    <row r="103" spans="1:5">
      <c r="A103" s="303" t="s">
        <v>438</v>
      </c>
      <c r="B103" s="303" t="s">
        <v>447</v>
      </c>
      <c r="C103" s="303">
        <v>3.27</v>
      </c>
      <c r="D103" s="303">
        <v>3.52</v>
      </c>
      <c r="E103" s="309">
        <f t="shared" si="1"/>
        <v>3.395</v>
      </c>
    </row>
    <row r="104" spans="1:5">
      <c r="A104" s="303" t="s">
        <v>438</v>
      </c>
      <c r="B104" s="303" t="s">
        <v>448</v>
      </c>
      <c r="C104" s="303">
        <v>2.76</v>
      </c>
      <c r="D104" s="303">
        <v>2.96</v>
      </c>
      <c r="E104" s="309">
        <f t="shared" si="1"/>
        <v>2.86</v>
      </c>
    </row>
    <row r="105" spans="1:5">
      <c r="A105" s="303" t="s">
        <v>438</v>
      </c>
      <c r="B105" s="303" t="s">
        <v>449</v>
      </c>
      <c r="C105" s="303">
        <v>2.95</v>
      </c>
      <c r="D105" s="303">
        <v>2.97</v>
      </c>
      <c r="E105" s="309">
        <f t="shared" si="1"/>
        <v>2.96</v>
      </c>
    </row>
    <row r="106" spans="1:5">
      <c r="A106" s="303" t="s">
        <v>438</v>
      </c>
      <c r="B106" s="303" t="s">
        <v>990</v>
      </c>
      <c r="C106" s="303">
        <v>3.15</v>
      </c>
      <c r="D106" s="303">
        <v>3.19</v>
      </c>
      <c r="E106" s="309">
        <f t="shared" si="1"/>
        <v>3.17</v>
      </c>
    </row>
    <row r="107" spans="1:5">
      <c r="A107" s="303" t="s">
        <v>438</v>
      </c>
      <c r="B107" s="303" t="s">
        <v>291</v>
      </c>
      <c r="C107" s="303">
        <v>2.84</v>
      </c>
      <c r="D107" s="303">
        <v>3.07</v>
      </c>
      <c r="E107" s="309">
        <f t="shared" si="1"/>
        <v>2.9550000000000001</v>
      </c>
    </row>
    <row r="108" spans="1:5">
      <c r="A108" s="303" t="s">
        <v>438</v>
      </c>
      <c r="B108" s="303" t="s">
        <v>726</v>
      </c>
      <c r="C108" s="303">
        <v>2.79</v>
      </c>
      <c r="D108" s="303">
        <v>3.12</v>
      </c>
      <c r="E108" s="309">
        <f t="shared" si="1"/>
        <v>2.9550000000000001</v>
      </c>
    </row>
    <row r="109" spans="1:5">
      <c r="A109" s="303" t="s">
        <v>450</v>
      </c>
      <c r="B109" s="303" t="s">
        <v>397</v>
      </c>
      <c r="C109" s="303">
        <v>2.39</v>
      </c>
      <c r="D109" s="303">
        <v>2.78</v>
      </c>
      <c r="E109" s="309">
        <f t="shared" si="1"/>
        <v>2.585</v>
      </c>
    </row>
    <row r="110" spans="1:5">
      <c r="A110" s="303" t="s">
        <v>450</v>
      </c>
      <c r="B110" s="303" t="s">
        <v>451</v>
      </c>
      <c r="C110" s="303">
        <v>2.67</v>
      </c>
      <c r="D110" s="303">
        <v>2.93</v>
      </c>
      <c r="E110" s="309">
        <f t="shared" si="1"/>
        <v>2.8</v>
      </c>
    </row>
    <row r="111" spans="1:5">
      <c r="A111" s="303" t="s">
        <v>450</v>
      </c>
      <c r="B111" s="303" t="s">
        <v>187</v>
      </c>
      <c r="C111" s="303">
        <v>1.99</v>
      </c>
      <c r="D111" s="303">
        <v>2.27</v>
      </c>
      <c r="E111" s="309">
        <f t="shared" si="1"/>
        <v>2.13</v>
      </c>
    </row>
    <row r="112" spans="1:5">
      <c r="A112" s="303" t="s">
        <v>450</v>
      </c>
      <c r="B112" s="303" t="s">
        <v>452</v>
      </c>
      <c r="C112" s="303">
        <v>2.33</v>
      </c>
      <c r="D112" s="303">
        <v>2.75</v>
      </c>
      <c r="E112" s="309">
        <f t="shared" si="1"/>
        <v>2.54</v>
      </c>
    </row>
    <row r="113" spans="1:5">
      <c r="A113" s="303" t="s">
        <v>450</v>
      </c>
      <c r="B113" s="303" t="s">
        <v>453</v>
      </c>
      <c r="C113" s="303">
        <v>2.81</v>
      </c>
      <c r="D113" s="303">
        <v>2.81</v>
      </c>
      <c r="E113" s="309">
        <f t="shared" si="1"/>
        <v>2.81</v>
      </c>
    </row>
    <row r="114" spans="1:5">
      <c r="A114" s="303" t="s">
        <v>450</v>
      </c>
      <c r="B114" s="303" t="s">
        <v>454</v>
      </c>
      <c r="C114" s="303">
        <v>2.82</v>
      </c>
      <c r="D114" s="303">
        <v>2.81</v>
      </c>
      <c r="E114" s="309">
        <f t="shared" si="1"/>
        <v>2.8149999999999999</v>
      </c>
    </row>
    <row r="115" spans="1:5">
      <c r="A115" s="303" t="s">
        <v>450</v>
      </c>
      <c r="B115" s="303" t="s">
        <v>977</v>
      </c>
      <c r="C115" s="303">
        <v>2.74</v>
      </c>
      <c r="D115" s="303">
        <v>2.85</v>
      </c>
      <c r="E115" s="309">
        <f t="shared" si="1"/>
        <v>2.7949999999999999</v>
      </c>
    </row>
    <row r="116" spans="1:5">
      <c r="A116" s="303" t="s">
        <v>450</v>
      </c>
      <c r="B116" s="303" t="s">
        <v>188</v>
      </c>
      <c r="C116" s="303">
        <v>2.12</v>
      </c>
      <c r="D116" s="303">
        <v>2.31</v>
      </c>
      <c r="E116" s="309">
        <f t="shared" si="1"/>
        <v>2.2149999999999999</v>
      </c>
    </row>
    <row r="117" spans="1:5">
      <c r="A117" s="303" t="s">
        <v>450</v>
      </c>
      <c r="B117" s="303" t="s">
        <v>359</v>
      </c>
      <c r="C117" s="303">
        <v>2.57</v>
      </c>
      <c r="D117" s="303">
        <v>3.02</v>
      </c>
      <c r="E117" s="309">
        <f t="shared" si="1"/>
        <v>2.7949999999999999</v>
      </c>
    </row>
    <row r="118" spans="1:5">
      <c r="A118" s="303" t="s">
        <v>450</v>
      </c>
      <c r="B118" s="303" t="s">
        <v>189</v>
      </c>
      <c r="C118" s="303">
        <v>1.97</v>
      </c>
      <c r="D118" s="303">
        <v>2</v>
      </c>
      <c r="E118" s="309">
        <f t="shared" si="1"/>
        <v>1.9849999999999999</v>
      </c>
    </row>
    <row r="119" spans="1:5">
      <c r="A119" s="303" t="s">
        <v>450</v>
      </c>
      <c r="B119" s="303" t="s">
        <v>455</v>
      </c>
      <c r="C119" s="303">
        <v>2.82</v>
      </c>
      <c r="D119" s="303">
        <v>2.97</v>
      </c>
      <c r="E119" s="309">
        <f t="shared" si="1"/>
        <v>2.895</v>
      </c>
    </row>
    <row r="120" spans="1:5">
      <c r="A120" s="303" t="s">
        <v>450</v>
      </c>
      <c r="B120" s="303" t="s">
        <v>978</v>
      </c>
      <c r="C120" s="303">
        <v>2.75</v>
      </c>
      <c r="D120" s="303">
        <v>2.81</v>
      </c>
      <c r="E120" s="309">
        <f t="shared" si="1"/>
        <v>2.7800000000000002</v>
      </c>
    </row>
    <row r="121" spans="1:5">
      <c r="A121" s="303" t="s">
        <v>450</v>
      </c>
      <c r="B121" s="303" t="s">
        <v>190</v>
      </c>
      <c r="C121" s="303">
        <v>2.56</v>
      </c>
      <c r="D121" s="303">
        <v>2.68</v>
      </c>
      <c r="E121" s="309">
        <f t="shared" si="1"/>
        <v>2.62</v>
      </c>
    </row>
    <row r="122" spans="1:5">
      <c r="A122" s="303" t="s">
        <v>450</v>
      </c>
      <c r="B122" s="303" t="s">
        <v>456</v>
      </c>
      <c r="C122" s="303">
        <v>2.37</v>
      </c>
      <c r="D122" s="303">
        <v>2.7</v>
      </c>
      <c r="E122" s="309">
        <f t="shared" si="1"/>
        <v>2.5350000000000001</v>
      </c>
    </row>
    <row r="123" spans="1:5">
      <c r="A123" s="303" t="s">
        <v>450</v>
      </c>
      <c r="B123" s="303" t="s">
        <v>191</v>
      </c>
      <c r="C123" s="303">
        <v>2.56</v>
      </c>
      <c r="D123" s="303">
        <v>2.84</v>
      </c>
      <c r="E123" s="309">
        <f t="shared" si="1"/>
        <v>2.7</v>
      </c>
    </row>
    <row r="124" spans="1:5">
      <c r="A124" s="303" t="s">
        <v>450</v>
      </c>
      <c r="B124" s="303" t="s">
        <v>457</v>
      </c>
      <c r="C124" s="303">
        <v>2.59</v>
      </c>
      <c r="D124" s="303">
        <v>2.6</v>
      </c>
      <c r="E124" s="309">
        <f t="shared" si="1"/>
        <v>2.5949999999999998</v>
      </c>
    </row>
    <row r="125" spans="1:5">
      <c r="A125" s="303" t="s">
        <v>450</v>
      </c>
      <c r="B125" s="303" t="s">
        <v>212</v>
      </c>
      <c r="C125" s="303">
        <v>2.4300000000000002</v>
      </c>
      <c r="D125" s="303">
        <v>2.4300000000000002</v>
      </c>
      <c r="E125" s="309">
        <f t="shared" si="1"/>
        <v>2.4300000000000002</v>
      </c>
    </row>
    <row r="126" spans="1:5">
      <c r="A126" s="303" t="s">
        <v>450</v>
      </c>
      <c r="B126" s="303" t="s">
        <v>707</v>
      </c>
      <c r="C126" s="303">
        <v>2.75</v>
      </c>
      <c r="D126" s="303">
        <v>2.98</v>
      </c>
      <c r="E126" s="309">
        <f t="shared" si="1"/>
        <v>2.8650000000000002</v>
      </c>
    </row>
    <row r="127" spans="1:5">
      <c r="A127" s="303" t="s">
        <v>450</v>
      </c>
      <c r="B127" s="303" t="s">
        <v>1100</v>
      </c>
      <c r="C127" s="303">
        <v>2.87</v>
      </c>
      <c r="D127" s="303">
        <v>2.92</v>
      </c>
      <c r="E127" s="309">
        <f t="shared" si="1"/>
        <v>2.895</v>
      </c>
    </row>
    <row r="128" spans="1:5">
      <c r="A128" s="303" t="s">
        <v>450</v>
      </c>
      <c r="B128" s="303" t="s">
        <v>192</v>
      </c>
      <c r="C128" s="303">
        <v>2.44</v>
      </c>
      <c r="D128" s="303">
        <v>2.5099999999999998</v>
      </c>
      <c r="E128" s="309">
        <f t="shared" si="1"/>
        <v>2.4749999999999996</v>
      </c>
    </row>
    <row r="129" spans="1:5">
      <c r="A129" s="303" t="s">
        <v>450</v>
      </c>
      <c r="B129" s="303" t="s">
        <v>193</v>
      </c>
      <c r="C129" s="303">
        <v>2.4300000000000002</v>
      </c>
      <c r="D129" s="303">
        <v>2.68</v>
      </c>
      <c r="E129" s="309">
        <f t="shared" si="1"/>
        <v>2.5550000000000002</v>
      </c>
    </row>
    <row r="130" spans="1:5">
      <c r="A130" s="303" t="s">
        <v>450</v>
      </c>
      <c r="B130" s="303" t="s">
        <v>458</v>
      </c>
      <c r="C130" s="303">
        <v>2.83</v>
      </c>
      <c r="D130" s="303">
        <v>3.01</v>
      </c>
      <c r="E130" s="309">
        <f t="shared" si="1"/>
        <v>2.92</v>
      </c>
    </row>
    <row r="131" spans="1:5">
      <c r="A131" s="303" t="s">
        <v>450</v>
      </c>
      <c r="B131" s="303" t="s">
        <v>378</v>
      </c>
      <c r="C131" s="303">
        <v>2.57</v>
      </c>
      <c r="D131" s="303">
        <v>2.7</v>
      </c>
      <c r="E131" s="309">
        <f t="shared" si="1"/>
        <v>2.6349999999999998</v>
      </c>
    </row>
    <row r="132" spans="1:5">
      <c r="A132" s="303" t="s">
        <v>450</v>
      </c>
      <c r="B132" s="303" t="s">
        <v>367</v>
      </c>
      <c r="C132" s="303">
        <v>2.44</v>
      </c>
      <c r="D132" s="303">
        <v>2.5</v>
      </c>
      <c r="E132" s="309">
        <f t="shared" si="1"/>
        <v>2.4699999999999998</v>
      </c>
    </row>
    <row r="133" spans="1:5">
      <c r="A133" s="303" t="s">
        <v>450</v>
      </c>
      <c r="B133" s="303" t="s">
        <v>1101</v>
      </c>
      <c r="C133" s="303">
        <v>2.71</v>
      </c>
      <c r="D133" s="303">
        <v>2.92</v>
      </c>
      <c r="E133" s="309">
        <f t="shared" si="1"/>
        <v>2.8149999999999999</v>
      </c>
    </row>
    <row r="134" spans="1:5">
      <c r="A134" s="303" t="s">
        <v>450</v>
      </c>
      <c r="B134" s="303" t="s">
        <v>979</v>
      </c>
      <c r="C134" s="303">
        <v>2.76</v>
      </c>
      <c r="D134" s="303">
        <v>2.77</v>
      </c>
      <c r="E134" s="309">
        <f t="shared" si="1"/>
        <v>2.7649999999999997</v>
      </c>
    </row>
    <row r="135" spans="1:5">
      <c r="A135" s="303" t="s">
        <v>450</v>
      </c>
      <c r="B135" s="303" t="s">
        <v>194</v>
      </c>
      <c r="C135" s="303">
        <v>2.72</v>
      </c>
      <c r="D135" s="303">
        <v>2.73</v>
      </c>
      <c r="E135" s="309">
        <f t="shared" si="1"/>
        <v>2.7250000000000001</v>
      </c>
    </row>
    <row r="136" spans="1:5">
      <c r="A136" s="303" t="s">
        <v>450</v>
      </c>
      <c r="B136" s="303" t="s">
        <v>980</v>
      </c>
      <c r="C136" s="303">
        <v>2.79</v>
      </c>
      <c r="D136" s="303">
        <v>2.78</v>
      </c>
      <c r="E136" s="309">
        <f t="shared" si="1"/>
        <v>2.7850000000000001</v>
      </c>
    </row>
    <row r="137" spans="1:5">
      <c r="A137" s="303" t="s">
        <v>450</v>
      </c>
      <c r="B137" s="303" t="s">
        <v>368</v>
      </c>
      <c r="C137" s="303">
        <v>2.68</v>
      </c>
      <c r="D137" s="303">
        <v>2.69</v>
      </c>
      <c r="E137" s="309">
        <f t="shared" si="1"/>
        <v>2.6850000000000001</v>
      </c>
    </row>
    <row r="138" spans="1:5">
      <c r="A138" s="303" t="s">
        <v>450</v>
      </c>
      <c r="B138" s="303" t="s">
        <v>1102</v>
      </c>
      <c r="C138" s="303">
        <v>2.76</v>
      </c>
      <c r="D138" s="303">
        <v>2.75</v>
      </c>
      <c r="E138" s="309">
        <f t="shared" si="1"/>
        <v>2.7549999999999999</v>
      </c>
    </row>
    <row r="139" spans="1:5">
      <c r="A139" s="303" t="s">
        <v>450</v>
      </c>
      <c r="B139" s="303" t="s">
        <v>195</v>
      </c>
      <c r="C139" s="303">
        <v>2.2400000000000002</v>
      </c>
      <c r="D139" s="303">
        <v>2.5499999999999998</v>
      </c>
      <c r="E139" s="309">
        <f t="shared" si="1"/>
        <v>2.395</v>
      </c>
    </row>
    <row r="140" spans="1:5">
      <c r="A140" s="303" t="s">
        <v>450</v>
      </c>
      <c r="B140" s="303" t="s">
        <v>1103</v>
      </c>
      <c r="C140" s="303">
        <v>2.76</v>
      </c>
      <c r="D140" s="303">
        <v>2.94</v>
      </c>
      <c r="E140" s="309">
        <f t="shared" si="1"/>
        <v>2.8499999999999996</v>
      </c>
    </row>
    <row r="141" spans="1:5">
      <c r="A141" s="303" t="s">
        <v>450</v>
      </c>
      <c r="B141" s="303" t="s">
        <v>708</v>
      </c>
      <c r="C141" s="303">
        <v>2.63</v>
      </c>
      <c r="D141" s="303">
        <v>2.92</v>
      </c>
      <c r="E141" s="309">
        <f t="shared" si="1"/>
        <v>2.7749999999999999</v>
      </c>
    </row>
    <row r="142" spans="1:5">
      <c r="A142" s="303" t="s">
        <v>450</v>
      </c>
      <c r="B142" s="303" t="s">
        <v>459</v>
      </c>
      <c r="C142" s="303">
        <v>2.71</v>
      </c>
      <c r="D142" s="303">
        <v>2.72</v>
      </c>
      <c r="E142" s="309">
        <f t="shared" ref="E142:E205" si="2">AVERAGE(MAX(MIN(C142,10),1.5),MAX(MIN(D142,10),1.5))</f>
        <v>2.7149999999999999</v>
      </c>
    </row>
    <row r="143" spans="1:5">
      <c r="A143" s="303" t="s">
        <v>450</v>
      </c>
      <c r="B143" s="303" t="s">
        <v>196</v>
      </c>
      <c r="C143" s="303">
        <v>2.5299999999999998</v>
      </c>
      <c r="D143" s="303">
        <v>2.56</v>
      </c>
      <c r="E143" s="309">
        <f t="shared" si="2"/>
        <v>2.5449999999999999</v>
      </c>
    </row>
    <row r="144" spans="1:5">
      <c r="A144" s="303" t="s">
        <v>450</v>
      </c>
      <c r="B144" s="303" t="s">
        <v>709</v>
      </c>
      <c r="C144" s="303">
        <v>2.76</v>
      </c>
      <c r="D144" s="303">
        <v>2.86</v>
      </c>
      <c r="E144" s="309">
        <f t="shared" si="2"/>
        <v>2.8099999999999996</v>
      </c>
    </row>
    <row r="145" spans="1:5">
      <c r="A145" s="303" t="s">
        <v>450</v>
      </c>
      <c r="B145" s="303" t="s">
        <v>197</v>
      </c>
      <c r="C145" s="303">
        <v>2.0699999999999998</v>
      </c>
      <c r="D145" s="303">
        <v>2.14</v>
      </c>
      <c r="E145" s="309">
        <f t="shared" si="2"/>
        <v>2.105</v>
      </c>
    </row>
    <row r="146" spans="1:5">
      <c r="A146" s="303" t="s">
        <v>450</v>
      </c>
      <c r="B146" s="303" t="s">
        <v>460</v>
      </c>
      <c r="C146" s="303">
        <v>2.85</v>
      </c>
      <c r="D146" s="303">
        <v>2.86</v>
      </c>
      <c r="E146" s="309">
        <f t="shared" si="2"/>
        <v>2.855</v>
      </c>
    </row>
    <row r="147" spans="1:5">
      <c r="A147" s="303" t="s">
        <v>450</v>
      </c>
      <c r="B147" s="303" t="s">
        <v>198</v>
      </c>
      <c r="C147" s="303">
        <v>2.59</v>
      </c>
      <c r="D147" s="303">
        <v>2.72</v>
      </c>
      <c r="E147" s="309">
        <f t="shared" si="2"/>
        <v>2.6550000000000002</v>
      </c>
    </row>
    <row r="148" spans="1:5">
      <c r="A148" s="303" t="s">
        <v>461</v>
      </c>
      <c r="B148" s="303" t="s">
        <v>254</v>
      </c>
      <c r="C148" s="303">
        <v>3.14</v>
      </c>
      <c r="D148" s="303">
        <v>3.14</v>
      </c>
      <c r="E148" s="309">
        <f t="shared" si="2"/>
        <v>3.14</v>
      </c>
    </row>
    <row r="149" spans="1:5">
      <c r="A149" s="303" t="s">
        <v>461</v>
      </c>
      <c r="B149" s="303" t="s">
        <v>213</v>
      </c>
      <c r="C149" s="303">
        <v>3.29</v>
      </c>
      <c r="D149" s="303">
        <v>3.37</v>
      </c>
      <c r="E149" s="309">
        <f t="shared" si="2"/>
        <v>3.33</v>
      </c>
    </row>
    <row r="150" spans="1:5">
      <c r="A150" s="303" t="s">
        <v>461</v>
      </c>
      <c r="B150" s="303" t="s">
        <v>214</v>
      </c>
      <c r="C150" s="303">
        <v>3.48</v>
      </c>
      <c r="D150" s="303">
        <v>3.41</v>
      </c>
      <c r="E150" s="309">
        <f t="shared" si="2"/>
        <v>3.4450000000000003</v>
      </c>
    </row>
    <row r="151" spans="1:5">
      <c r="A151" s="303" t="s">
        <v>461</v>
      </c>
      <c r="B151" s="303" t="s">
        <v>215</v>
      </c>
      <c r="C151" s="303">
        <v>2.25</v>
      </c>
      <c r="D151" s="303">
        <v>2.42</v>
      </c>
      <c r="E151" s="309">
        <f t="shared" si="2"/>
        <v>2.335</v>
      </c>
    </row>
    <row r="152" spans="1:5">
      <c r="A152" s="303" t="s">
        <v>461</v>
      </c>
      <c r="B152" s="303" t="s">
        <v>216</v>
      </c>
      <c r="C152" s="303">
        <v>3.24</v>
      </c>
      <c r="D152" s="303">
        <v>3.44</v>
      </c>
      <c r="E152" s="309">
        <f t="shared" si="2"/>
        <v>3.34</v>
      </c>
    </row>
    <row r="153" spans="1:5">
      <c r="A153" s="303" t="s">
        <v>461</v>
      </c>
      <c r="B153" s="303" t="s">
        <v>398</v>
      </c>
      <c r="C153" s="303">
        <v>4.01</v>
      </c>
      <c r="D153" s="303">
        <v>4.72</v>
      </c>
      <c r="E153" s="309">
        <f t="shared" si="2"/>
        <v>4.3650000000000002</v>
      </c>
    </row>
    <row r="154" spans="1:5">
      <c r="A154" s="303" t="s">
        <v>461</v>
      </c>
      <c r="B154" s="303" t="s">
        <v>217</v>
      </c>
      <c r="C154" s="303">
        <v>2.63</v>
      </c>
      <c r="D154" s="303">
        <v>2.79</v>
      </c>
      <c r="E154" s="309">
        <f t="shared" si="2"/>
        <v>2.71</v>
      </c>
    </row>
    <row r="155" spans="1:5">
      <c r="A155" s="303" t="s">
        <v>461</v>
      </c>
      <c r="B155" s="303" t="s">
        <v>218</v>
      </c>
      <c r="C155" s="303">
        <v>2.87</v>
      </c>
      <c r="D155" s="303">
        <v>2.9</v>
      </c>
      <c r="E155" s="309">
        <f t="shared" si="2"/>
        <v>2.8849999999999998</v>
      </c>
    </row>
    <row r="156" spans="1:5">
      <c r="A156" s="303" t="s">
        <v>461</v>
      </c>
      <c r="B156" s="303" t="s">
        <v>462</v>
      </c>
      <c r="C156" s="303">
        <v>4.0199999999999996</v>
      </c>
      <c r="D156" s="303">
        <v>4.08</v>
      </c>
      <c r="E156" s="309">
        <f t="shared" si="2"/>
        <v>4.05</v>
      </c>
    </row>
    <row r="157" spans="1:5">
      <c r="A157" s="303" t="s">
        <v>463</v>
      </c>
      <c r="B157" s="303" t="s">
        <v>219</v>
      </c>
      <c r="C157" s="303">
        <v>1.24</v>
      </c>
      <c r="D157" s="303">
        <v>1.31</v>
      </c>
      <c r="E157" s="309">
        <f t="shared" si="2"/>
        <v>1.5</v>
      </c>
    </row>
    <row r="158" spans="1:5">
      <c r="A158" s="303" t="s">
        <v>463</v>
      </c>
      <c r="B158" s="303" t="s">
        <v>220</v>
      </c>
      <c r="C158" s="303">
        <v>1.84</v>
      </c>
      <c r="D158" s="303">
        <v>1.84</v>
      </c>
      <c r="E158" s="309">
        <f t="shared" si="2"/>
        <v>1.84</v>
      </c>
    </row>
    <row r="159" spans="1:5">
      <c r="A159" s="303" t="s">
        <v>463</v>
      </c>
      <c r="B159" s="303" t="s">
        <v>221</v>
      </c>
      <c r="C159" s="303">
        <v>1.18</v>
      </c>
      <c r="D159" s="303">
        <v>1.23</v>
      </c>
      <c r="E159" s="309">
        <f t="shared" si="2"/>
        <v>1.5</v>
      </c>
    </row>
    <row r="160" spans="1:5">
      <c r="A160" s="303" t="s">
        <v>463</v>
      </c>
      <c r="B160" s="303" t="s">
        <v>222</v>
      </c>
      <c r="C160" s="303">
        <v>1.62</v>
      </c>
      <c r="D160" s="303">
        <v>1.62</v>
      </c>
      <c r="E160" s="309">
        <f t="shared" si="2"/>
        <v>1.62</v>
      </c>
    </row>
    <row r="161" spans="1:5">
      <c r="A161" s="303" t="s">
        <v>463</v>
      </c>
      <c r="B161" s="303" t="s">
        <v>223</v>
      </c>
      <c r="C161" s="303">
        <v>1.59</v>
      </c>
      <c r="D161" s="303">
        <v>1.66</v>
      </c>
      <c r="E161" s="309">
        <f t="shared" si="2"/>
        <v>1.625</v>
      </c>
    </row>
    <row r="162" spans="1:5">
      <c r="A162" s="303" t="s">
        <v>463</v>
      </c>
      <c r="B162" s="303" t="s">
        <v>224</v>
      </c>
      <c r="C162" s="303">
        <v>2.0099999999999998</v>
      </c>
      <c r="D162" s="303">
        <v>2.0099999999999998</v>
      </c>
      <c r="E162" s="309">
        <f t="shared" si="2"/>
        <v>2.0099999999999998</v>
      </c>
    </row>
    <row r="163" spans="1:5">
      <c r="A163" s="303" t="s">
        <v>463</v>
      </c>
      <c r="B163" s="303" t="s">
        <v>225</v>
      </c>
      <c r="C163" s="303">
        <v>1.77</v>
      </c>
      <c r="D163" s="303">
        <v>2.0299999999999998</v>
      </c>
      <c r="E163" s="309">
        <f t="shared" si="2"/>
        <v>1.9</v>
      </c>
    </row>
    <row r="164" spans="1:5">
      <c r="A164" s="303" t="s">
        <v>463</v>
      </c>
      <c r="B164" s="303" t="s">
        <v>464</v>
      </c>
      <c r="C164" s="303">
        <v>2.09</v>
      </c>
      <c r="D164" s="303">
        <v>2.12</v>
      </c>
      <c r="E164" s="309">
        <f t="shared" si="2"/>
        <v>2.105</v>
      </c>
    </row>
    <row r="165" spans="1:5">
      <c r="A165" s="303" t="s">
        <v>463</v>
      </c>
      <c r="B165" s="303" t="s">
        <v>379</v>
      </c>
      <c r="C165" s="303">
        <v>1.31</v>
      </c>
      <c r="D165" s="303">
        <v>1.29</v>
      </c>
      <c r="E165" s="309">
        <f t="shared" si="2"/>
        <v>1.5</v>
      </c>
    </row>
    <row r="166" spans="1:5">
      <c r="A166" s="303" t="s">
        <v>463</v>
      </c>
      <c r="B166" s="303" t="s">
        <v>380</v>
      </c>
      <c r="C166" s="303">
        <v>1.73</v>
      </c>
      <c r="D166" s="303">
        <v>1.74</v>
      </c>
      <c r="E166" s="309">
        <f t="shared" si="2"/>
        <v>1.7349999999999999</v>
      </c>
    </row>
    <row r="167" spans="1:5">
      <c r="A167" s="303" t="s">
        <v>463</v>
      </c>
      <c r="B167" s="303" t="s">
        <v>226</v>
      </c>
      <c r="C167" s="303">
        <v>1.67</v>
      </c>
      <c r="D167" s="303">
        <v>1.65</v>
      </c>
      <c r="E167" s="309">
        <f t="shared" si="2"/>
        <v>1.66</v>
      </c>
    </row>
    <row r="168" spans="1:5">
      <c r="A168" s="303" t="s">
        <v>468</v>
      </c>
      <c r="B168" s="303" t="s">
        <v>232</v>
      </c>
      <c r="C168" s="303">
        <v>1.74</v>
      </c>
      <c r="D168" s="303">
        <v>2.1</v>
      </c>
      <c r="E168" s="309">
        <f t="shared" si="2"/>
        <v>1.92</v>
      </c>
    </row>
    <row r="169" spans="1:5">
      <c r="A169" s="303" t="s">
        <v>468</v>
      </c>
      <c r="B169" s="303" t="s">
        <v>233</v>
      </c>
      <c r="C169" s="303">
        <v>2.1</v>
      </c>
      <c r="D169" s="303">
        <v>2.61</v>
      </c>
      <c r="E169" s="309">
        <f t="shared" si="2"/>
        <v>2.355</v>
      </c>
    </row>
    <row r="170" spans="1:5">
      <c r="A170" s="303" t="s">
        <v>468</v>
      </c>
      <c r="B170" s="303" t="s">
        <v>469</v>
      </c>
      <c r="C170" s="303">
        <v>2.27</v>
      </c>
      <c r="D170" s="303">
        <v>2.41</v>
      </c>
      <c r="E170" s="309">
        <f t="shared" si="2"/>
        <v>2.34</v>
      </c>
    </row>
    <row r="171" spans="1:5">
      <c r="A171" s="303" t="s">
        <v>468</v>
      </c>
      <c r="B171" s="303" t="s">
        <v>234</v>
      </c>
      <c r="C171" s="303">
        <v>1.91</v>
      </c>
      <c r="D171" s="303">
        <v>1.94</v>
      </c>
      <c r="E171" s="309">
        <f t="shared" si="2"/>
        <v>1.9249999999999998</v>
      </c>
    </row>
    <row r="172" spans="1:5">
      <c r="A172" s="303" t="s">
        <v>468</v>
      </c>
      <c r="B172" s="303" t="s">
        <v>470</v>
      </c>
      <c r="C172" s="303">
        <v>2.75</v>
      </c>
      <c r="D172" s="303">
        <v>2.76</v>
      </c>
      <c r="E172" s="309">
        <f t="shared" si="2"/>
        <v>2.7549999999999999</v>
      </c>
    </row>
    <row r="173" spans="1:5">
      <c r="A173" s="303" t="s">
        <v>468</v>
      </c>
      <c r="B173" s="303" t="s">
        <v>236</v>
      </c>
      <c r="C173" s="303">
        <v>2.71</v>
      </c>
      <c r="D173" s="303">
        <v>2.82</v>
      </c>
      <c r="E173" s="309">
        <f t="shared" si="2"/>
        <v>2.7649999999999997</v>
      </c>
    </row>
    <row r="174" spans="1:5">
      <c r="A174" s="303" t="s">
        <v>468</v>
      </c>
      <c r="B174" s="303" t="s">
        <v>237</v>
      </c>
      <c r="C174" s="303">
        <v>2.2200000000000002</v>
      </c>
      <c r="D174" s="303">
        <v>2.39</v>
      </c>
      <c r="E174" s="309">
        <f t="shared" si="2"/>
        <v>2.3050000000000002</v>
      </c>
    </row>
    <row r="175" spans="1:5">
      <c r="A175" s="303" t="s">
        <v>468</v>
      </c>
      <c r="B175" s="303" t="s">
        <v>238</v>
      </c>
      <c r="C175" s="303">
        <v>3.13</v>
      </c>
      <c r="D175" s="303">
        <v>3.14</v>
      </c>
      <c r="E175" s="309">
        <f t="shared" si="2"/>
        <v>3.1349999999999998</v>
      </c>
    </row>
    <row r="176" spans="1:5">
      <c r="A176" s="303" t="s">
        <v>468</v>
      </c>
      <c r="B176" s="303" t="s">
        <v>471</v>
      </c>
      <c r="C176" s="303">
        <v>1.9</v>
      </c>
      <c r="D176" s="303">
        <v>1.93</v>
      </c>
      <c r="E176" s="309">
        <f t="shared" si="2"/>
        <v>1.915</v>
      </c>
    </row>
    <row r="177" spans="1:5">
      <c r="A177" s="303" t="s">
        <v>468</v>
      </c>
      <c r="B177" s="303" t="s">
        <v>239</v>
      </c>
      <c r="C177" s="303">
        <v>3.55</v>
      </c>
      <c r="D177" s="303">
        <v>3.56</v>
      </c>
      <c r="E177" s="309">
        <f t="shared" si="2"/>
        <v>3.5549999999999997</v>
      </c>
    </row>
    <row r="178" spans="1:5">
      <c r="A178" s="303" t="s">
        <v>472</v>
      </c>
      <c r="B178" s="303" t="s">
        <v>240</v>
      </c>
      <c r="C178" s="303">
        <v>3.47</v>
      </c>
      <c r="D178" s="303">
        <v>3.47</v>
      </c>
      <c r="E178" s="309">
        <f t="shared" si="2"/>
        <v>3.47</v>
      </c>
    </row>
    <row r="179" spans="1:5">
      <c r="A179" s="303" t="s">
        <v>472</v>
      </c>
      <c r="B179" s="303" t="s">
        <v>241</v>
      </c>
      <c r="C179" s="303">
        <v>2.4500000000000002</v>
      </c>
      <c r="D179" s="303">
        <v>2.52</v>
      </c>
      <c r="E179" s="309">
        <f t="shared" si="2"/>
        <v>2.4850000000000003</v>
      </c>
    </row>
    <row r="180" spans="1:5">
      <c r="A180" s="303" t="s">
        <v>472</v>
      </c>
      <c r="B180" s="303" t="s">
        <v>242</v>
      </c>
      <c r="C180" s="303">
        <v>3.22</v>
      </c>
      <c r="D180" s="303">
        <v>3.44</v>
      </c>
      <c r="E180" s="309">
        <f t="shared" si="2"/>
        <v>3.33</v>
      </c>
    </row>
    <row r="181" spans="1:5">
      <c r="A181" s="303" t="s">
        <v>472</v>
      </c>
      <c r="B181" s="303" t="s">
        <v>243</v>
      </c>
      <c r="C181" s="303">
        <v>3.5</v>
      </c>
      <c r="D181" s="303">
        <v>3.78</v>
      </c>
      <c r="E181" s="309">
        <f t="shared" si="2"/>
        <v>3.6399999999999997</v>
      </c>
    </row>
    <row r="182" spans="1:5">
      <c r="A182" s="303" t="s">
        <v>472</v>
      </c>
      <c r="B182" s="303" t="s">
        <v>244</v>
      </c>
      <c r="C182" s="303">
        <v>2.78</v>
      </c>
      <c r="D182" s="303">
        <v>2.82</v>
      </c>
      <c r="E182" s="309">
        <f t="shared" si="2"/>
        <v>2.8</v>
      </c>
    </row>
    <row r="183" spans="1:5">
      <c r="A183" s="303" t="s">
        <v>472</v>
      </c>
      <c r="B183" s="303" t="s">
        <v>245</v>
      </c>
      <c r="C183" s="303">
        <v>3.71</v>
      </c>
      <c r="D183" s="303">
        <v>3.79</v>
      </c>
      <c r="E183" s="309">
        <f t="shared" si="2"/>
        <v>3.75</v>
      </c>
    </row>
    <row r="184" spans="1:5">
      <c r="A184" s="303" t="s">
        <v>472</v>
      </c>
      <c r="B184" s="303" t="s">
        <v>246</v>
      </c>
      <c r="C184" s="303">
        <v>2.91</v>
      </c>
      <c r="D184" s="303">
        <v>3.24</v>
      </c>
      <c r="E184" s="309">
        <f t="shared" si="2"/>
        <v>3.0750000000000002</v>
      </c>
    </row>
    <row r="185" spans="1:5">
      <c r="A185" s="303" t="s">
        <v>472</v>
      </c>
      <c r="B185" s="303" t="s">
        <v>247</v>
      </c>
      <c r="C185" s="303">
        <v>3.76</v>
      </c>
      <c r="D185" s="303">
        <v>3.82</v>
      </c>
      <c r="E185" s="309">
        <f t="shared" si="2"/>
        <v>3.79</v>
      </c>
    </row>
    <row r="186" spans="1:5">
      <c r="A186" s="303" t="s">
        <v>409</v>
      </c>
      <c r="B186" s="303" t="s">
        <v>371</v>
      </c>
      <c r="C186" s="303">
        <v>5.0999999999999996</v>
      </c>
      <c r="D186" s="303">
        <v>5.03</v>
      </c>
      <c r="E186" s="309">
        <f t="shared" si="2"/>
        <v>5.0649999999999995</v>
      </c>
    </row>
    <row r="187" spans="1:5">
      <c r="A187" s="303" t="s">
        <v>409</v>
      </c>
      <c r="B187" s="303" t="s">
        <v>255</v>
      </c>
      <c r="C187" s="303">
        <v>3.95</v>
      </c>
      <c r="D187" s="303">
        <v>4.0199999999999996</v>
      </c>
      <c r="E187" s="309">
        <f t="shared" si="2"/>
        <v>3.9849999999999999</v>
      </c>
    </row>
    <row r="188" spans="1:5">
      <c r="A188" s="303" t="s">
        <v>409</v>
      </c>
      <c r="B188" s="303" t="s">
        <v>727</v>
      </c>
      <c r="C188" s="303">
        <v>5.18</v>
      </c>
      <c r="D188" s="303">
        <v>5.16</v>
      </c>
      <c r="E188" s="309">
        <f t="shared" si="2"/>
        <v>5.17</v>
      </c>
    </row>
    <row r="189" spans="1:5">
      <c r="A189" s="303" t="s">
        <v>409</v>
      </c>
      <c r="B189" s="303" t="s">
        <v>256</v>
      </c>
      <c r="C189" s="303">
        <v>4.04</v>
      </c>
      <c r="D189" s="303">
        <v>4.24</v>
      </c>
      <c r="E189" s="309">
        <f t="shared" si="2"/>
        <v>4.1400000000000006</v>
      </c>
    </row>
    <row r="190" spans="1:5">
      <c r="A190" s="303" t="s">
        <v>409</v>
      </c>
      <c r="B190" s="303" t="s">
        <v>401</v>
      </c>
      <c r="C190" s="303">
        <v>4.1399999999999997</v>
      </c>
      <c r="D190" s="303">
        <v>5.29</v>
      </c>
      <c r="E190" s="309">
        <f t="shared" si="2"/>
        <v>4.7149999999999999</v>
      </c>
    </row>
    <row r="191" spans="1:5">
      <c r="A191" s="303" t="s">
        <v>409</v>
      </c>
      <c r="B191" s="303" t="s">
        <v>257</v>
      </c>
      <c r="C191" s="303">
        <v>3.93</v>
      </c>
      <c r="D191" s="303">
        <v>5.0599999999999996</v>
      </c>
      <c r="E191" s="309">
        <f t="shared" si="2"/>
        <v>4.4950000000000001</v>
      </c>
    </row>
    <row r="192" spans="1:5">
      <c r="A192" s="303" t="s">
        <v>409</v>
      </c>
      <c r="B192" s="303" t="s">
        <v>258</v>
      </c>
      <c r="C192" s="303">
        <v>2.87</v>
      </c>
      <c r="D192" s="303">
        <v>3.04</v>
      </c>
      <c r="E192" s="309">
        <f t="shared" si="2"/>
        <v>2.9550000000000001</v>
      </c>
    </row>
    <row r="193" spans="1:5">
      <c r="A193" s="303" t="s">
        <v>409</v>
      </c>
      <c r="B193" s="303" t="s">
        <v>478</v>
      </c>
      <c r="C193" s="303">
        <v>5.27</v>
      </c>
      <c r="D193" s="303">
        <v>5.29</v>
      </c>
      <c r="E193" s="309">
        <f t="shared" si="2"/>
        <v>5.2799999999999994</v>
      </c>
    </row>
    <row r="194" spans="1:5">
      <c r="A194" s="303" t="s">
        <v>409</v>
      </c>
      <c r="B194" s="303" t="s">
        <v>981</v>
      </c>
      <c r="C194" s="303">
        <v>4.87</v>
      </c>
      <c r="D194" s="303">
        <v>5.0199999999999996</v>
      </c>
      <c r="E194" s="309">
        <f t="shared" si="2"/>
        <v>4.9450000000000003</v>
      </c>
    </row>
    <row r="195" spans="1:5">
      <c r="A195" s="303" t="s">
        <v>409</v>
      </c>
      <c r="B195" s="303" t="s">
        <v>259</v>
      </c>
      <c r="C195" s="303">
        <v>3.8</v>
      </c>
      <c r="D195" s="303">
        <v>4.24</v>
      </c>
      <c r="E195" s="309">
        <f t="shared" si="2"/>
        <v>4.0199999999999996</v>
      </c>
    </row>
    <row r="196" spans="1:5">
      <c r="A196" s="303" t="s">
        <v>409</v>
      </c>
      <c r="B196" s="303" t="s">
        <v>382</v>
      </c>
      <c r="C196" s="303">
        <v>5.36</v>
      </c>
      <c r="D196" s="303">
        <v>5.55</v>
      </c>
      <c r="E196" s="309">
        <f t="shared" si="2"/>
        <v>5.4550000000000001</v>
      </c>
    </row>
    <row r="197" spans="1:5">
      <c r="A197" s="303" t="s">
        <v>409</v>
      </c>
      <c r="B197" s="303" t="s">
        <v>260</v>
      </c>
      <c r="C197" s="303">
        <v>3.86</v>
      </c>
      <c r="D197" s="303">
        <v>4.38</v>
      </c>
      <c r="E197" s="309">
        <f t="shared" si="2"/>
        <v>4.12</v>
      </c>
    </row>
    <row r="198" spans="1:5">
      <c r="A198" s="303" t="s">
        <v>409</v>
      </c>
      <c r="B198" s="303" t="s">
        <v>383</v>
      </c>
      <c r="C198" s="303">
        <v>5.04</v>
      </c>
      <c r="D198" s="303">
        <v>5.37</v>
      </c>
      <c r="E198" s="309">
        <f t="shared" si="2"/>
        <v>5.2050000000000001</v>
      </c>
    </row>
    <row r="199" spans="1:5">
      <c r="A199" s="303" t="s">
        <v>409</v>
      </c>
      <c r="B199" s="303" t="s">
        <v>261</v>
      </c>
      <c r="C199" s="303">
        <v>4.43</v>
      </c>
      <c r="D199" s="303">
        <v>4.59</v>
      </c>
      <c r="E199" s="309">
        <f t="shared" si="2"/>
        <v>4.51</v>
      </c>
    </row>
    <row r="200" spans="1:5">
      <c r="A200" s="303" t="s">
        <v>409</v>
      </c>
      <c r="B200" s="303" t="s">
        <v>262</v>
      </c>
      <c r="C200" s="303">
        <v>2.98</v>
      </c>
      <c r="D200" s="303">
        <v>3.29</v>
      </c>
      <c r="E200" s="309">
        <f t="shared" si="2"/>
        <v>3.1349999999999998</v>
      </c>
    </row>
    <row r="201" spans="1:5">
      <c r="A201" s="303" t="s">
        <v>409</v>
      </c>
      <c r="B201" s="303" t="s">
        <v>263</v>
      </c>
      <c r="C201" s="303">
        <v>4.37</v>
      </c>
      <c r="D201" s="303">
        <v>4.6100000000000003</v>
      </c>
      <c r="E201" s="309">
        <f t="shared" si="2"/>
        <v>4.49</v>
      </c>
    </row>
    <row r="202" spans="1:5">
      <c r="A202" s="303" t="s">
        <v>409</v>
      </c>
      <c r="B202" s="303" t="s">
        <v>265</v>
      </c>
      <c r="C202" s="303">
        <v>2.76</v>
      </c>
      <c r="D202" s="303">
        <v>2.91</v>
      </c>
      <c r="E202" s="309">
        <f t="shared" si="2"/>
        <v>2.835</v>
      </c>
    </row>
    <row r="203" spans="1:5">
      <c r="A203" s="303" t="s">
        <v>409</v>
      </c>
      <c r="B203" s="303" t="s">
        <v>266</v>
      </c>
      <c r="C203" s="303">
        <v>5.0199999999999996</v>
      </c>
      <c r="D203" s="303">
        <v>5.21</v>
      </c>
      <c r="E203" s="309">
        <f t="shared" si="2"/>
        <v>5.1150000000000002</v>
      </c>
    </row>
    <row r="204" spans="1:5">
      <c r="A204" s="303" t="s">
        <v>409</v>
      </c>
      <c r="B204" s="303" t="s">
        <v>9</v>
      </c>
      <c r="C204" s="303">
        <v>4.7</v>
      </c>
      <c r="D204" s="303">
        <v>4.95</v>
      </c>
      <c r="E204" s="309">
        <f t="shared" si="2"/>
        <v>4.8250000000000002</v>
      </c>
    </row>
    <row r="205" spans="1:5">
      <c r="A205" s="303" t="s">
        <v>479</v>
      </c>
      <c r="B205" s="303" t="s">
        <v>480</v>
      </c>
      <c r="C205" s="303">
        <v>1.63</v>
      </c>
      <c r="D205" s="303">
        <v>1.8</v>
      </c>
      <c r="E205" s="309">
        <f t="shared" si="2"/>
        <v>1.7149999999999999</v>
      </c>
    </row>
    <row r="206" spans="1:5">
      <c r="A206" s="303" t="s">
        <v>479</v>
      </c>
      <c r="B206" s="303" t="s">
        <v>481</v>
      </c>
      <c r="C206" s="303">
        <v>2.5</v>
      </c>
      <c r="D206" s="303">
        <v>3.1</v>
      </c>
      <c r="E206" s="309">
        <f t="shared" ref="E206:E269" si="3">AVERAGE(MAX(MIN(C206,10),1.5),MAX(MIN(D206,10),1.5))</f>
        <v>2.8</v>
      </c>
    </row>
    <row r="207" spans="1:5">
      <c r="A207" s="303" t="s">
        <v>479</v>
      </c>
      <c r="B207" s="303" t="s">
        <v>277</v>
      </c>
      <c r="C207" s="303">
        <v>2.04</v>
      </c>
      <c r="D207" s="303">
        <v>2.0299999999999998</v>
      </c>
      <c r="E207" s="309">
        <f t="shared" si="3"/>
        <v>2.0350000000000001</v>
      </c>
    </row>
    <row r="208" spans="1:5">
      <c r="A208" s="303" t="s">
        <v>479</v>
      </c>
      <c r="B208" s="303" t="s">
        <v>278</v>
      </c>
      <c r="C208" s="303">
        <v>1.83</v>
      </c>
      <c r="D208" s="303">
        <v>1.83</v>
      </c>
      <c r="E208" s="309">
        <f t="shared" si="3"/>
        <v>1.83</v>
      </c>
    </row>
    <row r="209" spans="1:5">
      <c r="A209" s="303" t="s">
        <v>479</v>
      </c>
      <c r="B209" s="303" t="s">
        <v>279</v>
      </c>
      <c r="C209" s="303">
        <v>1.08</v>
      </c>
      <c r="D209" s="303">
        <v>1.07</v>
      </c>
      <c r="E209" s="309">
        <f t="shared" si="3"/>
        <v>1.5</v>
      </c>
    </row>
    <row r="210" spans="1:5">
      <c r="A210" s="303" t="s">
        <v>488</v>
      </c>
      <c r="B210" s="303" t="s">
        <v>280</v>
      </c>
      <c r="C210" s="303">
        <v>2.39</v>
      </c>
      <c r="D210" s="303">
        <v>2.8</v>
      </c>
      <c r="E210" s="309">
        <f t="shared" si="3"/>
        <v>2.5949999999999998</v>
      </c>
    </row>
    <row r="211" spans="1:5">
      <c r="A211" s="303" t="s">
        <v>488</v>
      </c>
      <c r="B211" s="303" t="s">
        <v>728</v>
      </c>
      <c r="C211" s="303">
        <v>3.39</v>
      </c>
      <c r="D211" s="303">
        <v>3.67</v>
      </c>
      <c r="E211" s="309">
        <f t="shared" si="3"/>
        <v>3.5300000000000002</v>
      </c>
    </row>
    <row r="212" spans="1:5">
      <c r="A212" s="303" t="s">
        <v>488</v>
      </c>
      <c r="B212" s="303" t="s">
        <v>283</v>
      </c>
      <c r="C212" s="303">
        <v>2.77</v>
      </c>
      <c r="D212" s="303">
        <v>2.88</v>
      </c>
      <c r="E212" s="309">
        <f t="shared" si="3"/>
        <v>2.8250000000000002</v>
      </c>
    </row>
    <row r="213" spans="1:5">
      <c r="A213" s="303" t="s">
        <v>488</v>
      </c>
      <c r="B213" s="303" t="s">
        <v>285</v>
      </c>
      <c r="C213" s="303">
        <v>2.5299999999999998</v>
      </c>
      <c r="D213" s="303">
        <v>2.56</v>
      </c>
      <c r="E213" s="309">
        <f t="shared" si="3"/>
        <v>2.5449999999999999</v>
      </c>
    </row>
    <row r="214" spans="1:5">
      <c r="A214" s="303" t="s">
        <v>488</v>
      </c>
      <c r="B214" s="303" t="s">
        <v>286</v>
      </c>
      <c r="C214" s="303">
        <v>3.04</v>
      </c>
      <c r="D214" s="303">
        <v>3.3</v>
      </c>
      <c r="E214" s="309">
        <f t="shared" si="3"/>
        <v>3.17</v>
      </c>
    </row>
    <row r="215" spans="1:5">
      <c r="A215" s="303" t="s">
        <v>488</v>
      </c>
      <c r="B215" s="303" t="s">
        <v>489</v>
      </c>
      <c r="C215" s="303">
        <v>1.9</v>
      </c>
      <c r="D215" s="303">
        <v>2.04</v>
      </c>
      <c r="E215" s="309">
        <f t="shared" si="3"/>
        <v>1.97</v>
      </c>
    </row>
    <row r="216" spans="1:5">
      <c r="A216" s="303" t="s">
        <v>488</v>
      </c>
      <c r="B216" s="303" t="s">
        <v>405</v>
      </c>
      <c r="C216" s="303">
        <v>2.73</v>
      </c>
      <c r="D216" s="303">
        <v>3</v>
      </c>
      <c r="E216" s="309">
        <f t="shared" si="3"/>
        <v>2.8650000000000002</v>
      </c>
    </row>
    <row r="217" spans="1:5">
      <c r="A217" s="303" t="s">
        <v>488</v>
      </c>
      <c r="B217" s="303" t="s">
        <v>729</v>
      </c>
      <c r="C217" s="303">
        <v>3.25</v>
      </c>
      <c r="D217" s="303">
        <v>3.31</v>
      </c>
      <c r="E217" s="309">
        <f t="shared" si="3"/>
        <v>3.2800000000000002</v>
      </c>
    </row>
    <row r="218" spans="1:5">
      <c r="A218" s="303" t="s">
        <v>488</v>
      </c>
      <c r="B218" s="303" t="s">
        <v>235</v>
      </c>
      <c r="C218" s="303">
        <v>2.87</v>
      </c>
      <c r="D218" s="303">
        <v>2.91</v>
      </c>
      <c r="E218" s="309">
        <f t="shared" si="3"/>
        <v>2.89</v>
      </c>
    </row>
    <row r="219" spans="1:5">
      <c r="A219" s="303" t="s">
        <v>488</v>
      </c>
      <c r="B219" s="303" t="s">
        <v>362</v>
      </c>
      <c r="C219" s="303">
        <v>3</v>
      </c>
      <c r="D219" s="303">
        <v>3.18</v>
      </c>
      <c r="E219" s="309">
        <f t="shared" si="3"/>
        <v>3.09</v>
      </c>
    </row>
    <row r="220" spans="1:5">
      <c r="A220" s="303" t="s">
        <v>488</v>
      </c>
      <c r="B220" s="303" t="s">
        <v>287</v>
      </c>
      <c r="C220" s="303">
        <v>1.89</v>
      </c>
      <c r="D220" s="303">
        <v>2.0499999999999998</v>
      </c>
      <c r="E220" s="309">
        <f t="shared" si="3"/>
        <v>1.9699999999999998</v>
      </c>
    </row>
    <row r="221" spans="1:5">
      <c r="A221" s="303" t="s">
        <v>488</v>
      </c>
      <c r="B221" s="303" t="s">
        <v>288</v>
      </c>
      <c r="C221" s="303">
        <v>3.12</v>
      </c>
      <c r="D221" s="303">
        <v>3.32</v>
      </c>
      <c r="E221" s="309">
        <f t="shared" si="3"/>
        <v>3.2199999999999998</v>
      </c>
    </row>
    <row r="222" spans="1:5">
      <c r="A222" s="303" t="s">
        <v>488</v>
      </c>
      <c r="B222" s="303" t="s">
        <v>363</v>
      </c>
      <c r="C222" s="303">
        <v>3.07</v>
      </c>
      <c r="D222" s="303">
        <v>3.38</v>
      </c>
      <c r="E222" s="309">
        <f t="shared" si="3"/>
        <v>3.2249999999999996</v>
      </c>
    </row>
    <row r="223" spans="1:5">
      <c r="A223" s="303" t="s">
        <v>488</v>
      </c>
      <c r="B223" s="303" t="s">
        <v>289</v>
      </c>
      <c r="C223" s="303">
        <v>2.17</v>
      </c>
      <c r="D223" s="303">
        <v>2.2200000000000002</v>
      </c>
      <c r="E223" s="309">
        <f t="shared" si="3"/>
        <v>2.1950000000000003</v>
      </c>
    </row>
    <row r="224" spans="1:5">
      <c r="A224" s="303" t="s">
        <v>488</v>
      </c>
      <c r="B224" s="303" t="s">
        <v>490</v>
      </c>
      <c r="C224" s="303">
        <v>3.09</v>
      </c>
      <c r="D224" s="303">
        <v>3.3</v>
      </c>
      <c r="E224" s="309">
        <f t="shared" si="3"/>
        <v>3.1949999999999998</v>
      </c>
    </row>
    <row r="225" spans="1:5">
      <c r="A225" s="303" t="s">
        <v>488</v>
      </c>
      <c r="B225" s="303" t="s">
        <v>491</v>
      </c>
      <c r="C225" s="303">
        <v>2.84</v>
      </c>
      <c r="D225" s="303">
        <v>2.89</v>
      </c>
      <c r="E225" s="309">
        <f t="shared" si="3"/>
        <v>2.8650000000000002</v>
      </c>
    </row>
    <row r="226" spans="1:5">
      <c r="A226" s="303" t="s">
        <v>488</v>
      </c>
      <c r="B226" s="303" t="s">
        <v>290</v>
      </c>
      <c r="C226" s="303">
        <v>3.24</v>
      </c>
      <c r="D226" s="303">
        <v>3.25</v>
      </c>
      <c r="E226" s="309">
        <f t="shared" si="3"/>
        <v>3.2450000000000001</v>
      </c>
    </row>
    <row r="227" spans="1:5">
      <c r="A227" s="303" t="s">
        <v>488</v>
      </c>
      <c r="B227" s="303" t="s">
        <v>492</v>
      </c>
      <c r="C227" s="303">
        <v>3.07</v>
      </c>
      <c r="D227" s="303">
        <v>3.07</v>
      </c>
      <c r="E227" s="309">
        <f t="shared" si="3"/>
        <v>3.07</v>
      </c>
    </row>
    <row r="228" spans="1:5">
      <c r="A228" s="303" t="s">
        <v>488</v>
      </c>
      <c r="B228" s="303" t="s">
        <v>292</v>
      </c>
      <c r="C228" s="303">
        <v>2.89</v>
      </c>
      <c r="D228" s="303">
        <v>2.91</v>
      </c>
      <c r="E228" s="309">
        <f t="shared" si="3"/>
        <v>2.9000000000000004</v>
      </c>
    </row>
    <row r="229" spans="1:5">
      <c r="A229" s="303" t="s">
        <v>488</v>
      </c>
      <c r="B229" s="303" t="s">
        <v>493</v>
      </c>
      <c r="C229" s="303">
        <v>3.41</v>
      </c>
      <c r="D229" s="303">
        <v>3.57</v>
      </c>
      <c r="E229" s="309">
        <f t="shared" si="3"/>
        <v>3.49</v>
      </c>
    </row>
    <row r="230" spans="1:5">
      <c r="A230" s="303" t="s">
        <v>494</v>
      </c>
      <c r="B230" s="303" t="s">
        <v>293</v>
      </c>
      <c r="C230" s="303">
        <v>2.2599999999999998</v>
      </c>
      <c r="D230" s="303">
        <v>2.2999999999999998</v>
      </c>
      <c r="E230" s="309">
        <f t="shared" si="3"/>
        <v>2.2799999999999998</v>
      </c>
    </row>
    <row r="231" spans="1:5">
      <c r="A231" s="303" t="s">
        <v>494</v>
      </c>
      <c r="B231" s="303" t="s">
        <v>294</v>
      </c>
      <c r="C231" s="303">
        <v>2.4300000000000002</v>
      </c>
      <c r="D231" s="303">
        <v>2.44</v>
      </c>
      <c r="E231" s="309">
        <f t="shared" si="3"/>
        <v>2.4350000000000001</v>
      </c>
    </row>
    <row r="232" spans="1:5">
      <c r="A232" s="303" t="s">
        <v>494</v>
      </c>
      <c r="B232" s="303" t="s">
        <v>295</v>
      </c>
      <c r="C232" s="303">
        <v>2.06</v>
      </c>
      <c r="D232" s="303">
        <v>2.06</v>
      </c>
      <c r="E232" s="309">
        <f t="shared" si="3"/>
        <v>2.06</v>
      </c>
    </row>
    <row r="233" spans="1:5">
      <c r="A233" s="303" t="s">
        <v>494</v>
      </c>
      <c r="B233" s="303" t="s">
        <v>360</v>
      </c>
      <c r="C233" s="303">
        <v>3.82</v>
      </c>
      <c r="D233" s="303">
        <v>3.81</v>
      </c>
      <c r="E233" s="309">
        <f t="shared" si="3"/>
        <v>3.8149999999999999</v>
      </c>
    </row>
    <row r="234" spans="1:5">
      <c r="A234" s="303" t="s">
        <v>495</v>
      </c>
      <c r="B234" s="303" t="s">
        <v>267</v>
      </c>
      <c r="C234" s="303">
        <v>3.51</v>
      </c>
      <c r="D234" s="303">
        <v>3.65</v>
      </c>
      <c r="E234" s="309">
        <f t="shared" si="3"/>
        <v>3.58</v>
      </c>
    </row>
    <row r="235" spans="1:5">
      <c r="A235" s="303" t="s">
        <v>495</v>
      </c>
      <c r="B235" s="303" t="s">
        <v>268</v>
      </c>
      <c r="C235" s="303">
        <v>3.54</v>
      </c>
      <c r="D235" s="303">
        <v>3.61</v>
      </c>
      <c r="E235" s="309">
        <f t="shared" si="3"/>
        <v>3.5750000000000002</v>
      </c>
    </row>
    <row r="236" spans="1:5">
      <c r="A236" s="303" t="s">
        <v>495</v>
      </c>
      <c r="B236" s="303" t="s">
        <v>373</v>
      </c>
      <c r="C236" s="303">
        <v>4</v>
      </c>
      <c r="D236" s="303">
        <v>4.0599999999999996</v>
      </c>
      <c r="E236" s="309">
        <f t="shared" si="3"/>
        <v>4.0299999999999994</v>
      </c>
    </row>
    <row r="237" spans="1:5">
      <c r="A237" s="303" t="s">
        <v>495</v>
      </c>
      <c r="B237" s="303" t="s">
        <v>269</v>
      </c>
      <c r="C237" s="303">
        <v>3.72</v>
      </c>
      <c r="D237" s="303">
        <v>4.28</v>
      </c>
      <c r="E237" s="309">
        <f t="shared" si="3"/>
        <v>4</v>
      </c>
    </row>
    <row r="238" spans="1:5">
      <c r="A238" s="303" t="s">
        <v>495</v>
      </c>
      <c r="B238" s="303" t="s">
        <v>270</v>
      </c>
      <c r="C238" s="303">
        <v>3.74</v>
      </c>
      <c r="D238" s="303">
        <v>3.87</v>
      </c>
      <c r="E238" s="309">
        <f t="shared" si="3"/>
        <v>3.8050000000000002</v>
      </c>
    </row>
    <row r="239" spans="1:5">
      <c r="A239" s="303" t="s">
        <v>495</v>
      </c>
      <c r="B239" s="303" t="s">
        <v>296</v>
      </c>
      <c r="C239" s="303">
        <v>3.28</v>
      </c>
      <c r="D239" s="303">
        <v>3.43</v>
      </c>
      <c r="E239" s="309">
        <f t="shared" si="3"/>
        <v>3.355</v>
      </c>
    </row>
    <row r="240" spans="1:5">
      <c r="A240" s="303" t="s">
        <v>495</v>
      </c>
      <c r="B240" s="303" t="s">
        <v>271</v>
      </c>
      <c r="C240" s="303">
        <v>4.41</v>
      </c>
      <c r="D240" s="303">
        <v>4.68</v>
      </c>
      <c r="E240" s="309">
        <f t="shared" si="3"/>
        <v>4.5449999999999999</v>
      </c>
    </row>
    <row r="241" spans="1:5">
      <c r="A241" s="303" t="s">
        <v>495</v>
      </c>
      <c r="B241" s="303" t="s">
        <v>272</v>
      </c>
      <c r="C241" s="303">
        <v>3.6</v>
      </c>
      <c r="D241" s="303">
        <v>3.75</v>
      </c>
      <c r="E241" s="309">
        <f t="shared" si="3"/>
        <v>3.6749999999999998</v>
      </c>
    </row>
    <row r="242" spans="1:5">
      <c r="A242" s="303" t="s">
        <v>495</v>
      </c>
      <c r="B242" s="303" t="s">
        <v>297</v>
      </c>
      <c r="C242" s="303">
        <v>3.27</v>
      </c>
      <c r="D242" s="303">
        <v>3.34</v>
      </c>
      <c r="E242" s="309">
        <f t="shared" si="3"/>
        <v>3.3049999999999997</v>
      </c>
    </row>
    <row r="243" spans="1:5">
      <c r="A243" s="303" t="s">
        <v>495</v>
      </c>
      <c r="B243" s="303" t="s">
        <v>406</v>
      </c>
      <c r="C243" s="303">
        <v>4.41</v>
      </c>
      <c r="D243" s="303">
        <v>4.42</v>
      </c>
      <c r="E243" s="309">
        <f t="shared" si="3"/>
        <v>4.415</v>
      </c>
    </row>
    <row r="244" spans="1:5">
      <c r="A244" s="303" t="s">
        <v>495</v>
      </c>
      <c r="B244" s="303" t="s">
        <v>407</v>
      </c>
      <c r="C244" s="303">
        <v>4.17</v>
      </c>
      <c r="D244" s="303">
        <v>4.25</v>
      </c>
      <c r="E244" s="309">
        <f t="shared" si="3"/>
        <v>4.21</v>
      </c>
    </row>
    <row r="245" spans="1:5">
      <c r="A245" s="303" t="s">
        <v>495</v>
      </c>
      <c r="B245" s="303" t="s">
        <v>298</v>
      </c>
      <c r="C245" s="303">
        <v>3.11</v>
      </c>
      <c r="D245" s="303">
        <v>3.33</v>
      </c>
      <c r="E245" s="309">
        <f t="shared" si="3"/>
        <v>3.2199999999999998</v>
      </c>
    </row>
    <row r="246" spans="1:5">
      <c r="A246" s="303" t="s">
        <v>495</v>
      </c>
      <c r="B246" s="303" t="s">
        <v>299</v>
      </c>
      <c r="C246" s="303">
        <v>3.57</v>
      </c>
      <c r="D246" s="303">
        <v>3.81</v>
      </c>
      <c r="E246" s="309">
        <f t="shared" si="3"/>
        <v>3.69</v>
      </c>
    </row>
    <row r="247" spans="1:5">
      <c r="A247" s="303" t="s">
        <v>495</v>
      </c>
      <c r="B247" s="303" t="s">
        <v>273</v>
      </c>
      <c r="C247" s="303">
        <v>3.95</v>
      </c>
      <c r="D247" s="303">
        <v>4.18</v>
      </c>
      <c r="E247" s="309">
        <f t="shared" si="3"/>
        <v>4.0649999999999995</v>
      </c>
    </row>
    <row r="248" spans="1:5">
      <c r="A248" s="303" t="s">
        <v>495</v>
      </c>
      <c r="B248" s="303" t="s">
        <v>274</v>
      </c>
      <c r="C248" s="303">
        <v>3.82</v>
      </c>
      <c r="D248" s="303">
        <v>3.99</v>
      </c>
      <c r="E248" s="309">
        <f t="shared" si="3"/>
        <v>3.9050000000000002</v>
      </c>
    </row>
    <row r="249" spans="1:5">
      <c r="A249" s="303" t="s">
        <v>495</v>
      </c>
      <c r="B249" s="303" t="s">
        <v>496</v>
      </c>
      <c r="C249" s="303">
        <v>4.18</v>
      </c>
      <c r="D249" s="303">
        <v>4.2</v>
      </c>
      <c r="E249" s="309">
        <f t="shared" si="3"/>
        <v>4.1899999999999995</v>
      </c>
    </row>
    <row r="250" spans="1:5">
      <c r="A250" s="303" t="s">
        <v>495</v>
      </c>
      <c r="B250" s="303" t="s">
        <v>1104</v>
      </c>
      <c r="C250" s="303">
        <v>4.26</v>
      </c>
      <c r="D250" s="303">
        <v>4.34</v>
      </c>
      <c r="E250" s="309">
        <f t="shared" si="3"/>
        <v>4.3</v>
      </c>
    </row>
    <row r="251" spans="1:5">
      <c r="A251" s="303" t="s">
        <v>495</v>
      </c>
      <c r="B251" s="303" t="s">
        <v>264</v>
      </c>
      <c r="C251" s="303">
        <v>3.26</v>
      </c>
      <c r="D251" s="303">
        <v>3.32</v>
      </c>
      <c r="E251" s="309">
        <f t="shared" si="3"/>
        <v>3.29</v>
      </c>
    </row>
    <row r="252" spans="1:5">
      <c r="A252" s="303" t="s">
        <v>495</v>
      </c>
      <c r="B252" s="303" t="s">
        <v>300</v>
      </c>
      <c r="C252" s="303">
        <v>3.67</v>
      </c>
      <c r="D252" s="303">
        <v>3.72</v>
      </c>
      <c r="E252" s="309">
        <f t="shared" si="3"/>
        <v>3.6950000000000003</v>
      </c>
    </row>
    <row r="253" spans="1:5">
      <c r="A253" s="303" t="s">
        <v>495</v>
      </c>
      <c r="B253" s="303" t="s">
        <v>275</v>
      </c>
      <c r="C253" s="303">
        <v>3.29</v>
      </c>
      <c r="D253" s="303">
        <v>3.37</v>
      </c>
      <c r="E253" s="309">
        <f t="shared" si="3"/>
        <v>3.33</v>
      </c>
    </row>
    <row r="254" spans="1:5">
      <c r="A254" s="303" t="s">
        <v>495</v>
      </c>
      <c r="B254" s="303" t="s">
        <v>276</v>
      </c>
      <c r="C254" s="303">
        <v>4.4800000000000004</v>
      </c>
      <c r="D254" s="303">
        <v>4.49</v>
      </c>
      <c r="E254" s="309">
        <f t="shared" si="3"/>
        <v>4.4850000000000003</v>
      </c>
    </row>
    <row r="255" spans="1:5">
      <c r="A255" s="303" t="s">
        <v>495</v>
      </c>
      <c r="B255" s="303" t="s">
        <v>497</v>
      </c>
      <c r="C255" s="303">
        <v>4</v>
      </c>
      <c r="D255" s="303">
        <v>4.1500000000000004</v>
      </c>
      <c r="E255" s="309">
        <f t="shared" si="3"/>
        <v>4.0750000000000002</v>
      </c>
    </row>
    <row r="256" spans="1:5">
      <c r="A256" s="303" t="s">
        <v>1105</v>
      </c>
      <c r="B256" s="303" t="s">
        <v>473</v>
      </c>
      <c r="C256" s="303">
        <v>2.94</v>
      </c>
      <c r="D256" s="303">
        <v>3.67</v>
      </c>
      <c r="E256" s="309">
        <f t="shared" si="3"/>
        <v>3.3049999999999997</v>
      </c>
    </row>
    <row r="257" spans="1:5">
      <c r="A257" s="303" t="s">
        <v>1105</v>
      </c>
      <c r="B257" s="303" t="s">
        <v>301</v>
      </c>
      <c r="C257" s="303">
        <v>5.07</v>
      </c>
      <c r="D257" s="303">
        <v>5.13</v>
      </c>
      <c r="E257" s="309">
        <f t="shared" si="3"/>
        <v>5.0999999999999996</v>
      </c>
    </row>
    <row r="258" spans="1:5">
      <c r="A258" s="303" t="s">
        <v>1105</v>
      </c>
      <c r="B258" s="303" t="s">
        <v>302</v>
      </c>
      <c r="C258" s="303">
        <v>2.4900000000000002</v>
      </c>
      <c r="D258" s="303">
        <v>2.74</v>
      </c>
      <c r="E258" s="309">
        <f t="shared" si="3"/>
        <v>2.6150000000000002</v>
      </c>
    </row>
    <row r="259" spans="1:5">
      <c r="A259" s="303" t="s">
        <v>1105</v>
      </c>
      <c r="B259" s="303" t="s">
        <v>303</v>
      </c>
      <c r="C259" s="303">
        <v>4.5999999999999996</v>
      </c>
      <c r="D259" s="303">
        <v>5.41</v>
      </c>
      <c r="E259" s="309">
        <f t="shared" si="3"/>
        <v>5.0049999999999999</v>
      </c>
    </row>
    <row r="260" spans="1:5">
      <c r="A260" s="303" t="s">
        <v>1105</v>
      </c>
      <c r="B260" s="303" t="s">
        <v>304</v>
      </c>
      <c r="C260" s="303">
        <v>3.43</v>
      </c>
      <c r="D260" s="303">
        <v>3.71</v>
      </c>
      <c r="E260" s="309">
        <f t="shared" si="3"/>
        <v>3.5700000000000003</v>
      </c>
    </row>
    <row r="261" spans="1:5">
      <c r="A261" s="303" t="s">
        <v>1106</v>
      </c>
      <c r="B261" s="303" t="s">
        <v>402</v>
      </c>
      <c r="C261" s="303">
        <v>3.6</v>
      </c>
      <c r="D261" s="303">
        <v>3.51</v>
      </c>
      <c r="E261" s="309">
        <f t="shared" si="3"/>
        <v>3.5549999999999997</v>
      </c>
    </row>
    <row r="262" spans="1:5">
      <c r="A262" s="303" t="s">
        <v>1106</v>
      </c>
      <c r="B262" s="303" t="s">
        <v>1107</v>
      </c>
      <c r="C262" s="303">
        <v>4.38</v>
      </c>
      <c r="D262" s="303">
        <v>4.29</v>
      </c>
      <c r="E262" s="309">
        <f t="shared" si="3"/>
        <v>4.335</v>
      </c>
    </row>
    <row r="263" spans="1:5">
      <c r="A263" s="303" t="s">
        <v>1106</v>
      </c>
      <c r="B263" s="303" t="s">
        <v>167</v>
      </c>
      <c r="C263" s="303">
        <v>3.26</v>
      </c>
      <c r="D263" s="303">
        <v>3.47</v>
      </c>
      <c r="E263" s="309">
        <f t="shared" si="3"/>
        <v>3.3650000000000002</v>
      </c>
    </row>
    <row r="264" spans="1:5">
      <c r="A264" s="303" t="s">
        <v>1106</v>
      </c>
      <c r="B264" s="303" t="s">
        <v>381</v>
      </c>
      <c r="C264" s="303">
        <v>3.67</v>
      </c>
      <c r="D264" s="303">
        <v>3.69</v>
      </c>
      <c r="E264" s="309">
        <f t="shared" si="3"/>
        <v>3.6799999999999997</v>
      </c>
    </row>
    <row r="265" spans="1:5">
      <c r="A265" s="303" t="s">
        <v>1106</v>
      </c>
      <c r="B265" s="303" t="s">
        <v>227</v>
      </c>
      <c r="C265" s="303">
        <v>4</v>
      </c>
      <c r="D265" s="303">
        <v>4.1900000000000004</v>
      </c>
      <c r="E265" s="309">
        <f t="shared" si="3"/>
        <v>4.0950000000000006</v>
      </c>
    </row>
    <row r="266" spans="1:5">
      <c r="A266" s="303" t="s">
        <v>1106</v>
      </c>
      <c r="B266" s="303" t="s">
        <v>399</v>
      </c>
      <c r="C266" s="303">
        <v>4.1900000000000004</v>
      </c>
      <c r="D266" s="303">
        <v>4.1900000000000004</v>
      </c>
      <c r="E266" s="309">
        <f t="shared" si="3"/>
        <v>4.1900000000000004</v>
      </c>
    </row>
    <row r="267" spans="1:5">
      <c r="A267" s="303" t="s">
        <v>1106</v>
      </c>
      <c r="B267" s="303" t="s">
        <v>168</v>
      </c>
      <c r="C267" s="303">
        <v>2.33</v>
      </c>
      <c r="D267" s="303">
        <v>2.46</v>
      </c>
      <c r="E267" s="309">
        <f t="shared" si="3"/>
        <v>2.395</v>
      </c>
    </row>
    <row r="268" spans="1:5">
      <c r="A268" s="303" t="s">
        <v>1106</v>
      </c>
      <c r="B268" s="303" t="s">
        <v>250</v>
      </c>
      <c r="C268" s="303">
        <v>3.29</v>
      </c>
      <c r="D268" s="303">
        <v>3.3</v>
      </c>
      <c r="E268" s="309">
        <f t="shared" si="3"/>
        <v>3.2949999999999999</v>
      </c>
    </row>
    <row r="269" spans="1:5">
      <c r="A269" s="303" t="s">
        <v>1106</v>
      </c>
      <c r="B269" s="303" t="s">
        <v>228</v>
      </c>
      <c r="C269" s="303">
        <v>3.31</v>
      </c>
      <c r="D269" s="303">
        <v>3.33</v>
      </c>
      <c r="E269" s="309">
        <f t="shared" si="3"/>
        <v>3.3200000000000003</v>
      </c>
    </row>
    <row r="270" spans="1:5">
      <c r="A270" s="303" t="s">
        <v>1106</v>
      </c>
      <c r="B270" s="303" t="s">
        <v>1108</v>
      </c>
      <c r="C270" s="303">
        <v>4.17</v>
      </c>
      <c r="D270" s="303">
        <v>4.2</v>
      </c>
      <c r="E270" s="309">
        <f t="shared" ref="E270:E333" si="4">AVERAGE(MAX(MIN(C270,10),1.5),MAX(MIN(D270,10),1.5))</f>
        <v>4.1850000000000005</v>
      </c>
    </row>
    <row r="271" spans="1:5">
      <c r="A271" s="303" t="s">
        <v>1106</v>
      </c>
      <c r="B271" s="303" t="s">
        <v>1109</v>
      </c>
      <c r="C271" s="303">
        <v>3.66</v>
      </c>
      <c r="D271" s="303">
        <v>3.83</v>
      </c>
      <c r="E271" s="309">
        <f t="shared" si="4"/>
        <v>3.7450000000000001</v>
      </c>
    </row>
    <row r="272" spans="1:5">
      <c r="A272" s="303" t="s">
        <v>1106</v>
      </c>
      <c r="B272" s="303" t="s">
        <v>465</v>
      </c>
      <c r="C272" s="303">
        <v>3.6</v>
      </c>
      <c r="D272" s="303">
        <v>3.99</v>
      </c>
      <c r="E272" s="309">
        <f t="shared" si="4"/>
        <v>3.7949999999999999</v>
      </c>
    </row>
    <row r="273" spans="1:5">
      <c r="A273" s="303" t="s">
        <v>1106</v>
      </c>
      <c r="B273" s="303" t="s">
        <v>205</v>
      </c>
      <c r="C273" s="303">
        <v>3.14</v>
      </c>
      <c r="D273" s="303">
        <v>3.43</v>
      </c>
      <c r="E273" s="309">
        <f t="shared" si="4"/>
        <v>3.2850000000000001</v>
      </c>
    </row>
    <row r="274" spans="1:5">
      <c r="A274" s="303" t="s">
        <v>1106</v>
      </c>
      <c r="B274" s="303" t="s">
        <v>384</v>
      </c>
      <c r="C274" s="303">
        <v>3.19</v>
      </c>
      <c r="D274" s="303">
        <v>3.26</v>
      </c>
      <c r="E274" s="309">
        <f t="shared" si="4"/>
        <v>3.2249999999999996</v>
      </c>
    </row>
    <row r="275" spans="1:5">
      <c r="A275" s="303" t="s">
        <v>1106</v>
      </c>
      <c r="B275" s="303" t="s">
        <v>482</v>
      </c>
      <c r="C275" s="303">
        <v>3.78</v>
      </c>
      <c r="D275" s="303">
        <v>4.0199999999999996</v>
      </c>
      <c r="E275" s="309">
        <f t="shared" si="4"/>
        <v>3.8999999999999995</v>
      </c>
    </row>
    <row r="276" spans="1:5">
      <c r="A276" s="303" t="s">
        <v>1106</v>
      </c>
      <c r="B276" s="303" t="s">
        <v>466</v>
      </c>
      <c r="C276" s="303">
        <v>4.0199999999999996</v>
      </c>
      <c r="D276" s="303">
        <v>4.3099999999999996</v>
      </c>
      <c r="E276" s="309">
        <f t="shared" si="4"/>
        <v>4.1649999999999991</v>
      </c>
    </row>
    <row r="277" spans="1:5">
      <c r="A277" s="303" t="s">
        <v>1106</v>
      </c>
      <c r="B277" s="303" t="s">
        <v>483</v>
      </c>
      <c r="C277" s="303">
        <v>4.1100000000000003</v>
      </c>
      <c r="D277" s="303">
        <v>4.1399999999999997</v>
      </c>
      <c r="E277" s="309">
        <f t="shared" si="4"/>
        <v>4.125</v>
      </c>
    </row>
    <row r="278" spans="1:5">
      <c r="A278" s="303" t="s">
        <v>1106</v>
      </c>
      <c r="B278" s="303" t="s">
        <v>169</v>
      </c>
      <c r="C278" s="303">
        <v>4.05</v>
      </c>
      <c r="D278" s="303">
        <v>4.13</v>
      </c>
      <c r="E278" s="309">
        <f t="shared" si="4"/>
        <v>4.09</v>
      </c>
    </row>
    <row r="279" spans="1:5">
      <c r="A279" s="303" t="s">
        <v>1106</v>
      </c>
      <c r="B279" s="303" t="s">
        <v>229</v>
      </c>
      <c r="C279" s="303">
        <v>3.68</v>
      </c>
      <c r="D279" s="303">
        <v>3.84</v>
      </c>
      <c r="E279" s="309">
        <f t="shared" si="4"/>
        <v>3.76</v>
      </c>
    </row>
    <row r="280" spans="1:5">
      <c r="A280" s="303" t="s">
        <v>1106</v>
      </c>
      <c r="B280" s="303" t="s">
        <v>171</v>
      </c>
      <c r="C280" s="303">
        <v>3.83</v>
      </c>
      <c r="D280" s="303">
        <v>4.05</v>
      </c>
      <c r="E280" s="309">
        <f t="shared" si="4"/>
        <v>3.94</v>
      </c>
    </row>
    <row r="281" spans="1:5">
      <c r="A281" s="303" t="s">
        <v>1106</v>
      </c>
      <c r="B281" s="303" t="s">
        <v>230</v>
      </c>
      <c r="C281" s="303">
        <v>2.93</v>
      </c>
      <c r="D281" s="303">
        <v>3.01</v>
      </c>
      <c r="E281" s="309">
        <f t="shared" si="4"/>
        <v>2.9699999999999998</v>
      </c>
    </row>
    <row r="282" spans="1:5">
      <c r="A282" s="303" t="s">
        <v>1106</v>
      </c>
      <c r="B282" s="303" t="s">
        <v>484</v>
      </c>
      <c r="C282" s="303">
        <v>3.25</v>
      </c>
      <c r="D282" s="303">
        <v>3.18</v>
      </c>
      <c r="E282" s="309">
        <f t="shared" si="4"/>
        <v>3.2149999999999999</v>
      </c>
    </row>
    <row r="283" spans="1:5">
      <c r="A283" s="303" t="s">
        <v>1106</v>
      </c>
      <c r="B283" s="303" t="s">
        <v>485</v>
      </c>
      <c r="C283" s="303">
        <v>3.39</v>
      </c>
      <c r="D283" s="303">
        <v>3.71</v>
      </c>
      <c r="E283" s="309">
        <f t="shared" si="4"/>
        <v>3.55</v>
      </c>
    </row>
    <row r="284" spans="1:5">
      <c r="A284" s="303" t="s">
        <v>1106</v>
      </c>
      <c r="B284" s="303" t="s">
        <v>467</v>
      </c>
      <c r="C284" s="303">
        <v>3.67</v>
      </c>
      <c r="D284" s="303">
        <v>3.94</v>
      </c>
      <c r="E284" s="309">
        <f t="shared" si="4"/>
        <v>3.8049999999999997</v>
      </c>
    </row>
    <row r="285" spans="1:5">
      <c r="A285" s="303" t="s">
        <v>1106</v>
      </c>
      <c r="B285" s="303" t="s">
        <v>890</v>
      </c>
      <c r="C285" s="303">
        <v>4</v>
      </c>
      <c r="D285" s="303">
        <v>4.16</v>
      </c>
      <c r="E285" s="309">
        <f t="shared" si="4"/>
        <v>4.08</v>
      </c>
    </row>
    <row r="286" spans="1:5">
      <c r="A286" s="303" t="s">
        <v>1106</v>
      </c>
      <c r="B286" s="303" t="s">
        <v>172</v>
      </c>
      <c r="C286" s="303">
        <v>2.65</v>
      </c>
      <c r="D286" s="303">
        <v>2.65</v>
      </c>
      <c r="E286" s="309">
        <f t="shared" si="4"/>
        <v>2.65</v>
      </c>
    </row>
    <row r="287" spans="1:5">
      <c r="A287" s="303" t="s">
        <v>1106</v>
      </c>
      <c r="B287" s="303" t="s">
        <v>231</v>
      </c>
      <c r="C287" s="303">
        <v>3.64</v>
      </c>
      <c r="D287" s="303">
        <v>3.68</v>
      </c>
      <c r="E287" s="309">
        <f t="shared" si="4"/>
        <v>3.66</v>
      </c>
    </row>
    <row r="288" spans="1:5">
      <c r="A288" s="303" t="s">
        <v>1106</v>
      </c>
      <c r="B288" s="303" t="s">
        <v>361</v>
      </c>
      <c r="C288" s="303">
        <v>4.08</v>
      </c>
      <c r="D288" s="303">
        <v>4.08</v>
      </c>
      <c r="E288" s="309">
        <f t="shared" si="4"/>
        <v>4.08</v>
      </c>
    </row>
    <row r="289" spans="1:5">
      <c r="A289" s="303" t="s">
        <v>1106</v>
      </c>
      <c r="B289" s="303" t="s">
        <v>1110</v>
      </c>
      <c r="C289" s="303">
        <v>3.74</v>
      </c>
      <c r="D289" s="303">
        <v>3.74</v>
      </c>
      <c r="E289" s="309">
        <f t="shared" si="4"/>
        <v>3.74</v>
      </c>
    </row>
    <row r="290" spans="1:5">
      <c r="A290" s="303" t="s">
        <v>1106</v>
      </c>
      <c r="B290" s="303" t="s">
        <v>486</v>
      </c>
      <c r="C290" s="303">
        <v>4.0599999999999996</v>
      </c>
      <c r="D290" s="303">
        <v>4.0999999999999996</v>
      </c>
      <c r="E290" s="309">
        <f t="shared" si="4"/>
        <v>4.08</v>
      </c>
    </row>
    <row r="291" spans="1:5">
      <c r="A291" s="303" t="s">
        <v>1106</v>
      </c>
      <c r="B291" s="303" t="s">
        <v>487</v>
      </c>
      <c r="C291" s="303">
        <v>4.21</v>
      </c>
      <c r="D291" s="303">
        <v>4.2300000000000004</v>
      </c>
      <c r="E291" s="309">
        <f t="shared" si="4"/>
        <v>4.2200000000000006</v>
      </c>
    </row>
    <row r="292" spans="1:5">
      <c r="A292" s="303" t="s">
        <v>498</v>
      </c>
      <c r="B292" s="303" t="s">
        <v>730</v>
      </c>
      <c r="C292" s="303">
        <v>3.98</v>
      </c>
      <c r="D292" s="303">
        <v>3.97</v>
      </c>
      <c r="E292" s="309">
        <f t="shared" si="4"/>
        <v>3.9750000000000001</v>
      </c>
    </row>
    <row r="293" spans="1:5">
      <c r="A293" s="303" t="s">
        <v>498</v>
      </c>
      <c r="B293" s="303" t="s">
        <v>1111</v>
      </c>
      <c r="C293" s="303">
        <v>3.99</v>
      </c>
      <c r="D293" s="303">
        <v>4.0199999999999996</v>
      </c>
      <c r="E293" s="309">
        <f t="shared" si="4"/>
        <v>4.0049999999999999</v>
      </c>
    </row>
    <row r="294" spans="1:5">
      <c r="A294" s="303" t="s">
        <v>498</v>
      </c>
      <c r="B294" s="303" t="s">
        <v>499</v>
      </c>
      <c r="C294" s="303">
        <v>3.25</v>
      </c>
      <c r="D294" s="303">
        <v>3.36</v>
      </c>
      <c r="E294" s="309">
        <f t="shared" si="4"/>
        <v>3.3049999999999997</v>
      </c>
    </row>
    <row r="295" spans="1:5">
      <c r="A295" s="303" t="s">
        <v>498</v>
      </c>
      <c r="B295" s="303" t="s">
        <v>500</v>
      </c>
      <c r="C295" s="303">
        <v>3.33</v>
      </c>
      <c r="D295" s="303">
        <v>3.44</v>
      </c>
      <c r="E295" s="309">
        <f t="shared" si="4"/>
        <v>3.3849999999999998</v>
      </c>
    </row>
    <row r="296" spans="1:5">
      <c r="A296" s="303" t="s">
        <v>498</v>
      </c>
      <c r="B296" s="303" t="s">
        <v>204</v>
      </c>
      <c r="C296" s="303">
        <v>3.69</v>
      </c>
      <c r="D296" s="303">
        <v>3.79</v>
      </c>
      <c r="E296" s="309">
        <f t="shared" si="4"/>
        <v>3.74</v>
      </c>
    </row>
    <row r="297" spans="1:5">
      <c r="A297" s="303" t="s">
        <v>498</v>
      </c>
      <c r="B297" s="303" t="s">
        <v>501</v>
      </c>
      <c r="C297" s="303">
        <v>3.75</v>
      </c>
      <c r="D297" s="303">
        <v>3.75</v>
      </c>
      <c r="E297" s="309">
        <f t="shared" si="4"/>
        <v>3.75</v>
      </c>
    </row>
    <row r="298" spans="1:5">
      <c r="A298" s="303" t="s">
        <v>498</v>
      </c>
      <c r="B298" s="303" t="s">
        <v>731</v>
      </c>
      <c r="C298" s="303">
        <v>3.21</v>
      </c>
      <c r="D298" s="303">
        <v>3.2</v>
      </c>
      <c r="E298" s="309">
        <f t="shared" si="4"/>
        <v>3.2050000000000001</v>
      </c>
    </row>
    <row r="299" spans="1:5">
      <c r="A299" s="303" t="s">
        <v>498</v>
      </c>
      <c r="B299" s="303" t="s">
        <v>251</v>
      </c>
      <c r="C299" s="303">
        <v>1.48</v>
      </c>
      <c r="D299" s="303">
        <v>1.49</v>
      </c>
      <c r="E299" s="309">
        <f t="shared" si="4"/>
        <v>1.5</v>
      </c>
    </row>
    <row r="300" spans="1:5">
      <c r="A300" s="303" t="s">
        <v>498</v>
      </c>
      <c r="B300" s="303" t="s">
        <v>502</v>
      </c>
      <c r="C300" s="303">
        <v>3.5</v>
      </c>
      <c r="D300" s="303">
        <v>3.94</v>
      </c>
      <c r="E300" s="309">
        <f t="shared" si="4"/>
        <v>3.7199999999999998</v>
      </c>
    </row>
    <row r="301" spans="1:5">
      <c r="A301" s="303" t="s">
        <v>498</v>
      </c>
      <c r="B301" s="303" t="s">
        <v>732</v>
      </c>
      <c r="C301" s="303">
        <v>3.5</v>
      </c>
      <c r="D301" s="303">
        <v>3.6</v>
      </c>
      <c r="E301" s="309">
        <f t="shared" si="4"/>
        <v>3.55</v>
      </c>
    </row>
    <row r="302" spans="1:5">
      <c r="A302" s="303" t="s">
        <v>498</v>
      </c>
      <c r="B302" s="303" t="s">
        <v>503</v>
      </c>
      <c r="C302" s="303">
        <v>3.68</v>
      </c>
      <c r="D302" s="303">
        <v>3.47</v>
      </c>
      <c r="E302" s="309">
        <f t="shared" si="4"/>
        <v>3.5750000000000002</v>
      </c>
    </row>
    <row r="303" spans="1:5">
      <c r="A303" s="303" t="s">
        <v>498</v>
      </c>
      <c r="B303" s="303" t="s">
        <v>504</v>
      </c>
      <c r="C303" s="303">
        <v>3.75</v>
      </c>
      <c r="D303" s="303">
        <v>3.73</v>
      </c>
      <c r="E303" s="309">
        <f t="shared" si="4"/>
        <v>3.74</v>
      </c>
    </row>
    <row r="304" spans="1:5">
      <c r="A304" s="303" t="s">
        <v>498</v>
      </c>
      <c r="B304" s="303" t="s">
        <v>1112</v>
      </c>
      <c r="C304" s="303">
        <v>3.71</v>
      </c>
      <c r="D304" s="303">
        <v>3.71</v>
      </c>
      <c r="E304" s="309">
        <f t="shared" si="4"/>
        <v>3.71</v>
      </c>
    </row>
    <row r="305" spans="1:5">
      <c r="A305" s="303" t="s">
        <v>498</v>
      </c>
      <c r="B305" s="303" t="s">
        <v>1113</v>
      </c>
      <c r="C305" s="303">
        <v>3.83</v>
      </c>
      <c r="D305" s="303">
        <v>3.83</v>
      </c>
      <c r="E305" s="309">
        <f t="shared" si="4"/>
        <v>3.83</v>
      </c>
    </row>
    <row r="306" spans="1:5">
      <c r="A306" s="303" t="s">
        <v>498</v>
      </c>
      <c r="B306" s="303" t="s">
        <v>505</v>
      </c>
      <c r="C306" s="303">
        <v>3.88</v>
      </c>
      <c r="D306" s="303">
        <v>4.04</v>
      </c>
      <c r="E306" s="309">
        <f t="shared" si="4"/>
        <v>3.96</v>
      </c>
    </row>
    <row r="307" spans="1:5">
      <c r="A307" s="303" t="s">
        <v>498</v>
      </c>
      <c r="B307" s="303" t="s">
        <v>252</v>
      </c>
      <c r="C307" s="303">
        <v>3.44</v>
      </c>
      <c r="D307" s="303">
        <v>3.45</v>
      </c>
      <c r="E307" s="309">
        <f t="shared" si="4"/>
        <v>3.4450000000000003</v>
      </c>
    </row>
    <row r="308" spans="1:5">
      <c r="A308" s="303" t="s">
        <v>498</v>
      </c>
      <c r="B308" s="303" t="s">
        <v>506</v>
      </c>
      <c r="C308" s="303">
        <v>4.2</v>
      </c>
      <c r="D308" s="303">
        <v>4.2</v>
      </c>
      <c r="E308" s="309">
        <f t="shared" si="4"/>
        <v>4.2</v>
      </c>
    </row>
    <row r="309" spans="1:5">
      <c r="A309" s="303" t="s">
        <v>498</v>
      </c>
      <c r="B309" s="303" t="s">
        <v>507</v>
      </c>
      <c r="C309" s="303">
        <v>3.7</v>
      </c>
      <c r="D309" s="303">
        <v>3.7</v>
      </c>
      <c r="E309" s="309">
        <f t="shared" si="4"/>
        <v>3.7</v>
      </c>
    </row>
    <row r="310" spans="1:5">
      <c r="A310" s="303" t="s">
        <v>498</v>
      </c>
      <c r="B310" s="303" t="s">
        <v>253</v>
      </c>
      <c r="C310" s="303">
        <v>3.29</v>
      </c>
      <c r="D310" s="303">
        <v>3.29</v>
      </c>
      <c r="E310" s="309">
        <f t="shared" si="4"/>
        <v>3.29</v>
      </c>
    </row>
    <row r="311" spans="1:5">
      <c r="A311" s="303" t="s">
        <v>508</v>
      </c>
      <c r="B311" s="303" t="s">
        <v>509</v>
      </c>
      <c r="C311" s="303">
        <v>3.45</v>
      </c>
      <c r="D311" s="303">
        <v>4.4400000000000004</v>
      </c>
      <c r="E311" s="309">
        <f t="shared" si="4"/>
        <v>3.9450000000000003</v>
      </c>
    </row>
    <row r="312" spans="1:5">
      <c r="A312" s="303" t="s">
        <v>508</v>
      </c>
      <c r="B312" s="303" t="s">
        <v>387</v>
      </c>
      <c r="C312" s="303">
        <v>5.37</v>
      </c>
      <c r="D312" s="303">
        <v>5.4</v>
      </c>
      <c r="E312" s="309">
        <f t="shared" si="4"/>
        <v>5.3849999999999998</v>
      </c>
    </row>
    <row r="313" spans="1:5">
      <c r="A313" s="303" t="s">
        <v>508</v>
      </c>
      <c r="B313" s="303" t="s">
        <v>388</v>
      </c>
      <c r="C313" s="303">
        <v>4.57</v>
      </c>
      <c r="D313" s="303">
        <v>4.58</v>
      </c>
      <c r="E313" s="309">
        <f t="shared" si="4"/>
        <v>4.5750000000000002</v>
      </c>
    </row>
    <row r="314" spans="1:5">
      <c r="A314" s="303" t="s">
        <v>508</v>
      </c>
      <c r="B314" s="303" t="s">
        <v>389</v>
      </c>
      <c r="C314" s="303">
        <v>5.87</v>
      </c>
      <c r="D314" s="303">
        <v>5.91</v>
      </c>
      <c r="E314" s="309">
        <f t="shared" si="4"/>
        <v>5.8900000000000006</v>
      </c>
    </row>
    <row r="315" spans="1:5">
      <c r="A315" s="303" t="s">
        <v>508</v>
      </c>
      <c r="B315" s="303" t="s">
        <v>1122</v>
      </c>
      <c r="C315" s="303">
        <v>5.96</v>
      </c>
      <c r="D315" s="303">
        <v>5.96</v>
      </c>
      <c r="E315" s="309">
        <f t="shared" si="4"/>
        <v>5.96</v>
      </c>
    </row>
    <row r="316" spans="1:5">
      <c r="A316" s="303" t="s">
        <v>508</v>
      </c>
      <c r="B316" s="303" t="s">
        <v>1123</v>
      </c>
      <c r="C316" s="303">
        <v>5.87</v>
      </c>
      <c r="D316" s="303">
        <v>6.04</v>
      </c>
      <c r="E316" s="309">
        <f t="shared" si="4"/>
        <v>5.9550000000000001</v>
      </c>
    </row>
    <row r="317" spans="1:5">
      <c r="A317" s="303" t="s">
        <v>508</v>
      </c>
      <c r="B317" s="303" t="s">
        <v>372</v>
      </c>
      <c r="C317" s="303">
        <v>4</v>
      </c>
      <c r="D317" s="303">
        <v>3.87</v>
      </c>
      <c r="E317" s="309">
        <f t="shared" si="4"/>
        <v>3.9350000000000001</v>
      </c>
    </row>
    <row r="318" spans="1:5">
      <c r="A318" s="303" t="s">
        <v>508</v>
      </c>
      <c r="B318" s="303" t="s">
        <v>173</v>
      </c>
      <c r="C318" s="303">
        <v>4.2699999999999996</v>
      </c>
      <c r="D318" s="303">
        <v>4.43</v>
      </c>
      <c r="E318" s="309">
        <f t="shared" si="4"/>
        <v>4.3499999999999996</v>
      </c>
    </row>
    <row r="319" spans="1:5">
      <c r="A319" s="303" t="s">
        <v>508</v>
      </c>
      <c r="B319" s="303" t="s">
        <v>174</v>
      </c>
      <c r="C319" s="303">
        <v>4.97</v>
      </c>
      <c r="D319" s="303">
        <v>5.07</v>
      </c>
      <c r="E319" s="309">
        <f t="shared" si="4"/>
        <v>5.0199999999999996</v>
      </c>
    </row>
    <row r="320" spans="1:5">
      <c r="A320" s="303" t="s">
        <v>508</v>
      </c>
      <c r="B320" s="303" t="s">
        <v>175</v>
      </c>
      <c r="C320" s="303">
        <v>4.8899999999999997</v>
      </c>
      <c r="D320" s="303">
        <v>4.8600000000000003</v>
      </c>
      <c r="E320" s="309">
        <f t="shared" si="4"/>
        <v>4.875</v>
      </c>
    </row>
    <row r="321" spans="1:5">
      <c r="A321" s="303" t="s">
        <v>508</v>
      </c>
      <c r="B321" s="303" t="s">
        <v>510</v>
      </c>
      <c r="C321" s="303">
        <v>6.03</v>
      </c>
      <c r="D321" s="303">
        <v>6.01</v>
      </c>
      <c r="E321" s="309">
        <f t="shared" si="4"/>
        <v>6.02</v>
      </c>
    </row>
    <row r="322" spans="1:5">
      <c r="A322" s="303" t="s">
        <v>508</v>
      </c>
      <c r="B322" s="303" t="s">
        <v>511</v>
      </c>
      <c r="C322" s="303">
        <v>5.61</v>
      </c>
      <c r="D322" s="303">
        <v>5.56</v>
      </c>
      <c r="E322" s="309">
        <f t="shared" si="4"/>
        <v>5.585</v>
      </c>
    </row>
    <row r="323" spans="1:5">
      <c r="A323" s="303" t="s">
        <v>508</v>
      </c>
      <c r="B323" s="303" t="s">
        <v>512</v>
      </c>
      <c r="C323" s="303">
        <v>5.1100000000000003</v>
      </c>
      <c r="D323" s="303">
        <v>4.99</v>
      </c>
      <c r="E323" s="309">
        <f t="shared" si="4"/>
        <v>5.0500000000000007</v>
      </c>
    </row>
    <row r="324" spans="1:5">
      <c r="A324" s="303" t="s">
        <v>508</v>
      </c>
      <c r="B324" s="303" t="s">
        <v>176</v>
      </c>
      <c r="C324" s="303">
        <v>3.89</v>
      </c>
      <c r="D324" s="303">
        <v>3.97</v>
      </c>
      <c r="E324" s="309">
        <f>AVERAGE(MAX(MIN(C324,10),1.5),MAX(MIN(D324,10),1.5))</f>
        <v>3.93</v>
      </c>
    </row>
    <row r="325" spans="1:5">
      <c r="A325" s="303" t="s">
        <v>508</v>
      </c>
      <c r="B325" s="303" t="s">
        <v>408</v>
      </c>
      <c r="C325" s="303">
        <v>6.04</v>
      </c>
      <c r="D325" s="303">
        <v>6.06</v>
      </c>
      <c r="E325" s="309">
        <f t="shared" si="4"/>
        <v>6.05</v>
      </c>
    </row>
    <row r="326" spans="1:5">
      <c r="A326" s="303" t="s">
        <v>508</v>
      </c>
      <c r="B326" s="303" t="s">
        <v>1124</v>
      </c>
      <c r="C326" s="303">
        <v>6.92</v>
      </c>
      <c r="D326" s="303">
        <v>3.3</v>
      </c>
      <c r="E326" s="309">
        <f t="shared" si="4"/>
        <v>5.1099999999999994</v>
      </c>
    </row>
    <row r="327" spans="1:5">
      <c r="A327" s="303" t="s">
        <v>508</v>
      </c>
      <c r="B327" s="303" t="s">
        <v>390</v>
      </c>
      <c r="C327" s="303">
        <v>5.67</v>
      </c>
      <c r="D327" s="303">
        <v>5.72</v>
      </c>
      <c r="E327" s="309">
        <f t="shared" si="4"/>
        <v>5.6950000000000003</v>
      </c>
    </row>
    <row r="328" spans="1:5">
      <c r="A328" s="303" t="s">
        <v>508</v>
      </c>
      <c r="B328" s="303" t="s">
        <v>177</v>
      </c>
      <c r="C328" s="303">
        <v>4.68</v>
      </c>
      <c r="D328" s="303">
        <v>4.7699999999999996</v>
      </c>
      <c r="E328" s="309">
        <f t="shared" si="4"/>
        <v>4.7249999999999996</v>
      </c>
    </row>
    <row r="329" spans="1:5">
      <c r="A329" s="303" t="s">
        <v>1114</v>
      </c>
      <c r="B329" s="303" t="s">
        <v>248</v>
      </c>
      <c r="C329" s="303">
        <v>3.44</v>
      </c>
      <c r="D329" s="303">
        <v>3.49</v>
      </c>
      <c r="E329" s="309">
        <f t="shared" si="4"/>
        <v>3.4649999999999999</v>
      </c>
    </row>
    <row r="330" spans="1:5">
      <c r="A330" s="303" t="s">
        <v>1114</v>
      </c>
      <c r="B330" s="303" t="s">
        <v>474</v>
      </c>
      <c r="C330" s="303">
        <v>2.97</v>
      </c>
      <c r="D330" s="303">
        <v>2.79</v>
      </c>
      <c r="E330" s="309">
        <f t="shared" si="4"/>
        <v>2.88</v>
      </c>
    </row>
    <row r="331" spans="1:5">
      <c r="A331" s="303" t="s">
        <v>1114</v>
      </c>
      <c r="B331" s="303" t="s">
        <v>370</v>
      </c>
      <c r="C331" s="303">
        <v>3.2</v>
      </c>
      <c r="D331" s="303">
        <v>3.1</v>
      </c>
      <c r="E331" s="309">
        <f t="shared" si="4"/>
        <v>3.1500000000000004</v>
      </c>
    </row>
    <row r="332" spans="1:5">
      <c r="A332" s="303" t="s">
        <v>1114</v>
      </c>
      <c r="B332" s="303" t="s">
        <v>249</v>
      </c>
      <c r="C332" s="303">
        <v>4.38</v>
      </c>
      <c r="D332" s="303">
        <v>4.38</v>
      </c>
      <c r="E332" s="309">
        <f t="shared" si="4"/>
        <v>4.38</v>
      </c>
    </row>
    <row r="333" spans="1:5">
      <c r="A333" s="303" t="s">
        <v>1114</v>
      </c>
      <c r="B333" s="303" t="s">
        <v>1115</v>
      </c>
      <c r="C333" s="303">
        <v>3.66</v>
      </c>
      <c r="D333" s="303">
        <v>3.67</v>
      </c>
      <c r="E333" s="309">
        <f t="shared" si="4"/>
        <v>3.665</v>
      </c>
    </row>
    <row r="334" spans="1:5">
      <c r="A334" s="303" t="s">
        <v>1114</v>
      </c>
      <c r="B334" s="303" t="s">
        <v>1116</v>
      </c>
      <c r="C334" s="303">
        <v>3.75</v>
      </c>
      <c r="D334" s="303">
        <v>3.78</v>
      </c>
      <c r="E334" s="309">
        <f t="shared" ref="E334:E377" si="5">AVERAGE(MAX(MIN(C334,10),1.5),MAX(MIN(D334,10),1.5))</f>
        <v>3.7649999999999997</v>
      </c>
    </row>
    <row r="335" spans="1:5">
      <c r="A335" s="303" t="s">
        <v>1114</v>
      </c>
      <c r="B335" s="303" t="s">
        <v>400</v>
      </c>
      <c r="C335" s="303">
        <v>3.96</v>
      </c>
      <c r="D335" s="303">
        <v>4</v>
      </c>
      <c r="E335" s="309">
        <f t="shared" si="5"/>
        <v>3.98</v>
      </c>
    </row>
    <row r="336" spans="1:5">
      <c r="A336" s="303" t="s">
        <v>1114</v>
      </c>
      <c r="B336" s="303" t="s">
        <v>475</v>
      </c>
      <c r="C336" s="303">
        <v>3.46</v>
      </c>
      <c r="D336" s="303">
        <v>3.45</v>
      </c>
      <c r="E336" s="309">
        <f t="shared" si="5"/>
        <v>3.4550000000000001</v>
      </c>
    </row>
    <row r="337" spans="1:5">
      <c r="A337" s="303" t="s">
        <v>1114</v>
      </c>
      <c r="B337" s="303" t="s">
        <v>476</v>
      </c>
      <c r="C337" s="303">
        <v>3.55</v>
      </c>
      <c r="D337" s="303">
        <v>3.59</v>
      </c>
      <c r="E337" s="309">
        <f t="shared" si="5"/>
        <v>3.57</v>
      </c>
    </row>
    <row r="338" spans="1:5">
      <c r="A338" s="303" t="s">
        <v>1114</v>
      </c>
      <c r="B338" s="303" t="s">
        <v>477</v>
      </c>
      <c r="C338" s="303">
        <v>3.67</v>
      </c>
      <c r="D338" s="303">
        <v>3.74</v>
      </c>
      <c r="E338" s="309">
        <f t="shared" si="5"/>
        <v>3.7050000000000001</v>
      </c>
    </row>
    <row r="339" spans="1:5">
      <c r="E339" s="309">
        <f t="shared" si="5"/>
        <v>10</v>
      </c>
    </row>
    <row r="340" spans="1:5">
      <c r="E340" s="309">
        <f t="shared" si="5"/>
        <v>10</v>
      </c>
    </row>
    <row r="341" spans="1:5">
      <c r="E341" s="309">
        <f t="shared" si="5"/>
        <v>10</v>
      </c>
    </row>
    <row r="342" spans="1:5">
      <c r="E342" s="309">
        <f t="shared" si="5"/>
        <v>10</v>
      </c>
    </row>
    <row r="343" spans="1:5">
      <c r="E343" s="309">
        <f t="shared" si="5"/>
        <v>10</v>
      </c>
    </row>
    <row r="344" spans="1:5">
      <c r="E344" s="309">
        <f t="shared" si="5"/>
        <v>10</v>
      </c>
    </row>
    <row r="345" spans="1:5">
      <c r="E345" s="309">
        <f t="shared" si="5"/>
        <v>10</v>
      </c>
    </row>
    <row r="346" spans="1:5">
      <c r="E346" s="309">
        <f t="shared" si="5"/>
        <v>10</v>
      </c>
    </row>
    <row r="347" spans="1:5">
      <c r="E347" s="309">
        <f t="shared" si="5"/>
        <v>10</v>
      </c>
    </row>
    <row r="348" spans="1:5">
      <c r="E348" s="309">
        <f t="shared" si="5"/>
        <v>10</v>
      </c>
    </row>
    <row r="349" spans="1:5">
      <c r="E349" s="309">
        <f t="shared" si="5"/>
        <v>10</v>
      </c>
    </row>
    <row r="350" spans="1:5">
      <c r="E350" s="309">
        <f t="shared" si="5"/>
        <v>10</v>
      </c>
    </row>
    <row r="351" spans="1:5">
      <c r="E351" s="309">
        <f t="shared" si="5"/>
        <v>10</v>
      </c>
    </row>
    <row r="352" spans="1:5">
      <c r="E352" s="309">
        <f t="shared" si="5"/>
        <v>10</v>
      </c>
    </row>
    <row r="353" spans="5:5">
      <c r="E353" s="309">
        <f t="shared" si="5"/>
        <v>10</v>
      </c>
    </row>
    <row r="354" spans="5:5">
      <c r="E354" s="309">
        <f t="shared" si="5"/>
        <v>10</v>
      </c>
    </row>
    <row r="355" spans="5:5">
      <c r="E355" s="309">
        <f t="shared" si="5"/>
        <v>10</v>
      </c>
    </row>
    <row r="356" spans="5:5">
      <c r="E356" s="309">
        <f t="shared" si="5"/>
        <v>10</v>
      </c>
    </row>
    <row r="357" spans="5:5">
      <c r="E357" s="309">
        <f t="shared" si="5"/>
        <v>10</v>
      </c>
    </row>
    <row r="358" spans="5:5">
      <c r="E358" s="309">
        <f t="shared" si="5"/>
        <v>10</v>
      </c>
    </row>
    <row r="359" spans="5:5">
      <c r="E359" s="309">
        <f t="shared" si="5"/>
        <v>10</v>
      </c>
    </row>
    <row r="360" spans="5:5">
      <c r="E360" s="309">
        <f t="shared" si="5"/>
        <v>10</v>
      </c>
    </row>
    <row r="361" spans="5:5">
      <c r="E361" s="309">
        <f t="shared" si="5"/>
        <v>10</v>
      </c>
    </row>
    <row r="362" spans="5:5">
      <c r="E362" s="309">
        <f t="shared" si="5"/>
        <v>10</v>
      </c>
    </row>
    <row r="363" spans="5:5">
      <c r="E363" s="309">
        <f t="shared" si="5"/>
        <v>10</v>
      </c>
    </row>
    <row r="364" spans="5:5">
      <c r="E364" s="309">
        <f t="shared" si="5"/>
        <v>10</v>
      </c>
    </row>
    <row r="365" spans="5:5">
      <c r="E365" s="309">
        <f t="shared" si="5"/>
        <v>10</v>
      </c>
    </row>
    <row r="366" spans="5:5">
      <c r="E366" s="309">
        <f t="shared" si="5"/>
        <v>10</v>
      </c>
    </row>
    <row r="367" spans="5:5">
      <c r="E367" s="309">
        <f t="shared" si="5"/>
        <v>10</v>
      </c>
    </row>
    <row r="368" spans="5:5">
      <c r="E368" s="309">
        <f t="shared" si="5"/>
        <v>10</v>
      </c>
    </row>
    <row r="369" spans="5:5">
      <c r="E369" s="309">
        <f t="shared" si="5"/>
        <v>10</v>
      </c>
    </row>
    <row r="370" spans="5:5">
      <c r="E370" s="309">
        <f t="shared" si="5"/>
        <v>10</v>
      </c>
    </row>
    <row r="371" spans="5:5">
      <c r="E371" s="309">
        <f t="shared" si="5"/>
        <v>10</v>
      </c>
    </row>
    <row r="372" spans="5:5">
      <c r="E372" s="309">
        <f t="shared" si="5"/>
        <v>10</v>
      </c>
    </row>
    <row r="373" spans="5:5">
      <c r="E373" s="309">
        <f t="shared" si="5"/>
        <v>10</v>
      </c>
    </row>
    <row r="374" spans="5:5">
      <c r="E374" s="309">
        <f t="shared" si="5"/>
        <v>10</v>
      </c>
    </row>
    <row r="375" spans="5:5">
      <c r="E375" s="309">
        <f t="shared" si="5"/>
        <v>10</v>
      </c>
    </row>
    <row r="376" spans="5:5">
      <c r="E376" s="309">
        <f t="shared" si="5"/>
        <v>10</v>
      </c>
    </row>
    <row r="377" spans="5:5">
      <c r="E377" s="309">
        <f t="shared" si="5"/>
        <v>10</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6" tint="0.39997558519241921"/>
  </sheetPr>
  <dimension ref="A3:AH82"/>
  <sheetViews>
    <sheetView showGridLines="0" zoomScale="70" zoomScaleNormal="70" workbookViewId="0">
      <selection activeCell="X7" sqref="X7"/>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G3" s="863">
        <v>21</v>
      </c>
      <c r="H3" s="863">
        <v>22</v>
      </c>
      <c r="I3" s="863">
        <v>98</v>
      </c>
      <c r="O3" s="863">
        <v>29</v>
      </c>
      <c r="P3" s="863">
        <v>26</v>
      </c>
      <c r="Q3" s="863">
        <v>27</v>
      </c>
      <c r="R3" s="863">
        <v>28</v>
      </c>
      <c r="T3" s="863">
        <v>77</v>
      </c>
      <c r="W3" s="863">
        <v>88</v>
      </c>
      <c r="X3" s="863">
        <v>89</v>
      </c>
      <c r="Y3" s="863">
        <v>90</v>
      </c>
      <c r="Z3" s="863">
        <v>91</v>
      </c>
      <c r="AA3" s="863">
        <v>92</v>
      </c>
      <c r="AC3" s="863">
        <v>93</v>
      </c>
      <c r="AD3" s="863">
        <v>94</v>
      </c>
      <c r="AG3" s="863">
        <v>101</v>
      </c>
      <c r="AH3" s="863">
        <v>106</v>
      </c>
    </row>
    <row r="4" spans="1:34" s="863" customFormat="1">
      <c r="G4" s="863" t="s">
        <v>858</v>
      </c>
      <c r="H4" s="863" t="s">
        <v>858</v>
      </c>
      <c r="I4" s="863" t="s">
        <v>858</v>
      </c>
      <c r="K4" s="863" t="s">
        <v>858</v>
      </c>
      <c r="L4" s="863" t="s">
        <v>858</v>
      </c>
      <c r="M4" s="863" t="s">
        <v>858</v>
      </c>
      <c r="O4" s="863" t="s">
        <v>1014</v>
      </c>
      <c r="P4" s="863" t="s">
        <v>1015</v>
      </c>
      <c r="Q4" s="863" t="s">
        <v>1015</v>
      </c>
      <c r="R4" s="863" t="s">
        <v>1015</v>
      </c>
      <c r="T4" s="863" t="s">
        <v>1016</v>
      </c>
      <c r="U4" s="863" t="s">
        <v>1016</v>
      </c>
      <c r="W4" s="863" t="s">
        <v>1016</v>
      </c>
      <c r="X4" s="863" t="s">
        <v>1016</v>
      </c>
      <c r="Y4" s="863" t="s">
        <v>1016</v>
      </c>
      <c r="Z4" s="863" t="s">
        <v>1016</v>
      </c>
      <c r="AA4" s="863" t="s">
        <v>1016</v>
      </c>
      <c r="AB4" s="863" t="s">
        <v>1016</v>
      </c>
      <c r="AC4" s="863" t="s">
        <v>1016</v>
      </c>
      <c r="AD4" s="863" t="s">
        <v>1016</v>
      </c>
      <c r="AE4" s="863" t="s">
        <v>1016</v>
      </c>
      <c r="AG4" s="863" t="s">
        <v>1016</v>
      </c>
      <c r="AH4" s="863" t="s">
        <v>1016</v>
      </c>
    </row>
    <row r="5" spans="1:34" ht="25.5">
      <c r="B5" s="864" t="s">
        <v>984</v>
      </c>
      <c r="C5" s="864" t="s">
        <v>95</v>
      </c>
      <c r="D5" s="864" t="s">
        <v>1017</v>
      </c>
      <c r="E5" s="864" t="s">
        <v>1018</v>
      </c>
      <c r="G5" s="865" t="s">
        <v>328</v>
      </c>
      <c r="H5" s="865" t="s">
        <v>329</v>
      </c>
      <c r="I5" s="865" t="s">
        <v>330</v>
      </c>
      <c r="J5" s="863"/>
      <c r="K5" s="865" t="s">
        <v>1019</v>
      </c>
      <c r="L5" s="865" t="s">
        <v>1020</v>
      </c>
      <c r="M5" s="865" t="s">
        <v>1021</v>
      </c>
      <c r="N5" s="863"/>
      <c r="O5" s="865" t="s">
        <v>1022</v>
      </c>
      <c r="P5" s="865" t="s">
        <v>328</v>
      </c>
      <c r="Q5" s="865" t="s">
        <v>329</v>
      </c>
      <c r="R5" s="865" t="s">
        <v>330</v>
      </c>
      <c r="T5" s="865" t="s">
        <v>1023</v>
      </c>
      <c r="U5" s="865" t="s">
        <v>1024</v>
      </c>
      <c r="V5" s="863"/>
      <c r="W5" s="865" t="s">
        <v>715</v>
      </c>
      <c r="X5" s="866" t="s">
        <v>1025</v>
      </c>
      <c r="Y5" s="866" t="s">
        <v>1026</v>
      </c>
      <c r="Z5" s="866" t="s">
        <v>1027</v>
      </c>
      <c r="AA5" s="866" t="s">
        <v>969</v>
      </c>
      <c r="AB5" s="866" t="s">
        <v>970</v>
      </c>
      <c r="AC5" s="866" t="s">
        <v>971</v>
      </c>
      <c r="AD5" s="866" t="s">
        <v>972</v>
      </c>
      <c r="AE5" s="866" t="s">
        <v>1028</v>
      </c>
      <c r="AF5" s="863"/>
      <c r="AG5" s="865" t="s">
        <v>0</v>
      </c>
      <c r="AH5" s="865" t="s">
        <v>7</v>
      </c>
    </row>
    <row r="6" spans="1:34">
      <c r="A6" s="862" t="s">
        <v>1029</v>
      </c>
      <c r="B6" s="867" t="s">
        <v>962</v>
      </c>
      <c r="C6" s="867">
        <v>2019</v>
      </c>
      <c r="D6" s="867" t="s">
        <v>1154</v>
      </c>
      <c r="E6" s="862" t="s">
        <v>955</v>
      </c>
      <c r="G6" s="868">
        <v>0</v>
      </c>
      <c r="H6" s="868">
        <v>0</v>
      </c>
      <c r="I6" s="868">
        <v>0</v>
      </c>
      <c r="J6" s="868"/>
      <c r="K6" s="868">
        <v>0</v>
      </c>
      <c r="L6" s="868">
        <v>0</v>
      </c>
      <c r="M6" s="868">
        <v>0</v>
      </c>
      <c r="N6" s="868"/>
      <c r="O6" s="868" t="e">
        <v>#N/A</v>
      </c>
      <c r="P6" s="869" t="e">
        <v>#N/A</v>
      </c>
      <c r="Q6" s="869" t="e">
        <v>#N/A</v>
      </c>
      <c r="R6" s="869" t="e">
        <v>#N/A</v>
      </c>
      <c r="T6" s="868">
        <v>0</v>
      </c>
      <c r="U6" s="868">
        <v>0</v>
      </c>
      <c r="V6" s="863"/>
      <c r="W6" s="868">
        <v>0</v>
      </c>
      <c r="X6" s="870">
        <v>0</v>
      </c>
      <c r="Y6" s="870">
        <v>0</v>
      </c>
      <c r="Z6" s="870">
        <v>0</v>
      </c>
      <c r="AA6" s="870">
        <v>0</v>
      </c>
      <c r="AB6" s="870">
        <v>0</v>
      </c>
      <c r="AC6" s="870">
        <v>0</v>
      </c>
      <c r="AD6" s="863">
        <v>0</v>
      </c>
      <c r="AE6" s="863">
        <v>0</v>
      </c>
      <c r="AF6" s="863"/>
      <c r="AG6" s="868">
        <v>0</v>
      </c>
      <c r="AH6" s="868">
        <v>0</v>
      </c>
    </row>
    <row r="7" spans="1:34">
      <c r="A7" s="862" t="s">
        <v>1030</v>
      </c>
      <c r="B7" s="871" t="s">
        <v>962</v>
      </c>
      <c r="C7" s="871">
        <v>2019</v>
      </c>
      <c r="D7" s="871" t="s">
        <v>1154</v>
      </c>
      <c r="E7" s="871" t="s">
        <v>956</v>
      </c>
      <c r="G7" s="872">
        <v>0</v>
      </c>
      <c r="H7" s="872">
        <v>0</v>
      </c>
      <c r="I7" s="872">
        <v>0</v>
      </c>
      <c r="J7" s="868"/>
      <c r="K7" s="872">
        <v>0</v>
      </c>
      <c r="L7" s="872">
        <v>0</v>
      </c>
      <c r="M7" s="872">
        <v>0</v>
      </c>
      <c r="N7" s="868"/>
      <c r="O7" s="872" t="e">
        <v>#N/A</v>
      </c>
      <c r="P7" s="873" t="e">
        <v>#N/A</v>
      </c>
      <c r="Q7" s="873" t="e">
        <v>#N/A</v>
      </c>
      <c r="R7" s="873" t="e">
        <v>#N/A</v>
      </c>
      <c r="T7" s="872">
        <v>0</v>
      </c>
      <c r="U7" s="872">
        <v>0</v>
      </c>
      <c r="V7" s="863"/>
      <c r="W7" s="872">
        <v>0</v>
      </c>
      <c r="X7" s="874">
        <v>0</v>
      </c>
      <c r="Y7" s="874">
        <v>0</v>
      </c>
      <c r="Z7" s="874">
        <v>0</v>
      </c>
      <c r="AA7" s="874">
        <v>0</v>
      </c>
      <c r="AB7" s="874">
        <v>0</v>
      </c>
      <c r="AC7" s="874">
        <v>0</v>
      </c>
      <c r="AD7" s="875">
        <v>0</v>
      </c>
      <c r="AE7" s="875">
        <v>0</v>
      </c>
      <c r="AF7" s="863"/>
      <c r="AG7" s="872">
        <v>0</v>
      </c>
      <c r="AH7" s="872">
        <v>0</v>
      </c>
    </row>
    <row r="8" spans="1:34">
      <c r="A8" s="862" t="s">
        <v>1031</v>
      </c>
      <c r="B8" s="862" t="s">
        <v>962</v>
      </c>
      <c r="C8" s="862">
        <v>2019</v>
      </c>
      <c r="D8" s="862" t="s">
        <v>1154</v>
      </c>
      <c r="E8" s="862" t="s">
        <v>957</v>
      </c>
      <c r="G8" s="868">
        <v>0</v>
      </c>
      <c r="H8" s="868">
        <v>0</v>
      </c>
      <c r="I8" s="868">
        <v>0</v>
      </c>
      <c r="J8" s="868"/>
      <c r="K8" s="868">
        <v>0</v>
      </c>
      <c r="L8" s="868">
        <v>0</v>
      </c>
      <c r="M8" s="868">
        <v>0</v>
      </c>
      <c r="N8" s="868"/>
      <c r="O8" s="868" t="e">
        <v>#N/A</v>
      </c>
      <c r="P8" s="869" t="e">
        <v>#N/A</v>
      </c>
      <c r="Q8" s="869" t="e">
        <v>#N/A</v>
      </c>
      <c r="R8" s="869" t="e">
        <v>#N/A</v>
      </c>
      <c r="T8" s="868">
        <v>0</v>
      </c>
      <c r="U8" s="868">
        <v>0</v>
      </c>
      <c r="V8" s="863"/>
      <c r="W8" s="868">
        <v>0</v>
      </c>
      <c r="X8" s="870">
        <v>0</v>
      </c>
      <c r="Y8" s="870">
        <v>0</v>
      </c>
      <c r="Z8" s="870">
        <v>0</v>
      </c>
      <c r="AA8" s="870">
        <v>0</v>
      </c>
      <c r="AB8" s="870">
        <v>0</v>
      </c>
      <c r="AC8" s="870">
        <v>0</v>
      </c>
      <c r="AD8" s="863">
        <v>0</v>
      </c>
      <c r="AE8" s="863">
        <v>0</v>
      </c>
      <c r="AF8" s="863"/>
      <c r="AG8" s="868">
        <v>0</v>
      </c>
      <c r="AH8" s="868">
        <v>0</v>
      </c>
    </row>
    <row r="9" spans="1:34">
      <c r="A9" s="862" t="s">
        <v>1032</v>
      </c>
      <c r="B9" s="871" t="s">
        <v>962</v>
      </c>
      <c r="C9" s="871">
        <v>2019</v>
      </c>
      <c r="D9" s="871" t="s">
        <v>1154</v>
      </c>
      <c r="E9" s="871" t="s">
        <v>958</v>
      </c>
      <c r="G9" s="872">
        <v>0</v>
      </c>
      <c r="H9" s="872">
        <v>0</v>
      </c>
      <c r="I9" s="872">
        <v>0</v>
      </c>
      <c r="J9" s="868"/>
      <c r="K9" s="872">
        <v>0</v>
      </c>
      <c r="L9" s="872">
        <v>0</v>
      </c>
      <c r="M9" s="872">
        <v>0</v>
      </c>
      <c r="N9" s="868"/>
      <c r="O9" s="872" t="e">
        <v>#N/A</v>
      </c>
      <c r="P9" s="873" t="e">
        <v>#N/A</v>
      </c>
      <c r="Q9" s="873" t="e">
        <v>#N/A</v>
      </c>
      <c r="R9" s="873" t="e">
        <v>#N/A</v>
      </c>
      <c r="T9" s="872">
        <v>0</v>
      </c>
      <c r="U9" s="872">
        <v>0</v>
      </c>
      <c r="V9" s="863"/>
      <c r="W9" s="872">
        <v>0</v>
      </c>
      <c r="X9" s="874">
        <v>0</v>
      </c>
      <c r="Y9" s="874">
        <v>0</v>
      </c>
      <c r="Z9" s="874">
        <v>0</v>
      </c>
      <c r="AA9" s="874">
        <v>0</v>
      </c>
      <c r="AB9" s="874">
        <v>0</v>
      </c>
      <c r="AC9" s="874">
        <v>0</v>
      </c>
      <c r="AD9" s="875">
        <v>0</v>
      </c>
      <c r="AE9" s="875">
        <v>0</v>
      </c>
      <c r="AF9" s="863"/>
      <c r="AG9" s="872">
        <v>0</v>
      </c>
      <c r="AH9" s="872">
        <v>0</v>
      </c>
    </row>
    <row r="10" spans="1:34">
      <c r="A10" s="862" t="s">
        <v>1033</v>
      </c>
      <c r="B10" s="862" t="s">
        <v>962</v>
      </c>
      <c r="C10" s="862">
        <v>2019</v>
      </c>
      <c r="D10" s="862" t="s">
        <v>1154</v>
      </c>
      <c r="E10" s="862" t="s">
        <v>959</v>
      </c>
      <c r="G10" s="868">
        <v>0</v>
      </c>
      <c r="H10" s="868">
        <v>0</v>
      </c>
      <c r="I10" s="868">
        <v>0</v>
      </c>
      <c r="J10" s="868"/>
      <c r="K10" s="868">
        <v>0</v>
      </c>
      <c r="L10" s="868">
        <v>0</v>
      </c>
      <c r="M10" s="868">
        <v>0</v>
      </c>
      <c r="N10" s="868"/>
      <c r="O10" s="868" t="e">
        <v>#N/A</v>
      </c>
      <c r="P10" s="869" t="e">
        <v>#N/A</v>
      </c>
      <c r="Q10" s="869" t="e">
        <v>#N/A</v>
      </c>
      <c r="R10" s="869" t="e">
        <v>#N/A</v>
      </c>
      <c r="T10" s="868">
        <v>0</v>
      </c>
      <c r="U10" s="868">
        <v>0</v>
      </c>
      <c r="V10" s="863"/>
      <c r="W10" s="868">
        <v>0</v>
      </c>
      <c r="X10" s="870">
        <v>0</v>
      </c>
      <c r="Y10" s="870">
        <v>0</v>
      </c>
      <c r="Z10" s="870">
        <v>0</v>
      </c>
      <c r="AA10" s="870">
        <v>0</v>
      </c>
      <c r="AB10" s="870">
        <v>0</v>
      </c>
      <c r="AC10" s="870">
        <v>0</v>
      </c>
      <c r="AD10" s="863">
        <v>0</v>
      </c>
      <c r="AE10" s="863">
        <v>0</v>
      </c>
      <c r="AF10" s="863"/>
      <c r="AG10" s="868">
        <v>0</v>
      </c>
      <c r="AH10" s="868">
        <v>0</v>
      </c>
    </row>
    <row r="11" spans="1:34">
      <c r="G11" s="876"/>
      <c r="H11" s="876"/>
      <c r="I11" s="876"/>
      <c r="J11" s="876"/>
      <c r="K11" s="876"/>
      <c r="L11" s="876"/>
      <c r="M11" s="876"/>
      <c r="N11" s="876"/>
      <c r="O11" s="876"/>
      <c r="P11" s="877"/>
      <c r="Q11" s="877"/>
      <c r="R11" s="877"/>
      <c r="T11" s="876"/>
      <c r="U11" s="876"/>
      <c r="W11" s="876"/>
      <c r="AG11" s="876"/>
      <c r="AH11" s="876"/>
    </row>
    <row r="12" spans="1:34">
      <c r="A12" s="862" t="s">
        <v>1126</v>
      </c>
      <c r="B12" s="867" t="s">
        <v>962</v>
      </c>
      <c r="C12" s="867">
        <v>2020</v>
      </c>
      <c r="D12" s="867" t="s">
        <v>1154</v>
      </c>
      <c r="E12" s="862" t="s">
        <v>955</v>
      </c>
      <c r="G12" s="868">
        <v>750</v>
      </c>
      <c r="H12" s="868">
        <v>1653.5492916397523</v>
      </c>
      <c r="I12" s="868">
        <v>5598.7109265464023</v>
      </c>
      <c r="J12" s="868"/>
      <c r="K12" s="868">
        <v>0</v>
      </c>
      <c r="L12" s="868">
        <v>0</v>
      </c>
      <c r="M12" s="868">
        <v>0</v>
      </c>
      <c r="N12" s="868"/>
      <c r="O12" s="868">
        <v>978</v>
      </c>
      <c r="P12" s="869">
        <v>0.15848670756646213</v>
      </c>
      <c r="Q12" s="869">
        <v>0.14314928425357873</v>
      </c>
      <c r="R12" s="869">
        <v>0.69836400817995914</v>
      </c>
      <c r="T12" s="868">
        <v>750</v>
      </c>
      <c r="U12" s="868">
        <v>0</v>
      </c>
      <c r="V12" s="863"/>
      <c r="W12" s="868">
        <v>0</v>
      </c>
      <c r="X12" s="870">
        <v>0</v>
      </c>
      <c r="Y12" s="870">
        <v>0</v>
      </c>
      <c r="Z12" s="870">
        <v>0</v>
      </c>
      <c r="AA12" s="870">
        <v>0</v>
      </c>
      <c r="AB12" s="870">
        <v>8.9999999999999993E-3</v>
      </c>
      <c r="AC12" s="870">
        <v>1.9E-2</v>
      </c>
      <c r="AD12" s="863">
        <v>3.9E-2</v>
      </c>
      <c r="AE12" s="863">
        <v>3.9E-2</v>
      </c>
      <c r="AF12" s="863"/>
      <c r="AG12" s="868">
        <v>0</v>
      </c>
      <c r="AH12" s="868">
        <v>0</v>
      </c>
    </row>
    <row r="13" spans="1:34">
      <c r="A13" s="862" t="s">
        <v>1127</v>
      </c>
      <c r="B13" s="871" t="s">
        <v>962</v>
      </c>
      <c r="C13" s="871">
        <v>2020</v>
      </c>
      <c r="D13" s="871" t="s">
        <v>1154</v>
      </c>
      <c r="E13" s="871" t="s">
        <v>956</v>
      </c>
      <c r="G13" s="872">
        <v>750</v>
      </c>
      <c r="H13" s="872">
        <v>1653.5492916397525</v>
      </c>
      <c r="I13" s="872">
        <v>5098.7109265464023</v>
      </c>
      <c r="J13" s="868"/>
      <c r="K13" s="872">
        <v>0</v>
      </c>
      <c r="L13" s="872">
        <v>0</v>
      </c>
      <c r="M13" s="872">
        <v>0</v>
      </c>
      <c r="N13" s="868"/>
      <c r="O13" s="872">
        <v>1601</v>
      </c>
      <c r="P13" s="873">
        <v>0.34665833853841349</v>
      </c>
      <c r="Q13" s="873">
        <v>0.29981261711430357</v>
      </c>
      <c r="R13" s="873">
        <v>0.35352904434728294</v>
      </c>
      <c r="T13" s="872">
        <v>750</v>
      </c>
      <c r="U13" s="872">
        <v>0</v>
      </c>
      <c r="V13" s="863"/>
      <c r="W13" s="872">
        <v>0</v>
      </c>
      <c r="X13" s="874">
        <v>0</v>
      </c>
      <c r="Y13" s="874">
        <v>0</v>
      </c>
      <c r="Z13" s="874">
        <v>0</v>
      </c>
      <c r="AA13" s="874">
        <v>0</v>
      </c>
      <c r="AB13" s="874">
        <v>8.9999999999999993E-3</v>
      </c>
      <c r="AC13" s="874">
        <v>1.9E-2</v>
      </c>
      <c r="AD13" s="875">
        <v>3.9E-2</v>
      </c>
      <c r="AE13" s="875">
        <v>3.9E-2</v>
      </c>
      <c r="AF13" s="863"/>
      <c r="AG13" s="872">
        <v>0</v>
      </c>
      <c r="AH13" s="872">
        <v>0</v>
      </c>
    </row>
    <row r="14" spans="1:34">
      <c r="A14" s="862" t="s">
        <v>1128</v>
      </c>
      <c r="B14" s="862" t="s">
        <v>962</v>
      </c>
      <c r="C14" s="862">
        <v>2020</v>
      </c>
      <c r="D14" s="862" t="s">
        <v>1154</v>
      </c>
      <c r="E14" s="862" t="s">
        <v>957</v>
      </c>
      <c r="G14" s="868">
        <v>750</v>
      </c>
      <c r="H14" s="868">
        <v>1653.5492916397525</v>
      </c>
      <c r="I14" s="868">
        <v>5098.7109265464023</v>
      </c>
      <c r="J14" s="868"/>
      <c r="K14" s="868">
        <v>0</v>
      </c>
      <c r="L14" s="868">
        <v>0</v>
      </c>
      <c r="M14" s="868">
        <v>0</v>
      </c>
      <c r="N14" s="868"/>
      <c r="O14" s="868">
        <v>1926</v>
      </c>
      <c r="P14" s="869">
        <v>0.25389408099688471</v>
      </c>
      <c r="Q14" s="869">
        <v>0.38110072689511942</v>
      </c>
      <c r="R14" s="869">
        <v>0.36500519210799587</v>
      </c>
      <c r="T14" s="868">
        <v>750</v>
      </c>
      <c r="U14" s="868">
        <v>0</v>
      </c>
      <c r="V14" s="863"/>
      <c r="W14" s="868">
        <v>0</v>
      </c>
      <c r="X14" s="870">
        <v>0</v>
      </c>
      <c r="Y14" s="870">
        <v>0</v>
      </c>
      <c r="Z14" s="870">
        <v>0</v>
      </c>
      <c r="AA14" s="870">
        <v>0</v>
      </c>
      <c r="AB14" s="870">
        <v>9.0000000000000011E-3</v>
      </c>
      <c r="AC14" s="870">
        <v>1.9E-2</v>
      </c>
      <c r="AD14" s="863">
        <v>3.9000000000000007E-2</v>
      </c>
      <c r="AE14" s="863">
        <v>3.9000000000000007E-2</v>
      </c>
      <c r="AF14" s="863"/>
      <c r="AG14" s="868">
        <v>0</v>
      </c>
      <c r="AH14" s="868">
        <v>0</v>
      </c>
    </row>
    <row r="15" spans="1:34">
      <c r="A15" s="862" t="s">
        <v>1129</v>
      </c>
      <c r="B15" s="871" t="s">
        <v>962</v>
      </c>
      <c r="C15" s="871">
        <v>2020</v>
      </c>
      <c r="D15" s="871" t="s">
        <v>1154</v>
      </c>
      <c r="E15" s="871" t="s">
        <v>958</v>
      </c>
      <c r="G15" s="872">
        <v>750</v>
      </c>
      <c r="H15" s="872">
        <v>1653.549291639752</v>
      </c>
      <c r="I15" s="872">
        <v>4738.7109265464023</v>
      </c>
      <c r="J15" s="868"/>
      <c r="K15" s="872">
        <v>0</v>
      </c>
      <c r="L15" s="872">
        <v>0</v>
      </c>
      <c r="M15" s="872">
        <v>0</v>
      </c>
      <c r="N15" s="868"/>
      <c r="O15" s="872">
        <v>1859</v>
      </c>
      <c r="P15" s="873">
        <v>0.45400753093060786</v>
      </c>
      <c r="Q15" s="873">
        <v>0.46530392684238836</v>
      </c>
      <c r="R15" s="873">
        <v>8.0688542227003765E-2</v>
      </c>
      <c r="T15" s="872">
        <v>750</v>
      </c>
      <c r="U15" s="872">
        <v>0</v>
      </c>
      <c r="V15" s="863"/>
      <c r="W15" s="872">
        <v>0</v>
      </c>
      <c r="X15" s="874">
        <v>0</v>
      </c>
      <c r="Y15" s="874">
        <v>0</v>
      </c>
      <c r="Z15" s="874">
        <v>0</v>
      </c>
      <c r="AA15" s="874">
        <v>0</v>
      </c>
      <c r="AB15" s="874">
        <v>8.9999999999999993E-3</v>
      </c>
      <c r="AC15" s="874">
        <v>1.8999999999999996E-2</v>
      </c>
      <c r="AD15" s="875">
        <v>3.9E-2</v>
      </c>
      <c r="AE15" s="875">
        <v>3.9E-2</v>
      </c>
      <c r="AF15" s="863"/>
      <c r="AG15" s="872">
        <v>0</v>
      </c>
      <c r="AH15" s="872">
        <v>0</v>
      </c>
    </row>
    <row r="16" spans="1:34">
      <c r="A16" s="862" t="s">
        <v>1130</v>
      </c>
      <c r="B16" s="862" t="s">
        <v>962</v>
      </c>
      <c r="C16" s="862">
        <v>2020</v>
      </c>
      <c r="D16" s="862" t="s">
        <v>1154</v>
      </c>
      <c r="E16" s="862" t="s">
        <v>959</v>
      </c>
      <c r="G16" s="868">
        <v>750</v>
      </c>
      <c r="H16" s="868">
        <v>1653.5492916397523</v>
      </c>
      <c r="I16" s="868">
        <v>4738.7109265464023</v>
      </c>
      <c r="J16" s="868"/>
      <c r="K16" s="868">
        <v>0</v>
      </c>
      <c r="L16" s="868">
        <v>0</v>
      </c>
      <c r="M16" s="868">
        <v>0</v>
      </c>
      <c r="N16" s="868"/>
      <c r="O16" s="868">
        <v>742</v>
      </c>
      <c r="P16" s="869">
        <v>0.46495956873315364</v>
      </c>
      <c r="Q16" s="869">
        <v>0.40296495956873313</v>
      </c>
      <c r="R16" s="869">
        <v>0.13207547169811321</v>
      </c>
      <c r="T16" s="868">
        <v>750</v>
      </c>
      <c r="U16" s="868">
        <v>0</v>
      </c>
      <c r="V16" s="863"/>
      <c r="W16" s="868">
        <v>0</v>
      </c>
      <c r="X16" s="870">
        <v>0</v>
      </c>
      <c r="Y16" s="870">
        <v>0</v>
      </c>
      <c r="Z16" s="870">
        <v>0</v>
      </c>
      <c r="AA16" s="870">
        <v>0</v>
      </c>
      <c r="AB16" s="870">
        <v>8.9999999999999993E-3</v>
      </c>
      <c r="AC16" s="870">
        <v>1.9E-2</v>
      </c>
      <c r="AD16" s="863">
        <v>3.9E-2</v>
      </c>
      <c r="AE16" s="863">
        <v>3.9E-2</v>
      </c>
      <c r="AF16" s="863"/>
      <c r="AG16" s="868">
        <v>0</v>
      </c>
      <c r="AH16" s="868">
        <v>0</v>
      </c>
    </row>
    <row r="17" spans="1:34">
      <c r="G17" s="876"/>
      <c r="H17" s="876"/>
      <c r="I17" s="876"/>
      <c r="J17" s="876"/>
      <c r="K17" s="876"/>
      <c r="L17" s="876"/>
      <c r="M17" s="876"/>
      <c r="N17" s="876"/>
      <c r="O17" s="876"/>
      <c r="P17" s="877"/>
      <c r="Q17" s="877"/>
      <c r="R17" s="877"/>
      <c r="T17" s="876"/>
      <c r="U17" s="876"/>
      <c r="W17" s="876"/>
      <c r="AG17" s="876"/>
      <c r="AH17" s="876"/>
    </row>
    <row r="18" spans="1:34">
      <c r="A18" s="862" t="s">
        <v>1034</v>
      </c>
      <c r="B18" s="867" t="s">
        <v>964</v>
      </c>
      <c r="C18" s="867">
        <v>2019</v>
      </c>
      <c r="D18" s="867" t="s">
        <v>1154</v>
      </c>
      <c r="E18" s="862" t="s">
        <v>955</v>
      </c>
      <c r="G18" s="868">
        <v>0</v>
      </c>
      <c r="H18" s="868">
        <v>0</v>
      </c>
      <c r="I18" s="868">
        <v>0</v>
      </c>
      <c r="J18" s="868"/>
      <c r="K18" s="868">
        <v>0</v>
      </c>
      <c r="L18" s="868">
        <v>0</v>
      </c>
      <c r="M18" s="868">
        <v>0</v>
      </c>
      <c r="N18" s="868"/>
      <c r="O18" s="868" t="e">
        <v>#N/A</v>
      </c>
      <c r="P18" s="869" t="e">
        <v>#N/A</v>
      </c>
      <c r="Q18" s="869" t="e">
        <v>#N/A</v>
      </c>
      <c r="R18" s="869" t="e">
        <v>#N/A</v>
      </c>
      <c r="T18" s="868">
        <v>0</v>
      </c>
      <c r="U18" s="868">
        <v>0</v>
      </c>
      <c r="V18" s="863"/>
      <c r="W18" s="868">
        <v>0</v>
      </c>
      <c r="X18" s="870">
        <v>0</v>
      </c>
      <c r="Y18" s="870">
        <v>0</v>
      </c>
      <c r="Z18" s="870">
        <v>0</v>
      </c>
      <c r="AA18" s="870">
        <v>0</v>
      </c>
      <c r="AB18" s="870">
        <v>0</v>
      </c>
      <c r="AC18" s="870">
        <v>0</v>
      </c>
      <c r="AD18" s="863">
        <v>0</v>
      </c>
      <c r="AE18" s="863">
        <v>0</v>
      </c>
      <c r="AF18" s="863"/>
      <c r="AG18" s="868">
        <v>0</v>
      </c>
      <c r="AH18" s="868">
        <v>0</v>
      </c>
    </row>
    <row r="19" spans="1:34">
      <c r="A19" s="862" t="s">
        <v>1035</v>
      </c>
      <c r="B19" s="871" t="s">
        <v>964</v>
      </c>
      <c r="C19" s="871">
        <v>2019</v>
      </c>
      <c r="D19" s="871" t="s">
        <v>1154</v>
      </c>
      <c r="E19" s="871" t="s">
        <v>956</v>
      </c>
      <c r="G19" s="872">
        <v>0</v>
      </c>
      <c r="H19" s="872">
        <v>0</v>
      </c>
      <c r="I19" s="872">
        <v>0</v>
      </c>
      <c r="J19" s="868"/>
      <c r="K19" s="872">
        <v>0</v>
      </c>
      <c r="L19" s="872">
        <v>0</v>
      </c>
      <c r="M19" s="872">
        <v>0</v>
      </c>
      <c r="N19" s="868"/>
      <c r="O19" s="872" t="e">
        <v>#N/A</v>
      </c>
      <c r="P19" s="873" t="e">
        <v>#N/A</v>
      </c>
      <c r="Q19" s="873" t="e">
        <v>#N/A</v>
      </c>
      <c r="R19" s="873" t="e">
        <v>#N/A</v>
      </c>
      <c r="T19" s="872">
        <v>0</v>
      </c>
      <c r="U19" s="872">
        <v>0</v>
      </c>
      <c r="V19" s="863"/>
      <c r="W19" s="872">
        <v>0</v>
      </c>
      <c r="X19" s="874">
        <v>0</v>
      </c>
      <c r="Y19" s="874">
        <v>0</v>
      </c>
      <c r="Z19" s="874">
        <v>0</v>
      </c>
      <c r="AA19" s="874">
        <v>0</v>
      </c>
      <c r="AB19" s="874">
        <v>0</v>
      </c>
      <c r="AC19" s="874">
        <v>0</v>
      </c>
      <c r="AD19" s="875">
        <v>0</v>
      </c>
      <c r="AE19" s="875">
        <v>0</v>
      </c>
      <c r="AF19" s="863"/>
      <c r="AG19" s="872">
        <v>0</v>
      </c>
      <c r="AH19" s="872">
        <v>0</v>
      </c>
    </row>
    <row r="20" spans="1:34">
      <c r="A20" s="862" t="s">
        <v>1036</v>
      </c>
      <c r="B20" s="862" t="s">
        <v>964</v>
      </c>
      <c r="C20" s="862">
        <v>2019</v>
      </c>
      <c r="D20" s="862" t="s">
        <v>1154</v>
      </c>
      <c r="E20" s="862" t="s">
        <v>957</v>
      </c>
      <c r="G20" s="868">
        <v>0</v>
      </c>
      <c r="H20" s="868">
        <v>0</v>
      </c>
      <c r="I20" s="868">
        <v>0</v>
      </c>
      <c r="J20" s="868"/>
      <c r="K20" s="868">
        <v>0</v>
      </c>
      <c r="L20" s="868">
        <v>0</v>
      </c>
      <c r="M20" s="868">
        <v>0</v>
      </c>
      <c r="N20" s="868"/>
      <c r="O20" s="868" t="e">
        <v>#N/A</v>
      </c>
      <c r="P20" s="869" t="e">
        <v>#N/A</v>
      </c>
      <c r="Q20" s="869" t="e">
        <v>#N/A</v>
      </c>
      <c r="R20" s="869" t="e">
        <v>#N/A</v>
      </c>
      <c r="T20" s="868">
        <v>0</v>
      </c>
      <c r="U20" s="868">
        <v>0</v>
      </c>
      <c r="V20" s="863"/>
      <c r="W20" s="868">
        <v>0</v>
      </c>
      <c r="X20" s="870">
        <v>0</v>
      </c>
      <c r="Y20" s="870">
        <v>0</v>
      </c>
      <c r="Z20" s="870">
        <v>0</v>
      </c>
      <c r="AA20" s="870">
        <v>0</v>
      </c>
      <c r="AB20" s="870">
        <v>0</v>
      </c>
      <c r="AC20" s="870">
        <v>0</v>
      </c>
      <c r="AD20" s="863">
        <v>0</v>
      </c>
      <c r="AE20" s="863">
        <v>0</v>
      </c>
      <c r="AF20" s="863"/>
      <c r="AG20" s="868">
        <v>0</v>
      </c>
      <c r="AH20" s="868">
        <v>0</v>
      </c>
    </row>
    <row r="21" spans="1:34">
      <c r="A21" s="862" t="s">
        <v>1037</v>
      </c>
      <c r="B21" s="871" t="s">
        <v>964</v>
      </c>
      <c r="C21" s="871">
        <v>2019</v>
      </c>
      <c r="D21" s="871" t="s">
        <v>1154</v>
      </c>
      <c r="E21" s="871" t="s">
        <v>958</v>
      </c>
      <c r="G21" s="872">
        <v>0</v>
      </c>
      <c r="H21" s="872">
        <v>0</v>
      </c>
      <c r="I21" s="872">
        <v>0</v>
      </c>
      <c r="J21" s="868"/>
      <c r="K21" s="872">
        <v>0</v>
      </c>
      <c r="L21" s="872">
        <v>0</v>
      </c>
      <c r="M21" s="872">
        <v>0</v>
      </c>
      <c r="N21" s="868"/>
      <c r="O21" s="872" t="e">
        <v>#N/A</v>
      </c>
      <c r="P21" s="873" t="e">
        <v>#N/A</v>
      </c>
      <c r="Q21" s="873" t="e">
        <v>#N/A</v>
      </c>
      <c r="R21" s="873" t="e">
        <v>#N/A</v>
      </c>
      <c r="T21" s="872">
        <v>0</v>
      </c>
      <c r="U21" s="872">
        <v>0</v>
      </c>
      <c r="V21" s="863"/>
      <c r="W21" s="872">
        <v>0</v>
      </c>
      <c r="X21" s="874">
        <v>0</v>
      </c>
      <c r="Y21" s="874">
        <v>0</v>
      </c>
      <c r="Z21" s="874">
        <v>0</v>
      </c>
      <c r="AA21" s="874">
        <v>0</v>
      </c>
      <c r="AB21" s="874">
        <v>0</v>
      </c>
      <c r="AC21" s="874">
        <v>0</v>
      </c>
      <c r="AD21" s="875">
        <v>0</v>
      </c>
      <c r="AE21" s="875">
        <v>0</v>
      </c>
      <c r="AF21" s="863"/>
      <c r="AG21" s="872">
        <v>0</v>
      </c>
      <c r="AH21" s="872">
        <v>0</v>
      </c>
    </row>
    <row r="22" spans="1:34">
      <c r="A22" s="862" t="s">
        <v>1038</v>
      </c>
      <c r="B22" s="862" t="s">
        <v>964</v>
      </c>
      <c r="C22" s="862">
        <v>2019</v>
      </c>
      <c r="D22" s="862" t="s">
        <v>1154</v>
      </c>
      <c r="E22" s="862" t="s">
        <v>959</v>
      </c>
      <c r="G22" s="868">
        <v>0</v>
      </c>
      <c r="H22" s="868">
        <v>0</v>
      </c>
      <c r="I22" s="868">
        <v>0</v>
      </c>
      <c r="J22" s="868"/>
      <c r="K22" s="868">
        <v>0</v>
      </c>
      <c r="L22" s="868">
        <v>0</v>
      </c>
      <c r="M22" s="868">
        <v>0</v>
      </c>
      <c r="N22" s="868"/>
      <c r="O22" s="868" t="e">
        <v>#N/A</v>
      </c>
      <c r="P22" s="869" t="e">
        <v>#N/A</v>
      </c>
      <c r="Q22" s="869" t="e">
        <v>#N/A</v>
      </c>
      <c r="R22" s="869" t="e">
        <v>#N/A</v>
      </c>
      <c r="T22" s="868">
        <v>0</v>
      </c>
      <c r="U22" s="868">
        <v>0</v>
      </c>
      <c r="V22" s="863"/>
      <c r="W22" s="868">
        <v>0</v>
      </c>
      <c r="X22" s="870">
        <v>0</v>
      </c>
      <c r="Y22" s="870">
        <v>0</v>
      </c>
      <c r="Z22" s="870">
        <v>0</v>
      </c>
      <c r="AA22" s="870">
        <v>0</v>
      </c>
      <c r="AB22" s="870">
        <v>0</v>
      </c>
      <c r="AC22" s="870">
        <v>0</v>
      </c>
      <c r="AD22" s="863">
        <v>0</v>
      </c>
      <c r="AE22" s="863">
        <v>0</v>
      </c>
      <c r="AF22" s="863"/>
      <c r="AG22" s="868">
        <v>0</v>
      </c>
      <c r="AH22" s="868">
        <v>0</v>
      </c>
    </row>
    <row r="23" spans="1:34">
      <c r="G23" s="876"/>
      <c r="H23" s="876"/>
      <c r="I23" s="876"/>
      <c r="J23" s="876"/>
      <c r="K23" s="876"/>
      <c r="L23" s="876"/>
      <c r="M23" s="876"/>
      <c r="N23" s="876"/>
      <c r="O23" s="876"/>
      <c r="P23" s="877"/>
      <c r="Q23" s="877"/>
      <c r="R23" s="877"/>
      <c r="T23" s="876"/>
      <c r="U23" s="876"/>
      <c r="W23" s="876"/>
      <c r="AG23" s="876"/>
      <c r="AH23" s="876"/>
    </row>
    <row r="24" spans="1:34">
      <c r="A24" s="862" t="s">
        <v>1132</v>
      </c>
      <c r="B24" s="867" t="s">
        <v>964</v>
      </c>
      <c r="C24" s="867">
        <v>2020</v>
      </c>
      <c r="D24" s="867" t="s">
        <v>1154</v>
      </c>
      <c r="E24" s="862" t="s">
        <v>955</v>
      </c>
      <c r="G24" s="868">
        <v>2417.0000000000005</v>
      </c>
      <c r="H24" s="868">
        <v>2359.1088198709899</v>
      </c>
      <c r="I24" s="868">
        <v>6972.6129022020941</v>
      </c>
      <c r="J24" s="868"/>
      <c r="K24" s="868">
        <v>0</v>
      </c>
      <c r="L24" s="868">
        <v>0</v>
      </c>
      <c r="M24" s="868">
        <v>0</v>
      </c>
      <c r="N24" s="868"/>
      <c r="O24" s="868">
        <v>410</v>
      </c>
      <c r="P24" s="869">
        <v>0.24146341463414639</v>
      </c>
      <c r="Q24" s="869">
        <v>3.4146341463414637E-2</v>
      </c>
      <c r="R24" s="869">
        <v>0.724390243902439</v>
      </c>
      <c r="T24" s="868">
        <v>2417.0000000000005</v>
      </c>
      <c r="U24" s="868">
        <v>0</v>
      </c>
      <c r="V24" s="863"/>
      <c r="W24" s="868">
        <v>0</v>
      </c>
      <c r="X24" s="870">
        <v>0</v>
      </c>
      <c r="Y24" s="870">
        <v>0</v>
      </c>
      <c r="Z24" s="870">
        <v>0</v>
      </c>
      <c r="AA24" s="870">
        <v>0</v>
      </c>
      <c r="AB24" s="870">
        <v>9.0000000000000011E-3</v>
      </c>
      <c r="AC24" s="870">
        <v>1.9000000000000003E-2</v>
      </c>
      <c r="AD24" s="863">
        <v>3.9000000000000007E-2</v>
      </c>
      <c r="AE24" s="863">
        <v>3.9000000000000007E-2</v>
      </c>
      <c r="AF24" s="863"/>
      <c r="AG24" s="868">
        <v>0</v>
      </c>
      <c r="AH24" s="868">
        <v>0</v>
      </c>
    </row>
    <row r="25" spans="1:34">
      <c r="A25" s="862" t="s">
        <v>1133</v>
      </c>
      <c r="B25" s="871" t="s">
        <v>964</v>
      </c>
      <c r="C25" s="871">
        <v>2020</v>
      </c>
      <c r="D25" s="871" t="s">
        <v>1154</v>
      </c>
      <c r="E25" s="871" t="s">
        <v>956</v>
      </c>
      <c r="G25" s="872">
        <v>2635.462121212121</v>
      </c>
      <c r="H25" s="872">
        <v>2359.108819870989</v>
      </c>
      <c r="I25" s="872">
        <v>6252.6129022020923</v>
      </c>
      <c r="J25" s="868"/>
      <c r="K25" s="872">
        <v>0</v>
      </c>
      <c r="L25" s="872">
        <v>0</v>
      </c>
      <c r="M25" s="872">
        <v>0</v>
      </c>
      <c r="N25" s="868"/>
      <c r="O25" s="872">
        <v>528</v>
      </c>
      <c r="P25" s="873">
        <v>0.62689393939393945</v>
      </c>
      <c r="Q25" s="873">
        <v>0.10795454545454546</v>
      </c>
      <c r="R25" s="873">
        <v>0.26515151515151514</v>
      </c>
      <c r="T25" s="872">
        <v>2635.462121212121</v>
      </c>
      <c r="U25" s="872">
        <v>0</v>
      </c>
      <c r="V25" s="863"/>
      <c r="W25" s="872">
        <v>0</v>
      </c>
      <c r="X25" s="874">
        <v>0</v>
      </c>
      <c r="Y25" s="874">
        <v>0</v>
      </c>
      <c r="Z25" s="874">
        <v>0</v>
      </c>
      <c r="AA25" s="874">
        <v>0</v>
      </c>
      <c r="AB25" s="874">
        <v>8.9999999999999993E-3</v>
      </c>
      <c r="AC25" s="874">
        <v>1.8999999999999996E-2</v>
      </c>
      <c r="AD25" s="875">
        <v>3.9E-2</v>
      </c>
      <c r="AE25" s="875">
        <v>3.9E-2</v>
      </c>
      <c r="AF25" s="863"/>
      <c r="AG25" s="872">
        <v>0</v>
      </c>
      <c r="AH25" s="872">
        <v>0</v>
      </c>
    </row>
    <row r="26" spans="1:34">
      <c r="A26" s="862" t="s">
        <v>1134</v>
      </c>
      <c r="B26" s="862" t="s">
        <v>964</v>
      </c>
      <c r="C26" s="862">
        <v>2020</v>
      </c>
      <c r="D26" s="862" t="s">
        <v>1154</v>
      </c>
      <c r="E26" s="862" t="s">
        <v>957</v>
      </c>
      <c r="G26" s="868">
        <v>2585.3477651480302</v>
      </c>
      <c r="H26" s="868">
        <v>2359.1088198709895</v>
      </c>
      <c r="I26" s="868">
        <v>6252.6129022020923</v>
      </c>
      <c r="J26" s="868"/>
      <c r="K26" s="868">
        <v>0</v>
      </c>
      <c r="L26" s="868">
        <v>0</v>
      </c>
      <c r="M26" s="868">
        <v>0</v>
      </c>
      <c r="N26" s="868"/>
      <c r="O26" s="868">
        <v>1019.3695134888609</v>
      </c>
      <c r="P26" s="869">
        <v>0.41770889149300389</v>
      </c>
      <c r="Q26" s="869">
        <v>0.18246046573032165</v>
      </c>
      <c r="R26" s="869">
        <v>0.39983064277667452</v>
      </c>
      <c r="T26" s="868">
        <v>2585.3477651480302</v>
      </c>
      <c r="U26" s="868">
        <v>0</v>
      </c>
      <c r="V26" s="863"/>
      <c r="W26" s="868">
        <v>0</v>
      </c>
      <c r="X26" s="870">
        <v>0</v>
      </c>
      <c r="Y26" s="870">
        <v>0</v>
      </c>
      <c r="Z26" s="870">
        <v>0</v>
      </c>
      <c r="AA26" s="870">
        <v>0</v>
      </c>
      <c r="AB26" s="870">
        <v>8.9999999999999993E-3</v>
      </c>
      <c r="AC26" s="870">
        <v>1.9E-2</v>
      </c>
      <c r="AD26" s="863">
        <v>3.9E-2</v>
      </c>
      <c r="AE26" s="863">
        <v>3.9E-2</v>
      </c>
      <c r="AF26" s="863"/>
      <c r="AG26" s="868">
        <v>0</v>
      </c>
      <c r="AH26" s="868">
        <v>0</v>
      </c>
    </row>
    <row r="27" spans="1:34">
      <c r="A27" s="862" t="s">
        <v>1135</v>
      </c>
      <c r="B27" s="871" t="s">
        <v>964</v>
      </c>
      <c r="C27" s="871">
        <v>2020</v>
      </c>
      <c r="D27" s="871" t="s">
        <v>1154</v>
      </c>
      <c r="E27" s="871" t="s">
        <v>958</v>
      </c>
      <c r="G27" s="872">
        <v>2675.7747881920031</v>
      </c>
      <c r="H27" s="872">
        <v>2359.108819870989</v>
      </c>
      <c r="I27" s="872">
        <v>5892.6129022020914</v>
      </c>
      <c r="J27" s="868"/>
      <c r="K27" s="872">
        <v>0</v>
      </c>
      <c r="L27" s="872">
        <v>0</v>
      </c>
      <c r="M27" s="872">
        <v>0</v>
      </c>
      <c r="N27" s="868"/>
      <c r="O27" s="872">
        <v>792.90403483268437</v>
      </c>
      <c r="P27" s="873">
        <v>0.76915971045367781</v>
      </c>
      <c r="Q27" s="873">
        <v>0.14940593245498454</v>
      </c>
      <c r="R27" s="873">
        <v>8.14343570913377E-2</v>
      </c>
      <c r="T27" s="872">
        <v>2675.7747881920031</v>
      </c>
      <c r="U27" s="872">
        <v>0</v>
      </c>
      <c r="V27" s="863"/>
      <c r="W27" s="872">
        <v>0</v>
      </c>
      <c r="X27" s="874">
        <v>0</v>
      </c>
      <c r="Y27" s="874">
        <v>0</v>
      </c>
      <c r="Z27" s="874">
        <v>0</v>
      </c>
      <c r="AA27" s="874">
        <v>0</v>
      </c>
      <c r="AB27" s="874">
        <v>8.9999999999999976E-3</v>
      </c>
      <c r="AC27" s="874">
        <v>1.8999999999999996E-2</v>
      </c>
      <c r="AD27" s="875">
        <v>3.8999999999999993E-2</v>
      </c>
      <c r="AE27" s="875">
        <v>3.8999999999999993E-2</v>
      </c>
      <c r="AF27" s="863"/>
      <c r="AG27" s="872">
        <v>0</v>
      </c>
      <c r="AH27" s="872">
        <v>0</v>
      </c>
    </row>
    <row r="28" spans="1:34">
      <c r="A28" s="862" t="s">
        <v>1136</v>
      </c>
      <c r="B28" s="862" t="s">
        <v>964</v>
      </c>
      <c r="C28" s="862">
        <v>2020</v>
      </c>
      <c r="D28" s="862" t="s">
        <v>1154</v>
      </c>
      <c r="E28" s="862" t="s">
        <v>959</v>
      </c>
      <c r="G28" s="868">
        <v>2529.3139099742634</v>
      </c>
      <c r="H28" s="868">
        <v>2359.108819870989</v>
      </c>
      <c r="I28" s="868">
        <v>5892.6129022020914</v>
      </c>
      <c r="J28" s="868"/>
      <c r="K28" s="868">
        <v>0</v>
      </c>
      <c r="L28" s="868">
        <v>0</v>
      </c>
      <c r="M28" s="868">
        <v>0</v>
      </c>
      <c r="N28" s="868"/>
      <c r="O28" s="868">
        <v>499.72645167845474</v>
      </c>
      <c r="P28" s="869">
        <v>0.74306743499796712</v>
      </c>
      <c r="Q28" s="869">
        <v>0.16717305410878672</v>
      </c>
      <c r="R28" s="869">
        <v>8.9759510893246075E-2</v>
      </c>
      <c r="T28" s="868">
        <v>2529.3139099742634</v>
      </c>
      <c r="U28" s="868">
        <v>0</v>
      </c>
      <c r="V28" s="863"/>
      <c r="W28" s="868">
        <v>0</v>
      </c>
      <c r="X28" s="870">
        <v>0</v>
      </c>
      <c r="Y28" s="870">
        <v>0</v>
      </c>
      <c r="Z28" s="870">
        <v>0</v>
      </c>
      <c r="AA28" s="870">
        <v>0</v>
      </c>
      <c r="AB28" s="870">
        <v>8.9999999999999976E-3</v>
      </c>
      <c r="AC28" s="870">
        <v>1.8999999999999996E-2</v>
      </c>
      <c r="AD28" s="863">
        <v>3.8999999999999993E-2</v>
      </c>
      <c r="AE28" s="863">
        <v>3.8999999999999993E-2</v>
      </c>
      <c r="AF28" s="863"/>
      <c r="AG28" s="868">
        <v>0</v>
      </c>
      <c r="AH28" s="868">
        <v>0</v>
      </c>
    </row>
    <row r="29" spans="1:34">
      <c r="G29" s="876"/>
      <c r="H29" s="876"/>
      <c r="I29" s="876"/>
      <c r="J29" s="876"/>
      <c r="K29" s="876"/>
      <c r="L29" s="876"/>
      <c r="M29" s="876"/>
      <c r="N29" s="876"/>
      <c r="O29" s="876"/>
      <c r="P29" s="877"/>
      <c r="Q29" s="877"/>
      <c r="R29" s="877"/>
      <c r="T29" s="876"/>
      <c r="U29" s="876"/>
      <c r="W29" s="876"/>
      <c r="AG29" s="876"/>
      <c r="AH29" s="876"/>
    </row>
    <row r="30" spans="1:34">
      <c r="A30" s="862" t="s">
        <v>1039</v>
      </c>
      <c r="B30" s="867" t="s">
        <v>965</v>
      </c>
      <c r="C30" s="867">
        <v>2019</v>
      </c>
      <c r="D30" s="867" t="s">
        <v>1154</v>
      </c>
      <c r="E30" s="862" t="s">
        <v>955</v>
      </c>
      <c r="G30" s="868">
        <v>0</v>
      </c>
      <c r="H30" s="868">
        <v>0</v>
      </c>
      <c r="I30" s="868">
        <v>0</v>
      </c>
      <c r="J30" s="868"/>
      <c r="K30" s="868">
        <v>0</v>
      </c>
      <c r="L30" s="868">
        <v>0</v>
      </c>
      <c r="M30" s="868">
        <v>0</v>
      </c>
      <c r="N30" s="868"/>
      <c r="O30" s="868">
        <v>0</v>
      </c>
      <c r="P30" s="869" t="e">
        <v>#DIV/0!</v>
      </c>
      <c r="Q30" s="869" t="e">
        <v>#DIV/0!</v>
      </c>
      <c r="R30" s="869" t="e">
        <v>#DIV/0!</v>
      </c>
      <c r="T30" s="868">
        <v>0</v>
      </c>
      <c r="U30" s="868">
        <v>0</v>
      </c>
      <c r="V30" s="863"/>
      <c r="W30" s="868">
        <v>0</v>
      </c>
      <c r="X30" s="870">
        <v>0</v>
      </c>
      <c r="Y30" s="870">
        <v>0</v>
      </c>
      <c r="Z30" s="870">
        <v>0</v>
      </c>
      <c r="AA30" s="870">
        <v>0</v>
      </c>
      <c r="AB30" s="870">
        <v>0</v>
      </c>
      <c r="AC30" s="870">
        <v>0</v>
      </c>
      <c r="AD30" s="863">
        <v>0</v>
      </c>
      <c r="AE30" s="863">
        <v>0</v>
      </c>
      <c r="AF30" s="863"/>
      <c r="AG30" s="868">
        <v>0</v>
      </c>
      <c r="AH30" s="868">
        <v>0</v>
      </c>
    </row>
    <row r="31" spans="1:34">
      <c r="A31" s="862" t="s">
        <v>1040</v>
      </c>
      <c r="B31" s="871" t="s">
        <v>965</v>
      </c>
      <c r="C31" s="871">
        <v>2019</v>
      </c>
      <c r="D31" s="871" t="s">
        <v>1154</v>
      </c>
      <c r="E31" s="871" t="s">
        <v>956</v>
      </c>
      <c r="G31" s="872">
        <v>0</v>
      </c>
      <c r="H31" s="872">
        <v>0</v>
      </c>
      <c r="I31" s="872">
        <v>0</v>
      </c>
      <c r="J31" s="868"/>
      <c r="K31" s="872">
        <v>0</v>
      </c>
      <c r="L31" s="872">
        <v>0</v>
      </c>
      <c r="M31" s="872">
        <v>0</v>
      </c>
      <c r="N31" s="868"/>
      <c r="O31" s="872">
        <v>0</v>
      </c>
      <c r="P31" s="873" t="e">
        <v>#DIV/0!</v>
      </c>
      <c r="Q31" s="873" t="e">
        <v>#DIV/0!</v>
      </c>
      <c r="R31" s="873" t="e">
        <v>#DIV/0!</v>
      </c>
      <c r="T31" s="872">
        <v>0</v>
      </c>
      <c r="U31" s="872">
        <v>0</v>
      </c>
      <c r="V31" s="863"/>
      <c r="W31" s="872">
        <v>0</v>
      </c>
      <c r="X31" s="874">
        <v>0</v>
      </c>
      <c r="Y31" s="874">
        <v>0</v>
      </c>
      <c r="Z31" s="874">
        <v>0</v>
      </c>
      <c r="AA31" s="874">
        <v>0</v>
      </c>
      <c r="AB31" s="874">
        <v>0</v>
      </c>
      <c r="AC31" s="874">
        <v>0</v>
      </c>
      <c r="AD31" s="875">
        <v>0</v>
      </c>
      <c r="AE31" s="875">
        <v>0</v>
      </c>
      <c r="AF31" s="863"/>
      <c r="AG31" s="872">
        <v>0</v>
      </c>
      <c r="AH31" s="872">
        <v>0</v>
      </c>
    </row>
    <row r="32" spans="1:34">
      <c r="A32" s="862" t="s">
        <v>1041</v>
      </c>
      <c r="B32" s="862" t="s">
        <v>965</v>
      </c>
      <c r="C32" s="862">
        <v>2019</v>
      </c>
      <c r="D32" s="862" t="s">
        <v>1154</v>
      </c>
      <c r="E32" s="862" t="s">
        <v>957</v>
      </c>
      <c r="G32" s="868">
        <v>0</v>
      </c>
      <c r="H32" s="868">
        <v>0</v>
      </c>
      <c r="I32" s="868">
        <v>0</v>
      </c>
      <c r="J32" s="868"/>
      <c r="K32" s="868">
        <v>0</v>
      </c>
      <c r="L32" s="868">
        <v>0</v>
      </c>
      <c r="M32" s="868">
        <v>0</v>
      </c>
      <c r="N32" s="868"/>
      <c r="O32" s="868">
        <v>0</v>
      </c>
      <c r="P32" s="869" t="e">
        <v>#DIV/0!</v>
      </c>
      <c r="Q32" s="869" t="e">
        <v>#DIV/0!</v>
      </c>
      <c r="R32" s="869" t="e">
        <v>#DIV/0!</v>
      </c>
      <c r="T32" s="868">
        <v>0</v>
      </c>
      <c r="U32" s="868">
        <v>0</v>
      </c>
      <c r="V32" s="863"/>
      <c r="W32" s="868">
        <v>0</v>
      </c>
      <c r="X32" s="870">
        <v>0</v>
      </c>
      <c r="Y32" s="870">
        <v>0</v>
      </c>
      <c r="Z32" s="870">
        <v>0</v>
      </c>
      <c r="AA32" s="870">
        <v>0</v>
      </c>
      <c r="AB32" s="870">
        <v>0</v>
      </c>
      <c r="AC32" s="870">
        <v>0</v>
      </c>
      <c r="AD32" s="863">
        <v>0</v>
      </c>
      <c r="AE32" s="863">
        <v>0</v>
      </c>
      <c r="AF32" s="863"/>
      <c r="AG32" s="868">
        <v>0</v>
      </c>
      <c r="AH32" s="868">
        <v>0</v>
      </c>
    </row>
    <row r="33" spans="1:34">
      <c r="A33" s="862" t="s">
        <v>1042</v>
      </c>
      <c r="B33" s="871" t="s">
        <v>965</v>
      </c>
      <c r="C33" s="871">
        <v>2019</v>
      </c>
      <c r="D33" s="871" t="s">
        <v>1154</v>
      </c>
      <c r="E33" s="871" t="s">
        <v>958</v>
      </c>
      <c r="G33" s="872">
        <v>0</v>
      </c>
      <c r="H33" s="872">
        <v>0</v>
      </c>
      <c r="I33" s="872">
        <v>0</v>
      </c>
      <c r="J33" s="868"/>
      <c r="K33" s="872">
        <v>0</v>
      </c>
      <c r="L33" s="872">
        <v>0</v>
      </c>
      <c r="M33" s="872">
        <v>0</v>
      </c>
      <c r="N33" s="868"/>
      <c r="O33" s="872">
        <v>0</v>
      </c>
      <c r="P33" s="873" t="e">
        <v>#DIV/0!</v>
      </c>
      <c r="Q33" s="873" t="e">
        <v>#DIV/0!</v>
      </c>
      <c r="R33" s="873" t="e">
        <v>#DIV/0!</v>
      </c>
      <c r="T33" s="872">
        <v>0</v>
      </c>
      <c r="U33" s="872">
        <v>0</v>
      </c>
      <c r="V33" s="863"/>
      <c r="W33" s="872">
        <v>0</v>
      </c>
      <c r="X33" s="874">
        <v>0</v>
      </c>
      <c r="Y33" s="874">
        <v>0</v>
      </c>
      <c r="Z33" s="874">
        <v>0</v>
      </c>
      <c r="AA33" s="874">
        <v>0</v>
      </c>
      <c r="AB33" s="874">
        <v>0</v>
      </c>
      <c r="AC33" s="874">
        <v>0</v>
      </c>
      <c r="AD33" s="875">
        <v>0</v>
      </c>
      <c r="AE33" s="875">
        <v>0</v>
      </c>
      <c r="AF33" s="863"/>
      <c r="AG33" s="872">
        <v>0</v>
      </c>
      <c r="AH33" s="872">
        <v>0</v>
      </c>
    </row>
    <row r="34" spans="1:34">
      <c r="A34" s="862" t="s">
        <v>1043</v>
      </c>
      <c r="B34" s="862" t="s">
        <v>965</v>
      </c>
      <c r="C34" s="862">
        <v>2019</v>
      </c>
      <c r="D34" s="862" t="s">
        <v>1154</v>
      </c>
      <c r="E34" s="862" t="s">
        <v>959</v>
      </c>
      <c r="G34" s="868">
        <v>0</v>
      </c>
      <c r="H34" s="868">
        <v>0</v>
      </c>
      <c r="I34" s="868">
        <v>0</v>
      </c>
      <c r="J34" s="868"/>
      <c r="K34" s="868">
        <v>0</v>
      </c>
      <c r="L34" s="868">
        <v>0</v>
      </c>
      <c r="M34" s="868">
        <v>0</v>
      </c>
      <c r="N34" s="868"/>
      <c r="O34" s="868">
        <v>0</v>
      </c>
      <c r="P34" s="869" t="e">
        <v>#DIV/0!</v>
      </c>
      <c r="Q34" s="869" t="e">
        <v>#DIV/0!</v>
      </c>
      <c r="R34" s="869" t="e">
        <v>#DIV/0!</v>
      </c>
      <c r="T34" s="868">
        <v>0</v>
      </c>
      <c r="U34" s="868">
        <v>0</v>
      </c>
      <c r="V34" s="863"/>
      <c r="W34" s="868">
        <v>0</v>
      </c>
      <c r="X34" s="870">
        <v>0</v>
      </c>
      <c r="Y34" s="870">
        <v>0</v>
      </c>
      <c r="Z34" s="870">
        <v>0</v>
      </c>
      <c r="AA34" s="870">
        <v>0</v>
      </c>
      <c r="AB34" s="870">
        <v>0</v>
      </c>
      <c r="AC34" s="870">
        <v>0</v>
      </c>
      <c r="AD34" s="863">
        <v>0</v>
      </c>
      <c r="AE34" s="863">
        <v>0</v>
      </c>
      <c r="AF34" s="863"/>
      <c r="AG34" s="868">
        <v>0</v>
      </c>
      <c r="AH34" s="868">
        <v>0</v>
      </c>
    </row>
    <row r="35" spans="1:34">
      <c r="G35" s="876"/>
      <c r="H35" s="876"/>
      <c r="I35" s="876"/>
      <c r="J35" s="876"/>
      <c r="K35" s="876"/>
      <c r="L35" s="876"/>
      <c r="M35" s="876"/>
      <c r="N35" s="876"/>
      <c r="O35" s="876"/>
      <c r="P35" s="877"/>
      <c r="Q35" s="877"/>
      <c r="R35" s="877"/>
      <c r="T35" s="876"/>
      <c r="U35" s="876"/>
      <c r="W35" s="876"/>
      <c r="AG35" s="876"/>
      <c r="AH35" s="876"/>
    </row>
    <row r="36" spans="1:34">
      <c r="A36" s="862" t="s">
        <v>1069</v>
      </c>
      <c r="B36" s="867" t="s">
        <v>965</v>
      </c>
      <c r="C36" s="867">
        <v>2020</v>
      </c>
      <c r="D36" s="867" t="s">
        <v>1154</v>
      </c>
      <c r="E36" s="862" t="s">
        <v>955</v>
      </c>
      <c r="G36" s="868">
        <v>2000</v>
      </c>
      <c r="H36" s="868">
        <v>2474.301807122165</v>
      </c>
      <c r="I36" s="868">
        <v>5701.2999514071935</v>
      </c>
      <c r="J36" s="868"/>
      <c r="K36" s="868">
        <v>0</v>
      </c>
      <c r="L36" s="868">
        <v>0</v>
      </c>
      <c r="M36" s="868">
        <v>0</v>
      </c>
      <c r="N36" s="868"/>
      <c r="O36" s="868">
        <v>1751</v>
      </c>
      <c r="P36" s="869">
        <v>0.13192461450599657</v>
      </c>
      <c r="Q36" s="869">
        <v>9.5374071958880646E-2</v>
      </c>
      <c r="R36" s="869">
        <v>0.77270131353512284</v>
      </c>
      <c r="T36" s="868">
        <v>2000</v>
      </c>
      <c r="U36" s="868">
        <v>0</v>
      </c>
      <c r="V36" s="863"/>
      <c r="W36" s="868">
        <v>0</v>
      </c>
      <c r="X36" s="870">
        <v>0</v>
      </c>
      <c r="Y36" s="870">
        <v>0</v>
      </c>
      <c r="Z36" s="870">
        <v>0</v>
      </c>
      <c r="AA36" s="870">
        <v>0</v>
      </c>
      <c r="AB36" s="870">
        <v>0</v>
      </c>
      <c r="AC36" s="870">
        <v>8.9999999999999993E-3</v>
      </c>
      <c r="AD36" s="863">
        <v>2.9000000000000001E-2</v>
      </c>
      <c r="AE36" s="863">
        <v>2.9000000000000001E-2</v>
      </c>
      <c r="AF36" s="863"/>
      <c r="AG36" s="868">
        <v>0</v>
      </c>
      <c r="AH36" s="868">
        <v>0</v>
      </c>
    </row>
    <row r="37" spans="1:34">
      <c r="A37" s="862" t="s">
        <v>1070</v>
      </c>
      <c r="B37" s="871" t="s">
        <v>965</v>
      </c>
      <c r="C37" s="871">
        <v>2020</v>
      </c>
      <c r="D37" s="871" t="s">
        <v>1154</v>
      </c>
      <c r="E37" s="871" t="s">
        <v>956</v>
      </c>
      <c r="G37" s="872">
        <v>2000</v>
      </c>
      <c r="H37" s="872">
        <v>2474.301807122165</v>
      </c>
      <c r="I37" s="872">
        <v>4981.2999514071935</v>
      </c>
      <c r="J37" s="868"/>
      <c r="K37" s="872">
        <v>0</v>
      </c>
      <c r="L37" s="872">
        <v>0</v>
      </c>
      <c r="M37" s="872">
        <v>0</v>
      </c>
      <c r="N37" s="868"/>
      <c r="O37" s="872">
        <v>1965</v>
      </c>
      <c r="P37" s="873">
        <v>0.33842239185750639</v>
      </c>
      <c r="Q37" s="873">
        <v>0.24325699745547075</v>
      </c>
      <c r="R37" s="873">
        <v>0.41832061068702292</v>
      </c>
      <c r="T37" s="872">
        <v>2000</v>
      </c>
      <c r="U37" s="872">
        <v>0</v>
      </c>
      <c r="V37" s="863"/>
      <c r="W37" s="872">
        <v>0</v>
      </c>
      <c r="X37" s="874">
        <v>0</v>
      </c>
      <c r="Y37" s="874">
        <v>0</v>
      </c>
      <c r="Z37" s="874">
        <v>0</v>
      </c>
      <c r="AA37" s="874">
        <v>0</v>
      </c>
      <c r="AB37" s="874">
        <v>0</v>
      </c>
      <c r="AC37" s="874">
        <v>8.9999999999999993E-3</v>
      </c>
      <c r="AD37" s="875">
        <v>2.9000000000000005E-2</v>
      </c>
      <c r="AE37" s="875">
        <v>2.9000000000000005E-2</v>
      </c>
      <c r="AF37" s="863"/>
      <c r="AG37" s="872">
        <v>0</v>
      </c>
      <c r="AH37" s="872">
        <v>0</v>
      </c>
    </row>
    <row r="38" spans="1:34">
      <c r="A38" s="862" t="s">
        <v>1071</v>
      </c>
      <c r="B38" s="862" t="s">
        <v>965</v>
      </c>
      <c r="C38" s="862">
        <v>2020</v>
      </c>
      <c r="D38" s="862" t="s">
        <v>1154</v>
      </c>
      <c r="E38" s="862" t="s">
        <v>957</v>
      </c>
      <c r="G38" s="868">
        <v>2000</v>
      </c>
      <c r="H38" s="868">
        <v>2474.301807122165</v>
      </c>
      <c r="I38" s="868">
        <v>4981.2999514071935</v>
      </c>
      <c r="J38" s="868"/>
      <c r="K38" s="868">
        <v>0</v>
      </c>
      <c r="L38" s="868">
        <v>0</v>
      </c>
      <c r="M38" s="868">
        <v>0</v>
      </c>
      <c r="N38" s="868"/>
      <c r="O38" s="868">
        <v>1344</v>
      </c>
      <c r="P38" s="869">
        <v>0.29017857142857145</v>
      </c>
      <c r="Q38" s="869">
        <v>0.30059523809523808</v>
      </c>
      <c r="R38" s="869">
        <v>0.40922619047619047</v>
      </c>
      <c r="T38" s="868">
        <v>2000</v>
      </c>
      <c r="U38" s="868">
        <v>0</v>
      </c>
      <c r="V38" s="863"/>
      <c r="W38" s="868">
        <v>0</v>
      </c>
      <c r="X38" s="870">
        <v>0</v>
      </c>
      <c r="Y38" s="870">
        <v>0</v>
      </c>
      <c r="Z38" s="870">
        <v>0</v>
      </c>
      <c r="AA38" s="870">
        <v>0</v>
      </c>
      <c r="AB38" s="870">
        <v>0</v>
      </c>
      <c r="AC38" s="870">
        <v>8.9999999999999993E-3</v>
      </c>
      <c r="AD38" s="863">
        <v>2.9000000000000001E-2</v>
      </c>
      <c r="AE38" s="863">
        <v>2.9000000000000001E-2</v>
      </c>
      <c r="AF38" s="863"/>
      <c r="AG38" s="868">
        <v>0</v>
      </c>
      <c r="AH38" s="868">
        <v>0</v>
      </c>
    </row>
    <row r="39" spans="1:34">
      <c r="A39" s="862" t="s">
        <v>1072</v>
      </c>
      <c r="B39" s="871" t="s">
        <v>965</v>
      </c>
      <c r="C39" s="871">
        <v>2020</v>
      </c>
      <c r="D39" s="871" t="s">
        <v>1154</v>
      </c>
      <c r="E39" s="871" t="s">
        <v>958</v>
      </c>
      <c r="G39" s="872">
        <v>1999.9999999999998</v>
      </c>
      <c r="H39" s="872">
        <v>2474.301807122165</v>
      </c>
      <c r="I39" s="872">
        <v>4981.2999514071935</v>
      </c>
      <c r="J39" s="868"/>
      <c r="K39" s="872">
        <v>0</v>
      </c>
      <c r="L39" s="872">
        <v>0</v>
      </c>
      <c r="M39" s="872">
        <v>0</v>
      </c>
      <c r="N39" s="868"/>
      <c r="O39" s="872">
        <v>1775</v>
      </c>
      <c r="P39" s="873">
        <v>0.50309859154929581</v>
      </c>
      <c r="Q39" s="873">
        <v>0.36732394366197185</v>
      </c>
      <c r="R39" s="873">
        <v>0.12957746478873239</v>
      </c>
      <c r="T39" s="872">
        <v>1999.9999999999998</v>
      </c>
      <c r="U39" s="872">
        <v>0</v>
      </c>
      <c r="V39" s="863"/>
      <c r="W39" s="872">
        <v>0</v>
      </c>
      <c r="X39" s="874">
        <v>0</v>
      </c>
      <c r="Y39" s="874">
        <v>0</v>
      </c>
      <c r="Z39" s="874">
        <v>0</v>
      </c>
      <c r="AA39" s="874">
        <v>0</v>
      </c>
      <c r="AB39" s="874">
        <v>0</v>
      </c>
      <c r="AC39" s="874">
        <v>8.9999999999999976E-3</v>
      </c>
      <c r="AD39" s="875">
        <v>2.9000000000000001E-2</v>
      </c>
      <c r="AE39" s="875">
        <v>2.9000000000000001E-2</v>
      </c>
      <c r="AF39" s="863"/>
      <c r="AG39" s="872">
        <v>0</v>
      </c>
      <c r="AH39" s="872">
        <v>0</v>
      </c>
    </row>
    <row r="40" spans="1:34">
      <c r="A40" s="862" t="s">
        <v>1073</v>
      </c>
      <c r="B40" s="862" t="s">
        <v>965</v>
      </c>
      <c r="C40" s="862">
        <v>2020</v>
      </c>
      <c r="D40" s="862" t="s">
        <v>1154</v>
      </c>
      <c r="E40" s="862" t="s">
        <v>959</v>
      </c>
      <c r="G40" s="868">
        <v>2000</v>
      </c>
      <c r="H40" s="868">
        <v>2474.301807122165</v>
      </c>
      <c r="I40" s="868">
        <v>4981.2999514071935</v>
      </c>
      <c r="J40" s="868"/>
      <c r="K40" s="868">
        <v>0</v>
      </c>
      <c r="L40" s="868">
        <v>0</v>
      </c>
      <c r="M40" s="868">
        <v>0</v>
      </c>
      <c r="N40" s="868"/>
      <c r="O40" s="868">
        <v>780</v>
      </c>
      <c r="P40" s="869">
        <v>0.4653846153846154</v>
      </c>
      <c r="Q40" s="869">
        <v>0.34102564102564104</v>
      </c>
      <c r="R40" s="869">
        <v>0.1935897435897436</v>
      </c>
      <c r="T40" s="868">
        <v>2000</v>
      </c>
      <c r="U40" s="868">
        <v>0</v>
      </c>
      <c r="V40" s="863"/>
      <c r="W40" s="868">
        <v>0</v>
      </c>
      <c r="X40" s="870">
        <v>0</v>
      </c>
      <c r="Y40" s="870">
        <v>0</v>
      </c>
      <c r="Z40" s="870">
        <v>0</v>
      </c>
      <c r="AA40" s="870">
        <v>0</v>
      </c>
      <c r="AB40" s="870">
        <v>0</v>
      </c>
      <c r="AC40" s="870">
        <v>8.9999999999999993E-3</v>
      </c>
      <c r="AD40" s="863">
        <v>2.8999999999999998E-2</v>
      </c>
      <c r="AE40" s="863">
        <v>2.8999999999999998E-2</v>
      </c>
      <c r="AF40" s="863"/>
      <c r="AG40" s="868">
        <v>0</v>
      </c>
      <c r="AH40" s="868">
        <v>0</v>
      </c>
    </row>
    <row r="41" spans="1:34">
      <c r="G41" s="876"/>
      <c r="H41" s="876"/>
      <c r="I41" s="876"/>
      <c r="J41" s="876"/>
      <c r="K41" s="876"/>
      <c r="L41" s="876"/>
      <c r="M41" s="876"/>
      <c r="N41" s="876"/>
      <c r="O41" s="876"/>
      <c r="P41" s="877"/>
      <c r="Q41" s="877"/>
      <c r="R41" s="877"/>
      <c r="T41" s="876"/>
      <c r="U41" s="876"/>
      <c r="W41" s="876"/>
      <c r="AG41" s="876"/>
      <c r="AH41" s="876"/>
    </row>
    <row r="42" spans="1:34">
      <c r="A42" s="862" t="s">
        <v>1044</v>
      </c>
      <c r="B42" s="867" t="s">
        <v>966</v>
      </c>
      <c r="C42" s="867">
        <v>2019</v>
      </c>
      <c r="D42" s="867" t="s">
        <v>1154</v>
      </c>
      <c r="E42" s="862" t="s">
        <v>955</v>
      </c>
      <c r="G42" s="868">
        <v>0</v>
      </c>
      <c r="H42" s="868">
        <v>0</v>
      </c>
      <c r="I42" s="868">
        <v>0</v>
      </c>
      <c r="J42" s="868"/>
      <c r="K42" s="868">
        <v>0</v>
      </c>
      <c r="L42" s="868">
        <v>0</v>
      </c>
      <c r="M42" s="868">
        <v>0</v>
      </c>
      <c r="N42" s="868"/>
      <c r="O42" s="868" t="e">
        <v>#N/A</v>
      </c>
      <c r="P42" s="869" t="e">
        <v>#N/A</v>
      </c>
      <c r="Q42" s="869" t="e">
        <v>#N/A</v>
      </c>
      <c r="R42" s="869" t="e">
        <v>#N/A</v>
      </c>
      <c r="T42" s="868">
        <v>0</v>
      </c>
      <c r="U42" s="868">
        <v>0</v>
      </c>
      <c r="V42" s="863"/>
      <c r="W42" s="868">
        <v>0</v>
      </c>
      <c r="X42" s="870">
        <v>0</v>
      </c>
      <c r="Y42" s="870">
        <v>0</v>
      </c>
      <c r="Z42" s="870">
        <v>0</v>
      </c>
      <c r="AA42" s="870">
        <v>0</v>
      </c>
      <c r="AB42" s="870">
        <v>0</v>
      </c>
      <c r="AC42" s="870">
        <v>0</v>
      </c>
      <c r="AD42" s="863">
        <v>0</v>
      </c>
      <c r="AE42" s="863">
        <v>0</v>
      </c>
      <c r="AF42" s="863"/>
      <c r="AG42" s="868">
        <v>0</v>
      </c>
      <c r="AH42" s="868">
        <v>0</v>
      </c>
    </row>
    <row r="43" spans="1:34">
      <c r="A43" s="862" t="s">
        <v>1045</v>
      </c>
      <c r="B43" s="871" t="s">
        <v>966</v>
      </c>
      <c r="C43" s="871">
        <v>2019</v>
      </c>
      <c r="D43" s="871" t="s">
        <v>1154</v>
      </c>
      <c r="E43" s="871" t="s">
        <v>956</v>
      </c>
      <c r="G43" s="872">
        <v>0</v>
      </c>
      <c r="H43" s="872">
        <v>0</v>
      </c>
      <c r="I43" s="872">
        <v>0</v>
      </c>
      <c r="J43" s="868"/>
      <c r="K43" s="872">
        <v>0</v>
      </c>
      <c r="L43" s="872">
        <v>0</v>
      </c>
      <c r="M43" s="872">
        <v>0</v>
      </c>
      <c r="N43" s="868"/>
      <c r="O43" s="872" t="e">
        <v>#N/A</v>
      </c>
      <c r="P43" s="873" t="e">
        <v>#N/A</v>
      </c>
      <c r="Q43" s="873" t="e">
        <v>#N/A</v>
      </c>
      <c r="R43" s="873" t="e">
        <v>#N/A</v>
      </c>
      <c r="T43" s="872">
        <v>0</v>
      </c>
      <c r="U43" s="872">
        <v>0</v>
      </c>
      <c r="V43" s="863"/>
      <c r="W43" s="872">
        <v>0</v>
      </c>
      <c r="X43" s="874">
        <v>0</v>
      </c>
      <c r="Y43" s="874">
        <v>0</v>
      </c>
      <c r="Z43" s="874">
        <v>0</v>
      </c>
      <c r="AA43" s="874">
        <v>0</v>
      </c>
      <c r="AB43" s="874">
        <v>0</v>
      </c>
      <c r="AC43" s="874">
        <v>0</v>
      </c>
      <c r="AD43" s="875">
        <v>0</v>
      </c>
      <c r="AE43" s="875">
        <v>0</v>
      </c>
      <c r="AF43" s="863"/>
      <c r="AG43" s="872">
        <v>0</v>
      </c>
      <c r="AH43" s="872">
        <v>0</v>
      </c>
    </row>
    <row r="44" spans="1:34">
      <c r="A44" s="862" t="s">
        <v>1046</v>
      </c>
      <c r="B44" s="862" t="s">
        <v>966</v>
      </c>
      <c r="C44" s="862">
        <v>2019</v>
      </c>
      <c r="D44" s="862" t="s">
        <v>1154</v>
      </c>
      <c r="E44" s="862" t="s">
        <v>957</v>
      </c>
      <c r="G44" s="868">
        <v>0</v>
      </c>
      <c r="H44" s="868">
        <v>0</v>
      </c>
      <c r="I44" s="868">
        <v>0</v>
      </c>
      <c r="J44" s="868"/>
      <c r="K44" s="868">
        <v>0</v>
      </c>
      <c r="L44" s="868">
        <v>0</v>
      </c>
      <c r="M44" s="868">
        <v>0</v>
      </c>
      <c r="N44" s="868"/>
      <c r="O44" s="868" t="e">
        <v>#N/A</v>
      </c>
      <c r="P44" s="869" t="e">
        <v>#N/A</v>
      </c>
      <c r="Q44" s="869" t="e">
        <v>#N/A</v>
      </c>
      <c r="R44" s="869" t="e">
        <v>#N/A</v>
      </c>
      <c r="T44" s="868">
        <v>0</v>
      </c>
      <c r="U44" s="868">
        <v>0</v>
      </c>
      <c r="V44" s="863"/>
      <c r="W44" s="868">
        <v>0</v>
      </c>
      <c r="X44" s="870">
        <v>0</v>
      </c>
      <c r="Y44" s="870">
        <v>0</v>
      </c>
      <c r="Z44" s="870">
        <v>0</v>
      </c>
      <c r="AA44" s="870">
        <v>0</v>
      </c>
      <c r="AB44" s="870">
        <v>0</v>
      </c>
      <c r="AC44" s="870">
        <v>0</v>
      </c>
      <c r="AD44" s="863">
        <v>0</v>
      </c>
      <c r="AE44" s="863">
        <v>0</v>
      </c>
      <c r="AF44" s="863"/>
      <c r="AG44" s="868">
        <v>0</v>
      </c>
      <c r="AH44" s="868">
        <v>0</v>
      </c>
    </row>
    <row r="45" spans="1:34">
      <c r="A45" s="862" t="s">
        <v>1047</v>
      </c>
      <c r="B45" s="871" t="s">
        <v>966</v>
      </c>
      <c r="C45" s="871">
        <v>2019</v>
      </c>
      <c r="D45" s="871" t="s">
        <v>1154</v>
      </c>
      <c r="E45" s="871" t="s">
        <v>958</v>
      </c>
      <c r="G45" s="872">
        <v>0</v>
      </c>
      <c r="H45" s="872">
        <v>0</v>
      </c>
      <c r="I45" s="872">
        <v>0</v>
      </c>
      <c r="J45" s="868"/>
      <c r="K45" s="872">
        <v>0</v>
      </c>
      <c r="L45" s="872">
        <v>0</v>
      </c>
      <c r="M45" s="872">
        <v>0</v>
      </c>
      <c r="N45" s="868"/>
      <c r="O45" s="872" t="e">
        <v>#N/A</v>
      </c>
      <c r="P45" s="873" t="e">
        <v>#N/A</v>
      </c>
      <c r="Q45" s="873" t="e">
        <v>#N/A</v>
      </c>
      <c r="R45" s="873" t="e">
        <v>#N/A</v>
      </c>
      <c r="T45" s="872">
        <v>0</v>
      </c>
      <c r="U45" s="872">
        <v>0</v>
      </c>
      <c r="V45" s="863"/>
      <c r="W45" s="872">
        <v>0</v>
      </c>
      <c r="X45" s="874">
        <v>0</v>
      </c>
      <c r="Y45" s="874">
        <v>0</v>
      </c>
      <c r="Z45" s="874">
        <v>0</v>
      </c>
      <c r="AA45" s="874">
        <v>0</v>
      </c>
      <c r="AB45" s="874">
        <v>0</v>
      </c>
      <c r="AC45" s="874">
        <v>0</v>
      </c>
      <c r="AD45" s="875">
        <v>0</v>
      </c>
      <c r="AE45" s="875">
        <v>0</v>
      </c>
      <c r="AF45" s="863"/>
      <c r="AG45" s="872">
        <v>0</v>
      </c>
      <c r="AH45" s="872">
        <v>0</v>
      </c>
    </row>
    <row r="46" spans="1:34">
      <c r="A46" s="862" t="s">
        <v>1048</v>
      </c>
      <c r="B46" s="862" t="s">
        <v>966</v>
      </c>
      <c r="C46" s="862">
        <v>2019</v>
      </c>
      <c r="D46" s="862" t="s">
        <v>1154</v>
      </c>
      <c r="E46" s="862" t="s">
        <v>959</v>
      </c>
      <c r="G46" s="868">
        <v>0</v>
      </c>
      <c r="H46" s="868">
        <v>0</v>
      </c>
      <c r="I46" s="868">
        <v>0</v>
      </c>
      <c r="J46" s="868"/>
      <c r="K46" s="868">
        <v>0</v>
      </c>
      <c r="L46" s="868">
        <v>0</v>
      </c>
      <c r="M46" s="868">
        <v>0</v>
      </c>
      <c r="N46" s="868"/>
      <c r="O46" s="868" t="e">
        <v>#N/A</v>
      </c>
      <c r="P46" s="869" t="e">
        <v>#N/A</v>
      </c>
      <c r="Q46" s="869" t="e">
        <v>#N/A</v>
      </c>
      <c r="R46" s="869" t="e">
        <v>#N/A</v>
      </c>
      <c r="T46" s="868">
        <v>0</v>
      </c>
      <c r="U46" s="868">
        <v>0</v>
      </c>
      <c r="V46" s="863"/>
      <c r="W46" s="868">
        <v>0</v>
      </c>
      <c r="X46" s="870">
        <v>0</v>
      </c>
      <c r="Y46" s="870">
        <v>0</v>
      </c>
      <c r="Z46" s="870">
        <v>0</v>
      </c>
      <c r="AA46" s="870">
        <v>0</v>
      </c>
      <c r="AB46" s="870">
        <v>0</v>
      </c>
      <c r="AC46" s="870">
        <v>0</v>
      </c>
      <c r="AD46" s="863">
        <v>0</v>
      </c>
      <c r="AE46" s="863">
        <v>0</v>
      </c>
      <c r="AF46" s="863"/>
      <c r="AG46" s="868">
        <v>0</v>
      </c>
      <c r="AH46" s="868">
        <v>0</v>
      </c>
    </row>
    <row r="47" spans="1:34">
      <c r="G47" s="876"/>
      <c r="H47" s="876"/>
      <c r="I47" s="876"/>
      <c r="J47" s="876"/>
      <c r="K47" s="876"/>
      <c r="L47" s="876"/>
      <c r="M47" s="876"/>
      <c r="N47" s="876"/>
      <c r="O47" s="876"/>
      <c r="P47" s="877"/>
      <c r="Q47" s="877"/>
      <c r="R47" s="877"/>
      <c r="T47" s="876"/>
      <c r="U47" s="876"/>
      <c r="W47" s="876"/>
      <c r="AG47" s="876"/>
      <c r="AH47" s="876"/>
    </row>
    <row r="48" spans="1:34">
      <c r="A48" s="862" t="s">
        <v>1137</v>
      </c>
      <c r="B48" s="867" t="s">
        <v>966</v>
      </c>
      <c r="C48" s="867">
        <v>2020</v>
      </c>
      <c r="D48" s="867" t="s">
        <v>1154</v>
      </c>
      <c r="E48" s="862" t="s">
        <v>955</v>
      </c>
      <c r="G48" s="868">
        <v>1999.9999999999998</v>
      </c>
      <c r="H48" s="868">
        <v>3094.237568256598</v>
      </c>
      <c r="I48" s="868">
        <v>7976.5786767453665</v>
      </c>
      <c r="J48" s="868"/>
      <c r="K48" s="868">
        <v>0</v>
      </c>
      <c r="L48" s="868">
        <v>0</v>
      </c>
      <c r="M48" s="868">
        <v>0</v>
      </c>
      <c r="N48" s="868"/>
      <c r="O48" s="868">
        <v>401.99999999999994</v>
      </c>
      <c r="P48" s="869">
        <v>0.17910447761194037</v>
      </c>
      <c r="Q48" s="869">
        <v>0.10447761194029852</v>
      </c>
      <c r="R48" s="869">
        <v>0.71641791044776115</v>
      </c>
      <c r="T48" s="868">
        <v>1999.9999999999998</v>
      </c>
      <c r="U48" s="868">
        <v>0</v>
      </c>
      <c r="V48" s="863"/>
      <c r="W48" s="868">
        <v>0</v>
      </c>
      <c r="X48" s="870">
        <v>0</v>
      </c>
      <c r="Y48" s="870">
        <v>0</v>
      </c>
      <c r="Z48" s="870">
        <v>0</v>
      </c>
      <c r="AA48" s="870">
        <v>0</v>
      </c>
      <c r="AB48" s="870">
        <v>8.9999999999999976E-3</v>
      </c>
      <c r="AC48" s="870">
        <v>1.8999999999999996E-2</v>
      </c>
      <c r="AD48" s="863">
        <v>3.8999999999999993E-2</v>
      </c>
      <c r="AE48" s="863">
        <v>3.8999999999999993E-2</v>
      </c>
      <c r="AF48" s="863"/>
      <c r="AG48" s="868">
        <v>0</v>
      </c>
      <c r="AH48" s="868">
        <v>0</v>
      </c>
    </row>
    <row r="49" spans="1:34">
      <c r="A49" s="862" t="s">
        <v>1138</v>
      </c>
      <c r="B49" s="871" t="s">
        <v>966</v>
      </c>
      <c r="C49" s="871">
        <v>2020</v>
      </c>
      <c r="D49" s="871" t="s">
        <v>1154</v>
      </c>
      <c r="E49" s="871" t="s">
        <v>956</v>
      </c>
      <c r="G49" s="872">
        <v>1999.9999999999998</v>
      </c>
      <c r="H49" s="872">
        <v>3094.237568256598</v>
      </c>
      <c r="I49" s="872">
        <v>7486.1015193849607</v>
      </c>
      <c r="J49" s="868"/>
      <c r="K49" s="872">
        <v>0</v>
      </c>
      <c r="L49" s="872">
        <v>0</v>
      </c>
      <c r="M49" s="872">
        <v>0</v>
      </c>
      <c r="N49" s="868"/>
      <c r="O49" s="872">
        <v>591</v>
      </c>
      <c r="P49" s="873">
        <v>0.45516074450084604</v>
      </c>
      <c r="Q49" s="873">
        <v>0.16582064297800339</v>
      </c>
      <c r="R49" s="873">
        <v>0.3790186125211506</v>
      </c>
      <c r="T49" s="872">
        <v>1999.9999999999998</v>
      </c>
      <c r="U49" s="872">
        <v>0</v>
      </c>
      <c r="V49" s="863"/>
      <c r="W49" s="872">
        <v>0</v>
      </c>
      <c r="X49" s="874">
        <v>0</v>
      </c>
      <c r="Y49" s="874">
        <v>0</v>
      </c>
      <c r="Z49" s="874">
        <v>0</v>
      </c>
      <c r="AA49" s="874">
        <v>0</v>
      </c>
      <c r="AB49" s="874">
        <v>8.9999999999999976E-3</v>
      </c>
      <c r="AC49" s="874">
        <v>1.9E-2</v>
      </c>
      <c r="AD49" s="875">
        <v>3.9E-2</v>
      </c>
      <c r="AE49" s="875">
        <v>3.9E-2</v>
      </c>
      <c r="AF49" s="863"/>
      <c r="AG49" s="872">
        <v>0</v>
      </c>
      <c r="AH49" s="872">
        <v>0</v>
      </c>
    </row>
    <row r="50" spans="1:34">
      <c r="A50" s="862" t="s">
        <v>1139</v>
      </c>
      <c r="B50" s="862" t="s">
        <v>966</v>
      </c>
      <c r="C50" s="862">
        <v>2020</v>
      </c>
      <c r="D50" s="862" t="s">
        <v>1154</v>
      </c>
      <c r="E50" s="862" t="s">
        <v>957</v>
      </c>
      <c r="G50" s="868">
        <v>2000</v>
      </c>
      <c r="H50" s="868">
        <v>3094.237568256598</v>
      </c>
      <c r="I50" s="868">
        <v>7034.7549676277904</v>
      </c>
      <c r="J50" s="868"/>
      <c r="K50" s="868">
        <v>0</v>
      </c>
      <c r="L50" s="868">
        <v>0</v>
      </c>
      <c r="M50" s="868">
        <v>0</v>
      </c>
      <c r="N50" s="868"/>
      <c r="O50" s="868">
        <v>784.12100250626554</v>
      </c>
      <c r="P50" s="869">
        <v>0.39001307531815393</v>
      </c>
      <c r="Q50" s="869">
        <v>0.27840864415714062</v>
      </c>
      <c r="R50" s="869">
        <v>0.3315782805247055</v>
      </c>
      <c r="T50" s="868">
        <v>2000</v>
      </c>
      <c r="U50" s="868">
        <v>0</v>
      </c>
      <c r="V50" s="863"/>
      <c r="W50" s="868">
        <v>0</v>
      </c>
      <c r="X50" s="870">
        <v>0</v>
      </c>
      <c r="Y50" s="870">
        <v>0</v>
      </c>
      <c r="Z50" s="870">
        <v>0</v>
      </c>
      <c r="AA50" s="870">
        <v>0</v>
      </c>
      <c r="AB50" s="870">
        <v>8.9999999999999976E-3</v>
      </c>
      <c r="AC50" s="870">
        <v>1.8999999999999996E-2</v>
      </c>
      <c r="AD50" s="863">
        <v>3.8999999999999993E-2</v>
      </c>
      <c r="AE50" s="863">
        <v>3.8999999999999993E-2</v>
      </c>
      <c r="AF50" s="863"/>
      <c r="AG50" s="868">
        <v>0</v>
      </c>
      <c r="AH50" s="868">
        <v>0</v>
      </c>
    </row>
    <row r="51" spans="1:34">
      <c r="A51" s="862" t="s">
        <v>1140</v>
      </c>
      <c r="B51" s="871" t="s">
        <v>966</v>
      </c>
      <c r="C51" s="871">
        <v>2020</v>
      </c>
      <c r="D51" s="871" t="s">
        <v>1154</v>
      </c>
      <c r="E51" s="871" t="s">
        <v>958</v>
      </c>
      <c r="G51" s="872">
        <v>1999.9999999999998</v>
      </c>
      <c r="H51" s="872">
        <v>3094.237568256598</v>
      </c>
      <c r="I51" s="872">
        <v>6688.1928959432862</v>
      </c>
      <c r="J51" s="868"/>
      <c r="K51" s="872">
        <v>0</v>
      </c>
      <c r="L51" s="872">
        <v>0</v>
      </c>
      <c r="M51" s="872">
        <v>0</v>
      </c>
      <c r="N51" s="868"/>
      <c r="O51" s="872">
        <v>614.03770114942529</v>
      </c>
      <c r="P51" s="873">
        <v>0.64305963038378289</v>
      </c>
      <c r="Q51" s="873">
        <v>0.25456329655255627</v>
      </c>
      <c r="R51" s="873">
        <v>0.10237707306366088</v>
      </c>
      <c r="T51" s="872">
        <v>1999.9999999999998</v>
      </c>
      <c r="U51" s="872">
        <v>0</v>
      </c>
      <c r="V51" s="863"/>
      <c r="W51" s="872">
        <v>0</v>
      </c>
      <c r="X51" s="874">
        <v>0</v>
      </c>
      <c r="Y51" s="874">
        <v>0</v>
      </c>
      <c r="Z51" s="874">
        <v>0</v>
      </c>
      <c r="AA51" s="874">
        <v>0</v>
      </c>
      <c r="AB51" s="874">
        <v>8.9999999999999993E-3</v>
      </c>
      <c r="AC51" s="874">
        <v>1.9E-2</v>
      </c>
      <c r="AD51" s="875">
        <v>3.9E-2</v>
      </c>
      <c r="AE51" s="875">
        <v>3.9E-2</v>
      </c>
      <c r="AF51" s="863"/>
      <c r="AG51" s="872">
        <v>0</v>
      </c>
      <c r="AH51" s="872">
        <v>0</v>
      </c>
    </row>
    <row r="52" spans="1:34">
      <c r="A52" s="862" t="s">
        <v>1141</v>
      </c>
      <c r="B52" s="862" t="s">
        <v>966</v>
      </c>
      <c r="C52" s="862">
        <v>2020</v>
      </c>
      <c r="D52" s="862" t="s">
        <v>1154</v>
      </c>
      <c r="E52" s="862" t="s">
        <v>959</v>
      </c>
      <c r="G52" s="868">
        <v>2000.0000000000002</v>
      </c>
      <c r="H52" s="868">
        <v>3094.2375682565989</v>
      </c>
      <c r="I52" s="868">
        <v>7010.4189323589571</v>
      </c>
      <c r="J52" s="868"/>
      <c r="K52" s="868">
        <v>0</v>
      </c>
      <c r="L52" s="868">
        <v>0</v>
      </c>
      <c r="M52" s="868">
        <v>0</v>
      </c>
      <c r="N52" s="868"/>
      <c r="O52" s="868">
        <v>478.84129634430906</v>
      </c>
      <c r="P52" s="869">
        <v>0.55408692039239482</v>
      </c>
      <c r="Q52" s="869">
        <v>0.29525956617426152</v>
      </c>
      <c r="R52" s="869">
        <v>0.15065351343334371</v>
      </c>
      <c r="T52" s="868">
        <v>2000.0000000000002</v>
      </c>
      <c r="U52" s="868">
        <v>0</v>
      </c>
      <c r="V52" s="863"/>
      <c r="W52" s="868">
        <v>0</v>
      </c>
      <c r="X52" s="870">
        <v>0</v>
      </c>
      <c r="Y52" s="870">
        <v>0</v>
      </c>
      <c r="Z52" s="870">
        <v>0</v>
      </c>
      <c r="AA52" s="870">
        <v>0</v>
      </c>
      <c r="AB52" s="870">
        <v>9.0000000000000011E-3</v>
      </c>
      <c r="AC52" s="870">
        <v>1.9000000000000003E-2</v>
      </c>
      <c r="AD52" s="863">
        <v>3.9000000000000007E-2</v>
      </c>
      <c r="AE52" s="863">
        <v>3.9000000000000007E-2</v>
      </c>
      <c r="AF52" s="863"/>
      <c r="AG52" s="868">
        <v>0</v>
      </c>
      <c r="AH52" s="868">
        <v>0</v>
      </c>
    </row>
    <row r="53" spans="1:34">
      <c r="G53" s="876"/>
      <c r="H53" s="876"/>
      <c r="I53" s="876"/>
      <c r="J53" s="876"/>
      <c r="K53" s="876"/>
      <c r="L53" s="876"/>
      <c r="M53" s="876"/>
      <c r="N53" s="876"/>
      <c r="O53" s="876"/>
      <c r="P53" s="877"/>
      <c r="Q53" s="877"/>
      <c r="R53" s="877"/>
      <c r="T53" s="876"/>
      <c r="U53" s="876"/>
      <c r="W53" s="876"/>
      <c r="AG53" s="876"/>
      <c r="AH53" s="876"/>
    </row>
    <row r="54" spans="1:34">
      <c r="A54" s="862" t="s">
        <v>1049</v>
      </c>
      <c r="B54" s="867" t="s">
        <v>967</v>
      </c>
      <c r="C54" s="867">
        <v>2019</v>
      </c>
      <c r="D54" s="867" t="s">
        <v>1154</v>
      </c>
      <c r="E54" s="862" t="s">
        <v>955</v>
      </c>
      <c r="G54" s="868">
        <v>0</v>
      </c>
      <c r="H54" s="868">
        <v>0</v>
      </c>
      <c r="I54" s="868">
        <v>0</v>
      </c>
      <c r="J54" s="868"/>
      <c r="K54" s="868">
        <v>0</v>
      </c>
      <c r="L54" s="868">
        <v>0</v>
      </c>
      <c r="M54" s="868">
        <v>0</v>
      </c>
      <c r="N54" s="868"/>
      <c r="O54" s="868">
        <v>0</v>
      </c>
      <c r="P54" s="869" t="e">
        <v>#DIV/0!</v>
      </c>
      <c r="Q54" s="869" t="e">
        <v>#DIV/0!</v>
      </c>
      <c r="R54" s="869" t="e">
        <v>#DIV/0!</v>
      </c>
      <c r="T54" s="868">
        <v>0</v>
      </c>
      <c r="U54" s="868">
        <v>0</v>
      </c>
      <c r="V54" s="863"/>
      <c r="W54" s="868">
        <v>0</v>
      </c>
      <c r="X54" s="870">
        <v>0</v>
      </c>
      <c r="Y54" s="870">
        <v>0</v>
      </c>
      <c r="Z54" s="870">
        <v>0</v>
      </c>
      <c r="AA54" s="870">
        <v>0</v>
      </c>
      <c r="AB54" s="870">
        <v>0</v>
      </c>
      <c r="AC54" s="870">
        <v>0</v>
      </c>
      <c r="AD54" s="863">
        <v>0</v>
      </c>
      <c r="AE54" s="863">
        <v>0</v>
      </c>
      <c r="AF54" s="863"/>
      <c r="AG54" s="868">
        <v>0</v>
      </c>
      <c r="AH54" s="868">
        <v>0</v>
      </c>
    </row>
    <row r="55" spans="1:34">
      <c r="A55" s="862" t="s">
        <v>1050</v>
      </c>
      <c r="B55" s="871" t="s">
        <v>967</v>
      </c>
      <c r="C55" s="871">
        <v>2019</v>
      </c>
      <c r="D55" s="871" t="s">
        <v>1154</v>
      </c>
      <c r="E55" s="871" t="s">
        <v>956</v>
      </c>
      <c r="G55" s="872">
        <v>0</v>
      </c>
      <c r="H55" s="872">
        <v>0</v>
      </c>
      <c r="I55" s="872">
        <v>0</v>
      </c>
      <c r="J55" s="868"/>
      <c r="K55" s="872">
        <v>0</v>
      </c>
      <c r="L55" s="872">
        <v>0</v>
      </c>
      <c r="M55" s="872">
        <v>0</v>
      </c>
      <c r="N55" s="868"/>
      <c r="O55" s="872">
        <v>0</v>
      </c>
      <c r="P55" s="873" t="e">
        <v>#DIV/0!</v>
      </c>
      <c r="Q55" s="873" t="e">
        <v>#DIV/0!</v>
      </c>
      <c r="R55" s="873" t="e">
        <v>#DIV/0!</v>
      </c>
      <c r="T55" s="872">
        <v>0</v>
      </c>
      <c r="U55" s="872">
        <v>0</v>
      </c>
      <c r="V55" s="863"/>
      <c r="W55" s="872">
        <v>0</v>
      </c>
      <c r="X55" s="874">
        <v>0</v>
      </c>
      <c r="Y55" s="874">
        <v>0</v>
      </c>
      <c r="Z55" s="874">
        <v>0</v>
      </c>
      <c r="AA55" s="874">
        <v>0</v>
      </c>
      <c r="AB55" s="874">
        <v>0</v>
      </c>
      <c r="AC55" s="874">
        <v>0</v>
      </c>
      <c r="AD55" s="875">
        <v>0</v>
      </c>
      <c r="AE55" s="875">
        <v>0</v>
      </c>
      <c r="AF55" s="863"/>
      <c r="AG55" s="872">
        <v>0</v>
      </c>
      <c r="AH55" s="872">
        <v>0</v>
      </c>
    </row>
    <row r="56" spans="1:34">
      <c r="A56" s="862" t="s">
        <v>1051</v>
      </c>
      <c r="B56" s="862" t="s">
        <v>967</v>
      </c>
      <c r="C56" s="862">
        <v>2019</v>
      </c>
      <c r="D56" s="862" t="s">
        <v>1154</v>
      </c>
      <c r="E56" s="862" t="s">
        <v>957</v>
      </c>
      <c r="G56" s="868">
        <v>0</v>
      </c>
      <c r="H56" s="868">
        <v>0</v>
      </c>
      <c r="I56" s="868">
        <v>0</v>
      </c>
      <c r="J56" s="868"/>
      <c r="K56" s="868">
        <v>0</v>
      </c>
      <c r="L56" s="868">
        <v>0</v>
      </c>
      <c r="M56" s="868">
        <v>0</v>
      </c>
      <c r="N56" s="868"/>
      <c r="O56" s="868">
        <v>0</v>
      </c>
      <c r="P56" s="869" t="e">
        <v>#DIV/0!</v>
      </c>
      <c r="Q56" s="869" t="e">
        <v>#DIV/0!</v>
      </c>
      <c r="R56" s="869" t="e">
        <v>#DIV/0!</v>
      </c>
      <c r="T56" s="868">
        <v>0</v>
      </c>
      <c r="U56" s="868">
        <v>0</v>
      </c>
      <c r="V56" s="863"/>
      <c r="W56" s="868">
        <v>0</v>
      </c>
      <c r="X56" s="870">
        <v>0</v>
      </c>
      <c r="Y56" s="870">
        <v>0</v>
      </c>
      <c r="Z56" s="870">
        <v>0</v>
      </c>
      <c r="AA56" s="870">
        <v>0</v>
      </c>
      <c r="AB56" s="870">
        <v>0</v>
      </c>
      <c r="AC56" s="870">
        <v>0</v>
      </c>
      <c r="AD56" s="863">
        <v>0</v>
      </c>
      <c r="AE56" s="863">
        <v>0</v>
      </c>
      <c r="AF56" s="863"/>
      <c r="AG56" s="868">
        <v>0</v>
      </c>
      <c r="AH56" s="868">
        <v>0</v>
      </c>
    </row>
    <row r="57" spans="1:34">
      <c r="A57" s="862" t="s">
        <v>1052</v>
      </c>
      <c r="B57" s="871" t="s">
        <v>967</v>
      </c>
      <c r="C57" s="871">
        <v>2019</v>
      </c>
      <c r="D57" s="871" t="s">
        <v>1154</v>
      </c>
      <c r="E57" s="871" t="s">
        <v>958</v>
      </c>
      <c r="G57" s="872">
        <v>0</v>
      </c>
      <c r="H57" s="872">
        <v>0</v>
      </c>
      <c r="I57" s="872">
        <v>0</v>
      </c>
      <c r="J57" s="868"/>
      <c r="K57" s="872">
        <v>0</v>
      </c>
      <c r="L57" s="872">
        <v>0</v>
      </c>
      <c r="M57" s="872">
        <v>0</v>
      </c>
      <c r="N57" s="868"/>
      <c r="O57" s="872">
        <v>0</v>
      </c>
      <c r="P57" s="873" t="e">
        <v>#DIV/0!</v>
      </c>
      <c r="Q57" s="873" t="e">
        <v>#DIV/0!</v>
      </c>
      <c r="R57" s="873" t="e">
        <v>#DIV/0!</v>
      </c>
      <c r="T57" s="872">
        <v>0</v>
      </c>
      <c r="U57" s="872">
        <v>0</v>
      </c>
      <c r="V57" s="863"/>
      <c r="W57" s="872">
        <v>0</v>
      </c>
      <c r="X57" s="874">
        <v>0</v>
      </c>
      <c r="Y57" s="874">
        <v>0</v>
      </c>
      <c r="Z57" s="874">
        <v>0</v>
      </c>
      <c r="AA57" s="874">
        <v>0</v>
      </c>
      <c r="AB57" s="874">
        <v>0</v>
      </c>
      <c r="AC57" s="874">
        <v>0</v>
      </c>
      <c r="AD57" s="875">
        <v>0</v>
      </c>
      <c r="AE57" s="875">
        <v>0</v>
      </c>
      <c r="AF57" s="863"/>
      <c r="AG57" s="872">
        <v>0</v>
      </c>
      <c r="AH57" s="872">
        <v>0</v>
      </c>
    </row>
    <row r="58" spans="1:34">
      <c r="A58" s="862" t="s">
        <v>1053</v>
      </c>
      <c r="B58" s="862" t="s">
        <v>967</v>
      </c>
      <c r="C58" s="862">
        <v>2019</v>
      </c>
      <c r="D58" s="862" t="s">
        <v>1154</v>
      </c>
      <c r="E58" s="862" t="s">
        <v>959</v>
      </c>
      <c r="G58" s="868">
        <v>0</v>
      </c>
      <c r="H58" s="868">
        <v>0</v>
      </c>
      <c r="I58" s="868">
        <v>0</v>
      </c>
      <c r="J58" s="868"/>
      <c r="K58" s="868">
        <v>0</v>
      </c>
      <c r="L58" s="868">
        <v>0</v>
      </c>
      <c r="M58" s="868">
        <v>0</v>
      </c>
      <c r="N58" s="868"/>
      <c r="O58" s="868">
        <v>0</v>
      </c>
      <c r="P58" s="869" t="e">
        <v>#DIV/0!</v>
      </c>
      <c r="Q58" s="869" t="e">
        <v>#DIV/0!</v>
      </c>
      <c r="R58" s="869" t="e">
        <v>#DIV/0!</v>
      </c>
      <c r="T58" s="868">
        <v>0</v>
      </c>
      <c r="U58" s="868">
        <v>0</v>
      </c>
      <c r="V58" s="863"/>
      <c r="W58" s="868">
        <v>0</v>
      </c>
      <c r="X58" s="870">
        <v>0</v>
      </c>
      <c r="Y58" s="870">
        <v>0</v>
      </c>
      <c r="Z58" s="870">
        <v>0</v>
      </c>
      <c r="AA58" s="870">
        <v>0</v>
      </c>
      <c r="AB58" s="870">
        <v>0</v>
      </c>
      <c r="AC58" s="870">
        <v>0</v>
      </c>
      <c r="AD58" s="863">
        <v>0</v>
      </c>
      <c r="AE58" s="863">
        <v>0</v>
      </c>
      <c r="AF58" s="863"/>
      <c r="AG58" s="868">
        <v>0</v>
      </c>
      <c r="AH58" s="868">
        <v>0</v>
      </c>
    </row>
    <row r="59" spans="1:34">
      <c r="G59" s="876"/>
      <c r="H59" s="876"/>
      <c r="I59" s="876"/>
      <c r="J59" s="876"/>
      <c r="K59" s="876"/>
      <c r="L59" s="876"/>
      <c r="M59" s="876"/>
      <c r="N59" s="876"/>
      <c r="O59" s="876"/>
      <c r="P59" s="877"/>
      <c r="Q59" s="877"/>
      <c r="R59" s="877"/>
      <c r="T59" s="876"/>
      <c r="U59" s="876"/>
      <c r="W59" s="876"/>
      <c r="AG59" s="876"/>
      <c r="AH59" s="876"/>
    </row>
    <row r="60" spans="1:34">
      <c r="A60" s="862" t="s">
        <v>1061</v>
      </c>
      <c r="B60" s="867" t="s">
        <v>967</v>
      </c>
      <c r="C60" s="867">
        <v>2020</v>
      </c>
      <c r="D60" s="867" t="s">
        <v>1154</v>
      </c>
      <c r="E60" s="862" t="s">
        <v>955</v>
      </c>
      <c r="G60" s="868">
        <v>1000</v>
      </c>
      <c r="H60" s="868">
        <v>1860.0624533823611</v>
      </c>
      <c r="I60" s="868">
        <v>4103.7164157747848</v>
      </c>
      <c r="J60" s="868"/>
      <c r="K60" s="868">
        <v>0</v>
      </c>
      <c r="L60" s="868">
        <v>0</v>
      </c>
      <c r="M60" s="868">
        <v>0</v>
      </c>
      <c r="N60" s="868"/>
      <c r="O60" s="868">
        <v>446</v>
      </c>
      <c r="P60" s="869">
        <v>0.24663677130044845</v>
      </c>
      <c r="Q60" s="869">
        <v>0.35201793721973096</v>
      </c>
      <c r="R60" s="869">
        <v>0.40134529147982062</v>
      </c>
      <c r="T60" s="868">
        <v>1000</v>
      </c>
      <c r="U60" s="868">
        <v>0</v>
      </c>
      <c r="V60" s="863"/>
      <c r="W60" s="868">
        <v>0</v>
      </c>
      <c r="X60" s="870">
        <v>0</v>
      </c>
      <c r="Y60" s="870">
        <v>0</v>
      </c>
      <c r="Z60" s="870">
        <v>0</v>
      </c>
      <c r="AA60" s="870">
        <v>0</v>
      </c>
      <c r="AB60" s="870">
        <v>8.9999999999999993E-3</v>
      </c>
      <c r="AC60" s="870">
        <v>1.9E-2</v>
      </c>
      <c r="AD60" s="863">
        <v>3.9E-2</v>
      </c>
      <c r="AE60" s="863">
        <v>3.9E-2</v>
      </c>
      <c r="AF60" s="863"/>
      <c r="AG60" s="868">
        <v>0</v>
      </c>
      <c r="AH60" s="868">
        <v>0</v>
      </c>
    </row>
    <row r="61" spans="1:34">
      <c r="A61" s="862" t="s">
        <v>1062</v>
      </c>
      <c r="B61" s="871" t="s">
        <v>967</v>
      </c>
      <c r="C61" s="871">
        <v>2020</v>
      </c>
      <c r="D61" s="871" t="s">
        <v>1154</v>
      </c>
      <c r="E61" s="871" t="s">
        <v>956</v>
      </c>
      <c r="G61" s="872">
        <v>1000</v>
      </c>
      <c r="H61" s="872">
        <v>1860.0624533823614</v>
      </c>
      <c r="I61" s="872">
        <v>3383.7164157747848</v>
      </c>
      <c r="J61" s="868"/>
      <c r="K61" s="872">
        <v>0</v>
      </c>
      <c r="L61" s="872">
        <v>0</v>
      </c>
      <c r="M61" s="872">
        <v>0</v>
      </c>
      <c r="N61" s="868"/>
      <c r="O61" s="872">
        <v>1243</v>
      </c>
      <c r="P61" s="873">
        <v>0.36283185840707965</v>
      </c>
      <c r="Q61" s="873">
        <v>0.46419951729686243</v>
      </c>
      <c r="R61" s="873">
        <v>0.17296862429605792</v>
      </c>
      <c r="T61" s="872">
        <v>1000</v>
      </c>
      <c r="U61" s="872">
        <v>0</v>
      </c>
      <c r="V61" s="863"/>
      <c r="W61" s="872">
        <v>0</v>
      </c>
      <c r="X61" s="874">
        <v>0</v>
      </c>
      <c r="Y61" s="874">
        <v>0</v>
      </c>
      <c r="Z61" s="874">
        <v>0</v>
      </c>
      <c r="AA61" s="874">
        <v>0</v>
      </c>
      <c r="AB61" s="874">
        <v>8.9999999999999976E-3</v>
      </c>
      <c r="AC61" s="874">
        <v>1.9E-2</v>
      </c>
      <c r="AD61" s="875">
        <v>3.9E-2</v>
      </c>
      <c r="AE61" s="875">
        <v>3.9E-2</v>
      </c>
      <c r="AF61" s="863"/>
      <c r="AG61" s="872">
        <v>0</v>
      </c>
      <c r="AH61" s="872">
        <v>0</v>
      </c>
    </row>
    <row r="62" spans="1:34">
      <c r="A62" s="862" t="s">
        <v>1063</v>
      </c>
      <c r="B62" s="862" t="s">
        <v>967</v>
      </c>
      <c r="C62" s="862">
        <v>2020</v>
      </c>
      <c r="D62" s="862" t="s">
        <v>1154</v>
      </c>
      <c r="E62" s="862" t="s">
        <v>957</v>
      </c>
      <c r="G62" s="868">
        <v>1000</v>
      </c>
      <c r="H62" s="868">
        <v>1860.0624533823611</v>
      </c>
      <c r="I62" s="868">
        <v>3383.7164157747857</v>
      </c>
      <c r="J62" s="868"/>
      <c r="K62" s="868">
        <v>0</v>
      </c>
      <c r="L62" s="868">
        <v>0</v>
      </c>
      <c r="M62" s="868">
        <v>0</v>
      </c>
      <c r="N62" s="868"/>
      <c r="O62" s="868">
        <v>1610</v>
      </c>
      <c r="P62" s="869">
        <v>0.3161490683229814</v>
      </c>
      <c r="Q62" s="869">
        <v>0.52422360248447208</v>
      </c>
      <c r="R62" s="869">
        <v>0.15962732919254657</v>
      </c>
      <c r="T62" s="868">
        <v>1000</v>
      </c>
      <c r="U62" s="868">
        <v>0</v>
      </c>
      <c r="V62" s="863"/>
      <c r="W62" s="868">
        <v>0</v>
      </c>
      <c r="X62" s="870">
        <v>0</v>
      </c>
      <c r="Y62" s="870">
        <v>0</v>
      </c>
      <c r="Z62" s="870">
        <v>0</v>
      </c>
      <c r="AA62" s="870">
        <v>0</v>
      </c>
      <c r="AB62" s="870">
        <v>8.9999999999999993E-3</v>
      </c>
      <c r="AC62" s="870">
        <v>1.9E-2</v>
      </c>
      <c r="AD62" s="863">
        <v>3.9E-2</v>
      </c>
      <c r="AE62" s="863">
        <v>3.9E-2</v>
      </c>
      <c r="AF62" s="863"/>
      <c r="AG62" s="868">
        <v>0</v>
      </c>
      <c r="AH62" s="868">
        <v>0</v>
      </c>
    </row>
    <row r="63" spans="1:34">
      <c r="A63" s="862" t="s">
        <v>1064</v>
      </c>
      <c r="B63" s="871" t="s">
        <v>967</v>
      </c>
      <c r="C63" s="871">
        <v>2020</v>
      </c>
      <c r="D63" s="871" t="s">
        <v>1154</v>
      </c>
      <c r="E63" s="871" t="s">
        <v>958</v>
      </c>
      <c r="G63" s="872">
        <v>1000</v>
      </c>
      <c r="H63" s="872">
        <v>1860.0624533823611</v>
      </c>
      <c r="I63" s="872">
        <v>3383.7164157747852</v>
      </c>
      <c r="J63" s="868"/>
      <c r="K63" s="872">
        <v>0</v>
      </c>
      <c r="L63" s="872">
        <v>0</v>
      </c>
      <c r="M63" s="872">
        <v>0</v>
      </c>
      <c r="N63" s="868"/>
      <c r="O63" s="872">
        <v>2329</v>
      </c>
      <c r="P63" s="873">
        <v>0.42636324602833836</v>
      </c>
      <c r="Q63" s="873">
        <v>0.52211249463288967</v>
      </c>
      <c r="R63" s="873">
        <v>5.1524259338772006E-2</v>
      </c>
      <c r="T63" s="872">
        <v>1000</v>
      </c>
      <c r="U63" s="872">
        <v>0</v>
      </c>
      <c r="V63" s="863"/>
      <c r="W63" s="872">
        <v>0</v>
      </c>
      <c r="X63" s="874">
        <v>0</v>
      </c>
      <c r="Y63" s="874">
        <v>0</v>
      </c>
      <c r="Z63" s="874">
        <v>0</v>
      </c>
      <c r="AA63" s="874">
        <v>0</v>
      </c>
      <c r="AB63" s="874">
        <v>8.9999999999999993E-3</v>
      </c>
      <c r="AC63" s="874">
        <v>1.9E-2</v>
      </c>
      <c r="AD63" s="875">
        <v>3.9E-2</v>
      </c>
      <c r="AE63" s="875">
        <v>3.9E-2</v>
      </c>
      <c r="AF63" s="863"/>
      <c r="AG63" s="872">
        <v>0</v>
      </c>
      <c r="AH63" s="872">
        <v>0</v>
      </c>
    </row>
    <row r="64" spans="1:34">
      <c r="A64" s="862" t="s">
        <v>1065</v>
      </c>
      <c r="B64" s="862" t="s">
        <v>967</v>
      </c>
      <c r="C64" s="862">
        <v>2020</v>
      </c>
      <c r="D64" s="862" t="s">
        <v>1154</v>
      </c>
      <c r="E64" s="862" t="s">
        <v>959</v>
      </c>
      <c r="G64" s="868">
        <v>1000</v>
      </c>
      <c r="H64" s="868">
        <v>1860.0624533823611</v>
      </c>
      <c r="I64" s="868">
        <v>3383.7164157747857</v>
      </c>
      <c r="J64" s="868"/>
      <c r="K64" s="868">
        <v>0</v>
      </c>
      <c r="L64" s="868">
        <v>0</v>
      </c>
      <c r="M64" s="868">
        <v>0</v>
      </c>
      <c r="N64" s="868"/>
      <c r="O64" s="868">
        <v>821</v>
      </c>
      <c r="P64" s="869">
        <v>0.40560292326431191</v>
      </c>
      <c r="Q64" s="869">
        <v>0.52253349573690622</v>
      </c>
      <c r="R64" s="869">
        <v>7.186358099878197E-2</v>
      </c>
      <c r="T64" s="868">
        <v>1000</v>
      </c>
      <c r="U64" s="868">
        <v>0</v>
      </c>
      <c r="V64" s="863"/>
      <c r="W64" s="868">
        <v>0</v>
      </c>
      <c r="X64" s="870">
        <v>0</v>
      </c>
      <c r="Y64" s="870">
        <v>0</v>
      </c>
      <c r="Z64" s="870">
        <v>0</v>
      </c>
      <c r="AA64" s="870">
        <v>0</v>
      </c>
      <c r="AB64" s="870">
        <v>8.9999999999999993E-3</v>
      </c>
      <c r="AC64" s="870">
        <v>1.9E-2</v>
      </c>
      <c r="AD64" s="863">
        <v>3.9E-2</v>
      </c>
      <c r="AE64" s="863">
        <v>3.9E-2</v>
      </c>
      <c r="AF64" s="863"/>
      <c r="AG64" s="868">
        <v>0</v>
      </c>
      <c r="AH64" s="868">
        <v>0</v>
      </c>
    </row>
    <row r="65" spans="1:34">
      <c r="T65" s="876"/>
      <c r="U65" s="876"/>
      <c r="W65" s="876"/>
      <c r="AG65" s="876"/>
      <c r="AH65" s="876"/>
    </row>
    <row r="66" spans="1:34">
      <c r="A66" s="862" t="s">
        <v>1054</v>
      </c>
      <c r="B66" s="867" t="s">
        <v>968</v>
      </c>
      <c r="C66" s="867">
        <v>2019</v>
      </c>
      <c r="D66" s="867" t="s">
        <v>1154</v>
      </c>
      <c r="E66" s="862" t="s">
        <v>955</v>
      </c>
      <c r="G66" s="868">
        <v>1052</v>
      </c>
      <c r="H66" s="868">
        <v>1959.5237978014661</v>
      </c>
      <c r="I66" s="868">
        <v>5966.1036758427017</v>
      </c>
      <c r="J66" s="868"/>
      <c r="K66" s="868">
        <v>0</v>
      </c>
      <c r="L66" s="868">
        <v>0</v>
      </c>
      <c r="M66" s="868">
        <v>0</v>
      </c>
      <c r="N66" s="868"/>
      <c r="O66" s="868">
        <v>76</v>
      </c>
      <c r="P66" s="869">
        <v>0.19736842105263153</v>
      </c>
      <c r="Q66" s="869">
        <v>0.42105263157894735</v>
      </c>
      <c r="R66" s="869">
        <v>0.38157894736842107</v>
      </c>
      <c r="T66" s="868">
        <v>1052</v>
      </c>
      <c r="U66" s="868">
        <v>0</v>
      </c>
      <c r="V66" s="863"/>
      <c r="W66" s="868">
        <v>0</v>
      </c>
      <c r="X66" s="870">
        <v>0</v>
      </c>
      <c r="Y66" s="870">
        <v>0</v>
      </c>
      <c r="Z66" s="870">
        <v>0</v>
      </c>
      <c r="AA66" s="870">
        <v>0</v>
      </c>
      <c r="AB66" s="870">
        <v>8.9999999999999993E-3</v>
      </c>
      <c r="AC66" s="870">
        <v>1.9E-2</v>
      </c>
      <c r="AD66" s="863">
        <v>3.9E-2</v>
      </c>
      <c r="AE66" s="863">
        <v>3.9E-2</v>
      </c>
      <c r="AF66" s="863"/>
      <c r="AG66" s="868">
        <v>0</v>
      </c>
      <c r="AH66" s="868">
        <v>0</v>
      </c>
    </row>
    <row r="67" spans="1:34">
      <c r="A67" s="862" t="s">
        <v>1055</v>
      </c>
      <c r="B67" s="871" t="s">
        <v>968</v>
      </c>
      <c r="C67" s="871">
        <v>2019</v>
      </c>
      <c r="D67" s="871" t="s">
        <v>1154</v>
      </c>
      <c r="E67" s="871" t="s">
        <v>956</v>
      </c>
      <c r="G67" s="872">
        <v>1049.3828828828828</v>
      </c>
      <c r="H67" s="872">
        <v>1959.5237978014661</v>
      </c>
      <c r="I67" s="872">
        <v>5606.1036758427017</v>
      </c>
      <c r="J67" s="868"/>
      <c r="K67" s="872">
        <v>0</v>
      </c>
      <c r="L67" s="872">
        <v>0</v>
      </c>
      <c r="M67" s="872">
        <v>0</v>
      </c>
      <c r="N67" s="868"/>
      <c r="O67" s="872">
        <v>222</v>
      </c>
      <c r="P67" s="873">
        <v>0.23423423423423423</v>
      </c>
      <c r="Q67" s="873">
        <v>0.50900900900900903</v>
      </c>
      <c r="R67" s="873">
        <v>0.25675675675675674</v>
      </c>
      <c r="T67" s="872">
        <v>1049.3828828828828</v>
      </c>
      <c r="U67" s="872">
        <v>0</v>
      </c>
      <c r="V67" s="863"/>
      <c r="W67" s="872">
        <v>0</v>
      </c>
      <c r="X67" s="874">
        <v>0</v>
      </c>
      <c r="Y67" s="874">
        <v>0</v>
      </c>
      <c r="Z67" s="874">
        <v>0</v>
      </c>
      <c r="AA67" s="874">
        <v>0</v>
      </c>
      <c r="AB67" s="874">
        <v>8.9999999999999993E-3</v>
      </c>
      <c r="AC67" s="874">
        <v>1.9E-2</v>
      </c>
      <c r="AD67" s="875">
        <v>3.8999999999999993E-2</v>
      </c>
      <c r="AE67" s="875">
        <v>3.8999999999999993E-2</v>
      </c>
      <c r="AF67" s="863"/>
      <c r="AG67" s="872">
        <v>0</v>
      </c>
      <c r="AH67" s="872">
        <v>0</v>
      </c>
    </row>
    <row r="68" spans="1:34">
      <c r="A68" s="862" t="s">
        <v>1056</v>
      </c>
      <c r="B68" s="862" t="s">
        <v>968</v>
      </c>
      <c r="C68" s="862">
        <v>2019</v>
      </c>
      <c r="D68" s="862" t="s">
        <v>1154</v>
      </c>
      <c r="E68" s="862" t="s">
        <v>957</v>
      </c>
      <c r="G68" s="868">
        <v>1041.961145194274</v>
      </c>
      <c r="H68" s="868">
        <v>1959.5237978014661</v>
      </c>
      <c r="I68" s="868">
        <v>5606.1036758427026</v>
      </c>
      <c r="J68" s="868"/>
      <c r="K68" s="868">
        <v>0</v>
      </c>
      <c r="L68" s="868">
        <v>0</v>
      </c>
      <c r="M68" s="868">
        <v>0</v>
      </c>
      <c r="N68" s="868"/>
      <c r="O68" s="868">
        <v>489</v>
      </c>
      <c r="P68" s="869">
        <v>0.17382413087934567</v>
      </c>
      <c r="Q68" s="869">
        <v>0.41104294478527609</v>
      </c>
      <c r="R68" s="869">
        <v>0.41513292433537835</v>
      </c>
      <c r="T68" s="868">
        <v>1041.961145194274</v>
      </c>
      <c r="U68" s="868">
        <v>0</v>
      </c>
      <c r="V68" s="863"/>
      <c r="W68" s="868">
        <v>0</v>
      </c>
      <c r="X68" s="870">
        <v>0</v>
      </c>
      <c r="Y68" s="870">
        <v>0</v>
      </c>
      <c r="Z68" s="870">
        <v>0</v>
      </c>
      <c r="AA68" s="870">
        <v>0</v>
      </c>
      <c r="AB68" s="870">
        <v>8.9999999999999993E-3</v>
      </c>
      <c r="AC68" s="870">
        <v>1.9E-2</v>
      </c>
      <c r="AD68" s="863">
        <v>3.9E-2</v>
      </c>
      <c r="AE68" s="863">
        <v>3.9E-2</v>
      </c>
      <c r="AF68" s="863"/>
      <c r="AG68" s="868">
        <v>0</v>
      </c>
      <c r="AH68" s="868">
        <v>0</v>
      </c>
    </row>
    <row r="69" spans="1:34">
      <c r="A69" s="862" t="s">
        <v>1057</v>
      </c>
      <c r="B69" s="871" t="s">
        <v>968</v>
      </c>
      <c r="C69" s="871">
        <v>2019</v>
      </c>
      <c r="D69" s="871" t="s">
        <v>1154</v>
      </c>
      <c r="E69" s="871" t="s">
        <v>958</v>
      </c>
      <c r="G69" s="872">
        <v>1052.3106382978724</v>
      </c>
      <c r="H69" s="872">
        <v>1959.5237978014659</v>
      </c>
      <c r="I69" s="872">
        <v>5246.1036758427017</v>
      </c>
      <c r="J69" s="868"/>
      <c r="K69" s="872">
        <v>0</v>
      </c>
      <c r="L69" s="872">
        <v>0</v>
      </c>
      <c r="M69" s="872">
        <v>0</v>
      </c>
      <c r="N69" s="868"/>
      <c r="O69" s="872">
        <v>235</v>
      </c>
      <c r="P69" s="873">
        <v>0.37872340425531914</v>
      </c>
      <c r="Q69" s="873">
        <v>0.53617021276595744</v>
      </c>
      <c r="R69" s="873">
        <v>8.5106382978723402E-2</v>
      </c>
      <c r="T69" s="872">
        <v>1052.3106382978724</v>
      </c>
      <c r="U69" s="872">
        <v>0</v>
      </c>
      <c r="V69" s="863"/>
      <c r="W69" s="872">
        <v>0</v>
      </c>
      <c r="X69" s="874">
        <v>0</v>
      </c>
      <c r="Y69" s="874">
        <v>0</v>
      </c>
      <c r="Z69" s="874">
        <v>0</v>
      </c>
      <c r="AA69" s="874">
        <v>0</v>
      </c>
      <c r="AB69" s="874">
        <v>8.9999999999999993E-3</v>
      </c>
      <c r="AC69" s="874">
        <v>1.9E-2</v>
      </c>
      <c r="AD69" s="875">
        <v>3.9E-2</v>
      </c>
      <c r="AE69" s="875">
        <v>3.9E-2</v>
      </c>
      <c r="AF69" s="863"/>
      <c r="AG69" s="872">
        <v>0</v>
      </c>
      <c r="AH69" s="872">
        <v>0</v>
      </c>
    </row>
    <row r="70" spans="1:34">
      <c r="A70" s="862" t="s">
        <v>1058</v>
      </c>
      <c r="B70" s="862" t="s">
        <v>968</v>
      </c>
      <c r="C70" s="862">
        <v>2019</v>
      </c>
      <c r="D70" s="862" t="s">
        <v>1154</v>
      </c>
      <c r="E70" s="862" t="s">
        <v>959</v>
      </c>
      <c r="G70" s="868">
        <v>1049.3005780346821</v>
      </c>
      <c r="H70" s="868">
        <v>1959.5237978014661</v>
      </c>
      <c r="I70" s="868">
        <v>5246.1036758427017</v>
      </c>
      <c r="J70" s="868"/>
      <c r="K70" s="868">
        <v>0</v>
      </c>
      <c r="L70" s="868">
        <v>0</v>
      </c>
      <c r="M70" s="868">
        <v>0</v>
      </c>
      <c r="N70" s="868"/>
      <c r="O70" s="868">
        <v>173</v>
      </c>
      <c r="P70" s="869">
        <v>0.3641618497109827</v>
      </c>
      <c r="Q70" s="869">
        <v>0.45664739884393063</v>
      </c>
      <c r="R70" s="869">
        <v>0.1791907514450867</v>
      </c>
      <c r="T70" s="868">
        <v>1049.3005780346821</v>
      </c>
      <c r="U70" s="868">
        <v>0</v>
      </c>
      <c r="V70" s="863"/>
      <c r="W70" s="868">
        <v>0</v>
      </c>
      <c r="X70" s="870">
        <v>0</v>
      </c>
      <c r="Y70" s="870">
        <v>0</v>
      </c>
      <c r="Z70" s="870">
        <v>0</v>
      </c>
      <c r="AA70" s="870">
        <v>0</v>
      </c>
      <c r="AB70" s="870">
        <v>8.9999999999999976E-3</v>
      </c>
      <c r="AC70" s="870">
        <v>1.9E-2</v>
      </c>
      <c r="AD70" s="863">
        <v>3.8999999999999993E-2</v>
      </c>
      <c r="AE70" s="863">
        <v>3.8999999999999993E-2</v>
      </c>
      <c r="AF70" s="863"/>
      <c r="AG70" s="868">
        <v>0</v>
      </c>
      <c r="AH70" s="868">
        <v>0</v>
      </c>
    </row>
    <row r="71" spans="1:34">
      <c r="T71" s="876"/>
      <c r="U71" s="876"/>
      <c r="W71" s="876"/>
      <c r="AG71" s="876"/>
      <c r="AH71" s="876"/>
    </row>
    <row r="72" spans="1:34">
      <c r="A72" s="862" t="s">
        <v>1142</v>
      </c>
      <c r="B72" s="867" t="s">
        <v>968</v>
      </c>
      <c r="C72" s="867">
        <v>2020</v>
      </c>
      <c r="D72" s="867" t="s">
        <v>1154</v>
      </c>
      <c r="E72" s="862" t="s">
        <v>955</v>
      </c>
      <c r="G72" s="868">
        <v>0</v>
      </c>
      <c r="H72" s="868">
        <v>0</v>
      </c>
      <c r="I72" s="868">
        <v>0</v>
      </c>
      <c r="J72" s="868"/>
      <c r="K72" s="868">
        <v>0</v>
      </c>
      <c r="L72" s="868">
        <v>0</v>
      </c>
      <c r="M72" s="868">
        <v>0</v>
      </c>
      <c r="N72" s="868"/>
      <c r="O72" s="868">
        <v>0</v>
      </c>
      <c r="P72" s="869" t="e">
        <v>#DIV/0!</v>
      </c>
      <c r="Q72" s="869" t="e">
        <v>#DIV/0!</v>
      </c>
      <c r="R72" s="869" t="e">
        <v>#DIV/0!</v>
      </c>
      <c r="T72" s="868">
        <v>0</v>
      </c>
      <c r="U72" s="868">
        <v>0</v>
      </c>
      <c r="V72" s="863"/>
      <c r="W72" s="868">
        <v>0</v>
      </c>
      <c r="X72" s="870">
        <v>0</v>
      </c>
      <c r="Y72" s="870">
        <v>0</v>
      </c>
      <c r="Z72" s="870">
        <v>0</v>
      </c>
      <c r="AA72" s="870">
        <v>0</v>
      </c>
      <c r="AB72" s="870">
        <v>0</v>
      </c>
      <c r="AC72" s="870">
        <v>0</v>
      </c>
      <c r="AD72" s="863">
        <v>0</v>
      </c>
      <c r="AE72" s="863">
        <v>0</v>
      </c>
      <c r="AF72" s="863"/>
      <c r="AG72" s="868">
        <v>0</v>
      </c>
      <c r="AH72" s="868">
        <v>0</v>
      </c>
    </row>
    <row r="73" spans="1:34">
      <c r="A73" s="862" t="s">
        <v>1143</v>
      </c>
      <c r="B73" s="871" t="s">
        <v>968</v>
      </c>
      <c r="C73" s="871">
        <v>2020</v>
      </c>
      <c r="D73" s="871" t="s">
        <v>1154</v>
      </c>
      <c r="E73" s="871" t="s">
        <v>956</v>
      </c>
      <c r="G73" s="872">
        <v>0</v>
      </c>
      <c r="H73" s="872">
        <v>0</v>
      </c>
      <c r="I73" s="872">
        <v>0</v>
      </c>
      <c r="J73" s="868"/>
      <c r="K73" s="872">
        <v>0</v>
      </c>
      <c r="L73" s="872">
        <v>0</v>
      </c>
      <c r="M73" s="872">
        <v>0</v>
      </c>
      <c r="N73" s="868"/>
      <c r="O73" s="872">
        <v>0</v>
      </c>
      <c r="P73" s="873" t="e">
        <v>#DIV/0!</v>
      </c>
      <c r="Q73" s="873" t="e">
        <v>#DIV/0!</v>
      </c>
      <c r="R73" s="873" t="e">
        <v>#DIV/0!</v>
      </c>
      <c r="T73" s="872">
        <v>0</v>
      </c>
      <c r="U73" s="872">
        <v>0</v>
      </c>
      <c r="V73" s="863"/>
      <c r="W73" s="872">
        <v>0</v>
      </c>
      <c r="X73" s="874">
        <v>0</v>
      </c>
      <c r="Y73" s="874">
        <v>0</v>
      </c>
      <c r="Z73" s="874">
        <v>0</v>
      </c>
      <c r="AA73" s="874">
        <v>0</v>
      </c>
      <c r="AB73" s="874">
        <v>0</v>
      </c>
      <c r="AC73" s="874">
        <v>0</v>
      </c>
      <c r="AD73" s="875">
        <v>0</v>
      </c>
      <c r="AE73" s="875">
        <v>0</v>
      </c>
      <c r="AF73" s="863"/>
      <c r="AG73" s="872">
        <v>0</v>
      </c>
      <c r="AH73" s="872">
        <v>0</v>
      </c>
    </row>
    <row r="74" spans="1:34">
      <c r="A74" s="862" t="s">
        <v>1144</v>
      </c>
      <c r="B74" s="862" t="s">
        <v>968</v>
      </c>
      <c r="C74" s="862">
        <v>2020</v>
      </c>
      <c r="D74" s="862" t="s">
        <v>1154</v>
      </c>
      <c r="E74" s="862" t="s">
        <v>957</v>
      </c>
      <c r="G74" s="868">
        <v>0</v>
      </c>
      <c r="H74" s="868">
        <v>0</v>
      </c>
      <c r="I74" s="868">
        <v>0</v>
      </c>
      <c r="J74" s="868"/>
      <c r="K74" s="868">
        <v>0</v>
      </c>
      <c r="L74" s="868">
        <v>0</v>
      </c>
      <c r="M74" s="868">
        <v>0</v>
      </c>
      <c r="N74" s="868"/>
      <c r="O74" s="868">
        <v>0</v>
      </c>
      <c r="P74" s="869" t="e">
        <v>#DIV/0!</v>
      </c>
      <c r="Q74" s="869" t="e">
        <v>#DIV/0!</v>
      </c>
      <c r="R74" s="869" t="e">
        <v>#DIV/0!</v>
      </c>
      <c r="T74" s="868">
        <v>0</v>
      </c>
      <c r="U74" s="868">
        <v>0</v>
      </c>
      <c r="V74" s="863"/>
      <c r="W74" s="868">
        <v>0</v>
      </c>
      <c r="X74" s="870">
        <v>0</v>
      </c>
      <c r="Y74" s="870">
        <v>0</v>
      </c>
      <c r="Z74" s="870">
        <v>0</v>
      </c>
      <c r="AA74" s="870">
        <v>0</v>
      </c>
      <c r="AB74" s="870">
        <v>0</v>
      </c>
      <c r="AC74" s="870">
        <v>0</v>
      </c>
      <c r="AD74" s="863">
        <v>0</v>
      </c>
      <c r="AE74" s="863">
        <v>0</v>
      </c>
      <c r="AF74" s="863"/>
      <c r="AG74" s="868">
        <v>0</v>
      </c>
      <c r="AH74" s="868">
        <v>0</v>
      </c>
    </row>
    <row r="75" spans="1:34">
      <c r="A75" s="862" t="s">
        <v>1145</v>
      </c>
      <c r="B75" s="871" t="s">
        <v>968</v>
      </c>
      <c r="C75" s="871">
        <v>2020</v>
      </c>
      <c r="D75" s="871" t="s">
        <v>1154</v>
      </c>
      <c r="E75" s="871" t="s">
        <v>958</v>
      </c>
      <c r="G75" s="872">
        <v>0</v>
      </c>
      <c r="H75" s="872">
        <v>0</v>
      </c>
      <c r="I75" s="872">
        <v>0</v>
      </c>
      <c r="J75" s="868"/>
      <c r="K75" s="872">
        <v>0</v>
      </c>
      <c r="L75" s="872">
        <v>0</v>
      </c>
      <c r="M75" s="872">
        <v>0</v>
      </c>
      <c r="N75" s="868"/>
      <c r="O75" s="872">
        <v>0</v>
      </c>
      <c r="P75" s="873" t="e">
        <v>#DIV/0!</v>
      </c>
      <c r="Q75" s="873" t="e">
        <v>#DIV/0!</v>
      </c>
      <c r="R75" s="873" t="e">
        <v>#DIV/0!</v>
      </c>
      <c r="T75" s="872">
        <v>0</v>
      </c>
      <c r="U75" s="872">
        <v>0</v>
      </c>
      <c r="V75" s="863"/>
      <c r="W75" s="872">
        <v>0</v>
      </c>
      <c r="X75" s="874">
        <v>0</v>
      </c>
      <c r="Y75" s="874">
        <v>0</v>
      </c>
      <c r="Z75" s="874">
        <v>0</v>
      </c>
      <c r="AA75" s="874">
        <v>0</v>
      </c>
      <c r="AB75" s="874">
        <v>0</v>
      </c>
      <c r="AC75" s="874">
        <v>0</v>
      </c>
      <c r="AD75" s="875">
        <v>0</v>
      </c>
      <c r="AE75" s="875">
        <v>0</v>
      </c>
      <c r="AF75" s="863"/>
      <c r="AG75" s="872">
        <v>0</v>
      </c>
      <c r="AH75" s="872">
        <v>0</v>
      </c>
    </row>
    <row r="76" spans="1:34">
      <c r="A76" s="862" t="s">
        <v>1146</v>
      </c>
      <c r="B76" s="862" t="s">
        <v>968</v>
      </c>
      <c r="C76" s="862">
        <v>2020</v>
      </c>
      <c r="D76" s="862" t="s">
        <v>1154</v>
      </c>
      <c r="E76" s="862" t="s">
        <v>959</v>
      </c>
      <c r="G76" s="868">
        <v>0</v>
      </c>
      <c r="H76" s="868">
        <v>0</v>
      </c>
      <c r="I76" s="868">
        <v>0</v>
      </c>
      <c r="J76" s="868"/>
      <c r="K76" s="868">
        <v>0</v>
      </c>
      <c r="L76" s="868">
        <v>0</v>
      </c>
      <c r="M76" s="868">
        <v>0</v>
      </c>
      <c r="N76" s="868"/>
      <c r="O76" s="868">
        <v>0</v>
      </c>
      <c r="P76" s="869" t="e">
        <v>#DIV/0!</v>
      </c>
      <c r="Q76" s="869" t="e">
        <v>#DIV/0!</v>
      </c>
      <c r="R76" s="869" t="e">
        <v>#DIV/0!</v>
      </c>
      <c r="T76" s="868">
        <v>0</v>
      </c>
      <c r="U76" s="868">
        <v>0</v>
      </c>
      <c r="V76" s="863"/>
      <c r="W76" s="868">
        <v>0</v>
      </c>
      <c r="X76" s="870">
        <v>0</v>
      </c>
      <c r="Y76" s="870">
        <v>0</v>
      </c>
      <c r="Z76" s="870">
        <v>0</v>
      </c>
      <c r="AA76" s="870">
        <v>0</v>
      </c>
      <c r="AB76" s="870">
        <v>0</v>
      </c>
      <c r="AC76" s="870">
        <v>0</v>
      </c>
      <c r="AD76" s="863">
        <v>0</v>
      </c>
      <c r="AE76" s="863">
        <v>0</v>
      </c>
      <c r="AF76" s="863"/>
      <c r="AG76" s="868">
        <v>0</v>
      </c>
      <c r="AH76" s="868">
        <v>0</v>
      </c>
    </row>
    <row r="78" spans="1:34">
      <c r="A78" s="862" t="s">
        <v>1074</v>
      </c>
      <c r="B78" s="867" t="s">
        <v>1075</v>
      </c>
      <c r="C78" s="867">
        <v>2020</v>
      </c>
      <c r="D78" s="867" t="s">
        <v>1154</v>
      </c>
      <c r="E78" s="862" t="s">
        <v>955</v>
      </c>
      <c r="G78" s="868">
        <v>0</v>
      </c>
      <c r="H78" s="868">
        <v>1341.6351241756129</v>
      </c>
      <c r="I78" s="868">
        <v>4886.1063510559115</v>
      </c>
      <c r="J78" s="868"/>
      <c r="K78" s="868">
        <v>0</v>
      </c>
      <c r="L78" s="868">
        <v>0</v>
      </c>
      <c r="M78" s="868">
        <v>0</v>
      </c>
      <c r="N78" s="868"/>
      <c r="O78" s="868">
        <v>905</v>
      </c>
      <c r="P78" s="869">
        <v>0.12375690607734803</v>
      </c>
      <c r="Q78" s="869">
        <v>0.44640883977900553</v>
      </c>
      <c r="R78" s="869">
        <v>0.4298342541436464</v>
      </c>
      <c r="T78" s="868">
        <v>0</v>
      </c>
      <c r="U78" s="868">
        <v>0</v>
      </c>
      <c r="V78" s="863"/>
      <c r="W78" s="868">
        <v>0</v>
      </c>
      <c r="X78" s="870">
        <v>8.9999999999999993E-3</v>
      </c>
      <c r="Y78" s="870">
        <v>8.9999999999999993E-3</v>
      </c>
      <c r="Z78" s="870">
        <v>8.9999999999999993E-3</v>
      </c>
      <c r="AA78" s="870">
        <v>1.9E-2</v>
      </c>
      <c r="AB78" s="870">
        <v>2.9000000000000001E-2</v>
      </c>
      <c r="AC78" s="870">
        <v>3.9E-2</v>
      </c>
      <c r="AD78" s="863" t="s">
        <v>122</v>
      </c>
      <c r="AE78" s="863" t="s">
        <v>122</v>
      </c>
      <c r="AF78" s="863"/>
      <c r="AG78" s="868">
        <v>0</v>
      </c>
      <c r="AH78" s="868">
        <v>0</v>
      </c>
    </row>
    <row r="79" spans="1:34">
      <c r="A79" s="862" t="s">
        <v>1076</v>
      </c>
      <c r="B79" s="871" t="s">
        <v>1075</v>
      </c>
      <c r="C79" s="871">
        <v>2020</v>
      </c>
      <c r="D79" s="871" t="s">
        <v>1154</v>
      </c>
      <c r="E79" s="871" t="s">
        <v>956</v>
      </c>
      <c r="G79" s="872">
        <v>0</v>
      </c>
      <c r="H79" s="872">
        <v>1341.6351241756129</v>
      </c>
      <c r="I79" s="872">
        <v>4526.1063510559115</v>
      </c>
      <c r="J79" s="868"/>
      <c r="K79" s="872">
        <v>0</v>
      </c>
      <c r="L79" s="872">
        <v>0</v>
      </c>
      <c r="M79" s="872">
        <v>0</v>
      </c>
      <c r="N79" s="868"/>
      <c r="O79" s="872">
        <v>1663</v>
      </c>
      <c r="P79" s="873">
        <v>0.18641010222489479</v>
      </c>
      <c r="Q79" s="873">
        <v>0.5748647023451593</v>
      </c>
      <c r="R79" s="873">
        <v>0.23872519542994589</v>
      </c>
      <c r="T79" s="872">
        <v>0</v>
      </c>
      <c r="U79" s="872">
        <v>0</v>
      </c>
      <c r="V79" s="863"/>
      <c r="W79" s="872">
        <v>0</v>
      </c>
      <c r="X79" s="874">
        <v>9.0000000000000011E-3</v>
      </c>
      <c r="Y79" s="874">
        <v>9.0000000000000011E-3</v>
      </c>
      <c r="Z79" s="874">
        <v>9.0000000000000011E-3</v>
      </c>
      <c r="AA79" s="874">
        <v>1.9000000000000003E-2</v>
      </c>
      <c r="AB79" s="874">
        <v>2.9000000000000005E-2</v>
      </c>
      <c r="AC79" s="874">
        <v>3.9E-2</v>
      </c>
      <c r="AD79" s="875" t="s">
        <v>122</v>
      </c>
      <c r="AE79" s="875" t="s">
        <v>122</v>
      </c>
      <c r="AF79" s="863"/>
      <c r="AG79" s="872">
        <v>0</v>
      </c>
      <c r="AH79" s="872">
        <v>0</v>
      </c>
    </row>
    <row r="80" spans="1:34">
      <c r="A80" s="862" t="s">
        <v>1077</v>
      </c>
      <c r="B80" s="862" t="s">
        <v>1075</v>
      </c>
      <c r="C80" s="862">
        <v>2020</v>
      </c>
      <c r="D80" s="862" t="s">
        <v>1154</v>
      </c>
      <c r="E80" s="862" t="s">
        <v>957</v>
      </c>
      <c r="G80" s="868">
        <v>0</v>
      </c>
      <c r="H80" s="868">
        <v>1341.6351241756129</v>
      </c>
      <c r="I80" s="868">
        <v>4526.1063510559115</v>
      </c>
      <c r="J80" s="868"/>
      <c r="K80" s="868">
        <v>0</v>
      </c>
      <c r="L80" s="868">
        <v>0</v>
      </c>
      <c r="M80" s="868">
        <v>0</v>
      </c>
      <c r="N80" s="868"/>
      <c r="O80" s="868">
        <v>1161</v>
      </c>
      <c r="P80" s="869">
        <v>0.23944875107665806</v>
      </c>
      <c r="Q80" s="869">
        <v>0.5400516795865633</v>
      </c>
      <c r="R80" s="869">
        <v>0.22049956933677864</v>
      </c>
      <c r="T80" s="868">
        <v>0</v>
      </c>
      <c r="U80" s="868">
        <v>0</v>
      </c>
      <c r="V80" s="863"/>
      <c r="W80" s="868">
        <v>0</v>
      </c>
      <c r="X80" s="870">
        <v>8.9999999999999993E-3</v>
      </c>
      <c r="Y80" s="870">
        <v>8.9999999999999993E-3</v>
      </c>
      <c r="Z80" s="870">
        <v>8.9999999999999993E-3</v>
      </c>
      <c r="AA80" s="870">
        <v>1.9E-2</v>
      </c>
      <c r="AB80" s="870">
        <v>2.9000000000000001E-2</v>
      </c>
      <c r="AC80" s="870">
        <v>3.9E-2</v>
      </c>
      <c r="AD80" s="863" t="s">
        <v>122</v>
      </c>
      <c r="AE80" s="863" t="s">
        <v>122</v>
      </c>
      <c r="AF80" s="863"/>
      <c r="AG80" s="868">
        <v>0</v>
      </c>
      <c r="AH80" s="868">
        <v>0</v>
      </c>
    </row>
    <row r="81" spans="1:34">
      <c r="A81" s="862" t="s">
        <v>1078</v>
      </c>
      <c r="B81" s="871" t="s">
        <v>1075</v>
      </c>
      <c r="C81" s="871">
        <v>2020</v>
      </c>
      <c r="D81" s="871" t="s">
        <v>1154</v>
      </c>
      <c r="E81" s="871" t="s">
        <v>958</v>
      </c>
      <c r="G81" s="872">
        <v>0</v>
      </c>
      <c r="H81" s="872">
        <v>1341.6351241756129</v>
      </c>
      <c r="I81" s="872">
        <v>4166.1063510559115</v>
      </c>
      <c r="J81" s="868"/>
      <c r="K81" s="872">
        <v>0</v>
      </c>
      <c r="L81" s="872">
        <v>0</v>
      </c>
      <c r="M81" s="872">
        <v>0</v>
      </c>
      <c r="N81" s="868"/>
      <c r="O81" s="872">
        <v>2093</v>
      </c>
      <c r="P81" s="873">
        <v>0.27042522694696608</v>
      </c>
      <c r="Q81" s="873">
        <v>0.63497372193024371</v>
      </c>
      <c r="R81" s="873">
        <v>9.4601051122790256E-2</v>
      </c>
      <c r="T81" s="872">
        <v>0</v>
      </c>
      <c r="U81" s="872">
        <v>0</v>
      </c>
      <c r="V81" s="863"/>
      <c r="W81" s="872">
        <v>0</v>
      </c>
      <c r="X81" s="874">
        <v>8.9999999999999976E-3</v>
      </c>
      <c r="Y81" s="874">
        <v>8.9999999999999976E-3</v>
      </c>
      <c r="Z81" s="874">
        <v>8.9999999999999976E-3</v>
      </c>
      <c r="AA81" s="874">
        <v>1.8999999999999996E-2</v>
      </c>
      <c r="AB81" s="874">
        <v>2.9000000000000001E-2</v>
      </c>
      <c r="AC81" s="874">
        <v>3.9E-2</v>
      </c>
      <c r="AD81" s="875" t="s">
        <v>122</v>
      </c>
      <c r="AE81" s="875" t="s">
        <v>122</v>
      </c>
      <c r="AF81" s="863"/>
      <c r="AG81" s="872">
        <v>0</v>
      </c>
      <c r="AH81" s="872">
        <v>0</v>
      </c>
    </row>
    <row r="82" spans="1:34">
      <c r="A82" s="862" t="s">
        <v>1079</v>
      </c>
      <c r="B82" s="862" t="s">
        <v>1075</v>
      </c>
      <c r="C82" s="862">
        <v>2020</v>
      </c>
      <c r="D82" s="862" t="s">
        <v>1154</v>
      </c>
      <c r="E82" s="862" t="s">
        <v>959</v>
      </c>
      <c r="G82" s="868">
        <v>0</v>
      </c>
      <c r="H82" s="868">
        <v>1341.6351241756129</v>
      </c>
      <c r="I82" s="868">
        <v>4166.1063510559115</v>
      </c>
      <c r="J82" s="868"/>
      <c r="K82" s="868">
        <v>0</v>
      </c>
      <c r="L82" s="868">
        <v>0</v>
      </c>
      <c r="M82" s="868">
        <v>0</v>
      </c>
      <c r="N82" s="868"/>
      <c r="O82" s="868">
        <v>675</v>
      </c>
      <c r="P82" s="869">
        <v>0.28740740740740739</v>
      </c>
      <c r="Q82" s="869">
        <v>0.5881481481481482</v>
      </c>
      <c r="R82" s="869">
        <v>0.12444444444444444</v>
      </c>
      <c r="T82" s="868">
        <v>0</v>
      </c>
      <c r="U82" s="868">
        <v>0</v>
      </c>
      <c r="V82" s="863"/>
      <c r="W82" s="868">
        <v>0</v>
      </c>
      <c r="X82" s="870">
        <v>8.9999999999999993E-3</v>
      </c>
      <c r="Y82" s="870">
        <v>8.9999999999999993E-3</v>
      </c>
      <c r="Z82" s="870">
        <v>8.9999999999999993E-3</v>
      </c>
      <c r="AA82" s="870">
        <v>1.9E-2</v>
      </c>
      <c r="AB82" s="870">
        <v>2.9000000000000001E-2</v>
      </c>
      <c r="AC82" s="870">
        <v>3.9E-2</v>
      </c>
      <c r="AD82" s="863" t="s">
        <v>122</v>
      </c>
      <c r="AE82" s="863" t="s">
        <v>122</v>
      </c>
      <c r="AF82" s="863"/>
      <c r="AG82" s="868">
        <v>0</v>
      </c>
      <c r="AH82" s="86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6" tint="0.39997558519241921"/>
  </sheetPr>
  <dimension ref="A3:AH82"/>
  <sheetViews>
    <sheetView showGridLines="0" topLeftCell="A13" zoomScale="70" zoomScaleNormal="70" workbookViewId="0">
      <selection activeCell="L31" sqref="A1:XFD1048576"/>
    </sheetView>
  </sheetViews>
  <sheetFormatPr defaultRowHeight="12.75"/>
  <cols>
    <col min="1" max="1" width="9.140625" style="862"/>
    <col min="2" max="5" width="13.5703125" style="862" customWidth="1"/>
    <col min="6" max="6" width="2.42578125" style="862" customWidth="1"/>
    <col min="7" max="9" width="9.28515625" style="862" customWidth="1"/>
    <col min="10" max="10" width="2.42578125" style="862" customWidth="1"/>
    <col min="11" max="13" width="9.28515625" style="862" customWidth="1"/>
    <col min="14" max="14" width="2.42578125" style="862" customWidth="1"/>
    <col min="15" max="18" width="9.28515625" style="862" customWidth="1"/>
    <col min="19" max="19" width="2.42578125" style="862" customWidth="1"/>
    <col min="20" max="21" width="9.28515625" style="862" customWidth="1"/>
    <col min="22" max="22" width="2.42578125" style="862" customWidth="1"/>
    <col min="23" max="31" width="9.140625" style="862"/>
    <col min="32" max="32" width="2.42578125" style="862" customWidth="1"/>
    <col min="33" max="16384" width="9.140625" style="862"/>
  </cols>
  <sheetData>
    <row r="3" spans="1:34" s="863" customFormat="1">
      <c r="G3" s="863">
        <v>21</v>
      </c>
      <c r="H3" s="863">
        <v>22</v>
      </c>
      <c r="I3" s="863">
        <v>98</v>
      </c>
      <c r="O3" s="863">
        <v>29</v>
      </c>
      <c r="P3" s="863">
        <v>26</v>
      </c>
      <c r="Q3" s="863">
        <v>27</v>
      </c>
      <c r="R3" s="863">
        <v>28</v>
      </c>
      <c r="T3" s="863">
        <v>77</v>
      </c>
      <c r="W3" s="863">
        <v>88</v>
      </c>
      <c r="X3" s="863">
        <v>89</v>
      </c>
      <c r="Y3" s="863">
        <v>90</v>
      </c>
      <c r="Z3" s="863">
        <v>91</v>
      </c>
      <c r="AA3" s="863">
        <v>92</v>
      </c>
      <c r="AC3" s="863">
        <v>93</v>
      </c>
      <c r="AD3" s="863">
        <v>94</v>
      </c>
      <c r="AG3" s="863">
        <v>101</v>
      </c>
      <c r="AH3" s="863">
        <v>106</v>
      </c>
    </row>
    <row r="4" spans="1:34" s="863" customFormat="1">
      <c r="G4" s="863" t="s">
        <v>858</v>
      </c>
      <c r="H4" s="863" t="s">
        <v>858</v>
      </c>
      <c r="I4" s="863" t="s">
        <v>858</v>
      </c>
      <c r="K4" s="863" t="s">
        <v>858</v>
      </c>
      <c r="L4" s="863" t="s">
        <v>858</v>
      </c>
      <c r="M4" s="863" t="s">
        <v>858</v>
      </c>
      <c r="O4" s="863" t="s">
        <v>1014</v>
      </c>
      <c r="P4" s="863" t="s">
        <v>1015</v>
      </c>
      <c r="Q4" s="863" t="s">
        <v>1015</v>
      </c>
      <c r="R4" s="863" t="s">
        <v>1015</v>
      </c>
      <c r="T4" s="863" t="s">
        <v>1016</v>
      </c>
      <c r="U4" s="863" t="s">
        <v>1016</v>
      </c>
      <c r="W4" s="863" t="s">
        <v>1016</v>
      </c>
      <c r="X4" s="863" t="s">
        <v>1016</v>
      </c>
      <c r="Y4" s="863" t="s">
        <v>1016</v>
      </c>
      <c r="Z4" s="863" t="s">
        <v>1016</v>
      </c>
      <c r="AA4" s="863" t="s">
        <v>1016</v>
      </c>
      <c r="AB4" s="863" t="s">
        <v>1016</v>
      </c>
      <c r="AC4" s="863" t="s">
        <v>1016</v>
      </c>
      <c r="AD4" s="863" t="s">
        <v>1016</v>
      </c>
      <c r="AE4" s="863" t="s">
        <v>1016</v>
      </c>
      <c r="AG4" s="863" t="s">
        <v>1016</v>
      </c>
      <c r="AH4" s="863" t="s">
        <v>1016</v>
      </c>
    </row>
    <row r="5" spans="1:34" ht="25.5">
      <c r="B5" s="864" t="s">
        <v>984</v>
      </c>
      <c r="C5" s="864" t="s">
        <v>95</v>
      </c>
      <c r="D5" s="864" t="s">
        <v>1017</v>
      </c>
      <c r="E5" s="864" t="s">
        <v>1018</v>
      </c>
      <c r="G5" s="865" t="s">
        <v>328</v>
      </c>
      <c r="H5" s="865" t="s">
        <v>329</v>
      </c>
      <c r="I5" s="865" t="s">
        <v>330</v>
      </c>
      <c r="J5" s="863"/>
      <c r="K5" s="865" t="s">
        <v>1019</v>
      </c>
      <c r="L5" s="865" t="s">
        <v>1020</v>
      </c>
      <c r="M5" s="865" t="s">
        <v>1021</v>
      </c>
      <c r="N5" s="863"/>
      <c r="O5" s="865" t="s">
        <v>1022</v>
      </c>
      <c r="P5" s="865" t="s">
        <v>328</v>
      </c>
      <c r="Q5" s="865" t="s">
        <v>329</v>
      </c>
      <c r="R5" s="865" t="s">
        <v>330</v>
      </c>
      <c r="T5" s="865" t="s">
        <v>1023</v>
      </c>
      <c r="U5" s="865" t="s">
        <v>1024</v>
      </c>
      <c r="V5" s="863"/>
      <c r="W5" s="865" t="s">
        <v>715</v>
      </c>
      <c r="X5" s="866" t="s">
        <v>1025</v>
      </c>
      <c r="Y5" s="866" t="s">
        <v>1026</v>
      </c>
      <c r="Z5" s="866" t="s">
        <v>1027</v>
      </c>
      <c r="AA5" s="866" t="s">
        <v>969</v>
      </c>
      <c r="AB5" s="866" t="s">
        <v>970</v>
      </c>
      <c r="AC5" s="866" t="s">
        <v>971</v>
      </c>
      <c r="AD5" s="866" t="s">
        <v>972</v>
      </c>
      <c r="AE5" s="866" t="s">
        <v>1028</v>
      </c>
      <c r="AF5" s="863"/>
      <c r="AG5" s="865" t="s">
        <v>0</v>
      </c>
      <c r="AH5" s="865" t="s">
        <v>7</v>
      </c>
    </row>
    <row r="6" spans="1:34">
      <c r="A6" s="862" t="s">
        <v>1029</v>
      </c>
      <c r="B6" s="867" t="s">
        <v>962</v>
      </c>
      <c r="C6" s="867">
        <v>2019</v>
      </c>
      <c r="D6" s="867" t="s">
        <v>1162</v>
      </c>
      <c r="E6" s="862" t="s">
        <v>955</v>
      </c>
      <c r="G6" s="868">
        <v>0</v>
      </c>
      <c r="H6" s="868">
        <v>0</v>
      </c>
      <c r="I6" s="868">
        <v>0</v>
      </c>
      <c r="J6" s="868"/>
      <c r="K6" s="868">
        <v>0</v>
      </c>
      <c r="L6" s="868">
        <v>0</v>
      </c>
      <c r="M6" s="868">
        <v>0</v>
      </c>
      <c r="N6" s="868"/>
      <c r="O6" s="868" t="e">
        <v>#N/A</v>
      </c>
      <c r="P6" s="869" t="e">
        <v>#N/A</v>
      </c>
      <c r="Q6" s="869" t="e">
        <v>#N/A</v>
      </c>
      <c r="R6" s="869" t="e">
        <v>#N/A</v>
      </c>
      <c r="T6" s="868">
        <v>0</v>
      </c>
      <c r="U6" s="868">
        <v>0</v>
      </c>
      <c r="V6" s="863"/>
      <c r="W6" s="868">
        <v>0</v>
      </c>
      <c r="X6" s="870">
        <v>0</v>
      </c>
      <c r="Y6" s="870">
        <v>0</v>
      </c>
      <c r="Z6" s="870">
        <v>0</v>
      </c>
      <c r="AA6" s="870">
        <v>0</v>
      </c>
      <c r="AB6" s="870">
        <v>0</v>
      </c>
      <c r="AC6" s="870">
        <v>0</v>
      </c>
      <c r="AD6" s="881">
        <v>0</v>
      </c>
      <c r="AE6" s="881">
        <v>0</v>
      </c>
      <c r="AF6" s="863"/>
      <c r="AG6" s="868">
        <v>0</v>
      </c>
      <c r="AH6" s="868">
        <v>0</v>
      </c>
    </row>
    <row r="7" spans="1:34">
      <c r="A7" s="862" t="s">
        <v>1030</v>
      </c>
      <c r="B7" s="871" t="s">
        <v>962</v>
      </c>
      <c r="C7" s="871">
        <v>2019</v>
      </c>
      <c r="D7" s="871" t="s">
        <v>1162</v>
      </c>
      <c r="E7" s="871" t="s">
        <v>956</v>
      </c>
      <c r="G7" s="872">
        <v>0</v>
      </c>
      <c r="H7" s="872">
        <v>0</v>
      </c>
      <c r="I7" s="872">
        <v>0</v>
      </c>
      <c r="J7" s="868"/>
      <c r="K7" s="872">
        <v>0</v>
      </c>
      <c r="L7" s="872">
        <v>0</v>
      </c>
      <c r="M7" s="872">
        <v>0</v>
      </c>
      <c r="N7" s="868"/>
      <c r="O7" s="872" t="e">
        <v>#N/A</v>
      </c>
      <c r="P7" s="873" t="e">
        <v>#N/A</v>
      </c>
      <c r="Q7" s="873" t="e">
        <v>#N/A</v>
      </c>
      <c r="R7" s="873" t="e">
        <v>#N/A</v>
      </c>
      <c r="T7" s="872">
        <v>0</v>
      </c>
      <c r="U7" s="872">
        <v>0</v>
      </c>
      <c r="V7" s="863"/>
      <c r="W7" s="872">
        <v>0</v>
      </c>
      <c r="X7" s="874">
        <v>0</v>
      </c>
      <c r="Y7" s="874">
        <v>0</v>
      </c>
      <c r="Z7" s="874">
        <v>0</v>
      </c>
      <c r="AA7" s="874">
        <v>0</v>
      </c>
      <c r="AB7" s="874">
        <v>0</v>
      </c>
      <c r="AC7" s="874">
        <v>0</v>
      </c>
      <c r="AD7" s="882">
        <v>0</v>
      </c>
      <c r="AE7" s="882">
        <v>0</v>
      </c>
      <c r="AF7" s="863"/>
      <c r="AG7" s="872">
        <v>0</v>
      </c>
      <c r="AH7" s="872">
        <v>0</v>
      </c>
    </row>
    <row r="8" spans="1:34">
      <c r="A8" s="862" t="s">
        <v>1031</v>
      </c>
      <c r="B8" s="862" t="s">
        <v>962</v>
      </c>
      <c r="C8" s="862">
        <v>2019</v>
      </c>
      <c r="D8" s="862" t="s">
        <v>1162</v>
      </c>
      <c r="E8" s="862" t="s">
        <v>957</v>
      </c>
      <c r="G8" s="868">
        <v>0</v>
      </c>
      <c r="H8" s="868">
        <v>0</v>
      </c>
      <c r="I8" s="868">
        <v>0</v>
      </c>
      <c r="J8" s="868"/>
      <c r="K8" s="868">
        <v>0</v>
      </c>
      <c r="L8" s="868">
        <v>0</v>
      </c>
      <c r="M8" s="868">
        <v>0</v>
      </c>
      <c r="N8" s="868"/>
      <c r="O8" s="868" t="e">
        <v>#N/A</v>
      </c>
      <c r="P8" s="869" t="e">
        <v>#N/A</v>
      </c>
      <c r="Q8" s="869" t="e">
        <v>#N/A</v>
      </c>
      <c r="R8" s="869" t="e">
        <v>#N/A</v>
      </c>
      <c r="T8" s="868">
        <v>0</v>
      </c>
      <c r="U8" s="868">
        <v>0</v>
      </c>
      <c r="V8" s="863"/>
      <c r="W8" s="868">
        <v>0</v>
      </c>
      <c r="X8" s="870">
        <v>0</v>
      </c>
      <c r="Y8" s="870">
        <v>0</v>
      </c>
      <c r="Z8" s="870">
        <v>0</v>
      </c>
      <c r="AA8" s="870">
        <v>0</v>
      </c>
      <c r="AB8" s="870">
        <v>0</v>
      </c>
      <c r="AC8" s="870">
        <v>0</v>
      </c>
      <c r="AD8" s="881">
        <v>0</v>
      </c>
      <c r="AE8" s="881">
        <v>0</v>
      </c>
      <c r="AF8" s="863"/>
      <c r="AG8" s="868">
        <v>0</v>
      </c>
      <c r="AH8" s="868">
        <v>0</v>
      </c>
    </row>
    <row r="9" spans="1:34">
      <c r="A9" s="862" t="s">
        <v>1032</v>
      </c>
      <c r="B9" s="871" t="s">
        <v>962</v>
      </c>
      <c r="C9" s="871">
        <v>2019</v>
      </c>
      <c r="D9" s="871" t="s">
        <v>1162</v>
      </c>
      <c r="E9" s="871" t="s">
        <v>958</v>
      </c>
      <c r="G9" s="872">
        <v>0</v>
      </c>
      <c r="H9" s="872">
        <v>0</v>
      </c>
      <c r="I9" s="872">
        <v>0</v>
      </c>
      <c r="J9" s="868"/>
      <c r="K9" s="872">
        <v>0</v>
      </c>
      <c r="L9" s="872">
        <v>0</v>
      </c>
      <c r="M9" s="872">
        <v>0</v>
      </c>
      <c r="N9" s="868"/>
      <c r="O9" s="872" t="e">
        <v>#N/A</v>
      </c>
      <c r="P9" s="873" t="e">
        <v>#N/A</v>
      </c>
      <c r="Q9" s="873" t="e">
        <v>#N/A</v>
      </c>
      <c r="R9" s="873" t="e">
        <v>#N/A</v>
      </c>
      <c r="T9" s="872">
        <v>0</v>
      </c>
      <c r="U9" s="872">
        <v>0</v>
      </c>
      <c r="V9" s="863"/>
      <c r="W9" s="872">
        <v>0</v>
      </c>
      <c r="X9" s="874">
        <v>0</v>
      </c>
      <c r="Y9" s="874">
        <v>0</v>
      </c>
      <c r="Z9" s="874">
        <v>0</v>
      </c>
      <c r="AA9" s="874">
        <v>0</v>
      </c>
      <c r="AB9" s="874">
        <v>0</v>
      </c>
      <c r="AC9" s="874">
        <v>0</v>
      </c>
      <c r="AD9" s="882">
        <v>0</v>
      </c>
      <c r="AE9" s="882">
        <v>0</v>
      </c>
      <c r="AF9" s="863"/>
      <c r="AG9" s="872">
        <v>0</v>
      </c>
      <c r="AH9" s="872">
        <v>0</v>
      </c>
    </row>
    <row r="10" spans="1:34">
      <c r="A10" s="862" t="s">
        <v>1033</v>
      </c>
      <c r="B10" s="862" t="s">
        <v>962</v>
      </c>
      <c r="C10" s="862">
        <v>2019</v>
      </c>
      <c r="D10" s="862" t="s">
        <v>1162</v>
      </c>
      <c r="E10" s="862" t="s">
        <v>959</v>
      </c>
      <c r="G10" s="868">
        <v>0</v>
      </c>
      <c r="H10" s="868">
        <v>0</v>
      </c>
      <c r="I10" s="868">
        <v>0</v>
      </c>
      <c r="J10" s="868"/>
      <c r="K10" s="868">
        <v>0</v>
      </c>
      <c r="L10" s="868">
        <v>0</v>
      </c>
      <c r="M10" s="868">
        <v>0</v>
      </c>
      <c r="N10" s="868"/>
      <c r="O10" s="868" t="e">
        <v>#N/A</v>
      </c>
      <c r="P10" s="869" t="e">
        <v>#N/A</v>
      </c>
      <c r="Q10" s="869" t="e">
        <v>#N/A</v>
      </c>
      <c r="R10" s="869" t="e">
        <v>#N/A</v>
      </c>
      <c r="T10" s="868">
        <v>0</v>
      </c>
      <c r="U10" s="868">
        <v>0</v>
      </c>
      <c r="V10" s="863"/>
      <c r="W10" s="868">
        <v>0</v>
      </c>
      <c r="X10" s="870">
        <v>0</v>
      </c>
      <c r="Y10" s="870">
        <v>0</v>
      </c>
      <c r="Z10" s="870">
        <v>0</v>
      </c>
      <c r="AA10" s="870">
        <v>0</v>
      </c>
      <c r="AB10" s="870">
        <v>0</v>
      </c>
      <c r="AC10" s="870">
        <v>0</v>
      </c>
      <c r="AD10" s="881">
        <v>0</v>
      </c>
      <c r="AE10" s="881">
        <v>0</v>
      </c>
      <c r="AF10" s="863"/>
      <c r="AG10" s="868">
        <v>0</v>
      </c>
      <c r="AH10" s="868">
        <v>0</v>
      </c>
    </row>
    <row r="11" spans="1:34">
      <c r="G11" s="876"/>
      <c r="H11" s="876"/>
      <c r="I11" s="876"/>
      <c r="J11" s="876"/>
      <c r="K11" s="876"/>
      <c r="L11" s="876"/>
      <c r="M11" s="876"/>
      <c r="N11" s="876"/>
      <c r="O11" s="876"/>
      <c r="P11" s="877"/>
      <c r="Q11" s="877"/>
      <c r="R11" s="877"/>
      <c r="T11" s="876"/>
      <c r="U11" s="876"/>
      <c r="W11" s="876"/>
      <c r="AD11" s="883"/>
      <c r="AE11" s="883"/>
      <c r="AG11" s="876"/>
      <c r="AH11" s="876"/>
    </row>
    <row r="12" spans="1:34">
      <c r="A12" s="862" t="s">
        <v>1126</v>
      </c>
      <c r="B12" s="867" t="s">
        <v>962</v>
      </c>
      <c r="C12" s="867">
        <v>2020</v>
      </c>
      <c r="D12" s="867" t="s">
        <v>1162</v>
      </c>
      <c r="E12" s="862" t="s">
        <v>955</v>
      </c>
      <c r="G12" s="868">
        <v>1250</v>
      </c>
      <c r="H12" s="868">
        <v>1653.5492916397523</v>
      </c>
      <c r="I12" s="868">
        <v>5481.7109265464023</v>
      </c>
      <c r="J12" s="868"/>
      <c r="K12" s="868">
        <v>0</v>
      </c>
      <c r="L12" s="868">
        <v>0</v>
      </c>
      <c r="M12" s="868">
        <v>0</v>
      </c>
      <c r="N12" s="868"/>
      <c r="O12" s="868">
        <v>978</v>
      </c>
      <c r="P12" s="869">
        <v>0.15848670756646213</v>
      </c>
      <c r="Q12" s="869">
        <v>0.14314928425357873</v>
      </c>
      <c r="R12" s="869">
        <v>0.69836400817995914</v>
      </c>
      <c r="T12" s="868">
        <v>1250</v>
      </c>
      <c r="U12" s="868">
        <v>0</v>
      </c>
      <c r="V12" s="863"/>
      <c r="W12" s="868">
        <v>0</v>
      </c>
      <c r="X12" s="870">
        <v>0</v>
      </c>
      <c r="Y12" s="870">
        <v>0</v>
      </c>
      <c r="Z12" s="870">
        <v>0</v>
      </c>
      <c r="AA12" s="870">
        <v>0</v>
      </c>
      <c r="AB12" s="870">
        <v>8.9999999999999993E-3</v>
      </c>
      <c r="AC12" s="870">
        <v>1.9E-2</v>
      </c>
      <c r="AD12" s="881">
        <v>3.9E-2</v>
      </c>
      <c r="AE12" s="881">
        <v>3.9E-2</v>
      </c>
      <c r="AF12" s="863"/>
      <c r="AG12" s="868">
        <v>0</v>
      </c>
      <c r="AH12" s="868">
        <v>0</v>
      </c>
    </row>
    <row r="13" spans="1:34">
      <c r="A13" s="862" t="s">
        <v>1127</v>
      </c>
      <c r="B13" s="871" t="s">
        <v>962</v>
      </c>
      <c r="C13" s="871">
        <v>2020</v>
      </c>
      <c r="D13" s="871" t="s">
        <v>1162</v>
      </c>
      <c r="E13" s="871" t="s">
        <v>956</v>
      </c>
      <c r="G13" s="872">
        <v>1250</v>
      </c>
      <c r="H13" s="872">
        <v>1653.5492916397525</v>
      </c>
      <c r="I13" s="872">
        <v>4981.7109265464023</v>
      </c>
      <c r="J13" s="868"/>
      <c r="K13" s="872">
        <v>0</v>
      </c>
      <c r="L13" s="872">
        <v>0</v>
      </c>
      <c r="M13" s="872">
        <v>0</v>
      </c>
      <c r="N13" s="868"/>
      <c r="O13" s="872">
        <v>1601</v>
      </c>
      <c r="P13" s="873">
        <v>0.34665833853841349</v>
      </c>
      <c r="Q13" s="873">
        <v>0.29981261711430357</v>
      </c>
      <c r="R13" s="873">
        <v>0.35352904434728294</v>
      </c>
      <c r="T13" s="872">
        <v>1250</v>
      </c>
      <c r="U13" s="872">
        <v>0</v>
      </c>
      <c r="V13" s="863"/>
      <c r="W13" s="872">
        <v>0</v>
      </c>
      <c r="X13" s="874">
        <v>0</v>
      </c>
      <c r="Y13" s="874">
        <v>0</v>
      </c>
      <c r="Z13" s="874">
        <v>0</v>
      </c>
      <c r="AA13" s="874">
        <v>0</v>
      </c>
      <c r="AB13" s="874">
        <v>8.9999999999999993E-3</v>
      </c>
      <c r="AC13" s="874">
        <v>1.9E-2</v>
      </c>
      <c r="AD13" s="882">
        <v>3.9E-2</v>
      </c>
      <c r="AE13" s="882">
        <v>3.9E-2</v>
      </c>
      <c r="AF13" s="863"/>
      <c r="AG13" s="872">
        <v>0</v>
      </c>
      <c r="AH13" s="872">
        <v>0</v>
      </c>
    </row>
    <row r="14" spans="1:34">
      <c r="A14" s="862" t="s">
        <v>1128</v>
      </c>
      <c r="B14" s="862" t="s">
        <v>962</v>
      </c>
      <c r="C14" s="862">
        <v>2020</v>
      </c>
      <c r="D14" s="862" t="s">
        <v>1162</v>
      </c>
      <c r="E14" s="862" t="s">
        <v>957</v>
      </c>
      <c r="G14" s="868">
        <v>1250</v>
      </c>
      <c r="H14" s="868">
        <v>1653.5492916397525</v>
      </c>
      <c r="I14" s="868">
        <v>4981.7109265464023</v>
      </c>
      <c r="J14" s="868"/>
      <c r="K14" s="868">
        <v>0</v>
      </c>
      <c r="L14" s="868">
        <v>0</v>
      </c>
      <c r="M14" s="868">
        <v>0</v>
      </c>
      <c r="N14" s="868"/>
      <c r="O14" s="868">
        <v>1926</v>
      </c>
      <c r="P14" s="869">
        <v>0.25389408099688471</v>
      </c>
      <c r="Q14" s="869">
        <v>0.38110072689511942</v>
      </c>
      <c r="R14" s="869">
        <v>0.36500519210799587</v>
      </c>
      <c r="T14" s="868">
        <v>1250</v>
      </c>
      <c r="U14" s="868">
        <v>0</v>
      </c>
      <c r="V14" s="863"/>
      <c r="W14" s="868">
        <v>0</v>
      </c>
      <c r="X14" s="870">
        <v>0</v>
      </c>
      <c r="Y14" s="870">
        <v>0</v>
      </c>
      <c r="Z14" s="870">
        <v>0</v>
      </c>
      <c r="AA14" s="870">
        <v>0</v>
      </c>
      <c r="AB14" s="870">
        <v>9.0000000000000011E-3</v>
      </c>
      <c r="AC14" s="870">
        <v>1.9E-2</v>
      </c>
      <c r="AD14" s="881">
        <v>3.9000000000000007E-2</v>
      </c>
      <c r="AE14" s="881">
        <v>3.9000000000000007E-2</v>
      </c>
      <c r="AF14" s="863"/>
      <c r="AG14" s="868">
        <v>0</v>
      </c>
      <c r="AH14" s="868">
        <v>0</v>
      </c>
    </row>
    <row r="15" spans="1:34">
      <c r="A15" s="862" t="s">
        <v>1129</v>
      </c>
      <c r="B15" s="871" t="s">
        <v>962</v>
      </c>
      <c r="C15" s="871">
        <v>2020</v>
      </c>
      <c r="D15" s="871" t="s">
        <v>1162</v>
      </c>
      <c r="E15" s="871" t="s">
        <v>958</v>
      </c>
      <c r="G15" s="872">
        <v>1250</v>
      </c>
      <c r="H15" s="872">
        <v>1653.549291639752</v>
      </c>
      <c r="I15" s="872">
        <v>4591.7109265464023</v>
      </c>
      <c r="J15" s="868"/>
      <c r="K15" s="872">
        <v>0</v>
      </c>
      <c r="L15" s="872">
        <v>0</v>
      </c>
      <c r="M15" s="872">
        <v>0</v>
      </c>
      <c r="N15" s="868"/>
      <c r="O15" s="872">
        <v>1859</v>
      </c>
      <c r="P15" s="873">
        <v>0.45400753093060786</v>
      </c>
      <c r="Q15" s="873">
        <v>0.46530392684238836</v>
      </c>
      <c r="R15" s="873">
        <v>8.0688542227003765E-2</v>
      </c>
      <c r="T15" s="872">
        <v>1250</v>
      </c>
      <c r="U15" s="872">
        <v>0</v>
      </c>
      <c r="V15" s="863"/>
      <c r="W15" s="872">
        <v>0</v>
      </c>
      <c r="X15" s="874">
        <v>0</v>
      </c>
      <c r="Y15" s="874">
        <v>0</v>
      </c>
      <c r="Z15" s="874">
        <v>0</v>
      </c>
      <c r="AA15" s="874">
        <v>0</v>
      </c>
      <c r="AB15" s="874">
        <v>8.9999999999999993E-3</v>
      </c>
      <c r="AC15" s="874">
        <v>1.8999999999999996E-2</v>
      </c>
      <c r="AD15" s="882">
        <v>3.9E-2</v>
      </c>
      <c r="AE15" s="882">
        <v>3.9E-2</v>
      </c>
      <c r="AF15" s="863"/>
      <c r="AG15" s="872">
        <v>0</v>
      </c>
      <c r="AH15" s="872">
        <v>0</v>
      </c>
    </row>
    <row r="16" spans="1:34">
      <c r="A16" s="862" t="s">
        <v>1130</v>
      </c>
      <c r="B16" s="862" t="s">
        <v>962</v>
      </c>
      <c r="C16" s="862">
        <v>2020</v>
      </c>
      <c r="D16" s="862" t="s">
        <v>1162</v>
      </c>
      <c r="E16" s="862" t="s">
        <v>959</v>
      </c>
      <c r="G16" s="868">
        <v>1250</v>
      </c>
      <c r="H16" s="868">
        <v>1653.5492916397523</v>
      </c>
      <c r="I16" s="868">
        <v>4591.7109265464023</v>
      </c>
      <c r="J16" s="868"/>
      <c r="K16" s="868">
        <v>0</v>
      </c>
      <c r="L16" s="868">
        <v>0</v>
      </c>
      <c r="M16" s="868">
        <v>0</v>
      </c>
      <c r="N16" s="868"/>
      <c r="O16" s="868">
        <v>742</v>
      </c>
      <c r="P16" s="869">
        <v>0.46495956873315364</v>
      </c>
      <c r="Q16" s="869">
        <v>0.40296495956873313</v>
      </c>
      <c r="R16" s="869">
        <v>0.13207547169811321</v>
      </c>
      <c r="T16" s="868">
        <v>1250</v>
      </c>
      <c r="U16" s="868">
        <v>0</v>
      </c>
      <c r="V16" s="863"/>
      <c r="W16" s="868">
        <v>0</v>
      </c>
      <c r="X16" s="870">
        <v>0</v>
      </c>
      <c r="Y16" s="870">
        <v>0</v>
      </c>
      <c r="Z16" s="870">
        <v>0</v>
      </c>
      <c r="AA16" s="870">
        <v>0</v>
      </c>
      <c r="AB16" s="870">
        <v>8.9999999999999993E-3</v>
      </c>
      <c r="AC16" s="870">
        <v>1.9E-2</v>
      </c>
      <c r="AD16" s="881">
        <v>3.9E-2</v>
      </c>
      <c r="AE16" s="881">
        <v>3.9E-2</v>
      </c>
      <c r="AF16" s="863"/>
      <c r="AG16" s="868">
        <v>0</v>
      </c>
      <c r="AH16" s="868">
        <v>0</v>
      </c>
    </row>
    <row r="17" spans="1:34">
      <c r="G17" s="876"/>
      <c r="H17" s="876"/>
      <c r="I17" s="876"/>
      <c r="J17" s="876"/>
      <c r="K17" s="876"/>
      <c r="L17" s="876"/>
      <c r="M17" s="876"/>
      <c r="N17" s="876"/>
      <c r="O17" s="876"/>
      <c r="P17" s="877"/>
      <c r="Q17" s="877"/>
      <c r="R17" s="877"/>
      <c r="T17" s="876"/>
      <c r="U17" s="876"/>
      <c r="W17" s="876"/>
      <c r="AD17" s="883"/>
      <c r="AE17" s="883"/>
      <c r="AG17" s="876"/>
      <c r="AH17" s="876"/>
    </row>
    <row r="18" spans="1:34">
      <c r="A18" s="862" t="s">
        <v>1034</v>
      </c>
      <c r="B18" s="867" t="s">
        <v>964</v>
      </c>
      <c r="C18" s="867">
        <v>2019</v>
      </c>
      <c r="D18" s="867" t="s">
        <v>1162</v>
      </c>
      <c r="E18" s="862" t="s">
        <v>955</v>
      </c>
      <c r="G18" s="868">
        <v>0</v>
      </c>
      <c r="H18" s="868">
        <v>0</v>
      </c>
      <c r="I18" s="868">
        <v>0</v>
      </c>
      <c r="J18" s="868"/>
      <c r="K18" s="868">
        <v>0</v>
      </c>
      <c r="L18" s="868">
        <v>0</v>
      </c>
      <c r="M18" s="868">
        <v>0</v>
      </c>
      <c r="N18" s="868"/>
      <c r="O18" s="868" t="e">
        <v>#N/A</v>
      </c>
      <c r="P18" s="869" t="e">
        <v>#N/A</v>
      </c>
      <c r="Q18" s="869" t="e">
        <v>#N/A</v>
      </c>
      <c r="R18" s="869" t="e">
        <v>#N/A</v>
      </c>
      <c r="T18" s="868">
        <v>0</v>
      </c>
      <c r="U18" s="868">
        <v>0</v>
      </c>
      <c r="V18" s="863"/>
      <c r="W18" s="868">
        <v>0</v>
      </c>
      <c r="X18" s="870">
        <v>0</v>
      </c>
      <c r="Y18" s="870">
        <v>0</v>
      </c>
      <c r="Z18" s="870">
        <v>0</v>
      </c>
      <c r="AA18" s="870">
        <v>0</v>
      </c>
      <c r="AB18" s="870">
        <v>0</v>
      </c>
      <c r="AC18" s="870">
        <v>0</v>
      </c>
      <c r="AD18" s="881">
        <v>0</v>
      </c>
      <c r="AE18" s="881">
        <v>0</v>
      </c>
      <c r="AF18" s="863"/>
      <c r="AG18" s="868">
        <v>0</v>
      </c>
      <c r="AH18" s="868">
        <v>0</v>
      </c>
    </row>
    <row r="19" spans="1:34">
      <c r="A19" s="862" t="s">
        <v>1035</v>
      </c>
      <c r="B19" s="871" t="s">
        <v>964</v>
      </c>
      <c r="C19" s="871">
        <v>2019</v>
      </c>
      <c r="D19" s="871" t="s">
        <v>1162</v>
      </c>
      <c r="E19" s="871" t="s">
        <v>956</v>
      </c>
      <c r="G19" s="872">
        <v>0</v>
      </c>
      <c r="H19" s="872">
        <v>0</v>
      </c>
      <c r="I19" s="872">
        <v>0</v>
      </c>
      <c r="J19" s="868"/>
      <c r="K19" s="872">
        <v>0</v>
      </c>
      <c r="L19" s="872">
        <v>0</v>
      </c>
      <c r="M19" s="872">
        <v>0</v>
      </c>
      <c r="N19" s="868"/>
      <c r="O19" s="872" t="e">
        <v>#N/A</v>
      </c>
      <c r="P19" s="873" t="e">
        <v>#N/A</v>
      </c>
      <c r="Q19" s="873" t="e">
        <v>#N/A</v>
      </c>
      <c r="R19" s="873" t="e">
        <v>#N/A</v>
      </c>
      <c r="T19" s="872">
        <v>0</v>
      </c>
      <c r="U19" s="872">
        <v>0</v>
      </c>
      <c r="V19" s="863"/>
      <c r="W19" s="872">
        <v>0</v>
      </c>
      <c r="X19" s="874">
        <v>0</v>
      </c>
      <c r="Y19" s="874">
        <v>0</v>
      </c>
      <c r="Z19" s="874">
        <v>0</v>
      </c>
      <c r="AA19" s="874">
        <v>0</v>
      </c>
      <c r="AB19" s="874">
        <v>0</v>
      </c>
      <c r="AC19" s="874">
        <v>0</v>
      </c>
      <c r="AD19" s="882">
        <v>0</v>
      </c>
      <c r="AE19" s="882">
        <v>0</v>
      </c>
      <c r="AF19" s="863"/>
      <c r="AG19" s="872">
        <v>0</v>
      </c>
      <c r="AH19" s="872">
        <v>0</v>
      </c>
    </row>
    <row r="20" spans="1:34">
      <c r="A20" s="862" t="s">
        <v>1036</v>
      </c>
      <c r="B20" s="862" t="s">
        <v>964</v>
      </c>
      <c r="C20" s="862">
        <v>2019</v>
      </c>
      <c r="D20" s="862" t="s">
        <v>1162</v>
      </c>
      <c r="E20" s="862" t="s">
        <v>957</v>
      </c>
      <c r="G20" s="868">
        <v>0</v>
      </c>
      <c r="H20" s="868">
        <v>0</v>
      </c>
      <c r="I20" s="868">
        <v>0</v>
      </c>
      <c r="J20" s="868"/>
      <c r="K20" s="868">
        <v>0</v>
      </c>
      <c r="L20" s="868">
        <v>0</v>
      </c>
      <c r="M20" s="868">
        <v>0</v>
      </c>
      <c r="N20" s="868"/>
      <c r="O20" s="868" t="e">
        <v>#N/A</v>
      </c>
      <c r="P20" s="869" t="e">
        <v>#N/A</v>
      </c>
      <c r="Q20" s="869" t="e">
        <v>#N/A</v>
      </c>
      <c r="R20" s="869" t="e">
        <v>#N/A</v>
      </c>
      <c r="T20" s="868">
        <v>0</v>
      </c>
      <c r="U20" s="868">
        <v>0</v>
      </c>
      <c r="V20" s="863"/>
      <c r="W20" s="868">
        <v>0</v>
      </c>
      <c r="X20" s="870">
        <v>0</v>
      </c>
      <c r="Y20" s="870">
        <v>0</v>
      </c>
      <c r="Z20" s="870">
        <v>0</v>
      </c>
      <c r="AA20" s="870">
        <v>0</v>
      </c>
      <c r="AB20" s="870">
        <v>0</v>
      </c>
      <c r="AC20" s="870">
        <v>0</v>
      </c>
      <c r="AD20" s="881">
        <v>0</v>
      </c>
      <c r="AE20" s="881">
        <v>0</v>
      </c>
      <c r="AF20" s="863"/>
      <c r="AG20" s="868">
        <v>0</v>
      </c>
      <c r="AH20" s="868">
        <v>0</v>
      </c>
    </row>
    <row r="21" spans="1:34">
      <c r="A21" s="862" t="s">
        <v>1037</v>
      </c>
      <c r="B21" s="871" t="s">
        <v>964</v>
      </c>
      <c r="C21" s="871">
        <v>2019</v>
      </c>
      <c r="D21" s="871" t="s">
        <v>1162</v>
      </c>
      <c r="E21" s="871" t="s">
        <v>958</v>
      </c>
      <c r="G21" s="872">
        <v>0</v>
      </c>
      <c r="H21" s="872">
        <v>0</v>
      </c>
      <c r="I21" s="872">
        <v>0</v>
      </c>
      <c r="J21" s="868"/>
      <c r="K21" s="872">
        <v>0</v>
      </c>
      <c r="L21" s="872">
        <v>0</v>
      </c>
      <c r="M21" s="872">
        <v>0</v>
      </c>
      <c r="N21" s="868"/>
      <c r="O21" s="872" t="e">
        <v>#N/A</v>
      </c>
      <c r="P21" s="873" t="e">
        <v>#N/A</v>
      </c>
      <c r="Q21" s="873" t="e">
        <v>#N/A</v>
      </c>
      <c r="R21" s="873" t="e">
        <v>#N/A</v>
      </c>
      <c r="T21" s="872">
        <v>0</v>
      </c>
      <c r="U21" s="872">
        <v>0</v>
      </c>
      <c r="V21" s="863"/>
      <c r="W21" s="872">
        <v>0</v>
      </c>
      <c r="X21" s="874">
        <v>0</v>
      </c>
      <c r="Y21" s="874">
        <v>0</v>
      </c>
      <c r="Z21" s="874">
        <v>0</v>
      </c>
      <c r="AA21" s="874">
        <v>0</v>
      </c>
      <c r="AB21" s="874">
        <v>0</v>
      </c>
      <c r="AC21" s="874">
        <v>0</v>
      </c>
      <c r="AD21" s="882">
        <v>0</v>
      </c>
      <c r="AE21" s="882">
        <v>0</v>
      </c>
      <c r="AF21" s="863"/>
      <c r="AG21" s="872">
        <v>0</v>
      </c>
      <c r="AH21" s="872">
        <v>0</v>
      </c>
    </row>
    <row r="22" spans="1:34">
      <c r="A22" s="862" t="s">
        <v>1038</v>
      </c>
      <c r="B22" s="862" t="s">
        <v>964</v>
      </c>
      <c r="C22" s="862">
        <v>2019</v>
      </c>
      <c r="D22" s="862" t="s">
        <v>1162</v>
      </c>
      <c r="E22" s="862" t="s">
        <v>959</v>
      </c>
      <c r="G22" s="868">
        <v>0</v>
      </c>
      <c r="H22" s="868">
        <v>0</v>
      </c>
      <c r="I22" s="868">
        <v>0</v>
      </c>
      <c r="J22" s="868"/>
      <c r="K22" s="868">
        <v>0</v>
      </c>
      <c r="L22" s="868">
        <v>0</v>
      </c>
      <c r="M22" s="868">
        <v>0</v>
      </c>
      <c r="N22" s="868"/>
      <c r="O22" s="868" t="e">
        <v>#N/A</v>
      </c>
      <c r="P22" s="869" t="e">
        <v>#N/A</v>
      </c>
      <c r="Q22" s="869" t="e">
        <v>#N/A</v>
      </c>
      <c r="R22" s="869" t="e">
        <v>#N/A</v>
      </c>
      <c r="T22" s="868">
        <v>0</v>
      </c>
      <c r="U22" s="868">
        <v>0</v>
      </c>
      <c r="V22" s="863"/>
      <c r="W22" s="868">
        <v>0</v>
      </c>
      <c r="X22" s="870">
        <v>0</v>
      </c>
      <c r="Y22" s="870">
        <v>0</v>
      </c>
      <c r="Z22" s="870">
        <v>0</v>
      </c>
      <c r="AA22" s="870">
        <v>0</v>
      </c>
      <c r="AB22" s="870">
        <v>0</v>
      </c>
      <c r="AC22" s="870">
        <v>0</v>
      </c>
      <c r="AD22" s="881">
        <v>0</v>
      </c>
      <c r="AE22" s="881">
        <v>0</v>
      </c>
      <c r="AF22" s="863"/>
      <c r="AG22" s="868">
        <v>0</v>
      </c>
      <c r="AH22" s="868">
        <v>0</v>
      </c>
    </row>
    <row r="23" spans="1:34">
      <c r="G23" s="876"/>
      <c r="H23" s="876"/>
      <c r="I23" s="876"/>
      <c r="J23" s="876"/>
      <c r="K23" s="876"/>
      <c r="L23" s="876"/>
      <c r="M23" s="876"/>
      <c r="N23" s="876"/>
      <c r="O23" s="876"/>
      <c r="P23" s="877"/>
      <c r="Q23" s="877"/>
      <c r="R23" s="877"/>
      <c r="T23" s="876"/>
      <c r="U23" s="876"/>
      <c r="W23" s="876"/>
      <c r="AD23" s="883"/>
      <c r="AE23" s="883"/>
      <c r="AG23" s="876"/>
      <c r="AH23" s="876"/>
    </row>
    <row r="24" spans="1:34">
      <c r="A24" s="862" t="s">
        <v>1132</v>
      </c>
      <c r="B24" s="867" t="s">
        <v>964</v>
      </c>
      <c r="C24" s="867">
        <v>2020</v>
      </c>
      <c r="D24" s="867" t="s">
        <v>1162</v>
      </c>
      <c r="E24" s="862" t="s">
        <v>955</v>
      </c>
      <c r="G24" s="868">
        <v>2751.0000000000005</v>
      </c>
      <c r="H24" s="868">
        <v>2531.560604394273</v>
      </c>
      <c r="I24" s="868">
        <v>6825.6129022020941</v>
      </c>
      <c r="J24" s="868"/>
      <c r="K24" s="868">
        <v>0</v>
      </c>
      <c r="L24" s="868">
        <v>0</v>
      </c>
      <c r="M24" s="868">
        <v>0</v>
      </c>
      <c r="N24" s="868"/>
      <c r="O24" s="868">
        <v>410</v>
      </c>
      <c r="P24" s="869">
        <v>0.24146341463414639</v>
      </c>
      <c r="Q24" s="869">
        <v>3.4146341463414637E-2</v>
      </c>
      <c r="R24" s="869">
        <v>0.724390243902439</v>
      </c>
      <c r="T24" s="868">
        <v>2751.0000000000005</v>
      </c>
      <c r="U24" s="868">
        <v>0</v>
      </c>
      <c r="V24" s="863"/>
      <c r="W24" s="868">
        <v>0</v>
      </c>
      <c r="X24" s="870">
        <v>0</v>
      </c>
      <c r="Y24" s="870">
        <v>0</v>
      </c>
      <c r="Z24" s="870">
        <v>0</v>
      </c>
      <c r="AA24" s="870">
        <v>0</v>
      </c>
      <c r="AB24" s="870">
        <v>0</v>
      </c>
      <c r="AC24" s="870">
        <v>9.0000000000000011E-3</v>
      </c>
      <c r="AD24" s="881">
        <v>2.9000000000000008E-2</v>
      </c>
      <c r="AE24" s="881">
        <v>2.9000000000000008E-2</v>
      </c>
      <c r="AF24" s="863"/>
      <c r="AG24" s="868">
        <v>0</v>
      </c>
      <c r="AH24" s="868">
        <v>0</v>
      </c>
    </row>
    <row r="25" spans="1:34">
      <c r="A25" s="862" t="s">
        <v>1133</v>
      </c>
      <c r="B25" s="871" t="s">
        <v>964</v>
      </c>
      <c r="C25" s="871">
        <v>2020</v>
      </c>
      <c r="D25" s="871" t="s">
        <v>1162</v>
      </c>
      <c r="E25" s="871" t="s">
        <v>956</v>
      </c>
      <c r="G25" s="872">
        <v>2795.064393939394</v>
      </c>
      <c r="H25" s="872">
        <v>2531.5606043942721</v>
      </c>
      <c r="I25" s="872">
        <v>6045.6129022020923</v>
      </c>
      <c r="J25" s="868"/>
      <c r="K25" s="872">
        <v>0</v>
      </c>
      <c r="L25" s="872">
        <v>0</v>
      </c>
      <c r="M25" s="872">
        <v>0</v>
      </c>
      <c r="N25" s="868"/>
      <c r="O25" s="872">
        <v>528</v>
      </c>
      <c r="P25" s="873">
        <v>0.62689393939393945</v>
      </c>
      <c r="Q25" s="873">
        <v>0.10795454545454546</v>
      </c>
      <c r="R25" s="873">
        <v>0.26515151515151514</v>
      </c>
      <c r="T25" s="872">
        <v>2795.064393939394</v>
      </c>
      <c r="U25" s="872">
        <v>0</v>
      </c>
      <c r="V25" s="863"/>
      <c r="W25" s="872">
        <v>0</v>
      </c>
      <c r="X25" s="874">
        <v>0</v>
      </c>
      <c r="Y25" s="874">
        <v>0</v>
      </c>
      <c r="Z25" s="874">
        <v>0</v>
      </c>
      <c r="AA25" s="874">
        <v>0</v>
      </c>
      <c r="AB25" s="874">
        <v>0</v>
      </c>
      <c r="AC25" s="874">
        <v>8.9999999999999993E-3</v>
      </c>
      <c r="AD25" s="882">
        <v>2.8999999999999998E-2</v>
      </c>
      <c r="AE25" s="882">
        <v>2.8999999999999998E-2</v>
      </c>
      <c r="AF25" s="863"/>
      <c r="AG25" s="872">
        <v>0</v>
      </c>
      <c r="AH25" s="872">
        <v>0</v>
      </c>
    </row>
    <row r="26" spans="1:34">
      <c r="A26" s="862" t="s">
        <v>1134</v>
      </c>
      <c r="B26" s="862" t="s">
        <v>964</v>
      </c>
      <c r="C26" s="862">
        <v>2020</v>
      </c>
      <c r="D26" s="862" t="s">
        <v>1162</v>
      </c>
      <c r="E26" s="862" t="s">
        <v>957</v>
      </c>
      <c r="G26" s="868">
        <v>2739.9270866742468</v>
      </c>
      <c r="H26" s="868">
        <v>2531.5606043942726</v>
      </c>
      <c r="I26" s="868">
        <v>6045.6129022020923</v>
      </c>
      <c r="J26" s="868"/>
      <c r="K26" s="868">
        <v>0</v>
      </c>
      <c r="L26" s="868">
        <v>0</v>
      </c>
      <c r="M26" s="868">
        <v>0</v>
      </c>
      <c r="N26" s="868"/>
      <c r="O26" s="868">
        <v>1019.3695134888609</v>
      </c>
      <c r="P26" s="869">
        <v>0.41770889149300389</v>
      </c>
      <c r="Q26" s="869">
        <v>0.18246046573032165</v>
      </c>
      <c r="R26" s="869">
        <v>0.39983064277667452</v>
      </c>
      <c r="T26" s="868">
        <v>2739.9270866742468</v>
      </c>
      <c r="U26" s="868">
        <v>0</v>
      </c>
      <c r="V26" s="863"/>
      <c r="W26" s="868">
        <v>0</v>
      </c>
      <c r="X26" s="870">
        <v>0</v>
      </c>
      <c r="Y26" s="870">
        <v>0</v>
      </c>
      <c r="Z26" s="870">
        <v>0</v>
      </c>
      <c r="AA26" s="870">
        <v>0</v>
      </c>
      <c r="AB26" s="870">
        <v>0</v>
      </c>
      <c r="AC26" s="870">
        <v>8.9999999999999993E-3</v>
      </c>
      <c r="AD26" s="881">
        <v>2.8999999999999998E-2</v>
      </c>
      <c r="AE26" s="881">
        <v>2.8999999999999998E-2</v>
      </c>
      <c r="AF26" s="863"/>
      <c r="AG26" s="868">
        <v>0</v>
      </c>
      <c r="AH26" s="868">
        <v>0</v>
      </c>
    </row>
    <row r="27" spans="1:34">
      <c r="A27" s="862" t="s">
        <v>1135</v>
      </c>
      <c r="B27" s="871" t="s">
        <v>964</v>
      </c>
      <c r="C27" s="871">
        <v>2020</v>
      </c>
      <c r="D27" s="871" t="s">
        <v>1162</v>
      </c>
      <c r="E27" s="871" t="s">
        <v>958</v>
      </c>
      <c r="G27" s="872">
        <v>2796.037645986135</v>
      </c>
      <c r="H27" s="872">
        <v>2531.5606043942721</v>
      </c>
      <c r="I27" s="872">
        <v>5655.6129022020923</v>
      </c>
      <c r="J27" s="868"/>
      <c r="K27" s="872">
        <v>0</v>
      </c>
      <c r="L27" s="872">
        <v>0</v>
      </c>
      <c r="M27" s="872">
        <v>0</v>
      </c>
      <c r="N27" s="868"/>
      <c r="O27" s="872">
        <v>792.90403483268437</v>
      </c>
      <c r="P27" s="873">
        <v>0.76915971045367781</v>
      </c>
      <c r="Q27" s="873">
        <v>0.14940593245498454</v>
      </c>
      <c r="R27" s="873">
        <v>8.14343570913377E-2</v>
      </c>
      <c r="T27" s="872">
        <v>2796.037645986135</v>
      </c>
      <c r="U27" s="872">
        <v>0</v>
      </c>
      <c r="V27" s="863"/>
      <c r="W27" s="872">
        <v>0</v>
      </c>
      <c r="X27" s="874">
        <v>0</v>
      </c>
      <c r="Y27" s="874">
        <v>0</v>
      </c>
      <c r="Z27" s="874">
        <v>0</v>
      </c>
      <c r="AA27" s="874">
        <v>0</v>
      </c>
      <c r="AB27" s="874">
        <v>0</v>
      </c>
      <c r="AC27" s="874">
        <v>8.9999999999999976E-3</v>
      </c>
      <c r="AD27" s="882">
        <v>2.8999999999999998E-2</v>
      </c>
      <c r="AE27" s="882">
        <v>2.8999999999999998E-2</v>
      </c>
      <c r="AF27" s="863"/>
      <c r="AG27" s="872">
        <v>0</v>
      </c>
      <c r="AH27" s="872">
        <v>0</v>
      </c>
    </row>
    <row r="28" spans="1:34">
      <c r="A28" s="862" t="s">
        <v>1136</v>
      </c>
      <c r="B28" s="862" t="s">
        <v>964</v>
      </c>
      <c r="C28" s="862">
        <v>2020</v>
      </c>
      <c r="D28" s="862" t="s">
        <v>1162</v>
      </c>
      <c r="E28" s="862" t="s">
        <v>959</v>
      </c>
      <c r="G28" s="868">
        <v>2797.2047343506188</v>
      </c>
      <c r="H28" s="868">
        <v>2531.5606043942726</v>
      </c>
      <c r="I28" s="868">
        <v>5655.6129022020923</v>
      </c>
      <c r="J28" s="868"/>
      <c r="K28" s="868">
        <v>0</v>
      </c>
      <c r="L28" s="868">
        <v>0</v>
      </c>
      <c r="M28" s="868">
        <v>0</v>
      </c>
      <c r="N28" s="868"/>
      <c r="O28" s="868">
        <v>499.72645167845474</v>
      </c>
      <c r="P28" s="869">
        <v>0.74306743499796712</v>
      </c>
      <c r="Q28" s="869">
        <v>0.16717305410878672</v>
      </c>
      <c r="R28" s="869">
        <v>8.9759510893246075E-2</v>
      </c>
      <c r="T28" s="868">
        <v>2797.2047343506188</v>
      </c>
      <c r="U28" s="868">
        <v>0</v>
      </c>
      <c r="V28" s="863"/>
      <c r="W28" s="868">
        <v>0</v>
      </c>
      <c r="X28" s="870">
        <v>0</v>
      </c>
      <c r="Y28" s="870">
        <v>0</v>
      </c>
      <c r="Z28" s="870">
        <v>0</v>
      </c>
      <c r="AA28" s="870">
        <v>0</v>
      </c>
      <c r="AB28" s="870">
        <v>0</v>
      </c>
      <c r="AC28" s="870">
        <v>8.9999999999999976E-3</v>
      </c>
      <c r="AD28" s="881">
        <v>2.8999999999999998E-2</v>
      </c>
      <c r="AE28" s="881">
        <v>2.8999999999999998E-2</v>
      </c>
      <c r="AF28" s="863"/>
      <c r="AG28" s="868">
        <v>0</v>
      </c>
      <c r="AH28" s="868">
        <v>0</v>
      </c>
    </row>
    <row r="29" spans="1:34">
      <c r="G29" s="876"/>
      <c r="H29" s="876"/>
      <c r="I29" s="876"/>
      <c r="J29" s="876"/>
      <c r="K29" s="876"/>
      <c r="L29" s="876"/>
      <c r="M29" s="876"/>
      <c r="N29" s="876"/>
      <c r="O29" s="876"/>
      <c r="P29" s="877"/>
      <c r="Q29" s="877"/>
      <c r="R29" s="877"/>
      <c r="T29" s="876"/>
      <c r="U29" s="876"/>
      <c r="W29" s="876"/>
      <c r="AD29" s="883"/>
      <c r="AE29" s="883"/>
      <c r="AG29" s="876"/>
      <c r="AH29" s="876"/>
    </row>
    <row r="30" spans="1:34">
      <c r="A30" s="862" t="s">
        <v>1039</v>
      </c>
      <c r="B30" s="867" t="s">
        <v>965</v>
      </c>
      <c r="C30" s="867">
        <v>2019</v>
      </c>
      <c r="D30" s="867" t="s">
        <v>1162</v>
      </c>
      <c r="E30" s="862" t="s">
        <v>955</v>
      </c>
      <c r="G30" s="868">
        <v>0</v>
      </c>
      <c r="H30" s="868">
        <v>0</v>
      </c>
      <c r="I30" s="868">
        <v>0</v>
      </c>
      <c r="J30" s="868"/>
      <c r="K30" s="868">
        <v>0</v>
      </c>
      <c r="L30" s="868">
        <v>0</v>
      </c>
      <c r="M30" s="868">
        <v>0</v>
      </c>
      <c r="N30" s="868"/>
      <c r="O30" s="868">
        <v>0</v>
      </c>
      <c r="P30" s="869" t="e">
        <v>#DIV/0!</v>
      </c>
      <c r="Q30" s="869" t="e">
        <v>#DIV/0!</v>
      </c>
      <c r="R30" s="869" t="e">
        <v>#DIV/0!</v>
      </c>
      <c r="T30" s="868">
        <v>0</v>
      </c>
      <c r="U30" s="868">
        <v>0</v>
      </c>
      <c r="V30" s="863"/>
      <c r="W30" s="868">
        <v>0</v>
      </c>
      <c r="X30" s="870">
        <v>0</v>
      </c>
      <c r="Y30" s="870">
        <v>0</v>
      </c>
      <c r="Z30" s="870">
        <v>0</v>
      </c>
      <c r="AA30" s="870">
        <v>0</v>
      </c>
      <c r="AB30" s="870">
        <v>0</v>
      </c>
      <c r="AC30" s="870">
        <v>0</v>
      </c>
      <c r="AD30" s="881">
        <v>0</v>
      </c>
      <c r="AE30" s="881">
        <v>0</v>
      </c>
      <c r="AF30" s="863"/>
      <c r="AG30" s="868">
        <v>0</v>
      </c>
      <c r="AH30" s="868">
        <v>0</v>
      </c>
    </row>
    <row r="31" spans="1:34">
      <c r="A31" s="862" t="s">
        <v>1040</v>
      </c>
      <c r="B31" s="871" t="s">
        <v>965</v>
      </c>
      <c r="C31" s="871">
        <v>2019</v>
      </c>
      <c r="D31" s="871" t="s">
        <v>1162</v>
      </c>
      <c r="E31" s="871" t="s">
        <v>956</v>
      </c>
      <c r="G31" s="872">
        <v>0</v>
      </c>
      <c r="H31" s="872">
        <v>0</v>
      </c>
      <c r="I31" s="872">
        <v>0</v>
      </c>
      <c r="J31" s="868"/>
      <c r="K31" s="872">
        <v>0</v>
      </c>
      <c r="L31" s="872">
        <v>0</v>
      </c>
      <c r="M31" s="872">
        <v>0</v>
      </c>
      <c r="N31" s="868"/>
      <c r="O31" s="872">
        <v>0</v>
      </c>
      <c r="P31" s="873" t="e">
        <v>#DIV/0!</v>
      </c>
      <c r="Q31" s="873" t="e">
        <v>#DIV/0!</v>
      </c>
      <c r="R31" s="873" t="e">
        <v>#DIV/0!</v>
      </c>
      <c r="T31" s="872">
        <v>0</v>
      </c>
      <c r="U31" s="872">
        <v>0</v>
      </c>
      <c r="V31" s="863"/>
      <c r="W31" s="872">
        <v>0</v>
      </c>
      <c r="X31" s="874">
        <v>0</v>
      </c>
      <c r="Y31" s="874">
        <v>0</v>
      </c>
      <c r="Z31" s="874">
        <v>0</v>
      </c>
      <c r="AA31" s="874">
        <v>0</v>
      </c>
      <c r="AB31" s="874">
        <v>0</v>
      </c>
      <c r="AC31" s="874">
        <v>0</v>
      </c>
      <c r="AD31" s="882">
        <v>0</v>
      </c>
      <c r="AE31" s="882">
        <v>0</v>
      </c>
      <c r="AF31" s="863"/>
      <c r="AG31" s="872">
        <v>0</v>
      </c>
      <c r="AH31" s="872">
        <v>0</v>
      </c>
    </row>
    <row r="32" spans="1:34">
      <c r="A32" s="862" t="s">
        <v>1041</v>
      </c>
      <c r="B32" s="862" t="s">
        <v>965</v>
      </c>
      <c r="C32" s="862">
        <v>2019</v>
      </c>
      <c r="D32" s="862" t="s">
        <v>1162</v>
      </c>
      <c r="E32" s="862" t="s">
        <v>957</v>
      </c>
      <c r="G32" s="868">
        <v>0</v>
      </c>
      <c r="H32" s="868">
        <v>0</v>
      </c>
      <c r="I32" s="868">
        <v>0</v>
      </c>
      <c r="J32" s="868"/>
      <c r="K32" s="868">
        <v>0</v>
      </c>
      <c r="L32" s="868">
        <v>0</v>
      </c>
      <c r="M32" s="868">
        <v>0</v>
      </c>
      <c r="N32" s="868"/>
      <c r="O32" s="868">
        <v>0</v>
      </c>
      <c r="P32" s="869" t="e">
        <v>#DIV/0!</v>
      </c>
      <c r="Q32" s="869" t="e">
        <v>#DIV/0!</v>
      </c>
      <c r="R32" s="869" t="e">
        <v>#DIV/0!</v>
      </c>
      <c r="T32" s="868">
        <v>0</v>
      </c>
      <c r="U32" s="868">
        <v>0</v>
      </c>
      <c r="V32" s="863"/>
      <c r="W32" s="868">
        <v>0</v>
      </c>
      <c r="X32" s="870">
        <v>0</v>
      </c>
      <c r="Y32" s="870">
        <v>0</v>
      </c>
      <c r="Z32" s="870">
        <v>0</v>
      </c>
      <c r="AA32" s="870">
        <v>0</v>
      </c>
      <c r="AB32" s="870">
        <v>0</v>
      </c>
      <c r="AC32" s="870">
        <v>0</v>
      </c>
      <c r="AD32" s="881">
        <v>0</v>
      </c>
      <c r="AE32" s="881">
        <v>0</v>
      </c>
      <c r="AF32" s="863"/>
      <c r="AG32" s="868">
        <v>0</v>
      </c>
      <c r="AH32" s="868">
        <v>0</v>
      </c>
    </row>
    <row r="33" spans="1:34">
      <c r="A33" s="862" t="s">
        <v>1042</v>
      </c>
      <c r="B33" s="871" t="s">
        <v>965</v>
      </c>
      <c r="C33" s="871">
        <v>2019</v>
      </c>
      <c r="D33" s="871" t="s">
        <v>1162</v>
      </c>
      <c r="E33" s="871" t="s">
        <v>958</v>
      </c>
      <c r="G33" s="872">
        <v>0</v>
      </c>
      <c r="H33" s="872">
        <v>0</v>
      </c>
      <c r="I33" s="872">
        <v>0</v>
      </c>
      <c r="J33" s="868"/>
      <c r="K33" s="872">
        <v>0</v>
      </c>
      <c r="L33" s="872">
        <v>0</v>
      </c>
      <c r="M33" s="872">
        <v>0</v>
      </c>
      <c r="N33" s="868"/>
      <c r="O33" s="872">
        <v>0</v>
      </c>
      <c r="P33" s="873" t="e">
        <v>#DIV/0!</v>
      </c>
      <c r="Q33" s="873" t="e">
        <v>#DIV/0!</v>
      </c>
      <c r="R33" s="873" t="e">
        <v>#DIV/0!</v>
      </c>
      <c r="T33" s="872">
        <v>0</v>
      </c>
      <c r="U33" s="872">
        <v>0</v>
      </c>
      <c r="V33" s="863"/>
      <c r="W33" s="872">
        <v>0</v>
      </c>
      <c r="X33" s="874">
        <v>0</v>
      </c>
      <c r="Y33" s="874">
        <v>0</v>
      </c>
      <c r="Z33" s="874">
        <v>0</v>
      </c>
      <c r="AA33" s="874">
        <v>0</v>
      </c>
      <c r="AB33" s="874">
        <v>0</v>
      </c>
      <c r="AC33" s="874">
        <v>0</v>
      </c>
      <c r="AD33" s="882">
        <v>0</v>
      </c>
      <c r="AE33" s="882">
        <v>0</v>
      </c>
      <c r="AF33" s="863"/>
      <c r="AG33" s="872">
        <v>0</v>
      </c>
      <c r="AH33" s="872">
        <v>0</v>
      </c>
    </row>
    <row r="34" spans="1:34">
      <c r="A34" s="862" t="s">
        <v>1043</v>
      </c>
      <c r="B34" s="862" t="s">
        <v>965</v>
      </c>
      <c r="C34" s="862">
        <v>2019</v>
      </c>
      <c r="D34" s="862" t="s">
        <v>1162</v>
      </c>
      <c r="E34" s="862" t="s">
        <v>959</v>
      </c>
      <c r="G34" s="868">
        <v>0</v>
      </c>
      <c r="H34" s="868">
        <v>0</v>
      </c>
      <c r="I34" s="868">
        <v>0</v>
      </c>
      <c r="J34" s="868"/>
      <c r="K34" s="868">
        <v>0</v>
      </c>
      <c r="L34" s="868">
        <v>0</v>
      </c>
      <c r="M34" s="868">
        <v>0</v>
      </c>
      <c r="N34" s="868"/>
      <c r="O34" s="868">
        <v>0</v>
      </c>
      <c r="P34" s="869" t="e">
        <v>#DIV/0!</v>
      </c>
      <c r="Q34" s="869" t="e">
        <v>#DIV/0!</v>
      </c>
      <c r="R34" s="869" t="e">
        <v>#DIV/0!</v>
      </c>
      <c r="T34" s="868">
        <v>0</v>
      </c>
      <c r="U34" s="868">
        <v>0</v>
      </c>
      <c r="V34" s="863"/>
      <c r="W34" s="868">
        <v>0</v>
      </c>
      <c r="X34" s="870">
        <v>0</v>
      </c>
      <c r="Y34" s="870">
        <v>0</v>
      </c>
      <c r="Z34" s="870">
        <v>0</v>
      </c>
      <c r="AA34" s="870">
        <v>0</v>
      </c>
      <c r="AB34" s="870">
        <v>0</v>
      </c>
      <c r="AC34" s="870">
        <v>0</v>
      </c>
      <c r="AD34" s="881">
        <v>0</v>
      </c>
      <c r="AE34" s="881">
        <v>0</v>
      </c>
      <c r="AF34" s="863"/>
      <c r="AG34" s="868">
        <v>0</v>
      </c>
      <c r="AH34" s="868">
        <v>0</v>
      </c>
    </row>
    <row r="35" spans="1:34">
      <c r="G35" s="876"/>
      <c r="H35" s="876"/>
      <c r="I35" s="876"/>
      <c r="J35" s="876"/>
      <c r="K35" s="876"/>
      <c r="L35" s="876"/>
      <c r="M35" s="876"/>
      <c r="N35" s="876"/>
      <c r="O35" s="876"/>
      <c r="P35" s="877"/>
      <c r="Q35" s="877"/>
      <c r="R35" s="877"/>
      <c r="T35" s="876"/>
      <c r="U35" s="876"/>
      <c r="W35" s="876"/>
      <c r="AD35" s="883"/>
      <c r="AE35" s="883"/>
      <c r="AG35" s="876"/>
      <c r="AH35" s="876"/>
    </row>
    <row r="36" spans="1:34">
      <c r="A36" s="862" t="s">
        <v>1069</v>
      </c>
      <c r="B36" s="867" t="s">
        <v>965</v>
      </c>
      <c r="C36" s="867">
        <v>2020</v>
      </c>
      <c r="D36" s="867" t="s">
        <v>1162</v>
      </c>
      <c r="E36" s="862" t="s">
        <v>955</v>
      </c>
      <c r="G36" s="868">
        <v>2000</v>
      </c>
      <c r="H36" s="868">
        <v>2474.301807122165</v>
      </c>
      <c r="I36" s="868">
        <v>5164.2999514071935</v>
      </c>
      <c r="J36" s="868"/>
      <c r="K36" s="868">
        <v>0</v>
      </c>
      <c r="L36" s="868">
        <v>0</v>
      </c>
      <c r="M36" s="868">
        <v>0</v>
      </c>
      <c r="N36" s="868"/>
      <c r="O36" s="868">
        <v>1751</v>
      </c>
      <c r="P36" s="869">
        <v>0.13192461450599657</v>
      </c>
      <c r="Q36" s="869">
        <v>9.5374071958880646E-2</v>
      </c>
      <c r="R36" s="869">
        <v>0.77270131353512284</v>
      </c>
      <c r="T36" s="868">
        <v>2000</v>
      </c>
      <c r="U36" s="868">
        <v>0</v>
      </c>
      <c r="V36" s="863"/>
      <c r="W36" s="868">
        <v>0</v>
      </c>
      <c r="X36" s="870">
        <v>0</v>
      </c>
      <c r="Y36" s="870">
        <v>0</v>
      </c>
      <c r="Z36" s="870">
        <v>0</v>
      </c>
      <c r="AA36" s="870">
        <v>0</v>
      </c>
      <c r="AB36" s="870">
        <v>0</v>
      </c>
      <c r="AC36" s="870">
        <v>8.9999999999999993E-3</v>
      </c>
      <c r="AD36" s="881">
        <v>2.9000000000000001E-2</v>
      </c>
      <c r="AE36" s="881">
        <v>2.9000000000000001E-2</v>
      </c>
      <c r="AF36" s="863"/>
      <c r="AG36" s="868">
        <v>0</v>
      </c>
      <c r="AH36" s="868">
        <v>0</v>
      </c>
    </row>
    <row r="37" spans="1:34">
      <c r="A37" s="862" t="s">
        <v>1070</v>
      </c>
      <c r="B37" s="871" t="s">
        <v>965</v>
      </c>
      <c r="C37" s="871">
        <v>2020</v>
      </c>
      <c r="D37" s="871" t="s">
        <v>1162</v>
      </c>
      <c r="E37" s="871" t="s">
        <v>956</v>
      </c>
      <c r="G37" s="872">
        <v>2000</v>
      </c>
      <c r="H37" s="872">
        <v>2474.301807122165</v>
      </c>
      <c r="I37" s="872">
        <v>4384.2999514071935</v>
      </c>
      <c r="J37" s="868"/>
      <c r="K37" s="872">
        <v>0</v>
      </c>
      <c r="L37" s="872">
        <v>0</v>
      </c>
      <c r="M37" s="872">
        <v>0</v>
      </c>
      <c r="N37" s="868"/>
      <c r="O37" s="872">
        <v>1965</v>
      </c>
      <c r="P37" s="873">
        <v>0.33842239185750639</v>
      </c>
      <c r="Q37" s="873">
        <v>0.24325699745547075</v>
      </c>
      <c r="R37" s="873">
        <v>0.41832061068702292</v>
      </c>
      <c r="T37" s="872">
        <v>2000</v>
      </c>
      <c r="U37" s="872">
        <v>0</v>
      </c>
      <c r="V37" s="863"/>
      <c r="W37" s="872">
        <v>0</v>
      </c>
      <c r="X37" s="874">
        <v>0</v>
      </c>
      <c r="Y37" s="874">
        <v>0</v>
      </c>
      <c r="Z37" s="874">
        <v>0</v>
      </c>
      <c r="AA37" s="874">
        <v>0</v>
      </c>
      <c r="AB37" s="874">
        <v>0</v>
      </c>
      <c r="AC37" s="874">
        <v>8.9999999999999993E-3</v>
      </c>
      <c r="AD37" s="882">
        <v>2.9000000000000005E-2</v>
      </c>
      <c r="AE37" s="882">
        <v>2.9000000000000005E-2</v>
      </c>
      <c r="AF37" s="863"/>
      <c r="AG37" s="872">
        <v>0</v>
      </c>
      <c r="AH37" s="872">
        <v>0</v>
      </c>
    </row>
    <row r="38" spans="1:34">
      <c r="A38" s="862" t="s">
        <v>1071</v>
      </c>
      <c r="B38" s="862" t="s">
        <v>965</v>
      </c>
      <c r="C38" s="862">
        <v>2020</v>
      </c>
      <c r="D38" s="862" t="s">
        <v>1162</v>
      </c>
      <c r="E38" s="862" t="s">
        <v>957</v>
      </c>
      <c r="G38" s="868">
        <v>2000</v>
      </c>
      <c r="H38" s="868">
        <v>2474.301807122165</v>
      </c>
      <c r="I38" s="868">
        <v>4384.2999514071935</v>
      </c>
      <c r="J38" s="868"/>
      <c r="K38" s="868">
        <v>0</v>
      </c>
      <c r="L38" s="868">
        <v>0</v>
      </c>
      <c r="M38" s="868">
        <v>0</v>
      </c>
      <c r="N38" s="868"/>
      <c r="O38" s="868">
        <v>1344</v>
      </c>
      <c r="P38" s="869">
        <v>0.29017857142857145</v>
      </c>
      <c r="Q38" s="869">
        <v>0.30059523809523808</v>
      </c>
      <c r="R38" s="869">
        <v>0.40922619047619047</v>
      </c>
      <c r="T38" s="868">
        <v>2000</v>
      </c>
      <c r="U38" s="868">
        <v>0</v>
      </c>
      <c r="V38" s="863"/>
      <c r="W38" s="868">
        <v>0</v>
      </c>
      <c r="X38" s="870">
        <v>0</v>
      </c>
      <c r="Y38" s="870">
        <v>0</v>
      </c>
      <c r="Z38" s="870">
        <v>0</v>
      </c>
      <c r="AA38" s="870">
        <v>0</v>
      </c>
      <c r="AB38" s="870">
        <v>0</v>
      </c>
      <c r="AC38" s="870">
        <v>8.9999999999999993E-3</v>
      </c>
      <c r="AD38" s="881">
        <v>2.9000000000000001E-2</v>
      </c>
      <c r="AE38" s="881">
        <v>2.9000000000000001E-2</v>
      </c>
      <c r="AF38" s="863"/>
      <c r="AG38" s="868">
        <v>0</v>
      </c>
      <c r="AH38" s="868">
        <v>0</v>
      </c>
    </row>
    <row r="39" spans="1:34">
      <c r="A39" s="862" t="s">
        <v>1072</v>
      </c>
      <c r="B39" s="871" t="s">
        <v>965</v>
      </c>
      <c r="C39" s="871">
        <v>2020</v>
      </c>
      <c r="D39" s="871" t="s">
        <v>1162</v>
      </c>
      <c r="E39" s="871" t="s">
        <v>958</v>
      </c>
      <c r="G39" s="872">
        <v>1999.9999999999998</v>
      </c>
      <c r="H39" s="872">
        <v>2474.301807122165</v>
      </c>
      <c r="I39" s="872">
        <v>4384.2999514071935</v>
      </c>
      <c r="J39" s="868"/>
      <c r="K39" s="872">
        <v>0</v>
      </c>
      <c r="L39" s="872">
        <v>0</v>
      </c>
      <c r="M39" s="872">
        <v>0</v>
      </c>
      <c r="N39" s="868"/>
      <c r="O39" s="872">
        <v>1775</v>
      </c>
      <c r="P39" s="873">
        <v>0.50309859154929581</v>
      </c>
      <c r="Q39" s="873">
        <v>0.36732394366197185</v>
      </c>
      <c r="R39" s="873">
        <v>0.12957746478873239</v>
      </c>
      <c r="T39" s="872">
        <v>1999.9999999999998</v>
      </c>
      <c r="U39" s="872">
        <v>0</v>
      </c>
      <c r="V39" s="863"/>
      <c r="W39" s="872">
        <v>0</v>
      </c>
      <c r="X39" s="874">
        <v>0</v>
      </c>
      <c r="Y39" s="874">
        <v>0</v>
      </c>
      <c r="Z39" s="874">
        <v>0</v>
      </c>
      <c r="AA39" s="874">
        <v>0</v>
      </c>
      <c r="AB39" s="874">
        <v>0</v>
      </c>
      <c r="AC39" s="874">
        <v>8.9999999999999976E-3</v>
      </c>
      <c r="AD39" s="882">
        <v>2.9000000000000001E-2</v>
      </c>
      <c r="AE39" s="882">
        <v>2.9000000000000001E-2</v>
      </c>
      <c r="AF39" s="863"/>
      <c r="AG39" s="872">
        <v>0</v>
      </c>
      <c r="AH39" s="872">
        <v>0</v>
      </c>
    </row>
    <row r="40" spans="1:34">
      <c r="A40" s="862" t="s">
        <v>1073</v>
      </c>
      <c r="B40" s="862" t="s">
        <v>965</v>
      </c>
      <c r="C40" s="862">
        <v>2020</v>
      </c>
      <c r="D40" s="862" t="s">
        <v>1162</v>
      </c>
      <c r="E40" s="862" t="s">
        <v>959</v>
      </c>
      <c r="G40" s="868">
        <v>2000</v>
      </c>
      <c r="H40" s="868">
        <v>2474.301807122165</v>
      </c>
      <c r="I40" s="868">
        <v>4384.2999514071935</v>
      </c>
      <c r="J40" s="868"/>
      <c r="K40" s="868">
        <v>0</v>
      </c>
      <c r="L40" s="868">
        <v>0</v>
      </c>
      <c r="M40" s="868">
        <v>0</v>
      </c>
      <c r="N40" s="868"/>
      <c r="O40" s="868">
        <v>780</v>
      </c>
      <c r="P40" s="869">
        <v>0.4653846153846154</v>
      </c>
      <c r="Q40" s="869">
        <v>0.34102564102564104</v>
      </c>
      <c r="R40" s="869">
        <v>0.1935897435897436</v>
      </c>
      <c r="T40" s="868">
        <v>2000</v>
      </c>
      <c r="U40" s="868">
        <v>0</v>
      </c>
      <c r="V40" s="863"/>
      <c r="W40" s="868">
        <v>0</v>
      </c>
      <c r="X40" s="870">
        <v>0</v>
      </c>
      <c r="Y40" s="870">
        <v>0</v>
      </c>
      <c r="Z40" s="870">
        <v>0</v>
      </c>
      <c r="AA40" s="870">
        <v>0</v>
      </c>
      <c r="AB40" s="870">
        <v>0</v>
      </c>
      <c r="AC40" s="870">
        <v>8.9999999999999993E-3</v>
      </c>
      <c r="AD40" s="881">
        <v>2.8999999999999998E-2</v>
      </c>
      <c r="AE40" s="881">
        <v>2.8999999999999998E-2</v>
      </c>
      <c r="AF40" s="863"/>
      <c r="AG40" s="868">
        <v>0</v>
      </c>
      <c r="AH40" s="868">
        <v>0</v>
      </c>
    </row>
    <row r="41" spans="1:34">
      <c r="G41" s="876"/>
      <c r="H41" s="876"/>
      <c r="I41" s="876"/>
      <c r="J41" s="876"/>
      <c r="K41" s="876"/>
      <c r="L41" s="876"/>
      <c r="M41" s="876"/>
      <c r="N41" s="876"/>
      <c r="O41" s="876"/>
      <c r="P41" s="877"/>
      <c r="Q41" s="877"/>
      <c r="R41" s="877"/>
      <c r="T41" s="876"/>
      <c r="U41" s="876"/>
      <c r="W41" s="876"/>
      <c r="AD41" s="883"/>
      <c r="AE41" s="883"/>
      <c r="AG41" s="876"/>
      <c r="AH41" s="876"/>
    </row>
    <row r="42" spans="1:34">
      <c r="A42" s="862" t="s">
        <v>1044</v>
      </c>
      <c r="B42" s="867" t="s">
        <v>966</v>
      </c>
      <c r="C42" s="867">
        <v>2019</v>
      </c>
      <c r="D42" s="867" t="s">
        <v>1162</v>
      </c>
      <c r="E42" s="862" t="s">
        <v>955</v>
      </c>
      <c r="G42" s="868">
        <v>0</v>
      </c>
      <c r="H42" s="868">
        <v>0</v>
      </c>
      <c r="I42" s="868">
        <v>0</v>
      </c>
      <c r="J42" s="868"/>
      <c r="K42" s="868">
        <v>0</v>
      </c>
      <c r="L42" s="868">
        <v>0</v>
      </c>
      <c r="M42" s="868">
        <v>0</v>
      </c>
      <c r="N42" s="868"/>
      <c r="O42" s="868" t="e">
        <v>#N/A</v>
      </c>
      <c r="P42" s="869" t="e">
        <v>#N/A</v>
      </c>
      <c r="Q42" s="869" t="e">
        <v>#N/A</v>
      </c>
      <c r="R42" s="869" t="e">
        <v>#N/A</v>
      </c>
      <c r="T42" s="868">
        <v>0</v>
      </c>
      <c r="U42" s="868">
        <v>0</v>
      </c>
      <c r="V42" s="863"/>
      <c r="W42" s="868">
        <v>0</v>
      </c>
      <c r="X42" s="870">
        <v>0</v>
      </c>
      <c r="Y42" s="870">
        <v>0</v>
      </c>
      <c r="Z42" s="870">
        <v>0</v>
      </c>
      <c r="AA42" s="870">
        <v>0</v>
      </c>
      <c r="AB42" s="870">
        <v>0</v>
      </c>
      <c r="AC42" s="870">
        <v>0</v>
      </c>
      <c r="AD42" s="881">
        <v>0</v>
      </c>
      <c r="AE42" s="881">
        <v>0</v>
      </c>
      <c r="AF42" s="863"/>
      <c r="AG42" s="868">
        <v>0</v>
      </c>
      <c r="AH42" s="868">
        <v>0</v>
      </c>
    </row>
    <row r="43" spans="1:34">
      <c r="A43" s="862" t="s">
        <v>1045</v>
      </c>
      <c r="B43" s="871" t="s">
        <v>966</v>
      </c>
      <c r="C43" s="871">
        <v>2019</v>
      </c>
      <c r="D43" s="871" t="s">
        <v>1162</v>
      </c>
      <c r="E43" s="871" t="s">
        <v>956</v>
      </c>
      <c r="G43" s="872">
        <v>0</v>
      </c>
      <c r="H43" s="872">
        <v>0</v>
      </c>
      <c r="I43" s="872">
        <v>0</v>
      </c>
      <c r="J43" s="868"/>
      <c r="K43" s="872">
        <v>0</v>
      </c>
      <c r="L43" s="872">
        <v>0</v>
      </c>
      <c r="M43" s="872">
        <v>0</v>
      </c>
      <c r="N43" s="868"/>
      <c r="O43" s="872" t="e">
        <v>#N/A</v>
      </c>
      <c r="P43" s="873" t="e">
        <v>#N/A</v>
      </c>
      <c r="Q43" s="873" t="e">
        <v>#N/A</v>
      </c>
      <c r="R43" s="873" t="e">
        <v>#N/A</v>
      </c>
      <c r="T43" s="872">
        <v>0</v>
      </c>
      <c r="U43" s="872">
        <v>0</v>
      </c>
      <c r="V43" s="863"/>
      <c r="W43" s="872">
        <v>0</v>
      </c>
      <c r="X43" s="874">
        <v>0</v>
      </c>
      <c r="Y43" s="874">
        <v>0</v>
      </c>
      <c r="Z43" s="874">
        <v>0</v>
      </c>
      <c r="AA43" s="874">
        <v>0</v>
      </c>
      <c r="AB43" s="874">
        <v>0</v>
      </c>
      <c r="AC43" s="874">
        <v>0</v>
      </c>
      <c r="AD43" s="882">
        <v>0</v>
      </c>
      <c r="AE43" s="882">
        <v>0</v>
      </c>
      <c r="AF43" s="863"/>
      <c r="AG43" s="872">
        <v>0</v>
      </c>
      <c r="AH43" s="872">
        <v>0</v>
      </c>
    </row>
    <row r="44" spans="1:34">
      <c r="A44" s="862" t="s">
        <v>1046</v>
      </c>
      <c r="B44" s="862" t="s">
        <v>966</v>
      </c>
      <c r="C44" s="862">
        <v>2019</v>
      </c>
      <c r="D44" s="862" t="s">
        <v>1162</v>
      </c>
      <c r="E44" s="862" t="s">
        <v>957</v>
      </c>
      <c r="G44" s="868">
        <v>0</v>
      </c>
      <c r="H44" s="868">
        <v>0</v>
      </c>
      <c r="I44" s="868">
        <v>0</v>
      </c>
      <c r="J44" s="868"/>
      <c r="K44" s="868">
        <v>0</v>
      </c>
      <c r="L44" s="868">
        <v>0</v>
      </c>
      <c r="M44" s="868">
        <v>0</v>
      </c>
      <c r="N44" s="868"/>
      <c r="O44" s="868" t="e">
        <v>#N/A</v>
      </c>
      <c r="P44" s="869" t="e">
        <v>#N/A</v>
      </c>
      <c r="Q44" s="869" t="e">
        <v>#N/A</v>
      </c>
      <c r="R44" s="869" t="e">
        <v>#N/A</v>
      </c>
      <c r="T44" s="868">
        <v>0</v>
      </c>
      <c r="U44" s="868">
        <v>0</v>
      </c>
      <c r="V44" s="863"/>
      <c r="W44" s="868">
        <v>0</v>
      </c>
      <c r="X44" s="870">
        <v>0</v>
      </c>
      <c r="Y44" s="870">
        <v>0</v>
      </c>
      <c r="Z44" s="870">
        <v>0</v>
      </c>
      <c r="AA44" s="870">
        <v>0</v>
      </c>
      <c r="AB44" s="870">
        <v>0</v>
      </c>
      <c r="AC44" s="870">
        <v>0</v>
      </c>
      <c r="AD44" s="881">
        <v>0</v>
      </c>
      <c r="AE44" s="881">
        <v>0</v>
      </c>
      <c r="AF44" s="863"/>
      <c r="AG44" s="868">
        <v>0</v>
      </c>
      <c r="AH44" s="868">
        <v>0</v>
      </c>
    </row>
    <row r="45" spans="1:34">
      <c r="A45" s="862" t="s">
        <v>1047</v>
      </c>
      <c r="B45" s="871" t="s">
        <v>966</v>
      </c>
      <c r="C45" s="871">
        <v>2019</v>
      </c>
      <c r="D45" s="871" t="s">
        <v>1162</v>
      </c>
      <c r="E45" s="871" t="s">
        <v>958</v>
      </c>
      <c r="G45" s="872">
        <v>0</v>
      </c>
      <c r="H45" s="872">
        <v>0</v>
      </c>
      <c r="I45" s="872">
        <v>0</v>
      </c>
      <c r="J45" s="868"/>
      <c r="K45" s="872">
        <v>0</v>
      </c>
      <c r="L45" s="872">
        <v>0</v>
      </c>
      <c r="M45" s="872">
        <v>0</v>
      </c>
      <c r="N45" s="868"/>
      <c r="O45" s="872" t="e">
        <v>#N/A</v>
      </c>
      <c r="P45" s="873" t="e">
        <v>#N/A</v>
      </c>
      <c r="Q45" s="873" t="e">
        <v>#N/A</v>
      </c>
      <c r="R45" s="873" t="e">
        <v>#N/A</v>
      </c>
      <c r="T45" s="872">
        <v>0</v>
      </c>
      <c r="U45" s="872">
        <v>0</v>
      </c>
      <c r="V45" s="863"/>
      <c r="W45" s="872">
        <v>0</v>
      </c>
      <c r="X45" s="874">
        <v>0</v>
      </c>
      <c r="Y45" s="874">
        <v>0</v>
      </c>
      <c r="Z45" s="874">
        <v>0</v>
      </c>
      <c r="AA45" s="874">
        <v>0</v>
      </c>
      <c r="AB45" s="874">
        <v>0</v>
      </c>
      <c r="AC45" s="874">
        <v>0</v>
      </c>
      <c r="AD45" s="882">
        <v>0</v>
      </c>
      <c r="AE45" s="882">
        <v>0</v>
      </c>
      <c r="AF45" s="863"/>
      <c r="AG45" s="872">
        <v>0</v>
      </c>
      <c r="AH45" s="872">
        <v>0</v>
      </c>
    </row>
    <row r="46" spans="1:34">
      <c r="A46" s="862" t="s">
        <v>1048</v>
      </c>
      <c r="B46" s="862" t="s">
        <v>966</v>
      </c>
      <c r="C46" s="862">
        <v>2019</v>
      </c>
      <c r="D46" s="862" t="s">
        <v>1162</v>
      </c>
      <c r="E46" s="862" t="s">
        <v>959</v>
      </c>
      <c r="G46" s="868">
        <v>0</v>
      </c>
      <c r="H46" s="868">
        <v>0</v>
      </c>
      <c r="I46" s="868">
        <v>0</v>
      </c>
      <c r="J46" s="868"/>
      <c r="K46" s="868">
        <v>0</v>
      </c>
      <c r="L46" s="868">
        <v>0</v>
      </c>
      <c r="M46" s="868">
        <v>0</v>
      </c>
      <c r="N46" s="868"/>
      <c r="O46" s="868" t="e">
        <v>#N/A</v>
      </c>
      <c r="P46" s="869" t="e">
        <v>#N/A</v>
      </c>
      <c r="Q46" s="869" t="e">
        <v>#N/A</v>
      </c>
      <c r="R46" s="869" t="e">
        <v>#N/A</v>
      </c>
      <c r="T46" s="868">
        <v>0</v>
      </c>
      <c r="U46" s="868">
        <v>0</v>
      </c>
      <c r="V46" s="863"/>
      <c r="W46" s="868">
        <v>0</v>
      </c>
      <c r="X46" s="870">
        <v>0</v>
      </c>
      <c r="Y46" s="870">
        <v>0</v>
      </c>
      <c r="Z46" s="870">
        <v>0</v>
      </c>
      <c r="AA46" s="870">
        <v>0</v>
      </c>
      <c r="AB46" s="870">
        <v>0</v>
      </c>
      <c r="AC46" s="870">
        <v>0</v>
      </c>
      <c r="AD46" s="881">
        <v>0</v>
      </c>
      <c r="AE46" s="881">
        <v>0</v>
      </c>
      <c r="AF46" s="863"/>
      <c r="AG46" s="868">
        <v>0</v>
      </c>
      <c r="AH46" s="868">
        <v>0</v>
      </c>
    </row>
    <row r="47" spans="1:34">
      <c r="G47" s="876"/>
      <c r="H47" s="876"/>
      <c r="I47" s="876"/>
      <c r="J47" s="876"/>
      <c r="K47" s="876"/>
      <c r="L47" s="876"/>
      <c r="M47" s="876"/>
      <c r="N47" s="876"/>
      <c r="O47" s="876"/>
      <c r="P47" s="877"/>
      <c r="Q47" s="877"/>
      <c r="R47" s="877"/>
      <c r="T47" s="876"/>
      <c r="U47" s="876"/>
      <c r="W47" s="876"/>
      <c r="AD47" s="883"/>
      <c r="AE47" s="883"/>
      <c r="AG47" s="876"/>
      <c r="AH47" s="876"/>
    </row>
    <row r="48" spans="1:34">
      <c r="A48" s="862" t="s">
        <v>1137</v>
      </c>
      <c r="B48" s="867" t="s">
        <v>966</v>
      </c>
      <c r="C48" s="867">
        <v>2020</v>
      </c>
      <c r="D48" s="867" t="s">
        <v>1162</v>
      </c>
      <c r="E48" s="862" t="s">
        <v>955</v>
      </c>
      <c r="G48" s="868">
        <v>2293.9999999999995</v>
      </c>
      <c r="H48" s="868">
        <v>3073.5813915823287</v>
      </c>
      <c r="I48" s="868">
        <v>7265.5786767453665</v>
      </c>
      <c r="J48" s="868"/>
      <c r="K48" s="868">
        <v>0</v>
      </c>
      <c r="L48" s="868">
        <v>0</v>
      </c>
      <c r="M48" s="868">
        <v>0</v>
      </c>
      <c r="N48" s="868"/>
      <c r="O48" s="868">
        <v>401.99999999999994</v>
      </c>
      <c r="P48" s="869">
        <v>0.17910447761194037</v>
      </c>
      <c r="Q48" s="869">
        <v>0.10447761194029852</v>
      </c>
      <c r="R48" s="869">
        <v>0.71641791044776115</v>
      </c>
      <c r="T48" s="868">
        <v>2293.9999999999995</v>
      </c>
      <c r="U48" s="868">
        <v>0</v>
      </c>
      <c r="V48" s="863"/>
      <c r="W48" s="868">
        <v>0</v>
      </c>
      <c r="X48" s="870">
        <v>0</v>
      </c>
      <c r="Y48" s="870">
        <v>0</v>
      </c>
      <c r="Z48" s="870">
        <v>0</v>
      </c>
      <c r="AA48" s="870">
        <v>0</v>
      </c>
      <c r="AB48" s="870">
        <v>0</v>
      </c>
      <c r="AC48" s="870">
        <v>8.9999999999999976E-3</v>
      </c>
      <c r="AD48" s="881">
        <v>2.8999999999999998E-2</v>
      </c>
      <c r="AE48" s="881">
        <v>2.8999999999999998E-2</v>
      </c>
      <c r="AF48" s="863"/>
      <c r="AG48" s="868">
        <v>0</v>
      </c>
      <c r="AH48" s="868">
        <v>0</v>
      </c>
    </row>
    <row r="49" spans="1:34">
      <c r="A49" s="862" t="s">
        <v>1138</v>
      </c>
      <c r="B49" s="871" t="s">
        <v>966</v>
      </c>
      <c r="C49" s="871">
        <v>2020</v>
      </c>
      <c r="D49" s="871" t="s">
        <v>1162</v>
      </c>
      <c r="E49" s="871" t="s">
        <v>956</v>
      </c>
      <c r="G49" s="872">
        <v>2319.0846023688664</v>
      </c>
      <c r="H49" s="872">
        <v>3073.5813915823292</v>
      </c>
      <c r="I49" s="872">
        <v>6734.2284229382603</v>
      </c>
      <c r="J49" s="868"/>
      <c r="K49" s="872">
        <v>0</v>
      </c>
      <c r="L49" s="872">
        <v>0</v>
      </c>
      <c r="M49" s="872">
        <v>0</v>
      </c>
      <c r="N49" s="868"/>
      <c r="O49" s="872">
        <v>591</v>
      </c>
      <c r="P49" s="873">
        <v>0.45516074450084604</v>
      </c>
      <c r="Q49" s="873">
        <v>0.16582064297800339</v>
      </c>
      <c r="R49" s="873">
        <v>0.3790186125211506</v>
      </c>
      <c r="T49" s="872">
        <v>2319.0846023688664</v>
      </c>
      <c r="U49" s="872">
        <v>0</v>
      </c>
      <c r="V49" s="863"/>
      <c r="W49" s="872">
        <v>0</v>
      </c>
      <c r="X49" s="874">
        <v>0</v>
      </c>
      <c r="Y49" s="874">
        <v>0</v>
      </c>
      <c r="Z49" s="874">
        <v>0</v>
      </c>
      <c r="AA49" s="874">
        <v>0</v>
      </c>
      <c r="AB49" s="874">
        <v>0</v>
      </c>
      <c r="AC49" s="874">
        <v>8.9999999999999976E-3</v>
      </c>
      <c r="AD49" s="882">
        <v>2.8999999999999998E-2</v>
      </c>
      <c r="AE49" s="882">
        <v>2.8999999999999998E-2</v>
      </c>
      <c r="AF49" s="863"/>
      <c r="AG49" s="872">
        <v>0</v>
      </c>
      <c r="AH49" s="872">
        <v>0</v>
      </c>
    </row>
    <row r="50" spans="1:34">
      <c r="A50" s="862" t="s">
        <v>1139</v>
      </c>
      <c r="B50" s="862" t="s">
        <v>966</v>
      </c>
      <c r="C50" s="862">
        <v>2020</v>
      </c>
      <c r="D50" s="862" t="s">
        <v>1162</v>
      </c>
      <c r="E50" s="862" t="s">
        <v>957</v>
      </c>
      <c r="G50" s="868">
        <v>2499.110096940437</v>
      </c>
      <c r="H50" s="868">
        <v>3073.5813915823292</v>
      </c>
      <c r="I50" s="868">
        <v>6245.2696585346594</v>
      </c>
      <c r="J50" s="868"/>
      <c r="K50" s="868">
        <v>0</v>
      </c>
      <c r="L50" s="868">
        <v>0</v>
      </c>
      <c r="M50" s="868">
        <v>0</v>
      </c>
      <c r="N50" s="868"/>
      <c r="O50" s="868">
        <v>784.12100250626554</v>
      </c>
      <c r="P50" s="869">
        <v>0.39001307531815393</v>
      </c>
      <c r="Q50" s="869">
        <v>0.27840864415714062</v>
      </c>
      <c r="R50" s="869">
        <v>0.3315782805247055</v>
      </c>
      <c r="T50" s="868">
        <v>2499.110096940437</v>
      </c>
      <c r="U50" s="868">
        <v>0</v>
      </c>
      <c r="V50" s="863"/>
      <c r="W50" s="868">
        <v>0</v>
      </c>
      <c r="X50" s="870">
        <v>0</v>
      </c>
      <c r="Y50" s="870">
        <v>0</v>
      </c>
      <c r="Z50" s="870">
        <v>0</v>
      </c>
      <c r="AA50" s="870">
        <v>0</v>
      </c>
      <c r="AB50" s="870">
        <v>0</v>
      </c>
      <c r="AC50" s="870">
        <v>8.9999999999999976E-3</v>
      </c>
      <c r="AD50" s="881">
        <v>2.8999999999999998E-2</v>
      </c>
      <c r="AE50" s="881">
        <v>2.8999999999999998E-2</v>
      </c>
      <c r="AF50" s="863"/>
      <c r="AG50" s="868">
        <v>0</v>
      </c>
      <c r="AH50" s="868">
        <v>0</v>
      </c>
    </row>
    <row r="51" spans="1:34">
      <c r="A51" s="862" t="s">
        <v>1140</v>
      </c>
      <c r="B51" s="871" t="s">
        <v>966</v>
      </c>
      <c r="C51" s="871">
        <v>2020</v>
      </c>
      <c r="D51" s="871" t="s">
        <v>1162</v>
      </c>
      <c r="E51" s="871" t="s">
        <v>958</v>
      </c>
      <c r="G51" s="872">
        <v>2989.6581840966332</v>
      </c>
      <c r="H51" s="872">
        <v>3073.5813915823292</v>
      </c>
      <c r="I51" s="872">
        <v>5869.8274142097798</v>
      </c>
      <c r="J51" s="868"/>
      <c r="K51" s="872">
        <v>0</v>
      </c>
      <c r="L51" s="872">
        <v>0</v>
      </c>
      <c r="M51" s="872">
        <v>0</v>
      </c>
      <c r="N51" s="868"/>
      <c r="O51" s="872">
        <v>614.03770114942529</v>
      </c>
      <c r="P51" s="873">
        <v>0.64305963038378289</v>
      </c>
      <c r="Q51" s="873">
        <v>0.25456329655255627</v>
      </c>
      <c r="R51" s="873">
        <v>0.10237707306366088</v>
      </c>
      <c r="T51" s="872">
        <v>2989.6581840966332</v>
      </c>
      <c r="U51" s="872">
        <v>0</v>
      </c>
      <c r="V51" s="863"/>
      <c r="W51" s="872">
        <v>0</v>
      </c>
      <c r="X51" s="874">
        <v>0</v>
      </c>
      <c r="Y51" s="874">
        <v>0</v>
      </c>
      <c r="Z51" s="874">
        <v>0</v>
      </c>
      <c r="AA51" s="874">
        <v>0</v>
      </c>
      <c r="AB51" s="874">
        <v>0</v>
      </c>
      <c r="AC51" s="874">
        <v>8.9999999999999993E-3</v>
      </c>
      <c r="AD51" s="882">
        <v>2.8999999999999998E-2</v>
      </c>
      <c r="AE51" s="882">
        <v>2.8999999999999998E-2</v>
      </c>
      <c r="AF51" s="863"/>
      <c r="AG51" s="872">
        <v>0</v>
      </c>
      <c r="AH51" s="872">
        <v>0</v>
      </c>
    </row>
    <row r="52" spans="1:34">
      <c r="A52" s="862" t="s">
        <v>1141</v>
      </c>
      <c r="B52" s="862" t="s">
        <v>966</v>
      </c>
      <c r="C52" s="862">
        <v>2020</v>
      </c>
      <c r="D52" s="862" t="s">
        <v>1162</v>
      </c>
      <c r="E52" s="862" t="s">
        <v>959</v>
      </c>
      <c r="G52" s="868">
        <v>2199.6012306014782</v>
      </c>
      <c r="H52" s="868">
        <v>3073.5813915823296</v>
      </c>
      <c r="I52" s="868">
        <v>6218.9056203267573</v>
      </c>
      <c r="J52" s="868"/>
      <c r="K52" s="868">
        <v>0</v>
      </c>
      <c r="L52" s="868">
        <v>0</v>
      </c>
      <c r="M52" s="868">
        <v>0</v>
      </c>
      <c r="N52" s="868"/>
      <c r="O52" s="868">
        <v>478.84129634430906</v>
      </c>
      <c r="P52" s="869">
        <v>0.55408692039239482</v>
      </c>
      <c r="Q52" s="869">
        <v>0.29525956617426152</v>
      </c>
      <c r="R52" s="869">
        <v>0.15065351343334371</v>
      </c>
      <c r="T52" s="868">
        <v>2199.6012306014782</v>
      </c>
      <c r="U52" s="868">
        <v>0</v>
      </c>
      <c r="V52" s="863"/>
      <c r="W52" s="868">
        <v>0</v>
      </c>
      <c r="X52" s="870">
        <v>0</v>
      </c>
      <c r="Y52" s="870">
        <v>0</v>
      </c>
      <c r="Z52" s="870">
        <v>0</v>
      </c>
      <c r="AA52" s="870">
        <v>0</v>
      </c>
      <c r="AB52" s="870">
        <v>0</v>
      </c>
      <c r="AC52" s="870">
        <v>9.0000000000000011E-3</v>
      </c>
      <c r="AD52" s="881">
        <v>2.9000000000000005E-2</v>
      </c>
      <c r="AE52" s="881">
        <v>2.9000000000000005E-2</v>
      </c>
      <c r="AF52" s="863"/>
      <c r="AG52" s="868">
        <v>0</v>
      </c>
      <c r="AH52" s="868">
        <v>0</v>
      </c>
    </row>
    <row r="53" spans="1:34">
      <c r="G53" s="876"/>
      <c r="H53" s="876"/>
      <c r="I53" s="876"/>
      <c r="J53" s="876"/>
      <c r="K53" s="876"/>
      <c r="L53" s="876"/>
      <c r="M53" s="876"/>
      <c r="N53" s="876"/>
      <c r="O53" s="876"/>
      <c r="P53" s="877"/>
      <c r="Q53" s="877"/>
      <c r="R53" s="877"/>
      <c r="T53" s="876"/>
      <c r="U53" s="876"/>
      <c r="W53" s="876"/>
      <c r="AD53" s="883"/>
      <c r="AE53" s="883"/>
      <c r="AG53" s="876"/>
      <c r="AH53" s="876"/>
    </row>
    <row r="54" spans="1:34">
      <c r="A54" s="862" t="s">
        <v>1049</v>
      </c>
      <c r="B54" s="867" t="s">
        <v>967</v>
      </c>
      <c r="C54" s="867">
        <v>2019</v>
      </c>
      <c r="D54" s="867" t="s">
        <v>1162</v>
      </c>
      <c r="E54" s="862" t="s">
        <v>955</v>
      </c>
      <c r="G54" s="868">
        <v>0</v>
      </c>
      <c r="H54" s="868">
        <v>0</v>
      </c>
      <c r="I54" s="868">
        <v>0</v>
      </c>
      <c r="J54" s="868"/>
      <c r="K54" s="868">
        <v>0</v>
      </c>
      <c r="L54" s="868">
        <v>0</v>
      </c>
      <c r="M54" s="868">
        <v>0</v>
      </c>
      <c r="N54" s="868"/>
      <c r="O54" s="868">
        <v>0</v>
      </c>
      <c r="P54" s="869" t="e">
        <v>#DIV/0!</v>
      </c>
      <c r="Q54" s="869" t="e">
        <v>#DIV/0!</v>
      </c>
      <c r="R54" s="869" t="e">
        <v>#DIV/0!</v>
      </c>
      <c r="T54" s="868">
        <v>0</v>
      </c>
      <c r="U54" s="868">
        <v>0</v>
      </c>
      <c r="V54" s="863"/>
      <c r="W54" s="868">
        <v>0</v>
      </c>
      <c r="X54" s="870">
        <v>0</v>
      </c>
      <c r="Y54" s="870">
        <v>0</v>
      </c>
      <c r="Z54" s="870">
        <v>0</v>
      </c>
      <c r="AA54" s="870">
        <v>0</v>
      </c>
      <c r="AB54" s="870">
        <v>0</v>
      </c>
      <c r="AC54" s="870">
        <v>0</v>
      </c>
      <c r="AD54" s="881">
        <v>0</v>
      </c>
      <c r="AE54" s="881">
        <v>0</v>
      </c>
      <c r="AF54" s="863"/>
      <c r="AG54" s="868">
        <v>0</v>
      </c>
      <c r="AH54" s="868">
        <v>0</v>
      </c>
    </row>
    <row r="55" spans="1:34">
      <c r="A55" s="862" t="s">
        <v>1050</v>
      </c>
      <c r="B55" s="871" t="s">
        <v>967</v>
      </c>
      <c r="C55" s="871">
        <v>2019</v>
      </c>
      <c r="D55" s="871" t="s">
        <v>1162</v>
      </c>
      <c r="E55" s="871" t="s">
        <v>956</v>
      </c>
      <c r="G55" s="872">
        <v>0</v>
      </c>
      <c r="H55" s="872">
        <v>0</v>
      </c>
      <c r="I55" s="872">
        <v>0</v>
      </c>
      <c r="J55" s="868"/>
      <c r="K55" s="872">
        <v>0</v>
      </c>
      <c r="L55" s="872">
        <v>0</v>
      </c>
      <c r="M55" s="872">
        <v>0</v>
      </c>
      <c r="N55" s="868"/>
      <c r="O55" s="872">
        <v>0</v>
      </c>
      <c r="P55" s="873" t="e">
        <v>#DIV/0!</v>
      </c>
      <c r="Q55" s="873" t="e">
        <v>#DIV/0!</v>
      </c>
      <c r="R55" s="873" t="e">
        <v>#DIV/0!</v>
      </c>
      <c r="T55" s="872">
        <v>0</v>
      </c>
      <c r="U55" s="872">
        <v>0</v>
      </c>
      <c r="V55" s="863"/>
      <c r="W55" s="872">
        <v>0</v>
      </c>
      <c r="X55" s="874">
        <v>0</v>
      </c>
      <c r="Y55" s="874">
        <v>0</v>
      </c>
      <c r="Z55" s="874">
        <v>0</v>
      </c>
      <c r="AA55" s="874">
        <v>0</v>
      </c>
      <c r="AB55" s="874">
        <v>0</v>
      </c>
      <c r="AC55" s="874">
        <v>0</v>
      </c>
      <c r="AD55" s="882">
        <v>0</v>
      </c>
      <c r="AE55" s="882">
        <v>0</v>
      </c>
      <c r="AF55" s="863"/>
      <c r="AG55" s="872">
        <v>0</v>
      </c>
      <c r="AH55" s="872">
        <v>0</v>
      </c>
    </row>
    <row r="56" spans="1:34">
      <c r="A56" s="862" t="s">
        <v>1051</v>
      </c>
      <c r="B56" s="862" t="s">
        <v>967</v>
      </c>
      <c r="C56" s="862">
        <v>2019</v>
      </c>
      <c r="D56" s="862" t="s">
        <v>1162</v>
      </c>
      <c r="E56" s="862" t="s">
        <v>957</v>
      </c>
      <c r="G56" s="868">
        <v>0</v>
      </c>
      <c r="H56" s="868">
        <v>0</v>
      </c>
      <c r="I56" s="868">
        <v>0</v>
      </c>
      <c r="J56" s="868"/>
      <c r="K56" s="868">
        <v>0</v>
      </c>
      <c r="L56" s="868">
        <v>0</v>
      </c>
      <c r="M56" s="868">
        <v>0</v>
      </c>
      <c r="N56" s="868"/>
      <c r="O56" s="868">
        <v>0</v>
      </c>
      <c r="P56" s="869" t="e">
        <v>#DIV/0!</v>
      </c>
      <c r="Q56" s="869" t="e">
        <v>#DIV/0!</v>
      </c>
      <c r="R56" s="869" t="e">
        <v>#DIV/0!</v>
      </c>
      <c r="T56" s="868">
        <v>0</v>
      </c>
      <c r="U56" s="868">
        <v>0</v>
      </c>
      <c r="V56" s="863"/>
      <c r="W56" s="868">
        <v>0</v>
      </c>
      <c r="X56" s="870">
        <v>0</v>
      </c>
      <c r="Y56" s="870">
        <v>0</v>
      </c>
      <c r="Z56" s="870">
        <v>0</v>
      </c>
      <c r="AA56" s="870">
        <v>0</v>
      </c>
      <c r="AB56" s="870">
        <v>0</v>
      </c>
      <c r="AC56" s="870">
        <v>0</v>
      </c>
      <c r="AD56" s="881">
        <v>0</v>
      </c>
      <c r="AE56" s="881">
        <v>0</v>
      </c>
      <c r="AF56" s="863"/>
      <c r="AG56" s="868">
        <v>0</v>
      </c>
      <c r="AH56" s="868">
        <v>0</v>
      </c>
    </row>
    <row r="57" spans="1:34">
      <c r="A57" s="862" t="s">
        <v>1052</v>
      </c>
      <c r="B57" s="871" t="s">
        <v>967</v>
      </c>
      <c r="C57" s="871">
        <v>2019</v>
      </c>
      <c r="D57" s="871" t="s">
        <v>1162</v>
      </c>
      <c r="E57" s="871" t="s">
        <v>958</v>
      </c>
      <c r="G57" s="872">
        <v>0</v>
      </c>
      <c r="H57" s="872">
        <v>0</v>
      </c>
      <c r="I57" s="872">
        <v>0</v>
      </c>
      <c r="J57" s="868"/>
      <c r="K57" s="872">
        <v>0</v>
      </c>
      <c r="L57" s="872">
        <v>0</v>
      </c>
      <c r="M57" s="872">
        <v>0</v>
      </c>
      <c r="N57" s="868"/>
      <c r="O57" s="872">
        <v>0</v>
      </c>
      <c r="P57" s="873" t="e">
        <v>#DIV/0!</v>
      </c>
      <c r="Q57" s="873" t="e">
        <v>#DIV/0!</v>
      </c>
      <c r="R57" s="873" t="e">
        <v>#DIV/0!</v>
      </c>
      <c r="T57" s="872">
        <v>0</v>
      </c>
      <c r="U57" s="872">
        <v>0</v>
      </c>
      <c r="V57" s="863"/>
      <c r="W57" s="872">
        <v>0</v>
      </c>
      <c r="X57" s="874">
        <v>0</v>
      </c>
      <c r="Y57" s="874">
        <v>0</v>
      </c>
      <c r="Z57" s="874">
        <v>0</v>
      </c>
      <c r="AA57" s="874">
        <v>0</v>
      </c>
      <c r="AB57" s="874">
        <v>0</v>
      </c>
      <c r="AC57" s="874">
        <v>0</v>
      </c>
      <c r="AD57" s="882">
        <v>0</v>
      </c>
      <c r="AE57" s="882">
        <v>0</v>
      </c>
      <c r="AF57" s="863"/>
      <c r="AG57" s="872">
        <v>0</v>
      </c>
      <c r="AH57" s="872">
        <v>0</v>
      </c>
    </row>
    <row r="58" spans="1:34">
      <c r="A58" s="862" t="s">
        <v>1053</v>
      </c>
      <c r="B58" s="862" t="s">
        <v>967</v>
      </c>
      <c r="C58" s="862">
        <v>2019</v>
      </c>
      <c r="D58" s="862" t="s">
        <v>1162</v>
      </c>
      <c r="E58" s="862" t="s">
        <v>959</v>
      </c>
      <c r="G58" s="868">
        <v>0</v>
      </c>
      <c r="H58" s="868">
        <v>0</v>
      </c>
      <c r="I58" s="868">
        <v>0</v>
      </c>
      <c r="J58" s="868"/>
      <c r="K58" s="868">
        <v>0</v>
      </c>
      <c r="L58" s="868">
        <v>0</v>
      </c>
      <c r="M58" s="868">
        <v>0</v>
      </c>
      <c r="N58" s="868"/>
      <c r="O58" s="868">
        <v>0</v>
      </c>
      <c r="P58" s="869" t="e">
        <v>#DIV/0!</v>
      </c>
      <c r="Q58" s="869" t="e">
        <v>#DIV/0!</v>
      </c>
      <c r="R58" s="869" t="e">
        <v>#DIV/0!</v>
      </c>
      <c r="T58" s="868">
        <v>0</v>
      </c>
      <c r="U58" s="868">
        <v>0</v>
      </c>
      <c r="V58" s="863"/>
      <c r="W58" s="868">
        <v>0</v>
      </c>
      <c r="X58" s="870">
        <v>0</v>
      </c>
      <c r="Y58" s="870">
        <v>0</v>
      </c>
      <c r="Z58" s="870">
        <v>0</v>
      </c>
      <c r="AA58" s="870">
        <v>0</v>
      </c>
      <c r="AB58" s="870">
        <v>0</v>
      </c>
      <c r="AC58" s="870">
        <v>0</v>
      </c>
      <c r="AD58" s="881">
        <v>0</v>
      </c>
      <c r="AE58" s="881">
        <v>0</v>
      </c>
      <c r="AF58" s="863"/>
      <c r="AG58" s="868">
        <v>0</v>
      </c>
      <c r="AH58" s="868">
        <v>0</v>
      </c>
    </row>
    <row r="59" spans="1:34">
      <c r="G59" s="876"/>
      <c r="H59" s="876"/>
      <c r="I59" s="876"/>
      <c r="J59" s="876"/>
      <c r="K59" s="876"/>
      <c r="L59" s="876"/>
      <c r="M59" s="876"/>
      <c r="N59" s="876"/>
      <c r="O59" s="876"/>
      <c r="P59" s="877"/>
      <c r="Q59" s="877"/>
      <c r="R59" s="877"/>
      <c r="T59" s="876"/>
      <c r="U59" s="876"/>
      <c r="W59" s="876"/>
      <c r="AD59" s="883"/>
      <c r="AE59" s="883"/>
      <c r="AG59" s="876"/>
      <c r="AH59" s="876"/>
    </row>
    <row r="60" spans="1:34">
      <c r="A60" s="862" t="s">
        <v>1061</v>
      </c>
      <c r="B60" s="867" t="s">
        <v>967</v>
      </c>
      <c r="C60" s="867">
        <v>2020</v>
      </c>
      <c r="D60" s="867" t="s">
        <v>1162</v>
      </c>
      <c r="E60" s="862" t="s">
        <v>955</v>
      </c>
      <c r="G60" s="868">
        <v>1229</v>
      </c>
      <c r="H60" s="868">
        <v>1860.0624533823611</v>
      </c>
      <c r="I60" s="868">
        <v>3756.7164157747852</v>
      </c>
      <c r="J60" s="868"/>
      <c r="K60" s="868">
        <v>0</v>
      </c>
      <c r="L60" s="868">
        <v>0</v>
      </c>
      <c r="M60" s="868">
        <v>0</v>
      </c>
      <c r="N60" s="868"/>
      <c r="O60" s="868">
        <v>446</v>
      </c>
      <c r="P60" s="869">
        <v>0.24663677130044845</v>
      </c>
      <c r="Q60" s="869">
        <v>0.35201793721973096</v>
      </c>
      <c r="R60" s="869">
        <v>0.40134529147982062</v>
      </c>
      <c r="T60" s="868">
        <v>1229</v>
      </c>
      <c r="U60" s="868">
        <v>0</v>
      </c>
      <c r="V60" s="863"/>
      <c r="W60" s="868">
        <v>0</v>
      </c>
      <c r="X60" s="870">
        <v>0</v>
      </c>
      <c r="Y60" s="870">
        <v>0</v>
      </c>
      <c r="Z60" s="870">
        <v>0</v>
      </c>
      <c r="AA60" s="870">
        <v>0</v>
      </c>
      <c r="AB60" s="870">
        <v>8.9999999999999993E-3</v>
      </c>
      <c r="AC60" s="870">
        <v>1.9E-2</v>
      </c>
      <c r="AD60" s="881">
        <v>3.9E-2</v>
      </c>
      <c r="AE60" s="881">
        <v>3.9E-2</v>
      </c>
      <c r="AF60" s="863"/>
      <c r="AG60" s="868">
        <v>0</v>
      </c>
      <c r="AH60" s="868">
        <v>0</v>
      </c>
    </row>
    <row r="61" spans="1:34">
      <c r="A61" s="862" t="s">
        <v>1062</v>
      </c>
      <c r="B61" s="871" t="s">
        <v>967</v>
      </c>
      <c r="C61" s="871">
        <v>2020</v>
      </c>
      <c r="D61" s="871" t="s">
        <v>1162</v>
      </c>
      <c r="E61" s="871" t="s">
        <v>956</v>
      </c>
      <c r="G61" s="872">
        <v>1269.7618664521319</v>
      </c>
      <c r="H61" s="872">
        <v>1860.0624533823614</v>
      </c>
      <c r="I61" s="872">
        <v>2976.7164157747848</v>
      </c>
      <c r="J61" s="868"/>
      <c r="K61" s="872">
        <v>0</v>
      </c>
      <c r="L61" s="872">
        <v>0</v>
      </c>
      <c r="M61" s="872">
        <v>0</v>
      </c>
      <c r="N61" s="868"/>
      <c r="O61" s="872">
        <v>1243</v>
      </c>
      <c r="P61" s="873">
        <v>0.36283185840707965</v>
      </c>
      <c r="Q61" s="873">
        <v>0.46419951729686243</v>
      </c>
      <c r="R61" s="873">
        <v>0.17296862429605792</v>
      </c>
      <c r="T61" s="872">
        <v>1269.7618664521319</v>
      </c>
      <c r="U61" s="872">
        <v>0</v>
      </c>
      <c r="V61" s="863"/>
      <c r="W61" s="872">
        <v>0</v>
      </c>
      <c r="X61" s="874">
        <v>0</v>
      </c>
      <c r="Y61" s="874">
        <v>0</v>
      </c>
      <c r="Z61" s="874">
        <v>0</v>
      </c>
      <c r="AA61" s="874">
        <v>0</v>
      </c>
      <c r="AB61" s="874">
        <v>8.9999999999999976E-3</v>
      </c>
      <c r="AC61" s="874">
        <v>1.9E-2</v>
      </c>
      <c r="AD61" s="882">
        <v>3.9E-2</v>
      </c>
      <c r="AE61" s="882">
        <v>3.9E-2</v>
      </c>
      <c r="AF61" s="863"/>
      <c r="AG61" s="872">
        <v>0</v>
      </c>
      <c r="AH61" s="872">
        <v>0</v>
      </c>
    </row>
    <row r="62" spans="1:34">
      <c r="A62" s="862" t="s">
        <v>1063</v>
      </c>
      <c r="B62" s="862" t="s">
        <v>967</v>
      </c>
      <c r="C62" s="862">
        <v>2020</v>
      </c>
      <c r="D62" s="862" t="s">
        <v>1162</v>
      </c>
      <c r="E62" s="862" t="s">
        <v>957</v>
      </c>
      <c r="G62" s="868">
        <v>1287.0236024844721</v>
      </c>
      <c r="H62" s="868">
        <v>1860.0624533823611</v>
      </c>
      <c r="I62" s="868">
        <v>2976.7164157747852</v>
      </c>
      <c r="J62" s="868"/>
      <c r="K62" s="868">
        <v>0</v>
      </c>
      <c r="L62" s="868">
        <v>0</v>
      </c>
      <c r="M62" s="868">
        <v>0</v>
      </c>
      <c r="N62" s="868"/>
      <c r="O62" s="868">
        <v>1610</v>
      </c>
      <c r="P62" s="869">
        <v>0.3161490683229814</v>
      </c>
      <c r="Q62" s="869">
        <v>0.52422360248447208</v>
      </c>
      <c r="R62" s="869">
        <v>0.15962732919254657</v>
      </c>
      <c r="T62" s="868">
        <v>1287.0236024844721</v>
      </c>
      <c r="U62" s="868">
        <v>0</v>
      </c>
      <c r="V62" s="863"/>
      <c r="W62" s="868">
        <v>0</v>
      </c>
      <c r="X62" s="870">
        <v>0</v>
      </c>
      <c r="Y62" s="870">
        <v>0</v>
      </c>
      <c r="Z62" s="870">
        <v>0</v>
      </c>
      <c r="AA62" s="870">
        <v>0</v>
      </c>
      <c r="AB62" s="870">
        <v>8.9999999999999993E-3</v>
      </c>
      <c r="AC62" s="870">
        <v>1.9E-2</v>
      </c>
      <c r="AD62" s="881">
        <v>3.9E-2</v>
      </c>
      <c r="AE62" s="881">
        <v>3.9E-2</v>
      </c>
      <c r="AF62" s="863"/>
      <c r="AG62" s="868">
        <v>0</v>
      </c>
      <c r="AH62" s="868">
        <v>0</v>
      </c>
    </row>
    <row r="63" spans="1:34">
      <c r="A63" s="862" t="s">
        <v>1064</v>
      </c>
      <c r="B63" s="871" t="s">
        <v>967</v>
      </c>
      <c r="C63" s="871">
        <v>2020</v>
      </c>
      <c r="D63" s="871" t="s">
        <v>1162</v>
      </c>
      <c r="E63" s="871" t="s">
        <v>958</v>
      </c>
      <c r="G63" s="872">
        <v>1256.832975525977</v>
      </c>
      <c r="H63" s="872">
        <v>1860.0624533823611</v>
      </c>
      <c r="I63" s="872">
        <v>2586.7164157747852</v>
      </c>
      <c r="J63" s="868"/>
      <c r="K63" s="872">
        <v>0</v>
      </c>
      <c r="L63" s="872">
        <v>0</v>
      </c>
      <c r="M63" s="872">
        <v>0</v>
      </c>
      <c r="N63" s="868"/>
      <c r="O63" s="872">
        <v>2329</v>
      </c>
      <c r="P63" s="873">
        <v>0.42636324602833836</v>
      </c>
      <c r="Q63" s="873">
        <v>0.52211249463288967</v>
      </c>
      <c r="R63" s="873">
        <v>5.1524259338772006E-2</v>
      </c>
      <c r="T63" s="872">
        <v>1256.832975525977</v>
      </c>
      <c r="U63" s="872">
        <v>0</v>
      </c>
      <c r="V63" s="863"/>
      <c r="W63" s="872">
        <v>0</v>
      </c>
      <c r="X63" s="874">
        <v>0</v>
      </c>
      <c r="Y63" s="874">
        <v>0</v>
      </c>
      <c r="Z63" s="874">
        <v>0</v>
      </c>
      <c r="AA63" s="874">
        <v>0</v>
      </c>
      <c r="AB63" s="874">
        <v>8.9999999999999993E-3</v>
      </c>
      <c r="AC63" s="874">
        <v>1.9E-2</v>
      </c>
      <c r="AD63" s="882">
        <v>3.9E-2</v>
      </c>
      <c r="AE63" s="882">
        <v>3.9E-2</v>
      </c>
      <c r="AF63" s="863"/>
      <c r="AG63" s="872">
        <v>0</v>
      </c>
      <c r="AH63" s="872">
        <v>0</v>
      </c>
    </row>
    <row r="64" spans="1:34">
      <c r="A64" s="862" t="s">
        <v>1065</v>
      </c>
      <c r="B64" s="862" t="s">
        <v>967</v>
      </c>
      <c r="C64" s="862">
        <v>2020</v>
      </c>
      <c r="D64" s="862" t="s">
        <v>1162</v>
      </c>
      <c r="E64" s="862" t="s">
        <v>959</v>
      </c>
      <c r="G64" s="868">
        <v>1277.4263093788063</v>
      </c>
      <c r="H64" s="868">
        <v>1860.0624533823611</v>
      </c>
      <c r="I64" s="868">
        <v>2586.7164157747852</v>
      </c>
      <c r="J64" s="868"/>
      <c r="K64" s="868">
        <v>0</v>
      </c>
      <c r="L64" s="868">
        <v>0</v>
      </c>
      <c r="M64" s="868">
        <v>0</v>
      </c>
      <c r="N64" s="868"/>
      <c r="O64" s="868">
        <v>821</v>
      </c>
      <c r="P64" s="869">
        <v>0.40560292326431191</v>
      </c>
      <c r="Q64" s="869">
        <v>0.52253349573690622</v>
      </c>
      <c r="R64" s="869">
        <v>7.186358099878197E-2</v>
      </c>
      <c r="T64" s="868">
        <v>1277.4263093788063</v>
      </c>
      <c r="U64" s="868">
        <v>0</v>
      </c>
      <c r="V64" s="863"/>
      <c r="W64" s="868">
        <v>0</v>
      </c>
      <c r="X64" s="870">
        <v>0</v>
      </c>
      <c r="Y64" s="870">
        <v>0</v>
      </c>
      <c r="Z64" s="870">
        <v>0</v>
      </c>
      <c r="AA64" s="870">
        <v>0</v>
      </c>
      <c r="AB64" s="870">
        <v>8.9999999999999993E-3</v>
      </c>
      <c r="AC64" s="870">
        <v>1.9E-2</v>
      </c>
      <c r="AD64" s="881">
        <v>3.9E-2</v>
      </c>
      <c r="AE64" s="881">
        <v>3.9E-2</v>
      </c>
      <c r="AF64" s="863"/>
      <c r="AG64" s="868">
        <v>0</v>
      </c>
      <c r="AH64" s="868">
        <v>0</v>
      </c>
    </row>
    <row r="65" spans="1:34">
      <c r="T65" s="876"/>
      <c r="U65" s="876"/>
      <c r="W65" s="876"/>
      <c r="AD65" s="883"/>
      <c r="AE65" s="883"/>
      <c r="AG65" s="876"/>
      <c r="AH65" s="876"/>
    </row>
    <row r="66" spans="1:34">
      <c r="A66" s="862" t="s">
        <v>1054</v>
      </c>
      <c r="B66" s="867" t="s">
        <v>968</v>
      </c>
      <c r="C66" s="867">
        <v>2019</v>
      </c>
      <c r="D66" s="867" t="s">
        <v>1162</v>
      </c>
      <c r="E66" s="862" t="s">
        <v>955</v>
      </c>
      <c r="G66" s="868">
        <v>1524</v>
      </c>
      <c r="H66" s="868">
        <v>2030.9624218409497</v>
      </c>
      <c r="I66" s="868">
        <v>5759.1036758427017</v>
      </c>
      <c r="J66" s="868"/>
      <c r="K66" s="868">
        <v>0</v>
      </c>
      <c r="L66" s="868">
        <v>0</v>
      </c>
      <c r="M66" s="868">
        <v>0</v>
      </c>
      <c r="N66" s="868"/>
      <c r="O66" s="868">
        <v>76</v>
      </c>
      <c r="P66" s="869">
        <v>0.19736842105263153</v>
      </c>
      <c r="Q66" s="869">
        <v>0.42105263157894735</v>
      </c>
      <c r="R66" s="869">
        <v>0.38157894736842107</v>
      </c>
      <c r="T66" s="868">
        <v>1524</v>
      </c>
      <c r="U66" s="868">
        <v>0</v>
      </c>
      <c r="V66" s="863"/>
      <c r="W66" s="868">
        <v>0</v>
      </c>
      <c r="X66" s="870">
        <v>0</v>
      </c>
      <c r="Y66" s="870">
        <v>0</v>
      </c>
      <c r="Z66" s="870">
        <v>0</v>
      </c>
      <c r="AA66" s="870">
        <v>0</v>
      </c>
      <c r="AB66" s="870">
        <v>0</v>
      </c>
      <c r="AC66" s="870">
        <v>8.9999999999999993E-3</v>
      </c>
      <c r="AD66" s="881">
        <v>2.9000000000000001E-2</v>
      </c>
      <c r="AE66" s="881">
        <v>2.9000000000000001E-2</v>
      </c>
      <c r="AF66" s="863"/>
      <c r="AG66" s="868">
        <v>0</v>
      </c>
      <c r="AH66" s="868">
        <v>0</v>
      </c>
    </row>
    <row r="67" spans="1:34">
      <c r="A67" s="862" t="s">
        <v>1055</v>
      </c>
      <c r="B67" s="871" t="s">
        <v>968</v>
      </c>
      <c r="C67" s="871">
        <v>2019</v>
      </c>
      <c r="D67" s="871" t="s">
        <v>1162</v>
      </c>
      <c r="E67" s="871" t="s">
        <v>956</v>
      </c>
      <c r="G67" s="872">
        <v>1585.7522522522522</v>
      </c>
      <c r="H67" s="872">
        <v>2030.9624218409497</v>
      </c>
      <c r="I67" s="872">
        <v>5369.1036758427008</v>
      </c>
      <c r="J67" s="868"/>
      <c r="K67" s="872">
        <v>0</v>
      </c>
      <c r="L67" s="872">
        <v>0</v>
      </c>
      <c r="M67" s="872">
        <v>0</v>
      </c>
      <c r="N67" s="868"/>
      <c r="O67" s="872">
        <v>222</v>
      </c>
      <c r="P67" s="873">
        <v>0.23423423423423423</v>
      </c>
      <c r="Q67" s="873">
        <v>0.50900900900900903</v>
      </c>
      <c r="R67" s="873">
        <v>0.25675675675675674</v>
      </c>
      <c r="T67" s="872">
        <v>1585.7522522522522</v>
      </c>
      <c r="U67" s="872">
        <v>0</v>
      </c>
      <c r="V67" s="863"/>
      <c r="W67" s="872">
        <v>0</v>
      </c>
      <c r="X67" s="874">
        <v>0</v>
      </c>
      <c r="Y67" s="874">
        <v>0</v>
      </c>
      <c r="Z67" s="874">
        <v>0</v>
      </c>
      <c r="AA67" s="874">
        <v>0</v>
      </c>
      <c r="AB67" s="874">
        <v>0</v>
      </c>
      <c r="AC67" s="874">
        <v>8.9999999999999993E-3</v>
      </c>
      <c r="AD67" s="882">
        <v>2.8999999999999998E-2</v>
      </c>
      <c r="AE67" s="882">
        <v>2.8999999999999998E-2</v>
      </c>
      <c r="AF67" s="863"/>
      <c r="AG67" s="872">
        <v>0</v>
      </c>
      <c r="AH67" s="872">
        <v>0</v>
      </c>
    </row>
    <row r="68" spans="1:34">
      <c r="A68" s="862" t="s">
        <v>1056</v>
      </c>
      <c r="B68" s="862" t="s">
        <v>968</v>
      </c>
      <c r="C68" s="862">
        <v>2019</v>
      </c>
      <c r="D68" s="862" t="s">
        <v>1162</v>
      </c>
      <c r="E68" s="862" t="s">
        <v>957</v>
      </c>
      <c r="G68" s="868">
        <v>1553.8425357873211</v>
      </c>
      <c r="H68" s="868">
        <v>2030.9624218409497</v>
      </c>
      <c r="I68" s="868">
        <v>5369.1036758427017</v>
      </c>
      <c r="J68" s="868"/>
      <c r="K68" s="868">
        <v>0</v>
      </c>
      <c r="L68" s="868">
        <v>0</v>
      </c>
      <c r="M68" s="868">
        <v>0</v>
      </c>
      <c r="N68" s="868"/>
      <c r="O68" s="868">
        <v>489</v>
      </c>
      <c r="P68" s="869">
        <v>0.17382413087934567</v>
      </c>
      <c r="Q68" s="869">
        <v>0.41104294478527609</v>
      </c>
      <c r="R68" s="869">
        <v>0.41513292433537835</v>
      </c>
      <c r="T68" s="868">
        <v>1553.8425357873211</v>
      </c>
      <c r="U68" s="868">
        <v>0</v>
      </c>
      <c r="V68" s="863"/>
      <c r="W68" s="868">
        <v>0</v>
      </c>
      <c r="X68" s="870">
        <v>0</v>
      </c>
      <c r="Y68" s="870">
        <v>0</v>
      </c>
      <c r="Z68" s="870">
        <v>0</v>
      </c>
      <c r="AA68" s="870">
        <v>0</v>
      </c>
      <c r="AB68" s="870">
        <v>0</v>
      </c>
      <c r="AC68" s="870">
        <v>8.9999999999999993E-3</v>
      </c>
      <c r="AD68" s="881">
        <v>2.9000000000000005E-2</v>
      </c>
      <c r="AE68" s="881">
        <v>2.9000000000000005E-2</v>
      </c>
      <c r="AF68" s="863"/>
      <c r="AG68" s="868">
        <v>0</v>
      </c>
      <c r="AH68" s="868">
        <v>0</v>
      </c>
    </row>
    <row r="69" spans="1:34">
      <c r="A69" s="862" t="s">
        <v>1057</v>
      </c>
      <c r="B69" s="871" t="s">
        <v>968</v>
      </c>
      <c r="C69" s="871">
        <v>2019</v>
      </c>
      <c r="D69" s="871" t="s">
        <v>1162</v>
      </c>
      <c r="E69" s="871" t="s">
        <v>958</v>
      </c>
      <c r="G69" s="872">
        <v>1530.7148936170211</v>
      </c>
      <c r="H69" s="872">
        <v>2030.9624218409494</v>
      </c>
      <c r="I69" s="872">
        <v>4979.1036758427017</v>
      </c>
      <c r="J69" s="868"/>
      <c r="K69" s="872">
        <v>0</v>
      </c>
      <c r="L69" s="872">
        <v>0</v>
      </c>
      <c r="M69" s="872">
        <v>0</v>
      </c>
      <c r="N69" s="868"/>
      <c r="O69" s="872">
        <v>235</v>
      </c>
      <c r="P69" s="873">
        <v>0.37872340425531914</v>
      </c>
      <c r="Q69" s="873">
        <v>0.53617021276595744</v>
      </c>
      <c r="R69" s="873">
        <v>8.5106382978723402E-2</v>
      </c>
      <c r="T69" s="872">
        <v>1530.7148936170211</v>
      </c>
      <c r="U69" s="872">
        <v>0</v>
      </c>
      <c r="V69" s="863"/>
      <c r="W69" s="872">
        <v>0</v>
      </c>
      <c r="X69" s="874">
        <v>0</v>
      </c>
      <c r="Y69" s="874">
        <v>0</v>
      </c>
      <c r="Z69" s="874">
        <v>0</v>
      </c>
      <c r="AA69" s="874">
        <v>0</v>
      </c>
      <c r="AB69" s="874">
        <v>0</v>
      </c>
      <c r="AC69" s="874">
        <v>8.9999999999999993E-3</v>
      </c>
      <c r="AD69" s="882">
        <v>2.8999999999999998E-2</v>
      </c>
      <c r="AE69" s="882">
        <v>2.8999999999999998E-2</v>
      </c>
      <c r="AF69" s="863"/>
      <c r="AG69" s="872">
        <v>0</v>
      </c>
      <c r="AH69" s="872">
        <v>0</v>
      </c>
    </row>
    <row r="70" spans="1:34">
      <c r="A70" s="862" t="s">
        <v>1058</v>
      </c>
      <c r="B70" s="862" t="s">
        <v>968</v>
      </c>
      <c r="C70" s="862">
        <v>2019</v>
      </c>
      <c r="D70" s="862" t="s">
        <v>1162</v>
      </c>
      <c r="E70" s="862" t="s">
        <v>959</v>
      </c>
      <c r="G70" s="868">
        <v>1546.028901734104</v>
      </c>
      <c r="H70" s="868">
        <v>2030.9624218409497</v>
      </c>
      <c r="I70" s="868">
        <v>4979.1036758427017</v>
      </c>
      <c r="J70" s="868"/>
      <c r="K70" s="868">
        <v>0</v>
      </c>
      <c r="L70" s="868">
        <v>0</v>
      </c>
      <c r="M70" s="868">
        <v>0</v>
      </c>
      <c r="N70" s="868"/>
      <c r="O70" s="868">
        <v>173</v>
      </c>
      <c r="P70" s="869">
        <v>0.3641618497109827</v>
      </c>
      <c r="Q70" s="869">
        <v>0.45664739884393063</v>
      </c>
      <c r="R70" s="869">
        <v>0.1791907514450867</v>
      </c>
      <c r="T70" s="868">
        <v>1546.028901734104</v>
      </c>
      <c r="U70" s="868">
        <v>0</v>
      </c>
      <c r="V70" s="863"/>
      <c r="W70" s="868">
        <v>0</v>
      </c>
      <c r="X70" s="870">
        <v>0</v>
      </c>
      <c r="Y70" s="870">
        <v>0</v>
      </c>
      <c r="Z70" s="870">
        <v>0</v>
      </c>
      <c r="AA70" s="870">
        <v>0</v>
      </c>
      <c r="AB70" s="870">
        <v>0</v>
      </c>
      <c r="AC70" s="870">
        <v>8.9999999999999976E-3</v>
      </c>
      <c r="AD70" s="881">
        <v>2.9000000000000001E-2</v>
      </c>
      <c r="AE70" s="881">
        <v>2.9000000000000001E-2</v>
      </c>
      <c r="AF70" s="863"/>
      <c r="AG70" s="868">
        <v>0</v>
      </c>
      <c r="AH70" s="868">
        <v>0</v>
      </c>
    </row>
    <row r="71" spans="1:34">
      <c r="T71" s="876"/>
      <c r="U71" s="876"/>
      <c r="W71" s="876"/>
      <c r="AD71" s="883"/>
      <c r="AE71" s="883"/>
      <c r="AG71" s="876"/>
      <c r="AH71" s="876"/>
    </row>
    <row r="72" spans="1:34">
      <c r="A72" s="862" t="s">
        <v>1142</v>
      </c>
      <c r="B72" s="867" t="s">
        <v>968</v>
      </c>
      <c r="C72" s="867">
        <v>2020</v>
      </c>
      <c r="D72" s="867" t="s">
        <v>1162</v>
      </c>
      <c r="E72" s="862" t="s">
        <v>955</v>
      </c>
      <c r="G72" s="868">
        <v>0</v>
      </c>
      <c r="H72" s="868">
        <v>0</v>
      </c>
      <c r="I72" s="868">
        <v>0</v>
      </c>
      <c r="J72" s="868"/>
      <c r="K72" s="868">
        <v>0</v>
      </c>
      <c r="L72" s="868">
        <v>0</v>
      </c>
      <c r="M72" s="868">
        <v>0</v>
      </c>
      <c r="N72" s="868"/>
      <c r="O72" s="868">
        <v>0</v>
      </c>
      <c r="P72" s="869" t="e">
        <v>#DIV/0!</v>
      </c>
      <c r="Q72" s="869" t="e">
        <v>#DIV/0!</v>
      </c>
      <c r="R72" s="869" t="e">
        <v>#DIV/0!</v>
      </c>
      <c r="T72" s="868">
        <v>0</v>
      </c>
      <c r="U72" s="868">
        <v>0</v>
      </c>
      <c r="V72" s="863"/>
      <c r="W72" s="868">
        <v>0</v>
      </c>
      <c r="X72" s="870">
        <v>0</v>
      </c>
      <c r="Y72" s="870">
        <v>0</v>
      </c>
      <c r="Z72" s="870">
        <v>0</v>
      </c>
      <c r="AA72" s="870">
        <v>0</v>
      </c>
      <c r="AB72" s="870">
        <v>0</v>
      </c>
      <c r="AC72" s="870">
        <v>0</v>
      </c>
      <c r="AD72" s="881">
        <v>0</v>
      </c>
      <c r="AE72" s="881">
        <v>0</v>
      </c>
      <c r="AF72" s="863"/>
      <c r="AG72" s="868">
        <v>0</v>
      </c>
      <c r="AH72" s="868">
        <v>0</v>
      </c>
    </row>
    <row r="73" spans="1:34">
      <c r="A73" s="862" t="s">
        <v>1143</v>
      </c>
      <c r="B73" s="871" t="s">
        <v>968</v>
      </c>
      <c r="C73" s="871">
        <v>2020</v>
      </c>
      <c r="D73" s="871" t="s">
        <v>1162</v>
      </c>
      <c r="E73" s="871" t="s">
        <v>956</v>
      </c>
      <c r="G73" s="872">
        <v>0</v>
      </c>
      <c r="H73" s="872">
        <v>0</v>
      </c>
      <c r="I73" s="872">
        <v>0</v>
      </c>
      <c r="J73" s="868"/>
      <c r="K73" s="872">
        <v>0</v>
      </c>
      <c r="L73" s="872">
        <v>0</v>
      </c>
      <c r="M73" s="872">
        <v>0</v>
      </c>
      <c r="N73" s="868"/>
      <c r="O73" s="872">
        <v>0</v>
      </c>
      <c r="P73" s="873" t="e">
        <v>#DIV/0!</v>
      </c>
      <c r="Q73" s="873" t="e">
        <v>#DIV/0!</v>
      </c>
      <c r="R73" s="873" t="e">
        <v>#DIV/0!</v>
      </c>
      <c r="T73" s="872">
        <v>0</v>
      </c>
      <c r="U73" s="872">
        <v>0</v>
      </c>
      <c r="V73" s="863"/>
      <c r="W73" s="872">
        <v>0</v>
      </c>
      <c r="X73" s="874">
        <v>0</v>
      </c>
      <c r="Y73" s="874">
        <v>0</v>
      </c>
      <c r="Z73" s="874">
        <v>0</v>
      </c>
      <c r="AA73" s="874">
        <v>0</v>
      </c>
      <c r="AB73" s="874">
        <v>0</v>
      </c>
      <c r="AC73" s="874">
        <v>0</v>
      </c>
      <c r="AD73" s="882">
        <v>0</v>
      </c>
      <c r="AE73" s="882">
        <v>0</v>
      </c>
      <c r="AF73" s="863"/>
      <c r="AG73" s="872">
        <v>0</v>
      </c>
      <c r="AH73" s="872">
        <v>0</v>
      </c>
    </row>
    <row r="74" spans="1:34">
      <c r="A74" s="862" t="s">
        <v>1144</v>
      </c>
      <c r="B74" s="862" t="s">
        <v>968</v>
      </c>
      <c r="C74" s="862">
        <v>2020</v>
      </c>
      <c r="D74" s="862" t="s">
        <v>1162</v>
      </c>
      <c r="E74" s="862" t="s">
        <v>957</v>
      </c>
      <c r="G74" s="868">
        <v>0</v>
      </c>
      <c r="H74" s="868">
        <v>0</v>
      </c>
      <c r="I74" s="868">
        <v>0</v>
      </c>
      <c r="J74" s="868"/>
      <c r="K74" s="868">
        <v>0</v>
      </c>
      <c r="L74" s="868">
        <v>0</v>
      </c>
      <c r="M74" s="868">
        <v>0</v>
      </c>
      <c r="N74" s="868"/>
      <c r="O74" s="868">
        <v>0</v>
      </c>
      <c r="P74" s="869" t="e">
        <v>#DIV/0!</v>
      </c>
      <c r="Q74" s="869" t="e">
        <v>#DIV/0!</v>
      </c>
      <c r="R74" s="869" t="e">
        <v>#DIV/0!</v>
      </c>
      <c r="T74" s="868">
        <v>0</v>
      </c>
      <c r="U74" s="868">
        <v>0</v>
      </c>
      <c r="V74" s="863"/>
      <c r="W74" s="868">
        <v>0</v>
      </c>
      <c r="X74" s="870">
        <v>0</v>
      </c>
      <c r="Y74" s="870">
        <v>0</v>
      </c>
      <c r="Z74" s="870">
        <v>0</v>
      </c>
      <c r="AA74" s="870">
        <v>0</v>
      </c>
      <c r="AB74" s="870">
        <v>0</v>
      </c>
      <c r="AC74" s="870">
        <v>0</v>
      </c>
      <c r="AD74" s="881">
        <v>0</v>
      </c>
      <c r="AE74" s="881">
        <v>0</v>
      </c>
      <c r="AF74" s="863"/>
      <c r="AG74" s="868">
        <v>0</v>
      </c>
      <c r="AH74" s="868">
        <v>0</v>
      </c>
    </row>
    <row r="75" spans="1:34">
      <c r="A75" s="862" t="s">
        <v>1145</v>
      </c>
      <c r="B75" s="871" t="s">
        <v>968</v>
      </c>
      <c r="C75" s="871">
        <v>2020</v>
      </c>
      <c r="D75" s="871" t="s">
        <v>1162</v>
      </c>
      <c r="E75" s="871" t="s">
        <v>958</v>
      </c>
      <c r="G75" s="872">
        <v>0</v>
      </c>
      <c r="H75" s="872">
        <v>0</v>
      </c>
      <c r="I75" s="872">
        <v>0</v>
      </c>
      <c r="J75" s="868"/>
      <c r="K75" s="872">
        <v>0</v>
      </c>
      <c r="L75" s="872">
        <v>0</v>
      </c>
      <c r="M75" s="872">
        <v>0</v>
      </c>
      <c r="N75" s="868"/>
      <c r="O75" s="872">
        <v>0</v>
      </c>
      <c r="P75" s="873" t="e">
        <v>#DIV/0!</v>
      </c>
      <c r="Q75" s="873" t="e">
        <v>#DIV/0!</v>
      </c>
      <c r="R75" s="873" t="e">
        <v>#DIV/0!</v>
      </c>
      <c r="T75" s="872">
        <v>0</v>
      </c>
      <c r="U75" s="872">
        <v>0</v>
      </c>
      <c r="V75" s="863"/>
      <c r="W75" s="872">
        <v>0</v>
      </c>
      <c r="X75" s="874">
        <v>0</v>
      </c>
      <c r="Y75" s="874">
        <v>0</v>
      </c>
      <c r="Z75" s="874">
        <v>0</v>
      </c>
      <c r="AA75" s="874">
        <v>0</v>
      </c>
      <c r="AB75" s="874">
        <v>0</v>
      </c>
      <c r="AC75" s="874">
        <v>0</v>
      </c>
      <c r="AD75" s="882">
        <v>0</v>
      </c>
      <c r="AE75" s="882">
        <v>0</v>
      </c>
      <c r="AF75" s="863"/>
      <c r="AG75" s="872">
        <v>0</v>
      </c>
      <c r="AH75" s="872">
        <v>0</v>
      </c>
    </row>
    <row r="76" spans="1:34">
      <c r="A76" s="862" t="s">
        <v>1146</v>
      </c>
      <c r="B76" s="862" t="s">
        <v>968</v>
      </c>
      <c r="C76" s="862">
        <v>2020</v>
      </c>
      <c r="D76" s="862" t="s">
        <v>1162</v>
      </c>
      <c r="E76" s="862" t="s">
        <v>959</v>
      </c>
      <c r="G76" s="868">
        <v>0</v>
      </c>
      <c r="H76" s="868">
        <v>0</v>
      </c>
      <c r="I76" s="868">
        <v>0</v>
      </c>
      <c r="J76" s="868"/>
      <c r="K76" s="868">
        <v>0</v>
      </c>
      <c r="L76" s="868">
        <v>0</v>
      </c>
      <c r="M76" s="868">
        <v>0</v>
      </c>
      <c r="N76" s="868"/>
      <c r="O76" s="868">
        <v>0</v>
      </c>
      <c r="P76" s="869" t="e">
        <v>#DIV/0!</v>
      </c>
      <c r="Q76" s="869" t="e">
        <v>#DIV/0!</v>
      </c>
      <c r="R76" s="869" t="e">
        <v>#DIV/0!</v>
      </c>
      <c r="T76" s="868">
        <v>0</v>
      </c>
      <c r="U76" s="868">
        <v>0</v>
      </c>
      <c r="V76" s="863"/>
      <c r="W76" s="868">
        <v>0</v>
      </c>
      <c r="X76" s="870">
        <v>0</v>
      </c>
      <c r="Y76" s="870">
        <v>0</v>
      </c>
      <c r="Z76" s="870">
        <v>0</v>
      </c>
      <c r="AA76" s="870">
        <v>0</v>
      </c>
      <c r="AB76" s="870">
        <v>0</v>
      </c>
      <c r="AC76" s="870">
        <v>0</v>
      </c>
      <c r="AD76" s="881">
        <v>0</v>
      </c>
      <c r="AE76" s="881">
        <v>0</v>
      </c>
      <c r="AF76" s="863"/>
      <c r="AG76" s="868">
        <v>0</v>
      </c>
      <c r="AH76" s="868">
        <v>0</v>
      </c>
    </row>
    <row r="78" spans="1:34">
      <c r="A78" s="862" t="s">
        <v>1074</v>
      </c>
      <c r="B78" s="867" t="s">
        <v>1075</v>
      </c>
      <c r="C78" s="867">
        <v>2020</v>
      </c>
      <c r="D78" s="867" t="s">
        <v>1162</v>
      </c>
      <c r="E78" s="862" t="s">
        <v>955</v>
      </c>
      <c r="G78" s="868">
        <v>0</v>
      </c>
      <c r="H78" s="868">
        <v>1341.6351241756129</v>
      </c>
      <c r="I78" s="868">
        <v>4049.1063510559115</v>
      </c>
      <c r="J78" s="868"/>
      <c r="K78" s="868">
        <v>0</v>
      </c>
      <c r="L78" s="868">
        <v>0</v>
      </c>
      <c r="M78" s="868">
        <v>0</v>
      </c>
      <c r="N78" s="868"/>
      <c r="O78" s="868">
        <v>905</v>
      </c>
      <c r="P78" s="869">
        <v>0.12375690607734803</v>
      </c>
      <c r="Q78" s="869">
        <v>0.44640883977900553</v>
      </c>
      <c r="R78" s="869">
        <v>0.4298342541436464</v>
      </c>
      <c r="T78" s="868">
        <v>0</v>
      </c>
      <c r="U78" s="868">
        <v>0</v>
      </c>
      <c r="V78" s="863"/>
      <c r="W78" s="868">
        <v>0</v>
      </c>
      <c r="X78" s="870">
        <v>8.9999999999999993E-3</v>
      </c>
      <c r="Y78" s="870">
        <v>8.9999999999999993E-3</v>
      </c>
      <c r="Z78" s="870">
        <v>8.9999999999999993E-3</v>
      </c>
      <c r="AA78" s="870">
        <v>1.9E-2</v>
      </c>
      <c r="AB78" s="870">
        <v>2.9000000000000001E-2</v>
      </c>
      <c r="AC78" s="870">
        <v>3.9E-2</v>
      </c>
      <c r="AD78" s="881" t="s">
        <v>122</v>
      </c>
      <c r="AE78" s="881" t="s">
        <v>122</v>
      </c>
      <c r="AF78" s="863"/>
      <c r="AG78" s="868">
        <v>0</v>
      </c>
      <c r="AH78" s="868">
        <v>0</v>
      </c>
    </row>
    <row r="79" spans="1:34">
      <c r="A79" s="862" t="s">
        <v>1076</v>
      </c>
      <c r="B79" s="871" t="s">
        <v>1075</v>
      </c>
      <c r="C79" s="871">
        <v>2020</v>
      </c>
      <c r="D79" s="871" t="s">
        <v>1162</v>
      </c>
      <c r="E79" s="871" t="s">
        <v>956</v>
      </c>
      <c r="G79" s="872">
        <v>0</v>
      </c>
      <c r="H79" s="872">
        <v>1341.6351241756129</v>
      </c>
      <c r="I79" s="872">
        <v>3659.1063510559115</v>
      </c>
      <c r="J79" s="868"/>
      <c r="K79" s="872">
        <v>0</v>
      </c>
      <c r="L79" s="872">
        <v>0</v>
      </c>
      <c r="M79" s="872">
        <v>0</v>
      </c>
      <c r="N79" s="868"/>
      <c r="O79" s="872">
        <v>1663</v>
      </c>
      <c r="P79" s="873">
        <v>0.18641010222489479</v>
      </c>
      <c r="Q79" s="873">
        <v>0.5748647023451593</v>
      </c>
      <c r="R79" s="873">
        <v>0.23872519542994589</v>
      </c>
      <c r="T79" s="872">
        <v>0</v>
      </c>
      <c r="U79" s="872">
        <v>0</v>
      </c>
      <c r="V79" s="863"/>
      <c r="W79" s="872">
        <v>0</v>
      </c>
      <c r="X79" s="874">
        <v>9.0000000000000011E-3</v>
      </c>
      <c r="Y79" s="874">
        <v>9.0000000000000011E-3</v>
      </c>
      <c r="Z79" s="874">
        <v>9.0000000000000011E-3</v>
      </c>
      <c r="AA79" s="874">
        <v>1.9000000000000003E-2</v>
      </c>
      <c r="AB79" s="874">
        <v>2.9000000000000005E-2</v>
      </c>
      <c r="AC79" s="874">
        <v>3.9E-2</v>
      </c>
      <c r="AD79" s="882" t="s">
        <v>122</v>
      </c>
      <c r="AE79" s="882" t="s">
        <v>122</v>
      </c>
      <c r="AF79" s="863"/>
      <c r="AG79" s="872">
        <v>0</v>
      </c>
      <c r="AH79" s="872">
        <v>0</v>
      </c>
    </row>
    <row r="80" spans="1:34">
      <c r="A80" s="862" t="s">
        <v>1077</v>
      </c>
      <c r="B80" s="862" t="s">
        <v>1075</v>
      </c>
      <c r="C80" s="862">
        <v>2020</v>
      </c>
      <c r="D80" s="862" t="s">
        <v>1162</v>
      </c>
      <c r="E80" s="862" t="s">
        <v>957</v>
      </c>
      <c r="G80" s="868">
        <v>0</v>
      </c>
      <c r="H80" s="868">
        <v>1341.6351241756129</v>
      </c>
      <c r="I80" s="868">
        <v>3659.1063510559115</v>
      </c>
      <c r="J80" s="868"/>
      <c r="K80" s="868">
        <v>0</v>
      </c>
      <c r="L80" s="868">
        <v>0</v>
      </c>
      <c r="M80" s="868">
        <v>0</v>
      </c>
      <c r="N80" s="868"/>
      <c r="O80" s="868">
        <v>1161</v>
      </c>
      <c r="P80" s="869">
        <v>0.23944875107665806</v>
      </c>
      <c r="Q80" s="869">
        <v>0.5400516795865633</v>
      </c>
      <c r="R80" s="869">
        <v>0.22049956933677864</v>
      </c>
      <c r="T80" s="868">
        <v>0</v>
      </c>
      <c r="U80" s="868">
        <v>0</v>
      </c>
      <c r="V80" s="863"/>
      <c r="W80" s="868">
        <v>0</v>
      </c>
      <c r="X80" s="870">
        <v>8.9999999999999993E-3</v>
      </c>
      <c r="Y80" s="870">
        <v>8.9999999999999993E-3</v>
      </c>
      <c r="Z80" s="870">
        <v>8.9999999999999993E-3</v>
      </c>
      <c r="AA80" s="870">
        <v>1.9E-2</v>
      </c>
      <c r="AB80" s="870">
        <v>2.9000000000000001E-2</v>
      </c>
      <c r="AC80" s="870">
        <v>3.9E-2</v>
      </c>
      <c r="AD80" s="881" t="s">
        <v>122</v>
      </c>
      <c r="AE80" s="881" t="s">
        <v>122</v>
      </c>
      <c r="AF80" s="863"/>
      <c r="AG80" s="868">
        <v>0</v>
      </c>
      <c r="AH80" s="868">
        <v>0</v>
      </c>
    </row>
    <row r="81" spans="1:34">
      <c r="A81" s="862" t="s">
        <v>1078</v>
      </c>
      <c r="B81" s="871" t="s">
        <v>1075</v>
      </c>
      <c r="C81" s="871">
        <v>2020</v>
      </c>
      <c r="D81" s="871" t="s">
        <v>1162</v>
      </c>
      <c r="E81" s="871" t="s">
        <v>958</v>
      </c>
      <c r="G81" s="872">
        <v>0</v>
      </c>
      <c r="H81" s="872">
        <v>1341.6351241756129</v>
      </c>
      <c r="I81" s="872">
        <v>3269.1063510559115</v>
      </c>
      <c r="J81" s="868"/>
      <c r="K81" s="872">
        <v>0</v>
      </c>
      <c r="L81" s="872">
        <v>0</v>
      </c>
      <c r="M81" s="872">
        <v>0</v>
      </c>
      <c r="N81" s="868"/>
      <c r="O81" s="872">
        <v>2093</v>
      </c>
      <c r="P81" s="873">
        <v>0.27042522694696608</v>
      </c>
      <c r="Q81" s="873">
        <v>0.63497372193024371</v>
      </c>
      <c r="R81" s="873">
        <v>9.4601051122790256E-2</v>
      </c>
      <c r="T81" s="872">
        <v>0</v>
      </c>
      <c r="U81" s="872">
        <v>0</v>
      </c>
      <c r="V81" s="863"/>
      <c r="W81" s="872">
        <v>0</v>
      </c>
      <c r="X81" s="874">
        <v>8.9999999999999976E-3</v>
      </c>
      <c r="Y81" s="874">
        <v>8.9999999999999976E-3</v>
      </c>
      <c r="Z81" s="874">
        <v>8.9999999999999976E-3</v>
      </c>
      <c r="AA81" s="874">
        <v>1.8999999999999996E-2</v>
      </c>
      <c r="AB81" s="874">
        <v>2.9000000000000001E-2</v>
      </c>
      <c r="AC81" s="874">
        <v>3.9E-2</v>
      </c>
      <c r="AD81" s="882" t="s">
        <v>122</v>
      </c>
      <c r="AE81" s="882" t="s">
        <v>122</v>
      </c>
      <c r="AF81" s="863"/>
      <c r="AG81" s="872">
        <v>0</v>
      </c>
      <c r="AH81" s="872">
        <v>0</v>
      </c>
    </row>
    <row r="82" spans="1:34">
      <c r="A82" s="862" t="s">
        <v>1079</v>
      </c>
      <c r="B82" s="862" t="s">
        <v>1075</v>
      </c>
      <c r="C82" s="862">
        <v>2020</v>
      </c>
      <c r="D82" s="862" t="s">
        <v>1162</v>
      </c>
      <c r="E82" s="862" t="s">
        <v>959</v>
      </c>
      <c r="G82" s="868">
        <v>0</v>
      </c>
      <c r="H82" s="868">
        <v>1341.6351241756129</v>
      </c>
      <c r="I82" s="868">
        <v>3269.1063510559115</v>
      </c>
      <c r="J82" s="868"/>
      <c r="K82" s="868">
        <v>0</v>
      </c>
      <c r="L82" s="868">
        <v>0</v>
      </c>
      <c r="M82" s="868">
        <v>0</v>
      </c>
      <c r="N82" s="868"/>
      <c r="O82" s="868">
        <v>675</v>
      </c>
      <c r="P82" s="869">
        <v>0.28740740740740739</v>
      </c>
      <c r="Q82" s="869">
        <v>0.5881481481481482</v>
      </c>
      <c r="R82" s="869">
        <v>0.12444444444444444</v>
      </c>
      <c r="T82" s="868">
        <v>0</v>
      </c>
      <c r="U82" s="868">
        <v>0</v>
      </c>
      <c r="V82" s="863"/>
      <c r="W82" s="868">
        <v>0</v>
      </c>
      <c r="X82" s="870">
        <v>8.9999999999999993E-3</v>
      </c>
      <c r="Y82" s="870">
        <v>8.9999999999999993E-3</v>
      </c>
      <c r="Z82" s="870">
        <v>8.9999999999999993E-3</v>
      </c>
      <c r="AA82" s="870">
        <v>1.9E-2</v>
      </c>
      <c r="AB82" s="870">
        <v>2.9000000000000001E-2</v>
      </c>
      <c r="AC82" s="870">
        <v>3.9E-2</v>
      </c>
      <c r="AD82" s="881" t="s">
        <v>122</v>
      </c>
      <c r="AE82" s="881" t="s">
        <v>122</v>
      </c>
      <c r="AF82" s="863"/>
      <c r="AG82" s="868">
        <v>0</v>
      </c>
      <c r="AH82" s="868">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AS155"/>
  <sheetViews>
    <sheetView showGridLines="0" zoomScale="70" zoomScaleNormal="70" workbookViewId="0">
      <pane xSplit="9" ySplit="12" topLeftCell="J102" activePane="bottomRight" state="frozen"/>
      <selection activeCell="I14" sqref="I14"/>
      <selection pane="topRight" activeCell="I14" sqref="I14"/>
      <selection pane="bottomLeft" activeCell="I14" sqref="I14"/>
      <selection pane="bottomRight" activeCell="K115" sqref="K115"/>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6" width="9.140625" style="108"/>
    <col min="47" max="47" width="9.5703125" style="108" bestFit="1" customWidth="1"/>
    <col min="48" max="52" width="10.7109375" style="108" customWidth="1"/>
    <col min="53" max="57" width="12" style="108" customWidth="1"/>
    <col min="58" max="60" width="13" style="108" customWidth="1"/>
    <col min="61" max="63" width="9.140625" style="108"/>
    <col min="64" max="66" width="17.42578125" style="108" customWidth="1"/>
    <col min="67" max="67" width="14.28515625" style="108" customWidth="1"/>
    <col min="68" max="68" width="17.42578125" style="108" customWidth="1"/>
    <col min="69" max="69" width="12" style="108" customWidth="1"/>
    <col min="70" max="16384" width="9.140625" style="108"/>
  </cols>
  <sheetData>
    <row r="1" spans="1:21" ht="19.5" thickBot="1">
      <c r="A1" s="108">
        <v>1</v>
      </c>
      <c r="G1" s="307" t="s">
        <v>317</v>
      </c>
      <c r="H1" s="295"/>
      <c r="I1" s="295"/>
      <c r="J1" s="295"/>
      <c r="K1" s="295"/>
      <c r="L1" s="295"/>
      <c r="M1" s="295"/>
      <c r="N1" s="295"/>
      <c r="O1" s="295"/>
      <c r="P1" s="295"/>
      <c r="Q1" s="295"/>
      <c r="R1" s="295"/>
      <c r="S1" s="295"/>
    </row>
    <row r="2" spans="1:21" ht="15.75" thickBot="1">
      <c r="A2" s="108">
        <f t="shared" ref="A2:A65" si="0">A1+1</f>
        <v>2</v>
      </c>
      <c r="H2" s="310" t="str">
        <f>"MY"&amp;RIGHT(H9,2)&amp;" "&amp;H12</f>
        <v>MY20 Kia Soul</v>
      </c>
      <c r="I2" s="311"/>
      <c r="J2" s="310" t="str">
        <f>"MY"&amp;RIGHT(J9,2)&amp;" "&amp;J12</f>
        <v>MY20 Kia Soul</v>
      </c>
      <c r="K2" s="311"/>
      <c r="L2" s="310" t="str">
        <f>"MY"&amp;RIGHT(L9,2)&amp;" "&amp;L12</f>
        <v>MY20 Kia Soul</v>
      </c>
      <c r="M2" s="311"/>
      <c r="N2" s="310" t="str">
        <f>"MY"&amp;RIGHT(N9,2)&amp;" "&amp;N12</f>
        <v>MY20 Kia Soul</v>
      </c>
      <c r="O2" s="311"/>
      <c r="P2" s="310" t="str">
        <f>"MY"&amp;RIGHT(P9,2)&amp;" "&amp;P12</f>
        <v>MY20 Kia Soul</v>
      </c>
      <c r="Q2" s="311"/>
      <c r="R2" s="310" t="str">
        <f>"MY"&amp;RIGHT(R9,2)&amp;" "&amp;R12</f>
        <v>MY20 Kia Soul</v>
      </c>
      <c r="S2" s="311"/>
    </row>
    <row r="3" spans="1:21" ht="14.45" customHeight="1" outlineLevel="1">
      <c r="A3" s="108">
        <f t="shared" si="0"/>
        <v>3</v>
      </c>
      <c r="G3" s="889">
        <v>0</v>
      </c>
      <c r="H3" s="108" t="str">
        <f>SUBSTITUTE(H12,H7&amp;" ","",1)</f>
        <v>Soul</v>
      </c>
      <c r="I3" s="111" t="str">
        <f>H3</f>
        <v>Soul</v>
      </c>
      <c r="J3" s="108" t="str">
        <f>SUBSTITUTE(J12,J7&amp;" ","",1)</f>
        <v>Soul</v>
      </c>
      <c r="K3" s="111" t="str">
        <f>J3</f>
        <v>Soul</v>
      </c>
      <c r="L3" s="108" t="str">
        <f>SUBSTITUTE(L12,L7&amp;" ","",1)</f>
        <v>Soul</v>
      </c>
      <c r="M3" s="111" t="str">
        <f>L3</f>
        <v>Soul</v>
      </c>
      <c r="N3" s="108" t="str">
        <f>SUBSTITUTE(N12,N7&amp;" ","",1)</f>
        <v>Soul</v>
      </c>
      <c r="O3" s="111" t="str">
        <f>N3</f>
        <v>Soul</v>
      </c>
      <c r="P3" s="108" t="str">
        <f>SUBSTITUTE(P12,P7&amp;" ","",1)</f>
        <v>Soul</v>
      </c>
      <c r="Q3" s="111" t="str">
        <f>P3</f>
        <v>Soul</v>
      </c>
    </row>
    <row r="4" spans="1:21" ht="14.45" customHeight="1" outlineLevel="1">
      <c r="A4" s="108">
        <f>A3+1</f>
        <v>4</v>
      </c>
      <c r="H4" s="111">
        <f>H9</f>
        <v>2020</v>
      </c>
      <c r="I4" s="111">
        <f>H4</f>
        <v>2020</v>
      </c>
      <c r="J4" s="111">
        <f>J9</f>
        <v>2020</v>
      </c>
      <c r="K4" s="111">
        <f>J4</f>
        <v>2020</v>
      </c>
      <c r="L4" s="111">
        <f>L9</f>
        <v>2020</v>
      </c>
      <c r="M4" s="111">
        <f>L4</f>
        <v>2020</v>
      </c>
      <c r="N4" s="111">
        <f>N9</f>
        <v>2020</v>
      </c>
      <c r="O4" s="111">
        <f>N4</f>
        <v>2020</v>
      </c>
      <c r="P4" s="111">
        <f>P9</f>
        <v>2020</v>
      </c>
      <c r="Q4" s="111">
        <f>P4</f>
        <v>2020</v>
      </c>
    </row>
    <row r="5" spans="1:21" ht="15" customHeight="1" outlineLevel="1" thickBot="1">
      <c r="A5" s="108">
        <f>A4+1</f>
        <v>5</v>
      </c>
      <c r="H5" s="111" t="str">
        <f>RIGHT(H11,2)</f>
        <v>L1</v>
      </c>
      <c r="I5" s="111" t="str">
        <f>H5</f>
        <v>L1</v>
      </c>
      <c r="J5" s="111" t="str">
        <f>RIGHT(J11,2)</f>
        <v>L2</v>
      </c>
      <c r="K5" s="111" t="str">
        <f>J5</f>
        <v>L2</v>
      </c>
      <c r="L5" s="111" t="str">
        <f>RIGHT(L11,2)</f>
        <v>L3</v>
      </c>
      <c r="M5" s="111" t="str">
        <f>L5</f>
        <v>L3</v>
      </c>
      <c r="N5" s="111" t="str">
        <f>RIGHT(N11,2)</f>
        <v>R1</v>
      </c>
      <c r="O5" s="111" t="str">
        <f>N5</f>
        <v>R1</v>
      </c>
      <c r="P5" s="111" t="str">
        <f>RIGHT(P11,2)</f>
        <v>R2</v>
      </c>
      <c r="Q5" s="111" t="str">
        <f>P5</f>
        <v>R2</v>
      </c>
    </row>
    <row r="6" spans="1:21" ht="15.75" thickBot="1">
      <c r="A6" s="108">
        <f>A5+1</f>
        <v>6</v>
      </c>
      <c r="H6" s="165" t="s">
        <v>513</v>
      </c>
      <c r="I6" s="166" t="s">
        <v>514</v>
      </c>
      <c r="J6" s="165" t="s">
        <v>513</v>
      </c>
      <c r="K6" s="166" t="s">
        <v>514</v>
      </c>
      <c r="L6" s="165" t="s">
        <v>513</v>
      </c>
      <c r="M6" s="166" t="s">
        <v>514</v>
      </c>
      <c r="N6" s="165" t="s">
        <v>513</v>
      </c>
      <c r="O6" s="166" t="s">
        <v>514</v>
      </c>
      <c r="P6" s="165" t="s">
        <v>513</v>
      </c>
      <c r="Q6" s="166" t="s">
        <v>514</v>
      </c>
      <c r="R6" s="165" t="s">
        <v>513</v>
      </c>
      <c r="S6" s="166" t="s">
        <v>514</v>
      </c>
      <c r="T6" s="114"/>
    </row>
    <row r="7" spans="1:21" ht="15">
      <c r="A7" s="108">
        <f t="shared" si="0"/>
        <v>7</v>
      </c>
      <c r="G7" s="167" t="s">
        <v>93</v>
      </c>
      <c r="H7" s="158" t="s">
        <v>948</v>
      </c>
      <c r="I7" s="312"/>
      <c r="J7" s="158" t="str">
        <f>H7</f>
        <v>Kia</v>
      </c>
      <c r="K7" s="312"/>
      <c r="L7" s="158" t="str">
        <f>J7</f>
        <v>Kia</v>
      </c>
      <c r="M7" s="312"/>
      <c r="N7" s="158" t="str">
        <f>L7</f>
        <v>Kia</v>
      </c>
      <c r="O7" s="312"/>
      <c r="P7" s="158" t="str">
        <f>N7</f>
        <v>Kia</v>
      </c>
      <c r="Q7" s="312"/>
      <c r="R7" s="158" t="str">
        <f>P7</f>
        <v>Kia</v>
      </c>
      <c r="S7" s="312"/>
      <c r="T7" s="114"/>
    </row>
    <row r="8" spans="1:21" ht="15">
      <c r="A8" s="108">
        <f t="shared" si="0"/>
        <v>8</v>
      </c>
      <c r="G8" s="168" t="s">
        <v>3</v>
      </c>
      <c r="H8" s="157" t="str">
        <f>INDEX(Lookup!$A:$A,MATCH(H12,Lookup!$B:$B,0))</f>
        <v>Compact SUV (52)</v>
      </c>
      <c r="I8" s="151"/>
      <c r="J8" s="157" t="str">
        <f>INDEX(Lookup!$A:$A,MATCH(J12,Lookup!$B:$B,0))</f>
        <v>Compact SUV (52)</v>
      </c>
      <c r="K8" s="151"/>
      <c r="L8" s="157" t="str">
        <f>INDEX(Lookup!$A:$A,MATCH(L12,Lookup!$B:$B,0))</f>
        <v>Compact SUV (52)</v>
      </c>
      <c r="M8" s="151"/>
      <c r="N8" s="157" t="str">
        <f>INDEX(Lookup!$A:$A,MATCH(N12,Lookup!$B:$B,0))</f>
        <v>Compact SUV (52)</v>
      </c>
      <c r="O8" s="151"/>
      <c r="P8" s="157" t="str">
        <f>INDEX(Lookup!$A:$A,MATCH(P12,Lookup!$B:$B,0))</f>
        <v>Compact SUV (52)</v>
      </c>
      <c r="Q8" s="151"/>
      <c r="R8" s="157" t="str">
        <f>INDEX(Lookup!$A:$A,MATCH(R12,Lookup!$B:$B,0))</f>
        <v>Compact SUV (52)</v>
      </c>
      <c r="S8" s="151"/>
      <c r="T8" s="114"/>
    </row>
    <row r="9" spans="1:21" ht="15">
      <c r="A9" s="108">
        <f t="shared" si="0"/>
        <v>9</v>
      </c>
      <c r="G9" s="169" t="s">
        <v>335</v>
      </c>
      <c r="H9" s="313">
        <v>2020</v>
      </c>
      <c r="I9" s="314"/>
      <c r="J9" s="313">
        <f>H9</f>
        <v>2020</v>
      </c>
      <c r="K9" s="314"/>
      <c r="L9" s="313">
        <f>J9</f>
        <v>2020</v>
      </c>
      <c r="M9" s="314"/>
      <c r="N9" s="313">
        <f>L9</f>
        <v>2020</v>
      </c>
      <c r="O9" s="314"/>
      <c r="P9" s="313">
        <f>N9</f>
        <v>2020</v>
      </c>
      <c r="Q9" s="314"/>
      <c r="R9" s="313">
        <f>P9</f>
        <v>2020</v>
      </c>
      <c r="S9" s="314"/>
      <c r="T9" s="114"/>
    </row>
    <row r="10" spans="1:21" ht="15">
      <c r="A10" s="108">
        <f t="shared" si="0"/>
        <v>10</v>
      </c>
      <c r="G10" s="169" t="s">
        <v>336</v>
      </c>
      <c r="H10" s="315">
        <v>1</v>
      </c>
      <c r="I10" s="316"/>
      <c r="J10" s="315">
        <f>H10</f>
        <v>1</v>
      </c>
      <c r="K10" s="316"/>
      <c r="L10" s="315">
        <f>J10</f>
        <v>1</v>
      </c>
      <c r="M10" s="316"/>
      <c r="N10" s="315">
        <f>L10</f>
        <v>1</v>
      </c>
      <c r="O10" s="316"/>
      <c r="P10" s="315">
        <f>N10</f>
        <v>1</v>
      </c>
      <c r="Q10" s="316"/>
      <c r="R10" s="315">
        <f>P10</f>
        <v>1</v>
      </c>
      <c r="S10" s="316"/>
      <c r="U10" s="114"/>
    </row>
    <row r="11" spans="1:21" ht="15">
      <c r="A11" s="108">
        <f t="shared" si="0"/>
        <v>11</v>
      </c>
      <c r="G11" s="169" t="s">
        <v>94</v>
      </c>
      <c r="H11" s="313" t="s">
        <v>949</v>
      </c>
      <c r="I11" s="314"/>
      <c r="J11" s="313" t="s">
        <v>950</v>
      </c>
      <c r="K11" s="314"/>
      <c r="L11" s="313" t="s">
        <v>951</v>
      </c>
      <c r="M11" s="314"/>
      <c r="N11" s="313" t="s">
        <v>952</v>
      </c>
      <c r="O11" s="314"/>
      <c r="P11" s="313" t="s">
        <v>953</v>
      </c>
      <c r="Q11" s="314"/>
      <c r="R11" s="313" t="s">
        <v>811</v>
      </c>
      <c r="S11" s="314"/>
      <c r="U11" s="114"/>
    </row>
    <row r="12" spans="1:21" ht="15.75" thickBot="1">
      <c r="A12" s="108">
        <f t="shared" si="0"/>
        <v>12</v>
      </c>
      <c r="G12" s="317" t="s">
        <v>515</v>
      </c>
      <c r="H12" s="318" t="s">
        <v>192</v>
      </c>
      <c r="I12" s="314"/>
      <c r="J12" s="318" t="str">
        <f>H12</f>
        <v>Kia Soul</v>
      </c>
      <c r="K12" s="314"/>
      <c r="L12" s="318" t="str">
        <f>J12</f>
        <v>Kia Soul</v>
      </c>
      <c r="M12" s="314"/>
      <c r="N12" s="318" t="str">
        <f>L12</f>
        <v>Kia Soul</v>
      </c>
      <c r="O12" s="314"/>
      <c r="P12" s="318" t="str">
        <f>N12</f>
        <v>Kia Soul</v>
      </c>
      <c r="Q12" s="314"/>
      <c r="R12" s="318" t="str">
        <f>P12</f>
        <v>Kia Soul</v>
      </c>
      <c r="S12" s="314"/>
      <c r="U12" s="114"/>
    </row>
    <row r="13" spans="1:21" ht="19.5" thickBot="1">
      <c r="A13" s="108">
        <f t="shared" si="0"/>
        <v>13</v>
      </c>
      <c r="G13" s="319" t="s">
        <v>307</v>
      </c>
      <c r="H13" s="320"/>
      <c r="I13" s="320"/>
      <c r="J13" s="320"/>
      <c r="K13" s="320"/>
      <c r="L13" s="320"/>
      <c r="M13" s="320"/>
      <c r="N13" s="320"/>
      <c r="O13" s="320"/>
      <c r="P13" s="320"/>
      <c r="Q13" s="320"/>
      <c r="R13" s="320"/>
      <c r="S13" s="320"/>
      <c r="U13" s="114"/>
    </row>
    <row r="14" spans="1:21" ht="15.75" thickBot="1">
      <c r="A14" s="108">
        <f t="shared" si="0"/>
        <v>14</v>
      </c>
      <c r="F14" s="110"/>
      <c r="G14" s="321" t="s">
        <v>631</v>
      </c>
      <c r="H14" s="322"/>
      <c r="I14" s="323"/>
      <c r="J14" s="322"/>
      <c r="K14" s="323"/>
      <c r="L14" s="322"/>
      <c r="M14" s="323"/>
      <c r="N14" s="322"/>
      <c r="O14" s="323"/>
      <c r="P14" s="322"/>
      <c r="Q14" s="323"/>
      <c r="R14" s="322"/>
      <c r="S14" s="323"/>
      <c r="U14" s="114"/>
    </row>
    <row r="15" spans="1:21" ht="15.75" thickBot="1">
      <c r="A15" s="108">
        <f t="shared" si="0"/>
        <v>15</v>
      </c>
      <c r="F15" s="110"/>
      <c r="G15" s="182" t="s">
        <v>17</v>
      </c>
      <c r="H15" s="171">
        <f>19985</f>
        <v>19985</v>
      </c>
      <c r="I15" s="535"/>
      <c r="J15" s="171">
        <f>H15</f>
        <v>19985</v>
      </c>
      <c r="K15" s="535"/>
      <c r="L15" s="171">
        <f>J15</f>
        <v>19985</v>
      </c>
      <c r="M15" s="535"/>
      <c r="N15" s="171">
        <f>L15</f>
        <v>19985</v>
      </c>
      <c r="O15" s="535"/>
      <c r="P15" s="171">
        <f>N15</f>
        <v>19985</v>
      </c>
      <c r="Q15" s="535"/>
      <c r="R15" s="171">
        <f>P15</f>
        <v>19985</v>
      </c>
      <c r="S15" s="535"/>
      <c r="U15" s="114"/>
    </row>
    <row r="16" spans="1:21" ht="15.75" thickBot="1">
      <c r="A16" s="108">
        <f t="shared" si="0"/>
        <v>16</v>
      </c>
      <c r="F16" s="110"/>
      <c r="G16" s="182" t="s">
        <v>47</v>
      </c>
      <c r="H16" s="537">
        <f>H15/0.95</f>
        <v>21036.84210526316</v>
      </c>
      <c r="I16" s="153"/>
      <c r="J16" s="537">
        <f>J15/0.95</f>
        <v>21036.84210526316</v>
      </c>
      <c r="K16" s="153"/>
      <c r="L16" s="537">
        <f>L15/0.95</f>
        <v>21036.84210526316</v>
      </c>
      <c r="M16" s="153"/>
      <c r="N16" s="537">
        <f>N15/0.95</f>
        <v>21036.84210526316</v>
      </c>
      <c r="O16" s="153"/>
      <c r="P16" s="537">
        <f>P15/0.95</f>
        <v>21036.84210526316</v>
      </c>
      <c r="Q16" s="153"/>
      <c r="R16" s="537">
        <f>R15/0.95</f>
        <v>21036.84210526316</v>
      </c>
      <c r="S16" s="153"/>
      <c r="U16" s="114"/>
    </row>
    <row r="17" spans="1:21" ht="15.75" thickBot="1">
      <c r="A17" s="108">
        <f t="shared" si="0"/>
        <v>17</v>
      </c>
      <c r="F17" s="110"/>
      <c r="G17" s="182" t="s">
        <v>516</v>
      </c>
      <c r="H17" s="171">
        <f>H15*30%</f>
        <v>5995.5</v>
      </c>
      <c r="I17" s="153"/>
      <c r="J17" s="171">
        <f>J15*30%</f>
        <v>5995.5</v>
      </c>
      <c r="K17" s="153"/>
      <c r="L17" s="171">
        <f>L15*30%</f>
        <v>5995.5</v>
      </c>
      <c r="M17" s="153"/>
      <c r="N17" s="171">
        <f>N15*30%</f>
        <v>5995.5</v>
      </c>
      <c r="O17" s="153"/>
      <c r="P17" s="171">
        <f>P15*30%</f>
        <v>5995.5</v>
      </c>
      <c r="Q17" s="153"/>
      <c r="R17" s="171">
        <f>R15*30%</f>
        <v>5995.5</v>
      </c>
      <c r="S17" s="153"/>
      <c r="U17" s="114"/>
    </row>
    <row r="18" spans="1:21" ht="15.75" hidden="1" thickBot="1">
      <c r="A18" s="108">
        <f t="shared" si="0"/>
        <v>18</v>
      </c>
      <c r="F18" s="110"/>
      <c r="G18" s="184" t="s">
        <v>517</v>
      </c>
      <c r="H18" s="171">
        <f t="shared" ref="H18" si="1">H17</f>
        <v>5995.5</v>
      </c>
      <c r="I18" s="153"/>
      <c r="J18" s="171">
        <f t="shared" ref="J18" si="2">J17</f>
        <v>5995.5</v>
      </c>
      <c r="K18" s="153"/>
      <c r="L18" s="171">
        <f t="shared" ref="L18" si="3">L17</f>
        <v>5995.5</v>
      </c>
      <c r="M18" s="153"/>
      <c r="N18" s="171">
        <f t="shared" ref="N18" si="4">N17</f>
        <v>5995.5</v>
      </c>
      <c r="O18" s="153"/>
      <c r="P18" s="171">
        <f t="shared" ref="P18" si="5">P17</f>
        <v>5995.5</v>
      </c>
      <c r="Q18" s="153"/>
      <c r="R18" s="171">
        <f t="shared" ref="R18" si="6">R17</f>
        <v>5995.5</v>
      </c>
      <c r="S18" s="153"/>
      <c r="U18" s="114"/>
    </row>
    <row r="19" spans="1:21" ht="15.75" hidden="1" thickBot="1">
      <c r="A19" s="108">
        <f t="shared" si="0"/>
        <v>19</v>
      </c>
      <c r="F19" s="110"/>
      <c r="G19" s="184" t="s">
        <v>518</v>
      </c>
      <c r="H19" s="324">
        <v>0</v>
      </c>
      <c r="I19" s="152"/>
      <c r="J19" s="324">
        <v>0</v>
      </c>
      <c r="K19" s="152"/>
      <c r="L19" s="324">
        <v>0</v>
      </c>
      <c r="M19" s="152"/>
      <c r="N19" s="324">
        <v>0</v>
      </c>
      <c r="O19" s="152"/>
      <c r="P19" s="324">
        <v>0</v>
      </c>
      <c r="Q19" s="152"/>
      <c r="R19" s="324">
        <v>0</v>
      </c>
      <c r="S19" s="152"/>
      <c r="U19" s="114"/>
    </row>
    <row r="20" spans="1:21" ht="15">
      <c r="A20" s="108">
        <f t="shared" si="0"/>
        <v>20</v>
      </c>
      <c r="F20" s="110"/>
      <c r="G20" s="183" t="s">
        <v>305</v>
      </c>
      <c r="H20" s="170">
        <f>H21*H26+H22*H27+IF(I28="TOS",H21,H23)*H28+H24</f>
        <v>2818.4193802796353</v>
      </c>
      <c r="I20" s="153"/>
      <c r="J20" s="170">
        <f>J21*J26+J22*J27+IF(K28="TOS",J21,J23)*J28+J24</f>
        <v>2105.548724853742</v>
      </c>
      <c r="K20" s="153"/>
      <c r="L20" s="170">
        <f>L21*L26+L22*L27+IF(M28="TOS",L21,L23)*L28+L24</f>
        <v>2442.3713226762939</v>
      </c>
      <c r="M20" s="153"/>
      <c r="N20" s="170">
        <f>N21*N26+N22*N27+IF(O28="TOS",N21,N23)*N28+N24</f>
        <v>2341.8685758720158</v>
      </c>
      <c r="O20" s="153"/>
      <c r="P20" s="170">
        <f>P21*P26+P22*P27+IF(Q28="TOS",P21,P23)*P28+P24</f>
        <v>1890.7138380411029</v>
      </c>
      <c r="Q20" s="153"/>
      <c r="R20" s="170">
        <f>R21*R26+R22*R27+IF(S28="TOS",R21,R23)*R28+R24</f>
        <v>2296.6050414551746</v>
      </c>
      <c r="S20" s="153"/>
      <c r="U20" s="114"/>
    </row>
    <row r="21" spans="1:21" ht="15">
      <c r="A21" s="108">
        <f t="shared" si="0"/>
        <v>21</v>
      </c>
      <c r="G21" s="184" t="s">
        <v>328</v>
      </c>
      <c r="H21" s="537">
        <f>INDEX('LM Offers'!$A$3:$CZ$500,MATCH(H$3&amp;H$4&amp;H$5,'LM Offers'!$A$3:$A$500,0),MATCH($A21,'LM Offers'!$A$3:$CZ$3,0))
+(H108*H109)+(H117*H118)</f>
        <v>1270</v>
      </c>
      <c r="I21" s="153"/>
      <c r="J21" s="537">
        <f>INDEX('LM Offers'!$A$3:$CZ$500,MATCH(J$3&amp;J$4&amp;J$5,'LM Offers'!$A$3:$A$500,0),MATCH($A21,'LM Offers'!$A$3:$CZ$3,0))
+(J108*J109)+(J117*J118)</f>
        <v>1270</v>
      </c>
      <c r="K21" s="153"/>
      <c r="L21" s="537">
        <f>INDEX('LM Offers'!$A$3:$CZ$500,MATCH(L$3&amp;L$4&amp;L$5,'LM Offers'!$A$3:$A$500,0),MATCH($A21,'LM Offers'!$A$3:$CZ$3,0))
+(L108*L109)+(L117*L118)</f>
        <v>1270</v>
      </c>
      <c r="M21" s="153"/>
      <c r="N21" s="537">
        <f>INDEX('LM Offers'!$A$3:$CZ$500,MATCH(N$3&amp;N$4&amp;N$5,'LM Offers'!$A$3:$A$500,0),MATCH($A21,'LM Offers'!$A$3:$CZ$3,0))
+(N108*N109)+(N117*N118)</f>
        <v>1270</v>
      </c>
      <c r="O21" s="153"/>
      <c r="P21" s="537">
        <f>INDEX('LM Offers'!$A$3:$CZ$500,MATCH(P$3&amp;P$4&amp;P$5,'LM Offers'!$A$3:$A$500,0),MATCH($A21,'LM Offers'!$A$3:$CZ$3,0))
+(P108*P109)+(P117*P118)</f>
        <v>1270</v>
      </c>
      <c r="Q21" s="153"/>
      <c r="R21" s="764">
        <f>SUM($H$26*$H$29*$H$21,$J$26*$J$29*$J$21,$L$26*$L$29*$L$21,$N$26*$N$29*$N$21,$P$26*$P$29*$P$21)/($R$26*$R$29)</f>
        <v>1270.0000000000002</v>
      </c>
      <c r="S21" s="153"/>
      <c r="U21" s="114"/>
    </row>
    <row r="22" spans="1:21" ht="15">
      <c r="A22" s="108">
        <f t="shared" si="0"/>
        <v>22</v>
      </c>
      <c r="G22" s="185" t="s">
        <v>329</v>
      </c>
      <c r="H22" s="893">
        <f>INDEX('LM Offers'!$A$3:$CZ$500,MATCH(H$3&amp;H$4&amp;H$5,'LM Offers'!$A$3:$A$500,0),MATCH($A22,'LM Offers'!$A$3:$CZ$3,0))
+(H108*H109)+(H117*H118)</f>
        <v>2130.0624533823611</v>
      </c>
      <c r="I22" s="153"/>
      <c r="J22" s="893">
        <f>INDEX('LM Offers'!$A$3:$CZ$500,MATCH(J$3&amp;J$4&amp;J$5,'LM Offers'!$A$3:$A$500,0),MATCH($A22,'LM Offers'!$A$3:$CZ$3,0))
+(J108*J109)+(J117*J118)</f>
        <v>2130.0624533823611</v>
      </c>
      <c r="K22" s="153"/>
      <c r="L22" s="893">
        <f>INDEX('LM Offers'!$A$3:$CZ$500,MATCH(L$3&amp;L$4&amp;L$5,'LM Offers'!$A$3:$A$500,0),MATCH($A22,'LM Offers'!$A$3:$CZ$3,0))
+(L108*L109)+(L117*L118)</f>
        <v>2130.0624533823611</v>
      </c>
      <c r="M22" s="153"/>
      <c r="N22" s="893">
        <f>INDEX('LM Offers'!$A$3:$CZ$500,MATCH(N$3&amp;N$4&amp;N$5,'LM Offers'!$A$3:$A$500,0),MATCH($A22,'LM Offers'!$A$3:$CZ$3,0))
+(N108*N109)+(N117*N118)</f>
        <v>2130.0624533823611</v>
      </c>
      <c r="O22" s="153"/>
      <c r="P22" s="893">
        <f>INDEX('LM Offers'!$A$3:$CZ$500,MATCH(P$3&amp;P$4&amp;P$5,'LM Offers'!$A$3:$A$500,0),MATCH($A22,'LM Offers'!$A$3:$CZ$3,0))
+(P108*P109)+(P117*P118)</f>
        <v>2130.0624533823611</v>
      </c>
      <c r="Q22" s="153"/>
      <c r="R22" s="764">
        <f>SUM($H$27*$H$29*$H$22,$J$27*$J$29*$J$22,$L$27*$L$29*$L$22,$N$27*$N$29*$N$22,$P$27*$P$29*$P$22)/($R$27*$R$29)</f>
        <v>2130.0624533823611</v>
      </c>
      <c r="S22" s="153"/>
      <c r="U22" s="114"/>
    </row>
    <row r="23" spans="1:21" ht="15">
      <c r="A23" s="880">
        <v>98</v>
      </c>
      <c r="G23" s="185" t="s">
        <v>519</v>
      </c>
      <c r="H23" s="893">
        <f>INDEX('LM Offers'!$A$3:$CZ$500,MATCH(H$3&amp;H$4&amp;H$5,'LM Offers'!$A$3:$A$500,0),MATCH($A23,'LM Offers'!$A$3:$CZ$3,0))
+(H$16*$G$3)+(H111*H112)</f>
        <v>4373.7164157747848</v>
      </c>
      <c r="I23" s="153"/>
      <c r="J23" s="893">
        <f>INDEX('LM Offers'!$A$3:$CZ$500,MATCH(J$3&amp;J$4&amp;J$5,'LM Offers'!$A$3:$A$500,0),MATCH($A23,'LM Offers'!$A$3:$CZ$3,0))
+(J$16*$G$3)+(J111*J112)</f>
        <v>3653.7164157747848</v>
      </c>
      <c r="K23" s="153"/>
      <c r="L23" s="893">
        <f>INDEX('LM Offers'!$A$3:$CZ$500,MATCH(L$3&amp;L$4&amp;L$5,'LM Offers'!$A$3:$A$500,0),MATCH($A23,'LM Offers'!$A$3:$CZ$3,0))
+(L$16*$G$3)+(L111*L112)</f>
        <v>3653.7164157747857</v>
      </c>
      <c r="M23" s="153"/>
      <c r="N23" s="893">
        <f>INDEX('LM Offers'!$A$3:$CZ$500,MATCH(N$3&amp;N$4&amp;N$5,'LM Offers'!$A$3:$A$500,0),MATCH($A23,'LM Offers'!$A$3:$CZ$3,0))
+(N$16*$G$3)+(N111*N112)</f>
        <v>3653.7164157747852</v>
      </c>
      <c r="O23" s="153"/>
      <c r="P23" s="893">
        <f>INDEX('LM Offers'!$A$3:$CZ$500,MATCH(P$3&amp;P$4&amp;P$5,'LM Offers'!$A$3:$A$500,0),MATCH($A23,'LM Offers'!$A$3:$CZ$3,0))
+(P$16*$G$3)+(P111*P112)</f>
        <v>3653.7164157747857</v>
      </c>
      <c r="Q23" s="153"/>
      <c r="R23" s="764">
        <f>SUM($H$28*$H$29*$H$23,$J$28*$J$29*$J$23,$L$28*$L$29*$L$23,$N$28*$N$29*$N$23,$P$28*$P$29*$P$23)/($R$28*$R$29)</f>
        <v>3808.9935242085198</v>
      </c>
      <c r="S23" s="153"/>
      <c r="U23" s="114"/>
    </row>
    <row r="24" spans="1:21" ht="15.75" thickBot="1">
      <c r="A24" s="108">
        <f>A22+2</f>
        <v>24</v>
      </c>
      <c r="G24" s="186" t="s">
        <v>331</v>
      </c>
      <c r="H24" s="539">
        <f>H114*H115</f>
        <v>0</v>
      </c>
      <c r="I24" s="152"/>
      <c r="J24" s="539">
        <f>J114*J115</f>
        <v>24</v>
      </c>
      <c r="K24" s="152"/>
      <c r="L24" s="539">
        <f>L114*L115</f>
        <v>341</v>
      </c>
      <c r="M24" s="152"/>
      <c r="N24" s="539">
        <f>N114*N115</f>
        <v>500</v>
      </c>
      <c r="O24" s="152"/>
      <c r="P24" s="539">
        <f>P114*P115</f>
        <v>0</v>
      </c>
      <c r="Q24" s="152"/>
      <c r="R24" s="539">
        <f>R111*R112</f>
        <v>270</v>
      </c>
      <c r="S24" s="152"/>
      <c r="U24" s="114"/>
    </row>
    <row r="25" spans="1:21" ht="15">
      <c r="A25" s="108">
        <f t="shared" si="0"/>
        <v>25</v>
      </c>
      <c r="G25" s="187" t="s">
        <v>306</v>
      </c>
      <c r="H25" s="172" t="str">
        <f t="shared" ref="H25" si="7">IF(AND(ISBLANK(H26),ISBLANK(H27),ISBLANK(H28)),"",IF(SUM(H26:H28)&lt;&gt;100%,"ERROR: ≠100%!",""))</f>
        <v/>
      </c>
      <c r="I25" s="153"/>
      <c r="J25" s="172" t="str">
        <f t="shared" ref="J25" si="8">IF(AND(ISBLANK(J26),ISBLANK(J27),ISBLANK(J28)),"",IF(SUM(J26:J28)&lt;&gt;100%,"ERROR: ≠100%!",""))</f>
        <v/>
      </c>
      <c r="K25" s="153"/>
      <c r="L25" s="172" t="str">
        <f t="shared" ref="L25" si="9">IF(AND(ISBLANK(L26),ISBLANK(L27),ISBLANK(L28)),"",IF(SUM(L26:L28)&lt;&gt;100%,"ERROR: ≠100%!",""))</f>
        <v/>
      </c>
      <c r="M25" s="153"/>
      <c r="N25" s="172" t="str">
        <f t="shared" ref="N25" si="10">IF(AND(ISBLANK(N26),ISBLANK(N27),ISBLANK(N28)),"",IF(SUM(N26:N28)&lt;&gt;100%,"ERROR: ≠100%!",""))</f>
        <v/>
      </c>
      <c r="O25" s="153"/>
      <c r="P25" s="172" t="str">
        <f t="shared" ref="P25" si="11">IF(AND(ISBLANK(P26),ISBLANK(P27),ISBLANK(P28)),"",IF(SUM(P26:P28)&lt;&gt;100%,"ERROR: ≠100%!",""))</f>
        <v/>
      </c>
      <c r="Q25" s="153"/>
      <c r="R25" s="172" t="str">
        <f t="shared" ref="R25" si="12">IF(AND(ISBLANK(R26),ISBLANK(R27),ISBLANK(R28)),"",IF(SUM(R26:R28)&lt;&gt;100%,"ERROR: ≠100%!",""))</f>
        <v/>
      </c>
      <c r="S25" s="153"/>
      <c r="U25" s="114"/>
    </row>
    <row r="26" spans="1:21" ht="15">
      <c r="A26" s="108">
        <f t="shared" si="0"/>
        <v>26</v>
      </c>
      <c r="G26" s="188" t="s">
        <v>328</v>
      </c>
      <c r="H26" s="532">
        <f>INDEX('LM Offers'!$A$3:$CZ$500,MATCH(H$3&amp;H$4&amp;H$5,'LM Offers'!$A$3:$A$500,0),MATCH($A26,'LM Offers'!$A$3:$CZ$3,0))</f>
        <v>0.24663677130044845</v>
      </c>
      <c r="I26" s="153"/>
      <c r="J26" s="532">
        <f>INDEX('LM Offers'!$A$3:$CZ$500,MATCH(J$3&amp;J$4&amp;J$5,'LM Offers'!$A$3:$A$500,0),MATCH($A26,'LM Offers'!$A$3:$CZ$3,0))</f>
        <v>0.36283185840707965</v>
      </c>
      <c r="K26" s="153"/>
      <c r="L26" s="532">
        <f>INDEX('LM Offers'!$A$3:$CZ$500,MATCH(L$3&amp;L$4&amp;L$5,'LM Offers'!$A$3:$A$500,0),MATCH($A26,'LM Offers'!$A$3:$CZ$3,0))</f>
        <v>0.3161490683229814</v>
      </c>
      <c r="M26" s="153"/>
      <c r="N26" s="532">
        <f>INDEX('LM Offers'!$A$3:$CZ$500,MATCH(N$3&amp;N$4&amp;N$5,'LM Offers'!$A$3:$A$500,0),MATCH($A26,'LM Offers'!$A$3:$CZ$3,0))</f>
        <v>0.42636324602833836</v>
      </c>
      <c r="O26" s="153"/>
      <c r="P26" s="532">
        <f>INDEX('LM Offers'!$A$3:$CZ$500,MATCH(P$3&amp;P$4&amp;P$5,'LM Offers'!$A$3:$A$500,0),MATCH($A26,'LM Offers'!$A$3:$CZ$3,0))</f>
        <v>0.40560292326431191</v>
      </c>
      <c r="Q26" s="153"/>
      <c r="R26" s="532">
        <f>1-SUM(R27:R28)</f>
        <v>0.37153046984028526</v>
      </c>
      <c r="S26" s="153"/>
      <c r="U26" s="114"/>
    </row>
    <row r="27" spans="1:21" ht="15">
      <c r="A27" s="108">
        <f t="shared" si="0"/>
        <v>27</v>
      </c>
      <c r="G27" s="188" t="s">
        <v>329</v>
      </c>
      <c r="H27" s="532">
        <f>INDEX('LM Offers'!$A$3:$CZ$500,MATCH(H$3&amp;H$4&amp;H$5,'LM Offers'!$A$3:$A$500,0),MATCH($A27,'LM Offers'!$A$3:$CZ$3,0))</f>
        <v>0.35201793721973096</v>
      </c>
      <c r="I27" s="153"/>
      <c r="J27" s="532">
        <f>INDEX('LM Offers'!$A$3:$CZ$500,MATCH(J$3&amp;J$4&amp;J$5,'LM Offers'!$A$3:$A$500,0),MATCH($A27,'LM Offers'!$A$3:$CZ$3,0))</f>
        <v>0.46419951729686243</v>
      </c>
      <c r="K27" s="153"/>
      <c r="L27" s="532">
        <f>INDEX('LM Offers'!$A$3:$CZ$500,MATCH(L$3&amp;L$4&amp;L$5,'LM Offers'!$A$3:$A$500,0),MATCH($A27,'LM Offers'!$A$3:$CZ$3,0))</f>
        <v>0.52422360248447208</v>
      </c>
      <c r="M27" s="153"/>
      <c r="N27" s="532">
        <f>INDEX('LM Offers'!$A$3:$CZ$500,MATCH(N$3&amp;N$4&amp;N$5,'LM Offers'!$A$3:$A$500,0),MATCH($A27,'LM Offers'!$A$3:$CZ$3,0))</f>
        <v>0.52211249463288967</v>
      </c>
      <c r="O27" s="153"/>
      <c r="P27" s="532">
        <f>INDEX('LM Offers'!$A$3:$CZ$500,MATCH(P$3&amp;P$4&amp;P$5,'LM Offers'!$A$3:$A$500,0),MATCH($A27,'LM Offers'!$A$3:$CZ$3,0))</f>
        <v>0.52253349573690622</v>
      </c>
      <c r="Q27" s="153"/>
      <c r="R27" s="532">
        <f>SUM($H$27*H29,$J$27*$J$29,$L$27*$L$29,$N$27*$N$29,$P$27*$P$29)/SUM($H$29,$J$29,$L$29,$N$29,$P$29)</f>
        <v>0.49976740579934875</v>
      </c>
      <c r="S27" s="153"/>
      <c r="U27" s="114"/>
    </row>
    <row r="28" spans="1:21" ht="15.75" thickBot="1">
      <c r="A28" s="108">
        <f t="shared" si="0"/>
        <v>28</v>
      </c>
      <c r="G28" s="190" t="s">
        <v>855</v>
      </c>
      <c r="H28" s="763">
        <f>INDEX('LM Offers'!$A$3:$CZ$500,MATCH(H$3&amp;H$4&amp;H$5,'LM Offers'!$A$3:$A$500,0),MATCH($A28,'LM Offers'!$A$3:$CZ$3,0))</f>
        <v>0.40134529147982062</v>
      </c>
      <c r="I28" s="558" t="s">
        <v>763</v>
      </c>
      <c r="J28" s="763">
        <f>INDEX('LM Offers'!$A$3:$CZ$500,MATCH(J$3&amp;J$4&amp;J$5,'LM Offers'!$A$3:$A$500,0),MATCH($A28,'LM Offers'!$A$3:$CZ$3,0))</f>
        <v>0.17296862429605792</v>
      </c>
      <c r="K28" s="558" t="s">
        <v>763</v>
      </c>
      <c r="L28" s="763">
        <f>INDEX('LM Offers'!$A$3:$CZ$500,MATCH(L$3&amp;L$4&amp;L$5,'LM Offers'!$A$3:$A$500,0),MATCH($A28,'LM Offers'!$A$3:$CZ$3,0))</f>
        <v>0.15962732919254657</v>
      </c>
      <c r="M28" s="558" t="s">
        <v>763</v>
      </c>
      <c r="N28" s="763">
        <f>INDEX('LM Offers'!$A$3:$CZ$500,MATCH(N$3&amp;N$4&amp;N$5,'LM Offers'!$A$3:$A$500,0),MATCH($A28,'LM Offers'!$A$3:$CZ$3,0))</f>
        <v>5.1524259338772006E-2</v>
      </c>
      <c r="O28" s="558" t="s">
        <v>763</v>
      </c>
      <c r="P28" s="763">
        <f>INDEX('LM Offers'!$A$3:$CZ$500,MATCH(P$3&amp;P$4&amp;P$5,'LM Offers'!$A$3:$A$500,0),MATCH($A28,'LM Offers'!$A$3:$CZ$3,0))</f>
        <v>7.186358099878197E-2</v>
      </c>
      <c r="Q28" s="558" t="s">
        <v>763</v>
      </c>
      <c r="R28" s="763">
        <f>SUM($H$28*H29,$J$28*$J$29,$L$28*$L$29,$N$28*$N$29,$P$28*$P$29)/SUM($H$29,$J$29,$L$29,$N$29,$P$29)</f>
        <v>0.12870212436036596</v>
      </c>
      <c r="S28" s="558" t="s">
        <v>763</v>
      </c>
      <c r="U28" s="114"/>
    </row>
    <row r="29" spans="1:21" ht="15">
      <c r="A29" s="108">
        <f t="shared" si="0"/>
        <v>29</v>
      </c>
      <c r="F29" s="110"/>
      <c r="G29" s="191" t="s">
        <v>520</v>
      </c>
      <c r="H29" s="762">
        <f>INDEX('LM Offers'!$A$3:$CZ$500,MATCH(H$3&amp;H$4&amp;H$5,'LM Offers'!$A$3:$A$500,0),MATCH($A29,'LM Offers'!$A$3:$CZ$3,0))</f>
        <v>446</v>
      </c>
      <c r="I29" s="153"/>
      <c r="J29" s="762">
        <f>INDEX('LM Offers'!$A$3:$CZ$500,MATCH(J$3&amp;J$4&amp;J$5,'LM Offers'!$A$3:$A$500,0),MATCH($A29,'LM Offers'!$A$3:$CZ$3,0))</f>
        <v>1243</v>
      </c>
      <c r="K29" s="153"/>
      <c r="L29" s="762">
        <f>INDEX('LM Offers'!$A$3:$CZ$500,MATCH(L$3&amp;L$4&amp;L$5,'LM Offers'!$A$3:$A$500,0),MATCH($A29,'LM Offers'!$A$3:$CZ$3,0))</f>
        <v>1610</v>
      </c>
      <c r="M29" s="153"/>
      <c r="N29" s="762">
        <f>INDEX('LM Offers'!$A$3:$CZ$500,MATCH(N$3&amp;N$4&amp;N$5,'LM Offers'!$A$3:$A$500,0),MATCH($A29,'LM Offers'!$A$3:$CZ$3,0))</f>
        <v>2329</v>
      </c>
      <c r="O29" s="153"/>
      <c r="P29" s="762">
        <f>INDEX('LM Offers'!$A$3:$CZ$500,MATCH(P$3&amp;P$4&amp;P$5,'LM Offers'!$A$3:$A$500,0),MATCH($A29,'LM Offers'!$A$3:$CZ$3,0))</f>
        <v>821</v>
      </c>
      <c r="Q29" s="153"/>
      <c r="R29" s="762">
        <f>SUM($H$29,$J$29,$L$29,$N$29,$P$29)</f>
        <v>6449</v>
      </c>
      <c r="S29" s="153"/>
      <c r="U29" s="114"/>
    </row>
    <row r="30" spans="1:21" s="109" customFormat="1" ht="15.75" thickBot="1">
      <c r="A30" s="108">
        <f t="shared" si="0"/>
        <v>30</v>
      </c>
      <c r="F30" s="112"/>
      <c r="G30" s="192" t="s">
        <v>521</v>
      </c>
      <c r="H30" s="325">
        <v>1</v>
      </c>
      <c r="I30" s="152"/>
      <c r="J30" s="325">
        <v>1</v>
      </c>
      <c r="K30" s="152"/>
      <c r="L30" s="325">
        <v>1</v>
      </c>
      <c r="M30" s="152"/>
      <c r="N30" s="325">
        <v>1</v>
      </c>
      <c r="O30" s="152"/>
      <c r="P30" s="325">
        <v>1</v>
      </c>
      <c r="Q30" s="152"/>
      <c r="R30" s="325">
        <f t="shared" ref="R30:R31" si="13">J30</f>
        <v>1</v>
      </c>
      <c r="S30" s="152"/>
      <c r="U30" s="326"/>
    </row>
    <row r="31" spans="1:21" ht="15.75" hidden="1" outlineLevel="1" thickBot="1">
      <c r="A31" s="108">
        <f t="shared" si="0"/>
        <v>31</v>
      </c>
      <c r="F31" s="110"/>
      <c r="G31" s="182" t="s">
        <v>327</v>
      </c>
      <c r="H31" s="176">
        <v>0.7</v>
      </c>
      <c r="I31" s="530"/>
      <c r="J31" s="176">
        <v>0.7</v>
      </c>
      <c r="K31" s="530"/>
      <c r="L31" s="176">
        <v>0.7</v>
      </c>
      <c r="M31" s="530"/>
      <c r="N31" s="176">
        <v>0.7</v>
      </c>
      <c r="O31" s="530"/>
      <c r="P31" s="176">
        <v>0.7</v>
      </c>
      <c r="Q31" s="530"/>
      <c r="R31" s="176">
        <f t="shared" si="13"/>
        <v>0.7</v>
      </c>
      <c r="S31" s="530"/>
      <c r="U31" s="114"/>
    </row>
    <row r="32" spans="1:21" ht="15.75" hidden="1" outlineLevel="1" thickBot="1">
      <c r="A32" s="108">
        <f t="shared" si="0"/>
        <v>32</v>
      </c>
      <c r="F32" s="110"/>
      <c r="G32" s="193" t="s">
        <v>326</v>
      </c>
      <c r="H32" s="305"/>
      <c r="I32" s="153"/>
      <c r="J32" s="305"/>
      <c r="K32" s="153"/>
      <c r="L32" s="305"/>
      <c r="M32" s="153"/>
      <c r="N32" s="305"/>
      <c r="O32" s="153"/>
      <c r="P32" s="305"/>
      <c r="Q32" s="153"/>
      <c r="R32" s="305"/>
      <c r="S32" s="153"/>
      <c r="U32" s="114"/>
    </row>
    <row r="33" spans="1:21" ht="14.45" hidden="1" customHeight="1" outlineLevel="1">
      <c r="A33" s="108">
        <f t="shared" si="0"/>
        <v>33</v>
      </c>
      <c r="G33" s="184" t="s">
        <v>337</v>
      </c>
      <c r="H33" s="178" t="s">
        <v>165</v>
      </c>
      <c r="I33" s="525"/>
      <c r="J33" s="178" t="s">
        <v>165</v>
      </c>
      <c r="K33" s="525"/>
      <c r="L33" s="178" t="s">
        <v>165</v>
      </c>
      <c r="M33" s="525"/>
      <c r="N33" s="178" t="s">
        <v>165</v>
      </c>
      <c r="O33" s="525"/>
      <c r="P33" s="178" t="s">
        <v>165</v>
      </c>
      <c r="Q33" s="525"/>
      <c r="R33" s="178" t="str">
        <f t="shared" ref="R33:R38" si="14">J33</f>
        <v>N</v>
      </c>
      <c r="S33" s="525"/>
      <c r="U33" s="114"/>
    </row>
    <row r="34" spans="1:21" ht="14.45" hidden="1" customHeight="1" outlineLevel="1">
      <c r="A34" s="108">
        <f t="shared" si="0"/>
        <v>34</v>
      </c>
      <c r="G34" s="188" t="s">
        <v>321</v>
      </c>
      <c r="H34" s="178">
        <v>4.4999999999999998E-2</v>
      </c>
      <c r="I34" s="526"/>
      <c r="J34" s="178">
        <v>4.4999999999999998E-2</v>
      </c>
      <c r="K34" s="526"/>
      <c r="L34" s="178">
        <v>4.4999999999999998E-2</v>
      </c>
      <c r="M34" s="526"/>
      <c r="N34" s="178">
        <v>4.4999999999999998E-2</v>
      </c>
      <c r="O34" s="526"/>
      <c r="P34" s="178">
        <v>4.4999999999999998E-2</v>
      </c>
      <c r="Q34" s="526"/>
      <c r="R34" s="178">
        <f t="shared" ref="R34:R37" si="15">J34</f>
        <v>4.4999999999999998E-2</v>
      </c>
      <c r="S34" s="526"/>
      <c r="U34" s="114"/>
    </row>
    <row r="35" spans="1:21" ht="14.45" hidden="1" customHeight="1" outlineLevel="1">
      <c r="A35" s="108">
        <f t="shared" si="0"/>
        <v>35</v>
      </c>
      <c r="G35" s="188" t="s">
        <v>320</v>
      </c>
      <c r="H35" s="178">
        <v>4.4999999999999998E-2</v>
      </c>
      <c r="I35" s="526"/>
      <c r="J35" s="178">
        <v>4.4999999999999998E-2</v>
      </c>
      <c r="K35" s="526"/>
      <c r="L35" s="178">
        <v>4.4999999999999998E-2</v>
      </c>
      <c r="M35" s="526"/>
      <c r="N35" s="178">
        <v>4.4999999999999998E-2</v>
      </c>
      <c r="O35" s="526"/>
      <c r="P35" s="178">
        <v>4.4999999999999998E-2</v>
      </c>
      <c r="Q35" s="526"/>
      <c r="R35" s="178">
        <f t="shared" si="15"/>
        <v>4.4999999999999998E-2</v>
      </c>
      <c r="S35" s="526"/>
      <c r="U35" s="114"/>
    </row>
    <row r="36" spans="1:21" ht="14.45" hidden="1" customHeight="1" outlineLevel="1">
      <c r="A36" s="108">
        <f t="shared" si="0"/>
        <v>36</v>
      </c>
      <c r="G36" s="188" t="s">
        <v>319</v>
      </c>
      <c r="H36" s="178">
        <v>0.05</v>
      </c>
      <c r="I36" s="526"/>
      <c r="J36" s="178">
        <v>0.05</v>
      </c>
      <c r="K36" s="526"/>
      <c r="L36" s="178">
        <v>0.05</v>
      </c>
      <c r="M36" s="526"/>
      <c r="N36" s="178">
        <v>0.05</v>
      </c>
      <c r="O36" s="526"/>
      <c r="P36" s="178">
        <v>0.05</v>
      </c>
      <c r="Q36" s="526"/>
      <c r="R36" s="178">
        <f t="shared" si="15"/>
        <v>0.05</v>
      </c>
      <c r="S36" s="526"/>
      <c r="U36" s="114"/>
    </row>
    <row r="37" spans="1:21" ht="14.45" hidden="1" customHeight="1" outlineLevel="1">
      <c r="A37" s="108">
        <f t="shared" si="0"/>
        <v>37</v>
      </c>
      <c r="G37" s="188" t="s">
        <v>318</v>
      </c>
      <c r="H37" s="178">
        <v>5.45E-2</v>
      </c>
      <c r="I37" s="526"/>
      <c r="J37" s="178">
        <v>5.45E-2</v>
      </c>
      <c r="K37" s="526"/>
      <c r="L37" s="178">
        <v>5.45E-2</v>
      </c>
      <c r="M37" s="526"/>
      <c r="N37" s="178">
        <v>5.45E-2</v>
      </c>
      <c r="O37" s="526"/>
      <c r="P37" s="178">
        <v>5.45E-2</v>
      </c>
      <c r="Q37" s="526"/>
      <c r="R37" s="178">
        <f t="shared" si="15"/>
        <v>5.45E-2</v>
      </c>
      <c r="S37" s="526"/>
      <c r="U37" s="114"/>
    </row>
    <row r="38" spans="1:21" ht="15" hidden="1" customHeight="1" outlineLevel="1" thickBot="1">
      <c r="A38" s="108">
        <f t="shared" si="0"/>
        <v>38</v>
      </c>
      <c r="G38" s="190" t="s">
        <v>1066</v>
      </c>
      <c r="H38" s="179">
        <v>5.45E-2</v>
      </c>
      <c r="I38" s="527"/>
      <c r="J38" s="179">
        <v>5.45E-2</v>
      </c>
      <c r="K38" s="527"/>
      <c r="L38" s="179">
        <v>5.45E-2</v>
      </c>
      <c r="M38" s="527"/>
      <c r="N38" s="179">
        <v>5.45E-2</v>
      </c>
      <c r="O38" s="527"/>
      <c r="P38" s="179">
        <v>5.45E-2</v>
      </c>
      <c r="Q38" s="527"/>
      <c r="R38" s="179">
        <f t="shared" si="14"/>
        <v>5.45E-2</v>
      </c>
      <c r="S38" s="527"/>
      <c r="U38" s="114"/>
    </row>
    <row r="39" spans="1:21" ht="15.75" hidden="1" outlineLevel="1" thickBot="1">
      <c r="A39" s="108">
        <f t="shared" si="0"/>
        <v>39</v>
      </c>
      <c r="F39" s="110"/>
      <c r="G39" s="193" t="s">
        <v>325</v>
      </c>
      <c r="H39" s="305"/>
      <c r="I39" s="153"/>
      <c r="J39" s="305"/>
      <c r="K39" s="153"/>
      <c r="L39" s="305"/>
      <c r="M39" s="153"/>
      <c r="N39" s="305"/>
      <c r="O39" s="153"/>
      <c r="P39" s="305"/>
      <c r="Q39" s="153"/>
      <c r="R39" s="305"/>
      <c r="S39" s="153"/>
      <c r="U39" s="114"/>
    </row>
    <row r="40" spans="1:21" ht="14.45" hidden="1" customHeight="1" outlineLevel="1">
      <c r="A40" s="108">
        <f t="shared" si="0"/>
        <v>40</v>
      </c>
      <c r="G40" s="192" t="s">
        <v>322</v>
      </c>
      <c r="H40" s="180">
        <v>0.05</v>
      </c>
      <c r="I40" s="526"/>
      <c r="J40" s="180">
        <v>0.05</v>
      </c>
      <c r="K40" s="526"/>
      <c r="L40" s="180">
        <v>0.05</v>
      </c>
      <c r="M40" s="526"/>
      <c r="N40" s="180">
        <v>0.05</v>
      </c>
      <c r="O40" s="526"/>
      <c r="P40" s="180">
        <v>0.05</v>
      </c>
      <c r="Q40" s="526"/>
      <c r="R40" s="180">
        <f t="shared" ref="R40:R44" si="16">J40</f>
        <v>0.05</v>
      </c>
      <c r="S40" s="526"/>
      <c r="U40" s="114"/>
    </row>
    <row r="41" spans="1:21" ht="14.45" hidden="1" customHeight="1" outlineLevel="1">
      <c r="A41" s="108">
        <f t="shared" si="0"/>
        <v>41</v>
      </c>
      <c r="G41" s="188" t="s">
        <v>321</v>
      </c>
      <c r="H41" s="178">
        <v>0.05</v>
      </c>
      <c r="I41" s="526"/>
      <c r="J41" s="178">
        <v>0.05</v>
      </c>
      <c r="K41" s="526"/>
      <c r="L41" s="178">
        <v>0.05</v>
      </c>
      <c r="M41" s="526"/>
      <c r="N41" s="178">
        <v>0.05</v>
      </c>
      <c r="O41" s="526"/>
      <c r="P41" s="178">
        <v>0.05</v>
      </c>
      <c r="Q41" s="526"/>
      <c r="R41" s="178">
        <f t="shared" si="16"/>
        <v>0.05</v>
      </c>
      <c r="S41" s="526"/>
      <c r="U41" s="114"/>
    </row>
    <row r="42" spans="1:21" ht="14.45" hidden="1" customHeight="1" outlineLevel="1">
      <c r="A42" s="108">
        <f t="shared" si="0"/>
        <v>42</v>
      </c>
      <c r="G42" s="188" t="s">
        <v>339</v>
      </c>
      <c r="H42" s="178">
        <v>0.05</v>
      </c>
      <c r="I42" s="526"/>
      <c r="J42" s="178">
        <v>0.05</v>
      </c>
      <c r="K42" s="526"/>
      <c r="L42" s="178">
        <v>0.05</v>
      </c>
      <c r="M42" s="526"/>
      <c r="N42" s="178">
        <v>0.05</v>
      </c>
      <c r="O42" s="526"/>
      <c r="P42" s="178">
        <v>0.05</v>
      </c>
      <c r="Q42" s="526"/>
      <c r="R42" s="178">
        <f t="shared" si="16"/>
        <v>0.05</v>
      </c>
      <c r="S42" s="526"/>
      <c r="U42" s="114"/>
    </row>
    <row r="43" spans="1:21" ht="14.45" hidden="1" customHeight="1" outlineLevel="1">
      <c r="A43" s="108">
        <f t="shared" si="0"/>
        <v>43</v>
      </c>
      <c r="G43" s="188" t="s">
        <v>320</v>
      </c>
      <c r="H43" s="178">
        <v>5.5E-2</v>
      </c>
      <c r="I43" s="526"/>
      <c r="J43" s="178">
        <v>5.5E-2</v>
      </c>
      <c r="K43" s="526"/>
      <c r="L43" s="178">
        <v>5.5E-2</v>
      </c>
      <c r="M43" s="526"/>
      <c r="N43" s="178">
        <v>5.5E-2</v>
      </c>
      <c r="O43" s="526"/>
      <c r="P43" s="178">
        <v>5.5E-2</v>
      </c>
      <c r="Q43" s="526"/>
      <c r="R43" s="178">
        <f t="shared" si="16"/>
        <v>5.5E-2</v>
      </c>
      <c r="S43" s="526"/>
      <c r="U43" s="114"/>
    </row>
    <row r="44" spans="1:21" ht="15" hidden="1" customHeight="1" outlineLevel="1" thickBot="1">
      <c r="A44" s="108">
        <f t="shared" si="0"/>
        <v>44</v>
      </c>
      <c r="G44" s="190" t="s">
        <v>319</v>
      </c>
      <c r="H44" s="179">
        <v>0.06</v>
      </c>
      <c r="I44" s="527"/>
      <c r="J44" s="179">
        <v>0.06</v>
      </c>
      <c r="K44" s="527"/>
      <c r="L44" s="179">
        <v>0.06</v>
      </c>
      <c r="M44" s="527"/>
      <c r="N44" s="179">
        <v>0.06</v>
      </c>
      <c r="O44" s="527"/>
      <c r="P44" s="179">
        <v>0.06</v>
      </c>
      <c r="Q44" s="527"/>
      <c r="R44" s="179">
        <f t="shared" si="16"/>
        <v>0.06</v>
      </c>
      <c r="S44" s="527"/>
      <c r="U44" s="114"/>
    </row>
    <row r="45" spans="1:21" ht="15.75" hidden="1" outlineLevel="1" thickBot="1">
      <c r="A45" s="108">
        <f t="shared" si="0"/>
        <v>45</v>
      </c>
      <c r="F45" s="110"/>
      <c r="G45" s="193" t="s">
        <v>324</v>
      </c>
      <c r="H45" s="305"/>
      <c r="I45" s="153"/>
      <c r="J45" s="305"/>
      <c r="K45" s="153"/>
      <c r="L45" s="305"/>
      <c r="M45" s="153"/>
      <c r="N45" s="305"/>
      <c r="O45" s="153"/>
      <c r="P45" s="305"/>
      <c r="Q45" s="153"/>
      <c r="R45" s="305"/>
      <c r="S45" s="153"/>
      <c r="U45" s="114"/>
    </row>
    <row r="46" spans="1:21" ht="14.45" hidden="1" customHeight="1" outlineLevel="1">
      <c r="A46" s="108">
        <f t="shared" si="0"/>
        <v>46</v>
      </c>
      <c r="G46" s="192" t="s">
        <v>321</v>
      </c>
      <c r="H46" s="178">
        <v>4.4999999999999998E-2</v>
      </c>
      <c r="I46" s="526"/>
      <c r="J46" s="178">
        <v>4.4999999999999998E-2</v>
      </c>
      <c r="K46" s="526"/>
      <c r="L46" s="178">
        <v>4.4999999999999998E-2</v>
      </c>
      <c r="M46" s="526"/>
      <c r="N46" s="178">
        <v>4.4999999999999998E-2</v>
      </c>
      <c r="O46" s="526"/>
      <c r="P46" s="178">
        <v>4.4999999999999998E-2</v>
      </c>
      <c r="Q46" s="526"/>
      <c r="R46" s="178">
        <f t="shared" ref="R46:R49" si="17">J46</f>
        <v>4.4999999999999998E-2</v>
      </c>
      <c r="S46" s="526"/>
      <c r="U46" s="114"/>
    </row>
    <row r="47" spans="1:21" ht="14.45" hidden="1" customHeight="1" outlineLevel="1">
      <c r="A47" s="108">
        <f t="shared" si="0"/>
        <v>47</v>
      </c>
      <c r="G47" s="188" t="s">
        <v>320</v>
      </c>
      <c r="H47" s="178">
        <v>4.4999999999999998E-2</v>
      </c>
      <c r="I47" s="526"/>
      <c r="J47" s="178">
        <v>4.4999999999999998E-2</v>
      </c>
      <c r="K47" s="526"/>
      <c r="L47" s="178">
        <v>4.4999999999999998E-2</v>
      </c>
      <c r="M47" s="526"/>
      <c r="N47" s="178">
        <v>4.4999999999999998E-2</v>
      </c>
      <c r="O47" s="526"/>
      <c r="P47" s="178">
        <v>4.4999999999999998E-2</v>
      </c>
      <c r="Q47" s="526"/>
      <c r="R47" s="178">
        <f t="shared" si="17"/>
        <v>4.4999999999999998E-2</v>
      </c>
      <c r="S47" s="526"/>
      <c r="U47" s="114"/>
    </row>
    <row r="48" spans="1:21" ht="14.45" hidden="1" customHeight="1" outlineLevel="1">
      <c r="A48" s="108">
        <f t="shared" si="0"/>
        <v>48</v>
      </c>
      <c r="G48" s="188" t="s">
        <v>319</v>
      </c>
      <c r="H48" s="178">
        <v>0.05</v>
      </c>
      <c r="I48" s="526"/>
      <c r="J48" s="178">
        <v>0.05</v>
      </c>
      <c r="K48" s="526"/>
      <c r="L48" s="178">
        <v>0.05</v>
      </c>
      <c r="M48" s="526"/>
      <c r="N48" s="178">
        <v>0.05</v>
      </c>
      <c r="O48" s="526"/>
      <c r="P48" s="178">
        <v>0.05</v>
      </c>
      <c r="Q48" s="526"/>
      <c r="R48" s="178">
        <f t="shared" si="17"/>
        <v>0.05</v>
      </c>
      <c r="S48" s="526"/>
      <c r="U48" s="114"/>
    </row>
    <row r="49" spans="1:21" ht="14.45" hidden="1" customHeight="1" outlineLevel="1">
      <c r="A49" s="108">
        <f t="shared" si="0"/>
        <v>49</v>
      </c>
      <c r="G49" s="188" t="s">
        <v>318</v>
      </c>
      <c r="H49" s="178">
        <v>5.45E-2</v>
      </c>
      <c r="I49" s="526"/>
      <c r="J49" s="178">
        <v>5.45E-2</v>
      </c>
      <c r="K49" s="526"/>
      <c r="L49" s="178">
        <v>5.45E-2</v>
      </c>
      <c r="M49" s="526"/>
      <c r="N49" s="178">
        <v>5.45E-2</v>
      </c>
      <c r="O49" s="526"/>
      <c r="P49" s="178">
        <v>5.45E-2</v>
      </c>
      <c r="Q49" s="526"/>
      <c r="R49" s="178">
        <f t="shared" si="17"/>
        <v>5.45E-2</v>
      </c>
      <c r="S49" s="526"/>
      <c r="U49" s="114"/>
    </row>
    <row r="50" spans="1:21" ht="15" hidden="1" customHeight="1" outlineLevel="1" thickBot="1">
      <c r="A50" s="108">
        <f t="shared" si="0"/>
        <v>50</v>
      </c>
      <c r="G50" s="190" t="s">
        <v>1066</v>
      </c>
      <c r="H50" s="179">
        <v>5.45E-2</v>
      </c>
      <c r="I50" s="527"/>
      <c r="J50" s="179">
        <v>5.45E-2</v>
      </c>
      <c r="K50" s="527"/>
      <c r="L50" s="179">
        <v>5.45E-2</v>
      </c>
      <c r="M50" s="527"/>
      <c r="N50" s="179">
        <v>5.45E-2</v>
      </c>
      <c r="O50" s="527"/>
      <c r="P50" s="179">
        <v>5.45E-2</v>
      </c>
      <c r="Q50" s="527"/>
      <c r="R50" s="179">
        <f t="shared" ref="R50" si="18">J50</f>
        <v>5.45E-2</v>
      </c>
      <c r="S50" s="527"/>
      <c r="U50" s="114"/>
    </row>
    <row r="51" spans="1:21" ht="15.6" hidden="1" customHeight="1" outlineLevel="1">
      <c r="A51" s="108">
        <f t="shared" si="0"/>
        <v>51</v>
      </c>
      <c r="F51" s="110"/>
      <c r="G51" s="193" t="s">
        <v>323</v>
      </c>
      <c r="H51" s="181"/>
      <c r="I51" s="153"/>
      <c r="J51" s="181"/>
      <c r="K51" s="153"/>
      <c r="L51" s="181"/>
      <c r="M51" s="153"/>
      <c r="N51" s="181"/>
      <c r="O51" s="153"/>
      <c r="P51" s="181"/>
      <c r="Q51" s="153"/>
      <c r="R51" s="181"/>
      <c r="S51" s="153"/>
      <c r="U51" s="114"/>
    </row>
    <row r="52" spans="1:21" ht="14.45" hidden="1" customHeight="1" outlineLevel="1">
      <c r="A52" s="108">
        <f t="shared" si="0"/>
        <v>52</v>
      </c>
      <c r="G52" s="192" t="s">
        <v>322</v>
      </c>
      <c r="H52" s="180">
        <v>0.05</v>
      </c>
      <c r="I52" s="526"/>
      <c r="J52" s="180">
        <v>0.05</v>
      </c>
      <c r="K52" s="526"/>
      <c r="L52" s="180">
        <v>0.05</v>
      </c>
      <c r="M52" s="526"/>
      <c r="N52" s="180">
        <v>0.05</v>
      </c>
      <c r="O52" s="526"/>
      <c r="P52" s="180">
        <v>0.05</v>
      </c>
      <c r="Q52" s="526"/>
      <c r="R52" s="180">
        <f t="shared" ref="R52:R56" si="19">J52</f>
        <v>0.05</v>
      </c>
      <c r="S52" s="526"/>
      <c r="U52" s="114"/>
    </row>
    <row r="53" spans="1:21" ht="14.45" hidden="1" customHeight="1" outlineLevel="1">
      <c r="A53" s="108">
        <f t="shared" si="0"/>
        <v>53</v>
      </c>
      <c r="G53" s="188" t="s">
        <v>321</v>
      </c>
      <c r="H53" s="178">
        <v>0.05</v>
      </c>
      <c r="I53" s="526"/>
      <c r="J53" s="178">
        <v>0.05</v>
      </c>
      <c r="K53" s="526"/>
      <c r="L53" s="178">
        <v>0.05</v>
      </c>
      <c r="M53" s="526"/>
      <c r="N53" s="178">
        <v>0.05</v>
      </c>
      <c r="O53" s="526"/>
      <c r="P53" s="178">
        <v>0.05</v>
      </c>
      <c r="Q53" s="526"/>
      <c r="R53" s="178">
        <f t="shared" si="19"/>
        <v>0.05</v>
      </c>
      <c r="S53" s="526"/>
      <c r="U53" s="114"/>
    </row>
    <row r="54" spans="1:21" ht="14.45" hidden="1" customHeight="1" outlineLevel="1">
      <c r="A54" s="108">
        <f t="shared" si="0"/>
        <v>54</v>
      </c>
      <c r="G54" s="188" t="s">
        <v>339</v>
      </c>
      <c r="H54" s="178">
        <v>0.05</v>
      </c>
      <c r="I54" s="526"/>
      <c r="J54" s="178">
        <v>0.05</v>
      </c>
      <c r="K54" s="526"/>
      <c r="L54" s="178">
        <v>0.05</v>
      </c>
      <c r="M54" s="526"/>
      <c r="N54" s="178">
        <v>0.05</v>
      </c>
      <c r="O54" s="526"/>
      <c r="P54" s="178">
        <v>0.05</v>
      </c>
      <c r="Q54" s="526"/>
      <c r="R54" s="178">
        <f t="shared" si="19"/>
        <v>0.05</v>
      </c>
      <c r="S54" s="526"/>
      <c r="U54" s="114"/>
    </row>
    <row r="55" spans="1:21" ht="14.45" hidden="1" customHeight="1" outlineLevel="1">
      <c r="A55" s="108">
        <f t="shared" si="0"/>
        <v>55</v>
      </c>
      <c r="G55" s="188" t="s">
        <v>320</v>
      </c>
      <c r="H55" s="178">
        <v>5.5E-2</v>
      </c>
      <c r="I55" s="526"/>
      <c r="J55" s="178">
        <v>5.5E-2</v>
      </c>
      <c r="K55" s="526"/>
      <c r="L55" s="178">
        <v>5.5E-2</v>
      </c>
      <c r="M55" s="526"/>
      <c r="N55" s="178">
        <v>5.5E-2</v>
      </c>
      <c r="O55" s="526"/>
      <c r="P55" s="178">
        <v>5.5E-2</v>
      </c>
      <c r="Q55" s="526"/>
      <c r="R55" s="178">
        <f t="shared" si="19"/>
        <v>5.5E-2</v>
      </c>
      <c r="S55" s="526"/>
      <c r="U55" s="114"/>
    </row>
    <row r="56" spans="1:21" ht="15" hidden="1" customHeight="1" outlineLevel="1" thickBot="1">
      <c r="A56" s="108">
        <f t="shared" si="0"/>
        <v>56</v>
      </c>
      <c r="G56" s="190" t="s">
        <v>319</v>
      </c>
      <c r="H56" s="179">
        <v>0.06</v>
      </c>
      <c r="I56" s="527"/>
      <c r="J56" s="179">
        <v>0.06</v>
      </c>
      <c r="K56" s="527"/>
      <c r="L56" s="179">
        <v>0.06</v>
      </c>
      <c r="M56" s="527"/>
      <c r="N56" s="179">
        <v>0.06</v>
      </c>
      <c r="O56" s="527"/>
      <c r="P56" s="179">
        <v>0.06</v>
      </c>
      <c r="Q56" s="527"/>
      <c r="R56" s="179">
        <f t="shared" si="19"/>
        <v>0.06</v>
      </c>
      <c r="S56" s="527"/>
      <c r="U56" s="114"/>
    </row>
    <row r="57" spans="1:21" ht="15.75" hidden="1" outlineLevel="1" thickBot="1">
      <c r="A57" s="108">
        <f t="shared" si="0"/>
        <v>57</v>
      </c>
      <c r="F57" s="110"/>
      <c r="G57" s="193" t="s">
        <v>341</v>
      </c>
      <c r="H57" s="181"/>
      <c r="I57" s="153"/>
      <c r="J57" s="181"/>
      <c r="K57" s="153"/>
      <c r="L57" s="181"/>
      <c r="M57" s="153"/>
      <c r="N57" s="181"/>
      <c r="O57" s="153"/>
      <c r="P57" s="181"/>
      <c r="Q57" s="153"/>
      <c r="R57" s="181"/>
      <c r="S57" s="153"/>
      <c r="U57" s="114"/>
    </row>
    <row r="58" spans="1:21" ht="14.45" hidden="1" customHeight="1" outlineLevel="1">
      <c r="A58" s="108">
        <f t="shared" si="0"/>
        <v>58</v>
      </c>
      <c r="G58" s="192" t="s">
        <v>321</v>
      </c>
      <c r="H58" s="177">
        <v>0.1</v>
      </c>
      <c r="I58" s="528"/>
      <c r="J58" s="177">
        <v>0.1</v>
      </c>
      <c r="K58" s="528"/>
      <c r="L58" s="177">
        <v>0.1</v>
      </c>
      <c r="M58" s="528"/>
      <c r="N58" s="177">
        <v>0.1</v>
      </c>
      <c r="O58" s="528"/>
      <c r="P58" s="177">
        <v>0.1</v>
      </c>
      <c r="Q58" s="528"/>
      <c r="R58" s="177">
        <f t="shared" ref="R58:R61" si="20">J58</f>
        <v>0.1</v>
      </c>
      <c r="S58" s="528"/>
      <c r="U58" s="114"/>
    </row>
    <row r="59" spans="1:21" ht="14.45" hidden="1" customHeight="1" outlineLevel="1">
      <c r="A59" s="108">
        <f t="shared" si="0"/>
        <v>59</v>
      </c>
      <c r="G59" s="188" t="s">
        <v>320</v>
      </c>
      <c r="H59" s="173">
        <v>0.1</v>
      </c>
      <c r="I59" s="528"/>
      <c r="J59" s="173">
        <v>0.1</v>
      </c>
      <c r="K59" s="528"/>
      <c r="L59" s="173">
        <v>0.1</v>
      </c>
      <c r="M59" s="528"/>
      <c r="N59" s="173">
        <v>0.1</v>
      </c>
      <c r="O59" s="528"/>
      <c r="P59" s="173">
        <v>0.1</v>
      </c>
      <c r="Q59" s="528"/>
      <c r="R59" s="173">
        <f t="shared" si="20"/>
        <v>0.1</v>
      </c>
      <c r="S59" s="528"/>
      <c r="U59" s="114"/>
    </row>
    <row r="60" spans="1:21" ht="14.45" hidden="1" customHeight="1" outlineLevel="1">
      <c r="A60" s="108">
        <f t="shared" si="0"/>
        <v>60</v>
      </c>
      <c r="G60" s="188" t="s">
        <v>319</v>
      </c>
      <c r="H60" s="173">
        <v>0.1</v>
      </c>
      <c r="I60" s="528"/>
      <c r="J60" s="173">
        <v>0.1</v>
      </c>
      <c r="K60" s="528"/>
      <c r="L60" s="173">
        <v>0.1</v>
      </c>
      <c r="M60" s="528"/>
      <c r="N60" s="173">
        <v>0.1</v>
      </c>
      <c r="O60" s="528"/>
      <c r="P60" s="173">
        <v>0.1</v>
      </c>
      <c r="Q60" s="528"/>
      <c r="R60" s="173">
        <f t="shared" si="20"/>
        <v>0.1</v>
      </c>
      <c r="S60" s="528"/>
      <c r="U60" s="114"/>
    </row>
    <row r="61" spans="1:21" ht="14.45" hidden="1" customHeight="1" outlineLevel="1">
      <c r="A61" s="108">
        <f t="shared" si="0"/>
        <v>61</v>
      </c>
      <c r="G61" s="188" t="s">
        <v>318</v>
      </c>
      <c r="H61" s="173">
        <v>0.1</v>
      </c>
      <c r="I61" s="528"/>
      <c r="J61" s="173">
        <v>0.1</v>
      </c>
      <c r="K61" s="528"/>
      <c r="L61" s="173">
        <v>0.1</v>
      </c>
      <c r="M61" s="528"/>
      <c r="N61" s="173">
        <v>0.1</v>
      </c>
      <c r="O61" s="528"/>
      <c r="P61" s="173">
        <v>0.1</v>
      </c>
      <c r="Q61" s="528"/>
      <c r="R61" s="173">
        <f t="shared" si="20"/>
        <v>0.1</v>
      </c>
      <c r="S61" s="528"/>
      <c r="U61" s="114"/>
    </row>
    <row r="62" spans="1:21" ht="15" hidden="1" customHeight="1" outlineLevel="1" thickBot="1">
      <c r="A62" s="108">
        <f t="shared" si="0"/>
        <v>62</v>
      </c>
      <c r="G62" s="190" t="s">
        <v>1066</v>
      </c>
      <c r="H62" s="174">
        <v>0.1</v>
      </c>
      <c r="I62" s="529"/>
      <c r="J62" s="174">
        <v>0.1</v>
      </c>
      <c r="K62" s="529"/>
      <c r="L62" s="174">
        <v>0.1</v>
      </c>
      <c r="M62" s="529"/>
      <c r="N62" s="174">
        <v>0.1</v>
      </c>
      <c r="O62" s="529"/>
      <c r="P62" s="174">
        <v>0.1</v>
      </c>
      <c r="Q62" s="529"/>
      <c r="R62" s="174">
        <f t="shared" ref="R62" si="21">J62</f>
        <v>0.1</v>
      </c>
      <c r="S62" s="529"/>
      <c r="U62" s="114"/>
    </row>
    <row r="63" spans="1:21" ht="15.75" hidden="1" outlineLevel="1" thickBot="1">
      <c r="A63" s="108">
        <f t="shared" si="0"/>
        <v>63</v>
      </c>
      <c r="F63" s="110"/>
      <c r="G63" s="193" t="s">
        <v>342</v>
      </c>
      <c r="H63" s="181"/>
      <c r="I63" s="153"/>
      <c r="J63" s="181"/>
      <c r="K63" s="153"/>
      <c r="L63" s="181"/>
      <c r="M63" s="153"/>
      <c r="N63" s="181"/>
      <c r="O63" s="153"/>
      <c r="P63" s="181"/>
      <c r="Q63" s="153"/>
      <c r="R63" s="181"/>
      <c r="S63" s="153"/>
      <c r="U63" s="114"/>
    </row>
    <row r="64" spans="1:21" ht="14.45" hidden="1" customHeight="1" outlineLevel="1">
      <c r="A64" s="108">
        <f t="shared" si="0"/>
        <v>64</v>
      </c>
      <c r="G64" s="192" t="s">
        <v>322</v>
      </c>
      <c r="H64" s="177">
        <v>0.1</v>
      </c>
      <c r="I64" s="528"/>
      <c r="J64" s="177">
        <v>0.1</v>
      </c>
      <c r="K64" s="528"/>
      <c r="L64" s="177">
        <v>0.1</v>
      </c>
      <c r="M64" s="528"/>
      <c r="N64" s="177">
        <v>0.1</v>
      </c>
      <c r="O64" s="528"/>
      <c r="P64" s="177">
        <v>0.1</v>
      </c>
      <c r="Q64" s="528"/>
      <c r="R64" s="177">
        <f t="shared" ref="R64:R68" si="22">J64</f>
        <v>0.1</v>
      </c>
      <c r="S64" s="528"/>
      <c r="U64" s="114"/>
    </row>
    <row r="65" spans="1:21" ht="14.45" hidden="1" customHeight="1" outlineLevel="1">
      <c r="A65" s="108">
        <f t="shared" si="0"/>
        <v>65</v>
      </c>
      <c r="G65" s="188" t="s">
        <v>321</v>
      </c>
      <c r="H65" s="173">
        <v>0.1</v>
      </c>
      <c r="I65" s="528"/>
      <c r="J65" s="173">
        <v>0.1</v>
      </c>
      <c r="K65" s="528"/>
      <c r="L65" s="173">
        <v>0.1</v>
      </c>
      <c r="M65" s="528"/>
      <c r="N65" s="173">
        <v>0.1</v>
      </c>
      <c r="O65" s="528"/>
      <c r="P65" s="173">
        <v>0.1</v>
      </c>
      <c r="Q65" s="528"/>
      <c r="R65" s="173">
        <f t="shared" si="22"/>
        <v>0.1</v>
      </c>
      <c r="S65" s="528"/>
      <c r="U65" s="114"/>
    </row>
    <row r="66" spans="1:21" ht="14.45" hidden="1" customHeight="1" outlineLevel="1">
      <c r="A66" s="108">
        <f t="shared" ref="A66:A129" si="23">A65+1</f>
        <v>66</v>
      </c>
      <c r="G66" s="188" t="s">
        <v>339</v>
      </c>
      <c r="H66" s="173">
        <v>0.1</v>
      </c>
      <c r="I66" s="528"/>
      <c r="J66" s="173">
        <v>0.1</v>
      </c>
      <c r="K66" s="528"/>
      <c r="L66" s="173">
        <v>0.1</v>
      </c>
      <c r="M66" s="528"/>
      <c r="N66" s="173">
        <v>0.1</v>
      </c>
      <c r="O66" s="528"/>
      <c r="P66" s="173">
        <v>0.1</v>
      </c>
      <c r="Q66" s="528"/>
      <c r="R66" s="173">
        <f t="shared" si="22"/>
        <v>0.1</v>
      </c>
      <c r="S66" s="528"/>
      <c r="U66" s="114"/>
    </row>
    <row r="67" spans="1:21" ht="14.45" hidden="1" customHeight="1" outlineLevel="1">
      <c r="A67" s="108">
        <f t="shared" si="23"/>
        <v>67</v>
      </c>
      <c r="G67" s="188" t="s">
        <v>320</v>
      </c>
      <c r="H67" s="173">
        <v>0.1</v>
      </c>
      <c r="I67" s="528"/>
      <c r="J67" s="173">
        <v>0.1</v>
      </c>
      <c r="K67" s="528"/>
      <c r="L67" s="173">
        <v>0.1</v>
      </c>
      <c r="M67" s="528"/>
      <c r="N67" s="173">
        <v>0.1</v>
      </c>
      <c r="O67" s="528"/>
      <c r="P67" s="173">
        <v>0.1</v>
      </c>
      <c r="Q67" s="528"/>
      <c r="R67" s="173">
        <f t="shared" si="22"/>
        <v>0.1</v>
      </c>
      <c r="S67" s="528"/>
      <c r="U67" s="114"/>
    </row>
    <row r="68" spans="1:21" ht="15" hidden="1" customHeight="1" outlineLevel="1" thickBot="1">
      <c r="A68" s="108">
        <f t="shared" si="23"/>
        <v>68</v>
      </c>
      <c r="G68" s="190" t="s">
        <v>319</v>
      </c>
      <c r="H68" s="174">
        <v>0.1</v>
      </c>
      <c r="I68" s="529"/>
      <c r="J68" s="174">
        <v>0.1</v>
      </c>
      <c r="K68" s="529"/>
      <c r="L68" s="174">
        <v>0.1</v>
      </c>
      <c r="M68" s="529"/>
      <c r="N68" s="174">
        <v>0.1</v>
      </c>
      <c r="O68" s="529"/>
      <c r="P68" s="174">
        <v>0.1</v>
      </c>
      <c r="Q68" s="529"/>
      <c r="R68" s="174">
        <f t="shared" si="22"/>
        <v>0.1</v>
      </c>
      <c r="S68" s="529"/>
      <c r="U68" s="114"/>
    </row>
    <row r="69" spans="1:21" ht="15.75" hidden="1" outlineLevel="1" thickBot="1">
      <c r="A69" s="108">
        <f t="shared" si="23"/>
        <v>69</v>
      </c>
      <c r="F69" s="110"/>
      <c r="G69" s="204" t="s">
        <v>340</v>
      </c>
      <c r="H69" s="162"/>
      <c r="I69" s="153"/>
      <c r="J69" s="162"/>
      <c r="K69" s="153"/>
      <c r="L69" s="162"/>
      <c r="M69" s="153"/>
      <c r="N69" s="162"/>
      <c r="O69" s="153"/>
      <c r="P69" s="162"/>
      <c r="Q69" s="153"/>
      <c r="R69" s="162"/>
      <c r="S69" s="153"/>
      <c r="U69" s="114"/>
    </row>
    <row r="70" spans="1:21" ht="14.45" hidden="1" customHeight="1" outlineLevel="1">
      <c r="A70" s="108">
        <f t="shared" si="23"/>
        <v>70</v>
      </c>
      <c r="G70" s="192" t="s">
        <v>322</v>
      </c>
      <c r="H70" s="297">
        <v>0.6</v>
      </c>
      <c r="I70" s="528"/>
      <c r="J70" s="297">
        <v>0.6</v>
      </c>
      <c r="K70" s="528"/>
      <c r="L70" s="297">
        <v>0.6</v>
      </c>
      <c r="M70" s="528"/>
      <c r="N70" s="297">
        <v>0.6</v>
      </c>
      <c r="O70" s="528"/>
      <c r="P70" s="297">
        <v>0.6</v>
      </c>
      <c r="Q70" s="528"/>
      <c r="R70" s="297">
        <f t="shared" ref="R70:R74" si="24">J70</f>
        <v>0.6</v>
      </c>
      <c r="S70" s="528"/>
      <c r="U70" s="114"/>
    </row>
    <row r="71" spans="1:21" ht="14.45" hidden="1" customHeight="1" outlineLevel="1">
      <c r="A71" s="108">
        <f t="shared" si="23"/>
        <v>71</v>
      </c>
      <c r="G71" s="188" t="s">
        <v>321</v>
      </c>
      <c r="H71" s="196">
        <v>0.55000000000000004</v>
      </c>
      <c r="I71" s="528"/>
      <c r="J71" s="196">
        <v>0.55000000000000004</v>
      </c>
      <c r="K71" s="528"/>
      <c r="L71" s="196">
        <v>0.55000000000000004</v>
      </c>
      <c r="M71" s="528"/>
      <c r="N71" s="196">
        <v>0.55000000000000004</v>
      </c>
      <c r="O71" s="528"/>
      <c r="P71" s="196">
        <v>0.55000000000000004</v>
      </c>
      <c r="Q71" s="528"/>
      <c r="R71" s="196">
        <f t="shared" si="24"/>
        <v>0.55000000000000004</v>
      </c>
      <c r="S71" s="528"/>
      <c r="U71" s="114"/>
    </row>
    <row r="72" spans="1:21" ht="14.45" hidden="1" customHeight="1" outlineLevel="1">
      <c r="A72" s="108">
        <f t="shared" si="23"/>
        <v>72</v>
      </c>
      <c r="G72" s="188" t="s">
        <v>339</v>
      </c>
      <c r="H72" s="196">
        <v>0.52</v>
      </c>
      <c r="I72" s="528"/>
      <c r="J72" s="196">
        <v>0.52</v>
      </c>
      <c r="K72" s="528"/>
      <c r="L72" s="196">
        <v>0.52</v>
      </c>
      <c r="M72" s="528"/>
      <c r="N72" s="196">
        <v>0.52</v>
      </c>
      <c r="O72" s="528"/>
      <c r="P72" s="196">
        <v>0.52</v>
      </c>
      <c r="Q72" s="528"/>
      <c r="R72" s="196">
        <f t="shared" si="24"/>
        <v>0.52</v>
      </c>
      <c r="S72" s="528"/>
      <c r="U72" s="114"/>
    </row>
    <row r="73" spans="1:21" ht="14.45" hidden="1" customHeight="1" outlineLevel="1">
      <c r="A73" s="108">
        <f t="shared" si="23"/>
        <v>73</v>
      </c>
      <c r="G73" s="188" t="s">
        <v>320</v>
      </c>
      <c r="H73" s="196">
        <v>0.5</v>
      </c>
      <c r="I73" s="528"/>
      <c r="J73" s="196">
        <v>0.5</v>
      </c>
      <c r="K73" s="528"/>
      <c r="L73" s="196">
        <v>0.5</v>
      </c>
      <c r="M73" s="528"/>
      <c r="N73" s="196">
        <v>0.5</v>
      </c>
      <c r="O73" s="528"/>
      <c r="P73" s="196">
        <v>0.5</v>
      </c>
      <c r="Q73" s="528"/>
      <c r="R73" s="196">
        <f t="shared" si="24"/>
        <v>0.5</v>
      </c>
      <c r="S73" s="528"/>
      <c r="U73" s="114"/>
    </row>
    <row r="74" spans="1:21" ht="15" hidden="1" customHeight="1" outlineLevel="1" thickBot="1">
      <c r="A74" s="108">
        <f t="shared" si="23"/>
        <v>74</v>
      </c>
      <c r="G74" s="189" t="s">
        <v>319</v>
      </c>
      <c r="H74" s="327">
        <v>0.45</v>
      </c>
      <c r="I74" s="529"/>
      <c r="J74" s="327">
        <v>0.45</v>
      </c>
      <c r="K74" s="529"/>
      <c r="L74" s="327">
        <v>0.45</v>
      </c>
      <c r="M74" s="529"/>
      <c r="N74" s="327">
        <v>0.45</v>
      </c>
      <c r="O74" s="529"/>
      <c r="P74" s="327">
        <v>0.45</v>
      </c>
      <c r="Q74" s="529"/>
      <c r="R74" s="327">
        <f t="shared" si="24"/>
        <v>0.45</v>
      </c>
      <c r="S74" s="529"/>
      <c r="U74" s="114"/>
    </row>
    <row r="75" spans="1:21" ht="19.5" collapsed="1" thickBot="1">
      <c r="A75" s="108">
        <f t="shared" si="23"/>
        <v>75</v>
      </c>
      <c r="G75" s="483" t="s">
        <v>522</v>
      </c>
      <c r="H75" s="320"/>
      <c r="I75" s="320"/>
      <c r="J75" s="320"/>
      <c r="K75" s="320"/>
      <c r="L75" s="320"/>
      <c r="M75" s="320"/>
      <c r="N75" s="320"/>
      <c r="O75" s="320"/>
      <c r="P75" s="320"/>
      <c r="Q75" s="320"/>
      <c r="R75" s="320"/>
      <c r="S75" s="320"/>
      <c r="U75" s="114"/>
    </row>
    <row r="76" spans="1:21" s="111" customFormat="1" ht="15.75" thickBot="1">
      <c r="A76" s="108">
        <f t="shared" si="23"/>
        <v>76</v>
      </c>
      <c r="G76" s="504"/>
      <c r="H76" s="505" t="str">
        <f>H2</f>
        <v>MY20 Kia Soul</v>
      </c>
      <c r="I76" s="506"/>
      <c r="J76" s="505" t="str">
        <f>J2</f>
        <v>MY20 Kia Soul</v>
      </c>
      <c r="K76" s="506"/>
      <c r="L76" s="505" t="str">
        <f>L2</f>
        <v>MY20 Kia Soul</v>
      </c>
      <c r="M76" s="506"/>
      <c r="N76" s="505" t="str">
        <f>N2</f>
        <v>MY20 Kia Soul</v>
      </c>
      <c r="O76" s="506"/>
      <c r="P76" s="505" t="str">
        <f>P2</f>
        <v>MY20 Kia Soul</v>
      </c>
      <c r="Q76" s="506"/>
      <c r="R76" s="505" t="str">
        <f t="shared" ref="R76" si="25">R2</f>
        <v>MY20 Kia Soul</v>
      </c>
      <c r="S76" s="506"/>
    </row>
    <row r="77" spans="1:21" ht="15.75" thickBot="1">
      <c r="A77" s="108">
        <f t="shared" si="23"/>
        <v>77</v>
      </c>
      <c r="G77" s="480" t="s">
        <v>332</v>
      </c>
      <c r="H77" s="533">
        <f>INDEX('LM Offers'!$A$3:$CZ$500,MATCH(H$3&amp;H$4&amp;H$5,'LM Offers'!$A$3:$A$500,0),MATCH($A77,'LM Offers'!$A$3:$CZ$3,0))</f>
        <v>1000</v>
      </c>
      <c r="I77" s="479">
        <f>INDEX(Offers!$A$3:$CZ$500,MATCH(I$3&amp;I$4&amp;I$5,Offers!$A$3:$A$500,0),MATCH($A77,Offers!$A$3:$CZ$3,0))</f>
        <v>1229</v>
      </c>
      <c r="J77" s="533">
        <f>INDEX('LM Offers'!$A$3:$CZ$500,MATCH(J$3&amp;J$4&amp;J$5,'LM Offers'!$A$3:$A$500,0),MATCH($A77,'LM Offers'!$A$3:$CZ$3,0))</f>
        <v>1000</v>
      </c>
      <c r="K77" s="479">
        <f>INDEX(Offers!$A$3:$CZ$500,MATCH(K$3&amp;K$4&amp;K$5,Offers!$A$3:$A$500,0),MATCH($A77,Offers!$A$3:$CZ$3,0))</f>
        <v>1269.7618664521319</v>
      </c>
      <c r="L77" s="533">
        <f>INDEX('LM Offers'!$A$3:$CZ$500,MATCH(L$3&amp;L$4&amp;L$5,'LM Offers'!$A$3:$A$500,0),MATCH($A77,'LM Offers'!$A$3:$CZ$3,0))</f>
        <v>1000</v>
      </c>
      <c r="M77" s="479">
        <f>INDEX(Offers!$A$3:$CZ$500,MATCH(M$3&amp;M$4&amp;M$5,Offers!$A$3:$A$500,0),MATCH($A77,Offers!$A$3:$CZ$3,0))</f>
        <v>1287.0236024844721</v>
      </c>
      <c r="N77" s="533">
        <f>INDEX('LM Offers'!$A$3:$CZ$500,MATCH(N$3&amp;N$4&amp;N$5,'LM Offers'!$A$3:$A$500,0),MATCH($A77,'LM Offers'!$A$3:$CZ$3,0))</f>
        <v>1000</v>
      </c>
      <c r="O77" s="479">
        <f>INDEX(Offers!$A$3:$CZ$500,MATCH(O$3&amp;O$4&amp;O$5,Offers!$A$3:$A$500,0),MATCH($A77,Offers!$A$3:$CZ$3,0))</f>
        <v>1256.832975525977</v>
      </c>
      <c r="P77" s="533">
        <f>INDEX('LM Offers'!$A$3:$CZ$500,MATCH(P$3&amp;P$4&amp;P$5,'LM Offers'!$A$3:$A$500,0),MATCH($A77,'LM Offers'!$A$3:$CZ$3,0))</f>
        <v>1000</v>
      </c>
      <c r="Q77" s="479">
        <f>INDEX(Offers!$A$3:$CZ$500,MATCH(Q$3&amp;Q$4&amp;Q$5,Offers!$A$3:$A$500,0),MATCH($A77,Offers!$A$3:$CZ$3,0))</f>
        <v>1277.4263093788063</v>
      </c>
      <c r="R77" s="533">
        <f>SUM($H$26*$H$29*$H$77,$J$26*$J$29*$J$77,$L$26*$L$29*$L$77,$N$26*$N$29*$N$77,$P$26*$P$29*$P$77)/($R$26*$R$29)</f>
        <v>1000.0000000000002</v>
      </c>
      <c r="S77" s="479">
        <f>SUM($H$26*$H$29*$I$77,$J$26*$J$29*$K$77,$L$26*$L$29*$M$77,$N$26*$N$29*$O$77,$P$26*$P$29*$Q$77)/($R$26*$R$29)</f>
        <v>1267.2644913000609</v>
      </c>
      <c r="U77" s="114"/>
    </row>
    <row r="78" spans="1:21">
      <c r="A78" s="108">
        <f t="shared" si="23"/>
        <v>78</v>
      </c>
      <c r="F78" s="110"/>
      <c r="G78" s="202" t="s">
        <v>333</v>
      </c>
      <c r="H78" s="160"/>
      <c r="I78" s="155"/>
      <c r="J78" s="160"/>
      <c r="K78" s="155"/>
      <c r="L78" s="160"/>
      <c r="M78" s="155"/>
      <c r="N78" s="160"/>
      <c r="O78" s="155"/>
      <c r="P78" s="160"/>
      <c r="Q78" s="155"/>
      <c r="R78" s="160"/>
      <c r="S78" s="155"/>
      <c r="U78" s="114"/>
    </row>
    <row r="79" spans="1:21" ht="15">
      <c r="A79" s="108">
        <f t="shared" si="23"/>
        <v>79</v>
      </c>
      <c r="G79" s="482" t="s">
        <v>161</v>
      </c>
      <c r="H79" s="163" t="s">
        <v>122</v>
      </c>
      <c r="I79" s="164" t="str">
        <f t="shared" ref="I79:I82" si="26">H79</f>
        <v>Market</v>
      </c>
      <c r="J79" s="163" t="s">
        <v>122</v>
      </c>
      <c r="K79" s="164" t="str">
        <f t="shared" ref="K79:K82" si="27">J79</f>
        <v>Market</v>
      </c>
      <c r="L79" s="163" t="s">
        <v>122</v>
      </c>
      <c r="M79" s="164" t="str">
        <f t="shared" ref="M79:M82" si="28">L79</f>
        <v>Market</v>
      </c>
      <c r="N79" s="163" t="s">
        <v>122</v>
      </c>
      <c r="O79" s="164" t="str">
        <f t="shared" ref="O79:O82" si="29">N79</f>
        <v>Market</v>
      </c>
      <c r="P79" s="163" t="s">
        <v>122</v>
      </c>
      <c r="Q79" s="164" t="str">
        <f t="shared" ref="Q79:Q82" si="30">P79</f>
        <v>Market</v>
      </c>
      <c r="R79" s="163" t="str">
        <f t="shared" ref="R79:R82" si="31">J79</f>
        <v>Market</v>
      </c>
      <c r="S79" s="164" t="str">
        <f t="shared" ref="S79:S82" si="32">R79</f>
        <v>Market</v>
      </c>
      <c r="U79" s="114"/>
    </row>
    <row r="80" spans="1:21" ht="15">
      <c r="A80" s="108">
        <f t="shared" si="23"/>
        <v>80</v>
      </c>
      <c r="G80" s="481" t="s">
        <v>162</v>
      </c>
      <c r="H80" s="159" t="s">
        <v>122</v>
      </c>
      <c r="I80" s="154" t="str">
        <f t="shared" si="26"/>
        <v>Market</v>
      </c>
      <c r="J80" s="159" t="s">
        <v>122</v>
      </c>
      <c r="K80" s="154" t="str">
        <f t="shared" si="27"/>
        <v>Market</v>
      </c>
      <c r="L80" s="159" t="s">
        <v>122</v>
      </c>
      <c r="M80" s="154" t="str">
        <f t="shared" si="28"/>
        <v>Market</v>
      </c>
      <c r="N80" s="159" t="s">
        <v>122</v>
      </c>
      <c r="O80" s="154" t="str">
        <f t="shared" si="29"/>
        <v>Market</v>
      </c>
      <c r="P80" s="159" t="s">
        <v>122</v>
      </c>
      <c r="Q80" s="154" t="str">
        <f t="shared" si="30"/>
        <v>Market</v>
      </c>
      <c r="R80" s="159" t="str">
        <f t="shared" si="31"/>
        <v>Market</v>
      </c>
      <c r="S80" s="154" t="str">
        <f t="shared" si="32"/>
        <v>Market</v>
      </c>
      <c r="U80" s="114"/>
    </row>
    <row r="81" spans="1:24" ht="15">
      <c r="A81" s="108">
        <f t="shared" si="23"/>
        <v>81</v>
      </c>
      <c r="G81" s="203" t="s">
        <v>163</v>
      </c>
      <c r="H81" s="159" t="s">
        <v>122</v>
      </c>
      <c r="I81" s="154" t="str">
        <f t="shared" si="26"/>
        <v>Market</v>
      </c>
      <c r="J81" s="159" t="s">
        <v>122</v>
      </c>
      <c r="K81" s="154" t="str">
        <f t="shared" si="27"/>
        <v>Market</v>
      </c>
      <c r="L81" s="159" t="s">
        <v>122</v>
      </c>
      <c r="M81" s="154" t="str">
        <f t="shared" si="28"/>
        <v>Market</v>
      </c>
      <c r="N81" s="159" t="s">
        <v>122</v>
      </c>
      <c r="O81" s="154" t="str">
        <f t="shared" si="29"/>
        <v>Market</v>
      </c>
      <c r="P81" s="159" t="s">
        <v>122</v>
      </c>
      <c r="Q81" s="154" t="str">
        <f t="shared" si="30"/>
        <v>Market</v>
      </c>
      <c r="R81" s="159" t="str">
        <f t="shared" si="31"/>
        <v>Market</v>
      </c>
      <c r="S81" s="154" t="str">
        <f t="shared" si="32"/>
        <v>Market</v>
      </c>
      <c r="U81" s="114"/>
    </row>
    <row r="82" spans="1:24" ht="15">
      <c r="A82" s="108">
        <f t="shared" si="23"/>
        <v>82</v>
      </c>
      <c r="G82" s="203" t="s">
        <v>164</v>
      </c>
      <c r="H82" s="159" t="s">
        <v>122</v>
      </c>
      <c r="I82" s="154" t="str">
        <f t="shared" si="26"/>
        <v>Market</v>
      </c>
      <c r="J82" s="159" t="s">
        <v>122</v>
      </c>
      <c r="K82" s="154" t="str">
        <f t="shared" si="27"/>
        <v>Market</v>
      </c>
      <c r="L82" s="159" t="s">
        <v>122</v>
      </c>
      <c r="M82" s="154" t="str">
        <f t="shared" si="28"/>
        <v>Market</v>
      </c>
      <c r="N82" s="159" t="s">
        <v>122</v>
      </c>
      <c r="O82" s="154" t="str">
        <f t="shared" si="29"/>
        <v>Market</v>
      </c>
      <c r="P82" s="159" t="s">
        <v>122</v>
      </c>
      <c r="Q82" s="154" t="str">
        <f t="shared" si="30"/>
        <v>Market</v>
      </c>
      <c r="R82" s="159" t="str">
        <f t="shared" si="31"/>
        <v>Market</v>
      </c>
      <c r="S82" s="154" t="str">
        <f t="shared" si="32"/>
        <v>Market</v>
      </c>
      <c r="U82" s="114"/>
    </row>
    <row r="83" spans="1:24" ht="15">
      <c r="A83" s="108">
        <f t="shared" si="23"/>
        <v>83</v>
      </c>
      <c r="G83" s="203" t="s">
        <v>164</v>
      </c>
      <c r="H83" s="159" t="s">
        <v>122</v>
      </c>
      <c r="I83" s="154" t="str">
        <f t="shared" ref="I83:I85" si="33">H83</f>
        <v>Market</v>
      </c>
      <c r="J83" s="159" t="s">
        <v>122</v>
      </c>
      <c r="K83" s="154" t="str">
        <f t="shared" ref="K83:K85" si="34">J83</f>
        <v>Market</v>
      </c>
      <c r="L83" s="159" t="s">
        <v>122</v>
      </c>
      <c r="M83" s="154" t="str">
        <f t="shared" ref="M83:M85" si="35">L83</f>
        <v>Market</v>
      </c>
      <c r="N83" s="159" t="s">
        <v>122</v>
      </c>
      <c r="O83" s="154" t="str">
        <f t="shared" ref="O83:O85" si="36">N83</f>
        <v>Market</v>
      </c>
      <c r="P83" s="159" t="s">
        <v>122</v>
      </c>
      <c r="Q83" s="154" t="str">
        <f t="shared" ref="Q83:Q85" si="37">P83</f>
        <v>Market</v>
      </c>
      <c r="R83" s="159" t="str">
        <f t="shared" ref="R83:R85" si="38">J83</f>
        <v>Market</v>
      </c>
      <c r="S83" s="154" t="str">
        <f t="shared" ref="S83:S85" si="39">R83</f>
        <v>Market</v>
      </c>
      <c r="U83" s="114"/>
    </row>
    <row r="84" spans="1:24" ht="15">
      <c r="A84" s="108">
        <f t="shared" si="23"/>
        <v>84</v>
      </c>
      <c r="G84" s="328" t="s">
        <v>1067</v>
      </c>
      <c r="H84" s="159" t="s">
        <v>122</v>
      </c>
      <c r="I84" s="154" t="str">
        <f t="shared" ref="I84" si="40">H84</f>
        <v>Market</v>
      </c>
      <c r="J84" s="159" t="s">
        <v>122</v>
      </c>
      <c r="K84" s="154" t="str">
        <f t="shared" ref="K84" si="41">J84</f>
        <v>Market</v>
      </c>
      <c r="L84" s="159" t="s">
        <v>122</v>
      </c>
      <c r="M84" s="154" t="str">
        <f t="shared" ref="M84" si="42">L84</f>
        <v>Market</v>
      </c>
      <c r="N84" s="159" t="s">
        <v>122</v>
      </c>
      <c r="O84" s="154" t="str">
        <f t="shared" ref="O84" si="43">N84</f>
        <v>Market</v>
      </c>
      <c r="P84" s="159" t="s">
        <v>122</v>
      </c>
      <c r="Q84" s="154" t="str">
        <f t="shared" ref="Q84" si="44">P84</f>
        <v>Market</v>
      </c>
      <c r="R84" s="159" t="str">
        <f t="shared" ref="R84" si="45">J84</f>
        <v>Market</v>
      </c>
      <c r="S84" s="154" t="str">
        <f t="shared" ref="S84" si="46">R84</f>
        <v>Market</v>
      </c>
      <c r="U84" s="114"/>
    </row>
    <row r="85" spans="1:24" ht="15">
      <c r="A85" s="108">
        <f t="shared" si="23"/>
        <v>85</v>
      </c>
      <c r="G85" s="328" t="s">
        <v>954</v>
      </c>
      <c r="H85" s="329" t="s">
        <v>165</v>
      </c>
      <c r="I85" s="330" t="str">
        <f t="shared" si="33"/>
        <v>N</v>
      </c>
      <c r="J85" s="329" t="s">
        <v>165</v>
      </c>
      <c r="K85" s="330" t="str">
        <f t="shared" si="34"/>
        <v>N</v>
      </c>
      <c r="L85" s="329" t="s">
        <v>165</v>
      </c>
      <c r="M85" s="330" t="str">
        <f t="shared" si="35"/>
        <v>N</v>
      </c>
      <c r="N85" s="329" t="s">
        <v>165</v>
      </c>
      <c r="O85" s="330" t="str">
        <f t="shared" si="36"/>
        <v>N</v>
      </c>
      <c r="P85" s="329" t="s">
        <v>165</v>
      </c>
      <c r="Q85" s="330" t="str">
        <f t="shared" si="37"/>
        <v>N</v>
      </c>
      <c r="R85" s="329" t="str">
        <f t="shared" si="38"/>
        <v>N</v>
      </c>
      <c r="S85" s="330" t="str">
        <f t="shared" si="39"/>
        <v>N</v>
      </c>
      <c r="U85" s="114"/>
    </row>
    <row r="86" spans="1:24" ht="15.75" thickBot="1">
      <c r="A86" s="108">
        <f t="shared" si="23"/>
        <v>86</v>
      </c>
      <c r="G86" s="186" t="s">
        <v>886</v>
      </c>
      <c r="H86" s="740"/>
      <c r="I86" s="741"/>
      <c r="J86" s="740"/>
      <c r="K86" s="741"/>
      <c r="L86" s="740"/>
      <c r="M86" s="741"/>
      <c r="N86" s="740"/>
      <c r="O86" s="741"/>
      <c r="P86" s="740"/>
      <c r="Q86" s="741"/>
      <c r="R86" s="740"/>
      <c r="S86" s="741"/>
      <c r="U86" s="114"/>
    </row>
    <row r="87" spans="1:24">
      <c r="A87" s="108">
        <f t="shared" si="23"/>
        <v>87</v>
      </c>
      <c r="F87" s="110"/>
      <c r="G87" s="205" t="s">
        <v>334</v>
      </c>
      <c r="H87" s="160"/>
      <c r="I87" s="155"/>
      <c r="J87" s="160"/>
      <c r="K87" s="155"/>
      <c r="L87" s="160"/>
      <c r="M87" s="155"/>
      <c r="N87" s="160"/>
      <c r="O87" s="155"/>
      <c r="P87" s="160"/>
      <c r="Q87" s="155"/>
      <c r="R87" s="160"/>
      <c r="S87" s="155"/>
      <c r="U87" s="114"/>
    </row>
    <row r="88" spans="1:24" ht="15">
      <c r="A88" s="108">
        <f t="shared" si="23"/>
        <v>88</v>
      </c>
      <c r="F88" s="110"/>
      <c r="G88" s="184" t="s">
        <v>158</v>
      </c>
      <c r="H88" s="194">
        <f>INDEX('LM Offers'!$A$3:$CZ$500,MATCH(H$3&amp;H$4&amp;H$5,'LM Offers'!$A$3:$A$500,0),MATCH($A88,'LM Offers'!$A$3:$CZ$3,0))</f>
        <v>0</v>
      </c>
      <c r="I88" s="195">
        <f>INDEX(Offers!$A$3:$CZ$500,MATCH(I$3&amp;I$4&amp;I$5,Offers!$A$3:$A$500,0),MATCH($A88,Offers!$A$3:$CZ$3,0))</f>
        <v>0</v>
      </c>
      <c r="J88" s="194">
        <f>INDEX('LM Offers'!$A$3:$CZ$500,MATCH(J$3&amp;J$4&amp;J$5,'LM Offers'!$A$3:$A$500,0),MATCH($A88,'LM Offers'!$A$3:$CZ$3,0))</f>
        <v>0</v>
      </c>
      <c r="K88" s="195">
        <f>INDEX(Offers!$A$3:$CZ$500,MATCH(K$3&amp;K$4&amp;K$5,Offers!$A$3:$A$500,0),MATCH($A88,Offers!$A$3:$CZ$3,0))</f>
        <v>0</v>
      </c>
      <c r="L88" s="194">
        <f>INDEX('LM Offers'!$A$3:$CZ$500,MATCH(L$3&amp;L$4&amp;L$5,'LM Offers'!$A$3:$A$500,0),MATCH($A88,'LM Offers'!$A$3:$CZ$3,0))</f>
        <v>0</v>
      </c>
      <c r="M88" s="195">
        <f>INDEX(Offers!$A$3:$CZ$500,MATCH(M$3&amp;M$4&amp;M$5,Offers!$A$3:$A$500,0),MATCH($A88,Offers!$A$3:$CZ$3,0))</f>
        <v>0</v>
      </c>
      <c r="N88" s="194">
        <f>INDEX('LM Offers'!$A$3:$CZ$500,MATCH(N$3&amp;N$4&amp;N$5,'LM Offers'!$A$3:$A$500,0),MATCH($A88,'LM Offers'!$A$3:$CZ$3,0))</f>
        <v>0</v>
      </c>
      <c r="O88" s="195">
        <f>INDEX(Offers!$A$3:$CZ$500,MATCH(O$3&amp;O$4&amp;O$5,Offers!$A$3:$A$500,0),MATCH($A88,Offers!$A$3:$CZ$3,0))</f>
        <v>0</v>
      </c>
      <c r="P88" s="194">
        <f>INDEX('LM Offers'!$A$3:$CZ$500,MATCH(P$3&amp;P$4&amp;P$5,'LM Offers'!$A$3:$A$500,0),MATCH($A88,'LM Offers'!$A$3:$CZ$3,0))</f>
        <v>0</v>
      </c>
      <c r="Q88" s="195">
        <f>INDEX(Offers!$A$3:$CZ$500,MATCH(Q$3&amp;Q$4&amp;Q$5,Offers!$A$3:$A$500,0),MATCH($A88,Offers!$A$3:$CZ$3,0))</f>
        <v>0</v>
      </c>
      <c r="R88" s="194">
        <f>SUM($H$27*$H$29*$H$88,$J$27*$J$29*$J$88,$L$27*$L$29*$L$88,$N$27*$N$29*$N$88,$P$27*$P$29*$P$88)/($R$27*$R$29)</f>
        <v>0</v>
      </c>
      <c r="S88" s="195">
        <f>SUM($H$27*$H$29*$I$88,$J$27*$J$29*$K$88,$L$27*$L$29*$M$88,$N$27*$N$29*$O$88,$P$27*$P$29*$Q$88)/($R$27*$R$29)</f>
        <v>0</v>
      </c>
      <c r="U88" s="114"/>
    </row>
    <row r="89" spans="1:24" ht="15">
      <c r="A89" s="108">
        <f t="shared" si="23"/>
        <v>89</v>
      </c>
      <c r="F89" s="110"/>
      <c r="G89" s="188" t="s">
        <v>160</v>
      </c>
      <c r="H89" s="198">
        <f>INDEX('LM Offers'!$A$3:$CZ$500,MATCH(H$3&amp;H$4&amp;H$5,'LM Offers'!$A$3:$A$500,0),MATCH($A89,'LM Offers'!$A$3:$CZ$3,0))</f>
        <v>0</v>
      </c>
      <c r="I89" s="199">
        <f>INDEX(Offers!$A$3:$CZ$500,MATCH(I$3&amp;I$4&amp;I$5,Offers!$A$3:$A$500,0),MATCH($A89,Offers!$A$3:$CZ$3,0))</f>
        <v>0</v>
      </c>
      <c r="J89" s="198">
        <f>INDEX('LM Offers'!$A$3:$CZ$500,MATCH(J$3&amp;J$4&amp;J$5,'LM Offers'!$A$3:$A$500,0),MATCH($A89,'LM Offers'!$A$3:$CZ$3,0))</f>
        <v>0</v>
      </c>
      <c r="K89" s="199">
        <f>INDEX(Offers!$A$3:$CZ$500,MATCH(K$3&amp;K$4&amp;K$5,Offers!$A$3:$A$500,0),MATCH($A89,Offers!$A$3:$CZ$3,0))</f>
        <v>0</v>
      </c>
      <c r="L89" s="198">
        <f>INDEX('LM Offers'!$A$3:$CZ$500,MATCH(L$3&amp;L$4&amp;L$5,'LM Offers'!$A$3:$A$500,0),MATCH($A89,'LM Offers'!$A$3:$CZ$3,0))</f>
        <v>0</v>
      </c>
      <c r="M89" s="199">
        <f>INDEX(Offers!$A$3:$CZ$500,MATCH(M$3&amp;M$4&amp;M$5,Offers!$A$3:$A$500,0),MATCH($A89,Offers!$A$3:$CZ$3,0))</f>
        <v>0</v>
      </c>
      <c r="N89" s="198">
        <f>INDEX('LM Offers'!$A$3:$CZ$500,MATCH(N$3&amp;N$4&amp;N$5,'LM Offers'!$A$3:$A$500,0),MATCH($A89,'LM Offers'!$A$3:$CZ$3,0))</f>
        <v>0</v>
      </c>
      <c r="O89" s="199">
        <f>INDEX(Offers!$A$3:$CZ$500,MATCH(O$3&amp;O$4&amp;O$5,Offers!$A$3:$A$500,0),MATCH($A89,Offers!$A$3:$CZ$3,0))</f>
        <v>0</v>
      </c>
      <c r="P89" s="198">
        <f>INDEX('LM Offers'!$A$3:$CZ$500,MATCH(P$3&amp;P$4&amp;P$5,'LM Offers'!$A$3:$A$500,0),MATCH($A89,'LM Offers'!$A$3:$CZ$3,0))</f>
        <v>0</v>
      </c>
      <c r="Q89" s="199">
        <f>INDEX(Offers!$A$3:$CZ$500,MATCH(Q$3&amp;Q$4&amp;Q$5,Offers!$A$3:$A$500,0),MATCH($A89,Offers!$A$3:$CZ$3,0))</f>
        <v>0</v>
      </c>
      <c r="R89" s="198">
        <f>SUM($H$27*$H$29*$H$89,$J$27*$J$29*$J$89,$L$27*$L$29*$L$89,$N$27*$N$29*$N$89,$P$27*$P$29*$P$89)/($R$27*$R$29)</f>
        <v>0</v>
      </c>
      <c r="S89" s="199">
        <f>SUM($H$27*$H$29*$I$89,$J$27*$J$29*$K$89,$L$27*$L$29*$M$89,$N$27*$N$29*$O$89,$P$27*$P$29*$Q$89)/($R$27*$R$29)</f>
        <v>0</v>
      </c>
      <c r="U89" s="114"/>
    </row>
    <row r="90" spans="1:24" ht="15">
      <c r="A90" s="108">
        <f t="shared" si="23"/>
        <v>90</v>
      </c>
      <c r="F90" s="110"/>
      <c r="G90" s="188" t="s">
        <v>161</v>
      </c>
      <c r="H90" s="198">
        <f>INDEX('LM Offers'!$A$3:$CZ$500,MATCH(H$3&amp;H$4&amp;H$5,'LM Offers'!$A$3:$A$500,0),MATCH($A90,'LM Offers'!$A$3:$CZ$3,0))</f>
        <v>0</v>
      </c>
      <c r="I90" s="199">
        <f>INDEX(Offers!$A$3:$CZ$500,MATCH(I$3&amp;I$4&amp;I$5,Offers!$A$3:$A$500,0),MATCH($A90,Offers!$A$3:$CZ$3,0))</f>
        <v>0</v>
      </c>
      <c r="J90" s="198">
        <f>INDEX('LM Offers'!$A$3:$CZ$500,MATCH(J$3&amp;J$4&amp;J$5,'LM Offers'!$A$3:$A$500,0),MATCH($A90,'LM Offers'!$A$3:$CZ$3,0))</f>
        <v>0</v>
      </c>
      <c r="K90" s="199">
        <f>INDEX(Offers!$A$3:$CZ$500,MATCH(K$3&amp;K$4&amp;K$5,Offers!$A$3:$A$500,0),MATCH($A90,Offers!$A$3:$CZ$3,0))</f>
        <v>0</v>
      </c>
      <c r="L90" s="198">
        <f>INDEX('LM Offers'!$A$3:$CZ$500,MATCH(L$3&amp;L$4&amp;L$5,'LM Offers'!$A$3:$A$500,0),MATCH($A90,'LM Offers'!$A$3:$CZ$3,0))</f>
        <v>0</v>
      </c>
      <c r="M90" s="199">
        <f>INDEX(Offers!$A$3:$CZ$500,MATCH(M$3&amp;M$4&amp;M$5,Offers!$A$3:$A$500,0),MATCH($A90,Offers!$A$3:$CZ$3,0))</f>
        <v>0</v>
      </c>
      <c r="N90" s="198">
        <f>INDEX('LM Offers'!$A$3:$CZ$500,MATCH(N$3&amp;N$4&amp;N$5,'LM Offers'!$A$3:$A$500,0),MATCH($A90,'LM Offers'!$A$3:$CZ$3,0))</f>
        <v>0</v>
      </c>
      <c r="O90" s="199">
        <f>INDEX(Offers!$A$3:$CZ$500,MATCH(O$3&amp;O$4&amp;O$5,Offers!$A$3:$A$500,0),MATCH($A90,Offers!$A$3:$CZ$3,0))</f>
        <v>0</v>
      </c>
      <c r="P90" s="198">
        <f>INDEX('LM Offers'!$A$3:$CZ$500,MATCH(P$3&amp;P$4&amp;P$5,'LM Offers'!$A$3:$A$500,0),MATCH($A90,'LM Offers'!$A$3:$CZ$3,0))</f>
        <v>0</v>
      </c>
      <c r="Q90" s="199">
        <f>INDEX(Offers!$A$3:$CZ$500,MATCH(Q$3&amp;Q$4&amp;Q$5,Offers!$A$3:$A$500,0),MATCH($A90,Offers!$A$3:$CZ$3,0))</f>
        <v>0</v>
      </c>
      <c r="R90" s="198">
        <f>SUM($H$27*$H$29*$H$90,$J$27*$J$29*$J$90,$L$27*$L$29*$L$90,$N$27*$N$29*$N$90,$P$27*$P$29*$P$90)/($R$27*$R$29)</f>
        <v>0</v>
      </c>
      <c r="S90" s="199">
        <f>SUM($H$27*$H$29*$I$90,$J$27*$J$29*$K$90,$L$27*$L$29*$M$90,$N$27*$N$29*$O$90,$P$27*$P$29*$Q$90)/($R$27*$R$29)</f>
        <v>0</v>
      </c>
      <c r="U90" s="114"/>
    </row>
    <row r="91" spans="1:24" ht="15">
      <c r="A91" s="108">
        <f t="shared" si="23"/>
        <v>91</v>
      </c>
      <c r="G91" s="188" t="s">
        <v>162</v>
      </c>
      <c r="H91" s="198">
        <f>INDEX('LM Offers'!$A$3:$CZ$500,MATCH(H$3&amp;H$4&amp;H$5,'LM Offers'!$A$3:$A$500,0),MATCH($A91,'LM Offers'!$A$3:$CZ$3,0))</f>
        <v>0</v>
      </c>
      <c r="I91" s="199">
        <f>INDEX(Offers!$A$3:$CZ$500,MATCH(I$3&amp;I$4&amp;I$5,Offers!$A$3:$A$500,0),MATCH($A91,Offers!$A$3:$CZ$3,0))</f>
        <v>0</v>
      </c>
      <c r="J91" s="198">
        <f>INDEX('LM Offers'!$A$3:$CZ$500,MATCH(J$3&amp;J$4&amp;J$5,'LM Offers'!$A$3:$A$500,0),MATCH($A91,'LM Offers'!$A$3:$CZ$3,0))</f>
        <v>0</v>
      </c>
      <c r="K91" s="199">
        <f>INDEX(Offers!$A$3:$CZ$500,MATCH(K$3&amp;K$4&amp;K$5,Offers!$A$3:$A$500,0),MATCH($A91,Offers!$A$3:$CZ$3,0))</f>
        <v>0</v>
      </c>
      <c r="L91" s="198">
        <f>INDEX('LM Offers'!$A$3:$CZ$500,MATCH(L$3&amp;L$4&amp;L$5,'LM Offers'!$A$3:$A$500,0),MATCH($A91,'LM Offers'!$A$3:$CZ$3,0))</f>
        <v>0</v>
      </c>
      <c r="M91" s="199">
        <f>INDEX(Offers!$A$3:$CZ$500,MATCH(M$3&amp;M$4&amp;M$5,Offers!$A$3:$A$500,0),MATCH($A91,Offers!$A$3:$CZ$3,0))</f>
        <v>0</v>
      </c>
      <c r="N91" s="198">
        <f>INDEX('LM Offers'!$A$3:$CZ$500,MATCH(N$3&amp;N$4&amp;N$5,'LM Offers'!$A$3:$A$500,0),MATCH($A91,'LM Offers'!$A$3:$CZ$3,0))</f>
        <v>0</v>
      </c>
      <c r="O91" s="199">
        <f>INDEX(Offers!$A$3:$CZ$500,MATCH(O$3&amp;O$4&amp;O$5,Offers!$A$3:$A$500,0),MATCH($A91,Offers!$A$3:$CZ$3,0))</f>
        <v>0</v>
      </c>
      <c r="P91" s="198">
        <f>INDEX('LM Offers'!$A$3:$CZ$500,MATCH(P$3&amp;P$4&amp;P$5,'LM Offers'!$A$3:$A$500,0),MATCH($A91,'LM Offers'!$A$3:$CZ$3,0))</f>
        <v>0</v>
      </c>
      <c r="Q91" s="199">
        <f>INDEX(Offers!$A$3:$CZ$500,MATCH(Q$3&amp;Q$4&amp;Q$5,Offers!$A$3:$A$500,0),MATCH($A91,Offers!$A$3:$CZ$3,0))</f>
        <v>0</v>
      </c>
      <c r="R91" s="198">
        <f>SUM($H$27*$H$29*$H$91,$J$27*$J$29*$J$91,$L$27*$L$29*$L$91,$N$27*$N$29*$N$91,$P$27*$P$29*$P$91)/($R$27*$R$29)</f>
        <v>0</v>
      </c>
      <c r="S91" s="199">
        <f>SUM($H$27*$H$29*$I$91,$J$27*$J$29*$K$91,$L$27*$L$29*$M$91,$N$27*$N$29*$O$91,$P$27*$P$29*$Q$91)/($R$27*$R$29)</f>
        <v>0</v>
      </c>
      <c r="U91" s="114"/>
    </row>
    <row r="92" spans="1:24" ht="15">
      <c r="A92" s="108">
        <f t="shared" si="23"/>
        <v>92</v>
      </c>
      <c r="G92" s="188" t="s">
        <v>163</v>
      </c>
      <c r="H92" s="198">
        <f>INDEX('LM Offers'!$A$3:$CZ$500,MATCH(H$3&amp;H$4&amp;H$5,'LM Offers'!$A$3:$A$500,0),MATCH($A92,'LM Offers'!$A$3:$CZ$3,0))</f>
        <v>0</v>
      </c>
      <c r="I92" s="199">
        <f>INDEX(Offers!$A$3:$CZ$500,MATCH(I$3&amp;I$4&amp;I$5,Offers!$A$3:$A$500,0),MATCH($A92,Offers!$A$3:$CZ$3,0))</f>
        <v>0</v>
      </c>
      <c r="J92" s="198">
        <f>INDEX('LM Offers'!$A$3:$CZ$500,MATCH(J$3&amp;J$4&amp;J$5,'LM Offers'!$A$3:$A$500,0),MATCH($A92,'LM Offers'!$A$3:$CZ$3,0))</f>
        <v>0</v>
      </c>
      <c r="K92" s="199">
        <f>INDEX(Offers!$A$3:$CZ$500,MATCH(K$3&amp;K$4&amp;K$5,Offers!$A$3:$A$500,0),MATCH($A92,Offers!$A$3:$CZ$3,0))</f>
        <v>0</v>
      </c>
      <c r="L92" s="198">
        <f>INDEX('LM Offers'!$A$3:$CZ$500,MATCH(L$3&amp;L$4&amp;L$5,'LM Offers'!$A$3:$A$500,0),MATCH($A92,'LM Offers'!$A$3:$CZ$3,0))</f>
        <v>0</v>
      </c>
      <c r="M92" s="199">
        <f>INDEX(Offers!$A$3:$CZ$500,MATCH(M$3&amp;M$4&amp;M$5,Offers!$A$3:$A$500,0),MATCH($A92,Offers!$A$3:$CZ$3,0))</f>
        <v>0</v>
      </c>
      <c r="N92" s="198">
        <f>INDEX('LM Offers'!$A$3:$CZ$500,MATCH(N$3&amp;N$4&amp;N$5,'LM Offers'!$A$3:$A$500,0),MATCH($A92,'LM Offers'!$A$3:$CZ$3,0))</f>
        <v>0</v>
      </c>
      <c r="O92" s="199">
        <f>INDEX(Offers!$A$3:$CZ$500,MATCH(O$3&amp;O$4&amp;O$5,Offers!$A$3:$A$500,0),MATCH($A92,Offers!$A$3:$CZ$3,0))</f>
        <v>0</v>
      </c>
      <c r="P92" s="198">
        <f>INDEX('LM Offers'!$A$3:$CZ$500,MATCH(P$3&amp;P$4&amp;P$5,'LM Offers'!$A$3:$A$500,0),MATCH($A92,'LM Offers'!$A$3:$CZ$3,0))</f>
        <v>0</v>
      </c>
      <c r="Q92" s="199">
        <f>INDEX(Offers!$A$3:$CZ$500,MATCH(Q$3&amp;Q$4&amp;Q$5,Offers!$A$3:$A$500,0),MATCH($A92,Offers!$A$3:$CZ$3,0))</f>
        <v>0</v>
      </c>
      <c r="R92" s="198">
        <f>SUM($H$27*$H$29*$H$92,$J$27*$J$29*$J$92,$L$27*$L$29*$L$92,$N$27*$N$29*$N$92,$P$27*$P$29*$P$92)/($R$27*$R$29)</f>
        <v>0</v>
      </c>
      <c r="S92" s="199">
        <f>SUM($H$27*$H$29*$I$92,$J$27*$J$29*$K$92,$L$27*$L$29*$M$92,$N$27*$N$29*$O$92,$P$27*$P$29*$Q$92)/($R$27*$R$29)</f>
        <v>0</v>
      </c>
      <c r="U92" s="114"/>
    </row>
    <row r="93" spans="1:24" ht="15">
      <c r="A93" s="108">
        <f t="shared" si="23"/>
        <v>93</v>
      </c>
      <c r="G93" s="188" t="s">
        <v>164</v>
      </c>
      <c r="H93" s="198">
        <f>INDEX('LM Offers'!$A$3:$CZ$500,MATCH(H$3&amp;H$4&amp;H$5,'LM Offers'!$A$3:$A$500,0),MATCH($A93,'LM Offers'!$A$3:$CZ$3,0))</f>
        <v>1.9E-2</v>
      </c>
      <c r="I93" s="199">
        <f>INDEX(Offers!$A$3:$CZ$500,MATCH(I$3&amp;I$4&amp;I$5,Offers!$A$3:$A$500,0),MATCH($A93,Offers!$A$3:$CZ$3,0))</f>
        <v>1.9E-2</v>
      </c>
      <c r="J93" s="198">
        <f>INDEX('LM Offers'!$A$3:$CZ$500,MATCH(J$3&amp;J$4&amp;J$5,'LM Offers'!$A$3:$A$500,0),MATCH($A93,'LM Offers'!$A$3:$CZ$3,0))</f>
        <v>1.9E-2</v>
      </c>
      <c r="K93" s="199">
        <f>INDEX(Offers!$A$3:$CZ$500,MATCH(K$3&amp;K$4&amp;K$5,Offers!$A$3:$A$500,0),MATCH($A93,Offers!$A$3:$CZ$3,0))</f>
        <v>1.9E-2</v>
      </c>
      <c r="L93" s="198">
        <f>INDEX('LM Offers'!$A$3:$CZ$500,MATCH(L$3&amp;L$4&amp;L$5,'LM Offers'!$A$3:$A$500,0),MATCH($A93,'LM Offers'!$A$3:$CZ$3,0))</f>
        <v>1.9E-2</v>
      </c>
      <c r="M93" s="199">
        <f>INDEX(Offers!$A$3:$CZ$500,MATCH(M$3&amp;M$4&amp;M$5,Offers!$A$3:$A$500,0),MATCH($A93,Offers!$A$3:$CZ$3,0))</f>
        <v>1.9E-2</v>
      </c>
      <c r="N93" s="198">
        <f>INDEX('LM Offers'!$A$3:$CZ$500,MATCH(N$3&amp;N$4&amp;N$5,'LM Offers'!$A$3:$A$500,0),MATCH($A93,'LM Offers'!$A$3:$CZ$3,0))</f>
        <v>1.9E-2</v>
      </c>
      <c r="O93" s="199">
        <f>INDEX(Offers!$A$3:$CZ$500,MATCH(O$3&amp;O$4&amp;O$5,Offers!$A$3:$A$500,0),MATCH($A93,Offers!$A$3:$CZ$3,0))</f>
        <v>1.9E-2</v>
      </c>
      <c r="P93" s="198">
        <f>INDEX('LM Offers'!$A$3:$CZ$500,MATCH(P$3&amp;P$4&amp;P$5,'LM Offers'!$A$3:$A$500,0),MATCH($A93,'LM Offers'!$A$3:$CZ$3,0))</f>
        <v>1.9E-2</v>
      </c>
      <c r="Q93" s="199">
        <f>INDEX(Offers!$A$3:$CZ$500,MATCH(Q$3&amp;Q$4&amp;Q$5,Offers!$A$3:$A$500,0),MATCH($A93,Offers!$A$3:$CZ$3,0))</f>
        <v>1.9E-2</v>
      </c>
      <c r="R93" s="198">
        <f>SUM($H$27*$H$29*$H$93,$J$27*$J$29*$J$93,$L$27*$L$29*$L$93,$N$27*$N$29*$N$93,$P$27*$P$29*$P$93)/($R$27*$R$29)</f>
        <v>1.9E-2</v>
      </c>
      <c r="S93" s="199">
        <f>SUM($H$27*$H$29*$I$93,$J$27*$J$29*$K$93,$L$27*$L$29*$M$93,$N$27*$N$29*$O$93,$P$27*$P$29*$Q$93)/($R$27*$R$29)</f>
        <v>1.9E-2</v>
      </c>
      <c r="U93" s="114"/>
    </row>
    <row r="94" spans="1:24" ht="15">
      <c r="A94" s="108">
        <f t="shared" si="23"/>
        <v>94</v>
      </c>
      <c r="G94" s="328" t="s">
        <v>1067</v>
      </c>
      <c r="H94" s="159">
        <f>INDEX('LM Offers'!$A$3:$CZ$500,MATCH(H$3&amp;H$4&amp;H$5,'LM Offers'!$A$3:$A$500,0),MATCH($A94,'LM Offers'!$A$3:$CZ$3,0))</f>
        <v>3.9E-2</v>
      </c>
      <c r="I94" s="886">
        <f>INDEX(Offers!$A$3:$CZ$500,MATCH(I$3&amp;I$4&amp;I$5,Offers!$A$3:$A$500,0),MATCH($A94,Offers!$A$3:$CZ$3,0))</f>
        <v>3.9E-2</v>
      </c>
      <c r="J94" s="159">
        <f>INDEX('LM Offers'!$A$3:$CZ$500,MATCH(J$3&amp;J$4&amp;J$5,'LM Offers'!$A$3:$A$500,0),MATCH($A94,'LM Offers'!$A$3:$CZ$3,0))</f>
        <v>3.9E-2</v>
      </c>
      <c r="K94" s="886">
        <f>INDEX(Offers!$A$3:$CZ$500,MATCH(K$3&amp;K$4&amp;K$5,Offers!$A$3:$A$500,0),MATCH($A94,Offers!$A$3:$CZ$3,0))</f>
        <v>3.9E-2</v>
      </c>
      <c r="L94" s="159">
        <f>INDEX('LM Offers'!$A$3:$CZ$500,MATCH(L$3&amp;L$4&amp;L$5,'LM Offers'!$A$3:$A$500,0),MATCH($A94,'LM Offers'!$A$3:$CZ$3,0))</f>
        <v>3.9E-2</v>
      </c>
      <c r="M94" s="886">
        <f>INDEX(Offers!$A$3:$CZ$500,MATCH(M$3&amp;M$4&amp;M$5,Offers!$A$3:$A$500,0),MATCH($A94,Offers!$A$3:$CZ$3,0))</f>
        <v>3.9E-2</v>
      </c>
      <c r="N94" s="159">
        <f>INDEX('LM Offers'!$A$3:$CZ$500,MATCH(N$3&amp;N$4&amp;N$5,'LM Offers'!$A$3:$A$500,0),MATCH($A94,'LM Offers'!$A$3:$CZ$3,0))</f>
        <v>3.9E-2</v>
      </c>
      <c r="O94" s="886">
        <f>INDEX(Offers!$A$3:$CZ$500,MATCH(O$3&amp;O$4&amp;O$5,Offers!$A$3:$A$500,0),MATCH($A94,Offers!$A$3:$CZ$3,0))</f>
        <v>3.9E-2</v>
      </c>
      <c r="P94" s="159">
        <f>INDEX('LM Offers'!$A$3:$CZ$500,MATCH(P$3&amp;P$4&amp;P$5,'LM Offers'!$A$3:$A$500,0),MATCH($A94,'LM Offers'!$A$3:$CZ$3,0))</f>
        <v>3.9E-2</v>
      </c>
      <c r="Q94" s="886">
        <f>INDEX(Offers!$A$3:$CZ$500,MATCH(Q$3&amp;Q$4&amp;Q$5,Offers!$A$3:$A$500,0),MATCH($A94,Offers!$A$3:$CZ$3,0))</f>
        <v>3.9E-2</v>
      </c>
      <c r="R94" s="888">
        <f>P94</f>
        <v>3.9E-2</v>
      </c>
      <c r="S94" s="887">
        <f>Q94</f>
        <v>3.9E-2</v>
      </c>
      <c r="U94" s="114"/>
    </row>
    <row r="95" spans="1:24" ht="15">
      <c r="A95" s="108">
        <f t="shared" si="23"/>
        <v>95</v>
      </c>
      <c r="G95" s="328" t="s">
        <v>954</v>
      </c>
      <c r="H95" s="159" t="str">
        <f t="shared" ref="H95:I95" si="47">IF(ISNUMBER(H94),"Y","N")</f>
        <v>Y</v>
      </c>
      <c r="I95" s="154" t="str">
        <f t="shared" si="47"/>
        <v>Y</v>
      </c>
      <c r="J95" s="159" t="str">
        <f t="shared" ref="J95:Q95" si="48">IF(ISNUMBER(J94),"Y","N")</f>
        <v>Y</v>
      </c>
      <c r="K95" s="154" t="str">
        <f t="shared" si="48"/>
        <v>Y</v>
      </c>
      <c r="L95" s="159" t="str">
        <f t="shared" si="48"/>
        <v>Y</v>
      </c>
      <c r="M95" s="154" t="str">
        <f t="shared" si="48"/>
        <v>Y</v>
      </c>
      <c r="N95" s="159" t="str">
        <f t="shared" si="48"/>
        <v>Y</v>
      </c>
      <c r="O95" s="154" t="str">
        <f t="shared" si="48"/>
        <v>Y</v>
      </c>
      <c r="P95" s="159" t="str">
        <f t="shared" si="48"/>
        <v>Y</v>
      </c>
      <c r="Q95" s="154" t="str">
        <f t="shared" si="48"/>
        <v>Y</v>
      </c>
      <c r="R95" s="329" t="str">
        <f t="shared" ref="R95:S95" si="49">IF(ISNUMBER(R94),"Y","N")</f>
        <v>Y</v>
      </c>
      <c r="S95" s="154" t="str">
        <f t="shared" si="49"/>
        <v>Y</v>
      </c>
      <c r="U95" s="114"/>
    </row>
    <row r="96" spans="1:24" ht="15.75" thickBot="1">
      <c r="A96" s="108">
        <f t="shared" si="23"/>
        <v>96</v>
      </c>
      <c r="G96" s="186" t="s">
        <v>886</v>
      </c>
      <c r="H96" s="742"/>
      <c r="I96" s="743"/>
      <c r="J96" s="742"/>
      <c r="K96" s="743"/>
      <c r="L96" s="742"/>
      <c r="M96" s="743"/>
      <c r="N96" s="742"/>
      <c r="O96" s="743"/>
      <c r="P96" s="742"/>
      <c r="Q96" s="743"/>
      <c r="R96" s="742"/>
      <c r="S96" s="743"/>
      <c r="U96" s="114"/>
      <c r="W96" s="108">
        <f>W97/$Y97</f>
        <v>0.45334101382488479</v>
      </c>
      <c r="X96" s="108">
        <f>X97/$Y97</f>
        <v>0.54665898617511521</v>
      </c>
    </row>
    <row r="97" spans="1:25" ht="15">
      <c r="A97" s="108">
        <f t="shared" si="23"/>
        <v>97</v>
      </c>
      <c r="F97" s="110"/>
      <c r="G97" s="205" t="s">
        <v>840</v>
      </c>
      <c r="H97" s="664"/>
      <c r="I97" s="665"/>
      <c r="J97" s="664"/>
      <c r="K97" s="665"/>
      <c r="L97" s="664"/>
      <c r="M97" s="665"/>
      <c r="N97" s="664"/>
      <c r="O97" s="665"/>
      <c r="P97" s="664"/>
      <c r="Q97" s="665"/>
      <c r="R97" s="664"/>
      <c r="S97" s="665"/>
      <c r="U97" s="114"/>
      <c r="W97" s="108">
        <v>3935</v>
      </c>
      <c r="X97" s="108">
        <f>Y97-W97</f>
        <v>4745</v>
      </c>
      <c r="Y97" s="108">
        <v>8680</v>
      </c>
    </row>
    <row r="98" spans="1:25" ht="15">
      <c r="A98" s="108">
        <f t="shared" si="23"/>
        <v>98</v>
      </c>
      <c r="G98" s="206" t="s">
        <v>523</v>
      </c>
      <c r="H98" s="194">
        <f>INDEX('LM Offers'!$A$3:$CZ$500,MATCH(H$3&amp;H$4&amp;H$5,'LM Offers'!$A$3:$A$500,0),MATCH($A98,'LM Offers'!$A$3:$CZ$3,0))</f>
        <v>4103.7164157747848</v>
      </c>
      <c r="I98" s="195">
        <f>INDEX(Offers!$A$3:$CZ$500,MATCH(I$3&amp;I$4&amp;I$5,Offers!$A$3:$A$500,0),MATCH($A98,Offers!$A$3:$CZ$3,0))</f>
        <v>3756.7164157747852</v>
      </c>
      <c r="J98" s="194">
        <f>INDEX('LM Offers'!$A$3:$CZ$500,MATCH(J$3&amp;J$4&amp;J$5,'LM Offers'!$A$3:$A$500,0),MATCH($A98,'LM Offers'!$A$3:$CZ$3,0))</f>
        <v>3383.7164157747848</v>
      </c>
      <c r="K98" s="195">
        <f>INDEX(Offers!$A$3:$CZ$500,MATCH(K$3&amp;K$4&amp;K$5,Offers!$A$3:$A$500,0),MATCH($A98,Offers!$A$3:$CZ$3,0))</f>
        <v>2976.7164157747848</v>
      </c>
      <c r="L98" s="194">
        <f>INDEX('LM Offers'!$A$3:$CZ$500,MATCH(L$3&amp;L$4&amp;L$5,'LM Offers'!$A$3:$A$500,0),MATCH($A98,'LM Offers'!$A$3:$CZ$3,0))</f>
        <v>3383.7164157747857</v>
      </c>
      <c r="M98" s="195">
        <f>INDEX(Offers!$A$3:$CZ$500,MATCH(M$3&amp;M$4&amp;M$5,Offers!$A$3:$A$500,0),MATCH($A98,Offers!$A$3:$CZ$3,0))</f>
        <v>2976.7164157747852</v>
      </c>
      <c r="N98" s="194">
        <f>INDEX('LM Offers'!$A$3:$CZ$500,MATCH(N$3&amp;N$4&amp;N$5,'LM Offers'!$A$3:$A$500,0),MATCH($A98,'LM Offers'!$A$3:$CZ$3,0))</f>
        <v>3383.7164157747852</v>
      </c>
      <c r="O98" s="195">
        <f>INDEX(Offers!$A$3:$CZ$500,MATCH(O$3&amp;O$4&amp;O$5,Offers!$A$3:$A$500,0),MATCH($A98,Offers!$A$3:$CZ$3,0))</f>
        <v>2586.7164157747852</v>
      </c>
      <c r="P98" s="194">
        <f>INDEX('LM Offers'!$A$3:$CZ$500,MATCH(P$3&amp;P$4&amp;P$5,'LM Offers'!$A$3:$A$500,0),MATCH($A98,'LM Offers'!$A$3:$CZ$3,0))</f>
        <v>3383.7164157747857</v>
      </c>
      <c r="Q98" s="195">
        <f>INDEX(Offers!$A$3:$CZ$500,MATCH(Q$3&amp;Q$4&amp;Q$5,Offers!$A$3:$A$500,0),MATCH($A98,Offers!$A$3:$CZ$3,0))</f>
        <v>2586.7164157747852</v>
      </c>
      <c r="R98" s="194">
        <f>SUM($H$28*$H$29*$H$98,$J$28*$J$29*$J$98,$L$28*$L$29*$L$98,$N$28*$N$29*$N$98,$P$28*$P$29*$P$98)/($R$28*$R$29)</f>
        <v>3538.9935242085198</v>
      </c>
      <c r="S98" s="195">
        <f>SUM($H$28*$H$29*$I$98,$J$28*$J$29*$K$98,$L$28*$L$29*$M$98,$N$28*$N$29*$O$98,$P$28*$P$29*$Q$98)/($R$28*$R$29)</f>
        <v>3060.8248495097246</v>
      </c>
      <c r="U98" s="114"/>
    </row>
    <row r="99" spans="1:25" ht="15">
      <c r="A99" s="108">
        <f t="shared" si="23"/>
        <v>99</v>
      </c>
      <c r="G99" s="185" t="s">
        <v>159</v>
      </c>
      <c r="H99" s="534">
        <f>'LC Calib'!HM46</f>
        <v>2289</v>
      </c>
      <c r="I99" s="197">
        <f>H99+I98-H98</f>
        <v>1942</v>
      </c>
      <c r="J99" s="534">
        <f>'LC Calib'!HM49</f>
        <v>463</v>
      </c>
      <c r="K99" s="197">
        <f>J99+K98-J98</f>
        <v>56</v>
      </c>
      <c r="L99" s="534">
        <f>'LC Calib'!HM52</f>
        <v>1962</v>
      </c>
      <c r="M99" s="197">
        <f>L99+M98-L98</f>
        <v>1554.9999999999991</v>
      </c>
      <c r="N99" s="534">
        <f>'LC Calib'!HM55</f>
        <v>-73</v>
      </c>
      <c r="O99" s="197">
        <f>N99+O98-N98</f>
        <v>-870</v>
      </c>
      <c r="P99" s="534">
        <f>'LC Calib'!HM58</f>
        <v>79.063582607477429</v>
      </c>
      <c r="Q99" s="197">
        <f>P99+Q98-P98</f>
        <v>-717.93641739252325</v>
      </c>
      <c r="R99" s="534">
        <f>SUM($H$28*$H$29*$H$99,$J$28*$J$29*$J$99,$L$28*$L$29*$L$99,$N$28*$N$29*$N$99,$P$28*$P$29*$P$99)/($R$28*$R$29)</f>
        <v>1216.1623510528204</v>
      </c>
      <c r="S99" s="197">
        <f>R99+S98-R98</f>
        <v>737.99367635402496</v>
      </c>
      <c r="U99" s="114"/>
      <c r="W99" s="108" t="s">
        <v>1015</v>
      </c>
      <c r="X99" s="108" t="s">
        <v>1131</v>
      </c>
    </row>
    <row r="100" spans="1:25">
      <c r="A100" s="108">
        <f t="shared" si="23"/>
        <v>100</v>
      </c>
      <c r="F100" s="112"/>
      <c r="G100" s="205" t="s">
        <v>819</v>
      </c>
      <c r="H100" s="161"/>
      <c r="I100" s="156"/>
      <c r="J100" s="161"/>
      <c r="K100" s="156"/>
      <c r="L100" s="161"/>
      <c r="M100" s="156"/>
      <c r="N100" s="161"/>
      <c r="O100" s="156"/>
      <c r="P100" s="161"/>
      <c r="Q100" s="156"/>
      <c r="R100" s="161"/>
      <c r="S100" s="156"/>
      <c r="U100" s="114"/>
      <c r="W100" s="108">
        <v>0.84</v>
      </c>
      <c r="X100" s="901">
        <v>0.45</v>
      </c>
      <c r="Y100" s="902">
        <f>X100*W100</f>
        <v>0.378</v>
      </c>
    </row>
    <row r="101" spans="1:25" ht="15">
      <c r="A101" s="108">
        <f t="shared" si="23"/>
        <v>101</v>
      </c>
      <c r="F101" s="113"/>
      <c r="G101" s="184" t="s">
        <v>524</v>
      </c>
      <c r="H101" s="194">
        <v>0</v>
      </c>
      <c r="I101" s="195">
        <f>H101</f>
        <v>0</v>
      </c>
      <c r="J101" s="194">
        <v>0</v>
      </c>
      <c r="K101" s="195">
        <f>J101</f>
        <v>0</v>
      </c>
      <c r="L101" s="194">
        <v>0</v>
      </c>
      <c r="M101" s="195">
        <f>L101</f>
        <v>0</v>
      </c>
      <c r="N101" s="194">
        <v>0</v>
      </c>
      <c r="O101" s="195">
        <f>N101</f>
        <v>0</v>
      </c>
      <c r="P101" s="194">
        <v>0</v>
      </c>
      <c r="Q101" s="195">
        <f>P101</f>
        <v>0</v>
      </c>
      <c r="R101" s="194">
        <f>J101</f>
        <v>0</v>
      </c>
      <c r="S101" s="195">
        <f>R101</f>
        <v>0</v>
      </c>
      <c r="U101" s="114"/>
      <c r="W101" s="108">
        <v>0.99</v>
      </c>
      <c r="X101" s="901">
        <v>0.45</v>
      </c>
      <c r="Y101" s="902">
        <f t="shared" ref="Y101:Y104" si="50">X101*W101</f>
        <v>0.44550000000000001</v>
      </c>
    </row>
    <row r="102" spans="1:25" ht="15">
      <c r="A102" s="108">
        <f t="shared" si="23"/>
        <v>102</v>
      </c>
      <c r="F102" s="112"/>
      <c r="G102" s="185" t="s">
        <v>525</v>
      </c>
      <c r="H102" s="200">
        <v>0</v>
      </c>
      <c r="I102" s="201">
        <f t="shared" ref="I102:I103" si="51">H102</f>
        <v>0</v>
      </c>
      <c r="J102" s="200">
        <v>0</v>
      </c>
      <c r="K102" s="201">
        <f t="shared" ref="K102:K103" si="52">J102</f>
        <v>0</v>
      </c>
      <c r="L102" s="200">
        <v>0</v>
      </c>
      <c r="M102" s="201">
        <f t="shared" ref="M102:M103" si="53">L102</f>
        <v>0</v>
      </c>
      <c r="N102" s="200">
        <v>0</v>
      </c>
      <c r="O102" s="201">
        <f t="shared" ref="O102:O103" si="54">N102</f>
        <v>0</v>
      </c>
      <c r="P102" s="200">
        <v>0</v>
      </c>
      <c r="Q102" s="201">
        <f t="shared" ref="Q102:Q103" si="55">P102</f>
        <v>0</v>
      </c>
      <c r="R102" s="200">
        <f t="shared" ref="R102:R104" si="56">J102</f>
        <v>0</v>
      </c>
      <c r="S102" s="201">
        <f t="shared" ref="S102:S103" si="57">R102</f>
        <v>0</v>
      </c>
      <c r="U102" s="114"/>
      <c r="W102" s="108">
        <v>0.42</v>
      </c>
      <c r="X102" s="901">
        <v>0.45</v>
      </c>
      <c r="Y102" s="902">
        <f t="shared" si="50"/>
        <v>0.189</v>
      </c>
    </row>
    <row r="103" spans="1:25" ht="15">
      <c r="A103" s="108">
        <f t="shared" si="23"/>
        <v>103</v>
      </c>
      <c r="F103" s="113"/>
      <c r="G103" s="185" t="s">
        <v>526</v>
      </c>
      <c r="H103" s="200">
        <v>0</v>
      </c>
      <c r="I103" s="201">
        <f t="shared" si="51"/>
        <v>0</v>
      </c>
      <c r="J103" s="200">
        <v>0</v>
      </c>
      <c r="K103" s="201">
        <f t="shared" si="52"/>
        <v>0</v>
      </c>
      <c r="L103" s="200">
        <v>0</v>
      </c>
      <c r="M103" s="201">
        <f t="shared" si="53"/>
        <v>0</v>
      </c>
      <c r="N103" s="200">
        <v>0</v>
      </c>
      <c r="O103" s="201">
        <f t="shared" si="54"/>
        <v>0</v>
      </c>
      <c r="P103" s="200">
        <v>0</v>
      </c>
      <c r="Q103" s="201">
        <f t="shared" si="55"/>
        <v>0</v>
      </c>
      <c r="R103" s="200">
        <f t="shared" si="56"/>
        <v>0</v>
      </c>
      <c r="S103" s="201">
        <f t="shared" si="57"/>
        <v>0</v>
      </c>
      <c r="U103" s="114"/>
      <c r="W103" s="108">
        <v>0.16</v>
      </c>
      <c r="X103" s="901">
        <v>0.45</v>
      </c>
      <c r="Y103" s="902">
        <f t="shared" si="50"/>
        <v>7.2000000000000008E-2</v>
      </c>
    </row>
    <row r="104" spans="1:25" ht="15">
      <c r="A104" s="108">
        <f t="shared" si="23"/>
        <v>104</v>
      </c>
      <c r="F104" s="113"/>
      <c r="G104" s="185" t="s">
        <v>308</v>
      </c>
      <c r="H104" s="196">
        <v>0.7</v>
      </c>
      <c r="I104" s="524">
        <f>H104</f>
        <v>0.7</v>
      </c>
      <c r="J104" s="196">
        <v>0.7</v>
      </c>
      <c r="K104" s="524">
        <f>J104</f>
        <v>0.7</v>
      </c>
      <c r="L104" s="196">
        <v>0.7</v>
      </c>
      <c r="M104" s="524">
        <f>L104</f>
        <v>0.7</v>
      </c>
      <c r="N104" s="196">
        <v>0.7</v>
      </c>
      <c r="O104" s="524">
        <f>N104</f>
        <v>0.7</v>
      </c>
      <c r="P104" s="196">
        <v>0.7</v>
      </c>
      <c r="Q104" s="524">
        <f>P104</f>
        <v>0.7</v>
      </c>
      <c r="R104" s="196">
        <f t="shared" si="56"/>
        <v>0.7</v>
      </c>
      <c r="S104" s="524">
        <f>R104</f>
        <v>0.7</v>
      </c>
      <c r="U104" s="114"/>
      <c r="W104" s="108">
        <v>0.44</v>
      </c>
      <c r="X104" s="901">
        <v>0.45</v>
      </c>
      <c r="Y104" s="902">
        <f t="shared" si="50"/>
        <v>0.19800000000000001</v>
      </c>
    </row>
    <row r="105" spans="1:25">
      <c r="A105" s="108">
        <f t="shared" si="23"/>
        <v>105</v>
      </c>
      <c r="F105" s="110"/>
      <c r="G105" s="193" t="s">
        <v>527</v>
      </c>
      <c r="H105" s="160"/>
      <c r="I105" s="155"/>
      <c r="J105" s="160"/>
      <c r="K105" s="155"/>
      <c r="L105" s="160"/>
      <c r="M105" s="155"/>
      <c r="N105" s="160"/>
      <c r="O105" s="155"/>
      <c r="P105" s="160"/>
      <c r="Q105" s="155"/>
      <c r="R105" s="160"/>
      <c r="S105" s="155"/>
      <c r="U105" s="114"/>
    </row>
    <row r="106" spans="1:25" ht="15">
      <c r="A106" s="108">
        <f t="shared" si="23"/>
        <v>106</v>
      </c>
      <c r="G106" s="184" t="s">
        <v>157</v>
      </c>
      <c r="H106" s="878">
        <f>INDEX('LM Offers'!$A$3:$CZ$500,MATCH(H$3&amp;H$4&amp;H$5,'LM Offers'!$A$3:$A$500,0),MATCH($A106,'LM Offers'!$A$3:$CZ$3,0))</f>
        <v>0</v>
      </c>
      <c r="I106" s="879">
        <f>INDEX(Offers!$A$3:$CZ$500,MATCH(I$3&amp;I$4&amp;I$5,Offers!$A$3:$A$500,0),MATCH($A106,Offers!$A$3:$CZ$3,0))</f>
        <v>0</v>
      </c>
      <c r="J106" s="878">
        <f>INDEX('LM Offers'!$A$3:$CZ$500,MATCH(J$3&amp;J$4&amp;J$5,'LM Offers'!$A$3:$A$500,0),MATCH($A106,'LM Offers'!$A$3:$CZ$3,0))</f>
        <v>0</v>
      </c>
      <c r="K106" s="879">
        <f>INDEX(Offers!$A$3:$CZ$500,MATCH(K$3&amp;K$4&amp;K$5,Offers!$A$3:$A$500,0),MATCH($A106,Offers!$A$3:$CZ$3,0))</f>
        <v>0</v>
      </c>
      <c r="L106" s="878">
        <f>INDEX('LM Offers'!$A$3:$CZ$500,MATCH(L$3&amp;L$4&amp;L$5,'LM Offers'!$A$3:$A$500,0),MATCH($A106,'LM Offers'!$A$3:$CZ$3,0))</f>
        <v>0</v>
      </c>
      <c r="M106" s="879">
        <f>INDEX(Offers!$A$3:$CZ$500,MATCH(M$3&amp;M$4&amp;M$5,Offers!$A$3:$A$500,0),MATCH($A106,Offers!$A$3:$CZ$3,0))</f>
        <v>0</v>
      </c>
      <c r="N106" s="878">
        <f>INDEX('LM Offers'!$A$3:$CZ$500,MATCH(N$3&amp;N$4&amp;N$5,'LM Offers'!$A$3:$A$500,0),MATCH($A106,'LM Offers'!$A$3:$CZ$3,0))</f>
        <v>0</v>
      </c>
      <c r="O106" s="879">
        <f>INDEX(Offers!$A$3:$CZ$500,MATCH(O$3&amp;O$4&amp;O$5,Offers!$A$3:$A$500,0),MATCH($A106,Offers!$A$3:$CZ$3,0))</f>
        <v>0</v>
      </c>
      <c r="P106" s="878">
        <f>INDEX('LM Offers'!$A$3:$CZ$500,MATCH(P$3&amp;P$4&amp;P$5,'LM Offers'!$A$3:$A$500,0),MATCH($A106,'LM Offers'!$A$3:$CZ$3,0))</f>
        <v>0</v>
      </c>
      <c r="Q106" s="879">
        <f>INDEX(Offers!$A$3:$CZ$500,MATCH(Q$3&amp;Q$4&amp;Q$5,Offers!$A$3:$A$500,0),MATCH($A106,Offers!$A$3:$CZ$3,0))</f>
        <v>0</v>
      </c>
      <c r="R106" s="194">
        <f>J106</f>
        <v>0</v>
      </c>
      <c r="S106" s="195">
        <f>R106</f>
        <v>0</v>
      </c>
      <c r="U106" s="114"/>
    </row>
    <row r="107" spans="1:25">
      <c r="A107" s="108">
        <f t="shared" si="23"/>
        <v>107</v>
      </c>
      <c r="F107" s="110"/>
      <c r="G107" s="205" t="s">
        <v>1148</v>
      </c>
      <c r="H107" s="160"/>
      <c r="I107" s="155"/>
      <c r="J107" s="160"/>
      <c r="K107" s="155"/>
      <c r="L107" s="160"/>
      <c r="M107" s="155"/>
      <c r="N107" s="160"/>
      <c r="O107" s="155"/>
      <c r="P107" s="160"/>
      <c r="Q107" s="155"/>
      <c r="R107" s="160"/>
      <c r="S107" s="155"/>
      <c r="U107" s="114"/>
    </row>
    <row r="108" spans="1:25" ht="15">
      <c r="A108" s="108">
        <f t="shared" si="23"/>
        <v>108</v>
      </c>
      <c r="F108" s="110"/>
      <c r="G108" s="184" t="s">
        <v>157</v>
      </c>
      <c r="H108" s="194">
        <v>1000</v>
      </c>
      <c r="I108" s="195">
        <v>0</v>
      </c>
      <c r="J108" s="194">
        <f>H108</f>
        <v>1000</v>
      </c>
      <c r="K108" s="195">
        <f>I108</f>
        <v>0</v>
      </c>
      <c r="L108" s="194">
        <f t="shared" ref="L108:S109" si="58">J108</f>
        <v>1000</v>
      </c>
      <c r="M108" s="195">
        <f t="shared" si="58"/>
        <v>0</v>
      </c>
      <c r="N108" s="194">
        <f t="shared" si="58"/>
        <v>1000</v>
      </c>
      <c r="O108" s="195">
        <f t="shared" si="58"/>
        <v>0</v>
      </c>
      <c r="P108" s="194">
        <f t="shared" si="58"/>
        <v>1000</v>
      </c>
      <c r="Q108" s="195">
        <f t="shared" si="58"/>
        <v>0</v>
      </c>
      <c r="R108" s="194">
        <f t="shared" si="58"/>
        <v>1000</v>
      </c>
      <c r="S108" s="195">
        <f t="shared" si="58"/>
        <v>0</v>
      </c>
      <c r="U108" s="114"/>
    </row>
    <row r="109" spans="1:25" ht="15">
      <c r="A109" s="108">
        <f t="shared" si="23"/>
        <v>109</v>
      </c>
      <c r="F109" s="110"/>
      <c r="G109" s="185" t="s">
        <v>528</v>
      </c>
      <c r="H109" s="196">
        <v>0.27</v>
      </c>
      <c r="I109" s="899">
        <v>0.27</v>
      </c>
      <c r="J109" s="196">
        <f>H109</f>
        <v>0.27</v>
      </c>
      <c r="K109" s="899">
        <f>I109</f>
        <v>0.27</v>
      </c>
      <c r="L109" s="196">
        <f t="shared" si="58"/>
        <v>0.27</v>
      </c>
      <c r="M109" s="899">
        <f t="shared" si="58"/>
        <v>0.27</v>
      </c>
      <c r="N109" s="196">
        <f t="shared" si="58"/>
        <v>0.27</v>
      </c>
      <c r="O109" s="899">
        <f t="shared" si="58"/>
        <v>0.27</v>
      </c>
      <c r="P109" s="196">
        <f t="shared" si="58"/>
        <v>0.27</v>
      </c>
      <c r="Q109" s="899">
        <f t="shared" si="58"/>
        <v>0.27</v>
      </c>
      <c r="R109" s="196">
        <f t="shared" si="58"/>
        <v>0.27</v>
      </c>
      <c r="S109" s="899">
        <f t="shared" si="58"/>
        <v>0.27</v>
      </c>
      <c r="U109" s="114"/>
    </row>
    <row r="110" spans="1:25">
      <c r="A110" s="108">
        <f t="shared" si="23"/>
        <v>110</v>
      </c>
      <c r="F110" s="110"/>
      <c r="G110" s="205" t="s">
        <v>1149</v>
      </c>
      <c r="H110" s="160"/>
      <c r="I110" s="155"/>
      <c r="J110" s="160"/>
      <c r="K110" s="155"/>
      <c r="L110" s="160"/>
      <c r="M110" s="155"/>
      <c r="N110" s="160"/>
      <c r="O110" s="155"/>
      <c r="P110" s="160"/>
      <c r="Q110" s="155"/>
      <c r="R110" s="160"/>
      <c r="S110" s="155"/>
      <c r="U110" s="114"/>
    </row>
    <row r="111" spans="1:25" ht="15">
      <c r="A111" s="108">
        <f t="shared" si="23"/>
        <v>111</v>
      </c>
      <c r="F111" s="110"/>
      <c r="G111" s="184" t="s">
        <v>157</v>
      </c>
      <c r="H111" s="194">
        <v>1000</v>
      </c>
      <c r="I111" s="195">
        <v>0</v>
      </c>
      <c r="J111" s="194">
        <f>H111</f>
        <v>1000</v>
      </c>
      <c r="K111" s="195">
        <f>I111</f>
        <v>0</v>
      </c>
      <c r="L111" s="194">
        <f t="shared" ref="L111:L112" si="59">J111</f>
        <v>1000</v>
      </c>
      <c r="M111" s="195">
        <f t="shared" ref="M111:M112" si="60">K111</f>
        <v>0</v>
      </c>
      <c r="N111" s="194">
        <f t="shared" ref="N111:N112" si="61">L111</f>
        <v>1000</v>
      </c>
      <c r="O111" s="195">
        <f t="shared" ref="O111:O112" si="62">M111</f>
        <v>0</v>
      </c>
      <c r="P111" s="194">
        <f t="shared" ref="P111:P112" si="63">N111</f>
        <v>1000</v>
      </c>
      <c r="Q111" s="195">
        <f t="shared" ref="Q111:Q112" si="64">O111</f>
        <v>0</v>
      </c>
      <c r="R111" s="194">
        <f t="shared" ref="R111:R112" si="65">P111</f>
        <v>1000</v>
      </c>
      <c r="S111" s="195">
        <f t="shared" ref="S111:S112" si="66">Q111</f>
        <v>0</v>
      </c>
      <c r="U111" s="114"/>
    </row>
    <row r="112" spans="1:25" ht="15">
      <c r="A112" s="108">
        <f t="shared" si="23"/>
        <v>112</v>
      </c>
      <c r="F112" s="110"/>
      <c r="G112" s="185" t="s">
        <v>528</v>
      </c>
      <c r="H112" s="898">
        <v>0.27</v>
      </c>
      <c r="I112" s="899">
        <v>0.27</v>
      </c>
      <c r="J112" s="898">
        <f>H112</f>
        <v>0.27</v>
      </c>
      <c r="K112" s="899">
        <f>I112</f>
        <v>0.27</v>
      </c>
      <c r="L112" s="898">
        <f t="shared" si="59"/>
        <v>0.27</v>
      </c>
      <c r="M112" s="899">
        <f t="shared" si="60"/>
        <v>0.27</v>
      </c>
      <c r="N112" s="898">
        <f t="shared" si="61"/>
        <v>0.27</v>
      </c>
      <c r="O112" s="899">
        <f t="shared" si="62"/>
        <v>0.27</v>
      </c>
      <c r="P112" s="898">
        <f t="shared" si="63"/>
        <v>0.27</v>
      </c>
      <c r="Q112" s="899">
        <f t="shared" si="64"/>
        <v>0.27</v>
      </c>
      <c r="R112" s="898">
        <f t="shared" si="65"/>
        <v>0.27</v>
      </c>
      <c r="S112" s="899">
        <f t="shared" si="66"/>
        <v>0.27</v>
      </c>
      <c r="U112" s="114"/>
    </row>
    <row r="113" spans="1:45">
      <c r="A113" s="108">
        <f t="shared" si="23"/>
        <v>113</v>
      </c>
      <c r="F113" s="110"/>
      <c r="G113" s="205" t="s">
        <v>1155</v>
      </c>
      <c r="H113" s="160"/>
      <c r="I113" s="155"/>
      <c r="J113" s="160"/>
      <c r="K113" s="155"/>
      <c r="L113" s="160"/>
      <c r="M113" s="155"/>
      <c r="N113" s="160"/>
      <c r="O113" s="155"/>
      <c r="P113" s="160"/>
      <c r="Q113" s="155"/>
      <c r="R113" s="160"/>
      <c r="S113" s="155"/>
      <c r="U113" s="114"/>
    </row>
    <row r="114" spans="1:45" ht="15">
      <c r="A114" s="108">
        <f t="shared" si="23"/>
        <v>114</v>
      </c>
      <c r="G114" s="184" t="s">
        <v>157</v>
      </c>
      <c r="H114" s="194">
        <v>0</v>
      </c>
      <c r="I114" s="195">
        <v>0</v>
      </c>
      <c r="J114" s="194">
        <v>500</v>
      </c>
      <c r="K114" s="195">
        <v>0</v>
      </c>
      <c r="L114" s="194">
        <v>500</v>
      </c>
      <c r="M114" s="195">
        <v>0</v>
      </c>
      <c r="N114" s="194">
        <v>500</v>
      </c>
      <c r="O114" s="195">
        <v>0</v>
      </c>
      <c r="P114" s="194">
        <v>0</v>
      </c>
      <c r="Q114" s="195">
        <v>0</v>
      </c>
      <c r="R114" s="194">
        <v>0</v>
      </c>
      <c r="S114" s="195">
        <v>0</v>
      </c>
      <c r="U114" s="114"/>
    </row>
    <row r="115" spans="1:45" ht="15">
      <c r="A115" s="108">
        <f t="shared" si="23"/>
        <v>115</v>
      </c>
      <c r="F115" s="110"/>
      <c r="G115" s="185" t="s">
        <v>528</v>
      </c>
      <c r="H115" s="898">
        <v>0.38</v>
      </c>
      <c r="I115" s="899">
        <f>H115</f>
        <v>0.38</v>
      </c>
      <c r="J115" s="898">
        <f>4.8%</f>
        <v>4.8000000000000001E-2</v>
      </c>
      <c r="K115" s="899">
        <f>4.8%</f>
        <v>4.8000000000000001E-2</v>
      </c>
      <c r="L115" s="898">
        <f>68.2%</f>
        <v>0.68200000000000005</v>
      </c>
      <c r="M115" s="899">
        <f>68.2%</f>
        <v>0.68200000000000005</v>
      </c>
      <c r="N115" s="898">
        <f>100%</f>
        <v>1</v>
      </c>
      <c r="O115" s="899">
        <f>100%</f>
        <v>1</v>
      </c>
      <c r="P115" s="898">
        <v>0.2</v>
      </c>
      <c r="Q115" s="899">
        <f>P115</f>
        <v>0.2</v>
      </c>
      <c r="R115" s="898">
        <v>1</v>
      </c>
      <c r="S115" s="899">
        <f>R115</f>
        <v>1</v>
      </c>
      <c r="U115" s="114"/>
    </row>
    <row r="116" spans="1:45">
      <c r="A116" s="108">
        <f t="shared" si="23"/>
        <v>116</v>
      </c>
      <c r="F116" s="110"/>
      <c r="G116" s="205" t="s">
        <v>1163</v>
      </c>
      <c r="H116" s="160"/>
      <c r="I116" s="155"/>
      <c r="J116" s="160"/>
      <c r="K116" s="155"/>
      <c r="L116" s="160"/>
      <c r="M116" s="155"/>
      <c r="N116" s="160"/>
      <c r="O116" s="155"/>
      <c r="P116" s="160"/>
      <c r="Q116" s="155"/>
      <c r="R116" s="160"/>
      <c r="S116" s="155"/>
      <c r="U116" s="114"/>
    </row>
    <row r="117" spans="1:45" ht="15">
      <c r="A117" s="108">
        <f t="shared" si="23"/>
        <v>117</v>
      </c>
      <c r="G117" s="184" t="s">
        <v>157</v>
      </c>
      <c r="H117" s="194">
        <v>0</v>
      </c>
      <c r="I117" s="195">
        <v>0</v>
      </c>
      <c r="J117" s="194">
        <f>H117</f>
        <v>0</v>
      </c>
      <c r="K117" s="195">
        <v>500</v>
      </c>
      <c r="L117" s="194">
        <f t="shared" ref="L117" si="67">J117</f>
        <v>0</v>
      </c>
      <c r="M117" s="195">
        <f t="shared" ref="M117" si="68">K117</f>
        <v>500</v>
      </c>
      <c r="N117" s="194">
        <f t="shared" ref="N117" si="69">L117</f>
        <v>0</v>
      </c>
      <c r="O117" s="195">
        <f t="shared" ref="O117" si="70">M117</f>
        <v>500</v>
      </c>
      <c r="P117" s="194">
        <f t="shared" ref="P117" si="71">N117</f>
        <v>0</v>
      </c>
      <c r="Q117" s="195">
        <f t="shared" ref="Q117" si="72">O117</f>
        <v>500</v>
      </c>
      <c r="R117" s="194">
        <f t="shared" ref="R117:R118" si="73">P117</f>
        <v>0</v>
      </c>
      <c r="S117" s="195">
        <f t="shared" ref="S117:S118" si="74">Q117</f>
        <v>500</v>
      </c>
      <c r="U117" s="114"/>
    </row>
    <row r="118" spans="1:45" ht="15">
      <c r="A118" s="108">
        <f t="shared" si="23"/>
        <v>118</v>
      </c>
      <c r="G118" s="185" t="s">
        <v>528</v>
      </c>
      <c r="H118" s="196">
        <v>0</v>
      </c>
      <c r="I118" s="531">
        <v>0</v>
      </c>
      <c r="J118" s="196">
        <v>0.94599999999999995</v>
      </c>
      <c r="K118" s="531">
        <f>J118</f>
        <v>0.94599999999999995</v>
      </c>
      <c r="L118" s="196">
        <v>1</v>
      </c>
      <c r="M118" s="531">
        <f>L118</f>
        <v>1</v>
      </c>
      <c r="N118" s="196">
        <v>0.83199999999999996</v>
      </c>
      <c r="O118" s="531">
        <f>N118</f>
        <v>0.83199999999999996</v>
      </c>
      <c r="P118" s="196">
        <v>1</v>
      </c>
      <c r="Q118" s="531">
        <f>P118</f>
        <v>1</v>
      </c>
      <c r="R118" s="196">
        <f t="shared" si="73"/>
        <v>1</v>
      </c>
      <c r="S118" s="531">
        <f t="shared" si="74"/>
        <v>1</v>
      </c>
      <c r="U118" s="114"/>
    </row>
    <row r="119" spans="1:45">
      <c r="A119" s="108">
        <f t="shared" si="23"/>
        <v>119</v>
      </c>
      <c r="F119" s="110"/>
      <c r="G119" s="205" t="s">
        <v>1164</v>
      </c>
      <c r="H119" s="160"/>
      <c r="I119" s="155"/>
      <c r="J119" s="160"/>
      <c r="K119" s="155"/>
      <c r="L119" s="160"/>
      <c r="M119" s="155"/>
      <c r="N119" s="160"/>
      <c r="O119" s="155"/>
      <c r="P119" s="160"/>
      <c r="Q119" s="155"/>
      <c r="R119" s="160"/>
      <c r="S119" s="155"/>
      <c r="U119" s="114"/>
    </row>
    <row r="120" spans="1:45" ht="15">
      <c r="A120" s="108">
        <f t="shared" si="23"/>
        <v>120</v>
      </c>
      <c r="G120" s="184" t="s">
        <v>157</v>
      </c>
      <c r="H120" s="194">
        <v>0</v>
      </c>
      <c r="I120" s="195">
        <v>0</v>
      </c>
      <c r="J120" s="194">
        <f>H120</f>
        <v>0</v>
      </c>
      <c r="K120" s="195">
        <f>I120</f>
        <v>0</v>
      </c>
      <c r="L120" s="194">
        <f t="shared" ref="L120:L121" si="75">J120</f>
        <v>0</v>
      </c>
      <c r="M120" s="195">
        <f t="shared" ref="M120:M121" si="76">K120</f>
        <v>0</v>
      </c>
      <c r="N120" s="194">
        <f t="shared" ref="N120:N121" si="77">L120</f>
        <v>0</v>
      </c>
      <c r="O120" s="195">
        <f t="shared" ref="O120:O121" si="78">M120</f>
        <v>0</v>
      </c>
      <c r="P120" s="194">
        <f t="shared" ref="P120:P121" si="79">N120</f>
        <v>0</v>
      </c>
      <c r="Q120" s="195">
        <f t="shared" ref="Q120:Q121" si="80">O120</f>
        <v>0</v>
      </c>
      <c r="R120" s="194">
        <f t="shared" ref="R120:R121" si="81">P120</f>
        <v>0</v>
      </c>
      <c r="S120" s="195">
        <f t="shared" ref="S120:S121" si="82">Q120</f>
        <v>0</v>
      </c>
      <c r="U120" s="114"/>
    </row>
    <row r="121" spans="1:45" ht="15">
      <c r="A121" s="108">
        <f t="shared" si="23"/>
        <v>121</v>
      </c>
      <c r="G121" s="185" t="s">
        <v>528</v>
      </c>
      <c r="H121" s="196">
        <v>0.27</v>
      </c>
      <c r="I121" s="531">
        <v>0.27</v>
      </c>
      <c r="J121" s="196">
        <f>H121</f>
        <v>0.27</v>
      </c>
      <c r="K121" s="531">
        <f>I121</f>
        <v>0.27</v>
      </c>
      <c r="L121" s="196">
        <f t="shared" si="75"/>
        <v>0.27</v>
      </c>
      <c r="M121" s="531">
        <f t="shared" si="76"/>
        <v>0.27</v>
      </c>
      <c r="N121" s="196">
        <f t="shared" si="77"/>
        <v>0.27</v>
      </c>
      <c r="O121" s="531">
        <f t="shared" si="78"/>
        <v>0.27</v>
      </c>
      <c r="P121" s="196">
        <f t="shared" si="79"/>
        <v>0.27</v>
      </c>
      <c r="Q121" s="531">
        <f t="shared" si="80"/>
        <v>0.27</v>
      </c>
      <c r="R121" s="196">
        <f t="shared" si="81"/>
        <v>0.27</v>
      </c>
      <c r="S121" s="531">
        <f t="shared" si="82"/>
        <v>0.27</v>
      </c>
      <c r="U121" s="114"/>
    </row>
    <row r="122" spans="1:45">
      <c r="A122" s="108">
        <f t="shared" si="23"/>
        <v>122</v>
      </c>
      <c r="U122" s="114"/>
      <c r="AR122" s="124"/>
      <c r="AS122" s="124"/>
    </row>
    <row r="123" spans="1:45">
      <c r="A123" s="108">
        <f t="shared" si="23"/>
        <v>123</v>
      </c>
    </row>
    <row r="124" spans="1:45">
      <c r="A124" s="108">
        <f t="shared" si="23"/>
        <v>124</v>
      </c>
    </row>
    <row r="125" spans="1:45">
      <c r="A125" s="108">
        <f t="shared" si="23"/>
        <v>125</v>
      </c>
    </row>
    <row r="126" spans="1:45">
      <c r="A126" s="108">
        <f t="shared" si="23"/>
        <v>126</v>
      </c>
    </row>
    <row r="127" spans="1:45">
      <c r="A127" s="108">
        <f t="shared" si="23"/>
        <v>127</v>
      </c>
    </row>
    <row r="128" spans="1:45">
      <c r="A128" s="108">
        <f t="shared" si="23"/>
        <v>128</v>
      </c>
    </row>
    <row r="129" spans="1:21">
      <c r="A129" s="108">
        <f t="shared" si="23"/>
        <v>129</v>
      </c>
    </row>
    <row r="130" spans="1:21">
      <c r="A130" s="108">
        <f t="shared" ref="A130:A155" si="83">A129+1</f>
        <v>130</v>
      </c>
    </row>
    <row r="131" spans="1:21">
      <c r="A131" s="108">
        <f t="shared" si="83"/>
        <v>131</v>
      </c>
    </row>
    <row r="132" spans="1:21">
      <c r="A132" s="108">
        <f t="shared" si="83"/>
        <v>132</v>
      </c>
    </row>
    <row r="133" spans="1:21">
      <c r="A133" s="108">
        <f t="shared" si="83"/>
        <v>133</v>
      </c>
    </row>
    <row r="134" spans="1:21">
      <c r="A134" s="108">
        <f t="shared" si="83"/>
        <v>134</v>
      </c>
    </row>
    <row r="135" spans="1:21">
      <c r="A135" s="108">
        <f t="shared" si="83"/>
        <v>135</v>
      </c>
    </row>
    <row r="136" spans="1:21">
      <c r="A136" s="108">
        <f t="shared" si="83"/>
        <v>136</v>
      </c>
    </row>
    <row r="137" spans="1:21">
      <c r="A137" s="108">
        <f t="shared" si="83"/>
        <v>137</v>
      </c>
    </row>
    <row r="138" spans="1:21">
      <c r="A138" s="108">
        <f t="shared" si="83"/>
        <v>138</v>
      </c>
    </row>
    <row r="139" spans="1:21">
      <c r="A139" s="108">
        <f t="shared" si="83"/>
        <v>139</v>
      </c>
    </row>
    <row r="140" spans="1:21">
      <c r="A140" s="108">
        <f t="shared" si="83"/>
        <v>140</v>
      </c>
      <c r="F140" s="110"/>
      <c r="U140" s="114"/>
    </row>
    <row r="141" spans="1:21">
      <c r="A141" s="108">
        <f t="shared" si="83"/>
        <v>141</v>
      </c>
      <c r="U141" s="114"/>
    </row>
    <row r="142" spans="1:21">
      <c r="A142" s="108">
        <f t="shared" si="83"/>
        <v>142</v>
      </c>
      <c r="U142" s="114"/>
    </row>
    <row r="143" spans="1:21">
      <c r="A143" s="108">
        <f t="shared" si="83"/>
        <v>143</v>
      </c>
      <c r="U143" s="114"/>
    </row>
    <row r="144" spans="1:21">
      <c r="A144" s="108">
        <f t="shared" si="83"/>
        <v>144</v>
      </c>
    </row>
    <row r="145" spans="1:21">
      <c r="A145" s="108">
        <f t="shared" si="83"/>
        <v>145</v>
      </c>
    </row>
    <row r="146" spans="1:21">
      <c r="A146" s="108">
        <f t="shared" si="83"/>
        <v>146</v>
      </c>
    </row>
    <row r="147" spans="1:21">
      <c r="A147" s="108">
        <f t="shared" si="83"/>
        <v>147</v>
      </c>
    </row>
    <row r="148" spans="1:21">
      <c r="A148" s="108">
        <f t="shared" si="83"/>
        <v>148</v>
      </c>
    </row>
    <row r="149" spans="1:21">
      <c r="A149" s="108">
        <f t="shared" si="83"/>
        <v>149</v>
      </c>
    </row>
    <row r="150" spans="1:21">
      <c r="A150" s="108">
        <f t="shared" si="83"/>
        <v>150</v>
      </c>
      <c r="G150" s="695" t="s">
        <v>860</v>
      </c>
    </row>
    <row r="151" spans="1:21" ht="15">
      <c r="A151" s="108">
        <f t="shared" si="83"/>
        <v>151</v>
      </c>
      <c r="F151" s="110"/>
      <c r="G151" s="206" t="s">
        <v>861</v>
      </c>
      <c r="H151" s="654">
        <v>199</v>
      </c>
      <c r="I151" s="655">
        <f>H151</f>
        <v>199</v>
      </c>
      <c r="J151" s="654">
        <v>199</v>
      </c>
      <c r="K151" s="655">
        <f>J151</f>
        <v>199</v>
      </c>
      <c r="L151" s="654">
        <v>199</v>
      </c>
      <c r="M151" s="655">
        <f>L151</f>
        <v>199</v>
      </c>
      <c r="N151" s="654">
        <v>199</v>
      </c>
      <c r="O151" s="655">
        <f>N151</f>
        <v>199</v>
      </c>
      <c r="P151" s="654">
        <v>199</v>
      </c>
      <c r="Q151" s="655">
        <f>P151</f>
        <v>199</v>
      </c>
      <c r="R151" s="654">
        <v>199</v>
      </c>
      <c r="S151" s="655">
        <f>R151</f>
        <v>199</v>
      </c>
      <c r="U151" s="114"/>
    </row>
    <row r="152" spans="1:21" ht="15">
      <c r="A152" s="108">
        <f t="shared" si="83"/>
        <v>152</v>
      </c>
      <c r="G152" s="206" t="s">
        <v>862</v>
      </c>
      <c r="H152" s="654">
        <v>1999</v>
      </c>
      <c r="I152" s="655">
        <f>H152</f>
        <v>1999</v>
      </c>
      <c r="J152" s="654">
        <v>1999</v>
      </c>
      <c r="K152" s="655">
        <f>J152</f>
        <v>1999</v>
      </c>
      <c r="L152" s="654">
        <v>1999</v>
      </c>
      <c r="M152" s="655">
        <f>L152</f>
        <v>1999</v>
      </c>
      <c r="N152" s="654">
        <v>1999</v>
      </c>
      <c r="O152" s="655">
        <f>N152</f>
        <v>1999</v>
      </c>
      <c r="P152" s="654">
        <v>1999</v>
      </c>
      <c r="Q152" s="655">
        <f>P152</f>
        <v>1999</v>
      </c>
      <c r="R152" s="654">
        <v>1999</v>
      </c>
      <c r="S152" s="655">
        <f>R152</f>
        <v>1999</v>
      </c>
      <c r="U152" s="114"/>
    </row>
    <row r="153" spans="1:21" ht="15">
      <c r="A153" s="108">
        <f t="shared" si="83"/>
        <v>153</v>
      </c>
      <c r="G153" s="206" t="s">
        <v>863</v>
      </c>
      <c r="H153" s="654">
        <v>36</v>
      </c>
      <c r="I153" s="655">
        <f>H153</f>
        <v>36</v>
      </c>
      <c r="J153" s="654">
        <v>36</v>
      </c>
      <c r="K153" s="655">
        <f>J153</f>
        <v>36</v>
      </c>
      <c r="L153" s="654">
        <v>36</v>
      </c>
      <c r="M153" s="655">
        <f>L153</f>
        <v>36</v>
      </c>
      <c r="N153" s="654">
        <v>36</v>
      </c>
      <c r="O153" s="655">
        <f>N153</f>
        <v>36</v>
      </c>
      <c r="P153" s="654">
        <v>36</v>
      </c>
      <c r="Q153" s="655">
        <f>P153</f>
        <v>36</v>
      </c>
      <c r="R153" s="654">
        <v>36</v>
      </c>
      <c r="S153" s="655">
        <f>R153</f>
        <v>36</v>
      </c>
      <c r="U153" s="114"/>
    </row>
    <row r="154" spans="1:21" ht="15">
      <c r="A154" s="108">
        <f t="shared" si="83"/>
        <v>154</v>
      </c>
      <c r="G154" s="206" t="s">
        <v>864</v>
      </c>
      <c r="H154" s="534">
        <f>(H152-H151)/H153+H151</f>
        <v>249</v>
      </c>
      <c r="I154" s="197">
        <f t="shared" ref="I154:Q154" si="84">(I152-I151)/I153+I151</f>
        <v>249</v>
      </c>
      <c r="J154" s="534">
        <f t="shared" si="84"/>
        <v>249</v>
      </c>
      <c r="K154" s="197">
        <f t="shared" si="84"/>
        <v>249</v>
      </c>
      <c r="L154" s="534">
        <f t="shared" si="84"/>
        <v>249</v>
      </c>
      <c r="M154" s="197">
        <f t="shared" si="84"/>
        <v>249</v>
      </c>
      <c r="N154" s="534">
        <f t="shared" si="84"/>
        <v>249</v>
      </c>
      <c r="O154" s="197">
        <f t="shared" si="84"/>
        <v>249</v>
      </c>
      <c r="P154" s="534">
        <f t="shared" ref="P154" si="85">(P152-P151)/P153+P151</f>
        <v>249</v>
      </c>
      <c r="Q154" s="197">
        <f t="shared" si="84"/>
        <v>249</v>
      </c>
      <c r="R154" s="534">
        <f t="shared" ref="R154:S154" si="86">(R152-R151)/R153+R151</f>
        <v>249</v>
      </c>
      <c r="S154" s="197">
        <f t="shared" si="86"/>
        <v>249</v>
      </c>
    </row>
    <row r="155" spans="1:21" ht="15">
      <c r="A155" s="108">
        <f t="shared" si="83"/>
        <v>155</v>
      </c>
      <c r="G155" s="206" t="s">
        <v>865</v>
      </c>
      <c r="H155" s="534"/>
      <c r="I155" s="197">
        <f>(I154-H154)*H153</f>
        <v>0</v>
      </c>
      <c r="J155" s="534"/>
      <c r="K155" s="197">
        <f>(K154-J154)*J153</f>
        <v>0</v>
      </c>
      <c r="L155" s="534"/>
      <c r="M155" s="197">
        <f>(M154-L154)*L153</f>
        <v>0</v>
      </c>
      <c r="N155" s="534"/>
      <c r="O155" s="197">
        <f>(O154-N154)*N153</f>
        <v>0</v>
      </c>
      <c r="P155" s="534"/>
      <c r="Q155" s="197">
        <f>(Q154-P154)*P153</f>
        <v>0</v>
      </c>
      <c r="R155" s="534"/>
      <c r="S155" s="197">
        <f>(S154-R154)*R153</f>
        <v>0</v>
      </c>
    </row>
  </sheetData>
  <dataConsolidate/>
  <conditionalFormatting sqref="H89:H94">
    <cfRule type="expression" dxfId="1780" priority="80">
      <formula>IF(#REF!="N",TRUE,FALSE)</formula>
    </cfRule>
  </conditionalFormatting>
  <conditionalFormatting sqref="H89:H94">
    <cfRule type="expression" dxfId="1779" priority="79">
      <formula>IF(#REF!="N",TRUE,FALSE)</formula>
    </cfRule>
  </conditionalFormatting>
  <conditionalFormatting sqref="I89:I94">
    <cfRule type="expression" dxfId="1778" priority="78">
      <formula>IF(#REF!="N",TRUE,FALSE)</formula>
    </cfRule>
  </conditionalFormatting>
  <conditionalFormatting sqref="I89:I94">
    <cfRule type="expression" dxfId="1777" priority="77">
      <formula>IF(#REF!="N",TRUE,FALSE)</formula>
    </cfRule>
  </conditionalFormatting>
  <conditionalFormatting sqref="I89:I94">
    <cfRule type="expression" dxfId="1776" priority="76">
      <formula>IF(#REF!="N",TRUE,FALSE)</formula>
    </cfRule>
  </conditionalFormatting>
  <conditionalFormatting sqref="I95">
    <cfRule type="expression" dxfId="1775" priority="75">
      <formula>IF(#REF!="N",TRUE,FALSE)</formula>
    </cfRule>
  </conditionalFormatting>
  <conditionalFormatting sqref="I95">
    <cfRule type="expression" dxfId="1774" priority="74">
      <formula>IF(#REF!="N",TRUE,FALSE)</formula>
    </cfRule>
  </conditionalFormatting>
  <conditionalFormatting sqref="I95">
    <cfRule type="expression" dxfId="1773" priority="73">
      <formula>IF(#REF!="N",TRUE,FALSE)</formula>
    </cfRule>
  </conditionalFormatting>
  <conditionalFormatting sqref="H95">
    <cfRule type="expression" dxfId="1772" priority="72">
      <formula>IF(#REF!="N",TRUE,FALSE)</formula>
    </cfRule>
  </conditionalFormatting>
  <conditionalFormatting sqref="H95">
    <cfRule type="expression" dxfId="1771" priority="71">
      <formula>IF(#REF!="N",TRUE,FALSE)</formula>
    </cfRule>
  </conditionalFormatting>
  <conditionalFormatting sqref="H95">
    <cfRule type="expression" dxfId="1770" priority="70">
      <formula>IF(#REF!="N",TRUE,FALSE)</formula>
    </cfRule>
  </conditionalFormatting>
  <conditionalFormatting sqref="H95">
    <cfRule type="expression" dxfId="1769" priority="69">
      <formula>IF(#REF!="N",TRUE,FALSE)</formula>
    </cfRule>
  </conditionalFormatting>
  <conditionalFormatting sqref="S95">
    <cfRule type="expression" dxfId="1768" priority="68">
      <formula>IF(#REF!="N",TRUE,FALSE)</formula>
    </cfRule>
  </conditionalFormatting>
  <conditionalFormatting sqref="S95">
    <cfRule type="expression" dxfId="1767" priority="67">
      <formula>IF(#REF!="N",TRUE,FALSE)</formula>
    </cfRule>
  </conditionalFormatting>
  <conditionalFormatting sqref="S95">
    <cfRule type="expression" dxfId="1766" priority="66">
      <formula>IF(#REF!="N",TRUE,FALSE)</formula>
    </cfRule>
  </conditionalFormatting>
  <conditionalFormatting sqref="R89:R94">
    <cfRule type="expression" dxfId="1765" priority="65">
      <formula>IF(#REF!="N",TRUE,FALSE)</formula>
    </cfRule>
  </conditionalFormatting>
  <conditionalFormatting sqref="R89:R94">
    <cfRule type="expression" dxfId="1764" priority="64">
      <formula>IF(#REF!="N",TRUE,FALSE)</formula>
    </cfRule>
  </conditionalFormatting>
  <conditionalFormatting sqref="S89:S94">
    <cfRule type="expression" dxfId="1763" priority="63">
      <formula>IF(#REF!="N",TRUE,FALSE)</formula>
    </cfRule>
  </conditionalFormatting>
  <conditionalFormatting sqref="S89:S94">
    <cfRule type="expression" dxfId="1762" priority="62">
      <formula>IF(#REF!="N",TRUE,FALSE)</formula>
    </cfRule>
  </conditionalFormatting>
  <conditionalFormatting sqref="S89:S94">
    <cfRule type="expression" dxfId="1761" priority="61">
      <formula>IF(#REF!="N",TRUE,FALSE)</formula>
    </cfRule>
  </conditionalFormatting>
  <conditionalFormatting sqref="J89:J94">
    <cfRule type="expression" dxfId="1760" priority="60">
      <formula>IF(#REF!="N",TRUE,FALSE)</formula>
    </cfRule>
  </conditionalFormatting>
  <conditionalFormatting sqref="J89:J94">
    <cfRule type="expression" dxfId="1759" priority="59">
      <formula>IF(#REF!="N",TRUE,FALSE)</formula>
    </cfRule>
  </conditionalFormatting>
  <conditionalFormatting sqref="K89:K93">
    <cfRule type="expression" dxfId="1758" priority="58">
      <formula>IF(#REF!="N",TRUE,FALSE)</formula>
    </cfRule>
  </conditionalFormatting>
  <conditionalFormatting sqref="K89:K93">
    <cfRule type="expression" dxfId="1757" priority="57">
      <formula>IF(#REF!="N",TRUE,FALSE)</formula>
    </cfRule>
  </conditionalFormatting>
  <conditionalFormatting sqref="K89:K93">
    <cfRule type="expression" dxfId="1756" priority="56">
      <formula>IF(#REF!="N",TRUE,FALSE)</formula>
    </cfRule>
  </conditionalFormatting>
  <conditionalFormatting sqref="K95">
    <cfRule type="expression" dxfId="1755" priority="55">
      <formula>IF(#REF!="N",TRUE,FALSE)</formula>
    </cfRule>
  </conditionalFormatting>
  <conditionalFormatting sqref="K95">
    <cfRule type="expression" dxfId="1754" priority="54">
      <formula>IF(#REF!="N",TRUE,FALSE)</formula>
    </cfRule>
  </conditionalFormatting>
  <conditionalFormatting sqref="K95">
    <cfRule type="expression" dxfId="1753" priority="53">
      <formula>IF(#REF!="N",TRUE,FALSE)</formula>
    </cfRule>
  </conditionalFormatting>
  <conditionalFormatting sqref="J95">
    <cfRule type="expression" dxfId="1752" priority="52">
      <formula>IF(#REF!="N",TRUE,FALSE)</formula>
    </cfRule>
  </conditionalFormatting>
  <conditionalFormatting sqref="J95">
    <cfRule type="expression" dxfId="1751" priority="51">
      <formula>IF(#REF!="N",TRUE,FALSE)</formula>
    </cfRule>
  </conditionalFormatting>
  <conditionalFormatting sqref="J95">
    <cfRule type="expression" dxfId="1750" priority="50">
      <formula>IF(#REF!="N",TRUE,FALSE)</formula>
    </cfRule>
  </conditionalFormatting>
  <conditionalFormatting sqref="J95">
    <cfRule type="expression" dxfId="1749" priority="49">
      <formula>IF(#REF!="N",TRUE,FALSE)</formula>
    </cfRule>
  </conditionalFormatting>
  <conditionalFormatting sqref="L89:L94">
    <cfRule type="expression" dxfId="1748" priority="48">
      <formula>IF(#REF!="N",TRUE,FALSE)</formula>
    </cfRule>
  </conditionalFormatting>
  <conditionalFormatting sqref="L89:L94">
    <cfRule type="expression" dxfId="1747" priority="47">
      <formula>IF(#REF!="N",TRUE,FALSE)</formula>
    </cfRule>
  </conditionalFormatting>
  <conditionalFormatting sqref="M89:M93">
    <cfRule type="expression" dxfId="1746" priority="46">
      <formula>IF(#REF!="N",TRUE,FALSE)</formula>
    </cfRule>
  </conditionalFormatting>
  <conditionalFormatting sqref="M89:M93">
    <cfRule type="expression" dxfId="1745" priority="45">
      <formula>IF(#REF!="N",TRUE,FALSE)</formula>
    </cfRule>
  </conditionalFormatting>
  <conditionalFormatting sqref="M89:M93">
    <cfRule type="expression" dxfId="1744" priority="44">
      <formula>IF(#REF!="N",TRUE,FALSE)</formula>
    </cfRule>
  </conditionalFormatting>
  <conditionalFormatting sqref="M95">
    <cfRule type="expression" dxfId="1743" priority="43">
      <formula>IF(#REF!="N",TRUE,FALSE)</formula>
    </cfRule>
  </conditionalFormatting>
  <conditionalFormatting sqref="M95">
    <cfRule type="expression" dxfId="1742" priority="42">
      <formula>IF(#REF!="N",TRUE,FALSE)</formula>
    </cfRule>
  </conditionalFormatting>
  <conditionalFormatting sqref="M95">
    <cfRule type="expression" dxfId="1741" priority="41">
      <formula>IF(#REF!="N",TRUE,FALSE)</formula>
    </cfRule>
  </conditionalFormatting>
  <conditionalFormatting sqref="L95">
    <cfRule type="expression" dxfId="1740" priority="40">
      <formula>IF(#REF!="N",TRUE,FALSE)</formula>
    </cfRule>
  </conditionalFormatting>
  <conditionalFormatting sqref="L95">
    <cfRule type="expression" dxfId="1739" priority="39">
      <formula>IF(#REF!="N",TRUE,FALSE)</formula>
    </cfRule>
  </conditionalFormatting>
  <conditionalFormatting sqref="L95">
    <cfRule type="expression" dxfId="1738" priority="38">
      <formula>IF(#REF!="N",TRUE,FALSE)</formula>
    </cfRule>
  </conditionalFormatting>
  <conditionalFormatting sqref="L95">
    <cfRule type="expression" dxfId="1737" priority="37">
      <formula>IF(#REF!="N",TRUE,FALSE)</formula>
    </cfRule>
  </conditionalFormatting>
  <conditionalFormatting sqref="N89:N94">
    <cfRule type="expression" dxfId="1736" priority="36">
      <formula>IF(#REF!="N",TRUE,FALSE)</formula>
    </cfRule>
  </conditionalFormatting>
  <conditionalFormatting sqref="N89:N94">
    <cfRule type="expression" dxfId="1735" priority="35">
      <formula>IF(#REF!="N",TRUE,FALSE)</formula>
    </cfRule>
  </conditionalFormatting>
  <conditionalFormatting sqref="O89:O93">
    <cfRule type="expression" dxfId="1734" priority="34">
      <formula>IF(#REF!="N",TRUE,FALSE)</formula>
    </cfRule>
  </conditionalFormatting>
  <conditionalFormatting sqref="O89:O93">
    <cfRule type="expression" dxfId="1733" priority="33">
      <formula>IF(#REF!="N",TRUE,FALSE)</formula>
    </cfRule>
  </conditionalFormatting>
  <conditionalFormatting sqref="O89:O93">
    <cfRule type="expression" dxfId="1732" priority="32">
      <formula>IF(#REF!="N",TRUE,FALSE)</formula>
    </cfRule>
  </conditionalFormatting>
  <conditionalFormatting sqref="O95">
    <cfRule type="expression" dxfId="1731" priority="31">
      <formula>IF(#REF!="N",TRUE,FALSE)</formula>
    </cfRule>
  </conditionalFormatting>
  <conditionalFormatting sqref="O95">
    <cfRule type="expression" dxfId="1730" priority="30">
      <formula>IF(#REF!="N",TRUE,FALSE)</formula>
    </cfRule>
  </conditionalFormatting>
  <conditionalFormatting sqref="O95">
    <cfRule type="expression" dxfId="1729" priority="29">
      <formula>IF(#REF!="N",TRUE,FALSE)</formula>
    </cfRule>
  </conditionalFormatting>
  <conditionalFormatting sqref="N95">
    <cfRule type="expression" dxfId="1728" priority="28">
      <formula>IF(#REF!="N",TRUE,FALSE)</formula>
    </cfRule>
  </conditionalFormatting>
  <conditionalFormatting sqref="N95">
    <cfRule type="expression" dxfId="1727" priority="27">
      <formula>IF(#REF!="N",TRUE,FALSE)</formula>
    </cfRule>
  </conditionalFormatting>
  <conditionalFormatting sqref="N95">
    <cfRule type="expression" dxfId="1726" priority="26">
      <formula>IF(#REF!="N",TRUE,FALSE)</formula>
    </cfRule>
  </conditionalFormatting>
  <conditionalFormatting sqref="N95">
    <cfRule type="expression" dxfId="1725" priority="25">
      <formula>IF(#REF!="N",TRUE,FALSE)</formula>
    </cfRule>
  </conditionalFormatting>
  <conditionalFormatting sqref="P89:P94">
    <cfRule type="expression" dxfId="1724" priority="24">
      <formula>IF(#REF!="N",TRUE,FALSE)</formula>
    </cfRule>
  </conditionalFormatting>
  <conditionalFormatting sqref="P89:P94">
    <cfRule type="expression" dxfId="1723" priority="23">
      <formula>IF(#REF!="N",TRUE,FALSE)</formula>
    </cfRule>
  </conditionalFormatting>
  <conditionalFormatting sqref="Q89:Q93">
    <cfRule type="expression" dxfId="1722" priority="22">
      <formula>IF(#REF!="N",TRUE,FALSE)</formula>
    </cfRule>
  </conditionalFormatting>
  <conditionalFormatting sqref="Q89:Q93">
    <cfRule type="expression" dxfId="1721" priority="21">
      <formula>IF(#REF!="N",TRUE,FALSE)</formula>
    </cfRule>
  </conditionalFormatting>
  <conditionalFormatting sqref="Q89:Q93">
    <cfRule type="expression" dxfId="1720" priority="20">
      <formula>IF(#REF!="N",TRUE,FALSE)</formula>
    </cfRule>
  </conditionalFormatting>
  <conditionalFormatting sqref="Q95">
    <cfRule type="expression" dxfId="1719" priority="19">
      <formula>IF(#REF!="N",TRUE,FALSE)</formula>
    </cfRule>
  </conditionalFormatting>
  <conditionalFormatting sqref="Q95">
    <cfRule type="expression" dxfId="1718" priority="18">
      <formula>IF(#REF!="N",TRUE,FALSE)</formula>
    </cfRule>
  </conditionalFormatting>
  <conditionalFormatting sqref="Q95">
    <cfRule type="expression" dxfId="1717" priority="17">
      <formula>IF(#REF!="N",TRUE,FALSE)</formula>
    </cfRule>
  </conditionalFormatting>
  <conditionalFormatting sqref="P95">
    <cfRule type="expression" dxfId="1716" priority="16">
      <formula>IF(#REF!="N",TRUE,FALSE)</formula>
    </cfRule>
  </conditionalFormatting>
  <conditionalFormatting sqref="P95">
    <cfRule type="expression" dxfId="1715" priority="15">
      <formula>IF(#REF!="N",TRUE,FALSE)</formula>
    </cfRule>
  </conditionalFormatting>
  <conditionalFormatting sqref="P95">
    <cfRule type="expression" dxfId="1714" priority="14">
      <formula>IF(#REF!="N",TRUE,FALSE)</formula>
    </cfRule>
  </conditionalFormatting>
  <conditionalFormatting sqref="P95">
    <cfRule type="expression" dxfId="1713" priority="13">
      <formula>IF(#REF!="N",TRUE,FALSE)</formula>
    </cfRule>
  </conditionalFormatting>
  <conditionalFormatting sqref="K94">
    <cfRule type="expression" dxfId="1712" priority="12">
      <formula>IF(#REF!="N",TRUE,FALSE)</formula>
    </cfRule>
  </conditionalFormatting>
  <conditionalFormatting sqref="K94">
    <cfRule type="expression" dxfId="1711" priority="11">
      <formula>IF(#REF!="N",TRUE,FALSE)</formula>
    </cfRule>
  </conditionalFormatting>
  <conditionalFormatting sqref="K94">
    <cfRule type="expression" dxfId="1710" priority="10">
      <formula>IF(#REF!="N",TRUE,FALSE)</formula>
    </cfRule>
  </conditionalFormatting>
  <conditionalFormatting sqref="M94">
    <cfRule type="expression" dxfId="1709" priority="9">
      <formula>IF(#REF!="N",TRUE,FALSE)</formula>
    </cfRule>
  </conditionalFormatting>
  <conditionalFormatting sqref="M94">
    <cfRule type="expression" dxfId="1708" priority="8">
      <formula>IF(#REF!="N",TRUE,FALSE)</formula>
    </cfRule>
  </conditionalFormatting>
  <conditionalFormatting sqref="M94">
    <cfRule type="expression" dxfId="1707" priority="7">
      <formula>IF(#REF!="N",TRUE,FALSE)</formula>
    </cfRule>
  </conditionalFormatting>
  <conditionalFormatting sqref="O94">
    <cfRule type="expression" dxfId="1706" priority="6">
      <formula>IF(#REF!="N",TRUE,FALSE)</formula>
    </cfRule>
  </conditionalFormatting>
  <conditionalFormatting sqref="O94">
    <cfRule type="expression" dxfId="1705" priority="5">
      <formula>IF(#REF!="N",TRUE,FALSE)</formula>
    </cfRule>
  </conditionalFormatting>
  <conditionalFormatting sqref="O94">
    <cfRule type="expression" dxfId="1704" priority="4">
      <formula>IF(#REF!="N",TRUE,FALSE)</formula>
    </cfRule>
  </conditionalFormatting>
  <conditionalFormatting sqref="Q94">
    <cfRule type="expression" dxfId="1703" priority="3">
      <formula>IF(#REF!="N",TRUE,FALSE)</formula>
    </cfRule>
  </conditionalFormatting>
  <conditionalFormatting sqref="Q94">
    <cfRule type="expression" dxfId="1702" priority="2">
      <formula>IF(#REF!="N",TRUE,FALSE)</formula>
    </cfRule>
  </conditionalFormatting>
  <conditionalFormatting sqref="Q94">
    <cfRule type="expression" dxfId="1701" priority="1">
      <formula>IF(#REF!="N",TRUE,FALSE)</formula>
    </cfRule>
  </conditionalFormatting>
  <dataValidations disablePrompts="1" count="2">
    <dataValidation operator="greaterThanOrEqual" allowBlank="1" showInputMessage="1" showErrorMessage="1" error="Dealer cash adjustment factor should be greater than or equal to 1.0!" sqref="H104:S104" xr:uid="{00000000-0002-0000-0500-000000000000}"/>
    <dataValidation type="list" allowBlank="1" showInputMessage="1" showErrorMessage="1" sqref="I28 S28 K28 M28 O28 Q28" xr:uid="{00000000-0002-0000-0500-000001000000}">
      <formula1>"TOI,TOS"</formula1>
    </dataValidation>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2000000}">
          <x14:formula1>
            <xm:f>Lookup!$B$13:$B$377</xm:f>
          </x14:formula1>
          <xm:sqref>H12:S12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3" tint="0.39997558519241921"/>
  </sheetPr>
  <dimension ref="A1:HM79"/>
  <sheetViews>
    <sheetView showGridLines="0" topLeftCell="BP20" zoomScale="70" zoomScaleNormal="70" workbookViewId="0">
      <selection activeCell="CQ40" sqref="CQ40"/>
    </sheetView>
  </sheetViews>
  <sheetFormatPr defaultColWidth="9.140625" defaultRowHeight="12.75" outlineLevelCol="1"/>
  <cols>
    <col min="1" max="1" width="12" style="58" customWidth="1"/>
    <col min="2" max="2" width="9.7109375" style="58" customWidth="1"/>
    <col min="3" max="3" width="11" style="58" customWidth="1"/>
    <col min="4" max="4" width="67" style="58" customWidth="1"/>
    <col min="5" max="5" width="12.7109375" style="58" customWidth="1"/>
    <col min="6" max="6" width="16.140625" style="58" customWidth="1"/>
    <col min="7" max="8" width="14.42578125" style="58" customWidth="1"/>
    <col min="9" max="9" width="12.42578125" style="58" customWidth="1"/>
    <col min="10" max="15" width="9.7109375" style="386" customWidth="1"/>
    <col min="16" max="16" width="10" style="386" customWidth="1"/>
    <col min="17" max="17" width="8.85546875" style="58" customWidth="1"/>
    <col min="18" max="18" width="6.7109375" style="387" customWidth="1"/>
    <col min="19" max="19" width="10.7109375" style="387" customWidth="1"/>
    <col min="20" max="22" width="6.7109375" style="387" customWidth="1"/>
    <col min="23" max="23" width="10.140625" style="387" customWidth="1"/>
    <col min="24" max="24" width="10" style="386" customWidth="1"/>
    <col min="25" max="26" width="13" style="58" customWidth="1"/>
    <col min="27" max="28" width="10.85546875" style="58" customWidth="1"/>
    <col min="29" max="36" width="9.28515625" style="58" customWidth="1"/>
    <col min="37" max="38" width="13" style="58" customWidth="1"/>
    <col min="39" max="39" width="18.7109375" style="58" customWidth="1"/>
    <col min="40" max="40" width="21.85546875" style="58" customWidth="1"/>
    <col min="41" max="41" width="18.42578125" style="58" customWidth="1"/>
    <col min="42" max="42" width="16" style="58" customWidth="1"/>
    <col min="43" max="43" width="13" style="58" customWidth="1"/>
    <col min="44" max="44" width="10.5703125" style="58" customWidth="1"/>
    <col min="45" max="45" width="6.28515625" style="60" customWidth="1"/>
    <col min="46" max="46" width="11.5703125" style="123" customWidth="1"/>
    <col min="47" max="47" width="6.85546875" style="96" customWidth="1"/>
    <col min="48" max="48" width="12.5703125" style="96" customWidth="1"/>
    <col min="49" max="49" width="8.28515625" style="96" bestFit="1" customWidth="1"/>
    <col min="50" max="50" width="15.85546875" style="96" customWidth="1"/>
    <col min="51" max="51" width="26.28515625" style="96" customWidth="1"/>
    <col min="52" max="52" width="18" style="96" bestFit="1" customWidth="1"/>
    <col min="53" max="53" width="6.5703125" style="123" customWidth="1"/>
    <col min="54" max="54" width="11" style="123" customWidth="1"/>
    <col min="55" max="55" width="16.140625" style="123" customWidth="1"/>
    <col min="56" max="57" width="6" style="123" bestFit="1" customWidth="1"/>
    <col min="58" max="60" width="7" style="123" bestFit="1" customWidth="1"/>
    <col min="61" max="63" width="6" style="123" bestFit="1" customWidth="1"/>
    <col min="64" max="65" width="7" style="123" bestFit="1" customWidth="1"/>
    <col min="66" max="69" width="10" style="123" bestFit="1" customWidth="1"/>
    <col min="70" max="70" width="11" style="123" bestFit="1" customWidth="1"/>
    <col min="71" max="73" width="12" style="123" bestFit="1" customWidth="1"/>
    <col min="74" max="74" width="11.7109375" style="123" customWidth="1"/>
    <col min="75" max="76" width="12" style="123" bestFit="1" customWidth="1"/>
    <col min="77" max="81" width="6" style="123" customWidth="1"/>
    <col min="82" max="86" width="7.140625" style="123" customWidth="1"/>
    <col min="87" max="87" width="12.7109375" style="123" bestFit="1" customWidth="1"/>
    <col min="88" max="88" width="11.140625" style="97" customWidth="1"/>
    <col min="89" max="93" width="9.140625" style="123" customWidth="1"/>
    <col min="94" max="94" width="12.140625" style="123" customWidth="1"/>
    <col min="95" max="99" width="9.140625" style="123" customWidth="1"/>
    <col min="100" max="100" width="14.7109375" style="123" customWidth="1"/>
    <col min="101" max="105" width="9.140625" style="123" customWidth="1"/>
    <col min="106" max="106" width="13.28515625" style="123" customWidth="1"/>
    <col min="107" max="109" width="11.140625" style="123" customWidth="1"/>
    <col min="110" max="114" width="9.140625" style="123" customWidth="1"/>
    <col min="115" max="116" width="9.7109375" style="123" customWidth="1"/>
    <col min="117" max="117" width="11.140625" style="123" customWidth="1"/>
    <col min="118" max="127" width="11.85546875" style="123" customWidth="1"/>
    <col min="128" max="128" width="6.7109375" style="59" customWidth="1"/>
    <col min="129" max="129" width="10" style="123" customWidth="1" collapsed="1"/>
    <col min="130" max="131" width="9.140625" style="123" customWidth="1"/>
    <col min="132" max="136" width="9.140625" style="123" hidden="1" customWidth="1" outlineLevel="1"/>
    <col min="137" max="137" width="12.5703125" style="123" customWidth="1" collapsed="1"/>
    <col min="138" max="142" width="9.140625" style="123" hidden="1" customWidth="1" outlineLevel="1"/>
    <col min="143" max="143" width="9.140625" style="123" customWidth="1" collapsed="1"/>
    <col min="144" max="148" width="9.140625" style="123" hidden="1" customWidth="1" outlineLevel="1"/>
    <col min="149" max="149" width="9.140625" style="123" customWidth="1" collapsed="1"/>
    <col min="150" max="150" width="9.140625" style="123" customWidth="1"/>
    <col min="151" max="154" width="12" style="123" customWidth="1"/>
    <col min="155" max="155" width="13.42578125" style="123" customWidth="1"/>
    <col min="156" max="156" width="10.5703125" style="123" customWidth="1"/>
    <col min="157" max="157" width="12.5703125" style="123" customWidth="1"/>
    <col min="158" max="162" width="10.28515625" style="123" hidden="1" customWidth="1" outlineLevel="1"/>
    <col min="163" max="163" width="11" style="123" customWidth="1" collapsed="1"/>
    <col min="164" max="167" width="12.5703125" style="123" hidden="1" customWidth="1" outlineLevel="1"/>
    <col min="168" max="168" width="13" style="123" hidden="1" customWidth="1" outlineLevel="1"/>
    <col min="169" max="169" width="11.42578125" style="123" customWidth="1" collapsed="1"/>
    <col min="170" max="174" width="10.42578125" style="123" hidden="1" customWidth="1" outlineLevel="1"/>
    <col min="175" max="175" width="11.140625" style="123" customWidth="1" collapsed="1"/>
    <col min="176" max="178" width="10.42578125" style="123" customWidth="1"/>
    <col min="179" max="179" width="13.42578125" style="123" customWidth="1"/>
    <col min="180" max="180" width="13.7109375" style="123" customWidth="1"/>
    <col min="181" max="181" width="11.42578125" style="123" customWidth="1"/>
    <col min="182" max="184" width="11.42578125" style="123" hidden="1" customWidth="1"/>
    <col min="185" max="190" width="9.140625" style="123" hidden="1" customWidth="1"/>
    <col min="191" max="191" width="14.5703125" style="123" hidden="1" customWidth="1"/>
    <col min="192" max="195" width="9.140625" style="123" hidden="1" customWidth="1"/>
    <col min="196" max="196" width="4.42578125" style="58" hidden="1" customWidth="1"/>
    <col min="197" max="203" width="15.140625" style="58" hidden="1" customWidth="1"/>
    <col min="204" max="204" width="12" style="123" hidden="1" customWidth="1"/>
    <col min="205" max="205" width="11.7109375" style="58" hidden="1" customWidth="1"/>
    <col min="206" max="209" width="9.140625" style="58" hidden="1" customWidth="1"/>
    <col min="210" max="210" width="9.140625" style="123" hidden="1" customWidth="1"/>
    <col min="211" max="211" width="10.7109375" style="58" hidden="1" customWidth="1"/>
    <col min="212" max="215" width="9.140625" style="58" hidden="1" customWidth="1"/>
    <col min="216" max="216" width="9.140625" style="123" hidden="1" customWidth="1"/>
    <col min="217" max="217" width="4" style="58" bestFit="1" customWidth="1"/>
    <col min="218" max="220" width="13.5703125" style="59" customWidth="1" outlineLevel="1"/>
    <col min="221" max="221" width="18.28515625" style="123" customWidth="1"/>
    <col min="222" max="16384" width="9.140625" style="58"/>
  </cols>
  <sheetData>
    <row r="1" spans="1:221" s="56" customFormat="1" ht="18.75">
      <c r="A1" s="307" t="s">
        <v>717</v>
      </c>
      <c r="C1" s="307"/>
      <c r="G1" s="55"/>
      <c r="H1" s="55"/>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9"/>
      <c r="HK1" s="59"/>
      <c r="HL1" s="59"/>
      <c r="HM1" s="123"/>
    </row>
    <row r="2" spans="1:221" s="56" customFormat="1" ht="18.75">
      <c r="A2" s="521" t="s">
        <v>768</v>
      </c>
      <c r="C2" s="303"/>
      <c r="D2" s="303"/>
      <c r="E2" s="11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Q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9"/>
      <c r="HK2" s="59"/>
      <c r="HL2" s="59"/>
      <c r="HM2" s="123"/>
    </row>
    <row r="3" spans="1:221" s="56" customFormat="1" ht="18.75">
      <c r="A3" s="521" t="s">
        <v>718</v>
      </c>
      <c r="B3" s="522"/>
      <c r="C3" s="303"/>
      <c r="D3" s="303"/>
      <c r="E3" s="303"/>
      <c r="F3" s="303"/>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Q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9"/>
      <c r="HK3" s="59"/>
      <c r="HL3" s="59"/>
      <c r="HM3" s="123"/>
    </row>
    <row r="4" spans="1:221" s="56" customFormat="1" ht="18.75">
      <c r="A4" s="521" t="s">
        <v>720</v>
      </c>
      <c r="B4" s="62"/>
      <c r="C4" s="62"/>
      <c r="D4" s="62"/>
      <c r="E4" s="62"/>
      <c r="F4" s="62"/>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9"/>
      <c r="HK4" s="59"/>
      <c r="HL4" s="59"/>
      <c r="HM4" s="123"/>
    </row>
    <row r="5" spans="1:221" s="56" customFormat="1" ht="18.75">
      <c r="A5" s="521" t="s">
        <v>719</v>
      </c>
      <c r="B5" s="62"/>
      <c r="C5" s="62"/>
      <c r="D5" s="62"/>
      <c r="E5" s="62"/>
      <c r="F5" s="62"/>
      <c r="G5" s="62"/>
      <c r="H5" s="62"/>
      <c r="I5" s="62"/>
      <c r="AS5" s="60"/>
      <c r="AU5" s="98"/>
      <c r="AV5" s="57"/>
      <c r="AW5" s="98"/>
      <c r="AX5" s="98"/>
      <c r="AY5" s="98"/>
      <c r="AZ5" s="98"/>
      <c r="BA5" s="57"/>
      <c r="BB5" s="57"/>
      <c r="BC5" s="57"/>
      <c r="BD5" s="57"/>
      <c r="BE5" s="57"/>
      <c r="BF5" s="57"/>
      <c r="BG5" s="57"/>
      <c r="BH5" s="57"/>
      <c r="BI5" s="57"/>
      <c r="BJ5" s="57"/>
      <c r="BK5" s="57"/>
      <c r="BL5" s="57"/>
      <c r="BM5" s="57"/>
      <c r="BN5" s="57"/>
      <c r="BO5" s="57"/>
      <c r="BP5" s="57"/>
      <c r="BQ5" s="57"/>
      <c r="BR5" s="57"/>
      <c r="BS5" s="57"/>
      <c r="BT5" s="57"/>
      <c r="BU5" s="57"/>
      <c r="BV5" s="57"/>
      <c r="BW5" s="57"/>
      <c r="BX5" s="57"/>
      <c r="BY5" s="57"/>
      <c r="BZ5" s="57"/>
      <c r="CA5" s="57"/>
      <c r="CB5" s="57"/>
      <c r="CC5" s="57"/>
      <c r="CD5" s="57"/>
      <c r="CE5" s="57"/>
      <c r="CF5" s="57"/>
      <c r="CG5" s="57"/>
      <c r="CH5" s="57"/>
      <c r="CI5" s="57"/>
      <c r="CJ5" s="55"/>
      <c r="CK5" s="57"/>
      <c r="CL5" s="57"/>
      <c r="CM5" s="57"/>
      <c r="CN5" s="57"/>
      <c r="CO5" s="57"/>
      <c r="CP5" s="57"/>
      <c r="CQ5" s="57"/>
      <c r="CR5" s="57"/>
      <c r="CS5" s="57"/>
      <c r="CT5" s="57"/>
      <c r="CU5" s="57"/>
      <c r="CV5" s="57"/>
      <c r="CW5" s="57"/>
      <c r="CX5" s="57"/>
      <c r="CY5" s="57"/>
      <c r="CZ5" s="57"/>
      <c r="DA5" s="57"/>
      <c r="DB5" s="57"/>
      <c r="DC5" s="57"/>
      <c r="DD5" s="57"/>
      <c r="DE5" s="57"/>
      <c r="DF5" s="57"/>
      <c r="DG5" s="57"/>
      <c r="DH5" s="57"/>
      <c r="DI5" s="57"/>
      <c r="DJ5" s="57"/>
      <c r="DK5" s="57"/>
      <c r="DL5" s="57"/>
      <c r="DM5" s="57"/>
      <c r="DN5" s="57"/>
      <c r="DO5" s="57"/>
      <c r="DP5" s="57"/>
      <c r="DQ5" s="57"/>
      <c r="DR5" s="57"/>
      <c r="DS5" s="57"/>
      <c r="DT5" s="57"/>
      <c r="DU5" s="57"/>
      <c r="DV5" s="57"/>
      <c r="DW5" s="57"/>
      <c r="DX5" s="331"/>
      <c r="DY5" s="57"/>
      <c r="DZ5" s="57"/>
      <c r="EA5" s="57"/>
      <c r="EB5" s="57"/>
      <c r="EC5" s="57"/>
      <c r="ED5" s="57"/>
      <c r="EE5" s="57"/>
      <c r="EF5" s="57"/>
      <c r="EG5" s="57"/>
      <c r="EH5" s="57"/>
      <c r="EI5" s="57"/>
      <c r="EJ5" s="57"/>
      <c r="EK5" s="57"/>
      <c r="EL5" s="57"/>
      <c r="EM5" s="57"/>
      <c r="EN5" s="57"/>
      <c r="EO5" s="57"/>
      <c r="EP5" s="57"/>
      <c r="EQ5" s="57"/>
      <c r="ER5" s="57"/>
      <c r="ES5" s="57"/>
      <c r="ET5" s="57"/>
      <c r="EU5" s="57"/>
      <c r="EV5" s="57"/>
      <c r="EW5" s="57"/>
      <c r="EX5" s="57"/>
      <c r="EY5" s="57"/>
      <c r="EZ5" s="57"/>
      <c r="FA5" s="57"/>
      <c r="FB5" s="57"/>
      <c r="FC5" s="57"/>
      <c r="FD5" s="57"/>
      <c r="FE5" s="57"/>
      <c r="FF5" s="57"/>
      <c r="FG5" s="57"/>
      <c r="FH5" s="57"/>
      <c r="FI5" s="57"/>
      <c r="FJ5" s="57"/>
      <c r="FK5" s="57"/>
      <c r="FL5" s="57"/>
      <c r="FM5" s="57"/>
      <c r="FN5" s="57"/>
      <c r="FO5" s="57"/>
      <c r="FP5" s="57"/>
      <c r="FQ5" s="57"/>
      <c r="FR5" s="57"/>
      <c r="FS5" s="57"/>
      <c r="FT5" s="57"/>
      <c r="FU5" s="57"/>
      <c r="FV5" s="57"/>
      <c r="FW5" s="57"/>
      <c r="FX5" s="57"/>
      <c r="FY5" s="57"/>
      <c r="FZ5" s="57"/>
      <c r="GA5" s="57"/>
      <c r="GB5" s="57"/>
      <c r="GC5" s="57"/>
      <c r="GD5" s="57"/>
      <c r="GE5" s="57"/>
      <c r="GF5" s="57"/>
      <c r="GG5" s="57"/>
      <c r="GH5" s="57"/>
      <c r="GI5" s="57"/>
      <c r="GJ5" s="57"/>
      <c r="GK5" s="57"/>
      <c r="GL5" s="57"/>
      <c r="GM5" s="57"/>
      <c r="GV5" s="57"/>
      <c r="HB5" s="57"/>
      <c r="HH5" s="57"/>
      <c r="HI5" s="58"/>
      <c r="HJ5" s="59"/>
      <c r="HK5" s="59"/>
      <c r="HL5" s="59"/>
      <c r="HM5" s="123"/>
    </row>
    <row r="6" spans="1:221" s="56" customFormat="1" ht="18.75">
      <c r="A6" s="307"/>
      <c r="B6" s="62"/>
      <c r="C6" s="62"/>
      <c r="D6" s="62"/>
      <c r="E6" s="62"/>
      <c r="F6" s="62"/>
      <c r="G6" s="62"/>
      <c r="H6" s="62"/>
      <c r="I6" s="62"/>
      <c r="AS6" s="60"/>
      <c r="AU6" s="98"/>
      <c r="AV6" s="57"/>
      <c r="AW6" s="98"/>
      <c r="AX6" s="98"/>
      <c r="AY6" s="98"/>
      <c r="AZ6" s="98"/>
      <c r="BA6" s="57"/>
      <c r="BB6" s="57"/>
      <c r="BC6" s="57"/>
      <c r="BD6" s="57"/>
      <c r="BE6" s="57"/>
      <c r="BF6" s="57"/>
      <c r="BG6" s="57"/>
      <c r="BH6" s="57"/>
      <c r="BI6" s="57"/>
      <c r="BJ6" s="57"/>
      <c r="BK6" s="57"/>
      <c r="BL6" s="57"/>
      <c r="BM6" s="57"/>
      <c r="BN6" s="57"/>
      <c r="BO6" s="57"/>
      <c r="BP6" s="57"/>
      <c r="BQ6" s="57"/>
      <c r="BR6" s="57"/>
      <c r="BS6" s="57"/>
      <c r="BT6" s="57"/>
      <c r="BU6" s="57"/>
      <c r="BV6" s="57"/>
      <c r="BW6" s="57"/>
      <c r="BX6" s="57"/>
      <c r="BY6" s="57"/>
      <c r="BZ6" s="57"/>
      <c r="CA6" s="57"/>
      <c r="CB6" s="57"/>
      <c r="CC6" s="57"/>
      <c r="CD6" s="57"/>
      <c r="CE6" s="57"/>
      <c r="CF6" s="57"/>
      <c r="CG6" s="57"/>
      <c r="CH6" s="57"/>
      <c r="CI6" s="57"/>
      <c r="CJ6" s="55"/>
      <c r="CK6" s="57"/>
      <c r="CL6" s="57"/>
      <c r="CM6" s="57"/>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331"/>
      <c r="DY6" s="57"/>
      <c r="DZ6" s="57"/>
      <c r="EA6" s="57"/>
      <c r="EB6" s="57"/>
      <c r="EC6" s="57"/>
      <c r="ED6" s="57"/>
      <c r="EE6" s="57"/>
      <c r="EF6" s="57"/>
      <c r="EG6" s="57"/>
      <c r="EH6" s="57"/>
      <c r="EI6" s="57"/>
      <c r="EJ6" s="57"/>
      <c r="EK6" s="57"/>
      <c r="EL6" s="57"/>
      <c r="EM6" s="57"/>
      <c r="EN6" s="57"/>
      <c r="EO6" s="57"/>
      <c r="EP6" s="57"/>
      <c r="EQ6" s="57"/>
      <c r="ER6" s="57"/>
      <c r="ES6" s="57"/>
      <c r="ET6" s="57"/>
      <c r="EU6" s="57"/>
      <c r="EV6" s="57"/>
      <c r="EW6" s="57"/>
      <c r="EX6" s="57"/>
      <c r="EY6" s="57"/>
      <c r="EZ6" s="57"/>
      <c r="FA6" s="57"/>
      <c r="FB6" s="57"/>
      <c r="FC6" s="57"/>
      <c r="FD6" s="57"/>
      <c r="FE6" s="57"/>
      <c r="FF6" s="57"/>
      <c r="FG6" s="57"/>
      <c r="FH6" s="57"/>
      <c r="FI6" s="57"/>
      <c r="FJ6" s="57"/>
      <c r="FK6" s="57"/>
      <c r="FL6" s="57"/>
      <c r="FM6" s="57"/>
      <c r="FN6" s="57"/>
      <c r="FO6" s="57"/>
      <c r="FP6" s="57"/>
      <c r="FQ6" s="57"/>
      <c r="FR6" s="57"/>
      <c r="FS6" s="57"/>
      <c r="FT6" s="57"/>
      <c r="FU6" s="57"/>
      <c r="FV6" s="57"/>
      <c r="FW6" s="57"/>
      <c r="FX6" s="57"/>
      <c r="FY6" s="57"/>
      <c r="FZ6" s="57"/>
      <c r="GA6" s="57"/>
      <c r="GB6" s="57"/>
      <c r="GC6" s="57"/>
      <c r="GD6" s="57"/>
      <c r="GE6" s="57"/>
      <c r="GF6" s="57"/>
      <c r="GG6" s="57"/>
      <c r="GH6" s="57"/>
      <c r="GI6" s="57"/>
      <c r="GJ6" s="57"/>
      <c r="GK6" s="57"/>
      <c r="GL6" s="57"/>
      <c r="GM6" s="57"/>
      <c r="GV6" s="57"/>
      <c r="HB6" s="57"/>
      <c r="HH6" s="57"/>
      <c r="HI6" s="58"/>
      <c r="HJ6" s="59"/>
      <c r="HK6" s="59"/>
      <c r="HL6" s="59"/>
      <c r="HM6" s="123"/>
    </row>
    <row r="7" spans="1:221" s="56" customFormat="1" ht="14.45" customHeight="1">
      <c r="C7" s="303"/>
      <c r="AS7" s="60"/>
      <c r="AU7" s="98"/>
      <c r="AV7" s="57"/>
      <c r="AW7" s="98"/>
      <c r="AX7" s="98"/>
      <c r="AY7" s="98"/>
      <c r="AZ7" s="98"/>
      <c r="BA7" s="57"/>
      <c r="BB7" s="57"/>
      <c r="BC7" s="57"/>
      <c r="BD7" s="57"/>
      <c r="BE7" s="57"/>
      <c r="BF7" s="57"/>
      <c r="BG7" s="57"/>
      <c r="BH7" s="57"/>
      <c r="BI7" s="57"/>
      <c r="BJ7" s="57"/>
      <c r="BK7" s="57"/>
      <c r="BL7" s="57"/>
      <c r="BM7" s="57"/>
      <c r="BN7" s="57"/>
      <c r="BO7" s="57"/>
      <c r="BP7" s="57"/>
      <c r="BQ7" s="57"/>
      <c r="BR7" s="57"/>
      <c r="BS7" s="57"/>
      <c r="BT7" s="57"/>
      <c r="BU7" s="57"/>
      <c r="BV7" s="57"/>
      <c r="BW7" s="57"/>
      <c r="BX7" s="57"/>
      <c r="BY7" s="57"/>
      <c r="BZ7" s="57"/>
      <c r="CA7" s="57"/>
      <c r="CB7" s="57"/>
      <c r="CC7" s="57"/>
      <c r="CD7" s="57"/>
      <c r="CE7" s="57"/>
      <c r="CF7" s="57"/>
      <c r="CG7" s="57"/>
      <c r="CH7" s="57"/>
      <c r="CI7" s="57"/>
      <c r="CJ7" s="55"/>
      <c r="CK7" s="57"/>
      <c r="CL7" s="57"/>
      <c r="CM7" s="57"/>
      <c r="CN7" s="57"/>
      <c r="CO7" s="57"/>
      <c r="CP7" s="57"/>
      <c r="CQ7" s="57"/>
      <c r="CR7" s="57"/>
      <c r="CS7" s="57"/>
      <c r="CT7" s="57"/>
      <c r="CU7" s="57"/>
      <c r="CV7" s="57"/>
      <c r="CW7" s="57"/>
      <c r="CX7" s="57"/>
      <c r="CY7" s="57"/>
      <c r="CZ7" s="57"/>
      <c r="DA7" s="57"/>
      <c r="DB7" s="57"/>
      <c r="DC7" s="57"/>
      <c r="DD7" s="57"/>
      <c r="DE7" s="57"/>
      <c r="DF7" s="57"/>
      <c r="DG7" s="57"/>
      <c r="DH7" s="57"/>
      <c r="DI7" s="57"/>
      <c r="DJ7" s="57"/>
      <c r="DK7" s="57"/>
      <c r="DL7" s="57"/>
      <c r="DM7" s="57"/>
      <c r="DN7" s="57"/>
      <c r="DO7" s="57"/>
      <c r="DP7" s="57"/>
      <c r="DQ7" s="57"/>
      <c r="DR7" s="57"/>
      <c r="DS7" s="57"/>
      <c r="DT7" s="57"/>
      <c r="DU7" s="57"/>
      <c r="DV7" s="57"/>
      <c r="DW7" s="57"/>
      <c r="DX7" s="331"/>
      <c r="DY7" s="57"/>
      <c r="DZ7" s="57"/>
      <c r="EA7" s="57"/>
      <c r="EB7" s="57"/>
      <c r="EC7" s="57"/>
      <c r="ED7" s="57"/>
      <c r="EE7" s="57"/>
      <c r="EF7" s="57"/>
      <c r="EG7" s="57"/>
      <c r="EH7" s="57"/>
      <c r="EI7" s="57"/>
      <c r="EJ7" s="57"/>
      <c r="EK7" s="57"/>
      <c r="EL7" s="57"/>
      <c r="EM7" s="57"/>
      <c r="EN7" s="57"/>
      <c r="EO7" s="57"/>
      <c r="EP7" s="57"/>
      <c r="EQ7" s="57"/>
      <c r="ER7" s="57"/>
      <c r="ES7" s="57"/>
      <c r="ET7" s="57"/>
      <c r="EU7" s="57"/>
      <c r="EV7" s="57"/>
      <c r="EW7" s="57"/>
      <c r="EX7" s="57"/>
      <c r="EY7" s="126"/>
      <c r="EZ7" s="57"/>
      <c r="FA7" s="57"/>
      <c r="FB7" s="57"/>
      <c r="FC7" s="57"/>
      <c r="FD7" s="57"/>
      <c r="FE7" s="57"/>
      <c r="FF7" s="57"/>
      <c r="FG7" s="57"/>
      <c r="FH7" s="57"/>
      <c r="FI7" s="57"/>
      <c r="FJ7" s="57"/>
      <c r="FK7" s="57"/>
      <c r="FL7" s="57"/>
      <c r="FM7" s="57"/>
      <c r="FN7" s="57"/>
      <c r="FO7" s="57"/>
      <c r="FP7" s="57"/>
      <c r="FQ7" s="57"/>
      <c r="FR7" s="57"/>
      <c r="FS7" s="57"/>
      <c r="FT7" s="57"/>
      <c r="FU7" s="57"/>
      <c r="FV7" s="57"/>
      <c r="FW7" s="57"/>
      <c r="FX7" s="57"/>
      <c r="FY7" s="57"/>
      <c r="FZ7" s="57"/>
      <c r="GA7" s="57"/>
      <c r="GB7" s="57"/>
      <c r="GC7" s="57"/>
      <c r="GD7" s="57"/>
      <c r="GE7" s="57"/>
      <c r="GF7" s="57"/>
      <c r="GG7" s="57"/>
      <c r="GH7" s="57"/>
      <c r="GI7" s="57"/>
      <c r="GJ7" s="57"/>
      <c r="GK7" s="57"/>
      <c r="GL7" s="57"/>
      <c r="GM7" s="57"/>
      <c r="GV7" s="57"/>
      <c r="HB7" s="57"/>
      <c r="HH7" s="57"/>
      <c r="HI7" s="58"/>
      <c r="HJ7" s="59"/>
      <c r="HK7" s="59"/>
      <c r="HL7" s="59"/>
      <c r="HM7" s="123"/>
    </row>
    <row r="8" spans="1:221" s="56" customFormat="1" ht="14.45" customHeight="1">
      <c r="C8" s="303"/>
      <c r="AS8" s="60"/>
      <c r="AU8" s="98"/>
      <c r="AV8" s="57"/>
      <c r="AW8" s="98"/>
      <c r="AX8" s="98"/>
      <c r="AY8" s="98"/>
      <c r="AZ8" s="98"/>
      <c r="BA8" s="57"/>
      <c r="BB8" s="57"/>
      <c r="BC8" s="57"/>
      <c r="BD8" s="57"/>
      <c r="BE8" s="57"/>
      <c r="BF8" s="57"/>
      <c r="BG8" s="57"/>
      <c r="BH8" s="57"/>
      <c r="BI8" s="57"/>
      <c r="BJ8" s="57"/>
      <c r="BK8" s="57"/>
      <c r="BL8" s="57"/>
      <c r="BM8" s="57"/>
      <c r="BN8" s="57"/>
      <c r="BO8" s="57"/>
      <c r="BP8" s="57"/>
      <c r="BQ8" s="57"/>
      <c r="BR8" s="57"/>
      <c r="BS8" s="57"/>
      <c r="BT8" s="57"/>
      <c r="BU8" s="57"/>
      <c r="BV8" s="57"/>
      <c r="BW8" s="57"/>
      <c r="BX8" s="57"/>
      <c r="BY8" s="57"/>
      <c r="BZ8" s="57"/>
      <c r="CA8" s="57"/>
      <c r="CB8" s="57"/>
      <c r="CC8" s="57"/>
      <c r="CD8" s="57"/>
      <c r="CE8" s="57"/>
      <c r="CF8" s="57"/>
      <c r="CG8" s="57"/>
      <c r="CH8" s="57"/>
      <c r="CI8" s="57"/>
      <c r="CJ8" s="55"/>
      <c r="CK8" s="57"/>
      <c r="CL8" s="57"/>
      <c r="CM8" s="57"/>
      <c r="CN8" s="57"/>
      <c r="CO8" s="57"/>
      <c r="CP8" s="57"/>
      <c r="CQ8" s="57"/>
      <c r="CR8" s="57"/>
      <c r="CS8" s="57"/>
      <c r="CT8" s="57"/>
      <c r="CU8" s="57"/>
      <c r="CV8" s="57"/>
      <c r="CW8" s="57"/>
      <c r="CX8" s="57"/>
      <c r="CY8" s="57"/>
      <c r="CZ8" s="57"/>
      <c r="DA8" s="57"/>
      <c r="DB8" s="57"/>
      <c r="DC8" s="57"/>
      <c r="DD8" s="57"/>
      <c r="DE8" s="57"/>
      <c r="DF8" s="57"/>
      <c r="DG8" s="57"/>
      <c r="DH8" s="57"/>
      <c r="DI8" s="57"/>
      <c r="DJ8" s="57"/>
      <c r="DK8" s="57"/>
      <c r="DL8" s="57"/>
      <c r="DM8" s="57"/>
      <c r="DN8" s="57"/>
      <c r="DO8" s="57"/>
      <c r="DP8" s="57"/>
      <c r="DQ8" s="57"/>
      <c r="DR8" s="57"/>
      <c r="DS8" s="57"/>
      <c r="DT8" s="57"/>
      <c r="DU8" s="57"/>
      <c r="DV8" s="57"/>
      <c r="DW8" s="57"/>
      <c r="DX8" s="331"/>
      <c r="DY8" s="57"/>
      <c r="DZ8" s="57"/>
      <c r="EA8" s="57"/>
      <c r="EB8" s="57"/>
      <c r="EC8" s="57"/>
      <c r="ED8" s="57"/>
      <c r="EE8" s="57"/>
      <c r="EF8" s="57"/>
      <c r="EG8" s="57"/>
      <c r="EH8" s="57"/>
      <c r="EI8" s="57"/>
      <c r="EJ8" s="57"/>
      <c r="EK8" s="57"/>
      <c r="EL8" s="57"/>
      <c r="EM8" s="57"/>
      <c r="EN8" s="57"/>
      <c r="EO8" s="57"/>
      <c r="EP8" s="57"/>
      <c r="EQ8" s="57"/>
      <c r="ER8" s="57"/>
      <c r="ES8" s="57"/>
      <c r="ET8" s="57"/>
      <c r="EU8" s="57"/>
      <c r="EV8" s="57"/>
      <c r="EW8" s="57"/>
      <c r="EX8" s="57"/>
      <c r="EY8" s="126"/>
      <c r="EZ8" s="57"/>
      <c r="FA8" s="57"/>
      <c r="FB8" s="57"/>
      <c r="FC8" s="57"/>
      <c r="FD8" s="57"/>
      <c r="FE8" s="57"/>
      <c r="FF8" s="57"/>
      <c r="FG8" s="57"/>
      <c r="FH8" s="57"/>
      <c r="FI8" s="57"/>
      <c r="FJ8" s="57"/>
      <c r="FK8" s="57"/>
      <c r="FL8" s="57"/>
      <c r="FM8" s="57"/>
      <c r="FN8" s="57"/>
      <c r="FO8" s="57"/>
      <c r="FP8" s="57"/>
      <c r="FQ8" s="57"/>
      <c r="FR8" s="57"/>
      <c r="FS8" s="57"/>
      <c r="FT8" s="57"/>
      <c r="FU8" s="57"/>
      <c r="FV8" s="57"/>
      <c r="FW8" s="57"/>
      <c r="FX8" s="57"/>
      <c r="FY8" s="57"/>
      <c r="FZ8" s="57"/>
      <c r="GA8" s="57"/>
      <c r="GB8" s="57"/>
      <c r="GC8" s="57"/>
      <c r="GD8" s="57"/>
      <c r="GE8" s="57"/>
      <c r="GF8" s="57"/>
      <c r="GG8" s="57"/>
      <c r="GH8" s="57"/>
      <c r="GI8" s="57"/>
      <c r="GJ8" s="57"/>
      <c r="GK8" s="57"/>
      <c r="GL8" s="57"/>
      <c r="GM8" s="57"/>
      <c r="GV8" s="57"/>
      <c r="HB8" s="57"/>
      <c r="HH8" s="57"/>
      <c r="HI8" s="58"/>
      <c r="HJ8" s="59"/>
      <c r="HK8" s="59"/>
      <c r="HL8" s="59"/>
      <c r="HM8" s="123"/>
    </row>
    <row r="9" spans="1:221" s="57" customFormat="1" ht="15" customHeight="1">
      <c r="A9" s="116">
        <v>1</v>
      </c>
      <c r="B9" s="116">
        <f t="shared" ref="B9:Q10" si="0">A9+1</f>
        <v>2</v>
      </c>
      <c r="C9" s="116">
        <f t="shared" si="0"/>
        <v>3</v>
      </c>
      <c r="D9" s="116">
        <f t="shared" si="0"/>
        <v>4</v>
      </c>
      <c r="E9" s="116">
        <f t="shared" si="0"/>
        <v>5</v>
      </c>
      <c r="F9" s="116">
        <f t="shared" si="0"/>
        <v>6</v>
      </c>
      <c r="G9" s="116">
        <f t="shared" si="0"/>
        <v>7</v>
      </c>
      <c r="H9" s="116">
        <f t="shared" si="0"/>
        <v>8</v>
      </c>
      <c r="I9" s="116">
        <f t="shared" si="0"/>
        <v>9</v>
      </c>
      <c r="J9" s="116">
        <f t="shared" si="0"/>
        <v>10</v>
      </c>
      <c r="K9" s="116">
        <f t="shared" si="0"/>
        <v>11</v>
      </c>
      <c r="L9" s="116">
        <f t="shared" si="0"/>
        <v>12</v>
      </c>
      <c r="M9" s="116">
        <f t="shared" si="0"/>
        <v>13</v>
      </c>
      <c r="N9" s="116">
        <f t="shared" si="0"/>
        <v>14</v>
      </c>
      <c r="O9" s="116">
        <f t="shared" si="0"/>
        <v>15</v>
      </c>
      <c r="P9" s="116">
        <f t="shared" si="0"/>
        <v>16</v>
      </c>
      <c r="Q9" s="116">
        <f t="shared" si="0"/>
        <v>17</v>
      </c>
      <c r="R9" s="116">
        <f t="shared" ref="R9:AG10" si="1">Q9+1</f>
        <v>18</v>
      </c>
      <c r="S9" s="116">
        <f t="shared" si="1"/>
        <v>19</v>
      </c>
      <c r="T9" s="116">
        <f t="shared" si="1"/>
        <v>20</v>
      </c>
      <c r="U9" s="116">
        <f t="shared" si="1"/>
        <v>21</v>
      </c>
      <c r="V9" s="116">
        <f t="shared" si="1"/>
        <v>22</v>
      </c>
      <c r="W9" s="116">
        <f t="shared" si="1"/>
        <v>23</v>
      </c>
      <c r="X9" s="116">
        <f t="shared" si="1"/>
        <v>24</v>
      </c>
      <c r="Y9" s="116">
        <f t="shared" si="1"/>
        <v>25</v>
      </c>
      <c r="Z9" s="116">
        <f t="shared" si="1"/>
        <v>26</v>
      </c>
      <c r="AA9" s="116">
        <f t="shared" si="1"/>
        <v>27</v>
      </c>
      <c r="AB9" s="116">
        <f t="shared" si="1"/>
        <v>28</v>
      </c>
      <c r="AC9" s="116">
        <f t="shared" si="1"/>
        <v>29</v>
      </c>
      <c r="AD9" s="116">
        <f t="shared" si="1"/>
        <v>30</v>
      </c>
      <c r="AE9" s="116">
        <f t="shared" si="1"/>
        <v>31</v>
      </c>
      <c r="AF9" s="116">
        <f t="shared" si="1"/>
        <v>32</v>
      </c>
      <c r="AG9" s="116">
        <f t="shared" si="1"/>
        <v>33</v>
      </c>
      <c r="AH9" s="116">
        <f t="shared" ref="AH9:AW9" si="2">AG9+1</f>
        <v>34</v>
      </c>
      <c r="AI9" s="116">
        <f t="shared" si="2"/>
        <v>35</v>
      </c>
      <c r="AJ9" s="116">
        <f t="shared" si="2"/>
        <v>36</v>
      </c>
      <c r="AK9" s="116">
        <f t="shared" si="2"/>
        <v>37</v>
      </c>
      <c r="AL9" s="116">
        <f t="shared" si="2"/>
        <v>38</v>
      </c>
      <c r="AM9" s="116">
        <f t="shared" si="2"/>
        <v>39</v>
      </c>
      <c r="AN9" s="116">
        <f t="shared" si="2"/>
        <v>40</v>
      </c>
      <c r="AO9" s="116">
        <f t="shared" si="2"/>
        <v>41</v>
      </c>
      <c r="AP9" s="116">
        <f t="shared" si="2"/>
        <v>42</v>
      </c>
      <c r="AQ9" s="116">
        <f t="shared" si="2"/>
        <v>43</v>
      </c>
      <c r="AR9" s="116">
        <f t="shared" si="2"/>
        <v>44</v>
      </c>
      <c r="AS9" s="116">
        <f t="shared" si="2"/>
        <v>45</v>
      </c>
      <c r="AT9" s="116">
        <f t="shared" si="2"/>
        <v>46</v>
      </c>
      <c r="AU9" s="116">
        <f t="shared" si="2"/>
        <v>47</v>
      </c>
      <c r="AV9" s="116">
        <f t="shared" si="2"/>
        <v>48</v>
      </c>
      <c r="AW9" s="116">
        <f t="shared" si="2"/>
        <v>49</v>
      </c>
      <c r="AX9" s="116">
        <f t="shared" ref="AX9:BM10" si="3">AW9+1</f>
        <v>50</v>
      </c>
      <c r="AY9" s="116">
        <f t="shared" si="3"/>
        <v>51</v>
      </c>
      <c r="AZ9" s="116">
        <f t="shared" si="3"/>
        <v>52</v>
      </c>
      <c r="BA9" s="116">
        <f t="shared" si="3"/>
        <v>53</v>
      </c>
      <c r="BB9" s="116">
        <f t="shared" si="3"/>
        <v>54</v>
      </c>
      <c r="BC9" s="116">
        <f t="shared" si="3"/>
        <v>55</v>
      </c>
      <c r="BD9" s="116">
        <f t="shared" si="3"/>
        <v>56</v>
      </c>
      <c r="BE9" s="116">
        <f t="shared" si="3"/>
        <v>57</v>
      </c>
      <c r="BF9" s="116">
        <f t="shared" si="3"/>
        <v>58</v>
      </c>
      <c r="BG9" s="116">
        <f t="shared" si="3"/>
        <v>59</v>
      </c>
      <c r="BH9" s="116">
        <f t="shared" si="3"/>
        <v>60</v>
      </c>
      <c r="BI9" s="116">
        <f t="shared" si="3"/>
        <v>61</v>
      </c>
      <c r="BJ9" s="116">
        <f t="shared" si="3"/>
        <v>62</v>
      </c>
      <c r="BK9" s="116">
        <f t="shared" si="3"/>
        <v>63</v>
      </c>
      <c r="BL9" s="116">
        <f t="shared" si="3"/>
        <v>64</v>
      </c>
      <c r="BM9" s="116">
        <f t="shared" si="3"/>
        <v>65</v>
      </c>
      <c r="BN9" s="116">
        <f t="shared" ref="BN9:CC10" si="4">BM9+1</f>
        <v>66</v>
      </c>
      <c r="BO9" s="116">
        <f t="shared" si="4"/>
        <v>67</v>
      </c>
      <c r="BP9" s="116">
        <f t="shared" si="4"/>
        <v>68</v>
      </c>
      <c r="BQ9" s="116">
        <f t="shared" si="4"/>
        <v>69</v>
      </c>
      <c r="BR9" s="116">
        <f t="shared" si="4"/>
        <v>70</v>
      </c>
      <c r="BS9" s="116">
        <f t="shared" si="4"/>
        <v>71</v>
      </c>
      <c r="BT9" s="116">
        <f t="shared" si="4"/>
        <v>72</v>
      </c>
      <c r="BU9" s="116">
        <f t="shared" si="4"/>
        <v>73</v>
      </c>
      <c r="BV9" s="116">
        <f t="shared" si="4"/>
        <v>74</v>
      </c>
      <c r="BW9" s="116">
        <f t="shared" si="4"/>
        <v>75</v>
      </c>
      <c r="BX9" s="116">
        <f t="shared" si="4"/>
        <v>76</v>
      </c>
      <c r="BY9" s="116">
        <f t="shared" si="4"/>
        <v>77</v>
      </c>
      <c r="BZ9" s="116">
        <f t="shared" si="4"/>
        <v>78</v>
      </c>
      <c r="CA9" s="116">
        <f t="shared" si="4"/>
        <v>79</v>
      </c>
      <c r="CB9" s="116">
        <f t="shared" si="4"/>
        <v>80</v>
      </c>
      <c r="CC9" s="116">
        <f t="shared" si="4"/>
        <v>81</v>
      </c>
      <c r="CD9" s="116">
        <f t="shared" ref="CD9:CS10" si="5">CC9+1</f>
        <v>82</v>
      </c>
      <c r="CE9" s="116">
        <f t="shared" si="5"/>
        <v>83</v>
      </c>
      <c r="CF9" s="116">
        <f t="shared" si="5"/>
        <v>84</v>
      </c>
      <c r="CG9" s="116">
        <f t="shared" si="5"/>
        <v>85</v>
      </c>
      <c r="CH9" s="116">
        <f t="shared" si="5"/>
        <v>86</v>
      </c>
      <c r="CI9" s="116">
        <f t="shared" si="5"/>
        <v>87</v>
      </c>
      <c r="CJ9" s="116">
        <f t="shared" si="5"/>
        <v>88</v>
      </c>
      <c r="CK9" s="116">
        <f t="shared" si="5"/>
        <v>89</v>
      </c>
      <c r="CL9" s="116">
        <f t="shared" si="5"/>
        <v>90</v>
      </c>
      <c r="CM9" s="116">
        <f t="shared" si="5"/>
        <v>91</v>
      </c>
      <c r="CN9" s="116">
        <f t="shared" si="5"/>
        <v>92</v>
      </c>
      <c r="CO9" s="116">
        <f t="shared" si="5"/>
        <v>93</v>
      </c>
      <c r="CP9" s="116">
        <f t="shared" si="5"/>
        <v>94</v>
      </c>
      <c r="CQ9" s="116">
        <f t="shared" si="5"/>
        <v>95</v>
      </c>
      <c r="CR9" s="116">
        <f t="shared" si="5"/>
        <v>96</v>
      </c>
      <c r="CS9" s="116">
        <f t="shared" si="5"/>
        <v>97</v>
      </c>
      <c r="CT9" s="116">
        <f t="shared" ref="CT9:DI9" si="6">CS9+1</f>
        <v>98</v>
      </c>
      <c r="CU9" s="116">
        <f t="shared" si="6"/>
        <v>99</v>
      </c>
      <c r="CV9" s="116">
        <f t="shared" si="6"/>
        <v>100</v>
      </c>
      <c r="CW9" s="116">
        <f t="shared" si="6"/>
        <v>101</v>
      </c>
      <c r="CX9" s="116">
        <f t="shared" si="6"/>
        <v>102</v>
      </c>
      <c r="CY9" s="116">
        <f t="shared" si="6"/>
        <v>103</v>
      </c>
      <c r="CZ9" s="116">
        <f t="shared" si="6"/>
        <v>104</v>
      </c>
      <c r="DA9" s="116">
        <f t="shared" si="6"/>
        <v>105</v>
      </c>
      <c r="DB9" s="116">
        <f t="shared" si="6"/>
        <v>106</v>
      </c>
      <c r="DC9" s="116">
        <f t="shared" si="6"/>
        <v>107</v>
      </c>
      <c r="DD9" s="116">
        <f t="shared" si="6"/>
        <v>108</v>
      </c>
      <c r="DE9" s="116">
        <f t="shared" si="6"/>
        <v>109</v>
      </c>
      <c r="DF9" s="116">
        <f t="shared" si="6"/>
        <v>110</v>
      </c>
      <c r="DG9" s="116">
        <f t="shared" si="6"/>
        <v>111</v>
      </c>
      <c r="DH9" s="116">
        <f t="shared" si="6"/>
        <v>112</v>
      </c>
      <c r="DI9" s="116">
        <f t="shared" si="6"/>
        <v>113</v>
      </c>
      <c r="DJ9" s="116">
        <f t="shared" ref="DJ9:DY10" si="7">DI9+1</f>
        <v>114</v>
      </c>
      <c r="DK9" s="116">
        <f t="shared" si="7"/>
        <v>115</v>
      </c>
      <c r="DL9" s="116">
        <f t="shared" si="7"/>
        <v>116</v>
      </c>
      <c r="DM9" s="116">
        <f t="shared" si="7"/>
        <v>117</v>
      </c>
      <c r="DN9" s="116">
        <f t="shared" si="7"/>
        <v>118</v>
      </c>
      <c r="DO9" s="116">
        <f t="shared" si="7"/>
        <v>119</v>
      </c>
      <c r="DP9" s="116">
        <f t="shared" si="7"/>
        <v>120</v>
      </c>
      <c r="DQ9" s="116">
        <f t="shared" si="7"/>
        <v>121</v>
      </c>
      <c r="DR9" s="116">
        <f t="shared" si="7"/>
        <v>122</v>
      </c>
      <c r="DS9" s="116">
        <f t="shared" si="7"/>
        <v>123</v>
      </c>
      <c r="DT9" s="116">
        <f t="shared" si="7"/>
        <v>124</v>
      </c>
      <c r="DU9" s="116">
        <f t="shared" si="7"/>
        <v>125</v>
      </c>
      <c r="DV9" s="116">
        <f t="shared" si="7"/>
        <v>126</v>
      </c>
      <c r="DW9" s="116">
        <f t="shared" si="7"/>
        <v>127</v>
      </c>
      <c r="DX9" s="116">
        <f t="shared" si="7"/>
        <v>128</v>
      </c>
      <c r="DY9" s="116">
        <f t="shared" si="7"/>
        <v>129</v>
      </c>
      <c r="DZ9" s="116">
        <f t="shared" ref="DZ9:GK9" si="8">DY9+1</f>
        <v>130</v>
      </c>
      <c r="EA9" s="116">
        <f t="shared" si="8"/>
        <v>131</v>
      </c>
      <c r="EB9" s="116">
        <f t="shared" si="8"/>
        <v>132</v>
      </c>
      <c r="EC9" s="116">
        <f t="shared" si="8"/>
        <v>133</v>
      </c>
      <c r="ED9" s="116">
        <f t="shared" si="8"/>
        <v>134</v>
      </c>
      <c r="EE9" s="116">
        <f t="shared" si="8"/>
        <v>135</v>
      </c>
      <c r="EF9" s="116">
        <f t="shared" si="8"/>
        <v>136</v>
      </c>
      <c r="EG9" s="116">
        <f t="shared" si="8"/>
        <v>137</v>
      </c>
      <c r="EH9" s="116">
        <f t="shared" si="8"/>
        <v>138</v>
      </c>
      <c r="EI9" s="116">
        <f t="shared" si="8"/>
        <v>139</v>
      </c>
      <c r="EJ9" s="116">
        <f t="shared" si="8"/>
        <v>140</v>
      </c>
      <c r="EK9" s="116">
        <f t="shared" si="8"/>
        <v>141</v>
      </c>
      <c r="EL9" s="116">
        <f t="shared" si="8"/>
        <v>142</v>
      </c>
      <c r="EM9" s="116">
        <f t="shared" si="8"/>
        <v>143</v>
      </c>
      <c r="EN9" s="116">
        <f t="shared" si="8"/>
        <v>144</v>
      </c>
      <c r="EO9" s="116">
        <f t="shared" si="8"/>
        <v>145</v>
      </c>
      <c r="EP9" s="116">
        <f t="shared" si="8"/>
        <v>146</v>
      </c>
      <c r="EQ9" s="116">
        <f t="shared" si="8"/>
        <v>147</v>
      </c>
      <c r="ER9" s="116">
        <f t="shared" si="8"/>
        <v>148</v>
      </c>
      <c r="ES9" s="116">
        <f t="shared" si="8"/>
        <v>149</v>
      </c>
      <c r="ET9" s="116">
        <f t="shared" si="8"/>
        <v>150</v>
      </c>
      <c r="EU9" s="116">
        <f t="shared" si="8"/>
        <v>151</v>
      </c>
      <c r="EV9" s="116">
        <f t="shared" si="8"/>
        <v>152</v>
      </c>
      <c r="EW9" s="116">
        <f t="shared" si="8"/>
        <v>153</v>
      </c>
      <c r="EX9" s="116">
        <f t="shared" si="8"/>
        <v>154</v>
      </c>
      <c r="EY9" s="116">
        <f t="shared" si="8"/>
        <v>155</v>
      </c>
      <c r="EZ9" s="116">
        <f t="shared" si="8"/>
        <v>156</v>
      </c>
      <c r="FA9" s="116">
        <f t="shared" si="8"/>
        <v>157</v>
      </c>
      <c r="FB9" s="116">
        <f t="shared" si="8"/>
        <v>158</v>
      </c>
      <c r="FC9" s="116">
        <f t="shared" si="8"/>
        <v>159</v>
      </c>
      <c r="FD9" s="116">
        <f t="shared" si="8"/>
        <v>160</v>
      </c>
      <c r="FE9" s="116">
        <f t="shared" si="8"/>
        <v>161</v>
      </c>
      <c r="FF9" s="116">
        <f t="shared" si="8"/>
        <v>162</v>
      </c>
      <c r="FG9" s="116">
        <f t="shared" si="8"/>
        <v>163</v>
      </c>
      <c r="FH9" s="116">
        <f t="shared" si="8"/>
        <v>164</v>
      </c>
      <c r="FI9" s="116">
        <f t="shared" si="8"/>
        <v>165</v>
      </c>
      <c r="FJ9" s="116">
        <f t="shared" si="8"/>
        <v>166</v>
      </c>
      <c r="FK9" s="116">
        <f t="shared" si="8"/>
        <v>167</v>
      </c>
      <c r="FL9" s="116">
        <f t="shared" si="8"/>
        <v>168</v>
      </c>
      <c r="FM9" s="116">
        <f t="shared" si="8"/>
        <v>169</v>
      </c>
      <c r="FN9" s="116">
        <f t="shared" si="8"/>
        <v>170</v>
      </c>
      <c r="FO9" s="116">
        <f t="shared" si="8"/>
        <v>171</v>
      </c>
      <c r="FP9" s="116">
        <f t="shared" si="8"/>
        <v>172</v>
      </c>
      <c r="FQ9" s="116">
        <f t="shared" si="8"/>
        <v>173</v>
      </c>
      <c r="FR9" s="116">
        <f t="shared" si="8"/>
        <v>174</v>
      </c>
      <c r="FS9" s="116">
        <f t="shared" si="8"/>
        <v>175</v>
      </c>
      <c r="FT9" s="116">
        <f t="shared" si="8"/>
        <v>176</v>
      </c>
      <c r="FU9" s="116">
        <f t="shared" si="8"/>
        <v>177</v>
      </c>
      <c r="FV9" s="116">
        <f t="shared" si="8"/>
        <v>178</v>
      </c>
      <c r="FW9" s="116">
        <f t="shared" si="8"/>
        <v>179</v>
      </c>
      <c r="FX9" s="116">
        <f t="shared" si="8"/>
        <v>180</v>
      </c>
      <c r="FY9" s="116">
        <f t="shared" si="8"/>
        <v>181</v>
      </c>
      <c r="FZ9" s="116">
        <f t="shared" si="8"/>
        <v>182</v>
      </c>
      <c r="GA9" s="116">
        <f t="shared" si="8"/>
        <v>183</v>
      </c>
      <c r="GB9" s="116">
        <f t="shared" si="8"/>
        <v>184</v>
      </c>
      <c r="GC9" s="116">
        <f t="shared" si="8"/>
        <v>185</v>
      </c>
      <c r="GD9" s="116">
        <f t="shared" si="8"/>
        <v>186</v>
      </c>
      <c r="GE9" s="116">
        <f t="shared" si="8"/>
        <v>187</v>
      </c>
      <c r="GF9" s="116">
        <f t="shared" si="8"/>
        <v>188</v>
      </c>
      <c r="GG9" s="116">
        <f t="shared" si="8"/>
        <v>189</v>
      </c>
      <c r="GH9" s="116">
        <f t="shared" si="8"/>
        <v>190</v>
      </c>
      <c r="GI9" s="116">
        <f t="shared" si="8"/>
        <v>191</v>
      </c>
      <c r="GJ9" s="116">
        <f t="shared" si="8"/>
        <v>192</v>
      </c>
      <c r="GK9" s="116">
        <f t="shared" si="8"/>
        <v>193</v>
      </c>
      <c r="GL9" s="116">
        <f t="shared" ref="GL9:HH9" si="9">GK9+1</f>
        <v>194</v>
      </c>
      <c r="GM9" s="116">
        <f t="shared" si="9"/>
        <v>195</v>
      </c>
      <c r="GN9" s="116">
        <f t="shared" si="9"/>
        <v>196</v>
      </c>
      <c r="GO9" s="116">
        <f t="shared" si="9"/>
        <v>197</v>
      </c>
      <c r="GP9" s="116">
        <f t="shared" si="9"/>
        <v>198</v>
      </c>
      <c r="GQ9" s="116">
        <f t="shared" si="9"/>
        <v>199</v>
      </c>
      <c r="GR9" s="116">
        <f t="shared" si="9"/>
        <v>200</v>
      </c>
      <c r="GS9" s="116">
        <f t="shared" si="9"/>
        <v>201</v>
      </c>
      <c r="GT9" s="116">
        <f t="shared" si="9"/>
        <v>202</v>
      </c>
      <c r="GU9" s="116">
        <f t="shared" si="9"/>
        <v>203</v>
      </c>
      <c r="GV9" s="116">
        <f t="shared" si="9"/>
        <v>204</v>
      </c>
      <c r="GW9" s="116">
        <f t="shared" si="9"/>
        <v>205</v>
      </c>
      <c r="GX9" s="116">
        <f t="shared" si="9"/>
        <v>206</v>
      </c>
      <c r="GY9" s="116">
        <f t="shared" si="9"/>
        <v>207</v>
      </c>
      <c r="GZ9" s="116">
        <f t="shared" si="9"/>
        <v>208</v>
      </c>
      <c r="HA9" s="116">
        <f t="shared" si="9"/>
        <v>209</v>
      </c>
      <c r="HB9" s="116">
        <f t="shared" si="9"/>
        <v>210</v>
      </c>
      <c r="HC9" s="116">
        <f t="shared" si="9"/>
        <v>211</v>
      </c>
      <c r="HD9" s="116">
        <f t="shared" si="9"/>
        <v>212</v>
      </c>
      <c r="HE9" s="116">
        <f t="shared" si="9"/>
        <v>213</v>
      </c>
      <c r="HF9" s="116">
        <f t="shared" si="9"/>
        <v>214</v>
      </c>
      <c r="HG9" s="116">
        <f t="shared" si="9"/>
        <v>215</v>
      </c>
      <c r="HH9" s="116">
        <f t="shared" si="9"/>
        <v>216</v>
      </c>
      <c r="HI9" s="116">
        <f>HH9+1</f>
        <v>217</v>
      </c>
      <c r="HJ9" s="116"/>
      <c r="HK9" s="116"/>
      <c r="HL9" s="116"/>
      <c r="HM9" s="116"/>
    </row>
    <row r="10" spans="1:221" s="57" customFormat="1" ht="12.75" customHeight="1">
      <c r="A10" s="98" t="s">
        <v>529</v>
      </c>
      <c r="E10" s="57">
        <f>Input!A77</f>
        <v>77</v>
      </c>
      <c r="F10" s="57">
        <f>Input!A101</f>
        <v>101</v>
      </c>
      <c r="G10" s="57">
        <f>Input!A102</f>
        <v>102</v>
      </c>
      <c r="H10" s="57">
        <f>Input!A103</f>
        <v>103</v>
      </c>
      <c r="I10" s="57">
        <f>Input!A104</f>
        <v>104</v>
      </c>
      <c r="J10" s="57">
        <f>Input!A79</f>
        <v>79</v>
      </c>
      <c r="K10" s="57">
        <f>J10+1</f>
        <v>80</v>
      </c>
      <c r="L10" s="57">
        <f t="shared" si="0"/>
        <v>81</v>
      </c>
      <c r="M10" s="57">
        <f t="shared" si="0"/>
        <v>82</v>
      </c>
      <c r="N10" s="57">
        <f t="shared" si="0"/>
        <v>83</v>
      </c>
      <c r="O10" s="331">
        <f>Input!A84</f>
        <v>84</v>
      </c>
      <c r="P10" s="331">
        <f>Input!A85</f>
        <v>85</v>
      </c>
      <c r="Q10" s="331">
        <f>Input!A88</f>
        <v>88</v>
      </c>
      <c r="R10" s="331">
        <f t="shared" si="1"/>
        <v>89</v>
      </c>
      <c r="S10" s="331">
        <f t="shared" si="1"/>
        <v>90</v>
      </c>
      <c r="T10" s="331">
        <f t="shared" si="1"/>
        <v>91</v>
      </c>
      <c r="U10" s="331">
        <f t="shared" si="1"/>
        <v>92</v>
      </c>
      <c r="V10" s="331">
        <f t="shared" si="1"/>
        <v>93</v>
      </c>
      <c r="W10" s="331">
        <f>Input!A94</f>
        <v>94</v>
      </c>
      <c r="X10" s="331">
        <f>Input!A95</f>
        <v>95</v>
      </c>
      <c r="Y10" s="57">
        <f>Input!A99</f>
        <v>99</v>
      </c>
      <c r="Z10" s="57">
        <f>Input!A106</f>
        <v>106</v>
      </c>
      <c r="AA10" s="57">
        <f>Input!A108</f>
        <v>108</v>
      </c>
      <c r="AB10" s="57">
        <f>AA10+1</f>
        <v>109</v>
      </c>
      <c r="AC10" s="57">
        <f>Input!A111</f>
        <v>111</v>
      </c>
      <c r="AD10" s="57">
        <f>AC10+1</f>
        <v>112</v>
      </c>
      <c r="AE10" s="57">
        <f>Input!A114</f>
        <v>114</v>
      </c>
      <c r="AF10" s="57">
        <f>AE10+1</f>
        <v>115</v>
      </c>
      <c r="AG10" s="57">
        <f>Input!A117</f>
        <v>117</v>
      </c>
      <c r="AH10" s="57">
        <f>AG10+1</f>
        <v>118</v>
      </c>
      <c r="AI10" s="57">
        <f>Input!A120</f>
        <v>120</v>
      </c>
      <c r="AJ10" s="57">
        <f>AI10+1</f>
        <v>121</v>
      </c>
      <c r="AK10" s="57">
        <f>Input!A98</f>
        <v>98</v>
      </c>
      <c r="AL10" s="57">
        <f>Input!A98</f>
        <v>98</v>
      </c>
      <c r="AM10" s="57" t="s">
        <v>530</v>
      </c>
      <c r="AN10" s="57" t="s">
        <v>530</v>
      </c>
      <c r="AO10" s="57" t="s">
        <v>530</v>
      </c>
      <c r="AP10" s="57" t="s">
        <v>530</v>
      </c>
      <c r="AQ10" s="57" t="s">
        <v>530</v>
      </c>
      <c r="AR10" s="57" t="s">
        <v>530</v>
      </c>
      <c r="AS10" s="59"/>
      <c r="AT10" s="57" t="s">
        <v>530</v>
      </c>
      <c r="AU10" s="57" t="s">
        <v>530</v>
      </c>
      <c r="AV10" s="57" t="s">
        <v>530</v>
      </c>
      <c r="AW10" s="57">
        <f>Input!A7</f>
        <v>7</v>
      </c>
      <c r="AX10" s="57">
        <f>Input!A11</f>
        <v>11</v>
      </c>
      <c r="AY10" s="57">
        <f>Input!A8</f>
        <v>8</v>
      </c>
      <c r="AZ10" s="57">
        <f>Input!A12</f>
        <v>12</v>
      </c>
      <c r="BA10" s="57">
        <f>Input!A9</f>
        <v>9</v>
      </c>
      <c r="BB10" s="57">
        <f>Input!A10</f>
        <v>10</v>
      </c>
      <c r="BC10" s="57">
        <f>Input!A31</f>
        <v>31</v>
      </c>
      <c r="BD10" s="57">
        <f>Input!A34</f>
        <v>34</v>
      </c>
      <c r="BE10" s="57">
        <f>BD10+1</f>
        <v>35</v>
      </c>
      <c r="BF10" s="57">
        <f t="shared" si="3"/>
        <v>36</v>
      </c>
      <c r="BG10" s="57">
        <f t="shared" si="3"/>
        <v>37</v>
      </c>
      <c r="BH10" s="57">
        <f t="shared" si="3"/>
        <v>38</v>
      </c>
      <c r="BI10" s="57">
        <f>Input!A40</f>
        <v>40</v>
      </c>
      <c r="BJ10" s="57">
        <f>BI10+1</f>
        <v>41</v>
      </c>
      <c r="BK10" s="57">
        <f t="shared" si="3"/>
        <v>42</v>
      </c>
      <c r="BL10" s="57">
        <f t="shared" si="3"/>
        <v>43</v>
      </c>
      <c r="BM10" s="57">
        <f t="shared" si="3"/>
        <v>44</v>
      </c>
      <c r="BN10" s="57">
        <f>Input!A46</f>
        <v>46</v>
      </c>
      <c r="BO10" s="57">
        <f>BN10+1</f>
        <v>47</v>
      </c>
      <c r="BP10" s="57">
        <f t="shared" si="4"/>
        <v>48</v>
      </c>
      <c r="BQ10" s="57">
        <f t="shared" si="4"/>
        <v>49</v>
      </c>
      <c r="BR10" s="57">
        <f t="shared" si="4"/>
        <v>50</v>
      </c>
      <c r="BS10" s="57">
        <f>Input!A52</f>
        <v>52</v>
      </c>
      <c r="BT10" s="57">
        <f>BS10+1</f>
        <v>53</v>
      </c>
      <c r="BU10" s="57">
        <f t="shared" si="4"/>
        <v>54</v>
      </c>
      <c r="BV10" s="57">
        <f t="shared" si="4"/>
        <v>55</v>
      </c>
      <c r="BW10" s="57">
        <f t="shared" si="4"/>
        <v>56</v>
      </c>
      <c r="BX10" s="57">
        <f>Input!A15</f>
        <v>15</v>
      </c>
      <c r="BY10" s="57">
        <f>Input!A58</f>
        <v>58</v>
      </c>
      <c r="BZ10" s="57">
        <f t="shared" si="4"/>
        <v>59</v>
      </c>
      <c r="CA10" s="57">
        <f t="shared" si="4"/>
        <v>60</v>
      </c>
      <c r="CB10" s="57">
        <f t="shared" si="4"/>
        <v>61</v>
      </c>
      <c r="CC10" s="57">
        <f t="shared" si="4"/>
        <v>62</v>
      </c>
      <c r="CD10" s="57">
        <f>Input!A64</f>
        <v>64</v>
      </c>
      <c r="CE10" s="57">
        <f t="shared" si="5"/>
        <v>65</v>
      </c>
      <c r="CF10" s="57">
        <f t="shared" si="5"/>
        <v>66</v>
      </c>
      <c r="CG10" s="57">
        <f t="shared" si="5"/>
        <v>67</v>
      </c>
      <c r="CH10" s="57">
        <f t="shared" si="5"/>
        <v>68</v>
      </c>
      <c r="CJ10" s="57">
        <f>Input!A33</f>
        <v>33</v>
      </c>
      <c r="CK10" s="57" t="s">
        <v>530</v>
      </c>
      <c r="CL10" s="57" t="s">
        <v>530</v>
      </c>
      <c r="CM10" s="57" t="s">
        <v>530</v>
      </c>
      <c r="CN10" s="57" t="s">
        <v>530</v>
      </c>
      <c r="CO10" s="57" t="s">
        <v>530</v>
      </c>
      <c r="CP10" s="57" t="s">
        <v>530</v>
      </c>
      <c r="CQ10" s="57" t="s">
        <v>530</v>
      </c>
      <c r="CR10" s="57" t="s">
        <v>530</v>
      </c>
      <c r="CS10" s="57" t="s">
        <v>530</v>
      </c>
      <c r="CT10" s="57" t="s">
        <v>530</v>
      </c>
      <c r="CU10" s="57" t="s">
        <v>530</v>
      </c>
      <c r="CV10" s="57" t="s">
        <v>530</v>
      </c>
      <c r="CW10" s="57" t="s">
        <v>530</v>
      </c>
      <c r="CX10" s="57" t="s">
        <v>530</v>
      </c>
      <c r="CY10" s="57" t="s">
        <v>530</v>
      </c>
      <c r="CZ10" s="57" t="s">
        <v>530</v>
      </c>
      <c r="DA10" s="57" t="s">
        <v>530</v>
      </c>
      <c r="DB10" s="57" t="s">
        <v>530</v>
      </c>
      <c r="DC10" s="57" t="s">
        <v>530</v>
      </c>
      <c r="DD10" s="57" t="s">
        <v>530</v>
      </c>
      <c r="DE10" s="57" t="s">
        <v>530</v>
      </c>
      <c r="DF10" s="57" t="s">
        <v>530</v>
      </c>
      <c r="DG10" s="57" t="s">
        <v>530</v>
      </c>
      <c r="DH10" s="57" t="s">
        <v>530</v>
      </c>
      <c r="DI10" s="57" t="s">
        <v>530</v>
      </c>
      <c r="DJ10" s="57" t="s">
        <v>530</v>
      </c>
      <c r="DK10" s="57" t="s">
        <v>530</v>
      </c>
      <c r="DL10" s="57" t="s">
        <v>530</v>
      </c>
      <c r="DM10" s="57">
        <f>Input!A16</f>
        <v>16</v>
      </c>
      <c r="DN10" s="57" t="s">
        <v>530</v>
      </c>
      <c r="DO10" s="57" t="s">
        <v>530</v>
      </c>
      <c r="DP10" s="57" t="s">
        <v>530</v>
      </c>
      <c r="DQ10" s="57" t="s">
        <v>530</v>
      </c>
      <c r="DR10" s="57" t="s">
        <v>530</v>
      </c>
      <c r="DS10" s="57">
        <f>Input!A70</f>
        <v>70</v>
      </c>
      <c r="DT10" s="57">
        <f>DS10+1</f>
        <v>71</v>
      </c>
      <c r="DU10" s="57">
        <f t="shared" si="7"/>
        <v>72</v>
      </c>
      <c r="DV10" s="57">
        <f t="shared" si="7"/>
        <v>73</v>
      </c>
      <c r="DW10" s="57">
        <f t="shared" si="7"/>
        <v>74</v>
      </c>
      <c r="DX10" s="331"/>
      <c r="HI10" s="123"/>
      <c r="HJ10" s="59">
        <f>Input!A26</f>
        <v>26</v>
      </c>
      <c r="HK10" s="59">
        <f>HJ10+1</f>
        <v>27</v>
      </c>
      <c r="HL10" s="59">
        <f>HK10+1</f>
        <v>28</v>
      </c>
      <c r="HM10" s="123"/>
    </row>
    <row r="11" spans="1:221" s="56" customFormat="1" ht="15.75" customHeight="1">
      <c r="AS11" s="60"/>
      <c r="AT11" s="57"/>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8"/>
      <c r="CJ11" s="98"/>
      <c r="CK11" s="98"/>
      <c r="CL11" s="98"/>
      <c r="CM11" s="98"/>
      <c r="CN11" s="98"/>
      <c r="CO11" s="98"/>
      <c r="CP11" s="98"/>
      <c r="CQ11" s="98"/>
      <c r="CR11" s="98"/>
      <c r="CS11" s="98"/>
      <c r="CT11" s="98"/>
      <c r="CU11" s="98"/>
      <c r="CV11" s="98"/>
      <c r="CW11" s="98"/>
      <c r="CX11" s="98"/>
      <c r="CY11" s="98"/>
      <c r="CZ11" s="98"/>
      <c r="DA11" s="98"/>
      <c r="DB11" s="98"/>
      <c r="DC11" s="98"/>
      <c r="DD11" s="98"/>
      <c r="DE11" s="98"/>
      <c r="DF11" s="98"/>
      <c r="DG11" s="98"/>
      <c r="DH11" s="98"/>
      <c r="DI11" s="98"/>
      <c r="DJ11" s="98"/>
      <c r="DK11" s="98"/>
      <c r="DL11" s="98"/>
      <c r="DM11" s="98"/>
      <c r="DN11" s="98"/>
      <c r="DO11" s="98"/>
      <c r="DP11" s="98"/>
      <c r="DQ11" s="98"/>
      <c r="DR11" s="98"/>
      <c r="DS11" s="98"/>
      <c r="DT11" s="98"/>
      <c r="DU11" s="98"/>
      <c r="DV11" s="98"/>
      <c r="DW11" s="98"/>
      <c r="DX11" s="338"/>
      <c r="DY11" s="57"/>
      <c r="DZ11" s="57"/>
      <c r="EA11" s="57"/>
      <c r="EB11" s="57"/>
      <c r="EC11" s="57"/>
      <c r="ED11" s="57"/>
      <c r="EE11" s="57"/>
      <c r="EF11" s="57"/>
      <c r="EG11" s="57"/>
      <c r="EH11" s="57"/>
      <c r="EI11" s="57"/>
      <c r="EJ11" s="57"/>
      <c r="EK11" s="57"/>
      <c r="EL11" s="57"/>
      <c r="EM11" s="57"/>
      <c r="EN11" s="57"/>
      <c r="EO11" s="57"/>
      <c r="EP11" s="57"/>
      <c r="EQ11" s="57"/>
      <c r="ER11" s="57"/>
      <c r="ES11" s="57"/>
      <c r="ET11" s="57"/>
      <c r="EU11" s="57"/>
      <c r="EV11" s="57"/>
      <c r="EW11" s="57"/>
      <c r="EX11" s="57"/>
      <c r="EY11" s="57"/>
      <c r="EZ11" s="57"/>
      <c r="FA11" s="57"/>
      <c r="FB11" s="57"/>
      <c r="FC11" s="57"/>
      <c r="FD11" s="57"/>
      <c r="FE11" s="57"/>
      <c r="FF11" s="57"/>
      <c r="FG11" s="57"/>
      <c r="FH11" s="57"/>
      <c r="FI11" s="57"/>
      <c r="FJ11" s="57"/>
      <c r="FK11" s="57"/>
      <c r="FL11" s="57"/>
      <c r="FM11" s="57"/>
      <c r="FN11" s="57"/>
      <c r="FO11" s="57"/>
      <c r="FP11" s="57"/>
      <c r="FQ11" s="57"/>
      <c r="FR11" s="57"/>
      <c r="FS11" s="57"/>
      <c r="FT11" s="57"/>
      <c r="FU11" s="57"/>
      <c r="FV11" s="57"/>
      <c r="FW11" s="57"/>
      <c r="FX11" s="126"/>
      <c r="FY11" s="57"/>
      <c r="FZ11" s="57"/>
      <c r="GA11" s="57"/>
      <c r="GB11" s="57"/>
      <c r="GC11" s="57"/>
      <c r="GD11" s="57"/>
      <c r="GE11" s="57"/>
      <c r="GF11" s="57"/>
      <c r="GG11" s="57"/>
      <c r="GH11" s="57"/>
      <c r="GI11" s="57"/>
      <c r="GJ11" s="57"/>
      <c r="GK11" s="57"/>
      <c r="GL11" s="57"/>
      <c r="GM11" s="57"/>
      <c r="GV11" s="57"/>
      <c r="HB11" s="57"/>
      <c r="HH11" s="57"/>
      <c r="HI11" s="58"/>
      <c r="HJ11" s="59"/>
      <c r="HK11" s="59"/>
      <c r="HL11" s="59"/>
      <c r="HM11" s="123"/>
    </row>
    <row r="12" spans="1:221" s="57" customFormat="1" ht="15.75" thickBot="1">
      <c r="D12" s="339" t="s">
        <v>338</v>
      </c>
      <c r="E12" s="130"/>
      <c r="J12" s="130"/>
      <c r="K12" s="130"/>
      <c r="L12" s="130"/>
      <c r="M12" s="130"/>
      <c r="N12" s="130"/>
      <c r="O12" s="130"/>
      <c r="P12" s="130"/>
      <c r="Q12" s="130"/>
      <c r="R12" s="130"/>
      <c r="S12" s="130"/>
      <c r="T12" s="130"/>
      <c r="U12" s="130"/>
      <c r="V12" s="130"/>
      <c r="W12" s="130"/>
      <c r="X12" s="130"/>
      <c r="Y12" s="130"/>
      <c r="Z12" s="130"/>
      <c r="AA12" s="485"/>
      <c r="AB12" s="486"/>
      <c r="AC12" s="485"/>
      <c r="AD12" s="486"/>
      <c r="AE12" s="485"/>
      <c r="AF12" s="486"/>
      <c r="AG12" s="485"/>
      <c r="AH12" s="486"/>
      <c r="AI12" s="485"/>
      <c r="AJ12" s="487"/>
      <c r="AK12" s="130"/>
      <c r="AL12" s="130"/>
      <c r="AM12" s="130"/>
      <c r="AQ12" s="130"/>
      <c r="AS12" s="59"/>
      <c r="DX12" s="331"/>
      <c r="DY12" s="499" t="s">
        <v>156</v>
      </c>
      <c r="EZ12" s="126"/>
      <c r="FA12" s="126"/>
      <c r="FY12" s="340"/>
      <c r="HI12" s="59"/>
      <c r="HJ12" s="59"/>
      <c r="HK12" s="59"/>
      <c r="HL12" s="59"/>
      <c r="HM12" s="274"/>
    </row>
    <row r="13" spans="1:221" s="71" customFormat="1" ht="33.75" customHeight="1" thickBot="1">
      <c r="A13" s="343" t="s">
        <v>344</v>
      </c>
      <c r="B13" s="344"/>
      <c r="C13" s="344"/>
      <c r="D13" s="344"/>
      <c r="E13" s="344"/>
      <c r="F13" s="344"/>
      <c r="G13" s="344"/>
      <c r="H13" s="344"/>
      <c r="I13" s="344"/>
      <c r="J13" s="344"/>
      <c r="K13" s="344"/>
      <c r="L13" s="344"/>
      <c r="M13" s="344"/>
      <c r="N13" s="344"/>
      <c r="O13" s="344"/>
      <c r="P13" s="344"/>
      <c r="Q13" s="344"/>
      <c r="R13" s="344"/>
      <c r="S13" s="344"/>
      <c r="T13" s="344"/>
      <c r="U13" s="344"/>
      <c r="V13" s="344"/>
      <c r="W13" s="344"/>
      <c r="X13" s="344"/>
      <c r="Y13" s="344"/>
      <c r="Z13" s="344"/>
      <c r="AA13" s="344"/>
      <c r="AB13" s="344"/>
      <c r="AC13" s="344"/>
      <c r="AD13" s="344"/>
      <c r="AE13" s="344"/>
      <c r="AF13" s="344"/>
      <c r="AG13" s="344"/>
      <c r="AH13" s="344"/>
      <c r="AI13" s="344"/>
      <c r="AJ13" s="344"/>
      <c r="AK13" s="345" t="s">
        <v>531</v>
      </c>
      <c r="AL13" s="346"/>
      <c r="AM13" s="346"/>
      <c r="AN13" s="346"/>
      <c r="AO13" s="346"/>
      <c r="AP13" s="346"/>
      <c r="AQ13" s="346"/>
      <c r="AR13" s="347"/>
      <c r="AS13" s="348"/>
      <c r="AT13" s="1008" t="s">
        <v>10</v>
      </c>
      <c r="AU13" s="1009"/>
      <c r="AV13" s="1009"/>
      <c r="AW13" s="1009"/>
      <c r="AX13" s="1009"/>
      <c r="AY13" s="1009"/>
      <c r="AZ13" s="1009"/>
      <c r="BA13" s="1009"/>
      <c r="BB13" s="1010"/>
      <c r="BC13" s="1011" t="s">
        <v>11</v>
      </c>
      <c r="BD13" s="1012"/>
      <c r="BE13" s="1012"/>
      <c r="BF13" s="1012"/>
      <c r="BG13" s="1012"/>
      <c r="BH13" s="1012"/>
      <c r="BI13" s="1012"/>
      <c r="BJ13" s="1012"/>
      <c r="BK13" s="1012"/>
      <c r="BL13" s="1012"/>
      <c r="BM13" s="1012"/>
      <c r="BN13" s="1012"/>
      <c r="BO13" s="1012"/>
      <c r="BP13" s="1012"/>
      <c r="BQ13" s="1012"/>
      <c r="BR13" s="1012"/>
      <c r="BS13" s="1012"/>
      <c r="BT13" s="1012"/>
      <c r="BU13" s="1012"/>
      <c r="BV13" s="1012"/>
      <c r="BW13" s="1012"/>
      <c r="BX13" s="1012"/>
      <c r="BY13" s="1012"/>
      <c r="BZ13" s="1012"/>
      <c r="CA13" s="1012"/>
      <c r="CB13" s="1012"/>
      <c r="CC13" s="1012"/>
      <c r="CD13" s="1012"/>
      <c r="CE13" s="1012"/>
      <c r="CF13" s="1012"/>
      <c r="CG13" s="1012"/>
      <c r="CH13" s="1013"/>
      <c r="CI13" s="945" t="s">
        <v>12</v>
      </c>
      <c r="CJ13" s="946"/>
      <c r="CK13" s="946"/>
      <c r="CL13" s="946"/>
      <c r="CM13" s="946"/>
      <c r="CN13" s="946"/>
      <c r="CO13" s="946"/>
      <c r="CP13" s="946"/>
      <c r="CQ13" s="946"/>
      <c r="CR13" s="946"/>
      <c r="CS13" s="946"/>
      <c r="CT13" s="946"/>
      <c r="CU13" s="946"/>
      <c r="CV13" s="946"/>
      <c r="CW13" s="946"/>
      <c r="CX13" s="946"/>
      <c r="CY13" s="946"/>
      <c r="CZ13" s="946"/>
      <c r="DA13" s="946"/>
      <c r="DB13" s="946"/>
      <c r="DC13" s="946"/>
      <c r="DD13" s="946"/>
      <c r="DE13" s="946"/>
      <c r="DF13" s="946"/>
      <c r="DG13" s="946"/>
      <c r="DH13" s="946"/>
      <c r="DI13" s="946"/>
      <c r="DJ13" s="946"/>
      <c r="DK13" s="946"/>
      <c r="DL13" s="946"/>
      <c r="DM13" s="946"/>
      <c r="DN13" s="946"/>
      <c r="DO13" s="946"/>
      <c r="DP13" s="946"/>
      <c r="DQ13" s="946"/>
      <c r="DR13" s="946"/>
      <c r="DS13" s="946"/>
      <c r="DT13" s="946"/>
      <c r="DU13" s="946"/>
      <c r="DV13" s="946"/>
      <c r="DW13" s="947"/>
      <c r="DX13" s="349"/>
      <c r="DY13" s="948" t="s">
        <v>13</v>
      </c>
      <c r="DZ13" s="949"/>
      <c r="EA13" s="949"/>
      <c r="EB13" s="949"/>
      <c r="EC13" s="949"/>
      <c r="ED13" s="949"/>
      <c r="EE13" s="949"/>
      <c r="EF13" s="949"/>
      <c r="EG13" s="949"/>
      <c r="EH13" s="949"/>
      <c r="EI13" s="949"/>
      <c r="EJ13" s="949"/>
      <c r="EK13" s="949"/>
      <c r="EL13" s="949"/>
      <c r="EM13" s="949"/>
      <c r="EN13" s="949"/>
      <c r="EO13" s="949"/>
      <c r="EP13" s="949"/>
      <c r="EQ13" s="949"/>
      <c r="ER13" s="949"/>
      <c r="ES13" s="949"/>
      <c r="ET13" s="949"/>
      <c r="EU13" s="949"/>
      <c r="EV13" s="949"/>
      <c r="EW13" s="949"/>
      <c r="EX13" s="949"/>
      <c r="EY13" s="949"/>
      <c r="EZ13" s="949"/>
      <c r="FA13" s="949"/>
      <c r="FB13" s="949"/>
      <c r="FC13" s="949"/>
      <c r="FD13" s="949"/>
      <c r="FE13" s="949"/>
      <c r="FF13" s="949"/>
      <c r="FG13" s="949"/>
      <c r="FH13" s="949"/>
      <c r="FI13" s="949"/>
      <c r="FJ13" s="949"/>
      <c r="FK13" s="949"/>
      <c r="FL13" s="949"/>
      <c r="FM13" s="949"/>
      <c r="FN13" s="949"/>
      <c r="FO13" s="949"/>
      <c r="FP13" s="949"/>
      <c r="FQ13" s="949"/>
      <c r="FR13" s="949"/>
      <c r="FS13" s="949"/>
      <c r="FT13" s="949"/>
      <c r="FU13" s="949"/>
      <c r="FV13" s="949"/>
      <c r="FW13" s="949"/>
      <c r="FX13" s="949"/>
      <c r="FY13" s="949"/>
      <c r="FZ13" s="949"/>
      <c r="GA13" s="949"/>
      <c r="GB13" s="949"/>
      <c r="GC13" s="949"/>
      <c r="GD13" s="949"/>
      <c r="GE13" s="949"/>
      <c r="GF13" s="949"/>
      <c r="GG13" s="949"/>
      <c r="GH13" s="949"/>
      <c r="GI13" s="949"/>
      <c r="GJ13" s="949"/>
      <c r="GK13" s="949"/>
      <c r="GL13" s="949"/>
      <c r="GM13" s="1014"/>
      <c r="GO13" s="903" t="s">
        <v>14</v>
      </c>
      <c r="GP13" s="1015"/>
      <c r="GQ13" s="1015"/>
      <c r="GR13" s="1015"/>
      <c r="GS13" s="1015"/>
      <c r="GT13" s="1015"/>
      <c r="GU13" s="1015"/>
      <c r="GV13" s="1015"/>
      <c r="GW13" s="1015"/>
      <c r="GX13" s="1015"/>
      <c r="GY13" s="1015"/>
      <c r="GZ13" s="1015"/>
      <c r="HA13" s="1015"/>
      <c r="HB13" s="1015"/>
      <c r="HC13" s="1015"/>
      <c r="HD13" s="1015"/>
      <c r="HE13" s="1015"/>
      <c r="HF13" s="1015"/>
      <c r="HG13" s="1015"/>
      <c r="HH13" s="1016"/>
      <c r="HI13" s="72"/>
      <c r="HJ13" s="1017" t="s">
        <v>532</v>
      </c>
      <c r="HK13" s="1018"/>
      <c r="HL13" s="1019"/>
      <c r="HM13" s="104"/>
    </row>
    <row r="14" spans="1:221" s="71" customFormat="1" ht="13.5" customHeight="1" thickBot="1">
      <c r="A14" s="1020" t="s">
        <v>533</v>
      </c>
      <c r="B14" s="1023" t="s">
        <v>309</v>
      </c>
      <c r="C14" s="1026" t="s">
        <v>825</v>
      </c>
      <c r="D14" s="1029" t="s">
        <v>314</v>
      </c>
      <c r="E14" s="987" t="s">
        <v>155</v>
      </c>
      <c r="F14" s="987" t="s">
        <v>350</v>
      </c>
      <c r="G14" s="987" t="s">
        <v>351</v>
      </c>
      <c r="H14" s="987" t="s">
        <v>352</v>
      </c>
      <c r="I14" s="987" t="s">
        <v>534</v>
      </c>
      <c r="J14" s="1005" t="s">
        <v>535</v>
      </c>
      <c r="K14" s="1005" t="s">
        <v>536</v>
      </c>
      <c r="L14" s="1005" t="s">
        <v>537</v>
      </c>
      <c r="M14" s="1005" t="s">
        <v>538</v>
      </c>
      <c r="N14" s="1005" t="s">
        <v>539</v>
      </c>
      <c r="O14" s="1005" t="s">
        <v>540</v>
      </c>
      <c r="P14" s="1005" t="s">
        <v>541</v>
      </c>
      <c r="Q14" s="1005" t="s">
        <v>542</v>
      </c>
      <c r="R14" s="1005" t="s">
        <v>535</v>
      </c>
      <c r="S14" s="1005" t="s">
        <v>536</v>
      </c>
      <c r="T14" s="1005" t="s">
        <v>537</v>
      </c>
      <c r="U14" s="1005" t="s">
        <v>538</v>
      </c>
      <c r="V14" s="1005" t="s">
        <v>539</v>
      </c>
      <c r="W14" s="1005" t="s">
        <v>540</v>
      </c>
      <c r="X14" s="1005" t="s">
        <v>541</v>
      </c>
      <c r="Y14" s="987" t="s">
        <v>346</v>
      </c>
      <c r="Z14" s="1005" t="s">
        <v>7</v>
      </c>
      <c r="AA14" s="990" t="str">
        <f>INDEX(Input!$1:$1048576,AA$10-1,7)</f>
        <v>Misc 1: Event Purchase RBV (C, F)</v>
      </c>
      <c r="AB14" s="987" t="s">
        <v>759</v>
      </c>
      <c r="AC14" s="990" t="str">
        <f>INDEX(Input!$1:$1048576,AC$10-1,7)</f>
        <v>Misc 2: Event Lease Bonus (L)</v>
      </c>
      <c r="AD14" s="987" t="s">
        <v>759</v>
      </c>
      <c r="AE14" s="990" t="str">
        <f>INDEX(Input!$1:$1048576,AE$10-1,7)</f>
        <v>Misc 3: Stackable Bonus Cash</v>
      </c>
      <c r="AF14" s="987" t="s">
        <v>767</v>
      </c>
      <c r="AG14" s="990" t="str">
        <f>INDEX(Input!$1:$1048576,AG$10-1,7)</f>
        <v>Misc 4: State-Level RBC (C, F)</v>
      </c>
      <c r="AH14" s="987" t="s">
        <v>761</v>
      </c>
      <c r="AI14" s="990" t="str">
        <f>INDEX(Input!$1:$1048576,AI$10-1,7)</f>
        <v>Misc 5: Bonus</v>
      </c>
      <c r="AJ14" s="993" t="s">
        <v>762</v>
      </c>
      <c r="AK14" s="996" t="s">
        <v>544</v>
      </c>
      <c r="AL14" s="999" t="s">
        <v>545</v>
      </c>
      <c r="AM14" s="1002" t="s">
        <v>546</v>
      </c>
      <c r="AN14" s="981" t="s">
        <v>547</v>
      </c>
      <c r="AO14" s="981" t="s">
        <v>548</v>
      </c>
      <c r="AP14" s="981" t="s">
        <v>694</v>
      </c>
      <c r="AQ14" s="981" t="s">
        <v>737</v>
      </c>
      <c r="AR14" s="981" t="s">
        <v>733</v>
      </c>
      <c r="AS14" s="93"/>
      <c r="AT14" s="984" t="s">
        <v>90</v>
      </c>
      <c r="AU14" s="974" t="s">
        <v>91</v>
      </c>
      <c r="AV14" s="974" t="s">
        <v>92</v>
      </c>
      <c r="AW14" s="974" t="s">
        <v>93</v>
      </c>
      <c r="AX14" s="974" t="s">
        <v>94</v>
      </c>
      <c r="AY14" s="974" t="s">
        <v>3</v>
      </c>
      <c r="AZ14" s="974" t="s">
        <v>4</v>
      </c>
      <c r="BA14" s="955" t="s">
        <v>95</v>
      </c>
      <c r="BB14" s="958" t="s">
        <v>96</v>
      </c>
      <c r="BC14" s="207" t="s">
        <v>1</v>
      </c>
      <c r="BD14" s="961" t="s">
        <v>15</v>
      </c>
      <c r="BE14" s="962"/>
      <c r="BF14" s="962"/>
      <c r="BG14" s="962"/>
      <c r="BH14" s="962"/>
      <c r="BI14" s="962"/>
      <c r="BJ14" s="962"/>
      <c r="BK14" s="962"/>
      <c r="BL14" s="962"/>
      <c r="BM14" s="963"/>
      <c r="BN14" s="961" t="s">
        <v>16</v>
      </c>
      <c r="BO14" s="962"/>
      <c r="BP14" s="962"/>
      <c r="BQ14" s="962"/>
      <c r="BR14" s="962"/>
      <c r="BS14" s="962"/>
      <c r="BT14" s="962"/>
      <c r="BU14" s="962"/>
      <c r="BV14" s="962"/>
      <c r="BW14" s="964"/>
      <c r="BX14" s="965" t="s">
        <v>17</v>
      </c>
      <c r="BY14" s="968" t="s">
        <v>18</v>
      </c>
      <c r="BZ14" s="969"/>
      <c r="CA14" s="969"/>
      <c r="CB14" s="969"/>
      <c r="CC14" s="969"/>
      <c r="CD14" s="969"/>
      <c r="CE14" s="969"/>
      <c r="CF14" s="969"/>
      <c r="CG14" s="969"/>
      <c r="CH14" s="970"/>
      <c r="CI14" s="945" t="s">
        <v>19</v>
      </c>
      <c r="CJ14" s="946"/>
      <c r="CK14" s="946"/>
      <c r="CL14" s="946"/>
      <c r="CM14" s="946"/>
      <c r="CN14" s="946"/>
      <c r="CO14" s="946"/>
      <c r="CP14" s="946"/>
      <c r="CQ14" s="946"/>
      <c r="CR14" s="946"/>
      <c r="CS14" s="946"/>
      <c r="CT14" s="946"/>
      <c r="CU14" s="946"/>
      <c r="CV14" s="946"/>
      <c r="CW14" s="946"/>
      <c r="CX14" s="946"/>
      <c r="CY14" s="946"/>
      <c r="CZ14" s="946"/>
      <c r="DA14" s="946"/>
      <c r="DB14" s="946"/>
      <c r="DC14" s="946"/>
      <c r="DD14" s="946"/>
      <c r="DE14" s="946"/>
      <c r="DF14" s="946"/>
      <c r="DG14" s="946"/>
      <c r="DH14" s="946"/>
      <c r="DI14" s="946"/>
      <c r="DJ14" s="946"/>
      <c r="DK14" s="946"/>
      <c r="DL14" s="946"/>
      <c r="DM14" s="946"/>
      <c r="DN14" s="946"/>
      <c r="DO14" s="946"/>
      <c r="DP14" s="946"/>
      <c r="DQ14" s="946"/>
      <c r="DR14" s="946"/>
      <c r="DS14" s="946"/>
      <c r="DT14" s="946"/>
      <c r="DU14" s="946"/>
      <c r="DV14" s="946"/>
      <c r="DW14" s="947"/>
      <c r="DX14" s="349"/>
      <c r="DY14" s="948" t="s">
        <v>20</v>
      </c>
      <c r="DZ14" s="949"/>
      <c r="EA14" s="949"/>
      <c r="EB14" s="949"/>
      <c r="EC14" s="949"/>
      <c r="ED14" s="949"/>
      <c r="EE14" s="949"/>
      <c r="EF14" s="949"/>
      <c r="EG14" s="949"/>
      <c r="EH14" s="949"/>
      <c r="EI14" s="949"/>
      <c r="EJ14" s="949"/>
      <c r="EK14" s="949"/>
      <c r="EL14" s="949"/>
      <c r="EM14" s="949"/>
      <c r="EN14" s="949"/>
      <c r="EO14" s="949"/>
      <c r="EP14" s="949"/>
      <c r="EQ14" s="949"/>
      <c r="ER14" s="949"/>
      <c r="ES14" s="949"/>
      <c r="ET14" s="950"/>
      <c r="EU14" s="932" t="s">
        <v>21</v>
      </c>
      <c r="EV14" s="933"/>
      <c r="EW14" s="933"/>
      <c r="EX14" s="933"/>
      <c r="EY14" s="933"/>
      <c r="EZ14" s="934"/>
      <c r="FA14" s="928" t="s">
        <v>22</v>
      </c>
      <c r="FB14" s="929"/>
      <c r="FC14" s="929"/>
      <c r="FD14" s="929"/>
      <c r="FE14" s="929"/>
      <c r="FF14" s="929"/>
      <c r="FG14" s="929"/>
      <c r="FH14" s="929"/>
      <c r="FI14" s="929"/>
      <c r="FJ14" s="929"/>
      <c r="FK14" s="929"/>
      <c r="FL14" s="929"/>
      <c r="FM14" s="929"/>
      <c r="FN14" s="929"/>
      <c r="FO14" s="929"/>
      <c r="FP14" s="929"/>
      <c r="FQ14" s="929"/>
      <c r="FR14" s="929"/>
      <c r="FS14" s="930"/>
      <c r="FT14" s="932" t="s">
        <v>23</v>
      </c>
      <c r="FU14" s="933"/>
      <c r="FV14" s="933"/>
      <c r="FW14" s="933"/>
      <c r="FX14" s="933"/>
      <c r="FY14" s="934"/>
      <c r="FZ14" s="935" t="s">
        <v>24</v>
      </c>
      <c r="GA14" s="936"/>
      <c r="GB14" s="937"/>
      <c r="GC14" s="928" t="s">
        <v>25</v>
      </c>
      <c r="GD14" s="929"/>
      <c r="GE14" s="929"/>
      <c r="GF14" s="930"/>
      <c r="GG14" s="928" t="s">
        <v>26</v>
      </c>
      <c r="GH14" s="929"/>
      <c r="GI14" s="930"/>
      <c r="GJ14" s="928" t="s">
        <v>27</v>
      </c>
      <c r="GK14" s="929"/>
      <c r="GL14" s="929"/>
      <c r="GM14" s="931"/>
      <c r="GO14" s="903" t="s">
        <v>28</v>
      </c>
      <c r="GP14" s="903"/>
      <c r="GQ14" s="903"/>
      <c r="GR14" s="903"/>
      <c r="GS14" s="903"/>
      <c r="GT14" s="903"/>
      <c r="GU14" s="903"/>
      <c r="GV14" s="903"/>
      <c r="GW14" s="903"/>
      <c r="GX14" s="903"/>
      <c r="GY14" s="903"/>
      <c r="GZ14" s="903"/>
      <c r="HA14" s="903"/>
      <c r="HB14" s="903"/>
      <c r="HC14" s="903"/>
      <c r="HD14" s="903"/>
      <c r="HE14" s="903"/>
      <c r="HF14" s="903"/>
      <c r="HG14" s="903"/>
      <c r="HH14" s="903"/>
      <c r="HI14" s="72"/>
      <c r="HJ14" s="77" t="s">
        <v>142</v>
      </c>
      <c r="HK14" s="78"/>
      <c r="HL14" s="74"/>
      <c r="HM14" s="80"/>
    </row>
    <row r="15" spans="1:221" s="90" customFormat="1" ht="15" customHeight="1" thickBot="1">
      <c r="A15" s="1021"/>
      <c r="B15" s="1024"/>
      <c r="C15" s="1027"/>
      <c r="D15" s="1030"/>
      <c r="E15" s="988"/>
      <c r="F15" s="988"/>
      <c r="G15" s="988"/>
      <c r="H15" s="988"/>
      <c r="I15" s="988"/>
      <c r="J15" s="1006"/>
      <c r="K15" s="1006"/>
      <c r="L15" s="1006"/>
      <c r="M15" s="1006"/>
      <c r="N15" s="1006"/>
      <c r="O15" s="1006"/>
      <c r="P15" s="1006"/>
      <c r="Q15" s="1006"/>
      <c r="R15" s="1006"/>
      <c r="S15" s="1006"/>
      <c r="T15" s="1006"/>
      <c r="U15" s="1006"/>
      <c r="V15" s="1006"/>
      <c r="W15" s="1006"/>
      <c r="X15" s="1006"/>
      <c r="Y15" s="988"/>
      <c r="Z15" s="1006"/>
      <c r="AA15" s="991"/>
      <c r="AB15" s="988"/>
      <c r="AC15" s="991"/>
      <c r="AD15" s="988"/>
      <c r="AE15" s="991"/>
      <c r="AF15" s="988"/>
      <c r="AG15" s="991"/>
      <c r="AH15" s="988"/>
      <c r="AI15" s="991"/>
      <c r="AJ15" s="994"/>
      <c r="AK15" s="997"/>
      <c r="AL15" s="1000"/>
      <c r="AM15" s="1003"/>
      <c r="AN15" s="982"/>
      <c r="AO15" s="982"/>
      <c r="AP15" s="982"/>
      <c r="AQ15" s="982"/>
      <c r="AR15" s="982"/>
      <c r="AS15" s="93"/>
      <c r="AT15" s="985"/>
      <c r="AU15" s="975"/>
      <c r="AV15" s="975"/>
      <c r="AW15" s="975"/>
      <c r="AX15" s="975"/>
      <c r="AY15" s="975"/>
      <c r="AZ15" s="975"/>
      <c r="BA15" s="956"/>
      <c r="BB15" s="959"/>
      <c r="BC15" s="977" t="s">
        <v>29</v>
      </c>
      <c r="BD15" s="971" t="s">
        <v>30</v>
      </c>
      <c r="BE15" s="972"/>
      <c r="BF15" s="972"/>
      <c r="BG15" s="972"/>
      <c r="BH15" s="979"/>
      <c r="BI15" s="971" t="s">
        <v>31</v>
      </c>
      <c r="BJ15" s="972"/>
      <c r="BK15" s="972"/>
      <c r="BL15" s="972"/>
      <c r="BM15" s="979"/>
      <c r="BN15" s="971" t="s">
        <v>32</v>
      </c>
      <c r="BO15" s="972"/>
      <c r="BP15" s="972"/>
      <c r="BQ15" s="972"/>
      <c r="BR15" s="979"/>
      <c r="BS15" s="971" t="s">
        <v>33</v>
      </c>
      <c r="BT15" s="972"/>
      <c r="BU15" s="972"/>
      <c r="BV15" s="972"/>
      <c r="BW15" s="973"/>
      <c r="BX15" s="966"/>
      <c r="BY15" s="980" t="s">
        <v>34</v>
      </c>
      <c r="BZ15" s="972"/>
      <c r="CA15" s="972"/>
      <c r="CB15" s="972"/>
      <c r="CC15" s="979"/>
      <c r="CD15" s="971" t="s">
        <v>35</v>
      </c>
      <c r="CE15" s="972"/>
      <c r="CF15" s="972"/>
      <c r="CG15" s="972"/>
      <c r="CH15" s="973"/>
      <c r="CI15" s="951" t="s">
        <v>5</v>
      </c>
      <c r="CJ15" s="953" t="s">
        <v>36</v>
      </c>
      <c r="CK15" s="940" t="s">
        <v>37</v>
      </c>
      <c r="CL15" s="942"/>
      <c r="CM15" s="942"/>
      <c r="CN15" s="942"/>
      <c r="CO15" s="941"/>
      <c r="CP15" s="938" t="s">
        <v>38</v>
      </c>
      <c r="CQ15" s="940" t="s">
        <v>39</v>
      </c>
      <c r="CR15" s="942"/>
      <c r="CS15" s="942"/>
      <c r="CT15" s="942"/>
      <c r="CU15" s="941"/>
      <c r="CV15" s="938" t="s">
        <v>6</v>
      </c>
      <c r="CW15" s="940" t="s">
        <v>40</v>
      </c>
      <c r="CX15" s="942"/>
      <c r="CY15" s="942"/>
      <c r="CZ15" s="942"/>
      <c r="DA15" s="941"/>
      <c r="DB15" s="938" t="s">
        <v>7</v>
      </c>
      <c r="DC15" s="940" t="s">
        <v>0</v>
      </c>
      <c r="DD15" s="942"/>
      <c r="DE15" s="941"/>
      <c r="DF15" s="938" t="s">
        <v>41</v>
      </c>
      <c r="DG15" s="938" t="s">
        <v>42</v>
      </c>
      <c r="DH15" s="938" t="s">
        <v>43</v>
      </c>
      <c r="DI15" s="938" t="s">
        <v>44</v>
      </c>
      <c r="DJ15" s="938" t="s">
        <v>45</v>
      </c>
      <c r="DK15" s="940" t="s">
        <v>46</v>
      </c>
      <c r="DL15" s="941"/>
      <c r="DM15" s="938" t="s">
        <v>47</v>
      </c>
      <c r="DN15" s="940" t="s">
        <v>48</v>
      </c>
      <c r="DO15" s="942"/>
      <c r="DP15" s="942"/>
      <c r="DQ15" s="942"/>
      <c r="DR15" s="941"/>
      <c r="DS15" s="212" t="s">
        <v>49</v>
      </c>
      <c r="DT15" s="213"/>
      <c r="DU15" s="213"/>
      <c r="DV15" s="213"/>
      <c r="DW15" s="214"/>
      <c r="DX15" s="358"/>
      <c r="DY15" s="943" t="s">
        <v>50</v>
      </c>
      <c r="DZ15" s="217" t="s">
        <v>51</v>
      </c>
      <c r="EA15" s="218"/>
      <c r="EB15" s="217" t="s">
        <v>52</v>
      </c>
      <c r="EC15" s="219"/>
      <c r="ED15" s="219"/>
      <c r="EE15" s="219"/>
      <c r="EF15" s="218"/>
      <c r="EG15" s="922" t="s">
        <v>53</v>
      </c>
      <c r="EH15" s="217" t="s">
        <v>54</v>
      </c>
      <c r="EI15" s="219"/>
      <c r="EJ15" s="219"/>
      <c r="EK15" s="219"/>
      <c r="EL15" s="218"/>
      <c r="EM15" s="922" t="s">
        <v>55</v>
      </c>
      <c r="EN15" s="217" t="s">
        <v>56</v>
      </c>
      <c r="EO15" s="219"/>
      <c r="EP15" s="219"/>
      <c r="EQ15" s="219"/>
      <c r="ER15" s="218"/>
      <c r="ES15" s="922" t="s">
        <v>57</v>
      </c>
      <c r="ET15" s="922" t="s">
        <v>58</v>
      </c>
      <c r="EU15" s="926" t="s">
        <v>59</v>
      </c>
      <c r="EV15" s="223" t="s">
        <v>60</v>
      </c>
      <c r="EW15" s="224"/>
      <c r="EX15" s="926" t="s">
        <v>61</v>
      </c>
      <c r="EY15" s="926" t="s">
        <v>62</v>
      </c>
      <c r="EZ15" s="926" t="s">
        <v>63</v>
      </c>
      <c r="FA15" s="922" t="s">
        <v>64</v>
      </c>
      <c r="FB15" s="217" t="s">
        <v>65</v>
      </c>
      <c r="FC15" s="219"/>
      <c r="FD15" s="219"/>
      <c r="FE15" s="219"/>
      <c r="FF15" s="218"/>
      <c r="FG15" s="922" t="s">
        <v>65</v>
      </c>
      <c r="FH15" s="217" t="s">
        <v>66</v>
      </c>
      <c r="FI15" s="219"/>
      <c r="FJ15" s="219"/>
      <c r="FK15" s="219"/>
      <c r="FL15" s="218"/>
      <c r="FM15" s="922" t="s">
        <v>67</v>
      </c>
      <c r="FN15" s="217" t="s">
        <v>68</v>
      </c>
      <c r="FO15" s="219"/>
      <c r="FP15" s="219"/>
      <c r="FQ15" s="219"/>
      <c r="FR15" s="218"/>
      <c r="FS15" s="922" t="s">
        <v>69</v>
      </c>
      <c r="FT15" s="926" t="s">
        <v>70</v>
      </c>
      <c r="FU15" s="926" t="s">
        <v>71</v>
      </c>
      <c r="FV15" s="926" t="s">
        <v>72</v>
      </c>
      <c r="FW15" s="926" t="s">
        <v>73</v>
      </c>
      <c r="FX15" s="926" t="s">
        <v>74</v>
      </c>
      <c r="FY15" s="926" t="s">
        <v>75</v>
      </c>
      <c r="FZ15" s="217" t="s">
        <v>76</v>
      </c>
      <c r="GA15" s="217"/>
      <c r="GB15" s="922" t="s">
        <v>77</v>
      </c>
      <c r="GC15" s="217" t="s">
        <v>78</v>
      </c>
      <c r="GD15" s="218"/>
      <c r="GE15" s="217" t="s">
        <v>79</v>
      </c>
      <c r="GF15" s="218"/>
      <c r="GG15" s="922" t="s">
        <v>80</v>
      </c>
      <c r="GH15" s="922" t="s">
        <v>81</v>
      </c>
      <c r="GI15" s="922" t="s">
        <v>82</v>
      </c>
      <c r="GJ15" s="922" t="s">
        <v>42</v>
      </c>
      <c r="GK15" s="922" t="s">
        <v>43</v>
      </c>
      <c r="GL15" s="922" t="s">
        <v>44</v>
      </c>
      <c r="GM15" s="924" t="s">
        <v>45</v>
      </c>
      <c r="GO15" s="915" t="s">
        <v>83</v>
      </c>
      <c r="GP15" s="915"/>
      <c r="GQ15" s="914" t="s">
        <v>84</v>
      </c>
      <c r="GR15" s="914"/>
      <c r="GS15" s="914"/>
      <c r="GT15" s="914"/>
      <c r="GU15" s="914"/>
      <c r="GV15" s="905" t="s">
        <v>85</v>
      </c>
      <c r="GW15" s="904" t="s">
        <v>86</v>
      </c>
      <c r="GX15" s="904"/>
      <c r="GY15" s="904"/>
      <c r="GZ15" s="904"/>
      <c r="HA15" s="904"/>
      <c r="HB15" s="916" t="s">
        <v>87</v>
      </c>
      <c r="HC15" s="914" t="s">
        <v>88</v>
      </c>
      <c r="HD15" s="918"/>
      <c r="HE15" s="918"/>
      <c r="HF15" s="918"/>
      <c r="HG15" s="919"/>
      <c r="HH15" s="920" t="s">
        <v>89</v>
      </c>
      <c r="HI15" s="91"/>
      <c r="HJ15" s="908" t="s">
        <v>70</v>
      </c>
      <c r="HK15" s="910" t="s">
        <v>71</v>
      </c>
      <c r="HL15" s="912" t="s">
        <v>72</v>
      </c>
      <c r="HM15" s="906" t="s">
        <v>716</v>
      </c>
    </row>
    <row r="16" spans="1:221" s="92" customFormat="1" ht="45.75" thickBot="1">
      <c r="A16" s="1022"/>
      <c r="B16" s="1025"/>
      <c r="C16" s="1028"/>
      <c r="D16" s="1031"/>
      <c r="E16" s="989"/>
      <c r="F16" s="989"/>
      <c r="G16" s="989"/>
      <c r="H16" s="989"/>
      <c r="I16" s="989"/>
      <c r="J16" s="1007"/>
      <c r="K16" s="1007"/>
      <c r="L16" s="1007"/>
      <c r="M16" s="1007"/>
      <c r="N16" s="1007"/>
      <c r="O16" s="1007"/>
      <c r="P16" s="1007"/>
      <c r="Q16" s="1007"/>
      <c r="R16" s="1007"/>
      <c r="S16" s="1007"/>
      <c r="T16" s="1007"/>
      <c r="U16" s="1007"/>
      <c r="V16" s="1007"/>
      <c r="W16" s="1007"/>
      <c r="X16" s="1007"/>
      <c r="Y16" s="989"/>
      <c r="Z16" s="1007"/>
      <c r="AA16" s="992"/>
      <c r="AB16" s="989"/>
      <c r="AC16" s="992"/>
      <c r="AD16" s="989"/>
      <c r="AE16" s="992"/>
      <c r="AF16" s="989"/>
      <c r="AG16" s="992"/>
      <c r="AH16" s="989"/>
      <c r="AI16" s="992"/>
      <c r="AJ16" s="995"/>
      <c r="AK16" s="998"/>
      <c r="AL16" s="1001"/>
      <c r="AM16" s="1004"/>
      <c r="AN16" s="983"/>
      <c r="AO16" s="983"/>
      <c r="AP16" s="983"/>
      <c r="AQ16" s="983"/>
      <c r="AR16" s="983"/>
      <c r="AS16" s="93"/>
      <c r="AT16" s="986"/>
      <c r="AU16" s="976"/>
      <c r="AV16" s="976"/>
      <c r="AW16" s="976"/>
      <c r="AX16" s="976"/>
      <c r="AY16" s="976"/>
      <c r="AZ16" s="976"/>
      <c r="BA16" s="957"/>
      <c r="BB16" s="960"/>
      <c r="BC16" s="978"/>
      <c r="BD16" s="208">
        <v>36</v>
      </c>
      <c r="BE16" s="209">
        <v>48</v>
      </c>
      <c r="BF16" s="209">
        <v>60</v>
      </c>
      <c r="BG16" s="209">
        <v>72</v>
      </c>
      <c r="BH16" s="891" t="s">
        <v>1068</v>
      </c>
      <c r="BI16" s="209">
        <v>24</v>
      </c>
      <c r="BJ16" s="209">
        <v>36</v>
      </c>
      <c r="BK16" s="209">
        <v>39</v>
      </c>
      <c r="BL16" s="209">
        <v>48</v>
      </c>
      <c r="BM16" s="209">
        <v>60</v>
      </c>
      <c r="BN16" s="209">
        <v>36</v>
      </c>
      <c r="BO16" s="209">
        <v>48</v>
      </c>
      <c r="BP16" s="209">
        <v>60</v>
      </c>
      <c r="BQ16" s="209">
        <v>72</v>
      </c>
      <c r="BR16" s="891" t="s">
        <v>1068</v>
      </c>
      <c r="BS16" s="209">
        <v>24</v>
      </c>
      <c r="BT16" s="209">
        <v>36</v>
      </c>
      <c r="BU16" s="209">
        <v>39</v>
      </c>
      <c r="BV16" s="209">
        <v>48</v>
      </c>
      <c r="BW16" s="210">
        <v>60</v>
      </c>
      <c r="BX16" s="967"/>
      <c r="BY16" s="208">
        <v>36</v>
      </c>
      <c r="BZ16" s="209">
        <v>48</v>
      </c>
      <c r="CA16" s="209">
        <v>60</v>
      </c>
      <c r="CB16" s="209">
        <v>72</v>
      </c>
      <c r="CC16" s="891" t="s">
        <v>1068</v>
      </c>
      <c r="CD16" s="209">
        <v>24</v>
      </c>
      <c r="CE16" s="209">
        <v>36</v>
      </c>
      <c r="CF16" s="209">
        <v>39</v>
      </c>
      <c r="CG16" s="209">
        <v>48</v>
      </c>
      <c r="CH16" s="211">
        <v>60</v>
      </c>
      <c r="CI16" s="952"/>
      <c r="CJ16" s="954"/>
      <c r="CK16" s="215">
        <v>36</v>
      </c>
      <c r="CL16" s="215">
        <v>48</v>
      </c>
      <c r="CM16" s="215">
        <v>60</v>
      </c>
      <c r="CN16" s="215">
        <v>72</v>
      </c>
      <c r="CO16" s="892" t="s">
        <v>1068</v>
      </c>
      <c r="CP16" s="939"/>
      <c r="CQ16" s="215">
        <v>36</v>
      </c>
      <c r="CR16" s="215">
        <v>48</v>
      </c>
      <c r="CS16" s="215">
        <v>60</v>
      </c>
      <c r="CT16" s="215">
        <v>72</v>
      </c>
      <c r="CU16" s="892" t="s">
        <v>1068</v>
      </c>
      <c r="CV16" s="939"/>
      <c r="CW16" s="215">
        <v>24</v>
      </c>
      <c r="CX16" s="215">
        <v>36</v>
      </c>
      <c r="CY16" s="215">
        <v>39</v>
      </c>
      <c r="CZ16" s="215">
        <v>48</v>
      </c>
      <c r="DA16" s="215">
        <v>60</v>
      </c>
      <c r="DB16" s="939"/>
      <c r="DC16" s="215" t="s">
        <v>97</v>
      </c>
      <c r="DD16" s="215" t="s">
        <v>98</v>
      </c>
      <c r="DE16" s="215" t="s">
        <v>99</v>
      </c>
      <c r="DF16" s="939"/>
      <c r="DG16" s="939"/>
      <c r="DH16" s="939"/>
      <c r="DI16" s="939"/>
      <c r="DJ16" s="939"/>
      <c r="DK16" s="215" t="s">
        <v>98</v>
      </c>
      <c r="DL16" s="215" t="s">
        <v>99</v>
      </c>
      <c r="DM16" s="939"/>
      <c r="DN16" s="512" t="s">
        <v>100</v>
      </c>
      <c r="DO16" s="512" t="s">
        <v>101</v>
      </c>
      <c r="DP16" s="512" t="s">
        <v>102</v>
      </c>
      <c r="DQ16" s="512" t="s">
        <v>103</v>
      </c>
      <c r="DR16" s="512" t="s">
        <v>104</v>
      </c>
      <c r="DS16" s="512" t="s">
        <v>105</v>
      </c>
      <c r="DT16" s="512" t="s">
        <v>106</v>
      </c>
      <c r="DU16" s="512" t="s">
        <v>107</v>
      </c>
      <c r="DV16" s="512" t="s">
        <v>108</v>
      </c>
      <c r="DW16" s="216" t="s">
        <v>109</v>
      </c>
      <c r="DX16" s="362"/>
      <c r="DY16" s="944"/>
      <c r="DZ16" s="510" t="s">
        <v>110</v>
      </c>
      <c r="EA16" s="510" t="s">
        <v>111</v>
      </c>
      <c r="EB16" s="220">
        <v>24</v>
      </c>
      <c r="EC16" s="220">
        <v>36</v>
      </c>
      <c r="ED16" s="220">
        <v>48</v>
      </c>
      <c r="EE16" s="220">
        <v>60</v>
      </c>
      <c r="EF16" s="220">
        <v>72</v>
      </c>
      <c r="EG16" s="923"/>
      <c r="EH16" s="220">
        <v>24</v>
      </c>
      <c r="EI16" s="220">
        <v>36</v>
      </c>
      <c r="EJ16" s="220">
        <v>48</v>
      </c>
      <c r="EK16" s="220">
        <v>60</v>
      </c>
      <c r="EL16" s="220">
        <v>72</v>
      </c>
      <c r="EM16" s="923"/>
      <c r="EN16" s="220">
        <v>24</v>
      </c>
      <c r="EO16" s="220">
        <v>36</v>
      </c>
      <c r="EP16" s="221">
        <v>39</v>
      </c>
      <c r="EQ16" s="221">
        <v>48</v>
      </c>
      <c r="ER16" s="221">
        <v>60</v>
      </c>
      <c r="ES16" s="923"/>
      <c r="ET16" s="923"/>
      <c r="EU16" s="927"/>
      <c r="EV16" s="511" t="s">
        <v>110</v>
      </c>
      <c r="EW16" s="511" t="s">
        <v>111</v>
      </c>
      <c r="EX16" s="927"/>
      <c r="EY16" s="927"/>
      <c r="EZ16" s="927"/>
      <c r="FA16" s="923"/>
      <c r="FB16" s="221">
        <v>24</v>
      </c>
      <c r="FC16" s="221">
        <v>36</v>
      </c>
      <c r="FD16" s="221">
        <v>48</v>
      </c>
      <c r="FE16" s="221">
        <v>60</v>
      </c>
      <c r="FF16" s="221">
        <v>72</v>
      </c>
      <c r="FG16" s="923"/>
      <c r="FH16" s="221">
        <v>24</v>
      </c>
      <c r="FI16" s="221">
        <v>36</v>
      </c>
      <c r="FJ16" s="221">
        <v>48</v>
      </c>
      <c r="FK16" s="221">
        <v>60</v>
      </c>
      <c r="FL16" s="221" t="s">
        <v>112</v>
      </c>
      <c r="FM16" s="923"/>
      <c r="FN16" s="221">
        <v>24</v>
      </c>
      <c r="FO16" s="221">
        <v>36</v>
      </c>
      <c r="FP16" s="221" t="s">
        <v>113</v>
      </c>
      <c r="FQ16" s="221" t="s">
        <v>114</v>
      </c>
      <c r="FR16" s="221" t="s">
        <v>115</v>
      </c>
      <c r="FS16" s="923"/>
      <c r="FT16" s="927"/>
      <c r="FU16" s="927"/>
      <c r="FV16" s="927"/>
      <c r="FW16" s="927"/>
      <c r="FX16" s="927"/>
      <c r="FY16" s="927"/>
      <c r="FZ16" s="510" t="s">
        <v>116</v>
      </c>
      <c r="GA16" s="510" t="s">
        <v>117</v>
      </c>
      <c r="GB16" s="923"/>
      <c r="GC16" s="222" t="s">
        <v>116</v>
      </c>
      <c r="GD16" s="222" t="s">
        <v>117</v>
      </c>
      <c r="GE16" s="222" t="s">
        <v>116</v>
      </c>
      <c r="GF16" s="222" t="s">
        <v>117</v>
      </c>
      <c r="GG16" s="923"/>
      <c r="GH16" s="923"/>
      <c r="GI16" s="923"/>
      <c r="GJ16" s="923"/>
      <c r="GK16" s="923"/>
      <c r="GL16" s="923"/>
      <c r="GM16" s="925"/>
      <c r="GO16" s="225" t="s">
        <v>118</v>
      </c>
      <c r="GP16" s="509" t="s">
        <v>119</v>
      </c>
      <c r="GQ16" s="227">
        <v>24</v>
      </c>
      <c r="GR16" s="227">
        <v>36</v>
      </c>
      <c r="GS16" s="227">
        <v>48</v>
      </c>
      <c r="GT16" s="227">
        <v>60</v>
      </c>
      <c r="GU16" s="227">
        <v>72</v>
      </c>
      <c r="GV16" s="905"/>
      <c r="GW16" s="226">
        <v>24</v>
      </c>
      <c r="GX16" s="226">
        <v>36</v>
      </c>
      <c r="GY16" s="226">
        <v>48</v>
      </c>
      <c r="GZ16" s="226">
        <v>60</v>
      </c>
      <c r="HA16" s="226">
        <v>72</v>
      </c>
      <c r="HB16" s="917"/>
      <c r="HC16" s="227">
        <v>24</v>
      </c>
      <c r="HD16" s="227">
        <v>36</v>
      </c>
      <c r="HE16" s="228">
        <v>39</v>
      </c>
      <c r="HF16" s="228">
        <v>48</v>
      </c>
      <c r="HG16" s="228">
        <v>60</v>
      </c>
      <c r="HH16" s="921"/>
      <c r="HI16" s="93"/>
      <c r="HJ16" s="909"/>
      <c r="HK16" s="911"/>
      <c r="HL16" s="913"/>
      <c r="HM16" s="907"/>
    </row>
    <row r="17" spans="1:221" s="60" customFormat="1" ht="15.75" thickBot="1">
      <c r="A17" s="31">
        <f>C17*1000+B17</f>
        <v>1001</v>
      </c>
      <c r="B17" s="31">
        <f t="shared" ref="B17:B19" si="10">IF(D17="Baseline1",1,B16+1)</f>
        <v>1</v>
      </c>
      <c r="C17" s="508">
        <v>1</v>
      </c>
      <c r="D17" s="31" t="s">
        <v>566</v>
      </c>
      <c r="E17" s="365">
        <f>INDEX(Input!$1:$1048576,E$10,$C17*2+MIN($B17,2)+5)</f>
        <v>1000</v>
      </c>
      <c r="F17" s="366">
        <f>INDEX(Input!$1:$1048576,F$10,$C17*2+MIN($B17,2)+5)</f>
        <v>0</v>
      </c>
      <c r="G17" s="49">
        <f>INDEX(Input!$1:$1048576,G$10,$C17*2+MIN($B17,2)+5)</f>
        <v>0</v>
      </c>
      <c r="H17" s="49">
        <f>INDEX(Input!$1:$1048576,H$10,$C17*2+MIN($B17,2)+5)</f>
        <v>0</v>
      </c>
      <c r="I17" s="367">
        <f>INDEX(Input!$1:$1048576,I$10,$C17*2+MIN($B17,2)+5)</f>
        <v>0.7</v>
      </c>
      <c r="J17" s="367" t="str">
        <f>INDEX(Input!$1:$1048576,J$10,$C17*2+MIN($B17,2)+5)</f>
        <v>Market</v>
      </c>
      <c r="K17" s="367" t="str">
        <f>INDEX(Input!$1:$1048576,K$10,$C17*2+MIN($B17,2)+5)</f>
        <v>Market</v>
      </c>
      <c r="L17" s="367" t="str">
        <f>INDEX(Input!$1:$1048576,L$10,$C17*2+MIN($B17,2)+5)</f>
        <v>Market</v>
      </c>
      <c r="M17" s="367" t="str">
        <f>INDEX(Input!$1:$1048576,M$10,$C17*2+MIN($B17,2)+5)</f>
        <v>Market</v>
      </c>
      <c r="N17" s="367" t="str">
        <f>INDEX(Input!$1:$1048576,N$10,$C17*2+MIN($B17,2)+5)</f>
        <v>Market</v>
      </c>
      <c r="O17" s="367" t="str">
        <f>INDEX(Input!$1:$1048576,O$10,$C17*2+MIN($B17,2)+5)</f>
        <v>Market</v>
      </c>
      <c r="P17" s="367" t="str">
        <f>INDEX(Input!$1:$1048576,P$10,$C17*2+MIN($B17,2)+5)</f>
        <v>N</v>
      </c>
      <c r="Q17" s="47">
        <f>INDEX(Input!$1:$1048576,Q$10,$C17*2+MIN($B17,2)+5)</f>
        <v>0</v>
      </c>
      <c r="R17" s="38">
        <f>INDEX(Input!$1:$1048576,R$10,$C17*2+MIN($B17,2)+5)</f>
        <v>0</v>
      </c>
      <c r="S17" s="38">
        <f>INDEX(Input!$1:$1048576,S$10,$C17*2+MIN($B17,2)+5)</f>
        <v>0</v>
      </c>
      <c r="T17" s="38">
        <f>INDEX(Input!$1:$1048576,T$10,$C17*2+MIN($B17,2)+5)</f>
        <v>0</v>
      </c>
      <c r="U17" s="38">
        <f>INDEX(Input!$1:$1048576,U$10,$C17*2+MIN($B17,2)+5)</f>
        <v>0</v>
      </c>
      <c r="V17" s="38">
        <f>INDEX(Input!$1:$1048576,V$10,$C17*2+MIN($B17,2)+5)</f>
        <v>1.9E-2</v>
      </c>
      <c r="W17" s="38">
        <f>INDEX(Input!$1:$1048576,W$10,$C17*2+MIN($B17,2)+5)</f>
        <v>3.9E-2</v>
      </c>
      <c r="X17" s="367" t="str">
        <f>INDEX(Input!$1:$1048576,X$10,$C17*2+MIN($B17,2)+5)</f>
        <v>Y</v>
      </c>
      <c r="Y17" s="517">
        <f>MIN(BX17*5%,2000)</f>
        <v>999.25</v>
      </c>
      <c r="Z17" s="49">
        <f>INDEX(Input!$1:$1048576,Z$10,$C17*2+MIN($B17,2)+5)</f>
        <v>0</v>
      </c>
      <c r="AA17" s="49">
        <f>INDEX(Input!$1:$1048576,AA$10,$C17*2+MIN($B17,2)+5)</f>
        <v>1000</v>
      </c>
      <c r="AB17" s="367">
        <f>INDEX(Input!$1:$1048576,AB$10,$C17*2+MIN($B17,2)+5)</f>
        <v>0.27</v>
      </c>
      <c r="AC17" s="49">
        <f>INDEX(Input!$1:$1048576,AC$10,$C17*2+MIN($B17,2)+5)</f>
        <v>1000</v>
      </c>
      <c r="AD17" s="367">
        <f>INDEX(Input!$1:$1048576,AD$10,$C17*2+MIN($B17,2)+5)</f>
        <v>0.27</v>
      </c>
      <c r="AE17" s="49">
        <f>INDEX(Input!$1:$1048576,AE$10,$C17*2+MIN($B17,2)+5)</f>
        <v>0</v>
      </c>
      <c r="AF17" s="367">
        <f>INDEX(Input!$1:$1048576,AF$10,$C17*2+MIN($B17,2)+5)</f>
        <v>0.38</v>
      </c>
      <c r="AG17" s="49">
        <f>INDEX(Input!$1:$1048576,AG$10,$C17*2+MIN($B17,2)+5)</f>
        <v>0</v>
      </c>
      <c r="AH17" s="367">
        <f>INDEX(Input!$1:$1048576,AH$10,$C17*2+MIN($B17,2)+5)</f>
        <v>0</v>
      </c>
      <c r="AI17" s="49">
        <f>INDEX(Input!$1:$1048576,AI$10,$C17*2+MIN($B17,2)+5)</f>
        <v>0</v>
      </c>
      <c r="AJ17" s="367">
        <f>INDEX(Input!$1:$1048576,AJ$10,$C17*2+MIN($B17,2)+5)</f>
        <v>0.27</v>
      </c>
      <c r="AK17" s="298">
        <f>INDEX(Input!$1:$1048576,AK$10,$C17*2+MIN($B17,2)+5)</f>
        <v>4103.7164157747848</v>
      </c>
      <c r="AL17" s="49">
        <f>INDEX(Input!$1:$1048576,AL$10,$C17*2+MIN($B17,2)+5)</f>
        <v>4103.7164157747848</v>
      </c>
      <c r="AM17" s="46" t="str">
        <f>IF(K17="market","std",ROUND(K17*1000,0)/10)&amp;"/"&amp;IF(L17="market","std",ROUND(L17*1000,0)/10)&amp;"/"&amp;IF(M17="market","std",ROUND(M17*1000,0)/10)&amp;"/"&amp;IF(N17="market","std",ROUND(N17*1000,0)/10)&amp;IF(P17="N","","/"&amp;IF(O17="market","std",ROUND(O17*1000,0)/10))</f>
        <v>std/std/std/std</v>
      </c>
      <c r="AN17" s="46" t="str">
        <f>"$"&amp;ROUND(Q17,0)&amp;" + "&amp;IF(S17="market","std",ROUND(S17*1000,0)/10)&amp;"/"&amp;IF(T17="market","std",ROUND(T17*1000,0)/10)&amp;"/"&amp;IF(U17="market","std",ROUND(U17*1000,0)/10)&amp;"/"&amp;IF(V17="market","std",ROUND(V17*1000,0)/10)&amp;IF(X17="N","","/"&amp;IF(W17="market","std",ROUND(W17*1000,0)/10))</f>
        <v>$0 + 0/0/0/1.9/3.9</v>
      </c>
      <c r="AO17" s="44" t="str">
        <f>IF(S17="market","std",ROUND(S17*1000,0)/10)&amp;"/"&amp;IF(T17="market","std",ROUND(T17*1000,0)/10)&amp;"/"&amp;IF(U17="market","std",ROUND(U17*1000,0)/10)&amp;"/"&amp;IF(V17="market","std",ROUND(V17*1000,0)/10)&amp;IF(X17="N","","/"&amp;IF(W17="market","std",ROUND(W17*1000,0)/10))</f>
        <v>0/0/0/1.9/3.9</v>
      </c>
      <c r="AP17" s="44" t="str">
        <f>IF(T17="market","std",ROUND(T17*1000,0)/10)&amp;"/"&amp;IF(U17="market","std",ROUND(U17*1000,0)/10)&amp;"/"&amp;IF(V17="market","std",ROUND(V17*1000,0)/10)&amp;IF(X17="N","","/"&amp;IF(W17="market","std",ROUND(W17*1000,0)/10))</f>
        <v>0/0/1.9/3.9</v>
      </c>
      <c r="AQ17" s="49">
        <f>SUM(F17*(1-ET17),G17*EM17,H17*ES17,AC17*AD17,AE17*AF17,AI17*AJ17)</f>
        <v>270</v>
      </c>
      <c r="AR17" s="44" t="str">
        <f>IF(U17="market","std",ROUND(U17*1000,0)/10)&amp;"/"&amp;IF(V17="market","std",ROUND(V17*1000,0)/10)</f>
        <v>0/1.9</v>
      </c>
      <c r="AS17" s="368"/>
      <c r="AT17" s="50">
        <v>1</v>
      </c>
      <c r="AU17" s="45" t="s">
        <v>121</v>
      </c>
      <c r="AV17" s="45" t="s">
        <v>116</v>
      </c>
      <c r="AW17" s="45" t="str">
        <f>INDEX(Input!$1:$1048576,AW$10,$C17*2+6)</f>
        <v>Kia</v>
      </c>
      <c r="AX17" s="45" t="str">
        <f>INDEX(Input!$1:$1048576,AX$10,$C17*2+6)</f>
        <v>Kia-LR - L1</v>
      </c>
      <c r="AY17" s="10" t="str">
        <f>IF(D17="Skip","",INDEX(Input!$1:$1048576,AY$10,$C17*2+6))</f>
        <v>Compact SUV (52)</v>
      </c>
      <c r="AZ17" s="45" t="str">
        <f>INDEX(Input!$1:$1048576,AZ$10,$C17*2+6)</f>
        <v>Kia Soul</v>
      </c>
      <c r="BA17" s="50">
        <f>INDEX(Input!$1:$1048576,BA$10,$C17*2+6)</f>
        <v>2020</v>
      </c>
      <c r="BB17" s="367">
        <f>INDEX(Input!$1:$1048576,BB$10,$C17*2+6)</f>
        <v>1</v>
      </c>
      <c r="BC17" s="367">
        <f>INDEX(Input!$1:$1048576,BC$10,$C17*2+6)</f>
        <v>0.7</v>
      </c>
      <c r="BD17" s="38">
        <f>INDEX(Input!$1:$1048576,BD$10,$C17*2+6)</f>
        <v>4.4999999999999998E-2</v>
      </c>
      <c r="BE17" s="38">
        <f>INDEX(Input!$1:$1048576,BE$10,$C17*2+6)</f>
        <v>4.4999999999999998E-2</v>
      </c>
      <c r="BF17" s="38">
        <f>INDEX(Input!$1:$1048576,BF$10,$C17*2+6)</f>
        <v>0.05</v>
      </c>
      <c r="BG17" s="38">
        <f>INDEX(Input!$1:$1048576,BG$10,$C17*2+6)</f>
        <v>5.45E-2</v>
      </c>
      <c r="BH17" s="38">
        <f>INDEX(Input!$1:$1048576,BH$10,$C17*2+6)</f>
        <v>5.45E-2</v>
      </c>
      <c r="BI17" s="38">
        <f>INDEX(Input!$1:$1048576,BI$10,$C17*2+6)</f>
        <v>0.05</v>
      </c>
      <c r="BJ17" s="38">
        <f>INDEX(Input!$1:$1048576,BJ$10,$C17*2+6)</f>
        <v>0.05</v>
      </c>
      <c r="BK17" s="38">
        <f>INDEX(Input!$1:$1048576,BK$10,$C17*2+6)</f>
        <v>0.05</v>
      </c>
      <c r="BL17" s="38">
        <f>INDEX(Input!$1:$1048576,BL$10,$C17*2+6)</f>
        <v>5.5E-2</v>
      </c>
      <c r="BM17" s="38">
        <f>INDEX(Input!$1:$1048576,BM$10,$C17*2+6)</f>
        <v>0.06</v>
      </c>
      <c r="BN17" s="38">
        <f>INDEX(Input!$1:$1048576,BN$10,$C17*2+6)</f>
        <v>4.4999999999999998E-2</v>
      </c>
      <c r="BO17" s="38">
        <f>INDEX(Input!$1:$1048576,BO$10,$C17*2+6)</f>
        <v>4.4999999999999998E-2</v>
      </c>
      <c r="BP17" s="38">
        <f>INDEX(Input!$1:$1048576,BP$10,$C17*2+6)</f>
        <v>0.05</v>
      </c>
      <c r="BQ17" s="38">
        <f>INDEX(Input!$1:$1048576,BQ$10,$C17*2+6)</f>
        <v>5.45E-2</v>
      </c>
      <c r="BR17" s="38">
        <f>INDEX(Input!$1:$1048576,BR$10,$C17*2+6)</f>
        <v>5.45E-2</v>
      </c>
      <c r="BS17" s="38">
        <f>INDEX(Input!$1:$1048576,BS$10,$C17*2+6)</f>
        <v>0.05</v>
      </c>
      <c r="BT17" s="38">
        <f>INDEX(Input!$1:$1048576,BT$10,$C17*2+6)</f>
        <v>0.05</v>
      </c>
      <c r="BU17" s="38">
        <f>INDEX(Input!$1:$1048576,BU$10,$C17*2+6)</f>
        <v>0.05</v>
      </c>
      <c r="BV17" s="38">
        <f>INDEX(Input!$1:$1048576,BV$10,$C17*2+6)</f>
        <v>5.5E-2</v>
      </c>
      <c r="BW17" s="38">
        <f>INDEX(Input!$1:$1048576,BW$10,$C17*2+6)</f>
        <v>0.06</v>
      </c>
      <c r="BX17" s="49">
        <f>INDEX(Input!$1:$1048576,BX$10,$C17*2+6)</f>
        <v>19985</v>
      </c>
      <c r="BY17" s="367">
        <f>INDEX(Input!$1:$1048576,BY$10,$C17*2+6)</f>
        <v>0.1</v>
      </c>
      <c r="BZ17" s="367">
        <f>INDEX(Input!$1:$1048576,BZ$10,$C17*2+6)</f>
        <v>0.1</v>
      </c>
      <c r="CA17" s="367">
        <f>INDEX(Input!$1:$1048576,CA$10,$C17*2+6)</f>
        <v>0.1</v>
      </c>
      <c r="CB17" s="367">
        <f>INDEX(Input!$1:$1048576,CB$10,$C17*2+6)</f>
        <v>0.1</v>
      </c>
      <c r="CC17" s="367">
        <f>INDEX(Input!$1:$1048576,CC$10,$C17*2+6)</f>
        <v>0.1</v>
      </c>
      <c r="CD17" s="367">
        <f>INDEX(Input!$1:$1048576,CD$10,$C17*2+6)</f>
        <v>0.1</v>
      </c>
      <c r="CE17" s="367">
        <f>INDEX(Input!$1:$1048576,CE$10,$C17*2+6)</f>
        <v>0.1</v>
      </c>
      <c r="CF17" s="367">
        <f>INDEX(Input!$1:$1048576,CF$10,$C17*2+6)</f>
        <v>0.1</v>
      </c>
      <c r="CG17" s="367">
        <f>INDEX(Input!$1:$1048576,CG$10,$C17*2+6)</f>
        <v>0.1</v>
      </c>
      <c r="CH17" s="48">
        <f>INDEX(Input!$1:$1048576,CH$10,$C17*2+6)</f>
        <v>0.1</v>
      </c>
      <c r="CI17" s="298">
        <f>E17+F17*I17+AA17*AB17+AG17*AH17</f>
        <v>1270</v>
      </c>
      <c r="CJ17" s="46" t="str">
        <f>INDEX(Input!$1:$1048576,CJ$10,$C17*2+6)</f>
        <v>N</v>
      </c>
      <c r="CK17" s="38" t="str">
        <f t="shared" ref="CK17:CO17" si="11">J17</f>
        <v>Market</v>
      </c>
      <c r="CL17" s="38" t="str">
        <f t="shared" si="11"/>
        <v>Market</v>
      </c>
      <c r="CM17" s="38" t="str">
        <f t="shared" si="11"/>
        <v>Market</v>
      </c>
      <c r="CN17" s="38" t="str">
        <f t="shared" si="11"/>
        <v>Market</v>
      </c>
      <c r="CO17" s="38" t="str">
        <f t="shared" si="11"/>
        <v>Market</v>
      </c>
      <c r="CP17" s="49">
        <f>Q17+G17*I17+AG17*AH17</f>
        <v>0</v>
      </c>
      <c r="CQ17" s="38">
        <f t="shared" ref="CQ17:CU17" si="12">R17</f>
        <v>0</v>
      </c>
      <c r="CR17" s="38">
        <f t="shared" si="12"/>
        <v>0</v>
      </c>
      <c r="CS17" s="38">
        <f t="shared" si="12"/>
        <v>0</v>
      </c>
      <c r="CT17" s="38">
        <f t="shared" si="12"/>
        <v>0</v>
      </c>
      <c r="CU17" s="38">
        <f t="shared" si="12"/>
        <v>1.9E-2</v>
      </c>
      <c r="CV17" s="49">
        <f>Y17+H17*I17+AC17*AD17</f>
        <v>1269.25</v>
      </c>
      <c r="CW17" s="22" t="s">
        <v>122</v>
      </c>
      <c r="CX17" s="22" t="s">
        <v>122</v>
      </c>
      <c r="CY17" s="22" t="s">
        <v>122</v>
      </c>
      <c r="CZ17" s="22" t="s">
        <v>122</v>
      </c>
      <c r="DA17" s="22" t="s">
        <v>122</v>
      </c>
      <c r="DB17" s="502">
        <f>Z17+AE17*AF17+AI17*AJ17</f>
        <v>0</v>
      </c>
      <c r="DC17" s="29">
        <v>0</v>
      </c>
      <c r="DD17" s="29">
        <v>0</v>
      </c>
      <c r="DE17" s="29">
        <v>0</v>
      </c>
      <c r="DF17" s="49">
        <v>0</v>
      </c>
      <c r="DG17" s="49">
        <v>0</v>
      </c>
      <c r="DH17" s="49">
        <v>0</v>
      </c>
      <c r="DI17" s="49">
        <v>0</v>
      </c>
      <c r="DJ17" s="49">
        <v>0</v>
      </c>
      <c r="DK17" s="29">
        <v>0</v>
      </c>
      <c r="DL17" s="29">
        <v>0</v>
      </c>
      <c r="DM17" s="49">
        <f>INDEX(Input!$1:$1048576,DM$10,$C17*2+6)</f>
        <v>21036.84210526316</v>
      </c>
      <c r="DN17" s="367">
        <v>0</v>
      </c>
      <c r="DO17" s="367">
        <v>0</v>
      </c>
      <c r="DP17" s="367">
        <v>0</v>
      </c>
      <c r="DQ17" s="367">
        <v>0</v>
      </c>
      <c r="DR17" s="367">
        <v>0</v>
      </c>
      <c r="DS17" s="367">
        <f>INDEX(Input!$1:$1048576,DS$10,$C17*2+6)</f>
        <v>0.6</v>
      </c>
      <c r="DT17" s="367">
        <f>INDEX(Input!$1:$1048576,DT$10,$C17*2+6)</f>
        <v>0.55000000000000004</v>
      </c>
      <c r="DU17" s="367">
        <f>INDEX(Input!$1:$1048576,DU$10,$C17*2+6)</f>
        <v>0.52</v>
      </c>
      <c r="DV17" s="367">
        <f>INDEX(Input!$1:$1048576,DV$10,$C17*2+6)</f>
        <v>0.5</v>
      </c>
      <c r="DW17" s="367">
        <f>INDEX(Input!$1:$1048576,DW$10,$C17*2+6)</f>
        <v>0.45</v>
      </c>
      <c r="DX17" s="369"/>
      <c r="DY17" s="4">
        <v>0.11124592157032642</v>
      </c>
      <c r="DZ17" s="37">
        <v>0</v>
      </c>
      <c r="EA17" s="37">
        <v>0.5340637546801138</v>
      </c>
      <c r="EB17" s="37">
        <v>0</v>
      </c>
      <c r="EC17" s="37">
        <v>0</v>
      </c>
      <c r="ED17" s="37">
        <v>0</v>
      </c>
      <c r="EE17" s="37">
        <v>0</v>
      </c>
      <c r="EF17" s="37">
        <v>0</v>
      </c>
      <c r="EG17" s="37">
        <v>0</v>
      </c>
      <c r="EH17" s="37">
        <v>1.0456306766219612E-2</v>
      </c>
      <c r="EI17" s="37">
        <v>3.053533170151846E-2</v>
      </c>
      <c r="EJ17" s="37">
        <v>0.19288831904248807</v>
      </c>
      <c r="EK17" s="37">
        <v>0.59431531814863492</v>
      </c>
      <c r="EL17" s="37">
        <v>0.17180472434113891</v>
      </c>
      <c r="EM17" s="37">
        <v>9.881599557356173E-2</v>
      </c>
      <c r="EN17" s="37">
        <v>4.7220899327694625E-2</v>
      </c>
      <c r="EO17" s="37">
        <v>0.73585742786088382</v>
      </c>
      <c r="EP17" s="37">
        <v>9.5312651607551799E-2</v>
      </c>
      <c r="EQ17" s="37">
        <v>7.2948210522913892E-2</v>
      </c>
      <c r="ER17" s="37">
        <v>4.8660810680955846E-2</v>
      </c>
      <c r="ES17" s="37">
        <v>0.25587432817599792</v>
      </c>
      <c r="ET17" s="37">
        <v>0.35469032374955972</v>
      </c>
      <c r="EU17" s="36">
        <v>1240</v>
      </c>
      <c r="EV17" s="36">
        <v>0</v>
      </c>
      <c r="EW17" s="36">
        <v>1240</v>
      </c>
      <c r="EX17" s="36">
        <v>0</v>
      </c>
      <c r="EY17" s="36">
        <v>2643.894061397893</v>
      </c>
      <c r="EZ17" s="36">
        <v>1119.25</v>
      </c>
      <c r="FA17" s="36">
        <v>0</v>
      </c>
      <c r="FB17" s="36">
        <v>0</v>
      </c>
      <c r="FC17" s="36">
        <v>0</v>
      </c>
      <c r="FD17" s="36">
        <v>0</v>
      </c>
      <c r="FE17" s="36">
        <v>0</v>
      </c>
      <c r="FF17" s="36">
        <v>0</v>
      </c>
      <c r="FG17" s="36">
        <v>0</v>
      </c>
      <c r="FH17" s="36">
        <v>1171.2811379695618</v>
      </c>
      <c r="FI17" s="36">
        <v>1553.9796069512402</v>
      </c>
      <c r="FJ17" s="36">
        <v>2101.2110117447414</v>
      </c>
      <c r="FK17" s="36">
        <v>2674.2006261592273</v>
      </c>
      <c r="FL17" s="36">
        <v>2034.7405995769207</v>
      </c>
      <c r="FM17" s="36">
        <v>2403.894061397893</v>
      </c>
      <c r="FN17" s="36">
        <v>0</v>
      </c>
      <c r="FO17" s="36">
        <v>0</v>
      </c>
      <c r="FP17" s="36">
        <v>0</v>
      </c>
      <c r="FQ17" s="36">
        <v>0</v>
      </c>
      <c r="FR17" s="36">
        <v>0</v>
      </c>
      <c r="FS17" s="36">
        <v>0</v>
      </c>
      <c r="FT17" s="37">
        <v>0.64530967625044022</v>
      </c>
      <c r="FU17" s="37">
        <v>9.881599557356173E-2</v>
      </c>
      <c r="FV17" s="37">
        <v>0.25587432817599792</v>
      </c>
      <c r="FW17" s="518">
        <v>1240</v>
      </c>
      <c r="FX17" s="518">
        <v>2643.894061397893</v>
      </c>
      <c r="FY17" s="518">
        <v>1119.25</v>
      </c>
      <c r="FZ17" s="36">
        <v>1972.7251322951724</v>
      </c>
      <c r="GA17" s="36">
        <v>1347.8303642295919</v>
      </c>
      <c r="GB17" s="36">
        <v>18637.16963577041</v>
      </c>
      <c r="GC17" s="37">
        <v>1.0519917368675835E-2</v>
      </c>
      <c r="GD17" s="37">
        <v>9.8900042756138382E-3</v>
      </c>
      <c r="GE17" s="37"/>
      <c r="GF17" s="37"/>
      <c r="GG17" s="37">
        <v>-5.9878140767305778E-2</v>
      </c>
      <c r="GH17" s="35">
        <v>1.9149858574412326</v>
      </c>
      <c r="GI17" s="36">
        <v>11783.93876802928</v>
      </c>
      <c r="GJ17" s="34">
        <v>0.50394797582841755</v>
      </c>
      <c r="GK17" s="34">
        <v>0.50887573065309777</v>
      </c>
      <c r="GL17" s="34">
        <v>0.49605202417158284</v>
      </c>
      <c r="GM17" s="33">
        <v>0.49112426934690251</v>
      </c>
      <c r="GN17" s="61"/>
      <c r="GO17" s="13">
        <v>343.14810671672558</v>
      </c>
      <c r="GP17" s="27">
        <v>319.49127229486811</v>
      </c>
      <c r="GQ17" s="27">
        <v>535.04305713031317</v>
      </c>
      <c r="GR17" s="27">
        <v>410.15490233172511</v>
      </c>
      <c r="GS17" s="27">
        <v>339.42744393800166</v>
      </c>
      <c r="GT17" s="27">
        <v>293.4407446948278</v>
      </c>
      <c r="GU17" s="27">
        <v>258.04012322764959</v>
      </c>
      <c r="GV17" s="29" t="s">
        <v>392</v>
      </c>
      <c r="GW17" s="27">
        <v>492.95833333333331</v>
      </c>
      <c r="GX17" s="27">
        <v>369.71875</v>
      </c>
      <c r="GY17" s="27">
        <v>295.77499999999998</v>
      </c>
      <c r="GZ17" s="27">
        <v>246.47916666666666</v>
      </c>
      <c r="HA17" s="27">
        <v>225.79546784515614</v>
      </c>
      <c r="HB17" s="29">
        <v>258.77462325373631</v>
      </c>
      <c r="HC17" s="27">
        <v>238.31718749999999</v>
      </c>
      <c r="HD17" s="27">
        <v>206.38334247076017</v>
      </c>
      <c r="HE17" s="27">
        <v>209.93237812078269</v>
      </c>
      <c r="HF17" s="27">
        <v>195.02609923245612</v>
      </c>
      <c r="HG17" s="27">
        <v>189.17908991228069</v>
      </c>
      <c r="HH17" s="12">
        <v>206.56389190312223</v>
      </c>
      <c r="HI17" s="94"/>
      <c r="HJ17" s="24">
        <f>INDEX(Input!$1:$1048576,HJ$10,$C17*2+6)</f>
        <v>0.24663677130044845</v>
      </c>
      <c r="HK17" s="18">
        <f>INDEX(Input!$1:$1048576,HK$10,$C17*2+6)</f>
        <v>0.35201793721973096</v>
      </c>
      <c r="HL17" s="43">
        <f>INDEX(Input!$1:$1048576,HL$10,$C17*2+6)</f>
        <v>0.40134529147982062</v>
      </c>
      <c r="HM17" s="49">
        <f>IF(HL17&lt;FV18,TREND(Y17:Y18,FV17:FV18,HL17),TREND(Y18:Y19,FV18:FV19,HL17))</f>
        <v>1994.2598087597307</v>
      </c>
    </row>
    <row r="18" spans="1:221" s="26" customFormat="1" ht="15">
      <c r="A18" s="117">
        <f t="shared" ref="A18:A19" si="13">C18*1000+B18</f>
        <v>1002</v>
      </c>
      <c r="B18" s="117">
        <f t="shared" si="10"/>
        <v>2</v>
      </c>
      <c r="C18" s="117">
        <f t="shared" ref="C18:C31" si="14">C17</f>
        <v>1</v>
      </c>
      <c r="D18" s="117" t="s">
        <v>568</v>
      </c>
      <c r="E18" s="115">
        <f>INDEX(Input!$1:$1048576,E$10,$C18*2+6)</f>
        <v>1000</v>
      </c>
      <c r="F18" s="115">
        <f>INDEX(Input!$1:$1048576,F$10,$C18*2+6)</f>
        <v>0</v>
      </c>
      <c r="G18" s="115">
        <f>INDEX(Input!$1:$1048576,G$10,$C18*2+6)</f>
        <v>0</v>
      </c>
      <c r="H18" s="115">
        <f>INDEX(Input!$1:$1048576,H$10,$C18*2+6)</f>
        <v>0</v>
      </c>
      <c r="I18" s="118">
        <f>INDEX(Input!$1:$1048576,I$10,$C18*2+6)</f>
        <v>0.7</v>
      </c>
      <c r="J18" s="118" t="str">
        <f>INDEX(Input!$1:$1048576,J$10,$C18*2+6)</f>
        <v>Market</v>
      </c>
      <c r="K18" s="118" t="str">
        <f>INDEX(Input!$1:$1048576,K$10,$C18*2+6)</f>
        <v>Market</v>
      </c>
      <c r="L18" s="118" t="str">
        <f>INDEX(Input!$1:$1048576,L$10,$C18*2+6)</f>
        <v>Market</v>
      </c>
      <c r="M18" s="118" t="str">
        <f>INDEX(Input!$1:$1048576,M$10,$C18*2+6)</f>
        <v>Market</v>
      </c>
      <c r="N18" s="118" t="str">
        <f>INDEX(Input!$1:$1048576,N$10,$C18*2+6)</f>
        <v>Market</v>
      </c>
      <c r="O18" s="118" t="str">
        <f>INDEX(Input!$1:$1048576,O$10,$C18*2+6)</f>
        <v>Market</v>
      </c>
      <c r="P18" s="118" t="str">
        <f>INDEX(Input!$1:$1048576,P$10,$C18*2+6)</f>
        <v>N</v>
      </c>
      <c r="Q18" s="30">
        <f>INDEX(Input!$1:$1048576,Q$10,$C18*2+6)</f>
        <v>0</v>
      </c>
      <c r="R18" s="383">
        <f>INDEX(Input!$1:$1048576,R$10,$C18*2+6)</f>
        <v>0</v>
      </c>
      <c r="S18" s="383">
        <f>INDEX(Input!$1:$1048576,S$10,$C18*2+6)</f>
        <v>0</v>
      </c>
      <c r="T18" s="383">
        <f>INDEX(Input!$1:$1048576,T$10,$C18*2+6)</f>
        <v>0</v>
      </c>
      <c r="U18" s="383">
        <f>INDEX(Input!$1:$1048576,U$10,$C18*2+6)</f>
        <v>0</v>
      </c>
      <c r="V18" s="383">
        <f>INDEX(Input!$1:$1048576,V$10,$C18*2+6)</f>
        <v>1.9E-2</v>
      </c>
      <c r="W18" s="383">
        <f>INDEX(Input!$1:$1048576,W$10,$C18*2+6)</f>
        <v>3.9E-2</v>
      </c>
      <c r="X18" s="118" t="str">
        <f>INDEX(Input!$1:$1048576,X$10,$C18*2+6)</f>
        <v>Y</v>
      </c>
      <c r="Y18" s="520">
        <f>MIN(BX18*10%,4000)+Y17</f>
        <v>2997.75</v>
      </c>
      <c r="Z18" s="30">
        <f>INDEX(Input!$1:$1048576,Z$10,$C18*2+6)</f>
        <v>0</v>
      </c>
      <c r="AA18" s="115">
        <f>INDEX(Input!$1:$1048576,AA$10,$C18*2+6)</f>
        <v>1000</v>
      </c>
      <c r="AB18" s="118">
        <f>INDEX(Input!$1:$1048576,AB$10,$C18*2+6)</f>
        <v>0.27</v>
      </c>
      <c r="AC18" s="115">
        <f>INDEX(Input!$1:$1048576,AC$10,$C18*2+6)</f>
        <v>1000</v>
      </c>
      <c r="AD18" s="118">
        <f>INDEX(Input!$1:$1048576,AD$10,$C18*2+6)</f>
        <v>0.27</v>
      </c>
      <c r="AE18" s="115">
        <f>INDEX(Input!$1:$1048576,AE$10,$C18*2+6)</f>
        <v>0</v>
      </c>
      <c r="AF18" s="118">
        <f>INDEX(Input!$1:$1048576,AF$10,$C18*2+6)</f>
        <v>0.38</v>
      </c>
      <c r="AG18" s="115">
        <f>INDEX(Input!$1:$1048576,AG$10,$C18*2+6)</f>
        <v>0</v>
      </c>
      <c r="AH18" s="118">
        <f>INDEX(Input!$1:$1048576,AH$10,$C18*2+6)</f>
        <v>0</v>
      </c>
      <c r="AI18" s="115">
        <f>INDEX(Input!$1:$1048576,AI$10,$C18*2+6)</f>
        <v>0</v>
      </c>
      <c r="AJ18" s="118">
        <f>INDEX(Input!$1:$1048576,AJ$10,$C18*2+6)</f>
        <v>0.27</v>
      </c>
      <c r="AK18" s="150">
        <f>INDEX(Input!$1:$1048576,AK$10,$C17*2+6)+(Y18-VLOOKUP($C18*1000+1,$A:$HH,Y$9,FALSE))</f>
        <v>6102.2164157747848</v>
      </c>
      <c r="AL18" s="150">
        <f>INDEX(Input!$1:$1048576,AL$10,$C17*2+6)-(Y18-VLOOKUP($C18*1000+1,$A:$HH,Y$9,FALSE))/36</f>
        <v>4048.2025268858961</v>
      </c>
      <c r="AM18" s="32" t="str">
        <f t="shared" ref="AM18:AM19" si="15">IF(K18="market","std",ROUND(K18*1000,0)/10)&amp;"/"&amp;IF(L18="market","std",ROUND(L18*1000,0)/10)&amp;"/"&amp;IF(M18="market","std",ROUND(M18*1000,0)/10)&amp;"/"&amp;IF(N18="market","std",ROUND(N18*1000,0)/10)&amp;IF(P18="N","","/"&amp;IF(O18="market","std",ROUND(O18*1000,0)/10))</f>
        <v>std/std/std/std</v>
      </c>
      <c r="AN18" s="32" t="str">
        <f t="shared" ref="AN18:AN19" si="16">"$"&amp;ROUND(Q18,0)&amp;" + "&amp;IF(S18="market","std",ROUND(S18*1000,0)/10)&amp;"/"&amp;IF(T18="market","std",ROUND(T18*1000,0)/10)&amp;"/"&amp;IF(U18="market","std",ROUND(U18*1000,0)/10)&amp;"/"&amp;IF(V18="market","std",ROUND(V18*1000,0)/10)&amp;IF(X18="N","","/"&amp;IF(W18="market","std",ROUND(W18*1000,0)/10))</f>
        <v>$0 + 0/0/0/1.9/3.9</v>
      </c>
      <c r="AO18" s="32" t="str">
        <f t="shared" ref="AO18:AO19" si="17">IF(S18="market","std",ROUND(S18*1000,0)/10)&amp;"/"&amp;IF(T18="market","std",ROUND(T18*1000,0)/10)&amp;"/"&amp;IF(U18="market","std",ROUND(U18*1000,0)/10)&amp;"/"&amp;IF(V18="market","std",ROUND(V18*1000,0)/10)&amp;IF(X18="N","","/"&amp;IF(W18="market","std",ROUND(W18*1000,0)/10))</f>
        <v>0/0/0/1.9/3.9</v>
      </c>
      <c r="AP18" s="32" t="str">
        <f t="shared" ref="AP18:AP19" si="18">IF(T18="market","std",ROUND(T18*1000,0)/10)&amp;"/"&amp;IF(U18="market","std",ROUND(U18*1000,0)/10)&amp;"/"&amp;IF(V18="market","std",ROUND(V18*1000,0)/10)&amp;IF(X18="N","","/"&amp;IF(W18="market","std",ROUND(W18*1000,0)/10))</f>
        <v>0/0/1.9/3.9</v>
      </c>
      <c r="AQ18" s="150">
        <f t="shared" ref="AQ18:AQ31" si="19">SUM(F18*(1-ET18),G18*EM18,H18*ES18,AC18*AD18,AE18*AF18,AI18*AJ18)</f>
        <v>270</v>
      </c>
      <c r="AR18" s="32" t="str">
        <f t="shared" ref="AR18:AR31" si="20">IF(U18="market","std",ROUND(U18*1000,0)/10)&amp;"/"&amp;IF(V18="market","std",ROUND(V18*1000,0)/10)</f>
        <v>0/1.9</v>
      </c>
      <c r="AS18" s="302"/>
      <c r="AT18" s="3">
        <f t="shared" ref="AT18:AT31" si="21">AT17+1</f>
        <v>2</v>
      </c>
      <c r="AU18" s="41" t="s">
        <v>121</v>
      </c>
      <c r="AV18" s="41" t="s">
        <v>116</v>
      </c>
      <c r="AW18" s="41" t="str">
        <f>INDEX(Input!$1:$1048576,AW$10,$C18*2+6)</f>
        <v>Kia</v>
      </c>
      <c r="AX18" s="41" t="str">
        <f>INDEX(Input!$1:$1048576,AX$10,$C18*2+6)</f>
        <v>Kia-LR - L1</v>
      </c>
      <c r="AY18" s="41" t="str">
        <f>IF(D18="Skip","",INDEX(Input!$1:$1048576,AY$10,$C18*2+6))</f>
        <v>Compact SUV (52)</v>
      </c>
      <c r="AZ18" s="41" t="str">
        <f>INDEX(Input!$1:$1048576,AZ$10,$C18*2+6)</f>
        <v>Kia Soul</v>
      </c>
      <c r="BA18" s="3">
        <f>INDEX(Input!$1:$1048576,BA$10,$C18*2+6)</f>
        <v>2020</v>
      </c>
      <c r="BB18" s="128">
        <f>INDEX(Input!$1:$1048576,BB$10,$C18*2+6)</f>
        <v>1</v>
      </c>
      <c r="BC18" s="128">
        <f>INDEX(Input!$1:$1048576,BC$10,$C18*2+6)</f>
        <v>0.7</v>
      </c>
      <c r="BD18" s="1">
        <f>INDEX(Input!$1:$1048576,BD$10,$C18*2+6)</f>
        <v>4.4999999999999998E-2</v>
      </c>
      <c r="BE18" s="1">
        <f>INDEX(Input!$1:$1048576,BE$10,$C18*2+6)</f>
        <v>4.4999999999999998E-2</v>
      </c>
      <c r="BF18" s="1">
        <f>INDEX(Input!$1:$1048576,BF$10,$C18*2+6)</f>
        <v>0.05</v>
      </c>
      <c r="BG18" s="1">
        <f>INDEX(Input!$1:$1048576,BG$10,$C18*2+6)</f>
        <v>5.45E-2</v>
      </c>
      <c r="BH18" s="1">
        <f>INDEX(Input!$1:$1048576,BH$10,$C18*2+6)</f>
        <v>5.45E-2</v>
      </c>
      <c r="BI18" s="1">
        <f>INDEX(Input!$1:$1048576,BI$10,$C18*2+6)</f>
        <v>0.05</v>
      </c>
      <c r="BJ18" s="1">
        <f>INDEX(Input!$1:$1048576,BJ$10,$C18*2+6)</f>
        <v>0.05</v>
      </c>
      <c r="BK18" s="1">
        <f>INDEX(Input!$1:$1048576,BK$10,$C18*2+6)</f>
        <v>0.05</v>
      </c>
      <c r="BL18" s="1">
        <f>INDEX(Input!$1:$1048576,BL$10,$C18*2+6)</f>
        <v>5.5E-2</v>
      </c>
      <c r="BM18" s="1">
        <f>INDEX(Input!$1:$1048576,BM$10,$C18*2+6)</f>
        <v>0.06</v>
      </c>
      <c r="BN18" s="1">
        <f>INDEX(Input!$1:$1048576,BN$10,$C18*2+6)</f>
        <v>4.4999999999999998E-2</v>
      </c>
      <c r="BO18" s="1">
        <f>INDEX(Input!$1:$1048576,BO$10,$C18*2+6)</f>
        <v>4.4999999999999998E-2</v>
      </c>
      <c r="BP18" s="1">
        <f>INDEX(Input!$1:$1048576,BP$10,$C18*2+6)</f>
        <v>0.05</v>
      </c>
      <c r="BQ18" s="1">
        <f>INDEX(Input!$1:$1048576,BQ$10,$C18*2+6)</f>
        <v>5.45E-2</v>
      </c>
      <c r="BR18" s="1">
        <f>INDEX(Input!$1:$1048576,BR$10,$C18*2+6)</f>
        <v>5.45E-2</v>
      </c>
      <c r="BS18" s="1">
        <f>INDEX(Input!$1:$1048576,BS$10,$C18*2+6)</f>
        <v>0.05</v>
      </c>
      <c r="BT18" s="1">
        <f>INDEX(Input!$1:$1048576,BT$10,$C18*2+6)</f>
        <v>0.05</v>
      </c>
      <c r="BU18" s="1">
        <f>INDEX(Input!$1:$1048576,BU$10,$C18*2+6)</f>
        <v>0.05</v>
      </c>
      <c r="BV18" s="1">
        <f>INDEX(Input!$1:$1048576,BV$10,$C18*2+6)</f>
        <v>5.5E-2</v>
      </c>
      <c r="BW18" s="1">
        <f>INDEX(Input!$1:$1048576,BW$10,$C18*2+6)</f>
        <v>0.06</v>
      </c>
      <c r="BX18" s="304">
        <f>INDEX(Input!$1:$1048576,BX$10,$C18*2+6)</f>
        <v>19985</v>
      </c>
      <c r="BY18" s="20">
        <f>INDEX(Input!$1:$1048576,BY$10,$C18*2+6)</f>
        <v>0.1</v>
      </c>
      <c r="BZ18" s="20">
        <f>INDEX(Input!$1:$1048576,BZ$10,$C18*2+6)</f>
        <v>0.1</v>
      </c>
      <c r="CA18" s="20">
        <f>INDEX(Input!$1:$1048576,CA$10,$C18*2+6)</f>
        <v>0.1</v>
      </c>
      <c r="CB18" s="20">
        <f>INDEX(Input!$1:$1048576,CB$10,$C18*2+6)</f>
        <v>0.1</v>
      </c>
      <c r="CC18" s="20">
        <f>INDEX(Input!$1:$1048576,CC$10,$C18*2+6)</f>
        <v>0.1</v>
      </c>
      <c r="CD18" s="384">
        <f>INDEX(Input!$1:$1048576,CD$10,$C18*2+6)</f>
        <v>0.1</v>
      </c>
      <c r="CE18" s="384">
        <f>INDEX(Input!$1:$1048576,CE$10,$C18*2+6)</f>
        <v>0.1</v>
      </c>
      <c r="CF18" s="384">
        <f>INDEX(Input!$1:$1048576,CF$10,$C18*2+6)</f>
        <v>0.1</v>
      </c>
      <c r="CG18" s="384">
        <f>INDEX(Input!$1:$1048576,CG$10,$C18*2+6)</f>
        <v>0.1</v>
      </c>
      <c r="CH18" s="384">
        <f>INDEX(Input!$1:$1048576,CH$10,$C18*2+6)</f>
        <v>0.1</v>
      </c>
      <c r="CI18" s="304">
        <f t="shared" ref="CI18:CI31" si="22">E18+F18*I18+AA18*AB18+AG18*AH18</f>
        <v>1270</v>
      </c>
      <c r="CJ18" s="16" t="str">
        <f>INDEX(Input!$1:$1048576,CJ$10,$C18*2+6)</f>
        <v>N</v>
      </c>
      <c r="CK18" s="1" t="str">
        <f t="shared" ref="CK18:CK31" si="23">J18</f>
        <v>Market</v>
      </c>
      <c r="CL18" s="1" t="str">
        <f t="shared" ref="CL18:CL31" si="24">K18</f>
        <v>Market</v>
      </c>
      <c r="CM18" s="1" t="str">
        <f t="shared" ref="CM18:CM31" si="25">L18</f>
        <v>Market</v>
      </c>
      <c r="CN18" s="1" t="str">
        <f t="shared" ref="CN18:CN31" si="26">M18</f>
        <v>Market</v>
      </c>
      <c r="CO18" s="1" t="str">
        <f t="shared" ref="CO18:CO31" si="27">N18</f>
        <v>Market</v>
      </c>
      <c r="CP18" s="304">
        <f t="shared" ref="CP18:CP31" si="28">Q18+G18*I18+AG18*AH18</f>
        <v>0</v>
      </c>
      <c r="CQ18" s="1">
        <f t="shared" ref="CQ18:CQ31" si="29">R18</f>
        <v>0</v>
      </c>
      <c r="CR18" s="1">
        <f t="shared" ref="CR18:CR31" si="30">S18</f>
        <v>0</v>
      </c>
      <c r="CS18" s="1">
        <f t="shared" ref="CS18:CS31" si="31">T18</f>
        <v>0</v>
      </c>
      <c r="CT18" s="1">
        <f t="shared" ref="CT18:CT31" si="32">U18</f>
        <v>0</v>
      </c>
      <c r="CU18" s="1">
        <f t="shared" ref="CU18:CU31" si="33">V18</f>
        <v>1.9E-2</v>
      </c>
      <c r="CV18" s="304">
        <f t="shared" ref="CV18:CV31" si="34">Y18+H18*I18+AC18*AD18</f>
        <v>3267.75</v>
      </c>
      <c r="CW18" s="20" t="s">
        <v>122</v>
      </c>
      <c r="CX18" s="20" t="s">
        <v>122</v>
      </c>
      <c r="CY18" s="20" t="s">
        <v>122</v>
      </c>
      <c r="CZ18" s="20" t="s">
        <v>122</v>
      </c>
      <c r="DA18" s="20" t="s">
        <v>122</v>
      </c>
      <c r="DB18" s="503">
        <f t="shared" ref="DB18:DB31" si="35">Z18+AE18*AF18+AI18*AJ18</f>
        <v>0</v>
      </c>
      <c r="DC18" s="127">
        <v>0</v>
      </c>
      <c r="DD18" s="127">
        <v>0</v>
      </c>
      <c r="DE18" s="127">
        <v>0</v>
      </c>
      <c r="DF18" s="127">
        <v>0</v>
      </c>
      <c r="DG18" s="127">
        <v>0</v>
      </c>
      <c r="DH18" s="127">
        <v>0</v>
      </c>
      <c r="DI18" s="127">
        <v>0</v>
      </c>
      <c r="DJ18" s="127">
        <v>0</v>
      </c>
      <c r="DK18" s="127">
        <v>0</v>
      </c>
      <c r="DL18" s="127">
        <v>0</v>
      </c>
      <c r="DM18" s="304">
        <f>INDEX(Input!$1:$1048576,DM$10,$C18*2+6)</f>
        <v>21036.84210526316</v>
      </c>
      <c r="DN18" s="20">
        <v>0</v>
      </c>
      <c r="DO18" s="20">
        <v>0</v>
      </c>
      <c r="DP18" s="20">
        <v>0</v>
      </c>
      <c r="DQ18" s="20">
        <v>0</v>
      </c>
      <c r="DR18" s="20">
        <v>0</v>
      </c>
      <c r="DS18" s="20">
        <f>INDEX(Input!$1:$1048576,DS$10,$C18*2+6)</f>
        <v>0.6</v>
      </c>
      <c r="DT18" s="20">
        <f>INDEX(Input!$1:$1048576,DT$10,$C18*2+6)</f>
        <v>0.55000000000000004</v>
      </c>
      <c r="DU18" s="20">
        <f>INDEX(Input!$1:$1048576,DU$10,$C18*2+6)</f>
        <v>0.52</v>
      </c>
      <c r="DV18" s="20">
        <f>INDEX(Input!$1:$1048576,DV$10,$C18*2+6)</f>
        <v>0.5</v>
      </c>
      <c r="DW18" s="20">
        <f>INDEX(Input!$1:$1048576,DW$10,$C18*2+6)</f>
        <v>0.45</v>
      </c>
      <c r="DX18" s="20"/>
      <c r="DY18" s="7">
        <v>6.7565088176367444E-2</v>
      </c>
      <c r="DZ18" s="7">
        <v>0</v>
      </c>
      <c r="EA18" s="7">
        <v>0.32436303432438612</v>
      </c>
      <c r="EB18" s="7">
        <v>0</v>
      </c>
      <c r="EC18" s="7">
        <v>0</v>
      </c>
      <c r="ED18" s="7">
        <v>0</v>
      </c>
      <c r="EE18" s="7">
        <v>0</v>
      </c>
      <c r="EF18" s="7">
        <v>0</v>
      </c>
      <c r="EG18" s="7">
        <v>0</v>
      </c>
      <c r="EH18" s="7">
        <v>1.0456306766219609E-2</v>
      </c>
      <c r="EI18" s="7">
        <v>3.053533170151846E-2</v>
      </c>
      <c r="EJ18" s="7">
        <v>0.19288831904248802</v>
      </c>
      <c r="EK18" s="7">
        <v>0.59431531814863503</v>
      </c>
      <c r="EL18" s="7">
        <v>0.17180472434113889</v>
      </c>
      <c r="EM18" s="7">
        <v>6.0015786286084546E-2</v>
      </c>
      <c r="EN18" s="7">
        <v>5.5893413768525899E-2</v>
      </c>
      <c r="EO18" s="7">
        <v>0.80214631315629648</v>
      </c>
      <c r="EP18" s="7">
        <v>6.1779315894904069E-2</v>
      </c>
      <c r="EQ18" s="7">
        <v>4.6632122490485969E-2</v>
      </c>
      <c r="ER18" s="7">
        <v>3.3548834689787484E-2</v>
      </c>
      <c r="ES18" s="7">
        <v>0.5480560912131619</v>
      </c>
      <c r="ET18" s="7">
        <v>0.6080718774992464</v>
      </c>
      <c r="EU18" s="6">
        <v>1240</v>
      </c>
      <c r="EV18" s="6">
        <v>0</v>
      </c>
      <c r="EW18" s="6">
        <v>1240</v>
      </c>
      <c r="EX18" s="6">
        <v>0</v>
      </c>
      <c r="EY18" s="6">
        <v>2643.894061397893</v>
      </c>
      <c r="EZ18" s="6">
        <v>3117.75</v>
      </c>
      <c r="FA18" s="6">
        <v>0</v>
      </c>
      <c r="FB18" s="6">
        <v>0</v>
      </c>
      <c r="FC18" s="6">
        <v>0</v>
      </c>
      <c r="FD18" s="6">
        <v>0</v>
      </c>
      <c r="FE18" s="6">
        <v>0</v>
      </c>
      <c r="FF18" s="6">
        <v>0</v>
      </c>
      <c r="FG18" s="6">
        <v>0</v>
      </c>
      <c r="FH18" s="6">
        <v>1171.2811379695613</v>
      </c>
      <c r="FI18" s="6">
        <v>1553.9796069512404</v>
      </c>
      <c r="FJ18" s="6">
        <v>2101.2110117447414</v>
      </c>
      <c r="FK18" s="6">
        <v>2674.2006261592264</v>
      </c>
      <c r="FL18" s="6">
        <v>2034.7405995769211</v>
      </c>
      <c r="FM18" s="6">
        <v>2403.894061397893</v>
      </c>
      <c r="FN18" s="6">
        <v>0</v>
      </c>
      <c r="FO18" s="6">
        <v>0</v>
      </c>
      <c r="FP18" s="6">
        <v>0</v>
      </c>
      <c r="FQ18" s="6">
        <v>0</v>
      </c>
      <c r="FR18" s="6">
        <v>0</v>
      </c>
      <c r="FS18" s="6">
        <v>0</v>
      </c>
      <c r="FT18" s="7">
        <v>0.3919281225007536</v>
      </c>
      <c r="FU18" s="7">
        <v>6.0015786286084546E-2</v>
      </c>
      <c r="FV18" s="7">
        <v>0.5480560912131619</v>
      </c>
      <c r="FW18" s="519">
        <v>1239.9999999999998</v>
      </c>
      <c r="FX18" s="519">
        <v>2643.894061397893</v>
      </c>
      <c r="FY18" s="519">
        <v>3117.75</v>
      </c>
      <c r="FZ18" s="6">
        <v>1972.7251322951724</v>
      </c>
      <c r="GA18" s="6">
        <v>2353.3681312326739</v>
      </c>
      <c r="GB18" s="6">
        <v>17631.631868767327</v>
      </c>
      <c r="GC18" s="7">
        <v>1.0519917368675835E-2</v>
      </c>
      <c r="GD18" s="7">
        <v>1.1166237473026117E-2</v>
      </c>
      <c r="GE18" s="7"/>
      <c r="GF18" s="7"/>
      <c r="GG18" s="7">
        <v>6.1437754851076005E-2</v>
      </c>
      <c r="GH18" s="42">
        <v>3.2256826846311029</v>
      </c>
      <c r="GI18" s="6">
        <v>8548.9558420820249</v>
      </c>
      <c r="GJ18" s="14">
        <v>0.50394797582841733</v>
      </c>
      <c r="GK18" s="14">
        <v>0.50887573065309744</v>
      </c>
      <c r="GL18" s="14">
        <v>0.49605202417158273</v>
      </c>
      <c r="GM18" s="14">
        <v>0.4911242693469024</v>
      </c>
      <c r="GO18" s="5">
        <v>343.14810671672558</v>
      </c>
      <c r="GP18" s="5">
        <v>319.49127229486811</v>
      </c>
      <c r="GQ18" s="5">
        <v>535.04305713031317</v>
      </c>
      <c r="GR18" s="5">
        <v>410.15490233172511</v>
      </c>
      <c r="GS18" s="5">
        <v>339.42744393800166</v>
      </c>
      <c r="GT18" s="5">
        <v>293.4407446948278</v>
      </c>
      <c r="GU18" s="5">
        <v>258.04012322764959</v>
      </c>
      <c r="GV18" s="39" t="s">
        <v>392</v>
      </c>
      <c r="GW18" s="5">
        <v>492.95833333333331</v>
      </c>
      <c r="GX18" s="5">
        <v>369.71875</v>
      </c>
      <c r="GY18" s="5">
        <v>295.77499999999998</v>
      </c>
      <c r="GZ18" s="5">
        <v>246.47916666666666</v>
      </c>
      <c r="HA18" s="5">
        <v>225.79546784515614</v>
      </c>
      <c r="HB18" s="39">
        <v>258.77462325373631</v>
      </c>
      <c r="HC18" s="5">
        <v>150.8828125</v>
      </c>
      <c r="HD18" s="5">
        <v>146.70591191520464</v>
      </c>
      <c r="HE18" s="5">
        <v>154.52524671052629</v>
      </c>
      <c r="HF18" s="5">
        <v>148.81078673245611</v>
      </c>
      <c r="HG18" s="5">
        <v>150.87450657894735</v>
      </c>
      <c r="HH18" s="39">
        <v>147.66045257583662</v>
      </c>
      <c r="HI18" s="16"/>
      <c r="HJ18" s="1">
        <f>INDEX(Input!$1:$1048576,HJ$10,$C18*2+6)</f>
        <v>0.24663677130044845</v>
      </c>
      <c r="HK18" s="1">
        <f>INDEX(Input!$1:$1048576,HK$10,$C18*2+6)</f>
        <v>0.35201793721973096</v>
      </c>
      <c r="HL18" s="1">
        <f>INDEX(Input!$1:$1048576,HL$10,$C18*2+6)</f>
        <v>0.40134529147982062</v>
      </c>
      <c r="HM18" s="19"/>
    </row>
    <row r="19" spans="1:221" s="26" customFormat="1" ht="15.75" thickBot="1">
      <c r="A19" s="117">
        <f t="shared" si="13"/>
        <v>1003</v>
      </c>
      <c r="B19" s="117">
        <f t="shared" si="10"/>
        <v>3</v>
      </c>
      <c r="C19" s="117">
        <f t="shared" si="14"/>
        <v>1</v>
      </c>
      <c r="D19" s="117" t="s">
        <v>568</v>
      </c>
      <c r="E19" s="115">
        <f>INDEX(Input!$1:$1048576,E$10,$C19*2+6)</f>
        <v>1000</v>
      </c>
      <c r="F19" s="115">
        <f>INDEX(Input!$1:$1048576,F$10,$C19*2+6)</f>
        <v>0</v>
      </c>
      <c r="G19" s="115">
        <f>INDEX(Input!$1:$1048576,G$10,$C19*2+6)</f>
        <v>0</v>
      </c>
      <c r="H19" s="115">
        <f>INDEX(Input!$1:$1048576,H$10,$C19*2+6)</f>
        <v>0</v>
      </c>
      <c r="I19" s="118">
        <f>INDEX(Input!$1:$1048576,I$10,$C19*2+6)</f>
        <v>0.7</v>
      </c>
      <c r="J19" s="118" t="str">
        <f>INDEX(Input!$1:$1048576,J$10,$C19*2+6)</f>
        <v>Market</v>
      </c>
      <c r="K19" s="118" t="str">
        <f>INDEX(Input!$1:$1048576,K$10,$C19*2+6)</f>
        <v>Market</v>
      </c>
      <c r="L19" s="118" t="str">
        <f>INDEX(Input!$1:$1048576,L$10,$C19*2+6)</f>
        <v>Market</v>
      </c>
      <c r="M19" s="118" t="str">
        <f>INDEX(Input!$1:$1048576,M$10,$C19*2+6)</f>
        <v>Market</v>
      </c>
      <c r="N19" s="118" t="str">
        <f>INDEX(Input!$1:$1048576,N$10,$C19*2+6)</f>
        <v>Market</v>
      </c>
      <c r="O19" s="118" t="str">
        <f>INDEX(Input!$1:$1048576,O$10,$C19*2+6)</f>
        <v>Market</v>
      </c>
      <c r="P19" s="118" t="str">
        <f>INDEX(Input!$1:$1048576,P$10,$C19*2+6)</f>
        <v>N</v>
      </c>
      <c r="Q19" s="30">
        <f>INDEX(Input!$1:$1048576,Q$10,$C19*2+6)</f>
        <v>0</v>
      </c>
      <c r="R19" s="383">
        <f>INDEX(Input!$1:$1048576,R$10,$C19*2+6)</f>
        <v>0</v>
      </c>
      <c r="S19" s="383">
        <f>INDEX(Input!$1:$1048576,S$10,$C19*2+6)</f>
        <v>0</v>
      </c>
      <c r="T19" s="383">
        <f>INDEX(Input!$1:$1048576,T$10,$C19*2+6)</f>
        <v>0</v>
      </c>
      <c r="U19" s="383">
        <f>INDEX(Input!$1:$1048576,U$10,$C19*2+6)</f>
        <v>0</v>
      </c>
      <c r="V19" s="383">
        <f>INDEX(Input!$1:$1048576,V$10,$C19*2+6)</f>
        <v>1.9E-2</v>
      </c>
      <c r="W19" s="383">
        <f>INDEX(Input!$1:$1048576,W$10,$C19*2+6)</f>
        <v>3.9E-2</v>
      </c>
      <c r="X19" s="118" t="str">
        <f>INDEX(Input!$1:$1048576,X$10,$C19*2+6)</f>
        <v>Y</v>
      </c>
      <c r="Y19" s="520">
        <f>MIN(BX19*10%,4000)+Y18</f>
        <v>4996.25</v>
      </c>
      <c r="Z19" s="30">
        <f>INDEX(Input!$1:$1048576,Z$10,$C19*2+6)</f>
        <v>0</v>
      </c>
      <c r="AA19" s="115">
        <f>INDEX(Input!$1:$1048576,AA$10,$C19*2+6)</f>
        <v>1000</v>
      </c>
      <c r="AB19" s="118">
        <f>INDEX(Input!$1:$1048576,AB$10,$C19*2+6)</f>
        <v>0.27</v>
      </c>
      <c r="AC19" s="115">
        <f>INDEX(Input!$1:$1048576,AC$10,$C19*2+6)</f>
        <v>1000</v>
      </c>
      <c r="AD19" s="118">
        <f>INDEX(Input!$1:$1048576,AD$10,$C19*2+6)</f>
        <v>0.27</v>
      </c>
      <c r="AE19" s="115">
        <f>INDEX(Input!$1:$1048576,AE$10,$C19*2+6)</f>
        <v>0</v>
      </c>
      <c r="AF19" s="118">
        <f>INDEX(Input!$1:$1048576,AF$10,$C19*2+6)</f>
        <v>0.38</v>
      </c>
      <c r="AG19" s="115">
        <f>INDEX(Input!$1:$1048576,AG$10,$C19*2+6)</f>
        <v>0</v>
      </c>
      <c r="AH19" s="118">
        <f>INDEX(Input!$1:$1048576,AH$10,$C19*2+6)</f>
        <v>0</v>
      </c>
      <c r="AI19" s="115">
        <f>INDEX(Input!$1:$1048576,AI$10,$C19*2+6)</f>
        <v>0</v>
      </c>
      <c r="AJ19" s="118">
        <f>INDEX(Input!$1:$1048576,AJ$10,$C19*2+6)</f>
        <v>0.27</v>
      </c>
      <c r="AK19" s="150">
        <f>INDEX(Input!$1:$1048576,AK$10,$C18*2+6)+(Y19-VLOOKUP($C19*1000+1,$A:$HH,Y$9,FALSE))</f>
        <v>8100.7164157747848</v>
      </c>
      <c r="AL19" s="150">
        <f>INDEX(Input!$1:$1048576,AL$10,$C18*2+6)-(Y19-VLOOKUP($C19*1000+1,$A:$HH,Y$9,FALSE))/36</f>
        <v>3992.6886379970069</v>
      </c>
      <c r="AM19" s="32" t="str">
        <f t="shared" si="15"/>
        <v>std/std/std/std</v>
      </c>
      <c r="AN19" s="32" t="str">
        <f t="shared" si="16"/>
        <v>$0 + 0/0/0/1.9/3.9</v>
      </c>
      <c r="AO19" s="32" t="str">
        <f t="shared" si="17"/>
        <v>0/0/0/1.9/3.9</v>
      </c>
      <c r="AP19" s="32" t="str">
        <f t="shared" si="18"/>
        <v>0/0/1.9/3.9</v>
      </c>
      <c r="AQ19" s="150">
        <f t="shared" si="19"/>
        <v>270</v>
      </c>
      <c r="AR19" s="32" t="str">
        <f t="shared" si="20"/>
        <v>0/1.9</v>
      </c>
      <c r="AS19" s="302"/>
      <c r="AT19" s="3">
        <f t="shared" si="21"/>
        <v>3</v>
      </c>
      <c r="AU19" s="41" t="s">
        <v>121</v>
      </c>
      <c r="AV19" s="41" t="s">
        <v>116</v>
      </c>
      <c r="AW19" s="41" t="str">
        <f>INDEX(Input!$1:$1048576,AW$10,$C19*2+6)</f>
        <v>Kia</v>
      </c>
      <c r="AX19" s="41" t="str">
        <f>INDEX(Input!$1:$1048576,AX$10,$C19*2+6)</f>
        <v>Kia-LR - L1</v>
      </c>
      <c r="AY19" s="41" t="str">
        <f>IF(D19="Skip","",INDEX(Input!$1:$1048576,AY$10,$C19*2+6))</f>
        <v>Compact SUV (52)</v>
      </c>
      <c r="AZ19" s="41" t="str">
        <f>INDEX(Input!$1:$1048576,AZ$10,$C19*2+6)</f>
        <v>Kia Soul</v>
      </c>
      <c r="BA19" s="3">
        <f>INDEX(Input!$1:$1048576,BA$10,$C19*2+6)</f>
        <v>2020</v>
      </c>
      <c r="BB19" s="128">
        <f>INDEX(Input!$1:$1048576,BB$10,$C19*2+6)</f>
        <v>1</v>
      </c>
      <c r="BC19" s="128">
        <f>INDEX(Input!$1:$1048576,BC$10,$C19*2+6)</f>
        <v>0.7</v>
      </c>
      <c r="BD19" s="1">
        <f>INDEX(Input!$1:$1048576,BD$10,$C19*2+6)</f>
        <v>4.4999999999999998E-2</v>
      </c>
      <c r="BE19" s="1">
        <f>INDEX(Input!$1:$1048576,BE$10,$C19*2+6)</f>
        <v>4.4999999999999998E-2</v>
      </c>
      <c r="BF19" s="1">
        <f>INDEX(Input!$1:$1048576,BF$10,$C19*2+6)</f>
        <v>0.05</v>
      </c>
      <c r="BG19" s="1">
        <f>INDEX(Input!$1:$1048576,BG$10,$C19*2+6)</f>
        <v>5.45E-2</v>
      </c>
      <c r="BH19" s="1">
        <f>INDEX(Input!$1:$1048576,BH$10,$C19*2+6)</f>
        <v>5.45E-2</v>
      </c>
      <c r="BI19" s="1">
        <f>INDEX(Input!$1:$1048576,BI$10,$C19*2+6)</f>
        <v>0.05</v>
      </c>
      <c r="BJ19" s="1">
        <f>INDEX(Input!$1:$1048576,BJ$10,$C19*2+6)</f>
        <v>0.05</v>
      </c>
      <c r="BK19" s="1">
        <f>INDEX(Input!$1:$1048576,BK$10,$C19*2+6)</f>
        <v>0.05</v>
      </c>
      <c r="BL19" s="1">
        <f>INDEX(Input!$1:$1048576,BL$10,$C19*2+6)</f>
        <v>5.5E-2</v>
      </c>
      <c r="BM19" s="1">
        <f>INDEX(Input!$1:$1048576,BM$10,$C19*2+6)</f>
        <v>0.06</v>
      </c>
      <c r="BN19" s="1">
        <f>INDEX(Input!$1:$1048576,BN$10,$C19*2+6)</f>
        <v>4.4999999999999998E-2</v>
      </c>
      <c r="BO19" s="1">
        <f>INDEX(Input!$1:$1048576,BO$10,$C19*2+6)</f>
        <v>4.4999999999999998E-2</v>
      </c>
      <c r="BP19" s="1">
        <f>INDEX(Input!$1:$1048576,BP$10,$C19*2+6)</f>
        <v>0.05</v>
      </c>
      <c r="BQ19" s="1">
        <f>INDEX(Input!$1:$1048576,BQ$10,$C19*2+6)</f>
        <v>5.45E-2</v>
      </c>
      <c r="BR19" s="1">
        <f>INDEX(Input!$1:$1048576,BR$10,$C19*2+6)</f>
        <v>5.45E-2</v>
      </c>
      <c r="BS19" s="1">
        <f>INDEX(Input!$1:$1048576,BS$10,$C19*2+6)</f>
        <v>0.05</v>
      </c>
      <c r="BT19" s="1">
        <f>INDEX(Input!$1:$1048576,BT$10,$C19*2+6)</f>
        <v>0.05</v>
      </c>
      <c r="BU19" s="1">
        <f>INDEX(Input!$1:$1048576,BU$10,$C19*2+6)</f>
        <v>0.05</v>
      </c>
      <c r="BV19" s="1">
        <f>INDEX(Input!$1:$1048576,BV$10,$C19*2+6)</f>
        <v>5.5E-2</v>
      </c>
      <c r="BW19" s="1">
        <f>INDEX(Input!$1:$1048576,BW$10,$C19*2+6)</f>
        <v>0.06</v>
      </c>
      <c r="BX19" s="304">
        <f>INDEX(Input!$1:$1048576,BX$10,$C19*2+6)</f>
        <v>19985</v>
      </c>
      <c r="BY19" s="20">
        <f>INDEX(Input!$1:$1048576,BY$10,$C19*2+6)</f>
        <v>0.1</v>
      </c>
      <c r="BZ19" s="20">
        <f>INDEX(Input!$1:$1048576,BZ$10,$C19*2+6)</f>
        <v>0.1</v>
      </c>
      <c r="CA19" s="20">
        <f>INDEX(Input!$1:$1048576,CA$10,$C19*2+6)</f>
        <v>0.1</v>
      </c>
      <c r="CB19" s="20">
        <f>INDEX(Input!$1:$1048576,CB$10,$C19*2+6)</f>
        <v>0.1</v>
      </c>
      <c r="CC19" s="20">
        <f>INDEX(Input!$1:$1048576,CC$10,$C19*2+6)</f>
        <v>0.1</v>
      </c>
      <c r="CD19" s="384">
        <f>INDEX(Input!$1:$1048576,CD$10,$C19*2+6)</f>
        <v>0.1</v>
      </c>
      <c r="CE19" s="384">
        <f>INDEX(Input!$1:$1048576,CE$10,$C19*2+6)</f>
        <v>0.1</v>
      </c>
      <c r="CF19" s="384">
        <f>INDEX(Input!$1:$1048576,CF$10,$C19*2+6)</f>
        <v>0.1</v>
      </c>
      <c r="CG19" s="384">
        <f>INDEX(Input!$1:$1048576,CG$10,$C19*2+6)</f>
        <v>0.1</v>
      </c>
      <c r="CH19" s="384">
        <f>INDEX(Input!$1:$1048576,CH$10,$C19*2+6)</f>
        <v>0.1</v>
      </c>
      <c r="CI19" s="304">
        <f t="shared" si="22"/>
        <v>1270</v>
      </c>
      <c r="CJ19" s="16" t="str">
        <f>INDEX(Input!$1:$1048576,CJ$10,$C19*2+6)</f>
        <v>N</v>
      </c>
      <c r="CK19" s="1" t="str">
        <f t="shared" si="23"/>
        <v>Market</v>
      </c>
      <c r="CL19" s="1" t="str">
        <f t="shared" si="24"/>
        <v>Market</v>
      </c>
      <c r="CM19" s="1" t="str">
        <f t="shared" si="25"/>
        <v>Market</v>
      </c>
      <c r="CN19" s="1" t="str">
        <f t="shared" si="26"/>
        <v>Market</v>
      </c>
      <c r="CO19" s="1" t="str">
        <f t="shared" si="27"/>
        <v>Market</v>
      </c>
      <c r="CP19" s="304">
        <f t="shared" si="28"/>
        <v>0</v>
      </c>
      <c r="CQ19" s="1">
        <f t="shared" si="29"/>
        <v>0</v>
      </c>
      <c r="CR19" s="1">
        <f t="shared" si="30"/>
        <v>0</v>
      </c>
      <c r="CS19" s="1">
        <f t="shared" si="31"/>
        <v>0</v>
      </c>
      <c r="CT19" s="1">
        <f t="shared" si="32"/>
        <v>0</v>
      </c>
      <c r="CU19" s="1">
        <f t="shared" si="33"/>
        <v>1.9E-2</v>
      </c>
      <c r="CV19" s="304">
        <f t="shared" si="34"/>
        <v>5266.25</v>
      </c>
      <c r="CW19" s="20" t="s">
        <v>122</v>
      </c>
      <c r="CX19" s="20" t="s">
        <v>122</v>
      </c>
      <c r="CY19" s="20" t="s">
        <v>122</v>
      </c>
      <c r="CZ19" s="20" t="s">
        <v>122</v>
      </c>
      <c r="DA19" s="20" t="s">
        <v>122</v>
      </c>
      <c r="DB19" s="503">
        <f t="shared" si="35"/>
        <v>0</v>
      </c>
      <c r="DC19" s="127">
        <v>0</v>
      </c>
      <c r="DD19" s="127">
        <v>0</v>
      </c>
      <c r="DE19" s="127">
        <v>0</v>
      </c>
      <c r="DF19" s="127">
        <v>0</v>
      </c>
      <c r="DG19" s="127">
        <v>0</v>
      </c>
      <c r="DH19" s="127">
        <v>0</v>
      </c>
      <c r="DI19" s="127">
        <v>0</v>
      </c>
      <c r="DJ19" s="127">
        <v>0</v>
      </c>
      <c r="DK19" s="127">
        <v>0</v>
      </c>
      <c r="DL19" s="127">
        <v>0</v>
      </c>
      <c r="DM19" s="304">
        <f>INDEX(Input!$1:$1048576,DM$10,$C19*2+6)</f>
        <v>21036.84210526316</v>
      </c>
      <c r="DN19" s="20">
        <v>0</v>
      </c>
      <c r="DO19" s="20">
        <v>0</v>
      </c>
      <c r="DP19" s="20">
        <v>0</v>
      </c>
      <c r="DQ19" s="20">
        <v>0</v>
      </c>
      <c r="DR19" s="20">
        <v>0</v>
      </c>
      <c r="DS19" s="20">
        <f>INDEX(Input!$1:$1048576,DS$10,$C19*2+6)</f>
        <v>0.6</v>
      </c>
      <c r="DT19" s="20">
        <f>INDEX(Input!$1:$1048576,DT$10,$C19*2+6)</f>
        <v>0.55000000000000004</v>
      </c>
      <c r="DU19" s="20">
        <f>INDEX(Input!$1:$1048576,DU$10,$C19*2+6)</f>
        <v>0.52</v>
      </c>
      <c r="DV19" s="20">
        <f>INDEX(Input!$1:$1048576,DV$10,$C19*2+6)</f>
        <v>0.5</v>
      </c>
      <c r="DW19" s="20">
        <f>INDEX(Input!$1:$1048576,DW$10,$C19*2+6)</f>
        <v>0.45</v>
      </c>
      <c r="DX19" s="20"/>
      <c r="DY19" s="7">
        <v>1.9233450060685824E-2</v>
      </c>
      <c r="DZ19" s="7">
        <v>0</v>
      </c>
      <c r="EA19" s="7">
        <v>9.2334967519404704E-2</v>
      </c>
      <c r="EB19" s="7">
        <v>0</v>
      </c>
      <c r="EC19" s="7">
        <v>0</v>
      </c>
      <c r="ED19" s="7">
        <v>0</v>
      </c>
      <c r="EE19" s="7">
        <v>0</v>
      </c>
      <c r="EF19" s="7">
        <v>0</v>
      </c>
      <c r="EG19" s="7">
        <v>0</v>
      </c>
      <c r="EH19" s="7">
        <v>1.0456306766219609E-2</v>
      </c>
      <c r="EI19" s="7">
        <v>3.053533170151845E-2</v>
      </c>
      <c r="EJ19" s="7">
        <v>0.19288831904248802</v>
      </c>
      <c r="EK19" s="7">
        <v>0.59431531814863481</v>
      </c>
      <c r="EL19" s="7">
        <v>0.17180472434113883</v>
      </c>
      <c r="EM19" s="7">
        <v>1.7084424212887344E-2</v>
      </c>
      <c r="EN19" s="7">
        <v>7.3826746639066451E-2</v>
      </c>
      <c r="EO19" s="7">
        <v>0.85613754909369333</v>
      </c>
      <c r="EP19" s="7">
        <v>3.0728244044183672E-2</v>
      </c>
      <c r="EQ19" s="7">
        <v>2.2133255154355477E-2</v>
      </c>
      <c r="ER19" s="7">
        <v>1.7174205068701057E-2</v>
      </c>
      <c r="ES19" s="7">
        <v>0.87134715820702202</v>
      </c>
      <c r="ET19" s="7">
        <v>0.88843158241990949</v>
      </c>
      <c r="EU19" s="6">
        <v>1240</v>
      </c>
      <c r="EV19" s="6">
        <v>0</v>
      </c>
      <c r="EW19" s="6">
        <v>1240</v>
      </c>
      <c r="EX19" s="6">
        <v>0</v>
      </c>
      <c r="EY19" s="6">
        <v>2643.8940613978925</v>
      </c>
      <c r="EZ19" s="6">
        <v>5116.25</v>
      </c>
      <c r="FA19" s="6">
        <v>0</v>
      </c>
      <c r="FB19" s="6">
        <v>0</v>
      </c>
      <c r="FC19" s="6">
        <v>0</v>
      </c>
      <c r="FD19" s="6">
        <v>0</v>
      </c>
      <c r="FE19" s="6">
        <v>0</v>
      </c>
      <c r="FF19" s="6">
        <v>0</v>
      </c>
      <c r="FG19" s="6">
        <v>0</v>
      </c>
      <c r="FH19" s="6">
        <v>1171.2811379695613</v>
      </c>
      <c r="FI19" s="6">
        <v>1553.9796069512399</v>
      </c>
      <c r="FJ19" s="6">
        <v>2101.2110117447405</v>
      </c>
      <c r="FK19" s="6">
        <v>2674.2006261592273</v>
      </c>
      <c r="FL19" s="6">
        <v>2034.7405995769211</v>
      </c>
      <c r="FM19" s="6">
        <v>2403.8940613978925</v>
      </c>
      <c r="FN19" s="6">
        <v>0</v>
      </c>
      <c r="FO19" s="6">
        <v>0</v>
      </c>
      <c r="FP19" s="6">
        <v>0</v>
      </c>
      <c r="FQ19" s="6">
        <v>0</v>
      </c>
      <c r="FR19" s="6">
        <v>0</v>
      </c>
      <c r="FS19" s="6">
        <v>0</v>
      </c>
      <c r="FT19" s="7">
        <v>0.11156841758009053</v>
      </c>
      <c r="FU19" s="7">
        <v>1.7084424212887344E-2</v>
      </c>
      <c r="FV19" s="7">
        <v>0.87134715820702202</v>
      </c>
      <c r="FW19" s="519">
        <v>1239.9999999999998</v>
      </c>
      <c r="FX19" s="519">
        <v>2643.8940613978925</v>
      </c>
      <c r="FY19" s="519">
        <v>5116.25</v>
      </c>
      <c r="FZ19" s="6">
        <v>1972.7251322951724</v>
      </c>
      <c r="GA19" s="6">
        <v>4641.544143694844</v>
      </c>
      <c r="GB19" s="6">
        <v>15343.455856305156</v>
      </c>
      <c r="GC19" s="7">
        <v>1.0519917368675835E-2</v>
      </c>
      <c r="GD19" s="7">
        <v>1.513700983929829E-2</v>
      </c>
      <c r="GE19" s="7"/>
      <c r="GF19" s="7"/>
      <c r="GG19" s="7">
        <v>0.43889056432803703</v>
      </c>
      <c r="GH19" s="42">
        <v>3.2865577960251859</v>
      </c>
      <c r="GI19" s="6">
        <v>10722.374374086707</v>
      </c>
      <c r="GJ19" s="14">
        <v>0.50394797582841733</v>
      </c>
      <c r="GK19" s="14">
        <v>0.50887573065309744</v>
      </c>
      <c r="GL19" s="14">
        <v>0.49605202417158295</v>
      </c>
      <c r="GM19" s="14">
        <v>0.49112426934690251</v>
      </c>
      <c r="GO19" s="5">
        <v>343.14810671672558</v>
      </c>
      <c r="GP19" s="5">
        <v>319.49127229486811</v>
      </c>
      <c r="GQ19" s="5">
        <v>535.04305713031317</v>
      </c>
      <c r="GR19" s="5">
        <v>410.15490233172511</v>
      </c>
      <c r="GS19" s="5">
        <v>339.42744393800166</v>
      </c>
      <c r="GT19" s="5">
        <v>293.4407446948278</v>
      </c>
      <c r="GU19" s="5">
        <v>258.04012322764959</v>
      </c>
      <c r="GV19" s="39" t="s">
        <v>392</v>
      </c>
      <c r="GW19" s="5">
        <v>492.95833333333331</v>
      </c>
      <c r="GX19" s="5">
        <v>369.71875</v>
      </c>
      <c r="GY19" s="5">
        <v>295.77499999999998</v>
      </c>
      <c r="GZ19" s="5">
        <v>246.47916666666666</v>
      </c>
      <c r="HA19" s="5">
        <v>225.79546784515614</v>
      </c>
      <c r="HB19" s="39">
        <v>258.77462325373625</v>
      </c>
      <c r="HC19" s="5">
        <v>63.448437499999983</v>
      </c>
      <c r="HD19" s="5">
        <v>87.028481359649078</v>
      </c>
      <c r="HE19" s="5">
        <v>99.118115300269864</v>
      </c>
      <c r="HF19" s="5">
        <v>102.59547423245613</v>
      </c>
      <c r="HG19" s="5">
        <v>112.56992324561402</v>
      </c>
      <c r="HH19" s="39">
        <v>86.442338843956676</v>
      </c>
      <c r="HI19" s="16"/>
      <c r="HJ19" s="1">
        <f>INDEX(Input!$1:$1048576,HJ$10,$C19*2+6)</f>
        <v>0.24663677130044845</v>
      </c>
      <c r="HK19" s="1">
        <f>INDEX(Input!$1:$1048576,HK$10,$C19*2+6)</f>
        <v>0.35201793721973096</v>
      </c>
      <c r="HL19" s="1">
        <f>INDEX(Input!$1:$1048576,HL$10,$C19*2+6)</f>
        <v>0.40134529147982062</v>
      </c>
      <c r="HM19" s="19"/>
    </row>
    <row r="20" spans="1:221" s="60" customFormat="1" ht="15.75" thickBot="1">
      <c r="A20" s="31">
        <f>C20*1000+B20</f>
        <v>2001</v>
      </c>
      <c r="B20" s="31">
        <f t="shared" ref="B20:B22" si="36">IF(D20="Baseline1",1,B19+1)</f>
        <v>1</v>
      </c>
      <c r="C20" s="508">
        <v>2</v>
      </c>
      <c r="D20" s="31" t="s">
        <v>566</v>
      </c>
      <c r="E20" s="365">
        <f>INDEX(Input!$1:$1048576,E$10,$C20*2+MIN($B20,2)+5)</f>
        <v>1000</v>
      </c>
      <c r="F20" s="366">
        <f>INDEX(Input!$1:$1048576,F$10,$C20*2+MIN($B20,2)+5)</f>
        <v>0</v>
      </c>
      <c r="G20" s="49">
        <f>INDEX(Input!$1:$1048576,G$10,$C20*2+MIN($B20,2)+5)</f>
        <v>0</v>
      </c>
      <c r="H20" s="49">
        <f>INDEX(Input!$1:$1048576,H$10,$C20*2+MIN($B20,2)+5)</f>
        <v>0</v>
      </c>
      <c r="I20" s="367">
        <f>INDEX(Input!$1:$1048576,I$10,$C20*2+MIN($B20,2)+5)</f>
        <v>0.7</v>
      </c>
      <c r="J20" s="367" t="str">
        <f>INDEX(Input!$1:$1048576,J$10,$C20*2+MIN($B20,2)+5)</f>
        <v>Market</v>
      </c>
      <c r="K20" s="367" t="str">
        <f>INDEX(Input!$1:$1048576,K$10,$C20*2+MIN($B20,2)+5)</f>
        <v>Market</v>
      </c>
      <c r="L20" s="367" t="str">
        <f>INDEX(Input!$1:$1048576,L$10,$C20*2+MIN($B20,2)+5)</f>
        <v>Market</v>
      </c>
      <c r="M20" s="367" t="str">
        <f>INDEX(Input!$1:$1048576,M$10,$C20*2+MIN($B20,2)+5)</f>
        <v>Market</v>
      </c>
      <c r="N20" s="367" t="str">
        <f>INDEX(Input!$1:$1048576,N$10,$C20*2+MIN($B20,2)+5)</f>
        <v>Market</v>
      </c>
      <c r="O20" s="367" t="str">
        <f>INDEX(Input!$1:$1048576,O$10,$C20*2+MIN($B20,2)+5)</f>
        <v>Market</v>
      </c>
      <c r="P20" s="367" t="str">
        <f>INDEX(Input!$1:$1048576,P$10,$C20*2+MIN($B20,2)+5)</f>
        <v>N</v>
      </c>
      <c r="Q20" s="47">
        <f>INDEX(Input!$1:$1048576,Q$10,$C20*2+MIN($B20,2)+5)</f>
        <v>0</v>
      </c>
      <c r="R20" s="38">
        <f>INDEX(Input!$1:$1048576,R$10,$C20*2+MIN($B20,2)+5)</f>
        <v>0</v>
      </c>
      <c r="S20" s="38">
        <f>INDEX(Input!$1:$1048576,S$10,$C20*2+MIN($B20,2)+5)</f>
        <v>0</v>
      </c>
      <c r="T20" s="38">
        <f>INDEX(Input!$1:$1048576,T$10,$C20*2+MIN($B20,2)+5)</f>
        <v>0</v>
      </c>
      <c r="U20" s="38">
        <f>INDEX(Input!$1:$1048576,U$10,$C20*2+MIN($B20,2)+5)</f>
        <v>0</v>
      </c>
      <c r="V20" s="38">
        <f>INDEX(Input!$1:$1048576,V$10,$C20*2+MIN($B20,2)+5)</f>
        <v>1.9E-2</v>
      </c>
      <c r="W20" s="38">
        <f>INDEX(Input!$1:$1048576,W$10,$C20*2+MIN($B20,2)+5)</f>
        <v>3.9E-2</v>
      </c>
      <c r="X20" s="367" t="str">
        <f>INDEX(Input!$1:$1048576,X$10,$C20*2+MIN($B20,2)+5)</f>
        <v>Y</v>
      </c>
      <c r="Y20" s="517">
        <f>MIN(BX20*5%,2000)</f>
        <v>999.25</v>
      </c>
      <c r="Z20" s="49">
        <f>INDEX(Input!$1:$1048576,Z$10,$C20*2+MIN($B20,2)+5)</f>
        <v>0</v>
      </c>
      <c r="AA20" s="49">
        <f>INDEX(Input!$1:$1048576,AA$10,$C20*2+MIN($B20,2)+5)</f>
        <v>1000</v>
      </c>
      <c r="AB20" s="367">
        <f>INDEX(Input!$1:$1048576,AB$10,$C20*2+MIN($B20,2)+5)</f>
        <v>0.27</v>
      </c>
      <c r="AC20" s="49">
        <f>INDEX(Input!$1:$1048576,AC$10,$C20*2+MIN($B20,2)+5)</f>
        <v>1000</v>
      </c>
      <c r="AD20" s="367">
        <f>INDEX(Input!$1:$1048576,AD$10,$C20*2+MIN($B20,2)+5)</f>
        <v>0.27</v>
      </c>
      <c r="AE20" s="49">
        <f>INDEX(Input!$1:$1048576,AE$10,$C20*2+MIN($B20,2)+5)</f>
        <v>500</v>
      </c>
      <c r="AF20" s="367">
        <f>INDEX(Input!$1:$1048576,AF$10,$C20*2+MIN($B20,2)+5)</f>
        <v>4.8000000000000001E-2</v>
      </c>
      <c r="AG20" s="49">
        <f>INDEX(Input!$1:$1048576,AG$10,$C20*2+MIN($B20,2)+5)</f>
        <v>0</v>
      </c>
      <c r="AH20" s="367">
        <f>INDEX(Input!$1:$1048576,AH$10,$C20*2+MIN($B20,2)+5)</f>
        <v>0.94599999999999995</v>
      </c>
      <c r="AI20" s="49">
        <f>INDEX(Input!$1:$1048576,AI$10,$C20*2+MIN($B20,2)+5)</f>
        <v>0</v>
      </c>
      <c r="AJ20" s="367">
        <f>INDEX(Input!$1:$1048576,AJ$10,$C20*2+MIN($B20,2)+5)</f>
        <v>0.27</v>
      </c>
      <c r="AK20" s="298">
        <f>INDEX(Input!$1:$1048576,AK$10,$C20*2+MIN($B20,2)+5)</f>
        <v>3383.7164157747848</v>
      </c>
      <c r="AL20" s="49">
        <f>INDEX(Input!$1:$1048576,AL$10,$C20*2+MIN($B20,2)+5)</f>
        <v>3383.7164157747848</v>
      </c>
      <c r="AM20" s="46" t="str">
        <f>IF(K20="market","std",ROUND(K20*1000,0)/10)&amp;"/"&amp;IF(L20="market","std",ROUND(L20*1000,0)/10)&amp;"/"&amp;IF(M20="market","std",ROUND(M20*1000,0)/10)&amp;"/"&amp;IF(N20="market","std",ROUND(N20*1000,0)/10)&amp;IF(P20="N","","/"&amp;IF(O20="market","std",ROUND(O20*1000,0)/10))</f>
        <v>std/std/std/std</v>
      </c>
      <c r="AN20" s="46" t="str">
        <f>"$"&amp;ROUND(Q20,0)&amp;" + "&amp;IF(S20="market","std",ROUND(S20*1000,0)/10)&amp;"/"&amp;IF(T20="market","std",ROUND(T20*1000,0)/10)&amp;"/"&amp;IF(U20="market","std",ROUND(U20*1000,0)/10)&amp;"/"&amp;IF(V20="market","std",ROUND(V20*1000,0)/10)&amp;IF(X20="N","","/"&amp;IF(W20="market","std",ROUND(W20*1000,0)/10))</f>
        <v>$0 + 0/0/0/1.9/3.9</v>
      </c>
      <c r="AO20" s="44" t="str">
        <f>IF(S20="market","std",ROUND(S20*1000,0)/10)&amp;"/"&amp;IF(T20="market","std",ROUND(T20*1000,0)/10)&amp;"/"&amp;IF(U20="market","std",ROUND(U20*1000,0)/10)&amp;"/"&amp;IF(V20="market","std",ROUND(V20*1000,0)/10)&amp;IF(X20="N","","/"&amp;IF(W20="market","std",ROUND(W20*1000,0)/10))</f>
        <v>0/0/0/1.9/3.9</v>
      </c>
      <c r="AP20" s="44" t="str">
        <f>IF(T20="market","std",ROUND(T20*1000,0)/10)&amp;"/"&amp;IF(U20="market","std",ROUND(U20*1000,0)/10)&amp;"/"&amp;IF(V20="market","std",ROUND(V20*1000,0)/10)&amp;IF(X20="N","","/"&amp;IF(W20="market","std",ROUND(W20*1000,0)/10))</f>
        <v>0/0/1.9/3.9</v>
      </c>
      <c r="AQ20" s="49">
        <f t="shared" si="19"/>
        <v>294</v>
      </c>
      <c r="AR20" s="44" t="str">
        <f t="shared" si="20"/>
        <v>0/1.9</v>
      </c>
      <c r="AS20" s="368"/>
      <c r="AT20" s="50">
        <f t="shared" si="21"/>
        <v>4</v>
      </c>
      <c r="AU20" s="45" t="s">
        <v>121</v>
      </c>
      <c r="AV20" s="45" t="s">
        <v>116</v>
      </c>
      <c r="AW20" s="45" t="str">
        <f>INDEX(Input!$1:$1048576,AW$10,$C20*2+6)</f>
        <v>Kia</v>
      </c>
      <c r="AX20" s="45" t="str">
        <f>INDEX(Input!$1:$1048576,AX$10,$C20*2+6)</f>
        <v>Kia-LR - L2</v>
      </c>
      <c r="AY20" s="10" t="str">
        <f>IF(D20="Skip","",INDEX(Input!$1:$1048576,AY$10,$C20*2+6))</f>
        <v>Compact SUV (52)</v>
      </c>
      <c r="AZ20" s="45" t="str">
        <f>INDEX(Input!$1:$1048576,AZ$10,$C20*2+6)</f>
        <v>Kia Soul</v>
      </c>
      <c r="BA20" s="50">
        <f>INDEX(Input!$1:$1048576,BA$10,$C20*2+6)</f>
        <v>2020</v>
      </c>
      <c r="BB20" s="367">
        <f>INDEX(Input!$1:$1048576,BB$10,$C20*2+6)</f>
        <v>1</v>
      </c>
      <c r="BC20" s="367">
        <f>INDEX(Input!$1:$1048576,BC$10,$C20*2+6)</f>
        <v>0.7</v>
      </c>
      <c r="BD20" s="38">
        <f>INDEX(Input!$1:$1048576,BD$10,$C20*2+6)</f>
        <v>4.4999999999999998E-2</v>
      </c>
      <c r="BE20" s="38">
        <f>INDEX(Input!$1:$1048576,BE$10,$C20*2+6)</f>
        <v>4.4999999999999998E-2</v>
      </c>
      <c r="BF20" s="38">
        <f>INDEX(Input!$1:$1048576,BF$10,$C20*2+6)</f>
        <v>0.05</v>
      </c>
      <c r="BG20" s="38">
        <f>INDEX(Input!$1:$1048576,BG$10,$C20*2+6)</f>
        <v>5.45E-2</v>
      </c>
      <c r="BH20" s="38">
        <f>INDEX(Input!$1:$1048576,BH$10,$C20*2+6)</f>
        <v>5.45E-2</v>
      </c>
      <c r="BI20" s="38">
        <f>INDEX(Input!$1:$1048576,BI$10,$C20*2+6)</f>
        <v>0.05</v>
      </c>
      <c r="BJ20" s="38">
        <f>INDEX(Input!$1:$1048576,BJ$10,$C20*2+6)</f>
        <v>0.05</v>
      </c>
      <c r="BK20" s="38">
        <f>INDEX(Input!$1:$1048576,BK$10,$C20*2+6)</f>
        <v>0.05</v>
      </c>
      <c r="BL20" s="38">
        <f>INDEX(Input!$1:$1048576,BL$10,$C20*2+6)</f>
        <v>5.5E-2</v>
      </c>
      <c r="BM20" s="38">
        <f>INDEX(Input!$1:$1048576,BM$10,$C20*2+6)</f>
        <v>0.06</v>
      </c>
      <c r="BN20" s="38">
        <f>INDEX(Input!$1:$1048576,BN$10,$C20*2+6)</f>
        <v>4.4999999999999998E-2</v>
      </c>
      <c r="BO20" s="38">
        <f>INDEX(Input!$1:$1048576,BO$10,$C20*2+6)</f>
        <v>4.4999999999999998E-2</v>
      </c>
      <c r="BP20" s="38">
        <f>INDEX(Input!$1:$1048576,BP$10,$C20*2+6)</f>
        <v>0.05</v>
      </c>
      <c r="BQ20" s="38">
        <f>INDEX(Input!$1:$1048576,BQ$10,$C20*2+6)</f>
        <v>5.45E-2</v>
      </c>
      <c r="BR20" s="38">
        <f>INDEX(Input!$1:$1048576,BR$10,$C20*2+6)</f>
        <v>5.45E-2</v>
      </c>
      <c r="BS20" s="38">
        <f>INDEX(Input!$1:$1048576,BS$10,$C20*2+6)</f>
        <v>0.05</v>
      </c>
      <c r="BT20" s="38">
        <f>INDEX(Input!$1:$1048576,BT$10,$C20*2+6)</f>
        <v>0.05</v>
      </c>
      <c r="BU20" s="38">
        <f>INDEX(Input!$1:$1048576,BU$10,$C20*2+6)</f>
        <v>0.05</v>
      </c>
      <c r="BV20" s="38">
        <f>INDEX(Input!$1:$1048576,BV$10,$C20*2+6)</f>
        <v>5.5E-2</v>
      </c>
      <c r="BW20" s="38">
        <f>INDEX(Input!$1:$1048576,BW$10,$C20*2+6)</f>
        <v>0.06</v>
      </c>
      <c r="BX20" s="49">
        <f>INDEX(Input!$1:$1048576,BX$10,$C20*2+6)</f>
        <v>19985</v>
      </c>
      <c r="BY20" s="367">
        <f>INDEX(Input!$1:$1048576,BY$10,$C20*2+6)</f>
        <v>0.1</v>
      </c>
      <c r="BZ20" s="367">
        <f>INDEX(Input!$1:$1048576,BZ$10,$C20*2+6)</f>
        <v>0.1</v>
      </c>
      <c r="CA20" s="367">
        <f>INDEX(Input!$1:$1048576,CA$10,$C20*2+6)</f>
        <v>0.1</v>
      </c>
      <c r="CB20" s="367">
        <f>INDEX(Input!$1:$1048576,CB$10,$C20*2+6)</f>
        <v>0.1</v>
      </c>
      <c r="CC20" s="367">
        <f>INDEX(Input!$1:$1048576,CC$10,$C20*2+6)</f>
        <v>0.1</v>
      </c>
      <c r="CD20" s="367">
        <f>INDEX(Input!$1:$1048576,CD$10,$C20*2+6)</f>
        <v>0.1</v>
      </c>
      <c r="CE20" s="367">
        <f>INDEX(Input!$1:$1048576,CE$10,$C20*2+6)</f>
        <v>0.1</v>
      </c>
      <c r="CF20" s="367">
        <f>INDEX(Input!$1:$1048576,CF$10,$C20*2+6)</f>
        <v>0.1</v>
      </c>
      <c r="CG20" s="367">
        <f>INDEX(Input!$1:$1048576,CG$10,$C20*2+6)</f>
        <v>0.1</v>
      </c>
      <c r="CH20" s="48">
        <f>INDEX(Input!$1:$1048576,CH$10,$C20*2+6)</f>
        <v>0.1</v>
      </c>
      <c r="CI20" s="298">
        <f t="shared" si="22"/>
        <v>1270</v>
      </c>
      <c r="CJ20" s="46" t="str">
        <f>INDEX(Input!$1:$1048576,CJ$10,$C20*2+6)</f>
        <v>N</v>
      </c>
      <c r="CK20" s="38" t="str">
        <f t="shared" si="23"/>
        <v>Market</v>
      </c>
      <c r="CL20" s="38" t="str">
        <f t="shared" si="24"/>
        <v>Market</v>
      </c>
      <c r="CM20" s="38" t="str">
        <f t="shared" si="25"/>
        <v>Market</v>
      </c>
      <c r="CN20" s="38" t="str">
        <f t="shared" si="26"/>
        <v>Market</v>
      </c>
      <c r="CO20" s="38" t="str">
        <f t="shared" si="27"/>
        <v>Market</v>
      </c>
      <c r="CP20" s="49">
        <f t="shared" si="28"/>
        <v>0</v>
      </c>
      <c r="CQ20" s="38">
        <f t="shared" si="29"/>
        <v>0</v>
      </c>
      <c r="CR20" s="38">
        <f t="shared" si="30"/>
        <v>0</v>
      </c>
      <c r="CS20" s="38">
        <f t="shared" si="31"/>
        <v>0</v>
      </c>
      <c r="CT20" s="38">
        <f t="shared" si="32"/>
        <v>0</v>
      </c>
      <c r="CU20" s="38">
        <f t="shared" si="33"/>
        <v>1.9E-2</v>
      </c>
      <c r="CV20" s="49">
        <f t="shared" si="34"/>
        <v>1269.25</v>
      </c>
      <c r="CW20" s="22" t="s">
        <v>122</v>
      </c>
      <c r="CX20" s="22" t="s">
        <v>122</v>
      </c>
      <c r="CY20" s="22" t="s">
        <v>122</v>
      </c>
      <c r="CZ20" s="22" t="s">
        <v>122</v>
      </c>
      <c r="DA20" s="22" t="s">
        <v>122</v>
      </c>
      <c r="DB20" s="502">
        <f t="shared" si="35"/>
        <v>24</v>
      </c>
      <c r="DC20" s="29">
        <v>0</v>
      </c>
      <c r="DD20" s="29">
        <v>0</v>
      </c>
      <c r="DE20" s="29">
        <v>0</v>
      </c>
      <c r="DF20" s="49">
        <v>0</v>
      </c>
      <c r="DG20" s="49">
        <v>0</v>
      </c>
      <c r="DH20" s="49">
        <v>0</v>
      </c>
      <c r="DI20" s="49">
        <v>0</v>
      </c>
      <c r="DJ20" s="49">
        <v>0</v>
      </c>
      <c r="DK20" s="29">
        <v>0</v>
      </c>
      <c r="DL20" s="29">
        <v>0</v>
      </c>
      <c r="DM20" s="49">
        <f>INDEX(Input!$1:$1048576,DM$10,$C20*2+6)</f>
        <v>21036.84210526316</v>
      </c>
      <c r="DN20" s="367">
        <v>0</v>
      </c>
      <c r="DO20" s="367">
        <v>0</v>
      </c>
      <c r="DP20" s="367">
        <v>0</v>
      </c>
      <c r="DQ20" s="367">
        <v>0</v>
      </c>
      <c r="DR20" s="367">
        <v>0</v>
      </c>
      <c r="DS20" s="367">
        <f>INDEX(Input!$1:$1048576,DS$10,$C20*2+6)</f>
        <v>0.6</v>
      </c>
      <c r="DT20" s="367">
        <f>INDEX(Input!$1:$1048576,DT$10,$C20*2+6)</f>
        <v>0.55000000000000004</v>
      </c>
      <c r="DU20" s="367">
        <f>INDEX(Input!$1:$1048576,DU$10,$C20*2+6)</f>
        <v>0.52</v>
      </c>
      <c r="DV20" s="367">
        <f>INDEX(Input!$1:$1048576,DV$10,$C20*2+6)</f>
        <v>0.5</v>
      </c>
      <c r="DW20" s="367">
        <f>INDEX(Input!$1:$1048576,DW$10,$C20*2+6)</f>
        <v>0.45</v>
      </c>
      <c r="DX20" s="369"/>
      <c r="DY20" s="4">
        <v>8.5740399397019038E-2</v>
      </c>
      <c r="DZ20" s="37">
        <v>0</v>
      </c>
      <c r="EA20" s="37">
        <v>0.61153058061242593</v>
      </c>
      <c r="EB20" s="37">
        <v>0</v>
      </c>
      <c r="EC20" s="37">
        <v>0</v>
      </c>
      <c r="ED20" s="37">
        <v>0</v>
      </c>
      <c r="EE20" s="37">
        <v>0</v>
      </c>
      <c r="EF20" s="37">
        <v>0</v>
      </c>
      <c r="EG20" s="37">
        <v>0</v>
      </c>
      <c r="EH20" s="37">
        <v>7.767506377760889E-3</v>
      </c>
      <c r="EI20" s="37">
        <v>2.2106243097013849E-2</v>
      </c>
      <c r="EJ20" s="37">
        <v>0.16732129718970001</v>
      </c>
      <c r="EK20" s="37">
        <v>0.62828774425168499</v>
      </c>
      <c r="EL20" s="37">
        <v>0.17451720908384055</v>
      </c>
      <c r="EM20" s="37">
        <v>9.8076950345005909E-2</v>
      </c>
      <c r="EN20" s="37">
        <v>6.6181045659959789E-2</v>
      </c>
      <c r="EO20" s="37">
        <v>0.7375801935858971</v>
      </c>
      <c r="EP20" s="37">
        <v>8.4869118713559927E-2</v>
      </c>
      <c r="EQ20" s="37">
        <v>7.2387924623321609E-2</v>
      </c>
      <c r="ER20" s="37">
        <v>3.8981717417261037E-2</v>
      </c>
      <c r="ES20" s="37">
        <v>0.20465206964554902</v>
      </c>
      <c r="ET20" s="37">
        <v>0.30272901999055496</v>
      </c>
      <c r="EU20" s="36">
        <v>1252</v>
      </c>
      <c r="EV20" s="36">
        <v>0</v>
      </c>
      <c r="EW20" s="36">
        <v>1252</v>
      </c>
      <c r="EX20" s="36">
        <v>0</v>
      </c>
      <c r="EY20" s="36">
        <v>2682.3116949425812</v>
      </c>
      <c r="EZ20" s="36">
        <v>1131.25</v>
      </c>
      <c r="FA20" s="36">
        <v>0</v>
      </c>
      <c r="FB20" s="36">
        <v>0</v>
      </c>
      <c r="FC20" s="36">
        <v>0</v>
      </c>
      <c r="FD20" s="36">
        <v>0</v>
      </c>
      <c r="FE20" s="36">
        <v>0</v>
      </c>
      <c r="FF20" s="36">
        <v>0</v>
      </c>
      <c r="FG20" s="36">
        <v>0</v>
      </c>
      <c r="FH20" s="36">
        <v>1173.7308798918266</v>
      </c>
      <c r="FI20" s="36">
        <v>1553.9796069512392</v>
      </c>
      <c r="FJ20" s="36">
        <v>2101.211011744741</v>
      </c>
      <c r="FK20" s="36">
        <v>2674.200626159226</v>
      </c>
      <c r="FL20" s="36">
        <v>2034.7405995769209</v>
      </c>
      <c r="FM20" s="36">
        <v>2430.3116949425812</v>
      </c>
      <c r="FN20" s="36">
        <v>0</v>
      </c>
      <c r="FO20" s="36">
        <v>0</v>
      </c>
      <c r="FP20" s="36">
        <v>0</v>
      </c>
      <c r="FQ20" s="36">
        <v>0</v>
      </c>
      <c r="FR20" s="36">
        <v>0</v>
      </c>
      <c r="FS20" s="36">
        <v>0</v>
      </c>
      <c r="FT20" s="37">
        <v>0.69727098000944499</v>
      </c>
      <c r="FU20" s="37">
        <v>9.8076950345005909E-2</v>
      </c>
      <c r="FV20" s="37">
        <v>0.20465206964554902</v>
      </c>
      <c r="FW20" s="518">
        <v>1252</v>
      </c>
      <c r="FX20" s="518">
        <v>2682.3116949425812</v>
      </c>
      <c r="FY20" s="518">
        <v>1131.25</v>
      </c>
      <c r="FZ20" s="36">
        <v>1837.5769068668776</v>
      </c>
      <c r="GA20" s="36">
        <v>1367.5688716730647</v>
      </c>
      <c r="GB20" s="36">
        <v>18617.431128326934</v>
      </c>
      <c r="GC20" s="37">
        <v>1.804905384453976E-2</v>
      </c>
      <c r="GD20" s="37">
        <v>1.7381970681832205E-2</v>
      </c>
      <c r="GE20" s="37"/>
      <c r="GF20" s="37"/>
      <c r="GG20" s="37">
        <v>-3.6959453301723191E-2</v>
      </c>
      <c r="GH20" s="35">
        <v>1.5715362694392105</v>
      </c>
      <c r="GI20" s="36">
        <v>14084.424593451266</v>
      </c>
      <c r="GJ20" s="34">
        <v>0.50394797582841711</v>
      </c>
      <c r="GK20" s="34">
        <v>0.5088757306530971</v>
      </c>
      <c r="GL20" s="34">
        <v>0.49605202417158256</v>
      </c>
      <c r="GM20" s="33">
        <v>0.49112426934690201</v>
      </c>
      <c r="GN20" s="61"/>
      <c r="GO20" s="13">
        <v>343.14810671672558</v>
      </c>
      <c r="GP20" s="27">
        <v>319.26233518755981</v>
      </c>
      <c r="GQ20" s="27">
        <v>535.04305713031317</v>
      </c>
      <c r="GR20" s="27">
        <v>410.15490233172511</v>
      </c>
      <c r="GS20" s="27">
        <v>339.42744393800166</v>
      </c>
      <c r="GT20" s="27">
        <v>293.4407446948278</v>
      </c>
      <c r="GU20" s="27">
        <v>258.04012322764959</v>
      </c>
      <c r="GV20" s="29" t="s">
        <v>392</v>
      </c>
      <c r="GW20" s="27">
        <v>492.625</v>
      </c>
      <c r="GX20" s="27">
        <v>369.46875</v>
      </c>
      <c r="GY20" s="27">
        <v>295.57499999999999</v>
      </c>
      <c r="GZ20" s="27">
        <v>246.3125</v>
      </c>
      <c r="HA20" s="27">
        <v>225.64278728199486</v>
      </c>
      <c r="HB20" s="29">
        <v>255.58370074278551</v>
      </c>
      <c r="HC20" s="27">
        <v>237.79218749999998</v>
      </c>
      <c r="HD20" s="27">
        <v>206.02500913742688</v>
      </c>
      <c r="HE20" s="27">
        <v>209.59968581309039</v>
      </c>
      <c r="HF20" s="27">
        <v>194.74859923245612</v>
      </c>
      <c r="HG20" s="27">
        <v>188.94908991228067</v>
      </c>
      <c r="HH20" s="12">
        <v>206.94884931018044</v>
      </c>
      <c r="HI20" s="94"/>
      <c r="HJ20" s="24">
        <f>INDEX(Input!$1:$1048576,HJ$10,$C20*2+6)</f>
        <v>0.36283185840707965</v>
      </c>
      <c r="HK20" s="18">
        <f>INDEX(Input!$1:$1048576,HK$10,$C20*2+6)</f>
        <v>0.46419951729686243</v>
      </c>
      <c r="HL20" s="43">
        <f>INDEX(Input!$1:$1048576,HL$10,$C20*2+6)</f>
        <v>0.17296862429605792</v>
      </c>
      <c r="HM20" s="49">
        <f>IF(HL20&lt;FV21,TREND(Y20:Y21,FV20:FV21,HL20),TREND(Y21:Y22,FV21:FV22,HL20))</f>
        <v>749.24006016766407</v>
      </c>
    </row>
    <row r="21" spans="1:221" s="26" customFormat="1" ht="15">
      <c r="A21" s="117">
        <f t="shared" ref="A21:A22" si="37">C21*1000+B21</f>
        <v>2002</v>
      </c>
      <c r="B21" s="117">
        <f t="shared" si="36"/>
        <v>2</v>
      </c>
      <c r="C21" s="117">
        <f t="shared" si="14"/>
        <v>2</v>
      </c>
      <c r="D21" s="117" t="s">
        <v>568</v>
      </c>
      <c r="E21" s="115">
        <f>INDEX(Input!$1:$1048576,E$10,$C21*2+6)</f>
        <v>1000</v>
      </c>
      <c r="F21" s="115">
        <f>INDEX(Input!$1:$1048576,F$10,$C21*2+6)</f>
        <v>0</v>
      </c>
      <c r="G21" s="115">
        <f>INDEX(Input!$1:$1048576,G$10,$C21*2+6)</f>
        <v>0</v>
      </c>
      <c r="H21" s="115">
        <f>INDEX(Input!$1:$1048576,H$10,$C21*2+6)</f>
        <v>0</v>
      </c>
      <c r="I21" s="118">
        <f>INDEX(Input!$1:$1048576,I$10,$C21*2+6)</f>
        <v>0.7</v>
      </c>
      <c r="J21" s="118" t="str">
        <f>INDEX(Input!$1:$1048576,J$10,$C21*2+6)</f>
        <v>Market</v>
      </c>
      <c r="K21" s="118" t="str">
        <f>INDEX(Input!$1:$1048576,K$10,$C21*2+6)</f>
        <v>Market</v>
      </c>
      <c r="L21" s="118" t="str">
        <f>INDEX(Input!$1:$1048576,L$10,$C21*2+6)</f>
        <v>Market</v>
      </c>
      <c r="M21" s="118" t="str">
        <f>INDEX(Input!$1:$1048576,M$10,$C21*2+6)</f>
        <v>Market</v>
      </c>
      <c r="N21" s="118" t="str">
        <f>INDEX(Input!$1:$1048576,N$10,$C21*2+6)</f>
        <v>Market</v>
      </c>
      <c r="O21" s="118" t="str">
        <f>INDEX(Input!$1:$1048576,O$10,$C21*2+6)</f>
        <v>Market</v>
      </c>
      <c r="P21" s="118" t="str">
        <f>INDEX(Input!$1:$1048576,P$10,$C21*2+6)</f>
        <v>N</v>
      </c>
      <c r="Q21" s="30">
        <f>INDEX(Input!$1:$1048576,Q$10,$C21*2+6)</f>
        <v>0</v>
      </c>
      <c r="R21" s="383">
        <f>INDEX(Input!$1:$1048576,R$10,$C21*2+6)</f>
        <v>0</v>
      </c>
      <c r="S21" s="383">
        <f>INDEX(Input!$1:$1048576,S$10,$C21*2+6)</f>
        <v>0</v>
      </c>
      <c r="T21" s="383">
        <f>INDEX(Input!$1:$1048576,T$10,$C21*2+6)</f>
        <v>0</v>
      </c>
      <c r="U21" s="383">
        <f>INDEX(Input!$1:$1048576,U$10,$C21*2+6)</f>
        <v>0</v>
      </c>
      <c r="V21" s="383">
        <f>INDEX(Input!$1:$1048576,V$10,$C21*2+6)</f>
        <v>1.9E-2</v>
      </c>
      <c r="W21" s="383">
        <f>INDEX(Input!$1:$1048576,W$10,$C21*2+6)</f>
        <v>3.9E-2</v>
      </c>
      <c r="X21" s="118" t="str">
        <f>INDEX(Input!$1:$1048576,X$10,$C21*2+6)</f>
        <v>Y</v>
      </c>
      <c r="Y21" s="520">
        <f>MIN(BX21*10%,4000)+Y20</f>
        <v>2997.75</v>
      </c>
      <c r="Z21" s="30">
        <f>INDEX(Input!$1:$1048576,Z$10,$C21*2+6)</f>
        <v>0</v>
      </c>
      <c r="AA21" s="115">
        <f>INDEX(Input!$1:$1048576,AA$10,$C21*2+6)</f>
        <v>1000</v>
      </c>
      <c r="AB21" s="118">
        <f>INDEX(Input!$1:$1048576,AB$10,$C21*2+6)</f>
        <v>0.27</v>
      </c>
      <c r="AC21" s="115">
        <f>INDEX(Input!$1:$1048576,AC$10,$C21*2+6)</f>
        <v>1000</v>
      </c>
      <c r="AD21" s="118">
        <f>INDEX(Input!$1:$1048576,AD$10,$C21*2+6)</f>
        <v>0.27</v>
      </c>
      <c r="AE21" s="115">
        <f>INDEX(Input!$1:$1048576,AE$10,$C21*2+6)</f>
        <v>500</v>
      </c>
      <c r="AF21" s="118">
        <f>INDEX(Input!$1:$1048576,AF$10,$C21*2+6)</f>
        <v>4.8000000000000001E-2</v>
      </c>
      <c r="AG21" s="115">
        <f>INDEX(Input!$1:$1048576,AG$10,$C21*2+6)</f>
        <v>0</v>
      </c>
      <c r="AH21" s="118">
        <f>INDEX(Input!$1:$1048576,AH$10,$C21*2+6)</f>
        <v>0.94599999999999995</v>
      </c>
      <c r="AI21" s="115">
        <f>INDEX(Input!$1:$1048576,AI$10,$C21*2+6)</f>
        <v>0</v>
      </c>
      <c r="AJ21" s="118">
        <f>INDEX(Input!$1:$1048576,AJ$10,$C21*2+6)</f>
        <v>0.27</v>
      </c>
      <c r="AK21" s="150">
        <f>INDEX(Input!$1:$1048576,AK$10,$C20*2+6)+(Y21-VLOOKUP($C21*1000+1,$A:$HH,Y$9,FALSE))</f>
        <v>5382.2164157747848</v>
      </c>
      <c r="AL21" s="150">
        <f>INDEX(Input!$1:$1048576,AL$10,$C20*2+6)-(Y21-VLOOKUP($C21*1000+1,$A:$HH,Y$9,FALSE))/36</f>
        <v>3328.2025268858961</v>
      </c>
      <c r="AM21" s="32" t="str">
        <f t="shared" ref="AM21:AM22" si="38">IF(K21="market","std",ROUND(K21*1000,0)/10)&amp;"/"&amp;IF(L21="market","std",ROUND(L21*1000,0)/10)&amp;"/"&amp;IF(M21="market","std",ROUND(M21*1000,0)/10)&amp;"/"&amp;IF(N21="market","std",ROUND(N21*1000,0)/10)&amp;IF(P21="N","","/"&amp;IF(O21="market","std",ROUND(O21*1000,0)/10))</f>
        <v>std/std/std/std</v>
      </c>
      <c r="AN21" s="32" t="str">
        <f t="shared" ref="AN21:AN22" si="39">"$"&amp;ROUND(Q21,0)&amp;" + "&amp;IF(S21="market","std",ROUND(S21*1000,0)/10)&amp;"/"&amp;IF(T21="market","std",ROUND(T21*1000,0)/10)&amp;"/"&amp;IF(U21="market","std",ROUND(U21*1000,0)/10)&amp;"/"&amp;IF(V21="market","std",ROUND(V21*1000,0)/10)&amp;IF(X21="N","","/"&amp;IF(W21="market","std",ROUND(W21*1000,0)/10))</f>
        <v>$0 + 0/0/0/1.9/3.9</v>
      </c>
      <c r="AO21" s="32" t="str">
        <f t="shared" ref="AO21:AO22" si="40">IF(S21="market","std",ROUND(S21*1000,0)/10)&amp;"/"&amp;IF(T21="market","std",ROUND(T21*1000,0)/10)&amp;"/"&amp;IF(U21="market","std",ROUND(U21*1000,0)/10)&amp;"/"&amp;IF(V21="market","std",ROUND(V21*1000,0)/10)&amp;IF(X21="N","","/"&amp;IF(W21="market","std",ROUND(W21*1000,0)/10))</f>
        <v>0/0/0/1.9/3.9</v>
      </c>
      <c r="AP21" s="32" t="str">
        <f t="shared" ref="AP21:AP22" si="41">IF(T21="market","std",ROUND(T21*1000,0)/10)&amp;"/"&amp;IF(U21="market","std",ROUND(U21*1000,0)/10)&amp;"/"&amp;IF(V21="market","std",ROUND(V21*1000,0)/10)&amp;IF(X21="N","","/"&amp;IF(W21="market","std",ROUND(W21*1000,0)/10))</f>
        <v>0/0/1.9/3.9</v>
      </c>
      <c r="AQ21" s="150">
        <f t="shared" si="19"/>
        <v>294</v>
      </c>
      <c r="AR21" s="32" t="str">
        <f t="shared" si="20"/>
        <v>0/1.9</v>
      </c>
      <c r="AS21" s="302"/>
      <c r="AT21" s="3">
        <f t="shared" si="21"/>
        <v>5</v>
      </c>
      <c r="AU21" s="41" t="s">
        <v>121</v>
      </c>
      <c r="AV21" s="41" t="s">
        <v>116</v>
      </c>
      <c r="AW21" s="41" t="str">
        <f>INDEX(Input!$1:$1048576,AW$10,$C21*2+6)</f>
        <v>Kia</v>
      </c>
      <c r="AX21" s="41" t="str">
        <f>INDEX(Input!$1:$1048576,AX$10,$C21*2+6)</f>
        <v>Kia-LR - L2</v>
      </c>
      <c r="AY21" s="41" t="str">
        <f>IF(D21="Skip","",INDEX(Input!$1:$1048576,AY$10,$C21*2+6))</f>
        <v>Compact SUV (52)</v>
      </c>
      <c r="AZ21" s="41" t="str">
        <f>INDEX(Input!$1:$1048576,AZ$10,$C21*2+6)</f>
        <v>Kia Soul</v>
      </c>
      <c r="BA21" s="3">
        <f>INDEX(Input!$1:$1048576,BA$10,$C21*2+6)</f>
        <v>2020</v>
      </c>
      <c r="BB21" s="128">
        <f>INDEX(Input!$1:$1048576,BB$10,$C21*2+6)</f>
        <v>1</v>
      </c>
      <c r="BC21" s="128">
        <f>INDEX(Input!$1:$1048576,BC$10,$C21*2+6)</f>
        <v>0.7</v>
      </c>
      <c r="BD21" s="1">
        <f>INDEX(Input!$1:$1048576,BD$10,$C21*2+6)</f>
        <v>4.4999999999999998E-2</v>
      </c>
      <c r="BE21" s="1">
        <f>INDEX(Input!$1:$1048576,BE$10,$C21*2+6)</f>
        <v>4.4999999999999998E-2</v>
      </c>
      <c r="BF21" s="1">
        <f>INDEX(Input!$1:$1048576,BF$10,$C21*2+6)</f>
        <v>0.05</v>
      </c>
      <c r="BG21" s="1">
        <f>INDEX(Input!$1:$1048576,BG$10,$C21*2+6)</f>
        <v>5.45E-2</v>
      </c>
      <c r="BH21" s="1">
        <f>INDEX(Input!$1:$1048576,BH$10,$C21*2+6)</f>
        <v>5.45E-2</v>
      </c>
      <c r="BI21" s="1">
        <f>INDEX(Input!$1:$1048576,BI$10,$C21*2+6)</f>
        <v>0.05</v>
      </c>
      <c r="BJ21" s="1">
        <f>INDEX(Input!$1:$1048576,BJ$10,$C21*2+6)</f>
        <v>0.05</v>
      </c>
      <c r="BK21" s="1">
        <f>INDEX(Input!$1:$1048576,BK$10,$C21*2+6)</f>
        <v>0.05</v>
      </c>
      <c r="BL21" s="1">
        <f>INDEX(Input!$1:$1048576,BL$10,$C21*2+6)</f>
        <v>5.5E-2</v>
      </c>
      <c r="BM21" s="1">
        <f>INDEX(Input!$1:$1048576,BM$10,$C21*2+6)</f>
        <v>0.06</v>
      </c>
      <c r="BN21" s="1">
        <f>INDEX(Input!$1:$1048576,BN$10,$C21*2+6)</f>
        <v>4.4999999999999998E-2</v>
      </c>
      <c r="BO21" s="1">
        <f>INDEX(Input!$1:$1048576,BO$10,$C21*2+6)</f>
        <v>4.4999999999999998E-2</v>
      </c>
      <c r="BP21" s="1">
        <f>INDEX(Input!$1:$1048576,BP$10,$C21*2+6)</f>
        <v>0.05</v>
      </c>
      <c r="BQ21" s="1">
        <f>INDEX(Input!$1:$1048576,BQ$10,$C21*2+6)</f>
        <v>5.45E-2</v>
      </c>
      <c r="BR21" s="1">
        <f>INDEX(Input!$1:$1048576,BR$10,$C21*2+6)</f>
        <v>5.45E-2</v>
      </c>
      <c r="BS21" s="1">
        <f>INDEX(Input!$1:$1048576,BS$10,$C21*2+6)</f>
        <v>0.05</v>
      </c>
      <c r="BT21" s="1">
        <f>INDEX(Input!$1:$1048576,BT$10,$C21*2+6)</f>
        <v>0.05</v>
      </c>
      <c r="BU21" s="1">
        <f>INDEX(Input!$1:$1048576,BU$10,$C21*2+6)</f>
        <v>0.05</v>
      </c>
      <c r="BV21" s="1">
        <f>INDEX(Input!$1:$1048576,BV$10,$C21*2+6)</f>
        <v>5.5E-2</v>
      </c>
      <c r="BW21" s="1">
        <f>INDEX(Input!$1:$1048576,BW$10,$C21*2+6)</f>
        <v>0.06</v>
      </c>
      <c r="BX21" s="304">
        <f>INDEX(Input!$1:$1048576,BX$10,$C21*2+6)</f>
        <v>19985</v>
      </c>
      <c r="BY21" s="20">
        <f>INDEX(Input!$1:$1048576,BY$10,$C21*2+6)</f>
        <v>0.1</v>
      </c>
      <c r="BZ21" s="20">
        <f>INDEX(Input!$1:$1048576,BZ$10,$C21*2+6)</f>
        <v>0.1</v>
      </c>
      <c r="CA21" s="20">
        <f>INDEX(Input!$1:$1048576,CA$10,$C21*2+6)</f>
        <v>0.1</v>
      </c>
      <c r="CB21" s="20">
        <f>INDEX(Input!$1:$1048576,CB$10,$C21*2+6)</f>
        <v>0.1</v>
      </c>
      <c r="CC21" s="20">
        <f>INDEX(Input!$1:$1048576,CC$10,$C21*2+6)</f>
        <v>0.1</v>
      </c>
      <c r="CD21" s="384">
        <f>INDEX(Input!$1:$1048576,CD$10,$C21*2+6)</f>
        <v>0.1</v>
      </c>
      <c r="CE21" s="384">
        <f>INDEX(Input!$1:$1048576,CE$10,$C21*2+6)</f>
        <v>0.1</v>
      </c>
      <c r="CF21" s="384">
        <f>INDEX(Input!$1:$1048576,CF$10,$C21*2+6)</f>
        <v>0.1</v>
      </c>
      <c r="CG21" s="384">
        <f>INDEX(Input!$1:$1048576,CG$10,$C21*2+6)</f>
        <v>0.1</v>
      </c>
      <c r="CH21" s="384">
        <f>INDEX(Input!$1:$1048576,CH$10,$C21*2+6)</f>
        <v>0.1</v>
      </c>
      <c r="CI21" s="304">
        <f t="shared" si="22"/>
        <v>1270</v>
      </c>
      <c r="CJ21" s="16" t="str">
        <f>INDEX(Input!$1:$1048576,CJ$10,$C21*2+6)</f>
        <v>N</v>
      </c>
      <c r="CK21" s="1" t="str">
        <f t="shared" si="23"/>
        <v>Market</v>
      </c>
      <c r="CL21" s="1" t="str">
        <f t="shared" si="24"/>
        <v>Market</v>
      </c>
      <c r="CM21" s="1" t="str">
        <f t="shared" si="25"/>
        <v>Market</v>
      </c>
      <c r="CN21" s="1" t="str">
        <f t="shared" si="26"/>
        <v>Market</v>
      </c>
      <c r="CO21" s="1" t="str">
        <f t="shared" si="27"/>
        <v>Market</v>
      </c>
      <c r="CP21" s="304">
        <f t="shared" si="28"/>
        <v>0</v>
      </c>
      <c r="CQ21" s="1">
        <f t="shared" si="29"/>
        <v>0</v>
      </c>
      <c r="CR21" s="1">
        <f t="shared" si="30"/>
        <v>0</v>
      </c>
      <c r="CS21" s="1">
        <f t="shared" si="31"/>
        <v>0</v>
      </c>
      <c r="CT21" s="1">
        <f t="shared" si="32"/>
        <v>0</v>
      </c>
      <c r="CU21" s="1">
        <f t="shared" si="33"/>
        <v>1.9E-2</v>
      </c>
      <c r="CV21" s="304">
        <f t="shared" si="34"/>
        <v>3267.75</v>
      </c>
      <c r="CW21" s="20" t="s">
        <v>122</v>
      </c>
      <c r="CX21" s="20" t="s">
        <v>122</v>
      </c>
      <c r="CY21" s="20" t="s">
        <v>122</v>
      </c>
      <c r="CZ21" s="20" t="s">
        <v>122</v>
      </c>
      <c r="DA21" s="20" t="s">
        <v>122</v>
      </c>
      <c r="DB21" s="503">
        <f t="shared" si="35"/>
        <v>24</v>
      </c>
      <c r="DC21" s="127">
        <v>0</v>
      </c>
      <c r="DD21" s="127">
        <v>0</v>
      </c>
      <c r="DE21" s="127">
        <v>0</v>
      </c>
      <c r="DF21" s="127">
        <v>0</v>
      </c>
      <c r="DG21" s="127">
        <v>0</v>
      </c>
      <c r="DH21" s="127">
        <v>0</v>
      </c>
      <c r="DI21" s="127">
        <v>0</v>
      </c>
      <c r="DJ21" s="127">
        <v>0</v>
      </c>
      <c r="DK21" s="127">
        <v>0</v>
      </c>
      <c r="DL21" s="127">
        <v>0</v>
      </c>
      <c r="DM21" s="304">
        <f>INDEX(Input!$1:$1048576,DM$10,$C21*2+6)</f>
        <v>21036.84210526316</v>
      </c>
      <c r="DN21" s="20">
        <v>0</v>
      </c>
      <c r="DO21" s="20">
        <v>0</v>
      </c>
      <c r="DP21" s="20">
        <v>0</v>
      </c>
      <c r="DQ21" s="20">
        <v>0</v>
      </c>
      <c r="DR21" s="20">
        <v>0</v>
      </c>
      <c r="DS21" s="20">
        <f>INDEX(Input!$1:$1048576,DS$10,$C21*2+6)</f>
        <v>0.6</v>
      </c>
      <c r="DT21" s="20">
        <f>INDEX(Input!$1:$1048576,DT$10,$C21*2+6)</f>
        <v>0.55000000000000004</v>
      </c>
      <c r="DU21" s="20">
        <f>INDEX(Input!$1:$1048576,DU$10,$C21*2+6)</f>
        <v>0.52</v>
      </c>
      <c r="DV21" s="20">
        <f>INDEX(Input!$1:$1048576,DV$10,$C21*2+6)</f>
        <v>0.5</v>
      </c>
      <c r="DW21" s="20">
        <f>INDEX(Input!$1:$1048576,DW$10,$C21*2+6)</f>
        <v>0.45</v>
      </c>
      <c r="DX21" s="20"/>
      <c r="DY21" s="7">
        <v>5.8255859473252257E-2</v>
      </c>
      <c r="DZ21" s="7">
        <v>0</v>
      </c>
      <c r="EA21" s="7">
        <v>0.41702860615265497</v>
      </c>
      <c r="EB21" s="7">
        <v>0</v>
      </c>
      <c r="EC21" s="7">
        <v>0</v>
      </c>
      <c r="ED21" s="7">
        <v>0</v>
      </c>
      <c r="EE21" s="7">
        <v>0</v>
      </c>
      <c r="EF21" s="7">
        <v>0</v>
      </c>
      <c r="EG21" s="7">
        <v>0</v>
      </c>
      <c r="EH21" s="7">
        <v>7.7147698508603256E-3</v>
      </c>
      <c r="EI21" s="7">
        <v>2.192361274102983E-2</v>
      </c>
      <c r="EJ21" s="7">
        <v>0.16655887484844589</v>
      </c>
      <c r="EK21" s="7">
        <v>0.62912763804339178</v>
      </c>
      <c r="EL21" s="7">
        <v>0.17467510451627186</v>
      </c>
      <c r="EM21" s="7">
        <v>6.6796072346377661E-2</v>
      </c>
      <c r="EN21" s="7">
        <v>7.5474204165353456E-2</v>
      </c>
      <c r="EO21" s="7">
        <v>0.7949388510892339</v>
      </c>
      <c r="EP21" s="7">
        <v>5.53924286487322E-2</v>
      </c>
      <c r="EQ21" s="7">
        <v>4.6804194527542357E-2</v>
      </c>
      <c r="ER21" s="7">
        <v>2.739032156913801E-2</v>
      </c>
      <c r="ES21" s="7">
        <v>0.45791946202771516</v>
      </c>
      <c r="ET21" s="7">
        <v>0.5247155343740928</v>
      </c>
      <c r="EU21" s="6">
        <v>1252</v>
      </c>
      <c r="EV21" s="6">
        <v>0</v>
      </c>
      <c r="EW21" s="6">
        <v>1252</v>
      </c>
      <c r="EX21" s="6">
        <v>0</v>
      </c>
      <c r="EY21" s="6">
        <v>2682.9311686278161</v>
      </c>
      <c r="EZ21" s="6">
        <v>3129.75</v>
      </c>
      <c r="FA21" s="6">
        <v>0</v>
      </c>
      <c r="FB21" s="6">
        <v>0</v>
      </c>
      <c r="FC21" s="6">
        <v>0</v>
      </c>
      <c r="FD21" s="6">
        <v>0</v>
      </c>
      <c r="FE21" s="6">
        <v>0</v>
      </c>
      <c r="FF21" s="6">
        <v>0</v>
      </c>
      <c r="FG21" s="6">
        <v>0</v>
      </c>
      <c r="FH21" s="6">
        <v>1173.7134448496568</v>
      </c>
      <c r="FI21" s="6">
        <v>1553.9796069512404</v>
      </c>
      <c r="FJ21" s="6">
        <v>2101.2110117447414</v>
      </c>
      <c r="FK21" s="6">
        <v>2674.2006261592282</v>
      </c>
      <c r="FL21" s="6">
        <v>2034.7405995769202</v>
      </c>
      <c r="FM21" s="6">
        <v>2430.9311686278161</v>
      </c>
      <c r="FN21" s="6">
        <v>0</v>
      </c>
      <c r="FO21" s="6">
        <v>0</v>
      </c>
      <c r="FP21" s="6">
        <v>0</v>
      </c>
      <c r="FQ21" s="6">
        <v>0</v>
      </c>
      <c r="FR21" s="6">
        <v>0</v>
      </c>
      <c r="FS21" s="6">
        <v>0</v>
      </c>
      <c r="FT21" s="7">
        <v>0.4752844656259072</v>
      </c>
      <c r="FU21" s="7">
        <v>6.6796072346377661E-2</v>
      </c>
      <c r="FV21" s="7">
        <v>0.45791946202771516</v>
      </c>
      <c r="FW21" s="519">
        <v>1252.0000000000002</v>
      </c>
      <c r="FX21" s="519">
        <v>2682.9311686278161</v>
      </c>
      <c r="FY21" s="519">
        <v>3129.75</v>
      </c>
      <c r="FZ21" s="6">
        <v>1837.5769068668776</v>
      </c>
      <c r="GA21" s="6">
        <v>2207.4388516848926</v>
      </c>
      <c r="GB21" s="6">
        <v>17777.561148315108</v>
      </c>
      <c r="GC21" s="7">
        <v>1.804905384453976E-2</v>
      </c>
      <c r="GD21" s="7">
        <v>1.9014982116622278E-2</v>
      </c>
      <c r="GE21" s="7"/>
      <c r="GF21" s="7"/>
      <c r="GG21" s="7">
        <v>5.3516836971192944E-2</v>
      </c>
      <c r="GH21" s="42">
        <v>2.8917113583976288</v>
      </c>
      <c r="GI21" s="6">
        <v>9118.571230773452</v>
      </c>
      <c r="GJ21" s="14">
        <v>0.50394797582841777</v>
      </c>
      <c r="GK21" s="14">
        <v>0.50887573065309766</v>
      </c>
      <c r="GL21" s="14">
        <v>0.49605202417158306</v>
      </c>
      <c r="GM21" s="14">
        <v>0.49112426934690279</v>
      </c>
      <c r="GO21" s="5">
        <v>343.14810671672558</v>
      </c>
      <c r="GP21" s="5">
        <v>319.26233518755981</v>
      </c>
      <c r="GQ21" s="5">
        <v>535.04305713031317</v>
      </c>
      <c r="GR21" s="5">
        <v>410.15490233172511</v>
      </c>
      <c r="GS21" s="5">
        <v>339.42744393800166</v>
      </c>
      <c r="GT21" s="5">
        <v>293.4407446948278</v>
      </c>
      <c r="GU21" s="5">
        <v>258.04012322764959</v>
      </c>
      <c r="GV21" s="39" t="s">
        <v>392</v>
      </c>
      <c r="GW21" s="5">
        <v>492.625</v>
      </c>
      <c r="GX21" s="5">
        <v>369.46875</v>
      </c>
      <c r="GY21" s="5">
        <v>295.57499999999999</v>
      </c>
      <c r="GZ21" s="5">
        <v>246.3125</v>
      </c>
      <c r="HA21" s="5">
        <v>225.64278728199486</v>
      </c>
      <c r="HB21" s="39">
        <v>255.50739652341014</v>
      </c>
      <c r="HC21" s="5">
        <v>150.35781249999999</v>
      </c>
      <c r="HD21" s="5">
        <v>146.34757858187129</v>
      </c>
      <c r="HE21" s="5">
        <v>154.19255440283396</v>
      </c>
      <c r="HF21" s="5">
        <v>148.53328673245611</v>
      </c>
      <c r="HG21" s="5">
        <v>150.64450657894736</v>
      </c>
      <c r="HH21" s="39">
        <v>147.30479460783241</v>
      </c>
      <c r="HI21" s="16"/>
      <c r="HJ21" s="1">
        <f>INDEX(Input!$1:$1048576,HJ$10,$C21*2+6)</f>
        <v>0.36283185840707965</v>
      </c>
      <c r="HK21" s="1">
        <f>INDEX(Input!$1:$1048576,HK$10,$C21*2+6)</f>
        <v>0.46419951729686243</v>
      </c>
      <c r="HL21" s="1">
        <f>INDEX(Input!$1:$1048576,HL$10,$C21*2+6)</f>
        <v>0.17296862429605792</v>
      </c>
      <c r="HM21" s="19"/>
    </row>
    <row r="22" spans="1:221" s="26" customFormat="1" ht="15.75" thickBot="1">
      <c r="A22" s="117">
        <f t="shared" si="37"/>
        <v>2003</v>
      </c>
      <c r="B22" s="117">
        <f t="shared" si="36"/>
        <v>3</v>
      </c>
      <c r="C22" s="117">
        <f t="shared" si="14"/>
        <v>2</v>
      </c>
      <c r="D22" s="117" t="s">
        <v>568</v>
      </c>
      <c r="E22" s="115">
        <f>INDEX(Input!$1:$1048576,E$10,$C22*2+6)</f>
        <v>1000</v>
      </c>
      <c r="F22" s="115">
        <f>INDEX(Input!$1:$1048576,F$10,$C22*2+6)</f>
        <v>0</v>
      </c>
      <c r="G22" s="115">
        <f>INDEX(Input!$1:$1048576,G$10,$C22*2+6)</f>
        <v>0</v>
      </c>
      <c r="H22" s="115">
        <f>INDEX(Input!$1:$1048576,H$10,$C22*2+6)</f>
        <v>0</v>
      </c>
      <c r="I22" s="118">
        <f>INDEX(Input!$1:$1048576,I$10,$C22*2+6)</f>
        <v>0.7</v>
      </c>
      <c r="J22" s="118" t="str">
        <f>INDEX(Input!$1:$1048576,J$10,$C22*2+6)</f>
        <v>Market</v>
      </c>
      <c r="K22" s="118" t="str">
        <f>INDEX(Input!$1:$1048576,K$10,$C22*2+6)</f>
        <v>Market</v>
      </c>
      <c r="L22" s="118" t="str">
        <f>INDEX(Input!$1:$1048576,L$10,$C22*2+6)</f>
        <v>Market</v>
      </c>
      <c r="M22" s="118" t="str">
        <f>INDEX(Input!$1:$1048576,M$10,$C22*2+6)</f>
        <v>Market</v>
      </c>
      <c r="N22" s="118" t="str">
        <f>INDEX(Input!$1:$1048576,N$10,$C22*2+6)</f>
        <v>Market</v>
      </c>
      <c r="O22" s="118" t="str">
        <f>INDEX(Input!$1:$1048576,O$10,$C22*2+6)</f>
        <v>Market</v>
      </c>
      <c r="P22" s="118" t="str">
        <f>INDEX(Input!$1:$1048576,P$10,$C22*2+6)</f>
        <v>N</v>
      </c>
      <c r="Q22" s="30">
        <f>INDEX(Input!$1:$1048576,Q$10,$C22*2+6)</f>
        <v>0</v>
      </c>
      <c r="R22" s="383">
        <f>INDEX(Input!$1:$1048576,R$10,$C22*2+6)</f>
        <v>0</v>
      </c>
      <c r="S22" s="383">
        <f>INDEX(Input!$1:$1048576,S$10,$C22*2+6)</f>
        <v>0</v>
      </c>
      <c r="T22" s="383">
        <f>INDEX(Input!$1:$1048576,T$10,$C22*2+6)</f>
        <v>0</v>
      </c>
      <c r="U22" s="383">
        <f>INDEX(Input!$1:$1048576,U$10,$C22*2+6)</f>
        <v>0</v>
      </c>
      <c r="V22" s="383">
        <f>INDEX(Input!$1:$1048576,V$10,$C22*2+6)</f>
        <v>1.9E-2</v>
      </c>
      <c r="W22" s="383">
        <f>INDEX(Input!$1:$1048576,W$10,$C22*2+6)</f>
        <v>3.9E-2</v>
      </c>
      <c r="X22" s="118" t="str">
        <f>INDEX(Input!$1:$1048576,X$10,$C22*2+6)</f>
        <v>Y</v>
      </c>
      <c r="Y22" s="520">
        <f>MIN(BX22*10%,4000)+Y21</f>
        <v>4996.25</v>
      </c>
      <c r="Z22" s="30">
        <f>INDEX(Input!$1:$1048576,Z$10,$C22*2+6)</f>
        <v>0</v>
      </c>
      <c r="AA22" s="115">
        <f>INDEX(Input!$1:$1048576,AA$10,$C22*2+6)</f>
        <v>1000</v>
      </c>
      <c r="AB22" s="118">
        <f>INDEX(Input!$1:$1048576,AB$10,$C22*2+6)</f>
        <v>0.27</v>
      </c>
      <c r="AC22" s="115">
        <f>INDEX(Input!$1:$1048576,AC$10,$C22*2+6)</f>
        <v>1000</v>
      </c>
      <c r="AD22" s="118">
        <f>INDEX(Input!$1:$1048576,AD$10,$C22*2+6)</f>
        <v>0.27</v>
      </c>
      <c r="AE22" s="115">
        <f>INDEX(Input!$1:$1048576,AE$10,$C22*2+6)</f>
        <v>500</v>
      </c>
      <c r="AF22" s="118">
        <f>INDEX(Input!$1:$1048576,AF$10,$C22*2+6)</f>
        <v>4.8000000000000001E-2</v>
      </c>
      <c r="AG22" s="115">
        <f>INDEX(Input!$1:$1048576,AG$10,$C22*2+6)</f>
        <v>0</v>
      </c>
      <c r="AH22" s="118">
        <f>INDEX(Input!$1:$1048576,AH$10,$C22*2+6)</f>
        <v>0.94599999999999995</v>
      </c>
      <c r="AI22" s="115">
        <f>INDEX(Input!$1:$1048576,AI$10,$C22*2+6)</f>
        <v>0</v>
      </c>
      <c r="AJ22" s="118">
        <f>INDEX(Input!$1:$1048576,AJ$10,$C22*2+6)</f>
        <v>0.27</v>
      </c>
      <c r="AK22" s="150">
        <f>INDEX(Input!$1:$1048576,AK$10,$C21*2+6)+(Y22-VLOOKUP($C22*1000+1,$A:$HH,Y$9,FALSE))</f>
        <v>7380.7164157747848</v>
      </c>
      <c r="AL22" s="150">
        <f>INDEX(Input!$1:$1048576,AL$10,$C21*2+6)-(Y22-VLOOKUP($C22*1000+1,$A:$HH,Y$9,FALSE))/36</f>
        <v>3272.6886379970069</v>
      </c>
      <c r="AM22" s="32" t="str">
        <f t="shared" si="38"/>
        <v>std/std/std/std</v>
      </c>
      <c r="AN22" s="32" t="str">
        <f t="shared" si="39"/>
        <v>$0 + 0/0/0/1.9/3.9</v>
      </c>
      <c r="AO22" s="32" t="str">
        <f t="shared" si="40"/>
        <v>0/0/0/1.9/3.9</v>
      </c>
      <c r="AP22" s="32" t="str">
        <f t="shared" si="41"/>
        <v>0/0/1.9/3.9</v>
      </c>
      <c r="AQ22" s="150">
        <f t="shared" si="19"/>
        <v>294</v>
      </c>
      <c r="AR22" s="32" t="str">
        <f t="shared" si="20"/>
        <v>0/1.9</v>
      </c>
      <c r="AS22" s="302"/>
      <c r="AT22" s="3">
        <f t="shared" si="21"/>
        <v>6</v>
      </c>
      <c r="AU22" s="41" t="s">
        <v>121</v>
      </c>
      <c r="AV22" s="41" t="s">
        <v>116</v>
      </c>
      <c r="AW22" s="41" t="str">
        <f>INDEX(Input!$1:$1048576,AW$10,$C22*2+6)</f>
        <v>Kia</v>
      </c>
      <c r="AX22" s="41" t="str">
        <f>INDEX(Input!$1:$1048576,AX$10,$C22*2+6)</f>
        <v>Kia-LR - L2</v>
      </c>
      <c r="AY22" s="41" t="str">
        <f>IF(D22="Skip","",INDEX(Input!$1:$1048576,AY$10,$C22*2+6))</f>
        <v>Compact SUV (52)</v>
      </c>
      <c r="AZ22" s="41" t="str">
        <f>INDEX(Input!$1:$1048576,AZ$10,$C22*2+6)</f>
        <v>Kia Soul</v>
      </c>
      <c r="BA22" s="3">
        <f>INDEX(Input!$1:$1048576,BA$10,$C22*2+6)</f>
        <v>2020</v>
      </c>
      <c r="BB22" s="128">
        <f>INDEX(Input!$1:$1048576,BB$10,$C22*2+6)</f>
        <v>1</v>
      </c>
      <c r="BC22" s="128">
        <f>INDEX(Input!$1:$1048576,BC$10,$C22*2+6)</f>
        <v>0.7</v>
      </c>
      <c r="BD22" s="1">
        <f>INDEX(Input!$1:$1048576,BD$10,$C22*2+6)</f>
        <v>4.4999999999999998E-2</v>
      </c>
      <c r="BE22" s="1">
        <f>INDEX(Input!$1:$1048576,BE$10,$C22*2+6)</f>
        <v>4.4999999999999998E-2</v>
      </c>
      <c r="BF22" s="1">
        <f>INDEX(Input!$1:$1048576,BF$10,$C22*2+6)</f>
        <v>0.05</v>
      </c>
      <c r="BG22" s="1">
        <f>INDEX(Input!$1:$1048576,BG$10,$C22*2+6)</f>
        <v>5.45E-2</v>
      </c>
      <c r="BH22" s="1">
        <f>INDEX(Input!$1:$1048576,BH$10,$C22*2+6)</f>
        <v>5.45E-2</v>
      </c>
      <c r="BI22" s="1">
        <f>INDEX(Input!$1:$1048576,BI$10,$C22*2+6)</f>
        <v>0.05</v>
      </c>
      <c r="BJ22" s="1">
        <f>INDEX(Input!$1:$1048576,BJ$10,$C22*2+6)</f>
        <v>0.05</v>
      </c>
      <c r="BK22" s="1">
        <f>INDEX(Input!$1:$1048576,BK$10,$C22*2+6)</f>
        <v>0.05</v>
      </c>
      <c r="BL22" s="1">
        <f>INDEX(Input!$1:$1048576,BL$10,$C22*2+6)</f>
        <v>5.5E-2</v>
      </c>
      <c r="BM22" s="1">
        <f>INDEX(Input!$1:$1048576,BM$10,$C22*2+6)</f>
        <v>0.06</v>
      </c>
      <c r="BN22" s="1">
        <f>INDEX(Input!$1:$1048576,BN$10,$C22*2+6)</f>
        <v>4.4999999999999998E-2</v>
      </c>
      <c r="BO22" s="1">
        <f>INDEX(Input!$1:$1048576,BO$10,$C22*2+6)</f>
        <v>4.4999999999999998E-2</v>
      </c>
      <c r="BP22" s="1">
        <f>INDEX(Input!$1:$1048576,BP$10,$C22*2+6)</f>
        <v>0.05</v>
      </c>
      <c r="BQ22" s="1">
        <f>INDEX(Input!$1:$1048576,BQ$10,$C22*2+6)</f>
        <v>5.45E-2</v>
      </c>
      <c r="BR22" s="1">
        <f>INDEX(Input!$1:$1048576,BR$10,$C22*2+6)</f>
        <v>5.45E-2</v>
      </c>
      <c r="BS22" s="1">
        <f>INDEX(Input!$1:$1048576,BS$10,$C22*2+6)</f>
        <v>0.05</v>
      </c>
      <c r="BT22" s="1">
        <f>INDEX(Input!$1:$1048576,BT$10,$C22*2+6)</f>
        <v>0.05</v>
      </c>
      <c r="BU22" s="1">
        <f>INDEX(Input!$1:$1048576,BU$10,$C22*2+6)</f>
        <v>0.05</v>
      </c>
      <c r="BV22" s="1">
        <f>INDEX(Input!$1:$1048576,BV$10,$C22*2+6)</f>
        <v>5.5E-2</v>
      </c>
      <c r="BW22" s="1">
        <f>INDEX(Input!$1:$1048576,BW$10,$C22*2+6)</f>
        <v>0.06</v>
      </c>
      <c r="BX22" s="304">
        <f>INDEX(Input!$1:$1048576,BX$10,$C22*2+6)</f>
        <v>19985</v>
      </c>
      <c r="BY22" s="20">
        <f>INDEX(Input!$1:$1048576,BY$10,$C22*2+6)</f>
        <v>0.1</v>
      </c>
      <c r="BZ22" s="20">
        <f>INDEX(Input!$1:$1048576,BZ$10,$C22*2+6)</f>
        <v>0.1</v>
      </c>
      <c r="CA22" s="20">
        <f>INDEX(Input!$1:$1048576,CA$10,$C22*2+6)</f>
        <v>0.1</v>
      </c>
      <c r="CB22" s="20">
        <f>INDEX(Input!$1:$1048576,CB$10,$C22*2+6)</f>
        <v>0.1</v>
      </c>
      <c r="CC22" s="20">
        <f>INDEX(Input!$1:$1048576,CC$10,$C22*2+6)</f>
        <v>0.1</v>
      </c>
      <c r="CD22" s="384">
        <f>INDEX(Input!$1:$1048576,CD$10,$C22*2+6)</f>
        <v>0.1</v>
      </c>
      <c r="CE22" s="384">
        <f>INDEX(Input!$1:$1048576,CE$10,$C22*2+6)</f>
        <v>0.1</v>
      </c>
      <c r="CF22" s="384">
        <f>INDEX(Input!$1:$1048576,CF$10,$C22*2+6)</f>
        <v>0.1</v>
      </c>
      <c r="CG22" s="384">
        <f>INDEX(Input!$1:$1048576,CG$10,$C22*2+6)</f>
        <v>0.1</v>
      </c>
      <c r="CH22" s="384">
        <f>INDEX(Input!$1:$1048576,CH$10,$C22*2+6)</f>
        <v>0.1</v>
      </c>
      <c r="CI22" s="304">
        <f t="shared" si="22"/>
        <v>1270</v>
      </c>
      <c r="CJ22" s="16" t="str">
        <f>INDEX(Input!$1:$1048576,CJ$10,$C22*2+6)</f>
        <v>N</v>
      </c>
      <c r="CK22" s="1" t="str">
        <f t="shared" si="23"/>
        <v>Market</v>
      </c>
      <c r="CL22" s="1" t="str">
        <f t="shared" si="24"/>
        <v>Market</v>
      </c>
      <c r="CM22" s="1" t="str">
        <f t="shared" si="25"/>
        <v>Market</v>
      </c>
      <c r="CN22" s="1" t="str">
        <f t="shared" si="26"/>
        <v>Market</v>
      </c>
      <c r="CO22" s="1" t="str">
        <f t="shared" si="27"/>
        <v>Market</v>
      </c>
      <c r="CP22" s="304">
        <f t="shared" si="28"/>
        <v>0</v>
      </c>
      <c r="CQ22" s="1">
        <f t="shared" si="29"/>
        <v>0</v>
      </c>
      <c r="CR22" s="1">
        <f t="shared" si="30"/>
        <v>0</v>
      </c>
      <c r="CS22" s="1">
        <f t="shared" si="31"/>
        <v>0</v>
      </c>
      <c r="CT22" s="1">
        <f t="shared" si="32"/>
        <v>0</v>
      </c>
      <c r="CU22" s="1">
        <f t="shared" si="33"/>
        <v>1.9E-2</v>
      </c>
      <c r="CV22" s="304">
        <f t="shared" si="34"/>
        <v>5266.25</v>
      </c>
      <c r="CW22" s="20" t="s">
        <v>122</v>
      </c>
      <c r="CX22" s="20" t="s">
        <v>122</v>
      </c>
      <c r="CY22" s="20" t="s">
        <v>122</v>
      </c>
      <c r="CZ22" s="20" t="s">
        <v>122</v>
      </c>
      <c r="DA22" s="20" t="s">
        <v>122</v>
      </c>
      <c r="DB22" s="503">
        <f t="shared" si="35"/>
        <v>24</v>
      </c>
      <c r="DC22" s="127">
        <v>0</v>
      </c>
      <c r="DD22" s="127">
        <v>0</v>
      </c>
      <c r="DE22" s="127">
        <v>0</v>
      </c>
      <c r="DF22" s="127">
        <v>0</v>
      </c>
      <c r="DG22" s="127">
        <v>0</v>
      </c>
      <c r="DH22" s="127">
        <v>0</v>
      </c>
      <c r="DI22" s="127">
        <v>0</v>
      </c>
      <c r="DJ22" s="127">
        <v>0</v>
      </c>
      <c r="DK22" s="127">
        <v>0</v>
      </c>
      <c r="DL22" s="127">
        <v>0</v>
      </c>
      <c r="DM22" s="304">
        <f>INDEX(Input!$1:$1048576,DM$10,$C22*2+6)</f>
        <v>21036.84210526316</v>
      </c>
      <c r="DN22" s="20">
        <v>0</v>
      </c>
      <c r="DO22" s="20">
        <v>0</v>
      </c>
      <c r="DP22" s="20">
        <v>0</v>
      </c>
      <c r="DQ22" s="20">
        <v>0</v>
      </c>
      <c r="DR22" s="20">
        <v>0</v>
      </c>
      <c r="DS22" s="20">
        <f>INDEX(Input!$1:$1048576,DS$10,$C22*2+6)</f>
        <v>0.6</v>
      </c>
      <c r="DT22" s="20">
        <f>INDEX(Input!$1:$1048576,DT$10,$C22*2+6)</f>
        <v>0.55000000000000004</v>
      </c>
      <c r="DU22" s="20">
        <f>INDEX(Input!$1:$1048576,DU$10,$C22*2+6)</f>
        <v>0.52</v>
      </c>
      <c r="DV22" s="20">
        <f>INDEX(Input!$1:$1048576,DV$10,$C22*2+6)</f>
        <v>0.5</v>
      </c>
      <c r="DW22" s="20">
        <f>INDEX(Input!$1:$1048576,DW$10,$C22*2+6)</f>
        <v>0.45</v>
      </c>
      <c r="DX22" s="20"/>
      <c r="DY22" s="7">
        <v>2.0351666092407385E-2</v>
      </c>
      <c r="DZ22" s="7">
        <v>0</v>
      </c>
      <c r="EA22" s="7">
        <v>0.14689985470770478</v>
      </c>
      <c r="EB22" s="7">
        <v>0</v>
      </c>
      <c r="EC22" s="7">
        <v>0</v>
      </c>
      <c r="ED22" s="7">
        <v>0</v>
      </c>
      <c r="EE22" s="7">
        <v>0</v>
      </c>
      <c r="EF22" s="7">
        <v>0</v>
      </c>
      <c r="EG22" s="7">
        <v>0</v>
      </c>
      <c r="EH22" s="7">
        <v>7.6275735029194512E-3</v>
      </c>
      <c r="EI22" s="7">
        <v>2.1608910275567161E-2</v>
      </c>
      <c r="EJ22" s="7">
        <v>0.16504597264449866</v>
      </c>
      <c r="EK22" s="7">
        <v>0.6309372410111288</v>
      </c>
      <c r="EL22" s="7">
        <v>0.17478030256588592</v>
      </c>
      <c r="EM22" s="7">
        <v>2.3399000099128309E-2</v>
      </c>
      <c r="EN22" s="7">
        <v>9.4923423689727976E-2</v>
      </c>
      <c r="EO22" s="7">
        <v>0.83979375365736686</v>
      </c>
      <c r="EP22" s="7">
        <v>2.8020941989095501E-2</v>
      </c>
      <c r="EQ22" s="7">
        <v>2.2773929184057289E-2</v>
      </c>
      <c r="ER22" s="7">
        <v>1.4487951479752176E-2</v>
      </c>
      <c r="ES22" s="7">
        <v>0.80934947910075961</v>
      </c>
      <c r="ET22" s="7">
        <v>0.83274847919988781</v>
      </c>
      <c r="EU22" s="6">
        <v>1252</v>
      </c>
      <c r="EV22" s="6">
        <v>0</v>
      </c>
      <c r="EW22" s="6">
        <v>1252</v>
      </c>
      <c r="EX22" s="6">
        <v>0</v>
      </c>
      <c r="EY22" s="6">
        <v>2684.2138048290167</v>
      </c>
      <c r="EZ22" s="6">
        <v>5128.25</v>
      </c>
      <c r="FA22" s="6">
        <v>0</v>
      </c>
      <c r="FB22" s="6">
        <v>0</v>
      </c>
      <c r="FC22" s="6">
        <v>0</v>
      </c>
      <c r="FD22" s="6">
        <v>0</v>
      </c>
      <c r="FE22" s="6">
        <v>0</v>
      </c>
      <c r="FF22" s="6">
        <v>0</v>
      </c>
      <c r="FG22" s="6">
        <v>0</v>
      </c>
      <c r="FH22" s="6">
        <v>1173.6682901706879</v>
      </c>
      <c r="FI22" s="6">
        <v>1553.9796069512406</v>
      </c>
      <c r="FJ22" s="6">
        <v>2101.2110117447405</v>
      </c>
      <c r="FK22" s="6">
        <v>2674.2006261592264</v>
      </c>
      <c r="FL22" s="6">
        <v>2034.7405995769209</v>
      </c>
      <c r="FM22" s="6">
        <v>2432.2138048290167</v>
      </c>
      <c r="FN22" s="6">
        <v>0</v>
      </c>
      <c r="FO22" s="6">
        <v>0</v>
      </c>
      <c r="FP22" s="6">
        <v>0</v>
      </c>
      <c r="FQ22" s="6">
        <v>0</v>
      </c>
      <c r="FR22" s="6">
        <v>0</v>
      </c>
      <c r="FS22" s="6">
        <v>0</v>
      </c>
      <c r="FT22" s="7">
        <v>0.16725152080011216</v>
      </c>
      <c r="FU22" s="7">
        <v>2.3399000099128309E-2</v>
      </c>
      <c r="FV22" s="7">
        <v>0.80934947910075961</v>
      </c>
      <c r="FW22" s="519">
        <v>1252.0000000000002</v>
      </c>
      <c r="FX22" s="519">
        <v>2684.2138048290167</v>
      </c>
      <c r="FY22" s="519">
        <v>5128.25</v>
      </c>
      <c r="FZ22" s="6">
        <v>1837.5769068668776</v>
      </c>
      <c r="GA22" s="6">
        <v>4422.7532893254865</v>
      </c>
      <c r="GB22" s="6">
        <v>15562.246710674513</v>
      </c>
      <c r="GC22" s="7">
        <v>1.804905384453976E-2</v>
      </c>
      <c r="GD22" s="7">
        <v>2.4268940825771513E-2</v>
      </c>
      <c r="GE22" s="7"/>
      <c r="GF22" s="7"/>
      <c r="GG22" s="7">
        <v>0.34461014049849525</v>
      </c>
      <c r="GH22" s="42">
        <v>2.664047878741866</v>
      </c>
      <c r="GI22" s="6">
        <v>11924.495341138083</v>
      </c>
      <c r="GJ22" s="14">
        <v>0.50394797582841733</v>
      </c>
      <c r="GK22" s="14">
        <v>0.50887573065309755</v>
      </c>
      <c r="GL22" s="14">
        <v>0.49605202417158273</v>
      </c>
      <c r="GM22" s="14">
        <v>0.49112426934690245</v>
      </c>
      <c r="GO22" s="5">
        <v>343.14810671672558</v>
      </c>
      <c r="GP22" s="5">
        <v>319.26233518755981</v>
      </c>
      <c r="GQ22" s="5">
        <v>535.04305713031317</v>
      </c>
      <c r="GR22" s="5">
        <v>410.15490233172511</v>
      </c>
      <c r="GS22" s="5">
        <v>339.42744393800166</v>
      </c>
      <c r="GT22" s="5">
        <v>293.4407446948278</v>
      </c>
      <c r="GU22" s="5">
        <v>258.04012322764959</v>
      </c>
      <c r="GV22" s="39" t="s">
        <v>392</v>
      </c>
      <c r="GW22" s="5">
        <v>492.625</v>
      </c>
      <c r="GX22" s="5">
        <v>369.46875</v>
      </c>
      <c r="GY22" s="5">
        <v>295.57499999999999</v>
      </c>
      <c r="GZ22" s="5">
        <v>246.3125</v>
      </c>
      <c r="HA22" s="5">
        <v>225.64278728199486</v>
      </c>
      <c r="HB22" s="39">
        <v>255.37045763915989</v>
      </c>
      <c r="HC22" s="5">
        <v>62.923437499999984</v>
      </c>
      <c r="HD22" s="5">
        <v>86.670148026315758</v>
      </c>
      <c r="HE22" s="5">
        <v>98.785422992577566</v>
      </c>
      <c r="HF22" s="5">
        <v>102.31797423245612</v>
      </c>
      <c r="HG22" s="5">
        <v>112.33992324561402</v>
      </c>
      <c r="HH22" s="39">
        <v>85.483775322576932</v>
      </c>
      <c r="HI22" s="16"/>
      <c r="HJ22" s="1">
        <f>INDEX(Input!$1:$1048576,HJ$10,$C22*2+6)</f>
        <v>0.36283185840707965</v>
      </c>
      <c r="HK22" s="1">
        <f>INDEX(Input!$1:$1048576,HK$10,$C22*2+6)</f>
        <v>0.46419951729686243</v>
      </c>
      <c r="HL22" s="1">
        <f>INDEX(Input!$1:$1048576,HL$10,$C22*2+6)</f>
        <v>0.17296862429605792</v>
      </c>
      <c r="HM22" s="19"/>
    </row>
    <row r="23" spans="1:221" s="60" customFormat="1" ht="15.75" thickBot="1">
      <c r="A23" s="31">
        <f>C23*1000+B23</f>
        <v>3001</v>
      </c>
      <c r="B23" s="31">
        <f t="shared" ref="B23:B25" si="42">IF(D23="Baseline1",1,B22+1)</f>
        <v>1</v>
      </c>
      <c r="C23" s="508">
        <v>3</v>
      </c>
      <c r="D23" s="31" t="s">
        <v>566</v>
      </c>
      <c r="E23" s="365">
        <f>INDEX(Input!$1:$1048576,E$10,$C23*2+MIN($B23,2)+5)</f>
        <v>1000</v>
      </c>
      <c r="F23" s="366">
        <f>INDEX(Input!$1:$1048576,F$10,$C23*2+MIN($B23,2)+5)</f>
        <v>0</v>
      </c>
      <c r="G23" s="49">
        <f>INDEX(Input!$1:$1048576,G$10,$C23*2+MIN($B23,2)+5)</f>
        <v>0</v>
      </c>
      <c r="H23" s="49">
        <f>INDEX(Input!$1:$1048576,H$10,$C23*2+MIN($B23,2)+5)</f>
        <v>0</v>
      </c>
      <c r="I23" s="367">
        <f>INDEX(Input!$1:$1048576,I$10,$C23*2+MIN($B23,2)+5)</f>
        <v>0.7</v>
      </c>
      <c r="J23" s="367" t="str">
        <f>INDEX(Input!$1:$1048576,J$10,$C23*2+MIN($B23,2)+5)</f>
        <v>Market</v>
      </c>
      <c r="K23" s="367" t="str">
        <f>INDEX(Input!$1:$1048576,K$10,$C23*2+MIN($B23,2)+5)</f>
        <v>Market</v>
      </c>
      <c r="L23" s="367" t="str">
        <f>INDEX(Input!$1:$1048576,L$10,$C23*2+MIN($B23,2)+5)</f>
        <v>Market</v>
      </c>
      <c r="M23" s="367" t="str">
        <f>INDEX(Input!$1:$1048576,M$10,$C23*2+MIN($B23,2)+5)</f>
        <v>Market</v>
      </c>
      <c r="N23" s="367" t="str">
        <f>INDEX(Input!$1:$1048576,N$10,$C23*2+MIN($B23,2)+5)</f>
        <v>Market</v>
      </c>
      <c r="O23" s="367" t="str">
        <f>INDEX(Input!$1:$1048576,O$10,$C23*2+MIN($B23,2)+5)</f>
        <v>Market</v>
      </c>
      <c r="P23" s="367" t="str">
        <f>INDEX(Input!$1:$1048576,P$10,$C23*2+MIN($B23,2)+5)</f>
        <v>N</v>
      </c>
      <c r="Q23" s="47">
        <f>INDEX(Input!$1:$1048576,Q$10,$C23*2+MIN($B23,2)+5)</f>
        <v>0</v>
      </c>
      <c r="R23" s="38">
        <f>INDEX(Input!$1:$1048576,R$10,$C23*2+MIN($B23,2)+5)</f>
        <v>0</v>
      </c>
      <c r="S23" s="38">
        <f>INDEX(Input!$1:$1048576,S$10,$C23*2+MIN($B23,2)+5)</f>
        <v>0</v>
      </c>
      <c r="T23" s="38">
        <f>INDEX(Input!$1:$1048576,T$10,$C23*2+MIN($B23,2)+5)</f>
        <v>0</v>
      </c>
      <c r="U23" s="38">
        <f>INDEX(Input!$1:$1048576,U$10,$C23*2+MIN($B23,2)+5)</f>
        <v>0</v>
      </c>
      <c r="V23" s="38">
        <f>INDEX(Input!$1:$1048576,V$10,$C23*2+MIN($B23,2)+5)</f>
        <v>1.9E-2</v>
      </c>
      <c r="W23" s="38">
        <f>INDEX(Input!$1:$1048576,W$10,$C23*2+MIN($B23,2)+5)</f>
        <v>3.9E-2</v>
      </c>
      <c r="X23" s="367" t="str">
        <f>INDEX(Input!$1:$1048576,X$10,$C23*2+MIN($B23,2)+5)</f>
        <v>Y</v>
      </c>
      <c r="Y23" s="517">
        <f>MIN(BX23*5%,2000)</f>
        <v>999.25</v>
      </c>
      <c r="Z23" s="49">
        <f>INDEX(Input!$1:$1048576,Z$10,$C23*2+MIN($B23,2)+5)</f>
        <v>0</v>
      </c>
      <c r="AA23" s="49">
        <f>INDEX(Input!$1:$1048576,AA$10,$C23*2+MIN($B23,2)+5)</f>
        <v>1000</v>
      </c>
      <c r="AB23" s="367">
        <f>INDEX(Input!$1:$1048576,AB$10,$C23*2+MIN($B23,2)+5)</f>
        <v>0.27</v>
      </c>
      <c r="AC23" s="49">
        <f>INDEX(Input!$1:$1048576,AC$10,$C23*2+MIN($B23,2)+5)</f>
        <v>1000</v>
      </c>
      <c r="AD23" s="367">
        <f>INDEX(Input!$1:$1048576,AD$10,$C23*2+MIN($B23,2)+5)</f>
        <v>0.27</v>
      </c>
      <c r="AE23" s="49">
        <f>INDEX(Input!$1:$1048576,AE$10,$C23*2+MIN($B23,2)+5)</f>
        <v>500</v>
      </c>
      <c r="AF23" s="367">
        <f>INDEX(Input!$1:$1048576,AF$10,$C23*2+MIN($B23,2)+5)</f>
        <v>0.68200000000000005</v>
      </c>
      <c r="AG23" s="49">
        <f>INDEX(Input!$1:$1048576,AG$10,$C23*2+MIN($B23,2)+5)</f>
        <v>0</v>
      </c>
      <c r="AH23" s="367">
        <f>INDEX(Input!$1:$1048576,AH$10,$C23*2+MIN($B23,2)+5)</f>
        <v>1</v>
      </c>
      <c r="AI23" s="49">
        <f>INDEX(Input!$1:$1048576,AI$10,$C23*2+MIN($B23,2)+5)</f>
        <v>0</v>
      </c>
      <c r="AJ23" s="367">
        <f>INDEX(Input!$1:$1048576,AJ$10,$C23*2+MIN($B23,2)+5)</f>
        <v>0.27</v>
      </c>
      <c r="AK23" s="298">
        <f>INDEX(Input!$1:$1048576,AK$10,$C23*2+MIN($B23,2)+5)</f>
        <v>3383.7164157747857</v>
      </c>
      <c r="AL23" s="49">
        <f>INDEX(Input!$1:$1048576,AL$10,$C23*2+MIN($B23,2)+5)</f>
        <v>3383.7164157747857</v>
      </c>
      <c r="AM23" s="46" t="str">
        <f>IF(K23="market","std",ROUND(K23*1000,0)/10)&amp;"/"&amp;IF(L23="market","std",ROUND(L23*1000,0)/10)&amp;"/"&amp;IF(M23="market","std",ROUND(M23*1000,0)/10)&amp;"/"&amp;IF(N23="market","std",ROUND(N23*1000,0)/10)&amp;IF(P23="N","","/"&amp;IF(O23="market","std",ROUND(O23*1000,0)/10))</f>
        <v>std/std/std/std</v>
      </c>
      <c r="AN23" s="46" t="str">
        <f>"$"&amp;ROUND(Q23,0)&amp;" + "&amp;IF(S23="market","std",ROUND(S23*1000,0)/10)&amp;"/"&amp;IF(T23="market","std",ROUND(T23*1000,0)/10)&amp;"/"&amp;IF(U23="market","std",ROUND(U23*1000,0)/10)&amp;"/"&amp;IF(V23="market","std",ROUND(V23*1000,0)/10)&amp;IF(X23="N","","/"&amp;IF(W23="market","std",ROUND(W23*1000,0)/10))</f>
        <v>$0 + 0/0/0/1.9/3.9</v>
      </c>
      <c r="AO23" s="44" t="str">
        <f>IF(S23="market","std",ROUND(S23*1000,0)/10)&amp;"/"&amp;IF(T23="market","std",ROUND(T23*1000,0)/10)&amp;"/"&amp;IF(U23="market","std",ROUND(U23*1000,0)/10)&amp;"/"&amp;IF(V23="market","std",ROUND(V23*1000,0)/10)&amp;IF(X23="N","","/"&amp;IF(W23="market","std",ROUND(W23*1000,0)/10))</f>
        <v>0/0/0/1.9/3.9</v>
      </c>
      <c r="AP23" s="44" t="str">
        <f>IF(T23="market","std",ROUND(T23*1000,0)/10)&amp;"/"&amp;IF(U23="market","std",ROUND(U23*1000,0)/10)&amp;"/"&amp;IF(V23="market","std",ROUND(V23*1000,0)/10)&amp;IF(X23="N","","/"&amp;IF(W23="market","std",ROUND(W23*1000,0)/10))</f>
        <v>0/0/1.9/3.9</v>
      </c>
      <c r="AQ23" s="49">
        <f t="shared" si="19"/>
        <v>611</v>
      </c>
      <c r="AR23" s="44" t="str">
        <f t="shared" si="20"/>
        <v>0/1.9</v>
      </c>
      <c r="AS23" s="368"/>
      <c r="AT23" s="50">
        <f t="shared" si="21"/>
        <v>7</v>
      </c>
      <c r="AU23" s="45" t="s">
        <v>121</v>
      </c>
      <c r="AV23" s="45" t="s">
        <v>116</v>
      </c>
      <c r="AW23" s="45" t="str">
        <f>INDEX(Input!$1:$1048576,AW$10,$C23*2+6)</f>
        <v>Kia</v>
      </c>
      <c r="AX23" s="45" t="str">
        <f>INDEX(Input!$1:$1048576,AX$10,$C23*2+6)</f>
        <v>Kia-LR - L3</v>
      </c>
      <c r="AY23" s="10" t="str">
        <f>IF(D23="Skip","",INDEX(Input!$1:$1048576,AY$10,$C23*2+6))</f>
        <v>Compact SUV (52)</v>
      </c>
      <c r="AZ23" s="45" t="str">
        <f>INDEX(Input!$1:$1048576,AZ$10,$C23*2+6)</f>
        <v>Kia Soul</v>
      </c>
      <c r="BA23" s="50">
        <f>INDEX(Input!$1:$1048576,BA$10,$C23*2+6)</f>
        <v>2020</v>
      </c>
      <c r="BB23" s="367">
        <f>INDEX(Input!$1:$1048576,BB$10,$C23*2+6)</f>
        <v>1</v>
      </c>
      <c r="BC23" s="367">
        <f>INDEX(Input!$1:$1048576,BC$10,$C23*2+6)</f>
        <v>0.7</v>
      </c>
      <c r="BD23" s="38">
        <f>INDEX(Input!$1:$1048576,BD$10,$C23*2+6)</f>
        <v>4.4999999999999998E-2</v>
      </c>
      <c r="BE23" s="38">
        <f>INDEX(Input!$1:$1048576,BE$10,$C23*2+6)</f>
        <v>4.4999999999999998E-2</v>
      </c>
      <c r="BF23" s="38">
        <f>INDEX(Input!$1:$1048576,BF$10,$C23*2+6)</f>
        <v>0.05</v>
      </c>
      <c r="BG23" s="38">
        <f>INDEX(Input!$1:$1048576,BG$10,$C23*2+6)</f>
        <v>5.45E-2</v>
      </c>
      <c r="BH23" s="38">
        <f>INDEX(Input!$1:$1048576,BH$10,$C23*2+6)</f>
        <v>5.45E-2</v>
      </c>
      <c r="BI23" s="38">
        <f>INDEX(Input!$1:$1048576,BI$10,$C23*2+6)</f>
        <v>0.05</v>
      </c>
      <c r="BJ23" s="38">
        <f>INDEX(Input!$1:$1048576,BJ$10,$C23*2+6)</f>
        <v>0.05</v>
      </c>
      <c r="BK23" s="38">
        <f>INDEX(Input!$1:$1048576,BK$10,$C23*2+6)</f>
        <v>0.05</v>
      </c>
      <c r="BL23" s="38">
        <f>INDEX(Input!$1:$1048576,BL$10,$C23*2+6)</f>
        <v>5.5E-2</v>
      </c>
      <c r="BM23" s="38">
        <f>INDEX(Input!$1:$1048576,BM$10,$C23*2+6)</f>
        <v>0.06</v>
      </c>
      <c r="BN23" s="38">
        <f>INDEX(Input!$1:$1048576,BN$10,$C23*2+6)</f>
        <v>4.4999999999999998E-2</v>
      </c>
      <c r="BO23" s="38">
        <f>INDEX(Input!$1:$1048576,BO$10,$C23*2+6)</f>
        <v>4.4999999999999998E-2</v>
      </c>
      <c r="BP23" s="38">
        <f>INDEX(Input!$1:$1048576,BP$10,$C23*2+6)</f>
        <v>0.05</v>
      </c>
      <c r="BQ23" s="38">
        <f>INDEX(Input!$1:$1048576,BQ$10,$C23*2+6)</f>
        <v>5.45E-2</v>
      </c>
      <c r="BR23" s="38">
        <f>INDEX(Input!$1:$1048576,BR$10,$C23*2+6)</f>
        <v>5.45E-2</v>
      </c>
      <c r="BS23" s="38">
        <f>INDEX(Input!$1:$1048576,BS$10,$C23*2+6)</f>
        <v>0.05</v>
      </c>
      <c r="BT23" s="38">
        <f>INDEX(Input!$1:$1048576,BT$10,$C23*2+6)</f>
        <v>0.05</v>
      </c>
      <c r="BU23" s="38">
        <f>INDEX(Input!$1:$1048576,BU$10,$C23*2+6)</f>
        <v>0.05</v>
      </c>
      <c r="BV23" s="38">
        <f>INDEX(Input!$1:$1048576,BV$10,$C23*2+6)</f>
        <v>5.5E-2</v>
      </c>
      <c r="BW23" s="38">
        <f>INDEX(Input!$1:$1048576,BW$10,$C23*2+6)</f>
        <v>0.06</v>
      </c>
      <c r="BX23" s="49">
        <f>INDEX(Input!$1:$1048576,BX$10,$C23*2+6)</f>
        <v>19985</v>
      </c>
      <c r="BY23" s="367">
        <f>INDEX(Input!$1:$1048576,BY$10,$C23*2+6)</f>
        <v>0.1</v>
      </c>
      <c r="BZ23" s="367">
        <f>INDEX(Input!$1:$1048576,BZ$10,$C23*2+6)</f>
        <v>0.1</v>
      </c>
      <c r="CA23" s="367">
        <f>INDEX(Input!$1:$1048576,CA$10,$C23*2+6)</f>
        <v>0.1</v>
      </c>
      <c r="CB23" s="367">
        <f>INDEX(Input!$1:$1048576,CB$10,$C23*2+6)</f>
        <v>0.1</v>
      </c>
      <c r="CC23" s="367">
        <f>INDEX(Input!$1:$1048576,CC$10,$C23*2+6)</f>
        <v>0.1</v>
      </c>
      <c r="CD23" s="367">
        <f>INDEX(Input!$1:$1048576,CD$10,$C23*2+6)</f>
        <v>0.1</v>
      </c>
      <c r="CE23" s="367">
        <f>INDEX(Input!$1:$1048576,CE$10,$C23*2+6)</f>
        <v>0.1</v>
      </c>
      <c r="CF23" s="367">
        <f>INDEX(Input!$1:$1048576,CF$10,$C23*2+6)</f>
        <v>0.1</v>
      </c>
      <c r="CG23" s="367">
        <f>INDEX(Input!$1:$1048576,CG$10,$C23*2+6)</f>
        <v>0.1</v>
      </c>
      <c r="CH23" s="48">
        <f>INDEX(Input!$1:$1048576,CH$10,$C23*2+6)</f>
        <v>0.1</v>
      </c>
      <c r="CI23" s="298">
        <f t="shared" si="22"/>
        <v>1270</v>
      </c>
      <c r="CJ23" s="46" t="str">
        <f>INDEX(Input!$1:$1048576,CJ$10,$C23*2+6)</f>
        <v>N</v>
      </c>
      <c r="CK23" s="38" t="str">
        <f t="shared" si="23"/>
        <v>Market</v>
      </c>
      <c r="CL23" s="38" t="str">
        <f t="shared" si="24"/>
        <v>Market</v>
      </c>
      <c r="CM23" s="38" t="str">
        <f t="shared" si="25"/>
        <v>Market</v>
      </c>
      <c r="CN23" s="38" t="str">
        <f t="shared" si="26"/>
        <v>Market</v>
      </c>
      <c r="CO23" s="38" t="str">
        <f t="shared" si="27"/>
        <v>Market</v>
      </c>
      <c r="CP23" s="49">
        <f t="shared" si="28"/>
        <v>0</v>
      </c>
      <c r="CQ23" s="38">
        <f t="shared" si="29"/>
        <v>0</v>
      </c>
      <c r="CR23" s="38">
        <f t="shared" si="30"/>
        <v>0</v>
      </c>
      <c r="CS23" s="38">
        <f t="shared" si="31"/>
        <v>0</v>
      </c>
      <c r="CT23" s="38">
        <f t="shared" si="32"/>
        <v>0</v>
      </c>
      <c r="CU23" s="38">
        <f t="shared" si="33"/>
        <v>1.9E-2</v>
      </c>
      <c r="CV23" s="49">
        <f t="shared" si="34"/>
        <v>1269.25</v>
      </c>
      <c r="CW23" s="22" t="s">
        <v>122</v>
      </c>
      <c r="CX23" s="22" t="s">
        <v>122</v>
      </c>
      <c r="CY23" s="22" t="s">
        <v>122</v>
      </c>
      <c r="CZ23" s="22" t="s">
        <v>122</v>
      </c>
      <c r="DA23" s="22" t="s">
        <v>122</v>
      </c>
      <c r="DB23" s="502">
        <f t="shared" si="35"/>
        <v>341</v>
      </c>
      <c r="DC23" s="29">
        <v>0</v>
      </c>
      <c r="DD23" s="29">
        <v>0</v>
      </c>
      <c r="DE23" s="29">
        <v>0</v>
      </c>
      <c r="DF23" s="49">
        <v>0</v>
      </c>
      <c r="DG23" s="49">
        <v>0</v>
      </c>
      <c r="DH23" s="49">
        <v>0</v>
      </c>
      <c r="DI23" s="49">
        <v>0</v>
      </c>
      <c r="DJ23" s="49">
        <v>0</v>
      </c>
      <c r="DK23" s="29">
        <v>0</v>
      </c>
      <c r="DL23" s="29">
        <v>0</v>
      </c>
      <c r="DM23" s="49">
        <f>INDEX(Input!$1:$1048576,DM$10,$C23*2+6)</f>
        <v>21036.84210526316</v>
      </c>
      <c r="DN23" s="367">
        <v>0</v>
      </c>
      <c r="DO23" s="367">
        <v>0</v>
      </c>
      <c r="DP23" s="367">
        <v>0</v>
      </c>
      <c r="DQ23" s="367">
        <v>0</v>
      </c>
      <c r="DR23" s="367">
        <v>0</v>
      </c>
      <c r="DS23" s="367">
        <f>INDEX(Input!$1:$1048576,DS$10,$C23*2+6)</f>
        <v>0.6</v>
      </c>
      <c r="DT23" s="367">
        <f>INDEX(Input!$1:$1048576,DT$10,$C23*2+6)</f>
        <v>0.55000000000000004</v>
      </c>
      <c r="DU23" s="367">
        <f>INDEX(Input!$1:$1048576,DU$10,$C23*2+6)</f>
        <v>0.52</v>
      </c>
      <c r="DV23" s="367">
        <f>INDEX(Input!$1:$1048576,DV$10,$C23*2+6)</f>
        <v>0.5</v>
      </c>
      <c r="DW23" s="367">
        <f>INDEX(Input!$1:$1048576,DW$10,$C23*2+6)</f>
        <v>0.45</v>
      </c>
      <c r="DX23" s="369"/>
      <c r="DY23" s="4">
        <v>0.10013978289088131</v>
      </c>
      <c r="DZ23" s="37">
        <v>0</v>
      </c>
      <c r="EA23" s="37">
        <v>0.70519750882313181</v>
      </c>
      <c r="EB23" s="37">
        <v>0</v>
      </c>
      <c r="EC23" s="37">
        <v>0</v>
      </c>
      <c r="ED23" s="37">
        <v>0</v>
      </c>
      <c r="EE23" s="37">
        <v>0</v>
      </c>
      <c r="EF23" s="37">
        <v>0</v>
      </c>
      <c r="EG23" s="37">
        <v>0</v>
      </c>
      <c r="EH23" s="37">
        <v>6.3672424748170498E-3</v>
      </c>
      <c r="EI23" s="37">
        <v>1.7826075029006013E-2</v>
      </c>
      <c r="EJ23" s="37">
        <v>0.14338962280489198</v>
      </c>
      <c r="EK23" s="37">
        <v>0.62035634066848833</v>
      </c>
      <c r="EL23" s="37">
        <v>0.21206071902279652</v>
      </c>
      <c r="EM23" s="37">
        <v>9.4379840501050513E-2</v>
      </c>
      <c r="EN23" s="37">
        <v>5.8573058708617454E-2</v>
      </c>
      <c r="EO23" s="37">
        <v>0.75063988906927137</v>
      </c>
      <c r="EP23" s="37">
        <v>7.8913541483619565E-2</v>
      </c>
      <c r="EQ23" s="37">
        <v>7.4246153084777652E-2</v>
      </c>
      <c r="ER23" s="37">
        <v>3.7627357653713701E-2</v>
      </c>
      <c r="ES23" s="37">
        <v>0.10028286778493643</v>
      </c>
      <c r="ET23" s="37">
        <v>0.19466270828598684</v>
      </c>
      <c r="EU23" s="36">
        <v>1410.5</v>
      </c>
      <c r="EV23" s="36">
        <v>0</v>
      </c>
      <c r="EW23" s="36">
        <v>1410.5</v>
      </c>
      <c r="EX23" s="36">
        <v>0</v>
      </c>
      <c r="EY23" s="36">
        <v>2837.4014876605752</v>
      </c>
      <c r="EZ23" s="36">
        <v>1289.75</v>
      </c>
      <c r="FA23" s="36">
        <v>0</v>
      </c>
      <c r="FB23" s="36">
        <v>0</v>
      </c>
      <c r="FC23" s="36">
        <v>0</v>
      </c>
      <c r="FD23" s="36">
        <v>0</v>
      </c>
      <c r="FE23" s="36">
        <v>0</v>
      </c>
      <c r="FF23" s="36">
        <v>0</v>
      </c>
      <c r="FG23" s="36">
        <v>0</v>
      </c>
      <c r="FH23" s="36">
        <v>1171.9998078902192</v>
      </c>
      <c r="FI23" s="36">
        <v>1553.9796069512406</v>
      </c>
      <c r="FJ23" s="36">
        <v>2101.211011744741</v>
      </c>
      <c r="FK23" s="36">
        <v>2674.2006261592282</v>
      </c>
      <c r="FL23" s="36">
        <v>2034.7405995769213</v>
      </c>
      <c r="FM23" s="36">
        <v>2426.9014876605752</v>
      </c>
      <c r="FN23" s="36">
        <v>0</v>
      </c>
      <c r="FO23" s="36">
        <v>0</v>
      </c>
      <c r="FP23" s="36">
        <v>0</v>
      </c>
      <c r="FQ23" s="36">
        <v>0</v>
      </c>
      <c r="FR23" s="36">
        <v>0</v>
      </c>
      <c r="FS23" s="36">
        <v>0</v>
      </c>
      <c r="FT23" s="37">
        <v>0.80533729171401314</v>
      </c>
      <c r="FU23" s="37">
        <v>9.4379840501050513E-2</v>
      </c>
      <c r="FV23" s="37">
        <v>0.10028286778493643</v>
      </c>
      <c r="FW23" s="518">
        <v>1410.5</v>
      </c>
      <c r="FX23" s="518">
        <v>2837.4014876605752</v>
      </c>
      <c r="FY23" s="518">
        <v>1289.75</v>
      </c>
      <c r="FZ23" s="36">
        <v>1877.610362934483</v>
      </c>
      <c r="GA23" s="36">
        <v>1533.0615785310861</v>
      </c>
      <c r="GB23" s="36">
        <v>18451.938421468913</v>
      </c>
      <c r="GC23" s="37">
        <v>2.9156573141622111E-2</v>
      </c>
      <c r="GD23" s="37">
        <v>2.8646394864874813E-2</v>
      </c>
      <c r="GE23" s="37"/>
      <c r="GF23" s="37"/>
      <c r="GG23" s="37">
        <v>-1.7497882013404378E-2</v>
      </c>
      <c r="GH23" s="35">
        <v>1.0149366007585858</v>
      </c>
      <c r="GI23" s="36">
        <v>21223.94668905206</v>
      </c>
      <c r="GJ23" s="34">
        <v>0.50394797582841722</v>
      </c>
      <c r="GK23" s="34">
        <v>0.50887573065309744</v>
      </c>
      <c r="GL23" s="34">
        <v>0.49605202417158284</v>
      </c>
      <c r="GM23" s="33">
        <v>0.49112426934690251</v>
      </c>
      <c r="GN23" s="61"/>
      <c r="GO23" s="13">
        <v>343.14810671672558</v>
      </c>
      <c r="GP23" s="27">
        <v>316.23845756186267</v>
      </c>
      <c r="GQ23" s="27">
        <v>535.04305713031317</v>
      </c>
      <c r="GR23" s="27">
        <v>410.15490233172511</v>
      </c>
      <c r="GS23" s="27">
        <v>339.42744393800166</v>
      </c>
      <c r="GT23" s="27">
        <v>293.4407446948278</v>
      </c>
      <c r="GU23" s="27">
        <v>258.04012322764959</v>
      </c>
      <c r="GV23" s="29" t="s">
        <v>392</v>
      </c>
      <c r="GW23" s="27">
        <v>488.22222222222223</v>
      </c>
      <c r="GX23" s="27">
        <v>366.16666666666669</v>
      </c>
      <c r="GY23" s="27">
        <v>292.93333333333334</v>
      </c>
      <c r="GZ23" s="27">
        <v>244.11111111111111</v>
      </c>
      <c r="HA23" s="27">
        <v>223.62613151023945</v>
      </c>
      <c r="HB23" s="29">
        <v>250.4977377630058</v>
      </c>
      <c r="HC23" s="27">
        <v>230.85781249999997</v>
      </c>
      <c r="HD23" s="27">
        <v>201.29202302631575</v>
      </c>
      <c r="HE23" s="27">
        <v>205.20537491565449</v>
      </c>
      <c r="HF23" s="27">
        <v>191.08328673245612</v>
      </c>
      <c r="HG23" s="27">
        <v>185.91117324561401</v>
      </c>
      <c r="HH23" s="12">
        <v>201.99589807219121</v>
      </c>
      <c r="HI23" s="94"/>
      <c r="HJ23" s="24">
        <f>INDEX(Input!$1:$1048576,HJ$10,$C23*2+6)</f>
        <v>0.3161490683229814</v>
      </c>
      <c r="HK23" s="18">
        <f>INDEX(Input!$1:$1048576,HK$10,$C23*2+6)</f>
        <v>0.52422360248447208</v>
      </c>
      <c r="HL23" s="43">
        <f>INDEX(Input!$1:$1048576,HL$10,$C23*2+6)</f>
        <v>0.15962732919254657</v>
      </c>
      <c r="HM23" s="49">
        <f>IF(HL23&lt;FV24,TREND(Y23:Y24,FV23:FV24,HL23),TREND(Y24:Y25,FV24:FV25,HL23))</f>
        <v>1650.7751966918627</v>
      </c>
    </row>
    <row r="24" spans="1:221" s="26" customFormat="1" ht="15">
      <c r="A24" s="117">
        <f t="shared" ref="A24:A25" si="43">C24*1000+B24</f>
        <v>3002</v>
      </c>
      <c r="B24" s="117">
        <f t="shared" si="42"/>
        <v>2</v>
      </c>
      <c r="C24" s="117">
        <f t="shared" si="14"/>
        <v>3</v>
      </c>
      <c r="D24" s="117" t="s">
        <v>568</v>
      </c>
      <c r="E24" s="115">
        <f>INDEX(Input!$1:$1048576,E$10,$C24*2+6)</f>
        <v>1000</v>
      </c>
      <c r="F24" s="115">
        <f>INDEX(Input!$1:$1048576,F$10,$C24*2+6)</f>
        <v>0</v>
      </c>
      <c r="G24" s="115">
        <f>INDEX(Input!$1:$1048576,G$10,$C24*2+6)</f>
        <v>0</v>
      </c>
      <c r="H24" s="115">
        <f>INDEX(Input!$1:$1048576,H$10,$C24*2+6)</f>
        <v>0</v>
      </c>
      <c r="I24" s="118">
        <f>INDEX(Input!$1:$1048576,I$10,$C24*2+6)</f>
        <v>0.7</v>
      </c>
      <c r="J24" s="118" t="str">
        <f>INDEX(Input!$1:$1048576,J$10,$C24*2+6)</f>
        <v>Market</v>
      </c>
      <c r="K24" s="118" t="str">
        <f>INDEX(Input!$1:$1048576,K$10,$C24*2+6)</f>
        <v>Market</v>
      </c>
      <c r="L24" s="118" t="str">
        <f>INDEX(Input!$1:$1048576,L$10,$C24*2+6)</f>
        <v>Market</v>
      </c>
      <c r="M24" s="118" t="str">
        <f>INDEX(Input!$1:$1048576,M$10,$C24*2+6)</f>
        <v>Market</v>
      </c>
      <c r="N24" s="118" t="str">
        <f>INDEX(Input!$1:$1048576,N$10,$C24*2+6)</f>
        <v>Market</v>
      </c>
      <c r="O24" s="118" t="str">
        <f>INDEX(Input!$1:$1048576,O$10,$C24*2+6)</f>
        <v>Market</v>
      </c>
      <c r="P24" s="118" t="str">
        <f>INDEX(Input!$1:$1048576,P$10,$C24*2+6)</f>
        <v>N</v>
      </c>
      <c r="Q24" s="30">
        <f>INDEX(Input!$1:$1048576,Q$10,$C24*2+6)</f>
        <v>0</v>
      </c>
      <c r="R24" s="383">
        <f>INDEX(Input!$1:$1048576,R$10,$C24*2+6)</f>
        <v>0</v>
      </c>
      <c r="S24" s="383">
        <f>INDEX(Input!$1:$1048576,S$10,$C24*2+6)</f>
        <v>0</v>
      </c>
      <c r="T24" s="383">
        <f>INDEX(Input!$1:$1048576,T$10,$C24*2+6)</f>
        <v>0</v>
      </c>
      <c r="U24" s="383">
        <f>INDEX(Input!$1:$1048576,U$10,$C24*2+6)</f>
        <v>0</v>
      </c>
      <c r="V24" s="383">
        <f>INDEX(Input!$1:$1048576,V$10,$C24*2+6)</f>
        <v>1.9E-2</v>
      </c>
      <c r="W24" s="383">
        <f>INDEX(Input!$1:$1048576,W$10,$C24*2+6)</f>
        <v>3.9E-2</v>
      </c>
      <c r="X24" s="118" t="str">
        <f>INDEX(Input!$1:$1048576,X$10,$C24*2+6)</f>
        <v>Y</v>
      </c>
      <c r="Y24" s="520">
        <f>MIN(BX24*10%,4000)+Y23</f>
        <v>2997.75</v>
      </c>
      <c r="Z24" s="30">
        <f>INDEX(Input!$1:$1048576,Z$10,$C24*2+6)</f>
        <v>0</v>
      </c>
      <c r="AA24" s="115">
        <f>INDEX(Input!$1:$1048576,AA$10,$C24*2+6)</f>
        <v>1000</v>
      </c>
      <c r="AB24" s="118">
        <f>INDEX(Input!$1:$1048576,AB$10,$C24*2+6)</f>
        <v>0.27</v>
      </c>
      <c r="AC24" s="115">
        <f>INDEX(Input!$1:$1048576,AC$10,$C24*2+6)</f>
        <v>1000</v>
      </c>
      <c r="AD24" s="118">
        <f>INDEX(Input!$1:$1048576,AD$10,$C24*2+6)</f>
        <v>0.27</v>
      </c>
      <c r="AE24" s="115">
        <f>INDEX(Input!$1:$1048576,AE$10,$C24*2+6)</f>
        <v>500</v>
      </c>
      <c r="AF24" s="118">
        <f>INDEX(Input!$1:$1048576,AF$10,$C24*2+6)</f>
        <v>0.68200000000000005</v>
      </c>
      <c r="AG24" s="115">
        <f>INDEX(Input!$1:$1048576,AG$10,$C24*2+6)</f>
        <v>0</v>
      </c>
      <c r="AH24" s="118">
        <f>INDEX(Input!$1:$1048576,AH$10,$C24*2+6)</f>
        <v>1</v>
      </c>
      <c r="AI24" s="115">
        <f>INDEX(Input!$1:$1048576,AI$10,$C24*2+6)</f>
        <v>0</v>
      </c>
      <c r="AJ24" s="118">
        <f>INDEX(Input!$1:$1048576,AJ$10,$C24*2+6)</f>
        <v>0.27</v>
      </c>
      <c r="AK24" s="150">
        <f>INDEX(Input!$1:$1048576,AK$10,$C23*2+6)+(Y24-VLOOKUP($C24*1000+1,$A:$HH,Y$9,FALSE))</f>
        <v>5382.2164157747857</v>
      </c>
      <c r="AL24" s="150">
        <f>INDEX(Input!$1:$1048576,AL$10,$C23*2+6)-(Y24-VLOOKUP($C24*1000+1,$A:$HH,Y$9,FALSE))/36</f>
        <v>3328.202526885897</v>
      </c>
      <c r="AM24" s="32" t="str">
        <f t="shared" ref="AM24:AM25" si="44">IF(K24="market","std",ROUND(K24*1000,0)/10)&amp;"/"&amp;IF(L24="market","std",ROUND(L24*1000,0)/10)&amp;"/"&amp;IF(M24="market","std",ROUND(M24*1000,0)/10)&amp;"/"&amp;IF(N24="market","std",ROUND(N24*1000,0)/10)&amp;IF(P24="N","","/"&amp;IF(O24="market","std",ROUND(O24*1000,0)/10))</f>
        <v>std/std/std/std</v>
      </c>
      <c r="AN24" s="32" t="str">
        <f t="shared" ref="AN24:AN25" si="45">"$"&amp;ROUND(Q24,0)&amp;" + "&amp;IF(S24="market","std",ROUND(S24*1000,0)/10)&amp;"/"&amp;IF(T24="market","std",ROUND(T24*1000,0)/10)&amp;"/"&amp;IF(U24="market","std",ROUND(U24*1000,0)/10)&amp;"/"&amp;IF(V24="market","std",ROUND(V24*1000,0)/10)&amp;IF(X24="N","","/"&amp;IF(W24="market","std",ROUND(W24*1000,0)/10))</f>
        <v>$0 + 0/0/0/1.9/3.9</v>
      </c>
      <c r="AO24" s="32" t="str">
        <f t="shared" ref="AO24:AO25" si="46">IF(S24="market","std",ROUND(S24*1000,0)/10)&amp;"/"&amp;IF(T24="market","std",ROUND(T24*1000,0)/10)&amp;"/"&amp;IF(U24="market","std",ROUND(U24*1000,0)/10)&amp;"/"&amp;IF(V24="market","std",ROUND(V24*1000,0)/10)&amp;IF(X24="N","","/"&amp;IF(W24="market","std",ROUND(W24*1000,0)/10))</f>
        <v>0/0/0/1.9/3.9</v>
      </c>
      <c r="AP24" s="32" t="str">
        <f t="shared" ref="AP24:AP25" si="47">IF(T24="market","std",ROUND(T24*1000,0)/10)&amp;"/"&amp;IF(U24="market","std",ROUND(U24*1000,0)/10)&amp;"/"&amp;IF(V24="market","std",ROUND(V24*1000,0)/10)&amp;IF(X24="N","","/"&amp;IF(W24="market","std",ROUND(W24*1000,0)/10))</f>
        <v>0/0/1.9/3.9</v>
      </c>
      <c r="AQ24" s="150">
        <f t="shared" si="19"/>
        <v>611</v>
      </c>
      <c r="AR24" s="32" t="str">
        <f t="shared" si="20"/>
        <v>0/1.9</v>
      </c>
      <c r="AS24" s="302"/>
      <c r="AT24" s="3">
        <f t="shared" si="21"/>
        <v>8</v>
      </c>
      <c r="AU24" s="41" t="s">
        <v>121</v>
      </c>
      <c r="AV24" s="41" t="s">
        <v>116</v>
      </c>
      <c r="AW24" s="41" t="str">
        <f>INDEX(Input!$1:$1048576,AW$10,$C24*2+6)</f>
        <v>Kia</v>
      </c>
      <c r="AX24" s="41" t="str">
        <f>INDEX(Input!$1:$1048576,AX$10,$C24*2+6)</f>
        <v>Kia-LR - L3</v>
      </c>
      <c r="AY24" s="41" t="str">
        <f>IF(D24="Skip","",INDEX(Input!$1:$1048576,AY$10,$C24*2+6))</f>
        <v>Compact SUV (52)</v>
      </c>
      <c r="AZ24" s="41" t="str">
        <f>INDEX(Input!$1:$1048576,AZ$10,$C24*2+6)</f>
        <v>Kia Soul</v>
      </c>
      <c r="BA24" s="3">
        <f>INDEX(Input!$1:$1048576,BA$10,$C24*2+6)</f>
        <v>2020</v>
      </c>
      <c r="BB24" s="128">
        <f>INDEX(Input!$1:$1048576,BB$10,$C24*2+6)</f>
        <v>1</v>
      </c>
      <c r="BC24" s="128">
        <f>INDEX(Input!$1:$1048576,BC$10,$C24*2+6)</f>
        <v>0.7</v>
      </c>
      <c r="BD24" s="1">
        <f>INDEX(Input!$1:$1048576,BD$10,$C24*2+6)</f>
        <v>4.4999999999999998E-2</v>
      </c>
      <c r="BE24" s="1">
        <f>INDEX(Input!$1:$1048576,BE$10,$C24*2+6)</f>
        <v>4.4999999999999998E-2</v>
      </c>
      <c r="BF24" s="1">
        <f>INDEX(Input!$1:$1048576,BF$10,$C24*2+6)</f>
        <v>0.05</v>
      </c>
      <c r="BG24" s="1">
        <f>INDEX(Input!$1:$1048576,BG$10,$C24*2+6)</f>
        <v>5.45E-2</v>
      </c>
      <c r="BH24" s="1">
        <f>INDEX(Input!$1:$1048576,BH$10,$C24*2+6)</f>
        <v>5.45E-2</v>
      </c>
      <c r="BI24" s="1">
        <f>INDEX(Input!$1:$1048576,BI$10,$C24*2+6)</f>
        <v>0.05</v>
      </c>
      <c r="BJ24" s="1">
        <f>INDEX(Input!$1:$1048576,BJ$10,$C24*2+6)</f>
        <v>0.05</v>
      </c>
      <c r="BK24" s="1">
        <f>INDEX(Input!$1:$1048576,BK$10,$C24*2+6)</f>
        <v>0.05</v>
      </c>
      <c r="BL24" s="1">
        <f>INDEX(Input!$1:$1048576,BL$10,$C24*2+6)</f>
        <v>5.5E-2</v>
      </c>
      <c r="BM24" s="1">
        <f>INDEX(Input!$1:$1048576,BM$10,$C24*2+6)</f>
        <v>0.06</v>
      </c>
      <c r="BN24" s="1">
        <f>INDEX(Input!$1:$1048576,BN$10,$C24*2+6)</f>
        <v>4.4999999999999998E-2</v>
      </c>
      <c r="BO24" s="1">
        <f>INDEX(Input!$1:$1048576,BO$10,$C24*2+6)</f>
        <v>4.4999999999999998E-2</v>
      </c>
      <c r="BP24" s="1">
        <f>INDEX(Input!$1:$1048576,BP$10,$C24*2+6)</f>
        <v>0.05</v>
      </c>
      <c r="BQ24" s="1">
        <f>INDEX(Input!$1:$1048576,BQ$10,$C24*2+6)</f>
        <v>5.45E-2</v>
      </c>
      <c r="BR24" s="1">
        <f>INDEX(Input!$1:$1048576,BR$10,$C24*2+6)</f>
        <v>5.45E-2</v>
      </c>
      <c r="BS24" s="1">
        <f>INDEX(Input!$1:$1048576,BS$10,$C24*2+6)</f>
        <v>0.05</v>
      </c>
      <c r="BT24" s="1">
        <f>INDEX(Input!$1:$1048576,BT$10,$C24*2+6)</f>
        <v>0.05</v>
      </c>
      <c r="BU24" s="1">
        <f>INDEX(Input!$1:$1048576,BU$10,$C24*2+6)</f>
        <v>0.05</v>
      </c>
      <c r="BV24" s="1">
        <f>INDEX(Input!$1:$1048576,BV$10,$C24*2+6)</f>
        <v>5.5E-2</v>
      </c>
      <c r="BW24" s="1">
        <f>INDEX(Input!$1:$1048576,BW$10,$C24*2+6)</f>
        <v>0.06</v>
      </c>
      <c r="BX24" s="304">
        <f>INDEX(Input!$1:$1048576,BX$10,$C24*2+6)</f>
        <v>19985</v>
      </c>
      <c r="BY24" s="20">
        <f>INDEX(Input!$1:$1048576,BY$10,$C24*2+6)</f>
        <v>0.1</v>
      </c>
      <c r="BZ24" s="20">
        <f>INDEX(Input!$1:$1048576,BZ$10,$C24*2+6)</f>
        <v>0.1</v>
      </c>
      <c r="CA24" s="20">
        <f>INDEX(Input!$1:$1048576,CA$10,$C24*2+6)</f>
        <v>0.1</v>
      </c>
      <c r="CB24" s="20">
        <f>INDEX(Input!$1:$1048576,CB$10,$C24*2+6)</f>
        <v>0.1</v>
      </c>
      <c r="CC24" s="20">
        <f>INDEX(Input!$1:$1048576,CC$10,$C24*2+6)</f>
        <v>0.1</v>
      </c>
      <c r="CD24" s="384">
        <f>INDEX(Input!$1:$1048576,CD$10,$C24*2+6)</f>
        <v>0.1</v>
      </c>
      <c r="CE24" s="384">
        <f>INDEX(Input!$1:$1048576,CE$10,$C24*2+6)</f>
        <v>0.1</v>
      </c>
      <c r="CF24" s="384">
        <f>INDEX(Input!$1:$1048576,CF$10,$C24*2+6)</f>
        <v>0.1</v>
      </c>
      <c r="CG24" s="384">
        <f>INDEX(Input!$1:$1048576,CG$10,$C24*2+6)</f>
        <v>0.1</v>
      </c>
      <c r="CH24" s="384">
        <f>INDEX(Input!$1:$1048576,CH$10,$C24*2+6)</f>
        <v>0.1</v>
      </c>
      <c r="CI24" s="304">
        <f t="shared" si="22"/>
        <v>1270</v>
      </c>
      <c r="CJ24" s="16" t="str">
        <f>INDEX(Input!$1:$1048576,CJ$10,$C24*2+6)</f>
        <v>N</v>
      </c>
      <c r="CK24" s="1" t="str">
        <f t="shared" si="23"/>
        <v>Market</v>
      </c>
      <c r="CL24" s="1" t="str">
        <f t="shared" si="24"/>
        <v>Market</v>
      </c>
      <c r="CM24" s="1" t="str">
        <f t="shared" si="25"/>
        <v>Market</v>
      </c>
      <c r="CN24" s="1" t="str">
        <f t="shared" si="26"/>
        <v>Market</v>
      </c>
      <c r="CO24" s="1" t="str">
        <f t="shared" si="27"/>
        <v>Market</v>
      </c>
      <c r="CP24" s="304">
        <f t="shared" si="28"/>
        <v>0</v>
      </c>
      <c r="CQ24" s="1">
        <f t="shared" si="29"/>
        <v>0</v>
      </c>
      <c r="CR24" s="1">
        <f t="shared" si="30"/>
        <v>0</v>
      </c>
      <c r="CS24" s="1">
        <f t="shared" si="31"/>
        <v>0</v>
      </c>
      <c r="CT24" s="1">
        <f t="shared" si="32"/>
        <v>0</v>
      </c>
      <c r="CU24" s="1">
        <f t="shared" si="33"/>
        <v>1.9E-2</v>
      </c>
      <c r="CV24" s="304">
        <f t="shared" si="34"/>
        <v>3267.75</v>
      </c>
      <c r="CW24" s="20" t="s">
        <v>122</v>
      </c>
      <c r="CX24" s="20" t="s">
        <v>122</v>
      </c>
      <c r="CY24" s="20" t="s">
        <v>122</v>
      </c>
      <c r="CZ24" s="20" t="s">
        <v>122</v>
      </c>
      <c r="DA24" s="20" t="s">
        <v>122</v>
      </c>
      <c r="DB24" s="503">
        <f t="shared" si="35"/>
        <v>341</v>
      </c>
      <c r="DC24" s="127">
        <v>0</v>
      </c>
      <c r="DD24" s="127">
        <v>0</v>
      </c>
      <c r="DE24" s="127">
        <v>0</v>
      </c>
      <c r="DF24" s="127">
        <v>0</v>
      </c>
      <c r="DG24" s="127">
        <v>0</v>
      </c>
      <c r="DH24" s="127">
        <v>0</v>
      </c>
      <c r="DI24" s="127">
        <v>0</v>
      </c>
      <c r="DJ24" s="127">
        <v>0</v>
      </c>
      <c r="DK24" s="127">
        <v>0</v>
      </c>
      <c r="DL24" s="127">
        <v>0</v>
      </c>
      <c r="DM24" s="304">
        <f>INDEX(Input!$1:$1048576,DM$10,$C24*2+6)</f>
        <v>21036.84210526316</v>
      </c>
      <c r="DN24" s="20">
        <v>0</v>
      </c>
      <c r="DO24" s="20">
        <v>0</v>
      </c>
      <c r="DP24" s="20">
        <v>0</v>
      </c>
      <c r="DQ24" s="20">
        <v>0</v>
      </c>
      <c r="DR24" s="20">
        <v>0</v>
      </c>
      <c r="DS24" s="20">
        <f>INDEX(Input!$1:$1048576,DS$10,$C24*2+6)</f>
        <v>0.6</v>
      </c>
      <c r="DT24" s="20">
        <f>INDEX(Input!$1:$1048576,DT$10,$C24*2+6)</f>
        <v>0.55000000000000004</v>
      </c>
      <c r="DU24" s="20">
        <f>INDEX(Input!$1:$1048576,DU$10,$C24*2+6)</f>
        <v>0.52</v>
      </c>
      <c r="DV24" s="20">
        <f>INDEX(Input!$1:$1048576,DV$10,$C24*2+6)</f>
        <v>0.5</v>
      </c>
      <c r="DW24" s="20">
        <f>INDEX(Input!$1:$1048576,DW$10,$C24*2+6)</f>
        <v>0.45</v>
      </c>
      <c r="DX24" s="20"/>
      <c r="DY24" s="7">
        <v>7.9330695314244651E-2</v>
      </c>
      <c r="DZ24" s="7">
        <v>0</v>
      </c>
      <c r="EA24" s="7">
        <v>0.56457125774158112</v>
      </c>
      <c r="EB24" s="7">
        <v>0</v>
      </c>
      <c r="EC24" s="7">
        <v>0</v>
      </c>
      <c r="ED24" s="7">
        <v>0</v>
      </c>
      <c r="EE24" s="7">
        <v>0</v>
      </c>
      <c r="EF24" s="7">
        <v>0</v>
      </c>
      <c r="EG24" s="7">
        <v>0</v>
      </c>
      <c r="EH24" s="7">
        <v>6.3572295757554232E-3</v>
      </c>
      <c r="EI24" s="7">
        <v>1.777700259799812E-2</v>
      </c>
      <c r="EJ24" s="7">
        <v>0.1420321620381661</v>
      </c>
      <c r="EK24" s="7">
        <v>0.62084194566759621</v>
      </c>
      <c r="EL24" s="7">
        <v>0.21299166012048412</v>
      </c>
      <c r="EM24" s="7">
        <v>7.3780920583662896E-2</v>
      </c>
      <c r="EN24" s="7">
        <v>6.8188369628724668E-2</v>
      </c>
      <c r="EO24" s="7">
        <v>0.80911712563793492</v>
      </c>
      <c r="EP24" s="7">
        <v>5.0498099297598201E-2</v>
      </c>
      <c r="EQ24" s="7">
        <v>4.6559029468164731E-2</v>
      </c>
      <c r="ER24" s="7">
        <v>2.5637375967577602E-2</v>
      </c>
      <c r="ES24" s="7">
        <v>0.28231712636051137</v>
      </c>
      <c r="ET24" s="7">
        <v>0.3560980469441743</v>
      </c>
      <c r="EU24" s="6">
        <v>1410.5</v>
      </c>
      <c r="EV24" s="6">
        <v>0</v>
      </c>
      <c r="EW24" s="6">
        <v>1410.5</v>
      </c>
      <c r="EX24" s="6">
        <v>0</v>
      </c>
      <c r="EY24" s="6">
        <v>2837.6536960925619</v>
      </c>
      <c r="EZ24" s="6">
        <v>3288.25</v>
      </c>
      <c r="FA24" s="6">
        <v>0</v>
      </c>
      <c r="FB24" s="6">
        <v>0</v>
      </c>
      <c r="FC24" s="6">
        <v>0</v>
      </c>
      <c r="FD24" s="6">
        <v>0</v>
      </c>
      <c r="FE24" s="6">
        <v>0</v>
      </c>
      <c r="FF24" s="6">
        <v>0</v>
      </c>
      <c r="FG24" s="6">
        <v>0</v>
      </c>
      <c r="FH24" s="6">
        <v>1171.9500654534866</v>
      </c>
      <c r="FI24" s="6">
        <v>1553.9796069512395</v>
      </c>
      <c r="FJ24" s="6">
        <v>2101.211011744741</v>
      </c>
      <c r="FK24" s="6">
        <v>2674.2006261592264</v>
      </c>
      <c r="FL24" s="6">
        <v>2034.7405995769211</v>
      </c>
      <c r="FM24" s="6">
        <v>2427.1536960925619</v>
      </c>
      <c r="FN24" s="6">
        <v>0</v>
      </c>
      <c r="FO24" s="6">
        <v>0</v>
      </c>
      <c r="FP24" s="6">
        <v>0</v>
      </c>
      <c r="FQ24" s="6">
        <v>0</v>
      </c>
      <c r="FR24" s="6">
        <v>0</v>
      </c>
      <c r="FS24" s="6">
        <v>0</v>
      </c>
      <c r="FT24" s="7">
        <v>0.64390195305582576</v>
      </c>
      <c r="FU24" s="7">
        <v>7.3780920583662896E-2</v>
      </c>
      <c r="FV24" s="7">
        <v>0.28231712636051137</v>
      </c>
      <c r="FW24" s="519">
        <v>1410.5</v>
      </c>
      <c r="FX24" s="519">
        <v>2837.6536960925619</v>
      </c>
      <c r="FY24" s="519">
        <v>3288.25</v>
      </c>
      <c r="FZ24" s="6">
        <v>1877.610362934483</v>
      </c>
      <c r="GA24" s="6">
        <v>2045.9176975355367</v>
      </c>
      <c r="GB24" s="6">
        <v>17939.082302464463</v>
      </c>
      <c r="GC24" s="7">
        <v>2.9156573141622111E-2</v>
      </c>
      <c r="GD24" s="7">
        <v>3.0133031824839264E-2</v>
      </c>
      <c r="GE24" s="7"/>
      <c r="GF24" s="7"/>
      <c r="GG24" s="7">
        <v>3.3490173158354494E-2</v>
      </c>
      <c r="GH24" s="42">
        <v>3.9766603883080216</v>
      </c>
      <c r="GI24" s="6">
        <v>7071.4914324108822</v>
      </c>
      <c r="GJ24" s="14">
        <v>0.50394797582841711</v>
      </c>
      <c r="GK24" s="14">
        <v>0.50887573065309744</v>
      </c>
      <c r="GL24" s="14">
        <v>0.49605202417158273</v>
      </c>
      <c r="GM24" s="14">
        <v>0.49112426934690251</v>
      </c>
      <c r="GO24" s="5">
        <v>343.14810671672558</v>
      </c>
      <c r="GP24" s="5">
        <v>316.23845756186267</v>
      </c>
      <c r="GQ24" s="5">
        <v>535.04305713031317</v>
      </c>
      <c r="GR24" s="5">
        <v>410.15490233172511</v>
      </c>
      <c r="GS24" s="5">
        <v>339.42744393800166</v>
      </c>
      <c r="GT24" s="5">
        <v>293.4407446948278</v>
      </c>
      <c r="GU24" s="5">
        <v>258.04012322764959</v>
      </c>
      <c r="GV24" s="39" t="s">
        <v>392</v>
      </c>
      <c r="GW24" s="5">
        <v>488.22222222222223</v>
      </c>
      <c r="GX24" s="5">
        <v>366.16666666666669</v>
      </c>
      <c r="GY24" s="5">
        <v>292.93333333333334</v>
      </c>
      <c r="GZ24" s="5">
        <v>244.11111111111111</v>
      </c>
      <c r="HA24" s="5">
        <v>223.62613151023945</v>
      </c>
      <c r="HB24" s="39">
        <v>250.40395937965451</v>
      </c>
      <c r="HC24" s="5">
        <v>143.42343749999998</v>
      </c>
      <c r="HD24" s="5">
        <v>141.61459247076021</v>
      </c>
      <c r="HE24" s="5">
        <v>149.79824350539809</v>
      </c>
      <c r="HF24" s="5">
        <v>144.86797423245611</v>
      </c>
      <c r="HG24" s="5">
        <v>147.6065899122807</v>
      </c>
      <c r="HH24" s="39">
        <v>142.45628687529816</v>
      </c>
      <c r="HI24" s="16"/>
      <c r="HJ24" s="1">
        <f>INDEX(Input!$1:$1048576,HJ$10,$C24*2+6)</f>
        <v>0.3161490683229814</v>
      </c>
      <c r="HK24" s="1">
        <f>INDEX(Input!$1:$1048576,HK$10,$C24*2+6)</f>
        <v>0.52422360248447208</v>
      </c>
      <c r="HL24" s="1">
        <f>INDEX(Input!$1:$1048576,HL$10,$C24*2+6)</f>
        <v>0.15962732919254657</v>
      </c>
      <c r="HM24" s="19"/>
    </row>
    <row r="25" spans="1:221" s="26" customFormat="1" ht="15.75" thickBot="1">
      <c r="A25" s="117">
        <f t="shared" si="43"/>
        <v>3003</v>
      </c>
      <c r="B25" s="117">
        <f t="shared" si="42"/>
        <v>3</v>
      </c>
      <c r="C25" s="117">
        <f t="shared" si="14"/>
        <v>3</v>
      </c>
      <c r="D25" s="117" t="s">
        <v>568</v>
      </c>
      <c r="E25" s="115">
        <f>INDEX(Input!$1:$1048576,E$10,$C25*2+6)</f>
        <v>1000</v>
      </c>
      <c r="F25" s="115">
        <f>INDEX(Input!$1:$1048576,F$10,$C25*2+6)</f>
        <v>0</v>
      </c>
      <c r="G25" s="115">
        <f>INDEX(Input!$1:$1048576,G$10,$C25*2+6)</f>
        <v>0</v>
      </c>
      <c r="H25" s="115">
        <f>INDEX(Input!$1:$1048576,H$10,$C25*2+6)</f>
        <v>0</v>
      </c>
      <c r="I25" s="118">
        <f>INDEX(Input!$1:$1048576,I$10,$C25*2+6)</f>
        <v>0.7</v>
      </c>
      <c r="J25" s="118" t="str">
        <f>INDEX(Input!$1:$1048576,J$10,$C25*2+6)</f>
        <v>Market</v>
      </c>
      <c r="K25" s="118" t="str">
        <f>INDEX(Input!$1:$1048576,K$10,$C25*2+6)</f>
        <v>Market</v>
      </c>
      <c r="L25" s="118" t="str">
        <f>INDEX(Input!$1:$1048576,L$10,$C25*2+6)</f>
        <v>Market</v>
      </c>
      <c r="M25" s="118" t="str">
        <f>INDEX(Input!$1:$1048576,M$10,$C25*2+6)</f>
        <v>Market</v>
      </c>
      <c r="N25" s="118" t="str">
        <f>INDEX(Input!$1:$1048576,N$10,$C25*2+6)</f>
        <v>Market</v>
      </c>
      <c r="O25" s="118" t="str">
        <f>INDEX(Input!$1:$1048576,O$10,$C25*2+6)</f>
        <v>Market</v>
      </c>
      <c r="P25" s="118" t="str">
        <f>INDEX(Input!$1:$1048576,P$10,$C25*2+6)</f>
        <v>N</v>
      </c>
      <c r="Q25" s="30">
        <f>INDEX(Input!$1:$1048576,Q$10,$C25*2+6)</f>
        <v>0</v>
      </c>
      <c r="R25" s="383">
        <f>INDEX(Input!$1:$1048576,R$10,$C25*2+6)</f>
        <v>0</v>
      </c>
      <c r="S25" s="383">
        <f>INDEX(Input!$1:$1048576,S$10,$C25*2+6)</f>
        <v>0</v>
      </c>
      <c r="T25" s="383">
        <f>INDEX(Input!$1:$1048576,T$10,$C25*2+6)</f>
        <v>0</v>
      </c>
      <c r="U25" s="383">
        <f>INDEX(Input!$1:$1048576,U$10,$C25*2+6)</f>
        <v>0</v>
      </c>
      <c r="V25" s="383">
        <f>INDEX(Input!$1:$1048576,V$10,$C25*2+6)</f>
        <v>1.9E-2</v>
      </c>
      <c r="W25" s="383">
        <f>INDEX(Input!$1:$1048576,W$10,$C25*2+6)</f>
        <v>3.9E-2</v>
      </c>
      <c r="X25" s="118" t="str">
        <f>INDEX(Input!$1:$1048576,X$10,$C25*2+6)</f>
        <v>Y</v>
      </c>
      <c r="Y25" s="520">
        <f>MIN(BX25*10%,4000)+Y24</f>
        <v>4996.25</v>
      </c>
      <c r="Z25" s="30">
        <f>INDEX(Input!$1:$1048576,Z$10,$C25*2+6)</f>
        <v>0</v>
      </c>
      <c r="AA25" s="115">
        <f>INDEX(Input!$1:$1048576,AA$10,$C25*2+6)</f>
        <v>1000</v>
      </c>
      <c r="AB25" s="118">
        <f>INDEX(Input!$1:$1048576,AB$10,$C25*2+6)</f>
        <v>0.27</v>
      </c>
      <c r="AC25" s="115">
        <f>INDEX(Input!$1:$1048576,AC$10,$C25*2+6)</f>
        <v>1000</v>
      </c>
      <c r="AD25" s="118">
        <f>INDEX(Input!$1:$1048576,AD$10,$C25*2+6)</f>
        <v>0.27</v>
      </c>
      <c r="AE25" s="115">
        <f>INDEX(Input!$1:$1048576,AE$10,$C25*2+6)</f>
        <v>500</v>
      </c>
      <c r="AF25" s="118">
        <f>INDEX(Input!$1:$1048576,AF$10,$C25*2+6)</f>
        <v>0.68200000000000005</v>
      </c>
      <c r="AG25" s="115">
        <f>INDEX(Input!$1:$1048576,AG$10,$C25*2+6)</f>
        <v>0</v>
      </c>
      <c r="AH25" s="118">
        <f>INDEX(Input!$1:$1048576,AH$10,$C25*2+6)</f>
        <v>1</v>
      </c>
      <c r="AI25" s="115">
        <f>INDEX(Input!$1:$1048576,AI$10,$C25*2+6)</f>
        <v>0</v>
      </c>
      <c r="AJ25" s="118">
        <f>INDEX(Input!$1:$1048576,AJ$10,$C25*2+6)</f>
        <v>0.27</v>
      </c>
      <c r="AK25" s="150">
        <f>INDEX(Input!$1:$1048576,AK$10,$C24*2+6)+(Y25-VLOOKUP($C25*1000+1,$A:$HH,Y$9,FALSE))</f>
        <v>7380.7164157747857</v>
      </c>
      <c r="AL25" s="150">
        <f>INDEX(Input!$1:$1048576,AL$10,$C24*2+6)-(Y25-VLOOKUP($C25*1000+1,$A:$HH,Y$9,FALSE))/36</f>
        <v>3272.6886379970078</v>
      </c>
      <c r="AM25" s="32" t="str">
        <f t="shared" si="44"/>
        <v>std/std/std/std</v>
      </c>
      <c r="AN25" s="32" t="str">
        <f t="shared" si="45"/>
        <v>$0 + 0/0/0/1.9/3.9</v>
      </c>
      <c r="AO25" s="32" t="str">
        <f t="shared" si="46"/>
        <v>0/0/0/1.9/3.9</v>
      </c>
      <c r="AP25" s="32" t="str">
        <f t="shared" si="47"/>
        <v>0/0/1.9/3.9</v>
      </c>
      <c r="AQ25" s="150">
        <f t="shared" si="19"/>
        <v>611</v>
      </c>
      <c r="AR25" s="32" t="str">
        <f t="shared" si="20"/>
        <v>0/1.9</v>
      </c>
      <c r="AS25" s="302"/>
      <c r="AT25" s="3">
        <f t="shared" si="21"/>
        <v>9</v>
      </c>
      <c r="AU25" s="41" t="s">
        <v>121</v>
      </c>
      <c r="AV25" s="41" t="s">
        <v>116</v>
      </c>
      <c r="AW25" s="41" t="str">
        <f>INDEX(Input!$1:$1048576,AW$10,$C25*2+6)</f>
        <v>Kia</v>
      </c>
      <c r="AX25" s="41" t="str">
        <f>INDEX(Input!$1:$1048576,AX$10,$C25*2+6)</f>
        <v>Kia-LR - L3</v>
      </c>
      <c r="AY25" s="41" t="str">
        <f>IF(D25="Skip","",INDEX(Input!$1:$1048576,AY$10,$C25*2+6))</f>
        <v>Compact SUV (52)</v>
      </c>
      <c r="AZ25" s="41" t="str">
        <f>INDEX(Input!$1:$1048576,AZ$10,$C25*2+6)</f>
        <v>Kia Soul</v>
      </c>
      <c r="BA25" s="3">
        <f>INDEX(Input!$1:$1048576,BA$10,$C25*2+6)</f>
        <v>2020</v>
      </c>
      <c r="BB25" s="128">
        <f>INDEX(Input!$1:$1048576,BB$10,$C25*2+6)</f>
        <v>1</v>
      </c>
      <c r="BC25" s="128">
        <f>INDEX(Input!$1:$1048576,BC$10,$C25*2+6)</f>
        <v>0.7</v>
      </c>
      <c r="BD25" s="1">
        <f>INDEX(Input!$1:$1048576,BD$10,$C25*2+6)</f>
        <v>4.4999999999999998E-2</v>
      </c>
      <c r="BE25" s="1">
        <f>INDEX(Input!$1:$1048576,BE$10,$C25*2+6)</f>
        <v>4.4999999999999998E-2</v>
      </c>
      <c r="BF25" s="1">
        <f>INDEX(Input!$1:$1048576,BF$10,$C25*2+6)</f>
        <v>0.05</v>
      </c>
      <c r="BG25" s="1">
        <f>INDEX(Input!$1:$1048576,BG$10,$C25*2+6)</f>
        <v>5.45E-2</v>
      </c>
      <c r="BH25" s="1">
        <f>INDEX(Input!$1:$1048576,BH$10,$C25*2+6)</f>
        <v>5.45E-2</v>
      </c>
      <c r="BI25" s="1">
        <f>INDEX(Input!$1:$1048576,BI$10,$C25*2+6)</f>
        <v>0.05</v>
      </c>
      <c r="BJ25" s="1">
        <f>INDEX(Input!$1:$1048576,BJ$10,$C25*2+6)</f>
        <v>0.05</v>
      </c>
      <c r="BK25" s="1">
        <f>INDEX(Input!$1:$1048576,BK$10,$C25*2+6)</f>
        <v>0.05</v>
      </c>
      <c r="BL25" s="1">
        <f>INDEX(Input!$1:$1048576,BL$10,$C25*2+6)</f>
        <v>5.5E-2</v>
      </c>
      <c r="BM25" s="1">
        <f>INDEX(Input!$1:$1048576,BM$10,$C25*2+6)</f>
        <v>0.06</v>
      </c>
      <c r="BN25" s="1">
        <f>INDEX(Input!$1:$1048576,BN$10,$C25*2+6)</f>
        <v>4.4999999999999998E-2</v>
      </c>
      <c r="BO25" s="1">
        <f>INDEX(Input!$1:$1048576,BO$10,$C25*2+6)</f>
        <v>4.4999999999999998E-2</v>
      </c>
      <c r="BP25" s="1">
        <f>INDEX(Input!$1:$1048576,BP$10,$C25*2+6)</f>
        <v>0.05</v>
      </c>
      <c r="BQ25" s="1">
        <f>INDEX(Input!$1:$1048576,BQ$10,$C25*2+6)</f>
        <v>5.45E-2</v>
      </c>
      <c r="BR25" s="1">
        <f>INDEX(Input!$1:$1048576,BR$10,$C25*2+6)</f>
        <v>5.45E-2</v>
      </c>
      <c r="BS25" s="1">
        <f>INDEX(Input!$1:$1048576,BS$10,$C25*2+6)</f>
        <v>0.05</v>
      </c>
      <c r="BT25" s="1">
        <f>INDEX(Input!$1:$1048576,BT$10,$C25*2+6)</f>
        <v>0.05</v>
      </c>
      <c r="BU25" s="1">
        <f>INDEX(Input!$1:$1048576,BU$10,$C25*2+6)</f>
        <v>0.05</v>
      </c>
      <c r="BV25" s="1">
        <f>INDEX(Input!$1:$1048576,BV$10,$C25*2+6)</f>
        <v>5.5E-2</v>
      </c>
      <c r="BW25" s="1">
        <f>INDEX(Input!$1:$1048576,BW$10,$C25*2+6)</f>
        <v>0.06</v>
      </c>
      <c r="BX25" s="304">
        <f>INDEX(Input!$1:$1048576,BX$10,$C25*2+6)</f>
        <v>19985</v>
      </c>
      <c r="BY25" s="20">
        <f>INDEX(Input!$1:$1048576,BY$10,$C25*2+6)</f>
        <v>0.1</v>
      </c>
      <c r="BZ25" s="20">
        <f>INDEX(Input!$1:$1048576,BZ$10,$C25*2+6)</f>
        <v>0.1</v>
      </c>
      <c r="CA25" s="20">
        <f>INDEX(Input!$1:$1048576,CA$10,$C25*2+6)</f>
        <v>0.1</v>
      </c>
      <c r="CB25" s="20">
        <f>INDEX(Input!$1:$1048576,CB$10,$C25*2+6)</f>
        <v>0.1</v>
      </c>
      <c r="CC25" s="20">
        <f>INDEX(Input!$1:$1048576,CC$10,$C25*2+6)</f>
        <v>0.1</v>
      </c>
      <c r="CD25" s="384">
        <f>INDEX(Input!$1:$1048576,CD$10,$C25*2+6)</f>
        <v>0.1</v>
      </c>
      <c r="CE25" s="384">
        <f>INDEX(Input!$1:$1048576,CE$10,$C25*2+6)</f>
        <v>0.1</v>
      </c>
      <c r="CF25" s="384">
        <f>INDEX(Input!$1:$1048576,CF$10,$C25*2+6)</f>
        <v>0.1</v>
      </c>
      <c r="CG25" s="384">
        <f>INDEX(Input!$1:$1048576,CG$10,$C25*2+6)</f>
        <v>0.1</v>
      </c>
      <c r="CH25" s="384">
        <f>INDEX(Input!$1:$1048576,CH$10,$C25*2+6)</f>
        <v>0.1</v>
      </c>
      <c r="CI25" s="304">
        <f t="shared" si="22"/>
        <v>1270</v>
      </c>
      <c r="CJ25" s="16" t="str">
        <f>INDEX(Input!$1:$1048576,CJ$10,$C25*2+6)</f>
        <v>N</v>
      </c>
      <c r="CK25" s="1" t="str">
        <f t="shared" si="23"/>
        <v>Market</v>
      </c>
      <c r="CL25" s="1" t="str">
        <f t="shared" si="24"/>
        <v>Market</v>
      </c>
      <c r="CM25" s="1" t="str">
        <f t="shared" si="25"/>
        <v>Market</v>
      </c>
      <c r="CN25" s="1" t="str">
        <f t="shared" si="26"/>
        <v>Market</v>
      </c>
      <c r="CO25" s="1" t="str">
        <f t="shared" si="27"/>
        <v>Market</v>
      </c>
      <c r="CP25" s="304">
        <f t="shared" si="28"/>
        <v>0</v>
      </c>
      <c r="CQ25" s="1">
        <f t="shared" si="29"/>
        <v>0</v>
      </c>
      <c r="CR25" s="1">
        <f t="shared" si="30"/>
        <v>0</v>
      </c>
      <c r="CS25" s="1">
        <f t="shared" si="31"/>
        <v>0</v>
      </c>
      <c r="CT25" s="1">
        <f t="shared" si="32"/>
        <v>0</v>
      </c>
      <c r="CU25" s="1">
        <f t="shared" si="33"/>
        <v>1.9E-2</v>
      </c>
      <c r="CV25" s="304">
        <f t="shared" si="34"/>
        <v>5266.25</v>
      </c>
      <c r="CW25" s="20" t="s">
        <v>122</v>
      </c>
      <c r="CX25" s="20" t="s">
        <v>122</v>
      </c>
      <c r="CY25" s="20" t="s">
        <v>122</v>
      </c>
      <c r="CZ25" s="20" t="s">
        <v>122</v>
      </c>
      <c r="DA25" s="20" t="s">
        <v>122</v>
      </c>
      <c r="DB25" s="503">
        <f t="shared" si="35"/>
        <v>341</v>
      </c>
      <c r="DC25" s="127">
        <v>0</v>
      </c>
      <c r="DD25" s="127">
        <v>0</v>
      </c>
      <c r="DE25" s="127">
        <v>0</v>
      </c>
      <c r="DF25" s="127">
        <v>0</v>
      </c>
      <c r="DG25" s="127">
        <v>0</v>
      </c>
      <c r="DH25" s="127">
        <v>0</v>
      </c>
      <c r="DI25" s="127">
        <v>0</v>
      </c>
      <c r="DJ25" s="127">
        <v>0</v>
      </c>
      <c r="DK25" s="127">
        <v>0</v>
      </c>
      <c r="DL25" s="127">
        <v>0</v>
      </c>
      <c r="DM25" s="304">
        <f>INDEX(Input!$1:$1048576,DM$10,$C25*2+6)</f>
        <v>21036.84210526316</v>
      </c>
      <c r="DN25" s="20">
        <v>0</v>
      </c>
      <c r="DO25" s="20">
        <v>0</v>
      </c>
      <c r="DP25" s="20">
        <v>0</v>
      </c>
      <c r="DQ25" s="20">
        <v>0</v>
      </c>
      <c r="DR25" s="20">
        <v>0</v>
      </c>
      <c r="DS25" s="20">
        <f>INDEX(Input!$1:$1048576,DS$10,$C25*2+6)</f>
        <v>0.6</v>
      </c>
      <c r="DT25" s="20">
        <f>INDEX(Input!$1:$1048576,DT$10,$C25*2+6)</f>
        <v>0.55000000000000004</v>
      </c>
      <c r="DU25" s="20">
        <f>INDEX(Input!$1:$1048576,DU$10,$C25*2+6)</f>
        <v>0.52</v>
      </c>
      <c r="DV25" s="20">
        <f>INDEX(Input!$1:$1048576,DV$10,$C25*2+6)</f>
        <v>0.5</v>
      </c>
      <c r="DW25" s="20">
        <f>INDEX(Input!$1:$1048576,DW$10,$C25*2+6)</f>
        <v>0.45</v>
      </c>
      <c r="DX25" s="20"/>
      <c r="DY25" s="7">
        <v>3.4279490027740632E-2</v>
      </c>
      <c r="DZ25" s="7">
        <v>0</v>
      </c>
      <c r="EA25" s="7">
        <v>0.25077030667742278</v>
      </c>
      <c r="EB25" s="7">
        <v>0</v>
      </c>
      <c r="EC25" s="7">
        <v>0</v>
      </c>
      <c r="ED25" s="7">
        <v>0</v>
      </c>
      <c r="EE25" s="7">
        <v>0</v>
      </c>
      <c r="EF25" s="7">
        <v>0</v>
      </c>
      <c r="EG25" s="7">
        <v>0</v>
      </c>
      <c r="EH25" s="7">
        <v>6.3291733796311221E-3</v>
      </c>
      <c r="EI25" s="7">
        <v>1.7639501386792416E-2</v>
      </c>
      <c r="EJ25" s="7">
        <v>0.13822854979081281</v>
      </c>
      <c r="EK25" s="7">
        <v>0.62220261344323846</v>
      </c>
      <c r="EL25" s="7">
        <v>0.21560016199952531</v>
      </c>
      <c r="EM25" s="7">
        <v>3.074446475083471E-2</v>
      </c>
      <c r="EN25" s="7">
        <v>8.8479878079582075E-2</v>
      </c>
      <c r="EO25" s="7">
        <v>0.85229888831574729</v>
      </c>
      <c r="EP25" s="7">
        <v>2.481512333223428E-2</v>
      </c>
      <c r="EQ25" s="7">
        <v>2.1572077724341023E-2</v>
      </c>
      <c r="ER25" s="7">
        <v>1.2834032548095516E-2</v>
      </c>
      <c r="ES25" s="7">
        <v>0.6842057385440018</v>
      </c>
      <c r="ET25" s="7">
        <v>0.71495020329483661</v>
      </c>
      <c r="EU25" s="6">
        <v>1410.5</v>
      </c>
      <c r="EV25" s="6">
        <v>0</v>
      </c>
      <c r="EW25" s="6">
        <v>1410.5</v>
      </c>
      <c r="EX25" s="6">
        <v>0</v>
      </c>
      <c r="EY25" s="6">
        <v>2838.360385452806</v>
      </c>
      <c r="EZ25" s="6">
        <v>5286.75</v>
      </c>
      <c r="FA25" s="6">
        <v>0</v>
      </c>
      <c r="FB25" s="6">
        <v>0</v>
      </c>
      <c r="FC25" s="6">
        <v>0</v>
      </c>
      <c r="FD25" s="6">
        <v>0</v>
      </c>
      <c r="FE25" s="6">
        <v>0</v>
      </c>
      <c r="FF25" s="6">
        <v>0</v>
      </c>
      <c r="FG25" s="6">
        <v>0</v>
      </c>
      <c r="FH25" s="6">
        <v>1171.8098485400317</v>
      </c>
      <c r="FI25" s="6">
        <v>1553.9796069512399</v>
      </c>
      <c r="FJ25" s="6">
        <v>2101.2110117447405</v>
      </c>
      <c r="FK25" s="6">
        <v>2674.2006261592269</v>
      </c>
      <c r="FL25" s="6">
        <v>2034.7405995769216</v>
      </c>
      <c r="FM25" s="6">
        <v>2427.860385452806</v>
      </c>
      <c r="FN25" s="6">
        <v>0</v>
      </c>
      <c r="FO25" s="6">
        <v>0</v>
      </c>
      <c r="FP25" s="6">
        <v>0</v>
      </c>
      <c r="FQ25" s="6">
        <v>0</v>
      </c>
      <c r="FR25" s="6">
        <v>0</v>
      </c>
      <c r="FS25" s="6">
        <v>0</v>
      </c>
      <c r="FT25" s="7">
        <v>0.28504979670516339</v>
      </c>
      <c r="FU25" s="7">
        <v>3.074446475083471E-2</v>
      </c>
      <c r="FV25" s="7">
        <v>0.6842057385440018</v>
      </c>
      <c r="FW25" s="519">
        <v>1410.5000000000002</v>
      </c>
      <c r="FX25" s="519">
        <v>2838.360385452806</v>
      </c>
      <c r="FY25" s="519">
        <v>5286.75</v>
      </c>
      <c r="FZ25" s="6">
        <v>1877.610362934483</v>
      </c>
      <c r="GA25" s="6">
        <v>4106.5512973208542</v>
      </c>
      <c r="GB25" s="6">
        <v>15878.448702679147</v>
      </c>
      <c r="GC25" s="7">
        <v>2.9156573141622111E-2</v>
      </c>
      <c r="GD25" s="7">
        <v>3.6247776962588268E-2</v>
      </c>
      <c r="GE25" s="7"/>
      <c r="GF25" s="7"/>
      <c r="GG25" s="7">
        <v>0.24321115470333499</v>
      </c>
      <c r="GH25" s="42">
        <v>2.1806656478693407</v>
      </c>
      <c r="GI25" s="6">
        <v>13271.184132953735</v>
      </c>
      <c r="GJ25" s="14">
        <v>0.50394797582841744</v>
      </c>
      <c r="GK25" s="14">
        <v>0.50887573065309766</v>
      </c>
      <c r="GL25" s="14">
        <v>0.49605202417158278</v>
      </c>
      <c r="GM25" s="14">
        <v>0.49112426934690251</v>
      </c>
      <c r="GO25" s="5">
        <v>343.14810671672558</v>
      </c>
      <c r="GP25" s="5">
        <v>316.23845756186267</v>
      </c>
      <c r="GQ25" s="5">
        <v>535.04305713031317</v>
      </c>
      <c r="GR25" s="5">
        <v>410.15490233172511</v>
      </c>
      <c r="GS25" s="5">
        <v>339.42744393800166</v>
      </c>
      <c r="GT25" s="5">
        <v>293.4407446948278</v>
      </c>
      <c r="GU25" s="5">
        <v>258.04012322764959</v>
      </c>
      <c r="GV25" s="39" t="s">
        <v>392</v>
      </c>
      <c r="GW25" s="5">
        <v>488.22222222222223</v>
      </c>
      <c r="GX25" s="5">
        <v>366.16666666666669</v>
      </c>
      <c r="GY25" s="5">
        <v>292.93333333333334</v>
      </c>
      <c r="GZ25" s="5">
        <v>244.11111111111111</v>
      </c>
      <c r="HA25" s="5">
        <v>223.62613151023945</v>
      </c>
      <c r="HB25" s="39">
        <v>250.14119185355338</v>
      </c>
      <c r="HC25" s="5">
        <v>55.989062499999982</v>
      </c>
      <c r="HD25" s="5">
        <v>81.937161915204641</v>
      </c>
      <c r="HE25" s="5">
        <v>94.391112095141665</v>
      </c>
      <c r="HF25" s="5">
        <v>98.652661732456124</v>
      </c>
      <c r="HG25" s="5">
        <v>109.30200657894736</v>
      </c>
      <c r="HH25" s="39">
        <v>80.662112920586139</v>
      </c>
      <c r="HI25" s="16"/>
      <c r="HJ25" s="1">
        <f>INDEX(Input!$1:$1048576,HJ$10,$C25*2+6)</f>
        <v>0.3161490683229814</v>
      </c>
      <c r="HK25" s="1">
        <f>INDEX(Input!$1:$1048576,HK$10,$C25*2+6)</f>
        <v>0.52422360248447208</v>
      </c>
      <c r="HL25" s="1">
        <f>INDEX(Input!$1:$1048576,HL$10,$C25*2+6)</f>
        <v>0.15962732919254657</v>
      </c>
      <c r="HM25" s="19"/>
    </row>
    <row r="26" spans="1:221" s="60" customFormat="1" ht="15.75" thickBot="1">
      <c r="A26" s="31">
        <f>C26*1000+B26</f>
        <v>4001</v>
      </c>
      <c r="B26" s="31">
        <f t="shared" ref="B26:B28" si="48">IF(D26="Baseline1",1,B25+1)</f>
        <v>1</v>
      </c>
      <c r="C26" s="508">
        <v>4</v>
      </c>
      <c r="D26" s="31" t="s">
        <v>566</v>
      </c>
      <c r="E26" s="365">
        <f>INDEX(Input!$1:$1048576,E$10,$C26*2+MIN($B26,2)+5)</f>
        <v>1000</v>
      </c>
      <c r="F26" s="366">
        <f>INDEX(Input!$1:$1048576,F$10,$C26*2+MIN($B26,2)+5)</f>
        <v>0</v>
      </c>
      <c r="G26" s="49">
        <f>INDEX(Input!$1:$1048576,G$10,$C26*2+MIN($B26,2)+5)</f>
        <v>0</v>
      </c>
      <c r="H26" s="49">
        <f>INDEX(Input!$1:$1048576,H$10,$C26*2+MIN($B26,2)+5)</f>
        <v>0</v>
      </c>
      <c r="I26" s="367">
        <f>INDEX(Input!$1:$1048576,I$10,$C26*2+MIN($B26,2)+5)</f>
        <v>0.7</v>
      </c>
      <c r="J26" s="367" t="str">
        <f>INDEX(Input!$1:$1048576,J$10,$C26*2+MIN($B26,2)+5)</f>
        <v>Market</v>
      </c>
      <c r="K26" s="367" t="str">
        <f>INDEX(Input!$1:$1048576,K$10,$C26*2+MIN($B26,2)+5)</f>
        <v>Market</v>
      </c>
      <c r="L26" s="367" t="str">
        <f>INDEX(Input!$1:$1048576,L$10,$C26*2+MIN($B26,2)+5)</f>
        <v>Market</v>
      </c>
      <c r="M26" s="367" t="str">
        <f>INDEX(Input!$1:$1048576,M$10,$C26*2+MIN($B26,2)+5)</f>
        <v>Market</v>
      </c>
      <c r="N26" s="367" t="str">
        <f>INDEX(Input!$1:$1048576,N$10,$C26*2+MIN($B26,2)+5)</f>
        <v>Market</v>
      </c>
      <c r="O26" s="367" t="str">
        <f>INDEX(Input!$1:$1048576,O$10,$C26*2+MIN($B26,2)+5)</f>
        <v>Market</v>
      </c>
      <c r="P26" s="367" t="str">
        <f>INDEX(Input!$1:$1048576,P$10,$C26*2+MIN($B26,2)+5)</f>
        <v>N</v>
      </c>
      <c r="Q26" s="47">
        <f>INDEX(Input!$1:$1048576,Q$10,$C26*2+MIN($B26,2)+5)</f>
        <v>0</v>
      </c>
      <c r="R26" s="38">
        <f>INDEX(Input!$1:$1048576,R$10,$C26*2+MIN($B26,2)+5)</f>
        <v>0</v>
      </c>
      <c r="S26" s="38">
        <f>INDEX(Input!$1:$1048576,S$10,$C26*2+MIN($B26,2)+5)</f>
        <v>0</v>
      </c>
      <c r="T26" s="38">
        <f>INDEX(Input!$1:$1048576,T$10,$C26*2+MIN($B26,2)+5)</f>
        <v>0</v>
      </c>
      <c r="U26" s="38">
        <f>INDEX(Input!$1:$1048576,U$10,$C26*2+MIN($B26,2)+5)</f>
        <v>0</v>
      </c>
      <c r="V26" s="38">
        <f>INDEX(Input!$1:$1048576,V$10,$C26*2+MIN($B26,2)+5)</f>
        <v>1.9E-2</v>
      </c>
      <c r="W26" s="38">
        <f>INDEX(Input!$1:$1048576,W$10,$C26*2+MIN($B26,2)+5)</f>
        <v>3.9E-2</v>
      </c>
      <c r="X26" s="367" t="str">
        <f>INDEX(Input!$1:$1048576,X$10,$C26*2+MIN($B26,2)+5)</f>
        <v>Y</v>
      </c>
      <c r="Y26" s="517">
        <f>MIN(BX26*5%,2000)</f>
        <v>999.25</v>
      </c>
      <c r="Z26" s="49">
        <f>INDEX(Input!$1:$1048576,Z$10,$C26*2+MIN($B26,2)+5)</f>
        <v>0</v>
      </c>
      <c r="AA26" s="49">
        <f>INDEX(Input!$1:$1048576,AA$10,$C26*2+MIN($B26,2)+5)</f>
        <v>1000</v>
      </c>
      <c r="AB26" s="367">
        <f>INDEX(Input!$1:$1048576,AB$10,$C26*2+MIN($B26,2)+5)</f>
        <v>0.27</v>
      </c>
      <c r="AC26" s="49">
        <f>INDEX(Input!$1:$1048576,AC$10,$C26*2+MIN($B26,2)+5)</f>
        <v>1000</v>
      </c>
      <c r="AD26" s="367">
        <f>INDEX(Input!$1:$1048576,AD$10,$C26*2+MIN($B26,2)+5)</f>
        <v>0.27</v>
      </c>
      <c r="AE26" s="49">
        <f>INDEX(Input!$1:$1048576,AE$10,$C26*2+MIN($B26,2)+5)</f>
        <v>500</v>
      </c>
      <c r="AF26" s="367">
        <f>INDEX(Input!$1:$1048576,AF$10,$C26*2+MIN($B26,2)+5)</f>
        <v>1</v>
      </c>
      <c r="AG26" s="49">
        <f>INDEX(Input!$1:$1048576,AG$10,$C26*2+MIN($B26,2)+5)</f>
        <v>0</v>
      </c>
      <c r="AH26" s="367">
        <f>INDEX(Input!$1:$1048576,AH$10,$C26*2+MIN($B26,2)+5)</f>
        <v>0.83199999999999996</v>
      </c>
      <c r="AI26" s="49">
        <f>INDEX(Input!$1:$1048576,AI$10,$C26*2+MIN($B26,2)+5)</f>
        <v>0</v>
      </c>
      <c r="AJ26" s="367">
        <f>INDEX(Input!$1:$1048576,AJ$10,$C26*2+MIN($B26,2)+5)</f>
        <v>0.27</v>
      </c>
      <c r="AK26" s="298">
        <f>INDEX(Input!$1:$1048576,AK$10,$C26*2+MIN($B26,2)+5)</f>
        <v>3383.7164157747852</v>
      </c>
      <c r="AL26" s="49">
        <f>INDEX(Input!$1:$1048576,AL$10,$C26*2+MIN($B26,2)+5)</f>
        <v>3383.7164157747852</v>
      </c>
      <c r="AM26" s="46" t="str">
        <f>IF(K26="market","std",ROUND(K26*1000,0)/10)&amp;"/"&amp;IF(L26="market","std",ROUND(L26*1000,0)/10)&amp;"/"&amp;IF(M26="market","std",ROUND(M26*1000,0)/10)&amp;"/"&amp;IF(N26="market","std",ROUND(N26*1000,0)/10)&amp;IF(P26="N","","/"&amp;IF(O26="market","std",ROUND(O26*1000,0)/10))</f>
        <v>std/std/std/std</v>
      </c>
      <c r="AN26" s="46" t="str">
        <f>"$"&amp;ROUND(Q26,0)&amp;" + "&amp;IF(S26="market","std",ROUND(S26*1000,0)/10)&amp;"/"&amp;IF(T26="market","std",ROUND(T26*1000,0)/10)&amp;"/"&amp;IF(U26="market","std",ROUND(U26*1000,0)/10)&amp;"/"&amp;IF(V26="market","std",ROUND(V26*1000,0)/10)&amp;IF(X26="N","","/"&amp;IF(W26="market","std",ROUND(W26*1000,0)/10))</f>
        <v>$0 + 0/0/0/1.9/3.9</v>
      </c>
      <c r="AO26" s="44" t="str">
        <f>IF(S26="market","std",ROUND(S26*1000,0)/10)&amp;"/"&amp;IF(T26="market","std",ROUND(T26*1000,0)/10)&amp;"/"&amp;IF(U26="market","std",ROUND(U26*1000,0)/10)&amp;"/"&amp;IF(V26="market","std",ROUND(V26*1000,0)/10)&amp;IF(X26="N","","/"&amp;IF(W26="market","std",ROUND(W26*1000,0)/10))</f>
        <v>0/0/0/1.9/3.9</v>
      </c>
      <c r="AP26" s="44" t="str">
        <f>IF(T26="market","std",ROUND(T26*1000,0)/10)&amp;"/"&amp;IF(U26="market","std",ROUND(U26*1000,0)/10)&amp;"/"&amp;IF(V26="market","std",ROUND(V26*1000,0)/10)&amp;IF(X26="N","","/"&amp;IF(W26="market","std",ROUND(W26*1000,0)/10))</f>
        <v>0/0/1.9/3.9</v>
      </c>
      <c r="AQ26" s="49">
        <f t="shared" si="19"/>
        <v>770</v>
      </c>
      <c r="AR26" s="44" t="str">
        <f t="shared" si="20"/>
        <v>0/1.9</v>
      </c>
      <c r="AS26" s="368"/>
      <c r="AT26" s="50">
        <f t="shared" si="21"/>
        <v>10</v>
      </c>
      <c r="AU26" s="45" t="s">
        <v>121</v>
      </c>
      <c r="AV26" s="45" t="s">
        <v>116</v>
      </c>
      <c r="AW26" s="45" t="str">
        <f>INDEX(Input!$1:$1048576,AW$10,$C26*2+6)</f>
        <v>Kia</v>
      </c>
      <c r="AX26" s="45" t="str">
        <f>INDEX(Input!$1:$1048576,AX$10,$C26*2+6)</f>
        <v>Kia-LR - R1</v>
      </c>
      <c r="AY26" s="10" t="str">
        <f>IF(D26="Skip","",INDEX(Input!$1:$1048576,AY$10,$C26*2+6))</f>
        <v>Compact SUV (52)</v>
      </c>
      <c r="AZ26" s="45" t="str">
        <f>INDEX(Input!$1:$1048576,AZ$10,$C26*2+6)</f>
        <v>Kia Soul</v>
      </c>
      <c r="BA26" s="50">
        <f>INDEX(Input!$1:$1048576,BA$10,$C26*2+6)</f>
        <v>2020</v>
      </c>
      <c r="BB26" s="367">
        <f>INDEX(Input!$1:$1048576,BB$10,$C26*2+6)</f>
        <v>1</v>
      </c>
      <c r="BC26" s="367">
        <f>INDEX(Input!$1:$1048576,BC$10,$C26*2+6)</f>
        <v>0.7</v>
      </c>
      <c r="BD26" s="38">
        <f>INDEX(Input!$1:$1048576,BD$10,$C26*2+6)</f>
        <v>4.4999999999999998E-2</v>
      </c>
      <c r="BE26" s="38">
        <f>INDEX(Input!$1:$1048576,BE$10,$C26*2+6)</f>
        <v>4.4999999999999998E-2</v>
      </c>
      <c r="BF26" s="38">
        <f>INDEX(Input!$1:$1048576,BF$10,$C26*2+6)</f>
        <v>0.05</v>
      </c>
      <c r="BG26" s="38">
        <f>INDEX(Input!$1:$1048576,BG$10,$C26*2+6)</f>
        <v>5.45E-2</v>
      </c>
      <c r="BH26" s="38">
        <f>INDEX(Input!$1:$1048576,BH$10,$C26*2+6)</f>
        <v>5.45E-2</v>
      </c>
      <c r="BI26" s="38">
        <f>INDEX(Input!$1:$1048576,BI$10,$C26*2+6)</f>
        <v>0.05</v>
      </c>
      <c r="BJ26" s="38">
        <f>INDEX(Input!$1:$1048576,BJ$10,$C26*2+6)</f>
        <v>0.05</v>
      </c>
      <c r="BK26" s="38">
        <f>INDEX(Input!$1:$1048576,BK$10,$C26*2+6)</f>
        <v>0.05</v>
      </c>
      <c r="BL26" s="38">
        <f>INDEX(Input!$1:$1048576,BL$10,$C26*2+6)</f>
        <v>5.5E-2</v>
      </c>
      <c r="BM26" s="38">
        <f>INDEX(Input!$1:$1048576,BM$10,$C26*2+6)</f>
        <v>0.06</v>
      </c>
      <c r="BN26" s="38">
        <f>INDEX(Input!$1:$1048576,BN$10,$C26*2+6)</f>
        <v>4.4999999999999998E-2</v>
      </c>
      <c r="BO26" s="38">
        <f>INDEX(Input!$1:$1048576,BO$10,$C26*2+6)</f>
        <v>4.4999999999999998E-2</v>
      </c>
      <c r="BP26" s="38">
        <f>INDEX(Input!$1:$1048576,BP$10,$C26*2+6)</f>
        <v>0.05</v>
      </c>
      <c r="BQ26" s="38">
        <f>INDEX(Input!$1:$1048576,BQ$10,$C26*2+6)</f>
        <v>5.45E-2</v>
      </c>
      <c r="BR26" s="38">
        <f>INDEX(Input!$1:$1048576,BR$10,$C26*2+6)</f>
        <v>5.45E-2</v>
      </c>
      <c r="BS26" s="38">
        <f>INDEX(Input!$1:$1048576,BS$10,$C26*2+6)</f>
        <v>0.05</v>
      </c>
      <c r="BT26" s="38">
        <f>INDEX(Input!$1:$1048576,BT$10,$C26*2+6)</f>
        <v>0.05</v>
      </c>
      <c r="BU26" s="38">
        <f>INDEX(Input!$1:$1048576,BU$10,$C26*2+6)</f>
        <v>0.05</v>
      </c>
      <c r="BV26" s="38">
        <f>INDEX(Input!$1:$1048576,BV$10,$C26*2+6)</f>
        <v>5.5E-2</v>
      </c>
      <c r="BW26" s="38">
        <f>INDEX(Input!$1:$1048576,BW$10,$C26*2+6)</f>
        <v>0.06</v>
      </c>
      <c r="BX26" s="49">
        <f>INDEX(Input!$1:$1048576,BX$10,$C26*2+6)</f>
        <v>19985</v>
      </c>
      <c r="BY26" s="367">
        <f>INDEX(Input!$1:$1048576,BY$10,$C26*2+6)</f>
        <v>0.1</v>
      </c>
      <c r="BZ26" s="367">
        <f>INDEX(Input!$1:$1048576,BZ$10,$C26*2+6)</f>
        <v>0.1</v>
      </c>
      <c r="CA26" s="367">
        <f>INDEX(Input!$1:$1048576,CA$10,$C26*2+6)</f>
        <v>0.1</v>
      </c>
      <c r="CB26" s="367">
        <f>INDEX(Input!$1:$1048576,CB$10,$C26*2+6)</f>
        <v>0.1</v>
      </c>
      <c r="CC26" s="367">
        <f>INDEX(Input!$1:$1048576,CC$10,$C26*2+6)</f>
        <v>0.1</v>
      </c>
      <c r="CD26" s="367">
        <f>INDEX(Input!$1:$1048576,CD$10,$C26*2+6)</f>
        <v>0.1</v>
      </c>
      <c r="CE26" s="367">
        <f>INDEX(Input!$1:$1048576,CE$10,$C26*2+6)</f>
        <v>0.1</v>
      </c>
      <c r="CF26" s="367">
        <f>INDEX(Input!$1:$1048576,CF$10,$C26*2+6)</f>
        <v>0.1</v>
      </c>
      <c r="CG26" s="367">
        <f>INDEX(Input!$1:$1048576,CG$10,$C26*2+6)</f>
        <v>0.1</v>
      </c>
      <c r="CH26" s="48">
        <f>INDEX(Input!$1:$1048576,CH$10,$C26*2+6)</f>
        <v>0.1</v>
      </c>
      <c r="CI26" s="298">
        <f t="shared" si="22"/>
        <v>1270</v>
      </c>
      <c r="CJ26" s="46" t="str">
        <f>INDEX(Input!$1:$1048576,CJ$10,$C26*2+6)</f>
        <v>N</v>
      </c>
      <c r="CK26" s="38" t="str">
        <f t="shared" si="23"/>
        <v>Market</v>
      </c>
      <c r="CL26" s="38" t="str">
        <f t="shared" si="24"/>
        <v>Market</v>
      </c>
      <c r="CM26" s="38" t="str">
        <f t="shared" si="25"/>
        <v>Market</v>
      </c>
      <c r="CN26" s="38" t="str">
        <f t="shared" si="26"/>
        <v>Market</v>
      </c>
      <c r="CO26" s="38" t="str">
        <f t="shared" si="27"/>
        <v>Market</v>
      </c>
      <c r="CP26" s="49">
        <f t="shared" si="28"/>
        <v>0</v>
      </c>
      <c r="CQ26" s="38">
        <f t="shared" si="29"/>
        <v>0</v>
      </c>
      <c r="CR26" s="38">
        <f t="shared" si="30"/>
        <v>0</v>
      </c>
      <c r="CS26" s="38">
        <f t="shared" si="31"/>
        <v>0</v>
      </c>
      <c r="CT26" s="38">
        <f t="shared" si="32"/>
        <v>0</v>
      </c>
      <c r="CU26" s="38">
        <f t="shared" si="33"/>
        <v>1.9E-2</v>
      </c>
      <c r="CV26" s="49">
        <f t="shared" si="34"/>
        <v>1269.25</v>
      </c>
      <c r="CW26" s="22" t="s">
        <v>122</v>
      </c>
      <c r="CX26" s="22" t="s">
        <v>122</v>
      </c>
      <c r="CY26" s="22" t="s">
        <v>122</v>
      </c>
      <c r="CZ26" s="22" t="s">
        <v>122</v>
      </c>
      <c r="DA26" s="22" t="s">
        <v>122</v>
      </c>
      <c r="DB26" s="502">
        <f t="shared" si="35"/>
        <v>500</v>
      </c>
      <c r="DC26" s="29">
        <v>0</v>
      </c>
      <c r="DD26" s="29">
        <v>0</v>
      </c>
      <c r="DE26" s="29">
        <v>0</v>
      </c>
      <c r="DF26" s="49">
        <v>0</v>
      </c>
      <c r="DG26" s="49">
        <v>0</v>
      </c>
      <c r="DH26" s="49">
        <v>0</v>
      </c>
      <c r="DI26" s="49">
        <v>0</v>
      </c>
      <c r="DJ26" s="49">
        <v>0</v>
      </c>
      <c r="DK26" s="29">
        <v>0</v>
      </c>
      <c r="DL26" s="29">
        <v>0</v>
      </c>
      <c r="DM26" s="49">
        <f>INDEX(Input!$1:$1048576,DM$10,$C26*2+6)</f>
        <v>21036.84210526316</v>
      </c>
      <c r="DN26" s="367">
        <v>0</v>
      </c>
      <c r="DO26" s="367">
        <v>0</v>
      </c>
      <c r="DP26" s="367">
        <v>0</v>
      </c>
      <c r="DQ26" s="367">
        <v>0</v>
      </c>
      <c r="DR26" s="367">
        <v>0</v>
      </c>
      <c r="DS26" s="367">
        <f>INDEX(Input!$1:$1048576,DS$10,$C26*2+6)</f>
        <v>0.6</v>
      </c>
      <c r="DT26" s="367">
        <f>INDEX(Input!$1:$1048576,DT$10,$C26*2+6)</f>
        <v>0.55000000000000004</v>
      </c>
      <c r="DU26" s="367">
        <f>INDEX(Input!$1:$1048576,DU$10,$C26*2+6)</f>
        <v>0.52</v>
      </c>
      <c r="DV26" s="367">
        <f>INDEX(Input!$1:$1048576,DV$10,$C26*2+6)</f>
        <v>0.5</v>
      </c>
      <c r="DW26" s="367">
        <f>INDEX(Input!$1:$1048576,DW$10,$C26*2+6)</f>
        <v>0.45</v>
      </c>
      <c r="DX26" s="369"/>
      <c r="DY26" s="4">
        <v>9.2638144031032155E-2</v>
      </c>
      <c r="DZ26" s="37">
        <v>0</v>
      </c>
      <c r="EA26" s="37">
        <v>0.74389622018738455</v>
      </c>
      <c r="EB26" s="37">
        <v>0</v>
      </c>
      <c r="EC26" s="37">
        <v>0</v>
      </c>
      <c r="ED26" s="37">
        <v>0</v>
      </c>
      <c r="EE26" s="37">
        <v>0</v>
      </c>
      <c r="EF26" s="37">
        <v>0</v>
      </c>
      <c r="EG26" s="37">
        <v>0</v>
      </c>
      <c r="EH26" s="37">
        <v>6.4051843528202474E-3</v>
      </c>
      <c r="EI26" s="37">
        <v>1.6715909938913101E-2</v>
      </c>
      <c r="EJ26" s="37">
        <v>0.11737010295697614</v>
      </c>
      <c r="EK26" s="37">
        <v>0.65852649905419991</v>
      </c>
      <c r="EL26" s="37">
        <v>0.20098230369709075</v>
      </c>
      <c r="EM26" s="37">
        <v>7.6188642395790249E-2</v>
      </c>
      <c r="EN26" s="37">
        <v>5.3372358170966826E-2</v>
      </c>
      <c r="EO26" s="37">
        <v>0.74034440689159975</v>
      </c>
      <c r="EP26" s="37">
        <v>8.8708339812161544E-2</v>
      </c>
      <c r="EQ26" s="37">
        <v>7.7936638393196672E-2</v>
      </c>
      <c r="ER26" s="37">
        <v>3.9638256732074967E-2</v>
      </c>
      <c r="ES26" s="37">
        <v>8.7276993385793158E-2</v>
      </c>
      <c r="ET26" s="37">
        <v>0.1634656357815833</v>
      </c>
      <c r="EU26" s="36">
        <v>1490</v>
      </c>
      <c r="EV26" s="36">
        <v>0</v>
      </c>
      <c r="EW26" s="36">
        <v>1490</v>
      </c>
      <c r="EX26" s="36">
        <v>0</v>
      </c>
      <c r="EY26" s="36">
        <v>2940.0670760292469</v>
      </c>
      <c r="EZ26" s="36">
        <v>1369.25</v>
      </c>
      <c r="FA26" s="36">
        <v>0</v>
      </c>
      <c r="FB26" s="36">
        <v>0</v>
      </c>
      <c r="FC26" s="36">
        <v>0</v>
      </c>
      <c r="FD26" s="36">
        <v>0</v>
      </c>
      <c r="FE26" s="36">
        <v>0</v>
      </c>
      <c r="FF26" s="36">
        <v>0</v>
      </c>
      <c r="FG26" s="36">
        <v>0</v>
      </c>
      <c r="FH26" s="36">
        <v>1169.7884767793958</v>
      </c>
      <c r="FI26" s="36">
        <v>1553.9796069512392</v>
      </c>
      <c r="FJ26" s="36">
        <v>2101.2110117447405</v>
      </c>
      <c r="FK26" s="36">
        <v>2674.2006261592255</v>
      </c>
      <c r="FL26" s="36">
        <v>2034.7405995769209</v>
      </c>
      <c r="FM26" s="36">
        <v>2450.0670760292469</v>
      </c>
      <c r="FN26" s="36">
        <v>0</v>
      </c>
      <c r="FO26" s="36">
        <v>0</v>
      </c>
      <c r="FP26" s="36">
        <v>0</v>
      </c>
      <c r="FQ26" s="36">
        <v>0</v>
      </c>
      <c r="FR26" s="36">
        <v>0</v>
      </c>
      <c r="FS26" s="36">
        <v>0</v>
      </c>
      <c r="FT26" s="37">
        <v>0.83653436421841665</v>
      </c>
      <c r="FU26" s="37">
        <v>7.6188642395790249E-2</v>
      </c>
      <c r="FV26" s="37">
        <v>8.7276993385793158E-2</v>
      </c>
      <c r="FW26" s="518">
        <v>1490.0000000000002</v>
      </c>
      <c r="FX26" s="518">
        <v>2940.0670760292469</v>
      </c>
      <c r="FY26" s="518">
        <v>1369.25</v>
      </c>
      <c r="FZ26" s="36">
        <v>1967.1476439350847</v>
      </c>
      <c r="GA26" s="36">
        <v>1589.9399449541672</v>
      </c>
      <c r="GB26" s="36">
        <v>18395.060055045833</v>
      </c>
      <c r="GC26" s="37">
        <v>3.3872851927908169E-2</v>
      </c>
      <c r="GD26" s="37">
        <v>3.3102871423192043E-2</v>
      </c>
      <c r="GE26" s="37"/>
      <c r="GF26" s="37"/>
      <c r="GG26" s="37">
        <v>-2.2731493242874306E-2</v>
      </c>
      <c r="GH26" s="35">
        <v>1.2043468192355877</v>
      </c>
      <c r="GI26" s="36">
        <v>18183.997139114152</v>
      </c>
      <c r="GJ26" s="34">
        <v>0.50394797582841711</v>
      </c>
      <c r="GK26" s="34">
        <v>0.50887573065309699</v>
      </c>
      <c r="GL26" s="34">
        <v>0.49605202417158256</v>
      </c>
      <c r="GM26" s="33">
        <v>0.49112426934690229</v>
      </c>
      <c r="GN26" s="61"/>
      <c r="GO26" s="13">
        <v>343.14810671672558</v>
      </c>
      <c r="GP26" s="27">
        <v>314.72174922594519</v>
      </c>
      <c r="GQ26" s="27">
        <v>535.04305713031317</v>
      </c>
      <c r="GR26" s="27">
        <v>410.15490233172511</v>
      </c>
      <c r="GS26" s="27">
        <v>339.42744393800166</v>
      </c>
      <c r="GT26" s="27">
        <v>293.4407446948278</v>
      </c>
      <c r="GU26" s="27">
        <v>258.04012322764959</v>
      </c>
      <c r="GV26" s="29" t="s">
        <v>392</v>
      </c>
      <c r="GW26" s="27">
        <v>486.01388888888891</v>
      </c>
      <c r="GX26" s="27">
        <v>364.51041666666669</v>
      </c>
      <c r="GY26" s="27">
        <v>291.60833333333335</v>
      </c>
      <c r="GZ26" s="27">
        <v>243.00694444444446</v>
      </c>
      <c r="HA26" s="27">
        <v>222.61462277929587</v>
      </c>
      <c r="HB26" s="29">
        <v>248.20034405330586</v>
      </c>
      <c r="HC26" s="27">
        <v>227.37968749999999</v>
      </c>
      <c r="HD26" s="27">
        <v>198.91806469298243</v>
      </c>
      <c r="HE26" s="27">
        <v>203.00128837719296</v>
      </c>
      <c r="HF26" s="27">
        <v>189.24484923245612</v>
      </c>
      <c r="HG26" s="27">
        <v>184.387423245614</v>
      </c>
      <c r="HH26" s="12">
        <v>199.46947742205444</v>
      </c>
      <c r="HI26" s="94"/>
      <c r="HJ26" s="24">
        <f>INDEX(Input!$1:$1048576,HJ$10,$C26*2+6)</f>
        <v>0.42636324602833836</v>
      </c>
      <c r="HK26" s="18">
        <f>INDEX(Input!$1:$1048576,HK$10,$C26*2+6)</f>
        <v>0.52211249463288967</v>
      </c>
      <c r="HL26" s="43">
        <f>INDEX(Input!$1:$1048576,HL$10,$C26*2+6)</f>
        <v>5.1524259338772006E-2</v>
      </c>
      <c r="HM26" s="49">
        <f>IF(HL26&lt;FV27,TREND(Y26:Y27,FV26:FV27,HL26),TREND(Y27:Y28,FV27:FV28,HL26))</f>
        <v>551.47241972882148</v>
      </c>
    </row>
    <row r="27" spans="1:221" s="26" customFormat="1" ht="15">
      <c r="A27" s="117">
        <f t="shared" ref="A27:A28" si="49">C27*1000+B27</f>
        <v>4002</v>
      </c>
      <c r="B27" s="117">
        <f t="shared" si="48"/>
        <v>2</v>
      </c>
      <c r="C27" s="117">
        <f t="shared" si="14"/>
        <v>4</v>
      </c>
      <c r="D27" s="117" t="s">
        <v>568</v>
      </c>
      <c r="E27" s="115">
        <f>INDEX(Input!$1:$1048576,E$10,$C27*2+6)</f>
        <v>1000</v>
      </c>
      <c r="F27" s="115">
        <f>INDEX(Input!$1:$1048576,F$10,$C27*2+6)</f>
        <v>0</v>
      </c>
      <c r="G27" s="115">
        <f>INDEX(Input!$1:$1048576,G$10,$C27*2+6)</f>
        <v>0</v>
      </c>
      <c r="H27" s="115">
        <f>INDEX(Input!$1:$1048576,H$10,$C27*2+6)</f>
        <v>0</v>
      </c>
      <c r="I27" s="118">
        <f>INDEX(Input!$1:$1048576,I$10,$C27*2+6)</f>
        <v>0.7</v>
      </c>
      <c r="J27" s="118" t="str">
        <f>INDEX(Input!$1:$1048576,J$10,$C27*2+6)</f>
        <v>Market</v>
      </c>
      <c r="K27" s="118" t="str">
        <f>INDEX(Input!$1:$1048576,K$10,$C27*2+6)</f>
        <v>Market</v>
      </c>
      <c r="L27" s="118" t="str">
        <f>INDEX(Input!$1:$1048576,L$10,$C27*2+6)</f>
        <v>Market</v>
      </c>
      <c r="M27" s="118" t="str">
        <f>INDEX(Input!$1:$1048576,M$10,$C27*2+6)</f>
        <v>Market</v>
      </c>
      <c r="N27" s="118" t="str">
        <f>INDEX(Input!$1:$1048576,N$10,$C27*2+6)</f>
        <v>Market</v>
      </c>
      <c r="O27" s="118" t="str">
        <f>INDEX(Input!$1:$1048576,O$10,$C27*2+6)</f>
        <v>Market</v>
      </c>
      <c r="P27" s="118" t="str">
        <f>INDEX(Input!$1:$1048576,P$10,$C27*2+6)</f>
        <v>N</v>
      </c>
      <c r="Q27" s="30">
        <f>INDEX(Input!$1:$1048576,Q$10,$C27*2+6)</f>
        <v>0</v>
      </c>
      <c r="R27" s="383">
        <f>INDEX(Input!$1:$1048576,R$10,$C27*2+6)</f>
        <v>0</v>
      </c>
      <c r="S27" s="383">
        <f>INDEX(Input!$1:$1048576,S$10,$C27*2+6)</f>
        <v>0</v>
      </c>
      <c r="T27" s="383">
        <f>INDEX(Input!$1:$1048576,T$10,$C27*2+6)</f>
        <v>0</v>
      </c>
      <c r="U27" s="383">
        <f>INDEX(Input!$1:$1048576,U$10,$C27*2+6)</f>
        <v>0</v>
      </c>
      <c r="V27" s="383">
        <f>INDEX(Input!$1:$1048576,V$10,$C27*2+6)</f>
        <v>1.9E-2</v>
      </c>
      <c r="W27" s="383">
        <f>INDEX(Input!$1:$1048576,W$10,$C27*2+6)</f>
        <v>3.9E-2</v>
      </c>
      <c r="X27" s="118" t="str">
        <f>INDEX(Input!$1:$1048576,X$10,$C27*2+6)</f>
        <v>Y</v>
      </c>
      <c r="Y27" s="520">
        <f>MIN(BX27*10%,4000)+Y26</f>
        <v>2997.75</v>
      </c>
      <c r="Z27" s="30">
        <f>INDEX(Input!$1:$1048576,Z$10,$C27*2+6)</f>
        <v>0</v>
      </c>
      <c r="AA27" s="115">
        <f>INDEX(Input!$1:$1048576,AA$10,$C27*2+6)</f>
        <v>1000</v>
      </c>
      <c r="AB27" s="118">
        <f>INDEX(Input!$1:$1048576,AB$10,$C27*2+6)</f>
        <v>0.27</v>
      </c>
      <c r="AC27" s="115">
        <f>INDEX(Input!$1:$1048576,AC$10,$C27*2+6)</f>
        <v>1000</v>
      </c>
      <c r="AD27" s="118">
        <f>INDEX(Input!$1:$1048576,AD$10,$C27*2+6)</f>
        <v>0.27</v>
      </c>
      <c r="AE27" s="115">
        <f>INDEX(Input!$1:$1048576,AE$10,$C27*2+6)</f>
        <v>500</v>
      </c>
      <c r="AF27" s="118">
        <f>INDEX(Input!$1:$1048576,AF$10,$C27*2+6)</f>
        <v>1</v>
      </c>
      <c r="AG27" s="115">
        <f>INDEX(Input!$1:$1048576,AG$10,$C27*2+6)</f>
        <v>0</v>
      </c>
      <c r="AH27" s="118">
        <f>INDEX(Input!$1:$1048576,AH$10,$C27*2+6)</f>
        <v>0.83199999999999996</v>
      </c>
      <c r="AI27" s="115">
        <f>INDEX(Input!$1:$1048576,AI$10,$C27*2+6)</f>
        <v>0</v>
      </c>
      <c r="AJ27" s="118">
        <f>INDEX(Input!$1:$1048576,AJ$10,$C27*2+6)</f>
        <v>0.27</v>
      </c>
      <c r="AK27" s="150">
        <f>INDEX(Input!$1:$1048576,AK$10,$C26*2+6)+(Y27-VLOOKUP($C27*1000+1,$A:$HH,Y$9,FALSE))</f>
        <v>5382.2164157747848</v>
      </c>
      <c r="AL27" s="150">
        <f>INDEX(Input!$1:$1048576,AL$10,$C26*2+6)-(Y27-VLOOKUP($C27*1000+1,$A:$HH,Y$9,FALSE))/36</f>
        <v>3328.2025268858965</v>
      </c>
      <c r="AM27" s="32" t="str">
        <f t="shared" ref="AM27:AM28" si="50">IF(K27="market","std",ROUND(K27*1000,0)/10)&amp;"/"&amp;IF(L27="market","std",ROUND(L27*1000,0)/10)&amp;"/"&amp;IF(M27="market","std",ROUND(M27*1000,0)/10)&amp;"/"&amp;IF(N27="market","std",ROUND(N27*1000,0)/10)&amp;IF(P27="N","","/"&amp;IF(O27="market","std",ROUND(O27*1000,0)/10))</f>
        <v>std/std/std/std</v>
      </c>
      <c r="AN27" s="32" t="str">
        <f t="shared" ref="AN27:AN28" si="51">"$"&amp;ROUND(Q27,0)&amp;" + "&amp;IF(S27="market","std",ROUND(S27*1000,0)/10)&amp;"/"&amp;IF(T27="market","std",ROUND(T27*1000,0)/10)&amp;"/"&amp;IF(U27="market","std",ROUND(U27*1000,0)/10)&amp;"/"&amp;IF(V27="market","std",ROUND(V27*1000,0)/10)&amp;IF(X27="N","","/"&amp;IF(W27="market","std",ROUND(W27*1000,0)/10))</f>
        <v>$0 + 0/0/0/1.9/3.9</v>
      </c>
      <c r="AO27" s="32" t="str">
        <f t="shared" ref="AO27:AO28" si="52">IF(S27="market","std",ROUND(S27*1000,0)/10)&amp;"/"&amp;IF(T27="market","std",ROUND(T27*1000,0)/10)&amp;"/"&amp;IF(U27="market","std",ROUND(U27*1000,0)/10)&amp;"/"&amp;IF(V27="market","std",ROUND(V27*1000,0)/10)&amp;IF(X27="N","","/"&amp;IF(W27="market","std",ROUND(W27*1000,0)/10))</f>
        <v>0/0/0/1.9/3.9</v>
      </c>
      <c r="AP27" s="32" t="str">
        <f t="shared" ref="AP27:AP28" si="53">IF(T27="market","std",ROUND(T27*1000,0)/10)&amp;"/"&amp;IF(U27="market","std",ROUND(U27*1000,0)/10)&amp;"/"&amp;IF(V27="market","std",ROUND(V27*1000,0)/10)&amp;IF(X27="N","","/"&amp;IF(W27="market","std",ROUND(W27*1000,0)/10))</f>
        <v>0/0/1.9/3.9</v>
      </c>
      <c r="AQ27" s="150">
        <f t="shared" si="19"/>
        <v>770</v>
      </c>
      <c r="AR27" s="32" t="str">
        <f t="shared" si="20"/>
        <v>0/1.9</v>
      </c>
      <c r="AS27" s="302"/>
      <c r="AT27" s="3">
        <f t="shared" si="21"/>
        <v>11</v>
      </c>
      <c r="AU27" s="41" t="s">
        <v>121</v>
      </c>
      <c r="AV27" s="41" t="s">
        <v>116</v>
      </c>
      <c r="AW27" s="41" t="str">
        <f>INDEX(Input!$1:$1048576,AW$10,$C27*2+6)</f>
        <v>Kia</v>
      </c>
      <c r="AX27" s="41" t="str">
        <f>INDEX(Input!$1:$1048576,AX$10,$C27*2+6)</f>
        <v>Kia-LR - R1</v>
      </c>
      <c r="AY27" s="41" t="str">
        <f>IF(D27="Skip","",INDEX(Input!$1:$1048576,AY$10,$C27*2+6))</f>
        <v>Compact SUV (52)</v>
      </c>
      <c r="AZ27" s="41" t="str">
        <f>INDEX(Input!$1:$1048576,AZ$10,$C27*2+6)</f>
        <v>Kia Soul</v>
      </c>
      <c r="BA27" s="3">
        <f>INDEX(Input!$1:$1048576,BA$10,$C27*2+6)</f>
        <v>2020</v>
      </c>
      <c r="BB27" s="128">
        <f>INDEX(Input!$1:$1048576,BB$10,$C27*2+6)</f>
        <v>1</v>
      </c>
      <c r="BC27" s="128">
        <f>INDEX(Input!$1:$1048576,BC$10,$C27*2+6)</f>
        <v>0.7</v>
      </c>
      <c r="BD27" s="1">
        <f>INDEX(Input!$1:$1048576,BD$10,$C27*2+6)</f>
        <v>4.4999999999999998E-2</v>
      </c>
      <c r="BE27" s="1">
        <f>INDEX(Input!$1:$1048576,BE$10,$C27*2+6)</f>
        <v>4.4999999999999998E-2</v>
      </c>
      <c r="BF27" s="1">
        <f>INDEX(Input!$1:$1048576,BF$10,$C27*2+6)</f>
        <v>0.05</v>
      </c>
      <c r="BG27" s="1">
        <f>INDEX(Input!$1:$1048576,BG$10,$C27*2+6)</f>
        <v>5.45E-2</v>
      </c>
      <c r="BH27" s="1">
        <f>INDEX(Input!$1:$1048576,BH$10,$C27*2+6)</f>
        <v>5.45E-2</v>
      </c>
      <c r="BI27" s="1">
        <f>INDEX(Input!$1:$1048576,BI$10,$C27*2+6)</f>
        <v>0.05</v>
      </c>
      <c r="BJ27" s="1">
        <f>INDEX(Input!$1:$1048576,BJ$10,$C27*2+6)</f>
        <v>0.05</v>
      </c>
      <c r="BK27" s="1">
        <f>INDEX(Input!$1:$1048576,BK$10,$C27*2+6)</f>
        <v>0.05</v>
      </c>
      <c r="BL27" s="1">
        <f>INDEX(Input!$1:$1048576,BL$10,$C27*2+6)</f>
        <v>5.5E-2</v>
      </c>
      <c r="BM27" s="1">
        <f>INDEX(Input!$1:$1048576,BM$10,$C27*2+6)</f>
        <v>0.06</v>
      </c>
      <c r="BN27" s="1">
        <f>INDEX(Input!$1:$1048576,BN$10,$C27*2+6)</f>
        <v>4.4999999999999998E-2</v>
      </c>
      <c r="BO27" s="1">
        <f>INDEX(Input!$1:$1048576,BO$10,$C27*2+6)</f>
        <v>4.4999999999999998E-2</v>
      </c>
      <c r="BP27" s="1">
        <f>INDEX(Input!$1:$1048576,BP$10,$C27*2+6)</f>
        <v>0.05</v>
      </c>
      <c r="BQ27" s="1">
        <f>INDEX(Input!$1:$1048576,BQ$10,$C27*2+6)</f>
        <v>5.45E-2</v>
      </c>
      <c r="BR27" s="1">
        <f>INDEX(Input!$1:$1048576,BR$10,$C27*2+6)</f>
        <v>5.45E-2</v>
      </c>
      <c r="BS27" s="1">
        <f>INDEX(Input!$1:$1048576,BS$10,$C27*2+6)</f>
        <v>0.05</v>
      </c>
      <c r="BT27" s="1">
        <f>INDEX(Input!$1:$1048576,BT$10,$C27*2+6)</f>
        <v>0.05</v>
      </c>
      <c r="BU27" s="1">
        <f>INDEX(Input!$1:$1048576,BU$10,$C27*2+6)</f>
        <v>0.05</v>
      </c>
      <c r="BV27" s="1">
        <f>INDEX(Input!$1:$1048576,BV$10,$C27*2+6)</f>
        <v>5.5E-2</v>
      </c>
      <c r="BW27" s="1">
        <f>INDEX(Input!$1:$1048576,BW$10,$C27*2+6)</f>
        <v>0.06</v>
      </c>
      <c r="BX27" s="304">
        <f>INDEX(Input!$1:$1048576,BX$10,$C27*2+6)</f>
        <v>19985</v>
      </c>
      <c r="BY27" s="20">
        <f>INDEX(Input!$1:$1048576,BY$10,$C27*2+6)</f>
        <v>0.1</v>
      </c>
      <c r="BZ27" s="20">
        <f>INDEX(Input!$1:$1048576,BZ$10,$C27*2+6)</f>
        <v>0.1</v>
      </c>
      <c r="CA27" s="20">
        <f>INDEX(Input!$1:$1048576,CA$10,$C27*2+6)</f>
        <v>0.1</v>
      </c>
      <c r="CB27" s="20">
        <f>INDEX(Input!$1:$1048576,CB$10,$C27*2+6)</f>
        <v>0.1</v>
      </c>
      <c r="CC27" s="20">
        <f>INDEX(Input!$1:$1048576,CC$10,$C27*2+6)</f>
        <v>0.1</v>
      </c>
      <c r="CD27" s="384">
        <f>INDEX(Input!$1:$1048576,CD$10,$C27*2+6)</f>
        <v>0.1</v>
      </c>
      <c r="CE27" s="384">
        <f>INDEX(Input!$1:$1048576,CE$10,$C27*2+6)</f>
        <v>0.1</v>
      </c>
      <c r="CF27" s="384">
        <f>INDEX(Input!$1:$1048576,CF$10,$C27*2+6)</f>
        <v>0.1</v>
      </c>
      <c r="CG27" s="384">
        <f>INDEX(Input!$1:$1048576,CG$10,$C27*2+6)</f>
        <v>0.1</v>
      </c>
      <c r="CH27" s="384">
        <f>INDEX(Input!$1:$1048576,CH$10,$C27*2+6)</f>
        <v>0.1</v>
      </c>
      <c r="CI27" s="304">
        <f t="shared" si="22"/>
        <v>1270</v>
      </c>
      <c r="CJ27" s="16" t="str">
        <f>INDEX(Input!$1:$1048576,CJ$10,$C27*2+6)</f>
        <v>N</v>
      </c>
      <c r="CK27" s="1" t="str">
        <f t="shared" si="23"/>
        <v>Market</v>
      </c>
      <c r="CL27" s="1" t="str">
        <f t="shared" si="24"/>
        <v>Market</v>
      </c>
      <c r="CM27" s="1" t="str">
        <f t="shared" si="25"/>
        <v>Market</v>
      </c>
      <c r="CN27" s="1" t="str">
        <f t="shared" si="26"/>
        <v>Market</v>
      </c>
      <c r="CO27" s="1" t="str">
        <f t="shared" si="27"/>
        <v>Market</v>
      </c>
      <c r="CP27" s="304">
        <f t="shared" si="28"/>
        <v>0</v>
      </c>
      <c r="CQ27" s="1">
        <f t="shared" si="29"/>
        <v>0</v>
      </c>
      <c r="CR27" s="1">
        <f t="shared" si="30"/>
        <v>0</v>
      </c>
      <c r="CS27" s="1">
        <f t="shared" si="31"/>
        <v>0</v>
      </c>
      <c r="CT27" s="1">
        <f t="shared" si="32"/>
        <v>0</v>
      </c>
      <c r="CU27" s="1">
        <f t="shared" si="33"/>
        <v>1.9E-2</v>
      </c>
      <c r="CV27" s="304">
        <f t="shared" si="34"/>
        <v>3267.75</v>
      </c>
      <c r="CW27" s="20" t="s">
        <v>122</v>
      </c>
      <c r="CX27" s="20" t="s">
        <v>122</v>
      </c>
      <c r="CY27" s="20" t="s">
        <v>122</v>
      </c>
      <c r="CZ27" s="20" t="s">
        <v>122</v>
      </c>
      <c r="DA27" s="20" t="s">
        <v>122</v>
      </c>
      <c r="DB27" s="503">
        <f t="shared" si="35"/>
        <v>500</v>
      </c>
      <c r="DC27" s="127">
        <v>0</v>
      </c>
      <c r="DD27" s="127">
        <v>0</v>
      </c>
      <c r="DE27" s="127">
        <v>0</v>
      </c>
      <c r="DF27" s="127">
        <v>0</v>
      </c>
      <c r="DG27" s="127">
        <v>0</v>
      </c>
      <c r="DH27" s="127">
        <v>0</v>
      </c>
      <c r="DI27" s="127">
        <v>0</v>
      </c>
      <c r="DJ27" s="127">
        <v>0</v>
      </c>
      <c r="DK27" s="127">
        <v>0</v>
      </c>
      <c r="DL27" s="127">
        <v>0</v>
      </c>
      <c r="DM27" s="304">
        <f>INDEX(Input!$1:$1048576,DM$10,$C27*2+6)</f>
        <v>21036.84210526316</v>
      </c>
      <c r="DN27" s="20">
        <v>0</v>
      </c>
      <c r="DO27" s="20">
        <v>0</v>
      </c>
      <c r="DP27" s="20">
        <v>0</v>
      </c>
      <c r="DQ27" s="20">
        <v>0</v>
      </c>
      <c r="DR27" s="20">
        <v>0</v>
      </c>
      <c r="DS27" s="20">
        <f>INDEX(Input!$1:$1048576,DS$10,$C27*2+6)</f>
        <v>0.6</v>
      </c>
      <c r="DT27" s="20">
        <f>INDEX(Input!$1:$1048576,DT$10,$C27*2+6)</f>
        <v>0.55000000000000004</v>
      </c>
      <c r="DU27" s="20">
        <f>INDEX(Input!$1:$1048576,DU$10,$C27*2+6)</f>
        <v>0.52</v>
      </c>
      <c r="DV27" s="20">
        <f>INDEX(Input!$1:$1048576,DV$10,$C27*2+6)</f>
        <v>0.5</v>
      </c>
      <c r="DW27" s="20">
        <f>INDEX(Input!$1:$1048576,DW$10,$C27*2+6)</f>
        <v>0.45</v>
      </c>
      <c r="DX27" s="20"/>
      <c r="DY27" s="7">
        <v>7.6014301993452923E-2</v>
      </c>
      <c r="DZ27" s="7">
        <v>0</v>
      </c>
      <c r="EA27" s="7">
        <v>0.61464252027555488</v>
      </c>
      <c r="EB27" s="7">
        <v>0</v>
      </c>
      <c r="EC27" s="7">
        <v>0</v>
      </c>
      <c r="ED27" s="7">
        <v>0</v>
      </c>
      <c r="EE27" s="7">
        <v>0</v>
      </c>
      <c r="EF27" s="7">
        <v>0</v>
      </c>
      <c r="EG27" s="7">
        <v>0</v>
      </c>
      <c r="EH27" s="7">
        <v>6.3365303045347862E-3</v>
      </c>
      <c r="EI27" s="7">
        <v>1.6475301026805732E-2</v>
      </c>
      <c r="EJ27" s="7">
        <v>0.11604190586754774</v>
      </c>
      <c r="EK27" s="7">
        <v>0.65983001667405039</v>
      </c>
      <c r="EL27" s="7">
        <v>0.20131624612706123</v>
      </c>
      <c r="EM27" s="7">
        <v>6.2496250205799214E-2</v>
      </c>
      <c r="EN27" s="7">
        <v>6.3169589092657116E-2</v>
      </c>
      <c r="EO27" s="7">
        <v>0.80402042744854274</v>
      </c>
      <c r="EP27" s="7">
        <v>5.6624784704759144E-2</v>
      </c>
      <c r="EQ27" s="7">
        <v>4.9168726178685666E-2</v>
      </c>
      <c r="ER27" s="7">
        <v>2.7016472575355849E-2</v>
      </c>
      <c r="ES27" s="7">
        <v>0.24684692752519302</v>
      </c>
      <c r="ET27" s="7">
        <v>0.30934317773099224</v>
      </c>
      <c r="EU27" s="6">
        <v>1490</v>
      </c>
      <c r="EV27" s="6">
        <v>0</v>
      </c>
      <c r="EW27" s="6">
        <v>1490</v>
      </c>
      <c r="EX27" s="6">
        <v>0</v>
      </c>
      <c r="EY27" s="6">
        <v>2940.9870709922607</v>
      </c>
      <c r="EZ27" s="6">
        <v>3367.75</v>
      </c>
      <c r="FA27" s="6">
        <v>0</v>
      </c>
      <c r="FB27" s="6">
        <v>0</v>
      </c>
      <c r="FC27" s="6">
        <v>0</v>
      </c>
      <c r="FD27" s="6">
        <v>0</v>
      </c>
      <c r="FE27" s="6">
        <v>0</v>
      </c>
      <c r="FF27" s="6">
        <v>0</v>
      </c>
      <c r="FG27" s="6">
        <v>0</v>
      </c>
      <c r="FH27" s="6">
        <v>1169.7372681430334</v>
      </c>
      <c r="FI27" s="6">
        <v>1553.9796069512399</v>
      </c>
      <c r="FJ27" s="6">
        <v>2101.211011744741</v>
      </c>
      <c r="FK27" s="6">
        <v>2674.2006261592287</v>
      </c>
      <c r="FL27" s="6">
        <v>2034.7405995769211</v>
      </c>
      <c r="FM27" s="6">
        <v>2450.9870709922607</v>
      </c>
      <c r="FN27" s="6">
        <v>0</v>
      </c>
      <c r="FO27" s="6">
        <v>0</v>
      </c>
      <c r="FP27" s="6">
        <v>0</v>
      </c>
      <c r="FQ27" s="6">
        <v>0</v>
      </c>
      <c r="FR27" s="6">
        <v>0</v>
      </c>
      <c r="FS27" s="6">
        <v>0</v>
      </c>
      <c r="FT27" s="7">
        <v>0.69065682226900782</v>
      </c>
      <c r="FU27" s="7">
        <v>6.2496250205799214E-2</v>
      </c>
      <c r="FV27" s="7">
        <v>0.24684692752519302</v>
      </c>
      <c r="FW27" s="519">
        <v>1490</v>
      </c>
      <c r="FX27" s="519">
        <v>2940.9870709922607</v>
      </c>
      <c r="FY27" s="519">
        <v>3367.75</v>
      </c>
      <c r="FZ27" s="6">
        <v>1967.1476439350847</v>
      </c>
      <c r="GA27" s="6">
        <v>2044.1980691945432</v>
      </c>
      <c r="GB27" s="6">
        <v>17940.801930805457</v>
      </c>
      <c r="GC27" s="7">
        <v>3.3872851927908169E-2</v>
      </c>
      <c r="GD27" s="7">
        <v>3.4541052842507906E-2</v>
      </c>
      <c r="GE27" s="7"/>
      <c r="GF27" s="7"/>
      <c r="GG27" s="7">
        <v>1.9726739160371667E-2</v>
      </c>
      <c r="GH27" s="42">
        <v>5.1166347335848359</v>
      </c>
      <c r="GI27" s="6">
        <v>5950.0856379946817</v>
      </c>
      <c r="GJ27" s="14">
        <v>0.50394797582841744</v>
      </c>
      <c r="GK27" s="14">
        <v>0.50887573065309755</v>
      </c>
      <c r="GL27" s="14">
        <v>0.49605202417158295</v>
      </c>
      <c r="GM27" s="14">
        <v>0.4911242693469024</v>
      </c>
      <c r="GO27" s="5">
        <v>343.14810671672558</v>
      </c>
      <c r="GP27" s="5">
        <v>314.72174922594519</v>
      </c>
      <c r="GQ27" s="5">
        <v>535.04305713031317</v>
      </c>
      <c r="GR27" s="5">
        <v>410.15490233172511</v>
      </c>
      <c r="GS27" s="5">
        <v>339.42744393800166</v>
      </c>
      <c r="GT27" s="5">
        <v>293.4407446948278</v>
      </c>
      <c r="GU27" s="5">
        <v>258.04012322764959</v>
      </c>
      <c r="GV27" s="39" t="s">
        <v>392</v>
      </c>
      <c r="GW27" s="5">
        <v>486.01388888888891</v>
      </c>
      <c r="GX27" s="5">
        <v>364.51041666666669</v>
      </c>
      <c r="GY27" s="5">
        <v>291.60833333333335</v>
      </c>
      <c r="GZ27" s="5">
        <v>243.00694444444446</v>
      </c>
      <c r="HA27" s="5">
        <v>222.61462277929587</v>
      </c>
      <c r="HB27" s="39">
        <v>248.08306373982555</v>
      </c>
      <c r="HC27" s="5">
        <v>139.94531249999997</v>
      </c>
      <c r="HD27" s="5">
        <v>139.24063413742687</v>
      </c>
      <c r="HE27" s="5">
        <v>147.59415696693654</v>
      </c>
      <c r="HF27" s="5">
        <v>143.02953673245611</v>
      </c>
      <c r="HG27" s="5">
        <v>146.08283991228069</v>
      </c>
      <c r="HH27" s="39">
        <v>140.12931259066443</v>
      </c>
      <c r="HI27" s="16"/>
      <c r="HJ27" s="1">
        <f>INDEX(Input!$1:$1048576,HJ$10,$C27*2+6)</f>
        <v>0.42636324602833836</v>
      </c>
      <c r="HK27" s="1">
        <f>INDEX(Input!$1:$1048576,HK$10,$C27*2+6)</f>
        <v>0.52211249463288967</v>
      </c>
      <c r="HL27" s="1">
        <f>INDEX(Input!$1:$1048576,HL$10,$C27*2+6)</f>
        <v>5.1524259338772006E-2</v>
      </c>
      <c r="HM27" s="19"/>
    </row>
    <row r="28" spans="1:221" s="26" customFormat="1" ht="15.75" thickBot="1">
      <c r="A28" s="117">
        <f t="shared" si="49"/>
        <v>4003</v>
      </c>
      <c r="B28" s="117">
        <f t="shared" si="48"/>
        <v>3</v>
      </c>
      <c r="C28" s="117">
        <f t="shared" si="14"/>
        <v>4</v>
      </c>
      <c r="D28" s="117" t="s">
        <v>568</v>
      </c>
      <c r="E28" s="115">
        <f>INDEX(Input!$1:$1048576,E$10,$C28*2+6)</f>
        <v>1000</v>
      </c>
      <c r="F28" s="115">
        <f>INDEX(Input!$1:$1048576,F$10,$C28*2+6)</f>
        <v>0</v>
      </c>
      <c r="G28" s="115">
        <f>INDEX(Input!$1:$1048576,G$10,$C28*2+6)</f>
        <v>0</v>
      </c>
      <c r="H28" s="115">
        <f>INDEX(Input!$1:$1048576,H$10,$C28*2+6)</f>
        <v>0</v>
      </c>
      <c r="I28" s="118">
        <f>INDEX(Input!$1:$1048576,I$10,$C28*2+6)</f>
        <v>0.7</v>
      </c>
      <c r="J28" s="118" t="str">
        <f>INDEX(Input!$1:$1048576,J$10,$C28*2+6)</f>
        <v>Market</v>
      </c>
      <c r="K28" s="118" t="str">
        <f>INDEX(Input!$1:$1048576,K$10,$C28*2+6)</f>
        <v>Market</v>
      </c>
      <c r="L28" s="118" t="str">
        <f>INDEX(Input!$1:$1048576,L$10,$C28*2+6)</f>
        <v>Market</v>
      </c>
      <c r="M28" s="118" t="str">
        <f>INDEX(Input!$1:$1048576,M$10,$C28*2+6)</f>
        <v>Market</v>
      </c>
      <c r="N28" s="118" t="str">
        <f>INDEX(Input!$1:$1048576,N$10,$C28*2+6)</f>
        <v>Market</v>
      </c>
      <c r="O28" s="118" t="str">
        <f>INDEX(Input!$1:$1048576,O$10,$C28*2+6)</f>
        <v>Market</v>
      </c>
      <c r="P28" s="118" t="str">
        <f>INDEX(Input!$1:$1048576,P$10,$C28*2+6)</f>
        <v>N</v>
      </c>
      <c r="Q28" s="30">
        <f>INDEX(Input!$1:$1048576,Q$10,$C28*2+6)</f>
        <v>0</v>
      </c>
      <c r="R28" s="383">
        <f>INDEX(Input!$1:$1048576,R$10,$C28*2+6)</f>
        <v>0</v>
      </c>
      <c r="S28" s="383">
        <f>INDEX(Input!$1:$1048576,S$10,$C28*2+6)</f>
        <v>0</v>
      </c>
      <c r="T28" s="383">
        <f>INDEX(Input!$1:$1048576,T$10,$C28*2+6)</f>
        <v>0</v>
      </c>
      <c r="U28" s="383">
        <f>INDEX(Input!$1:$1048576,U$10,$C28*2+6)</f>
        <v>0</v>
      </c>
      <c r="V28" s="383">
        <f>INDEX(Input!$1:$1048576,V$10,$C28*2+6)</f>
        <v>1.9E-2</v>
      </c>
      <c r="W28" s="383">
        <f>INDEX(Input!$1:$1048576,W$10,$C28*2+6)</f>
        <v>3.9E-2</v>
      </c>
      <c r="X28" s="118" t="str">
        <f>INDEX(Input!$1:$1048576,X$10,$C28*2+6)</f>
        <v>Y</v>
      </c>
      <c r="Y28" s="520">
        <f>MIN(BX28*10%,4000)+Y27</f>
        <v>4996.25</v>
      </c>
      <c r="Z28" s="30">
        <f>INDEX(Input!$1:$1048576,Z$10,$C28*2+6)</f>
        <v>0</v>
      </c>
      <c r="AA28" s="115">
        <f>INDEX(Input!$1:$1048576,AA$10,$C28*2+6)</f>
        <v>1000</v>
      </c>
      <c r="AB28" s="118">
        <f>INDEX(Input!$1:$1048576,AB$10,$C28*2+6)</f>
        <v>0.27</v>
      </c>
      <c r="AC28" s="115">
        <f>INDEX(Input!$1:$1048576,AC$10,$C28*2+6)</f>
        <v>1000</v>
      </c>
      <c r="AD28" s="118">
        <f>INDEX(Input!$1:$1048576,AD$10,$C28*2+6)</f>
        <v>0.27</v>
      </c>
      <c r="AE28" s="115">
        <f>INDEX(Input!$1:$1048576,AE$10,$C28*2+6)</f>
        <v>500</v>
      </c>
      <c r="AF28" s="118">
        <f>INDEX(Input!$1:$1048576,AF$10,$C28*2+6)</f>
        <v>1</v>
      </c>
      <c r="AG28" s="115">
        <f>INDEX(Input!$1:$1048576,AG$10,$C28*2+6)</f>
        <v>0</v>
      </c>
      <c r="AH28" s="118">
        <f>INDEX(Input!$1:$1048576,AH$10,$C28*2+6)</f>
        <v>0.83199999999999996</v>
      </c>
      <c r="AI28" s="115">
        <f>INDEX(Input!$1:$1048576,AI$10,$C28*2+6)</f>
        <v>0</v>
      </c>
      <c r="AJ28" s="118">
        <f>INDEX(Input!$1:$1048576,AJ$10,$C28*2+6)</f>
        <v>0.27</v>
      </c>
      <c r="AK28" s="150">
        <f>INDEX(Input!$1:$1048576,AK$10,$C27*2+6)+(Y28-VLOOKUP($C28*1000+1,$A:$HH,Y$9,FALSE))</f>
        <v>7380.7164157747848</v>
      </c>
      <c r="AL28" s="150">
        <f>INDEX(Input!$1:$1048576,AL$10,$C27*2+6)-(Y28-VLOOKUP($C28*1000+1,$A:$HH,Y$9,FALSE))/36</f>
        <v>3272.6886379970074</v>
      </c>
      <c r="AM28" s="32" t="str">
        <f t="shared" si="50"/>
        <v>std/std/std/std</v>
      </c>
      <c r="AN28" s="32" t="str">
        <f t="shared" si="51"/>
        <v>$0 + 0/0/0/1.9/3.9</v>
      </c>
      <c r="AO28" s="32" t="str">
        <f t="shared" si="52"/>
        <v>0/0/0/1.9/3.9</v>
      </c>
      <c r="AP28" s="32" t="str">
        <f t="shared" si="53"/>
        <v>0/0/1.9/3.9</v>
      </c>
      <c r="AQ28" s="150">
        <f t="shared" si="19"/>
        <v>770</v>
      </c>
      <c r="AR28" s="32" t="str">
        <f t="shared" si="20"/>
        <v>0/1.9</v>
      </c>
      <c r="AS28" s="302"/>
      <c r="AT28" s="3">
        <f t="shared" si="21"/>
        <v>12</v>
      </c>
      <c r="AU28" s="41" t="s">
        <v>121</v>
      </c>
      <c r="AV28" s="41" t="s">
        <v>116</v>
      </c>
      <c r="AW28" s="41" t="str">
        <f>INDEX(Input!$1:$1048576,AW$10,$C28*2+6)</f>
        <v>Kia</v>
      </c>
      <c r="AX28" s="41" t="str">
        <f>INDEX(Input!$1:$1048576,AX$10,$C28*2+6)</f>
        <v>Kia-LR - R1</v>
      </c>
      <c r="AY28" s="41" t="str">
        <f>IF(D28="Skip","",INDEX(Input!$1:$1048576,AY$10,$C28*2+6))</f>
        <v>Compact SUV (52)</v>
      </c>
      <c r="AZ28" s="41" t="str">
        <f>INDEX(Input!$1:$1048576,AZ$10,$C28*2+6)</f>
        <v>Kia Soul</v>
      </c>
      <c r="BA28" s="3">
        <f>INDEX(Input!$1:$1048576,BA$10,$C28*2+6)</f>
        <v>2020</v>
      </c>
      <c r="BB28" s="128">
        <f>INDEX(Input!$1:$1048576,BB$10,$C28*2+6)</f>
        <v>1</v>
      </c>
      <c r="BC28" s="128">
        <f>INDEX(Input!$1:$1048576,BC$10,$C28*2+6)</f>
        <v>0.7</v>
      </c>
      <c r="BD28" s="1">
        <f>INDEX(Input!$1:$1048576,BD$10,$C28*2+6)</f>
        <v>4.4999999999999998E-2</v>
      </c>
      <c r="BE28" s="1">
        <f>INDEX(Input!$1:$1048576,BE$10,$C28*2+6)</f>
        <v>4.4999999999999998E-2</v>
      </c>
      <c r="BF28" s="1">
        <f>INDEX(Input!$1:$1048576,BF$10,$C28*2+6)</f>
        <v>0.05</v>
      </c>
      <c r="BG28" s="1">
        <f>INDEX(Input!$1:$1048576,BG$10,$C28*2+6)</f>
        <v>5.45E-2</v>
      </c>
      <c r="BH28" s="1">
        <f>INDEX(Input!$1:$1048576,BH$10,$C28*2+6)</f>
        <v>5.45E-2</v>
      </c>
      <c r="BI28" s="1">
        <f>INDEX(Input!$1:$1048576,BI$10,$C28*2+6)</f>
        <v>0.05</v>
      </c>
      <c r="BJ28" s="1">
        <f>INDEX(Input!$1:$1048576,BJ$10,$C28*2+6)</f>
        <v>0.05</v>
      </c>
      <c r="BK28" s="1">
        <f>INDEX(Input!$1:$1048576,BK$10,$C28*2+6)</f>
        <v>0.05</v>
      </c>
      <c r="BL28" s="1">
        <f>INDEX(Input!$1:$1048576,BL$10,$C28*2+6)</f>
        <v>5.5E-2</v>
      </c>
      <c r="BM28" s="1">
        <f>INDEX(Input!$1:$1048576,BM$10,$C28*2+6)</f>
        <v>0.06</v>
      </c>
      <c r="BN28" s="1">
        <f>INDEX(Input!$1:$1048576,BN$10,$C28*2+6)</f>
        <v>4.4999999999999998E-2</v>
      </c>
      <c r="BO28" s="1">
        <f>INDEX(Input!$1:$1048576,BO$10,$C28*2+6)</f>
        <v>4.4999999999999998E-2</v>
      </c>
      <c r="BP28" s="1">
        <f>INDEX(Input!$1:$1048576,BP$10,$C28*2+6)</f>
        <v>0.05</v>
      </c>
      <c r="BQ28" s="1">
        <f>INDEX(Input!$1:$1048576,BQ$10,$C28*2+6)</f>
        <v>5.45E-2</v>
      </c>
      <c r="BR28" s="1">
        <f>INDEX(Input!$1:$1048576,BR$10,$C28*2+6)</f>
        <v>5.45E-2</v>
      </c>
      <c r="BS28" s="1">
        <f>INDEX(Input!$1:$1048576,BS$10,$C28*2+6)</f>
        <v>0.05</v>
      </c>
      <c r="BT28" s="1">
        <f>INDEX(Input!$1:$1048576,BT$10,$C28*2+6)</f>
        <v>0.05</v>
      </c>
      <c r="BU28" s="1">
        <f>INDEX(Input!$1:$1048576,BU$10,$C28*2+6)</f>
        <v>0.05</v>
      </c>
      <c r="BV28" s="1">
        <f>INDEX(Input!$1:$1048576,BV$10,$C28*2+6)</f>
        <v>5.5E-2</v>
      </c>
      <c r="BW28" s="1">
        <f>INDEX(Input!$1:$1048576,BW$10,$C28*2+6)</f>
        <v>0.06</v>
      </c>
      <c r="BX28" s="304">
        <f>INDEX(Input!$1:$1048576,BX$10,$C28*2+6)</f>
        <v>19985</v>
      </c>
      <c r="BY28" s="20">
        <f>INDEX(Input!$1:$1048576,BY$10,$C28*2+6)</f>
        <v>0.1</v>
      </c>
      <c r="BZ28" s="20">
        <f>INDEX(Input!$1:$1048576,BZ$10,$C28*2+6)</f>
        <v>0.1</v>
      </c>
      <c r="CA28" s="20">
        <f>INDEX(Input!$1:$1048576,CA$10,$C28*2+6)</f>
        <v>0.1</v>
      </c>
      <c r="CB28" s="20">
        <f>INDEX(Input!$1:$1048576,CB$10,$C28*2+6)</f>
        <v>0.1</v>
      </c>
      <c r="CC28" s="20">
        <f>INDEX(Input!$1:$1048576,CC$10,$C28*2+6)</f>
        <v>0.1</v>
      </c>
      <c r="CD28" s="384">
        <f>INDEX(Input!$1:$1048576,CD$10,$C28*2+6)</f>
        <v>0.1</v>
      </c>
      <c r="CE28" s="384">
        <f>INDEX(Input!$1:$1048576,CE$10,$C28*2+6)</f>
        <v>0.1</v>
      </c>
      <c r="CF28" s="384">
        <f>INDEX(Input!$1:$1048576,CF$10,$C28*2+6)</f>
        <v>0.1</v>
      </c>
      <c r="CG28" s="384">
        <f>INDEX(Input!$1:$1048576,CG$10,$C28*2+6)</f>
        <v>0.1</v>
      </c>
      <c r="CH28" s="384">
        <f>INDEX(Input!$1:$1048576,CH$10,$C28*2+6)</f>
        <v>0.1</v>
      </c>
      <c r="CI28" s="304">
        <f t="shared" si="22"/>
        <v>1270</v>
      </c>
      <c r="CJ28" s="16" t="str">
        <f>INDEX(Input!$1:$1048576,CJ$10,$C28*2+6)</f>
        <v>N</v>
      </c>
      <c r="CK28" s="1" t="str">
        <f t="shared" si="23"/>
        <v>Market</v>
      </c>
      <c r="CL28" s="1" t="str">
        <f t="shared" si="24"/>
        <v>Market</v>
      </c>
      <c r="CM28" s="1" t="str">
        <f t="shared" si="25"/>
        <v>Market</v>
      </c>
      <c r="CN28" s="1" t="str">
        <f t="shared" si="26"/>
        <v>Market</v>
      </c>
      <c r="CO28" s="1" t="str">
        <f t="shared" si="27"/>
        <v>Market</v>
      </c>
      <c r="CP28" s="304">
        <f t="shared" si="28"/>
        <v>0</v>
      </c>
      <c r="CQ28" s="1">
        <f t="shared" si="29"/>
        <v>0</v>
      </c>
      <c r="CR28" s="1">
        <f t="shared" si="30"/>
        <v>0</v>
      </c>
      <c r="CS28" s="1">
        <f t="shared" si="31"/>
        <v>0</v>
      </c>
      <c r="CT28" s="1">
        <f t="shared" si="32"/>
        <v>0</v>
      </c>
      <c r="CU28" s="1">
        <f t="shared" si="33"/>
        <v>1.9E-2</v>
      </c>
      <c r="CV28" s="304">
        <f t="shared" si="34"/>
        <v>5266.25</v>
      </c>
      <c r="CW28" s="20" t="s">
        <v>122</v>
      </c>
      <c r="CX28" s="20" t="s">
        <v>122</v>
      </c>
      <c r="CY28" s="20" t="s">
        <v>122</v>
      </c>
      <c r="CZ28" s="20" t="s">
        <v>122</v>
      </c>
      <c r="DA28" s="20" t="s">
        <v>122</v>
      </c>
      <c r="DB28" s="503">
        <f t="shared" si="35"/>
        <v>500</v>
      </c>
      <c r="DC28" s="127">
        <v>0</v>
      </c>
      <c r="DD28" s="127">
        <v>0</v>
      </c>
      <c r="DE28" s="127">
        <v>0</v>
      </c>
      <c r="DF28" s="127">
        <v>0</v>
      </c>
      <c r="DG28" s="127">
        <v>0</v>
      </c>
      <c r="DH28" s="127">
        <v>0</v>
      </c>
      <c r="DI28" s="127">
        <v>0</v>
      </c>
      <c r="DJ28" s="127">
        <v>0</v>
      </c>
      <c r="DK28" s="127">
        <v>0</v>
      </c>
      <c r="DL28" s="127">
        <v>0</v>
      </c>
      <c r="DM28" s="304">
        <f>INDEX(Input!$1:$1048576,DM$10,$C28*2+6)</f>
        <v>21036.84210526316</v>
      </c>
      <c r="DN28" s="20">
        <v>0</v>
      </c>
      <c r="DO28" s="20">
        <v>0</v>
      </c>
      <c r="DP28" s="20">
        <v>0</v>
      </c>
      <c r="DQ28" s="20">
        <v>0</v>
      </c>
      <c r="DR28" s="20">
        <v>0</v>
      </c>
      <c r="DS28" s="20">
        <f>INDEX(Input!$1:$1048576,DS$10,$C28*2+6)</f>
        <v>0.6</v>
      </c>
      <c r="DT28" s="20">
        <f>INDEX(Input!$1:$1048576,DT$10,$C28*2+6)</f>
        <v>0.55000000000000004</v>
      </c>
      <c r="DU28" s="20">
        <f>INDEX(Input!$1:$1048576,DU$10,$C28*2+6)</f>
        <v>0.52</v>
      </c>
      <c r="DV28" s="20">
        <f>INDEX(Input!$1:$1048576,DV$10,$C28*2+6)</f>
        <v>0.5</v>
      </c>
      <c r="DW28" s="20">
        <f>INDEX(Input!$1:$1048576,DW$10,$C28*2+6)</f>
        <v>0.45</v>
      </c>
      <c r="DX28" s="20"/>
      <c r="DY28" s="7">
        <v>3.5875104845946693E-2</v>
      </c>
      <c r="DZ28" s="7">
        <v>0</v>
      </c>
      <c r="EA28" s="7">
        <v>0.29286551563584695</v>
      </c>
      <c r="EB28" s="7">
        <v>0</v>
      </c>
      <c r="EC28" s="7">
        <v>0</v>
      </c>
      <c r="ED28" s="7">
        <v>0</v>
      </c>
      <c r="EE28" s="7">
        <v>0</v>
      </c>
      <c r="EF28" s="7">
        <v>0</v>
      </c>
      <c r="EG28" s="7">
        <v>0</v>
      </c>
      <c r="EH28" s="7">
        <v>6.2481387617435496E-3</v>
      </c>
      <c r="EI28" s="7">
        <v>1.617035891235646E-2</v>
      </c>
      <c r="EJ28" s="7">
        <v>0.11419291545224441</v>
      </c>
      <c r="EK28" s="7">
        <v>0.66131689760650814</v>
      </c>
      <c r="EL28" s="7">
        <v>0.20207168926714728</v>
      </c>
      <c r="EM28" s="7">
        <v>2.9411145236108653E-2</v>
      </c>
      <c r="EN28" s="7">
        <v>8.4182516248156786E-2</v>
      </c>
      <c r="EO28" s="7">
        <v>0.85249366932000492</v>
      </c>
      <c r="EP28" s="7">
        <v>2.7269121095910551E-2</v>
      </c>
      <c r="EQ28" s="7">
        <v>2.2642187342878439E-2</v>
      </c>
      <c r="ER28" s="7">
        <v>1.3412505993049393E-2</v>
      </c>
      <c r="ES28" s="7">
        <v>0.64184823428209781</v>
      </c>
      <c r="ET28" s="7">
        <v>0.67125937951820636</v>
      </c>
      <c r="EU28" s="6">
        <v>1490</v>
      </c>
      <c r="EV28" s="6">
        <v>0</v>
      </c>
      <c r="EW28" s="6">
        <v>1490</v>
      </c>
      <c r="EX28" s="6">
        <v>0</v>
      </c>
      <c r="EY28" s="6">
        <v>2942.0376284116778</v>
      </c>
      <c r="EZ28" s="6">
        <v>5366.25</v>
      </c>
      <c r="FA28" s="6">
        <v>0</v>
      </c>
      <c r="FB28" s="6">
        <v>0</v>
      </c>
      <c r="FC28" s="6">
        <v>0</v>
      </c>
      <c r="FD28" s="6">
        <v>0</v>
      </c>
      <c r="FE28" s="6">
        <v>0</v>
      </c>
      <c r="FF28" s="6">
        <v>0</v>
      </c>
      <c r="FG28" s="6">
        <v>0</v>
      </c>
      <c r="FH28" s="6">
        <v>1169.6726730994098</v>
      </c>
      <c r="FI28" s="6">
        <v>1553.9796069512399</v>
      </c>
      <c r="FJ28" s="6">
        <v>2101.211011744741</v>
      </c>
      <c r="FK28" s="6">
        <v>2674.200626159226</v>
      </c>
      <c r="FL28" s="6">
        <v>2034.7405995769197</v>
      </c>
      <c r="FM28" s="6">
        <v>2452.0376284116778</v>
      </c>
      <c r="FN28" s="6">
        <v>0</v>
      </c>
      <c r="FO28" s="6">
        <v>0</v>
      </c>
      <c r="FP28" s="6">
        <v>0</v>
      </c>
      <c r="FQ28" s="6">
        <v>0</v>
      </c>
      <c r="FR28" s="6">
        <v>0</v>
      </c>
      <c r="FS28" s="6">
        <v>0</v>
      </c>
      <c r="FT28" s="7">
        <v>0.32874062048179364</v>
      </c>
      <c r="FU28" s="7">
        <v>2.9411145236108653E-2</v>
      </c>
      <c r="FV28" s="7">
        <v>0.64184823428209781</v>
      </c>
      <c r="FW28" s="519">
        <v>1490</v>
      </c>
      <c r="FX28" s="519">
        <v>2942.0376284116778</v>
      </c>
      <c r="FY28" s="519">
        <v>5366.25</v>
      </c>
      <c r="FZ28" s="6">
        <v>1967.1476439350847</v>
      </c>
      <c r="GA28" s="6">
        <v>4020.6703077134925</v>
      </c>
      <c r="GB28" s="6">
        <v>15964.329692286508</v>
      </c>
      <c r="GC28" s="7">
        <v>3.3872851927908169E-2</v>
      </c>
      <c r="GD28" s="7">
        <v>4.0639983403281586E-2</v>
      </c>
      <c r="GE28" s="7"/>
      <c r="GF28" s="7"/>
      <c r="GG28" s="7">
        <v>0.19978038724864239</v>
      </c>
      <c r="GH28" s="42">
        <v>1.9442741536720403</v>
      </c>
      <c r="GI28" s="6">
        <v>14299.570514382116</v>
      </c>
      <c r="GJ28" s="14">
        <v>0.50394797582841733</v>
      </c>
      <c r="GK28" s="14">
        <v>0.50887573065309744</v>
      </c>
      <c r="GL28" s="14">
        <v>0.49605202417158267</v>
      </c>
      <c r="GM28" s="14">
        <v>0.49112426934690251</v>
      </c>
      <c r="GO28" s="5">
        <v>343.14810671672558</v>
      </c>
      <c r="GP28" s="5">
        <v>314.72174922594519</v>
      </c>
      <c r="GQ28" s="5">
        <v>535.04305713031317</v>
      </c>
      <c r="GR28" s="5">
        <v>410.15490233172511</v>
      </c>
      <c r="GS28" s="5">
        <v>339.42744393800166</v>
      </c>
      <c r="GT28" s="5">
        <v>293.4407446948278</v>
      </c>
      <c r="GU28" s="5">
        <v>258.04012322764959</v>
      </c>
      <c r="GV28" s="39" t="s">
        <v>392</v>
      </c>
      <c r="GW28" s="5">
        <v>486.01388888888891</v>
      </c>
      <c r="GX28" s="5">
        <v>364.51041666666669</v>
      </c>
      <c r="GY28" s="5">
        <v>291.60833333333335</v>
      </c>
      <c r="GZ28" s="5">
        <v>243.00694444444446</v>
      </c>
      <c r="HA28" s="5">
        <v>222.61462277929587</v>
      </c>
      <c r="HB28" s="39">
        <v>247.91926371362641</v>
      </c>
      <c r="HC28" s="5">
        <v>52.510937499999983</v>
      </c>
      <c r="HD28" s="5">
        <v>79.563203581871306</v>
      </c>
      <c r="HE28" s="5">
        <v>92.187025556680126</v>
      </c>
      <c r="HF28" s="5">
        <v>96.814224232456127</v>
      </c>
      <c r="HG28" s="5">
        <v>107.77825657894735</v>
      </c>
      <c r="HH28" s="39">
        <v>78.399151691852893</v>
      </c>
      <c r="HI28" s="16"/>
      <c r="HJ28" s="1">
        <f>INDEX(Input!$1:$1048576,HJ$10,$C28*2+6)</f>
        <v>0.42636324602833836</v>
      </c>
      <c r="HK28" s="1">
        <f>INDEX(Input!$1:$1048576,HK$10,$C28*2+6)</f>
        <v>0.52211249463288967</v>
      </c>
      <c r="HL28" s="1">
        <f>INDEX(Input!$1:$1048576,HL$10,$C28*2+6)</f>
        <v>5.1524259338772006E-2</v>
      </c>
      <c r="HM28" s="19"/>
    </row>
    <row r="29" spans="1:221" s="60" customFormat="1" ht="15.75" thickBot="1">
      <c r="A29" s="31">
        <f>C29*1000+B29</f>
        <v>5001</v>
      </c>
      <c r="B29" s="31">
        <f t="shared" ref="B29:B31" si="54">IF(D29="Baseline1",1,B28+1)</f>
        <v>1</v>
      </c>
      <c r="C29" s="508">
        <v>5</v>
      </c>
      <c r="D29" s="31" t="s">
        <v>566</v>
      </c>
      <c r="E29" s="365">
        <f>INDEX(Input!$1:$1048576,E$10,$C29*2+MIN($B29,2)+5)</f>
        <v>1000</v>
      </c>
      <c r="F29" s="366">
        <f>INDEX(Input!$1:$1048576,F$10,$C29*2+MIN($B29,2)+5)</f>
        <v>0</v>
      </c>
      <c r="G29" s="49">
        <f>INDEX(Input!$1:$1048576,G$10,$C29*2+MIN($B29,2)+5)</f>
        <v>0</v>
      </c>
      <c r="H29" s="49">
        <f>INDEX(Input!$1:$1048576,H$10,$C29*2+MIN($B29,2)+5)</f>
        <v>0</v>
      </c>
      <c r="I29" s="367">
        <f>INDEX(Input!$1:$1048576,I$10,$C29*2+MIN($B29,2)+5)</f>
        <v>0.7</v>
      </c>
      <c r="J29" s="367" t="str">
        <f>INDEX(Input!$1:$1048576,J$10,$C29*2+MIN($B29,2)+5)</f>
        <v>Market</v>
      </c>
      <c r="K29" s="367" t="str">
        <f>INDEX(Input!$1:$1048576,K$10,$C29*2+MIN($B29,2)+5)</f>
        <v>Market</v>
      </c>
      <c r="L29" s="367" t="str">
        <f>INDEX(Input!$1:$1048576,L$10,$C29*2+MIN($B29,2)+5)</f>
        <v>Market</v>
      </c>
      <c r="M29" s="367" t="str">
        <f>INDEX(Input!$1:$1048576,M$10,$C29*2+MIN($B29,2)+5)</f>
        <v>Market</v>
      </c>
      <c r="N29" s="367" t="str">
        <f>INDEX(Input!$1:$1048576,N$10,$C29*2+MIN($B29,2)+5)</f>
        <v>Market</v>
      </c>
      <c r="O29" s="367" t="str">
        <f>INDEX(Input!$1:$1048576,O$10,$C29*2+MIN($B29,2)+5)</f>
        <v>Market</v>
      </c>
      <c r="P29" s="367" t="str">
        <f>INDEX(Input!$1:$1048576,P$10,$C29*2+MIN($B29,2)+5)</f>
        <v>N</v>
      </c>
      <c r="Q29" s="47">
        <f>INDEX(Input!$1:$1048576,Q$10,$C29*2+MIN($B29,2)+5)</f>
        <v>0</v>
      </c>
      <c r="R29" s="38">
        <f>INDEX(Input!$1:$1048576,R$10,$C29*2+MIN($B29,2)+5)</f>
        <v>0</v>
      </c>
      <c r="S29" s="38">
        <f>INDEX(Input!$1:$1048576,S$10,$C29*2+MIN($B29,2)+5)</f>
        <v>0</v>
      </c>
      <c r="T29" s="38">
        <f>INDEX(Input!$1:$1048576,T$10,$C29*2+MIN($B29,2)+5)</f>
        <v>0</v>
      </c>
      <c r="U29" s="38">
        <f>INDEX(Input!$1:$1048576,U$10,$C29*2+MIN($B29,2)+5)</f>
        <v>0</v>
      </c>
      <c r="V29" s="38">
        <f>INDEX(Input!$1:$1048576,V$10,$C29*2+MIN($B29,2)+5)</f>
        <v>1.9E-2</v>
      </c>
      <c r="W29" s="38">
        <f>INDEX(Input!$1:$1048576,W$10,$C29*2+MIN($B29,2)+5)</f>
        <v>3.9E-2</v>
      </c>
      <c r="X29" s="367" t="str">
        <f>INDEX(Input!$1:$1048576,X$10,$C29*2+MIN($B29,2)+5)</f>
        <v>Y</v>
      </c>
      <c r="Y29" s="517">
        <f>MIN(BX29*5%,2000)</f>
        <v>999.25</v>
      </c>
      <c r="Z29" s="49">
        <f>INDEX(Input!$1:$1048576,Z$10,$C29*2+MIN($B29,2)+5)</f>
        <v>0</v>
      </c>
      <c r="AA29" s="49">
        <f>INDEX(Input!$1:$1048576,AA$10,$C29*2+MIN($B29,2)+5)</f>
        <v>1000</v>
      </c>
      <c r="AB29" s="367">
        <f>INDEX(Input!$1:$1048576,AB$10,$C29*2+MIN($B29,2)+5)</f>
        <v>0.27</v>
      </c>
      <c r="AC29" s="49">
        <f>INDEX(Input!$1:$1048576,AC$10,$C29*2+MIN($B29,2)+5)</f>
        <v>1000</v>
      </c>
      <c r="AD29" s="367">
        <f>INDEX(Input!$1:$1048576,AD$10,$C29*2+MIN($B29,2)+5)</f>
        <v>0.27</v>
      </c>
      <c r="AE29" s="49">
        <f>INDEX(Input!$1:$1048576,AE$10,$C29*2+MIN($B29,2)+5)</f>
        <v>0</v>
      </c>
      <c r="AF29" s="367">
        <f>INDEX(Input!$1:$1048576,AF$10,$C29*2+MIN($B29,2)+5)</f>
        <v>0.2</v>
      </c>
      <c r="AG29" s="49">
        <f>INDEX(Input!$1:$1048576,AG$10,$C29*2+MIN($B29,2)+5)</f>
        <v>0</v>
      </c>
      <c r="AH29" s="367">
        <f>INDEX(Input!$1:$1048576,AH$10,$C29*2+MIN($B29,2)+5)</f>
        <v>1</v>
      </c>
      <c r="AI29" s="49">
        <f>INDEX(Input!$1:$1048576,AI$10,$C29*2+MIN($B29,2)+5)</f>
        <v>0</v>
      </c>
      <c r="AJ29" s="367">
        <f>INDEX(Input!$1:$1048576,AJ$10,$C29*2+MIN($B29,2)+5)</f>
        <v>0.27</v>
      </c>
      <c r="AK29" s="298">
        <f>INDEX(Input!$1:$1048576,AK$10,$C29*2+MIN($B29,2)+5)</f>
        <v>3383.7164157747857</v>
      </c>
      <c r="AL29" s="49">
        <f>INDEX(Input!$1:$1048576,AL$10,$C29*2+MIN($B29,2)+5)</f>
        <v>3383.7164157747857</v>
      </c>
      <c r="AM29" s="46" t="str">
        <f>IF(K29="market","std",ROUND(K29*1000,0)/10)&amp;"/"&amp;IF(L29="market","std",ROUND(L29*1000,0)/10)&amp;"/"&amp;IF(M29="market","std",ROUND(M29*1000,0)/10)&amp;"/"&amp;IF(N29="market","std",ROUND(N29*1000,0)/10)&amp;IF(P29="N","","/"&amp;IF(O29="market","std",ROUND(O29*1000,0)/10))</f>
        <v>std/std/std/std</v>
      </c>
      <c r="AN29" s="46" t="str">
        <f>"$"&amp;ROUND(Q29,0)&amp;" + "&amp;IF(S29="market","std",ROUND(S29*1000,0)/10)&amp;"/"&amp;IF(T29="market","std",ROUND(T29*1000,0)/10)&amp;"/"&amp;IF(U29="market","std",ROUND(U29*1000,0)/10)&amp;"/"&amp;IF(V29="market","std",ROUND(V29*1000,0)/10)&amp;IF(X29="N","","/"&amp;IF(W29="market","std",ROUND(W29*1000,0)/10))</f>
        <v>$0 + 0/0/0/1.9/3.9</v>
      </c>
      <c r="AO29" s="44" t="str">
        <f>IF(S29="market","std",ROUND(S29*1000,0)/10)&amp;"/"&amp;IF(T29="market","std",ROUND(T29*1000,0)/10)&amp;"/"&amp;IF(U29="market","std",ROUND(U29*1000,0)/10)&amp;"/"&amp;IF(V29="market","std",ROUND(V29*1000,0)/10)&amp;IF(X29="N","","/"&amp;IF(W29="market","std",ROUND(W29*1000,0)/10))</f>
        <v>0/0/0/1.9/3.9</v>
      </c>
      <c r="AP29" s="44" t="str">
        <f>IF(T29="market","std",ROUND(T29*1000,0)/10)&amp;"/"&amp;IF(U29="market","std",ROUND(U29*1000,0)/10)&amp;"/"&amp;IF(V29="market","std",ROUND(V29*1000,0)/10)&amp;IF(X29="N","","/"&amp;IF(W29="market","std",ROUND(W29*1000,0)/10))</f>
        <v>0/0/1.9/3.9</v>
      </c>
      <c r="AQ29" s="49">
        <f t="shared" si="19"/>
        <v>270</v>
      </c>
      <c r="AR29" s="44" t="str">
        <f t="shared" si="20"/>
        <v>0/1.9</v>
      </c>
      <c r="AS29" s="368"/>
      <c r="AT29" s="50">
        <f t="shared" si="21"/>
        <v>13</v>
      </c>
      <c r="AU29" s="45" t="s">
        <v>121</v>
      </c>
      <c r="AV29" s="45" t="s">
        <v>116</v>
      </c>
      <c r="AW29" s="45" t="str">
        <f>INDEX(Input!$1:$1048576,AW$10,$C29*2+6)</f>
        <v>Kia</v>
      </c>
      <c r="AX29" s="45" t="str">
        <f>INDEX(Input!$1:$1048576,AX$10,$C29*2+6)</f>
        <v>Kia-LR - R2</v>
      </c>
      <c r="AY29" s="10" t="str">
        <f>IF(D29="Skip","",INDEX(Input!$1:$1048576,AY$10,$C29*2+6))</f>
        <v>Compact SUV (52)</v>
      </c>
      <c r="AZ29" s="45" t="str">
        <f>INDEX(Input!$1:$1048576,AZ$10,$C29*2+6)</f>
        <v>Kia Soul</v>
      </c>
      <c r="BA29" s="50">
        <f>INDEX(Input!$1:$1048576,BA$10,$C29*2+6)</f>
        <v>2020</v>
      </c>
      <c r="BB29" s="367">
        <f>INDEX(Input!$1:$1048576,BB$10,$C29*2+6)</f>
        <v>1</v>
      </c>
      <c r="BC29" s="367">
        <f>INDEX(Input!$1:$1048576,BC$10,$C29*2+6)</f>
        <v>0.7</v>
      </c>
      <c r="BD29" s="38">
        <f>INDEX(Input!$1:$1048576,BD$10,$C29*2+6)</f>
        <v>4.4999999999999998E-2</v>
      </c>
      <c r="BE29" s="38">
        <f>INDEX(Input!$1:$1048576,BE$10,$C29*2+6)</f>
        <v>4.4999999999999998E-2</v>
      </c>
      <c r="BF29" s="38">
        <f>INDEX(Input!$1:$1048576,BF$10,$C29*2+6)</f>
        <v>0.05</v>
      </c>
      <c r="BG29" s="38">
        <f>INDEX(Input!$1:$1048576,BG$10,$C29*2+6)</f>
        <v>5.45E-2</v>
      </c>
      <c r="BH29" s="38">
        <f>INDEX(Input!$1:$1048576,BH$10,$C29*2+6)</f>
        <v>5.45E-2</v>
      </c>
      <c r="BI29" s="38">
        <f>INDEX(Input!$1:$1048576,BI$10,$C29*2+6)</f>
        <v>0.05</v>
      </c>
      <c r="BJ29" s="38">
        <f>INDEX(Input!$1:$1048576,BJ$10,$C29*2+6)</f>
        <v>0.05</v>
      </c>
      <c r="BK29" s="38">
        <f>INDEX(Input!$1:$1048576,BK$10,$C29*2+6)</f>
        <v>0.05</v>
      </c>
      <c r="BL29" s="38">
        <f>INDEX(Input!$1:$1048576,BL$10,$C29*2+6)</f>
        <v>5.5E-2</v>
      </c>
      <c r="BM29" s="38">
        <f>INDEX(Input!$1:$1048576,BM$10,$C29*2+6)</f>
        <v>0.06</v>
      </c>
      <c r="BN29" s="38">
        <f>INDEX(Input!$1:$1048576,BN$10,$C29*2+6)</f>
        <v>4.4999999999999998E-2</v>
      </c>
      <c r="BO29" s="38">
        <f>INDEX(Input!$1:$1048576,BO$10,$C29*2+6)</f>
        <v>4.4999999999999998E-2</v>
      </c>
      <c r="BP29" s="38">
        <f>INDEX(Input!$1:$1048576,BP$10,$C29*2+6)</f>
        <v>0.05</v>
      </c>
      <c r="BQ29" s="38">
        <f>INDEX(Input!$1:$1048576,BQ$10,$C29*2+6)</f>
        <v>5.45E-2</v>
      </c>
      <c r="BR29" s="38">
        <f>INDEX(Input!$1:$1048576,BR$10,$C29*2+6)</f>
        <v>5.45E-2</v>
      </c>
      <c r="BS29" s="38">
        <f>INDEX(Input!$1:$1048576,BS$10,$C29*2+6)</f>
        <v>0.05</v>
      </c>
      <c r="BT29" s="38">
        <f>INDEX(Input!$1:$1048576,BT$10,$C29*2+6)</f>
        <v>0.05</v>
      </c>
      <c r="BU29" s="38">
        <f>INDEX(Input!$1:$1048576,BU$10,$C29*2+6)</f>
        <v>0.05</v>
      </c>
      <c r="BV29" s="38">
        <f>INDEX(Input!$1:$1048576,BV$10,$C29*2+6)</f>
        <v>5.5E-2</v>
      </c>
      <c r="BW29" s="38">
        <f>INDEX(Input!$1:$1048576,BW$10,$C29*2+6)</f>
        <v>0.06</v>
      </c>
      <c r="BX29" s="49">
        <f>INDEX(Input!$1:$1048576,BX$10,$C29*2+6)</f>
        <v>19985</v>
      </c>
      <c r="BY29" s="367">
        <f>INDEX(Input!$1:$1048576,BY$10,$C29*2+6)</f>
        <v>0.1</v>
      </c>
      <c r="BZ29" s="367">
        <f>INDEX(Input!$1:$1048576,BZ$10,$C29*2+6)</f>
        <v>0.1</v>
      </c>
      <c r="CA29" s="367">
        <f>INDEX(Input!$1:$1048576,CA$10,$C29*2+6)</f>
        <v>0.1</v>
      </c>
      <c r="CB29" s="367">
        <f>INDEX(Input!$1:$1048576,CB$10,$C29*2+6)</f>
        <v>0.1</v>
      </c>
      <c r="CC29" s="367">
        <f>INDEX(Input!$1:$1048576,CC$10,$C29*2+6)</f>
        <v>0.1</v>
      </c>
      <c r="CD29" s="367">
        <f>INDEX(Input!$1:$1048576,CD$10,$C29*2+6)</f>
        <v>0.1</v>
      </c>
      <c r="CE29" s="367">
        <f>INDEX(Input!$1:$1048576,CE$10,$C29*2+6)</f>
        <v>0.1</v>
      </c>
      <c r="CF29" s="367">
        <f>INDEX(Input!$1:$1048576,CF$10,$C29*2+6)</f>
        <v>0.1</v>
      </c>
      <c r="CG29" s="367">
        <f>INDEX(Input!$1:$1048576,CG$10,$C29*2+6)</f>
        <v>0.1</v>
      </c>
      <c r="CH29" s="48">
        <f>INDEX(Input!$1:$1048576,CH$10,$C29*2+6)</f>
        <v>0.1</v>
      </c>
      <c r="CI29" s="298">
        <f t="shared" si="22"/>
        <v>1270</v>
      </c>
      <c r="CJ29" s="46" t="str">
        <f>INDEX(Input!$1:$1048576,CJ$10,$C29*2+6)</f>
        <v>N</v>
      </c>
      <c r="CK29" s="38" t="str">
        <f t="shared" si="23"/>
        <v>Market</v>
      </c>
      <c r="CL29" s="38" t="str">
        <f t="shared" si="24"/>
        <v>Market</v>
      </c>
      <c r="CM29" s="38" t="str">
        <f t="shared" si="25"/>
        <v>Market</v>
      </c>
      <c r="CN29" s="38" t="str">
        <f t="shared" si="26"/>
        <v>Market</v>
      </c>
      <c r="CO29" s="38" t="str">
        <f t="shared" si="27"/>
        <v>Market</v>
      </c>
      <c r="CP29" s="49">
        <f t="shared" si="28"/>
        <v>0</v>
      </c>
      <c r="CQ29" s="38">
        <f t="shared" si="29"/>
        <v>0</v>
      </c>
      <c r="CR29" s="38">
        <f t="shared" si="30"/>
        <v>0</v>
      </c>
      <c r="CS29" s="38">
        <f t="shared" si="31"/>
        <v>0</v>
      </c>
      <c r="CT29" s="38">
        <f t="shared" si="32"/>
        <v>0</v>
      </c>
      <c r="CU29" s="38">
        <f t="shared" si="33"/>
        <v>1.9E-2</v>
      </c>
      <c r="CV29" s="49">
        <f t="shared" si="34"/>
        <v>1269.25</v>
      </c>
      <c r="CW29" s="22" t="s">
        <v>122</v>
      </c>
      <c r="CX29" s="22" t="s">
        <v>122</v>
      </c>
      <c r="CY29" s="22" t="s">
        <v>122</v>
      </c>
      <c r="CZ29" s="22" t="s">
        <v>122</v>
      </c>
      <c r="DA29" s="22" t="s">
        <v>122</v>
      </c>
      <c r="DB29" s="502">
        <f t="shared" si="35"/>
        <v>0</v>
      </c>
      <c r="DC29" s="29">
        <v>0</v>
      </c>
      <c r="DD29" s="29">
        <v>0</v>
      </c>
      <c r="DE29" s="29">
        <v>0</v>
      </c>
      <c r="DF29" s="49">
        <v>0</v>
      </c>
      <c r="DG29" s="49">
        <v>0</v>
      </c>
      <c r="DH29" s="49">
        <v>0</v>
      </c>
      <c r="DI29" s="49">
        <v>0</v>
      </c>
      <c r="DJ29" s="49">
        <v>0</v>
      </c>
      <c r="DK29" s="29">
        <v>0</v>
      </c>
      <c r="DL29" s="29">
        <v>0</v>
      </c>
      <c r="DM29" s="49">
        <f>INDEX(Input!$1:$1048576,DM$10,$C29*2+6)</f>
        <v>21036.84210526316</v>
      </c>
      <c r="DN29" s="367">
        <v>0</v>
      </c>
      <c r="DO29" s="367">
        <v>0</v>
      </c>
      <c r="DP29" s="367">
        <v>0</v>
      </c>
      <c r="DQ29" s="367">
        <v>0</v>
      </c>
      <c r="DR29" s="367">
        <v>0</v>
      </c>
      <c r="DS29" s="367">
        <f>INDEX(Input!$1:$1048576,DS$10,$C29*2+6)</f>
        <v>0.6</v>
      </c>
      <c r="DT29" s="367">
        <f>INDEX(Input!$1:$1048576,DT$10,$C29*2+6)</f>
        <v>0.55000000000000004</v>
      </c>
      <c r="DU29" s="367">
        <f>INDEX(Input!$1:$1048576,DU$10,$C29*2+6)</f>
        <v>0.52</v>
      </c>
      <c r="DV29" s="367">
        <f>INDEX(Input!$1:$1048576,DV$10,$C29*2+6)</f>
        <v>0.5</v>
      </c>
      <c r="DW29" s="367">
        <f>INDEX(Input!$1:$1048576,DW$10,$C29*2+6)</f>
        <v>0.45</v>
      </c>
      <c r="DX29" s="369"/>
      <c r="DY29" s="4">
        <v>0.10544654229865326</v>
      </c>
      <c r="DZ29" s="37">
        <v>0</v>
      </c>
      <c r="EA29" s="37">
        <v>0.65500451006382354</v>
      </c>
      <c r="EB29" s="37">
        <v>0</v>
      </c>
      <c r="EC29" s="37">
        <v>0</v>
      </c>
      <c r="ED29" s="37">
        <v>0</v>
      </c>
      <c r="EE29" s="37">
        <v>0</v>
      </c>
      <c r="EF29" s="37">
        <v>0</v>
      </c>
      <c r="EG29" s="37">
        <v>0</v>
      </c>
      <c r="EH29" s="37">
        <v>6.4772311438846602E-3</v>
      </c>
      <c r="EI29" s="37">
        <v>1.799042900441809E-2</v>
      </c>
      <c r="EJ29" s="37">
        <v>0.15613922555167309</v>
      </c>
      <c r="EK29" s="37">
        <v>0.62825396680938617</v>
      </c>
      <c r="EL29" s="37">
        <v>0.19113914749063826</v>
      </c>
      <c r="EM29" s="37">
        <v>0.12486788827249795</v>
      </c>
      <c r="EN29" s="37">
        <v>6.203611960051645E-2</v>
      </c>
      <c r="EO29" s="37">
        <v>0.74940685697423426</v>
      </c>
      <c r="EP29" s="37">
        <v>7.4888984283135437E-2</v>
      </c>
      <c r="EQ29" s="37">
        <v>7.3485069589308782E-2</v>
      </c>
      <c r="ER29" s="37">
        <v>4.0182969552805051E-2</v>
      </c>
      <c r="ES29" s="37">
        <v>0.11468105936502532</v>
      </c>
      <c r="ET29" s="37">
        <v>0.23954894763752327</v>
      </c>
      <c r="EU29" s="36">
        <v>1240</v>
      </c>
      <c r="EV29" s="36">
        <v>0</v>
      </c>
      <c r="EW29" s="36">
        <v>1240</v>
      </c>
      <c r="EX29" s="36">
        <v>0</v>
      </c>
      <c r="EY29" s="36">
        <v>2672.6259740448222</v>
      </c>
      <c r="EZ29" s="36">
        <v>1119.25</v>
      </c>
      <c r="FA29" s="36">
        <v>0</v>
      </c>
      <c r="FB29" s="36">
        <v>0</v>
      </c>
      <c r="FC29" s="36">
        <v>0</v>
      </c>
      <c r="FD29" s="36">
        <v>0</v>
      </c>
      <c r="FE29" s="36">
        <v>0</v>
      </c>
      <c r="FF29" s="36">
        <v>0</v>
      </c>
      <c r="FG29" s="36">
        <v>0</v>
      </c>
      <c r="FH29" s="36">
        <v>1172.1087285804324</v>
      </c>
      <c r="FI29" s="36">
        <v>1553.9796069512402</v>
      </c>
      <c r="FJ29" s="36">
        <v>2101.211011744741</v>
      </c>
      <c r="FK29" s="36">
        <v>2674.2006261592264</v>
      </c>
      <c r="FL29" s="36">
        <v>2034.7405995769209</v>
      </c>
      <c r="FM29" s="36">
        <v>2432.6259740448222</v>
      </c>
      <c r="FN29" s="36">
        <v>0</v>
      </c>
      <c r="FO29" s="36">
        <v>0</v>
      </c>
      <c r="FP29" s="36">
        <v>0</v>
      </c>
      <c r="FQ29" s="36">
        <v>0</v>
      </c>
      <c r="FR29" s="36">
        <v>0</v>
      </c>
      <c r="FS29" s="36">
        <v>0</v>
      </c>
      <c r="FT29" s="37">
        <v>0.76045105236247679</v>
      </c>
      <c r="FU29" s="37">
        <v>0.12486788827249795</v>
      </c>
      <c r="FV29" s="37">
        <v>0.11468105936502532</v>
      </c>
      <c r="FW29" s="518">
        <v>1240</v>
      </c>
      <c r="FX29" s="518">
        <v>2672.6259740448222</v>
      </c>
      <c r="FY29" s="518">
        <v>1119.25</v>
      </c>
      <c r="FZ29" s="36">
        <v>1779.5209350888699</v>
      </c>
      <c r="GA29" s="36">
        <v>1405.0412421449807</v>
      </c>
      <c r="GB29" s="36">
        <v>18579.95875785502</v>
      </c>
      <c r="GC29" s="37">
        <v>3.064145122680037E-2</v>
      </c>
      <c r="GD29" s="37">
        <v>2.9956184600300736E-2</v>
      </c>
      <c r="GE29" s="37"/>
      <c r="GF29" s="37"/>
      <c r="GG29" s="37">
        <v>-2.2364039530225293E-2</v>
      </c>
      <c r="GH29" s="35">
        <v>1.1935101914285144</v>
      </c>
      <c r="GI29" s="36">
        <v>18149.766292276239</v>
      </c>
      <c r="GJ29" s="34">
        <v>0.50394797582841722</v>
      </c>
      <c r="GK29" s="34">
        <v>0.50887573065309755</v>
      </c>
      <c r="GL29" s="34">
        <v>0.49605202417158295</v>
      </c>
      <c r="GM29" s="33">
        <v>0.49112426934690262</v>
      </c>
      <c r="GN29" s="61"/>
      <c r="GO29" s="13">
        <v>343.14810671672558</v>
      </c>
      <c r="GP29" s="27">
        <v>319.49127229486811</v>
      </c>
      <c r="GQ29" s="27">
        <v>535.04305713031317</v>
      </c>
      <c r="GR29" s="27">
        <v>410.15490233172511</v>
      </c>
      <c r="GS29" s="27">
        <v>339.42744393800166</v>
      </c>
      <c r="GT29" s="27">
        <v>293.4407446948278</v>
      </c>
      <c r="GU29" s="27">
        <v>258.04012322764959</v>
      </c>
      <c r="GV29" s="29" t="s">
        <v>392</v>
      </c>
      <c r="GW29" s="27">
        <v>492.95833333333331</v>
      </c>
      <c r="GX29" s="27">
        <v>369.71875</v>
      </c>
      <c r="GY29" s="27">
        <v>295.77499999999998</v>
      </c>
      <c r="GZ29" s="27">
        <v>246.47916666666666</v>
      </c>
      <c r="HA29" s="27">
        <v>225.79546784515614</v>
      </c>
      <c r="HB29" s="29">
        <v>254.03635085570556</v>
      </c>
      <c r="HC29" s="27">
        <v>238.31718749999999</v>
      </c>
      <c r="HD29" s="27">
        <v>206.38334247076017</v>
      </c>
      <c r="HE29" s="27">
        <v>209.93237812078269</v>
      </c>
      <c r="HF29" s="27">
        <v>195.02609923245612</v>
      </c>
      <c r="HG29" s="27">
        <v>189.17908991228069</v>
      </c>
      <c r="HH29" s="12">
        <v>207.10427220886766</v>
      </c>
      <c r="HI29" s="94"/>
      <c r="HJ29" s="24">
        <f>INDEX(Input!$1:$1048576,HJ$10,$C29*2+6)</f>
        <v>0.40560292326431191</v>
      </c>
      <c r="HK29" s="18">
        <f>INDEX(Input!$1:$1048576,HK$10,$C29*2+6)</f>
        <v>0.52253349573690622</v>
      </c>
      <c r="HL29" s="43">
        <f>INDEX(Input!$1:$1048576,HL$10,$C29*2+6)</f>
        <v>7.186358099878197E-2</v>
      </c>
      <c r="HM29" s="49">
        <f>IF(HL29&lt;FV30,TREND(Y29:Y30,FV29:FV30,HL29),TREND(Y30:Y31,FV30:FV31,HL29))</f>
        <v>568.12993206718079</v>
      </c>
    </row>
    <row r="30" spans="1:221" s="26" customFormat="1" ht="15">
      <c r="A30" s="117">
        <f t="shared" ref="A30:A31" si="55">C30*1000+B30</f>
        <v>5002</v>
      </c>
      <c r="B30" s="117">
        <f t="shared" si="54"/>
        <v>2</v>
      </c>
      <c r="C30" s="117">
        <f t="shared" si="14"/>
        <v>5</v>
      </c>
      <c r="D30" s="117" t="s">
        <v>568</v>
      </c>
      <c r="E30" s="115">
        <f>INDEX(Input!$1:$1048576,E$10,$C30*2+6)</f>
        <v>1000</v>
      </c>
      <c r="F30" s="115">
        <f>INDEX(Input!$1:$1048576,F$10,$C30*2+6)</f>
        <v>0</v>
      </c>
      <c r="G30" s="115">
        <f>INDEX(Input!$1:$1048576,G$10,$C30*2+6)</f>
        <v>0</v>
      </c>
      <c r="H30" s="115">
        <f>INDEX(Input!$1:$1048576,H$10,$C30*2+6)</f>
        <v>0</v>
      </c>
      <c r="I30" s="118">
        <f>INDEX(Input!$1:$1048576,I$10,$C30*2+6)</f>
        <v>0.7</v>
      </c>
      <c r="J30" s="118" t="str">
        <f>INDEX(Input!$1:$1048576,J$10,$C30*2+6)</f>
        <v>Market</v>
      </c>
      <c r="K30" s="118" t="str">
        <f>INDEX(Input!$1:$1048576,K$10,$C30*2+6)</f>
        <v>Market</v>
      </c>
      <c r="L30" s="118" t="str">
        <f>INDEX(Input!$1:$1048576,L$10,$C30*2+6)</f>
        <v>Market</v>
      </c>
      <c r="M30" s="118" t="str">
        <f>INDEX(Input!$1:$1048576,M$10,$C30*2+6)</f>
        <v>Market</v>
      </c>
      <c r="N30" s="118" t="str">
        <f>INDEX(Input!$1:$1048576,N$10,$C30*2+6)</f>
        <v>Market</v>
      </c>
      <c r="O30" s="118" t="str">
        <f>INDEX(Input!$1:$1048576,O$10,$C30*2+6)</f>
        <v>Market</v>
      </c>
      <c r="P30" s="118" t="str">
        <f>INDEX(Input!$1:$1048576,P$10,$C30*2+6)</f>
        <v>N</v>
      </c>
      <c r="Q30" s="30">
        <f>INDEX(Input!$1:$1048576,Q$10,$C30*2+6)</f>
        <v>0</v>
      </c>
      <c r="R30" s="383">
        <f>INDEX(Input!$1:$1048576,R$10,$C30*2+6)</f>
        <v>0</v>
      </c>
      <c r="S30" s="383">
        <f>INDEX(Input!$1:$1048576,S$10,$C30*2+6)</f>
        <v>0</v>
      </c>
      <c r="T30" s="383">
        <f>INDEX(Input!$1:$1048576,T$10,$C30*2+6)</f>
        <v>0</v>
      </c>
      <c r="U30" s="383">
        <f>INDEX(Input!$1:$1048576,U$10,$C30*2+6)</f>
        <v>0</v>
      </c>
      <c r="V30" s="383">
        <f>INDEX(Input!$1:$1048576,V$10,$C30*2+6)</f>
        <v>1.9E-2</v>
      </c>
      <c r="W30" s="383">
        <f>INDEX(Input!$1:$1048576,W$10,$C30*2+6)</f>
        <v>3.9E-2</v>
      </c>
      <c r="X30" s="118" t="str">
        <f>INDEX(Input!$1:$1048576,X$10,$C30*2+6)</f>
        <v>Y</v>
      </c>
      <c r="Y30" s="520">
        <f>MIN(BX30*10%,4000)+Y29</f>
        <v>2997.75</v>
      </c>
      <c r="Z30" s="30">
        <f>INDEX(Input!$1:$1048576,Z$10,$C30*2+6)</f>
        <v>0</v>
      </c>
      <c r="AA30" s="115">
        <f>INDEX(Input!$1:$1048576,AA$10,$C30*2+6)</f>
        <v>1000</v>
      </c>
      <c r="AB30" s="118">
        <f>INDEX(Input!$1:$1048576,AB$10,$C30*2+6)</f>
        <v>0.27</v>
      </c>
      <c r="AC30" s="115">
        <f>INDEX(Input!$1:$1048576,AC$10,$C30*2+6)</f>
        <v>1000</v>
      </c>
      <c r="AD30" s="118">
        <f>INDEX(Input!$1:$1048576,AD$10,$C30*2+6)</f>
        <v>0.27</v>
      </c>
      <c r="AE30" s="115">
        <f>INDEX(Input!$1:$1048576,AE$10,$C30*2+6)</f>
        <v>0</v>
      </c>
      <c r="AF30" s="118">
        <f>INDEX(Input!$1:$1048576,AF$10,$C30*2+6)</f>
        <v>0.2</v>
      </c>
      <c r="AG30" s="115">
        <f>INDEX(Input!$1:$1048576,AG$10,$C30*2+6)</f>
        <v>0</v>
      </c>
      <c r="AH30" s="118">
        <f>INDEX(Input!$1:$1048576,AH$10,$C30*2+6)</f>
        <v>1</v>
      </c>
      <c r="AI30" s="115">
        <f>INDEX(Input!$1:$1048576,AI$10,$C30*2+6)</f>
        <v>0</v>
      </c>
      <c r="AJ30" s="118">
        <f>INDEX(Input!$1:$1048576,AJ$10,$C30*2+6)</f>
        <v>0.27</v>
      </c>
      <c r="AK30" s="150">
        <f>INDEX(Input!$1:$1048576,AK$10,$C29*2+6)+(Y30-VLOOKUP($C30*1000+1,$A:$HH,Y$9,FALSE))</f>
        <v>5382.2164157747857</v>
      </c>
      <c r="AL30" s="150">
        <f>INDEX(Input!$1:$1048576,AL$10,$C29*2+6)-(Y30-VLOOKUP($C30*1000+1,$A:$HH,Y$9,FALSE))/36</f>
        <v>3328.202526885897</v>
      </c>
      <c r="AM30" s="32" t="str">
        <f t="shared" ref="AM30:AM31" si="56">IF(K30="market","std",ROUND(K30*1000,0)/10)&amp;"/"&amp;IF(L30="market","std",ROUND(L30*1000,0)/10)&amp;"/"&amp;IF(M30="market","std",ROUND(M30*1000,0)/10)&amp;"/"&amp;IF(N30="market","std",ROUND(N30*1000,0)/10)&amp;IF(P30="N","","/"&amp;IF(O30="market","std",ROUND(O30*1000,0)/10))</f>
        <v>std/std/std/std</v>
      </c>
      <c r="AN30" s="32" t="str">
        <f t="shared" ref="AN30:AN31" si="57">"$"&amp;ROUND(Q30,0)&amp;" + "&amp;IF(S30="market","std",ROUND(S30*1000,0)/10)&amp;"/"&amp;IF(T30="market","std",ROUND(T30*1000,0)/10)&amp;"/"&amp;IF(U30="market","std",ROUND(U30*1000,0)/10)&amp;"/"&amp;IF(V30="market","std",ROUND(V30*1000,0)/10)&amp;IF(X30="N","","/"&amp;IF(W30="market","std",ROUND(W30*1000,0)/10))</f>
        <v>$0 + 0/0/0/1.9/3.9</v>
      </c>
      <c r="AO30" s="32" t="str">
        <f t="shared" ref="AO30:AO31" si="58">IF(S30="market","std",ROUND(S30*1000,0)/10)&amp;"/"&amp;IF(T30="market","std",ROUND(T30*1000,0)/10)&amp;"/"&amp;IF(U30="market","std",ROUND(U30*1000,0)/10)&amp;"/"&amp;IF(V30="market","std",ROUND(V30*1000,0)/10)&amp;IF(X30="N","","/"&amp;IF(W30="market","std",ROUND(W30*1000,0)/10))</f>
        <v>0/0/0/1.9/3.9</v>
      </c>
      <c r="AP30" s="32" t="str">
        <f t="shared" ref="AP30:AP31" si="59">IF(T30="market","std",ROUND(T30*1000,0)/10)&amp;"/"&amp;IF(U30="market","std",ROUND(U30*1000,0)/10)&amp;"/"&amp;IF(V30="market","std",ROUND(V30*1000,0)/10)&amp;IF(X30="N","","/"&amp;IF(W30="market","std",ROUND(W30*1000,0)/10))</f>
        <v>0/0/1.9/3.9</v>
      </c>
      <c r="AQ30" s="150">
        <f t="shared" si="19"/>
        <v>270</v>
      </c>
      <c r="AR30" s="32" t="str">
        <f t="shared" si="20"/>
        <v>0/1.9</v>
      </c>
      <c r="AS30" s="302"/>
      <c r="AT30" s="3">
        <f t="shared" si="21"/>
        <v>14</v>
      </c>
      <c r="AU30" s="41" t="s">
        <v>121</v>
      </c>
      <c r="AV30" s="41" t="s">
        <v>116</v>
      </c>
      <c r="AW30" s="41" t="str">
        <f>INDEX(Input!$1:$1048576,AW$10,$C30*2+6)</f>
        <v>Kia</v>
      </c>
      <c r="AX30" s="41" t="str">
        <f>INDEX(Input!$1:$1048576,AX$10,$C30*2+6)</f>
        <v>Kia-LR - R2</v>
      </c>
      <c r="AY30" s="41" t="str">
        <f>IF(D30="Skip","",INDEX(Input!$1:$1048576,AY$10,$C30*2+6))</f>
        <v>Compact SUV (52)</v>
      </c>
      <c r="AZ30" s="41" t="str">
        <f>INDEX(Input!$1:$1048576,AZ$10,$C30*2+6)</f>
        <v>Kia Soul</v>
      </c>
      <c r="BA30" s="3">
        <f>INDEX(Input!$1:$1048576,BA$10,$C30*2+6)</f>
        <v>2020</v>
      </c>
      <c r="BB30" s="128">
        <f>INDEX(Input!$1:$1048576,BB$10,$C30*2+6)</f>
        <v>1</v>
      </c>
      <c r="BC30" s="128">
        <f>INDEX(Input!$1:$1048576,BC$10,$C30*2+6)</f>
        <v>0.7</v>
      </c>
      <c r="BD30" s="1">
        <f>INDEX(Input!$1:$1048576,BD$10,$C30*2+6)</f>
        <v>4.4999999999999998E-2</v>
      </c>
      <c r="BE30" s="1">
        <f>INDEX(Input!$1:$1048576,BE$10,$C30*2+6)</f>
        <v>4.4999999999999998E-2</v>
      </c>
      <c r="BF30" s="1">
        <f>INDEX(Input!$1:$1048576,BF$10,$C30*2+6)</f>
        <v>0.05</v>
      </c>
      <c r="BG30" s="1">
        <f>INDEX(Input!$1:$1048576,BG$10,$C30*2+6)</f>
        <v>5.45E-2</v>
      </c>
      <c r="BH30" s="1">
        <f>INDEX(Input!$1:$1048576,BH$10,$C30*2+6)</f>
        <v>5.45E-2</v>
      </c>
      <c r="BI30" s="1">
        <f>INDEX(Input!$1:$1048576,BI$10,$C30*2+6)</f>
        <v>0.05</v>
      </c>
      <c r="BJ30" s="1">
        <f>INDEX(Input!$1:$1048576,BJ$10,$C30*2+6)</f>
        <v>0.05</v>
      </c>
      <c r="BK30" s="1">
        <f>INDEX(Input!$1:$1048576,BK$10,$C30*2+6)</f>
        <v>0.05</v>
      </c>
      <c r="BL30" s="1">
        <f>INDEX(Input!$1:$1048576,BL$10,$C30*2+6)</f>
        <v>5.5E-2</v>
      </c>
      <c r="BM30" s="1">
        <f>INDEX(Input!$1:$1048576,BM$10,$C30*2+6)</f>
        <v>0.06</v>
      </c>
      <c r="BN30" s="1">
        <f>INDEX(Input!$1:$1048576,BN$10,$C30*2+6)</f>
        <v>4.4999999999999998E-2</v>
      </c>
      <c r="BO30" s="1">
        <f>INDEX(Input!$1:$1048576,BO$10,$C30*2+6)</f>
        <v>4.4999999999999998E-2</v>
      </c>
      <c r="BP30" s="1">
        <f>INDEX(Input!$1:$1048576,BP$10,$C30*2+6)</f>
        <v>0.05</v>
      </c>
      <c r="BQ30" s="1">
        <f>INDEX(Input!$1:$1048576,BQ$10,$C30*2+6)</f>
        <v>5.45E-2</v>
      </c>
      <c r="BR30" s="1">
        <f>INDEX(Input!$1:$1048576,BR$10,$C30*2+6)</f>
        <v>5.45E-2</v>
      </c>
      <c r="BS30" s="1">
        <f>INDEX(Input!$1:$1048576,BS$10,$C30*2+6)</f>
        <v>0.05</v>
      </c>
      <c r="BT30" s="1">
        <f>INDEX(Input!$1:$1048576,BT$10,$C30*2+6)</f>
        <v>0.05</v>
      </c>
      <c r="BU30" s="1">
        <f>INDEX(Input!$1:$1048576,BU$10,$C30*2+6)</f>
        <v>0.05</v>
      </c>
      <c r="BV30" s="1">
        <f>INDEX(Input!$1:$1048576,BV$10,$C30*2+6)</f>
        <v>5.5E-2</v>
      </c>
      <c r="BW30" s="1">
        <f>INDEX(Input!$1:$1048576,BW$10,$C30*2+6)</f>
        <v>0.06</v>
      </c>
      <c r="BX30" s="304">
        <f>INDEX(Input!$1:$1048576,BX$10,$C30*2+6)</f>
        <v>19985</v>
      </c>
      <c r="BY30" s="20">
        <f>INDEX(Input!$1:$1048576,BY$10,$C30*2+6)</f>
        <v>0.1</v>
      </c>
      <c r="BZ30" s="20">
        <f>INDEX(Input!$1:$1048576,BZ$10,$C30*2+6)</f>
        <v>0.1</v>
      </c>
      <c r="CA30" s="20">
        <f>INDEX(Input!$1:$1048576,CA$10,$C30*2+6)</f>
        <v>0.1</v>
      </c>
      <c r="CB30" s="20">
        <f>INDEX(Input!$1:$1048576,CB$10,$C30*2+6)</f>
        <v>0.1</v>
      </c>
      <c r="CC30" s="20">
        <f>INDEX(Input!$1:$1048576,CC$10,$C30*2+6)</f>
        <v>0.1</v>
      </c>
      <c r="CD30" s="384">
        <f>INDEX(Input!$1:$1048576,CD$10,$C30*2+6)</f>
        <v>0.1</v>
      </c>
      <c r="CE30" s="384">
        <f>INDEX(Input!$1:$1048576,CE$10,$C30*2+6)</f>
        <v>0.1</v>
      </c>
      <c r="CF30" s="384">
        <f>INDEX(Input!$1:$1048576,CF$10,$C30*2+6)</f>
        <v>0.1</v>
      </c>
      <c r="CG30" s="384">
        <f>INDEX(Input!$1:$1048576,CG$10,$C30*2+6)</f>
        <v>0.1</v>
      </c>
      <c r="CH30" s="384">
        <f>INDEX(Input!$1:$1048576,CH$10,$C30*2+6)</f>
        <v>0.1</v>
      </c>
      <c r="CI30" s="304">
        <f t="shared" si="22"/>
        <v>1270</v>
      </c>
      <c r="CJ30" s="16" t="str">
        <f>INDEX(Input!$1:$1048576,CJ$10,$C30*2+6)</f>
        <v>N</v>
      </c>
      <c r="CK30" s="1" t="str">
        <f t="shared" si="23"/>
        <v>Market</v>
      </c>
      <c r="CL30" s="1" t="str">
        <f t="shared" si="24"/>
        <v>Market</v>
      </c>
      <c r="CM30" s="1" t="str">
        <f t="shared" si="25"/>
        <v>Market</v>
      </c>
      <c r="CN30" s="1" t="str">
        <f t="shared" si="26"/>
        <v>Market</v>
      </c>
      <c r="CO30" s="1" t="str">
        <f t="shared" si="27"/>
        <v>Market</v>
      </c>
      <c r="CP30" s="304">
        <f t="shared" si="28"/>
        <v>0</v>
      </c>
      <c r="CQ30" s="1">
        <f t="shared" si="29"/>
        <v>0</v>
      </c>
      <c r="CR30" s="1">
        <f t="shared" si="30"/>
        <v>0</v>
      </c>
      <c r="CS30" s="1">
        <f t="shared" si="31"/>
        <v>0</v>
      </c>
      <c r="CT30" s="1">
        <f t="shared" si="32"/>
        <v>0</v>
      </c>
      <c r="CU30" s="1">
        <f t="shared" si="33"/>
        <v>1.9E-2</v>
      </c>
      <c r="CV30" s="304">
        <f t="shared" si="34"/>
        <v>3267.75</v>
      </c>
      <c r="CW30" s="20" t="s">
        <v>122</v>
      </c>
      <c r="CX30" s="20" t="s">
        <v>122</v>
      </c>
      <c r="CY30" s="20" t="s">
        <v>122</v>
      </c>
      <c r="CZ30" s="20" t="s">
        <v>122</v>
      </c>
      <c r="DA30" s="20" t="s">
        <v>122</v>
      </c>
      <c r="DB30" s="503">
        <f t="shared" si="35"/>
        <v>0</v>
      </c>
      <c r="DC30" s="127">
        <v>0</v>
      </c>
      <c r="DD30" s="127">
        <v>0</v>
      </c>
      <c r="DE30" s="127">
        <v>0</v>
      </c>
      <c r="DF30" s="127">
        <v>0</v>
      </c>
      <c r="DG30" s="127">
        <v>0</v>
      </c>
      <c r="DH30" s="127">
        <v>0</v>
      </c>
      <c r="DI30" s="127">
        <v>0</v>
      </c>
      <c r="DJ30" s="127">
        <v>0</v>
      </c>
      <c r="DK30" s="127">
        <v>0</v>
      </c>
      <c r="DL30" s="127">
        <v>0</v>
      </c>
      <c r="DM30" s="304">
        <f>INDEX(Input!$1:$1048576,DM$10,$C30*2+6)</f>
        <v>21036.84210526316</v>
      </c>
      <c r="DN30" s="20">
        <v>0</v>
      </c>
      <c r="DO30" s="20">
        <v>0</v>
      </c>
      <c r="DP30" s="20">
        <v>0</v>
      </c>
      <c r="DQ30" s="20">
        <v>0</v>
      </c>
      <c r="DR30" s="20">
        <v>0</v>
      </c>
      <c r="DS30" s="20">
        <f>INDEX(Input!$1:$1048576,DS$10,$C30*2+6)</f>
        <v>0.6</v>
      </c>
      <c r="DT30" s="20">
        <f>INDEX(Input!$1:$1048576,DT$10,$C30*2+6)</f>
        <v>0.55000000000000004</v>
      </c>
      <c r="DU30" s="20">
        <f>INDEX(Input!$1:$1048576,DU$10,$C30*2+6)</f>
        <v>0.52</v>
      </c>
      <c r="DV30" s="20">
        <f>INDEX(Input!$1:$1048576,DV$10,$C30*2+6)</f>
        <v>0.5</v>
      </c>
      <c r="DW30" s="20">
        <f>INDEX(Input!$1:$1048576,DW$10,$C30*2+6)</f>
        <v>0.45</v>
      </c>
      <c r="DX30" s="20"/>
      <c r="DY30" s="7">
        <v>8.1392907793779903E-2</v>
      </c>
      <c r="DZ30" s="7">
        <v>0</v>
      </c>
      <c r="EA30" s="7">
        <v>0.50943415583269525</v>
      </c>
      <c r="EB30" s="7">
        <v>0</v>
      </c>
      <c r="EC30" s="7">
        <v>0</v>
      </c>
      <c r="ED30" s="7">
        <v>0</v>
      </c>
      <c r="EE30" s="7">
        <v>0</v>
      </c>
      <c r="EF30" s="7">
        <v>0</v>
      </c>
      <c r="EG30" s="7">
        <v>0</v>
      </c>
      <c r="EH30" s="7">
        <v>6.4665479689455536E-3</v>
      </c>
      <c r="EI30" s="7">
        <v>1.7917851173667097E-2</v>
      </c>
      <c r="EJ30" s="7">
        <v>0.15525736491818645</v>
      </c>
      <c r="EK30" s="7">
        <v>0.62951976103461849</v>
      </c>
      <c r="EL30" s="7">
        <v>0.19083847490458264</v>
      </c>
      <c r="EM30" s="7">
        <v>9.6007192857188603E-2</v>
      </c>
      <c r="EN30" s="7">
        <v>7.1413337151374226E-2</v>
      </c>
      <c r="EO30" s="7">
        <v>0.80621074855435115</v>
      </c>
      <c r="EP30" s="7">
        <v>4.8362073065168432E-2</v>
      </c>
      <c r="EQ30" s="7">
        <v>4.646318370458883E-2</v>
      </c>
      <c r="ER30" s="7">
        <v>2.7550657524517391E-2</v>
      </c>
      <c r="ES30" s="7">
        <v>0.3131657435163363</v>
      </c>
      <c r="ET30" s="7">
        <v>0.40917293637352486</v>
      </c>
      <c r="EU30" s="6">
        <v>1240</v>
      </c>
      <c r="EV30" s="6">
        <v>0</v>
      </c>
      <c r="EW30" s="6">
        <v>1240</v>
      </c>
      <c r="EX30" s="6">
        <v>0</v>
      </c>
      <c r="EY30" s="6">
        <v>2673.4204145102208</v>
      </c>
      <c r="EZ30" s="6">
        <v>3117.75</v>
      </c>
      <c r="FA30" s="6">
        <v>0</v>
      </c>
      <c r="FB30" s="6">
        <v>0</v>
      </c>
      <c r="FC30" s="6">
        <v>0</v>
      </c>
      <c r="FD30" s="6">
        <v>0</v>
      </c>
      <c r="FE30" s="6">
        <v>0</v>
      </c>
      <c r="FF30" s="6">
        <v>0</v>
      </c>
      <c r="FG30" s="6">
        <v>0</v>
      </c>
      <c r="FH30" s="6">
        <v>1172.0352827671666</v>
      </c>
      <c r="FI30" s="6">
        <v>1553.9796069512402</v>
      </c>
      <c r="FJ30" s="6">
        <v>2101.2110117447405</v>
      </c>
      <c r="FK30" s="6">
        <v>2674.2006261592269</v>
      </c>
      <c r="FL30" s="6">
        <v>2034.7405995769211</v>
      </c>
      <c r="FM30" s="6">
        <v>2433.4204145102208</v>
      </c>
      <c r="FN30" s="6">
        <v>0</v>
      </c>
      <c r="FO30" s="6">
        <v>0</v>
      </c>
      <c r="FP30" s="6">
        <v>0</v>
      </c>
      <c r="FQ30" s="6">
        <v>0</v>
      </c>
      <c r="FR30" s="6">
        <v>0</v>
      </c>
      <c r="FS30" s="6">
        <v>0</v>
      </c>
      <c r="FT30" s="7">
        <v>0.59082706362647519</v>
      </c>
      <c r="FU30" s="7">
        <v>9.6007192857188603E-2</v>
      </c>
      <c r="FV30" s="7">
        <v>0.3131657435163363</v>
      </c>
      <c r="FW30" s="519">
        <v>1239.9999999999998</v>
      </c>
      <c r="FX30" s="519">
        <v>2673.4204145102212</v>
      </c>
      <c r="FY30" s="519">
        <v>3117.75</v>
      </c>
      <c r="FZ30" s="6">
        <v>1779.5209350888699</v>
      </c>
      <c r="GA30" s="6">
        <v>1965.6656450691144</v>
      </c>
      <c r="GB30" s="6">
        <v>18019.334354930885</v>
      </c>
      <c r="GC30" s="7">
        <v>3.064145122680037E-2</v>
      </c>
      <c r="GD30" s="7">
        <v>3.1695847956575547E-2</v>
      </c>
      <c r="GE30" s="7"/>
      <c r="GF30" s="7"/>
      <c r="GG30" s="7">
        <v>3.4410796080472678E-2</v>
      </c>
      <c r="GH30" s="42">
        <v>3.6944362251349077</v>
      </c>
      <c r="GI30" s="6">
        <v>7375.1513641710098</v>
      </c>
      <c r="GJ30" s="14">
        <v>0.50394797582841722</v>
      </c>
      <c r="GK30" s="14">
        <v>0.50887573065309799</v>
      </c>
      <c r="GL30" s="14">
        <v>0.49605202417158295</v>
      </c>
      <c r="GM30" s="14">
        <v>0.49112426934690262</v>
      </c>
      <c r="GO30" s="5">
        <v>343.14810671672558</v>
      </c>
      <c r="GP30" s="5">
        <v>319.49127229486811</v>
      </c>
      <c r="GQ30" s="5">
        <v>535.04305713031317</v>
      </c>
      <c r="GR30" s="5">
        <v>410.15490233172511</v>
      </c>
      <c r="GS30" s="5">
        <v>339.42744393800166</v>
      </c>
      <c r="GT30" s="5">
        <v>293.4407446948278</v>
      </c>
      <c r="GU30" s="5">
        <v>258.04012322764959</v>
      </c>
      <c r="GV30" s="39" t="s">
        <v>392</v>
      </c>
      <c r="GW30" s="5">
        <v>492.95833333333331</v>
      </c>
      <c r="GX30" s="5">
        <v>369.71875</v>
      </c>
      <c r="GY30" s="5">
        <v>295.77499999999998</v>
      </c>
      <c r="GZ30" s="5">
        <v>246.47916666666666</v>
      </c>
      <c r="HA30" s="5">
        <v>225.79546784515614</v>
      </c>
      <c r="HB30" s="39">
        <v>253.98752018043049</v>
      </c>
      <c r="HC30" s="5">
        <v>150.8828125</v>
      </c>
      <c r="HD30" s="5">
        <v>146.70591191520464</v>
      </c>
      <c r="HE30" s="5">
        <v>154.52524671052629</v>
      </c>
      <c r="HF30" s="5">
        <v>148.81078673245611</v>
      </c>
      <c r="HG30" s="5">
        <v>150.87450657894735</v>
      </c>
      <c r="HH30" s="39">
        <v>147.59500427485517</v>
      </c>
      <c r="HI30" s="16"/>
      <c r="HJ30" s="1">
        <f>INDEX(Input!$1:$1048576,HJ$10,$C30*2+6)</f>
        <v>0.40560292326431191</v>
      </c>
      <c r="HK30" s="1">
        <f>INDEX(Input!$1:$1048576,HK$10,$C30*2+6)</f>
        <v>0.52253349573690622</v>
      </c>
      <c r="HL30" s="1">
        <f>INDEX(Input!$1:$1048576,HL$10,$C30*2+6)</f>
        <v>7.186358099878197E-2</v>
      </c>
      <c r="HM30" s="19"/>
    </row>
    <row r="31" spans="1:221" s="26" customFormat="1" ht="15">
      <c r="A31" s="117">
        <f t="shared" si="55"/>
        <v>5003</v>
      </c>
      <c r="B31" s="117">
        <f t="shared" si="54"/>
        <v>3</v>
      </c>
      <c r="C31" s="117">
        <f t="shared" si="14"/>
        <v>5</v>
      </c>
      <c r="D31" s="117" t="s">
        <v>568</v>
      </c>
      <c r="E31" s="115">
        <f>INDEX(Input!$1:$1048576,E$10,$C31*2+6)</f>
        <v>1000</v>
      </c>
      <c r="F31" s="115">
        <f>INDEX(Input!$1:$1048576,F$10,$C31*2+6)</f>
        <v>0</v>
      </c>
      <c r="G31" s="115">
        <f>INDEX(Input!$1:$1048576,G$10,$C31*2+6)</f>
        <v>0</v>
      </c>
      <c r="H31" s="115">
        <f>INDEX(Input!$1:$1048576,H$10,$C31*2+6)</f>
        <v>0</v>
      </c>
      <c r="I31" s="118">
        <f>INDEX(Input!$1:$1048576,I$10,$C31*2+6)</f>
        <v>0.7</v>
      </c>
      <c r="J31" s="118" t="str">
        <f>INDEX(Input!$1:$1048576,J$10,$C31*2+6)</f>
        <v>Market</v>
      </c>
      <c r="K31" s="118" t="str">
        <f>INDEX(Input!$1:$1048576,K$10,$C31*2+6)</f>
        <v>Market</v>
      </c>
      <c r="L31" s="118" t="str">
        <f>INDEX(Input!$1:$1048576,L$10,$C31*2+6)</f>
        <v>Market</v>
      </c>
      <c r="M31" s="118" t="str">
        <f>INDEX(Input!$1:$1048576,M$10,$C31*2+6)</f>
        <v>Market</v>
      </c>
      <c r="N31" s="118" t="str">
        <f>INDEX(Input!$1:$1048576,N$10,$C31*2+6)</f>
        <v>Market</v>
      </c>
      <c r="O31" s="118" t="str">
        <f>INDEX(Input!$1:$1048576,O$10,$C31*2+6)</f>
        <v>Market</v>
      </c>
      <c r="P31" s="118" t="str">
        <f>INDEX(Input!$1:$1048576,P$10,$C31*2+6)</f>
        <v>N</v>
      </c>
      <c r="Q31" s="30">
        <f>INDEX(Input!$1:$1048576,Q$10,$C31*2+6)</f>
        <v>0</v>
      </c>
      <c r="R31" s="383">
        <f>INDEX(Input!$1:$1048576,R$10,$C31*2+6)</f>
        <v>0</v>
      </c>
      <c r="S31" s="383">
        <f>INDEX(Input!$1:$1048576,S$10,$C31*2+6)</f>
        <v>0</v>
      </c>
      <c r="T31" s="383">
        <f>INDEX(Input!$1:$1048576,T$10,$C31*2+6)</f>
        <v>0</v>
      </c>
      <c r="U31" s="383">
        <f>INDEX(Input!$1:$1048576,U$10,$C31*2+6)</f>
        <v>0</v>
      </c>
      <c r="V31" s="383">
        <f>INDEX(Input!$1:$1048576,V$10,$C31*2+6)</f>
        <v>1.9E-2</v>
      </c>
      <c r="W31" s="383">
        <f>INDEX(Input!$1:$1048576,W$10,$C31*2+6)</f>
        <v>3.9E-2</v>
      </c>
      <c r="X31" s="118" t="str">
        <f>INDEX(Input!$1:$1048576,X$10,$C31*2+6)</f>
        <v>Y</v>
      </c>
      <c r="Y31" s="520">
        <f>MIN(BX31*10%,4000)+Y30</f>
        <v>4996.25</v>
      </c>
      <c r="Z31" s="30">
        <f>INDEX(Input!$1:$1048576,Z$10,$C31*2+6)</f>
        <v>0</v>
      </c>
      <c r="AA31" s="115">
        <f>INDEX(Input!$1:$1048576,AA$10,$C31*2+6)</f>
        <v>1000</v>
      </c>
      <c r="AB31" s="118">
        <f>INDEX(Input!$1:$1048576,AB$10,$C31*2+6)</f>
        <v>0.27</v>
      </c>
      <c r="AC31" s="115">
        <f>INDEX(Input!$1:$1048576,AC$10,$C31*2+6)</f>
        <v>1000</v>
      </c>
      <c r="AD31" s="118">
        <f>INDEX(Input!$1:$1048576,AD$10,$C31*2+6)</f>
        <v>0.27</v>
      </c>
      <c r="AE31" s="115">
        <f>INDEX(Input!$1:$1048576,AE$10,$C31*2+6)</f>
        <v>0</v>
      </c>
      <c r="AF31" s="118">
        <f>INDEX(Input!$1:$1048576,AF$10,$C31*2+6)</f>
        <v>0.2</v>
      </c>
      <c r="AG31" s="115">
        <f>INDEX(Input!$1:$1048576,AG$10,$C31*2+6)</f>
        <v>0</v>
      </c>
      <c r="AH31" s="118">
        <f>INDEX(Input!$1:$1048576,AH$10,$C31*2+6)</f>
        <v>1</v>
      </c>
      <c r="AI31" s="115">
        <f>INDEX(Input!$1:$1048576,AI$10,$C31*2+6)</f>
        <v>0</v>
      </c>
      <c r="AJ31" s="118">
        <f>INDEX(Input!$1:$1048576,AJ$10,$C31*2+6)</f>
        <v>0.27</v>
      </c>
      <c r="AK31" s="150">
        <f>INDEX(Input!$1:$1048576,AK$10,$C30*2+6)+(Y31-VLOOKUP($C31*1000+1,$A:$HH,Y$9,FALSE))</f>
        <v>7380.7164157747857</v>
      </c>
      <c r="AL31" s="150">
        <f>INDEX(Input!$1:$1048576,AL$10,$C30*2+6)-(Y31-VLOOKUP($C31*1000+1,$A:$HH,Y$9,FALSE))/36</f>
        <v>3272.6886379970078</v>
      </c>
      <c r="AM31" s="32" t="str">
        <f t="shared" si="56"/>
        <v>std/std/std/std</v>
      </c>
      <c r="AN31" s="32" t="str">
        <f t="shared" si="57"/>
        <v>$0 + 0/0/0/1.9/3.9</v>
      </c>
      <c r="AO31" s="32" t="str">
        <f t="shared" si="58"/>
        <v>0/0/0/1.9/3.9</v>
      </c>
      <c r="AP31" s="32" t="str">
        <f t="shared" si="59"/>
        <v>0/0/1.9/3.9</v>
      </c>
      <c r="AQ31" s="150">
        <f t="shared" si="19"/>
        <v>270</v>
      </c>
      <c r="AR31" s="32" t="str">
        <f t="shared" si="20"/>
        <v>0/1.9</v>
      </c>
      <c r="AS31" s="302"/>
      <c r="AT31" s="3">
        <f t="shared" si="21"/>
        <v>15</v>
      </c>
      <c r="AU31" s="41" t="s">
        <v>121</v>
      </c>
      <c r="AV31" s="41" t="s">
        <v>116</v>
      </c>
      <c r="AW31" s="41" t="str">
        <f>INDEX(Input!$1:$1048576,AW$10,$C31*2+6)</f>
        <v>Kia</v>
      </c>
      <c r="AX31" s="41" t="str">
        <f>INDEX(Input!$1:$1048576,AX$10,$C31*2+6)</f>
        <v>Kia-LR - R2</v>
      </c>
      <c r="AY31" s="41" t="str">
        <f>IF(D31="Skip","",INDEX(Input!$1:$1048576,AY$10,$C31*2+6))</f>
        <v>Compact SUV (52)</v>
      </c>
      <c r="AZ31" s="41" t="str">
        <f>INDEX(Input!$1:$1048576,AZ$10,$C31*2+6)</f>
        <v>Kia Soul</v>
      </c>
      <c r="BA31" s="3">
        <f>INDEX(Input!$1:$1048576,BA$10,$C31*2+6)</f>
        <v>2020</v>
      </c>
      <c r="BB31" s="128">
        <f>INDEX(Input!$1:$1048576,BB$10,$C31*2+6)</f>
        <v>1</v>
      </c>
      <c r="BC31" s="128">
        <f>INDEX(Input!$1:$1048576,BC$10,$C31*2+6)</f>
        <v>0.7</v>
      </c>
      <c r="BD31" s="1">
        <f>INDEX(Input!$1:$1048576,BD$10,$C31*2+6)</f>
        <v>4.4999999999999998E-2</v>
      </c>
      <c r="BE31" s="1">
        <f>INDEX(Input!$1:$1048576,BE$10,$C31*2+6)</f>
        <v>4.4999999999999998E-2</v>
      </c>
      <c r="BF31" s="1">
        <f>INDEX(Input!$1:$1048576,BF$10,$C31*2+6)</f>
        <v>0.05</v>
      </c>
      <c r="BG31" s="1">
        <f>INDEX(Input!$1:$1048576,BG$10,$C31*2+6)</f>
        <v>5.45E-2</v>
      </c>
      <c r="BH31" s="1">
        <f>INDEX(Input!$1:$1048576,BH$10,$C31*2+6)</f>
        <v>5.45E-2</v>
      </c>
      <c r="BI31" s="1">
        <f>INDEX(Input!$1:$1048576,BI$10,$C31*2+6)</f>
        <v>0.05</v>
      </c>
      <c r="BJ31" s="1">
        <f>INDEX(Input!$1:$1048576,BJ$10,$C31*2+6)</f>
        <v>0.05</v>
      </c>
      <c r="BK31" s="1">
        <f>INDEX(Input!$1:$1048576,BK$10,$C31*2+6)</f>
        <v>0.05</v>
      </c>
      <c r="BL31" s="1">
        <f>INDEX(Input!$1:$1048576,BL$10,$C31*2+6)</f>
        <v>5.5E-2</v>
      </c>
      <c r="BM31" s="1">
        <f>INDEX(Input!$1:$1048576,BM$10,$C31*2+6)</f>
        <v>0.06</v>
      </c>
      <c r="BN31" s="1">
        <f>INDEX(Input!$1:$1048576,BN$10,$C31*2+6)</f>
        <v>4.4999999999999998E-2</v>
      </c>
      <c r="BO31" s="1">
        <f>INDEX(Input!$1:$1048576,BO$10,$C31*2+6)</f>
        <v>4.4999999999999998E-2</v>
      </c>
      <c r="BP31" s="1">
        <f>INDEX(Input!$1:$1048576,BP$10,$C31*2+6)</f>
        <v>0.05</v>
      </c>
      <c r="BQ31" s="1">
        <f>INDEX(Input!$1:$1048576,BQ$10,$C31*2+6)</f>
        <v>5.45E-2</v>
      </c>
      <c r="BR31" s="1">
        <f>INDEX(Input!$1:$1048576,BR$10,$C31*2+6)</f>
        <v>5.45E-2</v>
      </c>
      <c r="BS31" s="1">
        <f>INDEX(Input!$1:$1048576,BS$10,$C31*2+6)</f>
        <v>0.05</v>
      </c>
      <c r="BT31" s="1">
        <f>INDEX(Input!$1:$1048576,BT$10,$C31*2+6)</f>
        <v>0.05</v>
      </c>
      <c r="BU31" s="1">
        <f>INDEX(Input!$1:$1048576,BU$10,$C31*2+6)</f>
        <v>0.05</v>
      </c>
      <c r="BV31" s="1">
        <f>INDEX(Input!$1:$1048576,BV$10,$C31*2+6)</f>
        <v>5.5E-2</v>
      </c>
      <c r="BW31" s="1">
        <f>INDEX(Input!$1:$1048576,BW$10,$C31*2+6)</f>
        <v>0.06</v>
      </c>
      <c r="BX31" s="304">
        <f>INDEX(Input!$1:$1048576,BX$10,$C31*2+6)</f>
        <v>19985</v>
      </c>
      <c r="BY31" s="20">
        <f>INDEX(Input!$1:$1048576,BY$10,$C31*2+6)</f>
        <v>0.1</v>
      </c>
      <c r="BZ31" s="20">
        <f>INDEX(Input!$1:$1048576,BZ$10,$C31*2+6)</f>
        <v>0.1</v>
      </c>
      <c r="CA31" s="20">
        <f>INDEX(Input!$1:$1048576,CA$10,$C31*2+6)</f>
        <v>0.1</v>
      </c>
      <c r="CB31" s="20">
        <f>INDEX(Input!$1:$1048576,CB$10,$C31*2+6)</f>
        <v>0.1</v>
      </c>
      <c r="CC31" s="20">
        <f>INDEX(Input!$1:$1048576,CC$10,$C31*2+6)</f>
        <v>0.1</v>
      </c>
      <c r="CD31" s="384">
        <f>INDEX(Input!$1:$1048576,CD$10,$C31*2+6)</f>
        <v>0.1</v>
      </c>
      <c r="CE31" s="384">
        <f>INDEX(Input!$1:$1048576,CE$10,$C31*2+6)</f>
        <v>0.1</v>
      </c>
      <c r="CF31" s="384">
        <f>INDEX(Input!$1:$1048576,CF$10,$C31*2+6)</f>
        <v>0.1</v>
      </c>
      <c r="CG31" s="384">
        <f>INDEX(Input!$1:$1048576,CG$10,$C31*2+6)</f>
        <v>0.1</v>
      </c>
      <c r="CH31" s="384">
        <f>INDEX(Input!$1:$1048576,CH$10,$C31*2+6)</f>
        <v>0.1</v>
      </c>
      <c r="CI31" s="304">
        <f t="shared" si="22"/>
        <v>1270</v>
      </c>
      <c r="CJ31" s="16" t="str">
        <f>INDEX(Input!$1:$1048576,CJ$10,$C31*2+6)</f>
        <v>N</v>
      </c>
      <c r="CK31" s="1" t="str">
        <f t="shared" si="23"/>
        <v>Market</v>
      </c>
      <c r="CL31" s="1" t="str">
        <f t="shared" si="24"/>
        <v>Market</v>
      </c>
      <c r="CM31" s="1" t="str">
        <f t="shared" si="25"/>
        <v>Market</v>
      </c>
      <c r="CN31" s="1" t="str">
        <f t="shared" si="26"/>
        <v>Market</v>
      </c>
      <c r="CO31" s="1" t="str">
        <f t="shared" si="27"/>
        <v>Market</v>
      </c>
      <c r="CP31" s="304">
        <f t="shared" si="28"/>
        <v>0</v>
      </c>
      <c r="CQ31" s="1">
        <f t="shared" si="29"/>
        <v>0</v>
      </c>
      <c r="CR31" s="1">
        <f t="shared" si="30"/>
        <v>0</v>
      </c>
      <c r="CS31" s="1">
        <f t="shared" si="31"/>
        <v>0</v>
      </c>
      <c r="CT31" s="1">
        <f t="shared" si="32"/>
        <v>0</v>
      </c>
      <c r="CU31" s="1">
        <f t="shared" si="33"/>
        <v>1.9E-2</v>
      </c>
      <c r="CV31" s="304">
        <f t="shared" si="34"/>
        <v>5266.25</v>
      </c>
      <c r="CW31" s="20" t="s">
        <v>122</v>
      </c>
      <c r="CX31" s="20" t="s">
        <v>122</v>
      </c>
      <c r="CY31" s="20" t="s">
        <v>122</v>
      </c>
      <c r="CZ31" s="20" t="s">
        <v>122</v>
      </c>
      <c r="DA31" s="20" t="s">
        <v>122</v>
      </c>
      <c r="DB31" s="503">
        <f t="shared" si="35"/>
        <v>0</v>
      </c>
      <c r="DC31" s="127">
        <v>0</v>
      </c>
      <c r="DD31" s="127">
        <v>0</v>
      </c>
      <c r="DE31" s="127">
        <v>0</v>
      </c>
      <c r="DF31" s="127">
        <v>0</v>
      </c>
      <c r="DG31" s="127">
        <v>0</v>
      </c>
      <c r="DH31" s="127">
        <v>0</v>
      </c>
      <c r="DI31" s="127">
        <v>0</v>
      </c>
      <c r="DJ31" s="127">
        <v>0</v>
      </c>
      <c r="DK31" s="127">
        <v>0</v>
      </c>
      <c r="DL31" s="127">
        <v>0</v>
      </c>
      <c r="DM31" s="304">
        <f>INDEX(Input!$1:$1048576,DM$10,$C31*2+6)</f>
        <v>21036.84210526316</v>
      </c>
      <c r="DN31" s="20">
        <v>0</v>
      </c>
      <c r="DO31" s="20">
        <v>0</v>
      </c>
      <c r="DP31" s="20">
        <v>0</v>
      </c>
      <c r="DQ31" s="20">
        <v>0</v>
      </c>
      <c r="DR31" s="20">
        <v>0</v>
      </c>
      <c r="DS31" s="20">
        <f>INDEX(Input!$1:$1048576,DS$10,$C31*2+6)</f>
        <v>0.6</v>
      </c>
      <c r="DT31" s="20">
        <f>INDEX(Input!$1:$1048576,DT$10,$C31*2+6)</f>
        <v>0.55000000000000004</v>
      </c>
      <c r="DU31" s="20">
        <f>INDEX(Input!$1:$1048576,DU$10,$C31*2+6)</f>
        <v>0.52</v>
      </c>
      <c r="DV31" s="20">
        <f>INDEX(Input!$1:$1048576,DV$10,$C31*2+6)</f>
        <v>0.5</v>
      </c>
      <c r="DW31" s="20">
        <f>INDEX(Input!$1:$1048576,DW$10,$C31*2+6)</f>
        <v>0.45</v>
      </c>
      <c r="DX31" s="20"/>
      <c r="DY31" s="7">
        <v>3.3482266869752322E-2</v>
      </c>
      <c r="DZ31" s="7">
        <v>0</v>
      </c>
      <c r="EA31" s="7">
        <v>0.21417493270920615</v>
      </c>
      <c r="EB31" s="7">
        <v>0</v>
      </c>
      <c r="EC31" s="7">
        <v>0</v>
      </c>
      <c r="ED31" s="7">
        <v>0</v>
      </c>
      <c r="EE31" s="7">
        <v>0</v>
      </c>
      <c r="EF31" s="7">
        <v>0</v>
      </c>
      <c r="EG31" s="7">
        <v>0</v>
      </c>
      <c r="EH31" s="7">
        <v>6.4425581243911382E-3</v>
      </c>
      <c r="EI31" s="7">
        <v>1.7737953777925773E-2</v>
      </c>
      <c r="EJ31" s="7">
        <v>0.15287088438408367</v>
      </c>
      <c r="EK31" s="7">
        <v>0.63294447008300725</v>
      </c>
      <c r="EL31" s="7">
        <v>0.19000413363059185</v>
      </c>
      <c r="EM31" s="7">
        <v>3.9050880300442785E-2</v>
      </c>
      <c r="EN31" s="7">
        <v>9.1117516520121275E-2</v>
      </c>
      <c r="EO31" s="7">
        <v>0.84874333877846531</v>
      </c>
      <c r="EP31" s="7">
        <v>2.4165486252740041E-2</v>
      </c>
      <c r="EQ31" s="7">
        <v>2.1906894833433995E-2</v>
      </c>
      <c r="ER31" s="7">
        <v>1.4066763615239541E-2</v>
      </c>
      <c r="ES31" s="7">
        <v>0.71329192012059861</v>
      </c>
      <c r="ET31" s="7">
        <v>0.75234280042104162</v>
      </c>
      <c r="EU31" s="6">
        <v>1240</v>
      </c>
      <c r="EV31" s="6">
        <v>0</v>
      </c>
      <c r="EW31" s="6">
        <v>1240</v>
      </c>
      <c r="EX31" s="6">
        <v>0</v>
      </c>
      <c r="EY31" s="6">
        <v>2675.5577344348831</v>
      </c>
      <c r="EZ31" s="6">
        <v>5116.25</v>
      </c>
      <c r="FA31" s="6">
        <v>0</v>
      </c>
      <c r="FB31" s="6">
        <v>0</v>
      </c>
      <c r="FC31" s="6">
        <v>0</v>
      </c>
      <c r="FD31" s="6">
        <v>0</v>
      </c>
      <c r="FE31" s="6">
        <v>0</v>
      </c>
      <c r="FF31" s="6">
        <v>0</v>
      </c>
      <c r="FG31" s="6">
        <v>0</v>
      </c>
      <c r="FH31" s="6">
        <v>1171.8493183264973</v>
      </c>
      <c r="FI31" s="6">
        <v>1553.9796069512404</v>
      </c>
      <c r="FJ31" s="6">
        <v>2101.211011744741</v>
      </c>
      <c r="FK31" s="6">
        <v>2674.2006261592278</v>
      </c>
      <c r="FL31" s="6">
        <v>2034.7405995769211</v>
      </c>
      <c r="FM31" s="6">
        <v>2435.5577344348831</v>
      </c>
      <c r="FN31" s="6">
        <v>0</v>
      </c>
      <c r="FO31" s="6">
        <v>0</v>
      </c>
      <c r="FP31" s="6">
        <v>0</v>
      </c>
      <c r="FQ31" s="6">
        <v>0</v>
      </c>
      <c r="FR31" s="6">
        <v>0</v>
      </c>
      <c r="FS31" s="6">
        <v>0</v>
      </c>
      <c r="FT31" s="7">
        <v>0.24765719957895849</v>
      </c>
      <c r="FU31" s="7">
        <v>3.9050880300442785E-2</v>
      </c>
      <c r="FV31" s="7">
        <v>0.71329192012059861</v>
      </c>
      <c r="FW31" s="519">
        <v>1240</v>
      </c>
      <c r="FX31" s="519">
        <v>2675.5577344348831</v>
      </c>
      <c r="FY31" s="519">
        <v>5116.25</v>
      </c>
      <c r="FZ31" s="6">
        <v>1779.5209350888699</v>
      </c>
      <c r="GA31" s="6">
        <v>4060.9575986192617</v>
      </c>
      <c r="GB31" s="6">
        <v>15924.042401380739</v>
      </c>
      <c r="GC31" s="7">
        <v>3.064145122680037E-2</v>
      </c>
      <c r="GD31" s="7">
        <v>3.8503081579140924E-2</v>
      </c>
      <c r="GE31" s="7"/>
      <c r="GF31" s="7"/>
      <c r="GG31" s="7">
        <v>0.2565684730188113</v>
      </c>
      <c r="GH31" s="42">
        <v>2.2474965074622761</v>
      </c>
      <c r="GI31" s="6">
        <v>12953.073752590832</v>
      </c>
      <c r="GJ31" s="14">
        <v>0.50394797582841733</v>
      </c>
      <c r="GK31" s="14">
        <v>0.50887573065309766</v>
      </c>
      <c r="GL31" s="14">
        <v>0.49605202417158295</v>
      </c>
      <c r="GM31" s="14">
        <v>0.49112426934690251</v>
      </c>
      <c r="GO31" s="5">
        <v>343.14810671672558</v>
      </c>
      <c r="GP31" s="5">
        <v>319.49127229486811</v>
      </c>
      <c r="GQ31" s="5">
        <v>535.04305713031317</v>
      </c>
      <c r="GR31" s="5">
        <v>410.15490233172511</v>
      </c>
      <c r="GS31" s="5">
        <v>339.42744393800166</v>
      </c>
      <c r="GT31" s="5">
        <v>293.4407446948278</v>
      </c>
      <c r="GU31" s="5">
        <v>258.04012322764959</v>
      </c>
      <c r="GV31" s="39" t="s">
        <v>392</v>
      </c>
      <c r="GW31" s="5">
        <v>492.95833333333331</v>
      </c>
      <c r="GX31" s="5">
        <v>369.71875</v>
      </c>
      <c r="GY31" s="5">
        <v>295.77499999999998</v>
      </c>
      <c r="GZ31" s="5">
        <v>246.47916666666666</v>
      </c>
      <c r="HA31" s="5">
        <v>225.79546784515614</v>
      </c>
      <c r="HB31" s="39">
        <v>253.85905042040542</v>
      </c>
      <c r="HC31" s="5">
        <v>63.448437499999983</v>
      </c>
      <c r="HD31" s="5">
        <v>87.028481359649078</v>
      </c>
      <c r="HE31" s="5">
        <v>99.118115300269864</v>
      </c>
      <c r="HF31" s="5">
        <v>102.59547423245613</v>
      </c>
      <c r="HG31" s="5">
        <v>112.56992324561402</v>
      </c>
      <c r="HH31" s="39">
        <v>85.8723881076547</v>
      </c>
      <c r="HI31" s="16"/>
      <c r="HJ31" s="1">
        <f>INDEX(Input!$1:$1048576,HJ$10,$C31*2+6)</f>
        <v>0.40560292326431191</v>
      </c>
      <c r="HK31" s="1">
        <f>INDEX(Input!$1:$1048576,HK$10,$C31*2+6)</f>
        <v>0.52253349573690622</v>
      </c>
      <c r="HL31" s="1">
        <f>INDEX(Input!$1:$1048576,HL$10,$C31*2+6)</f>
        <v>7.186358099878197E-2</v>
      </c>
      <c r="HM31" s="19"/>
    </row>
    <row r="32" spans="1:221" s="26" customFormat="1" ht="15">
      <c r="A32" s="117"/>
      <c r="B32" s="117"/>
      <c r="C32" s="117"/>
      <c r="D32" s="117"/>
      <c r="E32" s="115"/>
      <c r="F32" s="115"/>
      <c r="G32" s="115"/>
      <c r="H32" s="115"/>
      <c r="I32" s="118"/>
      <c r="J32" s="118"/>
      <c r="K32" s="118"/>
      <c r="L32" s="118"/>
      <c r="M32" s="118"/>
      <c r="N32" s="118"/>
      <c r="O32" s="118"/>
      <c r="P32" s="118"/>
      <c r="Q32" s="30"/>
      <c r="R32" s="383"/>
      <c r="S32" s="383"/>
      <c r="T32" s="383"/>
      <c r="U32" s="383"/>
      <c r="V32" s="383"/>
      <c r="W32" s="383"/>
      <c r="X32" s="118"/>
      <c r="Y32" s="58"/>
      <c r="Z32" s="30"/>
      <c r="AA32" s="115"/>
      <c r="AB32" s="118"/>
      <c r="AC32" s="115"/>
      <c r="AD32" s="118"/>
      <c r="AE32" s="115"/>
      <c r="AF32" s="118"/>
      <c r="AG32" s="115"/>
      <c r="AH32" s="118"/>
      <c r="AI32" s="115"/>
      <c r="AJ32" s="118"/>
      <c r="AK32" s="150"/>
      <c r="AL32" s="150"/>
      <c r="AM32" s="32"/>
      <c r="AN32" s="32"/>
      <c r="AO32" s="32"/>
      <c r="AP32" s="32"/>
      <c r="AQ32" s="150"/>
      <c r="AR32" s="32"/>
      <c r="AS32" s="302"/>
      <c r="AT32" s="3"/>
      <c r="AU32" s="41"/>
      <c r="AV32" s="41"/>
      <c r="AW32" s="41"/>
      <c r="AX32" s="41"/>
      <c r="AY32" s="41"/>
      <c r="AZ32" s="41"/>
      <c r="BA32" s="3"/>
      <c r="BB32" s="128"/>
      <c r="BC32" s="128"/>
      <c r="BD32" s="1"/>
      <c r="BE32" s="1"/>
      <c r="BF32" s="1"/>
      <c r="BG32" s="1"/>
      <c r="BH32" s="1"/>
      <c r="BI32" s="1"/>
      <c r="BJ32" s="1"/>
      <c r="BK32" s="1"/>
      <c r="BL32" s="1"/>
      <c r="BM32" s="1"/>
      <c r="BN32" s="1"/>
      <c r="BO32" s="1"/>
      <c r="BP32" s="1"/>
      <c r="BQ32" s="1"/>
      <c r="BR32" s="1"/>
      <c r="BS32" s="1"/>
      <c r="BT32" s="1"/>
      <c r="BU32" s="1"/>
      <c r="BV32" s="1"/>
      <c r="BW32" s="1"/>
      <c r="BX32" s="304"/>
      <c r="BY32" s="20"/>
      <c r="BZ32" s="20"/>
      <c r="CA32" s="20"/>
      <c r="CB32" s="20"/>
      <c r="CC32" s="20"/>
      <c r="CD32" s="384"/>
      <c r="CE32" s="384"/>
      <c r="CF32" s="384"/>
      <c r="CG32" s="384"/>
      <c r="CH32" s="384"/>
      <c r="CI32" s="304"/>
      <c r="CJ32" s="16"/>
      <c r="CK32" s="1"/>
      <c r="CL32" s="1"/>
      <c r="CM32" s="1"/>
      <c r="CN32" s="1"/>
      <c r="CO32" s="1"/>
      <c r="CP32" s="304"/>
      <c r="CQ32" s="1"/>
      <c r="CR32" s="1"/>
      <c r="CS32" s="1"/>
      <c r="CT32" s="1"/>
      <c r="CU32" s="1"/>
      <c r="CV32" s="304"/>
      <c r="CW32" s="20"/>
      <c r="CX32" s="20"/>
      <c r="CY32" s="20"/>
      <c r="CZ32" s="20"/>
      <c r="DA32" s="20"/>
      <c r="DB32" s="503"/>
      <c r="DC32" s="127"/>
      <c r="DD32" s="127"/>
      <c r="DE32" s="127"/>
      <c r="DF32" s="127"/>
      <c r="DG32" s="127"/>
      <c r="DH32" s="127"/>
      <c r="DI32" s="127"/>
      <c r="DJ32" s="127"/>
      <c r="DK32" s="127"/>
      <c r="DL32" s="127"/>
      <c r="DM32" s="304"/>
      <c r="DN32" s="20"/>
      <c r="DO32" s="20"/>
      <c r="DP32" s="20"/>
      <c r="DQ32" s="20"/>
      <c r="DR32" s="20"/>
      <c r="DS32" s="20"/>
      <c r="DT32" s="20"/>
      <c r="DU32" s="20"/>
      <c r="DV32" s="20"/>
      <c r="DW32" s="20"/>
      <c r="DX32" s="20"/>
      <c r="DY32" s="7"/>
      <c r="DZ32" s="7"/>
      <c r="EA32" s="7"/>
      <c r="EB32" s="7"/>
      <c r="EC32" s="7"/>
      <c r="ED32" s="7"/>
      <c r="EE32" s="7"/>
      <c r="EF32" s="7"/>
      <c r="EG32" s="7"/>
      <c r="EH32" s="7"/>
      <c r="EI32" s="7"/>
      <c r="EJ32" s="7"/>
      <c r="EK32" s="7"/>
      <c r="EL32" s="7"/>
      <c r="EM32" s="7"/>
      <c r="EN32" s="7"/>
      <c r="EO32" s="7"/>
      <c r="EP32" s="7"/>
      <c r="EQ32" s="7"/>
      <c r="ER32" s="7"/>
      <c r="ES32" s="7"/>
      <c r="ET32" s="7"/>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7"/>
      <c r="FU32" s="7"/>
      <c r="FV32" s="7"/>
      <c r="FW32" s="519"/>
      <c r="FX32" s="519"/>
      <c r="FY32" s="519"/>
      <c r="FZ32" s="6"/>
      <c r="GA32" s="6"/>
      <c r="GB32" s="6"/>
      <c r="GC32" s="7"/>
      <c r="GD32" s="7"/>
      <c r="GE32" s="7"/>
      <c r="GF32" s="7"/>
      <c r="GG32" s="7"/>
      <c r="GH32" s="42"/>
      <c r="GI32" s="6"/>
      <c r="GJ32" s="14"/>
      <c r="GK32" s="14"/>
      <c r="GL32" s="14"/>
      <c r="GM32" s="14"/>
      <c r="GO32" s="5"/>
      <c r="GP32" s="5"/>
      <c r="GQ32" s="5"/>
      <c r="GR32" s="5"/>
      <c r="GS32" s="5"/>
      <c r="GT32" s="5"/>
      <c r="GU32" s="5"/>
      <c r="GV32" s="39"/>
      <c r="GW32" s="5"/>
      <c r="GX32" s="5"/>
      <c r="GY32" s="5"/>
      <c r="GZ32" s="5"/>
      <c r="HA32" s="5"/>
      <c r="HB32" s="39"/>
      <c r="HC32" s="5"/>
      <c r="HD32" s="5"/>
      <c r="HE32" s="5"/>
      <c r="HF32" s="5"/>
      <c r="HG32" s="5"/>
      <c r="HH32" s="39"/>
      <c r="HI32" s="16"/>
      <c r="HJ32" s="1"/>
      <c r="HK32" s="1"/>
      <c r="HL32" s="1"/>
      <c r="HM32" s="19"/>
    </row>
    <row r="33" spans="1:221" s="26" customFormat="1" ht="15">
      <c r="A33" s="117"/>
      <c r="B33" s="117"/>
      <c r="C33" s="117"/>
      <c r="D33" s="117"/>
      <c r="E33" s="115"/>
      <c r="F33" s="115"/>
      <c r="G33" s="115"/>
      <c r="H33" s="115"/>
      <c r="I33" s="118"/>
      <c r="J33" s="118"/>
      <c r="K33" s="118"/>
      <c r="L33" s="118"/>
      <c r="M33" s="118"/>
      <c r="N33" s="118"/>
      <c r="O33" s="118"/>
      <c r="P33" s="118"/>
      <c r="Q33" s="30"/>
      <c r="R33" s="383"/>
      <c r="S33" s="383"/>
      <c r="T33" s="383"/>
      <c r="U33" s="383"/>
      <c r="V33" s="383"/>
      <c r="W33" s="383"/>
      <c r="X33" s="118"/>
      <c r="Y33" s="58"/>
      <c r="Z33" s="30"/>
      <c r="AA33" s="115"/>
      <c r="AB33" s="118"/>
      <c r="AC33" s="115"/>
      <c r="AD33" s="118"/>
      <c r="AE33" s="115"/>
      <c r="AF33" s="118"/>
      <c r="AG33" s="115"/>
      <c r="AH33" s="118"/>
      <c r="AI33" s="115"/>
      <c r="AJ33" s="118"/>
      <c r="AK33" s="150"/>
      <c r="AL33" s="150"/>
      <c r="AM33" s="32"/>
      <c r="AN33" s="32"/>
      <c r="AO33" s="32"/>
      <c r="AP33" s="32"/>
      <c r="AQ33" s="150"/>
      <c r="AR33" s="32"/>
      <c r="AS33" s="302"/>
      <c r="AT33" s="3"/>
      <c r="AU33" s="41"/>
      <c r="AV33" s="41"/>
      <c r="AW33" s="41"/>
      <c r="AX33" s="41"/>
      <c r="AY33" s="41"/>
      <c r="AZ33" s="41"/>
      <c r="BA33" s="3"/>
      <c r="BB33" s="128"/>
      <c r="BC33" s="128"/>
      <c r="BD33" s="1"/>
      <c r="BE33" s="1"/>
      <c r="BF33" s="1"/>
      <c r="BG33" s="1"/>
      <c r="BH33" s="1"/>
      <c r="BI33" s="1"/>
      <c r="BJ33" s="1"/>
      <c r="BK33" s="1"/>
      <c r="BL33" s="1"/>
      <c r="BM33" s="1"/>
      <c r="BN33" s="1"/>
      <c r="BO33" s="1"/>
      <c r="BP33" s="1"/>
      <c r="BQ33" s="1"/>
      <c r="BR33" s="1"/>
      <c r="BS33" s="1"/>
      <c r="BT33" s="1"/>
      <c r="BU33" s="1"/>
      <c r="BV33" s="1"/>
      <c r="BW33" s="1"/>
      <c r="BX33" s="304"/>
      <c r="BY33" s="20"/>
      <c r="BZ33" s="20"/>
      <c r="CA33" s="20"/>
      <c r="CB33" s="20"/>
      <c r="CC33" s="20"/>
      <c r="CD33" s="384"/>
      <c r="CE33" s="384"/>
      <c r="CF33" s="384"/>
      <c r="CG33" s="384"/>
      <c r="CH33" s="384"/>
      <c r="CI33" s="304"/>
      <c r="CJ33" s="16"/>
      <c r="CK33" s="1"/>
      <c r="CL33" s="1"/>
      <c r="CM33" s="1"/>
      <c r="CN33" s="1"/>
      <c r="CO33" s="1"/>
      <c r="CP33" s="304"/>
      <c r="CQ33" s="1"/>
      <c r="CR33" s="1"/>
      <c r="CS33" s="1"/>
      <c r="CT33" s="1"/>
      <c r="CU33" s="1"/>
      <c r="CV33" s="304"/>
      <c r="CW33" s="20"/>
      <c r="CX33" s="20"/>
      <c r="CY33" s="20"/>
      <c r="CZ33" s="20"/>
      <c r="DA33" s="20"/>
      <c r="DB33" s="503"/>
      <c r="DC33" s="127"/>
      <c r="DD33" s="127"/>
      <c r="DE33" s="127"/>
      <c r="DF33" s="127"/>
      <c r="DG33" s="127"/>
      <c r="DH33" s="127"/>
      <c r="DI33" s="127"/>
      <c r="DJ33" s="127"/>
      <c r="DK33" s="127"/>
      <c r="DL33" s="127"/>
      <c r="DM33" s="304"/>
      <c r="DN33" s="20"/>
      <c r="DO33" s="20"/>
      <c r="DP33" s="20"/>
      <c r="DQ33" s="20"/>
      <c r="DR33" s="20"/>
      <c r="DS33" s="20"/>
      <c r="DT33" s="20"/>
      <c r="DU33" s="20"/>
      <c r="DV33" s="20"/>
      <c r="DW33" s="20"/>
      <c r="DX33" s="20"/>
      <c r="DY33" s="7"/>
      <c r="DZ33" s="7"/>
      <c r="EA33" s="7"/>
      <c r="EB33" s="7"/>
      <c r="EC33" s="7"/>
      <c r="ED33" s="7"/>
      <c r="EE33" s="7"/>
      <c r="EF33" s="7"/>
      <c r="EG33" s="7"/>
      <c r="EH33" s="7"/>
      <c r="EI33" s="7"/>
      <c r="EJ33" s="7"/>
      <c r="EK33" s="7"/>
      <c r="EL33" s="7"/>
      <c r="EM33" s="7"/>
      <c r="EN33" s="7"/>
      <c r="EO33" s="7"/>
      <c r="EP33" s="7"/>
      <c r="EQ33" s="7"/>
      <c r="ER33" s="7"/>
      <c r="ES33" s="7"/>
      <c r="ET33" s="7"/>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7"/>
      <c r="FU33" s="7"/>
      <c r="FV33" s="7"/>
      <c r="FW33" s="519"/>
      <c r="FX33" s="519"/>
      <c r="FY33" s="519"/>
      <c r="FZ33" s="6"/>
      <c r="GA33" s="6"/>
      <c r="GB33" s="6"/>
      <c r="GC33" s="7"/>
      <c r="GD33" s="7"/>
      <c r="GE33" s="7"/>
      <c r="GF33" s="7"/>
      <c r="GG33" s="7"/>
      <c r="GH33" s="42"/>
      <c r="GI33" s="6"/>
      <c r="GJ33" s="14"/>
      <c r="GK33" s="14"/>
      <c r="GL33" s="14"/>
      <c r="GM33" s="14"/>
      <c r="GO33" s="5"/>
      <c r="GP33" s="5"/>
      <c r="GQ33" s="5"/>
      <c r="GR33" s="5"/>
      <c r="GS33" s="5"/>
      <c r="GT33" s="5"/>
      <c r="GU33" s="5"/>
      <c r="GV33" s="39"/>
      <c r="GW33" s="5"/>
      <c r="GX33" s="5"/>
      <c r="GY33" s="5"/>
      <c r="GZ33" s="5"/>
      <c r="HA33" s="5"/>
      <c r="HB33" s="39"/>
      <c r="HC33" s="5"/>
      <c r="HD33" s="5"/>
      <c r="HE33" s="5"/>
      <c r="HF33" s="5"/>
      <c r="HG33" s="5"/>
      <c r="HH33" s="39"/>
      <c r="HI33" s="16"/>
      <c r="HJ33" s="1"/>
      <c r="HK33" s="1"/>
      <c r="HL33" s="1"/>
      <c r="HM33" s="19"/>
    </row>
    <row r="34" spans="1:221" s="26" customFormat="1" ht="15">
      <c r="A34" s="117"/>
      <c r="B34" s="117"/>
      <c r="C34" s="117"/>
      <c r="D34" s="117"/>
      <c r="E34" s="115"/>
      <c r="F34" s="115"/>
      <c r="G34" s="115"/>
      <c r="H34" s="115"/>
      <c r="I34" s="118"/>
      <c r="J34" s="118"/>
      <c r="K34" s="118"/>
      <c r="L34" s="118"/>
      <c r="M34" s="118"/>
      <c r="N34" s="118"/>
      <c r="O34" s="118"/>
      <c r="P34" s="118"/>
      <c r="Q34" s="30"/>
      <c r="R34" s="383"/>
      <c r="S34" s="383"/>
      <c r="T34" s="383"/>
      <c r="U34" s="383"/>
      <c r="V34" s="383"/>
      <c r="W34" s="383"/>
      <c r="X34" s="118"/>
      <c r="Y34" s="58"/>
      <c r="Z34" s="30"/>
      <c r="AA34" s="115"/>
      <c r="AB34" s="118"/>
      <c r="AC34" s="115"/>
      <c r="AD34" s="118"/>
      <c r="AE34" s="115"/>
      <c r="AF34" s="118"/>
      <c r="AG34" s="115"/>
      <c r="AH34" s="118"/>
      <c r="AI34" s="115"/>
      <c r="AJ34" s="118"/>
      <c r="AK34" s="150"/>
      <c r="AL34" s="150"/>
      <c r="AM34" s="32"/>
      <c r="AN34" s="32"/>
      <c r="AO34" s="32"/>
      <c r="AP34" s="32"/>
      <c r="AQ34" s="150"/>
      <c r="AR34" s="32"/>
      <c r="AS34" s="302"/>
      <c r="AT34" s="3"/>
      <c r="AU34" s="41"/>
      <c r="AV34" s="41"/>
      <c r="AW34" s="41"/>
      <c r="AX34" s="41"/>
      <c r="AY34" s="41"/>
      <c r="AZ34" s="41"/>
      <c r="BA34" s="3"/>
      <c r="BB34" s="128"/>
      <c r="BC34" s="128"/>
      <c r="BD34" s="1"/>
      <c r="BE34" s="1"/>
      <c r="BF34" s="1"/>
      <c r="BG34" s="1"/>
      <c r="BH34" s="1"/>
      <c r="BI34" s="1"/>
      <c r="BJ34" s="1"/>
      <c r="BK34" s="1"/>
      <c r="BL34" s="1"/>
      <c r="BM34" s="1"/>
      <c r="BN34" s="1"/>
      <c r="BO34" s="1"/>
      <c r="BP34" s="1"/>
      <c r="BQ34" s="1"/>
      <c r="BR34" s="1"/>
      <c r="BS34" s="1"/>
      <c r="BT34" s="1"/>
      <c r="BU34" s="1"/>
      <c r="BV34" s="1"/>
      <c r="BW34" s="1"/>
      <c r="BX34" s="304"/>
      <c r="BY34" s="20"/>
      <c r="BZ34" s="20"/>
      <c r="CA34" s="20"/>
      <c r="CB34" s="20"/>
      <c r="CC34" s="20"/>
      <c r="CD34" s="384"/>
      <c r="CE34" s="384"/>
      <c r="CF34" s="384"/>
      <c r="CG34" s="384"/>
      <c r="CH34" s="384"/>
      <c r="CI34" s="304"/>
      <c r="CJ34" s="16"/>
      <c r="CK34" s="1"/>
      <c r="CL34" s="1"/>
      <c r="CM34" s="1"/>
      <c r="CN34" s="1"/>
      <c r="CO34" s="1"/>
      <c r="CP34" s="304"/>
      <c r="CQ34" s="1"/>
      <c r="CR34" s="1"/>
      <c r="CS34" s="1"/>
      <c r="CT34" s="1"/>
      <c r="CU34" s="1"/>
      <c r="CV34" s="304"/>
      <c r="CW34" s="20"/>
      <c r="CX34" s="20"/>
      <c r="CY34" s="20"/>
      <c r="CZ34" s="20"/>
      <c r="DA34" s="20"/>
      <c r="DB34" s="503"/>
      <c r="DC34" s="127"/>
      <c r="DD34" s="127"/>
      <c r="DE34" s="127"/>
      <c r="DF34" s="127"/>
      <c r="DG34" s="127"/>
      <c r="DH34" s="127"/>
      <c r="DI34" s="127"/>
      <c r="DJ34" s="127"/>
      <c r="DK34" s="127"/>
      <c r="DL34" s="127"/>
      <c r="DM34" s="304"/>
      <c r="DN34" s="20"/>
      <c r="DO34" s="20"/>
      <c r="DP34" s="20"/>
      <c r="DQ34" s="20"/>
      <c r="DR34" s="20"/>
      <c r="DS34" s="20"/>
      <c r="DT34" s="20"/>
      <c r="DU34" s="20"/>
      <c r="DV34" s="20"/>
      <c r="DW34" s="20"/>
      <c r="DX34" s="20"/>
      <c r="DY34" s="7"/>
      <c r="DZ34" s="7"/>
      <c r="EA34" s="7"/>
      <c r="EB34" s="7"/>
      <c r="EC34" s="7"/>
      <c r="ED34" s="7"/>
      <c r="EE34" s="7"/>
      <c r="EF34" s="7"/>
      <c r="EG34" s="7"/>
      <c r="EH34" s="7"/>
      <c r="EI34" s="7"/>
      <c r="EJ34" s="7"/>
      <c r="EK34" s="7"/>
      <c r="EL34" s="7"/>
      <c r="EM34" s="7"/>
      <c r="EN34" s="7"/>
      <c r="EO34" s="7"/>
      <c r="EP34" s="7"/>
      <c r="EQ34" s="7"/>
      <c r="ER34" s="7"/>
      <c r="ES34" s="7"/>
      <c r="ET34" s="7"/>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7"/>
      <c r="FU34" s="7"/>
      <c r="FV34" s="7"/>
      <c r="FW34" s="519"/>
      <c r="FX34" s="519"/>
      <c r="FY34" s="519"/>
      <c r="FZ34" s="6"/>
      <c r="GA34" s="6"/>
      <c r="GB34" s="6"/>
      <c r="GC34" s="7"/>
      <c r="GD34" s="7"/>
      <c r="GE34" s="7"/>
      <c r="GF34" s="7"/>
      <c r="GG34" s="7"/>
      <c r="GH34" s="42"/>
      <c r="GI34" s="6"/>
      <c r="GJ34" s="14"/>
      <c r="GK34" s="14"/>
      <c r="GL34" s="14"/>
      <c r="GM34" s="14"/>
      <c r="GO34" s="5"/>
      <c r="GP34" s="5"/>
      <c r="GQ34" s="5"/>
      <c r="GR34" s="5"/>
      <c r="GS34" s="5"/>
      <c r="GT34" s="5"/>
      <c r="GU34" s="5"/>
      <c r="GV34" s="39"/>
      <c r="GW34" s="5"/>
      <c r="GX34" s="5"/>
      <c r="GY34" s="5"/>
      <c r="GZ34" s="5"/>
      <c r="HA34" s="5"/>
      <c r="HB34" s="39"/>
      <c r="HC34" s="5"/>
      <c r="HD34" s="5"/>
      <c r="HE34" s="5"/>
      <c r="HF34" s="5"/>
      <c r="HG34" s="5"/>
      <c r="HH34" s="39"/>
      <c r="HI34" s="16"/>
      <c r="HJ34" s="1"/>
      <c r="HK34" s="1"/>
      <c r="HL34" s="1"/>
      <c r="HM34" s="19"/>
    </row>
    <row r="35" spans="1:221" s="26" customFormat="1" ht="15">
      <c r="A35" s="117"/>
      <c r="B35" s="117"/>
      <c r="C35" s="117"/>
      <c r="D35" s="117"/>
      <c r="E35" s="115"/>
      <c r="F35" s="115"/>
      <c r="G35" s="115"/>
      <c r="H35" s="115"/>
      <c r="I35" s="118"/>
      <c r="J35" s="118"/>
      <c r="K35" s="118"/>
      <c r="L35" s="118"/>
      <c r="M35" s="118"/>
      <c r="N35" s="118"/>
      <c r="O35" s="118"/>
      <c r="P35" s="118"/>
      <c r="Q35" s="30"/>
      <c r="R35" s="383"/>
      <c r="S35" s="383"/>
      <c r="T35" s="383"/>
      <c r="U35" s="383"/>
      <c r="V35" s="383"/>
      <c r="W35" s="383"/>
      <c r="X35" s="118"/>
      <c r="Y35" s="58"/>
      <c r="Z35" s="30"/>
      <c r="AA35" s="115"/>
      <c r="AB35" s="118"/>
      <c r="AC35" s="115"/>
      <c r="AD35" s="118"/>
      <c r="AE35" s="115"/>
      <c r="AF35" s="118"/>
      <c r="AG35" s="115"/>
      <c r="AH35" s="118"/>
      <c r="AI35" s="115"/>
      <c r="AJ35" s="118"/>
      <c r="AK35" s="150"/>
      <c r="AL35" s="150"/>
      <c r="AM35" s="32"/>
      <c r="AN35" s="32"/>
      <c r="AO35" s="32"/>
      <c r="AP35" s="32"/>
      <c r="AQ35" s="150"/>
      <c r="AR35" s="32"/>
      <c r="AS35" s="302"/>
      <c r="AT35" s="3"/>
      <c r="AU35" s="41"/>
      <c r="AV35" s="41"/>
      <c r="AW35" s="41"/>
      <c r="AX35" s="41"/>
      <c r="AY35" s="41"/>
      <c r="AZ35" s="41"/>
      <c r="BA35" s="3"/>
      <c r="BB35" s="128"/>
      <c r="BC35" s="128"/>
      <c r="BD35" s="1"/>
      <c r="BE35" s="1"/>
      <c r="BF35" s="1"/>
      <c r="BG35" s="1"/>
      <c r="BH35" s="1"/>
      <c r="BI35" s="1"/>
      <c r="BJ35" s="1"/>
      <c r="BK35" s="1"/>
      <c r="BL35" s="1"/>
      <c r="BM35" s="1"/>
      <c r="BN35" s="1"/>
      <c r="BO35" s="1"/>
      <c r="BP35" s="1"/>
      <c r="BQ35" s="1"/>
      <c r="BR35" s="1"/>
      <c r="BS35" s="1"/>
      <c r="BT35" s="1"/>
      <c r="BU35" s="1"/>
      <c r="BV35" s="1"/>
      <c r="BW35" s="1"/>
      <c r="BX35" s="304"/>
      <c r="BY35" s="20"/>
      <c r="BZ35" s="20"/>
      <c r="CA35" s="20"/>
      <c r="CB35" s="20"/>
      <c r="CC35" s="20"/>
      <c r="CD35" s="384"/>
      <c r="CE35" s="384"/>
      <c r="CF35" s="384"/>
      <c r="CG35" s="384"/>
      <c r="CH35" s="384"/>
      <c r="CI35" s="304"/>
      <c r="CJ35" s="16"/>
      <c r="CK35" s="1"/>
      <c r="CL35" s="1"/>
      <c r="CM35" s="1"/>
      <c r="CN35" s="1"/>
      <c r="CO35" s="1"/>
      <c r="CP35" s="304"/>
      <c r="CQ35" s="1"/>
      <c r="CR35" s="1"/>
      <c r="CS35" s="1"/>
      <c r="CT35" s="1"/>
      <c r="CU35" s="1"/>
      <c r="CV35" s="304"/>
      <c r="CW35" s="20"/>
      <c r="CX35" s="20"/>
      <c r="CY35" s="20"/>
      <c r="CZ35" s="20"/>
      <c r="DA35" s="20"/>
      <c r="DB35" s="503"/>
      <c r="DC35" s="127"/>
      <c r="DD35" s="127"/>
      <c r="DE35" s="127"/>
      <c r="DF35" s="127"/>
      <c r="DG35" s="127"/>
      <c r="DH35" s="127"/>
      <c r="DI35" s="127"/>
      <c r="DJ35" s="127"/>
      <c r="DK35" s="127"/>
      <c r="DL35" s="127"/>
      <c r="DM35" s="304"/>
      <c r="DN35" s="20"/>
      <c r="DO35" s="20"/>
      <c r="DP35" s="20"/>
      <c r="DQ35" s="20"/>
      <c r="DR35" s="20"/>
      <c r="DS35" s="20"/>
      <c r="DT35" s="20"/>
      <c r="DU35" s="20"/>
      <c r="DV35" s="20"/>
      <c r="DW35" s="20"/>
      <c r="DX35" s="20"/>
      <c r="DY35" s="7"/>
      <c r="DZ35" s="7"/>
      <c r="EA35" s="7"/>
      <c r="EB35" s="7"/>
      <c r="EC35" s="7"/>
      <c r="ED35" s="7"/>
      <c r="EE35" s="7"/>
      <c r="EF35" s="7"/>
      <c r="EG35" s="7"/>
      <c r="EH35" s="7"/>
      <c r="EI35" s="7"/>
      <c r="EJ35" s="7"/>
      <c r="EK35" s="7"/>
      <c r="EL35" s="7"/>
      <c r="EM35" s="7"/>
      <c r="EN35" s="7"/>
      <c r="EO35" s="7"/>
      <c r="EP35" s="7"/>
      <c r="EQ35" s="7"/>
      <c r="ER35" s="7"/>
      <c r="ES35" s="7"/>
      <c r="ET35" s="7"/>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7"/>
      <c r="FU35" s="7"/>
      <c r="FV35" s="7"/>
      <c r="FW35" s="519"/>
      <c r="FX35" s="519"/>
      <c r="FY35" s="519"/>
      <c r="FZ35" s="6"/>
      <c r="GA35" s="6"/>
      <c r="GB35" s="6"/>
      <c r="GC35" s="7"/>
      <c r="GD35" s="7"/>
      <c r="GE35" s="7"/>
      <c r="GF35" s="7"/>
      <c r="GG35" s="7"/>
      <c r="GH35" s="42"/>
      <c r="GI35" s="6"/>
      <c r="GJ35" s="14"/>
      <c r="GK35" s="14"/>
      <c r="GL35" s="14"/>
      <c r="GM35" s="14"/>
      <c r="GO35" s="5"/>
      <c r="GP35" s="5"/>
      <c r="GQ35" s="5"/>
      <c r="GR35" s="5"/>
      <c r="GS35" s="5"/>
      <c r="GT35" s="5"/>
      <c r="GU35" s="5"/>
      <c r="GV35" s="39"/>
      <c r="GW35" s="5"/>
      <c r="GX35" s="5"/>
      <c r="GY35" s="5"/>
      <c r="GZ35" s="5"/>
      <c r="HA35" s="5"/>
      <c r="HB35" s="39"/>
      <c r="HC35" s="5"/>
      <c r="HD35" s="5"/>
      <c r="HE35" s="5"/>
      <c r="HF35" s="5"/>
      <c r="HG35" s="5"/>
      <c r="HH35" s="39"/>
      <c r="HI35" s="16"/>
      <c r="HJ35" s="1"/>
      <c r="HK35" s="1"/>
      <c r="HL35" s="1"/>
      <c r="HM35" s="19"/>
    </row>
    <row r="36" spans="1:221" s="26" customFormat="1" ht="15">
      <c r="A36" s="117"/>
      <c r="B36" s="117"/>
      <c r="C36" s="117"/>
      <c r="D36" s="117"/>
      <c r="E36" s="115"/>
      <c r="F36" s="115"/>
      <c r="G36" s="115"/>
      <c r="H36" s="115"/>
      <c r="I36" s="118"/>
      <c r="J36" s="118"/>
      <c r="K36" s="118"/>
      <c r="L36" s="118"/>
      <c r="M36" s="118"/>
      <c r="N36" s="118"/>
      <c r="O36" s="118"/>
      <c r="P36" s="118"/>
      <c r="Q36" s="30"/>
      <c r="R36" s="383"/>
      <c r="S36" s="383"/>
      <c r="T36" s="383"/>
      <c r="U36" s="383"/>
      <c r="V36" s="383"/>
      <c r="W36" s="383"/>
      <c r="X36" s="118"/>
      <c r="Y36" s="58"/>
      <c r="Z36" s="30"/>
      <c r="AA36" s="115"/>
      <c r="AB36" s="118"/>
      <c r="AC36" s="115"/>
      <c r="AD36" s="118"/>
      <c r="AE36" s="115"/>
      <c r="AF36" s="118"/>
      <c r="AG36" s="115"/>
      <c r="AH36" s="118"/>
      <c r="AI36" s="115"/>
      <c r="AJ36" s="118"/>
      <c r="AK36" s="150"/>
      <c r="AL36" s="150"/>
      <c r="AM36" s="32"/>
      <c r="AN36" s="32"/>
      <c r="AO36" s="32"/>
      <c r="AP36" s="32"/>
      <c r="AQ36" s="150"/>
      <c r="AR36" s="32"/>
      <c r="AS36" s="302"/>
      <c r="AT36" s="3"/>
      <c r="AU36" s="41"/>
      <c r="AV36" s="41"/>
      <c r="AW36" s="41"/>
      <c r="AX36" s="41"/>
      <c r="AY36" s="41"/>
      <c r="AZ36" s="41"/>
      <c r="BA36" s="3"/>
      <c r="BB36" s="128"/>
      <c r="BC36" s="128"/>
      <c r="BD36" s="1"/>
      <c r="BE36" s="1"/>
      <c r="BF36" s="1"/>
      <c r="BG36" s="1"/>
      <c r="BH36" s="1"/>
      <c r="BI36" s="1"/>
      <c r="BJ36" s="1"/>
      <c r="BK36" s="1"/>
      <c r="BL36" s="1"/>
      <c r="BM36" s="1"/>
      <c r="BN36" s="1"/>
      <c r="BO36" s="1"/>
      <c r="BP36" s="1"/>
      <c r="BQ36" s="1"/>
      <c r="BR36" s="1"/>
      <c r="BS36" s="1"/>
      <c r="BT36" s="1"/>
      <c r="BU36" s="1"/>
      <c r="BV36" s="1"/>
      <c r="BW36" s="1"/>
      <c r="BX36" s="304"/>
      <c r="BY36" s="20"/>
      <c r="BZ36" s="20"/>
      <c r="CA36" s="20"/>
      <c r="CB36" s="20"/>
      <c r="CC36" s="20"/>
      <c r="CD36" s="384"/>
      <c r="CE36" s="384"/>
      <c r="CF36" s="384"/>
      <c r="CG36" s="384"/>
      <c r="CH36" s="384"/>
      <c r="CI36" s="304"/>
      <c r="CJ36" s="16"/>
      <c r="CK36" s="1"/>
      <c r="CL36" s="1"/>
      <c r="CM36" s="1"/>
      <c r="CN36" s="1"/>
      <c r="CO36" s="1"/>
      <c r="CP36" s="304"/>
      <c r="CQ36" s="1"/>
      <c r="CR36" s="1"/>
      <c r="CS36" s="1"/>
      <c r="CT36" s="1"/>
      <c r="CU36" s="1"/>
      <c r="CV36" s="304"/>
      <c r="CW36" s="20"/>
      <c r="CX36" s="20"/>
      <c r="CY36" s="20"/>
      <c r="CZ36" s="20"/>
      <c r="DA36" s="20"/>
      <c r="DB36" s="503"/>
      <c r="DC36" s="127"/>
      <c r="DD36" s="127"/>
      <c r="DE36" s="127"/>
      <c r="DF36" s="127"/>
      <c r="DG36" s="127"/>
      <c r="DH36" s="127"/>
      <c r="DI36" s="127"/>
      <c r="DJ36" s="127"/>
      <c r="DK36" s="127"/>
      <c r="DL36" s="127"/>
      <c r="DM36" s="304"/>
      <c r="DN36" s="20"/>
      <c r="DO36" s="20"/>
      <c r="DP36" s="20"/>
      <c r="DQ36" s="20"/>
      <c r="DR36" s="20"/>
      <c r="DS36" s="20"/>
      <c r="DT36" s="20"/>
      <c r="DU36" s="20"/>
      <c r="DV36" s="20"/>
      <c r="DW36" s="20"/>
      <c r="DX36" s="20"/>
      <c r="DY36" s="7"/>
      <c r="DZ36" s="7"/>
      <c r="EA36" s="7"/>
      <c r="EB36" s="7"/>
      <c r="EC36" s="7"/>
      <c r="ED36" s="7"/>
      <c r="EE36" s="7"/>
      <c r="EF36" s="7"/>
      <c r="EG36" s="7"/>
      <c r="EH36" s="7"/>
      <c r="EI36" s="7"/>
      <c r="EJ36" s="7"/>
      <c r="EK36" s="7"/>
      <c r="EL36" s="7"/>
      <c r="EM36" s="7"/>
      <c r="EN36" s="7"/>
      <c r="EO36" s="7"/>
      <c r="EP36" s="7"/>
      <c r="EQ36" s="7"/>
      <c r="ER36" s="7"/>
      <c r="ES36" s="7"/>
      <c r="ET36" s="7"/>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7"/>
      <c r="FU36" s="7"/>
      <c r="FV36" s="7"/>
      <c r="FW36" s="519"/>
      <c r="FX36" s="519"/>
      <c r="FY36" s="519"/>
      <c r="FZ36" s="6"/>
      <c r="GA36" s="6"/>
      <c r="GB36" s="6"/>
      <c r="GC36" s="7"/>
      <c r="GD36" s="7"/>
      <c r="GE36" s="7"/>
      <c r="GF36" s="7"/>
      <c r="GG36" s="7"/>
      <c r="GH36" s="42"/>
      <c r="GI36" s="6"/>
      <c r="GJ36" s="14"/>
      <c r="GK36" s="14"/>
      <c r="GL36" s="14"/>
      <c r="GM36" s="14"/>
      <c r="GO36" s="5"/>
      <c r="GP36" s="5"/>
      <c r="GQ36" s="5"/>
      <c r="GR36" s="5"/>
      <c r="GS36" s="5"/>
      <c r="GT36" s="5"/>
      <c r="GU36" s="5"/>
      <c r="GV36" s="39"/>
      <c r="GW36" s="5"/>
      <c r="GX36" s="5"/>
      <c r="GY36" s="5"/>
      <c r="GZ36" s="5"/>
      <c r="HA36" s="5"/>
      <c r="HB36" s="39"/>
      <c r="HC36" s="5"/>
      <c r="HD36" s="5"/>
      <c r="HE36" s="5"/>
      <c r="HF36" s="5"/>
      <c r="HG36" s="5"/>
      <c r="HH36" s="39"/>
      <c r="HI36" s="16"/>
      <c r="HJ36" s="1"/>
      <c r="HK36" s="1"/>
      <c r="HL36" s="1"/>
      <c r="HM36" s="19"/>
    </row>
    <row r="37" spans="1:221" s="26" customFormat="1" ht="15">
      <c r="A37" s="117"/>
      <c r="B37" s="117"/>
      <c r="C37" s="117"/>
      <c r="D37" s="117"/>
      <c r="E37" s="115"/>
      <c r="F37" s="115"/>
      <c r="G37" s="115"/>
      <c r="H37" s="115"/>
      <c r="I37" s="118"/>
      <c r="J37" s="118"/>
      <c r="K37" s="118"/>
      <c r="L37" s="118"/>
      <c r="M37" s="118"/>
      <c r="N37" s="118"/>
      <c r="O37" s="118"/>
      <c r="P37" s="118"/>
      <c r="Q37" s="30"/>
      <c r="R37" s="383"/>
      <c r="S37" s="383"/>
      <c r="T37" s="383"/>
      <c r="U37" s="383"/>
      <c r="V37" s="383"/>
      <c r="W37" s="383"/>
      <c r="X37" s="118"/>
      <c r="Y37" s="58"/>
      <c r="Z37" s="30"/>
      <c r="AA37" s="115"/>
      <c r="AB37" s="118"/>
      <c r="AC37" s="115"/>
      <c r="AD37" s="118"/>
      <c r="AE37" s="115"/>
      <c r="AF37" s="118"/>
      <c r="AG37" s="115"/>
      <c r="AH37" s="118"/>
      <c r="AI37" s="115"/>
      <c r="AJ37" s="118"/>
      <c r="AK37" s="150"/>
      <c r="AL37" s="150"/>
      <c r="AM37" s="32"/>
      <c r="AN37" s="32"/>
      <c r="AO37" s="32"/>
      <c r="AP37" s="32"/>
      <c r="AQ37" s="150"/>
      <c r="AR37" s="32"/>
      <c r="AS37" s="302"/>
      <c r="AT37" s="3"/>
      <c r="AU37" s="41"/>
      <c r="AV37" s="41"/>
      <c r="AW37" s="41"/>
      <c r="AX37" s="41"/>
      <c r="AY37" s="41"/>
      <c r="AZ37" s="41"/>
      <c r="BA37" s="3"/>
      <c r="BB37" s="128"/>
      <c r="BC37" s="128"/>
      <c r="BD37" s="1"/>
      <c r="BE37" s="1"/>
      <c r="BF37" s="1"/>
      <c r="BG37" s="1"/>
      <c r="BH37" s="1"/>
      <c r="BI37" s="1"/>
      <c r="BJ37" s="1"/>
      <c r="BK37" s="1"/>
      <c r="BL37" s="1"/>
      <c r="BM37" s="1"/>
      <c r="BN37" s="1"/>
      <c r="BO37" s="1"/>
      <c r="BP37" s="1"/>
      <c r="BQ37" s="1"/>
      <c r="BR37" s="1"/>
      <c r="BS37" s="1"/>
      <c r="BT37" s="1"/>
      <c r="BU37" s="1"/>
      <c r="BV37" s="1"/>
      <c r="BW37" s="1"/>
      <c r="BX37" s="304"/>
      <c r="BY37" s="20"/>
      <c r="BZ37" s="20"/>
      <c r="CA37" s="20"/>
      <c r="CB37" s="20"/>
      <c r="CC37" s="20"/>
      <c r="CD37" s="384"/>
      <c r="CE37" s="384"/>
      <c r="CF37" s="384"/>
      <c r="CG37" s="384"/>
      <c r="CH37" s="384"/>
      <c r="CI37" s="304"/>
      <c r="CJ37" s="16"/>
      <c r="CK37" s="1"/>
      <c r="CL37" s="1"/>
      <c r="CM37" s="1"/>
      <c r="CN37" s="1"/>
      <c r="CO37" s="1"/>
      <c r="CP37" s="304"/>
      <c r="CQ37" s="1"/>
      <c r="CR37" s="1"/>
      <c r="CS37" s="1"/>
      <c r="CT37" s="1"/>
      <c r="CU37" s="1"/>
      <c r="CV37" s="304"/>
      <c r="CW37" s="20"/>
      <c r="CX37" s="20"/>
      <c r="CY37" s="20"/>
      <c r="CZ37" s="20"/>
      <c r="DA37" s="20"/>
      <c r="DB37" s="503"/>
      <c r="DC37" s="127"/>
      <c r="DD37" s="127"/>
      <c r="DE37" s="127"/>
      <c r="DF37" s="127"/>
      <c r="DG37" s="127"/>
      <c r="DH37" s="127"/>
      <c r="DI37" s="127"/>
      <c r="DJ37" s="127"/>
      <c r="DK37" s="127"/>
      <c r="DL37" s="127"/>
      <c r="DM37" s="304"/>
      <c r="DN37" s="20"/>
      <c r="DO37" s="20"/>
      <c r="DP37" s="20"/>
      <c r="DQ37" s="20"/>
      <c r="DR37" s="20"/>
      <c r="DS37" s="20"/>
      <c r="DT37" s="20"/>
      <c r="DU37" s="20"/>
      <c r="DV37" s="20"/>
      <c r="DW37" s="20"/>
      <c r="DX37" s="20"/>
      <c r="DY37" s="7"/>
      <c r="DZ37" s="7"/>
      <c r="EA37" s="7"/>
      <c r="EB37" s="7"/>
      <c r="EC37" s="7"/>
      <c r="ED37" s="7"/>
      <c r="EE37" s="7"/>
      <c r="EF37" s="7"/>
      <c r="EG37" s="7"/>
      <c r="EH37" s="7"/>
      <c r="EI37" s="7"/>
      <c r="EJ37" s="7"/>
      <c r="EK37" s="7"/>
      <c r="EL37" s="7"/>
      <c r="EM37" s="7"/>
      <c r="EN37" s="7"/>
      <c r="EO37" s="7"/>
      <c r="EP37" s="7"/>
      <c r="EQ37" s="7"/>
      <c r="ER37" s="7"/>
      <c r="ES37" s="7"/>
      <c r="ET37" s="7"/>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7"/>
      <c r="FU37" s="7"/>
      <c r="FV37" s="7"/>
      <c r="FW37" s="519"/>
      <c r="FX37" s="519"/>
      <c r="FY37" s="519"/>
      <c r="FZ37" s="6"/>
      <c r="GA37" s="6"/>
      <c r="GB37" s="6"/>
      <c r="GC37" s="7"/>
      <c r="GD37" s="7"/>
      <c r="GE37" s="7"/>
      <c r="GF37" s="7"/>
      <c r="GG37" s="7"/>
      <c r="GH37" s="42"/>
      <c r="GI37" s="6"/>
      <c r="GJ37" s="14"/>
      <c r="GK37" s="14"/>
      <c r="GL37" s="14"/>
      <c r="GM37" s="14"/>
      <c r="GO37" s="5"/>
      <c r="GP37" s="5"/>
      <c r="GQ37" s="5"/>
      <c r="GR37" s="5"/>
      <c r="GS37" s="5"/>
      <c r="GT37" s="5"/>
      <c r="GU37" s="5"/>
      <c r="GV37" s="39"/>
      <c r="GW37" s="5"/>
      <c r="GX37" s="5"/>
      <c r="GY37" s="5"/>
      <c r="GZ37" s="5"/>
      <c r="HA37" s="5"/>
      <c r="HB37" s="39"/>
      <c r="HC37" s="5"/>
      <c r="HD37" s="5"/>
      <c r="HE37" s="5"/>
      <c r="HF37" s="5"/>
      <c r="HG37" s="5"/>
      <c r="HH37" s="39"/>
      <c r="HI37" s="16"/>
      <c r="HJ37" s="1"/>
      <c r="HK37" s="1"/>
      <c r="HL37" s="1"/>
      <c r="HM37" s="19"/>
    </row>
    <row r="38" spans="1:221" s="26" customFormat="1" ht="15">
      <c r="A38" s="117"/>
      <c r="B38" s="117"/>
      <c r="C38" s="117"/>
      <c r="D38" s="117"/>
      <c r="E38" s="115"/>
      <c r="F38" s="115"/>
      <c r="G38" s="115"/>
      <c r="H38" s="115"/>
      <c r="I38" s="118"/>
      <c r="J38" s="118"/>
      <c r="K38" s="118"/>
      <c r="L38" s="118"/>
      <c r="M38" s="118"/>
      <c r="N38" s="118"/>
      <c r="O38" s="118"/>
      <c r="P38" s="118"/>
      <c r="Q38" s="30"/>
      <c r="R38" s="383"/>
      <c r="S38" s="383"/>
      <c r="T38" s="383"/>
      <c r="U38" s="383"/>
      <c r="V38" s="383"/>
      <c r="W38" s="383"/>
      <c r="X38" s="118"/>
      <c r="Y38" s="58"/>
      <c r="Z38" s="30"/>
      <c r="AA38" s="115"/>
      <c r="AB38" s="118"/>
      <c r="AC38" s="115"/>
      <c r="AD38" s="118"/>
      <c r="AE38" s="115"/>
      <c r="AF38" s="118"/>
      <c r="AG38" s="115"/>
      <c r="AH38" s="118"/>
      <c r="AI38" s="115"/>
      <c r="AJ38" s="118"/>
      <c r="AK38" s="150"/>
      <c r="AL38" s="150"/>
      <c r="AM38" s="32"/>
      <c r="AN38" s="32"/>
      <c r="AO38" s="32"/>
      <c r="AP38" s="32"/>
      <c r="AQ38" s="150"/>
      <c r="AR38" s="32"/>
      <c r="AS38" s="302"/>
      <c r="AT38" s="3"/>
      <c r="AU38" s="41"/>
      <c r="AV38" s="41"/>
      <c r="AW38" s="41"/>
      <c r="AX38" s="41"/>
      <c r="AY38" s="41"/>
      <c r="AZ38" s="41"/>
      <c r="BA38" s="3"/>
      <c r="BB38" s="128"/>
      <c r="BC38" s="128"/>
      <c r="BD38" s="1"/>
      <c r="BE38" s="1"/>
      <c r="BF38" s="1"/>
      <c r="BG38" s="1"/>
      <c r="BH38" s="1"/>
      <c r="BI38" s="1"/>
      <c r="BJ38" s="1"/>
      <c r="BK38" s="1"/>
      <c r="BL38" s="1"/>
      <c r="BM38" s="1"/>
      <c r="BN38" s="1"/>
      <c r="BO38" s="1"/>
      <c r="BP38" s="1"/>
      <c r="BQ38" s="1"/>
      <c r="BR38" s="1"/>
      <c r="BS38" s="1"/>
      <c r="BT38" s="1"/>
      <c r="BU38" s="1"/>
      <c r="BV38" s="1"/>
      <c r="BW38" s="1"/>
      <c r="BX38" s="304"/>
      <c r="BY38" s="20"/>
      <c r="BZ38" s="20"/>
      <c r="CA38" s="20"/>
      <c r="CB38" s="20"/>
      <c r="CC38" s="20"/>
      <c r="CD38" s="384"/>
      <c r="CE38" s="384"/>
      <c r="CF38" s="384"/>
      <c r="CG38" s="384"/>
      <c r="CH38" s="384"/>
      <c r="CI38" s="304"/>
      <c r="CJ38" s="16"/>
      <c r="CK38" s="1"/>
      <c r="CL38" s="1"/>
      <c r="CM38" s="1"/>
      <c r="CN38" s="1"/>
      <c r="CO38" s="1"/>
      <c r="CP38" s="304"/>
      <c r="CQ38" s="1"/>
      <c r="CR38" s="1"/>
      <c r="CS38" s="1"/>
      <c r="CT38" s="1"/>
      <c r="CU38" s="1"/>
      <c r="CV38" s="304"/>
      <c r="CW38" s="20"/>
      <c r="CX38" s="20"/>
      <c r="CY38" s="20"/>
      <c r="CZ38" s="20"/>
      <c r="DA38" s="20"/>
      <c r="DB38" s="503"/>
      <c r="DC38" s="127"/>
      <c r="DD38" s="127"/>
      <c r="DE38" s="127"/>
      <c r="DF38" s="127"/>
      <c r="DG38" s="127"/>
      <c r="DH38" s="127"/>
      <c r="DI38" s="127"/>
      <c r="DJ38" s="127"/>
      <c r="DK38" s="127"/>
      <c r="DL38" s="127"/>
      <c r="DM38" s="304"/>
      <c r="DN38" s="20"/>
      <c r="DO38" s="20"/>
      <c r="DP38" s="20"/>
      <c r="DQ38" s="20"/>
      <c r="DR38" s="20"/>
      <c r="DS38" s="20"/>
      <c r="DT38" s="20"/>
      <c r="DU38" s="20"/>
      <c r="DV38" s="20"/>
      <c r="DW38" s="20"/>
      <c r="DX38" s="20"/>
      <c r="DY38" s="7"/>
      <c r="DZ38" s="7"/>
      <c r="EA38" s="7"/>
      <c r="EB38" s="7"/>
      <c r="EC38" s="7"/>
      <c r="ED38" s="7"/>
      <c r="EE38" s="7"/>
      <c r="EF38" s="7"/>
      <c r="EG38" s="7"/>
      <c r="EH38" s="7"/>
      <c r="EI38" s="7"/>
      <c r="EJ38" s="7"/>
      <c r="EK38" s="7"/>
      <c r="EL38" s="7"/>
      <c r="EM38" s="7"/>
      <c r="EN38" s="7"/>
      <c r="EO38" s="7"/>
      <c r="EP38" s="7"/>
      <c r="EQ38" s="7"/>
      <c r="ER38" s="7"/>
      <c r="ES38" s="7"/>
      <c r="ET38" s="7"/>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7"/>
      <c r="FU38" s="7"/>
      <c r="FV38" s="7"/>
      <c r="FW38" s="519"/>
      <c r="FX38" s="519"/>
      <c r="FY38" s="519"/>
      <c r="FZ38" s="6"/>
      <c r="GA38" s="6"/>
      <c r="GB38" s="6"/>
      <c r="GC38" s="7"/>
      <c r="GD38" s="7"/>
      <c r="GE38" s="7"/>
      <c r="GF38" s="7"/>
      <c r="GG38" s="7"/>
      <c r="GH38" s="42"/>
      <c r="GI38" s="6"/>
      <c r="GJ38" s="14"/>
      <c r="GK38" s="14"/>
      <c r="GL38" s="14"/>
      <c r="GM38" s="14"/>
      <c r="GO38" s="5"/>
      <c r="GP38" s="5"/>
      <c r="GQ38" s="5"/>
      <c r="GR38" s="5"/>
      <c r="GS38" s="5"/>
      <c r="GT38" s="5"/>
      <c r="GU38" s="5"/>
      <c r="GV38" s="39"/>
      <c r="GW38" s="5"/>
      <c r="GX38" s="5"/>
      <c r="GY38" s="5"/>
      <c r="GZ38" s="5"/>
      <c r="HA38" s="5"/>
      <c r="HB38" s="39"/>
      <c r="HC38" s="5"/>
      <c r="HD38" s="5"/>
      <c r="HE38" s="5"/>
      <c r="HF38" s="5"/>
      <c r="HG38" s="5"/>
      <c r="HH38" s="39"/>
      <c r="HI38" s="16"/>
      <c r="HJ38" s="1"/>
      <c r="HK38" s="1"/>
      <c r="HL38" s="1"/>
      <c r="HM38" s="19"/>
    </row>
    <row r="39" spans="1:221" s="26" customFormat="1" ht="15">
      <c r="A39" s="117"/>
      <c r="B39" s="117"/>
      <c r="C39" s="117"/>
      <c r="D39" s="117"/>
      <c r="E39" s="115"/>
      <c r="F39" s="115"/>
      <c r="G39" s="115"/>
      <c r="H39" s="115"/>
      <c r="I39" s="118"/>
      <c r="J39" s="118"/>
      <c r="K39" s="118"/>
      <c r="L39" s="118"/>
      <c r="M39" s="118"/>
      <c r="N39" s="118"/>
      <c r="O39" s="118"/>
      <c r="P39" s="118"/>
      <c r="Q39" s="30"/>
      <c r="R39" s="383"/>
      <c r="S39" s="383"/>
      <c r="T39" s="383"/>
      <c r="U39" s="383"/>
      <c r="V39" s="383"/>
      <c r="W39" s="383"/>
      <c r="X39" s="118"/>
      <c r="Y39" s="58"/>
      <c r="Z39" s="30"/>
      <c r="AA39" s="115"/>
      <c r="AB39" s="118"/>
      <c r="AC39" s="115"/>
      <c r="AD39" s="118"/>
      <c r="AE39" s="115"/>
      <c r="AF39" s="118"/>
      <c r="AG39" s="115"/>
      <c r="AH39" s="118"/>
      <c r="AI39" s="115"/>
      <c r="AJ39" s="118"/>
      <c r="AK39" s="150"/>
      <c r="AL39" s="150"/>
      <c r="AM39" s="32"/>
      <c r="AN39" s="32"/>
      <c r="AO39" s="32"/>
      <c r="AP39" s="32"/>
      <c r="AQ39" s="150"/>
      <c r="AR39" s="32"/>
      <c r="AS39" s="302"/>
      <c r="AT39" s="3"/>
      <c r="AU39" s="41"/>
      <c r="AV39" s="41"/>
      <c r="AW39" s="41"/>
      <c r="AX39" s="41"/>
      <c r="AY39" s="41"/>
      <c r="AZ39" s="41"/>
      <c r="BA39" s="3"/>
      <c r="BB39" s="128"/>
      <c r="BC39" s="128"/>
      <c r="BD39" s="1"/>
      <c r="BE39" s="1"/>
      <c r="BF39" s="1"/>
      <c r="BG39" s="1"/>
      <c r="BH39" s="1"/>
      <c r="BI39" s="1"/>
      <c r="BJ39" s="1"/>
      <c r="BK39" s="1"/>
      <c r="BL39" s="1"/>
      <c r="BM39" s="1"/>
      <c r="BN39" s="1"/>
      <c r="BO39" s="1"/>
      <c r="BP39" s="1"/>
      <c r="BQ39" s="1"/>
      <c r="BR39" s="1"/>
      <c r="BS39" s="1"/>
      <c r="BT39" s="1"/>
      <c r="BU39" s="1"/>
      <c r="BV39" s="1"/>
      <c r="BW39" s="1"/>
      <c r="BX39" s="304"/>
      <c r="BY39" s="20"/>
      <c r="BZ39" s="20"/>
      <c r="CA39" s="20"/>
      <c r="CB39" s="20"/>
      <c r="CC39" s="20"/>
      <c r="CD39" s="384"/>
      <c r="CE39" s="384"/>
      <c r="CF39" s="384"/>
      <c r="CG39" s="384"/>
      <c r="CH39" s="384"/>
      <c r="CI39" s="304"/>
      <c r="CJ39" s="16"/>
      <c r="CK39" s="1"/>
      <c r="CL39" s="1"/>
      <c r="CM39" s="1"/>
      <c r="CN39" s="1"/>
      <c r="CO39" s="1"/>
      <c r="CP39" s="304"/>
      <c r="CQ39" s="1"/>
      <c r="CR39" s="1"/>
      <c r="CS39" s="1"/>
      <c r="CT39" s="1"/>
      <c r="CU39" s="1"/>
      <c r="CV39" s="304"/>
      <c r="CW39" s="20"/>
      <c r="CX39" s="20"/>
      <c r="CY39" s="20"/>
      <c r="CZ39" s="20"/>
      <c r="DA39" s="20"/>
      <c r="DB39" s="503"/>
      <c r="DC39" s="127"/>
      <c r="DD39" s="127"/>
      <c r="DE39" s="127"/>
      <c r="DF39" s="127"/>
      <c r="DG39" s="127"/>
      <c r="DH39" s="127"/>
      <c r="DI39" s="127"/>
      <c r="DJ39" s="127"/>
      <c r="DK39" s="127"/>
      <c r="DL39" s="127"/>
      <c r="DM39" s="304"/>
      <c r="DN39" s="20"/>
      <c r="DO39" s="20"/>
      <c r="DP39" s="20"/>
      <c r="DQ39" s="20"/>
      <c r="DR39" s="20"/>
      <c r="DS39" s="20"/>
      <c r="DT39" s="20"/>
      <c r="DU39" s="20"/>
      <c r="DV39" s="20"/>
      <c r="DW39" s="20"/>
      <c r="DX39" s="20"/>
      <c r="DY39" s="7"/>
      <c r="DZ39" s="7"/>
      <c r="EA39" s="7"/>
      <c r="EB39" s="7"/>
      <c r="EC39" s="7"/>
      <c r="ED39" s="7"/>
      <c r="EE39" s="7"/>
      <c r="EF39" s="7"/>
      <c r="EG39" s="7"/>
      <c r="EH39" s="7"/>
      <c r="EI39" s="7"/>
      <c r="EJ39" s="7"/>
      <c r="EK39" s="7"/>
      <c r="EL39" s="7"/>
      <c r="EM39" s="7"/>
      <c r="EN39" s="7"/>
      <c r="EO39" s="7"/>
      <c r="EP39" s="7"/>
      <c r="EQ39" s="7"/>
      <c r="ER39" s="7"/>
      <c r="ES39" s="7"/>
      <c r="ET39" s="7"/>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7"/>
      <c r="FU39" s="7"/>
      <c r="FV39" s="7"/>
      <c r="FW39" s="519"/>
      <c r="FX39" s="519"/>
      <c r="FY39" s="519"/>
      <c r="FZ39" s="6"/>
      <c r="GA39" s="6"/>
      <c r="GB39" s="6"/>
      <c r="GC39" s="7"/>
      <c r="GD39" s="7"/>
      <c r="GE39" s="7"/>
      <c r="GF39" s="7"/>
      <c r="GG39" s="7"/>
      <c r="GH39" s="42"/>
      <c r="GI39" s="6"/>
      <c r="GJ39" s="14"/>
      <c r="GK39" s="14"/>
      <c r="GL39" s="14"/>
      <c r="GM39" s="14"/>
      <c r="GO39" s="5"/>
      <c r="GP39" s="5"/>
      <c r="GQ39" s="5"/>
      <c r="GR39" s="5"/>
      <c r="GS39" s="5"/>
      <c r="GT39" s="5"/>
      <c r="GU39" s="5"/>
      <c r="GV39" s="39"/>
      <c r="GW39" s="5"/>
      <c r="GX39" s="5"/>
      <c r="GY39" s="5"/>
      <c r="GZ39" s="5"/>
      <c r="HA39" s="5"/>
      <c r="HB39" s="39"/>
      <c r="HC39" s="5"/>
      <c r="HD39" s="5"/>
      <c r="HE39" s="5"/>
      <c r="HF39" s="5"/>
      <c r="HG39" s="5"/>
      <c r="HH39" s="39"/>
      <c r="HI39" s="16"/>
      <c r="HJ39" s="1"/>
      <c r="HK39" s="1"/>
      <c r="HL39" s="1"/>
      <c r="HM39" s="19"/>
    </row>
    <row r="40" spans="1:221" s="26" customFormat="1" ht="15">
      <c r="A40" s="117"/>
      <c r="B40" s="117"/>
      <c r="C40" s="117"/>
      <c r="D40" s="117"/>
      <c r="E40" s="115"/>
      <c r="F40" s="115"/>
      <c r="G40" s="115"/>
      <c r="H40" s="115"/>
      <c r="I40" s="118"/>
      <c r="J40" s="118"/>
      <c r="K40" s="118"/>
      <c r="L40" s="118"/>
      <c r="M40" s="118"/>
      <c r="N40" s="118"/>
      <c r="O40" s="118"/>
      <c r="P40" s="118"/>
      <c r="Q40" s="30"/>
      <c r="R40" s="383"/>
      <c r="S40" s="383"/>
      <c r="T40" s="383"/>
      <c r="U40" s="383"/>
      <c r="V40" s="383"/>
      <c r="W40" s="383"/>
      <c r="X40" s="118"/>
      <c r="Y40" s="58"/>
      <c r="Z40" s="30"/>
      <c r="AA40" s="115"/>
      <c r="AB40" s="118"/>
      <c r="AC40" s="115"/>
      <c r="AD40" s="118"/>
      <c r="AE40" s="115"/>
      <c r="AF40" s="118"/>
      <c r="AG40" s="115"/>
      <c r="AH40" s="118"/>
      <c r="AI40" s="115"/>
      <c r="AJ40" s="118"/>
      <c r="AK40" s="150"/>
      <c r="AL40" s="150"/>
      <c r="AM40" s="32"/>
      <c r="AN40" s="32"/>
      <c r="AO40" s="32"/>
      <c r="AP40" s="32"/>
      <c r="AQ40" s="150"/>
      <c r="AR40" s="32"/>
      <c r="AS40" s="302"/>
      <c r="AT40" s="3"/>
      <c r="AU40" s="41"/>
      <c r="AV40" s="41"/>
      <c r="AW40" s="41"/>
      <c r="AX40" s="41"/>
      <c r="AY40" s="41"/>
      <c r="AZ40" s="41"/>
      <c r="BA40" s="3"/>
      <c r="BB40" s="128"/>
      <c r="BC40" s="128"/>
      <c r="BD40" s="1"/>
      <c r="BE40" s="1"/>
      <c r="BF40" s="1"/>
      <c r="BG40" s="1"/>
      <c r="BH40" s="1"/>
      <c r="BI40" s="1"/>
      <c r="BJ40" s="1"/>
      <c r="BK40" s="1"/>
      <c r="BL40" s="1"/>
      <c r="BM40" s="1"/>
      <c r="BN40" s="1"/>
      <c r="BO40" s="1"/>
      <c r="BP40" s="1"/>
      <c r="BQ40" s="1"/>
      <c r="BR40" s="1"/>
      <c r="BS40" s="1"/>
      <c r="BT40" s="1"/>
      <c r="BU40" s="1"/>
      <c r="BV40" s="1"/>
      <c r="BW40" s="1"/>
      <c r="BX40" s="304"/>
      <c r="BY40" s="20"/>
      <c r="BZ40" s="20"/>
      <c r="CA40" s="20"/>
      <c r="CB40" s="20"/>
      <c r="CC40" s="20"/>
      <c r="CD40" s="384"/>
      <c r="CE40" s="384"/>
      <c r="CF40" s="384"/>
      <c r="CG40" s="384"/>
      <c r="CH40" s="384"/>
      <c r="CI40" s="304"/>
      <c r="CJ40" s="16"/>
      <c r="CK40" s="1"/>
      <c r="CL40" s="1"/>
      <c r="CM40" s="1"/>
      <c r="CN40" s="1"/>
      <c r="CO40" s="1"/>
      <c r="CP40" s="304"/>
      <c r="CQ40" s="1"/>
      <c r="CR40" s="1"/>
      <c r="CS40" s="1"/>
      <c r="CT40" s="1"/>
      <c r="CU40" s="1"/>
      <c r="CV40" s="304"/>
      <c r="CW40" s="20"/>
      <c r="CX40" s="20"/>
      <c r="CY40" s="20"/>
      <c r="CZ40" s="20"/>
      <c r="DA40" s="20"/>
      <c r="DB40" s="503"/>
      <c r="DC40" s="127"/>
      <c r="DD40" s="127"/>
      <c r="DE40" s="127"/>
      <c r="DF40" s="127"/>
      <c r="DG40" s="127"/>
      <c r="DH40" s="127"/>
      <c r="DI40" s="127"/>
      <c r="DJ40" s="127"/>
      <c r="DK40" s="127"/>
      <c r="DL40" s="127"/>
      <c r="DM40" s="304"/>
      <c r="DN40" s="20"/>
      <c r="DO40" s="20"/>
      <c r="DP40" s="20"/>
      <c r="DQ40" s="20"/>
      <c r="DR40" s="20"/>
      <c r="DS40" s="20"/>
      <c r="DT40" s="20"/>
      <c r="DU40" s="20"/>
      <c r="DV40" s="20"/>
      <c r="DW40" s="20"/>
      <c r="DX40" s="20"/>
      <c r="DY40" s="7"/>
      <c r="DZ40" s="7"/>
      <c r="EA40" s="7"/>
      <c r="EB40" s="7"/>
      <c r="EC40" s="7"/>
      <c r="ED40" s="7"/>
      <c r="EE40" s="7"/>
      <c r="EF40" s="7"/>
      <c r="EG40" s="7"/>
      <c r="EH40" s="7"/>
      <c r="EI40" s="7"/>
      <c r="EJ40" s="7"/>
      <c r="EK40" s="7"/>
      <c r="EL40" s="7"/>
      <c r="EM40" s="7"/>
      <c r="EN40" s="7"/>
      <c r="EO40" s="7"/>
      <c r="EP40" s="7"/>
      <c r="EQ40" s="7"/>
      <c r="ER40" s="7"/>
      <c r="ES40" s="7"/>
      <c r="ET40" s="7"/>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7"/>
      <c r="FU40" s="7"/>
      <c r="FV40" s="7"/>
      <c r="FW40" s="519"/>
      <c r="FX40" s="519"/>
      <c r="FY40" s="519"/>
      <c r="FZ40" s="6"/>
      <c r="GA40" s="6"/>
      <c r="GB40" s="6"/>
      <c r="GC40" s="7"/>
      <c r="GD40" s="7"/>
      <c r="GE40" s="7"/>
      <c r="GF40" s="7"/>
      <c r="GG40" s="7"/>
      <c r="GH40" s="42"/>
      <c r="GI40" s="6"/>
      <c r="GJ40" s="14"/>
      <c r="GK40" s="14"/>
      <c r="GL40" s="14"/>
      <c r="GM40" s="14"/>
      <c r="GO40" s="5"/>
      <c r="GP40" s="5"/>
      <c r="GQ40" s="5"/>
      <c r="GR40" s="5"/>
      <c r="GS40" s="5"/>
      <c r="GT40" s="5"/>
      <c r="GU40" s="5"/>
      <c r="GV40" s="39"/>
      <c r="GW40" s="5"/>
      <c r="GX40" s="5"/>
      <c r="GY40" s="5"/>
      <c r="GZ40" s="5"/>
      <c r="HA40" s="5"/>
      <c r="HB40" s="39"/>
      <c r="HC40" s="5"/>
      <c r="HD40" s="5"/>
      <c r="HE40" s="5"/>
      <c r="HF40" s="5"/>
      <c r="HG40" s="5"/>
      <c r="HH40" s="39"/>
      <c r="HI40" s="16"/>
      <c r="HJ40" s="1"/>
      <c r="HK40" s="1"/>
      <c r="HL40" s="1"/>
      <c r="HM40" s="19"/>
    </row>
    <row r="41" spans="1:221" s="26" customFormat="1" ht="15">
      <c r="A41" s="117"/>
      <c r="B41" s="117"/>
      <c r="C41" s="117"/>
      <c r="D41" s="117"/>
      <c r="E41" s="115"/>
      <c r="F41" s="115"/>
      <c r="G41" s="115"/>
      <c r="H41" s="115"/>
      <c r="I41" s="118"/>
      <c r="J41" s="118"/>
      <c r="K41" s="118"/>
      <c r="L41" s="118"/>
      <c r="M41" s="118"/>
      <c r="N41" s="118"/>
      <c r="O41" s="118"/>
      <c r="P41" s="118"/>
      <c r="Q41" s="30"/>
      <c r="R41" s="383"/>
      <c r="S41" s="383"/>
      <c r="T41" s="383"/>
      <c r="U41" s="383"/>
      <c r="V41" s="383"/>
      <c r="W41" s="383"/>
      <c r="X41" s="118"/>
      <c r="Y41" s="58"/>
      <c r="Z41" s="30"/>
      <c r="AA41" s="115"/>
      <c r="AB41" s="118"/>
      <c r="AC41" s="115"/>
      <c r="AD41" s="118"/>
      <c r="AE41" s="115"/>
      <c r="AF41" s="118"/>
      <c r="AG41" s="115"/>
      <c r="AH41" s="118"/>
      <c r="AI41" s="115"/>
      <c r="AJ41" s="118"/>
      <c r="AK41" s="150"/>
      <c r="AL41" s="150"/>
      <c r="AM41" s="32"/>
      <c r="AN41" s="32"/>
      <c r="AO41" s="32"/>
      <c r="AP41" s="32"/>
      <c r="AQ41" s="150"/>
      <c r="AR41" s="32"/>
      <c r="AS41" s="302"/>
      <c r="AT41" s="3"/>
      <c r="AU41" s="41"/>
      <c r="AV41" s="41"/>
      <c r="AW41" s="41"/>
      <c r="AX41" s="41"/>
      <c r="AY41" s="41"/>
      <c r="AZ41" s="41"/>
      <c r="BA41" s="3"/>
      <c r="BB41" s="128"/>
      <c r="BC41" s="128"/>
      <c r="BD41" s="1"/>
      <c r="BE41" s="1"/>
      <c r="BF41" s="1"/>
      <c r="BG41" s="1"/>
      <c r="BH41" s="1"/>
      <c r="BI41" s="1"/>
      <c r="BJ41" s="1"/>
      <c r="BK41" s="1"/>
      <c r="BL41" s="1"/>
      <c r="BM41" s="1"/>
      <c r="BN41" s="1"/>
      <c r="BO41" s="1"/>
      <c r="BP41" s="1"/>
      <c r="BQ41" s="1"/>
      <c r="BR41" s="1"/>
      <c r="BS41" s="1"/>
      <c r="BT41" s="1"/>
      <c r="BU41" s="1"/>
      <c r="BV41" s="1"/>
      <c r="BW41" s="1"/>
      <c r="BX41" s="304"/>
      <c r="BY41" s="20"/>
      <c r="BZ41" s="20"/>
      <c r="CA41" s="20"/>
      <c r="CB41" s="20"/>
      <c r="CC41" s="20"/>
      <c r="CD41" s="384"/>
      <c r="CE41" s="384"/>
      <c r="CF41" s="384"/>
      <c r="CG41" s="384"/>
      <c r="CH41" s="384"/>
      <c r="CI41" s="304"/>
      <c r="CJ41" s="16"/>
      <c r="CK41" s="1"/>
      <c r="CL41" s="1"/>
      <c r="CM41" s="1"/>
      <c r="CN41" s="1"/>
      <c r="CO41" s="1"/>
      <c r="CP41" s="304"/>
      <c r="CQ41" s="1"/>
      <c r="CR41" s="1"/>
      <c r="CS41" s="1"/>
      <c r="CT41" s="1"/>
      <c r="CU41" s="1"/>
      <c r="CV41" s="304"/>
      <c r="CW41" s="20"/>
      <c r="CX41" s="20"/>
      <c r="CY41" s="20"/>
      <c r="CZ41" s="20"/>
      <c r="DA41" s="20"/>
      <c r="DB41" s="503"/>
      <c r="DC41" s="127"/>
      <c r="DD41" s="127"/>
      <c r="DE41" s="127"/>
      <c r="DF41" s="127"/>
      <c r="DG41" s="127"/>
      <c r="DH41" s="127"/>
      <c r="DI41" s="127"/>
      <c r="DJ41" s="127"/>
      <c r="DK41" s="127"/>
      <c r="DL41" s="127"/>
      <c r="DM41" s="304"/>
      <c r="DN41" s="20"/>
      <c r="DO41" s="20"/>
      <c r="DP41" s="20"/>
      <c r="DQ41" s="20"/>
      <c r="DR41" s="20"/>
      <c r="DS41" s="20"/>
      <c r="DT41" s="20"/>
      <c r="DU41" s="20"/>
      <c r="DV41" s="20"/>
      <c r="DW41" s="20"/>
      <c r="DX41" s="20"/>
      <c r="DY41" s="7"/>
      <c r="DZ41" s="7"/>
      <c r="EA41" s="7"/>
      <c r="EB41" s="7"/>
      <c r="EC41" s="7"/>
      <c r="ED41" s="7"/>
      <c r="EE41" s="7"/>
      <c r="EF41" s="7"/>
      <c r="EG41" s="7"/>
      <c r="EH41" s="7"/>
      <c r="EI41" s="7"/>
      <c r="EJ41" s="7"/>
      <c r="EK41" s="7"/>
      <c r="EL41" s="7"/>
      <c r="EM41" s="7"/>
      <c r="EN41" s="7"/>
      <c r="EO41" s="7"/>
      <c r="EP41" s="7"/>
      <c r="EQ41" s="7"/>
      <c r="ER41" s="7"/>
      <c r="ES41" s="7"/>
      <c r="ET41" s="7"/>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7"/>
      <c r="FU41" s="7"/>
      <c r="FV41" s="7"/>
      <c r="FW41" s="6"/>
      <c r="FX41" s="6"/>
      <c r="FY41" s="6"/>
      <c r="FZ41" s="6"/>
      <c r="GA41" s="6"/>
      <c r="GB41" s="6"/>
      <c r="GC41" s="7"/>
      <c r="GD41" s="7"/>
      <c r="GE41" s="7"/>
      <c r="GF41" s="7"/>
      <c r="GG41" s="7"/>
      <c r="GH41" s="42"/>
      <c r="GI41" s="6"/>
      <c r="GJ41" s="14"/>
      <c r="GK41" s="14"/>
      <c r="GL41" s="14"/>
      <c r="GM41" s="14"/>
      <c r="GO41" s="5"/>
      <c r="GP41" s="5"/>
      <c r="GQ41" s="5"/>
      <c r="GR41" s="5"/>
      <c r="GS41" s="5"/>
      <c r="GT41" s="5"/>
      <c r="GU41" s="5"/>
      <c r="GV41" s="39"/>
      <c r="GW41" s="5"/>
      <c r="GX41" s="5"/>
      <c r="GY41" s="5"/>
      <c r="GZ41" s="5"/>
      <c r="HA41" s="5"/>
      <c r="HB41" s="39"/>
      <c r="HC41" s="5"/>
      <c r="HD41" s="5"/>
      <c r="HE41" s="5"/>
      <c r="HF41" s="5"/>
      <c r="HG41" s="5"/>
      <c r="HH41" s="39"/>
      <c r="HI41" s="16"/>
      <c r="HJ41" s="1"/>
      <c r="HK41" s="1"/>
      <c r="HL41" s="1"/>
      <c r="HM41" s="19"/>
    </row>
    <row r="42" spans="1:221" s="26" customFormat="1" ht="15">
      <c r="A42" s="117"/>
      <c r="B42" s="117"/>
      <c r="C42" s="117"/>
      <c r="D42" s="117"/>
      <c r="E42" s="115"/>
      <c r="F42" s="115"/>
      <c r="G42" s="115"/>
      <c r="H42" s="115"/>
      <c r="I42" s="118"/>
      <c r="J42" s="118"/>
      <c r="K42" s="118"/>
      <c r="L42" s="118"/>
      <c r="M42" s="118"/>
      <c r="N42" s="118"/>
      <c r="O42" s="118"/>
      <c r="P42" s="118"/>
      <c r="Q42" s="30"/>
      <c r="R42" s="383"/>
      <c r="S42" s="383"/>
      <c r="T42" s="383"/>
      <c r="U42" s="383"/>
      <c r="V42" s="383"/>
      <c r="W42" s="383"/>
      <c r="X42" s="118"/>
      <c r="Y42" s="58"/>
      <c r="Z42" s="30"/>
      <c r="AA42" s="115"/>
      <c r="AB42" s="118"/>
      <c r="AC42" s="115"/>
      <c r="AD42" s="118"/>
      <c r="AE42" s="115"/>
      <c r="AF42" s="118"/>
      <c r="AG42" s="115"/>
      <c r="AH42" s="118"/>
      <c r="AI42" s="115"/>
      <c r="AJ42" s="118"/>
      <c r="AK42" s="150"/>
      <c r="AL42" s="150"/>
      <c r="AM42" s="32"/>
      <c r="AN42" s="32"/>
      <c r="AO42" s="32"/>
      <c r="AP42" s="32"/>
      <c r="AQ42" s="150"/>
      <c r="AR42" s="32"/>
      <c r="AS42" s="302"/>
      <c r="AT42" s="3"/>
      <c r="AU42" s="41"/>
      <c r="AV42" s="41"/>
      <c r="AW42" s="41"/>
      <c r="AX42" s="41"/>
      <c r="AY42" s="41"/>
      <c r="AZ42" s="41"/>
      <c r="BA42" s="3"/>
      <c r="BB42" s="128"/>
      <c r="BC42" s="128"/>
      <c r="BD42" s="1"/>
      <c r="BE42" s="1"/>
      <c r="BF42" s="1"/>
      <c r="BG42" s="1"/>
      <c r="BH42" s="1"/>
      <c r="BI42" s="1"/>
      <c r="BJ42" s="1"/>
      <c r="BK42" s="1"/>
      <c r="BL42" s="1"/>
      <c r="BM42" s="1"/>
      <c r="BN42" s="1"/>
      <c r="BO42" s="1"/>
      <c r="BP42" s="1"/>
      <c r="BQ42" s="1"/>
      <c r="BR42" s="1"/>
      <c r="BS42" s="1"/>
      <c r="BT42" s="1"/>
      <c r="BU42" s="1"/>
      <c r="BV42" s="1"/>
      <c r="BW42" s="1"/>
      <c r="BX42" s="304"/>
      <c r="BY42" s="20"/>
      <c r="BZ42" s="20"/>
      <c r="CA42" s="20"/>
      <c r="CB42" s="20"/>
      <c r="CC42" s="20"/>
      <c r="CD42" s="384"/>
      <c r="CE42" s="384"/>
      <c r="CF42" s="384"/>
      <c r="CG42" s="384"/>
      <c r="CH42" s="384"/>
      <c r="CI42" s="304"/>
      <c r="CJ42" s="16"/>
      <c r="CK42" s="1"/>
      <c r="CL42" s="1"/>
      <c r="CM42" s="1"/>
      <c r="CN42" s="1"/>
      <c r="CO42" s="1"/>
      <c r="CP42" s="304"/>
      <c r="CQ42" s="1"/>
      <c r="CR42" s="1"/>
      <c r="CS42" s="1"/>
      <c r="CT42" s="1"/>
      <c r="CU42" s="1"/>
      <c r="CV42" s="516"/>
      <c r="CW42" s="20"/>
      <c r="CX42" s="20"/>
      <c r="CY42" s="20"/>
      <c r="CZ42" s="20"/>
      <c r="DA42" s="20"/>
      <c r="DB42" s="503"/>
      <c r="DC42" s="127"/>
      <c r="DD42" s="127"/>
      <c r="DE42" s="127"/>
      <c r="DF42" s="127"/>
      <c r="DG42" s="127"/>
      <c r="DH42" s="127"/>
      <c r="DI42" s="127"/>
      <c r="DJ42" s="127"/>
      <c r="DK42" s="127"/>
      <c r="DL42" s="127"/>
      <c r="DM42" s="304"/>
      <c r="DN42" s="20"/>
      <c r="DO42" s="20"/>
      <c r="DP42" s="20"/>
      <c r="DQ42" s="20"/>
      <c r="DR42" s="20"/>
      <c r="DS42" s="20"/>
      <c r="DT42" s="20"/>
      <c r="DU42" s="20"/>
      <c r="DV42" s="20"/>
      <c r="DW42" s="20"/>
      <c r="DX42" s="20"/>
      <c r="DY42" s="7"/>
      <c r="DZ42" s="7"/>
      <c r="EA42" s="7"/>
      <c r="EB42" s="7"/>
      <c r="EC42" s="7"/>
      <c r="ED42" s="7"/>
      <c r="EE42" s="7"/>
      <c r="EF42" s="7"/>
      <c r="EG42" s="7"/>
      <c r="EH42" s="7"/>
      <c r="EI42" s="7"/>
      <c r="EJ42" s="7"/>
      <c r="EK42" s="7"/>
      <c r="EL42" s="7"/>
      <c r="EM42" s="7"/>
      <c r="EN42" s="7"/>
      <c r="EO42" s="7"/>
      <c r="EP42" s="7"/>
      <c r="EQ42" s="7"/>
      <c r="ER42" s="7"/>
      <c r="ES42" s="7"/>
      <c r="ET42" s="7"/>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7"/>
      <c r="FU42" s="7"/>
      <c r="FV42" s="7"/>
      <c r="FW42" s="6"/>
      <c r="FX42" s="6"/>
      <c r="FY42" s="6"/>
      <c r="FZ42" s="6"/>
      <c r="GA42" s="6"/>
      <c r="GB42" s="6"/>
      <c r="GC42" s="7"/>
      <c r="GD42" s="7"/>
      <c r="GE42" s="7"/>
      <c r="GF42" s="7"/>
      <c r="GG42" s="7"/>
      <c r="GH42" s="42"/>
      <c r="GI42" s="6"/>
      <c r="GJ42" s="14"/>
      <c r="GK42" s="14"/>
      <c r="GL42" s="14"/>
      <c r="GM42" s="14"/>
      <c r="GO42" s="5"/>
      <c r="GP42" s="5"/>
      <c r="GQ42" s="5"/>
      <c r="GR42" s="5"/>
      <c r="GS42" s="5"/>
      <c r="GT42" s="5"/>
      <c r="GU42" s="5"/>
      <c r="GV42" s="39"/>
      <c r="GW42" s="5"/>
      <c r="GX42" s="5"/>
      <c r="GY42" s="5"/>
      <c r="GZ42" s="5"/>
      <c r="HA42" s="5"/>
      <c r="HB42" s="39"/>
      <c r="HC42" s="5"/>
      <c r="HD42" s="5"/>
      <c r="HE42" s="5"/>
      <c r="HF42" s="5"/>
      <c r="HG42" s="5"/>
      <c r="HH42" s="39"/>
      <c r="HI42" s="16"/>
      <c r="HJ42" s="1"/>
      <c r="HK42" s="1"/>
      <c r="HL42" s="1"/>
      <c r="HM42" s="19"/>
    </row>
    <row r="43" spans="1:221" s="26" customFormat="1" ht="15">
      <c r="A43" s="117"/>
      <c r="B43" s="117"/>
      <c r="C43" s="117"/>
      <c r="D43" s="117"/>
      <c r="E43" s="115"/>
      <c r="F43" s="115"/>
      <c r="G43" s="115"/>
      <c r="H43" s="115"/>
      <c r="I43" s="118"/>
      <c r="J43" s="118"/>
      <c r="K43" s="118"/>
      <c r="L43" s="118"/>
      <c r="M43" s="118"/>
      <c r="N43" s="118"/>
      <c r="O43" s="118"/>
      <c r="P43" s="118"/>
      <c r="Q43" s="30"/>
      <c r="R43" s="383"/>
      <c r="S43" s="383"/>
      <c r="T43" s="383"/>
      <c r="U43" s="383"/>
      <c r="V43" s="383"/>
      <c r="W43" s="383"/>
      <c r="X43" s="118"/>
      <c r="Y43" s="58"/>
      <c r="Z43" s="30"/>
      <c r="AA43" s="115"/>
      <c r="AB43" s="118"/>
      <c r="AC43" s="115"/>
      <c r="AD43" s="118"/>
      <c r="AE43" s="115"/>
      <c r="AF43" s="118"/>
      <c r="AG43" s="115"/>
      <c r="AH43" s="118"/>
      <c r="AI43" s="115"/>
      <c r="AJ43" s="118"/>
      <c r="AK43" s="150"/>
      <c r="AL43" s="150"/>
      <c r="AM43" s="32"/>
      <c r="AN43" s="32"/>
      <c r="AO43" s="32"/>
      <c r="AP43" s="32"/>
      <c r="AQ43" s="150"/>
      <c r="AR43" s="32"/>
      <c r="AS43" s="302"/>
      <c r="AT43" s="3"/>
      <c r="AU43" s="41"/>
      <c r="AV43" s="41"/>
      <c r="AW43" s="41"/>
      <c r="AX43" s="41"/>
      <c r="AY43" s="41"/>
      <c r="AZ43" s="41"/>
      <c r="BA43" s="3"/>
      <c r="BB43" s="128"/>
      <c r="BC43" s="128"/>
      <c r="BD43" s="1"/>
      <c r="BE43" s="1"/>
      <c r="BF43" s="1"/>
      <c r="BG43" s="1"/>
      <c r="BH43" s="1"/>
      <c r="BI43" s="1"/>
      <c r="BJ43" s="1"/>
      <c r="BK43" s="1"/>
      <c r="BL43" s="1"/>
      <c r="BM43" s="1"/>
      <c r="BN43" s="1"/>
      <c r="BO43" s="1"/>
      <c r="BP43" s="1"/>
      <c r="BQ43" s="1"/>
      <c r="BR43" s="1"/>
      <c r="BS43" s="1"/>
      <c r="BT43" s="1"/>
      <c r="BU43" s="1"/>
      <c r="BV43" s="1"/>
      <c r="BW43" s="1"/>
      <c r="BX43" s="304"/>
      <c r="BY43" s="20"/>
      <c r="BZ43" s="20"/>
      <c r="CA43" s="20"/>
      <c r="CB43" s="20"/>
      <c r="CC43" s="20"/>
      <c r="CD43" s="384"/>
      <c r="CE43" s="384"/>
      <c r="CF43" s="384"/>
      <c r="CG43" s="384"/>
      <c r="CH43" s="384"/>
      <c r="CI43" s="304"/>
      <c r="CJ43" s="16"/>
      <c r="CK43" s="1"/>
      <c r="CL43" s="1"/>
      <c r="CM43" s="1"/>
      <c r="CN43" s="1"/>
      <c r="CO43" s="1"/>
      <c r="CP43" s="304"/>
      <c r="CQ43" s="1"/>
      <c r="CR43" s="1"/>
      <c r="CS43" s="1"/>
      <c r="CT43" s="1"/>
      <c r="CU43" s="1"/>
      <c r="CV43" s="516"/>
      <c r="CW43" s="20"/>
      <c r="CX43" s="20"/>
      <c r="CY43" s="20"/>
      <c r="CZ43" s="20"/>
      <c r="DA43" s="20"/>
      <c r="DB43" s="503"/>
      <c r="DC43" s="127"/>
      <c r="DD43" s="127"/>
      <c r="DE43" s="127"/>
      <c r="DF43" s="127"/>
      <c r="DG43" s="127"/>
      <c r="DH43" s="127"/>
      <c r="DI43" s="127"/>
      <c r="DJ43" s="127"/>
      <c r="DK43" s="127"/>
      <c r="DL43" s="127"/>
      <c r="DM43" s="304"/>
      <c r="DN43" s="20"/>
      <c r="DO43" s="20"/>
      <c r="DP43" s="20"/>
      <c r="DQ43" s="20"/>
      <c r="DR43" s="20"/>
      <c r="DS43" s="20"/>
      <c r="DT43" s="20"/>
      <c r="DU43" s="20"/>
      <c r="DV43" s="20"/>
      <c r="DW43" s="20"/>
      <c r="DX43" s="20"/>
      <c r="DY43" s="7"/>
      <c r="DZ43" s="7"/>
      <c r="EA43" s="7"/>
      <c r="EB43" s="7"/>
      <c r="EC43" s="7"/>
      <c r="ED43" s="7"/>
      <c r="EE43" s="7"/>
      <c r="EF43" s="7"/>
      <c r="EG43" s="7"/>
      <c r="EH43" s="7"/>
      <c r="EI43" s="7"/>
      <c r="EJ43" s="7"/>
      <c r="EK43" s="7"/>
      <c r="EL43" s="7"/>
      <c r="EM43" s="7"/>
      <c r="EN43" s="7"/>
      <c r="EO43" s="7"/>
      <c r="EP43" s="7"/>
      <c r="EQ43" s="7"/>
      <c r="ER43" s="7"/>
      <c r="ES43" s="7"/>
      <c r="ET43" s="7"/>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7"/>
      <c r="FU43" s="7"/>
      <c r="FV43" s="7"/>
      <c r="FW43" s="6"/>
      <c r="FX43" s="6"/>
      <c r="FY43" s="6"/>
      <c r="FZ43" s="6"/>
      <c r="GA43" s="6"/>
      <c r="GB43" s="6"/>
      <c r="GC43" s="7"/>
      <c r="GD43" s="7"/>
      <c r="GE43" s="7"/>
      <c r="GF43" s="7"/>
      <c r="GG43" s="7"/>
      <c r="GH43" s="42"/>
      <c r="GI43" s="6"/>
      <c r="GJ43" s="14"/>
      <c r="GK43" s="14"/>
      <c r="GL43" s="14"/>
      <c r="GM43" s="14"/>
      <c r="GO43" s="5"/>
      <c r="GP43" s="5"/>
      <c r="GQ43" s="5"/>
      <c r="GR43" s="5"/>
      <c r="GS43" s="5"/>
      <c r="GT43" s="5"/>
      <c r="GU43" s="5"/>
      <c r="GV43" s="39"/>
      <c r="GW43" s="5"/>
      <c r="GX43" s="5"/>
      <c r="GY43" s="5"/>
      <c r="GZ43" s="5"/>
      <c r="HA43" s="5"/>
      <c r="HB43" s="39"/>
      <c r="HC43" s="5"/>
      <c r="HD43" s="5"/>
      <c r="HE43" s="5"/>
      <c r="HF43" s="5"/>
      <c r="HG43" s="5"/>
      <c r="HH43" s="39"/>
      <c r="HI43" s="16"/>
      <c r="HJ43" s="1"/>
      <c r="HK43" s="1"/>
      <c r="HL43" s="1"/>
      <c r="HM43" s="19"/>
    </row>
    <row r="44" spans="1:221" s="26" customFormat="1" ht="15">
      <c r="A44" s="117"/>
      <c r="B44" s="117"/>
      <c r="C44" s="117"/>
      <c r="D44" s="117"/>
      <c r="E44" s="115"/>
      <c r="F44" s="115"/>
      <c r="G44" s="115"/>
      <c r="H44" s="115"/>
      <c r="I44" s="118"/>
      <c r="J44" s="118"/>
      <c r="K44" s="118"/>
      <c r="L44" s="118"/>
      <c r="M44" s="118"/>
      <c r="N44" s="118"/>
      <c r="O44" s="118"/>
      <c r="P44" s="118"/>
      <c r="Q44" s="30"/>
      <c r="R44" s="383"/>
      <c r="S44" s="383"/>
      <c r="T44" s="383"/>
      <c r="U44" s="383"/>
      <c r="V44" s="383"/>
      <c r="W44" s="383"/>
      <c r="X44" s="118"/>
      <c r="Y44" s="58"/>
      <c r="Z44" s="30"/>
      <c r="AA44" s="115"/>
      <c r="AB44" s="118"/>
      <c r="AC44" s="115"/>
      <c r="AD44" s="118"/>
      <c r="AE44" s="115"/>
      <c r="AF44" s="118"/>
      <c r="AG44" s="115"/>
      <c r="AH44" s="118"/>
      <c r="AI44" s="115"/>
      <c r="AJ44" s="118"/>
      <c r="AK44" s="150"/>
      <c r="AL44" s="150"/>
      <c r="AM44" s="32"/>
      <c r="AN44" s="32"/>
      <c r="AO44" s="32"/>
      <c r="AP44" s="32"/>
      <c r="AQ44" s="150"/>
      <c r="AR44" s="32"/>
      <c r="AS44" s="302"/>
      <c r="AT44" s="3"/>
      <c r="AU44" s="41"/>
      <c r="AV44" s="41"/>
      <c r="AW44" s="41"/>
      <c r="AX44" s="41"/>
      <c r="AY44" s="41"/>
      <c r="AZ44" s="41"/>
      <c r="BA44" s="3"/>
      <c r="BB44" s="128"/>
      <c r="BC44" s="128"/>
      <c r="BD44" s="1"/>
      <c r="BE44" s="1"/>
      <c r="BF44" s="1"/>
      <c r="BG44" s="1"/>
      <c r="BH44" s="1"/>
      <c r="BI44" s="1"/>
      <c r="BJ44" s="1"/>
      <c r="BK44" s="1"/>
      <c r="BL44" s="1"/>
      <c r="BM44" s="1"/>
      <c r="BN44" s="1"/>
      <c r="BO44" s="1"/>
      <c r="BP44" s="1"/>
      <c r="BQ44" s="1"/>
      <c r="BR44" s="1"/>
      <c r="BS44" s="1"/>
      <c r="BT44" s="1"/>
      <c r="BU44" s="1"/>
      <c r="BV44" s="1"/>
      <c r="BW44" s="1"/>
      <c r="BX44" s="304"/>
      <c r="BY44" s="20"/>
      <c r="BZ44" s="20"/>
      <c r="CA44" s="20"/>
      <c r="CB44" s="20"/>
      <c r="CC44" s="20"/>
      <c r="CD44" s="384"/>
      <c r="CE44" s="384"/>
      <c r="CF44" s="384"/>
      <c r="CG44" s="384"/>
      <c r="CH44" s="384"/>
      <c r="CI44" s="304"/>
      <c r="CJ44" s="16"/>
      <c r="CK44" s="1"/>
      <c r="CL44" s="1"/>
      <c r="CM44" s="1"/>
      <c r="CN44" s="1"/>
      <c r="CO44" s="1"/>
      <c r="CP44" s="304"/>
      <c r="CQ44" s="1"/>
      <c r="CR44" s="1"/>
      <c r="CS44" s="1"/>
      <c r="CT44" s="1"/>
      <c r="CU44" s="1"/>
      <c r="CV44" s="516"/>
      <c r="CW44" s="20"/>
      <c r="CX44" s="20"/>
      <c r="CY44" s="20"/>
      <c r="CZ44" s="20"/>
      <c r="DA44" s="20"/>
      <c r="DB44" s="503"/>
      <c r="DC44" s="127"/>
      <c r="DD44" s="127"/>
      <c r="DE44" s="127"/>
      <c r="DF44" s="127"/>
      <c r="DG44" s="127"/>
      <c r="DH44" s="127"/>
      <c r="DI44" s="127"/>
      <c r="DJ44" s="127"/>
      <c r="DK44" s="127"/>
      <c r="DL44" s="127"/>
      <c r="DM44" s="304"/>
      <c r="DN44" s="20"/>
      <c r="DO44" s="20"/>
      <c r="DP44" s="20"/>
      <c r="DQ44" s="20"/>
      <c r="DR44" s="20"/>
      <c r="DS44" s="20"/>
      <c r="DT44" s="20"/>
      <c r="DU44" s="20"/>
      <c r="DV44" s="20"/>
      <c r="DW44" s="20"/>
      <c r="DX44" s="20"/>
      <c r="DY44" s="7"/>
      <c r="DZ44" s="7"/>
      <c r="EA44" s="7"/>
      <c r="EB44" s="7"/>
      <c r="EC44" s="7"/>
      <c r="ED44" s="7"/>
      <c r="EE44" s="7"/>
      <c r="EF44" s="7"/>
      <c r="EG44" s="7"/>
      <c r="EH44" s="7"/>
      <c r="EI44" s="7"/>
      <c r="EJ44" s="7"/>
      <c r="EK44" s="7"/>
      <c r="EL44" s="7"/>
      <c r="EM44" s="7"/>
      <c r="EN44" s="7"/>
      <c r="EO44" s="7"/>
      <c r="EP44" s="7"/>
      <c r="EQ44" s="7"/>
      <c r="ER44" s="7"/>
      <c r="ES44" s="7"/>
      <c r="ET44" s="7"/>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7"/>
      <c r="FU44" s="7"/>
      <c r="FV44" s="7"/>
      <c r="FW44" s="6"/>
      <c r="FX44" s="6"/>
      <c r="FY44" s="6"/>
      <c r="FZ44" s="6"/>
      <c r="GA44" s="6"/>
      <c r="GB44" s="6"/>
      <c r="GC44" s="7"/>
      <c r="GD44" s="7"/>
      <c r="GE44" s="7"/>
      <c r="GF44" s="7"/>
      <c r="GG44" s="7"/>
      <c r="GH44" s="42"/>
      <c r="GI44" s="6"/>
      <c r="GJ44" s="14"/>
      <c r="GK44" s="14"/>
      <c r="GL44" s="14"/>
      <c r="GM44" s="14"/>
      <c r="GO44" s="5"/>
      <c r="GP44" s="5"/>
      <c r="GQ44" s="5"/>
      <c r="GR44" s="5"/>
      <c r="GS44" s="5"/>
      <c r="GT44" s="5"/>
      <c r="GU44" s="5"/>
      <c r="GV44" s="39"/>
      <c r="GW44" s="5"/>
      <c r="GX44" s="5"/>
      <c r="GY44" s="5"/>
      <c r="GZ44" s="5"/>
      <c r="HA44" s="5"/>
      <c r="HB44" s="39"/>
      <c r="HC44" s="5"/>
      <c r="HD44" s="5"/>
      <c r="HE44" s="5"/>
      <c r="HF44" s="5"/>
      <c r="HG44" s="5"/>
      <c r="HH44" s="39"/>
      <c r="HI44" s="16"/>
      <c r="HJ44" s="1"/>
      <c r="HK44" s="1"/>
      <c r="HL44" s="1"/>
      <c r="HM44" s="19"/>
    </row>
    <row r="45" spans="1:221" s="26" customFormat="1" ht="15.75" thickBot="1">
      <c r="A45" s="523" t="s">
        <v>723</v>
      </c>
      <c r="B45" s="117"/>
      <c r="C45" s="117"/>
      <c r="D45" s="117"/>
      <c r="E45" s="115"/>
      <c r="F45" s="115"/>
      <c r="G45" s="115"/>
      <c r="H45" s="115"/>
      <c r="I45" s="118"/>
      <c r="J45" s="118"/>
      <c r="K45" s="118"/>
      <c r="L45" s="118"/>
      <c r="M45" s="118"/>
      <c r="N45" s="118"/>
      <c r="O45" s="118"/>
      <c r="P45" s="118"/>
      <c r="Q45" s="30"/>
      <c r="R45" s="383"/>
      <c r="S45" s="383"/>
      <c r="T45" s="383"/>
      <c r="U45" s="383"/>
      <c r="V45" s="383"/>
      <c r="W45" s="383"/>
      <c r="X45" s="118"/>
      <c r="Y45" s="58"/>
      <c r="Z45" s="30"/>
      <c r="AA45" s="115"/>
      <c r="AB45" s="118"/>
      <c r="AC45" s="115"/>
      <c r="AD45" s="118"/>
      <c r="AE45" s="115"/>
      <c r="AF45" s="118"/>
      <c r="AG45" s="115"/>
      <c r="AH45" s="118"/>
      <c r="AI45" s="115"/>
      <c r="AJ45" s="118"/>
      <c r="AK45" s="150"/>
      <c r="AL45" s="150"/>
      <c r="AM45" s="32"/>
      <c r="AN45" s="32"/>
      <c r="AO45" s="32"/>
      <c r="AP45" s="32"/>
      <c r="AQ45" s="150"/>
      <c r="AR45" s="32"/>
      <c r="AS45" s="302"/>
      <c r="AT45" s="3"/>
      <c r="AU45" s="41"/>
      <c r="AV45" s="41"/>
      <c r="AW45" s="41"/>
      <c r="AX45" s="41"/>
      <c r="AY45" s="41"/>
      <c r="AZ45" s="41"/>
      <c r="BA45" s="3"/>
      <c r="BB45" s="128"/>
      <c r="BC45" s="128"/>
      <c r="BD45" s="1"/>
      <c r="BE45" s="1"/>
      <c r="BF45" s="1"/>
      <c r="BG45" s="1"/>
      <c r="BH45" s="1"/>
      <c r="BI45" s="1"/>
      <c r="BJ45" s="1"/>
      <c r="BK45" s="1"/>
      <c r="BL45" s="1"/>
      <c r="BM45" s="1"/>
      <c r="BN45" s="1"/>
      <c r="BO45" s="1"/>
      <c r="BP45" s="1"/>
      <c r="BQ45" s="1"/>
      <c r="BR45" s="1"/>
      <c r="BS45" s="1"/>
      <c r="BT45" s="1"/>
      <c r="BU45" s="1"/>
      <c r="BV45" s="1"/>
      <c r="BW45" s="1"/>
      <c r="BX45" s="304"/>
      <c r="BY45" s="20"/>
      <c r="BZ45" s="20"/>
      <c r="CA45" s="20"/>
      <c r="CB45" s="20"/>
      <c r="CC45" s="20"/>
      <c r="CD45" s="384"/>
      <c r="CE45" s="384"/>
      <c r="CF45" s="384"/>
      <c r="CG45" s="384"/>
      <c r="CH45" s="384"/>
      <c r="CI45" s="304"/>
      <c r="CJ45" s="16"/>
      <c r="CK45" s="1"/>
      <c r="CL45" s="1"/>
      <c r="CM45" s="1"/>
      <c r="CN45" s="1"/>
      <c r="CO45" s="1"/>
      <c r="CP45" s="304"/>
      <c r="CQ45" s="1"/>
      <c r="CR45" s="1"/>
      <c r="CS45" s="1"/>
      <c r="CT45" s="1"/>
      <c r="CU45" s="1"/>
      <c r="CV45" s="516"/>
      <c r="CW45" s="20"/>
      <c r="CX45" s="20"/>
      <c r="CY45" s="20"/>
      <c r="CZ45" s="20"/>
      <c r="DA45" s="20"/>
      <c r="DB45" s="503"/>
      <c r="DC45" s="127"/>
      <c r="DD45" s="127"/>
      <c r="DE45" s="127"/>
      <c r="DF45" s="127"/>
      <c r="DG45" s="127"/>
      <c r="DH45" s="127"/>
      <c r="DI45" s="127"/>
      <c r="DJ45" s="127"/>
      <c r="DK45" s="127"/>
      <c r="DL45" s="127"/>
      <c r="DM45" s="304"/>
      <c r="DN45" s="20"/>
      <c r="DO45" s="20"/>
      <c r="DP45" s="20"/>
      <c r="DQ45" s="20"/>
      <c r="DR45" s="20"/>
      <c r="DS45" s="20"/>
      <c r="DT45" s="20"/>
      <c r="DU45" s="20"/>
      <c r="DV45" s="20"/>
      <c r="DW45" s="20"/>
      <c r="DX45" s="20"/>
      <c r="DY45" s="7"/>
      <c r="DZ45" s="7"/>
      <c r="EA45" s="7"/>
      <c r="EB45" s="7"/>
      <c r="EC45" s="7"/>
      <c r="ED45" s="7"/>
      <c r="EE45" s="7"/>
      <c r="EF45" s="7"/>
      <c r="EG45" s="7"/>
      <c r="EH45" s="7"/>
      <c r="EI45" s="7"/>
      <c r="EJ45" s="7"/>
      <c r="EK45" s="7"/>
      <c r="EL45" s="7"/>
      <c r="EM45" s="7"/>
      <c r="EN45" s="7"/>
      <c r="EO45" s="7"/>
      <c r="EP45" s="7"/>
      <c r="EQ45" s="7"/>
      <c r="ER45" s="7"/>
      <c r="ES45" s="7"/>
      <c r="ET45" s="7"/>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7"/>
      <c r="FU45" s="7"/>
      <c r="FV45" s="7"/>
      <c r="FW45" s="6"/>
      <c r="FX45" s="6"/>
      <c r="FY45" s="6"/>
      <c r="FZ45" s="6"/>
      <c r="GA45" s="6"/>
      <c r="GB45" s="6"/>
      <c r="GC45" s="7"/>
      <c r="GD45" s="7"/>
      <c r="GE45" s="7"/>
      <c r="GF45" s="7"/>
      <c r="GG45" s="7"/>
      <c r="GH45" s="42"/>
      <c r="GI45" s="6"/>
      <c r="GJ45" s="14"/>
      <c r="GK45" s="14"/>
      <c r="GL45" s="14"/>
      <c r="GM45" s="14"/>
      <c r="GO45" s="5"/>
      <c r="GP45" s="5"/>
      <c r="GQ45" s="5"/>
      <c r="GR45" s="5"/>
      <c r="GS45" s="5"/>
      <c r="GT45" s="5"/>
      <c r="GU45" s="5"/>
      <c r="GV45" s="39"/>
      <c r="GW45" s="5"/>
      <c r="GX45" s="5"/>
      <c r="GY45" s="5"/>
      <c r="GZ45" s="5"/>
      <c r="HA45" s="5"/>
      <c r="HB45" s="39"/>
      <c r="HC45" s="5"/>
      <c r="HD45" s="5"/>
      <c r="HE45" s="5"/>
      <c r="HF45" s="5"/>
      <c r="HG45" s="5"/>
      <c r="HH45" s="39"/>
      <c r="HI45" s="16"/>
      <c r="HJ45" s="1"/>
      <c r="HK45" s="1"/>
      <c r="HL45" s="1"/>
      <c r="HM45" s="19"/>
    </row>
    <row r="46" spans="1:221" s="60" customFormat="1" ht="15.75" thickBot="1">
      <c r="A46" s="31">
        <f>C46*1000+B46</f>
        <v>1001</v>
      </c>
      <c r="B46" s="31">
        <f t="shared" ref="B46:B60" si="60">IF(D46="Baseline1",1,B45+1)</f>
        <v>1</v>
      </c>
      <c r="C46" s="508">
        <v>1</v>
      </c>
      <c r="D46" s="31" t="s">
        <v>566</v>
      </c>
      <c r="E46" s="365">
        <f>INDEX(Input!$1:$1048576,E$10,$C46*2+MIN($B46,2)+5)</f>
        <v>1000</v>
      </c>
      <c r="F46" s="366">
        <f>INDEX(Input!$1:$1048576,F$10,$C46*2+MIN($B46,2)+5)</f>
        <v>0</v>
      </c>
      <c r="G46" s="49">
        <f>INDEX(Input!$1:$1048576,G$10,$C46*2+MIN($B46,2)+5)</f>
        <v>0</v>
      </c>
      <c r="H46" s="49">
        <f>INDEX(Input!$1:$1048576,H$10,$C46*2+MIN($B46,2)+5)</f>
        <v>0</v>
      </c>
      <c r="I46" s="367">
        <f>INDEX(Input!$1:$1048576,I$10,$C46*2+MIN($B46,2)+5)</f>
        <v>0.7</v>
      </c>
      <c r="J46" s="367" t="str">
        <f>INDEX(Input!$1:$1048576,J$10,$C46*2+MIN($B46,2)+5)</f>
        <v>Market</v>
      </c>
      <c r="K46" s="367" t="str">
        <f>INDEX(Input!$1:$1048576,K$10,$C46*2+MIN($B46,2)+5)</f>
        <v>Market</v>
      </c>
      <c r="L46" s="367" t="str">
        <f>INDEX(Input!$1:$1048576,L$10,$C46*2+MIN($B46,2)+5)</f>
        <v>Market</v>
      </c>
      <c r="M46" s="367" t="str">
        <f>INDEX(Input!$1:$1048576,M$10,$C46*2+MIN($B46,2)+5)</f>
        <v>Market</v>
      </c>
      <c r="N46" s="367" t="str">
        <f>INDEX(Input!$1:$1048576,N$10,$C46*2+MIN($B46,2)+5)</f>
        <v>Market</v>
      </c>
      <c r="O46" s="367" t="str">
        <f>INDEX(Input!$1:$1048576,O$10,$C46*2+MIN($B46,2)+5)</f>
        <v>Market</v>
      </c>
      <c r="P46" s="367" t="str">
        <f>INDEX(Input!$1:$1048576,P$10,$C46*2+MIN($B46,2)+5)</f>
        <v>N</v>
      </c>
      <c r="Q46" s="47">
        <f>INDEX(Input!$1:$1048576,Q$10,$C46*2+MIN($B46,2)+5)</f>
        <v>0</v>
      </c>
      <c r="R46" s="38">
        <f>INDEX(Input!$1:$1048576,R$10,$C46*2+MIN($B46,2)+5)</f>
        <v>0</v>
      </c>
      <c r="S46" s="38">
        <f>INDEX(Input!$1:$1048576,S$10,$C46*2+MIN($B46,2)+5)</f>
        <v>0</v>
      </c>
      <c r="T46" s="38">
        <f>INDEX(Input!$1:$1048576,T$10,$C46*2+MIN($B46,2)+5)</f>
        <v>0</v>
      </c>
      <c r="U46" s="38">
        <f>INDEX(Input!$1:$1048576,U$10,$C46*2+MIN($B46,2)+5)</f>
        <v>0</v>
      </c>
      <c r="V46" s="38">
        <f>INDEX(Input!$1:$1048576,V$10,$C46*2+MIN($B46,2)+5)</f>
        <v>1.9E-2</v>
      </c>
      <c r="W46" s="38">
        <f>INDEX(Input!$1:$1048576,W$10,$C46*2+MIN($B46,2)+5)</f>
        <v>3.9E-2</v>
      </c>
      <c r="X46" s="367" t="str">
        <f>INDEX(Input!$1:$1048576,X$10,$C46*2+MIN($B46,2)+5)</f>
        <v>Y</v>
      </c>
      <c r="Y46" s="517">
        <f>HM17-500</f>
        <v>1494.2598087597307</v>
      </c>
      <c r="Z46" s="49">
        <f>INDEX(Input!$1:$1048576,Z$10,$C46*2+MIN($B46,2)+5)</f>
        <v>0</v>
      </c>
      <c r="AA46" s="49">
        <f>INDEX(Input!$1:$1048576,AA$10,$C46*2+MIN($B46,2)+5)</f>
        <v>1000</v>
      </c>
      <c r="AB46" s="367">
        <f>INDEX(Input!$1:$1048576,AB$10,$C46*2+MIN($B46,2)+5)</f>
        <v>0.27</v>
      </c>
      <c r="AC46" s="49">
        <f>INDEX(Input!$1:$1048576,AC$10,$C46*2+MIN($B46,2)+5)</f>
        <v>1000</v>
      </c>
      <c r="AD46" s="367">
        <f>INDEX(Input!$1:$1048576,AD$10,$C46*2+MIN($B46,2)+5)</f>
        <v>0.27</v>
      </c>
      <c r="AE46" s="49">
        <f>INDEX(Input!$1:$1048576,AE$10,$C46*2+MIN($B46,2)+5)</f>
        <v>0</v>
      </c>
      <c r="AF46" s="367">
        <f>INDEX(Input!$1:$1048576,AF$10,$C46*2+MIN($B46,2)+5)</f>
        <v>0.38</v>
      </c>
      <c r="AG46" s="49">
        <f>INDEX(Input!$1:$1048576,AG$10,$C46*2+MIN($B46,2)+5)</f>
        <v>0</v>
      </c>
      <c r="AH46" s="367">
        <f>INDEX(Input!$1:$1048576,AH$10,$C46*2+MIN($B46,2)+5)</f>
        <v>0</v>
      </c>
      <c r="AI46" s="49">
        <f>INDEX(Input!$1:$1048576,AI$10,$C46*2+MIN($B46,2)+5)</f>
        <v>0</v>
      </c>
      <c r="AJ46" s="367">
        <f>INDEX(Input!$1:$1048576,AJ$10,$C46*2+MIN($B46,2)+5)</f>
        <v>0.27</v>
      </c>
      <c r="AK46" s="298">
        <f>INDEX(Input!$1:$1048576,AK$10,$C46*2+MIN($B46,2)+5)</f>
        <v>4103.7164157747848</v>
      </c>
      <c r="AL46" s="49">
        <f>INDEX(Input!$1:$1048576,AL$10,$C46*2+MIN($B46,2)+5)</f>
        <v>4103.7164157747848</v>
      </c>
      <c r="AM46" s="46" t="str">
        <f>IF(K46="market","std",ROUND(K46*1000,0)/10)&amp;"/"&amp;IF(L46="market","std",ROUND(L46*1000,0)/10)&amp;"/"&amp;IF(M46="market","std",ROUND(M46*1000,0)/10)&amp;"/"&amp;IF(N46="market","std",ROUND(N46*1000,0)/10)&amp;IF(P46="N","","/"&amp;IF(O46="market","std",ROUND(O46*1000,0)/10))</f>
        <v>std/std/std/std</v>
      </c>
      <c r="AN46" s="46" t="str">
        <f>"$"&amp;ROUND(Q46,0)&amp;" + "&amp;IF(S46="market","std",ROUND(S46*1000,0)/10)&amp;"/"&amp;IF(T46="market","std",ROUND(T46*1000,0)/10)&amp;"/"&amp;IF(U46="market","std",ROUND(U46*1000,0)/10)&amp;"/"&amp;IF(V46="market","std",ROUND(V46*1000,0)/10)&amp;IF(X46="N","","/"&amp;IF(W46="market","std",ROUND(W46*1000,0)/10))</f>
        <v>$0 + 0/0/0/1.9/3.9</v>
      </c>
      <c r="AO46" s="44" t="str">
        <f>IF(S46="market","std",ROUND(S46*1000,0)/10)&amp;"/"&amp;IF(T46="market","std",ROUND(T46*1000,0)/10)&amp;"/"&amp;IF(U46="market","std",ROUND(U46*1000,0)/10)&amp;"/"&amp;IF(V46="market","std",ROUND(V46*1000,0)/10)&amp;IF(X46="N","","/"&amp;IF(W46="market","std",ROUND(W46*1000,0)/10))</f>
        <v>0/0/0/1.9/3.9</v>
      </c>
      <c r="AP46" s="44" t="str">
        <f>IF(T46="market","std",ROUND(T46*1000,0)/10)&amp;"/"&amp;IF(U46="market","std",ROUND(U46*1000,0)/10)&amp;"/"&amp;IF(V46="market","std",ROUND(V46*1000,0)/10)&amp;IF(X46="N","","/"&amp;IF(W46="market","std",ROUND(W46*1000,0)/10))</f>
        <v>0/0/1.9/3.9</v>
      </c>
      <c r="AQ46" s="49">
        <f>SUM(F46*(1-ET46),G46*EM46,H46*ES46,AC46*AD46,AE46*AF46,AI46*AJ46)</f>
        <v>270</v>
      </c>
      <c r="AR46" s="44" t="str">
        <f>IF(U46="market","std",ROUND(U46*1000,0)/10)&amp;"/"&amp;IF(V46="market","std",ROUND(V46*1000,0)/10)</f>
        <v>0/1.9</v>
      </c>
      <c r="AS46" s="368"/>
      <c r="AT46" s="50">
        <v>1</v>
      </c>
      <c r="AU46" s="45" t="s">
        <v>121</v>
      </c>
      <c r="AV46" s="45" t="s">
        <v>116</v>
      </c>
      <c r="AW46" s="45" t="str">
        <f>INDEX(Input!$1:$1048576,AW$10,$C46*2+6)</f>
        <v>Kia</v>
      </c>
      <c r="AX46" s="45" t="str">
        <f>INDEX(Input!$1:$1048576,AX$10,$C46*2+6)</f>
        <v>Kia-LR - L1</v>
      </c>
      <c r="AY46" s="10" t="str">
        <f>IF(D46="Skip","",INDEX(Input!$1:$1048576,AY$10,$C46*2+6))</f>
        <v>Compact SUV (52)</v>
      </c>
      <c r="AZ46" s="45" t="str">
        <f>INDEX(Input!$1:$1048576,AZ$10,$C46*2+6)</f>
        <v>Kia Soul</v>
      </c>
      <c r="BA46" s="50">
        <f>INDEX(Input!$1:$1048576,BA$10,$C46*2+6)</f>
        <v>2020</v>
      </c>
      <c r="BB46" s="367">
        <f>INDEX(Input!$1:$1048576,BB$10,$C46*2+6)</f>
        <v>1</v>
      </c>
      <c r="BC46" s="367">
        <f>INDEX(Input!$1:$1048576,BC$10,$C46*2+6)</f>
        <v>0.7</v>
      </c>
      <c r="BD46" s="38">
        <f>INDEX(Input!$1:$1048576,BD$10,$C46*2+6)</f>
        <v>4.4999999999999998E-2</v>
      </c>
      <c r="BE46" s="38">
        <f>INDEX(Input!$1:$1048576,BE$10,$C46*2+6)</f>
        <v>4.4999999999999998E-2</v>
      </c>
      <c r="BF46" s="38">
        <f>INDEX(Input!$1:$1048576,BF$10,$C46*2+6)</f>
        <v>0.05</v>
      </c>
      <c r="BG46" s="38">
        <f>INDEX(Input!$1:$1048576,BG$10,$C46*2+6)</f>
        <v>5.45E-2</v>
      </c>
      <c r="BH46" s="38">
        <f>INDEX(Input!$1:$1048576,BH$10,$C46*2+6)</f>
        <v>5.45E-2</v>
      </c>
      <c r="BI46" s="38">
        <f>INDEX(Input!$1:$1048576,BI$10,$C46*2+6)</f>
        <v>0.05</v>
      </c>
      <c r="BJ46" s="38">
        <f>INDEX(Input!$1:$1048576,BJ$10,$C46*2+6)</f>
        <v>0.05</v>
      </c>
      <c r="BK46" s="38">
        <f>INDEX(Input!$1:$1048576,BK$10,$C46*2+6)</f>
        <v>0.05</v>
      </c>
      <c r="BL46" s="38">
        <f>INDEX(Input!$1:$1048576,BL$10,$C46*2+6)</f>
        <v>5.5E-2</v>
      </c>
      <c r="BM46" s="38">
        <f>INDEX(Input!$1:$1048576,BM$10,$C46*2+6)</f>
        <v>0.06</v>
      </c>
      <c r="BN46" s="38">
        <f>INDEX(Input!$1:$1048576,BN$10,$C46*2+6)</f>
        <v>4.4999999999999998E-2</v>
      </c>
      <c r="BO46" s="38">
        <f>INDEX(Input!$1:$1048576,BO$10,$C46*2+6)</f>
        <v>4.4999999999999998E-2</v>
      </c>
      <c r="BP46" s="38">
        <f>INDEX(Input!$1:$1048576,BP$10,$C46*2+6)</f>
        <v>0.05</v>
      </c>
      <c r="BQ46" s="38">
        <f>INDEX(Input!$1:$1048576,BQ$10,$C46*2+6)</f>
        <v>5.45E-2</v>
      </c>
      <c r="BR46" s="38">
        <f>INDEX(Input!$1:$1048576,BR$10,$C46*2+6)</f>
        <v>5.45E-2</v>
      </c>
      <c r="BS46" s="38">
        <f>INDEX(Input!$1:$1048576,BS$10,$C46*2+6)</f>
        <v>0.05</v>
      </c>
      <c r="BT46" s="38">
        <f>INDEX(Input!$1:$1048576,BT$10,$C46*2+6)</f>
        <v>0.05</v>
      </c>
      <c r="BU46" s="38">
        <f>INDEX(Input!$1:$1048576,BU$10,$C46*2+6)</f>
        <v>0.05</v>
      </c>
      <c r="BV46" s="38">
        <f>INDEX(Input!$1:$1048576,BV$10,$C46*2+6)</f>
        <v>5.5E-2</v>
      </c>
      <c r="BW46" s="38">
        <f>INDEX(Input!$1:$1048576,BW$10,$C46*2+6)</f>
        <v>0.06</v>
      </c>
      <c r="BX46" s="49">
        <f>INDEX(Input!$1:$1048576,BX$10,$C46*2+6)</f>
        <v>19985</v>
      </c>
      <c r="BY46" s="367">
        <f>INDEX(Input!$1:$1048576,BY$10,$C46*2+6)</f>
        <v>0.1</v>
      </c>
      <c r="BZ46" s="367">
        <f>INDEX(Input!$1:$1048576,BZ$10,$C46*2+6)</f>
        <v>0.1</v>
      </c>
      <c r="CA46" s="367">
        <f>INDEX(Input!$1:$1048576,CA$10,$C46*2+6)</f>
        <v>0.1</v>
      </c>
      <c r="CB46" s="367">
        <f>INDEX(Input!$1:$1048576,CB$10,$C46*2+6)</f>
        <v>0.1</v>
      </c>
      <c r="CC46" s="367">
        <f>INDEX(Input!$1:$1048576,CC$10,$C46*2+6)</f>
        <v>0.1</v>
      </c>
      <c r="CD46" s="367">
        <f>INDEX(Input!$1:$1048576,CD$10,$C46*2+6)</f>
        <v>0.1</v>
      </c>
      <c r="CE46" s="367">
        <f>INDEX(Input!$1:$1048576,CE$10,$C46*2+6)</f>
        <v>0.1</v>
      </c>
      <c r="CF46" s="367">
        <f>INDEX(Input!$1:$1048576,CF$10,$C46*2+6)</f>
        <v>0.1</v>
      </c>
      <c r="CG46" s="367">
        <f>INDEX(Input!$1:$1048576,CG$10,$C46*2+6)</f>
        <v>0.1</v>
      </c>
      <c r="CH46" s="48">
        <f>INDEX(Input!$1:$1048576,CH$10,$C46*2+6)</f>
        <v>0.1</v>
      </c>
      <c r="CI46" s="298">
        <f t="shared" ref="CI46:CI60" si="61">E46+F46*I46+AA46*AB46+AG46*AH46</f>
        <v>1270</v>
      </c>
      <c r="CJ46" s="46" t="str">
        <f>INDEX(Input!$1:$1048576,CJ$10,$C46*2+6)</f>
        <v>N</v>
      </c>
      <c r="CK46" s="38" t="str">
        <f t="shared" ref="CK46:CK60" si="62">J46</f>
        <v>Market</v>
      </c>
      <c r="CL46" s="38" t="str">
        <f t="shared" ref="CL46:CL60" si="63">K46</f>
        <v>Market</v>
      </c>
      <c r="CM46" s="38" t="str">
        <f t="shared" ref="CM46:CM60" si="64">L46</f>
        <v>Market</v>
      </c>
      <c r="CN46" s="38" t="str">
        <f t="shared" ref="CN46:CN60" si="65">M46</f>
        <v>Market</v>
      </c>
      <c r="CO46" s="38" t="str">
        <f t="shared" ref="CO46:CO60" si="66">N46</f>
        <v>Market</v>
      </c>
      <c r="CP46" s="49">
        <f t="shared" ref="CP46:CP60" si="67">Q46+G46*I46+AG46*AH46</f>
        <v>0</v>
      </c>
      <c r="CQ46" s="38">
        <f t="shared" ref="CQ46:CQ60" si="68">R46</f>
        <v>0</v>
      </c>
      <c r="CR46" s="38">
        <f t="shared" ref="CR46:CR60" si="69">S46</f>
        <v>0</v>
      </c>
      <c r="CS46" s="38">
        <f t="shared" ref="CS46:CS60" si="70">T46</f>
        <v>0</v>
      </c>
      <c r="CT46" s="38">
        <f t="shared" ref="CT46:CT60" si="71">U46</f>
        <v>0</v>
      </c>
      <c r="CU46" s="38">
        <f t="shared" ref="CU46:CU60" si="72">V46</f>
        <v>1.9E-2</v>
      </c>
      <c r="CV46" s="49">
        <f t="shared" ref="CV46:CV60" si="73">Y46+H46*I46+AC46*AD46</f>
        <v>1764.2598087597307</v>
      </c>
      <c r="CW46" s="22" t="s">
        <v>122</v>
      </c>
      <c r="CX46" s="22" t="s">
        <v>122</v>
      </c>
      <c r="CY46" s="22" t="s">
        <v>122</v>
      </c>
      <c r="CZ46" s="22" t="s">
        <v>122</v>
      </c>
      <c r="DA46" s="22" t="s">
        <v>122</v>
      </c>
      <c r="DB46" s="502">
        <f t="shared" ref="DB46:DB60" si="74">Z46+AE46*AF46+AI46*AJ46</f>
        <v>0</v>
      </c>
      <c r="DC46" s="29">
        <v>0</v>
      </c>
      <c r="DD46" s="29">
        <v>0</v>
      </c>
      <c r="DE46" s="29">
        <v>0</v>
      </c>
      <c r="DF46" s="49">
        <v>0</v>
      </c>
      <c r="DG46" s="49">
        <v>0</v>
      </c>
      <c r="DH46" s="49">
        <v>0</v>
      </c>
      <c r="DI46" s="49">
        <v>0</v>
      </c>
      <c r="DJ46" s="49">
        <v>0</v>
      </c>
      <c r="DK46" s="29">
        <v>0</v>
      </c>
      <c r="DL46" s="29">
        <v>0</v>
      </c>
      <c r="DM46" s="49">
        <f>INDEX(Input!$1:$1048576,DM$10,$C46*2+6)</f>
        <v>21036.84210526316</v>
      </c>
      <c r="DN46" s="367">
        <v>0</v>
      </c>
      <c r="DO46" s="367">
        <v>0</v>
      </c>
      <c r="DP46" s="367">
        <v>0</v>
      </c>
      <c r="DQ46" s="367">
        <v>0</v>
      </c>
      <c r="DR46" s="367">
        <v>0</v>
      </c>
      <c r="DS46" s="367">
        <f>INDEX(Input!$1:$1048576,DS$10,$C46*2+6)</f>
        <v>0.6</v>
      </c>
      <c r="DT46" s="367">
        <f>INDEX(Input!$1:$1048576,DT$10,$C46*2+6)</f>
        <v>0.55000000000000004</v>
      </c>
      <c r="DU46" s="367">
        <f>INDEX(Input!$1:$1048576,DU$10,$C46*2+6)</f>
        <v>0.52</v>
      </c>
      <c r="DV46" s="367">
        <f>INDEX(Input!$1:$1048576,DV$10,$C46*2+6)</f>
        <v>0.5</v>
      </c>
      <c r="DW46" s="367">
        <f>INDEX(Input!$1:$1048576,DW$10,$C46*2+6)</f>
        <v>0.45</v>
      </c>
      <c r="DX46" s="369"/>
      <c r="DY46" s="4">
        <v>0.10584507339283368</v>
      </c>
      <c r="DZ46" s="37">
        <v>0</v>
      </c>
      <c r="EA46" s="37">
        <v>0.50813563780703275</v>
      </c>
      <c r="EB46" s="37">
        <v>0</v>
      </c>
      <c r="EC46" s="37">
        <v>0</v>
      </c>
      <c r="ED46" s="37">
        <v>0</v>
      </c>
      <c r="EE46" s="37">
        <v>0</v>
      </c>
      <c r="EF46" s="37">
        <v>0</v>
      </c>
      <c r="EG46" s="37">
        <v>0</v>
      </c>
      <c r="EH46" s="37">
        <v>1.0456306766219611E-2</v>
      </c>
      <c r="EI46" s="37">
        <v>3.0535331701518453E-2</v>
      </c>
      <c r="EJ46" s="37">
        <v>0.19288831904248799</v>
      </c>
      <c r="EK46" s="37">
        <v>0.59431531814863492</v>
      </c>
      <c r="EL46" s="37">
        <v>0.17180472434113891</v>
      </c>
      <c r="EM46" s="37">
        <v>9.4018604513582807E-2</v>
      </c>
      <c r="EN46" s="37">
        <v>4.8332123868296419E-2</v>
      </c>
      <c r="EO46" s="37">
        <v>0.74662158005343104</v>
      </c>
      <c r="EP46" s="37">
        <v>8.9892418471251206E-2</v>
      </c>
      <c r="EQ46" s="37">
        <v>6.8742614818858086E-2</v>
      </c>
      <c r="ER46" s="37">
        <v>4.6411262788163231E-2</v>
      </c>
      <c r="ES46" s="37">
        <v>0.29200068428655079</v>
      </c>
      <c r="ET46" s="37">
        <v>0.38601928880013353</v>
      </c>
      <c r="EU46" s="36">
        <v>1240</v>
      </c>
      <c r="EV46" s="36">
        <v>0</v>
      </c>
      <c r="EW46" s="36">
        <v>1240</v>
      </c>
      <c r="EX46" s="36">
        <v>0</v>
      </c>
      <c r="EY46" s="36">
        <v>2643.894061397893</v>
      </c>
      <c r="EZ46" s="36">
        <v>1441.9040576656735</v>
      </c>
      <c r="FA46" s="36">
        <v>0</v>
      </c>
      <c r="FB46" s="36">
        <v>0</v>
      </c>
      <c r="FC46" s="36">
        <v>0</v>
      </c>
      <c r="FD46" s="36">
        <v>0</v>
      </c>
      <c r="FE46" s="36">
        <v>0</v>
      </c>
      <c r="FF46" s="36">
        <v>0</v>
      </c>
      <c r="FG46" s="36">
        <v>0</v>
      </c>
      <c r="FH46" s="36">
        <v>1171.2811379695615</v>
      </c>
      <c r="FI46" s="36">
        <v>1553.9796069512397</v>
      </c>
      <c r="FJ46" s="36">
        <v>2101.211011744741</v>
      </c>
      <c r="FK46" s="36">
        <v>2674.2006261592269</v>
      </c>
      <c r="FL46" s="36">
        <v>2034.7405995769207</v>
      </c>
      <c r="FM46" s="36">
        <v>2403.894061397893</v>
      </c>
      <c r="FN46" s="36">
        <v>0</v>
      </c>
      <c r="FO46" s="36">
        <v>0</v>
      </c>
      <c r="FP46" s="36">
        <v>0</v>
      </c>
      <c r="FQ46" s="36">
        <v>0</v>
      </c>
      <c r="FR46" s="36">
        <v>0</v>
      </c>
      <c r="FS46" s="36">
        <v>0</v>
      </c>
      <c r="FT46" s="37">
        <v>0.61398071119986641</v>
      </c>
      <c r="FU46" s="37">
        <v>9.4018604513582807E-2</v>
      </c>
      <c r="FV46" s="37">
        <v>0.29200068428655079</v>
      </c>
      <c r="FW46" s="518">
        <v>1240</v>
      </c>
      <c r="FX46" s="518">
        <v>2643.894061397893</v>
      </c>
      <c r="FY46" s="518">
        <v>1441.9040576656735</v>
      </c>
      <c r="FZ46" s="36">
        <v>1972.7251322951724</v>
      </c>
      <c r="GA46" s="36">
        <v>1430.9482835361439</v>
      </c>
      <c r="GB46" s="36">
        <v>18554.051716463855</v>
      </c>
      <c r="GC46" s="37">
        <v>1.0519917368675835E-2</v>
      </c>
      <c r="GD46" s="37">
        <v>1.0010678263855679E-2</v>
      </c>
      <c r="GE46" s="37"/>
      <c r="GF46" s="37"/>
      <c r="GG46" s="37">
        <v>-4.8407139236327952E-2</v>
      </c>
      <c r="GH46" s="35">
        <v>1.7856367983496129</v>
      </c>
      <c r="GI46" s="36">
        <v>12623.0339408609</v>
      </c>
      <c r="GJ46" s="34">
        <v>0.50394797582841744</v>
      </c>
      <c r="GK46" s="34">
        <v>0.50887573065309755</v>
      </c>
      <c r="GL46" s="34">
        <v>0.49605202417158284</v>
      </c>
      <c r="GM46" s="33">
        <v>0.49112426934690256</v>
      </c>
      <c r="GN46" s="61"/>
      <c r="GO46" s="13">
        <v>343.14810671672558</v>
      </c>
      <c r="GP46" s="27">
        <v>319.49127229486811</v>
      </c>
      <c r="GQ46" s="27">
        <v>535.04305713031317</v>
      </c>
      <c r="GR46" s="27">
        <v>410.15490233172511</v>
      </c>
      <c r="GS46" s="27">
        <v>339.42744393800166</v>
      </c>
      <c r="GT46" s="27">
        <v>293.4407446948278</v>
      </c>
      <c r="GU46" s="27">
        <v>258.04012322764959</v>
      </c>
      <c r="GV46" s="29" t="s">
        <v>392</v>
      </c>
      <c r="GW46" s="27">
        <v>492.95833333333331</v>
      </c>
      <c r="GX46" s="27">
        <v>369.71875</v>
      </c>
      <c r="GY46" s="27">
        <v>295.77499999999998</v>
      </c>
      <c r="GZ46" s="27">
        <v>246.47916666666666</v>
      </c>
      <c r="HA46" s="27">
        <v>225.79546784515614</v>
      </c>
      <c r="HB46" s="29">
        <v>258.77462325373631</v>
      </c>
      <c r="HC46" s="27">
        <v>224.20107247712676</v>
      </c>
      <c r="HD46" s="27">
        <v>196.74853380435468</v>
      </c>
      <c r="HE46" s="27">
        <v>200.98700120152603</v>
      </c>
      <c r="HF46" s="27">
        <v>187.56472414893742</v>
      </c>
      <c r="HG46" s="27">
        <v>182.99488714035527</v>
      </c>
      <c r="HH46" s="12">
        <v>197.18673618959912</v>
      </c>
      <c r="HI46" s="94"/>
      <c r="HJ46" s="24">
        <f>INDEX(Input!$1:$1048576,HJ$10,$C46*2+6)</f>
        <v>0.24663677130044845</v>
      </c>
      <c r="HK46" s="18">
        <f>INDEX(Input!$1:$1048576,HK$10,$C46*2+6)</f>
        <v>0.35201793721973096</v>
      </c>
      <c r="HL46" s="43">
        <f>INDEX(Input!$1:$1048576,HL$10,$C46*2+6)</f>
        <v>0.40134529147982062</v>
      </c>
      <c r="HM46" s="49">
        <f>ROUND(IF(HL46&lt;FV47,TREND(Y46:Y47,FV46:FV47,HL46),TREND(Y47:Y48,FV47:FV48,HL46)),0)</f>
        <v>2289</v>
      </c>
    </row>
    <row r="47" spans="1:221" s="26" customFormat="1" ht="15">
      <c r="A47" s="117">
        <f t="shared" ref="A47:A48" si="75">C47*1000+B47</f>
        <v>1002</v>
      </c>
      <c r="B47" s="117">
        <f t="shared" si="60"/>
        <v>2</v>
      </c>
      <c r="C47" s="117">
        <f t="shared" ref="C47:C60" si="76">C46</f>
        <v>1</v>
      </c>
      <c r="D47" s="117" t="s">
        <v>568</v>
      </c>
      <c r="E47" s="115">
        <f>INDEX(Input!$1:$1048576,E$10,$C47*2+6)</f>
        <v>1000</v>
      </c>
      <c r="F47" s="115">
        <f>INDEX(Input!$1:$1048576,F$10,$C47*2+6)</f>
        <v>0</v>
      </c>
      <c r="G47" s="115">
        <f>INDEX(Input!$1:$1048576,G$10,$C47*2+6)</f>
        <v>0</v>
      </c>
      <c r="H47" s="115">
        <f>INDEX(Input!$1:$1048576,H$10,$C47*2+6)</f>
        <v>0</v>
      </c>
      <c r="I47" s="118">
        <f>INDEX(Input!$1:$1048576,I$10,$C47*2+6)</f>
        <v>0.7</v>
      </c>
      <c r="J47" s="118" t="str">
        <f>INDEX(Input!$1:$1048576,J$10,$C47*2+6)</f>
        <v>Market</v>
      </c>
      <c r="K47" s="118" t="str">
        <f>INDEX(Input!$1:$1048576,K$10,$C47*2+6)</f>
        <v>Market</v>
      </c>
      <c r="L47" s="118" t="str">
        <f>INDEX(Input!$1:$1048576,L$10,$C47*2+6)</f>
        <v>Market</v>
      </c>
      <c r="M47" s="118" t="str">
        <f>INDEX(Input!$1:$1048576,M$10,$C47*2+6)</f>
        <v>Market</v>
      </c>
      <c r="N47" s="118" t="str">
        <f>INDEX(Input!$1:$1048576,N$10,$C47*2+6)</f>
        <v>Market</v>
      </c>
      <c r="O47" s="118" t="str">
        <f>INDEX(Input!$1:$1048576,O$10,$C47*2+6)</f>
        <v>Market</v>
      </c>
      <c r="P47" s="118" t="str">
        <f>INDEX(Input!$1:$1048576,P$10,$C47*2+6)</f>
        <v>N</v>
      </c>
      <c r="Q47" s="30">
        <f>INDEX(Input!$1:$1048576,Q$10,$C47*2+6)</f>
        <v>0</v>
      </c>
      <c r="R47" s="383">
        <f>INDEX(Input!$1:$1048576,R$10,$C47*2+6)</f>
        <v>0</v>
      </c>
      <c r="S47" s="383">
        <f>INDEX(Input!$1:$1048576,S$10,$C47*2+6)</f>
        <v>0</v>
      </c>
      <c r="T47" s="383">
        <f>INDEX(Input!$1:$1048576,T$10,$C47*2+6)</f>
        <v>0</v>
      </c>
      <c r="U47" s="383">
        <f>INDEX(Input!$1:$1048576,U$10,$C47*2+6)</f>
        <v>0</v>
      </c>
      <c r="V47" s="383">
        <f>INDEX(Input!$1:$1048576,V$10,$C47*2+6)</f>
        <v>1.9E-2</v>
      </c>
      <c r="W47" s="383">
        <f>INDEX(Input!$1:$1048576,W$10,$C47*2+6)</f>
        <v>3.9E-2</v>
      </c>
      <c r="X47" s="118" t="str">
        <f>INDEX(Input!$1:$1048576,X$10,$C47*2+6)</f>
        <v>Y</v>
      </c>
      <c r="Y47" s="520">
        <f>Y46+500</f>
        <v>1994.2598087597307</v>
      </c>
      <c r="Z47" s="30">
        <f>INDEX(Input!$1:$1048576,Z$10,$C47*2+6)</f>
        <v>0</v>
      </c>
      <c r="AA47" s="115">
        <f>INDEX(Input!$1:$1048576,AA$10,$C47*2+6)</f>
        <v>1000</v>
      </c>
      <c r="AB47" s="118">
        <f>INDEX(Input!$1:$1048576,AB$10,$C47*2+6)</f>
        <v>0.27</v>
      </c>
      <c r="AC47" s="115">
        <f>INDEX(Input!$1:$1048576,AC$10,$C47*2+6)</f>
        <v>1000</v>
      </c>
      <c r="AD47" s="118">
        <f>INDEX(Input!$1:$1048576,AD$10,$C47*2+6)</f>
        <v>0.27</v>
      </c>
      <c r="AE47" s="115">
        <f>INDEX(Input!$1:$1048576,AE$10,$C47*2+6)</f>
        <v>0</v>
      </c>
      <c r="AF47" s="118">
        <f>INDEX(Input!$1:$1048576,AF$10,$C47*2+6)</f>
        <v>0.38</v>
      </c>
      <c r="AG47" s="115">
        <f>INDEX(Input!$1:$1048576,AG$10,$C47*2+6)</f>
        <v>0</v>
      </c>
      <c r="AH47" s="118">
        <f>INDEX(Input!$1:$1048576,AH$10,$C47*2+6)</f>
        <v>0</v>
      </c>
      <c r="AI47" s="115">
        <f>INDEX(Input!$1:$1048576,AI$10,$C47*2+6)</f>
        <v>0</v>
      </c>
      <c r="AJ47" s="118">
        <f>INDEX(Input!$1:$1048576,AJ$10,$C47*2+6)</f>
        <v>0.27</v>
      </c>
      <c r="AK47" s="150">
        <f>INDEX(Input!$1:$1048576,AK$10,$C46*2+6)+(Y47-VLOOKUP($C47*1000+1,$A:$HH,Y$9,FALSE))</f>
        <v>5098.7262245345155</v>
      </c>
      <c r="AL47" s="150">
        <f>INDEX(Input!$1:$1048576,AL$10,$C46*2+6)-(Y47-VLOOKUP($C47*1000+1,$A:$HH,Y$9,FALSE))/36</f>
        <v>4076.0772544203478</v>
      </c>
      <c r="AM47" s="32" t="str">
        <f t="shared" ref="AM47:AM48" si="77">IF(K47="market","std",ROUND(K47*1000,0)/10)&amp;"/"&amp;IF(L47="market","std",ROUND(L47*1000,0)/10)&amp;"/"&amp;IF(M47="market","std",ROUND(M47*1000,0)/10)&amp;"/"&amp;IF(N47="market","std",ROUND(N47*1000,0)/10)&amp;IF(P47="N","","/"&amp;IF(O47="market","std",ROUND(O47*1000,0)/10))</f>
        <v>std/std/std/std</v>
      </c>
      <c r="AN47" s="32" t="str">
        <f t="shared" ref="AN47:AN48" si="78">"$"&amp;ROUND(Q47,0)&amp;" + "&amp;IF(S47="market","std",ROUND(S47*1000,0)/10)&amp;"/"&amp;IF(T47="market","std",ROUND(T47*1000,0)/10)&amp;"/"&amp;IF(U47="market","std",ROUND(U47*1000,0)/10)&amp;"/"&amp;IF(V47="market","std",ROUND(V47*1000,0)/10)&amp;IF(X47="N","","/"&amp;IF(W47="market","std",ROUND(W47*1000,0)/10))</f>
        <v>$0 + 0/0/0/1.9/3.9</v>
      </c>
      <c r="AO47" s="32" t="str">
        <f t="shared" ref="AO47:AO48" si="79">IF(S47="market","std",ROUND(S47*1000,0)/10)&amp;"/"&amp;IF(T47="market","std",ROUND(T47*1000,0)/10)&amp;"/"&amp;IF(U47="market","std",ROUND(U47*1000,0)/10)&amp;"/"&amp;IF(V47="market","std",ROUND(V47*1000,0)/10)&amp;IF(X47="N","","/"&amp;IF(W47="market","std",ROUND(W47*1000,0)/10))</f>
        <v>0/0/0/1.9/3.9</v>
      </c>
      <c r="AP47" s="32" t="str">
        <f t="shared" ref="AP47:AP48" si="80">IF(T47="market","std",ROUND(T47*1000,0)/10)&amp;"/"&amp;IF(U47="market","std",ROUND(U47*1000,0)/10)&amp;"/"&amp;IF(V47="market","std",ROUND(V47*1000,0)/10)&amp;IF(X47="N","","/"&amp;IF(W47="market","std",ROUND(W47*1000,0)/10))</f>
        <v>0/0/1.9/3.9</v>
      </c>
      <c r="AQ47" s="150">
        <f t="shared" ref="AQ47:AQ60" si="81">SUM(F47*(1-ET47),G47*EM47,H47*ES47,AC47*AD47,AE47*AF47,AI47*AJ47)</f>
        <v>270</v>
      </c>
      <c r="AR47" s="32" t="str">
        <f t="shared" ref="AR47:AR60" si="82">IF(U47="market","std",ROUND(U47*1000,0)/10)&amp;"/"&amp;IF(V47="market","std",ROUND(V47*1000,0)/10)</f>
        <v>0/1.9</v>
      </c>
      <c r="AS47" s="302"/>
      <c r="AT47" s="3">
        <f t="shared" ref="AT47:AT60" si="83">AT46+1</f>
        <v>2</v>
      </c>
      <c r="AU47" s="41" t="s">
        <v>121</v>
      </c>
      <c r="AV47" s="41" t="s">
        <v>116</v>
      </c>
      <c r="AW47" s="41" t="str">
        <f>INDEX(Input!$1:$1048576,AW$10,$C47*2+6)</f>
        <v>Kia</v>
      </c>
      <c r="AX47" s="41" t="str">
        <f>INDEX(Input!$1:$1048576,AX$10,$C47*2+6)</f>
        <v>Kia-LR - L1</v>
      </c>
      <c r="AY47" s="41" t="str">
        <f>IF(D47="Skip","",INDEX(Input!$1:$1048576,AY$10,$C47*2+6))</f>
        <v>Compact SUV (52)</v>
      </c>
      <c r="AZ47" s="41" t="str">
        <f>INDEX(Input!$1:$1048576,AZ$10,$C47*2+6)</f>
        <v>Kia Soul</v>
      </c>
      <c r="BA47" s="3">
        <f>INDEX(Input!$1:$1048576,BA$10,$C47*2+6)</f>
        <v>2020</v>
      </c>
      <c r="BB47" s="128">
        <f>INDEX(Input!$1:$1048576,BB$10,$C47*2+6)</f>
        <v>1</v>
      </c>
      <c r="BC47" s="128">
        <f>INDEX(Input!$1:$1048576,BC$10,$C47*2+6)</f>
        <v>0.7</v>
      </c>
      <c r="BD47" s="1">
        <f>INDEX(Input!$1:$1048576,BD$10,$C47*2+6)</f>
        <v>4.4999999999999998E-2</v>
      </c>
      <c r="BE47" s="1">
        <f>INDEX(Input!$1:$1048576,BE$10,$C47*2+6)</f>
        <v>4.4999999999999998E-2</v>
      </c>
      <c r="BF47" s="1">
        <f>INDEX(Input!$1:$1048576,BF$10,$C47*2+6)</f>
        <v>0.05</v>
      </c>
      <c r="BG47" s="1">
        <f>INDEX(Input!$1:$1048576,BG$10,$C47*2+6)</f>
        <v>5.45E-2</v>
      </c>
      <c r="BH47" s="1">
        <f>INDEX(Input!$1:$1048576,BH$10,$C47*2+6)</f>
        <v>5.45E-2</v>
      </c>
      <c r="BI47" s="1">
        <f>INDEX(Input!$1:$1048576,BI$10,$C47*2+6)</f>
        <v>0.05</v>
      </c>
      <c r="BJ47" s="1">
        <f>INDEX(Input!$1:$1048576,BJ$10,$C47*2+6)</f>
        <v>0.05</v>
      </c>
      <c r="BK47" s="1">
        <f>INDEX(Input!$1:$1048576,BK$10,$C47*2+6)</f>
        <v>0.05</v>
      </c>
      <c r="BL47" s="1">
        <f>INDEX(Input!$1:$1048576,BL$10,$C47*2+6)</f>
        <v>5.5E-2</v>
      </c>
      <c r="BM47" s="1">
        <f>INDEX(Input!$1:$1048576,BM$10,$C47*2+6)</f>
        <v>0.06</v>
      </c>
      <c r="BN47" s="1">
        <f>INDEX(Input!$1:$1048576,BN$10,$C47*2+6)</f>
        <v>4.4999999999999998E-2</v>
      </c>
      <c r="BO47" s="1">
        <f>INDEX(Input!$1:$1048576,BO$10,$C47*2+6)</f>
        <v>4.4999999999999998E-2</v>
      </c>
      <c r="BP47" s="1">
        <f>INDEX(Input!$1:$1048576,BP$10,$C47*2+6)</f>
        <v>0.05</v>
      </c>
      <c r="BQ47" s="1">
        <f>INDEX(Input!$1:$1048576,BQ$10,$C47*2+6)</f>
        <v>5.45E-2</v>
      </c>
      <c r="BR47" s="1">
        <f>INDEX(Input!$1:$1048576,BR$10,$C47*2+6)</f>
        <v>5.45E-2</v>
      </c>
      <c r="BS47" s="1">
        <f>INDEX(Input!$1:$1048576,BS$10,$C47*2+6)</f>
        <v>0.05</v>
      </c>
      <c r="BT47" s="1">
        <f>INDEX(Input!$1:$1048576,BT$10,$C47*2+6)</f>
        <v>0.05</v>
      </c>
      <c r="BU47" s="1">
        <f>INDEX(Input!$1:$1048576,BU$10,$C47*2+6)</f>
        <v>0.05</v>
      </c>
      <c r="BV47" s="1">
        <f>INDEX(Input!$1:$1048576,BV$10,$C47*2+6)</f>
        <v>5.5E-2</v>
      </c>
      <c r="BW47" s="1">
        <f>INDEX(Input!$1:$1048576,BW$10,$C47*2+6)</f>
        <v>0.06</v>
      </c>
      <c r="BX47" s="304">
        <f>INDEX(Input!$1:$1048576,BX$10,$C47*2+6)</f>
        <v>19985</v>
      </c>
      <c r="BY47" s="20">
        <f>INDEX(Input!$1:$1048576,BY$10,$C47*2+6)</f>
        <v>0.1</v>
      </c>
      <c r="BZ47" s="20">
        <f>INDEX(Input!$1:$1048576,BZ$10,$C47*2+6)</f>
        <v>0.1</v>
      </c>
      <c r="CA47" s="20">
        <f>INDEX(Input!$1:$1048576,CA$10,$C47*2+6)</f>
        <v>0.1</v>
      </c>
      <c r="CB47" s="20">
        <f>INDEX(Input!$1:$1048576,CB$10,$C47*2+6)</f>
        <v>0.1</v>
      </c>
      <c r="CC47" s="20">
        <f>INDEX(Input!$1:$1048576,CC$10,$C47*2+6)</f>
        <v>0.1</v>
      </c>
      <c r="CD47" s="384">
        <f>INDEX(Input!$1:$1048576,CD$10,$C47*2+6)</f>
        <v>0.1</v>
      </c>
      <c r="CE47" s="384">
        <f>INDEX(Input!$1:$1048576,CE$10,$C47*2+6)</f>
        <v>0.1</v>
      </c>
      <c r="CF47" s="384">
        <f>INDEX(Input!$1:$1048576,CF$10,$C47*2+6)</f>
        <v>0.1</v>
      </c>
      <c r="CG47" s="384">
        <f>INDEX(Input!$1:$1048576,CG$10,$C47*2+6)</f>
        <v>0.1</v>
      </c>
      <c r="CH47" s="384">
        <f>INDEX(Input!$1:$1048576,CH$10,$C47*2+6)</f>
        <v>0.1</v>
      </c>
      <c r="CI47" s="304">
        <f t="shared" si="61"/>
        <v>1270</v>
      </c>
      <c r="CJ47" s="16" t="str">
        <f>INDEX(Input!$1:$1048576,CJ$10,$C47*2+6)</f>
        <v>N</v>
      </c>
      <c r="CK47" s="1" t="str">
        <f t="shared" si="62"/>
        <v>Market</v>
      </c>
      <c r="CL47" s="1" t="str">
        <f t="shared" si="63"/>
        <v>Market</v>
      </c>
      <c r="CM47" s="1" t="str">
        <f t="shared" si="64"/>
        <v>Market</v>
      </c>
      <c r="CN47" s="1" t="str">
        <f t="shared" si="65"/>
        <v>Market</v>
      </c>
      <c r="CO47" s="1" t="str">
        <f t="shared" si="66"/>
        <v>Market</v>
      </c>
      <c r="CP47" s="304">
        <f t="shared" si="67"/>
        <v>0</v>
      </c>
      <c r="CQ47" s="1">
        <f t="shared" si="68"/>
        <v>0</v>
      </c>
      <c r="CR47" s="1">
        <f t="shared" si="69"/>
        <v>0</v>
      </c>
      <c r="CS47" s="1">
        <f t="shared" si="70"/>
        <v>0</v>
      </c>
      <c r="CT47" s="1">
        <f t="shared" si="71"/>
        <v>0</v>
      </c>
      <c r="CU47" s="1">
        <f t="shared" si="72"/>
        <v>1.9E-2</v>
      </c>
      <c r="CV47" s="304">
        <f t="shared" si="73"/>
        <v>2264.2598087597307</v>
      </c>
      <c r="CW47" s="20" t="s">
        <v>122</v>
      </c>
      <c r="CX47" s="20" t="s">
        <v>122</v>
      </c>
      <c r="CY47" s="20" t="s">
        <v>122</v>
      </c>
      <c r="CZ47" s="20" t="s">
        <v>122</v>
      </c>
      <c r="DA47" s="20" t="s">
        <v>122</v>
      </c>
      <c r="DB47" s="503">
        <f t="shared" si="74"/>
        <v>0</v>
      </c>
      <c r="DC47" s="127">
        <v>0</v>
      </c>
      <c r="DD47" s="127">
        <v>0</v>
      </c>
      <c r="DE47" s="127">
        <v>0</v>
      </c>
      <c r="DF47" s="127">
        <v>0</v>
      </c>
      <c r="DG47" s="127">
        <v>0</v>
      </c>
      <c r="DH47" s="127">
        <v>0</v>
      </c>
      <c r="DI47" s="127">
        <v>0</v>
      </c>
      <c r="DJ47" s="127">
        <v>0</v>
      </c>
      <c r="DK47" s="127">
        <v>0</v>
      </c>
      <c r="DL47" s="127">
        <v>0</v>
      </c>
      <c r="DM47" s="304">
        <f>INDEX(Input!$1:$1048576,DM$10,$C47*2+6)</f>
        <v>21036.84210526316</v>
      </c>
      <c r="DN47" s="20">
        <v>0</v>
      </c>
      <c r="DO47" s="20">
        <v>0</v>
      </c>
      <c r="DP47" s="20">
        <v>0</v>
      </c>
      <c r="DQ47" s="20">
        <v>0</v>
      </c>
      <c r="DR47" s="20">
        <v>0</v>
      </c>
      <c r="DS47" s="20">
        <f>INDEX(Input!$1:$1048576,DS$10,$C47*2+6)</f>
        <v>0.6</v>
      </c>
      <c r="DT47" s="20">
        <f>INDEX(Input!$1:$1048576,DT$10,$C47*2+6)</f>
        <v>0.55000000000000004</v>
      </c>
      <c r="DU47" s="20">
        <f>INDEX(Input!$1:$1048576,DU$10,$C47*2+6)</f>
        <v>0.52</v>
      </c>
      <c r="DV47" s="20">
        <f>INDEX(Input!$1:$1048576,DV$10,$C47*2+6)</f>
        <v>0.5</v>
      </c>
      <c r="DW47" s="20">
        <f>INDEX(Input!$1:$1048576,DW$10,$C47*2+6)</f>
        <v>0.45</v>
      </c>
      <c r="DX47" s="20"/>
      <c r="DY47" s="7">
        <v>9.6150241240145637E-2</v>
      </c>
      <c r="DZ47" s="7">
        <v>0</v>
      </c>
      <c r="EA47" s="7">
        <v>0.46159318135225935</v>
      </c>
      <c r="EB47" s="7">
        <v>0</v>
      </c>
      <c r="EC47" s="7">
        <v>0</v>
      </c>
      <c r="ED47" s="7">
        <v>0</v>
      </c>
      <c r="EE47" s="7">
        <v>0</v>
      </c>
      <c r="EF47" s="7">
        <v>0</v>
      </c>
      <c r="EG47" s="7">
        <v>0</v>
      </c>
      <c r="EH47" s="7">
        <v>1.0456306766219612E-2</v>
      </c>
      <c r="EI47" s="7">
        <v>3.053533170151846E-2</v>
      </c>
      <c r="EJ47" s="7">
        <v>0.19288831904248813</v>
      </c>
      <c r="EK47" s="7">
        <v>0.59431531814863503</v>
      </c>
      <c r="EL47" s="7">
        <v>0.17180472434113891</v>
      </c>
      <c r="EM47" s="7">
        <v>8.5407012487884806E-2</v>
      </c>
      <c r="EN47" s="7">
        <v>5.0233738471656866E-2</v>
      </c>
      <c r="EO47" s="7">
        <v>0.76336733616033547</v>
      </c>
      <c r="EP47" s="7">
        <v>8.1469418845472388E-2</v>
      </c>
      <c r="EQ47" s="7">
        <v>6.2163265040240168E-2</v>
      </c>
      <c r="ER47" s="7">
        <v>4.2766241482294819E-2</v>
      </c>
      <c r="ES47" s="7">
        <v>0.3568495649197102</v>
      </c>
      <c r="ET47" s="7">
        <v>0.442256577407595</v>
      </c>
      <c r="EU47" s="6">
        <v>1240</v>
      </c>
      <c r="EV47" s="6">
        <v>0</v>
      </c>
      <c r="EW47" s="6">
        <v>1240</v>
      </c>
      <c r="EX47" s="6">
        <v>0</v>
      </c>
      <c r="EY47" s="6">
        <v>2643.8940613978939</v>
      </c>
      <c r="EZ47" s="6">
        <v>1941.9040576656735</v>
      </c>
      <c r="FA47" s="6">
        <v>0</v>
      </c>
      <c r="FB47" s="6">
        <v>0</v>
      </c>
      <c r="FC47" s="6">
        <v>0</v>
      </c>
      <c r="FD47" s="6">
        <v>0</v>
      </c>
      <c r="FE47" s="6">
        <v>0</v>
      </c>
      <c r="FF47" s="6">
        <v>0</v>
      </c>
      <c r="FG47" s="6">
        <v>0</v>
      </c>
      <c r="FH47" s="6">
        <v>1171.281137969562</v>
      </c>
      <c r="FI47" s="6">
        <v>1553.9796069512399</v>
      </c>
      <c r="FJ47" s="6">
        <v>2101.2110117447405</v>
      </c>
      <c r="FK47" s="6">
        <v>2674.2006261592278</v>
      </c>
      <c r="FL47" s="6">
        <v>2034.7405995769213</v>
      </c>
      <c r="FM47" s="6">
        <v>2403.8940613978939</v>
      </c>
      <c r="FN47" s="6">
        <v>0</v>
      </c>
      <c r="FO47" s="6">
        <v>0</v>
      </c>
      <c r="FP47" s="6">
        <v>0</v>
      </c>
      <c r="FQ47" s="6">
        <v>0</v>
      </c>
      <c r="FR47" s="6">
        <v>0</v>
      </c>
      <c r="FS47" s="6">
        <v>0</v>
      </c>
      <c r="FT47" s="7">
        <v>0.55774342259240495</v>
      </c>
      <c r="FU47" s="7">
        <v>8.5407012487884806E-2</v>
      </c>
      <c r="FV47" s="7">
        <v>0.3568495649197102</v>
      </c>
      <c r="FW47" s="519">
        <v>1240</v>
      </c>
      <c r="FX47" s="519">
        <v>2643.8940613978939</v>
      </c>
      <c r="FY47" s="519">
        <v>1941.9040576656735</v>
      </c>
      <c r="FZ47" s="6">
        <v>1972.7251322951724</v>
      </c>
      <c r="GA47" s="6">
        <v>1610.3765552268519</v>
      </c>
      <c r="GB47" s="6">
        <v>18374.623444773148</v>
      </c>
      <c r="GC47" s="7">
        <v>1.0519917368675835E-2</v>
      </c>
      <c r="GD47" s="7">
        <v>1.0247701269736871E-2</v>
      </c>
      <c r="GE47" s="7"/>
      <c r="GF47" s="7"/>
      <c r="GG47" s="7">
        <v>-2.5876258282172025E-2</v>
      </c>
      <c r="GH47" s="42">
        <v>1.427181047468836</v>
      </c>
      <c r="GI47" s="6">
        <v>15613.505335169812</v>
      </c>
      <c r="GJ47" s="14">
        <v>0.50394797582841722</v>
      </c>
      <c r="GK47" s="14">
        <v>0.50887573065309744</v>
      </c>
      <c r="GL47" s="14">
        <v>0.49605202417158278</v>
      </c>
      <c r="GM47" s="14">
        <v>0.49112426934690245</v>
      </c>
      <c r="GO47" s="5">
        <v>343.14810671672558</v>
      </c>
      <c r="GP47" s="5">
        <v>319.49127229486811</v>
      </c>
      <c r="GQ47" s="5">
        <v>535.04305713031317</v>
      </c>
      <c r="GR47" s="5">
        <v>410.15490233172511</v>
      </c>
      <c r="GS47" s="5">
        <v>339.42744393800166</v>
      </c>
      <c r="GT47" s="5">
        <v>293.4407446948278</v>
      </c>
      <c r="GU47" s="5">
        <v>258.04012322764959</v>
      </c>
      <c r="GV47" s="39" t="s">
        <v>392</v>
      </c>
      <c r="GW47" s="5">
        <v>492.95833333333331</v>
      </c>
      <c r="GX47" s="5">
        <v>369.71875</v>
      </c>
      <c r="GY47" s="5">
        <v>295.77499999999998</v>
      </c>
      <c r="GZ47" s="5">
        <v>246.47916666666666</v>
      </c>
      <c r="HA47" s="5">
        <v>225.79546784515614</v>
      </c>
      <c r="HB47" s="39">
        <v>258.77462325373637</v>
      </c>
      <c r="HC47" s="5">
        <v>202.32607247712679</v>
      </c>
      <c r="HD47" s="5">
        <v>181.81797824879911</v>
      </c>
      <c r="HE47" s="5">
        <v>187.12482171434655</v>
      </c>
      <c r="HF47" s="5">
        <v>176.00222414893742</v>
      </c>
      <c r="HG47" s="5">
        <v>173.41155380702196</v>
      </c>
      <c r="HH47" s="39">
        <v>182.55948450266072</v>
      </c>
      <c r="HI47" s="16"/>
      <c r="HJ47" s="1">
        <f>INDEX(Input!$1:$1048576,HJ$10,$C47*2+6)</f>
        <v>0.24663677130044845</v>
      </c>
      <c r="HK47" s="1">
        <f>INDEX(Input!$1:$1048576,HK$10,$C47*2+6)</f>
        <v>0.35201793721973096</v>
      </c>
      <c r="HL47" s="1">
        <f>INDEX(Input!$1:$1048576,HL$10,$C47*2+6)</f>
        <v>0.40134529147982062</v>
      </c>
      <c r="HM47" s="19"/>
    </row>
    <row r="48" spans="1:221" s="26" customFormat="1" ht="15.75" thickBot="1">
      <c r="A48" s="117">
        <f t="shared" si="75"/>
        <v>1003</v>
      </c>
      <c r="B48" s="117">
        <f t="shared" si="60"/>
        <v>3</v>
      </c>
      <c r="C48" s="117">
        <f t="shared" si="76"/>
        <v>1</v>
      </c>
      <c r="D48" s="117" t="s">
        <v>568</v>
      </c>
      <c r="E48" s="115">
        <f>INDEX(Input!$1:$1048576,E$10,$C48*2+6)</f>
        <v>1000</v>
      </c>
      <c r="F48" s="115">
        <f>INDEX(Input!$1:$1048576,F$10,$C48*2+6)</f>
        <v>0</v>
      </c>
      <c r="G48" s="115">
        <f>INDEX(Input!$1:$1048576,G$10,$C48*2+6)</f>
        <v>0</v>
      </c>
      <c r="H48" s="115">
        <f>INDEX(Input!$1:$1048576,H$10,$C48*2+6)</f>
        <v>0</v>
      </c>
      <c r="I48" s="118">
        <f>INDEX(Input!$1:$1048576,I$10,$C48*2+6)</f>
        <v>0.7</v>
      </c>
      <c r="J48" s="118" t="str">
        <f>INDEX(Input!$1:$1048576,J$10,$C48*2+6)</f>
        <v>Market</v>
      </c>
      <c r="K48" s="118" t="str">
        <f>INDEX(Input!$1:$1048576,K$10,$C48*2+6)</f>
        <v>Market</v>
      </c>
      <c r="L48" s="118" t="str">
        <f>INDEX(Input!$1:$1048576,L$10,$C48*2+6)</f>
        <v>Market</v>
      </c>
      <c r="M48" s="118" t="str">
        <f>INDEX(Input!$1:$1048576,M$10,$C48*2+6)</f>
        <v>Market</v>
      </c>
      <c r="N48" s="118" t="str">
        <f>INDEX(Input!$1:$1048576,N$10,$C48*2+6)</f>
        <v>Market</v>
      </c>
      <c r="O48" s="118" t="str">
        <f>INDEX(Input!$1:$1048576,O$10,$C48*2+6)</f>
        <v>Market</v>
      </c>
      <c r="P48" s="118" t="str">
        <f>INDEX(Input!$1:$1048576,P$10,$C48*2+6)</f>
        <v>N</v>
      </c>
      <c r="Q48" s="30">
        <f>INDEX(Input!$1:$1048576,Q$10,$C48*2+6)</f>
        <v>0</v>
      </c>
      <c r="R48" s="383">
        <f>INDEX(Input!$1:$1048576,R$10,$C48*2+6)</f>
        <v>0</v>
      </c>
      <c r="S48" s="383">
        <f>INDEX(Input!$1:$1048576,S$10,$C48*2+6)</f>
        <v>0</v>
      </c>
      <c r="T48" s="383">
        <f>INDEX(Input!$1:$1048576,T$10,$C48*2+6)</f>
        <v>0</v>
      </c>
      <c r="U48" s="383">
        <f>INDEX(Input!$1:$1048576,U$10,$C48*2+6)</f>
        <v>0</v>
      </c>
      <c r="V48" s="383">
        <f>INDEX(Input!$1:$1048576,V$10,$C48*2+6)</f>
        <v>1.9E-2</v>
      </c>
      <c r="W48" s="383">
        <f>INDEX(Input!$1:$1048576,W$10,$C48*2+6)</f>
        <v>3.9E-2</v>
      </c>
      <c r="X48" s="118" t="str">
        <f>INDEX(Input!$1:$1048576,X$10,$C48*2+6)</f>
        <v>Y</v>
      </c>
      <c r="Y48" s="520">
        <f>Y46+1000</f>
        <v>2494.2598087597307</v>
      </c>
      <c r="Z48" s="30">
        <f>INDEX(Input!$1:$1048576,Z$10,$C48*2+6)</f>
        <v>0</v>
      </c>
      <c r="AA48" s="115">
        <f>INDEX(Input!$1:$1048576,AA$10,$C48*2+6)</f>
        <v>1000</v>
      </c>
      <c r="AB48" s="118">
        <f>INDEX(Input!$1:$1048576,AB$10,$C48*2+6)</f>
        <v>0.27</v>
      </c>
      <c r="AC48" s="115">
        <f>INDEX(Input!$1:$1048576,AC$10,$C48*2+6)</f>
        <v>1000</v>
      </c>
      <c r="AD48" s="118">
        <f>INDEX(Input!$1:$1048576,AD$10,$C48*2+6)</f>
        <v>0.27</v>
      </c>
      <c r="AE48" s="115">
        <f>INDEX(Input!$1:$1048576,AE$10,$C48*2+6)</f>
        <v>0</v>
      </c>
      <c r="AF48" s="118">
        <f>INDEX(Input!$1:$1048576,AF$10,$C48*2+6)</f>
        <v>0.38</v>
      </c>
      <c r="AG48" s="115">
        <f>INDEX(Input!$1:$1048576,AG$10,$C48*2+6)</f>
        <v>0</v>
      </c>
      <c r="AH48" s="118">
        <f>INDEX(Input!$1:$1048576,AH$10,$C48*2+6)</f>
        <v>0</v>
      </c>
      <c r="AI48" s="115">
        <f>INDEX(Input!$1:$1048576,AI$10,$C48*2+6)</f>
        <v>0</v>
      </c>
      <c r="AJ48" s="118">
        <f>INDEX(Input!$1:$1048576,AJ$10,$C48*2+6)</f>
        <v>0.27</v>
      </c>
      <c r="AK48" s="150">
        <f>INDEX(Input!$1:$1048576,AK$10,$C47*2+6)+(Y48-VLOOKUP($C48*1000+1,$A:$HH,Y$9,FALSE))</f>
        <v>5598.7262245345155</v>
      </c>
      <c r="AL48" s="150">
        <f>INDEX(Input!$1:$1048576,AL$10,$C47*2+6)-(Y48-VLOOKUP($C48*1000+1,$A:$HH,Y$9,FALSE))/36</f>
        <v>4062.1883655314591</v>
      </c>
      <c r="AM48" s="32" t="str">
        <f t="shared" si="77"/>
        <v>std/std/std/std</v>
      </c>
      <c r="AN48" s="32" t="str">
        <f t="shared" si="78"/>
        <v>$0 + 0/0/0/1.9/3.9</v>
      </c>
      <c r="AO48" s="32" t="str">
        <f t="shared" si="79"/>
        <v>0/0/0/1.9/3.9</v>
      </c>
      <c r="AP48" s="32" t="str">
        <f t="shared" si="80"/>
        <v>0/0/1.9/3.9</v>
      </c>
      <c r="AQ48" s="150">
        <f t="shared" si="81"/>
        <v>270</v>
      </c>
      <c r="AR48" s="32" t="str">
        <f t="shared" si="82"/>
        <v>0/1.9</v>
      </c>
      <c r="AS48" s="302"/>
      <c r="AT48" s="3">
        <f t="shared" si="83"/>
        <v>3</v>
      </c>
      <c r="AU48" s="41" t="s">
        <v>121</v>
      </c>
      <c r="AV48" s="41" t="s">
        <v>116</v>
      </c>
      <c r="AW48" s="41" t="str">
        <f>INDEX(Input!$1:$1048576,AW$10,$C48*2+6)</f>
        <v>Kia</v>
      </c>
      <c r="AX48" s="41" t="str">
        <f>INDEX(Input!$1:$1048576,AX$10,$C48*2+6)</f>
        <v>Kia-LR - L1</v>
      </c>
      <c r="AY48" s="41" t="str">
        <f>IF(D48="Skip","",INDEX(Input!$1:$1048576,AY$10,$C48*2+6))</f>
        <v>Compact SUV (52)</v>
      </c>
      <c r="AZ48" s="41" t="str">
        <f>INDEX(Input!$1:$1048576,AZ$10,$C48*2+6)</f>
        <v>Kia Soul</v>
      </c>
      <c r="BA48" s="3">
        <f>INDEX(Input!$1:$1048576,BA$10,$C48*2+6)</f>
        <v>2020</v>
      </c>
      <c r="BB48" s="128">
        <f>INDEX(Input!$1:$1048576,BB$10,$C48*2+6)</f>
        <v>1</v>
      </c>
      <c r="BC48" s="128">
        <f>INDEX(Input!$1:$1048576,BC$10,$C48*2+6)</f>
        <v>0.7</v>
      </c>
      <c r="BD48" s="1">
        <f>INDEX(Input!$1:$1048576,BD$10,$C48*2+6)</f>
        <v>4.4999999999999998E-2</v>
      </c>
      <c r="BE48" s="1">
        <f>INDEX(Input!$1:$1048576,BE$10,$C48*2+6)</f>
        <v>4.4999999999999998E-2</v>
      </c>
      <c r="BF48" s="1">
        <f>INDEX(Input!$1:$1048576,BF$10,$C48*2+6)</f>
        <v>0.05</v>
      </c>
      <c r="BG48" s="1">
        <f>INDEX(Input!$1:$1048576,BG$10,$C48*2+6)</f>
        <v>5.45E-2</v>
      </c>
      <c r="BH48" s="1">
        <f>INDEX(Input!$1:$1048576,BH$10,$C48*2+6)</f>
        <v>5.45E-2</v>
      </c>
      <c r="BI48" s="1">
        <f>INDEX(Input!$1:$1048576,BI$10,$C48*2+6)</f>
        <v>0.05</v>
      </c>
      <c r="BJ48" s="1">
        <f>INDEX(Input!$1:$1048576,BJ$10,$C48*2+6)</f>
        <v>0.05</v>
      </c>
      <c r="BK48" s="1">
        <f>INDEX(Input!$1:$1048576,BK$10,$C48*2+6)</f>
        <v>0.05</v>
      </c>
      <c r="BL48" s="1">
        <f>INDEX(Input!$1:$1048576,BL$10,$C48*2+6)</f>
        <v>5.5E-2</v>
      </c>
      <c r="BM48" s="1">
        <f>INDEX(Input!$1:$1048576,BM$10,$C48*2+6)</f>
        <v>0.06</v>
      </c>
      <c r="BN48" s="1">
        <f>INDEX(Input!$1:$1048576,BN$10,$C48*2+6)</f>
        <v>4.4999999999999998E-2</v>
      </c>
      <c r="BO48" s="1">
        <f>INDEX(Input!$1:$1048576,BO$10,$C48*2+6)</f>
        <v>4.4999999999999998E-2</v>
      </c>
      <c r="BP48" s="1">
        <f>INDEX(Input!$1:$1048576,BP$10,$C48*2+6)</f>
        <v>0.05</v>
      </c>
      <c r="BQ48" s="1">
        <f>INDEX(Input!$1:$1048576,BQ$10,$C48*2+6)</f>
        <v>5.45E-2</v>
      </c>
      <c r="BR48" s="1">
        <f>INDEX(Input!$1:$1048576,BR$10,$C48*2+6)</f>
        <v>5.45E-2</v>
      </c>
      <c r="BS48" s="1">
        <f>INDEX(Input!$1:$1048576,BS$10,$C48*2+6)</f>
        <v>0.05</v>
      </c>
      <c r="BT48" s="1">
        <f>INDEX(Input!$1:$1048576,BT$10,$C48*2+6)</f>
        <v>0.05</v>
      </c>
      <c r="BU48" s="1">
        <f>INDEX(Input!$1:$1048576,BU$10,$C48*2+6)</f>
        <v>0.05</v>
      </c>
      <c r="BV48" s="1">
        <f>INDEX(Input!$1:$1048576,BV$10,$C48*2+6)</f>
        <v>5.5E-2</v>
      </c>
      <c r="BW48" s="1">
        <f>INDEX(Input!$1:$1048576,BW$10,$C48*2+6)</f>
        <v>0.06</v>
      </c>
      <c r="BX48" s="304">
        <f>INDEX(Input!$1:$1048576,BX$10,$C48*2+6)</f>
        <v>19985</v>
      </c>
      <c r="BY48" s="20">
        <f>INDEX(Input!$1:$1048576,BY$10,$C48*2+6)</f>
        <v>0.1</v>
      </c>
      <c r="BZ48" s="20">
        <f>INDEX(Input!$1:$1048576,BZ$10,$C48*2+6)</f>
        <v>0.1</v>
      </c>
      <c r="CA48" s="20">
        <f>INDEX(Input!$1:$1048576,CA$10,$C48*2+6)</f>
        <v>0.1</v>
      </c>
      <c r="CB48" s="20">
        <f>INDEX(Input!$1:$1048576,CB$10,$C48*2+6)</f>
        <v>0.1</v>
      </c>
      <c r="CC48" s="20">
        <f>INDEX(Input!$1:$1048576,CC$10,$C48*2+6)</f>
        <v>0.1</v>
      </c>
      <c r="CD48" s="384">
        <f>INDEX(Input!$1:$1048576,CD$10,$C48*2+6)</f>
        <v>0.1</v>
      </c>
      <c r="CE48" s="384">
        <f>INDEX(Input!$1:$1048576,CE$10,$C48*2+6)</f>
        <v>0.1</v>
      </c>
      <c r="CF48" s="384">
        <f>INDEX(Input!$1:$1048576,CF$10,$C48*2+6)</f>
        <v>0.1</v>
      </c>
      <c r="CG48" s="384">
        <f>INDEX(Input!$1:$1048576,CG$10,$C48*2+6)</f>
        <v>0.1</v>
      </c>
      <c r="CH48" s="384">
        <f>INDEX(Input!$1:$1048576,CH$10,$C48*2+6)</f>
        <v>0.1</v>
      </c>
      <c r="CI48" s="304">
        <f t="shared" si="61"/>
        <v>1270</v>
      </c>
      <c r="CJ48" s="16" t="str">
        <f>INDEX(Input!$1:$1048576,CJ$10,$C48*2+6)</f>
        <v>N</v>
      </c>
      <c r="CK48" s="1" t="str">
        <f t="shared" si="62"/>
        <v>Market</v>
      </c>
      <c r="CL48" s="1" t="str">
        <f t="shared" si="63"/>
        <v>Market</v>
      </c>
      <c r="CM48" s="1" t="str">
        <f t="shared" si="64"/>
        <v>Market</v>
      </c>
      <c r="CN48" s="1" t="str">
        <f t="shared" si="65"/>
        <v>Market</v>
      </c>
      <c r="CO48" s="1" t="str">
        <f t="shared" si="66"/>
        <v>Market</v>
      </c>
      <c r="CP48" s="304">
        <f t="shared" si="67"/>
        <v>0</v>
      </c>
      <c r="CQ48" s="1">
        <f t="shared" si="68"/>
        <v>0</v>
      </c>
      <c r="CR48" s="1">
        <f t="shared" si="69"/>
        <v>0</v>
      </c>
      <c r="CS48" s="1">
        <f t="shared" si="70"/>
        <v>0</v>
      </c>
      <c r="CT48" s="1">
        <f t="shared" si="71"/>
        <v>0</v>
      </c>
      <c r="CU48" s="1">
        <f t="shared" si="72"/>
        <v>1.9E-2</v>
      </c>
      <c r="CV48" s="304">
        <f t="shared" si="73"/>
        <v>2764.2598087597307</v>
      </c>
      <c r="CW48" s="20" t="s">
        <v>122</v>
      </c>
      <c r="CX48" s="20" t="s">
        <v>122</v>
      </c>
      <c r="CY48" s="20" t="s">
        <v>122</v>
      </c>
      <c r="CZ48" s="20" t="s">
        <v>122</v>
      </c>
      <c r="DA48" s="20" t="s">
        <v>122</v>
      </c>
      <c r="DB48" s="503">
        <f t="shared" si="74"/>
        <v>0</v>
      </c>
      <c r="DC48" s="127">
        <v>0</v>
      </c>
      <c r="DD48" s="127">
        <v>0</v>
      </c>
      <c r="DE48" s="127">
        <v>0</v>
      </c>
      <c r="DF48" s="127">
        <v>0</v>
      </c>
      <c r="DG48" s="127">
        <v>0</v>
      </c>
      <c r="DH48" s="127">
        <v>0</v>
      </c>
      <c r="DI48" s="127">
        <v>0</v>
      </c>
      <c r="DJ48" s="127">
        <v>0</v>
      </c>
      <c r="DK48" s="127">
        <v>0</v>
      </c>
      <c r="DL48" s="127">
        <v>0</v>
      </c>
      <c r="DM48" s="304">
        <f>INDEX(Input!$1:$1048576,DM$10,$C48*2+6)</f>
        <v>21036.84210526316</v>
      </c>
      <c r="DN48" s="20">
        <v>0</v>
      </c>
      <c r="DO48" s="20">
        <v>0</v>
      </c>
      <c r="DP48" s="20">
        <v>0</v>
      </c>
      <c r="DQ48" s="20">
        <v>0</v>
      </c>
      <c r="DR48" s="20">
        <v>0</v>
      </c>
      <c r="DS48" s="20">
        <f>INDEX(Input!$1:$1048576,DS$10,$C48*2+6)</f>
        <v>0.6</v>
      </c>
      <c r="DT48" s="20">
        <f>INDEX(Input!$1:$1048576,DT$10,$C48*2+6)</f>
        <v>0.55000000000000004</v>
      </c>
      <c r="DU48" s="20">
        <f>INDEX(Input!$1:$1048576,DU$10,$C48*2+6)</f>
        <v>0.52</v>
      </c>
      <c r="DV48" s="20">
        <f>INDEX(Input!$1:$1048576,DV$10,$C48*2+6)</f>
        <v>0.5</v>
      </c>
      <c r="DW48" s="20">
        <f>INDEX(Input!$1:$1048576,DW$10,$C48*2+6)</f>
        <v>0.45</v>
      </c>
      <c r="DX48" s="20"/>
      <c r="DY48" s="7">
        <v>8.48650530507679E-2</v>
      </c>
      <c r="DZ48" s="7">
        <v>0</v>
      </c>
      <c r="EA48" s="7">
        <v>0.40741582463109038</v>
      </c>
      <c r="EB48" s="7">
        <v>0</v>
      </c>
      <c r="EC48" s="7">
        <v>0</v>
      </c>
      <c r="ED48" s="7">
        <v>0</v>
      </c>
      <c r="EE48" s="7">
        <v>0</v>
      </c>
      <c r="EF48" s="7">
        <v>0</v>
      </c>
      <c r="EG48" s="7">
        <v>0</v>
      </c>
      <c r="EH48" s="7">
        <v>1.0456306766219611E-2</v>
      </c>
      <c r="EI48" s="7">
        <v>3.0535331701518457E-2</v>
      </c>
      <c r="EJ48" s="7">
        <v>0.19288831904248807</v>
      </c>
      <c r="EK48" s="7">
        <v>0.59431531814863492</v>
      </c>
      <c r="EL48" s="7">
        <v>0.17180472434113894</v>
      </c>
      <c r="EM48" s="7">
        <v>7.5382760898010645E-2</v>
      </c>
      <c r="EN48" s="7">
        <v>5.2402027001356259E-2</v>
      </c>
      <c r="EO48" s="7">
        <v>0.78005396114029135</v>
      </c>
      <c r="EP48" s="7">
        <v>7.3053746222683416E-2</v>
      </c>
      <c r="EQ48" s="7">
        <v>5.5545551056373405E-2</v>
      </c>
      <c r="ER48" s="7">
        <v>3.8944714579295582E-2</v>
      </c>
      <c r="ES48" s="7">
        <v>0.43233636142013104</v>
      </c>
      <c r="ET48" s="7">
        <v>0.50771912231814176</v>
      </c>
      <c r="EU48" s="6">
        <v>1240</v>
      </c>
      <c r="EV48" s="6">
        <v>0</v>
      </c>
      <c r="EW48" s="6">
        <v>1240</v>
      </c>
      <c r="EX48" s="6">
        <v>0</v>
      </c>
      <c r="EY48" s="6">
        <v>2643.8940613978939</v>
      </c>
      <c r="EZ48" s="6">
        <v>2441.9040576656735</v>
      </c>
      <c r="FA48" s="6">
        <v>0</v>
      </c>
      <c r="FB48" s="6">
        <v>0</v>
      </c>
      <c r="FC48" s="6">
        <v>0</v>
      </c>
      <c r="FD48" s="6">
        <v>0</v>
      </c>
      <c r="FE48" s="6">
        <v>0</v>
      </c>
      <c r="FF48" s="6">
        <v>0</v>
      </c>
      <c r="FG48" s="6">
        <v>0</v>
      </c>
      <c r="FH48" s="6">
        <v>1171.2811379695615</v>
      </c>
      <c r="FI48" s="6">
        <v>1553.9796069512397</v>
      </c>
      <c r="FJ48" s="6">
        <v>2101.211011744741</v>
      </c>
      <c r="FK48" s="6">
        <v>2674.2006261592278</v>
      </c>
      <c r="FL48" s="6">
        <v>2034.7405995769213</v>
      </c>
      <c r="FM48" s="6">
        <v>2403.8940613978939</v>
      </c>
      <c r="FN48" s="6">
        <v>0</v>
      </c>
      <c r="FO48" s="6">
        <v>0</v>
      </c>
      <c r="FP48" s="6">
        <v>0</v>
      </c>
      <c r="FQ48" s="6">
        <v>0</v>
      </c>
      <c r="FR48" s="6">
        <v>0</v>
      </c>
      <c r="FS48" s="6">
        <v>0</v>
      </c>
      <c r="FT48" s="7">
        <v>0.4922808776818583</v>
      </c>
      <c r="FU48" s="7">
        <v>7.5382760898010645E-2</v>
      </c>
      <c r="FV48" s="7">
        <v>0.43233636142013104</v>
      </c>
      <c r="FW48" s="519">
        <v>1240</v>
      </c>
      <c r="FX48" s="519">
        <v>2643.8940613978939</v>
      </c>
      <c r="FY48" s="519">
        <v>2441.9040576656735</v>
      </c>
      <c r="FZ48" s="6">
        <v>1972.7251322951724</v>
      </c>
      <c r="GA48" s="6">
        <v>1865.456237423763</v>
      </c>
      <c r="GB48" s="6">
        <v>18119.543762576235</v>
      </c>
      <c r="GC48" s="7">
        <v>1.0519917368675835E-2</v>
      </c>
      <c r="GD48" s="7">
        <v>1.0563961783552728E-2</v>
      </c>
      <c r="GE48" s="7"/>
      <c r="GF48" s="7"/>
      <c r="GG48" s="7">
        <v>4.1867643379063209E-3</v>
      </c>
      <c r="GH48" s="42">
        <v>-0.78002561127679892</v>
      </c>
      <c r="GI48" s="6">
        <v>-23755.497371121455</v>
      </c>
      <c r="GJ48" s="14">
        <v>0.50394797582841733</v>
      </c>
      <c r="GK48" s="14">
        <v>0.50887573065309744</v>
      </c>
      <c r="GL48" s="14">
        <v>0.49605202417158262</v>
      </c>
      <c r="GM48" s="14">
        <v>0.4911242693469024</v>
      </c>
      <c r="GO48" s="5">
        <v>343.14810671672558</v>
      </c>
      <c r="GP48" s="5">
        <v>319.49127229486811</v>
      </c>
      <c r="GQ48" s="5">
        <v>535.04305713031317</v>
      </c>
      <c r="GR48" s="5">
        <v>410.15490233172511</v>
      </c>
      <c r="GS48" s="5">
        <v>339.42744393800166</v>
      </c>
      <c r="GT48" s="5">
        <v>293.4407446948278</v>
      </c>
      <c r="GU48" s="5">
        <v>258.04012322764959</v>
      </c>
      <c r="GV48" s="39" t="s">
        <v>392</v>
      </c>
      <c r="GW48" s="5">
        <v>492.95833333333331</v>
      </c>
      <c r="GX48" s="5">
        <v>369.71875</v>
      </c>
      <c r="GY48" s="5">
        <v>295.77499999999998</v>
      </c>
      <c r="GZ48" s="5">
        <v>246.47916666666666</v>
      </c>
      <c r="HA48" s="5">
        <v>225.79546784515614</v>
      </c>
      <c r="HB48" s="39">
        <v>258.77462325373631</v>
      </c>
      <c r="HC48" s="5">
        <v>180.45107247712679</v>
      </c>
      <c r="HD48" s="5">
        <v>166.88742269324356</v>
      </c>
      <c r="HE48" s="5">
        <v>173.26264222716708</v>
      </c>
      <c r="HF48" s="5">
        <v>164.43972414893742</v>
      </c>
      <c r="HG48" s="5">
        <v>163.82822047368862</v>
      </c>
      <c r="HH48" s="39">
        <v>167.8088205836564</v>
      </c>
      <c r="HI48" s="16"/>
      <c r="HJ48" s="1">
        <f>INDEX(Input!$1:$1048576,HJ$10,$C48*2+6)</f>
        <v>0.24663677130044845</v>
      </c>
      <c r="HK48" s="1">
        <f>INDEX(Input!$1:$1048576,HK$10,$C48*2+6)</f>
        <v>0.35201793721973096</v>
      </c>
      <c r="HL48" s="1">
        <f>INDEX(Input!$1:$1048576,HL$10,$C48*2+6)</f>
        <v>0.40134529147982062</v>
      </c>
      <c r="HM48" s="19"/>
    </row>
    <row r="49" spans="1:221" s="60" customFormat="1" ht="15.75" thickBot="1">
      <c r="A49" s="31">
        <f>C49*1000+B49</f>
        <v>2001</v>
      </c>
      <c r="B49" s="31">
        <f t="shared" si="60"/>
        <v>1</v>
      </c>
      <c r="C49" s="508">
        <v>2</v>
      </c>
      <c r="D49" s="31" t="s">
        <v>566</v>
      </c>
      <c r="E49" s="365">
        <f>INDEX(Input!$1:$1048576,E$10,$C49*2+MIN($B49,2)+5)</f>
        <v>1000</v>
      </c>
      <c r="F49" s="366">
        <f>INDEX(Input!$1:$1048576,F$10,$C49*2+MIN($B49,2)+5)</f>
        <v>0</v>
      </c>
      <c r="G49" s="49">
        <f>INDEX(Input!$1:$1048576,G$10,$C49*2+MIN($B49,2)+5)</f>
        <v>0</v>
      </c>
      <c r="H49" s="49">
        <f>INDEX(Input!$1:$1048576,H$10,$C49*2+MIN($B49,2)+5)</f>
        <v>0</v>
      </c>
      <c r="I49" s="367">
        <f>INDEX(Input!$1:$1048576,I$10,$C49*2+MIN($B49,2)+5)</f>
        <v>0.7</v>
      </c>
      <c r="J49" s="367" t="str">
        <f>INDEX(Input!$1:$1048576,J$10,$C49*2+MIN($B49,2)+5)</f>
        <v>Market</v>
      </c>
      <c r="K49" s="367" t="str">
        <f>INDEX(Input!$1:$1048576,K$10,$C49*2+MIN($B49,2)+5)</f>
        <v>Market</v>
      </c>
      <c r="L49" s="367" t="str">
        <f>INDEX(Input!$1:$1048576,L$10,$C49*2+MIN($B49,2)+5)</f>
        <v>Market</v>
      </c>
      <c r="M49" s="367" t="str">
        <f>INDEX(Input!$1:$1048576,M$10,$C49*2+MIN($B49,2)+5)</f>
        <v>Market</v>
      </c>
      <c r="N49" s="367" t="str">
        <f>INDEX(Input!$1:$1048576,N$10,$C49*2+MIN($B49,2)+5)</f>
        <v>Market</v>
      </c>
      <c r="O49" s="367" t="str">
        <f>INDEX(Input!$1:$1048576,O$10,$C49*2+MIN($B49,2)+5)</f>
        <v>Market</v>
      </c>
      <c r="P49" s="367" t="str">
        <f>INDEX(Input!$1:$1048576,P$10,$C49*2+MIN($B49,2)+5)</f>
        <v>N</v>
      </c>
      <c r="Q49" s="47">
        <f>INDEX(Input!$1:$1048576,Q$10,$C49*2+MIN($B49,2)+5)</f>
        <v>0</v>
      </c>
      <c r="R49" s="38">
        <f>INDEX(Input!$1:$1048576,R$10,$C49*2+MIN($B49,2)+5)</f>
        <v>0</v>
      </c>
      <c r="S49" s="38">
        <f>INDEX(Input!$1:$1048576,S$10,$C49*2+MIN($B49,2)+5)</f>
        <v>0</v>
      </c>
      <c r="T49" s="38">
        <f>INDEX(Input!$1:$1048576,T$10,$C49*2+MIN($B49,2)+5)</f>
        <v>0</v>
      </c>
      <c r="U49" s="38">
        <f>INDEX(Input!$1:$1048576,U$10,$C49*2+MIN($B49,2)+5)</f>
        <v>0</v>
      </c>
      <c r="V49" s="38">
        <f>INDEX(Input!$1:$1048576,V$10,$C49*2+MIN($B49,2)+5)</f>
        <v>1.9E-2</v>
      </c>
      <c r="W49" s="38">
        <f>INDEX(Input!$1:$1048576,W$10,$C49*2+MIN($B49,2)+5)</f>
        <v>3.9E-2</v>
      </c>
      <c r="X49" s="367" t="str">
        <f>INDEX(Input!$1:$1048576,X$10,$C49*2+MIN($B49,2)+5)</f>
        <v>Y</v>
      </c>
      <c r="Y49" s="517">
        <f>HM20-500</f>
        <v>249.24006016766407</v>
      </c>
      <c r="Z49" s="49">
        <f>INDEX(Input!$1:$1048576,Z$10,$C49*2+MIN($B49,2)+5)</f>
        <v>0</v>
      </c>
      <c r="AA49" s="49">
        <f>INDEX(Input!$1:$1048576,AA$10,$C49*2+MIN($B49,2)+5)</f>
        <v>1000</v>
      </c>
      <c r="AB49" s="367">
        <f>INDEX(Input!$1:$1048576,AB$10,$C49*2+MIN($B49,2)+5)</f>
        <v>0.27</v>
      </c>
      <c r="AC49" s="49">
        <f>INDEX(Input!$1:$1048576,AC$10,$C49*2+MIN($B49,2)+5)</f>
        <v>1000</v>
      </c>
      <c r="AD49" s="367">
        <f>INDEX(Input!$1:$1048576,AD$10,$C49*2+MIN($B49,2)+5)</f>
        <v>0.27</v>
      </c>
      <c r="AE49" s="49">
        <f>INDEX(Input!$1:$1048576,AE$10,$C49*2+MIN($B49,2)+5)</f>
        <v>500</v>
      </c>
      <c r="AF49" s="367">
        <f>INDEX(Input!$1:$1048576,AF$10,$C49*2+MIN($B49,2)+5)</f>
        <v>4.8000000000000001E-2</v>
      </c>
      <c r="AG49" s="49">
        <f>INDEX(Input!$1:$1048576,AG$10,$C49*2+MIN($B49,2)+5)</f>
        <v>0</v>
      </c>
      <c r="AH49" s="367">
        <f>INDEX(Input!$1:$1048576,AH$10,$C49*2+MIN($B49,2)+5)</f>
        <v>0.94599999999999995</v>
      </c>
      <c r="AI49" s="49">
        <f>INDEX(Input!$1:$1048576,AI$10,$C49*2+MIN($B49,2)+5)</f>
        <v>0</v>
      </c>
      <c r="AJ49" s="367">
        <f>INDEX(Input!$1:$1048576,AJ$10,$C49*2+MIN($B49,2)+5)</f>
        <v>0.27</v>
      </c>
      <c r="AK49" s="298">
        <f>INDEX(Input!$1:$1048576,AK$10,$C49*2+MIN($B49,2)+5)</f>
        <v>3383.7164157747848</v>
      </c>
      <c r="AL49" s="49">
        <f>INDEX(Input!$1:$1048576,AL$10,$C49*2+MIN($B49,2)+5)</f>
        <v>3383.7164157747848</v>
      </c>
      <c r="AM49" s="46" t="str">
        <f>IF(K49="market","std",ROUND(K49*1000,0)/10)&amp;"/"&amp;IF(L49="market","std",ROUND(L49*1000,0)/10)&amp;"/"&amp;IF(M49="market","std",ROUND(M49*1000,0)/10)&amp;"/"&amp;IF(N49="market","std",ROUND(N49*1000,0)/10)&amp;IF(P49="N","","/"&amp;IF(O49="market","std",ROUND(O49*1000,0)/10))</f>
        <v>std/std/std/std</v>
      </c>
      <c r="AN49" s="46" t="str">
        <f>"$"&amp;ROUND(Q49,0)&amp;" + "&amp;IF(S49="market","std",ROUND(S49*1000,0)/10)&amp;"/"&amp;IF(T49="market","std",ROUND(T49*1000,0)/10)&amp;"/"&amp;IF(U49="market","std",ROUND(U49*1000,0)/10)&amp;"/"&amp;IF(V49="market","std",ROUND(V49*1000,0)/10)&amp;IF(X49="N","","/"&amp;IF(W49="market","std",ROUND(W49*1000,0)/10))</f>
        <v>$0 + 0/0/0/1.9/3.9</v>
      </c>
      <c r="AO49" s="44" t="str">
        <f>IF(S49="market","std",ROUND(S49*1000,0)/10)&amp;"/"&amp;IF(T49="market","std",ROUND(T49*1000,0)/10)&amp;"/"&amp;IF(U49="market","std",ROUND(U49*1000,0)/10)&amp;"/"&amp;IF(V49="market","std",ROUND(V49*1000,0)/10)&amp;IF(X49="N","","/"&amp;IF(W49="market","std",ROUND(W49*1000,0)/10))</f>
        <v>0/0/0/1.9/3.9</v>
      </c>
      <c r="AP49" s="44" t="str">
        <f>IF(T49="market","std",ROUND(T49*1000,0)/10)&amp;"/"&amp;IF(U49="market","std",ROUND(U49*1000,0)/10)&amp;"/"&amp;IF(V49="market","std",ROUND(V49*1000,0)/10)&amp;IF(X49="N","","/"&amp;IF(W49="market","std",ROUND(W49*1000,0)/10))</f>
        <v>0/0/1.9/3.9</v>
      </c>
      <c r="AQ49" s="49">
        <f t="shared" si="81"/>
        <v>294</v>
      </c>
      <c r="AR49" s="44" t="str">
        <f t="shared" si="82"/>
        <v>0/1.9</v>
      </c>
      <c r="AS49" s="368"/>
      <c r="AT49" s="50">
        <f t="shared" si="83"/>
        <v>4</v>
      </c>
      <c r="AU49" s="45" t="s">
        <v>121</v>
      </c>
      <c r="AV49" s="45" t="s">
        <v>116</v>
      </c>
      <c r="AW49" s="45" t="str">
        <f>INDEX(Input!$1:$1048576,AW$10,$C49*2+6)</f>
        <v>Kia</v>
      </c>
      <c r="AX49" s="45" t="str">
        <f>INDEX(Input!$1:$1048576,AX$10,$C49*2+6)</f>
        <v>Kia-LR - L2</v>
      </c>
      <c r="AY49" s="10" t="str">
        <f>IF(D49="Skip","",INDEX(Input!$1:$1048576,AY$10,$C49*2+6))</f>
        <v>Compact SUV (52)</v>
      </c>
      <c r="AZ49" s="45" t="str">
        <f>INDEX(Input!$1:$1048576,AZ$10,$C49*2+6)</f>
        <v>Kia Soul</v>
      </c>
      <c r="BA49" s="50">
        <f>INDEX(Input!$1:$1048576,BA$10,$C49*2+6)</f>
        <v>2020</v>
      </c>
      <c r="BB49" s="367">
        <f>INDEX(Input!$1:$1048576,BB$10,$C49*2+6)</f>
        <v>1</v>
      </c>
      <c r="BC49" s="367">
        <f>INDEX(Input!$1:$1048576,BC$10,$C49*2+6)</f>
        <v>0.7</v>
      </c>
      <c r="BD49" s="38">
        <f>INDEX(Input!$1:$1048576,BD$10,$C49*2+6)</f>
        <v>4.4999999999999998E-2</v>
      </c>
      <c r="BE49" s="38">
        <f>INDEX(Input!$1:$1048576,BE$10,$C49*2+6)</f>
        <v>4.4999999999999998E-2</v>
      </c>
      <c r="BF49" s="38">
        <f>INDEX(Input!$1:$1048576,BF$10,$C49*2+6)</f>
        <v>0.05</v>
      </c>
      <c r="BG49" s="38">
        <f>INDEX(Input!$1:$1048576,BG$10,$C49*2+6)</f>
        <v>5.45E-2</v>
      </c>
      <c r="BH49" s="38">
        <f>INDEX(Input!$1:$1048576,BH$10,$C49*2+6)</f>
        <v>5.45E-2</v>
      </c>
      <c r="BI49" s="38">
        <f>INDEX(Input!$1:$1048576,BI$10,$C49*2+6)</f>
        <v>0.05</v>
      </c>
      <c r="BJ49" s="38">
        <f>INDEX(Input!$1:$1048576,BJ$10,$C49*2+6)</f>
        <v>0.05</v>
      </c>
      <c r="BK49" s="38">
        <f>INDEX(Input!$1:$1048576,BK$10,$C49*2+6)</f>
        <v>0.05</v>
      </c>
      <c r="BL49" s="38">
        <f>INDEX(Input!$1:$1048576,BL$10,$C49*2+6)</f>
        <v>5.5E-2</v>
      </c>
      <c r="BM49" s="38">
        <f>INDEX(Input!$1:$1048576,BM$10,$C49*2+6)</f>
        <v>0.06</v>
      </c>
      <c r="BN49" s="38">
        <f>INDEX(Input!$1:$1048576,BN$10,$C49*2+6)</f>
        <v>4.4999999999999998E-2</v>
      </c>
      <c r="BO49" s="38">
        <f>INDEX(Input!$1:$1048576,BO$10,$C49*2+6)</f>
        <v>4.4999999999999998E-2</v>
      </c>
      <c r="BP49" s="38">
        <f>INDEX(Input!$1:$1048576,BP$10,$C49*2+6)</f>
        <v>0.05</v>
      </c>
      <c r="BQ49" s="38">
        <f>INDEX(Input!$1:$1048576,BQ$10,$C49*2+6)</f>
        <v>5.45E-2</v>
      </c>
      <c r="BR49" s="38">
        <f>INDEX(Input!$1:$1048576,BR$10,$C49*2+6)</f>
        <v>5.45E-2</v>
      </c>
      <c r="BS49" s="38">
        <f>INDEX(Input!$1:$1048576,BS$10,$C49*2+6)</f>
        <v>0.05</v>
      </c>
      <c r="BT49" s="38">
        <f>INDEX(Input!$1:$1048576,BT$10,$C49*2+6)</f>
        <v>0.05</v>
      </c>
      <c r="BU49" s="38">
        <f>INDEX(Input!$1:$1048576,BU$10,$C49*2+6)</f>
        <v>0.05</v>
      </c>
      <c r="BV49" s="38">
        <f>INDEX(Input!$1:$1048576,BV$10,$C49*2+6)</f>
        <v>5.5E-2</v>
      </c>
      <c r="BW49" s="38">
        <f>INDEX(Input!$1:$1048576,BW$10,$C49*2+6)</f>
        <v>0.06</v>
      </c>
      <c r="BX49" s="49">
        <f>INDEX(Input!$1:$1048576,BX$10,$C49*2+6)</f>
        <v>19985</v>
      </c>
      <c r="BY49" s="367">
        <f>INDEX(Input!$1:$1048576,BY$10,$C49*2+6)</f>
        <v>0.1</v>
      </c>
      <c r="BZ49" s="367">
        <f>INDEX(Input!$1:$1048576,BZ$10,$C49*2+6)</f>
        <v>0.1</v>
      </c>
      <c r="CA49" s="367">
        <f>INDEX(Input!$1:$1048576,CA$10,$C49*2+6)</f>
        <v>0.1</v>
      </c>
      <c r="CB49" s="367">
        <f>INDEX(Input!$1:$1048576,CB$10,$C49*2+6)</f>
        <v>0.1</v>
      </c>
      <c r="CC49" s="367">
        <f>INDEX(Input!$1:$1048576,CC$10,$C49*2+6)</f>
        <v>0.1</v>
      </c>
      <c r="CD49" s="367">
        <f>INDEX(Input!$1:$1048576,CD$10,$C49*2+6)</f>
        <v>0.1</v>
      </c>
      <c r="CE49" s="367">
        <f>INDEX(Input!$1:$1048576,CE$10,$C49*2+6)</f>
        <v>0.1</v>
      </c>
      <c r="CF49" s="367">
        <f>INDEX(Input!$1:$1048576,CF$10,$C49*2+6)</f>
        <v>0.1</v>
      </c>
      <c r="CG49" s="367">
        <f>INDEX(Input!$1:$1048576,CG$10,$C49*2+6)</f>
        <v>0.1</v>
      </c>
      <c r="CH49" s="48">
        <f>INDEX(Input!$1:$1048576,CH$10,$C49*2+6)</f>
        <v>0.1</v>
      </c>
      <c r="CI49" s="298">
        <f t="shared" si="61"/>
        <v>1270</v>
      </c>
      <c r="CJ49" s="46" t="str">
        <f>INDEX(Input!$1:$1048576,CJ$10,$C49*2+6)</f>
        <v>N</v>
      </c>
      <c r="CK49" s="38" t="str">
        <f t="shared" si="62"/>
        <v>Market</v>
      </c>
      <c r="CL49" s="38" t="str">
        <f t="shared" si="63"/>
        <v>Market</v>
      </c>
      <c r="CM49" s="38" t="str">
        <f t="shared" si="64"/>
        <v>Market</v>
      </c>
      <c r="CN49" s="38" t="str">
        <f t="shared" si="65"/>
        <v>Market</v>
      </c>
      <c r="CO49" s="38" t="str">
        <f t="shared" si="66"/>
        <v>Market</v>
      </c>
      <c r="CP49" s="49">
        <f t="shared" si="67"/>
        <v>0</v>
      </c>
      <c r="CQ49" s="38">
        <f t="shared" si="68"/>
        <v>0</v>
      </c>
      <c r="CR49" s="38">
        <f t="shared" si="69"/>
        <v>0</v>
      </c>
      <c r="CS49" s="38">
        <f t="shared" si="70"/>
        <v>0</v>
      </c>
      <c r="CT49" s="38">
        <f t="shared" si="71"/>
        <v>0</v>
      </c>
      <c r="CU49" s="38">
        <f t="shared" si="72"/>
        <v>1.9E-2</v>
      </c>
      <c r="CV49" s="49">
        <f t="shared" si="73"/>
        <v>519.24006016766407</v>
      </c>
      <c r="CW49" s="22" t="s">
        <v>122</v>
      </c>
      <c r="CX49" s="22" t="s">
        <v>122</v>
      </c>
      <c r="CY49" s="22" t="s">
        <v>122</v>
      </c>
      <c r="CZ49" s="22" t="s">
        <v>122</v>
      </c>
      <c r="DA49" s="22" t="s">
        <v>122</v>
      </c>
      <c r="DB49" s="502">
        <f t="shared" si="74"/>
        <v>24</v>
      </c>
      <c r="DC49" s="29">
        <v>0</v>
      </c>
      <c r="DD49" s="29">
        <v>0</v>
      </c>
      <c r="DE49" s="29">
        <v>0</v>
      </c>
      <c r="DF49" s="49">
        <v>0</v>
      </c>
      <c r="DG49" s="49">
        <v>0</v>
      </c>
      <c r="DH49" s="49">
        <v>0</v>
      </c>
      <c r="DI49" s="49">
        <v>0</v>
      </c>
      <c r="DJ49" s="49">
        <v>0</v>
      </c>
      <c r="DK49" s="29">
        <v>0</v>
      </c>
      <c r="DL49" s="29">
        <v>0</v>
      </c>
      <c r="DM49" s="49">
        <f>INDEX(Input!$1:$1048576,DM$10,$C49*2+6)</f>
        <v>21036.84210526316</v>
      </c>
      <c r="DN49" s="367">
        <v>0</v>
      </c>
      <c r="DO49" s="367">
        <v>0</v>
      </c>
      <c r="DP49" s="367">
        <v>0</v>
      </c>
      <c r="DQ49" s="367">
        <v>0</v>
      </c>
      <c r="DR49" s="367">
        <v>0</v>
      </c>
      <c r="DS49" s="367">
        <f>INDEX(Input!$1:$1048576,DS$10,$C49*2+6)</f>
        <v>0.6</v>
      </c>
      <c r="DT49" s="367">
        <f>INDEX(Input!$1:$1048576,DT$10,$C49*2+6)</f>
        <v>0.55000000000000004</v>
      </c>
      <c r="DU49" s="367">
        <f>INDEX(Input!$1:$1048576,DU$10,$C49*2+6)</f>
        <v>0.52</v>
      </c>
      <c r="DV49" s="367">
        <f>INDEX(Input!$1:$1048576,DV$10,$C49*2+6)</f>
        <v>0.5</v>
      </c>
      <c r="DW49" s="367">
        <f>INDEX(Input!$1:$1048576,DW$10,$C49*2+6)</f>
        <v>0.45</v>
      </c>
      <c r="DX49" s="369"/>
      <c r="DY49" s="4">
        <v>9.0863221699394411E-2</v>
      </c>
      <c r="DZ49" s="37">
        <v>0</v>
      </c>
      <c r="EA49" s="37">
        <v>0.64772650022074119</v>
      </c>
      <c r="EB49" s="37">
        <v>0</v>
      </c>
      <c r="EC49" s="37">
        <v>0</v>
      </c>
      <c r="ED49" s="37">
        <v>0</v>
      </c>
      <c r="EE49" s="37">
        <v>0</v>
      </c>
      <c r="EF49" s="37">
        <v>0</v>
      </c>
      <c r="EG49" s="37">
        <v>0</v>
      </c>
      <c r="EH49" s="37">
        <v>7.7763593840854284E-3</v>
      </c>
      <c r="EI49" s="37">
        <v>2.2136503060128196E-2</v>
      </c>
      <c r="EJ49" s="37">
        <v>0.16744135553113765</v>
      </c>
      <c r="EK49" s="37">
        <v>0.6281609993855215</v>
      </c>
      <c r="EL49" s="37">
        <v>0.17448478263912665</v>
      </c>
      <c r="EM49" s="37">
        <v>0.1038924285311375</v>
      </c>
      <c r="EN49" s="37">
        <v>6.4104057867563888E-2</v>
      </c>
      <c r="EO49" s="37">
        <v>0.7193397744646195</v>
      </c>
      <c r="EP49" s="37">
        <v>9.4151468847195649E-2</v>
      </c>
      <c r="EQ49" s="37">
        <v>8.0276875046591381E-2</v>
      </c>
      <c r="ER49" s="37">
        <v>4.2127823774029453E-2</v>
      </c>
      <c r="ES49" s="37">
        <v>0.1575178495487268</v>
      </c>
      <c r="ET49" s="37">
        <v>0.26141027807986444</v>
      </c>
      <c r="EU49" s="36">
        <v>1252</v>
      </c>
      <c r="EV49" s="36">
        <v>0</v>
      </c>
      <c r="EW49" s="36">
        <v>1252</v>
      </c>
      <c r="EX49" s="36">
        <v>0</v>
      </c>
      <c r="EY49" s="36">
        <v>2682.2164767378299</v>
      </c>
      <c r="EZ49" s="36">
        <v>499.08705514712301</v>
      </c>
      <c r="FA49" s="36">
        <v>0</v>
      </c>
      <c r="FB49" s="36">
        <v>0</v>
      </c>
      <c r="FC49" s="36">
        <v>0</v>
      </c>
      <c r="FD49" s="36">
        <v>0</v>
      </c>
      <c r="FE49" s="36">
        <v>0</v>
      </c>
      <c r="FF49" s="36">
        <v>0</v>
      </c>
      <c r="FG49" s="36">
        <v>0</v>
      </c>
      <c r="FH49" s="36">
        <v>1173.7334617804142</v>
      </c>
      <c r="FI49" s="36">
        <v>1553.9796069512404</v>
      </c>
      <c r="FJ49" s="36">
        <v>2101.2110117447405</v>
      </c>
      <c r="FK49" s="36">
        <v>2674.2006261592273</v>
      </c>
      <c r="FL49" s="36">
        <v>2034.7405995769213</v>
      </c>
      <c r="FM49" s="36">
        <v>2430.2164767378299</v>
      </c>
      <c r="FN49" s="36">
        <v>0</v>
      </c>
      <c r="FO49" s="36">
        <v>0</v>
      </c>
      <c r="FP49" s="36">
        <v>0</v>
      </c>
      <c r="FQ49" s="36">
        <v>0</v>
      </c>
      <c r="FR49" s="36">
        <v>0</v>
      </c>
      <c r="FS49" s="36">
        <v>0</v>
      </c>
      <c r="FT49" s="37">
        <v>0.73858972192013561</v>
      </c>
      <c r="FU49" s="37">
        <v>0.1038924285311375</v>
      </c>
      <c r="FV49" s="37">
        <v>0.1575178495487268</v>
      </c>
      <c r="FW49" s="518">
        <v>1252</v>
      </c>
      <c r="FX49" s="518">
        <v>2682.2164767378299</v>
      </c>
      <c r="FY49" s="518">
        <v>499.08705514712301</v>
      </c>
      <c r="FZ49" s="36">
        <v>1837.5769068668776</v>
      </c>
      <c r="GA49" s="36">
        <v>1281.9914351229158</v>
      </c>
      <c r="GB49" s="36">
        <v>18703.008564877084</v>
      </c>
      <c r="GC49" s="37">
        <v>1.804905384453976E-2</v>
      </c>
      <c r="GD49" s="37">
        <v>1.7149883066574511E-2</v>
      </c>
      <c r="GE49" s="37"/>
      <c r="GF49" s="37"/>
      <c r="GG49" s="37">
        <v>-4.9818166963764038E-2</v>
      </c>
      <c r="GH49" s="35">
        <v>1.7920124218612541</v>
      </c>
      <c r="GI49" s="36">
        <v>12434.257879371549</v>
      </c>
      <c r="GJ49" s="34">
        <v>0.50394797582841733</v>
      </c>
      <c r="GK49" s="34">
        <v>0.50887573065309732</v>
      </c>
      <c r="GL49" s="34">
        <v>0.49605202417158245</v>
      </c>
      <c r="GM49" s="33">
        <v>0.49112426934690262</v>
      </c>
      <c r="GN49" s="61"/>
      <c r="GO49" s="13">
        <v>343.14810671672558</v>
      </c>
      <c r="GP49" s="27">
        <v>319.26233518755981</v>
      </c>
      <c r="GQ49" s="27">
        <v>535.04305713031317</v>
      </c>
      <c r="GR49" s="27">
        <v>410.15490233172511</v>
      </c>
      <c r="GS49" s="27">
        <v>339.42744393800166</v>
      </c>
      <c r="GT49" s="27">
        <v>293.4407446948278</v>
      </c>
      <c r="GU49" s="27">
        <v>258.04012322764959</v>
      </c>
      <c r="GV49" s="29" t="s">
        <v>392</v>
      </c>
      <c r="GW49" s="27">
        <v>492.625</v>
      </c>
      <c r="GX49" s="27">
        <v>369.46875</v>
      </c>
      <c r="GY49" s="27">
        <v>295.57499999999999</v>
      </c>
      <c r="GZ49" s="27">
        <v>246.3125</v>
      </c>
      <c r="HA49" s="27">
        <v>225.64278728199486</v>
      </c>
      <c r="HB49" s="29">
        <v>255.59619267182964</v>
      </c>
      <c r="HC49" s="27">
        <v>265.44931633731335</v>
      </c>
      <c r="HD49" s="27">
        <v>224.90209707400581</v>
      </c>
      <c r="HE49" s="27">
        <v>227.12599822647942</v>
      </c>
      <c r="HF49" s="27">
        <v>209.3673673321789</v>
      </c>
      <c r="HG49" s="27">
        <v>201.06554635529415</v>
      </c>
      <c r="HH49" s="12">
        <v>225.4594603576802</v>
      </c>
      <c r="HI49" s="94"/>
      <c r="HJ49" s="24">
        <f>INDEX(Input!$1:$1048576,HJ$10,$C49*2+6)</f>
        <v>0.36283185840707965</v>
      </c>
      <c r="HK49" s="18">
        <f>INDEX(Input!$1:$1048576,HK$10,$C49*2+6)</f>
        <v>0.46419951729686243</v>
      </c>
      <c r="HL49" s="43">
        <f>INDEX(Input!$1:$1048576,HL$10,$C49*2+6)</f>
        <v>0.17296862429605792</v>
      </c>
      <c r="HM49" s="49">
        <f>ROUND(IF(HL49&lt;FV50,TREND(Y49:Y50,FV49:FV50,HL49),TREND(Y50:Y51,FV50:FV51,HL49)),0)</f>
        <v>463</v>
      </c>
    </row>
    <row r="50" spans="1:221" s="26" customFormat="1" ht="15">
      <c r="A50" s="117">
        <f t="shared" ref="A50:A51" si="84">C50*1000+B50</f>
        <v>2002</v>
      </c>
      <c r="B50" s="117">
        <f t="shared" si="60"/>
        <v>2</v>
      </c>
      <c r="C50" s="117">
        <f t="shared" si="76"/>
        <v>2</v>
      </c>
      <c r="D50" s="117" t="s">
        <v>568</v>
      </c>
      <c r="E50" s="115">
        <f>INDEX(Input!$1:$1048576,E$10,$C50*2+6)</f>
        <v>1000</v>
      </c>
      <c r="F50" s="115">
        <f>INDEX(Input!$1:$1048576,F$10,$C50*2+6)</f>
        <v>0</v>
      </c>
      <c r="G50" s="115">
        <f>INDEX(Input!$1:$1048576,G$10,$C50*2+6)</f>
        <v>0</v>
      </c>
      <c r="H50" s="115">
        <f>INDEX(Input!$1:$1048576,H$10,$C50*2+6)</f>
        <v>0</v>
      </c>
      <c r="I50" s="118">
        <f>INDEX(Input!$1:$1048576,I$10,$C50*2+6)</f>
        <v>0.7</v>
      </c>
      <c r="J50" s="118" t="str">
        <f>INDEX(Input!$1:$1048576,J$10,$C50*2+6)</f>
        <v>Market</v>
      </c>
      <c r="K50" s="118" t="str">
        <f>INDEX(Input!$1:$1048576,K$10,$C50*2+6)</f>
        <v>Market</v>
      </c>
      <c r="L50" s="118" t="str">
        <f>INDEX(Input!$1:$1048576,L$10,$C50*2+6)</f>
        <v>Market</v>
      </c>
      <c r="M50" s="118" t="str">
        <f>INDEX(Input!$1:$1048576,M$10,$C50*2+6)</f>
        <v>Market</v>
      </c>
      <c r="N50" s="118" t="str">
        <f>INDEX(Input!$1:$1048576,N$10,$C50*2+6)</f>
        <v>Market</v>
      </c>
      <c r="O50" s="118" t="str">
        <f>INDEX(Input!$1:$1048576,O$10,$C50*2+6)</f>
        <v>Market</v>
      </c>
      <c r="P50" s="118" t="str">
        <f>INDEX(Input!$1:$1048576,P$10,$C50*2+6)</f>
        <v>N</v>
      </c>
      <c r="Q50" s="30">
        <f>INDEX(Input!$1:$1048576,Q$10,$C50*2+6)</f>
        <v>0</v>
      </c>
      <c r="R50" s="383">
        <f>INDEX(Input!$1:$1048576,R$10,$C50*2+6)</f>
        <v>0</v>
      </c>
      <c r="S50" s="383">
        <f>INDEX(Input!$1:$1048576,S$10,$C50*2+6)</f>
        <v>0</v>
      </c>
      <c r="T50" s="383">
        <f>INDEX(Input!$1:$1048576,T$10,$C50*2+6)</f>
        <v>0</v>
      </c>
      <c r="U50" s="383">
        <f>INDEX(Input!$1:$1048576,U$10,$C50*2+6)</f>
        <v>0</v>
      </c>
      <c r="V50" s="383">
        <f>INDEX(Input!$1:$1048576,V$10,$C50*2+6)</f>
        <v>1.9E-2</v>
      </c>
      <c r="W50" s="383">
        <f>INDEX(Input!$1:$1048576,W$10,$C50*2+6)</f>
        <v>3.9E-2</v>
      </c>
      <c r="X50" s="118" t="str">
        <f>INDEX(Input!$1:$1048576,X$10,$C50*2+6)</f>
        <v>Y</v>
      </c>
      <c r="Y50" s="520">
        <f>Y49+500</f>
        <v>749.24006016766407</v>
      </c>
      <c r="Z50" s="30">
        <f>INDEX(Input!$1:$1048576,Z$10,$C50*2+6)</f>
        <v>0</v>
      </c>
      <c r="AA50" s="115">
        <f>INDEX(Input!$1:$1048576,AA$10,$C50*2+6)</f>
        <v>1000</v>
      </c>
      <c r="AB50" s="118">
        <f>INDEX(Input!$1:$1048576,AB$10,$C50*2+6)</f>
        <v>0.27</v>
      </c>
      <c r="AC50" s="115">
        <f>INDEX(Input!$1:$1048576,AC$10,$C50*2+6)</f>
        <v>1000</v>
      </c>
      <c r="AD50" s="118">
        <f>INDEX(Input!$1:$1048576,AD$10,$C50*2+6)</f>
        <v>0.27</v>
      </c>
      <c r="AE50" s="115">
        <f>INDEX(Input!$1:$1048576,AE$10,$C50*2+6)</f>
        <v>500</v>
      </c>
      <c r="AF50" s="118">
        <f>INDEX(Input!$1:$1048576,AF$10,$C50*2+6)</f>
        <v>4.8000000000000001E-2</v>
      </c>
      <c r="AG50" s="115">
        <f>INDEX(Input!$1:$1048576,AG$10,$C50*2+6)</f>
        <v>0</v>
      </c>
      <c r="AH50" s="118">
        <f>INDEX(Input!$1:$1048576,AH$10,$C50*2+6)</f>
        <v>0.94599999999999995</v>
      </c>
      <c r="AI50" s="115">
        <f>INDEX(Input!$1:$1048576,AI$10,$C50*2+6)</f>
        <v>0</v>
      </c>
      <c r="AJ50" s="118">
        <f>INDEX(Input!$1:$1048576,AJ$10,$C50*2+6)</f>
        <v>0.27</v>
      </c>
      <c r="AK50" s="150">
        <f>INDEX(Input!$1:$1048576,AK$10,$C49*2+6)+(Y50-VLOOKUP($C50*1000+1,$A:$HH,Y$9,FALSE))</f>
        <v>3133.7064759424488</v>
      </c>
      <c r="AL50" s="150">
        <f>INDEX(Input!$1:$1048576,AL$10,$C49*2+6)-(Y50-VLOOKUP($C50*1000+1,$A:$HH,Y$9,FALSE))/36</f>
        <v>3390.6611363256829</v>
      </c>
      <c r="AM50" s="32" t="str">
        <f t="shared" ref="AM50:AM51" si="85">IF(K50="market","std",ROUND(K50*1000,0)/10)&amp;"/"&amp;IF(L50="market","std",ROUND(L50*1000,0)/10)&amp;"/"&amp;IF(M50="market","std",ROUND(M50*1000,0)/10)&amp;"/"&amp;IF(N50="market","std",ROUND(N50*1000,0)/10)&amp;IF(P50="N","","/"&amp;IF(O50="market","std",ROUND(O50*1000,0)/10))</f>
        <v>std/std/std/std</v>
      </c>
      <c r="AN50" s="32" t="str">
        <f t="shared" ref="AN50:AN51" si="86">"$"&amp;ROUND(Q50,0)&amp;" + "&amp;IF(S50="market","std",ROUND(S50*1000,0)/10)&amp;"/"&amp;IF(T50="market","std",ROUND(T50*1000,0)/10)&amp;"/"&amp;IF(U50="market","std",ROUND(U50*1000,0)/10)&amp;"/"&amp;IF(V50="market","std",ROUND(V50*1000,0)/10)&amp;IF(X50="N","","/"&amp;IF(W50="market","std",ROUND(W50*1000,0)/10))</f>
        <v>$0 + 0/0/0/1.9/3.9</v>
      </c>
      <c r="AO50" s="32" t="str">
        <f t="shared" ref="AO50:AO51" si="87">IF(S50="market","std",ROUND(S50*1000,0)/10)&amp;"/"&amp;IF(T50="market","std",ROUND(T50*1000,0)/10)&amp;"/"&amp;IF(U50="market","std",ROUND(U50*1000,0)/10)&amp;"/"&amp;IF(V50="market","std",ROUND(V50*1000,0)/10)&amp;IF(X50="N","","/"&amp;IF(W50="market","std",ROUND(W50*1000,0)/10))</f>
        <v>0/0/0/1.9/3.9</v>
      </c>
      <c r="AP50" s="32" t="str">
        <f t="shared" ref="AP50:AP51" si="88">IF(T50="market","std",ROUND(T50*1000,0)/10)&amp;"/"&amp;IF(U50="market","std",ROUND(U50*1000,0)/10)&amp;"/"&amp;IF(V50="market","std",ROUND(V50*1000,0)/10)&amp;IF(X50="N","","/"&amp;IF(W50="market","std",ROUND(W50*1000,0)/10))</f>
        <v>0/0/1.9/3.9</v>
      </c>
      <c r="AQ50" s="150">
        <f t="shared" si="81"/>
        <v>294</v>
      </c>
      <c r="AR50" s="32" t="str">
        <f t="shared" si="82"/>
        <v>0/1.9</v>
      </c>
      <c r="AS50" s="302"/>
      <c r="AT50" s="3">
        <f t="shared" si="83"/>
        <v>5</v>
      </c>
      <c r="AU50" s="41" t="s">
        <v>121</v>
      </c>
      <c r="AV50" s="41" t="s">
        <v>116</v>
      </c>
      <c r="AW50" s="41" t="str">
        <f>INDEX(Input!$1:$1048576,AW$10,$C50*2+6)</f>
        <v>Kia</v>
      </c>
      <c r="AX50" s="41" t="str">
        <f>INDEX(Input!$1:$1048576,AX$10,$C50*2+6)</f>
        <v>Kia-LR - L2</v>
      </c>
      <c r="AY50" s="41" t="str">
        <f>IF(D50="Skip","",INDEX(Input!$1:$1048576,AY$10,$C50*2+6))</f>
        <v>Compact SUV (52)</v>
      </c>
      <c r="AZ50" s="41" t="str">
        <f>INDEX(Input!$1:$1048576,AZ$10,$C50*2+6)</f>
        <v>Kia Soul</v>
      </c>
      <c r="BA50" s="3">
        <f>INDEX(Input!$1:$1048576,BA$10,$C50*2+6)</f>
        <v>2020</v>
      </c>
      <c r="BB50" s="128">
        <f>INDEX(Input!$1:$1048576,BB$10,$C50*2+6)</f>
        <v>1</v>
      </c>
      <c r="BC50" s="128">
        <f>INDEX(Input!$1:$1048576,BC$10,$C50*2+6)</f>
        <v>0.7</v>
      </c>
      <c r="BD50" s="1">
        <f>INDEX(Input!$1:$1048576,BD$10,$C50*2+6)</f>
        <v>4.4999999999999998E-2</v>
      </c>
      <c r="BE50" s="1">
        <f>INDEX(Input!$1:$1048576,BE$10,$C50*2+6)</f>
        <v>4.4999999999999998E-2</v>
      </c>
      <c r="BF50" s="1">
        <f>INDEX(Input!$1:$1048576,BF$10,$C50*2+6)</f>
        <v>0.05</v>
      </c>
      <c r="BG50" s="1">
        <f>INDEX(Input!$1:$1048576,BG$10,$C50*2+6)</f>
        <v>5.45E-2</v>
      </c>
      <c r="BH50" s="1">
        <f>INDEX(Input!$1:$1048576,BH$10,$C50*2+6)</f>
        <v>5.45E-2</v>
      </c>
      <c r="BI50" s="1">
        <f>INDEX(Input!$1:$1048576,BI$10,$C50*2+6)</f>
        <v>0.05</v>
      </c>
      <c r="BJ50" s="1">
        <f>INDEX(Input!$1:$1048576,BJ$10,$C50*2+6)</f>
        <v>0.05</v>
      </c>
      <c r="BK50" s="1">
        <f>INDEX(Input!$1:$1048576,BK$10,$C50*2+6)</f>
        <v>0.05</v>
      </c>
      <c r="BL50" s="1">
        <f>INDEX(Input!$1:$1048576,BL$10,$C50*2+6)</f>
        <v>5.5E-2</v>
      </c>
      <c r="BM50" s="1">
        <f>INDEX(Input!$1:$1048576,BM$10,$C50*2+6)</f>
        <v>0.06</v>
      </c>
      <c r="BN50" s="1">
        <f>INDEX(Input!$1:$1048576,BN$10,$C50*2+6)</f>
        <v>4.4999999999999998E-2</v>
      </c>
      <c r="BO50" s="1">
        <f>INDEX(Input!$1:$1048576,BO$10,$C50*2+6)</f>
        <v>4.4999999999999998E-2</v>
      </c>
      <c r="BP50" s="1">
        <f>INDEX(Input!$1:$1048576,BP$10,$C50*2+6)</f>
        <v>0.05</v>
      </c>
      <c r="BQ50" s="1">
        <f>INDEX(Input!$1:$1048576,BQ$10,$C50*2+6)</f>
        <v>5.45E-2</v>
      </c>
      <c r="BR50" s="1">
        <f>INDEX(Input!$1:$1048576,BR$10,$C50*2+6)</f>
        <v>5.45E-2</v>
      </c>
      <c r="BS50" s="1">
        <f>INDEX(Input!$1:$1048576,BS$10,$C50*2+6)</f>
        <v>0.05</v>
      </c>
      <c r="BT50" s="1">
        <f>INDEX(Input!$1:$1048576,BT$10,$C50*2+6)</f>
        <v>0.05</v>
      </c>
      <c r="BU50" s="1">
        <f>INDEX(Input!$1:$1048576,BU$10,$C50*2+6)</f>
        <v>0.05</v>
      </c>
      <c r="BV50" s="1">
        <f>INDEX(Input!$1:$1048576,BV$10,$C50*2+6)</f>
        <v>5.5E-2</v>
      </c>
      <c r="BW50" s="1">
        <f>INDEX(Input!$1:$1048576,BW$10,$C50*2+6)</f>
        <v>0.06</v>
      </c>
      <c r="BX50" s="304">
        <f>INDEX(Input!$1:$1048576,BX$10,$C50*2+6)</f>
        <v>19985</v>
      </c>
      <c r="BY50" s="20">
        <f>INDEX(Input!$1:$1048576,BY$10,$C50*2+6)</f>
        <v>0.1</v>
      </c>
      <c r="BZ50" s="20">
        <f>INDEX(Input!$1:$1048576,BZ$10,$C50*2+6)</f>
        <v>0.1</v>
      </c>
      <c r="CA50" s="20">
        <f>INDEX(Input!$1:$1048576,CA$10,$C50*2+6)</f>
        <v>0.1</v>
      </c>
      <c r="CB50" s="20">
        <f>INDEX(Input!$1:$1048576,CB$10,$C50*2+6)</f>
        <v>0.1</v>
      </c>
      <c r="CC50" s="20">
        <f>INDEX(Input!$1:$1048576,CC$10,$C50*2+6)</f>
        <v>0.1</v>
      </c>
      <c r="CD50" s="384">
        <f>INDEX(Input!$1:$1048576,CD$10,$C50*2+6)</f>
        <v>0.1</v>
      </c>
      <c r="CE50" s="384">
        <f>INDEX(Input!$1:$1048576,CE$10,$C50*2+6)</f>
        <v>0.1</v>
      </c>
      <c r="CF50" s="384">
        <f>INDEX(Input!$1:$1048576,CF$10,$C50*2+6)</f>
        <v>0.1</v>
      </c>
      <c r="CG50" s="384">
        <f>INDEX(Input!$1:$1048576,CG$10,$C50*2+6)</f>
        <v>0.1</v>
      </c>
      <c r="CH50" s="384">
        <f>INDEX(Input!$1:$1048576,CH$10,$C50*2+6)</f>
        <v>0.1</v>
      </c>
      <c r="CI50" s="304">
        <f t="shared" si="61"/>
        <v>1270</v>
      </c>
      <c r="CJ50" s="16" t="str">
        <f>INDEX(Input!$1:$1048576,CJ$10,$C50*2+6)</f>
        <v>N</v>
      </c>
      <c r="CK50" s="1" t="str">
        <f t="shared" si="62"/>
        <v>Market</v>
      </c>
      <c r="CL50" s="1" t="str">
        <f t="shared" si="63"/>
        <v>Market</v>
      </c>
      <c r="CM50" s="1" t="str">
        <f t="shared" si="64"/>
        <v>Market</v>
      </c>
      <c r="CN50" s="1" t="str">
        <f t="shared" si="65"/>
        <v>Market</v>
      </c>
      <c r="CO50" s="1" t="str">
        <f t="shared" si="66"/>
        <v>Market</v>
      </c>
      <c r="CP50" s="304">
        <f t="shared" si="67"/>
        <v>0</v>
      </c>
      <c r="CQ50" s="1">
        <f t="shared" si="68"/>
        <v>0</v>
      </c>
      <c r="CR50" s="1">
        <f t="shared" si="69"/>
        <v>0</v>
      </c>
      <c r="CS50" s="1">
        <f t="shared" si="70"/>
        <v>0</v>
      </c>
      <c r="CT50" s="1">
        <f t="shared" si="71"/>
        <v>0</v>
      </c>
      <c r="CU50" s="1">
        <f t="shared" si="72"/>
        <v>1.9E-2</v>
      </c>
      <c r="CV50" s="304">
        <f t="shared" si="73"/>
        <v>1019.2400601676641</v>
      </c>
      <c r="CW50" s="20" t="s">
        <v>122</v>
      </c>
      <c r="CX50" s="20" t="s">
        <v>122</v>
      </c>
      <c r="CY50" s="20" t="s">
        <v>122</v>
      </c>
      <c r="CZ50" s="20" t="s">
        <v>122</v>
      </c>
      <c r="DA50" s="20" t="s">
        <v>122</v>
      </c>
      <c r="DB50" s="503">
        <f t="shared" si="74"/>
        <v>24</v>
      </c>
      <c r="DC50" s="127">
        <v>0</v>
      </c>
      <c r="DD50" s="127">
        <v>0</v>
      </c>
      <c r="DE50" s="127">
        <v>0</v>
      </c>
      <c r="DF50" s="127">
        <v>0</v>
      </c>
      <c r="DG50" s="127">
        <v>0</v>
      </c>
      <c r="DH50" s="127">
        <v>0</v>
      </c>
      <c r="DI50" s="127">
        <v>0</v>
      </c>
      <c r="DJ50" s="127">
        <v>0</v>
      </c>
      <c r="DK50" s="127">
        <v>0</v>
      </c>
      <c r="DL50" s="127">
        <v>0</v>
      </c>
      <c r="DM50" s="304">
        <f>INDEX(Input!$1:$1048576,DM$10,$C50*2+6)</f>
        <v>21036.84210526316</v>
      </c>
      <c r="DN50" s="20">
        <v>0</v>
      </c>
      <c r="DO50" s="20">
        <v>0</v>
      </c>
      <c r="DP50" s="20">
        <v>0</v>
      </c>
      <c r="DQ50" s="20">
        <v>0</v>
      </c>
      <c r="DR50" s="20">
        <v>0</v>
      </c>
      <c r="DS50" s="20">
        <f>INDEX(Input!$1:$1048576,DS$10,$C50*2+6)</f>
        <v>0.6</v>
      </c>
      <c r="DT50" s="20">
        <f>INDEX(Input!$1:$1048576,DT$10,$C50*2+6)</f>
        <v>0.55000000000000004</v>
      </c>
      <c r="DU50" s="20">
        <f>INDEX(Input!$1:$1048576,DU$10,$C50*2+6)</f>
        <v>0.52</v>
      </c>
      <c r="DV50" s="20">
        <f>INDEX(Input!$1:$1048576,DV$10,$C50*2+6)</f>
        <v>0.5</v>
      </c>
      <c r="DW50" s="20">
        <f>INDEX(Input!$1:$1048576,DW$10,$C50*2+6)</f>
        <v>0.45</v>
      </c>
      <c r="DX50" s="20"/>
      <c r="DY50" s="7">
        <v>8.6930374009758268E-2</v>
      </c>
      <c r="DZ50" s="7">
        <v>0</v>
      </c>
      <c r="EA50" s="7">
        <v>0.61993873211520489</v>
      </c>
      <c r="EB50" s="7">
        <v>0</v>
      </c>
      <c r="EC50" s="7">
        <v>0</v>
      </c>
      <c r="ED50" s="7">
        <v>0</v>
      </c>
      <c r="EE50" s="7">
        <v>0</v>
      </c>
      <c r="EF50" s="7">
        <v>0</v>
      </c>
      <c r="EG50" s="7">
        <v>0</v>
      </c>
      <c r="EH50" s="7">
        <v>7.7695938255089702E-3</v>
      </c>
      <c r="EI50" s="7">
        <v>2.2113385651752301E-2</v>
      </c>
      <c r="EJ50" s="7">
        <v>0.16734977178548238</v>
      </c>
      <c r="EK50" s="7">
        <v>0.62825750425853089</v>
      </c>
      <c r="EL50" s="7">
        <v>0.17450974447872569</v>
      </c>
      <c r="EM50" s="7">
        <v>9.9428134242826025E-2</v>
      </c>
      <c r="EN50" s="7">
        <v>6.5722525369772508E-2</v>
      </c>
      <c r="EO50" s="7">
        <v>0.7337473720273896</v>
      </c>
      <c r="EP50" s="7">
        <v>8.6816898789292427E-2</v>
      </c>
      <c r="EQ50" s="7">
        <v>7.4051451257018397E-2</v>
      </c>
      <c r="ER50" s="7">
        <v>3.9661752556526569E-2</v>
      </c>
      <c r="ES50" s="7">
        <v>0.19370275963221076</v>
      </c>
      <c r="ET50" s="7">
        <v>0.29313089387503682</v>
      </c>
      <c r="EU50" s="6">
        <v>1252</v>
      </c>
      <c r="EV50" s="6">
        <v>0</v>
      </c>
      <c r="EW50" s="6">
        <v>1252</v>
      </c>
      <c r="EX50" s="6">
        <v>0</v>
      </c>
      <c r="EY50" s="6">
        <v>2682.2890239008784</v>
      </c>
      <c r="EZ50" s="6">
        <v>999.08705514712301</v>
      </c>
      <c r="FA50" s="6">
        <v>0</v>
      </c>
      <c r="FB50" s="6">
        <v>0</v>
      </c>
      <c r="FC50" s="6">
        <v>0</v>
      </c>
      <c r="FD50" s="6">
        <v>0</v>
      </c>
      <c r="FE50" s="6">
        <v>0</v>
      </c>
      <c r="FF50" s="6">
        <v>0</v>
      </c>
      <c r="FG50" s="6">
        <v>0</v>
      </c>
      <c r="FH50" s="6">
        <v>1173.7314824345283</v>
      </c>
      <c r="FI50" s="6">
        <v>1553.979606951239</v>
      </c>
      <c r="FJ50" s="6">
        <v>2101.2110117447419</v>
      </c>
      <c r="FK50" s="6">
        <v>2674.200626159226</v>
      </c>
      <c r="FL50" s="6">
        <v>2034.7405995769202</v>
      </c>
      <c r="FM50" s="6">
        <v>2430.2890239008784</v>
      </c>
      <c r="FN50" s="6">
        <v>0</v>
      </c>
      <c r="FO50" s="6">
        <v>0</v>
      </c>
      <c r="FP50" s="6">
        <v>0</v>
      </c>
      <c r="FQ50" s="6">
        <v>0</v>
      </c>
      <c r="FR50" s="6">
        <v>0</v>
      </c>
      <c r="FS50" s="6">
        <v>0</v>
      </c>
      <c r="FT50" s="7">
        <v>0.70686910612496312</v>
      </c>
      <c r="FU50" s="7">
        <v>9.9428134242826025E-2</v>
      </c>
      <c r="FV50" s="7">
        <v>0.19370275963221076</v>
      </c>
      <c r="FW50" s="519">
        <v>1252</v>
      </c>
      <c r="FX50" s="519">
        <v>2682.2890239008784</v>
      </c>
      <c r="FY50" s="519">
        <v>999.08705514712301</v>
      </c>
      <c r="FZ50" s="6">
        <v>1837.5769068668776</v>
      </c>
      <c r="GA50" s="6">
        <v>1345.2210337097454</v>
      </c>
      <c r="GB50" s="6">
        <v>18639.778966290254</v>
      </c>
      <c r="GC50" s="7">
        <v>1.804905384453976E-2</v>
      </c>
      <c r="GD50" s="7">
        <v>1.732654351734295E-2</v>
      </c>
      <c r="GE50" s="7"/>
      <c r="GF50" s="7"/>
      <c r="GG50" s="7">
        <v>-4.0030371310315851E-2</v>
      </c>
      <c r="GH50" s="42">
        <v>1.6248551388384578</v>
      </c>
      <c r="GI50" s="6">
        <v>13644.779020329061</v>
      </c>
      <c r="GJ50" s="14">
        <v>0.50394797582841722</v>
      </c>
      <c r="GK50" s="14">
        <v>0.50887573065309755</v>
      </c>
      <c r="GL50" s="14">
        <v>0.49605202417158295</v>
      </c>
      <c r="GM50" s="14">
        <v>0.49112426934690268</v>
      </c>
      <c r="GO50" s="5">
        <v>343.14810671672558</v>
      </c>
      <c r="GP50" s="5">
        <v>319.26233518755981</v>
      </c>
      <c r="GQ50" s="5">
        <v>535.04305713031317</v>
      </c>
      <c r="GR50" s="5">
        <v>410.15490233172511</v>
      </c>
      <c r="GS50" s="5">
        <v>339.42744393800166</v>
      </c>
      <c r="GT50" s="5">
        <v>293.4407446948278</v>
      </c>
      <c r="GU50" s="5">
        <v>258.04012322764959</v>
      </c>
      <c r="GV50" s="39" t="s">
        <v>392</v>
      </c>
      <c r="GW50" s="5">
        <v>492.625</v>
      </c>
      <c r="GX50" s="5">
        <v>369.46875</v>
      </c>
      <c r="GY50" s="5">
        <v>295.57499999999999</v>
      </c>
      <c r="GZ50" s="5">
        <v>246.3125</v>
      </c>
      <c r="HA50" s="5">
        <v>225.64278728199486</v>
      </c>
      <c r="HB50" s="39">
        <v>255.58665157853392</v>
      </c>
      <c r="HC50" s="5">
        <v>243.57431633731335</v>
      </c>
      <c r="HD50" s="5">
        <v>209.97154151845027</v>
      </c>
      <c r="HE50" s="5">
        <v>213.26381873929995</v>
      </c>
      <c r="HF50" s="5">
        <v>197.8048673321789</v>
      </c>
      <c r="HG50" s="5">
        <v>191.48221302196083</v>
      </c>
      <c r="HH50" s="39">
        <v>210.83154698501767</v>
      </c>
      <c r="HI50" s="16"/>
      <c r="HJ50" s="1">
        <f>INDEX(Input!$1:$1048576,HJ$10,$C50*2+6)</f>
        <v>0.36283185840707965</v>
      </c>
      <c r="HK50" s="1">
        <f>INDEX(Input!$1:$1048576,HK$10,$C50*2+6)</f>
        <v>0.46419951729686243</v>
      </c>
      <c r="HL50" s="1">
        <f>INDEX(Input!$1:$1048576,HL$10,$C50*2+6)</f>
        <v>0.17296862429605792</v>
      </c>
      <c r="HM50" s="19"/>
    </row>
    <row r="51" spans="1:221" s="26" customFormat="1" ht="15.75" thickBot="1">
      <c r="A51" s="117">
        <f t="shared" si="84"/>
        <v>2003</v>
      </c>
      <c r="B51" s="117">
        <f t="shared" si="60"/>
        <v>3</v>
      </c>
      <c r="C51" s="117">
        <f t="shared" si="76"/>
        <v>2</v>
      </c>
      <c r="D51" s="117" t="s">
        <v>568</v>
      </c>
      <c r="E51" s="115">
        <f>INDEX(Input!$1:$1048576,E$10,$C51*2+6)</f>
        <v>1000</v>
      </c>
      <c r="F51" s="115">
        <f>INDEX(Input!$1:$1048576,F$10,$C51*2+6)</f>
        <v>0</v>
      </c>
      <c r="G51" s="115">
        <f>INDEX(Input!$1:$1048576,G$10,$C51*2+6)</f>
        <v>0</v>
      </c>
      <c r="H51" s="115">
        <f>INDEX(Input!$1:$1048576,H$10,$C51*2+6)</f>
        <v>0</v>
      </c>
      <c r="I51" s="118">
        <f>INDEX(Input!$1:$1048576,I$10,$C51*2+6)</f>
        <v>0.7</v>
      </c>
      <c r="J51" s="118" t="str">
        <f>INDEX(Input!$1:$1048576,J$10,$C51*2+6)</f>
        <v>Market</v>
      </c>
      <c r="K51" s="118" t="str">
        <f>INDEX(Input!$1:$1048576,K$10,$C51*2+6)</f>
        <v>Market</v>
      </c>
      <c r="L51" s="118" t="str">
        <f>INDEX(Input!$1:$1048576,L$10,$C51*2+6)</f>
        <v>Market</v>
      </c>
      <c r="M51" s="118" t="str">
        <f>INDEX(Input!$1:$1048576,M$10,$C51*2+6)</f>
        <v>Market</v>
      </c>
      <c r="N51" s="118" t="str">
        <f>INDEX(Input!$1:$1048576,N$10,$C51*2+6)</f>
        <v>Market</v>
      </c>
      <c r="O51" s="118" t="str">
        <f>INDEX(Input!$1:$1048576,O$10,$C51*2+6)</f>
        <v>Market</v>
      </c>
      <c r="P51" s="118" t="str">
        <f>INDEX(Input!$1:$1048576,P$10,$C51*2+6)</f>
        <v>N</v>
      </c>
      <c r="Q51" s="30">
        <f>INDEX(Input!$1:$1048576,Q$10,$C51*2+6)</f>
        <v>0</v>
      </c>
      <c r="R51" s="383">
        <f>INDEX(Input!$1:$1048576,R$10,$C51*2+6)</f>
        <v>0</v>
      </c>
      <c r="S51" s="383">
        <f>INDEX(Input!$1:$1048576,S$10,$C51*2+6)</f>
        <v>0</v>
      </c>
      <c r="T51" s="383">
        <f>INDEX(Input!$1:$1048576,T$10,$C51*2+6)</f>
        <v>0</v>
      </c>
      <c r="U51" s="383">
        <f>INDEX(Input!$1:$1048576,U$10,$C51*2+6)</f>
        <v>0</v>
      </c>
      <c r="V51" s="383">
        <f>INDEX(Input!$1:$1048576,V$10,$C51*2+6)</f>
        <v>1.9E-2</v>
      </c>
      <c r="W51" s="383">
        <f>INDEX(Input!$1:$1048576,W$10,$C51*2+6)</f>
        <v>3.9E-2</v>
      </c>
      <c r="X51" s="118" t="str">
        <f>INDEX(Input!$1:$1048576,X$10,$C51*2+6)</f>
        <v>Y</v>
      </c>
      <c r="Y51" s="520">
        <f>Y49+1000</f>
        <v>1249.2400601676641</v>
      </c>
      <c r="Z51" s="30">
        <f>INDEX(Input!$1:$1048576,Z$10,$C51*2+6)</f>
        <v>0</v>
      </c>
      <c r="AA51" s="115">
        <f>INDEX(Input!$1:$1048576,AA$10,$C51*2+6)</f>
        <v>1000</v>
      </c>
      <c r="AB51" s="118">
        <f>INDEX(Input!$1:$1048576,AB$10,$C51*2+6)</f>
        <v>0.27</v>
      </c>
      <c r="AC51" s="115">
        <f>INDEX(Input!$1:$1048576,AC$10,$C51*2+6)</f>
        <v>1000</v>
      </c>
      <c r="AD51" s="118">
        <f>INDEX(Input!$1:$1048576,AD$10,$C51*2+6)</f>
        <v>0.27</v>
      </c>
      <c r="AE51" s="115">
        <f>INDEX(Input!$1:$1048576,AE$10,$C51*2+6)</f>
        <v>500</v>
      </c>
      <c r="AF51" s="118">
        <f>INDEX(Input!$1:$1048576,AF$10,$C51*2+6)</f>
        <v>4.8000000000000001E-2</v>
      </c>
      <c r="AG51" s="115">
        <f>INDEX(Input!$1:$1048576,AG$10,$C51*2+6)</f>
        <v>0</v>
      </c>
      <c r="AH51" s="118">
        <f>INDEX(Input!$1:$1048576,AH$10,$C51*2+6)</f>
        <v>0.94599999999999995</v>
      </c>
      <c r="AI51" s="115">
        <f>INDEX(Input!$1:$1048576,AI$10,$C51*2+6)</f>
        <v>0</v>
      </c>
      <c r="AJ51" s="118">
        <f>INDEX(Input!$1:$1048576,AJ$10,$C51*2+6)</f>
        <v>0.27</v>
      </c>
      <c r="AK51" s="150">
        <f>INDEX(Input!$1:$1048576,AK$10,$C50*2+6)+(Y51-VLOOKUP($C51*1000+1,$A:$HH,Y$9,FALSE))</f>
        <v>3633.7064759424488</v>
      </c>
      <c r="AL51" s="150">
        <f>INDEX(Input!$1:$1048576,AL$10,$C50*2+6)-(Y51-VLOOKUP($C51*1000+1,$A:$HH,Y$9,FALSE))/36</f>
        <v>3376.7722474367943</v>
      </c>
      <c r="AM51" s="32" t="str">
        <f t="shared" si="85"/>
        <v>std/std/std/std</v>
      </c>
      <c r="AN51" s="32" t="str">
        <f t="shared" si="86"/>
        <v>$0 + 0/0/0/1.9/3.9</v>
      </c>
      <c r="AO51" s="32" t="str">
        <f t="shared" si="87"/>
        <v>0/0/0/1.9/3.9</v>
      </c>
      <c r="AP51" s="32" t="str">
        <f t="shared" si="88"/>
        <v>0/0/1.9/3.9</v>
      </c>
      <c r="AQ51" s="150">
        <f t="shared" si="81"/>
        <v>294</v>
      </c>
      <c r="AR51" s="32" t="str">
        <f t="shared" si="82"/>
        <v>0/1.9</v>
      </c>
      <c r="AS51" s="302"/>
      <c r="AT51" s="3">
        <f t="shared" si="83"/>
        <v>6</v>
      </c>
      <c r="AU51" s="41" t="s">
        <v>121</v>
      </c>
      <c r="AV51" s="41" t="s">
        <v>116</v>
      </c>
      <c r="AW51" s="41" t="str">
        <f>INDEX(Input!$1:$1048576,AW$10,$C51*2+6)</f>
        <v>Kia</v>
      </c>
      <c r="AX51" s="41" t="str">
        <f>INDEX(Input!$1:$1048576,AX$10,$C51*2+6)</f>
        <v>Kia-LR - L2</v>
      </c>
      <c r="AY51" s="41" t="str">
        <f>IF(D51="Skip","",INDEX(Input!$1:$1048576,AY$10,$C51*2+6))</f>
        <v>Compact SUV (52)</v>
      </c>
      <c r="AZ51" s="41" t="str">
        <f>INDEX(Input!$1:$1048576,AZ$10,$C51*2+6)</f>
        <v>Kia Soul</v>
      </c>
      <c r="BA51" s="3">
        <f>INDEX(Input!$1:$1048576,BA$10,$C51*2+6)</f>
        <v>2020</v>
      </c>
      <c r="BB51" s="128">
        <f>INDEX(Input!$1:$1048576,BB$10,$C51*2+6)</f>
        <v>1</v>
      </c>
      <c r="BC51" s="128">
        <f>INDEX(Input!$1:$1048576,BC$10,$C51*2+6)</f>
        <v>0.7</v>
      </c>
      <c r="BD51" s="1">
        <f>INDEX(Input!$1:$1048576,BD$10,$C51*2+6)</f>
        <v>4.4999999999999998E-2</v>
      </c>
      <c r="BE51" s="1">
        <f>INDEX(Input!$1:$1048576,BE$10,$C51*2+6)</f>
        <v>4.4999999999999998E-2</v>
      </c>
      <c r="BF51" s="1">
        <f>INDEX(Input!$1:$1048576,BF$10,$C51*2+6)</f>
        <v>0.05</v>
      </c>
      <c r="BG51" s="1">
        <f>INDEX(Input!$1:$1048576,BG$10,$C51*2+6)</f>
        <v>5.45E-2</v>
      </c>
      <c r="BH51" s="1">
        <f>INDEX(Input!$1:$1048576,BH$10,$C51*2+6)</f>
        <v>5.45E-2</v>
      </c>
      <c r="BI51" s="1">
        <f>INDEX(Input!$1:$1048576,BI$10,$C51*2+6)</f>
        <v>0.05</v>
      </c>
      <c r="BJ51" s="1">
        <f>INDEX(Input!$1:$1048576,BJ$10,$C51*2+6)</f>
        <v>0.05</v>
      </c>
      <c r="BK51" s="1">
        <f>INDEX(Input!$1:$1048576,BK$10,$C51*2+6)</f>
        <v>0.05</v>
      </c>
      <c r="BL51" s="1">
        <f>INDEX(Input!$1:$1048576,BL$10,$C51*2+6)</f>
        <v>5.5E-2</v>
      </c>
      <c r="BM51" s="1">
        <f>INDEX(Input!$1:$1048576,BM$10,$C51*2+6)</f>
        <v>0.06</v>
      </c>
      <c r="BN51" s="1">
        <f>INDEX(Input!$1:$1048576,BN$10,$C51*2+6)</f>
        <v>4.4999999999999998E-2</v>
      </c>
      <c r="BO51" s="1">
        <f>INDEX(Input!$1:$1048576,BO$10,$C51*2+6)</f>
        <v>4.4999999999999998E-2</v>
      </c>
      <c r="BP51" s="1">
        <f>INDEX(Input!$1:$1048576,BP$10,$C51*2+6)</f>
        <v>0.05</v>
      </c>
      <c r="BQ51" s="1">
        <f>INDEX(Input!$1:$1048576,BQ$10,$C51*2+6)</f>
        <v>5.45E-2</v>
      </c>
      <c r="BR51" s="1">
        <f>INDEX(Input!$1:$1048576,BR$10,$C51*2+6)</f>
        <v>5.45E-2</v>
      </c>
      <c r="BS51" s="1">
        <f>INDEX(Input!$1:$1048576,BS$10,$C51*2+6)</f>
        <v>0.05</v>
      </c>
      <c r="BT51" s="1">
        <f>INDEX(Input!$1:$1048576,BT$10,$C51*2+6)</f>
        <v>0.05</v>
      </c>
      <c r="BU51" s="1">
        <f>INDEX(Input!$1:$1048576,BU$10,$C51*2+6)</f>
        <v>0.05</v>
      </c>
      <c r="BV51" s="1">
        <f>INDEX(Input!$1:$1048576,BV$10,$C51*2+6)</f>
        <v>5.5E-2</v>
      </c>
      <c r="BW51" s="1">
        <f>INDEX(Input!$1:$1048576,BW$10,$C51*2+6)</f>
        <v>0.06</v>
      </c>
      <c r="BX51" s="304">
        <f>INDEX(Input!$1:$1048576,BX$10,$C51*2+6)</f>
        <v>19985</v>
      </c>
      <c r="BY51" s="20">
        <f>INDEX(Input!$1:$1048576,BY$10,$C51*2+6)</f>
        <v>0.1</v>
      </c>
      <c r="BZ51" s="20">
        <f>INDEX(Input!$1:$1048576,BZ$10,$C51*2+6)</f>
        <v>0.1</v>
      </c>
      <c r="CA51" s="20">
        <f>INDEX(Input!$1:$1048576,CA$10,$C51*2+6)</f>
        <v>0.1</v>
      </c>
      <c r="CB51" s="20">
        <f>INDEX(Input!$1:$1048576,CB$10,$C51*2+6)</f>
        <v>0.1</v>
      </c>
      <c r="CC51" s="20">
        <f>INDEX(Input!$1:$1048576,CC$10,$C51*2+6)</f>
        <v>0.1</v>
      </c>
      <c r="CD51" s="384">
        <f>INDEX(Input!$1:$1048576,CD$10,$C51*2+6)</f>
        <v>0.1</v>
      </c>
      <c r="CE51" s="384">
        <f>INDEX(Input!$1:$1048576,CE$10,$C51*2+6)</f>
        <v>0.1</v>
      </c>
      <c r="CF51" s="384">
        <f>INDEX(Input!$1:$1048576,CF$10,$C51*2+6)</f>
        <v>0.1</v>
      </c>
      <c r="CG51" s="384">
        <f>INDEX(Input!$1:$1048576,CG$10,$C51*2+6)</f>
        <v>0.1</v>
      </c>
      <c r="CH51" s="384">
        <f>INDEX(Input!$1:$1048576,CH$10,$C51*2+6)</f>
        <v>0.1</v>
      </c>
      <c r="CI51" s="304">
        <f t="shared" si="61"/>
        <v>1270</v>
      </c>
      <c r="CJ51" s="16" t="str">
        <f>INDEX(Input!$1:$1048576,CJ$10,$C51*2+6)</f>
        <v>N</v>
      </c>
      <c r="CK51" s="1" t="str">
        <f t="shared" si="62"/>
        <v>Market</v>
      </c>
      <c r="CL51" s="1" t="str">
        <f t="shared" si="63"/>
        <v>Market</v>
      </c>
      <c r="CM51" s="1" t="str">
        <f t="shared" si="64"/>
        <v>Market</v>
      </c>
      <c r="CN51" s="1" t="str">
        <f t="shared" si="65"/>
        <v>Market</v>
      </c>
      <c r="CO51" s="1" t="str">
        <f t="shared" si="66"/>
        <v>Market</v>
      </c>
      <c r="CP51" s="304">
        <f t="shared" si="67"/>
        <v>0</v>
      </c>
      <c r="CQ51" s="1">
        <f t="shared" si="68"/>
        <v>0</v>
      </c>
      <c r="CR51" s="1">
        <f t="shared" si="69"/>
        <v>0</v>
      </c>
      <c r="CS51" s="1">
        <f t="shared" si="70"/>
        <v>0</v>
      </c>
      <c r="CT51" s="1">
        <f t="shared" si="71"/>
        <v>0</v>
      </c>
      <c r="CU51" s="1">
        <f t="shared" si="72"/>
        <v>1.9E-2</v>
      </c>
      <c r="CV51" s="304">
        <f t="shared" si="73"/>
        <v>1519.2400601676641</v>
      </c>
      <c r="CW51" s="20" t="s">
        <v>122</v>
      </c>
      <c r="CX51" s="20" t="s">
        <v>122</v>
      </c>
      <c r="CY51" s="20" t="s">
        <v>122</v>
      </c>
      <c r="CZ51" s="20" t="s">
        <v>122</v>
      </c>
      <c r="DA51" s="20" t="s">
        <v>122</v>
      </c>
      <c r="DB51" s="503">
        <f t="shared" si="74"/>
        <v>24</v>
      </c>
      <c r="DC51" s="127">
        <v>0</v>
      </c>
      <c r="DD51" s="127">
        <v>0</v>
      </c>
      <c r="DE51" s="127">
        <v>0</v>
      </c>
      <c r="DF51" s="127">
        <v>0</v>
      </c>
      <c r="DG51" s="127">
        <v>0</v>
      </c>
      <c r="DH51" s="127">
        <v>0</v>
      </c>
      <c r="DI51" s="127">
        <v>0</v>
      </c>
      <c r="DJ51" s="127">
        <v>0</v>
      </c>
      <c r="DK51" s="127">
        <v>0</v>
      </c>
      <c r="DL51" s="127">
        <v>0</v>
      </c>
      <c r="DM51" s="304">
        <f>INDEX(Input!$1:$1048576,DM$10,$C51*2+6)</f>
        <v>21036.84210526316</v>
      </c>
      <c r="DN51" s="20">
        <v>0</v>
      </c>
      <c r="DO51" s="20">
        <v>0</v>
      </c>
      <c r="DP51" s="20">
        <v>0</v>
      </c>
      <c r="DQ51" s="20">
        <v>0</v>
      </c>
      <c r="DR51" s="20">
        <v>0</v>
      </c>
      <c r="DS51" s="20">
        <f>INDEX(Input!$1:$1048576,DS$10,$C51*2+6)</f>
        <v>0.6</v>
      </c>
      <c r="DT51" s="20">
        <f>INDEX(Input!$1:$1048576,DT$10,$C51*2+6)</f>
        <v>0.55000000000000004</v>
      </c>
      <c r="DU51" s="20">
        <f>INDEX(Input!$1:$1048576,DU$10,$C51*2+6)</f>
        <v>0.52</v>
      </c>
      <c r="DV51" s="20">
        <f>INDEX(Input!$1:$1048576,DV$10,$C51*2+6)</f>
        <v>0.5</v>
      </c>
      <c r="DW51" s="20">
        <f>INDEX(Input!$1:$1048576,DW$10,$C51*2+6)</f>
        <v>0.45</v>
      </c>
      <c r="DX51" s="20"/>
      <c r="DY51" s="7">
        <v>8.2057982512699662E-2</v>
      </c>
      <c r="DZ51" s="7">
        <v>0</v>
      </c>
      <c r="EA51" s="7">
        <v>0.58550810849682988</v>
      </c>
      <c r="EB51" s="7">
        <v>0</v>
      </c>
      <c r="EC51" s="7">
        <v>0</v>
      </c>
      <c r="ED51" s="7">
        <v>0</v>
      </c>
      <c r="EE51" s="7">
        <v>0</v>
      </c>
      <c r="EF51" s="7">
        <v>0</v>
      </c>
      <c r="EG51" s="7">
        <v>0</v>
      </c>
      <c r="EH51" s="7">
        <v>7.7609350435890968E-3</v>
      </c>
      <c r="EI51" s="7">
        <v>2.2083723543666341E-2</v>
      </c>
      <c r="EJ51" s="7">
        <v>0.16723093691053076</v>
      </c>
      <c r="EK51" s="7">
        <v>0.62838435939440274</v>
      </c>
      <c r="EL51" s="7">
        <v>0.17454004510781043</v>
      </c>
      <c r="EM51" s="7">
        <v>9.3894281368768776E-2</v>
      </c>
      <c r="EN51" s="7">
        <v>6.7534728178801337E-2</v>
      </c>
      <c r="EO51" s="7">
        <v>0.748278503443914</v>
      </c>
      <c r="EP51" s="7">
        <v>7.9433908191045843E-2</v>
      </c>
      <c r="EQ51" s="7">
        <v>6.7724876057236691E-2</v>
      </c>
      <c r="ER51" s="7">
        <v>3.7027984129002267E-2</v>
      </c>
      <c r="ES51" s="7">
        <v>0.23853962762170164</v>
      </c>
      <c r="ET51" s="7">
        <v>0.33243390899047048</v>
      </c>
      <c r="EU51" s="6">
        <v>1252</v>
      </c>
      <c r="EV51" s="6">
        <v>0</v>
      </c>
      <c r="EW51" s="6">
        <v>1252</v>
      </c>
      <c r="EX51" s="6">
        <v>0</v>
      </c>
      <c r="EY51" s="6">
        <v>2682.3839399448461</v>
      </c>
      <c r="EZ51" s="6">
        <v>1499.087055147123</v>
      </c>
      <c r="FA51" s="6">
        <v>0</v>
      </c>
      <c r="FB51" s="6">
        <v>0</v>
      </c>
      <c r="FC51" s="6">
        <v>0</v>
      </c>
      <c r="FD51" s="6">
        <v>0</v>
      </c>
      <c r="FE51" s="6">
        <v>0</v>
      </c>
      <c r="FF51" s="6">
        <v>0</v>
      </c>
      <c r="FG51" s="6">
        <v>0</v>
      </c>
      <c r="FH51" s="6">
        <v>1173.728980651814</v>
      </c>
      <c r="FI51" s="6">
        <v>1553.9796069512402</v>
      </c>
      <c r="FJ51" s="6">
        <v>2101.2110117447414</v>
      </c>
      <c r="FK51" s="6">
        <v>2674.2006261592278</v>
      </c>
      <c r="FL51" s="6">
        <v>2034.7405995769204</v>
      </c>
      <c r="FM51" s="6">
        <v>2430.3839399448461</v>
      </c>
      <c r="FN51" s="6">
        <v>0</v>
      </c>
      <c r="FO51" s="6">
        <v>0</v>
      </c>
      <c r="FP51" s="6">
        <v>0</v>
      </c>
      <c r="FQ51" s="6">
        <v>0</v>
      </c>
      <c r="FR51" s="6">
        <v>0</v>
      </c>
      <c r="FS51" s="6">
        <v>0</v>
      </c>
      <c r="FT51" s="7">
        <v>0.66756609100952957</v>
      </c>
      <c r="FU51" s="7">
        <v>9.3894281368768776E-2</v>
      </c>
      <c r="FV51" s="7">
        <v>0.23853962762170164</v>
      </c>
      <c r="FW51" s="519">
        <v>1252</v>
      </c>
      <c r="FX51" s="519">
        <v>2682.3839399448461</v>
      </c>
      <c r="FY51" s="519">
        <v>1499.087055147123</v>
      </c>
      <c r="FZ51" s="6">
        <v>1837.5769068668776</v>
      </c>
      <c r="GA51" s="6">
        <v>1445.244926247487</v>
      </c>
      <c r="GB51" s="6">
        <v>18539.755073752513</v>
      </c>
      <c r="GC51" s="7">
        <v>1.804905384453976E-2</v>
      </c>
      <c r="GD51" s="7">
        <v>1.7559766159692541E-2</v>
      </c>
      <c r="GE51" s="7"/>
      <c r="GF51" s="7"/>
      <c r="GG51" s="7">
        <v>-2.7108771964533696E-2</v>
      </c>
      <c r="GH51" s="42">
        <v>1.3808938207277757</v>
      </c>
      <c r="GI51" s="6">
        <v>15917.755194609219</v>
      </c>
      <c r="GJ51" s="14">
        <v>0.50394797582841699</v>
      </c>
      <c r="GK51" s="14">
        <v>0.50887573065309732</v>
      </c>
      <c r="GL51" s="14">
        <v>0.49605202417158256</v>
      </c>
      <c r="GM51" s="14">
        <v>0.49112426934690234</v>
      </c>
      <c r="GO51" s="5">
        <v>343.14810671672558</v>
      </c>
      <c r="GP51" s="5">
        <v>319.26233518755981</v>
      </c>
      <c r="GQ51" s="5">
        <v>535.04305713031317</v>
      </c>
      <c r="GR51" s="5">
        <v>410.15490233172511</v>
      </c>
      <c r="GS51" s="5">
        <v>339.42744393800166</v>
      </c>
      <c r="GT51" s="5">
        <v>293.4407446948278</v>
      </c>
      <c r="GU51" s="5">
        <v>258.04012322764959</v>
      </c>
      <c r="GV51" s="39" t="s">
        <v>392</v>
      </c>
      <c r="GW51" s="5">
        <v>492.625</v>
      </c>
      <c r="GX51" s="5">
        <v>369.46875</v>
      </c>
      <c r="GY51" s="5">
        <v>295.57499999999999</v>
      </c>
      <c r="GZ51" s="5">
        <v>246.3125</v>
      </c>
      <c r="HA51" s="5">
        <v>225.64278728199486</v>
      </c>
      <c r="HB51" s="39">
        <v>255.57438532998748</v>
      </c>
      <c r="HC51" s="5">
        <v>221.69931633731335</v>
      </c>
      <c r="HD51" s="5">
        <v>195.04098596289469</v>
      </c>
      <c r="HE51" s="5">
        <v>199.40163925212045</v>
      </c>
      <c r="HF51" s="5">
        <v>186.2423673321789</v>
      </c>
      <c r="HG51" s="5">
        <v>181.89887968862749</v>
      </c>
      <c r="HH51" s="39">
        <v>196.10522173267577</v>
      </c>
      <c r="HI51" s="16"/>
      <c r="HJ51" s="1">
        <f>INDEX(Input!$1:$1048576,HJ$10,$C51*2+6)</f>
        <v>0.36283185840707965</v>
      </c>
      <c r="HK51" s="1">
        <f>INDEX(Input!$1:$1048576,HK$10,$C51*2+6)</f>
        <v>0.46419951729686243</v>
      </c>
      <c r="HL51" s="1">
        <f>INDEX(Input!$1:$1048576,HL$10,$C51*2+6)</f>
        <v>0.17296862429605792</v>
      </c>
      <c r="HM51" s="19"/>
    </row>
    <row r="52" spans="1:221" s="60" customFormat="1" ht="15.75" thickBot="1">
      <c r="A52" s="31">
        <f>C52*1000+B52</f>
        <v>3001</v>
      </c>
      <c r="B52" s="31">
        <f t="shared" si="60"/>
        <v>1</v>
      </c>
      <c r="C52" s="508">
        <v>3</v>
      </c>
      <c r="D52" s="31" t="s">
        <v>566</v>
      </c>
      <c r="E52" s="365">
        <f>INDEX(Input!$1:$1048576,E$10,$C52*2+MIN($B52,2)+5)</f>
        <v>1000</v>
      </c>
      <c r="F52" s="366">
        <f>INDEX(Input!$1:$1048576,F$10,$C52*2+MIN($B52,2)+5)</f>
        <v>0</v>
      </c>
      <c r="G52" s="49">
        <f>INDEX(Input!$1:$1048576,G$10,$C52*2+MIN($B52,2)+5)</f>
        <v>0</v>
      </c>
      <c r="H52" s="49">
        <f>INDEX(Input!$1:$1048576,H$10,$C52*2+MIN($B52,2)+5)</f>
        <v>0</v>
      </c>
      <c r="I52" s="367">
        <f>INDEX(Input!$1:$1048576,I$10,$C52*2+MIN($B52,2)+5)</f>
        <v>0.7</v>
      </c>
      <c r="J52" s="367" t="str">
        <f>INDEX(Input!$1:$1048576,J$10,$C52*2+MIN($B52,2)+5)</f>
        <v>Market</v>
      </c>
      <c r="K52" s="367" t="str">
        <f>INDEX(Input!$1:$1048576,K$10,$C52*2+MIN($B52,2)+5)</f>
        <v>Market</v>
      </c>
      <c r="L52" s="367" t="str">
        <f>INDEX(Input!$1:$1048576,L$10,$C52*2+MIN($B52,2)+5)</f>
        <v>Market</v>
      </c>
      <c r="M52" s="367" t="str">
        <f>INDEX(Input!$1:$1048576,M$10,$C52*2+MIN($B52,2)+5)</f>
        <v>Market</v>
      </c>
      <c r="N52" s="367" t="str">
        <f>INDEX(Input!$1:$1048576,N$10,$C52*2+MIN($B52,2)+5)</f>
        <v>Market</v>
      </c>
      <c r="O52" s="367" t="str">
        <f>INDEX(Input!$1:$1048576,O$10,$C52*2+MIN($B52,2)+5)</f>
        <v>Market</v>
      </c>
      <c r="P52" s="367" t="str">
        <f>INDEX(Input!$1:$1048576,P$10,$C52*2+MIN($B52,2)+5)</f>
        <v>N</v>
      </c>
      <c r="Q52" s="47">
        <f>INDEX(Input!$1:$1048576,Q$10,$C52*2+MIN($B52,2)+5)</f>
        <v>0</v>
      </c>
      <c r="R52" s="38">
        <f>INDEX(Input!$1:$1048576,R$10,$C52*2+MIN($B52,2)+5)</f>
        <v>0</v>
      </c>
      <c r="S52" s="38">
        <f>INDEX(Input!$1:$1048576,S$10,$C52*2+MIN($B52,2)+5)</f>
        <v>0</v>
      </c>
      <c r="T52" s="38">
        <f>INDEX(Input!$1:$1048576,T$10,$C52*2+MIN($B52,2)+5)</f>
        <v>0</v>
      </c>
      <c r="U52" s="38">
        <f>INDEX(Input!$1:$1048576,U$10,$C52*2+MIN($B52,2)+5)</f>
        <v>0</v>
      </c>
      <c r="V52" s="38">
        <f>INDEX(Input!$1:$1048576,V$10,$C52*2+MIN($B52,2)+5)</f>
        <v>1.9E-2</v>
      </c>
      <c r="W52" s="38">
        <f>INDEX(Input!$1:$1048576,W$10,$C52*2+MIN($B52,2)+5)</f>
        <v>3.9E-2</v>
      </c>
      <c r="X52" s="367" t="str">
        <f>INDEX(Input!$1:$1048576,X$10,$C52*2+MIN($B52,2)+5)</f>
        <v>Y</v>
      </c>
      <c r="Y52" s="517">
        <f>HM23-500</f>
        <v>1150.7751966918627</v>
      </c>
      <c r="Z52" s="49">
        <f>INDEX(Input!$1:$1048576,Z$10,$C52*2+MIN($B52,2)+5)</f>
        <v>0</v>
      </c>
      <c r="AA52" s="49">
        <f>INDEX(Input!$1:$1048576,AA$10,$C52*2+MIN($B52,2)+5)</f>
        <v>1000</v>
      </c>
      <c r="AB52" s="367">
        <f>INDEX(Input!$1:$1048576,AB$10,$C52*2+MIN($B52,2)+5)</f>
        <v>0.27</v>
      </c>
      <c r="AC52" s="49">
        <f>INDEX(Input!$1:$1048576,AC$10,$C52*2+MIN($B52,2)+5)</f>
        <v>1000</v>
      </c>
      <c r="AD52" s="367">
        <f>INDEX(Input!$1:$1048576,AD$10,$C52*2+MIN($B52,2)+5)</f>
        <v>0.27</v>
      </c>
      <c r="AE52" s="49">
        <f>INDEX(Input!$1:$1048576,AE$10,$C52*2+MIN($B52,2)+5)</f>
        <v>500</v>
      </c>
      <c r="AF52" s="367">
        <f>INDEX(Input!$1:$1048576,AF$10,$C52*2+MIN($B52,2)+5)</f>
        <v>0.68200000000000005</v>
      </c>
      <c r="AG52" s="49">
        <f>INDEX(Input!$1:$1048576,AG$10,$C52*2+MIN($B52,2)+5)</f>
        <v>0</v>
      </c>
      <c r="AH52" s="367">
        <f>INDEX(Input!$1:$1048576,AH$10,$C52*2+MIN($B52,2)+5)</f>
        <v>1</v>
      </c>
      <c r="AI52" s="49">
        <f>INDEX(Input!$1:$1048576,AI$10,$C52*2+MIN($B52,2)+5)</f>
        <v>0</v>
      </c>
      <c r="AJ52" s="367">
        <f>INDEX(Input!$1:$1048576,AJ$10,$C52*2+MIN($B52,2)+5)</f>
        <v>0.27</v>
      </c>
      <c r="AK52" s="298">
        <f>INDEX(Input!$1:$1048576,AK$10,$C52*2+MIN($B52,2)+5)</f>
        <v>3383.7164157747857</v>
      </c>
      <c r="AL52" s="49">
        <f>INDEX(Input!$1:$1048576,AL$10,$C52*2+MIN($B52,2)+5)</f>
        <v>3383.7164157747857</v>
      </c>
      <c r="AM52" s="46" t="str">
        <f>IF(K52="market","std",ROUND(K52*1000,0)/10)&amp;"/"&amp;IF(L52="market","std",ROUND(L52*1000,0)/10)&amp;"/"&amp;IF(M52="market","std",ROUND(M52*1000,0)/10)&amp;"/"&amp;IF(N52="market","std",ROUND(N52*1000,0)/10)&amp;IF(P52="N","","/"&amp;IF(O52="market","std",ROUND(O52*1000,0)/10))</f>
        <v>std/std/std/std</v>
      </c>
      <c r="AN52" s="46" t="str">
        <f>"$"&amp;ROUND(Q52,0)&amp;" + "&amp;IF(S52="market","std",ROUND(S52*1000,0)/10)&amp;"/"&amp;IF(T52="market","std",ROUND(T52*1000,0)/10)&amp;"/"&amp;IF(U52="market","std",ROUND(U52*1000,0)/10)&amp;"/"&amp;IF(V52="market","std",ROUND(V52*1000,0)/10)&amp;IF(X52="N","","/"&amp;IF(W52="market","std",ROUND(W52*1000,0)/10))</f>
        <v>$0 + 0/0/0/1.9/3.9</v>
      </c>
      <c r="AO52" s="44" t="str">
        <f>IF(S52="market","std",ROUND(S52*1000,0)/10)&amp;"/"&amp;IF(T52="market","std",ROUND(T52*1000,0)/10)&amp;"/"&amp;IF(U52="market","std",ROUND(U52*1000,0)/10)&amp;"/"&amp;IF(V52="market","std",ROUND(V52*1000,0)/10)&amp;IF(X52="N","","/"&amp;IF(W52="market","std",ROUND(W52*1000,0)/10))</f>
        <v>0/0/0/1.9/3.9</v>
      </c>
      <c r="AP52" s="44" t="str">
        <f>IF(T52="market","std",ROUND(T52*1000,0)/10)&amp;"/"&amp;IF(U52="market","std",ROUND(U52*1000,0)/10)&amp;"/"&amp;IF(V52="market","std",ROUND(V52*1000,0)/10)&amp;IF(X52="N","","/"&amp;IF(W52="market","std",ROUND(W52*1000,0)/10))</f>
        <v>0/0/1.9/3.9</v>
      </c>
      <c r="AQ52" s="49">
        <f t="shared" si="81"/>
        <v>611</v>
      </c>
      <c r="AR52" s="44" t="str">
        <f t="shared" si="82"/>
        <v>0/1.9</v>
      </c>
      <c r="AS52" s="368"/>
      <c r="AT52" s="50">
        <f t="shared" si="83"/>
        <v>7</v>
      </c>
      <c r="AU52" s="45" t="s">
        <v>121</v>
      </c>
      <c r="AV52" s="45" t="s">
        <v>116</v>
      </c>
      <c r="AW52" s="45" t="str">
        <f>INDEX(Input!$1:$1048576,AW$10,$C52*2+6)</f>
        <v>Kia</v>
      </c>
      <c r="AX52" s="45" t="str">
        <f>INDEX(Input!$1:$1048576,AX$10,$C52*2+6)</f>
        <v>Kia-LR - L3</v>
      </c>
      <c r="AY52" s="10" t="str">
        <f>IF(D52="Skip","",INDEX(Input!$1:$1048576,AY$10,$C52*2+6))</f>
        <v>Compact SUV (52)</v>
      </c>
      <c r="AZ52" s="45" t="str">
        <f>INDEX(Input!$1:$1048576,AZ$10,$C52*2+6)</f>
        <v>Kia Soul</v>
      </c>
      <c r="BA52" s="50">
        <f>INDEX(Input!$1:$1048576,BA$10,$C52*2+6)</f>
        <v>2020</v>
      </c>
      <c r="BB52" s="367">
        <f>INDEX(Input!$1:$1048576,BB$10,$C52*2+6)</f>
        <v>1</v>
      </c>
      <c r="BC52" s="367">
        <f>INDEX(Input!$1:$1048576,BC$10,$C52*2+6)</f>
        <v>0.7</v>
      </c>
      <c r="BD52" s="38">
        <f>INDEX(Input!$1:$1048576,BD$10,$C52*2+6)</f>
        <v>4.4999999999999998E-2</v>
      </c>
      <c r="BE52" s="38">
        <f>INDEX(Input!$1:$1048576,BE$10,$C52*2+6)</f>
        <v>4.4999999999999998E-2</v>
      </c>
      <c r="BF52" s="38">
        <f>INDEX(Input!$1:$1048576,BF$10,$C52*2+6)</f>
        <v>0.05</v>
      </c>
      <c r="BG52" s="38">
        <f>INDEX(Input!$1:$1048576,BG$10,$C52*2+6)</f>
        <v>5.45E-2</v>
      </c>
      <c r="BH52" s="38">
        <f>INDEX(Input!$1:$1048576,BH$10,$C52*2+6)</f>
        <v>5.45E-2</v>
      </c>
      <c r="BI52" s="38">
        <f>INDEX(Input!$1:$1048576,BI$10,$C52*2+6)</f>
        <v>0.05</v>
      </c>
      <c r="BJ52" s="38">
        <f>INDEX(Input!$1:$1048576,BJ$10,$C52*2+6)</f>
        <v>0.05</v>
      </c>
      <c r="BK52" s="38">
        <f>INDEX(Input!$1:$1048576,BK$10,$C52*2+6)</f>
        <v>0.05</v>
      </c>
      <c r="BL52" s="38">
        <f>INDEX(Input!$1:$1048576,BL$10,$C52*2+6)</f>
        <v>5.5E-2</v>
      </c>
      <c r="BM52" s="38">
        <f>INDEX(Input!$1:$1048576,BM$10,$C52*2+6)</f>
        <v>0.06</v>
      </c>
      <c r="BN52" s="38">
        <f>INDEX(Input!$1:$1048576,BN$10,$C52*2+6)</f>
        <v>4.4999999999999998E-2</v>
      </c>
      <c r="BO52" s="38">
        <f>INDEX(Input!$1:$1048576,BO$10,$C52*2+6)</f>
        <v>4.4999999999999998E-2</v>
      </c>
      <c r="BP52" s="38">
        <f>INDEX(Input!$1:$1048576,BP$10,$C52*2+6)</f>
        <v>0.05</v>
      </c>
      <c r="BQ52" s="38">
        <f>INDEX(Input!$1:$1048576,BQ$10,$C52*2+6)</f>
        <v>5.45E-2</v>
      </c>
      <c r="BR52" s="38">
        <f>INDEX(Input!$1:$1048576,BR$10,$C52*2+6)</f>
        <v>5.45E-2</v>
      </c>
      <c r="BS52" s="38">
        <f>INDEX(Input!$1:$1048576,BS$10,$C52*2+6)</f>
        <v>0.05</v>
      </c>
      <c r="BT52" s="38">
        <f>INDEX(Input!$1:$1048576,BT$10,$C52*2+6)</f>
        <v>0.05</v>
      </c>
      <c r="BU52" s="38">
        <f>INDEX(Input!$1:$1048576,BU$10,$C52*2+6)</f>
        <v>0.05</v>
      </c>
      <c r="BV52" s="38">
        <f>INDEX(Input!$1:$1048576,BV$10,$C52*2+6)</f>
        <v>5.5E-2</v>
      </c>
      <c r="BW52" s="38">
        <f>INDEX(Input!$1:$1048576,BW$10,$C52*2+6)</f>
        <v>0.06</v>
      </c>
      <c r="BX52" s="49">
        <f>INDEX(Input!$1:$1048576,BX$10,$C52*2+6)</f>
        <v>19985</v>
      </c>
      <c r="BY52" s="367">
        <f>INDEX(Input!$1:$1048576,BY$10,$C52*2+6)</f>
        <v>0.1</v>
      </c>
      <c r="BZ52" s="367">
        <f>INDEX(Input!$1:$1048576,BZ$10,$C52*2+6)</f>
        <v>0.1</v>
      </c>
      <c r="CA52" s="367">
        <f>INDEX(Input!$1:$1048576,CA$10,$C52*2+6)</f>
        <v>0.1</v>
      </c>
      <c r="CB52" s="367">
        <f>INDEX(Input!$1:$1048576,CB$10,$C52*2+6)</f>
        <v>0.1</v>
      </c>
      <c r="CC52" s="367">
        <f>INDEX(Input!$1:$1048576,CC$10,$C52*2+6)</f>
        <v>0.1</v>
      </c>
      <c r="CD52" s="367">
        <f>INDEX(Input!$1:$1048576,CD$10,$C52*2+6)</f>
        <v>0.1</v>
      </c>
      <c r="CE52" s="367">
        <f>INDEX(Input!$1:$1048576,CE$10,$C52*2+6)</f>
        <v>0.1</v>
      </c>
      <c r="CF52" s="367">
        <f>INDEX(Input!$1:$1048576,CF$10,$C52*2+6)</f>
        <v>0.1</v>
      </c>
      <c r="CG52" s="367">
        <f>INDEX(Input!$1:$1048576,CG$10,$C52*2+6)</f>
        <v>0.1</v>
      </c>
      <c r="CH52" s="48">
        <f>INDEX(Input!$1:$1048576,CH$10,$C52*2+6)</f>
        <v>0.1</v>
      </c>
      <c r="CI52" s="298">
        <f t="shared" si="61"/>
        <v>1270</v>
      </c>
      <c r="CJ52" s="46" t="str">
        <f>INDEX(Input!$1:$1048576,CJ$10,$C52*2+6)</f>
        <v>N</v>
      </c>
      <c r="CK52" s="38" t="str">
        <f t="shared" si="62"/>
        <v>Market</v>
      </c>
      <c r="CL52" s="38" t="str">
        <f t="shared" si="63"/>
        <v>Market</v>
      </c>
      <c r="CM52" s="38" t="str">
        <f t="shared" si="64"/>
        <v>Market</v>
      </c>
      <c r="CN52" s="38" t="str">
        <f t="shared" si="65"/>
        <v>Market</v>
      </c>
      <c r="CO52" s="38" t="str">
        <f t="shared" si="66"/>
        <v>Market</v>
      </c>
      <c r="CP52" s="49">
        <f t="shared" si="67"/>
        <v>0</v>
      </c>
      <c r="CQ52" s="38">
        <f t="shared" si="68"/>
        <v>0</v>
      </c>
      <c r="CR52" s="38">
        <f t="shared" si="69"/>
        <v>0</v>
      </c>
      <c r="CS52" s="38">
        <f t="shared" si="70"/>
        <v>0</v>
      </c>
      <c r="CT52" s="38">
        <f t="shared" si="71"/>
        <v>0</v>
      </c>
      <c r="CU52" s="38">
        <f t="shared" si="72"/>
        <v>1.9E-2</v>
      </c>
      <c r="CV52" s="49">
        <f t="shared" si="73"/>
        <v>1420.7751966918627</v>
      </c>
      <c r="CW52" s="22" t="s">
        <v>122</v>
      </c>
      <c r="CX52" s="22" t="s">
        <v>122</v>
      </c>
      <c r="CY52" s="22" t="s">
        <v>122</v>
      </c>
      <c r="CZ52" s="22" t="s">
        <v>122</v>
      </c>
      <c r="DA52" s="22" t="s">
        <v>122</v>
      </c>
      <c r="DB52" s="502">
        <f t="shared" si="74"/>
        <v>341</v>
      </c>
      <c r="DC52" s="29">
        <v>0</v>
      </c>
      <c r="DD52" s="29">
        <v>0</v>
      </c>
      <c r="DE52" s="29">
        <v>0</v>
      </c>
      <c r="DF52" s="49">
        <v>0</v>
      </c>
      <c r="DG52" s="49">
        <v>0</v>
      </c>
      <c r="DH52" s="49">
        <v>0</v>
      </c>
      <c r="DI52" s="49">
        <v>0</v>
      </c>
      <c r="DJ52" s="49">
        <v>0</v>
      </c>
      <c r="DK52" s="29">
        <v>0</v>
      </c>
      <c r="DL52" s="29">
        <v>0</v>
      </c>
      <c r="DM52" s="49">
        <f>INDEX(Input!$1:$1048576,DM$10,$C52*2+6)</f>
        <v>21036.84210526316</v>
      </c>
      <c r="DN52" s="367">
        <v>0</v>
      </c>
      <c r="DO52" s="367">
        <v>0</v>
      </c>
      <c r="DP52" s="367">
        <v>0</v>
      </c>
      <c r="DQ52" s="367">
        <v>0</v>
      </c>
      <c r="DR52" s="367">
        <v>0</v>
      </c>
      <c r="DS52" s="367">
        <f>INDEX(Input!$1:$1048576,DS$10,$C52*2+6)</f>
        <v>0.6</v>
      </c>
      <c r="DT52" s="367">
        <f>INDEX(Input!$1:$1048576,DT$10,$C52*2+6)</f>
        <v>0.55000000000000004</v>
      </c>
      <c r="DU52" s="367">
        <f>INDEX(Input!$1:$1048576,DU$10,$C52*2+6)</f>
        <v>0.52</v>
      </c>
      <c r="DV52" s="367">
        <f>INDEX(Input!$1:$1048576,DV$10,$C52*2+6)</f>
        <v>0.5</v>
      </c>
      <c r="DW52" s="367">
        <f>INDEX(Input!$1:$1048576,DW$10,$C52*2+6)</f>
        <v>0.45</v>
      </c>
      <c r="DX52" s="369"/>
      <c r="DY52" s="4">
        <v>9.9660280613713764E-2</v>
      </c>
      <c r="DZ52" s="37">
        <v>0</v>
      </c>
      <c r="EA52" s="37">
        <v>0.7019747947713465</v>
      </c>
      <c r="EB52" s="37">
        <v>0</v>
      </c>
      <c r="EC52" s="37">
        <v>0</v>
      </c>
      <c r="ED52" s="37">
        <v>0</v>
      </c>
      <c r="EE52" s="37">
        <v>0</v>
      </c>
      <c r="EF52" s="37">
        <v>0</v>
      </c>
      <c r="EG52" s="37">
        <v>0</v>
      </c>
      <c r="EH52" s="37">
        <v>6.3670376073662631E-3</v>
      </c>
      <c r="EI52" s="37">
        <v>1.7825070989738012E-2</v>
      </c>
      <c r="EJ52" s="37">
        <v>0.14336184867822696</v>
      </c>
      <c r="EK52" s="37">
        <v>0.62036627631825836</v>
      </c>
      <c r="EL52" s="37">
        <v>0.21207976640641063</v>
      </c>
      <c r="EM52" s="37">
        <v>9.3902223503693621E-2</v>
      </c>
      <c r="EN52" s="37">
        <v>5.8876080398349885E-2</v>
      </c>
      <c r="EO52" s="37">
        <v>0.7530907912588638</v>
      </c>
      <c r="EP52" s="37">
        <v>7.7738138150862654E-2</v>
      </c>
      <c r="EQ52" s="37">
        <v>7.3114595954901829E-2</v>
      </c>
      <c r="ER52" s="37">
        <v>3.7180394237022046E-2</v>
      </c>
      <c r="ES52" s="37">
        <v>0.10446270111124623</v>
      </c>
      <c r="ET52" s="37">
        <v>0.19836492461493976</v>
      </c>
      <c r="EU52" s="36">
        <v>1410.5</v>
      </c>
      <c r="EV52" s="36">
        <v>0</v>
      </c>
      <c r="EW52" s="36">
        <v>1410.5</v>
      </c>
      <c r="EX52" s="36">
        <v>0</v>
      </c>
      <c r="EY52" s="36">
        <v>2837.4066479341591</v>
      </c>
      <c r="EZ52" s="36">
        <v>1371.3872869564111</v>
      </c>
      <c r="FA52" s="36">
        <v>0</v>
      </c>
      <c r="FB52" s="36">
        <v>0</v>
      </c>
      <c r="FC52" s="36">
        <v>0</v>
      </c>
      <c r="FD52" s="36">
        <v>0</v>
      </c>
      <c r="FE52" s="36">
        <v>0</v>
      </c>
      <c r="FF52" s="36">
        <v>0</v>
      </c>
      <c r="FG52" s="36">
        <v>0</v>
      </c>
      <c r="FH52" s="36">
        <v>1171.9987917101757</v>
      </c>
      <c r="FI52" s="36">
        <v>1553.9796069512395</v>
      </c>
      <c r="FJ52" s="36">
        <v>2101.2110117447405</v>
      </c>
      <c r="FK52" s="36">
        <v>2674.2006261592269</v>
      </c>
      <c r="FL52" s="36">
        <v>2034.7405995769211</v>
      </c>
      <c r="FM52" s="36">
        <v>2426.9066479341591</v>
      </c>
      <c r="FN52" s="36">
        <v>0</v>
      </c>
      <c r="FO52" s="36">
        <v>0</v>
      </c>
      <c r="FP52" s="36">
        <v>0</v>
      </c>
      <c r="FQ52" s="36">
        <v>0</v>
      </c>
      <c r="FR52" s="36">
        <v>0</v>
      </c>
      <c r="FS52" s="36">
        <v>0</v>
      </c>
      <c r="FT52" s="37">
        <v>0.80163507538506029</v>
      </c>
      <c r="FU52" s="37">
        <v>9.3902223503693621E-2</v>
      </c>
      <c r="FV52" s="37">
        <v>0.10446270111124623</v>
      </c>
      <c r="FW52" s="518">
        <v>1410.5000000000002</v>
      </c>
      <c r="FX52" s="518">
        <v>2837.4066479341595</v>
      </c>
      <c r="FY52" s="518">
        <v>1371.3872869564111</v>
      </c>
      <c r="FZ52" s="36">
        <v>1877.610362934483</v>
      </c>
      <c r="GA52" s="36">
        <v>1540.4038873208976</v>
      </c>
      <c r="GB52" s="36">
        <v>18444.596112679101</v>
      </c>
      <c r="GC52" s="37">
        <v>2.9156573141622111E-2</v>
      </c>
      <c r="GD52" s="37">
        <v>2.8676117754176965E-2</v>
      </c>
      <c r="GE52" s="37"/>
      <c r="GF52" s="37"/>
      <c r="GG52" s="37">
        <v>-1.6478458737638077E-2</v>
      </c>
      <c r="GH52" s="35">
        <v>0.97661824931581864</v>
      </c>
      <c r="GI52" s="36">
        <v>22003.875682979782</v>
      </c>
      <c r="GJ52" s="34">
        <v>0.50394797582841755</v>
      </c>
      <c r="GK52" s="34">
        <v>0.50887573065309755</v>
      </c>
      <c r="GL52" s="34">
        <v>0.49605202417158289</v>
      </c>
      <c r="GM52" s="33">
        <v>0.4911242693469024</v>
      </c>
      <c r="GN52" s="61"/>
      <c r="GO52" s="13">
        <v>343.14810671672558</v>
      </c>
      <c r="GP52" s="27">
        <v>316.23845756186267</v>
      </c>
      <c r="GQ52" s="27">
        <v>535.04305713031317</v>
      </c>
      <c r="GR52" s="27">
        <v>410.15490233172511</v>
      </c>
      <c r="GS52" s="27">
        <v>339.42744393800166</v>
      </c>
      <c r="GT52" s="27">
        <v>293.4407446948278</v>
      </c>
      <c r="GU52" s="27">
        <v>258.04012322764959</v>
      </c>
      <c r="GV52" s="29" t="s">
        <v>392</v>
      </c>
      <c r="GW52" s="27">
        <v>488.22222222222223</v>
      </c>
      <c r="GX52" s="27">
        <v>366.16666666666669</v>
      </c>
      <c r="GY52" s="27">
        <v>292.93333333333334</v>
      </c>
      <c r="GZ52" s="27">
        <v>244.11111111111111</v>
      </c>
      <c r="HA52" s="27">
        <v>223.62613151023945</v>
      </c>
      <c r="HB52" s="29">
        <v>250.49581902416531</v>
      </c>
      <c r="HC52" s="27">
        <v>227.28618119565701</v>
      </c>
      <c r="HD52" s="27">
        <v>198.85424292970069</v>
      </c>
      <c r="HE52" s="27">
        <v>202.94203346638221</v>
      </c>
      <c r="HF52" s="27">
        <v>189.19542447158909</v>
      </c>
      <c r="HG52" s="27">
        <v>184.34645857894947</v>
      </c>
      <c r="HH52" s="12">
        <v>199.60037548776722</v>
      </c>
      <c r="HI52" s="94"/>
      <c r="HJ52" s="24">
        <f>INDEX(Input!$1:$1048576,HJ$10,$C52*2+6)</f>
        <v>0.3161490683229814</v>
      </c>
      <c r="HK52" s="18">
        <f>INDEX(Input!$1:$1048576,HK$10,$C52*2+6)</f>
        <v>0.52422360248447208</v>
      </c>
      <c r="HL52" s="43">
        <f>INDEX(Input!$1:$1048576,HL$10,$C52*2+6)</f>
        <v>0.15962732919254657</v>
      </c>
      <c r="HM52" s="49">
        <f>ROUND(IF(HL52&lt;FV53,TREND(Y52:Y53,FV52:FV53,HL52),TREND(Y53:Y54,FV53:FV54,HL52)),0)</f>
        <v>1962</v>
      </c>
    </row>
    <row r="53" spans="1:221" s="26" customFormat="1" ht="15">
      <c r="A53" s="117">
        <f t="shared" ref="A53:A54" si="89">C53*1000+B53</f>
        <v>3002</v>
      </c>
      <c r="B53" s="117">
        <f t="shared" si="60"/>
        <v>2</v>
      </c>
      <c r="C53" s="117">
        <f t="shared" si="76"/>
        <v>3</v>
      </c>
      <c r="D53" s="117" t="s">
        <v>568</v>
      </c>
      <c r="E53" s="115">
        <f>INDEX(Input!$1:$1048576,E$10,$C53*2+6)</f>
        <v>1000</v>
      </c>
      <c r="F53" s="115">
        <f>INDEX(Input!$1:$1048576,F$10,$C53*2+6)</f>
        <v>0</v>
      </c>
      <c r="G53" s="115">
        <f>INDEX(Input!$1:$1048576,G$10,$C53*2+6)</f>
        <v>0</v>
      </c>
      <c r="H53" s="115">
        <f>INDEX(Input!$1:$1048576,H$10,$C53*2+6)</f>
        <v>0</v>
      </c>
      <c r="I53" s="118">
        <f>INDEX(Input!$1:$1048576,I$10,$C53*2+6)</f>
        <v>0.7</v>
      </c>
      <c r="J53" s="118" t="str">
        <f>INDEX(Input!$1:$1048576,J$10,$C53*2+6)</f>
        <v>Market</v>
      </c>
      <c r="K53" s="118" t="str">
        <f>INDEX(Input!$1:$1048576,K$10,$C53*2+6)</f>
        <v>Market</v>
      </c>
      <c r="L53" s="118" t="str">
        <f>INDEX(Input!$1:$1048576,L$10,$C53*2+6)</f>
        <v>Market</v>
      </c>
      <c r="M53" s="118" t="str">
        <f>INDEX(Input!$1:$1048576,M$10,$C53*2+6)</f>
        <v>Market</v>
      </c>
      <c r="N53" s="118" t="str">
        <f>INDEX(Input!$1:$1048576,N$10,$C53*2+6)</f>
        <v>Market</v>
      </c>
      <c r="O53" s="118" t="str">
        <f>INDEX(Input!$1:$1048576,O$10,$C53*2+6)</f>
        <v>Market</v>
      </c>
      <c r="P53" s="118" t="str">
        <f>INDEX(Input!$1:$1048576,P$10,$C53*2+6)</f>
        <v>N</v>
      </c>
      <c r="Q53" s="30">
        <f>INDEX(Input!$1:$1048576,Q$10,$C53*2+6)</f>
        <v>0</v>
      </c>
      <c r="R53" s="383">
        <f>INDEX(Input!$1:$1048576,R$10,$C53*2+6)</f>
        <v>0</v>
      </c>
      <c r="S53" s="383">
        <f>INDEX(Input!$1:$1048576,S$10,$C53*2+6)</f>
        <v>0</v>
      </c>
      <c r="T53" s="383">
        <f>INDEX(Input!$1:$1048576,T$10,$C53*2+6)</f>
        <v>0</v>
      </c>
      <c r="U53" s="383">
        <f>INDEX(Input!$1:$1048576,U$10,$C53*2+6)</f>
        <v>0</v>
      </c>
      <c r="V53" s="383">
        <f>INDEX(Input!$1:$1048576,V$10,$C53*2+6)</f>
        <v>1.9E-2</v>
      </c>
      <c r="W53" s="383">
        <f>INDEX(Input!$1:$1048576,W$10,$C53*2+6)</f>
        <v>3.9E-2</v>
      </c>
      <c r="X53" s="118" t="str">
        <f>INDEX(Input!$1:$1048576,X$10,$C53*2+6)</f>
        <v>Y</v>
      </c>
      <c r="Y53" s="520">
        <f>Y52+500</f>
        <v>1650.7751966918627</v>
      </c>
      <c r="Z53" s="30">
        <f>INDEX(Input!$1:$1048576,Z$10,$C53*2+6)</f>
        <v>0</v>
      </c>
      <c r="AA53" s="115">
        <f>INDEX(Input!$1:$1048576,AA$10,$C53*2+6)</f>
        <v>1000</v>
      </c>
      <c r="AB53" s="118">
        <f>INDEX(Input!$1:$1048576,AB$10,$C53*2+6)</f>
        <v>0.27</v>
      </c>
      <c r="AC53" s="115">
        <f>INDEX(Input!$1:$1048576,AC$10,$C53*2+6)</f>
        <v>1000</v>
      </c>
      <c r="AD53" s="118">
        <f>INDEX(Input!$1:$1048576,AD$10,$C53*2+6)</f>
        <v>0.27</v>
      </c>
      <c r="AE53" s="115">
        <f>INDEX(Input!$1:$1048576,AE$10,$C53*2+6)</f>
        <v>500</v>
      </c>
      <c r="AF53" s="118">
        <f>INDEX(Input!$1:$1048576,AF$10,$C53*2+6)</f>
        <v>0.68200000000000005</v>
      </c>
      <c r="AG53" s="115">
        <f>INDEX(Input!$1:$1048576,AG$10,$C53*2+6)</f>
        <v>0</v>
      </c>
      <c r="AH53" s="118">
        <f>INDEX(Input!$1:$1048576,AH$10,$C53*2+6)</f>
        <v>1</v>
      </c>
      <c r="AI53" s="115">
        <f>INDEX(Input!$1:$1048576,AI$10,$C53*2+6)</f>
        <v>0</v>
      </c>
      <c r="AJ53" s="118">
        <f>INDEX(Input!$1:$1048576,AJ$10,$C53*2+6)</f>
        <v>0.27</v>
      </c>
      <c r="AK53" s="150">
        <f>INDEX(Input!$1:$1048576,AK$10,$C52*2+6)+(Y53-VLOOKUP($C53*1000+1,$A:$HH,Y$9,FALSE))</f>
        <v>4035.2416124666483</v>
      </c>
      <c r="AL53" s="150">
        <f>INDEX(Input!$1:$1048576,AL$10,$C52*2+6)-(Y53-VLOOKUP($C53*1000+1,$A:$HH,Y$9,FALSE))/36</f>
        <v>3365.6184936444561</v>
      </c>
      <c r="AM53" s="32" t="str">
        <f t="shared" ref="AM53:AM54" si="90">IF(K53="market","std",ROUND(K53*1000,0)/10)&amp;"/"&amp;IF(L53="market","std",ROUND(L53*1000,0)/10)&amp;"/"&amp;IF(M53="market","std",ROUND(M53*1000,0)/10)&amp;"/"&amp;IF(N53="market","std",ROUND(N53*1000,0)/10)&amp;IF(P53="N","","/"&amp;IF(O53="market","std",ROUND(O53*1000,0)/10))</f>
        <v>std/std/std/std</v>
      </c>
      <c r="AN53" s="32" t="str">
        <f t="shared" ref="AN53:AN54" si="91">"$"&amp;ROUND(Q53,0)&amp;" + "&amp;IF(S53="market","std",ROUND(S53*1000,0)/10)&amp;"/"&amp;IF(T53="market","std",ROUND(T53*1000,0)/10)&amp;"/"&amp;IF(U53="market","std",ROUND(U53*1000,0)/10)&amp;"/"&amp;IF(V53="market","std",ROUND(V53*1000,0)/10)&amp;IF(X53="N","","/"&amp;IF(W53="market","std",ROUND(W53*1000,0)/10))</f>
        <v>$0 + 0/0/0/1.9/3.9</v>
      </c>
      <c r="AO53" s="32" t="str">
        <f t="shared" ref="AO53:AO54" si="92">IF(S53="market","std",ROUND(S53*1000,0)/10)&amp;"/"&amp;IF(T53="market","std",ROUND(T53*1000,0)/10)&amp;"/"&amp;IF(U53="market","std",ROUND(U53*1000,0)/10)&amp;"/"&amp;IF(V53="market","std",ROUND(V53*1000,0)/10)&amp;IF(X53="N","","/"&amp;IF(W53="market","std",ROUND(W53*1000,0)/10))</f>
        <v>0/0/0/1.9/3.9</v>
      </c>
      <c r="AP53" s="32" t="str">
        <f t="shared" ref="AP53:AP54" si="93">IF(T53="market","std",ROUND(T53*1000,0)/10)&amp;"/"&amp;IF(U53="market","std",ROUND(U53*1000,0)/10)&amp;"/"&amp;IF(V53="market","std",ROUND(V53*1000,0)/10)&amp;IF(X53="N","","/"&amp;IF(W53="market","std",ROUND(W53*1000,0)/10))</f>
        <v>0/0/1.9/3.9</v>
      </c>
      <c r="AQ53" s="150">
        <f t="shared" si="81"/>
        <v>611</v>
      </c>
      <c r="AR53" s="32" t="str">
        <f t="shared" si="82"/>
        <v>0/1.9</v>
      </c>
      <c r="AS53" s="302"/>
      <c r="AT53" s="3">
        <f t="shared" si="83"/>
        <v>8</v>
      </c>
      <c r="AU53" s="41" t="s">
        <v>121</v>
      </c>
      <c r="AV53" s="41" t="s">
        <v>116</v>
      </c>
      <c r="AW53" s="41" t="str">
        <f>INDEX(Input!$1:$1048576,AW$10,$C53*2+6)</f>
        <v>Kia</v>
      </c>
      <c r="AX53" s="41" t="str">
        <f>INDEX(Input!$1:$1048576,AX$10,$C53*2+6)</f>
        <v>Kia-LR - L3</v>
      </c>
      <c r="AY53" s="41" t="str">
        <f>IF(D53="Skip","",INDEX(Input!$1:$1048576,AY$10,$C53*2+6))</f>
        <v>Compact SUV (52)</v>
      </c>
      <c r="AZ53" s="41" t="str">
        <f>INDEX(Input!$1:$1048576,AZ$10,$C53*2+6)</f>
        <v>Kia Soul</v>
      </c>
      <c r="BA53" s="3">
        <f>INDEX(Input!$1:$1048576,BA$10,$C53*2+6)</f>
        <v>2020</v>
      </c>
      <c r="BB53" s="128">
        <f>INDEX(Input!$1:$1048576,BB$10,$C53*2+6)</f>
        <v>1</v>
      </c>
      <c r="BC53" s="128">
        <f>INDEX(Input!$1:$1048576,BC$10,$C53*2+6)</f>
        <v>0.7</v>
      </c>
      <c r="BD53" s="1">
        <f>INDEX(Input!$1:$1048576,BD$10,$C53*2+6)</f>
        <v>4.4999999999999998E-2</v>
      </c>
      <c r="BE53" s="1">
        <f>INDEX(Input!$1:$1048576,BE$10,$C53*2+6)</f>
        <v>4.4999999999999998E-2</v>
      </c>
      <c r="BF53" s="1">
        <f>INDEX(Input!$1:$1048576,BF$10,$C53*2+6)</f>
        <v>0.05</v>
      </c>
      <c r="BG53" s="1">
        <f>INDEX(Input!$1:$1048576,BG$10,$C53*2+6)</f>
        <v>5.45E-2</v>
      </c>
      <c r="BH53" s="1">
        <f>INDEX(Input!$1:$1048576,BH$10,$C53*2+6)</f>
        <v>5.45E-2</v>
      </c>
      <c r="BI53" s="1">
        <f>INDEX(Input!$1:$1048576,BI$10,$C53*2+6)</f>
        <v>0.05</v>
      </c>
      <c r="BJ53" s="1">
        <f>INDEX(Input!$1:$1048576,BJ$10,$C53*2+6)</f>
        <v>0.05</v>
      </c>
      <c r="BK53" s="1">
        <f>INDEX(Input!$1:$1048576,BK$10,$C53*2+6)</f>
        <v>0.05</v>
      </c>
      <c r="BL53" s="1">
        <f>INDEX(Input!$1:$1048576,BL$10,$C53*2+6)</f>
        <v>5.5E-2</v>
      </c>
      <c r="BM53" s="1">
        <f>INDEX(Input!$1:$1048576,BM$10,$C53*2+6)</f>
        <v>0.06</v>
      </c>
      <c r="BN53" s="1">
        <f>INDEX(Input!$1:$1048576,BN$10,$C53*2+6)</f>
        <v>4.4999999999999998E-2</v>
      </c>
      <c r="BO53" s="1">
        <f>INDEX(Input!$1:$1048576,BO$10,$C53*2+6)</f>
        <v>4.4999999999999998E-2</v>
      </c>
      <c r="BP53" s="1">
        <f>INDEX(Input!$1:$1048576,BP$10,$C53*2+6)</f>
        <v>0.05</v>
      </c>
      <c r="BQ53" s="1">
        <f>INDEX(Input!$1:$1048576,BQ$10,$C53*2+6)</f>
        <v>5.45E-2</v>
      </c>
      <c r="BR53" s="1">
        <f>INDEX(Input!$1:$1048576,BR$10,$C53*2+6)</f>
        <v>5.45E-2</v>
      </c>
      <c r="BS53" s="1">
        <f>INDEX(Input!$1:$1048576,BS$10,$C53*2+6)</f>
        <v>0.05</v>
      </c>
      <c r="BT53" s="1">
        <f>INDEX(Input!$1:$1048576,BT$10,$C53*2+6)</f>
        <v>0.05</v>
      </c>
      <c r="BU53" s="1">
        <f>INDEX(Input!$1:$1048576,BU$10,$C53*2+6)</f>
        <v>0.05</v>
      </c>
      <c r="BV53" s="1">
        <f>INDEX(Input!$1:$1048576,BV$10,$C53*2+6)</f>
        <v>5.5E-2</v>
      </c>
      <c r="BW53" s="1">
        <f>INDEX(Input!$1:$1048576,BW$10,$C53*2+6)</f>
        <v>0.06</v>
      </c>
      <c r="BX53" s="304">
        <f>INDEX(Input!$1:$1048576,BX$10,$C53*2+6)</f>
        <v>19985</v>
      </c>
      <c r="BY53" s="20">
        <f>INDEX(Input!$1:$1048576,BY$10,$C53*2+6)</f>
        <v>0.1</v>
      </c>
      <c r="BZ53" s="20">
        <f>INDEX(Input!$1:$1048576,BZ$10,$C53*2+6)</f>
        <v>0.1</v>
      </c>
      <c r="CA53" s="20">
        <f>INDEX(Input!$1:$1048576,CA$10,$C53*2+6)</f>
        <v>0.1</v>
      </c>
      <c r="CB53" s="20">
        <f>INDEX(Input!$1:$1048576,CB$10,$C53*2+6)</f>
        <v>0.1</v>
      </c>
      <c r="CC53" s="20">
        <f>INDEX(Input!$1:$1048576,CC$10,$C53*2+6)</f>
        <v>0.1</v>
      </c>
      <c r="CD53" s="384">
        <f>INDEX(Input!$1:$1048576,CD$10,$C53*2+6)</f>
        <v>0.1</v>
      </c>
      <c r="CE53" s="384">
        <f>INDEX(Input!$1:$1048576,CE$10,$C53*2+6)</f>
        <v>0.1</v>
      </c>
      <c r="CF53" s="384">
        <f>INDEX(Input!$1:$1048576,CF$10,$C53*2+6)</f>
        <v>0.1</v>
      </c>
      <c r="CG53" s="384">
        <f>INDEX(Input!$1:$1048576,CG$10,$C53*2+6)</f>
        <v>0.1</v>
      </c>
      <c r="CH53" s="384">
        <f>INDEX(Input!$1:$1048576,CH$10,$C53*2+6)</f>
        <v>0.1</v>
      </c>
      <c r="CI53" s="304">
        <f t="shared" si="61"/>
        <v>1270</v>
      </c>
      <c r="CJ53" s="16" t="str">
        <f>INDEX(Input!$1:$1048576,CJ$10,$C53*2+6)</f>
        <v>N</v>
      </c>
      <c r="CK53" s="1" t="str">
        <f t="shared" si="62"/>
        <v>Market</v>
      </c>
      <c r="CL53" s="1" t="str">
        <f t="shared" si="63"/>
        <v>Market</v>
      </c>
      <c r="CM53" s="1" t="str">
        <f t="shared" si="64"/>
        <v>Market</v>
      </c>
      <c r="CN53" s="1" t="str">
        <f t="shared" si="65"/>
        <v>Market</v>
      </c>
      <c r="CO53" s="1" t="str">
        <f t="shared" si="66"/>
        <v>Market</v>
      </c>
      <c r="CP53" s="304">
        <f t="shared" si="67"/>
        <v>0</v>
      </c>
      <c r="CQ53" s="1">
        <f t="shared" si="68"/>
        <v>0</v>
      </c>
      <c r="CR53" s="1">
        <f t="shared" si="69"/>
        <v>0</v>
      </c>
      <c r="CS53" s="1">
        <f t="shared" si="70"/>
        <v>0</v>
      </c>
      <c r="CT53" s="1">
        <f t="shared" si="71"/>
        <v>0</v>
      </c>
      <c r="CU53" s="1">
        <f t="shared" si="72"/>
        <v>1.9E-2</v>
      </c>
      <c r="CV53" s="304">
        <f t="shared" si="73"/>
        <v>1920.7751966918627</v>
      </c>
      <c r="CW53" s="20" t="s">
        <v>122</v>
      </c>
      <c r="CX53" s="20" t="s">
        <v>122</v>
      </c>
      <c r="CY53" s="20" t="s">
        <v>122</v>
      </c>
      <c r="CZ53" s="20" t="s">
        <v>122</v>
      </c>
      <c r="DA53" s="20" t="s">
        <v>122</v>
      </c>
      <c r="DB53" s="503">
        <f t="shared" si="74"/>
        <v>341</v>
      </c>
      <c r="DC53" s="127">
        <v>0</v>
      </c>
      <c r="DD53" s="127">
        <v>0</v>
      </c>
      <c r="DE53" s="127">
        <v>0</v>
      </c>
      <c r="DF53" s="127">
        <v>0</v>
      </c>
      <c r="DG53" s="127">
        <v>0</v>
      </c>
      <c r="DH53" s="127">
        <v>0</v>
      </c>
      <c r="DI53" s="127">
        <v>0</v>
      </c>
      <c r="DJ53" s="127">
        <v>0</v>
      </c>
      <c r="DK53" s="127">
        <v>0</v>
      </c>
      <c r="DL53" s="127">
        <v>0</v>
      </c>
      <c r="DM53" s="304">
        <f>INDEX(Input!$1:$1048576,DM$10,$C53*2+6)</f>
        <v>21036.84210526316</v>
      </c>
      <c r="DN53" s="20">
        <v>0</v>
      </c>
      <c r="DO53" s="20">
        <v>0</v>
      </c>
      <c r="DP53" s="20">
        <v>0</v>
      </c>
      <c r="DQ53" s="20">
        <v>0</v>
      </c>
      <c r="DR53" s="20">
        <v>0</v>
      </c>
      <c r="DS53" s="20">
        <f>INDEX(Input!$1:$1048576,DS$10,$C53*2+6)</f>
        <v>0.6</v>
      </c>
      <c r="DT53" s="20">
        <f>INDEX(Input!$1:$1048576,DT$10,$C53*2+6)</f>
        <v>0.55000000000000004</v>
      </c>
      <c r="DU53" s="20">
        <f>INDEX(Input!$1:$1048576,DU$10,$C53*2+6)</f>
        <v>0.52</v>
      </c>
      <c r="DV53" s="20">
        <f>INDEX(Input!$1:$1048576,DV$10,$C53*2+6)</f>
        <v>0.5</v>
      </c>
      <c r="DW53" s="20">
        <f>INDEX(Input!$1:$1048576,DW$10,$C53*2+6)</f>
        <v>0.45</v>
      </c>
      <c r="DX53" s="20"/>
      <c r="DY53" s="7">
        <v>9.6192326988338683E-2</v>
      </c>
      <c r="DZ53" s="7">
        <v>0</v>
      </c>
      <c r="EA53" s="7">
        <v>0.67865158396611469</v>
      </c>
      <c r="EB53" s="7">
        <v>0</v>
      </c>
      <c r="EC53" s="7">
        <v>0</v>
      </c>
      <c r="ED53" s="7">
        <v>0</v>
      </c>
      <c r="EE53" s="7">
        <v>0</v>
      </c>
      <c r="EF53" s="7">
        <v>0</v>
      </c>
      <c r="EG53" s="7">
        <v>0</v>
      </c>
      <c r="EH53" s="7">
        <v>6.3655126145435699E-3</v>
      </c>
      <c r="EI53" s="7">
        <v>1.7817597119820956E-2</v>
      </c>
      <c r="EJ53" s="7">
        <v>0.14315510356738501</v>
      </c>
      <c r="EK53" s="7">
        <v>0.62044023533190107</v>
      </c>
      <c r="EL53" s="7">
        <v>0.21222155136634932</v>
      </c>
      <c r="EM53" s="7">
        <v>9.0450448506164266E-2</v>
      </c>
      <c r="EN53" s="7">
        <v>6.0862987582840429E-2</v>
      </c>
      <c r="EO53" s="7">
        <v>0.76808065291196059</v>
      </c>
      <c r="EP53" s="7">
        <v>7.054511307169592E-2</v>
      </c>
      <c r="EQ53" s="7">
        <v>6.6157880936470501E-2</v>
      </c>
      <c r="ER53" s="7">
        <v>3.4353365497032461E-2</v>
      </c>
      <c r="ES53" s="7">
        <v>0.13470564053938236</v>
      </c>
      <c r="ET53" s="7">
        <v>0.22515608904554671</v>
      </c>
      <c r="EU53" s="6">
        <v>1410.5</v>
      </c>
      <c r="EV53" s="6">
        <v>0</v>
      </c>
      <c r="EW53" s="6">
        <v>1410.5</v>
      </c>
      <c r="EX53" s="6">
        <v>0</v>
      </c>
      <c r="EY53" s="6">
        <v>2837.4450599910701</v>
      </c>
      <c r="EZ53" s="6">
        <v>1871.3872869564111</v>
      </c>
      <c r="FA53" s="6">
        <v>0</v>
      </c>
      <c r="FB53" s="6">
        <v>0</v>
      </c>
      <c r="FC53" s="6">
        <v>0</v>
      </c>
      <c r="FD53" s="6">
        <v>0</v>
      </c>
      <c r="FE53" s="6">
        <v>0</v>
      </c>
      <c r="FF53" s="6">
        <v>0</v>
      </c>
      <c r="FG53" s="6">
        <v>0</v>
      </c>
      <c r="FH53" s="6">
        <v>1171.991225411103</v>
      </c>
      <c r="FI53" s="6">
        <v>1553.9796069512395</v>
      </c>
      <c r="FJ53" s="6">
        <v>2101.2110117447414</v>
      </c>
      <c r="FK53" s="6">
        <v>2674.2006261592273</v>
      </c>
      <c r="FL53" s="6">
        <v>2034.7405995769216</v>
      </c>
      <c r="FM53" s="6">
        <v>2426.9450599910701</v>
      </c>
      <c r="FN53" s="6">
        <v>0</v>
      </c>
      <c r="FO53" s="6">
        <v>0</v>
      </c>
      <c r="FP53" s="6">
        <v>0</v>
      </c>
      <c r="FQ53" s="6">
        <v>0</v>
      </c>
      <c r="FR53" s="6">
        <v>0</v>
      </c>
      <c r="FS53" s="6">
        <v>0</v>
      </c>
      <c r="FT53" s="7">
        <v>0.77484391095445337</v>
      </c>
      <c r="FU53" s="7">
        <v>9.0450448506164266E-2</v>
      </c>
      <c r="FV53" s="7">
        <v>0.13470564053938236</v>
      </c>
      <c r="FW53" s="519">
        <v>1410.5</v>
      </c>
      <c r="FX53" s="519">
        <v>2837.4450599910701</v>
      </c>
      <c r="FY53" s="519">
        <v>1871.3872869564111</v>
      </c>
      <c r="FZ53" s="6">
        <v>1877.610362934483</v>
      </c>
      <c r="GA53" s="6">
        <v>1601.6519378757694</v>
      </c>
      <c r="GB53" s="6">
        <v>18383.348062124231</v>
      </c>
      <c r="GC53" s="7">
        <v>2.9156573141622111E-2</v>
      </c>
      <c r="GD53" s="7">
        <v>2.8896592907186183E-2</v>
      </c>
      <c r="GE53" s="7"/>
      <c r="GF53" s="7"/>
      <c r="GG53" s="7">
        <v>-8.9166937819862412E-3</v>
      </c>
      <c r="GH53" s="42">
        <v>0.64574989944619643</v>
      </c>
      <c r="GI53" s="6">
        <v>32550.166242158892</v>
      </c>
      <c r="GJ53" s="14">
        <v>0.50394797582841722</v>
      </c>
      <c r="GK53" s="14">
        <v>0.50887573065309732</v>
      </c>
      <c r="GL53" s="14">
        <v>0.49605202417158273</v>
      </c>
      <c r="GM53" s="14">
        <v>0.49112426934690234</v>
      </c>
      <c r="GO53" s="5">
        <v>343.14810671672558</v>
      </c>
      <c r="GP53" s="5">
        <v>316.23845756186267</v>
      </c>
      <c r="GQ53" s="5">
        <v>535.04305713031317</v>
      </c>
      <c r="GR53" s="5">
        <v>410.15490233172511</v>
      </c>
      <c r="GS53" s="5">
        <v>339.42744393800166</v>
      </c>
      <c r="GT53" s="5">
        <v>293.4407446948278</v>
      </c>
      <c r="GU53" s="5">
        <v>258.04012322764959</v>
      </c>
      <c r="GV53" s="39" t="s">
        <v>392</v>
      </c>
      <c r="GW53" s="5">
        <v>488.22222222222223</v>
      </c>
      <c r="GX53" s="5">
        <v>366.16666666666669</v>
      </c>
      <c r="GY53" s="5">
        <v>292.93333333333334</v>
      </c>
      <c r="GZ53" s="5">
        <v>244.11111111111111</v>
      </c>
      <c r="HA53" s="5">
        <v>223.62613151023945</v>
      </c>
      <c r="HB53" s="39">
        <v>250.48153631137103</v>
      </c>
      <c r="HC53" s="5">
        <v>205.41118119565698</v>
      </c>
      <c r="HD53" s="5">
        <v>183.92368737414515</v>
      </c>
      <c r="HE53" s="5">
        <v>189.07985397920268</v>
      </c>
      <c r="HF53" s="5">
        <v>177.63292447158912</v>
      </c>
      <c r="HG53" s="5">
        <v>174.76312524561615</v>
      </c>
      <c r="HH53" s="39">
        <v>184.86434311789392</v>
      </c>
      <c r="HI53" s="16"/>
      <c r="HJ53" s="1">
        <f>INDEX(Input!$1:$1048576,HJ$10,$C53*2+6)</f>
        <v>0.3161490683229814</v>
      </c>
      <c r="HK53" s="1">
        <f>INDEX(Input!$1:$1048576,HK$10,$C53*2+6)</f>
        <v>0.52422360248447208</v>
      </c>
      <c r="HL53" s="1">
        <f>INDEX(Input!$1:$1048576,HL$10,$C53*2+6)</f>
        <v>0.15962732919254657</v>
      </c>
      <c r="HM53" s="19"/>
    </row>
    <row r="54" spans="1:221" s="26" customFormat="1" ht="15.75" thickBot="1">
      <c r="A54" s="117">
        <f t="shared" si="89"/>
        <v>3003</v>
      </c>
      <c r="B54" s="117">
        <f t="shared" si="60"/>
        <v>3</v>
      </c>
      <c r="C54" s="117">
        <f t="shared" si="76"/>
        <v>3</v>
      </c>
      <c r="D54" s="117" t="s">
        <v>568</v>
      </c>
      <c r="E54" s="115">
        <f>INDEX(Input!$1:$1048576,E$10,$C54*2+6)</f>
        <v>1000</v>
      </c>
      <c r="F54" s="115">
        <f>INDEX(Input!$1:$1048576,F$10,$C54*2+6)</f>
        <v>0</v>
      </c>
      <c r="G54" s="115">
        <f>INDEX(Input!$1:$1048576,G$10,$C54*2+6)</f>
        <v>0</v>
      </c>
      <c r="H54" s="115">
        <f>INDEX(Input!$1:$1048576,H$10,$C54*2+6)</f>
        <v>0</v>
      </c>
      <c r="I54" s="118">
        <f>INDEX(Input!$1:$1048576,I$10,$C54*2+6)</f>
        <v>0.7</v>
      </c>
      <c r="J54" s="118" t="str">
        <f>INDEX(Input!$1:$1048576,J$10,$C54*2+6)</f>
        <v>Market</v>
      </c>
      <c r="K54" s="118" t="str">
        <f>INDEX(Input!$1:$1048576,K$10,$C54*2+6)</f>
        <v>Market</v>
      </c>
      <c r="L54" s="118" t="str">
        <f>INDEX(Input!$1:$1048576,L$10,$C54*2+6)</f>
        <v>Market</v>
      </c>
      <c r="M54" s="118" t="str">
        <f>INDEX(Input!$1:$1048576,M$10,$C54*2+6)</f>
        <v>Market</v>
      </c>
      <c r="N54" s="118" t="str">
        <f>INDEX(Input!$1:$1048576,N$10,$C54*2+6)</f>
        <v>Market</v>
      </c>
      <c r="O54" s="118" t="str">
        <f>INDEX(Input!$1:$1048576,O$10,$C54*2+6)</f>
        <v>Market</v>
      </c>
      <c r="P54" s="118" t="str">
        <f>INDEX(Input!$1:$1048576,P$10,$C54*2+6)</f>
        <v>N</v>
      </c>
      <c r="Q54" s="30">
        <f>INDEX(Input!$1:$1048576,Q$10,$C54*2+6)</f>
        <v>0</v>
      </c>
      <c r="R54" s="383">
        <f>INDEX(Input!$1:$1048576,R$10,$C54*2+6)</f>
        <v>0</v>
      </c>
      <c r="S54" s="383">
        <f>INDEX(Input!$1:$1048576,S$10,$C54*2+6)</f>
        <v>0</v>
      </c>
      <c r="T54" s="383">
        <f>INDEX(Input!$1:$1048576,T$10,$C54*2+6)</f>
        <v>0</v>
      </c>
      <c r="U54" s="383">
        <f>INDEX(Input!$1:$1048576,U$10,$C54*2+6)</f>
        <v>0</v>
      </c>
      <c r="V54" s="383">
        <f>INDEX(Input!$1:$1048576,V$10,$C54*2+6)</f>
        <v>1.9E-2</v>
      </c>
      <c r="W54" s="383">
        <f>INDEX(Input!$1:$1048576,W$10,$C54*2+6)</f>
        <v>3.9E-2</v>
      </c>
      <c r="X54" s="118" t="str">
        <f>INDEX(Input!$1:$1048576,X$10,$C54*2+6)</f>
        <v>Y</v>
      </c>
      <c r="Y54" s="520">
        <f>Y52+1000</f>
        <v>2150.7751966918627</v>
      </c>
      <c r="Z54" s="30">
        <f>INDEX(Input!$1:$1048576,Z$10,$C54*2+6)</f>
        <v>0</v>
      </c>
      <c r="AA54" s="115">
        <f>INDEX(Input!$1:$1048576,AA$10,$C54*2+6)</f>
        <v>1000</v>
      </c>
      <c r="AB54" s="118">
        <f>INDEX(Input!$1:$1048576,AB$10,$C54*2+6)</f>
        <v>0.27</v>
      </c>
      <c r="AC54" s="115">
        <f>INDEX(Input!$1:$1048576,AC$10,$C54*2+6)</f>
        <v>1000</v>
      </c>
      <c r="AD54" s="118">
        <f>INDEX(Input!$1:$1048576,AD$10,$C54*2+6)</f>
        <v>0.27</v>
      </c>
      <c r="AE54" s="115">
        <f>INDEX(Input!$1:$1048576,AE$10,$C54*2+6)</f>
        <v>500</v>
      </c>
      <c r="AF54" s="118">
        <f>INDEX(Input!$1:$1048576,AF$10,$C54*2+6)</f>
        <v>0.68200000000000005</v>
      </c>
      <c r="AG54" s="115">
        <f>INDEX(Input!$1:$1048576,AG$10,$C54*2+6)</f>
        <v>0</v>
      </c>
      <c r="AH54" s="118">
        <f>INDEX(Input!$1:$1048576,AH$10,$C54*2+6)</f>
        <v>1</v>
      </c>
      <c r="AI54" s="115">
        <f>INDEX(Input!$1:$1048576,AI$10,$C54*2+6)</f>
        <v>0</v>
      </c>
      <c r="AJ54" s="118">
        <f>INDEX(Input!$1:$1048576,AJ$10,$C54*2+6)</f>
        <v>0.27</v>
      </c>
      <c r="AK54" s="150">
        <f>INDEX(Input!$1:$1048576,AK$10,$C53*2+6)+(Y54-VLOOKUP($C54*1000+1,$A:$HH,Y$9,FALSE))</f>
        <v>4535.2416124666488</v>
      </c>
      <c r="AL54" s="150">
        <f>INDEX(Input!$1:$1048576,AL$10,$C53*2+6)-(Y54-VLOOKUP($C54*1000+1,$A:$HH,Y$9,FALSE))/36</f>
        <v>3351.7296047555674</v>
      </c>
      <c r="AM54" s="32" t="str">
        <f t="shared" si="90"/>
        <v>std/std/std/std</v>
      </c>
      <c r="AN54" s="32" t="str">
        <f t="shared" si="91"/>
        <v>$0 + 0/0/0/1.9/3.9</v>
      </c>
      <c r="AO54" s="32" t="str">
        <f t="shared" si="92"/>
        <v>0/0/0/1.9/3.9</v>
      </c>
      <c r="AP54" s="32" t="str">
        <f t="shared" si="93"/>
        <v>0/0/1.9/3.9</v>
      </c>
      <c r="AQ54" s="150">
        <f t="shared" si="81"/>
        <v>611</v>
      </c>
      <c r="AR54" s="32" t="str">
        <f t="shared" si="82"/>
        <v>0/1.9</v>
      </c>
      <c r="AS54" s="302"/>
      <c r="AT54" s="3">
        <f t="shared" si="83"/>
        <v>9</v>
      </c>
      <c r="AU54" s="41" t="s">
        <v>121</v>
      </c>
      <c r="AV54" s="41" t="s">
        <v>116</v>
      </c>
      <c r="AW54" s="41" t="str">
        <f>INDEX(Input!$1:$1048576,AW$10,$C54*2+6)</f>
        <v>Kia</v>
      </c>
      <c r="AX54" s="41" t="str">
        <f>INDEX(Input!$1:$1048576,AX$10,$C54*2+6)</f>
        <v>Kia-LR - L3</v>
      </c>
      <c r="AY54" s="41" t="str">
        <f>IF(D54="Skip","",INDEX(Input!$1:$1048576,AY$10,$C54*2+6))</f>
        <v>Compact SUV (52)</v>
      </c>
      <c r="AZ54" s="41" t="str">
        <f>INDEX(Input!$1:$1048576,AZ$10,$C54*2+6)</f>
        <v>Kia Soul</v>
      </c>
      <c r="BA54" s="3">
        <f>INDEX(Input!$1:$1048576,BA$10,$C54*2+6)</f>
        <v>2020</v>
      </c>
      <c r="BB54" s="128">
        <f>INDEX(Input!$1:$1048576,BB$10,$C54*2+6)</f>
        <v>1</v>
      </c>
      <c r="BC54" s="128">
        <f>INDEX(Input!$1:$1048576,BC$10,$C54*2+6)</f>
        <v>0.7</v>
      </c>
      <c r="BD54" s="1">
        <f>INDEX(Input!$1:$1048576,BD$10,$C54*2+6)</f>
        <v>4.4999999999999998E-2</v>
      </c>
      <c r="BE54" s="1">
        <f>INDEX(Input!$1:$1048576,BE$10,$C54*2+6)</f>
        <v>4.4999999999999998E-2</v>
      </c>
      <c r="BF54" s="1">
        <f>INDEX(Input!$1:$1048576,BF$10,$C54*2+6)</f>
        <v>0.05</v>
      </c>
      <c r="BG54" s="1">
        <f>INDEX(Input!$1:$1048576,BG$10,$C54*2+6)</f>
        <v>5.45E-2</v>
      </c>
      <c r="BH54" s="1">
        <f>INDEX(Input!$1:$1048576,BH$10,$C54*2+6)</f>
        <v>5.45E-2</v>
      </c>
      <c r="BI54" s="1">
        <f>INDEX(Input!$1:$1048576,BI$10,$C54*2+6)</f>
        <v>0.05</v>
      </c>
      <c r="BJ54" s="1">
        <f>INDEX(Input!$1:$1048576,BJ$10,$C54*2+6)</f>
        <v>0.05</v>
      </c>
      <c r="BK54" s="1">
        <f>INDEX(Input!$1:$1048576,BK$10,$C54*2+6)</f>
        <v>0.05</v>
      </c>
      <c r="BL54" s="1">
        <f>INDEX(Input!$1:$1048576,BL$10,$C54*2+6)</f>
        <v>5.5E-2</v>
      </c>
      <c r="BM54" s="1">
        <f>INDEX(Input!$1:$1048576,BM$10,$C54*2+6)</f>
        <v>0.06</v>
      </c>
      <c r="BN54" s="1">
        <f>INDEX(Input!$1:$1048576,BN$10,$C54*2+6)</f>
        <v>4.4999999999999998E-2</v>
      </c>
      <c r="BO54" s="1">
        <f>INDEX(Input!$1:$1048576,BO$10,$C54*2+6)</f>
        <v>4.4999999999999998E-2</v>
      </c>
      <c r="BP54" s="1">
        <f>INDEX(Input!$1:$1048576,BP$10,$C54*2+6)</f>
        <v>0.05</v>
      </c>
      <c r="BQ54" s="1">
        <f>INDEX(Input!$1:$1048576,BQ$10,$C54*2+6)</f>
        <v>5.45E-2</v>
      </c>
      <c r="BR54" s="1">
        <f>INDEX(Input!$1:$1048576,BR$10,$C54*2+6)</f>
        <v>5.45E-2</v>
      </c>
      <c r="BS54" s="1">
        <f>INDEX(Input!$1:$1048576,BS$10,$C54*2+6)</f>
        <v>0.05</v>
      </c>
      <c r="BT54" s="1">
        <f>INDEX(Input!$1:$1048576,BT$10,$C54*2+6)</f>
        <v>0.05</v>
      </c>
      <c r="BU54" s="1">
        <f>INDEX(Input!$1:$1048576,BU$10,$C54*2+6)</f>
        <v>0.05</v>
      </c>
      <c r="BV54" s="1">
        <f>INDEX(Input!$1:$1048576,BV$10,$C54*2+6)</f>
        <v>5.5E-2</v>
      </c>
      <c r="BW54" s="1">
        <f>INDEX(Input!$1:$1048576,BW$10,$C54*2+6)</f>
        <v>0.06</v>
      </c>
      <c r="BX54" s="304">
        <f>INDEX(Input!$1:$1048576,BX$10,$C54*2+6)</f>
        <v>19985</v>
      </c>
      <c r="BY54" s="20">
        <f>INDEX(Input!$1:$1048576,BY$10,$C54*2+6)</f>
        <v>0.1</v>
      </c>
      <c r="BZ54" s="20">
        <f>INDEX(Input!$1:$1048576,BZ$10,$C54*2+6)</f>
        <v>0.1</v>
      </c>
      <c r="CA54" s="20">
        <f>INDEX(Input!$1:$1048576,CA$10,$C54*2+6)</f>
        <v>0.1</v>
      </c>
      <c r="CB54" s="20">
        <f>INDEX(Input!$1:$1048576,CB$10,$C54*2+6)</f>
        <v>0.1</v>
      </c>
      <c r="CC54" s="20">
        <f>INDEX(Input!$1:$1048576,CC$10,$C54*2+6)</f>
        <v>0.1</v>
      </c>
      <c r="CD54" s="384">
        <f>INDEX(Input!$1:$1048576,CD$10,$C54*2+6)</f>
        <v>0.1</v>
      </c>
      <c r="CE54" s="384">
        <f>INDEX(Input!$1:$1048576,CE$10,$C54*2+6)</f>
        <v>0.1</v>
      </c>
      <c r="CF54" s="384">
        <f>INDEX(Input!$1:$1048576,CF$10,$C54*2+6)</f>
        <v>0.1</v>
      </c>
      <c r="CG54" s="384">
        <f>INDEX(Input!$1:$1048576,CG$10,$C54*2+6)</f>
        <v>0.1</v>
      </c>
      <c r="CH54" s="384">
        <f>INDEX(Input!$1:$1048576,CH$10,$C54*2+6)</f>
        <v>0.1</v>
      </c>
      <c r="CI54" s="304">
        <f t="shared" si="61"/>
        <v>1270</v>
      </c>
      <c r="CJ54" s="16" t="str">
        <f>INDEX(Input!$1:$1048576,CJ$10,$C54*2+6)</f>
        <v>N</v>
      </c>
      <c r="CK54" s="1" t="str">
        <f t="shared" si="62"/>
        <v>Market</v>
      </c>
      <c r="CL54" s="1" t="str">
        <f t="shared" si="63"/>
        <v>Market</v>
      </c>
      <c r="CM54" s="1" t="str">
        <f t="shared" si="64"/>
        <v>Market</v>
      </c>
      <c r="CN54" s="1" t="str">
        <f t="shared" si="65"/>
        <v>Market</v>
      </c>
      <c r="CO54" s="1" t="str">
        <f t="shared" si="66"/>
        <v>Market</v>
      </c>
      <c r="CP54" s="304">
        <f t="shared" si="67"/>
        <v>0</v>
      </c>
      <c r="CQ54" s="1">
        <f t="shared" si="68"/>
        <v>0</v>
      </c>
      <c r="CR54" s="1">
        <f t="shared" si="69"/>
        <v>0</v>
      </c>
      <c r="CS54" s="1">
        <f t="shared" si="70"/>
        <v>0</v>
      </c>
      <c r="CT54" s="1">
        <f t="shared" si="71"/>
        <v>0</v>
      </c>
      <c r="CU54" s="1">
        <f t="shared" si="72"/>
        <v>1.9E-2</v>
      </c>
      <c r="CV54" s="304">
        <f t="shared" si="73"/>
        <v>2420.7751966918627</v>
      </c>
      <c r="CW54" s="20" t="s">
        <v>122</v>
      </c>
      <c r="CX54" s="20" t="s">
        <v>122</v>
      </c>
      <c r="CY54" s="20" t="s">
        <v>122</v>
      </c>
      <c r="CZ54" s="20" t="s">
        <v>122</v>
      </c>
      <c r="DA54" s="20" t="s">
        <v>122</v>
      </c>
      <c r="DB54" s="503">
        <f t="shared" si="74"/>
        <v>341</v>
      </c>
      <c r="DC54" s="127">
        <v>0</v>
      </c>
      <c r="DD54" s="127">
        <v>0</v>
      </c>
      <c r="DE54" s="127">
        <v>0</v>
      </c>
      <c r="DF54" s="127">
        <v>0</v>
      </c>
      <c r="DG54" s="127">
        <v>0</v>
      </c>
      <c r="DH54" s="127">
        <v>0</v>
      </c>
      <c r="DI54" s="127">
        <v>0</v>
      </c>
      <c r="DJ54" s="127">
        <v>0</v>
      </c>
      <c r="DK54" s="127">
        <v>0</v>
      </c>
      <c r="DL54" s="127">
        <v>0</v>
      </c>
      <c r="DM54" s="304">
        <f>INDEX(Input!$1:$1048576,DM$10,$C54*2+6)</f>
        <v>21036.84210526316</v>
      </c>
      <c r="DN54" s="20">
        <v>0</v>
      </c>
      <c r="DO54" s="20">
        <v>0</v>
      </c>
      <c r="DP54" s="20">
        <v>0</v>
      </c>
      <c r="DQ54" s="20">
        <v>0</v>
      </c>
      <c r="DR54" s="20">
        <v>0</v>
      </c>
      <c r="DS54" s="20">
        <f>INDEX(Input!$1:$1048576,DS$10,$C54*2+6)</f>
        <v>0.6</v>
      </c>
      <c r="DT54" s="20">
        <f>INDEX(Input!$1:$1048576,DT$10,$C54*2+6)</f>
        <v>0.55000000000000004</v>
      </c>
      <c r="DU54" s="20">
        <f>INDEX(Input!$1:$1048576,DU$10,$C54*2+6)</f>
        <v>0.52</v>
      </c>
      <c r="DV54" s="20">
        <f>INDEX(Input!$1:$1048576,DV$10,$C54*2+6)</f>
        <v>0.5</v>
      </c>
      <c r="DW54" s="20">
        <f>INDEX(Input!$1:$1048576,DW$10,$C54*2+6)</f>
        <v>0.45</v>
      </c>
      <c r="DX54" s="20"/>
      <c r="DY54" s="7">
        <v>9.1612569135030575E-2</v>
      </c>
      <c r="DZ54" s="7">
        <v>0</v>
      </c>
      <c r="EA54" s="7">
        <v>0.64779336275157107</v>
      </c>
      <c r="EB54" s="7">
        <v>0</v>
      </c>
      <c r="EC54" s="7">
        <v>0</v>
      </c>
      <c r="ED54" s="7">
        <v>0</v>
      </c>
      <c r="EE54" s="7">
        <v>0</v>
      </c>
      <c r="EF54" s="7">
        <v>0</v>
      </c>
      <c r="EG54" s="7">
        <v>0</v>
      </c>
      <c r="EH54" s="7">
        <v>6.3633953029530056E-3</v>
      </c>
      <c r="EI54" s="7">
        <v>1.7807220342195347E-2</v>
      </c>
      <c r="EJ54" s="7">
        <v>0.14286805708889405</v>
      </c>
      <c r="EK54" s="7">
        <v>0.62054292058686267</v>
      </c>
      <c r="EL54" s="7">
        <v>0.21241840667909517</v>
      </c>
      <c r="EM54" s="7">
        <v>8.5901689002795267E-2</v>
      </c>
      <c r="EN54" s="7">
        <v>6.3114528895157576E-2</v>
      </c>
      <c r="EO54" s="7">
        <v>0.78292541298063978</v>
      </c>
      <c r="EP54" s="7">
        <v>6.3388215552934571E-2</v>
      </c>
      <c r="EQ54" s="7">
        <v>5.918883469038904E-2</v>
      </c>
      <c r="ER54" s="7">
        <v>3.1383007880879062E-2</v>
      </c>
      <c r="ES54" s="7">
        <v>0.17469237911060306</v>
      </c>
      <c r="ET54" s="7">
        <v>0.26059406811339841</v>
      </c>
      <c r="EU54" s="6">
        <v>1410.5</v>
      </c>
      <c r="EV54" s="6">
        <v>0</v>
      </c>
      <c r="EW54" s="6">
        <v>1410.5</v>
      </c>
      <c r="EX54" s="6">
        <v>0</v>
      </c>
      <c r="EY54" s="6">
        <v>2837.4983915819512</v>
      </c>
      <c r="EZ54" s="6">
        <v>2371.3872869564111</v>
      </c>
      <c r="FA54" s="6">
        <v>0</v>
      </c>
      <c r="FB54" s="6">
        <v>0</v>
      </c>
      <c r="FC54" s="6">
        <v>0</v>
      </c>
      <c r="FD54" s="6">
        <v>0</v>
      </c>
      <c r="FE54" s="6">
        <v>0</v>
      </c>
      <c r="FF54" s="6">
        <v>0</v>
      </c>
      <c r="FG54" s="6">
        <v>0</v>
      </c>
      <c r="FH54" s="6">
        <v>1171.9807142911848</v>
      </c>
      <c r="FI54" s="6">
        <v>1553.9796069512392</v>
      </c>
      <c r="FJ54" s="6">
        <v>2101.2110117447405</v>
      </c>
      <c r="FK54" s="6">
        <v>2674.2006261592269</v>
      </c>
      <c r="FL54" s="6">
        <v>2034.7405995769204</v>
      </c>
      <c r="FM54" s="6">
        <v>2426.9983915819512</v>
      </c>
      <c r="FN54" s="6">
        <v>0</v>
      </c>
      <c r="FO54" s="6">
        <v>0</v>
      </c>
      <c r="FP54" s="6">
        <v>0</v>
      </c>
      <c r="FQ54" s="6">
        <v>0</v>
      </c>
      <c r="FR54" s="6">
        <v>0</v>
      </c>
      <c r="FS54" s="6">
        <v>0</v>
      </c>
      <c r="FT54" s="7">
        <v>0.73940593188660164</v>
      </c>
      <c r="FU54" s="7">
        <v>8.5901689002795267E-2</v>
      </c>
      <c r="FV54" s="7">
        <v>0.17469237911060306</v>
      </c>
      <c r="FW54" s="519">
        <v>1410.4999999999998</v>
      </c>
      <c r="FX54" s="519">
        <v>2837.4983915819512</v>
      </c>
      <c r="FY54" s="519">
        <v>2371.3872869564111</v>
      </c>
      <c r="FZ54" s="6">
        <v>1877.610362934483</v>
      </c>
      <c r="GA54" s="6">
        <v>1700.9412582567097</v>
      </c>
      <c r="GB54" s="6">
        <v>18284.058741743291</v>
      </c>
      <c r="GC54" s="7">
        <v>2.9156573141622111E-2</v>
      </c>
      <c r="GD54" s="7">
        <v>2.9203639706649537E-2</v>
      </c>
      <c r="GE54" s="7"/>
      <c r="GF54" s="7"/>
      <c r="GG54" s="7">
        <v>1.6142694410214041E-3</v>
      </c>
      <c r="GH54" s="42">
        <v>-0.18260790327575335</v>
      </c>
      <c r="GI54" s="6">
        <v>-107741.2003002112</v>
      </c>
      <c r="GJ54" s="14">
        <v>0.50394797582841722</v>
      </c>
      <c r="GK54" s="14">
        <v>0.50887573065309755</v>
      </c>
      <c r="GL54" s="14">
        <v>0.49605202417158278</v>
      </c>
      <c r="GM54" s="14">
        <v>0.49112426934690262</v>
      </c>
      <c r="GO54" s="5">
        <v>343.14810671672558</v>
      </c>
      <c r="GP54" s="5">
        <v>316.23845756186267</v>
      </c>
      <c r="GQ54" s="5">
        <v>535.04305713031317</v>
      </c>
      <c r="GR54" s="5">
        <v>410.15490233172511</v>
      </c>
      <c r="GS54" s="5">
        <v>339.42744393800166</v>
      </c>
      <c r="GT54" s="5">
        <v>293.4407446948278</v>
      </c>
      <c r="GU54" s="5">
        <v>258.04012322764959</v>
      </c>
      <c r="GV54" s="39" t="s">
        <v>392</v>
      </c>
      <c r="GW54" s="5">
        <v>488.22222222222223</v>
      </c>
      <c r="GX54" s="5">
        <v>366.16666666666669</v>
      </c>
      <c r="GY54" s="5">
        <v>292.93333333333334</v>
      </c>
      <c r="GZ54" s="5">
        <v>244.11111111111111</v>
      </c>
      <c r="HA54" s="5">
        <v>223.62613151023945</v>
      </c>
      <c r="HB54" s="39">
        <v>250.46170608470129</v>
      </c>
      <c r="HC54" s="5">
        <v>183.53618119565698</v>
      </c>
      <c r="HD54" s="5">
        <v>168.99313181858957</v>
      </c>
      <c r="HE54" s="5">
        <v>175.21767449202321</v>
      </c>
      <c r="HF54" s="5">
        <v>166.07042447158912</v>
      </c>
      <c r="HG54" s="5">
        <v>165.17979191228281</v>
      </c>
      <c r="HH54" s="39">
        <v>170.01290646308217</v>
      </c>
      <c r="HI54" s="16"/>
      <c r="HJ54" s="1">
        <f>INDEX(Input!$1:$1048576,HJ$10,$C54*2+6)</f>
        <v>0.3161490683229814</v>
      </c>
      <c r="HK54" s="1">
        <f>INDEX(Input!$1:$1048576,HK$10,$C54*2+6)</f>
        <v>0.52422360248447208</v>
      </c>
      <c r="HL54" s="1">
        <f>INDEX(Input!$1:$1048576,HL$10,$C54*2+6)</f>
        <v>0.15962732919254657</v>
      </c>
      <c r="HM54" s="19"/>
    </row>
    <row r="55" spans="1:221" s="60" customFormat="1" ht="15.75" thickBot="1">
      <c r="A55" s="31">
        <f>C55*1000+B55</f>
        <v>4001</v>
      </c>
      <c r="B55" s="31">
        <f t="shared" si="60"/>
        <v>1</v>
      </c>
      <c r="C55" s="508">
        <v>4</v>
      </c>
      <c r="D55" s="31" t="s">
        <v>566</v>
      </c>
      <c r="E55" s="365">
        <f>INDEX(Input!$1:$1048576,E$10,$C55*2+MIN($B55,2)+5)</f>
        <v>1000</v>
      </c>
      <c r="F55" s="366">
        <f>INDEX(Input!$1:$1048576,F$10,$C55*2+MIN($B55,2)+5)</f>
        <v>0</v>
      </c>
      <c r="G55" s="49">
        <f>INDEX(Input!$1:$1048576,G$10,$C55*2+MIN($B55,2)+5)</f>
        <v>0</v>
      </c>
      <c r="H55" s="49">
        <f>INDEX(Input!$1:$1048576,H$10,$C55*2+MIN($B55,2)+5)</f>
        <v>0</v>
      </c>
      <c r="I55" s="367">
        <f>INDEX(Input!$1:$1048576,I$10,$C55*2+MIN($B55,2)+5)</f>
        <v>0.7</v>
      </c>
      <c r="J55" s="367" t="str">
        <f>INDEX(Input!$1:$1048576,J$10,$C55*2+MIN($B55,2)+5)</f>
        <v>Market</v>
      </c>
      <c r="K55" s="367" t="str">
        <f>INDEX(Input!$1:$1048576,K$10,$C55*2+MIN($B55,2)+5)</f>
        <v>Market</v>
      </c>
      <c r="L55" s="367" t="str">
        <f>INDEX(Input!$1:$1048576,L$10,$C55*2+MIN($B55,2)+5)</f>
        <v>Market</v>
      </c>
      <c r="M55" s="367" t="str">
        <f>INDEX(Input!$1:$1048576,M$10,$C55*2+MIN($B55,2)+5)</f>
        <v>Market</v>
      </c>
      <c r="N55" s="367" t="str">
        <f>INDEX(Input!$1:$1048576,N$10,$C55*2+MIN($B55,2)+5)</f>
        <v>Market</v>
      </c>
      <c r="O55" s="367" t="str">
        <f>INDEX(Input!$1:$1048576,O$10,$C55*2+MIN($B55,2)+5)</f>
        <v>Market</v>
      </c>
      <c r="P55" s="367" t="str">
        <f>INDEX(Input!$1:$1048576,P$10,$C55*2+MIN($B55,2)+5)</f>
        <v>N</v>
      </c>
      <c r="Q55" s="47">
        <f>INDEX(Input!$1:$1048576,Q$10,$C55*2+MIN($B55,2)+5)</f>
        <v>0</v>
      </c>
      <c r="R55" s="38">
        <f>INDEX(Input!$1:$1048576,R$10,$C55*2+MIN($B55,2)+5)</f>
        <v>0</v>
      </c>
      <c r="S55" s="38">
        <f>INDEX(Input!$1:$1048576,S$10,$C55*2+MIN($B55,2)+5)</f>
        <v>0</v>
      </c>
      <c r="T55" s="38">
        <f>INDEX(Input!$1:$1048576,T$10,$C55*2+MIN($B55,2)+5)</f>
        <v>0</v>
      </c>
      <c r="U55" s="38">
        <f>INDEX(Input!$1:$1048576,U$10,$C55*2+MIN($B55,2)+5)</f>
        <v>0</v>
      </c>
      <c r="V55" s="38">
        <f>INDEX(Input!$1:$1048576,V$10,$C55*2+MIN($B55,2)+5)</f>
        <v>1.9E-2</v>
      </c>
      <c r="W55" s="38">
        <f>INDEX(Input!$1:$1048576,W$10,$C55*2+MIN($B55,2)+5)</f>
        <v>3.9E-2</v>
      </c>
      <c r="X55" s="367" t="str">
        <f>INDEX(Input!$1:$1048576,X$10,$C55*2+MIN($B55,2)+5)</f>
        <v>Y</v>
      </c>
      <c r="Y55" s="517">
        <f>HM26-500</f>
        <v>51.472419728821478</v>
      </c>
      <c r="Z55" s="49">
        <f>INDEX(Input!$1:$1048576,Z$10,$C55*2+MIN($B55,2)+5)</f>
        <v>0</v>
      </c>
      <c r="AA55" s="49">
        <f>INDEX(Input!$1:$1048576,AA$10,$C55*2+MIN($B55,2)+5)</f>
        <v>1000</v>
      </c>
      <c r="AB55" s="367">
        <f>INDEX(Input!$1:$1048576,AB$10,$C55*2+MIN($B55,2)+5)</f>
        <v>0.27</v>
      </c>
      <c r="AC55" s="49">
        <f>INDEX(Input!$1:$1048576,AC$10,$C55*2+MIN($B55,2)+5)</f>
        <v>1000</v>
      </c>
      <c r="AD55" s="367">
        <f>INDEX(Input!$1:$1048576,AD$10,$C55*2+MIN($B55,2)+5)</f>
        <v>0.27</v>
      </c>
      <c r="AE55" s="49">
        <f>INDEX(Input!$1:$1048576,AE$10,$C55*2+MIN($B55,2)+5)</f>
        <v>500</v>
      </c>
      <c r="AF55" s="367">
        <f>INDEX(Input!$1:$1048576,AF$10,$C55*2+MIN($B55,2)+5)</f>
        <v>1</v>
      </c>
      <c r="AG55" s="49">
        <f>INDEX(Input!$1:$1048576,AG$10,$C55*2+MIN($B55,2)+5)</f>
        <v>0</v>
      </c>
      <c r="AH55" s="367">
        <f>INDEX(Input!$1:$1048576,AH$10,$C55*2+MIN($B55,2)+5)</f>
        <v>0.83199999999999996</v>
      </c>
      <c r="AI55" s="49">
        <f>INDEX(Input!$1:$1048576,AI$10,$C55*2+MIN($B55,2)+5)</f>
        <v>0</v>
      </c>
      <c r="AJ55" s="367">
        <f>INDEX(Input!$1:$1048576,AJ$10,$C55*2+MIN($B55,2)+5)</f>
        <v>0.27</v>
      </c>
      <c r="AK55" s="298">
        <f>INDEX(Input!$1:$1048576,AK$10,$C55*2+MIN($B55,2)+5)</f>
        <v>3383.7164157747852</v>
      </c>
      <c r="AL55" s="49">
        <f>INDEX(Input!$1:$1048576,AL$10,$C55*2+MIN($B55,2)+5)</f>
        <v>3383.7164157747852</v>
      </c>
      <c r="AM55" s="46" t="str">
        <f>IF(K55="market","std",ROUND(K55*1000,0)/10)&amp;"/"&amp;IF(L55="market","std",ROUND(L55*1000,0)/10)&amp;"/"&amp;IF(M55="market","std",ROUND(M55*1000,0)/10)&amp;"/"&amp;IF(N55="market","std",ROUND(N55*1000,0)/10)&amp;IF(P55="N","","/"&amp;IF(O55="market","std",ROUND(O55*1000,0)/10))</f>
        <v>std/std/std/std</v>
      </c>
      <c r="AN55" s="46" t="str">
        <f>"$"&amp;ROUND(Q55,0)&amp;" + "&amp;IF(S55="market","std",ROUND(S55*1000,0)/10)&amp;"/"&amp;IF(T55="market","std",ROUND(T55*1000,0)/10)&amp;"/"&amp;IF(U55="market","std",ROUND(U55*1000,0)/10)&amp;"/"&amp;IF(V55="market","std",ROUND(V55*1000,0)/10)&amp;IF(X55="N","","/"&amp;IF(W55="market","std",ROUND(W55*1000,0)/10))</f>
        <v>$0 + 0/0/0/1.9/3.9</v>
      </c>
      <c r="AO55" s="44" t="str">
        <f>IF(S55="market","std",ROUND(S55*1000,0)/10)&amp;"/"&amp;IF(T55="market","std",ROUND(T55*1000,0)/10)&amp;"/"&amp;IF(U55="market","std",ROUND(U55*1000,0)/10)&amp;"/"&amp;IF(V55="market","std",ROUND(V55*1000,0)/10)&amp;IF(X55="N","","/"&amp;IF(W55="market","std",ROUND(W55*1000,0)/10))</f>
        <v>0/0/0/1.9/3.9</v>
      </c>
      <c r="AP55" s="44" t="str">
        <f>IF(T55="market","std",ROUND(T55*1000,0)/10)&amp;"/"&amp;IF(U55="market","std",ROUND(U55*1000,0)/10)&amp;"/"&amp;IF(V55="market","std",ROUND(V55*1000,0)/10)&amp;IF(X55="N","","/"&amp;IF(W55="market","std",ROUND(W55*1000,0)/10))</f>
        <v>0/0/1.9/3.9</v>
      </c>
      <c r="AQ55" s="49">
        <f t="shared" si="81"/>
        <v>770</v>
      </c>
      <c r="AR55" s="44" t="str">
        <f t="shared" si="82"/>
        <v>0/1.9</v>
      </c>
      <c r="AS55" s="368"/>
      <c r="AT55" s="50">
        <f t="shared" si="83"/>
        <v>10</v>
      </c>
      <c r="AU55" s="45" t="s">
        <v>121</v>
      </c>
      <c r="AV55" s="45" t="s">
        <v>116</v>
      </c>
      <c r="AW55" s="45" t="str">
        <f>INDEX(Input!$1:$1048576,AW$10,$C55*2+6)</f>
        <v>Kia</v>
      </c>
      <c r="AX55" s="45" t="str">
        <f>INDEX(Input!$1:$1048576,AX$10,$C55*2+6)</f>
        <v>Kia-LR - R1</v>
      </c>
      <c r="AY55" s="10" t="str">
        <f>IF(D55="Skip","",INDEX(Input!$1:$1048576,AY$10,$C55*2+6))</f>
        <v>Compact SUV (52)</v>
      </c>
      <c r="AZ55" s="45" t="str">
        <f>INDEX(Input!$1:$1048576,AZ$10,$C55*2+6)</f>
        <v>Kia Soul</v>
      </c>
      <c r="BA55" s="50">
        <f>INDEX(Input!$1:$1048576,BA$10,$C55*2+6)</f>
        <v>2020</v>
      </c>
      <c r="BB55" s="367">
        <f>INDEX(Input!$1:$1048576,BB$10,$C55*2+6)</f>
        <v>1</v>
      </c>
      <c r="BC55" s="367">
        <f>INDEX(Input!$1:$1048576,BC$10,$C55*2+6)</f>
        <v>0.7</v>
      </c>
      <c r="BD55" s="38">
        <f>INDEX(Input!$1:$1048576,BD$10,$C55*2+6)</f>
        <v>4.4999999999999998E-2</v>
      </c>
      <c r="BE55" s="38">
        <f>INDEX(Input!$1:$1048576,BE$10,$C55*2+6)</f>
        <v>4.4999999999999998E-2</v>
      </c>
      <c r="BF55" s="38">
        <f>INDEX(Input!$1:$1048576,BF$10,$C55*2+6)</f>
        <v>0.05</v>
      </c>
      <c r="BG55" s="38">
        <f>INDEX(Input!$1:$1048576,BG$10,$C55*2+6)</f>
        <v>5.45E-2</v>
      </c>
      <c r="BH55" s="38">
        <f>INDEX(Input!$1:$1048576,BH$10,$C55*2+6)</f>
        <v>5.45E-2</v>
      </c>
      <c r="BI55" s="38">
        <f>INDEX(Input!$1:$1048576,BI$10,$C55*2+6)</f>
        <v>0.05</v>
      </c>
      <c r="BJ55" s="38">
        <f>INDEX(Input!$1:$1048576,BJ$10,$C55*2+6)</f>
        <v>0.05</v>
      </c>
      <c r="BK55" s="38">
        <f>INDEX(Input!$1:$1048576,BK$10,$C55*2+6)</f>
        <v>0.05</v>
      </c>
      <c r="BL55" s="38">
        <f>INDEX(Input!$1:$1048576,BL$10,$C55*2+6)</f>
        <v>5.5E-2</v>
      </c>
      <c r="BM55" s="38">
        <f>INDEX(Input!$1:$1048576,BM$10,$C55*2+6)</f>
        <v>0.06</v>
      </c>
      <c r="BN55" s="38">
        <f>INDEX(Input!$1:$1048576,BN$10,$C55*2+6)</f>
        <v>4.4999999999999998E-2</v>
      </c>
      <c r="BO55" s="38">
        <f>INDEX(Input!$1:$1048576,BO$10,$C55*2+6)</f>
        <v>4.4999999999999998E-2</v>
      </c>
      <c r="BP55" s="38">
        <f>INDEX(Input!$1:$1048576,BP$10,$C55*2+6)</f>
        <v>0.05</v>
      </c>
      <c r="BQ55" s="38">
        <f>INDEX(Input!$1:$1048576,BQ$10,$C55*2+6)</f>
        <v>5.45E-2</v>
      </c>
      <c r="BR55" s="38">
        <f>INDEX(Input!$1:$1048576,BR$10,$C55*2+6)</f>
        <v>5.45E-2</v>
      </c>
      <c r="BS55" s="38">
        <f>INDEX(Input!$1:$1048576,BS$10,$C55*2+6)</f>
        <v>0.05</v>
      </c>
      <c r="BT55" s="38">
        <f>INDEX(Input!$1:$1048576,BT$10,$C55*2+6)</f>
        <v>0.05</v>
      </c>
      <c r="BU55" s="38">
        <f>INDEX(Input!$1:$1048576,BU$10,$C55*2+6)</f>
        <v>0.05</v>
      </c>
      <c r="BV55" s="38">
        <f>INDEX(Input!$1:$1048576,BV$10,$C55*2+6)</f>
        <v>5.5E-2</v>
      </c>
      <c r="BW55" s="38">
        <f>INDEX(Input!$1:$1048576,BW$10,$C55*2+6)</f>
        <v>0.06</v>
      </c>
      <c r="BX55" s="49">
        <f>INDEX(Input!$1:$1048576,BX$10,$C55*2+6)</f>
        <v>19985</v>
      </c>
      <c r="BY55" s="367">
        <f>INDEX(Input!$1:$1048576,BY$10,$C55*2+6)</f>
        <v>0.1</v>
      </c>
      <c r="BZ55" s="367">
        <f>INDEX(Input!$1:$1048576,BZ$10,$C55*2+6)</f>
        <v>0.1</v>
      </c>
      <c r="CA55" s="367">
        <f>INDEX(Input!$1:$1048576,CA$10,$C55*2+6)</f>
        <v>0.1</v>
      </c>
      <c r="CB55" s="367">
        <f>INDEX(Input!$1:$1048576,CB$10,$C55*2+6)</f>
        <v>0.1</v>
      </c>
      <c r="CC55" s="367">
        <f>INDEX(Input!$1:$1048576,CC$10,$C55*2+6)</f>
        <v>0.1</v>
      </c>
      <c r="CD55" s="367">
        <f>INDEX(Input!$1:$1048576,CD$10,$C55*2+6)</f>
        <v>0.1</v>
      </c>
      <c r="CE55" s="367">
        <f>INDEX(Input!$1:$1048576,CE$10,$C55*2+6)</f>
        <v>0.1</v>
      </c>
      <c r="CF55" s="367">
        <f>INDEX(Input!$1:$1048576,CF$10,$C55*2+6)</f>
        <v>0.1</v>
      </c>
      <c r="CG55" s="367">
        <f>INDEX(Input!$1:$1048576,CG$10,$C55*2+6)</f>
        <v>0.1</v>
      </c>
      <c r="CH55" s="48">
        <f>INDEX(Input!$1:$1048576,CH$10,$C55*2+6)</f>
        <v>0.1</v>
      </c>
      <c r="CI55" s="298">
        <f t="shared" si="61"/>
        <v>1270</v>
      </c>
      <c r="CJ55" s="46" t="str">
        <f>INDEX(Input!$1:$1048576,CJ$10,$C55*2+6)</f>
        <v>N</v>
      </c>
      <c r="CK55" s="38" t="str">
        <f t="shared" si="62"/>
        <v>Market</v>
      </c>
      <c r="CL55" s="38" t="str">
        <f t="shared" si="63"/>
        <v>Market</v>
      </c>
      <c r="CM55" s="38" t="str">
        <f t="shared" si="64"/>
        <v>Market</v>
      </c>
      <c r="CN55" s="38" t="str">
        <f t="shared" si="65"/>
        <v>Market</v>
      </c>
      <c r="CO55" s="38" t="str">
        <f t="shared" si="66"/>
        <v>Market</v>
      </c>
      <c r="CP55" s="49">
        <f t="shared" si="67"/>
        <v>0</v>
      </c>
      <c r="CQ55" s="38">
        <f t="shared" si="68"/>
        <v>0</v>
      </c>
      <c r="CR55" s="38">
        <f t="shared" si="69"/>
        <v>0</v>
      </c>
      <c r="CS55" s="38">
        <f t="shared" si="70"/>
        <v>0</v>
      </c>
      <c r="CT55" s="38">
        <f t="shared" si="71"/>
        <v>0</v>
      </c>
      <c r="CU55" s="38">
        <f t="shared" si="72"/>
        <v>1.9E-2</v>
      </c>
      <c r="CV55" s="49">
        <f t="shared" si="73"/>
        <v>321.47241972882148</v>
      </c>
      <c r="CW55" s="22" t="s">
        <v>122</v>
      </c>
      <c r="CX55" s="22" t="s">
        <v>122</v>
      </c>
      <c r="CY55" s="22" t="s">
        <v>122</v>
      </c>
      <c r="CZ55" s="22" t="s">
        <v>122</v>
      </c>
      <c r="DA55" s="22" t="s">
        <v>122</v>
      </c>
      <c r="DB55" s="502">
        <f t="shared" si="74"/>
        <v>500</v>
      </c>
      <c r="DC55" s="29">
        <v>0</v>
      </c>
      <c r="DD55" s="29">
        <v>0</v>
      </c>
      <c r="DE55" s="29">
        <v>0</v>
      </c>
      <c r="DF55" s="49">
        <v>0</v>
      </c>
      <c r="DG55" s="49">
        <v>0</v>
      </c>
      <c r="DH55" s="49">
        <v>0</v>
      </c>
      <c r="DI55" s="49">
        <v>0</v>
      </c>
      <c r="DJ55" s="49">
        <v>0</v>
      </c>
      <c r="DK55" s="29">
        <v>0</v>
      </c>
      <c r="DL55" s="29">
        <v>0</v>
      </c>
      <c r="DM55" s="49">
        <f>INDEX(Input!$1:$1048576,DM$10,$C55*2+6)</f>
        <v>21036.84210526316</v>
      </c>
      <c r="DN55" s="367">
        <v>0</v>
      </c>
      <c r="DO55" s="367">
        <v>0</v>
      </c>
      <c r="DP55" s="367">
        <v>0</v>
      </c>
      <c r="DQ55" s="367">
        <v>0</v>
      </c>
      <c r="DR55" s="367">
        <v>0</v>
      </c>
      <c r="DS55" s="367">
        <f>INDEX(Input!$1:$1048576,DS$10,$C55*2+6)</f>
        <v>0.6</v>
      </c>
      <c r="DT55" s="367">
        <f>INDEX(Input!$1:$1048576,DT$10,$C55*2+6)</f>
        <v>0.55000000000000004</v>
      </c>
      <c r="DU55" s="367">
        <f>INDEX(Input!$1:$1048576,DU$10,$C55*2+6)</f>
        <v>0.52</v>
      </c>
      <c r="DV55" s="367">
        <f>INDEX(Input!$1:$1048576,DV$10,$C55*2+6)</f>
        <v>0.5</v>
      </c>
      <c r="DW55" s="367">
        <f>INDEX(Input!$1:$1048576,DW$10,$C55*2+6)</f>
        <v>0.45</v>
      </c>
      <c r="DX55" s="369"/>
      <c r="DY55" s="4">
        <v>9.603885726974136E-2</v>
      </c>
      <c r="DZ55" s="37">
        <v>0</v>
      </c>
      <c r="EA55" s="37">
        <v>0.76983857871117745</v>
      </c>
      <c r="EB55" s="37">
        <v>0</v>
      </c>
      <c r="EC55" s="37">
        <v>0</v>
      </c>
      <c r="ED55" s="37">
        <v>0</v>
      </c>
      <c r="EE55" s="37">
        <v>0</v>
      </c>
      <c r="EF55" s="37">
        <v>0</v>
      </c>
      <c r="EG55" s="37">
        <v>0</v>
      </c>
      <c r="EH55" s="37">
        <v>6.4230650143667807E-3</v>
      </c>
      <c r="EI55" s="37">
        <v>1.6778578273180928E-2</v>
      </c>
      <c r="EJ55" s="37">
        <v>0.11770857708952925</v>
      </c>
      <c r="EK55" s="37">
        <v>0.65818568291297153</v>
      </c>
      <c r="EL55" s="37">
        <v>0.20090409670995169</v>
      </c>
      <c r="EM55" s="37">
        <v>7.8985139506865421E-2</v>
      </c>
      <c r="EN55" s="37">
        <v>5.0178020199196448E-2</v>
      </c>
      <c r="EO55" s="37">
        <v>0.70953400565457014</v>
      </c>
      <c r="EP55" s="37">
        <v>0.10407933445347221</v>
      </c>
      <c r="EQ55" s="37">
        <v>9.1442146148100784E-2</v>
      </c>
      <c r="ER55" s="37">
        <v>4.4766493544660661E-2</v>
      </c>
      <c r="ES55" s="37">
        <v>5.5137424512215753E-2</v>
      </c>
      <c r="ET55" s="37">
        <v>0.13412256401908113</v>
      </c>
      <c r="EU55" s="36">
        <v>1490</v>
      </c>
      <c r="EV55" s="36">
        <v>0</v>
      </c>
      <c r="EW55" s="36">
        <v>1490</v>
      </c>
      <c r="EX55" s="36">
        <v>0</v>
      </c>
      <c r="EY55" s="36">
        <v>2939.826125244037</v>
      </c>
      <c r="EZ55" s="36">
        <v>406.75254502461655</v>
      </c>
      <c r="FA55" s="36">
        <v>0</v>
      </c>
      <c r="FB55" s="36">
        <v>0</v>
      </c>
      <c r="FC55" s="36">
        <v>0</v>
      </c>
      <c r="FD55" s="36">
        <v>0</v>
      </c>
      <c r="FE55" s="36">
        <v>0</v>
      </c>
      <c r="FF55" s="36">
        <v>0</v>
      </c>
      <c r="FG55" s="36">
        <v>0</v>
      </c>
      <c r="FH55" s="36">
        <v>1169.8014620394592</v>
      </c>
      <c r="FI55" s="36">
        <v>1553.9796069512395</v>
      </c>
      <c r="FJ55" s="36">
        <v>2101.211011744741</v>
      </c>
      <c r="FK55" s="36">
        <v>2674.2006261592278</v>
      </c>
      <c r="FL55" s="36">
        <v>2034.7405995769218</v>
      </c>
      <c r="FM55" s="36">
        <v>2449.826125244037</v>
      </c>
      <c r="FN55" s="36">
        <v>0</v>
      </c>
      <c r="FO55" s="36">
        <v>0</v>
      </c>
      <c r="FP55" s="36">
        <v>0</v>
      </c>
      <c r="FQ55" s="36">
        <v>0</v>
      </c>
      <c r="FR55" s="36">
        <v>0</v>
      </c>
      <c r="FS55" s="36">
        <v>0</v>
      </c>
      <c r="FT55" s="37">
        <v>0.86587743598091882</v>
      </c>
      <c r="FU55" s="37">
        <v>7.8985139506865421E-2</v>
      </c>
      <c r="FV55" s="37">
        <v>5.5137424512215753E-2</v>
      </c>
      <c r="FW55" s="518">
        <v>1490</v>
      </c>
      <c r="FX55" s="518">
        <v>2939.826125244037</v>
      </c>
      <c r="FY55" s="518">
        <v>406.75254502461655</v>
      </c>
      <c r="FZ55" s="36">
        <v>1967.1476439350847</v>
      </c>
      <c r="GA55" s="36">
        <v>1544.7872439863434</v>
      </c>
      <c r="GB55" s="36">
        <v>18440.212756013658</v>
      </c>
      <c r="GC55" s="37">
        <v>3.3872851927908169E-2</v>
      </c>
      <c r="GD55" s="37">
        <v>3.2851964091612035E-2</v>
      </c>
      <c r="GE55" s="37"/>
      <c r="GF55" s="37"/>
      <c r="GG55" s="37">
        <v>-3.0138821451140205E-2</v>
      </c>
      <c r="GH55" s="35">
        <v>1.4260909563825976</v>
      </c>
      <c r="GI55" s="36">
        <v>15558.619889481601</v>
      </c>
      <c r="GJ55" s="34">
        <v>0.50394797582841722</v>
      </c>
      <c r="GK55" s="34">
        <v>0.50887573065309744</v>
      </c>
      <c r="GL55" s="34">
        <v>0.49605202417158278</v>
      </c>
      <c r="GM55" s="33">
        <v>0.49112426934690256</v>
      </c>
      <c r="GN55" s="61"/>
      <c r="GO55" s="13">
        <v>343.14810671672558</v>
      </c>
      <c r="GP55" s="27">
        <v>314.72174922594519</v>
      </c>
      <c r="GQ55" s="27">
        <v>535.04305713031317</v>
      </c>
      <c r="GR55" s="27">
        <v>410.15490233172511</v>
      </c>
      <c r="GS55" s="27">
        <v>339.42744393800166</v>
      </c>
      <c r="GT55" s="27">
        <v>293.4407446948278</v>
      </c>
      <c r="GU55" s="27">
        <v>258.04012322764959</v>
      </c>
      <c r="GV55" s="29" t="s">
        <v>392</v>
      </c>
      <c r="GW55" s="27">
        <v>486.01388888888891</v>
      </c>
      <c r="GX55" s="27">
        <v>364.51041666666669</v>
      </c>
      <c r="GY55" s="27">
        <v>291.60833333333335</v>
      </c>
      <c r="GZ55" s="27">
        <v>243.00694444444446</v>
      </c>
      <c r="HA55" s="27">
        <v>222.61462277929587</v>
      </c>
      <c r="HB55" s="29">
        <v>248.23034873342812</v>
      </c>
      <c r="HC55" s="27">
        <v>269.48895115517297</v>
      </c>
      <c r="HD55" s="27">
        <v>227.659308140164</v>
      </c>
      <c r="HE55" s="27">
        <v>229.68591333083739</v>
      </c>
      <c r="HF55" s="27">
        <v>211.50260287876185</v>
      </c>
      <c r="HG55" s="27">
        <v>202.8352911326422</v>
      </c>
      <c r="HH55" s="12">
        <v>227.38047653083692</v>
      </c>
      <c r="HI55" s="94"/>
      <c r="HJ55" s="24">
        <f>INDEX(Input!$1:$1048576,HJ$10,$C55*2+6)</f>
        <v>0.42636324602833836</v>
      </c>
      <c r="HK55" s="18">
        <f>INDEX(Input!$1:$1048576,HK$10,$C55*2+6)</f>
        <v>0.52211249463288967</v>
      </c>
      <c r="HL55" s="43">
        <f>INDEX(Input!$1:$1048576,HL$10,$C55*2+6)</f>
        <v>5.1524259338772006E-2</v>
      </c>
      <c r="HM55" s="49">
        <f>ROUND(IF(HL55&lt;FV56,TREND(Y55:Y56,FV55:FV56,HL55),TREND(Y56:Y57,FV56:FV57,HL55)),0)</f>
        <v>-73</v>
      </c>
    </row>
    <row r="56" spans="1:221" s="26" customFormat="1" ht="15">
      <c r="A56" s="117">
        <f t="shared" ref="A56:A57" si="94">C56*1000+B56</f>
        <v>4002</v>
      </c>
      <c r="B56" s="117">
        <f t="shared" si="60"/>
        <v>2</v>
      </c>
      <c r="C56" s="117">
        <f t="shared" si="76"/>
        <v>4</v>
      </c>
      <c r="D56" s="117" t="s">
        <v>568</v>
      </c>
      <c r="E56" s="115">
        <f>INDEX(Input!$1:$1048576,E$10,$C56*2+6)</f>
        <v>1000</v>
      </c>
      <c r="F56" s="115">
        <f>INDEX(Input!$1:$1048576,F$10,$C56*2+6)</f>
        <v>0</v>
      </c>
      <c r="G56" s="115">
        <f>INDEX(Input!$1:$1048576,G$10,$C56*2+6)</f>
        <v>0</v>
      </c>
      <c r="H56" s="115">
        <f>INDEX(Input!$1:$1048576,H$10,$C56*2+6)</f>
        <v>0</v>
      </c>
      <c r="I56" s="118">
        <f>INDEX(Input!$1:$1048576,I$10,$C56*2+6)</f>
        <v>0.7</v>
      </c>
      <c r="J56" s="118" t="str">
        <f>INDEX(Input!$1:$1048576,J$10,$C56*2+6)</f>
        <v>Market</v>
      </c>
      <c r="K56" s="118" t="str">
        <f>INDEX(Input!$1:$1048576,K$10,$C56*2+6)</f>
        <v>Market</v>
      </c>
      <c r="L56" s="118" t="str">
        <f>INDEX(Input!$1:$1048576,L$10,$C56*2+6)</f>
        <v>Market</v>
      </c>
      <c r="M56" s="118" t="str">
        <f>INDEX(Input!$1:$1048576,M$10,$C56*2+6)</f>
        <v>Market</v>
      </c>
      <c r="N56" s="118" t="str">
        <f>INDEX(Input!$1:$1048576,N$10,$C56*2+6)</f>
        <v>Market</v>
      </c>
      <c r="O56" s="118" t="str">
        <f>INDEX(Input!$1:$1048576,O$10,$C56*2+6)</f>
        <v>Market</v>
      </c>
      <c r="P56" s="118" t="str">
        <f>INDEX(Input!$1:$1048576,P$10,$C56*2+6)</f>
        <v>N</v>
      </c>
      <c r="Q56" s="30">
        <f>INDEX(Input!$1:$1048576,Q$10,$C56*2+6)</f>
        <v>0</v>
      </c>
      <c r="R56" s="383">
        <f>INDEX(Input!$1:$1048576,R$10,$C56*2+6)</f>
        <v>0</v>
      </c>
      <c r="S56" s="383">
        <f>INDEX(Input!$1:$1048576,S$10,$C56*2+6)</f>
        <v>0</v>
      </c>
      <c r="T56" s="383">
        <f>INDEX(Input!$1:$1048576,T$10,$C56*2+6)</f>
        <v>0</v>
      </c>
      <c r="U56" s="383">
        <f>INDEX(Input!$1:$1048576,U$10,$C56*2+6)</f>
        <v>0</v>
      </c>
      <c r="V56" s="383">
        <f>INDEX(Input!$1:$1048576,V$10,$C56*2+6)</f>
        <v>1.9E-2</v>
      </c>
      <c r="W56" s="383">
        <f>INDEX(Input!$1:$1048576,W$10,$C56*2+6)</f>
        <v>3.9E-2</v>
      </c>
      <c r="X56" s="118" t="str">
        <f>INDEX(Input!$1:$1048576,X$10,$C56*2+6)</f>
        <v>Y</v>
      </c>
      <c r="Y56" s="520">
        <f>Y55+500</f>
        <v>551.47241972882148</v>
      </c>
      <c r="Z56" s="30">
        <f>INDEX(Input!$1:$1048576,Z$10,$C56*2+6)</f>
        <v>0</v>
      </c>
      <c r="AA56" s="115">
        <f>INDEX(Input!$1:$1048576,AA$10,$C56*2+6)</f>
        <v>1000</v>
      </c>
      <c r="AB56" s="118">
        <f>INDEX(Input!$1:$1048576,AB$10,$C56*2+6)</f>
        <v>0.27</v>
      </c>
      <c r="AC56" s="115">
        <f>INDEX(Input!$1:$1048576,AC$10,$C56*2+6)</f>
        <v>1000</v>
      </c>
      <c r="AD56" s="118">
        <f>INDEX(Input!$1:$1048576,AD$10,$C56*2+6)</f>
        <v>0.27</v>
      </c>
      <c r="AE56" s="115">
        <f>INDEX(Input!$1:$1048576,AE$10,$C56*2+6)</f>
        <v>500</v>
      </c>
      <c r="AF56" s="118">
        <f>INDEX(Input!$1:$1048576,AF$10,$C56*2+6)</f>
        <v>1</v>
      </c>
      <c r="AG56" s="115">
        <f>INDEX(Input!$1:$1048576,AG$10,$C56*2+6)</f>
        <v>0</v>
      </c>
      <c r="AH56" s="118">
        <f>INDEX(Input!$1:$1048576,AH$10,$C56*2+6)</f>
        <v>0.83199999999999996</v>
      </c>
      <c r="AI56" s="115">
        <f>INDEX(Input!$1:$1048576,AI$10,$C56*2+6)</f>
        <v>0</v>
      </c>
      <c r="AJ56" s="118">
        <f>INDEX(Input!$1:$1048576,AJ$10,$C56*2+6)</f>
        <v>0.27</v>
      </c>
      <c r="AK56" s="150">
        <f>INDEX(Input!$1:$1048576,AK$10,$C55*2+6)+(Y56-VLOOKUP($C56*1000+1,$A:$HH,Y$9,FALSE))</f>
        <v>2935.9388355036067</v>
      </c>
      <c r="AL56" s="150">
        <f>INDEX(Input!$1:$1048576,AL$10,$C55*2+6)-(Y56-VLOOKUP($C56*1000+1,$A:$HH,Y$9,FALSE))/36</f>
        <v>3396.1546818934289</v>
      </c>
      <c r="AM56" s="32" t="str">
        <f t="shared" ref="AM56:AM57" si="95">IF(K56="market","std",ROUND(K56*1000,0)/10)&amp;"/"&amp;IF(L56="market","std",ROUND(L56*1000,0)/10)&amp;"/"&amp;IF(M56="market","std",ROUND(M56*1000,0)/10)&amp;"/"&amp;IF(N56="market","std",ROUND(N56*1000,0)/10)&amp;IF(P56="N","","/"&amp;IF(O56="market","std",ROUND(O56*1000,0)/10))</f>
        <v>std/std/std/std</v>
      </c>
      <c r="AN56" s="32" t="str">
        <f t="shared" ref="AN56:AN57" si="96">"$"&amp;ROUND(Q56,0)&amp;" + "&amp;IF(S56="market","std",ROUND(S56*1000,0)/10)&amp;"/"&amp;IF(T56="market","std",ROUND(T56*1000,0)/10)&amp;"/"&amp;IF(U56="market","std",ROUND(U56*1000,0)/10)&amp;"/"&amp;IF(V56="market","std",ROUND(V56*1000,0)/10)&amp;IF(X56="N","","/"&amp;IF(W56="market","std",ROUND(W56*1000,0)/10))</f>
        <v>$0 + 0/0/0/1.9/3.9</v>
      </c>
      <c r="AO56" s="32" t="str">
        <f t="shared" ref="AO56:AO57" si="97">IF(S56="market","std",ROUND(S56*1000,0)/10)&amp;"/"&amp;IF(T56="market","std",ROUND(T56*1000,0)/10)&amp;"/"&amp;IF(U56="market","std",ROUND(U56*1000,0)/10)&amp;"/"&amp;IF(V56="market","std",ROUND(V56*1000,0)/10)&amp;IF(X56="N","","/"&amp;IF(W56="market","std",ROUND(W56*1000,0)/10))</f>
        <v>0/0/0/1.9/3.9</v>
      </c>
      <c r="AP56" s="32" t="str">
        <f t="shared" ref="AP56:AP57" si="98">IF(T56="market","std",ROUND(T56*1000,0)/10)&amp;"/"&amp;IF(U56="market","std",ROUND(U56*1000,0)/10)&amp;"/"&amp;IF(V56="market","std",ROUND(V56*1000,0)/10)&amp;IF(X56="N","","/"&amp;IF(W56="market","std",ROUND(W56*1000,0)/10))</f>
        <v>0/0/1.9/3.9</v>
      </c>
      <c r="AQ56" s="150">
        <f t="shared" si="81"/>
        <v>770</v>
      </c>
      <c r="AR56" s="32" t="str">
        <f t="shared" si="82"/>
        <v>0/1.9</v>
      </c>
      <c r="AS56" s="302"/>
      <c r="AT56" s="3">
        <f t="shared" si="83"/>
        <v>11</v>
      </c>
      <c r="AU56" s="41" t="s">
        <v>121</v>
      </c>
      <c r="AV56" s="41" t="s">
        <v>116</v>
      </c>
      <c r="AW56" s="41" t="str">
        <f>INDEX(Input!$1:$1048576,AW$10,$C56*2+6)</f>
        <v>Kia</v>
      </c>
      <c r="AX56" s="41" t="str">
        <f>INDEX(Input!$1:$1048576,AX$10,$C56*2+6)</f>
        <v>Kia-LR - R1</v>
      </c>
      <c r="AY56" s="41" t="str">
        <f>IF(D56="Skip","",INDEX(Input!$1:$1048576,AY$10,$C56*2+6))</f>
        <v>Compact SUV (52)</v>
      </c>
      <c r="AZ56" s="41" t="str">
        <f>INDEX(Input!$1:$1048576,AZ$10,$C56*2+6)</f>
        <v>Kia Soul</v>
      </c>
      <c r="BA56" s="3">
        <f>INDEX(Input!$1:$1048576,BA$10,$C56*2+6)</f>
        <v>2020</v>
      </c>
      <c r="BB56" s="128">
        <f>INDEX(Input!$1:$1048576,BB$10,$C56*2+6)</f>
        <v>1</v>
      </c>
      <c r="BC56" s="128">
        <f>INDEX(Input!$1:$1048576,BC$10,$C56*2+6)</f>
        <v>0.7</v>
      </c>
      <c r="BD56" s="1">
        <f>INDEX(Input!$1:$1048576,BD$10,$C56*2+6)</f>
        <v>4.4999999999999998E-2</v>
      </c>
      <c r="BE56" s="1">
        <f>INDEX(Input!$1:$1048576,BE$10,$C56*2+6)</f>
        <v>4.4999999999999998E-2</v>
      </c>
      <c r="BF56" s="1">
        <f>INDEX(Input!$1:$1048576,BF$10,$C56*2+6)</f>
        <v>0.05</v>
      </c>
      <c r="BG56" s="1">
        <f>INDEX(Input!$1:$1048576,BG$10,$C56*2+6)</f>
        <v>5.45E-2</v>
      </c>
      <c r="BH56" s="1">
        <f>INDEX(Input!$1:$1048576,BH$10,$C56*2+6)</f>
        <v>5.45E-2</v>
      </c>
      <c r="BI56" s="1">
        <f>INDEX(Input!$1:$1048576,BI$10,$C56*2+6)</f>
        <v>0.05</v>
      </c>
      <c r="BJ56" s="1">
        <f>INDEX(Input!$1:$1048576,BJ$10,$C56*2+6)</f>
        <v>0.05</v>
      </c>
      <c r="BK56" s="1">
        <f>INDEX(Input!$1:$1048576,BK$10,$C56*2+6)</f>
        <v>0.05</v>
      </c>
      <c r="BL56" s="1">
        <f>INDEX(Input!$1:$1048576,BL$10,$C56*2+6)</f>
        <v>5.5E-2</v>
      </c>
      <c r="BM56" s="1">
        <f>INDEX(Input!$1:$1048576,BM$10,$C56*2+6)</f>
        <v>0.06</v>
      </c>
      <c r="BN56" s="1">
        <f>INDEX(Input!$1:$1048576,BN$10,$C56*2+6)</f>
        <v>4.4999999999999998E-2</v>
      </c>
      <c r="BO56" s="1">
        <f>INDEX(Input!$1:$1048576,BO$10,$C56*2+6)</f>
        <v>4.4999999999999998E-2</v>
      </c>
      <c r="BP56" s="1">
        <f>INDEX(Input!$1:$1048576,BP$10,$C56*2+6)</f>
        <v>0.05</v>
      </c>
      <c r="BQ56" s="1">
        <f>INDEX(Input!$1:$1048576,BQ$10,$C56*2+6)</f>
        <v>5.45E-2</v>
      </c>
      <c r="BR56" s="1">
        <f>INDEX(Input!$1:$1048576,BR$10,$C56*2+6)</f>
        <v>5.45E-2</v>
      </c>
      <c r="BS56" s="1">
        <f>INDEX(Input!$1:$1048576,BS$10,$C56*2+6)</f>
        <v>0.05</v>
      </c>
      <c r="BT56" s="1">
        <f>INDEX(Input!$1:$1048576,BT$10,$C56*2+6)</f>
        <v>0.05</v>
      </c>
      <c r="BU56" s="1">
        <f>INDEX(Input!$1:$1048576,BU$10,$C56*2+6)</f>
        <v>0.05</v>
      </c>
      <c r="BV56" s="1">
        <f>INDEX(Input!$1:$1048576,BV$10,$C56*2+6)</f>
        <v>5.5E-2</v>
      </c>
      <c r="BW56" s="1">
        <f>INDEX(Input!$1:$1048576,BW$10,$C56*2+6)</f>
        <v>0.06</v>
      </c>
      <c r="BX56" s="304">
        <f>INDEX(Input!$1:$1048576,BX$10,$C56*2+6)</f>
        <v>19985</v>
      </c>
      <c r="BY56" s="20">
        <f>INDEX(Input!$1:$1048576,BY$10,$C56*2+6)</f>
        <v>0.1</v>
      </c>
      <c r="BZ56" s="20">
        <f>INDEX(Input!$1:$1048576,BZ$10,$C56*2+6)</f>
        <v>0.1</v>
      </c>
      <c r="CA56" s="20">
        <f>INDEX(Input!$1:$1048576,CA$10,$C56*2+6)</f>
        <v>0.1</v>
      </c>
      <c r="CB56" s="20">
        <f>INDEX(Input!$1:$1048576,CB$10,$C56*2+6)</f>
        <v>0.1</v>
      </c>
      <c r="CC56" s="20">
        <f>INDEX(Input!$1:$1048576,CC$10,$C56*2+6)</f>
        <v>0.1</v>
      </c>
      <c r="CD56" s="384">
        <f>INDEX(Input!$1:$1048576,CD$10,$C56*2+6)</f>
        <v>0.1</v>
      </c>
      <c r="CE56" s="384">
        <f>INDEX(Input!$1:$1048576,CE$10,$C56*2+6)</f>
        <v>0.1</v>
      </c>
      <c r="CF56" s="384">
        <f>INDEX(Input!$1:$1048576,CF$10,$C56*2+6)</f>
        <v>0.1</v>
      </c>
      <c r="CG56" s="384">
        <f>INDEX(Input!$1:$1048576,CG$10,$C56*2+6)</f>
        <v>0.1</v>
      </c>
      <c r="CH56" s="384">
        <f>INDEX(Input!$1:$1048576,CH$10,$C56*2+6)</f>
        <v>0.1</v>
      </c>
      <c r="CI56" s="304">
        <f t="shared" si="61"/>
        <v>1270</v>
      </c>
      <c r="CJ56" s="16" t="str">
        <f>INDEX(Input!$1:$1048576,CJ$10,$C56*2+6)</f>
        <v>N</v>
      </c>
      <c r="CK56" s="1" t="str">
        <f t="shared" si="62"/>
        <v>Market</v>
      </c>
      <c r="CL56" s="1" t="str">
        <f t="shared" si="63"/>
        <v>Market</v>
      </c>
      <c r="CM56" s="1" t="str">
        <f t="shared" si="64"/>
        <v>Market</v>
      </c>
      <c r="CN56" s="1" t="str">
        <f t="shared" si="65"/>
        <v>Market</v>
      </c>
      <c r="CO56" s="1" t="str">
        <f t="shared" si="66"/>
        <v>Market</v>
      </c>
      <c r="CP56" s="304">
        <f t="shared" si="67"/>
        <v>0</v>
      </c>
      <c r="CQ56" s="1">
        <f t="shared" si="68"/>
        <v>0</v>
      </c>
      <c r="CR56" s="1">
        <f t="shared" si="69"/>
        <v>0</v>
      </c>
      <c r="CS56" s="1">
        <f t="shared" si="70"/>
        <v>0</v>
      </c>
      <c r="CT56" s="1">
        <f t="shared" si="71"/>
        <v>0</v>
      </c>
      <c r="CU56" s="1">
        <f t="shared" si="72"/>
        <v>1.9E-2</v>
      </c>
      <c r="CV56" s="304">
        <f t="shared" si="73"/>
        <v>821.47241972882148</v>
      </c>
      <c r="CW56" s="20" t="s">
        <v>122</v>
      </c>
      <c r="CX56" s="20" t="s">
        <v>122</v>
      </c>
      <c r="CY56" s="20" t="s">
        <v>122</v>
      </c>
      <c r="CZ56" s="20" t="s">
        <v>122</v>
      </c>
      <c r="DA56" s="20" t="s">
        <v>122</v>
      </c>
      <c r="DB56" s="503">
        <f t="shared" si="74"/>
        <v>500</v>
      </c>
      <c r="DC56" s="127">
        <v>0</v>
      </c>
      <c r="DD56" s="127">
        <v>0</v>
      </c>
      <c r="DE56" s="127">
        <v>0</v>
      </c>
      <c r="DF56" s="127">
        <v>0</v>
      </c>
      <c r="DG56" s="127">
        <v>0</v>
      </c>
      <c r="DH56" s="127">
        <v>0</v>
      </c>
      <c r="DI56" s="127">
        <v>0</v>
      </c>
      <c r="DJ56" s="127">
        <v>0</v>
      </c>
      <c r="DK56" s="127">
        <v>0</v>
      </c>
      <c r="DL56" s="127">
        <v>0</v>
      </c>
      <c r="DM56" s="304">
        <f>INDEX(Input!$1:$1048576,DM$10,$C56*2+6)</f>
        <v>21036.84210526316</v>
      </c>
      <c r="DN56" s="20">
        <v>0</v>
      </c>
      <c r="DO56" s="20">
        <v>0</v>
      </c>
      <c r="DP56" s="20">
        <v>0</v>
      </c>
      <c r="DQ56" s="20">
        <v>0</v>
      </c>
      <c r="DR56" s="20">
        <v>0</v>
      </c>
      <c r="DS56" s="20">
        <f>INDEX(Input!$1:$1048576,DS$10,$C56*2+6)</f>
        <v>0.6</v>
      </c>
      <c r="DT56" s="20">
        <f>INDEX(Input!$1:$1048576,DT$10,$C56*2+6)</f>
        <v>0.55000000000000004</v>
      </c>
      <c r="DU56" s="20">
        <f>INDEX(Input!$1:$1048576,DU$10,$C56*2+6)</f>
        <v>0.52</v>
      </c>
      <c r="DV56" s="20">
        <f>INDEX(Input!$1:$1048576,DV$10,$C56*2+6)</f>
        <v>0.5</v>
      </c>
      <c r="DW56" s="20">
        <f>INDEX(Input!$1:$1048576,DW$10,$C56*2+6)</f>
        <v>0.45</v>
      </c>
      <c r="DX56" s="20"/>
      <c r="DY56" s="7">
        <v>9.4494969397338091E-2</v>
      </c>
      <c r="DZ56" s="7">
        <v>0</v>
      </c>
      <c r="EA56" s="7">
        <v>0.7580847028837866</v>
      </c>
      <c r="EB56" s="7">
        <v>0</v>
      </c>
      <c r="EC56" s="7">
        <v>0</v>
      </c>
      <c r="ED56" s="7">
        <v>0</v>
      </c>
      <c r="EE56" s="7">
        <v>0</v>
      </c>
      <c r="EF56" s="7">
        <v>0</v>
      </c>
      <c r="EG56" s="7">
        <v>0</v>
      </c>
      <c r="EH56" s="7">
        <v>6.4147721351751341E-3</v>
      </c>
      <c r="EI56" s="7">
        <v>1.6749509871746719E-2</v>
      </c>
      <c r="EJ56" s="7">
        <v>0.11755196971611304</v>
      </c>
      <c r="EK56" s="7">
        <v>0.65834393103788003</v>
      </c>
      <c r="EL56" s="7">
        <v>0.20093981723908466</v>
      </c>
      <c r="EM56" s="7">
        <v>7.7715956325905333E-2</v>
      </c>
      <c r="EN56" s="7">
        <v>5.1753819547921368E-2</v>
      </c>
      <c r="EO56" s="7">
        <v>0.7254459082906527</v>
      </c>
      <c r="EP56" s="7">
        <v>9.6127462186080648E-2</v>
      </c>
      <c r="EQ56" s="7">
        <v>8.4484200602351942E-2</v>
      </c>
      <c r="ER56" s="7">
        <v>4.2188609372993374E-2</v>
      </c>
      <c r="ES56" s="7">
        <v>6.9704371392969935E-2</v>
      </c>
      <c r="ET56" s="7">
        <v>0.14742032771887531</v>
      </c>
      <c r="EU56" s="6">
        <v>1490</v>
      </c>
      <c r="EV56" s="6">
        <v>0</v>
      </c>
      <c r="EW56" s="6">
        <v>1490</v>
      </c>
      <c r="EX56" s="6">
        <v>0</v>
      </c>
      <c r="EY56" s="6">
        <v>2939.9380180804392</v>
      </c>
      <c r="EZ56" s="6">
        <v>906.75254502461655</v>
      </c>
      <c r="FA56" s="6">
        <v>0</v>
      </c>
      <c r="FB56" s="6">
        <v>0</v>
      </c>
      <c r="FC56" s="6">
        <v>0</v>
      </c>
      <c r="FD56" s="6">
        <v>0</v>
      </c>
      <c r="FE56" s="6">
        <v>0</v>
      </c>
      <c r="FF56" s="6">
        <v>0</v>
      </c>
      <c r="FG56" s="6">
        <v>0</v>
      </c>
      <c r="FH56" s="6">
        <v>1169.7954530339009</v>
      </c>
      <c r="FI56" s="6">
        <v>1553.9796069512392</v>
      </c>
      <c r="FJ56" s="6">
        <v>2101.2110117447419</v>
      </c>
      <c r="FK56" s="6">
        <v>2674.2006261592282</v>
      </c>
      <c r="FL56" s="6">
        <v>2034.7405995769207</v>
      </c>
      <c r="FM56" s="6">
        <v>2449.9380180804392</v>
      </c>
      <c r="FN56" s="6">
        <v>0</v>
      </c>
      <c r="FO56" s="6">
        <v>0</v>
      </c>
      <c r="FP56" s="6">
        <v>0</v>
      </c>
      <c r="FQ56" s="6">
        <v>0</v>
      </c>
      <c r="FR56" s="6">
        <v>0</v>
      </c>
      <c r="FS56" s="6">
        <v>0</v>
      </c>
      <c r="FT56" s="7">
        <v>0.85257967228112475</v>
      </c>
      <c r="FU56" s="7">
        <v>7.7715956325905333E-2</v>
      </c>
      <c r="FV56" s="7">
        <v>6.9704371392969935E-2</v>
      </c>
      <c r="FW56" s="519">
        <v>1490</v>
      </c>
      <c r="FX56" s="519">
        <v>2939.9380180804392</v>
      </c>
      <c r="FY56" s="519">
        <v>906.75254502461655</v>
      </c>
      <c r="FZ56" s="6">
        <v>1967.1476439350847</v>
      </c>
      <c r="GA56" s="6">
        <v>1562.0284224728007</v>
      </c>
      <c r="GB56" s="6">
        <v>18422.971577527198</v>
      </c>
      <c r="GC56" s="7">
        <v>3.3872851927908169E-2</v>
      </c>
      <c r="GD56" s="7">
        <v>3.2964236300222383E-2</v>
      </c>
      <c r="GE56" s="7"/>
      <c r="GF56" s="7"/>
      <c r="GG56" s="7">
        <v>-2.6824302530522079E-2</v>
      </c>
      <c r="GH56" s="42">
        <v>1.3232738849997823</v>
      </c>
      <c r="GI56" s="6">
        <v>16664.721996753753</v>
      </c>
      <c r="GJ56" s="14">
        <v>0.50394797582841733</v>
      </c>
      <c r="GK56" s="14">
        <v>0.50887573065309788</v>
      </c>
      <c r="GL56" s="14">
        <v>0.49605202417158295</v>
      </c>
      <c r="GM56" s="14">
        <v>0.49112426934690284</v>
      </c>
      <c r="GO56" s="5">
        <v>343.14810671672558</v>
      </c>
      <c r="GP56" s="5">
        <v>314.72174922594519</v>
      </c>
      <c r="GQ56" s="5">
        <v>535.04305713031317</v>
      </c>
      <c r="GR56" s="5">
        <v>410.15490233172511</v>
      </c>
      <c r="GS56" s="5">
        <v>339.42744393800166</v>
      </c>
      <c r="GT56" s="5">
        <v>293.4407446948278</v>
      </c>
      <c r="GU56" s="5">
        <v>258.04012322764959</v>
      </c>
      <c r="GV56" s="39" t="s">
        <v>392</v>
      </c>
      <c r="GW56" s="5">
        <v>486.01388888888891</v>
      </c>
      <c r="GX56" s="5">
        <v>364.51041666666669</v>
      </c>
      <c r="GY56" s="5">
        <v>291.60833333333335</v>
      </c>
      <c r="GZ56" s="5">
        <v>243.00694444444446</v>
      </c>
      <c r="HA56" s="5">
        <v>222.61462277929587</v>
      </c>
      <c r="HB56" s="39">
        <v>248.21646183411036</v>
      </c>
      <c r="HC56" s="5">
        <v>247.61395115517303</v>
      </c>
      <c r="HD56" s="5">
        <v>212.72875258460846</v>
      </c>
      <c r="HE56" s="5">
        <v>215.82373384365792</v>
      </c>
      <c r="HF56" s="5">
        <v>199.94010287876185</v>
      </c>
      <c r="HG56" s="5">
        <v>193.25195779930885</v>
      </c>
      <c r="HH56" s="39">
        <v>212.92956981605184</v>
      </c>
      <c r="HI56" s="16"/>
      <c r="HJ56" s="1">
        <f>INDEX(Input!$1:$1048576,HJ$10,$C56*2+6)</f>
        <v>0.42636324602833836</v>
      </c>
      <c r="HK56" s="1">
        <f>INDEX(Input!$1:$1048576,HK$10,$C56*2+6)</f>
        <v>0.52211249463288967</v>
      </c>
      <c r="HL56" s="1">
        <f>INDEX(Input!$1:$1048576,HL$10,$C56*2+6)</f>
        <v>5.1524259338772006E-2</v>
      </c>
      <c r="HM56" s="19"/>
    </row>
    <row r="57" spans="1:221" s="26" customFormat="1" ht="15.75" thickBot="1">
      <c r="A57" s="117">
        <f t="shared" si="94"/>
        <v>4003</v>
      </c>
      <c r="B57" s="117">
        <f t="shared" si="60"/>
        <v>3</v>
      </c>
      <c r="C57" s="117">
        <f t="shared" si="76"/>
        <v>4</v>
      </c>
      <c r="D57" s="117" t="s">
        <v>568</v>
      </c>
      <c r="E57" s="115">
        <f>INDEX(Input!$1:$1048576,E$10,$C57*2+6)</f>
        <v>1000</v>
      </c>
      <c r="F57" s="115">
        <f>INDEX(Input!$1:$1048576,F$10,$C57*2+6)</f>
        <v>0</v>
      </c>
      <c r="G57" s="115">
        <f>INDEX(Input!$1:$1048576,G$10,$C57*2+6)</f>
        <v>0</v>
      </c>
      <c r="H57" s="115">
        <f>INDEX(Input!$1:$1048576,H$10,$C57*2+6)</f>
        <v>0</v>
      </c>
      <c r="I57" s="118">
        <f>INDEX(Input!$1:$1048576,I$10,$C57*2+6)</f>
        <v>0.7</v>
      </c>
      <c r="J57" s="118" t="str">
        <f>INDEX(Input!$1:$1048576,J$10,$C57*2+6)</f>
        <v>Market</v>
      </c>
      <c r="K57" s="118" t="str">
        <f>INDEX(Input!$1:$1048576,K$10,$C57*2+6)</f>
        <v>Market</v>
      </c>
      <c r="L57" s="118" t="str">
        <f>INDEX(Input!$1:$1048576,L$10,$C57*2+6)</f>
        <v>Market</v>
      </c>
      <c r="M57" s="118" t="str">
        <f>INDEX(Input!$1:$1048576,M$10,$C57*2+6)</f>
        <v>Market</v>
      </c>
      <c r="N57" s="118" t="str">
        <f>INDEX(Input!$1:$1048576,N$10,$C57*2+6)</f>
        <v>Market</v>
      </c>
      <c r="O57" s="118" t="str">
        <f>INDEX(Input!$1:$1048576,O$10,$C57*2+6)</f>
        <v>Market</v>
      </c>
      <c r="P57" s="118" t="str">
        <f>INDEX(Input!$1:$1048576,P$10,$C57*2+6)</f>
        <v>N</v>
      </c>
      <c r="Q57" s="30">
        <f>INDEX(Input!$1:$1048576,Q$10,$C57*2+6)</f>
        <v>0</v>
      </c>
      <c r="R57" s="383">
        <f>INDEX(Input!$1:$1048576,R$10,$C57*2+6)</f>
        <v>0</v>
      </c>
      <c r="S57" s="383">
        <f>INDEX(Input!$1:$1048576,S$10,$C57*2+6)</f>
        <v>0</v>
      </c>
      <c r="T57" s="383">
        <f>INDEX(Input!$1:$1048576,T$10,$C57*2+6)</f>
        <v>0</v>
      </c>
      <c r="U57" s="383">
        <f>INDEX(Input!$1:$1048576,U$10,$C57*2+6)</f>
        <v>0</v>
      </c>
      <c r="V57" s="383">
        <f>INDEX(Input!$1:$1048576,V$10,$C57*2+6)</f>
        <v>1.9E-2</v>
      </c>
      <c r="W57" s="383">
        <f>INDEX(Input!$1:$1048576,W$10,$C57*2+6)</f>
        <v>3.9E-2</v>
      </c>
      <c r="X57" s="118" t="str">
        <f>INDEX(Input!$1:$1048576,X$10,$C57*2+6)</f>
        <v>Y</v>
      </c>
      <c r="Y57" s="520">
        <f>Y55+1000</f>
        <v>1051.4724197288215</v>
      </c>
      <c r="Z57" s="30">
        <f>INDEX(Input!$1:$1048576,Z$10,$C57*2+6)</f>
        <v>0</v>
      </c>
      <c r="AA57" s="115">
        <f>INDEX(Input!$1:$1048576,AA$10,$C57*2+6)</f>
        <v>1000</v>
      </c>
      <c r="AB57" s="118">
        <f>INDEX(Input!$1:$1048576,AB$10,$C57*2+6)</f>
        <v>0.27</v>
      </c>
      <c r="AC57" s="115">
        <f>INDEX(Input!$1:$1048576,AC$10,$C57*2+6)</f>
        <v>1000</v>
      </c>
      <c r="AD57" s="118">
        <f>INDEX(Input!$1:$1048576,AD$10,$C57*2+6)</f>
        <v>0.27</v>
      </c>
      <c r="AE57" s="115">
        <f>INDEX(Input!$1:$1048576,AE$10,$C57*2+6)</f>
        <v>500</v>
      </c>
      <c r="AF57" s="118">
        <f>INDEX(Input!$1:$1048576,AF$10,$C57*2+6)</f>
        <v>1</v>
      </c>
      <c r="AG57" s="115">
        <f>INDEX(Input!$1:$1048576,AG$10,$C57*2+6)</f>
        <v>0</v>
      </c>
      <c r="AH57" s="118">
        <f>INDEX(Input!$1:$1048576,AH$10,$C57*2+6)</f>
        <v>0.83199999999999996</v>
      </c>
      <c r="AI57" s="115">
        <f>INDEX(Input!$1:$1048576,AI$10,$C57*2+6)</f>
        <v>0</v>
      </c>
      <c r="AJ57" s="118">
        <f>INDEX(Input!$1:$1048576,AJ$10,$C57*2+6)</f>
        <v>0.27</v>
      </c>
      <c r="AK57" s="150">
        <f>INDEX(Input!$1:$1048576,AK$10,$C56*2+6)+(Y57-VLOOKUP($C57*1000+1,$A:$HH,Y$9,FALSE))</f>
        <v>3435.9388355036067</v>
      </c>
      <c r="AL57" s="150">
        <f>INDEX(Input!$1:$1048576,AL$10,$C56*2+6)-(Y57-VLOOKUP($C57*1000+1,$A:$HH,Y$9,FALSE))/36</f>
        <v>3382.2657930045402</v>
      </c>
      <c r="AM57" s="32" t="str">
        <f t="shared" si="95"/>
        <v>std/std/std/std</v>
      </c>
      <c r="AN57" s="32" t="str">
        <f t="shared" si="96"/>
        <v>$0 + 0/0/0/1.9/3.9</v>
      </c>
      <c r="AO57" s="32" t="str">
        <f t="shared" si="97"/>
        <v>0/0/0/1.9/3.9</v>
      </c>
      <c r="AP57" s="32" t="str">
        <f t="shared" si="98"/>
        <v>0/0/1.9/3.9</v>
      </c>
      <c r="AQ57" s="150">
        <f t="shared" si="81"/>
        <v>770</v>
      </c>
      <c r="AR57" s="32" t="str">
        <f t="shared" si="82"/>
        <v>0/1.9</v>
      </c>
      <c r="AS57" s="302"/>
      <c r="AT57" s="3">
        <f t="shared" si="83"/>
        <v>12</v>
      </c>
      <c r="AU57" s="41" t="s">
        <v>121</v>
      </c>
      <c r="AV57" s="41" t="s">
        <v>116</v>
      </c>
      <c r="AW57" s="41" t="str">
        <f>INDEX(Input!$1:$1048576,AW$10,$C57*2+6)</f>
        <v>Kia</v>
      </c>
      <c r="AX57" s="41" t="str">
        <f>INDEX(Input!$1:$1048576,AX$10,$C57*2+6)</f>
        <v>Kia-LR - R1</v>
      </c>
      <c r="AY57" s="41" t="str">
        <f>IF(D57="Skip","",INDEX(Input!$1:$1048576,AY$10,$C57*2+6))</f>
        <v>Compact SUV (52)</v>
      </c>
      <c r="AZ57" s="41" t="str">
        <f>INDEX(Input!$1:$1048576,AZ$10,$C57*2+6)</f>
        <v>Kia Soul</v>
      </c>
      <c r="BA57" s="3">
        <f>INDEX(Input!$1:$1048576,BA$10,$C57*2+6)</f>
        <v>2020</v>
      </c>
      <c r="BB57" s="128">
        <f>INDEX(Input!$1:$1048576,BB$10,$C57*2+6)</f>
        <v>1</v>
      </c>
      <c r="BC57" s="128">
        <f>INDEX(Input!$1:$1048576,BC$10,$C57*2+6)</f>
        <v>0.7</v>
      </c>
      <c r="BD57" s="1">
        <f>INDEX(Input!$1:$1048576,BD$10,$C57*2+6)</f>
        <v>4.4999999999999998E-2</v>
      </c>
      <c r="BE57" s="1">
        <f>INDEX(Input!$1:$1048576,BE$10,$C57*2+6)</f>
        <v>4.4999999999999998E-2</v>
      </c>
      <c r="BF57" s="1">
        <f>INDEX(Input!$1:$1048576,BF$10,$C57*2+6)</f>
        <v>0.05</v>
      </c>
      <c r="BG57" s="1">
        <f>INDEX(Input!$1:$1048576,BG$10,$C57*2+6)</f>
        <v>5.45E-2</v>
      </c>
      <c r="BH57" s="1">
        <f>INDEX(Input!$1:$1048576,BH$10,$C57*2+6)</f>
        <v>5.45E-2</v>
      </c>
      <c r="BI57" s="1">
        <f>INDEX(Input!$1:$1048576,BI$10,$C57*2+6)</f>
        <v>0.05</v>
      </c>
      <c r="BJ57" s="1">
        <f>INDEX(Input!$1:$1048576,BJ$10,$C57*2+6)</f>
        <v>0.05</v>
      </c>
      <c r="BK57" s="1">
        <f>INDEX(Input!$1:$1048576,BK$10,$C57*2+6)</f>
        <v>0.05</v>
      </c>
      <c r="BL57" s="1">
        <f>INDEX(Input!$1:$1048576,BL$10,$C57*2+6)</f>
        <v>5.5E-2</v>
      </c>
      <c r="BM57" s="1">
        <f>INDEX(Input!$1:$1048576,BM$10,$C57*2+6)</f>
        <v>0.06</v>
      </c>
      <c r="BN57" s="1">
        <f>INDEX(Input!$1:$1048576,BN$10,$C57*2+6)</f>
        <v>4.4999999999999998E-2</v>
      </c>
      <c r="BO57" s="1">
        <f>INDEX(Input!$1:$1048576,BO$10,$C57*2+6)</f>
        <v>4.4999999999999998E-2</v>
      </c>
      <c r="BP57" s="1">
        <f>INDEX(Input!$1:$1048576,BP$10,$C57*2+6)</f>
        <v>0.05</v>
      </c>
      <c r="BQ57" s="1">
        <f>INDEX(Input!$1:$1048576,BQ$10,$C57*2+6)</f>
        <v>5.45E-2</v>
      </c>
      <c r="BR57" s="1">
        <f>INDEX(Input!$1:$1048576,BR$10,$C57*2+6)</f>
        <v>5.45E-2</v>
      </c>
      <c r="BS57" s="1">
        <f>INDEX(Input!$1:$1048576,BS$10,$C57*2+6)</f>
        <v>0.05</v>
      </c>
      <c r="BT57" s="1">
        <f>INDEX(Input!$1:$1048576,BT$10,$C57*2+6)</f>
        <v>0.05</v>
      </c>
      <c r="BU57" s="1">
        <f>INDEX(Input!$1:$1048576,BU$10,$C57*2+6)</f>
        <v>0.05</v>
      </c>
      <c r="BV57" s="1">
        <f>INDEX(Input!$1:$1048576,BV$10,$C57*2+6)</f>
        <v>5.5E-2</v>
      </c>
      <c r="BW57" s="1">
        <f>INDEX(Input!$1:$1048576,BW$10,$C57*2+6)</f>
        <v>0.06</v>
      </c>
      <c r="BX57" s="304">
        <f>INDEX(Input!$1:$1048576,BX$10,$C57*2+6)</f>
        <v>19985</v>
      </c>
      <c r="BY57" s="20">
        <f>INDEX(Input!$1:$1048576,BY$10,$C57*2+6)</f>
        <v>0.1</v>
      </c>
      <c r="BZ57" s="20">
        <f>INDEX(Input!$1:$1048576,BZ$10,$C57*2+6)</f>
        <v>0.1</v>
      </c>
      <c r="CA57" s="20">
        <f>INDEX(Input!$1:$1048576,CA$10,$C57*2+6)</f>
        <v>0.1</v>
      </c>
      <c r="CB57" s="20">
        <f>INDEX(Input!$1:$1048576,CB$10,$C57*2+6)</f>
        <v>0.1</v>
      </c>
      <c r="CC57" s="20">
        <f>INDEX(Input!$1:$1048576,CC$10,$C57*2+6)</f>
        <v>0.1</v>
      </c>
      <c r="CD57" s="384">
        <f>INDEX(Input!$1:$1048576,CD$10,$C57*2+6)</f>
        <v>0.1</v>
      </c>
      <c r="CE57" s="384">
        <f>INDEX(Input!$1:$1048576,CE$10,$C57*2+6)</f>
        <v>0.1</v>
      </c>
      <c r="CF57" s="384">
        <f>INDEX(Input!$1:$1048576,CF$10,$C57*2+6)</f>
        <v>0.1</v>
      </c>
      <c r="CG57" s="384">
        <f>INDEX(Input!$1:$1048576,CG$10,$C57*2+6)</f>
        <v>0.1</v>
      </c>
      <c r="CH57" s="384">
        <f>INDEX(Input!$1:$1048576,CH$10,$C57*2+6)</f>
        <v>0.1</v>
      </c>
      <c r="CI57" s="304">
        <f t="shared" si="61"/>
        <v>1270</v>
      </c>
      <c r="CJ57" s="16" t="str">
        <f>INDEX(Input!$1:$1048576,CJ$10,$C57*2+6)</f>
        <v>N</v>
      </c>
      <c r="CK57" s="1" t="str">
        <f t="shared" si="62"/>
        <v>Market</v>
      </c>
      <c r="CL57" s="1" t="str">
        <f t="shared" si="63"/>
        <v>Market</v>
      </c>
      <c r="CM57" s="1" t="str">
        <f t="shared" si="64"/>
        <v>Market</v>
      </c>
      <c r="CN57" s="1" t="str">
        <f t="shared" si="65"/>
        <v>Market</v>
      </c>
      <c r="CO57" s="1" t="str">
        <f t="shared" si="66"/>
        <v>Market</v>
      </c>
      <c r="CP57" s="304">
        <f t="shared" si="67"/>
        <v>0</v>
      </c>
      <c r="CQ57" s="1">
        <f t="shared" si="68"/>
        <v>0</v>
      </c>
      <c r="CR57" s="1">
        <f t="shared" si="69"/>
        <v>0</v>
      </c>
      <c r="CS57" s="1">
        <f t="shared" si="70"/>
        <v>0</v>
      </c>
      <c r="CT57" s="1">
        <f t="shared" si="71"/>
        <v>0</v>
      </c>
      <c r="CU57" s="1">
        <f t="shared" si="72"/>
        <v>1.9E-2</v>
      </c>
      <c r="CV57" s="304">
        <f t="shared" si="73"/>
        <v>1321.4724197288215</v>
      </c>
      <c r="CW57" s="20" t="s">
        <v>122</v>
      </c>
      <c r="CX57" s="20" t="s">
        <v>122</v>
      </c>
      <c r="CY57" s="20" t="s">
        <v>122</v>
      </c>
      <c r="CZ57" s="20" t="s">
        <v>122</v>
      </c>
      <c r="DA57" s="20" t="s">
        <v>122</v>
      </c>
      <c r="DB57" s="503">
        <f t="shared" si="74"/>
        <v>500</v>
      </c>
      <c r="DC57" s="127">
        <v>0</v>
      </c>
      <c r="DD57" s="127">
        <v>0</v>
      </c>
      <c r="DE57" s="127">
        <v>0</v>
      </c>
      <c r="DF57" s="127">
        <v>0</v>
      </c>
      <c r="DG57" s="127">
        <v>0</v>
      </c>
      <c r="DH57" s="127">
        <v>0</v>
      </c>
      <c r="DI57" s="127">
        <v>0</v>
      </c>
      <c r="DJ57" s="127">
        <v>0</v>
      </c>
      <c r="DK57" s="127">
        <v>0</v>
      </c>
      <c r="DL57" s="127">
        <v>0</v>
      </c>
      <c r="DM57" s="304">
        <f>INDEX(Input!$1:$1048576,DM$10,$C57*2+6)</f>
        <v>21036.84210526316</v>
      </c>
      <c r="DN57" s="20">
        <v>0</v>
      </c>
      <c r="DO57" s="20">
        <v>0</v>
      </c>
      <c r="DP57" s="20">
        <v>0</v>
      </c>
      <c r="DQ57" s="20">
        <v>0</v>
      </c>
      <c r="DR57" s="20">
        <v>0</v>
      </c>
      <c r="DS57" s="20">
        <f>INDEX(Input!$1:$1048576,DS$10,$C57*2+6)</f>
        <v>0.6</v>
      </c>
      <c r="DT57" s="20">
        <f>INDEX(Input!$1:$1048576,DT$10,$C57*2+6)</f>
        <v>0.55000000000000004</v>
      </c>
      <c r="DU57" s="20">
        <f>INDEX(Input!$1:$1048576,DU$10,$C57*2+6)</f>
        <v>0.52</v>
      </c>
      <c r="DV57" s="20">
        <f>INDEX(Input!$1:$1048576,DV$10,$C57*2+6)</f>
        <v>0.5</v>
      </c>
      <c r="DW57" s="20">
        <f>INDEX(Input!$1:$1048576,DW$10,$C57*2+6)</f>
        <v>0.45</v>
      </c>
      <c r="DX57" s="20"/>
      <c r="DY57" s="7">
        <v>9.2465718475478562E-2</v>
      </c>
      <c r="DZ57" s="7">
        <v>0</v>
      </c>
      <c r="EA57" s="7">
        <v>0.74257580503814247</v>
      </c>
      <c r="EB57" s="7">
        <v>0</v>
      </c>
      <c r="EC57" s="7">
        <v>0</v>
      </c>
      <c r="ED57" s="7">
        <v>0</v>
      </c>
      <c r="EE57" s="7">
        <v>0</v>
      </c>
      <c r="EF57" s="7">
        <v>0</v>
      </c>
      <c r="EG57" s="7">
        <v>0</v>
      </c>
      <c r="EH57" s="7">
        <v>6.4043155147211605E-3</v>
      </c>
      <c r="EI57" s="7">
        <v>1.6712865306336071E-2</v>
      </c>
      <c r="EJ57" s="7">
        <v>0.11735358114769309</v>
      </c>
      <c r="EK57" s="7">
        <v>0.65854303055953978</v>
      </c>
      <c r="EL57" s="7">
        <v>0.20098620747171</v>
      </c>
      <c r="EM57" s="7">
        <v>7.6046776703904403E-2</v>
      </c>
      <c r="EN57" s="7">
        <v>5.3511327147818345E-2</v>
      </c>
      <c r="EO57" s="7">
        <v>0.74155753844180949</v>
      </c>
      <c r="EP57" s="7">
        <v>8.810474372118704E-2</v>
      </c>
      <c r="EQ57" s="7">
        <v>7.7401791332573661E-2</v>
      </c>
      <c r="ER57" s="7">
        <v>3.9424599356612119E-2</v>
      </c>
      <c r="ES57" s="7">
        <v>8.8911699782474443E-2</v>
      </c>
      <c r="ET57" s="7">
        <v>0.1649584764863789</v>
      </c>
      <c r="EU57" s="6">
        <v>1490</v>
      </c>
      <c r="EV57" s="6">
        <v>0</v>
      </c>
      <c r="EW57" s="6">
        <v>1490</v>
      </c>
      <c r="EX57" s="6">
        <v>0</v>
      </c>
      <c r="EY57" s="6">
        <v>2940.0787602384044</v>
      </c>
      <c r="EZ57" s="6">
        <v>1406.7525450246167</v>
      </c>
      <c r="FA57" s="6">
        <v>0</v>
      </c>
      <c r="FB57" s="6">
        <v>0</v>
      </c>
      <c r="FC57" s="6">
        <v>0</v>
      </c>
      <c r="FD57" s="6">
        <v>0</v>
      </c>
      <c r="FE57" s="6">
        <v>0</v>
      </c>
      <c r="FF57" s="6">
        <v>0</v>
      </c>
      <c r="FG57" s="6">
        <v>0</v>
      </c>
      <c r="FH57" s="6">
        <v>1169.7878428079491</v>
      </c>
      <c r="FI57" s="6">
        <v>1553.9796069512404</v>
      </c>
      <c r="FJ57" s="6">
        <v>2101.2110117447419</v>
      </c>
      <c r="FK57" s="6">
        <v>2674.2006261592273</v>
      </c>
      <c r="FL57" s="6">
        <v>2034.7405995769204</v>
      </c>
      <c r="FM57" s="6">
        <v>2450.0787602384044</v>
      </c>
      <c r="FN57" s="6">
        <v>0</v>
      </c>
      <c r="FO57" s="6">
        <v>0</v>
      </c>
      <c r="FP57" s="6">
        <v>0</v>
      </c>
      <c r="FQ57" s="6">
        <v>0</v>
      </c>
      <c r="FR57" s="6">
        <v>0</v>
      </c>
      <c r="FS57" s="6">
        <v>0</v>
      </c>
      <c r="FT57" s="7">
        <v>0.83504152351362104</v>
      </c>
      <c r="FU57" s="7">
        <v>7.6046776703904403E-2</v>
      </c>
      <c r="FV57" s="7">
        <v>8.8911699782474443E-2</v>
      </c>
      <c r="FW57" s="519">
        <v>1490</v>
      </c>
      <c r="FX57" s="519">
        <v>2940.0787602384044</v>
      </c>
      <c r="FY57" s="519">
        <v>1406.7525450246167</v>
      </c>
      <c r="FZ57" s="6">
        <v>1967.1476439350847</v>
      </c>
      <c r="GA57" s="6">
        <v>1592.872142958498</v>
      </c>
      <c r="GB57" s="6">
        <v>18392.127857041502</v>
      </c>
      <c r="GC57" s="7">
        <v>3.3872851927908169E-2</v>
      </c>
      <c r="GD57" s="7">
        <v>3.311594860995104E-2</v>
      </c>
      <c r="GE57" s="7"/>
      <c r="GF57" s="7"/>
      <c r="GG57" s="7">
        <v>-2.2345426348157865E-2</v>
      </c>
      <c r="GH57" s="42">
        <v>1.1931674512563697</v>
      </c>
      <c r="GI57" s="6">
        <v>18342.407154960703</v>
      </c>
      <c r="GJ57" s="14">
        <v>0.50394797582841777</v>
      </c>
      <c r="GK57" s="14">
        <v>0.50887573065309777</v>
      </c>
      <c r="GL57" s="14">
        <v>0.49605202417158278</v>
      </c>
      <c r="GM57" s="14">
        <v>0.49112426934690279</v>
      </c>
      <c r="GO57" s="5">
        <v>343.14810671672558</v>
      </c>
      <c r="GP57" s="5">
        <v>314.72174922594519</v>
      </c>
      <c r="GQ57" s="5">
        <v>535.04305713031317</v>
      </c>
      <c r="GR57" s="5">
        <v>410.15490233172511</v>
      </c>
      <c r="GS57" s="5">
        <v>339.42744393800166</v>
      </c>
      <c r="GT57" s="5">
        <v>293.4407446948278</v>
      </c>
      <c r="GU57" s="5">
        <v>258.04012322764959</v>
      </c>
      <c r="GV57" s="39" t="s">
        <v>392</v>
      </c>
      <c r="GW57" s="5">
        <v>486.01388888888891</v>
      </c>
      <c r="GX57" s="5">
        <v>364.51041666666669</v>
      </c>
      <c r="GY57" s="5">
        <v>291.60833333333335</v>
      </c>
      <c r="GZ57" s="5">
        <v>243.00694444444446</v>
      </c>
      <c r="HA57" s="5">
        <v>222.61462277929587</v>
      </c>
      <c r="HB57" s="39">
        <v>248.19888039627858</v>
      </c>
      <c r="HC57" s="5">
        <v>225.738951155173</v>
      </c>
      <c r="HD57" s="5">
        <v>197.79819702905291</v>
      </c>
      <c r="HE57" s="5">
        <v>201.96155435647842</v>
      </c>
      <c r="HF57" s="5">
        <v>188.37760287876185</v>
      </c>
      <c r="HG57" s="5">
        <v>183.66862446597554</v>
      </c>
      <c r="HH57" s="39">
        <v>198.37393179417595</v>
      </c>
      <c r="HI57" s="16"/>
      <c r="HJ57" s="1">
        <f>INDEX(Input!$1:$1048576,HJ$10,$C57*2+6)</f>
        <v>0.42636324602833836</v>
      </c>
      <c r="HK57" s="1">
        <f>INDEX(Input!$1:$1048576,HK$10,$C57*2+6)</f>
        <v>0.52211249463288967</v>
      </c>
      <c r="HL57" s="1">
        <f>INDEX(Input!$1:$1048576,HL$10,$C57*2+6)</f>
        <v>5.1524259338772006E-2</v>
      </c>
      <c r="HM57" s="19"/>
    </row>
    <row r="58" spans="1:221" s="60" customFormat="1" ht="15.75" thickBot="1">
      <c r="A58" s="31">
        <f>C58*1000+B58</f>
        <v>5001</v>
      </c>
      <c r="B58" s="31">
        <f t="shared" si="60"/>
        <v>1</v>
      </c>
      <c r="C58" s="508">
        <v>5</v>
      </c>
      <c r="D58" s="31" t="s">
        <v>566</v>
      </c>
      <c r="E58" s="365">
        <f>INDEX(Input!$1:$1048576,E$10,$C58*2+MIN($B58,2)+5)</f>
        <v>1000</v>
      </c>
      <c r="F58" s="366">
        <f>INDEX(Input!$1:$1048576,F$10,$C58*2+MIN($B58,2)+5)</f>
        <v>0</v>
      </c>
      <c r="G58" s="49">
        <f>INDEX(Input!$1:$1048576,G$10,$C58*2+MIN($B58,2)+5)</f>
        <v>0</v>
      </c>
      <c r="H58" s="49">
        <f>INDEX(Input!$1:$1048576,H$10,$C58*2+MIN($B58,2)+5)</f>
        <v>0</v>
      </c>
      <c r="I58" s="367">
        <f>INDEX(Input!$1:$1048576,I$10,$C58*2+MIN($B58,2)+5)</f>
        <v>0.7</v>
      </c>
      <c r="J58" s="367" t="str">
        <f>INDEX(Input!$1:$1048576,J$10,$C58*2+MIN($B58,2)+5)</f>
        <v>Market</v>
      </c>
      <c r="K58" s="367" t="str">
        <f>INDEX(Input!$1:$1048576,K$10,$C58*2+MIN($B58,2)+5)</f>
        <v>Market</v>
      </c>
      <c r="L58" s="367" t="str">
        <f>INDEX(Input!$1:$1048576,L$10,$C58*2+MIN($B58,2)+5)</f>
        <v>Market</v>
      </c>
      <c r="M58" s="367" t="str">
        <f>INDEX(Input!$1:$1048576,M$10,$C58*2+MIN($B58,2)+5)</f>
        <v>Market</v>
      </c>
      <c r="N58" s="367" t="str">
        <f>INDEX(Input!$1:$1048576,N$10,$C58*2+MIN($B58,2)+5)</f>
        <v>Market</v>
      </c>
      <c r="O58" s="367" t="str">
        <f>INDEX(Input!$1:$1048576,O$10,$C58*2+MIN($B58,2)+5)</f>
        <v>Market</v>
      </c>
      <c r="P58" s="367" t="str">
        <f>INDEX(Input!$1:$1048576,P$10,$C58*2+MIN($B58,2)+5)</f>
        <v>N</v>
      </c>
      <c r="Q58" s="47">
        <f>INDEX(Input!$1:$1048576,Q$10,$C58*2+MIN($B58,2)+5)</f>
        <v>0</v>
      </c>
      <c r="R58" s="38">
        <f>INDEX(Input!$1:$1048576,R$10,$C58*2+MIN($B58,2)+5)</f>
        <v>0</v>
      </c>
      <c r="S58" s="38">
        <f>INDEX(Input!$1:$1048576,S$10,$C58*2+MIN($B58,2)+5)</f>
        <v>0</v>
      </c>
      <c r="T58" s="38">
        <f>INDEX(Input!$1:$1048576,T$10,$C58*2+MIN($B58,2)+5)</f>
        <v>0</v>
      </c>
      <c r="U58" s="38">
        <f>INDEX(Input!$1:$1048576,U$10,$C58*2+MIN($B58,2)+5)</f>
        <v>0</v>
      </c>
      <c r="V58" s="38">
        <f>INDEX(Input!$1:$1048576,V$10,$C58*2+MIN($B58,2)+5)</f>
        <v>1.9E-2</v>
      </c>
      <c r="W58" s="38">
        <f>INDEX(Input!$1:$1048576,W$10,$C58*2+MIN($B58,2)+5)</f>
        <v>3.9E-2</v>
      </c>
      <c r="X58" s="367" t="str">
        <f>INDEX(Input!$1:$1048576,X$10,$C58*2+MIN($B58,2)+5)</f>
        <v>Y</v>
      </c>
      <c r="Y58" s="517">
        <f>HM29-500</f>
        <v>68.129932067180789</v>
      </c>
      <c r="Z58" s="49">
        <f>INDEX(Input!$1:$1048576,Z$10,$C58*2+MIN($B58,2)+5)</f>
        <v>0</v>
      </c>
      <c r="AA58" s="49">
        <f>INDEX(Input!$1:$1048576,AA$10,$C58*2+MIN($B58,2)+5)</f>
        <v>1000</v>
      </c>
      <c r="AB58" s="367">
        <f>INDEX(Input!$1:$1048576,AB$10,$C58*2+MIN($B58,2)+5)</f>
        <v>0.27</v>
      </c>
      <c r="AC58" s="49">
        <f>INDEX(Input!$1:$1048576,AC$10,$C58*2+MIN($B58,2)+5)</f>
        <v>1000</v>
      </c>
      <c r="AD58" s="367">
        <f>INDEX(Input!$1:$1048576,AD$10,$C58*2+MIN($B58,2)+5)</f>
        <v>0.27</v>
      </c>
      <c r="AE58" s="49">
        <f>INDEX(Input!$1:$1048576,AE$10,$C58*2+MIN($B58,2)+5)</f>
        <v>0</v>
      </c>
      <c r="AF58" s="367">
        <f>INDEX(Input!$1:$1048576,AF$10,$C58*2+MIN($B58,2)+5)</f>
        <v>0.2</v>
      </c>
      <c r="AG58" s="49">
        <f>INDEX(Input!$1:$1048576,AG$10,$C58*2+MIN($B58,2)+5)</f>
        <v>0</v>
      </c>
      <c r="AH58" s="367">
        <f>INDEX(Input!$1:$1048576,AH$10,$C58*2+MIN($B58,2)+5)</f>
        <v>1</v>
      </c>
      <c r="AI58" s="49">
        <f>INDEX(Input!$1:$1048576,AI$10,$C58*2+MIN($B58,2)+5)</f>
        <v>0</v>
      </c>
      <c r="AJ58" s="367">
        <f>INDEX(Input!$1:$1048576,AJ$10,$C58*2+MIN($B58,2)+5)</f>
        <v>0.27</v>
      </c>
      <c r="AK58" s="298">
        <f>INDEX(Input!$1:$1048576,AK$10,$C58*2+MIN($B58,2)+5)</f>
        <v>3383.7164157747857</v>
      </c>
      <c r="AL58" s="49">
        <f>INDEX(Input!$1:$1048576,AL$10,$C58*2+MIN($B58,2)+5)</f>
        <v>3383.7164157747857</v>
      </c>
      <c r="AM58" s="46" t="str">
        <f>IF(K58="market","std",ROUND(K58*1000,0)/10)&amp;"/"&amp;IF(L58="market","std",ROUND(L58*1000,0)/10)&amp;"/"&amp;IF(M58="market","std",ROUND(M58*1000,0)/10)&amp;"/"&amp;IF(N58="market","std",ROUND(N58*1000,0)/10)&amp;IF(P58="N","","/"&amp;IF(O58="market","std",ROUND(O58*1000,0)/10))</f>
        <v>std/std/std/std</v>
      </c>
      <c r="AN58" s="46" t="str">
        <f>"$"&amp;ROUND(Q58,0)&amp;" + "&amp;IF(S58="market","std",ROUND(S58*1000,0)/10)&amp;"/"&amp;IF(T58="market","std",ROUND(T58*1000,0)/10)&amp;"/"&amp;IF(U58="market","std",ROUND(U58*1000,0)/10)&amp;"/"&amp;IF(V58="market","std",ROUND(V58*1000,0)/10)&amp;IF(X58="N","","/"&amp;IF(W58="market","std",ROUND(W58*1000,0)/10))</f>
        <v>$0 + 0/0/0/1.9/3.9</v>
      </c>
      <c r="AO58" s="44" t="str">
        <f>IF(S58="market","std",ROUND(S58*1000,0)/10)&amp;"/"&amp;IF(T58="market","std",ROUND(T58*1000,0)/10)&amp;"/"&amp;IF(U58="market","std",ROUND(U58*1000,0)/10)&amp;"/"&amp;IF(V58="market","std",ROUND(V58*1000,0)/10)&amp;IF(X58="N","","/"&amp;IF(W58="market","std",ROUND(W58*1000,0)/10))</f>
        <v>0/0/0/1.9/3.9</v>
      </c>
      <c r="AP58" s="44" t="str">
        <f>IF(T58="market","std",ROUND(T58*1000,0)/10)&amp;"/"&amp;IF(U58="market","std",ROUND(U58*1000,0)/10)&amp;"/"&amp;IF(V58="market","std",ROUND(V58*1000,0)/10)&amp;IF(X58="N","","/"&amp;IF(W58="market","std",ROUND(W58*1000,0)/10))</f>
        <v>0/0/1.9/3.9</v>
      </c>
      <c r="AQ58" s="49">
        <f t="shared" si="81"/>
        <v>270</v>
      </c>
      <c r="AR58" s="44" t="str">
        <f t="shared" si="82"/>
        <v>0/1.9</v>
      </c>
      <c r="AS58" s="368"/>
      <c r="AT58" s="50">
        <f t="shared" si="83"/>
        <v>13</v>
      </c>
      <c r="AU58" s="45" t="s">
        <v>121</v>
      </c>
      <c r="AV58" s="45" t="s">
        <v>116</v>
      </c>
      <c r="AW58" s="45" t="str">
        <f>INDEX(Input!$1:$1048576,AW$10,$C58*2+6)</f>
        <v>Kia</v>
      </c>
      <c r="AX58" s="45" t="str">
        <f>INDEX(Input!$1:$1048576,AX$10,$C58*2+6)</f>
        <v>Kia-LR - R2</v>
      </c>
      <c r="AY58" s="10" t="str">
        <f>IF(D58="Skip","",INDEX(Input!$1:$1048576,AY$10,$C58*2+6))</f>
        <v>Compact SUV (52)</v>
      </c>
      <c r="AZ58" s="45" t="str">
        <f>INDEX(Input!$1:$1048576,AZ$10,$C58*2+6)</f>
        <v>Kia Soul</v>
      </c>
      <c r="BA58" s="50">
        <f>INDEX(Input!$1:$1048576,BA$10,$C58*2+6)</f>
        <v>2020</v>
      </c>
      <c r="BB58" s="367">
        <f>INDEX(Input!$1:$1048576,BB$10,$C58*2+6)</f>
        <v>1</v>
      </c>
      <c r="BC58" s="367">
        <f>INDEX(Input!$1:$1048576,BC$10,$C58*2+6)</f>
        <v>0.7</v>
      </c>
      <c r="BD58" s="38">
        <f>INDEX(Input!$1:$1048576,BD$10,$C58*2+6)</f>
        <v>4.4999999999999998E-2</v>
      </c>
      <c r="BE58" s="38">
        <f>INDEX(Input!$1:$1048576,BE$10,$C58*2+6)</f>
        <v>4.4999999999999998E-2</v>
      </c>
      <c r="BF58" s="38">
        <f>INDEX(Input!$1:$1048576,BF$10,$C58*2+6)</f>
        <v>0.05</v>
      </c>
      <c r="BG58" s="38">
        <f>INDEX(Input!$1:$1048576,BG$10,$C58*2+6)</f>
        <v>5.45E-2</v>
      </c>
      <c r="BH58" s="38">
        <f>INDEX(Input!$1:$1048576,BH$10,$C58*2+6)</f>
        <v>5.45E-2</v>
      </c>
      <c r="BI58" s="38">
        <f>INDEX(Input!$1:$1048576,BI$10,$C58*2+6)</f>
        <v>0.05</v>
      </c>
      <c r="BJ58" s="38">
        <f>INDEX(Input!$1:$1048576,BJ$10,$C58*2+6)</f>
        <v>0.05</v>
      </c>
      <c r="BK58" s="38">
        <f>INDEX(Input!$1:$1048576,BK$10,$C58*2+6)</f>
        <v>0.05</v>
      </c>
      <c r="BL58" s="38">
        <f>INDEX(Input!$1:$1048576,BL$10,$C58*2+6)</f>
        <v>5.5E-2</v>
      </c>
      <c r="BM58" s="38">
        <f>INDEX(Input!$1:$1048576,BM$10,$C58*2+6)</f>
        <v>0.06</v>
      </c>
      <c r="BN58" s="38">
        <f>INDEX(Input!$1:$1048576,BN$10,$C58*2+6)</f>
        <v>4.4999999999999998E-2</v>
      </c>
      <c r="BO58" s="38">
        <f>INDEX(Input!$1:$1048576,BO$10,$C58*2+6)</f>
        <v>4.4999999999999998E-2</v>
      </c>
      <c r="BP58" s="38">
        <f>INDEX(Input!$1:$1048576,BP$10,$C58*2+6)</f>
        <v>0.05</v>
      </c>
      <c r="BQ58" s="38">
        <f>INDEX(Input!$1:$1048576,BQ$10,$C58*2+6)</f>
        <v>5.45E-2</v>
      </c>
      <c r="BR58" s="38">
        <f>INDEX(Input!$1:$1048576,BR$10,$C58*2+6)</f>
        <v>5.45E-2</v>
      </c>
      <c r="BS58" s="38">
        <f>INDEX(Input!$1:$1048576,BS$10,$C58*2+6)</f>
        <v>0.05</v>
      </c>
      <c r="BT58" s="38">
        <f>INDEX(Input!$1:$1048576,BT$10,$C58*2+6)</f>
        <v>0.05</v>
      </c>
      <c r="BU58" s="38">
        <f>INDEX(Input!$1:$1048576,BU$10,$C58*2+6)</f>
        <v>0.05</v>
      </c>
      <c r="BV58" s="38">
        <f>INDEX(Input!$1:$1048576,BV$10,$C58*2+6)</f>
        <v>5.5E-2</v>
      </c>
      <c r="BW58" s="38">
        <f>INDEX(Input!$1:$1048576,BW$10,$C58*2+6)</f>
        <v>0.06</v>
      </c>
      <c r="BX58" s="49">
        <f>INDEX(Input!$1:$1048576,BX$10,$C58*2+6)</f>
        <v>19985</v>
      </c>
      <c r="BY58" s="367">
        <f>INDEX(Input!$1:$1048576,BY$10,$C58*2+6)</f>
        <v>0.1</v>
      </c>
      <c r="BZ58" s="367">
        <f>INDEX(Input!$1:$1048576,BZ$10,$C58*2+6)</f>
        <v>0.1</v>
      </c>
      <c r="CA58" s="367">
        <f>INDEX(Input!$1:$1048576,CA$10,$C58*2+6)</f>
        <v>0.1</v>
      </c>
      <c r="CB58" s="367">
        <f>INDEX(Input!$1:$1048576,CB$10,$C58*2+6)</f>
        <v>0.1</v>
      </c>
      <c r="CC58" s="367">
        <f>INDEX(Input!$1:$1048576,CC$10,$C58*2+6)</f>
        <v>0.1</v>
      </c>
      <c r="CD58" s="367">
        <f>INDEX(Input!$1:$1048576,CD$10,$C58*2+6)</f>
        <v>0.1</v>
      </c>
      <c r="CE58" s="367">
        <f>INDEX(Input!$1:$1048576,CE$10,$C58*2+6)</f>
        <v>0.1</v>
      </c>
      <c r="CF58" s="367">
        <f>INDEX(Input!$1:$1048576,CF$10,$C58*2+6)</f>
        <v>0.1</v>
      </c>
      <c r="CG58" s="367">
        <f>INDEX(Input!$1:$1048576,CG$10,$C58*2+6)</f>
        <v>0.1</v>
      </c>
      <c r="CH58" s="48">
        <f>INDEX(Input!$1:$1048576,CH$10,$C58*2+6)</f>
        <v>0.1</v>
      </c>
      <c r="CI58" s="298">
        <f t="shared" si="61"/>
        <v>1270</v>
      </c>
      <c r="CJ58" s="46" t="str">
        <f>INDEX(Input!$1:$1048576,CJ$10,$C58*2+6)</f>
        <v>N</v>
      </c>
      <c r="CK58" s="38" t="str">
        <f t="shared" si="62"/>
        <v>Market</v>
      </c>
      <c r="CL58" s="38" t="str">
        <f t="shared" si="63"/>
        <v>Market</v>
      </c>
      <c r="CM58" s="38" t="str">
        <f t="shared" si="64"/>
        <v>Market</v>
      </c>
      <c r="CN58" s="38" t="str">
        <f t="shared" si="65"/>
        <v>Market</v>
      </c>
      <c r="CO58" s="38" t="str">
        <f t="shared" si="66"/>
        <v>Market</v>
      </c>
      <c r="CP58" s="49">
        <f t="shared" si="67"/>
        <v>0</v>
      </c>
      <c r="CQ58" s="38">
        <f t="shared" si="68"/>
        <v>0</v>
      </c>
      <c r="CR58" s="38">
        <f t="shared" si="69"/>
        <v>0</v>
      </c>
      <c r="CS58" s="38">
        <f t="shared" si="70"/>
        <v>0</v>
      </c>
      <c r="CT58" s="38">
        <f t="shared" si="71"/>
        <v>0</v>
      </c>
      <c r="CU58" s="38">
        <f t="shared" si="72"/>
        <v>1.9E-2</v>
      </c>
      <c r="CV58" s="49">
        <f t="shared" si="73"/>
        <v>338.12993206718079</v>
      </c>
      <c r="CW58" s="22" t="s">
        <v>122</v>
      </c>
      <c r="CX58" s="22" t="s">
        <v>122</v>
      </c>
      <c r="CY58" s="22" t="s">
        <v>122</v>
      </c>
      <c r="CZ58" s="22" t="s">
        <v>122</v>
      </c>
      <c r="DA58" s="22" t="s">
        <v>122</v>
      </c>
      <c r="DB58" s="502">
        <f t="shared" si="74"/>
        <v>0</v>
      </c>
      <c r="DC58" s="29">
        <v>0</v>
      </c>
      <c r="DD58" s="29">
        <v>0</v>
      </c>
      <c r="DE58" s="29">
        <v>0</v>
      </c>
      <c r="DF58" s="49">
        <v>0</v>
      </c>
      <c r="DG58" s="49">
        <v>0</v>
      </c>
      <c r="DH58" s="49">
        <v>0</v>
      </c>
      <c r="DI58" s="49">
        <v>0</v>
      </c>
      <c r="DJ58" s="49">
        <v>0</v>
      </c>
      <c r="DK58" s="29">
        <v>0</v>
      </c>
      <c r="DL58" s="29">
        <v>0</v>
      </c>
      <c r="DM58" s="49">
        <f>INDEX(Input!$1:$1048576,DM$10,$C58*2+6)</f>
        <v>21036.84210526316</v>
      </c>
      <c r="DN58" s="367">
        <v>0</v>
      </c>
      <c r="DO58" s="367">
        <v>0</v>
      </c>
      <c r="DP58" s="367">
        <v>0</v>
      </c>
      <c r="DQ58" s="367">
        <v>0</v>
      </c>
      <c r="DR58" s="367">
        <v>0</v>
      </c>
      <c r="DS58" s="367">
        <f>INDEX(Input!$1:$1048576,DS$10,$C58*2+6)</f>
        <v>0.6</v>
      </c>
      <c r="DT58" s="367">
        <f>INDEX(Input!$1:$1048576,DT$10,$C58*2+6)</f>
        <v>0.55000000000000004</v>
      </c>
      <c r="DU58" s="367">
        <f>INDEX(Input!$1:$1048576,DU$10,$C58*2+6)</f>
        <v>0.52</v>
      </c>
      <c r="DV58" s="367">
        <f>INDEX(Input!$1:$1048576,DV$10,$C58*2+6)</f>
        <v>0.5</v>
      </c>
      <c r="DW58" s="367">
        <f>INDEX(Input!$1:$1048576,DW$10,$C58*2+6)</f>
        <v>0.45</v>
      </c>
      <c r="DX58" s="369"/>
      <c r="DY58" s="4">
        <v>0.11069460264310968</v>
      </c>
      <c r="DZ58" s="37">
        <v>0</v>
      </c>
      <c r="EA58" s="37">
        <v>0.6866782092380167</v>
      </c>
      <c r="EB58" s="37">
        <v>0</v>
      </c>
      <c r="EC58" s="37">
        <v>0</v>
      </c>
      <c r="ED58" s="37">
        <v>0</v>
      </c>
      <c r="EE58" s="37">
        <v>0</v>
      </c>
      <c r="EF58" s="37">
        <v>0</v>
      </c>
      <c r="EG58" s="37">
        <v>0</v>
      </c>
      <c r="EH58" s="37">
        <v>6.479591707903261E-3</v>
      </c>
      <c r="EI58" s="37">
        <v>1.800530563816061E-2</v>
      </c>
      <c r="EJ58" s="37">
        <v>0.15630817792246277</v>
      </c>
      <c r="EK58" s="37">
        <v>0.62801430264109359</v>
      </c>
      <c r="EL58" s="37">
        <v>0.19119262209038002</v>
      </c>
      <c r="EM58" s="37">
        <v>0.13117720819655895</v>
      </c>
      <c r="EN58" s="37">
        <v>5.8837346047120959E-2</v>
      </c>
      <c r="EO58" s="37">
        <v>0.72075197556578985</v>
      </c>
      <c r="EP58" s="37">
        <v>8.8109060477621085E-2</v>
      </c>
      <c r="EQ58" s="37">
        <v>8.6712307502374686E-2</v>
      </c>
      <c r="ER58" s="37">
        <v>4.5589310407093159E-2</v>
      </c>
      <c r="ES58" s="37">
        <v>7.144997992231468E-2</v>
      </c>
      <c r="ET58" s="37">
        <v>0.20262718811887362</v>
      </c>
      <c r="EU58" s="36">
        <v>1240</v>
      </c>
      <c r="EV58" s="36">
        <v>0</v>
      </c>
      <c r="EW58" s="36">
        <v>1240</v>
      </c>
      <c r="EX58" s="36">
        <v>0</v>
      </c>
      <c r="EY58" s="36">
        <v>2672.4748563919748</v>
      </c>
      <c r="EZ58" s="36">
        <v>127.306442160904</v>
      </c>
      <c r="FA58" s="36">
        <v>0</v>
      </c>
      <c r="FB58" s="36">
        <v>0</v>
      </c>
      <c r="FC58" s="36">
        <v>0</v>
      </c>
      <c r="FD58" s="36">
        <v>0</v>
      </c>
      <c r="FE58" s="36">
        <v>0</v>
      </c>
      <c r="FF58" s="36">
        <v>0</v>
      </c>
      <c r="FG58" s="36">
        <v>0</v>
      </c>
      <c r="FH58" s="36">
        <v>1172.1235554123123</v>
      </c>
      <c r="FI58" s="36">
        <v>1553.9796069512397</v>
      </c>
      <c r="FJ58" s="36">
        <v>2101.211011744741</v>
      </c>
      <c r="FK58" s="36">
        <v>2674.2006261592269</v>
      </c>
      <c r="FL58" s="36">
        <v>2034.7405995769213</v>
      </c>
      <c r="FM58" s="36">
        <v>2432.4748563919748</v>
      </c>
      <c r="FN58" s="36">
        <v>0</v>
      </c>
      <c r="FO58" s="36">
        <v>0</v>
      </c>
      <c r="FP58" s="36">
        <v>0</v>
      </c>
      <c r="FQ58" s="36">
        <v>0</v>
      </c>
      <c r="FR58" s="36">
        <v>0</v>
      </c>
      <c r="FS58" s="36">
        <v>0</v>
      </c>
      <c r="FT58" s="37">
        <v>0.79737281188112641</v>
      </c>
      <c r="FU58" s="37">
        <v>0.13117720819655895</v>
      </c>
      <c r="FV58" s="37">
        <v>7.144997992231468E-2</v>
      </c>
      <c r="FW58" s="518">
        <v>1240</v>
      </c>
      <c r="FX58" s="518">
        <v>2672.4748563919748</v>
      </c>
      <c r="FY58" s="518">
        <v>127.306442160904</v>
      </c>
      <c r="FZ58" s="36">
        <v>1779.5209350888699</v>
      </c>
      <c r="GA58" s="36">
        <v>1348.4061201059737</v>
      </c>
      <c r="GB58" s="36">
        <v>18636.593879894026</v>
      </c>
      <c r="GC58" s="37">
        <v>3.064145122680037E-2</v>
      </c>
      <c r="GD58" s="37">
        <v>2.9641528697764676E-2</v>
      </c>
      <c r="GE58" s="37"/>
      <c r="GF58" s="37"/>
      <c r="GG58" s="37">
        <v>-3.2633001669356884E-2</v>
      </c>
      <c r="GH58" s="35">
        <v>1.5127537159398505</v>
      </c>
      <c r="GI58" s="36">
        <v>14559.413166010754</v>
      </c>
      <c r="GJ58" s="34">
        <v>0.50394797582841722</v>
      </c>
      <c r="GK58" s="34">
        <v>0.50887573065309721</v>
      </c>
      <c r="GL58" s="34">
        <v>0.49605202417158284</v>
      </c>
      <c r="GM58" s="33">
        <v>0.49112426934690256</v>
      </c>
      <c r="GN58" s="61"/>
      <c r="GO58" s="13">
        <v>343.14810671672558</v>
      </c>
      <c r="GP58" s="27">
        <v>319.49127229486811</v>
      </c>
      <c r="GQ58" s="27">
        <v>535.04305713031317</v>
      </c>
      <c r="GR58" s="27">
        <v>410.15490233172511</v>
      </c>
      <c r="GS58" s="27">
        <v>339.42744393800166</v>
      </c>
      <c r="GT58" s="27">
        <v>293.4407446948278</v>
      </c>
      <c r="GU58" s="27">
        <v>258.04012322764959</v>
      </c>
      <c r="GV58" s="29" t="s">
        <v>392</v>
      </c>
      <c r="GW58" s="27">
        <v>492.95833333333331</v>
      </c>
      <c r="GX58" s="27">
        <v>369.71875</v>
      </c>
      <c r="GY58" s="27">
        <v>295.77499999999998</v>
      </c>
      <c r="GZ58" s="27">
        <v>246.47916666666666</v>
      </c>
      <c r="HA58" s="27">
        <v>225.79546784515614</v>
      </c>
      <c r="HB58" s="29">
        <v>254.0459886710976</v>
      </c>
      <c r="HC58" s="27">
        <v>281.71471815546039</v>
      </c>
      <c r="HD58" s="27">
        <v>236.0038792673443</v>
      </c>
      <c r="HE58" s="27">
        <v>237.43337740061659</v>
      </c>
      <c r="HF58" s="27">
        <v>217.96479400748518</v>
      </c>
      <c r="HG58" s="27">
        <v>208.19134143753001</v>
      </c>
      <c r="HH58" s="12">
        <v>235.98717032213878</v>
      </c>
      <c r="HI58" s="94"/>
      <c r="HJ58" s="24">
        <f>INDEX(Input!$1:$1048576,HJ$10,$C58*2+6)</f>
        <v>0.40560292326431191</v>
      </c>
      <c r="HK58" s="18">
        <f>INDEX(Input!$1:$1048576,HK$10,$C58*2+6)</f>
        <v>0.52253349573690622</v>
      </c>
      <c r="HL58" s="43">
        <f>INDEX(Input!$1:$1048576,HL$10,$C58*2+6)</f>
        <v>7.186358099878197E-2</v>
      </c>
      <c r="HM58" s="49">
        <f>IF(HL58&lt;FV59,TREND(Y58:Y59,FV58:FV59,HL58),TREND(Y59:Y60,FV59:FV60,HL58))</f>
        <v>79.063582607477429</v>
      </c>
    </row>
    <row r="59" spans="1:221" s="26" customFormat="1" ht="15">
      <c r="A59" s="117">
        <f t="shared" ref="A59:A60" si="99">C59*1000+B59</f>
        <v>5002</v>
      </c>
      <c r="B59" s="117">
        <f t="shared" si="60"/>
        <v>2</v>
      </c>
      <c r="C59" s="117">
        <f t="shared" si="76"/>
        <v>5</v>
      </c>
      <c r="D59" s="117" t="s">
        <v>568</v>
      </c>
      <c r="E59" s="115">
        <f>INDEX(Input!$1:$1048576,E$10,$C59*2+6)</f>
        <v>1000</v>
      </c>
      <c r="F59" s="115">
        <f>INDEX(Input!$1:$1048576,F$10,$C59*2+6)</f>
        <v>0</v>
      </c>
      <c r="G59" s="115">
        <f>INDEX(Input!$1:$1048576,G$10,$C59*2+6)</f>
        <v>0</v>
      </c>
      <c r="H59" s="115">
        <f>INDEX(Input!$1:$1048576,H$10,$C59*2+6)</f>
        <v>0</v>
      </c>
      <c r="I59" s="118">
        <f>INDEX(Input!$1:$1048576,I$10,$C59*2+6)</f>
        <v>0.7</v>
      </c>
      <c r="J59" s="118" t="str">
        <f>INDEX(Input!$1:$1048576,J$10,$C59*2+6)</f>
        <v>Market</v>
      </c>
      <c r="K59" s="118" t="str">
        <f>INDEX(Input!$1:$1048576,K$10,$C59*2+6)</f>
        <v>Market</v>
      </c>
      <c r="L59" s="118" t="str">
        <f>INDEX(Input!$1:$1048576,L$10,$C59*2+6)</f>
        <v>Market</v>
      </c>
      <c r="M59" s="118" t="str">
        <f>INDEX(Input!$1:$1048576,M$10,$C59*2+6)</f>
        <v>Market</v>
      </c>
      <c r="N59" s="118" t="str">
        <f>INDEX(Input!$1:$1048576,N$10,$C59*2+6)</f>
        <v>Market</v>
      </c>
      <c r="O59" s="118" t="str">
        <f>INDEX(Input!$1:$1048576,O$10,$C59*2+6)</f>
        <v>Market</v>
      </c>
      <c r="P59" s="118" t="str">
        <f>INDEX(Input!$1:$1048576,P$10,$C59*2+6)</f>
        <v>N</v>
      </c>
      <c r="Q59" s="30">
        <f>INDEX(Input!$1:$1048576,Q$10,$C59*2+6)</f>
        <v>0</v>
      </c>
      <c r="R59" s="383">
        <f>INDEX(Input!$1:$1048576,R$10,$C59*2+6)</f>
        <v>0</v>
      </c>
      <c r="S59" s="383">
        <f>INDEX(Input!$1:$1048576,S$10,$C59*2+6)</f>
        <v>0</v>
      </c>
      <c r="T59" s="383">
        <f>INDEX(Input!$1:$1048576,T$10,$C59*2+6)</f>
        <v>0</v>
      </c>
      <c r="U59" s="383">
        <f>INDEX(Input!$1:$1048576,U$10,$C59*2+6)</f>
        <v>0</v>
      </c>
      <c r="V59" s="383">
        <f>INDEX(Input!$1:$1048576,V$10,$C59*2+6)</f>
        <v>1.9E-2</v>
      </c>
      <c r="W59" s="383">
        <f>INDEX(Input!$1:$1048576,W$10,$C59*2+6)</f>
        <v>3.9E-2</v>
      </c>
      <c r="X59" s="118" t="str">
        <f>INDEX(Input!$1:$1048576,X$10,$C59*2+6)</f>
        <v>Y</v>
      </c>
      <c r="Y59" s="520">
        <f>Y58+500</f>
        <v>568.12993206718079</v>
      </c>
      <c r="Z59" s="30">
        <f>INDEX(Input!$1:$1048576,Z$10,$C59*2+6)</f>
        <v>0</v>
      </c>
      <c r="AA59" s="115">
        <f>INDEX(Input!$1:$1048576,AA$10,$C59*2+6)</f>
        <v>1000</v>
      </c>
      <c r="AB59" s="118">
        <f>INDEX(Input!$1:$1048576,AB$10,$C59*2+6)</f>
        <v>0.27</v>
      </c>
      <c r="AC59" s="115">
        <f>INDEX(Input!$1:$1048576,AC$10,$C59*2+6)</f>
        <v>1000</v>
      </c>
      <c r="AD59" s="118">
        <f>INDEX(Input!$1:$1048576,AD$10,$C59*2+6)</f>
        <v>0.27</v>
      </c>
      <c r="AE59" s="115">
        <f>INDEX(Input!$1:$1048576,AE$10,$C59*2+6)</f>
        <v>0</v>
      </c>
      <c r="AF59" s="118">
        <f>INDEX(Input!$1:$1048576,AF$10,$C59*2+6)</f>
        <v>0.2</v>
      </c>
      <c r="AG59" s="115">
        <f>INDEX(Input!$1:$1048576,AG$10,$C59*2+6)</f>
        <v>0</v>
      </c>
      <c r="AH59" s="118">
        <f>INDEX(Input!$1:$1048576,AH$10,$C59*2+6)</f>
        <v>1</v>
      </c>
      <c r="AI59" s="115">
        <f>INDEX(Input!$1:$1048576,AI$10,$C59*2+6)</f>
        <v>0</v>
      </c>
      <c r="AJ59" s="118">
        <f>INDEX(Input!$1:$1048576,AJ$10,$C59*2+6)</f>
        <v>0.27</v>
      </c>
      <c r="AK59" s="150">
        <f>INDEX(Input!$1:$1048576,AK$10,$C58*2+6)+(Y59-VLOOKUP($C59*1000+1,$A:$HH,Y$9,FALSE))</f>
        <v>2952.5963478419662</v>
      </c>
      <c r="AL59" s="150">
        <f>INDEX(Input!$1:$1048576,AL$10,$C58*2+6)-(Y59-VLOOKUP($C59*1000+1,$A:$HH,Y$9,FALSE))/36</f>
        <v>3395.6919732173642</v>
      </c>
      <c r="AM59" s="32" t="str">
        <f t="shared" ref="AM59:AM60" si="100">IF(K59="market","std",ROUND(K59*1000,0)/10)&amp;"/"&amp;IF(L59="market","std",ROUND(L59*1000,0)/10)&amp;"/"&amp;IF(M59="market","std",ROUND(M59*1000,0)/10)&amp;"/"&amp;IF(N59="market","std",ROUND(N59*1000,0)/10)&amp;IF(P59="N","","/"&amp;IF(O59="market","std",ROUND(O59*1000,0)/10))</f>
        <v>std/std/std/std</v>
      </c>
      <c r="AN59" s="32" t="str">
        <f t="shared" ref="AN59:AN60" si="101">"$"&amp;ROUND(Q59,0)&amp;" + "&amp;IF(S59="market","std",ROUND(S59*1000,0)/10)&amp;"/"&amp;IF(T59="market","std",ROUND(T59*1000,0)/10)&amp;"/"&amp;IF(U59="market","std",ROUND(U59*1000,0)/10)&amp;"/"&amp;IF(V59="market","std",ROUND(V59*1000,0)/10)&amp;IF(X59="N","","/"&amp;IF(W59="market","std",ROUND(W59*1000,0)/10))</f>
        <v>$0 + 0/0/0/1.9/3.9</v>
      </c>
      <c r="AO59" s="32" t="str">
        <f t="shared" ref="AO59:AO60" si="102">IF(S59="market","std",ROUND(S59*1000,0)/10)&amp;"/"&amp;IF(T59="market","std",ROUND(T59*1000,0)/10)&amp;"/"&amp;IF(U59="market","std",ROUND(U59*1000,0)/10)&amp;"/"&amp;IF(V59="market","std",ROUND(V59*1000,0)/10)&amp;IF(X59="N","","/"&amp;IF(W59="market","std",ROUND(W59*1000,0)/10))</f>
        <v>0/0/0/1.9/3.9</v>
      </c>
      <c r="AP59" s="32" t="str">
        <f t="shared" ref="AP59:AP60" si="103">IF(T59="market","std",ROUND(T59*1000,0)/10)&amp;"/"&amp;IF(U59="market","std",ROUND(U59*1000,0)/10)&amp;"/"&amp;IF(V59="market","std",ROUND(V59*1000,0)/10)&amp;IF(X59="N","","/"&amp;IF(W59="market","std",ROUND(W59*1000,0)/10))</f>
        <v>0/0/1.9/3.9</v>
      </c>
      <c r="AQ59" s="150">
        <f t="shared" si="81"/>
        <v>270</v>
      </c>
      <c r="AR59" s="32" t="str">
        <f t="shared" si="82"/>
        <v>0/1.9</v>
      </c>
      <c r="AS59" s="302"/>
      <c r="AT59" s="3">
        <f t="shared" si="83"/>
        <v>14</v>
      </c>
      <c r="AU59" s="41" t="s">
        <v>121</v>
      </c>
      <c r="AV59" s="41" t="s">
        <v>116</v>
      </c>
      <c r="AW59" s="41" t="str">
        <f>INDEX(Input!$1:$1048576,AW$10,$C59*2+6)</f>
        <v>Kia</v>
      </c>
      <c r="AX59" s="41" t="str">
        <f>INDEX(Input!$1:$1048576,AX$10,$C59*2+6)</f>
        <v>Kia-LR - R2</v>
      </c>
      <c r="AY59" s="41" t="str">
        <f>IF(D59="Skip","",INDEX(Input!$1:$1048576,AY$10,$C59*2+6))</f>
        <v>Compact SUV (52)</v>
      </c>
      <c r="AZ59" s="41" t="str">
        <f>INDEX(Input!$1:$1048576,AZ$10,$C59*2+6)</f>
        <v>Kia Soul</v>
      </c>
      <c r="BA59" s="3">
        <f>INDEX(Input!$1:$1048576,BA$10,$C59*2+6)</f>
        <v>2020</v>
      </c>
      <c r="BB59" s="128">
        <f>INDEX(Input!$1:$1048576,BB$10,$C59*2+6)</f>
        <v>1</v>
      </c>
      <c r="BC59" s="128">
        <f>INDEX(Input!$1:$1048576,BC$10,$C59*2+6)</f>
        <v>0.7</v>
      </c>
      <c r="BD59" s="1">
        <f>INDEX(Input!$1:$1048576,BD$10,$C59*2+6)</f>
        <v>4.4999999999999998E-2</v>
      </c>
      <c r="BE59" s="1">
        <f>INDEX(Input!$1:$1048576,BE$10,$C59*2+6)</f>
        <v>4.4999999999999998E-2</v>
      </c>
      <c r="BF59" s="1">
        <f>INDEX(Input!$1:$1048576,BF$10,$C59*2+6)</f>
        <v>0.05</v>
      </c>
      <c r="BG59" s="1">
        <f>INDEX(Input!$1:$1048576,BG$10,$C59*2+6)</f>
        <v>5.45E-2</v>
      </c>
      <c r="BH59" s="1">
        <f>INDEX(Input!$1:$1048576,BH$10,$C59*2+6)</f>
        <v>5.45E-2</v>
      </c>
      <c r="BI59" s="1">
        <f>INDEX(Input!$1:$1048576,BI$10,$C59*2+6)</f>
        <v>0.05</v>
      </c>
      <c r="BJ59" s="1">
        <f>INDEX(Input!$1:$1048576,BJ$10,$C59*2+6)</f>
        <v>0.05</v>
      </c>
      <c r="BK59" s="1">
        <f>INDEX(Input!$1:$1048576,BK$10,$C59*2+6)</f>
        <v>0.05</v>
      </c>
      <c r="BL59" s="1">
        <f>INDEX(Input!$1:$1048576,BL$10,$C59*2+6)</f>
        <v>5.5E-2</v>
      </c>
      <c r="BM59" s="1">
        <f>INDEX(Input!$1:$1048576,BM$10,$C59*2+6)</f>
        <v>0.06</v>
      </c>
      <c r="BN59" s="1">
        <f>INDEX(Input!$1:$1048576,BN$10,$C59*2+6)</f>
        <v>4.4999999999999998E-2</v>
      </c>
      <c r="BO59" s="1">
        <f>INDEX(Input!$1:$1048576,BO$10,$C59*2+6)</f>
        <v>4.4999999999999998E-2</v>
      </c>
      <c r="BP59" s="1">
        <f>INDEX(Input!$1:$1048576,BP$10,$C59*2+6)</f>
        <v>0.05</v>
      </c>
      <c r="BQ59" s="1">
        <f>INDEX(Input!$1:$1048576,BQ$10,$C59*2+6)</f>
        <v>5.45E-2</v>
      </c>
      <c r="BR59" s="1">
        <f>INDEX(Input!$1:$1048576,BR$10,$C59*2+6)</f>
        <v>5.45E-2</v>
      </c>
      <c r="BS59" s="1">
        <f>INDEX(Input!$1:$1048576,BS$10,$C59*2+6)</f>
        <v>0.05</v>
      </c>
      <c r="BT59" s="1">
        <f>INDEX(Input!$1:$1048576,BT$10,$C59*2+6)</f>
        <v>0.05</v>
      </c>
      <c r="BU59" s="1">
        <f>INDEX(Input!$1:$1048576,BU$10,$C59*2+6)</f>
        <v>0.05</v>
      </c>
      <c r="BV59" s="1">
        <f>INDEX(Input!$1:$1048576,BV$10,$C59*2+6)</f>
        <v>5.5E-2</v>
      </c>
      <c r="BW59" s="1">
        <f>INDEX(Input!$1:$1048576,BW$10,$C59*2+6)</f>
        <v>0.06</v>
      </c>
      <c r="BX59" s="304">
        <f>INDEX(Input!$1:$1048576,BX$10,$C59*2+6)</f>
        <v>19985</v>
      </c>
      <c r="BY59" s="20">
        <f>INDEX(Input!$1:$1048576,BY$10,$C59*2+6)</f>
        <v>0.1</v>
      </c>
      <c r="BZ59" s="20">
        <f>INDEX(Input!$1:$1048576,BZ$10,$C59*2+6)</f>
        <v>0.1</v>
      </c>
      <c r="CA59" s="20">
        <f>INDEX(Input!$1:$1048576,CA$10,$C59*2+6)</f>
        <v>0.1</v>
      </c>
      <c r="CB59" s="20">
        <f>INDEX(Input!$1:$1048576,CB$10,$C59*2+6)</f>
        <v>0.1</v>
      </c>
      <c r="CC59" s="20">
        <f>INDEX(Input!$1:$1048576,CC$10,$C59*2+6)</f>
        <v>0.1</v>
      </c>
      <c r="CD59" s="384">
        <f>INDEX(Input!$1:$1048576,CD$10,$C59*2+6)</f>
        <v>0.1</v>
      </c>
      <c r="CE59" s="384">
        <f>INDEX(Input!$1:$1048576,CE$10,$C59*2+6)</f>
        <v>0.1</v>
      </c>
      <c r="CF59" s="384">
        <f>INDEX(Input!$1:$1048576,CF$10,$C59*2+6)</f>
        <v>0.1</v>
      </c>
      <c r="CG59" s="384">
        <f>INDEX(Input!$1:$1048576,CG$10,$C59*2+6)</f>
        <v>0.1</v>
      </c>
      <c r="CH59" s="384">
        <f>INDEX(Input!$1:$1048576,CH$10,$C59*2+6)</f>
        <v>0.1</v>
      </c>
      <c r="CI59" s="304">
        <f t="shared" si="61"/>
        <v>1270</v>
      </c>
      <c r="CJ59" s="16" t="str">
        <f>INDEX(Input!$1:$1048576,CJ$10,$C59*2+6)</f>
        <v>N</v>
      </c>
      <c r="CK59" s="1" t="str">
        <f t="shared" si="62"/>
        <v>Market</v>
      </c>
      <c r="CL59" s="1" t="str">
        <f t="shared" si="63"/>
        <v>Market</v>
      </c>
      <c r="CM59" s="1" t="str">
        <f t="shared" si="64"/>
        <v>Market</v>
      </c>
      <c r="CN59" s="1" t="str">
        <f t="shared" si="65"/>
        <v>Market</v>
      </c>
      <c r="CO59" s="1" t="str">
        <f t="shared" si="66"/>
        <v>Market</v>
      </c>
      <c r="CP59" s="304">
        <f t="shared" si="67"/>
        <v>0</v>
      </c>
      <c r="CQ59" s="1">
        <f t="shared" si="68"/>
        <v>0</v>
      </c>
      <c r="CR59" s="1">
        <f t="shared" si="69"/>
        <v>0</v>
      </c>
      <c r="CS59" s="1">
        <f t="shared" si="70"/>
        <v>0</v>
      </c>
      <c r="CT59" s="1">
        <f t="shared" si="71"/>
        <v>0</v>
      </c>
      <c r="CU59" s="1">
        <f t="shared" si="72"/>
        <v>1.9E-2</v>
      </c>
      <c r="CV59" s="304">
        <f t="shared" si="73"/>
        <v>838.12993206718079</v>
      </c>
      <c r="CW59" s="20" t="s">
        <v>122</v>
      </c>
      <c r="CX59" s="20" t="s">
        <v>122</v>
      </c>
      <c r="CY59" s="20" t="s">
        <v>122</v>
      </c>
      <c r="CZ59" s="20" t="s">
        <v>122</v>
      </c>
      <c r="DA59" s="20" t="s">
        <v>122</v>
      </c>
      <c r="DB59" s="503">
        <f t="shared" si="74"/>
        <v>0</v>
      </c>
      <c r="DC59" s="127">
        <v>0</v>
      </c>
      <c r="DD59" s="127">
        <v>0</v>
      </c>
      <c r="DE59" s="127">
        <v>0</v>
      </c>
      <c r="DF59" s="127">
        <v>0</v>
      </c>
      <c r="DG59" s="127">
        <v>0</v>
      </c>
      <c r="DH59" s="127">
        <v>0</v>
      </c>
      <c r="DI59" s="127">
        <v>0</v>
      </c>
      <c r="DJ59" s="127">
        <v>0</v>
      </c>
      <c r="DK59" s="127">
        <v>0</v>
      </c>
      <c r="DL59" s="127">
        <v>0</v>
      </c>
      <c r="DM59" s="304">
        <f>INDEX(Input!$1:$1048576,DM$10,$C59*2+6)</f>
        <v>21036.84210526316</v>
      </c>
      <c r="DN59" s="20">
        <v>0</v>
      </c>
      <c r="DO59" s="20">
        <v>0</v>
      </c>
      <c r="DP59" s="20">
        <v>0</v>
      </c>
      <c r="DQ59" s="20">
        <v>0</v>
      </c>
      <c r="DR59" s="20">
        <v>0</v>
      </c>
      <c r="DS59" s="20">
        <f>INDEX(Input!$1:$1048576,DS$10,$C59*2+6)</f>
        <v>0.6</v>
      </c>
      <c r="DT59" s="20">
        <f>INDEX(Input!$1:$1048576,DT$10,$C59*2+6)</f>
        <v>0.55000000000000004</v>
      </c>
      <c r="DU59" s="20">
        <f>INDEX(Input!$1:$1048576,DU$10,$C59*2+6)</f>
        <v>0.52</v>
      </c>
      <c r="DV59" s="20">
        <f>INDEX(Input!$1:$1048576,DV$10,$C59*2+6)</f>
        <v>0.5</v>
      </c>
      <c r="DW59" s="20">
        <f>INDEX(Input!$1:$1048576,DW$10,$C59*2+6)</f>
        <v>0.45</v>
      </c>
      <c r="DX59" s="20"/>
      <c r="DY59" s="7">
        <v>0.10839859445018116</v>
      </c>
      <c r="DZ59" s="7">
        <v>0</v>
      </c>
      <c r="EA59" s="7">
        <v>0.67282063545962822</v>
      </c>
      <c r="EB59" s="7">
        <v>0</v>
      </c>
      <c r="EC59" s="7">
        <v>0</v>
      </c>
      <c r="ED59" s="7">
        <v>0</v>
      </c>
      <c r="EE59" s="7">
        <v>0</v>
      </c>
      <c r="EF59" s="7">
        <v>0</v>
      </c>
      <c r="EG59" s="7">
        <v>0</v>
      </c>
      <c r="EH59" s="7">
        <v>6.47855260845559E-3</v>
      </c>
      <c r="EI59" s="7">
        <v>1.7998827100149474E-2</v>
      </c>
      <c r="EJ59" s="7">
        <v>0.15623536742119798</v>
      </c>
      <c r="EK59" s="7">
        <v>0.6281173847702225</v>
      </c>
      <c r="EL59" s="7">
        <v>0.19116986809997427</v>
      </c>
      <c r="EM59" s="7">
        <v>0.12841665554545756</v>
      </c>
      <c r="EN59" s="7">
        <v>6.0367924316827581E-2</v>
      </c>
      <c r="EO59" s="7">
        <v>0.73513267393379078</v>
      </c>
      <c r="EP59" s="7">
        <v>8.1463605392967195E-2</v>
      </c>
      <c r="EQ59" s="7">
        <v>8.0090534973101174E-2</v>
      </c>
      <c r="ER59" s="7">
        <v>4.29452613833134E-2</v>
      </c>
      <c r="ES59" s="7">
        <v>9.0364114544733004E-2</v>
      </c>
      <c r="ET59" s="7">
        <v>0.21878077009019056</v>
      </c>
      <c r="EU59" s="6">
        <v>1240</v>
      </c>
      <c r="EV59" s="6">
        <v>0</v>
      </c>
      <c r="EW59" s="6">
        <v>1240</v>
      </c>
      <c r="EX59" s="6">
        <v>0</v>
      </c>
      <c r="EY59" s="6">
        <v>2672.5399027830749</v>
      </c>
      <c r="EZ59" s="6">
        <v>627.306442160904</v>
      </c>
      <c r="FA59" s="6">
        <v>0</v>
      </c>
      <c r="FB59" s="6">
        <v>0</v>
      </c>
      <c r="FC59" s="6">
        <v>0</v>
      </c>
      <c r="FD59" s="6">
        <v>0</v>
      </c>
      <c r="FE59" s="6">
        <v>0</v>
      </c>
      <c r="FF59" s="6">
        <v>0</v>
      </c>
      <c r="FG59" s="6">
        <v>0</v>
      </c>
      <c r="FH59" s="6">
        <v>1172.1171127443076</v>
      </c>
      <c r="FI59" s="6">
        <v>1553.9796069512397</v>
      </c>
      <c r="FJ59" s="6">
        <v>2101.2110117447414</v>
      </c>
      <c r="FK59" s="6">
        <v>2674.2006261592296</v>
      </c>
      <c r="FL59" s="6">
        <v>2034.7405995769213</v>
      </c>
      <c r="FM59" s="6">
        <v>2432.5399027830749</v>
      </c>
      <c r="FN59" s="6">
        <v>0</v>
      </c>
      <c r="FO59" s="6">
        <v>0</v>
      </c>
      <c r="FP59" s="6">
        <v>0</v>
      </c>
      <c r="FQ59" s="6">
        <v>0</v>
      </c>
      <c r="FR59" s="6">
        <v>0</v>
      </c>
      <c r="FS59" s="6">
        <v>0</v>
      </c>
      <c r="FT59" s="7">
        <v>0.78121922990980941</v>
      </c>
      <c r="FU59" s="7">
        <v>0.12841665554545756</v>
      </c>
      <c r="FV59" s="7">
        <v>9.0364114544733004E-2</v>
      </c>
      <c r="FW59" s="519">
        <v>1240</v>
      </c>
      <c r="FX59" s="519">
        <v>2672.5399027830749</v>
      </c>
      <c r="FY59" s="519">
        <v>627.306442160904</v>
      </c>
      <c r="FZ59" s="6">
        <v>1779.5209350888699</v>
      </c>
      <c r="GA59" s="6">
        <v>1368.5964724094254</v>
      </c>
      <c r="GB59" s="6">
        <v>18616.403527590574</v>
      </c>
      <c r="GC59" s="7">
        <v>3.064145122680037E-2</v>
      </c>
      <c r="GD59" s="7">
        <v>2.9776880326904169E-2</v>
      </c>
      <c r="GE59" s="7"/>
      <c r="GF59" s="7"/>
      <c r="GG59" s="7">
        <v>-2.8215729519364581E-2</v>
      </c>
      <c r="GH59" s="42">
        <v>1.3722506340158764</v>
      </c>
      <c r="GI59" s="6">
        <v>15932.262543755385</v>
      </c>
      <c r="GJ59" s="14">
        <v>0.50394797582841677</v>
      </c>
      <c r="GK59" s="14">
        <v>0.50887573065309732</v>
      </c>
      <c r="GL59" s="14">
        <v>0.49605202417158251</v>
      </c>
      <c r="GM59" s="14">
        <v>0.49112426934690229</v>
      </c>
      <c r="GO59" s="5">
        <v>343.14810671672558</v>
      </c>
      <c r="GP59" s="5">
        <v>319.49127229486811</v>
      </c>
      <c r="GQ59" s="5">
        <v>535.04305713031317</v>
      </c>
      <c r="GR59" s="5">
        <v>410.15490233172511</v>
      </c>
      <c r="GS59" s="5">
        <v>339.42744393800166</v>
      </c>
      <c r="GT59" s="5">
        <v>293.4407446948278</v>
      </c>
      <c r="GU59" s="5">
        <v>258.04012322764959</v>
      </c>
      <c r="GV59" s="39" t="s">
        <v>392</v>
      </c>
      <c r="GW59" s="5">
        <v>492.95833333333331</v>
      </c>
      <c r="GX59" s="5">
        <v>369.71875</v>
      </c>
      <c r="GY59" s="5">
        <v>295.77499999999998</v>
      </c>
      <c r="GZ59" s="5">
        <v>246.47916666666666</v>
      </c>
      <c r="HA59" s="5">
        <v>225.79546784515614</v>
      </c>
      <c r="HB59" s="39">
        <v>254.04181552475575</v>
      </c>
      <c r="HC59" s="5">
        <v>259.83971815546045</v>
      </c>
      <c r="HD59" s="5">
        <v>221.07332371178876</v>
      </c>
      <c r="HE59" s="5">
        <v>223.57119791343712</v>
      </c>
      <c r="HF59" s="5">
        <v>206.40229400748521</v>
      </c>
      <c r="HG59" s="5">
        <v>198.6080081041967</v>
      </c>
      <c r="HH59" s="39">
        <v>221.47726684743441</v>
      </c>
      <c r="HI59" s="16"/>
      <c r="HJ59" s="1">
        <f>INDEX(Input!$1:$1048576,HJ$10,$C59*2+6)</f>
        <v>0.40560292326431191</v>
      </c>
      <c r="HK59" s="1">
        <f>INDEX(Input!$1:$1048576,HK$10,$C59*2+6)</f>
        <v>0.52253349573690622</v>
      </c>
      <c r="HL59" s="1">
        <f>INDEX(Input!$1:$1048576,HL$10,$C59*2+6)</f>
        <v>7.186358099878197E-2</v>
      </c>
      <c r="HM59" s="19"/>
    </row>
    <row r="60" spans="1:221" s="26" customFormat="1" ht="15">
      <c r="A60" s="117">
        <f t="shared" si="99"/>
        <v>5003</v>
      </c>
      <c r="B60" s="117">
        <f t="shared" si="60"/>
        <v>3</v>
      </c>
      <c r="C60" s="117">
        <f t="shared" si="76"/>
        <v>5</v>
      </c>
      <c r="D60" s="117" t="s">
        <v>568</v>
      </c>
      <c r="E60" s="115">
        <f>INDEX(Input!$1:$1048576,E$10,$C60*2+6)</f>
        <v>1000</v>
      </c>
      <c r="F60" s="115">
        <f>INDEX(Input!$1:$1048576,F$10,$C60*2+6)</f>
        <v>0</v>
      </c>
      <c r="G60" s="115">
        <f>INDEX(Input!$1:$1048576,G$10,$C60*2+6)</f>
        <v>0</v>
      </c>
      <c r="H60" s="115">
        <f>INDEX(Input!$1:$1048576,H$10,$C60*2+6)</f>
        <v>0</v>
      </c>
      <c r="I60" s="118">
        <f>INDEX(Input!$1:$1048576,I$10,$C60*2+6)</f>
        <v>0.7</v>
      </c>
      <c r="J60" s="118" t="str">
        <f>INDEX(Input!$1:$1048576,J$10,$C60*2+6)</f>
        <v>Market</v>
      </c>
      <c r="K60" s="118" t="str">
        <f>INDEX(Input!$1:$1048576,K$10,$C60*2+6)</f>
        <v>Market</v>
      </c>
      <c r="L60" s="118" t="str">
        <f>INDEX(Input!$1:$1048576,L$10,$C60*2+6)</f>
        <v>Market</v>
      </c>
      <c r="M60" s="118" t="str">
        <f>INDEX(Input!$1:$1048576,M$10,$C60*2+6)</f>
        <v>Market</v>
      </c>
      <c r="N60" s="118" t="str">
        <f>INDEX(Input!$1:$1048576,N$10,$C60*2+6)</f>
        <v>Market</v>
      </c>
      <c r="O60" s="118" t="str">
        <f>INDEX(Input!$1:$1048576,O$10,$C60*2+6)</f>
        <v>Market</v>
      </c>
      <c r="P60" s="118" t="str">
        <f>INDEX(Input!$1:$1048576,P$10,$C60*2+6)</f>
        <v>N</v>
      </c>
      <c r="Q60" s="30">
        <f>INDEX(Input!$1:$1048576,Q$10,$C60*2+6)</f>
        <v>0</v>
      </c>
      <c r="R60" s="383">
        <f>INDEX(Input!$1:$1048576,R$10,$C60*2+6)</f>
        <v>0</v>
      </c>
      <c r="S60" s="383">
        <f>INDEX(Input!$1:$1048576,S$10,$C60*2+6)</f>
        <v>0</v>
      </c>
      <c r="T60" s="383">
        <f>INDEX(Input!$1:$1048576,T$10,$C60*2+6)</f>
        <v>0</v>
      </c>
      <c r="U60" s="383">
        <f>INDEX(Input!$1:$1048576,U$10,$C60*2+6)</f>
        <v>0</v>
      </c>
      <c r="V60" s="383">
        <f>INDEX(Input!$1:$1048576,V$10,$C60*2+6)</f>
        <v>1.9E-2</v>
      </c>
      <c r="W60" s="383">
        <f>INDEX(Input!$1:$1048576,W$10,$C60*2+6)</f>
        <v>3.9E-2</v>
      </c>
      <c r="X60" s="118" t="str">
        <f>INDEX(Input!$1:$1048576,X$10,$C60*2+6)</f>
        <v>Y</v>
      </c>
      <c r="Y60" s="520">
        <f>Y58+1000</f>
        <v>1068.1299320671808</v>
      </c>
      <c r="Z60" s="30">
        <f>INDEX(Input!$1:$1048576,Z$10,$C60*2+6)</f>
        <v>0</v>
      </c>
      <c r="AA60" s="115">
        <f>INDEX(Input!$1:$1048576,AA$10,$C60*2+6)</f>
        <v>1000</v>
      </c>
      <c r="AB60" s="118">
        <f>INDEX(Input!$1:$1048576,AB$10,$C60*2+6)</f>
        <v>0.27</v>
      </c>
      <c r="AC60" s="115">
        <f>INDEX(Input!$1:$1048576,AC$10,$C60*2+6)</f>
        <v>1000</v>
      </c>
      <c r="AD60" s="118">
        <f>INDEX(Input!$1:$1048576,AD$10,$C60*2+6)</f>
        <v>0.27</v>
      </c>
      <c r="AE60" s="115">
        <f>INDEX(Input!$1:$1048576,AE$10,$C60*2+6)</f>
        <v>0</v>
      </c>
      <c r="AF60" s="118">
        <f>INDEX(Input!$1:$1048576,AF$10,$C60*2+6)</f>
        <v>0.2</v>
      </c>
      <c r="AG60" s="115">
        <f>INDEX(Input!$1:$1048576,AG$10,$C60*2+6)</f>
        <v>0</v>
      </c>
      <c r="AH60" s="118">
        <f>INDEX(Input!$1:$1048576,AH$10,$C60*2+6)</f>
        <v>1</v>
      </c>
      <c r="AI60" s="115">
        <f>INDEX(Input!$1:$1048576,AI$10,$C60*2+6)</f>
        <v>0</v>
      </c>
      <c r="AJ60" s="118">
        <f>INDEX(Input!$1:$1048576,AJ$10,$C60*2+6)</f>
        <v>0.27</v>
      </c>
      <c r="AK60" s="150">
        <f>INDEX(Input!$1:$1048576,AK$10,$C59*2+6)+(Y60-VLOOKUP($C60*1000+1,$A:$HH,Y$9,FALSE))</f>
        <v>3452.5963478419662</v>
      </c>
      <c r="AL60" s="150">
        <f>INDEX(Input!$1:$1048576,AL$10,$C59*2+6)-(Y60-VLOOKUP($C60*1000+1,$A:$HH,Y$9,FALSE))/36</f>
        <v>3381.8030843284751</v>
      </c>
      <c r="AM60" s="32" t="str">
        <f t="shared" si="100"/>
        <v>std/std/std/std</v>
      </c>
      <c r="AN60" s="32" t="str">
        <f t="shared" si="101"/>
        <v>$0 + 0/0/0/1.9/3.9</v>
      </c>
      <c r="AO60" s="32" t="str">
        <f t="shared" si="102"/>
        <v>0/0/0/1.9/3.9</v>
      </c>
      <c r="AP60" s="32" t="str">
        <f t="shared" si="103"/>
        <v>0/0/1.9/3.9</v>
      </c>
      <c r="AQ60" s="150">
        <f t="shared" si="81"/>
        <v>270</v>
      </c>
      <c r="AR60" s="32" t="str">
        <f t="shared" si="82"/>
        <v>0/1.9</v>
      </c>
      <c r="AS60" s="302"/>
      <c r="AT60" s="3">
        <f t="shared" si="83"/>
        <v>15</v>
      </c>
      <c r="AU60" s="41" t="s">
        <v>121</v>
      </c>
      <c r="AV60" s="41" t="s">
        <v>116</v>
      </c>
      <c r="AW60" s="41" t="str">
        <f>INDEX(Input!$1:$1048576,AW$10,$C60*2+6)</f>
        <v>Kia</v>
      </c>
      <c r="AX60" s="41" t="str">
        <f>INDEX(Input!$1:$1048576,AX$10,$C60*2+6)</f>
        <v>Kia-LR - R2</v>
      </c>
      <c r="AY60" s="41" t="str">
        <f>IF(D60="Skip","",INDEX(Input!$1:$1048576,AY$10,$C60*2+6))</f>
        <v>Compact SUV (52)</v>
      </c>
      <c r="AZ60" s="41" t="str">
        <f>INDEX(Input!$1:$1048576,AZ$10,$C60*2+6)</f>
        <v>Kia Soul</v>
      </c>
      <c r="BA60" s="3">
        <f>INDEX(Input!$1:$1048576,BA$10,$C60*2+6)</f>
        <v>2020</v>
      </c>
      <c r="BB60" s="128">
        <f>INDEX(Input!$1:$1048576,BB$10,$C60*2+6)</f>
        <v>1</v>
      </c>
      <c r="BC60" s="128">
        <f>INDEX(Input!$1:$1048576,BC$10,$C60*2+6)</f>
        <v>0.7</v>
      </c>
      <c r="BD60" s="1">
        <f>INDEX(Input!$1:$1048576,BD$10,$C60*2+6)</f>
        <v>4.4999999999999998E-2</v>
      </c>
      <c r="BE60" s="1">
        <f>INDEX(Input!$1:$1048576,BE$10,$C60*2+6)</f>
        <v>4.4999999999999998E-2</v>
      </c>
      <c r="BF60" s="1">
        <f>INDEX(Input!$1:$1048576,BF$10,$C60*2+6)</f>
        <v>0.05</v>
      </c>
      <c r="BG60" s="1">
        <f>INDEX(Input!$1:$1048576,BG$10,$C60*2+6)</f>
        <v>5.45E-2</v>
      </c>
      <c r="BH60" s="1">
        <f>INDEX(Input!$1:$1048576,BH$10,$C60*2+6)</f>
        <v>5.45E-2</v>
      </c>
      <c r="BI60" s="1">
        <f>INDEX(Input!$1:$1048576,BI$10,$C60*2+6)</f>
        <v>0.05</v>
      </c>
      <c r="BJ60" s="1">
        <f>INDEX(Input!$1:$1048576,BJ$10,$C60*2+6)</f>
        <v>0.05</v>
      </c>
      <c r="BK60" s="1">
        <f>INDEX(Input!$1:$1048576,BK$10,$C60*2+6)</f>
        <v>0.05</v>
      </c>
      <c r="BL60" s="1">
        <f>INDEX(Input!$1:$1048576,BL$10,$C60*2+6)</f>
        <v>5.5E-2</v>
      </c>
      <c r="BM60" s="1">
        <f>INDEX(Input!$1:$1048576,BM$10,$C60*2+6)</f>
        <v>0.06</v>
      </c>
      <c r="BN60" s="1">
        <f>INDEX(Input!$1:$1048576,BN$10,$C60*2+6)</f>
        <v>4.4999999999999998E-2</v>
      </c>
      <c r="BO60" s="1">
        <f>INDEX(Input!$1:$1048576,BO$10,$C60*2+6)</f>
        <v>4.4999999999999998E-2</v>
      </c>
      <c r="BP60" s="1">
        <f>INDEX(Input!$1:$1048576,BP$10,$C60*2+6)</f>
        <v>0.05</v>
      </c>
      <c r="BQ60" s="1">
        <f>INDEX(Input!$1:$1048576,BQ$10,$C60*2+6)</f>
        <v>5.45E-2</v>
      </c>
      <c r="BR60" s="1">
        <f>INDEX(Input!$1:$1048576,BR$10,$C60*2+6)</f>
        <v>5.45E-2</v>
      </c>
      <c r="BS60" s="1">
        <f>INDEX(Input!$1:$1048576,BS$10,$C60*2+6)</f>
        <v>0.05</v>
      </c>
      <c r="BT60" s="1">
        <f>INDEX(Input!$1:$1048576,BT$10,$C60*2+6)</f>
        <v>0.05</v>
      </c>
      <c r="BU60" s="1">
        <f>INDEX(Input!$1:$1048576,BU$10,$C60*2+6)</f>
        <v>0.05</v>
      </c>
      <c r="BV60" s="1">
        <f>INDEX(Input!$1:$1048576,BV$10,$C60*2+6)</f>
        <v>5.5E-2</v>
      </c>
      <c r="BW60" s="1">
        <f>INDEX(Input!$1:$1048576,BW$10,$C60*2+6)</f>
        <v>0.06</v>
      </c>
      <c r="BX60" s="304">
        <f>INDEX(Input!$1:$1048576,BX$10,$C60*2+6)</f>
        <v>19985</v>
      </c>
      <c r="BY60" s="20">
        <f>INDEX(Input!$1:$1048576,BY$10,$C60*2+6)</f>
        <v>0.1</v>
      </c>
      <c r="BZ60" s="20">
        <f>INDEX(Input!$1:$1048576,BZ$10,$C60*2+6)</f>
        <v>0.1</v>
      </c>
      <c r="CA60" s="20">
        <f>INDEX(Input!$1:$1048576,CA$10,$C60*2+6)</f>
        <v>0.1</v>
      </c>
      <c r="CB60" s="20">
        <f>INDEX(Input!$1:$1048576,CB$10,$C60*2+6)</f>
        <v>0.1</v>
      </c>
      <c r="CC60" s="20">
        <f>INDEX(Input!$1:$1048576,CC$10,$C60*2+6)</f>
        <v>0.1</v>
      </c>
      <c r="CD60" s="384">
        <f>INDEX(Input!$1:$1048576,CD$10,$C60*2+6)</f>
        <v>0.1</v>
      </c>
      <c r="CE60" s="384">
        <f>INDEX(Input!$1:$1048576,CE$10,$C60*2+6)</f>
        <v>0.1</v>
      </c>
      <c r="CF60" s="384">
        <f>INDEX(Input!$1:$1048576,CF$10,$C60*2+6)</f>
        <v>0.1</v>
      </c>
      <c r="CG60" s="384">
        <f>INDEX(Input!$1:$1048576,CG$10,$C60*2+6)</f>
        <v>0.1</v>
      </c>
      <c r="CH60" s="384">
        <f>INDEX(Input!$1:$1048576,CH$10,$C60*2+6)</f>
        <v>0.1</v>
      </c>
      <c r="CI60" s="304">
        <f t="shared" si="61"/>
        <v>1270</v>
      </c>
      <c r="CJ60" s="16" t="str">
        <f>INDEX(Input!$1:$1048576,CJ$10,$C60*2+6)</f>
        <v>N</v>
      </c>
      <c r="CK60" s="1" t="str">
        <f t="shared" si="62"/>
        <v>Market</v>
      </c>
      <c r="CL60" s="1" t="str">
        <f t="shared" si="63"/>
        <v>Market</v>
      </c>
      <c r="CM60" s="1" t="str">
        <f t="shared" si="64"/>
        <v>Market</v>
      </c>
      <c r="CN60" s="1" t="str">
        <f t="shared" si="65"/>
        <v>Market</v>
      </c>
      <c r="CO60" s="1" t="str">
        <f t="shared" si="66"/>
        <v>Market</v>
      </c>
      <c r="CP60" s="304">
        <f t="shared" si="67"/>
        <v>0</v>
      </c>
      <c r="CQ60" s="1">
        <f t="shared" si="68"/>
        <v>0</v>
      </c>
      <c r="CR60" s="1">
        <f t="shared" si="69"/>
        <v>0</v>
      </c>
      <c r="CS60" s="1">
        <f t="shared" si="70"/>
        <v>0</v>
      </c>
      <c r="CT60" s="1">
        <f t="shared" si="71"/>
        <v>0</v>
      </c>
      <c r="CU60" s="1">
        <f t="shared" si="72"/>
        <v>1.9E-2</v>
      </c>
      <c r="CV60" s="304">
        <f t="shared" si="73"/>
        <v>1338.1299320671808</v>
      </c>
      <c r="CW60" s="20" t="s">
        <v>122</v>
      </c>
      <c r="CX60" s="20" t="s">
        <v>122</v>
      </c>
      <c r="CY60" s="20" t="s">
        <v>122</v>
      </c>
      <c r="CZ60" s="20" t="s">
        <v>122</v>
      </c>
      <c r="DA60" s="20" t="s">
        <v>122</v>
      </c>
      <c r="DB60" s="503">
        <f t="shared" si="74"/>
        <v>0</v>
      </c>
      <c r="DC60" s="127">
        <v>0</v>
      </c>
      <c r="DD60" s="127">
        <v>0</v>
      </c>
      <c r="DE60" s="127">
        <v>0</v>
      </c>
      <c r="DF60" s="127">
        <v>0</v>
      </c>
      <c r="DG60" s="127">
        <v>0</v>
      </c>
      <c r="DH60" s="127">
        <v>0</v>
      </c>
      <c r="DI60" s="127">
        <v>0</v>
      </c>
      <c r="DJ60" s="127">
        <v>0</v>
      </c>
      <c r="DK60" s="127">
        <v>0</v>
      </c>
      <c r="DL60" s="127">
        <v>0</v>
      </c>
      <c r="DM60" s="304">
        <f>INDEX(Input!$1:$1048576,DM$10,$C60*2+6)</f>
        <v>21036.84210526316</v>
      </c>
      <c r="DN60" s="20">
        <v>0</v>
      </c>
      <c r="DO60" s="20">
        <v>0</v>
      </c>
      <c r="DP60" s="20">
        <v>0</v>
      </c>
      <c r="DQ60" s="20">
        <v>0</v>
      </c>
      <c r="DR60" s="20">
        <v>0</v>
      </c>
      <c r="DS60" s="20">
        <f>INDEX(Input!$1:$1048576,DS$10,$C60*2+6)</f>
        <v>0.6</v>
      </c>
      <c r="DT60" s="20">
        <f>INDEX(Input!$1:$1048576,DT$10,$C60*2+6)</f>
        <v>0.55000000000000004</v>
      </c>
      <c r="DU60" s="20">
        <f>INDEX(Input!$1:$1048576,DU$10,$C60*2+6)</f>
        <v>0.52</v>
      </c>
      <c r="DV60" s="20">
        <f>INDEX(Input!$1:$1048576,DV$10,$C60*2+6)</f>
        <v>0.5</v>
      </c>
      <c r="DW60" s="20">
        <f>INDEX(Input!$1:$1048576,DW$10,$C60*2+6)</f>
        <v>0.45</v>
      </c>
      <c r="DX60" s="20"/>
      <c r="DY60" s="7">
        <v>0.10539134001187303</v>
      </c>
      <c r="DZ60" s="7">
        <v>0</v>
      </c>
      <c r="EA60" s="7">
        <v>0.65467133338214833</v>
      </c>
      <c r="EB60" s="7">
        <v>0</v>
      </c>
      <c r="EC60" s="7">
        <v>0</v>
      </c>
      <c r="ED60" s="7">
        <v>0</v>
      </c>
      <c r="EE60" s="7">
        <v>0</v>
      </c>
      <c r="EF60" s="7">
        <v>0</v>
      </c>
      <c r="EG60" s="7">
        <v>0</v>
      </c>
      <c r="EH60" s="7">
        <v>6.4772065496292251E-3</v>
      </c>
      <c r="EI60" s="7">
        <v>1.7990271153659518E-2</v>
      </c>
      <c r="EJ60" s="7">
        <v>0.1561374017020391</v>
      </c>
      <c r="EK60" s="7">
        <v>0.62825656229212201</v>
      </c>
      <c r="EL60" s="7">
        <v>0.19113855830254997</v>
      </c>
      <c r="EM60" s="7">
        <v>0.12480153600166501</v>
      </c>
      <c r="EN60" s="7">
        <v>6.2064959997357165E-2</v>
      </c>
      <c r="EO60" s="7">
        <v>0.74964116330894603</v>
      </c>
      <c r="EP60" s="7">
        <v>7.4781133822181531E-2</v>
      </c>
      <c r="EQ60" s="7">
        <v>7.3376305258561231E-2</v>
      </c>
      <c r="ER60" s="7">
        <v>4.0136437612953685E-2</v>
      </c>
      <c r="ES60" s="7">
        <v>0.11513579060431359</v>
      </c>
      <c r="ET60" s="7">
        <v>0.23993732660597863</v>
      </c>
      <c r="EU60" s="6">
        <v>1240</v>
      </c>
      <c r="EV60" s="6">
        <v>0</v>
      </c>
      <c r="EW60" s="6">
        <v>1240</v>
      </c>
      <c r="EX60" s="6">
        <v>0</v>
      </c>
      <c r="EY60" s="6">
        <v>2672.627608601746</v>
      </c>
      <c r="EZ60" s="6">
        <v>1127.306442160904</v>
      </c>
      <c r="FA60" s="6">
        <v>0</v>
      </c>
      <c r="FB60" s="6">
        <v>0</v>
      </c>
      <c r="FC60" s="6">
        <v>0</v>
      </c>
      <c r="FD60" s="6">
        <v>0</v>
      </c>
      <c r="FE60" s="6">
        <v>0</v>
      </c>
      <c r="FF60" s="6">
        <v>0</v>
      </c>
      <c r="FG60" s="6">
        <v>0</v>
      </c>
      <c r="FH60" s="6">
        <v>1172.108570676872</v>
      </c>
      <c r="FI60" s="6">
        <v>1553.9796069512404</v>
      </c>
      <c r="FJ60" s="6">
        <v>2101.2110117447419</v>
      </c>
      <c r="FK60" s="6">
        <v>2674.2006261592269</v>
      </c>
      <c r="FL60" s="6">
        <v>2034.7405995769202</v>
      </c>
      <c r="FM60" s="6">
        <v>2432.627608601746</v>
      </c>
      <c r="FN60" s="6">
        <v>0</v>
      </c>
      <c r="FO60" s="6">
        <v>0</v>
      </c>
      <c r="FP60" s="6">
        <v>0</v>
      </c>
      <c r="FQ60" s="6">
        <v>0</v>
      </c>
      <c r="FR60" s="6">
        <v>0</v>
      </c>
      <c r="FS60" s="6">
        <v>0</v>
      </c>
      <c r="FT60" s="7">
        <v>0.76006267339402134</v>
      </c>
      <c r="FU60" s="7">
        <v>0.12480153600166501</v>
      </c>
      <c r="FV60" s="7">
        <v>0.11513579060431359</v>
      </c>
      <c r="FW60" s="519">
        <v>1240</v>
      </c>
      <c r="FX60" s="519">
        <v>2672.627608601746</v>
      </c>
      <c r="FY60" s="519">
        <v>1127.306442160904</v>
      </c>
      <c r="FZ60" s="6">
        <v>1779.5209350888699</v>
      </c>
      <c r="GA60" s="6">
        <v>1405.8190641940728</v>
      </c>
      <c r="GB60" s="6">
        <v>18579.180935805925</v>
      </c>
      <c r="GC60" s="7">
        <v>3.064145122680037E-2</v>
      </c>
      <c r="GD60" s="7">
        <v>2.9959596321907752E-2</v>
      </c>
      <c r="GE60" s="7"/>
      <c r="GF60" s="7"/>
      <c r="GG60" s="7">
        <v>-2.2252696187452042E-2</v>
      </c>
      <c r="GH60" s="42">
        <v>1.190039889929865</v>
      </c>
      <c r="GI60" s="6">
        <v>18199.37377535407</v>
      </c>
      <c r="GJ60" s="14">
        <v>0.50394797582841733</v>
      </c>
      <c r="GK60" s="14">
        <v>0.5088757306530971</v>
      </c>
      <c r="GL60" s="14">
        <v>0.49605202417158273</v>
      </c>
      <c r="GM60" s="14">
        <v>0.49112426934690229</v>
      </c>
      <c r="GO60" s="5">
        <v>343.14810671672558</v>
      </c>
      <c r="GP60" s="5">
        <v>319.49127229486811</v>
      </c>
      <c r="GQ60" s="5">
        <v>535.04305713031317</v>
      </c>
      <c r="GR60" s="5">
        <v>410.15490233172511</v>
      </c>
      <c r="GS60" s="5">
        <v>339.42744393800166</v>
      </c>
      <c r="GT60" s="5">
        <v>293.4407446948278</v>
      </c>
      <c r="GU60" s="5">
        <v>258.04012322764959</v>
      </c>
      <c r="GV60" s="39" t="s">
        <v>392</v>
      </c>
      <c r="GW60" s="5">
        <v>492.95833333333331</v>
      </c>
      <c r="GX60" s="5">
        <v>369.71875</v>
      </c>
      <c r="GY60" s="5">
        <v>295.77499999999998</v>
      </c>
      <c r="GZ60" s="5">
        <v>246.47916666666666</v>
      </c>
      <c r="HA60" s="5">
        <v>225.79546784515614</v>
      </c>
      <c r="HB60" s="39">
        <v>254.03624761867354</v>
      </c>
      <c r="HC60" s="5">
        <v>237.96471815546042</v>
      </c>
      <c r="HD60" s="5">
        <v>206.14276815623322</v>
      </c>
      <c r="HE60" s="5">
        <v>209.70901842625761</v>
      </c>
      <c r="HF60" s="5">
        <v>194.83979400748521</v>
      </c>
      <c r="HG60" s="5">
        <v>189.02467477086336</v>
      </c>
      <c r="HH60" s="39">
        <v>206.86805467997641</v>
      </c>
      <c r="HI60" s="16"/>
      <c r="HJ60" s="1">
        <f>INDEX(Input!$1:$1048576,HJ$10,$C60*2+6)</f>
        <v>0.40560292326431191</v>
      </c>
      <c r="HK60" s="1">
        <f>INDEX(Input!$1:$1048576,HK$10,$C60*2+6)</f>
        <v>0.52253349573690622</v>
      </c>
      <c r="HL60" s="1">
        <f>INDEX(Input!$1:$1048576,HL$10,$C60*2+6)</f>
        <v>7.186358099878197E-2</v>
      </c>
      <c r="HM60" s="19"/>
    </row>
    <row r="61" spans="1:221" s="26" customFormat="1" ht="15">
      <c r="A61" s="117"/>
      <c r="B61" s="117"/>
      <c r="C61" s="117"/>
      <c r="D61" s="117"/>
      <c r="E61" s="115"/>
      <c r="F61" s="115"/>
      <c r="G61" s="115"/>
      <c r="H61" s="115"/>
      <c r="I61" s="118"/>
      <c r="J61" s="118"/>
      <c r="K61" s="118"/>
      <c r="L61" s="118"/>
      <c r="M61" s="118"/>
      <c r="N61" s="118"/>
      <c r="O61" s="118"/>
      <c r="P61" s="118"/>
      <c r="Q61" s="30"/>
      <c r="R61" s="383"/>
      <c r="S61" s="383"/>
      <c r="T61" s="383"/>
      <c r="U61" s="383"/>
      <c r="V61" s="383"/>
      <c r="W61" s="383"/>
      <c r="X61" s="118"/>
      <c r="Y61" s="58"/>
      <c r="Z61" s="30"/>
      <c r="AA61" s="115"/>
      <c r="AB61" s="118"/>
      <c r="AC61" s="115"/>
      <c r="AD61" s="118"/>
      <c r="AE61" s="115"/>
      <c r="AF61" s="118"/>
      <c r="AG61" s="115"/>
      <c r="AH61" s="118"/>
      <c r="AI61" s="115"/>
      <c r="AJ61" s="118"/>
      <c r="AK61" s="150"/>
      <c r="AL61" s="150"/>
      <c r="AM61" s="32"/>
      <c r="AN61" s="32"/>
      <c r="AO61" s="32"/>
      <c r="AP61" s="32"/>
      <c r="AQ61" s="150"/>
      <c r="AR61" s="32"/>
      <c r="AS61" s="302"/>
      <c r="AT61" s="3"/>
      <c r="AU61" s="41"/>
      <c r="AV61" s="41"/>
      <c r="AW61" s="41"/>
      <c r="AX61" s="41"/>
      <c r="AY61" s="41"/>
      <c r="AZ61" s="41"/>
      <c r="BA61" s="3"/>
      <c r="BB61" s="128"/>
      <c r="BC61" s="128"/>
      <c r="BD61" s="1"/>
      <c r="BE61" s="1"/>
      <c r="BF61" s="1"/>
      <c r="BG61" s="1"/>
      <c r="BH61" s="1"/>
      <c r="BI61" s="1"/>
      <c r="BJ61" s="1"/>
      <c r="BK61" s="1"/>
      <c r="BL61" s="1"/>
      <c r="BM61" s="1"/>
      <c r="BN61" s="1"/>
      <c r="BO61" s="1"/>
      <c r="BP61" s="1"/>
      <c r="BQ61" s="1"/>
      <c r="BR61" s="1"/>
      <c r="BS61" s="1"/>
      <c r="BT61" s="1"/>
      <c r="BU61" s="1"/>
      <c r="BV61" s="1"/>
      <c r="BW61" s="1"/>
      <c r="BX61" s="304"/>
      <c r="BY61" s="20"/>
      <c r="BZ61" s="20"/>
      <c r="CA61" s="20"/>
      <c r="CB61" s="20"/>
      <c r="CC61" s="20"/>
      <c r="CD61" s="384"/>
      <c r="CE61" s="384"/>
      <c r="CF61" s="384"/>
      <c r="CG61" s="384"/>
      <c r="CH61" s="384"/>
      <c r="CI61" s="304"/>
      <c r="CJ61" s="16"/>
      <c r="CK61" s="1"/>
      <c r="CL61" s="1"/>
      <c r="CM61" s="1"/>
      <c r="CN61" s="1"/>
      <c r="CO61" s="1"/>
      <c r="CP61" s="304"/>
      <c r="CQ61" s="1"/>
      <c r="CR61" s="1"/>
      <c r="CS61" s="1"/>
      <c r="CT61" s="1"/>
      <c r="CU61" s="1"/>
      <c r="CV61" s="516"/>
      <c r="CW61" s="20"/>
      <c r="CX61" s="20"/>
      <c r="CY61" s="20"/>
      <c r="CZ61" s="20"/>
      <c r="DA61" s="20"/>
      <c r="DB61" s="503"/>
      <c r="DC61" s="127"/>
      <c r="DD61" s="127"/>
      <c r="DE61" s="127"/>
      <c r="DF61" s="127"/>
      <c r="DG61" s="127"/>
      <c r="DH61" s="127"/>
      <c r="DI61" s="127"/>
      <c r="DJ61" s="127"/>
      <c r="DK61" s="127"/>
      <c r="DL61" s="127"/>
      <c r="DM61" s="304"/>
      <c r="DN61" s="20"/>
      <c r="DO61" s="20"/>
      <c r="DP61" s="20"/>
      <c r="DQ61" s="20"/>
      <c r="DR61" s="20"/>
      <c r="DS61" s="20"/>
      <c r="DT61" s="20"/>
      <c r="DU61" s="20"/>
      <c r="DV61" s="20"/>
      <c r="DW61" s="20"/>
      <c r="DX61" s="20"/>
      <c r="DY61" s="7"/>
      <c r="DZ61" s="7"/>
      <c r="EA61" s="7"/>
      <c r="EB61" s="7"/>
      <c r="EC61" s="7"/>
      <c r="ED61" s="7"/>
      <c r="EE61" s="7"/>
      <c r="EF61" s="7"/>
      <c r="EG61" s="7"/>
      <c r="EH61" s="7"/>
      <c r="EI61" s="7"/>
      <c r="EJ61" s="7"/>
      <c r="EK61" s="7"/>
      <c r="EL61" s="7"/>
      <c r="EM61" s="7"/>
      <c r="EN61" s="7"/>
      <c r="EO61" s="7"/>
      <c r="EP61" s="7"/>
      <c r="EQ61" s="7"/>
      <c r="ER61" s="7"/>
      <c r="ES61" s="7"/>
      <c r="ET61" s="7"/>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7"/>
      <c r="FU61" s="7"/>
      <c r="FV61" s="7"/>
      <c r="FW61" s="6"/>
      <c r="FX61" s="6"/>
      <c r="FY61" s="6"/>
      <c r="FZ61" s="6"/>
      <c r="GA61" s="6"/>
      <c r="GB61" s="6"/>
      <c r="GC61" s="7"/>
      <c r="GD61" s="7"/>
      <c r="GE61" s="7"/>
      <c r="GF61" s="7"/>
      <c r="GG61" s="7"/>
      <c r="GH61" s="42"/>
      <c r="GI61" s="6"/>
      <c r="GJ61" s="14"/>
      <c r="GK61" s="14"/>
      <c r="GL61" s="14"/>
      <c r="GM61" s="14"/>
      <c r="GO61" s="5"/>
      <c r="GP61" s="5"/>
      <c r="GQ61" s="5"/>
      <c r="GR61" s="5"/>
      <c r="GS61" s="5"/>
      <c r="GT61" s="5"/>
      <c r="GU61" s="5"/>
      <c r="GV61" s="39"/>
      <c r="GW61" s="5"/>
      <c r="GX61" s="5"/>
      <c r="GY61" s="5"/>
      <c r="GZ61" s="5"/>
      <c r="HA61" s="5"/>
      <c r="HB61" s="39"/>
      <c r="HC61" s="5"/>
      <c r="HD61" s="5"/>
      <c r="HE61" s="5"/>
      <c r="HF61" s="5"/>
      <c r="HG61" s="5"/>
      <c r="HH61" s="39"/>
      <c r="HI61" s="16"/>
      <c r="HJ61" s="1"/>
      <c r="HK61" s="1"/>
      <c r="HL61" s="1"/>
      <c r="HM61" s="19"/>
    </row>
    <row r="62" spans="1:221" s="26" customFormat="1" ht="15">
      <c r="A62" s="117"/>
      <c r="B62" s="117"/>
      <c r="C62" s="117"/>
      <c r="D62" s="117"/>
      <c r="E62" s="115"/>
      <c r="F62" s="115"/>
      <c r="G62" s="115"/>
      <c r="H62" s="115"/>
      <c r="I62" s="118"/>
      <c r="J62" s="118"/>
      <c r="K62" s="118"/>
      <c r="L62" s="118"/>
      <c r="M62" s="118"/>
      <c r="N62" s="118"/>
      <c r="O62" s="118"/>
      <c r="P62" s="118"/>
      <c r="Q62" s="30"/>
      <c r="R62" s="383"/>
      <c r="S62" s="383"/>
      <c r="T62" s="383"/>
      <c r="U62" s="383"/>
      <c r="V62" s="383"/>
      <c r="W62" s="383"/>
      <c r="X62" s="118"/>
      <c r="Y62" s="58"/>
      <c r="Z62" s="30"/>
      <c r="AA62" s="115"/>
      <c r="AB62" s="118"/>
      <c r="AC62" s="115"/>
      <c r="AD62" s="118"/>
      <c r="AE62" s="115"/>
      <c r="AF62" s="118"/>
      <c r="AG62" s="115"/>
      <c r="AH62" s="118"/>
      <c r="AI62" s="115"/>
      <c r="AJ62" s="118"/>
      <c r="AK62" s="150"/>
      <c r="AL62" s="150"/>
      <c r="AM62" s="32"/>
      <c r="AN62" s="32"/>
      <c r="AO62" s="32"/>
      <c r="AP62" s="32"/>
      <c r="AQ62" s="150"/>
      <c r="AR62" s="32"/>
      <c r="AS62" s="302"/>
      <c r="AT62" s="3"/>
      <c r="AU62" s="41"/>
      <c r="AV62" s="41"/>
      <c r="AW62" s="41"/>
      <c r="AX62" s="41"/>
      <c r="AY62" s="41"/>
      <c r="AZ62" s="41"/>
      <c r="BA62" s="3"/>
      <c r="BB62" s="128"/>
      <c r="BC62" s="128"/>
      <c r="BD62" s="1"/>
      <c r="BE62" s="1"/>
      <c r="BF62" s="1"/>
      <c r="BG62" s="1"/>
      <c r="BH62" s="1"/>
      <c r="BI62" s="1"/>
      <c r="BJ62" s="1"/>
      <c r="BK62" s="1"/>
      <c r="BL62" s="1"/>
      <c r="BM62" s="1"/>
      <c r="BN62" s="1"/>
      <c r="BO62" s="1"/>
      <c r="BP62" s="1"/>
      <c r="BQ62" s="1"/>
      <c r="BR62" s="1"/>
      <c r="BS62" s="1"/>
      <c r="BT62" s="1"/>
      <c r="BU62" s="1"/>
      <c r="BV62" s="1"/>
      <c r="BW62" s="1"/>
      <c r="BX62" s="304"/>
      <c r="BY62" s="20"/>
      <c r="BZ62" s="20"/>
      <c r="CA62" s="20"/>
      <c r="CB62" s="20"/>
      <c r="CC62" s="20"/>
      <c r="CD62" s="384"/>
      <c r="CE62" s="384"/>
      <c r="CF62" s="384"/>
      <c r="CG62" s="384"/>
      <c r="CH62" s="384"/>
      <c r="CI62" s="304"/>
      <c r="CJ62" s="16"/>
      <c r="CK62" s="1"/>
      <c r="CL62" s="1"/>
      <c r="CM62" s="1"/>
      <c r="CN62" s="1"/>
      <c r="CO62" s="1"/>
      <c r="CP62" s="304"/>
      <c r="CQ62" s="1"/>
      <c r="CR62" s="1"/>
      <c r="CS62" s="1"/>
      <c r="CT62" s="1"/>
      <c r="CU62" s="1"/>
      <c r="CV62" s="516"/>
      <c r="CW62" s="20"/>
      <c r="CX62" s="20"/>
      <c r="CY62" s="20"/>
      <c r="CZ62" s="20"/>
      <c r="DA62" s="20"/>
      <c r="DB62" s="503"/>
      <c r="DC62" s="127"/>
      <c r="DD62" s="127"/>
      <c r="DE62" s="127"/>
      <c r="DF62" s="127"/>
      <c r="DG62" s="127"/>
      <c r="DH62" s="127"/>
      <c r="DI62" s="127"/>
      <c r="DJ62" s="127"/>
      <c r="DK62" s="127"/>
      <c r="DL62" s="127"/>
      <c r="DM62" s="304"/>
      <c r="DN62" s="20"/>
      <c r="DO62" s="20"/>
      <c r="DP62" s="20"/>
      <c r="DQ62" s="20"/>
      <c r="DR62" s="20"/>
      <c r="DS62" s="20"/>
      <c r="DT62" s="20"/>
      <c r="DU62" s="20"/>
      <c r="DV62" s="20"/>
      <c r="DW62" s="20"/>
      <c r="DX62" s="20"/>
      <c r="DY62" s="7"/>
      <c r="DZ62" s="7"/>
      <c r="EA62" s="7"/>
      <c r="EB62" s="7"/>
      <c r="EC62" s="7"/>
      <c r="ED62" s="7"/>
      <c r="EE62" s="7"/>
      <c r="EF62" s="7"/>
      <c r="EG62" s="7"/>
      <c r="EH62" s="7"/>
      <c r="EI62" s="7"/>
      <c r="EJ62" s="7"/>
      <c r="EK62" s="7"/>
      <c r="EL62" s="7"/>
      <c r="EM62" s="7"/>
      <c r="EN62" s="7"/>
      <c r="EO62" s="7"/>
      <c r="EP62" s="7"/>
      <c r="EQ62" s="7"/>
      <c r="ER62" s="7"/>
      <c r="ES62" s="7"/>
      <c r="ET62" s="7"/>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7"/>
      <c r="FU62" s="7"/>
      <c r="FV62" s="7"/>
      <c r="FW62" s="6"/>
      <c r="FX62" s="6"/>
      <c r="FY62" s="6"/>
      <c r="FZ62" s="6"/>
      <c r="GA62" s="6"/>
      <c r="GB62" s="6"/>
      <c r="GC62" s="7"/>
      <c r="GD62" s="7"/>
      <c r="GE62" s="7"/>
      <c r="GF62" s="7"/>
      <c r="GG62" s="7"/>
      <c r="GH62" s="42"/>
      <c r="GI62" s="6"/>
      <c r="GJ62" s="14"/>
      <c r="GK62" s="14"/>
      <c r="GL62" s="14"/>
      <c r="GM62" s="14"/>
      <c r="GO62" s="5"/>
      <c r="GP62" s="5"/>
      <c r="GQ62" s="5"/>
      <c r="GR62" s="5"/>
      <c r="GS62" s="5"/>
      <c r="GT62" s="5"/>
      <c r="GU62" s="5"/>
      <c r="GV62" s="39"/>
      <c r="GW62" s="5"/>
      <c r="GX62" s="5"/>
      <c r="GY62" s="5"/>
      <c r="GZ62" s="5"/>
      <c r="HA62" s="5"/>
      <c r="HB62" s="39"/>
      <c r="HC62" s="5"/>
      <c r="HD62" s="5"/>
      <c r="HE62" s="5"/>
      <c r="HF62" s="5"/>
      <c r="HG62" s="5"/>
      <c r="HH62" s="39"/>
      <c r="HI62" s="16"/>
      <c r="HJ62" s="1"/>
      <c r="HK62" s="1"/>
      <c r="HL62" s="1"/>
      <c r="HM62" s="19"/>
    </row>
    <row r="63" spans="1:221" s="26" customFormat="1" ht="15">
      <c r="A63" s="117"/>
      <c r="B63" s="117"/>
      <c r="C63" s="117"/>
      <c r="D63" s="117"/>
      <c r="E63" s="115"/>
      <c r="F63" s="115"/>
      <c r="G63" s="115"/>
      <c r="H63" s="115"/>
      <c r="I63" s="118"/>
      <c r="J63" s="118"/>
      <c r="K63" s="118"/>
      <c r="L63" s="118"/>
      <c r="M63" s="118"/>
      <c r="N63" s="118"/>
      <c r="O63" s="118"/>
      <c r="P63" s="118"/>
      <c r="Q63" s="30"/>
      <c r="R63" s="383"/>
      <c r="S63" s="383"/>
      <c r="T63" s="383"/>
      <c r="U63" s="383"/>
      <c r="V63" s="383"/>
      <c r="W63" s="383"/>
      <c r="X63" s="118"/>
      <c r="Y63" s="58"/>
      <c r="Z63" s="30"/>
      <c r="AA63" s="115"/>
      <c r="AB63" s="118"/>
      <c r="AC63" s="115"/>
      <c r="AD63" s="118"/>
      <c r="AE63" s="115"/>
      <c r="AF63" s="118"/>
      <c r="AG63" s="115"/>
      <c r="AH63" s="118"/>
      <c r="AI63" s="115"/>
      <c r="AJ63" s="118"/>
      <c r="AK63" s="150"/>
      <c r="AL63" s="150"/>
      <c r="AM63" s="32"/>
      <c r="AN63" s="32"/>
      <c r="AO63" s="32"/>
      <c r="AP63" s="32"/>
      <c r="AQ63" s="150"/>
      <c r="AR63" s="32"/>
      <c r="AS63" s="302"/>
      <c r="AT63" s="3"/>
      <c r="AU63" s="41"/>
      <c r="AV63" s="41"/>
      <c r="AW63" s="41"/>
      <c r="AX63" s="41"/>
      <c r="AY63" s="41"/>
      <c r="AZ63" s="41"/>
      <c r="BA63" s="3"/>
      <c r="BB63" s="128"/>
      <c r="BC63" s="128"/>
      <c r="BD63" s="1"/>
      <c r="BE63" s="1"/>
      <c r="BF63" s="1"/>
      <c r="BG63" s="1"/>
      <c r="BH63" s="1"/>
      <c r="BI63" s="1"/>
      <c r="BJ63" s="1"/>
      <c r="BK63" s="1"/>
      <c r="BL63" s="1"/>
      <c r="BM63" s="1"/>
      <c r="BN63" s="1"/>
      <c r="BO63" s="1"/>
      <c r="BP63" s="1"/>
      <c r="BQ63" s="1"/>
      <c r="BR63" s="1"/>
      <c r="BS63" s="1"/>
      <c r="BT63" s="1"/>
      <c r="BU63" s="1"/>
      <c r="BV63" s="1"/>
      <c r="BW63" s="1"/>
      <c r="BX63" s="304"/>
      <c r="BY63" s="20"/>
      <c r="BZ63" s="20"/>
      <c r="CA63" s="20"/>
      <c r="CB63" s="20"/>
      <c r="CC63" s="20"/>
      <c r="CD63" s="384"/>
      <c r="CE63" s="384"/>
      <c r="CF63" s="384"/>
      <c r="CG63" s="384"/>
      <c r="CH63" s="384"/>
      <c r="CI63" s="304"/>
      <c r="CJ63" s="16"/>
      <c r="CK63" s="1"/>
      <c r="CL63" s="1"/>
      <c r="CM63" s="1"/>
      <c r="CN63" s="1"/>
      <c r="CO63" s="1"/>
      <c r="CP63" s="304"/>
      <c r="CQ63" s="1"/>
      <c r="CR63" s="1"/>
      <c r="CS63" s="1"/>
      <c r="CT63" s="1"/>
      <c r="CU63" s="1"/>
      <c r="CV63" s="516"/>
      <c r="CW63" s="20"/>
      <c r="CX63" s="20"/>
      <c r="CY63" s="20"/>
      <c r="CZ63" s="20"/>
      <c r="DA63" s="20"/>
      <c r="DB63" s="503"/>
      <c r="DC63" s="127"/>
      <c r="DD63" s="127"/>
      <c r="DE63" s="127"/>
      <c r="DF63" s="127"/>
      <c r="DG63" s="127"/>
      <c r="DH63" s="127"/>
      <c r="DI63" s="127"/>
      <c r="DJ63" s="127"/>
      <c r="DK63" s="127"/>
      <c r="DL63" s="127"/>
      <c r="DM63" s="304"/>
      <c r="DN63" s="20"/>
      <c r="DO63" s="20"/>
      <c r="DP63" s="20"/>
      <c r="DQ63" s="20"/>
      <c r="DR63" s="20"/>
      <c r="DS63" s="20"/>
      <c r="DT63" s="20"/>
      <c r="DU63" s="20"/>
      <c r="DV63" s="20"/>
      <c r="DW63" s="20"/>
      <c r="DX63" s="20"/>
      <c r="DY63" s="7"/>
      <c r="DZ63" s="7"/>
      <c r="EA63" s="7"/>
      <c r="EB63" s="7"/>
      <c r="EC63" s="7"/>
      <c r="ED63" s="7"/>
      <c r="EE63" s="7"/>
      <c r="EF63" s="7"/>
      <c r="EG63" s="7"/>
      <c r="EH63" s="7"/>
      <c r="EI63" s="7"/>
      <c r="EJ63" s="7"/>
      <c r="EK63" s="7"/>
      <c r="EL63" s="7"/>
      <c r="EM63" s="7"/>
      <c r="EN63" s="7"/>
      <c r="EO63" s="7"/>
      <c r="EP63" s="7"/>
      <c r="EQ63" s="7"/>
      <c r="ER63" s="7"/>
      <c r="ES63" s="7"/>
      <c r="ET63" s="7"/>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7"/>
      <c r="FU63" s="7"/>
      <c r="FV63" s="7"/>
      <c r="FW63" s="6"/>
      <c r="FX63" s="6"/>
      <c r="FY63" s="6"/>
      <c r="FZ63" s="6"/>
      <c r="GA63" s="6"/>
      <c r="GB63" s="6"/>
      <c r="GC63" s="7"/>
      <c r="GD63" s="7"/>
      <c r="GE63" s="7"/>
      <c r="GF63" s="7"/>
      <c r="GG63" s="7"/>
      <c r="GH63" s="42"/>
      <c r="GI63" s="6"/>
      <c r="GJ63" s="14"/>
      <c r="GK63" s="14"/>
      <c r="GL63" s="14"/>
      <c r="GM63" s="14"/>
      <c r="GO63" s="5"/>
      <c r="GP63" s="5"/>
      <c r="GQ63" s="5"/>
      <c r="GR63" s="5"/>
      <c r="GS63" s="5"/>
      <c r="GT63" s="5"/>
      <c r="GU63" s="5"/>
      <c r="GV63" s="39"/>
      <c r="GW63" s="5"/>
      <c r="GX63" s="5"/>
      <c r="GY63" s="5"/>
      <c r="GZ63" s="5"/>
      <c r="HA63" s="5"/>
      <c r="HB63" s="39"/>
      <c r="HC63" s="5"/>
      <c r="HD63" s="5"/>
      <c r="HE63" s="5"/>
      <c r="HF63" s="5"/>
      <c r="HG63" s="5"/>
      <c r="HH63" s="39"/>
      <c r="HI63" s="16"/>
      <c r="HJ63" s="1"/>
      <c r="HK63" s="1"/>
      <c r="HL63" s="1"/>
      <c r="HM63" s="19"/>
    </row>
    <row r="64" spans="1:221" s="26" customFormat="1" ht="15">
      <c r="A64" s="117"/>
      <c r="B64" s="117"/>
      <c r="C64" s="117"/>
      <c r="D64" s="117"/>
      <c r="E64" s="115"/>
      <c r="F64" s="115"/>
      <c r="G64" s="115"/>
      <c r="H64" s="115"/>
      <c r="I64" s="118"/>
      <c r="J64" s="118"/>
      <c r="K64" s="118"/>
      <c r="L64" s="118"/>
      <c r="M64" s="118"/>
      <c r="N64" s="118"/>
      <c r="O64" s="118"/>
      <c r="P64" s="118"/>
      <c r="Q64" s="30"/>
      <c r="R64" s="383"/>
      <c r="S64" s="383"/>
      <c r="T64" s="383"/>
      <c r="U64" s="383"/>
      <c r="V64" s="383"/>
      <c r="W64" s="383"/>
      <c r="X64" s="118"/>
      <c r="Y64" s="58"/>
      <c r="Z64" s="30"/>
      <c r="AA64" s="115"/>
      <c r="AB64" s="118"/>
      <c r="AC64" s="115"/>
      <c r="AD64" s="118"/>
      <c r="AE64" s="115"/>
      <c r="AF64" s="118"/>
      <c r="AG64" s="115"/>
      <c r="AH64" s="118"/>
      <c r="AI64" s="115"/>
      <c r="AJ64" s="118"/>
      <c r="AK64" s="150"/>
      <c r="AL64" s="150"/>
      <c r="AM64" s="32"/>
      <c r="AN64" s="32"/>
      <c r="AO64" s="32"/>
      <c r="AP64" s="32"/>
      <c r="AQ64" s="150"/>
      <c r="AR64" s="32"/>
      <c r="AS64" s="302"/>
      <c r="AT64" s="3"/>
      <c r="AU64" s="41"/>
      <c r="AV64" s="41"/>
      <c r="AW64" s="41"/>
      <c r="AX64" s="41"/>
      <c r="AY64" s="41"/>
      <c r="AZ64" s="41"/>
      <c r="BA64" s="3"/>
      <c r="BB64" s="128"/>
      <c r="BC64" s="128"/>
      <c r="BD64" s="1"/>
      <c r="BE64" s="1"/>
      <c r="BF64" s="1"/>
      <c r="BG64" s="1"/>
      <c r="BH64" s="1"/>
      <c r="BI64" s="1"/>
      <c r="BJ64" s="1"/>
      <c r="BK64" s="1"/>
      <c r="BL64" s="1"/>
      <c r="BM64" s="1"/>
      <c r="BN64" s="1"/>
      <c r="BO64" s="1"/>
      <c r="BP64" s="1"/>
      <c r="BQ64" s="1"/>
      <c r="BR64" s="1"/>
      <c r="BS64" s="1"/>
      <c r="BT64" s="1"/>
      <c r="BU64" s="1"/>
      <c r="BV64" s="1"/>
      <c r="BW64" s="1"/>
      <c r="BX64" s="304"/>
      <c r="BY64" s="20"/>
      <c r="BZ64" s="20"/>
      <c r="CA64" s="20"/>
      <c r="CB64" s="20"/>
      <c r="CC64" s="20"/>
      <c r="CD64" s="384"/>
      <c r="CE64" s="384"/>
      <c r="CF64" s="384"/>
      <c r="CG64" s="384"/>
      <c r="CH64" s="384"/>
      <c r="CI64" s="304"/>
      <c r="CJ64" s="16"/>
      <c r="CK64" s="1"/>
      <c r="CL64" s="1"/>
      <c r="CM64" s="1"/>
      <c r="CN64" s="1"/>
      <c r="CO64" s="1"/>
      <c r="CP64" s="304"/>
      <c r="CQ64" s="1"/>
      <c r="CR64" s="1"/>
      <c r="CS64" s="1"/>
      <c r="CT64" s="1"/>
      <c r="CU64" s="1"/>
      <c r="CV64" s="516"/>
      <c r="CW64" s="20"/>
      <c r="CX64" s="20"/>
      <c r="CY64" s="20"/>
      <c r="CZ64" s="20"/>
      <c r="DA64" s="20"/>
      <c r="DB64" s="503"/>
      <c r="DC64" s="127"/>
      <c r="DD64" s="127"/>
      <c r="DE64" s="127"/>
      <c r="DF64" s="127"/>
      <c r="DG64" s="127"/>
      <c r="DH64" s="127"/>
      <c r="DI64" s="127"/>
      <c r="DJ64" s="127"/>
      <c r="DK64" s="127"/>
      <c r="DL64" s="127"/>
      <c r="DM64" s="304"/>
      <c r="DN64" s="20"/>
      <c r="DO64" s="20"/>
      <c r="DP64" s="20"/>
      <c r="DQ64" s="20"/>
      <c r="DR64" s="20"/>
      <c r="DS64" s="20"/>
      <c r="DT64" s="20"/>
      <c r="DU64" s="20"/>
      <c r="DV64" s="20"/>
      <c r="DW64" s="20"/>
      <c r="DX64" s="20"/>
      <c r="DY64" s="7"/>
      <c r="DZ64" s="7"/>
      <c r="EA64" s="7"/>
      <c r="EB64" s="7"/>
      <c r="EC64" s="7"/>
      <c r="ED64" s="7"/>
      <c r="EE64" s="7"/>
      <c r="EF64" s="7"/>
      <c r="EG64" s="7"/>
      <c r="EH64" s="7"/>
      <c r="EI64" s="7"/>
      <c r="EJ64" s="7"/>
      <c r="EK64" s="7"/>
      <c r="EL64" s="7"/>
      <c r="EM64" s="7"/>
      <c r="EN64" s="7"/>
      <c r="EO64" s="7"/>
      <c r="EP64" s="7"/>
      <c r="EQ64" s="7"/>
      <c r="ER64" s="7"/>
      <c r="ES64" s="7"/>
      <c r="ET64" s="7"/>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7"/>
      <c r="FU64" s="7"/>
      <c r="FV64" s="7"/>
      <c r="FW64" s="6"/>
      <c r="FX64" s="6"/>
      <c r="FY64" s="6"/>
      <c r="FZ64" s="6"/>
      <c r="GA64" s="6"/>
      <c r="GB64" s="6"/>
      <c r="GC64" s="7"/>
      <c r="GD64" s="7"/>
      <c r="GE64" s="7"/>
      <c r="GF64" s="7"/>
      <c r="GG64" s="7"/>
      <c r="GH64" s="42"/>
      <c r="GI64" s="6"/>
      <c r="GJ64" s="14"/>
      <c r="GK64" s="14"/>
      <c r="GL64" s="14"/>
      <c r="GM64" s="14"/>
      <c r="GO64" s="5"/>
      <c r="GP64" s="5"/>
      <c r="GQ64" s="5"/>
      <c r="GR64" s="5"/>
      <c r="GS64" s="5"/>
      <c r="GT64" s="5"/>
      <c r="GU64" s="5"/>
      <c r="GV64" s="39"/>
      <c r="GW64" s="5"/>
      <c r="GX64" s="5"/>
      <c r="GY64" s="5"/>
      <c r="GZ64" s="5"/>
      <c r="HA64" s="5"/>
      <c r="HB64" s="39"/>
      <c r="HC64" s="5"/>
      <c r="HD64" s="5"/>
      <c r="HE64" s="5"/>
      <c r="HF64" s="5"/>
      <c r="HG64" s="5"/>
      <c r="HH64" s="39"/>
      <c r="HI64" s="16"/>
      <c r="HJ64" s="1"/>
      <c r="HK64" s="1"/>
      <c r="HL64" s="1"/>
      <c r="HM64" s="19"/>
    </row>
    <row r="65" spans="1:221" s="26" customFormat="1" ht="15">
      <c r="A65" s="117"/>
      <c r="B65" s="117"/>
      <c r="C65" s="117"/>
      <c r="D65" s="117"/>
      <c r="E65" s="115"/>
      <c r="F65" s="115"/>
      <c r="G65" s="115"/>
      <c r="H65" s="115"/>
      <c r="I65" s="118"/>
      <c r="J65" s="118"/>
      <c r="K65" s="118"/>
      <c r="L65" s="118"/>
      <c r="M65" s="118"/>
      <c r="N65" s="118"/>
      <c r="O65" s="118"/>
      <c r="P65" s="118"/>
      <c r="Q65" s="30"/>
      <c r="R65" s="383"/>
      <c r="S65" s="383"/>
      <c r="T65" s="383"/>
      <c r="U65" s="383"/>
      <c r="V65" s="383"/>
      <c r="W65" s="383"/>
      <c r="X65" s="118"/>
      <c r="Y65" s="58"/>
      <c r="Z65" s="30"/>
      <c r="AA65" s="115"/>
      <c r="AB65" s="118"/>
      <c r="AC65" s="115"/>
      <c r="AD65" s="118"/>
      <c r="AE65" s="115"/>
      <c r="AF65" s="118"/>
      <c r="AG65" s="115"/>
      <c r="AH65" s="118"/>
      <c r="AI65" s="115"/>
      <c r="AJ65" s="118"/>
      <c r="AK65" s="150"/>
      <c r="AL65" s="150"/>
      <c r="AM65" s="32"/>
      <c r="AN65" s="32"/>
      <c r="AO65" s="32"/>
      <c r="AP65" s="32"/>
      <c r="AQ65" s="150"/>
      <c r="AR65" s="32"/>
      <c r="AS65" s="302"/>
      <c r="AT65" s="3"/>
      <c r="AU65" s="41"/>
      <c r="AV65" s="41"/>
      <c r="AW65" s="41"/>
      <c r="AX65" s="41"/>
      <c r="AY65" s="41"/>
      <c r="AZ65" s="41"/>
      <c r="BA65" s="3"/>
      <c r="BB65" s="128"/>
      <c r="BC65" s="128"/>
      <c r="BD65" s="1"/>
      <c r="BE65" s="1"/>
      <c r="BF65" s="1"/>
      <c r="BG65" s="1"/>
      <c r="BH65" s="1"/>
      <c r="BI65" s="1"/>
      <c r="BJ65" s="1"/>
      <c r="BK65" s="1"/>
      <c r="BL65" s="1"/>
      <c r="BM65" s="1"/>
      <c r="BN65" s="1"/>
      <c r="BO65" s="1"/>
      <c r="BP65" s="1"/>
      <c r="BQ65" s="1"/>
      <c r="BR65" s="1"/>
      <c r="BS65" s="1"/>
      <c r="BT65" s="1"/>
      <c r="BU65" s="1"/>
      <c r="BV65" s="1"/>
      <c r="BW65" s="1"/>
      <c r="BX65" s="304"/>
      <c r="BY65" s="20"/>
      <c r="BZ65" s="20"/>
      <c r="CA65" s="20"/>
      <c r="CB65" s="20"/>
      <c r="CC65" s="20"/>
      <c r="CD65" s="384"/>
      <c r="CE65" s="384"/>
      <c r="CF65" s="384"/>
      <c r="CG65" s="384"/>
      <c r="CH65" s="384"/>
      <c r="CI65" s="304"/>
      <c r="CJ65" s="16"/>
      <c r="CK65" s="1"/>
      <c r="CL65" s="1"/>
      <c r="CM65" s="1"/>
      <c r="CN65" s="1"/>
      <c r="CO65" s="1"/>
      <c r="CP65" s="304"/>
      <c r="CQ65" s="1"/>
      <c r="CR65" s="1"/>
      <c r="CS65" s="1"/>
      <c r="CT65" s="1"/>
      <c r="CU65" s="1"/>
      <c r="CV65" s="516"/>
      <c r="CW65" s="20"/>
      <c r="CX65" s="20"/>
      <c r="CY65" s="20"/>
      <c r="CZ65" s="20"/>
      <c r="DA65" s="20"/>
      <c r="DB65" s="503"/>
      <c r="DC65" s="127"/>
      <c r="DD65" s="127"/>
      <c r="DE65" s="127"/>
      <c r="DF65" s="127"/>
      <c r="DG65" s="127"/>
      <c r="DH65" s="127"/>
      <c r="DI65" s="127"/>
      <c r="DJ65" s="127"/>
      <c r="DK65" s="127"/>
      <c r="DL65" s="127"/>
      <c r="DM65" s="304"/>
      <c r="DN65" s="20"/>
      <c r="DO65" s="20"/>
      <c r="DP65" s="20"/>
      <c r="DQ65" s="20"/>
      <c r="DR65" s="20"/>
      <c r="DS65" s="20"/>
      <c r="DT65" s="20"/>
      <c r="DU65" s="20"/>
      <c r="DV65" s="20"/>
      <c r="DW65" s="20"/>
      <c r="DX65" s="20"/>
      <c r="DY65" s="7"/>
      <c r="DZ65" s="7"/>
      <c r="EA65" s="7"/>
      <c r="EB65" s="7"/>
      <c r="EC65" s="7"/>
      <c r="ED65" s="7"/>
      <c r="EE65" s="7"/>
      <c r="EF65" s="7"/>
      <c r="EG65" s="7"/>
      <c r="EH65" s="7"/>
      <c r="EI65" s="7"/>
      <c r="EJ65" s="7"/>
      <c r="EK65" s="7"/>
      <c r="EL65" s="7"/>
      <c r="EM65" s="7"/>
      <c r="EN65" s="7"/>
      <c r="EO65" s="7"/>
      <c r="EP65" s="7"/>
      <c r="EQ65" s="7"/>
      <c r="ER65" s="7"/>
      <c r="ES65" s="7"/>
      <c r="ET65" s="7"/>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7"/>
      <c r="FU65" s="7"/>
      <c r="FV65" s="7"/>
      <c r="FW65" s="6"/>
      <c r="FX65" s="6"/>
      <c r="FY65" s="6"/>
      <c r="FZ65" s="6"/>
      <c r="GA65" s="6"/>
      <c r="GB65" s="6"/>
      <c r="GC65" s="7"/>
      <c r="GD65" s="7"/>
      <c r="GE65" s="7"/>
      <c r="GF65" s="7"/>
      <c r="GG65" s="7"/>
      <c r="GH65" s="42"/>
      <c r="GI65" s="6"/>
      <c r="GJ65" s="14"/>
      <c r="GK65" s="14"/>
      <c r="GL65" s="14"/>
      <c r="GM65" s="14"/>
      <c r="GO65" s="5"/>
      <c r="GP65" s="5"/>
      <c r="GQ65" s="5"/>
      <c r="GR65" s="5"/>
      <c r="GS65" s="5"/>
      <c r="GT65" s="5"/>
      <c r="GU65" s="5"/>
      <c r="GV65" s="39"/>
      <c r="GW65" s="5"/>
      <c r="GX65" s="5"/>
      <c r="GY65" s="5"/>
      <c r="GZ65" s="5"/>
      <c r="HA65" s="5"/>
      <c r="HB65" s="39"/>
      <c r="HC65" s="5"/>
      <c r="HD65" s="5"/>
      <c r="HE65" s="5"/>
      <c r="HF65" s="5"/>
      <c r="HG65" s="5"/>
      <c r="HH65" s="39"/>
      <c r="HI65" s="16"/>
      <c r="HJ65" s="1"/>
      <c r="HK65" s="1"/>
      <c r="HL65" s="1"/>
      <c r="HM65" s="19"/>
    </row>
    <row r="66" spans="1:221" s="26" customFormat="1" ht="15">
      <c r="A66" s="117"/>
      <c r="B66" s="117"/>
      <c r="C66" s="117"/>
      <c r="D66" s="117"/>
      <c r="E66" s="115"/>
      <c r="F66" s="115"/>
      <c r="G66" s="115"/>
      <c r="H66" s="115"/>
      <c r="I66" s="118"/>
      <c r="J66" s="118"/>
      <c r="K66" s="118"/>
      <c r="L66" s="118"/>
      <c r="M66" s="118"/>
      <c r="N66" s="118"/>
      <c r="O66" s="118"/>
      <c r="P66" s="118"/>
      <c r="Q66" s="30"/>
      <c r="R66" s="383"/>
      <c r="S66" s="383"/>
      <c r="T66" s="383"/>
      <c r="U66" s="383"/>
      <c r="V66" s="383"/>
      <c r="W66" s="383"/>
      <c r="X66" s="118"/>
      <c r="Y66" s="58"/>
      <c r="Z66" s="30"/>
      <c r="AA66" s="115"/>
      <c r="AB66" s="118"/>
      <c r="AC66" s="115"/>
      <c r="AD66" s="118"/>
      <c r="AE66" s="115"/>
      <c r="AF66" s="118"/>
      <c r="AG66" s="115"/>
      <c r="AH66" s="118"/>
      <c r="AI66" s="115"/>
      <c r="AJ66" s="118"/>
      <c r="AK66" s="150"/>
      <c r="AL66" s="150"/>
      <c r="AM66" s="32"/>
      <c r="AN66" s="32"/>
      <c r="AO66" s="32"/>
      <c r="AP66" s="32"/>
      <c r="AQ66" s="150"/>
      <c r="AR66" s="32"/>
      <c r="AS66" s="302"/>
      <c r="AT66" s="3"/>
      <c r="AU66" s="41"/>
      <c r="AV66" s="41"/>
      <c r="AW66" s="41"/>
      <c r="AX66" s="41"/>
      <c r="AY66" s="41"/>
      <c r="AZ66" s="41"/>
      <c r="BA66" s="3"/>
      <c r="BB66" s="128"/>
      <c r="BC66" s="128"/>
      <c r="BD66" s="1"/>
      <c r="BE66" s="1"/>
      <c r="BF66" s="1"/>
      <c r="BG66" s="1"/>
      <c r="BH66" s="1"/>
      <c r="BI66" s="1"/>
      <c r="BJ66" s="1"/>
      <c r="BK66" s="1"/>
      <c r="BL66" s="1"/>
      <c r="BM66" s="1"/>
      <c r="BN66" s="1"/>
      <c r="BO66" s="1"/>
      <c r="BP66" s="1"/>
      <c r="BQ66" s="1"/>
      <c r="BR66" s="1"/>
      <c r="BS66" s="1"/>
      <c r="BT66" s="1"/>
      <c r="BU66" s="1"/>
      <c r="BV66" s="1"/>
      <c r="BW66" s="1"/>
      <c r="BX66" s="304"/>
      <c r="BY66" s="20"/>
      <c r="BZ66" s="20"/>
      <c r="CA66" s="20"/>
      <c r="CB66" s="20"/>
      <c r="CC66" s="20"/>
      <c r="CD66" s="384"/>
      <c r="CE66" s="384"/>
      <c r="CF66" s="384"/>
      <c r="CG66" s="384"/>
      <c r="CH66" s="384"/>
      <c r="CI66" s="304"/>
      <c r="CJ66" s="16"/>
      <c r="CK66" s="1"/>
      <c r="CL66" s="1"/>
      <c r="CM66" s="1"/>
      <c r="CN66" s="1"/>
      <c r="CO66" s="1"/>
      <c r="CP66" s="304"/>
      <c r="CQ66" s="1"/>
      <c r="CR66" s="1"/>
      <c r="CS66" s="1"/>
      <c r="CT66" s="1"/>
      <c r="CU66" s="1"/>
      <c r="CV66" s="516"/>
      <c r="CW66" s="20"/>
      <c r="CX66" s="20"/>
      <c r="CY66" s="20"/>
      <c r="CZ66" s="20"/>
      <c r="DA66" s="20"/>
      <c r="DB66" s="503"/>
      <c r="DC66" s="127"/>
      <c r="DD66" s="127"/>
      <c r="DE66" s="127"/>
      <c r="DF66" s="127"/>
      <c r="DG66" s="127"/>
      <c r="DH66" s="127"/>
      <c r="DI66" s="127"/>
      <c r="DJ66" s="127"/>
      <c r="DK66" s="127"/>
      <c r="DL66" s="127"/>
      <c r="DM66" s="304"/>
      <c r="DN66" s="20"/>
      <c r="DO66" s="20"/>
      <c r="DP66" s="20"/>
      <c r="DQ66" s="20"/>
      <c r="DR66" s="20"/>
      <c r="DS66" s="20"/>
      <c r="DT66" s="20"/>
      <c r="DU66" s="20"/>
      <c r="DV66" s="20"/>
      <c r="DW66" s="20"/>
      <c r="DX66" s="20"/>
      <c r="DY66" s="7"/>
      <c r="DZ66" s="7"/>
      <c r="EA66" s="7"/>
      <c r="EB66" s="7"/>
      <c r="EC66" s="7"/>
      <c r="ED66" s="7"/>
      <c r="EE66" s="7"/>
      <c r="EF66" s="7"/>
      <c r="EG66" s="7"/>
      <c r="EH66" s="7"/>
      <c r="EI66" s="7"/>
      <c r="EJ66" s="7"/>
      <c r="EK66" s="7"/>
      <c r="EL66" s="7"/>
      <c r="EM66" s="7"/>
      <c r="EN66" s="7"/>
      <c r="EO66" s="7"/>
      <c r="EP66" s="7"/>
      <c r="EQ66" s="7"/>
      <c r="ER66" s="7"/>
      <c r="ES66" s="7"/>
      <c r="ET66" s="7"/>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7"/>
      <c r="FU66" s="7"/>
      <c r="FV66" s="7"/>
      <c r="FW66" s="6"/>
      <c r="FX66" s="6"/>
      <c r="FY66" s="6"/>
      <c r="FZ66" s="6"/>
      <c r="GA66" s="6"/>
      <c r="GB66" s="6"/>
      <c r="GC66" s="7"/>
      <c r="GD66" s="7"/>
      <c r="GE66" s="7"/>
      <c r="GF66" s="7"/>
      <c r="GG66" s="7"/>
      <c r="GH66" s="42"/>
      <c r="GI66" s="6"/>
      <c r="GJ66" s="14"/>
      <c r="GK66" s="14"/>
      <c r="GL66" s="14"/>
      <c r="GM66" s="14"/>
      <c r="GO66" s="5"/>
      <c r="GP66" s="5"/>
      <c r="GQ66" s="5"/>
      <c r="GR66" s="5"/>
      <c r="GS66" s="5"/>
      <c r="GT66" s="5"/>
      <c r="GU66" s="5"/>
      <c r="GV66" s="39"/>
      <c r="GW66" s="5"/>
      <c r="GX66" s="5"/>
      <c r="GY66" s="5"/>
      <c r="GZ66" s="5"/>
      <c r="HA66" s="5"/>
      <c r="HB66" s="39"/>
      <c r="HC66" s="5"/>
      <c r="HD66" s="5"/>
      <c r="HE66" s="5"/>
      <c r="HF66" s="5"/>
      <c r="HG66" s="5"/>
      <c r="HH66" s="39"/>
      <c r="HI66" s="16"/>
      <c r="HJ66" s="1"/>
      <c r="HK66" s="1"/>
      <c r="HL66" s="1"/>
      <c r="HM66" s="19"/>
    </row>
    <row r="67" spans="1:221" s="26" customFormat="1" ht="15">
      <c r="A67" s="117"/>
      <c r="B67" s="117"/>
      <c r="C67" s="117"/>
      <c r="D67" s="117"/>
      <c r="E67" s="115"/>
      <c r="F67" s="115"/>
      <c r="G67" s="115"/>
      <c r="H67" s="115"/>
      <c r="I67" s="118"/>
      <c r="J67" s="118"/>
      <c r="K67" s="118"/>
      <c r="L67" s="118"/>
      <c r="M67" s="118"/>
      <c r="N67" s="118"/>
      <c r="O67" s="118"/>
      <c r="P67" s="118"/>
      <c r="Q67" s="30"/>
      <c r="R67" s="383"/>
      <c r="S67" s="383"/>
      <c r="T67" s="383"/>
      <c r="U67" s="383"/>
      <c r="V67" s="383"/>
      <c r="W67" s="383"/>
      <c r="X67" s="118"/>
      <c r="Y67" s="58"/>
      <c r="Z67" s="30"/>
      <c r="AA67" s="115"/>
      <c r="AB67" s="118"/>
      <c r="AC67" s="115"/>
      <c r="AD67" s="118"/>
      <c r="AE67" s="115"/>
      <c r="AF67" s="118"/>
      <c r="AG67" s="115"/>
      <c r="AH67" s="118"/>
      <c r="AI67" s="115"/>
      <c r="AJ67" s="118"/>
      <c r="AK67" s="150"/>
      <c r="AL67" s="150"/>
      <c r="AM67" s="32"/>
      <c r="AN67" s="32"/>
      <c r="AO67" s="32"/>
      <c r="AP67" s="32"/>
      <c r="AQ67" s="150"/>
      <c r="AR67" s="32"/>
      <c r="AS67" s="302"/>
      <c r="AT67" s="3"/>
      <c r="AU67" s="41"/>
      <c r="AV67" s="41"/>
      <c r="AW67" s="41"/>
      <c r="AX67" s="41"/>
      <c r="AY67" s="41"/>
      <c r="AZ67" s="41"/>
      <c r="BA67" s="3"/>
      <c r="BB67" s="128"/>
      <c r="BC67" s="128"/>
      <c r="BD67" s="1"/>
      <c r="BE67" s="1"/>
      <c r="BF67" s="1"/>
      <c r="BG67" s="1"/>
      <c r="BH67" s="1"/>
      <c r="BI67" s="1"/>
      <c r="BJ67" s="1"/>
      <c r="BK67" s="1"/>
      <c r="BL67" s="1"/>
      <c r="BM67" s="1"/>
      <c r="BN67" s="1"/>
      <c r="BO67" s="1"/>
      <c r="BP67" s="1"/>
      <c r="BQ67" s="1"/>
      <c r="BR67" s="1"/>
      <c r="BS67" s="1"/>
      <c r="BT67" s="1"/>
      <c r="BU67" s="1"/>
      <c r="BV67" s="1"/>
      <c r="BW67" s="1"/>
      <c r="BX67" s="304"/>
      <c r="BY67" s="20"/>
      <c r="BZ67" s="20"/>
      <c r="CA67" s="20"/>
      <c r="CB67" s="20"/>
      <c r="CC67" s="20"/>
      <c r="CD67" s="384"/>
      <c r="CE67" s="384"/>
      <c r="CF67" s="384"/>
      <c r="CG67" s="384"/>
      <c r="CH67" s="384"/>
      <c r="CI67" s="304"/>
      <c r="CJ67" s="16"/>
      <c r="CK67" s="1"/>
      <c r="CL67" s="1"/>
      <c r="CM67" s="1"/>
      <c r="CN67" s="1"/>
      <c r="CO67" s="1"/>
      <c r="CP67" s="304"/>
      <c r="CQ67" s="1"/>
      <c r="CR67" s="1"/>
      <c r="CS67" s="1"/>
      <c r="CT67" s="1"/>
      <c r="CU67" s="1"/>
      <c r="CV67" s="516"/>
      <c r="CW67" s="20"/>
      <c r="CX67" s="20"/>
      <c r="CY67" s="20"/>
      <c r="CZ67" s="20"/>
      <c r="DA67" s="20"/>
      <c r="DB67" s="503"/>
      <c r="DC67" s="127"/>
      <c r="DD67" s="127"/>
      <c r="DE67" s="127"/>
      <c r="DF67" s="127"/>
      <c r="DG67" s="127"/>
      <c r="DH67" s="127"/>
      <c r="DI67" s="127"/>
      <c r="DJ67" s="127"/>
      <c r="DK67" s="127"/>
      <c r="DL67" s="127"/>
      <c r="DM67" s="304"/>
      <c r="DN67" s="20"/>
      <c r="DO67" s="20"/>
      <c r="DP67" s="20"/>
      <c r="DQ67" s="20"/>
      <c r="DR67" s="20"/>
      <c r="DS67" s="20"/>
      <c r="DT67" s="20"/>
      <c r="DU67" s="20"/>
      <c r="DV67" s="20"/>
      <c r="DW67" s="20"/>
      <c r="DX67" s="20"/>
      <c r="DY67" s="7"/>
      <c r="DZ67" s="7"/>
      <c r="EA67" s="7"/>
      <c r="EB67" s="7"/>
      <c r="EC67" s="7"/>
      <c r="ED67" s="7"/>
      <c r="EE67" s="7"/>
      <c r="EF67" s="7"/>
      <c r="EG67" s="7"/>
      <c r="EH67" s="7"/>
      <c r="EI67" s="7"/>
      <c r="EJ67" s="7"/>
      <c r="EK67" s="7"/>
      <c r="EL67" s="7"/>
      <c r="EM67" s="7"/>
      <c r="EN67" s="7"/>
      <c r="EO67" s="7"/>
      <c r="EP67" s="7"/>
      <c r="EQ67" s="7"/>
      <c r="ER67" s="7"/>
      <c r="ES67" s="7"/>
      <c r="ET67" s="7"/>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7"/>
      <c r="FU67" s="7"/>
      <c r="FV67" s="7"/>
      <c r="FW67" s="6"/>
      <c r="FX67" s="6"/>
      <c r="FY67" s="6"/>
      <c r="FZ67" s="6"/>
      <c r="GA67" s="6"/>
      <c r="GB67" s="6"/>
      <c r="GC67" s="7"/>
      <c r="GD67" s="7"/>
      <c r="GE67" s="7"/>
      <c r="GF67" s="7"/>
      <c r="GG67" s="7"/>
      <c r="GH67" s="42"/>
      <c r="GI67" s="6"/>
      <c r="GJ67" s="14"/>
      <c r="GK67" s="14"/>
      <c r="GL67" s="14"/>
      <c r="GM67" s="14"/>
      <c r="GO67" s="5"/>
      <c r="GP67" s="5"/>
      <c r="GQ67" s="5"/>
      <c r="GR67" s="5"/>
      <c r="GS67" s="5"/>
      <c r="GT67" s="5"/>
      <c r="GU67" s="5"/>
      <c r="GV67" s="39"/>
      <c r="GW67" s="5"/>
      <c r="GX67" s="5"/>
      <c r="GY67" s="5"/>
      <c r="GZ67" s="5"/>
      <c r="HA67" s="5"/>
      <c r="HB67" s="39"/>
      <c r="HC67" s="5"/>
      <c r="HD67" s="5"/>
      <c r="HE67" s="5"/>
      <c r="HF67" s="5"/>
      <c r="HG67" s="5"/>
      <c r="HH67" s="39"/>
      <c r="HI67" s="16"/>
      <c r="HJ67" s="1"/>
      <c r="HK67" s="1"/>
      <c r="HL67" s="1"/>
      <c r="HM67" s="19"/>
    </row>
    <row r="68" spans="1:221" s="26" customFormat="1" ht="15">
      <c r="A68" s="117"/>
      <c r="B68" s="117"/>
      <c r="C68" s="117"/>
      <c r="D68" s="117"/>
      <c r="E68" s="115"/>
      <c r="F68" s="115"/>
      <c r="G68" s="115"/>
      <c r="H68" s="115"/>
      <c r="I68" s="118"/>
      <c r="J68" s="118"/>
      <c r="K68" s="118"/>
      <c r="L68" s="118"/>
      <c r="M68" s="118"/>
      <c r="N68" s="118"/>
      <c r="O68" s="118"/>
      <c r="P68" s="118"/>
      <c r="Q68" s="30"/>
      <c r="R68" s="383"/>
      <c r="S68" s="383"/>
      <c r="T68" s="383"/>
      <c r="U68" s="383"/>
      <c r="V68" s="383"/>
      <c r="W68" s="383"/>
      <c r="X68" s="118"/>
      <c r="Y68" s="58"/>
      <c r="Z68" s="30"/>
      <c r="AA68" s="115"/>
      <c r="AB68" s="118"/>
      <c r="AC68" s="115"/>
      <c r="AD68" s="118"/>
      <c r="AE68" s="115"/>
      <c r="AF68" s="118"/>
      <c r="AG68" s="115"/>
      <c r="AH68" s="118"/>
      <c r="AI68" s="115"/>
      <c r="AJ68" s="118"/>
      <c r="AK68" s="150"/>
      <c r="AL68" s="150"/>
      <c r="AM68" s="32"/>
      <c r="AN68" s="32"/>
      <c r="AO68" s="32"/>
      <c r="AP68" s="32"/>
      <c r="AQ68" s="150"/>
      <c r="AR68" s="32"/>
      <c r="AS68" s="302"/>
      <c r="AT68" s="3"/>
      <c r="AU68" s="41"/>
      <c r="AV68" s="41"/>
      <c r="AW68" s="41"/>
      <c r="AX68" s="41"/>
      <c r="AY68" s="41"/>
      <c r="AZ68" s="41"/>
      <c r="BA68" s="3"/>
      <c r="BB68" s="128"/>
      <c r="BC68" s="128"/>
      <c r="BD68" s="1"/>
      <c r="BE68" s="1"/>
      <c r="BF68" s="1"/>
      <c r="BG68" s="1"/>
      <c r="BH68" s="1"/>
      <c r="BI68" s="1"/>
      <c r="BJ68" s="1"/>
      <c r="BK68" s="1"/>
      <c r="BL68" s="1"/>
      <c r="BM68" s="1"/>
      <c r="BN68" s="1"/>
      <c r="BO68" s="1"/>
      <c r="BP68" s="1"/>
      <c r="BQ68" s="1"/>
      <c r="BR68" s="1"/>
      <c r="BS68" s="1"/>
      <c r="BT68" s="1"/>
      <c r="BU68" s="1"/>
      <c r="BV68" s="1"/>
      <c r="BW68" s="1"/>
      <c r="BX68" s="304"/>
      <c r="BY68" s="20"/>
      <c r="BZ68" s="20"/>
      <c r="CA68" s="20"/>
      <c r="CB68" s="20"/>
      <c r="CC68" s="20"/>
      <c r="CD68" s="384"/>
      <c r="CE68" s="384"/>
      <c r="CF68" s="384"/>
      <c r="CG68" s="384"/>
      <c r="CH68" s="384"/>
      <c r="CI68" s="304"/>
      <c r="CJ68" s="16"/>
      <c r="CK68" s="1"/>
      <c r="CL68" s="1"/>
      <c r="CM68" s="1"/>
      <c r="CN68" s="1"/>
      <c r="CO68" s="1"/>
      <c r="CP68" s="304"/>
      <c r="CQ68" s="1"/>
      <c r="CR68" s="1"/>
      <c r="CS68" s="1"/>
      <c r="CT68" s="1"/>
      <c r="CU68" s="1"/>
      <c r="CV68" s="516"/>
      <c r="CW68" s="20"/>
      <c r="CX68" s="20"/>
      <c r="CY68" s="20"/>
      <c r="CZ68" s="20"/>
      <c r="DA68" s="20"/>
      <c r="DB68" s="503"/>
      <c r="DC68" s="127"/>
      <c r="DD68" s="127"/>
      <c r="DE68" s="127"/>
      <c r="DF68" s="127"/>
      <c r="DG68" s="127"/>
      <c r="DH68" s="127"/>
      <c r="DI68" s="127"/>
      <c r="DJ68" s="127"/>
      <c r="DK68" s="127"/>
      <c r="DL68" s="127"/>
      <c r="DM68" s="304"/>
      <c r="DN68" s="20"/>
      <c r="DO68" s="20"/>
      <c r="DP68" s="20"/>
      <c r="DQ68" s="20"/>
      <c r="DR68" s="20"/>
      <c r="DS68" s="20"/>
      <c r="DT68" s="20"/>
      <c r="DU68" s="20"/>
      <c r="DV68" s="20"/>
      <c r="DW68" s="20"/>
      <c r="DX68" s="20"/>
      <c r="DY68" s="7"/>
      <c r="DZ68" s="7"/>
      <c r="EA68" s="7"/>
      <c r="EB68" s="7"/>
      <c r="EC68" s="7"/>
      <c r="ED68" s="7"/>
      <c r="EE68" s="7"/>
      <c r="EF68" s="7"/>
      <c r="EG68" s="7"/>
      <c r="EH68" s="7"/>
      <c r="EI68" s="7"/>
      <c r="EJ68" s="7"/>
      <c r="EK68" s="7"/>
      <c r="EL68" s="7"/>
      <c r="EM68" s="7"/>
      <c r="EN68" s="7"/>
      <c r="EO68" s="7"/>
      <c r="EP68" s="7"/>
      <c r="EQ68" s="7"/>
      <c r="ER68" s="7"/>
      <c r="ES68" s="7"/>
      <c r="ET68" s="7"/>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7"/>
      <c r="FU68" s="7"/>
      <c r="FV68" s="7"/>
      <c r="FW68" s="6"/>
      <c r="FX68" s="6"/>
      <c r="FY68" s="6"/>
      <c r="FZ68" s="6"/>
      <c r="GA68" s="6"/>
      <c r="GB68" s="6"/>
      <c r="GC68" s="7"/>
      <c r="GD68" s="7"/>
      <c r="GE68" s="7"/>
      <c r="GF68" s="7"/>
      <c r="GG68" s="7"/>
      <c r="GH68" s="42"/>
      <c r="GI68" s="6"/>
      <c r="GJ68" s="14"/>
      <c r="GK68" s="14"/>
      <c r="GL68" s="14"/>
      <c r="GM68" s="14"/>
      <c r="GO68" s="5"/>
      <c r="GP68" s="5"/>
      <c r="GQ68" s="5"/>
      <c r="GR68" s="5"/>
      <c r="GS68" s="5"/>
      <c r="GT68" s="5"/>
      <c r="GU68" s="5"/>
      <c r="GV68" s="39"/>
      <c r="GW68" s="5"/>
      <c r="GX68" s="5"/>
      <c r="GY68" s="5"/>
      <c r="GZ68" s="5"/>
      <c r="HA68" s="5"/>
      <c r="HB68" s="39"/>
      <c r="HC68" s="5"/>
      <c r="HD68" s="5"/>
      <c r="HE68" s="5"/>
      <c r="HF68" s="5"/>
      <c r="HG68" s="5"/>
      <c r="HH68" s="39"/>
      <c r="HI68" s="16"/>
      <c r="HJ68" s="1"/>
      <c r="HK68" s="1"/>
      <c r="HL68" s="1"/>
      <c r="HM68" s="19"/>
    </row>
    <row r="69" spans="1:221" s="26" customFormat="1" ht="15">
      <c r="A69" s="117"/>
      <c r="B69" s="117"/>
      <c r="C69" s="117"/>
      <c r="D69" s="117"/>
      <c r="E69" s="115"/>
      <c r="F69" s="115"/>
      <c r="G69" s="115"/>
      <c r="H69" s="115"/>
      <c r="I69" s="118"/>
      <c r="J69" s="118"/>
      <c r="K69" s="118"/>
      <c r="L69" s="118"/>
      <c r="M69" s="118"/>
      <c r="N69" s="118"/>
      <c r="O69" s="118"/>
      <c r="P69" s="118"/>
      <c r="Q69" s="30"/>
      <c r="R69" s="383"/>
      <c r="S69" s="383"/>
      <c r="T69" s="383"/>
      <c r="U69" s="383"/>
      <c r="V69" s="383"/>
      <c r="W69" s="383"/>
      <c r="X69" s="118"/>
      <c r="Y69" s="58"/>
      <c r="Z69" s="30"/>
      <c r="AA69" s="115"/>
      <c r="AB69" s="118"/>
      <c r="AC69" s="115"/>
      <c r="AD69" s="118"/>
      <c r="AE69" s="115"/>
      <c r="AF69" s="118"/>
      <c r="AG69" s="115"/>
      <c r="AH69" s="118"/>
      <c r="AI69" s="115"/>
      <c r="AJ69" s="118"/>
      <c r="AK69" s="150"/>
      <c r="AL69" s="150"/>
      <c r="AM69" s="32"/>
      <c r="AN69" s="32"/>
      <c r="AO69" s="32"/>
      <c r="AP69" s="32"/>
      <c r="AQ69" s="150"/>
      <c r="AR69" s="32"/>
      <c r="AS69" s="302"/>
      <c r="AT69" s="3"/>
      <c r="AU69" s="41"/>
      <c r="AV69" s="41"/>
      <c r="AW69" s="41"/>
      <c r="AX69" s="41"/>
      <c r="AY69" s="41"/>
      <c r="AZ69" s="41"/>
      <c r="BA69" s="3"/>
      <c r="BB69" s="128"/>
      <c r="BC69" s="128"/>
      <c r="BD69" s="1"/>
      <c r="BE69" s="1"/>
      <c r="BF69" s="1"/>
      <c r="BG69" s="1"/>
      <c r="BH69" s="1"/>
      <c r="BI69" s="1"/>
      <c r="BJ69" s="1"/>
      <c r="BK69" s="1"/>
      <c r="BL69" s="1"/>
      <c r="BM69" s="1"/>
      <c r="BN69" s="1"/>
      <c r="BO69" s="1"/>
      <c r="BP69" s="1"/>
      <c r="BQ69" s="1"/>
      <c r="BR69" s="1"/>
      <c r="BS69" s="1"/>
      <c r="BT69" s="1"/>
      <c r="BU69" s="1"/>
      <c r="BV69" s="1"/>
      <c r="BW69" s="1"/>
      <c r="BX69" s="304"/>
      <c r="BY69" s="20"/>
      <c r="BZ69" s="20"/>
      <c r="CA69" s="20"/>
      <c r="CB69" s="20"/>
      <c r="CC69" s="20"/>
      <c r="CD69" s="384"/>
      <c r="CE69" s="384"/>
      <c r="CF69" s="384"/>
      <c r="CG69" s="384"/>
      <c r="CH69" s="384"/>
      <c r="CI69" s="304"/>
      <c r="CJ69" s="16"/>
      <c r="CK69" s="1"/>
      <c r="CL69" s="1"/>
      <c r="CM69" s="1"/>
      <c r="CN69" s="1"/>
      <c r="CO69" s="1"/>
      <c r="CP69" s="304"/>
      <c r="CQ69" s="1"/>
      <c r="CR69" s="1"/>
      <c r="CS69" s="1"/>
      <c r="CT69" s="1"/>
      <c r="CU69" s="1"/>
      <c r="CV69" s="516"/>
      <c r="CW69" s="20"/>
      <c r="CX69" s="20"/>
      <c r="CY69" s="20"/>
      <c r="CZ69" s="20"/>
      <c r="DA69" s="20"/>
      <c r="DB69" s="503"/>
      <c r="DC69" s="127"/>
      <c r="DD69" s="127"/>
      <c r="DE69" s="127"/>
      <c r="DF69" s="127"/>
      <c r="DG69" s="127"/>
      <c r="DH69" s="127"/>
      <c r="DI69" s="127"/>
      <c r="DJ69" s="127"/>
      <c r="DK69" s="127"/>
      <c r="DL69" s="127"/>
      <c r="DM69" s="304"/>
      <c r="DN69" s="20"/>
      <c r="DO69" s="20"/>
      <c r="DP69" s="20"/>
      <c r="DQ69" s="20"/>
      <c r="DR69" s="20"/>
      <c r="DS69" s="20"/>
      <c r="DT69" s="20"/>
      <c r="DU69" s="20"/>
      <c r="DV69" s="20"/>
      <c r="DW69" s="20"/>
      <c r="DX69" s="20"/>
      <c r="DY69" s="7"/>
      <c r="DZ69" s="7"/>
      <c r="EA69" s="7"/>
      <c r="EB69" s="7"/>
      <c r="EC69" s="7"/>
      <c r="ED69" s="7"/>
      <c r="EE69" s="7"/>
      <c r="EF69" s="7"/>
      <c r="EG69" s="7"/>
      <c r="EH69" s="7"/>
      <c r="EI69" s="7"/>
      <c r="EJ69" s="7"/>
      <c r="EK69" s="7"/>
      <c r="EL69" s="7"/>
      <c r="EM69" s="7"/>
      <c r="EN69" s="7"/>
      <c r="EO69" s="7"/>
      <c r="EP69" s="7"/>
      <c r="EQ69" s="7"/>
      <c r="ER69" s="7"/>
      <c r="ES69" s="7"/>
      <c r="ET69" s="7"/>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7"/>
      <c r="FU69" s="7"/>
      <c r="FV69" s="7"/>
      <c r="FW69" s="6"/>
      <c r="FX69" s="6"/>
      <c r="FY69" s="6"/>
      <c r="FZ69" s="6"/>
      <c r="GA69" s="6"/>
      <c r="GB69" s="6"/>
      <c r="GC69" s="7"/>
      <c r="GD69" s="7"/>
      <c r="GE69" s="7"/>
      <c r="GF69" s="7"/>
      <c r="GG69" s="7"/>
      <c r="GH69" s="42"/>
      <c r="GI69" s="6"/>
      <c r="GJ69" s="14"/>
      <c r="GK69" s="14"/>
      <c r="GL69" s="14"/>
      <c r="GM69" s="14"/>
      <c r="GO69" s="5"/>
      <c r="GP69" s="5"/>
      <c r="GQ69" s="5"/>
      <c r="GR69" s="5"/>
      <c r="GS69" s="5"/>
      <c r="GT69" s="5"/>
      <c r="GU69" s="5"/>
      <c r="GV69" s="39"/>
      <c r="GW69" s="5"/>
      <c r="GX69" s="5"/>
      <c r="GY69" s="5"/>
      <c r="GZ69" s="5"/>
      <c r="HA69" s="5"/>
      <c r="HB69" s="39"/>
      <c r="HC69" s="5"/>
      <c r="HD69" s="5"/>
      <c r="HE69" s="5"/>
      <c r="HF69" s="5"/>
      <c r="HG69" s="5"/>
      <c r="HH69" s="39"/>
      <c r="HI69" s="16"/>
      <c r="HJ69" s="1"/>
      <c r="HK69" s="1"/>
      <c r="HL69" s="1"/>
      <c r="HM69" s="19"/>
    </row>
    <row r="70" spans="1:221" s="26" customFormat="1" ht="15">
      <c r="A70" s="117"/>
      <c r="B70" s="117"/>
      <c r="C70" s="117"/>
      <c r="D70" s="117"/>
      <c r="E70" s="115"/>
      <c r="F70" s="115"/>
      <c r="G70" s="115"/>
      <c r="H70" s="115"/>
      <c r="I70" s="118"/>
      <c r="J70" s="118"/>
      <c r="K70" s="118"/>
      <c r="L70" s="118"/>
      <c r="M70" s="118"/>
      <c r="N70" s="118"/>
      <c r="O70" s="118"/>
      <c r="P70" s="118"/>
      <c r="Q70" s="30"/>
      <c r="R70" s="383"/>
      <c r="S70" s="383"/>
      <c r="T70" s="383"/>
      <c r="U70" s="383"/>
      <c r="V70" s="383"/>
      <c r="W70" s="383"/>
      <c r="X70" s="118"/>
      <c r="Y70" s="58"/>
      <c r="Z70" s="30"/>
      <c r="AA70" s="115"/>
      <c r="AB70" s="118"/>
      <c r="AC70" s="115"/>
      <c r="AD70" s="118"/>
      <c r="AE70" s="115"/>
      <c r="AF70" s="118"/>
      <c r="AG70" s="115"/>
      <c r="AH70" s="118"/>
      <c r="AI70" s="115"/>
      <c r="AJ70" s="118"/>
      <c r="AK70" s="150"/>
      <c r="AL70" s="150"/>
      <c r="AM70" s="32"/>
      <c r="AN70" s="32"/>
      <c r="AO70" s="32"/>
      <c r="AP70" s="32"/>
      <c r="AQ70" s="150"/>
      <c r="AR70" s="32"/>
      <c r="AS70" s="302"/>
      <c r="AT70" s="3"/>
      <c r="AU70" s="41"/>
      <c r="AV70" s="41"/>
      <c r="AW70" s="41"/>
      <c r="AX70" s="41"/>
      <c r="AY70" s="41"/>
      <c r="AZ70" s="41"/>
      <c r="BA70" s="3"/>
      <c r="BB70" s="128"/>
      <c r="BC70" s="128"/>
      <c r="BD70" s="1"/>
      <c r="BE70" s="1"/>
      <c r="BF70" s="1"/>
      <c r="BG70" s="1"/>
      <c r="BH70" s="1"/>
      <c r="BI70" s="1"/>
      <c r="BJ70" s="1"/>
      <c r="BK70" s="1"/>
      <c r="BL70" s="1"/>
      <c r="BM70" s="1"/>
      <c r="BN70" s="1"/>
      <c r="BO70" s="1"/>
      <c r="BP70" s="1"/>
      <c r="BQ70" s="1"/>
      <c r="BR70" s="1"/>
      <c r="BS70" s="1"/>
      <c r="BT70" s="1"/>
      <c r="BU70" s="1"/>
      <c r="BV70" s="1"/>
      <c r="BW70" s="1"/>
      <c r="BX70" s="304"/>
      <c r="BY70" s="20"/>
      <c r="BZ70" s="20"/>
      <c r="CA70" s="20"/>
      <c r="CB70" s="20"/>
      <c r="CC70" s="20"/>
      <c r="CD70" s="384"/>
      <c r="CE70" s="384"/>
      <c r="CF70" s="384"/>
      <c r="CG70" s="384"/>
      <c r="CH70" s="384"/>
      <c r="CI70" s="304"/>
      <c r="CJ70" s="16"/>
      <c r="CK70" s="1"/>
      <c r="CL70" s="1"/>
      <c r="CM70" s="1"/>
      <c r="CN70" s="1"/>
      <c r="CO70" s="1"/>
      <c r="CP70" s="304"/>
      <c r="CQ70" s="1"/>
      <c r="CR70" s="1"/>
      <c r="CS70" s="1"/>
      <c r="CT70" s="1"/>
      <c r="CU70" s="1"/>
      <c r="CV70" s="516"/>
      <c r="CW70" s="20"/>
      <c r="CX70" s="20"/>
      <c r="CY70" s="20"/>
      <c r="CZ70" s="20"/>
      <c r="DA70" s="20"/>
      <c r="DB70" s="503"/>
      <c r="DC70" s="127"/>
      <c r="DD70" s="127"/>
      <c r="DE70" s="127"/>
      <c r="DF70" s="127"/>
      <c r="DG70" s="127"/>
      <c r="DH70" s="127"/>
      <c r="DI70" s="127"/>
      <c r="DJ70" s="127"/>
      <c r="DK70" s="127"/>
      <c r="DL70" s="127"/>
      <c r="DM70" s="304"/>
      <c r="DN70" s="20"/>
      <c r="DO70" s="20"/>
      <c r="DP70" s="20"/>
      <c r="DQ70" s="20"/>
      <c r="DR70" s="20"/>
      <c r="DS70" s="20"/>
      <c r="DT70" s="20"/>
      <c r="DU70" s="20"/>
      <c r="DV70" s="20"/>
      <c r="DW70" s="20"/>
      <c r="DX70" s="20"/>
      <c r="DY70" s="7"/>
      <c r="DZ70" s="7"/>
      <c r="EA70" s="7"/>
      <c r="EB70" s="7"/>
      <c r="EC70" s="7"/>
      <c r="ED70" s="7"/>
      <c r="EE70" s="7"/>
      <c r="EF70" s="7"/>
      <c r="EG70" s="7"/>
      <c r="EH70" s="7"/>
      <c r="EI70" s="7"/>
      <c r="EJ70" s="7"/>
      <c r="EK70" s="7"/>
      <c r="EL70" s="7"/>
      <c r="EM70" s="7"/>
      <c r="EN70" s="7"/>
      <c r="EO70" s="7"/>
      <c r="EP70" s="7"/>
      <c r="EQ70" s="7"/>
      <c r="ER70" s="7"/>
      <c r="ES70" s="7"/>
      <c r="ET70" s="7"/>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7"/>
      <c r="FU70" s="7"/>
      <c r="FV70" s="7"/>
      <c r="FW70" s="6"/>
      <c r="FX70" s="6"/>
      <c r="FY70" s="6"/>
      <c r="FZ70" s="6"/>
      <c r="GA70" s="6"/>
      <c r="GB70" s="6"/>
      <c r="GC70" s="7"/>
      <c r="GD70" s="7"/>
      <c r="GE70" s="7"/>
      <c r="GF70" s="7"/>
      <c r="GG70" s="7"/>
      <c r="GH70" s="42"/>
      <c r="GI70" s="6"/>
      <c r="GJ70" s="14"/>
      <c r="GK70" s="14"/>
      <c r="GL70" s="14"/>
      <c r="GM70" s="14"/>
      <c r="GO70" s="5"/>
      <c r="GP70" s="5"/>
      <c r="GQ70" s="5"/>
      <c r="GR70" s="5"/>
      <c r="GS70" s="5"/>
      <c r="GT70" s="5"/>
      <c r="GU70" s="5"/>
      <c r="GV70" s="39"/>
      <c r="GW70" s="5"/>
      <c r="GX70" s="5"/>
      <c r="GY70" s="5"/>
      <c r="GZ70" s="5"/>
      <c r="HA70" s="5"/>
      <c r="HB70" s="39"/>
      <c r="HC70" s="5"/>
      <c r="HD70" s="5"/>
      <c r="HE70" s="5"/>
      <c r="HF70" s="5"/>
      <c r="HG70" s="5"/>
      <c r="HH70" s="39"/>
      <c r="HI70" s="16"/>
      <c r="HJ70" s="1"/>
      <c r="HK70" s="1"/>
      <c r="HL70" s="1"/>
      <c r="HM70" s="19"/>
    </row>
    <row r="71" spans="1:221" s="26" customFormat="1" ht="15">
      <c r="A71" s="117"/>
      <c r="B71" s="117"/>
      <c r="C71" s="117"/>
      <c r="D71" s="117"/>
      <c r="E71" s="115"/>
      <c r="F71" s="115"/>
      <c r="G71" s="115"/>
      <c r="H71" s="115"/>
      <c r="I71" s="118"/>
      <c r="J71" s="118"/>
      <c r="K71" s="118"/>
      <c r="L71" s="118"/>
      <c r="M71" s="118"/>
      <c r="N71" s="118"/>
      <c r="O71" s="118"/>
      <c r="P71" s="118"/>
      <c r="Q71" s="30"/>
      <c r="R71" s="383"/>
      <c r="S71" s="383"/>
      <c r="T71" s="383"/>
      <c r="U71" s="383"/>
      <c r="V71" s="383"/>
      <c r="W71" s="383"/>
      <c r="X71" s="118"/>
      <c r="Y71" s="58"/>
      <c r="Z71" s="30"/>
      <c r="AA71" s="115"/>
      <c r="AB71" s="118"/>
      <c r="AC71" s="115"/>
      <c r="AD71" s="118"/>
      <c r="AE71" s="115"/>
      <c r="AF71" s="118"/>
      <c r="AG71" s="115"/>
      <c r="AH71" s="118"/>
      <c r="AI71" s="115"/>
      <c r="AJ71" s="118"/>
      <c r="AK71" s="150"/>
      <c r="AL71" s="150"/>
      <c r="AM71" s="32"/>
      <c r="AN71" s="32"/>
      <c r="AO71" s="32"/>
      <c r="AP71" s="32"/>
      <c r="AQ71" s="150"/>
      <c r="AR71" s="32"/>
      <c r="AS71" s="302"/>
      <c r="AT71" s="3"/>
      <c r="AU71" s="41"/>
      <c r="AV71" s="41"/>
      <c r="AW71" s="41"/>
      <c r="AX71" s="41"/>
      <c r="AY71" s="41"/>
      <c r="AZ71" s="41"/>
      <c r="BA71" s="3"/>
      <c r="BB71" s="128"/>
      <c r="BC71" s="128"/>
      <c r="BD71" s="1"/>
      <c r="BE71" s="1"/>
      <c r="BF71" s="1"/>
      <c r="BG71" s="1"/>
      <c r="BH71" s="1"/>
      <c r="BI71" s="1"/>
      <c r="BJ71" s="1"/>
      <c r="BK71" s="1"/>
      <c r="BL71" s="1"/>
      <c r="BM71" s="1"/>
      <c r="BN71" s="1"/>
      <c r="BO71" s="1"/>
      <c r="BP71" s="1"/>
      <c r="BQ71" s="1"/>
      <c r="BR71" s="1"/>
      <c r="BS71" s="1"/>
      <c r="BT71" s="1"/>
      <c r="BU71" s="1"/>
      <c r="BV71" s="1"/>
      <c r="BW71" s="1"/>
      <c r="BX71" s="304"/>
      <c r="BY71" s="20"/>
      <c r="BZ71" s="20"/>
      <c r="CA71" s="20"/>
      <c r="CB71" s="20"/>
      <c r="CC71" s="20"/>
      <c r="CD71" s="384"/>
      <c r="CE71" s="384"/>
      <c r="CF71" s="384"/>
      <c r="CG71" s="384"/>
      <c r="CH71" s="384"/>
      <c r="CI71" s="304"/>
      <c r="CJ71" s="16"/>
      <c r="CK71" s="1"/>
      <c r="CL71" s="1"/>
      <c r="CM71" s="1"/>
      <c r="CN71" s="1"/>
      <c r="CO71" s="1"/>
      <c r="CP71" s="304"/>
      <c r="CQ71" s="1"/>
      <c r="CR71" s="1"/>
      <c r="CS71" s="1"/>
      <c r="CT71" s="1"/>
      <c r="CU71" s="1"/>
      <c r="CV71" s="516"/>
      <c r="CW71" s="20"/>
      <c r="CX71" s="20"/>
      <c r="CY71" s="20"/>
      <c r="CZ71" s="20"/>
      <c r="DA71" s="20"/>
      <c r="DB71" s="503"/>
      <c r="DC71" s="127"/>
      <c r="DD71" s="127"/>
      <c r="DE71" s="127"/>
      <c r="DF71" s="127"/>
      <c r="DG71" s="127"/>
      <c r="DH71" s="127"/>
      <c r="DI71" s="127"/>
      <c r="DJ71" s="127"/>
      <c r="DK71" s="127"/>
      <c r="DL71" s="127"/>
      <c r="DM71" s="304"/>
      <c r="DN71" s="20"/>
      <c r="DO71" s="20"/>
      <c r="DP71" s="20"/>
      <c r="DQ71" s="20"/>
      <c r="DR71" s="20"/>
      <c r="DS71" s="20"/>
      <c r="DT71" s="20"/>
      <c r="DU71" s="20"/>
      <c r="DV71" s="20"/>
      <c r="DW71" s="20"/>
      <c r="DX71" s="20"/>
      <c r="DY71" s="7"/>
      <c r="DZ71" s="7"/>
      <c r="EA71" s="7"/>
      <c r="EB71" s="7"/>
      <c r="EC71" s="7"/>
      <c r="ED71" s="7"/>
      <c r="EE71" s="7"/>
      <c r="EF71" s="7"/>
      <c r="EG71" s="7"/>
      <c r="EH71" s="7"/>
      <c r="EI71" s="7"/>
      <c r="EJ71" s="7"/>
      <c r="EK71" s="7"/>
      <c r="EL71" s="7"/>
      <c r="EM71" s="7"/>
      <c r="EN71" s="7"/>
      <c r="EO71" s="7"/>
      <c r="EP71" s="7"/>
      <c r="EQ71" s="7"/>
      <c r="ER71" s="7"/>
      <c r="ES71" s="7"/>
      <c r="ET71" s="7"/>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7"/>
      <c r="FU71" s="7"/>
      <c r="FV71" s="7"/>
      <c r="FW71" s="6"/>
      <c r="FX71" s="6"/>
      <c r="FY71" s="6"/>
      <c r="FZ71" s="6"/>
      <c r="GA71" s="6"/>
      <c r="GB71" s="6"/>
      <c r="GC71" s="7"/>
      <c r="GD71" s="7"/>
      <c r="GE71" s="7"/>
      <c r="GF71" s="7"/>
      <c r="GG71" s="7"/>
      <c r="GH71" s="42"/>
      <c r="GI71" s="6"/>
      <c r="GJ71" s="14"/>
      <c r="GK71" s="14"/>
      <c r="GL71" s="14"/>
      <c r="GM71" s="14"/>
      <c r="GO71" s="5"/>
      <c r="GP71" s="5"/>
      <c r="GQ71" s="5"/>
      <c r="GR71" s="5"/>
      <c r="GS71" s="5"/>
      <c r="GT71" s="5"/>
      <c r="GU71" s="5"/>
      <c r="GV71" s="39"/>
      <c r="GW71" s="5"/>
      <c r="GX71" s="5"/>
      <c r="GY71" s="5"/>
      <c r="GZ71" s="5"/>
      <c r="HA71" s="5"/>
      <c r="HB71" s="39"/>
      <c r="HC71" s="5"/>
      <c r="HD71" s="5"/>
      <c r="HE71" s="5"/>
      <c r="HF71" s="5"/>
      <c r="HG71" s="5"/>
      <c r="HH71" s="39"/>
      <c r="HI71" s="16"/>
      <c r="HJ71" s="1"/>
      <c r="HK71" s="1"/>
      <c r="HL71" s="1"/>
      <c r="HM71" s="19"/>
    </row>
    <row r="72" spans="1:221" s="26" customFormat="1" ht="15">
      <c r="A72" s="117"/>
      <c r="B72" s="117"/>
      <c r="C72" s="117"/>
      <c r="D72" s="117"/>
      <c r="E72" s="115"/>
      <c r="F72" s="115"/>
      <c r="G72" s="115"/>
      <c r="H72" s="115"/>
      <c r="I72" s="118"/>
      <c r="J72" s="118"/>
      <c r="K72" s="118"/>
      <c r="L72" s="118"/>
      <c r="M72" s="118"/>
      <c r="N72" s="118"/>
      <c r="O72" s="118"/>
      <c r="P72" s="118"/>
      <c r="Q72" s="30"/>
      <c r="R72" s="383"/>
      <c r="S72" s="383"/>
      <c r="T72" s="383"/>
      <c r="U72" s="383"/>
      <c r="V72" s="383"/>
      <c r="W72" s="383"/>
      <c r="X72" s="118"/>
      <c r="Y72" s="58"/>
      <c r="Z72" s="30"/>
      <c r="AA72" s="115"/>
      <c r="AB72" s="118"/>
      <c r="AC72" s="115"/>
      <c r="AD72" s="118"/>
      <c r="AE72" s="115"/>
      <c r="AF72" s="118"/>
      <c r="AG72" s="115"/>
      <c r="AH72" s="118"/>
      <c r="AI72" s="115"/>
      <c r="AJ72" s="118"/>
      <c r="AK72" s="150"/>
      <c r="AL72" s="150"/>
      <c r="AM72" s="32"/>
      <c r="AN72" s="32"/>
      <c r="AO72" s="32"/>
      <c r="AP72" s="32"/>
      <c r="AQ72" s="150"/>
      <c r="AR72" s="32"/>
      <c r="AS72" s="302"/>
      <c r="AT72" s="3"/>
      <c r="AU72" s="41"/>
      <c r="AV72" s="41"/>
      <c r="AW72" s="41"/>
      <c r="AX72" s="41"/>
      <c r="AY72" s="41"/>
      <c r="AZ72" s="41"/>
      <c r="BA72" s="3"/>
      <c r="BB72" s="128"/>
      <c r="BC72" s="128"/>
      <c r="BD72" s="1"/>
      <c r="BE72" s="1"/>
      <c r="BF72" s="1"/>
      <c r="BG72" s="1"/>
      <c r="BH72" s="1"/>
      <c r="BI72" s="1"/>
      <c r="BJ72" s="1"/>
      <c r="BK72" s="1"/>
      <c r="BL72" s="1"/>
      <c r="BM72" s="1"/>
      <c r="BN72" s="1"/>
      <c r="BO72" s="1"/>
      <c r="BP72" s="1"/>
      <c r="BQ72" s="1"/>
      <c r="BR72" s="1"/>
      <c r="BS72" s="1"/>
      <c r="BT72" s="1"/>
      <c r="BU72" s="1"/>
      <c r="BV72" s="1"/>
      <c r="BW72" s="1"/>
      <c r="BX72" s="304"/>
      <c r="BY72" s="20"/>
      <c r="BZ72" s="20"/>
      <c r="CA72" s="20"/>
      <c r="CB72" s="20"/>
      <c r="CC72" s="20"/>
      <c r="CD72" s="384"/>
      <c r="CE72" s="384"/>
      <c r="CF72" s="384"/>
      <c r="CG72" s="384"/>
      <c r="CH72" s="384"/>
      <c r="CI72" s="304"/>
      <c r="CJ72" s="16"/>
      <c r="CK72" s="1"/>
      <c r="CL72" s="1"/>
      <c r="CM72" s="1"/>
      <c r="CN72" s="1"/>
      <c r="CO72" s="1"/>
      <c r="CP72" s="304"/>
      <c r="CQ72" s="1"/>
      <c r="CR72" s="1"/>
      <c r="CS72" s="1"/>
      <c r="CT72" s="1"/>
      <c r="CU72" s="1"/>
      <c r="CV72" s="516"/>
      <c r="CW72" s="20"/>
      <c r="CX72" s="20"/>
      <c r="CY72" s="20"/>
      <c r="CZ72" s="20"/>
      <c r="DA72" s="20"/>
      <c r="DB72" s="503"/>
      <c r="DC72" s="127"/>
      <c r="DD72" s="127"/>
      <c r="DE72" s="127"/>
      <c r="DF72" s="127"/>
      <c r="DG72" s="127"/>
      <c r="DH72" s="127"/>
      <c r="DI72" s="127"/>
      <c r="DJ72" s="127"/>
      <c r="DK72" s="127"/>
      <c r="DL72" s="127"/>
      <c r="DM72" s="304"/>
      <c r="DN72" s="20"/>
      <c r="DO72" s="20"/>
      <c r="DP72" s="20"/>
      <c r="DQ72" s="20"/>
      <c r="DR72" s="20"/>
      <c r="DS72" s="20"/>
      <c r="DT72" s="20"/>
      <c r="DU72" s="20"/>
      <c r="DV72" s="20"/>
      <c r="DW72" s="20"/>
      <c r="DX72" s="20"/>
      <c r="DY72" s="7"/>
      <c r="DZ72" s="7"/>
      <c r="EA72" s="7"/>
      <c r="EB72" s="7"/>
      <c r="EC72" s="7"/>
      <c r="ED72" s="7"/>
      <c r="EE72" s="7"/>
      <c r="EF72" s="7"/>
      <c r="EG72" s="7"/>
      <c r="EH72" s="7"/>
      <c r="EI72" s="7"/>
      <c r="EJ72" s="7"/>
      <c r="EK72" s="7"/>
      <c r="EL72" s="7"/>
      <c r="EM72" s="7"/>
      <c r="EN72" s="7"/>
      <c r="EO72" s="7"/>
      <c r="EP72" s="7"/>
      <c r="EQ72" s="7"/>
      <c r="ER72" s="7"/>
      <c r="ES72" s="7"/>
      <c r="ET72" s="7"/>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7"/>
      <c r="FU72" s="7"/>
      <c r="FV72" s="7"/>
      <c r="FW72" s="6"/>
      <c r="FX72" s="6"/>
      <c r="FY72" s="6"/>
      <c r="FZ72" s="6"/>
      <c r="GA72" s="6"/>
      <c r="GB72" s="6"/>
      <c r="GC72" s="7"/>
      <c r="GD72" s="7"/>
      <c r="GE72" s="7"/>
      <c r="GF72" s="7"/>
      <c r="GG72" s="7"/>
      <c r="GH72" s="42"/>
      <c r="GI72" s="6"/>
      <c r="GJ72" s="14"/>
      <c r="GK72" s="14"/>
      <c r="GL72" s="14"/>
      <c r="GM72" s="14"/>
      <c r="GO72" s="5"/>
      <c r="GP72" s="5"/>
      <c r="GQ72" s="5"/>
      <c r="GR72" s="5"/>
      <c r="GS72" s="5"/>
      <c r="GT72" s="5"/>
      <c r="GU72" s="5"/>
      <c r="GV72" s="39"/>
      <c r="GW72" s="5"/>
      <c r="GX72" s="5"/>
      <c r="GY72" s="5"/>
      <c r="GZ72" s="5"/>
      <c r="HA72" s="5"/>
      <c r="HB72" s="39"/>
      <c r="HC72" s="5"/>
      <c r="HD72" s="5"/>
      <c r="HE72" s="5"/>
      <c r="HF72" s="5"/>
      <c r="HG72" s="5"/>
      <c r="HH72" s="39"/>
      <c r="HI72" s="16"/>
      <c r="HJ72" s="1"/>
      <c r="HK72" s="1"/>
      <c r="HL72" s="1"/>
      <c r="HM72" s="19"/>
    </row>
    <row r="73" spans="1:221" s="26" customFormat="1" ht="15">
      <c r="A73" s="117"/>
      <c r="B73" s="117"/>
      <c r="C73" s="117"/>
      <c r="D73" s="117"/>
      <c r="E73" s="115"/>
      <c r="F73" s="115"/>
      <c r="G73" s="115"/>
      <c r="H73" s="115"/>
      <c r="I73" s="118"/>
      <c r="J73" s="118"/>
      <c r="K73" s="118"/>
      <c r="L73" s="118"/>
      <c r="M73" s="118"/>
      <c r="N73" s="118"/>
      <c r="O73" s="118"/>
      <c r="P73" s="118"/>
      <c r="Q73" s="30"/>
      <c r="R73" s="383"/>
      <c r="S73" s="383"/>
      <c r="T73" s="383"/>
      <c r="U73" s="383"/>
      <c r="V73" s="383"/>
      <c r="W73" s="383"/>
      <c r="X73" s="118"/>
      <c r="Y73" s="58"/>
      <c r="Z73" s="30"/>
      <c r="AA73" s="115"/>
      <c r="AB73" s="118"/>
      <c r="AC73" s="115"/>
      <c r="AD73" s="118"/>
      <c r="AE73" s="115"/>
      <c r="AF73" s="118"/>
      <c r="AG73" s="115"/>
      <c r="AH73" s="118"/>
      <c r="AI73" s="115"/>
      <c r="AJ73" s="118"/>
      <c r="AK73" s="150"/>
      <c r="AL73" s="150"/>
      <c r="AM73" s="32"/>
      <c r="AN73" s="32"/>
      <c r="AO73" s="32"/>
      <c r="AP73" s="32"/>
      <c r="AQ73" s="150"/>
      <c r="AR73" s="32"/>
      <c r="AS73" s="302"/>
      <c r="AT73" s="3"/>
      <c r="AU73" s="41"/>
      <c r="AV73" s="41"/>
      <c r="AW73" s="41"/>
      <c r="AX73" s="41"/>
      <c r="AY73" s="41"/>
      <c r="AZ73" s="41"/>
      <c r="BA73" s="3"/>
      <c r="BB73" s="128"/>
      <c r="BC73" s="128"/>
      <c r="BD73" s="1"/>
      <c r="BE73" s="1"/>
      <c r="BF73" s="1"/>
      <c r="BG73" s="1"/>
      <c r="BH73" s="1"/>
      <c r="BI73" s="1"/>
      <c r="BJ73" s="1"/>
      <c r="BK73" s="1"/>
      <c r="BL73" s="1"/>
      <c r="BM73" s="1"/>
      <c r="BN73" s="1"/>
      <c r="BO73" s="1"/>
      <c r="BP73" s="1"/>
      <c r="BQ73" s="1"/>
      <c r="BR73" s="1"/>
      <c r="BS73" s="1"/>
      <c r="BT73" s="1"/>
      <c r="BU73" s="1"/>
      <c r="BV73" s="1"/>
      <c r="BW73" s="1"/>
      <c r="BX73" s="304"/>
      <c r="BY73" s="20"/>
      <c r="BZ73" s="20"/>
      <c r="CA73" s="20"/>
      <c r="CB73" s="20"/>
      <c r="CC73" s="20"/>
      <c r="CD73" s="384"/>
      <c r="CE73" s="384"/>
      <c r="CF73" s="384"/>
      <c r="CG73" s="384"/>
      <c r="CH73" s="384"/>
      <c r="CI73" s="304"/>
      <c r="CJ73" s="16"/>
      <c r="CK73" s="1"/>
      <c r="CL73" s="1"/>
      <c r="CM73" s="1"/>
      <c r="CN73" s="1"/>
      <c r="CO73" s="1"/>
      <c r="CP73" s="304"/>
      <c r="CQ73" s="1"/>
      <c r="CR73" s="1"/>
      <c r="CS73" s="1"/>
      <c r="CT73" s="1"/>
      <c r="CU73" s="1"/>
      <c r="CV73" s="516"/>
      <c r="CW73" s="20"/>
      <c r="CX73" s="20"/>
      <c r="CY73" s="20"/>
      <c r="CZ73" s="20"/>
      <c r="DA73" s="20"/>
      <c r="DB73" s="503"/>
      <c r="DC73" s="127"/>
      <c r="DD73" s="127"/>
      <c r="DE73" s="127"/>
      <c r="DF73" s="127"/>
      <c r="DG73" s="127"/>
      <c r="DH73" s="127"/>
      <c r="DI73" s="127"/>
      <c r="DJ73" s="127"/>
      <c r="DK73" s="127"/>
      <c r="DL73" s="127"/>
      <c r="DM73" s="304"/>
      <c r="DN73" s="20"/>
      <c r="DO73" s="20"/>
      <c r="DP73" s="20"/>
      <c r="DQ73" s="20"/>
      <c r="DR73" s="20"/>
      <c r="DS73" s="20"/>
      <c r="DT73" s="20"/>
      <c r="DU73" s="20"/>
      <c r="DV73" s="20"/>
      <c r="DW73" s="20"/>
      <c r="DX73" s="20"/>
      <c r="DY73" s="7"/>
      <c r="DZ73" s="7"/>
      <c r="EA73" s="7"/>
      <c r="EB73" s="7"/>
      <c r="EC73" s="7"/>
      <c r="ED73" s="7"/>
      <c r="EE73" s="7"/>
      <c r="EF73" s="7"/>
      <c r="EG73" s="7"/>
      <c r="EH73" s="7"/>
      <c r="EI73" s="7"/>
      <c r="EJ73" s="7"/>
      <c r="EK73" s="7"/>
      <c r="EL73" s="7"/>
      <c r="EM73" s="7"/>
      <c r="EN73" s="7"/>
      <c r="EO73" s="7"/>
      <c r="EP73" s="7"/>
      <c r="EQ73" s="7"/>
      <c r="ER73" s="7"/>
      <c r="ES73" s="7"/>
      <c r="ET73" s="7"/>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7"/>
      <c r="FU73" s="7"/>
      <c r="FV73" s="7"/>
      <c r="FW73" s="6"/>
      <c r="FX73" s="6"/>
      <c r="FY73" s="6"/>
      <c r="FZ73" s="6"/>
      <c r="GA73" s="6"/>
      <c r="GB73" s="6"/>
      <c r="GC73" s="7"/>
      <c r="GD73" s="7"/>
      <c r="GE73" s="7"/>
      <c r="GF73" s="7"/>
      <c r="GG73" s="7"/>
      <c r="GH73" s="42"/>
      <c r="GI73" s="6"/>
      <c r="GJ73" s="14"/>
      <c r="GK73" s="14"/>
      <c r="GL73" s="14"/>
      <c r="GM73" s="14"/>
      <c r="GO73" s="5"/>
      <c r="GP73" s="5"/>
      <c r="GQ73" s="5"/>
      <c r="GR73" s="5"/>
      <c r="GS73" s="5"/>
      <c r="GT73" s="5"/>
      <c r="GU73" s="5"/>
      <c r="GV73" s="39"/>
      <c r="GW73" s="5"/>
      <c r="GX73" s="5"/>
      <c r="GY73" s="5"/>
      <c r="GZ73" s="5"/>
      <c r="HA73" s="5"/>
      <c r="HB73" s="39"/>
      <c r="HC73" s="5"/>
      <c r="HD73" s="5"/>
      <c r="HE73" s="5"/>
      <c r="HF73" s="5"/>
      <c r="HG73" s="5"/>
      <c r="HH73" s="39"/>
      <c r="HI73" s="16"/>
      <c r="HJ73" s="1"/>
      <c r="HK73" s="1"/>
      <c r="HL73" s="1"/>
      <c r="HM73" s="19"/>
    </row>
    <row r="74" spans="1:221" s="26" customFormat="1" ht="15">
      <c r="A74" s="117"/>
      <c r="B74" s="117"/>
      <c r="C74" s="117"/>
      <c r="D74" s="117"/>
      <c r="E74" s="115"/>
      <c r="F74" s="115"/>
      <c r="G74" s="115"/>
      <c r="H74" s="115"/>
      <c r="I74" s="118"/>
      <c r="J74" s="118"/>
      <c r="K74" s="118"/>
      <c r="L74" s="118"/>
      <c r="M74" s="118"/>
      <c r="N74" s="118"/>
      <c r="O74" s="118"/>
      <c r="P74" s="118"/>
      <c r="Q74" s="30"/>
      <c r="R74" s="383"/>
      <c r="S74" s="383"/>
      <c r="T74" s="383"/>
      <c r="U74" s="383"/>
      <c r="V74" s="383"/>
      <c r="W74" s="383"/>
      <c r="X74" s="118"/>
      <c r="Y74" s="58"/>
      <c r="Z74" s="30"/>
      <c r="AA74" s="115"/>
      <c r="AB74" s="118"/>
      <c r="AC74" s="115"/>
      <c r="AD74" s="118"/>
      <c r="AE74" s="115"/>
      <c r="AF74" s="118"/>
      <c r="AG74" s="115"/>
      <c r="AH74" s="118"/>
      <c r="AI74" s="115"/>
      <c r="AJ74" s="118"/>
      <c r="AK74" s="150"/>
      <c r="AL74" s="150"/>
      <c r="AM74" s="32"/>
      <c r="AN74" s="32"/>
      <c r="AO74" s="32"/>
      <c r="AP74" s="32"/>
      <c r="AQ74" s="150"/>
      <c r="AR74" s="32"/>
      <c r="AS74" s="302"/>
      <c r="AT74" s="3"/>
      <c r="AU74" s="41"/>
      <c r="AV74" s="41"/>
      <c r="AW74" s="41"/>
      <c r="AX74" s="41"/>
      <c r="AY74" s="41"/>
      <c r="AZ74" s="41"/>
      <c r="BA74" s="3"/>
      <c r="BB74" s="128"/>
      <c r="BC74" s="128"/>
      <c r="BD74" s="1"/>
      <c r="BE74" s="1"/>
      <c r="BF74" s="1"/>
      <c r="BG74" s="1"/>
      <c r="BH74" s="1"/>
      <c r="BI74" s="1"/>
      <c r="BJ74" s="1"/>
      <c r="BK74" s="1"/>
      <c r="BL74" s="1"/>
      <c r="BM74" s="1"/>
      <c r="BN74" s="1"/>
      <c r="BO74" s="1"/>
      <c r="BP74" s="1"/>
      <c r="BQ74" s="1"/>
      <c r="BR74" s="1"/>
      <c r="BS74" s="1"/>
      <c r="BT74" s="1"/>
      <c r="BU74" s="1"/>
      <c r="BV74" s="1"/>
      <c r="BW74" s="1"/>
      <c r="BX74" s="304"/>
      <c r="BY74" s="20"/>
      <c r="BZ74" s="20"/>
      <c r="CA74" s="20"/>
      <c r="CB74" s="20"/>
      <c r="CC74" s="20"/>
      <c r="CD74" s="384"/>
      <c r="CE74" s="384"/>
      <c r="CF74" s="384"/>
      <c r="CG74" s="384"/>
      <c r="CH74" s="384"/>
      <c r="CI74" s="304"/>
      <c r="CJ74" s="16"/>
      <c r="CK74" s="1"/>
      <c r="CL74" s="1"/>
      <c r="CM74" s="1"/>
      <c r="CN74" s="1"/>
      <c r="CO74" s="1"/>
      <c r="CP74" s="304"/>
      <c r="CQ74" s="1"/>
      <c r="CR74" s="1"/>
      <c r="CS74" s="1"/>
      <c r="CT74" s="1"/>
      <c r="CU74" s="1"/>
      <c r="CV74" s="516"/>
      <c r="CW74" s="20"/>
      <c r="CX74" s="20"/>
      <c r="CY74" s="20"/>
      <c r="CZ74" s="20"/>
      <c r="DA74" s="20"/>
      <c r="DB74" s="503"/>
      <c r="DC74" s="127"/>
      <c r="DD74" s="127"/>
      <c r="DE74" s="127"/>
      <c r="DF74" s="127"/>
      <c r="DG74" s="127"/>
      <c r="DH74" s="127"/>
      <c r="DI74" s="127"/>
      <c r="DJ74" s="127"/>
      <c r="DK74" s="127"/>
      <c r="DL74" s="127"/>
      <c r="DM74" s="304"/>
      <c r="DN74" s="20"/>
      <c r="DO74" s="20"/>
      <c r="DP74" s="20"/>
      <c r="DQ74" s="20"/>
      <c r="DR74" s="20"/>
      <c r="DS74" s="20"/>
      <c r="DT74" s="20"/>
      <c r="DU74" s="20"/>
      <c r="DV74" s="20"/>
      <c r="DW74" s="20"/>
      <c r="DX74" s="20"/>
      <c r="DY74" s="7"/>
      <c r="DZ74" s="7"/>
      <c r="EA74" s="7"/>
      <c r="EB74" s="7"/>
      <c r="EC74" s="7"/>
      <c r="ED74" s="7"/>
      <c r="EE74" s="7"/>
      <c r="EF74" s="7"/>
      <c r="EG74" s="7"/>
      <c r="EH74" s="7"/>
      <c r="EI74" s="7"/>
      <c r="EJ74" s="7"/>
      <c r="EK74" s="7"/>
      <c r="EL74" s="7"/>
      <c r="EM74" s="7"/>
      <c r="EN74" s="7"/>
      <c r="EO74" s="7"/>
      <c r="EP74" s="7"/>
      <c r="EQ74" s="7"/>
      <c r="ER74" s="7"/>
      <c r="ES74" s="7"/>
      <c r="ET74" s="7"/>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7"/>
      <c r="FU74" s="7"/>
      <c r="FV74" s="7"/>
      <c r="FW74" s="6"/>
      <c r="FX74" s="6"/>
      <c r="FY74" s="6"/>
      <c r="FZ74" s="6"/>
      <c r="GA74" s="6"/>
      <c r="GB74" s="6"/>
      <c r="GC74" s="7"/>
      <c r="GD74" s="7"/>
      <c r="GE74" s="7"/>
      <c r="GF74" s="7"/>
      <c r="GG74" s="7"/>
      <c r="GH74" s="42"/>
      <c r="GI74" s="6"/>
      <c r="GJ74" s="14"/>
      <c r="GK74" s="14"/>
      <c r="GL74" s="14"/>
      <c r="GM74" s="14"/>
      <c r="GO74" s="5"/>
      <c r="GP74" s="5"/>
      <c r="GQ74" s="5"/>
      <c r="GR74" s="5"/>
      <c r="GS74" s="5"/>
      <c r="GT74" s="5"/>
      <c r="GU74" s="5"/>
      <c r="GV74" s="39"/>
      <c r="GW74" s="5"/>
      <c r="GX74" s="5"/>
      <c r="GY74" s="5"/>
      <c r="GZ74" s="5"/>
      <c r="HA74" s="5"/>
      <c r="HB74" s="39"/>
      <c r="HC74" s="5"/>
      <c r="HD74" s="5"/>
      <c r="HE74" s="5"/>
      <c r="HF74" s="5"/>
      <c r="HG74" s="5"/>
      <c r="HH74" s="39"/>
      <c r="HI74" s="16"/>
      <c r="HJ74" s="1"/>
      <c r="HK74" s="1"/>
      <c r="HL74" s="1"/>
      <c r="HM74" s="19"/>
    </row>
    <row r="75" spans="1:221" s="26" customFormat="1" ht="15">
      <c r="A75" s="117"/>
      <c r="B75" s="117"/>
      <c r="C75" s="117"/>
      <c r="D75" s="117"/>
      <c r="E75" s="115"/>
      <c r="F75" s="115"/>
      <c r="G75" s="115"/>
      <c r="H75" s="115"/>
      <c r="I75" s="118"/>
      <c r="J75" s="118"/>
      <c r="K75" s="118"/>
      <c r="L75" s="118"/>
      <c r="M75" s="118"/>
      <c r="N75" s="118"/>
      <c r="O75" s="118"/>
      <c r="P75" s="118"/>
      <c r="Q75" s="30"/>
      <c r="R75" s="383"/>
      <c r="S75" s="383"/>
      <c r="T75" s="383"/>
      <c r="U75" s="383"/>
      <c r="V75" s="383"/>
      <c r="W75" s="383"/>
      <c r="X75" s="118"/>
      <c r="Y75" s="58"/>
      <c r="Z75" s="30"/>
      <c r="AA75" s="115"/>
      <c r="AB75" s="118"/>
      <c r="AC75" s="115"/>
      <c r="AD75" s="118"/>
      <c r="AE75" s="115"/>
      <c r="AF75" s="118"/>
      <c r="AG75" s="115"/>
      <c r="AH75" s="118"/>
      <c r="AI75" s="115"/>
      <c r="AJ75" s="118"/>
      <c r="AK75" s="150"/>
      <c r="AL75" s="150"/>
      <c r="AM75" s="32"/>
      <c r="AN75" s="32"/>
      <c r="AO75" s="32"/>
      <c r="AP75" s="32"/>
      <c r="AQ75" s="150"/>
      <c r="AR75" s="32"/>
      <c r="AS75" s="302"/>
      <c r="AT75" s="3"/>
      <c r="AU75" s="41"/>
      <c r="AV75" s="41"/>
      <c r="AW75" s="41"/>
      <c r="AX75" s="41"/>
      <c r="AY75" s="41"/>
      <c r="AZ75" s="41"/>
      <c r="BA75" s="3"/>
      <c r="BB75" s="128"/>
      <c r="BC75" s="128"/>
      <c r="BD75" s="1"/>
      <c r="BE75" s="1"/>
      <c r="BF75" s="1"/>
      <c r="BG75" s="1"/>
      <c r="BH75" s="1"/>
      <c r="BI75" s="1"/>
      <c r="BJ75" s="1"/>
      <c r="BK75" s="1"/>
      <c r="BL75" s="1"/>
      <c r="BM75" s="1"/>
      <c r="BN75" s="1"/>
      <c r="BO75" s="1"/>
      <c r="BP75" s="1"/>
      <c r="BQ75" s="1"/>
      <c r="BR75" s="1"/>
      <c r="BS75" s="1"/>
      <c r="BT75" s="1"/>
      <c r="BU75" s="1"/>
      <c r="BV75" s="1"/>
      <c r="BW75" s="1"/>
      <c r="BX75" s="304"/>
      <c r="BY75" s="20"/>
      <c r="BZ75" s="20"/>
      <c r="CA75" s="20"/>
      <c r="CB75" s="20"/>
      <c r="CC75" s="20"/>
      <c r="CD75" s="384"/>
      <c r="CE75" s="384"/>
      <c r="CF75" s="384"/>
      <c r="CG75" s="384"/>
      <c r="CH75" s="384"/>
      <c r="CI75" s="304"/>
      <c r="CJ75" s="16"/>
      <c r="CK75" s="1"/>
      <c r="CL75" s="1"/>
      <c r="CM75" s="1"/>
      <c r="CN75" s="1"/>
      <c r="CO75" s="1"/>
      <c r="CP75" s="304"/>
      <c r="CQ75" s="1"/>
      <c r="CR75" s="1"/>
      <c r="CS75" s="1"/>
      <c r="CT75" s="1"/>
      <c r="CU75" s="1"/>
      <c r="CV75" s="516"/>
      <c r="CW75" s="20"/>
      <c r="CX75" s="20"/>
      <c r="CY75" s="20"/>
      <c r="CZ75" s="20"/>
      <c r="DA75" s="20"/>
      <c r="DB75" s="503"/>
      <c r="DC75" s="127"/>
      <c r="DD75" s="127"/>
      <c r="DE75" s="127"/>
      <c r="DF75" s="127"/>
      <c r="DG75" s="127"/>
      <c r="DH75" s="127"/>
      <c r="DI75" s="127"/>
      <c r="DJ75" s="127"/>
      <c r="DK75" s="127"/>
      <c r="DL75" s="127"/>
      <c r="DM75" s="304"/>
      <c r="DN75" s="20"/>
      <c r="DO75" s="20"/>
      <c r="DP75" s="20"/>
      <c r="DQ75" s="20"/>
      <c r="DR75" s="20"/>
      <c r="DS75" s="20"/>
      <c r="DT75" s="20"/>
      <c r="DU75" s="20"/>
      <c r="DV75" s="20"/>
      <c r="DW75" s="20"/>
      <c r="DX75" s="20"/>
      <c r="DY75" s="7"/>
      <c r="DZ75" s="7"/>
      <c r="EA75" s="7"/>
      <c r="EB75" s="7"/>
      <c r="EC75" s="7"/>
      <c r="ED75" s="7"/>
      <c r="EE75" s="7"/>
      <c r="EF75" s="7"/>
      <c r="EG75" s="7"/>
      <c r="EH75" s="7"/>
      <c r="EI75" s="7"/>
      <c r="EJ75" s="7"/>
      <c r="EK75" s="7"/>
      <c r="EL75" s="7"/>
      <c r="EM75" s="7"/>
      <c r="EN75" s="7"/>
      <c r="EO75" s="7"/>
      <c r="EP75" s="7"/>
      <c r="EQ75" s="7"/>
      <c r="ER75" s="7"/>
      <c r="ES75" s="7"/>
      <c r="ET75" s="7"/>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7"/>
      <c r="FU75" s="7"/>
      <c r="FV75" s="7"/>
      <c r="FW75" s="6"/>
      <c r="FX75" s="6"/>
      <c r="FY75" s="6"/>
      <c r="FZ75" s="6"/>
      <c r="GA75" s="6"/>
      <c r="GB75" s="6"/>
      <c r="GC75" s="7"/>
      <c r="GD75" s="7"/>
      <c r="GE75" s="7"/>
      <c r="GF75" s="7"/>
      <c r="GG75" s="7"/>
      <c r="GH75" s="42"/>
      <c r="GI75" s="6"/>
      <c r="GJ75" s="14"/>
      <c r="GK75" s="14"/>
      <c r="GL75" s="14"/>
      <c r="GM75" s="14"/>
      <c r="GO75" s="5"/>
      <c r="GP75" s="5"/>
      <c r="GQ75" s="5"/>
      <c r="GR75" s="5"/>
      <c r="GS75" s="5"/>
      <c r="GT75" s="5"/>
      <c r="GU75" s="5"/>
      <c r="GV75" s="39"/>
      <c r="GW75" s="5"/>
      <c r="GX75" s="5"/>
      <c r="GY75" s="5"/>
      <c r="GZ75" s="5"/>
      <c r="HA75" s="5"/>
      <c r="HB75" s="39"/>
      <c r="HC75" s="5"/>
      <c r="HD75" s="5"/>
      <c r="HE75" s="5"/>
      <c r="HF75" s="5"/>
      <c r="HG75" s="5"/>
      <c r="HH75" s="39"/>
      <c r="HI75" s="16"/>
      <c r="HJ75" s="1"/>
      <c r="HK75" s="1"/>
      <c r="HL75" s="1"/>
      <c r="HM75" s="19"/>
    </row>
    <row r="76" spans="1:221" s="26" customFormat="1" ht="15">
      <c r="A76" s="117"/>
      <c r="B76" s="117"/>
      <c r="C76" s="117"/>
      <c r="D76" s="117"/>
      <c r="E76" s="115"/>
      <c r="F76" s="115"/>
      <c r="G76" s="115"/>
      <c r="H76" s="115"/>
      <c r="I76" s="118"/>
      <c r="J76" s="118"/>
      <c r="K76" s="118"/>
      <c r="L76" s="118"/>
      <c r="M76" s="118"/>
      <c r="N76" s="118"/>
      <c r="O76" s="118"/>
      <c r="P76" s="118"/>
      <c r="Q76" s="30"/>
      <c r="R76" s="383"/>
      <c r="S76" s="383"/>
      <c r="T76" s="383"/>
      <c r="U76" s="383"/>
      <c r="V76" s="383"/>
      <c r="W76" s="383"/>
      <c r="X76" s="118"/>
      <c r="Y76" s="58"/>
      <c r="Z76" s="30"/>
      <c r="AA76" s="115"/>
      <c r="AB76" s="118"/>
      <c r="AC76" s="115"/>
      <c r="AD76" s="118"/>
      <c r="AE76" s="115"/>
      <c r="AF76" s="118"/>
      <c r="AG76" s="115"/>
      <c r="AH76" s="118"/>
      <c r="AI76" s="115"/>
      <c r="AJ76" s="118"/>
      <c r="AK76" s="150"/>
      <c r="AL76" s="150"/>
      <c r="AM76" s="32"/>
      <c r="AN76" s="32"/>
      <c r="AO76" s="32"/>
      <c r="AP76" s="32"/>
      <c r="AQ76" s="150"/>
      <c r="AR76" s="32"/>
      <c r="AS76" s="302"/>
      <c r="AT76" s="3"/>
      <c r="AU76" s="41"/>
      <c r="AV76" s="41"/>
      <c r="AW76" s="41"/>
      <c r="AX76" s="41"/>
      <c r="AY76" s="41"/>
      <c r="AZ76" s="41"/>
      <c r="BA76" s="3"/>
      <c r="BB76" s="128"/>
      <c r="BC76" s="128"/>
      <c r="BD76" s="1"/>
      <c r="BE76" s="1"/>
      <c r="BF76" s="1"/>
      <c r="BG76" s="1"/>
      <c r="BH76" s="1"/>
      <c r="BI76" s="1"/>
      <c r="BJ76" s="1"/>
      <c r="BK76" s="1"/>
      <c r="BL76" s="1"/>
      <c r="BM76" s="1"/>
      <c r="BN76" s="1"/>
      <c r="BO76" s="1"/>
      <c r="BP76" s="1"/>
      <c r="BQ76" s="1"/>
      <c r="BR76" s="1"/>
      <c r="BS76" s="1"/>
      <c r="BT76" s="1"/>
      <c r="BU76" s="1"/>
      <c r="BV76" s="1"/>
      <c r="BW76" s="1"/>
      <c r="BX76" s="304"/>
      <c r="BY76" s="20"/>
      <c r="BZ76" s="20"/>
      <c r="CA76" s="20"/>
      <c r="CB76" s="20"/>
      <c r="CC76" s="20"/>
      <c r="CD76" s="384"/>
      <c r="CE76" s="384"/>
      <c r="CF76" s="384"/>
      <c r="CG76" s="384"/>
      <c r="CH76" s="384"/>
      <c r="CI76" s="304"/>
      <c r="CJ76" s="16"/>
      <c r="CK76" s="1"/>
      <c r="CL76" s="1"/>
      <c r="CM76" s="1"/>
      <c r="CN76" s="1"/>
      <c r="CO76" s="1"/>
      <c r="CP76" s="304"/>
      <c r="CQ76" s="1"/>
      <c r="CR76" s="1"/>
      <c r="CS76" s="1"/>
      <c r="CT76" s="1"/>
      <c r="CU76" s="1"/>
      <c r="CV76" s="516"/>
      <c r="CW76" s="20"/>
      <c r="CX76" s="20"/>
      <c r="CY76" s="20"/>
      <c r="CZ76" s="20"/>
      <c r="DA76" s="20"/>
      <c r="DB76" s="503"/>
      <c r="DC76" s="127"/>
      <c r="DD76" s="127"/>
      <c r="DE76" s="127"/>
      <c r="DF76" s="127"/>
      <c r="DG76" s="127"/>
      <c r="DH76" s="127"/>
      <c r="DI76" s="127"/>
      <c r="DJ76" s="127"/>
      <c r="DK76" s="127"/>
      <c r="DL76" s="127"/>
      <c r="DM76" s="304"/>
      <c r="DN76" s="20"/>
      <c r="DO76" s="20"/>
      <c r="DP76" s="20"/>
      <c r="DQ76" s="20"/>
      <c r="DR76" s="20"/>
      <c r="DS76" s="20"/>
      <c r="DT76" s="20"/>
      <c r="DU76" s="20"/>
      <c r="DV76" s="20"/>
      <c r="DW76" s="20"/>
      <c r="DX76" s="20"/>
      <c r="DY76" s="7"/>
      <c r="DZ76" s="7"/>
      <c r="EA76" s="7"/>
      <c r="EB76" s="7"/>
      <c r="EC76" s="7"/>
      <c r="ED76" s="7"/>
      <c r="EE76" s="7"/>
      <c r="EF76" s="7"/>
      <c r="EG76" s="7"/>
      <c r="EH76" s="7"/>
      <c r="EI76" s="7"/>
      <c r="EJ76" s="7"/>
      <c r="EK76" s="7"/>
      <c r="EL76" s="7"/>
      <c r="EM76" s="7"/>
      <c r="EN76" s="7"/>
      <c r="EO76" s="7"/>
      <c r="EP76" s="7"/>
      <c r="EQ76" s="7"/>
      <c r="ER76" s="7"/>
      <c r="ES76" s="7"/>
      <c r="ET76" s="7"/>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7"/>
      <c r="FU76" s="7"/>
      <c r="FV76" s="7"/>
      <c r="FW76" s="6"/>
      <c r="FX76" s="6"/>
      <c r="FY76" s="6"/>
      <c r="FZ76" s="6"/>
      <c r="GA76" s="6"/>
      <c r="GB76" s="6"/>
      <c r="GC76" s="7"/>
      <c r="GD76" s="7"/>
      <c r="GE76" s="7"/>
      <c r="GF76" s="7"/>
      <c r="GG76" s="7"/>
      <c r="GH76" s="42"/>
      <c r="GI76" s="6"/>
      <c r="GJ76" s="14"/>
      <c r="GK76" s="14"/>
      <c r="GL76" s="14"/>
      <c r="GM76" s="14"/>
      <c r="GO76" s="5"/>
      <c r="GP76" s="5"/>
      <c r="GQ76" s="5"/>
      <c r="GR76" s="5"/>
      <c r="GS76" s="5"/>
      <c r="GT76" s="5"/>
      <c r="GU76" s="5"/>
      <c r="GV76" s="39"/>
      <c r="GW76" s="5"/>
      <c r="GX76" s="5"/>
      <c r="GY76" s="5"/>
      <c r="GZ76" s="5"/>
      <c r="HA76" s="5"/>
      <c r="HB76" s="39"/>
      <c r="HC76" s="5"/>
      <c r="HD76" s="5"/>
      <c r="HE76" s="5"/>
      <c r="HF76" s="5"/>
      <c r="HG76" s="5"/>
      <c r="HH76" s="39"/>
      <c r="HI76" s="16"/>
      <c r="HJ76" s="1"/>
      <c r="HK76" s="1"/>
      <c r="HL76" s="1"/>
      <c r="HM76" s="19"/>
    </row>
    <row r="77" spans="1:221" s="26" customFormat="1" ht="15">
      <c r="A77" s="117"/>
      <c r="B77" s="117"/>
      <c r="C77" s="117"/>
      <c r="D77" s="117"/>
      <c r="E77" s="115"/>
      <c r="F77" s="115"/>
      <c r="G77" s="115"/>
      <c r="H77" s="115"/>
      <c r="I77" s="118"/>
      <c r="J77" s="118"/>
      <c r="K77" s="118"/>
      <c r="L77" s="118"/>
      <c r="M77" s="118"/>
      <c r="N77" s="118"/>
      <c r="O77" s="118"/>
      <c r="P77" s="118"/>
      <c r="Q77" s="30"/>
      <c r="R77" s="383"/>
      <c r="S77" s="383"/>
      <c r="T77" s="383"/>
      <c r="U77" s="383"/>
      <c r="V77" s="383"/>
      <c r="W77" s="383"/>
      <c r="X77" s="118"/>
      <c r="Y77" s="58"/>
      <c r="Z77" s="30"/>
      <c r="AA77" s="115"/>
      <c r="AB77" s="118"/>
      <c r="AC77" s="115"/>
      <c r="AD77" s="118"/>
      <c r="AE77" s="115"/>
      <c r="AF77" s="118"/>
      <c r="AG77" s="115"/>
      <c r="AH77" s="118"/>
      <c r="AI77" s="115"/>
      <c r="AJ77" s="118"/>
      <c r="AK77" s="150"/>
      <c r="AL77" s="150"/>
      <c r="AM77" s="32"/>
      <c r="AN77" s="32"/>
      <c r="AO77" s="32"/>
      <c r="AP77" s="32"/>
      <c r="AQ77" s="150"/>
      <c r="AR77" s="32"/>
      <c r="AS77" s="302"/>
      <c r="AT77" s="3"/>
      <c r="AU77" s="41"/>
      <c r="AV77" s="41"/>
      <c r="AW77" s="41"/>
      <c r="AX77" s="41"/>
      <c r="AY77" s="41"/>
      <c r="AZ77" s="41"/>
      <c r="BA77" s="3"/>
      <c r="BB77" s="128"/>
      <c r="BC77" s="128"/>
      <c r="BD77" s="1"/>
      <c r="BE77" s="1"/>
      <c r="BF77" s="1"/>
      <c r="BG77" s="1"/>
      <c r="BH77" s="1"/>
      <c r="BI77" s="1"/>
      <c r="BJ77" s="1"/>
      <c r="BK77" s="1"/>
      <c r="BL77" s="1"/>
      <c r="BM77" s="1"/>
      <c r="BN77" s="1"/>
      <c r="BO77" s="1"/>
      <c r="BP77" s="1"/>
      <c r="BQ77" s="1"/>
      <c r="BR77" s="1"/>
      <c r="BS77" s="1"/>
      <c r="BT77" s="1"/>
      <c r="BU77" s="1"/>
      <c r="BV77" s="1"/>
      <c r="BW77" s="1"/>
      <c r="BX77" s="304"/>
      <c r="BY77" s="20"/>
      <c r="BZ77" s="20"/>
      <c r="CA77" s="20"/>
      <c r="CB77" s="20"/>
      <c r="CC77" s="20"/>
      <c r="CD77" s="384"/>
      <c r="CE77" s="384"/>
      <c r="CF77" s="384"/>
      <c r="CG77" s="384"/>
      <c r="CH77" s="384"/>
      <c r="CI77" s="304"/>
      <c r="CJ77" s="16"/>
      <c r="CK77" s="1"/>
      <c r="CL77" s="1"/>
      <c r="CM77" s="1"/>
      <c r="CN77" s="1"/>
      <c r="CO77" s="1"/>
      <c r="CP77" s="304"/>
      <c r="CQ77" s="1"/>
      <c r="CR77" s="1"/>
      <c r="CS77" s="1"/>
      <c r="CT77" s="1"/>
      <c r="CU77" s="1"/>
      <c r="CV77" s="516"/>
      <c r="CW77" s="20"/>
      <c r="CX77" s="20"/>
      <c r="CY77" s="20"/>
      <c r="CZ77" s="20"/>
      <c r="DA77" s="20"/>
      <c r="DB77" s="503"/>
      <c r="DC77" s="127"/>
      <c r="DD77" s="127"/>
      <c r="DE77" s="127"/>
      <c r="DF77" s="127"/>
      <c r="DG77" s="127"/>
      <c r="DH77" s="127"/>
      <c r="DI77" s="127"/>
      <c r="DJ77" s="127"/>
      <c r="DK77" s="127"/>
      <c r="DL77" s="127"/>
      <c r="DM77" s="304"/>
      <c r="DN77" s="20"/>
      <c r="DO77" s="20"/>
      <c r="DP77" s="20"/>
      <c r="DQ77" s="20"/>
      <c r="DR77" s="20"/>
      <c r="DS77" s="20"/>
      <c r="DT77" s="20"/>
      <c r="DU77" s="20"/>
      <c r="DV77" s="20"/>
      <c r="DW77" s="20"/>
      <c r="DX77" s="20"/>
      <c r="DY77" s="7"/>
      <c r="DZ77" s="7"/>
      <c r="EA77" s="7"/>
      <c r="EB77" s="7"/>
      <c r="EC77" s="7"/>
      <c r="ED77" s="7"/>
      <c r="EE77" s="7"/>
      <c r="EF77" s="7"/>
      <c r="EG77" s="7"/>
      <c r="EH77" s="7"/>
      <c r="EI77" s="7"/>
      <c r="EJ77" s="7"/>
      <c r="EK77" s="7"/>
      <c r="EL77" s="7"/>
      <c r="EM77" s="7"/>
      <c r="EN77" s="7"/>
      <c r="EO77" s="7"/>
      <c r="EP77" s="7"/>
      <c r="EQ77" s="7"/>
      <c r="ER77" s="7"/>
      <c r="ES77" s="7"/>
      <c r="ET77" s="7"/>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7"/>
      <c r="FU77" s="7"/>
      <c r="FV77" s="7"/>
      <c r="FW77" s="6"/>
      <c r="FX77" s="6"/>
      <c r="FY77" s="6"/>
      <c r="FZ77" s="6"/>
      <c r="GA77" s="6"/>
      <c r="GB77" s="6"/>
      <c r="GC77" s="7"/>
      <c r="GD77" s="7"/>
      <c r="GE77" s="7"/>
      <c r="GF77" s="7"/>
      <c r="GG77" s="7"/>
      <c r="GH77" s="42"/>
      <c r="GI77" s="6"/>
      <c r="GJ77" s="14"/>
      <c r="GK77" s="14"/>
      <c r="GL77" s="14"/>
      <c r="GM77" s="14"/>
      <c r="GO77" s="5"/>
      <c r="GP77" s="5"/>
      <c r="GQ77" s="5"/>
      <c r="GR77" s="5"/>
      <c r="GS77" s="5"/>
      <c r="GT77" s="5"/>
      <c r="GU77" s="5"/>
      <c r="GV77" s="39"/>
      <c r="GW77" s="5"/>
      <c r="GX77" s="5"/>
      <c r="GY77" s="5"/>
      <c r="GZ77" s="5"/>
      <c r="HA77" s="5"/>
      <c r="HB77" s="39"/>
      <c r="HC77" s="5"/>
      <c r="HD77" s="5"/>
      <c r="HE77" s="5"/>
      <c r="HF77" s="5"/>
      <c r="HG77" s="5"/>
      <c r="HH77" s="39"/>
      <c r="HI77" s="16"/>
      <c r="HJ77" s="1"/>
      <c r="HK77" s="1"/>
      <c r="HL77" s="1"/>
      <c r="HM77" s="19"/>
    </row>
    <row r="78" spans="1:221" s="26" customFormat="1" ht="15">
      <c r="A78" s="117"/>
      <c r="B78" s="117"/>
      <c r="C78" s="117"/>
      <c r="D78" s="117"/>
      <c r="E78" s="115"/>
      <c r="F78" s="115"/>
      <c r="G78" s="115"/>
      <c r="H78" s="115"/>
      <c r="I78" s="118"/>
      <c r="J78" s="118"/>
      <c r="K78" s="118"/>
      <c r="L78" s="118"/>
      <c r="M78" s="118"/>
      <c r="N78" s="118"/>
      <c r="O78" s="118"/>
      <c r="P78" s="118"/>
      <c r="Q78" s="30"/>
      <c r="R78" s="383"/>
      <c r="S78" s="383"/>
      <c r="T78" s="383"/>
      <c r="U78" s="383"/>
      <c r="V78" s="383"/>
      <c r="W78" s="383"/>
      <c r="X78" s="118"/>
      <c r="Y78" s="58"/>
      <c r="Z78" s="30"/>
      <c r="AA78" s="115"/>
      <c r="AB78" s="118"/>
      <c r="AC78" s="115"/>
      <c r="AD78" s="118"/>
      <c r="AE78" s="115"/>
      <c r="AF78" s="118"/>
      <c r="AG78" s="115"/>
      <c r="AH78" s="118"/>
      <c r="AI78" s="115"/>
      <c r="AJ78" s="118"/>
      <c r="AK78" s="150"/>
      <c r="AL78" s="150"/>
      <c r="AM78" s="32"/>
      <c r="AN78" s="32"/>
      <c r="AO78" s="32"/>
      <c r="AP78" s="32"/>
      <c r="AQ78" s="150"/>
      <c r="AR78" s="32"/>
      <c r="AS78" s="302"/>
      <c r="AT78" s="3"/>
      <c r="AU78" s="41"/>
      <c r="AV78" s="41"/>
      <c r="AW78" s="41"/>
      <c r="AX78" s="41"/>
      <c r="AY78" s="41"/>
      <c r="AZ78" s="41"/>
      <c r="BA78" s="3"/>
      <c r="BB78" s="128"/>
      <c r="BC78" s="128"/>
      <c r="BD78" s="1"/>
      <c r="BE78" s="1"/>
      <c r="BF78" s="1"/>
      <c r="BG78" s="1"/>
      <c r="BH78" s="1"/>
      <c r="BI78" s="1"/>
      <c r="BJ78" s="1"/>
      <c r="BK78" s="1"/>
      <c r="BL78" s="1"/>
      <c r="BM78" s="1"/>
      <c r="BN78" s="1"/>
      <c r="BO78" s="1"/>
      <c r="BP78" s="1"/>
      <c r="BQ78" s="1"/>
      <c r="BR78" s="1"/>
      <c r="BS78" s="1"/>
      <c r="BT78" s="1"/>
      <c r="BU78" s="1"/>
      <c r="BV78" s="1"/>
      <c r="BW78" s="1"/>
      <c r="BX78" s="304"/>
      <c r="BY78" s="20"/>
      <c r="BZ78" s="20"/>
      <c r="CA78" s="20"/>
      <c r="CB78" s="20"/>
      <c r="CC78" s="20"/>
      <c r="CD78" s="384"/>
      <c r="CE78" s="384"/>
      <c r="CF78" s="384"/>
      <c r="CG78" s="384"/>
      <c r="CH78" s="384"/>
      <c r="CI78" s="304"/>
      <c r="CJ78" s="16"/>
      <c r="CK78" s="1"/>
      <c r="CL78" s="1"/>
      <c r="CM78" s="1"/>
      <c r="CN78" s="1"/>
      <c r="CO78" s="1"/>
      <c r="CP78" s="304"/>
      <c r="CQ78" s="1"/>
      <c r="CR78" s="1"/>
      <c r="CS78" s="1"/>
      <c r="CT78" s="1"/>
      <c r="CU78" s="1"/>
      <c r="CV78" s="516"/>
      <c r="CW78" s="20"/>
      <c r="CX78" s="20"/>
      <c r="CY78" s="20"/>
      <c r="CZ78" s="20"/>
      <c r="DA78" s="20"/>
      <c r="DB78" s="503"/>
      <c r="DC78" s="127"/>
      <c r="DD78" s="127"/>
      <c r="DE78" s="127"/>
      <c r="DF78" s="127"/>
      <c r="DG78" s="127"/>
      <c r="DH78" s="127"/>
      <c r="DI78" s="127"/>
      <c r="DJ78" s="127"/>
      <c r="DK78" s="127"/>
      <c r="DL78" s="127"/>
      <c r="DM78" s="304"/>
      <c r="DN78" s="20"/>
      <c r="DO78" s="20"/>
      <c r="DP78" s="20"/>
      <c r="DQ78" s="20"/>
      <c r="DR78" s="20"/>
      <c r="DS78" s="20"/>
      <c r="DT78" s="20"/>
      <c r="DU78" s="20"/>
      <c r="DV78" s="20"/>
      <c r="DW78" s="20"/>
      <c r="DX78" s="20"/>
      <c r="DY78" s="7"/>
      <c r="DZ78" s="7"/>
      <c r="EA78" s="7"/>
      <c r="EB78" s="7"/>
      <c r="EC78" s="7"/>
      <c r="ED78" s="7"/>
      <c r="EE78" s="7"/>
      <c r="EF78" s="7"/>
      <c r="EG78" s="7"/>
      <c r="EH78" s="7"/>
      <c r="EI78" s="7"/>
      <c r="EJ78" s="7"/>
      <c r="EK78" s="7"/>
      <c r="EL78" s="7"/>
      <c r="EM78" s="7"/>
      <c r="EN78" s="7"/>
      <c r="EO78" s="7"/>
      <c r="EP78" s="7"/>
      <c r="EQ78" s="7"/>
      <c r="ER78" s="7"/>
      <c r="ES78" s="7"/>
      <c r="ET78" s="7"/>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7"/>
      <c r="FU78" s="7"/>
      <c r="FV78" s="7"/>
      <c r="FW78" s="6"/>
      <c r="FX78" s="6"/>
      <c r="FY78" s="6"/>
      <c r="FZ78" s="6"/>
      <c r="GA78" s="6"/>
      <c r="GB78" s="6"/>
      <c r="GC78" s="7"/>
      <c r="GD78" s="7"/>
      <c r="GE78" s="7"/>
      <c r="GF78" s="7"/>
      <c r="GG78" s="7"/>
      <c r="GH78" s="42"/>
      <c r="GI78" s="6"/>
      <c r="GJ78" s="14"/>
      <c r="GK78" s="14"/>
      <c r="GL78" s="14"/>
      <c r="GM78" s="14"/>
      <c r="GO78" s="5"/>
      <c r="GP78" s="5"/>
      <c r="GQ78" s="5"/>
      <c r="GR78" s="5"/>
      <c r="GS78" s="5"/>
      <c r="GT78" s="5"/>
      <c r="GU78" s="5"/>
      <c r="GV78" s="39"/>
      <c r="GW78" s="5"/>
      <c r="GX78" s="5"/>
      <c r="GY78" s="5"/>
      <c r="GZ78" s="5"/>
      <c r="HA78" s="5"/>
      <c r="HB78" s="39"/>
      <c r="HC78" s="5"/>
      <c r="HD78" s="5"/>
      <c r="HE78" s="5"/>
      <c r="HF78" s="5"/>
      <c r="HG78" s="5"/>
      <c r="HH78" s="39"/>
      <c r="HI78" s="16"/>
      <c r="HJ78" s="1"/>
      <c r="HK78" s="1"/>
      <c r="HL78" s="1"/>
      <c r="HM78" s="19"/>
    </row>
    <row r="79" spans="1:221" s="26" customFormat="1" ht="15">
      <c r="A79" s="117"/>
      <c r="B79" s="117"/>
      <c r="C79" s="117"/>
      <c r="D79" s="117"/>
      <c r="E79" s="115"/>
      <c r="F79" s="115"/>
      <c r="G79" s="115"/>
      <c r="H79" s="115"/>
      <c r="I79" s="118"/>
      <c r="J79" s="118"/>
      <c r="K79" s="118"/>
      <c r="L79" s="118"/>
      <c r="M79" s="118"/>
      <c r="N79" s="118"/>
      <c r="O79" s="118"/>
      <c r="P79" s="118"/>
      <c r="Q79" s="30"/>
      <c r="R79" s="383"/>
      <c r="S79" s="383"/>
      <c r="T79" s="383"/>
      <c r="U79" s="383"/>
      <c r="V79" s="383"/>
      <c r="W79" s="383"/>
      <c r="X79" s="118"/>
      <c r="Y79" s="58"/>
      <c r="Z79" s="30"/>
      <c r="AA79" s="115"/>
      <c r="AB79" s="118"/>
      <c r="AC79" s="115"/>
      <c r="AD79" s="118"/>
      <c r="AE79" s="115"/>
      <c r="AF79" s="118"/>
      <c r="AG79" s="115"/>
      <c r="AH79" s="118"/>
      <c r="AI79" s="115"/>
      <c r="AJ79" s="118"/>
      <c r="AK79" s="150"/>
      <c r="AL79" s="150"/>
      <c r="AM79" s="32"/>
      <c r="AN79" s="32"/>
      <c r="AO79" s="32"/>
      <c r="AP79" s="32"/>
      <c r="AQ79" s="150"/>
      <c r="AR79" s="32"/>
      <c r="AS79" s="302"/>
      <c r="AT79" s="3"/>
      <c r="AU79" s="41"/>
      <c r="AV79" s="41"/>
      <c r="AW79" s="41"/>
      <c r="AX79" s="41"/>
      <c r="AY79" s="41"/>
      <c r="AZ79" s="41"/>
      <c r="BA79" s="3"/>
      <c r="BB79" s="128"/>
      <c r="BC79" s="128"/>
      <c r="BD79" s="1"/>
      <c r="BE79" s="1"/>
      <c r="BF79" s="1"/>
      <c r="BG79" s="1"/>
      <c r="BH79" s="1"/>
      <c r="BI79" s="1"/>
      <c r="BJ79" s="1"/>
      <c r="BK79" s="1"/>
      <c r="BL79" s="1"/>
      <c r="BM79" s="1"/>
      <c r="BN79" s="1"/>
      <c r="BO79" s="1"/>
      <c r="BP79" s="1"/>
      <c r="BQ79" s="1"/>
      <c r="BR79" s="1"/>
      <c r="BS79" s="1"/>
      <c r="BT79" s="1"/>
      <c r="BU79" s="1"/>
      <c r="BV79" s="1"/>
      <c r="BW79" s="1"/>
      <c r="BX79" s="304"/>
      <c r="BY79" s="20"/>
      <c r="BZ79" s="20"/>
      <c r="CA79" s="20"/>
      <c r="CB79" s="20"/>
      <c r="CC79" s="20"/>
      <c r="CD79" s="384"/>
      <c r="CE79" s="384"/>
      <c r="CF79" s="384"/>
      <c r="CG79" s="384"/>
      <c r="CH79" s="384"/>
      <c r="CI79" s="304"/>
      <c r="CJ79" s="16"/>
      <c r="CK79" s="1"/>
      <c r="CL79" s="1"/>
      <c r="CM79" s="1"/>
      <c r="CN79" s="1"/>
      <c r="CO79" s="1"/>
      <c r="CP79" s="304"/>
      <c r="CQ79" s="1"/>
      <c r="CR79" s="1"/>
      <c r="CS79" s="1"/>
      <c r="CT79" s="1"/>
      <c r="CU79" s="1"/>
      <c r="CV79" s="516"/>
      <c r="CW79" s="20"/>
      <c r="CX79" s="20"/>
      <c r="CY79" s="20"/>
      <c r="CZ79" s="20"/>
      <c r="DA79" s="20"/>
      <c r="DB79" s="503"/>
      <c r="DC79" s="127"/>
      <c r="DD79" s="127"/>
      <c r="DE79" s="127"/>
      <c r="DF79" s="127"/>
      <c r="DG79" s="127"/>
      <c r="DH79" s="127"/>
      <c r="DI79" s="127"/>
      <c r="DJ79" s="127"/>
      <c r="DK79" s="127"/>
      <c r="DL79" s="127"/>
      <c r="DM79" s="304"/>
      <c r="DN79" s="20"/>
      <c r="DO79" s="20"/>
      <c r="DP79" s="20"/>
      <c r="DQ79" s="20"/>
      <c r="DR79" s="20"/>
      <c r="DS79" s="20"/>
      <c r="DT79" s="20"/>
      <c r="DU79" s="20"/>
      <c r="DV79" s="20"/>
      <c r="DW79" s="20"/>
      <c r="DX79" s="20"/>
      <c r="DY79" s="7"/>
      <c r="DZ79" s="7"/>
      <c r="EA79" s="7"/>
      <c r="EB79" s="7"/>
      <c r="EC79" s="7"/>
      <c r="ED79" s="7"/>
      <c r="EE79" s="7"/>
      <c r="EF79" s="7"/>
      <c r="EG79" s="7"/>
      <c r="EH79" s="7"/>
      <c r="EI79" s="7"/>
      <c r="EJ79" s="7"/>
      <c r="EK79" s="7"/>
      <c r="EL79" s="7"/>
      <c r="EM79" s="7"/>
      <c r="EN79" s="7"/>
      <c r="EO79" s="7"/>
      <c r="EP79" s="7"/>
      <c r="EQ79" s="7"/>
      <c r="ER79" s="7"/>
      <c r="ES79" s="7"/>
      <c r="ET79" s="7"/>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7"/>
      <c r="FU79" s="7"/>
      <c r="FV79" s="7"/>
      <c r="FW79" s="6"/>
      <c r="FX79" s="6"/>
      <c r="FY79" s="6"/>
      <c r="FZ79" s="6"/>
      <c r="GA79" s="6"/>
      <c r="GB79" s="6"/>
      <c r="GC79" s="7"/>
      <c r="GD79" s="7"/>
      <c r="GE79" s="7"/>
      <c r="GF79" s="7"/>
      <c r="GG79" s="7"/>
      <c r="GH79" s="42"/>
      <c r="GI79" s="6"/>
      <c r="GJ79" s="14"/>
      <c r="GK79" s="14"/>
      <c r="GL79" s="14"/>
      <c r="GM79" s="14"/>
      <c r="GO79" s="5"/>
      <c r="GP79" s="5"/>
      <c r="GQ79" s="5"/>
      <c r="GR79" s="5"/>
      <c r="GS79" s="5"/>
      <c r="GT79" s="5"/>
      <c r="GU79" s="5"/>
      <c r="GV79" s="39"/>
      <c r="GW79" s="5"/>
      <c r="GX79" s="5"/>
      <c r="GY79" s="5"/>
      <c r="GZ79" s="5"/>
      <c r="HA79" s="5"/>
      <c r="HB79" s="39"/>
      <c r="HC79" s="5"/>
      <c r="HD79" s="5"/>
      <c r="HE79" s="5"/>
      <c r="HF79" s="5"/>
      <c r="HG79" s="5"/>
      <c r="HH79" s="39"/>
      <c r="HI79" s="16"/>
      <c r="HJ79" s="1"/>
      <c r="HK79" s="1"/>
      <c r="HL79" s="1"/>
      <c r="HM79" s="19"/>
    </row>
  </sheetData>
  <mergeCells count="135">
    <mergeCell ref="AT13:BB13"/>
    <mergeCell ref="BC13:CH13"/>
    <mergeCell ref="CI13:DW13"/>
    <mergeCell ref="DY13:GM13"/>
    <mergeCell ref="GO13:HH13"/>
    <mergeCell ref="HJ13:HL13"/>
    <mergeCell ref="A14:A16"/>
    <mergeCell ref="B14:B16"/>
    <mergeCell ref="C14:C16"/>
    <mergeCell ref="D14:D16"/>
    <mergeCell ref="E14:E16"/>
    <mergeCell ref="F14:F16"/>
    <mergeCell ref="G14:G16"/>
    <mergeCell ref="H14:H16"/>
    <mergeCell ref="I14:I16"/>
    <mergeCell ref="P14:P16"/>
    <mergeCell ref="Q14:Q16"/>
    <mergeCell ref="R14:R16"/>
    <mergeCell ref="S14:S16"/>
    <mergeCell ref="T14:T16"/>
    <mergeCell ref="U14:U16"/>
    <mergeCell ref="J14:J16"/>
    <mergeCell ref="K14:K16"/>
    <mergeCell ref="L14:L16"/>
    <mergeCell ref="M14:M16"/>
    <mergeCell ref="N14:N16"/>
    <mergeCell ref="O14:O16"/>
    <mergeCell ref="AB14:AB16"/>
    <mergeCell ref="AC14:AC16"/>
    <mergeCell ref="AD14:AD16"/>
    <mergeCell ref="AE14:AE16"/>
    <mergeCell ref="AF14:AF16"/>
    <mergeCell ref="AG14:AG16"/>
    <mergeCell ref="V14:V16"/>
    <mergeCell ref="W14:W16"/>
    <mergeCell ref="X14:X16"/>
    <mergeCell ref="Y14:Y16"/>
    <mergeCell ref="Z14:Z16"/>
    <mergeCell ref="AA14:AA16"/>
    <mergeCell ref="AN14:AN16"/>
    <mergeCell ref="AO14:AO16"/>
    <mergeCell ref="AP14:AP16"/>
    <mergeCell ref="AQ14:AQ16"/>
    <mergeCell ref="AR14:AR16"/>
    <mergeCell ref="AT14:AT16"/>
    <mergeCell ref="AH14:AH16"/>
    <mergeCell ref="AI14:AI16"/>
    <mergeCell ref="AJ14:AJ16"/>
    <mergeCell ref="AK14:AK16"/>
    <mergeCell ref="AL14:AL16"/>
    <mergeCell ref="AM14:AM16"/>
    <mergeCell ref="BA14:BA16"/>
    <mergeCell ref="BB14:BB16"/>
    <mergeCell ref="BD14:BM14"/>
    <mergeCell ref="BN14:BW14"/>
    <mergeCell ref="BX14:BX16"/>
    <mergeCell ref="BY14:CH14"/>
    <mergeCell ref="CD15:CH15"/>
    <mergeCell ref="AU14:AU16"/>
    <mergeCell ref="AV14:AV16"/>
    <mergeCell ref="AW14:AW16"/>
    <mergeCell ref="AX14:AX16"/>
    <mergeCell ref="AY14:AY16"/>
    <mergeCell ref="AZ14:AZ16"/>
    <mergeCell ref="BC15:BC16"/>
    <mergeCell ref="BD15:BH15"/>
    <mergeCell ref="BI15:BM15"/>
    <mergeCell ref="BN15:BR15"/>
    <mergeCell ref="BS15:BW15"/>
    <mergeCell ref="BY15:CC15"/>
    <mergeCell ref="CI14:DW14"/>
    <mergeCell ref="DY14:ET14"/>
    <mergeCell ref="EU14:EZ14"/>
    <mergeCell ref="CI15:CI16"/>
    <mergeCell ref="CJ15:CJ16"/>
    <mergeCell ref="CK15:CO15"/>
    <mergeCell ref="CP15:CP16"/>
    <mergeCell ref="CQ15:CU15"/>
    <mergeCell ref="CV15:CV16"/>
    <mergeCell ref="CW15:DA15"/>
    <mergeCell ref="DB15:DB16"/>
    <mergeCell ref="DC15:DE15"/>
    <mergeCell ref="DF15:DF16"/>
    <mergeCell ref="DG15:DG16"/>
    <mergeCell ref="DH15:DH16"/>
    <mergeCell ref="GC14:GF14"/>
    <mergeCell ref="GG14:GI14"/>
    <mergeCell ref="GJ14:GM14"/>
    <mergeCell ref="FA14:FS14"/>
    <mergeCell ref="FT14:FY14"/>
    <mergeCell ref="FZ14:GB14"/>
    <mergeCell ref="DI15:DI16"/>
    <mergeCell ref="DJ15:DJ16"/>
    <mergeCell ref="DK15:DL15"/>
    <mergeCell ref="DM15:DM16"/>
    <mergeCell ref="DN15:DR15"/>
    <mergeCell ref="DY15:DY16"/>
    <mergeCell ref="EY15:EY16"/>
    <mergeCell ref="EZ15:EZ16"/>
    <mergeCell ref="FA15:FA16"/>
    <mergeCell ref="FG15:FG16"/>
    <mergeCell ref="FM15:FM16"/>
    <mergeCell ref="FS15:FS16"/>
    <mergeCell ref="EG15:EG16"/>
    <mergeCell ref="EM15:EM16"/>
    <mergeCell ref="ES15:ES16"/>
    <mergeCell ref="ET15:ET16"/>
    <mergeCell ref="EU15:EU16"/>
    <mergeCell ref="EX15:EX16"/>
    <mergeCell ref="GL15:GL16"/>
    <mergeCell ref="GM15:GM16"/>
    <mergeCell ref="GB15:GB16"/>
    <mergeCell ref="GG15:GG16"/>
    <mergeCell ref="GH15:GH16"/>
    <mergeCell ref="GI15:GI16"/>
    <mergeCell ref="GJ15:GJ16"/>
    <mergeCell ref="GK15:GK16"/>
    <mergeCell ref="FT15:FT16"/>
    <mergeCell ref="FU15:FU16"/>
    <mergeCell ref="FV15:FV16"/>
    <mergeCell ref="FW15:FW16"/>
    <mergeCell ref="FX15:FX16"/>
    <mergeCell ref="FY15:FY16"/>
    <mergeCell ref="GO14:HH14"/>
    <mergeCell ref="GW15:HA15"/>
    <mergeCell ref="GV15:GV16"/>
    <mergeCell ref="HM15:HM16"/>
    <mergeCell ref="HJ15:HJ16"/>
    <mergeCell ref="HK15:HK16"/>
    <mergeCell ref="HL15:HL16"/>
    <mergeCell ref="GQ15:GU15"/>
    <mergeCell ref="GO15:GP15"/>
    <mergeCell ref="HB15:HB16"/>
    <mergeCell ref="HC15:HG15"/>
    <mergeCell ref="HH15:HH16"/>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57709-208B-4357-A087-2378A9A3ECD5}">
  <sheetPr codeName="Sheet11">
    <tabColor theme="3" tint="0.39997558519241921"/>
  </sheetPr>
  <dimension ref="A1:AJ205"/>
  <sheetViews>
    <sheetView showGridLines="0" topLeftCell="A124" zoomScale="70" zoomScaleNormal="70" workbookViewId="0">
      <selection activeCell="A141" sqref="A141"/>
    </sheetView>
  </sheetViews>
  <sheetFormatPr defaultRowHeight="15" outlineLevelRow="1"/>
  <cols>
    <col min="1" max="1" width="50.7109375" customWidth="1"/>
  </cols>
  <sheetData>
    <row r="1" hidden="1"/>
    <row r="2" hidden="1"/>
    <row r="3" hidden="1"/>
    <row r="4" hidden="1"/>
    <row r="5" hidden="1"/>
    <row r="6" hidden="1"/>
    <row r="7" hidden="1"/>
    <row r="8" hidden="1"/>
    <row r="9" hidden="1"/>
    <row r="10" hidden="1"/>
    <row r="11" hidden="1"/>
    <row r="12" hidden="1"/>
    <row r="13" hidden="1"/>
    <row r="14" hidden="1"/>
    <row r="15" hidden="1"/>
    <row r="16" hidden="1"/>
    <row r="17" hidden="1"/>
    <row r="18" hidden="1"/>
    <row r="19" hidden="1"/>
    <row r="20" hidden="1"/>
    <row r="21" hidden="1"/>
    <row r="22" hidden="1"/>
    <row r="23" hidden="1"/>
    <row r="24" hidden="1"/>
    <row r="25" hidden="1"/>
    <row r="26" hidden="1"/>
    <row r="27" hidden="1"/>
    <row r="28" hidden="1"/>
    <row r="29" hidden="1"/>
    <row r="30" hidden="1"/>
    <row r="31" hidden="1"/>
    <row r="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5" spans="1:36" s="58" customFormat="1" ht="12.75"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row>
    <row r="86" spans="1:36" s="26" customFormat="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row>
    <row r="87" spans="1:36" s="26" customFormat="1" outlineLevel="1">
      <c r="A87" s="561">
        <f t="shared" si="0"/>
        <v>2</v>
      </c>
      <c r="B87" s="561">
        <f t="shared" si="1"/>
        <v>2</v>
      </c>
      <c r="C87" s="561">
        <f t="shared" ref="C87:C89" si="2">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row>
    <row r="88" spans="1:36" s="26" customFormat="1" outlineLevel="1">
      <c r="A88" s="561">
        <f t="shared" si="0"/>
        <v>3</v>
      </c>
      <c r="B88" s="561">
        <f t="shared" si="1"/>
        <v>3</v>
      </c>
      <c r="C88" s="561">
        <f t="shared" si="2"/>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row>
    <row r="89" spans="1:36" s="26" customFormat="1" outlineLevel="1">
      <c r="A89" s="561">
        <f t="shared" si="0"/>
        <v>4</v>
      </c>
      <c r="B89" s="561">
        <f t="shared" si="1"/>
        <v>4</v>
      </c>
      <c r="C89" s="561">
        <f t="shared" si="2"/>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row>
    <row r="90" spans="1:36" s="56" customFormat="1" ht="14.45" customHeight="1">
      <c r="C90" s="303"/>
    </row>
    <row r="91" spans="1:36" s="56" customFormat="1" ht="14.45" customHeight="1" outlineLevel="1">
      <c r="C91" s="303"/>
    </row>
    <row r="92" spans="1:36" s="57" customFormat="1" outlineLevel="1">
      <c r="A92" s="116">
        <v>1</v>
      </c>
      <c r="B92" s="116">
        <f t="shared" ref="B92:Q93" si="3">A92+1</f>
        <v>2</v>
      </c>
      <c r="C92" s="116">
        <f t="shared" si="3"/>
        <v>3</v>
      </c>
      <c r="D92" s="116">
        <f t="shared" si="3"/>
        <v>4</v>
      </c>
      <c r="E92" s="116">
        <f t="shared" si="3"/>
        <v>5</v>
      </c>
      <c r="F92" s="116">
        <f t="shared" si="3"/>
        <v>6</v>
      </c>
      <c r="G92" s="116">
        <f t="shared" si="3"/>
        <v>7</v>
      </c>
      <c r="H92" s="116">
        <f t="shared" si="3"/>
        <v>8</v>
      </c>
      <c r="I92" s="116">
        <f t="shared" si="3"/>
        <v>9</v>
      </c>
      <c r="J92" s="116">
        <f t="shared" si="3"/>
        <v>10</v>
      </c>
      <c r="K92" s="116">
        <f t="shared" si="3"/>
        <v>11</v>
      </c>
      <c r="L92" s="116">
        <f t="shared" si="3"/>
        <v>12</v>
      </c>
      <c r="M92" s="116">
        <f t="shared" si="3"/>
        <v>13</v>
      </c>
      <c r="N92" s="116">
        <f t="shared" si="3"/>
        <v>14</v>
      </c>
      <c r="O92" s="116">
        <f t="shared" si="3"/>
        <v>15</v>
      </c>
      <c r="P92" s="116">
        <f t="shared" si="3"/>
        <v>16</v>
      </c>
      <c r="Q92" s="116">
        <f t="shared" si="3"/>
        <v>17</v>
      </c>
      <c r="R92" s="116">
        <f t="shared" ref="R92:AG93" si="4">Q92+1</f>
        <v>18</v>
      </c>
      <c r="S92" s="116">
        <f t="shared" si="4"/>
        <v>19</v>
      </c>
      <c r="T92" s="116">
        <f t="shared" si="4"/>
        <v>20</v>
      </c>
      <c r="U92" s="116">
        <f t="shared" si="4"/>
        <v>21</v>
      </c>
      <c r="V92" s="116">
        <f t="shared" si="4"/>
        <v>22</v>
      </c>
      <c r="W92" s="116">
        <f t="shared" si="4"/>
        <v>23</v>
      </c>
      <c r="X92" s="116">
        <f t="shared" si="4"/>
        <v>24</v>
      </c>
      <c r="Y92" s="116">
        <f t="shared" si="4"/>
        <v>25</v>
      </c>
      <c r="Z92" s="116">
        <f t="shared" si="4"/>
        <v>26</v>
      </c>
      <c r="AA92" s="116">
        <f t="shared" si="4"/>
        <v>27</v>
      </c>
      <c r="AB92" s="116">
        <f t="shared" si="4"/>
        <v>28</v>
      </c>
      <c r="AC92" s="116">
        <f t="shared" si="4"/>
        <v>29</v>
      </c>
      <c r="AD92" s="116">
        <f t="shared" si="4"/>
        <v>30</v>
      </c>
      <c r="AE92" s="116">
        <f t="shared" si="4"/>
        <v>31</v>
      </c>
      <c r="AF92" s="116">
        <f t="shared" si="4"/>
        <v>32</v>
      </c>
      <c r="AG92" s="116">
        <f t="shared" si="4"/>
        <v>33</v>
      </c>
      <c r="AH92" s="116">
        <f t="shared" ref="AH92:AJ92" si="5">AG92+1</f>
        <v>34</v>
      </c>
      <c r="AI92" s="116">
        <f t="shared" si="5"/>
        <v>35</v>
      </c>
      <c r="AJ92" s="116">
        <f t="shared" si="5"/>
        <v>36</v>
      </c>
    </row>
    <row r="93" spans="1:36" s="57" customFormat="1" outlineLevel="1">
      <c r="A93" s="98" t="s">
        <v>529</v>
      </c>
      <c r="D93" s="339"/>
      <c r="E93" s="57">
        <f>Input!A77</f>
        <v>77</v>
      </c>
      <c r="F93" s="57">
        <f>Input!A101</f>
        <v>101</v>
      </c>
      <c r="G93" s="57">
        <f>Input!A102</f>
        <v>102</v>
      </c>
      <c r="H93" s="57">
        <f>Input!A103</f>
        <v>103</v>
      </c>
      <c r="I93" s="57">
        <f>Input!A104</f>
        <v>104</v>
      </c>
      <c r="J93" s="57">
        <f>Input!A79</f>
        <v>79</v>
      </c>
      <c r="K93" s="57">
        <f>J93+1</f>
        <v>80</v>
      </c>
      <c r="L93" s="57">
        <f t="shared" si="3"/>
        <v>81</v>
      </c>
      <c r="M93" s="57">
        <f t="shared" si="3"/>
        <v>82</v>
      </c>
      <c r="N93" s="57">
        <f t="shared" si="3"/>
        <v>83</v>
      </c>
      <c r="O93" s="331">
        <f>Input!A84</f>
        <v>84</v>
      </c>
      <c r="P93" s="331">
        <f>Input!A85</f>
        <v>85</v>
      </c>
      <c r="Q93" s="331">
        <f>Input!A88</f>
        <v>88</v>
      </c>
      <c r="R93" s="331">
        <f t="shared" si="4"/>
        <v>89</v>
      </c>
      <c r="S93" s="331">
        <f t="shared" si="4"/>
        <v>90</v>
      </c>
      <c r="T93" s="331">
        <f t="shared" si="4"/>
        <v>91</v>
      </c>
      <c r="U93" s="331">
        <f t="shared" si="4"/>
        <v>92</v>
      </c>
      <c r="V93" s="331">
        <f t="shared" si="4"/>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row>
    <row r="94" spans="1:36" s="56" customFormat="1" ht="15.75" customHeight="1" outlineLevel="1"/>
    <row r="95" spans="1:36" s="56" customFormat="1" ht="15.75" customHeight="1"/>
    <row r="96" spans="1:36"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row>
    <row r="97" spans="1:36"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row>
    <row r="98" spans="1:36" s="71" customFormat="1" ht="13.5" customHeight="1">
      <c r="A98" s="1032" t="s">
        <v>991</v>
      </c>
      <c r="B98" s="1032" t="s">
        <v>309</v>
      </c>
      <c r="C98" s="1032" t="s">
        <v>825</v>
      </c>
      <c r="D98" s="1032" t="s">
        <v>780</v>
      </c>
      <c r="E98" s="1032" t="s">
        <v>155</v>
      </c>
      <c r="F98" s="1032" t="s">
        <v>350</v>
      </c>
      <c r="G98" s="1032" t="s">
        <v>351</v>
      </c>
      <c r="H98" s="1032" t="s">
        <v>352</v>
      </c>
      <c r="I98" s="1032" t="s">
        <v>534</v>
      </c>
      <c r="J98" s="1032" t="s">
        <v>535</v>
      </c>
      <c r="K98" s="1032" t="s">
        <v>536</v>
      </c>
      <c r="L98" s="1032" t="s">
        <v>537</v>
      </c>
      <c r="M98" s="1032" t="s">
        <v>538</v>
      </c>
      <c r="N98" s="1032" t="s">
        <v>539</v>
      </c>
      <c r="O98" s="1032" t="s">
        <v>973</v>
      </c>
      <c r="P98" s="1032" t="s">
        <v>541</v>
      </c>
      <c r="Q98" s="1032" t="s">
        <v>542</v>
      </c>
      <c r="R98" s="1032" t="s">
        <v>535</v>
      </c>
      <c r="S98" s="1032" t="s">
        <v>536</v>
      </c>
      <c r="T98" s="1032" t="s">
        <v>537</v>
      </c>
      <c r="U98" s="1032" t="s">
        <v>538</v>
      </c>
      <c r="V98" s="1032" t="s">
        <v>539</v>
      </c>
      <c r="W98" s="1032" t="s">
        <v>973</v>
      </c>
      <c r="X98" s="1032" t="s">
        <v>974</v>
      </c>
      <c r="Y98" s="1032" t="s">
        <v>346</v>
      </c>
      <c r="Z98" s="1032" t="s">
        <v>7</v>
      </c>
      <c r="AA98" s="1034" t="str">
        <f>INDEX(Input!$1:$1048576,AA$93-1,7)</f>
        <v>Misc 1: Event Purchase RBV (C, F)</v>
      </c>
      <c r="AB98" s="1032" t="s">
        <v>759</v>
      </c>
      <c r="AC98" s="1034" t="str">
        <f>INDEX(Input!$1:$1048576,AC$93-1,7)</f>
        <v>Misc 2: Event Lease Bonus (L)</v>
      </c>
      <c r="AD98" s="1032" t="s">
        <v>760</v>
      </c>
      <c r="AE98" s="1034" t="str">
        <f>INDEX(Input!$1:$1048576,AE$93-1,7)</f>
        <v>Misc 3: Stackable Bonus Cash</v>
      </c>
      <c r="AF98" s="1032" t="s">
        <v>543</v>
      </c>
      <c r="AG98" s="1034" t="str">
        <f>INDEX(Input!$1:$1048576,AG$93-1,7)</f>
        <v>Misc 4: State-Level RBC (C, F)</v>
      </c>
      <c r="AH98" s="1032" t="s">
        <v>761</v>
      </c>
      <c r="AI98" s="1034" t="str">
        <f>INDEX(Input!$1:$1048576,AI$93-1,7)</f>
        <v>Misc 5: Bonus</v>
      </c>
      <c r="AJ98" s="1036" t="s">
        <v>762</v>
      </c>
    </row>
    <row r="99" spans="1:36" s="90" customFormat="1" ht="43.15" customHeight="1">
      <c r="A99" s="1033"/>
      <c r="B99" s="1033"/>
      <c r="C99" s="1033"/>
      <c r="D99" s="1033"/>
      <c r="E99" s="1033"/>
      <c r="F99" s="1033"/>
      <c r="G99" s="1033"/>
      <c r="H99" s="1033"/>
      <c r="I99" s="1033"/>
      <c r="J99" s="1033"/>
      <c r="K99" s="1033"/>
      <c r="L99" s="1033"/>
      <c r="M99" s="1033"/>
      <c r="N99" s="1033"/>
      <c r="O99" s="1033"/>
      <c r="P99" s="1033"/>
      <c r="Q99" s="1033"/>
      <c r="R99" s="1033"/>
      <c r="S99" s="1033"/>
      <c r="T99" s="1033"/>
      <c r="U99" s="1033"/>
      <c r="V99" s="1033"/>
      <c r="W99" s="1033"/>
      <c r="X99" s="1033"/>
      <c r="Y99" s="1033"/>
      <c r="Z99" s="1033"/>
      <c r="AA99" s="1035"/>
      <c r="AB99" s="1033"/>
      <c r="AC99" s="1035"/>
      <c r="AD99" s="1033"/>
      <c r="AE99" s="1035"/>
      <c r="AF99" s="1033"/>
      <c r="AG99" s="1035"/>
      <c r="AH99" s="1033"/>
      <c r="AI99" s="1035"/>
      <c r="AJ99" s="1037"/>
    </row>
    <row r="100" spans="1:36" s="92" customFormat="1" ht="14.45" customHeight="1" thickBot="1">
      <c r="A100" s="552" t="s">
        <v>749</v>
      </c>
      <c r="B100" s="552"/>
      <c r="C100" s="552"/>
      <c r="D100" s="551"/>
      <c r="E100" s="552" t="s">
        <v>1000</v>
      </c>
      <c r="F100" s="552" t="s">
        <v>1001</v>
      </c>
      <c r="G100" s="552"/>
      <c r="H100" s="552"/>
      <c r="I100" s="552"/>
      <c r="J100" s="553"/>
      <c r="K100" s="553"/>
      <c r="L100" s="553"/>
      <c r="M100" s="553"/>
      <c r="N100" s="553"/>
      <c r="O100" s="553"/>
      <c r="P100" s="553"/>
      <c r="Q100" s="553" t="s">
        <v>999</v>
      </c>
      <c r="R100" s="553"/>
      <c r="S100" s="553"/>
      <c r="T100" s="553"/>
      <c r="U100" s="553" t="s">
        <v>994</v>
      </c>
      <c r="V100" s="553" t="s">
        <v>995</v>
      </c>
      <c r="W100" s="553"/>
      <c r="X100" s="553"/>
      <c r="Y100" s="552" t="s">
        <v>996</v>
      </c>
      <c r="Z100" s="553" t="s">
        <v>997</v>
      </c>
      <c r="AA100" s="552" t="s">
        <v>753</v>
      </c>
      <c r="AB100" s="552"/>
      <c r="AC100" s="552" t="s">
        <v>998</v>
      </c>
      <c r="AD100" s="552"/>
      <c r="AE100" s="552" t="s">
        <v>993</v>
      </c>
      <c r="AF100" s="552"/>
      <c r="AG100" s="552" t="s">
        <v>754</v>
      </c>
      <c r="AH100" s="552"/>
      <c r="AI100" s="552" t="s">
        <v>755</v>
      </c>
      <c r="AJ100" s="824"/>
    </row>
    <row r="101" spans="1:36" s="60" customFormat="1" ht="15.75" thickBot="1">
      <c r="A101" s="560" t="str">
        <f>"L1: "&amp;Input!H$77&amp;" CC, "
&amp;Input!H$92*100&amp;"/"&amp;Input!H$93*100-1&amp;"/"&amp;Input!H$93*100&amp;", "
&amp;Input!H$98&amp;" Lease, "
&amp;IF(AND(Input!H$106=0,Input!I$106=0),"",Input!H$106&amp;" BC, ")
&amp;IF(AND(Input!H$111=0,Input!I$111=0),"",Input!H$111&amp;" RBC, ")
&amp;IF(AND(Input!H$114=0,Input!I$114=0),"",Input!H$114&amp;" OLP/CBP, ")</f>
        <v xml:space="preserve">L1: 1000 CC, 0/0.9/1.9, 4103.71641577478 Lease, 1000 RBC, </v>
      </c>
      <c r="B101" s="560">
        <v>1</v>
      </c>
      <c r="C101" s="559">
        <v>1</v>
      </c>
      <c r="D101" s="560" t="s">
        <v>566</v>
      </c>
      <c r="E101" s="365">
        <f>INDEX(Input!$1:$1048576,E$93,$C101*2+MIN($B101,1)+5)</f>
        <v>1000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38">
        <f>INDEX(Input!$1:$1048576,W$93,$C101*2+MIN($B101,1)+5)</f>
        <v>3.9E-2</v>
      </c>
      <c r="X101" s="367" t="str">
        <f>INDEX(Input!$1:$1048576,X$93,$C101*2+MIN($B101,1)+5)</f>
        <v>Y</v>
      </c>
      <c r="Y101" s="49">
        <f>INDEX(Input!$1:$1048576,Y$93,$C101*2+MIN($B101,1)+5)</f>
        <v>2289</v>
      </c>
      <c r="Z101" s="584">
        <f>INDEX(Input!$1:$1048576,Z$93,$C101*2+MIN($B101,1)+5)</f>
        <v>0</v>
      </c>
      <c r="AA101" s="49">
        <f>INDEX(Input!$1:$1048576,AA$93,$C101*2+MIN($B101,1)+5)</f>
        <v>1000</v>
      </c>
      <c r="AB101" s="367">
        <f>INDEX(Input!$1:$1048576,AB$93,$C101*2+MIN($B101,1)+5)</f>
        <v>0.27</v>
      </c>
      <c r="AC101" s="49">
        <f>INDEX(Input!$1:$1048576,AC$93,$C101*2+MIN($B101,1)+5)</f>
        <v>1000</v>
      </c>
      <c r="AD101" s="367">
        <f>INDEX(Input!$1:$1048576,AD$93,$C101*2+MIN($B101,1)+5)</f>
        <v>0.27</v>
      </c>
      <c r="AE101" s="49">
        <f>INDEX(Input!$1:$1048576,AE$93,$C101*2+MIN($B101,1)+5)</f>
        <v>0</v>
      </c>
      <c r="AF101" s="367">
        <f>INDEX(Input!$1:$1048576,AF$93,$C101*2+MIN($B101,1)+5)</f>
        <v>0.38</v>
      </c>
      <c r="AG101" s="49">
        <f>INDEX(Input!$1:$1048576,AG$93,$C101*2+MIN($B101,1)+5)</f>
        <v>0</v>
      </c>
      <c r="AH101" s="367">
        <f>INDEX(Input!$1:$1048576,AH$93,$C101*2+MIN($B101,1)+5)</f>
        <v>0</v>
      </c>
      <c r="AI101" s="49">
        <f>INDEX(Input!$1:$1048576,AI$93,$C101*2+MIN($B101,1)+5)</f>
        <v>0</v>
      </c>
      <c r="AJ101" s="48">
        <f>INDEX(Input!$1:$1048576,AJ$93,$C101*2+MIN($B101,1)+5)</f>
        <v>0.27</v>
      </c>
    </row>
    <row r="102" spans="1:36" s="60" customFormat="1" ht="15.75" thickBot="1">
      <c r="A102" s="560" t="str">
        <f>"L1: "&amp;Input!I$77&amp;" CC, "
&amp;Input!I$92*100&amp;"/"&amp;Input!I$93*100-1&amp;"/"&amp;Input!I$93*100&amp;", "
&amp;Input!I$98&amp;" Lease"
&amp;IF(AND(Input!H$106=0,Input!I$106=0),"",Input!I$106&amp;" BC, ")
&amp;IF(AND(Input!H$111=0,Input!I$111=0),"",Input!I$111&amp;" RBC, ")
&amp;IF(AND(Input!H$114=0,Input!I$114=0),"",Input!I$114&amp;" OLP/CBP, ")</f>
        <v xml:space="preserve">L1: 1229 CC, 0/0.9/1.9, 3756.71641577479 Lease0 RBC, </v>
      </c>
      <c r="B102" s="560">
        <f>B101+1</f>
        <v>2</v>
      </c>
      <c r="C102" s="560">
        <f>C101</f>
        <v>1</v>
      </c>
      <c r="D102" s="560" t="s">
        <v>567</v>
      </c>
      <c r="E102" s="365">
        <f>INDEX(Input!$1:$1048576,E$93,$C102*2+MIN($B102,2)+5)</f>
        <v>1229</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1.9E-2</v>
      </c>
      <c r="W102" s="38">
        <f>INDEX(Input!$1:$1048576,W$93,$C102*2+MIN($B102,2)+5)</f>
        <v>3.9E-2</v>
      </c>
      <c r="X102" s="367" t="str">
        <f>INDEX(Input!$1:$1048576,X$93,$C102*2+MIN($B102,2)+5)</f>
        <v>Y</v>
      </c>
      <c r="Y102" s="49">
        <f>INDEX(Input!$1:$1048576,Y$93,$C102*2+MIN($B102,2)+5)</f>
        <v>1942</v>
      </c>
      <c r="Z102" s="584">
        <f>INDEX(Input!$1:$1048576,Z$93,$C102*2+MIN($B102,2)+5)</f>
        <v>0</v>
      </c>
      <c r="AA102" s="49">
        <f>INDEX(Input!$1:$1048576,AA$93,$C102*2+MIN($B102,2)+5)</f>
        <v>0</v>
      </c>
      <c r="AB102" s="367">
        <f>INDEX(Input!$1:$1048576,AB$93,$C102*2+MIN($B102,2)+5)</f>
        <v>0.27</v>
      </c>
      <c r="AC102" s="49">
        <f>INDEX(Input!$1:$1048576,AC$93,$C102*2+MIN($B102,2)+5)</f>
        <v>0</v>
      </c>
      <c r="AD102" s="367">
        <f>INDEX(Input!$1:$1048576,AD$93,$C102*2+MIN($B102,2)+5)</f>
        <v>0.27</v>
      </c>
      <c r="AE102" s="49">
        <f>INDEX(Input!$1:$1048576,AE$93,$C102*2+MIN($B102,2)+5)</f>
        <v>0</v>
      </c>
      <c r="AF102" s="367">
        <f>INDEX(Input!$1:$1048576,AF$93,$C102*2+MIN($B102,2)+5)</f>
        <v>0.38</v>
      </c>
      <c r="AG102" s="49">
        <f>INDEX(Input!$1:$1048576,AG$93,$C102*2+MIN($B102,2)+5)</f>
        <v>0</v>
      </c>
      <c r="AH102" s="367">
        <f>INDEX(Input!$1:$1048576,AH$93,$C102*2+MIN($B102,2)+5)</f>
        <v>0</v>
      </c>
      <c r="AI102" s="49">
        <f>INDEX(Input!$1:$1048576,AI$93,$C102*2+MIN($B102,2)+5)</f>
        <v>0</v>
      </c>
      <c r="AJ102" s="48">
        <f>INDEX(Input!$1:$1048576,AJ$93,$C102*2+MIN($B102,2)+5)</f>
        <v>0.27</v>
      </c>
    </row>
    <row r="103" spans="1:36" s="60" customFormat="1" ht="15.75" collapsed="1" thickBot="1">
      <c r="A103" s="815" t="str">
        <f>"L2: "&amp;Input!J$77&amp;" CC, "
&amp;Input!J$92*100&amp;"/"&amp;Input!J$93*100-1&amp;"/"&amp;Input!J$93*100&amp;", "
&amp;Input!J$98&amp;" Lease"
&amp;IF(AND(Input!J$106=0,Input!K$106=0),"",Input!J$106&amp;" BC, ")
&amp;IF(AND(Input!J$111=0,Input!K$111=0),"",Input!J$111&amp;" RBC, ")
&amp;IF(AND(Input!J$114=0,Input!K$114=0),"",Input!J$114&amp;" OLP/CBP, ")</f>
        <v xml:space="preserve">L2: 1000 CC, 0/0.9/1.9, 3383.71641577478 Lease1000 RBC, 500 OLP/CBP, </v>
      </c>
      <c r="B103" s="815">
        <v>1</v>
      </c>
      <c r="C103" s="825">
        <v>2</v>
      </c>
      <c r="D103" s="815" t="s">
        <v>566</v>
      </c>
      <c r="E103" s="816">
        <f>INDEX(Input!$1:$1048576,E$93,$C103*2+MIN($B103,1)+5)</f>
        <v>1000</v>
      </c>
      <c r="F103" s="817">
        <f>INDEX(Input!$1:$1048576,F$93,$C103*2+MIN($B103,1)+5)</f>
        <v>0</v>
      </c>
      <c r="G103" s="818">
        <f>INDEX(Input!$1:$1048576,G$93,$C103*2+MIN($B103,1)+5)</f>
        <v>0</v>
      </c>
      <c r="H103" s="818">
        <f>INDEX(Input!$1:$1048576,H$93,$C103*2+MIN($B103,1)+5)</f>
        <v>0</v>
      </c>
      <c r="I103" s="819">
        <f>INDEX(Input!$1:$1048576,I$93,$C103*2+MIN($B103,1)+5)</f>
        <v>0.7</v>
      </c>
      <c r="J103" s="819" t="str">
        <f>INDEX(Input!$1:$1048576,J$93,$C103*2+MIN($B103,1)+5)</f>
        <v>Market</v>
      </c>
      <c r="K103" s="819" t="str">
        <f>INDEX(Input!$1:$1048576,K$93,$C103*2+MIN($B103,1)+5)</f>
        <v>Market</v>
      </c>
      <c r="L103" s="819" t="str">
        <f>INDEX(Input!$1:$1048576,L$93,$C103*2+MIN($B103,1)+5)</f>
        <v>Market</v>
      </c>
      <c r="M103" s="819" t="str">
        <f>INDEX(Input!$1:$1048576,M$93,$C103*2+MIN($B103,1)+5)</f>
        <v>Market</v>
      </c>
      <c r="N103" s="819" t="str">
        <f>INDEX(Input!$1:$1048576,N$93,$C103*2+MIN($B103,1)+5)</f>
        <v>Market</v>
      </c>
      <c r="O103" s="819" t="str">
        <f>INDEX(Input!$1:$1048576,O$93,$C103*2+MIN($B103,1)+5)</f>
        <v>Market</v>
      </c>
      <c r="P103" s="819" t="str">
        <f>INDEX(Input!$1:$1048576,P$93,$C103*2+MIN($B103,1)+5)</f>
        <v>N</v>
      </c>
      <c r="Q103" s="820">
        <f>INDEX(Input!$1:$1048576,Q$93,$C103*2+MIN($B103,1)+5)</f>
        <v>0</v>
      </c>
      <c r="R103" s="821">
        <f>INDEX(Input!$1:$1048576,R$93,$C103*2+MIN($B103,1)+5)</f>
        <v>0</v>
      </c>
      <c r="S103" s="821">
        <f>INDEX(Input!$1:$1048576,S$93,$C103*2+MIN($B103,1)+5)</f>
        <v>0</v>
      </c>
      <c r="T103" s="821">
        <f>INDEX(Input!$1:$1048576,T$93,$C103*2+MIN($B103,1)+5)</f>
        <v>0</v>
      </c>
      <c r="U103" s="821">
        <f>INDEX(Input!$1:$1048576,U$93,$C103*2+MIN($B103,1)+5)</f>
        <v>0</v>
      </c>
      <c r="V103" s="821">
        <f>INDEX(Input!$1:$1048576,V$93,$C103*2+MIN($B103,1)+5)</f>
        <v>1.9E-2</v>
      </c>
      <c r="W103" s="821">
        <f>INDEX(Input!$1:$1048576,W$93,$C103*2+MIN($B103,1)+5)</f>
        <v>3.9E-2</v>
      </c>
      <c r="X103" s="819" t="str">
        <f>INDEX(Input!$1:$1048576,X$93,$C103*2+MIN($B103,1)+5)</f>
        <v>Y</v>
      </c>
      <c r="Y103" s="818">
        <f>INDEX(Input!$1:$1048576,Y$93,$C103*2+MIN($B103,1)+5)</f>
        <v>463</v>
      </c>
      <c r="Z103" s="822">
        <f>INDEX(Input!$1:$1048576,Z$93,$C103*2+MIN($B103,1)+5)</f>
        <v>0</v>
      </c>
      <c r="AA103" s="818">
        <f>INDEX(Input!$1:$1048576,AA$93,$C103*2+MIN($B103,1)+5)</f>
        <v>1000</v>
      </c>
      <c r="AB103" s="819">
        <f>INDEX(Input!$1:$1048576,AB$93,$C103*2+MIN($B103,1)+5)</f>
        <v>0.27</v>
      </c>
      <c r="AC103" s="818">
        <f>INDEX(Input!$1:$1048576,AC$93,$C103*2+MIN($B103,1)+5)</f>
        <v>1000</v>
      </c>
      <c r="AD103" s="819">
        <f>INDEX(Input!$1:$1048576,AD$93,$C103*2+MIN($B103,1)+5)</f>
        <v>0.27</v>
      </c>
      <c r="AE103" s="818">
        <f>INDEX(Input!$1:$1048576,AE$93,$C103*2+MIN($B103,1)+5)</f>
        <v>500</v>
      </c>
      <c r="AF103" s="819">
        <f>INDEX(Input!$1:$1048576,AF$93,$C103*2+MIN($B103,1)+5)</f>
        <v>4.8000000000000001E-2</v>
      </c>
      <c r="AG103" s="818">
        <f>INDEX(Input!$1:$1048576,AG$93,$C103*2+MIN($B103,1)+5)</f>
        <v>0</v>
      </c>
      <c r="AH103" s="819">
        <f>INDEX(Input!$1:$1048576,AH$93,$C103*2+MIN($B103,1)+5)</f>
        <v>0.94599999999999995</v>
      </c>
      <c r="AI103" s="818">
        <f>INDEX(Input!$1:$1048576,AI$93,$C103*2+MIN($B103,1)+5)</f>
        <v>0</v>
      </c>
      <c r="AJ103" s="823">
        <f>INDEX(Input!$1:$1048576,AJ$93,$C103*2+MIN($B103,1)+5)</f>
        <v>0.27</v>
      </c>
    </row>
    <row r="104" spans="1:36" s="60" customFormat="1" ht="15.75" thickBot="1">
      <c r="A104" s="815" t="str">
        <f>"L2: "&amp;Input!K$77&amp;" CC, "
&amp;Input!K$92*100&amp;"/"&amp;Input!K$93*100-1&amp;"/"&amp;Input!K$93*100&amp;", "
&amp;Input!K$98&amp;" Lease"
&amp;IF(AND(Input!J$106=0,Input!K$106=0),"",Input!K$106&amp;" BC, ")
&amp;IF(AND(Input!J$111=0,Input!K$111=0),"",Input!K$111&amp;" RBC, ")
&amp;IF(AND(Input!J$114=0,Input!K$114=0),"",Input!K$114&amp;" OLP/CBP, ")</f>
        <v xml:space="preserve">L2: 1269.76186645213 CC, 0/0.9/1.9, 2976.71641577478 Lease0 RBC, 0 OLP/CBP, </v>
      </c>
      <c r="B104" s="815">
        <f>B103+1</f>
        <v>2</v>
      </c>
      <c r="C104" s="815">
        <f>C103</f>
        <v>2</v>
      </c>
      <c r="D104" s="815" t="s">
        <v>567</v>
      </c>
      <c r="E104" s="816">
        <f>INDEX(Input!$1:$1048576,E$93,$C104*2+MIN($B104,2)+5)</f>
        <v>1269.7618664521319</v>
      </c>
      <c r="F104" s="818">
        <f>INDEX(Input!$1:$1048576,F$93,$C104*2+MIN($B104,2)+5)</f>
        <v>0</v>
      </c>
      <c r="G104" s="818">
        <f>INDEX(Input!$1:$1048576,G$93,$C104*2+MIN($B104,2)+5)</f>
        <v>0</v>
      </c>
      <c r="H104" s="818">
        <f>INDEX(Input!$1:$1048576,H$93,$C104*2+MIN($B104,2)+5)</f>
        <v>0</v>
      </c>
      <c r="I104" s="819">
        <f>INDEX(Input!$1:$1048576,I$93,$C104*2+MIN($B104,2)+5)</f>
        <v>0.7</v>
      </c>
      <c r="J104" s="819" t="str">
        <f>INDEX(Input!$1:$1048576,J$93,$C104*2+MIN($B104,2)+5)</f>
        <v>Market</v>
      </c>
      <c r="K104" s="819" t="str">
        <f>INDEX(Input!$1:$1048576,K$93,$C104*2+MIN($B104,2)+5)</f>
        <v>Market</v>
      </c>
      <c r="L104" s="819" t="str">
        <f>INDEX(Input!$1:$1048576,L$93,$C104*2+MIN($B104,2)+5)</f>
        <v>Market</v>
      </c>
      <c r="M104" s="819" t="str">
        <f>INDEX(Input!$1:$1048576,M$93,$C104*2+MIN($B104,2)+5)</f>
        <v>Market</v>
      </c>
      <c r="N104" s="819" t="str">
        <f>INDEX(Input!$1:$1048576,N$93,$C104*2+MIN($B104,2)+5)</f>
        <v>Market</v>
      </c>
      <c r="O104" s="819" t="str">
        <f>INDEX(Input!$1:$1048576,O$93,$C104*2+MIN($B104,2)+5)</f>
        <v>Market</v>
      </c>
      <c r="P104" s="819" t="str">
        <f>INDEX(Input!$1:$1048576,P$93,$C104*2+MIN($B104,2)+5)</f>
        <v>N</v>
      </c>
      <c r="Q104" s="820">
        <f>INDEX(Input!$1:$1048576,Q$93,$C104*2+MIN($B104,2)+5)</f>
        <v>0</v>
      </c>
      <c r="R104" s="821">
        <f>INDEX(Input!$1:$1048576,R$93,$C104*2+MIN($B104,2)+5)</f>
        <v>0</v>
      </c>
      <c r="S104" s="821">
        <f>INDEX(Input!$1:$1048576,S$93,$C104*2+MIN($B104,2)+5)</f>
        <v>0</v>
      </c>
      <c r="T104" s="821">
        <f>INDEX(Input!$1:$1048576,T$93,$C104*2+MIN($B104,2)+5)</f>
        <v>0</v>
      </c>
      <c r="U104" s="821">
        <f>INDEX(Input!$1:$1048576,U$93,$C104*2+MIN($B104,2)+5)</f>
        <v>0</v>
      </c>
      <c r="V104" s="821">
        <f>INDEX(Input!$1:$1048576,V$93,$C104*2+MIN($B104,2)+5)</f>
        <v>1.9E-2</v>
      </c>
      <c r="W104" s="821">
        <f>INDEX(Input!$1:$1048576,W$93,$C104*2+MIN($B104,2)+5)</f>
        <v>3.9E-2</v>
      </c>
      <c r="X104" s="819" t="str">
        <f>INDEX(Input!$1:$1048576,X$93,$C104*2+MIN($B104,2)+5)</f>
        <v>Y</v>
      </c>
      <c r="Y104" s="818">
        <f>INDEX(Input!$1:$1048576,Y$93,$C104*2+MIN($B104,2)+5)</f>
        <v>56</v>
      </c>
      <c r="Z104" s="822">
        <f>INDEX(Input!$1:$1048576,Z$93,$C104*2+MIN($B104,2)+5)</f>
        <v>0</v>
      </c>
      <c r="AA104" s="818">
        <f>INDEX(Input!$1:$1048576,AA$93,$C104*2+MIN($B104,2)+5)</f>
        <v>0</v>
      </c>
      <c r="AB104" s="819">
        <f>INDEX(Input!$1:$1048576,AB$93,$C104*2+MIN($B104,2)+5)</f>
        <v>0.27</v>
      </c>
      <c r="AC104" s="818">
        <f>INDEX(Input!$1:$1048576,AC$93,$C104*2+MIN($B104,2)+5)</f>
        <v>0</v>
      </c>
      <c r="AD104" s="819">
        <f>INDEX(Input!$1:$1048576,AD$93,$C104*2+MIN($B104,2)+5)</f>
        <v>0.27</v>
      </c>
      <c r="AE104" s="818">
        <f>INDEX(Input!$1:$1048576,AE$93,$C104*2+MIN($B104,2)+5)</f>
        <v>0</v>
      </c>
      <c r="AF104" s="819">
        <f>INDEX(Input!$1:$1048576,AF$93,$C104*2+MIN($B104,2)+5)</f>
        <v>4.8000000000000001E-2</v>
      </c>
      <c r="AG104" s="818">
        <f>INDEX(Input!$1:$1048576,AG$93,$C104*2+MIN($B104,2)+5)</f>
        <v>500</v>
      </c>
      <c r="AH104" s="819">
        <f>INDEX(Input!$1:$1048576,AH$93,$C104*2+MIN($B104,2)+5)</f>
        <v>0.94599999999999995</v>
      </c>
      <c r="AI104" s="818">
        <f>INDEX(Input!$1:$1048576,AI$93,$C104*2+MIN($B104,2)+5)</f>
        <v>0</v>
      </c>
      <c r="AJ104" s="823">
        <f>INDEX(Input!$1:$1048576,AJ$93,$C104*2+MIN($B104,2)+5)</f>
        <v>0.27</v>
      </c>
    </row>
    <row r="105" spans="1:36" s="60" customFormat="1" ht="15.75" thickBot="1">
      <c r="A105" s="560" t="str">
        <f>"L3: "&amp;Input!L$77&amp;" CC, "
&amp;Input!L$92*100&amp;"/"&amp;Input!L$93*100-1&amp;"/"&amp;Input!L$93*100&amp;", "
&amp;Input!L$98&amp;" Lease"
&amp;IF(AND(Input!L$106=0,Input!M$106=0),"",Input!L$106&amp;" BC, ")
&amp;IF(AND(Input!L$111=0,Input!M$111=0),"",Input!L$111&amp;" RBC, ")
&amp;IF(AND(Input!L$114=0,Input!M$114=0),"",Input!L$114&amp;" OLP/CBP, ")</f>
        <v xml:space="preserve">L3: 1000 CC, 0/0.9/1.9, 3383.71641577479 Lease1000 RBC, 500 OLP/CBP, </v>
      </c>
      <c r="B105" s="560">
        <v>1</v>
      </c>
      <c r="C105" s="559">
        <v>3</v>
      </c>
      <c r="D105" s="560" t="s">
        <v>566</v>
      </c>
      <c r="E105" s="365">
        <f>INDEX(Input!$1:$1048576,E$93,$C105*2+MIN($B105,1)+5)</f>
        <v>1000</v>
      </c>
      <c r="F105" s="366">
        <f>INDEX(Input!$1:$1048576,F$93,$C105*2+MIN($B105,1)+5)</f>
        <v>0</v>
      </c>
      <c r="G105" s="49">
        <f>INDEX(Input!$1:$1048576,G$93,$C105*2+MIN($B105,1)+5)</f>
        <v>0</v>
      </c>
      <c r="H105" s="49">
        <f>INDEX(Input!$1:$1048576,H$93,$C105*2+MIN($B105,1)+5)</f>
        <v>0</v>
      </c>
      <c r="I105" s="367">
        <f>INDEX(Input!$1:$1048576,I$93,$C105*2+MIN($B105,1)+5)</f>
        <v>0.7</v>
      </c>
      <c r="J105" s="367" t="str">
        <f>INDEX(Input!$1:$1048576,J$93,$C105*2+MIN($B105,1)+5)</f>
        <v>Market</v>
      </c>
      <c r="K105" s="367" t="str">
        <f>INDEX(Input!$1:$1048576,K$93,$C105*2+MIN($B105,1)+5)</f>
        <v>Market</v>
      </c>
      <c r="L105" s="367" t="str">
        <f>INDEX(Input!$1:$1048576,L$93,$C105*2+MIN($B105,1)+5)</f>
        <v>Market</v>
      </c>
      <c r="M105" s="367" t="str">
        <f>INDEX(Input!$1:$1048576,M$93,$C105*2+MIN($B105,1)+5)</f>
        <v>Market</v>
      </c>
      <c r="N105" s="367" t="str">
        <f>INDEX(Input!$1:$1048576,N$93,$C105*2+MIN($B105,1)+5)</f>
        <v>Market</v>
      </c>
      <c r="O105" s="367" t="str">
        <f>INDEX(Input!$1:$1048576,O$93,$C105*2+MIN($B105,1)+5)</f>
        <v>Market</v>
      </c>
      <c r="P105" s="367" t="str">
        <f>INDEX(Input!$1:$1048576,P$93,$C105*2+MIN($B105,1)+5)</f>
        <v>N</v>
      </c>
      <c r="Q105" s="47">
        <f>INDEX(Input!$1:$1048576,Q$93,$C105*2+MIN($B105,1)+5)</f>
        <v>0</v>
      </c>
      <c r="R105" s="38">
        <f>INDEX(Input!$1:$1048576,R$93,$C105*2+MIN($B105,1)+5)</f>
        <v>0</v>
      </c>
      <c r="S105" s="38">
        <f>INDEX(Input!$1:$1048576,S$93,$C105*2+MIN($B105,1)+5)</f>
        <v>0</v>
      </c>
      <c r="T105" s="38">
        <f>INDEX(Input!$1:$1048576,T$93,$C105*2+MIN($B105,1)+5)</f>
        <v>0</v>
      </c>
      <c r="U105" s="38">
        <f>INDEX(Input!$1:$1048576,U$93,$C105*2+MIN($B105,1)+5)</f>
        <v>0</v>
      </c>
      <c r="V105" s="38">
        <f>INDEX(Input!$1:$1048576,V$93,$C105*2+MIN($B105,1)+5)</f>
        <v>1.9E-2</v>
      </c>
      <c r="W105" s="38">
        <f>INDEX(Input!$1:$1048576,W$93,$C105*2+MIN($B105,1)+5)</f>
        <v>3.9E-2</v>
      </c>
      <c r="X105" s="367" t="str">
        <f>INDEX(Input!$1:$1048576,X$93,$C105*2+MIN($B105,1)+5)</f>
        <v>Y</v>
      </c>
      <c r="Y105" s="49">
        <f>INDEX(Input!$1:$1048576,Y$93,$C105*2+MIN($B105,1)+5)</f>
        <v>1962</v>
      </c>
      <c r="Z105" s="584">
        <f>INDEX(Input!$1:$1048576,Z$93,$C105*2+MIN($B105,1)+5)</f>
        <v>0</v>
      </c>
      <c r="AA105" s="49">
        <f>INDEX(Input!$1:$1048576,AA$93,$C105*2+MIN($B105,1)+5)</f>
        <v>1000</v>
      </c>
      <c r="AB105" s="367">
        <f>INDEX(Input!$1:$1048576,AB$93,$C105*2+MIN($B105,1)+5)</f>
        <v>0.27</v>
      </c>
      <c r="AC105" s="49">
        <f>INDEX(Input!$1:$1048576,AC$93,$C105*2+MIN($B105,1)+5)</f>
        <v>1000</v>
      </c>
      <c r="AD105" s="367">
        <f>INDEX(Input!$1:$1048576,AD$93,$C105*2+MIN($B105,1)+5)</f>
        <v>0.27</v>
      </c>
      <c r="AE105" s="49">
        <f>INDEX(Input!$1:$1048576,AE$93,$C105*2+MIN($B105,1)+5)</f>
        <v>500</v>
      </c>
      <c r="AF105" s="367">
        <f>INDEX(Input!$1:$1048576,AF$93,$C105*2+MIN($B105,1)+5)</f>
        <v>0.68200000000000005</v>
      </c>
      <c r="AG105" s="49">
        <f>INDEX(Input!$1:$1048576,AG$93,$C105*2+MIN($B105,1)+5)</f>
        <v>0</v>
      </c>
      <c r="AH105" s="367">
        <f>INDEX(Input!$1:$1048576,AH$93,$C105*2+MIN($B105,1)+5)</f>
        <v>1</v>
      </c>
      <c r="AI105" s="49">
        <f>INDEX(Input!$1:$1048576,AI$93,$C105*2+MIN($B105,1)+5)</f>
        <v>0</v>
      </c>
      <c r="AJ105" s="48">
        <f>INDEX(Input!$1:$1048576,AJ$93,$C105*2+MIN($B105,1)+5)</f>
        <v>0.27</v>
      </c>
    </row>
    <row r="106" spans="1:36" s="60" customFormat="1" ht="15.75" thickBot="1">
      <c r="A106" s="560" t="str">
        <f>"L3: "&amp;Input!M$77&amp;" CC, "
&amp;Input!M$92*100&amp;"/"&amp;Input!M$93*100-1&amp;"/"&amp;Input!M$93*100&amp;", "
&amp;Input!M$98&amp;" Lease"
&amp;IF(AND(Input!L$106=0,Input!M$106=0),"",Input!M$106&amp;" BC, ")
&amp;IF(AND(Input!L$111=0,Input!M$111=0),"",Input!M$111&amp;" RBC, ")
&amp;IF(AND(Input!L$114=0,Input!M$114=0),"",Input!M$114&amp;" OLP/CBP, ")</f>
        <v xml:space="preserve">L3: 1287.02360248447 CC, 0/0.9/1.9, 2976.71641577479 Lease0 RBC, 0 OLP/CBP, </v>
      </c>
      <c r="B106" s="560">
        <f>B105+1</f>
        <v>2</v>
      </c>
      <c r="C106" s="560">
        <f>C105</f>
        <v>3</v>
      </c>
      <c r="D106" s="560" t="s">
        <v>567</v>
      </c>
      <c r="E106" s="365">
        <f>INDEX(Input!$1:$1048576,E$93,$C106*2+MIN($B106,2)+5)</f>
        <v>1287.0236024844721</v>
      </c>
      <c r="F106" s="49">
        <f>INDEX(Input!$1:$1048576,F$93,$C106*2+MIN($B106,2)+5)</f>
        <v>0</v>
      </c>
      <c r="G106" s="49">
        <f>INDEX(Input!$1:$1048576,G$93,$C106*2+MIN($B106,2)+5)</f>
        <v>0</v>
      </c>
      <c r="H106" s="49">
        <f>INDEX(Input!$1:$1048576,H$93,$C106*2+MIN($B106,2)+5)</f>
        <v>0</v>
      </c>
      <c r="I106" s="367">
        <f>INDEX(Input!$1:$1048576,I$93,$C106*2+MIN($B106,2)+5)</f>
        <v>0.7</v>
      </c>
      <c r="J106" s="367" t="str">
        <f>INDEX(Input!$1:$1048576,J$93,$C106*2+MIN($B106,2)+5)</f>
        <v>Market</v>
      </c>
      <c r="K106" s="367" t="str">
        <f>INDEX(Input!$1:$1048576,K$93,$C106*2+MIN($B106,2)+5)</f>
        <v>Market</v>
      </c>
      <c r="L106" s="367" t="str">
        <f>INDEX(Input!$1:$1048576,L$93,$C106*2+MIN($B106,2)+5)</f>
        <v>Market</v>
      </c>
      <c r="M106" s="367" t="str">
        <f>INDEX(Input!$1:$1048576,M$93,$C106*2+MIN($B106,2)+5)</f>
        <v>Market</v>
      </c>
      <c r="N106" s="367" t="str">
        <f>INDEX(Input!$1:$1048576,N$93,$C106*2+MIN($B106,2)+5)</f>
        <v>Market</v>
      </c>
      <c r="O106" s="367" t="str">
        <f>INDEX(Input!$1:$1048576,O$93,$C106*2+MIN($B106,2)+5)</f>
        <v>Market</v>
      </c>
      <c r="P106" s="367" t="str">
        <f>INDEX(Input!$1:$1048576,P$93,$C106*2+MIN($B106,2)+5)</f>
        <v>N</v>
      </c>
      <c r="Q106" s="47">
        <f>INDEX(Input!$1:$1048576,Q$93,$C106*2+MIN($B106,2)+5)</f>
        <v>0</v>
      </c>
      <c r="R106" s="38">
        <f>INDEX(Input!$1:$1048576,R$93,$C106*2+MIN($B106,2)+5)</f>
        <v>0</v>
      </c>
      <c r="S106" s="38">
        <f>INDEX(Input!$1:$1048576,S$93,$C106*2+MIN($B106,2)+5)</f>
        <v>0</v>
      </c>
      <c r="T106" s="38">
        <f>INDEX(Input!$1:$1048576,T$93,$C106*2+MIN($B106,2)+5)</f>
        <v>0</v>
      </c>
      <c r="U106" s="38">
        <f>INDEX(Input!$1:$1048576,U$93,$C106*2+MIN($B106,2)+5)</f>
        <v>0</v>
      </c>
      <c r="V106" s="38">
        <f>INDEX(Input!$1:$1048576,V$93,$C106*2+MIN($B106,2)+5)</f>
        <v>1.9E-2</v>
      </c>
      <c r="W106" s="38">
        <f>INDEX(Input!$1:$1048576,W$93,$C106*2+MIN($B106,2)+5)</f>
        <v>3.9E-2</v>
      </c>
      <c r="X106" s="367" t="str">
        <f>INDEX(Input!$1:$1048576,X$93,$C106*2+MIN($B106,2)+5)</f>
        <v>Y</v>
      </c>
      <c r="Y106" s="49">
        <f>INDEX(Input!$1:$1048576,Y$93,$C106*2+MIN($B106,2)+5)</f>
        <v>1554.9999999999991</v>
      </c>
      <c r="Z106" s="584">
        <f>INDEX(Input!$1:$1048576,Z$93,$C106*2+MIN($B106,2)+5)</f>
        <v>0</v>
      </c>
      <c r="AA106" s="49">
        <f>INDEX(Input!$1:$1048576,AA$93,$C106*2+MIN($B106,2)+5)</f>
        <v>0</v>
      </c>
      <c r="AB106" s="367">
        <f>INDEX(Input!$1:$1048576,AB$93,$C106*2+MIN($B106,2)+5)</f>
        <v>0.27</v>
      </c>
      <c r="AC106" s="49">
        <f>INDEX(Input!$1:$1048576,AC$93,$C106*2+MIN($B106,2)+5)</f>
        <v>0</v>
      </c>
      <c r="AD106" s="367">
        <f>INDEX(Input!$1:$1048576,AD$93,$C106*2+MIN($B106,2)+5)</f>
        <v>0.27</v>
      </c>
      <c r="AE106" s="49">
        <f>INDEX(Input!$1:$1048576,AE$93,$C106*2+MIN($B106,2)+5)</f>
        <v>0</v>
      </c>
      <c r="AF106" s="367">
        <f>INDEX(Input!$1:$1048576,AF$93,$C106*2+MIN($B106,2)+5)</f>
        <v>0.68200000000000005</v>
      </c>
      <c r="AG106" s="49">
        <f>INDEX(Input!$1:$1048576,AG$93,$C106*2+MIN($B106,2)+5)</f>
        <v>500</v>
      </c>
      <c r="AH106" s="367">
        <f>INDEX(Input!$1:$1048576,AH$93,$C106*2+MIN($B106,2)+5)</f>
        <v>1</v>
      </c>
      <c r="AI106" s="49">
        <f>INDEX(Input!$1:$1048576,AI$93,$C106*2+MIN($B106,2)+5)</f>
        <v>0</v>
      </c>
      <c r="AJ106" s="48">
        <f>INDEX(Input!$1:$1048576,AJ$93,$C106*2+MIN($B106,2)+5)</f>
        <v>0.27</v>
      </c>
    </row>
    <row r="107" spans="1:36" s="60" customFormat="1" ht="15.75" collapsed="1" thickBot="1">
      <c r="A107" s="815" t="str">
        <f>"R1: "&amp;Input!N$77&amp;" CC, "
&amp;Input!N$92*100&amp;"/"&amp;Input!N$93*100-1&amp;"/"&amp;Input!N$93*100&amp;", "
&amp;Input!N$98&amp;" Lease"
&amp;IF(AND(Input!N$106=0,Input!O$106=0),"",Input!N$106&amp;" BC, ")
&amp;IF(AND(Input!N$111=0,Input!O$111=0),"",Input!N$111&amp;" RBC, ")
&amp;IF(AND(Input!N$114=0,Input!O$114=0),"",Input!N$114&amp;" OLP/CBP, ")</f>
        <v xml:space="preserve">R1: 1000 CC, 0/0.9/1.9, 3383.71641577479 Lease1000 RBC, 500 OLP/CBP, </v>
      </c>
      <c r="B107" s="815">
        <v>1</v>
      </c>
      <c r="C107" s="825">
        <v>4</v>
      </c>
      <c r="D107" s="815" t="s">
        <v>566</v>
      </c>
      <c r="E107" s="816">
        <f>INDEX(Input!$1:$1048576,E$93,$C107*2+MIN($B107,1)+5)</f>
        <v>1000</v>
      </c>
      <c r="F107" s="817">
        <f>INDEX(Input!$1:$1048576,F$93,$C107*2+MIN($B107,1)+5)</f>
        <v>0</v>
      </c>
      <c r="G107" s="818">
        <f>INDEX(Input!$1:$1048576,G$93,$C107*2+MIN($B107,1)+5)</f>
        <v>0</v>
      </c>
      <c r="H107" s="818">
        <f>INDEX(Input!$1:$1048576,H$93,$C107*2+MIN($B107,1)+5)</f>
        <v>0</v>
      </c>
      <c r="I107" s="819">
        <f>INDEX(Input!$1:$1048576,I$93,$C107*2+MIN($B107,1)+5)</f>
        <v>0.7</v>
      </c>
      <c r="J107" s="819" t="str">
        <f>INDEX(Input!$1:$1048576,J$93,$C107*2+MIN($B107,1)+5)</f>
        <v>Market</v>
      </c>
      <c r="K107" s="819" t="str">
        <f>INDEX(Input!$1:$1048576,K$93,$C107*2+MIN($B107,1)+5)</f>
        <v>Market</v>
      </c>
      <c r="L107" s="819" t="str">
        <f>INDEX(Input!$1:$1048576,L$93,$C107*2+MIN($B107,1)+5)</f>
        <v>Market</v>
      </c>
      <c r="M107" s="819" t="str">
        <f>INDEX(Input!$1:$1048576,M$93,$C107*2+MIN($B107,1)+5)</f>
        <v>Market</v>
      </c>
      <c r="N107" s="819" t="str">
        <f>INDEX(Input!$1:$1048576,N$93,$C107*2+MIN($B107,1)+5)</f>
        <v>Market</v>
      </c>
      <c r="O107" s="819" t="str">
        <f>INDEX(Input!$1:$1048576,O$93,$C107*2+MIN($B107,1)+5)</f>
        <v>Market</v>
      </c>
      <c r="P107" s="819" t="str">
        <f>INDEX(Input!$1:$1048576,P$93,$C107*2+MIN($B107,1)+5)</f>
        <v>N</v>
      </c>
      <c r="Q107" s="820">
        <f>INDEX(Input!$1:$1048576,Q$93,$C107*2+MIN($B107,1)+5)</f>
        <v>0</v>
      </c>
      <c r="R107" s="821">
        <f>INDEX(Input!$1:$1048576,R$93,$C107*2+MIN($B107,1)+5)</f>
        <v>0</v>
      </c>
      <c r="S107" s="821">
        <f>INDEX(Input!$1:$1048576,S$93,$C107*2+MIN($B107,1)+5)</f>
        <v>0</v>
      </c>
      <c r="T107" s="821">
        <f>INDEX(Input!$1:$1048576,T$93,$C107*2+MIN($B107,1)+5)</f>
        <v>0</v>
      </c>
      <c r="U107" s="821">
        <f>INDEX(Input!$1:$1048576,U$93,$C107*2+MIN($B107,1)+5)</f>
        <v>0</v>
      </c>
      <c r="V107" s="821">
        <f>INDEX(Input!$1:$1048576,V$93,$C107*2+MIN($B107,1)+5)</f>
        <v>1.9E-2</v>
      </c>
      <c r="W107" s="821">
        <f>INDEX(Input!$1:$1048576,W$93,$C107*2+MIN($B107,1)+5)</f>
        <v>3.9E-2</v>
      </c>
      <c r="X107" s="819" t="str">
        <f>INDEX(Input!$1:$1048576,X$93,$C107*2+MIN($B107,1)+5)</f>
        <v>Y</v>
      </c>
      <c r="Y107" s="818">
        <f>INDEX(Input!$1:$1048576,Y$93,$C107*2+MIN($B107,1)+5)</f>
        <v>-73</v>
      </c>
      <c r="Z107" s="822">
        <f>INDEX(Input!$1:$1048576,Z$93,$C107*2+MIN($B107,1)+5)</f>
        <v>0</v>
      </c>
      <c r="AA107" s="818">
        <f>INDEX(Input!$1:$1048576,AA$93,$C107*2+MIN($B107,1)+5)</f>
        <v>1000</v>
      </c>
      <c r="AB107" s="819">
        <f>INDEX(Input!$1:$1048576,AB$93,$C107*2+MIN($B107,1)+5)</f>
        <v>0.27</v>
      </c>
      <c r="AC107" s="818">
        <f>INDEX(Input!$1:$1048576,AC$93,$C107*2+MIN($B107,1)+5)</f>
        <v>1000</v>
      </c>
      <c r="AD107" s="819">
        <f>INDEX(Input!$1:$1048576,AD$93,$C107*2+MIN($B107,1)+5)</f>
        <v>0.27</v>
      </c>
      <c r="AE107" s="818">
        <f>INDEX(Input!$1:$1048576,AE$93,$C107*2+MIN($B107,1)+5)</f>
        <v>500</v>
      </c>
      <c r="AF107" s="819">
        <f>INDEX(Input!$1:$1048576,AF$93,$C107*2+MIN($B107,1)+5)</f>
        <v>1</v>
      </c>
      <c r="AG107" s="818">
        <f>INDEX(Input!$1:$1048576,AG$93,$C107*2+MIN($B107,1)+5)</f>
        <v>0</v>
      </c>
      <c r="AH107" s="819">
        <f>INDEX(Input!$1:$1048576,AH$93,$C107*2+MIN($B107,1)+5)</f>
        <v>0.83199999999999996</v>
      </c>
      <c r="AI107" s="818">
        <f>INDEX(Input!$1:$1048576,AI$93,$C107*2+MIN($B107,1)+5)</f>
        <v>0</v>
      </c>
      <c r="AJ107" s="823">
        <f>INDEX(Input!$1:$1048576,AJ$93,$C107*2+MIN($B107,1)+5)</f>
        <v>0.27</v>
      </c>
    </row>
    <row r="108" spans="1:36" s="60" customFormat="1" ht="15.75" thickBot="1">
      <c r="A108" s="815" t="str">
        <f>"R1: "&amp;Input!O$77&amp;" CC, "
&amp;Input!O$92*100&amp;"/"&amp;Input!O$93*100-1&amp;"/"&amp;Input!O$93*100&amp;", "
&amp;Input!O$98&amp;" Lease"
&amp;IF(AND(Input!N$106=0,Input!O$106=0),"",Input!O$106&amp;" BC, ")
&amp;IF(AND(Input!N$111=0,Input!O$111=0),"",Input!O$111&amp;" RBC, ")
&amp;IF(AND(Input!N$114=0,Input!O$114=0),"",Input!O$114&amp;" OLP/CBP, ")</f>
        <v xml:space="preserve">R1: 1256.83297552598 CC, 0/0.9/1.9, 2586.71641577479 Lease0 RBC, 0 OLP/CBP, </v>
      </c>
      <c r="B108" s="815">
        <f>B107+1</f>
        <v>2</v>
      </c>
      <c r="C108" s="815">
        <f>C107</f>
        <v>4</v>
      </c>
      <c r="D108" s="815" t="s">
        <v>567</v>
      </c>
      <c r="E108" s="816">
        <f>INDEX(Input!$1:$1048576,E$93,$C108*2+MIN($B108,2)+5)</f>
        <v>1256.832975525977</v>
      </c>
      <c r="F108" s="818">
        <f>INDEX(Input!$1:$1048576,F$93,$C108*2+MIN($B108,2)+5)</f>
        <v>0</v>
      </c>
      <c r="G108" s="818">
        <f>INDEX(Input!$1:$1048576,G$93,$C108*2+MIN($B108,2)+5)</f>
        <v>0</v>
      </c>
      <c r="H108" s="818">
        <f>INDEX(Input!$1:$1048576,H$93,$C108*2+MIN($B108,2)+5)</f>
        <v>0</v>
      </c>
      <c r="I108" s="819">
        <f>INDEX(Input!$1:$1048576,I$93,$C108*2+MIN($B108,2)+5)</f>
        <v>0.7</v>
      </c>
      <c r="J108" s="819" t="str">
        <f>INDEX(Input!$1:$1048576,J$93,$C108*2+MIN($B108,2)+5)</f>
        <v>Market</v>
      </c>
      <c r="K108" s="819" t="str">
        <f>INDEX(Input!$1:$1048576,K$93,$C108*2+MIN($B108,2)+5)</f>
        <v>Market</v>
      </c>
      <c r="L108" s="819" t="str">
        <f>INDEX(Input!$1:$1048576,L$93,$C108*2+MIN($B108,2)+5)</f>
        <v>Market</v>
      </c>
      <c r="M108" s="819" t="str">
        <f>INDEX(Input!$1:$1048576,M$93,$C108*2+MIN($B108,2)+5)</f>
        <v>Market</v>
      </c>
      <c r="N108" s="819" t="str">
        <f>INDEX(Input!$1:$1048576,N$93,$C108*2+MIN($B108,2)+5)</f>
        <v>Market</v>
      </c>
      <c r="O108" s="819" t="str">
        <f>INDEX(Input!$1:$1048576,O$93,$C108*2+MIN($B108,2)+5)</f>
        <v>Market</v>
      </c>
      <c r="P108" s="819" t="str">
        <f>INDEX(Input!$1:$1048576,P$93,$C108*2+MIN($B108,2)+5)</f>
        <v>N</v>
      </c>
      <c r="Q108" s="820">
        <f>INDEX(Input!$1:$1048576,Q$93,$C108*2+MIN($B108,2)+5)</f>
        <v>0</v>
      </c>
      <c r="R108" s="821">
        <f>INDEX(Input!$1:$1048576,R$93,$C108*2+MIN($B108,2)+5)</f>
        <v>0</v>
      </c>
      <c r="S108" s="821">
        <f>INDEX(Input!$1:$1048576,S$93,$C108*2+MIN($B108,2)+5)</f>
        <v>0</v>
      </c>
      <c r="T108" s="821">
        <f>INDEX(Input!$1:$1048576,T$93,$C108*2+MIN($B108,2)+5)</f>
        <v>0</v>
      </c>
      <c r="U108" s="821">
        <f>INDEX(Input!$1:$1048576,U$93,$C108*2+MIN($B108,2)+5)</f>
        <v>0</v>
      </c>
      <c r="V108" s="821">
        <f>INDEX(Input!$1:$1048576,V$93,$C108*2+MIN($B108,2)+5)</f>
        <v>1.9E-2</v>
      </c>
      <c r="W108" s="821">
        <f>INDEX(Input!$1:$1048576,W$93,$C108*2+MIN($B108,2)+5)</f>
        <v>3.9E-2</v>
      </c>
      <c r="X108" s="819" t="str">
        <f>INDEX(Input!$1:$1048576,X$93,$C108*2+MIN($B108,2)+5)</f>
        <v>Y</v>
      </c>
      <c r="Y108" s="818">
        <f>INDEX(Input!$1:$1048576,Y$93,$C108*2+MIN($B108,2)+5)</f>
        <v>-870</v>
      </c>
      <c r="Z108" s="822">
        <f>INDEX(Input!$1:$1048576,Z$93,$C108*2+MIN($B108,2)+5)</f>
        <v>0</v>
      </c>
      <c r="AA108" s="818">
        <f>INDEX(Input!$1:$1048576,AA$93,$C108*2+MIN($B108,2)+5)</f>
        <v>0</v>
      </c>
      <c r="AB108" s="819">
        <f>INDEX(Input!$1:$1048576,AB$93,$C108*2+MIN($B108,2)+5)</f>
        <v>0.27</v>
      </c>
      <c r="AC108" s="818">
        <f>INDEX(Input!$1:$1048576,AC$93,$C108*2+MIN($B108,2)+5)</f>
        <v>0</v>
      </c>
      <c r="AD108" s="819">
        <f>INDEX(Input!$1:$1048576,AD$93,$C108*2+MIN($B108,2)+5)</f>
        <v>0.27</v>
      </c>
      <c r="AE108" s="818">
        <f>INDEX(Input!$1:$1048576,AE$93,$C108*2+MIN($B108,2)+5)</f>
        <v>0</v>
      </c>
      <c r="AF108" s="819">
        <f>INDEX(Input!$1:$1048576,AF$93,$C108*2+MIN($B108,2)+5)</f>
        <v>1</v>
      </c>
      <c r="AG108" s="818">
        <f>INDEX(Input!$1:$1048576,AG$93,$C108*2+MIN($B108,2)+5)</f>
        <v>500</v>
      </c>
      <c r="AH108" s="819">
        <f>INDEX(Input!$1:$1048576,AH$93,$C108*2+MIN($B108,2)+5)</f>
        <v>0.83199999999999996</v>
      </c>
      <c r="AI108" s="818">
        <f>INDEX(Input!$1:$1048576,AI$93,$C108*2+MIN($B108,2)+5)</f>
        <v>0</v>
      </c>
      <c r="AJ108" s="823">
        <f>INDEX(Input!$1:$1048576,AJ$93,$C108*2+MIN($B108,2)+5)</f>
        <v>0.27</v>
      </c>
    </row>
    <row r="109" spans="1:36" s="60" customFormat="1" ht="15.75" thickBot="1">
      <c r="A109" s="560" t="str">
        <f>"R2: "&amp;Input!P$77&amp;" CC, "
&amp;Input!P$92*100&amp;"/"&amp;Input!P$93*100-1&amp;"/"&amp;Input!P$93*100&amp;", "
&amp;Input!P$98&amp;" Lease"
&amp;IF(AND(Input!P$106=0,Input!Q$106=0),"",Input!P$106&amp;" BC, ")
&amp;IF(AND(Input!P$111=0,Input!Q$111=0),"",Input!P$111&amp;" RBC, ")
&amp;IF(AND(Input!P$114=0,Input!Q$114=0),"",Input!P$114&amp;" OLP/CBP, ")</f>
        <v xml:space="preserve">R2: 1000 CC, 0/0.9/1.9, 3383.71641577479 Lease1000 RBC, </v>
      </c>
      <c r="B109" s="560">
        <v>1</v>
      </c>
      <c r="C109" s="559">
        <v>5</v>
      </c>
      <c r="D109" s="560" t="s">
        <v>566</v>
      </c>
      <c r="E109" s="365">
        <f>INDEX(Input!$1:$1048576,E$93,$C109*2+MIN($B109,1)+5)</f>
        <v>1000</v>
      </c>
      <c r="F109" s="366">
        <f>INDEX(Input!$1:$1048576,F$93,$C109*2+MIN($B109,1)+5)</f>
        <v>0</v>
      </c>
      <c r="G109" s="49">
        <f>INDEX(Input!$1:$1048576,G$93,$C109*2+MIN($B109,1)+5)</f>
        <v>0</v>
      </c>
      <c r="H109" s="49">
        <f>INDEX(Input!$1:$1048576,H$93,$C109*2+MIN($B109,1)+5)</f>
        <v>0</v>
      </c>
      <c r="I109" s="367">
        <f>INDEX(Input!$1:$1048576,I$93,$C109*2+MIN($B109,1)+5)</f>
        <v>0.7</v>
      </c>
      <c r="J109" s="367" t="str">
        <f>INDEX(Input!$1:$1048576,J$93,$C109*2+MIN($B109,1)+5)</f>
        <v>Market</v>
      </c>
      <c r="K109" s="367" t="str">
        <f>INDEX(Input!$1:$1048576,K$93,$C109*2+MIN($B109,1)+5)</f>
        <v>Market</v>
      </c>
      <c r="L109" s="367" t="str">
        <f>INDEX(Input!$1:$1048576,L$93,$C109*2+MIN($B109,1)+5)</f>
        <v>Market</v>
      </c>
      <c r="M109" s="367" t="str">
        <f>INDEX(Input!$1:$1048576,M$93,$C109*2+MIN($B109,1)+5)</f>
        <v>Market</v>
      </c>
      <c r="N109" s="367" t="str">
        <f>INDEX(Input!$1:$1048576,N$93,$C109*2+MIN($B109,1)+5)</f>
        <v>Market</v>
      </c>
      <c r="O109" s="367" t="str">
        <f>INDEX(Input!$1:$1048576,O$93,$C109*2+MIN($B109,1)+5)</f>
        <v>Market</v>
      </c>
      <c r="P109" s="367" t="str">
        <f>INDEX(Input!$1:$1048576,P$93,$C109*2+MIN($B109,1)+5)</f>
        <v>N</v>
      </c>
      <c r="Q109" s="47">
        <f>INDEX(Input!$1:$1048576,Q$93,$C109*2+MIN($B109,1)+5)</f>
        <v>0</v>
      </c>
      <c r="R109" s="38">
        <f>INDEX(Input!$1:$1048576,R$93,$C109*2+MIN($B109,1)+5)</f>
        <v>0</v>
      </c>
      <c r="S109" s="38">
        <f>INDEX(Input!$1:$1048576,S$93,$C109*2+MIN($B109,1)+5)</f>
        <v>0</v>
      </c>
      <c r="T109" s="38">
        <f>INDEX(Input!$1:$1048576,T$93,$C109*2+MIN($B109,1)+5)</f>
        <v>0</v>
      </c>
      <c r="U109" s="38">
        <f>INDEX(Input!$1:$1048576,U$93,$C109*2+MIN($B109,1)+5)</f>
        <v>0</v>
      </c>
      <c r="V109" s="38">
        <f>INDEX(Input!$1:$1048576,V$93,$C109*2+MIN($B109,1)+5)</f>
        <v>1.9E-2</v>
      </c>
      <c r="W109" s="38">
        <f>INDEX(Input!$1:$1048576,W$93,$C109*2+MIN($B109,1)+5)</f>
        <v>3.9E-2</v>
      </c>
      <c r="X109" s="367" t="str">
        <f>INDEX(Input!$1:$1048576,X$93,$C109*2+MIN($B109,1)+5)</f>
        <v>Y</v>
      </c>
      <c r="Y109" s="49">
        <f>INDEX(Input!$1:$1048576,Y$93,$C109*2+MIN($B109,1)+5)</f>
        <v>79.063582607477429</v>
      </c>
      <c r="Z109" s="584">
        <f>INDEX(Input!$1:$1048576,Z$93,$C109*2+MIN($B109,1)+5)</f>
        <v>0</v>
      </c>
      <c r="AA109" s="49">
        <f>INDEX(Input!$1:$1048576,AA$93,$C109*2+MIN($B109,1)+5)</f>
        <v>1000</v>
      </c>
      <c r="AB109" s="367">
        <f>INDEX(Input!$1:$1048576,AB$93,$C109*2+MIN($B109,1)+5)</f>
        <v>0.27</v>
      </c>
      <c r="AC109" s="49">
        <f>INDEX(Input!$1:$1048576,AC$93,$C109*2+MIN($B109,1)+5)</f>
        <v>1000</v>
      </c>
      <c r="AD109" s="367">
        <f>INDEX(Input!$1:$1048576,AD$93,$C109*2+MIN($B109,1)+5)</f>
        <v>0.27</v>
      </c>
      <c r="AE109" s="49">
        <f>INDEX(Input!$1:$1048576,AE$93,$C109*2+MIN($B109,1)+5)</f>
        <v>0</v>
      </c>
      <c r="AF109" s="367">
        <f>INDEX(Input!$1:$1048576,AF$93,$C109*2+MIN($B109,1)+5)</f>
        <v>0.2</v>
      </c>
      <c r="AG109" s="49">
        <f>INDEX(Input!$1:$1048576,AG$93,$C109*2+MIN($B109,1)+5)</f>
        <v>0</v>
      </c>
      <c r="AH109" s="367">
        <f>INDEX(Input!$1:$1048576,AH$93,$C109*2+MIN($B109,1)+5)</f>
        <v>1</v>
      </c>
      <c r="AI109" s="49">
        <f>INDEX(Input!$1:$1048576,AI$93,$C109*2+MIN($B109,1)+5)</f>
        <v>0</v>
      </c>
      <c r="AJ109" s="48">
        <f>INDEX(Input!$1:$1048576,AJ$93,$C109*2+MIN($B109,1)+5)</f>
        <v>0.27</v>
      </c>
    </row>
    <row r="110" spans="1:36" s="60" customFormat="1" ht="15.75" thickBot="1">
      <c r="A110" s="560" t="str">
        <f>"R2: "&amp;Input!Q$77&amp;" CC, "
&amp;Input!Q$92*100&amp;"/"&amp;Input!Q$93*100-1&amp;"/"&amp;Input!Q$93*100&amp;", "
&amp;Input!Q$98&amp;" Lease"
&amp;IF(AND(Input!P$106=0,Input!Q$106=0),"",Input!Q$106&amp;" BC, ")
&amp;IF(AND(Input!P$111=0,Input!Q$111=0),"",Input!Q$111&amp;" RBC, ")
&amp;IF(AND(Input!P$114=0,Input!Q$114=0),"",Input!Q$114&amp;" OLP/CBP, ")</f>
        <v xml:space="preserve">R2: 1277.42630937881 CC, 0/0.9/1.9, 2586.71641577479 Lease0 RBC, </v>
      </c>
      <c r="B110" s="560">
        <f>B109+1</f>
        <v>2</v>
      </c>
      <c r="C110" s="560">
        <f>C109</f>
        <v>5</v>
      </c>
      <c r="D110" s="560" t="s">
        <v>567</v>
      </c>
      <c r="E110" s="365">
        <f>INDEX(Input!$1:$1048576,E$93,$C110*2+MIN($B110,2)+5)</f>
        <v>1277.4263093788063</v>
      </c>
      <c r="F110" s="49">
        <f>INDEX(Input!$1:$1048576,F$93,$C110*2+MIN($B110,2)+5)</f>
        <v>0</v>
      </c>
      <c r="G110" s="49">
        <f>INDEX(Input!$1:$1048576,G$93,$C110*2+MIN($B110,2)+5)</f>
        <v>0</v>
      </c>
      <c r="H110" s="49">
        <f>INDEX(Input!$1:$1048576,H$93,$C110*2+MIN($B110,2)+5)</f>
        <v>0</v>
      </c>
      <c r="I110" s="367">
        <f>INDEX(Input!$1:$1048576,I$93,$C110*2+MIN($B110,2)+5)</f>
        <v>0.7</v>
      </c>
      <c r="J110" s="367" t="str">
        <f>INDEX(Input!$1:$1048576,J$93,$C110*2+MIN($B110,2)+5)</f>
        <v>Market</v>
      </c>
      <c r="K110" s="367" t="str">
        <f>INDEX(Input!$1:$1048576,K$93,$C110*2+MIN($B110,2)+5)</f>
        <v>Market</v>
      </c>
      <c r="L110" s="367" t="str">
        <f>INDEX(Input!$1:$1048576,L$93,$C110*2+MIN($B110,2)+5)</f>
        <v>Market</v>
      </c>
      <c r="M110" s="367" t="str">
        <f>INDEX(Input!$1:$1048576,M$93,$C110*2+MIN($B110,2)+5)</f>
        <v>Market</v>
      </c>
      <c r="N110" s="367" t="str">
        <f>INDEX(Input!$1:$1048576,N$93,$C110*2+MIN($B110,2)+5)</f>
        <v>Market</v>
      </c>
      <c r="O110" s="367" t="str">
        <f>INDEX(Input!$1:$1048576,O$93,$C110*2+MIN($B110,2)+5)</f>
        <v>Market</v>
      </c>
      <c r="P110" s="367" t="str">
        <f>INDEX(Input!$1:$1048576,P$93,$C110*2+MIN($B110,2)+5)</f>
        <v>N</v>
      </c>
      <c r="Q110" s="47">
        <f>INDEX(Input!$1:$1048576,Q$93,$C110*2+MIN($B110,2)+5)</f>
        <v>0</v>
      </c>
      <c r="R110" s="38">
        <f>INDEX(Input!$1:$1048576,R$93,$C110*2+MIN($B110,2)+5)</f>
        <v>0</v>
      </c>
      <c r="S110" s="38">
        <f>INDEX(Input!$1:$1048576,S$93,$C110*2+MIN($B110,2)+5)</f>
        <v>0</v>
      </c>
      <c r="T110" s="38">
        <f>INDEX(Input!$1:$1048576,T$93,$C110*2+MIN($B110,2)+5)</f>
        <v>0</v>
      </c>
      <c r="U110" s="38">
        <f>INDEX(Input!$1:$1048576,U$93,$C110*2+MIN($B110,2)+5)</f>
        <v>0</v>
      </c>
      <c r="V110" s="38">
        <f>INDEX(Input!$1:$1048576,V$93,$C110*2+MIN($B110,2)+5)</f>
        <v>1.9E-2</v>
      </c>
      <c r="W110" s="38">
        <f>INDEX(Input!$1:$1048576,W$93,$C110*2+MIN($B110,2)+5)</f>
        <v>3.9E-2</v>
      </c>
      <c r="X110" s="367" t="str">
        <f>INDEX(Input!$1:$1048576,X$93,$C110*2+MIN($B110,2)+5)</f>
        <v>Y</v>
      </c>
      <c r="Y110" s="49">
        <f>INDEX(Input!$1:$1048576,Y$93,$C110*2+MIN($B110,2)+5)</f>
        <v>-717.93641739252325</v>
      </c>
      <c r="Z110" s="584">
        <f>INDEX(Input!$1:$1048576,Z$93,$C110*2+MIN($B110,2)+5)</f>
        <v>0</v>
      </c>
      <c r="AA110" s="49">
        <f>INDEX(Input!$1:$1048576,AA$93,$C110*2+MIN($B110,2)+5)</f>
        <v>0</v>
      </c>
      <c r="AB110" s="367">
        <f>INDEX(Input!$1:$1048576,AB$93,$C110*2+MIN($B110,2)+5)</f>
        <v>0.27</v>
      </c>
      <c r="AC110" s="49">
        <f>INDEX(Input!$1:$1048576,AC$93,$C110*2+MIN($B110,2)+5)</f>
        <v>0</v>
      </c>
      <c r="AD110" s="367">
        <f>INDEX(Input!$1:$1048576,AD$93,$C110*2+MIN($B110,2)+5)</f>
        <v>0.27</v>
      </c>
      <c r="AE110" s="49">
        <f>INDEX(Input!$1:$1048576,AE$93,$C110*2+MIN($B110,2)+5)</f>
        <v>0</v>
      </c>
      <c r="AF110" s="367">
        <f>INDEX(Input!$1:$1048576,AF$93,$C110*2+MIN($B110,2)+5)</f>
        <v>0.2</v>
      </c>
      <c r="AG110" s="49">
        <f>INDEX(Input!$1:$1048576,AG$93,$C110*2+MIN($B110,2)+5)</f>
        <v>500</v>
      </c>
      <c r="AH110" s="367">
        <f>INDEX(Input!$1:$1048576,AH$93,$C110*2+MIN($B110,2)+5)</f>
        <v>1</v>
      </c>
      <c r="AI110" s="49">
        <f>INDEX(Input!$1:$1048576,AI$93,$C110*2+MIN($B110,2)+5)</f>
        <v>0</v>
      </c>
      <c r="AJ110" s="48">
        <f>INDEX(Input!$1:$1048576,AJ$93,$C110*2+MIN($B110,2)+5)</f>
        <v>0.27</v>
      </c>
    </row>
    <row r="111" spans="1:36" s="60" customFormat="1" ht="15.75" collapsed="1" thickBot="1">
      <c r="A111" s="815" t="str">
        <f>"National: "&amp;Input!N$77&amp;" CC, "
&amp;Input!N$92*100&amp;"/"&amp;Input!N$93*100-1&amp;"/"&amp;Input!N$93*100&amp;", "
&amp;Input!N$98&amp;" Lease"
&amp;IF(AND(Input!N$106=0,Input!O$106=0),"",Input!N$106&amp;" BC, ")
&amp;IF(AND(Input!N$111=0,Input!O$111=0),"",Input!N$111&amp;" RBC, ")
&amp;IF(AND(Input!N$114=0,Input!O$114=0),"",Input!N$114&amp;" OLP/CBP, ")</f>
        <v xml:space="preserve">National: 1000 CC, 0/0.9/1.9, 3383.71641577479 Lease1000 RBC, 500 OLP/CBP, </v>
      </c>
      <c r="B111" s="815">
        <v>1</v>
      </c>
      <c r="C111" s="825">
        <v>6</v>
      </c>
      <c r="D111" s="815" t="s">
        <v>566</v>
      </c>
      <c r="E111" s="816">
        <f>INDEX(Input!$1:$1048576,E$93,$C111*2+MIN($B111,1)+5)</f>
        <v>1000.0000000000002</v>
      </c>
      <c r="F111" s="817">
        <f>INDEX(Input!$1:$1048576,F$93,$C111*2+MIN($B111,1)+5)</f>
        <v>0</v>
      </c>
      <c r="G111" s="818">
        <f>INDEX(Input!$1:$1048576,G$93,$C111*2+MIN($B111,1)+5)</f>
        <v>0</v>
      </c>
      <c r="H111" s="818">
        <f>INDEX(Input!$1:$1048576,H$93,$C111*2+MIN($B111,1)+5)</f>
        <v>0</v>
      </c>
      <c r="I111" s="819">
        <f>INDEX(Input!$1:$1048576,I$93,$C111*2+MIN($B111,1)+5)</f>
        <v>0.7</v>
      </c>
      <c r="J111" s="819" t="str">
        <f>INDEX(Input!$1:$1048576,J$93,$C111*2+MIN($B111,1)+5)</f>
        <v>Market</v>
      </c>
      <c r="K111" s="819" t="str">
        <f>INDEX(Input!$1:$1048576,K$93,$C111*2+MIN($B111,1)+5)</f>
        <v>Market</v>
      </c>
      <c r="L111" s="819" t="str">
        <f>INDEX(Input!$1:$1048576,L$93,$C111*2+MIN($B111,1)+5)</f>
        <v>Market</v>
      </c>
      <c r="M111" s="819" t="str">
        <f>INDEX(Input!$1:$1048576,M$93,$C111*2+MIN($B111,1)+5)</f>
        <v>Market</v>
      </c>
      <c r="N111" s="819" t="str">
        <f>INDEX(Input!$1:$1048576,N$93,$C111*2+MIN($B111,1)+5)</f>
        <v>Market</v>
      </c>
      <c r="O111" s="819" t="str">
        <f>INDEX(Input!$1:$1048576,O$93,$C111*2+MIN($B111,1)+5)</f>
        <v>Market</v>
      </c>
      <c r="P111" s="819" t="str">
        <f>INDEX(Input!$1:$1048576,P$93,$C111*2+MIN($B111,1)+5)</f>
        <v>N</v>
      </c>
      <c r="Q111" s="820">
        <f>INDEX(Input!$1:$1048576,Q$93,$C111*2+MIN($B111,1)+5)</f>
        <v>0</v>
      </c>
      <c r="R111" s="821">
        <f>INDEX(Input!$1:$1048576,R$93,$C111*2+MIN($B111,1)+5)</f>
        <v>0</v>
      </c>
      <c r="S111" s="821">
        <f>INDEX(Input!$1:$1048576,S$93,$C111*2+MIN($B111,1)+5)</f>
        <v>0</v>
      </c>
      <c r="T111" s="821">
        <f>INDEX(Input!$1:$1048576,T$93,$C111*2+MIN($B111,1)+5)</f>
        <v>0</v>
      </c>
      <c r="U111" s="821">
        <f>INDEX(Input!$1:$1048576,U$93,$C111*2+MIN($B111,1)+5)</f>
        <v>0</v>
      </c>
      <c r="V111" s="821">
        <f>INDEX(Input!$1:$1048576,V$93,$C111*2+MIN($B111,1)+5)</f>
        <v>1.9E-2</v>
      </c>
      <c r="W111" s="821">
        <f>INDEX(Input!$1:$1048576,W$93,$C111*2+MIN($B111,1)+5)</f>
        <v>3.9E-2</v>
      </c>
      <c r="X111" s="819" t="str">
        <f>INDEX(Input!$1:$1048576,X$93,$C111*2+MIN($B111,1)+5)</f>
        <v>Y</v>
      </c>
      <c r="Y111" s="818">
        <f>INDEX(Input!$1:$1048576,Y$93,$C111*2+MIN($B111,1)+5)</f>
        <v>1216.1623510528204</v>
      </c>
      <c r="Z111" s="822">
        <f>INDEX(Input!$1:$1048576,Z$93,$C111*2+MIN($B111,1)+5)</f>
        <v>0</v>
      </c>
      <c r="AA111" s="818">
        <f>INDEX(Input!$1:$1048576,AA$93,$C111*2+MIN($B111,1)+5)</f>
        <v>1000</v>
      </c>
      <c r="AB111" s="819">
        <f>INDEX(Input!$1:$1048576,AB$93,$C111*2+MIN($B111,1)+5)</f>
        <v>0.27</v>
      </c>
      <c r="AC111" s="818">
        <f>INDEX(Input!$1:$1048576,AC$93,$C111*2+MIN($B111,1)+5)</f>
        <v>1000</v>
      </c>
      <c r="AD111" s="819">
        <f>INDEX(Input!$1:$1048576,AD$93,$C111*2+MIN($B111,1)+5)</f>
        <v>0.27</v>
      </c>
      <c r="AE111" s="818">
        <f>INDEX(Input!$1:$1048576,AE$93,$C111*2+MIN($B111,1)+5)</f>
        <v>0</v>
      </c>
      <c r="AF111" s="819">
        <f>INDEX(Input!$1:$1048576,AF$93,$C111*2+MIN($B111,1)+5)</f>
        <v>1</v>
      </c>
      <c r="AG111" s="818">
        <f>INDEX(Input!$1:$1048576,AG$93,$C111*2+MIN($B111,1)+5)</f>
        <v>0</v>
      </c>
      <c r="AH111" s="819">
        <f>INDEX(Input!$1:$1048576,AH$93,$C111*2+MIN($B111,1)+5)</f>
        <v>1</v>
      </c>
      <c r="AI111" s="818">
        <f>INDEX(Input!$1:$1048576,AI$93,$C111*2+MIN($B111,1)+5)</f>
        <v>0</v>
      </c>
      <c r="AJ111" s="823">
        <f>INDEX(Input!$1:$1048576,AJ$93,$C111*2+MIN($B111,1)+5)</f>
        <v>0.27</v>
      </c>
    </row>
    <row r="112" spans="1:36" s="60" customFormat="1" ht="15.75" thickBot="1">
      <c r="A112" s="815" t="str">
        <f>"National: "&amp;Input!O$77&amp;" CC, "
&amp;Input!O$92*100&amp;"/"&amp;Input!O$93*100-1&amp;"/"&amp;Input!O$93*100&amp;", "
&amp;Input!O$98&amp;" Lease"
&amp;IF(AND(Input!N$106=0,Input!O$106=0),"",Input!O$106&amp;" BC, ")
&amp;IF(AND(Input!N$111=0,Input!O$111=0),"",Input!O$111&amp;" RBC, ")
&amp;IF(AND(Input!N$114=0,Input!O$114=0),"",Input!O$114&amp;" OLP/CBP, ")</f>
        <v xml:space="preserve">National: 1256.83297552598 CC, 0/0.9/1.9, 2586.71641577479 Lease0 RBC, 0 OLP/CBP, </v>
      </c>
      <c r="B112" s="815">
        <f>B111+1</f>
        <v>2</v>
      </c>
      <c r="C112" s="815">
        <f>C111</f>
        <v>6</v>
      </c>
      <c r="D112" s="815" t="s">
        <v>567</v>
      </c>
      <c r="E112" s="816">
        <f>INDEX(Input!$1:$1048576,E$93,$C112*2+MIN($B112,2)+5)</f>
        <v>1267.2644913000609</v>
      </c>
      <c r="F112" s="818">
        <f>INDEX(Input!$1:$1048576,F$93,$C112*2+MIN($B112,2)+5)</f>
        <v>0</v>
      </c>
      <c r="G112" s="818">
        <f>INDEX(Input!$1:$1048576,G$93,$C112*2+MIN($B112,2)+5)</f>
        <v>0</v>
      </c>
      <c r="H112" s="818">
        <f>INDEX(Input!$1:$1048576,H$93,$C112*2+MIN($B112,2)+5)</f>
        <v>0</v>
      </c>
      <c r="I112" s="819">
        <f>INDEX(Input!$1:$1048576,I$93,$C112*2+MIN($B112,2)+5)</f>
        <v>0.7</v>
      </c>
      <c r="J112" s="819" t="str">
        <f>INDEX(Input!$1:$1048576,J$93,$C112*2+MIN($B112,2)+5)</f>
        <v>Market</v>
      </c>
      <c r="K112" s="819" t="str">
        <f>INDEX(Input!$1:$1048576,K$93,$C112*2+MIN($B112,2)+5)</f>
        <v>Market</v>
      </c>
      <c r="L112" s="819" t="str">
        <f>INDEX(Input!$1:$1048576,L$93,$C112*2+MIN($B112,2)+5)</f>
        <v>Market</v>
      </c>
      <c r="M112" s="819" t="str">
        <f>INDEX(Input!$1:$1048576,M$93,$C112*2+MIN($B112,2)+5)</f>
        <v>Market</v>
      </c>
      <c r="N112" s="819" t="str">
        <f>INDEX(Input!$1:$1048576,N$93,$C112*2+MIN($B112,2)+5)</f>
        <v>Market</v>
      </c>
      <c r="O112" s="819" t="str">
        <f>INDEX(Input!$1:$1048576,O$93,$C112*2+MIN($B112,2)+5)</f>
        <v>Market</v>
      </c>
      <c r="P112" s="819" t="str">
        <f>INDEX(Input!$1:$1048576,P$93,$C112*2+MIN($B112,2)+5)</f>
        <v>N</v>
      </c>
      <c r="Q112" s="820">
        <f>INDEX(Input!$1:$1048576,Q$93,$C112*2+MIN($B112,2)+5)</f>
        <v>0</v>
      </c>
      <c r="R112" s="821">
        <f>INDEX(Input!$1:$1048576,R$93,$C112*2+MIN($B112,2)+5)</f>
        <v>0</v>
      </c>
      <c r="S112" s="821">
        <f>INDEX(Input!$1:$1048576,S$93,$C112*2+MIN($B112,2)+5)</f>
        <v>0</v>
      </c>
      <c r="T112" s="821">
        <f>INDEX(Input!$1:$1048576,T$93,$C112*2+MIN($B112,2)+5)</f>
        <v>0</v>
      </c>
      <c r="U112" s="821">
        <f>INDEX(Input!$1:$1048576,U$93,$C112*2+MIN($B112,2)+5)</f>
        <v>0</v>
      </c>
      <c r="V112" s="821">
        <f>INDEX(Input!$1:$1048576,V$93,$C112*2+MIN($B112,2)+5)</f>
        <v>1.9E-2</v>
      </c>
      <c r="W112" s="821">
        <f>INDEX(Input!$1:$1048576,W$93,$C112*2+MIN($B112,2)+5)</f>
        <v>3.9E-2</v>
      </c>
      <c r="X112" s="819" t="str">
        <f>INDEX(Input!$1:$1048576,X$93,$C112*2+MIN($B112,2)+5)</f>
        <v>Y</v>
      </c>
      <c r="Y112" s="818">
        <f>INDEX(Input!$1:$1048576,Y$93,$C112*2+MIN($B112,2)+5)</f>
        <v>737.99367635402496</v>
      </c>
      <c r="Z112" s="822">
        <f>INDEX(Input!$1:$1048576,Z$93,$C112*2+MIN($B112,2)+5)</f>
        <v>0</v>
      </c>
      <c r="AA112" s="818">
        <f>INDEX(Input!$1:$1048576,AA$93,$C112*2+MIN($B112,2)+5)</f>
        <v>0</v>
      </c>
      <c r="AB112" s="819">
        <f>INDEX(Input!$1:$1048576,AB$93,$C112*2+MIN($B112,2)+5)</f>
        <v>0.27</v>
      </c>
      <c r="AC112" s="818">
        <f>INDEX(Input!$1:$1048576,AC$93,$C112*2+MIN($B112,2)+5)</f>
        <v>0</v>
      </c>
      <c r="AD112" s="819">
        <f>INDEX(Input!$1:$1048576,AD$93,$C112*2+MIN($B112,2)+5)</f>
        <v>0.27</v>
      </c>
      <c r="AE112" s="818">
        <f>INDEX(Input!$1:$1048576,AE$93,$C112*2+MIN($B112,2)+5)</f>
        <v>0</v>
      </c>
      <c r="AF112" s="819">
        <f>INDEX(Input!$1:$1048576,AF$93,$C112*2+MIN($B112,2)+5)</f>
        <v>1</v>
      </c>
      <c r="AG112" s="818">
        <f>INDEX(Input!$1:$1048576,AG$93,$C112*2+MIN($B112,2)+5)</f>
        <v>500</v>
      </c>
      <c r="AH112" s="819">
        <f>INDEX(Input!$1:$1048576,AH$93,$C112*2+MIN($B112,2)+5)</f>
        <v>1</v>
      </c>
      <c r="AI112" s="818">
        <f>INDEX(Input!$1:$1048576,AI$93,$C112*2+MIN($B112,2)+5)</f>
        <v>0</v>
      </c>
      <c r="AJ112" s="823">
        <f>INDEX(Input!$1:$1048576,AJ$93,$C112*2+MIN($B112,2)+5)</f>
        <v>0.27</v>
      </c>
    </row>
    <row r="116" spans="1:36">
      <c r="B116" s="303"/>
    </row>
    <row r="117" spans="1:36">
      <c r="A117" s="826"/>
      <c r="B117" s="303"/>
    </row>
    <row r="118" spans="1:36">
      <c r="B118" s="303"/>
    </row>
    <row r="119" spans="1:36">
      <c r="B119" s="303"/>
      <c r="D119" t="s">
        <v>992</v>
      </c>
    </row>
    <row r="120" spans="1:36">
      <c r="B120" s="303"/>
    </row>
    <row r="121" spans="1:36" s="835" customFormat="1" collapsed="1">
      <c r="A121" s="826" t="str">
        <f t="shared" ref="A121:A175" si="6">IF(E121=0,"",E121&amp;" "&amp;E$100)
&amp;IF(F121=0,"",F121&amp;" "&amp;F$100)
&amp;IF(Q121=0,"",Q121&amp;" "&amp;Q$100)
&amp;IF(U121=0,"",U121*100&amp;" "&amp;U$100)
&amp;IF(V121=0,"",V121*100&amp;" "&amp;V$100)
&amp;IF(Y121=0,"",Y121&amp;" "&amp;Y$100)
&amp;IF(Z121=0,"",Z121&amp;" "&amp;Z$100)
&amp;IF(AA121=0,"",AA121&amp;" "&amp;AA$100)
&amp;IF(AC121=0,"",AC121&amp;" "&amp;AC$100)
&amp;IF(AE121=0,"",AE121&amp;" "&amp;AE$100)
&amp;IF(AG121=0,"",AG121&amp;" "&amp;AG$100)
&amp;IF(AI121=0,"",AI121&amp;" "&amp;AI$100)</f>
        <v xml:space="preserve">-1 % 72M, </v>
      </c>
      <c r="B121" s="826">
        <v>21</v>
      </c>
      <c r="C121" s="827"/>
      <c r="D121" s="826"/>
      <c r="E121" s="828">
        <v>0</v>
      </c>
      <c r="F121" s="829">
        <v>0</v>
      </c>
      <c r="G121" s="830">
        <v>0</v>
      </c>
      <c r="H121" s="830">
        <v>0</v>
      </c>
      <c r="I121" s="831">
        <v>0</v>
      </c>
      <c r="J121" s="831"/>
      <c r="K121" s="831"/>
      <c r="L121" s="831"/>
      <c r="M121" s="831"/>
      <c r="N121" s="831"/>
      <c r="O121" s="831"/>
      <c r="P121" s="831"/>
      <c r="Q121" s="832">
        <v>0</v>
      </c>
      <c r="R121" s="833">
        <v>0</v>
      </c>
      <c r="S121" s="833">
        <v>0</v>
      </c>
      <c r="T121" s="833">
        <v>0</v>
      </c>
      <c r="U121" s="833">
        <v>0</v>
      </c>
      <c r="V121" s="833">
        <v>-0.01</v>
      </c>
      <c r="W121" s="833" t="s">
        <v>122</v>
      </c>
      <c r="X121" s="831"/>
      <c r="Y121" s="830">
        <v>0</v>
      </c>
      <c r="Z121" s="834">
        <v>0</v>
      </c>
      <c r="AA121" s="830">
        <v>0</v>
      </c>
      <c r="AB121" s="831">
        <v>0</v>
      </c>
      <c r="AC121" s="830">
        <v>0</v>
      </c>
      <c r="AD121" s="831">
        <v>0</v>
      </c>
      <c r="AE121" s="830">
        <v>0</v>
      </c>
      <c r="AF121" s="831">
        <v>0</v>
      </c>
      <c r="AG121" s="830">
        <v>0</v>
      </c>
      <c r="AH121" s="831">
        <v>0</v>
      </c>
      <c r="AI121" s="830">
        <v>0</v>
      </c>
      <c r="AJ121" s="831">
        <v>0</v>
      </c>
    </row>
    <row r="122" spans="1:36" s="835" customFormat="1">
      <c r="A122" s="826" t="str">
        <f t="shared" si="6"/>
        <v xml:space="preserve">1 % 72M, </v>
      </c>
      <c r="B122" s="826">
        <f t="shared" ref="B122:B181" si="7">B121+1</f>
        <v>22</v>
      </c>
      <c r="C122" s="826"/>
      <c r="D122" s="826"/>
      <c r="E122" s="828">
        <v>0</v>
      </c>
      <c r="F122" s="829">
        <v>0</v>
      </c>
      <c r="G122" s="830">
        <v>0</v>
      </c>
      <c r="H122" s="830">
        <v>0</v>
      </c>
      <c r="I122" s="831">
        <v>0</v>
      </c>
      <c r="J122" s="831"/>
      <c r="K122" s="831"/>
      <c r="L122" s="831"/>
      <c r="M122" s="831"/>
      <c r="N122" s="831"/>
      <c r="O122" s="831"/>
      <c r="P122" s="831"/>
      <c r="Q122" s="832">
        <v>0</v>
      </c>
      <c r="R122" s="833">
        <v>0</v>
      </c>
      <c r="S122" s="833">
        <v>0</v>
      </c>
      <c r="T122" s="833">
        <v>0</v>
      </c>
      <c r="U122" s="833">
        <v>0</v>
      </c>
      <c r="V122" s="833">
        <f>IF(V$112=0,0.9%,1%)</f>
        <v>0.01</v>
      </c>
      <c r="W122" s="833" t="s">
        <v>122</v>
      </c>
      <c r="X122" s="831"/>
      <c r="Y122" s="830">
        <v>0</v>
      </c>
      <c r="Z122" s="834">
        <v>0</v>
      </c>
      <c r="AA122" s="830">
        <v>0</v>
      </c>
      <c r="AB122" s="831">
        <v>0</v>
      </c>
      <c r="AC122" s="830">
        <v>0</v>
      </c>
      <c r="AD122" s="831">
        <v>0</v>
      </c>
      <c r="AE122" s="830">
        <v>0</v>
      </c>
      <c r="AF122" s="831">
        <v>0</v>
      </c>
      <c r="AG122" s="830">
        <v>0</v>
      </c>
      <c r="AH122" s="831">
        <v>0</v>
      </c>
      <c r="AI122" s="830">
        <v>0</v>
      </c>
      <c r="AJ122" s="831">
        <v>0</v>
      </c>
    </row>
    <row r="123" spans="1:36" s="835" customFormat="1" collapsed="1">
      <c r="A123" s="826" t="str">
        <f t="shared" si="6"/>
        <v xml:space="preserve">-1 % 60M, -1 % 72M, </v>
      </c>
      <c r="B123" s="826">
        <f t="shared" si="7"/>
        <v>23</v>
      </c>
      <c r="C123" s="827"/>
      <c r="D123" s="826"/>
      <c r="E123" s="828">
        <v>0</v>
      </c>
      <c r="F123" s="829">
        <v>0</v>
      </c>
      <c r="G123" s="830">
        <v>0</v>
      </c>
      <c r="H123" s="830">
        <v>0</v>
      </c>
      <c r="I123" s="831">
        <v>0</v>
      </c>
      <c r="J123" s="831"/>
      <c r="K123" s="831"/>
      <c r="L123" s="831"/>
      <c r="M123" s="831"/>
      <c r="N123" s="831"/>
      <c r="O123" s="831"/>
      <c r="P123" s="831"/>
      <c r="Q123" s="832">
        <v>0</v>
      </c>
      <c r="R123" s="833">
        <v>-0.01</v>
      </c>
      <c r="S123" s="833">
        <v>-0.01</v>
      </c>
      <c r="T123" s="833">
        <v>-0.01</v>
      </c>
      <c r="U123" s="833">
        <v>-0.01</v>
      </c>
      <c r="V123" s="833">
        <v>-0.01</v>
      </c>
      <c r="W123" s="833" t="s">
        <v>122</v>
      </c>
      <c r="X123" s="831"/>
      <c r="Y123" s="830">
        <v>0</v>
      </c>
      <c r="Z123" s="834">
        <v>0</v>
      </c>
      <c r="AA123" s="830">
        <v>0</v>
      </c>
      <c r="AB123" s="831">
        <v>0</v>
      </c>
      <c r="AC123" s="830">
        <v>0</v>
      </c>
      <c r="AD123" s="831">
        <v>0</v>
      </c>
      <c r="AE123" s="830">
        <v>0</v>
      </c>
      <c r="AF123" s="831">
        <v>0</v>
      </c>
      <c r="AG123" s="830">
        <v>0</v>
      </c>
      <c r="AH123" s="831">
        <v>0</v>
      </c>
      <c r="AI123" s="830">
        <v>0</v>
      </c>
      <c r="AJ123" s="831">
        <v>0</v>
      </c>
    </row>
    <row r="124" spans="1:36" s="835" customFormat="1">
      <c r="A124" s="826" t="str">
        <f t="shared" si="6"/>
        <v xml:space="preserve">-2 % 60M, -2 % 72M, </v>
      </c>
      <c r="B124" s="826">
        <f t="shared" si="7"/>
        <v>24</v>
      </c>
      <c r="C124" s="826"/>
      <c r="D124" s="826"/>
      <c r="E124" s="828">
        <v>0</v>
      </c>
      <c r="F124" s="829">
        <v>0</v>
      </c>
      <c r="G124" s="830">
        <v>0</v>
      </c>
      <c r="H124" s="830">
        <v>0</v>
      </c>
      <c r="I124" s="831">
        <v>0</v>
      </c>
      <c r="J124" s="831"/>
      <c r="K124" s="831"/>
      <c r="L124" s="831"/>
      <c r="M124" s="831"/>
      <c r="N124" s="831"/>
      <c r="O124" s="831"/>
      <c r="P124" s="831"/>
      <c r="Q124" s="832">
        <v>0</v>
      </c>
      <c r="R124" s="833">
        <v>-0.02</v>
      </c>
      <c r="S124" s="833">
        <v>-0.02</v>
      </c>
      <c r="T124" s="833">
        <v>-0.02</v>
      </c>
      <c r="U124" s="833">
        <v>-0.02</v>
      </c>
      <c r="V124" s="833">
        <v>-0.02</v>
      </c>
      <c r="W124" s="833" t="s">
        <v>122</v>
      </c>
      <c r="X124" s="831"/>
      <c r="Y124" s="830">
        <v>0</v>
      </c>
      <c r="Z124" s="834">
        <v>0</v>
      </c>
      <c r="AA124" s="830">
        <v>0</v>
      </c>
      <c r="AB124" s="831">
        <v>0</v>
      </c>
      <c r="AC124" s="830">
        <v>0</v>
      </c>
      <c r="AD124" s="831">
        <v>0</v>
      </c>
      <c r="AE124" s="830">
        <v>0</v>
      </c>
      <c r="AF124" s="831">
        <v>0</v>
      </c>
      <c r="AG124" s="830">
        <v>0</v>
      </c>
      <c r="AH124" s="831">
        <v>0</v>
      </c>
      <c r="AI124" s="830">
        <v>0</v>
      </c>
      <c r="AJ124" s="831">
        <v>0</v>
      </c>
    </row>
    <row r="125" spans="1:36" s="835" customFormat="1" collapsed="1">
      <c r="A125" s="826" t="str">
        <f t="shared" si="6"/>
        <v xml:space="preserve">0.9 % 60M, 1 % 72M, </v>
      </c>
      <c r="B125" s="826">
        <f t="shared" si="7"/>
        <v>25</v>
      </c>
      <c r="C125" s="827"/>
      <c r="D125" s="826"/>
      <c r="E125" s="828">
        <v>0</v>
      </c>
      <c r="F125" s="829">
        <v>0</v>
      </c>
      <c r="G125" s="830">
        <v>0</v>
      </c>
      <c r="H125" s="830">
        <v>0</v>
      </c>
      <c r="I125" s="831">
        <v>0</v>
      </c>
      <c r="J125" s="831"/>
      <c r="K125" s="831"/>
      <c r="L125" s="831"/>
      <c r="M125" s="831"/>
      <c r="N125" s="831"/>
      <c r="O125" s="831"/>
      <c r="P125" s="831"/>
      <c r="Q125" s="832">
        <v>0</v>
      </c>
      <c r="R125" s="833">
        <f t="shared" ref="R125:U125" si="8">IF(R$112=0,0.9%,1%)</f>
        <v>9.0000000000000011E-3</v>
      </c>
      <c r="S125" s="833">
        <f t="shared" si="8"/>
        <v>9.0000000000000011E-3</v>
      </c>
      <c r="T125" s="833">
        <f t="shared" si="8"/>
        <v>9.0000000000000011E-3</v>
      </c>
      <c r="U125" s="833">
        <f t="shared" si="8"/>
        <v>9.0000000000000011E-3</v>
      </c>
      <c r="V125" s="833">
        <f>IF(V$112=0,0.9%,1%)</f>
        <v>0.01</v>
      </c>
      <c r="W125" s="833" t="s">
        <v>122</v>
      </c>
      <c r="X125" s="831"/>
      <c r="Y125" s="830">
        <v>0</v>
      </c>
      <c r="Z125" s="834">
        <v>0</v>
      </c>
      <c r="AA125" s="830">
        <v>0</v>
      </c>
      <c r="AB125" s="831">
        <v>0</v>
      </c>
      <c r="AC125" s="830">
        <v>0</v>
      </c>
      <c r="AD125" s="831">
        <v>0</v>
      </c>
      <c r="AE125" s="830">
        <v>0</v>
      </c>
      <c r="AF125" s="831">
        <v>0</v>
      </c>
      <c r="AG125" s="830">
        <v>0</v>
      </c>
      <c r="AH125" s="831">
        <v>0</v>
      </c>
      <c r="AI125" s="830">
        <v>0</v>
      </c>
      <c r="AJ125" s="831">
        <v>0</v>
      </c>
    </row>
    <row r="126" spans="1:36" s="835" customFormat="1">
      <c r="A126" s="826" t="str">
        <f t="shared" si="6"/>
        <v xml:space="preserve">1.9 % 60M, 2 % 72M, </v>
      </c>
      <c r="B126" s="826">
        <f t="shared" si="7"/>
        <v>26</v>
      </c>
      <c r="C126" s="826"/>
      <c r="D126" s="826"/>
      <c r="E126" s="828">
        <v>0</v>
      </c>
      <c r="F126" s="829">
        <v>0</v>
      </c>
      <c r="G126" s="830">
        <v>0</v>
      </c>
      <c r="H126" s="830">
        <v>0</v>
      </c>
      <c r="I126" s="831">
        <v>0</v>
      </c>
      <c r="J126" s="831"/>
      <c r="K126" s="831"/>
      <c r="L126" s="831"/>
      <c r="M126" s="831"/>
      <c r="N126" s="831"/>
      <c r="O126" s="831"/>
      <c r="P126" s="831"/>
      <c r="Q126" s="832">
        <v>0</v>
      </c>
      <c r="R126" s="833">
        <f>IF(R$112=0,1.9%,2%)</f>
        <v>1.9E-2</v>
      </c>
      <c r="S126" s="833">
        <f t="shared" ref="S126:V126" si="9">IF(S$112=0,1.9%,2%)</f>
        <v>1.9E-2</v>
      </c>
      <c r="T126" s="833">
        <f t="shared" si="9"/>
        <v>1.9E-2</v>
      </c>
      <c r="U126" s="833">
        <f t="shared" si="9"/>
        <v>1.9E-2</v>
      </c>
      <c r="V126" s="833">
        <f t="shared" si="9"/>
        <v>0.02</v>
      </c>
      <c r="W126" s="833" t="s">
        <v>122</v>
      </c>
      <c r="X126" s="831"/>
      <c r="Y126" s="830">
        <v>0</v>
      </c>
      <c r="Z126" s="834">
        <v>0</v>
      </c>
      <c r="AA126" s="830">
        <v>0</v>
      </c>
      <c r="AB126" s="831">
        <v>0</v>
      </c>
      <c r="AC126" s="830">
        <v>0</v>
      </c>
      <c r="AD126" s="831">
        <v>0</v>
      </c>
      <c r="AE126" s="830">
        <v>0</v>
      </c>
      <c r="AF126" s="831">
        <v>0</v>
      </c>
      <c r="AG126" s="830">
        <v>0</v>
      </c>
      <c r="AH126" s="831">
        <v>0</v>
      </c>
      <c r="AI126" s="830">
        <v>0</v>
      </c>
      <c r="AJ126" s="831">
        <v>0</v>
      </c>
    </row>
    <row r="127" spans="1:36" s="835" customFormat="1" collapsed="1">
      <c r="A127" s="826" t="str">
        <f t="shared" si="6"/>
        <v xml:space="preserve">750 Combo, </v>
      </c>
      <c r="B127" s="826">
        <f t="shared" si="7"/>
        <v>27</v>
      </c>
      <c r="C127" s="827"/>
      <c r="D127" s="826"/>
      <c r="E127" s="828">
        <v>0</v>
      </c>
      <c r="F127" s="829">
        <v>0</v>
      </c>
      <c r="G127" s="830">
        <v>0</v>
      </c>
      <c r="H127" s="830">
        <v>0</v>
      </c>
      <c r="I127" s="831">
        <v>0</v>
      </c>
      <c r="J127" s="831"/>
      <c r="K127" s="831"/>
      <c r="L127" s="831"/>
      <c r="M127" s="831"/>
      <c r="N127" s="831"/>
      <c r="O127" s="831"/>
      <c r="P127" s="831"/>
      <c r="Q127" s="832">
        <v>750</v>
      </c>
      <c r="R127" s="833">
        <v>0</v>
      </c>
      <c r="S127" s="833">
        <v>0</v>
      </c>
      <c r="T127" s="833">
        <v>0</v>
      </c>
      <c r="U127" s="833">
        <v>0</v>
      </c>
      <c r="V127" s="833">
        <v>0</v>
      </c>
      <c r="W127" s="833" t="s">
        <v>122</v>
      </c>
      <c r="X127" s="831"/>
      <c r="Y127" s="830">
        <v>0</v>
      </c>
      <c r="Z127" s="834">
        <v>0</v>
      </c>
      <c r="AA127" s="830">
        <v>0</v>
      </c>
      <c r="AB127" s="831">
        <v>0</v>
      </c>
      <c r="AC127" s="830">
        <v>0</v>
      </c>
      <c r="AD127" s="831">
        <v>0</v>
      </c>
      <c r="AE127" s="830">
        <v>0</v>
      </c>
      <c r="AF127" s="831">
        <v>0</v>
      </c>
      <c r="AG127" s="830">
        <v>0</v>
      </c>
      <c r="AH127" s="831">
        <v>0</v>
      </c>
      <c r="AI127" s="830">
        <v>0</v>
      </c>
      <c r="AJ127" s="831">
        <v>0</v>
      </c>
    </row>
    <row r="128" spans="1:36" s="835" customFormat="1">
      <c r="A128" s="826" t="str">
        <f t="shared" si="6"/>
        <v xml:space="preserve">1000 Combo, </v>
      </c>
      <c r="B128" s="826">
        <f t="shared" si="7"/>
        <v>28</v>
      </c>
      <c r="C128" s="826"/>
      <c r="D128" s="826"/>
      <c r="E128" s="828">
        <v>0</v>
      </c>
      <c r="F128" s="829">
        <v>0</v>
      </c>
      <c r="G128" s="830">
        <v>0</v>
      </c>
      <c r="H128" s="830">
        <v>0</v>
      </c>
      <c r="I128" s="831">
        <v>0</v>
      </c>
      <c r="J128" s="831"/>
      <c r="K128" s="831"/>
      <c r="L128" s="831"/>
      <c r="M128" s="831"/>
      <c r="N128" s="831"/>
      <c r="O128" s="831"/>
      <c r="P128" s="831"/>
      <c r="Q128" s="832">
        <v>1000</v>
      </c>
      <c r="R128" s="833">
        <v>0</v>
      </c>
      <c r="S128" s="833">
        <v>0</v>
      </c>
      <c r="T128" s="833">
        <v>0</v>
      </c>
      <c r="U128" s="833">
        <v>0</v>
      </c>
      <c r="V128" s="833">
        <v>0</v>
      </c>
      <c r="W128" s="833" t="s">
        <v>122</v>
      </c>
      <c r="X128" s="831"/>
      <c r="Y128" s="830">
        <v>0</v>
      </c>
      <c r="Z128" s="834">
        <v>0</v>
      </c>
      <c r="AA128" s="830">
        <v>0</v>
      </c>
      <c r="AB128" s="831">
        <v>0</v>
      </c>
      <c r="AC128" s="830">
        <v>0</v>
      </c>
      <c r="AD128" s="831">
        <v>0</v>
      </c>
      <c r="AE128" s="830">
        <v>0</v>
      </c>
      <c r="AF128" s="831">
        <v>0</v>
      </c>
      <c r="AG128" s="830">
        <v>0</v>
      </c>
      <c r="AH128" s="831">
        <v>0</v>
      </c>
      <c r="AI128" s="830">
        <v>0</v>
      </c>
      <c r="AJ128" s="831">
        <v>0</v>
      </c>
    </row>
    <row r="129" spans="1:36" s="835" customFormat="1" collapsed="1">
      <c r="A129" s="826" t="str">
        <f t="shared" si="6"/>
        <v xml:space="preserve">-720 Lease, </v>
      </c>
      <c r="B129" s="826">
        <f t="shared" si="7"/>
        <v>29</v>
      </c>
      <c r="C129" s="827"/>
      <c r="D129" s="826"/>
      <c r="E129" s="828">
        <v>0</v>
      </c>
      <c r="F129" s="829">
        <v>0</v>
      </c>
      <c r="G129" s="830">
        <v>0</v>
      </c>
      <c r="H129" s="830">
        <v>0</v>
      </c>
      <c r="I129" s="831">
        <v>0</v>
      </c>
      <c r="J129" s="831"/>
      <c r="K129" s="831"/>
      <c r="L129" s="831"/>
      <c r="M129" s="831"/>
      <c r="N129" s="831"/>
      <c r="O129" s="831"/>
      <c r="P129" s="831"/>
      <c r="Q129" s="832">
        <v>0</v>
      </c>
      <c r="R129" s="833">
        <v>0</v>
      </c>
      <c r="S129" s="833">
        <v>0</v>
      </c>
      <c r="T129" s="833">
        <v>0</v>
      </c>
      <c r="U129" s="833">
        <v>0</v>
      </c>
      <c r="V129" s="833">
        <v>0</v>
      </c>
      <c r="W129" s="833" t="s">
        <v>122</v>
      </c>
      <c r="X129" s="831"/>
      <c r="Y129" s="830">
        <v>-720</v>
      </c>
      <c r="Z129" s="834">
        <v>0</v>
      </c>
      <c r="AA129" s="830">
        <v>0</v>
      </c>
      <c r="AB129" s="831">
        <v>0</v>
      </c>
      <c r="AC129" s="830">
        <v>0</v>
      </c>
      <c r="AD129" s="831">
        <v>0</v>
      </c>
      <c r="AE129" s="830">
        <v>0</v>
      </c>
      <c r="AF129" s="831">
        <v>0</v>
      </c>
      <c r="AG129" s="830">
        <v>0</v>
      </c>
      <c r="AH129" s="831">
        <v>0</v>
      </c>
      <c r="AI129" s="830">
        <v>0</v>
      </c>
      <c r="AJ129" s="831">
        <v>0</v>
      </c>
    </row>
    <row r="130" spans="1:36" s="835" customFormat="1">
      <c r="A130" s="826" t="str">
        <f t="shared" si="6"/>
        <v xml:space="preserve">1080 Lease, </v>
      </c>
      <c r="B130" s="826">
        <f t="shared" si="7"/>
        <v>30</v>
      </c>
      <c r="C130" s="826"/>
      <c r="D130" s="826"/>
      <c r="E130" s="828">
        <v>0</v>
      </c>
      <c r="F130" s="829">
        <v>0</v>
      </c>
      <c r="G130" s="830">
        <v>0</v>
      </c>
      <c r="H130" s="830">
        <v>0</v>
      </c>
      <c r="I130" s="831">
        <v>0</v>
      </c>
      <c r="J130" s="831"/>
      <c r="K130" s="831"/>
      <c r="L130" s="831"/>
      <c r="M130" s="831"/>
      <c r="N130" s="831"/>
      <c r="O130" s="831"/>
      <c r="P130" s="831"/>
      <c r="Q130" s="832">
        <v>0</v>
      </c>
      <c r="R130" s="833">
        <v>0</v>
      </c>
      <c r="S130" s="833">
        <v>0</v>
      </c>
      <c r="T130" s="833">
        <v>0</v>
      </c>
      <c r="U130" s="833">
        <v>0</v>
      </c>
      <c r="V130" s="833">
        <v>0</v>
      </c>
      <c r="W130" s="833" t="s">
        <v>122</v>
      </c>
      <c r="X130" s="831"/>
      <c r="Y130" s="830">
        <v>1080</v>
      </c>
      <c r="Z130" s="834">
        <v>0</v>
      </c>
      <c r="AA130" s="830">
        <v>0</v>
      </c>
      <c r="AB130" s="831">
        <v>0</v>
      </c>
      <c r="AC130" s="830">
        <v>0</v>
      </c>
      <c r="AD130" s="831">
        <v>0</v>
      </c>
      <c r="AE130" s="830">
        <v>0</v>
      </c>
      <c r="AF130" s="831">
        <v>0</v>
      </c>
      <c r="AG130" s="830">
        <v>0</v>
      </c>
      <c r="AH130" s="831">
        <v>0</v>
      </c>
      <c r="AI130" s="830">
        <v>0</v>
      </c>
      <c r="AJ130" s="831">
        <v>0</v>
      </c>
    </row>
    <row r="131" spans="1:36" s="835" customFormat="1" collapsed="1">
      <c r="A131" s="826" t="str">
        <f t="shared" si="6"/>
        <v xml:space="preserve">250 CC, 250 Combo, </v>
      </c>
      <c r="B131" s="826">
        <f t="shared" si="7"/>
        <v>31</v>
      </c>
      <c r="C131" s="827"/>
      <c r="D131" s="826"/>
      <c r="E131" s="828">
        <v>250</v>
      </c>
      <c r="F131" s="829">
        <v>0</v>
      </c>
      <c r="G131" s="830">
        <v>0</v>
      </c>
      <c r="H131" s="830">
        <v>0</v>
      </c>
      <c r="I131" s="831">
        <v>0</v>
      </c>
      <c r="J131" s="831"/>
      <c r="K131" s="831"/>
      <c r="L131" s="831"/>
      <c r="M131" s="831"/>
      <c r="N131" s="831"/>
      <c r="O131" s="831"/>
      <c r="P131" s="831"/>
      <c r="Q131" s="832">
        <v>250</v>
      </c>
      <c r="R131" s="833">
        <v>0</v>
      </c>
      <c r="S131" s="833">
        <v>0</v>
      </c>
      <c r="T131" s="833">
        <v>0</v>
      </c>
      <c r="U131" s="833">
        <v>0</v>
      </c>
      <c r="V131" s="833">
        <v>0</v>
      </c>
      <c r="W131" s="833" t="s">
        <v>122</v>
      </c>
      <c r="X131" s="831"/>
      <c r="Y131" s="830">
        <v>0</v>
      </c>
      <c r="Z131" s="834">
        <v>0</v>
      </c>
      <c r="AA131" s="830">
        <v>0</v>
      </c>
      <c r="AB131" s="831">
        <v>0</v>
      </c>
      <c r="AC131" s="830">
        <v>0</v>
      </c>
      <c r="AD131" s="831">
        <v>0</v>
      </c>
      <c r="AE131" s="830">
        <v>0</v>
      </c>
      <c r="AF131" s="831">
        <v>0</v>
      </c>
      <c r="AG131" s="830">
        <v>0</v>
      </c>
      <c r="AH131" s="831">
        <v>0</v>
      </c>
      <c r="AI131" s="830">
        <v>0</v>
      </c>
      <c r="AJ131" s="831">
        <v>0</v>
      </c>
    </row>
    <row r="132" spans="1:36" s="835" customFormat="1">
      <c r="A132" s="826" t="str">
        <f t="shared" si="6"/>
        <v xml:space="preserve">500 CC, 500 Combo, </v>
      </c>
      <c r="B132" s="826">
        <f t="shared" si="7"/>
        <v>32</v>
      </c>
      <c r="C132" s="826"/>
      <c r="D132" s="826"/>
      <c r="E132" s="828">
        <v>500</v>
      </c>
      <c r="F132" s="829">
        <v>0</v>
      </c>
      <c r="G132" s="830">
        <v>0</v>
      </c>
      <c r="H132" s="830">
        <v>0</v>
      </c>
      <c r="I132" s="831">
        <v>0</v>
      </c>
      <c r="J132" s="831"/>
      <c r="K132" s="831"/>
      <c r="L132" s="831"/>
      <c r="M132" s="831"/>
      <c r="N132" s="831"/>
      <c r="O132" s="831"/>
      <c r="P132" s="831"/>
      <c r="Q132" s="832">
        <v>500</v>
      </c>
      <c r="R132" s="833">
        <v>0</v>
      </c>
      <c r="S132" s="833">
        <v>0</v>
      </c>
      <c r="T132" s="833">
        <v>0</v>
      </c>
      <c r="U132" s="833">
        <v>0</v>
      </c>
      <c r="V132" s="833">
        <v>0</v>
      </c>
      <c r="W132" s="833" t="s">
        <v>122</v>
      </c>
      <c r="X132" s="831"/>
      <c r="Y132" s="830">
        <v>0</v>
      </c>
      <c r="Z132" s="834">
        <v>0</v>
      </c>
      <c r="AA132" s="830">
        <v>0</v>
      </c>
      <c r="AB132" s="831">
        <v>0</v>
      </c>
      <c r="AC132" s="830">
        <v>0</v>
      </c>
      <c r="AD132" s="831">
        <v>0</v>
      </c>
      <c r="AE132" s="830">
        <v>0</v>
      </c>
      <c r="AF132" s="831">
        <v>0</v>
      </c>
      <c r="AG132" s="830">
        <v>0</v>
      </c>
      <c r="AH132" s="831">
        <v>0</v>
      </c>
      <c r="AI132" s="830">
        <v>0</v>
      </c>
      <c r="AJ132" s="831">
        <v>0</v>
      </c>
    </row>
    <row r="133" spans="1:36" s="835" customFormat="1" collapsed="1">
      <c r="A133" s="826" t="str">
        <f t="shared" si="6"/>
        <v xml:space="preserve">750 CC, 750 Combo, </v>
      </c>
      <c r="B133" s="826">
        <f t="shared" si="7"/>
        <v>33</v>
      </c>
      <c r="C133" s="827"/>
      <c r="D133" s="826"/>
      <c r="E133" s="828">
        <v>750</v>
      </c>
      <c r="F133" s="829">
        <v>0</v>
      </c>
      <c r="G133" s="830">
        <v>0</v>
      </c>
      <c r="H133" s="830">
        <v>0</v>
      </c>
      <c r="I133" s="831">
        <v>0</v>
      </c>
      <c r="J133" s="831"/>
      <c r="K133" s="831"/>
      <c r="L133" s="831"/>
      <c r="M133" s="831"/>
      <c r="N133" s="831"/>
      <c r="O133" s="831"/>
      <c r="P133" s="831"/>
      <c r="Q133" s="832">
        <v>750</v>
      </c>
      <c r="R133" s="833">
        <v>0</v>
      </c>
      <c r="S133" s="833">
        <v>0</v>
      </c>
      <c r="T133" s="833">
        <v>0</v>
      </c>
      <c r="U133" s="833">
        <v>0</v>
      </c>
      <c r="V133" s="833">
        <v>0</v>
      </c>
      <c r="W133" s="833" t="s">
        <v>122</v>
      </c>
      <c r="X133" s="831"/>
      <c r="Y133" s="830">
        <v>0</v>
      </c>
      <c r="Z133" s="834">
        <v>0</v>
      </c>
      <c r="AA133" s="830">
        <v>0</v>
      </c>
      <c r="AB133" s="831">
        <v>0</v>
      </c>
      <c r="AC133" s="830">
        <v>0</v>
      </c>
      <c r="AD133" s="831">
        <v>0</v>
      </c>
      <c r="AE133" s="830">
        <v>0</v>
      </c>
      <c r="AF133" s="831">
        <v>0</v>
      </c>
      <c r="AG133" s="830">
        <v>0</v>
      </c>
      <c r="AH133" s="831">
        <v>0</v>
      </c>
      <c r="AI133" s="830">
        <v>0</v>
      </c>
      <c r="AJ133" s="831">
        <v>0</v>
      </c>
    </row>
    <row r="134" spans="1:36" s="835" customFormat="1">
      <c r="A134" s="826" t="str">
        <f t="shared" si="6"/>
        <v xml:space="preserve">1000 CC, 1000 Combo, </v>
      </c>
      <c r="B134" s="826">
        <f t="shared" si="7"/>
        <v>34</v>
      </c>
      <c r="C134" s="826"/>
      <c r="D134" s="826"/>
      <c r="E134" s="828">
        <v>1000</v>
      </c>
      <c r="F134" s="829">
        <v>0</v>
      </c>
      <c r="G134" s="830">
        <v>0</v>
      </c>
      <c r="H134" s="830">
        <v>0</v>
      </c>
      <c r="I134" s="831">
        <v>0</v>
      </c>
      <c r="J134" s="831"/>
      <c r="K134" s="831"/>
      <c r="L134" s="831"/>
      <c r="M134" s="831"/>
      <c r="N134" s="831"/>
      <c r="O134" s="831"/>
      <c r="P134" s="831"/>
      <c r="Q134" s="832">
        <v>1000</v>
      </c>
      <c r="R134" s="833">
        <v>0</v>
      </c>
      <c r="S134" s="833">
        <v>0</v>
      </c>
      <c r="T134" s="833">
        <v>0</v>
      </c>
      <c r="U134" s="833">
        <v>0</v>
      </c>
      <c r="V134" s="833">
        <v>0</v>
      </c>
      <c r="W134" s="833" t="s">
        <v>122</v>
      </c>
      <c r="X134" s="831"/>
      <c r="Y134" s="830">
        <v>0</v>
      </c>
      <c r="Z134" s="834">
        <v>0</v>
      </c>
      <c r="AA134" s="830">
        <v>0</v>
      </c>
      <c r="AB134" s="831">
        <v>0</v>
      </c>
      <c r="AC134" s="830">
        <v>0</v>
      </c>
      <c r="AD134" s="831">
        <v>0</v>
      </c>
      <c r="AE134" s="830">
        <v>0</v>
      </c>
      <c r="AF134" s="831">
        <v>0</v>
      </c>
      <c r="AG134" s="830">
        <v>0</v>
      </c>
      <c r="AH134" s="831">
        <v>0</v>
      </c>
      <c r="AI134" s="830">
        <v>0</v>
      </c>
      <c r="AJ134" s="831">
        <v>0</v>
      </c>
    </row>
    <row r="135" spans="1:36" s="835" customFormat="1" collapsed="1">
      <c r="A135" s="826" t="str">
        <f t="shared" si="6"/>
        <v xml:space="preserve">250 CC, -1 % 60M, -1 % 72M, </v>
      </c>
      <c r="B135" s="826">
        <f t="shared" si="7"/>
        <v>35</v>
      </c>
      <c r="C135" s="827"/>
      <c r="D135" s="826"/>
      <c r="E135" s="828">
        <v>250</v>
      </c>
      <c r="F135" s="829">
        <v>0</v>
      </c>
      <c r="G135" s="830">
        <v>0</v>
      </c>
      <c r="H135" s="830">
        <v>0</v>
      </c>
      <c r="I135" s="831">
        <v>0</v>
      </c>
      <c r="J135" s="831"/>
      <c r="K135" s="831"/>
      <c r="L135" s="831"/>
      <c r="M135" s="831"/>
      <c r="N135" s="831"/>
      <c r="O135" s="831"/>
      <c r="P135" s="831"/>
      <c r="Q135" s="832">
        <v>0</v>
      </c>
      <c r="R135" s="833">
        <v>-0.01</v>
      </c>
      <c r="S135" s="833">
        <v>-0.01</v>
      </c>
      <c r="T135" s="833">
        <v>-0.01</v>
      </c>
      <c r="U135" s="833">
        <v>-0.01</v>
      </c>
      <c r="V135" s="833">
        <v>-0.01</v>
      </c>
      <c r="W135" s="833" t="s">
        <v>122</v>
      </c>
      <c r="X135" s="831"/>
      <c r="Y135" s="830">
        <v>0</v>
      </c>
      <c r="Z135" s="834">
        <v>0</v>
      </c>
      <c r="AA135" s="830">
        <v>0</v>
      </c>
      <c r="AB135" s="831">
        <v>0</v>
      </c>
      <c r="AC135" s="830">
        <v>0</v>
      </c>
      <c r="AD135" s="831">
        <v>0</v>
      </c>
      <c r="AE135" s="830">
        <v>0</v>
      </c>
      <c r="AF135" s="831">
        <v>0</v>
      </c>
      <c r="AG135" s="830">
        <v>0</v>
      </c>
      <c r="AH135" s="831">
        <v>0</v>
      </c>
      <c r="AI135" s="830">
        <v>0</v>
      </c>
      <c r="AJ135" s="831">
        <v>0</v>
      </c>
    </row>
    <row r="136" spans="1:36" s="835" customFormat="1">
      <c r="A136" s="826" t="str">
        <f t="shared" si="6"/>
        <v xml:space="preserve">500 CC, -1 % 60M, -1 % 72M, </v>
      </c>
      <c r="B136" s="826">
        <f t="shared" si="7"/>
        <v>36</v>
      </c>
      <c r="C136" s="826"/>
      <c r="D136" s="826"/>
      <c r="E136" s="828">
        <v>500</v>
      </c>
      <c r="F136" s="829">
        <v>0</v>
      </c>
      <c r="G136" s="830">
        <v>0</v>
      </c>
      <c r="H136" s="830">
        <v>0</v>
      </c>
      <c r="I136" s="831">
        <v>0</v>
      </c>
      <c r="J136" s="831"/>
      <c r="K136" s="831"/>
      <c r="L136" s="831"/>
      <c r="M136" s="831"/>
      <c r="N136" s="831"/>
      <c r="O136" s="831"/>
      <c r="P136" s="831"/>
      <c r="Q136" s="832">
        <v>0</v>
      </c>
      <c r="R136" s="833">
        <v>-0.01</v>
      </c>
      <c r="S136" s="833">
        <v>-0.01</v>
      </c>
      <c r="T136" s="833">
        <v>-0.01</v>
      </c>
      <c r="U136" s="833">
        <v>-0.01</v>
      </c>
      <c r="V136" s="833">
        <v>-0.01</v>
      </c>
      <c r="W136" s="833" t="s">
        <v>122</v>
      </c>
      <c r="X136" s="831"/>
      <c r="Y136" s="830">
        <v>0</v>
      </c>
      <c r="Z136" s="834">
        <v>0</v>
      </c>
      <c r="AA136" s="830">
        <v>0</v>
      </c>
      <c r="AB136" s="831">
        <v>0</v>
      </c>
      <c r="AC136" s="830">
        <v>0</v>
      </c>
      <c r="AD136" s="831">
        <v>0</v>
      </c>
      <c r="AE136" s="830">
        <v>0</v>
      </c>
      <c r="AF136" s="831">
        <v>0</v>
      </c>
      <c r="AG136" s="830">
        <v>0</v>
      </c>
      <c r="AH136" s="831">
        <v>0</v>
      </c>
      <c r="AI136" s="830">
        <v>0</v>
      </c>
      <c r="AJ136" s="831">
        <v>0</v>
      </c>
    </row>
    <row r="137" spans="1:36" s="835" customFormat="1" collapsed="1">
      <c r="A137" s="826" t="str">
        <f t="shared" si="6"/>
        <v xml:space="preserve">750 CC, -1 % 60M, -1 % 72M, </v>
      </c>
      <c r="B137" s="826">
        <f t="shared" si="7"/>
        <v>37</v>
      </c>
      <c r="C137" s="827"/>
      <c r="D137" s="826"/>
      <c r="E137" s="828">
        <v>750</v>
      </c>
      <c r="F137" s="829">
        <v>0</v>
      </c>
      <c r="G137" s="830">
        <v>0</v>
      </c>
      <c r="H137" s="830">
        <v>0</v>
      </c>
      <c r="I137" s="831">
        <v>0</v>
      </c>
      <c r="J137" s="831"/>
      <c r="K137" s="831"/>
      <c r="L137" s="831"/>
      <c r="M137" s="831"/>
      <c r="N137" s="831"/>
      <c r="O137" s="831"/>
      <c r="P137" s="831"/>
      <c r="Q137" s="832">
        <v>0</v>
      </c>
      <c r="R137" s="833">
        <v>-0.01</v>
      </c>
      <c r="S137" s="833">
        <v>-0.01</v>
      </c>
      <c r="T137" s="833">
        <v>-0.01</v>
      </c>
      <c r="U137" s="833">
        <v>-0.01</v>
      </c>
      <c r="V137" s="833">
        <v>-0.01</v>
      </c>
      <c r="W137" s="833" t="s">
        <v>122</v>
      </c>
      <c r="X137" s="831"/>
      <c r="Y137" s="830">
        <v>0</v>
      </c>
      <c r="Z137" s="834">
        <v>0</v>
      </c>
      <c r="AA137" s="830">
        <v>0</v>
      </c>
      <c r="AB137" s="831">
        <v>0</v>
      </c>
      <c r="AC137" s="830">
        <v>0</v>
      </c>
      <c r="AD137" s="831">
        <v>0</v>
      </c>
      <c r="AE137" s="830">
        <v>0</v>
      </c>
      <c r="AF137" s="831">
        <v>0</v>
      </c>
      <c r="AG137" s="830">
        <v>0</v>
      </c>
      <c r="AH137" s="831">
        <v>0</v>
      </c>
      <c r="AI137" s="830">
        <v>0</v>
      </c>
      <c r="AJ137" s="831">
        <v>0</v>
      </c>
    </row>
    <row r="138" spans="1:36" s="835" customFormat="1">
      <c r="A138" s="826" t="str">
        <f t="shared" si="6"/>
        <v xml:space="preserve">1000 CC, -1 % 60M, -1 % 72M, </v>
      </c>
      <c r="B138" s="826">
        <f t="shared" si="7"/>
        <v>38</v>
      </c>
      <c r="C138" s="826"/>
      <c r="D138" s="826"/>
      <c r="E138" s="828">
        <v>1000</v>
      </c>
      <c r="F138" s="829">
        <v>0</v>
      </c>
      <c r="G138" s="830">
        <v>0</v>
      </c>
      <c r="H138" s="830">
        <v>0</v>
      </c>
      <c r="I138" s="831">
        <v>0</v>
      </c>
      <c r="J138" s="831"/>
      <c r="K138" s="831"/>
      <c r="L138" s="831"/>
      <c r="M138" s="831"/>
      <c r="N138" s="831"/>
      <c r="O138" s="831"/>
      <c r="P138" s="831"/>
      <c r="Q138" s="832">
        <v>0</v>
      </c>
      <c r="R138" s="833">
        <v>-0.01</v>
      </c>
      <c r="S138" s="833">
        <v>-0.01</v>
      </c>
      <c r="T138" s="833">
        <v>-0.01</v>
      </c>
      <c r="U138" s="833">
        <v>-0.01</v>
      </c>
      <c r="V138" s="833">
        <v>-0.01</v>
      </c>
      <c r="W138" s="833" t="s">
        <v>122</v>
      </c>
      <c r="X138" s="831"/>
      <c r="Y138" s="830">
        <v>0</v>
      </c>
      <c r="Z138" s="834">
        <v>0</v>
      </c>
      <c r="AA138" s="830">
        <v>0</v>
      </c>
      <c r="AB138" s="831">
        <v>0</v>
      </c>
      <c r="AC138" s="830">
        <v>0</v>
      </c>
      <c r="AD138" s="831">
        <v>0</v>
      </c>
      <c r="AE138" s="830">
        <v>0</v>
      </c>
      <c r="AF138" s="831">
        <v>0</v>
      </c>
      <c r="AG138" s="830">
        <v>0</v>
      </c>
      <c r="AH138" s="831">
        <v>0</v>
      </c>
      <c r="AI138" s="830">
        <v>0</v>
      </c>
      <c r="AJ138" s="831">
        <v>0</v>
      </c>
    </row>
    <row r="139" spans="1:36" s="835" customFormat="1" collapsed="1">
      <c r="A139" s="826" t="str">
        <f t="shared" si="6"/>
        <v xml:space="preserve">250 CC, 360 Lease, </v>
      </c>
      <c r="B139" s="826">
        <f t="shared" si="7"/>
        <v>39</v>
      </c>
      <c r="C139" s="827"/>
      <c r="D139" s="826"/>
      <c r="E139" s="828">
        <v>250</v>
      </c>
      <c r="F139" s="829">
        <v>0</v>
      </c>
      <c r="G139" s="830">
        <v>0</v>
      </c>
      <c r="H139" s="830">
        <v>0</v>
      </c>
      <c r="I139" s="831">
        <v>0</v>
      </c>
      <c r="J139" s="831"/>
      <c r="K139" s="831"/>
      <c r="L139" s="831"/>
      <c r="M139" s="831"/>
      <c r="N139" s="831"/>
      <c r="O139" s="831"/>
      <c r="P139" s="831"/>
      <c r="Q139" s="832">
        <v>0</v>
      </c>
      <c r="R139" s="833">
        <v>0</v>
      </c>
      <c r="S139" s="833">
        <v>0</v>
      </c>
      <c r="T139" s="833">
        <v>0</v>
      </c>
      <c r="U139" s="833">
        <v>0</v>
      </c>
      <c r="V139" s="833">
        <v>0</v>
      </c>
      <c r="W139" s="833" t="s">
        <v>122</v>
      </c>
      <c r="X139" s="831"/>
      <c r="Y139" s="830">
        <v>360</v>
      </c>
      <c r="Z139" s="834">
        <v>0</v>
      </c>
      <c r="AA139" s="830">
        <v>0</v>
      </c>
      <c r="AB139" s="831">
        <v>0</v>
      </c>
      <c r="AC139" s="830">
        <v>0</v>
      </c>
      <c r="AD139" s="831">
        <v>0</v>
      </c>
      <c r="AE139" s="830">
        <v>0</v>
      </c>
      <c r="AF139" s="831">
        <v>0</v>
      </c>
      <c r="AG139" s="830">
        <v>0</v>
      </c>
      <c r="AH139" s="831">
        <v>0</v>
      </c>
      <c r="AI139" s="830">
        <v>0</v>
      </c>
      <c r="AJ139" s="831">
        <v>0</v>
      </c>
    </row>
    <row r="140" spans="1:36" s="835" customFormat="1">
      <c r="A140" s="826" t="str">
        <f t="shared" si="6"/>
        <v xml:space="preserve">500 CC, 360 Lease, </v>
      </c>
      <c r="B140" s="826">
        <f t="shared" si="7"/>
        <v>40</v>
      </c>
      <c r="C140" s="826"/>
      <c r="D140" s="826"/>
      <c r="E140" s="828">
        <v>500</v>
      </c>
      <c r="F140" s="829">
        <v>0</v>
      </c>
      <c r="G140" s="830">
        <v>0</v>
      </c>
      <c r="H140" s="830">
        <v>0</v>
      </c>
      <c r="I140" s="831">
        <v>0</v>
      </c>
      <c r="J140" s="831"/>
      <c r="K140" s="831"/>
      <c r="L140" s="831"/>
      <c r="M140" s="831"/>
      <c r="N140" s="831"/>
      <c r="O140" s="831"/>
      <c r="P140" s="831"/>
      <c r="Q140" s="832">
        <v>0</v>
      </c>
      <c r="R140" s="833">
        <v>0</v>
      </c>
      <c r="S140" s="833">
        <v>0</v>
      </c>
      <c r="T140" s="833">
        <v>0</v>
      </c>
      <c r="U140" s="833">
        <v>0</v>
      </c>
      <c r="V140" s="833">
        <v>0</v>
      </c>
      <c r="W140" s="833" t="s">
        <v>122</v>
      </c>
      <c r="X140" s="831"/>
      <c r="Y140" s="830">
        <v>360</v>
      </c>
      <c r="Z140" s="834">
        <v>0</v>
      </c>
      <c r="AA140" s="830">
        <v>0</v>
      </c>
      <c r="AB140" s="831">
        <v>0</v>
      </c>
      <c r="AC140" s="830">
        <v>0</v>
      </c>
      <c r="AD140" s="831">
        <v>0</v>
      </c>
      <c r="AE140" s="830">
        <v>0</v>
      </c>
      <c r="AF140" s="831">
        <v>0</v>
      </c>
      <c r="AG140" s="830">
        <v>0</v>
      </c>
      <c r="AH140" s="831">
        <v>0</v>
      </c>
      <c r="AI140" s="830">
        <v>0</v>
      </c>
      <c r="AJ140" s="831">
        <v>0</v>
      </c>
    </row>
    <row r="141" spans="1:36" s="835" customFormat="1" collapsed="1">
      <c r="A141" s="826" t="str">
        <f t="shared" si="6"/>
        <v xml:space="preserve">750 CC, 360 Lease, </v>
      </c>
      <c r="B141" s="826">
        <f t="shared" si="7"/>
        <v>41</v>
      </c>
      <c r="C141" s="827"/>
      <c r="D141" s="826"/>
      <c r="E141" s="828">
        <v>750</v>
      </c>
      <c r="F141" s="829">
        <v>0</v>
      </c>
      <c r="G141" s="830">
        <v>0</v>
      </c>
      <c r="H141" s="830">
        <v>0</v>
      </c>
      <c r="I141" s="831">
        <v>0</v>
      </c>
      <c r="J141" s="831"/>
      <c r="K141" s="831"/>
      <c r="L141" s="831"/>
      <c r="M141" s="831"/>
      <c r="N141" s="831"/>
      <c r="O141" s="831"/>
      <c r="P141" s="831"/>
      <c r="Q141" s="832">
        <v>0</v>
      </c>
      <c r="R141" s="833">
        <v>0</v>
      </c>
      <c r="S141" s="833">
        <v>0</v>
      </c>
      <c r="T141" s="833">
        <v>0</v>
      </c>
      <c r="U141" s="833">
        <v>0</v>
      </c>
      <c r="V141" s="833">
        <v>0</v>
      </c>
      <c r="W141" s="833" t="s">
        <v>122</v>
      </c>
      <c r="X141" s="831"/>
      <c r="Y141" s="830">
        <v>360</v>
      </c>
      <c r="Z141" s="834">
        <v>0</v>
      </c>
      <c r="AA141" s="830">
        <v>0</v>
      </c>
      <c r="AB141" s="831">
        <v>0</v>
      </c>
      <c r="AC141" s="830">
        <v>0</v>
      </c>
      <c r="AD141" s="831">
        <v>0</v>
      </c>
      <c r="AE141" s="830">
        <v>0</v>
      </c>
      <c r="AF141" s="831">
        <v>0</v>
      </c>
      <c r="AG141" s="830">
        <v>0</v>
      </c>
      <c r="AH141" s="831">
        <v>0</v>
      </c>
      <c r="AI141" s="830">
        <v>0</v>
      </c>
      <c r="AJ141" s="831">
        <v>0</v>
      </c>
    </row>
    <row r="142" spans="1:36" s="835" customFormat="1">
      <c r="A142" s="826" t="str">
        <f t="shared" si="6"/>
        <v xml:space="preserve">1000 CC, 360 Lease, </v>
      </c>
      <c r="B142" s="826">
        <f t="shared" si="7"/>
        <v>42</v>
      </c>
      <c r="C142" s="826"/>
      <c r="D142" s="826"/>
      <c r="E142" s="828">
        <v>1000</v>
      </c>
      <c r="F142" s="829">
        <v>0</v>
      </c>
      <c r="G142" s="830">
        <v>0</v>
      </c>
      <c r="H142" s="830">
        <v>0</v>
      </c>
      <c r="I142" s="831">
        <v>0</v>
      </c>
      <c r="J142" s="831"/>
      <c r="K142" s="831"/>
      <c r="L142" s="831"/>
      <c r="M142" s="831"/>
      <c r="N142" s="831"/>
      <c r="O142" s="831"/>
      <c r="P142" s="831"/>
      <c r="Q142" s="832">
        <v>0</v>
      </c>
      <c r="R142" s="833">
        <v>0</v>
      </c>
      <c r="S142" s="833">
        <v>0</v>
      </c>
      <c r="T142" s="833">
        <v>0</v>
      </c>
      <c r="U142" s="833">
        <v>0</v>
      </c>
      <c r="V142" s="833">
        <v>0</v>
      </c>
      <c r="W142" s="833" t="s">
        <v>122</v>
      </c>
      <c r="X142" s="831"/>
      <c r="Y142" s="830">
        <v>360</v>
      </c>
      <c r="Z142" s="834">
        <v>0</v>
      </c>
      <c r="AA142" s="830">
        <v>0</v>
      </c>
      <c r="AB142" s="831">
        <v>0</v>
      </c>
      <c r="AC142" s="830">
        <v>0</v>
      </c>
      <c r="AD142" s="831">
        <v>0</v>
      </c>
      <c r="AE142" s="830">
        <v>0</v>
      </c>
      <c r="AF142" s="831">
        <v>0</v>
      </c>
      <c r="AG142" s="830">
        <v>0</v>
      </c>
      <c r="AH142" s="831">
        <v>0</v>
      </c>
      <c r="AI142" s="830">
        <v>0</v>
      </c>
      <c r="AJ142" s="831">
        <v>0</v>
      </c>
    </row>
    <row r="143" spans="1:36" s="835" customFormat="1" collapsed="1">
      <c r="A143" s="826" t="str">
        <f t="shared" si="6"/>
        <v xml:space="preserve">-1 % 60M, -1 % 72M, 360 Lease, </v>
      </c>
      <c r="B143" s="826">
        <f t="shared" si="7"/>
        <v>43</v>
      </c>
      <c r="C143" s="827"/>
      <c r="D143" s="826"/>
      <c r="E143" s="828">
        <v>0</v>
      </c>
      <c r="F143" s="829">
        <v>0</v>
      </c>
      <c r="G143" s="830">
        <v>0</v>
      </c>
      <c r="H143" s="830">
        <v>0</v>
      </c>
      <c r="I143" s="831">
        <v>0</v>
      </c>
      <c r="J143" s="831"/>
      <c r="K143" s="831"/>
      <c r="L143" s="831"/>
      <c r="M143" s="831"/>
      <c r="N143" s="831"/>
      <c r="O143" s="831"/>
      <c r="P143" s="831"/>
      <c r="Q143" s="832">
        <v>0</v>
      </c>
      <c r="R143" s="833">
        <v>-0.01</v>
      </c>
      <c r="S143" s="833">
        <v>-0.01</v>
      </c>
      <c r="T143" s="833">
        <v>-0.01</v>
      </c>
      <c r="U143" s="833">
        <v>-0.01</v>
      </c>
      <c r="V143" s="833">
        <v>-0.01</v>
      </c>
      <c r="W143" s="833" t="s">
        <v>122</v>
      </c>
      <c r="X143" s="831"/>
      <c r="Y143" s="830">
        <v>360</v>
      </c>
      <c r="Z143" s="834">
        <v>0</v>
      </c>
      <c r="AA143" s="830">
        <v>0</v>
      </c>
      <c r="AB143" s="831">
        <v>0</v>
      </c>
      <c r="AC143" s="830">
        <v>0</v>
      </c>
      <c r="AD143" s="831">
        <v>0</v>
      </c>
      <c r="AE143" s="830">
        <v>0</v>
      </c>
      <c r="AF143" s="831">
        <v>0</v>
      </c>
      <c r="AG143" s="830">
        <v>0</v>
      </c>
      <c r="AH143" s="831">
        <v>0</v>
      </c>
      <c r="AI143" s="830">
        <v>0</v>
      </c>
      <c r="AJ143" s="831">
        <v>0</v>
      </c>
    </row>
    <row r="144" spans="1:36" s="835" customFormat="1">
      <c r="A144" s="826" t="str">
        <f t="shared" si="6"/>
        <v xml:space="preserve">-2 % 60M, -2 % 72M, 360 Lease, </v>
      </c>
      <c r="B144" s="826">
        <f t="shared" si="7"/>
        <v>44</v>
      </c>
      <c r="C144" s="826"/>
      <c r="D144" s="826"/>
      <c r="E144" s="828">
        <v>0</v>
      </c>
      <c r="F144" s="829">
        <v>0</v>
      </c>
      <c r="G144" s="830">
        <v>0</v>
      </c>
      <c r="H144" s="830">
        <v>0</v>
      </c>
      <c r="I144" s="831">
        <v>0</v>
      </c>
      <c r="J144" s="831"/>
      <c r="K144" s="831"/>
      <c r="L144" s="831"/>
      <c r="M144" s="831"/>
      <c r="N144" s="831"/>
      <c r="O144" s="831"/>
      <c r="P144" s="831"/>
      <c r="Q144" s="832">
        <v>0</v>
      </c>
      <c r="R144" s="833">
        <v>-0.02</v>
      </c>
      <c r="S144" s="833">
        <v>-0.02</v>
      </c>
      <c r="T144" s="833">
        <v>-0.02</v>
      </c>
      <c r="U144" s="833">
        <v>-0.02</v>
      </c>
      <c r="V144" s="833">
        <v>-0.02</v>
      </c>
      <c r="W144" s="833" t="s">
        <v>122</v>
      </c>
      <c r="X144" s="831"/>
      <c r="Y144" s="830">
        <v>360</v>
      </c>
      <c r="Z144" s="834">
        <v>0</v>
      </c>
      <c r="AA144" s="830">
        <v>0</v>
      </c>
      <c r="AB144" s="831">
        <v>0</v>
      </c>
      <c r="AC144" s="830">
        <v>0</v>
      </c>
      <c r="AD144" s="831">
        <v>0</v>
      </c>
      <c r="AE144" s="830">
        <v>0</v>
      </c>
      <c r="AF144" s="831">
        <v>0</v>
      </c>
      <c r="AG144" s="830">
        <v>0</v>
      </c>
      <c r="AH144" s="831">
        <v>0</v>
      </c>
      <c r="AI144" s="830">
        <v>0</v>
      </c>
      <c r="AJ144" s="831">
        <v>0</v>
      </c>
    </row>
    <row r="145" spans="1:36" s="835" customFormat="1" collapsed="1">
      <c r="A145" s="826" t="str">
        <f t="shared" si="6"/>
        <v xml:space="preserve">-3 % 60M, -3 % 72M, 360 Lease, </v>
      </c>
      <c r="B145" s="826">
        <f t="shared" si="7"/>
        <v>45</v>
      </c>
      <c r="C145" s="827"/>
      <c r="D145" s="826"/>
      <c r="E145" s="828">
        <v>0</v>
      </c>
      <c r="F145" s="829">
        <v>0</v>
      </c>
      <c r="G145" s="830">
        <v>0</v>
      </c>
      <c r="H145" s="830">
        <v>0</v>
      </c>
      <c r="I145" s="831">
        <v>0</v>
      </c>
      <c r="J145" s="831"/>
      <c r="K145" s="831"/>
      <c r="L145" s="831"/>
      <c r="M145" s="831"/>
      <c r="N145" s="831"/>
      <c r="O145" s="831"/>
      <c r="P145" s="831"/>
      <c r="Q145" s="832">
        <v>0</v>
      </c>
      <c r="R145" s="833">
        <v>-0.03</v>
      </c>
      <c r="S145" s="833">
        <v>-0.03</v>
      </c>
      <c r="T145" s="833">
        <v>-0.03</v>
      </c>
      <c r="U145" s="833">
        <v>-0.03</v>
      </c>
      <c r="V145" s="833">
        <v>-0.03</v>
      </c>
      <c r="W145" s="833" t="s">
        <v>122</v>
      </c>
      <c r="X145" s="831"/>
      <c r="Y145" s="830">
        <v>360</v>
      </c>
      <c r="Z145" s="834">
        <v>0</v>
      </c>
      <c r="AA145" s="830">
        <v>0</v>
      </c>
      <c r="AB145" s="831">
        <v>0</v>
      </c>
      <c r="AC145" s="830">
        <v>0</v>
      </c>
      <c r="AD145" s="831">
        <v>0</v>
      </c>
      <c r="AE145" s="830">
        <v>0</v>
      </c>
      <c r="AF145" s="831">
        <v>0</v>
      </c>
      <c r="AG145" s="830">
        <v>0</v>
      </c>
      <c r="AH145" s="831">
        <v>0</v>
      </c>
      <c r="AI145" s="830">
        <v>0</v>
      </c>
      <c r="AJ145" s="831">
        <v>0</v>
      </c>
    </row>
    <row r="146" spans="1:36" s="835" customFormat="1">
      <c r="A146" s="826" t="str">
        <f t="shared" si="6"/>
        <v xml:space="preserve">-4 % 60M, -4 % 72M, 360 Lease, </v>
      </c>
      <c r="B146" s="826">
        <f t="shared" si="7"/>
        <v>46</v>
      </c>
      <c r="C146" s="826"/>
      <c r="D146" s="826"/>
      <c r="E146" s="828">
        <v>0</v>
      </c>
      <c r="F146" s="829">
        <v>0</v>
      </c>
      <c r="G146" s="830">
        <v>0</v>
      </c>
      <c r="H146" s="830">
        <v>0</v>
      </c>
      <c r="I146" s="831">
        <v>0</v>
      </c>
      <c r="J146" s="831"/>
      <c r="K146" s="831"/>
      <c r="L146" s="831"/>
      <c r="M146" s="831"/>
      <c r="N146" s="831"/>
      <c r="O146" s="831"/>
      <c r="P146" s="831"/>
      <c r="Q146" s="832">
        <v>0</v>
      </c>
      <c r="R146" s="833">
        <v>-0.04</v>
      </c>
      <c r="S146" s="833">
        <v>-0.04</v>
      </c>
      <c r="T146" s="833">
        <v>-0.04</v>
      </c>
      <c r="U146" s="833">
        <v>-0.04</v>
      </c>
      <c r="V146" s="833">
        <v>-0.04</v>
      </c>
      <c r="W146" s="833" t="s">
        <v>122</v>
      </c>
      <c r="X146" s="831"/>
      <c r="Y146" s="830">
        <v>360</v>
      </c>
      <c r="Z146" s="834">
        <v>0</v>
      </c>
      <c r="AA146" s="830">
        <v>0</v>
      </c>
      <c r="AB146" s="831">
        <v>0</v>
      </c>
      <c r="AC146" s="830">
        <v>0</v>
      </c>
      <c r="AD146" s="831">
        <v>0</v>
      </c>
      <c r="AE146" s="830">
        <v>0</v>
      </c>
      <c r="AF146" s="831">
        <v>0</v>
      </c>
      <c r="AG146" s="830">
        <v>0</v>
      </c>
      <c r="AH146" s="831">
        <v>0</v>
      </c>
      <c r="AI146" s="830">
        <v>0</v>
      </c>
      <c r="AJ146" s="831">
        <v>0</v>
      </c>
    </row>
    <row r="147" spans="1:36" s="835" customFormat="1" collapsed="1">
      <c r="A147" s="826" t="str">
        <f t="shared" si="6"/>
        <v xml:space="preserve">250 CC, -360 Lease, </v>
      </c>
      <c r="B147" s="826">
        <f t="shared" si="7"/>
        <v>47</v>
      </c>
      <c r="C147" s="827"/>
      <c r="D147" s="826"/>
      <c r="E147" s="828">
        <v>250</v>
      </c>
      <c r="F147" s="829">
        <v>0</v>
      </c>
      <c r="G147" s="830">
        <v>0</v>
      </c>
      <c r="H147" s="830">
        <v>0</v>
      </c>
      <c r="I147" s="831">
        <v>0</v>
      </c>
      <c r="J147" s="831"/>
      <c r="K147" s="831"/>
      <c r="L147" s="831"/>
      <c r="M147" s="831"/>
      <c r="N147" s="831"/>
      <c r="O147" s="831"/>
      <c r="P147" s="831"/>
      <c r="Q147" s="832">
        <v>0</v>
      </c>
      <c r="R147" s="833">
        <v>0</v>
      </c>
      <c r="S147" s="833">
        <v>0</v>
      </c>
      <c r="T147" s="833">
        <v>0</v>
      </c>
      <c r="U147" s="833">
        <v>0</v>
      </c>
      <c r="V147" s="833">
        <v>0</v>
      </c>
      <c r="W147" s="833" t="s">
        <v>122</v>
      </c>
      <c r="X147" s="831"/>
      <c r="Y147" s="830">
        <v>-360</v>
      </c>
      <c r="Z147" s="834">
        <v>0</v>
      </c>
      <c r="AA147" s="830">
        <v>0</v>
      </c>
      <c r="AB147" s="831">
        <v>0</v>
      </c>
      <c r="AC147" s="830">
        <v>0</v>
      </c>
      <c r="AD147" s="831">
        <v>0</v>
      </c>
      <c r="AE147" s="830">
        <v>0</v>
      </c>
      <c r="AF147" s="831">
        <v>0</v>
      </c>
      <c r="AG147" s="830">
        <v>0</v>
      </c>
      <c r="AH147" s="831">
        <v>0</v>
      </c>
      <c r="AI147" s="830">
        <v>0</v>
      </c>
      <c r="AJ147" s="831">
        <v>0</v>
      </c>
    </row>
    <row r="148" spans="1:36" s="835" customFormat="1">
      <c r="A148" s="826" t="str">
        <f t="shared" si="6"/>
        <v xml:space="preserve">500 CC, -360 Lease, </v>
      </c>
      <c r="B148" s="826">
        <f t="shared" si="7"/>
        <v>48</v>
      </c>
      <c r="C148" s="826"/>
      <c r="D148" s="826"/>
      <c r="E148" s="828">
        <v>500</v>
      </c>
      <c r="F148" s="829">
        <v>0</v>
      </c>
      <c r="G148" s="830">
        <v>0</v>
      </c>
      <c r="H148" s="830">
        <v>0</v>
      </c>
      <c r="I148" s="831">
        <v>0</v>
      </c>
      <c r="J148" s="831"/>
      <c r="K148" s="831"/>
      <c r="L148" s="831"/>
      <c r="M148" s="831"/>
      <c r="N148" s="831"/>
      <c r="O148" s="831"/>
      <c r="P148" s="831"/>
      <c r="Q148" s="832">
        <v>0</v>
      </c>
      <c r="R148" s="833">
        <v>0</v>
      </c>
      <c r="S148" s="833">
        <v>0</v>
      </c>
      <c r="T148" s="833">
        <v>0</v>
      </c>
      <c r="U148" s="833">
        <v>0</v>
      </c>
      <c r="V148" s="833">
        <v>0</v>
      </c>
      <c r="W148" s="833" t="s">
        <v>122</v>
      </c>
      <c r="X148" s="831"/>
      <c r="Y148" s="830">
        <v>-360</v>
      </c>
      <c r="Z148" s="834">
        <v>0</v>
      </c>
      <c r="AA148" s="830">
        <v>0</v>
      </c>
      <c r="AB148" s="831">
        <v>0</v>
      </c>
      <c r="AC148" s="830">
        <v>0</v>
      </c>
      <c r="AD148" s="831">
        <v>0</v>
      </c>
      <c r="AE148" s="830">
        <v>0</v>
      </c>
      <c r="AF148" s="831">
        <v>0</v>
      </c>
      <c r="AG148" s="830">
        <v>0</v>
      </c>
      <c r="AH148" s="831">
        <v>0</v>
      </c>
      <c r="AI148" s="830">
        <v>0</v>
      </c>
      <c r="AJ148" s="831">
        <v>0</v>
      </c>
    </row>
    <row r="149" spans="1:36" s="835" customFormat="1" collapsed="1">
      <c r="A149" s="826" t="str">
        <f t="shared" si="6"/>
        <v xml:space="preserve">750 CC, -360 Lease, </v>
      </c>
      <c r="B149" s="826">
        <f t="shared" si="7"/>
        <v>49</v>
      </c>
      <c r="C149" s="827"/>
      <c r="D149" s="826"/>
      <c r="E149" s="828">
        <v>750</v>
      </c>
      <c r="F149" s="829">
        <v>0</v>
      </c>
      <c r="G149" s="830">
        <v>0</v>
      </c>
      <c r="H149" s="830">
        <v>0</v>
      </c>
      <c r="I149" s="831">
        <v>0</v>
      </c>
      <c r="J149" s="831"/>
      <c r="K149" s="831"/>
      <c r="L149" s="831"/>
      <c r="M149" s="831"/>
      <c r="N149" s="831"/>
      <c r="O149" s="831"/>
      <c r="P149" s="831"/>
      <c r="Q149" s="832">
        <v>0</v>
      </c>
      <c r="R149" s="833">
        <v>0</v>
      </c>
      <c r="S149" s="833">
        <v>0</v>
      </c>
      <c r="T149" s="833">
        <v>0</v>
      </c>
      <c r="U149" s="833">
        <v>0</v>
      </c>
      <c r="V149" s="833">
        <v>0</v>
      </c>
      <c r="W149" s="833" t="s">
        <v>122</v>
      </c>
      <c r="X149" s="831"/>
      <c r="Y149" s="830">
        <v>-360</v>
      </c>
      <c r="Z149" s="834">
        <v>0</v>
      </c>
      <c r="AA149" s="830">
        <v>0</v>
      </c>
      <c r="AB149" s="831">
        <v>0</v>
      </c>
      <c r="AC149" s="830">
        <v>0</v>
      </c>
      <c r="AD149" s="831">
        <v>0</v>
      </c>
      <c r="AE149" s="830">
        <v>0</v>
      </c>
      <c r="AF149" s="831">
        <v>0</v>
      </c>
      <c r="AG149" s="830">
        <v>0</v>
      </c>
      <c r="AH149" s="831">
        <v>0</v>
      </c>
      <c r="AI149" s="830">
        <v>0</v>
      </c>
      <c r="AJ149" s="831">
        <v>0</v>
      </c>
    </row>
    <row r="150" spans="1:36" s="835" customFormat="1">
      <c r="A150" s="826" t="str">
        <f t="shared" si="6"/>
        <v xml:space="preserve">1000 CC, -360 Lease, </v>
      </c>
      <c r="B150" s="826">
        <f t="shared" si="7"/>
        <v>50</v>
      </c>
      <c r="C150" s="826"/>
      <c r="D150" s="826"/>
      <c r="E150" s="828">
        <v>1000</v>
      </c>
      <c r="F150" s="829">
        <v>0</v>
      </c>
      <c r="G150" s="830">
        <v>0</v>
      </c>
      <c r="H150" s="830">
        <v>0</v>
      </c>
      <c r="I150" s="831">
        <v>0</v>
      </c>
      <c r="J150" s="831"/>
      <c r="K150" s="831"/>
      <c r="L150" s="831"/>
      <c r="M150" s="831"/>
      <c r="N150" s="831"/>
      <c r="O150" s="831"/>
      <c r="P150" s="831"/>
      <c r="Q150" s="832">
        <v>0</v>
      </c>
      <c r="R150" s="833">
        <v>0</v>
      </c>
      <c r="S150" s="833">
        <v>0</v>
      </c>
      <c r="T150" s="833">
        <v>0</v>
      </c>
      <c r="U150" s="833">
        <v>0</v>
      </c>
      <c r="V150" s="833">
        <v>0</v>
      </c>
      <c r="W150" s="833" t="s">
        <v>122</v>
      </c>
      <c r="X150" s="831"/>
      <c r="Y150" s="830">
        <v>-360</v>
      </c>
      <c r="Z150" s="834">
        <v>0</v>
      </c>
      <c r="AA150" s="830">
        <v>0</v>
      </c>
      <c r="AB150" s="831">
        <v>0</v>
      </c>
      <c r="AC150" s="830">
        <v>0</v>
      </c>
      <c r="AD150" s="831">
        <v>0</v>
      </c>
      <c r="AE150" s="830">
        <v>0</v>
      </c>
      <c r="AF150" s="831">
        <v>0</v>
      </c>
      <c r="AG150" s="830">
        <v>0</v>
      </c>
      <c r="AH150" s="831">
        <v>0</v>
      </c>
      <c r="AI150" s="830">
        <v>0</v>
      </c>
      <c r="AJ150" s="831">
        <v>0</v>
      </c>
    </row>
    <row r="151" spans="1:36" s="835" customFormat="1" collapsed="1">
      <c r="A151" s="826" t="str">
        <f t="shared" si="6"/>
        <v xml:space="preserve">-1 % 60M, -1 % 72M, -360 Lease, </v>
      </c>
      <c r="B151" s="826">
        <f t="shared" si="7"/>
        <v>51</v>
      </c>
      <c r="C151" s="827"/>
      <c r="D151" s="826"/>
      <c r="E151" s="828">
        <v>0</v>
      </c>
      <c r="F151" s="829">
        <v>0</v>
      </c>
      <c r="G151" s="830">
        <v>0</v>
      </c>
      <c r="H151" s="830">
        <v>0</v>
      </c>
      <c r="I151" s="831">
        <v>0</v>
      </c>
      <c r="J151" s="831"/>
      <c r="K151" s="831"/>
      <c r="L151" s="831"/>
      <c r="M151" s="831"/>
      <c r="N151" s="831"/>
      <c r="O151" s="831"/>
      <c r="P151" s="831"/>
      <c r="Q151" s="832">
        <v>0</v>
      </c>
      <c r="R151" s="833">
        <v>-0.01</v>
      </c>
      <c r="S151" s="833">
        <v>-0.01</v>
      </c>
      <c r="T151" s="833">
        <v>-0.01</v>
      </c>
      <c r="U151" s="833">
        <v>-0.01</v>
      </c>
      <c r="V151" s="833">
        <v>-0.01</v>
      </c>
      <c r="W151" s="833" t="s">
        <v>122</v>
      </c>
      <c r="X151" s="831"/>
      <c r="Y151" s="830">
        <v>-360</v>
      </c>
      <c r="Z151" s="834">
        <v>0</v>
      </c>
      <c r="AA151" s="830">
        <v>0</v>
      </c>
      <c r="AB151" s="831">
        <v>0</v>
      </c>
      <c r="AC151" s="830">
        <v>0</v>
      </c>
      <c r="AD151" s="831">
        <v>0</v>
      </c>
      <c r="AE151" s="830">
        <v>0</v>
      </c>
      <c r="AF151" s="831">
        <v>0</v>
      </c>
      <c r="AG151" s="830">
        <v>0</v>
      </c>
      <c r="AH151" s="831">
        <v>0</v>
      </c>
      <c r="AI151" s="830">
        <v>0</v>
      </c>
      <c r="AJ151" s="831">
        <v>0</v>
      </c>
    </row>
    <row r="152" spans="1:36" s="835" customFormat="1">
      <c r="A152" s="826" t="str">
        <f t="shared" si="6"/>
        <v xml:space="preserve">-2 % 60M, -2 % 72M, -360 Lease, </v>
      </c>
      <c r="B152" s="826">
        <f t="shared" si="7"/>
        <v>52</v>
      </c>
      <c r="C152" s="826"/>
      <c r="D152" s="826"/>
      <c r="E152" s="828">
        <v>0</v>
      </c>
      <c r="F152" s="829">
        <v>0</v>
      </c>
      <c r="G152" s="830">
        <v>0</v>
      </c>
      <c r="H152" s="830">
        <v>0</v>
      </c>
      <c r="I152" s="831">
        <v>0</v>
      </c>
      <c r="J152" s="831"/>
      <c r="K152" s="831"/>
      <c r="L152" s="831"/>
      <c r="M152" s="831"/>
      <c r="N152" s="831"/>
      <c r="O152" s="831"/>
      <c r="P152" s="831"/>
      <c r="Q152" s="832">
        <v>0</v>
      </c>
      <c r="R152" s="833">
        <v>-0.02</v>
      </c>
      <c r="S152" s="833">
        <v>-0.02</v>
      </c>
      <c r="T152" s="833">
        <v>-0.02</v>
      </c>
      <c r="U152" s="833">
        <v>-0.02</v>
      </c>
      <c r="V152" s="833">
        <v>-0.02</v>
      </c>
      <c r="W152" s="833" t="s">
        <v>122</v>
      </c>
      <c r="X152" s="831"/>
      <c r="Y152" s="830">
        <v>-360</v>
      </c>
      <c r="Z152" s="834">
        <v>0</v>
      </c>
      <c r="AA152" s="830">
        <v>0</v>
      </c>
      <c r="AB152" s="831">
        <v>0</v>
      </c>
      <c r="AC152" s="830">
        <v>0</v>
      </c>
      <c r="AD152" s="831">
        <v>0</v>
      </c>
      <c r="AE152" s="830">
        <v>0</v>
      </c>
      <c r="AF152" s="831">
        <v>0</v>
      </c>
      <c r="AG152" s="830">
        <v>0</v>
      </c>
      <c r="AH152" s="831">
        <v>0</v>
      </c>
      <c r="AI152" s="830">
        <v>0</v>
      </c>
      <c r="AJ152" s="831">
        <v>0</v>
      </c>
    </row>
    <row r="153" spans="1:36" s="835" customFormat="1" collapsed="1">
      <c r="A153" s="826" t="str">
        <f t="shared" si="6"/>
        <v xml:space="preserve">-3 % 60M, -3 % 72M, -360 Lease, </v>
      </c>
      <c r="B153" s="826">
        <f t="shared" si="7"/>
        <v>53</v>
      </c>
      <c r="C153" s="827"/>
      <c r="D153" s="826"/>
      <c r="E153" s="828">
        <v>0</v>
      </c>
      <c r="F153" s="829">
        <v>0</v>
      </c>
      <c r="G153" s="830">
        <v>0</v>
      </c>
      <c r="H153" s="830">
        <v>0</v>
      </c>
      <c r="I153" s="831">
        <v>0</v>
      </c>
      <c r="J153" s="831"/>
      <c r="K153" s="831"/>
      <c r="L153" s="831"/>
      <c r="M153" s="831"/>
      <c r="N153" s="831"/>
      <c r="O153" s="831"/>
      <c r="P153" s="831"/>
      <c r="Q153" s="832">
        <v>0</v>
      </c>
      <c r="R153" s="833">
        <v>-0.03</v>
      </c>
      <c r="S153" s="833">
        <v>-0.03</v>
      </c>
      <c r="T153" s="833">
        <v>-0.03</v>
      </c>
      <c r="U153" s="833">
        <v>-0.03</v>
      </c>
      <c r="V153" s="833">
        <v>-0.03</v>
      </c>
      <c r="W153" s="833" t="s">
        <v>122</v>
      </c>
      <c r="X153" s="831"/>
      <c r="Y153" s="830">
        <v>-360</v>
      </c>
      <c r="Z153" s="834">
        <v>0</v>
      </c>
      <c r="AA153" s="830">
        <v>0</v>
      </c>
      <c r="AB153" s="831">
        <v>0</v>
      </c>
      <c r="AC153" s="830">
        <v>0</v>
      </c>
      <c r="AD153" s="831">
        <v>0</v>
      </c>
      <c r="AE153" s="830">
        <v>0</v>
      </c>
      <c r="AF153" s="831">
        <v>0</v>
      </c>
      <c r="AG153" s="830">
        <v>0</v>
      </c>
      <c r="AH153" s="831">
        <v>0</v>
      </c>
      <c r="AI153" s="830">
        <v>0</v>
      </c>
      <c r="AJ153" s="831">
        <v>0</v>
      </c>
    </row>
    <row r="154" spans="1:36" s="835" customFormat="1">
      <c r="A154" s="826" t="str">
        <f t="shared" si="6"/>
        <v xml:space="preserve">-4 % 60M, -4 % 72M, -360 Lease, </v>
      </c>
      <c r="B154" s="826">
        <f t="shared" si="7"/>
        <v>54</v>
      </c>
      <c r="C154" s="826"/>
      <c r="D154" s="826"/>
      <c r="E154" s="828">
        <v>0</v>
      </c>
      <c r="F154" s="829">
        <v>0</v>
      </c>
      <c r="G154" s="830">
        <v>0</v>
      </c>
      <c r="H154" s="830">
        <v>0</v>
      </c>
      <c r="I154" s="831">
        <v>0</v>
      </c>
      <c r="J154" s="831"/>
      <c r="K154" s="831"/>
      <c r="L154" s="831"/>
      <c r="M154" s="831"/>
      <c r="N154" s="831"/>
      <c r="O154" s="831"/>
      <c r="P154" s="831"/>
      <c r="Q154" s="832">
        <v>0</v>
      </c>
      <c r="R154" s="833">
        <v>-0.04</v>
      </c>
      <c r="S154" s="833">
        <v>-0.04</v>
      </c>
      <c r="T154" s="833">
        <v>-0.04</v>
      </c>
      <c r="U154" s="833">
        <v>-0.04</v>
      </c>
      <c r="V154" s="833">
        <v>-0.04</v>
      </c>
      <c r="W154" s="833" t="s">
        <v>122</v>
      </c>
      <c r="X154" s="831"/>
      <c r="Y154" s="830">
        <v>-360</v>
      </c>
      <c r="Z154" s="834">
        <v>0</v>
      </c>
      <c r="AA154" s="830">
        <v>0</v>
      </c>
      <c r="AB154" s="831">
        <v>0</v>
      </c>
      <c r="AC154" s="830">
        <v>0</v>
      </c>
      <c r="AD154" s="831">
        <v>0</v>
      </c>
      <c r="AE154" s="830">
        <v>0</v>
      </c>
      <c r="AF154" s="831">
        <v>0</v>
      </c>
      <c r="AG154" s="830">
        <v>0</v>
      </c>
      <c r="AH154" s="831">
        <v>0</v>
      </c>
      <c r="AI154" s="830">
        <v>0</v>
      </c>
      <c r="AJ154" s="831">
        <v>0</v>
      </c>
    </row>
    <row r="155" spans="1:36" s="835" customFormat="1" collapsed="1">
      <c r="A155" s="826" t="str">
        <f t="shared" si="6"/>
        <v xml:space="preserve">500 CC, 500 Combo, 360 Lease, </v>
      </c>
      <c r="B155" s="826">
        <f t="shared" si="7"/>
        <v>55</v>
      </c>
      <c r="C155" s="827"/>
      <c r="D155" s="826"/>
      <c r="E155" s="828">
        <v>500</v>
      </c>
      <c r="F155" s="829">
        <v>0</v>
      </c>
      <c r="G155" s="830">
        <v>0</v>
      </c>
      <c r="H155" s="830">
        <v>0</v>
      </c>
      <c r="I155" s="831">
        <v>0</v>
      </c>
      <c r="J155" s="831"/>
      <c r="K155" s="831"/>
      <c r="L155" s="831"/>
      <c r="M155" s="831"/>
      <c r="N155" s="831"/>
      <c r="O155" s="831"/>
      <c r="P155" s="831"/>
      <c r="Q155" s="832">
        <v>500</v>
      </c>
      <c r="R155" s="833">
        <v>0</v>
      </c>
      <c r="S155" s="833">
        <v>0</v>
      </c>
      <c r="T155" s="833">
        <v>0</v>
      </c>
      <c r="U155" s="833">
        <v>0</v>
      </c>
      <c r="V155" s="833">
        <v>0</v>
      </c>
      <c r="W155" s="833" t="s">
        <v>122</v>
      </c>
      <c r="X155" s="831"/>
      <c r="Y155" s="830">
        <v>360</v>
      </c>
      <c r="Z155" s="834">
        <v>0</v>
      </c>
      <c r="AA155" s="830">
        <v>0</v>
      </c>
      <c r="AB155" s="831">
        <v>0</v>
      </c>
      <c r="AC155" s="830">
        <v>0</v>
      </c>
      <c r="AD155" s="831">
        <v>0</v>
      </c>
      <c r="AE155" s="830">
        <v>0</v>
      </c>
      <c r="AF155" s="831">
        <v>0</v>
      </c>
      <c r="AG155" s="830">
        <v>0</v>
      </c>
      <c r="AH155" s="831">
        <v>0</v>
      </c>
      <c r="AI155" s="830">
        <v>0</v>
      </c>
      <c r="AJ155" s="831">
        <v>0</v>
      </c>
    </row>
    <row r="156" spans="1:36" s="835" customFormat="1">
      <c r="A156" s="826" t="str">
        <f t="shared" si="6"/>
        <v xml:space="preserve">1000 CC, 1000 Combo, 720 Lease, </v>
      </c>
      <c r="B156" s="826">
        <f t="shared" si="7"/>
        <v>56</v>
      </c>
      <c r="C156" s="826"/>
      <c r="D156" s="826"/>
      <c r="E156" s="828">
        <v>1000</v>
      </c>
      <c r="F156" s="829">
        <v>0</v>
      </c>
      <c r="G156" s="830">
        <v>0</v>
      </c>
      <c r="H156" s="830">
        <v>0</v>
      </c>
      <c r="I156" s="831">
        <v>0</v>
      </c>
      <c r="J156" s="831"/>
      <c r="K156" s="831"/>
      <c r="L156" s="831"/>
      <c r="M156" s="831"/>
      <c r="N156" s="831"/>
      <c r="O156" s="831"/>
      <c r="P156" s="831"/>
      <c r="Q156" s="832">
        <v>1000</v>
      </c>
      <c r="R156" s="833">
        <v>0</v>
      </c>
      <c r="S156" s="833">
        <v>0</v>
      </c>
      <c r="T156" s="833">
        <v>0</v>
      </c>
      <c r="U156" s="833">
        <v>0</v>
      </c>
      <c r="V156" s="833">
        <v>0</v>
      </c>
      <c r="W156" s="833" t="s">
        <v>122</v>
      </c>
      <c r="X156" s="831"/>
      <c r="Y156" s="830">
        <v>720</v>
      </c>
      <c r="Z156" s="834">
        <v>0</v>
      </c>
      <c r="AA156" s="830">
        <v>0</v>
      </c>
      <c r="AB156" s="831">
        <v>0</v>
      </c>
      <c r="AC156" s="830">
        <v>0</v>
      </c>
      <c r="AD156" s="831">
        <v>0</v>
      </c>
      <c r="AE156" s="830">
        <v>0</v>
      </c>
      <c r="AF156" s="831">
        <v>0</v>
      </c>
      <c r="AG156" s="830">
        <v>0</v>
      </c>
      <c r="AH156" s="831">
        <v>0</v>
      </c>
      <c r="AI156" s="830">
        <v>0</v>
      </c>
      <c r="AJ156" s="831">
        <v>0</v>
      </c>
    </row>
    <row r="157" spans="1:36" s="835" customFormat="1" collapsed="1">
      <c r="A157" s="826" t="str">
        <f t="shared" si="6"/>
        <v xml:space="preserve">500 CC, -1 % 60M, -1 % 72M, 360 Lease, </v>
      </c>
      <c r="B157" s="826">
        <f t="shared" si="7"/>
        <v>57</v>
      </c>
      <c r="C157" s="827"/>
      <c r="D157" s="826"/>
      <c r="E157" s="828">
        <v>500</v>
      </c>
      <c r="F157" s="829">
        <v>0</v>
      </c>
      <c r="G157" s="830">
        <v>0</v>
      </c>
      <c r="H157" s="830">
        <v>0</v>
      </c>
      <c r="I157" s="831">
        <v>0</v>
      </c>
      <c r="J157" s="831"/>
      <c r="K157" s="831"/>
      <c r="L157" s="831"/>
      <c r="M157" s="831"/>
      <c r="N157" s="831"/>
      <c r="O157" s="831"/>
      <c r="P157" s="831"/>
      <c r="Q157" s="832">
        <v>0</v>
      </c>
      <c r="R157" s="833">
        <v>-0.01</v>
      </c>
      <c r="S157" s="833">
        <v>-0.01</v>
      </c>
      <c r="T157" s="833">
        <v>-0.01</v>
      </c>
      <c r="U157" s="833">
        <v>-0.01</v>
      </c>
      <c r="V157" s="833">
        <v>-0.01</v>
      </c>
      <c r="W157" s="833" t="s">
        <v>122</v>
      </c>
      <c r="X157" s="831"/>
      <c r="Y157" s="830">
        <v>360</v>
      </c>
      <c r="Z157" s="834">
        <v>0</v>
      </c>
      <c r="AA157" s="830">
        <v>0</v>
      </c>
      <c r="AB157" s="831">
        <v>0</v>
      </c>
      <c r="AC157" s="830">
        <v>0</v>
      </c>
      <c r="AD157" s="831">
        <v>0</v>
      </c>
      <c r="AE157" s="830">
        <v>0</v>
      </c>
      <c r="AF157" s="831">
        <v>0</v>
      </c>
      <c r="AG157" s="830">
        <v>0</v>
      </c>
      <c r="AH157" s="831">
        <v>0</v>
      </c>
      <c r="AI157" s="830">
        <v>0</v>
      </c>
      <c r="AJ157" s="831">
        <v>0</v>
      </c>
    </row>
    <row r="158" spans="1:36" s="835" customFormat="1">
      <c r="A158" s="826" t="str">
        <f t="shared" si="6"/>
        <v xml:space="preserve">1000 CC, -1 % 60M, -1 % 72M, 360 Lease, </v>
      </c>
      <c r="B158" s="826">
        <f t="shared" si="7"/>
        <v>58</v>
      </c>
      <c r="C158" s="826"/>
      <c r="D158" s="826"/>
      <c r="E158" s="828">
        <v>1000</v>
      </c>
      <c r="F158" s="829">
        <v>0</v>
      </c>
      <c r="G158" s="830">
        <v>0</v>
      </c>
      <c r="H158" s="830">
        <v>0</v>
      </c>
      <c r="I158" s="831">
        <v>0</v>
      </c>
      <c r="J158" s="831"/>
      <c r="K158" s="831"/>
      <c r="L158" s="831"/>
      <c r="M158" s="831"/>
      <c r="N158" s="831"/>
      <c r="O158" s="831"/>
      <c r="P158" s="831"/>
      <c r="Q158" s="832">
        <v>0</v>
      </c>
      <c r="R158" s="833">
        <v>-0.01</v>
      </c>
      <c r="S158" s="833">
        <v>-0.01</v>
      </c>
      <c r="T158" s="833">
        <v>-0.01</v>
      </c>
      <c r="U158" s="833">
        <v>-0.01</v>
      </c>
      <c r="V158" s="833">
        <v>-0.01</v>
      </c>
      <c r="W158" s="833" t="s">
        <v>122</v>
      </c>
      <c r="X158" s="831"/>
      <c r="Y158" s="830">
        <v>360</v>
      </c>
      <c r="Z158" s="834">
        <v>0</v>
      </c>
      <c r="AA158" s="830">
        <v>0</v>
      </c>
      <c r="AB158" s="831">
        <v>0</v>
      </c>
      <c r="AC158" s="830">
        <v>0</v>
      </c>
      <c r="AD158" s="831">
        <v>0</v>
      </c>
      <c r="AE158" s="830">
        <v>0</v>
      </c>
      <c r="AF158" s="831">
        <v>0</v>
      </c>
      <c r="AG158" s="830">
        <v>0</v>
      </c>
      <c r="AH158" s="831">
        <v>0</v>
      </c>
      <c r="AI158" s="830">
        <v>0</v>
      </c>
      <c r="AJ158" s="831">
        <v>0</v>
      </c>
    </row>
    <row r="159" spans="1:36" s="835" customFormat="1" collapsed="1">
      <c r="A159" s="826" t="str">
        <f t="shared" si="6"/>
        <v xml:space="preserve">250 CC, -1 % 60M, -1 % 72M, -360 Lease, </v>
      </c>
      <c r="B159" s="826">
        <f t="shared" si="7"/>
        <v>59</v>
      </c>
      <c r="C159" s="827"/>
      <c r="D159" s="826"/>
      <c r="E159" s="828">
        <v>250</v>
      </c>
      <c r="F159" s="829">
        <v>0</v>
      </c>
      <c r="G159" s="830">
        <v>0</v>
      </c>
      <c r="H159" s="830">
        <v>0</v>
      </c>
      <c r="I159" s="831">
        <v>0</v>
      </c>
      <c r="J159" s="831"/>
      <c r="K159" s="831"/>
      <c r="L159" s="831"/>
      <c r="M159" s="831"/>
      <c r="N159" s="831"/>
      <c r="O159" s="831"/>
      <c r="P159" s="831"/>
      <c r="Q159" s="832">
        <v>0</v>
      </c>
      <c r="R159" s="833">
        <v>-0.01</v>
      </c>
      <c r="S159" s="833">
        <v>-0.01</v>
      </c>
      <c r="T159" s="833">
        <v>-0.01</v>
      </c>
      <c r="U159" s="833">
        <v>-0.01</v>
      </c>
      <c r="V159" s="833">
        <v>-0.01</v>
      </c>
      <c r="W159" s="833" t="s">
        <v>122</v>
      </c>
      <c r="X159" s="831"/>
      <c r="Y159" s="830">
        <v>-360</v>
      </c>
      <c r="Z159" s="834">
        <v>0</v>
      </c>
      <c r="AA159" s="830">
        <v>0</v>
      </c>
      <c r="AB159" s="831">
        <v>0</v>
      </c>
      <c r="AC159" s="830">
        <v>0</v>
      </c>
      <c r="AD159" s="831">
        <v>0</v>
      </c>
      <c r="AE159" s="830">
        <v>0</v>
      </c>
      <c r="AF159" s="831">
        <v>0</v>
      </c>
      <c r="AG159" s="830">
        <v>0</v>
      </c>
      <c r="AH159" s="831">
        <v>0</v>
      </c>
      <c r="AI159" s="830">
        <v>0</v>
      </c>
      <c r="AJ159" s="831">
        <v>0</v>
      </c>
    </row>
    <row r="160" spans="1:36" s="835" customFormat="1">
      <c r="A160" s="826" t="str">
        <f t="shared" si="6"/>
        <v xml:space="preserve">500 CC, -1 % 60M, -1 % 72M, -360 Lease, </v>
      </c>
      <c r="B160" s="826">
        <f t="shared" si="7"/>
        <v>60</v>
      </c>
      <c r="C160" s="826"/>
      <c r="D160" s="826"/>
      <c r="E160" s="828">
        <v>500</v>
      </c>
      <c r="F160" s="829">
        <v>0</v>
      </c>
      <c r="G160" s="830">
        <v>0</v>
      </c>
      <c r="H160" s="830">
        <v>0</v>
      </c>
      <c r="I160" s="831">
        <v>0</v>
      </c>
      <c r="J160" s="831"/>
      <c r="K160" s="831"/>
      <c r="L160" s="831"/>
      <c r="M160" s="831"/>
      <c r="N160" s="831"/>
      <c r="O160" s="831"/>
      <c r="P160" s="831"/>
      <c r="Q160" s="832">
        <v>0</v>
      </c>
      <c r="R160" s="833">
        <v>-0.01</v>
      </c>
      <c r="S160" s="833">
        <v>-0.01</v>
      </c>
      <c r="T160" s="833">
        <v>-0.01</v>
      </c>
      <c r="U160" s="833">
        <v>-0.01</v>
      </c>
      <c r="V160" s="833">
        <v>-0.01</v>
      </c>
      <c r="W160" s="833" t="s">
        <v>122</v>
      </c>
      <c r="X160" s="831"/>
      <c r="Y160" s="830">
        <v>-360</v>
      </c>
      <c r="Z160" s="834">
        <v>0</v>
      </c>
      <c r="AA160" s="830">
        <v>0</v>
      </c>
      <c r="AB160" s="831">
        <v>0</v>
      </c>
      <c r="AC160" s="830">
        <v>0</v>
      </c>
      <c r="AD160" s="831">
        <v>0</v>
      </c>
      <c r="AE160" s="830">
        <v>0</v>
      </c>
      <c r="AF160" s="831">
        <v>0</v>
      </c>
      <c r="AG160" s="830">
        <v>0</v>
      </c>
      <c r="AH160" s="831">
        <v>0</v>
      </c>
      <c r="AI160" s="830">
        <v>0</v>
      </c>
      <c r="AJ160" s="831">
        <v>0</v>
      </c>
    </row>
    <row r="161" spans="1:36" s="835" customFormat="1" collapsed="1">
      <c r="A161" s="826" t="str">
        <f t="shared" si="6"/>
        <v xml:space="preserve">750 CC, -1 % 60M, -1 % 72M, -360 Lease, </v>
      </c>
      <c r="B161" s="826">
        <f t="shared" si="7"/>
        <v>61</v>
      </c>
      <c r="C161" s="827"/>
      <c r="D161" s="826"/>
      <c r="E161" s="828">
        <v>750</v>
      </c>
      <c r="F161" s="829">
        <v>0</v>
      </c>
      <c r="G161" s="830">
        <v>0</v>
      </c>
      <c r="H161" s="830">
        <v>0</v>
      </c>
      <c r="I161" s="831">
        <v>0</v>
      </c>
      <c r="J161" s="831"/>
      <c r="K161" s="831"/>
      <c r="L161" s="831"/>
      <c r="M161" s="831"/>
      <c r="N161" s="831"/>
      <c r="O161" s="831"/>
      <c r="P161" s="831"/>
      <c r="Q161" s="832">
        <v>0</v>
      </c>
      <c r="R161" s="833">
        <v>-0.01</v>
      </c>
      <c r="S161" s="833">
        <v>-0.01</v>
      </c>
      <c r="T161" s="833">
        <v>-0.01</v>
      </c>
      <c r="U161" s="833">
        <v>-0.01</v>
      </c>
      <c r="V161" s="833">
        <v>-0.01</v>
      </c>
      <c r="W161" s="833" t="s">
        <v>122</v>
      </c>
      <c r="X161" s="831"/>
      <c r="Y161" s="830">
        <v>-360</v>
      </c>
      <c r="Z161" s="834">
        <v>0</v>
      </c>
      <c r="AA161" s="830">
        <v>0</v>
      </c>
      <c r="AB161" s="831">
        <v>0</v>
      </c>
      <c r="AC161" s="830">
        <v>0</v>
      </c>
      <c r="AD161" s="831">
        <v>0</v>
      </c>
      <c r="AE161" s="830">
        <v>0</v>
      </c>
      <c r="AF161" s="831">
        <v>0</v>
      </c>
      <c r="AG161" s="830">
        <v>0</v>
      </c>
      <c r="AH161" s="831">
        <v>0</v>
      </c>
      <c r="AI161" s="830">
        <v>0</v>
      </c>
      <c r="AJ161" s="831">
        <v>0</v>
      </c>
    </row>
    <row r="162" spans="1:36" s="835" customFormat="1">
      <c r="A162" s="826" t="str">
        <f t="shared" si="6"/>
        <v xml:space="preserve">1000 CC, -1 % 60M, -1 % 72M, -360 Lease, </v>
      </c>
      <c r="B162" s="826">
        <f t="shared" si="7"/>
        <v>62</v>
      </c>
      <c r="C162" s="826"/>
      <c r="D162" s="826"/>
      <c r="E162" s="828">
        <v>1000</v>
      </c>
      <c r="F162" s="829">
        <v>0</v>
      </c>
      <c r="G162" s="830">
        <v>0</v>
      </c>
      <c r="H162" s="830">
        <v>0</v>
      </c>
      <c r="I162" s="831">
        <v>0</v>
      </c>
      <c r="J162" s="831"/>
      <c r="K162" s="831"/>
      <c r="L162" s="831"/>
      <c r="M162" s="831"/>
      <c r="N162" s="831"/>
      <c r="O162" s="831"/>
      <c r="P162" s="831"/>
      <c r="Q162" s="832">
        <v>0</v>
      </c>
      <c r="R162" s="833">
        <v>-0.01</v>
      </c>
      <c r="S162" s="833">
        <v>-0.01</v>
      </c>
      <c r="T162" s="833">
        <v>-0.01</v>
      </c>
      <c r="U162" s="833">
        <v>-0.01</v>
      </c>
      <c r="V162" s="833">
        <v>-0.01</v>
      </c>
      <c r="W162" s="833" t="s">
        <v>122</v>
      </c>
      <c r="X162" s="831"/>
      <c r="Y162" s="830">
        <v>-360</v>
      </c>
      <c r="Z162" s="834">
        <v>0</v>
      </c>
      <c r="AA162" s="830">
        <v>0</v>
      </c>
      <c r="AB162" s="831">
        <v>0</v>
      </c>
      <c r="AC162" s="830">
        <v>0</v>
      </c>
      <c r="AD162" s="831">
        <v>0</v>
      </c>
      <c r="AE162" s="830">
        <v>0</v>
      </c>
      <c r="AF162" s="831">
        <v>0</v>
      </c>
      <c r="AG162" s="830">
        <v>0</v>
      </c>
      <c r="AH162" s="831">
        <v>0</v>
      </c>
      <c r="AI162" s="830">
        <v>0</v>
      </c>
      <c r="AJ162" s="831">
        <v>0</v>
      </c>
    </row>
    <row r="163" spans="1:36" s="835" customFormat="1" collapsed="1">
      <c r="A163" s="826" t="str">
        <f t="shared" si="6"/>
        <v xml:space="preserve">500 CC, 500 Combo, -180 Lease, </v>
      </c>
      <c r="B163" s="826">
        <f t="shared" si="7"/>
        <v>63</v>
      </c>
      <c r="C163" s="827"/>
      <c r="D163" s="826"/>
      <c r="E163" s="828">
        <v>500</v>
      </c>
      <c r="F163" s="829">
        <v>0</v>
      </c>
      <c r="G163" s="830">
        <v>0</v>
      </c>
      <c r="H163" s="830">
        <v>0</v>
      </c>
      <c r="I163" s="831">
        <v>0</v>
      </c>
      <c r="J163" s="831"/>
      <c r="K163" s="831"/>
      <c r="L163" s="831"/>
      <c r="M163" s="831"/>
      <c r="N163" s="831"/>
      <c r="O163" s="831"/>
      <c r="P163" s="831"/>
      <c r="Q163" s="832">
        <v>500</v>
      </c>
      <c r="R163" s="833">
        <v>0</v>
      </c>
      <c r="S163" s="833">
        <v>0</v>
      </c>
      <c r="T163" s="833">
        <v>0</v>
      </c>
      <c r="U163" s="833">
        <v>0</v>
      </c>
      <c r="V163" s="833">
        <v>0</v>
      </c>
      <c r="W163" s="833" t="s">
        <v>122</v>
      </c>
      <c r="X163" s="831"/>
      <c r="Y163" s="830">
        <v>-180</v>
      </c>
      <c r="Z163" s="834">
        <v>0</v>
      </c>
      <c r="AA163" s="830">
        <v>0</v>
      </c>
      <c r="AB163" s="831">
        <v>0</v>
      </c>
      <c r="AC163" s="830">
        <v>0</v>
      </c>
      <c r="AD163" s="831">
        <v>0</v>
      </c>
      <c r="AE163" s="830">
        <v>0</v>
      </c>
      <c r="AF163" s="831">
        <v>0</v>
      </c>
      <c r="AG163" s="830">
        <v>0</v>
      </c>
      <c r="AH163" s="831">
        <v>0</v>
      </c>
      <c r="AI163" s="830">
        <v>0</v>
      </c>
      <c r="AJ163" s="831">
        <v>0</v>
      </c>
    </row>
    <row r="164" spans="1:36" s="835" customFormat="1">
      <c r="A164" s="826" t="str">
        <f t="shared" si="6"/>
        <v xml:space="preserve">1000 CC, 1000 Combo, -180 Lease, </v>
      </c>
      <c r="B164" s="826">
        <f t="shared" si="7"/>
        <v>64</v>
      </c>
      <c r="C164" s="826"/>
      <c r="D164" s="826"/>
      <c r="E164" s="828">
        <v>1000</v>
      </c>
      <c r="F164" s="829">
        <v>0</v>
      </c>
      <c r="G164" s="830">
        <v>0</v>
      </c>
      <c r="H164" s="830">
        <v>0</v>
      </c>
      <c r="I164" s="831">
        <v>0</v>
      </c>
      <c r="J164" s="831"/>
      <c r="K164" s="831"/>
      <c r="L164" s="831"/>
      <c r="M164" s="831"/>
      <c r="N164" s="831"/>
      <c r="O164" s="831"/>
      <c r="P164" s="831"/>
      <c r="Q164" s="832">
        <v>1000</v>
      </c>
      <c r="R164" s="833">
        <v>0</v>
      </c>
      <c r="S164" s="833">
        <v>0</v>
      </c>
      <c r="T164" s="833">
        <v>0</v>
      </c>
      <c r="U164" s="833">
        <v>0</v>
      </c>
      <c r="V164" s="833">
        <v>0</v>
      </c>
      <c r="W164" s="833" t="s">
        <v>122</v>
      </c>
      <c r="X164" s="831"/>
      <c r="Y164" s="830">
        <v>-180</v>
      </c>
      <c r="Z164" s="834">
        <v>0</v>
      </c>
      <c r="AA164" s="830">
        <v>0</v>
      </c>
      <c r="AB164" s="831">
        <v>0</v>
      </c>
      <c r="AC164" s="830">
        <v>0</v>
      </c>
      <c r="AD164" s="831">
        <v>0</v>
      </c>
      <c r="AE164" s="830">
        <v>0</v>
      </c>
      <c r="AF164" s="831">
        <v>0</v>
      </c>
      <c r="AG164" s="830">
        <v>0</v>
      </c>
      <c r="AH164" s="831">
        <v>0</v>
      </c>
      <c r="AI164" s="830">
        <v>0</v>
      </c>
      <c r="AJ164" s="831">
        <v>0</v>
      </c>
    </row>
    <row r="165" spans="1:36" s="835" customFormat="1" collapsed="1">
      <c r="A165" s="826" t="str">
        <f t="shared" si="6"/>
        <v xml:space="preserve">500 CC, 500 Combo, -360 Lease, </v>
      </c>
      <c r="B165" s="826">
        <f t="shared" si="7"/>
        <v>65</v>
      </c>
      <c r="C165" s="827"/>
      <c r="D165" s="826"/>
      <c r="E165" s="828">
        <v>500</v>
      </c>
      <c r="F165" s="829">
        <v>0</v>
      </c>
      <c r="G165" s="830">
        <v>0</v>
      </c>
      <c r="H165" s="830">
        <v>0</v>
      </c>
      <c r="I165" s="831">
        <v>0</v>
      </c>
      <c r="J165" s="831"/>
      <c r="K165" s="831"/>
      <c r="L165" s="831"/>
      <c r="M165" s="831"/>
      <c r="N165" s="831"/>
      <c r="O165" s="831"/>
      <c r="P165" s="831"/>
      <c r="Q165" s="832">
        <v>500</v>
      </c>
      <c r="R165" s="833">
        <v>0</v>
      </c>
      <c r="S165" s="833">
        <v>0</v>
      </c>
      <c r="T165" s="833">
        <v>0</v>
      </c>
      <c r="U165" s="833">
        <v>0</v>
      </c>
      <c r="V165" s="833">
        <v>0</v>
      </c>
      <c r="W165" s="833" t="s">
        <v>122</v>
      </c>
      <c r="X165" s="831"/>
      <c r="Y165" s="830">
        <v>-360</v>
      </c>
      <c r="Z165" s="834">
        <v>0</v>
      </c>
      <c r="AA165" s="830">
        <v>0</v>
      </c>
      <c r="AB165" s="831">
        <v>0</v>
      </c>
      <c r="AC165" s="830">
        <v>0</v>
      </c>
      <c r="AD165" s="831">
        <v>0</v>
      </c>
      <c r="AE165" s="830">
        <v>0</v>
      </c>
      <c r="AF165" s="831">
        <v>0</v>
      </c>
      <c r="AG165" s="830">
        <v>0</v>
      </c>
      <c r="AH165" s="831">
        <v>0</v>
      </c>
      <c r="AI165" s="830">
        <v>0</v>
      </c>
      <c r="AJ165" s="831">
        <v>0</v>
      </c>
    </row>
    <row r="166" spans="1:36" s="835" customFormat="1">
      <c r="A166" s="826" t="str">
        <f t="shared" si="6"/>
        <v xml:space="preserve">1000 CC, 1000 Combo, -360 Lease, </v>
      </c>
      <c r="B166" s="826">
        <f t="shared" si="7"/>
        <v>66</v>
      </c>
      <c r="C166" s="826"/>
      <c r="D166" s="826"/>
      <c r="E166" s="828">
        <v>1000</v>
      </c>
      <c r="F166" s="829">
        <v>0</v>
      </c>
      <c r="G166" s="830">
        <v>0</v>
      </c>
      <c r="H166" s="830">
        <v>0</v>
      </c>
      <c r="I166" s="831">
        <v>0</v>
      </c>
      <c r="J166" s="831"/>
      <c r="K166" s="831"/>
      <c r="L166" s="831"/>
      <c r="M166" s="831"/>
      <c r="N166" s="831"/>
      <c r="O166" s="831"/>
      <c r="P166" s="831"/>
      <c r="Q166" s="832">
        <v>1000</v>
      </c>
      <c r="R166" s="833">
        <v>0</v>
      </c>
      <c r="S166" s="833">
        <v>0</v>
      </c>
      <c r="T166" s="833">
        <v>0</v>
      </c>
      <c r="U166" s="833">
        <v>0</v>
      </c>
      <c r="V166" s="833">
        <v>0</v>
      </c>
      <c r="W166" s="833" t="s">
        <v>122</v>
      </c>
      <c r="X166" s="831"/>
      <c r="Y166" s="830">
        <v>-360</v>
      </c>
      <c r="Z166" s="834">
        <v>0</v>
      </c>
      <c r="AA166" s="830">
        <v>0</v>
      </c>
      <c r="AB166" s="831">
        <v>0</v>
      </c>
      <c r="AC166" s="830">
        <v>0</v>
      </c>
      <c r="AD166" s="831">
        <v>0</v>
      </c>
      <c r="AE166" s="830">
        <v>0</v>
      </c>
      <c r="AF166" s="831">
        <v>0</v>
      </c>
      <c r="AG166" s="830">
        <v>0</v>
      </c>
      <c r="AH166" s="831">
        <v>0</v>
      </c>
      <c r="AI166" s="830">
        <v>0</v>
      </c>
      <c r="AJ166" s="831">
        <v>0</v>
      </c>
    </row>
    <row r="167" spans="1:36" s="835" customFormat="1" collapsed="1">
      <c r="A167" s="826" t="str">
        <f t="shared" si="6"/>
        <v xml:space="preserve">-180 Lease, </v>
      </c>
      <c r="B167" s="826">
        <f t="shared" si="7"/>
        <v>67</v>
      </c>
      <c r="C167" s="827"/>
      <c r="D167" s="826"/>
      <c r="E167" s="828">
        <v>0</v>
      </c>
      <c r="F167" s="829">
        <v>0</v>
      </c>
      <c r="G167" s="830">
        <v>0</v>
      </c>
      <c r="H167" s="830">
        <v>0</v>
      </c>
      <c r="I167" s="831">
        <v>0</v>
      </c>
      <c r="J167" s="831"/>
      <c r="K167" s="831"/>
      <c r="L167" s="831"/>
      <c r="M167" s="831"/>
      <c r="N167" s="831"/>
      <c r="O167" s="831"/>
      <c r="P167" s="831"/>
      <c r="Q167" s="832">
        <v>0</v>
      </c>
      <c r="R167" s="833">
        <v>0</v>
      </c>
      <c r="S167" s="833">
        <v>0</v>
      </c>
      <c r="T167" s="833">
        <v>0</v>
      </c>
      <c r="U167" s="833">
        <v>0</v>
      </c>
      <c r="V167" s="833">
        <v>0</v>
      </c>
      <c r="W167" s="833" t="s">
        <v>122</v>
      </c>
      <c r="X167" s="831"/>
      <c r="Y167" s="830">
        <v>-180</v>
      </c>
      <c r="Z167" s="834">
        <v>0</v>
      </c>
      <c r="AA167" s="830">
        <v>0</v>
      </c>
      <c r="AB167" s="831">
        <v>0</v>
      </c>
      <c r="AC167" s="830">
        <v>0</v>
      </c>
      <c r="AD167" s="831">
        <v>0</v>
      </c>
      <c r="AE167" s="830">
        <v>0</v>
      </c>
      <c r="AF167" s="831">
        <v>0</v>
      </c>
      <c r="AG167" s="830">
        <v>0</v>
      </c>
      <c r="AH167" s="831">
        <v>0</v>
      </c>
      <c r="AI167" s="830">
        <v>0</v>
      </c>
      <c r="AJ167" s="831">
        <v>0</v>
      </c>
    </row>
    <row r="168" spans="1:36" s="835" customFormat="1">
      <c r="A168" s="826" t="str">
        <f t="shared" si="6"/>
        <v xml:space="preserve">180 Lease, </v>
      </c>
      <c r="B168" s="826">
        <f t="shared" si="7"/>
        <v>68</v>
      </c>
      <c r="C168" s="826"/>
      <c r="D168" s="826"/>
      <c r="E168" s="828">
        <v>0</v>
      </c>
      <c r="F168" s="829">
        <v>0</v>
      </c>
      <c r="G168" s="830">
        <v>0</v>
      </c>
      <c r="H168" s="830">
        <v>0</v>
      </c>
      <c r="I168" s="831">
        <v>0</v>
      </c>
      <c r="J168" s="831"/>
      <c r="K168" s="831"/>
      <c r="L168" s="831"/>
      <c r="M168" s="831"/>
      <c r="N168" s="831"/>
      <c r="O168" s="831"/>
      <c r="P168" s="831"/>
      <c r="Q168" s="832">
        <v>0</v>
      </c>
      <c r="R168" s="833">
        <v>0</v>
      </c>
      <c r="S168" s="833">
        <v>0</v>
      </c>
      <c r="T168" s="833">
        <v>0</v>
      </c>
      <c r="U168" s="833">
        <v>0</v>
      </c>
      <c r="V168" s="833">
        <v>0</v>
      </c>
      <c r="W168" s="833" t="s">
        <v>122</v>
      </c>
      <c r="X168" s="831"/>
      <c r="Y168" s="830">
        <v>180</v>
      </c>
      <c r="Z168" s="834">
        <v>0</v>
      </c>
      <c r="AA168" s="830">
        <v>0</v>
      </c>
      <c r="AB168" s="831">
        <v>0</v>
      </c>
      <c r="AC168" s="830">
        <v>0</v>
      </c>
      <c r="AD168" s="831">
        <v>0</v>
      </c>
      <c r="AE168" s="830">
        <v>0</v>
      </c>
      <c r="AF168" s="831">
        <v>0</v>
      </c>
      <c r="AG168" s="830">
        <v>0</v>
      </c>
      <c r="AH168" s="831">
        <v>0</v>
      </c>
      <c r="AI168" s="830">
        <v>0</v>
      </c>
      <c r="AJ168" s="831">
        <v>0</v>
      </c>
    </row>
    <row r="169" spans="1:36" s="835" customFormat="1" collapsed="1">
      <c r="A169" s="826" t="str">
        <f t="shared" si="6"/>
        <v xml:space="preserve">500 CC, 1000 Combo, 0.9 % 72M, </v>
      </c>
      <c r="B169" s="826">
        <f t="shared" si="7"/>
        <v>69</v>
      </c>
      <c r="C169" s="827"/>
      <c r="D169" s="826"/>
      <c r="E169" s="828">
        <v>500</v>
      </c>
      <c r="F169" s="829">
        <v>0</v>
      </c>
      <c r="G169" s="830">
        <v>0</v>
      </c>
      <c r="H169" s="830">
        <v>0</v>
      </c>
      <c r="I169" s="831">
        <v>0</v>
      </c>
      <c r="J169" s="831"/>
      <c r="K169" s="831"/>
      <c r="L169" s="831"/>
      <c r="M169" s="831"/>
      <c r="N169" s="831"/>
      <c r="O169" s="831"/>
      <c r="P169" s="831"/>
      <c r="Q169" s="832">
        <v>1000</v>
      </c>
      <c r="R169" s="833">
        <v>0</v>
      </c>
      <c r="S169" s="833">
        <v>0</v>
      </c>
      <c r="T169" s="833">
        <v>0</v>
      </c>
      <c r="U169" s="833">
        <v>0</v>
      </c>
      <c r="V169" s="833">
        <v>8.9999999999999993E-3</v>
      </c>
      <c r="W169" s="833" t="s">
        <v>122</v>
      </c>
      <c r="X169" s="831"/>
      <c r="Y169" s="830">
        <v>0</v>
      </c>
      <c r="Z169" s="834">
        <v>0</v>
      </c>
      <c r="AA169" s="830">
        <v>0</v>
      </c>
      <c r="AB169" s="831">
        <v>0</v>
      </c>
      <c r="AC169" s="830">
        <v>0</v>
      </c>
      <c r="AD169" s="831">
        <v>0</v>
      </c>
      <c r="AE169" s="830">
        <v>0</v>
      </c>
      <c r="AF169" s="831">
        <v>0</v>
      </c>
      <c r="AG169" s="830">
        <v>0</v>
      </c>
      <c r="AH169" s="831">
        <v>0</v>
      </c>
      <c r="AI169" s="830">
        <v>0</v>
      </c>
      <c r="AJ169" s="831">
        <v>0</v>
      </c>
    </row>
    <row r="170" spans="1:36" s="835" customFormat="1">
      <c r="A170" s="826" t="str">
        <f t="shared" si="6"/>
        <v xml:space="preserve">750 CC, 1500 Combo, 0.9 % 72M, </v>
      </c>
      <c r="B170" s="826">
        <f t="shared" si="7"/>
        <v>70</v>
      </c>
      <c r="C170" s="826"/>
      <c r="D170" s="826"/>
      <c r="E170" s="828">
        <v>750</v>
      </c>
      <c r="F170" s="829">
        <v>0</v>
      </c>
      <c r="G170" s="830">
        <v>0</v>
      </c>
      <c r="H170" s="830">
        <v>0</v>
      </c>
      <c r="I170" s="831">
        <v>0</v>
      </c>
      <c r="J170" s="831"/>
      <c r="K170" s="831"/>
      <c r="L170" s="831"/>
      <c r="M170" s="831"/>
      <c r="N170" s="831"/>
      <c r="O170" s="831"/>
      <c r="P170" s="831"/>
      <c r="Q170" s="832">
        <v>1500</v>
      </c>
      <c r="R170" s="833">
        <v>0</v>
      </c>
      <c r="S170" s="833">
        <v>0</v>
      </c>
      <c r="T170" s="833">
        <v>0</v>
      </c>
      <c r="U170" s="833">
        <v>0</v>
      </c>
      <c r="V170" s="833">
        <v>8.9999999999999993E-3</v>
      </c>
      <c r="W170" s="833" t="s">
        <v>122</v>
      </c>
      <c r="X170" s="831"/>
      <c r="Y170" s="830">
        <v>0</v>
      </c>
      <c r="Z170" s="834">
        <v>0</v>
      </c>
      <c r="AA170" s="830">
        <v>0</v>
      </c>
      <c r="AB170" s="831">
        <v>0</v>
      </c>
      <c r="AC170" s="830">
        <v>0</v>
      </c>
      <c r="AD170" s="831">
        <v>0</v>
      </c>
      <c r="AE170" s="830">
        <v>0</v>
      </c>
      <c r="AF170" s="831">
        <v>0</v>
      </c>
      <c r="AG170" s="830">
        <v>0</v>
      </c>
      <c r="AH170" s="831">
        <v>0</v>
      </c>
      <c r="AI170" s="830">
        <v>0</v>
      </c>
      <c r="AJ170" s="831">
        <v>0</v>
      </c>
    </row>
    <row r="171" spans="1:36" s="835" customFormat="1" collapsed="1">
      <c r="A171" s="826" t="str">
        <f t="shared" si="6"/>
        <v xml:space="preserve">1000 CC, 2000 Combo, 0.9 % 72M, </v>
      </c>
      <c r="B171" s="826">
        <f t="shared" si="7"/>
        <v>71</v>
      </c>
      <c r="C171" s="827"/>
      <c r="D171" s="826"/>
      <c r="E171" s="828">
        <v>1000</v>
      </c>
      <c r="F171" s="829">
        <v>0</v>
      </c>
      <c r="G171" s="830">
        <v>0</v>
      </c>
      <c r="H171" s="830">
        <v>0</v>
      </c>
      <c r="I171" s="831">
        <v>0</v>
      </c>
      <c r="J171" s="831"/>
      <c r="K171" s="831"/>
      <c r="L171" s="831"/>
      <c r="M171" s="831"/>
      <c r="N171" s="831"/>
      <c r="O171" s="831"/>
      <c r="P171" s="831"/>
      <c r="Q171" s="832">
        <v>2000</v>
      </c>
      <c r="R171" s="833">
        <v>0</v>
      </c>
      <c r="S171" s="833">
        <v>0</v>
      </c>
      <c r="T171" s="833">
        <v>0</v>
      </c>
      <c r="U171" s="833">
        <v>0</v>
      </c>
      <c r="V171" s="833">
        <v>8.9999999999999993E-3</v>
      </c>
      <c r="W171" s="833" t="s">
        <v>122</v>
      </c>
      <c r="X171" s="831"/>
      <c r="Y171" s="830">
        <v>0</v>
      </c>
      <c r="Z171" s="834">
        <v>0</v>
      </c>
      <c r="AA171" s="830">
        <v>0</v>
      </c>
      <c r="AB171" s="831">
        <v>0</v>
      </c>
      <c r="AC171" s="830">
        <v>0</v>
      </c>
      <c r="AD171" s="831">
        <v>0</v>
      </c>
      <c r="AE171" s="830">
        <v>0</v>
      </c>
      <c r="AF171" s="831">
        <v>0</v>
      </c>
      <c r="AG171" s="830">
        <v>0</v>
      </c>
      <c r="AH171" s="831">
        <v>0</v>
      </c>
      <c r="AI171" s="830">
        <v>0</v>
      </c>
      <c r="AJ171" s="831">
        <v>0</v>
      </c>
    </row>
    <row r="172" spans="1:36" s="835" customFormat="1">
      <c r="A172" s="826" t="str">
        <f t="shared" si="6"/>
        <v xml:space="preserve">500 CC, 1000 Combo, 1.9 % 72M, </v>
      </c>
      <c r="B172" s="826">
        <f t="shared" si="7"/>
        <v>72</v>
      </c>
      <c r="C172" s="826"/>
      <c r="D172" s="826"/>
      <c r="E172" s="828">
        <v>500</v>
      </c>
      <c r="F172" s="829">
        <v>0</v>
      </c>
      <c r="G172" s="830">
        <v>0</v>
      </c>
      <c r="H172" s="830">
        <v>0</v>
      </c>
      <c r="I172" s="831">
        <v>0</v>
      </c>
      <c r="J172" s="831"/>
      <c r="K172" s="831"/>
      <c r="L172" s="831"/>
      <c r="M172" s="831"/>
      <c r="N172" s="831"/>
      <c r="O172" s="831"/>
      <c r="P172" s="831"/>
      <c r="Q172" s="832">
        <v>1000</v>
      </c>
      <c r="R172" s="833">
        <v>0</v>
      </c>
      <c r="S172" s="833">
        <v>0</v>
      </c>
      <c r="T172" s="833">
        <v>0</v>
      </c>
      <c r="U172" s="833">
        <v>0</v>
      </c>
      <c r="V172" s="833">
        <v>1.9E-2</v>
      </c>
      <c r="W172" s="833" t="s">
        <v>122</v>
      </c>
      <c r="X172" s="831"/>
      <c r="Y172" s="830">
        <v>0</v>
      </c>
      <c r="Z172" s="834">
        <v>0</v>
      </c>
      <c r="AA172" s="830">
        <v>0</v>
      </c>
      <c r="AB172" s="831">
        <v>0</v>
      </c>
      <c r="AC172" s="830">
        <v>0</v>
      </c>
      <c r="AD172" s="831">
        <v>0</v>
      </c>
      <c r="AE172" s="830">
        <v>0</v>
      </c>
      <c r="AF172" s="831">
        <v>0</v>
      </c>
      <c r="AG172" s="830">
        <v>0</v>
      </c>
      <c r="AH172" s="831">
        <v>0</v>
      </c>
      <c r="AI172" s="830">
        <v>0</v>
      </c>
      <c r="AJ172" s="831">
        <v>0</v>
      </c>
    </row>
    <row r="173" spans="1:36" s="835" customFormat="1" collapsed="1">
      <c r="A173" s="826" t="str">
        <f t="shared" si="6"/>
        <v xml:space="preserve">750 CC, 1500 Combo, 1.9 % 72M, </v>
      </c>
      <c r="B173" s="826">
        <f t="shared" si="7"/>
        <v>73</v>
      </c>
      <c r="C173" s="827"/>
      <c r="D173" s="826"/>
      <c r="E173" s="828">
        <v>750</v>
      </c>
      <c r="F173" s="829">
        <v>0</v>
      </c>
      <c r="G173" s="830">
        <v>0</v>
      </c>
      <c r="H173" s="830">
        <v>0</v>
      </c>
      <c r="I173" s="831">
        <v>0</v>
      </c>
      <c r="J173" s="831"/>
      <c r="K173" s="831"/>
      <c r="L173" s="831"/>
      <c r="M173" s="831"/>
      <c r="N173" s="831"/>
      <c r="O173" s="831"/>
      <c r="P173" s="831"/>
      <c r="Q173" s="832">
        <v>1500</v>
      </c>
      <c r="R173" s="833">
        <v>0</v>
      </c>
      <c r="S173" s="833">
        <v>0</v>
      </c>
      <c r="T173" s="833">
        <v>0</v>
      </c>
      <c r="U173" s="833">
        <v>0</v>
      </c>
      <c r="V173" s="833">
        <v>1.9E-2</v>
      </c>
      <c r="W173" s="833" t="s">
        <v>122</v>
      </c>
      <c r="X173" s="831"/>
      <c r="Y173" s="830">
        <v>0</v>
      </c>
      <c r="Z173" s="834">
        <v>0</v>
      </c>
      <c r="AA173" s="830">
        <v>0</v>
      </c>
      <c r="AB173" s="831">
        <v>0</v>
      </c>
      <c r="AC173" s="830">
        <v>0</v>
      </c>
      <c r="AD173" s="831">
        <v>0</v>
      </c>
      <c r="AE173" s="830">
        <v>0</v>
      </c>
      <c r="AF173" s="831">
        <v>0</v>
      </c>
      <c r="AG173" s="830">
        <v>0</v>
      </c>
      <c r="AH173" s="831">
        <v>0</v>
      </c>
      <c r="AI173" s="830">
        <v>0</v>
      </c>
      <c r="AJ173" s="831">
        <v>0</v>
      </c>
    </row>
    <row r="174" spans="1:36" s="835" customFormat="1">
      <c r="A174" s="826" t="str">
        <f t="shared" si="6"/>
        <v xml:space="preserve">1000 CC, 2000 Combo, 1.9 % 72M, </v>
      </c>
      <c r="B174" s="826">
        <f t="shared" si="7"/>
        <v>74</v>
      </c>
      <c r="C174" s="826"/>
      <c r="D174" s="826"/>
      <c r="E174" s="828">
        <v>1000</v>
      </c>
      <c r="F174" s="829">
        <v>0</v>
      </c>
      <c r="G174" s="830">
        <v>0</v>
      </c>
      <c r="H174" s="830">
        <v>0</v>
      </c>
      <c r="I174" s="831">
        <v>0</v>
      </c>
      <c r="J174" s="831"/>
      <c r="K174" s="831"/>
      <c r="L174" s="831"/>
      <c r="M174" s="831"/>
      <c r="N174" s="831"/>
      <c r="O174" s="831"/>
      <c r="P174" s="831"/>
      <c r="Q174" s="832">
        <v>2000</v>
      </c>
      <c r="R174" s="833">
        <v>0</v>
      </c>
      <c r="S174" s="833">
        <v>0</v>
      </c>
      <c r="T174" s="833">
        <v>0</v>
      </c>
      <c r="U174" s="833">
        <v>0</v>
      </c>
      <c r="V174" s="833">
        <v>1.9E-2</v>
      </c>
      <c r="W174" s="833" t="s">
        <v>122</v>
      </c>
      <c r="X174" s="831"/>
      <c r="Y174" s="830">
        <v>0</v>
      </c>
      <c r="Z174" s="834">
        <v>0</v>
      </c>
      <c r="AA174" s="830">
        <v>0</v>
      </c>
      <c r="AB174" s="831">
        <v>0</v>
      </c>
      <c r="AC174" s="830">
        <v>0</v>
      </c>
      <c r="AD174" s="831">
        <v>0</v>
      </c>
      <c r="AE174" s="830">
        <v>0</v>
      </c>
      <c r="AF174" s="831">
        <v>0</v>
      </c>
      <c r="AG174" s="830">
        <v>0</v>
      </c>
      <c r="AH174" s="831">
        <v>0</v>
      </c>
      <c r="AI174" s="830">
        <v>0</v>
      </c>
      <c r="AJ174" s="831">
        <v>0</v>
      </c>
    </row>
    <row r="175" spans="1:36" s="835" customFormat="1" collapsed="1">
      <c r="A175" s="826" t="str">
        <f t="shared" si="6"/>
        <v xml:space="preserve">-500  OLP/CBP, </v>
      </c>
      <c r="B175" s="826">
        <f t="shared" si="7"/>
        <v>75</v>
      </c>
      <c r="C175" s="827"/>
      <c r="D175" s="826"/>
      <c r="E175" s="828">
        <v>0</v>
      </c>
      <c r="F175" s="829">
        <v>0</v>
      </c>
      <c r="G175" s="830">
        <v>0</v>
      </c>
      <c r="H175" s="830">
        <v>0</v>
      </c>
      <c r="I175" s="831">
        <v>0</v>
      </c>
      <c r="J175" s="831"/>
      <c r="K175" s="831"/>
      <c r="L175" s="831"/>
      <c r="M175" s="831"/>
      <c r="N175" s="831"/>
      <c r="O175" s="831"/>
      <c r="P175" s="831"/>
      <c r="Q175" s="832">
        <v>0</v>
      </c>
      <c r="R175" s="833">
        <v>0</v>
      </c>
      <c r="S175" s="833">
        <v>0</v>
      </c>
      <c r="T175" s="833">
        <v>0</v>
      </c>
      <c r="U175" s="833">
        <v>0</v>
      </c>
      <c r="V175" s="833">
        <v>0</v>
      </c>
      <c r="W175" s="833" t="s">
        <v>122</v>
      </c>
      <c r="X175" s="831"/>
      <c r="Y175" s="830">
        <v>0</v>
      </c>
      <c r="Z175" s="834">
        <v>0</v>
      </c>
      <c r="AA175" s="830">
        <v>0</v>
      </c>
      <c r="AB175" s="831">
        <v>0</v>
      </c>
      <c r="AC175" s="830">
        <v>0</v>
      </c>
      <c r="AD175" s="831">
        <v>0</v>
      </c>
      <c r="AE175" s="830">
        <v>-500</v>
      </c>
      <c r="AF175" s="831">
        <v>0</v>
      </c>
      <c r="AG175" s="830">
        <v>0</v>
      </c>
      <c r="AH175" s="831">
        <v>0</v>
      </c>
      <c r="AI175" s="830">
        <v>0</v>
      </c>
      <c r="AJ175" s="831">
        <v>0</v>
      </c>
    </row>
    <row r="176" spans="1:36" s="835" customFormat="1">
      <c r="A176" s="826" t="str">
        <f>IF(E176=0,"",E176&amp;" "&amp;E$100)
&amp;IF(F176=0,"",F176&amp;" "&amp;F$100)
&amp;IF(Q176=0,"",Q176&amp;" "&amp;Q$100)
&amp;IF(U176=0,"",U176*100&amp;" "&amp;U$100)
&amp;IF(V176=0,"",V176*100&amp;" "&amp;V$100)
&amp;IF(Y176=0,"",Y176&amp;" "&amp;Y$100)
&amp;IF(Z176=0,"",Z176&amp;" "&amp;Z$100)
&amp;IF(AA176=0,"",AA176&amp;" "&amp;AA$100)
&amp;IF(AC176=0,"",AC176&amp;" "&amp;AC$100)
&amp;IF(AE176=0,"",AE176&amp;" "&amp;AE$100)
&amp;IF(AG176=0,"",AG176&amp;" "&amp;AG$100)
&amp;IF(AI176=0,"",AI176&amp;" "&amp;AI$100)</f>
        <v xml:space="preserve">-1000  (M1)-500 RBC, </v>
      </c>
      <c r="B176" s="826">
        <f t="shared" si="7"/>
        <v>76</v>
      </c>
      <c r="C176" s="826"/>
      <c r="D176" s="826"/>
      <c r="E176" s="828">
        <v>0</v>
      </c>
      <c r="F176" s="829">
        <v>0</v>
      </c>
      <c r="G176" s="830">
        <v>0</v>
      </c>
      <c r="H176" s="830">
        <v>0</v>
      </c>
      <c r="I176" s="831">
        <v>0</v>
      </c>
      <c r="J176" s="831"/>
      <c r="K176" s="831"/>
      <c r="L176" s="831"/>
      <c r="M176" s="831"/>
      <c r="N176" s="831"/>
      <c r="O176" s="831"/>
      <c r="P176" s="831"/>
      <c r="Q176" s="832">
        <v>0</v>
      </c>
      <c r="R176" s="833">
        <v>0</v>
      </c>
      <c r="S176" s="833">
        <v>0</v>
      </c>
      <c r="T176" s="833">
        <v>0</v>
      </c>
      <c r="U176" s="833">
        <v>0</v>
      </c>
      <c r="V176" s="833">
        <v>0</v>
      </c>
      <c r="W176" s="833" t="s">
        <v>122</v>
      </c>
      <c r="X176" s="831"/>
      <c r="Y176" s="830">
        <v>0</v>
      </c>
      <c r="Z176" s="834">
        <v>0</v>
      </c>
      <c r="AA176" s="830">
        <v>-1000</v>
      </c>
      <c r="AB176" s="831">
        <v>0</v>
      </c>
      <c r="AC176" s="830">
        <v>-500</v>
      </c>
      <c r="AD176" s="831">
        <v>0</v>
      </c>
      <c r="AE176" s="830">
        <v>0</v>
      </c>
      <c r="AF176" s="831">
        <v>0</v>
      </c>
      <c r="AG176" s="830">
        <v>0</v>
      </c>
      <c r="AH176" s="831">
        <v>0</v>
      </c>
      <c r="AI176" s="830">
        <v>0</v>
      </c>
      <c r="AJ176" s="831">
        <v>0</v>
      </c>
    </row>
    <row r="177" spans="1:36" s="835" customFormat="1" collapsed="1">
      <c r="A177" s="826" t="str">
        <f t="shared" ref="A177:A200" si="10">IF(E177=0,"",E177&amp;" "&amp;E$100)
&amp;IF(F177=0,"",F177&amp;" "&amp;F$100)
&amp;IF(Q177=0,"",Q177&amp;" "&amp;Q$100)
&amp;IF(U177=0,"",U177*100&amp;" "&amp;U$100)
&amp;IF(V177=0,"",V177*100&amp;" "&amp;V$100)
&amp;IF(Y177=0,"",Y177&amp;" "&amp;Y$100)
&amp;IF(Z177=0,"",Z177&amp;" "&amp;Z$100)
&amp;IF(AA177=0,"",AA177&amp;" "&amp;AA$100)
&amp;IF(AC177=0,"",AC177&amp;" "&amp;AC$100)
&amp;IF(AE177=0,"",AE177&amp;" "&amp;AE$100)
&amp;IF(AG177=0,"",AG177&amp;" "&amp;AG$100)
&amp;IF(AI177=0,"",AI177&amp;" "&amp;AI$100)</f>
        <v xml:space="preserve">-250 CC, -360 Lease, </v>
      </c>
      <c r="B177" s="826">
        <f t="shared" si="7"/>
        <v>77</v>
      </c>
      <c r="C177" s="827"/>
      <c r="D177" s="826"/>
      <c r="E177" s="828">
        <v>-250</v>
      </c>
      <c r="F177" s="829">
        <v>0</v>
      </c>
      <c r="G177" s="830">
        <v>0</v>
      </c>
      <c r="H177" s="830">
        <v>0</v>
      </c>
      <c r="I177" s="831">
        <v>0</v>
      </c>
      <c r="J177" s="831"/>
      <c r="K177" s="831"/>
      <c r="L177" s="831"/>
      <c r="M177" s="831"/>
      <c r="N177" s="831"/>
      <c r="O177" s="831"/>
      <c r="P177" s="831"/>
      <c r="Q177" s="832">
        <v>0</v>
      </c>
      <c r="R177" s="833">
        <v>0</v>
      </c>
      <c r="S177" s="833">
        <v>0</v>
      </c>
      <c r="T177" s="833">
        <v>0</v>
      </c>
      <c r="U177" s="833">
        <v>0</v>
      </c>
      <c r="V177" s="833">
        <v>0</v>
      </c>
      <c r="W177" s="833" t="s">
        <v>122</v>
      </c>
      <c r="X177" s="831"/>
      <c r="Y177" s="830">
        <v>-360</v>
      </c>
      <c r="Z177" s="834">
        <v>0</v>
      </c>
      <c r="AA177" s="830">
        <v>0</v>
      </c>
      <c r="AB177" s="831">
        <v>0</v>
      </c>
      <c r="AC177" s="830">
        <v>0</v>
      </c>
      <c r="AD177" s="831">
        <v>0</v>
      </c>
      <c r="AE177" s="830">
        <v>0</v>
      </c>
      <c r="AF177" s="831">
        <v>0</v>
      </c>
      <c r="AG177" s="830">
        <v>0</v>
      </c>
      <c r="AH177" s="831">
        <v>0</v>
      </c>
      <c r="AI177" s="830">
        <v>0</v>
      </c>
      <c r="AJ177" s="831">
        <v>0</v>
      </c>
    </row>
    <row r="178" spans="1:36" s="835" customFormat="1">
      <c r="A178" s="826" t="str">
        <f t="shared" si="10"/>
        <v xml:space="preserve">-500 CC, -360 Lease, </v>
      </c>
      <c r="B178" s="826">
        <f t="shared" si="7"/>
        <v>78</v>
      </c>
      <c r="C178" s="826"/>
      <c r="D178" s="826"/>
      <c r="E178" s="828">
        <v>-500</v>
      </c>
      <c r="F178" s="829">
        <v>0</v>
      </c>
      <c r="G178" s="830">
        <v>0</v>
      </c>
      <c r="H178" s="830">
        <v>0</v>
      </c>
      <c r="I178" s="831">
        <v>0</v>
      </c>
      <c r="J178" s="831"/>
      <c r="K178" s="831"/>
      <c r="L178" s="831"/>
      <c r="M178" s="831"/>
      <c r="N178" s="831"/>
      <c r="O178" s="831"/>
      <c r="P178" s="831"/>
      <c r="Q178" s="832">
        <v>0</v>
      </c>
      <c r="R178" s="833">
        <v>0</v>
      </c>
      <c r="S178" s="833">
        <v>0</v>
      </c>
      <c r="T178" s="833">
        <v>0</v>
      </c>
      <c r="U178" s="833">
        <v>0</v>
      </c>
      <c r="V178" s="833">
        <v>0</v>
      </c>
      <c r="W178" s="833" t="s">
        <v>122</v>
      </c>
      <c r="X178" s="831"/>
      <c r="Y178" s="830">
        <v>-360</v>
      </c>
      <c r="Z178" s="834">
        <v>0</v>
      </c>
      <c r="AA178" s="830">
        <v>0</v>
      </c>
      <c r="AB178" s="831">
        <v>0</v>
      </c>
      <c r="AC178" s="830">
        <v>0</v>
      </c>
      <c r="AD178" s="831">
        <v>0</v>
      </c>
      <c r="AE178" s="830">
        <v>0</v>
      </c>
      <c r="AF178" s="831">
        <v>0</v>
      </c>
      <c r="AG178" s="830">
        <v>0</v>
      </c>
      <c r="AH178" s="831">
        <v>0</v>
      </c>
      <c r="AI178" s="830">
        <v>0</v>
      </c>
      <c r="AJ178" s="831">
        <v>0</v>
      </c>
    </row>
    <row r="179" spans="1:36" s="835" customFormat="1" collapsed="1">
      <c r="A179" s="826" t="str">
        <f t="shared" si="10"/>
        <v xml:space="preserve">0.9 % 60M, 1 % 72M, -360 Lease, </v>
      </c>
      <c r="B179" s="826">
        <f t="shared" si="7"/>
        <v>79</v>
      </c>
      <c r="C179" s="827"/>
      <c r="D179" s="826"/>
      <c r="E179" s="828">
        <v>0</v>
      </c>
      <c r="F179" s="829">
        <v>0</v>
      </c>
      <c r="G179" s="830">
        <v>0</v>
      </c>
      <c r="H179" s="830">
        <v>0</v>
      </c>
      <c r="I179" s="831">
        <v>0</v>
      </c>
      <c r="J179" s="831"/>
      <c r="K179" s="831"/>
      <c r="L179" s="831"/>
      <c r="M179" s="831"/>
      <c r="N179" s="831"/>
      <c r="O179" s="831"/>
      <c r="P179" s="831"/>
      <c r="Q179" s="832">
        <v>0</v>
      </c>
      <c r="R179" s="833">
        <v>0</v>
      </c>
      <c r="S179" s="833">
        <v>0</v>
      </c>
      <c r="T179" s="833">
        <v>0</v>
      </c>
      <c r="U179" s="833">
        <f t="shared" ref="U179:V183" si="11">IF(U$112=0,0.9%,1%)</f>
        <v>9.0000000000000011E-3</v>
      </c>
      <c r="V179" s="833">
        <f t="shared" si="11"/>
        <v>0.01</v>
      </c>
      <c r="W179" s="833" t="s">
        <v>122</v>
      </c>
      <c r="X179" s="831"/>
      <c r="Y179" s="830">
        <v>-360</v>
      </c>
      <c r="Z179" s="834">
        <v>0</v>
      </c>
      <c r="AA179" s="830">
        <v>0</v>
      </c>
      <c r="AB179" s="831">
        <v>0</v>
      </c>
      <c r="AC179" s="830">
        <v>0</v>
      </c>
      <c r="AD179" s="831">
        <v>0</v>
      </c>
      <c r="AE179" s="830">
        <v>0</v>
      </c>
      <c r="AF179" s="831">
        <v>0</v>
      </c>
      <c r="AG179" s="830">
        <v>0</v>
      </c>
      <c r="AH179" s="831">
        <v>0</v>
      </c>
      <c r="AI179" s="830">
        <v>0</v>
      </c>
      <c r="AJ179" s="831">
        <v>0</v>
      </c>
    </row>
    <row r="180" spans="1:36" s="835" customFormat="1">
      <c r="A180" s="826" t="str">
        <f t="shared" si="10"/>
        <v xml:space="preserve">0.9 % 60M, 1 % 72M, -360 Lease, </v>
      </c>
      <c r="B180" s="826">
        <f t="shared" ref="B180:B200" si="12">B179+1</f>
        <v>80</v>
      </c>
      <c r="C180" s="826"/>
      <c r="D180" s="826"/>
      <c r="E180" s="828">
        <v>0</v>
      </c>
      <c r="F180" s="829">
        <v>0</v>
      </c>
      <c r="G180" s="830">
        <v>0</v>
      </c>
      <c r="H180" s="830">
        <v>0</v>
      </c>
      <c r="I180" s="831">
        <v>0</v>
      </c>
      <c r="J180" s="831"/>
      <c r="K180" s="831"/>
      <c r="L180" s="831"/>
      <c r="M180" s="831"/>
      <c r="N180" s="831"/>
      <c r="O180" s="831"/>
      <c r="P180" s="831"/>
      <c r="Q180" s="832">
        <v>0</v>
      </c>
      <c r="R180" s="833">
        <v>0</v>
      </c>
      <c r="S180" s="833">
        <v>0</v>
      </c>
      <c r="T180" s="833">
        <v>0</v>
      </c>
      <c r="U180" s="833">
        <f t="shared" si="11"/>
        <v>9.0000000000000011E-3</v>
      </c>
      <c r="V180" s="833">
        <f t="shared" si="11"/>
        <v>0.01</v>
      </c>
      <c r="W180" s="833" t="s">
        <v>122</v>
      </c>
      <c r="X180" s="831"/>
      <c r="Y180" s="830">
        <v>-360</v>
      </c>
      <c r="Z180" s="834">
        <v>0</v>
      </c>
      <c r="AA180" s="830">
        <v>0</v>
      </c>
      <c r="AB180" s="831">
        <v>0</v>
      </c>
      <c r="AC180" s="830">
        <v>0</v>
      </c>
      <c r="AD180" s="831">
        <v>0</v>
      </c>
      <c r="AE180" s="830">
        <v>0</v>
      </c>
      <c r="AF180" s="831">
        <v>0</v>
      </c>
      <c r="AG180" s="830">
        <v>0</v>
      </c>
      <c r="AH180" s="831">
        <v>0</v>
      </c>
      <c r="AI180" s="830">
        <v>0</v>
      </c>
      <c r="AJ180" s="831">
        <v>0</v>
      </c>
    </row>
    <row r="181" spans="1:36" s="835" customFormat="1" collapsed="1">
      <c r="A181" s="826" t="str">
        <f t="shared" si="10"/>
        <v xml:space="preserve">-250 CC, 0.9 % 60M, 1 % 72M, -360 Lease, </v>
      </c>
      <c r="B181" s="826">
        <f t="shared" si="7"/>
        <v>81</v>
      </c>
      <c r="C181" s="827"/>
      <c r="D181" s="826"/>
      <c r="E181" s="828">
        <v>-250</v>
      </c>
      <c r="F181" s="829">
        <v>0</v>
      </c>
      <c r="G181" s="830">
        <v>0</v>
      </c>
      <c r="H181" s="830">
        <v>0</v>
      </c>
      <c r="I181" s="831">
        <v>0</v>
      </c>
      <c r="J181" s="831"/>
      <c r="K181" s="831"/>
      <c r="L181" s="831"/>
      <c r="M181" s="831"/>
      <c r="N181" s="831"/>
      <c r="O181" s="831"/>
      <c r="P181" s="831"/>
      <c r="Q181" s="832">
        <v>0</v>
      </c>
      <c r="R181" s="833">
        <v>0</v>
      </c>
      <c r="S181" s="833">
        <v>0</v>
      </c>
      <c r="T181" s="833">
        <v>0</v>
      </c>
      <c r="U181" s="833">
        <f t="shared" si="11"/>
        <v>9.0000000000000011E-3</v>
      </c>
      <c r="V181" s="833">
        <f t="shared" si="11"/>
        <v>0.01</v>
      </c>
      <c r="W181" s="833" t="s">
        <v>122</v>
      </c>
      <c r="X181" s="831"/>
      <c r="Y181" s="830">
        <v>-360</v>
      </c>
      <c r="Z181" s="834">
        <v>0</v>
      </c>
      <c r="AA181" s="830">
        <v>0</v>
      </c>
      <c r="AB181" s="831">
        <v>0</v>
      </c>
      <c r="AC181" s="830">
        <v>0</v>
      </c>
      <c r="AD181" s="831">
        <v>0</v>
      </c>
      <c r="AE181" s="830">
        <v>0</v>
      </c>
      <c r="AF181" s="831">
        <v>0</v>
      </c>
      <c r="AG181" s="830">
        <v>0</v>
      </c>
      <c r="AH181" s="831">
        <v>0</v>
      </c>
      <c r="AI181" s="830">
        <v>0</v>
      </c>
      <c r="AJ181" s="831">
        <v>0</v>
      </c>
    </row>
    <row r="182" spans="1:36" s="835" customFormat="1">
      <c r="A182" s="826" t="str">
        <f t="shared" si="10"/>
        <v xml:space="preserve">-500 CC, 0.9 % 60M, 1 % 72M, -360 Lease, </v>
      </c>
      <c r="B182" s="826">
        <f t="shared" si="12"/>
        <v>82</v>
      </c>
      <c r="C182" s="826"/>
      <c r="D182" s="826"/>
      <c r="E182" s="828">
        <v>-500</v>
      </c>
      <c r="F182" s="829">
        <v>0</v>
      </c>
      <c r="G182" s="830">
        <v>0</v>
      </c>
      <c r="H182" s="830">
        <v>0</v>
      </c>
      <c r="I182" s="831">
        <v>0</v>
      </c>
      <c r="J182" s="831"/>
      <c r="K182" s="831"/>
      <c r="L182" s="831"/>
      <c r="M182" s="831"/>
      <c r="N182" s="831"/>
      <c r="O182" s="831"/>
      <c r="P182" s="831"/>
      <c r="Q182" s="832">
        <v>0</v>
      </c>
      <c r="R182" s="833">
        <v>0</v>
      </c>
      <c r="S182" s="833">
        <v>0</v>
      </c>
      <c r="T182" s="833">
        <v>0</v>
      </c>
      <c r="U182" s="833">
        <f t="shared" si="11"/>
        <v>9.0000000000000011E-3</v>
      </c>
      <c r="V182" s="833">
        <f t="shared" si="11"/>
        <v>0.01</v>
      </c>
      <c r="W182" s="833" t="s">
        <v>122</v>
      </c>
      <c r="X182" s="831"/>
      <c r="Y182" s="830">
        <v>-360</v>
      </c>
      <c r="Z182" s="834">
        <v>0</v>
      </c>
      <c r="AA182" s="830">
        <v>0</v>
      </c>
      <c r="AB182" s="831">
        <v>0</v>
      </c>
      <c r="AC182" s="830">
        <v>0</v>
      </c>
      <c r="AD182" s="831">
        <v>0</v>
      </c>
      <c r="AE182" s="830">
        <v>0</v>
      </c>
      <c r="AF182" s="831">
        <v>0</v>
      </c>
      <c r="AG182" s="830">
        <v>0</v>
      </c>
      <c r="AH182" s="831">
        <v>0</v>
      </c>
      <c r="AI182" s="830">
        <v>0</v>
      </c>
      <c r="AJ182" s="831">
        <v>0</v>
      </c>
    </row>
    <row r="183" spans="1:36" s="835" customFormat="1" collapsed="1">
      <c r="A183" s="826" t="str">
        <f t="shared" si="10"/>
        <v xml:space="preserve">250 CC, 0.9 % 60M, 1 % 72M, -360 Lease, </v>
      </c>
      <c r="B183" s="826">
        <f t="shared" si="12"/>
        <v>83</v>
      </c>
      <c r="C183" s="827"/>
      <c r="D183" s="826"/>
      <c r="E183" s="828">
        <v>250</v>
      </c>
      <c r="F183" s="829">
        <v>0</v>
      </c>
      <c r="G183" s="830">
        <v>0</v>
      </c>
      <c r="H183" s="830">
        <v>0</v>
      </c>
      <c r="I183" s="831">
        <v>0</v>
      </c>
      <c r="J183" s="831"/>
      <c r="K183" s="831"/>
      <c r="L183" s="831"/>
      <c r="M183" s="831"/>
      <c r="N183" s="831"/>
      <c r="O183" s="831"/>
      <c r="P183" s="831"/>
      <c r="Q183" s="832">
        <v>0</v>
      </c>
      <c r="R183" s="833">
        <v>0</v>
      </c>
      <c r="S183" s="833">
        <v>0</v>
      </c>
      <c r="T183" s="833">
        <v>0</v>
      </c>
      <c r="U183" s="833">
        <f t="shared" si="11"/>
        <v>9.0000000000000011E-3</v>
      </c>
      <c r="V183" s="833">
        <f t="shared" si="11"/>
        <v>0.01</v>
      </c>
      <c r="W183" s="833" t="s">
        <v>122</v>
      </c>
      <c r="X183" s="831"/>
      <c r="Y183" s="830">
        <v>-360</v>
      </c>
      <c r="Z183" s="834">
        <v>0</v>
      </c>
      <c r="AA183" s="830">
        <v>0</v>
      </c>
      <c r="AB183" s="831">
        <v>0</v>
      </c>
      <c r="AC183" s="830">
        <v>0</v>
      </c>
      <c r="AD183" s="831">
        <v>0</v>
      </c>
      <c r="AE183" s="830">
        <v>0</v>
      </c>
      <c r="AF183" s="831">
        <v>0</v>
      </c>
      <c r="AG183" s="830">
        <v>0</v>
      </c>
      <c r="AH183" s="831">
        <v>0</v>
      </c>
      <c r="AI183" s="830">
        <v>0</v>
      </c>
      <c r="AJ183" s="831">
        <v>0</v>
      </c>
    </row>
    <row r="184" spans="1:36" s="835" customFormat="1">
      <c r="A184" s="826" t="str">
        <f t="shared" si="10"/>
        <v xml:space="preserve">250 CC, 0.9 % 60M, 1 % 72M, </v>
      </c>
      <c r="B184" s="826">
        <f t="shared" si="12"/>
        <v>84</v>
      </c>
      <c r="C184" s="826"/>
      <c r="D184" s="826"/>
      <c r="E184" s="828">
        <v>250</v>
      </c>
      <c r="F184" s="829">
        <v>0</v>
      </c>
      <c r="G184" s="830">
        <v>0</v>
      </c>
      <c r="H184" s="830">
        <v>0</v>
      </c>
      <c r="I184" s="831">
        <v>0</v>
      </c>
      <c r="J184" s="831"/>
      <c r="K184" s="831"/>
      <c r="L184" s="831"/>
      <c r="M184" s="831"/>
      <c r="N184" s="831"/>
      <c r="O184" s="831"/>
      <c r="P184" s="831"/>
      <c r="Q184" s="832">
        <v>0</v>
      </c>
      <c r="R184" s="833">
        <f t="shared" ref="R184:U184" si="13">IF(R$112=0,0.9%,1%)</f>
        <v>9.0000000000000011E-3</v>
      </c>
      <c r="S184" s="833">
        <f t="shared" si="13"/>
        <v>9.0000000000000011E-3</v>
      </c>
      <c r="T184" s="833">
        <f t="shared" si="13"/>
        <v>9.0000000000000011E-3</v>
      </c>
      <c r="U184" s="833">
        <f t="shared" si="13"/>
        <v>9.0000000000000011E-3</v>
      </c>
      <c r="V184" s="833">
        <f>IF(V$112=0,0.9%,1%)</f>
        <v>0.01</v>
      </c>
      <c r="W184" s="833" t="s">
        <v>122</v>
      </c>
      <c r="X184" s="831"/>
      <c r="Y184" s="830">
        <v>0</v>
      </c>
      <c r="Z184" s="834">
        <v>0</v>
      </c>
      <c r="AA184" s="830">
        <v>0</v>
      </c>
      <c r="AB184" s="831">
        <v>0</v>
      </c>
      <c r="AC184" s="830">
        <v>0</v>
      </c>
      <c r="AD184" s="831">
        <v>0</v>
      </c>
      <c r="AE184" s="830">
        <v>0</v>
      </c>
      <c r="AF184" s="831">
        <v>0</v>
      </c>
      <c r="AG184" s="830">
        <v>0</v>
      </c>
      <c r="AH184" s="831">
        <v>0</v>
      </c>
      <c r="AI184" s="830">
        <v>0</v>
      </c>
      <c r="AJ184" s="831">
        <v>0</v>
      </c>
    </row>
    <row r="185" spans="1:36" s="835" customFormat="1" collapsed="1">
      <c r="A185" s="826" t="str">
        <f t="shared" si="10"/>
        <v xml:space="preserve">500 CC, 1.9 % 60M, 2 % 72M, </v>
      </c>
      <c r="B185" s="826">
        <f t="shared" si="12"/>
        <v>85</v>
      </c>
      <c r="C185" s="827"/>
      <c r="D185" s="826"/>
      <c r="E185" s="828">
        <v>500</v>
      </c>
      <c r="F185" s="829">
        <v>0</v>
      </c>
      <c r="G185" s="830">
        <v>0</v>
      </c>
      <c r="H185" s="830">
        <v>0</v>
      </c>
      <c r="I185" s="831">
        <v>0</v>
      </c>
      <c r="J185" s="831"/>
      <c r="K185" s="831"/>
      <c r="L185" s="831"/>
      <c r="M185" s="831"/>
      <c r="N185" s="831"/>
      <c r="O185" s="831"/>
      <c r="P185" s="831"/>
      <c r="Q185" s="832">
        <v>0</v>
      </c>
      <c r="R185" s="833">
        <f>IF(R$112=0,1.9%,2%)</f>
        <v>1.9E-2</v>
      </c>
      <c r="S185" s="833">
        <f t="shared" ref="S185:V185" si="14">IF(S$112=0,1.9%,2%)</f>
        <v>1.9E-2</v>
      </c>
      <c r="T185" s="833">
        <f t="shared" si="14"/>
        <v>1.9E-2</v>
      </c>
      <c r="U185" s="833">
        <f t="shared" si="14"/>
        <v>1.9E-2</v>
      </c>
      <c r="V185" s="833">
        <f t="shared" si="14"/>
        <v>0.02</v>
      </c>
      <c r="W185" s="833" t="s">
        <v>122</v>
      </c>
      <c r="X185" s="831"/>
      <c r="Y185" s="830">
        <v>0</v>
      </c>
      <c r="Z185" s="834">
        <v>0</v>
      </c>
      <c r="AA185" s="830">
        <v>0</v>
      </c>
      <c r="AB185" s="831">
        <v>0</v>
      </c>
      <c r="AC185" s="830">
        <v>0</v>
      </c>
      <c r="AD185" s="831">
        <v>0</v>
      </c>
      <c r="AE185" s="830">
        <v>0</v>
      </c>
      <c r="AF185" s="831">
        <v>0</v>
      </c>
      <c r="AG185" s="830">
        <v>0</v>
      </c>
      <c r="AH185" s="831">
        <v>0</v>
      </c>
      <c r="AI185" s="830">
        <v>0</v>
      </c>
      <c r="AJ185" s="831">
        <v>0</v>
      </c>
    </row>
    <row r="186" spans="1:36" s="835" customFormat="1">
      <c r="A186" s="826" t="str">
        <f t="shared" ref="A186:A187" si="15">IF(E186=0,"",E186&amp;" "&amp;E$100)
&amp;IF(F186=0,"",F186&amp;" "&amp;F$100)
&amp;IF(Q186=0,"",Q186&amp;" "&amp;Q$100)
&amp;IF(U186=0,"",U186*100&amp;" "&amp;U$100)
&amp;IF(V186=0,"",V186*100&amp;" "&amp;V$100)
&amp;IF(Y186=0,"",Y186&amp;" "&amp;Y$100)
&amp;IF(Z186=0,"",Z186&amp;" "&amp;Z$100)
&amp;IF(AA186=0,"",AA186&amp;" "&amp;AA$100)
&amp;IF(AC186=0,"",AC186&amp;" "&amp;AC$100)
&amp;IF(AE186=0,"",AE186&amp;" "&amp;AE$100)
&amp;IF(AG186=0,"",AG186&amp;" "&amp;AG$100)
&amp;IF(AI186=0,"",AI186&amp;" "&amp;AI$100)</f>
        <v xml:space="preserve">-250 CC, -0.9 % 60M, -1 % 72M, </v>
      </c>
      <c r="B186" s="826">
        <f t="shared" si="12"/>
        <v>86</v>
      </c>
      <c r="C186" s="826"/>
      <c r="D186" s="826"/>
      <c r="E186" s="828">
        <v>-250</v>
      </c>
      <c r="F186" s="829">
        <v>0</v>
      </c>
      <c r="G186" s="830">
        <v>0</v>
      </c>
      <c r="H186" s="830">
        <v>0</v>
      </c>
      <c r="I186" s="831">
        <v>0</v>
      </c>
      <c r="J186" s="831"/>
      <c r="K186" s="831"/>
      <c r="L186" s="831"/>
      <c r="M186" s="831"/>
      <c r="N186" s="831"/>
      <c r="O186" s="831"/>
      <c r="P186" s="831"/>
      <c r="Q186" s="832">
        <v>0</v>
      </c>
      <c r="R186" s="833">
        <f>-IF(R$112=0,0.9%,1%)</f>
        <v>-9.0000000000000011E-3</v>
      </c>
      <c r="S186" s="833">
        <f t="shared" ref="S186:V187" si="16">-IF(S$112=0,0.9%,1%)</f>
        <v>-9.0000000000000011E-3</v>
      </c>
      <c r="T186" s="833">
        <f t="shared" si="16"/>
        <v>-9.0000000000000011E-3</v>
      </c>
      <c r="U186" s="833">
        <f t="shared" si="16"/>
        <v>-9.0000000000000011E-3</v>
      </c>
      <c r="V186" s="833">
        <f t="shared" si="16"/>
        <v>-0.01</v>
      </c>
      <c r="W186" s="833" t="s">
        <v>122</v>
      </c>
      <c r="X186" s="831"/>
      <c r="Y186" s="830">
        <v>0</v>
      </c>
      <c r="Z186" s="834">
        <v>0</v>
      </c>
      <c r="AA186" s="830">
        <v>0</v>
      </c>
      <c r="AB186" s="831">
        <v>0</v>
      </c>
      <c r="AC186" s="830">
        <v>0</v>
      </c>
      <c r="AD186" s="831">
        <v>0</v>
      </c>
      <c r="AE186" s="830">
        <v>0</v>
      </c>
      <c r="AF186" s="831">
        <v>0</v>
      </c>
      <c r="AG186" s="830">
        <v>0</v>
      </c>
      <c r="AH186" s="831">
        <v>0</v>
      </c>
      <c r="AI186" s="830">
        <v>0</v>
      </c>
      <c r="AJ186" s="831">
        <v>0</v>
      </c>
    </row>
    <row r="187" spans="1:36" s="835" customFormat="1" collapsed="1">
      <c r="A187" s="826" t="str">
        <f t="shared" si="15"/>
        <v xml:space="preserve">-500 CC, -0.9 % 60M, -1 % 72M, </v>
      </c>
      <c r="B187" s="826">
        <f t="shared" si="12"/>
        <v>87</v>
      </c>
      <c r="C187" s="827"/>
      <c r="D187" s="826"/>
      <c r="E187" s="828">
        <v>-500</v>
      </c>
      <c r="F187" s="829">
        <v>0</v>
      </c>
      <c r="G187" s="830">
        <v>0</v>
      </c>
      <c r="H187" s="830">
        <v>0</v>
      </c>
      <c r="I187" s="831">
        <v>0</v>
      </c>
      <c r="J187" s="831"/>
      <c r="K187" s="831"/>
      <c r="L187" s="831"/>
      <c r="M187" s="831"/>
      <c r="N187" s="831"/>
      <c r="O187" s="831"/>
      <c r="P187" s="831"/>
      <c r="Q187" s="832">
        <v>0</v>
      </c>
      <c r="R187" s="833">
        <f>-IF(R$112=0,0.9%,1%)</f>
        <v>-9.0000000000000011E-3</v>
      </c>
      <c r="S187" s="833">
        <f t="shared" si="16"/>
        <v>-9.0000000000000011E-3</v>
      </c>
      <c r="T187" s="833">
        <f t="shared" si="16"/>
        <v>-9.0000000000000011E-3</v>
      </c>
      <c r="U187" s="833">
        <f t="shared" si="16"/>
        <v>-9.0000000000000011E-3</v>
      </c>
      <c r="V187" s="833">
        <f t="shared" si="16"/>
        <v>-0.01</v>
      </c>
      <c r="W187" s="833" t="s">
        <v>122</v>
      </c>
      <c r="X187" s="831"/>
      <c r="Y187" s="830">
        <v>0</v>
      </c>
      <c r="Z187" s="834">
        <v>0</v>
      </c>
      <c r="AA187" s="830">
        <v>0</v>
      </c>
      <c r="AB187" s="831">
        <v>0</v>
      </c>
      <c r="AC187" s="830">
        <v>0</v>
      </c>
      <c r="AD187" s="831">
        <v>0</v>
      </c>
      <c r="AE187" s="830">
        <v>0</v>
      </c>
      <c r="AF187" s="831">
        <v>0</v>
      </c>
      <c r="AG187" s="830">
        <v>0</v>
      </c>
      <c r="AH187" s="831">
        <v>0</v>
      </c>
      <c r="AI187" s="830">
        <v>0</v>
      </c>
      <c r="AJ187" s="831">
        <v>0</v>
      </c>
    </row>
    <row r="188" spans="1:36" s="835" customFormat="1">
      <c r="A188" s="826" t="str">
        <f t="shared" si="10"/>
        <v/>
      </c>
      <c r="B188" s="826">
        <f t="shared" si="12"/>
        <v>88</v>
      </c>
      <c r="C188" s="826"/>
      <c r="D188" s="826"/>
      <c r="E188" s="828">
        <v>0</v>
      </c>
      <c r="F188" s="829">
        <v>0</v>
      </c>
      <c r="G188" s="830">
        <v>0</v>
      </c>
      <c r="H188" s="830">
        <v>0</v>
      </c>
      <c r="I188" s="831">
        <v>0</v>
      </c>
      <c r="J188" s="831"/>
      <c r="K188" s="831"/>
      <c r="L188" s="831"/>
      <c r="M188" s="831"/>
      <c r="N188" s="831"/>
      <c r="O188" s="831"/>
      <c r="P188" s="831"/>
      <c r="Q188" s="832">
        <v>0</v>
      </c>
      <c r="R188" s="833">
        <v>0</v>
      </c>
      <c r="S188" s="833">
        <v>0</v>
      </c>
      <c r="T188" s="833">
        <v>0</v>
      </c>
      <c r="U188" s="833">
        <v>0</v>
      </c>
      <c r="V188" s="833">
        <v>0</v>
      </c>
      <c r="W188" s="833" t="s">
        <v>122</v>
      </c>
      <c r="X188" s="831"/>
      <c r="Y188" s="830">
        <v>0</v>
      </c>
      <c r="Z188" s="834">
        <v>0</v>
      </c>
      <c r="AA188" s="830">
        <v>0</v>
      </c>
      <c r="AB188" s="831">
        <v>0</v>
      </c>
      <c r="AC188" s="830">
        <v>0</v>
      </c>
      <c r="AD188" s="831">
        <v>0</v>
      </c>
      <c r="AE188" s="830">
        <v>0</v>
      </c>
      <c r="AF188" s="831">
        <v>0</v>
      </c>
      <c r="AG188" s="830">
        <v>0</v>
      </c>
      <c r="AH188" s="831">
        <v>0</v>
      </c>
      <c r="AI188" s="830">
        <v>0</v>
      </c>
      <c r="AJ188" s="831">
        <v>0</v>
      </c>
    </row>
    <row r="189" spans="1:36" s="835" customFormat="1" collapsed="1">
      <c r="A189" s="826" t="str">
        <f t="shared" si="10"/>
        <v/>
      </c>
      <c r="B189" s="826">
        <f t="shared" si="12"/>
        <v>89</v>
      </c>
      <c r="C189" s="827"/>
      <c r="D189" s="826"/>
      <c r="E189" s="828">
        <v>0</v>
      </c>
      <c r="F189" s="829">
        <v>0</v>
      </c>
      <c r="G189" s="830">
        <v>0</v>
      </c>
      <c r="H189" s="830">
        <v>0</v>
      </c>
      <c r="I189" s="831">
        <v>0</v>
      </c>
      <c r="J189" s="831"/>
      <c r="K189" s="831"/>
      <c r="L189" s="831"/>
      <c r="M189" s="831"/>
      <c r="N189" s="831"/>
      <c r="O189" s="831"/>
      <c r="P189" s="831"/>
      <c r="Q189" s="832">
        <v>0</v>
      </c>
      <c r="R189" s="833">
        <v>0</v>
      </c>
      <c r="S189" s="833">
        <v>0</v>
      </c>
      <c r="T189" s="833">
        <v>0</v>
      </c>
      <c r="U189" s="833">
        <v>0</v>
      </c>
      <c r="V189" s="833">
        <v>0</v>
      </c>
      <c r="W189" s="833" t="s">
        <v>122</v>
      </c>
      <c r="X189" s="831"/>
      <c r="Y189" s="830">
        <v>0</v>
      </c>
      <c r="Z189" s="834">
        <v>0</v>
      </c>
      <c r="AA189" s="830">
        <v>0</v>
      </c>
      <c r="AB189" s="831">
        <v>0</v>
      </c>
      <c r="AC189" s="830">
        <v>0</v>
      </c>
      <c r="AD189" s="831">
        <v>0</v>
      </c>
      <c r="AE189" s="830">
        <v>0</v>
      </c>
      <c r="AF189" s="831">
        <v>0</v>
      </c>
      <c r="AG189" s="830">
        <v>0</v>
      </c>
      <c r="AH189" s="831">
        <v>0</v>
      </c>
      <c r="AI189" s="830">
        <v>0</v>
      </c>
      <c r="AJ189" s="831">
        <v>0</v>
      </c>
    </row>
    <row r="190" spans="1:36" s="835" customFormat="1">
      <c r="A190" s="826" t="str">
        <f t="shared" si="10"/>
        <v/>
      </c>
      <c r="B190" s="826">
        <f t="shared" si="12"/>
        <v>90</v>
      </c>
      <c r="C190" s="826"/>
      <c r="D190" s="826"/>
      <c r="E190" s="828">
        <v>0</v>
      </c>
      <c r="F190" s="829">
        <v>0</v>
      </c>
      <c r="G190" s="830">
        <v>0</v>
      </c>
      <c r="H190" s="830">
        <v>0</v>
      </c>
      <c r="I190" s="831">
        <v>0</v>
      </c>
      <c r="J190" s="831"/>
      <c r="K190" s="831"/>
      <c r="L190" s="831"/>
      <c r="M190" s="831"/>
      <c r="N190" s="831"/>
      <c r="O190" s="831"/>
      <c r="P190" s="831"/>
      <c r="Q190" s="832">
        <v>0</v>
      </c>
      <c r="R190" s="833">
        <v>0</v>
      </c>
      <c r="S190" s="833">
        <v>0</v>
      </c>
      <c r="T190" s="833">
        <v>0</v>
      </c>
      <c r="U190" s="833">
        <v>0</v>
      </c>
      <c r="V190" s="833">
        <v>0</v>
      </c>
      <c r="W190" s="833" t="s">
        <v>122</v>
      </c>
      <c r="X190" s="831"/>
      <c r="Y190" s="830">
        <v>0</v>
      </c>
      <c r="Z190" s="834">
        <v>0</v>
      </c>
      <c r="AA190" s="830">
        <v>0</v>
      </c>
      <c r="AB190" s="831">
        <v>0</v>
      </c>
      <c r="AC190" s="830">
        <v>0</v>
      </c>
      <c r="AD190" s="831">
        <v>0</v>
      </c>
      <c r="AE190" s="830">
        <v>0</v>
      </c>
      <c r="AF190" s="831">
        <v>0</v>
      </c>
      <c r="AG190" s="830">
        <v>0</v>
      </c>
      <c r="AH190" s="831">
        <v>0</v>
      </c>
      <c r="AI190" s="830">
        <v>0</v>
      </c>
      <c r="AJ190" s="831">
        <v>0</v>
      </c>
    </row>
    <row r="191" spans="1:36" s="835" customFormat="1" collapsed="1">
      <c r="A191" s="826" t="str">
        <f t="shared" si="10"/>
        <v/>
      </c>
      <c r="B191" s="826">
        <f t="shared" si="12"/>
        <v>91</v>
      </c>
      <c r="C191" s="827"/>
      <c r="D191" s="826"/>
      <c r="E191" s="828">
        <v>0</v>
      </c>
      <c r="F191" s="829">
        <v>0</v>
      </c>
      <c r="G191" s="830">
        <v>0</v>
      </c>
      <c r="H191" s="830">
        <v>0</v>
      </c>
      <c r="I191" s="831">
        <v>0</v>
      </c>
      <c r="J191" s="831"/>
      <c r="K191" s="831"/>
      <c r="L191" s="831"/>
      <c r="M191" s="831"/>
      <c r="N191" s="831"/>
      <c r="O191" s="831"/>
      <c r="P191" s="831"/>
      <c r="Q191" s="832">
        <v>0</v>
      </c>
      <c r="R191" s="833">
        <v>0</v>
      </c>
      <c r="S191" s="833">
        <v>0</v>
      </c>
      <c r="T191" s="833">
        <v>0</v>
      </c>
      <c r="U191" s="833">
        <v>0</v>
      </c>
      <c r="V191" s="833">
        <v>0</v>
      </c>
      <c r="W191" s="833" t="s">
        <v>122</v>
      </c>
      <c r="X191" s="831"/>
      <c r="Y191" s="830">
        <v>0</v>
      </c>
      <c r="Z191" s="834">
        <v>0</v>
      </c>
      <c r="AA191" s="830">
        <v>0</v>
      </c>
      <c r="AB191" s="831">
        <v>0</v>
      </c>
      <c r="AC191" s="830">
        <v>0</v>
      </c>
      <c r="AD191" s="831">
        <v>0</v>
      </c>
      <c r="AE191" s="830">
        <v>0</v>
      </c>
      <c r="AF191" s="831">
        <v>0</v>
      </c>
      <c r="AG191" s="830">
        <v>0</v>
      </c>
      <c r="AH191" s="831">
        <v>0</v>
      </c>
      <c r="AI191" s="830">
        <v>0</v>
      </c>
      <c r="AJ191" s="831">
        <v>0</v>
      </c>
    </row>
    <row r="192" spans="1:36" s="835" customFormat="1">
      <c r="A192" s="826" t="str">
        <f t="shared" si="10"/>
        <v/>
      </c>
      <c r="B192" s="826">
        <f t="shared" si="12"/>
        <v>92</v>
      </c>
      <c r="C192" s="826"/>
      <c r="D192" s="826"/>
      <c r="E192" s="828">
        <v>0</v>
      </c>
      <c r="F192" s="829">
        <v>0</v>
      </c>
      <c r="G192" s="830">
        <v>0</v>
      </c>
      <c r="H192" s="830">
        <v>0</v>
      </c>
      <c r="I192" s="831">
        <v>0</v>
      </c>
      <c r="J192" s="831"/>
      <c r="K192" s="831"/>
      <c r="L192" s="831"/>
      <c r="M192" s="831"/>
      <c r="N192" s="831"/>
      <c r="O192" s="831"/>
      <c r="P192" s="831"/>
      <c r="Q192" s="832">
        <v>0</v>
      </c>
      <c r="R192" s="833">
        <v>0</v>
      </c>
      <c r="S192" s="833">
        <v>0</v>
      </c>
      <c r="T192" s="833">
        <v>0</v>
      </c>
      <c r="U192" s="833">
        <v>0</v>
      </c>
      <c r="V192" s="833">
        <v>0</v>
      </c>
      <c r="W192" s="833" t="s">
        <v>122</v>
      </c>
      <c r="X192" s="831"/>
      <c r="Y192" s="830">
        <v>0</v>
      </c>
      <c r="Z192" s="834">
        <v>0</v>
      </c>
      <c r="AA192" s="830">
        <v>0</v>
      </c>
      <c r="AB192" s="831">
        <v>0</v>
      </c>
      <c r="AC192" s="830">
        <v>0</v>
      </c>
      <c r="AD192" s="831">
        <v>0</v>
      </c>
      <c r="AE192" s="830">
        <v>0</v>
      </c>
      <c r="AF192" s="831">
        <v>0</v>
      </c>
      <c r="AG192" s="830">
        <v>0</v>
      </c>
      <c r="AH192" s="831">
        <v>0</v>
      </c>
      <c r="AI192" s="830">
        <v>0</v>
      </c>
      <c r="AJ192" s="831">
        <v>0</v>
      </c>
    </row>
    <row r="193" spans="1:36" s="835" customFormat="1" collapsed="1">
      <c r="A193" s="826" t="str">
        <f t="shared" si="10"/>
        <v/>
      </c>
      <c r="B193" s="826">
        <f t="shared" si="12"/>
        <v>93</v>
      </c>
      <c r="C193" s="827"/>
      <c r="D193" s="826"/>
      <c r="E193" s="828">
        <v>0</v>
      </c>
      <c r="F193" s="829">
        <v>0</v>
      </c>
      <c r="G193" s="830">
        <v>0</v>
      </c>
      <c r="H193" s="830">
        <v>0</v>
      </c>
      <c r="I193" s="831">
        <v>0</v>
      </c>
      <c r="J193" s="831"/>
      <c r="K193" s="831"/>
      <c r="L193" s="831"/>
      <c r="M193" s="831"/>
      <c r="N193" s="831"/>
      <c r="O193" s="831"/>
      <c r="P193" s="831"/>
      <c r="Q193" s="832">
        <v>0</v>
      </c>
      <c r="R193" s="833">
        <v>0</v>
      </c>
      <c r="S193" s="833">
        <v>0</v>
      </c>
      <c r="T193" s="833">
        <v>0</v>
      </c>
      <c r="U193" s="833">
        <v>0</v>
      </c>
      <c r="V193" s="833">
        <v>0</v>
      </c>
      <c r="W193" s="833" t="s">
        <v>122</v>
      </c>
      <c r="X193" s="831"/>
      <c r="Y193" s="830">
        <v>0</v>
      </c>
      <c r="Z193" s="834">
        <v>0</v>
      </c>
      <c r="AA193" s="830">
        <v>0</v>
      </c>
      <c r="AB193" s="831">
        <v>0</v>
      </c>
      <c r="AC193" s="830">
        <v>0</v>
      </c>
      <c r="AD193" s="831">
        <v>0</v>
      </c>
      <c r="AE193" s="830">
        <v>0</v>
      </c>
      <c r="AF193" s="831">
        <v>0</v>
      </c>
      <c r="AG193" s="830">
        <v>0</v>
      </c>
      <c r="AH193" s="831">
        <v>0</v>
      </c>
      <c r="AI193" s="830">
        <v>0</v>
      </c>
      <c r="AJ193" s="831">
        <v>0</v>
      </c>
    </row>
    <row r="194" spans="1:36">
      <c r="A194" s="826" t="str">
        <f t="shared" si="10"/>
        <v/>
      </c>
      <c r="B194" s="826">
        <f t="shared" si="12"/>
        <v>94</v>
      </c>
      <c r="E194" s="828">
        <v>0</v>
      </c>
      <c r="F194" s="829">
        <v>0</v>
      </c>
      <c r="G194" s="830">
        <v>0</v>
      </c>
      <c r="H194" s="830">
        <v>0</v>
      </c>
      <c r="I194" s="831">
        <v>0</v>
      </c>
      <c r="J194" s="831"/>
      <c r="K194" s="831"/>
      <c r="L194" s="831"/>
      <c r="M194" s="831"/>
      <c r="N194" s="831"/>
      <c r="O194" s="831"/>
      <c r="P194" s="831"/>
      <c r="Q194" s="832">
        <v>0</v>
      </c>
      <c r="R194" s="833">
        <v>0</v>
      </c>
      <c r="S194" s="833">
        <v>0</v>
      </c>
      <c r="T194" s="833">
        <v>0</v>
      </c>
      <c r="U194" s="833">
        <v>0</v>
      </c>
      <c r="V194" s="833">
        <v>0</v>
      </c>
      <c r="W194" s="833" t="s">
        <v>122</v>
      </c>
      <c r="X194" s="831"/>
      <c r="Y194" s="830">
        <v>0</v>
      </c>
      <c r="Z194" s="834">
        <v>0</v>
      </c>
      <c r="AA194" s="830">
        <v>0</v>
      </c>
      <c r="AB194" s="831">
        <v>0</v>
      </c>
      <c r="AC194" s="830">
        <v>0</v>
      </c>
      <c r="AD194" s="831">
        <v>0</v>
      </c>
      <c r="AE194" s="830">
        <v>0</v>
      </c>
      <c r="AF194" s="831">
        <v>0</v>
      </c>
      <c r="AG194" s="830">
        <v>0</v>
      </c>
      <c r="AH194" s="831">
        <v>0</v>
      </c>
      <c r="AI194" s="830">
        <v>0</v>
      </c>
      <c r="AJ194" s="831">
        <v>0</v>
      </c>
    </row>
    <row r="195" spans="1:36">
      <c r="A195" s="826" t="str">
        <f t="shared" si="10"/>
        <v/>
      </c>
      <c r="B195" s="826">
        <f t="shared" si="12"/>
        <v>95</v>
      </c>
      <c r="E195" s="828">
        <v>0</v>
      </c>
      <c r="F195" s="829">
        <v>0</v>
      </c>
      <c r="G195" s="830">
        <v>0</v>
      </c>
      <c r="H195" s="830">
        <v>0</v>
      </c>
      <c r="I195" s="831">
        <v>0</v>
      </c>
      <c r="J195" s="831"/>
      <c r="K195" s="831"/>
      <c r="L195" s="831"/>
      <c r="M195" s="831"/>
      <c r="N195" s="831"/>
      <c r="O195" s="831"/>
      <c r="P195" s="831"/>
      <c r="Q195" s="832">
        <v>0</v>
      </c>
      <c r="R195" s="833">
        <v>0</v>
      </c>
      <c r="S195" s="833">
        <v>0</v>
      </c>
      <c r="T195" s="833">
        <v>0</v>
      </c>
      <c r="U195" s="833">
        <v>0</v>
      </c>
      <c r="V195" s="833">
        <v>0</v>
      </c>
      <c r="W195" s="833" t="s">
        <v>122</v>
      </c>
      <c r="X195" s="831"/>
      <c r="Y195" s="830">
        <v>0</v>
      </c>
      <c r="Z195" s="834">
        <v>0</v>
      </c>
      <c r="AA195" s="830">
        <v>0</v>
      </c>
      <c r="AB195" s="831">
        <v>0</v>
      </c>
      <c r="AC195" s="830">
        <v>0</v>
      </c>
      <c r="AD195" s="831">
        <v>0</v>
      </c>
      <c r="AE195" s="830">
        <v>0</v>
      </c>
      <c r="AF195" s="831">
        <v>0</v>
      </c>
      <c r="AG195" s="830">
        <v>0</v>
      </c>
      <c r="AH195" s="831">
        <v>0</v>
      </c>
      <c r="AI195" s="830">
        <v>0</v>
      </c>
      <c r="AJ195" s="831">
        <v>0</v>
      </c>
    </row>
    <row r="196" spans="1:36">
      <c r="A196" s="826" t="str">
        <f t="shared" si="10"/>
        <v/>
      </c>
      <c r="B196" s="826">
        <f t="shared" si="12"/>
        <v>96</v>
      </c>
      <c r="E196" s="828">
        <v>0</v>
      </c>
      <c r="F196" s="829">
        <v>0</v>
      </c>
      <c r="G196" s="830">
        <v>0</v>
      </c>
      <c r="H196" s="830">
        <v>0</v>
      </c>
      <c r="I196" s="831">
        <v>0</v>
      </c>
      <c r="J196" s="831"/>
      <c r="K196" s="831"/>
      <c r="L196" s="831"/>
      <c r="M196" s="831"/>
      <c r="N196" s="831"/>
      <c r="O196" s="831"/>
      <c r="P196" s="831"/>
      <c r="Q196" s="832">
        <v>0</v>
      </c>
      <c r="R196" s="833">
        <v>0</v>
      </c>
      <c r="S196" s="833">
        <v>0</v>
      </c>
      <c r="T196" s="833">
        <v>0</v>
      </c>
      <c r="U196" s="833">
        <v>0</v>
      </c>
      <c r="V196" s="833">
        <v>0</v>
      </c>
      <c r="W196" s="833" t="s">
        <v>122</v>
      </c>
      <c r="X196" s="831"/>
      <c r="Y196" s="830">
        <v>0</v>
      </c>
      <c r="Z196" s="834">
        <v>0</v>
      </c>
      <c r="AA196" s="830">
        <v>0</v>
      </c>
      <c r="AB196" s="831">
        <v>0</v>
      </c>
      <c r="AC196" s="830">
        <v>0</v>
      </c>
      <c r="AD196" s="831">
        <v>0</v>
      </c>
      <c r="AE196" s="830">
        <v>0</v>
      </c>
      <c r="AF196" s="831">
        <v>0</v>
      </c>
      <c r="AG196" s="830">
        <v>0</v>
      </c>
      <c r="AH196" s="831">
        <v>0</v>
      </c>
      <c r="AI196" s="830">
        <v>0</v>
      </c>
      <c r="AJ196" s="831">
        <v>0</v>
      </c>
    </row>
    <row r="197" spans="1:36">
      <c r="A197" s="826" t="str">
        <f t="shared" si="10"/>
        <v/>
      </c>
      <c r="B197" s="826">
        <f t="shared" si="12"/>
        <v>97</v>
      </c>
      <c r="E197" s="828">
        <v>0</v>
      </c>
      <c r="F197" s="829">
        <v>0</v>
      </c>
      <c r="G197" s="830">
        <v>0</v>
      </c>
      <c r="H197" s="830">
        <v>0</v>
      </c>
      <c r="I197" s="831">
        <v>0</v>
      </c>
      <c r="J197" s="831"/>
      <c r="K197" s="831"/>
      <c r="L197" s="831"/>
      <c r="M197" s="831"/>
      <c r="N197" s="831"/>
      <c r="O197" s="831"/>
      <c r="P197" s="831"/>
      <c r="Q197" s="832">
        <v>0</v>
      </c>
      <c r="R197" s="833">
        <v>0</v>
      </c>
      <c r="S197" s="833">
        <v>0</v>
      </c>
      <c r="T197" s="833">
        <v>0</v>
      </c>
      <c r="U197" s="833">
        <v>0</v>
      </c>
      <c r="V197" s="833">
        <v>0</v>
      </c>
      <c r="W197" s="833" t="s">
        <v>122</v>
      </c>
      <c r="X197" s="831"/>
      <c r="Y197" s="830">
        <v>0</v>
      </c>
      <c r="Z197" s="834">
        <v>0</v>
      </c>
      <c r="AA197" s="830">
        <v>0</v>
      </c>
      <c r="AB197" s="831">
        <v>0</v>
      </c>
      <c r="AC197" s="830">
        <v>0</v>
      </c>
      <c r="AD197" s="831">
        <v>0</v>
      </c>
      <c r="AE197" s="830">
        <v>0</v>
      </c>
      <c r="AF197" s="831">
        <v>0</v>
      </c>
      <c r="AG197" s="830">
        <v>0</v>
      </c>
      <c r="AH197" s="831">
        <v>0</v>
      </c>
      <c r="AI197" s="830">
        <v>0</v>
      </c>
      <c r="AJ197" s="831">
        <v>0</v>
      </c>
    </row>
    <row r="198" spans="1:36">
      <c r="A198" s="826" t="str">
        <f t="shared" si="10"/>
        <v/>
      </c>
      <c r="B198" s="826">
        <f t="shared" si="12"/>
        <v>98</v>
      </c>
      <c r="E198" s="828">
        <v>0</v>
      </c>
      <c r="F198" s="829">
        <v>0</v>
      </c>
      <c r="G198" s="830">
        <v>0</v>
      </c>
      <c r="H198" s="830">
        <v>0</v>
      </c>
      <c r="I198" s="831">
        <v>0</v>
      </c>
      <c r="J198" s="831"/>
      <c r="K198" s="831"/>
      <c r="L198" s="831"/>
      <c r="M198" s="831"/>
      <c r="N198" s="831"/>
      <c r="O198" s="831"/>
      <c r="P198" s="831"/>
      <c r="Q198" s="832">
        <v>0</v>
      </c>
      <c r="R198" s="833">
        <v>0</v>
      </c>
      <c r="S198" s="833">
        <v>0</v>
      </c>
      <c r="T198" s="833">
        <v>0</v>
      </c>
      <c r="U198" s="833">
        <v>0</v>
      </c>
      <c r="V198" s="833">
        <v>0</v>
      </c>
      <c r="W198" s="833" t="s">
        <v>122</v>
      </c>
      <c r="X198" s="831"/>
      <c r="Y198" s="830">
        <v>0</v>
      </c>
      <c r="Z198" s="834">
        <v>0</v>
      </c>
      <c r="AA198" s="830">
        <v>0</v>
      </c>
      <c r="AB198" s="831">
        <v>0</v>
      </c>
      <c r="AC198" s="830">
        <v>0</v>
      </c>
      <c r="AD198" s="831">
        <v>0</v>
      </c>
      <c r="AE198" s="830">
        <v>0</v>
      </c>
      <c r="AF198" s="831">
        <v>0</v>
      </c>
      <c r="AG198" s="830">
        <v>0</v>
      </c>
      <c r="AH198" s="831">
        <v>0</v>
      </c>
      <c r="AI198" s="830">
        <v>0</v>
      </c>
      <c r="AJ198" s="831">
        <v>0</v>
      </c>
    </row>
    <row r="199" spans="1:36">
      <c r="A199" s="826" t="str">
        <f t="shared" si="10"/>
        <v/>
      </c>
      <c r="B199" s="826">
        <f t="shared" si="12"/>
        <v>99</v>
      </c>
      <c r="E199" s="828">
        <v>0</v>
      </c>
      <c r="F199" s="829">
        <v>0</v>
      </c>
      <c r="G199" s="830">
        <v>0</v>
      </c>
      <c r="H199" s="830">
        <v>0</v>
      </c>
      <c r="I199" s="831">
        <v>0</v>
      </c>
      <c r="J199" s="831"/>
      <c r="K199" s="831"/>
      <c r="L199" s="831"/>
      <c r="M199" s="831"/>
      <c r="N199" s="831"/>
      <c r="O199" s="831"/>
      <c r="P199" s="831"/>
      <c r="Q199" s="832">
        <v>0</v>
      </c>
      <c r="R199" s="833">
        <v>0</v>
      </c>
      <c r="S199" s="833">
        <v>0</v>
      </c>
      <c r="T199" s="833">
        <v>0</v>
      </c>
      <c r="U199" s="833">
        <v>0</v>
      </c>
      <c r="V199" s="833">
        <v>0</v>
      </c>
      <c r="W199" s="833" t="s">
        <v>122</v>
      </c>
      <c r="X199" s="831"/>
      <c r="Y199" s="830">
        <v>0</v>
      </c>
      <c r="Z199" s="834">
        <v>0</v>
      </c>
      <c r="AA199" s="830">
        <v>0</v>
      </c>
      <c r="AB199" s="831">
        <v>0</v>
      </c>
      <c r="AC199" s="830">
        <v>0</v>
      </c>
      <c r="AD199" s="831">
        <v>0</v>
      </c>
      <c r="AE199" s="830">
        <v>0</v>
      </c>
      <c r="AF199" s="831">
        <v>0</v>
      </c>
      <c r="AG199" s="830">
        <v>0</v>
      </c>
      <c r="AH199" s="831">
        <v>0</v>
      </c>
      <c r="AI199" s="830">
        <v>0</v>
      </c>
      <c r="AJ199" s="831">
        <v>0</v>
      </c>
    </row>
    <row r="200" spans="1:36" s="303" customFormat="1">
      <c r="A200" s="826" t="str">
        <f t="shared" si="10"/>
        <v/>
      </c>
      <c r="B200" s="826">
        <f t="shared" si="12"/>
        <v>100</v>
      </c>
      <c r="E200" s="828">
        <v>0</v>
      </c>
      <c r="F200" s="829">
        <v>0</v>
      </c>
      <c r="G200" s="830">
        <v>0</v>
      </c>
      <c r="H200" s="830">
        <v>0</v>
      </c>
      <c r="I200" s="831">
        <v>0</v>
      </c>
      <c r="J200" s="831"/>
      <c r="K200" s="831"/>
      <c r="L200" s="831"/>
      <c r="M200" s="831"/>
      <c r="N200" s="831"/>
      <c r="O200" s="831"/>
      <c r="P200" s="831"/>
      <c r="Q200" s="832">
        <v>0</v>
      </c>
      <c r="R200" s="833">
        <v>0</v>
      </c>
      <c r="S200" s="833">
        <v>0</v>
      </c>
      <c r="T200" s="833">
        <v>0</v>
      </c>
      <c r="U200" s="833">
        <v>0</v>
      </c>
      <c r="V200" s="833">
        <v>0</v>
      </c>
      <c r="W200" s="833" t="s">
        <v>122</v>
      </c>
      <c r="X200" s="831"/>
      <c r="Y200" s="830">
        <v>0</v>
      </c>
      <c r="Z200" s="834">
        <v>0</v>
      </c>
      <c r="AA200" s="830">
        <v>0</v>
      </c>
      <c r="AB200" s="831">
        <v>0</v>
      </c>
      <c r="AC200" s="830">
        <v>0</v>
      </c>
      <c r="AD200" s="831">
        <v>0</v>
      </c>
      <c r="AE200" s="830">
        <v>0</v>
      </c>
      <c r="AF200" s="831">
        <v>0</v>
      </c>
      <c r="AG200" s="830">
        <v>0</v>
      </c>
      <c r="AH200" s="831">
        <v>0</v>
      </c>
      <c r="AI200" s="830">
        <v>0</v>
      </c>
      <c r="AJ200" s="831">
        <v>0</v>
      </c>
    </row>
    <row r="201" spans="1:36">
      <c r="B201" s="303"/>
    </row>
    <row r="202" spans="1:36">
      <c r="B202" s="303"/>
    </row>
    <row r="203" spans="1:36">
      <c r="B203" s="303"/>
    </row>
    <row r="204" spans="1:36">
      <c r="B204" s="303"/>
    </row>
    <row r="205" spans="1:36">
      <c r="B205" s="303"/>
    </row>
  </sheetData>
  <mergeCells count="36">
    <mergeCell ref="AH98:AH99"/>
    <mergeCell ref="AI98:AI99"/>
    <mergeCell ref="AJ98:AJ99"/>
    <mergeCell ref="AG98:AG99"/>
    <mergeCell ref="V98:V99"/>
    <mergeCell ref="W98:W99"/>
    <mergeCell ref="X98:X99"/>
    <mergeCell ref="Y98:Y99"/>
    <mergeCell ref="Z98:Z99"/>
    <mergeCell ref="AA98:AA99"/>
    <mergeCell ref="AB98:AB99"/>
    <mergeCell ref="AC98:AC99"/>
    <mergeCell ref="AD98:AD99"/>
    <mergeCell ref="AE98:AE99"/>
    <mergeCell ref="AF98:AF99"/>
    <mergeCell ref="Q98:Q99"/>
    <mergeCell ref="R98:R99"/>
    <mergeCell ref="S98:S99"/>
    <mergeCell ref="T98:T99"/>
    <mergeCell ref="U98:U99"/>
    <mergeCell ref="F98:F99"/>
    <mergeCell ref="G98:G99"/>
    <mergeCell ref="H98:H99"/>
    <mergeCell ref="I98:I99"/>
    <mergeCell ref="P98:P99"/>
    <mergeCell ref="J98:J99"/>
    <mergeCell ref="K98:K99"/>
    <mergeCell ref="L98:L99"/>
    <mergeCell ref="M98:M99"/>
    <mergeCell ref="N98:N99"/>
    <mergeCell ref="O98:O99"/>
    <mergeCell ref="A98:A99"/>
    <mergeCell ref="B98:B99"/>
    <mergeCell ref="C98:C99"/>
    <mergeCell ref="D98:D99"/>
    <mergeCell ref="E98:E9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rgb="FFFFFF00"/>
  </sheetPr>
  <dimension ref="A1:AV155"/>
  <sheetViews>
    <sheetView showGridLines="0" zoomScale="70" zoomScaleNormal="70" workbookViewId="0">
      <pane xSplit="9" ySplit="12" topLeftCell="J76" activePane="bottomRight" state="frozen"/>
      <selection activeCell="I14" sqref="I14"/>
      <selection pane="topRight" activeCell="I14" sqref="I14"/>
      <selection pane="bottomLeft" activeCell="I14" sqref="I14"/>
      <selection pane="bottomRight" activeCell="H94" sqref="H94"/>
    </sheetView>
  </sheetViews>
  <sheetFormatPr defaultColWidth="9.140625" defaultRowHeight="12.75" outlineLevelRow="1"/>
  <cols>
    <col min="1" max="1" width="4.7109375" style="108" customWidth="1"/>
    <col min="2" max="2" width="1.42578125" style="108" customWidth="1"/>
    <col min="3" max="4" width="1.140625" style="108" customWidth="1"/>
    <col min="5" max="5" width="2" style="108" customWidth="1"/>
    <col min="6" max="6" width="2" style="122" customWidth="1"/>
    <col min="7" max="7" width="56.7109375" style="108" customWidth="1"/>
    <col min="8" max="19" width="18.28515625" style="108" customWidth="1"/>
    <col min="20" max="49" width="9.140625" style="108"/>
    <col min="50" max="50" width="9.5703125" style="108" bestFit="1" customWidth="1"/>
    <col min="51" max="55" width="10.7109375" style="108" customWidth="1"/>
    <col min="56" max="60" width="12" style="108" customWidth="1"/>
    <col min="61" max="63" width="13" style="108" customWidth="1"/>
    <col min="64" max="66" width="9.140625" style="108"/>
    <col min="67" max="69" width="17.42578125" style="108" customWidth="1"/>
    <col min="70" max="70" width="14.28515625" style="108" customWidth="1"/>
    <col min="71" max="71" width="17.42578125" style="108" customWidth="1"/>
    <col min="72" max="72" width="12" style="108" customWidth="1"/>
    <col min="73" max="16384" width="9.140625" style="108"/>
  </cols>
  <sheetData>
    <row r="1" spans="1:24" ht="19.5" thickBot="1">
      <c r="A1" s="108">
        <v>1</v>
      </c>
      <c r="G1" s="307" t="s">
        <v>766</v>
      </c>
      <c r="H1" s="295"/>
      <c r="I1" s="295"/>
      <c r="J1" s="295"/>
      <c r="K1" s="295"/>
      <c r="L1" s="295"/>
      <c r="M1" s="295"/>
      <c r="N1" s="295"/>
      <c r="O1" s="295"/>
      <c r="P1" s="295"/>
      <c r="Q1" s="295"/>
      <c r="R1" s="295"/>
      <c r="S1" s="295"/>
    </row>
    <row r="2" spans="1:24" ht="15.75" thickBot="1">
      <c r="A2" s="108">
        <f t="shared" ref="A2:A65" si="0">A1+1</f>
        <v>2</v>
      </c>
      <c r="H2" s="310" t="str">
        <f>Input!H2</f>
        <v>MY20 Kia Soul</v>
      </c>
      <c r="I2" s="311"/>
      <c r="J2" s="310" t="str">
        <f>Input!J2</f>
        <v>MY20 Kia Soul</v>
      </c>
      <c r="K2" s="311"/>
      <c r="L2" s="310" t="str">
        <f>Input!L2</f>
        <v>MY20 Kia Soul</v>
      </c>
      <c r="M2" s="311"/>
      <c r="N2" s="310" t="str">
        <f>Input!N2</f>
        <v>MY20 Kia Soul</v>
      </c>
      <c r="O2" s="311"/>
      <c r="P2" s="310" t="str">
        <f>Input!P2</f>
        <v>MY20 Kia Soul</v>
      </c>
      <c r="Q2" s="311"/>
      <c r="R2" s="310" t="str">
        <f>Input!R2</f>
        <v>MY20 Kia Soul</v>
      </c>
      <c r="S2" s="311"/>
    </row>
    <row r="3" spans="1:24" ht="14.45" customHeight="1" outlineLevel="1">
      <c r="A3" s="108">
        <f t="shared" si="0"/>
        <v>3</v>
      </c>
    </row>
    <row r="4" spans="1:24" ht="14.45" customHeight="1" outlineLevel="1">
      <c r="A4" s="108">
        <f t="shared" si="0"/>
        <v>4</v>
      </c>
    </row>
    <row r="5" spans="1:24" ht="15" customHeight="1" outlineLevel="1" thickBot="1">
      <c r="A5" s="108">
        <f t="shared" si="0"/>
        <v>5</v>
      </c>
    </row>
    <row r="6" spans="1:24" ht="15.75" thickBot="1">
      <c r="A6" s="108">
        <f t="shared" si="0"/>
        <v>6</v>
      </c>
      <c r="H6" s="165" t="s">
        <v>513</v>
      </c>
      <c r="I6" s="166" t="s">
        <v>514</v>
      </c>
      <c r="J6" s="165" t="s">
        <v>513</v>
      </c>
      <c r="K6" s="166" t="s">
        <v>514</v>
      </c>
      <c r="L6" s="165" t="s">
        <v>513</v>
      </c>
      <c r="M6" s="166" t="s">
        <v>514</v>
      </c>
      <c r="N6" s="165" t="s">
        <v>513</v>
      </c>
      <c r="O6" s="166" t="s">
        <v>514</v>
      </c>
      <c r="P6" s="165" t="s">
        <v>513</v>
      </c>
      <c r="Q6" s="166" t="s">
        <v>514</v>
      </c>
      <c r="R6" s="165" t="s">
        <v>513</v>
      </c>
      <c r="S6" s="166" t="s">
        <v>514</v>
      </c>
      <c r="W6" s="114"/>
    </row>
    <row r="7" spans="1:24" ht="15">
      <c r="A7" s="108">
        <f t="shared" si="0"/>
        <v>7</v>
      </c>
      <c r="G7" s="167" t="s">
        <v>93</v>
      </c>
      <c r="H7" s="158" t="str">
        <f>Input!H7</f>
        <v>Kia</v>
      </c>
      <c r="I7" s="312"/>
      <c r="J7" s="158" t="str">
        <f>Input!J7</f>
        <v>Kia</v>
      </c>
      <c r="K7" s="312"/>
      <c r="L7" s="158" t="str">
        <f>Input!L7</f>
        <v>Kia</v>
      </c>
      <c r="M7" s="312"/>
      <c r="N7" s="158" t="str">
        <f>Input!N7</f>
        <v>Kia</v>
      </c>
      <c r="O7" s="312"/>
      <c r="P7" s="158" t="str">
        <f>Input!P7</f>
        <v>Kia</v>
      </c>
      <c r="Q7" s="312"/>
      <c r="R7" s="158" t="str">
        <f>Input!R7</f>
        <v>Kia</v>
      </c>
      <c r="S7" s="312"/>
      <c r="W7" s="114"/>
    </row>
    <row r="8" spans="1:24" ht="15">
      <c r="A8" s="108">
        <f t="shared" si="0"/>
        <v>8</v>
      </c>
      <c r="G8" s="168" t="s">
        <v>3</v>
      </c>
      <c r="H8" s="157" t="str">
        <f>Input!H8</f>
        <v>Compact SUV (52)</v>
      </c>
      <c r="I8" s="151"/>
      <c r="J8" s="157" t="str">
        <f>Input!J8</f>
        <v>Compact SUV (52)</v>
      </c>
      <c r="K8" s="151"/>
      <c r="L8" s="157" t="str">
        <f>Input!L8</f>
        <v>Compact SUV (52)</v>
      </c>
      <c r="M8" s="151"/>
      <c r="N8" s="157" t="str">
        <f>Input!N8</f>
        <v>Compact SUV (52)</v>
      </c>
      <c r="O8" s="151"/>
      <c r="P8" s="157" t="str">
        <f>Input!P8</f>
        <v>Compact SUV (52)</v>
      </c>
      <c r="Q8" s="151"/>
      <c r="R8" s="157" t="str">
        <f>Input!R8</f>
        <v>Compact SUV (52)</v>
      </c>
      <c r="S8" s="151"/>
      <c r="W8" s="114"/>
    </row>
    <row r="9" spans="1:24" ht="15">
      <c r="A9" s="108">
        <f t="shared" si="0"/>
        <v>9</v>
      </c>
      <c r="G9" s="169" t="s">
        <v>335</v>
      </c>
      <c r="H9" s="313">
        <f>Input!H9</f>
        <v>2020</v>
      </c>
      <c r="I9" s="314"/>
      <c r="J9" s="313">
        <f>Input!J9</f>
        <v>2020</v>
      </c>
      <c r="K9" s="314"/>
      <c r="L9" s="313">
        <f>Input!L9</f>
        <v>2020</v>
      </c>
      <c r="M9" s="314"/>
      <c r="N9" s="313">
        <f>Input!N9</f>
        <v>2020</v>
      </c>
      <c r="O9" s="314"/>
      <c r="P9" s="313">
        <f>Input!P9</f>
        <v>2020</v>
      </c>
      <c r="Q9" s="314"/>
      <c r="R9" s="313">
        <f>Input!R9</f>
        <v>2020</v>
      </c>
      <c r="S9" s="314"/>
      <c r="W9" s="114"/>
    </row>
    <row r="10" spans="1:24" ht="15">
      <c r="A10" s="108">
        <f t="shared" si="0"/>
        <v>10</v>
      </c>
      <c r="G10" s="169" t="s">
        <v>336</v>
      </c>
      <c r="H10" s="315">
        <f>Input!H10</f>
        <v>1</v>
      </c>
      <c r="I10" s="316"/>
      <c r="J10" s="315">
        <f>Input!J10</f>
        <v>1</v>
      </c>
      <c r="K10" s="316"/>
      <c r="L10" s="315">
        <f>Input!L10</f>
        <v>1</v>
      </c>
      <c r="M10" s="316"/>
      <c r="N10" s="315">
        <f>Input!N10</f>
        <v>1</v>
      </c>
      <c r="O10" s="316"/>
      <c r="P10" s="315">
        <f>Input!P10</f>
        <v>1</v>
      </c>
      <c r="Q10" s="316"/>
      <c r="R10" s="315">
        <f>Input!R10</f>
        <v>1</v>
      </c>
      <c r="S10" s="316"/>
      <c r="X10" s="114"/>
    </row>
    <row r="11" spans="1:24" ht="15">
      <c r="A11" s="108">
        <f t="shared" si="0"/>
        <v>11</v>
      </c>
      <c r="G11" s="169" t="s">
        <v>94</v>
      </c>
      <c r="H11" s="313" t="str">
        <f>Input!H11</f>
        <v>Kia-LR - L1</v>
      </c>
      <c r="I11" s="314"/>
      <c r="J11" s="313" t="str">
        <f>Input!J11</f>
        <v>Kia-LR - L2</v>
      </c>
      <c r="K11" s="314"/>
      <c r="L11" s="313" t="str">
        <f>Input!L11</f>
        <v>Kia-LR - L3</v>
      </c>
      <c r="M11" s="314"/>
      <c r="N11" s="313" t="str">
        <f>Input!N11</f>
        <v>Kia-LR - R1</v>
      </c>
      <c r="O11" s="314"/>
      <c r="P11" s="313" t="str">
        <f>Input!P11</f>
        <v>Kia-LR - R2</v>
      </c>
      <c r="Q11" s="314"/>
      <c r="R11" s="313" t="str">
        <f>Input!R11</f>
        <v>National</v>
      </c>
      <c r="S11" s="314"/>
      <c r="X11" s="114"/>
    </row>
    <row r="12" spans="1:24" ht="15.75" thickBot="1">
      <c r="A12" s="108">
        <f t="shared" si="0"/>
        <v>12</v>
      </c>
      <c r="G12" s="317" t="s">
        <v>515</v>
      </c>
      <c r="H12" s="318" t="str">
        <f>Input!H12</f>
        <v>Kia Soul</v>
      </c>
      <c r="I12" s="314"/>
      <c r="J12" s="318" t="str">
        <f>Input!J12</f>
        <v>Kia Soul</v>
      </c>
      <c r="K12" s="314"/>
      <c r="L12" s="318" t="str">
        <f>Input!L12</f>
        <v>Kia Soul</v>
      </c>
      <c r="M12" s="314"/>
      <c r="N12" s="318" t="str">
        <f>Input!N12</f>
        <v>Kia Soul</v>
      </c>
      <c r="O12" s="314"/>
      <c r="P12" s="318" t="str">
        <f>Input!P12</f>
        <v>Kia Soul</v>
      </c>
      <c r="Q12" s="314"/>
      <c r="R12" s="318" t="str">
        <f>Input!R12</f>
        <v>Kia Soul</v>
      </c>
      <c r="S12" s="314"/>
      <c r="X12" s="114"/>
    </row>
    <row r="13" spans="1:24" ht="19.5" thickBot="1">
      <c r="A13" s="108">
        <f t="shared" si="0"/>
        <v>13</v>
      </c>
      <c r="G13" s="319" t="s">
        <v>765</v>
      </c>
      <c r="H13" s="320"/>
      <c r="I13" s="320"/>
      <c r="J13" s="320"/>
      <c r="K13" s="320"/>
      <c r="L13" s="320"/>
      <c r="M13" s="320"/>
      <c r="N13" s="320"/>
      <c r="O13" s="320"/>
      <c r="P13" s="320"/>
      <c r="Q13" s="320"/>
      <c r="R13" s="320"/>
      <c r="S13" s="320"/>
      <c r="X13" s="114"/>
    </row>
    <row r="14" spans="1:24" ht="15.75" hidden="1" thickBot="1">
      <c r="A14" s="108">
        <f t="shared" si="0"/>
        <v>14</v>
      </c>
      <c r="F14" s="110"/>
      <c r="G14" s="321" t="s">
        <v>631</v>
      </c>
      <c r="H14" s="322"/>
      <c r="I14" s="323"/>
      <c r="J14" s="322"/>
      <c r="K14" s="323"/>
      <c r="L14" s="322"/>
      <c r="M14" s="323"/>
      <c r="N14" s="322"/>
      <c r="O14" s="323"/>
      <c r="P14" s="322"/>
      <c r="Q14" s="323"/>
      <c r="R14" s="322"/>
      <c r="S14" s="323"/>
      <c r="X14" s="114"/>
    </row>
    <row r="15" spans="1:24" ht="15.75" hidden="1" thickBot="1">
      <c r="A15" s="108">
        <f t="shared" si="0"/>
        <v>15</v>
      </c>
      <c r="F15" s="110"/>
      <c r="G15" s="182" t="s">
        <v>17</v>
      </c>
      <c r="H15" s="171"/>
      <c r="I15" s="535"/>
      <c r="J15" s="171"/>
      <c r="K15" s="535"/>
      <c r="L15" s="171"/>
      <c r="M15" s="535"/>
      <c r="N15" s="171"/>
      <c r="O15" s="535"/>
      <c r="P15" s="171"/>
      <c r="Q15" s="535"/>
      <c r="R15" s="171"/>
      <c r="S15" s="535"/>
      <c r="X15" s="114"/>
    </row>
    <row r="16" spans="1:24" ht="15.75" hidden="1" thickBot="1">
      <c r="A16" s="108">
        <f t="shared" si="0"/>
        <v>16</v>
      </c>
      <c r="F16" s="110"/>
      <c r="G16" s="182" t="s">
        <v>47</v>
      </c>
      <c r="H16" s="537"/>
      <c r="I16" s="153"/>
      <c r="J16" s="537"/>
      <c r="K16" s="153"/>
      <c r="L16" s="537"/>
      <c r="M16" s="153"/>
      <c r="N16" s="537"/>
      <c r="O16" s="153"/>
      <c r="P16" s="537"/>
      <c r="Q16" s="153"/>
      <c r="R16" s="537"/>
      <c r="S16" s="153"/>
      <c r="X16" s="114"/>
    </row>
    <row r="17" spans="1:24" ht="15.75" hidden="1" thickBot="1">
      <c r="A17" s="108">
        <f t="shared" si="0"/>
        <v>17</v>
      </c>
      <c r="F17" s="110"/>
      <c r="G17" s="182" t="s">
        <v>516</v>
      </c>
      <c r="H17" s="171"/>
      <c r="I17" s="153"/>
      <c r="J17" s="171"/>
      <c r="K17" s="153"/>
      <c r="L17" s="171"/>
      <c r="M17" s="153"/>
      <c r="N17" s="171"/>
      <c r="O17" s="153"/>
      <c r="P17" s="171"/>
      <c r="Q17" s="153"/>
      <c r="R17" s="171"/>
      <c r="S17" s="153"/>
      <c r="X17" s="114"/>
    </row>
    <row r="18" spans="1:24" ht="15.75" hidden="1" thickBot="1">
      <c r="A18" s="108">
        <f t="shared" si="0"/>
        <v>18</v>
      </c>
      <c r="F18" s="110"/>
      <c r="G18" s="184" t="s">
        <v>517</v>
      </c>
      <c r="H18" s="171"/>
      <c r="I18" s="153"/>
      <c r="J18" s="171"/>
      <c r="K18" s="153"/>
      <c r="L18" s="171"/>
      <c r="M18" s="153"/>
      <c r="N18" s="171"/>
      <c r="O18" s="153"/>
      <c r="P18" s="171"/>
      <c r="Q18" s="153"/>
      <c r="R18" s="171"/>
      <c r="S18" s="153"/>
      <c r="X18" s="114"/>
    </row>
    <row r="19" spans="1:24" ht="15.75" hidden="1" thickBot="1">
      <c r="A19" s="108">
        <f t="shared" si="0"/>
        <v>19</v>
      </c>
      <c r="F19" s="110"/>
      <c r="G19" s="184" t="s">
        <v>518</v>
      </c>
      <c r="H19" s="324"/>
      <c r="I19" s="152"/>
      <c r="J19" s="324"/>
      <c r="K19" s="152"/>
      <c r="L19" s="324"/>
      <c r="M19" s="152"/>
      <c r="N19" s="324"/>
      <c r="O19" s="152"/>
      <c r="P19" s="324"/>
      <c r="Q19" s="152"/>
      <c r="R19" s="324"/>
      <c r="S19" s="152"/>
      <c r="X19" s="114"/>
    </row>
    <row r="20" spans="1:24" ht="15.75" hidden="1" thickBot="1">
      <c r="A20" s="108">
        <f t="shared" si="0"/>
        <v>20</v>
      </c>
      <c r="F20" s="110"/>
      <c r="G20" s="183" t="s">
        <v>305</v>
      </c>
      <c r="H20" s="170"/>
      <c r="I20" s="153"/>
      <c r="J20" s="170"/>
      <c r="K20" s="153"/>
      <c r="L20" s="170"/>
      <c r="M20" s="153"/>
      <c r="N20" s="170"/>
      <c r="O20" s="153"/>
      <c r="P20" s="170"/>
      <c r="Q20" s="153"/>
      <c r="R20" s="170"/>
      <c r="S20" s="153"/>
      <c r="X20" s="114"/>
    </row>
    <row r="21" spans="1:24" ht="15.75" hidden="1" thickBot="1">
      <c r="A21" s="108">
        <f t="shared" si="0"/>
        <v>21</v>
      </c>
      <c r="G21" s="184" t="s">
        <v>328</v>
      </c>
      <c r="H21" s="171"/>
      <c r="I21" s="153"/>
      <c r="J21" s="171"/>
      <c r="K21" s="153"/>
      <c r="L21" s="171"/>
      <c r="M21" s="153"/>
      <c r="N21" s="171"/>
      <c r="O21" s="153"/>
      <c r="P21" s="171"/>
      <c r="Q21" s="153"/>
      <c r="R21" s="171"/>
      <c r="S21" s="153"/>
      <c r="X21" s="114"/>
    </row>
    <row r="22" spans="1:24" ht="15.75" hidden="1" thickBot="1">
      <c r="A22" s="108">
        <f t="shared" si="0"/>
        <v>22</v>
      </c>
      <c r="G22" s="185" t="s">
        <v>329</v>
      </c>
      <c r="H22" s="538"/>
      <c r="I22" s="153"/>
      <c r="J22" s="538"/>
      <c r="K22" s="153"/>
      <c r="L22" s="538"/>
      <c r="M22" s="153"/>
      <c r="N22" s="538"/>
      <c r="O22" s="153"/>
      <c r="P22" s="538"/>
      <c r="Q22" s="153"/>
      <c r="R22" s="538"/>
      <c r="S22" s="153"/>
      <c r="X22" s="114"/>
    </row>
    <row r="23" spans="1:24" ht="15.75" hidden="1" thickBot="1">
      <c r="A23" s="108">
        <f t="shared" si="0"/>
        <v>23</v>
      </c>
      <c r="G23" s="185" t="s">
        <v>519</v>
      </c>
      <c r="H23" s="538"/>
      <c r="I23" s="153"/>
      <c r="J23" s="538"/>
      <c r="K23" s="153"/>
      <c r="L23" s="538"/>
      <c r="M23" s="153"/>
      <c r="N23" s="538"/>
      <c r="O23" s="153"/>
      <c r="P23" s="538"/>
      <c r="Q23" s="153"/>
      <c r="R23" s="538"/>
      <c r="S23" s="153"/>
      <c r="X23" s="114"/>
    </row>
    <row r="24" spans="1:24" ht="15.75" hidden="1" thickBot="1">
      <c r="A24" s="108">
        <f t="shared" si="0"/>
        <v>24</v>
      </c>
      <c r="G24" s="186" t="s">
        <v>331</v>
      </c>
      <c r="H24" s="539"/>
      <c r="I24" s="152"/>
      <c r="J24" s="539"/>
      <c r="K24" s="152"/>
      <c r="L24" s="539"/>
      <c r="M24" s="152"/>
      <c r="N24" s="539"/>
      <c r="O24" s="152"/>
      <c r="P24" s="539"/>
      <c r="Q24" s="152"/>
      <c r="R24" s="539"/>
      <c r="S24" s="152"/>
      <c r="X24" s="114"/>
    </row>
    <row r="25" spans="1:24" ht="15.75" hidden="1" thickBot="1">
      <c r="A25" s="108">
        <f t="shared" si="0"/>
        <v>25</v>
      </c>
      <c r="G25" s="187" t="s">
        <v>306</v>
      </c>
      <c r="H25" s="172"/>
      <c r="I25" s="153"/>
      <c r="J25" s="172"/>
      <c r="K25" s="153"/>
      <c r="L25" s="172"/>
      <c r="M25" s="153"/>
      <c r="N25" s="172"/>
      <c r="O25" s="153"/>
      <c r="P25" s="172"/>
      <c r="Q25" s="153"/>
      <c r="R25" s="172"/>
      <c r="S25" s="153"/>
      <c r="X25" s="114"/>
    </row>
    <row r="26" spans="1:24" ht="15.75" hidden="1" thickBot="1">
      <c r="A26" s="108">
        <f t="shared" si="0"/>
        <v>26</v>
      </c>
      <c r="G26" s="188" t="s">
        <v>328</v>
      </c>
      <c r="H26" s="532"/>
      <c r="I26" s="153"/>
      <c r="J26" s="532"/>
      <c r="K26" s="153"/>
      <c r="L26" s="532"/>
      <c r="M26" s="153"/>
      <c r="N26" s="532"/>
      <c r="O26" s="153"/>
      <c r="P26" s="532"/>
      <c r="Q26" s="153"/>
      <c r="R26" s="532"/>
      <c r="S26" s="153"/>
      <c r="X26" s="114"/>
    </row>
    <row r="27" spans="1:24" ht="15.75" hidden="1" thickBot="1">
      <c r="A27" s="108">
        <f t="shared" si="0"/>
        <v>27</v>
      </c>
      <c r="G27" s="188" t="s">
        <v>329</v>
      </c>
      <c r="H27" s="173"/>
      <c r="I27" s="153"/>
      <c r="J27" s="173"/>
      <c r="K27" s="153"/>
      <c r="L27" s="173"/>
      <c r="M27" s="153"/>
      <c r="N27" s="173"/>
      <c r="O27" s="153"/>
      <c r="P27" s="173"/>
      <c r="Q27" s="153"/>
      <c r="R27" s="173"/>
      <c r="S27" s="153"/>
      <c r="X27" s="114"/>
    </row>
    <row r="28" spans="1:24" ht="15.75" hidden="1" thickBot="1">
      <c r="A28" s="108">
        <f t="shared" si="0"/>
        <v>28</v>
      </c>
      <c r="G28" s="190" t="s">
        <v>764</v>
      </c>
      <c r="H28" s="174"/>
      <c r="I28" s="558"/>
      <c r="J28" s="174"/>
      <c r="K28" s="558"/>
      <c r="L28" s="174"/>
      <c r="M28" s="558"/>
      <c r="N28" s="174"/>
      <c r="O28" s="558"/>
      <c r="P28" s="174"/>
      <c r="Q28" s="558"/>
      <c r="R28" s="174"/>
      <c r="S28" s="558"/>
      <c r="X28" s="114"/>
    </row>
    <row r="29" spans="1:24" ht="15.75" hidden="1" thickBot="1">
      <c r="A29" s="108">
        <f t="shared" si="0"/>
        <v>29</v>
      </c>
      <c r="F29" s="110"/>
      <c r="G29" s="191" t="s">
        <v>520</v>
      </c>
      <c r="H29" s="175"/>
      <c r="I29" s="153"/>
      <c r="J29" s="175"/>
      <c r="K29" s="153"/>
      <c r="L29" s="175"/>
      <c r="M29" s="153"/>
      <c r="N29" s="175"/>
      <c r="O29" s="153"/>
      <c r="P29" s="175"/>
      <c r="Q29" s="153"/>
      <c r="R29" s="175"/>
      <c r="S29" s="153"/>
      <c r="X29" s="114"/>
    </row>
    <row r="30" spans="1:24" s="109" customFormat="1" ht="15.75" hidden="1" thickBot="1">
      <c r="A30" s="108">
        <f t="shared" si="0"/>
        <v>30</v>
      </c>
      <c r="F30" s="112"/>
      <c r="G30" s="192" t="s">
        <v>521</v>
      </c>
      <c r="H30" s="325"/>
      <c r="I30" s="152"/>
      <c r="J30" s="325"/>
      <c r="K30" s="152"/>
      <c r="L30" s="325"/>
      <c r="M30" s="152"/>
      <c r="N30" s="325"/>
      <c r="O30" s="152"/>
      <c r="P30" s="325"/>
      <c r="Q30" s="152"/>
      <c r="R30" s="325"/>
      <c r="S30" s="152"/>
      <c r="X30" s="326"/>
    </row>
    <row r="31" spans="1:24" ht="15.75" outlineLevel="1" thickBot="1">
      <c r="A31" s="108">
        <f t="shared" si="0"/>
        <v>31</v>
      </c>
      <c r="F31" s="110"/>
      <c r="G31" s="182"/>
      <c r="H31" s="176"/>
      <c r="I31" s="530"/>
      <c r="J31" s="176"/>
      <c r="K31" s="530"/>
      <c r="L31" s="176"/>
      <c r="M31" s="530"/>
      <c r="N31" s="176"/>
      <c r="O31" s="530"/>
      <c r="P31" s="176"/>
      <c r="Q31" s="530"/>
      <c r="R31" s="176"/>
      <c r="S31" s="530"/>
      <c r="X31" s="114"/>
    </row>
    <row r="32" spans="1:24" ht="15" outlineLevel="1">
      <c r="A32" s="108">
        <f t="shared" si="0"/>
        <v>32</v>
      </c>
      <c r="F32" s="110"/>
      <c r="G32" s="193"/>
      <c r="H32" s="305"/>
      <c r="I32" s="153"/>
      <c r="J32" s="305"/>
      <c r="K32" s="153"/>
      <c r="L32" s="305"/>
      <c r="M32" s="153"/>
      <c r="N32" s="305"/>
      <c r="O32" s="153"/>
      <c r="P32" s="305"/>
      <c r="Q32" s="153"/>
      <c r="R32" s="305"/>
      <c r="S32" s="153"/>
      <c r="X32" s="114"/>
    </row>
    <row r="33" spans="1:24" ht="14.45" customHeight="1" outlineLevel="1">
      <c r="A33" s="108">
        <f t="shared" si="0"/>
        <v>33</v>
      </c>
      <c r="G33" s="184"/>
      <c r="H33" s="178"/>
      <c r="I33" s="525"/>
      <c r="J33" s="178"/>
      <c r="K33" s="525"/>
      <c r="L33" s="178"/>
      <c r="M33" s="525"/>
      <c r="N33" s="178"/>
      <c r="O33" s="525"/>
      <c r="P33" s="178"/>
      <c r="Q33" s="525"/>
      <c r="R33" s="178"/>
      <c r="S33" s="525"/>
      <c r="X33" s="114"/>
    </row>
    <row r="34" spans="1:24" ht="14.45" customHeight="1" outlineLevel="1">
      <c r="A34" s="108">
        <f t="shared" si="0"/>
        <v>34</v>
      </c>
      <c r="G34" s="188"/>
      <c r="H34" s="178"/>
      <c r="I34" s="526"/>
      <c r="J34" s="178"/>
      <c r="K34" s="526"/>
      <c r="L34" s="178"/>
      <c r="M34" s="526"/>
      <c r="N34" s="178"/>
      <c r="O34" s="526"/>
      <c r="P34" s="178"/>
      <c r="Q34" s="526"/>
      <c r="R34" s="178"/>
      <c r="S34" s="526"/>
      <c r="X34" s="114"/>
    </row>
    <row r="35" spans="1:24" ht="14.45" customHeight="1" outlineLevel="1">
      <c r="A35" s="108">
        <f t="shared" si="0"/>
        <v>35</v>
      </c>
      <c r="G35" s="188"/>
      <c r="H35" s="178"/>
      <c r="I35" s="526"/>
      <c r="J35" s="178"/>
      <c r="K35" s="526"/>
      <c r="L35" s="178"/>
      <c r="M35" s="526"/>
      <c r="N35" s="178"/>
      <c r="O35" s="526"/>
      <c r="P35" s="178"/>
      <c r="Q35" s="526"/>
      <c r="R35" s="178"/>
      <c r="S35" s="526"/>
      <c r="X35" s="114"/>
    </row>
    <row r="36" spans="1:24" ht="14.45" customHeight="1" outlineLevel="1">
      <c r="A36" s="108">
        <f t="shared" si="0"/>
        <v>36</v>
      </c>
      <c r="G36" s="188"/>
      <c r="H36" s="178"/>
      <c r="I36" s="526"/>
      <c r="J36" s="178"/>
      <c r="K36" s="526"/>
      <c r="L36" s="178"/>
      <c r="M36" s="526"/>
      <c r="N36" s="178"/>
      <c r="O36" s="526"/>
      <c r="P36" s="178"/>
      <c r="Q36" s="526"/>
      <c r="R36" s="178"/>
      <c r="S36" s="526"/>
      <c r="X36" s="114"/>
    </row>
    <row r="37" spans="1:24" ht="14.45" customHeight="1" outlineLevel="1">
      <c r="A37" s="108">
        <f t="shared" si="0"/>
        <v>37</v>
      </c>
      <c r="G37" s="188"/>
      <c r="H37" s="178"/>
      <c r="I37" s="526"/>
      <c r="J37" s="178"/>
      <c r="K37" s="526"/>
      <c r="L37" s="178"/>
      <c r="M37" s="526"/>
      <c r="N37" s="178"/>
      <c r="O37" s="526"/>
      <c r="P37" s="178"/>
      <c r="Q37" s="526"/>
      <c r="R37" s="178"/>
      <c r="S37" s="526"/>
      <c r="X37" s="114"/>
    </row>
    <row r="38" spans="1:24" ht="15" customHeight="1" outlineLevel="1" thickBot="1">
      <c r="A38" s="108">
        <f t="shared" si="0"/>
        <v>38</v>
      </c>
      <c r="G38" s="190"/>
      <c r="H38" s="179"/>
      <c r="I38" s="527"/>
      <c r="J38" s="179"/>
      <c r="K38" s="527"/>
      <c r="L38" s="179"/>
      <c r="M38" s="527"/>
      <c r="N38" s="179"/>
      <c r="O38" s="527"/>
      <c r="P38" s="179"/>
      <c r="Q38" s="527"/>
      <c r="R38" s="179"/>
      <c r="S38" s="527"/>
      <c r="X38" s="114"/>
    </row>
    <row r="39" spans="1:24" ht="15" outlineLevel="1">
      <c r="A39" s="108">
        <f t="shared" si="0"/>
        <v>39</v>
      </c>
      <c r="F39" s="110"/>
      <c r="G39" s="193"/>
      <c r="H39" s="305"/>
      <c r="I39" s="153"/>
      <c r="J39" s="305"/>
      <c r="K39" s="153"/>
      <c r="L39" s="305"/>
      <c r="M39" s="153"/>
      <c r="N39" s="305"/>
      <c r="O39" s="153"/>
      <c r="P39" s="305"/>
      <c r="Q39" s="153"/>
      <c r="R39" s="305"/>
      <c r="S39" s="153"/>
      <c r="X39" s="114"/>
    </row>
    <row r="40" spans="1:24" ht="14.45" customHeight="1" outlineLevel="1">
      <c r="A40" s="108">
        <f t="shared" si="0"/>
        <v>40</v>
      </c>
      <c r="G40" s="192"/>
      <c r="H40" s="180"/>
      <c r="I40" s="526"/>
      <c r="J40" s="180"/>
      <c r="K40" s="526"/>
      <c r="L40" s="180"/>
      <c r="M40" s="526"/>
      <c r="N40" s="180"/>
      <c r="O40" s="526"/>
      <c r="P40" s="180"/>
      <c r="Q40" s="526"/>
      <c r="R40" s="180"/>
      <c r="S40" s="526"/>
      <c r="X40" s="114"/>
    </row>
    <row r="41" spans="1:24" ht="14.45" customHeight="1" outlineLevel="1">
      <c r="A41" s="108">
        <f t="shared" si="0"/>
        <v>41</v>
      </c>
      <c r="G41" s="188"/>
      <c r="H41" s="178"/>
      <c r="I41" s="526"/>
      <c r="J41" s="178"/>
      <c r="K41" s="526"/>
      <c r="L41" s="178"/>
      <c r="M41" s="526"/>
      <c r="N41" s="178"/>
      <c r="O41" s="526"/>
      <c r="P41" s="178"/>
      <c r="Q41" s="526"/>
      <c r="R41" s="178"/>
      <c r="S41" s="526"/>
      <c r="X41" s="114"/>
    </row>
    <row r="42" spans="1:24" ht="14.45" customHeight="1" outlineLevel="1">
      <c r="A42" s="108">
        <f t="shared" si="0"/>
        <v>42</v>
      </c>
      <c r="G42" s="188"/>
      <c r="H42" s="178"/>
      <c r="I42" s="526"/>
      <c r="J42" s="178"/>
      <c r="K42" s="526"/>
      <c r="L42" s="178"/>
      <c r="M42" s="526"/>
      <c r="N42" s="178"/>
      <c r="O42" s="526"/>
      <c r="P42" s="178"/>
      <c r="Q42" s="526"/>
      <c r="R42" s="178"/>
      <c r="S42" s="526"/>
      <c r="X42" s="114"/>
    </row>
    <row r="43" spans="1:24" ht="14.45" customHeight="1" outlineLevel="1">
      <c r="A43" s="108">
        <f t="shared" si="0"/>
        <v>43</v>
      </c>
      <c r="G43" s="188"/>
      <c r="H43" s="178"/>
      <c r="I43" s="526"/>
      <c r="J43" s="178"/>
      <c r="K43" s="526"/>
      <c r="L43" s="178"/>
      <c r="M43" s="526"/>
      <c r="N43" s="178"/>
      <c r="O43" s="526"/>
      <c r="P43" s="178"/>
      <c r="Q43" s="526"/>
      <c r="R43" s="178"/>
      <c r="S43" s="526"/>
      <c r="X43" s="114"/>
    </row>
    <row r="44" spans="1:24" ht="15" customHeight="1" outlineLevel="1" thickBot="1">
      <c r="A44" s="108">
        <f t="shared" si="0"/>
        <v>44</v>
      </c>
      <c r="G44" s="190"/>
      <c r="H44" s="179"/>
      <c r="I44" s="527"/>
      <c r="J44" s="179"/>
      <c r="K44" s="527"/>
      <c r="L44" s="179"/>
      <c r="M44" s="527"/>
      <c r="N44" s="179"/>
      <c r="O44" s="527"/>
      <c r="P44" s="179"/>
      <c r="Q44" s="527"/>
      <c r="R44" s="179"/>
      <c r="S44" s="527"/>
      <c r="X44" s="114"/>
    </row>
    <row r="45" spans="1:24" ht="15" outlineLevel="1">
      <c r="A45" s="108">
        <f t="shared" si="0"/>
        <v>45</v>
      </c>
      <c r="F45" s="110"/>
      <c r="G45" s="193"/>
      <c r="H45" s="305"/>
      <c r="I45" s="153"/>
      <c r="J45" s="305"/>
      <c r="K45" s="153"/>
      <c r="L45" s="305"/>
      <c r="M45" s="153"/>
      <c r="N45" s="305"/>
      <c r="O45" s="153"/>
      <c r="P45" s="305"/>
      <c r="Q45" s="153"/>
      <c r="R45" s="305"/>
      <c r="S45" s="153"/>
      <c r="X45" s="114"/>
    </row>
    <row r="46" spans="1:24" ht="14.45" customHeight="1" outlineLevel="1">
      <c r="A46" s="108">
        <f t="shared" si="0"/>
        <v>46</v>
      </c>
      <c r="G46" s="192"/>
      <c r="H46" s="178"/>
      <c r="I46" s="526"/>
      <c r="J46" s="178"/>
      <c r="K46" s="526"/>
      <c r="L46" s="178"/>
      <c r="M46" s="526"/>
      <c r="N46" s="178"/>
      <c r="O46" s="526"/>
      <c r="P46" s="178"/>
      <c r="Q46" s="526"/>
      <c r="R46" s="178"/>
      <c r="S46" s="526"/>
      <c r="X46" s="114"/>
    </row>
    <row r="47" spans="1:24" ht="14.45" customHeight="1" outlineLevel="1">
      <c r="A47" s="108">
        <f t="shared" si="0"/>
        <v>47</v>
      </c>
      <c r="G47" s="188"/>
      <c r="H47" s="178"/>
      <c r="I47" s="526"/>
      <c r="J47" s="178"/>
      <c r="K47" s="526"/>
      <c r="L47" s="178"/>
      <c r="M47" s="526"/>
      <c r="N47" s="178"/>
      <c r="O47" s="526"/>
      <c r="P47" s="178"/>
      <c r="Q47" s="526"/>
      <c r="R47" s="178"/>
      <c r="S47" s="526"/>
      <c r="X47" s="114"/>
    </row>
    <row r="48" spans="1:24" ht="14.45" customHeight="1" outlineLevel="1">
      <c r="A48" s="108">
        <f t="shared" si="0"/>
        <v>48</v>
      </c>
      <c r="G48" s="188"/>
      <c r="H48" s="178"/>
      <c r="I48" s="526"/>
      <c r="J48" s="178"/>
      <c r="K48" s="526"/>
      <c r="L48" s="178"/>
      <c r="M48" s="526"/>
      <c r="N48" s="178"/>
      <c r="O48" s="526"/>
      <c r="P48" s="178"/>
      <c r="Q48" s="526"/>
      <c r="R48" s="178"/>
      <c r="S48" s="526"/>
      <c r="X48" s="114"/>
    </row>
    <row r="49" spans="1:24" ht="14.45" customHeight="1" outlineLevel="1">
      <c r="A49" s="108">
        <f t="shared" si="0"/>
        <v>49</v>
      </c>
      <c r="G49" s="188"/>
      <c r="H49" s="178"/>
      <c r="I49" s="526"/>
      <c r="J49" s="178"/>
      <c r="K49" s="526"/>
      <c r="L49" s="178"/>
      <c r="M49" s="526"/>
      <c r="N49" s="178"/>
      <c r="O49" s="526"/>
      <c r="P49" s="178"/>
      <c r="Q49" s="526"/>
      <c r="R49" s="178"/>
      <c r="S49" s="526"/>
      <c r="X49" s="114"/>
    </row>
    <row r="50" spans="1:24" ht="15" customHeight="1" outlineLevel="1" thickBot="1">
      <c r="A50" s="108">
        <f t="shared" si="0"/>
        <v>50</v>
      </c>
      <c r="G50" s="190"/>
      <c r="H50" s="179"/>
      <c r="I50" s="527"/>
      <c r="J50" s="179"/>
      <c r="K50" s="527"/>
      <c r="L50" s="179"/>
      <c r="M50" s="527"/>
      <c r="N50" s="179"/>
      <c r="O50" s="527"/>
      <c r="P50" s="179"/>
      <c r="Q50" s="527"/>
      <c r="R50" s="179"/>
      <c r="S50" s="527"/>
      <c r="X50" s="114"/>
    </row>
    <row r="51" spans="1:24" ht="15.6" customHeight="1" outlineLevel="1">
      <c r="A51" s="108">
        <f t="shared" si="0"/>
        <v>51</v>
      </c>
      <c r="F51" s="110"/>
      <c r="G51" s="193"/>
      <c r="H51" s="181"/>
      <c r="I51" s="153"/>
      <c r="J51" s="181"/>
      <c r="K51" s="153"/>
      <c r="L51" s="181"/>
      <c r="M51" s="153"/>
      <c r="N51" s="181"/>
      <c r="O51" s="153"/>
      <c r="P51" s="181"/>
      <c r="Q51" s="153"/>
      <c r="R51" s="181"/>
      <c r="S51" s="153"/>
      <c r="X51" s="114"/>
    </row>
    <row r="52" spans="1:24" ht="14.45" customHeight="1" outlineLevel="1">
      <c r="A52" s="108">
        <f t="shared" si="0"/>
        <v>52</v>
      </c>
      <c r="G52" s="192"/>
      <c r="H52" s="180"/>
      <c r="I52" s="526"/>
      <c r="J52" s="180"/>
      <c r="K52" s="526"/>
      <c r="L52" s="180"/>
      <c r="M52" s="526"/>
      <c r="N52" s="180"/>
      <c r="O52" s="526"/>
      <c r="P52" s="180"/>
      <c r="Q52" s="526"/>
      <c r="R52" s="180"/>
      <c r="S52" s="526"/>
      <c r="X52" s="114"/>
    </row>
    <row r="53" spans="1:24" ht="14.45" customHeight="1" outlineLevel="1">
      <c r="A53" s="108">
        <f t="shared" si="0"/>
        <v>53</v>
      </c>
      <c r="G53" s="188"/>
      <c r="H53" s="178"/>
      <c r="I53" s="526"/>
      <c r="J53" s="178"/>
      <c r="K53" s="526"/>
      <c r="L53" s="178"/>
      <c r="M53" s="526"/>
      <c r="N53" s="178"/>
      <c r="O53" s="526"/>
      <c r="P53" s="178"/>
      <c r="Q53" s="526"/>
      <c r="R53" s="178"/>
      <c r="S53" s="526"/>
      <c r="X53" s="114"/>
    </row>
    <row r="54" spans="1:24" ht="14.45" customHeight="1" outlineLevel="1">
      <c r="A54" s="108">
        <f t="shared" si="0"/>
        <v>54</v>
      </c>
      <c r="G54" s="188"/>
      <c r="H54" s="178"/>
      <c r="I54" s="526"/>
      <c r="J54" s="178"/>
      <c r="K54" s="526"/>
      <c r="L54" s="178"/>
      <c r="M54" s="526"/>
      <c r="N54" s="178"/>
      <c r="O54" s="526"/>
      <c r="P54" s="178"/>
      <c r="Q54" s="526"/>
      <c r="R54" s="178"/>
      <c r="S54" s="526"/>
      <c r="X54" s="114"/>
    </row>
    <row r="55" spans="1:24" ht="14.45" customHeight="1" outlineLevel="1">
      <c r="A55" s="108">
        <f t="shared" si="0"/>
        <v>55</v>
      </c>
      <c r="G55" s="188"/>
      <c r="H55" s="178"/>
      <c r="I55" s="526"/>
      <c r="J55" s="178"/>
      <c r="K55" s="526"/>
      <c r="L55" s="178"/>
      <c r="M55" s="526"/>
      <c r="N55" s="178"/>
      <c r="O55" s="526"/>
      <c r="P55" s="178"/>
      <c r="Q55" s="526"/>
      <c r="R55" s="178"/>
      <c r="S55" s="526"/>
      <c r="X55" s="114"/>
    </row>
    <row r="56" spans="1:24" ht="15" customHeight="1" outlineLevel="1" thickBot="1">
      <c r="A56" s="108">
        <f t="shared" si="0"/>
        <v>56</v>
      </c>
      <c r="G56" s="190"/>
      <c r="H56" s="179"/>
      <c r="I56" s="527"/>
      <c r="J56" s="179"/>
      <c r="K56" s="527"/>
      <c r="L56" s="179"/>
      <c r="M56" s="527"/>
      <c r="N56" s="179"/>
      <c r="O56" s="527"/>
      <c r="P56" s="179"/>
      <c r="Q56" s="527"/>
      <c r="R56" s="179"/>
      <c r="S56" s="527"/>
      <c r="X56" s="114"/>
    </row>
    <row r="57" spans="1:24" ht="15" outlineLevel="1">
      <c r="A57" s="108">
        <f t="shared" si="0"/>
        <v>57</v>
      </c>
      <c r="F57" s="110"/>
      <c r="G57" s="193"/>
      <c r="H57" s="181"/>
      <c r="I57" s="153"/>
      <c r="J57" s="181"/>
      <c r="K57" s="153"/>
      <c r="L57" s="181"/>
      <c r="M57" s="153"/>
      <c r="N57" s="181"/>
      <c r="O57" s="153"/>
      <c r="P57" s="181"/>
      <c r="Q57" s="153"/>
      <c r="R57" s="181"/>
      <c r="S57" s="153"/>
      <c r="X57" s="114"/>
    </row>
    <row r="58" spans="1:24" ht="14.45" customHeight="1" outlineLevel="1">
      <c r="A58" s="108">
        <f t="shared" si="0"/>
        <v>58</v>
      </c>
      <c r="G58" s="192"/>
      <c r="H58" s="177"/>
      <c r="I58" s="528"/>
      <c r="J58" s="177"/>
      <c r="K58" s="528"/>
      <c r="L58" s="177"/>
      <c r="M58" s="528"/>
      <c r="N58" s="177"/>
      <c r="O58" s="528"/>
      <c r="P58" s="177"/>
      <c r="Q58" s="528"/>
      <c r="R58" s="177"/>
      <c r="S58" s="528"/>
      <c r="X58" s="114"/>
    </row>
    <row r="59" spans="1:24" ht="14.45" customHeight="1" outlineLevel="1">
      <c r="A59" s="108">
        <f t="shared" si="0"/>
        <v>59</v>
      </c>
      <c r="G59" s="188"/>
      <c r="H59" s="173"/>
      <c r="I59" s="528"/>
      <c r="J59" s="173"/>
      <c r="K59" s="528"/>
      <c r="L59" s="173"/>
      <c r="M59" s="528"/>
      <c r="N59" s="173"/>
      <c r="O59" s="528"/>
      <c r="P59" s="173"/>
      <c r="Q59" s="528"/>
      <c r="R59" s="173"/>
      <c r="S59" s="528"/>
      <c r="X59" s="114"/>
    </row>
    <row r="60" spans="1:24" ht="14.45" customHeight="1" outlineLevel="1">
      <c r="A60" s="108">
        <f t="shared" si="0"/>
        <v>60</v>
      </c>
      <c r="G60" s="188"/>
      <c r="H60" s="173"/>
      <c r="I60" s="528"/>
      <c r="J60" s="173"/>
      <c r="K60" s="528"/>
      <c r="L60" s="173"/>
      <c r="M60" s="528"/>
      <c r="N60" s="173"/>
      <c r="O60" s="528"/>
      <c r="P60" s="173"/>
      <c r="Q60" s="528"/>
      <c r="R60" s="173"/>
      <c r="S60" s="528"/>
      <c r="X60" s="114"/>
    </row>
    <row r="61" spans="1:24" ht="14.45" customHeight="1" outlineLevel="1">
      <c r="A61" s="108">
        <f t="shared" si="0"/>
        <v>61</v>
      </c>
      <c r="G61" s="188"/>
      <c r="H61" s="173"/>
      <c r="I61" s="528"/>
      <c r="J61" s="173"/>
      <c r="K61" s="528"/>
      <c r="L61" s="173"/>
      <c r="M61" s="528"/>
      <c r="N61" s="173"/>
      <c r="O61" s="528"/>
      <c r="P61" s="173"/>
      <c r="Q61" s="528"/>
      <c r="R61" s="173"/>
      <c r="S61" s="528"/>
      <c r="X61" s="114"/>
    </row>
    <row r="62" spans="1:24" ht="15" customHeight="1" outlineLevel="1" thickBot="1">
      <c r="A62" s="108">
        <f t="shared" si="0"/>
        <v>62</v>
      </c>
      <c r="G62" s="190"/>
      <c r="H62" s="174"/>
      <c r="I62" s="529"/>
      <c r="J62" s="174"/>
      <c r="K62" s="529"/>
      <c r="L62" s="174"/>
      <c r="M62" s="529"/>
      <c r="N62" s="174"/>
      <c r="O62" s="529"/>
      <c r="P62" s="174"/>
      <c r="Q62" s="529"/>
      <c r="R62" s="174"/>
      <c r="S62" s="529"/>
      <c r="X62" s="114"/>
    </row>
    <row r="63" spans="1:24" ht="15" outlineLevel="1">
      <c r="A63" s="108">
        <f t="shared" si="0"/>
        <v>63</v>
      </c>
      <c r="F63" s="110"/>
      <c r="G63" s="193"/>
      <c r="H63" s="181"/>
      <c r="I63" s="153"/>
      <c r="J63" s="181"/>
      <c r="K63" s="153"/>
      <c r="L63" s="181"/>
      <c r="M63" s="153"/>
      <c r="N63" s="181"/>
      <c r="O63" s="153"/>
      <c r="P63" s="181"/>
      <c r="Q63" s="153"/>
      <c r="R63" s="181"/>
      <c r="S63" s="153"/>
      <c r="X63" s="114"/>
    </row>
    <row r="64" spans="1:24" ht="14.45" customHeight="1" outlineLevel="1">
      <c r="A64" s="108">
        <f t="shared" si="0"/>
        <v>64</v>
      </c>
      <c r="G64" s="192"/>
      <c r="H64" s="177"/>
      <c r="I64" s="528"/>
      <c r="J64" s="177"/>
      <c r="K64" s="528"/>
      <c r="L64" s="177"/>
      <c r="M64" s="528"/>
      <c r="N64" s="177"/>
      <c r="O64" s="528"/>
      <c r="P64" s="177"/>
      <c r="Q64" s="528"/>
      <c r="R64" s="177"/>
      <c r="S64" s="528"/>
      <c r="X64" s="114"/>
    </row>
    <row r="65" spans="1:24" ht="14.45" customHeight="1" outlineLevel="1">
      <c r="A65" s="108">
        <f t="shared" si="0"/>
        <v>65</v>
      </c>
      <c r="G65" s="188"/>
      <c r="H65" s="173"/>
      <c r="I65" s="528"/>
      <c r="J65" s="173"/>
      <c r="K65" s="528"/>
      <c r="L65" s="173"/>
      <c r="M65" s="528"/>
      <c r="N65" s="173"/>
      <c r="O65" s="528"/>
      <c r="P65" s="173"/>
      <c r="Q65" s="528"/>
      <c r="R65" s="173"/>
      <c r="S65" s="528"/>
      <c r="X65" s="114"/>
    </row>
    <row r="66" spans="1:24" ht="14.45" customHeight="1" outlineLevel="1">
      <c r="A66" s="108">
        <f t="shared" ref="A66:A75" si="1">A65+1</f>
        <v>66</v>
      </c>
      <c r="G66" s="188"/>
      <c r="H66" s="173"/>
      <c r="I66" s="528"/>
      <c r="J66" s="173"/>
      <c r="K66" s="528"/>
      <c r="L66" s="173"/>
      <c r="M66" s="528"/>
      <c r="N66" s="173"/>
      <c r="O66" s="528"/>
      <c r="P66" s="173"/>
      <c r="Q66" s="528"/>
      <c r="R66" s="173"/>
      <c r="S66" s="528"/>
      <c r="X66" s="114"/>
    </row>
    <row r="67" spans="1:24" ht="14.45" customHeight="1" outlineLevel="1">
      <c r="A67" s="108">
        <f t="shared" si="1"/>
        <v>67</v>
      </c>
      <c r="G67" s="188"/>
      <c r="H67" s="173"/>
      <c r="I67" s="528"/>
      <c r="J67" s="173"/>
      <c r="K67" s="528"/>
      <c r="L67" s="173"/>
      <c r="M67" s="528"/>
      <c r="N67" s="173"/>
      <c r="O67" s="528"/>
      <c r="P67" s="173"/>
      <c r="Q67" s="528"/>
      <c r="R67" s="173"/>
      <c r="S67" s="528"/>
      <c r="X67" s="114"/>
    </row>
    <row r="68" spans="1:24" ht="15" customHeight="1" outlineLevel="1" thickBot="1">
      <c r="A68" s="108">
        <f t="shared" si="1"/>
        <v>68</v>
      </c>
      <c r="G68" s="190"/>
      <c r="H68" s="174"/>
      <c r="I68" s="529"/>
      <c r="J68" s="174"/>
      <c r="K68" s="529"/>
      <c r="L68" s="174"/>
      <c r="M68" s="529"/>
      <c r="N68" s="174"/>
      <c r="O68" s="529"/>
      <c r="P68" s="174"/>
      <c r="Q68" s="529"/>
      <c r="R68" s="174"/>
      <c r="S68" s="529"/>
      <c r="X68" s="114"/>
    </row>
    <row r="69" spans="1:24" ht="15" outlineLevel="1">
      <c r="A69" s="108">
        <f t="shared" si="1"/>
        <v>69</v>
      </c>
      <c r="F69" s="110"/>
      <c r="G69" s="204"/>
      <c r="H69" s="162"/>
      <c r="I69" s="153"/>
      <c r="J69" s="162"/>
      <c r="K69" s="153"/>
      <c r="L69" s="162"/>
      <c r="M69" s="153"/>
      <c r="N69" s="162"/>
      <c r="O69" s="153"/>
      <c r="P69" s="162"/>
      <c r="Q69" s="153"/>
      <c r="R69" s="162"/>
      <c r="S69" s="153"/>
      <c r="X69" s="114"/>
    </row>
    <row r="70" spans="1:24" ht="14.45" customHeight="1" outlineLevel="1">
      <c r="A70" s="108">
        <f t="shared" si="1"/>
        <v>70</v>
      </c>
      <c r="G70" s="192"/>
      <c r="H70" s="297"/>
      <c r="I70" s="528"/>
      <c r="J70" s="297"/>
      <c r="K70" s="528"/>
      <c r="L70" s="297"/>
      <c r="M70" s="528"/>
      <c r="N70" s="297"/>
      <c r="O70" s="528"/>
      <c r="P70" s="297"/>
      <c r="Q70" s="528"/>
      <c r="R70" s="297"/>
      <c r="S70" s="528"/>
      <c r="X70" s="114"/>
    </row>
    <row r="71" spans="1:24" ht="14.45" customHeight="1" outlineLevel="1">
      <c r="A71" s="108">
        <f t="shared" si="1"/>
        <v>71</v>
      </c>
      <c r="G71" s="188"/>
      <c r="H71" s="196"/>
      <c r="I71" s="528"/>
      <c r="J71" s="196"/>
      <c r="K71" s="528"/>
      <c r="L71" s="196"/>
      <c r="M71" s="528"/>
      <c r="N71" s="196"/>
      <c r="O71" s="528"/>
      <c r="P71" s="196"/>
      <c r="Q71" s="528"/>
      <c r="R71" s="196"/>
      <c r="S71" s="528"/>
      <c r="X71" s="114"/>
    </row>
    <row r="72" spans="1:24" ht="14.45" customHeight="1" outlineLevel="1">
      <c r="A72" s="108">
        <f t="shared" si="1"/>
        <v>72</v>
      </c>
      <c r="G72" s="188"/>
      <c r="H72" s="196"/>
      <c r="I72" s="528"/>
      <c r="J72" s="196"/>
      <c r="K72" s="528"/>
      <c r="L72" s="196"/>
      <c r="M72" s="528"/>
      <c r="N72" s="196"/>
      <c r="O72" s="528"/>
      <c r="P72" s="196"/>
      <c r="Q72" s="528"/>
      <c r="R72" s="196"/>
      <c r="S72" s="528"/>
      <c r="X72" s="114"/>
    </row>
    <row r="73" spans="1:24" ht="14.45" customHeight="1" outlineLevel="1">
      <c r="A73" s="108">
        <f t="shared" si="1"/>
        <v>73</v>
      </c>
      <c r="G73" s="188"/>
      <c r="H73" s="196"/>
      <c r="I73" s="528"/>
      <c r="J73" s="196"/>
      <c r="K73" s="528"/>
      <c r="L73" s="196"/>
      <c r="M73" s="528"/>
      <c r="N73" s="196"/>
      <c r="O73" s="528"/>
      <c r="P73" s="196"/>
      <c r="Q73" s="528"/>
      <c r="R73" s="196"/>
      <c r="S73" s="528"/>
      <c r="X73" s="114"/>
    </row>
    <row r="74" spans="1:24" ht="15" customHeight="1" outlineLevel="1" thickBot="1">
      <c r="A74" s="108">
        <f t="shared" si="1"/>
        <v>74</v>
      </c>
      <c r="G74" s="189"/>
      <c r="H74" s="327"/>
      <c r="I74" s="529"/>
      <c r="J74" s="327"/>
      <c r="K74" s="529"/>
      <c r="L74" s="327"/>
      <c r="M74" s="529"/>
      <c r="N74" s="327"/>
      <c r="O74" s="529"/>
      <c r="P74" s="327"/>
      <c r="Q74" s="529"/>
      <c r="R74" s="327"/>
      <c r="S74" s="529"/>
      <c r="X74" s="114"/>
    </row>
    <row r="75" spans="1:24" ht="19.5" thickBot="1">
      <c r="A75" s="108">
        <f t="shared" si="1"/>
        <v>75</v>
      </c>
      <c r="G75" s="483" t="s">
        <v>522</v>
      </c>
      <c r="H75" s="320"/>
      <c r="I75" s="320"/>
      <c r="J75" s="320"/>
      <c r="K75" s="320"/>
      <c r="L75" s="320"/>
      <c r="M75" s="320"/>
      <c r="N75" s="320"/>
      <c r="O75" s="320"/>
      <c r="P75" s="320"/>
      <c r="Q75" s="320"/>
      <c r="R75" s="320"/>
      <c r="S75" s="320"/>
      <c r="X75" s="114"/>
    </row>
    <row r="76" spans="1:24" s="111" customFormat="1" ht="15.75" thickBot="1">
      <c r="A76" s="108">
        <f t="shared" ref="A76:A139" si="2">A75+1</f>
        <v>76</v>
      </c>
      <c r="G76" s="504"/>
      <c r="H76" s="505" t="str">
        <f>H2</f>
        <v>MY20 Kia Soul</v>
      </c>
      <c r="I76" s="506"/>
      <c r="J76" s="505" t="str">
        <f>J2</f>
        <v>MY20 Kia Soul</v>
      </c>
      <c r="K76" s="506"/>
      <c r="L76" s="505" t="str">
        <f>L2</f>
        <v>MY20 Kia Soul</v>
      </c>
      <c r="M76" s="506"/>
      <c r="N76" s="505" t="str">
        <f>N2</f>
        <v>MY20 Kia Soul</v>
      </c>
      <c r="O76" s="506"/>
      <c r="P76" s="505" t="str">
        <f>P2</f>
        <v>MY20 Kia Soul</v>
      </c>
      <c r="Q76" s="506"/>
      <c r="R76" s="505" t="str">
        <f>R2</f>
        <v>MY20 Kia Soul</v>
      </c>
      <c r="S76" s="506"/>
    </row>
    <row r="77" spans="1:24" ht="15.75" thickBot="1">
      <c r="A77" s="108">
        <f t="shared" si="2"/>
        <v>77</v>
      </c>
      <c r="G77" s="480" t="s">
        <v>332</v>
      </c>
      <c r="H77" s="533">
        <f>Input!H77</f>
        <v>1000</v>
      </c>
      <c r="I77" s="479">
        <f>Input!I77</f>
        <v>1229</v>
      </c>
      <c r="J77" s="533">
        <f>Input!J77</f>
        <v>1000</v>
      </c>
      <c r="K77" s="479">
        <f>Input!K77</f>
        <v>1269.7618664521319</v>
      </c>
      <c r="L77" s="533">
        <f>Input!L77</f>
        <v>1000</v>
      </c>
      <c r="M77" s="479">
        <f>Input!M77</f>
        <v>1287.0236024844721</v>
      </c>
      <c r="N77" s="533">
        <f>Input!N77</f>
        <v>1000</v>
      </c>
      <c r="O77" s="479">
        <f>Input!O77</f>
        <v>1256.832975525977</v>
      </c>
      <c r="P77" s="533">
        <f>Input!P77</f>
        <v>1000</v>
      </c>
      <c r="Q77" s="479">
        <f>Input!Q77</f>
        <v>1277.4263093788063</v>
      </c>
      <c r="R77" s="533">
        <f>Input!R77</f>
        <v>1000.0000000000002</v>
      </c>
      <c r="S77" s="479">
        <f>Input!S77</f>
        <v>1267.2644913000609</v>
      </c>
      <c r="X77" s="114"/>
    </row>
    <row r="78" spans="1:24">
      <c r="A78" s="108">
        <f t="shared" si="2"/>
        <v>78</v>
      </c>
      <c r="F78" s="110"/>
      <c r="G78" s="202" t="s">
        <v>333</v>
      </c>
      <c r="H78" s="160"/>
      <c r="I78" s="155"/>
      <c r="J78" s="160"/>
      <c r="K78" s="155"/>
      <c r="L78" s="160"/>
      <c r="M78" s="155"/>
      <c r="N78" s="160"/>
      <c r="O78" s="155"/>
      <c r="P78" s="160"/>
      <c r="Q78" s="155"/>
      <c r="R78" s="160"/>
      <c r="S78" s="155"/>
      <c r="X78" s="114"/>
    </row>
    <row r="79" spans="1:24" ht="15">
      <c r="A79" s="108">
        <f t="shared" si="2"/>
        <v>79</v>
      </c>
      <c r="G79" s="482" t="s">
        <v>160</v>
      </c>
      <c r="H79" s="163" t="str">
        <f>Input!H79</f>
        <v>Market</v>
      </c>
      <c r="I79" s="164" t="str">
        <f>Input!I79</f>
        <v>Market</v>
      </c>
      <c r="J79" s="163" t="str">
        <f>Input!J79</f>
        <v>Market</v>
      </c>
      <c r="K79" s="164" t="str">
        <f>Input!K79</f>
        <v>Market</v>
      </c>
      <c r="L79" s="163" t="str">
        <f>Input!L79</f>
        <v>Market</v>
      </c>
      <c r="M79" s="164" t="str">
        <f>Input!M79</f>
        <v>Market</v>
      </c>
      <c r="N79" s="163" t="str">
        <f>Input!N79</f>
        <v>Market</v>
      </c>
      <c r="O79" s="164" t="str">
        <f>Input!O79</f>
        <v>Market</v>
      </c>
      <c r="P79" s="163" t="str">
        <f>Input!P79</f>
        <v>Market</v>
      </c>
      <c r="Q79" s="164" t="str">
        <f>Input!Q79</f>
        <v>Market</v>
      </c>
      <c r="R79" s="163" t="str">
        <f>Input!R79</f>
        <v>Market</v>
      </c>
      <c r="S79" s="164" t="str">
        <f>Input!S79</f>
        <v>Market</v>
      </c>
      <c r="X79" s="114"/>
    </row>
    <row r="80" spans="1:24" ht="15">
      <c r="A80" s="108">
        <f t="shared" si="2"/>
        <v>80</v>
      </c>
      <c r="G80" s="481" t="s">
        <v>161</v>
      </c>
      <c r="H80" s="159" t="str">
        <f>Input!H80</f>
        <v>Market</v>
      </c>
      <c r="I80" s="154" t="str">
        <f>Input!I80</f>
        <v>Market</v>
      </c>
      <c r="J80" s="159" t="str">
        <f>Input!J80</f>
        <v>Market</v>
      </c>
      <c r="K80" s="154" t="str">
        <f>Input!K80</f>
        <v>Market</v>
      </c>
      <c r="L80" s="159" t="str">
        <f>Input!L80</f>
        <v>Market</v>
      </c>
      <c r="M80" s="154" t="str">
        <f>Input!M80</f>
        <v>Market</v>
      </c>
      <c r="N80" s="159" t="str">
        <f>Input!N80</f>
        <v>Market</v>
      </c>
      <c r="O80" s="154" t="str">
        <f>Input!O80</f>
        <v>Market</v>
      </c>
      <c r="P80" s="159" t="str">
        <f>Input!P80</f>
        <v>Market</v>
      </c>
      <c r="Q80" s="154" t="str">
        <f>Input!Q80</f>
        <v>Market</v>
      </c>
      <c r="R80" s="159" t="str">
        <f>Input!R80</f>
        <v>Market</v>
      </c>
      <c r="S80" s="154" t="str">
        <f>Input!S80</f>
        <v>Market</v>
      </c>
      <c r="X80" s="114"/>
    </row>
    <row r="81" spans="1:25" ht="15">
      <c r="A81" s="108">
        <f t="shared" si="2"/>
        <v>81</v>
      </c>
      <c r="G81" s="203" t="s">
        <v>162</v>
      </c>
      <c r="H81" s="159" t="str">
        <f>Input!H81</f>
        <v>Market</v>
      </c>
      <c r="I81" s="154" t="str">
        <f>Input!I81</f>
        <v>Market</v>
      </c>
      <c r="J81" s="159" t="str">
        <f>Input!J81</f>
        <v>Market</v>
      </c>
      <c r="K81" s="154" t="str">
        <f>Input!K81</f>
        <v>Market</v>
      </c>
      <c r="L81" s="159" t="str">
        <f>Input!L81</f>
        <v>Market</v>
      </c>
      <c r="M81" s="154" t="str">
        <f>Input!M81</f>
        <v>Market</v>
      </c>
      <c r="N81" s="159" t="str">
        <f>Input!N81</f>
        <v>Market</v>
      </c>
      <c r="O81" s="154" t="str">
        <f>Input!O81</f>
        <v>Market</v>
      </c>
      <c r="P81" s="159" t="str">
        <f>Input!P81</f>
        <v>Market</v>
      </c>
      <c r="Q81" s="154" t="str">
        <f>Input!Q81</f>
        <v>Market</v>
      </c>
      <c r="R81" s="159" t="str">
        <f>Input!R81</f>
        <v>Market</v>
      </c>
      <c r="S81" s="154" t="str">
        <f>Input!S81</f>
        <v>Market</v>
      </c>
      <c r="X81" s="114"/>
    </row>
    <row r="82" spans="1:25" ht="15">
      <c r="A82" s="108">
        <f t="shared" si="2"/>
        <v>82</v>
      </c>
      <c r="G82" s="203" t="s">
        <v>163</v>
      </c>
      <c r="H82" s="159" t="str">
        <f>Input!H82</f>
        <v>Market</v>
      </c>
      <c r="I82" s="154" t="str">
        <f>Input!I82</f>
        <v>Market</v>
      </c>
      <c r="J82" s="159" t="str">
        <f>Input!J82</f>
        <v>Market</v>
      </c>
      <c r="K82" s="154" t="str">
        <f>Input!K82</f>
        <v>Market</v>
      </c>
      <c r="L82" s="159" t="str">
        <f>Input!L82</f>
        <v>Market</v>
      </c>
      <c r="M82" s="154" t="str">
        <f>Input!M82</f>
        <v>Market</v>
      </c>
      <c r="N82" s="159" t="str">
        <f>Input!N82</f>
        <v>Market</v>
      </c>
      <c r="O82" s="154" t="str">
        <f>Input!O82</f>
        <v>Market</v>
      </c>
      <c r="P82" s="159" t="str">
        <f>Input!P82</f>
        <v>Market</v>
      </c>
      <c r="Q82" s="154" t="str">
        <f>Input!Q82</f>
        <v>Market</v>
      </c>
      <c r="R82" s="159" t="str">
        <f>Input!R82</f>
        <v>Market</v>
      </c>
      <c r="S82" s="154" t="str">
        <f>Input!S82</f>
        <v>Market</v>
      </c>
      <c r="X82" s="114"/>
    </row>
    <row r="83" spans="1:25" ht="15">
      <c r="A83" s="108">
        <f t="shared" si="2"/>
        <v>83</v>
      </c>
      <c r="G83" s="203" t="s">
        <v>164</v>
      </c>
      <c r="H83" s="159" t="str">
        <f>Input!H83</f>
        <v>Market</v>
      </c>
      <c r="I83" s="154" t="str">
        <f>Input!I83</f>
        <v>Market</v>
      </c>
      <c r="J83" s="159" t="str">
        <f>Input!J83</f>
        <v>Market</v>
      </c>
      <c r="K83" s="154" t="str">
        <f>Input!K83</f>
        <v>Market</v>
      </c>
      <c r="L83" s="159" t="str">
        <f>Input!L83</f>
        <v>Market</v>
      </c>
      <c r="M83" s="154" t="str">
        <f>Input!M83</f>
        <v>Market</v>
      </c>
      <c r="N83" s="159" t="str">
        <f>Input!N83</f>
        <v>Market</v>
      </c>
      <c r="O83" s="154" t="str">
        <f>Input!O83</f>
        <v>Market</v>
      </c>
      <c r="P83" s="159" t="str">
        <f>Input!P83</f>
        <v>Market</v>
      </c>
      <c r="Q83" s="154" t="str">
        <f>Input!Q83</f>
        <v>Market</v>
      </c>
      <c r="R83" s="159" t="str">
        <f>Input!R83</f>
        <v>Market</v>
      </c>
      <c r="S83" s="154" t="str">
        <f>Input!S83</f>
        <v>Market</v>
      </c>
      <c r="X83" s="114"/>
    </row>
    <row r="84" spans="1:25" ht="15">
      <c r="A84" s="108">
        <f t="shared" si="2"/>
        <v>84</v>
      </c>
      <c r="G84" s="328" t="s">
        <v>1067</v>
      </c>
      <c r="H84" s="159" t="str">
        <f>Input!H84</f>
        <v>Market</v>
      </c>
      <c r="I84" s="154" t="str">
        <f>Input!I84</f>
        <v>Market</v>
      </c>
      <c r="J84" s="159" t="str">
        <f>Input!J84</f>
        <v>Market</v>
      </c>
      <c r="K84" s="154" t="str">
        <f>Input!K84</f>
        <v>Market</v>
      </c>
      <c r="L84" s="159" t="str">
        <f>Input!L84</f>
        <v>Market</v>
      </c>
      <c r="M84" s="154" t="str">
        <f>Input!M84</f>
        <v>Market</v>
      </c>
      <c r="N84" s="159" t="str">
        <f>Input!N84</f>
        <v>Market</v>
      </c>
      <c r="O84" s="154" t="str">
        <f>Input!O84</f>
        <v>Market</v>
      </c>
      <c r="P84" s="159" t="str">
        <f>Input!P84</f>
        <v>Market</v>
      </c>
      <c r="Q84" s="154" t="str">
        <f>Input!Q84</f>
        <v>Market</v>
      </c>
      <c r="R84" s="159" t="str">
        <f>Input!R84</f>
        <v>Market</v>
      </c>
      <c r="S84" s="154" t="str">
        <f>Input!S84</f>
        <v>Market</v>
      </c>
      <c r="X84" s="114"/>
    </row>
    <row r="85" spans="1:25" ht="15">
      <c r="A85" s="108">
        <f t="shared" si="2"/>
        <v>85</v>
      </c>
      <c r="G85" s="328" t="s">
        <v>954</v>
      </c>
      <c r="H85" s="329" t="str">
        <f>Input!H85</f>
        <v>N</v>
      </c>
      <c r="I85" s="330" t="str">
        <f>Input!I85</f>
        <v>N</v>
      </c>
      <c r="J85" s="329" t="str">
        <f>Input!J85</f>
        <v>N</v>
      </c>
      <c r="K85" s="330" t="str">
        <f>Input!K85</f>
        <v>N</v>
      </c>
      <c r="L85" s="329" t="str">
        <f>Input!L85</f>
        <v>N</v>
      </c>
      <c r="M85" s="330" t="str">
        <f>Input!M85</f>
        <v>N</v>
      </c>
      <c r="N85" s="329" t="str">
        <f>Input!N85</f>
        <v>N</v>
      </c>
      <c r="O85" s="330" t="str">
        <f>Input!O85</f>
        <v>N</v>
      </c>
      <c r="P85" s="329" t="str">
        <f>Input!P85</f>
        <v>N</v>
      </c>
      <c r="Q85" s="330" t="str">
        <f>Input!Q85</f>
        <v>N</v>
      </c>
      <c r="R85" s="329" t="str">
        <f>Input!R85</f>
        <v>N</v>
      </c>
      <c r="S85" s="330" t="str">
        <f>Input!S85</f>
        <v>N</v>
      </c>
      <c r="X85" s="114"/>
    </row>
    <row r="86" spans="1:25" ht="15.75" thickBot="1">
      <c r="A86" s="108">
        <f t="shared" si="2"/>
        <v>86</v>
      </c>
      <c r="G86" s="186" t="s">
        <v>886</v>
      </c>
      <c r="H86" s="742"/>
      <c r="I86" s="743"/>
      <c r="J86" s="742"/>
      <c r="K86" s="743"/>
      <c r="L86" s="742"/>
      <c r="M86" s="743"/>
      <c r="N86" s="742"/>
      <c r="O86" s="743"/>
      <c r="P86" s="742"/>
      <c r="Q86" s="743"/>
      <c r="R86" s="742"/>
      <c r="S86" s="743"/>
      <c r="Y86" s="114"/>
    </row>
    <row r="87" spans="1:25">
      <c r="A87" s="108">
        <f t="shared" si="2"/>
        <v>87</v>
      </c>
      <c r="F87" s="110"/>
      <c r="G87" s="205" t="s">
        <v>334</v>
      </c>
      <c r="H87" s="160"/>
      <c r="I87" s="155"/>
      <c r="J87" s="160"/>
      <c r="K87" s="155"/>
      <c r="L87" s="160"/>
      <c r="M87" s="155"/>
      <c r="N87" s="160"/>
      <c r="O87" s="155"/>
      <c r="P87" s="160"/>
      <c r="Q87" s="155"/>
      <c r="R87" s="160"/>
      <c r="S87" s="155"/>
      <c r="X87" s="114"/>
    </row>
    <row r="88" spans="1:25" ht="15">
      <c r="A88" s="108">
        <f t="shared" si="2"/>
        <v>88</v>
      </c>
      <c r="F88" s="110"/>
      <c r="G88" s="184" t="s">
        <v>158</v>
      </c>
      <c r="H88" s="194">
        <f>Input!H88</f>
        <v>0</v>
      </c>
      <c r="I88" s="195">
        <f>Input!I88</f>
        <v>0</v>
      </c>
      <c r="J88" s="194">
        <f>Input!J88</f>
        <v>0</v>
      </c>
      <c r="K88" s="195">
        <f>Input!K88</f>
        <v>0</v>
      </c>
      <c r="L88" s="194">
        <f>Input!L88</f>
        <v>0</v>
      </c>
      <c r="M88" s="195">
        <f>Input!M88</f>
        <v>0</v>
      </c>
      <c r="N88" s="194">
        <f>Input!N88</f>
        <v>0</v>
      </c>
      <c r="O88" s="195">
        <f>Input!O88</f>
        <v>0</v>
      </c>
      <c r="P88" s="194">
        <f>Input!P88</f>
        <v>0</v>
      </c>
      <c r="Q88" s="195">
        <f>Input!Q88</f>
        <v>0</v>
      </c>
      <c r="R88" s="194">
        <f>Input!R88</f>
        <v>0</v>
      </c>
      <c r="S88" s="195">
        <f>Input!S88</f>
        <v>0</v>
      </c>
      <c r="X88" s="114"/>
    </row>
    <row r="89" spans="1:25" ht="15">
      <c r="A89" s="108">
        <f t="shared" si="2"/>
        <v>89</v>
      </c>
      <c r="F89" s="110"/>
      <c r="G89" s="188" t="s">
        <v>160</v>
      </c>
      <c r="H89" s="198">
        <f>Input!H89</f>
        <v>0</v>
      </c>
      <c r="I89" s="199">
        <f>Input!I89</f>
        <v>0</v>
      </c>
      <c r="J89" s="198">
        <f>Input!J89</f>
        <v>0</v>
      </c>
      <c r="K89" s="199">
        <f>Input!K89</f>
        <v>0</v>
      </c>
      <c r="L89" s="198">
        <f>Input!L89</f>
        <v>0</v>
      </c>
      <c r="M89" s="199">
        <f>Input!M89</f>
        <v>0</v>
      </c>
      <c r="N89" s="198">
        <f>Input!N89</f>
        <v>0</v>
      </c>
      <c r="O89" s="199">
        <f>Input!O89</f>
        <v>0</v>
      </c>
      <c r="P89" s="198">
        <f>Input!P89</f>
        <v>0</v>
      </c>
      <c r="Q89" s="199">
        <f>Input!Q89</f>
        <v>0</v>
      </c>
      <c r="R89" s="198">
        <f>Input!R89</f>
        <v>0</v>
      </c>
      <c r="S89" s="199">
        <f>Input!S89</f>
        <v>0</v>
      </c>
      <c r="X89" s="114"/>
    </row>
    <row r="90" spans="1:25" ht="15">
      <c r="A90" s="108">
        <f t="shared" si="2"/>
        <v>90</v>
      </c>
      <c r="F90" s="110"/>
      <c r="G90" s="188" t="s">
        <v>161</v>
      </c>
      <c r="H90" s="198">
        <f>Input!H90</f>
        <v>0</v>
      </c>
      <c r="I90" s="199">
        <f>Input!I90</f>
        <v>0</v>
      </c>
      <c r="J90" s="198">
        <f>Input!J90</f>
        <v>0</v>
      </c>
      <c r="K90" s="199">
        <f>Input!K90</f>
        <v>0</v>
      </c>
      <c r="L90" s="198">
        <f>Input!L90</f>
        <v>0</v>
      </c>
      <c r="M90" s="199">
        <f>Input!M90</f>
        <v>0</v>
      </c>
      <c r="N90" s="198">
        <f>Input!N90</f>
        <v>0</v>
      </c>
      <c r="O90" s="199">
        <f>Input!O90</f>
        <v>0</v>
      </c>
      <c r="P90" s="198">
        <f>Input!P90</f>
        <v>0</v>
      </c>
      <c r="Q90" s="199">
        <f>Input!Q90</f>
        <v>0</v>
      </c>
      <c r="R90" s="198">
        <f>Input!R90</f>
        <v>0</v>
      </c>
      <c r="S90" s="199">
        <f>Input!S90</f>
        <v>0</v>
      </c>
      <c r="X90" s="114"/>
    </row>
    <row r="91" spans="1:25" ht="15">
      <c r="A91" s="108">
        <f t="shared" si="2"/>
        <v>91</v>
      </c>
      <c r="G91" s="188" t="s">
        <v>162</v>
      </c>
      <c r="H91" s="198">
        <f>Input!H91</f>
        <v>0</v>
      </c>
      <c r="I91" s="199">
        <f>Input!I91</f>
        <v>0</v>
      </c>
      <c r="J91" s="198">
        <f>Input!J91</f>
        <v>0</v>
      </c>
      <c r="K91" s="199">
        <f>Input!K91</f>
        <v>0</v>
      </c>
      <c r="L91" s="198">
        <f>Input!L91</f>
        <v>0</v>
      </c>
      <c r="M91" s="199">
        <f>Input!M91</f>
        <v>0</v>
      </c>
      <c r="N91" s="198">
        <f>Input!N91</f>
        <v>0</v>
      </c>
      <c r="O91" s="199">
        <f>Input!O91</f>
        <v>0</v>
      </c>
      <c r="P91" s="198">
        <f>Input!P91</f>
        <v>0</v>
      </c>
      <c r="Q91" s="199">
        <f>Input!Q91</f>
        <v>0</v>
      </c>
      <c r="R91" s="198">
        <f>Input!R91</f>
        <v>0</v>
      </c>
      <c r="S91" s="199">
        <f>Input!S91</f>
        <v>0</v>
      </c>
      <c r="X91" s="114"/>
    </row>
    <row r="92" spans="1:25" ht="15">
      <c r="A92" s="108">
        <f t="shared" si="2"/>
        <v>92</v>
      </c>
      <c r="G92" s="188" t="s">
        <v>163</v>
      </c>
      <c r="H92" s="198">
        <f>Input!H92</f>
        <v>0</v>
      </c>
      <c r="I92" s="199">
        <f>Input!I92</f>
        <v>0</v>
      </c>
      <c r="J92" s="198">
        <f>Input!J92</f>
        <v>0</v>
      </c>
      <c r="K92" s="199">
        <f>Input!K92</f>
        <v>0</v>
      </c>
      <c r="L92" s="198">
        <f>Input!L92</f>
        <v>0</v>
      </c>
      <c r="M92" s="199">
        <f>Input!M92</f>
        <v>0</v>
      </c>
      <c r="N92" s="198">
        <f>Input!N92</f>
        <v>0</v>
      </c>
      <c r="O92" s="199">
        <f>Input!O92</f>
        <v>0</v>
      </c>
      <c r="P92" s="198">
        <f>Input!P92</f>
        <v>0</v>
      </c>
      <c r="Q92" s="199">
        <f>Input!Q92</f>
        <v>0</v>
      </c>
      <c r="R92" s="198">
        <f>Input!R92</f>
        <v>0</v>
      </c>
      <c r="S92" s="199">
        <f>Input!S92</f>
        <v>0</v>
      </c>
      <c r="X92" s="114"/>
    </row>
    <row r="93" spans="1:25" ht="15">
      <c r="A93" s="108">
        <f t="shared" si="2"/>
        <v>93</v>
      </c>
      <c r="G93" s="188" t="s">
        <v>164</v>
      </c>
      <c r="H93" s="198">
        <f>Input!H93</f>
        <v>1.9E-2</v>
      </c>
      <c r="I93" s="199">
        <f>Input!I93</f>
        <v>1.9E-2</v>
      </c>
      <c r="J93" s="198">
        <f>Input!J93</f>
        <v>1.9E-2</v>
      </c>
      <c r="K93" s="199">
        <f>Input!K93</f>
        <v>1.9E-2</v>
      </c>
      <c r="L93" s="198">
        <f>Input!L93</f>
        <v>1.9E-2</v>
      </c>
      <c r="M93" s="199">
        <f>Input!M93</f>
        <v>1.9E-2</v>
      </c>
      <c r="N93" s="198">
        <f>Input!N93</f>
        <v>1.9E-2</v>
      </c>
      <c r="O93" s="199">
        <f>Input!O93</f>
        <v>1.9E-2</v>
      </c>
      <c r="P93" s="198">
        <f>Input!P93</f>
        <v>1.9E-2</v>
      </c>
      <c r="Q93" s="199">
        <f>Input!Q93</f>
        <v>1.9E-2</v>
      </c>
      <c r="R93" s="198">
        <f>Input!R93</f>
        <v>1.9E-2</v>
      </c>
      <c r="S93" s="199">
        <f>Input!S93</f>
        <v>1.9E-2</v>
      </c>
      <c r="X93" s="114"/>
    </row>
    <row r="94" spans="1:25" ht="15">
      <c r="A94" s="108">
        <f t="shared" si="2"/>
        <v>94</v>
      </c>
      <c r="G94" s="328" t="s">
        <v>1067</v>
      </c>
      <c r="H94" s="159">
        <f>Input!H94</f>
        <v>3.9E-2</v>
      </c>
      <c r="I94" s="154">
        <f>Input!I94</f>
        <v>3.9E-2</v>
      </c>
      <c r="J94" s="159">
        <f>Input!J94</f>
        <v>3.9E-2</v>
      </c>
      <c r="K94" s="154">
        <f>Input!K94</f>
        <v>3.9E-2</v>
      </c>
      <c r="L94" s="159">
        <f>Input!L94</f>
        <v>3.9E-2</v>
      </c>
      <c r="M94" s="154">
        <f>Input!M94</f>
        <v>3.9E-2</v>
      </c>
      <c r="N94" s="159">
        <f>Input!N94</f>
        <v>3.9E-2</v>
      </c>
      <c r="O94" s="154">
        <f>Input!O94</f>
        <v>3.9E-2</v>
      </c>
      <c r="P94" s="159">
        <f>Input!P94</f>
        <v>3.9E-2</v>
      </c>
      <c r="Q94" s="154">
        <f>Input!Q94</f>
        <v>3.9E-2</v>
      </c>
      <c r="R94" s="159">
        <f>Input!R94</f>
        <v>3.9E-2</v>
      </c>
      <c r="S94" s="154">
        <f>Input!S94</f>
        <v>3.9E-2</v>
      </c>
      <c r="X94" s="114"/>
    </row>
    <row r="95" spans="1:25" ht="15">
      <c r="A95" s="108">
        <f t="shared" si="2"/>
        <v>95</v>
      </c>
      <c r="G95" s="328" t="s">
        <v>954</v>
      </c>
      <c r="H95" s="329" t="str">
        <f>Input!H95</f>
        <v>Y</v>
      </c>
      <c r="I95" s="330" t="str">
        <f>Input!I95</f>
        <v>Y</v>
      </c>
      <c r="J95" s="329" t="str">
        <f>Input!J95</f>
        <v>Y</v>
      </c>
      <c r="K95" s="330" t="str">
        <f>Input!K95</f>
        <v>Y</v>
      </c>
      <c r="L95" s="329" t="str">
        <f>Input!L95</f>
        <v>Y</v>
      </c>
      <c r="M95" s="330" t="str">
        <f>Input!M95</f>
        <v>Y</v>
      </c>
      <c r="N95" s="329" t="str">
        <f>Input!N95</f>
        <v>Y</v>
      </c>
      <c r="O95" s="330" t="str">
        <f>Input!O95</f>
        <v>Y</v>
      </c>
      <c r="P95" s="329" t="str">
        <f>Input!P95</f>
        <v>Y</v>
      </c>
      <c r="Q95" s="330" t="str">
        <f>Input!Q95</f>
        <v>Y</v>
      </c>
      <c r="R95" s="329" t="str">
        <f>Input!R95</f>
        <v>Y</v>
      </c>
      <c r="S95" s="330" t="str">
        <f>Input!S95</f>
        <v>Y</v>
      </c>
      <c r="X95" s="114"/>
    </row>
    <row r="96" spans="1:25" ht="15.75" thickBot="1">
      <c r="A96" s="108">
        <f t="shared" si="2"/>
        <v>96</v>
      </c>
      <c r="G96" s="186" t="s">
        <v>886</v>
      </c>
      <c r="H96" s="742"/>
      <c r="I96" s="743"/>
      <c r="J96" s="742"/>
      <c r="K96" s="743"/>
      <c r="L96" s="742"/>
      <c r="M96" s="743"/>
      <c r="N96" s="742"/>
      <c r="O96" s="743"/>
      <c r="P96" s="742"/>
      <c r="Q96" s="743"/>
      <c r="R96" s="742"/>
      <c r="S96" s="743"/>
      <c r="Y96" s="114"/>
    </row>
    <row r="97" spans="1:24" ht="15">
      <c r="A97" s="108">
        <f t="shared" si="2"/>
        <v>97</v>
      </c>
      <c r="F97" s="110"/>
      <c r="G97" s="205" t="s">
        <v>840</v>
      </c>
      <c r="H97" s="664"/>
      <c r="I97" s="665"/>
      <c r="J97" s="664"/>
      <c r="K97" s="665"/>
      <c r="L97" s="664"/>
      <c r="M97" s="665"/>
      <c r="N97" s="664"/>
      <c r="O97" s="665"/>
      <c r="P97" s="664"/>
      <c r="Q97" s="665"/>
      <c r="R97" s="664"/>
      <c r="S97" s="665"/>
      <c r="X97" s="114"/>
    </row>
    <row r="98" spans="1:24" ht="15">
      <c r="A98" s="108">
        <f t="shared" si="2"/>
        <v>98</v>
      </c>
      <c r="G98" s="206" t="s">
        <v>523</v>
      </c>
      <c r="H98" s="667">
        <f>Input!H98</f>
        <v>4103.7164157747848</v>
      </c>
      <c r="I98" s="655">
        <f>Input!I98</f>
        <v>3756.7164157747852</v>
      </c>
      <c r="J98" s="655">
        <f>Input!J98</f>
        <v>3383.7164157747848</v>
      </c>
      <c r="K98" s="655">
        <f>Input!K98</f>
        <v>2976.7164157747848</v>
      </c>
      <c r="L98" s="655">
        <f>Input!L98</f>
        <v>3383.7164157747857</v>
      </c>
      <c r="M98" s="655">
        <f>Input!M98</f>
        <v>2976.7164157747852</v>
      </c>
      <c r="N98" s="655">
        <f>Input!N98</f>
        <v>3383.7164157747852</v>
      </c>
      <c r="O98" s="655">
        <f>Input!O98</f>
        <v>2586.7164157747852</v>
      </c>
      <c r="P98" s="655">
        <f>Input!P98</f>
        <v>3383.7164157747857</v>
      </c>
      <c r="Q98" s="655">
        <f>Input!Q98</f>
        <v>2586.7164157747852</v>
      </c>
      <c r="R98" s="655">
        <f>Input!R98</f>
        <v>3538.9935242085198</v>
      </c>
      <c r="S98" s="655">
        <f>Input!S98</f>
        <v>3060.8248495097246</v>
      </c>
      <c r="X98" s="114"/>
    </row>
    <row r="99" spans="1:24" ht="15">
      <c r="A99" s="108">
        <f t="shared" si="2"/>
        <v>99</v>
      </c>
      <c r="G99" s="185" t="s">
        <v>159</v>
      </c>
      <c r="H99" s="668">
        <f>Input!H99+H98-Input!H98</f>
        <v>2289</v>
      </c>
      <c r="I99" s="197">
        <f>Input!I99+I98-Input!I98</f>
        <v>1941.9999999999995</v>
      </c>
      <c r="J99" s="668">
        <f>Input!J99+J98-Input!J98</f>
        <v>463</v>
      </c>
      <c r="K99" s="197">
        <f>Input!K99+K98-Input!K98</f>
        <v>56</v>
      </c>
      <c r="L99" s="668">
        <f>Input!L99+L98-Input!L98</f>
        <v>1962</v>
      </c>
      <c r="M99" s="197">
        <f>Input!M99+M98-Input!M98</f>
        <v>1554.9999999999995</v>
      </c>
      <c r="N99" s="668">
        <f>Input!N99+N98-Input!N98</f>
        <v>-73</v>
      </c>
      <c r="O99" s="197">
        <f>Input!O99+O98-Input!O98</f>
        <v>-870</v>
      </c>
      <c r="P99" s="668">
        <f>Input!P99+P98-Input!P98</f>
        <v>79.063582607477656</v>
      </c>
      <c r="Q99" s="197">
        <f>Input!Q99+Q98-Input!Q98</f>
        <v>-717.93641739252325</v>
      </c>
      <c r="R99" s="668">
        <f>Input!R99+R98-Input!R98</f>
        <v>1216.1623510528202</v>
      </c>
      <c r="S99" s="197">
        <f>Input!S99+S98-Input!S98</f>
        <v>737.99367635402496</v>
      </c>
      <c r="X99" s="114"/>
    </row>
    <row r="100" spans="1:24">
      <c r="A100" s="108">
        <f t="shared" si="2"/>
        <v>100</v>
      </c>
      <c r="F100" s="112"/>
      <c r="G100" s="205" t="s">
        <v>819</v>
      </c>
      <c r="H100" s="161"/>
      <c r="I100" s="156"/>
      <c r="J100" s="161"/>
      <c r="K100" s="156"/>
      <c r="L100" s="161"/>
      <c r="M100" s="156"/>
      <c r="N100" s="161"/>
      <c r="O100" s="156"/>
      <c r="P100" s="161"/>
      <c r="Q100" s="156"/>
      <c r="R100" s="161"/>
      <c r="S100" s="156"/>
      <c r="X100" s="114"/>
    </row>
    <row r="101" spans="1:24" ht="15">
      <c r="A101" s="108">
        <f t="shared" si="2"/>
        <v>101</v>
      </c>
      <c r="F101" s="113"/>
      <c r="G101" s="184" t="s">
        <v>524</v>
      </c>
      <c r="H101" s="194">
        <f>Input!H101</f>
        <v>0</v>
      </c>
      <c r="I101" s="195">
        <f>Input!I101</f>
        <v>0</v>
      </c>
      <c r="J101" s="194">
        <f>Input!J101</f>
        <v>0</v>
      </c>
      <c r="K101" s="195">
        <f>Input!K101</f>
        <v>0</v>
      </c>
      <c r="L101" s="194">
        <f>Input!L101</f>
        <v>0</v>
      </c>
      <c r="M101" s="195">
        <f>Input!M101</f>
        <v>0</v>
      </c>
      <c r="N101" s="194">
        <f>Input!N101</f>
        <v>0</v>
      </c>
      <c r="O101" s="195">
        <f>Input!O101</f>
        <v>0</v>
      </c>
      <c r="P101" s="194">
        <f>Input!P101</f>
        <v>0</v>
      </c>
      <c r="Q101" s="195">
        <f>Input!Q101</f>
        <v>0</v>
      </c>
      <c r="R101" s="194">
        <f>Input!R101</f>
        <v>0</v>
      </c>
      <c r="S101" s="195">
        <f>Input!S101</f>
        <v>0</v>
      </c>
      <c r="X101" s="114"/>
    </row>
    <row r="102" spans="1:24" ht="15">
      <c r="A102" s="108">
        <f t="shared" si="2"/>
        <v>102</v>
      </c>
      <c r="F102" s="112"/>
      <c r="G102" s="185" t="s">
        <v>525</v>
      </c>
      <c r="H102" s="200">
        <f>Input!H102</f>
        <v>0</v>
      </c>
      <c r="I102" s="201">
        <f>Input!I102</f>
        <v>0</v>
      </c>
      <c r="J102" s="200">
        <f>Input!J102</f>
        <v>0</v>
      </c>
      <c r="K102" s="201">
        <f>Input!K102</f>
        <v>0</v>
      </c>
      <c r="L102" s="200">
        <f>Input!L102</f>
        <v>0</v>
      </c>
      <c r="M102" s="201">
        <f>Input!M102</f>
        <v>0</v>
      </c>
      <c r="N102" s="200">
        <f>Input!N102</f>
        <v>0</v>
      </c>
      <c r="O102" s="201">
        <f>Input!O102</f>
        <v>0</v>
      </c>
      <c r="P102" s="200">
        <f>Input!P102</f>
        <v>0</v>
      </c>
      <c r="Q102" s="201">
        <f>Input!Q102</f>
        <v>0</v>
      </c>
      <c r="R102" s="200">
        <f>Input!R102</f>
        <v>0</v>
      </c>
      <c r="S102" s="201">
        <f>Input!S102</f>
        <v>0</v>
      </c>
      <c r="X102" s="114"/>
    </row>
    <row r="103" spans="1:24" ht="15">
      <c r="A103" s="108">
        <f t="shared" si="2"/>
        <v>103</v>
      </c>
      <c r="F103" s="113"/>
      <c r="G103" s="185" t="s">
        <v>526</v>
      </c>
      <c r="H103" s="200">
        <f>Input!H103</f>
        <v>0</v>
      </c>
      <c r="I103" s="201">
        <f>Input!I103</f>
        <v>0</v>
      </c>
      <c r="J103" s="200">
        <f>Input!J103</f>
        <v>0</v>
      </c>
      <c r="K103" s="201">
        <f>Input!K103</f>
        <v>0</v>
      </c>
      <c r="L103" s="200">
        <f>Input!L103</f>
        <v>0</v>
      </c>
      <c r="M103" s="201">
        <f>Input!M103</f>
        <v>0</v>
      </c>
      <c r="N103" s="200">
        <f>Input!N103</f>
        <v>0</v>
      </c>
      <c r="O103" s="201">
        <f>Input!O103</f>
        <v>0</v>
      </c>
      <c r="P103" s="200">
        <f>Input!P103</f>
        <v>0</v>
      </c>
      <c r="Q103" s="201">
        <f>Input!Q103</f>
        <v>0</v>
      </c>
      <c r="R103" s="200">
        <f>Input!R103</f>
        <v>0</v>
      </c>
      <c r="S103" s="201">
        <f>Input!S103</f>
        <v>0</v>
      </c>
      <c r="X103" s="114"/>
    </row>
    <row r="104" spans="1:24" ht="15">
      <c r="A104" s="108">
        <f t="shared" si="2"/>
        <v>104</v>
      </c>
      <c r="F104" s="113"/>
      <c r="G104" s="185" t="s">
        <v>308</v>
      </c>
      <c r="H104" s="196">
        <f>Input!H104</f>
        <v>0.7</v>
      </c>
      <c r="I104" s="524">
        <f>Input!I104</f>
        <v>0.7</v>
      </c>
      <c r="J104" s="196">
        <f>Input!J104</f>
        <v>0.7</v>
      </c>
      <c r="K104" s="524">
        <f>Input!K104</f>
        <v>0.7</v>
      </c>
      <c r="L104" s="196">
        <f>Input!L104</f>
        <v>0.7</v>
      </c>
      <c r="M104" s="524">
        <f>Input!M104</f>
        <v>0.7</v>
      </c>
      <c r="N104" s="196">
        <f>Input!N104</f>
        <v>0.7</v>
      </c>
      <c r="O104" s="524">
        <f>Input!O104</f>
        <v>0.7</v>
      </c>
      <c r="P104" s="196">
        <f>Input!P104</f>
        <v>0.7</v>
      </c>
      <c r="Q104" s="524">
        <f>Input!Q104</f>
        <v>0.7</v>
      </c>
      <c r="R104" s="196">
        <f>Input!R104</f>
        <v>0.7</v>
      </c>
      <c r="S104" s="524">
        <f>Input!S104</f>
        <v>0.7</v>
      </c>
      <c r="X104" s="114"/>
    </row>
    <row r="105" spans="1:24">
      <c r="A105" s="108">
        <f t="shared" si="2"/>
        <v>105</v>
      </c>
      <c r="F105" s="110"/>
      <c r="G105" s="193" t="s">
        <v>527</v>
      </c>
      <c r="H105" s="160"/>
      <c r="I105" s="155"/>
      <c r="J105" s="160"/>
      <c r="K105" s="155"/>
      <c r="L105" s="160"/>
      <c r="M105" s="155"/>
      <c r="N105" s="160"/>
      <c r="O105" s="155"/>
      <c r="P105" s="160"/>
      <c r="Q105" s="155"/>
      <c r="R105" s="160"/>
      <c r="S105" s="155"/>
      <c r="X105" s="114"/>
    </row>
    <row r="106" spans="1:24" ht="15">
      <c r="A106" s="108">
        <f t="shared" si="2"/>
        <v>106</v>
      </c>
      <c r="G106" s="184" t="s">
        <v>157</v>
      </c>
      <c r="H106" s="194">
        <f>Input!H106</f>
        <v>0</v>
      </c>
      <c r="I106" s="195">
        <f>Input!I106</f>
        <v>0</v>
      </c>
      <c r="J106" s="194">
        <f>Input!J106</f>
        <v>0</v>
      </c>
      <c r="K106" s="195">
        <f>Input!K106</f>
        <v>0</v>
      </c>
      <c r="L106" s="194">
        <f>Input!L106</f>
        <v>0</v>
      </c>
      <c r="M106" s="195">
        <f>Input!M106</f>
        <v>0</v>
      </c>
      <c r="N106" s="194">
        <f>Input!N106</f>
        <v>0</v>
      </c>
      <c r="O106" s="195">
        <f>Input!O106</f>
        <v>0</v>
      </c>
      <c r="P106" s="194">
        <f>Input!P106</f>
        <v>0</v>
      </c>
      <c r="Q106" s="195">
        <f>Input!Q106</f>
        <v>0</v>
      </c>
      <c r="R106" s="194">
        <f>Input!R106</f>
        <v>0</v>
      </c>
      <c r="S106" s="195">
        <f>Input!S106</f>
        <v>0</v>
      </c>
      <c r="X106" s="114"/>
    </row>
    <row r="107" spans="1:24">
      <c r="A107" s="108">
        <f t="shared" si="2"/>
        <v>107</v>
      </c>
      <c r="F107" s="110"/>
      <c r="G107" s="205" t="str">
        <f>Input!G107</f>
        <v>Misc 1: Event Purchase RBV (C, F)</v>
      </c>
      <c r="H107" s="160"/>
      <c r="I107" s="155"/>
      <c r="J107" s="160"/>
      <c r="K107" s="155"/>
      <c r="L107" s="160"/>
      <c r="M107" s="155"/>
      <c r="N107" s="160"/>
      <c r="O107" s="155"/>
      <c r="P107" s="160"/>
      <c r="Q107" s="155"/>
      <c r="R107" s="160"/>
      <c r="S107" s="155"/>
      <c r="X107" s="114"/>
    </row>
    <row r="108" spans="1:24" ht="15">
      <c r="A108" s="108">
        <f t="shared" si="2"/>
        <v>108</v>
      </c>
      <c r="F108" s="110"/>
      <c r="G108" s="184" t="s">
        <v>157</v>
      </c>
      <c r="H108" s="194">
        <f>Input!H108</f>
        <v>1000</v>
      </c>
      <c r="I108" s="195">
        <f>Input!I108</f>
        <v>0</v>
      </c>
      <c r="J108" s="194">
        <f>Input!J108</f>
        <v>1000</v>
      </c>
      <c r="K108" s="195">
        <f>Input!K108</f>
        <v>0</v>
      </c>
      <c r="L108" s="194">
        <f>Input!L108</f>
        <v>1000</v>
      </c>
      <c r="M108" s="195">
        <f>Input!M108</f>
        <v>0</v>
      </c>
      <c r="N108" s="194">
        <f>Input!N108</f>
        <v>1000</v>
      </c>
      <c r="O108" s="195">
        <f>Input!O108</f>
        <v>0</v>
      </c>
      <c r="P108" s="194">
        <f>Input!P108</f>
        <v>1000</v>
      </c>
      <c r="Q108" s="195">
        <f>Input!Q108</f>
        <v>0</v>
      </c>
      <c r="R108" s="194">
        <f>Input!R108</f>
        <v>1000</v>
      </c>
      <c r="S108" s="195">
        <f>Input!S108</f>
        <v>0</v>
      </c>
      <c r="X108" s="114"/>
    </row>
    <row r="109" spans="1:24" ht="15">
      <c r="A109" s="108">
        <f t="shared" si="2"/>
        <v>109</v>
      </c>
      <c r="F109" s="110"/>
      <c r="G109" s="185" t="s">
        <v>528</v>
      </c>
      <c r="H109" s="196">
        <f>Input!H109</f>
        <v>0.27</v>
      </c>
      <c r="I109" s="531">
        <f>Input!I109</f>
        <v>0.27</v>
      </c>
      <c r="J109" s="196">
        <f>Input!J109</f>
        <v>0.27</v>
      </c>
      <c r="K109" s="531">
        <f>Input!K109</f>
        <v>0.27</v>
      </c>
      <c r="L109" s="196">
        <f>Input!L109</f>
        <v>0.27</v>
      </c>
      <c r="M109" s="531">
        <f>Input!M109</f>
        <v>0.27</v>
      </c>
      <c r="N109" s="196">
        <f>Input!N109</f>
        <v>0.27</v>
      </c>
      <c r="O109" s="531">
        <f>Input!O109</f>
        <v>0.27</v>
      </c>
      <c r="P109" s="196">
        <f>Input!P109</f>
        <v>0.27</v>
      </c>
      <c r="Q109" s="531">
        <f>Input!Q109</f>
        <v>0.27</v>
      </c>
      <c r="R109" s="196">
        <f>Input!R109</f>
        <v>0.27</v>
      </c>
      <c r="S109" s="531">
        <f>Input!S109</f>
        <v>0.27</v>
      </c>
      <c r="X109" s="114"/>
    </row>
    <row r="110" spans="1:24">
      <c r="A110" s="108">
        <f t="shared" si="2"/>
        <v>110</v>
      </c>
      <c r="F110" s="110"/>
      <c r="G110" s="205" t="s">
        <v>961</v>
      </c>
      <c r="H110" s="160"/>
      <c r="I110" s="155"/>
      <c r="J110" s="160"/>
      <c r="K110" s="155"/>
      <c r="L110" s="160"/>
      <c r="M110" s="155"/>
      <c r="N110" s="160"/>
      <c r="O110" s="155"/>
      <c r="P110" s="160"/>
      <c r="Q110" s="155"/>
      <c r="R110" s="160"/>
      <c r="S110" s="155"/>
      <c r="X110" s="114"/>
    </row>
    <row r="111" spans="1:24" ht="15">
      <c r="A111" s="108">
        <f t="shared" si="2"/>
        <v>111</v>
      </c>
      <c r="F111" s="110"/>
      <c r="G111" s="184" t="s">
        <v>157</v>
      </c>
      <c r="H111" s="194">
        <v>0</v>
      </c>
      <c r="I111" s="195">
        <f>Input!I111</f>
        <v>0</v>
      </c>
      <c r="J111" s="194">
        <f>Input!J111</f>
        <v>1000</v>
      </c>
      <c r="K111" s="195">
        <f>Input!K111</f>
        <v>0</v>
      </c>
      <c r="L111" s="194">
        <f>Input!L111</f>
        <v>1000</v>
      </c>
      <c r="M111" s="195">
        <f>Input!M111</f>
        <v>0</v>
      </c>
      <c r="N111" s="194">
        <f>Input!N111</f>
        <v>1000</v>
      </c>
      <c r="O111" s="195">
        <f>Input!O111</f>
        <v>0</v>
      </c>
      <c r="P111" s="194">
        <f>Input!P111</f>
        <v>1000</v>
      </c>
      <c r="Q111" s="195">
        <f>Input!Q111</f>
        <v>0</v>
      </c>
      <c r="R111" s="194">
        <f>Input!R111</f>
        <v>1000</v>
      </c>
      <c r="S111" s="195">
        <f>Input!S111</f>
        <v>0</v>
      </c>
      <c r="X111" s="114"/>
    </row>
    <row r="112" spans="1:24" ht="15">
      <c r="A112" s="108">
        <f t="shared" si="2"/>
        <v>112</v>
      </c>
      <c r="F112" s="110"/>
      <c r="G112" s="185" t="s">
        <v>528</v>
      </c>
      <c r="H112" s="196">
        <v>1</v>
      </c>
      <c r="I112" s="531">
        <f>Input!I112</f>
        <v>0.27</v>
      </c>
      <c r="J112" s="196">
        <f>Input!J112</f>
        <v>0.27</v>
      </c>
      <c r="K112" s="531">
        <f>Input!K112</f>
        <v>0.27</v>
      </c>
      <c r="L112" s="196">
        <f>Input!L112</f>
        <v>0.27</v>
      </c>
      <c r="M112" s="531">
        <f>Input!M112</f>
        <v>0.27</v>
      </c>
      <c r="N112" s="196">
        <f>Input!N112</f>
        <v>0.27</v>
      </c>
      <c r="O112" s="531">
        <f>Input!O112</f>
        <v>0.27</v>
      </c>
      <c r="P112" s="196">
        <f>Input!P112</f>
        <v>0.27</v>
      </c>
      <c r="Q112" s="531">
        <f>Input!Q112</f>
        <v>0.27</v>
      </c>
      <c r="R112" s="196">
        <f>Input!R112</f>
        <v>0.27</v>
      </c>
      <c r="S112" s="531">
        <f>Input!S112</f>
        <v>0.27</v>
      </c>
      <c r="X112" s="114"/>
    </row>
    <row r="113" spans="1:48">
      <c r="A113" s="108">
        <f t="shared" si="2"/>
        <v>113</v>
      </c>
      <c r="F113" s="110"/>
      <c r="G113" s="205" t="s">
        <v>756</v>
      </c>
      <c r="H113" s="160"/>
      <c r="I113" s="155"/>
      <c r="J113" s="160"/>
      <c r="K113" s="155"/>
      <c r="L113" s="160"/>
      <c r="M113" s="155"/>
      <c r="N113" s="160"/>
      <c r="O113" s="155"/>
      <c r="P113" s="160"/>
      <c r="Q113" s="155"/>
      <c r="R113" s="160"/>
      <c r="S113" s="155"/>
      <c r="X113" s="114"/>
    </row>
    <row r="114" spans="1:48" ht="15">
      <c r="A114" s="108">
        <f t="shared" si="2"/>
        <v>114</v>
      </c>
      <c r="G114" s="184" t="s">
        <v>157</v>
      </c>
      <c r="H114" s="194">
        <f>Input!H114</f>
        <v>0</v>
      </c>
      <c r="I114" s="195">
        <f>Input!I114</f>
        <v>0</v>
      </c>
      <c r="J114" s="194">
        <f>Input!J114</f>
        <v>500</v>
      </c>
      <c r="K114" s="195">
        <f>Input!K114</f>
        <v>0</v>
      </c>
      <c r="L114" s="194">
        <f>Input!L114</f>
        <v>500</v>
      </c>
      <c r="M114" s="195">
        <f>Input!M114</f>
        <v>0</v>
      </c>
      <c r="N114" s="194">
        <f>Input!N114</f>
        <v>500</v>
      </c>
      <c r="O114" s="195">
        <f>Input!O114</f>
        <v>0</v>
      </c>
      <c r="P114" s="194">
        <f>Input!P114</f>
        <v>0</v>
      </c>
      <c r="Q114" s="195">
        <f>Input!Q114</f>
        <v>0</v>
      </c>
      <c r="R114" s="194">
        <f>Input!R114</f>
        <v>0</v>
      </c>
      <c r="S114" s="195">
        <f>Input!S114</f>
        <v>0</v>
      </c>
      <c r="X114" s="114"/>
    </row>
    <row r="115" spans="1:48" ht="15">
      <c r="A115" s="108">
        <f t="shared" si="2"/>
        <v>115</v>
      </c>
      <c r="G115" s="185" t="s">
        <v>528</v>
      </c>
      <c r="H115" s="196">
        <f>Input!H115</f>
        <v>0.38</v>
      </c>
      <c r="I115" s="531">
        <f>Input!I115</f>
        <v>0.38</v>
      </c>
      <c r="J115" s="196">
        <f>Input!J115</f>
        <v>4.8000000000000001E-2</v>
      </c>
      <c r="K115" s="531">
        <f>Input!K115</f>
        <v>4.8000000000000001E-2</v>
      </c>
      <c r="L115" s="196">
        <f>Input!L115</f>
        <v>0.68200000000000005</v>
      </c>
      <c r="M115" s="531">
        <f>Input!M115</f>
        <v>0.68200000000000005</v>
      </c>
      <c r="N115" s="196">
        <f>Input!N115</f>
        <v>1</v>
      </c>
      <c r="O115" s="531">
        <f>Input!O115</f>
        <v>1</v>
      </c>
      <c r="P115" s="196">
        <f>Input!P115</f>
        <v>0.2</v>
      </c>
      <c r="Q115" s="531">
        <f>Input!Q115</f>
        <v>0.2</v>
      </c>
      <c r="R115" s="196">
        <f>Input!R115</f>
        <v>1</v>
      </c>
      <c r="S115" s="531">
        <f>Input!S115</f>
        <v>1</v>
      </c>
      <c r="X115" s="114"/>
    </row>
    <row r="116" spans="1:48">
      <c r="A116" s="108">
        <f t="shared" si="2"/>
        <v>116</v>
      </c>
      <c r="F116" s="110"/>
      <c r="G116" s="205" t="s">
        <v>757</v>
      </c>
      <c r="H116" s="160"/>
      <c r="I116" s="155"/>
      <c r="J116" s="160"/>
      <c r="K116" s="155"/>
      <c r="L116" s="160"/>
      <c r="M116" s="155"/>
      <c r="N116" s="160"/>
      <c r="O116" s="155"/>
      <c r="P116" s="160"/>
      <c r="Q116" s="155"/>
      <c r="R116" s="160"/>
      <c r="S116" s="155"/>
      <c r="X116" s="114"/>
    </row>
    <row r="117" spans="1:48" ht="15">
      <c r="A117" s="108">
        <f t="shared" si="2"/>
        <v>117</v>
      </c>
      <c r="G117" s="184" t="s">
        <v>157</v>
      </c>
      <c r="H117" s="194">
        <f>Input!H117</f>
        <v>0</v>
      </c>
      <c r="I117" s="195">
        <f>Input!I117</f>
        <v>0</v>
      </c>
      <c r="J117" s="194">
        <f>Input!J117</f>
        <v>0</v>
      </c>
      <c r="K117" s="195">
        <f>Input!K117</f>
        <v>500</v>
      </c>
      <c r="L117" s="194">
        <f>Input!L117</f>
        <v>0</v>
      </c>
      <c r="M117" s="195">
        <f>Input!M117</f>
        <v>500</v>
      </c>
      <c r="N117" s="194">
        <f>Input!N117</f>
        <v>0</v>
      </c>
      <c r="O117" s="195">
        <f>Input!O117</f>
        <v>500</v>
      </c>
      <c r="P117" s="194">
        <f>Input!P117</f>
        <v>0</v>
      </c>
      <c r="Q117" s="195">
        <f>Input!Q117</f>
        <v>500</v>
      </c>
      <c r="R117" s="194">
        <f>Input!R117</f>
        <v>0</v>
      </c>
      <c r="S117" s="195">
        <f>Input!S117</f>
        <v>500</v>
      </c>
      <c r="X117" s="114"/>
    </row>
    <row r="118" spans="1:48" ht="15">
      <c r="A118" s="108">
        <f t="shared" si="2"/>
        <v>118</v>
      </c>
      <c r="G118" s="185" t="s">
        <v>528</v>
      </c>
      <c r="H118" s="196">
        <f>Input!H118</f>
        <v>0</v>
      </c>
      <c r="I118" s="531">
        <f>Input!I118</f>
        <v>0</v>
      </c>
      <c r="J118" s="196">
        <f>Input!J118</f>
        <v>0.94599999999999995</v>
      </c>
      <c r="K118" s="531">
        <f>Input!K118</f>
        <v>0.94599999999999995</v>
      </c>
      <c r="L118" s="196">
        <f>Input!L118</f>
        <v>1</v>
      </c>
      <c r="M118" s="531">
        <f>Input!M118</f>
        <v>1</v>
      </c>
      <c r="N118" s="196">
        <f>Input!N118</f>
        <v>0.83199999999999996</v>
      </c>
      <c r="O118" s="531">
        <f>Input!O118</f>
        <v>0.83199999999999996</v>
      </c>
      <c r="P118" s="196">
        <f>Input!P118</f>
        <v>1</v>
      </c>
      <c r="Q118" s="531">
        <f>Input!Q118</f>
        <v>1</v>
      </c>
      <c r="R118" s="196">
        <f>Input!R118</f>
        <v>1</v>
      </c>
      <c r="S118" s="531">
        <f>Input!S118</f>
        <v>1</v>
      </c>
      <c r="X118" s="114"/>
    </row>
    <row r="119" spans="1:48">
      <c r="A119" s="108">
        <f t="shared" si="2"/>
        <v>119</v>
      </c>
      <c r="F119" s="110"/>
      <c r="G119" s="205" t="s">
        <v>758</v>
      </c>
      <c r="H119" s="160"/>
      <c r="I119" s="155"/>
      <c r="J119" s="160"/>
      <c r="K119" s="155"/>
      <c r="L119" s="160"/>
      <c r="M119" s="155"/>
      <c r="N119" s="160"/>
      <c r="O119" s="155"/>
      <c r="P119" s="160"/>
      <c r="Q119" s="155"/>
      <c r="R119" s="160"/>
      <c r="S119" s="155"/>
      <c r="X119" s="114"/>
    </row>
    <row r="120" spans="1:48" ht="15">
      <c r="A120" s="108">
        <f t="shared" si="2"/>
        <v>120</v>
      </c>
      <c r="G120" s="184" t="s">
        <v>157</v>
      </c>
      <c r="H120" s="194">
        <f>Input!H120</f>
        <v>0</v>
      </c>
      <c r="I120" s="195">
        <f>Input!I120</f>
        <v>0</v>
      </c>
      <c r="J120" s="194">
        <f>Input!J120</f>
        <v>0</v>
      </c>
      <c r="K120" s="195">
        <f>Input!K120</f>
        <v>0</v>
      </c>
      <c r="L120" s="194">
        <f>Input!L120</f>
        <v>0</v>
      </c>
      <c r="M120" s="195">
        <f>Input!M120</f>
        <v>0</v>
      </c>
      <c r="N120" s="194">
        <f>Input!N120</f>
        <v>0</v>
      </c>
      <c r="O120" s="195">
        <f>Input!O120</f>
        <v>0</v>
      </c>
      <c r="P120" s="194">
        <f>Input!P120</f>
        <v>0</v>
      </c>
      <c r="Q120" s="195">
        <f>Input!Q120</f>
        <v>0</v>
      </c>
      <c r="R120" s="194">
        <f>Input!R120</f>
        <v>0</v>
      </c>
      <c r="S120" s="195">
        <f>Input!S120</f>
        <v>0</v>
      </c>
      <c r="X120" s="114"/>
    </row>
    <row r="121" spans="1:48" ht="15">
      <c r="A121" s="108">
        <f t="shared" si="2"/>
        <v>121</v>
      </c>
      <c r="G121" s="185" t="s">
        <v>528</v>
      </c>
      <c r="H121" s="196">
        <f>Input!H121</f>
        <v>0.27</v>
      </c>
      <c r="I121" s="531">
        <f>Input!I121</f>
        <v>0.27</v>
      </c>
      <c r="J121" s="196">
        <f>Input!J121</f>
        <v>0.27</v>
      </c>
      <c r="K121" s="531">
        <f>Input!K121</f>
        <v>0.27</v>
      </c>
      <c r="L121" s="196">
        <f>Input!L121</f>
        <v>0.27</v>
      </c>
      <c r="M121" s="531">
        <f>Input!M121</f>
        <v>0.27</v>
      </c>
      <c r="N121" s="196">
        <f>Input!N121</f>
        <v>0.27</v>
      </c>
      <c r="O121" s="531">
        <f>Input!O121</f>
        <v>0.27</v>
      </c>
      <c r="P121" s="196">
        <f>Input!P121</f>
        <v>0.27</v>
      </c>
      <c r="Q121" s="531">
        <f>Input!Q121</f>
        <v>0.27</v>
      </c>
      <c r="R121" s="196">
        <f>Input!R121</f>
        <v>0.27</v>
      </c>
      <c r="S121" s="531">
        <f>Input!S121</f>
        <v>0.27</v>
      </c>
      <c r="X121" s="114"/>
    </row>
    <row r="122" spans="1:48">
      <c r="A122" s="108">
        <f t="shared" si="2"/>
        <v>122</v>
      </c>
      <c r="X122" s="114"/>
      <c r="AU122" s="124"/>
      <c r="AV122" s="124"/>
    </row>
    <row r="123" spans="1:48">
      <c r="A123" s="108">
        <f t="shared" si="2"/>
        <v>123</v>
      </c>
    </row>
    <row r="124" spans="1:48">
      <c r="A124" s="108">
        <f t="shared" si="2"/>
        <v>124</v>
      </c>
    </row>
    <row r="125" spans="1:48">
      <c r="A125" s="108">
        <f t="shared" si="2"/>
        <v>125</v>
      </c>
    </row>
    <row r="126" spans="1:48">
      <c r="A126" s="108">
        <f t="shared" si="2"/>
        <v>126</v>
      </c>
    </row>
    <row r="127" spans="1:48">
      <c r="A127" s="108">
        <f t="shared" si="2"/>
        <v>127</v>
      </c>
    </row>
    <row r="128" spans="1:48">
      <c r="A128" s="108">
        <f t="shared" si="2"/>
        <v>128</v>
      </c>
    </row>
    <row r="129" spans="1:1">
      <c r="A129" s="108">
        <f t="shared" si="2"/>
        <v>129</v>
      </c>
    </row>
    <row r="130" spans="1:1">
      <c r="A130" s="108">
        <f t="shared" si="2"/>
        <v>130</v>
      </c>
    </row>
    <row r="131" spans="1:1">
      <c r="A131" s="108">
        <f t="shared" si="2"/>
        <v>131</v>
      </c>
    </row>
    <row r="132" spans="1:1">
      <c r="A132" s="108">
        <f t="shared" si="2"/>
        <v>132</v>
      </c>
    </row>
    <row r="133" spans="1:1">
      <c r="A133" s="108">
        <f t="shared" si="2"/>
        <v>133</v>
      </c>
    </row>
    <row r="134" spans="1:1">
      <c r="A134" s="108">
        <f t="shared" si="2"/>
        <v>134</v>
      </c>
    </row>
    <row r="135" spans="1:1">
      <c r="A135" s="108">
        <f t="shared" si="2"/>
        <v>135</v>
      </c>
    </row>
    <row r="136" spans="1:1">
      <c r="A136" s="108">
        <f t="shared" si="2"/>
        <v>136</v>
      </c>
    </row>
    <row r="137" spans="1:1">
      <c r="A137" s="108">
        <f t="shared" si="2"/>
        <v>137</v>
      </c>
    </row>
    <row r="138" spans="1:1">
      <c r="A138" s="108">
        <f t="shared" si="2"/>
        <v>138</v>
      </c>
    </row>
    <row r="139" spans="1:1">
      <c r="A139" s="108">
        <f t="shared" si="2"/>
        <v>139</v>
      </c>
    </row>
    <row r="140" spans="1:1">
      <c r="A140" s="108">
        <f t="shared" ref="A140:A155" si="3">A139+1</f>
        <v>140</v>
      </c>
    </row>
    <row r="141" spans="1:1">
      <c r="A141" s="108">
        <f t="shared" si="3"/>
        <v>141</v>
      </c>
    </row>
    <row r="142" spans="1:1">
      <c r="A142" s="108">
        <f t="shared" si="3"/>
        <v>142</v>
      </c>
    </row>
    <row r="143" spans="1:1">
      <c r="A143" s="108">
        <f t="shared" si="3"/>
        <v>143</v>
      </c>
    </row>
    <row r="144" spans="1:1">
      <c r="A144" s="108">
        <f t="shared" si="3"/>
        <v>144</v>
      </c>
    </row>
    <row r="145" spans="1:25">
      <c r="A145" s="108">
        <f t="shared" si="3"/>
        <v>145</v>
      </c>
    </row>
    <row r="146" spans="1:25">
      <c r="A146" s="108">
        <f t="shared" si="3"/>
        <v>146</v>
      </c>
    </row>
    <row r="147" spans="1:25">
      <c r="A147" s="108">
        <f t="shared" si="3"/>
        <v>147</v>
      </c>
    </row>
    <row r="148" spans="1:25">
      <c r="A148" s="108">
        <f t="shared" si="3"/>
        <v>148</v>
      </c>
    </row>
    <row r="149" spans="1:25">
      <c r="A149" s="108">
        <f t="shared" si="3"/>
        <v>149</v>
      </c>
    </row>
    <row r="150" spans="1:25">
      <c r="A150" s="108">
        <f t="shared" si="3"/>
        <v>150</v>
      </c>
      <c r="G150" s="695" t="s">
        <v>860</v>
      </c>
    </row>
    <row r="151" spans="1:25" ht="15">
      <c r="A151" s="108">
        <f t="shared" si="3"/>
        <v>151</v>
      </c>
      <c r="F151" s="110"/>
      <c r="G151" s="206" t="s">
        <v>861</v>
      </c>
      <c r="H151" s="654">
        <f>Input!H151</f>
        <v>199</v>
      </c>
      <c r="I151" s="655">
        <f>Input!I151</f>
        <v>199</v>
      </c>
      <c r="J151" s="654">
        <f>Input!J151</f>
        <v>199</v>
      </c>
      <c r="K151" s="655">
        <f>Input!K151</f>
        <v>199</v>
      </c>
      <c r="L151" s="654">
        <f>Input!L151</f>
        <v>199</v>
      </c>
      <c r="M151" s="655">
        <f>Input!M151</f>
        <v>199</v>
      </c>
      <c r="N151" s="654">
        <f>Input!N151</f>
        <v>199</v>
      </c>
      <c r="O151" s="655">
        <f>Input!O151</f>
        <v>199</v>
      </c>
      <c r="P151" s="654">
        <f>Input!P151</f>
        <v>199</v>
      </c>
      <c r="Q151" s="655">
        <f>Input!Q151</f>
        <v>199</v>
      </c>
      <c r="R151" s="654">
        <f>Input!R151</f>
        <v>199</v>
      </c>
      <c r="S151" s="655">
        <f>Input!S151</f>
        <v>199</v>
      </c>
      <c r="Y151" s="114"/>
    </row>
    <row r="152" spans="1:25" ht="15">
      <c r="A152" s="108">
        <f t="shared" si="3"/>
        <v>152</v>
      </c>
      <c r="G152" s="206" t="s">
        <v>862</v>
      </c>
      <c r="H152" s="654">
        <f>Input!H152</f>
        <v>1999</v>
      </c>
      <c r="I152" s="655">
        <f>Input!I152</f>
        <v>1999</v>
      </c>
      <c r="J152" s="654">
        <f>Input!J152</f>
        <v>1999</v>
      </c>
      <c r="K152" s="655">
        <f>Input!K152</f>
        <v>1999</v>
      </c>
      <c r="L152" s="654">
        <f>Input!L152</f>
        <v>1999</v>
      </c>
      <c r="M152" s="655">
        <f>Input!M152</f>
        <v>1999</v>
      </c>
      <c r="N152" s="654">
        <f>Input!N152</f>
        <v>1999</v>
      </c>
      <c r="O152" s="655">
        <f>Input!O152</f>
        <v>1999</v>
      </c>
      <c r="P152" s="654">
        <f>Input!P152</f>
        <v>1999</v>
      </c>
      <c r="Q152" s="655">
        <f>Input!Q152</f>
        <v>1999</v>
      </c>
      <c r="R152" s="654">
        <f>Input!R152</f>
        <v>1999</v>
      </c>
      <c r="S152" s="655">
        <f>Input!S152</f>
        <v>1999</v>
      </c>
      <c r="Y152" s="114"/>
    </row>
    <row r="153" spans="1:25" ht="15">
      <c r="A153" s="108">
        <f t="shared" si="3"/>
        <v>153</v>
      </c>
      <c r="G153" s="206" t="s">
        <v>863</v>
      </c>
      <c r="H153" s="654">
        <f>Input!H153</f>
        <v>36</v>
      </c>
      <c r="I153" s="655">
        <f>Input!I153</f>
        <v>36</v>
      </c>
      <c r="J153" s="654">
        <f>Input!J153</f>
        <v>36</v>
      </c>
      <c r="K153" s="655">
        <f>Input!K153</f>
        <v>36</v>
      </c>
      <c r="L153" s="654">
        <f>Input!L153</f>
        <v>36</v>
      </c>
      <c r="M153" s="655">
        <f>Input!M153</f>
        <v>36</v>
      </c>
      <c r="N153" s="654">
        <f>Input!N153</f>
        <v>36</v>
      </c>
      <c r="O153" s="655">
        <f>Input!O153</f>
        <v>36</v>
      </c>
      <c r="P153" s="654">
        <f>Input!P153</f>
        <v>36</v>
      </c>
      <c r="Q153" s="655">
        <f>Input!Q153</f>
        <v>36</v>
      </c>
      <c r="R153" s="654">
        <f>Input!R153</f>
        <v>36</v>
      </c>
      <c r="S153" s="655">
        <f>Input!S153</f>
        <v>36</v>
      </c>
      <c r="Y153" s="114"/>
    </row>
    <row r="154" spans="1:25" ht="15">
      <c r="A154" s="108">
        <f t="shared" si="3"/>
        <v>154</v>
      </c>
      <c r="G154" s="206" t="s">
        <v>864</v>
      </c>
      <c r="H154" s="534">
        <f>(H152-H151)/H153+H151</f>
        <v>249</v>
      </c>
      <c r="I154" s="197">
        <f t="shared" ref="I154:Q154" si="4">(I152-I151)/I153+I151</f>
        <v>249</v>
      </c>
      <c r="J154" s="534">
        <f t="shared" si="4"/>
        <v>249</v>
      </c>
      <c r="K154" s="197">
        <f t="shared" si="4"/>
        <v>249</v>
      </c>
      <c r="L154" s="534">
        <f t="shared" si="4"/>
        <v>249</v>
      </c>
      <c r="M154" s="197">
        <f t="shared" si="4"/>
        <v>249</v>
      </c>
      <c r="N154" s="534">
        <f t="shared" si="4"/>
        <v>249</v>
      </c>
      <c r="O154" s="197">
        <f t="shared" si="4"/>
        <v>249</v>
      </c>
      <c r="P154" s="534">
        <f t="shared" si="4"/>
        <v>249</v>
      </c>
      <c r="Q154" s="197">
        <f t="shared" si="4"/>
        <v>249</v>
      </c>
      <c r="R154" s="534">
        <f t="shared" ref="R154:S154" si="5">(R152-R151)/R153+R151</f>
        <v>249</v>
      </c>
      <c r="S154" s="197">
        <f t="shared" si="5"/>
        <v>249</v>
      </c>
    </row>
    <row r="155" spans="1:25" ht="15">
      <c r="A155" s="108">
        <f t="shared" si="3"/>
        <v>155</v>
      </c>
      <c r="G155" s="206" t="s">
        <v>865</v>
      </c>
      <c r="H155" s="534">
        <f>(H154-Input!H154)*Input!H153</f>
        <v>0</v>
      </c>
      <c r="I155" s="197">
        <f>(I154-Input!H154)*Input!H153</f>
        <v>0</v>
      </c>
      <c r="J155" s="534">
        <f>(J154-Input!J154)*Input!J153</f>
        <v>0</v>
      </c>
      <c r="K155" s="197">
        <f>(K154-Input!J154)*Input!J153</f>
        <v>0</v>
      </c>
      <c r="L155" s="534">
        <f>(L154-Input!L154)*Input!L153</f>
        <v>0</v>
      </c>
      <c r="M155" s="197">
        <f>(M154-Input!L154)*Input!L153</f>
        <v>0</v>
      </c>
      <c r="N155" s="534">
        <f>(N154-Input!N154)*Input!N153</f>
        <v>0</v>
      </c>
      <c r="O155" s="197">
        <f>(O154-Input!N154)*Input!N153</f>
        <v>0</v>
      </c>
      <c r="P155" s="534">
        <f>(P154-Input!P154)*Input!P153</f>
        <v>0</v>
      </c>
      <c r="Q155" s="197">
        <f>(Q154-Input!P154)*Input!P153</f>
        <v>0</v>
      </c>
      <c r="R155" s="534">
        <f>(R154-Input!R154)*Input!R153</f>
        <v>0</v>
      </c>
      <c r="S155" s="197">
        <f>(S154-Input!R154)*Input!R153</f>
        <v>0</v>
      </c>
    </row>
  </sheetData>
  <dataConsolidate/>
  <conditionalFormatting sqref="H89:H93">
    <cfRule type="expression" dxfId="1700" priority="152">
      <formula>IF(#REF!="N",TRUE,FALSE)</formula>
    </cfRule>
  </conditionalFormatting>
  <conditionalFormatting sqref="H90:H93">
    <cfRule type="expression" dxfId="1699" priority="151">
      <formula>IF(#REF!="N",TRUE,FALSE)</formula>
    </cfRule>
  </conditionalFormatting>
  <conditionalFormatting sqref="H89:H93">
    <cfRule type="expression" dxfId="1698" priority="150">
      <formula>IF(#REF!="N",TRUE,FALSE)</formula>
    </cfRule>
  </conditionalFormatting>
  <conditionalFormatting sqref="H90:H93">
    <cfRule type="expression" dxfId="1697" priority="149">
      <formula>IF(#REF!="N",TRUE,FALSE)</formula>
    </cfRule>
  </conditionalFormatting>
  <conditionalFormatting sqref="I89:I93">
    <cfRule type="expression" dxfId="1696" priority="148">
      <formula>IF(#REF!="N",TRUE,FALSE)</formula>
    </cfRule>
  </conditionalFormatting>
  <conditionalFormatting sqref="I90:I93">
    <cfRule type="expression" dxfId="1695" priority="147">
      <formula>IF(#REF!="N",TRUE,FALSE)</formula>
    </cfRule>
  </conditionalFormatting>
  <conditionalFormatting sqref="I89:I93">
    <cfRule type="expression" dxfId="1694" priority="146">
      <formula>IF(#REF!="N",TRUE,FALSE)</formula>
    </cfRule>
  </conditionalFormatting>
  <conditionalFormatting sqref="I89:I93">
    <cfRule type="expression" dxfId="1693" priority="145">
      <formula>IF(#REF!="N",TRUE,FALSE)</formula>
    </cfRule>
  </conditionalFormatting>
  <conditionalFormatting sqref="J89:J93">
    <cfRule type="expression" dxfId="1692" priority="64">
      <formula>IF(#REF!="N",TRUE,FALSE)</formula>
    </cfRule>
  </conditionalFormatting>
  <conditionalFormatting sqref="J90:J93">
    <cfRule type="expression" dxfId="1691" priority="63">
      <formula>IF(#REF!="N",TRUE,FALSE)</formula>
    </cfRule>
  </conditionalFormatting>
  <conditionalFormatting sqref="J89:J93">
    <cfRule type="expression" dxfId="1690" priority="62">
      <formula>IF(#REF!="N",TRUE,FALSE)</formula>
    </cfRule>
  </conditionalFormatting>
  <conditionalFormatting sqref="J90:J93">
    <cfRule type="expression" dxfId="1689" priority="61">
      <formula>IF(#REF!="N",TRUE,FALSE)</formula>
    </cfRule>
  </conditionalFormatting>
  <conditionalFormatting sqref="K89:K93">
    <cfRule type="expression" dxfId="1688" priority="60">
      <formula>IF(#REF!="N",TRUE,FALSE)</formula>
    </cfRule>
  </conditionalFormatting>
  <conditionalFormatting sqref="K90:K93">
    <cfRule type="expression" dxfId="1687" priority="59">
      <formula>IF(#REF!="N",TRUE,FALSE)</formula>
    </cfRule>
  </conditionalFormatting>
  <conditionalFormatting sqref="K89:K93">
    <cfRule type="expression" dxfId="1686" priority="58">
      <formula>IF(#REF!="N",TRUE,FALSE)</formula>
    </cfRule>
  </conditionalFormatting>
  <conditionalFormatting sqref="K89:K93">
    <cfRule type="expression" dxfId="1685" priority="57">
      <formula>IF(#REF!="N",TRUE,FALSE)</formula>
    </cfRule>
  </conditionalFormatting>
  <conditionalFormatting sqref="L89:L93">
    <cfRule type="expression" dxfId="1684" priority="56">
      <formula>IF(#REF!="N",TRUE,FALSE)</formula>
    </cfRule>
  </conditionalFormatting>
  <conditionalFormatting sqref="L90:L93">
    <cfRule type="expression" dxfId="1683" priority="55">
      <formula>IF(#REF!="N",TRUE,FALSE)</formula>
    </cfRule>
  </conditionalFormatting>
  <conditionalFormatting sqref="L89:L93">
    <cfRule type="expression" dxfId="1682" priority="54">
      <formula>IF(#REF!="N",TRUE,FALSE)</formula>
    </cfRule>
  </conditionalFormatting>
  <conditionalFormatting sqref="L90:L93">
    <cfRule type="expression" dxfId="1681" priority="53">
      <formula>IF(#REF!="N",TRUE,FALSE)</formula>
    </cfRule>
  </conditionalFormatting>
  <conditionalFormatting sqref="M89:M93">
    <cfRule type="expression" dxfId="1680" priority="52">
      <formula>IF(#REF!="N",TRUE,FALSE)</formula>
    </cfRule>
  </conditionalFormatting>
  <conditionalFormatting sqref="M90:M93">
    <cfRule type="expression" dxfId="1679" priority="51">
      <formula>IF(#REF!="N",TRUE,FALSE)</formula>
    </cfRule>
  </conditionalFormatting>
  <conditionalFormatting sqref="M89:M93">
    <cfRule type="expression" dxfId="1678" priority="50">
      <formula>IF(#REF!="N",TRUE,FALSE)</formula>
    </cfRule>
  </conditionalFormatting>
  <conditionalFormatting sqref="M89:M93">
    <cfRule type="expression" dxfId="1677" priority="49">
      <formula>IF(#REF!="N",TRUE,FALSE)</formula>
    </cfRule>
  </conditionalFormatting>
  <conditionalFormatting sqref="N89:N93">
    <cfRule type="expression" dxfId="1676" priority="48">
      <formula>IF(#REF!="N",TRUE,FALSE)</formula>
    </cfRule>
  </conditionalFormatting>
  <conditionalFormatting sqref="N90:N93">
    <cfRule type="expression" dxfId="1675" priority="47">
      <formula>IF(#REF!="N",TRUE,FALSE)</formula>
    </cfRule>
  </conditionalFormatting>
  <conditionalFormatting sqref="N89:N93">
    <cfRule type="expression" dxfId="1674" priority="46">
      <formula>IF(#REF!="N",TRUE,FALSE)</formula>
    </cfRule>
  </conditionalFormatting>
  <conditionalFormatting sqref="N90:N93">
    <cfRule type="expression" dxfId="1673" priority="45">
      <formula>IF(#REF!="N",TRUE,FALSE)</formula>
    </cfRule>
  </conditionalFormatting>
  <conditionalFormatting sqref="O89:O93">
    <cfRule type="expression" dxfId="1672" priority="44">
      <formula>IF(#REF!="N",TRUE,FALSE)</formula>
    </cfRule>
  </conditionalFormatting>
  <conditionalFormatting sqref="O90:O93">
    <cfRule type="expression" dxfId="1671" priority="43">
      <formula>IF(#REF!="N",TRUE,FALSE)</formula>
    </cfRule>
  </conditionalFormatting>
  <conditionalFormatting sqref="O89:O93">
    <cfRule type="expression" dxfId="1670" priority="42">
      <formula>IF(#REF!="N",TRUE,FALSE)</formula>
    </cfRule>
  </conditionalFormatting>
  <conditionalFormatting sqref="O89:O93">
    <cfRule type="expression" dxfId="1669" priority="41">
      <formula>IF(#REF!="N",TRUE,FALSE)</formula>
    </cfRule>
  </conditionalFormatting>
  <conditionalFormatting sqref="P89:P93">
    <cfRule type="expression" dxfId="1668" priority="40">
      <formula>IF(#REF!="N",TRUE,FALSE)</formula>
    </cfRule>
  </conditionalFormatting>
  <conditionalFormatting sqref="P90:P93">
    <cfRule type="expression" dxfId="1667" priority="39">
      <formula>IF(#REF!="N",TRUE,FALSE)</formula>
    </cfRule>
  </conditionalFormatting>
  <conditionalFormatting sqref="P89:P93">
    <cfRule type="expression" dxfId="1666" priority="38">
      <formula>IF(#REF!="N",TRUE,FALSE)</formula>
    </cfRule>
  </conditionalFormatting>
  <conditionalFormatting sqref="P90:P93">
    <cfRule type="expression" dxfId="1665" priority="37">
      <formula>IF(#REF!="N",TRUE,FALSE)</formula>
    </cfRule>
  </conditionalFormatting>
  <conditionalFormatting sqref="Q89:Q93">
    <cfRule type="expression" dxfId="1664" priority="36">
      <formula>IF(#REF!="N",TRUE,FALSE)</formula>
    </cfRule>
  </conditionalFormatting>
  <conditionalFormatting sqref="Q90:Q93">
    <cfRule type="expression" dxfId="1663" priority="35">
      <formula>IF(#REF!="N",TRUE,FALSE)</formula>
    </cfRule>
  </conditionalFormatting>
  <conditionalFormatting sqref="Q89:Q93">
    <cfRule type="expression" dxfId="1662" priority="34">
      <formula>IF(#REF!="N",TRUE,FALSE)</formula>
    </cfRule>
  </conditionalFormatting>
  <conditionalFormatting sqref="Q89:Q93">
    <cfRule type="expression" dxfId="1661" priority="33">
      <formula>IF(#REF!="N",TRUE,FALSE)</formula>
    </cfRule>
  </conditionalFormatting>
  <conditionalFormatting sqref="R89:R93">
    <cfRule type="expression" dxfId="1660" priority="8">
      <formula>IF(#REF!="N",TRUE,FALSE)</formula>
    </cfRule>
  </conditionalFormatting>
  <conditionalFormatting sqref="R90:R93">
    <cfRule type="expression" dxfId="1659" priority="7">
      <formula>IF(#REF!="N",TRUE,FALSE)</formula>
    </cfRule>
  </conditionalFormatting>
  <conditionalFormatting sqref="R89:R93">
    <cfRule type="expression" dxfId="1658" priority="6">
      <formula>IF(#REF!="N",TRUE,FALSE)</formula>
    </cfRule>
  </conditionalFormatting>
  <conditionalFormatting sqref="R90:R93">
    <cfRule type="expression" dxfId="1657" priority="5">
      <formula>IF(#REF!="N",TRUE,FALSE)</formula>
    </cfRule>
  </conditionalFormatting>
  <conditionalFormatting sqref="S89:S93">
    <cfRule type="expression" dxfId="1656" priority="4">
      <formula>IF(#REF!="N",TRUE,FALSE)</formula>
    </cfRule>
  </conditionalFormatting>
  <conditionalFormatting sqref="S90:S93">
    <cfRule type="expression" dxfId="1655" priority="3">
      <formula>IF(#REF!="N",TRUE,FALSE)</formula>
    </cfRule>
  </conditionalFormatting>
  <conditionalFormatting sqref="S89:S93">
    <cfRule type="expression" dxfId="1654" priority="2">
      <formula>IF(#REF!="N",TRUE,FALSE)</formula>
    </cfRule>
  </conditionalFormatting>
  <conditionalFormatting sqref="S89:S93">
    <cfRule type="expression" dxfId="1653" priority="1">
      <formula>IF(#REF!="N",TRUE,FALSE)</formula>
    </cfRule>
  </conditionalFormatting>
  <dataValidations count="1">
    <dataValidation operator="greaterThanOrEqual" allowBlank="1" showInputMessage="1" showErrorMessage="1" error="Dealer cash adjustment factor should be greater than or equal to 1.0!" sqref="H104:S104" xr:uid="{00000000-0002-0000-0600-000000000000}"/>
  </dataValidations>
  <pageMargins left="0.75" right="0.75" top="1" bottom="1" header="0.5" footer="0.5"/>
  <pageSetup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Lookup!$B$13:$B$506</xm:f>
          </x14:formula1>
          <xm:sqref>H12:S12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3" tint="0.39997558519241921"/>
  </sheetPr>
  <dimension ref="A1:KX701"/>
  <sheetViews>
    <sheetView showGridLines="0" topLeftCell="A93" zoomScale="70" zoomScaleNormal="70" workbookViewId="0">
      <pane ySplit="2505" topLeftCell="A601" activePane="bottomLeft"/>
      <selection activeCell="G39" sqref="G39"/>
      <selection pane="bottomLeft" activeCell="D620" sqref="D620"/>
    </sheetView>
  </sheetViews>
  <sheetFormatPr defaultColWidth="9.140625" defaultRowHeight="12.75" outlineLevelRow="1" outlineLevelCol="1"/>
  <cols>
    <col min="1" max="1" width="12" style="58" customWidth="1"/>
    <col min="2" max="2" width="9.7109375" style="58" customWidth="1"/>
    <col min="3" max="3" width="10.140625" style="58" customWidth="1"/>
    <col min="4" max="4" width="49.28515625" style="58" customWidth="1"/>
    <col min="5" max="5" width="12.7109375" style="58" customWidth="1" outlineLevel="1"/>
    <col min="6" max="6" width="16.140625" style="58" customWidth="1" outlineLevel="1"/>
    <col min="7" max="8" width="14.42578125" style="58" customWidth="1" outlineLevel="1"/>
    <col min="9" max="9" width="13.28515625" style="58" customWidth="1" outlineLevel="1"/>
    <col min="10" max="15" width="9.7109375" style="386" customWidth="1" outlineLevel="1"/>
    <col min="16" max="16" width="10" style="386" customWidth="1" outlineLevel="1"/>
    <col min="17" max="17" width="8.85546875" style="58" customWidth="1" outlineLevel="1"/>
    <col min="18" max="18" width="6.7109375" style="387" customWidth="1" outlineLevel="1"/>
    <col min="19" max="19" width="10.7109375" style="387" customWidth="1" outlineLevel="1"/>
    <col min="20" max="22" width="6.7109375" style="387" customWidth="1" outlineLevel="1"/>
    <col min="23" max="23" width="10.140625" style="387" customWidth="1" outlineLevel="1"/>
    <col min="24" max="24" width="10" style="386" customWidth="1" outlineLevel="1"/>
    <col min="25" max="26" width="13" style="58" customWidth="1" outlineLevel="1"/>
    <col min="27" max="27" width="9.5703125" style="58" customWidth="1" outlineLevel="1"/>
    <col min="28" max="28" width="10.85546875" style="58" customWidth="1" outlineLevel="1"/>
    <col min="29" max="36" width="9.28515625" style="58" customWidth="1" outlineLevel="1"/>
    <col min="37" max="38" width="13" style="58" customWidth="1" outlineLevel="1"/>
    <col min="39" max="39" width="18.7109375" style="58" customWidth="1" outlineLevel="1"/>
    <col min="40" max="40" width="21.85546875" style="58" customWidth="1" outlineLevel="1"/>
    <col min="41" max="41" width="18.42578125" style="58" customWidth="1" outlineLevel="1"/>
    <col min="42" max="42" width="25" style="58" customWidth="1" outlineLevel="1"/>
    <col min="43" max="43" width="10.140625" style="58" customWidth="1" outlineLevel="1"/>
    <col min="44" max="44" width="10.5703125" style="58" customWidth="1" outlineLevel="1"/>
    <col min="45" max="45" width="6.28515625" style="60" customWidth="1" outlineLevel="1"/>
    <col min="46" max="46" width="14.5703125" style="123" customWidth="1" outlineLevel="1"/>
    <col min="47" max="47" width="11.85546875" style="96" customWidth="1" outlineLevel="1"/>
    <col min="48" max="48" width="14.140625" style="96" customWidth="1" outlineLevel="1"/>
    <col min="49" max="49" width="8.28515625" style="96" customWidth="1" outlineLevel="1"/>
    <col min="50" max="50" width="14.28515625" style="96" customWidth="1" outlineLevel="1"/>
    <col min="51" max="51" width="33.140625" style="96" customWidth="1" outlineLevel="1"/>
    <col min="52" max="52" width="18" style="96" customWidth="1" outlineLevel="1"/>
    <col min="53" max="53" width="6.5703125" style="123" customWidth="1" outlineLevel="1"/>
    <col min="54" max="54" width="11" style="123" customWidth="1" outlineLevel="1"/>
    <col min="55" max="55" width="16.140625" style="123" customWidth="1" outlineLevel="1"/>
    <col min="56" max="57" width="6" style="123" customWidth="1" outlineLevel="1"/>
    <col min="58" max="60" width="7" style="123" customWidth="1" outlineLevel="1"/>
    <col min="61" max="63" width="6" style="123" customWidth="1" outlineLevel="1"/>
    <col min="64" max="65" width="7" style="123" customWidth="1" outlineLevel="1"/>
    <col min="66" max="69" width="10" style="123" customWidth="1" outlineLevel="1"/>
    <col min="70" max="70" width="11" style="123" customWidth="1" outlineLevel="1"/>
    <col min="71" max="73" width="12" style="123" customWidth="1" outlineLevel="1"/>
    <col min="74" max="74" width="11.7109375" style="123" customWidth="1" outlineLevel="1"/>
    <col min="75" max="76" width="12" style="123" customWidth="1" outlineLevel="1"/>
    <col min="77" max="81" width="6" style="123" customWidth="1" outlineLevel="1"/>
    <col min="82" max="86" width="7.140625" style="123" customWidth="1" outlineLevel="1"/>
    <col min="87" max="87" width="12.7109375" style="123" customWidth="1" outlineLevel="1"/>
    <col min="88" max="88" width="11.140625" style="97" customWidth="1" outlineLevel="1"/>
    <col min="89" max="93" width="9.140625" style="123" customWidth="1" outlineLevel="1"/>
    <col min="94" max="94" width="12.140625" style="123" customWidth="1" outlineLevel="1"/>
    <col min="95" max="99" width="9.140625" style="123" customWidth="1" outlineLevel="1"/>
    <col min="100" max="100" width="12" style="123" customWidth="1" outlineLevel="1"/>
    <col min="101" max="105" width="9.140625" style="123" customWidth="1" outlineLevel="1"/>
    <col min="106" max="106" width="13.28515625" style="123" customWidth="1" outlineLevel="1"/>
    <col min="107" max="109" width="11.140625" style="123" customWidth="1" outlineLevel="1"/>
    <col min="110" max="114" width="9.140625" style="123" customWidth="1" outlineLevel="1"/>
    <col min="115" max="116" width="9.7109375" style="123" customWidth="1" outlineLevel="1"/>
    <col min="117" max="117" width="11.140625" style="123" customWidth="1" outlineLevel="1"/>
    <col min="118" max="127" width="11.85546875" style="123" customWidth="1" outlineLevel="1"/>
    <col min="128" max="128" width="4.140625" style="59" customWidth="1"/>
    <col min="129" max="129" width="10" style="123" customWidth="1" outlineLevel="1" collapsed="1"/>
    <col min="130" max="136" width="9.140625" style="123" customWidth="1" outlineLevel="1"/>
    <col min="137" max="137" width="12.5703125" style="123" customWidth="1" outlineLevel="1"/>
    <col min="138" max="150" width="9.140625" style="123" customWidth="1" outlineLevel="1"/>
    <col min="151" max="154" width="12" style="123" customWidth="1" outlineLevel="1"/>
    <col min="155" max="155" width="13.42578125" style="123" customWidth="1" outlineLevel="1"/>
    <col min="156" max="156" width="10.5703125" style="123" customWidth="1" outlineLevel="1"/>
    <col min="157" max="157" width="12.5703125" style="123" customWidth="1" outlineLevel="1"/>
    <col min="158" max="162" width="10.28515625" style="123" customWidth="1" outlineLevel="1"/>
    <col min="163" max="163" width="11" style="123" customWidth="1" outlineLevel="1"/>
    <col min="164" max="167" width="12.5703125" style="123" customWidth="1" outlineLevel="1"/>
    <col min="168" max="168" width="13" style="123" customWidth="1" outlineLevel="1"/>
    <col min="169" max="169" width="11.42578125" style="123" customWidth="1" outlineLevel="1"/>
    <col min="170" max="174" width="10.42578125" style="123" customWidth="1" outlineLevel="1"/>
    <col min="175" max="175" width="11.140625" style="123" customWidth="1" outlineLevel="1"/>
    <col min="176" max="178" width="10.42578125" style="123" customWidth="1" outlineLevel="1"/>
    <col min="179" max="179" width="11.42578125" style="123" customWidth="1" outlineLevel="1"/>
    <col min="180" max="180" width="13.28515625" style="123" customWidth="1" outlineLevel="1"/>
    <col min="181" max="184" width="11.42578125" style="123" customWidth="1" outlineLevel="1"/>
    <col min="185" max="190" width="9.140625" style="123" customWidth="1" outlineLevel="1"/>
    <col min="191" max="191" width="14.5703125" style="123" customWidth="1" outlineLevel="1"/>
    <col min="192" max="195" width="9.140625" style="123" customWidth="1" outlineLevel="1"/>
    <col min="196" max="196" width="4.42578125" style="58" customWidth="1" outlineLevel="1"/>
    <col min="197" max="203" width="15.140625" style="58" customWidth="1" outlineLevel="1"/>
    <col min="204" max="204" width="12" style="123" customWidth="1" outlineLevel="1"/>
    <col min="205" max="205" width="11.7109375" style="58" customWidth="1" outlineLevel="1"/>
    <col min="206" max="209" width="9.140625" style="58" customWidth="1" outlineLevel="1"/>
    <col min="210" max="210" width="9.140625" style="123" customWidth="1" outlineLevel="1"/>
    <col min="211" max="211" width="10.7109375" style="58" customWidth="1" outlineLevel="1"/>
    <col min="212" max="215" width="9.140625" style="58" customWidth="1" outlineLevel="1"/>
    <col min="216" max="216" width="9.140625" style="123" customWidth="1" outlineLevel="1"/>
    <col min="217" max="217" width="3" style="58" customWidth="1"/>
    <col min="218" max="219" width="12.140625" style="123" customWidth="1" outlineLevel="1"/>
    <col min="220" max="220" width="6.28515625" style="58" customWidth="1" outlineLevel="1"/>
    <col min="221" max="223" width="12.28515625" style="59" customWidth="1" outlineLevel="1"/>
    <col min="224" max="226" width="12.7109375" style="123" customWidth="1" outlineLevel="1"/>
    <col min="227" max="229" width="14" style="59" customWidth="1" outlineLevel="1"/>
    <col min="230" max="232" width="10" style="123" customWidth="1" outlineLevel="1"/>
    <col min="233" max="235" width="13.5703125" style="59" customWidth="1" outlineLevel="1"/>
    <col min="236" max="236" width="12" style="123" customWidth="1" outlineLevel="1"/>
    <col min="237" max="237" width="10" style="123" customWidth="1" outlineLevel="1"/>
    <col min="238" max="238" width="12.5703125" style="123" customWidth="1" outlineLevel="1"/>
    <col min="239" max="241" width="12" style="123" customWidth="1"/>
    <col min="242" max="242" width="4" style="60" bestFit="1" customWidth="1"/>
    <col min="243" max="245" width="16" style="59" customWidth="1" outlineLevel="1"/>
    <col min="246" max="248" width="16" style="123" customWidth="1" outlineLevel="1"/>
    <col min="249" max="251" width="16" style="59" customWidth="1" outlineLevel="1"/>
    <col min="252" max="254" width="11.28515625" style="123" customWidth="1" outlineLevel="1"/>
    <col min="255" max="255" width="9.140625" style="123" customWidth="1" outlineLevel="1"/>
    <col min="256" max="256" width="10.7109375" style="123" customWidth="1" outlineLevel="1"/>
    <col min="257" max="257" width="11" style="123" customWidth="1" outlineLevel="1"/>
    <col min="258" max="260" width="14" style="59" customWidth="1" outlineLevel="1"/>
    <col min="261" max="263" width="12.42578125" style="123" customWidth="1"/>
    <col min="264" max="264" width="13.42578125" style="123" customWidth="1"/>
    <col min="265" max="265" width="2.140625" style="60" customWidth="1"/>
    <col min="266" max="266" width="14.85546875" style="59" customWidth="1" outlineLevel="1"/>
    <col min="267" max="267" width="21.28515625" style="59" customWidth="1" outlineLevel="1"/>
    <col min="268" max="268" width="17.140625" style="59" customWidth="1" outlineLevel="1"/>
    <col min="269" max="269" width="27.28515625" style="59" customWidth="1" outlineLevel="1"/>
    <col min="270" max="270" width="28" style="332" customWidth="1" outlineLevel="1"/>
    <col min="271" max="271" width="9.85546875" style="59" bestFit="1" customWidth="1"/>
    <col min="272" max="272" width="12.28515625" style="59" bestFit="1" customWidth="1"/>
    <col min="273" max="273" width="12.28515625" style="123" bestFit="1" customWidth="1"/>
    <col min="274" max="274" width="4" style="60" bestFit="1" customWidth="1"/>
    <col min="275" max="275" width="16.42578125" style="59" customWidth="1" outlineLevel="1"/>
    <col min="276" max="276" width="11.5703125" style="59" customWidth="1" outlineLevel="1"/>
    <col min="277" max="277" width="13.42578125" style="123" customWidth="1" outlineLevel="1"/>
    <col min="278" max="278" width="11.42578125" style="123" customWidth="1" outlineLevel="1"/>
    <col min="279" max="279" width="12.7109375" style="123" customWidth="1" outlineLevel="1"/>
    <col min="280" max="280" width="10.5703125" style="123" customWidth="1"/>
    <col min="281" max="281" width="10.85546875" style="123" customWidth="1" outlineLevel="1"/>
    <col min="282" max="282" width="14.28515625" style="123" customWidth="1"/>
    <col min="283" max="283" width="9.140625" style="123"/>
    <col min="284" max="284" width="12.5703125" style="123" customWidth="1"/>
    <col min="285" max="285" width="4" style="58" bestFit="1" customWidth="1"/>
    <col min="286" max="286" width="11.42578125" style="58" customWidth="1"/>
    <col min="287" max="287" width="13.42578125" style="58" customWidth="1"/>
    <col min="288" max="288" width="10.28515625" style="58" customWidth="1"/>
    <col min="289" max="290" width="9.140625" style="58"/>
    <col min="291" max="291" width="15.7109375" style="58" bestFit="1" customWidth="1"/>
    <col min="292" max="292" width="9.140625" style="58"/>
    <col min="293" max="293" width="14.7109375" style="58" customWidth="1"/>
    <col min="294" max="294" width="3.42578125" style="58" customWidth="1"/>
    <col min="295" max="298" width="11.28515625" style="58" customWidth="1"/>
    <col min="299" max="299" width="3.28515625" style="58" customWidth="1"/>
    <col min="300" max="301" width="9.140625" style="58"/>
    <col min="302" max="303" width="10.85546875" style="58" customWidth="1"/>
    <col min="304" max="304" width="17.28515625" style="58" customWidth="1"/>
    <col min="305" max="306" width="14.7109375" style="58" customWidth="1"/>
    <col min="307" max="307" width="15.28515625" style="58" customWidth="1"/>
    <col min="308" max="16384" width="9.140625" style="58"/>
  </cols>
  <sheetData>
    <row r="1" spans="3:285" s="56" customFormat="1" ht="15" hidden="1">
      <c r="C1" s="57"/>
      <c r="G1" s="55"/>
      <c r="H1" s="303"/>
      <c r="I1" s="55"/>
      <c r="AS1" s="60"/>
      <c r="AU1" s="98"/>
      <c r="AV1" s="57"/>
      <c r="AW1" s="98"/>
      <c r="AX1" s="98"/>
      <c r="AY1" s="98"/>
      <c r="AZ1" s="98"/>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5"/>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331"/>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126"/>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V1" s="57"/>
      <c r="HB1" s="57"/>
      <c r="HH1" s="57"/>
      <c r="HI1" s="58"/>
      <c r="HJ1" s="57"/>
      <c r="HK1" s="57"/>
      <c r="HL1" s="58"/>
      <c r="HM1" s="59"/>
      <c r="HN1" s="59"/>
      <c r="HO1" s="59"/>
      <c r="HP1" s="123"/>
      <c r="HQ1" s="123"/>
      <c r="HR1" s="123"/>
      <c r="HS1" s="59"/>
      <c r="HT1" s="59"/>
      <c r="HU1" s="59"/>
      <c r="HV1" s="123"/>
      <c r="HW1" s="123"/>
      <c r="HX1" s="123"/>
      <c r="HY1" s="59"/>
      <c r="HZ1" s="59"/>
      <c r="IA1" s="59"/>
      <c r="IB1" s="123"/>
      <c r="IC1" s="123"/>
      <c r="ID1" s="123"/>
      <c r="IE1" s="123"/>
      <c r="IF1" s="123"/>
      <c r="IG1" s="123"/>
      <c r="IH1" s="60"/>
      <c r="II1" s="59"/>
      <c r="IJ1" s="59"/>
      <c r="IK1" s="59"/>
      <c r="IL1" s="123"/>
      <c r="IM1" s="123"/>
      <c r="IN1" s="123"/>
      <c r="IO1" s="59"/>
      <c r="IP1" s="59"/>
      <c r="IQ1" s="59"/>
      <c r="IR1" s="123"/>
      <c r="IS1" s="123"/>
      <c r="IT1" s="123"/>
      <c r="IU1" s="123"/>
      <c r="IV1" s="123"/>
      <c r="IW1" s="123"/>
      <c r="IX1" s="59"/>
      <c r="IY1" s="59"/>
      <c r="IZ1" s="59"/>
      <c r="JA1" s="123"/>
      <c r="JB1" s="123"/>
      <c r="JC1" s="123"/>
      <c r="JD1" s="123"/>
      <c r="JE1" s="60"/>
      <c r="JF1" s="59"/>
      <c r="JG1" s="59"/>
      <c r="JH1" s="59"/>
      <c r="JI1" s="332"/>
      <c r="JJ1" s="332"/>
      <c r="JK1" s="59"/>
      <c r="JL1" s="59"/>
      <c r="JM1" s="123"/>
      <c r="JN1" s="60"/>
      <c r="JO1" s="59"/>
      <c r="JP1" s="59"/>
      <c r="JQ1" s="123"/>
      <c r="JR1" s="123"/>
      <c r="JS1" s="123"/>
      <c r="JT1" s="123"/>
      <c r="JU1" s="123"/>
      <c r="JV1" s="123"/>
      <c r="JW1" s="123"/>
      <c r="JX1" s="123"/>
      <c r="JY1" s="58"/>
    </row>
    <row r="2" spans="3:285" s="56" customFormat="1" ht="15" hidden="1">
      <c r="C2" s="57"/>
      <c r="G2" s="303"/>
      <c r="H2" s="303"/>
      <c r="I2" s="303"/>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S2" s="60"/>
      <c r="AU2" s="98"/>
      <c r="AV2" s="57"/>
      <c r="AW2" s="98"/>
      <c r="AX2" s="98"/>
      <c r="AY2" s="98"/>
      <c r="AZ2" s="98"/>
      <c r="BA2" s="57"/>
      <c r="BB2" s="57"/>
      <c r="BC2" s="57"/>
      <c r="BD2" s="57"/>
      <c r="BE2" s="57"/>
      <c r="BF2" s="57"/>
      <c r="BG2" s="57"/>
      <c r="BH2" s="57"/>
      <c r="BI2" s="57"/>
      <c r="BJ2" s="57"/>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5"/>
      <c r="CK2" s="57"/>
      <c r="CL2" s="57"/>
      <c r="CM2" s="57"/>
      <c r="CN2" s="57"/>
      <c r="CO2" s="57"/>
      <c r="CP2" s="57"/>
      <c r="CQ2" s="57"/>
      <c r="CR2" s="57"/>
      <c r="CS2" s="57"/>
      <c r="CT2" s="57"/>
      <c r="CU2" s="57"/>
      <c r="CV2" s="57"/>
      <c r="CW2" s="57"/>
      <c r="CX2" s="57"/>
      <c r="CY2" s="57"/>
      <c r="CZ2" s="333"/>
      <c r="DA2" s="57"/>
      <c r="DB2" s="57"/>
      <c r="DC2" s="57"/>
      <c r="DD2" s="57"/>
      <c r="DE2" s="57"/>
      <c r="DF2" s="57"/>
      <c r="DG2" s="57"/>
      <c r="DH2" s="57"/>
      <c r="DI2" s="57"/>
      <c r="DJ2" s="57"/>
      <c r="DK2" s="57"/>
      <c r="DL2" s="57"/>
      <c r="DM2" s="57"/>
      <c r="DN2" s="57"/>
      <c r="DO2" s="57"/>
      <c r="DP2" s="57"/>
      <c r="DQ2" s="57"/>
      <c r="DR2" s="57"/>
      <c r="DS2" s="57"/>
      <c r="DT2" s="57"/>
      <c r="DU2" s="57"/>
      <c r="DV2" s="57"/>
      <c r="DW2" s="57"/>
      <c r="DX2" s="331"/>
      <c r="DY2" s="57"/>
      <c r="DZ2" s="57"/>
      <c r="EA2" s="57"/>
      <c r="EB2" s="57"/>
      <c r="EC2" s="57"/>
      <c r="ED2" s="57"/>
      <c r="EE2" s="57"/>
      <c r="EF2" s="57"/>
      <c r="EG2" s="57"/>
      <c r="EH2" s="57"/>
      <c r="EI2" s="57"/>
      <c r="EJ2" s="57"/>
      <c r="EK2" s="57"/>
      <c r="EL2" s="57"/>
      <c r="EM2" s="57"/>
      <c r="EN2" s="57"/>
      <c r="EO2" s="57"/>
      <c r="EP2" s="57"/>
      <c r="EQ2" s="57"/>
      <c r="ER2" s="57"/>
      <c r="ES2" s="57"/>
      <c r="ET2" s="57"/>
      <c r="EU2" s="57"/>
      <c r="EV2" s="57"/>
      <c r="EW2" s="57"/>
      <c r="EX2" s="57"/>
      <c r="EY2" s="57"/>
      <c r="EZ2" s="57"/>
      <c r="FA2" s="57"/>
      <c r="FB2" s="57"/>
      <c r="FC2" s="57"/>
      <c r="FD2" s="57"/>
      <c r="FE2" s="57"/>
      <c r="FF2" s="57"/>
      <c r="FG2" s="57"/>
      <c r="FH2" s="57"/>
      <c r="FI2" s="57"/>
      <c r="FJ2" s="57"/>
      <c r="FK2" s="57"/>
      <c r="FL2" s="57"/>
      <c r="FM2" s="57"/>
      <c r="FN2" s="126"/>
      <c r="FO2" s="334"/>
      <c r="FP2" s="126"/>
      <c r="FQ2" s="126"/>
      <c r="FR2" s="57"/>
      <c r="FS2" s="57"/>
      <c r="FT2" s="57"/>
      <c r="FU2" s="57"/>
      <c r="FV2" s="57"/>
      <c r="FW2" s="57"/>
      <c r="FX2" s="57"/>
      <c r="FY2" s="57"/>
      <c r="FZ2" s="57"/>
      <c r="GA2" s="57"/>
      <c r="GB2" s="57"/>
      <c r="GC2" s="57"/>
      <c r="GD2" s="57"/>
      <c r="GE2" s="57"/>
      <c r="GF2" s="57"/>
      <c r="GG2" s="57"/>
      <c r="GH2" s="57"/>
      <c r="GI2" s="57"/>
      <c r="GJ2" s="57"/>
      <c r="GK2" s="57"/>
      <c r="GL2" s="57"/>
      <c r="GM2" s="57"/>
      <c r="GV2" s="57"/>
      <c r="HB2" s="57"/>
      <c r="HH2" s="57"/>
      <c r="HI2" s="58"/>
      <c r="HJ2" s="57"/>
      <c r="HK2" s="57"/>
      <c r="HL2" s="58"/>
      <c r="HM2" s="59"/>
      <c r="HN2" s="59"/>
      <c r="HO2" s="59"/>
      <c r="HP2" s="123"/>
      <c r="HQ2" s="123"/>
      <c r="HR2" s="123"/>
      <c r="HS2" s="59"/>
      <c r="HT2" s="59"/>
      <c r="HU2" s="59"/>
      <c r="HV2" s="123"/>
      <c r="HW2" s="123"/>
      <c r="HX2" s="123"/>
      <c r="HY2" s="59"/>
      <c r="HZ2" s="59"/>
      <c r="IA2" s="59"/>
      <c r="IB2" s="123"/>
      <c r="IC2" s="123"/>
      <c r="ID2" s="123"/>
      <c r="IE2" s="123"/>
      <c r="IF2" s="123"/>
      <c r="IG2" s="123"/>
      <c r="IH2" s="60"/>
      <c r="II2" s="59"/>
      <c r="IJ2" s="59"/>
      <c r="IK2" s="59"/>
      <c r="IL2" s="123"/>
      <c r="IM2" s="123"/>
      <c r="IN2" s="123"/>
      <c r="IO2" s="59"/>
      <c r="IP2" s="59"/>
      <c r="IQ2" s="59"/>
      <c r="IR2" s="123"/>
      <c r="IS2" s="123"/>
      <c r="IT2" s="123"/>
      <c r="IU2" s="123"/>
      <c r="IV2" s="123"/>
      <c r="IW2" s="123"/>
      <c r="IX2" s="59"/>
      <c r="IY2" s="59"/>
      <c r="IZ2" s="59"/>
      <c r="JA2" s="123"/>
      <c r="JB2" s="123"/>
      <c r="JC2" s="123"/>
      <c r="JD2" s="123"/>
      <c r="JE2" s="60"/>
      <c r="JF2" s="59"/>
      <c r="JG2" s="59"/>
      <c r="JH2" s="59"/>
      <c r="JI2" s="332"/>
      <c r="JJ2" s="332"/>
      <c r="JK2" s="59"/>
      <c r="JL2" s="59"/>
      <c r="JM2" s="123"/>
      <c r="JN2" s="60"/>
      <c r="JO2" s="59"/>
      <c r="JP2" s="59"/>
      <c r="JQ2" s="123"/>
      <c r="JR2" s="123"/>
      <c r="JS2" s="123"/>
      <c r="JT2" s="123"/>
      <c r="JU2" s="123"/>
      <c r="JV2" s="123"/>
      <c r="JW2" s="123"/>
      <c r="JX2" s="123"/>
      <c r="JY2" s="58"/>
    </row>
    <row r="3" spans="3:285" s="56" customFormat="1" ht="15" hidden="1">
      <c r="C3" s="57"/>
      <c r="G3" s="303"/>
      <c r="H3" s="303"/>
      <c r="I3" s="303"/>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S3" s="60"/>
      <c r="AU3" s="98"/>
      <c r="AV3" s="57"/>
      <c r="AW3" s="98"/>
      <c r="AX3" s="98"/>
      <c r="AY3" s="98"/>
      <c r="AZ3" s="98"/>
      <c r="BA3" s="57"/>
      <c r="BB3" s="57"/>
      <c r="BC3" s="57"/>
      <c r="BD3" s="57"/>
      <c r="BE3" s="57"/>
      <c r="BF3" s="57"/>
      <c r="BG3" s="57"/>
      <c r="BH3" s="57"/>
      <c r="BI3" s="57"/>
      <c r="BJ3" s="57"/>
      <c r="BK3" s="57"/>
      <c r="BL3" s="57"/>
      <c r="BM3" s="57"/>
      <c r="BN3" s="57"/>
      <c r="BO3" s="57"/>
      <c r="BP3" s="57"/>
      <c r="BQ3" s="57"/>
      <c r="BR3" s="57"/>
      <c r="BS3" s="57"/>
      <c r="BT3" s="57"/>
      <c r="BU3" s="57"/>
      <c r="BV3" s="57"/>
      <c r="BW3" s="57"/>
      <c r="BX3" s="57"/>
      <c r="BY3" s="57"/>
      <c r="BZ3" s="57"/>
      <c r="CA3" s="57"/>
      <c r="CB3" s="57"/>
      <c r="CC3" s="57"/>
      <c r="CD3" s="57"/>
      <c r="CE3" s="57"/>
      <c r="CF3" s="57"/>
      <c r="CG3" s="57"/>
      <c r="CH3" s="57"/>
      <c r="CI3" s="57"/>
      <c r="CJ3" s="55"/>
      <c r="CK3" s="57"/>
      <c r="CL3" s="57"/>
      <c r="CM3" s="57"/>
      <c r="CN3" s="57"/>
      <c r="CO3" s="57"/>
      <c r="CP3" s="57"/>
      <c r="CQ3" s="57"/>
      <c r="CR3" s="57"/>
      <c r="CS3" s="57"/>
      <c r="CT3" s="57"/>
      <c r="CU3" s="57"/>
      <c r="CV3" s="57"/>
      <c r="CW3" s="57"/>
      <c r="CX3" s="57"/>
      <c r="CY3" s="57"/>
      <c r="CZ3" s="333"/>
      <c r="DA3" s="57"/>
      <c r="DB3" s="57"/>
      <c r="DC3" s="57"/>
      <c r="DD3" s="57"/>
      <c r="DE3" s="57"/>
      <c r="DF3" s="57"/>
      <c r="DG3" s="57"/>
      <c r="DH3" s="57"/>
      <c r="DI3" s="57"/>
      <c r="DJ3" s="57"/>
      <c r="DK3" s="57"/>
      <c r="DL3" s="57"/>
      <c r="DM3" s="57"/>
      <c r="DN3" s="57"/>
      <c r="DO3" s="57"/>
      <c r="DP3" s="57"/>
      <c r="DQ3" s="57"/>
      <c r="DR3" s="57"/>
      <c r="DS3" s="57"/>
      <c r="DT3" s="57"/>
      <c r="DU3" s="57"/>
      <c r="DV3" s="57"/>
      <c r="DW3" s="57"/>
      <c r="DX3" s="331"/>
      <c r="DY3" s="57"/>
      <c r="DZ3" s="57"/>
      <c r="EA3" s="57"/>
      <c r="EB3" s="57"/>
      <c r="EC3" s="57"/>
      <c r="ED3" s="57"/>
      <c r="EE3" s="57"/>
      <c r="EF3" s="57"/>
      <c r="EG3" s="57"/>
      <c r="EH3" s="57"/>
      <c r="EI3" s="57"/>
      <c r="EJ3" s="57"/>
      <c r="EK3" s="57"/>
      <c r="EL3" s="57"/>
      <c r="EM3" s="57"/>
      <c r="EN3" s="57"/>
      <c r="EO3" s="57"/>
      <c r="EP3" s="57"/>
      <c r="EQ3" s="57"/>
      <c r="ER3" s="57"/>
      <c r="ES3" s="57"/>
      <c r="ET3" s="57"/>
      <c r="EU3" s="57"/>
      <c r="EV3" s="57"/>
      <c r="EW3" s="57"/>
      <c r="EX3" s="57"/>
      <c r="EY3" s="57"/>
      <c r="EZ3" s="57"/>
      <c r="FA3" s="57"/>
      <c r="FB3" s="57"/>
      <c r="FC3" s="57"/>
      <c r="FD3" s="57"/>
      <c r="FE3" s="57"/>
      <c r="FF3" s="57"/>
      <c r="FG3" s="57"/>
      <c r="FH3" s="57"/>
      <c r="FI3" s="57"/>
      <c r="FJ3" s="57"/>
      <c r="FK3" s="57"/>
      <c r="FL3" s="57"/>
      <c r="FM3" s="57"/>
      <c r="FN3" s="126"/>
      <c r="FO3" s="334"/>
      <c r="FP3" s="126"/>
      <c r="FQ3" s="126"/>
      <c r="FR3" s="57"/>
      <c r="FS3" s="57"/>
      <c r="FT3" s="57"/>
      <c r="FU3" s="57"/>
      <c r="FV3" s="57"/>
      <c r="FW3" s="57"/>
      <c r="FX3" s="57"/>
      <c r="FY3" s="57"/>
      <c r="FZ3" s="57"/>
      <c r="GA3" s="57"/>
      <c r="GB3" s="57"/>
      <c r="GC3" s="57"/>
      <c r="GD3" s="57"/>
      <c r="GE3" s="57"/>
      <c r="GF3" s="57"/>
      <c r="GG3" s="57"/>
      <c r="GH3" s="57"/>
      <c r="GI3" s="57"/>
      <c r="GJ3" s="57"/>
      <c r="GK3" s="57"/>
      <c r="GL3" s="57"/>
      <c r="GM3" s="57"/>
      <c r="GV3" s="57"/>
      <c r="HB3" s="57"/>
      <c r="HH3" s="57"/>
      <c r="HI3" s="58"/>
      <c r="HJ3" s="57"/>
      <c r="HK3" s="57"/>
      <c r="HL3" s="58"/>
      <c r="HM3" s="59"/>
      <c r="HN3" s="59"/>
      <c r="HO3" s="59"/>
      <c r="HP3" s="123"/>
      <c r="HQ3" s="123"/>
      <c r="HR3" s="123"/>
      <c r="HS3" s="59"/>
      <c r="HT3" s="59"/>
      <c r="HU3" s="59"/>
      <c r="HV3" s="123"/>
      <c r="HW3" s="123"/>
      <c r="HX3" s="123"/>
      <c r="HY3" s="59"/>
      <c r="HZ3" s="59"/>
      <c r="IA3" s="59"/>
      <c r="IB3" s="123"/>
      <c r="IC3" s="123"/>
      <c r="ID3" s="123"/>
      <c r="IE3" s="123"/>
      <c r="IF3" s="123"/>
      <c r="IG3" s="123"/>
      <c r="IH3" s="60"/>
      <c r="II3" s="59"/>
      <c r="IJ3" s="59"/>
      <c r="IK3" s="59"/>
      <c r="IL3" s="123"/>
      <c r="IM3" s="123"/>
      <c r="IN3" s="123"/>
      <c r="IO3" s="59"/>
      <c r="IP3" s="59"/>
      <c r="IQ3" s="59"/>
      <c r="IR3" s="123"/>
      <c r="IS3" s="123"/>
      <c r="IT3" s="123"/>
      <c r="IU3" s="123"/>
      <c r="IV3" s="123"/>
      <c r="IW3" s="123"/>
      <c r="IX3" s="59"/>
      <c r="IY3" s="59"/>
      <c r="IZ3" s="59"/>
      <c r="JA3" s="123"/>
      <c r="JB3" s="123"/>
      <c r="JC3" s="123"/>
      <c r="JD3" s="123"/>
      <c r="JE3" s="60"/>
      <c r="JF3" s="59"/>
      <c r="JG3" s="59"/>
      <c r="JH3" s="59"/>
      <c r="JI3" s="332"/>
      <c r="JJ3" s="332"/>
      <c r="JK3" s="59"/>
      <c r="JL3" s="59"/>
      <c r="JM3" s="123"/>
      <c r="JN3" s="60"/>
      <c r="JO3" s="59"/>
      <c r="JP3" s="59"/>
      <c r="JQ3" s="123"/>
      <c r="JR3" s="123"/>
      <c r="JS3" s="123"/>
      <c r="JT3" s="123"/>
      <c r="JU3" s="123"/>
      <c r="JV3" s="123"/>
      <c r="JW3" s="123"/>
      <c r="JX3" s="123"/>
      <c r="JY3" s="58"/>
    </row>
    <row r="4" spans="3:285" s="56" customFormat="1" hidden="1">
      <c r="C4" s="57"/>
      <c r="G4" s="62"/>
      <c r="H4" s="62"/>
      <c r="I4" s="62"/>
      <c r="AS4" s="60"/>
      <c r="AU4" s="98"/>
      <c r="AV4" s="57"/>
      <c r="AW4" s="98"/>
      <c r="AX4" s="98"/>
      <c r="AY4" s="98"/>
      <c r="AZ4" s="98"/>
      <c r="BA4" s="57"/>
      <c r="BB4" s="57"/>
      <c r="BC4" s="57"/>
      <c r="BD4" s="57"/>
      <c r="BE4" s="57"/>
      <c r="BF4" s="57"/>
      <c r="BG4" s="57"/>
      <c r="BH4" s="57"/>
      <c r="BI4" s="57"/>
      <c r="BJ4" s="57"/>
      <c r="BK4" s="57"/>
      <c r="BL4" s="57"/>
      <c r="BM4" s="57"/>
      <c r="BN4" s="57"/>
      <c r="BO4" s="57"/>
      <c r="BP4" s="57"/>
      <c r="BQ4" s="57"/>
      <c r="BR4" s="57"/>
      <c r="BS4" s="57"/>
      <c r="BT4" s="57"/>
      <c r="BU4" s="57"/>
      <c r="BV4" s="57"/>
      <c r="BW4" s="57"/>
      <c r="BX4" s="57"/>
      <c r="BY4" s="57"/>
      <c r="BZ4" s="57"/>
      <c r="CA4" s="57"/>
      <c r="CB4" s="57"/>
      <c r="CC4" s="57"/>
      <c r="CD4" s="57"/>
      <c r="CE4" s="57"/>
      <c r="CF4" s="57"/>
      <c r="CG4" s="57"/>
      <c r="CH4" s="57"/>
      <c r="CI4" s="57"/>
      <c r="CJ4" s="55"/>
      <c r="CK4" s="57"/>
      <c r="CL4" s="57"/>
      <c r="CM4" s="57"/>
      <c r="CN4" s="57"/>
      <c r="CO4" s="57"/>
      <c r="CP4" s="57"/>
      <c r="CQ4" s="57"/>
      <c r="CR4" s="57"/>
      <c r="CS4" s="57"/>
      <c r="CT4" s="57"/>
      <c r="CU4" s="57"/>
      <c r="CV4" s="57"/>
      <c r="CW4" s="57"/>
      <c r="CX4" s="57"/>
      <c r="CY4" s="57"/>
      <c r="CZ4" s="57"/>
      <c r="DA4" s="57"/>
      <c r="DB4" s="57"/>
      <c r="DC4" s="57"/>
      <c r="DD4" s="57"/>
      <c r="DE4" s="57"/>
      <c r="DF4" s="57"/>
      <c r="DG4" s="57"/>
      <c r="DH4" s="57"/>
      <c r="DI4" s="57"/>
      <c r="DJ4" s="57"/>
      <c r="DK4" s="57"/>
      <c r="DL4" s="57"/>
      <c r="DM4" s="57"/>
      <c r="DN4" s="57"/>
      <c r="DO4" s="57"/>
      <c r="DP4" s="57"/>
      <c r="DQ4" s="57"/>
      <c r="DR4" s="57"/>
      <c r="DS4" s="57"/>
      <c r="DT4" s="57"/>
      <c r="DU4" s="57"/>
      <c r="DV4" s="57"/>
      <c r="DW4" s="57"/>
      <c r="DX4" s="331"/>
      <c r="DY4" s="57"/>
      <c r="DZ4" s="57"/>
      <c r="EA4" s="57"/>
      <c r="EB4" s="57"/>
      <c r="EC4" s="57"/>
      <c r="ED4" s="57"/>
      <c r="EE4" s="57"/>
      <c r="EF4" s="57"/>
      <c r="EG4" s="57"/>
      <c r="EH4" s="57"/>
      <c r="EI4" s="57"/>
      <c r="EJ4" s="57"/>
      <c r="EK4" s="57"/>
      <c r="EL4" s="57"/>
      <c r="EM4" s="57"/>
      <c r="EN4" s="57"/>
      <c r="EO4" s="57"/>
      <c r="EP4" s="57"/>
      <c r="EQ4" s="57"/>
      <c r="ER4" s="57"/>
      <c r="ES4" s="57"/>
      <c r="ET4" s="57"/>
      <c r="EU4" s="57"/>
      <c r="EV4" s="57"/>
      <c r="EW4" s="57"/>
      <c r="EX4" s="57"/>
      <c r="EY4" s="57"/>
      <c r="EZ4" s="57"/>
      <c r="FA4" s="57"/>
      <c r="FB4" s="57"/>
      <c r="FC4" s="57"/>
      <c r="FD4" s="57"/>
      <c r="FE4" s="57"/>
      <c r="FF4" s="57"/>
      <c r="FG4" s="57"/>
      <c r="FH4" s="57"/>
      <c r="FI4" s="57"/>
      <c r="FJ4" s="57"/>
      <c r="FK4" s="57"/>
      <c r="FL4" s="57"/>
      <c r="FM4" s="57"/>
      <c r="FN4" s="57"/>
      <c r="FO4" s="57"/>
      <c r="FP4" s="57"/>
      <c r="FQ4" s="57"/>
      <c r="FR4" s="57"/>
      <c r="FS4" s="57"/>
      <c r="FT4" s="57"/>
      <c r="FU4" s="57"/>
      <c r="FV4" s="57"/>
      <c r="FW4" s="57"/>
      <c r="FX4" s="57"/>
      <c r="FY4" s="57"/>
      <c r="FZ4" s="57"/>
      <c r="GA4" s="57"/>
      <c r="GB4" s="57"/>
      <c r="GC4" s="57"/>
      <c r="GD4" s="57"/>
      <c r="GE4" s="57"/>
      <c r="GF4" s="57"/>
      <c r="GG4" s="57"/>
      <c r="GH4" s="57"/>
      <c r="GI4" s="57"/>
      <c r="GJ4" s="57"/>
      <c r="GK4" s="57"/>
      <c r="GL4" s="57"/>
      <c r="GM4" s="57"/>
      <c r="GV4" s="57"/>
      <c r="HB4" s="57"/>
      <c r="HH4" s="57"/>
      <c r="HI4" s="58"/>
      <c r="HJ4" s="57"/>
      <c r="HK4" s="57"/>
      <c r="HL4" s="58"/>
      <c r="HM4" s="59"/>
      <c r="HN4" s="59"/>
      <c r="HO4" s="59"/>
      <c r="HP4" s="123"/>
      <c r="HQ4" s="123"/>
      <c r="HR4" s="123"/>
      <c r="HS4" s="59"/>
      <c r="HT4" s="59"/>
      <c r="HU4" s="59"/>
      <c r="HV4" s="123"/>
      <c r="HW4" s="123"/>
      <c r="HX4" s="123"/>
      <c r="HY4" s="59"/>
      <c r="HZ4" s="59"/>
      <c r="IA4" s="59"/>
      <c r="IB4" s="123"/>
      <c r="IC4" s="123"/>
      <c r="ID4" s="123"/>
      <c r="IE4" s="123"/>
      <c r="IF4" s="123"/>
      <c r="IG4" s="123"/>
      <c r="IH4" s="60"/>
      <c r="II4" s="59"/>
      <c r="IJ4" s="59"/>
      <c r="IK4" s="59"/>
      <c r="IL4" s="123"/>
      <c r="IM4" s="123"/>
      <c r="IN4" s="123"/>
      <c r="IO4" s="59"/>
      <c r="IP4" s="59"/>
      <c r="IQ4" s="59"/>
      <c r="IR4" s="123"/>
      <c r="IS4" s="123"/>
      <c r="IT4" s="123"/>
      <c r="IU4" s="123"/>
      <c r="IV4" s="123"/>
      <c r="IW4" s="123"/>
      <c r="IX4" s="59"/>
      <c r="IY4" s="59"/>
      <c r="IZ4" s="59"/>
      <c r="JA4" s="123"/>
      <c r="JB4" s="123"/>
      <c r="JC4" s="123"/>
      <c r="JD4" s="123"/>
      <c r="JE4" s="60"/>
      <c r="JF4" s="59"/>
      <c r="JG4" s="59"/>
      <c r="JH4" s="59"/>
      <c r="JI4" s="59"/>
      <c r="JJ4" s="332"/>
      <c r="JK4" s="59"/>
      <c r="JL4" s="59"/>
      <c r="JM4" s="123"/>
      <c r="JN4" s="60"/>
      <c r="JO4" s="59"/>
      <c r="JP4" s="59"/>
      <c r="JQ4" s="123"/>
      <c r="JR4" s="123"/>
      <c r="JS4" s="123"/>
      <c r="JT4" s="123"/>
      <c r="JU4" s="123"/>
      <c r="JV4" s="123"/>
      <c r="JW4" s="123"/>
      <c r="JX4" s="123"/>
      <c r="JY4" s="58"/>
    </row>
    <row r="5" spans="3:285" hidden="1"/>
    <row r="6" spans="3:285" hidden="1">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336"/>
      <c r="AT6" s="58"/>
      <c r="AV6" s="123"/>
      <c r="DY6" s="64"/>
      <c r="EY6" s="501"/>
      <c r="HM6" s="1121"/>
      <c r="HN6" s="1121"/>
      <c r="HO6" s="1121"/>
      <c r="HP6" s="1121"/>
      <c r="HQ6" s="1121"/>
      <c r="HR6" s="1121"/>
      <c r="HS6" s="1121"/>
      <c r="HT6" s="1121"/>
      <c r="HU6" s="1121"/>
      <c r="HV6" s="1121"/>
      <c r="HW6" s="1121"/>
      <c r="HX6" s="1121"/>
      <c r="HY6" s="1121"/>
      <c r="HZ6" s="1121"/>
      <c r="IA6" s="1121"/>
      <c r="IB6" s="1121"/>
      <c r="IC6" s="1121"/>
      <c r="ID6" s="1121"/>
      <c r="IE6" s="1121"/>
      <c r="IF6" s="1121"/>
      <c r="IG6" s="1121"/>
      <c r="II6" s="495"/>
      <c r="JA6" s="58"/>
      <c r="JK6" s="495"/>
      <c r="JO6" s="495"/>
      <c r="JQ6" s="58"/>
    </row>
    <row r="7" spans="3:285" hidden="1">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336"/>
      <c r="AT7" s="58"/>
      <c r="AV7" s="123"/>
      <c r="DY7" s="64"/>
      <c r="EY7" s="501"/>
      <c r="HM7" s="550"/>
      <c r="HN7" s="550"/>
      <c r="HO7" s="550"/>
      <c r="HP7" s="550"/>
      <c r="HQ7" s="550"/>
      <c r="HR7" s="550"/>
      <c r="HS7" s="550"/>
      <c r="HT7" s="550"/>
      <c r="HU7" s="550"/>
      <c r="HV7" s="550"/>
      <c r="HW7" s="550"/>
      <c r="HX7" s="550"/>
      <c r="HY7" s="550"/>
      <c r="HZ7" s="550"/>
      <c r="IA7" s="550"/>
      <c r="IB7" s="550"/>
      <c r="IC7" s="550"/>
      <c r="ID7" s="550"/>
      <c r="IE7" s="550"/>
      <c r="IF7" s="550"/>
      <c r="IG7" s="550"/>
      <c r="II7" s="550"/>
      <c r="JA7" s="58"/>
      <c r="JK7" s="550"/>
      <c r="JO7" s="550"/>
      <c r="JQ7" s="58"/>
    </row>
    <row r="8" spans="3:285" hidden="1">
      <c r="C8" s="500"/>
      <c r="D8" s="500"/>
      <c r="E8" s="500"/>
      <c r="F8" s="500"/>
      <c r="G8" s="500"/>
      <c r="H8" s="500"/>
      <c r="I8" s="500"/>
      <c r="J8" s="500"/>
      <c r="K8" s="500"/>
      <c r="L8" s="500"/>
      <c r="M8" s="500"/>
      <c r="N8" s="500"/>
      <c r="O8" s="500"/>
      <c r="P8" s="500"/>
      <c r="Q8" s="500"/>
      <c r="R8" s="500"/>
      <c r="S8" s="500"/>
      <c r="T8" s="500"/>
      <c r="U8" s="500"/>
      <c r="V8" s="500"/>
      <c r="W8" s="500"/>
      <c r="X8" s="500"/>
      <c r="Y8" s="500"/>
      <c r="Z8" s="500"/>
      <c r="AA8" s="500"/>
      <c r="AB8" s="500"/>
      <c r="AC8" s="500"/>
      <c r="AD8" s="500"/>
      <c r="AE8" s="500"/>
      <c r="AF8" s="500"/>
      <c r="AG8" s="500"/>
      <c r="AH8" s="500"/>
      <c r="AI8" s="500"/>
      <c r="AJ8" s="500"/>
      <c r="AK8" s="500"/>
      <c r="AL8" s="500"/>
      <c r="AM8" s="500"/>
      <c r="AN8" s="500"/>
      <c r="AO8" s="500"/>
      <c r="AP8" s="500"/>
      <c r="AQ8" s="500"/>
      <c r="AR8" s="500"/>
      <c r="AS8" s="336"/>
      <c r="AT8" s="58"/>
      <c r="AV8" s="123"/>
      <c r="DY8" s="64"/>
      <c r="EY8" s="501"/>
      <c r="HM8" s="550"/>
      <c r="HN8" s="550"/>
      <c r="HO8" s="550"/>
      <c r="HP8" s="550"/>
      <c r="HQ8" s="550"/>
      <c r="HR8" s="550"/>
      <c r="HS8" s="550"/>
      <c r="HT8" s="550"/>
      <c r="HU8" s="550"/>
      <c r="HV8" s="550"/>
      <c r="HW8" s="550"/>
      <c r="HX8" s="550"/>
      <c r="HY8" s="550"/>
      <c r="HZ8" s="550"/>
      <c r="IA8" s="550"/>
      <c r="IB8" s="550"/>
      <c r="IC8" s="550"/>
      <c r="ID8" s="550"/>
      <c r="IE8" s="550"/>
      <c r="IF8" s="550"/>
      <c r="IG8" s="550"/>
      <c r="II8" s="550"/>
      <c r="JA8" s="58"/>
      <c r="JK8" s="550"/>
      <c r="JO8" s="550"/>
      <c r="JQ8" s="58"/>
    </row>
    <row r="9" spans="3:285" hidden="1">
      <c r="C9" s="500"/>
      <c r="D9" s="500"/>
      <c r="E9" s="500"/>
      <c r="F9" s="500"/>
      <c r="G9" s="500"/>
      <c r="H9" s="500"/>
      <c r="I9" s="500"/>
      <c r="J9" s="500"/>
      <c r="K9" s="500"/>
      <c r="L9" s="500"/>
      <c r="M9" s="500"/>
      <c r="N9" s="500"/>
      <c r="O9" s="500"/>
      <c r="P9" s="500"/>
      <c r="Q9" s="500"/>
      <c r="R9" s="500"/>
      <c r="S9" s="500"/>
      <c r="T9" s="500"/>
      <c r="U9" s="500"/>
      <c r="V9" s="500"/>
      <c r="W9" s="500"/>
      <c r="X9" s="500"/>
      <c r="Y9" s="500"/>
      <c r="Z9" s="500"/>
      <c r="AA9" s="500"/>
      <c r="AB9" s="500"/>
      <c r="AC9" s="500"/>
      <c r="AD9" s="500"/>
      <c r="AE9" s="500"/>
      <c r="AF9" s="500"/>
      <c r="AG9" s="500"/>
      <c r="AH9" s="500"/>
      <c r="AI9" s="500"/>
      <c r="AJ9" s="500"/>
      <c r="AK9" s="500"/>
      <c r="AL9" s="500"/>
      <c r="AM9" s="500"/>
      <c r="AN9" s="500"/>
      <c r="AO9" s="500"/>
      <c r="AP9" s="500"/>
      <c r="AQ9" s="500"/>
      <c r="AR9" s="500"/>
      <c r="AS9" s="336"/>
      <c r="AT9" s="58"/>
      <c r="AV9" s="123"/>
      <c r="DY9" s="64"/>
      <c r="EY9" s="501"/>
      <c r="HM9" s="550"/>
      <c r="HN9" s="550"/>
      <c r="HO9" s="550"/>
      <c r="HP9" s="550"/>
      <c r="HQ9" s="550"/>
      <c r="HR9" s="550"/>
      <c r="HS9" s="550"/>
      <c r="HT9" s="550"/>
      <c r="HU9" s="550"/>
      <c r="HV9" s="550"/>
      <c r="HW9" s="550"/>
      <c r="HX9" s="550"/>
      <c r="HY9" s="550"/>
      <c r="HZ9" s="550"/>
      <c r="IA9" s="550"/>
      <c r="IB9" s="550"/>
      <c r="IC9" s="550"/>
      <c r="ID9" s="550"/>
      <c r="IE9" s="550"/>
      <c r="IF9" s="550"/>
      <c r="IG9" s="550"/>
      <c r="II9" s="550"/>
      <c r="JA9" s="58"/>
      <c r="JK9" s="550"/>
      <c r="JO9" s="550"/>
      <c r="JQ9" s="58"/>
    </row>
    <row r="10" spans="3:285" hidden="1">
      <c r="C10" s="500"/>
      <c r="D10" s="500"/>
      <c r="E10" s="500"/>
      <c r="F10" s="500"/>
      <c r="G10" s="500"/>
      <c r="H10" s="500"/>
      <c r="I10" s="500"/>
      <c r="J10" s="500"/>
      <c r="K10" s="500"/>
      <c r="L10" s="500"/>
      <c r="M10" s="500"/>
      <c r="N10" s="500"/>
      <c r="O10" s="500"/>
      <c r="P10" s="500"/>
      <c r="Q10" s="500"/>
      <c r="R10" s="500"/>
      <c r="S10" s="500"/>
      <c r="T10" s="500"/>
      <c r="U10" s="500"/>
      <c r="V10" s="500"/>
      <c r="W10" s="500"/>
      <c r="X10" s="500"/>
      <c r="Y10" s="500"/>
      <c r="Z10" s="500"/>
      <c r="AA10" s="500"/>
      <c r="AB10" s="500"/>
      <c r="AC10" s="500"/>
      <c r="AD10" s="500"/>
      <c r="AE10" s="500"/>
      <c r="AF10" s="500"/>
      <c r="AG10" s="500"/>
      <c r="AH10" s="500"/>
      <c r="AI10" s="500"/>
      <c r="AJ10" s="500"/>
      <c r="AK10" s="500"/>
      <c r="AL10" s="500"/>
      <c r="AM10" s="500"/>
      <c r="AN10" s="500"/>
      <c r="AO10" s="500"/>
      <c r="AP10" s="500"/>
      <c r="AQ10" s="500"/>
      <c r="AR10" s="500"/>
      <c r="AS10" s="336"/>
      <c r="AT10" s="58"/>
      <c r="AV10" s="123"/>
      <c r="DY10" s="64"/>
      <c r="EY10" s="501"/>
      <c r="HM10" s="550"/>
      <c r="HN10" s="550"/>
      <c r="HO10" s="550"/>
      <c r="HP10" s="550"/>
      <c r="HQ10" s="550"/>
      <c r="HR10" s="550"/>
      <c r="HS10" s="550"/>
      <c r="HT10" s="550"/>
      <c r="HU10" s="550"/>
      <c r="HV10" s="550"/>
      <c r="HW10" s="550"/>
      <c r="HX10" s="550"/>
      <c r="HY10" s="550"/>
      <c r="HZ10" s="550"/>
      <c r="IA10" s="550"/>
      <c r="IB10" s="550"/>
      <c r="IC10" s="550"/>
      <c r="ID10" s="550"/>
      <c r="IE10" s="550"/>
      <c r="IF10" s="550"/>
      <c r="IG10" s="550"/>
      <c r="II10" s="550"/>
      <c r="JA10" s="58"/>
      <c r="JK10" s="550"/>
      <c r="JO10" s="550"/>
      <c r="JQ10" s="58"/>
    </row>
    <row r="11" spans="3:285" hidden="1">
      <c r="C11" s="500"/>
      <c r="D11" s="500"/>
      <c r="E11" s="500"/>
      <c r="F11" s="500"/>
      <c r="G11" s="500"/>
      <c r="H11" s="500"/>
      <c r="I11" s="500"/>
      <c r="J11" s="500"/>
      <c r="K11" s="500"/>
      <c r="L11" s="500"/>
      <c r="M11" s="500"/>
      <c r="N11" s="500"/>
      <c r="O11" s="500"/>
      <c r="P11" s="500"/>
      <c r="Q11" s="500"/>
      <c r="R11" s="500"/>
      <c r="S11" s="500"/>
      <c r="T11" s="500"/>
      <c r="U11" s="500"/>
      <c r="V11" s="500"/>
      <c r="W11" s="500"/>
      <c r="X11" s="500"/>
      <c r="Y11" s="500"/>
      <c r="Z11" s="500"/>
      <c r="AA11" s="500"/>
      <c r="AB11" s="500"/>
      <c r="AC11" s="500"/>
      <c r="AD11" s="500"/>
      <c r="AE11" s="500"/>
      <c r="AF11" s="500"/>
      <c r="AG11" s="500"/>
      <c r="AH11" s="500"/>
      <c r="AI11" s="500"/>
      <c r="AJ11" s="500"/>
      <c r="AK11" s="500"/>
      <c r="AL11" s="500"/>
      <c r="AM11" s="500"/>
      <c r="AN11" s="500"/>
      <c r="AO11" s="500"/>
      <c r="AP11" s="500"/>
      <c r="AQ11" s="500"/>
      <c r="AR11" s="500"/>
      <c r="AS11" s="336"/>
      <c r="AT11" s="58"/>
      <c r="AV11" s="123"/>
      <c r="DY11" s="64"/>
      <c r="EY11" s="501"/>
      <c r="HM11" s="550"/>
      <c r="HN11" s="550"/>
      <c r="HO11" s="550"/>
      <c r="HP11" s="550"/>
      <c r="HQ11" s="550"/>
      <c r="HR11" s="550"/>
      <c r="HS11" s="550"/>
      <c r="HT11" s="550"/>
      <c r="HU11" s="550"/>
      <c r="HV11" s="550"/>
      <c r="HW11" s="550"/>
      <c r="HX11" s="550"/>
      <c r="HY11" s="550"/>
      <c r="HZ11" s="550"/>
      <c r="IA11" s="550"/>
      <c r="IB11" s="550"/>
      <c r="IC11" s="550"/>
      <c r="ID11" s="550"/>
      <c r="IE11" s="550"/>
      <c r="IF11" s="550"/>
      <c r="IG11" s="550"/>
      <c r="II11" s="550"/>
      <c r="JA11" s="58"/>
      <c r="JK11" s="550"/>
      <c r="JO11" s="550"/>
      <c r="JQ11" s="58"/>
    </row>
    <row r="12" spans="3:285" hidden="1">
      <c r="C12" s="500"/>
      <c r="D12" s="500"/>
      <c r="E12" s="500"/>
      <c r="F12" s="500"/>
      <c r="G12" s="500"/>
      <c r="H12" s="500"/>
      <c r="I12" s="500"/>
      <c r="J12" s="500"/>
      <c r="K12" s="500"/>
      <c r="L12" s="500"/>
      <c r="M12" s="500"/>
      <c r="N12" s="500"/>
      <c r="O12" s="500"/>
      <c r="P12" s="500"/>
      <c r="Q12" s="500"/>
      <c r="R12" s="500"/>
      <c r="S12" s="500"/>
      <c r="T12" s="500"/>
      <c r="U12" s="500"/>
      <c r="V12" s="500"/>
      <c r="W12" s="500"/>
      <c r="X12" s="500"/>
      <c r="Y12" s="500"/>
      <c r="Z12" s="500"/>
      <c r="AA12" s="500"/>
      <c r="AB12" s="500"/>
      <c r="AC12" s="500"/>
      <c r="AD12" s="500"/>
      <c r="AE12" s="500"/>
      <c r="AF12" s="500"/>
      <c r="AG12" s="500"/>
      <c r="AH12" s="500"/>
      <c r="AI12" s="500"/>
      <c r="AJ12" s="500"/>
      <c r="AK12" s="500"/>
      <c r="AL12" s="500"/>
      <c r="AM12" s="500"/>
      <c r="AN12" s="500"/>
      <c r="AO12" s="500"/>
      <c r="AP12" s="500"/>
      <c r="AQ12" s="500"/>
      <c r="AR12" s="500"/>
      <c r="AS12" s="336"/>
      <c r="AT12" s="58"/>
      <c r="AV12" s="123"/>
      <c r="DY12" s="64"/>
      <c r="EY12" s="501"/>
      <c r="HM12" s="550"/>
      <c r="HN12" s="550"/>
      <c r="HO12" s="550"/>
      <c r="HP12" s="550"/>
      <c r="HQ12" s="550"/>
      <c r="HR12" s="550"/>
      <c r="HS12" s="550"/>
      <c r="HT12" s="550"/>
      <c r="HU12" s="550"/>
      <c r="HV12" s="550"/>
      <c r="HW12" s="550"/>
      <c r="HX12" s="550"/>
      <c r="HY12" s="550"/>
      <c r="HZ12" s="550"/>
      <c r="IA12" s="550"/>
      <c r="IB12" s="550"/>
      <c r="IC12" s="550"/>
      <c r="ID12" s="550"/>
      <c r="IE12" s="550"/>
      <c r="IF12" s="550"/>
      <c r="IG12" s="550"/>
      <c r="II12" s="550"/>
      <c r="JA12" s="58"/>
      <c r="JK12" s="550"/>
      <c r="JO12" s="550"/>
      <c r="JQ12" s="58"/>
    </row>
    <row r="13" spans="3:285" hidden="1">
      <c r="C13" s="500"/>
      <c r="D13" s="500"/>
      <c r="E13" s="500"/>
      <c r="F13" s="500"/>
      <c r="G13" s="500"/>
      <c r="H13" s="500"/>
      <c r="I13" s="500"/>
      <c r="J13" s="500"/>
      <c r="K13" s="500"/>
      <c r="L13" s="500"/>
      <c r="M13" s="500"/>
      <c r="N13" s="500"/>
      <c r="O13" s="500"/>
      <c r="P13" s="500"/>
      <c r="Q13" s="500"/>
      <c r="R13" s="500"/>
      <c r="S13" s="500"/>
      <c r="T13" s="500"/>
      <c r="U13" s="500"/>
      <c r="V13" s="500"/>
      <c r="W13" s="500"/>
      <c r="X13" s="500"/>
      <c r="Y13" s="500"/>
      <c r="Z13" s="500"/>
      <c r="AA13" s="500"/>
      <c r="AB13" s="500"/>
      <c r="AC13" s="500"/>
      <c r="AD13" s="500"/>
      <c r="AE13" s="500"/>
      <c r="AF13" s="500"/>
      <c r="AG13" s="500"/>
      <c r="AH13" s="500"/>
      <c r="AI13" s="500"/>
      <c r="AJ13" s="500"/>
      <c r="AK13" s="500"/>
      <c r="AL13" s="500"/>
      <c r="AM13" s="500"/>
      <c r="AN13" s="500"/>
      <c r="AO13" s="500"/>
      <c r="AP13" s="500"/>
      <c r="AQ13" s="500"/>
      <c r="AR13" s="500"/>
      <c r="AS13" s="336"/>
      <c r="AT13" s="58"/>
      <c r="AV13" s="123"/>
      <c r="DY13" s="64"/>
      <c r="EY13" s="501"/>
      <c r="HM13" s="550"/>
      <c r="HN13" s="550"/>
      <c r="HO13" s="550"/>
      <c r="HP13" s="550"/>
      <c r="HQ13" s="550"/>
      <c r="HR13" s="550"/>
      <c r="HS13" s="550"/>
      <c r="HT13" s="550"/>
      <c r="HU13" s="550"/>
      <c r="HV13" s="550"/>
      <c r="HW13" s="550"/>
      <c r="HX13" s="550"/>
      <c r="HY13" s="550"/>
      <c r="HZ13" s="550"/>
      <c r="IA13" s="550"/>
      <c r="IB13" s="550"/>
      <c r="IC13" s="550"/>
      <c r="ID13" s="550"/>
      <c r="IE13" s="550"/>
      <c r="IF13" s="550"/>
      <c r="IG13" s="550"/>
      <c r="II13" s="550"/>
      <c r="JA13" s="58"/>
      <c r="JK13" s="550"/>
      <c r="JO13" s="550"/>
      <c r="JQ13" s="58"/>
    </row>
    <row r="14" spans="3:285" hidden="1">
      <c r="C14" s="500"/>
      <c r="D14" s="500"/>
      <c r="E14" s="500"/>
      <c r="F14" s="500"/>
      <c r="G14" s="500"/>
      <c r="H14" s="500"/>
      <c r="I14" s="500"/>
      <c r="J14" s="500"/>
      <c r="K14" s="500"/>
      <c r="L14" s="500"/>
      <c r="M14" s="500"/>
      <c r="N14" s="500"/>
      <c r="O14" s="500"/>
      <c r="P14" s="500"/>
      <c r="Q14" s="500"/>
      <c r="R14" s="500"/>
      <c r="S14" s="500"/>
      <c r="T14" s="500"/>
      <c r="U14" s="500"/>
      <c r="V14" s="500"/>
      <c r="W14" s="500"/>
      <c r="X14" s="500"/>
      <c r="Y14" s="500"/>
      <c r="Z14" s="500"/>
      <c r="AA14" s="500"/>
      <c r="AB14" s="500"/>
      <c r="AC14" s="500"/>
      <c r="AD14" s="500"/>
      <c r="AE14" s="500"/>
      <c r="AF14" s="500"/>
      <c r="AG14" s="500"/>
      <c r="AH14" s="500"/>
      <c r="AI14" s="500"/>
      <c r="AJ14" s="500"/>
      <c r="AK14" s="500"/>
      <c r="AL14" s="500"/>
      <c r="AM14" s="500"/>
      <c r="AN14" s="500"/>
      <c r="AO14" s="500"/>
      <c r="AP14" s="500"/>
      <c r="AQ14" s="500"/>
      <c r="AR14" s="500"/>
      <c r="AS14" s="336"/>
      <c r="AT14" s="58"/>
      <c r="AV14" s="123"/>
      <c r="DY14" s="64"/>
      <c r="EY14" s="501"/>
      <c r="HM14" s="550"/>
      <c r="HN14" s="550"/>
      <c r="HO14" s="550"/>
      <c r="HP14" s="550"/>
      <c r="HQ14" s="550"/>
      <c r="HR14" s="550"/>
      <c r="HS14" s="550"/>
      <c r="HT14" s="550"/>
      <c r="HU14" s="550"/>
      <c r="HV14" s="550"/>
      <c r="HW14" s="550"/>
      <c r="HX14" s="550"/>
      <c r="HY14" s="550"/>
      <c r="HZ14" s="550"/>
      <c r="IA14" s="550"/>
      <c r="IB14" s="550"/>
      <c r="IC14" s="550"/>
      <c r="ID14" s="550"/>
      <c r="IE14" s="550"/>
      <c r="IF14" s="550"/>
      <c r="IG14" s="550"/>
      <c r="II14" s="550"/>
      <c r="JA14" s="58"/>
      <c r="JK14" s="550"/>
      <c r="JO14" s="550"/>
      <c r="JQ14" s="58"/>
    </row>
    <row r="15" spans="3:285" hidden="1">
      <c r="C15" s="500"/>
      <c r="D15" s="500"/>
      <c r="E15" s="500"/>
      <c r="F15" s="500"/>
      <c r="G15" s="500"/>
      <c r="H15" s="500"/>
      <c r="I15" s="500"/>
      <c r="J15" s="500"/>
      <c r="K15" s="500"/>
      <c r="L15" s="500"/>
      <c r="M15" s="500"/>
      <c r="N15" s="500"/>
      <c r="O15" s="500"/>
      <c r="P15" s="500"/>
      <c r="Q15" s="500"/>
      <c r="R15" s="500"/>
      <c r="S15" s="500"/>
      <c r="T15" s="500"/>
      <c r="U15" s="500"/>
      <c r="V15" s="500"/>
      <c r="W15" s="500"/>
      <c r="X15" s="500"/>
      <c r="Y15" s="500"/>
      <c r="Z15" s="500"/>
      <c r="AA15" s="500"/>
      <c r="AB15" s="500"/>
      <c r="AC15" s="500"/>
      <c r="AD15" s="500"/>
      <c r="AE15" s="500"/>
      <c r="AF15" s="500"/>
      <c r="AG15" s="500"/>
      <c r="AH15" s="500"/>
      <c r="AI15" s="500"/>
      <c r="AJ15" s="500"/>
      <c r="AK15" s="500"/>
      <c r="AL15" s="500"/>
      <c r="AM15" s="500"/>
      <c r="AN15" s="500"/>
      <c r="AO15" s="500"/>
      <c r="AP15" s="500"/>
      <c r="AQ15" s="500"/>
      <c r="AR15" s="500"/>
      <c r="AS15" s="336"/>
      <c r="AT15" s="58"/>
      <c r="AV15" s="123"/>
      <c r="DY15" s="64"/>
      <c r="EY15" s="501"/>
      <c r="HM15" s="550"/>
      <c r="HN15" s="550"/>
      <c r="HO15" s="550"/>
      <c r="HP15" s="550"/>
      <c r="HQ15" s="550"/>
      <c r="HR15" s="550"/>
      <c r="HS15" s="550"/>
      <c r="HT15" s="550"/>
      <c r="HU15" s="550"/>
      <c r="HV15" s="550"/>
      <c r="HW15" s="550"/>
      <c r="HX15" s="550"/>
      <c r="HY15" s="550"/>
      <c r="HZ15" s="550"/>
      <c r="IA15" s="550"/>
      <c r="IB15" s="550"/>
      <c r="IC15" s="550"/>
      <c r="ID15" s="550"/>
      <c r="IE15" s="550"/>
      <c r="IF15" s="550"/>
      <c r="IG15" s="550"/>
      <c r="II15" s="550"/>
      <c r="JA15" s="58"/>
      <c r="JK15" s="550"/>
      <c r="JO15" s="550"/>
      <c r="JQ15" s="58"/>
    </row>
    <row r="16" spans="3:285" hidden="1">
      <c r="C16" s="500"/>
      <c r="D16" s="500"/>
      <c r="E16" s="500"/>
      <c r="F16" s="500"/>
      <c r="G16" s="500"/>
      <c r="H16" s="500"/>
      <c r="I16" s="500"/>
      <c r="J16" s="500"/>
      <c r="K16" s="500"/>
      <c r="L16" s="500"/>
      <c r="M16" s="500"/>
      <c r="N16" s="500"/>
      <c r="O16" s="500"/>
      <c r="P16" s="500"/>
      <c r="Q16" s="500"/>
      <c r="R16" s="500"/>
      <c r="S16" s="500"/>
      <c r="T16" s="500"/>
      <c r="U16" s="500"/>
      <c r="V16" s="500"/>
      <c r="W16" s="500"/>
      <c r="X16" s="500"/>
      <c r="Y16" s="500"/>
      <c r="Z16" s="500"/>
      <c r="AA16" s="500"/>
      <c r="AB16" s="500"/>
      <c r="AC16" s="500"/>
      <c r="AD16" s="500"/>
      <c r="AE16" s="500"/>
      <c r="AF16" s="500"/>
      <c r="AG16" s="500"/>
      <c r="AH16" s="500"/>
      <c r="AI16" s="500"/>
      <c r="AJ16" s="500"/>
      <c r="AK16" s="500"/>
      <c r="AL16" s="500"/>
      <c r="AM16" s="500"/>
      <c r="AN16" s="500"/>
      <c r="AO16" s="500"/>
      <c r="AP16" s="500"/>
      <c r="AQ16" s="500"/>
      <c r="AR16" s="500"/>
      <c r="AS16" s="336"/>
      <c r="AT16" s="58"/>
      <c r="AV16" s="123"/>
      <c r="DY16" s="64"/>
      <c r="EY16" s="501"/>
      <c r="HM16" s="550"/>
      <c r="HN16" s="550"/>
      <c r="HO16" s="550"/>
      <c r="HP16" s="550"/>
      <c r="HQ16" s="550"/>
      <c r="HR16" s="550"/>
      <c r="HS16" s="550"/>
      <c r="HT16" s="550"/>
      <c r="HU16" s="550"/>
      <c r="HV16" s="550"/>
      <c r="HW16" s="550"/>
      <c r="HX16" s="550"/>
      <c r="HY16" s="550"/>
      <c r="HZ16" s="550"/>
      <c r="IA16" s="550"/>
      <c r="IB16" s="550"/>
      <c r="IC16" s="550"/>
      <c r="ID16" s="550"/>
      <c r="IE16" s="550"/>
      <c r="IF16" s="550"/>
      <c r="IG16" s="550"/>
      <c r="II16" s="550"/>
      <c r="JA16" s="58"/>
      <c r="JK16" s="550"/>
      <c r="JO16" s="550"/>
      <c r="JQ16" s="58"/>
    </row>
    <row r="17" spans="3:277" hidden="1">
      <c r="C17" s="500"/>
      <c r="D17" s="500"/>
      <c r="E17" s="500"/>
      <c r="F17" s="500"/>
      <c r="G17" s="500"/>
      <c r="H17" s="500"/>
      <c r="I17" s="500"/>
      <c r="J17" s="500"/>
      <c r="K17" s="500"/>
      <c r="L17" s="500"/>
      <c r="M17" s="500"/>
      <c r="N17" s="500"/>
      <c r="O17" s="500"/>
      <c r="P17" s="500"/>
      <c r="Q17" s="500"/>
      <c r="R17" s="500"/>
      <c r="S17" s="500"/>
      <c r="T17" s="500"/>
      <c r="U17" s="500"/>
      <c r="V17" s="500"/>
      <c r="W17" s="500"/>
      <c r="X17" s="500"/>
      <c r="Y17" s="500"/>
      <c r="Z17" s="500"/>
      <c r="AA17" s="500"/>
      <c r="AB17" s="500"/>
      <c r="AC17" s="500"/>
      <c r="AD17" s="500"/>
      <c r="AE17" s="500"/>
      <c r="AF17" s="500"/>
      <c r="AG17" s="500"/>
      <c r="AH17" s="500"/>
      <c r="AI17" s="500"/>
      <c r="AJ17" s="500"/>
      <c r="AK17" s="500"/>
      <c r="AL17" s="500"/>
      <c r="AM17" s="500"/>
      <c r="AN17" s="500"/>
      <c r="AO17" s="500"/>
      <c r="AP17" s="500"/>
      <c r="AQ17" s="500"/>
      <c r="AR17" s="500"/>
      <c r="AS17" s="336"/>
      <c r="AT17" s="58"/>
      <c r="AV17" s="123"/>
      <c r="DY17" s="64"/>
      <c r="EY17" s="501"/>
      <c r="HM17" s="550"/>
      <c r="HN17" s="550"/>
      <c r="HO17" s="550"/>
      <c r="HP17" s="550"/>
      <c r="HQ17" s="550"/>
      <c r="HR17" s="550"/>
      <c r="HS17" s="550"/>
      <c r="HT17" s="550"/>
      <c r="HU17" s="550"/>
      <c r="HV17" s="550"/>
      <c r="HW17" s="550"/>
      <c r="HX17" s="550"/>
      <c r="HY17" s="550"/>
      <c r="HZ17" s="550"/>
      <c r="IA17" s="550"/>
      <c r="IB17" s="550"/>
      <c r="IC17" s="550"/>
      <c r="ID17" s="550"/>
      <c r="IE17" s="550"/>
      <c r="IF17" s="550"/>
      <c r="IG17" s="550"/>
      <c r="II17" s="550"/>
      <c r="JA17" s="58"/>
      <c r="JK17" s="550"/>
      <c r="JO17" s="550"/>
      <c r="JQ17" s="58"/>
    </row>
    <row r="18" spans="3:277" hidden="1">
      <c r="C18" s="500"/>
      <c r="D18" s="500"/>
      <c r="E18" s="500"/>
      <c r="F18" s="500"/>
      <c r="G18" s="500"/>
      <c r="H18" s="500"/>
      <c r="I18" s="500"/>
      <c r="J18" s="500"/>
      <c r="K18" s="500"/>
      <c r="L18" s="500"/>
      <c r="M18" s="500"/>
      <c r="N18" s="500"/>
      <c r="O18" s="500"/>
      <c r="P18" s="500"/>
      <c r="Q18" s="500"/>
      <c r="R18" s="500"/>
      <c r="S18" s="500"/>
      <c r="T18" s="500"/>
      <c r="U18" s="500"/>
      <c r="V18" s="500"/>
      <c r="W18" s="500"/>
      <c r="X18" s="500"/>
      <c r="Y18" s="500"/>
      <c r="Z18" s="500"/>
      <c r="AA18" s="500"/>
      <c r="AB18" s="500"/>
      <c r="AC18" s="500"/>
      <c r="AD18" s="500"/>
      <c r="AE18" s="500"/>
      <c r="AF18" s="500"/>
      <c r="AG18" s="500"/>
      <c r="AH18" s="500"/>
      <c r="AI18" s="500"/>
      <c r="AJ18" s="500"/>
      <c r="AK18" s="500"/>
      <c r="AL18" s="500"/>
      <c r="AM18" s="500"/>
      <c r="AN18" s="500"/>
      <c r="AO18" s="500"/>
      <c r="AP18" s="500"/>
      <c r="AQ18" s="500"/>
      <c r="AR18" s="500"/>
      <c r="AS18" s="336"/>
      <c r="AT18" s="58"/>
      <c r="AV18" s="123"/>
      <c r="DY18" s="64"/>
      <c r="EY18" s="501"/>
      <c r="HM18" s="550"/>
      <c r="HN18" s="550"/>
      <c r="HO18" s="550"/>
      <c r="HP18" s="550"/>
      <c r="HQ18" s="550"/>
      <c r="HR18" s="550"/>
      <c r="HS18" s="550"/>
      <c r="HT18" s="550"/>
      <c r="HU18" s="550"/>
      <c r="HV18" s="550"/>
      <c r="HW18" s="550"/>
      <c r="HX18" s="550"/>
      <c r="HY18" s="550"/>
      <c r="HZ18" s="550"/>
      <c r="IA18" s="550"/>
      <c r="IB18" s="550"/>
      <c r="IC18" s="550"/>
      <c r="ID18" s="550"/>
      <c r="IE18" s="550"/>
      <c r="IF18" s="550"/>
      <c r="IG18" s="550"/>
      <c r="II18" s="550"/>
      <c r="JA18" s="58"/>
      <c r="JK18" s="550"/>
      <c r="JO18" s="550"/>
      <c r="JQ18" s="58"/>
    </row>
    <row r="19" spans="3:277" hidden="1">
      <c r="C19" s="500"/>
      <c r="D19" s="500"/>
      <c r="E19" s="500"/>
      <c r="F19" s="500"/>
      <c r="G19" s="500"/>
      <c r="H19" s="500"/>
      <c r="I19" s="500"/>
      <c r="J19" s="500"/>
      <c r="K19" s="500"/>
      <c r="L19" s="500"/>
      <c r="M19" s="500"/>
      <c r="N19" s="500"/>
      <c r="O19" s="500"/>
      <c r="P19" s="500"/>
      <c r="Q19" s="500"/>
      <c r="R19" s="500"/>
      <c r="S19" s="500"/>
      <c r="T19" s="500"/>
      <c r="U19" s="500"/>
      <c r="V19" s="500"/>
      <c r="W19" s="500"/>
      <c r="X19" s="500"/>
      <c r="Y19" s="500"/>
      <c r="Z19" s="500"/>
      <c r="AA19" s="500"/>
      <c r="AB19" s="500"/>
      <c r="AC19" s="500"/>
      <c r="AD19" s="500"/>
      <c r="AE19" s="500"/>
      <c r="AF19" s="500"/>
      <c r="AG19" s="500"/>
      <c r="AH19" s="500"/>
      <c r="AI19" s="500"/>
      <c r="AJ19" s="500"/>
      <c r="AK19" s="500"/>
      <c r="AL19" s="500"/>
      <c r="AM19" s="500"/>
      <c r="AN19" s="500"/>
      <c r="AO19" s="500"/>
      <c r="AP19" s="500"/>
      <c r="AQ19" s="500"/>
      <c r="AR19" s="500"/>
      <c r="AS19" s="336"/>
      <c r="AT19" s="58"/>
      <c r="AV19" s="123"/>
      <c r="DY19" s="64"/>
      <c r="EY19" s="501"/>
      <c r="HM19" s="550"/>
      <c r="HN19" s="550"/>
      <c r="HO19" s="550"/>
      <c r="HP19" s="550"/>
      <c r="HQ19" s="550"/>
      <c r="HR19" s="550"/>
      <c r="HS19" s="550"/>
      <c r="HT19" s="550"/>
      <c r="HU19" s="550"/>
      <c r="HV19" s="550"/>
      <c r="HW19" s="550"/>
      <c r="HX19" s="550"/>
      <c r="HY19" s="550"/>
      <c r="HZ19" s="550"/>
      <c r="IA19" s="550"/>
      <c r="IB19" s="550"/>
      <c r="IC19" s="550"/>
      <c r="ID19" s="550"/>
      <c r="IE19" s="550"/>
      <c r="IF19" s="550"/>
      <c r="IG19" s="550"/>
      <c r="II19" s="550"/>
      <c r="JA19" s="58"/>
      <c r="JK19" s="550"/>
      <c r="JO19" s="550"/>
      <c r="JQ19" s="58"/>
    </row>
    <row r="20" spans="3:277" hidden="1">
      <c r="C20" s="500"/>
      <c r="D20" s="500"/>
      <c r="E20" s="500"/>
      <c r="F20" s="500"/>
      <c r="G20" s="500"/>
      <c r="H20" s="500"/>
      <c r="I20" s="500"/>
      <c r="J20" s="500"/>
      <c r="K20" s="500"/>
      <c r="L20" s="500"/>
      <c r="M20" s="500"/>
      <c r="N20" s="500"/>
      <c r="O20" s="500"/>
      <c r="P20" s="500"/>
      <c r="Q20" s="500"/>
      <c r="R20" s="500"/>
      <c r="S20" s="500"/>
      <c r="T20" s="500"/>
      <c r="U20" s="500"/>
      <c r="V20" s="500"/>
      <c r="W20" s="500"/>
      <c r="X20" s="500"/>
      <c r="Y20" s="500"/>
      <c r="Z20" s="500"/>
      <c r="AA20" s="500"/>
      <c r="AB20" s="500"/>
      <c r="AC20" s="500"/>
      <c r="AD20" s="500"/>
      <c r="AE20" s="500"/>
      <c r="AF20" s="500"/>
      <c r="AG20" s="500"/>
      <c r="AH20" s="500"/>
      <c r="AI20" s="500"/>
      <c r="AJ20" s="500"/>
      <c r="AK20" s="500"/>
      <c r="AL20" s="500"/>
      <c r="AM20" s="500"/>
      <c r="AN20" s="500"/>
      <c r="AO20" s="500"/>
      <c r="AP20" s="500"/>
      <c r="AQ20" s="500"/>
      <c r="AR20" s="500"/>
      <c r="AS20" s="336"/>
      <c r="AT20" s="58"/>
      <c r="AV20" s="123"/>
      <c r="DY20" s="64"/>
      <c r="EY20" s="501"/>
      <c r="HM20" s="550"/>
      <c r="HN20" s="550"/>
      <c r="HO20" s="550"/>
      <c r="HP20" s="550"/>
      <c r="HQ20" s="550"/>
      <c r="HR20" s="550"/>
      <c r="HS20" s="550"/>
      <c r="HT20" s="550"/>
      <c r="HU20" s="550"/>
      <c r="HV20" s="550"/>
      <c r="HW20" s="550"/>
      <c r="HX20" s="550"/>
      <c r="HY20" s="550"/>
      <c r="HZ20" s="550"/>
      <c r="IA20" s="550"/>
      <c r="IB20" s="550"/>
      <c r="IC20" s="550"/>
      <c r="ID20" s="550"/>
      <c r="IE20" s="550"/>
      <c r="IF20" s="550"/>
      <c r="IG20" s="550"/>
      <c r="II20" s="550"/>
      <c r="JA20" s="58"/>
      <c r="JK20" s="550"/>
      <c r="JO20" s="550"/>
      <c r="JQ20" s="58"/>
    </row>
    <row r="21" spans="3:277" hidden="1">
      <c r="C21" s="500"/>
      <c r="D21" s="500"/>
      <c r="E21" s="500"/>
      <c r="F21" s="500"/>
      <c r="G21" s="500"/>
      <c r="H21" s="500"/>
      <c r="I21" s="500"/>
      <c r="J21" s="500"/>
      <c r="K21" s="500"/>
      <c r="L21" s="500"/>
      <c r="M21" s="500"/>
      <c r="N21" s="500"/>
      <c r="O21" s="500"/>
      <c r="P21" s="500"/>
      <c r="Q21" s="500"/>
      <c r="R21" s="500"/>
      <c r="S21" s="500"/>
      <c r="T21" s="500"/>
      <c r="U21" s="500"/>
      <c r="V21" s="500"/>
      <c r="W21" s="500"/>
      <c r="X21" s="500"/>
      <c r="Y21" s="500"/>
      <c r="Z21" s="500"/>
      <c r="AA21" s="500"/>
      <c r="AB21" s="500"/>
      <c r="AC21" s="500"/>
      <c r="AD21" s="500"/>
      <c r="AE21" s="500"/>
      <c r="AF21" s="500"/>
      <c r="AG21" s="500"/>
      <c r="AH21" s="500"/>
      <c r="AI21" s="500"/>
      <c r="AJ21" s="500"/>
      <c r="AK21" s="500"/>
      <c r="AL21" s="500"/>
      <c r="AM21" s="500"/>
      <c r="AN21" s="500"/>
      <c r="AO21" s="500"/>
      <c r="AP21" s="500"/>
      <c r="AQ21" s="500"/>
      <c r="AR21" s="500"/>
      <c r="AS21" s="336"/>
      <c r="AT21" s="58"/>
      <c r="AV21" s="123"/>
      <c r="DY21" s="64"/>
      <c r="EY21" s="501"/>
      <c r="HM21" s="550"/>
      <c r="HN21" s="550"/>
      <c r="HO21" s="550"/>
      <c r="HP21" s="550"/>
      <c r="HQ21" s="550"/>
      <c r="HR21" s="550"/>
      <c r="HS21" s="550"/>
      <c r="HT21" s="550"/>
      <c r="HU21" s="550"/>
      <c r="HV21" s="550"/>
      <c r="HW21" s="550"/>
      <c r="HX21" s="550"/>
      <c r="HY21" s="550"/>
      <c r="HZ21" s="550"/>
      <c r="IA21" s="550"/>
      <c r="IB21" s="550"/>
      <c r="IC21" s="550"/>
      <c r="ID21" s="550"/>
      <c r="IE21" s="550"/>
      <c r="IF21" s="550"/>
      <c r="IG21" s="550"/>
      <c r="II21" s="550"/>
      <c r="JA21" s="58"/>
      <c r="JK21" s="550"/>
      <c r="JO21" s="550"/>
      <c r="JQ21" s="58"/>
    </row>
    <row r="22" spans="3:277" hidden="1">
      <c r="C22" s="500"/>
      <c r="D22" s="500"/>
      <c r="E22" s="500"/>
      <c r="F22" s="500"/>
      <c r="G22" s="500"/>
      <c r="H22" s="500"/>
      <c r="I22" s="500"/>
      <c r="J22" s="500"/>
      <c r="K22" s="500"/>
      <c r="L22" s="500"/>
      <c r="M22" s="500"/>
      <c r="N22" s="500"/>
      <c r="O22" s="500"/>
      <c r="P22" s="500"/>
      <c r="Q22" s="500"/>
      <c r="R22" s="500"/>
      <c r="S22" s="500"/>
      <c r="T22" s="500"/>
      <c r="U22" s="500"/>
      <c r="V22" s="500"/>
      <c r="W22" s="500"/>
      <c r="X22" s="500"/>
      <c r="Y22" s="500"/>
      <c r="Z22" s="500"/>
      <c r="AA22" s="500"/>
      <c r="AB22" s="500"/>
      <c r="AC22" s="500"/>
      <c r="AD22" s="500"/>
      <c r="AE22" s="500"/>
      <c r="AF22" s="500"/>
      <c r="AG22" s="500"/>
      <c r="AH22" s="500"/>
      <c r="AI22" s="500"/>
      <c r="AJ22" s="500"/>
      <c r="AK22" s="500"/>
      <c r="AL22" s="500"/>
      <c r="AM22" s="500"/>
      <c r="AN22" s="500"/>
      <c r="AO22" s="500"/>
      <c r="AP22" s="500"/>
      <c r="AQ22" s="500"/>
      <c r="AR22" s="500"/>
      <c r="AS22" s="336"/>
      <c r="AT22" s="58"/>
      <c r="AV22" s="123"/>
      <c r="DY22" s="64"/>
      <c r="EY22" s="501"/>
      <c r="HM22" s="550"/>
      <c r="HN22" s="550"/>
      <c r="HO22" s="550"/>
      <c r="HP22" s="550"/>
      <c r="HQ22" s="550"/>
      <c r="HR22" s="550"/>
      <c r="HS22" s="550"/>
      <c r="HT22" s="550"/>
      <c r="HU22" s="550"/>
      <c r="HV22" s="550"/>
      <c r="HW22" s="550"/>
      <c r="HX22" s="550"/>
      <c r="HY22" s="550"/>
      <c r="HZ22" s="550"/>
      <c r="IA22" s="550"/>
      <c r="IB22" s="550"/>
      <c r="IC22" s="550"/>
      <c r="ID22" s="550"/>
      <c r="IE22" s="550"/>
      <c r="IF22" s="550"/>
      <c r="IG22" s="550"/>
      <c r="II22" s="550"/>
      <c r="JA22" s="58"/>
      <c r="JK22" s="550"/>
      <c r="JO22" s="550"/>
      <c r="JQ22" s="58"/>
    </row>
    <row r="23" spans="3:277" hidden="1">
      <c r="C23" s="500"/>
      <c r="D23" s="500"/>
      <c r="E23" s="500"/>
      <c r="F23" s="500"/>
      <c r="G23" s="500"/>
      <c r="H23" s="500"/>
      <c r="I23" s="500"/>
      <c r="J23" s="500"/>
      <c r="K23" s="500"/>
      <c r="L23" s="500"/>
      <c r="M23" s="500"/>
      <c r="N23" s="500"/>
      <c r="O23" s="500"/>
      <c r="P23" s="500"/>
      <c r="Q23" s="500"/>
      <c r="R23" s="500"/>
      <c r="S23" s="500"/>
      <c r="T23" s="500"/>
      <c r="U23" s="500"/>
      <c r="V23" s="500"/>
      <c r="W23" s="500"/>
      <c r="X23" s="500"/>
      <c r="Y23" s="500"/>
      <c r="Z23" s="500"/>
      <c r="AA23" s="500"/>
      <c r="AB23" s="500"/>
      <c r="AC23" s="500"/>
      <c r="AD23" s="500"/>
      <c r="AE23" s="500"/>
      <c r="AF23" s="500"/>
      <c r="AG23" s="500"/>
      <c r="AH23" s="500"/>
      <c r="AI23" s="500"/>
      <c r="AJ23" s="500"/>
      <c r="AK23" s="500"/>
      <c r="AL23" s="500"/>
      <c r="AM23" s="500"/>
      <c r="AN23" s="500"/>
      <c r="AO23" s="500"/>
      <c r="AP23" s="500"/>
      <c r="AQ23" s="500"/>
      <c r="AR23" s="500"/>
      <c r="AS23" s="336"/>
      <c r="AT23" s="58"/>
      <c r="AV23" s="123"/>
      <c r="DY23" s="64"/>
      <c r="EY23" s="501"/>
      <c r="HM23" s="550"/>
      <c r="HN23" s="550"/>
      <c r="HO23" s="550"/>
      <c r="HP23" s="550"/>
      <c r="HQ23" s="550"/>
      <c r="HR23" s="550"/>
      <c r="HS23" s="550"/>
      <c r="HT23" s="550"/>
      <c r="HU23" s="550"/>
      <c r="HV23" s="550"/>
      <c r="HW23" s="550"/>
      <c r="HX23" s="550"/>
      <c r="HY23" s="550"/>
      <c r="HZ23" s="550"/>
      <c r="IA23" s="550"/>
      <c r="IB23" s="550"/>
      <c r="IC23" s="550"/>
      <c r="ID23" s="550"/>
      <c r="IE23" s="550"/>
      <c r="IF23" s="550"/>
      <c r="IG23" s="550"/>
      <c r="II23" s="550"/>
      <c r="JA23" s="58"/>
      <c r="JK23" s="550"/>
      <c r="JO23" s="550"/>
      <c r="JQ23" s="58"/>
    </row>
    <row r="24" spans="3:277" hidden="1">
      <c r="C24" s="500"/>
      <c r="D24" s="500"/>
      <c r="E24" s="500"/>
      <c r="F24" s="500"/>
      <c r="G24" s="500"/>
      <c r="H24" s="500"/>
      <c r="I24" s="500"/>
      <c r="J24" s="500"/>
      <c r="K24" s="500"/>
      <c r="L24" s="500"/>
      <c r="M24" s="500"/>
      <c r="N24" s="500"/>
      <c r="O24" s="500"/>
      <c r="P24" s="500"/>
      <c r="Q24" s="500"/>
      <c r="R24" s="500"/>
      <c r="S24" s="500"/>
      <c r="T24" s="500"/>
      <c r="U24" s="500"/>
      <c r="V24" s="500"/>
      <c r="W24" s="500"/>
      <c r="X24" s="500"/>
      <c r="Y24" s="500"/>
      <c r="Z24" s="500"/>
      <c r="AA24" s="500"/>
      <c r="AB24" s="500"/>
      <c r="AC24" s="500"/>
      <c r="AD24" s="500"/>
      <c r="AE24" s="500"/>
      <c r="AF24" s="500"/>
      <c r="AG24" s="500"/>
      <c r="AH24" s="500"/>
      <c r="AI24" s="500"/>
      <c r="AJ24" s="500"/>
      <c r="AK24" s="500"/>
      <c r="AL24" s="500"/>
      <c r="AM24" s="500"/>
      <c r="AN24" s="500"/>
      <c r="AO24" s="500"/>
      <c r="AP24" s="500"/>
      <c r="AQ24" s="500"/>
      <c r="AR24" s="500"/>
      <c r="AS24" s="336"/>
      <c r="AT24" s="58"/>
      <c r="AV24" s="123"/>
      <c r="DY24" s="64"/>
      <c r="EY24" s="501"/>
      <c r="HM24" s="550"/>
      <c r="HN24" s="550"/>
      <c r="HO24" s="550"/>
      <c r="HP24" s="550"/>
      <c r="HQ24" s="550"/>
      <c r="HR24" s="550"/>
      <c r="HS24" s="550"/>
      <c r="HT24" s="550"/>
      <c r="HU24" s="550"/>
      <c r="HV24" s="550"/>
      <c r="HW24" s="550"/>
      <c r="HX24" s="550"/>
      <c r="HY24" s="550"/>
      <c r="HZ24" s="550"/>
      <c r="IA24" s="550"/>
      <c r="IB24" s="550"/>
      <c r="IC24" s="550"/>
      <c r="ID24" s="550"/>
      <c r="IE24" s="550"/>
      <c r="IF24" s="550"/>
      <c r="IG24" s="550"/>
      <c r="II24" s="550"/>
      <c r="JA24" s="58"/>
      <c r="JK24" s="550"/>
      <c r="JO24" s="550"/>
      <c r="JQ24" s="58"/>
    </row>
    <row r="25" spans="3:277" hidden="1">
      <c r="C25" s="500"/>
      <c r="D25" s="500"/>
      <c r="E25" s="500"/>
      <c r="F25" s="500"/>
      <c r="G25" s="500"/>
      <c r="H25" s="500"/>
      <c r="I25" s="500"/>
      <c r="J25" s="500"/>
      <c r="K25" s="500"/>
      <c r="L25" s="500"/>
      <c r="M25" s="500"/>
      <c r="N25" s="500"/>
      <c r="O25" s="500"/>
      <c r="P25" s="500"/>
      <c r="Q25" s="500"/>
      <c r="R25" s="500"/>
      <c r="S25" s="500"/>
      <c r="T25" s="500"/>
      <c r="U25" s="500"/>
      <c r="V25" s="500"/>
      <c r="W25" s="500"/>
      <c r="X25" s="500"/>
      <c r="Y25" s="500"/>
      <c r="Z25" s="500"/>
      <c r="AA25" s="500"/>
      <c r="AB25" s="500"/>
      <c r="AC25" s="500"/>
      <c r="AD25" s="500"/>
      <c r="AE25" s="500"/>
      <c r="AF25" s="500"/>
      <c r="AG25" s="500"/>
      <c r="AH25" s="500"/>
      <c r="AI25" s="500"/>
      <c r="AJ25" s="500"/>
      <c r="AK25" s="500"/>
      <c r="AL25" s="500"/>
      <c r="AM25" s="500"/>
      <c r="AN25" s="500"/>
      <c r="AO25" s="500"/>
      <c r="AP25" s="500"/>
      <c r="AQ25" s="500"/>
      <c r="AR25" s="500"/>
      <c r="AS25" s="336"/>
      <c r="AT25" s="58"/>
      <c r="AV25" s="123"/>
      <c r="DY25" s="64"/>
      <c r="EY25" s="501"/>
      <c r="HM25" s="550"/>
      <c r="HN25" s="550"/>
      <c r="HO25" s="550"/>
      <c r="HP25" s="550"/>
      <c r="HQ25" s="550"/>
      <c r="HR25" s="550"/>
      <c r="HS25" s="550"/>
      <c r="HT25" s="550"/>
      <c r="HU25" s="550"/>
      <c r="HV25" s="550"/>
      <c r="HW25" s="550"/>
      <c r="HX25" s="550"/>
      <c r="HY25" s="550"/>
      <c r="HZ25" s="550"/>
      <c r="IA25" s="550"/>
      <c r="IB25" s="550"/>
      <c r="IC25" s="550"/>
      <c r="ID25" s="550"/>
      <c r="IE25" s="550"/>
      <c r="IF25" s="550"/>
      <c r="IG25" s="550"/>
      <c r="II25" s="550"/>
      <c r="JA25" s="58"/>
      <c r="JK25" s="550"/>
      <c r="JO25" s="550"/>
      <c r="JQ25" s="58"/>
    </row>
    <row r="26" spans="3:277" hidden="1">
      <c r="C26" s="500"/>
      <c r="D26" s="500"/>
      <c r="E26" s="500"/>
      <c r="F26" s="500"/>
      <c r="G26" s="500"/>
      <c r="H26" s="500"/>
      <c r="I26" s="500"/>
      <c r="J26" s="500"/>
      <c r="K26" s="500"/>
      <c r="L26" s="500"/>
      <c r="M26" s="500"/>
      <c r="N26" s="500"/>
      <c r="O26" s="500"/>
      <c r="P26" s="500"/>
      <c r="Q26" s="500"/>
      <c r="R26" s="500"/>
      <c r="S26" s="500"/>
      <c r="T26" s="500"/>
      <c r="U26" s="500"/>
      <c r="V26" s="500"/>
      <c r="W26" s="500"/>
      <c r="X26" s="500"/>
      <c r="Y26" s="500"/>
      <c r="Z26" s="500"/>
      <c r="AA26" s="500"/>
      <c r="AB26" s="500"/>
      <c r="AC26" s="500"/>
      <c r="AD26" s="500"/>
      <c r="AE26" s="500"/>
      <c r="AF26" s="500"/>
      <c r="AG26" s="500"/>
      <c r="AH26" s="500"/>
      <c r="AI26" s="500"/>
      <c r="AJ26" s="500"/>
      <c r="AK26" s="500"/>
      <c r="AL26" s="500"/>
      <c r="AM26" s="500"/>
      <c r="AN26" s="500"/>
      <c r="AO26" s="500"/>
      <c r="AP26" s="500"/>
      <c r="AQ26" s="500"/>
      <c r="AR26" s="500"/>
      <c r="AS26" s="336"/>
      <c r="AT26" s="58"/>
      <c r="AV26" s="123"/>
      <c r="DY26" s="64"/>
      <c r="EY26" s="501"/>
      <c r="HM26" s="550"/>
      <c r="HN26" s="550"/>
      <c r="HO26" s="550"/>
      <c r="HP26" s="550"/>
      <c r="HQ26" s="550"/>
      <c r="HR26" s="550"/>
      <c r="HS26" s="550"/>
      <c r="HT26" s="550"/>
      <c r="HU26" s="550"/>
      <c r="HV26" s="550"/>
      <c r="HW26" s="550"/>
      <c r="HX26" s="550"/>
      <c r="HY26" s="550"/>
      <c r="HZ26" s="550"/>
      <c r="IA26" s="550"/>
      <c r="IB26" s="550"/>
      <c r="IC26" s="550"/>
      <c r="ID26" s="550"/>
      <c r="IE26" s="550"/>
      <c r="IF26" s="550"/>
      <c r="IG26" s="550"/>
      <c r="II26" s="550"/>
      <c r="JA26" s="58"/>
      <c r="JK26" s="550"/>
      <c r="JO26" s="550"/>
      <c r="JQ26" s="58"/>
    </row>
    <row r="27" spans="3:277" hidden="1">
      <c r="C27" s="500"/>
      <c r="D27" s="500"/>
      <c r="E27" s="500"/>
      <c r="F27" s="500"/>
      <c r="G27" s="500"/>
      <c r="H27" s="500"/>
      <c r="I27" s="500"/>
      <c r="J27" s="500"/>
      <c r="K27" s="500"/>
      <c r="L27" s="500"/>
      <c r="M27" s="500"/>
      <c r="N27" s="500"/>
      <c r="O27" s="500"/>
      <c r="P27" s="500"/>
      <c r="Q27" s="500"/>
      <c r="R27" s="500"/>
      <c r="S27" s="500"/>
      <c r="T27" s="500"/>
      <c r="U27" s="500"/>
      <c r="V27" s="500"/>
      <c r="W27" s="500"/>
      <c r="X27" s="500"/>
      <c r="Y27" s="500"/>
      <c r="Z27" s="500"/>
      <c r="AA27" s="500"/>
      <c r="AB27" s="500"/>
      <c r="AC27" s="500"/>
      <c r="AD27" s="500"/>
      <c r="AE27" s="500"/>
      <c r="AF27" s="500"/>
      <c r="AG27" s="500"/>
      <c r="AH27" s="500"/>
      <c r="AI27" s="500"/>
      <c r="AJ27" s="500"/>
      <c r="AK27" s="500"/>
      <c r="AL27" s="500"/>
      <c r="AM27" s="500"/>
      <c r="AN27" s="500"/>
      <c r="AO27" s="500"/>
      <c r="AP27" s="500"/>
      <c r="AQ27" s="500"/>
      <c r="AR27" s="500"/>
      <c r="AS27" s="336"/>
      <c r="AT27" s="58"/>
      <c r="AV27" s="123"/>
      <c r="DY27" s="64"/>
      <c r="EY27" s="501"/>
      <c r="HM27" s="550"/>
      <c r="HN27" s="550"/>
      <c r="HO27" s="550"/>
      <c r="HP27" s="550"/>
      <c r="HQ27" s="550"/>
      <c r="HR27" s="550"/>
      <c r="HS27" s="550"/>
      <c r="HT27" s="550"/>
      <c r="HU27" s="550"/>
      <c r="HV27" s="550"/>
      <c r="HW27" s="550"/>
      <c r="HX27" s="550"/>
      <c r="HY27" s="550"/>
      <c r="HZ27" s="550"/>
      <c r="IA27" s="550"/>
      <c r="IB27" s="550"/>
      <c r="IC27" s="550"/>
      <c r="ID27" s="550"/>
      <c r="IE27" s="550"/>
      <c r="IF27" s="550"/>
      <c r="IG27" s="550"/>
      <c r="II27" s="550"/>
      <c r="JA27" s="58"/>
      <c r="JK27" s="550"/>
      <c r="JO27" s="550"/>
      <c r="JQ27" s="58"/>
    </row>
    <row r="28" spans="3:277" hidden="1">
      <c r="C28" s="500"/>
      <c r="D28" s="500"/>
      <c r="E28" s="500"/>
      <c r="F28" s="500"/>
      <c r="G28" s="500"/>
      <c r="H28" s="500"/>
      <c r="I28" s="500"/>
      <c r="J28" s="500"/>
      <c r="K28" s="500"/>
      <c r="L28" s="500"/>
      <c r="M28" s="500"/>
      <c r="N28" s="500"/>
      <c r="O28" s="500"/>
      <c r="P28" s="500"/>
      <c r="Q28" s="500"/>
      <c r="R28" s="500"/>
      <c r="S28" s="500"/>
      <c r="T28" s="500"/>
      <c r="U28" s="500"/>
      <c r="V28" s="500"/>
      <c r="W28" s="500"/>
      <c r="X28" s="500"/>
      <c r="Y28" s="500"/>
      <c r="Z28" s="500"/>
      <c r="AA28" s="500"/>
      <c r="AB28" s="500"/>
      <c r="AC28" s="500"/>
      <c r="AD28" s="500"/>
      <c r="AE28" s="500"/>
      <c r="AF28" s="500"/>
      <c r="AG28" s="500"/>
      <c r="AH28" s="500"/>
      <c r="AI28" s="500"/>
      <c r="AJ28" s="500"/>
      <c r="AK28" s="500"/>
      <c r="AL28" s="500"/>
      <c r="AM28" s="500"/>
      <c r="AN28" s="500"/>
      <c r="AO28" s="500"/>
      <c r="AP28" s="500"/>
      <c r="AQ28" s="500"/>
      <c r="AR28" s="500"/>
      <c r="AS28" s="336"/>
      <c r="AT28" s="58"/>
      <c r="AV28" s="123"/>
      <c r="DY28" s="64"/>
      <c r="EY28" s="501"/>
      <c r="HM28" s="550"/>
      <c r="HN28" s="550"/>
      <c r="HO28" s="550"/>
      <c r="HP28" s="550"/>
      <c r="HQ28" s="550"/>
      <c r="HR28" s="550"/>
      <c r="HS28" s="550"/>
      <c r="HT28" s="550"/>
      <c r="HU28" s="550"/>
      <c r="HV28" s="550"/>
      <c r="HW28" s="550"/>
      <c r="HX28" s="550"/>
      <c r="HY28" s="550"/>
      <c r="HZ28" s="550"/>
      <c r="IA28" s="550"/>
      <c r="IB28" s="550"/>
      <c r="IC28" s="550"/>
      <c r="ID28" s="550"/>
      <c r="IE28" s="550"/>
      <c r="IF28" s="550"/>
      <c r="IG28" s="550"/>
      <c r="II28" s="550"/>
      <c r="JA28" s="58"/>
      <c r="JK28" s="550"/>
      <c r="JO28" s="550"/>
      <c r="JQ28" s="58"/>
    </row>
    <row r="29" spans="3:277" hidden="1">
      <c r="C29" s="500"/>
      <c r="D29" s="500"/>
      <c r="E29" s="500"/>
      <c r="F29" s="500"/>
      <c r="G29" s="500"/>
      <c r="H29" s="500"/>
      <c r="I29" s="500"/>
      <c r="J29" s="500"/>
      <c r="K29" s="500"/>
      <c r="L29" s="500"/>
      <c r="M29" s="500"/>
      <c r="N29" s="500"/>
      <c r="O29" s="500"/>
      <c r="P29" s="500"/>
      <c r="Q29" s="500"/>
      <c r="R29" s="500"/>
      <c r="S29" s="500"/>
      <c r="T29" s="500"/>
      <c r="U29" s="500"/>
      <c r="V29" s="500"/>
      <c r="W29" s="500"/>
      <c r="X29" s="500"/>
      <c r="Y29" s="500"/>
      <c r="Z29" s="500"/>
      <c r="AA29" s="500"/>
      <c r="AB29" s="500"/>
      <c r="AC29" s="500"/>
      <c r="AD29" s="500"/>
      <c r="AE29" s="500"/>
      <c r="AF29" s="500"/>
      <c r="AG29" s="500"/>
      <c r="AH29" s="500"/>
      <c r="AI29" s="500"/>
      <c r="AJ29" s="500"/>
      <c r="AK29" s="500"/>
      <c r="AL29" s="500"/>
      <c r="AM29" s="500"/>
      <c r="AN29" s="500"/>
      <c r="AO29" s="500"/>
      <c r="AP29" s="500"/>
      <c r="AQ29" s="500"/>
      <c r="AR29" s="500"/>
      <c r="AS29" s="336"/>
      <c r="AT29" s="58"/>
      <c r="AV29" s="123"/>
      <c r="DY29" s="64"/>
      <c r="EY29" s="501"/>
      <c r="HM29" s="550"/>
      <c r="HN29" s="550"/>
      <c r="HO29" s="550"/>
      <c r="HP29" s="550"/>
      <c r="HQ29" s="550"/>
      <c r="HR29" s="550"/>
      <c r="HS29" s="550"/>
      <c r="HT29" s="550"/>
      <c r="HU29" s="550"/>
      <c r="HV29" s="550"/>
      <c r="HW29" s="550"/>
      <c r="HX29" s="550"/>
      <c r="HY29" s="550"/>
      <c r="HZ29" s="550"/>
      <c r="IA29" s="550"/>
      <c r="IB29" s="550"/>
      <c r="IC29" s="550"/>
      <c r="ID29" s="550"/>
      <c r="IE29" s="550"/>
      <c r="IF29" s="550"/>
      <c r="IG29" s="550"/>
      <c r="II29" s="550"/>
      <c r="JA29" s="58"/>
      <c r="JK29" s="550"/>
      <c r="JO29" s="550"/>
      <c r="JQ29" s="58"/>
    </row>
    <row r="30" spans="3:277" hidden="1">
      <c r="C30" s="500"/>
      <c r="D30" s="500"/>
      <c r="E30" s="500"/>
      <c r="F30" s="500"/>
      <c r="G30" s="500"/>
      <c r="H30" s="500"/>
      <c r="I30" s="500"/>
      <c r="J30" s="500"/>
      <c r="K30" s="500"/>
      <c r="L30" s="500"/>
      <c r="M30" s="500"/>
      <c r="N30" s="500"/>
      <c r="O30" s="500"/>
      <c r="P30" s="500"/>
      <c r="Q30" s="500"/>
      <c r="R30" s="500"/>
      <c r="S30" s="500"/>
      <c r="T30" s="500"/>
      <c r="U30" s="500"/>
      <c r="V30" s="500"/>
      <c r="W30" s="500"/>
      <c r="X30" s="500"/>
      <c r="Y30" s="500"/>
      <c r="Z30" s="500"/>
      <c r="AA30" s="500"/>
      <c r="AB30" s="500"/>
      <c r="AC30" s="500"/>
      <c r="AD30" s="500"/>
      <c r="AE30" s="500"/>
      <c r="AF30" s="500"/>
      <c r="AG30" s="500"/>
      <c r="AH30" s="500"/>
      <c r="AI30" s="500"/>
      <c r="AJ30" s="500"/>
      <c r="AK30" s="500"/>
      <c r="AL30" s="500"/>
      <c r="AM30" s="500"/>
      <c r="AN30" s="500"/>
      <c r="AO30" s="500"/>
      <c r="AP30" s="500"/>
      <c r="AQ30" s="500"/>
      <c r="AR30" s="500"/>
      <c r="AS30" s="336"/>
      <c r="AT30" s="58"/>
      <c r="AV30" s="123"/>
      <c r="DY30" s="64"/>
      <c r="EY30" s="501"/>
      <c r="HM30" s="550"/>
      <c r="HN30" s="550"/>
      <c r="HO30" s="550"/>
      <c r="HP30" s="550"/>
      <c r="HQ30" s="550"/>
      <c r="HR30" s="550"/>
      <c r="HS30" s="550"/>
      <c r="HT30" s="550"/>
      <c r="HU30" s="550"/>
      <c r="HV30" s="550"/>
      <c r="HW30" s="550"/>
      <c r="HX30" s="550"/>
      <c r="HY30" s="550"/>
      <c r="HZ30" s="550"/>
      <c r="IA30" s="550"/>
      <c r="IB30" s="550"/>
      <c r="IC30" s="550"/>
      <c r="ID30" s="550"/>
      <c r="IE30" s="550"/>
      <c r="IF30" s="550"/>
      <c r="IG30" s="550"/>
      <c r="II30" s="550"/>
      <c r="JA30" s="58"/>
      <c r="JK30" s="550"/>
      <c r="JO30" s="550"/>
      <c r="JQ30" s="58"/>
    </row>
    <row r="31" spans="3:277" hidden="1">
      <c r="C31" s="500"/>
      <c r="D31" s="500"/>
      <c r="E31" s="500"/>
      <c r="F31" s="500"/>
      <c r="G31" s="500"/>
      <c r="H31" s="500"/>
      <c r="I31" s="500"/>
      <c r="J31" s="500"/>
      <c r="K31" s="500"/>
      <c r="L31" s="500"/>
      <c r="M31" s="500"/>
      <c r="N31" s="500"/>
      <c r="O31" s="500"/>
      <c r="P31" s="500"/>
      <c r="Q31" s="500"/>
      <c r="R31" s="500"/>
      <c r="S31" s="500"/>
      <c r="T31" s="500"/>
      <c r="U31" s="500"/>
      <c r="V31" s="500"/>
      <c r="W31" s="500"/>
      <c r="X31" s="500"/>
      <c r="Y31" s="500"/>
      <c r="Z31" s="500"/>
      <c r="AA31" s="500"/>
      <c r="AB31" s="500"/>
      <c r="AC31" s="500"/>
      <c r="AD31" s="500"/>
      <c r="AE31" s="500"/>
      <c r="AF31" s="500"/>
      <c r="AG31" s="500"/>
      <c r="AH31" s="500"/>
      <c r="AI31" s="500"/>
      <c r="AJ31" s="500"/>
      <c r="AK31" s="500"/>
      <c r="AL31" s="500"/>
      <c r="AM31" s="500"/>
      <c r="AN31" s="500"/>
      <c r="AO31" s="500"/>
      <c r="AP31" s="500"/>
      <c r="AQ31" s="500"/>
      <c r="AR31" s="500"/>
      <c r="AS31" s="336"/>
      <c r="AT31" s="58"/>
      <c r="AV31" s="123"/>
      <c r="DY31" s="64"/>
      <c r="EY31" s="501"/>
      <c r="HM31" s="550"/>
      <c r="HN31" s="550"/>
      <c r="HO31" s="550"/>
      <c r="HP31" s="550"/>
      <c r="HQ31" s="550"/>
      <c r="HR31" s="550"/>
      <c r="HS31" s="550"/>
      <c r="HT31" s="550"/>
      <c r="HU31" s="550"/>
      <c r="HV31" s="550"/>
      <c r="HW31" s="550"/>
      <c r="HX31" s="550"/>
      <c r="HY31" s="550"/>
      <c r="HZ31" s="550"/>
      <c r="IA31" s="550"/>
      <c r="IB31" s="550"/>
      <c r="IC31" s="550"/>
      <c r="ID31" s="550"/>
      <c r="IE31" s="550"/>
      <c r="IF31" s="550"/>
      <c r="IG31" s="550"/>
      <c r="II31" s="550"/>
      <c r="JA31" s="58"/>
      <c r="JK31" s="550"/>
      <c r="JO31" s="550"/>
      <c r="JQ31" s="58"/>
    </row>
    <row r="32" spans="3:277" hidden="1">
      <c r="C32" s="500"/>
      <c r="D32" s="500"/>
      <c r="E32" s="500"/>
      <c r="F32" s="500"/>
      <c r="G32" s="500"/>
      <c r="H32" s="500"/>
      <c r="I32" s="500"/>
      <c r="J32" s="500"/>
      <c r="K32" s="500"/>
      <c r="L32" s="500"/>
      <c r="M32" s="500"/>
      <c r="N32" s="500"/>
      <c r="O32" s="500"/>
      <c r="P32" s="500"/>
      <c r="Q32" s="500"/>
      <c r="R32" s="500"/>
      <c r="S32" s="500"/>
      <c r="T32" s="500"/>
      <c r="U32" s="500"/>
      <c r="V32" s="500"/>
      <c r="W32" s="500"/>
      <c r="X32" s="500"/>
      <c r="Y32" s="500"/>
      <c r="Z32" s="500"/>
      <c r="AA32" s="500"/>
      <c r="AB32" s="500"/>
      <c r="AC32" s="500"/>
      <c r="AD32" s="500"/>
      <c r="AE32" s="500"/>
      <c r="AF32" s="500"/>
      <c r="AG32" s="500"/>
      <c r="AH32" s="500"/>
      <c r="AI32" s="500"/>
      <c r="AJ32" s="500"/>
      <c r="AK32" s="500"/>
      <c r="AL32" s="500"/>
      <c r="AM32" s="500"/>
      <c r="AN32" s="500"/>
      <c r="AO32" s="500"/>
      <c r="AP32" s="500"/>
      <c r="AQ32" s="500"/>
      <c r="AR32" s="500"/>
      <c r="AS32" s="336"/>
      <c r="AT32" s="58"/>
      <c r="AV32" s="123"/>
      <c r="DY32" s="64"/>
      <c r="EY32" s="501"/>
      <c r="HM32" s="550"/>
      <c r="HN32" s="550"/>
      <c r="HO32" s="550"/>
      <c r="HP32" s="550"/>
      <c r="HQ32" s="550"/>
      <c r="HR32" s="550"/>
      <c r="HS32" s="550"/>
      <c r="HT32" s="550"/>
      <c r="HU32" s="550"/>
      <c r="HV32" s="550"/>
      <c r="HW32" s="550"/>
      <c r="HX32" s="550"/>
      <c r="HY32" s="550"/>
      <c r="HZ32" s="550"/>
      <c r="IA32" s="550"/>
      <c r="IB32" s="550"/>
      <c r="IC32" s="550"/>
      <c r="ID32" s="550"/>
      <c r="IE32" s="550"/>
      <c r="IF32" s="550"/>
      <c r="IG32" s="550"/>
      <c r="II32" s="550"/>
      <c r="JA32" s="58"/>
      <c r="JK32" s="550"/>
      <c r="JO32" s="550"/>
      <c r="JQ32" s="58"/>
    </row>
    <row r="33" spans="3:277" hidden="1">
      <c r="C33" s="500"/>
      <c r="D33" s="500"/>
      <c r="E33" s="500"/>
      <c r="F33" s="500"/>
      <c r="G33" s="500"/>
      <c r="H33" s="500"/>
      <c r="I33" s="500"/>
      <c r="J33" s="500"/>
      <c r="K33" s="500"/>
      <c r="L33" s="500"/>
      <c r="M33" s="500"/>
      <c r="N33" s="500"/>
      <c r="O33" s="500"/>
      <c r="P33" s="500"/>
      <c r="Q33" s="500"/>
      <c r="R33" s="500"/>
      <c r="S33" s="500"/>
      <c r="T33" s="500"/>
      <c r="U33" s="500"/>
      <c r="V33" s="500"/>
      <c r="W33" s="500"/>
      <c r="X33" s="500"/>
      <c r="Y33" s="500"/>
      <c r="Z33" s="500"/>
      <c r="AA33" s="500"/>
      <c r="AB33" s="500"/>
      <c r="AC33" s="500"/>
      <c r="AD33" s="500"/>
      <c r="AE33" s="500"/>
      <c r="AF33" s="500"/>
      <c r="AG33" s="500"/>
      <c r="AH33" s="500"/>
      <c r="AI33" s="500"/>
      <c r="AJ33" s="500"/>
      <c r="AK33" s="500"/>
      <c r="AL33" s="500"/>
      <c r="AM33" s="500"/>
      <c r="AN33" s="500"/>
      <c r="AO33" s="500"/>
      <c r="AP33" s="500"/>
      <c r="AQ33" s="500"/>
      <c r="AR33" s="500"/>
      <c r="AS33" s="336"/>
      <c r="AT33" s="58"/>
      <c r="AV33" s="123"/>
      <c r="DY33" s="64"/>
      <c r="EY33" s="501"/>
      <c r="HM33" s="550"/>
      <c r="HN33" s="550"/>
      <c r="HO33" s="550"/>
      <c r="HP33" s="550"/>
      <c r="HQ33" s="550"/>
      <c r="HR33" s="550"/>
      <c r="HS33" s="550"/>
      <c r="HT33" s="550"/>
      <c r="HU33" s="550"/>
      <c r="HV33" s="550"/>
      <c r="HW33" s="550"/>
      <c r="HX33" s="550"/>
      <c r="HY33" s="550"/>
      <c r="HZ33" s="550"/>
      <c r="IA33" s="550"/>
      <c r="IB33" s="550"/>
      <c r="IC33" s="550"/>
      <c r="ID33" s="550"/>
      <c r="IE33" s="550"/>
      <c r="IF33" s="550"/>
      <c r="IG33" s="550"/>
      <c r="II33" s="550"/>
      <c r="JA33" s="58"/>
      <c r="JK33" s="550"/>
      <c r="JO33" s="550"/>
      <c r="JQ33" s="58"/>
    </row>
    <row r="34" spans="3:277" hidden="1">
      <c r="C34" s="500"/>
      <c r="D34" s="500"/>
      <c r="E34" s="500"/>
      <c r="F34" s="500"/>
      <c r="G34" s="500"/>
      <c r="H34" s="500"/>
      <c r="I34" s="500"/>
      <c r="J34" s="500"/>
      <c r="K34" s="500"/>
      <c r="L34" s="500"/>
      <c r="M34" s="500"/>
      <c r="N34" s="500"/>
      <c r="O34" s="500"/>
      <c r="P34" s="500"/>
      <c r="Q34" s="500"/>
      <c r="R34" s="500"/>
      <c r="S34" s="500"/>
      <c r="T34" s="500"/>
      <c r="U34" s="500"/>
      <c r="V34" s="500"/>
      <c r="W34" s="500"/>
      <c r="X34" s="500"/>
      <c r="Y34" s="500"/>
      <c r="Z34" s="500"/>
      <c r="AA34" s="500"/>
      <c r="AB34" s="500"/>
      <c r="AC34" s="500"/>
      <c r="AD34" s="500"/>
      <c r="AE34" s="500"/>
      <c r="AF34" s="500"/>
      <c r="AG34" s="500"/>
      <c r="AH34" s="500"/>
      <c r="AI34" s="500"/>
      <c r="AJ34" s="500"/>
      <c r="AK34" s="500"/>
      <c r="AL34" s="500"/>
      <c r="AM34" s="500"/>
      <c r="AN34" s="500"/>
      <c r="AO34" s="500"/>
      <c r="AP34" s="500"/>
      <c r="AQ34" s="500"/>
      <c r="AR34" s="500"/>
      <c r="AS34" s="336"/>
      <c r="AT34" s="58"/>
      <c r="AV34" s="123"/>
      <c r="DY34" s="64"/>
      <c r="EY34" s="501"/>
      <c r="HM34" s="550"/>
      <c r="HN34" s="550"/>
      <c r="HO34" s="550"/>
      <c r="HP34" s="550"/>
      <c r="HQ34" s="550"/>
      <c r="HR34" s="550"/>
      <c r="HS34" s="550"/>
      <c r="HT34" s="550"/>
      <c r="HU34" s="550"/>
      <c r="HV34" s="550"/>
      <c r="HW34" s="550"/>
      <c r="HX34" s="550"/>
      <c r="HY34" s="550"/>
      <c r="HZ34" s="550"/>
      <c r="IA34" s="550"/>
      <c r="IB34" s="550"/>
      <c r="IC34" s="550"/>
      <c r="ID34" s="550"/>
      <c r="IE34" s="550"/>
      <c r="IF34" s="550"/>
      <c r="IG34" s="550"/>
      <c r="II34" s="550"/>
      <c r="JA34" s="58"/>
      <c r="JK34" s="550"/>
      <c r="JO34" s="550"/>
      <c r="JQ34" s="58"/>
    </row>
    <row r="35" spans="3:277" hidden="1">
      <c r="C35" s="500"/>
      <c r="D35" s="500"/>
      <c r="E35" s="500"/>
      <c r="F35" s="500"/>
      <c r="G35" s="500"/>
      <c r="H35" s="500"/>
      <c r="I35" s="500"/>
      <c r="J35" s="500"/>
      <c r="K35" s="500"/>
      <c r="L35" s="500"/>
      <c r="M35" s="500"/>
      <c r="N35" s="500"/>
      <c r="O35" s="500"/>
      <c r="P35" s="500"/>
      <c r="Q35" s="500"/>
      <c r="R35" s="500"/>
      <c r="S35" s="500"/>
      <c r="T35" s="500"/>
      <c r="U35" s="500"/>
      <c r="V35" s="500"/>
      <c r="W35" s="500"/>
      <c r="X35" s="500"/>
      <c r="Y35" s="500"/>
      <c r="Z35" s="500"/>
      <c r="AA35" s="500"/>
      <c r="AB35" s="500"/>
      <c r="AC35" s="500"/>
      <c r="AD35" s="500"/>
      <c r="AE35" s="500"/>
      <c r="AF35" s="500"/>
      <c r="AG35" s="500"/>
      <c r="AH35" s="500"/>
      <c r="AI35" s="500"/>
      <c r="AJ35" s="500"/>
      <c r="AK35" s="500"/>
      <c r="AL35" s="500"/>
      <c r="AM35" s="500"/>
      <c r="AN35" s="500"/>
      <c r="AO35" s="500"/>
      <c r="AP35" s="500"/>
      <c r="AQ35" s="500"/>
      <c r="AR35" s="500"/>
      <c r="AS35" s="336"/>
      <c r="AT35" s="58"/>
      <c r="AV35" s="123"/>
      <c r="DY35" s="64"/>
      <c r="EY35" s="501"/>
      <c r="HM35" s="550"/>
      <c r="HN35" s="550"/>
      <c r="HO35" s="550"/>
      <c r="HP35" s="550"/>
      <c r="HQ35" s="550"/>
      <c r="HR35" s="550"/>
      <c r="HS35" s="550"/>
      <c r="HT35" s="550"/>
      <c r="HU35" s="550"/>
      <c r="HV35" s="550"/>
      <c r="HW35" s="550"/>
      <c r="HX35" s="550"/>
      <c r="HY35" s="550"/>
      <c r="HZ35" s="550"/>
      <c r="IA35" s="550"/>
      <c r="IB35" s="550"/>
      <c r="IC35" s="550"/>
      <c r="ID35" s="550"/>
      <c r="IE35" s="550"/>
      <c r="IF35" s="550"/>
      <c r="IG35" s="550"/>
      <c r="II35" s="550"/>
      <c r="JA35" s="58"/>
      <c r="JK35" s="550"/>
      <c r="JO35" s="550"/>
      <c r="JQ35" s="58"/>
    </row>
    <row r="36" spans="3:277" hidden="1">
      <c r="C36" s="500"/>
      <c r="D36" s="500"/>
      <c r="E36" s="500"/>
      <c r="F36" s="500"/>
      <c r="G36" s="500"/>
      <c r="H36" s="500"/>
      <c r="I36" s="500"/>
      <c r="J36" s="500"/>
      <c r="K36" s="500"/>
      <c r="L36" s="500"/>
      <c r="M36" s="500"/>
      <c r="N36" s="500"/>
      <c r="O36" s="500"/>
      <c r="P36" s="500"/>
      <c r="Q36" s="500"/>
      <c r="R36" s="500"/>
      <c r="S36" s="500"/>
      <c r="T36" s="500"/>
      <c r="U36" s="500"/>
      <c r="V36" s="500"/>
      <c r="W36" s="500"/>
      <c r="X36" s="500"/>
      <c r="Y36" s="500"/>
      <c r="Z36" s="500"/>
      <c r="AA36" s="500"/>
      <c r="AB36" s="500"/>
      <c r="AC36" s="500"/>
      <c r="AD36" s="500"/>
      <c r="AE36" s="500"/>
      <c r="AF36" s="500"/>
      <c r="AG36" s="500"/>
      <c r="AH36" s="500"/>
      <c r="AI36" s="500"/>
      <c r="AJ36" s="500"/>
      <c r="AK36" s="500"/>
      <c r="AL36" s="500"/>
      <c r="AM36" s="500"/>
      <c r="AN36" s="500"/>
      <c r="AO36" s="500"/>
      <c r="AP36" s="500"/>
      <c r="AQ36" s="500"/>
      <c r="AR36" s="500"/>
      <c r="AS36" s="336"/>
      <c r="AT36" s="58"/>
      <c r="AV36" s="123"/>
      <c r="DY36" s="64"/>
      <c r="EY36" s="501"/>
      <c r="HM36" s="550"/>
      <c r="HN36" s="550"/>
      <c r="HO36" s="550"/>
      <c r="HP36" s="550"/>
      <c r="HQ36" s="550"/>
      <c r="HR36" s="550"/>
      <c r="HS36" s="550"/>
      <c r="HT36" s="550"/>
      <c r="HU36" s="550"/>
      <c r="HV36" s="550"/>
      <c r="HW36" s="550"/>
      <c r="HX36" s="550"/>
      <c r="HY36" s="550"/>
      <c r="HZ36" s="550"/>
      <c r="IA36" s="550"/>
      <c r="IB36" s="550"/>
      <c r="IC36" s="550"/>
      <c r="ID36" s="550"/>
      <c r="IE36" s="550"/>
      <c r="IF36" s="550"/>
      <c r="IG36" s="550"/>
      <c r="II36" s="550"/>
      <c r="JA36" s="58"/>
      <c r="JK36" s="550"/>
      <c r="JO36" s="550"/>
      <c r="JQ36" s="58"/>
    </row>
    <row r="37" spans="3:277" hidden="1">
      <c r="C37" s="500"/>
      <c r="D37" s="500"/>
      <c r="E37" s="500"/>
      <c r="F37" s="500"/>
      <c r="G37" s="500"/>
      <c r="H37" s="500"/>
      <c r="I37" s="500"/>
      <c r="J37" s="500"/>
      <c r="K37" s="500"/>
      <c r="L37" s="500"/>
      <c r="M37" s="500"/>
      <c r="N37" s="500"/>
      <c r="O37" s="500"/>
      <c r="P37" s="500"/>
      <c r="Q37" s="500"/>
      <c r="R37" s="500"/>
      <c r="S37" s="500"/>
      <c r="T37" s="500"/>
      <c r="U37" s="500"/>
      <c r="V37" s="500"/>
      <c r="W37" s="500"/>
      <c r="X37" s="500"/>
      <c r="Y37" s="500"/>
      <c r="Z37" s="500"/>
      <c r="AA37" s="500"/>
      <c r="AB37" s="500"/>
      <c r="AC37" s="500"/>
      <c r="AD37" s="500"/>
      <c r="AE37" s="500"/>
      <c r="AF37" s="500"/>
      <c r="AG37" s="500"/>
      <c r="AH37" s="500"/>
      <c r="AI37" s="500"/>
      <c r="AJ37" s="500"/>
      <c r="AK37" s="500"/>
      <c r="AL37" s="500"/>
      <c r="AM37" s="500"/>
      <c r="AN37" s="500"/>
      <c r="AO37" s="500"/>
      <c r="AP37" s="500"/>
      <c r="AQ37" s="500"/>
      <c r="AR37" s="500"/>
      <c r="AS37" s="336"/>
      <c r="AT37" s="58"/>
      <c r="AV37" s="123"/>
      <c r="DY37" s="64"/>
      <c r="EY37" s="501"/>
      <c r="HM37" s="550"/>
      <c r="HN37" s="550"/>
      <c r="HO37" s="550"/>
      <c r="HP37" s="550"/>
      <c r="HQ37" s="550"/>
      <c r="HR37" s="550"/>
      <c r="HS37" s="550"/>
      <c r="HT37" s="550"/>
      <c r="HU37" s="550"/>
      <c r="HV37" s="550"/>
      <c r="HW37" s="550"/>
      <c r="HX37" s="550"/>
      <c r="HY37" s="550"/>
      <c r="HZ37" s="550"/>
      <c r="IA37" s="550"/>
      <c r="IB37" s="550"/>
      <c r="IC37" s="550"/>
      <c r="ID37" s="550"/>
      <c r="IE37" s="550"/>
      <c r="IF37" s="550"/>
      <c r="IG37" s="550"/>
      <c r="II37" s="550"/>
      <c r="JA37" s="58"/>
      <c r="JK37" s="550"/>
      <c r="JO37" s="550"/>
      <c r="JQ37" s="58"/>
    </row>
    <row r="38" spans="3:277" hidden="1">
      <c r="C38" s="500"/>
      <c r="D38" s="500"/>
      <c r="E38" s="500"/>
      <c r="F38" s="500"/>
      <c r="G38" s="500"/>
      <c r="H38" s="500"/>
      <c r="I38" s="500"/>
      <c r="J38" s="500"/>
      <c r="K38" s="500"/>
      <c r="L38" s="500"/>
      <c r="M38" s="500"/>
      <c r="N38" s="500"/>
      <c r="O38" s="500"/>
      <c r="P38" s="500"/>
      <c r="Q38" s="500"/>
      <c r="R38" s="500"/>
      <c r="S38" s="500"/>
      <c r="T38" s="500"/>
      <c r="U38" s="500"/>
      <c r="V38" s="500"/>
      <c r="W38" s="500"/>
      <c r="X38" s="500"/>
      <c r="Y38" s="500"/>
      <c r="Z38" s="500"/>
      <c r="AA38" s="500"/>
      <c r="AB38" s="500"/>
      <c r="AC38" s="500"/>
      <c r="AD38" s="500"/>
      <c r="AE38" s="500"/>
      <c r="AF38" s="500"/>
      <c r="AG38" s="500"/>
      <c r="AH38" s="500"/>
      <c r="AI38" s="500"/>
      <c r="AJ38" s="500"/>
      <c r="AK38" s="500"/>
      <c r="AL38" s="500"/>
      <c r="AM38" s="500"/>
      <c r="AN38" s="500"/>
      <c r="AO38" s="500"/>
      <c r="AP38" s="500"/>
      <c r="AQ38" s="500"/>
      <c r="AR38" s="500"/>
      <c r="AS38" s="336"/>
      <c r="AT38" s="58"/>
      <c r="AV38" s="123"/>
      <c r="DY38" s="64"/>
      <c r="EY38" s="501"/>
      <c r="HM38" s="550"/>
      <c r="HN38" s="550"/>
      <c r="HO38" s="550"/>
      <c r="HP38" s="550"/>
      <c r="HQ38" s="550"/>
      <c r="HR38" s="550"/>
      <c r="HS38" s="550"/>
      <c r="HT38" s="550"/>
      <c r="HU38" s="550"/>
      <c r="HV38" s="550"/>
      <c r="HW38" s="550"/>
      <c r="HX38" s="550"/>
      <c r="HY38" s="550"/>
      <c r="HZ38" s="550"/>
      <c r="IA38" s="550"/>
      <c r="IB38" s="550"/>
      <c r="IC38" s="550"/>
      <c r="ID38" s="550"/>
      <c r="IE38" s="550"/>
      <c r="IF38" s="550"/>
      <c r="IG38" s="550"/>
      <c r="II38" s="550"/>
      <c r="JA38" s="58"/>
      <c r="JK38" s="550"/>
      <c r="JO38" s="550"/>
      <c r="JQ38" s="58"/>
    </row>
    <row r="39" spans="3:277" hidden="1">
      <c r="C39" s="500"/>
      <c r="D39" s="500"/>
      <c r="E39" s="500"/>
      <c r="F39" s="500"/>
      <c r="G39" s="500"/>
      <c r="H39" s="500"/>
      <c r="I39" s="500"/>
      <c r="J39" s="500"/>
      <c r="K39" s="500"/>
      <c r="L39" s="500"/>
      <c r="M39" s="500"/>
      <c r="N39" s="500"/>
      <c r="O39" s="500"/>
      <c r="P39" s="500"/>
      <c r="Q39" s="500"/>
      <c r="R39" s="500"/>
      <c r="S39" s="500"/>
      <c r="T39" s="500"/>
      <c r="U39" s="500"/>
      <c r="V39" s="500"/>
      <c r="W39" s="500"/>
      <c r="X39" s="500"/>
      <c r="Y39" s="500"/>
      <c r="Z39" s="500"/>
      <c r="AA39" s="500"/>
      <c r="AB39" s="500"/>
      <c r="AC39" s="500"/>
      <c r="AD39" s="500"/>
      <c r="AE39" s="500"/>
      <c r="AF39" s="500"/>
      <c r="AG39" s="500"/>
      <c r="AH39" s="500"/>
      <c r="AI39" s="500"/>
      <c r="AJ39" s="500"/>
      <c r="AK39" s="500"/>
      <c r="AL39" s="500"/>
      <c r="AM39" s="500"/>
      <c r="AN39" s="500"/>
      <c r="AO39" s="500"/>
      <c r="AP39" s="500"/>
      <c r="AQ39" s="500"/>
      <c r="AR39" s="500"/>
      <c r="AS39" s="336"/>
      <c r="AT39" s="58"/>
      <c r="AV39" s="123"/>
      <c r="DY39" s="64"/>
      <c r="EY39" s="501"/>
      <c r="HM39" s="550"/>
      <c r="HN39" s="550"/>
      <c r="HO39" s="550"/>
      <c r="HP39" s="550"/>
      <c r="HQ39" s="550"/>
      <c r="HR39" s="550"/>
      <c r="HS39" s="550"/>
      <c r="HT39" s="550"/>
      <c r="HU39" s="550"/>
      <c r="HV39" s="550"/>
      <c r="HW39" s="550"/>
      <c r="HX39" s="550"/>
      <c r="HY39" s="550"/>
      <c r="HZ39" s="550"/>
      <c r="IA39" s="550"/>
      <c r="IB39" s="550"/>
      <c r="IC39" s="550"/>
      <c r="ID39" s="550"/>
      <c r="IE39" s="550"/>
      <c r="IF39" s="550"/>
      <c r="IG39" s="550"/>
      <c r="II39" s="550"/>
      <c r="JA39" s="58"/>
      <c r="JK39" s="550"/>
      <c r="JO39" s="550"/>
      <c r="JQ39" s="58"/>
    </row>
    <row r="40" spans="3:277" hidden="1">
      <c r="C40" s="500"/>
      <c r="D40" s="500"/>
      <c r="E40" s="500"/>
      <c r="F40" s="500"/>
      <c r="G40" s="500"/>
      <c r="H40" s="500"/>
      <c r="I40" s="500"/>
      <c r="J40" s="500"/>
      <c r="K40" s="500"/>
      <c r="L40" s="500"/>
      <c r="M40" s="500"/>
      <c r="N40" s="500"/>
      <c r="O40" s="500"/>
      <c r="P40" s="500"/>
      <c r="Q40" s="500"/>
      <c r="R40" s="500"/>
      <c r="S40" s="500"/>
      <c r="T40" s="500"/>
      <c r="U40" s="500"/>
      <c r="V40" s="500"/>
      <c r="W40" s="500"/>
      <c r="X40" s="500"/>
      <c r="Y40" s="500"/>
      <c r="Z40" s="500"/>
      <c r="AA40" s="500"/>
      <c r="AB40" s="500"/>
      <c r="AC40" s="500"/>
      <c r="AD40" s="500"/>
      <c r="AE40" s="500"/>
      <c r="AF40" s="500"/>
      <c r="AG40" s="500"/>
      <c r="AH40" s="500"/>
      <c r="AI40" s="500"/>
      <c r="AJ40" s="500"/>
      <c r="AK40" s="500"/>
      <c r="AL40" s="500"/>
      <c r="AM40" s="500"/>
      <c r="AN40" s="500"/>
      <c r="AO40" s="500"/>
      <c r="AP40" s="500"/>
      <c r="AQ40" s="500"/>
      <c r="AR40" s="500"/>
      <c r="AS40" s="336"/>
      <c r="AT40" s="58"/>
      <c r="AV40" s="123"/>
      <c r="DY40" s="64"/>
      <c r="EY40" s="501"/>
      <c r="HM40" s="550"/>
      <c r="HN40" s="550"/>
      <c r="HO40" s="550"/>
      <c r="HP40" s="550"/>
      <c r="HQ40" s="550"/>
      <c r="HR40" s="550"/>
      <c r="HS40" s="550"/>
      <c r="HT40" s="550"/>
      <c r="HU40" s="550"/>
      <c r="HV40" s="550"/>
      <c r="HW40" s="550"/>
      <c r="HX40" s="550"/>
      <c r="HY40" s="550"/>
      <c r="HZ40" s="550"/>
      <c r="IA40" s="550"/>
      <c r="IB40" s="550"/>
      <c r="IC40" s="550"/>
      <c r="ID40" s="550"/>
      <c r="IE40" s="550"/>
      <c r="IF40" s="550"/>
      <c r="IG40" s="550"/>
      <c r="II40" s="550"/>
      <c r="JA40" s="58"/>
      <c r="JK40" s="550"/>
      <c r="JO40" s="550"/>
      <c r="JQ40" s="58"/>
    </row>
    <row r="41" spans="3:277" hidden="1">
      <c r="C41" s="500"/>
      <c r="D41" s="500"/>
      <c r="E41" s="500"/>
      <c r="F41" s="500"/>
      <c r="G41" s="500"/>
      <c r="H41" s="500"/>
      <c r="I41" s="500"/>
      <c r="J41" s="500"/>
      <c r="K41" s="500"/>
      <c r="L41" s="500"/>
      <c r="M41" s="500"/>
      <c r="N41" s="500"/>
      <c r="O41" s="500"/>
      <c r="P41" s="500"/>
      <c r="Q41" s="500"/>
      <c r="R41" s="500"/>
      <c r="S41" s="500"/>
      <c r="T41" s="500"/>
      <c r="U41" s="500"/>
      <c r="V41" s="500"/>
      <c r="W41" s="500"/>
      <c r="X41" s="500"/>
      <c r="Y41" s="500"/>
      <c r="Z41" s="500"/>
      <c r="AA41" s="500"/>
      <c r="AB41" s="500"/>
      <c r="AC41" s="500"/>
      <c r="AD41" s="500"/>
      <c r="AE41" s="500"/>
      <c r="AF41" s="500"/>
      <c r="AG41" s="500"/>
      <c r="AH41" s="500"/>
      <c r="AI41" s="500"/>
      <c r="AJ41" s="500"/>
      <c r="AK41" s="500"/>
      <c r="AL41" s="500"/>
      <c r="AM41" s="500"/>
      <c r="AN41" s="500"/>
      <c r="AO41" s="500"/>
      <c r="AP41" s="500"/>
      <c r="AQ41" s="500"/>
      <c r="AR41" s="500"/>
      <c r="AS41" s="336"/>
      <c r="AT41" s="58"/>
      <c r="AV41" s="123"/>
      <c r="DY41" s="64"/>
      <c r="EY41" s="501"/>
      <c r="HM41" s="550"/>
      <c r="HN41" s="550"/>
      <c r="HO41" s="550"/>
      <c r="HP41" s="550"/>
      <c r="HQ41" s="550"/>
      <c r="HR41" s="550"/>
      <c r="HS41" s="550"/>
      <c r="HT41" s="550"/>
      <c r="HU41" s="550"/>
      <c r="HV41" s="550"/>
      <c r="HW41" s="550"/>
      <c r="HX41" s="550"/>
      <c r="HY41" s="550"/>
      <c r="HZ41" s="550"/>
      <c r="IA41" s="550"/>
      <c r="IB41" s="550"/>
      <c r="IC41" s="550"/>
      <c r="ID41" s="550"/>
      <c r="IE41" s="550"/>
      <c r="IF41" s="550"/>
      <c r="IG41" s="550"/>
      <c r="II41" s="550"/>
      <c r="JA41" s="58"/>
      <c r="JK41" s="550"/>
      <c r="JO41" s="550"/>
      <c r="JQ41" s="58"/>
    </row>
    <row r="42" spans="3:277" hidden="1">
      <c r="C42" s="500"/>
      <c r="D42" s="500"/>
      <c r="E42" s="500"/>
      <c r="F42" s="500"/>
      <c r="G42" s="500"/>
      <c r="H42" s="500"/>
      <c r="I42" s="500"/>
      <c r="J42" s="500"/>
      <c r="K42" s="500"/>
      <c r="L42" s="500"/>
      <c r="M42" s="500"/>
      <c r="N42" s="500"/>
      <c r="O42" s="500"/>
      <c r="P42" s="500"/>
      <c r="Q42" s="500"/>
      <c r="R42" s="500"/>
      <c r="S42" s="500"/>
      <c r="T42" s="500"/>
      <c r="U42" s="500"/>
      <c r="V42" s="500"/>
      <c r="W42" s="500"/>
      <c r="X42" s="500"/>
      <c r="Y42" s="500"/>
      <c r="Z42" s="500"/>
      <c r="AA42" s="500"/>
      <c r="AB42" s="500"/>
      <c r="AC42" s="500"/>
      <c r="AD42" s="500"/>
      <c r="AE42" s="500"/>
      <c r="AF42" s="500"/>
      <c r="AG42" s="500"/>
      <c r="AH42" s="500"/>
      <c r="AI42" s="500"/>
      <c r="AJ42" s="500"/>
      <c r="AK42" s="500"/>
      <c r="AL42" s="500"/>
      <c r="AM42" s="500"/>
      <c r="AN42" s="500"/>
      <c r="AO42" s="500"/>
      <c r="AP42" s="500"/>
      <c r="AQ42" s="500"/>
      <c r="AR42" s="500"/>
      <c r="AS42" s="336"/>
      <c r="AT42" s="58"/>
      <c r="AV42" s="123"/>
      <c r="DY42" s="64"/>
      <c r="EY42" s="501"/>
      <c r="HM42" s="550"/>
      <c r="HN42" s="550"/>
      <c r="HO42" s="550"/>
      <c r="HP42" s="550"/>
      <c r="HQ42" s="550"/>
      <c r="HR42" s="550"/>
      <c r="HS42" s="550"/>
      <c r="HT42" s="550"/>
      <c r="HU42" s="550"/>
      <c r="HV42" s="550"/>
      <c r="HW42" s="550"/>
      <c r="HX42" s="550"/>
      <c r="HY42" s="550"/>
      <c r="HZ42" s="550"/>
      <c r="IA42" s="550"/>
      <c r="IB42" s="550"/>
      <c r="IC42" s="550"/>
      <c r="ID42" s="550"/>
      <c r="IE42" s="550"/>
      <c r="IF42" s="550"/>
      <c r="IG42" s="550"/>
      <c r="II42" s="550"/>
      <c r="JA42" s="58"/>
      <c r="JK42" s="550"/>
      <c r="JO42" s="550"/>
      <c r="JQ42" s="58"/>
    </row>
    <row r="43" spans="3:277" hidden="1">
      <c r="C43" s="500"/>
      <c r="D43" s="500"/>
      <c r="E43" s="500"/>
      <c r="F43" s="500"/>
      <c r="G43" s="500"/>
      <c r="H43" s="500"/>
      <c r="I43" s="500"/>
      <c r="J43" s="500"/>
      <c r="K43" s="500"/>
      <c r="L43" s="500"/>
      <c r="M43" s="500"/>
      <c r="N43" s="500"/>
      <c r="O43" s="500"/>
      <c r="P43" s="500"/>
      <c r="Q43" s="500"/>
      <c r="R43" s="500"/>
      <c r="S43" s="500"/>
      <c r="T43" s="500"/>
      <c r="U43" s="500"/>
      <c r="V43" s="500"/>
      <c r="W43" s="500"/>
      <c r="X43" s="500"/>
      <c r="Y43" s="500"/>
      <c r="Z43" s="500"/>
      <c r="AA43" s="500"/>
      <c r="AB43" s="500"/>
      <c r="AC43" s="500"/>
      <c r="AD43" s="500"/>
      <c r="AE43" s="500"/>
      <c r="AF43" s="500"/>
      <c r="AG43" s="500"/>
      <c r="AH43" s="500"/>
      <c r="AI43" s="500"/>
      <c r="AJ43" s="500"/>
      <c r="AK43" s="500"/>
      <c r="AL43" s="500"/>
      <c r="AM43" s="500"/>
      <c r="AN43" s="500"/>
      <c r="AO43" s="500"/>
      <c r="AP43" s="500"/>
      <c r="AQ43" s="500"/>
      <c r="AR43" s="500"/>
      <c r="AS43" s="336"/>
      <c r="AT43" s="58"/>
      <c r="AV43" s="123"/>
      <c r="DY43" s="64"/>
      <c r="EY43" s="501"/>
      <c r="HM43" s="550"/>
      <c r="HN43" s="550"/>
      <c r="HO43" s="550"/>
      <c r="HP43" s="550"/>
      <c r="HQ43" s="550"/>
      <c r="HR43" s="550"/>
      <c r="HS43" s="550"/>
      <c r="HT43" s="550"/>
      <c r="HU43" s="550"/>
      <c r="HV43" s="550"/>
      <c r="HW43" s="550"/>
      <c r="HX43" s="550"/>
      <c r="HY43" s="550"/>
      <c r="HZ43" s="550"/>
      <c r="IA43" s="550"/>
      <c r="IB43" s="550"/>
      <c r="IC43" s="550"/>
      <c r="ID43" s="550"/>
      <c r="IE43" s="550"/>
      <c r="IF43" s="550"/>
      <c r="IG43" s="550"/>
      <c r="II43" s="550"/>
      <c r="JA43" s="58"/>
      <c r="JK43" s="550"/>
      <c r="JO43" s="550"/>
      <c r="JQ43" s="58"/>
    </row>
    <row r="44" spans="3:277" hidden="1">
      <c r="C44" s="500"/>
      <c r="D44" s="500"/>
      <c r="E44" s="500"/>
      <c r="F44" s="500"/>
      <c r="G44" s="500"/>
      <c r="H44" s="500"/>
      <c r="I44" s="500"/>
      <c r="J44" s="500"/>
      <c r="K44" s="500"/>
      <c r="L44" s="500"/>
      <c r="M44" s="500"/>
      <c r="N44" s="500"/>
      <c r="O44" s="500"/>
      <c r="P44" s="500"/>
      <c r="Q44" s="500"/>
      <c r="R44" s="500"/>
      <c r="S44" s="500"/>
      <c r="T44" s="500"/>
      <c r="U44" s="500"/>
      <c r="V44" s="500"/>
      <c r="W44" s="500"/>
      <c r="X44" s="500"/>
      <c r="Y44" s="500"/>
      <c r="Z44" s="500"/>
      <c r="AA44" s="500"/>
      <c r="AB44" s="500"/>
      <c r="AC44" s="500"/>
      <c r="AD44" s="500"/>
      <c r="AE44" s="500"/>
      <c r="AF44" s="500"/>
      <c r="AG44" s="500"/>
      <c r="AH44" s="500"/>
      <c r="AI44" s="500"/>
      <c r="AJ44" s="500"/>
      <c r="AK44" s="500"/>
      <c r="AL44" s="500"/>
      <c r="AM44" s="500"/>
      <c r="AN44" s="500"/>
      <c r="AO44" s="500"/>
      <c r="AP44" s="500"/>
      <c r="AQ44" s="500"/>
      <c r="AR44" s="500"/>
      <c r="AS44" s="336"/>
      <c r="AT44" s="58"/>
      <c r="AV44" s="123"/>
      <c r="DY44" s="64"/>
      <c r="EY44" s="501"/>
      <c r="HM44" s="550"/>
      <c r="HN44" s="550"/>
      <c r="HO44" s="550"/>
      <c r="HP44" s="550"/>
      <c r="HQ44" s="550"/>
      <c r="HR44" s="550"/>
      <c r="HS44" s="550"/>
      <c r="HT44" s="550"/>
      <c r="HU44" s="550"/>
      <c r="HV44" s="550"/>
      <c r="HW44" s="550"/>
      <c r="HX44" s="550"/>
      <c r="HY44" s="550"/>
      <c r="HZ44" s="550"/>
      <c r="IA44" s="550"/>
      <c r="IB44" s="550"/>
      <c r="IC44" s="550"/>
      <c r="ID44" s="550"/>
      <c r="IE44" s="550"/>
      <c r="IF44" s="550"/>
      <c r="IG44" s="550"/>
      <c r="II44" s="550"/>
      <c r="JA44" s="58"/>
      <c r="JK44" s="550"/>
      <c r="JO44" s="550"/>
      <c r="JQ44" s="58"/>
    </row>
    <row r="45" spans="3:277" hidden="1">
      <c r="C45" s="500"/>
      <c r="D45" s="500"/>
      <c r="E45" s="500"/>
      <c r="F45" s="500"/>
      <c r="G45" s="500"/>
      <c r="H45" s="500"/>
      <c r="I45" s="500"/>
      <c r="J45" s="500"/>
      <c r="K45" s="500"/>
      <c r="L45" s="500"/>
      <c r="M45" s="500"/>
      <c r="N45" s="500"/>
      <c r="O45" s="500"/>
      <c r="P45" s="500"/>
      <c r="Q45" s="500"/>
      <c r="R45" s="500"/>
      <c r="S45" s="500"/>
      <c r="T45" s="500"/>
      <c r="U45" s="500"/>
      <c r="V45" s="500"/>
      <c r="W45" s="500"/>
      <c r="X45" s="500"/>
      <c r="Y45" s="500"/>
      <c r="Z45" s="500"/>
      <c r="AA45" s="500"/>
      <c r="AB45" s="500"/>
      <c r="AC45" s="500"/>
      <c r="AD45" s="500"/>
      <c r="AE45" s="500"/>
      <c r="AF45" s="500"/>
      <c r="AG45" s="500"/>
      <c r="AH45" s="500"/>
      <c r="AI45" s="500"/>
      <c r="AJ45" s="500"/>
      <c r="AK45" s="500"/>
      <c r="AL45" s="500"/>
      <c r="AM45" s="500"/>
      <c r="AN45" s="500"/>
      <c r="AO45" s="500"/>
      <c r="AP45" s="500"/>
      <c r="AQ45" s="500"/>
      <c r="AR45" s="500"/>
      <c r="AS45" s="336"/>
      <c r="AT45" s="58"/>
      <c r="AV45" s="123"/>
      <c r="DY45" s="64"/>
      <c r="EY45" s="501"/>
      <c r="HM45" s="550"/>
      <c r="HN45" s="550"/>
      <c r="HO45" s="550"/>
      <c r="HP45" s="550"/>
      <c r="HQ45" s="550"/>
      <c r="HR45" s="550"/>
      <c r="HS45" s="550"/>
      <c r="HT45" s="550"/>
      <c r="HU45" s="550"/>
      <c r="HV45" s="550"/>
      <c r="HW45" s="550"/>
      <c r="HX45" s="550"/>
      <c r="HY45" s="550"/>
      <c r="HZ45" s="550"/>
      <c r="IA45" s="550"/>
      <c r="IB45" s="550"/>
      <c r="IC45" s="550"/>
      <c r="ID45" s="550"/>
      <c r="IE45" s="550"/>
      <c r="IF45" s="550"/>
      <c r="IG45" s="550"/>
      <c r="II45" s="550"/>
      <c r="JA45" s="58"/>
      <c r="JK45" s="550"/>
      <c r="JO45" s="550"/>
      <c r="JQ45" s="58"/>
    </row>
    <row r="46" spans="3:277" hidden="1">
      <c r="C46" s="500"/>
      <c r="D46" s="500"/>
      <c r="E46" s="500"/>
      <c r="F46" s="500"/>
      <c r="G46" s="500"/>
      <c r="H46" s="500"/>
      <c r="I46" s="500"/>
      <c r="J46" s="500"/>
      <c r="K46" s="500"/>
      <c r="L46" s="500"/>
      <c r="M46" s="500"/>
      <c r="N46" s="500"/>
      <c r="O46" s="500"/>
      <c r="P46" s="500"/>
      <c r="Q46" s="500"/>
      <c r="R46" s="500"/>
      <c r="S46" s="500"/>
      <c r="T46" s="500"/>
      <c r="U46" s="500"/>
      <c r="V46" s="500"/>
      <c r="W46" s="500"/>
      <c r="X46" s="500"/>
      <c r="Y46" s="500"/>
      <c r="Z46" s="500"/>
      <c r="AA46" s="500"/>
      <c r="AB46" s="500"/>
      <c r="AC46" s="500"/>
      <c r="AD46" s="500"/>
      <c r="AE46" s="500"/>
      <c r="AF46" s="500"/>
      <c r="AG46" s="500"/>
      <c r="AH46" s="500"/>
      <c r="AI46" s="500"/>
      <c r="AJ46" s="500"/>
      <c r="AK46" s="500"/>
      <c r="AL46" s="500"/>
      <c r="AM46" s="500"/>
      <c r="AN46" s="500"/>
      <c r="AO46" s="500"/>
      <c r="AP46" s="500"/>
      <c r="AQ46" s="500"/>
      <c r="AR46" s="500"/>
      <c r="AS46" s="336"/>
      <c r="AT46" s="58"/>
      <c r="AV46" s="123"/>
      <c r="DY46" s="64"/>
      <c r="EY46" s="501"/>
      <c r="HM46" s="550"/>
      <c r="HN46" s="550"/>
      <c r="HO46" s="550"/>
      <c r="HP46" s="550"/>
      <c r="HQ46" s="550"/>
      <c r="HR46" s="550"/>
      <c r="HS46" s="550"/>
      <c r="HT46" s="550"/>
      <c r="HU46" s="550"/>
      <c r="HV46" s="550"/>
      <c r="HW46" s="550"/>
      <c r="HX46" s="550"/>
      <c r="HY46" s="550"/>
      <c r="HZ46" s="550"/>
      <c r="IA46" s="550"/>
      <c r="IB46" s="550"/>
      <c r="IC46" s="550"/>
      <c r="ID46" s="550"/>
      <c r="IE46" s="550"/>
      <c r="IF46" s="550"/>
      <c r="IG46" s="550"/>
      <c r="II46" s="550"/>
      <c r="JA46" s="58"/>
      <c r="JK46" s="550"/>
      <c r="JO46" s="550"/>
      <c r="JQ46" s="58"/>
    </row>
    <row r="47" spans="3:277" hidden="1">
      <c r="C47" s="500"/>
      <c r="D47" s="500"/>
      <c r="E47" s="500"/>
      <c r="F47" s="500"/>
      <c r="G47" s="500"/>
      <c r="H47" s="500"/>
      <c r="I47" s="500"/>
      <c r="J47" s="500"/>
      <c r="K47" s="500"/>
      <c r="L47" s="500"/>
      <c r="M47" s="500"/>
      <c r="N47" s="500"/>
      <c r="O47" s="500"/>
      <c r="P47" s="500"/>
      <c r="Q47" s="500"/>
      <c r="R47" s="500"/>
      <c r="S47" s="500"/>
      <c r="T47" s="500"/>
      <c r="U47" s="500"/>
      <c r="V47" s="500"/>
      <c r="W47" s="500"/>
      <c r="X47" s="500"/>
      <c r="Y47" s="500"/>
      <c r="Z47" s="500"/>
      <c r="AA47" s="500"/>
      <c r="AB47" s="500"/>
      <c r="AC47" s="500"/>
      <c r="AD47" s="500"/>
      <c r="AE47" s="500"/>
      <c r="AF47" s="500"/>
      <c r="AG47" s="500"/>
      <c r="AH47" s="500"/>
      <c r="AI47" s="500"/>
      <c r="AJ47" s="500"/>
      <c r="AK47" s="500"/>
      <c r="AL47" s="500"/>
      <c r="AM47" s="500"/>
      <c r="AN47" s="500"/>
      <c r="AO47" s="500"/>
      <c r="AP47" s="500"/>
      <c r="AQ47" s="500"/>
      <c r="AR47" s="500"/>
      <c r="AS47" s="336"/>
      <c r="AT47" s="58"/>
      <c r="AV47" s="123"/>
      <c r="DY47" s="64"/>
      <c r="EY47" s="501"/>
      <c r="HM47" s="550"/>
      <c r="HN47" s="550"/>
      <c r="HO47" s="550"/>
      <c r="HP47" s="550"/>
      <c r="HQ47" s="550"/>
      <c r="HR47" s="550"/>
      <c r="HS47" s="550"/>
      <c r="HT47" s="550"/>
      <c r="HU47" s="550"/>
      <c r="HV47" s="550"/>
      <c r="HW47" s="550"/>
      <c r="HX47" s="550"/>
      <c r="HY47" s="550"/>
      <c r="HZ47" s="550"/>
      <c r="IA47" s="550"/>
      <c r="IB47" s="550"/>
      <c r="IC47" s="550"/>
      <c r="ID47" s="550"/>
      <c r="IE47" s="550"/>
      <c r="IF47" s="550"/>
      <c r="IG47" s="550"/>
      <c r="II47" s="550"/>
      <c r="JA47" s="58"/>
      <c r="JK47" s="550"/>
      <c r="JO47" s="550"/>
      <c r="JQ47" s="58"/>
    </row>
    <row r="48" spans="3:277" hidden="1">
      <c r="C48" s="500"/>
      <c r="D48" s="500"/>
      <c r="E48" s="500"/>
      <c r="F48" s="500"/>
      <c r="G48" s="500"/>
      <c r="H48" s="500"/>
      <c r="I48" s="500"/>
      <c r="J48" s="500"/>
      <c r="K48" s="500"/>
      <c r="L48" s="500"/>
      <c r="M48" s="500"/>
      <c r="N48" s="500"/>
      <c r="O48" s="500"/>
      <c r="P48" s="500"/>
      <c r="Q48" s="500"/>
      <c r="R48" s="500"/>
      <c r="S48" s="500"/>
      <c r="T48" s="500"/>
      <c r="U48" s="500"/>
      <c r="V48" s="500"/>
      <c r="W48" s="500"/>
      <c r="X48" s="500"/>
      <c r="Y48" s="500"/>
      <c r="Z48" s="500"/>
      <c r="AA48" s="500"/>
      <c r="AB48" s="500"/>
      <c r="AC48" s="500"/>
      <c r="AD48" s="500"/>
      <c r="AE48" s="500"/>
      <c r="AF48" s="500"/>
      <c r="AG48" s="500"/>
      <c r="AH48" s="500"/>
      <c r="AI48" s="500"/>
      <c r="AJ48" s="500"/>
      <c r="AK48" s="500"/>
      <c r="AL48" s="500"/>
      <c r="AM48" s="500"/>
      <c r="AN48" s="500"/>
      <c r="AO48" s="500"/>
      <c r="AP48" s="500"/>
      <c r="AQ48" s="500"/>
      <c r="AR48" s="500"/>
      <c r="AS48" s="336"/>
      <c r="AT48" s="58"/>
      <c r="AV48" s="123"/>
      <c r="DY48" s="64"/>
      <c r="EY48" s="501"/>
      <c r="HM48" s="550"/>
      <c r="HN48" s="550"/>
      <c r="HO48" s="550"/>
      <c r="HP48" s="550"/>
      <c r="HQ48" s="550"/>
      <c r="HR48" s="550"/>
      <c r="HS48" s="550"/>
      <c r="HT48" s="550"/>
      <c r="HU48" s="550"/>
      <c r="HV48" s="550"/>
      <c r="HW48" s="550"/>
      <c r="HX48" s="550"/>
      <c r="HY48" s="550"/>
      <c r="HZ48" s="550"/>
      <c r="IA48" s="550"/>
      <c r="IB48" s="550"/>
      <c r="IC48" s="550"/>
      <c r="ID48" s="550"/>
      <c r="IE48" s="550"/>
      <c r="IF48" s="550"/>
      <c r="IG48" s="550"/>
      <c r="II48" s="550"/>
      <c r="JA48" s="58"/>
      <c r="JK48" s="550"/>
      <c r="JO48" s="550"/>
      <c r="JQ48" s="58"/>
    </row>
    <row r="49" spans="3:277" hidden="1">
      <c r="C49" s="500"/>
      <c r="D49" s="500"/>
      <c r="E49" s="500"/>
      <c r="F49" s="500"/>
      <c r="G49" s="500"/>
      <c r="H49" s="500"/>
      <c r="I49" s="500"/>
      <c r="J49" s="500"/>
      <c r="K49" s="500"/>
      <c r="L49" s="500"/>
      <c r="M49" s="500"/>
      <c r="N49" s="500"/>
      <c r="O49" s="500"/>
      <c r="P49" s="500"/>
      <c r="Q49" s="500"/>
      <c r="R49" s="500"/>
      <c r="S49" s="500"/>
      <c r="T49" s="500"/>
      <c r="U49" s="500"/>
      <c r="V49" s="500"/>
      <c r="W49" s="500"/>
      <c r="X49" s="500"/>
      <c r="Y49" s="500"/>
      <c r="Z49" s="500"/>
      <c r="AA49" s="500"/>
      <c r="AB49" s="500"/>
      <c r="AC49" s="500"/>
      <c r="AD49" s="500"/>
      <c r="AE49" s="500"/>
      <c r="AF49" s="500"/>
      <c r="AG49" s="500"/>
      <c r="AH49" s="500"/>
      <c r="AI49" s="500"/>
      <c r="AJ49" s="500"/>
      <c r="AK49" s="500"/>
      <c r="AL49" s="500"/>
      <c r="AM49" s="500"/>
      <c r="AN49" s="500"/>
      <c r="AO49" s="500"/>
      <c r="AP49" s="500"/>
      <c r="AQ49" s="500"/>
      <c r="AR49" s="500"/>
      <c r="AS49" s="336"/>
      <c r="AT49" s="58"/>
      <c r="AV49" s="123"/>
      <c r="DY49" s="64"/>
      <c r="EY49" s="501"/>
      <c r="HM49" s="550"/>
      <c r="HN49" s="550"/>
      <c r="HO49" s="550"/>
      <c r="HP49" s="550"/>
      <c r="HQ49" s="550"/>
      <c r="HR49" s="550"/>
      <c r="HS49" s="550"/>
      <c r="HT49" s="550"/>
      <c r="HU49" s="550"/>
      <c r="HV49" s="550"/>
      <c r="HW49" s="550"/>
      <c r="HX49" s="550"/>
      <c r="HY49" s="550"/>
      <c r="HZ49" s="550"/>
      <c r="IA49" s="550"/>
      <c r="IB49" s="550"/>
      <c r="IC49" s="550"/>
      <c r="ID49" s="550"/>
      <c r="IE49" s="550"/>
      <c r="IF49" s="550"/>
      <c r="IG49" s="550"/>
      <c r="II49" s="550"/>
      <c r="JA49" s="58"/>
      <c r="JK49" s="550"/>
      <c r="JO49" s="550"/>
      <c r="JQ49" s="58"/>
    </row>
    <row r="50" spans="3:277" hidden="1">
      <c r="C50" s="500"/>
      <c r="D50" s="500"/>
      <c r="E50" s="500"/>
      <c r="F50" s="500"/>
      <c r="G50" s="500"/>
      <c r="H50" s="500"/>
      <c r="I50" s="500"/>
      <c r="J50" s="500"/>
      <c r="K50" s="500"/>
      <c r="L50" s="500"/>
      <c r="M50" s="500"/>
      <c r="N50" s="500"/>
      <c r="O50" s="500"/>
      <c r="P50" s="500"/>
      <c r="Q50" s="500"/>
      <c r="R50" s="500"/>
      <c r="S50" s="500"/>
      <c r="T50" s="500"/>
      <c r="U50" s="500"/>
      <c r="V50" s="500"/>
      <c r="W50" s="500"/>
      <c r="X50" s="500"/>
      <c r="Y50" s="500"/>
      <c r="Z50" s="500"/>
      <c r="AA50" s="500"/>
      <c r="AB50" s="500"/>
      <c r="AC50" s="500"/>
      <c r="AD50" s="500"/>
      <c r="AE50" s="500"/>
      <c r="AF50" s="500"/>
      <c r="AG50" s="500"/>
      <c r="AH50" s="500"/>
      <c r="AI50" s="500"/>
      <c r="AJ50" s="500"/>
      <c r="AK50" s="500"/>
      <c r="AL50" s="500"/>
      <c r="AM50" s="500"/>
      <c r="AN50" s="500"/>
      <c r="AO50" s="500"/>
      <c r="AP50" s="500"/>
      <c r="AQ50" s="500"/>
      <c r="AR50" s="500"/>
      <c r="AS50" s="336"/>
      <c r="AT50" s="58"/>
      <c r="AV50" s="123"/>
      <c r="DY50" s="64"/>
      <c r="EY50" s="501"/>
      <c r="HM50" s="550"/>
      <c r="HN50" s="550"/>
      <c r="HO50" s="550"/>
      <c r="HP50" s="550"/>
      <c r="HQ50" s="550"/>
      <c r="HR50" s="550"/>
      <c r="HS50" s="550"/>
      <c r="HT50" s="550"/>
      <c r="HU50" s="550"/>
      <c r="HV50" s="550"/>
      <c r="HW50" s="550"/>
      <c r="HX50" s="550"/>
      <c r="HY50" s="550"/>
      <c r="HZ50" s="550"/>
      <c r="IA50" s="550"/>
      <c r="IB50" s="550"/>
      <c r="IC50" s="550"/>
      <c r="ID50" s="550"/>
      <c r="IE50" s="550"/>
      <c r="IF50" s="550"/>
      <c r="IG50" s="550"/>
      <c r="II50" s="550"/>
      <c r="JA50" s="58"/>
      <c r="JK50" s="550"/>
      <c r="JO50" s="550"/>
      <c r="JQ50" s="58"/>
    </row>
    <row r="51" spans="3:277" hidden="1">
      <c r="C51" s="500"/>
      <c r="D51" s="500"/>
      <c r="E51" s="500"/>
      <c r="F51" s="500"/>
      <c r="G51" s="500"/>
      <c r="H51" s="500"/>
      <c r="I51" s="500"/>
      <c r="J51" s="500"/>
      <c r="K51" s="500"/>
      <c r="L51" s="500"/>
      <c r="M51" s="500"/>
      <c r="N51" s="500"/>
      <c r="O51" s="500"/>
      <c r="P51" s="500"/>
      <c r="Q51" s="500"/>
      <c r="R51" s="500"/>
      <c r="S51" s="500"/>
      <c r="T51" s="500"/>
      <c r="U51" s="500"/>
      <c r="V51" s="500"/>
      <c r="W51" s="500"/>
      <c r="X51" s="500"/>
      <c r="Y51" s="500"/>
      <c r="Z51" s="500"/>
      <c r="AA51" s="500"/>
      <c r="AB51" s="500"/>
      <c r="AC51" s="500"/>
      <c r="AD51" s="500"/>
      <c r="AE51" s="500"/>
      <c r="AF51" s="500"/>
      <c r="AG51" s="500"/>
      <c r="AH51" s="500"/>
      <c r="AI51" s="500"/>
      <c r="AJ51" s="500"/>
      <c r="AK51" s="500"/>
      <c r="AL51" s="500"/>
      <c r="AM51" s="500"/>
      <c r="AN51" s="500"/>
      <c r="AO51" s="500"/>
      <c r="AP51" s="500"/>
      <c r="AQ51" s="500"/>
      <c r="AR51" s="500"/>
      <c r="AS51" s="336"/>
      <c r="AT51" s="58"/>
      <c r="AV51" s="123"/>
      <c r="DY51" s="64"/>
      <c r="EY51" s="501"/>
      <c r="HM51" s="550"/>
      <c r="HN51" s="550"/>
      <c r="HO51" s="550"/>
      <c r="HP51" s="550"/>
      <c r="HQ51" s="550"/>
      <c r="HR51" s="550"/>
      <c r="HS51" s="550"/>
      <c r="HT51" s="550"/>
      <c r="HU51" s="550"/>
      <c r="HV51" s="550"/>
      <c r="HW51" s="550"/>
      <c r="HX51" s="550"/>
      <c r="HY51" s="550"/>
      <c r="HZ51" s="550"/>
      <c r="IA51" s="550"/>
      <c r="IB51" s="550"/>
      <c r="IC51" s="550"/>
      <c r="ID51" s="550"/>
      <c r="IE51" s="550"/>
      <c r="IF51" s="550"/>
      <c r="IG51" s="550"/>
      <c r="II51" s="550"/>
      <c r="JA51" s="58"/>
      <c r="JK51" s="550"/>
      <c r="JO51" s="550"/>
      <c r="JQ51" s="58"/>
    </row>
    <row r="52" spans="3:277" hidden="1">
      <c r="C52" s="500"/>
      <c r="D52" s="500"/>
      <c r="E52" s="500"/>
      <c r="F52" s="500"/>
      <c r="G52" s="500"/>
      <c r="H52" s="500"/>
      <c r="I52" s="500"/>
      <c r="J52" s="500"/>
      <c r="K52" s="500"/>
      <c r="L52" s="500"/>
      <c r="M52" s="500"/>
      <c r="N52" s="500"/>
      <c r="O52" s="500"/>
      <c r="P52" s="500"/>
      <c r="Q52" s="500"/>
      <c r="R52" s="500"/>
      <c r="S52" s="500"/>
      <c r="T52" s="500"/>
      <c r="U52" s="500"/>
      <c r="V52" s="500"/>
      <c r="W52" s="500"/>
      <c r="X52" s="500"/>
      <c r="Y52" s="500"/>
      <c r="Z52" s="500"/>
      <c r="AA52" s="500"/>
      <c r="AB52" s="500"/>
      <c r="AC52" s="500"/>
      <c r="AD52" s="500"/>
      <c r="AE52" s="500"/>
      <c r="AF52" s="500"/>
      <c r="AG52" s="500"/>
      <c r="AH52" s="500"/>
      <c r="AI52" s="500"/>
      <c r="AJ52" s="500"/>
      <c r="AK52" s="500"/>
      <c r="AL52" s="500"/>
      <c r="AM52" s="500"/>
      <c r="AN52" s="500"/>
      <c r="AO52" s="500"/>
      <c r="AP52" s="500"/>
      <c r="AQ52" s="500"/>
      <c r="AR52" s="500"/>
      <c r="AS52" s="336"/>
      <c r="AT52" s="58"/>
      <c r="AV52" s="123"/>
      <c r="DY52" s="64"/>
      <c r="EY52" s="501"/>
      <c r="HM52" s="550"/>
      <c r="HN52" s="550"/>
      <c r="HO52" s="550"/>
      <c r="HP52" s="550"/>
      <c r="HQ52" s="550"/>
      <c r="HR52" s="550"/>
      <c r="HS52" s="550"/>
      <c r="HT52" s="550"/>
      <c r="HU52" s="550"/>
      <c r="HV52" s="550"/>
      <c r="HW52" s="550"/>
      <c r="HX52" s="550"/>
      <c r="HY52" s="550"/>
      <c r="HZ52" s="550"/>
      <c r="IA52" s="550"/>
      <c r="IB52" s="550"/>
      <c r="IC52" s="550"/>
      <c r="ID52" s="550"/>
      <c r="IE52" s="550"/>
      <c r="IF52" s="550"/>
      <c r="IG52" s="550"/>
      <c r="II52" s="550"/>
      <c r="JA52" s="58"/>
      <c r="JK52" s="550"/>
      <c r="JO52" s="550"/>
      <c r="JQ52" s="58"/>
    </row>
    <row r="53" spans="3:277" hidden="1">
      <c r="C53" s="500"/>
      <c r="D53" s="500"/>
      <c r="E53" s="500"/>
      <c r="F53" s="500"/>
      <c r="G53" s="500"/>
      <c r="H53" s="500"/>
      <c r="I53" s="500"/>
      <c r="J53" s="500"/>
      <c r="K53" s="500"/>
      <c r="L53" s="500"/>
      <c r="M53" s="500"/>
      <c r="N53" s="500"/>
      <c r="O53" s="500"/>
      <c r="P53" s="500"/>
      <c r="Q53" s="500"/>
      <c r="R53" s="500"/>
      <c r="S53" s="500"/>
      <c r="T53" s="500"/>
      <c r="U53" s="500"/>
      <c r="V53" s="500"/>
      <c r="W53" s="500"/>
      <c r="X53" s="500"/>
      <c r="Y53" s="500"/>
      <c r="Z53" s="500"/>
      <c r="AA53" s="500"/>
      <c r="AB53" s="500"/>
      <c r="AC53" s="500"/>
      <c r="AD53" s="500"/>
      <c r="AE53" s="500"/>
      <c r="AF53" s="500"/>
      <c r="AG53" s="500"/>
      <c r="AH53" s="500"/>
      <c r="AI53" s="500"/>
      <c r="AJ53" s="500"/>
      <c r="AK53" s="500"/>
      <c r="AL53" s="500"/>
      <c r="AM53" s="500"/>
      <c r="AN53" s="500"/>
      <c r="AO53" s="500"/>
      <c r="AP53" s="500"/>
      <c r="AQ53" s="500"/>
      <c r="AR53" s="500"/>
      <c r="AS53" s="336"/>
      <c r="AT53" s="58"/>
      <c r="AV53" s="123"/>
      <c r="DY53" s="64"/>
      <c r="EY53" s="501"/>
      <c r="HM53" s="550"/>
      <c r="HN53" s="550"/>
      <c r="HO53" s="550"/>
      <c r="HP53" s="550"/>
      <c r="HQ53" s="550"/>
      <c r="HR53" s="550"/>
      <c r="HS53" s="550"/>
      <c r="HT53" s="550"/>
      <c r="HU53" s="550"/>
      <c r="HV53" s="550"/>
      <c r="HW53" s="550"/>
      <c r="HX53" s="550"/>
      <c r="HY53" s="550"/>
      <c r="HZ53" s="550"/>
      <c r="IA53" s="550"/>
      <c r="IB53" s="550"/>
      <c r="IC53" s="550"/>
      <c r="ID53" s="550"/>
      <c r="IE53" s="550"/>
      <c r="IF53" s="550"/>
      <c r="IG53" s="550"/>
      <c r="II53" s="550"/>
      <c r="JA53" s="58"/>
      <c r="JK53" s="550"/>
      <c r="JO53" s="550"/>
      <c r="JQ53" s="58"/>
    </row>
    <row r="54" spans="3:277" hidden="1">
      <c r="C54" s="500"/>
      <c r="D54" s="500"/>
      <c r="E54" s="500"/>
      <c r="F54" s="500"/>
      <c r="G54" s="500"/>
      <c r="H54" s="500"/>
      <c r="I54" s="500"/>
      <c r="J54" s="500"/>
      <c r="K54" s="500"/>
      <c r="L54" s="500"/>
      <c r="M54" s="500"/>
      <c r="N54" s="500"/>
      <c r="O54" s="500"/>
      <c r="P54" s="500"/>
      <c r="Q54" s="500"/>
      <c r="R54" s="500"/>
      <c r="S54" s="500"/>
      <c r="T54" s="500"/>
      <c r="U54" s="500"/>
      <c r="V54" s="500"/>
      <c r="W54" s="500"/>
      <c r="X54" s="500"/>
      <c r="Y54" s="500"/>
      <c r="Z54" s="500"/>
      <c r="AA54" s="500"/>
      <c r="AB54" s="500"/>
      <c r="AC54" s="500"/>
      <c r="AD54" s="500"/>
      <c r="AE54" s="500"/>
      <c r="AF54" s="500"/>
      <c r="AG54" s="500"/>
      <c r="AH54" s="500"/>
      <c r="AI54" s="500"/>
      <c r="AJ54" s="500"/>
      <c r="AK54" s="500"/>
      <c r="AL54" s="500"/>
      <c r="AM54" s="500"/>
      <c r="AN54" s="500"/>
      <c r="AO54" s="500"/>
      <c r="AP54" s="500"/>
      <c r="AQ54" s="500"/>
      <c r="AR54" s="500"/>
      <c r="AS54" s="336"/>
      <c r="AT54" s="58"/>
      <c r="AV54" s="123"/>
      <c r="DY54" s="64"/>
      <c r="EY54" s="501"/>
      <c r="HM54" s="550"/>
      <c r="HN54" s="550"/>
      <c r="HO54" s="550"/>
      <c r="HP54" s="550"/>
      <c r="HQ54" s="550"/>
      <c r="HR54" s="550"/>
      <c r="HS54" s="550"/>
      <c r="HT54" s="550"/>
      <c r="HU54" s="550"/>
      <c r="HV54" s="550"/>
      <c r="HW54" s="550"/>
      <c r="HX54" s="550"/>
      <c r="HY54" s="550"/>
      <c r="HZ54" s="550"/>
      <c r="IA54" s="550"/>
      <c r="IB54" s="550"/>
      <c r="IC54" s="550"/>
      <c r="ID54" s="550"/>
      <c r="IE54" s="550"/>
      <c r="IF54" s="550"/>
      <c r="IG54" s="550"/>
      <c r="II54" s="550"/>
      <c r="JA54" s="58"/>
      <c r="JK54" s="550"/>
      <c r="JO54" s="550"/>
      <c r="JQ54" s="58"/>
    </row>
    <row r="55" spans="3:277" hidden="1">
      <c r="C55" s="500"/>
      <c r="D55" s="500"/>
      <c r="E55" s="500"/>
      <c r="F55" s="500"/>
      <c r="G55" s="500"/>
      <c r="H55" s="500"/>
      <c r="I55" s="500"/>
      <c r="J55" s="500"/>
      <c r="K55" s="500"/>
      <c r="L55" s="500"/>
      <c r="M55" s="500"/>
      <c r="N55" s="500"/>
      <c r="O55" s="500"/>
      <c r="P55" s="500"/>
      <c r="Q55" s="500"/>
      <c r="R55" s="500"/>
      <c r="S55" s="500"/>
      <c r="T55" s="500"/>
      <c r="U55" s="500"/>
      <c r="V55" s="500"/>
      <c r="W55" s="500"/>
      <c r="X55" s="500"/>
      <c r="Y55" s="500"/>
      <c r="Z55" s="500"/>
      <c r="AA55" s="500"/>
      <c r="AB55" s="500"/>
      <c r="AC55" s="500"/>
      <c r="AD55" s="500"/>
      <c r="AE55" s="500"/>
      <c r="AF55" s="500"/>
      <c r="AG55" s="500"/>
      <c r="AH55" s="500"/>
      <c r="AI55" s="500"/>
      <c r="AJ55" s="500"/>
      <c r="AK55" s="500"/>
      <c r="AL55" s="500"/>
      <c r="AM55" s="500"/>
      <c r="AN55" s="500"/>
      <c r="AO55" s="500"/>
      <c r="AP55" s="500"/>
      <c r="AQ55" s="500"/>
      <c r="AR55" s="500"/>
      <c r="AS55" s="336"/>
      <c r="AT55" s="58"/>
      <c r="AV55" s="123"/>
      <c r="DY55" s="64"/>
      <c r="EY55" s="501"/>
      <c r="HM55" s="550"/>
      <c r="HN55" s="550"/>
      <c r="HO55" s="550"/>
      <c r="HP55" s="550"/>
      <c r="HQ55" s="550"/>
      <c r="HR55" s="550"/>
      <c r="HS55" s="550"/>
      <c r="HT55" s="550"/>
      <c r="HU55" s="550"/>
      <c r="HV55" s="550"/>
      <c r="HW55" s="550"/>
      <c r="HX55" s="550"/>
      <c r="HY55" s="550"/>
      <c r="HZ55" s="550"/>
      <c r="IA55" s="550"/>
      <c r="IB55" s="550"/>
      <c r="IC55" s="550"/>
      <c r="ID55" s="550"/>
      <c r="IE55" s="550"/>
      <c r="IF55" s="550"/>
      <c r="IG55" s="550"/>
      <c r="II55" s="550"/>
      <c r="JA55" s="58"/>
      <c r="JK55" s="550"/>
      <c r="JO55" s="550"/>
      <c r="JQ55" s="58"/>
    </row>
    <row r="56" spans="3:277" hidden="1">
      <c r="C56" s="500"/>
      <c r="D56" s="500"/>
      <c r="E56" s="500"/>
      <c r="F56" s="500"/>
      <c r="G56" s="500"/>
      <c r="H56" s="500"/>
      <c r="I56" s="500"/>
      <c r="J56" s="500"/>
      <c r="K56" s="500"/>
      <c r="L56" s="500"/>
      <c r="M56" s="500"/>
      <c r="N56" s="500"/>
      <c r="O56" s="500"/>
      <c r="P56" s="500"/>
      <c r="Q56" s="500"/>
      <c r="R56" s="500"/>
      <c r="S56" s="500"/>
      <c r="T56" s="500"/>
      <c r="U56" s="500"/>
      <c r="V56" s="500"/>
      <c r="W56" s="500"/>
      <c r="X56" s="500"/>
      <c r="Y56" s="500"/>
      <c r="Z56" s="500"/>
      <c r="AA56" s="500"/>
      <c r="AB56" s="500"/>
      <c r="AC56" s="500"/>
      <c r="AD56" s="500"/>
      <c r="AE56" s="500"/>
      <c r="AF56" s="500"/>
      <c r="AG56" s="500"/>
      <c r="AH56" s="500"/>
      <c r="AI56" s="500"/>
      <c r="AJ56" s="500"/>
      <c r="AK56" s="500"/>
      <c r="AL56" s="500"/>
      <c r="AM56" s="500"/>
      <c r="AN56" s="500"/>
      <c r="AO56" s="500"/>
      <c r="AP56" s="500"/>
      <c r="AQ56" s="500"/>
      <c r="AR56" s="500"/>
      <c r="AS56" s="336"/>
      <c r="AT56" s="58"/>
      <c r="AV56" s="123"/>
      <c r="DY56" s="64"/>
      <c r="EY56" s="501"/>
      <c r="HM56" s="550"/>
      <c r="HN56" s="550"/>
      <c r="HO56" s="550"/>
      <c r="HP56" s="550"/>
      <c r="HQ56" s="550"/>
      <c r="HR56" s="550"/>
      <c r="HS56" s="550"/>
      <c r="HT56" s="550"/>
      <c r="HU56" s="550"/>
      <c r="HV56" s="550"/>
      <c r="HW56" s="550"/>
      <c r="HX56" s="550"/>
      <c r="HY56" s="550"/>
      <c r="HZ56" s="550"/>
      <c r="IA56" s="550"/>
      <c r="IB56" s="550"/>
      <c r="IC56" s="550"/>
      <c r="ID56" s="550"/>
      <c r="IE56" s="550"/>
      <c r="IF56" s="550"/>
      <c r="IG56" s="550"/>
      <c r="II56" s="550"/>
      <c r="JA56" s="58"/>
      <c r="JK56" s="550"/>
      <c r="JO56" s="550"/>
      <c r="JQ56" s="58"/>
    </row>
    <row r="57" spans="3:277" hidden="1">
      <c r="C57" s="500"/>
      <c r="D57" s="500"/>
      <c r="E57" s="500"/>
      <c r="F57" s="500"/>
      <c r="G57" s="500"/>
      <c r="H57" s="500"/>
      <c r="I57" s="500"/>
      <c r="J57" s="500"/>
      <c r="K57" s="500"/>
      <c r="L57" s="500"/>
      <c r="M57" s="500"/>
      <c r="N57" s="500"/>
      <c r="O57" s="500"/>
      <c r="P57" s="500"/>
      <c r="Q57" s="500"/>
      <c r="R57" s="500"/>
      <c r="S57" s="500"/>
      <c r="T57" s="500"/>
      <c r="U57" s="500"/>
      <c r="V57" s="500"/>
      <c r="W57" s="500"/>
      <c r="X57" s="500"/>
      <c r="Y57" s="500"/>
      <c r="Z57" s="500"/>
      <c r="AA57" s="500"/>
      <c r="AB57" s="500"/>
      <c r="AC57" s="500"/>
      <c r="AD57" s="500"/>
      <c r="AE57" s="500"/>
      <c r="AF57" s="500"/>
      <c r="AG57" s="500"/>
      <c r="AH57" s="500"/>
      <c r="AI57" s="500"/>
      <c r="AJ57" s="500"/>
      <c r="AK57" s="500"/>
      <c r="AL57" s="500"/>
      <c r="AM57" s="500"/>
      <c r="AN57" s="500"/>
      <c r="AO57" s="500"/>
      <c r="AP57" s="500"/>
      <c r="AQ57" s="500"/>
      <c r="AR57" s="500"/>
      <c r="AS57" s="336"/>
      <c r="AT57" s="58"/>
      <c r="AV57" s="123"/>
      <c r="DY57" s="64"/>
      <c r="EY57" s="501"/>
      <c r="HM57" s="550"/>
      <c r="HN57" s="550"/>
      <c r="HO57" s="550"/>
      <c r="HP57" s="550"/>
      <c r="HQ57" s="550"/>
      <c r="HR57" s="550"/>
      <c r="HS57" s="550"/>
      <c r="HT57" s="550"/>
      <c r="HU57" s="550"/>
      <c r="HV57" s="550"/>
      <c r="HW57" s="550"/>
      <c r="HX57" s="550"/>
      <c r="HY57" s="550"/>
      <c r="HZ57" s="550"/>
      <c r="IA57" s="550"/>
      <c r="IB57" s="550"/>
      <c r="IC57" s="550"/>
      <c r="ID57" s="550"/>
      <c r="IE57" s="550"/>
      <c r="IF57" s="550"/>
      <c r="IG57" s="550"/>
      <c r="II57" s="550"/>
      <c r="JA57" s="58"/>
      <c r="JK57" s="550"/>
      <c r="JO57" s="550"/>
      <c r="JQ57" s="58"/>
    </row>
    <row r="58" spans="3:277" hidden="1">
      <c r="C58" s="500"/>
      <c r="D58" s="500"/>
      <c r="E58" s="500"/>
      <c r="F58" s="500"/>
      <c r="G58" s="500"/>
      <c r="H58" s="500"/>
      <c r="I58" s="500"/>
      <c r="J58" s="500"/>
      <c r="K58" s="500"/>
      <c r="L58" s="500"/>
      <c r="M58" s="500"/>
      <c r="N58" s="500"/>
      <c r="O58" s="500"/>
      <c r="P58" s="500"/>
      <c r="Q58" s="500"/>
      <c r="R58" s="500"/>
      <c r="S58" s="500"/>
      <c r="T58" s="500"/>
      <c r="U58" s="500"/>
      <c r="V58" s="500"/>
      <c r="W58" s="500"/>
      <c r="X58" s="500"/>
      <c r="Y58" s="500"/>
      <c r="Z58" s="500"/>
      <c r="AA58" s="500"/>
      <c r="AB58" s="500"/>
      <c r="AC58" s="500"/>
      <c r="AD58" s="500"/>
      <c r="AE58" s="500"/>
      <c r="AF58" s="500"/>
      <c r="AG58" s="500"/>
      <c r="AH58" s="500"/>
      <c r="AI58" s="500"/>
      <c r="AJ58" s="500"/>
      <c r="AK58" s="500"/>
      <c r="AL58" s="500"/>
      <c r="AM58" s="500"/>
      <c r="AN58" s="500"/>
      <c r="AO58" s="500"/>
      <c r="AP58" s="500"/>
      <c r="AQ58" s="500"/>
      <c r="AR58" s="500"/>
      <c r="AS58" s="336"/>
      <c r="AT58" s="58"/>
      <c r="AV58" s="123"/>
      <c r="DY58" s="64"/>
      <c r="EY58" s="501"/>
      <c r="HM58" s="550"/>
      <c r="HN58" s="550"/>
      <c r="HO58" s="550"/>
      <c r="HP58" s="550"/>
      <c r="HQ58" s="550"/>
      <c r="HR58" s="550"/>
      <c r="HS58" s="550"/>
      <c r="HT58" s="550"/>
      <c r="HU58" s="550"/>
      <c r="HV58" s="550"/>
      <c r="HW58" s="550"/>
      <c r="HX58" s="550"/>
      <c r="HY58" s="550"/>
      <c r="HZ58" s="550"/>
      <c r="IA58" s="550"/>
      <c r="IB58" s="550"/>
      <c r="IC58" s="550"/>
      <c r="ID58" s="550"/>
      <c r="IE58" s="550"/>
      <c r="IF58" s="550"/>
      <c r="IG58" s="550"/>
      <c r="II58" s="550"/>
      <c r="JA58" s="58"/>
      <c r="JK58" s="550"/>
      <c r="JO58" s="550"/>
      <c r="JQ58" s="58"/>
    </row>
    <row r="59" spans="3:277" hidden="1">
      <c r="C59" s="500"/>
      <c r="D59" s="500"/>
      <c r="E59" s="500"/>
      <c r="F59" s="500"/>
      <c r="G59" s="500"/>
      <c r="H59" s="500"/>
      <c r="I59" s="500"/>
      <c r="J59" s="500"/>
      <c r="K59" s="500"/>
      <c r="L59" s="500"/>
      <c r="M59" s="500"/>
      <c r="N59" s="500"/>
      <c r="O59" s="500"/>
      <c r="P59" s="500"/>
      <c r="Q59" s="500"/>
      <c r="R59" s="500"/>
      <c r="S59" s="500"/>
      <c r="T59" s="500"/>
      <c r="U59" s="500"/>
      <c r="V59" s="500"/>
      <c r="W59" s="500"/>
      <c r="X59" s="500"/>
      <c r="Y59" s="500"/>
      <c r="Z59" s="500"/>
      <c r="AA59" s="500"/>
      <c r="AB59" s="500"/>
      <c r="AC59" s="500"/>
      <c r="AD59" s="500"/>
      <c r="AE59" s="500"/>
      <c r="AF59" s="500"/>
      <c r="AG59" s="500"/>
      <c r="AH59" s="500"/>
      <c r="AI59" s="500"/>
      <c r="AJ59" s="500"/>
      <c r="AK59" s="500"/>
      <c r="AL59" s="500"/>
      <c r="AM59" s="500"/>
      <c r="AN59" s="500"/>
      <c r="AO59" s="500"/>
      <c r="AP59" s="500"/>
      <c r="AQ59" s="500"/>
      <c r="AR59" s="500"/>
      <c r="AS59" s="336"/>
      <c r="AT59" s="58"/>
      <c r="AV59" s="123"/>
      <c r="DY59" s="64"/>
      <c r="EY59" s="501"/>
      <c r="HM59" s="550"/>
      <c r="HN59" s="550"/>
      <c r="HO59" s="550"/>
      <c r="HP59" s="550"/>
      <c r="HQ59" s="550"/>
      <c r="HR59" s="550"/>
      <c r="HS59" s="550"/>
      <c r="HT59" s="550"/>
      <c r="HU59" s="550"/>
      <c r="HV59" s="550"/>
      <c r="HW59" s="550"/>
      <c r="HX59" s="550"/>
      <c r="HY59" s="550"/>
      <c r="HZ59" s="550"/>
      <c r="IA59" s="550"/>
      <c r="IB59" s="550"/>
      <c r="IC59" s="550"/>
      <c r="ID59" s="550"/>
      <c r="IE59" s="550"/>
      <c r="IF59" s="550"/>
      <c r="IG59" s="550"/>
      <c r="II59" s="550"/>
      <c r="JA59" s="58"/>
      <c r="JK59" s="550"/>
      <c r="JO59" s="550"/>
      <c r="JQ59" s="58"/>
    </row>
    <row r="60" spans="3:277" hidden="1">
      <c r="C60" s="500"/>
      <c r="D60" s="500"/>
      <c r="E60" s="500"/>
      <c r="F60" s="500"/>
      <c r="G60" s="500"/>
      <c r="H60" s="500"/>
      <c r="I60" s="500"/>
      <c r="J60" s="500"/>
      <c r="K60" s="500"/>
      <c r="L60" s="500"/>
      <c r="M60" s="500"/>
      <c r="N60" s="500"/>
      <c r="O60" s="500"/>
      <c r="P60" s="500"/>
      <c r="Q60" s="500"/>
      <c r="R60" s="500"/>
      <c r="S60" s="500"/>
      <c r="T60" s="500"/>
      <c r="U60" s="500"/>
      <c r="V60" s="500"/>
      <c r="W60" s="500"/>
      <c r="X60" s="500"/>
      <c r="Y60" s="500"/>
      <c r="Z60" s="500"/>
      <c r="AA60" s="500"/>
      <c r="AB60" s="500"/>
      <c r="AC60" s="500"/>
      <c r="AD60" s="500"/>
      <c r="AE60" s="500"/>
      <c r="AF60" s="500"/>
      <c r="AG60" s="500"/>
      <c r="AH60" s="500"/>
      <c r="AI60" s="500"/>
      <c r="AJ60" s="500"/>
      <c r="AK60" s="500"/>
      <c r="AL60" s="500"/>
      <c r="AM60" s="500"/>
      <c r="AN60" s="500"/>
      <c r="AO60" s="500"/>
      <c r="AP60" s="500"/>
      <c r="AQ60" s="500"/>
      <c r="AR60" s="500"/>
      <c r="AS60" s="336"/>
      <c r="AT60" s="58"/>
      <c r="AV60" s="123"/>
      <c r="DY60" s="64"/>
      <c r="EY60" s="501"/>
      <c r="HM60" s="550"/>
      <c r="HN60" s="550"/>
      <c r="HO60" s="550"/>
      <c r="HP60" s="550"/>
      <c r="HQ60" s="550"/>
      <c r="HR60" s="550"/>
      <c r="HS60" s="550"/>
      <c r="HT60" s="550"/>
      <c r="HU60" s="550"/>
      <c r="HV60" s="550"/>
      <c r="HW60" s="550"/>
      <c r="HX60" s="550"/>
      <c r="HY60" s="550"/>
      <c r="HZ60" s="550"/>
      <c r="IA60" s="550"/>
      <c r="IB60" s="550"/>
      <c r="IC60" s="550"/>
      <c r="ID60" s="550"/>
      <c r="IE60" s="550"/>
      <c r="IF60" s="550"/>
      <c r="IG60" s="550"/>
      <c r="II60" s="550"/>
      <c r="JA60" s="58"/>
      <c r="JK60" s="550"/>
      <c r="JO60" s="550"/>
      <c r="JQ60" s="58"/>
    </row>
    <row r="61" spans="3:277" hidden="1">
      <c r="C61" s="500"/>
      <c r="D61" s="500"/>
      <c r="E61" s="500"/>
      <c r="F61" s="500"/>
      <c r="G61" s="500"/>
      <c r="H61" s="500"/>
      <c r="I61" s="500"/>
      <c r="J61" s="500"/>
      <c r="K61" s="500"/>
      <c r="L61" s="500"/>
      <c r="M61" s="500"/>
      <c r="N61" s="500"/>
      <c r="O61" s="500"/>
      <c r="P61" s="500"/>
      <c r="Q61" s="500"/>
      <c r="R61" s="500"/>
      <c r="S61" s="500"/>
      <c r="T61" s="500"/>
      <c r="U61" s="500"/>
      <c r="V61" s="500"/>
      <c r="W61" s="500"/>
      <c r="X61" s="500"/>
      <c r="Y61" s="500"/>
      <c r="Z61" s="500"/>
      <c r="AA61" s="500"/>
      <c r="AB61" s="500"/>
      <c r="AC61" s="500"/>
      <c r="AD61" s="500"/>
      <c r="AE61" s="500"/>
      <c r="AF61" s="500"/>
      <c r="AG61" s="500"/>
      <c r="AH61" s="500"/>
      <c r="AI61" s="500"/>
      <c r="AJ61" s="500"/>
      <c r="AK61" s="500"/>
      <c r="AL61" s="500"/>
      <c r="AM61" s="500"/>
      <c r="AN61" s="500"/>
      <c r="AO61" s="500"/>
      <c r="AP61" s="500"/>
      <c r="AQ61" s="500"/>
      <c r="AR61" s="500"/>
      <c r="AS61" s="336"/>
      <c r="AT61" s="58"/>
      <c r="AV61" s="123"/>
      <c r="DY61" s="64"/>
      <c r="EY61" s="501"/>
      <c r="HM61" s="550"/>
      <c r="HN61" s="550"/>
      <c r="HO61" s="550"/>
      <c r="HP61" s="550"/>
      <c r="HQ61" s="550"/>
      <c r="HR61" s="550"/>
      <c r="HS61" s="550"/>
      <c r="HT61" s="550"/>
      <c r="HU61" s="550"/>
      <c r="HV61" s="550"/>
      <c r="HW61" s="550"/>
      <c r="HX61" s="550"/>
      <c r="HY61" s="550"/>
      <c r="HZ61" s="550"/>
      <c r="IA61" s="550"/>
      <c r="IB61" s="550"/>
      <c r="IC61" s="550"/>
      <c r="ID61" s="550"/>
      <c r="IE61" s="550"/>
      <c r="IF61" s="550"/>
      <c r="IG61" s="550"/>
      <c r="II61" s="550"/>
      <c r="JA61" s="58"/>
      <c r="JK61" s="550"/>
      <c r="JO61" s="550"/>
      <c r="JQ61" s="58"/>
    </row>
    <row r="62" spans="3:277" hidden="1">
      <c r="C62" s="500"/>
      <c r="D62" s="500"/>
      <c r="E62" s="500"/>
      <c r="F62" s="500"/>
      <c r="G62" s="500"/>
      <c r="H62" s="500"/>
      <c r="I62" s="500"/>
      <c r="J62" s="500"/>
      <c r="K62" s="500"/>
      <c r="L62" s="500"/>
      <c r="M62" s="500"/>
      <c r="N62" s="500"/>
      <c r="O62" s="500"/>
      <c r="P62" s="500"/>
      <c r="Q62" s="500"/>
      <c r="R62" s="500"/>
      <c r="S62" s="500"/>
      <c r="T62" s="500"/>
      <c r="U62" s="500"/>
      <c r="V62" s="500"/>
      <c r="W62" s="500"/>
      <c r="X62" s="500"/>
      <c r="Y62" s="500"/>
      <c r="Z62" s="500"/>
      <c r="AA62" s="500"/>
      <c r="AB62" s="500"/>
      <c r="AC62" s="500"/>
      <c r="AD62" s="500"/>
      <c r="AE62" s="500"/>
      <c r="AF62" s="500"/>
      <c r="AG62" s="500"/>
      <c r="AH62" s="500"/>
      <c r="AI62" s="500"/>
      <c r="AJ62" s="500"/>
      <c r="AK62" s="500"/>
      <c r="AL62" s="500"/>
      <c r="AM62" s="500"/>
      <c r="AN62" s="500"/>
      <c r="AO62" s="500"/>
      <c r="AP62" s="500"/>
      <c r="AQ62" s="500"/>
      <c r="AR62" s="500"/>
      <c r="AS62" s="336"/>
      <c r="AT62" s="58"/>
      <c r="AV62" s="123"/>
      <c r="DY62" s="64"/>
      <c r="EY62" s="501"/>
      <c r="HM62" s="550"/>
      <c r="HN62" s="550"/>
      <c r="HO62" s="550"/>
      <c r="HP62" s="550"/>
      <c r="HQ62" s="550"/>
      <c r="HR62" s="550"/>
      <c r="HS62" s="550"/>
      <c r="HT62" s="550"/>
      <c r="HU62" s="550"/>
      <c r="HV62" s="550"/>
      <c r="HW62" s="550"/>
      <c r="HX62" s="550"/>
      <c r="HY62" s="550"/>
      <c r="HZ62" s="550"/>
      <c r="IA62" s="550"/>
      <c r="IB62" s="550"/>
      <c r="IC62" s="550"/>
      <c r="ID62" s="550"/>
      <c r="IE62" s="550"/>
      <c r="IF62" s="550"/>
      <c r="IG62" s="550"/>
      <c r="II62" s="550"/>
      <c r="JA62" s="58"/>
      <c r="JK62" s="550"/>
      <c r="JO62" s="550"/>
      <c r="JQ62" s="58"/>
    </row>
    <row r="63" spans="3:277" hidden="1">
      <c r="C63" s="500"/>
      <c r="D63" s="500"/>
      <c r="E63" s="500"/>
      <c r="F63" s="500"/>
      <c r="G63" s="500"/>
      <c r="H63" s="500"/>
      <c r="I63" s="500"/>
      <c r="J63" s="500"/>
      <c r="K63" s="500"/>
      <c r="L63" s="500"/>
      <c r="M63" s="500"/>
      <c r="N63" s="500"/>
      <c r="O63" s="500"/>
      <c r="P63" s="500"/>
      <c r="Q63" s="500"/>
      <c r="R63" s="500"/>
      <c r="S63" s="500"/>
      <c r="T63" s="500"/>
      <c r="U63" s="500"/>
      <c r="V63" s="500"/>
      <c r="W63" s="500"/>
      <c r="X63" s="500"/>
      <c r="Y63" s="500"/>
      <c r="Z63" s="500"/>
      <c r="AA63" s="500"/>
      <c r="AB63" s="500"/>
      <c r="AC63" s="500"/>
      <c r="AD63" s="500"/>
      <c r="AE63" s="500"/>
      <c r="AF63" s="500"/>
      <c r="AG63" s="500"/>
      <c r="AH63" s="500"/>
      <c r="AI63" s="500"/>
      <c r="AJ63" s="500"/>
      <c r="AK63" s="500"/>
      <c r="AL63" s="500"/>
      <c r="AM63" s="500"/>
      <c r="AN63" s="500"/>
      <c r="AO63" s="500"/>
      <c r="AP63" s="500"/>
      <c r="AQ63" s="500"/>
      <c r="AR63" s="500"/>
      <c r="AS63" s="336"/>
      <c r="AT63" s="58"/>
      <c r="AV63" s="123"/>
      <c r="DY63" s="64"/>
      <c r="EY63" s="501"/>
      <c r="HM63" s="550"/>
      <c r="HN63" s="550"/>
      <c r="HO63" s="550"/>
      <c r="HP63" s="550"/>
      <c r="HQ63" s="550"/>
      <c r="HR63" s="550"/>
      <c r="HS63" s="550"/>
      <c r="HT63" s="550"/>
      <c r="HU63" s="550"/>
      <c r="HV63" s="550"/>
      <c r="HW63" s="550"/>
      <c r="HX63" s="550"/>
      <c r="HY63" s="550"/>
      <c r="HZ63" s="550"/>
      <c r="IA63" s="550"/>
      <c r="IB63" s="550"/>
      <c r="IC63" s="550"/>
      <c r="ID63" s="550"/>
      <c r="IE63" s="550"/>
      <c r="IF63" s="550"/>
      <c r="IG63" s="550"/>
      <c r="II63" s="550"/>
      <c r="JA63" s="58"/>
      <c r="JK63" s="550"/>
      <c r="JO63" s="550"/>
      <c r="JQ63" s="58"/>
    </row>
    <row r="64" spans="3:277" hidden="1">
      <c r="C64" s="500"/>
      <c r="D64" s="500"/>
      <c r="E64" s="500"/>
      <c r="F64" s="500"/>
      <c r="G64" s="500"/>
      <c r="H64" s="500"/>
      <c r="I64" s="500"/>
      <c r="J64" s="500"/>
      <c r="K64" s="500"/>
      <c r="L64" s="500"/>
      <c r="M64" s="500"/>
      <c r="N64" s="500"/>
      <c r="O64" s="500"/>
      <c r="P64" s="500"/>
      <c r="Q64" s="500"/>
      <c r="R64" s="500"/>
      <c r="S64" s="500"/>
      <c r="T64" s="500"/>
      <c r="U64" s="500"/>
      <c r="V64" s="500"/>
      <c r="W64" s="500"/>
      <c r="X64" s="500"/>
      <c r="Y64" s="500"/>
      <c r="Z64" s="500"/>
      <c r="AA64" s="500"/>
      <c r="AB64" s="500"/>
      <c r="AC64" s="500"/>
      <c r="AD64" s="500"/>
      <c r="AE64" s="500"/>
      <c r="AF64" s="500"/>
      <c r="AG64" s="500"/>
      <c r="AH64" s="500"/>
      <c r="AI64" s="500"/>
      <c r="AJ64" s="500"/>
      <c r="AK64" s="500"/>
      <c r="AL64" s="500"/>
      <c r="AM64" s="500"/>
      <c r="AN64" s="500"/>
      <c r="AO64" s="500"/>
      <c r="AP64" s="500"/>
      <c r="AQ64" s="500"/>
      <c r="AR64" s="500"/>
      <c r="AS64" s="336"/>
      <c r="AT64" s="58"/>
      <c r="AV64" s="123"/>
      <c r="DY64" s="64"/>
      <c r="EY64" s="501"/>
      <c r="HM64" s="550"/>
      <c r="HN64" s="550"/>
      <c r="HO64" s="550"/>
      <c r="HP64" s="550"/>
      <c r="HQ64" s="550"/>
      <c r="HR64" s="550"/>
      <c r="HS64" s="550"/>
      <c r="HT64" s="550"/>
      <c r="HU64" s="550"/>
      <c r="HV64" s="550"/>
      <c r="HW64" s="550"/>
      <c r="HX64" s="550"/>
      <c r="HY64" s="550"/>
      <c r="HZ64" s="550"/>
      <c r="IA64" s="550"/>
      <c r="IB64" s="550"/>
      <c r="IC64" s="550"/>
      <c r="ID64" s="550"/>
      <c r="IE64" s="550"/>
      <c r="IF64" s="550"/>
      <c r="IG64" s="550"/>
      <c r="II64" s="550"/>
      <c r="JA64" s="58"/>
      <c r="JK64" s="550"/>
      <c r="JO64" s="550"/>
      <c r="JQ64" s="58"/>
    </row>
    <row r="65" spans="3:277" hidden="1">
      <c r="C65" s="500"/>
      <c r="D65" s="500"/>
      <c r="E65" s="500"/>
      <c r="F65" s="500"/>
      <c r="G65" s="500"/>
      <c r="H65" s="500"/>
      <c r="I65" s="500"/>
      <c r="J65" s="500"/>
      <c r="K65" s="500"/>
      <c r="L65" s="500"/>
      <c r="M65" s="500"/>
      <c r="N65" s="500"/>
      <c r="O65" s="500"/>
      <c r="P65" s="500"/>
      <c r="Q65" s="500"/>
      <c r="R65" s="500"/>
      <c r="S65" s="500"/>
      <c r="T65" s="500"/>
      <c r="U65" s="500"/>
      <c r="V65" s="500"/>
      <c r="W65" s="500"/>
      <c r="X65" s="500"/>
      <c r="Y65" s="500"/>
      <c r="Z65" s="500"/>
      <c r="AA65" s="500"/>
      <c r="AB65" s="500"/>
      <c r="AC65" s="500"/>
      <c r="AD65" s="500"/>
      <c r="AE65" s="500"/>
      <c r="AF65" s="500"/>
      <c r="AG65" s="500"/>
      <c r="AH65" s="500"/>
      <c r="AI65" s="500"/>
      <c r="AJ65" s="500"/>
      <c r="AK65" s="500"/>
      <c r="AL65" s="500"/>
      <c r="AM65" s="500"/>
      <c r="AN65" s="500"/>
      <c r="AO65" s="500"/>
      <c r="AP65" s="500"/>
      <c r="AQ65" s="500"/>
      <c r="AR65" s="500"/>
      <c r="AS65" s="336"/>
      <c r="AT65" s="58"/>
      <c r="AV65" s="123"/>
      <c r="DY65" s="64"/>
      <c r="EY65" s="501"/>
      <c r="HM65" s="550"/>
      <c r="HN65" s="550"/>
      <c r="HO65" s="550"/>
      <c r="HP65" s="550"/>
      <c r="HQ65" s="550"/>
      <c r="HR65" s="550"/>
      <c r="HS65" s="550"/>
      <c r="HT65" s="550"/>
      <c r="HU65" s="550"/>
      <c r="HV65" s="550"/>
      <c r="HW65" s="550"/>
      <c r="HX65" s="550"/>
      <c r="HY65" s="550"/>
      <c r="HZ65" s="550"/>
      <c r="IA65" s="550"/>
      <c r="IB65" s="550"/>
      <c r="IC65" s="550"/>
      <c r="ID65" s="550"/>
      <c r="IE65" s="550"/>
      <c r="IF65" s="550"/>
      <c r="IG65" s="550"/>
      <c r="II65" s="550"/>
      <c r="JA65" s="58"/>
      <c r="JK65" s="550"/>
      <c r="JO65" s="550"/>
      <c r="JQ65" s="58"/>
    </row>
    <row r="66" spans="3:277" hidden="1">
      <c r="C66" s="500"/>
      <c r="D66" s="500"/>
      <c r="E66" s="500"/>
      <c r="F66" s="500"/>
      <c r="G66" s="500"/>
      <c r="H66" s="500"/>
      <c r="I66" s="500"/>
      <c r="J66" s="500"/>
      <c r="K66" s="500"/>
      <c r="L66" s="500"/>
      <c r="M66" s="500"/>
      <c r="N66" s="500"/>
      <c r="O66" s="500"/>
      <c r="P66" s="500"/>
      <c r="Q66" s="500"/>
      <c r="R66" s="500"/>
      <c r="S66" s="500"/>
      <c r="T66" s="500"/>
      <c r="U66" s="500"/>
      <c r="V66" s="500"/>
      <c r="W66" s="500"/>
      <c r="X66" s="500"/>
      <c r="Y66" s="500"/>
      <c r="Z66" s="500"/>
      <c r="AA66" s="500"/>
      <c r="AB66" s="500"/>
      <c r="AC66" s="500"/>
      <c r="AD66" s="500"/>
      <c r="AE66" s="500"/>
      <c r="AF66" s="500"/>
      <c r="AG66" s="500"/>
      <c r="AH66" s="500"/>
      <c r="AI66" s="500"/>
      <c r="AJ66" s="500"/>
      <c r="AK66" s="500"/>
      <c r="AL66" s="500"/>
      <c r="AM66" s="500"/>
      <c r="AN66" s="500"/>
      <c r="AO66" s="500"/>
      <c r="AP66" s="500"/>
      <c r="AQ66" s="500"/>
      <c r="AR66" s="500"/>
      <c r="AS66" s="336"/>
      <c r="AT66" s="58"/>
      <c r="AV66" s="123"/>
      <c r="DY66" s="64"/>
      <c r="EY66" s="501"/>
      <c r="HM66" s="550"/>
      <c r="HN66" s="550"/>
      <c r="HO66" s="550"/>
      <c r="HP66" s="550"/>
      <c r="HQ66" s="550"/>
      <c r="HR66" s="550"/>
      <c r="HS66" s="550"/>
      <c r="HT66" s="550"/>
      <c r="HU66" s="550"/>
      <c r="HV66" s="550"/>
      <c r="HW66" s="550"/>
      <c r="HX66" s="550"/>
      <c r="HY66" s="550"/>
      <c r="HZ66" s="550"/>
      <c r="IA66" s="550"/>
      <c r="IB66" s="550"/>
      <c r="IC66" s="550"/>
      <c r="ID66" s="550"/>
      <c r="IE66" s="550"/>
      <c r="IF66" s="550"/>
      <c r="IG66" s="550"/>
      <c r="II66" s="550"/>
      <c r="JA66" s="58"/>
      <c r="JK66" s="550"/>
      <c r="JO66" s="550"/>
      <c r="JQ66" s="58"/>
    </row>
    <row r="67" spans="3:277" hidden="1">
      <c r="C67" s="500"/>
      <c r="D67" s="500"/>
      <c r="E67" s="500"/>
      <c r="F67" s="500"/>
      <c r="G67" s="500"/>
      <c r="H67" s="500"/>
      <c r="I67" s="500"/>
      <c r="J67" s="500"/>
      <c r="K67" s="500"/>
      <c r="L67" s="500"/>
      <c r="M67" s="500"/>
      <c r="N67" s="500"/>
      <c r="O67" s="500"/>
      <c r="P67" s="500"/>
      <c r="Q67" s="500"/>
      <c r="R67" s="500"/>
      <c r="S67" s="500"/>
      <c r="T67" s="500"/>
      <c r="U67" s="500"/>
      <c r="V67" s="500"/>
      <c r="W67" s="500"/>
      <c r="X67" s="500"/>
      <c r="Y67" s="500"/>
      <c r="Z67" s="500"/>
      <c r="AA67" s="500"/>
      <c r="AB67" s="500"/>
      <c r="AC67" s="500"/>
      <c r="AD67" s="500"/>
      <c r="AE67" s="500"/>
      <c r="AF67" s="500"/>
      <c r="AG67" s="500"/>
      <c r="AH67" s="500"/>
      <c r="AI67" s="500"/>
      <c r="AJ67" s="500"/>
      <c r="AK67" s="500"/>
      <c r="AL67" s="500"/>
      <c r="AM67" s="500"/>
      <c r="AN67" s="500"/>
      <c r="AO67" s="500"/>
      <c r="AP67" s="500"/>
      <c r="AQ67" s="500"/>
      <c r="AR67" s="500"/>
      <c r="AS67" s="336"/>
      <c r="AT67" s="58"/>
      <c r="AV67" s="123"/>
      <c r="DY67" s="64"/>
      <c r="EY67" s="501"/>
      <c r="HM67" s="550"/>
      <c r="HN67" s="550"/>
      <c r="HO67" s="550"/>
      <c r="HP67" s="550"/>
      <c r="HQ67" s="550"/>
      <c r="HR67" s="550"/>
      <c r="HS67" s="550"/>
      <c r="HT67" s="550"/>
      <c r="HU67" s="550"/>
      <c r="HV67" s="550"/>
      <c r="HW67" s="550"/>
      <c r="HX67" s="550"/>
      <c r="HY67" s="550"/>
      <c r="HZ67" s="550"/>
      <c r="IA67" s="550"/>
      <c r="IB67" s="550"/>
      <c r="IC67" s="550"/>
      <c r="ID67" s="550"/>
      <c r="IE67" s="550"/>
      <c r="IF67" s="550"/>
      <c r="IG67" s="550"/>
      <c r="II67" s="550"/>
      <c r="JA67" s="58"/>
      <c r="JK67" s="550"/>
      <c r="JO67" s="550"/>
      <c r="JQ67" s="58"/>
    </row>
    <row r="68" spans="3:277" hidden="1">
      <c r="C68" s="500"/>
      <c r="D68" s="500"/>
      <c r="E68" s="500"/>
      <c r="F68" s="500"/>
      <c r="G68" s="500"/>
      <c r="H68" s="500"/>
      <c r="I68" s="500"/>
      <c r="J68" s="500"/>
      <c r="K68" s="500"/>
      <c r="L68" s="500"/>
      <c r="M68" s="500"/>
      <c r="N68" s="500"/>
      <c r="O68" s="500"/>
      <c r="P68" s="500"/>
      <c r="Q68" s="500"/>
      <c r="R68" s="500"/>
      <c r="S68" s="500"/>
      <c r="T68" s="500"/>
      <c r="U68" s="500"/>
      <c r="V68" s="500"/>
      <c r="W68" s="500"/>
      <c r="X68" s="500"/>
      <c r="Y68" s="500"/>
      <c r="Z68" s="500"/>
      <c r="AA68" s="500"/>
      <c r="AB68" s="500"/>
      <c r="AC68" s="500"/>
      <c r="AD68" s="500"/>
      <c r="AE68" s="500"/>
      <c r="AF68" s="500"/>
      <c r="AG68" s="500"/>
      <c r="AH68" s="500"/>
      <c r="AI68" s="500"/>
      <c r="AJ68" s="500"/>
      <c r="AK68" s="500"/>
      <c r="AL68" s="500"/>
      <c r="AM68" s="500"/>
      <c r="AN68" s="500"/>
      <c r="AO68" s="500"/>
      <c r="AP68" s="500"/>
      <c r="AQ68" s="500"/>
      <c r="AR68" s="500"/>
      <c r="AS68" s="336"/>
      <c r="AT68" s="58"/>
      <c r="AV68" s="123"/>
      <c r="DY68" s="64"/>
      <c r="EY68" s="501"/>
      <c r="HM68" s="550"/>
      <c r="HN68" s="550"/>
      <c r="HO68" s="550"/>
      <c r="HP68" s="550"/>
      <c r="HQ68" s="550"/>
      <c r="HR68" s="550"/>
      <c r="HS68" s="550"/>
      <c r="HT68" s="550"/>
      <c r="HU68" s="550"/>
      <c r="HV68" s="550"/>
      <c r="HW68" s="550"/>
      <c r="HX68" s="550"/>
      <c r="HY68" s="550"/>
      <c r="HZ68" s="550"/>
      <c r="IA68" s="550"/>
      <c r="IB68" s="550"/>
      <c r="IC68" s="550"/>
      <c r="ID68" s="550"/>
      <c r="IE68" s="550"/>
      <c r="IF68" s="550"/>
      <c r="IG68" s="550"/>
      <c r="II68" s="550"/>
      <c r="JA68" s="58"/>
      <c r="JK68" s="550"/>
      <c r="JO68" s="550"/>
      <c r="JQ68" s="58"/>
    </row>
    <row r="69" spans="3:277" hidden="1">
      <c r="C69" s="500"/>
      <c r="D69" s="500"/>
      <c r="E69" s="500"/>
      <c r="F69" s="500"/>
      <c r="G69" s="500"/>
      <c r="H69" s="500"/>
      <c r="I69" s="500"/>
      <c r="J69" s="500"/>
      <c r="K69" s="500"/>
      <c r="L69" s="500"/>
      <c r="M69" s="500"/>
      <c r="N69" s="500"/>
      <c r="O69" s="500"/>
      <c r="P69" s="500"/>
      <c r="Q69" s="500"/>
      <c r="R69" s="500"/>
      <c r="S69" s="500"/>
      <c r="T69" s="500"/>
      <c r="U69" s="500"/>
      <c r="V69" s="500"/>
      <c r="W69" s="500"/>
      <c r="X69" s="500"/>
      <c r="Y69" s="500"/>
      <c r="Z69" s="500"/>
      <c r="AA69" s="500"/>
      <c r="AB69" s="500"/>
      <c r="AC69" s="500"/>
      <c r="AD69" s="500"/>
      <c r="AE69" s="500"/>
      <c r="AF69" s="500"/>
      <c r="AG69" s="500"/>
      <c r="AH69" s="500"/>
      <c r="AI69" s="500"/>
      <c r="AJ69" s="500"/>
      <c r="AK69" s="500"/>
      <c r="AL69" s="500"/>
      <c r="AM69" s="500"/>
      <c r="AN69" s="500"/>
      <c r="AO69" s="500"/>
      <c r="AP69" s="500"/>
      <c r="AQ69" s="500"/>
      <c r="AR69" s="500"/>
      <c r="AS69" s="336"/>
      <c r="AT69" s="58"/>
      <c r="AV69" s="123"/>
      <c r="DY69" s="64"/>
      <c r="EY69" s="501"/>
      <c r="HM69" s="550"/>
      <c r="HN69" s="550"/>
      <c r="HO69" s="550"/>
      <c r="HP69" s="550"/>
      <c r="HQ69" s="550"/>
      <c r="HR69" s="550"/>
      <c r="HS69" s="550"/>
      <c r="HT69" s="550"/>
      <c r="HU69" s="550"/>
      <c r="HV69" s="550"/>
      <c r="HW69" s="550"/>
      <c r="HX69" s="550"/>
      <c r="HY69" s="550"/>
      <c r="HZ69" s="550"/>
      <c r="IA69" s="550"/>
      <c r="IB69" s="550"/>
      <c r="IC69" s="550"/>
      <c r="ID69" s="550"/>
      <c r="IE69" s="550"/>
      <c r="IF69" s="550"/>
      <c r="IG69" s="550"/>
      <c r="II69" s="550"/>
      <c r="JA69" s="58"/>
      <c r="JK69" s="550"/>
      <c r="JO69" s="550"/>
      <c r="JQ69" s="58"/>
    </row>
    <row r="70" spans="3:277" hidden="1">
      <c r="C70" s="500"/>
      <c r="D70" s="500"/>
      <c r="E70" s="500"/>
      <c r="F70" s="500"/>
      <c r="G70" s="500"/>
      <c r="H70" s="500"/>
      <c r="I70" s="500"/>
      <c r="J70" s="500"/>
      <c r="K70" s="500"/>
      <c r="L70" s="500"/>
      <c r="M70" s="500"/>
      <c r="N70" s="500"/>
      <c r="O70" s="500"/>
      <c r="P70" s="500"/>
      <c r="Q70" s="500"/>
      <c r="R70" s="500"/>
      <c r="S70" s="500"/>
      <c r="T70" s="500"/>
      <c r="U70" s="500"/>
      <c r="V70" s="500"/>
      <c r="W70" s="500"/>
      <c r="X70" s="500"/>
      <c r="Y70" s="500"/>
      <c r="Z70" s="500"/>
      <c r="AA70" s="500"/>
      <c r="AB70" s="500"/>
      <c r="AC70" s="500"/>
      <c r="AD70" s="500"/>
      <c r="AE70" s="500"/>
      <c r="AF70" s="500"/>
      <c r="AG70" s="500"/>
      <c r="AH70" s="500"/>
      <c r="AI70" s="500"/>
      <c r="AJ70" s="500"/>
      <c r="AK70" s="500"/>
      <c r="AL70" s="500"/>
      <c r="AM70" s="500"/>
      <c r="AN70" s="500"/>
      <c r="AO70" s="500"/>
      <c r="AP70" s="500"/>
      <c r="AQ70" s="500"/>
      <c r="AR70" s="500"/>
      <c r="AS70" s="336"/>
      <c r="AT70" s="58"/>
      <c r="AV70" s="123"/>
      <c r="DY70" s="64"/>
      <c r="EY70" s="501"/>
      <c r="HM70" s="550"/>
      <c r="HN70" s="550"/>
      <c r="HO70" s="550"/>
      <c r="HP70" s="550"/>
      <c r="HQ70" s="550"/>
      <c r="HR70" s="550"/>
      <c r="HS70" s="550"/>
      <c r="HT70" s="550"/>
      <c r="HU70" s="550"/>
      <c r="HV70" s="550"/>
      <c r="HW70" s="550"/>
      <c r="HX70" s="550"/>
      <c r="HY70" s="550"/>
      <c r="HZ70" s="550"/>
      <c r="IA70" s="550"/>
      <c r="IB70" s="550"/>
      <c r="IC70" s="550"/>
      <c r="ID70" s="550"/>
      <c r="IE70" s="550"/>
      <c r="IF70" s="550"/>
      <c r="IG70" s="550"/>
      <c r="II70" s="550"/>
      <c r="JA70" s="58"/>
      <c r="JK70" s="550"/>
      <c r="JO70" s="550"/>
      <c r="JQ70" s="58"/>
    </row>
    <row r="71" spans="3:277" hidden="1">
      <c r="C71" s="500"/>
      <c r="D71" s="500"/>
      <c r="E71" s="500"/>
      <c r="F71" s="500"/>
      <c r="G71" s="500"/>
      <c r="H71" s="500"/>
      <c r="I71" s="500"/>
      <c r="J71" s="500"/>
      <c r="K71" s="500"/>
      <c r="L71" s="500"/>
      <c r="M71" s="500"/>
      <c r="N71" s="500"/>
      <c r="O71" s="500"/>
      <c r="P71" s="500"/>
      <c r="Q71" s="500"/>
      <c r="R71" s="500"/>
      <c r="S71" s="500"/>
      <c r="T71" s="500"/>
      <c r="U71" s="500"/>
      <c r="V71" s="500"/>
      <c r="W71" s="500"/>
      <c r="X71" s="500"/>
      <c r="Y71" s="500"/>
      <c r="Z71" s="500"/>
      <c r="AA71" s="500"/>
      <c r="AB71" s="500"/>
      <c r="AC71" s="500"/>
      <c r="AD71" s="500"/>
      <c r="AE71" s="500"/>
      <c r="AF71" s="500"/>
      <c r="AG71" s="500"/>
      <c r="AH71" s="500"/>
      <c r="AI71" s="500"/>
      <c r="AJ71" s="500"/>
      <c r="AK71" s="500"/>
      <c r="AL71" s="500"/>
      <c r="AM71" s="500"/>
      <c r="AN71" s="500"/>
      <c r="AO71" s="500"/>
      <c r="AP71" s="500"/>
      <c r="AQ71" s="500"/>
      <c r="AR71" s="500"/>
      <c r="AS71" s="336"/>
      <c r="AT71" s="58"/>
      <c r="AV71" s="123"/>
      <c r="DY71" s="64"/>
      <c r="EY71" s="501"/>
      <c r="HM71" s="550"/>
      <c r="HN71" s="550"/>
      <c r="HO71" s="550"/>
      <c r="HP71" s="550"/>
      <c r="HQ71" s="550"/>
      <c r="HR71" s="550"/>
      <c r="HS71" s="550"/>
      <c r="HT71" s="550"/>
      <c r="HU71" s="550"/>
      <c r="HV71" s="550"/>
      <c r="HW71" s="550"/>
      <c r="HX71" s="550"/>
      <c r="HY71" s="550"/>
      <c r="HZ71" s="550"/>
      <c r="IA71" s="550"/>
      <c r="IB71" s="550"/>
      <c r="IC71" s="550"/>
      <c r="ID71" s="550"/>
      <c r="IE71" s="550"/>
      <c r="IF71" s="550"/>
      <c r="IG71" s="550"/>
      <c r="II71" s="550"/>
      <c r="JA71" s="58"/>
      <c r="JK71" s="550"/>
      <c r="JO71" s="550"/>
      <c r="JQ71" s="58"/>
    </row>
    <row r="72" spans="3:277" hidden="1">
      <c r="C72" s="500"/>
      <c r="D72" s="500"/>
      <c r="E72" s="500"/>
      <c r="F72" s="500"/>
      <c r="G72" s="500"/>
      <c r="H72" s="500"/>
      <c r="I72" s="500"/>
      <c r="J72" s="500"/>
      <c r="K72" s="500"/>
      <c r="L72" s="500"/>
      <c r="M72" s="500"/>
      <c r="N72" s="500"/>
      <c r="O72" s="500"/>
      <c r="P72" s="500"/>
      <c r="Q72" s="500"/>
      <c r="R72" s="500"/>
      <c r="S72" s="500"/>
      <c r="T72" s="500"/>
      <c r="U72" s="500"/>
      <c r="V72" s="500"/>
      <c r="W72" s="500"/>
      <c r="X72" s="500"/>
      <c r="Y72" s="500"/>
      <c r="Z72" s="500"/>
      <c r="AA72" s="500"/>
      <c r="AB72" s="500"/>
      <c r="AC72" s="500"/>
      <c r="AD72" s="500"/>
      <c r="AE72" s="500"/>
      <c r="AF72" s="500"/>
      <c r="AG72" s="500"/>
      <c r="AH72" s="500"/>
      <c r="AI72" s="500"/>
      <c r="AJ72" s="500"/>
      <c r="AK72" s="500"/>
      <c r="AL72" s="500"/>
      <c r="AM72" s="500"/>
      <c r="AN72" s="500"/>
      <c r="AO72" s="500"/>
      <c r="AP72" s="500"/>
      <c r="AQ72" s="500"/>
      <c r="AR72" s="500"/>
      <c r="AS72" s="336"/>
      <c r="AT72" s="58"/>
      <c r="AV72" s="123"/>
      <c r="DY72" s="64"/>
      <c r="EY72" s="501"/>
      <c r="HM72" s="550"/>
      <c r="HN72" s="550"/>
      <c r="HO72" s="550"/>
      <c r="HP72" s="550"/>
      <c r="HQ72" s="550"/>
      <c r="HR72" s="550"/>
      <c r="HS72" s="550"/>
      <c r="HT72" s="550"/>
      <c r="HU72" s="550"/>
      <c r="HV72" s="550"/>
      <c r="HW72" s="550"/>
      <c r="HX72" s="550"/>
      <c r="HY72" s="550"/>
      <c r="HZ72" s="550"/>
      <c r="IA72" s="550"/>
      <c r="IB72" s="550"/>
      <c r="IC72" s="550"/>
      <c r="ID72" s="550"/>
      <c r="IE72" s="550"/>
      <c r="IF72" s="550"/>
      <c r="IG72" s="550"/>
      <c r="II72" s="550"/>
      <c r="JA72" s="58"/>
      <c r="JK72" s="550"/>
      <c r="JO72" s="550"/>
      <c r="JQ72" s="58"/>
    </row>
    <row r="73" spans="3:277" hidden="1">
      <c r="C73" s="500"/>
      <c r="D73" s="500"/>
      <c r="E73" s="500"/>
      <c r="F73" s="500"/>
      <c r="G73" s="500"/>
      <c r="H73" s="500"/>
      <c r="I73" s="500"/>
      <c r="J73" s="500"/>
      <c r="K73" s="500"/>
      <c r="L73" s="500"/>
      <c r="M73" s="500"/>
      <c r="N73" s="500"/>
      <c r="O73" s="500"/>
      <c r="P73" s="500"/>
      <c r="Q73" s="500"/>
      <c r="R73" s="500"/>
      <c r="S73" s="500"/>
      <c r="T73" s="500"/>
      <c r="U73" s="500"/>
      <c r="V73" s="500"/>
      <c r="W73" s="500"/>
      <c r="X73" s="500"/>
      <c r="Y73" s="500"/>
      <c r="Z73" s="500"/>
      <c r="AA73" s="500"/>
      <c r="AB73" s="500"/>
      <c r="AC73" s="500"/>
      <c r="AD73" s="500"/>
      <c r="AE73" s="500"/>
      <c r="AF73" s="500"/>
      <c r="AG73" s="500"/>
      <c r="AH73" s="500"/>
      <c r="AI73" s="500"/>
      <c r="AJ73" s="500"/>
      <c r="AK73" s="500"/>
      <c r="AL73" s="500"/>
      <c r="AM73" s="500"/>
      <c r="AN73" s="500"/>
      <c r="AO73" s="500"/>
      <c r="AP73" s="500"/>
      <c r="AQ73" s="500"/>
      <c r="AR73" s="500"/>
      <c r="AS73" s="336"/>
      <c r="AT73" s="58"/>
      <c r="AV73" s="123"/>
      <c r="DY73" s="64"/>
      <c r="EY73" s="501"/>
      <c r="HM73" s="550"/>
      <c r="HN73" s="550"/>
      <c r="HO73" s="550"/>
      <c r="HP73" s="550"/>
      <c r="HQ73" s="550"/>
      <c r="HR73" s="550"/>
      <c r="HS73" s="550"/>
      <c r="HT73" s="550"/>
      <c r="HU73" s="550"/>
      <c r="HV73" s="550"/>
      <c r="HW73" s="550"/>
      <c r="HX73" s="550"/>
      <c r="HY73" s="550"/>
      <c r="HZ73" s="550"/>
      <c r="IA73" s="550"/>
      <c r="IB73" s="550"/>
      <c r="IC73" s="550"/>
      <c r="ID73" s="550"/>
      <c r="IE73" s="550"/>
      <c r="IF73" s="550"/>
      <c r="IG73" s="550"/>
      <c r="II73" s="550"/>
      <c r="JA73" s="58"/>
      <c r="JK73" s="550"/>
      <c r="JO73" s="550"/>
      <c r="JQ73" s="58"/>
    </row>
    <row r="74" spans="3:277" hidden="1">
      <c r="C74" s="500"/>
      <c r="D74" s="500"/>
      <c r="E74" s="500"/>
      <c r="F74" s="500"/>
      <c r="G74" s="500"/>
      <c r="H74" s="500"/>
      <c r="I74" s="500"/>
      <c r="J74" s="500"/>
      <c r="K74" s="500"/>
      <c r="L74" s="500"/>
      <c r="M74" s="500"/>
      <c r="N74" s="500"/>
      <c r="O74" s="500"/>
      <c r="P74" s="500"/>
      <c r="Q74" s="500"/>
      <c r="R74" s="500"/>
      <c r="S74" s="500"/>
      <c r="T74" s="500"/>
      <c r="U74" s="500"/>
      <c r="V74" s="500"/>
      <c r="W74" s="500"/>
      <c r="X74" s="500"/>
      <c r="Y74" s="500"/>
      <c r="Z74" s="500"/>
      <c r="AA74" s="500"/>
      <c r="AB74" s="500"/>
      <c r="AC74" s="500"/>
      <c r="AD74" s="500"/>
      <c r="AE74" s="500"/>
      <c r="AF74" s="500"/>
      <c r="AG74" s="500"/>
      <c r="AH74" s="500"/>
      <c r="AI74" s="500"/>
      <c r="AJ74" s="500"/>
      <c r="AK74" s="500"/>
      <c r="AL74" s="500"/>
      <c r="AM74" s="500"/>
      <c r="AN74" s="500"/>
      <c r="AO74" s="500"/>
      <c r="AP74" s="500"/>
      <c r="AQ74" s="500"/>
      <c r="AR74" s="500"/>
      <c r="AS74" s="336"/>
      <c r="AT74" s="58"/>
      <c r="AV74" s="123"/>
      <c r="DY74" s="64"/>
      <c r="EY74" s="501"/>
      <c r="HM74" s="550"/>
      <c r="HN74" s="550"/>
      <c r="HO74" s="550"/>
      <c r="HP74" s="550"/>
      <c r="HQ74" s="550"/>
      <c r="HR74" s="550"/>
      <c r="HS74" s="550"/>
      <c r="HT74" s="550"/>
      <c r="HU74" s="550"/>
      <c r="HV74" s="550"/>
      <c r="HW74" s="550"/>
      <c r="HX74" s="550"/>
      <c r="HY74" s="550"/>
      <c r="HZ74" s="550"/>
      <c r="IA74" s="550"/>
      <c r="IB74" s="550"/>
      <c r="IC74" s="550"/>
      <c r="ID74" s="550"/>
      <c r="IE74" s="550"/>
      <c r="IF74" s="550"/>
      <c r="IG74" s="550"/>
      <c r="II74" s="550"/>
      <c r="JA74" s="58"/>
      <c r="JK74" s="550"/>
      <c r="JO74" s="550"/>
      <c r="JQ74" s="58"/>
    </row>
    <row r="75" spans="3:277" hidden="1">
      <c r="C75" s="500"/>
      <c r="D75" s="500"/>
      <c r="E75" s="500"/>
      <c r="F75" s="500"/>
      <c r="G75" s="500"/>
      <c r="H75" s="500"/>
      <c r="I75" s="500"/>
      <c r="J75" s="500"/>
      <c r="K75" s="500"/>
      <c r="L75" s="500"/>
      <c r="M75" s="500"/>
      <c r="N75" s="500"/>
      <c r="O75" s="500"/>
      <c r="P75" s="500"/>
      <c r="Q75" s="500"/>
      <c r="R75" s="500"/>
      <c r="S75" s="500"/>
      <c r="T75" s="500"/>
      <c r="U75" s="500"/>
      <c r="V75" s="500"/>
      <c r="W75" s="500"/>
      <c r="X75" s="500"/>
      <c r="Y75" s="500"/>
      <c r="Z75" s="500"/>
      <c r="AA75" s="500"/>
      <c r="AB75" s="500"/>
      <c r="AC75" s="500"/>
      <c r="AD75" s="500"/>
      <c r="AE75" s="500"/>
      <c r="AF75" s="500"/>
      <c r="AG75" s="500"/>
      <c r="AH75" s="500"/>
      <c r="AI75" s="500"/>
      <c r="AJ75" s="500"/>
      <c r="AK75" s="500"/>
      <c r="AL75" s="500"/>
      <c r="AM75" s="500"/>
      <c r="AN75" s="500"/>
      <c r="AO75" s="500"/>
      <c r="AP75" s="500"/>
      <c r="AQ75" s="500"/>
      <c r="AR75" s="500"/>
      <c r="AS75" s="336"/>
      <c r="AT75" s="58"/>
      <c r="AV75" s="123"/>
      <c r="DY75" s="64"/>
      <c r="EY75" s="501"/>
      <c r="HM75" s="550"/>
      <c r="HN75" s="550"/>
      <c r="HO75" s="550"/>
      <c r="HP75" s="550"/>
      <c r="HQ75" s="550"/>
      <c r="HR75" s="550"/>
      <c r="HS75" s="550"/>
      <c r="HT75" s="550"/>
      <c r="HU75" s="550"/>
      <c r="HV75" s="550"/>
      <c r="HW75" s="550"/>
      <c r="HX75" s="550"/>
      <c r="HY75" s="550"/>
      <c r="HZ75" s="550"/>
      <c r="IA75" s="550"/>
      <c r="IB75" s="550"/>
      <c r="IC75" s="550"/>
      <c r="ID75" s="550"/>
      <c r="IE75" s="550"/>
      <c r="IF75" s="550"/>
      <c r="IG75" s="550"/>
      <c r="II75" s="550"/>
      <c r="JA75" s="58"/>
      <c r="JK75" s="550"/>
      <c r="JO75" s="550"/>
      <c r="JQ75" s="58"/>
    </row>
    <row r="76" spans="3:277" hidden="1">
      <c r="C76" s="500"/>
      <c r="D76" s="500"/>
      <c r="E76" s="500"/>
      <c r="F76" s="500"/>
      <c r="G76" s="500"/>
      <c r="H76" s="500"/>
      <c r="I76" s="500"/>
      <c r="J76" s="500"/>
      <c r="K76" s="500"/>
      <c r="L76" s="500"/>
      <c r="M76" s="500"/>
      <c r="N76" s="500"/>
      <c r="O76" s="500"/>
      <c r="P76" s="500"/>
      <c r="Q76" s="500"/>
      <c r="R76" s="500"/>
      <c r="S76" s="500"/>
      <c r="T76" s="500"/>
      <c r="U76" s="500"/>
      <c r="V76" s="500"/>
      <c r="W76" s="500"/>
      <c r="X76" s="500"/>
      <c r="Y76" s="500"/>
      <c r="Z76" s="500"/>
      <c r="AA76" s="500"/>
      <c r="AB76" s="500"/>
      <c r="AC76" s="500"/>
      <c r="AD76" s="500"/>
      <c r="AE76" s="500"/>
      <c r="AF76" s="500"/>
      <c r="AG76" s="500"/>
      <c r="AH76" s="500"/>
      <c r="AI76" s="500"/>
      <c r="AJ76" s="500"/>
      <c r="AK76" s="500"/>
      <c r="AL76" s="500"/>
      <c r="AM76" s="500"/>
      <c r="AN76" s="500"/>
      <c r="AO76" s="500"/>
      <c r="AP76" s="500"/>
      <c r="AQ76" s="500"/>
      <c r="AR76" s="500"/>
      <c r="AS76" s="336"/>
      <c r="AT76" s="58"/>
      <c r="AV76" s="123"/>
      <c r="DY76" s="64"/>
      <c r="EY76" s="501"/>
      <c r="HM76" s="550"/>
      <c r="HN76" s="550"/>
      <c r="HO76" s="550"/>
      <c r="HP76" s="550"/>
      <c r="HQ76" s="550"/>
      <c r="HR76" s="550"/>
      <c r="HS76" s="550"/>
      <c r="HT76" s="550"/>
      <c r="HU76" s="550"/>
      <c r="HV76" s="550"/>
      <c r="HW76" s="550"/>
      <c r="HX76" s="550"/>
      <c r="HY76" s="550"/>
      <c r="HZ76" s="550"/>
      <c r="IA76" s="550"/>
      <c r="IB76" s="550"/>
      <c r="IC76" s="550"/>
      <c r="ID76" s="550"/>
      <c r="IE76" s="550"/>
      <c r="IF76" s="550"/>
      <c r="IG76" s="550"/>
      <c r="II76" s="550"/>
      <c r="JA76" s="58"/>
      <c r="JK76" s="550"/>
      <c r="JO76" s="550"/>
      <c r="JQ76" s="58"/>
    </row>
    <row r="77" spans="3:277" hidden="1">
      <c r="C77" s="500"/>
      <c r="D77" s="500"/>
      <c r="E77" s="500"/>
      <c r="F77" s="500"/>
      <c r="G77" s="500"/>
      <c r="H77" s="500"/>
      <c r="I77" s="500"/>
      <c r="J77" s="500"/>
      <c r="K77" s="500"/>
      <c r="L77" s="500"/>
      <c r="M77" s="500"/>
      <c r="N77" s="500"/>
      <c r="O77" s="500"/>
      <c r="P77" s="500"/>
      <c r="Q77" s="500"/>
      <c r="R77" s="500"/>
      <c r="S77" s="500"/>
      <c r="T77" s="500"/>
      <c r="U77" s="500"/>
      <c r="V77" s="500"/>
      <c r="W77" s="500"/>
      <c r="X77" s="500"/>
      <c r="Y77" s="500"/>
      <c r="Z77" s="500"/>
      <c r="AA77" s="500"/>
      <c r="AB77" s="500"/>
      <c r="AC77" s="500"/>
      <c r="AD77" s="500"/>
      <c r="AE77" s="500"/>
      <c r="AF77" s="500"/>
      <c r="AG77" s="500"/>
      <c r="AH77" s="500"/>
      <c r="AI77" s="500"/>
      <c r="AJ77" s="500"/>
      <c r="AK77" s="500"/>
      <c r="AL77" s="500"/>
      <c r="AM77" s="500"/>
      <c r="AN77" s="500"/>
      <c r="AO77" s="500"/>
      <c r="AP77" s="500"/>
      <c r="AQ77" s="500"/>
      <c r="AR77" s="500"/>
      <c r="AS77" s="336"/>
      <c r="AT77" s="58"/>
      <c r="AV77" s="123"/>
      <c r="DY77" s="64"/>
      <c r="EY77" s="501"/>
      <c r="HM77" s="550"/>
      <c r="HN77" s="550"/>
      <c r="HO77" s="550"/>
      <c r="HP77" s="550"/>
      <c r="HQ77" s="550"/>
      <c r="HR77" s="550"/>
      <c r="HS77" s="550"/>
      <c r="HT77" s="550"/>
      <c r="HU77" s="550"/>
      <c r="HV77" s="550"/>
      <c r="HW77" s="550"/>
      <c r="HX77" s="550"/>
      <c r="HY77" s="550"/>
      <c r="HZ77" s="550"/>
      <c r="IA77" s="550"/>
      <c r="IB77" s="550"/>
      <c r="IC77" s="550"/>
      <c r="ID77" s="550"/>
      <c r="IE77" s="550"/>
      <c r="IF77" s="550"/>
      <c r="IG77" s="550"/>
      <c r="II77" s="550"/>
      <c r="JA77" s="58"/>
      <c r="JK77" s="550"/>
      <c r="JO77" s="550"/>
      <c r="JQ77" s="58"/>
    </row>
    <row r="78" spans="3:277" hidden="1">
      <c r="C78" s="500"/>
      <c r="D78" s="500"/>
      <c r="E78" s="500"/>
      <c r="F78" s="500"/>
      <c r="G78" s="500"/>
      <c r="H78" s="500"/>
      <c r="I78" s="500"/>
      <c r="J78" s="500"/>
      <c r="K78" s="500"/>
      <c r="L78" s="500"/>
      <c r="M78" s="500"/>
      <c r="N78" s="500"/>
      <c r="O78" s="500"/>
      <c r="P78" s="500"/>
      <c r="Q78" s="500"/>
      <c r="R78" s="500"/>
      <c r="S78" s="500"/>
      <c r="T78" s="500"/>
      <c r="U78" s="500"/>
      <c r="V78" s="500"/>
      <c r="W78" s="500"/>
      <c r="X78" s="500"/>
      <c r="Y78" s="500"/>
      <c r="Z78" s="500"/>
      <c r="AA78" s="500"/>
      <c r="AB78" s="500"/>
      <c r="AC78" s="500"/>
      <c r="AD78" s="500"/>
      <c r="AE78" s="500"/>
      <c r="AF78" s="500"/>
      <c r="AG78" s="500"/>
      <c r="AH78" s="500"/>
      <c r="AI78" s="500"/>
      <c r="AJ78" s="500"/>
      <c r="AK78" s="500"/>
      <c r="AL78" s="500"/>
      <c r="AM78" s="500"/>
      <c r="AN78" s="500"/>
      <c r="AO78" s="500"/>
      <c r="AP78" s="500"/>
      <c r="AQ78" s="500"/>
      <c r="AR78" s="500"/>
      <c r="AS78" s="336"/>
      <c r="AT78" s="58"/>
      <c r="AV78" s="123"/>
      <c r="DY78" s="64"/>
      <c r="EY78" s="501"/>
      <c r="HM78" s="550"/>
      <c r="HN78" s="550"/>
      <c r="HO78" s="550"/>
      <c r="HP78" s="550"/>
      <c r="HQ78" s="550"/>
      <c r="HR78" s="550"/>
      <c r="HS78" s="550"/>
      <c r="HT78" s="550"/>
      <c r="HU78" s="550"/>
      <c r="HV78" s="550"/>
      <c r="HW78" s="550"/>
      <c r="HX78" s="550"/>
      <c r="HY78" s="550"/>
      <c r="HZ78" s="550"/>
      <c r="IA78" s="550"/>
      <c r="IB78" s="550"/>
      <c r="IC78" s="550"/>
      <c r="ID78" s="550"/>
      <c r="IE78" s="550"/>
      <c r="IF78" s="550"/>
      <c r="IG78" s="550"/>
      <c r="II78" s="550"/>
      <c r="JA78" s="58"/>
      <c r="JK78" s="550"/>
      <c r="JO78" s="550"/>
      <c r="JQ78" s="58"/>
    </row>
    <row r="79" spans="3:277" hidden="1">
      <c r="C79" s="500"/>
      <c r="D79" s="500"/>
      <c r="E79" s="500"/>
      <c r="F79" s="500"/>
      <c r="G79" s="500"/>
      <c r="H79" s="500"/>
      <c r="I79" s="500"/>
      <c r="J79" s="500"/>
      <c r="K79" s="500"/>
      <c r="L79" s="500"/>
      <c r="M79" s="500"/>
      <c r="N79" s="500"/>
      <c r="O79" s="500"/>
      <c r="P79" s="500"/>
      <c r="Q79" s="500"/>
      <c r="R79" s="500"/>
      <c r="S79" s="500"/>
      <c r="T79" s="500"/>
      <c r="U79" s="500"/>
      <c r="V79" s="500"/>
      <c r="W79" s="500"/>
      <c r="X79" s="500"/>
      <c r="Y79" s="500"/>
      <c r="Z79" s="500"/>
      <c r="AA79" s="500"/>
      <c r="AB79" s="500"/>
      <c r="AC79" s="500"/>
      <c r="AD79" s="500"/>
      <c r="AE79" s="500"/>
      <c r="AF79" s="500"/>
      <c r="AG79" s="500"/>
      <c r="AH79" s="500"/>
      <c r="AI79" s="500"/>
      <c r="AJ79" s="500"/>
      <c r="AK79" s="500"/>
      <c r="AL79" s="500"/>
      <c r="AM79" s="500"/>
      <c r="AN79" s="500"/>
      <c r="AO79" s="500"/>
      <c r="AP79" s="500"/>
      <c r="AQ79" s="500"/>
      <c r="AR79" s="500"/>
      <c r="AS79" s="336"/>
      <c r="AT79" s="58"/>
      <c r="AV79" s="123"/>
      <c r="DY79" s="64"/>
      <c r="EY79" s="501"/>
      <c r="HM79" s="550"/>
      <c r="HN79" s="550"/>
      <c r="HO79" s="550"/>
      <c r="HP79" s="550"/>
      <c r="HQ79" s="550"/>
      <c r="HR79" s="550"/>
      <c r="HS79" s="550"/>
      <c r="HT79" s="550"/>
      <c r="HU79" s="550"/>
      <c r="HV79" s="550"/>
      <c r="HW79" s="550"/>
      <c r="HX79" s="550"/>
      <c r="HY79" s="550"/>
      <c r="HZ79" s="550"/>
      <c r="IA79" s="550"/>
      <c r="IB79" s="550"/>
      <c r="IC79" s="550"/>
      <c r="ID79" s="550"/>
      <c r="IE79" s="550"/>
      <c r="IF79" s="550"/>
      <c r="IG79" s="550"/>
      <c r="II79" s="550"/>
      <c r="JA79" s="58"/>
      <c r="JK79" s="550"/>
      <c r="JO79" s="550"/>
      <c r="JQ79" s="58"/>
    </row>
    <row r="80" spans="3:277" hidden="1">
      <c r="C80" s="500"/>
      <c r="D80" s="500"/>
      <c r="E80" s="500"/>
      <c r="F80" s="500"/>
      <c r="G80" s="500"/>
      <c r="H80" s="500"/>
      <c r="I80" s="500"/>
      <c r="J80" s="500"/>
      <c r="K80" s="500"/>
      <c r="L80" s="500"/>
      <c r="M80" s="500"/>
      <c r="N80" s="500"/>
      <c r="O80" s="500"/>
      <c r="P80" s="500"/>
      <c r="Q80" s="500"/>
      <c r="R80" s="500"/>
      <c r="S80" s="500"/>
      <c r="T80" s="500"/>
      <c r="U80" s="500"/>
      <c r="V80" s="500"/>
      <c r="W80" s="500"/>
      <c r="X80" s="500"/>
      <c r="Y80" s="500"/>
      <c r="Z80" s="500"/>
      <c r="AA80" s="500"/>
      <c r="AB80" s="500"/>
      <c r="AC80" s="500"/>
      <c r="AD80" s="500"/>
      <c r="AE80" s="500"/>
      <c r="AF80" s="500"/>
      <c r="AG80" s="500"/>
      <c r="AH80" s="500"/>
      <c r="AI80" s="500"/>
      <c r="AJ80" s="500"/>
      <c r="AK80" s="500"/>
      <c r="AL80" s="500"/>
      <c r="AM80" s="500"/>
      <c r="AN80" s="500"/>
      <c r="AO80" s="500"/>
      <c r="AP80" s="500"/>
      <c r="AQ80" s="500"/>
      <c r="AR80" s="500"/>
      <c r="AS80" s="336"/>
      <c r="AT80" s="58"/>
      <c r="AV80" s="123"/>
      <c r="DY80" s="64"/>
      <c r="EY80" s="501"/>
      <c r="HM80" s="550"/>
      <c r="HN80" s="550"/>
      <c r="HO80" s="550"/>
      <c r="HP80" s="550"/>
      <c r="HQ80" s="550"/>
      <c r="HR80" s="550"/>
      <c r="HS80" s="550"/>
      <c r="HT80" s="550"/>
      <c r="HU80" s="550"/>
      <c r="HV80" s="550"/>
      <c r="HW80" s="550"/>
      <c r="HX80" s="550"/>
      <c r="HY80" s="550"/>
      <c r="HZ80" s="550"/>
      <c r="IA80" s="550"/>
      <c r="IB80" s="550"/>
      <c r="IC80" s="550"/>
      <c r="ID80" s="550"/>
      <c r="IE80" s="550"/>
      <c r="IF80" s="550"/>
      <c r="IG80" s="550"/>
      <c r="II80" s="550"/>
      <c r="JA80" s="58"/>
      <c r="JK80" s="550"/>
      <c r="JO80" s="550"/>
      <c r="JQ80" s="58"/>
    </row>
    <row r="81" spans="1:308" hidden="1">
      <c r="C81" s="500"/>
      <c r="D81" s="500"/>
      <c r="E81" s="500"/>
      <c r="F81" s="500"/>
      <c r="G81" s="500"/>
      <c r="H81" s="500"/>
      <c r="I81" s="500"/>
      <c r="J81" s="500"/>
      <c r="K81" s="500"/>
      <c r="L81" s="500"/>
      <c r="M81" s="500"/>
      <c r="N81" s="500"/>
      <c r="O81" s="500"/>
      <c r="P81" s="500"/>
      <c r="Q81" s="500"/>
      <c r="R81" s="500"/>
      <c r="S81" s="500"/>
      <c r="T81" s="500"/>
      <c r="U81" s="500"/>
      <c r="V81" s="500"/>
      <c r="W81" s="500"/>
      <c r="X81" s="500"/>
      <c r="Y81" s="500"/>
      <c r="Z81" s="500"/>
      <c r="AA81" s="500"/>
      <c r="AB81" s="500"/>
      <c r="AC81" s="500"/>
      <c r="AD81" s="500"/>
      <c r="AE81" s="500"/>
      <c r="AF81" s="500"/>
      <c r="AG81" s="500"/>
      <c r="AH81" s="500"/>
      <c r="AI81" s="500"/>
      <c r="AJ81" s="500"/>
      <c r="AK81" s="500"/>
      <c r="AL81" s="500"/>
      <c r="AM81" s="500"/>
      <c r="AN81" s="500"/>
      <c r="AO81" s="500"/>
      <c r="AP81" s="500"/>
      <c r="AQ81" s="500"/>
      <c r="AR81" s="500"/>
      <c r="AS81" s="336"/>
      <c r="AT81" s="58"/>
      <c r="AV81" s="123"/>
      <c r="DY81" s="64"/>
      <c r="EY81" s="501"/>
      <c r="HM81" s="562"/>
      <c r="HN81" s="562"/>
      <c r="HO81" s="562"/>
      <c r="HP81" s="562"/>
      <c r="HQ81" s="562"/>
      <c r="HR81" s="562"/>
      <c r="HS81" s="562"/>
      <c r="HT81" s="562"/>
      <c r="HU81" s="562"/>
      <c r="HV81" s="562"/>
      <c r="HW81" s="562"/>
      <c r="HX81" s="562"/>
      <c r="HY81" s="562"/>
      <c r="HZ81" s="562"/>
      <c r="IA81" s="562"/>
      <c r="IB81" s="562"/>
      <c r="IC81" s="562"/>
      <c r="ID81" s="562"/>
      <c r="IE81" s="562"/>
      <c r="IF81" s="562"/>
      <c r="IG81" s="562"/>
      <c r="II81" s="562"/>
      <c r="JA81" s="58"/>
      <c r="JK81" s="562"/>
      <c r="JO81" s="562"/>
      <c r="JQ81" s="58"/>
    </row>
    <row r="82" spans="1:308" hidden="1">
      <c r="C82" s="500"/>
      <c r="D82" s="500"/>
      <c r="E82" s="500"/>
      <c r="F82" s="500"/>
      <c r="G82" s="500"/>
      <c r="H82" s="500"/>
      <c r="I82" s="500"/>
      <c r="J82" s="500"/>
      <c r="K82" s="500"/>
      <c r="L82" s="500"/>
      <c r="M82" s="500"/>
      <c r="N82" s="500"/>
      <c r="O82" s="500"/>
      <c r="P82" s="500"/>
      <c r="Q82" s="500"/>
      <c r="R82" s="500"/>
      <c r="S82" s="500"/>
      <c r="T82" s="500"/>
      <c r="U82" s="500"/>
      <c r="V82" s="500"/>
      <c r="W82" s="500"/>
      <c r="X82" s="500"/>
      <c r="Y82" s="500"/>
      <c r="Z82" s="500"/>
      <c r="AA82" s="500"/>
      <c r="AB82" s="500"/>
      <c r="AC82" s="500"/>
      <c r="AD82" s="500"/>
      <c r="AE82" s="500"/>
      <c r="AF82" s="500"/>
      <c r="AG82" s="500"/>
      <c r="AH82" s="500"/>
      <c r="AI82" s="500"/>
      <c r="AJ82" s="500"/>
      <c r="AK82" s="500"/>
      <c r="AL82" s="500"/>
      <c r="AM82" s="500"/>
      <c r="AN82" s="500"/>
      <c r="AO82" s="500"/>
      <c r="AP82" s="500"/>
      <c r="AQ82" s="500"/>
      <c r="AR82" s="500"/>
      <c r="AS82" s="336"/>
      <c r="AT82" s="58"/>
      <c r="AV82" s="123"/>
      <c r="DY82" s="64"/>
      <c r="EY82" s="501"/>
      <c r="HM82" s="562"/>
      <c r="HN82" s="562"/>
      <c r="HO82" s="562"/>
      <c r="HP82" s="562"/>
      <c r="HQ82" s="562"/>
      <c r="HR82" s="562"/>
      <c r="HS82" s="562"/>
      <c r="HT82" s="562"/>
      <c r="HU82" s="562"/>
      <c r="HV82" s="562"/>
      <c r="HW82" s="562"/>
      <c r="HX82" s="562"/>
      <c r="HY82" s="562"/>
      <c r="HZ82" s="562"/>
      <c r="IA82" s="562"/>
      <c r="IB82" s="562"/>
      <c r="IC82" s="562"/>
      <c r="ID82" s="562"/>
      <c r="IE82" s="562"/>
      <c r="IF82" s="562"/>
      <c r="IG82" s="562"/>
      <c r="II82" s="562"/>
      <c r="JA82" s="58"/>
      <c r="JK82" s="562"/>
      <c r="JO82" s="562"/>
      <c r="JQ82" s="58"/>
    </row>
    <row r="83" spans="1:308" hidden="1">
      <c r="C83" s="500"/>
      <c r="D83" s="500"/>
      <c r="E83" s="500"/>
      <c r="F83" s="500"/>
      <c r="G83" s="500"/>
      <c r="H83" s="500"/>
      <c r="I83" s="500"/>
      <c r="J83" s="500"/>
      <c r="K83" s="500"/>
      <c r="L83" s="500"/>
      <c r="M83" s="500"/>
      <c r="N83" s="500"/>
      <c r="O83" s="500"/>
      <c r="P83" s="500"/>
      <c r="Q83" s="500"/>
      <c r="R83" s="500"/>
      <c r="S83" s="500"/>
      <c r="T83" s="500"/>
      <c r="U83" s="500"/>
      <c r="V83" s="500"/>
      <c r="W83" s="500"/>
      <c r="X83" s="500"/>
      <c r="Y83" s="500"/>
      <c r="Z83" s="500"/>
      <c r="AA83" s="500"/>
      <c r="AB83" s="500"/>
      <c r="AC83" s="500"/>
      <c r="AD83" s="500"/>
      <c r="AE83" s="500"/>
      <c r="AF83" s="500"/>
      <c r="AG83" s="500"/>
      <c r="AH83" s="500"/>
      <c r="AI83" s="500"/>
      <c r="AJ83" s="500"/>
      <c r="AK83" s="500"/>
      <c r="AL83" s="500"/>
      <c r="AM83" s="500"/>
      <c r="AN83" s="500"/>
      <c r="AO83" s="500"/>
      <c r="AP83" s="500"/>
      <c r="AQ83" s="500"/>
      <c r="AR83" s="500"/>
      <c r="AS83" s="336"/>
      <c r="AT83" s="58"/>
      <c r="AV83" s="123"/>
      <c r="DY83" s="64"/>
      <c r="EY83" s="501"/>
      <c r="HM83" s="562"/>
      <c r="HN83" s="562"/>
      <c r="HO83" s="562"/>
      <c r="HP83" s="562"/>
      <c r="HQ83" s="562"/>
      <c r="HR83" s="562"/>
      <c r="HS83" s="562"/>
      <c r="HT83" s="562"/>
      <c r="HU83" s="562"/>
      <c r="HV83" s="562"/>
      <c r="HW83" s="562"/>
      <c r="HX83" s="562"/>
      <c r="HY83" s="562"/>
      <c r="HZ83" s="562"/>
      <c r="IA83" s="562"/>
      <c r="IB83" s="562"/>
      <c r="IC83" s="562"/>
      <c r="ID83" s="562"/>
      <c r="IE83" s="562"/>
      <c r="IF83" s="562"/>
      <c r="IG83" s="562"/>
      <c r="II83" s="562"/>
      <c r="JA83" s="58"/>
      <c r="JK83" s="562"/>
      <c r="JO83" s="562"/>
      <c r="JQ83" s="58"/>
    </row>
    <row r="84" spans="1:308">
      <c r="C84" s="500"/>
      <c r="D84" s="500"/>
      <c r="E84" s="500"/>
      <c r="F84" s="500"/>
      <c r="G84" s="500"/>
      <c r="H84" s="500"/>
      <c r="I84" s="500"/>
      <c r="J84" s="500"/>
      <c r="K84" s="500"/>
      <c r="L84" s="500"/>
      <c r="M84" s="500"/>
      <c r="N84" s="500"/>
      <c r="O84" s="500"/>
      <c r="P84" s="500"/>
      <c r="Q84" s="500"/>
      <c r="R84" s="500"/>
      <c r="S84" s="500"/>
      <c r="T84" s="500"/>
      <c r="U84" s="500"/>
      <c r="V84" s="500"/>
      <c r="W84" s="500"/>
      <c r="X84" s="500"/>
      <c r="Y84" s="500"/>
      <c r="Z84" s="500"/>
      <c r="AA84" s="500"/>
      <c r="AB84" s="500"/>
      <c r="AC84" s="500"/>
      <c r="AD84" s="500"/>
      <c r="AE84" s="500"/>
      <c r="AF84" s="500"/>
      <c r="AG84" s="500"/>
      <c r="AH84" s="500"/>
      <c r="AI84" s="500"/>
      <c r="AJ84" s="500"/>
      <c r="AK84" s="500"/>
      <c r="AL84" s="500"/>
      <c r="AM84" s="500"/>
      <c r="AN84" s="500"/>
      <c r="AO84" s="500"/>
      <c r="AP84" s="500"/>
      <c r="AQ84" s="500"/>
      <c r="AR84" s="500"/>
      <c r="AS84" s="336"/>
      <c r="AT84" s="58"/>
      <c r="AV84" s="123"/>
      <c r="DY84" s="64"/>
      <c r="EY84" s="501"/>
      <c r="HM84" s="562"/>
      <c r="HN84" s="562"/>
      <c r="HO84" s="562"/>
      <c r="HP84" s="562"/>
      <c r="HQ84" s="562"/>
      <c r="HR84" s="562"/>
      <c r="HS84" s="562"/>
      <c r="HT84" s="562"/>
      <c r="HU84" s="562"/>
      <c r="HV84" s="562"/>
      <c r="HW84" s="562"/>
      <c r="HX84" s="562"/>
      <c r="HY84" s="562"/>
      <c r="HZ84" s="562"/>
      <c r="IA84" s="562"/>
      <c r="IB84" s="562"/>
      <c r="IC84" s="562"/>
      <c r="ID84" s="562"/>
      <c r="IE84" s="562"/>
      <c r="IF84" s="562"/>
      <c r="IG84" s="562"/>
      <c r="II84" s="562"/>
      <c r="JA84" s="58"/>
      <c r="JK84" s="562"/>
      <c r="JO84" s="562"/>
      <c r="JQ84" s="58"/>
    </row>
    <row r="85" spans="1:308" hidden="1" outlineLevel="1">
      <c r="A85" s="58" t="s">
        <v>777</v>
      </c>
      <c r="C85" s="500"/>
      <c r="D85" s="500"/>
      <c r="E85" s="500"/>
      <c r="F85" s="500"/>
      <c r="G85" s="500"/>
      <c r="H85" s="500"/>
      <c r="I85" s="500"/>
      <c r="J85" s="500"/>
      <c r="K85" s="500"/>
      <c r="L85" s="500"/>
      <c r="M85" s="500"/>
      <c r="N85" s="500"/>
      <c r="O85" s="500"/>
      <c r="P85" s="500"/>
      <c r="Q85" s="500"/>
      <c r="R85" s="500"/>
      <c r="S85" s="500"/>
      <c r="T85" s="500"/>
      <c r="U85" s="500"/>
      <c r="V85" s="500"/>
      <c r="W85" s="500"/>
      <c r="X85" s="500"/>
      <c r="Y85" s="500"/>
      <c r="Z85" s="500"/>
      <c r="AA85" s="500"/>
      <c r="AB85" s="500"/>
      <c r="AC85" s="500"/>
      <c r="AD85" s="500"/>
      <c r="AE85" s="500"/>
      <c r="AF85" s="500"/>
      <c r="AG85" s="500"/>
      <c r="AH85" s="500"/>
      <c r="AI85" s="500"/>
      <c r="AJ85" s="500"/>
      <c r="AK85" s="500"/>
      <c r="AL85" s="500"/>
      <c r="AM85" s="500"/>
      <c r="AN85" s="500"/>
      <c r="AO85" s="500"/>
      <c r="AP85" s="500"/>
      <c r="AQ85" s="500"/>
      <c r="AR85" s="500"/>
      <c r="AS85" s="336"/>
      <c r="AT85" s="58"/>
      <c r="AV85" s="123"/>
      <c r="DY85" s="64"/>
      <c r="EY85" s="501"/>
      <c r="HM85" s="562"/>
      <c r="HN85" s="562"/>
      <c r="HO85" s="562"/>
      <c r="HP85" s="562"/>
      <c r="HQ85" s="562"/>
      <c r="HR85" s="562"/>
      <c r="HS85" s="562"/>
      <c r="HT85" s="562"/>
      <c r="HU85" s="562"/>
      <c r="HV85" s="562"/>
      <c r="HW85" s="562"/>
      <c r="HX85" s="562"/>
      <c r="HY85" s="562"/>
      <c r="HZ85" s="562"/>
      <c r="IA85" s="562"/>
      <c r="IB85" s="562"/>
      <c r="IC85" s="562"/>
      <c r="ID85" s="562"/>
      <c r="IE85" s="562"/>
      <c r="IF85" s="562"/>
      <c r="IG85" s="562"/>
      <c r="II85" s="562"/>
      <c r="JA85" s="58"/>
      <c r="JK85" s="562"/>
      <c r="JO85" s="562"/>
      <c r="JQ85" s="58"/>
    </row>
    <row r="86" spans="1:308" s="26" customFormat="1" ht="15" hidden="1" outlineLevel="1">
      <c r="A86" s="561">
        <f t="shared" ref="A86:A89" si="0">C86*1000+B86</f>
        <v>1</v>
      </c>
      <c r="B86" s="561">
        <f t="shared" ref="B86:B89" si="1">B85+1</f>
        <v>1</v>
      </c>
      <c r="C86" s="561">
        <f>C85</f>
        <v>0</v>
      </c>
      <c r="D86" s="561" t="s">
        <v>778</v>
      </c>
      <c r="E86" s="475">
        <f>INDEX(Input!$1:$1048576,E$93,$C86*2+MIN($B86,1)+5)</f>
        <v>0</v>
      </c>
      <c r="F86" s="475">
        <f>INDEX(Input!$1:$1048576,F$93,$C86*2+MIN($B86,1)+5)</f>
        <v>0</v>
      </c>
      <c r="G86" s="475">
        <f>INDEX(Input!$1:$1048576,G$93,$C86*2+MIN($B86,1)+5)</f>
        <v>0</v>
      </c>
      <c r="H86" s="475">
        <f>INDEX(Input!$1:$1048576,H$93,$C86*2+MIN($B86,1)+5)</f>
        <v>0</v>
      </c>
      <c r="I86" s="476">
        <f>INDEX(Input!$1:$1048576,I$93,$C86*2+MIN($B86,1)+5)</f>
        <v>0</v>
      </c>
      <c r="J86" s="476">
        <f>INDEX(Input!$1:$1048576,J$93,$C86*2+MIN($B86,1)+5)</f>
        <v>0</v>
      </c>
      <c r="K86" s="476">
        <f>INDEX(Input!$1:$1048576,K$93,$C86*2+MIN($B86,1)+5)</f>
        <v>0</v>
      </c>
      <c r="L86" s="476">
        <f>INDEX(Input!$1:$1048576,L$93,$C86*2+MIN($B86,1)+5)</f>
        <v>0</v>
      </c>
      <c r="M86" s="476">
        <f>INDEX(Input!$1:$1048576,M$93,$C86*2+MIN($B86,1)+5)</f>
        <v>0</v>
      </c>
      <c r="N86" s="476">
        <f>INDEX(Input!$1:$1048576,N$93,$C86*2+MIN($B86,1)+5)</f>
        <v>0</v>
      </c>
      <c r="O86" s="476">
        <f>INDEX(Input!$1:$1048576,O$93,$C86*2+MIN($B86,1)+5)</f>
        <v>0</v>
      </c>
      <c r="P86" s="476">
        <f>INDEX(Input!$1:$1048576,P$93,$C86*2+MIN($B86,1)+5)</f>
        <v>0</v>
      </c>
      <c r="Q86" s="477">
        <f>INDEX(Input!$1:$1048576,Q$93,$C86*2+MIN($B86,1)+5)</f>
        <v>0</v>
      </c>
      <c r="R86" s="478">
        <f>IFERROR(MAX(0,INDEX(Input!$1:$1048576,R$93,$C86*2+MIN($B86,1)+5)-0%),"Market")</f>
        <v>0</v>
      </c>
      <c r="S86" s="478">
        <f>IFERROR(MAX(0,INDEX(Input!$1:$1048576,S$93,$C86*2+MIN($B86,1)+5)-0%),"Market")</f>
        <v>0</v>
      </c>
      <c r="T86" s="478">
        <f>IFERROR(MAX(0,INDEX(Input!$1:$1048576,T$93,$C86*2+MIN($B86,1)+5)-0%),"Market")</f>
        <v>0</v>
      </c>
      <c r="U86" s="478">
        <f>IFERROR(MAX(0,INDEX(Input!$1:$1048576,U$93,$C86*2+MIN($B86,1)+5)-0%),"Market")</f>
        <v>0</v>
      </c>
      <c r="V86" s="478">
        <f>IFERROR(MAX(0,INDEX(Input!$1:$1048576,V$93,$C86*2+MIN($B86,1)+5)-0%),"Market")</f>
        <v>0</v>
      </c>
      <c r="W86" s="478">
        <f>IFERROR(MAX(0,INDEX(Input!$1:$1048576,W$93,$C86*2+MIN($B86,1)+5)-0%),"Market")</f>
        <v>0</v>
      </c>
      <c r="X86" s="476">
        <f>INDEX(Input!$1:$1048576,X$93,$C86*2+MIN($B86,1)+5)</f>
        <v>0</v>
      </c>
      <c r="Y86" s="475">
        <f>INDEX(Input!$1:$1048576,Y$93,$C86*2+MIN($B86,1)+5)</f>
        <v>0</v>
      </c>
      <c r="Z86" s="477">
        <f>INDEX(Input!$1:$1048576,Z$93,$C86*2+MIN($B86,1)+5)</f>
        <v>0</v>
      </c>
      <c r="AA86" s="475">
        <f>INDEX(Input!$1:$1048576,AA$93,$C86*2+MIN($B86,1)+5)</f>
        <v>0</v>
      </c>
      <c r="AB86" s="476">
        <f>INDEX(Input!$1:$1048576,AB$93,$C86*2+MIN($B86,1)+5)</f>
        <v>0</v>
      </c>
      <c r="AC86" s="475">
        <f>INDEX(Input!$1:$1048576,AC$93,$C86*2+MIN($B86,1)+5)</f>
        <v>0</v>
      </c>
      <c r="AD86" s="476">
        <f>INDEX(Input!$1:$1048576,AD$93,$C86*2+MIN($B86,1)+5)</f>
        <v>0</v>
      </c>
      <c r="AE86" s="475">
        <f>INDEX(Input!$1:$1048576,AE$93,$C86*2+MIN($B86,1)+5)</f>
        <v>0</v>
      </c>
      <c r="AF86" s="476">
        <f>INDEX(Input!$1:$1048576,AF$93,$C86*2+MIN($B86,1)+5)</f>
        <v>0</v>
      </c>
      <c r="AG86" s="475">
        <f>INDEX(Input!$1:$1048576,AG$93,$C86*2+MIN($B86,1)+5)</f>
        <v>0</v>
      </c>
      <c r="AH86" s="476">
        <f>INDEX(Input!$1:$1048576,AH$93,$C86*2+MIN($B86,1)+5)</f>
        <v>0</v>
      </c>
      <c r="AI86" s="475">
        <f>INDEX(Input!$1:$1048576,AI$93,$C86*2+MIN($B86,1)+5)</f>
        <v>0</v>
      </c>
      <c r="AJ86" s="476">
        <f>INDEX(Input!$1:$1048576,AJ$93,$C86*2+MIN($B86,1)+5)</f>
        <v>0</v>
      </c>
      <c r="AK86" s="150">
        <f>INDEX(Input!$1:$1048576,AK$93,$C85*2+MIN($B86,1)+5)+(Y86-VLOOKUP($C86*1000+1,$A:$HH,Y$92,FALSE))</f>
        <v>0</v>
      </c>
      <c r="AL86" s="150">
        <f>INDEX(Input!$1:$1048576,AL$93,$C85*2+MIN($B86,1)+5)-(Y86-VLOOKUP($C86*1000+1,$A:$HH,Y$92,FALSE))/36</f>
        <v>0</v>
      </c>
      <c r="AM86" s="32" t="str">
        <f t="shared" ref="AM86:AM89" si="2">IF(K86="market","std",ROUND(K86*1000,0)/10)&amp;"/"&amp;IF(L86="market","std",ROUND(L86*1000,0)/10)&amp;"/"&amp;IF(M86="market","std",ROUND(M86*1000,0)/10)&amp;"/"&amp;IF(N86="market","std",ROUND(N86*1000,0)/10)&amp;IF(P86="N","","/"&amp;IF(O86="market","std",ROUND(O86*1000,0)/10))</f>
        <v>0/0/0/0/0</v>
      </c>
      <c r="AN86" s="32" t="str">
        <f t="shared" ref="AN86:AN89" si="3">"$"&amp;ROUND(Q86,0)&amp;" + "&amp;IF(S86="market","std",ROUND(S86*1000,0)/10)&amp;"/"&amp;IF(T86="market","std",ROUND(T86*1000,0)/10)&amp;"/"&amp;IF(U86="market","std",ROUND(U86*1000,0)/10)&amp;"/"&amp;IF(V86="market","std",ROUND(V86*1000,0)/10)&amp;IF(X86="N","","/"&amp;IF(W86="market","std",ROUND(W86*1000,0)/10))</f>
        <v>$0 + 0/0/0/0/0</v>
      </c>
      <c r="AO86" s="32" t="str">
        <f t="shared" ref="AO86:AO89" si="4">IF(S86="market","std",ROUND(S86*1000,0)/10)&amp;"/"&amp;IF(T86="market","std",ROUND(T86*1000,0)/10)&amp;"/"&amp;IF(U86="market","std",ROUND(U86*1000,0)/10)&amp;"/"&amp;IF(V86="market","std",ROUND(V86*1000,0)/10)&amp;IF(X86="N","","/"&amp;IF(W86="market","std",ROUND(W86*1000,0)/10))</f>
        <v>0/0/0/0/0</v>
      </c>
      <c r="AP86" s="32" t="str">
        <f t="shared" ref="AP86:AP89" si="5">IF(U86="market","std",ROUND(U86*1000,0)/10)&amp;"/"&amp;IF(V86="market","std",ROUND(V86*1000,0)/10)</f>
        <v>0/0</v>
      </c>
      <c r="AQ86" s="536">
        <f t="shared" ref="AQ86:AQ89" si="6">SUM(F86*IE86,G86*IF86,H86*IG86,AC86*AD86,AE86*AF86,AI86)</f>
        <v>0</v>
      </c>
      <c r="AR86" s="32"/>
      <c r="AS86" s="302"/>
      <c r="AT86" s="3">
        <f t="shared" ref="AT86:AT89" si="7">AT85+1</f>
        <v>1</v>
      </c>
      <c r="AU86" s="41" t="s">
        <v>121</v>
      </c>
      <c r="AV86" s="41" t="s">
        <v>116</v>
      </c>
      <c r="AW86" s="41">
        <f>INDEX(Input!$1:$1048576,AW$93,$C86*2+6)</f>
        <v>0</v>
      </c>
      <c r="AX86" s="41">
        <f>INDEX(Input!$1:$1048576,AX$93,$C86*2+6)</f>
        <v>0</v>
      </c>
      <c r="AY86" s="41">
        <f>IF($D86="Skip","",INDEX(Input!$1:$1048576,AY$93,$C86*2+6))</f>
        <v>0</v>
      </c>
      <c r="AZ86" s="41">
        <f>INDEX(Input!$1:$1048576,AZ$93,$C86*2+6)</f>
        <v>0</v>
      </c>
      <c r="BA86" s="3">
        <f>INDEX(Input!$1:$1048576,BA$93,$C86*2+6)</f>
        <v>0</v>
      </c>
      <c r="BB86" s="128">
        <f>INDEX(Input!$1:$1048576,BB$93,$C86*2+6)</f>
        <v>0</v>
      </c>
      <c r="BC86" s="128">
        <f>INDEX(Input!$1:$1048576,BC$93,$C86*2+6)</f>
        <v>0</v>
      </c>
      <c r="BD86" s="1">
        <f>INDEX(Input!$1:$1048576,BD$93,$C86*2+6)</f>
        <v>0</v>
      </c>
      <c r="BE86" s="1">
        <f>INDEX(Input!$1:$1048576,BE$93,$C86*2+6)</f>
        <v>0</v>
      </c>
      <c r="BF86" s="1">
        <f>INDEX(Input!$1:$1048576,BF$93,$C86*2+6)</f>
        <v>0</v>
      </c>
      <c r="BG86" s="1">
        <f>INDEX(Input!$1:$1048576,BG$93,$C86*2+6)</f>
        <v>0</v>
      </c>
      <c r="BH86" s="1">
        <f>INDEX(Input!$1:$1048576,BH$93,$C86*2+6)</f>
        <v>0</v>
      </c>
      <c r="BI86" s="1">
        <f>INDEX(Input!$1:$1048576,BI$93,$C86*2+6)</f>
        <v>0</v>
      </c>
      <c r="BJ86" s="1">
        <f>INDEX(Input!$1:$1048576,BJ$93,$C86*2+6)</f>
        <v>0</v>
      </c>
      <c r="BK86" s="1">
        <f>INDEX(Input!$1:$1048576,BK$93,$C86*2+6)</f>
        <v>0</v>
      </c>
      <c r="BL86" s="1">
        <f>INDEX(Input!$1:$1048576,BL$93,$C86*2+6)</f>
        <v>0</v>
      </c>
      <c r="BM86" s="1">
        <f>INDEX(Input!$1:$1048576,BM$93,$C86*2+6)</f>
        <v>0</v>
      </c>
      <c r="BN86" s="1">
        <f>INDEX(Input!$1:$1048576,BN$93,$C86*2+6)</f>
        <v>0</v>
      </c>
      <c r="BO86" s="1">
        <f>INDEX(Input!$1:$1048576,BO$93,$C86*2+6)</f>
        <v>0</v>
      </c>
      <c r="BP86" s="1">
        <f>INDEX(Input!$1:$1048576,BP$93,$C86*2+6)</f>
        <v>0</v>
      </c>
      <c r="BQ86" s="1">
        <f>INDEX(Input!$1:$1048576,BQ$93,$C86*2+6)</f>
        <v>0</v>
      </c>
      <c r="BR86" s="1">
        <f>INDEX(Input!$1:$1048576,BR$93,$C86*2+6)</f>
        <v>0</v>
      </c>
      <c r="BS86" s="1">
        <f>INDEX(Input!$1:$1048576,BS$93,$C86*2+6)</f>
        <v>0</v>
      </c>
      <c r="BT86" s="1">
        <f>INDEX(Input!$1:$1048576,BT$93,$C86*2+6)</f>
        <v>0</v>
      </c>
      <c r="BU86" s="1">
        <f>INDEX(Input!$1:$1048576,BU$93,$C86*2+6)</f>
        <v>0</v>
      </c>
      <c r="BV86" s="1">
        <f>INDEX(Input!$1:$1048576,BV$93,$C86*2+6)</f>
        <v>0</v>
      </c>
      <c r="BW86" s="1">
        <f>INDEX(Input!$1:$1048576,BW$93,$C86*2+6)</f>
        <v>0</v>
      </c>
      <c r="BX86" s="127">
        <f>INDEX(Input!$1:$1048576,BX$93,$C86*2+6)</f>
        <v>0</v>
      </c>
      <c r="BY86" s="20">
        <f>INDEX(Input!$1:$1048576,BY$93,$C86*2+6)</f>
        <v>0</v>
      </c>
      <c r="BZ86" s="20">
        <f>INDEX(Input!$1:$1048576,BZ$93,$C86*2+6)</f>
        <v>0</v>
      </c>
      <c r="CA86" s="20">
        <f>INDEX(Input!$1:$1048576,CA$93,$C86*2+6)</f>
        <v>0</v>
      </c>
      <c r="CB86" s="20">
        <f>INDEX(Input!$1:$1048576,CB$93,$C86*2+6)</f>
        <v>0</v>
      </c>
      <c r="CC86" s="20">
        <f>INDEX(Input!$1:$1048576,CC$93,$C86*2+6)</f>
        <v>0</v>
      </c>
      <c r="CD86" s="384">
        <f>INDEX(Input!$1:$1048576,CD$93,$C86*2+6)</f>
        <v>0</v>
      </c>
      <c r="CE86" s="384">
        <f>INDEX(Input!$1:$1048576,CE$93,$C86*2+6)</f>
        <v>0</v>
      </c>
      <c r="CF86" s="384">
        <f>INDEX(Input!$1:$1048576,CF$93,$C86*2+6)</f>
        <v>0</v>
      </c>
      <c r="CG86" s="384">
        <f>INDEX(Input!$1:$1048576,CG$93,$C86*2+6)</f>
        <v>0</v>
      </c>
      <c r="CH86" s="384">
        <f>INDEX(Input!$1:$1048576,CH$93,$C86*2+6)</f>
        <v>0</v>
      </c>
      <c r="CI86" s="304">
        <f>E86+F86*I86+AA86*AB86</f>
        <v>0</v>
      </c>
      <c r="CJ86" s="16">
        <f>INDEX(Input!$1:$1048576,CJ$93,$C86*2+6)</f>
        <v>0</v>
      </c>
      <c r="CK86" s="1">
        <f t="shared" ref="CK86:CO89" si="8">J86</f>
        <v>0</v>
      </c>
      <c r="CL86" s="1">
        <f t="shared" si="8"/>
        <v>0</v>
      </c>
      <c r="CM86" s="1">
        <f t="shared" si="8"/>
        <v>0</v>
      </c>
      <c r="CN86" s="1">
        <f t="shared" si="8"/>
        <v>0</v>
      </c>
      <c r="CO86" s="1">
        <f t="shared" si="8"/>
        <v>0</v>
      </c>
      <c r="CP86" s="304">
        <f>Q86+G86*I86</f>
        <v>0</v>
      </c>
      <c r="CQ86" s="1">
        <f t="shared" ref="CQ86:CU89" si="9">R86</f>
        <v>0</v>
      </c>
      <c r="CR86" s="1">
        <f t="shared" si="9"/>
        <v>0</v>
      </c>
      <c r="CS86" s="1">
        <f t="shared" si="9"/>
        <v>0</v>
      </c>
      <c r="CT86" s="1">
        <f t="shared" si="9"/>
        <v>0</v>
      </c>
      <c r="CU86" s="1">
        <f t="shared" si="9"/>
        <v>0</v>
      </c>
      <c r="CV86" s="304">
        <f>Y86+H86*I86</f>
        <v>0</v>
      </c>
      <c r="CW86" s="20" t="s">
        <v>122</v>
      </c>
      <c r="CX86" s="20" t="s">
        <v>122</v>
      </c>
      <c r="CY86" s="20" t="s">
        <v>122</v>
      </c>
      <c r="CZ86" s="20" t="s">
        <v>122</v>
      </c>
      <c r="DA86" s="20" t="s">
        <v>122</v>
      </c>
      <c r="DB86" s="503">
        <f>Z86+AC86*AD86+AE86*AF86+AG86*AH86+AI86*AJ86</f>
        <v>0</v>
      </c>
      <c r="DC86" s="127">
        <v>0</v>
      </c>
      <c r="DD86" s="127">
        <v>0</v>
      </c>
      <c r="DE86" s="127">
        <v>0</v>
      </c>
      <c r="DF86" s="127">
        <v>0</v>
      </c>
      <c r="DG86" s="127">
        <v>0</v>
      </c>
      <c r="DH86" s="127">
        <v>0</v>
      </c>
      <c r="DI86" s="127">
        <v>0</v>
      </c>
      <c r="DJ86" s="127">
        <v>0</v>
      </c>
      <c r="DK86" s="127">
        <v>0</v>
      </c>
      <c r="DL86" s="127">
        <v>0</v>
      </c>
      <c r="DM86" s="304">
        <f>INDEX(Input!$1:$1048576,DM$93,$C86*2+6)</f>
        <v>0</v>
      </c>
      <c r="DN86" s="20">
        <v>0</v>
      </c>
      <c r="DO86" s="20">
        <v>0</v>
      </c>
      <c r="DP86" s="20">
        <v>0</v>
      </c>
      <c r="DQ86" s="20">
        <v>0</v>
      </c>
      <c r="DR86" s="20">
        <v>0</v>
      </c>
      <c r="DS86" s="20">
        <f>INDEX(Input!$1:$1048576,DS$93,$C86*2+6)</f>
        <v>0</v>
      </c>
      <c r="DT86" s="20">
        <f>INDEX(Input!$1:$1048576,DT$93,$C86*2+6)</f>
        <v>0</v>
      </c>
      <c r="DU86" s="20">
        <f>INDEX(Input!$1:$1048576,DU$93,$C86*2+6)</f>
        <v>0</v>
      </c>
      <c r="DV86" s="20">
        <f>INDEX(Input!$1:$1048576,DV$93,$C86*2+6)</f>
        <v>0</v>
      </c>
      <c r="DW86" s="20">
        <f>INDEX(Input!$1:$1048576,DW$93,$C86*2+6)</f>
        <v>0</v>
      </c>
      <c r="DX86" s="20"/>
      <c r="DY86" s="7"/>
      <c r="DZ86" s="7"/>
      <c r="EA86" s="7"/>
      <c r="EB86" s="7"/>
      <c r="EC86" s="7"/>
      <c r="ED86" s="7"/>
      <c r="EE86" s="7"/>
      <c r="EF86" s="7"/>
      <c r="EG86" s="7"/>
      <c r="EH86" s="7"/>
      <c r="EI86" s="7"/>
      <c r="EJ86" s="7"/>
      <c r="EK86" s="7"/>
      <c r="EL86" s="7"/>
      <c r="EM86" s="7"/>
      <c r="EN86" s="7"/>
      <c r="EO86" s="7"/>
      <c r="EP86" s="7"/>
      <c r="EQ86" s="7"/>
      <c r="ER86" s="7"/>
      <c r="ES86" s="7"/>
      <c r="ET86" s="7"/>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7"/>
      <c r="FU86" s="7"/>
      <c r="FV86" s="7"/>
      <c r="FW86" s="6"/>
      <c r="FX86" s="6"/>
      <c r="FY86" s="6"/>
      <c r="FZ86" s="6"/>
      <c r="GA86" s="6"/>
      <c r="GB86" s="6"/>
      <c r="GC86" s="7"/>
      <c r="GD86" s="7"/>
      <c r="GE86" s="7"/>
      <c r="GF86" s="7"/>
      <c r="GG86" s="7"/>
      <c r="GH86" s="42"/>
      <c r="GI86" s="6"/>
      <c r="GJ86" s="14"/>
      <c r="GK86" s="14"/>
      <c r="GL86" s="14"/>
      <c r="GM86" s="14"/>
      <c r="GO86" s="5"/>
      <c r="GP86" s="5"/>
      <c r="GQ86" s="5"/>
      <c r="GR86" s="5"/>
      <c r="GS86" s="5"/>
      <c r="GT86" s="5"/>
      <c r="GU86" s="5"/>
      <c r="GV86" s="39"/>
      <c r="GW86" s="5"/>
      <c r="GX86" s="5"/>
      <c r="GY86" s="5"/>
      <c r="GZ86" s="5"/>
      <c r="HA86" s="5"/>
      <c r="HB86" s="39"/>
      <c r="HC86" s="5"/>
      <c r="HD86" s="5"/>
      <c r="HE86" s="5"/>
      <c r="HF86" s="5"/>
      <c r="HG86" s="5"/>
      <c r="HH86" s="39"/>
      <c r="HI86" s="16"/>
      <c r="HJ86" s="19"/>
      <c r="HK86" s="1"/>
      <c r="HL86" s="16"/>
      <c r="HM86" s="1"/>
      <c r="HN86" s="1"/>
      <c r="HO86" s="1"/>
      <c r="HP86" s="1"/>
      <c r="HQ86" s="1"/>
      <c r="HR86" s="1"/>
      <c r="HS86" s="1"/>
      <c r="HT86" s="1"/>
      <c r="HU86" s="1"/>
      <c r="HV86" s="1"/>
      <c r="HW86" s="1"/>
      <c r="HX86" s="1"/>
      <c r="HY86" s="1"/>
      <c r="HZ86" s="1"/>
      <c r="IA86" s="1"/>
      <c r="IB86" s="1"/>
      <c r="IC86" s="1"/>
      <c r="ID86" s="1"/>
      <c r="IE86" s="1"/>
      <c r="IF86" s="1"/>
      <c r="IG86" s="1"/>
      <c r="IH86" s="21"/>
      <c r="II86" s="19"/>
      <c r="IJ86" s="19"/>
      <c r="IK86" s="19"/>
      <c r="IL86" s="19"/>
      <c r="IM86" s="19"/>
      <c r="IN86" s="19"/>
      <c r="IO86" s="39"/>
      <c r="IP86" s="39"/>
      <c r="IQ86" s="39"/>
      <c r="IR86" s="39"/>
      <c r="IS86" s="39"/>
      <c r="IT86" s="39"/>
      <c r="IU86" s="39"/>
      <c r="IV86" s="39"/>
      <c r="IW86" s="39"/>
      <c r="IX86" s="39"/>
      <c r="IY86" s="39"/>
      <c r="IZ86" s="39"/>
      <c r="JA86" s="19"/>
      <c r="JB86" s="19"/>
      <c r="JC86" s="19"/>
      <c r="JD86" s="19"/>
      <c r="JE86" s="21"/>
      <c r="JF86" s="1"/>
      <c r="JG86" s="15"/>
      <c r="JH86" s="1"/>
      <c r="JI86" s="1"/>
      <c r="JJ86" s="1"/>
      <c r="JK86" s="1"/>
      <c r="JL86" s="15"/>
      <c r="JM86" s="15"/>
      <c r="JN86" s="21"/>
      <c r="JO86" s="19"/>
      <c r="JP86" s="19"/>
      <c r="JQ86" s="39"/>
      <c r="JR86" s="39"/>
      <c r="JS86" s="39"/>
      <c r="JT86" s="39"/>
      <c r="JU86" s="385"/>
      <c r="JV86" s="39"/>
      <c r="JW86" s="1"/>
      <c r="JX86" s="19"/>
      <c r="JZ86" s="468"/>
      <c r="KA86" s="469"/>
      <c r="KB86" s="469"/>
      <c r="KI86" s="473"/>
      <c r="KJ86" s="473"/>
      <c r="KK86" s="473"/>
      <c r="KN86" s="544"/>
      <c r="KO86" s="541"/>
      <c r="KP86" s="546"/>
      <c r="KQ86" s="546"/>
      <c r="KR86" s="548"/>
      <c r="KS86" s="548"/>
      <c r="KT86" s="548"/>
    </row>
    <row r="87" spans="1:308" s="26" customFormat="1" ht="15" hidden="1" outlineLevel="1">
      <c r="A87" s="561">
        <f t="shared" si="0"/>
        <v>2</v>
      </c>
      <c r="B87" s="561">
        <f t="shared" si="1"/>
        <v>2</v>
      </c>
      <c r="C87" s="561">
        <f t="shared" ref="C87:C89" si="10">C86</f>
        <v>0</v>
      </c>
      <c r="D87" s="561" t="s">
        <v>779</v>
      </c>
      <c r="E87" s="475" t="str">
        <f>INDEX(Input!$1:$1048576,E$93,$C87*2+MIN($B87,2)+5)</f>
        <v>Cash rebate:</v>
      </c>
      <c r="F87" s="475" t="str">
        <f>INDEX(Input!$1:$1048576,F$93,$C87*2+MIN($B87,2)+5)</f>
        <v>Dealer cash offer value - cash</v>
      </c>
      <c r="G87" s="475" t="str">
        <f>INDEX(Input!$1:$1048576,G$93,$C87*2+MIN($B87,2)+5)</f>
        <v>Dealer cash offer value - finance</v>
      </c>
      <c r="H87" s="475" t="str">
        <f>INDEX(Input!$1:$1048576,H$93,$C87*2+MIN($B87,2)+5)</f>
        <v>Dealer cash offer value - lease</v>
      </c>
      <c r="I87" s="476" t="str">
        <f>INDEX(Input!$1:$1048576,I$93,$C87*2+MIN($B87,2)+5)</f>
        <v>Dealer cash lift adjustment factor</v>
      </c>
      <c r="J87" s="476" t="str">
        <f>INDEX(Input!$1:$1048576,J$93,$C87*2+MIN($B87,2)+5)</f>
        <v>DSS Input Value: 36 mo</v>
      </c>
      <c r="K87" s="476" t="str">
        <f>INDEX(Input!$1:$1048576,K$93,$C87*2+MIN($B87,2)+5)</f>
        <v>DSS Input Value: 48 mo</v>
      </c>
      <c r="L87" s="476" t="str">
        <f>INDEX(Input!$1:$1048576,L$93,$C87*2+MIN($B87,2)+5)</f>
        <v>DSS Input Value: 60 mo</v>
      </c>
      <c r="M87" s="476" t="str">
        <f>INDEX(Input!$1:$1048576,M$93,$C87*2+MIN($B87,2)+5)</f>
        <v>DSS Input Value: 72 mo</v>
      </c>
      <c r="N87" s="476" t="str">
        <f>INDEX(Input!$1:$1048576,N$93,$C87*2+MIN($B87,2)+5)</f>
        <v>DSS Input Value: 72 mo</v>
      </c>
      <c r="O87" s="476" t="str">
        <f>INDEX(Input!$1:$1048576,O$93,$C87*2+MIN($B87,2)+5)</f>
        <v>DSS Input Value: 84 mo</v>
      </c>
      <c r="P87" s="476" t="str">
        <f>INDEX(Input!$1:$1048576,P$93,$C87*2+MIN($B87,2)+5)</f>
        <v xml:space="preserve"> - 75mo Term Available?</v>
      </c>
      <c r="Q87" s="477" t="str">
        <f>INDEX(Input!$1:$1048576,Q$93,$C87*2+MIN($B87,2)+5)</f>
        <v>Cash offer value</v>
      </c>
      <c r="R87" s="478" t="str">
        <f>IFERROR(MAX(0,INDEX(Input!$1:$1048576,R$93,$C87*2+MIN($B87,2)+5)-0%,),"Market")</f>
        <v>Market</v>
      </c>
      <c r="S87" s="478" t="str">
        <f>IFERROR(MAX(0,INDEX(Input!$1:$1048576,S$93,$C87*2+MIN($B87,2)+5)-0%,),"Market")</f>
        <v>Market</v>
      </c>
      <c r="T87" s="478" t="str">
        <f>IFERROR(MAX(0,INDEX(Input!$1:$1048576,T$93,$C87*2+MIN($B87,2)+5)-0%,),"Market")</f>
        <v>Market</v>
      </c>
      <c r="U87" s="478" t="str">
        <f>IFERROR(MAX(0,INDEX(Input!$1:$1048576,U$93,$C87*2+MIN($B87,2)+5)-0%,),"Market")</f>
        <v>Market</v>
      </c>
      <c r="V87" s="478" t="str">
        <f>IFERROR(MAX(0,INDEX(Input!$1:$1048576,V$93,$C87*2+MIN($B87,2)+5)-0%,),"Market")</f>
        <v>Market</v>
      </c>
      <c r="W87" s="478" t="str">
        <f>IFERROR(MAX(0,INDEX(Input!$1:$1048576,W$93,$C87*2+MIN($B87,2)+5)-0%,),"Market")</f>
        <v>Market</v>
      </c>
      <c r="X87" s="476" t="str">
        <f>INDEX(Input!$1:$1048576,X$93,$C87*2+MIN($B87,2)+5)</f>
        <v xml:space="preserve"> - 75mo Term Available?</v>
      </c>
      <c r="Y87" s="475" t="str">
        <f>INDEX(Input!$1:$1048576,Y$93,$C87*2+MIN($B87,2)+5)</f>
        <v>Lease offer value req'd to match base penetration</v>
      </c>
      <c r="Z87" s="477" t="str">
        <f>INDEX(Input!$1:$1048576,Z$93,$C87*2+MIN($B87,2)+5)</f>
        <v>Raw offer value</v>
      </c>
      <c r="AA87" s="475" t="str">
        <f>INDEX(Input!$1:$1048576,AA$93,$C87*2+MIN($B87,2)+5)</f>
        <v>Raw offer value</v>
      </c>
      <c r="AB87" s="476" t="str">
        <f>INDEX(Input!$1:$1048576,AB$93,$C87*2+MIN($B87,2)+5)</f>
        <v>Percent of sales affected/pass thru</v>
      </c>
      <c r="AC87" s="475" t="str">
        <f>INDEX(Input!$1:$1048576,AC$93,$C87*2+MIN($B87,2)+5)</f>
        <v>Raw offer value</v>
      </c>
      <c r="AD87" s="476" t="str">
        <f>INDEX(Input!$1:$1048576,AD$93,$C87*2+MIN($B87,2)+5)</f>
        <v>Percent of sales affected/pass thru</v>
      </c>
      <c r="AE87" s="475" t="str">
        <f>INDEX(Input!$1:$1048576,AE$93,$C87*2+MIN($B87,2)+5)</f>
        <v>Raw offer value</v>
      </c>
      <c r="AF87" s="476" t="str">
        <f>INDEX(Input!$1:$1048576,AF$93,$C87*2+MIN($B87,2)+5)</f>
        <v>Percent of sales affected/pass thru</v>
      </c>
      <c r="AG87" s="475" t="str">
        <f>INDEX(Input!$1:$1048576,AG$93,$C87*2+MIN($B87,2)+5)</f>
        <v>Raw offer value</v>
      </c>
      <c r="AH87" s="476" t="str">
        <f>INDEX(Input!$1:$1048576,AH$93,$C87*2+MIN($B87,2)+5)</f>
        <v>Percent of sales affected/pass thru</v>
      </c>
      <c r="AI87" s="475" t="str">
        <f>INDEX(Input!$1:$1048576,AI$93,$C87*2+MIN($B87,2)+5)</f>
        <v>Raw offer value</v>
      </c>
      <c r="AJ87" s="476" t="str">
        <f>INDEX(Input!$1:$1048576,AJ$93,$C87*2+MIN($B87,2)+5)</f>
        <v>Percent of sales affected/pass thru</v>
      </c>
      <c r="AK87" s="150" t="e">
        <f>INDEX(Input!$1:$1048576,AK$93,$C86*2+MIN($B87,1)+5)+(Y87-VLOOKUP($C87*1000+1,$A:$HH,Y$92,FALSE))</f>
        <v>#VALUE!</v>
      </c>
      <c r="AL87" s="150" t="e">
        <f>INDEX(Input!$1:$1048576,AL$93,$C86*2+MIN($B87,1)+5)-(Y87-VLOOKUP($C87*1000+1,$A:$HH,Y$92,FALSE))/36</f>
        <v>#VALUE!</v>
      </c>
      <c r="AM87" s="32" t="e">
        <f t="shared" si="2"/>
        <v>#VALUE!</v>
      </c>
      <c r="AN87" s="32" t="e">
        <f t="shared" si="3"/>
        <v>#VALUE!</v>
      </c>
      <c r="AO87" s="32" t="str">
        <f t="shared" si="4"/>
        <v>std/std/std/std/std</v>
      </c>
      <c r="AP87" s="32" t="str">
        <f t="shared" si="5"/>
        <v>std/std</v>
      </c>
      <c r="AQ87" s="536" t="e">
        <f t="shared" si="6"/>
        <v>#VALUE!</v>
      </c>
      <c r="AR87" s="32"/>
      <c r="AS87" s="302"/>
      <c r="AT87" s="3">
        <f t="shared" si="7"/>
        <v>2</v>
      </c>
      <c r="AU87" s="41" t="s">
        <v>121</v>
      </c>
      <c r="AV87" s="41" t="s">
        <v>116</v>
      </c>
      <c r="AW87" s="41">
        <f>INDEX(Input!$1:$1048576,AW$93,$C87*2+6)</f>
        <v>0</v>
      </c>
      <c r="AX87" s="41">
        <f>INDEX(Input!$1:$1048576,AX$93,$C87*2+6)</f>
        <v>0</v>
      </c>
      <c r="AY87" s="41">
        <f>IF($D87="Skip","",INDEX(Input!$1:$1048576,AY$93,$C87*2+6))</f>
        <v>0</v>
      </c>
      <c r="AZ87" s="41">
        <f>INDEX(Input!$1:$1048576,AZ$93,$C87*2+6)</f>
        <v>0</v>
      </c>
      <c r="BA87" s="3">
        <f>INDEX(Input!$1:$1048576,BA$93,$C87*2+6)</f>
        <v>0</v>
      </c>
      <c r="BB87" s="128">
        <f>INDEX(Input!$1:$1048576,BB$93,$C87*2+6)</f>
        <v>0</v>
      </c>
      <c r="BC87" s="128">
        <f>INDEX(Input!$1:$1048576,BC$93,$C87*2+6)</f>
        <v>0</v>
      </c>
      <c r="BD87" s="1">
        <f>INDEX(Input!$1:$1048576,BD$93,$C87*2+6)</f>
        <v>0</v>
      </c>
      <c r="BE87" s="1">
        <f>INDEX(Input!$1:$1048576,BE$93,$C87*2+6)</f>
        <v>0</v>
      </c>
      <c r="BF87" s="1">
        <f>INDEX(Input!$1:$1048576,BF$93,$C87*2+6)</f>
        <v>0</v>
      </c>
      <c r="BG87" s="1">
        <f>INDEX(Input!$1:$1048576,BG$93,$C87*2+6)</f>
        <v>0</v>
      </c>
      <c r="BH87" s="1">
        <f>INDEX(Input!$1:$1048576,BH$93,$C87*2+6)</f>
        <v>0</v>
      </c>
      <c r="BI87" s="1">
        <f>INDEX(Input!$1:$1048576,BI$93,$C87*2+6)</f>
        <v>0</v>
      </c>
      <c r="BJ87" s="1">
        <f>INDEX(Input!$1:$1048576,BJ$93,$C87*2+6)</f>
        <v>0</v>
      </c>
      <c r="BK87" s="1">
        <f>INDEX(Input!$1:$1048576,BK$93,$C87*2+6)</f>
        <v>0</v>
      </c>
      <c r="BL87" s="1">
        <f>INDEX(Input!$1:$1048576,BL$93,$C87*2+6)</f>
        <v>0</v>
      </c>
      <c r="BM87" s="1">
        <f>INDEX(Input!$1:$1048576,BM$93,$C87*2+6)</f>
        <v>0</v>
      </c>
      <c r="BN87" s="1">
        <f>INDEX(Input!$1:$1048576,BN$93,$C87*2+6)</f>
        <v>0</v>
      </c>
      <c r="BO87" s="1">
        <f>INDEX(Input!$1:$1048576,BO$93,$C87*2+6)</f>
        <v>0</v>
      </c>
      <c r="BP87" s="1">
        <f>INDEX(Input!$1:$1048576,BP$93,$C87*2+6)</f>
        <v>0</v>
      </c>
      <c r="BQ87" s="1">
        <f>INDEX(Input!$1:$1048576,BQ$93,$C87*2+6)</f>
        <v>0</v>
      </c>
      <c r="BR87" s="1">
        <f>INDEX(Input!$1:$1048576,BR$93,$C87*2+6)</f>
        <v>0</v>
      </c>
      <c r="BS87" s="1">
        <f>INDEX(Input!$1:$1048576,BS$93,$C87*2+6)</f>
        <v>0</v>
      </c>
      <c r="BT87" s="1">
        <f>INDEX(Input!$1:$1048576,BT$93,$C87*2+6)</f>
        <v>0</v>
      </c>
      <c r="BU87" s="1">
        <f>INDEX(Input!$1:$1048576,BU$93,$C87*2+6)</f>
        <v>0</v>
      </c>
      <c r="BV87" s="1">
        <f>INDEX(Input!$1:$1048576,BV$93,$C87*2+6)</f>
        <v>0</v>
      </c>
      <c r="BW87" s="1">
        <f>INDEX(Input!$1:$1048576,BW$93,$C87*2+6)</f>
        <v>0</v>
      </c>
      <c r="BX87" s="127">
        <f>INDEX(Input!$1:$1048576,BX$93,$C87*2+6)</f>
        <v>0</v>
      </c>
      <c r="BY87" s="20">
        <f>INDEX(Input!$1:$1048576,BY$93,$C87*2+6)</f>
        <v>0</v>
      </c>
      <c r="BZ87" s="20">
        <f>INDEX(Input!$1:$1048576,BZ$93,$C87*2+6)</f>
        <v>0</v>
      </c>
      <c r="CA87" s="20">
        <f>INDEX(Input!$1:$1048576,CA$93,$C87*2+6)</f>
        <v>0</v>
      </c>
      <c r="CB87" s="20">
        <f>INDEX(Input!$1:$1048576,CB$93,$C87*2+6)</f>
        <v>0</v>
      </c>
      <c r="CC87" s="20">
        <f>INDEX(Input!$1:$1048576,CC$93,$C87*2+6)</f>
        <v>0</v>
      </c>
      <c r="CD87" s="384">
        <f>INDEX(Input!$1:$1048576,CD$93,$C87*2+6)</f>
        <v>0</v>
      </c>
      <c r="CE87" s="384">
        <f>INDEX(Input!$1:$1048576,CE$93,$C87*2+6)</f>
        <v>0</v>
      </c>
      <c r="CF87" s="384">
        <f>INDEX(Input!$1:$1048576,CF$93,$C87*2+6)</f>
        <v>0</v>
      </c>
      <c r="CG87" s="384">
        <f>INDEX(Input!$1:$1048576,CG$93,$C87*2+6)</f>
        <v>0</v>
      </c>
      <c r="CH87" s="384">
        <f>INDEX(Input!$1:$1048576,CH$93,$C87*2+6)</f>
        <v>0</v>
      </c>
      <c r="CI87" s="304" t="e">
        <f>E87+F87*I87+AA87*AB87</f>
        <v>#VALUE!</v>
      </c>
      <c r="CJ87" s="16">
        <f>INDEX(Input!$1:$1048576,CJ$93,$C87*2+6)</f>
        <v>0</v>
      </c>
      <c r="CK87" s="1" t="str">
        <f t="shared" si="8"/>
        <v>DSS Input Value: 36 mo</v>
      </c>
      <c r="CL87" s="1" t="str">
        <f t="shared" si="8"/>
        <v>DSS Input Value: 48 mo</v>
      </c>
      <c r="CM87" s="1" t="str">
        <f t="shared" si="8"/>
        <v>DSS Input Value: 60 mo</v>
      </c>
      <c r="CN87" s="1" t="str">
        <f t="shared" si="8"/>
        <v>DSS Input Value: 72 mo</v>
      </c>
      <c r="CO87" s="1" t="str">
        <f t="shared" si="8"/>
        <v>DSS Input Value: 72 mo</v>
      </c>
      <c r="CP87" s="304" t="e">
        <f>Q87+G87*I87</f>
        <v>#VALUE!</v>
      </c>
      <c r="CQ87" s="1" t="str">
        <f t="shared" si="9"/>
        <v>Market</v>
      </c>
      <c r="CR87" s="1" t="str">
        <f t="shared" si="9"/>
        <v>Market</v>
      </c>
      <c r="CS87" s="1" t="str">
        <f t="shared" si="9"/>
        <v>Market</v>
      </c>
      <c r="CT87" s="1" t="str">
        <f t="shared" si="9"/>
        <v>Market</v>
      </c>
      <c r="CU87" s="1" t="str">
        <f t="shared" si="9"/>
        <v>Market</v>
      </c>
      <c r="CV87" s="304" t="e">
        <f>Y87+H87*I87</f>
        <v>#VALUE!</v>
      </c>
      <c r="CW87" s="20" t="s">
        <v>122</v>
      </c>
      <c r="CX87" s="20" t="s">
        <v>122</v>
      </c>
      <c r="CY87" s="20" t="s">
        <v>122</v>
      </c>
      <c r="CZ87" s="20" t="s">
        <v>122</v>
      </c>
      <c r="DA87" s="20" t="s">
        <v>122</v>
      </c>
      <c r="DB87" s="503" t="e">
        <f>Z87+AC87*AD87+AE87*AF87+AG87*AH87+AI87*AJ87</f>
        <v>#VALUE!</v>
      </c>
      <c r="DC87" s="127">
        <v>0</v>
      </c>
      <c r="DD87" s="127">
        <v>0</v>
      </c>
      <c r="DE87" s="127">
        <v>0</v>
      </c>
      <c r="DF87" s="127">
        <v>0</v>
      </c>
      <c r="DG87" s="127">
        <v>0</v>
      </c>
      <c r="DH87" s="127">
        <v>0</v>
      </c>
      <c r="DI87" s="127">
        <v>0</v>
      </c>
      <c r="DJ87" s="127">
        <v>0</v>
      </c>
      <c r="DK87" s="127">
        <v>0</v>
      </c>
      <c r="DL87" s="127">
        <v>0</v>
      </c>
      <c r="DM87" s="304">
        <f>INDEX(Input!$1:$1048576,DM$93,$C87*2+6)</f>
        <v>0</v>
      </c>
      <c r="DN87" s="20">
        <v>0</v>
      </c>
      <c r="DO87" s="20">
        <v>0</v>
      </c>
      <c r="DP87" s="20">
        <v>0</v>
      </c>
      <c r="DQ87" s="20">
        <v>0</v>
      </c>
      <c r="DR87" s="20">
        <v>0</v>
      </c>
      <c r="DS87" s="20">
        <f>INDEX(Input!$1:$1048576,DS$93,$C87*2+6)</f>
        <v>0</v>
      </c>
      <c r="DT87" s="20">
        <f>INDEX(Input!$1:$1048576,DT$93,$C87*2+6)</f>
        <v>0</v>
      </c>
      <c r="DU87" s="20">
        <f>INDEX(Input!$1:$1048576,DU$93,$C87*2+6)</f>
        <v>0</v>
      </c>
      <c r="DV87" s="20">
        <f>INDEX(Input!$1:$1048576,DV$93,$C87*2+6)</f>
        <v>0</v>
      </c>
      <c r="DW87" s="20">
        <f>INDEX(Input!$1:$1048576,DW$93,$C87*2+6)</f>
        <v>0</v>
      </c>
      <c r="DX87" s="20"/>
      <c r="DY87" s="7"/>
      <c r="DZ87" s="7"/>
      <c r="EA87" s="7"/>
      <c r="EB87" s="7"/>
      <c r="EC87" s="7"/>
      <c r="ED87" s="7"/>
      <c r="EE87" s="7"/>
      <c r="EF87" s="7"/>
      <c r="EG87" s="7"/>
      <c r="EH87" s="7"/>
      <c r="EI87" s="7"/>
      <c r="EJ87" s="7"/>
      <c r="EK87" s="7"/>
      <c r="EL87" s="7"/>
      <c r="EM87" s="7"/>
      <c r="EN87" s="7"/>
      <c r="EO87" s="7"/>
      <c r="EP87" s="7"/>
      <c r="EQ87" s="7"/>
      <c r="ER87" s="7"/>
      <c r="ES87" s="7"/>
      <c r="ET87" s="7"/>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7"/>
      <c r="FU87" s="7"/>
      <c r="FV87" s="7"/>
      <c r="FW87" s="6"/>
      <c r="FX87" s="6"/>
      <c r="FY87" s="6"/>
      <c r="FZ87" s="6"/>
      <c r="GA87" s="6"/>
      <c r="GB87" s="6"/>
      <c r="GC87" s="7"/>
      <c r="GD87" s="7"/>
      <c r="GE87" s="7"/>
      <c r="GF87" s="7"/>
      <c r="GG87" s="7"/>
      <c r="GH87" s="42"/>
      <c r="GI87" s="6"/>
      <c r="GJ87" s="14"/>
      <c r="GK87" s="14"/>
      <c r="GL87" s="14"/>
      <c r="GM87" s="14"/>
      <c r="GO87" s="5"/>
      <c r="GP87" s="5"/>
      <c r="GQ87" s="5"/>
      <c r="GR87" s="5"/>
      <c r="GS87" s="5"/>
      <c r="GT87" s="5"/>
      <c r="GU87" s="5"/>
      <c r="GV87" s="39"/>
      <c r="GW87" s="5"/>
      <c r="GX87" s="5"/>
      <c r="GY87" s="5"/>
      <c r="GZ87" s="5"/>
      <c r="HA87" s="5"/>
      <c r="HB87" s="39"/>
      <c r="HC87" s="5"/>
      <c r="HD87" s="5"/>
      <c r="HE87" s="5"/>
      <c r="HF87" s="5"/>
      <c r="HG87" s="5"/>
      <c r="HH87" s="39"/>
      <c r="HI87" s="16"/>
      <c r="HJ87" s="19"/>
      <c r="HK87" s="1"/>
      <c r="HL87" s="16"/>
      <c r="HM87" s="1"/>
      <c r="HN87" s="1"/>
      <c r="HO87" s="1"/>
      <c r="HP87" s="1"/>
      <c r="HQ87" s="1"/>
      <c r="HR87" s="1"/>
      <c r="HS87" s="1"/>
      <c r="HT87" s="1"/>
      <c r="HU87" s="1"/>
      <c r="HV87" s="1"/>
      <c r="HW87" s="1"/>
      <c r="HX87" s="1"/>
      <c r="HY87" s="1"/>
      <c r="HZ87" s="1"/>
      <c r="IA87" s="1"/>
      <c r="IB87" s="1"/>
      <c r="IC87" s="1"/>
      <c r="ID87" s="1"/>
      <c r="IE87" s="1"/>
      <c r="IF87" s="1"/>
      <c r="IG87" s="1"/>
      <c r="IH87" s="21"/>
      <c r="II87" s="19"/>
      <c r="IJ87" s="19"/>
      <c r="IK87" s="19"/>
      <c r="IL87" s="19"/>
      <c r="IM87" s="19"/>
      <c r="IN87" s="19"/>
      <c r="IO87" s="39"/>
      <c r="IP87" s="39"/>
      <c r="IQ87" s="39"/>
      <c r="IR87" s="39"/>
      <c r="IS87" s="39"/>
      <c r="IT87" s="39"/>
      <c r="IU87" s="39"/>
      <c r="IV87" s="39"/>
      <c r="IW87" s="39"/>
      <c r="IX87" s="39"/>
      <c r="IY87" s="39"/>
      <c r="IZ87" s="39"/>
      <c r="JA87" s="19"/>
      <c r="JB87" s="19"/>
      <c r="JC87" s="19"/>
      <c r="JD87" s="19"/>
      <c r="JE87" s="21"/>
      <c r="JF87" s="1"/>
      <c r="JG87" s="15"/>
      <c r="JH87" s="1"/>
      <c r="JI87" s="1"/>
      <c r="JJ87" s="1"/>
      <c r="JK87" s="1"/>
      <c r="JL87" s="15"/>
      <c r="JM87" s="15"/>
      <c r="JN87" s="21"/>
      <c r="JO87" s="19"/>
      <c r="JP87" s="19"/>
      <c r="JQ87" s="39"/>
      <c r="JR87" s="39"/>
      <c r="JS87" s="39"/>
      <c r="JT87" s="39"/>
      <c r="JU87" s="385"/>
      <c r="JV87" s="39"/>
      <c r="JW87" s="1"/>
      <c r="JX87" s="19"/>
      <c r="JZ87" s="341"/>
      <c r="KA87" s="342"/>
      <c r="KB87" s="469"/>
      <c r="KI87" s="473"/>
      <c r="KJ87" s="473"/>
      <c r="KK87" s="473"/>
      <c r="KN87" s="544"/>
      <c r="KO87" s="541"/>
      <c r="KP87" s="546"/>
      <c r="KQ87" s="546"/>
      <c r="KR87" s="548"/>
      <c r="KS87" s="548"/>
      <c r="KT87" s="548"/>
    </row>
    <row r="88" spans="1:308" s="26" customFormat="1" ht="15" hidden="1" outlineLevel="1">
      <c r="A88" s="561">
        <f t="shared" si="0"/>
        <v>3</v>
      </c>
      <c r="B88" s="561">
        <f t="shared" si="1"/>
        <v>3</v>
      </c>
      <c r="C88" s="561">
        <f t="shared" si="10"/>
        <v>0</v>
      </c>
      <c r="D88" s="561" t="s">
        <v>851</v>
      </c>
      <c r="E88" s="475">
        <f>INDEX('Input(+)'!$1:$1048576,E$93,$C88*2+MIN($B88,1)+5)</f>
        <v>0</v>
      </c>
      <c r="F88" s="475">
        <f>INDEX('Input(+)'!$1:$1048576,F$93,$C88*2+MIN($B88,1)+5)</f>
        <v>0</v>
      </c>
      <c r="G88" s="475">
        <f>INDEX('Input(+)'!$1:$1048576,G$93,$C88*2+MIN($B88,1)+5)</f>
        <v>0</v>
      </c>
      <c r="H88" s="475">
        <f>INDEX('Input(+)'!$1:$1048576,H$93,$C88*2+MIN($B88,1)+5)</f>
        <v>0</v>
      </c>
      <c r="I88" s="476">
        <f>INDEX('Input(+)'!$1:$1048576,I$93,$C88*2+MIN($B88,1)+5)</f>
        <v>0</v>
      </c>
      <c r="J88" s="476">
        <f>INDEX('Input(+)'!$1:$1048576,J$93,$C88*2+MIN($B88,1)+5)</f>
        <v>0</v>
      </c>
      <c r="K88" s="476">
        <f>INDEX('Input(+)'!$1:$1048576,K$93,$C88*2+MIN($B88,1)+5)</f>
        <v>0</v>
      </c>
      <c r="L88" s="476">
        <f>INDEX('Input(+)'!$1:$1048576,L$93,$C88*2+MIN($B88,1)+5)</f>
        <v>0</v>
      </c>
      <c r="M88" s="476">
        <f>INDEX('Input(+)'!$1:$1048576,M$93,$C88*2+MIN($B88,1)+5)</f>
        <v>0</v>
      </c>
      <c r="N88" s="476">
        <f>INDEX('Input(+)'!$1:$1048576,N$93,$C88*2+MIN($B88,1)+5)</f>
        <v>0</v>
      </c>
      <c r="O88" s="476">
        <f>INDEX('Input(+)'!$1:$1048576,O$93,$C88*2+MIN($B88,1)+5)</f>
        <v>0</v>
      </c>
      <c r="P88" s="476">
        <f>INDEX('Input(+)'!$1:$1048576,P$93,$C88*2+MIN($B88,1)+5)</f>
        <v>0</v>
      </c>
      <c r="Q88" s="477">
        <f>INDEX('Input(+)'!$1:$1048576,Q$93,$C88*2+MIN($B88,1)+5)</f>
        <v>0</v>
      </c>
      <c r="R88" s="478">
        <f>INDEX('Input(+)'!$1:$1048576,R$93,$C88*2+MIN($B88,1)+5)</f>
        <v>0</v>
      </c>
      <c r="S88" s="478">
        <f>INDEX('Input(+)'!$1:$1048576,S$93,$C88*2+MIN($B88,1)+5)</f>
        <v>0</v>
      </c>
      <c r="T88" s="478">
        <f>INDEX('Input(+)'!$1:$1048576,T$93,$C88*2+MIN($B88,1)+5)</f>
        <v>0</v>
      </c>
      <c r="U88" s="478">
        <f>INDEX('Input(+)'!$1:$1048576,U$93,$C88*2+MIN($B88,1)+5)</f>
        <v>0</v>
      </c>
      <c r="V88" s="478">
        <f>INDEX('Input(+)'!$1:$1048576,V$93,$C88*2+MIN($B88,1)+5)</f>
        <v>0</v>
      </c>
      <c r="W88" s="478">
        <f>INDEX('Input(+)'!$1:$1048576,W$93,$C88*2+MIN($B88,1)+5)</f>
        <v>0</v>
      </c>
      <c r="X88" s="476">
        <f>INDEX('Input(+)'!$1:$1048576,X$93,$C88*2+MIN($B88,1)+5)</f>
        <v>0</v>
      </c>
      <c r="Y88" s="475">
        <f>INDEX('Input(+)'!$1:$1048576,Y$93,$C88*2+MIN($B88,1)+5)</f>
        <v>0</v>
      </c>
      <c r="Z88" s="477">
        <f>INDEX('Input(+)'!$1:$1048576,Z$93,$C88*2+MIN($B88,1)+5)</f>
        <v>0</v>
      </c>
      <c r="AA88" s="475">
        <f>INDEX('Input(+)'!$1:$1048576,AA$93,$C88*2+MIN($B88,1)+5)</f>
        <v>0</v>
      </c>
      <c r="AB88" s="476">
        <f>INDEX('Input(+)'!$1:$1048576,AB$93,$C88*2+MIN($B88,1)+5)</f>
        <v>0</v>
      </c>
      <c r="AC88" s="475">
        <f>INDEX('Input(+)'!$1:$1048576,AC$93,$C88*2+MIN($B88,1)+5)</f>
        <v>0</v>
      </c>
      <c r="AD88" s="476">
        <f>INDEX('Input(+)'!$1:$1048576,AD$93,$C88*2+MIN($B88,1)+5)</f>
        <v>0</v>
      </c>
      <c r="AE88" s="475">
        <f>INDEX('Input(+)'!$1:$1048576,AE$93,$C88*2+MIN($B88,1)+5)</f>
        <v>0</v>
      </c>
      <c r="AF88" s="476">
        <f>INDEX('Input(+)'!$1:$1048576,AF$93,$C88*2+MIN($B88,1)+5)</f>
        <v>0</v>
      </c>
      <c r="AG88" s="475">
        <f>INDEX('Input(+)'!$1:$1048576,AG$93,$C88*2+MIN($B88,1)+5)</f>
        <v>0</v>
      </c>
      <c r="AH88" s="476">
        <f>INDEX('Input(+)'!$1:$1048576,AH$93,$C88*2+MIN($B88,1)+5)</f>
        <v>0</v>
      </c>
      <c r="AI88" s="475">
        <f>INDEX('Input(+)'!$1:$1048576,AI$93,$C88*2+MIN($B88,1)+5)</f>
        <v>0</v>
      </c>
      <c r="AJ88" s="476">
        <f>INDEX('Input(+)'!$1:$1048576,AJ$93,$C88*2+MIN($B88,1)+5)</f>
        <v>0</v>
      </c>
      <c r="AK88" s="150">
        <f>INDEX(Input!$1:$1048576,AK$93,$C87*2+MIN($B88,1)+5)+(Y88-VLOOKUP($C88*1000+1,$A:$HH,Y$92,FALSE))</f>
        <v>0</v>
      </c>
      <c r="AL88" s="150">
        <f>INDEX(Input!$1:$1048576,AL$93,$C87*2+MIN($B88,1)+5)-(Y88-VLOOKUP($C88*1000+1,$A:$HH,Y$92,FALSE))/36</f>
        <v>0</v>
      </c>
      <c r="AM88" s="32" t="str">
        <f t="shared" si="2"/>
        <v>0/0/0/0/0</v>
      </c>
      <c r="AN88" s="32" t="str">
        <f t="shared" si="3"/>
        <v>$0 + 0/0/0/0/0</v>
      </c>
      <c r="AO88" s="32" t="str">
        <f t="shared" si="4"/>
        <v>0/0/0/0/0</v>
      </c>
      <c r="AP88" s="32" t="str">
        <f t="shared" si="5"/>
        <v>0/0</v>
      </c>
      <c r="AQ88" s="536">
        <f t="shared" si="6"/>
        <v>0</v>
      </c>
      <c r="AR88" s="32"/>
      <c r="AS88" s="302"/>
      <c r="AT88" s="3">
        <f t="shared" si="7"/>
        <v>3</v>
      </c>
      <c r="AU88" s="41" t="s">
        <v>121</v>
      </c>
      <c r="AV88" s="41" t="s">
        <v>116</v>
      </c>
      <c r="AW88" s="41">
        <f>INDEX(Input!$1:$1048576,AW$93,$C88*2+6)</f>
        <v>0</v>
      </c>
      <c r="AX88" s="41">
        <f>INDEX(Input!$1:$1048576,AX$93,$C88*2+6)</f>
        <v>0</v>
      </c>
      <c r="AY88" s="41">
        <f>IF($D88="Skip","",INDEX(Input!$1:$1048576,AY$93,$C88*2+6))</f>
        <v>0</v>
      </c>
      <c r="AZ88" s="41">
        <f>INDEX(Input!$1:$1048576,AZ$93,$C88*2+6)</f>
        <v>0</v>
      </c>
      <c r="BA88" s="3">
        <f>INDEX(Input!$1:$1048576,BA$93,$C88*2+6)</f>
        <v>0</v>
      </c>
      <c r="BB88" s="128">
        <f>INDEX(Input!$1:$1048576,BB$93,$C88*2+6)</f>
        <v>0</v>
      </c>
      <c r="BC88" s="128">
        <f>INDEX(Input!$1:$1048576,BC$93,$C88*2+6)</f>
        <v>0</v>
      </c>
      <c r="BD88" s="1">
        <f>INDEX(Input!$1:$1048576,BD$93,$C88*2+6)</f>
        <v>0</v>
      </c>
      <c r="BE88" s="1">
        <f>INDEX(Input!$1:$1048576,BE$93,$C88*2+6)</f>
        <v>0</v>
      </c>
      <c r="BF88" s="1">
        <f>INDEX(Input!$1:$1048576,BF$93,$C88*2+6)</f>
        <v>0</v>
      </c>
      <c r="BG88" s="1">
        <f>INDEX(Input!$1:$1048576,BG$93,$C88*2+6)</f>
        <v>0</v>
      </c>
      <c r="BH88" s="1">
        <f>INDEX(Input!$1:$1048576,BH$93,$C88*2+6)</f>
        <v>0</v>
      </c>
      <c r="BI88" s="1">
        <f>INDEX(Input!$1:$1048576,BI$93,$C88*2+6)</f>
        <v>0</v>
      </c>
      <c r="BJ88" s="1">
        <f>INDEX(Input!$1:$1048576,BJ$93,$C88*2+6)</f>
        <v>0</v>
      </c>
      <c r="BK88" s="1">
        <f>INDEX(Input!$1:$1048576,BK$93,$C88*2+6)</f>
        <v>0</v>
      </c>
      <c r="BL88" s="1">
        <f>INDEX(Input!$1:$1048576,BL$93,$C88*2+6)</f>
        <v>0</v>
      </c>
      <c r="BM88" s="1">
        <f>INDEX(Input!$1:$1048576,BM$93,$C88*2+6)</f>
        <v>0</v>
      </c>
      <c r="BN88" s="1">
        <f>INDEX(Input!$1:$1048576,BN$93,$C88*2+6)</f>
        <v>0</v>
      </c>
      <c r="BO88" s="1">
        <f>INDEX(Input!$1:$1048576,BO$93,$C88*2+6)</f>
        <v>0</v>
      </c>
      <c r="BP88" s="1">
        <f>INDEX(Input!$1:$1048576,BP$93,$C88*2+6)</f>
        <v>0</v>
      </c>
      <c r="BQ88" s="1">
        <f>INDEX(Input!$1:$1048576,BQ$93,$C88*2+6)</f>
        <v>0</v>
      </c>
      <c r="BR88" s="1">
        <f>INDEX(Input!$1:$1048576,BR$93,$C88*2+6)</f>
        <v>0</v>
      </c>
      <c r="BS88" s="1">
        <f>INDEX(Input!$1:$1048576,BS$93,$C88*2+6)</f>
        <v>0</v>
      </c>
      <c r="BT88" s="1">
        <f>INDEX(Input!$1:$1048576,BT$93,$C88*2+6)</f>
        <v>0</v>
      </c>
      <c r="BU88" s="1">
        <f>INDEX(Input!$1:$1048576,BU$93,$C88*2+6)</f>
        <v>0</v>
      </c>
      <c r="BV88" s="1">
        <f>INDEX(Input!$1:$1048576,BV$93,$C88*2+6)</f>
        <v>0</v>
      </c>
      <c r="BW88" s="1">
        <f>INDEX(Input!$1:$1048576,BW$93,$C88*2+6)</f>
        <v>0</v>
      </c>
      <c r="BX88" s="127">
        <f>INDEX(Input!$1:$1048576,BX$93,$C88*2+6)</f>
        <v>0</v>
      </c>
      <c r="BY88" s="20">
        <f>INDEX(Input!$1:$1048576,BY$93,$C88*2+6)</f>
        <v>0</v>
      </c>
      <c r="BZ88" s="20">
        <f>INDEX(Input!$1:$1048576,BZ$93,$C88*2+6)</f>
        <v>0</v>
      </c>
      <c r="CA88" s="20">
        <f>INDEX(Input!$1:$1048576,CA$93,$C88*2+6)</f>
        <v>0</v>
      </c>
      <c r="CB88" s="20">
        <f>INDEX(Input!$1:$1048576,CB$93,$C88*2+6)</f>
        <v>0</v>
      </c>
      <c r="CC88" s="20">
        <f>INDEX(Input!$1:$1048576,CC$93,$C88*2+6)</f>
        <v>0</v>
      </c>
      <c r="CD88" s="384">
        <f>INDEX(Input!$1:$1048576,CD$93,$C88*2+6)</f>
        <v>0</v>
      </c>
      <c r="CE88" s="384">
        <f>INDEX(Input!$1:$1048576,CE$93,$C88*2+6)</f>
        <v>0</v>
      </c>
      <c r="CF88" s="384">
        <f>INDEX(Input!$1:$1048576,CF$93,$C88*2+6)</f>
        <v>0</v>
      </c>
      <c r="CG88" s="384">
        <f>INDEX(Input!$1:$1048576,CG$93,$C88*2+6)</f>
        <v>0</v>
      </c>
      <c r="CH88" s="384">
        <f>INDEX(Input!$1:$1048576,CH$93,$C88*2+6)</f>
        <v>0</v>
      </c>
      <c r="CI88" s="304">
        <f>E88+F88*I88+AA88*AB88</f>
        <v>0</v>
      </c>
      <c r="CJ88" s="16">
        <f>INDEX(Input!$1:$1048576,CJ$93,$C88*2+6)</f>
        <v>0</v>
      </c>
      <c r="CK88" s="1">
        <f t="shared" si="8"/>
        <v>0</v>
      </c>
      <c r="CL88" s="1">
        <f t="shared" si="8"/>
        <v>0</v>
      </c>
      <c r="CM88" s="1">
        <f t="shared" si="8"/>
        <v>0</v>
      </c>
      <c r="CN88" s="1">
        <f t="shared" si="8"/>
        <v>0</v>
      </c>
      <c r="CO88" s="1">
        <f t="shared" si="8"/>
        <v>0</v>
      </c>
      <c r="CP88" s="304">
        <f>Q88+G88*I88</f>
        <v>0</v>
      </c>
      <c r="CQ88" s="1">
        <f t="shared" si="9"/>
        <v>0</v>
      </c>
      <c r="CR88" s="1">
        <f t="shared" si="9"/>
        <v>0</v>
      </c>
      <c r="CS88" s="1">
        <f t="shared" si="9"/>
        <v>0</v>
      </c>
      <c r="CT88" s="1">
        <f t="shared" si="9"/>
        <v>0</v>
      </c>
      <c r="CU88" s="1">
        <f t="shared" si="9"/>
        <v>0</v>
      </c>
      <c r="CV88" s="304">
        <f>Y88+H88*I88</f>
        <v>0</v>
      </c>
      <c r="CW88" s="20" t="s">
        <v>122</v>
      </c>
      <c r="CX88" s="20" t="s">
        <v>122</v>
      </c>
      <c r="CY88" s="20" t="s">
        <v>122</v>
      </c>
      <c r="CZ88" s="20" t="s">
        <v>122</v>
      </c>
      <c r="DA88" s="20" t="s">
        <v>122</v>
      </c>
      <c r="DB88" s="503">
        <f>Z88+AC88*AD88+AE88*AF88+AG88*AH88+AI88*AJ88</f>
        <v>0</v>
      </c>
      <c r="DC88" s="127">
        <v>0</v>
      </c>
      <c r="DD88" s="127">
        <v>0</v>
      </c>
      <c r="DE88" s="127">
        <v>0</v>
      </c>
      <c r="DF88" s="127">
        <v>0</v>
      </c>
      <c r="DG88" s="127">
        <v>0</v>
      </c>
      <c r="DH88" s="127">
        <v>0</v>
      </c>
      <c r="DI88" s="127">
        <v>0</v>
      </c>
      <c r="DJ88" s="127">
        <v>0</v>
      </c>
      <c r="DK88" s="127">
        <v>0</v>
      </c>
      <c r="DL88" s="127">
        <v>0</v>
      </c>
      <c r="DM88" s="304">
        <f>INDEX(Input!$1:$1048576,DM$93,$C88*2+6)</f>
        <v>0</v>
      </c>
      <c r="DN88" s="20">
        <v>0</v>
      </c>
      <c r="DO88" s="20">
        <v>0</v>
      </c>
      <c r="DP88" s="20">
        <v>0</v>
      </c>
      <c r="DQ88" s="20">
        <v>0</v>
      </c>
      <c r="DR88" s="20">
        <v>0</v>
      </c>
      <c r="DS88" s="20">
        <f>INDEX(Input!$1:$1048576,DS$93,$C88*2+6)</f>
        <v>0</v>
      </c>
      <c r="DT88" s="20">
        <f>INDEX(Input!$1:$1048576,DT$93,$C88*2+6)</f>
        <v>0</v>
      </c>
      <c r="DU88" s="20">
        <f>INDEX(Input!$1:$1048576,DU$93,$C88*2+6)</f>
        <v>0</v>
      </c>
      <c r="DV88" s="20">
        <f>INDEX(Input!$1:$1048576,DV$93,$C88*2+6)</f>
        <v>0</v>
      </c>
      <c r="DW88" s="20">
        <f>INDEX(Input!$1:$1048576,DW$93,$C88*2+6)</f>
        <v>0</v>
      </c>
      <c r="DX88" s="20"/>
      <c r="DY88" s="7"/>
      <c r="DZ88" s="7"/>
      <c r="EA88" s="7"/>
      <c r="EB88" s="7"/>
      <c r="EC88" s="7"/>
      <c r="ED88" s="7"/>
      <c r="EE88" s="7"/>
      <c r="EF88" s="7"/>
      <c r="EG88" s="7"/>
      <c r="EH88" s="7"/>
      <c r="EI88" s="7"/>
      <c r="EJ88" s="7"/>
      <c r="EK88" s="7"/>
      <c r="EL88" s="7"/>
      <c r="EM88" s="7"/>
      <c r="EN88" s="7"/>
      <c r="EO88" s="7"/>
      <c r="EP88" s="7"/>
      <c r="EQ88" s="7"/>
      <c r="ER88" s="7"/>
      <c r="ES88" s="7"/>
      <c r="ET88" s="7"/>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7"/>
      <c r="FU88" s="7"/>
      <c r="FV88" s="7"/>
      <c r="FW88" s="6"/>
      <c r="FX88" s="6"/>
      <c r="FY88" s="6"/>
      <c r="FZ88" s="6"/>
      <c r="GA88" s="6"/>
      <c r="GB88" s="6"/>
      <c r="GC88" s="7"/>
      <c r="GD88" s="7"/>
      <c r="GE88" s="7"/>
      <c r="GF88" s="7"/>
      <c r="GG88" s="7"/>
      <c r="GH88" s="42"/>
      <c r="GI88" s="6"/>
      <c r="GJ88" s="14"/>
      <c r="GK88" s="14"/>
      <c r="GL88" s="14"/>
      <c r="GM88" s="14"/>
      <c r="GO88" s="5"/>
      <c r="GP88" s="5"/>
      <c r="GQ88" s="5"/>
      <c r="GR88" s="5"/>
      <c r="GS88" s="5"/>
      <c r="GT88" s="5"/>
      <c r="GU88" s="5"/>
      <c r="GV88" s="39"/>
      <c r="GW88" s="5"/>
      <c r="GX88" s="5"/>
      <c r="GY88" s="5"/>
      <c r="GZ88" s="5"/>
      <c r="HA88" s="5"/>
      <c r="HB88" s="39"/>
      <c r="HC88" s="5"/>
      <c r="HD88" s="5"/>
      <c r="HE88" s="5"/>
      <c r="HF88" s="5"/>
      <c r="HG88" s="5"/>
      <c r="HH88" s="39"/>
      <c r="HI88" s="16"/>
      <c r="HJ88" s="19"/>
      <c r="HK88" s="1"/>
      <c r="HL88" s="16"/>
      <c r="HM88" s="1"/>
      <c r="HN88" s="1"/>
      <c r="HO88" s="1"/>
      <c r="HP88" s="1"/>
      <c r="HQ88" s="1"/>
      <c r="HR88" s="1"/>
      <c r="HS88" s="1"/>
      <c r="HT88" s="1"/>
      <c r="HU88" s="1"/>
      <c r="HV88" s="1"/>
      <c r="HW88" s="1"/>
      <c r="HX88" s="1"/>
      <c r="HY88" s="1"/>
      <c r="HZ88" s="1"/>
      <c r="IA88" s="1"/>
      <c r="IB88" s="1"/>
      <c r="IC88" s="1"/>
      <c r="ID88" s="1"/>
      <c r="IE88" s="1"/>
      <c r="IF88" s="1"/>
      <c r="IG88" s="1"/>
      <c r="IH88" s="21"/>
      <c r="II88" s="19"/>
      <c r="IJ88" s="19"/>
      <c r="IK88" s="19"/>
      <c r="IL88" s="19"/>
      <c r="IM88" s="19"/>
      <c r="IN88" s="19"/>
      <c r="IO88" s="39"/>
      <c r="IP88" s="39"/>
      <c r="IQ88" s="39"/>
      <c r="IR88" s="39"/>
      <c r="IS88" s="39"/>
      <c r="IT88" s="39"/>
      <c r="IU88" s="39"/>
      <c r="IV88" s="39"/>
      <c r="IW88" s="39"/>
      <c r="IX88" s="39"/>
      <c r="IY88" s="39"/>
      <c r="IZ88" s="39"/>
      <c r="JA88" s="19"/>
      <c r="JB88" s="19"/>
      <c r="JC88" s="19"/>
      <c r="JD88" s="19"/>
      <c r="JE88" s="21"/>
      <c r="JF88" s="1"/>
      <c r="JG88" s="15"/>
      <c r="JH88" s="1"/>
      <c r="JI88" s="1"/>
      <c r="JJ88" s="1"/>
      <c r="JK88" s="1"/>
      <c r="JL88" s="15"/>
      <c r="JM88" s="15"/>
      <c r="JN88" s="21"/>
      <c r="JO88" s="19"/>
      <c r="JP88" s="19"/>
      <c r="JQ88" s="39"/>
      <c r="JR88" s="39"/>
      <c r="JS88" s="39"/>
      <c r="JT88" s="39"/>
      <c r="JU88" s="385"/>
      <c r="JV88" s="39"/>
      <c r="JW88" s="1"/>
      <c r="JX88" s="19"/>
      <c r="JZ88" s="341"/>
      <c r="KA88" s="342"/>
      <c r="KB88" s="469"/>
      <c r="KI88" s="473"/>
      <c r="KJ88" s="473"/>
      <c r="KK88" s="473"/>
      <c r="KN88" s="544"/>
      <c r="KO88" s="541"/>
      <c r="KP88" s="546"/>
      <c r="KQ88" s="546"/>
      <c r="KR88" s="548"/>
      <c r="KS88" s="548"/>
      <c r="KT88" s="548"/>
    </row>
    <row r="89" spans="1:308" s="26" customFormat="1" ht="15" hidden="1" outlineLevel="1">
      <c r="A89" s="561">
        <f t="shared" si="0"/>
        <v>4</v>
      </c>
      <c r="B89" s="561">
        <f t="shared" si="1"/>
        <v>4</v>
      </c>
      <c r="C89" s="561">
        <f t="shared" si="10"/>
        <v>0</v>
      </c>
      <c r="D89" s="561" t="s">
        <v>852</v>
      </c>
      <c r="E89" s="475" t="str">
        <f>INDEX('Input(+)'!$1:$1048576,E$93,$C89*2+MIN($B89,2)+5)</f>
        <v>Cash rebate:</v>
      </c>
      <c r="F89" s="475" t="str">
        <f>INDEX('Input(+)'!$1:$1048576,F$93,$C89*2+MIN($B89,2)+5)</f>
        <v>Dealer cash offer value - cash</v>
      </c>
      <c r="G89" s="475" t="str">
        <f>INDEX('Input(+)'!$1:$1048576,G$93,$C89*2+MIN($B89,2)+5)</f>
        <v>Dealer cash offer value - finance</v>
      </c>
      <c r="H89" s="475" t="str">
        <f>INDEX('Input(+)'!$1:$1048576,H$93,$C89*2+MIN($B89,2)+5)</f>
        <v>Dealer cash offer value - lease</v>
      </c>
      <c r="I89" s="476" t="str">
        <f>INDEX('Input(+)'!$1:$1048576,I$93,$C89*2+MIN($B89,2)+5)</f>
        <v>Dealer cash lift adjustment factor</v>
      </c>
      <c r="J89" s="476" t="str">
        <f>INDEX('Input(+)'!$1:$1048576,J$93,$C89*2+MIN($B89,2)+5)</f>
        <v>DSS Input Value: 24 mo</v>
      </c>
      <c r="K89" s="476" t="str">
        <f>INDEX('Input(+)'!$1:$1048576,K$93,$C89*2+MIN($B89,2)+5)</f>
        <v>DSS Input Value: 36 mo</v>
      </c>
      <c r="L89" s="476" t="str">
        <f>INDEX('Input(+)'!$1:$1048576,L$93,$C89*2+MIN($B89,2)+5)</f>
        <v>DSS Input Value: 48 mo</v>
      </c>
      <c r="M89" s="476" t="str">
        <f>INDEX('Input(+)'!$1:$1048576,M$93,$C89*2+MIN($B89,2)+5)</f>
        <v>DSS Input Value: 60 mo</v>
      </c>
      <c r="N89" s="476" t="str">
        <f>INDEX('Input(+)'!$1:$1048576,N$93,$C89*2+MIN($B89,2)+5)</f>
        <v>DSS Input Value: 72 mo</v>
      </c>
      <c r="O89" s="476" t="str">
        <f>INDEX('Input(+)'!$1:$1048576,O$93,$C89*2+MIN($B89,2)+5)</f>
        <v>DSS Input Value: 84 mo</v>
      </c>
      <c r="P89" s="476" t="str">
        <f>INDEX('Input(+)'!$1:$1048576,P$93,$C89*2+MIN($B89,2)+5)</f>
        <v xml:space="preserve"> - 75mo Term Available?</v>
      </c>
      <c r="Q89" s="477" t="str">
        <f>INDEX('Input(+)'!$1:$1048576,Q$93,$C89*2+MIN($B89,2)+5)</f>
        <v>Cash offer value</v>
      </c>
      <c r="R89" s="478" t="str">
        <f>INDEX('Input(+)'!$1:$1048576,R$93,$C89*2+MIN($B89,2)+5)</f>
        <v>DSS Input Value: 24 mo</v>
      </c>
      <c r="S89" s="478" t="str">
        <f>INDEX('Input(+)'!$1:$1048576,S$93,$C89*2+MIN($B89,2)+5)</f>
        <v>DSS Input Value: 36 mo</v>
      </c>
      <c r="T89" s="478" t="str">
        <f>INDEX('Input(+)'!$1:$1048576,T$93,$C89*2+MIN($B89,2)+5)</f>
        <v>DSS Input Value: 48 mo</v>
      </c>
      <c r="U89" s="478" t="str">
        <f>INDEX('Input(+)'!$1:$1048576,U$93,$C89*2+MIN($B89,2)+5)</f>
        <v>DSS Input Value: 60 mo</v>
      </c>
      <c r="V89" s="478" t="str">
        <f>INDEX('Input(+)'!$1:$1048576,V$93,$C89*2+MIN($B89,2)+5)</f>
        <v>DSS Input Value: 72 mo</v>
      </c>
      <c r="W89" s="478" t="str">
        <f>INDEX('Input(+)'!$1:$1048576,W$93,$C89*2+MIN($B89,2)+5)</f>
        <v>DSS Input Value: 84 mo</v>
      </c>
      <c r="X89" s="476" t="str">
        <f>INDEX('Input(+)'!$1:$1048576,X$93,$C89*2+MIN($B89,2)+5)</f>
        <v xml:space="preserve"> - 75mo Term Available?</v>
      </c>
      <c r="Y89" s="475" t="str">
        <f>INDEX('Input(+)'!$1:$1048576,Y$93,$C89*2+MIN($B89,2)+5)</f>
        <v>Lease offer value req'd to match base penetration</v>
      </c>
      <c r="Z89" s="477" t="str">
        <f>INDEX('Input(+)'!$1:$1048576,Z$93,$C89*2+MIN($B89,2)+5)</f>
        <v>Raw offer value</v>
      </c>
      <c r="AA89" s="475" t="str">
        <f>INDEX('Input(+)'!$1:$1048576,AA$93,$C89*2+MIN($B89,2)+5)</f>
        <v>Raw offer value</v>
      </c>
      <c r="AB89" s="476" t="str">
        <f>INDEX('Input(+)'!$1:$1048576,AB$93,$C89*2+MIN($B89,2)+5)</f>
        <v>Percent of sales affected/pass thru</v>
      </c>
      <c r="AC89" s="475" t="str">
        <f>INDEX('Input(+)'!$1:$1048576,AC$93,$C89*2+MIN($B89,2)+5)</f>
        <v>Raw offer value</v>
      </c>
      <c r="AD89" s="476" t="str">
        <f>INDEX('Input(+)'!$1:$1048576,AD$93,$C89*2+MIN($B89,2)+5)</f>
        <v>Percent of sales affected/pass thru</v>
      </c>
      <c r="AE89" s="475" t="str">
        <f>INDEX('Input(+)'!$1:$1048576,AE$93,$C89*2+MIN($B89,2)+5)</f>
        <v>Raw offer value</v>
      </c>
      <c r="AF89" s="476" t="str">
        <f>INDEX('Input(+)'!$1:$1048576,AF$93,$C89*2+MIN($B89,2)+5)</f>
        <v>Percent of sales affected/pass thru</v>
      </c>
      <c r="AG89" s="475" t="str">
        <f>INDEX('Input(+)'!$1:$1048576,AG$93,$C89*2+MIN($B89,2)+5)</f>
        <v>Raw offer value</v>
      </c>
      <c r="AH89" s="476" t="str">
        <f>INDEX('Input(+)'!$1:$1048576,AH$93,$C89*2+MIN($B89,2)+5)</f>
        <v>Percent of sales affected/pass thru</v>
      </c>
      <c r="AI89" s="475" t="str">
        <f>INDEX('Input(+)'!$1:$1048576,AI$93,$C89*2+MIN($B89,2)+5)</f>
        <v>Raw offer value</v>
      </c>
      <c r="AJ89" s="476" t="str">
        <f>INDEX('Input(+)'!$1:$1048576,AJ$93,$C89*2+MIN($B89,2)+5)</f>
        <v>Percent of sales affected/pass thru</v>
      </c>
      <c r="AK89" s="150" t="e">
        <f>INDEX(Input!$1:$1048576,AK$93,$C88*2+MIN($B89,1)+5)+(Y89-VLOOKUP($C89*1000+1,$A:$HH,Y$92,FALSE))</f>
        <v>#VALUE!</v>
      </c>
      <c r="AL89" s="150" t="e">
        <f>INDEX(Input!$1:$1048576,AL$93,$C88*2+MIN($B89,1)+5)-(Y89-VLOOKUP($C89*1000+1,$A:$HH,Y$92,FALSE))/36</f>
        <v>#VALUE!</v>
      </c>
      <c r="AM89" s="32" t="e">
        <f t="shared" si="2"/>
        <v>#VALUE!</v>
      </c>
      <c r="AN89" s="32" t="e">
        <f t="shared" si="3"/>
        <v>#VALUE!</v>
      </c>
      <c r="AO89" s="32" t="e">
        <f t="shared" si="4"/>
        <v>#VALUE!</v>
      </c>
      <c r="AP89" s="32" t="e">
        <f t="shared" si="5"/>
        <v>#VALUE!</v>
      </c>
      <c r="AQ89" s="536" t="e">
        <f t="shared" si="6"/>
        <v>#VALUE!</v>
      </c>
      <c r="AR89" s="32"/>
      <c r="AS89" s="302"/>
      <c r="AT89" s="3">
        <f t="shared" si="7"/>
        <v>4</v>
      </c>
      <c r="AU89" s="41" t="s">
        <v>121</v>
      </c>
      <c r="AV89" s="41" t="s">
        <v>116</v>
      </c>
      <c r="AW89" s="41">
        <f>INDEX(Input!$1:$1048576,AW$93,$C89*2+6)</f>
        <v>0</v>
      </c>
      <c r="AX89" s="41">
        <f>INDEX(Input!$1:$1048576,AX$93,$C89*2+6)</f>
        <v>0</v>
      </c>
      <c r="AY89" s="41">
        <f>IF($D89="Skip","",INDEX(Input!$1:$1048576,AY$93,$C89*2+6))</f>
        <v>0</v>
      </c>
      <c r="AZ89" s="41">
        <f>INDEX(Input!$1:$1048576,AZ$93,$C89*2+6)</f>
        <v>0</v>
      </c>
      <c r="BA89" s="3">
        <f>INDEX(Input!$1:$1048576,BA$93,$C89*2+6)</f>
        <v>0</v>
      </c>
      <c r="BB89" s="128">
        <f>INDEX(Input!$1:$1048576,BB$93,$C89*2+6)</f>
        <v>0</v>
      </c>
      <c r="BC89" s="128">
        <f>INDEX(Input!$1:$1048576,BC$93,$C89*2+6)</f>
        <v>0</v>
      </c>
      <c r="BD89" s="1">
        <f>INDEX(Input!$1:$1048576,BD$93,$C89*2+6)</f>
        <v>0</v>
      </c>
      <c r="BE89" s="1">
        <f>INDEX(Input!$1:$1048576,BE$93,$C89*2+6)</f>
        <v>0</v>
      </c>
      <c r="BF89" s="1">
        <f>INDEX(Input!$1:$1048576,BF$93,$C89*2+6)</f>
        <v>0</v>
      </c>
      <c r="BG89" s="1">
        <f>INDEX(Input!$1:$1048576,BG$93,$C89*2+6)</f>
        <v>0</v>
      </c>
      <c r="BH89" s="1">
        <f>INDEX(Input!$1:$1048576,BH$93,$C89*2+6)</f>
        <v>0</v>
      </c>
      <c r="BI89" s="1">
        <f>INDEX(Input!$1:$1048576,BI$93,$C89*2+6)</f>
        <v>0</v>
      </c>
      <c r="BJ89" s="1">
        <f>INDEX(Input!$1:$1048576,BJ$93,$C89*2+6)</f>
        <v>0</v>
      </c>
      <c r="BK89" s="1">
        <f>INDEX(Input!$1:$1048576,BK$93,$C89*2+6)</f>
        <v>0</v>
      </c>
      <c r="BL89" s="1">
        <f>INDEX(Input!$1:$1048576,BL$93,$C89*2+6)</f>
        <v>0</v>
      </c>
      <c r="BM89" s="1">
        <f>INDEX(Input!$1:$1048576,BM$93,$C89*2+6)</f>
        <v>0</v>
      </c>
      <c r="BN89" s="1">
        <f>INDEX(Input!$1:$1048576,BN$93,$C89*2+6)</f>
        <v>0</v>
      </c>
      <c r="BO89" s="1">
        <f>INDEX(Input!$1:$1048576,BO$93,$C89*2+6)</f>
        <v>0</v>
      </c>
      <c r="BP89" s="1">
        <f>INDEX(Input!$1:$1048576,BP$93,$C89*2+6)</f>
        <v>0</v>
      </c>
      <c r="BQ89" s="1">
        <f>INDEX(Input!$1:$1048576,BQ$93,$C89*2+6)</f>
        <v>0</v>
      </c>
      <c r="BR89" s="1">
        <f>INDEX(Input!$1:$1048576,BR$93,$C89*2+6)</f>
        <v>0</v>
      </c>
      <c r="BS89" s="1">
        <f>INDEX(Input!$1:$1048576,BS$93,$C89*2+6)</f>
        <v>0</v>
      </c>
      <c r="BT89" s="1">
        <f>INDEX(Input!$1:$1048576,BT$93,$C89*2+6)</f>
        <v>0</v>
      </c>
      <c r="BU89" s="1">
        <f>INDEX(Input!$1:$1048576,BU$93,$C89*2+6)</f>
        <v>0</v>
      </c>
      <c r="BV89" s="1">
        <f>INDEX(Input!$1:$1048576,BV$93,$C89*2+6)</f>
        <v>0</v>
      </c>
      <c r="BW89" s="1">
        <f>INDEX(Input!$1:$1048576,BW$93,$C89*2+6)</f>
        <v>0</v>
      </c>
      <c r="BX89" s="127">
        <f>INDEX(Input!$1:$1048576,BX$93,$C89*2+6)</f>
        <v>0</v>
      </c>
      <c r="BY89" s="20">
        <f>INDEX(Input!$1:$1048576,BY$93,$C89*2+6)</f>
        <v>0</v>
      </c>
      <c r="BZ89" s="20">
        <f>INDEX(Input!$1:$1048576,BZ$93,$C89*2+6)</f>
        <v>0</v>
      </c>
      <c r="CA89" s="20">
        <f>INDEX(Input!$1:$1048576,CA$93,$C89*2+6)</f>
        <v>0</v>
      </c>
      <c r="CB89" s="20">
        <f>INDEX(Input!$1:$1048576,CB$93,$C89*2+6)</f>
        <v>0</v>
      </c>
      <c r="CC89" s="20">
        <f>INDEX(Input!$1:$1048576,CC$93,$C89*2+6)</f>
        <v>0</v>
      </c>
      <c r="CD89" s="384">
        <f>INDEX(Input!$1:$1048576,CD$93,$C89*2+6)</f>
        <v>0</v>
      </c>
      <c r="CE89" s="384">
        <f>INDEX(Input!$1:$1048576,CE$93,$C89*2+6)</f>
        <v>0</v>
      </c>
      <c r="CF89" s="384">
        <f>INDEX(Input!$1:$1048576,CF$93,$C89*2+6)</f>
        <v>0</v>
      </c>
      <c r="CG89" s="384">
        <f>INDEX(Input!$1:$1048576,CG$93,$C89*2+6)</f>
        <v>0</v>
      </c>
      <c r="CH89" s="384">
        <f>INDEX(Input!$1:$1048576,CH$93,$C89*2+6)</f>
        <v>0</v>
      </c>
      <c r="CI89" s="304" t="e">
        <f>E89+F89*I89+AA89*AB89</f>
        <v>#VALUE!</v>
      </c>
      <c r="CJ89" s="16">
        <f>INDEX(Input!$1:$1048576,CJ$93,$C89*2+6)</f>
        <v>0</v>
      </c>
      <c r="CK89" s="1" t="str">
        <f t="shared" si="8"/>
        <v>DSS Input Value: 24 mo</v>
      </c>
      <c r="CL89" s="1" t="str">
        <f t="shared" si="8"/>
        <v>DSS Input Value: 36 mo</v>
      </c>
      <c r="CM89" s="1" t="str">
        <f t="shared" si="8"/>
        <v>DSS Input Value: 48 mo</v>
      </c>
      <c r="CN89" s="1" t="str">
        <f t="shared" si="8"/>
        <v>DSS Input Value: 60 mo</v>
      </c>
      <c r="CO89" s="1" t="str">
        <f t="shared" si="8"/>
        <v>DSS Input Value: 72 mo</v>
      </c>
      <c r="CP89" s="304" t="e">
        <f>Q89+G89*I89</f>
        <v>#VALUE!</v>
      </c>
      <c r="CQ89" s="1" t="str">
        <f t="shared" si="9"/>
        <v>DSS Input Value: 24 mo</v>
      </c>
      <c r="CR89" s="1" t="str">
        <f t="shared" si="9"/>
        <v>DSS Input Value: 36 mo</v>
      </c>
      <c r="CS89" s="1" t="str">
        <f t="shared" si="9"/>
        <v>DSS Input Value: 48 mo</v>
      </c>
      <c r="CT89" s="1" t="str">
        <f t="shared" si="9"/>
        <v>DSS Input Value: 60 mo</v>
      </c>
      <c r="CU89" s="1" t="str">
        <f t="shared" si="9"/>
        <v>DSS Input Value: 72 mo</v>
      </c>
      <c r="CV89" s="304" t="e">
        <f>Y89+H89*I89</f>
        <v>#VALUE!</v>
      </c>
      <c r="CW89" s="20" t="s">
        <v>122</v>
      </c>
      <c r="CX89" s="20" t="s">
        <v>122</v>
      </c>
      <c r="CY89" s="20" t="s">
        <v>122</v>
      </c>
      <c r="CZ89" s="20" t="s">
        <v>122</v>
      </c>
      <c r="DA89" s="20" t="s">
        <v>122</v>
      </c>
      <c r="DB89" s="503" t="e">
        <f>Z89+AC89*AD89+AE89*AF89+AG89*AH89+AI89*AJ89</f>
        <v>#VALUE!</v>
      </c>
      <c r="DC89" s="127">
        <v>0</v>
      </c>
      <c r="DD89" s="127">
        <v>0</v>
      </c>
      <c r="DE89" s="127">
        <v>0</v>
      </c>
      <c r="DF89" s="127">
        <v>0</v>
      </c>
      <c r="DG89" s="127">
        <v>0</v>
      </c>
      <c r="DH89" s="127">
        <v>0</v>
      </c>
      <c r="DI89" s="127">
        <v>0</v>
      </c>
      <c r="DJ89" s="127">
        <v>0</v>
      </c>
      <c r="DK89" s="127">
        <v>0</v>
      </c>
      <c r="DL89" s="127">
        <v>0</v>
      </c>
      <c r="DM89" s="304">
        <f>INDEX(Input!$1:$1048576,DM$93,$C89*2+6)</f>
        <v>0</v>
      </c>
      <c r="DN89" s="20">
        <v>0</v>
      </c>
      <c r="DO89" s="20">
        <v>0</v>
      </c>
      <c r="DP89" s="20">
        <v>0</v>
      </c>
      <c r="DQ89" s="20">
        <v>0</v>
      </c>
      <c r="DR89" s="20">
        <v>0</v>
      </c>
      <c r="DS89" s="20">
        <f>INDEX(Input!$1:$1048576,DS$93,$C89*2+6)</f>
        <v>0</v>
      </c>
      <c r="DT89" s="20">
        <f>INDEX(Input!$1:$1048576,DT$93,$C89*2+6)</f>
        <v>0</v>
      </c>
      <c r="DU89" s="20">
        <f>INDEX(Input!$1:$1048576,DU$93,$C89*2+6)</f>
        <v>0</v>
      </c>
      <c r="DV89" s="20">
        <f>INDEX(Input!$1:$1048576,DV$93,$C89*2+6)</f>
        <v>0</v>
      </c>
      <c r="DW89" s="20">
        <f>INDEX(Input!$1:$1048576,DW$93,$C89*2+6)</f>
        <v>0</v>
      </c>
      <c r="DX89" s="20"/>
      <c r="DY89" s="7"/>
      <c r="DZ89" s="7"/>
      <c r="EA89" s="7"/>
      <c r="EB89" s="7"/>
      <c r="EC89" s="7"/>
      <c r="ED89" s="7"/>
      <c r="EE89" s="7"/>
      <c r="EF89" s="7"/>
      <c r="EG89" s="7"/>
      <c r="EH89" s="7"/>
      <c r="EI89" s="7"/>
      <c r="EJ89" s="7"/>
      <c r="EK89" s="7"/>
      <c r="EL89" s="7"/>
      <c r="EM89" s="7"/>
      <c r="EN89" s="7"/>
      <c r="EO89" s="7"/>
      <c r="EP89" s="7"/>
      <c r="EQ89" s="7"/>
      <c r="ER89" s="7"/>
      <c r="ES89" s="7"/>
      <c r="ET89" s="7"/>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7"/>
      <c r="FU89" s="7"/>
      <c r="FV89" s="7"/>
      <c r="FW89" s="6"/>
      <c r="FX89" s="6"/>
      <c r="FY89" s="6"/>
      <c r="FZ89" s="6"/>
      <c r="GA89" s="6"/>
      <c r="GB89" s="6"/>
      <c r="GC89" s="7"/>
      <c r="GD89" s="7"/>
      <c r="GE89" s="7"/>
      <c r="GF89" s="7"/>
      <c r="GG89" s="7"/>
      <c r="GH89" s="42"/>
      <c r="GI89" s="6"/>
      <c r="GJ89" s="14"/>
      <c r="GK89" s="14"/>
      <c r="GL89" s="14"/>
      <c r="GM89" s="14"/>
      <c r="GO89" s="5"/>
      <c r="GP89" s="5"/>
      <c r="GQ89" s="5"/>
      <c r="GR89" s="5"/>
      <c r="GS89" s="5"/>
      <c r="GT89" s="5"/>
      <c r="GU89" s="5"/>
      <c r="GV89" s="39"/>
      <c r="GW89" s="5"/>
      <c r="GX89" s="5"/>
      <c r="GY89" s="5"/>
      <c r="GZ89" s="5"/>
      <c r="HA89" s="5"/>
      <c r="HB89" s="39"/>
      <c r="HC89" s="5"/>
      <c r="HD89" s="5"/>
      <c r="HE89" s="5"/>
      <c r="HF89" s="5"/>
      <c r="HG89" s="5"/>
      <c r="HH89" s="39"/>
      <c r="HI89" s="16"/>
      <c r="HJ89" s="19"/>
      <c r="HK89" s="1"/>
      <c r="HL89" s="16"/>
      <c r="HM89" s="1"/>
      <c r="HN89" s="1"/>
      <c r="HO89" s="1"/>
      <c r="HP89" s="1"/>
      <c r="HQ89" s="1"/>
      <c r="HR89" s="1"/>
      <c r="HS89" s="1"/>
      <c r="HT89" s="1"/>
      <c r="HU89" s="1"/>
      <c r="HV89" s="1"/>
      <c r="HW89" s="1"/>
      <c r="HX89" s="1"/>
      <c r="HY89" s="1"/>
      <c r="HZ89" s="1"/>
      <c r="IA89" s="1"/>
      <c r="IB89" s="1"/>
      <c r="IC89" s="1"/>
      <c r="ID89" s="1"/>
      <c r="IE89" s="1"/>
      <c r="IF89" s="1"/>
      <c r="IG89" s="1"/>
      <c r="IH89" s="21"/>
      <c r="II89" s="19"/>
      <c r="IJ89" s="19"/>
      <c r="IK89" s="19"/>
      <c r="IL89" s="19"/>
      <c r="IM89" s="19"/>
      <c r="IN89" s="19"/>
      <c r="IO89" s="39"/>
      <c r="IP89" s="39"/>
      <c r="IQ89" s="39"/>
      <c r="IR89" s="39"/>
      <c r="IS89" s="39"/>
      <c r="IT89" s="39"/>
      <c r="IU89" s="39"/>
      <c r="IV89" s="39"/>
      <c r="IW89" s="39"/>
      <c r="IX89" s="39"/>
      <c r="IY89" s="39"/>
      <c r="IZ89" s="39"/>
      <c r="JA89" s="19"/>
      <c r="JB89" s="19"/>
      <c r="JC89" s="19"/>
      <c r="JD89" s="19"/>
      <c r="JE89" s="21"/>
      <c r="JF89" s="1"/>
      <c r="JG89" s="15"/>
      <c r="JH89" s="1"/>
      <c r="JI89" s="1"/>
      <c r="JJ89" s="1"/>
      <c r="JK89" s="1"/>
      <c r="JL89" s="15"/>
      <c r="JM89" s="15"/>
      <c r="JN89" s="21"/>
      <c r="JO89" s="19"/>
      <c r="JP89" s="19"/>
      <c r="JQ89" s="39"/>
      <c r="JR89" s="39"/>
      <c r="JS89" s="39"/>
      <c r="JT89" s="39"/>
      <c r="JU89" s="385"/>
      <c r="JV89" s="39"/>
      <c r="JW89" s="1"/>
      <c r="JX89" s="19"/>
      <c r="JZ89" s="341"/>
      <c r="KA89" s="342"/>
      <c r="KB89" s="469"/>
      <c r="KI89" s="473"/>
      <c r="KJ89" s="473"/>
      <c r="KK89" s="473"/>
      <c r="KN89" s="544"/>
      <c r="KO89" s="541"/>
      <c r="KP89" s="546"/>
      <c r="KQ89" s="546"/>
      <c r="KR89" s="548"/>
      <c r="KS89" s="548"/>
      <c r="KT89" s="548"/>
    </row>
    <row r="90" spans="1:308" s="56" customFormat="1" ht="14.45" customHeight="1" collapsed="1">
      <c r="C90" s="303"/>
      <c r="AS90" s="60"/>
      <c r="AU90" s="98"/>
      <c r="AV90" s="57"/>
      <c r="AW90" s="98"/>
      <c r="AX90" s="98"/>
      <c r="AY90" s="98"/>
      <c r="AZ90" s="98"/>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5"/>
      <c r="CK90" s="57"/>
      <c r="CL90" s="57"/>
      <c r="CM90" s="57"/>
      <c r="CN90" s="57"/>
      <c r="CO90" s="57"/>
      <c r="CP90" s="57"/>
      <c r="CQ90" s="57"/>
      <c r="CR90" s="57"/>
      <c r="CS90" s="57"/>
      <c r="CT90" s="57"/>
      <c r="CU90" s="57"/>
      <c r="CV90" s="57"/>
      <c r="CW90" s="57"/>
      <c r="CX90" s="57"/>
      <c r="CY90" s="57"/>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9"/>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c r="EX90" s="57"/>
      <c r="EY90" s="126"/>
      <c r="EZ90" s="57"/>
      <c r="FA90" s="57"/>
      <c r="FB90" s="57"/>
      <c r="FC90" s="57"/>
      <c r="FD90" s="57"/>
      <c r="FE90" s="57"/>
      <c r="FF90" s="57"/>
      <c r="FG90" s="57"/>
      <c r="FH90" s="57"/>
      <c r="FI90" s="57"/>
      <c r="FJ90" s="57"/>
      <c r="FK90" s="57"/>
      <c r="FL90" s="57"/>
      <c r="FM90" s="57"/>
      <c r="FN90" s="57"/>
      <c r="FO90" s="57"/>
      <c r="FP90" s="57"/>
      <c r="FQ90" s="57"/>
      <c r="FR90" s="57"/>
      <c r="FS90" s="57"/>
      <c r="FT90" s="57"/>
      <c r="FU90" s="57"/>
      <c r="FV90" s="57"/>
      <c r="FW90" s="57"/>
      <c r="FX90" s="57"/>
      <c r="FY90" s="57"/>
      <c r="FZ90" s="57"/>
      <c r="GA90" s="57"/>
      <c r="GB90" s="57"/>
      <c r="GC90" s="57"/>
      <c r="GD90" s="57"/>
      <c r="GE90" s="57"/>
      <c r="GF90" s="57"/>
      <c r="GG90" s="57"/>
      <c r="GH90" s="57"/>
      <c r="GI90" s="57"/>
      <c r="GJ90" s="57"/>
      <c r="GK90" s="57"/>
      <c r="GL90" s="57"/>
      <c r="GM90" s="57"/>
      <c r="GV90" s="57"/>
      <c r="HB90" s="57"/>
      <c r="HH90" s="57"/>
      <c r="HI90" s="58"/>
      <c r="HJ90" s="57"/>
      <c r="HK90" s="57"/>
      <c r="HL90" s="58"/>
      <c r="HM90" s="59"/>
      <c r="HN90" s="59"/>
      <c r="HO90" s="59"/>
      <c r="HP90" s="123"/>
      <c r="HQ90" s="123"/>
      <c r="HR90" s="123"/>
      <c r="HS90" s="59"/>
      <c r="HT90" s="59"/>
      <c r="HU90" s="59"/>
      <c r="HV90" s="123"/>
      <c r="HW90" s="123"/>
      <c r="HX90" s="123"/>
      <c r="HY90" s="59"/>
      <c r="HZ90" s="59"/>
      <c r="IA90" s="59"/>
      <c r="IB90" s="123"/>
      <c r="IC90" s="123"/>
      <c r="ID90" s="123"/>
      <c r="IE90" s="123"/>
      <c r="IF90" s="123"/>
      <c r="IG90" s="123"/>
      <c r="IH90" s="60"/>
      <c r="II90" s="59"/>
      <c r="IJ90" s="59"/>
      <c r="IK90" s="59"/>
      <c r="IL90" s="123"/>
      <c r="IM90" s="123"/>
      <c r="IN90" s="123"/>
      <c r="IO90" s="59"/>
      <c r="IP90" s="59"/>
      <c r="IQ90" s="59"/>
      <c r="IR90" s="123"/>
      <c r="IS90" s="123"/>
      <c r="IT90" s="123"/>
      <c r="IU90" s="123"/>
      <c r="IV90" s="123"/>
      <c r="IW90" s="123"/>
      <c r="IX90" s="59"/>
      <c r="IY90" s="59"/>
      <c r="IZ90" s="59"/>
      <c r="JA90" s="123"/>
      <c r="JB90" s="123"/>
      <c r="JC90" s="123"/>
      <c r="JD90" s="123"/>
      <c r="JE90" s="60"/>
      <c r="JF90" s="59"/>
      <c r="JG90" s="59"/>
      <c r="JH90" s="59"/>
      <c r="JI90" s="59"/>
      <c r="JJ90" s="332"/>
      <c r="JK90" s="59"/>
      <c r="JL90" s="59"/>
      <c r="JM90" s="123"/>
      <c r="JN90" s="60"/>
      <c r="JO90" s="59"/>
      <c r="JP90" s="59"/>
      <c r="JQ90" s="123"/>
      <c r="JR90" s="123"/>
      <c r="JS90" s="123"/>
      <c r="JT90" s="123"/>
      <c r="JU90" s="123"/>
      <c r="JV90" s="123"/>
      <c r="JW90" s="123"/>
      <c r="JX90" s="123"/>
      <c r="JY90" s="58"/>
    </row>
    <row r="91" spans="1:308" s="56" customFormat="1" ht="14.45" customHeight="1" outlineLevel="1">
      <c r="C91" s="303"/>
      <c r="AS91" s="60"/>
      <c r="AU91" s="98"/>
      <c r="AV91" s="57"/>
      <c r="AW91" s="98"/>
      <c r="AX91" s="98"/>
      <c r="AY91" s="98"/>
      <c r="AZ91" s="98"/>
      <c r="BA91" s="57"/>
      <c r="BB91" s="57"/>
      <c r="BC91" s="57"/>
      <c r="BD91" s="57"/>
      <c r="BE91" s="57"/>
      <c r="BF91" s="57"/>
      <c r="BG91" s="57"/>
      <c r="BH91" s="57"/>
      <c r="BI91" s="57"/>
      <c r="BJ91" s="57"/>
      <c r="BK91" s="57"/>
      <c r="BL91" s="57"/>
      <c r="BM91" s="57"/>
      <c r="BN91" s="57"/>
      <c r="BO91" s="57"/>
      <c r="BP91" s="57"/>
      <c r="BQ91" s="57"/>
      <c r="BR91" s="57"/>
      <c r="BS91" s="57"/>
      <c r="BT91" s="57"/>
      <c r="BU91" s="57"/>
      <c r="BV91" s="57"/>
      <c r="BW91" s="57"/>
      <c r="BX91" s="57"/>
      <c r="BY91" s="57"/>
      <c r="BZ91" s="57"/>
      <c r="CA91" s="57"/>
      <c r="CB91" s="57"/>
      <c r="CC91" s="57"/>
      <c r="CD91" s="57"/>
      <c r="CE91" s="57"/>
      <c r="CF91" s="57"/>
      <c r="CG91" s="57"/>
      <c r="CH91" s="57"/>
      <c r="CI91" s="57"/>
      <c r="CJ91" s="55"/>
      <c r="CK91" s="57"/>
      <c r="CL91" s="57"/>
      <c r="CM91" s="57"/>
      <c r="CN91" s="57"/>
      <c r="CO91" s="57"/>
      <c r="CP91" s="57"/>
      <c r="CQ91" s="57"/>
      <c r="CR91" s="57"/>
      <c r="CS91" s="57"/>
      <c r="CT91" s="57"/>
      <c r="CU91" s="57"/>
      <c r="CV91" s="57"/>
      <c r="CW91" s="57"/>
      <c r="CX91" s="57"/>
      <c r="CY91" s="57"/>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9"/>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c r="EX91" s="57"/>
      <c r="EY91" s="126"/>
      <c r="EZ91" s="57"/>
      <c r="FA91" s="57"/>
      <c r="FB91" s="57"/>
      <c r="FC91" s="57"/>
      <c r="FD91" s="57"/>
      <c r="FE91" s="57"/>
      <c r="FF91" s="57"/>
      <c r="FG91" s="57"/>
      <c r="FH91" s="57"/>
      <c r="FI91" s="57"/>
      <c r="FJ91" s="57"/>
      <c r="FK91" s="57"/>
      <c r="FL91" s="57"/>
      <c r="FM91" s="57"/>
      <c r="FN91" s="57"/>
      <c r="FO91" s="57"/>
      <c r="FP91" s="57"/>
      <c r="FQ91" s="57"/>
      <c r="FR91" s="57"/>
      <c r="FS91" s="57"/>
      <c r="FT91" s="57"/>
      <c r="FU91" s="57"/>
      <c r="FV91" s="57"/>
      <c r="FW91" s="57"/>
      <c r="FX91" s="57"/>
      <c r="FY91" s="57"/>
      <c r="FZ91" s="57"/>
      <c r="GA91" s="57"/>
      <c r="GB91" s="57"/>
      <c r="GC91" s="57"/>
      <c r="GD91" s="57"/>
      <c r="GE91" s="57"/>
      <c r="GF91" s="57"/>
      <c r="GG91" s="57"/>
      <c r="GH91" s="57"/>
      <c r="GI91" s="57"/>
      <c r="GJ91" s="57"/>
      <c r="GK91" s="57"/>
      <c r="GL91" s="57"/>
      <c r="GM91" s="57"/>
      <c r="GV91" s="57"/>
      <c r="HB91" s="57"/>
      <c r="HH91" s="57"/>
      <c r="HI91" s="58"/>
      <c r="HJ91" s="57"/>
      <c r="HK91" s="57"/>
      <c r="HL91" s="58"/>
      <c r="HM91" s="59"/>
      <c r="HN91" s="59"/>
      <c r="HO91" s="59"/>
      <c r="HP91" s="123"/>
      <c r="HQ91" s="123"/>
      <c r="HR91" s="123"/>
      <c r="HS91" s="59"/>
      <c r="HT91" s="59"/>
      <c r="HU91" s="59"/>
      <c r="HV91" s="123"/>
      <c r="HW91" s="123"/>
      <c r="HX91" s="123"/>
      <c r="HY91" s="59"/>
      <c r="HZ91" s="59"/>
      <c r="IA91" s="59"/>
      <c r="IB91" s="123"/>
      <c r="IC91" s="123"/>
      <c r="ID91" s="123"/>
      <c r="IE91" s="123"/>
      <c r="IF91" s="123"/>
      <c r="IG91" s="123"/>
      <c r="IH91" s="60"/>
      <c r="II91" s="59"/>
      <c r="IJ91" s="59"/>
      <c r="IK91" s="59"/>
      <c r="IL91" s="123"/>
      <c r="IM91" s="123"/>
      <c r="IN91" s="123"/>
      <c r="IO91" s="59"/>
      <c r="IP91" s="59"/>
      <c r="IQ91" s="59"/>
      <c r="IR91" s="123"/>
      <c r="IS91" s="123"/>
      <c r="IT91" s="123"/>
      <c r="IU91" s="123"/>
      <c r="IV91" s="123"/>
      <c r="IW91" s="123"/>
      <c r="IX91" s="59"/>
      <c r="IY91" s="59"/>
      <c r="IZ91" s="59"/>
      <c r="JA91" s="123"/>
      <c r="JB91" s="123"/>
      <c r="JC91" s="123"/>
      <c r="JD91" s="123"/>
      <c r="JE91" s="60"/>
      <c r="JF91" s="59"/>
      <c r="JG91" s="59"/>
      <c r="JH91" s="59"/>
      <c r="JI91" s="59"/>
      <c r="JJ91" s="332"/>
      <c r="JK91" s="59"/>
      <c r="JL91" s="59"/>
      <c r="JM91" s="123"/>
      <c r="JN91" s="60"/>
      <c r="JO91" s="59"/>
      <c r="JP91" s="59"/>
      <c r="JQ91" s="123"/>
      <c r="JR91" s="123"/>
      <c r="JS91" s="123"/>
      <c r="JT91" s="123"/>
      <c r="JU91" s="123"/>
      <c r="JV91" s="123"/>
      <c r="JW91" s="123"/>
      <c r="JX91" s="123"/>
      <c r="JY91" s="58"/>
    </row>
    <row r="92" spans="1:308" s="57" customFormat="1" ht="15" outlineLevel="1">
      <c r="A92" s="116">
        <v>1</v>
      </c>
      <c r="B92" s="116">
        <f t="shared" ref="B92:BM93" si="11">A92+1</f>
        <v>2</v>
      </c>
      <c r="C92" s="116">
        <f t="shared" si="11"/>
        <v>3</v>
      </c>
      <c r="D92" s="116">
        <f t="shared" si="11"/>
        <v>4</v>
      </c>
      <c r="E92" s="116">
        <f t="shared" si="11"/>
        <v>5</v>
      </c>
      <c r="F92" s="116">
        <f t="shared" si="11"/>
        <v>6</v>
      </c>
      <c r="G92" s="116">
        <f t="shared" si="11"/>
        <v>7</v>
      </c>
      <c r="H92" s="116">
        <f t="shared" si="11"/>
        <v>8</v>
      </c>
      <c r="I92" s="116">
        <f t="shared" si="11"/>
        <v>9</v>
      </c>
      <c r="J92" s="116">
        <f t="shared" si="11"/>
        <v>10</v>
      </c>
      <c r="K92" s="116">
        <f t="shared" si="11"/>
        <v>11</v>
      </c>
      <c r="L92" s="116">
        <f t="shared" si="11"/>
        <v>12</v>
      </c>
      <c r="M92" s="116">
        <f t="shared" si="11"/>
        <v>13</v>
      </c>
      <c r="N92" s="116">
        <f t="shared" si="11"/>
        <v>14</v>
      </c>
      <c r="O92" s="116">
        <f t="shared" si="11"/>
        <v>15</v>
      </c>
      <c r="P92" s="116">
        <f t="shared" si="11"/>
        <v>16</v>
      </c>
      <c r="Q92" s="116">
        <f t="shared" si="11"/>
        <v>17</v>
      </c>
      <c r="R92" s="116">
        <f t="shared" si="11"/>
        <v>18</v>
      </c>
      <c r="S92" s="116">
        <f t="shared" si="11"/>
        <v>19</v>
      </c>
      <c r="T92" s="116">
        <f t="shared" si="11"/>
        <v>20</v>
      </c>
      <c r="U92" s="116">
        <f t="shared" si="11"/>
        <v>21</v>
      </c>
      <c r="V92" s="116">
        <f t="shared" si="11"/>
        <v>22</v>
      </c>
      <c r="W92" s="116">
        <f t="shared" si="11"/>
        <v>23</v>
      </c>
      <c r="X92" s="116">
        <f t="shared" si="11"/>
        <v>24</v>
      </c>
      <c r="Y92" s="116">
        <f t="shared" si="11"/>
        <v>25</v>
      </c>
      <c r="Z92" s="116">
        <f t="shared" si="11"/>
        <v>26</v>
      </c>
      <c r="AA92" s="116">
        <f t="shared" si="11"/>
        <v>27</v>
      </c>
      <c r="AB92" s="116">
        <f t="shared" si="11"/>
        <v>28</v>
      </c>
      <c r="AC92" s="116">
        <f t="shared" si="11"/>
        <v>29</v>
      </c>
      <c r="AD92" s="116">
        <f t="shared" si="11"/>
        <v>30</v>
      </c>
      <c r="AE92" s="116">
        <f t="shared" si="11"/>
        <v>31</v>
      </c>
      <c r="AF92" s="116">
        <f t="shared" si="11"/>
        <v>32</v>
      </c>
      <c r="AG92" s="116">
        <f t="shared" si="11"/>
        <v>33</v>
      </c>
      <c r="AH92" s="116">
        <f t="shared" si="11"/>
        <v>34</v>
      </c>
      <c r="AI92" s="116">
        <f t="shared" si="11"/>
        <v>35</v>
      </c>
      <c r="AJ92" s="116">
        <f t="shared" si="11"/>
        <v>36</v>
      </c>
      <c r="AK92" s="116">
        <f t="shared" si="11"/>
        <v>37</v>
      </c>
      <c r="AL92" s="116">
        <f t="shared" si="11"/>
        <v>38</v>
      </c>
      <c r="AM92" s="116">
        <f t="shared" si="11"/>
        <v>39</v>
      </c>
      <c r="AN92" s="116">
        <f t="shared" si="11"/>
        <v>40</v>
      </c>
      <c r="AO92" s="116">
        <f t="shared" si="11"/>
        <v>41</v>
      </c>
      <c r="AP92" s="116">
        <f t="shared" si="11"/>
        <v>42</v>
      </c>
      <c r="AQ92" s="116">
        <f t="shared" si="11"/>
        <v>43</v>
      </c>
      <c r="AR92" s="116">
        <f t="shared" si="11"/>
        <v>44</v>
      </c>
      <c r="AS92" s="116">
        <f t="shared" si="11"/>
        <v>45</v>
      </c>
      <c r="AT92" s="116">
        <f t="shared" ref="AT92" si="12">AS92+1</f>
        <v>46</v>
      </c>
      <c r="AU92" s="116">
        <f t="shared" si="11"/>
        <v>47</v>
      </c>
      <c r="AV92" s="116">
        <f t="shared" si="11"/>
        <v>48</v>
      </c>
      <c r="AW92" s="116">
        <f t="shared" si="11"/>
        <v>49</v>
      </c>
      <c r="AX92" s="116">
        <f t="shared" si="11"/>
        <v>50</v>
      </c>
      <c r="AY92" s="116">
        <f t="shared" si="11"/>
        <v>51</v>
      </c>
      <c r="AZ92" s="116">
        <f t="shared" si="11"/>
        <v>52</v>
      </c>
      <c r="BA92" s="116">
        <f t="shared" si="11"/>
        <v>53</v>
      </c>
      <c r="BB92" s="116">
        <f t="shared" si="11"/>
        <v>54</v>
      </c>
      <c r="BC92" s="116">
        <f t="shared" si="11"/>
        <v>55</v>
      </c>
      <c r="BD92" s="116">
        <f t="shared" si="11"/>
        <v>56</v>
      </c>
      <c r="BE92" s="116">
        <f t="shared" si="11"/>
        <v>57</v>
      </c>
      <c r="BF92" s="116">
        <f t="shared" si="11"/>
        <v>58</v>
      </c>
      <c r="BG92" s="116">
        <f t="shared" si="11"/>
        <v>59</v>
      </c>
      <c r="BH92" s="116">
        <f t="shared" si="11"/>
        <v>60</v>
      </c>
      <c r="BI92" s="116">
        <f t="shared" si="11"/>
        <v>61</v>
      </c>
      <c r="BJ92" s="116">
        <f t="shared" si="11"/>
        <v>62</v>
      </c>
      <c r="BK92" s="116">
        <f t="shared" si="11"/>
        <v>63</v>
      </c>
      <c r="BL92" s="116">
        <f t="shared" si="11"/>
        <v>64</v>
      </c>
      <c r="BM92" s="116">
        <f t="shared" si="11"/>
        <v>65</v>
      </c>
      <c r="BN92" s="116">
        <f t="shared" ref="BN92:DY93" si="13">BM92+1</f>
        <v>66</v>
      </c>
      <c r="BO92" s="116">
        <f t="shared" si="13"/>
        <v>67</v>
      </c>
      <c r="BP92" s="116">
        <f t="shared" si="13"/>
        <v>68</v>
      </c>
      <c r="BQ92" s="116">
        <f t="shared" si="13"/>
        <v>69</v>
      </c>
      <c r="BR92" s="116">
        <f t="shared" si="13"/>
        <v>70</v>
      </c>
      <c r="BS92" s="116">
        <f t="shared" si="13"/>
        <v>71</v>
      </c>
      <c r="BT92" s="116">
        <f t="shared" si="13"/>
        <v>72</v>
      </c>
      <c r="BU92" s="116">
        <f t="shared" si="13"/>
        <v>73</v>
      </c>
      <c r="BV92" s="116">
        <f t="shared" si="13"/>
        <v>74</v>
      </c>
      <c r="BW92" s="116">
        <f t="shared" si="13"/>
        <v>75</v>
      </c>
      <c r="BX92" s="116">
        <f t="shared" si="13"/>
        <v>76</v>
      </c>
      <c r="BY92" s="116">
        <f t="shared" si="13"/>
        <v>77</v>
      </c>
      <c r="BZ92" s="116">
        <f t="shared" si="13"/>
        <v>78</v>
      </c>
      <c r="CA92" s="116">
        <f t="shared" si="13"/>
        <v>79</v>
      </c>
      <c r="CB92" s="116">
        <f t="shared" si="13"/>
        <v>80</v>
      </c>
      <c r="CC92" s="116">
        <f t="shared" si="13"/>
        <v>81</v>
      </c>
      <c r="CD92" s="116">
        <f t="shared" si="13"/>
        <v>82</v>
      </c>
      <c r="CE92" s="116">
        <f t="shared" si="13"/>
        <v>83</v>
      </c>
      <c r="CF92" s="116">
        <f t="shared" si="13"/>
        <v>84</v>
      </c>
      <c r="CG92" s="116">
        <f t="shared" si="13"/>
        <v>85</v>
      </c>
      <c r="CH92" s="116">
        <f t="shared" si="13"/>
        <v>86</v>
      </c>
      <c r="CI92" s="116">
        <f t="shared" si="13"/>
        <v>87</v>
      </c>
      <c r="CJ92" s="116">
        <f t="shared" si="13"/>
        <v>88</v>
      </c>
      <c r="CK92" s="116">
        <f t="shared" si="13"/>
        <v>89</v>
      </c>
      <c r="CL92" s="116">
        <f t="shared" si="13"/>
        <v>90</v>
      </c>
      <c r="CM92" s="116">
        <f t="shared" si="13"/>
        <v>91</v>
      </c>
      <c r="CN92" s="116">
        <f t="shared" si="13"/>
        <v>92</v>
      </c>
      <c r="CO92" s="116">
        <f t="shared" si="13"/>
        <v>93</v>
      </c>
      <c r="CP92" s="116">
        <f t="shared" si="13"/>
        <v>94</v>
      </c>
      <c r="CQ92" s="116">
        <f t="shared" si="13"/>
        <v>95</v>
      </c>
      <c r="CR92" s="116">
        <f t="shared" si="13"/>
        <v>96</v>
      </c>
      <c r="CS92" s="116">
        <f t="shared" si="13"/>
        <v>97</v>
      </c>
      <c r="CT92" s="116">
        <f t="shared" si="13"/>
        <v>98</v>
      </c>
      <c r="CU92" s="116">
        <f t="shared" si="13"/>
        <v>99</v>
      </c>
      <c r="CV92" s="116">
        <f t="shared" si="13"/>
        <v>100</v>
      </c>
      <c r="CW92" s="116">
        <f t="shared" si="13"/>
        <v>101</v>
      </c>
      <c r="CX92" s="116">
        <f t="shared" si="13"/>
        <v>102</v>
      </c>
      <c r="CY92" s="116">
        <f t="shared" si="13"/>
        <v>103</v>
      </c>
      <c r="CZ92" s="116">
        <f t="shared" si="13"/>
        <v>104</v>
      </c>
      <c r="DA92" s="116">
        <f t="shared" si="13"/>
        <v>105</v>
      </c>
      <c r="DB92" s="116">
        <f t="shared" si="13"/>
        <v>106</v>
      </c>
      <c r="DC92" s="116">
        <f t="shared" si="13"/>
        <v>107</v>
      </c>
      <c r="DD92" s="116">
        <f t="shared" si="13"/>
        <v>108</v>
      </c>
      <c r="DE92" s="116">
        <f t="shared" si="13"/>
        <v>109</v>
      </c>
      <c r="DF92" s="116">
        <f t="shared" si="13"/>
        <v>110</v>
      </c>
      <c r="DG92" s="116">
        <f t="shared" si="13"/>
        <v>111</v>
      </c>
      <c r="DH92" s="116">
        <f t="shared" si="13"/>
        <v>112</v>
      </c>
      <c r="DI92" s="116">
        <f t="shared" si="13"/>
        <v>113</v>
      </c>
      <c r="DJ92" s="116">
        <f t="shared" si="13"/>
        <v>114</v>
      </c>
      <c r="DK92" s="116">
        <f t="shared" si="13"/>
        <v>115</v>
      </c>
      <c r="DL92" s="116">
        <f t="shared" si="13"/>
        <v>116</v>
      </c>
      <c r="DM92" s="116">
        <f t="shared" si="13"/>
        <v>117</v>
      </c>
      <c r="DN92" s="116">
        <f t="shared" si="13"/>
        <v>118</v>
      </c>
      <c r="DO92" s="116">
        <f t="shared" si="13"/>
        <v>119</v>
      </c>
      <c r="DP92" s="116">
        <f t="shared" si="13"/>
        <v>120</v>
      </c>
      <c r="DQ92" s="116">
        <f t="shared" si="13"/>
        <v>121</v>
      </c>
      <c r="DR92" s="116">
        <f t="shared" si="13"/>
        <v>122</v>
      </c>
      <c r="DS92" s="116">
        <f t="shared" si="13"/>
        <v>123</v>
      </c>
      <c r="DT92" s="116">
        <f t="shared" si="13"/>
        <v>124</v>
      </c>
      <c r="DU92" s="116">
        <f t="shared" si="13"/>
        <v>125</v>
      </c>
      <c r="DV92" s="116">
        <f t="shared" si="13"/>
        <v>126</v>
      </c>
      <c r="DW92" s="116">
        <f t="shared" si="13"/>
        <v>127</v>
      </c>
      <c r="DX92" s="116">
        <f t="shared" si="13"/>
        <v>128</v>
      </c>
      <c r="DY92" s="116">
        <f t="shared" si="13"/>
        <v>129</v>
      </c>
      <c r="DZ92" s="116">
        <f t="shared" ref="DZ92:GK92" si="14">DY92+1</f>
        <v>130</v>
      </c>
      <c r="EA92" s="116">
        <f t="shared" si="14"/>
        <v>131</v>
      </c>
      <c r="EB92" s="116">
        <f t="shared" si="14"/>
        <v>132</v>
      </c>
      <c r="EC92" s="116">
        <f t="shared" si="14"/>
        <v>133</v>
      </c>
      <c r="ED92" s="116">
        <f t="shared" si="14"/>
        <v>134</v>
      </c>
      <c r="EE92" s="116">
        <f t="shared" si="14"/>
        <v>135</v>
      </c>
      <c r="EF92" s="116">
        <f t="shared" si="14"/>
        <v>136</v>
      </c>
      <c r="EG92" s="116">
        <f t="shared" si="14"/>
        <v>137</v>
      </c>
      <c r="EH92" s="116">
        <f t="shared" si="14"/>
        <v>138</v>
      </c>
      <c r="EI92" s="116">
        <f t="shared" si="14"/>
        <v>139</v>
      </c>
      <c r="EJ92" s="116">
        <f t="shared" si="14"/>
        <v>140</v>
      </c>
      <c r="EK92" s="116">
        <f t="shared" si="14"/>
        <v>141</v>
      </c>
      <c r="EL92" s="116">
        <f t="shared" si="14"/>
        <v>142</v>
      </c>
      <c r="EM92" s="116">
        <f t="shared" si="14"/>
        <v>143</v>
      </c>
      <c r="EN92" s="116">
        <f t="shared" si="14"/>
        <v>144</v>
      </c>
      <c r="EO92" s="116">
        <f t="shared" si="14"/>
        <v>145</v>
      </c>
      <c r="EP92" s="116">
        <f t="shared" si="14"/>
        <v>146</v>
      </c>
      <c r="EQ92" s="116">
        <f t="shared" si="14"/>
        <v>147</v>
      </c>
      <c r="ER92" s="116">
        <f t="shared" si="14"/>
        <v>148</v>
      </c>
      <c r="ES92" s="116">
        <f t="shared" si="14"/>
        <v>149</v>
      </c>
      <c r="ET92" s="116">
        <f t="shared" si="14"/>
        <v>150</v>
      </c>
      <c r="EU92" s="116">
        <f t="shared" si="14"/>
        <v>151</v>
      </c>
      <c r="EV92" s="116">
        <f t="shared" si="14"/>
        <v>152</v>
      </c>
      <c r="EW92" s="116">
        <f t="shared" si="14"/>
        <v>153</v>
      </c>
      <c r="EX92" s="116">
        <f t="shared" si="14"/>
        <v>154</v>
      </c>
      <c r="EY92" s="116">
        <f t="shared" si="14"/>
        <v>155</v>
      </c>
      <c r="EZ92" s="116">
        <f t="shared" si="14"/>
        <v>156</v>
      </c>
      <c r="FA92" s="116">
        <f t="shared" si="14"/>
        <v>157</v>
      </c>
      <c r="FB92" s="116">
        <f t="shared" si="14"/>
        <v>158</v>
      </c>
      <c r="FC92" s="116">
        <f t="shared" si="14"/>
        <v>159</v>
      </c>
      <c r="FD92" s="116">
        <f t="shared" si="14"/>
        <v>160</v>
      </c>
      <c r="FE92" s="116">
        <f t="shared" si="14"/>
        <v>161</v>
      </c>
      <c r="FF92" s="116">
        <f t="shared" si="14"/>
        <v>162</v>
      </c>
      <c r="FG92" s="116">
        <f t="shared" si="14"/>
        <v>163</v>
      </c>
      <c r="FH92" s="116">
        <f t="shared" si="14"/>
        <v>164</v>
      </c>
      <c r="FI92" s="116">
        <f t="shared" si="14"/>
        <v>165</v>
      </c>
      <c r="FJ92" s="116">
        <f t="shared" si="14"/>
        <v>166</v>
      </c>
      <c r="FK92" s="116">
        <f t="shared" si="14"/>
        <v>167</v>
      </c>
      <c r="FL92" s="116">
        <f t="shared" si="14"/>
        <v>168</v>
      </c>
      <c r="FM92" s="116">
        <f t="shared" si="14"/>
        <v>169</v>
      </c>
      <c r="FN92" s="116">
        <f t="shared" si="14"/>
        <v>170</v>
      </c>
      <c r="FO92" s="116">
        <f t="shared" si="14"/>
        <v>171</v>
      </c>
      <c r="FP92" s="116">
        <f t="shared" si="14"/>
        <v>172</v>
      </c>
      <c r="FQ92" s="116">
        <f t="shared" si="14"/>
        <v>173</v>
      </c>
      <c r="FR92" s="116">
        <f t="shared" si="14"/>
        <v>174</v>
      </c>
      <c r="FS92" s="116">
        <f t="shared" si="14"/>
        <v>175</v>
      </c>
      <c r="FT92" s="116">
        <f t="shared" si="14"/>
        <v>176</v>
      </c>
      <c r="FU92" s="116">
        <f t="shared" si="14"/>
        <v>177</v>
      </c>
      <c r="FV92" s="116">
        <f t="shared" si="14"/>
        <v>178</v>
      </c>
      <c r="FW92" s="116">
        <f t="shared" si="14"/>
        <v>179</v>
      </c>
      <c r="FX92" s="116">
        <f t="shared" si="14"/>
        <v>180</v>
      </c>
      <c r="FY92" s="116">
        <f t="shared" si="14"/>
        <v>181</v>
      </c>
      <c r="FZ92" s="116">
        <f t="shared" si="14"/>
        <v>182</v>
      </c>
      <c r="GA92" s="116">
        <f t="shared" si="14"/>
        <v>183</v>
      </c>
      <c r="GB92" s="116">
        <f t="shared" si="14"/>
        <v>184</v>
      </c>
      <c r="GC92" s="116">
        <f t="shared" si="14"/>
        <v>185</v>
      </c>
      <c r="GD92" s="116">
        <f t="shared" si="14"/>
        <v>186</v>
      </c>
      <c r="GE92" s="116">
        <f t="shared" si="14"/>
        <v>187</v>
      </c>
      <c r="GF92" s="116">
        <f t="shared" si="14"/>
        <v>188</v>
      </c>
      <c r="GG92" s="116">
        <f t="shared" si="14"/>
        <v>189</v>
      </c>
      <c r="GH92" s="116">
        <f t="shared" si="14"/>
        <v>190</v>
      </c>
      <c r="GI92" s="116">
        <f t="shared" si="14"/>
        <v>191</v>
      </c>
      <c r="GJ92" s="116">
        <f t="shared" si="14"/>
        <v>192</v>
      </c>
      <c r="GK92" s="116">
        <f t="shared" si="14"/>
        <v>193</v>
      </c>
      <c r="GL92" s="116">
        <f t="shared" ref="GL92:IW92" si="15">GK92+1</f>
        <v>194</v>
      </c>
      <c r="GM92" s="116">
        <f t="shared" si="15"/>
        <v>195</v>
      </c>
      <c r="GN92" s="116">
        <f t="shared" si="15"/>
        <v>196</v>
      </c>
      <c r="GO92" s="116">
        <f t="shared" si="15"/>
        <v>197</v>
      </c>
      <c r="GP92" s="116">
        <f t="shared" si="15"/>
        <v>198</v>
      </c>
      <c r="GQ92" s="116">
        <f t="shared" si="15"/>
        <v>199</v>
      </c>
      <c r="GR92" s="116">
        <f t="shared" si="15"/>
        <v>200</v>
      </c>
      <c r="GS92" s="116">
        <f t="shared" si="15"/>
        <v>201</v>
      </c>
      <c r="GT92" s="116">
        <f t="shared" si="15"/>
        <v>202</v>
      </c>
      <c r="GU92" s="116">
        <f t="shared" si="15"/>
        <v>203</v>
      </c>
      <c r="GV92" s="116">
        <f t="shared" si="15"/>
        <v>204</v>
      </c>
      <c r="GW92" s="116">
        <f t="shared" si="15"/>
        <v>205</v>
      </c>
      <c r="GX92" s="116">
        <f t="shared" si="15"/>
        <v>206</v>
      </c>
      <c r="GY92" s="116">
        <f t="shared" si="15"/>
        <v>207</v>
      </c>
      <c r="GZ92" s="116">
        <f t="shared" si="15"/>
        <v>208</v>
      </c>
      <c r="HA92" s="116">
        <f t="shared" si="15"/>
        <v>209</v>
      </c>
      <c r="HB92" s="116">
        <f t="shared" si="15"/>
        <v>210</v>
      </c>
      <c r="HC92" s="116">
        <f t="shared" si="15"/>
        <v>211</v>
      </c>
      <c r="HD92" s="116">
        <f t="shared" si="15"/>
        <v>212</v>
      </c>
      <c r="HE92" s="116">
        <f t="shared" si="15"/>
        <v>213</v>
      </c>
      <c r="HF92" s="116">
        <f t="shared" si="15"/>
        <v>214</v>
      </c>
      <c r="HG92" s="116">
        <f t="shared" si="15"/>
        <v>215</v>
      </c>
      <c r="HH92" s="116">
        <f t="shared" si="15"/>
        <v>216</v>
      </c>
      <c r="HI92" s="116">
        <f t="shared" si="15"/>
        <v>217</v>
      </c>
      <c r="HJ92" s="116">
        <f t="shared" si="15"/>
        <v>218</v>
      </c>
      <c r="HK92" s="116">
        <f t="shared" si="15"/>
        <v>219</v>
      </c>
      <c r="HL92" s="116">
        <f t="shared" si="15"/>
        <v>220</v>
      </c>
      <c r="HM92" s="116">
        <f t="shared" si="15"/>
        <v>221</v>
      </c>
      <c r="HN92" s="116">
        <f t="shared" si="15"/>
        <v>222</v>
      </c>
      <c r="HO92" s="116">
        <f t="shared" si="15"/>
        <v>223</v>
      </c>
      <c r="HP92" s="116">
        <f t="shared" si="15"/>
        <v>224</v>
      </c>
      <c r="HQ92" s="116">
        <f t="shared" si="15"/>
        <v>225</v>
      </c>
      <c r="HR92" s="116">
        <f t="shared" si="15"/>
        <v>226</v>
      </c>
      <c r="HS92" s="116">
        <f t="shared" si="15"/>
        <v>227</v>
      </c>
      <c r="HT92" s="116">
        <f t="shared" si="15"/>
        <v>228</v>
      </c>
      <c r="HU92" s="116">
        <f t="shared" si="15"/>
        <v>229</v>
      </c>
      <c r="HV92" s="116">
        <f t="shared" si="15"/>
        <v>230</v>
      </c>
      <c r="HW92" s="116">
        <f t="shared" si="15"/>
        <v>231</v>
      </c>
      <c r="HX92" s="116">
        <f t="shared" si="15"/>
        <v>232</v>
      </c>
      <c r="HY92" s="116">
        <f t="shared" si="15"/>
        <v>233</v>
      </c>
      <c r="HZ92" s="116">
        <f t="shared" si="15"/>
        <v>234</v>
      </c>
      <c r="IA92" s="116">
        <f t="shared" si="15"/>
        <v>235</v>
      </c>
      <c r="IB92" s="116">
        <f t="shared" si="15"/>
        <v>236</v>
      </c>
      <c r="IC92" s="116">
        <f t="shared" si="15"/>
        <v>237</v>
      </c>
      <c r="ID92" s="116">
        <f t="shared" si="15"/>
        <v>238</v>
      </c>
      <c r="IE92" s="116">
        <f t="shared" si="15"/>
        <v>239</v>
      </c>
      <c r="IF92" s="116">
        <f t="shared" si="15"/>
        <v>240</v>
      </c>
      <c r="IG92" s="116">
        <f t="shared" si="15"/>
        <v>241</v>
      </c>
      <c r="IH92" s="116">
        <f t="shared" si="15"/>
        <v>242</v>
      </c>
      <c r="II92" s="116">
        <f t="shared" si="15"/>
        <v>243</v>
      </c>
      <c r="IJ92" s="116">
        <f t="shared" si="15"/>
        <v>244</v>
      </c>
      <c r="IK92" s="116">
        <f t="shared" si="15"/>
        <v>245</v>
      </c>
      <c r="IL92" s="116">
        <f t="shared" si="15"/>
        <v>246</v>
      </c>
      <c r="IM92" s="116">
        <f t="shared" si="15"/>
        <v>247</v>
      </c>
      <c r="IN92" s="116">
        <f t="shared" si="15"/>
        <v>248</v>
      </c>
      <c r="IO92" s="116">
        <f t="shared" si="15"/>
        <v>249</v>
      </c>
      <c r="IP92" s="116">
        <f t="shared" si="15"/>
        <v>250</v>
      </c>
      <c r="IQ92" s="116">
        <f t="shared" si="15"/>
        <v>251</v>
      </c>
      <c r="IR92" s="116">
        <f t="shared" si="15"/>
        <v>252</v>
      </c>
      <c r="IS92" s="116">
        <f t="shared" si="15"/>
        <v>253</v>
      </c>
      <c r="IT92" s="116">
        <f t="shared" si="15"/>
        <v>254</v>
      </c>
      <c r="IU92" s="116">
        <f t="shared" si="15"/>
        <v>255</v>
      </c>
      <c r="IV92" s="116">
        <f t="shared" si="15"/>
        <v>256</v>
      </c>
      <c r="IW92" s="116">
        <f t="shared" si="15"/>
        <v>257</v>
      </c>
      <c r="IX92" s="116">
        <f t="shared" ref="IX92:JX92" si="16">IW92+1</f>
        <v>258</v>
      </c>
      <c r="IY92" s="116">
        <f t="shared" si="16"/>
        <v>259</v>
      </c>
      <c r="IZ92" s="116">
        <f t="shared" si="16"/>
        <v>260</v>
      </c>
      <c r="JA92" s="116">
        <f t="shared" si="16"/>
        <v>261</v>
      </c>
      <c r="JB92" s="116">
        <f t="shared" si="16"/>
        <v>262</v>
      </c>
      <c r="JC92" s="116">
        <f t="shared" si="16"/>
        <v>263</v>
      </c>
      <c r="JD92" s="116">
        <f t="shared" si="16"/>
        <v>264</v>
      </c>
      <c r="JE92" s="116">
        <f t="shared" si="16"/>
        <v>265</v>
      </c>
      <c r="JF92" s="116">
        <f t="shared" si="16"/>
        <v>266</v>
      </c>
      <c r="JG92" s="116">
        <f t="shared" si="16"/>
        <v>267</v>
      </c>
      <c r="JH92" s="116">
        <f t="shared" si="16"/>
        <v>268</v>
      </c>
      <c r="JI92" s="116">
        <f t="shared" si="16"/>
        <v>269</v>
      </c>
      <c r="JJ92" s="116">
        <f t="shared" si="16"/>
        <v>270</v>
      </c>
      <c r="JK92" s="116">
        <f t="shared" si="16"/>
        <v>271</v>
      </c>
      <c r="JL92" s="116">
        <f t="shared" si="16"/>
        <v>272</v>
      </c>
      <c r="JM92" s="116">
        <f t="shared" si="16"/>
        <v>273</v>
      </c>
      <c r="JN92" s="116">
        <f t="shared" si="16"/>
        <v>274</v>
      </c>
      <c r="JO92" s="116">
        <f t="shared" si="16"/>
        <v>275</v>
      </c>
      <c r="JP92" s="116">
        <f t="shared" si="16"/>
        <v>276</v>
      </c>
      <c r="JQ92" s="116">
        <f t="shared" si="16"/>
        <v>277</v>
      </c>
      <c r="JR92" s="116">
        <f t="shared" si="16"/>
        <v>278</v>
      </c>
      <c r="JS92" s="116">
        <f t="shared" si="16"/>
        <v>279</v>
      </c>
      <c r="JT92" s="116">
        <f t="shared" si="16"/>
        <v>280</v>
      </c>
      <c r="JU92" s="116">
        <f t="shared" si="16"/>
        <v>281</v>
      </c>
      <c r="JV92" s="116">
        <f t="shared" si="16"/>
        <v>282</v>
      </c>
      <c r="JW92" s="116">
        <f t="shared" si="16"/>
        <v>283</v>
      </c>
      <c r="JX92" s="116">
        <f t="shared" si="16"/>
        <v>284</v>
      </c>
      <c r="JY92" s="116">
        <f t="shared" ref="JY92" si="17">JX92+1</f>
        <v>285</v>
      </c>
      <c r="JZ92" s="116">
        <f t="shared" ref="JZ92" si="18">JY92+1</f>
        <v>286</v>
      </c>
      <c r="KA92" s="116">
        <f t="shared" ref="KA92" si="19">JZ92+1</f>
        <v>287</v>
      </c>
      <c r="KB92" s="116">
        <f t="shared" ref="KB92" si="20">KA92+1</f>
        <v>288</v>
      </c>
      <c r="KC92" s="116">
        <f t="shared" ref="KC92" si="21">KB92+1</f>
        <v>289</v>
      </c>
      <c r="KD92" s="116">
        <f t="shared" ref="KD92" si="22">KC92+1</f>
        <v>290</v>
      </c>
      <c r="KE92" s="116">
        <f t="shared" ref="KE92" si="23">KD92+1</f>
        <v>291</v>
      </c>
      <c r="KF92" s="116">
        <f t="shared" ref="KF92" si="24">KE92+1</f>
        <v>292</v>
      </c>
      <c r="KG92" s="116">
        <f t="shared" ref="KG92" si="25">KF92+1</f>
        <v>293</v>
      </c>
      <c r="KH92" s="116">
        <f t="shared" ref="KH92" si="26">KG92+1</f>
        <v>294</v>
      </c>
      <c r="KI92" s="116">
        <f t="shared" ref="KI92" si="27">KH92+1</f>
        <v>295</v>
      </c>
      <c r="KJ92" s="116">
        <f t="shared" ref="KJ92" si="28">KI92+1</f>
        <v>296</v>
      </c>
      <c r="KK92" s="116">
        <f t="shared" ref="KK92" si="29">KJ92+1</f>
        <v>297</v>
      </c>
      <c r="KL92" s="116">
        <f t="shared" ref="KL92" si="30">KK92+1</f>
        <v>298</v>
      </c>
      <c r="KM92" s="116">
        <f t="shared" ref="KM92" si="31">KL92+1</f>
        <v>299</v>
      </c>
      <c r="KN92" s="116">
        <f t="shared" ref="KN92" si="32">KM92+1</f>
        <v>300</v>
      </c>
      <c r="KO92" s="116">
        <f t="shared" ref="KO92" si="33">KN92+1</f>
        <v>301</v>
      </c>
      <c r="KP92" s="116">
        <f>KQ92+1</f>
        <v>303</v>
      </c>
      <c r="KQ92" s="116">
        <f t="shared" ref="KQ92" si="34">KO92+1</f>
        <v>302</v>
      </c>
      <c r="KR92" s="116">
        <f>KP92+1</f>
        <v>304</v>
      </c>
      <c r="KS92" s="116">
        <f t="shared" ref="KS92" si="35">KR92+1</f>
        <v>305</v>
      </c>
      <c r="KT92" s="116">
        <f t="shared" ref="KT92" si="36">KS92+1</f>
        <v>306</v>
      </c>
      <c r="KU92" s="116">
        <f t="shared" ref="KU92" si="37">KT92+1</f>
        <v>307</v>
      </c>
      <c r="KV92" s="116">
        <f t="shared" ref="KV92" si="38">KU92+1</f>
        <v>308</v>
      </c>
    </row>
    <row r="93" spans="1:308" s="57" customFormat="1" ht="15" outlineLevel="1">
      <c r="A93" s="98" t="s">
        <v>529</v>
      </c>
      <c r="D93" s="339"/>
      <c r="E93" s="57">
        <f>Input!A77</f>
        <v>77</v>
      </c>
      <c r="F93" s="57">
        <f>Input!A101</f>
        <v>101</v>
      </c>
      <c r="G93" s="57">
        <f>Input!A102</f>
        <v>102</v>
      </c>
      <c r="H93" s="57">
        <f>Input!A103</f>
        <v>103</v>
      </c>
      <c r="I93" s="57">
        <f>Input!A104</f>
        <v>104</v>
      </c>
      <c r="J93" s="57">
        <f>Input!A79</f>
        <v>79</v>
      </c>
      <c r="K93" s="57">
        <f>J93+1</f>
        <v>80</v>
      </c>
      <c r="L93" s="57">
        <f t="shared" si="11"/>
        <v>81</v>
      </c>
      <c r="M93" s="57">
        <f t="shared" si="11"/>
        <v>82</v>
      </c>
      <c r="N93" s="57">
        <f t="shared" si="11"/>
        <v>83</v>
      </c>
      <c r="O93" s="331">
        <f>Input!A84</f>
        <v>84</v>
      </c>
      <c r="P93" s="331">
        <f>Input!A85</f>
        <v>85</v>
      </c>
      <c r="Q93" s="331">
        <f>Input!A88</f>
        <v>88</v>
      </c>
      <c r="R93" s="331">
        <f t="shared" si="11"/>
        <v>89</v>
      </c>
      <c r="S93" s="331">
        <f t="shared" si="11"/>
        <v>90</v>
      </c>
      <c r="T93" s="331">
        <f t="shared" si="11"/>
        <v>91</v>
      </c>
      <c r="U93" s="331">
        <f t="shared" si="11"/>
        <v>92</v>
      </c>
      <c r="V93" s="331">
        <f t="shared" si="11"/>
        <v>93</v>
      </c>
      <c r="W93" s="331">
        <f>Input!A94</f>
        <v>94</v>
      </c>
      <c r="X93" s="331">
        <f>Input!A95</f>
        <v>95</v>
      </c>
      <c r="Y93" s="57">
        <f>Input!A99</f>
        <v>99</v>
      </c>
      <c r="Z93" s="57">
        <f>Input!A106</f>
        <v>106</v>
      </c>
      <c r="AA93" s="57">
        <f>Input!A108</f>
        <v>108</v>
      </c>
      <c r="AB93" s="57">
        <f>AA93+1</f>
        <v>109</v>
      </c>
      <c r="AC93" s="57">
        <f>Input!A111</f>
        <v>111</v>
      </c>
      <c r="AD93" s="57">
        <f>AC93+1</f>
        <v>112</v>
      </c>
      <c r="AE93" s="57">
        <f>Input!A114</f>
        <v>114</v>
      </c>
      <c r="AF93" s="57">
        <f>AE93+1</f>
        <v>115</v>
      </c>
      <c r="AG93" s="57">
        <f>Input!A117</f>
        <v>117</v>
      </c>
      <c r="AH93" s="57">
        <f>AG93+1</f>
        <v>118</v>
      </c>
      <c r="AI93" s="57">
        <f>Input!A120</f>
        <v>120</v>
      </c>
      <c r="AJ93" s="57">
        <f>AI93+1</f>
        <v>121</v>
      </c>
      <c r="AK93" s="57">
        <f>Input!A98</f>
        <v>98</v>
      </c>
      <c r="AL93" s="57">
        <f>Input!A98</f>
        <v>98</v>
      </c>
      <c r="AM93" s="57" t="s">
        <v>530</v>
      </c>
      <c r="AN93" s="57" t="s">
        <v>530</v>
      </c>
      <c r="AO93" s="57" t="s">
        <v>530</v>
      </c>
      <c r="AP93" s="57" t="s">
        <v>530</v>
      </c>
      <c r="AQ93" s="57" t="s">
        <v>530</v>
      </c>
      <c r="AR93" s="57" t="s">
        <v>530</v>
      </c>
      <c r="AS93" s="59"/>
      <c r="AT93" s="57" t="s">
        <v>530</v>
      </c>
      <c r="AU93" s="57" t="s">
        <v>530</v>
      </c>
      <c r="AV93" s="57" t="s">
        <v>530</v>
      </c>
      <c r="AW93" s="57">
        <f>Input!A7</f>
        <v>7</v>
      </c>
      <c r="AX93" s="57">
        <f>Input!A11</f>
        <v>11</v>
      </c>
      <c r="AY93" s="57">
        <f>Input!A8</f>
        <v>8</v>
      </c>
      <c r="AZ93" s="57">
        <f>Input!A12</f>
        <v>12</v>
      </c>
      <c r="BA93" s="57">
        <f>Input!A9</f>
        <v>9</v>
      </c>
      <c r="BB93" s="57">
        <f>Input!A10</f>
        <v>10</v>
      </c>
      <c r="BC93" s="57">
        <f>Input!A31</f>
        <v>31</v>
      </c>
      <c r="BD93" s="57">
        <f>Input!A34</f>
        <v>34</v>
      </c>
      <c r="BE93" s="57">
        <f>BD93+1</f>
        <v>35</v>
      </c>
      <c r="BF93" s="57">
        <f t="shared" si="11"/>
        <v>36</v>
      </c>
      <c r="BG93" s="57">
        <f t="shared" si="11"/>
        <v>37</v>
      </c>
      <c r="BH93" s="57">
        <f t="shared" si="11"/>
        <v>38</v>
      </c>
      <c r="BI93" s="57">
        <f>Input!A40</f>
        <v>40</v>
      </c>
      <c r="BJ93" s="57">
        <f>BI93+1</f>
        <v>41</v>
      </c>
      <c r="BK93" s="57">
        <f t="shared" si="11"/>
        <v>42</v>
      </c>
      <c r="BL93" s="57">
        <f t="shared" si="11"/>
        <v>43</v>
      </c>
      <c r="BM93" s="57">
        <f t="shared" si="11"/>
        <v>44</v>
      </c>
      <c r="BN93" s="57">
        <f>Input!A46</f>
        <v>46</v>
      </c>
      <c r="BO93" s="57">
        <f>BN93+1</f>
        <v>47</v>
      </c>
      <c r="BP93" s="57">
        <f t="shared" si="13"/>
        <v>48</v>
      </c>
      <c r="BQ93" s="57">
        <f t="shared" si="13"/>
        <v>49</v>
      </c>
      <c r="BR93" s="57">
        <f t="shared" si="13"/>
        <v>50</v>
      </c>
      <c r="BS93" s="57">
        <f>Input!A52</f>
        <v>52</v>
      </c>
      <c r="BT93" s="57">
        <f>BS93+1</f>
        <v>53</v>
      </c>
      <c r="BU93" s="57">
        <f t="shared" si="13"/>
        <v>54</v>
      </c>
      <c r="BV93" s="57">
        <f t="shared" si="13"/>
        <v>55</v>
      </c>
      <c r="BW93" s="57">
        <f t="shared" si="13"/>
        <v>56</v>
      </c>
      <c r="BX93" s="57">
        <f>Input!A15</f>
        <v>15</v>
      </c>
      <c r="BY93" s="57">
        <f>Input!A58</f>
        <v>58</v>
      </c>
      <c r="BZ93" s="57">
        <f t="shared" si="13"/>
        <v>59</v>
      </c>
      <c r="CA93" s="57">
        <f t="shared" si="13"/>
        <v>60</v>
      </c>
      <c r="CB93" s="57">
        <f t="shared" si="13"/>
        <v>61</v>
      </c>
      <c r="CC93" s="57">
        <f t="shared" si="13"/>
        <v>62</v>
      </c>
      <c r="CD93" s="57">
        <f>Input!A64</f>
        <v>64</v>
      </c>
      <c r="CE93" s="57">
        <f t="shared" si="13"/>
        <v>65</v>
      </c>
      <c r="CF93" s="57">
        <f t="shared" si="13"/>
        <v>66</v>
      </c>
      <c r="CG93" s="57">
        <f t="shared" si="13"/>
        <v>67</v>
      </c>
      <c r="CH93" s="57">
        <f t="shared" si="13"/>
        <v>68</v>
      </c>
      <c r="CI93" s="57" t="s">
        <v>530</v>
      </c>
      <c r="CJ93" s="57">
        <f>Input!A33</f>
        <v>33</v>
      </c>
      <c r="CK93" s="57" t="s">
        <v>530</v>
      </c>
      <c r="CL93" s="57" t="s">
        <v>530</v>
      </c>
      <c r="CM93" s="57" t="s">
        <v>530</v>
      </c>
      <c r="CN93" s="57" t="s">
        <v>530</v>
      </c>
      <c r="CO93" s="57" t="s">
        <v>530</v>
      </c>
      <c r="CP93" s="57" t="s">
        <v>530</v>
      </c>
      <c r="CQ93" s="57" t="s">
        <v>530</v>
      </c>
      <c r="CR93" s="57" t="s">
        <v>530</v>
      </c>
      <c r="CS93" s="57" t="s">
        <v>530</v>
      </c>
      <c r="CT93" s="57" t="s">
        <v>530</v>
      </c>
      <c r="CU93" s="57" t="s">
        <v>530</v>
      </c>
      <c r="CV93" s="57" t="s">
        <v>530</v>
      </c>
      <c r="CW93" s="57" t="s">
        <v>530</v>
      </c>
      <c r="CX93" s="57" t="s">
        <v>530</v>
      </c>
      <c r="CY93" s="57" t="s">
        <v>530</v>
      </c>
      <c r="CZ93" s="57" t="s">
        <v>530</v>
      </c>
      <c r="DA93" s="57" t="s">
        <v>530</v>
      </c>
      <c r="DB93" s="57" t="s">
        <v>530</v>
      </c>
      <c r="DC93" s="57" t="s">
        <v>530</v>
      </c>
      <c r="DD93" s="57" t="s">
        <v>530</v>
      </c>
      <c r="DE93" s="57" t="s">
        <v>530</v>
      </c>
      <c r="DF93" s="57" t="s">
        <v>530</v>
      </c>
      <c r="DG93" s="57" t="s">
        <v>530</v>
      </c>
      <c r="DH93" s="57" t="s">
        <v>530</v>
      </c>
      <c r="DI93" s="57" t="s">
        <v>530</v>
      </c>
      <c r="DJ93" s="57" t="s">
        <v>530</v>
      </c>
      <c r="DK93" s="57" t="s">
        <v>530</v>
      </c>
      <c r="DL93" s="57" t="s">
        <v>530</v>
      </c>
      <c r="DM93" s="57">
        <f>Input!A16</f>
        <v>16</v>
      </c>
      <c r="DN93" s="57" t="s">
        <v>530</v>
      </c>
      <c r="DO93" s="57" t="s">
        <v>530</v>
      </c>
      <c r="DP93" s="57" t="s">
        <v>530</v>
      </c>
      <c r="DQ93" s="57" t="s">
        <v>530</v>
      </c>
      <c r="DR93" s="57" t="s">
        <v>530</v>
      </c>
      <c r="DS93" s="57">
        <f>Input!A70</f>
        <v>70</v>
      </c>
      <c r="DT93" s="57">
        <f>DS93+1</f>
        <v>71</v>
      </c>
      <c r="DU93" s="57">
        <f t="shared" si="13"/>
        <v>72</v>
      </c>
      <c r="DV93" s="57">
        <f t="shared" si="13"/>
        <v>73</v>
      </c>
      <c r="DW93" s="57">
        <f t="shared" si="13"/>
        <v>74</v>
      </c>
      <c r="DX93" s="59"/>
      <c r="HI93" s="123"/>
      <c r="HL93" s="123"/>
      <c r="HM93" s="59"/>
      <c r="HN93" s="59"/>
      <c r="HO93" s="59"/>
      <c r="HP93" s="123"/>
      <c r="HQ93" s="123"/>
      <c r="HR93" s="123"/>
      <c r="HS93" s="59"/>
      <c r="HT93" s="59"/>
      <c r="HU93" s="59"/>
      <c r="HV93" s="123"/>
      <c r="HW93" s="123"/>
      <c r="HX93" s="123"/>
      <c r="HY93" s="59">
        <f>Input!A26</f>
        <v>26</v>
      </c>
      <c r="HZ93" s="59">
        <f>HY93+1</f>
        <v>27</v>
      </c>
      <c r="IA93" s="59">
        <f>HZ93+1</f>
        <v>28</v>
      </c>
      <c r="IB93" s="123"/>
      <c r="IC93" s="123"/>
      <c r="ID93" s="123"/>
      <c r="IE93" s="123"/>
      <c r="IF93" s="123"/>
      <c r="IG93" s="123"/>
      <c r="IH93" s="123"/>
      <c r="II93" s="59"/>
      <c r="IJ93" s="59"/>
      <c r="IK93" s="59"/>
      <c r="IL93" s="123"/>
      <c r="IM93" s="123"/>
      <c r="IN93" s="123"/>
      <c r="IO93" s="59">
        <f>Input!A101</f>
        <v>101</v>
      </c>
      <c r="IP93" s="59">
        <f>Input!A102</f>
        <v>102</v>
      </c>
      <c r="IQ93" s="59">
        <f>Input!A103</f>
        <v>103</v>
      </c>
      <c r="IR93" s="123"/>
      <c r="IS93" s="123"/>
      <c r="IT93" s="123"/>
      <c r="IU93" s="123"/>
      <c r="IV93" s="123"/>
      <c r="IW93" s="123"/>
      <c r="IX93" s="59">
        <f>Input!A21</f>
        <v>21</v>
      </c>
      <c r="IY93" s="59">
        <f>IX93+1</f>
        <v>22</v>
      </c>
      <c r="IZ93" s="59">
        <f>IY93+1</f>
        <v>23</v>
      </c>
      <c r="JA93" s="123"/>
      <c r="JB93" s="123"/>
      <c r="JC93" s="123"/>
      <c r="JD93" s="123"/>
      <c r="JE93" s="123"/>
      <c r="JF93" s="59"/>
      <c r="JG93" s="59">
        <f>Input!A29</f>
        <v>29</v>
      </c>
      <c r="JH93" s="59"/>
      <c r="JI93" s="59"/>
      <c r="JJ93" s="337"/>
      <c r="JK93" s="123"/>
      <c r="JL93" s="123"/>
      <c r="JM93" s="123"/>
      <c r="JN93" s="123"/>
      <c r="JO93" s="59">
        <f>Input!A17</f>
        <v>17</v>
      </c>
      <c r="JP93" s="59">
        <f>Input!A20</f>
        <v>20</v>
      </c>
      <c r="JQ93" s="123"/>
      <c r="JR93" s="123"/>
      <c r="JS93" s="123"/>
      <c r="JT93" s="123"/>
      <c r="JU93" s="123">
        <f>Input!A18</f>
        <v>18</v>
      </c>
      <c r="JV93" s="123"/>
      <c r="JW93" s="123"/>
      <c r="JX93" s="123"/>
      <c r="JY93" s="123"/>
      <c r="KL93" s="116"/>
    </row>
    <row r="94" spans="1:308" s="56" customFormat="1" ht="15.75" customHeight="1" outlineLevel="1">
      <c r="AS94" s="60"/>
      <c r="AT94" s="57"/>
      <c r="AU94" s="98"/>
      <c r="AV94" s="98"/>
      <c r="AW94" s="98"/>
      <c r="AX94" s="98"/>
      <c r="AY94" s="98"/>
      <c r="AZ94" s="98"/>
      <c r="BA94" s="98"/>
      <c r="BB94" s="98"/>
      <c r="BC94" s="98"/>
      <c r="BD94" s="98"/>
      <c r="BE94" s="98"/>
      <c r="BF94" s="98"/>
      <c r="BG94" s="98"/>
      <c r="BH94" s="98"/>
      <c r="BI94" s="98"/>
      <c r="BJ94" s="98"/>
      <c r="BK94" s="98"/>
      <c r="BL94" s="98"/>
      <c r="BM94" s="98"/>
      <c r="BN94" s="98"/>
      <c r="BO94" s="98"/>
      <c r="BP94" s="98"/>
      <c r="BQ94" s="98"/>
      <c r="BR94" s="98"/>
      <c r="BS94" s="98"/>
      <c r="BT94" s="98"/>
      <c r="BU94" s="98"/>
      <c r="BV94" s="98"/>
      <c r="BW94" s="98"/>
      <c r="BX94" s="98"/>
      <c r="BY94" s="98"/>
      <c r="BZ94" s="98"/>
      <c r="CA94" s="98"/>
      <c r="CB94" s="98"/>
      <c r="CC94" s="98"/>
      <c r="CD94" s="98"/>
      <c r="CE94" s="98"/>
      <c r="CF94" s="98"/>
      <c r="CG94" s="98"/>
      <c r="CH94" s="98"/>
      <c r="CI94" s="98"/>
      <c r="CJ94" s="98"/>
      <c r="CK94" s="98"/>
      <c r="CL94" s="98"/>
      <c r="CM94" s="98"/>
      <c r="CN94" s="98"/>
      <c r="CO94" s="98"/>
      <c r="CP94" s="98"/>
      <c r="CQ94" s="98"/>
      <c r="CR94" s="98"/>
      <c r="CS94" s="98"/>
      <c r="CT94" s="98"/>
      <c r="CU94" s="98"/>
      <c r="CV94" s="98"/>
      <c r="CW94" s="98"/>
      <c r="CX94" s="98"/>
      <c r="CY94" s="98"/>
      <c r="CZ94" s="98"/>
      <c r="DA94" s="98"/>
      <c r="DB94" s="98"/>
      <c r="DC94" s="98"/>
      <c r="DD94" s="98"/>
      <c r="DE94" s="98"/>
      <c r="DF94" s="98"/>
      <c r="DG94" s="98"/>
      <c r="DH94" s="98"/>
      <c r="DI94" s="98"/>
      <c r="DJ94" s="98"/>
      <c r="DK94" s="98"/>
      <c r="DL94" s="98"/>
      <c r="DM94" s="98"/>
      <c r="DN94" s="98"/>
      <c r="DO94" s="98"/>
      <c r="DP94" s="98"/>
      <c r="DQ94" s="98"/>
      <c r="DR94" s="98"/>
      <c r="DS94" s="98"/>
      <c r="DT94" s="98"/>
      <c r="DU94" s="98"/>
      <c r="DV94" s="98"/>
      <c r="DW94" s="98"/>
      <c r="DX94" s="574"/>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c r="EX94" s="57"/>
      <c r="EY94" s="57"/>
      <c r="EZ94" s="57"/>
      <c r="FA94" s="57"/>
      <c r="FB94" s="57"/>
      <c r="FC94" s="57"/>
      <c r="FD94" s="57"/>
      <c r="FE94" s="57"/>
      <c r="FF94" s="57"/>
      <c r="FG94" s="57"/>
      <c r="FH94" s="57"/>
      <c r="FI94" s="57"/>
      <c r="FJ94" s="57"/>
      <c r="FK94" s="57"/>
      <c r="FL94" s="57"/>
      <c r="FM94" s="57"/>
      <c r="FN94" s="57"/>
      <c r="FO94" s="57"/>
      <c r="FP94" s="57"/>
      <c r="FQ94" s="57"/>
      <c r="FR94" s="57"/>
      <c r="FS94" s="57"/>
      <c r="FT94" s="57"/>
      <c r="FU94" s="57"/>
      <c r="FV94" s="57"/>
      <c r="FW94" s="57"/>
      <c r="FX94" s="126"/>
      <c r="FY94" s="57"/>
      <c r="FZ94" s="57"/>
      <c r="GA94" s="57"/>
      <c r="GB94" s="57"/>
      <c r="GC94" s="57"/>
      <c r="GD94" s="57"/>
      <c r="GE94" s="57"/>
      <c r="GF94" s="57"/>
      <c r="GG94" s="57"/>
      <c r="GH94" s="57"/>
      <c r="GI94" s="57"/>
      <c r="GJ94" s="57"/>
      <c r="GK94" s="57"/>
      <c r="GL94" s="57"/>
      <c r="GM94" s="57"/>
      <c r="GV94" s="57"/>
      <c r="HB94" s="57"/>
      <c r="HH94" s="57"/>
      <c r="HI94" s="58"/>
      <c r="HJ94" s="57"/>
      <c r="HK94" s="57"/>
      <c r="HL94" s="58"/>
      <c r="HM94" s="59"/>
      <c r="HN94" s="59"/>
      <c r="HO94" s="59"/>
      <c r="HP94" s="123"/>
      <c r="HQ94" s="123"/>
      <c r="HR94" s="123"/>
      <c r="HS94" s="59"/>
      <c r="HT94" s="59"/>
      <c r="HU94" s="59"/>
      <c r="HV94" s="123"/>
      <c r="HW94" s="123"/>
      <c r="HX94" s="123"/>
      <c r="HY94" s="59"/>
      <c r="HZ94" s="59"/>
      <c r="IA94" s="59"/>
      <c r="IB94" s="123"/>
      <c r="IC94" s="123"/>
      <c r="ID94" s="123"/>
      <c r="IE94" s="63"/>
      <c r="IF94" s="123"/>
      <c r="IG94" s="123"/>
      <c r="IH94" s="60"/>
      <c r="II94" s="59"/>
      <c r="IJ94" s="59"/>
      <c r="IK94" s="59"/>
      <c r="IL94" s="123"/>
      <c r="IM94" s="123"/>
      <c r="IN94" s="123"/>
      <c r="IO94" s="59"/>
      <c r="IP94" s="59"/>
      <c r="IQ94" s="59"/>
      <c r="IR94" s="123"/>
      <c r="IS94" s="123"/>
      <c r="IT94" s="123"/>
      <c r="IU94" s="123"/>
      <c r="IV94" s="123"/>
      <c r="IW94" s="123"/>
      <c r="IX94" s="59">
        <f>Input!$A24</f>
        <v>24</v>
      </c>
      <c r="IY94" s="59">
        <f>Input!$A24</f>
        <v>24</v>
      </c>
      <c r="IZ94" s="59">
        <f>Input!$A24</f>
        <v>24</v>
      </c>
      <c r="JA94" s="123"/>
      <c r="JB94" s="123"/>
      <c r="JC94" s="123"/>
      <c r="JD94" s="123"/>
      <c r="JE94" s="60"/>
      <c r="JF94" s="119"/>
      <c r="JG94" s="59"/>
      <c r="JH94" s="59"/>
      <c r="JI94" s="59"/>
      <c r="JJ94" s="332"/>
      <c r="JK94" s="59"/>
      <c r="JL94" s="123"/>
      <c r="JM94" s="64"/>
      <c r="JN94" s="60"/>
      <c r="JO94" s="59"/>
      <c r="JP94" s="59"/>
      <c r="JQ94" s="64"/>
      <c r="JR94" s="64"/>
      <c r="JS94" s="64"/>
      <c r="JT94" s="123"/>
      <c r="JU94" s="123"/>
      <c r="JV94" s="123"/>
      <c r="JW94" s="123"/>
      <c r="JX94" s="123"/>
      <c r="JY94" s="58"/>
      <c r="KL94" s="116"/>
      <c r="KU94" s="569"/>
    </row>
    <row r="95" spans="1:308" s="56" customFormat="1" ht="15.75" customHeight="1">
      <c r="AS95" s="60"/>
      <c r="AT95" s="57"/>
      <c r="AU95" s="98"/>
      <c r="AV95" s="98"/>
      <c r="AW95" s="98"/>
      <c r="AX95" s="98"/>
      <c r="AY95" s="98"/>
      <c r="AZ95" s="98"/>
      <c r="BA95" s="98"/>
      <c r="BB95" s="98"/>
      <c r="BC95" s="98"/>
      <c r="BD95" s="98"/>
      <c r="BE95" s="98"/>
      <c r="BF95" s="98"/>
      <c r="BG95" s="98"/>
      <c r="BH95" s="98"/>
      <c r="BI95" s="98"/>
      <c r="BJ95" s="98"/>
      <c r="BK95" s="98"/>
      <c r="BL95" s="98"/>
      <c r="BM95" s="98"/>
      <c r="BN95" s="98"/>
      <c r="BO95" s="98"/>
      <c r="BP95" s="98"/>
      <c r="BQ95" s="98"/>
      <c r="BR95" s="98"/>
      <c r="BS95" s="98"/>
      <c r="BT95" s="98"/>
      <c r="BU95" s="98"/>
      <c r="BV95" s="98"/>
      <c r="BW95" s="98"/>
      <c r="BX95" s="98"/>
      <c r="BY95" s="98"/>
      <c r="BZ95" s="98"/>
      <c r="CA95" s="98"/>
      <c r="CB95" s="98"/>
      <c r="CC95" s="98"/>
      <c r="CD95" s="98"/>
      <c r="CE95" s="98"/>
      <c r="CF95" s="98"/>
      <c r="CG95" s="98"/>
      <c r="CH95" s="98"/>
      <c r="CI95" s="98"/>
      <c r="CJ95" s="98"/>
      <c r="CK95" s="98"/>
      <c r="CL95" s="98"/>
      <c r="CM95" s="98"/>
      <c r="CN95" s="98"/>
      <c r="CO95" s="98"/>
      <c r="CP95" s="98"/>
      <c r="CQ95" s="98"/>
      <c r="CR95" s="98"/>
      <c r="CS95" s="98"/>
      <c r="CT95" s="98"/>
      <c r="CU95" s="98"/>
      <c r="CV95" s="98"/>
      <c r="CW95" s="98"/>
      <c r="CX95" s="98"/>
      <c r="CY95" s="98"/>
      <c r="CZ95" s="98"/>
      <c r="DA95" s="98"/>
      <c r="DB95" s="98"/>
      <c r="DC95" s="98"/>
      <c r="DD95" s="98"/>
      <c r="DE95" s="98"/>
      <c r="DF95" s="98"/>
      <c r="DG95" s="98"/>
      <c r="DH95" s="98"/>
      <c r="DI95" s="98"/>
      <c r="DJ95" s="98"/>
      <c r="DK95" s="98"/>
      <c r="DL95" s="98"/>
      <c r="DM95" s="98"/>
      <c r="DN95" s="98"/>
      <c r="DO95" s="98"/>
      <c r="DP95" s="98"/>
      <c r="DQ95" s="98"/>
      <c r="DR95" s="98"/>
      <c r="DS95" s="98"/>
      <c r="DT95" s="98"/>
      <c r="DU95" s="98"/>
      <c r="DV95" s="98"/>
      <c r="DW95" s="98"/>
      <c r="DX95" s="574"/>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c r="EX95" s="57"/>
      <c r="EY95" s="57"/>
      <c r="EZ95" s="57"/>
      <c r="FA95" s="57"/>
      <c r="FB95" s="57"/>
      <c r="FC95" s="57"/>
      <c r="FD95" s="57"/>
      <c r="FE95" s="57"/>
      <c r="FF95" s="57"/>
      <c r="FG95" s="57"/>
      <c r="FH95" s="57"/>
      <c r="FI95" s="57"/>
      <c r="FJ95" s="57"/>
      <c r="FK95" s="57"/>
      <c r="FL95" s="57"/>
      <c r="FM95" s="57"/>
      <c r="FN95" s="57"/>
      <c r="FO95" s="57"/>
      <c r="FP95" s="57"/>
      <c r="FQ95" s="57"/>
      <c r="FR95" s="57"/>
      <c r="FS95" s="57"/>
      <c r="FT95" s="57"/>
      <c r="FU95" s="57"/>
      <c r="FV95" s="57"/>
      <c r="FW95" s="57"/>
      <c r="FX95" s="126"/>
      <c r="FY95" s="57"/>
      <c r="FZ95" s="57"/>
      <c r="GA95" s="57"/>
      <c r="GB95" s="57"/>
      <c r="GC95" s="57"/>
      <c r="GD95" s="57"/>
      <c r="GE95" s="57"/>
      <c r="GF95" s="57"/>
      <c r="GG95" s="57"/>
      <c r="GH95" s="57"/>
      <c r="GI95" s="57"/>
      <c r="GJ95" s="57"/>
      <c r="GK95" s="57"/>
      <c r="GL95" s="57"/>
      <c r="GM95" s="57"/>
      <c r="GV95" s="57"/>
      <c r="HB95" s="57"/>
      <c r="HH95" s="57"/>
      <c r="HI95" s="58"/>
      <c r="HJ95" s="57"/>
      <c r="HK95" s="57"/>
      <c r="HL95" s="58"/>
      <c r="HM95" s="59"/>
      <c r="HN95" s="59"/>
      <c r="HO95" s="59"/>
      <c r="HP95" s="123"/>
      <c r="HQ95" s="123"/>
      <c r="HR95" s="123"/>
      <c r="HS95" s="59"/>
      <c r="HT95" s="59"/>
      <c r="HU95" s="59"/>
      <c r="HV95" s="123"/>
      <c r="HW95" s="123"/>
      <c r="HX95" s="123"/>
      <c r="HY95" s="59"/>
      <c r="HZ95" s="59"/>
      <c r="IA95" s="59"/>
      <c r="IB95" s="123"/>
      <c r="IC95" s="123"/>
      <c r="ID95" s="123"/>
      <c r="IE95" s="63"/>
      <c r="IF95" s="123"/>
      <c r="IG95" s="123"/>
      <c r="IH95" s="60"/>
      <c r="II95" s="59"/>
      <c r="IJ95" s="59"/>
      <c r="IK95" s="59"/>
      <c r="IL95" s="123"/>
      <c r="IM95" s="123"/>
      <c r="IN95" s="123"/>
      <c r="IO95" s="59"/>
      <c r="IP95" s="59"/>
      <c r="IQ95" s="59"/>
      <c r="IR95" s="123"/>
      <c r="IS95" s="123"/>
      <c r="IT95" s="123"/>
      <c r="IU95" s="123"/>
      <c r="IV95" s="123"/>
      <c r="IW95" s="123"/>
      <c r="IX95" s="59"/>
      <c r="IY95" s="59"/>
      <c r="IZ95" s="59"/>
      <c r="JA95" s="123"/>
      <c r="JB95" s="123"/>
      <c r="JC95" s="123"/>
      <c r="JD95" s="123"/>
      <c r="JE95" s="60"/>
      <c r="JF95" s="119"/>
      <c r="JG95" s="59"/>
      <c r="JH95" s="59"/>
      <c r="JI95" s="59"/>
      <c r="JJ95" s="332"/>
      <c r="JK95" s="59"/>
      <c r="JL95" s="123"/>
      <c r="JM95" s="64"/>
      <c r="JN95" s="60"/>
      <c r="JO95" s="59"/>
      <c r="JP95" s="59"/>
      <c r="JQ95" s="64"/>
      <c r="JR95" s="64"/>
      <c r="JS95" s="64"/>
      <c r="JT95" s="123"/>
      <c r="JU95" s="123"/>
      <c r="JV95" s="123"/>
      <c r="JW95" s="123"/>
      <c r="JX95" s="123"/>
      <c r="JY95" s="58"/>
    </row>
    <row r="96" spans="1:308" s="57" customFormat="1" ht="15.75" customHeight="1" thickBot="1">
      <c r="D96" s="339"/>
      <c r="E96" s="130"/>
      <c r="J96" s="130"/>
      <c r="K96" s="130"/>
      <c r="L96" s="130"/>
      <c r="M96" s="130"/>
      <c r="N96" s="130"/>
      <c r="O96" s="130"/>
      <c r="P96" s="130"/>
      <c r="Q96" s="130"/>
      <c r="R96" s="130"/>
      <c r="S96" s="130"/>
      <c r="T96" s="130"/>
      <c r="U96" s="130"/>
      <c r="V96" s="130"/>
      <c r="W96" s="130"/>
      <c r="X96" s="130"/>
      <c r="Y96" s="130"/>
      <c r="Z96" s="130"/>
      <c r="AA96" s="485"/>
      <c r="AB96" s="486"/>
      <c r="AC96" s="485"/>
      <c r="AD96" s="486"/>
      <c r="AE96" s="485"/>
      <c r="AF96" s="486"/>
      <c r="AG96" s="485"/>
      <c r="AH96" s="486"/>
      <c r="AI96" s="485"/>
      <c r="AJ96" s="487"/>
      <c r="AK96" s="130"/>
      <c r="AL96" s="130"/>
      <c r="AM96" s="130"/>
      <c r="AS96" s="59"/>
      <c r="DX96" s="59"/>
      <c r="DY96" s="499" t="s">
        <v>156</v>
      </c>
      <c r="EZ96" s="126"/>
      <c r="FA96" s="126"/>
      <c r="FY96" s="340"/>
      <c r="HI96" s="59"/>
      <c r="HL96" s="59"/>
      <c r="HM96" s="495"/>
      <c r="HN96" s="59"/>
      <c r="HO96" s="59"/>
      <c r="HP96" s="123"/>
      <c r="HQ96" s="123"/>
      <c r="HR96" s="123"/>
      <c r="HS96" s="59"/>
      <c r="HT96" s="59"/>
      <c r="HU96" s="59"/>
      <c r="HV96" s="123"/>
      <c r="HW96" s="123"/>
      <c r="HX96" s="123"/>
      <c r="HY96" s="59"/>
      <c r="HZ96" s="59"/>
      <c r="IA96" s="59"/>
      <c r="IB96" s="123"/>
      <c r="IC96" s="123"/>
      <c r="ID96" s="123"/>
      <c r="IE96" s="123"/>
      <c r="IF96" s="123"/>
      <c r="IG96" s="123"/>
      <c r="IH96" s="59"/>
      <c r="II96" s="495"/>
      <c r="IJ96" s="59"/>
      <c r="IK96" s="59"/>
      <c r="IL96" s="123"/>
      <c r="IM96" s="123"/>
      <c r="IN96" s="123"/>
      <c r="IO96" s="59"/>
      <c r="IP96" s="59"/>
      <c r="IQ96" s="59"/>
      <c r="IR96" s="123"/>
      <c r="IS96" s="123"/>
      <c r="IT96" s="123"/>
      <c r="IU96" s="123"/>
      <c r="IV96" s="123"/>
      <c r="IW96" s="123"/>
      <c r="IX96" s="59"/>
      <c r="IY96" s="59"/>
      <c r="IZ96" s="59"/>
      <c r="JA96" s="123"/>
      <c r="JB96" s="123"/>
      <c r="JC96" s="274"/>
      <c r="JD96" s="123"/>
      <c r="JE96" s="59"/>
      <c r="JG96" s="59"/>
      <c r="JH96" s="59"/>
      <c r="JI96" s="59"/>
      <c r="JJ96" s="332"/>
      <c r="JK96" s="65"/>
      <c r="JL96" s="65"/>
      <c r="JM96" s="66"/>
      <c r="JN96" s="59"/>
      <c r="JO96" s="495" t="s">
        <v>153</v>
      </c>
      <c r="JP96" s="59"/>
      <c r="JQ96" s="67"/>
      <c r="JR96" s="68"/>
      <c r="JS96" s="69"/>
      <c r="JT96" s="123"/>
      <c r="JU96" s="123"/>
      <c r="JV96" s="123"/>
      <c r="JW96" s="70"/>
      <c r="JX96" s="70"/>
      <c r="JY96" s="123"/>
      <c r="JZ96" s="341"/>
      <c r="KA96" s="342"/>
      <c r="KB96" s="57" t="s">
        <v>866</v>
      </c>
      <c r="KC96" s="98" t="s">
        <v>867</v>
      </c>
      <c r="KN96" s="98" t="s">
        <v>882</v>
      </c>
    </row>
    <row r="97" spans="1:310" s="71" customFormat="1" ht="15.75" customHeight="1" thickBot="1">
      <c r="A97" s="343" t="s">
        <v>344</v>
      </c>
      <c r="B97" s="344"/>
      <c r="C97" s="344"/>
      <c r="D97" s="344"/>
      <c r="E97" s="344"/>
      <c r="F97" s="344"/>
      <c r="G97" s="344"/>
      <c r="H97" s="344"/>
      <c r="I97" s="344"/>
      <c r="J97" s="344"/>
      <c r="K97" s="344"/>
      <c r="L97" s="344"/>
      <c r="M97" s="344"/>
      <c r="N97" s="344"/>
      <c r="O97" s="344"/>
      <c r="P97" s="344"/>
      <c r="Q97" s="344"/>
      <c r="R97" s="344"/>
      <c r="S97" s="344"/>
      <c r="T97" s="344"/>
      <c r="U97" s="344"/>
      <c r="V97" s="344"/>
      <c r="W97" s="344"/>
      <c r="X97" s="344"/>
      <c r="Y97" s="344"/>
      <c r="Z97" s="344"/>
      <c r="AA97" s="344"/>
      <c r="AB97" s="344"/>
      <c r="AC97" s="344"/>
      <c r="AD97" s="344"/>
      <c r="AE97" s="344"/>
      <c r="AF97" s="344"/>
      <c r="AG97" s="344"/>
      <c r="AH97" s="344"/>
      <c r="AI97" s="344"/>
      <c r="AJ97" s="344"/>
      <c r="AK97" s="345" t="s">
        <v>531</v>
      </c>
      <c r="AL97" s="346"/>
      <c r="AM97" s="346"/>
      <c r="AN97" s="346"/>
      <c r="AO97" s="346"/>
      <c r="AP97" s="346"/>
      <c r="AQ97" s="346"/>
      <c r="AR97" s="347"/>
      <c r="AS97" s="348"/>
      <c r="AT97" s="1008" t="s">
        <v>10</v>
      </c>
      <c r="AU97" s="1009"/>
      <c r="AV97" s="1009"/>
      <c r="AW97" s="1009"/>
      <c r="AX97" s="1009"/>
      <c r="AY97" s="1009"/>
      <c r="AZ97" s="1009"/>
      <c r="BA97" s="1009"/>
      <c r="BB97" s="1010"/>
      <c r="BC97" s="1011" t="s">
        <v>11</v>
      </c>
      <c r="BD97" s="1012"/>
      <c r="BE97" s="1012"/>
      <c r="BF97" s="1012"/>
      <c r="BG97" s="1012"/>
      <c r="BH97" s="1012"/>
      <c r="BI97" s="1012"/>
      <c r="BJ97" s="1012"/>
      <c r="BK97" s="1012"/>
      <c r="BL97" s="1012"/>
      <c r="BM97" s="1012"/>
      <c r="BN97" s="1012"/>
      <c r="BO97" s="1012"/>
      <c r="BP97" s="1012"/>
      <c r="BQ97" s="1012"/>
      <c r="BR97" s="1012"/>
      <c r="BS97" s="1012"/>
      <c r="BT97" s="1012"/>
      <c r="BU97" s="1012"/>
      <c r="BV97" s="1012"/>
      <c r="BW97" s="1012"/>
      <c r="BX97" s="1012"/>
      <c r="BY97" s="1012"/>
      <c r="BZ97" s="1012"/>
      <c r="CA97" s="1012"/>
      <c r="CB97" s="1012"/>
      <c r="CC97" s="1012"/>
      <c r="CD97" s="1012"/>
      <c r="CE97" s="1012"/>
      <c r="CF97" s="1012"/>
      <c r="CG97" s="1012"/>
      <c r="CH97" s="1013"/>
      <c r="CI97" s="945" t="s">
        <v>12</v>
      </c>
      <c r="CJ97" s="946"/>
      <c r="CK97" s="946"/>
      <c r="CL97" s="946"/>
      <c r="CM97" s="946"/>
      <c r="CN97" s="946"/>
      <c r="CO97" s="946"/>
      <c r="CP97" s="946"/>
      <c r="CQ97" s="946"/>
      <c r="CR97" s="946"/>
      <c r="CS97" s="946"/>
      <c r="CT97" s="946"/>
      <c r="CU97" s="946"/>
      <c r="CV97" s="946"/>
      <c r="CW97" s="946"/>
      <c r="CX97" s="946"/>
      <c r="CY97" s="946"/>
      <c r="CZ97" s="946"/>
      <c r="DA97" s="946"/>
      <c r="DB97" s="946"/>
      <c r="DC97" s="946"/>
      <c r="DD97" s="946"/>
      <c r="DE97" s="946"/>
      <c r="DF97" s="946"/>
      <c r="DG97" s="946"/>
      <c r="DH97" s="946"/>
      <c r="DI97" s="946"/>
      <c r="DJ97" s="946"/>
      <c r="DK97" s="946"/>
      <c r="DL97" s="946"/>
      <c r="DM97" s="946"/>
      <c r="DN97" s="946"/>
      <c r="DO97" s="946"/>
      <c r="DP97" s="946"/>
      <c r="DQ97" s="946"/>
      <c r="DR97" s="946"/>
      <c r="DS97" s="946"/>
      <c r="DT97" s="946"/>
      <c r="DU97" s="946"/>
      <c r="DV97" s="946"/>
      <c r="DW97" s="947"/>
      <c r="DX97" s="575"/>
      <c r="DY97" s="948" t="s">
        <v>13</v>
      </c>
      <c r="DZ97" s="949"/>
      <c r="EA97" s="949"/>
      <c r="EB97" s="949"/>
      <c r="EC97" s="949"/>
      <c r="ED97" s="949"/>
      <c r="EE97" s="949"/>
      <c r="EF97" s="949"/>
      <c r="EG97" s="949"/>
      <c r="EH97" s="949"/>
      <c r="EI97" s="949"/>
      <c r="EJ97" s="949"/>
      <c r="EK97" s="949"/>
      <c r="EL97" s="949"/>
      <c r="EM97" s="949"/>
      <c r="EN97" s="949"/>
      <c r="EO97" s="949"/>
      <c r="EP97" s="949"/>
      <c r="EQ97" s="949"/>
      <c r="ER97" s="949"/>
      <c r="ES97" s="949"/>
      <c r="ET97" s="949"/>
      <c r="EU97" s="949"/>
      <c r="EV97" s="949"/>
      <c r="EW97" s="949"/>
      <c r="EX97" s="949"/>
      <c r="EY97" s="949"/>
      <c r="EZ97" s="949"/>
      <c r="FA97" s="949"/>
      <c r="FB97" s="949"/>
      <c r="FC97" s="949"/>
      <c r="FD97" s="949"/>
      <c r="FE97" s="949"/>
      <c r="FF97" s="949"/>
      <c r="FG97" s="949"/>
      <c r="FH97" s="949"/>
      <c r="FI97" s="949"/>
      <c r="FJ97" s="949"/>
      <c r="FK97" s="949"/>
      <c r="FL97" s="949"/>
      <c r="FM97" s="949"/>
      <c r="FN97" s="949"/>
      <c r="FO97" s="949"/>
      <c r="FP97" s="949"/>
      <c r="FQ97" s="949"/>
      <c r="FR97" s="949"/>
      <c r="FS97" s="949"/>
      <c r="FT97" s="949"/>
      <c r="FU97" s="949"/>
      <c r="FV97" s="949"/>
      <c r="FW97" s="949"/>
      <c r="FX97" s="949"/>
      <c r="FY97" s="949"/>
      <c r="FZ97" s="949"/>
      <c r="GA97" s="949"/>
      <c r="GB97" s="949"/>
      <c r="GC97" s="949"/>
      <c r="GD97" s="949"/>
      <c r="GE97" s="949"/>
      <c r="GF97" s="949"/>
      <c r="GG97" s="949"/>
      <c r="GH97" s="949"/>
      <c r="GI97" s="949"/>
      <c r="GJ97" s="949"/>
      <c r="GK97" s="949"/>
      <c r="GL97" s="949"/>
      <c r="GM97" s="1014"/>
      <c r="GO97" s="903" t="s">
        <v>14</v>
      </c>
      <c r="GP97" s="1015"/>
      <c r="GQ97" s="1015"/>
      <c r="GR97" s="1015"/>
      <c r="GS97" s="1015"/>
      <c r="GT97" s="1015"/>
      <c r="GU97" s="1015"/>
      <c r="GV97" s="1015"/>
      <c r="GW97" s="1015"/>
      <c r="GX97" s="1015"/>
      <c r="GY97" s="1015"/>
      <c r="GZ97" s="1015"/>
      <c r="HA97" s="1015"/>
      <c r="HB97" s="1015"/>
      <c r="HC97" s="1015"/>
      <c r="HD97" s="1015"/>
      <c r="HE97" s="1015"/>
      <c r="HF97" s="1015"/>
      <c r="HG97" s="1015"/>
      <c r="HH97" s="1016"/>
      <c r="HI97" s="72"/>
      <c r="HJ97" s="350"/>
      <c r="HK97" s="57"/>
      <c r="HL97" s="72"/>
      <c r="HM97" s="637" t="s">
        <v>832</v>
      </c>
      <c r="HN97" s="99"/>
      <c r="HO97" s="99"/>
      <c r="HP97" s="100"/>
      <c r="HQ97" s="100"/>
      <c r="HR97" s="100"/>
      <c r="HS97" s="99"/>
      <c r="HT97" s="99"/>
      <c r="HU97" s="99"/>
      <c r="HV97" s="101"/>
      <c r="HW97" s="101"/>
      <c r="HX97" s="101"/>
      <c r="HY97" s="1017" t="s">
        <v>532</v>
      </c>
      <c r="HZ97" s="1018"/>
      <c r="IA97" s="1019"/>
      <c r="IB97" s="351"/>
      <c r="IC97" s="102"/>
      <c r="ID97" s="102"/>
      <c r="IE97" s="101"/>
      <c r="IF97" s="101"/>
      <c r="IG97" s="101"/>
      <c r="IH97" s="103"/>
      <c r="II97" s="637" t="s">
        <v>147</v>
      </c>
      <c r="IJ97" s="99"/>
      <c r="IK97" s="99"/>
      <c r="IL97" s="99"/>
      <c r="IM97" s="100"/>
      <c r="IN97" s="100"/>
      <c r="IO97" s="99"/>
      <c r="IP97" s="99"/>
      <c r="IQ97" s="99"/>
      <c r="IR97" s="100"/>
      <c r="IS97" s="100"/>
      <c r="IT97" s="100"/>
      <c r="IU97" s="101"/>
      <c r="IV97" s="101"/>
      <c r="IW97" s="101"/>
      <c r="IX97" s="1017" t="s">
        <v>532</v>
      </c>
      <c r="IY97" s="1018"/>
      <c r="IZ97" s="1019"/>
      <c r="JA97" s="351"/>
      <c r="JB97" s="104"/>
      <c r="JC97" s="104"/>
      <c r="JD97" s="104"/>
      <c r="JE97" s="103"/>
      <c r="JF97" s="57"/>
      <c r="JG97" s="59"/>
      <c r="JH97" s="105"/>
      <c r="JI97" s="99"/>
      <c r="JJ97" s="352"/>
      <c r="JK97" s="100"/>
      <c r="JL97" s="100"/>
      <c r="JM97" s="100"/>
      <c r="JN97" s="103"/>
      <c r="JO97" s="57"/>
      <c r="JP97" s="59"/>
      <c r="JQ97" s="100"/>
      <c r="JR97" s="100"/>
      <c r="JS97" s="100"/>
      <c r="JT97" s="123"/>
      <c r="JU97" s="123"/>
      <c r="JV97" s="123"/>
      <c r="JW97" s="100"/>
      <c r="JX97" s="100"/>
      <c r="JY97" s="89"/>
      <c r="KB97" s="469">
        <f>VLOOKUP(AZ101,Lookup!$B:$E,4,FALSE)</f>
        <v>2.4749999999999996</v>
      </c>
      <c r="KC97" s="696">
        <v>3</v>
      </c>
      <c r="KN97" s="696">
        <v>2</v>
      </c>
      <c r="KV97" s="583" t="s">
        <v>774</v>
      </c>
    </row>
    <row r="98" spans="1:310" s="71" customFormat="1" ht="13.5" customHeight="1" thickBot="1">
      <c r="A98" s="1032" t="s">
        <v>533</v>
      </c>
      <c r="B98" s="1032" t="s">
        <v>309</v>
      </c>
      <c r="C98" s="1032" t="s">
        <v>825</v>
      </c>
      <c r="D98" s="1032" t="s">
        <v>780</v>
      </c>
      <c r="E98" s="1032" t="s">
        <v>155</v>
      </c>
      <c r="F98" s="1032" t="s">
        <v>350</v>
      </c>
      <c r="G98" s="1032" t="s">
        <v>351</v>
      </c>
      <c r="H98" s="1032" t="s">
        <v>352</v>
      </c>
      <c r="I98" s="1032" t="s">
        <v>534</v>
      </c>
      <c r="J98" s="1032" t="s">
        <v>535</v>
      </c>
      <c r="K98" s="1032" t="s">
        <v>536</v>
      </c>
      <c r="L98" s="1032" t="s">
        <v>537</v>
      </c>
      <c r="M98" s="1032" t="s">
        <v>538</v>
      </c>
      <c r="N98" s="1032" t="s">
        <v>539</v>
      </c>
      <c r="O98" s="1032" t="s">
        <v>973</v>
      </c>
      <c r="P98" s="1032" t="s">
        <v>541</v>
      </c>
      <c r="Q98" s="1032" t="s">
        <v>542</v>
      </c>
      <c r="R98" s="1032" t="s">
        <v>535</v>
      </c>
      <c r="S98" s="1032" t="s">
        <v>536</v>
      </c>
      <c r="T98" s="1032" t="s">
        <v>537</v>
      </c>
      <c r="U98" s="1032" t="s">
        <v>538</v>
      </c>
      <c r="V98" s="1032" t="s">
        <v>539</v>
      </c>
      <c r="W98" s="1032" t="s">
        <v>540</v>
      </c>
      <c r="X98" s="1032" t="s">
        <v>541</v>
      </c>
      <c r="Y98" s="1032" t="s">
        <v>346</v>
      </c>
      <c r="Z98" s="1032" t="s">
        <v>7</v>
      </c>
      <c r="AA98" s="1034" t="str">
        <f>INDEX(Input!$1:$1048576,AA$93-1,7)</f>
        <v>Misc 1: Event Purchase RBV (C, F)</v>
      </c>
      <c r="AB98" s="1032" t="s">
        <v>759</v>
      </c>
      <c r="AC98" s="1034" t="str">
        <f>INDEX(Input!$1:$1048576,AC$93-1,7)</f>
        <v>Misc 2: Event Lease Bonus (L)</v>
      </c>
      <c r="AD98" s="1032" t="s">
        <v>760</v>
      </c>
      <c r="AE98" s="1034" t="str">
        <f>INDEX(Input!$1:$1048576,AE$93-1,7)</f>
        <v>Misc 3: Stackable Bonus Cash</v>
      </c>
      <c r="AF98" s="1032" t="s">
        <v>543</v>
      </c>
      <c r="AG98" s="1034" t="str">
        <f>INDEX(Input!$1:$1048576,AG$93-1,7)</f>
        <v>Misc 4: State-Level RBC (C, F)</v>
      </c>
      <c r="AH98" s="1032" t="s">
        <v>761</v>
      </c>
      <c r="AI98" s="1034" t="str">
        <f>INDEX(Input!$1:$1048576,AI$93-1,7)</f>
        <v>Misc 5: Bonus</v>
      </c>
      <c r="AJ98" s="1036" t="s">
        <v>762</v>
      </c>
      <c r="AK98" s="1110" t="s">
        <v>544</v>
      </c>
      <c r="AL98" s="1112" t="s">
        <v>545</v>
      </c>
      <c r="AM98" s="1112" t="s">
        <v>546</v>
      </c>
      <c r="AN98" s="1114" t="s">
        <v>547</v>
      </c>
      <c r="AO98" s="1119" t="s">
        <v>548</v>
      </c>
      <c r="AP98" s="1119" t="s">
        <v>1060</v>
      </c>
      <c r="AQ98" s="1119" t="s">
        <v>736</v>
      </c>
      <c r="AR98" s="1119" t="s">
        <v>345</v>
      </c>
      <c r="AS98" s="93"/>
      <c r="AT98" s="1116" t="s">
        <v>90</v>
      </c>
      <c r="AU98" s="974" t="s">
        <v>91</v>
      </c>
      <c r="AV98" s="974" t="s">
        <v>92</v>
      </c>
      <c r="AW98" s="974" t="s">
        <v>93</v>
      </c>
      <c r="AX98" s="974" t="s">
        <v>94</v>
      </c>
      <c r="AY98" s="974" t="s">
        <v>3</v>
      </c>
      <c r="AZ98" s="974" t="s">
        <v>4</v>
      </c>
      <c r="BA98" s="955" t="s">
        <v>95</v>
      </c>
      <c r="BB98" s="958" t="s">
        <v>96</v>
      </c>
      <c r="BC98" s="207" t="s">
        <v>1</v>
      </c>
      <c r="BD98" s="961" t="s">
        <v>15</v>
      </c>
      <c r="BE98" s="962"/>
      <c r="BF98" s="962"/>
      <c r="BG98" s="962"/>
      <c r="BH98" s="962"/>
      <c r="BI98" s="962"/>
      <c r="BJ98" s="962"/>
      <c r="BK98" s="962"/>
      <c r="BL98" s="962"/>
      <c r="BM98" s="963"/>
      <c r="BN98" s="961" t="s">
        <v>16</v>
      </c>
      <c r="BO98" s="962"/>
      <c r="BP98" s="962"/>
      <c r="BQ98" s="962"/>
      <c r="BR98" s="962"/>
      <c r="BS98" s="962"/>
      <c r="BT98" s="962"/>
      <c r="BU98" s="962"/>
      <c r="BV98" s="962"/>
      <c r="BW98" s="964"/>
      <c r="BX98" s="965" t="s">
        <v>17</v>
      </c>
      <c r="BY98" s="968" t="s">
        <v>18</v>
      </c>
      <c r="BZ98" s="969"/>
      <c r="CA98" s="969"/>
      <c r="CB98" s="969"/>
      <c r="CC98" s="969"/>
      <c r="CD98" s="969"/>
      <c r="CE98" s="969"/>
      <c r="CF98" s="969"/>
      <c r="CG98" s="969"/>
      <c r="CH98" s="970"/>
      <c r="CI98" s="945" t="s">
        <v>19</v>
      </c>
      <c r="CJ98" s="946"/>
      <c r="CK98" s="946"/>
      <c r="CL98" s="946"/>
      <c r="CM98" s="946"/>
      <c r="CN98" s="946"/>
      <c r="CO98" s="946"/>
      <c r="CP98" s="946"/>
      <c r="CQ98" s="946"/>
      <c r="CR98" s="946"/>
      <c r="CS98" s="946"/>
      <c r="CT98" s="946"/>
      <c r="CU98" s="946"/>
      <c r="CV98" s="946"/>
      <c r="CW98" s="946"/>
      <c r="CX98" s="946"/>
      <c r="CY98" s="946"/>
      <c r="CZ98" s="946"/>
      <c r="DA98" s="946"/>
      <c r="DB98" s="946"/>
      <c r="DC98" s="946"/>
      <c r="DD98" s="946"/>
      <c r="DE98" s="946"/>
      <c r="DF98" s="946"/>
      <c r="DG98" s="946"/>
      <c r="DH98" s="946"/>
      <c r="DI98" s="946"/>
      <c r="DJ98" s="946"/>
      <c r="DK98" s="946"/>
      <c r="DL98" s="946"/>
      <c r="DM98" s="946"/>
      <c r="DN98" s="946"/>
      <c r="DO98" s="946"/>
      <c r="DP98" s="946"/>
      <c r="DQ98" s="946"/>
      <c r="DR98" s="946"/>
      <c r="DS98" s="946"/>
      <c r="DT98" s="946"/>
      <c r="DU98" s="946"/>
      <c r="DV98" s="946"/>
      <c r="DW98" s="947"/>
      <c r="DX98" s="575"/>
      <c r="DY98" s="948" t="s">
        <v>20</v>
      </c>
      <c r="DZ98" s="949"/>
      <c r="EA98" s="949"/>
      <c r="EB98" s="949"/>
      <c r="EC98" s="949"/>
      <c r="ED98" s="949"/>
      <c r="EE98" s="949"/>
      <c r="EF98" s="949"/>
      <c r="EG98" s="949"/>
      <c r="EH98" s="949"/>
      <c r="EI98" s="949"/>
      <c r="EJ98" s="949"/>
      <c r="EK98" s="949"/>
      <c r="EL98" s="949"/>
      <c r="EM98" s="949"/>
      <c r="EN98" s="949"/>
      <c r="EO98" s="949"/>
      <c r="EP98" s="949"/>
      <c r="EQ98" s="949"/>
      <c r="ER98" s="949"/>
      <c r="ES98" s="949"/>
      <c r="ET98" s="950"/>
      <c r="EU98" s="932" t="s">
        <v>21</v>
      </c>
      <c r="EV98" s="933"/>
      <c r="EW98" s="933"/>
      <c r="EX98" s="933"/>
      <c r="EY98" s="933"/>
      <c r="EZ98" s="934"/>
      <c r="FA98" s="928" t="s">
        <v>22</v>
      </c>
      <c r="FB98" s="929"/>
      <c r="FC98" s="929"/>
      <c r="FD98" s="929"/>
      <c r="FE98" s="929"/>
      <c r="FF98" s="929"/>
      <c r="FG98" s="929"/>
      <c r="FH98" s="929"/>
      <c r="FI98" s="929"/>
      <c r="FJ98" s="929"/>
      <c r="FK98" s="929"/>
      <c r="FL98" s="929"/>
      <c r="FM98" s="929"/>
      <c r="FN98" s="929"/>
      <c r="FO98" s="929"/>
      <c r="FP98" s="929"/>
      <c r="FQ98" s="929"/>
      <c r="FR98" s="929"/>
      <c r="FS98" s="930"/>
      <c r="FT98" s="932" t="s">
        <v>23</v>
      </c>
      <c r="FU98" s="933"/>
      <c r="FV98" s="933"/>
      <c r="FW98" s="933"/>
      <c r="FX98" s="933"/>
      <c r="FY98" s="934"/>
      <c r="FZ98" s="935" t="s">
        <v>24</v>
      </c>
      <c r="GA98" s="936"/>
      <c r="GB98" s="937"/>
      <c r="GC98" s="928" t="s">
        <v>25</v>
      </c>
      <c r="GD98" s="929"/>
      <c r="GE98" s="929"/>
      <c r="GF98" s="930"/>
      <c r="GG98" s="928" t="s">
        <v>26</v>
      </c>
      <c r="GH98" s="929"/>
      <c r="GI98" s="930"/>
      <c r="GJ98" s="928" t="s">
        <v>27</v>
      </c>
      <c r="GK98" s="929"/>
      <c r="GL98" s="929"/>
      <c r="GM98" s="931"/>
      <c r="GO98" s="903" t="s">
        <v>28</v>
      </c>
      <c r="GP98" s="1015"/>
      <c r="GQ98" s="1015"/>
      <c r="GR98" s="1015"/>
      <c r="GS98" s="1015"/>
      <c r="GT98" s="1015"/>
      <c r="GU98" s="1015"/>
      <c r="GV98" s="1015"/>
      <c r="GW98" s="1015"/>
      <c r="GX98" s="1015"/>
      <c r="GY98" s="1015"/>
      <c r="GZ98" s="1015"/>
      <c r="HA98" s="1015"/>
      <c r="HB98" s="1015"/>
      <c r="HC98" s="1015"/>
      <c r="HD98" s="1015"/>
      <c r="HE98" s="1015"/>
      <c r="HF98" s="1015"/>
      <c r="HG98" s="1015"/>
      <c r="HH98" s="1016"/>
      <c r="HI98" s="72"/>
      <c r="HJ98" s="353" t="s">
        <v>769</v>
      </c>
      <c r="HK98" s="354"/>
      <c r="HL98" s="72"/>
      <c r="HM98" s="77" t="s">
        <v>829</v>
      </c>
      <c r="HN98" s="73"/>
      <c r="HO98" s="74"/>
      <c r="HP98" s="79" t="s">
        <v>830</v>
      </c>
      <c r="HQ98" s="75"/>
      <c r="HR98" s="76"/>
      <c r="HS98" s="79" t="s">
        <v>831</v>
      </c>
      <c r="HT98" s="78"/>
      <c r="HU98" s="74"/>
      <c r="HV98" s="79" t="s">
        <v>835</v>
      </c>
      <c r="HW98" s="80"/>
      <c r="HX98" s="81"/>
      <c r="HY98" s="77" t="s">
        <v>833</v>
      </c>
      <c r="HZ98" s="78"/>
      <c r="IA98" s="74"/>
      <c r="IB98" s="79" t="s">
        <v>549</v>
      </c>
      <c r="IC98" s="75"/>
      <c r="ID98" s="76"/>
      <c r="IE98" s="79" t="s">
        <v>146</v>
      </c>
      <c r="IF98" s="80"/>
      <c r="IG98" s="81"/>
      <c r="IH98" s="72"/>
      <c r="II98" s="79" t="s">
        <v>550</v>
      </c>
      <c r="IJ98" s="73"/>
      <c r="IK98" s="74"/>
      <c r="IL98" s="79" t="s">
        <v>143</v>
      </c>
      <c r="IM98" s="75"/>
      <c r="IN98" s="76"/>
      <c r="IO98" s="82" t="s">
        <v>551</v>
      </c>
      <c r="IP98" s="73"/>
      <c r="IQ98" s="73"/>
      <c r="IR98" s="87" t="s">
        <v>552</v>
      </c>
      <c r="IS98" s="75"/>
      <c r="IT98" s="74"/>
      <c r="IU98" s="79" t="s">
        <v>125</v>
      </c>
      <c r="IV98" s="75"/>
      <c r="IW98" s="76"/>
      <c r="IX98" s="77" t="s">
        <v>142</v>
      </c>
      <c r="IY98" s="73"/>
      <c r="IZ98" s="74"/>
      <c r="JA98" s="79" t="s">
        <v>553</v>
      </c>
      <c r="JB98" s="80"/>
      <c r="JC98" s="80"/>
      <c r="JD98" s="81"/>
      <c r="JE98" s="72"/>
      <c r="JF98" s="77" t="s">
        <v>151</v>
      </c>
      <c r="JG98" s="78"/>
      <c r="JH98" s="83"/>
      <c r="JI98" s="83"/>
      <c r="JJ98" s="355"/>
      <c r="JK98" s="84" t="s">
        <v>150</v>
      </c>
      <c r="JL98" s="85"/>
      <c r="JM98" s="86"/>
      <c r="JN98" s="72"/>
      <c r="JO98" s="77" t="s">
        <v>152</v>
      </c>
      <c r="JP98" s="74"/>
      <c r="JQ98" s="87" t="s">
        <v>153</v>
      </c>
      <c r="JR98" s="88"/>
      <c r="JS98" s="88"/>
      <c r="JT98" s="80"/>
      <c r="JU98" s="88"/>
      <c r="JV98" s="80"/>
      <c r="JW98" s="80"/>
      <c r="JX98" s="81"/>
      <c r="JY98" s="89"/>
      <c r="JZ98" s="77" t="s">
        <v>554</v>
      </c>
      <c r="KA98" s="356"/>
      <c r="KB98" s="356"/>
      <c r="KC98" s="356"/>
      <c r="KD98" s="356"/>
      <c r="KE98" s="356"/>
      <c r="KF98" s="356"/>
      <c r="KG98" s="357"/>
      <c r="KI98" s="79" t="s">
        <v>555</v>
      </c>
      <c r="KJ98" s="356"/>
      <c r="KK98" s="356"/>
      <c r="KL98" s="357"/>
      <c r="KN98" s="77" t="s">
        <v>748</v>
      </c>
      <c r="KO98" s="356"/>
      <c r="KP98" s="356"/>
      <c r="KQ98" s="356"/>
      <c r="KR98" s="356"/>
      <c r="KS98" s="356"/>
      <c r="KT98" s="356"/>
      <c r="KU98" s="356"/>
      <c r="KV98" s="357"/>
    </row>
    <row r="99" spans="1:310" s="90" customFormat="1" ht="43.15" customHeight="1" thickBot="1">
      <c r="A99" s="1033"/>
      <c r="B99" s="1033"/>
      <c r="C99" s="1033"/>
      <c r="D99" s="1033"/>
      <c r="E99" s="1033"/>
      <c r="F99" s="1033"/>
      <c r="G99" s="1033"/>
      <c r="H99" s="1033"/>
      <c r="I99" s="1033"/>
      <c r="J99" s="1033"/>
      <c r="K99" s="1033"/>
      <c r="L99" s="1033"/>
      <c r="M99" s="1033"/>
      <c r="N99" s="1033"/>
      <c r="O99" s="1033"/>
      <c r="P99" s="1033"/>
      <c r="Q99" s="1033"/>
      <c r="R99" s="1033"/>
      <c r="S99" s="1033"/>
      <c r="T99" s="1033"/>
      <c r="U99" s="1033"/>
      <c r="V99" s="1033"/>
      <c r="W99" s="1033"/>
      <c r="X99" s="1033"/>
      <c r="Y99" s="1033"/>
      <c r="Z99" s="1033"/>
      <c r="AA99" s="1035"/>
      <c r="AB99" s="1033"/>
      <c r="AC99" s="1035"/>
      <c r="AD99" s="1033"/>
      <c r="AE99" s="1035"/>
      <c r="AF99" s="1033"/>
      <c r="AG99" s="1035"/>
      <c r="AH99" s="1033"/>
      <c r="AI99" s="1035"/>
      <c r="AJ99" s="1037"/>
      <c r="AK99" s="1111"/>
      <c r="AL99" s="1113"/>
      <c r="AM99" s="1113"/>
      <c r="AN99" s="1115"/>
      <c r="AO99" s="1120"/>
      <c r="AP99" s="1120"/>
      <c r="AQ99" s="1120"/>
      <c r="AR99" s="1120"/>
      <c r="AS99" s="93"/>
      <c r="AT99" s="1117"/>
      <c r="AU99" s="975"/>
      <c r="AV99" s="975"/>
      <c r="AW99" s="975"/>
      <c r="AX99" s="975"/>
      <c r="AY99" s="975"/>
      <c r="AZ99" s="975"/>
      <c r="BA99" s="956"/>
      <c r="BB99" s="959"/>
      <c r="BC99" s="977" t="s">
        <v>29</v>
      </c>
      <c r="BD99" s="971" t="s">
        <v>30</v>
      </c>
      <c r="BE99" s="972"/>
      <c r="BF99" s="972"/>
      <c r="BG99" s="972"/>
      <c r="BH99" s="979"/>
      <c r="BI99" s="971" t="s">
        <v>31</v>
      </c>
      <c r="BJ99" s="972"/>
      <c r="BK99" s="972"/>
      <c r="BL99" s="972"/>
      <c r="BM99" s="979"/>
      <c r="BN99" s="971" t="s">
        <v>32</v>
      </c>
      <c r="BO99" s="972"/>
      <c r="BP99" s="972"/>
      <c r="BQ99" s="972"/>
      <c r="BR99" s="979"/>
      <c r="BS99" s="971" t="s">
        <v>33</v>
      </c>
      <c r="BT99" s="972"/>
      <c r="BU99" s="972"/>
      <c r="BV99" s="972"/>
      <c r="BW99" s="973"/>
      <c r="BX99" s="966"/>
      <c r="BY99" s="980" t="s">
        <v>34</v>
      </c>
      <c r="BZ99" s="972"/>
      <c r="CA99" s="972"/>
      <c r="CB99" s="972"/>
      <c r="CC99" s="979"/>
      <c r="CD99" s="971" t="s">
        <v>35</v>
      </c>
      <c r="CE99" s="972"/>
      <c r="CF99" s="972"/>
      <c r="CG99" s="972"/>
      <c r="CH99" s="973"/>
      <c r="CI99" s="951" t="s">
        <v>5</v>
      </c>
      <c r="CJ99" s="953" t="s">
        <v>36</v>
      </c>
      <c r="CK99" s="940" t="s">
        <v>37</v>
      </c>
      <c r="CL99" s="942"/>
      <c r="CM99" s="942"/>
      <c r="CN99" s="942"/>
      <c r="CO99" s="941"/>
      <c r="CP99" s="938" t="s">
        <v>38</v>
      </c>
      <c r="CQ99" s="940" t="s">
        <v>39</v>
      </c>
      <c r="CR99" s="942"/>
      <c r="CS99" s="942"/>
      <c r="CT99" s="942"/>
      <c r="CU99" s="941"/>
      <c r="CV99" s="938" t="s">
        <v>6</v>
      </c>
      <c r="CW99" s="940" t="s">
        <v>40</v>
      </c>
      <c r="CX99" s="942"/>
      <c r="CY99" s="942"/>
      <c r="CZ99" s="942"/>
      <c r="DA99" s="941"/>
      <c r="DB99" s="938" t="s">
        <v>7</v>
      </c>
      <c r="DC99" s="940" t="s">
        <v>0</v>
      </c>
      <c r="DD99" s="942"/>
      <c r="DE99" s="941"/>
      <c r="DF99" s="938" t="s">
        <v>41</v>
      </c>
      <c r="DG99" s="938" t="s">
        <v>42</v>
      </c>
      <c r="DH99" s="938" t="s">
        <v>43</v>
      </c>
      <c r="DI99" s="938" t="s">
        <v>44</v>
      </c>
      <c r="DJ99" s="938" t="s">
        <v>45</v>
      </c>
      <c r="DK99" s="940" t="s">
        <v>46</v>
      </c>
      <c r="DL99" s="941"/>
      <c r="DM99" s="938" t="s">
        <v>47</v>
      </c>
      <c r="DN99" s="940" t="s">
        <v>48</v>
      </c>
      <c r="DO99" s="942"/>
      <c r="DP99" s="942"/>
      <c r="DQ99" s="942"/>
      <c r="DR99" s="941"/>
      <c r="DS99" s="212" t="s">
        <v>49</v>
      </c>
      <c r="DT99" s="213"/>
      <c r="DU99" s="213"/>
      <c r="DV99" s="213"/>
      <c r="DW99" s="214"/>
      <c r="DX99" s="358"/>
      <c r="DY99" s="943" t="s">
        <v>50</v>
      </c>
      <c r="DZ99" s="217" t="s">
        <v>51</v>
      </c>
      <c r="EA99" s="218"/>
      <c r="EB99" s="217" t="s">
        <v>52</v>
      </c>
      <c r="EC99" s="219"/>
      <c r="ED99" s="219"/>
      <c r="EE99" s="219"/>
      <c r="EF99" s="218"/>
      <c r="EG99" s="922" t="s">
        <v>53</v>
      </c>
      <c r="EH99" s="217" t="s">
        <v>54</v>
      </c>
      <c r="EI99" s="219"/>
      <c r="EJ99" s="219"/>
      <c r="EK99" s="219"/>
      <c r="EL99" s="218"/>
      <c r="EM99" s="922" t="s">
        <v>55</v>
      </c>
      <c r="EN99" s="217" t="s">
        <v>56</v>
      </c>
      <c r="EO99" s="219"/>
      <c r="EP99" s="219"/>
      <c r="EQ99" s="219"/>
      <c r="ER99" s="218"/>
      <c r="ES99" s="922" t="s">
        <v>57</v>
      </c>
      <c r="ET99" s="922" t="s">
        <v>58</v>
      </c>
      <c r="EU99" s="926" t="s">
        <v>59</v>
      </c>
      <c r="EV99" s="223" t="s">
        <v>60</v>
      </c>
      <c r="EW99" s="224"/>
      <c r="EX99" s="926" t="s">
        <v>61</v>
      </c>
      <c r="EY99" s="926" t="s">
        <v>62</v>
      </c>
      <c r="EZ99" s="926" t="s">
        <v>63</v>
      </c>
      <c r="FA99" s="922" t="s">
        <v>64</v>
      </c>
      <c r="FB99" s="217" t="s">
        <v>65</v>
      </c>
      <c r="FC99" s="219"/>
      <c r="FD99" s="219"/>
      <c r="FE99" s="219"/>
      <c r="FF99" s="218"/>
      <c r="FG99" s="922" t="s">
        <v>65</v>
      </c>
      <c r="FH99" s="217" t="s">
        <v>66</v>
      </c>
      <c r="FI99" s="219"/>
      <c r="FJ99" s="219"/>
      <c r="FK99" s="219"/>
      <c r="FL99" s="218"/>
      <c r="FM99" s="922" t="s">
        <v>67</v>
      </c>
      <c r="FN99" s="217" t="s">
        <v>68</v>
      </c>
      <c r="FO99" s="219"/>
      <c r="FP99" s="219"/>
      <c r="FQ99" s="219"/>
      <c r="FR99" s="218"/>
      <c r="FS99" s="922" t="s">
        <v>69</v>
      </c>
      <c r="FT99" s="926" t="s">
        <v>70</v>
      </c>
      <c r="FU99" s="926" t="s">
        <v>71</v>
      </c>
      <c r="FV99" s="926" t="s">
        <v>72</v>
      </c>
      <c r="FW99" s="926" t="s">
        <v>73</v>
      </c>
      <c r="FX99" s="926" t="s">
        <v>74</v>
      </c>
      <c r="FY99" s="926" t="s">
        <v>75</v>
      </c>
      <c r="FZ99" s="217" t="s">
        <v>76</v>
      </c>
      <c r="GA99" s="217"/>
      <c r="GB99" s="922" t="s">
        <v>77</v>
      </c>
      <c r="GC99" s="217" t="s">
        <v>78</v>
      </c>
      <c r="GD99" s="218"/>
      <c r="GE99" s="217" t="s">
        <v>79</v>
      </c>
      <c r="GF99" s="218"/>
      <c r="GG99" s="922" t="s">
        <v>80</v>
      </c>
      <c r="GH99" s="922" t="s">
        <v>81</v>
      </c>
      <c r="GI99" s="922" t="s">
        <v>82</v>
      </c>
      <c r="GJ99" s="922" t="s">
        <v>42</v>
      </c>
      <c r="GK99" s="922" t="s">
        <v>43</v>
      </c>
      <c r="GL99" s="922" t="s">
        <v>44</v>
      </c>
      <c r="GM99" s="924" t="s">
        <v>45</v>
      </c>
      <c r="GO99" s="915" t="s">
        <v>83</v>
      </c>
      <c r="GP99" s="1105"/>
      <c r="GQ99" s="914" t="s">
        <v>84</v>
      </c>
      <c r="GR99" s="918"/>
      <c r="GS99" s="918"/>
      <c r="GT99" s="918"/>
      <c r="GU99" s="919"/>
      <c r="GV99" s="905" t="s">
        <v>85</v>
      </c>
      <c r="GW99" s="904" t="s">
        <v>86</v>
      </c>
      <c r="GX99" s="1107"/>
      <c r="GY99" s="1107"/>
      <c r="GZ99" s="1107"/>
      <c r="HA99" s="1105"/>
      <c r="HB99" s="916" t="s">
        <v>87</v>
      </c>
      <c r="HC99" s="914" t="s">
        <v>88</v>
      </c>
      <c r="HD99" s="918"/>
      <c r="HE99" s="918"/>
      <c r="HF99" s="918"/>
      <c r="HG99" s="919"/>
      <c r="HH99" s="920" t="s">
        <v>89</v>
      </c>
      <c r="HI99" s="91"/>
      <c r="HJ99" s="1108" t="s">
        <v>695</v>
      </c>
      <c r="HK99" s="1108" t="s">
        <v>696</v>
      </c>
      <c r="HL99" s="91"/>
      <c r="HM99" s="1099" t="s">
        <v>70</v>
      </c>
      <c r="HN99" s="1101" t="s">
        <v>71</v>
      </c>
      <c r="HO99" s="1103" t="s">
        <v>72</v>
      </c>
      <c r="HP99" s="1097" t="s">
        <v>837</v>
      </c>
      <c r="HQ99" s="910" t="s">
        <v>838</v>
      </c>
      <c r="HR99" s="912" t="s">
        <v>839</v>
      </c>
      <c r="HS99" s="1085" t="s">
        <v>837</v>
      </c>
      <c r="HT99" s="1087" t="s">
        <v>838</v>
      </c>
      <c r="HU99" s="1089" t="s">
        <v>839</v>
      </c>
      <c r="HV99" s="1085" t="s">
        <v>837</v>
      </c>
      <c r="HW99" s="1087" t="s">
        <v>838</v>
      </c>
      <c r="HX99" s="1089" t="s">
        <v>839</v>
      </c>
      <c r="HY99" s="908" t="s">
        <v>837</v>
      </c>
      <c r="HZ99" s="910" t="s">
        <v>838</v>
      </c>
      <c r="IA99" s="912" t="s">
        <v>839</v>
      </c>
      <c r="IB99" s="1085" t="s">
        <v>837</v>
      </c>
      <c r="IC99" s="1087" t="s">
        <v>838</v>
      </c>
      <c r="ID99" s="1089" t="s">
        <v>839</v>
      </c>
      <c r="IE99" s="1091" t="s">
        <v>70</v>
      </c>
      <c r="IF99" s="1093" t="s">
        <v>71</v>
      </c>
      <c r="IG99" s="1095" t="s">
        <v>72</v>
      </c>
      <c r="IH99" s="53"/>
      <c r="II99" s="1079" t="s">
        <v>698</v>
      </c>
      <c r="IJ99" s="1081" t="s">
        <v>74</v>
      </c>
      <c r="IK99" s="1083" t="s">
        <v>75</v>
      </c>
      <c r="IL99" s="1071" t="s">
        <v>73</v>
      </c>
      <c r="IM99" s="1073" t="s">
        <v>74</v>
      </c>
      <c r="IN99" s="1075" t="s">
        <v>75</v>
      </c>
      <c r="IO99" s="1071" t="s">
        <v>73</v>
      </c>
      <c r="IP99" s="1073" t="s">
        <v>74</v>
      </c>
      <c r="IQ99" s="1077" t="s">
        <v>75</v>
      </c>
      <c r="IR99" s="1071" t="s">
        <v>73</v>
      </c>
      <c r="IS99" s="1073" t="s">
        <v>74</v>
      </c>
      <c r="IT99" s="1075" t="s">
        <v>75</v>
      </c>
      <c r="IU99" s="1065" t="s">
        <v>348</v>
      </c>
      <c r="IV99" s="1067" t="s">
        <v>74</v>
      </c>
      <c r="IW99" s="1069" t="s">
        <v>75</v>
      </c>
      <c r="IX99" s="1071" t="s">
        <v>73</v>
      </c>
      <c r="IY99" s="1073" t="s">
        <v>74</v>
      </c>
      <c r="IZ99" s="1075" t="s">
        <v>75</v>
      </c>
      <c r="JA99" s="1054" t="s">
        <v>73</v>
      </c>
      <c r="JB99" s="1056" t="s">
        <v>74</v>
      </c>
      <c r="JC99" s="1058" t="s">
        <v>75</v>
      </c>
      <c r="JD99" s="1060" t="s">
        <v>145</v>
      </c>
      <c r="JE99" s="53"/>
      <c r="JF99" s="1041" t="s">
        <v>144</v>
      </c>
      <c r="JG99" s="1063" t="s">
        <v>315</v>
      </c>
      <c r="JH99" s="1044" t="s">
        <v>148</v>
      </c>
      <c r="JI99" s="1044" t="s">
        <v>556</v>
      </c>
      <c r="JJ99" s="1046" t="s">
        <v>836</v>
      </c>
      <c r="JK99" s="1048" t="s">
        <v>126</v>
      </c>
      <c r="JL99" s="1050" t="s">
        <v>127</v>
      </c>
      <c r="JM99" s="1052" t="s">
        <v>128</v>
      </c>
      <c r="JN99" s="53"/>
      <c r="JO99" s="1041" t="s">
        <v>154</v>
      </c>
      <c r="JP99" s="1042" t="s">
        <v>557</v>
      </c>
      <c r="JQ99" s="1043" t="s">
        <v>316</v>
      </c>
      <c r="JR99" s="1039" t="s">
        <v>133</v>
      </c>
      <c r="JS99" s="1038" t="s">
        <v>124</v>
      </c>
      <c r="JT99" s="1039" t="s">
        <v>132</v>
      </c>
      <c r="JU99" s="1038" t="s">
        <v>123</v>
      </c>
      <c r="JV99" s="1039" t="s">
        <v>129</v>
      </c>
      <c r="JW99" s="1038" t="s">
        <v>149</v>
      </c>
      <c r="JX99" s="1040" t="s">
        <v>131</v>
      </c>
      <c r="JY99" s="106"/>
      <c r="JZ99" s="359" t="s">
        <v>559</v>
      </c>
      <c r="KA99" s="359" t="s">
        <v>560</v>
      </c>
      <c r="KB99" s="359" t="s">
        <v>561</v>
      </c>
      <c r="KC99" s="359" t="s">
        <v>562</v>
      </c>
      <c r="KD99" s="359" t="s">
        <v>563</v>
      </c>
      <c r="KE99" s="359" t="s">
        <v>722</v>
      </c>
      <c r="KF99" s="359" t="s">
        <v>166</v>
      </c>
      <c r="KG99" s="359" t="s">
        <v>564</v>
      </c>
      <c r="KI99" s="79" t="s">
        <v>558</v>
      </c>
      <c r="KJ99" s="360"/>
      <c r="KK99" s="360"/>
      <c r="KL99" s="361"/>
      <c r="KN99" s="359" t="s">
        <v>743</v>
      </c>
      <c r="KO99" s="359" t="s">
        <v>310</v>
      </c>
      <c r="KP99" s="359" t="s">
        <v>745</v>
      </c>
      <c r="KQ99" s="359" t="s">
        <v>744</v>
      </c>
      <c r="KR99" s="359" t="s">
        <v>747</v>
      </c>
      <c r="KS99" s="359" t="s">
        <v>746</v>
      </c>
      <c r="KT99" s="359" t="s">
        <v>834</v>
      </c>
      <c r="KU99" s="359" t="s">
        <v>776</v>
      </c>
      <c r="KV99" s="359" t="s">
        <v>775</v>
      </c>
    </row>
    <row r="100" spans="1:310" s="92" customFormat="1" ht="14.45" customHeight="1" thickBot="1">
      <c r="A100" s="552" t="s">
        <v>749</v>
      </c>
      <c r="B100" s="552"/>
      <c r="C100" s="552"/>
      <c r="D100" s="551"/>
      <c r="E100" s="552" t="s">
        <v>632</v>
      </c>
      <c r="F100" s="552" t="s">
        <v>752</v>
      </c>
      <c r="G100" s="552"/>
      <c r="H100" s="552"/>
      <c r="I100" s="552"/>
      <c r="J100" s="553"/>
      <c r="K100" s="553"/>
      <c r="L100" s="553"/>
      <c r="M100" s="553"/>
      <c r="N100" s="553"/>
      <c r="O100" s="553"/>
      <c r="P100" s="553"/>
      <c r="Q100" s="553" t="s">
        <v>751</v>
      </c>
      <c r="R100" s="553"/>
      <c r="S100" s="553"/>
      <c r="T100" s="553"/>
      <c r="U100" s="553"/>
      <c r="V100" s="553"/>
      <c r="W100" s="553"/>
      <c r="X100" s="553"/>
      <c r="Y100" s="552" t="s">
        <v>633</v>
      </c>
      <c r="Z100" s="553" t="s">
        <v>750</v>
      </c>
      <c r="AA100" s="552" t="s">
        <v>1152</v>
      </c>
      <c r="AB100" s="552"/>
      <c r="AC100" s="552" t="s">
        <v>1153</v>
      </c>
      <c r="AD100" s="552"/>
      <c r="AE100" s="552" t="s">
        <v>1013</v>
      </c>
      <c r="AF100" s="552"/>
      <c r="AG100" s="552" t="s">
        <v>1059</v>
      </c>
      <c r="AH100" s="552"/>
      <c r="AI100" s="552" t="s">
        <v>755</v>
      </c>
      <c r="AJ100" s="555"/>
      <c r="AK100" s="556"/>
      <c r="AL100" s="557"/>
      <c r="AM100" s="557"/>
      <c r="AN100" s="554"/>
      <c r="AO100" s="554"/>
      <c r="AP100" s="554"/>
      <c r="AQ100" s="554"/>
      <c r="AR100" s="554"/>
      <c r="AS100" s="93"/>
      <c r="AT100" s="1118"/>
      <c r="AU100" s="976"/>
      <c r="AV100" s="976"/>
      <c r="AW100" s="976"/>
      <c r="AX100" s="976"/>
      <c r="AY100" s="976"/>
      <c r="AZ100" s="976"/>
      <c r="BA100" s="957"/>
      <c r="BB100" s="960"/>
      <c r="BC100" s="978"/>
      <c r="BD100" s="208">
        <v>36</v>
      </c>
      <c r="BE100" s="209">
        <v>48</v>
      </c>
      <c r="BF100" s="209">
        <v>60</v>
      </c>
      <c r="BG100" s="209">
        <v>72</v>
      </c>
      <c r="BH100" s="891" t="s">
        <v>1068</v>
      </c>
      <c r="BI100" s="209">
        <v>24</v>
      </c>
      <c r="BJ100" s="209">
        <v>36</v>
      </c>
      <c r="BK100" s="209">
        <v>39</v>
      </c>
      <c r="BL100" s="209">
        <v>48</v>
      </c>
      <c r="BM100" s="209">
        <v>60</v>
      </c>
      <c r="BN100" s="209">
        <v>24</v>
      </c>
      <c r="BO100" s="209">
        <v>36</v>
      </c>
      <c r="BP100" s="209">
        <v>48</v>
      </c>
      <c r="BQ100" s="209">
        <v>60</v>
      </c>
      <c r="BR100" s="209">
        <v>72</v>
      </c>
      <c r="BS100" s="209">
        <v>24</v>
      </c>
      <c r="BT100" s="209">
        <v>36</v>
      </c>
      <c r="BU100" s="209">
        <v>39</v>
      </c>
      <c r="BV100" s="209">
        <v>48</v>
      </c>
      <c r="BW100" s="210">
        <v>60</v>
      </c>
      <c r="BX100" s="967"/>
      <c r="BY100" s="208">
        <v>24</v>
      </c>
      <c r="BZ100" s="209">
        <v>36</v>
      </c>
      <c r="CA100" s="209">
        <v>48</v>
      </c>
      <c r="CB100" s="209">
        <v>60</v>
      </c>
      <c r="CC100" s="209">
        <v>72</v>
      </c>
      <c r="CD100" s="209">
        <v>24</v>
      </c>
      <c r="CE100" s="209">
        <v>36</v>
      </c>
      <c r="CF100" s="209">
        <v>39</v>
      </c>
      <c r="CG100" s="209">
        <v>48</v>
      </c>
      <c r="CH100" s="211">
        <v>60</v>
      </c>
      <c r="CI100" s="952"/>
      <c r="CJ100" s="954"/>
      <c r="CK100" s="215">
        <v>36</v>
      </c>
      <c r="CL100" s="215">
        <v>48</v>
      </c>
      <c r="CM100" s="215">
        <v>60</v>
      </c>
      <c r="CN100" s="215">
        <v>72</v>
      </c>
      <c r="CO100" s="892" t="s">
        <v>1068</v>
      </c>
      <c r="CP100" s="939"/>
      <c r="CQ100" s="215">
        <v>36</v>
      </c>
      <c r="CR100" s="215">
        <v>48</v>
      </c>
      <c r="CS100" s="215">
        <v>60</v>
      </c>
      <c r="CT100" s="215">
        <v>72</v>
      </c>
      <c r="CU100" s="215" t="s">
        <v>1068</v>
      </c>
      <c r="CV100" s="939"/>
      <c r="CW100" s="215">
        <v>24</v>
      </c>
      <c r="CX100" s="215">
        <v>36</v>
      </c>
      <c r="CY100" s="215">
        <v>39</v>
      </c>
      <c r="CZ100" s="215">
        <v>48</v>
      </c>
      <c r="DA100" s="215">
        <v>60</v>
      </c>
      <c r="DB100" s="939"/>
      <c r="DC100" s="215" t="s">
        <v>97</v>
      </c>
      <c r="DD100" s="215" t="s">
        <v>98</v>
      </c>
      <c r="DE100" s="215" t="s">
        <v>99</v>
      </c>
      <c r="DF100" s="939"/>
      <c r="DG100" s="939"/>
      <c r="DH100" s="939"/>
      <c r="DI100" s="939"/>
      <c r="DJ100" s="939"/>
      <c r="DK100" s="215" t="s">
        <v>98</v>
      </c>
      <c r="DL100" s="215" t="s">
        <v>99</v>
      </c>
      <c r="DM100" s="939"/>
      <c r="DN100" s="570" t="s">
        <v>100</v>
      </c>
      <c r="DO100" s="570" t="s">
        <v>101</v>
      </c>
      <c r="DP100" s="570" t="s">
        <v>102</v>
      </c>
      <c r="DQ100" s="570" t="s">
        <v>103</v>
      </c>
      <c r="DR100" s="570" t="s">
        <v>104</v>
      </c>
      <c r="DS100" s="570" t="s">
        <v>105</v>
      </c>
      <c r="DT100" s="570" t="s">
        <v>106</v>
      </c>
      <c r="DU100" s="570" t="s">
        <v>107</v>
      </c>
      <c r="DV100" s="570" t="s">
        <v>108</v>
      </c>
      <c r="DW100" s="216" t="s">
        <v>109</v>
      </c>
      <c r="DX100" s="576"/>
      <c r="DY100" s="944"/>
      <c r="DZ100" s="572" t="s">
        <v>110</v>
      </c>
      <c r="EA100" s="572" t="s">
        <v>111</v>
      </c>
      <c r="EB100" s="220">
        <v>24</v>
      </c>
      <c r="EC100" s="220">
        <v>36</v>
      </c>
      <c r="ED100" s="220">
        <v>48</v>
      </c>
      <c r="EE100" s="220">
        <v>60</v>
      </c>
      <c r="EF100" s="220">
        <v>72</v>
      </c>
      <c r="EG100" s="923"/>
      <c r="EH100" s="220">
        <v>24</v>
      </c>
      <c r="EI100" s="220">
        <v>36</v>
      </c>
      <c r="EJ100" s="220">
        <v>48</v>
      </c>
      <c r="EK100" s="220">
        <v>60</v>
      </c>
      <c r="EL100" s="220">
        <v>72</v>
      </c>
      <c r="EM100" s="923"/>
      <c r="EN100" s="220">
        <v>24</v>
      </c>
      <c r="EO100" s="220">
        <v>36</v>
      </c>
      <c r="EP100" s="221">
        <v>39</v>
      </c>
      <c r="EQ100" s="221">
        <v>48</v>
      </c>
      <c r="ER100" s="221">
        <v>60</v>
      </c>
      <c r="ES100" s="923"/>
      <c r="ET100" s="923"/>
      <c r="EU100" s="927"/>
      <c r="EV100" s="571" t="s">
        <v>110</v>
      </c>
      <c r="EW100" s="571" t="s">
        <v>111</v>
      </c>
      <c r="EX100" s="927"/>
      <c r="EY100" s="927"/>
      <c r="EZ100" s="927"/>
      <c r="FA100" s="923"/>
      <c r="FB100" s="221">
        <v>24</v>
      </c>
      <c r="FC100" s="221">
        <v>36</v>
      </c>
      <c r="FD100" s="221">
        <v>48</v>
      </c>
      <c r="FE100" s="221">
        <v>60</v>
      </c>
      <c r="FF100" s="221">
        <v>72</v>
      </c>
      <c r="FG100" s="923"/>
      <c r="FH100" s="221">
        <v>24</v>
      </c>
      <c r="FI100" s="221">
        <v>36</v>
      </c>
      <c r="FJ100" s="221">
        <v>48</v>
      </c>
      <c r="FK100" s="221">
        <v>60</v>
      </c>
      <c r="FL100" s="221" t="s">
        <v>112</v>
      </c>
      <c r="FM100" s="923"/>
      <c r="FN100" s="221">
        <v>24</v>
      </c>
      <c r="FO100" s="221">
        <v>36</v>
      </c>
      <c r="FP100" s="221" t="s">
        <v>113</v>
      </c>
      <c r="FQ100" s="221" t="s">
        <v>114</v>
      </c>
      <c r="FR100" s="221" t="s">
        <v>115</v>
      </c>
      <c r="FS100" s="923"/>
      <c r="FT100" s="927"/>
      <c r="FU100" s="927"/>
      <c r="FV100" s="927"/>
      <c r="FW100" s="927"/>
      <c r="FX100" s="927"/>
      <c r="FY100" s="927"/>
      <c r="FZ100" s="572" t="s">
        <v>116</v>
      </c>
      <c r="GA100" s="572" t="s">
        <v>117</v>
      </c>
      <c r="GB100" s="923"/>
      <c r="GC100" s="222" t="s">
        <v>116</v>
      </c>
      <c r="GD100" s="222" t="s">
        <v>117</v>
      </c>
      <c r="GE100" s="222" t="s">
        <v>116</v>
      </c>
      <c r="GF100" s="222" t="s">
        <v>117</v>
      </c>
      <c r="GG100" s="923"/>
      <c r="GH100" s="923"/>
      <c r="GI100" s="923"/>
      <c r="GJ100" s="923"/>
      <c r="GK100" s="923"/>
      <c r="GL100" s="923"/>
      <c r="GM100" s="925"/>
      <c r="GO100" s="225" t="s">
        <v>118</v>
      </c>
      <c r="GP100" s="306" t="s">
        <v>119</v>
      </c>
      <c r="GQ100" s="227">
        <v>24</v>
      </c>
      <c r="GR100" s="227">
        <v>36</v>
      </c>
      <c r="GS100" s="227">
        <v>48</v>
      </c>
      <c r="GT100" s="227">
        <v>60</v>
      </c>
      <c r="GU100" s="227">
        <v>72</v>
      </c>
      <c r="GV100" s="1106"/>
      <c r="GW100" s="226">
        <v>24</v>
      </c>
      <c r="GX100" s="226">
        <v>36</v>
      </c>
      <c r="GY100" s="226">
        <v>48</v>
      </c>
      <c r="GZ100" s="226">
        <v>60</v>
      </c>
      <c r="HA100" s="226">
        <v>72</v>
      </c>
      <c r="HB100" s="917"/>
      <c r="HC100" s="227">
        <v>24</v>
      </c>
      <c r="HD100" s="227">
        <v>36</v>
      </c>
      <c r="HE100" s="228">
        <v>39</v>
      </c>
      <c r="HF100" s="228">
        <v>48</v>
      </c>
      <c r="HG100" s="228">
        <v>60</v>
      </c>
      <c r="HH100" s="921"/>
      <c r="HI100" s="93"/>
      <c r="HJ100" s="1109"/>
      <c r="HK100" s="1109"/>
      <c r="HL100" s="93"/>
      <c r="HM100" s="1100"/>
      <c r="HN100" s="1102"/>
      <c r="HO100" s="1104"/>
      <c r="HP100" s="1098"/>
      <c r="HQ100" s="911"/>
      <c r="HR100" s="913"/>
      <c r="HS100" s="1086"/>
      <c r="HT100" s="1088"/>
      <c r="HU100" s="1090"/>
      <c r="HV100" s="1086"/>
      <c r="HW100" s="1088"/>
      <c r="HX100" s="1090"/>
      <c r="HY100" s="909"/>
      <c r="HZ100" s="911"/>
      <c r="IA100" s="913"/>
      <c r="IB100" s="1086"/>
      <c r="IC100" s="1088"/>
      <c r="ID100" s="1090"/>
      <c r="IE100" s="1092"/>
      <c r="IF100" s="1094"/>
      <c r="IG100" s="1096"/>
      <c r="IH100" s="53"/>
      <c r="II100" s="1080"/>
      <c r="IJ100" s="1082"/>
      <c r="IK100" s="1084"/>
      <c r="IL100" s="1072"/>
      <c r="IM100" s="1074"/>
      <c r="IN100" s="1076"/>
      <c r="IO100" s="1072"/>
      <c r="IP100" s="1074"/>
      <c r="IQ100" s="1078"/>
      <c r="IR100" s="1072"/>
      <c r="IS100" s="1074"/>
      <c r="IT100" s="1076"/>
      <c r="IU100" s="1066"/>
      <c r="IV100" s="1068"/>
      <c r="IW100" s="1070"/>
      <c r="IX100" s="1072"/>
      <c r="IY100" s="1074"/>
      <c r="IZ100" s="1076"/>
      <c r="JA100" s="1055"/>
      <c r="JB100" s="1057"/>
      <c r="JC100" s="1059"/>
      <c r="JD100" s="1061"/>
      <c r="JE100" s="53"/>
      <c r="JF100" s="1062"/>
      <c r="JG100" s="1064"/>
      <c r="JH100" s="1045"/>
      <c r="JI100" s="1045"/>
      <c r="JJ100" s="1047"/>
      <c r="JK100" s="1049"/>
      <c r="JL100" s="1051"/>
      <c r="JM100" s="1053"/>
      <c r="JN100" s="53"/>
      <c r="JO100" s="1041"/>
      <c r="JP100" s="1042"/>
      <c r="JQ100" s="1043"/>
      <c r="JR100" s="1039"/>
      <c r="JS100" s="1038"/>
      <c r="JT100" s="1039"/>
      <c r="JU100" s="1038"/>
      <c r="JV100" s="1039"/>
      <c r="JW100" s="1038"/>
      <c r="JX100" s="1040"/>
      <c r="JY100" s="107"/>
      <c r="JZ100" s="363"/>
      <c r="KA100" s="363"/>
      <c r="KB100" s="363"/>
      <c r="KC100" s="363"/>
      <c r="KD100" s="363"/>
      <c r="KE100" s="363"/>
      <c r="KF100" s="363"/>
      <c r="KG100" s="363"/>
      <c r="KI100" s="364" t="s">
        <v>328</v>
      </c>
      <c r="KJ100" s="364" t="s">
        <v>329</v>
      </c>
      <c r="KK100" s="364" t="s">
        <v>330</v>
      </c>
      <c r="KL100" s="364" t="s">
        <v>565</v>
      </c>
      <c r="KN100" s="363"/>
      <c r="KO100" s="363"/>
      <c r="KP100" s="363"/>
      <c r="KQ100" s="363"/>
      <c r="KR100" s="363"/>
      <c r="KS100" s="363"/>
      <c r="KT100" s="363"/>
      <c r="KU100" s="363"/>
      <c r="KV100" s="363"/>
    </row>
    <row r="101" spans="1:310" s="60" customFormat="1" ht="15.75" thickBot="1">
      <c r="A101" s="560">
        <f>C101*1000+B101</f>
        <v>1001</v>
      </c>
      <c r="B101" s="560">
        <v>1</v>
      </c>
      <c r="C101" s="559">
        <v>1</v>
      </c>
      <c r="D101" s="560" t="s">
        <v>566</v>
      </c>
      <c r="E101" s="365">
        <f>INDEX(Input!$1:$1048576,E$93,$C101*2+MIN($B101,1)+5)</f>
        <v>1000</v>
      </c>
      <c r="F101" s="366">
        <f>INDEX(Input!$1:$1048576,F$93,$C101*2+MIN($B101,1)+5)</f>
        <v>0</v>
      </c>
      <c r="G101" s="49">
        <f>INDEX(Input!$1:$1048576,G$93,$C101*2+MIN($B101,1)+5)</f>
        <v>0</v>
      </c>
      <c r="H101" s="49">
        <f>INDEX(Input!$1:$1048576,H$93,$C101*2+MIN($B101,1)+5)</f>
        <v>0</v>
      </c>
      <c r="I101" s="367">
        <f>INDEX(Input!$1:$1048576,I$93,$C101*2+MIN($B101,1)+5)</f>
        <v>0.7</v>
      </c>
      <c r="J101" s="367" t="str">
        <f>INDEX(Input!$1:$1048576,J$93,$C101*2+MIN($B101,1)+5)</f>
        <v>Market</v>
      </c>
      <c r="K101" s="367" t="str">
        <f>INDEX(Input!$1:$1048576,K$93,$C101*2+MIN($B101,1)+5)</f>
        <v>Market</v>
      </c>
      <c r="L101" s="367" t="str">
        <f>INDEX(Input!$1:$1048576,L$93,$C101*2+MIN($B101,1)+5)</f>
        <v>Market</v>
      </c>
      <c r="M101" s="367" t="str">
        <f>INDEX(Input!$1:$1048576,M$93,$C101*2+MIN($B101,1)+5)</f>
        <v>Market</v>
      </c>
      <c r="N101" s="367" t="str">
        <f>INDEX(Input!$1:$1048576,N$93,$C101*2+MIN($B101,1)+5)</f>
        <v>Market</v>
      </c>
      <c r="O101" s="367" t="str">
        <f>INDEX(Input!$1:$1048576,O$93,$C101*2+MIN($B101,1)+5)</f>
        <v>Market</v>
      </c>
      <c r="P101" s="367" t="str">
        <f>INDEX(Input!$1:$1048576,P$93,$C101*2+MIN($B101,1)+5)</f>
        <v>N</v>
      </c>
      <c r="Q101" s="47">
        <f>INDEX(Input!$1:$1048576,Q$93,$C101*2+MIN($B101,1)+5)</f>
        <v>0</v>
      </c>
      <c r="R101" s="38">
        <f>INDEX(Input!$1:$1048576,R$93,$C101*2+MIN($B101,1)+5)</f>
        <v>0</v>
      </c>
      <c r="S101" s="38">
        <f>INDEX(Input!$1:$1048576,S$93,$C101*2+MIN($B101,1)+5)</f>
        <v>0</v>
      </c>
      <c r="T101" s="38">
        <f>INDEX(Input!$1:$1048576,T$93,$C101*2+MIN($B101,1)+5)</f>
        <v>0</v>
      </c>
      <c r="U101" s="38">
        <f>INDEX(Input!$1:$1048576,U$93,$C101*2+MIN($B101,1)+5)</f>
        <v>0</v>
      </c>
      <c r="V101" s="38">
        <f>INDEX(Input!$1:$1048576,V$93,$C101*2+MIN($B101,1)+5)</f>
        <v>1.9E-2</v>
      </c>
      <c r="W101" s="22">
        <f>INDEX(Input!$1:$1048576,W$93,$C101*2+MIN($B101,1)+5)</f>
        <v>3.9E-2</v>
      </c>
      <c r="X101" s="367" t="str">
        <f>INDEX(Input!$1:$1048576,X$93,$C101*2+MIN($B101,1)+5)</f>
        <v>Y</v>
      </c>
      <c r="Y101" s="49">
        <f>INDEX(Input!$1:$1048576,Y$93,$C101*2+MIN($B101,1)+5)</f>
        <v>2289</v>
      </c>
      <c r="Z101" s="584">
        <f>INDEX(Input!$1:$1048576,Z$93,$C101*2+MIN($B101,1)+5)</f>
        <v>0</v>
      </c>
      <c r="AA101" s="49">
        <f>INDEX(Input!$1:$1048576,AA$93,$C101*2+MIN($B101,1)+5)</f>
        <v>1000</v>
      </c>
      <c r="AB101" s="367">
        <f>INDEX(Input!$1:$1048576,AB$93,$C101*2+MIN($B101,1)+5)</f>
        <v>0.27</v>
      </c>
      <c r="AC101" s="49">
        <f>INDEX(Input!$1:$1048576,AC$93,$C101*2+MIN($B101,1)+5)</f>
        <v>1000</v>
      </c>
      <c r="AD101" s="367">
        <f>INDEX(Input!$1:$1048576,AD$93,$C101*2+MIN($B101,1)+5)</f>
        <v>0.27</v>
      </c>
      <c r="AE101" s="49">
        <f>INDEX(Input!$1:$1048576,AE$93,$C101*2+MIN($B101,1)+5)</f>
        <v>0</v>
      </c>
      <c r="AF101" s="367">
        <f>INDEX(Input!$1:$1048576,AF$93,$C101*2+MIN($B101,1)+5)</f>
        <v>0.38</v>
      </c>
      <c r="AG101" s="49">
        <f>INDEX(Input!$1:$1048576,AG$93,$C101*2+MIN($B101,1)+5)</f>
        <v>0</v>
      </c>
      <c r="AH101" s="367">
        <f>INDEX(Input!$1:$1048576,AH$93,$C101*2+MIN($B101,1)+5)</f>
        <v>0</v>
      </c>
      <c r="AI101" s="49">
        <f>INDEX(Input!$1:$1048576,AI$93,$C101*2+MIN($B101,1)+5)</f>
        <v>0</v>
      </c>
      <c r="AJ101" s="367">
        <f>INDEX(Input!$1:$1048576,AJ$93,$C101*2+MIN($B101,1)+5)</f>
        <v>0.27</v>
      </c>
      <c r="AK101" s="298">
        <f>ROUND(INDEX(Input!$1:$1048576,AK$93,$C101*2+MIN($B101,1)+5),0)</f>
        <v>4104</v>
      </c>
      <c r="AL101" s="49">
        <f>ROUND(INDEX(Input!$1:$1048576,AL$93,$C101*2+MIN($B101,1)+5),0)</f>
        <v>4104</v>
      </c>
      <c r="AM101" s="46" t="str">
        <f>IF(K101="market","std",ROUND(K101*1000,0)/10)&amp;"/"&amp;IF(L101="market","std",ROUND(L101*1000,0)/10)&amp;"/"&amp;IF(M101="market","std",ROUND(M101*1000,0)/10)&amp;"/"&amp;IF(N101="market","std",ROUND(N101*1000,0)/10)&amp;IF(P101="N","","/"&amp;IF(O101="market","std",ROUND(O101*1000,0)/10))</f>
        <v>std/std/std/std</v>
      </c>
      <c r="AN101" s="46" t="str">
        <f>"$"&amp;ROUND(Q101,0)&amp;" + "&amp;IF(S101="market","std",ROUND(S101*1000,0)/10)&amp;"/"&amp;IF(T101="market","std",ROUND(T101*1000,0)/10)&amp;"/"&amp;IF(U101="market","std",ROUND(U101*1000,0)/10)&amp;"/"&amp;IF(V101="market","std",ROUND(V101*1000,0)/10)&amp;IF(X101="N","","/"&amp;IF(W101="market","std",ROUND(W101*1000,0)/10))</f>
        <v>$0 + 0/0/0/1.9/3.9</v>
      </c>
      <c r="AO101" s="44" t="str">
        <f>IF(S101="market","std",ROUND(S101*1000,0)/10)&amp;"/"&amp;IF(T101="market","std",ROUND(T101*1000,0)/10)&amp;"/"&amp;IF(U101="market","std",ROUND(U101*1000,0)/10)&amp;"/"&amp;IF(V101="market","std",ROUND(V101*1000,0)/10)&amp;IF(X101="N","","/"&amp;IF(W101="market","std",ROUND(W101*1000,0)/10))</f>
        <v>0/0/0/1.9/3.9</v>
      </c>
      <c r="AP101" s="890" t="str">
        <f>IF(X101="Y",
IF(U101="market","std",ROUND(U101*1000,0)/10)&amp;"/"
&amp;MAX(IF(V101="market","std",ROUND(V101*1000,0)/10-1),0)&amp;"/"
&amp;IF(V101="market","std",ROUND(V101*1000,0)/10)&amp;"/"
&amp;IF(W101="market","std",ROUND(W101*1000,0)/10),
IF(U101="market","std",ROUND(U101*1000,0)/10)&amp;"/"
&amp;MAX(IF(V101="market","std",ROUND(V101*1000,0)/10-1),0)&amp;"/"
&amp;IF(V101="market","std",ROUND(V101*1000,0)/10)&amp;"/"
&amp;IF(W101="market","std",ROUND(W101*1000,0)/10))</f>
        <v>0/0.9/1.9/3.9</v>
      </c>
      <c r="AQ101" s="507">
        <f t="shared" ref="AQ101:AQ164" si="39">SUM(IE101,G101*IF101,H101*IG101,AC101*AD101,AE101*AF101,AI101)</f>
        <v>270.24663677130047</v>
      </c>
      <c r="AR101" s="44"/>
      <c r="AS101" s="368"/>
      <c r="AT101" s="579">
        <v>1</v>
      </c>
      <c r="AU101" s="45" t="s">
        <v>121</v>
      </c>
      <c r="AV101" s="45" t="s">
        <v>116</v>
      </c>
      <c r="AW101" s="45" t="str">
        <f>INDEX(Input!$1:$1048576,AW$93,$C101*2+6)</f>
        <v>Kia</v>
      </c>
      <c r="AX101" s="45" t="str">
        <f>INDEX(Input!$1:$1048576,AX$93,$C101*2+6)</f>
        <v>Kia-LR - L1</v>
      </c>
      <c r="AY101" s="10" t="str">
        <f>IF(LEN(D101)=0,"",INDEX(Input!$1:$1048576,AY$93,$C101*2+6))</f>
        <v>Compact SUV (52)</v>
      </c>
      <c r="AZ101" s="45" t="str">
        <f>INDEX(Input!$1:$1048576,AZ$93,$C101*2+6)</f>
        <v>Kia Soul</v>
      </c>
      <c r="BA101" s="50">
        <f>INDEX(Input!$1:$1048576,BA$93,$C101*2+6)</f>
        <v>2020</v>
      </c>
      <c r="BB101" s="48">
        <f>INDEX(Input!$1:$1048576,BB$93,$C101*2+6)</f>
        <v>1</v>
      </c>
      <c r="BC101" s="578">
        <f>INDEX(Input!$1:$1048576,BC$93,$C101*2+6)</f>
        <v>0.7</v>
      </c>
      <c r="BD101" s="38">
        <f>INDEX(Input!$1:$1048576,BD$93,$C101*2+6)</f>
        <v>4.4999999999999998E-2</v>
      </c>
      <c r="BE101" s="38">
        <f>INDEX(Input!$1:$1048576,BE$93,$C101*2+6)</f>
        <v>4.4999999999999998E-2</v>
      </c>
      <c r="BF101" s="38">
        <f>INDEX(Input!$1:$1048576,BF$93,$C101*2+6)</f>
        <v>0.05</v>
      </c>
      <c r="BG101" s="38">
        <f>INDEX(Input!$1:$1048576,BG$93,$C101*2+6)</f>
        <v>5.45E-2</v>
      </c>
      <c r="BH101" s="38">
        <f>INDEX(Input!$1:$1048576,BH$93,$C101*2+6)</f>
        <v>5.45E-2</v>
      </c>
      <c r="BI101" s="38">
        <f>INDEX(Input!$1:$1048576,BI$93,$C101*2+6)</f>
        <v>0.05</v>
      </c>
      <c r="BJ101" s="38">
        <f>INDEX(Input!$1:$1048576,BJ$93,$C101*2+6)</f>
        <v>0.05</v>
      </c>
      <c r="BK101" s="38">
        <f>INDEX(Input!$1:$1048576,BK$93,$C101*2+6)</f>
        <v>0.05</v>
      </c>
      <c r="BL101" s="38">
        <f>INDEX(Input!$1:$1048576,BL$93,$C101*2+6)</f>
        <v>5.5E-2</v>
      </c>
      <c r="BM101" s="38">
        <f>INDEX(Input!$1:$1048576,BM$93,$C101*2+6)</f>
        <v>0.06</v>
      </c>
      <c r="BN101" s="38">
        <f>INDEX(Input!$1:$1048576,BN$93,$C101*2+6)</f>
        <v>4.4999999999999998E-2</v>
      </c>
      <c r="BO101" s="38">
        <f>INDEX(Input!$1:$1048576,BO$93,$C101*2+6)</f>
        <v>4.4999999999999998E-2</v>
      </c>
      <c r="BP101" s="38">
        <f>INDEX(Input!$1:$1048576,BP$93,$C101*2+6)</f>
        <v>0.05</v>
      </c>
      <c r="BQ101" s="38">
        <f>INDEX(Input!$1:$1048576,BQ$93,$C101*2+6)</f>
        <v>5.45E-2</v>
      </c>
      <c r="BR101" s="38">
        <f>INDEX(Input!$1:$1048576,BR$93,$C101*2+6)</f>
        <v>5.45E-2</v>
      </c>
      <c r="BS101" s="38">
        <f>INDEX(Input!$1:$1048576,BS$93,$C101*2+6)</f>
        <v>0.05</v>
      </c>
      <c r="BT101" s="38">
        <f>INDEX(Input!$1:$1048576,BT$93,$C101*2+6)</f>
        <v>0.05</v>
      </c>
      <c r="BU101" s="38">
        <f>INDEX(Input!$1:$1048576,BU$93,$C101*2+6)</f>
        <v>0.05</v>
      </c>
      <c r="BV101" s="38">
        <f>INDEX(Input!$1:$1048576,BV$93,$C101*2+6)</f>
        <v>5.5E-2</v>
      </c>
      <c r="BW101" s="38">
        <f>INDEX(Input!$1:$1048576,BW$93,$C101*2+6)</f>
        <v>0.06</v>
      </c>
      <c r="BX101" s="29">
        <f>INDEX(Input!$1:$1048576,BX$93,$C101*2+6)</f>
        <v>19985</v>
      </c>
      <c r="BY101" s="367">
        <f>INDEX(Input!$1:$1048576,BY$93,$C101*2+6)</f>
        <v>0.1</v>
      </c>
      <c r="BZ101" s="367">
        <f>INDEX(Input!$1:$1048576,BZ$93,$C101*2+6)</f>
        <v>0.1</v>
      </c>
      <c r="CA101" s="367">
        <f>INDEX(Input!$1:$1048576,CA$93,$C101*2+6)</f>
        <v>0.1</v>
      </c>
      <c r="CB101" s="367">
        <f>INDEX(Input!$1:$1048576,CB$93,$C101*2+6)</f>
        <v>0.1</v>
      </c>
      <c r="CC101" s="367">
        <f>INDEX(Input!$1:$1048576,CC$93,$C101*2+6)</f>
        <v>0.1</v>
      </c>
      <c r="CD101" s="367">
        <f>INDEX(Input!$1:$1048576,CD$93,$C101*2+6)</f>
        <v>0.1</v>
      </c>
      <c r="CE101" s="367">
        <f>INDEX(Input!$1:$1048576,CE$93,$C101*2+6)</f>
        <v>0.1</v>
      </c>
      <c r="CF101" s="367">
        <f>INDEX(Input!$1:$1048576,CF$93,$C101*2+6)</f>
        <v>0.1</v>
      </c>
      <c r="CG101" s="367">
        <f>INDEX(Input!$1:$1048576,CG$93,$C101*2+6)</f>
        <v>0.1</v>
      </c>
      <c r="CH101" s="48">
        <f>INDEX(Input!$1:$1048576,CH$93,$C101*2+6)</f>
        <v>0.1</v>
      </c>
      <c r="CI101" s="298">
        <f>E101+F101*I101+AA101*AB101</f>
        <v>1270</v>
      </c>
      <c r="CJ101" s="46" t="str">
        <f>INDEX(Input!$1:$1048576,CJ$93,$C101*2+6)</f>
        <v>N</v>
      </c>
      <c r="CK101" s="38" t="str">
        <f>K101</f>
        <v>Market</v>
      </c>
      <c r="CL101" s="38" t="str">
        <f t="shared" ref="CL101:CO101" si="40">L101</f>
        <v>Market</v>
      </c>
      <c r="CM101" s="38" t="str">
        <f t="shared" si="40"/>
        <v>Market</v>
      </c>
      <c r="CN101" s="38" t="str">
        <f t="shared" si="40"/>
        <v>Market</v>
      </c>
      <c r="CO101" s="38" t="str">
        <f t="shared" si="40"/>
        <v>Market</v>
      </c>
      <c r="CP101" s="49">
        <f>Q101+G101*I101+AG101*AH101</f>
        <v>0</v>
      </c>
      <c r="CQ101" s="38">
        <f>S101</f>
        <v>0</v>
      </c>
      <c r="CR101" s="38">
        <f t="shared" ref="CR101:CU101" si="41">T101</f>
        <v>0</v>
      </c>
      <c r="CS101" s="38">
        <f t="shared" si="41"/>
        <v>0</v>
      </c>
      <c r="CT101" s="38">
        <f t="shared" si="41"/>
        <v>1.9E-2</v>
      </c>
      <c r="CU101" s="38">
        <f t="shared" si="41"/>
        <v>3.9E-2</v>
      </c>
      <c r="CV101" s="49">
        <f>Y101+H101*I101+AC101*AD101</f>
        <v>2559</v>
      </c>
      <c r="CW101" s="22" t="s">
        <v>122</v>
      </c>
      <c r="CX101" s="22" t="s">
        <v>122</v>
      </c>
      <c r="CY101" s="22" t="s">
        <v>122</v>
      </c>
      <c r="CZ101" s="22" t="s">
        <v>122</v>
      </c>
      <c r="DA101" s="22" t="s">
        <v>122</v>
      </c>
      <c r="DB101" s="502">
        <f>Z101+AE101*AF101</f>
        <v>0</v>
      </c>
      <c r="DC101" s="29">
        <v>0</v>
      </c>
      <c r="DD101" s="29">
        <v>0</v>
      </c>
      <c r="DE101" s="29">
        <v>0</v>
      </c>
      <c r="DF101" s="49">
        <v>0</v>
      </c>
      <c r="DG101" s="49">
        <v>0</v>
      </c>
      <c r="DH101" s="49">
        <v>0</v>
      </c>
      <c r="DI101" s="49">
        <v>0</v>
      </c>
      <c r="DJ101" s="49">
        <v>0</v>
      </c>
      <c r="DK101" s="29">
        <v>0</v>
      </c>
      <c r="DL101" s="29">
        <v>0</v>
      </c>
      <c r="DM101" s="49">
        <f>INDEX(Input!$1:$1048576,DM$93,$C101*2+6)</f>
        <v>21036.84210526316</v>
      </c>
      <c r="DN101" s="367">
        <v>0</v>
      </c>
      <c r="DO101" s="367">
        <v>0</v>
      </c>
      <c r="DP101" s="367">
        <v>0</v>
      </c>
      <c r="DQ101" s="367">
        <v>0</v>
      </c>
      <c r="DR101" s="367">
        <v>0</v>
      </c>
      <c r="DS101" s="367">
        <f>INDEX(Input!$1:$1048576,DS$93,$C101*2+6)</f>
        <v>0.6</v>
      </c>
      <c r="DT101" s="367">
        <f>INDEX(Input!$1:$1048576,DT$93,$C101*2+6)</f>
        <v>0.55000000000000004</v>
      </c>
      <c r="DU101" s="367">
        <f>INDEX(Input!$1:$1048576,DU$93,$C101*2+6)</f>
        <v>0.52</v>
      </c>
      <c r="DV101" s="367">
        <f>INDEX(Input!$1:$1048576,DV$93,$C101*2+6)</f>
        <v>0.5</v>
      </c>
      <c r="DW101" s="48">
        <f>INDEX(Input!$1:$1048576,DW$93,$C101*2+6)</f>
        <v>0.45</v>
      </c>
      <c r="DX101" s="577"/>
      <c r="DY101" s="4">
        <v>9.6919803241300118E-2</v>
      </c>
      <c r="DZ101" s="37">
        <v>0</v>
      </c>
      <c r="EA101" s="37">
        <v>0.46483814297805748</v>
      </c>
      <c r="EB101" s="37">
        <v>0</v>
      </c>
      <c r="EC101" s="37">
        <v>0</v>
      </c>
      <c r="ED101" s="37">
        <v>0</v>
      </c>
      <c r="EE101" s="37">
        <v>0</v>
      </c>
      <c r="EF101" s="37">
        <v>0</v>
      </c>
      <c r="EG101" s="37">
        <v>0</v>
      </c>
      <c r="EH101" s="37">
        <v>1.8402200445098646E-2</v>
      </c>
      <c r="EI101" s="37">
        <v>5.3739557110571871E-2</v>
      </c>
      <c r="EJ101" s="37">
        <v>0.3394668490413198</v>
      </c>
      <c r="EK101" s="37">
        <v>0.48247712639938073</v>
      </c>
      <c r="EL101" s="37">
        <v>0.10591426700362866</v>
      </c>
      <c r="EM101" s="37">
        <v>4.891749793519079E-2</v>
      </c>
      <c r="EN101" s="37">
        <v>5.0761292963147478E-2</v>
      </c>
      <c r="EO101" s="37">
        <v>0.76765506488578406</v>
      </c>
      <c r="EP101" s="37">
        <v>7.9310896511250395E-2</v>
      </c>
      <c r="EQ101" s="37">
        <v>6.0469651977491427E-2</v>
      </c>
      <c r="ER101" s="37">
        <v>4.180309366232654E-2</v>
      </c>
      <c r="ES101" s="37">
        <v>0.38932455584545167</v>
      </c>
      <c r="ET101" s="37">
        <v>0.4382420537806424</v>
      </c>
      <c r="EU101" s="36">
        <v>1240</v>
      </c>
      <c r="EV101" s="36">
        <v>0</v>
      </c>
      <c r="EW101" s="36">
        <v>1240</v>
      </c>
      <c r="EX101" s="36">
        <v>0</v>
      </c>
      <c r="EY101" s="36">
        <v>2009.7221397149676</v>
      </c>
      <c r="EZ101" s="36">
        <v>2070</v>
      </c>
      <c r="FA101" s="36">
        <v>0</v>
      </c>
      <c r="FB101" s="36">
        <v>0</v>
      </c>
      <c r="FC101" s="36">
        <v>0</v>
      </c>
      <c r="FD101" s="36">
        <v>0</v>
      </c>
      <c r="FE101" s="36">
        <v>0</v>
      </c>
      <c r="FF101" s="36">
        <v>0</v>
      </c>
      <c r="FG101" s="36">
        <v>0</v>
      </c>
      <c r="FH101" s="36">
        <v>1171.2811379695615</v>
      </c>
      <c r="FI101" s="36">
        <v>1553.9796069512402</v>
      </c>
      <c r="FJ101" s="36">
        <v>2101.211011744741</v>
      </c>
      <c r="FK101" s="36">
        <v>1772.7139978623231</v>
      </c>
      <c r="FL101" s="36">
        <v>907.07682140966313</v>
      </c>
      <c r="FM101" s="36">
        <v>1769.7221397149676</v>
      </c>
      <c r="FN101" s="36">
        <v>0</v>
      </c>
      <c r="FO101" s="36">
        <v>0</v>
      </c>
      <c r="FP101" s="36">
        <v>0</v>
      </c>
      <c r="FQ101" s="36">
        <v>0</v>
      </c>
      <c r="FR101" s="36">
        <v>0</v>
      </c>
      <c r="FS101" s="36">
        <v>0</v>
      </c>
      <c r="FT101" s="37">
        <v>0.5617579462193576</v>
      </c>
      <c r="FU101" s="37">
        <v>4.891749793519079E-2</v>
      </c>
      <c r="FV101" s="37">
        <v>0.38932455584545167</v>
      </c>
      <c r="FW101" s="36">
        <v>1240</v>
      </c>
      <c r="FX101" s="36">
        <v>2009.7221397149679</v>
      </c>
      <c r="FY101" s="36">
        <v>2070</v>
      </c>
      <c r="FZ101" s="36">
        <v>1952.7147957719815</v>
      </c>
      <c r="GA101" s="36">
        <v>1600.7922625319025</v>
      </c>
      <c r="GB101" s="36">
        <v>18384.207737468096</v>
      </c>
      <c r="GC101" s="37">
        <v>1.0519917368675835E-2</v>
      </c>
      <c r="GD101" s="37">
        <v>1.022782493188582E-2</v>
      </c>
      <c r="GE101" s="37"/>
      <c r="GF101" s="37"/>
      <c r="GG101" s="37">
        <v>-2.7765658850111379E-2</v>
      </c>
      <c r="GH101" s="35">
        <v>1.5767580638007326</v>
      </c>
      <c r="GI101" s="36">
        <v>14275.533212850367</v>
      </c>
      <c r="GJ101" s="34">
        <v>0.50394797582841722</v>
      </c>
      <c r="GK101" s="34">
        <v>0.50887573065309732</v>
      </c>
      <c r="GL101" s="34">
        <v>0.49605202417158273</v>
      </c>
      <c r="GM101" s="33">
        <v>0.4911242693469024</v>
      </c>
      <c r="GN101" s="61"/>
      <c r="GO101" s="13">
        <v>343.14810671672558</v>
      </c>
      <c r="GP101" s="27">
        <v>319.49127229486811</v>
      </c>
      <c r="GQ101" s="27">
        <v>535.04305713031317</v>
      </c>
      <c r="GR101" s="27">
        <v>410.15490233172511</v>
      </c>
      <c r="GS101" s="27">
        <v>339.42744393800166</v>
      </c>
      <c r="GT101" s="27">
        <v>293.4407446948278</v>
      </c>
      <c r="GU101" s="27">
        <v>258.04012322764959</v>
      </c>
      <c r="GV101" s="29" t="s">
        <v>392</v>
      </c>
      <c r="GW101" s="27">
        <v>492.95833333333331</v>
      </c>
      <c r="GX101" s="27">
        <v>369.71875</v>
      </c>
      <c r="GY101" s="27">
        <v>295.77499999999998</v>
      </c>
      <c r="GZ101" s="27">
        <v>260.99022522677262</v>
      </c>
      <c r="HA101" s="27">
        <v>241.7574294051233</v>
      </c>
      <c r="HB101" s="29">
        <v>280.87322203061791</v>
      </c>
      <c r="HC101" s="27">
        <v>196.72187499999998</v>
      </c>
      <c r="HD101" s="27">
        <v>177.99289108187131</v>
      </c>
      <c r="HE101" s="27">
        <v>183.57344382591089</v>
      </c>
      <c r="HF101" s="27">
        <v>173.04000548245611</v>
      </c>
      <c r="HG101" s="27">
        <v>170.95638157894734</v>
      </c>
      <c r="HH101" s="12">
        <v>178.79255002831204</v>
      </c>
      <c r="HI101" s="94"/>
      <c r="HJ101" s="335" t="s">
        <v>353</v>
      </c>
      <c r="HK101" s="335" t="s">
        <v>353</v>
      </c>
      <c r="HL101" s="94"/>
      <c r="HM101" s="640">
        <f t="shared" ref="HM101:HM118" si="42">VLOOKUP($C101*1000+1,$A:$HH,FT$92,FALSE)*$JF101</f>
        <v>5.7455619280273196E-3</v>
      </c>
      <c r="HN101" s="22">
        <f t="shared" ref="HN101:HN118" si="43">VLOOKUP($C101*1000+1,$A:$HH,FU$92,FALSE)*$JF101</f>
        <v>5.0031960498701745E-4</v>
      </c>
      <c r="HO101" s="638">
        <f t="shared" ref="HO101:HO118" si="44">VLOOKUP($C101*1000+1,$A:$HH,FV$92,FALSE)*$JF101</f>
        <v>3.9819433988714835E-3</v>
      </c>
      <c r="HP101" s="649">
        <f>(FT101*$GD101-HM101)/$JF101*INDEX(Input!$1:$1048576,$JG$93,$C101*2+6)</f>
        <v>0</v>
      </c>
      <c r="HQ101" s="650">
        <f>(FU101*$GD101-HN101)/$JF101*INDEX(Input!$1:$1048576,$JG$93,$C101*2+6)</f>
        <v>0</v>
      </c>
      <c r="HR101" s="651">
        <f>(FV101*$GD101-HO101)/$JF101*INDEX(Input!$1:$1048576,$JG$93,$C101*2+6)</f>
        <v>0</v>
      </c>
      <c r="HS101" s="650">
        <f t="shared" ref="HS101:HS118" si="45">IF(AND(HJ101="On",HK101="On"),IL101/1000*INDEX(KG:KG,MATCH(C101*1000+3,$KF:$KF,0))*SUM(HY101:IA101)*1.1
+INDEX(HR:HR,MATCH(C101*1000+4,$KF:$KF,0))/INDEX(IM:IM,MATCH(C101*1000+4,$KF:$KF,0))*IM101*20%,0)</f>
        <v>0</v>
      </c>
      <c r="HT101" s="650">
        <f t="shared" ref="HT101:HT118" si="46">IF(AND(HJ101="On",HK101="On"),IM101/1000*INDEX(KG:KG,MATCH(C101*1000+4,$KF:$KF,0))*SUM(HY101:IA101)*1.1
+INDEX(HR:HR,MATCH(C101*1000+3,$KF:$KF,0))/INDEX(IL:IL,MATCH(C101*1000+3,$KF:$KF,0))*IL101*20%,0)</f>
        <v>0</v>
      </c>
      <c r="HU101" s="651">
        <f t="shared" ref="HU101:HU118" si="47">IF(HJ101="On",IN101/1000*INDEX(KG:KG,MATCH(C101*1000+5,$KF:$KF,0))*SUM(HY101:IA101)*1.1
-INDEX(HR:HR,MATCH(C101*1000+3,$KF:$KF,0))/INDEX(IL:IL,MATCH(C101*1000+3,$KF:$KF,0))*IL101*20%
-INDEX(HR:HR,MATCH(C101*1000+4,$KF:$KF,0))/INDEX(IM:IM,MATCH(C101*1000+4,$KF:$KF,0))*IM101*20%,0)</f>
        <v>0</v>
      </c>
      <c r="HV101" s="649">
        <f t="shared" ref="HV101:HV118" si="48">IL101/1000*0+IM101/1000*0+IN101/1000*0
+(CP101-INDEX(CP:CP,MATCH(C101*1000+1,A:A,0)))/1000*0+IF(FU101&gt;0,0,0)</f>
        <v>0</v>
      </c>
      <c r="HW101" s="650">
        <f t="shared" ref="HW101:HW118" si="49">IL101/1000*0+IM101/1000*0+IN101/1000*0
+(CP101-INDEX(CP:CP,MATCH(C101*1000+1,A:A,0)))/1000*0+IF(FU101&gt;0,0,0)</f>
        <v>0</v>
      </c>
      <c r="HX101" s="651">
        <f t="shared" ref="HX101:HX118" si="50">IL101/1000*0+IM101/1000*0+IN101/1000*0
+(CP101-INDEX(CP:CP,MATCH(C101*1000+1,A:A,0)))/1000*0+IF(FU101&gt;0,0,0)</f>
        <v>0</v>
      </c>
      <c r="HY101" s="641">
        <f>INDEX(Input!$1:$1048576,HY$93,$C101*2+6)*INDEX(Input!$1:$1048576,$JG$93,$C101*2+6)</f>
        <v>110.00000000000001</v>
      </c>
      <c r="HZ101" s="641">
        <f>INDEX(Input!$1:$1048576,HZ$93,$C101*2+6)*INDEX(Input!$1:$1048576,$JG$93,$C101*2+6)</f>
        <v>157</v>
      </c>
      <c r="IA101" s="642">
        <f>INDEX(Input!$1:$1048576,IA$93,$C101*2+6)*INDEX(Input!$1:$1048576,$JG$93,$C101*2+6)</f>
        <v>179</v>
      </c>
      <c r="IB101" s="649">
        <f>SUM(HP101:IA101)-IC101-ID101</f>
        <v>110</v>
      </c>
      <c r="IC101" s="650">
        <f>IF(FU101=0,0,1)*MAX(HZ101+HQ101+HT101+HW101,0%)</f>
        <v>157</v>
      </c>
      <c r="ID101" s="651">
        <f>IF(AND(INDEX(Input!$1:$1048576,IA$93,$C101*2+7)="TOS",Y101&lt;=INDEX(Y:Y,MATCH(C101*1000+2,A:A))),0,1)*MAX(IA101+HR101+HU101+HX101,0%)</f>
        <v>179</v>
      </c>
      <c r="IE101" s="129">
        <f>IB101/SUM($IB101:$ID101)</f>
        <v>0.24663677130044842</v>
      </c>
      <c r="IF101" s="652">
        <f t="shared" ref="IF101:IF111" si="51">IC101/SUM($IB101:$ID101)</f>
        <v>0.35201793721973096</v>
      </c>
      <c r="IG101" s="653">
        <f t="shared" ref="IG101:IG111" si="52">ID101/SUM($IB101:$ID101)</f>
        <v>0.40134529147982062</v>
      </c>
      <c r="IH101" s="95"/>
      <c r="II101" s="298">
        <f t="shared" ref="II101:II118" si="53">VLOOKUP($C101*1000+1,$A:$HH,FW$92,FALSE)-VLOOKUP($C101*1000+1,$A:$HH,FA$92,FALSE)*VLOOKUP($C101*1000+1,$A:$HH,DZ$92,FALSE)/VLOOKUP($C101*1000+1,$A:$HH,FT$92,FALSE)</f>
        <v>1240</v>
      </c>
      <c r="IJ101" s="49">
        <f t="shared" ref="IJ101:IJ118" si="54">VLOOKUP($C101*1000+1,$A:$HH,FX$92,FALSE)</f>
        <v>2009.7221397149679</v>
      </c>
      <c r="IK101" s="40">
        <f t="shared" ref="IK101:IK118" si="55">VLOOKUP($C101*1000+1,$A:$HH,FY$92,FALSE)</f>
        <v>2070</v>
      </c>
      <c r="IL101" s="298">
        <f>(FW101-FA101*DZ101/FT101)-II101</f>
        <v>0</v>
      </c>
      <c r="IM101" s="49">
        <f>FX101-IJ101</f>
        <v>0</v>
      </c>
      <c r="IN101" s="40">
        <f t="shared" ref="IM101:IN111" si="56">FY101-IK101</f>
        <v>0</v>
      </c>
      <c r="IO101" s="25">
        <f t="shared" ref="IO101:IO118" si="57">(F101-VLOOKUP($C101*1000+1,$A:$HH,F$92,FALSE))*(1-$I101)</f>
        <v>0</v>
      </c>
      <c r="IP101" s="29">
        <f t="shared" ref="IP101:IP118" si="58">(G101-VLOOKUP($C101*1000+1,$A:$HH,G$92,FALSE))*(1-$I101)</f>
        <v>0</v>
      </c>
      <c r="IQ101" s="29">
        <f t="shared" ref="IQ101:IQ118" si="59">(H101-VLOOKUP($C101*1000+1,$A:$HH,H$92,FALSE))*(1-$I101)</f>
        <v>0</v>
      </c>
      <c r="IR101" s="17">
        <v>0</v>
      </c>
      <c r="IS101" s="29">
        <v>0</v>
      </c>
      <c r="IT101" s="12">
        <v>0</v>
      </c>
      <c r="IU101" s="25">
        <v>0</v>
      </c>
      <c r="IV101" s="29">
        <v>0</v>
      </c>
      <c r="IW101" s="12">
        <v>0</v>
      </c>
      <c r="IX101" s="372">
        <f>INDEX(Input!$1:$1048576,IX$93,$C101*2+6)+INDEX(Input!$1:$1048576,IX$94,$C101*2+6)</f>
        <v>1270</v>
      </c>
      <c r="IY101" s="373">
        <f>INDEX(Input!$1:$1048576,IY$93,$C101*2+6)+INDEX(Input!$1:$1048576,IY$94,$C101*2+6)</f>
        <v>2130.0624533823611</v>
      </c>
      <c r="IZ101" s="374">
        <f>INDEX(Input!$1:$1048576,IZ$93,$C101*2+6)+INDEX(Input!$1:$1048576,IZ$94,$C101*2+6)</f>
        <v>4373.7164157747848</v>
      </c>
      <c r="JA101" s="298">
        <f>(IL101+IO101+IR101+IU101+IX101)</f>
        <v>1270</v>
      </c>
      <c r="JB101" s="49">
        <f>(IM101+IP101+IS101+IV101+IY101)</f>
        <v>2130.0624533823611</v>
      </c>
      <c r="JC101" s="49">
        <f>(IN101+IQ101+IT101+IW101+IZ101)</f>
        <v>4373.7164157747848</v>
      </c>
      <c r="JD101" s="40">
        <f>SUMPRODUCT(IE101:IG101,JA101:JC101)</f>
        <v>2818.4193802796353</v>
      </c>
      <c r="JE101" s="95"/>
      <c r="JF101" s="28">
        <f t="shared" ref="JF101:JF118" si="60">VLOOKUP($C101*1000+1,$A:$HH,GD$92,FALSE)</f>
        <v>1.022782493188582E-2</v>
      </c>
      <c r="JG101" s="23">
        <f>INDEX(Input!$1:$1048576,JG$93,$C101*2+6)/(1+VLOOKUP(C101*1000+INDEX(Input!$1:$1048576,JG$93+1,$C101*2+6),$A:$KK,$JK$92,FALSE))</f>
        <v>446</v>
      </c>
      <c r="JH101" s="38">
        <f>SUM(HP101:HR101)/SUM(HY101:IA101)</f>
        <v>0</v>
      </c>
      <c r="JI101" s="38">
        <f>SUM(HS101:HU101)/SUM(HY101:IA101)</f>
        <v>0</v>
      </c>
      <c r="JJ101" s="11">
        <f>SUM(HV101:HX101)/SUM(HY101:IA101)</f>
        <v>0</v>
      </c>
      <c r="JK101" s="2">
        <f>SUM(JH101:JJ101)</f>
        <v>0</v>
      </c>
      <c r="JL101" s="9">
        <f>JG101*JK101</f>
        <v>0</v>
      </c>
      <c r="JM101" s="8">
        <f>JG101+JL101</f>
        <v>446</v>
      </c>
      <c r="JN101" s="95"/>
      <c r="JO101" s="375">
        <f>INDEX(Input!$1:$1048576,JO$93,$C101*2+6)</f>
        <v>5995.5</v>
      </c>
      <c r="JP101" s="375">
        <f>INDEX(Input!$1:$1048576,JP$93,$C101*2+6)</f>
        <v>2818.4193802796353</v>
      </c>
      <c r="JQ101" s="25">
        <f>JO101-JD101</f>
        <v>3177.0806197203647</v>
      </c>
      <c r="JR101" s="29">
        <f t="shared" ref="JR101:JR111" si="61">JD101-JP101</f>
        <v>0</v>
      </c>
      <c r="JS101" s="29">
        <f t="shared" ref="JS101:JS111" si="62">JM101*JD101/1000000</f>
        <v>1.2570150436047174</v>
      </c>
      <c r="JT101" s="29">
        <f>(JD101*JM101-JP101*JG101)/1000000</f>
        <v>0</v>
      </c>
      <c r="JU101" s="376">
        <f>(JQ101*JM101-INDEX(Input!$1:$1048576,Input!A$18,$C101*2+6)*JL101*INDEX(Input!$1:$1048576,Input!A$19,$C101*2+6))/1000000</f>
        <v>1.4169779563952827</v>
      </c>
      <c r="JV101" s="29">
        <f t="shared" ref="JV101:JV111" si="63">JU101-(JO101-JP101)*JG101/1000000</f>
        <v>0</v>
      </c>
      <c r="JW101" s="38">
        <f>JV101/(JU101-JV101)</f>
        <v>0</v>
      </c>
      <c r="JX101" s="40">
        <f>IF(JL101=0,0,JT101/JL101)*1000000</f>
        <v>0</v>
      </c>
      <c r="JZ101" s="377"/>
      <c r="KA101" s="378"/>
      <c r="KB101" s="474">
        <f>KA106</f>
        <v>2.9286733661474216</v>
      </c>
      <c r="KC101" s="379"/>
      <c r="KD101" s="379"/>
      <c r="KE101" s="379"/>
      <c r="KF101" s="379"/>
      <c r="KG101" s="380"/>
      <c r="KI101" s="381"/>
      <c r="KJ101" s="379"/>
      <c r="KK101" s="379"/>
      <c r="KL101" s="380"/>
      <c r="KN101" s="656">
        <f>C101*1000+$KN$97</f>
        <v>1002</v>
      </c>
      <c r="KO101" s="657">
        <f t="shared" ref="KO101:KO118" si="64">JM101/INDEX(JM:JM,MATCH(KN101,A:A,0))-1</f>
        <v>-4.0990238604485807E-3</v>
      </c>
      <c r="KP101" s="658">
        <f t="shared" ref="KP101:KP118" si="65">(IL101-INDEX(IL:IL,MATCH(KN101,A:A,0)))*IE101
+(IM101-IF(HN101=0,INDEX(IX:IX,MATCH(KN101,A:A,0)),INDEX(IM:IM,MATCH(KN101,A:A,0))))*IF101
+(IN101-INDEX(IN:IN,MATCH(KN101,A:A,0)))*IG101</f>
        <v>-23.979820627802663</v>
      </c>
      <c r="KQ101" s="658">
        <f t="shared" ref="KQ101:KQ118" si="66">JD101-INDEX(JD:JD,MATCH(KN101,A:A,0))</f>
        <v>-20.896819739016337</v>
      </c>
      <c r="KR101" s="659">
        <f t="shared" ref="KR101:KR118" si="67">KO101/(KP101/(BX101-INDEX(JD:JD,MATCH(KN101,A:A,0))))</f>
        <v>2.930821213831166</v>
      </c>
      <c r="KS101" s="659">
        <f t="shared" ref="KS101:KS118" si="68">KO101/(KQ101/(BX101-INDEX(JD:JD,MATCH(KN101,A:A,0))))</f>
        <v>3.363218321140502</v>
      </c>
      <c r="KT101" s="661">
        <f>(1+JK106/(JD106-JD101)*(0-JD101))*JM101</f>
        <v>238.28695973331548</v>
      </c>
      <c r="KU101" s="662">
        <f>IF(D101="",0,IFERROR((JM101/KT101-1)/(JD101/BX101)+B101*10^-6,0))</f>
        <v>6.1810476644432999</v>
      </c>
      <c r="KV101" s="660"/>
      <c r="KW101" s="26"/>
    </row>
    <row r="102" spans="1:310" s="60" customFormat="1" ht="15.75" thickBot="1">
      <c r="A102" s="560">
        <f t="shared" ref="A102:A106" si="69">C102*1000+B102</f>
        <v>1002</v>
      </c>
      <c r="B102" s="560">
        <f>B101+1</f>
        <v>2</v>
      </c>
      <c r="C102" s="560">
        <f>C101</f>
        <v>1</v>
      </c>
      <c r="D102" s="560" t="s">
        <v>567</v>
      </c>
      <c r="E102" s="365">
        <f>INDEX(Input!$1:$1048576,E$93,$C102*2+MIN($B102,2)+5)</f>
        <v>1229</v>
      </c>
      <c r="F102" s="49">
        <f>INDEX(Input!$1:$1048576,F$93,$C102*2+MIN($B102,2)+5)</f>
        <v>0</v>
      </c>
      <c r="G102" s="49">
        <f>INDEX(Input!$1:$1048576,G$93,$C102*2+MIN($B102,2)+5)</f>
        <v>0</v>
      </c>
      <c r="H102" s="49">
        <f>INDEX(Input!$1:$1048576,H$93,$C102*2+MIN($B102,2)+5)</f>
        <v>0</v>
      </c>
      <c r="I102" s="367">
        <f>INDEX(Input!$1:$1048576,I$93,$C102*2+MIN($B102,2)+5)</f>
        <v>0.7</v>
      </c>
      <c r="J102" s="367" t="str">
        <f>INDEX(Input!$1:$1048576,J$93,$C102*2+MIN($B102,2)+5)</f>
        <v>Market</v>
      </c>
      <c r="K102" s="367" t="str">
        <f>INDEX(Input!$1:$1048576,K$93,$C102*2+MIN($B102,2)+5)</f>
        <v>Market</v>
      </c>
      <c r="L102" s="367" t="str">
        <f>INDEX(Input!$1:$1048576,L$93,$C102*2+MIN($B102,2)+5)</f>
        <v>Market</v>
      </c>
      <c r="M102" s="367" t="str">
        <f>INDEX(Input!$1:$1048576,M$93,$C102*2+MIN($B102,2)+5)</f>
        <v>Market</v>
      </c>
      <c r="N102" s="367" t="str">
        <f>INDEX(Input!$1:$1048576,N$93,$C102*2+MIN($B102,2)+5)</f>
        <v>Market</v>
      </c>
      <c r="O102" s="367" t="str">
        <f>INDEX(Input!$1:$1048576,O$93,$C102*2+MIN($B102,2)+5)</f>
        <v>Market</v>
      </c>
      <c r="P102" s="367" t="str">
        <f>INDEX(Input!$1:$1048576,P$93,$C102*2+MIN($B102,2)+5)</f>
        <v>N</v>
      </c>
      <c r="Q102" s="47">
        <f>INDEX(Input!$1:$1048576,Q$93,$C102*2+MIN($B102,2)+5)</f>
        <v>0</v>
      </c>
      <c r="R102" s="38">
        <f>INDEX(Input!$1:$1048576,R$93,$C102*2+MIN($B102,2)+5)</f>
        <v>0</v>
      </c>
      <c r="S102" s="38">
        <f>INDEX(Input!$1:$1048576,S$93,$C102*2+MIN($B102,2)+5)</f>
        <v>0</v>
      </c>
      <c r="T102" s="38">
        <f>INDEX(Input!$1:$1048576,T$93,$C102*2+MIN($B102,2)+5)</f>
        <v>0</v>
      </c>
      <c r="U102" s="38">
        <f>INDEX(Input!$1:$1048576,U$93,$C102*2+MIN($B102,2)+5)</f>
        <v>0</v>
      </c>
      <c r="V102" s="38">
        <f>INDEX(Input!$1:$1048576,V$93,$C102*2+MIN($B102,2)+5)</f>
        <v>1.9E-2</v>
      </c>
      <c r="W102" s="22">
        <f>INDEX(Input!$1:$1048576,W$93,$C102*2+MIN($B102,2)+5)</f>
        <v>3.9E-2</v>
      </c>
      <c r="X102" s="367" t="str">
        <f>INDEX(Input!$1:$1048576,X$93,$C102*2+MIN($B102,2)+5)</f>
        <v>Y</v>
      </c>
      <c r="Y102" s="49">
        <f>INDEX(Input!$1:$1048576,Y$93,$C102*2+MIN($B102,2)+5)</f>
        <v>1942</v>
      </c>
      <c r="Z102" s="584">
        <f>INDEX(Input!$1:$1048576,Z$93,$C102*2+MIN($B102,2)+5)</f>
        <v>0</v>
      </c>
      <c r="AA102" s="49">
        <f>INDEX(Input!$1:$1048576,AA$93,$C102*2+MIN($B102,2)+5)</f>
        <v>0</v>
      </c>
      <c r="AB102" s="367">
        <f>INDEX(Input!$1:$1048576,AB$93,$C102*2+MIN($B102,2)+5)</f>
        <v>0.27</v>
      </c>
      <c r="AC102" s="49">
        <f>INDEX(Input!$1:$1048576,AC$93,$C102*2+MIN($B102,2)+5)</f>
        <v>0</v>
      </c>
      <c r="AD102" s="367">
        <f>INDEX(Input!$1:$1048576,AD$93,$C102*2+MIN($B102,2)+5)</f>
        <v>0.27</v>
      </c>
      <c r="AE102" s="49">
        <f>INDEX(Input!$1:$1048576,AE$93,$C102*2+MIN($B102,2)+5)</f>
        <v>0</v>
      </c>
      <c r="AF102" s="367">
        <f>INDEX(Input!$1:$1048576,AF$93,$C102*2+MIN($B102,2)+5)</f>
        <v>0.38</v>
      </c>
      <c r="AG102" s="49">
        <f>INDEX(Input!$1:$1048576,AG$93,$C102*2+MIN($B102,2)+5)</f>
        <v>0</v>
      </c>
      <c r="AH102" s="367">
        <f>INDEX(Input!$1:$1048576,AH$93,$C102*2+MIN($B102,2)+5)</f>
        <v>0</v>
      </c>
      <c r="AI102" s="49">
        <f>INDEX(Input!$1:$1048576,AI$93,$C102*2+MIN($B102,2)+5)</f>
        <v>0</v>
      </c>
      <c r="AJ102" s="367">
        <f>INDEX(Input!$1:$1048576,AJ$93,$C102*2+MIN($B102,2)+5)</f>
        <v>0.27</v>
      </c>
      <c r="AK102" s="298">
        <f>ROUND(INDEX(Input!$1:$1048576,AK$93,$C102*2+MIN($B102,2)+5),0)</f>
        <v>3757</v>
      </c>
      <c r="AL102" s="49">
        <f>ROUND(INDEX(Input!$1:$1048576,AL$93,$C101*2+6)-(Y102-VLOOKUP($C102*1000+1,$A:$HH,Y$92,FALSE))/36,0)</f>
        <v>4113</v>
      </c>
      <c r="AM102" s="46" t="str">
        <f t="shared" ref="AM102:AM105" si="70">IF(K102="market","std",ROUND(K102*1000,0)/10)&amp;"/"&amp;IF(L102="market","std",ROUND(L102*1000,0)/10)&amp;"/"&amp;IF(M102="market","std",ROUND(M102*1000,0)/10)&amp;"/"&amp;IF(N102="market","std",ROUND(N102*1000,0)/10)&amp;IF(P102="N","","/"&amp;IF(O102="market","std",ROUND(O102*1000,0)/10))</f>
        <v>std/std/std/std</v>
      </c>
      <c r="AN102" s="46" t="str">
        <f t="shared" ref="AN102:AN105" si="71">"$"&amp;ROUND(Q102,0)&amp;" + "&amp;IF(S102="market","std",ROUND(S102*1000,0)/10)&amp;"/"&amp;IF(T102="market","std",ROUND(T102*1000,0)/10)&amp;"/"&amp;IF(U102="market","std",ROUND(U102*1000,0)/10)&amp;"/"&amp;IF(V102="market","std",ROUND(V102*1000,0)/10)&amp;IF(X102="N","","/"&amp;IF(W102="market","std",ROUND(W102*1000,0)/10))</f>
        <v>$0 + 0/0/0/1.9/3.9</v>
      </c>
      <c r="AO102" s="44" t="str">
        <f t="shared" ref="AO102:AO105" si="72">IF(S102="market","std",ROUND(S102*1000,0)/10)&amp;"/"&amp;IF(T102="market","std",ROUND(T102*1000,0)/10)&amp;"/"&amp;IF(U102="market","std",ROUND(U102*1000,0)/10)&amp;"/"&amp;IF(V102="market","std",ROUND(V102*1000,0)/10)&amp;IF(X102="N","","/"&amp;IF(W102="market","std",ROUND(W102*1000,0)/10))</f>
        <v>0/0/0/1.9/3.9</v>
      </c>
      <c r="AP102" s="44" t="str">
        <f t="shared" ref="AP102:AP165" si="73">IF(X102="Y",
IF(U102="market","std",ROUND(U102*1000,0)/10)&amp;"/"
&amp;MAX(IF(V102="market","std",ROUND(V102*1000,0)/10-1),0)&amp;"/"
&amp;IF(V102="market","std",ROUND(V102*1000,0)/10)&amp;"/"
&amp;IF(W102="market","std",ROUND(W102*1000,0)/10),
IF(U102="market","std",ROUND(U102*1000,0)/10)&amp;"/"
&amp;MAX(IF(V102="market","std",ROUND(V102*1000,0)/10-1),0)&amp;"/"
&amp;IF(V102="market","std",ROUND(V102*1000,0)/10)&amp;"/"
&amp;IF(W102="market","std",ROUND(W102*1000,0)/10))</f>
        <v>0/0.9/1.9/3.9</v>
      </c>
      <c r="AQ102" s="507">
        <f t="shared" si="39"/>
        <v>0.24773569190356629</v>
      </c>
      <c r="AR102" s="44"/>
      <c r="AS102" s="368"/>
      <c r="AT102" s="579">
        <f>AT101+1</f>
        <v>2</v>
      </c>
      <c r="AU102" s="45" t="s">
        <v>121</v>
      </c>
      <c r="AV102" s="45" t="s">
        <v>116</v>
      </c>
      <c r="AW102" s="45" t="str">
        <f>INDEX(Input!$1:$1048576,AW$93,$C102*2+6)</f>
        <v>Kia</v>
      </c>
      <c r="AX102" s="45" t="str">
        <f>INDEX(Input!$1:$1048576,AX$93,$C102*2+6)</f>
        <v>Kia-LR - L1</v>
      </c>
      <c r="AY102" s="10" t="str">
        <f>IF(LEN(D102)=0,"",INDEX(Input!$1:$1048576,AY$93,$C102*2+6))</f>
        <v>Compact SUV (52)</v>
      </c>
      <c r="AZ102" s="45" t="str">
        <f>INDEX(Input!$1:$1048576,AZ$93,$C102*2+6)</f>
        <v>Kia Soul</v>
      </c>
      <c r="BA102" s="50">
        <f>INDEX(Input!$1:$1048576,BA$93,$C102*2+6)</f>
        <v>2020</v>
      </c>
      <c r="BB102" s="48">
        <f>INDEX(Input!$1:$1048576,BB$93,$C102*2+6)</f>
        <v>1</v>
      </c>
      <c r="BC102" s="129">
        <f>INDEX(Input!$1:$1048576,BC$93,$C102*2+6)</f>
        <v>0.7</v>
      </c>
      <c r="BD102" s="38">
        <f>INDEX(Input!$1:$1048576,BD$93,$C102*2+6)</f>
        <v>4.4999999999999998E-2</v>
      </c>
      <c r="BE102" s="38">
        <f>INDEX(Input!$1:$1048576,BE$93,$C102*2+6)</f>
        <v>4.4999999999999998E-2</v>
      </c>
      <c r="BF102" s="38">
        <f>INDEX(Input!$1:$1048576,BF$93,$C102*2+6)</f>
        <v>0.05</v>
      </c>
      <c r="BG102" s="38">
        <f>INDEX(Input!$1:$1048576,BG$93,$C102*2+6)</f>
        <v>5.45E-2</v>
      </c>
      <c r="BH102" s="38">
        <f>INDEX(Input!$1:$1048576,BH$93,$C102*2+6)</f>
        <v>5.45E-2</v>
      </c>
      <c r="BI102" s="38">
        <f>INDEX(Input!$1:$1048576,BI$93,$C102*2+6)</f>
        <v>0.05</v>
      </c>
      <c r="BJ102" s="38">
        <f>INDEX(Input!$1:$1048576,BJ$93,$C102*2+6)</f>
        <v>0.05</v>
      </c>
      <c r="BK102" s="38">
        <f>INDEX(Input!$1:$1048576,BK$93,$C102*2+6)</f>
        <v>0.05</v>
      </c>
      <c r="BL102" s="38">
        <f>INDEX(Input!$1:$1048576,BL$93,$C102*2+6)</f>
        <v>5.5E-2</v>
      </c>
      <c r="BM102" s="38">
        <f>INDEX(Input!$1:$1048576,BM$93,$C102*2+6)</f>
        <v>0.06</v>
      </c>
      <c r="BN102" s="38">
        <f>INDEX(Input!$1:$1048576,BN$93,$C102*2+6)</f>
        <v>4.4999999999999998E-2</v>
      </c>
      <c r="BO102" s="38">
        <f>INDEX(Input!$1:$1048576,BO$93,$C102*2+6)</f>
        <v>4.4999999999999998E-2</v>
      </c>
      <c r="BP102" s="38">
        <f>INDEX(Input!$1:$1048576,BP$93,$C102*2+6)</f>
        <v>0.05</v>
      </c>
      <c r="BQ102" s="38">
        <f>INDEX(Input!$1:$1048576,BQ$93,$C102*2+6)</f>
        <v>5.45E-2</v>
      </c>
      <c r="BR102" s="38">
        <f>INDEX(Input!$1:$1048576,BR$93,$C102*2+6)</f>
        <v>5.45E-2</v>
      </c>
      <c r="BS102" s="38">
        <f>INDEX(Input!$1:$1048576,BS$93,$C102*2+6)</f>
        <v>0.05</v>
      </c>
      <c r="BT102" s="38">
        <f>INDEX(Input!$1:$1048576,BT$93,$C102*2+6)</f>
        <v>0.05</v>
      </c>
      <c r="BU102" s="38">
        <f>INDEX(Input!$1:$1048576,BU$93,$C102*2+6)</f>
        <v>0.05</v>
      </c>
      <c r="BV102" s="38">
        <f>INDEX(Input!$1:$1048576,BV$93,$C102*2+6)</f>
        <v>5.5E-2</v>
      </c>
      <c r="BW102" s="38">
        <f>INDEX(Input!$1:$1048576,BW$93,$C102*2+6)</f>
        <v>0.06</v>
      </c>
      <c r="BX102" s="29">
        <f>INDEX(Input!$1:$1048576,BX$93,$C102*2+6)</f>
        <v>19985</v>
      </c>
      <c r="BY102" s="367">
        <f>INDEX(Input!$1:$1048576,BY$93,$C102*2+6)</f>
        <v>0.1</v>
      </c>
      <c r="BZ102" s="367">
        <f>INDEX(Input!$1:$1048576,BZ$93,$C102*2+6)</f>
        <v>0.1</v>
      </c>
      <c r="CA102" s="367">
        <f>INDEX(Input!$1:$1048576,CA$93,$C102*2+6)</f>
        <v>0.1</v>
      </c>
      <c r="CB102" s="367">
        <f>INDEX(Input!$1:$1048576,CB$93,$C102*2+6)</f>
        <v>0.1</v>
      </c>
      <c r="CC102" s="367">
        <f>INDEX(Input!$1:$1048576,CC$93,$C102*2+6)</f>
        <v>0.1</v>
      </c>
      <c r="CD102" s="367">
        <f>INDEX(Input!$1:$1048576,CD$93,$C102*2+6)</f>
        <v>0.1</v>
      </c>
      <c r="CE102" s="367">
        <f>INDEX(Input!$1:$1048576,CE$93,$C102*2+6)</f>
        <v>0.1</v>
      </c>
      <c r="CF102" s="367">
        <f>INDEX(Input!$1:$1048576,CF$93,$C102*2+6)</f>
        <v>0.1</v>
      </c>
      <c r="CG102" s="367">
        <f>INDEX(Input!$1:$1048576,CG$93,$C102*2+6)</f>
        <v>0.1</v>
      </c>
      <c r="CH102" s="48">
        <f>INDEX(Input!$1:$1048576,CH$93,$C102*2+6)</f>
        <v>0.1</v>
      </c>
      <c r="CI102" s="298">
        <f t="shared" ref="CI102:CI165" si="74">E102+F102*I102+AA102*AB102</f>
        <v>1229</v>
      </c>
      <c r="CJ102" s="46" t="str">
        <f>INDEX(Input!$1:$1048576,CJ$93,$C102*2+6)</f>
        <v>N</v>
      </c>
      <c r="CK102" s="38" t="str">
        <f t="shared" ref="CK102:CK165" si="75">K102</f>
        <v>Market</v>
      </c>
      <c r="CL102" s="38" t="str">
        <f t="shared" ref="CL102:CL165" si="76">L102</f>
        <v>Market</v>
      </c>
      <c r="CM102" s="38" t="str">
        <f t="shared" ref="CM102:CM165" si="77">M102</f>
        <v>Market</v>
      </c>
      <c r="CN102" s="38" t="str">
        <f t="shared" ref="CN102:CN165" si="78">N102</f>
        <v>Market</v>
      </c>
      <c r="CO102" s="38" t="str">
        <f t="shared" ref="CO102:CO165" si="79">O102</f>
        <v>Market</v>
      </c>
      <c r="CP102" s="49">
        <f t="shared" ref="CP102:CP165" si="80">Q102+G102*I102+AG102*AH102</f>
        <v>0</v>
      </c>
      <c r="CQ102" s="38">
        <f t="shared" ref="CQ102:CQ165" si="81">S102</f>
        <v>0</v>
      </c>
      <c r="CR102" s="38">
        <f t="shared" ref="CR102:CR165" si="82">T102</f>
        <v>0</v>
      </c>
      <c r="CS102" s="38">
        <f t="shared" ref="CS102:CS165" si="83">U102</f>
        <v>0</v>
      </c>
      <c r="CT102" s="38">
        <f t="shared" ref="CT102:CT165" si="84">V102</f>
        <v>1.9E-2</v>
      </c>
      <c r="CU102" s="38">
        <f t="shared" ref="CU102:CU165" si="85">W102</f>
        <v>3.9E-2</v>
      </c>
      <c r="CV102" s="49">
        <f t="shared" ref="CV102:CV165" si="86">Y102+H102*I102+AC102*AD102</f>
        <v>1942</v>
      </c>
      <c r="CW102" s="22" t="s">
        <v>122</v>
      </c>
      <c r="CX102" s="22" t="s">
        <v>122</v>
      </c>
      <c r="CY102" s="22" t="s">
        <v>122</v>
      </c>
      <c r="CZ102" s="22" t="s">
        <v>122</v>
      </c>
      <c r="DA102" s="22" t="s">
        <v>122</v>
      </c>
      <c r="DB102" s="502">
        <f t="shared" ref="DB102:DB165" si="87">Z102+AE102*AF102</f>
        <v>0</v>
      </c>
      <c r="DC102" s="29">
        <v>0</v>
      </c>
      <c r="DD102" s="29">
        <v>0</v>
      </c>
      <c r="DE102" s="29">
        <v>0</v>
      </c>
      <c r="DF102" s="49">
        <v>0</v>
      </c>
      <c r="DG102" s="49">
        <v>0</v>
      </c>
      <c r="DH102" s="49">
        <v>0</v>
      </c>
      <c r="DI102" s="49">
        <v>0</v>
      </c>
      <c r="DJ102" s="49">
        <v>0</v>
      </c>
      <c r="DK102" s="29">
        <v>0</v>
      </c>
      <c r="DL102" s="29">
        <v>0</v>
      </c>
      <c r="DM102" s="49">
        <f>INDEX(Input!$1:$1048576,DM$93,$C102*2+6)</f>
        <v>21036.84210526316</v>
      </c>
      <c r="DN102" s="367">
        <v>0</v>
      </c>
      <c r="DO102" s="367">
        <v>0</v>
      </c>
      <c r="DP102" s="367">
        <v>0</v>
      </c>
      <c r="DQ102" s="367">
        <v>0</v>
      </c>
      <c r="DR102" s="367">
        <v>0</v>
      </c>
      <c r="DS102" s="367">
        <f>INDEX(Input!$1:$1048576,DS$93,$C102*2+6)</f>
        <v>0.6</v>
      </c>
      <c r="DT102" s="367">
        <f>INDEX(Input!$1:$1048576,DT$93,$C102*2+6)</f>
        <v>0.55000000000000004</v>
      </c>
      <c r="DU102" s="367">
        <f>INDEX(Input!$1:$1048576,DU$93,$C102*2+6)</f>
        <v>0.52</v>
      </c>
      <c r="DV102" s="367">
        <f>INDEX(Input!$1:$1048576,DV$93,$C102*2+6)</f>
        <v>0.5</v>
      </c>
      <c r="DW102" s="48">
        <f>INDEX(Input!$1:$1048576,DW$93,$C102*2+6)</f>
        <v>0.45</v>
      </c>
      <c r="DX102" s="577"/>
      <c r="DY102" s="4">
        <v>9.7472532669215337E-2</v>
      </c>
      <c r="DZ102" s="37">
        <v>0</v>
      </c>
      <c r="EA102" s="37">
        <v>0.4658039713967298</v>
      </c>
      <c r="EB102" s="37">
        <v>0</v>
      </c>
      <c r="EC102" s="37">
        <v>0</v>
      </c>
      <c r="ED102" s="37">
        <v>0</v>
      </c>
      <c r="EE102" s="37">
        <v>0</v>
      </c>
      <c r="EF102" s="37">
        <v>0</v>
      </c>
      <c r="EG102" s="37">
        <v>0</v>
      </c>
      <c r="EH102" s="37">
        <v>1.8402200445098656E-2</v>
      </c>
      <c r="EI102" s="37">
        <v>5.3739557110571871E-2</v>
      </c>
      <c r="EJ102" s="37">
        <v>0.33946684904131985</v>
      </c>
      <c r="EK102" s="37">
        <v>0.48247712639938095</v>
      </c>
      <c r="EL102" s="37">
        <v>0.10591426700362871</v>
      </c>
      <c r="EM102" s="37">
        <v>4.9019137420654751E-2</v>
      </c>
      <c r="EN102" s="37">
        <v>5.0824256578978502E-2</v>
      </c>
      <c r="EO102" s="37">
        <v>0.76815678085538341</v>
      </c>
      <c r="EP102" s="37">
        <v>7.9058197430733557E-2</v>
      </c>
      <c r="EQ102" s="37">
        <v>6.0271198631198973E-2</v>
      </c>
      <c r="ER102" s="37">
        <v>4.1689566503705214E-2</v>
      </c>
      <c r="ES102" s="37">
        <v>0.38770435851340007</v>
      </c>
      <c r="ET102" s="37">
        <v>0.43672349593405485</v>
      </c>
      <c r="EU102" s="36">
        <v>1270</v>
      </c>
      <c r="EV102" s="36">
        <v>0</v>
      </c>
      <c r="EW102" s="36">
        <v>1270</v>
      </c>
      <c r="EX102" s="36">
        <v>0</v>
      </c>
      <c r="EY102" s="36">
        <v>2039.7221397149676</v>
      </c>
      <c r="EZ102" s="36">
        <v>2085</v>
      </c>
      <c r="FA102" s="36">
        <v>0</v>
      </c>
      <c r="FB102" s="36">
        <v>0</v>
      </c>
      <c r="FC102" s="36">
        <v>0</v>
      </c>
      <c r="FD102" s="36">
        <v>0</v>
      </c>
      <c r="FE102" s="36">
        <v>0</v>
      </c>
      <c r="FF102" s="36">
        <v>0</v>
      </c>
      <c r="FG102" s="36">
        <v>0</v>
      </c>
      <c r="FH102" s="36">
        <v>1171.281137969562</v>
      </c>
      <c r="FI102" s="36">
        <v>1553.9796069512399</v>
      </c>
      <c r="FJ102" s="36">
        <v>2101.2110117447405</v>
      </c>
      <c r="FK102" s="36">
        <v>1772.7139978623225</v>
      </c>
      <c r="FL102" s="36">
        <v>907.07682140966324</v>
      </c>
      <c r="FM102" s="36">
        <v>1769.7221397149676</v>
      </c>
      <c r="FN102" s="36">
        <v>0</v>
      </c>
      <c r="FO102" s="36">
        <v>0</v>
      </c>
      <c r="FP102" s="36">
        <v>0</v>
      </c>
      <c r="FQ102" s="36">
        <v>0</v>
      </c>
      <c r="FR102" s="36">
        <v>0</v>
      </c>
      <c r="FS102" s="36">
        <v>0</v>
      </c>
      <c r="FT102" s="37">
        <v>0.56327650406594509</v>
      </c>
      <c r="FU102" s="37">
        <v>4.9019137420654751E-2</v>
      </c>
      <c r="FV102" s="37">
        <v>0.38770435851340007</v>
      </c>
      <c r="FW102" s="36">
        <v>1270.0000000000002</v>
      </c>
      <c r="FX102" s="36">
        <v>2039.7221397149676</v>
      </c>
      <c r="FY102" s="36">
        <v>2085</v>
      </c>
      <c r="FZ102" s="36">
        <v>1952.7147957719815</v>
      </c>
      <c r="GA102" s="36">
        <v>1623.7101675308295</v>
      </c>
      <c r="GB102" s="36">
        <v>18361.289832469171</v>
      </c>
      <c r="GC102" s="37">
        <v>1.0519917368675835E-2</v>
      </c>
      <c r="GD102" s="37">
        <v>1.0261567194351713E-2</v>
      </c>
      <c r="GE102" s="37"/>
      <c r="GF102" s="37"/>
      <c r="GG102" s="37">
        <v>-2.4558194258577255E-2</v>
      </c>
      <c r="GH102" s="35">
        <v>1.4917586870477881</v>
      </c>
      <c r="GI102" s="36">
        <v>15020.649078307759</v>
      </c>
      <c r="GJ102" s="34">
        <v>0.50394797582841733</v>
      </c>
      <c r="GK102" s="34">
        <v>0.50887573065309732</v>
      </c>
      <c r="GL102" s="34">
        <v>0.49605202417158267</v>
      </c>
      <c r="GM102" s="33">
        <v>0.49112426934690245</v>
      </c>
      <c r="GN102" s="61"/>
      <c r="GO102" s="13">
        <v>343.14810671672558</v>
      </c>
      <c r="GP102" s="27">
        <v>318.91892952659737</v>
      </c>
      <c r="GQ102" s="27">
        <v>535.04305713031317</v>
      </c>
      <c r="GR102" s="27">
        <v>410.15490233172511</v>
      </c>
      <c r="GS102" s="27">
        <v>339.42744393800166</v>
      </c>
      <c r="GT102" s="27">
        <v>293.4407446948278</v>
      </c>
      <c r="GU102" s="27">
        <v>258.04012322764959</v>
      </c>
      <c r="GV102" s="29" t="s">
        <v>392</v>
      </c>
      <c r="GW102" s="27">
        <v>492.125</v>
      </c>
      <c r="GX102" s="27">
        <v>369.09375</v>
      </c>
      <c r="GY102" s="27">
        <v>295.27499999999998</v>
      </c>
      <c r="GZ102" s="27">
        <v>260.54902799031458</v>
      </c>
      <c r="HA102" s="27">
        <v>241.34874471337258</v>
      </c>
      <c r="HB102" s="29">
        <v>280.39841310148165</v>
      </c>
      <c r="HC102" s="27">
        <v>196.06562499999998</v>
      </c>
      <c r="HD102" s="27">
        <v>177.54497441520465</v>
      </c>
      <c r="HE102" s="27">
        <v>183.15757844129553</v>
      </c>
      <c r="HF102" s="27">
        <v>172.69313048245613</v>
      </c>
      <c r="HG102" s="27">
        <v>170.66888157894735</v>
      </c>
      <c r="HH102" s="12">
        <v>178.35090729075</v>
      </c>
      <c r="HI102" s="94"/>
      <c r="HJ102" s="370" t="str">
        <f>HJ101</f>
        <v>On</v>
      </c>
      <c r="HK102" s="371" t="str">
        <f>HK101</f>
        <v>On</v>
      </c>
      <c r="HL102" s="94"/>
      <c r="HM102" s="640">
        <f t="shared" si="42"/>
        <v>5.7455619280273196E-3</v>
      </c>
      <c r="HN102" s="22">
        <f t="shared" si="43"/>
        <v>5.0031960498701745E-4</v>
      </c>
      <c r="HO102" s="638">
        <f t="shared" si="44"/>
        <v>3.9819433988714835E-3</v>
      </c>
      <c r="HP102" s="650">
        <f>(FT102*$GD102-HM102)/$JF102*INDEX(Input!$1:$1048576,$JG$93,$C102*2+6)</f>
        <v>1.5060723450988718</v>
      </c>
      <c r="HQ102" s="650">
        <f>(FU102*$GD102-HN102)/$JF102*INDEX(Input!$1:$1048576,$JG$93,$C102*2+6)</f>
        <v>0.11745714235724768</v>
      </c>
      <c r="HR102" s="651">
        <f>(FV102*$GD102-HO102)/$JF102*INDEX(Input!$1:$1048576,$JG$93,$C102*2+6)</f>
        <v>-0.15214635761088185</v>
      </c>
      <c r="HS102" s="650">
        <f t="shared" si="45"/>
        <v>-0.56118802809824619</v>
      </c>
      <c r="HT102" s="650">
        <f t="shared" si="46"/>
        <v>0.46619376172519378</v>
      </c>
      <c r="HU102" s="651">
        <f t="shared" si="47"/>
        <v>0.45930031201859461</v>
      </c>
      <c r="HV102" s="645">
        <f t="shared" si="48"/>
        <v>0</v>
      </c>
      <c r="HW102" s="646">
        <f t="shared" si="49"/>
        <v>0</v>
      </c>
      <c r="HX102" s="647">
        <f t="shared" si="50"/>
        <v>0</v>
      </c>
      <c r="HY102" s="643">
        <f>INDEX(Input!$1:$1048576,HY$93,$C102*2+6)*INDEX(Input!$1:$1048576,$JG$93,$C102*2+6)</f>
        <v>110.00000000000001</v>
      </c>
      <c r="HZ102" s="641">
        <f>INDEX(Input!$1:$1048576,HZ$93,$C102*2+6)*INDEX(Input!$1:$1048576,$JG$93,$C102*2+6)</f>
        <v>157</v>
      </c>
      <c r="IA102" s="642">
        <f>INDEX(Input!$1:$1048576,IA$93,$C102*2+6)*INDEX(Input!$1:$1048576,$JG$93,$C102*2+6)</f>
        <v>179</v>
      </c>
      <c r="IB102" s="649">
        <f t="shared" ref="IB102:IB114" si="88">SUM(HP102:IA102)-IC102-ID102</f>
        <v>110.94488431700066</v>
      </c>
      <c r="IC102" s="650">
        <f t="shared" ref="IC102:IC111" si="89">MAX(HZ102+HQ102+HT102+HW102,0%)</f>
        <v>157.58365090408245</v>
      </c>
      <c r="ID102" s="651">
        <f>IF(AND(INDEX(Input!$1:$1048576,IA$93,$C102*2+7)="TOS",Y102&lt;=INDEX(Y:Y,MATCH(C102*1000+2,A:A))),0,1)*MAX(IA102+HR102+HU102+HX102,0%)</f>
        <v>179.30715395440771</v>
      </c>
      <c r="IE102" s="129">
        <f t="shared" ref="IE102:IE111" si="90">IB102/SUM($IB102:$ID102)</f>
        <v>0.24773569190356629</v>
      </c>
      <c r="IF102" s="652">
        <f t="shared" si="51"/>
        <v>0.35187827748656952</v>
      </c>
      <c r="IG102" s="653">
        <f t="shared" si="52"/>
        <v>0.40038603060986427</v>
      </c>
      <c r="IH102" s="95"/>
      <c r="II102" s="298">
        <f t="shared" si="53"/>
        <v>1240</v>
      </c>
      <c r="IJ102" s="49">
        <f t="shared" si="54"/>
        <v>2009.7221397149679</v>
      </c>
      <c r="IK102" s="40">
        <f t="shared" si="55"/>
        <v>2070</v>
      </c>
      <c r="IL102" s="298">
        <f t="shared" ref="IL102:IL111" si="91">(FW102-FA102*DZ102/FT102)-II102</f>
        <v>30.000000000000227</v>
      </c>
      <c r="IM102" s="49">
        <f t="shared" si="56"/>
        <v>29.999999999999773</v>
      </c>
      <c r="IN102" s="40">
        <f t="shared" si="56"/>
        <v>15</v>
      </c>
      <c r="IO102" s="25">
        <f t="shared" si="57"/>
        <v>0</v>
      </c>
      <c r="IP102" s="29">
        <f t="shared" si="58"/>
        <v>0</v>
      </c>
      <c r="IQ102" s="29">
        <f t="shared" si="59"/>
        <v>0</v>
      </c>
      <c r="IR102" s="17">
        <v>0</v>
      </c>
      <c r="IS102" s="29">
        <v>0</v>
      </c>
      <c r="IT102" s="12">
        <v>0</v>
      </c>
      <c r="IU102" s="25">
        <v>0</v>
      </c>
      <c r="IV102" s="29">
        <v>0</v>
      </c>
      <c r="IW102" s="12">
        <v>0</v>
      </c>
      <c r="IX102" s="372">
        <f>INDEX(Input!$1:$1048576,IX$93,$C102*2+6)+INDEX(Input!$1:$1048576,IX$94,$C102*2+6)</f>
        <v>1270</v>
      </c>
      <c r="IY102" s="373">
        <f>INDEX(Input!$1:$1048576,IY$93,$C102*2+6)+INDEX(Input!$1:$1048576,IY$94,$C102*2+6)</f>
        <v>2130.0624533823611</v>
      </c>
      <c r="IZ102" s="374">
        <f>INDEX(Input!$1:$1048576,IZ$93,$C102*2+6)+INDEX(Input!$1:$1048576,IZ$94,$C102*2+6)</f>
        <v>4373.7164157747848</v>
      </c>
      <c r="JA102" s="298">
        <f t="shared" ref="JA102:JC111" si="92">(IL102+IO102+IR102+IU102+IX102)</f>
        <v>1300.0000000000002</v>
      </c>
      <c r="JB102" s="49">
        <f t="shared" si="92"/>
        <v>2160.0624533823611</v>
      </c>
      <c r="JC102" s="49">
        <f t="shared" si="92"/>
        <v>4388.7164157747848</v>
      </c>
      <c r="JD102" s="40">
        <f t="shared" ref="JD102:JD111" si="93">SUMPRODUCT(IE102:IG102,JA102:JC102)</f>
        <v>2839.3162000186517</v>
      </c>
      <c r="JE102" s="382"/>
      <c r="JF102" s="28">
        <f t="shared" si="60"/>
        <v>1.022782493188582E-2</v>
      </c>
      <c r="JG102" s="23">
        <f>INDEX(Input!$1:$1048576,JG$93,$C102*2+6)/(1+VLOOKUP(C102*1000+INDEX(Input!$1:$1048576,JG$93+1,$C102*2+6),$A:$KK,$JK$92,FALSE))</f>
        <v>446</v>
      </c>
      <c r="JH102" s="38">
        <f t="shared" ref="JH102:JH114" si="94">SUM(HP102:HR102)/SUM(HY102:IA102)</f>
        <v>3.2990653135543443E-3</v>
      </c>
      <c r="JI102" s="38">
        <f t="shared" ref="JI102:JI114" si="95">SUM(HS102:HU102)/SUM(HY102:IA102)</f>
        <v>8.168296987568211E-4</v>
      </c>
      <c r="JJ102" s="11">
        <f t="shared" ref="JJ102:JJ114" si="96">SUM(HV102:HX102)/SUM(HY102:IA102)</f>
        <v>0</v>
      </c>
      <c r="JK102" s="2">
        <f t="shared" ref="JK102:JK111" si="97">SUM(JH102:JJ102)</f>
        <v>4.1158950123111656E-3</v>
      </c>
      <c r="JL102" s="9">
        <f t="shared" ref="JL102:JL111" si="98">JG102*JK102</f>
        <v>1.8356891754907798</v>
      </c>
      <c r="JM102" s="8">
        <f t="shared" ref="JM102:JM111" si="99">JG102+JL102</f>
        <v>447.83568917549076</v>
      </c>
      <c r="JN102" s="95"/>
      <c r="JO102" s="375">
        <f>INDEX(Input!$1:$1048576,JO$93,$C102*2+6)</f>
        <v>5995.5</v>
      </c>
      <c r="JP102" s="375">
        <f>INDEX(Input!$1:$1048576,JP$93,$C102*2+6)</f>
        <v>2818.4193802796353</v>
      </c>
      <c r="JQ102" s="25">
        <f>JO102-JD102</f>
        <v>3156.1837999813483</v>
      </c>
      <c r="JR102" s="29">
        <f>JD102-JP102</f>
        <v>20.896819739016337</v>
      </c>
      <c r="JS102" s="29">
        <f>JM102*JD102/1000000</f>
        <v>1.2715471272224883</v>
      </c>
      <c r="JT102" s="29">
        <f t="shared" ref="JT102:JT111" si="100">(JD102*JM102-JP102*JG102)/1000000</f>
        <v>1.4532083617771044E-2</v>
      </c>
      <c r="JU102" s="376">
        <f>(JQ102*JM102-INDEX(Input!$1:$1048576,Input!A$18,$C102*2+6)*JL102*INDEX(Input!$1:$1048576,Input!A$19,$C102*2+6))/1000000</f>
        <v>1.4134517472291663</v>
      </c>
      <c r="JV102" s="29">
        <f t="shared" si="63"/>
        <v>-3.5262091661163453E-3</v>
      </c>
      <c r="JW102" s="38">
        <f>JV102/(JU102-JV102)</f>
        <v>-2.4885420060357438E-3</v>
      </c>
      <c r="JX102" s="40">
        <f>IF(JL102=0,0,JT102/JL102)*1000000</f>
        <v>7916.4184284552557</v>
      </c>
      <c r="JZ102" s="377"/>
      <c r="KA102" s="378"/>
      <c r="KB102" s="474">
        <f>KB101</f>
        <v>2.9286733661474216</v>
      </c>
      <c r="KC102" s="379"/>
      <c r="KD102" s="379"/>
      <c r="KE102" s="379"/>
      <c r="KF102" s="379"/>
      <c r="KG102" s="380"/>
      <c r="KI102" s="513">
        <f>$JM102*IE102-$JG102*HY102/SUM($HY102:$IA102)</f>
        <v>0.94488431700064268</v>
      </c>
      <c r="KJ102" s="514">
        <f t="shared" ref="KJ102:KJ114" si="101">$JM102*IF102-$JG102*HZ102/SUM($HY102:$IA102)</f>
        <v>0.58365090408244669</v>
      </c>
      <c r="KK102" s="514">
        <f t="shared" ref="KK102:KK114" si="102">$JM102*IG102-$JG102*IA102/SUM($HY102:$IA102)</f>
        <v>0.30715395440770976</v>
      </c>
      <c r="KL102" s="380"/>
      <c r="KN102" s="543">
        <f>KM102+(KN101-KM101)</f>
        <v>1002</v>
      </c>
      <c r="KO102" s="540">
        <f t="shared" si="64"/>
        <v>0</v>
      </c>
      <c r="KP102" s="545">
        <f t="shared" si="65"/>
        <v>0</v>
      </c>
      <c r="KQ102" s="545">
        <f t="shared" si="66"/>
        <v>0</v>
      </c>
      <c r="KR102" s="547" t="e">
        <f t="shared" si="67"/>
        <v>#DIV/0!</v>
      </c>
      <c r="KS102" s="547" t="e">
        <f t="shared" si="68"/>
        <v>#DIV/0!</v>
      </c>
      <c r="KT102" s="661">
        <f>KT101</f>
        <v>238.28695973331548</v>
      </c>
      <c r="KU102" s="662">
        <f t="shared" ref="KU102:KU118" si="103">IF(D102="",0,IFERROR((JM102/KT102-1)/(JD102/BX102)+B102*10^-6,0))</f>
        <v>6.1897810671338354</v>
      </c>
      <c r="KV102" s="568"/>
      <c r="KW102" s="26"/>
      <c r="KX102" s="582"/>
    </row>
    <row r="103" spans="1:310" s="26" customFormat="1" ht="15">
      <c r="A103" s="561">
        <f t="shared" si="69"/>
        <v>1003</v>
      </c>
      <c r="B103" s="561">
        <f t="shared" ref="B103:B166" si="104">B102+1</f>
        <v>3</v>
      </c>
      <c r="C103" s="561">
        <f t="shared" ref="C103:C247" si="105">C102</f>
        <v>1</v>
      </c>
      <c r="D103" s="561" t="s">
        <v>740</v>
      </c>
      <c r="E103" s="475">
        <f>INDEX(Input!$1:$1048576,E$93,$C103*2+MIN($B103,1)+5)+500</f>
        <v>1500</v>
      </c>
      <c r="F103" s="115">
        <f>INDEX(Input!$1:$1048576,F$93,$C103*2+MIN($B103,1)+5)</f>
        <v>0</v>
      </c>
      <c r="G103" s="115">
        <f>INDEX(Input!$1:$1048576,G$93,$C103*2+MIN($B103,1)+5)</f>
        <v>0</v>
      </c>
      <c r="H103" s="115">
        <f>INDEX(Input!$1:$1048576,H$93,$C103*2+MIN($B103,1)+5)</f>
        <v>0</v>
      </c>
      <c r="I103" s="118">
        <f>INDEX(Input!$1:$1048576,I$93,$C103*2+MIN($B103,1)+5)</f>
        <v>0.7</v>
      </c>
      <c r="J103" s="118" t="str">
        <f>INDEX(Input!$1:$1048576,J$93,$C103*2+MIN($B103,1)+5)</f>
        <v>Market</v>
      </c>
      <c r="K103" s="118" t="str">
        <f>INDEX(Input!$1:$1048576,K$93,$C103*2+MIN($B103,1)+5)</f>
        <v>Market</v>
      </c>
      <c r="L103" s="118" t="str">
        <f>INDEX(Input!$1:$1048576,L$93,$C103*2+MIN($B103,1)+5)</f>
        <v>Market</v>
      </c>
      <c r="M103" s="118" t="str">
        <f>INDEX(Input!$1:$1048576,M$93,$C103*2+MIN($B103,1)+5)</f>
        <v>Market</v>
      </c>
      <c r="N103" s="118" t="str">
        <f>INDEX(Input!$1:$1048576,N$93,$C103*2+MIN($B103,1)+5)</f>
        <v>Market</v>
      </c>
      <c r="O103" s="118" t="str">
        <f>INDEX(Input!$1:$1048576,O$93,$C103*2+MIN($B103,1)+5)</f>
        <v>Market</v>
      </c>
      <c r="P103" s="118" t="str">
        <f>INDEX(Input!$1:$1048576,P$93,$C103*2+MIN($B103,1)+5)</f>
        <v>N</v>
      </c>
      <c r="Q103" s="30">
        <f>INDEX(Input!$1:$1048576,Q$93,$C103*2+MIN($B103,1)+5)</f>
        <v>0</v>
      </c>
      <c r="R103" s="383">
        <f>INDEX(Input!$1:$1048576,R$93,$C103*2+MIN($B103,1)+5)</f>
        <v>0</v>
      </c>
      <c r="S103" s="383">
        <f>INDEX(Input!$1:$1048576,S$93,$C103*2+MIN($B103,1)+5)</f>
        <v>0</v>
      </c>
      <c r="T103" s="383">
        <f>INDEX(Input!$1:$1048576,T$93,$C103*2+MIN($B103,1)+5)</f>
        <v>0</v>
      </c>
      <c r="U103" s="383">
        <f>INDEX(Input!$1:$1048576,U$93,$C103*2+MIN($B103,1)+5)</f>
        <v>0</v>
      </c>
      <c r="V103" s="383">
        <f>INDEX(Input!$1:$1048576,V$93,$C103*2+MIN($B103,1)+5)</f>
        <v>1.9E-2</v>
      </c>
      <c r="W103" s="884">
        <f>INDEX(Input!$1:$1048576,W$93,$C103*2+MIN($B103,1)+5)</f>
        <v>3.9E-2</v>
      </c>
      <c r="X103" s="118" t="str">
        <f>INDEX(Input!$1:$1048576,X$93,$C103*2+MIN($B103,1)+5)</f>
        <v>Y</v>
      </c>
      <c r="Y103" s="150">
        <f>INDEX(Input!$1:$1048576,Y$93,$C103*2+MIN($B103,1)+5)</f>
        <v>2289</v>
      </c>
      <c r="Z103" s="30">
        <f>INDEX(Input!$1:$1048576,Z$93,$C103*2+MIN($B103,1)+5)</f>
        <v>0</v>
      </c>
      <c r="AA103" s="115">
        <f>INDEX(Input!$1:$1048576,AA$93,$C103*2+MIN($B103,1)+5)</f>
        <v>1000</v>
      </c>
      <c r="AB103" s="118">
        <f>INDEX(Input!$1:$1048576,AB$93,$C103*2+MIN($B103,1)+5)</f>
        <v>0.27</v>
      </c>
      <c r="AC103" s="115">
        <f>INDEX(Input!$1:$1048576,AC$93,$C103*2+MIN($B103,1)+5)</f>
        <v>1000</v>
      </c>
      <c r="AD103" s="118">
        <f>INDEX(Input!$1:$1048576,AD$93,$C103*2+MIN($B103,1)+5)</f>
        <v>0.27</v>
      </c>
      <c r="AE103" s="115">
        <f>INDEX(Input!$1:$1048576,AE$93,$C103*2+MIN($B103,1)+5)</f>
        <v>0</v>
      </c>
      <c r="AF103" s="118">
        <f>INDEX(Input!$1:$1048576,AF$93,$C103*2+MIN($B103,1)+5)</f>
        <v>0.38</v>
      </c>
      <c r="AG103" s="115">
        <f>INDEX(Input!$1:$1048576,AG$93,$C103*2+MIN($B103,1)+5)</f>
        <v>0</v>
      </c>
      <c r="AH103" s="118">
        <f>INDEX(Input!$1:$1048576,AH$93,$C103*2+MIN($B103,1)+5)</f>
        <v>0</v>
      </c>
      <c r="AI103" s="115">
        <f>INDEX(Input!$1:$1048576,AI$93,$C103*2+MIN($B103,1)+5)</f>
        <v>0</v>
      </c>
      <c r="AJ103" s="118">
        <f>INDEX(Input!$1:$1048576,AJ$93,$C103*2+MIN($B103,1)+5)</f>
        <v>0.27</v>
      </c>
      <c r="AK103" s="150">
        <f>ROUND(INDEX(Input!$1:$1048576,AK$93,$C102*2+MIN($B103,1)+5)+(Y103-VLOOKUP($C103*1000+1,$A:$HH,Y$92,FALSE)),0)</f>
        <v>4104</v>
      </c>
      <c r="AL103" s="150">
        <f>ROUND(INDEX(Input!$1:$1048576,AL$93,$C102*2+MIN($B103,1)+5)-(Y103-VLOOKUP($C103*1000+1,$A:$HH,Y$92,FALSE))/36,0)</f>
        <v>4104</v>
      </c>
      <c r="AM103" s="32" t="str">
        <f t="shared" si="70"/>
        <v>std/std/std/std</v>
      </c>
      <c r="AN103" s="32" t="str">
        <f t="shared" si="71"/>
        <v>$0 + 0/0/0/1.9/3.9</v>
      </c>
      <c r="AO103" s="32" t="str">
        <f t="shared" si="72"/>
        <v>0/0/0/1.9/3.9</v>
      </c>
      <c r="AP103" s="32" t="str">
        <f t="shared" si="73"/>
        <v>0/0.9/1.9/3.9</v>
      </c>
      <c r="AQ103" s="536">
        <f t="shared" si="39"/>
        <v>270.31114836977753</v>
      </c>
      <c r="AR103" s="32"/>
      <c r="AS103" s="302"/>
      <c r="AT103" s="3">
        <f t="shared" ref="AT103:AT215" si="106">AT102+1</f>
        <v>3</v>
      </c>
      <c r="AU103" s="41" t="s">
        <v>121</v>
      </c>
      <c r="AV103" s="41" t="s">
        <v>116</v>
      </c>
      <c r="AW103" s="41" t="str">
        <f>INDEX(Input!$1:$1048576,AW$93,$C103*2+6)</f>
        <v>Kia</v>
      </c>
      <c r="AX103" s="41" t="str">
        <f>INDEX(Input!$1:$1048576,AX$93,$C103*2+6)</f>
        <v>Kia-LR - L1</v>
      </c>
      <c r="AY103" s="41" t="str">
        <f>IF(LEN(D103)=0,"",INDEX(Input!$1:$1048576,AY$93,$C103*2+6))</f>
        <v>Compact SUV (52)</v>
      </c>
      <c r="AZ103" s="41" t="str">
        <f>INDEX(Input!$1:$1048576,AZ$93,$C103*2+6)</f>
        <v>Kia Soul</v>
      </c>
      <c r="BA103" s="3">
        <f>INDEX(Input!$1:$1048576,BA$93,$C103*2+6)</f>
        <v>2020</v>
      </c>
      <c r="BB103" s="128">
        <f>INDEX(Input!$1:$1048576,BB$93,$C103*2+6)</f>
        <v>1</v>
      </c>
      <c r="BC103" s="128">
        <f>INDEX(Input!$1:$1048576,BC$93,$C103*2+6)</f>
        <v>0.7</v>
      </c>
      <c r="BD103" s="1">
        <f>INDEX(Input!$1:$1048576,BD$93,$C103*2+6)</f>
        <v>4.4999999999999998E-2</v>
      </c>
      <c r="BE103" s="1">
        <f>INDEX(Input!$1:$1048576,BE$93,$C103*2+6)</f>
        <v>4.4999999999999998E-2</v>
      </c>
      <c r="BF103" s="1">
        <f>INDEX(Input!$1:$1048576,BF$93,$C103*2+6)</f>
        <v>0.05</v>
      </c>
      <c r="BG103" s="1">
        <f>INDEX(Input!$1:$1048576,BG$93,$C103*2+6)</f>
        <v>5.45E-2</v>
      </c>
      <c r="BH103" s="1">
        <f>INDEX(Input!$1:$1048576,BH$93,$C103*2+6)</f>
        <v>5.45E-2</v>
      </c>
      <c r="BI103" s="1">
        <f>INDEX(Input!$1:$1048576,BI$93,$C103*2+6)</f>
        <v>0.05</v>
      </c>
      <c r="BJ103" s="1">
        <f>INDEX(Input!$1:$1048576,BJ$93,$C103*2+6)</f>
        <v>0.05</v>
      </c>
      <c r="BK103" s="1">
        <f>INDEX(Input!$1:$1048576,BK$93,$C103*2+6)</f>
        <v>0.05</v>
      </c>
      <c r="BL103" s="1">
        <f>INDEX(Input!$1:$1048576,BL$93,$C103*2+6)</f>
        <v>5.5E-2</v>
      </c>
      <c r="BM103" s="1">
        <f>INDEX(Input!$1:$1048576,BM$93,$C103*2+6)</f>
        <v>0.06</v>
      </c>
      <c r="BN103" s="1">
        <f>INDEX(Input!$1:$1048576,BN$93,$C103*2+6)</f>
        <v>4.4999999999999998E-2</v>
      </c>
      <c r="BO103" s="1">
        <f>INDEX(Input!$1:$1048576,BO$93,$C103*2+6)</f>
        <v>4.4999999999999998E-2</v>
      </c>
      <c r="BP103" s="1">
        <f>INDEX(Input!$1:$1048576,BP$93,$C103*2+6)</f>
        <v>0.05</v>
      </c>
      <c r="BQ103" s="1">
        <f>INDEX(Input!$1:$1048576,BQ$93,$C103*2+6)</f>
        <v>5.45E-2</v>
      </c>
      <c r="BR103" s="1">
        <f>INDEX(Input!$1:$1048576,BR$93,$C103*2+6)</f>
        <v>5.45E-2</v>
      </c>
      <c r="BS103" s="1">
        <f>INDEX(Input!$1:$1048576,BS$93,$C103*2+6)</f>
        <v>0.05</v>
      </c>
      <c r="BT103" s="1">
        <f>INDEX(Input!$1:$1048576,BT$93,$C103*2+6)</f>
        <v>0.05</v>
      </c>
      <c r="BU103" s="1">
        <f>INDEX(Input!$1:$1048576,BU$93,$C103*2+6)</f>
        <v>0.05</v>
      </c>
      <c r="BV103" s="1">
        <f>INDEX(Input!$1:$1048576,BV$93,$C103*2+6)</f>
        <v>5.5E-2</v>
      </c>
      <c r="BW103" s="1">
        <f>INDEX(Input!$1:$1048576,BW$93,$C103*2+6)</f>
        <v>0.06</v>
      </c>
      <c r="BX103" s="127">
        <f>INDEX(Input!$1:$1048576,BX$93,$C103*2+6)</f>
        <v>19985</v>
      </c>
      <c r="BY103" s="20">
        <f>INDEX(Input!$1:$1048576,BY$93,$C103*2+6)</f>
        <v>0.1</v>
      </c>
      <c r="BZ103" s="20">
        <f>INDEX(Input!$1:$1048576,BZ$93,$C103*2+6)</f>
        <v>0.1</v>
      </c>
      <c r="CA103" s="20">
        <f>INDEX(Input!$1:$1048576,CA$93,$C103*2+6)</f>
        <v>0.1</v>
      </c>
      <c r="CB103" s="20">
        <f>INDEX(Input!$1:$1048576,CB$93,$C103*2+6)</f>
        <v>0.1</v>
      </c>
      <c r="CC103" s="20">
        <f>INDEX(Input!$1:$1048576,CC$93,$C103*2+6)</f>
        <v>0.1</v>
      </c>
      <c r="CD103" s="384">
        <f>INDEX(Input!$1:$1048576,CD$93,$C103*2+6)</f>
        <v>0.1</v>
      </c>
      <c r="CE103" s="384">
        <f>INDEX(Input!$1:$1048576,CE$93,$C103*2+6)</f>
        <v>0.1</v>
      </c>
      <c r="CF103" s="384">
        <f>INDEX(Input!$1:$1048576,CF$93,$C103*2+6)</f>
        <v>0.1</v>
      </c>
      <c r="CG103" s="384">
        <f>INDEX(Input!$1:$1048576,CG$93,$C103*2+6)</f>
        <v>0.1</v>
      </c>
      <c r="CH103" s="384">
        <f>INDEX(Input!$1:$1048576,CH$93,$C103*2+6)</f>
        <v>0.1</v>
      </c>
      <c r="CI103" s="304">
        <f t="shared" si="74"/>
        <v>1770</v>
      </c>
      <c r="CJ103" s="16" t="str">
        <f>INDEX(Input!$1:$1048576,CJ$93,$C103*2+6)</f>
        <v>N</v>
      </c>
      <c r="CK103" s="1" t="str">
        <f t="shared" si="75"/>
        <v>Market</v>
      </c>
      <c r="CL103" s="1" t="str">
        <f t="shared" si="76"/>
        <v>Market</v>
      </c>
      <c r="CM103" s="1" t="str">
        <f t="shared" si="77"/>
        <v>Market</v>
      </c>
      <c r="CN103" s="1" t="str">
        <f t="shared" si="78"/>
        <v>Market</v>
      </c>
      <c r="CO103" s="1" t="str">
        <f t="shared" si="79"/>
        <v>Market</v>
      </c>
      <c r="CP103" s="304">
        <f t="shared" si="80"/>
        <v>0</v>
      </c>
      <c r="CQ103" s="1">
        <f t="shared" si="81"/>
        <v>0</v>
      </c>
      <c r="CR103" s="1">
        <f t="shared" si="82"/>
        <v>0</v>
      </c>
      <c r="CS103" s="1">
        <f t="shared" si="83"/>
        <v>0</v>
      </c>
      <c r="CT103" s="1">
        <f t="shared" si="84"/>
        <v>1.9E-2</v>
      </c>
      <c r="CU103" s="1">
        <f t="shared" si="85"/>
        <v>3.9E-2</v>
      </c>
      <c r="CV103" s="304">
        <f t="shared" si="86"/>
        <v>2559</v>
      </c>
      <c r="CW103" s="20" t="s">
        <v>122</v>
      </c>
      <c r="CX103" s="20" t="s">
        <v>122</v>
      </c>
      <c r="CY103" s="20" t="s">
        <v>122</v>
      </c>
      <c r="CZ103" s="20" t="s">
        <v>122</v>
      </c>
      <c r="DA103" s="20" t="s">
        <v>122</v>
      </c>
      <c r="DB103" s="503">
        <f t="shared" si="87"/>
        <v>0</v>
      </c>
      <c r="DC103" s="127">
        <v>0</v>
      </c>
      <c r="DD103" s="127">
        <v>0</v>
      </c>
      <c r="DE103" s="127">
        <v>0</v>
      </c>
      <c r="DF103" s="127">
        <v>0</v>
      </c>
      <c r="DG103" s="127">
        <v>0</v>
      </c>
      <c r="DH103" s="127">
        <v>0</v>
      </c>
      <c r="DI103" s="127">
        <v>0</v>
      </c>
      <c r="DJ103" s="127">
        <v>0</v>
      </c>
      <c r="DK103" s="127">
        <v>0</v>
      </c>
      <c r="DL103" s="127">
        <v>0</v>
      </c>
      <c r="DM103" s="304">
        <f>INDEX(Input!$1:$1048576,DM$93,$C103*2+6)</f>
        <v>21036.84210526316</v>
      </c>
      <c r="DN103" s="20">
        <v>0</v>
      </c>
      <c r="DO103" s="20">
        <v>0</v>
      </c>
      <c r="DP103" s="20">
        <v>0</v>
      </c>
      <c r="DQ103" s="20">
        <v>0</v>
      </c>
      <c r="DR103" s="20">
        <v>0</v>
      </c>
      <c r="DS103" s="20">
        <f>INDEX(Input!$1:$1048576,DS$93,$C103*2+6)</f>
        <v>0.6</v>
      </c>
      <c r="DT103" s="20">
        <f>INDEX(Input!$1:$1048576,DT$93,$C103*2+6)</f>
        <v>0.55000000000000004</v>
      </c>
      <c r="DU103" s="20">
        <f>INDEX(Input!$1:$1048576,DU$93,$C103*2+6)</f>
        <v>0.52</v>
      </c>
      <c r="DV103" s="20">
        <f>INDEX(Input!$1:$1048576,DV$93,$C103*2+6)</f>
        <v>0.5</v>
      </c>
      <c r="DW103" s="20">
        <f>INDEX(Input!$1:$1048576,DW$93,$C103*2+6)</f>
        <v>0.45</v>
      </c>
      <c r="DX103" s="20"/>
      <c r="DY103" s="7">
        <v>0.11348537924105609</v>
      </c>
      <c r="DZ103" s="7">
        <v>0</v>
      </c>
      <c r="EA103" s="7">
        <v>0.51396176031041085</v>
      </c>
      <c r="EB103" s="7">
        <v>0</v>
      </c>
      <c r="EC103" s="7">
        <v>0</v>
      </c>
      <c r="ED103" s="7">
        <v>0</v>
      </c>
      <c r="EE103" s="7">
        <v>0</v>
      </c>
      <c r="EF103" s="7">
        <v>0</v>
      </c>
      <c r="EG103" s="7">
        <v>0</v>
      </c>
      <c r="EH103" s="7">
        <v>1.840220044509866E-2</v>
      </c>
      <c r="EI103" s="7">
        <v>5.3739557110571892E-2</v>
      </c>
      <c r="EJ103" s="7">
        <v>0.33946684904131991</v>
      </c>
      <c r="EK103" s="7">
        <v>0.4824771263993809</v>
      </c>
      <c r="EL103" s="7">
        <v>0.1059142670036287</v>
      </c>
      <c r="EM103" s="7">
        <v>4.1585132290527627E-2</v>
      </c>
      <c r="EN103" s="7">
        <v>5.076129296314752E-2</v>
      </c>
      <c r="EO103" s="7">
        <v>0.76765506488578406</v>
      </c>
      <c r="EP103" s="7">
        <v>7.9310896511250437E-2</v>
      </c>
      <c r="EQ103" s="7">
        <v>6.0469651977491448E-2</v>
      </c>
      <c r="ER103" s="7">
        <v>4.1803093662326568E-2</v>
      </c>
      <c r="ES103" s="7">
        <v>0.33096772815800529</v>
      </c>
      <c r="ET103" s="7">
        <v>0.37255286044853297</v>
      </c>
      <c r="EU103" s="6">
        <v>1740</v>
      </c>
      <c r="EV103" s="6">
        <v>0</v>
      </c>
      <c r="EW103" s="6">
        <v>1740</v>
      </c>
      <c r="EX103" s="6">
        <v>0</v>
      </c>
      <c r="EY103" s="6">
        <v>2009.7221397149683</v>
      </c>
      <c r="EZ103" s="6">
        <v>2070</v>
      </c>
      <c r="FA103" s="6">
        <v>0</v>
      </c>
      <c r="FB103" s="6">
        <v>0</v>
      </c>
      <c r="FC103" s="6">
        <v>0</v>
      </c>
      <c r="FD103" s="6">
        <v>0</v>
      </c>
      <c r="FE103" s="6">
        <v>0</v>
      </c>
      <c r="FF103" s="6">
        <v>0</v>
      </c>
      <c r="FG103" s="6">
        <v>0</v>
      </c>
      <c r="FH103" s="6">
        <v>1171.2811379695613</v>
      </c>
      <c r="FI103" s="6">
        <v>1553.9796069512392</v>
      </c>
      <c r="FJ103" s="6">
        <v>2101.2110117447414</v>
      </c>
      <c r="FK103" s="6">
        <v>1772.7139978623229</v>
      </c>
      <c r="FL103" s="6">
        <v>907.07682140966324</v>
      </c>
      <c r="FM103" s="6">
        <v>1769.7221397149683</v>
      </c>
      <c r="FN103" s="6">
        <v>0</v>
      </c>
      <c r="FO103" s="6">
        <v>0</v>
      </c>
      <c r="FP103" s="6">
        <v>0</v>
      </c>
      <c r="FQ103" s="6">
        <v>0</v>
      </c>
      <c r="FR103" s="6">
        <v>0</v>
      </c>
      <c r="FS103" s="6">
        <v>0</v>
      </c>
      <c r="FT103" s="7">
        <v>0.62744713955146691</v>
      </c>
      <c r="FU103" s="7">
        <v>4.1585132290527627E-2</v>
      </c>
      <c r="FV103" s="7">
        <v>0.33096772815800529</v>
      </c>
      <c r="FW103" s="6">
        <v>1740</v>
      </c>
      <c r="FX103" s="6">
        <v>2009.7221397149683</v>
      </c>
      <c r="FY103" s="6">
        <v>2070</v>
      </c>
      <c r="FZ103" s="6">
        <v>1952.7147957719815</v>
      </c>
      <c r="GA103" s="6">
        <v>1860.4357811538728</v>
      </c>
      <c r="GB103" s="6">
        <v>18124.564218846128</v>
      </c>
      <c r="GC103" s="7">
        <v>1.0519917368675835E-2</v>
      </c>
      <c r="GD103" s="7">
        <v>1.0640255330047916E-2</v>
      </c>
      <c r="GE103" s="7"/>
      <c r="GF103" s="7"/>
      <c r="GG103" s="7">
        <v>1.1439059562425819E-2</v>
      </c>
      <c r="GH103" s="42">
        <v>-2.4773737160194811</v>
      </c>
      <c r="GI103" s="6">
        <v>-6206.574807830214</v>
      </c>
      <c r="GJ103" s="14">
        <v>0.50394797582841733</v>
      </c>
      <c r="GK103" s="14">
        <v>0.50887573065309744</v>
      </c>
      <c r="GL103" s="14">
        <v>0.49605202417158273</v>
      </c>
      <c r="GM103" s="14">
        <v>0.4911242693469024</v>
      </c>
      <c r="GO103" s="5">
        <v>343.14810671672558</v>
      </c>
      <c r="GP103" s="5">
        <v>309.95222615702232</v>
      </c>
      <c r="GQ103" s="5">
        <v>535.04305713031317</v>
      </c>
      <c r="GR103" s="5">
        <v>410.15490233172511</v>
      </c>
      <c r="GS103" s="5">
        <v>339.42744393800166</v>
      </c>
      <c r="GT103" s="5">
        <v>293.4407446948278</v>
      </c>
      <c r="GU103" s="5">
        <v>258.04012322764959</v>
      </c>
      <c r="GV103" s="39" t="s">
        <v>392</v>
      </c>
      <c r="GW103" s="5">
        <v>492.95833333333331</v>
      </c>
      <c r="GX103" s="5">
        <v>369.71875</v>
      </c>
      <c r="GY103" s="5">
        <v>295.77499999999998</v>
      </c>
      <c r="GZ103" s="5">
        <v>260.99022522677262</v>
      </c>
      <c r="HA103" s="5">
        <v>241.7574294051233</v>
      </c>
      <c r="HB103" s="39">
        <v>280.87322203061802</v>
      </c>
      <c r="HC103" s="5">
        <v>196.72187499999998</v>
      </c>
      <c r="HD103" s="5">
        <v>177.99289108187131</v>
      </c>
      <c r="HE103" s="5">
        <v>183.57344382591089</v>
      </c>
      <c r="HF103" s="5">
        <v>173.04000548245611</v>
      </c>
      <c r="HG103" s="5">
        <v>170.95638157894734</v>
      </c>
      <c r="HH103" s="39">
        <v>178.79255002831209</v>
      </c>
      <c r="HI103" s="16"/>
      <c r="HJ103" s="19" t="str">
        <f t="shared" ref="HJ103:HJ118" si="107">HJ102</f>
        <v>On</v>
      </c>
      <c r="HK103" s="1" t="str">
        <f t="shared" ref="HK103:HK166" si="108">HK102</f>
        <v>On</v>
      </c>
      <c r="HL103" s="16"/>
      <c r="HM103" s="639">
        <f t="shared" si="42"/>
        <v>5.7455619280273196E-3</v>
      </c>
      <c r="HN103" s="639">
        <f t="shared" si="43"/>
        <v>5.0031960498701745E-4</v>
      </c>
      <c r="HO103" s="639">
        <f t="shared" si="44"/>
        <v>3.9819433988714835E-3</v>
      </c>
      <c r="HP103" s="644">
        <f>(FT103*$GD103-HM103)/$JF103*INDEX(Input!$1:$1048576,$JG$93,$C103*2+6)</f>
        <v>40.581803922279171</v>
      </c>
      <c r="HQ103" s="644">
        <f>(FU103*$GD103-HN103)/$JF103*INDEX(Input!$1:$1048576,$JG$93,$C103*2+6)</f>
        <v>-2.5223405974165236</v>
      </c>
      <c r="HR103" s="644">
        <f>(FV103*$GD103-HO103)/$JF103*INDEX(Input!$1:$1048576,$JG$93,$C103*2+6)</f>
        <v>-20.074802968892143</v>
      </c>
      <c r="HS103" s="644">
        <f t="shared" si="45"/>
        <v>-9.0204232350288649</v>
      </c>
      <c r="HT103" s="644">
        <f t="shared" si="46"/>
        <v>-4.0149605937784285</v>
      </c>
      <c r="HU103" s="644">
        <f t="shared" si="47"/>
        <v>4.0149605937784285</v>
      </c>
      <c r="HV103" s="648">
        <f t="shared" si="48"/>
        <v>0</v>
      </c>
      <c r="HW103" s="648">
        <f t="shared" si="49"/>
        <v>0</v>
      </c>
      <c r="HX103" s="648">
        <f t="shared" si="50"/>
        <v>0</v>
      </c>
      <c r="HY103" s="644">
        <f>INDEX(Input!$1:$1048576,HY$93,$C103*2+6)*INDEX(Input!$1:$1048576,$JG$93,$C103*2+6)</f>
        <v>110.00000000000001</v>
      </c>
      <c r="HZ103" s="644">
        <f>INDEX(Input!$1:$1048576,HZ$93,$C103*2+6)*INDEX(Input!$1:$1048576,$JG$93,$C103*2+6)</f>
        <v>157</v>
      </c>
      <c r="IA103" s="644">
        <f>INDEX(Input!$1:$1048576,IA$93,$C103*2+6)*INDEX(Input!$1:$1048576,$JG$93,$C103*2+6)</f>
        <v>179</v>
      </c>
      <c r="IB103" s="644">
        <f t="shared" si="88"/>
        <v>141.56138068725033</v>
      </c>
      <c r="IC103" s="644">
        <f t="shared" si="89"/>
        <v>150.46269880880504</v>
      </c>
      <c r="ID103" s="644">
        <f>IF(AND(INDEX(Input!$1:$1048576,IA$93,$C103*2+7)="TOS",Y103&lt;=INDEX(Y:Y,MATCH(C103*1000+2,A:A))),0,1)*MAX(IA103+HR103+HU103+HX103,0%)</f>
        <v>162.9401576248863</v>
      </c>
      <c r="IE103" s="128">
        <f t="shared" si="90"/>
        <v>0.31114836977751181</v>
      </c>
      <c r="IF103" s="128">
        <f t="shared" si="51"/>
        <v>0.33071324410232278</v>
      </c>
      <c r="IG103" s="128">
        <f t="shared" si="52"/>
        <v>0.35813838612016541</v>
      </c>
      <c r="IH103" s="21"/>
      <c r="II103" s="19">
        <f t="shared" si="53"/>
        <v>1240</v>
      </c>
      <c r="IJ103" s="19">
        <f t="shared" si="54"/>
        <v>2009.7221397149679</v>
      </c>
      <c r="IK103" s="19">
        <f t="shared" si="55"/>
        <v>2070</v>
      </c>
      <c r="IL103" s="19">
        <f t="shared" si="91"/>
        <v>500</v>
      </c>
      <c r="IM103" s="19">
        <f t="shared" si="56"/>
        <v>0</v>
      </c>
      <c r="IN103" s="19">
        <f t="shared" si="56"/>
        <v>0</v>
      </c>
      <c r="IO103" s="39">
        <f t="shared" si="57"/>
        <v>0</v>
      </c>
      <c r="IP103" s="39">
        <f t="shared" si="58"/>
        <v>0</v>
      </c>
      <c r="IQ103" s="39">
        <f t="shared" si="59"/>
        <v>0</v>
      </c>
      <c r="IR103" s="39">
        <v>0</v>
      </c>
      <c r="IS103" s="39">
        <v>0</v>
      </c>
      <c r="IT103" s="39">
        <v>0</v>
      </c>
      <c r="IU103" s="39">
        <v>0</v>
      </c>
      <c r="IV103" s="39">
        <v>0</v>
      </c>
      <c r="IW103" s="39">
        <v>0</v>
      </c>
      <c r="IX103" s="39">
        <f>INDEX(Input!$1:$1048576,IX$93,$C103*2+6)+INDEX(Input!$1:$1048576,IX$94,$C103*2+6)</f>
        <v>1270</v>
      </c>
      <c r="IY103" s="39">
        <f>INDEX(Input!$1:$1048576,IY$93,$C103*2+6)+INDEX(Input!$1:$1048576,IY$94,$C103*2+6)</f>
        <v>2130.0624533823611</v>
      </c>
      <c r="IZ103" s="39">
        <f>INDEX(Input!$1:$1048576,IZ$93,$C103*2+6)+INDEX(Input!$1:$1048576,IZ$94,$C103*2+6)</f>
        <v>4373.7164157747848</v>
      </c>
      <c r="JA103" s="19">
        <f t="shared" si="92"/>
        <v>1770</v>
      </c>
      <c r="JB103" s="19">
        <f t="shared" si="92"/>
        <v>2130.0624533823611</v>
      </c>
      <c r="JC103" s="19">
        <f t="shared" si="92"/>
        <v>4373.7164157747848</v>
      </c>
      <c r="JD103" s="19">
        <f t="shared" si="93"/>
        <v>2821.5682170976852</v>
      </c>
      <c r="JE103" s="21"/>
      <c r="JF103" s="1">
        <f t="shared" si="60"/>
        <v>1.022782493188582E-2</v>
      </c>
      <c r="JG103" s="15">
        <f>INDEX(Input!$1:$1048576,JG$93,$C103*2+6)/(1+VLOOKUP(C103*1000+INDEX(Input!$1:$1048576,JG$93+1,$C103*2+6),$A:$KK,$JK$92,FALSE))</f>
        <v>446</v>
      </c>
      <c r="JH103" s="1">
        <f t="shared" si="94"/>
        <v>4.0324350573924896E-2</v>
      </c>
      <c r="JI103" s="1">
        <f t="shared" si="95"/>
        <v>-2.0225164204100594E-2</v>
      </c>
      <c r="JJ103" s="1">
        <f t="shared" si="96"/>
        <v>0</v>
      </c>
      <c r="JK103" s="1">
        <f t="shared" si="97"/>
        <v>2.0099186369824301E-2</v>
      </c>
      <c r="JL103" s="15">
        <f t="shared" si="98"/>
        <v>8.9642371209416378</v>
      </c>
      <c r="JM103" s="15">
        <f t="shared" si="99"/>
        <v>454.96423712094162</v>
      </c>
      <c r="JN103" s="21"/>
      <c r="JO103" s="19">
        <f>INDEX(Input!$1:$1048576,JO$93,$C103*2+6)</f>
        <v>5995.5</v>
      </c>
      <c r="JP103" s="19">
        <f>INDEX(Input!$1:$1048576,JP$93,$C103*2+6)</f>
        <v>2818.4193802796353</v>
      </c>
      <c r="JQ103" s="39">
        <f t="shared" ref="JQ103:JQ111" si="109">JO103-JD103</f>
        <v>3173.9317829023148</v>
      </c>
      <c r="JR103" s="39">
        <f t="shared" si="61"/>
        <v>3.1488368180498583</v>
      </c>
      <c r="JS103" s="39">
        <f t="shared" si="62"/>
        <v>1.2837126313765437</v>
      </c>
      <c r="JT103" s="39">
        <f t="shared" si="100"/>
        <v>2.6697587771826424E-2</v>
      </c>
      <c r="JU103" s="385">
        <f>(JQ103*JM103-INDEX(Input!$1:$1048576,Input!A$18,$C103*2+6)*JL103*INDEX(Input!$1:$1048576,Input!A$19,$C103*2+6))/1000000</f>
        <v>1.4440254522820617</v>
      </c>
      <c r="JV103" s="39">
        <f t="shared" si="63"/>
        <v>2.7047495886779016E-2</v>
      </c>
      <c r="JW103" s="1">
        <f>JV103/(JU103-JV103)</f>
        <v>1.9088155722327835E-2</v>
      </c>
      <c r="JX103" s="19">
        <f>IF(JL103=0,0,JT103/JL103)*1000000</f>
        <v>2978.2331069151824</v>
      </c>
      <c r="JZ103" s="468">
        <f>(HY103+HP103)/SUM(HP103:HR103,HY103:IA103)*IL103</f>
        <v>162.27023950183221</v>
      </c>
      <c r="KA103" s="469">
        <f>JH103/(JZ103/BX103)</f>
        <v>4.9662966462238431</v>
      </c>
      <c r="KB103" s="469">
        <f t="shared" ref="KB103:KB166" si="110">KB102</f>
        <v>2.9286733661474216</v>
      </c>
      <c r="KC103" s="469">
        <f>MIN(AVERAGE(KB103*0.8,VLOOKUP(AZ101,Lookup!$B:$E,4,FALSE)*0.8),$KC$97)</f>
        <v>2.1614693464589685</v>
      </c>
      <c r="KD103" s="469">
        <f>AVERAGE(KB103,VLOOKUP(AZ101,Lookup!$B:$E,4,FALSE))</f>
        <v>2.7018366830737106</v>
      </c>
      <c r="KE103" s="469">
        <f>MIN(MAX(KA103,KC103),KD103)</f>
        <v>2.7018366830737106</v>
      </c>
      <c r="KF103" s="470">
        <f>A103</f>
        <v>1003</v>
      </c>
      <c r="KG103" s="471">
        <f>(JH103/KA103*KE103-JH103)/MAX(IL103:IN103)*1000</f>
        <v>-3.6773025825637441E-2</v>
      </c>
      <c r="KH103" s="472"/>
      <c r="KI103" s="473">
        <f t="shared" ref="KI103:KI114" si="111">$JM103*IE103-$JG103*HY103/SUM($HY103:$IA103)</f>
        <v>31.561380687250292</v>
      </c>
      <c r="KJ103" s="473">
        <f t="shared" si="101"/>
        <v>-6.5373011911949845</v>
      </c>
      <c r="KK103" s="473">
        <f t="shared" si="102"/>
        <v>-16.059842375113732</v>
      </c>
      <c r="KL103" s="472" t="str">
        <f>IF(OR(KJ103&gt;0,KK103&gt;0),"Error - Adjust TR","ok")</f>
        <v>ok</v>
      </c>
      <c r="KN103" s="544">
        <f>KM103+(KN102-KM102)</f>
        <v>1002</v>
      </c>
      <c r="KO103" s="541">
        <f t="shared" si="64"/>
        <v>1.5917775464870276E-2</v>
      </c>
      <c r="KP103" s="546">
        <f t="shared" si="65"/>
        <v>130.9462606805584</v>
      </c>
      <c r="KQ103" s="546">
        <f t="shared" si="66"/>
        <v>-17.747982920966479</v>
      </c>
      <c r="KR103" s="548">
        <f t="shared" si="67"/>
        <v>2.084222516178253</v>
      </c>
      <c r="KS103" s="548">
        <f t="shared" si="68"/>
        <v>-15.377586632526732</v>
      </c>
      <c r="KT103" s="473">
        <f t="shared" ref="KT103:KT166" si="112">KT102</f>
        <v>238.28695973331548</v>
      </c>
      <c r="KU103" s="663">
        <f t="shared" si="103"/>
        <v>6.4406083971150316</v>
      </c>
      <c r="KV103" s="117"/>
    </row>
    <row r="104" spans="1:310" s="26" customFormat="1" ht="15">
      <c r="A104" s="561">
        <f t="shared" si="69"/>
        <v>1004</v>
      </c>
      <c r="B104" s="561">
        <f t="shared" si="104"/>
        <v>4</v>
      </c>
      <c r="C104" s="561">
        <f t="shared" si="105"/>
        <v>1</v>
      </c>
      <c r="D104" s="561" t="s">
        <v>741</v>
      </c>
      <c r="E104" s="115">
        <f>INDEX(Input!$1:$1048576,E$93,$C104*2+MIN($B104,1)+5)</f>
        <v>1000</v>
      </c>
      <c r="F104" s="115">
        <f>INDEX(Input!$1:$1048576,F$93,$C104*2+MIN($B104,1)+5)</f>
        <v>0</v>
      </c>
      <c r="G104" s="115">
        <f>INDEX(Input!$1:$1048576,G$93,$C104*2+MIN($B104,1)+5)</f>
        <v>0</v>
      </c>
      <c r="H104" s="115">
        <f>INDEX(Input!$1:$1048576,H$93,$C104*2+MIN($B104,1)+5)</f>
        <v>0</v>
      </c>
      <c r="I104" s="118">
        <f>INDEX(Input!$1:$1048576,I$93,$C104*2+MIN($B104,1)+5)</f>
        <v>0.7</v>
      </c>
      <c r="J104" s="478">
        <f>IF(INDEX(Input!$1:$1048576,J$93,$C104*2+MIN($B104,1)+5)="Market",BD102-1%,MAX(INDEX(Input!$1:$1048576,J$93,$C104*2+MIN($B104,1)+5)-1%,0))</f>
        <v>3.4999999999999996E-2</v>
      </c>
      <c r="K104" s="478">
        <f>IF(INDEX(Input!$1:$1048576,K$93,$C104*2+MIN($B104,1)+5)="Market",BE102-1%,MAX(INDEX(Input!$1:$1048576,K$93,$C104*2+MIN($B104,1)+5)-1%,0))</f>
        <v>3.4999999999999996E-2</v>
      </c>
      <c r="L104" s="478">
        <f>IF(INDEX(Input!$1:$1048576,L$93,$C104*2+MIN($B104,1)+5)="Market",BF102-1%,MAX(INDEX(Input!$1:$1048576,L$93,$C104*2+MIN($B104,1)+5)-1%,0))</f>
        <v>0.04</v>
      </c>
      <c r="M104" s="478">
        <f>IF(INDEX(Input!$1:$1048576,M$93,$C104*2+MIN($B104,1)+5)="Market",BG102-1%,MAX(INDEX(Input!$1:$1048576,M$93,$C104*2+MIN($B104,1)+5)-1%,0))</f>
        <v>4.4499999999999998E-2</v>
      </c>
      <c r="N104" s="478">
        <f>IF(INDEX(Input!$1:$1048576,N$93,$C104*2+MIN($B104,1)+5)="Market",BH102-1%,MAX(INDEX(Input!$1:$1048576,N$93,$C104*2+6)-IF(INDEX(Input!$1:$1048576,M$93,$C104*2+MIN($B104,1)+5)=0,0,1%),0))</f>
        <v>4.4499999999999998E-2</v>
      </c>
      <c r="O104" s="476" t="str">
        <f>INDEX(Input!$1:$1048576,O$93,$C104*2+MIN($B104,1)+5)</f>
        <v>Market</v>
      </c>
      <c r="P104" s="476" t="str">
        <f>INDEX(Input!$1:$1048576,P$93,$C104*2+MIN($B104,1)+5)</f>
        <v>N</v>
      </c>
      <c r="Q104" s="477">
        <f>INDEX(Input!$1:$1048576,Q$93,$C104*2+MIN($B104,1)+5)+IF(U102&gt;1.8%,0,500)</f>
        <v>500</v>
      </c>
      <c r="R104" s="478">
        <f>IF(INDEX(Input!$1:$1048576,R$93,$C104*2+MIN($B104,1)+5)="Market",BD102-1%,MAX(INDEX(Input!$1:$1048576,R$93,$C104*2+MIN($B104,1)+5)-1%,0))</f>
        <v>0</v>
      </c>
      <c r="S104" s="478">
        <f>IF(INDEX(Input!$1:$1048576,S$93,$C104*2+MIN($B104,1)+5)="Market",BE102-1%,MAX(INDEX(Input!$1:$1048576,S$93,$C104*2+MIN($B104,1)+5)-1%,0))</f>
        <v>0</v>
      </c>
      <c r="T104" s="478">
        <f>IF(INDEX(Input!$1:$1048576,T$93,$C104*2+MIN($B104,1)+5)="Market",BF102-1%,MAX(INDEX(Input!$1:$1048576,T$93,$C104*2+MIN($B104,1)+5)-1%,0))</f>
        <v>0</v>
      </c>
      <c r="U104" s="478">
        <f>IF(INDEX(Input!$1:$1048576,U$93,$C104*2+MIN($B104,1)+5)="Market",BG102-1%,MAX(INDEX(Input!$1:$1048576,U$93,$C104*2+MIN($B104,1)+5)-1%,0))</f>
        <v>0</v>
      </c>
      <c r="V104" s="478">
        <f>IF(INDEX(Input!$1:$1048576,V$93,$C104*2+MIN($B104,1)+5)="Market",BH102-1%,MAX(INDEX(Input!$1:$1048576,V$93,$C104*2+MIN($B104,1)+5)-IF(INDEX(Input!$1:$1048576,U$93,$C104*2+MIN($B104,1)+5)=0,0,1%),0))</f>
        <v>1.9E-2</v>
      </c>
      <c r="W104" s="885">
        <f>INDEX(Input!$1:$1048576,W$93,$C104*2+MIN($B104,1)+5)</f>
        <v>3.9E-2</v>
      </c>
      <c r="X104" s="476" t="str">
        <f>INDEX(Input!$1:$1048576,X$93,$C104*2+MIN($B104,1)+5)</f>
        <v>Y</v>
      </c>
      <c r="Y104" s="150">
        <f>INDEX(Input!$1:$1048576,Y$93,$C104*2+MIN($B104,1)+5)</f>
        <v>2289</v>
      </c>
      <c r="Z104" s="30">
        <f>INDEX(Input!$1:$1048576,Z$93,$C104*2+MIN($B104,1)+5)</f>
        <v>0</v>
      </c>
      <c r="AA104" s="115">
        <f>INDEX(Input!$1:$1048576,AA$93,$C104*2+MIN($B104,1)+5)</f>
        <v>1000</v>
      </c>
      <c r="AB104" s="118">
        <f>INDEX(Input!$1:$1048576,AB$93,$C104*2+MIN($B104,1)+5)</f>
        <v>0.27</v>
      </c>
      <c r="AC104" s="115">
        <f>INDEX(Input!$1:$1048576,AC$93,$C104*2+MIN($B104,1)+5)</f>
        <v>1000</v>
      </c>
      <c r="AD104" s="118">
        <f>INDEX(Input!$1:$1048576,AD$93,$C104*2+MIN($B104,1)+5)</f>
        <v>0.27</v>
      </c>
      <c r="AE104" s="115">
        <f>INDEX(Input!$1:$1048576,AE$93,$C104*2+MIN($B104,1)+5)</f>
        <v>0</v>
      </c>
      <c r="AF104" s="118">
        <f>INDEX(Input!$1:$1048576,AF$93,$C104*2+MIN($B104,1)+5)</f>
        <v>0.38</v>
      </c>
      <c r="AG104" s="115">
        <f>INDEX(Input!$1:$1048576,AG$93,$C104*2+MIN($B104,1)+5)</f>
        <v>0</v>
      </c>
      <c r="AH104" s="118">
        <f>INDEX(Input!$1:$1048576,AH$93,$C104*2+MIN($B104,1)+5)</f>
        <v>0</v>
      </c>
      <c r="AI104" s="115">
        <f>INDEX(Input!$1:$1048576,AI$93,$C104*2+MIN($B104,1)+5)</f>
        <v>0</v>
      </c>
      <c r="AJ104" s="118">
        <f>INDEX(Input!$1:$1048576,AJ$93,$C104*2+MIN($B104,1)+5)</f>
        <v>0.27</v>
      </c>
      <c r="AK104" s="150">
        <f>ROUND(INDEX(Input!$1:$1048576,AK$93,$C103*2+MIN($B104,1)+5)+(Y104-VLOOKUP($C104*1000+1,$A:$HH,Y$92,FALSE)),0)</f>
        <v>4104</v>
      </c>
      <c r="AL104" s="150">
        <f>ROUND(INDEX(Input!$1:$1048576,AL$93,$C103*2+MIN($B104,1)+5)-(Y104-VLOOKUP($C104*1000+1,$A:$HH,Y$92,FALSE))/36,0)</f>
        <v>4104</v>
      </c>
      <c r="AM104" s="32" t="str">
        <f t="shared" si="70"/>
        <v>3.5/4/4.5/4.5</v>
      </c>
      <c r="AN104" s="32" t="str">
        <f t="shared" si="71"/>
        <v>$500 + 0/0/0/1.9/3.9</v>
      </c>
      <c r="AO104" s="32" t="str">
        <f t="shared" si="72"/>
        <v>0/0/0/1.9/3.9</v>
      </c>
      <c r="AP104" s="32" t="str">
        <f t="shared" si="73"/>
        <v>0/0.9/1.9/3.9</v>
      </c>
      <c r="AQ104" s="536">
        <f t="shared" si="39"/>
        <v>270.23195854710747</v>
      </c>
      <c r="AR104" s="32"/>
      <c r="AS104" s="302"/>
      <c r="AT104" s="3">
        <f t="shared" si="106"/>
        <v>4</v>
      </c>
      <c r="AU104" s="41" t="s">
        <v>121</v>
      </c>
      <c r="AV104" s="41" t="s">
        <v>116</v>
      </c>
      <c r="AW104" s="41" t="str">
        <f>INDEX(Input!$1:$1048576,AW$93,$C104*2+6)</f>
        <v>Kia</v>
      </c>
      <c r="AX104" s="41" t="str">
        <f>INDEX(Input!$1:$1048576,AX$93,$C104*2+6)</f>
        <v>Kia-LR - L1</v>
      </c>
      <c r="AY104" s="41" t="str">
        <f>IF(LEN(D104)=0,"",INDEX(Input!$1:$1048576,AY$93,$C104*2+6))</f>
        <v>Compact SUV (52)</v>
      </c>
      <c r="AZ104" s="41" t="str">
        <f>INDEX(Input!$1:$1048576,AZ$93,$C104*2+6)</f>
        <v>Kia Soul</v>
      </c>
      <c r="BA104" s="3">
        <f>INDEX(Input!$1:$1048576,BA$93,$C104*2+6)</f>
        <v>2020</v>
      </c>
      <c r="BB104" s="128">
        <f>INDEX(Input!$1:$1048576,BB$93,$C104*2+6)</f>
        <v>1</v>
      </c>
      <c r="BC104" s="128">
        <f>INDEX(Input!$1:$1048576,BC$93,$C104*2+6)</f>
        <v>0.7</v>
      </c>
      <c r="BD104" s="1">
        <f>INDEX(Input!$1:$1048576,BD$93,$C104*2+6)</f>
        <v>4.4999999999999998E-2</v>
      </c>
      <c r="BE104" s="1">
        <f>INDEX(Input!$1:$1048576,BE$93,$C104*2+6)</f>
        <v>4.4999999999999998E-2</v>
      </c>
      <c r="BF104" s="1">
        <f>INDEX(Input!$1:$1048576,BF$93,$C104*2+6)</f>
        <v>0.05</v>
      </c>
      <c r="BG104" s="1">
        <f>INDEX(Input!$1:$1048576,BG$93,$C104*2+6)</f>
        <v>5.45E-2</v>
      </c>
      <c r="BH104" s="1">
        <f>INDEX(Input!$1:$1048576,BH$93,$C104*2+6)</f>
        <v>5.45E-2</v>
      </c>
      <c r="BI104" s="1">
        <f>INDEX(Input!$1:$1048576,BI$93,$C104*2+6)</f>
        <v>0.05</v>
      </c>
      <c r="BJ104" s="1">
        <f>INDEX(Input!$1:$1048576,BJ$93,$C104*2+6)</f>
        <v>0.05</v>
      </c>
      <c r="BK104" s="1">
        <f>INDEX(Input!$1:$1048576,BK$93,$C104*2+6)</f>
        <v>0.05</v>
      </c>
      <c r="BL104" s="1">
        <f>INDEX(Input!$1:$1048576,BL$93,$C104*2+6)</f>
        <v>5.5E-2</v>
      </c>
      <c r="BM104" s="1">
        <f>INDEX(Input!$1:$1048576,BM$93,$C104*2+6)</f>
        <v>0.06</v>
      </c>
      <c r="BN104" s="1">
        <f>INDEX(Input!$1:$1048576,BN$93,$C104*2+6)</f>
        <v>4.4999999999999998E-2</v>
      </c>
      <c r="BO104" s="1">
        <f>INDEX(Input!$1:$1048576,BO$93,$C104*2+6)</f>
        <v>4.4999999999999998E-2</v>
      </c>
      <c r="BP104" s="1">
        <f>INDEX(Input!$1:$1048576,BP$93,$C104*2+6)</f>
        <v>0.05</v>
      </c>
      <c r="BQ104" s="1">
        <f>INDEX(Input!$1:$1048576,BQ$93,$C104*2+6)</f>
        <v>5.45E-2</v>
      </c>
      <c r="BR104" s="1">
        <f>INDEX(Input!$1:$1048576,BR$93,$C104*2+6)</f>
        <v>5.45E-2</v>
      </c>
      <c r="BS104" s="1">
        <f>INDEX(Input!$1:$1048576,BS$93,$C104*2+6)</f>
        <v>0.05</v>
      </c>
      <c r="BT104" s="1">
        <f>INDEX(Input!$1:$1048576,BT$93,$C104*2+6)</f>
        <v>0.05</v>
      </c>
      <c r="BU104" s="1">
        <f>INDEX(Input!$1:$1048576,BU$93,$C104*2+6)</f>
        <v>0.05</v>
      </c>
      <c r="BV104" s="1">
        <f>INDEX(Input!$1:$1048576,BV$93,$C104*2+6)</f>
        <v>5.5E-2</v>
      </c>
      <c r="BW104" s="1">
        <f>INDEX(Input!$1:$1048576,BW$93,$C104*2+6)</f>
        <v>0.06</v>
      </c>
      <c r="BX104" s="127">
        <f>INDEX(Input!$1:$1048576,BX$93,$C104*2+6)</f>
        <v>19985</v>
      </c>
      <c r="BY104" s="20">
        <f>INDEX(Input!$1:$1048576,BY$93,$C104*2+6)</f>
        <v>0.1</v>
      </c>
      <c r="BZ104" s="20">
        <f>INDEX(Input!$1:$1048576,BZ$93,$C104*2+6)</f>
        <v>0.1</v>
      </c>
      <c r="CA104" s="20">
        <f>INDEX(Input!$1:$1048576,CA$93,$C104*2+6)</f>
        <v>0.1</v>
      </c>
      <c r="CB104" s="20">
        <f>INDEX(Input!$1:$1048576,CB$93,$C104*2+6)</f>
        <v>0.1</v>
      </c>
      <c r="CC104" s="20">
        <f>INDEX(Input!$1:$1048576,CC$93,$C104*2+6)</f>
        <v>0.1</v>
      </c>
      <c r="CD104" s="384">
        <f>INDEX(Input!$1:$1048576,CD$93,$C104*2+6)</f>
        <v>0.1</v>
      </c>
      <c r="CE104" s="384">
        <f>INDEX(Input!$1:$1048576,CE$93,$C104*2+6)</f>
        <v>0.1</v>
      </c>
      <c r="CF104" s="384">
        <f>INDEX(Input!$1:$1048576,CF$93,$C104*2+6)</f>
        <v>0.1</v>
      </c>
      <c r="CG104" s="384">
        <f>INDEX(Input!$1:$1048576,CG$93,$C104*2+6)</f>
        <v>0.1</v>
      </c>
      <c r="CH104" s="384">
        <f>INDEX(Input!$1:$1048576,CH$93,$C104*2+6)</f>
        <v>0.1</v>
      </c>
      <c r="CI104" s="304">
        <f t="shared" si="74"/>
        <v>1270</v>
      </c>
      <c r="CJ104" s="16" t="str">
        <f>INDEX(Input!$1:$1048576,CJ$93,$C104*2+6)</f>
        <v>N</v>
      </c>
      <c r="CK104" s="1">
        <f t="shared" si="75"/>
        <v>3.4999999999999996E-2</v>
      </c>
      <c r="CL104" s="1">
        <f t="shared" si="76"/>
        <v>0.04</v>
      </c>
      <c r="CM104" s="1">
        <f t="shared" si="77"/>
        <v>4.4499999999999998E-2</v>
      </c>
      <c r="CN104" s="1">
        <f t="shared" si="78"/>
        <v>4.4499999999999998E-2</v>
      </c>
      <c r="CO104" s="1" t="str">
        <f t="shared" si="79"/>
        <v>Market</v>
      </c>
      <c r="CP104" s="304">
        <f t="shared" si="80"/>
        <v>500</v>
      </c>
      <c r="CQ104" s="1">
        <f t="shared" si="81"/>
        <v>0</v>
      </c>
      <c r="CR104" s="1">
        <f t="shared" si="82"/>
        <v>0</v>
      </c>
      <c r="CS104" s="1">
        <f t="shared" si="83"/>
        <v>0</v>
      </c>
      <c r="CT104" s="1">
        <f t="shared" si="84"/>
        <v>1.9E-2</v>
      </c>
      <c r="CU104" s="1">
        <f t="shared" si="85"/>
        <v>3.9E-2</v>
      </c>
      <c r="CV104" s="304">
        <f t="shared" si="86"/>
        <v>2559</v>
      </c>
      <c r="CW104" s="20" t="s">
        <v>122</v>
      </c>
      <c r="CX104" s="20" t="s">
        <v>122</v>
      </c>
      <c r="CY104" s="20" t="s">
        <v>122</v>
      </c>
      <c r="CZ104" s="20" t="s">
        <v>122</v>
      </c>
      <c r="DA104" s="20" t="s">
        <v>122</v>
      </c>
      <c r="DB104" s="503">
        <f t="shared" si="87"/>
        <v>0</v>
      </c>
      <c r="DC104" s="127">
        <v>0</v>
      </c>
      <c r="DD104" s="127">
        <v>0</v>
      </c>
      <c r="DE104" s="127">
        <v>0</v>
      </c>
      <c r="DF104" s="127">
        <v>0</v>
      </c>
      <c r="DG104" s="127">
        <v>0</v>
      </c>
      <c r="DH104" s="127">
        <v>0</v>
      </c>
      <c r="DI104" s="127">
        <v>0</v>
      </c>
      <c r="DJ104" s="127">
        <v>0</v>
      </c>
      <c r="DK104" s="127">
        <v>0</v>
      </c>
      <c r="DL104" s="127">
        <v>0</v>
      </c>
      <c r="DM104" s="304">
        <f>INDEX(Input!$1:$1048576,DM$93,$C104*2+6)</f>
        <v>21036.84210526316</v>
      </c>
      <c r="DN104" s="20">
        <v>0</v>
      </c>
      <c r="DO104" s="20">
        <v>0</v>
      </c>
      <c r="DP104" s="20">
        <v>0</v>
      </c>
      <c r="DQ104" s="20">
        <v>0</v>
      </c>
      <c r="DR104" s="20">
        <v>0</v>
      </c>
      <c r="DS104" s="20">
        <f>INDEX(Input!$1:$1048576,DS$93,$C104*2+6)</f>
        <v>0.6</v>
      </c>
      <c r="DT104" s="20">
        <f>INDEX(Input!$1:$1048576,DT$93,$C104*2+6)</f>
        <v>0.55000000000000004</v>
      </c>
      <c r="DU104" s="20">
        <f>INDEX(Input!$1:$1048576,DU$93,$C104*2+6)</f>
        <v>0.52</v>
      </c>
      <c r="DV104" s="20">
        <f>INDEX(Input!$1:$1048576,DV$93,$C104*2+6)</f>
        <v>0.5</v>
      </c>
      <c r="DW104" s="20">
        <f>INDEX(Input!$1:$1048576,DW$93,$C104*2+6)</f>
        <v>0.45</v>
      </c>
      <c r="DX104" s="20"/>
      <c r="DY104" s="7">
        <v>9.5694219448864054E-2</v>
      </c>
      <c r="DZ104" s="7">
        <v>0</v>
      </c>
      <c r="EA104" s="7">
        <v>0.45726423396752941</v>
      </c>
      <c r="EB104" s="7">
        <v>0</v>
      </c>
      <c r="EC104" s="7">
        <v>0</v>
      </c>
      <c r="ED104" s="7">
        <v>0</v>
      </c>
      <c r="EE104" s="7">
        <v>0</v>
      </c>
      <c r="EF104" s="7">
        <v>0</v>
      </c>
      <c r="EG104" s="7">
        <v>0</v>
      </c>
      <c r="EH104" s="7">
        <v>1.840220044509866E-2</v>
      </c>
      <c r="EI104" s="7">
        <v>5.3739557110571899E-2</v>
      </c>
      <c r="EJ104" s="7">
        <v>0.33946684904131991</v>
      </c>
      <c r="EK104" s="7">
        <v>0.48247712639938112</v>
      </c>
      <c r="EL104" s="7">
        <v>0.10591426700362871</v>
      </c>
      <c r="EM104" s="7">
        <v>6.2640131826809456E-2</v>
      </c>
      <c r="EN104" s="7">
        <v>5.0761292963147506E-2</v>
      </c>
      <c r="EO104" s="7">
        <v>0.76765506488578406</v>
      </c>
      <c r="EP104" s="7">
        <v>7.9310896511250409E-2</v>
      </c>
      <c r="EQ104" s="7">
        <v>6.0469651977491455E-2</v>
      </c>
      <c r="ER104" s="7">
        <v>4.1803093662326568E-2</v>
      </c>
      <c r="ES104" s="7">
        <v>0.38440141475679701</v>
      </c>
      <c r="ET104" s="7">
        <v>0.44704154658360651</v>
      </c>
      <c r="EU104" s="6">
        <v>1240</v>
      </c>
      <c r="EV104" s="6">
        <v>0</v>
      </c>
      <c r="EW104" s="6">
        <v>1240</v>
      </c>
      <c r="EX104" s="6">
        <v>0</v>
      </c>
      <c r="EY104" s="6">
        <v>2509.7221397149688</v>
      </c>
      <c r="EZ104" s="6">
        <v>2070</v>
      </c>
      <c r="FA104" s="6">
        <v>0</v>
      </c>
      <c r="FB104" s="6">
        <v>0</v>
      </c>
      <c r="FC104" s="6">
        <v>0</v>
      </c>
      <c r="FD104" s="6">
        <v>0</v>
      </c>
      <c r="FE104" s="6">
        <v>0</v>
      </c>
      <c r="FF104" s="6">
        <v>0</v>
      </c>
      <c r="FG104" s="6">
        <v>0</v>
      </c>
      <c r="FH104" s="6">
        <v>1171.2811379695618</v>
      </c>
      <c r="FI104" s="6">
        <v>1553.9796069512404</v>
      </c>
      <c r="FJ104" s="6">
        <v>2101.2110117447419</v>
      </c>
      <c r="FK104" s="6">
        <v>1772.7139978623225</v>
      </c>
      <c r="FL104" s="6">
        <v>907.07682140966347</v>
      </c>
      <c r="FM104" s="6">
        <v>1769.7221397149685</v>
      </c>
      <c r="FN104" s="6">
        <v>0</v>
      </c>
      <c r="FO104" s="6">
        <v>0</v>
      </c>
      <c r="FP104" s="6">
        <v>0</v>
      </c>
      <c r="FQ104" s="6">
        <v>0</v>
      </c>
      <c r="FR104" s="6">
        <v>0</v>
      </c>
      <c r="FS104" s="6">
        <v>0</v>
      </c>
      <c r="FT104" s="7">
        <v>0.55295845341639349</v>
      </c>
      <c r="FU104" s="7">
        <v>6.2640131826809456E-2</v>
      </c>
      <c r="FV104" s="7">
        <v>0.38440141475679701</v>
      </c>
      <c r="FW104" s="6">
        <v>1240</v>
      </c>
      <c r="FX104" s="6">
        <v>2509.7221397149688</v>
      </c>
      <c r="FY104" s="6">
        <v>2070</v>
      </c>
      <c r="FZ104" s="6">
        <v>1952.7147957719815</v>
      </c>
      <c r="GA104" s="6">
        <v>1638.5887364633056</v>
      </c>
      <c r="GB104" s="6">
        <v>18346.411263536695</v>
      </c>
      <c r="GC104" s="7">
        <v>1.0519917368675835E-2</v>
      </c>
      <c r="GD104" s="7">
        <v>1.0259572632875694E-2</v>
      </c>
      <c r="GE104" s="7"/>
      <c r="GF104" s="7"/>
      <c r="GG104" s="7">
        <v>-2.4747792846295961E-2</v>
      </c>
      <c r="GH104" s="42">
        <v>1.574478224193496</v>
      </c>
      <c r="GI104" s="6">
        <v>14331.682672543011</v>
      </c>
      <c r="GJ104" s="14">
        <v>0.50394797582841744</v>
      </c>
      <c r="GK104" s="14">
        <v>0.50887573065309744</v>
      </c>
      <c r="GL104" s="14">
        <v>0.49605202417158267</v>
      </c>
      <c r="GM104" s="14">
        <v>0.49112426934690262</v>
      </c>
      <c r="GO104" s="5">
        <v>343.14810671672558</v>
      </c>
      <c r="GP104" s="5">
        <v>319.49127229486811</v>
      </c>
      <c r="GQ104" s="5">
        <v>527.04185700808205</v>
      </c>
      <c r="GR104" s="5">
        <v>406.11816631274644</v>
      </c>
      <c r="GS104" s="5">
        <v>334.91388563620632</v>
      </c>
      <c r="GT104" s="5">
        <v>285.1049551080626</v>
      </c>
      <c r="GU104" s="5">
        <v>258.04012322764959</v>
      </c>
      <c r="GV104" s="39" t="s">
        <v>392</v>
      </c>
      <c r="GW104" s="5">
        <v>479.06944444444446</v>
      </c>
      <c r="GX104" s="5">
        <v>359.30208333333331</v>
      </c>
      <c r="GY104" s="5">
        <v>287.44166666666666</v>
      </c>
      <c r="GZ104" s="5">
        <v>253.63693795247147</v>
      </c>
      <c r="HA104" s="5">
        <v>234.94601787594507</v>
      </c>
      <c r="HB104" s="39">
        <v>272.95973987834532</v>
      </c>
      <c r="HC104" s="5">
        <v>196.72187499999998</v>
      </c>
      <c r="HD104" s="5">
        <v>177.99289108187131</v>
      </c>
      <c r="HE104" s="5">
        <v>183.57344382591089</v>
      </c>
      <c r="HF104" s="5">
        <v>173.04000548245611</v>
      </c>
      <c r="HG104" s="5">
        <v>170.95638157894734</v>
      </c>
      <c r="HH104" s="39">
        <v>178.79255002831204</v>
      </c>
      <c r="HI104" s="16"/>
      <c r="HJ104" s="19" t="str">
        <f t="shared" si="107"/>
        <v>On</v>
      </c>
      <c r="HK104" s="1" t="str">
        <f t="shared" si="108"/>
        <v>On</v>
      </c>
      <c r="HL104" s="16"/>
      <c r="HM104" s="639">
        <f t="shared" si="42"/>
        <v>5.7455619280273196E-3</v>
      </c>
      <c r="HN104" s="639">
        <f t="shared" si="43"/>
        <v>5.0031960498701745E-4</v>
      </c>
      <c r="HO104" s="639">
        <f t="shared" si="44"/>
        <v>3.9819433988714835E-3</v>
      </c>
      <c r="HP104" s="644">
        <f>(FT104*$GD104-HM104)/$JF104*INDEX(Input!$1:$1048576,$JG$93,$C104*2+6)</f>
        <v>-3.159054116967023</v>
      </c>
      <c r="HQ104" s="644">
        <f>(FU104*$GD104-HN104)/$JF104*INDEX(Input!$1:$1048576,$JG$93,$C104*2+6)</f>
        <v>6.2070141661851572</v>
      </c>
      <c r="HR104" s="644">
        <f>(FV104*$GD104-HO104)/$JF104*INDEX(Input!$1:$1048576,$JG$93,$C104*2+6)</f>
        <v>-1.6635528330425253</v>
      </c>
      <c r="HS104" s="644">
        <f t="shared" si="45"/>
        <v>-0.33271056660850507</v>
      </c>
      <c r="HT104" s="644">
        <f t="shared" si="46"/>
        <v>11.784856622531798</v>
      </c>
      <c r="HU104" s="644">
        <f t="shared" si="47"/>
        <v>0.33271056660850507</v>
      </c>
      <c r="HV104" s="648">
        <f t="shared" si="48"/>
        <v>0</v>
      </c>
      <c r="HW104" s="648">
        <f t="shared" si="49"/>
        <v>0</v>
      </c>
      <c r="HX104" s="648">
        <f t="shared" si="50"/>
        <v>0</v>
      </c>
      <c r="HY104" s="644">
        <f>INDEX(Input!$1:$1048576,HY$93,$C104*2+6)*INDEX(Input!$1:$1048576,$JG$93,$C104*2+6)</f>
        <v>110.00000000000001</v>
      </c>
      <c r="HZ104" s="644">
        <f>INDEX(Input!$1:$1048576,HZ$93,$C104*2+6)*INDEX(Input!$1:$1048576,$JG$93,$C104*2+6)</f>
        <v>157</v>
      </c>
      <c r="IA104" s="644">
        <f>INDEX(Input!$1:$1048576,IA$93,$C104*2+6)*INDEX(Input!$1:$1048576,$JG$93,$C104*2+6)</f>
        <v>179</v>
      </c>
      <c r="IB104" s="644">
        <f t="shared" si="88"/>
        <v>106.50823531642445</v>
      </c>
      <c r="IC104" s="644">
        <f t="shared" si="89"/>
        <v>174.99187078871697</v>
      </c>
      <c r="ID104" s="644">
        <f>IF(AND(INDEX(Input!$1:$1048576,IA$93,$C104*2+7)="TOS",Y104&lt;=INDEX(Y:Y,MATCH(C104*1000+2,A:A))),0,1)*MAX(IA104+HR104+HU104+HX104,0%)</f>
        <v>177.66915773356598</v>
      </c>
      <c r="IE104" s="128">
        <f t="shared" si="90"/>
        <v>0.23195854710745109</v>
      </c>
      <c r="IF104" s="128">
        <f t="shared" si="51"/>
        <v>0.38110536695284214</v>
      </c>
      <c r="IG104" s="128">
        <f t="shared" si="52"/>
        <v>0.3869360859397068</v>
      </c>
      <c r="IH104" s="21"/>
      <c r="II104" s="19">
        <f t="shared" si="53"/>
        <v>1240</v>
      </c>
      <c r="IJ104" s="19">
        <f t="shared" si="54"/>
        <v>2009.7221397149679</v>
      </c>
      <c r="IK104" s="19">
        <f t="shared" si="55"/>
        <v>2070</v>
      </c>
      <c r="IL104" s="19">
        <f t="shared" si="91"/>
        <v>0</v>
      </c>
      <c r="IM104" s="19">
        <f t="shared" si="56"/>
        <v>500.00000000000091</v>
      </c>
      <c r="IN104" s="19">
        <f t="shared" si="56"/>
        <v>0</v>
      </c>
      <c r="IO104" s="39">
        <f t="shared" si="57"/>
        <v>0</v>
      </c>
      <c r="IP104" s="39">
        <f t="shared" si="58"/>
        <v>0</v>
      </c>
      <c r="IQ104" s="39">
        <f t="shared" si="59"/>
        <v>0</v>
      </c>
      <c r="IR104" s="39">
        <v>0</v>
      </c>
      <c r="IS104" s="39">
        <v>0</v>
      </c>
      <c r="IT104" s="39">
        <v>0</v>
      </c>
      <c r="IU104" s="39">
        <v>0</v>
      </c>
      <c r="IV104" s="39">
        <v>0</v>
      </c>
      <c r="IW104" s="39">
        <v>0</v>
      </c>
      <c r="IX104" s="39">
        <f>INDEX(Input!$1:$1048576,IX$93,$C104*2+6)+INDEX(Input!$1:$1048576,IX$94,$C104*2+6)</f>
        <v>1270</v>
      </c>
      <c r="IY104" s="39">
        <f>INDEX(Input!$1:$1048576,IY$93,$C104*2+6)+INDEX(Input!$1:$1048576,IY$94,$C104*2+6)</f>
        <v>2130.0624533823611</v>
      </c>
      <c r="IZ104" s="39">
        <f>INDEX(Input!$1:$1048576,IZ$93,$C104*2+6)+INDEX(Input!$1:$1048576,IZ$94,$C104*2+6)</f>
        <v>4373.7164157747848</v>
      </c>
      <c r="JA104" s="19">
        <f t="shared" si="92"/>
        <v>1270</v>
      </c>
      <c r="JB104" s="19">
        <f t="shared" si="92"/>
        <v>2630.062453382362</v>
      </c>
      <c r="JC104" s="19">
        <f t="shared" si="92"/>
        <v>4373.7164157747848</v>
      </c>
      <c r="JD104" s="19">
        <f t="shared" si="93"/>
        <v>2989.2669821617787</v>
      </c>
      <c r="JE104" s="21"/>
      <c r="JF104" s="1">
        <f t="shared" si="60"/>
        <v>1.022782493188582E-2</v>
      </c>
      <c r="JG104" s="15">
        <f>INDEX(Input!$1:$1048576,JG$93,$C104*2+6)/(1+VLOOKUP(C104*1000+INDEX(Input!$1:$1048576,JG$93+1,$C104*2+6),$A:$KK,$JK$92,FALSE))</f>
        <v>446</v>
      </c>
      <c r="JH104" s="1">
        <f t="shared" si="94"/>
        <v>3.104052054205401E-3</v>
      </c>
      <c r="JI104" s="1">
        <f t="shared" si="95"/>
        <v>2.6423445341999547E-2</v>
      </c>
      <c r="JJ104" s="1">
        <f t="shared" si="96"/>
        <v>0</v>
      </c>
      <c r="JK104" s="1">
        <f t="shared" si="97"/>
        <v>2.9527497396204947E-2</v>
      </c>
      <c r="JL104" s="15">
        <f t="shared" si="98"/>
        <v>13.169263838707407</v>
      </c>
      <c r="JM104" s="15">
        <f t="shared" si="99"/>
        <v>459.16926383870742</v>
      </c>
      <c r="JN104" s="21"/>
      <c r="JO104" s="19">
        <f>INDEX(Input!$1:$1048576,JO$93,$C104*2+6)</f>
        <v>5995.5</v>
      </c>
      <c r="JP104" s="19">
        <f>INDEX(Input!$1:$1048576,JP$93,$C104*2+6)</f>
        <v>2818.4193802796353</v>
      </c>
      <c r="JQ104" s="39">
        <f t="shared" si="109"/>
        <v>3006.2330178382213</v>
      </c>
      <c r="JR104" s="39">
        <f t="shared" si="61"/>
        <v>170.84760188214341</v>
      </c>
      <c r="JS104" s="39">
        <f t="shared" si="62"/>
        <v>1.3725795196165784</v>
      </c>
      <c r="JT104" s="39">
        <f t="shared" si="100"/>
        <v>0.11556447601186112</v>
      </c>
      <c r="JU104" s="385">
        <f>(JQ104*JM104-INDEX(Input!$1:$1048576,Input!A$18,$C104*2+6)*JL104*INDEX(Input!$1:$1048576,Input!A$19,$C104*2+6))/1000000</f>
        <v>1.3803698017283919</v>
      </c>
      <c r="JV104" s="39">
        <f t="shared" si="63"/>
        <v>-3.6608154666890824E-2</v>
      </c>
      <c r="JW104" s="1">
        <f>JV104/(JU104-JV104)</f>
        <v>-2.5835373445060532E-2</v>
      </c>
      <c r="JX104" s="19">
        <f t="shared" ref="JX104:JX111" si="113">IF(JL104=0,0,JT104/JL104)*1000000</f>
        <v>8775.3178482301591</v>
      </c>
      <c r="JZ104" s="468">
        <f>(HZ104+HQ104)/SUM(HP104:HR104,HY104:IA104)*IM104</f>
        <v>182.40132147400035</v>
      </c>
      <c r="KA104" s="469">
        <f>JH104/(JZ104/BX104)</f>
        <v>0.34009885346218499</v>
      </c>
      <c r="KB104" s="469">
        <f t="shared" si="110"/>
        <v>2.9286733661474216</v>
      </c>
      <c r="KC104" s="469">
        <f>MIN(KE103+0.5,KE103*1.1)</f>
        <v>2.9720203513810821</v>
      </c>
      <c r="KD104" s="469">
        <f>KC104+2</f>
        <v>4.9720203513810821</v>
      </c>
      <c r="KE104" s="469">
        <f>MIN(MAX(KA104,KC104),KD104)</f>
        <v>2.9720203513810821</v>
      </c>
      <c r="KF104" s="470">
        <f>A104</f>
        <v>1004</v>
      </c>
      <c r="KG104" s="471">
        <f>IF(HK104="Off",0,(JH104/KA104*KE104-JH104)/MAX(IL104:IN104)*1000)</f>
        <v>4.8042627894544547E-2</v>
      </c>
      <c r="KH104" s="472"/>
      <c r="KI104" s="473">
        <f t="shared" si="111"/>
        <v>-3.4917646835755534</v>
      </c>
      <c r="KJ104" s="473">
        <f t="shared" si="101"/>
        <v>17.991870788716994</v>
      </c>
      <c r="KK104" s="473">
        <f t="shared" si="102"/>
        <v>-1.3308422664339901</v>
      </c>
      <c r="KL104" s="472" t="str">
        <f>IF(OR(KI104&gt;0,KK104&gt;0),"Error - Adjust TR","ok")</f>
        <v>ok</v>
      </c>
      <c r="KN104" s="544">
        <f t="shared" ref="KN104:KN114" si="114">KM104+(KN103-KM103)</f>
        <v>1002</v>
      </c>
      <c r="KO104" s="541">
        <f t="shared" si="64"/>
        <v>2.5307439619389971E-2</v>
      </c>
      <c r="KP104" s="546">
        <f t="shared" si="65"/>
        <v>166.35672476551704</v>
      </c>
      <c r="KQ104" s="546">
        <f t="shared" si="66"/>
        <v>149.95078214312707</v>
      </c>
      <c r="KR104" s="548">
        <f t="shared" si="67"/>
        <v>2.6083307309204953</v>
      </c>
      <c r="KS104" s="548">
        <f t="shared" si="68"/>
        <v>2.8937051964624847</v>
      </c>
      <c r="KT104" s="473">
        <f t="shared" si="112"/>
        <v>238.28695973331548</v>
      </c>
      <c r="KU104" s="663">
        <f t="shared" si="103"/>
        <v>6.1972693971885606</v>
      </c>
      <c r="KV104" s="117"/>
    </row>
    <row r="105" spans="1:310" s="26" customFormat="1" ht="15">
      <c r="A105" s="561">
        <f t="shared" si="69"/>
        <v>1005</v>
      </c>
      <c r="B105" s="561">
        <f t="shared" si="104"/>
        <v>5</v>
      </c>
      <c r="C105" s="561">
        <f t="shared" si="105"/>
        <v>1</v>
      </c>
      <c r="D105" s="561" t="s">
        <v>568</v>
      </c>
      <c r="E105" s="115">
        <f>INDEX(Input!$1:$1048576,E$93,$C105*2+MIN($B105,1)+5)</f>
        <v>1000</v>
      </c>
      <c r="F105" s="115">
        <f>INDEX(Input!$1:$1048576,F$93,$C105*2+MIN($B105,1)+5)</f>
        <v>0</v>
      </c>
      <c r="G105" s="115">
        <f>INDEX(Input!$1:$1048576,G$93,$C105*2+MIN($B105,1)+5)</f>
        <v>0</v>
      </c>
      <c r="H105" s="115">
        <f>INDEX(Input!$1:$1048576,H$93,$C105*2+MIN($B105,1)+5)</f>
        <v>0</v>
      </c>
      <c r="I105" s="118">
        <f>INDEX(Input!$1:$1048576,I$93,$C105*2+MIN($B105,1)+5)</f>
        <v>0.7</v>
      </c>
      <c r="J105" s="118" t="str">
        <f>INDEX(Input!$1:$1048576,J$93,$C105*2+MIN($B105,1)+5)</f>
        <v>Market</v>
      </c>
      <c r="K105" s="118" t="str">
        <f>INDEX(Input!$1:$1048576,K$93,$C105*2+MIN($B105,1)+5)</f>
        <v>Market</v>
      </c>
      <c r="L105" s="118" t="str">
        <f>INDEX(Input!$1:$1048576,L$93,$C105*2+MIN($B105,1)+5)</f>
        <v>Market</v>
      </c>
      <c r="M105" s="118" t="str">
        <f>INDEX(Input!$1:$1048576,M$93,$C105*2+MIN($B105,1)+5)</f>
        <v>Market</v>
      </c>
      <c r="N105" s="118" t="str">
        <f>INDEX(Input!$1:$1048576,N$93,$C105*2+MIN($B105,1)+5)</f>
        <v>Market</v>
      </c>
      <c r="O105" s="118" t="str">
        <f>INDEX(Input!$1:$1048576,O$93,$C105*2+MIN($B105,1)+5)</f>
        <v>Market</v>
      </c>
      <c r="P105" s="118" t="str">
        <f>INDEX(Input!$1:$1048576,P$93,$C105*2+MIN($B105,1)+5)</f>
        <v>N</v>
      </c>
      <c r="Q105" s="30">
        <f>INDEX(Input!$1:$1048576,Q$93,$C105*2+MIN($B105,1)+5)</f>
        <v>0</v>
      </c>
      <c r="R105" s="383">
        <f>INDEX(Input!$1:$1048576,R$93,$C105*2+MIN($B105,1)+5)</f>
        <v>0</v>
      </c>
      <c r="S105" s="383">
        <f>INDEX(Input!$1:$1048576,S$93,$C105*2+MIN($B105,1)+5)</f>
        <v>0</v>
      </c>
      <c r="T105" s="383">
        <f>INDEX(Input!$1:$1048576,T$93,$C105*2+MIN($B105,1)+5)</f>
        <v>0</v>
      </c>
      <c r="U105" s="383">
        <f>INDEX(Input!$1:$1048576,U$93,$C105*2+MIN($B105,1)+5)</f>
        <v>0</v>
      </c>
      <c r="V105" s="383">
        <f>INDEX(Input!$1:$1048576,V$93,$C105*2+MIN($B105,1)+5)</f>
        <v>1.9E-2</v>
      </c>
      <c r="W105" s="884">
        <f>INDEX(Input!$1:$1048576,W$93,$C105*2+MIN($B105,1)+5)</f>
        <v>3.9E-2</v>
      </c>
      <c r="X105" s="118" t="str">
        <f>INDEX(Input!$1:$1048576,X$93,$C105*2+MIN($B105,1)+5)</f>
        <v>Y</v>
      </c>
      <c r="Y105" s="475">
        <f>INDEX(Input!$1:$1048576,Y$93,$C105*2+MIN($B105,1)+5)+500</f>
        <v>2789</v>
      </c>
      <c r="Z105" s="30">
        <f>INDEX(Input!$1:$1048576,Z$93,$C105*2+MIN($B105,1)+5)</f>
        <v>0</v>
      </c>
      <c r="AA105" s="115">
        <f>INDEX(Input!$1:$1048576,AA$93,$C105*2+MIN($B105,1)+5)</f>
        <v>1000</v>
      </c>
      <c r="AB105" s="118">
        <f>INDEX(Input!$1:$1048576,AB$93,$C105*2+MIN($B105,1)+5)</f>
        <v>0.27</v>
      </c>
      <c r="AC105" s="115">
        <f>INDEX(Input!$1:$1048576,AC$93,$C105*2+MIN($B105,1)+5)</f>
        <v>1000</v>
      </c>
      <c r="AD105" s="118">
        <f>INDEX(Input!$1:$1048576,AD$93,$C105*2+MIN($B105,1)+5)</f>
        <v>0.27</v>
      </c>
      <c r="AE105" s="115">
        <f>INDEX(Input!$1:$1048576,AE$93,$C105*2+MIN($B105,1)+5)</f>
        <v>0</v>
      </c>
      <c r="AF105" s="118">
        <f>INDEX(Input!$1:$1048576,AF$93,$C105*2+MIN($B105,1)+5)</f>
        <v>0.38</v>
      </c>
      <c r="AG105" s="115">
        <f>INDEX(Input!$1:$1048576,AG$93,$C105*2+MIN($B105,1)+5)</f>
        <v>0</v>
      </c>
      <c r="AH105" s="118">
        <f>INDEX(Input!$1:$1048576,AH$93,$C105*2+MIN($B105,1)+5)</f>
        <v>0</v>
      </c>
      <c r="AI105" s="115">
        <f>INDEX(Input!$1:$1048576,AI$93,$C105*2+MIN($B105,1)+5)</f>
        <v>0</v>
      </c>
      <c r="AJ105" s="118">
        <f>INDEX(Input!$1:$1048576,AJ$93,$C105*2+MIN($B105,1)+5)</f>
        <v>0.27</v>
      </c>
      <c r="AK105" s="150">
        <f>ROUND(INDEX(Input!$1:$1048576,AK$93,$C104*2+MIN($B105,1)+5)+(Y105-VLOOKUP($C105*1000+1,$A:$HH,Y$92,FALSE)),0)</f>
        <v>4604</v>
      </c>
      <c r="AL105" s="150">
        <f>ROUND(INDEX(Input!$1:$1048576,AL$93,$C104*2+MIN($B105,1)+5)-(Y105-VLOOKUP($C105*1000+1,$A:$HH,Y$92,FALSE))/36,0)</f>
        <v>4090</v>
      </c>
      <c r="AM105" s="32" t="str">
        <f t="shared" si="70"/>
        <v>std/std/std/std</v>
      </c>
      <c r="AN105" s="32" t="str">
        <f t="shared" si="71"/>
        <v>$0 + 0/0/0/1.9/3.9</v>
      </c>
      <c r="AO105" s="32" t="str">
        <f t="shared" si="72"/>
        <v>0/0/0/1.9/3.9</v>
      </c>
      <c r="AP105" s="32" t="str">
        <f t="shared" si="73"/>
        <v>0/0.9/1.9/3.9</v>
      </c>
      <c r="AQ105" s="536">
        <f t="shared" si="39"/>
        <v>270.18199236512152</v>
      </c>
      <c r="AR105" s="32"/>
      <c r="AS105" s="302"/>
      <c r="AT105" s="3">
        <f t="shared" si="106"/>
        <v>5</v>
      </c>
      <c r="AU105" s="41" t="s">
        <v>121</v>
      </c>
      <c r="AV105" s="41" t="s">
        <v>116</v>
      </c>
      <c r="AW105" s="41" t="str">
        <f>INDEX(Input!$1:$1048576,AW$93,$C105*2+6)</f>
        <v>Kia</v>
      </c>
      <c r="AX105" s="41" t="str">
        <f>INDEX(Input!$1:$1048576,AX$93,$C105*2+6)</f>
        <v>Kia-LR - L1</v>
      </c>
      <c r="AY105" s="41" t="str">
        <f>IF(LEN(D105)=0,"",INDEX(Input!$1:$1048576,AY$93,$C105*2+6))</f>
        <v>Compact SUV (52)</v>
      </c>
      <c r="AZ105" s="41" t="str">
        <f>INDEX(Input!$1:$1048576,AZ$93,$C105*2+6)</f>
        <v>Kia Soul</v>
      </c>
      <c r="BA105" s="3">
        <f>INDEX(Input!$1:$1048576,BA$93,$C105*2+6)</f>
        <v>2020</v>
      </c>
      <c r="BB105" s="128">
        <f>INDEX(Input!$1:$1048576,BB$93,$C105*2+6)</f>
        <v>1</v>
      </c>
      <c r="BC105" s="128">
        <f>INDEX(Input!$1:$1048576,BC$93,$C105*2+6)</f>
        <v>0.7</v>
      </c>
      <c r="BD105" s="1">
        <f>INDEX(Input!$1:$1048576,BD$93,$C105*2+6)</f>
        <v>4.4999999999999998E-2</v>
      </c>
      <c r="BE105" s="1">
        <f>INDEX(Input!$1:$1048576,BE$93,$C105*2+6)</f>
        <v>4.4999999999999998E-2</v>
      </c>
      <c r="BF105" s="1">
        <f>INDEX(Input!$1:$1048576,BF$93,$C105*2+6)</f>
        <v>0.05</v>
      </c>
      <c r="BG105" s="1">
        <f>INDEX(Input!$1:$1048576,BG$93,$C105*2+6)</f>
        <v>5.45E-2</v>
      </c>
      <c r="BH105" s="1">
        <f>INDEX(Input!$1:$1048576,BH$93,$C105*2+6)</f>
        <v>5.45E-2</v>
      </c>
      <c r="BI105" s="1">
        <f>INDEX(Input!$1:$1048576,BI$93,$C105*2+6)</f>
        <v>0.05</v>
      </c>
      <c r="BJ105" s="1">
        <f>INDEX(Input!$1:$1048576,BJ$93,$C105*2+6)</f>
        <v>0.05</v>
      </c>
      <c r="BK105" s="1">
        <f>INDEX(Input!$1:$1048576,BK$93,$C105*2+6)</f>
        <v>0.05</v>
      </c>
      <c r="BL105" s="1">
        <f>INDEX(Input!$1:$1048576,BL$93,$C105*2+6)</f>
        <v>5.5E-2</v>
      </c>
      <c r="BM105" s="1">
        <f>INDEX(Input!$1:$1048576,BM$93,$C105*2+6)</f>
        <v>0.06</v>
      </c>
      <c r="BN105" s="1">
        <f>INDEX(Input!$1:$1048576,BN$93,$C105*2+6)</f>
        <v>4.4999999999999998E-2</v>
      </c>
      <c r="BO105" s="1">
        <f>INDEX(Input!$1:$1048576,BO$93,$C105*2+6)</f>
        <v>4.4999999999999998E-2</v>
      </c>
      <c r="BP105" s="1">
        <f>INDEX(Input!$1:$1048576,BP$93,$C105*2+6)</f>
        <v>0.05</v>
      </c>
      <c r="BQ105" s="1">
        <f>INDEX(Input!$1:$1048576,BQ$93,$C105*2+6)</f>
        <v>5.45E-2</v>
      </c>
      <c r="BR105" s="1">
        <f>INDEX(Input!$1:$1048576,BR$93,$C105*2+6)</f>
        <v>5.45E-2</v>
      </c>
      <c r="BS105" s="1">
        <f>INDEX(Input!$1:$1048576,BS$93,$C105*2+6)</f>
        <v>0.05</v>
      </c>
      <c r="BT105" s="1">
        <f>INDEX(Input!$1:$1048576,BT$93,$C105*2+6)</f>
        <v>0.05</v>
      </c>
      <c r="BU105" s="1">
        <f>INDEX(Input!$1:$1048576,BU$93,$C105*2+6)</f>
        <v>0.05</v>
      </c>
      <c r="BV105" s="1">
        <f>INDEX(Input!$1:$1048576,BV$93,$C105*2+6)</f>
        <v>5.5E-2</v>
      </c>
      <c r="BW105" s="1">
        <f>INDEX(Input!$1:$1048576,BW$93,$C105*2+6)</f>
        <v>0.06</v>
      </c>
      <c r="BX105" s="127">
        <f>INDEX(Input!$1:$1048576,BX$93,$C105*2+6)</f>
        <v>19985</v>
      </c>
      <c r="BY105" s="20">
        <f>INDEX(Input!$1:$1048576,BY$93,$C105*2+6)</f>
        <v>0.1</v>
      </c>
      <c r="BZ105" s="20">
        <f>INDEX(Input!$1:$1048576,BZ$93,$C105*2+6)</f>
        <v>0.1</v>
      </c>
      <c r="CA105" s="20">
        <f>INDEX(Input!$1:$1048576,CA$93,$C105*2+6)</f>
        <v>0.1</v>
      </c>
      <c r="CB105" s="20">
        <f>INDEX(Input!$1:$1048576,CB$93,$C105*2+6)</f>
        <v>0.1</v>
      </c>
      <c r="CC105" s="20">
        <f>INDEX(Input!$1:$1048576,CC$93,$C105*2+6)</f>
        <v>0.1</v>
      </c>
      <c r="CD105" s="384">
        <f>INDEX(Input!$1:$1048576,CD$93,$C105*2+6)</f>
        <v>0.1</v>
      </c>
      <c r="CE105" s="384">
        <f>INDEX(Input!$1:$1048576,CE$93,$C105*2+6)</f>
        <v>0.1</v>
      </c>
      <c r="CF105" s="384">
        <f>INDEX(Input!$1:$1048576,CF$93,$C105*2+6)</f>
        <v>0.1</v>
      </c>
      <c r="CG105" s="384">
        <f>INDEX(Input!$1:$1048576,CG$93,$C105*2+6)</f>
        <v>0.1</v>
      </c>
      <c r="CH105" s="384">
        <f>INDEX(Input!$1:$1048576,CH$93,$C105*2+6)</f>
        <v>0.1</v>
      </c>
      <c r="CI105" s="304">
        <f t="shared" si="74"/>
        <v>1270</v>
      </c>
      <c r="CJ105" s="16" t="str">
        <f>INDEX(Input!$1:$1048576,CJ$93,$C105*2+6)</f>
        <v>N</v>
      </c>
      <c r="CK105" s="1" t="str">
        <f t="shared" si="75"/>
        <v>Market</v>
      </c>
      <c r="CL105" s="1" t="str">
        <f t="shared" si="76"/>
        <v>Market</v>
      </c>
      <c r="CM105" s="1" t="str">
        <f t="shared" si="77"/>
        <v>Market</v>
      </c>
      <c r="CN105" s="1" t="str">
        <f t="shared" si="78"/>
        <v>Market</v>
      </c>
      <c r="CO105" s="1" t="str">
        <f t="shared" si="79"/>
        <v>Market</v>
      </c>
      <c r="CP105" s="304">
        <f t="shared" si="80"/>
        <v>0</v>
      </c>
      <c r="CQ105" s="1">
        <f t="shared" si="81"/>
        <v>0</v>
      </c>
      <c r="CR105" s="1">
        <f t="shared" si="82"/>
        <v>0</v>
      </c>
      <c r="CS105" s="1">
        <f t="shared" si="83"/>
        <v>0</v>
      </c>
      <c r="CT105" s="1">
        <f t="shared" si="84"/>
        <v>1.9E-2</v>
      </c>
      <c r="CU105" s="1">
        <f t="shared" si="85"/>
        <v>3.9E-2</v>
      </c>
      <c r="CV105" s="304">
        <f t="shared" si="86"/>
        <v>3059</v>
      </c>
      <c r="CW105" s="20" t="s">
        <v>122</v>
      </c>
      <c r="CX105" s="20" t="s">
        <v>122</v>
      </c>
      <c r="CY105" s="20" t="s">
        <v>122</v>
      </c>
      <c r="CZ105" s="20" t="s">
        <v>122</v>
      </c>
      <c r="DA105" s="20" t="s">
        <v>122</v>
      </c>
      <c r="DB105" s="503">
        <f t="shared" si="87"/>
        <v>0</v>
      </c>
      <c r="DC105" s="127">
        <v>0</v>
      </c>
      <c r="DD105" s="127">
        <v>0</v>
      </c>
      <c r="DE105" s="127">
        <v>0</v>
      </c>
      <c r="DF105" s="127">
        <v>0</v>
      </c>
      <c r="DG105" s="127">
        <v>0</v>
      </c>
      <c r="DH105" s="127">
        <v>0</v>
      </c>
      <c r="DI105" s="127">
        <v>0</v>
      </c>
      <c r="DJ105" s="127">
        <v>0</v>
      </c>
      <c r="DK105" s="127">
        <v>0</v>
      </c>
      <c r="DL105" s="127">
        <v>0</v>
      </c>
      <c r="DM105" s="304">
        <f>INDEX(Input!$1:$1048576,DM$93,$C105*2+6)</f>
        <v>21036.84210526316</v>
      </c>
      <c r="DN105" s="20">
        <v>0</v>
      </c>
      <c r="DO105" s="20">
        <v>0</v>
      </c>
      <c r="DP105" s="20">
        <v>0</v>
      </c>
      <c r="DQ105" s="20">
        <v>0</v>
      </c>
      <c r="DR105" s="20">
        <v>0</v>
      </c>
      <c r="DS105" s="20">
        <f>INDEX(Input!$1:$1048576,DS$93,$C105*2+6)</f>
        <v>0.6</v>
      </c>
      <c r="DT105" s="20">
        <f>INDEX(Input!$1:$1048576,DT$93,$C105*2+6)</f>
        <v>0.55000000000000004</v>
      </c>
      <c r="DU105" s="20">
        <f>INDEX(Input!$1:$1048576,DU$93,$C105*2+6)</f>
        <v>0.52</v>
      </c>
      <c r="DV105" s="20">
        <f>INDEX(Input!$1:$1048576,DV$93,$C105*2+6)</f>
        <v>0.5</v>
      </c>
      <c r="DW105" s="20">
        <f>INDEX(Input!$1:$1048576,DW$93,$C105*2+6)</f>
        <v>0.45</v>
      </c>
      <c r="DX105" s="20"/>
      <c r="DY105" s="7">
        <v>8.4419734838597799E-2</v>
      </c>
      <c r="DZ105" s="7">
        <v>0</v>
      </c>
      <c r="EA105" s="7">
        <v>0.40488642631036592</v>
      </c>
      <c r="EB105" s="7">
        <v>0</v>
      </c>
      <c r="EC105" s="7">
        <v>0</v>
      </c>
      <c r="ED105" s="7">
        <v>0</v>
      </c>
      <c r="EE105" s="7">
        <v>0</v>
      </c>
      <c r="EF105" s="7">
        <v>0</v>
      </c>
      <c r="EG105" s="7">
        <v>0</v>
      </c>
      <c r="EH105" s="7">
        <v>1.8402200445098656E-2</v>
      </c>
      <c r="EI105" s="7">
        <v>5.3739557110571899E-2</v>
      </c>
      <c r="EJ105" s="7">
        <v>0.33946684904131996</v>
      </c>
      <c r="EK105" s="7">
        <v>0.4824771263993809</v>
      </c>
      <c r="EL105" s="7">
        <v>0.1059142670036287</v>
      </c>
      <c r="EM105" s="7">
        <v>4.260844601979883E-2</v>
      </c>
      <c r="EN105" s="7">
        <v>5.3008825549472352E-2</v>
      </c>
      <c r="EO105" s="7">
        <v>0.78429624558720301</v>
      </c>
      <c r="EP105" s="7">
        <v>7.0904644586797766E-2</v>
      </c>
      <c r="EQ105" s="7">
        <v>5.3849935219627644E-2</v>
      </c>
      <c r="ER105" s="7">
        <v>3.7940349056899178E-2</v>
      </c>
      <c r="ES105" s="7">
        <v>0.46808539283123757</v>
      </c>
      <c r="ET105" s="7">
        <v>0.51069383885103625</v>
      </c>
      <c r="EU105" s="6">
        <v>1240</v>
      </c>
      <c r="EV105" s="6">
        <v>0</v>
      </c>
      <c r="EW105" s="6">
        <v>1240</v>
      </c>
      <c r="EX105" s="6">
        <v>0</v>
      </c>
      <c r="EY105" s="6">
        <v>2009.7221397149681</v>
      </c>
      <c r="EZ105" s="6">
        <v>2570</v>
      </c>
      <c r="FA105" s="6">
        <v>0</v>
      </c>
      <c r="FB105" s="6">
        <v>0</v>
      </c>
      <c r="FC105" s="6">
        <v>0</v>
      </c>
      <c r="FD105" s="6">
        <v>0</v>
      </c>
      <c r="FE105" s="6">
        <v>0</v>
      </c>
      <c r="FF105" s="6">
        <v>0</v>
      </c>
      <c r="FG105" s="6">
        <v>0</v>
      </c>
      <c r="FH105" s="6">
        <v>1171.281137969562</v>
      </c>
      <c r="FI105" s="6">
        <v>1553.9796069512395</v>
      </c>
      <c r="FJ105" s="6">
        <v>2101.2110117447401</v>
      </c>
      <c r="FK105" s="6">
        <v>1772.7139978623229</v>
      </c>
      <c r="FL105" s="6">
        <v>907.07682140966324</v>
      </c>
      <c r="FM105" s="6">
        <v>1769.7221397149681</v>
      </c>
      <c r="FN105" s="6">
        <v>0</v>
      </c>
      <c r="FO105" s="6">
        <v>0</v>
      </c>
      <c r="FP105" s="6">
        <v>0</v>
      </c>
      <c r="FQ105" s="6">
        <v>0</v>
      </c>
      <c r="FR105" s="6">
        <v>0</v>
      </c>
      <c r="FS105" s="6">
        <v>0</v>
      </c>
      <c r="FT105" s="7">
        <v>0.48930616114896375</v>
      </c>
      <c r="FU105" s="7">
        <v>4.260844601979883E-2</v>
      </c>
      <c r="FV105" s="7">
        <v>0.46808539283123757</v>
      </c>
      <c r="FW105" s="6">
        <v>1240</v>
      </c>
      <c r="FX105" s="6">
        <v>2009.7221397149681</v>
      </c>
      <c r="FY105" s="6">
        <v>2570</v>
      </c>
      <c r="FZ105" s="6">
        <v>1952.7147957719815</v>
      </c>
      <c r="GA105" s="6">
        <v>1895.3502367058354</v>
      </c>
      <c r="GB105" s="6">
        <v>18089.649763294165</v>
      </c>
      <c r="GC105" s="7">
        <v>1.0519917368675835E-2</v>
      </c>
      <c r="GD105" s="7">
        <v>1.0577496498821651E-2</v>
      </c>
      <c r="GE105" s="7"/>
      <c r="GF105" s="7"/>
      <c r="GG105" s="7">
        <v>5.4733443360747537E-3</v>
      </c>
      <c r="GH105" s="42">
        <v>-1.9068356549263159</v>
      </c>
      <c r="GI105" s="6">
        <v>-8585.3642120557852</v>
      </c>
      <c r="GJ105" s="14">
        <v>0.50394797582841755</v>
      </c>
      <c r="GK105" s="14">
        <v>0.50887573065309766</v>
      </c>
      <c r="GL105" s="14">
        <v>0.49605202417158289</v>
      </c>
      <c r="GM105" s="14">
        <v>0.49112426934690251</v>
      </c>
      <c r="GO105" s="5">
        <v>343.14810671672558</v>
      </c>
      <c r="GP105" s="5">
        <v>319.49127229486811</v>
      </c>
      <c r="GQ105" s="5">
        <v>535.04305713031317</v>
      </c>
      <c r="GR105" s="5">
        <v>410.15490233172511</v>
      </c>
      <c r="GS105" s="5">
        <v>339.42744393800166</v>
      </c>
      <c r="GT105" s="5">
        <v>293.4407446948278</v>
      </c>
      <c r="GU105" s="5">
        <v>258.04012322764959</v>
      </c>
      <c r="GV105" s="39" t="s">
        <v>392</v>
      </c>
      <c r="GW105" s="5">
        <v>492.95833333333331</v>
      </c>
      <c r="GX105" s="5">
        <v>369.71875</v>
      </c>
      <c r="GY105" s="5">
        <v>295.77499999999998</v>
      </c>
      <c r="GZ105" s="5">
        <v>260.99022522677262</v>
      </c>
      <c r="HA105" s="5">
        <v>241.7574294051233</v>
      </c>
      <c r="HB105" s="39">
        <v>280.87322203061802</v>
      </c>
      <c r="HC105" s="5">
        <v>174.84687499999998</v>
      </c>
      <c r="HD105" s="5">
        <v>163.06233552631574</v>
      </c>
      <c r="HE105" s="5">
        <v>169.71126433873141</v>
      </c>
      <c r="HF105" s="5">
        <v>161.47750548245614</v>
      </c>
      <c r="HG105" s="5">
        <v>161.37304824561403</v>
      </c>
      <c r="HH105" s="39">
        <v>164.00902491350124</v>
      </c>
      <c r="HI105" s="16"/>
      <c r="HJ105" s="19" t="str">
        <f t="shared" si="107"/>
        <v>On</v>
      </c>
      <c r="HK105" s="1" t="str">
        <f t="shared" si="108"/>
        <v>On</v>
      </c>
      <c r="HL105" s="16"/>
      <c r="HM105" s="639">
        <f t="shared" si="42"/>
        <v>5.7455619280273196E-3</v>
      </c>
      <c r="HN105" s="639">
        <f t="shared" si="43"/>
        <v>5.0031960498701745E-4</v>
      </c>
      <c r="HO105" s="639">
        <f t="shared" si="44"/>
        <v>3.9819433988714835E-3</v>
      </c>
      <c r="HP105" s="644">
        <f>(FT105*$GD105-HM105)/$JF105*INDEX(Input!$1:$1048576,$JG$93,$C105*2+6)</f>
        <v>-24.852572813511689</v>
      </c>
      <c r="HQ105" s="644">
        <f>(FU105*$GD105-HN105)/$JF105*INDEX(Input!$1:$1048576,$JG$93,$C105*2+6)</f>
        <v>-2.1641450512111153</v>
      </c>
      <c r="HR105" s="644">
        <f>(FV105*$GD105-HO105)/$JF105*INDEX(Input!$1:$1048576,$JG$93,$C105*2+6)</f>
        <v>42.264683086261471</v>
      </c>
      <c r="HS105" s="644">
        <f t="shared" si="45"/>
        <v>0</v>
      </c>
      <c r="HT105" s="644">
        <f t="shared" si="46"/>
        <v>0</v>
      </c>
      <c r="HU105" s="644">
        <f t="shared" si="47"/>
        <v>6.6146680798458997</v>
      </c>
      <c r="HV105" s="648">
        <f t="shared" si="48"/>
        <v>0</v>
      </c>
      <c r="HW105" s="648">
        <f t="shared" si="49"/>
        <v>0</v>
      </c>
      <c r="HX105" s="648">
        <f t="shared" si="50"/>
        <v>0</v>
      </c>
      <c r="HY105" s="644">
        <f>INDEX(Input!$1:$1048576,HY$93,$C105*2+6)*INDEX(Input!$1:$1048576,$JG$93,$C105*2+6)</f>
        <v>110.00000000000001</v>
      </c>
      <c r="HZ105" s="644">
        <f>INDEX(Input!$1:$1048576,HZ$93,$C105*2+6)*INDEX(Input!$1:$1048576,$JG$93,$C105*2+6)</f>
        <v>157</v>
      </c>
      <c r="IA105" s="644">
        <f>INDEX(Input!$1:$1048576,IA$93,$C105*2+6)*INDEX(Input!$1:$1048576,$JG$93,$C105*2+6)</f>
        <v>179</v>
      </c>
      <c r="IB105" s="644">
        <f t="shared" si="88"/>
        <v>85.147427186488301</v>
      </c>
      <c r="IC105" s="644">
        <f t="shared" si="89"/>
        <v>154.83585494878889</v>
      </c>
      <c r="ID105" s="644">
        <f>IF(AND(INDEX(Input!$1:$1048576,IA$93,$C105*2+7)="TOS",Y105&lt;=INDEX(Y:Y,MATCH(C105*1000+2,A:A))),0,1)*MAX(IA105+HR105+HU105+HX105,0%)</f>
        <v>227.87935116610737</v>
      </c>
      <c r="IE105" s="128">
        <f t="shared" ref="IE105:IE106" si="115">IB105/SUM($IB105:$ID105)</f>
        <v>0.181992365121492</v>
      </c>
      <c r="IF105" s="128">
        <f t="shared" ref="IF105:IF106" si="116">IC105/SUM($IB105:$ID105)</f>
        <v>0.330942981824</v>
      </c>
      <c r="IG105" s="128">
        <f t="shared" si="52"/>
        <v>0.48706465305450797</v>
      </c>
      <c r="IH105" s="21"/>
      <c r="II105" s="19">
        <f t="shared" si="53"/>
        <v>1240</v>
      </c>
      <c r="IJ105" s="19">
        <f t="shared" si="54"/>
        <v>2009.7221397149679</v>
      </c>
      <c r="IK105" s="19">
        <f t="shared" si="55"/>
        <v>2070</v>
      </c>
      <c r="IL105" s="19">
        <f t="shared" si="91"/>
        <v>0</v>
      </c>
      <c r="IM105" s="19">
        <f t="shared" si="56"/>
        <v>0</v>
      </c>
      <c r="IN105" s="19">
        <f t="shared" si="56"/>
        <v>500</v>
      </c>
      <c r="IO105" s="39">
        <f t="shared" si="57"/>
        <v>0</v>
      </c>
      <c r="IP105" s="39">
        <f t="shared" si="58"/>
        <v>0</v>
      </c>
      <c r="IQ105" s="39">
        <f t="shared" si="59"/>
        <v>0</v>
      </c>
      <c r="IR105" s="39">
        <v>0</v>
      </c>
      <c r="IS105" s="39">
        <v>0</v>
      </c>
      <c r="IT105" s="39">
        <v>0</v>
      </c>
      <c r="IU105" s="39">
        <v>0</v>
      </c>
      <c r="IV105" s="39">
        <v>0</v>
      </c>
      <c r="IW105" s="39">
        <v>0</v>
      </c>
      <c r="IX105" s="39">
        <f>INDEX(Input!$1:$1048576,IX$93,$C105*2+6)+INDEX(Input!$1:$1048576,IX$94,$C105*2+6)</f>
        <v>1270</v>
      </c>
      <c r="IY105" s="39">
        <f>INDEX(Input!$1:$1048576,IY$93,$C105*2+6)+INDEX(Input!$1:$1048576,IY$94,$C105*2+6)</f>
        <v>2130.0624533823611</v>
      </c>
      <c r="IZ105" s="39">
        <f>INDEX(Input!$1:$1048576,IZ$93,$C105*2+6)+INDEX(Input!$1:$1048576,IZ$94,$C105*2+6)</f>
        <v>4373.7164157747848</v>
      </c>
      <c r="JA105" s="19">
        <f t="shared" si="92"/>
        <v>1270</v>
      </c>
      <c r="JB105" s="19">
        <f t="shared" si="92"/>
        <v>2130.0624533823611</v>
      </c>
      <c r="JC105" s="19">
        <f t="shared" si="92"/>
        <v>4873.7164157747848</v>
      </c>
      <c r="JD105" s="19">
        <f t="shared" si="93"/>
        <v>3309.8745186334045</v>
      </c>
      <c r="JE105" s="21"/>
      <c r="JF105" s="1">
        <f t="shared" si="60"/>
        <v>1.022782493188582E-2</v>
      </c>
      <c r="JG105" s="15">
        <f>INDEX(Input!$1:$1048576,JG$93,$C105*2+6)/(1+VLOOKUP(C105*1000+INDEX(Input!$1:$1048576,JG$93+1,$C105*2+6),$A:$KK,$JK$92,FALSE))</f>
        <v>446</v>
      </c>
      <c r="JH105" s="1">
        <f t="shared" si="94"/>
        <v>3.4188262828562035E-2</v>
      </c>
      <c r="JI105" s="1">
        <f t="shared" si="95"/>
        <v>1.4831094349430269E-2</v>
      </c>
      <c r="JJ105" s="1">
        <f t="shared" si="96"/>
        <v>0</v>
      </c>
      <c r="JK105" s="1">
        <f>SUM(JH105:JJ105)</f>
        <v>4.9019357177992301E-2</v>
      </c>
      <c r="JL105" s="15">
        <f t="shared" si="98"/>
        <v>21.862633301384566</v>
      </c>
      <c r="JM105" s="15">
        <f t="shared" si="99"/>
        <v>467.86263330138456</v>
      </c>
      <c r="JN105" s="21"/>
      <c r="JO105" s="19">
        <f>INDEX(Input!$1:$1048576,JO$93,$C105*2+6)</f>
        <v>5995.5</v>
      </c>
      <c r="JP105" s="19">
        <f>INDEX(Input!$1:$1048576,JP$93,$C105*2+6)</f>
        <v>2818.4193802796353</v>
      </c>
      <c r="JQ105" s="39">
        <f t="shared" si="109"/>
        <v>2685.6254813665955</v>
      </c>
      <c r="JR105" s="39">
        <f t="shared" si="61"/>
        <v>491.45513835376914</v>
      </c>
      <c r="JS105" s="39">
        <f t="shared" si="62"/>
        <v>1.5485666081849772</v>
      </c>
      <c r="JT105" s="39">
        <f t="shared" si="100"/>
        <v>0.29155156458025983</v>
      </c>
      <c r="JU105" s="385">
        <f>(JQ105*JM105-INDEX(Input!$1:$1048576,Input!A$18,$C105*2+6)*JL105*INDEX(Input!$1:$1048576,Input!A$19,$C105*2+6))/1000000</f>
        <v>1.2565038097734738</v>
      </c>
      <c r="JV105" s="39">
        <f t="shared" si="63"/>
        <v>-0.16047414662180892</v>
      </c>
      <c r="JW105" s="1">
        <f t="shared" ref="JW105:JW111" si="117">JV105/(JU105-JV105)</f>
        <v>-0.11325098312047613</v>
      </c>
      <c r="JX105" s="19">
        <f t="shared" si="113"/>
        <v>13335.610608343131</v>
      </c>
      <c r="JZ105" s="468">
        <f>(IA105+HR105)/SUM(HP105:HR105,HY105:IA105)*IN105</f>
        <v>239.85437310274901</v>
      </c>
      <c r="KA105" s="469">
        <f>JH105/(JZ105/BX105)</f>
        <v>2.8486136141287699</v>
      </c>
      <c r="KB105" s="469">
        <f>KB104</f>
        <v>2.9286733661474216</v>
      </c>
      <c r="KC105" s="469">
        <f>MIN(KE104+1)</f>
        <v>3.9720203513810821</v>
      </c>
      <c r="KD105" s="469">
        <f>KC105+2</f>
        <v>5.9720203513810821</v>
      </c>
      <c r="KE105" s="469">
        <f>MIN(MAX(KA105,KC105),KD105)</f>
        <v>3.9720203513810821</v>
      </c>
      <c r="KF105" s="470">
        <f>A105</f>
        <v>1005</v>
      </c>
      <c r="KG105" s="471">
        <f>(JH105/KA105*KE105-JH105)/MAX(IL105:IN105)*1000</f>
        <v>2.6965626089873213E-2</v>
      </c>
      <c r="KH105" s="472"/>
      <c r="KI105" s="473">
        <f t="shared" si="111"/>
        <v>-24.852572813511713</v>
      </c>
      <c r="KJ105" s="473">
        <f t="shared" si="101"/>
        <v>-2.1641450512111078</v>
      </c>
      <c r="KK105" s="473">
        <f t="shared" si="102"/>
        <v>48.879351166107369</v>
      </c>
      <c r="KL105" s="472" t="str">
        <f>IF(OR(KI105&gt;0,KJ105&gt;0),"Error - Adjust TR","ok")</f>
        <v>ok</v>
      </c>
      <c r="KN105" s="544">
        <f t="shared" si="114"/>
        <v>1002</v>
      </c>
      <c r="KO105" s="541">
        <f t="shared" si="64"/>
        <v>4.4719401802847392E-2</v>
      </c>
      <c r="KP105" s="546">
        <f t="shared" si="65"/>
        <v>220.83829632307163</v>
      </c>
      <c r="KQ105" s="546">
        <f t="shared" si="66"/>
        <v>470.55831861475281</v>
      </c>
      <c r="KR105" s="548">
        <f t="shared" si="67"/>
        <v>3.4719735471706459</v>
      </c>
      <c r="KS105" s="548">
        <f t="shared" si="68"/>
        <v>1.629436124502291</v>
      </c>
      <c r="KT105" s="473">
        <f t="shared" si="112"/>
        <v>238.28695973331548</v>
      </c>
      <c r="KU105" s="663">
        <f t="shared" si="103"/>
        <v>5.8172615078293752</v>
      </c>
      <c r="KV105" s="117"/>
    </row>
    <row r="106" spans="1:310" s="26" customFormat="1" ht="15">
      <c r="A106" s="561">
        <f t="shared" si="69"/>
        <v>1006</v>
      </c>
      <c r="B106" s="561">
        <f t="shared" si="104"/>
        <v>6</v>
      </c>
      <c r="C106" s="561">
        <f t="shared" si="105"/>
        <v>1</v>
      </c>
      <c r="D106" s="561" t="s">
        <v>742</v>
      </c>
      <c r="E106" s="115">
        <f>INDEX(Input!$1:$1048576,E$93,$C106*2+MIN($B106,1)+5)</f>
        <v>1000</v>
      </c>
      <c r="F106" s="115">
        <f>INDEX(Input!$1:$1048576,F$93,$C106*2+MIN($B106,1)+5)</f>
        <v>0</v>
      </c>
      <c r="G106" s="115">
        <f>INDEX(Input!$1:$1048576,G$93,$C106*2+MIN($B106,1)+5)</f>
        <v>0</v>
      </c>
      <c r="H106" s="115">
        <f>INDEX(Input!$1:$1048576,H$93,$C106*2+MIN($B106,1)+5)</f>
        <v>0</v>
      </c>
      <c r="I106" s="118">
        <f>INDEX(Input!$1:$1048576,I$93,$C106*2+MIN($B106,1)+5)</f>
        <v>0.7</v>
      </c>
      <c r="J106" s="118" t="str">
        <f>INDEX(Input!$1:$1048576,J$93,$C106*2+MIN($B106,1)+5)</f>
        <v>Market</v>
      </c>
      <c r="K106" s="118" t="str">
        <f>INDEX(Input!$1:$1048576,K$93,$C106*2+MIN($B106,1)+5)</f>
        <v>Market</v>
      </c>
      <c r="L106" s="118" t="str">
        <f>INDEX(Input!$1:$1048576,L$93,$C106*2+MIN($B106,1)+5)</f>
        <v>Market</v>
      </c>
      <c r="M106" s="118" t="str">
        <f>INDEX(Input!$1:$1048576,M$93,$C106*2+MIN($B106,1)+5)</f>
        <v>Market</v>
      </c>
      <c r="N106" s="118" t="str">
        <f>INDEX(Input!$1:$1048576,N$93,$C106*2+MIN($B106,1)+5)</f>
        <v>Market</v>
      </c>
      <c r="O106" s="118" t="str">
        <f>INDEX(Input!$1:$1048576,O$93,$C106*2+MIN($B106,1)+5)</f>
        <v>Market</v>
      </c>
      <c r="P106" s="118" t="str">
        <f>INDEX(Input!$1:$1048576,P$93,$C106*2+MIN($B106,1)+5)</f>
        <v>N</v>
      </c>
      <c r="Q106" s="30">
        <f>INDEX(Input!$1:$1048576,Q$93,$C106*2+MIN($B106,1)+5)</f>
        <v>0</v>
      </c>
      <c r="R106" s="383">
        <f>INDEX(Input!$1:$1048576,R$93,$C106*2+MIN($B106,1)+5)</f>
        <v>0</v>
      </c>
      <c r="S106" s="383">
        <f>INDEX(Input!$1:$1048576,S$93,$C106*2+MIN($B106,1)+5)</f>
        <v>0</v>
      </c>
      <c r="T106" s="383">
        <f>INDEX(Input!$1:$1048576,T$93,$C106*2+MIN($B106,1)+5)</f>
        <v>0</v>
      </c>
      <c r="U106" s="383">
        <f>INDEX(Input!$1:$1048576,U$93,$C106*2+MIN($B106,1)+5)</f>
        <v>0</v>
      </c>
      <c r="V106" s="383">
        <f>INDEX(Input!$1:$1048576,V$93,$C106*2+MIN($B106,1)+5)</f>
        <v>1.9E-2</v>
      </c>
      <c r="W106" s="884">
        <f>INDEX(Input!$1:$1048576,W$93,$C106*2+MIN($B106,1)+5)</f>
        <v>3.9E-2</v>
      </c>
      <c r="X106" s="118" t="str">
        <f>INDEX(Input!$1:$1048576,X$93,$C106*2+MIN($B106,1)+5)</f>
        <v>Y</v>
      </c>
      <c r="Y106" s="150">
        <f>INDEX(Input!$1:$1048576,Y$93,$C106*2+MIN($B106,1)+5)</f>
        <v>2289</v>
      </c>
      <c r="Z106" s="477">
        <f>INDEX(Input!$1:$1048576,Z$93,$C106*2+MIN($B106,1)+5)+500</f>
        <v>500</v>
      </c>
      <c r="AA106" s="115">
        <f>INDEX(Input!$1:$1048576,AA$93,$C106*2+MIN($B106,1)+5)</f>
        <v>1000</v>
      </c>
      <c r="AB106" s="118">
        <f>INDEX(Input!$1:$1048576,AB$93,$C106*2+MIN($B106,1)+5)</f>
        <v>0.27</v>
      </c>
      <c r="AC106" s="115">
        <f>INDEX(Input!$1:$1048576,AC$93,$C106*2+MIN($B106,1)+5)</f>
        <v>1000</v>
      </c>
      <c r="AD106" s="118">
        <f>INDEX(Input!$1:$1048576,AD$93,$C106*2+MIN($B106,1)+5)</f>
        <v>0.27</v>
      </c>
      <c r="AE106" s="115">
        <f>INDEX(Input!$1:$1048576,AE$93,$C106*2+MIN($B106,1)+5)</f>
        <v>0</v>
      </c>
      <c r="AF106" s="118">
        <f>INDEX(Input!$1:$1048576,AF$93,$C106*2+MIN($B106,1)+5)</f>
        <v>0.38</v>
      </c>
      <c r="AG106" s="115">
        <f>INDEX(Input!$1:$1048576,AG$93,$C106*2+MIN($B106,1)+5)</f>
        <v>0</v>
      </c>
      <c r="AH106" s="118">
        <f>INDEX(Input!$1:$1048576,AH$93,$C106*2+MIN($B106,1)+5)</f>
        <v>0</v>
      </c>
      <c r="AI106" s="115">
        <f>INDEX(Input!$1:$1048576,AI$93,$C106*2+MIN($B106,1)+5)</f>
        <v>0</v>
      </c>
      <c r="AJ106" s="118">
        <f>INDEX(Input!$1:$1048576,AJ$93,$C106*2+MIN($B106,1)+5)</f>
        <v>0.27</v>
      </c>
      <c r="AK106" s="150">
        <f>ROUND(INDEX(Input!$1:$1048576,AK$93,$C105*2+MIN($B106,1)+5)+(Y106-VLOOKUP($C106*1000+1,$A:$HH,Y$92,FALSE)),0)</f>
        <v>4104</v>
      </c>
      <c r="AL106" s="150">
        <f>ROUND(INDEX(Input!$1:$1048576,AL$93,$C105*2+MIN($B106,1)+5)-(Y106-VLOOKUP($C106*1000+1,$A:$HH,Y$92,FALSE))/36,0)</f>
        <v>4104</v>
      </c>
      <c r="AM106" s="32" t="str">
        <f t="shared" ref="AM106:AM111" si="118">IF(K106="market","std",ROUND(K106*1000,0)/10)&amp;"/"&amp;IF(L106="market","std",ROUND(L106*1000,0)/10)&amp;"/"&amp;IF(M106="market","std",ROUND(M106*1000,0)/10)&amp;"/"&amp;IF(N106="market","std",ROUND(N106*1000,0)/10)&amp;IF(P106="N","","/"&amp;IF(O106="market","std",ROUND(O106*1000,0)/10))</f>
        <v>std/std/std/std</v>
      </c>
      <c r="AN106" s="32" t="str">
        <f t="shared" ref="AN106:AN111" si="119">"$"&amp;ROUND(Q106,0)&amp;" + "&amp;IF(S106="market","std",ROUND(S106*1000,0)/10)&amp;"/"&amp;IF(T106="market","std",ROUND(T106*1000,0)/10)&amp;"/"&amp;IF(U106="market","std",ROUND(U106*1000,0)/10)&amp;"/"&amp;IF(V106="market","std",ROUND(V106*1000,0)/10)&amp;IF(X106="N","","/"&amp;IF(W106="market","std",ROUND(W106*1000,0)/10))</f>
        <v>$0 + 0/0/0/1.9/3.9</v>
      </c>
      <c r="AO106" s="32" t="str">
        <f t="shared" ref="AO106:AO111" si="120">IF(S106="market","std",ROUND(S106*1000,0)/10)&amp;"/"&amp;IF(T106="market","std",ROUND(T106*1000,0)/10)&amp;"/"&amp;IF(U106="market","std",ROUND(U106*1000,0)/10)&amp;"/"&amp;IF(V106="market","std",ROUND(V106*1000,0)/10)&amp;IF(X106="N","","/"&amp;IF(W106="market","std",ROUND(W106*1000,0)/10))</f>
        <v>0/0/0/1.9/3.9</v>
      </c>
      <c r="AP106" s="32" t="str">
        <f t="shared" si="73"/>
        <v>0/0.9/1.9/3.9</v>
      </c>
      <c r="AQ106" s="536">
        <f t="shared" si="39"/>
        <v>270.23296078268243</v>
      </c>
      <c r="AR106" s="32"/>
      <c r="AS106" s="302"/>
      <c r="AT106" s="3">
        <f t="shared" si="106"/>
        <v>6</v>
      </c>
      <c r="AU106" s="41" t="s">
        <v>121</v>
      </c>
      <c r="AV106" s="41" t="s">
        <v>116</v>
      </c>
      <c r="AW106" s="41" t="str">
        <f>INDEX(Input!$1:$1048576,AW$93,$C106*2+6)</f>
        <v>Kia</v>
      </c>
      <c r="AX106" s="41" t="str">
        <f>INDEX(Input!$1:$1048576,AX$93,$C106*2+6)</f>
        <v>Kia-LR - L1</v>
      </c>
      <c r="AY106" s="41" t="str">
        <f>IF(LEN(D106)=0,"",INDEX(Input!$1:$1048576,AY$93,$C106*2+6))</f>
        <v>Compact SUV (52)</v>
      </c>
      <c r="AZ106" s="41" t="str">
        <f>INDEX(Input!$1:$1048576,AZ$93,$C106*2+6)</f>
        <v>Kia Soul</v>
      </c>
      <c r="BA106" s="3">
        <f>INDEX(Input!$1:$1048576,BA$93,$C106*2+6)</f>
        <v>2020</v>
      </c>
      <c r="BB106" s="128">
        <f>INDEX(Input!$1:$1048576,BB$93,$C106*2+6)</f>
        <v>1</v>
      </c>
      <c r="BC106" s="128">
        <f>INDEX(Input!$1:$1048576,BC$93,$C106*2+6)</f>
        <v>0.7</v>
      </c>
      <c r="BD106" s="1">
        <f>INDEX(Input!$1:$1048576,BD$93,$C106*2+6)</f>
        <v>4.4999999999999998E-2</v>
      </c>
      <c r="BE106" s="1">
        <f>INDEX(Input!$1:$1048576,BE$93,$C106*2+6)</f>
        <v>4.4999999999999998E-2</v>
      </c>
      <c r="BF106" s="1">
        <f>INDEX(Input!$1:$1048576,BF$93,$C106*2+6)</f>
        <v>0.05</v>
      </c>
      <c r="BG106" s="1">
        <f>INDEX(Input!$1:$1048576,BG$93,$C106*2+6)</f>
        <v>5.45E-2</v>
      </c>
      <c r="BH106" s="1">
        <f>INDEX(Input!$1:$1048576,BH$93,$C106*2+6)</f>
        <v>5.45E-2</v>
      </c>
      <c r="BI106" s="1">
        <f>INDEX(Input!$1:$1048576,BI$93,$C106*2+6)</f>
        <v>0.05</v>
      </c>
      <c r="BJ106" s="1">
        <f>INDEX(Input!$1:$1048576,BJ$93,$C106*2+6)</f>
        <v>0.05</v>
      </c>
      <c r="BK106" s="1">
        <f>INDEX(Input!$1:$1048576,BK$93,$C106*2+6)</f>
        <v>0.05</v>
      </c>
      <c r="BL106" s="1">
        <f>INDEX(Input!$1:$1048576,BL$93,$C106*2+6)</f>
        <v>5.5E-2</v>
      </c>
      <c r="BM106" s="1">
        <f>INDEX(Input!$1:$1048576,BM$93,$C106*2+6)</f>
        <v>0.06</v>
      </c>
      <c r="BN106" s="1">
        <f>INDEX(Input!$1:$1048576,BN$93,$C106*2+6)</f>
        <v>4.4999999999999998E-2</v>
      </c>
      <c r="BO106" s="1">
        <f>INDEX(Input!$1:$1048576,BO$93,$C106*2+6)</f>
        <v>4.4999999999999998E-2</v>
      </c>
      <c r="BP106" s="1">
        <f>INDEX(Input!$1:$1048576,BP$93,$C106*2+6)</f>
        <v>0.05</v>
      </c>
      <c r="BQ106" s="1">
        <f>INDEX(Input!$1:$1048576,BQ$93,$C106*2+6)</f>
        <v>5.45E-2</v>
      </c>
      <c r="BR106" s="1">
        <f>INDEX(Input!$1:$1048576,BR$93,$C106*2+6)</f>
        <v>5.45E-2</v>
      </c>
      <c r="BS106" s="1">
        <f>INDEX(Input!$1:$1048576,BS$93,$C106*2+6)</f>
        <v>0.05</v>
      </c>
      <c r="BT106" s="1">
        <f>INDEX(Input!$1:$1048576,BT$93,$C106*2+6)</f>
        <v>0.05</v>
      </c>
      <c r="BU106" s="1">
        <f>INDEX(Input!$1:$1048576,BU$93,$C106*2+6)</f>
        <v>0.05</v>
      </c>
      <c r="BV106" s="1">
        <f>INDEX(Input!$1:$1048576,BV$93,$C106*2+6)</f>
        <v>5.5E-2</v>
      </c>
      <c r="BW106" s="1">
        <f>INDEX(Input!$1:$1048576,BW$93,$C106*2+6)</f>
        <v>0.06</v>
      </c>
      <c r="BX106" s="127">
        <f>INDEX(Input!$1:$1048576,BX$93,$C106*2+6)</f>
        <v>19985</v>
      </c>
      <c r="BY106" s="20">
        <f>INDEX(Input!$1:$1048576,BY$93,$C106*2+6)</f>
        <v>0.1</v>
      </c>
      <c r="BZ106" s="20">
        <f>INDEX(Input!$1:$1048576,BZ$93,$C106*2+6)</f>
        <v>0.1</v>
      </c>
      <c r="CA106" s="20">
        <f>INDEX(Input!$1:$1048576,CA$93,$C106*2+6)</f>
        <v>0.1</v>
      </c>
      <c r="CB106" s="20">
        <f>INDEX(Input!$1:$1048576,CB$93,$C106*2+6)</f>
        <v>0.1</v>
      </c>
      <c r="CC106" s="20">
        <f>INDEX(Input!$1:$1048576,CC$93,$C106*2+6)</f>
        <v>0.1</v>
      </c>
      <c r="CD106" s="384">
        <f>INDEX(Input!$1:$1048576,CD$93,$C106*2+6)</f>
        <v>0.1</v>
      </c>
      <c r="CE106" s="384">
        <f>INDEX(Input!$1:$1048576,CE$93,$C106*2+6)</f>
        <v>0.1</v>
      </c>
      <c r="CF106" s="384">
        <f>INDEX(Input!$1:$1048576,CF$93,$C106*2+6)</f>
        <v>0.1</v>
      </c>
      <c r="CG106" s="384">
        <f>INDEX(Input!$1:$1048576,CG$93,$C106*2+6)</f>
        <v>0.1</v>
      </c>
      <c r="CH106" s="384">
        <f>INDEX(Input!$1:$1048576,CH$93,$C106*2+6)</f>
        <v>0.1</v>
      </c>
      <c r="CI106" s="304">
        <f t="shared" si="74"/>
        <v>1270</v>
      </c>
      <c r="CJ106" s="16" t="str">
        <f>INDEX(Input!$1:$1048576,CJ$93,$C106*2+6)</f>
        <v>N</v>
      </c>
      <c r="CK106" s="1" t="str">
        <f t="shared" si="75"/>
        <v>Market</v>
      </c>
      <c r="CL106" s="1" t="str">
        <f t="shared" si="76"/>
        <v>Market</v>
      </c>
      <c r="CM106" s="1" t="str">
        <f t="shared" si="77"/>
        <v>Market</v>
      </c>
      <c r="CN106" s="1" t="str">
        <f t="shared" si="78"/>
        <v>Market</v>
      </c>
      <c r="CO106" s="1" t="str">
        <f t="shared" si="79"/>
        <v>Market</v>
      </c>
      <c r="CP106" s="304">
        <f t="shared" si="80"/>
        <v>0</v>
      </c>
      <c r="CQ106" s="1">
        <f t="shared" si="81"/>
        <v>0</v>
      </c>
      <c r="CR106" s="1">
        <f t="shared" si="82"/>
        <v>0</v>
      </c>
      <c r="CS106" s="1">
        <f t="shared" si="83"/>
        <v>0</v>
      </c>
      <c r="CT106" s="1">
        <f t="shared" si="84"/>
        <v>1.9E-2</v>
      </c>
      <c r="CU106" s="1">
        <f t="shared" si="85"/>
        <v>3.9E-2</v>
      </c>
      <c r="CV106" s="304">
        <f t="shared" si="86"/>
        <v>2559</v>
      </c>
      <c r="CW106" s="20" t="s">
        <v>122</v>
      </c>
      <c r="CX106" s="20" t="s">
        <v>122</v>
      </c>
      <c r="CY106" s="20" t="s">
        <v>122</v>
      </c>
      <c r="CZ106" s="20" t="s">
        <v>122</v>
      </c>
      <c r="DA106" s="20" t="s">
        <v>122</v>
      </c>
      <c r="DB106" s="503">
        <f t="shared" si="87"/>
        <v>500</v>
      </c>
      <c r="DC106" s="127">
        <v>0</v>
      </c>
      <c r="DD106" s="127">
        <v>0</v>
      </c>
      <c r="DE106" s="127">
        <v>0</v>
      </c>
      <c r="DF106" s="127">
        <v>0</v>
      </c>
      <c r="DG106" s="127">
        <v>0</v>
      </c>
      <c r="DH106" s="127">
        <v>0</v>
      </c>
      <c r="DI106" s="127">
        <v>0</v>
      </c>
      <c r="DJ106" s="127">
        <v>0</v>
      </c>
      <c r="DK106" s="127">
        <v>0</v>
      </c>
      <c r="DL106" s="127">
        <v>0</v>
      </c>
      <c r="DM106" s="304">
        <f>INDEX(Input!$1:$1048576,DM$93,$C106*2+6)</f>
        <v>21036.84210526316</v>
      </c>
      <c r="DN106" s="20">
        <v>0</v>
      </c>
      <c r="DO106" s="20">
        <v>0</v>
      </c>
      <c r="DP106" s="20">
        <v>0</v>
      </c>
      <c r="DQ106" s="20">
        <v>0</v>
      </c>
      <c r="DR106" s="20">
        <v>0</v>
      </c>
      <c r="DS106" s="20">
        <f>INDEX(Input!$1:$1048576,DS$93,$C106*2+6)</f>
        <v>0.6</v>
      </c>
      <c r="DT106" s="20">
        <f>INDEX(Input!$1:$1048576,DT$93,$C106*2+6)</f>
        <v>0.55000000000000004</v>
      </c>
      <c r="DU106" s="20">
        <f>INDEX(Input!$1:$1048576,DU$93,$C106*2+6)</f>
        <v>0.52</v>
      </c>
      <c r="DV106" s="20">
        <f>INDEX(Input!$1:$1048576,DV$93,$C106*2+6)</f>
        <v>0.5</v>
      </c>
      <c r="DW106" s="20">
        <f>INDEX(Input!$1:$1048576,DW$93,$C106*2+6)</f>
        <v>0.45</v>
      </c>
      <c r="DX106" s="20"/>
      <c r="DY106" s="7">
        <v>9.9832470176239807E-2</v>
      </c>
      <c r="DZ106" s="7">
        <v>0</v>
      </c>
      <c r="EA106" s="7">
        <v>0.4508403315190555</v>
      </c>
      <c r="EB106" s="7">
        <v>0</v>
      </c>
      <c r="EC106" s="7">
        <v>0</v>
      </c>
      <c r="ED106" s="7">
        <v>0</v>
      </c>
      <c r="EE106" s="7">
        <v>0</v>
      </c>
      <c r="EF106" s="7">
        <v>0</v>
      </c>
      <c r="EG106" s="7">
        <v>0</v>
      </c>
      <c r="EH106" s="7">
        <v>1.8402200445098653E-2</v>
      </c>
      <c r="EI106" s="7">
        <v>5.3739557110571892E-2</v>
      </c>
      <c r="EJ106" s="7">
        <v>0.3394668490413198</v>
      </c>
      <c r="EK106" s="7">
        <v>0.48247712639938078</v>
      </c>
      <c r="EL106" s="7">
        <v>0.10591426700362869</v>
      </c>
      <c r="EM106" s="7">
        <v>4.7444430538535497E-2</v>
      </c>
      <c r="EN106" s="7">
        <v>5.3008825549472359E-2</v>
      </c>
      <c r="EO106" s="7">
        <v>0.78429624558720334</v>
      </c>
      <c r="EP106" s="7">
        <v>7.090464458679778E-2</v>
      </c>
      <c r="EQ106" s="7">
        <v>5.3849935219627665E-2</v>
      </c>
      <c r="ER106" s="7">
        <v>3.7940349056899185E-2</v>
      </c>
      <c r="ES106" s="7">
        <v>0.40188276776616921</v>
      </c>
      <c r="ET106" s="7">
        <v>0.44932719830470469</v>
      </c>
      <c r="EU106" s="6">
        <v>1740</v>
      </c>
      <c r="EV106" s="6">
        <v>0</v>
      </c>
      <c r="EW106" s="6">
        <v>1740</v>
      </c>
      <c r="EX106" s="6">
        <v>0</v>
      </c>
      <c r="EY106" s="6">
        <v>2509.7221397149679</v>
      </c>
      <c r="EZ106" s="6">
        <v>2570</v>
      </c>
      <c r="FA106" s="6">
        <v>0</v>
      </c>
      <c r="FB106" s="6">
        <v>0</v>
      </c>
      <c r="FC106" s="6">
        <v>0</v>
      </c>
      <c r="FD106" s="6">
        <v>0</v>
      </c>
      <c r="FE106" s="6">
        <v>0</v>
      </c>
      <c r="FF106" s="6">
        <v>0</v>
      </c>
      <c r="FG106" s="6">
        <v>0</v>
      </c>
      <c r="FH106" s="6">
        <v>1171.2811379695615</v>
      </c>
      <c r="FI106" s="6">
        <v>1553.9796069512397</v>
      </c>
      <c r="FJ106" s="6">
        <v>2101.2110117447414</v>
      </c>
      <c r="FK106" s="6">
        <v>1772.7139978623234</v>
      </c>
      <c r="FL106" s="6">
        <v>907.07682140966335</v>
      </c>
      <c r="FM106" s="6">
        <v>1769.7221397149681</v>
      </c>
      <c r="FN106" s="6">
        <v>0</v>
      </c>
      <c r="FO106" s="6">
        <v>0</v>
      </c>
      <c r="FP106" s="6">
        <v>0</v>
      </c>
      <c r="FQ106" s="6">
        <v>0</v>
      </c>
      <c r="FR106" s="6">
        <v>0</v>
      </c>
      <c r="FS106" s="6">
        <v>0</v>
      </c>
      <c r="FT106" s="7">
        <v>0.55067280169529531</v>
      </c>
      <c r="FU106" s="7">
        <v>4.7444430538535497E-2</v>
      </c>
      <c r="FV106" s="7">
        <v>0.40188276776616921</v>
      </c>
      <c r="FW106" s="6">
        <v>1740.0000000000002</v>
      </c>
      <c r="FX106" s="6">
        <v>2509.7221397149679</v>
      </c>
      <c r="FY106" s="6">
        <v>2570</v>
      </c>
      <c r="FZ106" s="6">
        <v>1952.7147957719815</v>
      </c>
      <c r="GA106" s="6">
        <v>2110.0817258376001</v>
      </c>
      <c r="GB106" s="6">
        <v>17874.918274162399</v>
      </c>
      <c r="GC106" s="7">
        <v>1.0519917368675835E-2</v>
      </c>
      <c r="GD106" s="7">
        <v>1.0977235951941677E-2</v>
      </c>
      <c r="GE106" s="7"/>
      <c r="GF106" s="7"/>
      <c r="GG106" s="7">
        <v>4.3471689675772189E-2</v>
      </c>
      <c r="GH106" s="42">
        <v>5.5207388096599725</v>
      </c>
      <c r="GI106" s="6">
        <v>5730.0682329027431</v>
      </c>
      <c r="GJ106" s="14">
        <v>0.50394797582841722</v>
      </c>
      <c r="GK106" s="14">
        <v>0.50887573065309732</v>
      </c>
      <c r="GL106" s="14">
        <v>0.49605202417158267</v>
      </c>
      <c r="GM106" s="14">
        <v>0.4911242693469024</v>
      </c>
      <c r="GO106" s="5">
        <v>343.14810671672558</v>
      </c>
      <c r="GP106" s="5">
        <v>309.95222615702232</v>
      </c>
      <c r="GQ106" s="5">
        <v>535.04305713031317</v>
      </c>
      <c r="GR106" s="5">
        <v>410.15490233172511</v>
      </c>
      <c r="GS106" s="5">
        <v>339.42744393800166</v>
      </c>
      <c r="GT106" s="5">
        <v>293.4407446948278</v>
      </c>
      <c r="GU106" s="5">
        <v>258.04012322764959</v>
      </c>
      <c r="GV106" s="39" t="s">
        <v>392</v>
      </c>
      <c r="GW106" s="5">
        <v>479.06944444444446</v>
      </c>
      <c r="GX106" s="5">
        <v>359.30208333333331</v>
      </c>
      <c r="GY106" s="5">
        <v>287.44166666666666</v>
      </c>
      <c r="GZ106" s="5">
        <v>253.63693795247147</v>
      </c>
      <c r="HA106" s="5">
        <v>234.94601787594507</v>
      </c>
      <c r="HB106" s="39">
        <v>272.9597398783452</v>
      </c>
      <c r="HC106" s="5">
        <v>174.84687499999998</v>
      </c>
      <c r="HD106" s="5">
        <v>163.06233552631574</v>
      </c>
      <c r="HE106" s="5">
        <v>169.71126433873141</v>
      </c>
      <c r="HF106" s="5">
        <v>161.47750548245614</v>
      </c>
      <c r="HG106" s="5">
        <v>161.37304824561403</v>
      </c>
      <c r="HH106" s="39">
        <v>164.00902491350129</v>
      </c>
      <c r="HI106" s="16"/>
      <c r="HJ106" s="19" t="str">
        <f t="shared" si="107"/>
        <v>On</v>
      </c>
      <c r="HK106" s="1" t="str">
        <f t="shared" si="108"/>
        <v>On</v>
      </c>
      <c r="HL106" s="16"/>
      <c r="HM106" s="639">
        <f t="shared" si="42"/>
        <v>5.7455619280273196E-3</v>
      </c>
      <c r="HN106" s="639">
        <f t="shared" si="43"/>
        <v>5.0031960498701745E-4</v>
      </c>
      <c r="HO106" s="639">
        <f t="shared" si="44"/>
        <v>3.9819433988714835E-3</v>
      </c>
      <c r="HP106" s="644">
        <f>(FT106*$GD106-HM106)/$JF106*INDEX(Input!$1:$1048576,$JG$93,$C106*2+6)</f>
        <v>13.05158177026194</v>
      </c>
      <c r="HQ106" s="644">
        <f>(FU106*$GD106-HN106)/$JF106*INDEX(Input!$1:$1048576,$JG$93,$C106*2+6)</f>
        <v>0.89345880324453475</v>
      </c>
      <c r="HR106" s="644">
        <f>(FV106*$GD106-HO106)/$JF106*INDEX(Input!$1:$1048576,$JG$93,$C106*2+6)</f>
        <v>18.734176872121495</v>
      </c>
      <c r="HS106" s="644">
        <f t="shared" si="45"/>
        <v>-9.3531338016373731</v>
      </c>
      <c r="HT106" s="644">
        <f t="shared" si="46"/>
        <v>7.7698960287533483</v>
      </c>
      <c r="HU106" s="644">
        <f t="shared" si="47"/>
        <v>10.962339240232835</v>
      </c>
      <c r="HV106" s="648">
        <f t="shared" si="48"/>
        <v>0</v>
      </c>
      <c r="HW106" s="648">
        <f t="shared" si="49"/>
        <v>0</v>
      </c>
      <c r="HX106" s="648">
        <f t="shared" si="50"/>
        <v>0</v>
      </c>
      <c r="HY106" s="644">
        <f>INDEX(Input!$1:$1048576,HY$93,$C106*2+6)*INDEX(Input!$1:$1048576,$JG$93,$C106*2+6)</f>
        <v>110.00000000000001</v>
      </c>
      <c r="HZ106" s="644">
        <f>INDEX(Input!$1:$1048576,HZ$93,$C106*2+6)*INDEX(Input!$1:$1048576,$JG$93,$C106*2+6)</f>
        <v>157</v>
      </c>
      <c r="IA106" s="644">
        <f>INDEX(Input!$1:$1048576,IA$93,$C106*2+6)*INDEX(Input!$1:$1048576,$JG$93,$C106*2+6)</f>
        <v>179</v>
      </c>
      <c r="IB106" s="644">
        <f t="shared" si="88"/>
        <v>113.69844796862458</v>
      </c>
      <c r="IC106" s="644">
        <f t="shared" si="89"/>
        <v>165.66335483199788</v>
      </c>
      <c r="ID106" s="644">
        <f>IF(AND(INDEX(Input!$1:$1048576,IA$93,$C106*2+7)="TOS",Y106&lt;=INDEX(Y:Y,MATCH(C106*1000+2,A:A))),0,1)*MAX(IA106+HR106+HU106+HX106,0%)</f>
        <v>208.69651611235435</v>
      </c>
      <c r="IE106" s="128">
        <f t="shared" si="115"/>
        <v>0.23296078268240228</v>
      </c>
      <c r="IF106" s="128">
        <f t="shared" si="116"/>
        <v>0.33943352343828498</v>
      </c>
      <c r="IG106" s="128">
        <f t="shared" si="52"/>
        <v>0.42760569387931274</v>
      </c>
      <c r="IH106" s="21"/>
      <c r="II106" s="19">
        <f t="shared" si="53"/>
        <v>1240</v>
      </c>
      <c r="IJ106" s="19">
        <f t="shared" si="54"/>
        <v>2009.7221397149679</v>
      </c>
      <c r="IK106" s="19">
        <f t="shared" si="55"/>
        <v>2070</v>
      </c>
      <c r="IL106" s="19">
        <f t="shared" si="91"/>
        <v>500.00000000000023</v>
      </c>
      <c r="IM106" s="19">
        <f t="shared" si="56"/>
        <v>500</v>
      </c>
      <c r="IN106" s="19">
        <f t="shared" si="56"/>
        <v>500</v>
      </c>
      <c r="IO106" s="39">
        <f t="shared" si="57"/>
        <v>0</v>
      </c>
      <c r="IP106" s="39">
        <f t="shared" si="58"/>
        <v>0</v>
      </c>
      <c r="IQ106" s="39">
        <f t="shared" si="59"/>
        <v>0</v>
      </c>
      <c r="IR106" s="39">
        <v>0</v>
      </c>
      <c r="IS106" s="39">
        <v>0</v>
      </c>
      <c r="IT106" s="39">
        <v>0</v>
      </c>
      <c r="IU106" s="39">
        <v>0</v>
      </c>
      <c r="IV106" s="39">
        <v>0</v>
      </c>
      <c r="IW106" s="39">
        <v>0</v>
      </c>
      <c r="IX106" s="39">
        <f>INDEX(Input!$1:$1048576,IX$93,$C106*2+6)+INDEX(Input!$1:$1048576,IX$94,$C106*2+6)</f>
        <v>1270</v>
      </c>
      <c r="IY106" s="39">
        <f>INDEX(Input!$1:$1048576,IY$93,$C106*2+6)+INDEX(Input!$1:$1048576,IY$94,$C106*2+6)</f>
        <v>2130.0624533823611</v>
      </c>
      <c r="IZ106" s="39">
        <f>INDEX(Input!$1:$1048576,IZ$93,$C106*2+6)+INDEX(Input!$1:$1048576,IZ$94,$C106*2+6)</f>
        <v>4373.7164157747848</v>
      </c>
      <c r="JA106" s="19">
        <f t="shared" si="92"/>
        <v>1770.0000000000002</v>
      </c>
      <c r="JB106" s="19">
        <f t="shared" si="92"/>
        <v>2630.0624533823611</v>
      </c>
      <c r="JC106" s="19">
        <f t="shared" si="92"/>
        <v>4873.7164157747848</v>
      </c>
      <c r="JD106" s="19">
        <f t="shared" si="93"/>
        <v>3389.1008405005409</v>
      </c>
      <c r="JE106" s="21"/>
      <c r="JF106" s="1">
        <f t="shared" si="60"/>
        <v>1.022782493188582E-2</v>
      </c>
      <c r="JG106" s="15">
        <f>INDEX(Input!$1:$1048576,JG$93,$C106*2+6)/(1+VLOOKUP(C106*1000+INDEX(Input!$1:$1048576,JG$93+1,$C106*2+6),$A:$KK,$JK$92,FALSE))</f>
        <v>446</v>
      </c>
      <c r="JH106" s="1">
        <f t="shared" si="94"/>
        <v>7.327178799468155E-2</v>
      </c>
      <c r="JI106" s="1">
        <f t="shared" si="95"/>
        <v>2.1029375487329173E-2</v>
      </c>
      <c r="JJ106" s="1">
        <f t="shared" si="96"/>
        <v>0</v>
      </c>
      <c r="JK106" s="1">
        <f t="shared" ref="JK106" si="121">SUM(JH106:JJ106)</f>
        <v>9.430116348201073E-2</v>
      </c>
      <c r="JL106" s="15">
        <f t="shared" si="98"/>
        <v>42.058318912976787</v>
      </c>
      <c r="JM106" s="15">
        <f>JG106+JL106</f>
        <v>488.0583189129768</v>
      </c>
      <c r="JN106" s="21"/>
      <c r="JO106" s="19">
        <f>INDEX(Input!$1:$1048576,JO$93,$C106*2+6)</f>
        <v>5995.5</v>
      </c>
      <c r="JP106" s="19">
        <f>INDEX(Input!$1:$1048576,JP$93,$C106*2+6)</f>
        <v>2818.4193802796353</v>
      </c>
      <c r="JQ106" s="39">
        <f t="shared" si="109"/>
        <v>2606.3991594994591</v>
      </c>
      <c r="JR106" s="39">
        <f>JD106-JP106</f>
        <v>570.68146022090559</v>
      </c>
      <c r="JS106" s="39">
        <f t="shared" si="62"/>
        <v>1.6540788588412507</v>
      </c>
      <c r="JT106" s="39">
        <f t="shared" si="100"/>
        <v>0.39706381523653328</v>
      </c>
      <c r="JU106" s="385">
        <f>(JQ106*JM106-INDEX(Input!$1:$1048576,Input!A$18,$C106*2+6)*JL106*INDEX(Input!$1:$1048576,Input!A$19,$C106*2+6))/1000000</f>
        <v>1.2720747922015019</v>
      </c>
      <c r="JV106" s="39">
        <f t="shared" si="63"/>
        <v>-0.1449031641937808</v>
      </c>
      <c r="JW106" s="1">
        <f>JV106/(JU106-JV106)</f>
        <v>-0.10226211603348215</v>
      </c>
      <c r="JX106" s="19">
        <f t="shared" si="113"/>
        <v>9440.791393923786</v>
      </c>
      <c r="JZ106" s="468">
        <f>DB106-DB101</f>
        <v>500</v>
      </c>
      <c r="KA106" s="469">
        <f>JH106/(JZ106/BX106)</f>
        <v>2.9286733661474216</v>
      </c>
      <c r="KB106" s="469">
        <f t="shared" si="110"/>
        <v>2.9286733661474216</v>
      </c>
      <c r="KI106" s="473">
        <f t="shared" si="111"/>
        <v>3.6984479686245635</v>
      </c>
      <c r="KJ106" s="473">
        <f t="shared" si="101"/>
        <v>8.6633548319978786</v>
      </c>
      <c r="KK106" s="473">
        <f t="shared" si="102"/>
        <v>29.696516112354345</v>
      </c>
      <c r="KN106" s="544">
        <f t="shared" si="114"/>
        <v>1002</v>
      </c>
      <c r="KO106" s="541">
        <f t="shared" si="64"/>
        <v>8.98155969023815E-2</v>
      </c>
      <c r="KP106" s="546">
        <f t="shared" si="65"/>
        <v>476.41408540818975</v>
      </c>
      <c r="KQ106" s="546">
        <f t="shared" si="66"/>
        <v>549.78464048188926</v>
      </c>
      <c r="KR106" s="548">
        <f t="shared" si="67"/>
        <v>3.2323767746610481</v>
      </c>
      <c r="KS106" s="548">
        <f t="shared" si="68"/>
        <v>2.8010055418155062</v>
      </c>
      <c r="KT106" s="473">
        <f t="shared" si="112"/>
        <v>238.28695973331548</v>
      </c>
      <c r="KU106" s="663">
        <f t="shared" si="103"/>
        <v>6.1810526644432997</v>
      </c>
      <c r="KV106" s="117"/>
    </row>
    <row r="107" spans="1:310" s="26" customFormat="1" ht="15">
      <c r="A107" s="561">
        <f t="shared" ref="A107:A111" si="122">C107*1000+B107</f>
        <v>1007</v>
      </c>
      <c r="B107" s="561">
        <f t="shared" si="104"/>
        <v>7</v>
      </c>
      <c r="C107" s="561">
        <f t="shared" si="105"/>
        <v>1</v>
      </c>
      <c r="D107" s="561" t="s">
        <v>634</v>
      </c>
      <c r="E107" s="475">
        <f>INDEX(Input!$1:$1048576,E$93,$C107*2+MIN($B107,1)+5)</f>
        <v>1000</v>
      </c>
      <c r="F107" s="475">
        <f>INDEX(Input!$1:$1048576,F$93,$C107*2+MIN($B107,1)+5)</f>
        <v>0</v>
      </c>
      <c r="G107" s="475">
        <f>INDEX(Input!$1:$1048576,G$93,$C107*2+MIN($B107,1)+5)</f>
        <v>0</v>
      </c>
      <c r="H107" s="475">
        <f>INDEX(Input!$1:$1048576,H$93,$C107*2+MIN($B107,1)+5)</f>
        <v>0</v>
      </c>
      <c r="I107" s="476">
        <f>INDEX(Input!$1:$1048576,I$93,$C107*2+MIN($B107,1)+5)</f>
        <v>0.7</v>
      </c>
      <c r="J107" s="476" t="str">
        <f>INDEX(Input!$1:$1048576,J$93,$C107*2+MIN($B107,1)+5)</f>
        <v>Market</v>
      </c>
      <c r="K107" s="476" t="str">
        <f>INDEX(Input!$1:$1048576,K$93,$C107*2+MIN($B107,1)+5)</f>
        <v>Market</v>
      </c>
      <c r="L107" s="476" t="str">
        <f>INDEX(Input!$1:$1048576,L$93,$C107*2+MIN($B107,1)+5)</f>
        <v>Market</v>
      </c>
      <c r="M107" s="476" t="str">
        <f>INDEX(Input!$1:$1048576,M$93,$C107*2+MIN($B107,1)+5)</f>
        <v>Market</v>
      </c>
      <c r="N107" s="476" t="str">
        <f>INDEX(Input!$1:$1048576,N$93,$C107*2+MIN($B107,1)+5)</f>
        <v>Market</v>
      </c>
      <c r="O107" s="476" t="str">
        <f>INDEX(Input!$1:$1048576,O$93,$C107*2+MIN($B107,1)+5)</f>
        <v>Market</v>
      </c>
      <c r="P107" s="476" t="str">
        <f>INDEX(Input!$1:$1048576,P$93,$C107*2+MIN($B107,1)+5)</f>
        <v>N</v>
      </c>
      <c r="Q107" s="477">
        <f>INDEX(Input!$1:$1048576,Q$93,$C107*2+MIN($B107,1)+5)</f>
        <v>0</v>
      </c>
      <c r="R107" s="478">
        <f>IFERROR(MAX(0,INDEX(Input!$1:$1048576,R$93,$C107*2+MIN($B107,1)+5)-0%),"Market")</f>
        <v>0</v>
      </c>
      <c r="S107" s="478">
        <f>IFERROR(MAX(0,INDEX(Input!$1:$1048576,S$93,$C107*2+MIN($B107,1)+5)-0%),"Market")</f>
        <v>0</v>
      </c>
      <c r="T107" s="478">
        <f>IFERROR(MAX(0,INDEX(Input!$1:$1048576,T$93,$C107*2+MIN($B107,1)+5)-0%),"Market")</f>
        <v>0</v>
      </c>
      <c r="U107" s="478">
        <f>IFERROR(MAX(0,INDEX(Input!$1:$1048576,U$93,$C107*2+MIN($B107,1)+5)-0%),"Market")</f>
        <v>0</v>
      </c>
      <c r="V107" s="478">
        <f>IFERROR(MAX(0,INDEX(Input!$1:$1048576,V$93,$C107*2+MIN($B107,1)+5)-0%),"Market")</f>
        <v>1.9E-2</v>
      </c>
      <c r="W107" s="885">
        <f>IFERROR(MAX(0,INDEX(Input!$1:$1048576,W$93,$C107*2+MIN($B107,1)+5)-0%),"Market")</f>
        <v>3.9E-2</v>
      </c>
      <c r="X107" s="476" t="str">
        <f>INDEX(Input!$1:$1048576,X$93,$C107*2+MIN($B107,1)+5)</f>
        <v>Y</v>
      </c>
      <c r="Y107" s="475">
        <f>INDEX(Input!$1:$1048576,Y$93,$C107*2+MIN($B107,1)+5)</f>
        <v>2289</v>
      </c>
      <c r="Z107" s="477">
        <f>INDEX(Input!$1:$1048576,Z$93,$C107*2+MIN($B107,1)+5)</f>
        <v>0</v>
      </c>
      <c r="AA107" s="475">
        <f>INDEX(Input!$1:$1048576,AA$93,$C107*2+MIN($B107,1)+5)</f>
        <v>1000</v>
      </c>
      <c r="AB107" s="476">
        <f>INDEX(Input!$1:$1048576,AB$93,$C107*2+MIN($B107,1)+5)</f>
        <v>0.27</v>
      </c>
      <c r="AC107" s="475">
        <f>INDEX(Input!$1:$1048576,AC$93,$C107*2+MIN($B107,1)+5)</f>
        <v>1000</v>
      </c>
      <c r="AD107" s="476">
        <f>INDEX(Input!$1:$1048576,AD$93,$C107*2+MIN($B107,1)+5)</f>
        <v>0.27</v>
      </c>
      <c r="AE107" s="475">
        <f>INDEX(Input!$1:$1048576,AE$93,$C107*2+MIN($B107,1)+5)</f>
        <v>0</v>
      </c>
      <c r="AF107" s="476">
        <f>INDEX(Input!$1:$1048576,AF$93,$C107*2+MIN($B107,1)+5)</f>
        <v>0.38</v>
      </c>
      <c r="AG107" s="475">
        <f>INDEX(Input!$1:$1048576,AG$93,$C107*2+MIN($B107,1)+5)</f>
        <v>0</v>
      </c>
      <c r="AH107" s="476">
        <f>INDEX(Input!$1:$1048576,AH$93,$C107*2+MIN($B107,1)+5)</f>
        <v>0</v>
      </c>
      <c r="AI107" s="475">
        <f>INDEX(Input!$1:$1048576,AI$93,$C107*2+MIN($B107,1)+5)</f>
        <v>0</v>
      </c>
      <c r="AJ107" s="476">
        <f>INDEX(Input!$1:$1048576,AJ$93,$C107*2+MIN($B107,1)+5)</f>
        <v>0.27</v>
      </c>
      <c r="AK107" s="150">
        <f>ROUND(INDEX(Input!$1:$1048576,AK$93,$C106*2+MIN($B107,1)+5)+(Y107-VLOOKUP($C107*1000+1,$A:$HH,Y$92,FALSE)),0)</f>
        <v>4104</v>
      </c>
      <c r="AL107" s="150">
        <f>ROUND(INDEX(Input!$1:$1048576,AL$93,$C106*2+MIN($B107,1)+5)-(Y107-VLOOKUP($C107*1000+1,$A:$HH,Y$92,FALSE))/36,0)</f>
        <v>4104</v>
      </c>
      <c r="AM107" s="32" t="str">
        <f t="shared" si="118"/>
        <v>std/std/std/std</v>
      </c>
      <c r="AN107" s="32" t="str">
        <f t="shared" si="119"/>
        <v>$0 + 0/0/0/1.9/3.9</v>
      </c>
      <c r="AO107" s="32" t="str">
        <f t="shared" si="120"/>
        <v>0/0/0/1.9/3.9</v>
      </c>
      <c r="AP107" s="32" t="str">
        <f t="shared" si="73"/>
        <v>0/0.9/1.9/3.9</v>
      </c>
      <c r="AQ107" s="536">
        <f t="shared" si="39"/>
        <v>270.24663677130047</v>
      </c>
      <c r="AR107" s="32"/>
      <c r="AS107" s="302"/>
      <c r="AT107" s="3">
        <f t="shared" si="106"/>
        <v>7</v>
      </c>
      <c r="AU107" s="41" t="s">
        <v>121</v>
      </c>
      <c r="AV107" s="41" t="s">
        <v>116</v>
      </c>
      <c r="AW107" s="41" t="str">
        <f>INDEX(Input!$1:$1048576,AW$93,$C107*2+6)</f>
        <v>Kia</v>
      </c>
      <c r="AX107" s="41" t="str">
        <f>INDEX(Input!$1:$1048576,AX$93,$C107*2+6)</f>
        <v>Kia-LR - L1</v>
      </c>
      <c r="AY107" s="41" t="str">
        <f>IF(LEN(D107)=0,"",INDEX(Input!$1:$1048576,AY$93,$C107*2+6))</f>
        <v>Compact SUV (52)</v>
      </c>
      <c r="AZ107" s="41" t="str">
        <f>INDEX(Input!$1:$1048576,AZ$93,$C107*2+6)</f>
        <v>Kia Soul</v>
      </c>
      <c r="BA107" s="3">
        <f>INDEX(Input!$1:$1048576,BA$93,$C107*2+6)</f>
        <v>2020</v>
      </c>
      <c r="BB107" s="128">
        <f>INDEX(Input!$1:$1048576,BB$93,$C107*2+6)</f>
        <v>1</v>
      </c>
      <c r="BC107" s="128">
        <f>INDEX(Input!$1:$1048576,BC$93,$C107*2+6)</f>
        <v>0.7</v>
      </c>
      <c r="BD107" s="1">
        <f>INDEX(Input!$1:$1048576,BD$93,$C107*2+6)</f>
        <v>4.4999999999999998E-2</v>
      </c>
      <c r="BE107" s="1">
        <f>INDEX(Input!$1:$1048576,BE$93,$C107*2+6)</f>
        <v>4.4999999999999998E-2</v>
      </c>
      <c r="BF107" s="1">
        <f>INDEX(Input!$1:$1048576,BF$93,$C107*2+6)</f>
        <v>0.05</v>
      </c>
      <c r="BG107" s="1">
        <f>INDEX(Input!$1:$1048576,BG$93,$C107*2+6)</f>
        <v>5.45E-2</v>
      </c>
      <c r="BH107" s="1">
        <f>INDEX(Input!$1:$1048576,BH$93,$C107*2+6)</f>
        <v>5.45E-2</v>
      </c>
      <c r="BI107" s="1">
        <f>INDEX(Input!$1:$1048576,BI$93,$C107*2+6)</f>
        <v>0.05</v>
      </c>
      <c r="BJ107" s="1">
        <f>INDEX(Input!$1:$1048576,BJ$93,$C107*2+6)</f>
        <v>0.05</v>
      </c>
      <c r="BK107" s="1">
        <f>INDEX(Input!$1:$1048576,BK$93,$C107*2+6)</f>
        <v>0.05</v>
      </c>
      <c r="BL107" s="1">
        <f>INDEX(Input!$1:$1048576,BL$93,$C107*2+6)</f>
        <v>5.5E-2</v>
      </c>
      <c r="BM107" s="1">
        <f>INDEX(Input!$1:$1048576,BM$93,$C107*2+6)</f>
        <v>0.06</v>
      </c>
      <c r="BN107" s="1">
        <f>INDEX(Input!$1:$1048576,BN$93,$C107*2+6)</f>
        <v>4.4999999999999998E-2</v>
      </c>
      <c r="BO107" s="1">
        <f>INDEX(Input!$1:$1048576,BO$93,$C107*2+6)</f>
        <v>4.4999999999999998E-2</v>
      </c>
      <c r="BP107" s="1">
        <f>INDEX(Input!$1:$1048576,BP$93,$C107*2+6)</f>
        <v>0.05</v>
      </c>
      <c r="BQ107" s="1">
        <f>INDEX(Input!$1:$1048576,BQ$93,$C107*2+6)</f>
        <v>5.45E-2</v>
      </c>
      <c r="BR107" s="1">
        <f>INDEX(Input!$1:$1048576,BR$93,$C107*2+6)</f>
        <v>5.45E-2</v>
      </c>
      <c r="BS107" s="1">
        <f>INDEX(Input!$1:$1048576,BS$93,$C107*2+6)</f>
        <v>0.05</v>
      </c>
      <c r="BT107" s="1">
        <f>INDEX(Input!$1:$1048576,BT$93,$C107*2+6)</f>
        <v>0.05</v>
      </c>
      <c r="BU107" s="1">
        <f>INDEX(Input!$1:$1048576,BU$93,$C107*2+6)</f>
        <v>0.05</v>
      </c>
      <c r="BV107" s="1">
        <f>INDEX(Input!$1:$1048576,BV$93,$C107*2+6)</f>
        <v>5.5E-2</v>
      </c>
      <c r="BW107" s="1">
        <f>INDEX(Input!$1:$1048576,BW$93,$C107*2+6)</f>
        <v>0.06</v>
      </c>
      <c r="BX107" s="127">
        <f>INDEX(Input!$1:$1048576,BX$93,$C107*2+6)</f>
        <v>19985</v>
      </c>
      <c r="BY107" s="20">
        <f>INDEX(Input!$1:$1048576,BY$93,$C107*2+6)</f>
        <v>0.1</v>
      </c>
      <c r="BZ107" s="20">
        <f>INDEX(Input!$1:$1048576,BZ$93,$C107*2+6)</f>
        <v>0.1</v>
      </c>
      <c r="CA107" s="20">
        <f>INDEX(Input!$1:$1048576,CA$93,$C107*2+6)</f>
        <v>0.1</v>
      </c>
      <c r="CB107" s="20">
        <f>INDEX(Input!$1:$1048576,CB$93,$C107*2+6)</f>
        <v>0.1</v>
      </c>
      <c r="CC107" s="20">
        <f>INDEX(Input!$1:$1048576,CC$93,$C107*2+6)</f>
        <v>0.1</v>
      </c>
      <c r="CD107" s="384">
        <f>INDEX(Input!$1:$1048576,CD$93,$C107*2+6)</f>
        <v>0.1</v>
      </c>
      <c r="CE107" s="384">
        <f>INDEX(Input!$1:$1048576,CE$93,$C107*2+6)</f>
        <v>0.1</v>
      </c>
      <c r="CF107" s="384">
        <f>INDEX(Input!$1:$1048576,CF$93,$C107*2+6)</f>
        <v>0.1</v>
      </c>
      <c r="CG107" s="384">
        <f>INDEX(Input!$1:$1048576,CG$93,$C107*2+6)</f>
        <v>0.1</v>
      </c>
      <c r="CH107" s="384">
        <f>INDEX(Input!$1:$1048576,CH$93,$C107*2+6)</f>
        <v>0.1</v>
      </c>
      <c r="CI107" s="304">
        <f t="shared" si="74"/>
        <v>1270</v>
      </c>
      <c r="CJ107" s="16" t="str">
        <f>INDEX(Input!$1:$1048576,CJ$93,$C107*2+6)</f>
        <v>N</v>
      </c>
      <c r="CK107" s="1" t="str">
        <f t="shared" si="75"/>
        <v>Market</v>
      </c>
      <c r="CL107" s="1" t="str">
        <f t="shared" si="76"/>
        <v>Market</v>
      </c>
      <c r="CM107" s="1" t="str">
        <f t="shared" si="77"/>
        <v>Market</v>
      </c>
      <c r="CN107" s="1" t="str">
        <f t="shared" si="78"/>
        <v>Market</v>
      </c>
      <c r="CO107" s="1" t="str">
        <f t="shared" si="79"/>
        <v>Market</v>
      </c>
      <c r="CP107" s="304">
        <f t="shared" si="80"/>
        <v>0</v>
      </c>
      <c r="CQ107" s="1">
        <f t="shared" si="81"/>
        <v>0</v>
      </c>
      <c r="CR107" s="1">
        <f t="shared" si="82"/>
        <v>0</v>
      </c>
      <c r="CS107" s="1">
        <f t="shared" si="83"/>
        <v>0</v>
      </c>
      <c r="CT107" s="1">
        <f t="shared" si="84"/>
        <v>1.9E-2</v>
      </c>
      <c r="CU107" s="1">
        <f t="shared" si="85"/>
        <v>3.9E-2</v>
      </c>
      <c r="CV107" s="304">
        <f t="shared" si="86"/>
        <v>2559</v>
      </c>
      <c r="CW107" s="20" t="s">
        <v>122</v>
      </c>
      <c r="CX107" s="20" t="s">
        <v>122</v>
      </c>
      <c r="CY107" s="20" t="s">
        <v>122</v>
      </c>
      <c r="CZ107" s="20" t="s">
        <v>122</v>
      </c>
      <c r="DA107" s="20" t="s">
        <v>122</v>
      </c>
      <c r="DB107" s="503">
        <f t="shared" si="87"/>
        <v>0</v>
      </c>
      <c r="DC107" s="127">
        <v>0</v>
      </c>
      <c r="DD107" s="127">
        <v>0</v>
      </c>
      <c r="DE107" s="127">
        <v>0</v>
      </c>
      <c r="DF107" s="127">
        <v>0</v>
      </c>
      <c r="DG107" s="127">
        <v>0</v>
      </c>
      <c r="DH107" s="127">
        <v>0</v>
      </c>
      <c r="DI107" s="127">
        <v>0</v>
      </c>
      <c r="DJ107" s="127">
        <v>0</v>
      </c>
      <c r="DK107" s="127">
        <v>0</v>
      </c>
      <c r="DL107" s="127">
        <v>0</v>
      </c>
      <c r="DM107" s="304">
        <f>INDEX(Input!$1:$1048576,DM$93,$C107*2+6)</f>
        <v>21036.84210526316</v>
      </c>
      <c r="DN107" s="20">
        <v>0</v>
      </c>
      <c r="DO107" s="20">
        <v>0</v>
      </c>
      <c r="DP107" s="20">
        <v>0</v>
      </c>
      <c r="DQ107" s="20">
        <v>0</v>
      </c>
      <c r="DR107" s="20">
        <v>0</v>
      </c>
      <c r="DS107" s="20">
        <f>INDEX(Input!$1:$1048576,DS$93,$C107*2+6)</f>
        <v>0.6</v>
      </c>
      <c r="DT107" s="20">
        <f>INDEX(Input!$1:$1048576,DT$93,$C107*2+6)</f>
        <v>0.55000000000000004</v>
      </c>
      <c r="DU107" s="20">
        <f>INDEX(Input!$1:$1048576,DU$93,$C107*2+6)</f>
        <v>0.52</v>
      </c>
      <c r="DV107" s="20">
        <f>INDEX(Input!$1:$1048576,DV$93,$C107*2+6)</f>
        <v>0.5</v>
      </c>
      <c r="DW107" s="20">
        <f>INDEX(Input!$1:$1048576,DW$93,$C107*2+6)</f>
        <v>0.45</v>
      </c>
      <c r="DX107" s="20"/>
      <c r="DY107" s="7">
        <v>9.6919803241300118E-2</v>
      </c>
      <c r="DZ107" s="7">
        <v>0</v>
      </c>
      <c r="EA107" s="7">
        <v>0.46483814297805748</v>
      </c>
      <c r="EB107" s="7">
        <v>0</v>
      </c>
      <c r="EC107" s="7">
        <v>0</v>
      </c>
      <c r="ED107" s="7">
        <v>0</v>
      </c>
      <c r="EE107" s="7">
        <v>0</v>
      </c>
      <c r="EF107" s="7">
        <v>0</v>
      </c>
      <c r="EG107" s="7">
        <v>0</v>
      </c>
      <c r="EH107" s="7">
        <v>1.8402200445098646E-2</v>
      </c>
      <c r="EI107" s="7">
        <v>5.3739557110571871E-2</v>
      </c>
      <c r="EJ107" s="7">
        <v>0.3394668490413198</v>
      </c>
      <c r="EK107" s="7">
        <v>0.48247712639938073</v>
      </c>
      <c r="EL107" s="7">
        <v>0.10591426700362866</v>
      </c>
      <c r="EM107" s="7">
        <v>4.891749793519079E-2</v>
      </c>
      <c r="EN107" s="7">
        <v>5.0761292963147478E-2</v>
      </c>
      <c r="EO107" s="7">
        <v>0.76765506488578406</v>
      </c>
      <c r="EP107" s="7">
        <v>7.9310896511250395E-2</v>
      </c>
      <c r="EQ107" s="7">
        <v>6.0469651977491427E-2</v>
      </c>
      <c r="ER107" s="7">
        <v>4.180309366232654E-2</v>
      </c>
      <c r="ES107" s="7">
        <v>0.38932455584545167</v>
      </c>
      <c r="ET107" s="7">
        <v>0.4382420537806424</v>
      </c>
      <c r="EU107" s="6">
        <v>1240</v>
      </c>
      <c r="EV107" s="6">
        <v>0</v>
      </c>
      <c r="EW107" s="6">
        <v>1240</v>
      </c>
      <c r="EX107" s="6">
        <v>0</v>
      </c>
      <c r="EY107" s="6">
        <v>2009.7221397149676</v>
      </c>
      <c r="EZ107" s="6">
        <v>2070</v>
      </c>
      <c r="FA107" s="6">
        <v>0</v>
      </c>
      <c r="FB107" s="6">
        <v>0</v>
      </c>
      <c r="FC107" s="6">
        <v>0</v>
      </c>
      <c r="FD107" s="6">
        <v>0</v>
      </c>
      <c r="FE107" s="6">
        <v>0</v>
      </c>
      <c r="FF107" s="6">
        <v>0</v>
      </c>
      <c r="FG107" s="6">
        <v>0</v>
      </c>
      <c r="FH107" s="6">
        <v>1171.2811379695615</v>
      </c>
      <c r="FI107" s="6">
        <v>1553.9796069512402</v>
      </c>
      <c r="FJ107" s="6">
        <v>2101.211011744741</v>
      </c>
      <c r="FK107" s="6">
        <v>1772.7139978623231</v>
      </c>
      <c r="FL107" s="6">
        <v>907.07682140966313</v>
      </c>
      <c r="FM107" s="6">
        <v>1769.7221397149676</v>
      </c>
      <c r="FN107" s="6">
        <v>0</v>
      </c>
      <c r="FO107" s="6">
        <v>0</v>
      </c>
      <c r="FP107" s="6">
        <v>0</v>
      </c>
      <c r="FQ107" s="6">
        <v>0</v>
      </c>
      <c r="FR107" s="6">
        <v>0</v>
      </c>
      <c r="FS107" s="6">
        <v>0</v>
      </c>
      <c r="FT107" s="7">
        <v>0.5617579462193576</v>
      </c>
      <c r="FU107" s="7">
        <v>4.891749793519079E-2</v>
      </c>
      <c r="FV107" s="7">
        <v>0.38932455584545167</v>
      </c>
      <c r="FW107" s="6">
        <v>1240</v>
      </c>
      <c r="FX107" s="6">
        <v>2009.7221397149679</v>
      </c>
      <c r="FY107" s="6">
        <v>2070</v>
      </c>
      <c r="FZ107" s="6">
        <v>1952.7147957719815</v>
      </c>
      <c r="GA107" s="6">
        <v>1600.7922625319025</v>
      </c>
      <c r="GB107" s="6">
        <v>18384.207737468096</v>
      </c>
      <c r="GC107" s="7">
        <v>1.0519917368675835E-2</v>
      </c>
      <c r="GD107" s="7">
        <v>1.022782493188582E-2</v>
      </c>
      <c r="GE107" s="7"/>
      <c r="GF107" s="7"/>
      <c r="GG107" s="7">
        <v>-2.7765658850111379E-2</v>
      </c>
      <c r="GH107" s="42">
        <v>1.5767580638007326</v>
      </c>
      <c r="GI107" s="6">
        <v>14275.533212850367</v>
      </c>
      <c r="GJ107" s="14">
        <v>0.50394797582841722</v>
      </c>
      <c r="GK107" s="14">
        <v>0.50887573065309732</v>
      </c>
      <c r="GL107" s="14">
        <v>0.49605202417158273</v>
      </c>
      <c r="GM107" s="14">
        <v>0.4911242693469024</v>
      </c>
      <c r="GO107" s="5">
        <v>343.14810671672558</v>
      </c>
      <c r="GP107" s="5">
        <v>319.49127229486811</v>
      </c>
      <c r="GQ107" s="5">
        <v>535.04305713031317</v>
      </c>
      <c r="GR107" s="5">
        <v>410.15490233172511</v>
      </c>
      <c r="GS107" s="5">
        <v>339.42744393800166</v>
      </c>
      <c r="GT107" s="5">
        <v>293.4407446948278</v>
      </c>
      <c r="GU107" s="5">
        <v>258.04012322764959</v>
      </c>
      <c r="GV107" s="39" t="s">
        <v>392</v>
      </c>
      <c r="GW107" s="5">
        <v>492.95833333333331</v>
      </c>
      <c r="GX107" s="5">
        <v>369.71875</v>
      </c>
      <c r="GY107" s="5">
        <v>295.77499999999998</v>
      </c>
      <c r="GZ107" s="5">
        <v>260.99022522677262</v>
      </c>
      <c r="HA107" s="5">
        <v>241.7574294051233</v>
      </c>
      <c r="HB107" s="39">
        <v>280.87322203061791</v>
      </c>
      <c r="HC107" s="5">
        <v>196.72187499999998</v>
      </c>
      <c r="HD107" s="5">
        <v>177.99289108187131</v>
      </c>
      <c r="HE107" s="5">
        <v>183.57344382591089</v>
      </c>
      <c r="HF107" s="5">
        <v>173.04000548245611</v>
      </c>
      <c r="HG107" s="5">
        <v>170.95638157894734</v>
      </c>
      <c r="HH107" s="39">
        <v>178.79255002831204</v>
      </c>
      <c r="HI107" s="16"/>
      <c r="HJ107" s="19" t="str">
        <f t="shared" si="107"/>
        <v>On</v>
      </c>
      <c r="HK107" s="1" t="str">
        <f t="shared" si="108"/>
        <v>On</v>
      </c>
      <c r="HL107" s="16"/>
      <c r="HM107" s="639">
        <f t="shared" si="42"/>
        <v>5.7455619280273196E-3</v>
      </c>
      <c r="HN107" s="639">
        <f t="shared" si="43"/>
        <v>5.0031960498701745E-4</v>
      </c>
      <c r="HO107" s="639">
        <f t="shared" si="44"/>
        <v>3.9819433988714835E-3</v>
      </c>
      <c r="HP107" s="644">
        <f>(FT107*$GD107-HM107)/$JF107*INDEX(Input!$1:$1048576,$JG$93,$C107*2+6)</f>
        <v>0</v>
      </c>
      <c r="HQ107" s="644">
        <f>(FU107*$GD107-HN107)/$JF107*INDEX(Input!$1:$1048576,$JG$93,$C107*2+6)</f>
        <v>0</v>
      </c>
      <c r="HR107" s="644">
        <f>(FV107*$GD107-HO107)/$JF107*INDEX(Input!$1:$1048576,$JG$93,$C107*2+6)</f>
        <v>0</v>
      </c>
      <c r="HS107" s="644">
        <f t="shared" si="45"/>
        <v>0</v>
      </c>
      <c r="HT107" s="644">
        <f t="shared" si="46"/>
        <v>0</v>
      </c>
      <c r="HU107" s="644">
        <f t="shared" si="47"/>
        <v>0</v>
      </c>
      <c r="HV107" s="648">
        <f t="shared" si="48"/>
        <v>0</v>
      </c>
      <c r="HW107" s="648">
        <f t="shared" si="49"/>
        <v>0</v>
      </c>
      <c r="HX107" s="648">
        <f t="shared" si="50"/>
        <v>0</v>
      </c>
      <c r="HY107" s="644">
        <f>INDEX(Input!$1:$1048576,HY$93,$C107*2+6)*INDEX(Input!$1:$1048576,$JG$93,$C107*2+6)</f>
        <v>110.00000000000001</v>
      </c>
      <c r="HZ107" s="644">
        <f>INDEX(Input!$1:$1048576,HZ$93,$C107*2+6)*INDEX(Input!$1:$1048576,$JG$93,$C107*2+6)</f>
        <v>157</v>
      </c>
      <c r="IA107" s="644">
        <f>INDEX(Input!$1:$1048576,IA$93,$C107*2+6)*INDEX(Input!$1:$1048576,$JG$93,$C107*2+6)</f>
        <v>179</v>
      </c>
      <c r="IB107" s="644">
        <f t="shared" si="88"/>
        <v>110</v>
      </c>
      <c r="IC107" s="644">
        <f t="shared" ref="IC107" si="123">MAX(HZ107+HQ107+HT107+HW107,0%)</f>
        <v>157</v>
      </c>
      <c r="ID107" s="644">
        <f>IF(AND(INDEX(Input!$1:$1048576,IA$93,$C107*2+7)="TOS",Y107&lt;=INDEX(Y:Y,MATCH(C107*1000+2,A:A))),0,1)*MAX(IA107+HR107+HU107+HX107,0%)</f>
        <v>179</v>
      </c>
      <c r="IE107" s="128">
        <f t="shared" ref="IE107" si="124">IB107/SUM($IB107:$ID107)</f>
        <v>0.24663677130044842</v>
      </c>
      <c r="IF107" s="128">
        <f t="shared" ref="IF107" si="125">IC107/SUM($IB107:$ID107)</f>
        <v>0.35201793721973096</v>
      </c>
      <c r="IG107" s="128">
        <f t="shared" ref="IG107" si="126">ID107/SUM($IB107:$ID107)</f>
        <v>0.40134529147982062</v>
      </c>
      <c r="IH107" s="21"/>
      <c r="II107" s="19">
        <f t="shared" si="53"/>
        <v>1240</v>
      </c>
      <c r="IJ107" s="19">
        <f t="shared" si="54"/>
        <v>2009.7221397149679</v>
      </c>
      <c r="IK107" s="19">
        <f t="shared" si="55"/>
        <v>2070</v>
      </c>
      <c r="IL107" s="19">
        <f t="shared" si="91"/>
        <v>0</v>
      </c>
      <c r="IM107" s="19">
        <f t="shared" ref="IM107" si="127">FX107-IJ107</f>
        <v>0</v>
      </c>
      <c r="IN107" s="19">
        <f t="shared" ref="IN107" si="128">FY107-IK107</f>
        <v>0</v>
      </c>
      <c r="IO107" s="39">
        <f t="shared" si="57"/>
        <v>0</v>
      </c>
      <c r="IP107" s="39">
        <f t="shared" si="58"/>
        <v>0</v>
      </c>
      <c r="IQ107" s="39">
        <f t="shared" si="59"/>
        <v>0</v>
      </c>
      <c r="IR107" s="39">
        <v>0</v>
      </c>
      <c r="IS107" s="39">
        <v>0</v>
      </c>
      <c r="IT107" s="39">
        <v>0</v>
      </c>
      <c r="IU107" s="39">
        <v>0</v>
      </c>
      <c r="IV107" s="39">
        <v>0</v>
      </c>
      <c r="IW107" s="39">
        <v>0</v>
      </c>
      <c r="IX107" s="39">
        <f>INDEX(Input!$1:$1048576,IX$93,$C107*2+6)+INDEX(Input!$1:$1048576,IX$94,$C107*2+6)</f>
        <v>1270</v>
      </c>
      <c r="IY107" s="39">
        <f>INDEX(Input!$1:$1048576,IY$93,$C107*2+6)+INDEX(Input!$1:$1048576,IY$94,$C107*2+6)</f>
        <v>2130.0624533823611</v>
      </c>
      <c r="IZ107" s="39">
        <f>INDEX(Input!$1:$1048576,IZ$93,$C107*2+6)+INDEX(Input!$1:$1048576,IZ$94,$C107*2+6)</f>
        <v>4373.7164157747848</v>
      </c>
      <c r="JA107" s="19">
        <f t="shared" ref="JA107" si="129">(IL107+IO107+IR107+IU107+IX107)</f>
        <v>1270</v>
      </c>
      <c r="JB107" s="19">
        <f t="shared" ref="JB107" si="130">(IM107+IP107+IS107+IV107+IY107)</f>
        <v>2130.0624533823611</v>
      </c>
      <c r="JC107" s="19">
        <f t="shared" ref="JC107" si="131">(IN107+IQ107+IT107+IW107+IZ107)</f>
        <v>4373.7164157747848</v>
      </c>
      <c r="JD107" s="19">
        <f t="shared" ref="JD107" si="132">SUMPRODUCT(IE107:IG107,JA107:JC107)</f>
        <v>2818.4193802796353</v>
      </c>
      <c r="JE107" s="21"/>
      <c r="JF107" s="1">
        <f t="shared" si="60"/>
        <v>1.022782493188582E-2</v>
      </c>
      <c r="JG107" s="15">
        <f>INDEX(Input!$1:$1048576,JG$93,$C107*2+6)/(1+VLOOKUP(C107*1000+INDEX(Input!$1:$1048576,JG$93+1,$C107*2+6),$A:$KK,$JK$92,FALSE))</f>
        <v>446</v>
      </c>
      <c r="JH107" s="1">
        <f t="shared" si="94"/>
        <v>0</v>
      </c>
      <c r="JI107" s="1">
        <f t="shared" si="95"/>
        <v>0</v>
      </c>
      <c r="JJ107" s="1">
        <f t="shared" si="96"/>
        <v>0</v>
      </c>
      <c r="JK107" s="1">
        <f t="shared" ref="JK107" si="133">SUM(JH107:JJ107)</f>
        <v>0</v>
      </c>
      <c r="JL107" s="15">
        <f t="shared" ref="JL107" si="134">JG107*JK107</f>
        <v>0</v>
      </c>
      <c r="JM107" s="15">
        <f>JG107+JL107</f>
        <v>446</v>
      </c>
      <c r="JN107" s="21"/>
      <c r="JO107" s="19">
        <f>INDEX(Input!$1:$1048576,JO$93,$C107*2+6)</f>
        <v>5995.5</v>
      </c>
      <c r="JP107" s="19">
        <f>INDEX(Input!$1:$1048576,JP$93,$C107*2+6)</f>
        <v>2818.4193802796353</v>
      </c>
      <c r="JQ107" s="39">
        <f t="shared" ref="JQ107" si="135">JO107-JD107</f>
        <v>3177.0806197203647</v>
      </c>
      <c r="JR107" s="39">
        <f>JD107-JP107</f>
        <v>0</v>
      </c>
      <c r="JS107" s="39">
        <f t="shared" ref="JS107" si="136">JM107*JD107/1000000</f>
        <v>1.2570150436047174</v>
      </c>
      <c r="JT107" s="39">
        <f t="shared" ref="JT107" si="137">(JD107*JM107-JP107*JG107)/1000000</f>
        <v>0</v>
      </c>
      <c r="JU107" s="385">
        <f>(JQ107*JM107-INDEX(Input!$1:$1048576,Input!A$18,$C107*2+6)*JL107*INDEX(Input!$1:$1048576,Input!A$19,$C107*2+6))/1000000</f>
        <v>1.4169779563952827</v>
      </c>
      <c r="JV107" s="39">
        <f t="shared" ref="JV107" si="138">JU107-(JO107-JP107)*JG107/1000000</f>
        <v>0</v>
      </c>
      <c r="JW107" s="1">
        <f>JV107/(JU107-JV107)</f>
        <v>0</v>
      </c>
      <c r="JX107" s="19">
        <f t="shared" ref="JX107" si="139">IF(JL107=0,0,JT107/JL107)*1000000</f>
        <v>0</v>
      </c>
      <c r="JZ107" s="468"/>
      <c r="KA107" s="469"/>
      <c r="KB107" s="469">
        <f t="shared" si="110"/>
        <v>2.9286733661474216</v>
      </c>
      <c r="KI107" s="473">
        <f t="shared" si="111"/>
        <v>0</v>
      </c>
      <c r="KJ107" s="473">
        <f t="shared" si="101"/>
        <v>0</v>
      </c>
      <c r="KK107" s="473">
        <f t="shared" si="102"/>
        <v>0</v>
      </c>
      <c r="KN107" s="544">
        <f t="shared" si="114"/>
        <v>1002</v>
      </c>
      <c r="KO107" s="541">
        <f t="shared" si="64"/>
        <v>-4.0990238604485807E-3</v>
      </c>
      <c r="KP107" s="546">
        <f t="shared" si="65"/>
        <v>-23.979820627802663</v>
      </c>
      <c r="KQ107" s="546">
        <f t="shared" si="66"/>
        <v>-20.896819739016337</v>
      </c>
      <c r="KR107" s="548">
        <f t="shared" si="67"/>
        <v>2.930821213831166</v>
      </c>
      <c r="KS107" s="548">
        <f t="shared" si="68"/>
        <v>3.363218321140502</v>
      </c>
      <c r="KT107" s="473">
        <f t="shared" si="112"/>
        <v>238.28695973331548</v>
      </c>
      <c r="KU107" s="663">
        <f t="shared" si="103"/>
        <v>6.1810536644432998</v>
      </c>
      <c r="KV107" s="117"/>
    </row>
    <row r="108" spans="1:310" s="26" customFormat="1" ht="15">
      <c r="A108" s="561">
        <f t="shared" si="122"/>
        <v>1008</v>
      </c>
      <c r="B108" s="561">
        <f t="shared" si="104"/>
        <v>8</v>
      </c>
      <c r="C108" s="561">
        <f t="shared" si="105"/>
        <v>1</v>
      </c>
      <c r="D108" s="561" t="s">
        <v>569</v>
      </c>
      <c r="E108" s="475">
        <f>INDEX(Input!$1:$1048576,E$93,$C108*2+MIN($B108,2)+5)</f>
        <v>1229</v>
      </c>
      <c r="F108" s="475">
        <f>INDEX(Input!$1:$1048576,F$93,$C108*2+MIN($B108,2)+5)</f>
        <v>0</v>
      </c>
      <c r="G108" s="475">
        <f>INDEX(Input!$1:$1048576,G$93,$C108*2+MIN($B108,2)+5)</f>
        <v>0</v>
      </c>
      <c r="H108" s="475">
        <f>INDEX(Input!$1:$1048576,H$93,$C108*2+MIN($B108,2)+5)</f>
        <v>0</v>
      </c>
      <c r="I108" s="476">
        <f>INDEX(Input!$1:$1048576,I$93,$C108*2+MIN($B108,2)+5)</f>
        <v>0.7</v>
      </c>
      <c r="J108" s="476" t="str">
        <f>INDEX(Input!$1:$1048576,J$93,$C108*2+MIN($B108,2)+5)</f>
        <v>Market</v>
      </c>
      <c r="K108" s="476" t="str">
        <f>INDEX(Input!$1:$1048576,K$93,$C108*2+MIN($B108,2)+5)</f>
        <v>Market</v>
      </c>
      <c r="L108" s="476" t="str">
        <f>INDEX(Input!$1:$1048576,L$93,$C108*2+MIN($B108,2)+5)</f>
        <v>Market</v>
      </c>
      <c r="M108" s="476" t="str">
        <f>INDEX(Input!$1:$1048576,M$93,$C108*2+MIN($B108,2)+5)</f>
        <v>Market</v>
      </c>
      <c r="N108" s="476" t="str">
        <f>INDEX(Input!$1:$1048576,N$93,$C108*2+MIN($B108,2)+5)</f>
        <v>Market</v>
      </c>
      <c r="O108" s="476" t="str">
        <f>INDEX(Input!$1:$1048576,O$93,$C108*2+MIN($B108,2)+5)</f>
        <v>Market</v>
      </c>
      <c r="P108" s="476" t="str">
        <f>INDEX(Input!$1:$1048576,P$93,$C108*2+MIN($B108,2)+5)</f>
        <v>N</v>
      </c>
      <c r="Q108" s="477">
        <f>INDEX(Input!$1:$1048576,Q$93,$C108*2+MIN($B108,2)+5)</f>
        <v>0</v>
      </c>
      <c r="R108" s="478">
        <f>IFERROR(MAX(0,INDEX(Input!$1:$1048576,R$93,$C108*2+MIN($B108,2)+5)-0%,),"Market")</f>
        <v>0</v>
      </c>
      <c r="S108" s="478">
        <f>IFERROR(MAX(0,INDEX(Input!$1:$1048576,S$93,$C108*2+MIN($B108,2)+5)-0%,),"Market")</f>
        <v>0</v>
      </c>
      <c r="T108" s="478">
        <f>IFERROR(MAX(0,INDEX(Input!$1:$1048576,T$93,$C108*2+MIN($B108,2)+5)-0%,),"Market")</f>
        <v>0</v>
      </c>
      <c r="U108" s="478">
        <f>IFERROR(MAX(0,INDEX(Input!$1:$1048576,U$93,$C108*2+MIN($B108,2)+5)-0%,),"Market")</f>
        <v>0</v>
      </c>
      <c r="V108" s="478">
        <f>IFERROR(MAX(0,INDEX(Input!$1:$1048576,V$93,$C108*2+MIN($B108,2)+5)-0%,),"Market")</f>
        <v>1.9E-2</v>
      </c>
      <c r="W108" s="885">
        <f>IFERROR(MAX(0,INDEX(Input!$1:$1048576,W$93,$C108*2+MIN($B108,2)+5)-0%,),"Market")</f>
        <v>3.9E-2</v>
      </c>
      <c r="X108" s="476" t="str">
        <f>INDEX(Input!$1:$1048576,X$93,$C108*2+MIN($B108,2)+5)</f>
        <v>Y</v>
      </c>
      <c r="Y108" s="475">
        <f>INDEX(Input!$1:$1048576,Y$93,$C108*2+MIN($B108,2)+5)</f>
        <v>1942</v>
      </c>
      <c r="Z108" s="477">
        <f>INDEX(Input!$1:$1048576,Z$93,$C108*2+MIN($B108,2)+5)</f>
        <v>0</v>
      </c>
      <c r="AA108" s="475">
        <f>INDEX(Input!$1:$1048576,AA$93,$C108*2+MIN($B108,2)+5)</f>
        <v>0</v>
      </c>
      <c r="AB108" s="476">
        <f>INDEX(Input!$1:$1048576,AB$93,$C108*2+MIN($B108,2)+5)</f>
        <v>0.27</v>
      </c>
      <c r="AC108" s="475">
        <f>INDEX(Input!$1:$1048576,AC$93,$C108*2+MIN($B108,2)+5)</f>
        <v>0</v>
      </c>
      <c r="AD108" s="476">
        <f>INDEX(Input!$1:$1048576,AD$93,$C108*2+MIN($B108,2)+5)</f>
        <v>0.27</v>
      </c>
      <c r="AE108" s="475">
        <f>INDEX(Input!$1:$1048576,AE$93,$C108*2+MIN($B108,2)+5)</f>
        <v>0</v>
      </c>
      <c r="AF108" s="476">
        <f>INDEX(Input!$1:$1048576,AF$93,$C108*2+MIN($B108,2)+5)</f>
        <v>0.38</v>
      </c>
      <c r="AG108" s="475">
        <f>INDEX(Input!$1:$1048576,AG$93,$C108*2+MIN($B108,2)+5)</f>
        <v>0</v>
      </c>
      <c r="AH108" s="476">
        <f>INDEX(Input!$1:$1048576,AH$93,$C108*2+MIN($B108,2)+5)</f>
        <v>0</v>
      </c>
      <c r="AI108" s="475">
        <f>INDEX(Input!$1:$1048576,AI$93,$C108*2+MIN($B108,2)+5)</f>
        <v>0</v>
      </c>
      <c r="AJ108" s="476">
        <f>INDEX(Input!$1:$1048576,AJ$93,$C108*2+MIN($B108,2)+5)</f>
        <v>0.27</v>
      </c>
      <c r="AK108" s="150">
        <f>ROUND(INDEX(Input!$1:$1048576,AK$93,$C107*2+MIN($B108,1)+5)+(Y108-VLOOKUP($C108*1000+1,$A:$HH,Y$92,FALSE)),0)</f>
        <v>3757</v>
      </c>
      <c r="AL108" s="150">
        <f>ROUND(INDEX(Input!$1:$1048576,AL$93,$C107*2+MIN($B108,1)+5)-(Y108-VLOOKUP($C108*1000+1,$A:$HH,Y$92,FALSE))/36,0)</f>
        <v>4113</v>
      </c>
      <c r="AM108" s="32" t="str">
        <f t="shared" si="118"/>
        <v>std/std/std/std</v>
      </c>
      <c r="AN108" s="32" t="str">
        <f t="shared" si="119"/>
        <v>$0 + 0/0/0/1.9/3.9</v>
      </c>
      <c r="AO108" s="32" t="str">
        <f t="shared" si="120"/>
        <v>0/0/0/1.9/3.9</v>
      </c>
      <c r="AP108" s="32" t="str">
        <f t="shared" si="73"/>
        <v>0/0.9/1.9/3.9</v>
      </c>
      <c r="AQ108" s="536">
        <f t="shared" si="39"/>
        <v>0.24773569190356629</v>
      </c>
      <c r="AR108" s="32"/>
      <c r="AS108" s="302"/>
      <c r="AT108" s="3">
        <f t="shared" si="106"/>
        <v>8</v>
      </c>
      <c r="AU108" s="41" t="s">
        <v>121</v>
      </c>
      <c r="AV108" s="41" t="s">
        <v>116</v>
      </c>
      <c r="AW108" s="41" t="str">
        <f>INDEX(Input!$1:$1048576,AW$93,$C108*2+6)</f>
        <v>Kia</v>
      </c>
      <c r="AX108" s="41" t="str">
        <f>INDEX(Input!$1:$1048576,AX$93,$C108*2+6)</f>
        <v>Kia-LR - L1</v>
      </c>
      <c r="AY108" s="41" t="str">
        <f>IF(LEN(D108)=0,"",INDEX(Input!$1:$1048576,AY$93,$C108*2+6))</f>
        <v>Compact SUV (52)</v>
      </c>
      <c r="AZ108" s="41" t="str">
        <f>INDEX(Input!$1:$1048576,AZ$93,$C108*2+6)</f>
        <v>Kia Soul</v>
      </c>
      <c r="BA108" s="3">
        <f>INDEX(Input!$1:$1048576,BA$93,$C108*2+6)</f>
        <v>2020</v>
      </c>
      <c r="BB108" s="128">
        <f>INDEX(Input!$1:$1048576,BB$93,$C108*2+6)</f>
        <v>1</v>
      </c>
      <c r="BC108" s="128">
        <f>INDEX(Input!$1:$1048576,BC$93,$C108*2+6)</f>
        <v>0.7</v>
      </c>
      <c r="BD108" s="1">
        <f>INDEX(Input!$1:$1048576,BD$93,$C108*2+6)</f>
        <v>4.4999999999999998E-2</v>
      </c>
      <c r="BE108" s="1">
        <f>INDEX(Input!$1:$1048576,BE$93,$C108*2+6)</f>
        <v>4.4999999999999998E-2</v>
      </c>
      <c r="BF108" s="1">
        <f>INDEX(Input!$1:$1048576,BF$93,$C108*2+6)</f>
        <v>0.05</v>
      </c>
      <c r="BG108" s="1">
        <f>INDEX(Input!$1:$1048576,BG$93,$C108*2+6)</f>
        <v>5.45E-2</v>
      </c>
      <c r="BH108" s="1">
        <f>INDEX(Input!$1:$1048576,BH$93,$C108*2+6)</f>
        <v>5.45E-2</v>
      </c>
      <c r="BI108" s="1">
        <f>INDEX(Input!$1:$1048576,BI$93,$C108*2+6)</f>
        <v>0.05</v>
      </c>
      <c r="BJ108" s="1">
        <f>INDEX(Input!$1:$1048576,BJ$93,$C108*2+6)</f>
        <v>0.05</v>
      </c>
      <c r="BK108" s="1">
        <f>INDEX(Input!$1:$1048576,BK$93,$C108*2+6)</f>
        <v>0.05</v>
      </c>
      <c r="BL108" s="1">
        <f>INDEX(Input!$1:$1048576,BL$93,$C108*2+6)</f>
        <v>5.5E-2</v>
      </c>
      <c r="BM108" s="1">
        <f>INDEX(Input!$1:$1048576,BM$93,$C108*2+6)</f>
        <v>0.06</v>
      </c>
      <c r="BN108" s="1">
        <f>INDEX(Input!$1:$1048576,BN$93,$C108*2+6)</f>
        <v>4.4999999999999998E-2</v>
      </c>
      <c r="BO108" s="1">
        <f>INDEX(Input!$1:$1048576,BO$93,$C108*2+6)</f>
        <v>4.4999999999999998E-2</v>
      </c>
      <c r="BP108" s="1">
        <f>INDEX(Input!$1:$1048576,BP$93,$C108*2+6)</f>
        <v>0.05</v>
      </c>
      <c r="BQ108" s="1">
        <f>INDEX(Input!$1:$1048576,BQ$93,$C108*2+6)</f>
        <v>5.45E-2</v>
      </c>
      <c r="BR108" s="1">
        <f>INDEX(Input!$1:$1048576,BR$93,$C108*2+6)</f>
        <v>5.45E-2</v>
      </c>
      <c r="BS108" s="1">
        <f>INDEX(Input!$1:$1048576,BS$93,$C108*2+6)</f>
        <v>0.05</v>
      </c>
      <c r="BT108" s="1">
        <f>INDEX(Input!$1:$1048576,BT$93,$C108*2+6)</f>
        <v>0.05</v>
      </c>
      <c r="BU108" s="1">
        <f>INDEX(Input!$1:$1048576,BU$93,$C108*2+6)</f>
        <v>0.05</v>
      </c>
      <c r="BV108" s="1">
        <f>INDEX(Input!$1:$1048576,BV$93,$C108*2+6)</f>
        <v>5.5E-2</v>
      </c>
      <c r="BW108" s="1">
        <f>INDEX(Input!$1:$1048576,BW$93,$C108*2+6)</f>
        <v>0.06</v>
      </c>
      <c r="BX108" s="127">
        <f>INDEX(Input!$1:$1048576,BX$93,$C108*2+6)</f>
        <v>19985</v>
      </c>
      <c r="BY108" s="20">
        <f>INDEX(Input!$1:$1048576,BY$93,$C108*2+6)</f>
        <v>0.1</v>
      </c>
      <c r="BZ108" s="20">
        <f>INDEX(Input!$1:$1048576,BZ$93,$C108*2+6)</f>
        <v>0.1</v>
      </c>
      <c r="CA108" s="20">
        <f>INDEX(Input!$1:$1048576,CA$93,$C108*2+6)</f>
        <v>0.1</v>
      </c>
      <c r="CB108" s="20">
        <f>INDEX(Input!$1:$1048576,CB$93,$C108*2+6)</f>
        <v>0.1</v>
      </c>
      <c r="CC108" s="20">
        <f>INDEX(Input!$1:$1048576,CC$93,$C108*2+6)</f>
        <v>0.1</v>
      </c>
      <c r="CD108" s="384">
        <f>INDEX(Input!$1:$1048576,CD$93,$C108*2+6)</f>
        <v>0.1</v>
      </c>
      <c r="CE108" s="384">
        <f>INDEX(Input!$1:$1048576,CE$93,$C108*2+6)</f>
        <v>0.1</v>
      </c>
      <c r="CF108" s="384">
        <f>INDEX(Input!$1:$1048576,CF$93,$C108*2+6)</f>
        <v>0.1</v>
      </c>
      <c r="CG108" s="384">
        <f>INDEX(Input!$1:$1048576,CG$93,$C108*2+6)</f>
        <v>0.1</v>
      </c>
      <c r="CH108" s="384">
        <f>INDEX(Input!$1:$1048576,CH$93,$C108*2+6)</f>
        <v>0.1</v>
      </c>
      <c r="CI108" s="304">
        <f t="shared" si="74"/>
        <v>1229</v>
      </c>
      <c r="CJ108" s="16" t="str">
        <f>INDEX(Input!$1:$1048576,CJ$93,$C108*2+6)</f>
        <v>N</v>
      </c>
      <c r="CK108" s="1" t="str">
        <f t="shared" si="75"/>
        <v>Market</v>
      </c>
      <c r="CL108" s="1" t="str">
        <f t="shared" si="76"/>
        <v>Market</v>
      </c>
      <c r="CM108" s="1" t="str">
        <f t="shared" si="77"/>
        <v>Market</v>
      </c>
      <c r="CN108" s="1" t="str">
        <f t="shared" si="78"/>
        <v>Market</v>
      </c>
      <c r="CO108" s="1" t="str">
        <f t="shared" si="79"/>
        <v>Market</v>
      </c>
      <c r="CP108" s="304">
        <f t="shared" si="80"/>
        <v>0</v>
      </c>
      <c r="CQ108" s="1">
        <f t="shared" si="81"/>
        <v>0</v>
      </c>
      <c r="CR108" s="1">
        <f t="shared" si="82"/>
        <v>0</v>
      </c>
      <c r="CS108" s="1">
        <f t="shared" si="83"/>
        <v>0</v>
      </c>
      <c r="CT108" s="1">
        <f t="shared" si="84"/>
        <v>1.9E-2</v>
      </c>
      <c r="CU108" s="1">
        <f t="shared" si="85"/>
        <v>3.9E-2</v>
      </c>
      <c r="CV108" s="304">
        <f t="shared" si="86"/>
        <v>1942</v>
      </c>
      <c r="CW108" s="20" t="s">
        <v>122</v>
      </c>
      <c r="CX108" s="20" t="s">
        <v>122</v>
      </c>
      <c r="CY108" s="20" t="s">
        <v>122</v>
      </c>
      <c r="CZ108" s="20" t="s">
        <v>122</v>
      </c>
      <c r="DA108" s="20" t="s">
        <v>122</v>
      </c>
      <c r="DB108" s="503">
        <f t="shared" si="87"/>
        <v>0</v>
      </c>
      <c r="DC108" s="127">
        <v>0</v>
      </c>
      <c r="DD108" s="127">
        <v>0</v>
      </c>
      <c r="DE108" s="127">
        <v>0</v>
      </c>
      <c r="DF108" s="127">
        <v>0</v>
      </c>
      <c r="DG108" s="127">
        <v>0</v>
      </c>
      <c r="DH108" s="127">
        <v>0</v>
      </c>
      <c r="DI108" s="127">
        <v>0</v>
      </c>
      <c r="DJ108" s="127">
        <v>0</v>
      </c>
      <c r="DK108" s="127">
        <v>0</v>
      </c>
      <c r="DL108" s="127">
        <v>0</v>
      </c>
      <c r="DM108" s="304">
        <f>INDEX(Input!$1:$1048576,DM$93,$C108*2+6)</f>
        <v>21036.84210526316</v>
      </c>
      <c r="DN108" s="20">
        <v>0</v>
      </c>
      <c r="DO108" s="20">
        <v>0</v>
      </c>
      <c r="DP108" s="20">
        <v>0</v>
      </c>
      <c r="DQ108" s="20">
        <v>0</v>
      </c>
      <c r="DR108" s="20">
        <v>0</v>
      </c>
      <c r="DS108" s="20">
        <f>INDEX(Input!$1:$1048576,DS$93,$C108*2+6)</f>
        <v>0.6</v>
      </c>
      <c r="DT108" s="20">
        <f>INDEX(Input!$1:$1048576,DT$93,$C108*2+6)</f>
        <v>0.55000000000000004</v>
      </c>
      <c r="DU108" s="20">
        <f>INDEX(Input!$1:$1048576,DU$93,$C108*2+6)</f>
        <v>0.52</v>
      </c>
      <c r="DV108" s="20">
        <f>INDEX(Input!$1:$1048576,DV$93,$C108*2+6)</f>
        <v>0.5</v>
      </c>
      <c r="DW108" s="20">
        <f>INDEX(Input!$1:$1048576,DW$93,$C108*2+6)</f>
        <v>0.45</v>
      </c>
      <c r="DX108" s="20"/>
      <c r="DY108" s="7">
        <v>9.7472532669215337E-2</v>
      </c>
      <c r="DZ108" s="7">
        <v>0</v>
      </c>
      <c r="EA108" s="7">
        <v>0.4658039713967298</v>
      </c>
      <c r="EB108" s="7">
        <v>0</v>
      </c>
      <c r="EC108" s="7">
        <v>0</v>
      </c>
      <c r="ED108" s="7">
        <v>0</v>
      </c>
      <c r="EE108" s="7">
        <v>0</v>
      </c>
      <c r="EF108" s="7">
        <v>0</v>
      </c>
      <c r="EG108" s="7">
        <v>0</v>
      </c>
      <c r="EH108" s="7">
        <v>1.8402200445098656E-2</v>
      </c>
      <c r="EI108" s="7">
        <v>5.3739557110571871E-2</v>
      </c>
      <c r="EJ108" s="7">
        <v>0.33946684904131985</v>
      </c>
      <c r="EK108" s="7">
        <v>0.48247712639938095</v>
      </c>
      <c r="EL108" s="7">
        <v>0.10591426700362871</v>
      </c>
      <c r="EM108" s="7">
        <v>4.9019137420654751E-2</v>
      </c>
      <c r="EN108" s="7">
        <v>5.0824256578978502E-2</v>
      </c>
      <c r="EO108" s="7">
        <v>0.76815678085538341</v>
      </c>
      <c r="EP108" s="7">
        <v>7.9058197430733557E-2</v>
      </c>
      <c r="EQ108" s="7">
        <v>6.0271198631198973E-2</v>
      </c>
      <c r="ER108" s="7">
        <v>4.1689566503705214E-2</v>
      </c>
      <c r="ES108" s="7">
        <v>0.38770435851340007</v>
      </c>
      <c r="ET108" s="7">
        <v>0.43672349593405485</v>
      </c>
      <c r="EU108" s="6">
        <v>1270</v>
      </c>
      <c r="EV108" s="6">
        <v>0</v>
      </c>
      <c r="EW108" s="6">
        <v>1270</v>
      </c>
      <c r="EX108" s="6">
        <v>0</v>
      </c>
      <c r="EY108" s="6">
        <v>2039.7221397149676</v>
      </c>
      <c r="EZ108" s="6">
        <v>2085</v>
      </c>
      <c r="FA108" s="6">
        <v>0</v>
      </c>
      <c r="FB108" s="6">
        <v>0</v>
      </c>
      <c r="FC108" s="6">
        <v>0</v>
      </c>
      <c r="FD108" s="6">
        <v>0</v>
      </c>
      <c r="FE108" s="6">
        <v>0</v>
      </c>
      <c r="FF108" s="6">
        <v>0</v>
      </c>
      <c r="FG108" s="6">
        <v>0</v>
      </c>
      <c r="FH108" s="6">
        <v>1171.281137969562</v>
      </c>
      <c r="FI108" s="6">
        <v>1553.9796069512399</v>
      </c>
      <c r="FJ108" s="6">
        <v>2101.2110117447405</v>
      </c>
      <c r="FK108" s="6">
        <v>1772.7139978623225</v>
      </c>
      <c r="FL108" s="6">
        <v>907.07682140966324</v>
      </c>
      <c r="FM108" s="6">
        <v>1769.7221397149676</v>
      </c>
      <c r="FN108" s="6">
        <v>0</v>
      </c>
      <c r="FO108" s="6">
        <v>0</v>
      </c>
      <c r="FP108" s="6">
        <v>0</v>
      </c>
      <c r="FQ108" s="6">
        <v>0</v>
      </c>
      <c r="FR108" s="6">
        <v>0</v>
      </c>
      <c r="FS108" s="6">
        <v>0</v>
      </c>
      <c r="FT108" s="7">
        <v>0.56327650406594509</v>
      </c>
      <c r="FU108" s="7">
        <v>4.9019137420654751E-2</v>
      </c>
      <c r="FV108" s="7">
        <v>0.38770435851340007</v>
      </c>
      <c r="FW108" s="6">
        <v>1270.0000000000002</v>
      </c>
      <c r="FX108" s="6">
        <v>2039.7221397149676</v>
      </c>
      <c r="FY108" s="6">
        <v>2085</v>
      </c>
      <c r="FZ108" s="6">
        <v>1952.7147957719815</v>
      </c>
      <c r="GA108" s="6">
        <v>1623.7101675308295</v>
      </c>
      <c r="GB108" s="6">
        <v>18361.289832469171</v>
      </c>
      <c r="GC108" s="7">
        <v>1.0519917368675835E-2</v>
      </c>
      <c r="GD108" s="7">
        <v>1.0261567194351713E-2</v>
      </c>
      <c r="GE108" s="7"/>
      <c r="GF108" s="7"/>
      <c r="GG108" s="7">
        <v>-2.4558194258577255E-2</v>
      </c>
      <c r="GH108" s="42">
        <v>1.4917586870477881</v>
      </c>
      <c r="GI108" s="6">
        <v>15020.649078307759</v>
      </c>
      <c r="GJ108" s="14">
        <v>0.50394797582841733</v>
      </c>
      <c r="GK108" s="14">
        <v>0.50887573065309732</v>
      </c>
      <c r="GL108" s="14">
        <v>0.49605202417158267</v>
      </c>
      <c r="GM108" s="14">
        <v>0.49112426934690245</v>
      </c>
      <c r="GO108" s="5">
        <v>343.14810671672558</v>
      </c>
      <c r="GP108" s="5">
        <v>318.91892952659737</v>
      </c>
      <c r="GQ108" s="5">
        <v>535.04305713031317</v>
      </c>
      <c r="GR108" s="5">
        <v>410.15490233172511</v>
      </c>
      <c r="GS108" s="5">
        <v>339.42744393800166</v>
      </c>
      <c r="GT108" s="5">
        <v>293.4407446948278</v>
      </c>
      <c r="GU108" s="5">
        <v>258.04012322764959</v>
      </c>
      <c r="GV108" s="39" t="s">
        <v>392</v>
      </c>
      <c r="GW108" s="5">
        <v>492.125</v>
      </c>
      <c r="GX108" s="5">
        <v>369.09375</v>
      </c>
      <c r="GY108" s="5">
        <v>295.27499999999998</v>
      </c>
      <c r="GZ108" s="5">
        <v>260.54902799031458</v>
      </c>
      <c r="HA108" s="5">
        <v>241.34874471337258</v>
      </c>
      <c r="HB108" s="39">
        <v>280.39841310148165</v>
      </c>
      <c r="HC108" s="5">
        <v>196.06562499999998</v>
      </c>
      <c r="HD108" s="5">
        <v>177.54497441520465</v>
      </c>
      <c r="HE108" s="5">
        <v>183.15757844129553</v>
      </c>
      <c r="HF108" s="5">
        <v>172.69313048245613</v>
      </c>
      <c r="HG108" s="5">
        <v>170.66888157894735</v>
      </c>
      <c r="HH108" s="39">
        <v>178.35090729075</v>
      </c>
      <c r="HI108" s="16"/>
      <c r="HJ108" s="19" t="str">
        <f t="shared" si="107"/>
        <v>On</v>
      </c>
      <c r="HK108" s="1" t="str">
        <f t="shared" si="108"/>
        <v>On</v>
      </c>
      <c r="HL108" s="16"/>
      <c r="HM108" s="639">
        <f t="shared" si="42"/>
        <v>5.7455619280273196E-3</v>
      </c>
      <c r="HN108" s="639">
        <f t="shared" si="43"/>
        <v>5.0031960498701745E-4</v>
      </c>
      <c r="HO108" s="639">
        <f t="shared" si="44"/>
        <v>3.9819433988714835E-3</v>
      </c>
      <c r="HP108" s="644">
        <f>(FT108*$GD108-HM108)/$JF108*INDEX(Input!$1:$1048576,$JG$93,$C108*2+6)</f>
        <v>1.5060723450988718</v>
      </c>
      <c r="HQ108" s="644">
        <f>(FU108*$GD108-HN108)/$JF108*INDEX(Input!$1:$1048576,$JG$93,$C108*2+6)</f>
        <v>0.11745714235724768</v>
      </c>
      <c r="HR108" s="644">
        <f>(FV108*$GD108-HO108)/$JF108*INDEX(Input!$1:$1048576,$JG$93,$C108*2+6)</f>
        <v>-0.15214635761088185</v>
      </c>
      <c r="HS108" s="644">
        <f t="shared" si="45"/>
        <v>-0.56118802809824619</v>
      </c>
      <c r="HT108" s="644">
        <f t="shared" si="46"/>
        <v>0.46619376172519378</v>
      </c>
      <c r="HU108" s="644">
        <f t="shared" si="47"/>
        <v>0.45930031201859461</v>
      </c>
      <c r="HV108" s="648">
        <f t="shared" si="48"/>
        <v>0</v>
      </c>
      <c r="HW108" s="648">
        <f t="shared" si="49"/>
        <v>0</v>
      </c>
      <c r="HX108" s="648">
        <f t="shared" si="50"/>
        <v>0</v>
      </c>
      <c r="HY108" s="644">
        <f>INDEX(Input!$1:$1048576,HY$93,$C108*2+6)*INDEX(Input!$1:$1048576,$JG$93,$C108*2+6)</f>
        <v>110.00000000000001</v>
      </c>
      <c r="HZ108" s="644">
        <f>INDEX(Input!$1:$1048576,HZ$93,$C108*2+6)*INDEX(Input!$1:$1048576,$JG$93,$C108*2+6)</f>
        <v>157</v>
      </c>
      <c r="IA108" s="644">
        <f>INDEX(Input!$1:$1048576,IA$93,$C108*2+6)*INDEX(Input!$1:$1048576,$JG$93,$C108*2+6)</f>
        <v>179</v>
      </c>
      <c r="IB108" s="644">
        <f t="shared" si="88"/>
        <v>110.94488431700066</v>
      </c>
      <c r="IC108" s="644">
        <f t="shared" si="89"/>
        <v>157.58365090408245</v>
      </c>
      <c r="ID108" s="644">
        <f>IF(AND(INDEX(Input!$1:$1048576,IA$93,$C108*2+7)="TOS",Y108&lt;=INDEX(Y:Y,MATCH(C108*1000+2,A:A))),0,1)*MAX(IA108+HR108+HU108+HX108,0%)</f>
        <v>179.30715395440771</v>
      </c>
      <c r="IE108" s="128">
        <f t="shared" si="90"/>
        <v>0.24773569190356629</v>
      </c>
      <c r="IF108" s="128">
        <f t="shared" si="51"/>
        <v>0.35187827748656952</v>
      </c>
      <c r="IG108" s="128">
        <f t="shared" si="52"/>
        <v>0.40038603060986427</v>
      </c>
      <c r="IH108" s="21"/>
      <c r="II108" s="19">
        <f t="shared" si="53"/>
        <v>1240</v>
      </c>
      <c r="IJ108" s="19">
        <f t="shared" si="54"/>
        <v>2009.7221397149679</v>
      </c>
      <c r="IK108" s="19">
        <f t="shared" si="55"/>
        <v>2070</v>
      </c>
      <c r="IL108" s="19">
        <f t="shared" si="91"/>
        <v>30.000000000000227</v>
      </c>
      <c r="IM108" s="19">
        <f t="shared" si="56"/>
        <v>29.999999999999773</v>
      </c>
      <c r="IN108" s="19">
        <f t="shared" si="56"/>
        <v>15</v>
      </c>
      <c r="IO108" s="39">
        <f t="shared" si="57"/>
        <v>0</v>
      </c>
      <c r="IP108" s="39">
        <f t="shared" si="58"/>
        <v>0</v>
      </c>
      <c r="IQ108" s="39">
        <f t="shared" si="59"/>
        <v>0</v>
      </c>
      <c r="IR108" s="39">
        <v>0</v>
      </c>
      <c r="IS108" s="39">
        <v>0</v>
      </c>
      <c r="IT108" s="39">
        <v>0</v>
      </c>
      <c r="IU108" s="39">
        <v>0</v>
      </c>
      <c r="IV108" s="39">
        <v>0</v>
      </c>
      <c r="IW108" s="39">
        <v>0</v>
      </c>
      <c r="IX108" s="39">
        <f>INDEX(Input!$1:$1048576,IX$93,$C108*2+6)+INDEX(Input!$1:$1048576,IX$94,$C108*2+6)</f>
        <v>1270</v>
      </c>
      <c r="IY108" s="39">
        <f>INDEX(Input!$1:$1048576,IY$93,$C108*2+6)+INDEX(Input!$1:$1048576,IY$94,$C108*2+6)</f>
        <v>2130.0624533823611</v>
      </c>
      <c r="IZ108" s="39">
        <f>INDEX(Input!$1:$1048576,IZ$93,$C108*2+6)+INDEX(Input!$1:$1048576,IZ$94,$C108*2+6)</f>
        <v>4373.7164157747848</v>
      </c>
      <c r="JA108" s="19">
        <f t="shared" si="92"/>
        <v>1300.0000000000002</v>
      </c>
      <c r="JB108" s="19">
        <f t="shared" si="92"/>
        <v>2160.0624533823611</v>
      </c>
      <c r="JC108" s="19">
        <f t="shared" si="92"/>
        <v>4388.7164157747848</v>
      </c>
      <c r="JD108" s="19">
        <f t="shared" si="93"/>
        <v>2839.3162000186517</v>
      </c>
      <c r="JE108" s="21"/>
      <c r="JF108" s="1">
        <f t="shared" si="60"/>
        <v>1.022782493188582E-2</v>
      </c>
      <c r="JG108" s="15">
        <f>INDEX(Input!$1:$1048576,JG$93,$C108*2+6)/(1+VLOOKUP(C108*1000+INDEX(Input!$1:$1048576,JG$93+1,$C108*2+6),$A:$KK,$JK$92,FALSE))</f>
        <v>446</v>
      </c>
      <c r="JH108" s="1">
        <f t="shared" si="94"/>
        <v>3.2990653135543443E-3</v>
      </c>
      <c r="JI108" s="1">
        <f t="shared" si="95"/>
        <v>8.168296987568211E-4</v>
      </c>
      <c r="JJ108" s="1">
        <f t="shared" si="96"/>
        <v>0</v>
      </c>
      <c r="JK108" s="1">
        <f t="shared" si="97"/>
        <v>4.1158950123111656E-3</v>
      </c>
      <c r="JL108" s="15">
        <f t="shared" si="98"/>
        <v>1.8356891754907798</v>
      </c>
      <c r="JM108" s="15">
        <f t="shared" ref="JM108" si="140">JG108+JL108</f>
        <v>447.83568917549076</v>
      </c>
      <c r="JN108" s="21"/>
      <c r="JO108" s="19">
        <f>INDEX(Input!$1:$1048576,JO$93,$C108*2+6)</f>
        <v>5995.5</v>
      </c>
      <c r="JP108" s="19">
        <f>INDEX(Input!$1:$1048576,JP$93,$C108*2+6)</f>
        <v>2818.4193802796353</v>
      </c>
      <c r="JQ108" s="39">
        <f t="shared" si="109"/>
        <v>3156.1837999813483</v>
      </c>
      <c r="JR108" s="39">
        <f>JD108-JP108</f>
        <v>20.896819739016337</v>
      </c>
      <c r="JS108" s="39">
        <f t="shared" si="62"/>
        <v>1.2715471272224883</v>
      </c>
      <c r="JT108" s="39">
        <f t="shared" si="100"/>
        <v>1.4532083617771044E-2</v>
      </c>
      <c r="JU108" s="385">
        <f>(JQ108*JM108-INDEX(Input!$1:$1048576,Input!A$18,$C108*2+6)*JL108*INDEX(Input!$1:$1048576,Input!A$19,$C108*2+6))/1000000</f>
        <v>1.4134517472291663</v>
      </c>
      <c r="JV108" s="39">
        <f t="shared" si="63"/>
        <v>-3.5262091661163453E-3</v>
      </c>
      <c r="JW108" s="1">
        <f t="shared" si="117"/>
        <v>-2.4885420060357438E-3</v>
      </c>
      <c r="JX108" s="19">
        <f t="shared" si="113"/>
        <v>7916.4184284552557</v>
      </c>
      <c r="JZ108" s="341"/>
      <c r="KA108" s="342"/>
      <c r="KB108" s="469">
        <f t="shared" si="110"/>
        <v>2.9286733661474216</v>
      </c>
      <c r="KI108" s="473">
        <f t="shared" si="111"/>
        <v>0.94488431700064268</v>
      </c>
      <c r="KJ108" s="473">
        <f t="shared" si="101"/>
        <v>0.58365090408244669</v>
      </c>
      <c r="KK108" s="473">
        <f t="shared" si="102"/>
        <v>0.30715395440770976</v>
      </c>
      <c r="KN108" s="544">
        <f t="shared" si="114"/>
        <v>1002</v>
      </c>
      <c r="KO108" s="541">
        <f t="shared" si="64"/>
        <v>0</v>
      </c>
      <c r="KP108" s="546">
        <f t="shared" si="65"/>
        <v>0</v>
      </c>
      <c r="KQ108" s="546">
        <f t="shared" si="66"/>
        <v>0</v>
      </c>
      <c r="KR108" s="548" t="e">
        <f t="shared" si="67"/>
        <v>#DIV/0!</v>
      </c>
      <c r="KS108" s="548" t="e">
        <f t="shared" si="68"/>
        <v>#DIV/0!</v>
      </c>
      <c r="KT108" s="473">
        <f>KT107</f>
        <v>238.28695973331548</v>
      </c>
      <c r="KU108" s="663">
        <f t="shared" si="103"/>
        <v>6.1897870671338353</v>
      </c>
      <c r="KV108" s="117"/>
    </row>
    <row r="109" spans="1:310" s="26" customFormat="1" ht="15">
      <c r="A109" s="561">
        <f t="shared" si="122"/>
        <v>1009</v>
      </c>
      <c r="B109" s="561">
        <f t="shared" si="104"/>
        <v>9</v>
      </c>
      <c r="C109" s="561">
        <f t="shared" si="105"/>
        <v>1</v>
      </c>
      <c r="D109" s="561" t="str">
        <f t="shared" ref="D109:D118" si="141">IF(E109=INDEX(E:E,MATCH(C109*1000+2,A:A,0)),"",E109-INDEX(E:E,MATCH(C109*1000+2,A:A,0))&amp;E$100&amp;", ")
&amp;IF(F109=INDEX(F:F,MATCH(C109*1000+2,A:A,0)),"",F109-INDEX(F:F,MATCH(C109*1000+2,A:A,0))&amp;F$100&amp;", ")
&amp;IF(AM109=INDEX(AM:AM,MATCH(C109*1000+2,A:A,0)),"",AM109&amp;AM$100&amp;", ")
&amp;IF(AP109=INDEX(AP:AP,MATCH(C109*1000+2,A:A,0)),"",AP109&amp;AP$100&amp;", ")
&amp;IF(Q109=INDEX(Q:Q,MATCH(C109*1000+2,A:A,0)),"",Q109-INDEX(Q:Q,MATCH(C109*1000+2,A:A,0))&amp;Q$100&amp;", ")
&amp;IF(Y109=INDEX(Y:Y,MATCH(C109*1000+2,A:A,0)),"",Y109-INDEX(Y:Y,MATCH(C109*1000+2,A:A,0))&amp;Y$100&amp;", ")
&amp;IF(Z109=INDEX(Z:Z,MATCH(C109*1000+2,A:A,0)),"",Z109-INDEX(Z:Z,MATCH(C109*1000+2,A:A,0))&amp;Z$100&amp;", ")
&amp;IF(AA109=INDEX(AA:AA,MATCH(C109*1000+2,A:A,0)),"",AA109-INDEX(AA:AA,MATCH(C109*1000+2,A:A,0))&amp;AA$100&amp;", ")
&amp;IF(AC109=INDEX(AC:AC,MATCH(C109*1000+2,A:A,0)),"",AC109-INDEX(AC:AC,MATCH(C109*1000+2,A:A,0))&amp;AC$100&amp;", ")
&amp;IF(AE109=INDEX(AE:AE,MATCH(C109*1000+2,A:A,0)),"",AE109-INDEX(AE:AE,MATCH(C109*1000+2,A:A,0))&amp;AE$100&amp;", ")
&amp;IF(AG109=INDEX(AG:AG,MATCH(C109*1000+2,A:A,0)),"",AG109-INDEX(AG:AG,MATCH(C109*1000+2,A:A,0))&amp;AG$100&amp;", ")
&amp;IF(AI109=INDEX(AI:AI,MATCH(C109*1000+2,A:A,0)),"",AI109-INDEX(AI:AI,MATCH(C109*1000+2,A:A,0))&amp;AI$100&amp;", ")</f>
        <v xml:space="preserve">250 CC, </v>
      </c>
      <c r="E109" s="475">
        <f>INDEX(Input!$1:$1048576,E$93,$C109*2+MIN($B109,2)+5)+IF(OR(BX109&gt;50000,INDEX(Input!$1:$1048576,E$93,$C109*2+MIN($B109,2)+5)&gt;0),0,250)+IF(BX109&gt;50000,500,250)*1</f>
        <v>1479</v>
      </c>
      <c r="F109" s="475">
        <f>INDEX(Input!$1:$1048576,F$93,$C109*2+MIN($B109,2)+5)</f>
        <v>0</v>
      </c>
      <c r="G109" s="475">
        <f>INDEX(Input!$1:$1048576,G$93,$C109*2+MIN($B109,2)+5)</f>
        <v>0</v>
      </c>
      <c r="H109" s="115">
        <f>INDEX(Input!$1:$1048576,H$93,$C109*2+MIN($B109,2)+5)</f>
        <v>0</v>
      </c>
      <c r="I109" s="118">
        <f>INDEX(Input!$1:$1048576,I$93,$C109*2+MIN($B109,2)+5)</f>
        <v>0.7</v>
      </c>
      <c r="J109" s="118" t="str">
        <f>INDEX(Input!$1:$1048576,J$93,$C109*2+MIN($B109,2)+5)</f>
        <v>Market</v>
      </c>
      <c r="K109" s="118" t="str">
        <f>INDEX(Input!$1:$1048576,K$93,$C109*2+MIN($B109,2)+5)</f>
        <v>Market</v>
      </c>
      <c r="L109" s="118" t="str">
        <f>INDEX(Input!$1:$1048576,L$93,$C109*2+MIN($B109,2)+5)</f>
        <v>Market</v>
      </c>
      <c r="M109" s="118" t="str">
        <f>INDEX(Input!$1:$1048576,M$93,$C109*2+MIN($B109,2)+5)</f>
        <v>Market</v>
      </c>
      <c r="N109" s="118" t="str">
        <f>INDEX(Input!$1:$1048576,N$93,$C109*2+MIN($B109,2)+5)</f>
        <v>Market</v>
      </c>
      <c r="O109" s="118" t="str">
        <f>INDEX(Input!$1:$1048576,O$93,$C109*2+MIN($B109,2)+5)</f>
        <v>Market</v>
      </c>
      <c r="P109" s="118" t="str">
        <f>INDEX(Input!$1:$1048576,P$93,$C109*2+MIN($B109,2)+5)</f>
        <v>N</v>
      </c>
      <c r="Q109" s="30">
        <f>INDEX(Input!$1:$1048576,Q$93,$C109*2+MIN($B109,2)+5)</f>
        <v>0</v>
      </c>
      <c r="R109" s="383">
        <f>INDEX(Input!$1:$1048576,R$93,$C109*2+MIN($B109,2)+5)</f>
        <v>0</v>
      </c>
      <c r="S109" s="383">
        <f>INDEX(Input!$1:$1048576,S$93,$C109*2+MIN($B109,2)+5)</f>
        <v>0</v>
      </c>
      <c r="T109" s="383">
        <f>INDEX(Input!$1:$1048576,T$93,$C109*2+MIN($B109,2)+5)</f>
        <v>0</v>
      </c>
      <c r="U109" s="383">
        <f>INDEX(Input!$1:$1048576,U$93,$C109*2+MIN($B109,2)+5)</f>
        <v>0</v>
      </c>
      <c r="V109" s="383">
        <f>INDEX(Input!$1:$1048576,V$93,$C109*2+MIN($B109,2)+5)</f>
        <v>1.9E-2</v>
      </c>
      <c r="W109" s="884">
        <f>INDEX(Input!$1:$1048576,W$93,$C109*2+MIN($B109,2)+5)</f>
        <v>3.9E-2</v>
      </c>
      <c r="X109" s="118" t="str">
        <f>INDEX(Input!$1:$1048576,X$93,$C109*2+MIN($B109,2)+5)</f>
        <v>Y</v>
      </c>
      <c r="Y109" s="150">
        <f>INDEX(Input!$1:$1048576,Y$93,$C109*2+MIN($B109,2)+5)</f>
        <v>1942</v>
      </c>
      <c r="Z109" s="30">
        <f>INDEX(Input!$1:$1048576,Z$93,$C109*2+MIN($B109,2)+5)</f>
        <v>0</v>
      </c>
      <c r="AA109" s="115">
        <f>INDEX(Input!$1:$1048576,AA$93,$C109*2+MIN($B109,2)+5)</f>
        <v>0</v>
      </c>
      <c r="AB109" s="118">
        <f>INDEX(Input!$1:$1048576,AB$93,$C109*2+MIN($B109,2)+5)</f>
        <v>0.27</v>
      </c>
      <c r="AC109" s="115">
        <f>INDEX(Input!$1:$1048576,AC$93,$C109*2+MIN($B109,2)+5)</f>
        <v>0</v>
      </c>
      <c r="AD109" s="118">
        <f>INDEX(Input!$1:$1048576,AD$93,$C109*2+MIN($B109,2)+5)</f>
        <v>0.27</v>
      </c>
      <c r="AE109" s="115">
        <f>INDEX(Input!$1:$1048576,AE$93,$C109*2+MIN($B109,2)+5)</f>
        <v>0</v>
      </c>
      <c r="AF109" s="118">
        <f>INDEX(Input!$1:$1048576,AF$93,$C109*2+MIN($B109,2)+5)</f>
        <v>0.38</v>
      </c>
      <c r="AG109" s="115">
        <f>INDEX(Input!$1:$1048576,AG$93,$C109*2+MIN($B109,2)+5)</f>
        <v>0</v>
      </c>
      <c r="AH109" s="118">
        <f>INDEX(Input!$1:$1048576,AH$93,$C109*2+MIN($B109,2)+5)</f>
        <v>0</v>
      </c>
      <c r="AI109" s="115">
        <f>INDEX(Input!$1:$1048576,AI$93,$C109*2+MIN($B109,2)+5)</f>
        <v>0</v>
      </c>
      <c r="AJ109" s="118">
        <f>INDEX(Input!$1:$1048576,AJ$93,$C109*2+MIN($B109,2)+5)</f>
        <v>0.27</v>
      </c>
      <c r="AK109" s="150">
        <f>ROUND(INDEX(Input!$1:$1048576,AK$93,$C108*2+MIN($B109,1)+5)+(Y109-VLOOKUP($C109*1000+1,$A:$HH,Y$92,FALSE)),0)</f>
        <v>3757</v>
      </c>
      <c r="AL109" s="150">
        <f>ROUND(INDEX(Input!$1:$1048576,AL$93,$C108*2+MIN($B109,1)+5)-(Y109-VLOOKUP($C109*1000+1,$A:$HH,Y$92,FALSE))/36,0)</f>
        <v>4113</v>
      </c>
      <c r="AM109" s="32" t="str">
        <f t="shared" si="118"/>
        <v>std/std/std/std</v>
      </c>
      <c r="AN109" s="32" t="str">
        <f t="shared" si="119"/>
        <v>$0 + 0/0/0/1.9/3.9</v>
      </c>
      <c r="AO109" s="32" t="str">
        <f t="shared" si="120"/>
        <v>0/0/0/1.9/3.9</v>
      </c>
      <c r="AP109" s="32" t="str">
        <f t="shared" si="73"/>
        <v>0/0.9/1.9/3.9</v>
      </c>
      <c r="AQ109" s="536">
        <f t="shared" si="39"/>
        <v>0.27985974134620722</v>
      </c>
      <c r="AR109" s="32"/>
      <c r="AS109" s="302"/>
      <c r="AT109" s="3">
        <f t="shared" si="106"/>
        <v>9</v>
      </c>
      <c r="AU109" s="41" t="s">
        <v>121</v>
      </c>
      <c r="AV109" s="41" t="s">
        <v>116</v>
      </c>
      <c r="AW109" s="41" t="str">
        <f>INDEX(Input!$1:$1048576,AW$93,$C109*2+6)</f>
        <v>Kia</v>
      </c>
      <c r="AX109" s="41" t="str">
        <f>INDEX(Input!$1:$1048576,AX$93,$C109*2+6)</f>
        <v>Kia-LR - L1</v>
      </c>
      <c r="AY109" s="41" t="str">
        <f>IF(LEN(D109)=0,"",INDEX(Input!$1:$1048576,AY$93,$C109*2+6))</f>
        <v>Compact SUV (52)</v>
      </c>
      <c r="AZ109" s="41" t="str">
        <f>INDEX(Input!$1:$1048576,AZ$93,$C109*2+6)</f>
        <v>Kia Soul</v>
      </c>
      <c r="BA109" s="3">
        <f>INDEX(Input!$1:$1048576,BA$93,$C109*2+6)</f>
        <v>2020</v>
      </c>
      <c r="BB109" s="128">
        <f>INDEX(Input!$1:$1048576,BB$93,$C109*2+6)</f>
        <v>1</v>
      </c>
      <c r="BC109" s="128">
        <f>INDEX(Input!$1:$1048576,BC$93,$C109*2+6)</f>
        <v>0.7</v>
      </c>
      <c r="BD109" s="1">
        <f>INDEX(Input!$1:$1048576,BD$93,$C109*2+6)</f>
        <v>4.4999999999999998E-2</v>
      </c>
      <c r="BE109" s="1">
        <f>INDEX(Input!$1:$1048576,BE$93,$C109*2+6)</f>
        <v>4.4999999999999998E-2</v>
      </c>
      <c r="BF109" s="1">
        <f>INDEX(Input!$1:$1048576,BF$93,$C109*2+6)</f>
        <v>0.05</v>
      </c>
      <c r="BG109" s="1">
        <f>INDEX(Input!$1:$1048576,BG$93,$C109*2+6)</f>
        <v>5.45E-2</v>
      </c>
      <c r="BH109" s="1">
        <f>INDEX(Input!$1:$1048576,BH$93,$C109*2+6)</f>
        <v>5.45E-2</v>
      </c>
      <c r="BI109" s="1">
        <f>INDEX(Input!$1:$1048576,BI$93,$C109*2+6)</f>
        <v>0.05</v>
      </c>
      <c r="BJ109" s="1">
        <f>INDEX(Input!$1:$1048576,BJ$93,$C109*2+6)</f>
        <v>0.05</v>
      </c>
      <c r="BK109" s="1">
        <f>INDEX(Input!$1:$1048576,BK$93,$C109*2+6)</f>
        <v>0.05</v>
      </c>
      <c r="BL109" s="1">
        <f>INDEX(Input!$1:$1048576,BL$93,$C109*2+6)</f>
        <v>5.5E-2</v>
      </c>
      <c r="BM109" s="1">
        <f>INDEX(Input!$1:$1048576,BM$93,$C109*2+6)</f>
        <v>0.06</v>
      </c>
      <c r="BN109" s="1">
        <f>INDEX(Input!$1:$1048576,BN$93,$C109*2+6)</f>
        <v>4.4999999999999998E-2</v>
      </c>
      <c r="BO109" s="1">
        <f>INDEX(Input!$1:$1048576,BO$93,$C109*2+6)</f>
        <v>4.4999999999999998E-2</v>
      </c>
      <c r="BP109" s="1">
        <f>INDEX(Input!$1:$1048576,BP$93,$C109*2+6)</f>
        <v>0.05</v>
      </c>
      <c r="BQ109" s="1">
        <f>INDEX(Input!$1:$1048576,BQ$93,$C109*2+6)</f>
        <v>5.45E-2</v>
      </c>
      <c r="BR109" s="1">
        <f>INDEX(Input!$1:$1048576,BR$93,$C109*2+6)</f>
        <v>5.45E-2</v>
      </c>
      <c r="BS109" s="1">
        <f>INDEX(Input!$1:$1048576,BS$93,$C109*2+6)</f>
        <v>0.05</v>
      </c>
      <c r="BT109" s="1">
        <f>INDEX(Input!$1:$1048576,BT$93,$C109*2+6)</f>
        <v>0.05</v>
      </c>
      <c r="BU109" s="1">
        <f>INDEX(Input!$1:$1048576,BU$93,$C109*2+6)</f>
        <v>0.05</v>
      </c>
      <c r="BV109" s="1">
        <f>INDEX(Input!$1:$1048576,BV$93,$C109*2+6)</f>
        <v>5.5E-2</v>
      </c>
      <c r="BW109" s="1">
        <f>INDEX(Input!$1:$1048576,BW$93,$C109*2+6)</f>
        <v>0.06</v>
      </c>
      <c r="BX109" s="127">
        <f>INDEX(Input!$1:$1048576,BX$93,$C109*2+6)</f>
        <v>19985</v>
      </c>
      <c r="BY109" s="20">
        <f>INDEX(Input!$1:$1048576,BY$93,$C109*2+6)</f>
        <v>0.1</v>
      </c>
      <c r="BZ109" s="20">
        <f>INDEX(Input!$1:$1048576,BZ$93,$C109*2+6)</f>
        <v>0.1</v>
      </c>
      <c r="CA109" s="20">
        <f>INDEX(Input!$1:$1048576,CA$93,$C109*2+6)</f>
        <v>0.1</v>
      </c>
      <c r="CB109" s="20">
        <f>INDEX(Input!$1:$1048576,CB$93,$C109*2+6)</f>
        <v>0.1</v>
      </c>
      <c r="CC109" s="20">
        <f>INDEX(Input!$1:$1048576,CC$93,$C109*2+6)</f>
        <v>0.1</v>
      </c>
      <c r="CD109" s="384">
        <f>INDEX(Input!$1:$1048576,CD$93,$C109*2+6)</f>
        <v>0.1</v>
      </c>
      <c r="CE109" s="384">
        <f>INDEX(Input!$1:$1048576,CE$93,$C109*2+6)</f>
        <v>0.1</v>
      </c>
      <c r="CF109" s="384">
        <f>INDEX(Input!$1:$1048576,CF$93,$C109*2+6)</f>
        <v>0.1</v>
      </c>
      <c r="CG109" s="384">
        <f>INDEX(Input!$1:$1048576,CG$93,$C109*2+6)</f>
        <v>0.1</v>
      </c>
      <c r="CH109" s="384">
        <f>INDEX(Input!$1:$1048576,CH$93,$C109*2+6)</f>
        <v>0.1</v>
      </c>
      <c r="CI109" s="304">
        <f t="shared" si="74"/>
        <v>1479</v>
      </c>
      <c r="CJ109" s="16" t="str">
        <f>INDEX(Input!$1:$1048576,CJ$93,$C109*2+6)</f>
        <v>N</v>
      </c>
      <c r="CK109" s="1" t="str">
        <f t="shared" si="75"/>
        <v>Market</v>
      </c>
      <c r="CL109" s="1" t="str">
        <f t="shared" si="76"/>
        <v>Market</v>
      </c>
      <c r="CM109" s="1" t="str">
        <f t="shared" si="77"/>
        <v>Market</v>
      </c>
      <c r="CN109" s="1" t="str">
        <f t="shared" si="78"/>
        <v>Market</v>
      </c>
      <c r="CO109" s="1" t="str">
        <f t="shared" si="79"/>
        <v>Market</v>
      </c>
      <c r="CP109" s="304">
        <f t="shared" si="80"/>
        <v>0</v>
      </c>
      <c r="CQ109" s="1">
        <f t="shared" si="81"/>
        <v>0</v>
      </c>
      <c r="CR109" s="1">
        <f t="shared" si="82"/>
        <v>0</v>
      </c>
      <c r="CS109" s="1">
        <f t="shared" si="83"/>
        <v>0</v>
      </c>
      <c r="CT109" s="1">
        <f t="shared" si="84"/>
        <v>1.9E-2</v>
      </c>
      <c r="CU109" s="1">
        <f t="shared" si="85"/>
        <v>3.9E-2</v>
      </c>
      <c r="CV109" s="304">
        <f t="shared" si="86"/>
        <v>1942</v>
      </c>
      <c r="CW109" s="20" t="s">
        <v>122</v>
      </c>
      <c r="CX109" s="20" t="s">
        <v>122</v>
      </c>
      <c r="CY109" s="20" t="s">
        <v>122</v>
      </c>
      <c r="CZ109" s="20" t="s">
        <v>122</v>
      </c>
      <c r="DA109" s="20" t="s">
        <v>122</v>
      </c>
      <c r="DB109" s="503">
        <f t="shared" si="87"/>
        <v>0</v>
      </c>
      <c r="DC109" s="127">
        <v>0</v>
      </c>
      <c r="DD109" s="127">
        <v>0</v>
      </c>
      <c r="DE109" s="127">
        <v>0</v>
      </c>
      <c r="DF109" s="127">
        <v>0</v>
      </c>
      <c r="DG109" s="127">
        <v>0</v>
      </c>
      <c r="DH109" s="127">
        <v>0</v>
      </c>
      <c r="DI109" s="127">
        <v>0</v>
      </c>
      <c r="DJ109" s="127">
        <v>0</v>
      </c>
      <c r="DK109" s="127">
        <v>0</v>
      </c>
      <c r="DL109" s="127">
        <v>0</v>
      </c>
      <c r="DM109" s="304">
        <f>INDEX(Input!$1:$1048576,DM$93,$C109*2+6)</f>
        <v>21036.84210526316</v>
      </c>
      <c r="DN109" s="20">
        <v>0</v>
      </c>
      <c r="DO109" s="20">
        <v>0</v>
      </c>
      <c r="DP109" s="20">
        <v>0</v>
      </c>
      <c r="DQ109" s="20">
        <v>0</v>
      </c>
      <c r="DR109" s="20">
        <v>0</v>
      </c>
      <c r="DS109" s="20">
        <f>INDEX(Input!$1:$1048576,DS$93,$C109*2+6)</f>
        <v>0.6</v>
      </c>
      <c r="DT109" s="20">
        <f>INDEX(Input!$1:$1048576,DT$93,$C109*2+6)</f>
        <v>0.55000000000000004</v>
      </c>
      <c r="DU109" s="20">
        <f>INDEX(Input!$1:$1048576,DU$93,$C109*2+6)</f>
        <v>0.52</v>
      </c>
      <c r="DV109" s="20">
        <f>INDEX(Input!$1:$1048576,DV$93,$C109*2+6)</f>
        <v>0.5</v>
      </c>
      <c r="DW109" s="20">
        <f>INDEX(Input!$1:$1048576,DW$93,$C109*2+6)</f>
        <v>0.45</v>
      </c>
      <c r="DX109" s="20"/>
      <c r="DY109" s="7">
        <v>0.10568731023611398</v>
      </c>
      <c r="DZ109" s="7">
        <v>0</v>
      </c>
      <c r="EA109" s="7">
        <v>0.49083420279668027</v>
      </c>
      <c r="EB109" s="7">
        <v>0</v>
      </c>
      <c r="EC109" s="7">
        <v>0</v>
      </c>
      <c r="ED109" s="7">
        <v>0</v>
      </c>
      <c r="EE109" s="7">
        <v>0</v>
      </c>
      <c r="EF109" s="7">
        <v>0</v>
      </c>
      <c r="EG109" s="7">
        <v>0</v>
      </c>
      <c r="EH109" s="7">
        <v>1.8402200445098649E-2</v>
      </c>
      <c r="EI109" s="7">
        <v>5.3739557110571892E-2</v>
      </c>
      <c r="EJ109" s="7">
        <v>0.33946684904131991</v>
      </c>
      <c r="EK109" s="7">
        <v>0.4824771263993809</v>
      </c>
      <c r="EL109" s="7">
        <v>0.10591426700362867</v>
      </c>
      <c r="EM109" s="7">
        <v>4.528761924435095E-2</v>
      </c>
      <c r="EN109" s="7">
        <v>5.082425657897853E-2</v>
      </c>
      <c r="EO109" s="7">
        <v>0.76815678085538364</v>
      </c>
      <c r="EP109" s="7">
        <v>7.9058197430733612E-2</v>
      </c>
      <c r="EQ109" s="7">
        <v>6.027119863119898E-2</v>
      </c>
      <c r="ER109" s="7">
        <v>4.1689566503705242E-2</v>
      </c>
      <c r="ES109" s="7">
        <v>0.3581908677228548</v>
      </c>
      <c r="ET109" s="7">
        <v>0.40347848696720578</v>
      </c>
      <c r="EU109" s="6">
        <v>1520</v>
      </c>
      <c r="EV109" s="6">
        <v>0</v>
      </c>
      <c r="EW109" s="6">
        <v>1520</v>
      </c>
      <c r="EX109" s="6">
        <v>0</v>
      </c>
      <c r="EY109" s="6">
        <v>2039.7221397149679</v>
      </c>
      <c r="EZ109" s="6">
        <v>2085</v>
      </c>
      <c r="FA109" s="6">
        <v>0</v>
      </c>
      <c r="FB109" s="6">
        <v>0</v>
      </c>
      <c r="FC109" s="6">
        <v>0</v>
      </c>
      <c r="FD109" s="6">
        <v>0</v>
      </c>
      <c r="FE109" s="6">
        <v>0</v>
      </c>
      <c r="FF109" s="6">
        <v>0</v>
      </c>
      <c r="FG109" s="6">
        <v>0</v>
      </c>
      <c r="FH109" s="6">
        <v>1171.281137969562</v>
      </c>
      <c r="FI109" s="6">
        <v>1553.9796069512397</v>
      </c>
      <c r="FJ109" s="6">
        <v>2101.2110117447401</v>
      </c>
      <c r="FK109" s="6">
        <v>1772.7139978623229</v>
      </c>
      <c r="FL109" s="6">
        <v>907.07682140966324</v>
      </c>
      <c r="FM109" s="6">
        <v>1769.7221397149679</v>
      </c>
      <c r="FN109" s="6">
        <v>0</v>
      </c>
      <c r="FO109" s="6">
        <v>0</v>
      </c>
      <c r="FP109" s="6">
        <v>0</v>
      </c>
      <c r="FQ109" s="6">
        <v>0</v>
      </c>
      <c r="FR109" s="6">
        <v>0</v>
      </c>
      <c r="FS109" s="6">
        <v>0</v>
      </c>
      <c r="FT109" s="7">
        <v>0.59652151303279422</v>
      </c>
      <c r="FU109" s="7">
        <v>4.528761924435095E-2</v>
      </c>
      <c r="FV109" s="7">
        <v>0.3581908677228548</v>
      </c>
      <c r="FW109" s="6">
        <v>1520.0000000000002</v>
      </c>
      <c r="FX109" s="6">
        <v>2039.7221397149679</v>
      </c>
      <c r="FY109" s="6">
        <v>2085</v>
      </c>
      <c r="FZ109" s="6">
        <v>1952.7147957719815</v>
      </c>
      <c r="GA109" s="6">
        <v>1745.9148186396837</v>
      </c>
      <c r="GB109" s="6">
        <v>18239.085181360315</v>
      </c>
      <c r="GC109" s="7">
        <v>1.0519917368675835E-2</v>
      </c>
      <c r="GD109" s="7">
        <v>1.0461305482628455E-2</v>
      </c>
      <c r="GE109" s="7"/>
      <c r="GF109" s="7"/>
      <c r="GG109" s="7">
        <v>-5.5715158202575554E-3</v>
      </c>
      <c r="GH109" s="42">
        <v>0.53842725329033547</v>
      </c>
      <c r="GI109" s="6">
        <v>38863.278172503051</v>
      </c>
      <c r="GJ109" s="14">
        <v>0.50394797582841733</v>
      </c>
      <c r="GK109" s="14">
        <v>0.50887573065309732</v>
      </c>
      <c r="GL109" s="14">
        <v>0.49605202417158267</v>
      </c>
      <c r="GM109" s="14">
        <v>0.49112426934690251</v>
      </c>
      <c r="GO109" s="5">
        <v>343.14810671672558</v>
      </c>
      <c r="GP109" s="5">
        <v>314.14940645767444</v>
      </c>
      <c r="GQ109" s="5">
        <v>535.04305713031317</v>
      </c>
      <c r="GR109" s="5">
        <v>410.15490233172511</v>
      </c>
      <c r="GS109" s="5">
        <v>339.42744393800166</v>
      </c>
      <c r="GT109" s="5">
        <v>293.4407446948278</v>
      </c>
      <c r="GU109" s="5">
        <v>258.04012322764959</v>
      </c>
      <c r="GV109" s="39" t="s">
        <v>392</v>
      </c>
      <c r="GW109" s="5">
        <v>492.125</v>
      </c>
      <c r="GX109" s="5">
        <v>369.09375</v>
      </c>
      <c r="GY109" s="5">
        <v>295.27499999999998</v>
      </c>
      <c r="GZ109" s="5">
        <v>260.54902799031458</v>
      </c>
      <c r="HA109" s="5">
        <v>241.34874471337258</v>
      </c>
      <c r="HB109" s="39">
        <v>280.39841310148165</v>
      </c>
      <c r="HC109" s="5">
        <v>196.06562499999998</v>
      </c>
      <c r="HD109" s="5">
        <v>177.54497441520465</v>
      </c>
      <c r="HE109" s="5">
        <v>183.15757844129553</v>
      </c>
      <c r="HF109" s="5">
        <v>172.69313048245613</v>
      </c>
      <c r="HG109" s="5">
        <v>170.66888157894735</v>
      </c>
      <c r="HH109" s="39">
        <v>178.35090729075009</v>
      </c>
      <c r="HI109" s="16"/>
      <c r="HJ109" s="19" t="str">
        <f t="shared" si="107"/>
        <v>On</v>
      </c>
      <c r="HK109" s="1" t="str">
        <f t="shared" si="108"/>
        <v>On</v>
      </c>
      <c r="HL109" s="16"/>
      <c r="HM109" s="639">
        <f t="shared" si="42"/>
        <v>5.7455619280273196E-3</v>
      </c>
      <c r="HN109" s="639">
        <f t="shared" si="43"/>
        <v>5.0031960498701745E-4</v>
      </c>
      <c r="HO109" s="639">
        <f t="shared" si="44"/>
        <v>3.9819433988714835E-3</v>
      </c>
      <c r="HP109" s="644">
        <f>(FT109*$GD109-HM109)/$JF109*INDEX(Input!$1:$1048576,$JG$93,$C109*2+6)</f>
        <v>21.577901961414028</v>
      </c>
      <c r="HQ109" s="644">
        <f>(FU109*$GD109-HN109)/$JF109*INDEX(Input!$1:$1048576,$JG$93,$C109*2+6)</f>
        <v>-1.1578400693995305</v>
      </c>
      <c r="HR109" s="644">
        <f>(FV109*$GD109-HO109)/$JF109*INDEX(Input!$1:$1048576,$JG$93,$C109*2+6)</f>
        <v>-10.238784218148933</v>
      </c>
      <c r="HS109" s="644">
        <f t="shared" si="45"/>
        <v>-5.0713996456126793</v>
      </c>
      <c r="HT109" s="644">
        <f t="shared" si="46"/>
        <v>-1.5412865351640153</v>
      </c>
      <c r="HU109" s="644">
        <f t="shared" si="47"/>
        <v>2.4667806089078095</v>
      </c>
      <c r="HV109" s="648">
        <f t="shared" si="48"/>
        <v>0</v>
      </c>
      <c r="HW109" s="648">
        <f t="shared" si="49"/>
        <v>0</v>
      </c>
      <c r="HX109" s="648">
        <f t="shared" si="50"/>
        <v>0</v>
      </c>
      <c r="HY109" s="644">
        <f>INDEX(Input!$1:$1048576,HY$93,$C109*2+6)*INDEX(Input!$1:$1048576,$JG$93,$C109*2+6)</f>
        <v>110.00000000000001</v>
      </c>
      <c r="HZ109" s="644">
        <f>INDEX(Input!$1:$1048576,HZ$93,$C109*2+6)*INDEX(Input!$1:$1048576,$JG$93,$C109*2+6)</f>
        <v>157</v>
      </c>
      <c r="IA109" s="644">
        <f>INDEX(Input!$1:$1048576,IA$93,$C109*2+6)*INDEX(Input!$1:$1048576,$JG$93,$C109*2+6)</f>
        <v>179</v>
      </c>
      <c r="IB109" s="644">
        <f t="shared" si="88"/>
        <v>126.50650231580133</v>
      </c>
      <c r="IC109" s="644">
        <f t="shared" si="89"/>
        <v>154.30087339543647</v>
      </c>
      <c r="ID109" s="644">
        <f>IF(AND(INDEX(Input!$1:$1048576,IA$93,$C109*2+7)="TOS",Y109&lt;=INDEX(Y:Y,MATCH(C109*1000+2,A:A))),0,1)*MAX(IA109+HR109+HU109+HX109,0%)</f>
        <v>171.22799639075888</v>
      </c>
      <c r="IE109" s="128">
        <f t="shared" si="90"/>
        <v>0.27985974134620722</v>
      </c>
      <c r="IF109" s="128">
        <f t="shared" si="51"/>
        <v>0.34134690096911313</v>
      </c>
      <c r="IG109" s="128">
        <f t="shared" si="52"/>
        <v>0.37879335768467959</v>
      </c>
      <c r="IH109" s="21"/>
      <c r="II109" s="19">
        <f t="shared" si="53"/>
        <v>1240</v>
      </c>
      <c r="IJ109" s="19">
        <f t="shared" si="54"/>
        <v>2009.7221397149679</v>
      </c>
      <c r="IK109" s="19">
        <f t="shared" si="55"/>
        <v>2070</v>
      </c>
      <c r="IL109" s="19">
        <f t="shared" si="91"/>
        <v>280.00000000000023</v>
      </c>
      <c r="IM109" s="19">
        <f t="shared" si="56"/>
        <v>30</v>
      </c>
      <c r="IN109" s="19">
        <f t="shared" si="56"/>
        <v>15</v>
      </c>
      <c r="IO109" s="39">
        <f t="shared" si="57"/>
        <v>0</v>
      </c>
      <c r="IP109" s="39">
        <f t="shared" si="58"/>
        <v>0</v>
      </c>
      <c r="IQ109" s="39">
        <f t="shared" si="59"/>
        <v>0</v>
      </c>
      <c r="IR109" s="39">
        <v>0</v>
      </c>
      <c r="IS109" s="39">
        <v>0</v>
      </c>
      <c r="IT109" s="39">
        <v>0</v>
      </c>
      <c r="IU109" s="39">
        <v>0</v>
      </c>
      <c r="IV109" s="39">
        <v>0</v>
      </c>
      <c r="IW109" s="39">
        <v>0</v>
      </c>
      <c r="IX109" s="39">
        <f>INDEX(Input!$1:$1048576,IX$93,$C109*2+6)+INDEX(Input!$1:$1048576,IX$94,$C109*2+6)</f>
        <v>1270</v>
      </c>
      <c r="IY109" s="39">
        <f>INDEX(Input!$1:$1048576,IY$93,$C109*2+6)+INDEX(Input!$1:$1048576,IY$94,$C109*2+6)</f>
        <v>2130.0624533823611</v>
      </c>
      <c r="IZ109" s="39">
        <f>INDEX(Input!$1:$1048576,IZ$93,$C109*2+6)+INDEX(Input!$1:$1048576,IZ$94,$C109*2+6)</f>
        <v>4373.7164157747848</v>
      </c>
      <c r="JA109" s="19">
        <f t="shared" si="92"/>
        <v>1550.0000000000002</v>
      </c>
      <c r="JB109" s="19">
        <f t="shared" si="92"/>
        <v>2160.0624533823611</v>
      </c>
      <c r="JC109" s="19">
        <f t="shared" si="92"/>
        <v>4388.7164157747848</v>
      </c>
      <c r="JD109" s="19">
        <f t="shared" si="93"/>
        <v>2833.5298505056326</v>
      </c>
      <c r="JE109" s="21"/>
      <c r="JF109" s="1">
        <f t="shared" si="60"/>
        <v>1.022782493188582E-2</v>
      </c>
      <c r="JG109" s="15">
        <f>INDEX(Input!$1:$1048576,JG$93,$C109*2+6)/(1+VLOOKUP(C109*1000+INDEX(Input!$1:$1048576,JG$93+1,$C109*2+6),$A:$KK,$JK$92,FALSE))</f>
        <v>446</v>
      </c>
      <c r="JH109" s="1">
        <f t="shared" si="94"/>
        <v>2.2827976847232211E-2</v>
      </c>
      <c r="JI109" s="1">
        <f t="shared" si="95"/>
        <v>-9.2957524032934655E-3</v>
      </c>
      <c r="JJ109" s="1">
        <f t="shared" si="96"/>
        <v>0</v>
      </c>
      <c r="JK109" s="1">
        <f t="shared" si="97"/>
        <v>1.3532224443938746E-2</v>
      </c>
      <c r="JL109" s="15">
        <f t="shared" si="98"/>
        <v>6.0353721019966811</v>
      </c>
      <c r="JM109" s="15">
        <f t="shared" si="99"/>
        <v>452.0353721019967</v>
      </c>
      <c r="JN109" s="21"/>
      <c r="JO109" s="19">
        <f>INDEX(Input!$1:$1048576,JO$93,$C109*2+6)</f>
        <v>5995.5</v>
      </c>
      <c r="JP109" s="19">
        <f>INDEX(Input!$1:$1048576,JP$93,$C109*2+6)</f>
        <v>2818.4193802796353</v>
      </c>
      <c r="JQ109" s="39">
        <f t="shared" si="109"/>
        <v>3161.9701494943674</v>
      </c>
      <c r="JR109" s="39">
        <f t="shared" si="61"/>
        <v>15.110470225997233</v>
      </c>
      <c r="JS109" s="39">
        <f t="shared" si="62"/>
        <v>1.2808557203354285</v>
      </c>
      <c r="JT109" s="39">
        <f t="shared" si="100"/>
        <v>2.3840676730711247E-2</v>
      </c>
      <c r="JU109" s="385">
        <f>(JQ109*JM109-INDEX(Input!$1:$1048576,Input!A$18,$C109*2+6)*JL109*INDEX(Input!$1:$1048576,Input!A$19,$C109*2+6))/1000000</f>
        <v>1.4293223531020924</v>
      </c>
      <c r="JV109" s="39">
        <f t="shared" si="63"/>
        <v>1.2344396706809757E-2</v>
      </c>
      <c r="JW109" s="1">
        <f t="shared" si="117"/>
        <v>8.7117775199645683E-3</v>
      </c>
      <c r="JX109" s="19">
        <f t="shared" si="113"/>
        <v>3950.1585532438071</v>
      </c>
      <c r="JZ109" s="341"/>
      <c r="KA109" s="342"/>
      <c r="KB109" s="469">
        <f t="shared" si="110"/>
        <v>2.9286733661474216</v>
      </c>
      <c r="KI109" s="473">
        <f t="shared" si="111"/>
        <v>16.506502315801313</v>
      </c>
      <c r="KJ109" s="473">
        <f t="shared" si="101"/>
        <v>-2.6991266045635314</v>
      </c>
      <c r="KK109" s="473">
        <f t="shared" si="102"/>
        <v>-7.7720036092411249</v>
      </c>
      <c r="KN109" s="544">
        <f t="shared" si="114"/>
        <v>1002</v>
      </c>
      <c r="KO109" s="541">
        <f t="shared" si="64"/>
        <v>9.3777316726095794E-3</v>
      </c>
      <c r="KP109" s="546">
        <f t="shared" si="65"/>
        <v>69.964935336551875</v>
      </c>
      <c r="KQ109" s="546">
        <f t="shared" si="66"/>
        <v>-5.7863495130191041</v>
      </c>
      <c r="KR109" s="548">
        <f t="shared" si="67"/>
        <v>2.2981172103740022</v>
      </c>
      <c r="KS109" s="548">
        <f t="shared" si="68"/>
        <v>-27.787402343717218</v>
      </c>
      <c r="KT109" s="473">
        <f t="shared" si="112"/>
        <v>238.28695973331548</v>
      </c>
      <c r="KU109" s="663">
        <f t="shared" si="103"/>
        <v>6.326734352787251</v>
      </c>
      <c r="KV109" s="117">
        <f>RANK(KU109,$KU$109:$KU$200)</f>
        <v>42</v>
      </c>
    </row>
    <row r="110" spans="1:310" s="26" customFormat="1" ht="15">
      <c r="A110" s="561">
        <f t="shared" si="122"/>
        <v>1010</v>
      </c>
      <c r="B110" s="561">
        <f t="shared" si="104"/>
        <v>10</v>
      </c>
      <c r="C110" s="561">
        <f t="shared" si="105"/>
        <v>1</v>
      </c>
      <c r="D110" s="561" t="str">
        <f t="shared" si="141"/>
        <v xml:space="preserve">500 CC, </v>
      </c>
      <c r="E110" s="475">
        <f>INDEX(Input!$1:$1048576,E$93,$C110*2+MIN($B110,2)+5)+IF(OR(BX110&gt;50000,INDEX(Input!$1:$1048576,E$93,$C110*2+MIN($B110,2)+5)&gt;0),0,250)+IF(BX110&gt;50000,500,250)*2</f>
        <v>1729</v>
      </c>
      <c r="F110" s="475">
        <f>INDEX(Input!$1:$1048576,F$93,$C110*2+MIN($B110,2)+5)</f>
        <v>0</v>
      </c>
      <c r="G110" s="475">
        <f>INDEX(Input!$1:$1048576,G$93,$C110*2+MIN($B110,2)+5)</f>
        <v>0</v>
      </c>
      <c r="H110" s="115">
        <f>INDEX(Input!$1:$1048576,H$93,$C110*2+MIN($B110,2)+5)</f>
        <v>0</v>
      </c>
      <c r="I110" s="118">
        <f>INDEX(Input!$1:$1048576,I$93,$C110*2+MIN($B110,2)+5)</f>
        <v>0.7</v>
      </c>
      <c r="J110" s="118" t="str">
        <f>INDEX(Input!$1:$1048576,J$93,$C110*2+MIN($B110,2)+5)</f>
        <v>Market</v>
      </c>
      <c r="K110" s="118" t="str">
        <f>INDEX(Input!$1:$1048576,K$93,$C110*2+MIN($B110,2)+5)</f>
        <v>Market</v>
      </c>
      <c r="L110" s="118" t="str">
        <f>INDEX(Input!$1:$1048576,L$93,$C110*2+MIN($B110,2)+5)</f>
        <v>Market</v>
      </c>
      <c r="M110" s="118" t="str">
        <f>INDEX(Input!$1:$1048576,M$93,$C110*2+MIN($B110,2)+5)</f>
        <v>Market</v>
      </c>
      <c r="N110" s="118" t="str">
        <f>INDEX(Input!$1:$1048576,N$93,$C110*2+MIN($B110,2)+5)</f>
        <v>Market</v>
      </c>
      <c r="O110" s="118" t="str">
        <f>INDEX(Input!$1:$1048576,O$93,$C110*2+MIN($B110,2)+5)</f>
        <v>Market</v>
      </c>
      <c r="P110" s="118" t="str">
        <f>INDEX(Input!$1:$1048576,P$93,$C110*2+MIN($B110,2)+5)</f>
        <v>N</v>
      </c>
      <c r="Q110" s="30">
        <f>INDEX(Input!$1:$1048576,Q$93,$C110*2+MIN($B110,2)+5)</f>
        <v>0</v>
      </c>
      <c r="R110" s="383">
        <f>INDEX(Input!$1:$1048576,R$93,$C110*2+MIN($B110,2)+5)</f>
        <v>0</v>
      </c>
      <c r="S110" s="383">
        <f>INDEX(Input!$1:$1048576,S$93,$C110*2+MIN($B110,2)+5)</f>
        <v>0</v>
      </c>
      <c r="T110" s="383">
        <f>INDEX(Input!$1:$1048576,T$93,$C110*2+MIN($B110,2)+5)</f>
        <v>0</v>
      </c>
      <c r="U110" s="383">
        <f>INDEX(Input!$1:$1048576,U$93,$C110*2+MIN($B110,2)+5)</f>
        <v>0</v>
      </c>
      <c r="V110" s="383">
        <f>INDEX(Input!$1:$1048576,V$93,$C110*2+MIN($B110,2)+5)</f>
        <v>1.9E-2</v>
      </c>
      <c r="W110" s="884">
        <f>INDEX(Input!$1:$1048576,W$93,$C110*2+MIN($B110,2)+5)</f>
        <v>3.9E-2</v>
      </c>
      <c r="X110" s="118" t="str">
        <f>INDEX(Input!$1:$1048576,X$93,$C110*2+MIN($B110,2)+5)</f>
        <v>Y</v>
      </c>
      <c r="Y110" s="150">
        <f>INDEX(Input!$1:$1048576,Y$93,$C110*2+MIN($B110,2)+5)</f>
        <v>1942</v>
      </c>
      <c r="Z110" s="30">
        <f>INDEX(Input!$1:$1048576,Z$93,$C110*2+MIN($B110,2)+5)</f>
        <v>0</v>
      </c>
      <c r="AA110" s="115">
        <f>INDEX(Input!$1:$1048576,AA$93,$C110*2+MIN($B110,2)+5)</f>
        <v>0</v>
      </c>
      <c r="AB110" s="118">
        <f>INDEX(Input!$1:$1048576,AB$93,$C110*2+MIN($B110,2)+5)</f>
        <v>0.27</v>
      </c>
      <c r="AC110" s="115">
        <f>INDEX(Input!$1:$1048576,AC$93,$C110*2+MIN($B110,2)+5)</f>
        <v>0</v>
      </c>
      <c r="AD110" s="118">
        <f>INDEX(Input!$1:$1048576,AD$93,$C110*2+MIN($B110,2)+5)</f>
        <v>0.27</v>
      </c>
      <c r="AE110" s="115">
        <f>INDEX(Input!$1:$1048576,AE$93,$C110*2+MIN($B110,2)+5)</f>
        <v>0</v>
      </c>
      <c r="AF110" s="118">
        <f>INDEX(Input!$1:$1048576,AF$93,$C110*2+MIN($B110,2)+5)</f>
        <v>0.38</v>
      </c>
      <c r="AG110" s="115">
        <f>INDEX(Input!$1:$1048576,AG$93,$C110*2+MIN($B110,2)+5)</f>
        <v>0</v>
      </c>
      <c r="AH110" s="118">
        <f>INDEX(Input!$1:$1048576,AH$93,$C110*2+MIN($B110,2)+5)</f>
        <v>0</v>
      </c>
      <c r="AI110" s="115">
        <f>INDEX(Input!$1:$1048576,AI$93,$C110*2+MIN($B110,2)+5)</f>
        <v>0</v>
      </c>
      <c r="AJ110" s="118">
        <f>INDEX(Input!$1:$1048576,AJ$93,$C110*2+MIN($B110,2)+5)</f>
        <v>0.27</v>
      </c>
      <c r="AK110" s="150">
        <f>ROUND(INDEX(Input!$1:$1048576,AK$93,$C109*2+MIN($B110,1)+5)+(Y110-VLOOKUP($C110*1000+1,$A:$HH,Y$92,FALSE)),0)</f>
        <v>3757</v>
      </c>
      <c r="AL110" s="150">
        <f>ROUND(INDEX(Input!$1:$1048576,AL$93,$C109*2+MIN($B110,1)+5)-(Y110-VLOOKUP($C110*1000+1,$A:$HH,Y$92,FALSE))/36,0)</f>
        <v>4113</v>
      </c>
      <c r="AM110" s="32" t="str">
        <f t="shared" si="118"/>
        <v>std/std/std/std</v>
      </c>
      <c r="AN110" s="32" t="str">
        <f t="shared" si="119"/>
        <v>$0 + 0/0/0/1.9/3.9</v>
      </c>
      <c r="AO110" s="32" t="str">
        <f t="shared" si="120"/>
        <v>0/0/0/1.9/3.9</v>
      </c>
      <c r="AP110" s="32" t="str">
        <f t="shared" si="73"/>
        <v>0/0.9/1.9/3.9</v>
      </c>
      <c r="AQ110" s="536">
        <f t="shared" si="39"/>
        <v>0.3122398028582215</v>
      </c>
      <c r="AR110" s="32"/>
      <c r="AS110" s="302"/>
      <c r="AT110" s="3">
        <f t="shared" si="106"/>
        <v>10</v>
      </c>
      <c r="AU110" s="41" t="s">
        <v>121</v>
      </c>
      <c r="AV110" s="41" t="s">
        <v>116</v>
      </c>
      <c r="AW110" s="41" t="str">
        <f>INDEX(Input!$1:$1048576,AW$93,$C110*2+6)</f>
        <v>Kia</v>
      </c>
      <c r="AX110" s="41" t="str">
        <f>INDEX(Input!$1:$1048576,AX$93,$C110*2+6)</f>
        <v>Kia-LR - L1</v>
      </c>
      <c r="AY110" s="41" t="str">
        <f>IF(LEN(D110)=0,"",INDEX(Input!$1:$1048576,AY$93,$C110*2+6))</f>
        <v>Compact SUV (52)</v>
      </c>
      <c r="AZ110" s="41" t="str">
        <f>INDEX(Input!$1:$1048576,AZ$93,$C110*2+6)</f>
        <v>Kia Soul</v>
      </c>
      <c r="BA110" s="3">
        <f>INDEX(Input!$1:$1048576,BA$93,$C110*2+6)</f>
        <v>2020</v>
      </c>
      <c r="BB110" s="128">
        <f>INDEX(Input!$1:$1048576,BB$93,$C110*2+6)</f>
        <v>1</v>
      </c>
      <c r="BC110" s="128">
        <f>INDEX(Input!$1:$1048576,BC$93,$C110*2+6)</f>
        <v>0.7</v>
      </c>
      <c r="BD110" s="1">
        <f>INDEX(Input!$1:$1048576,BD$93,$C110*2+6)</f>
        <v>4.4999999999999998E-2</v>
      </c>
      <c r="BE110" s="1">
        <f>INDEX(Input!$1:$1048576,BE$93,$C110*2+6)</f>
        <v>4.4999999999999998E-2</v>
      </c>
      <c r="BF110" s="1">
        <f>INDEX(Input!$1:$1048576,BF$93,$C110*2+6)</f>
        <v>0.05</v>
      </c>
      <c r="BG110" s="1">
        <f>INDEX(Input!$1:$1048576,BG$93,$C110*2+6)</f>
        <v>5.45E-2</v>
      </c>
      <c r="BH110" s="1">
        <f>INDEX(Input!$1:$1048576,BH$93,$C110*2+6)</f>
        <v>5.45E-2</v>
      </c>
      <c r="BI110" s="1">
        <f>INDEX(Input!$1:$1048576,BI$93,$C110*2+6)</f>
        <v>0.05</v>
      </c>
      <c r="BJ110" s="1">
        <f>INDEX(Input!$1:$1048576,BJ$93,$C110*2+6)</f>
        <v>0.05</v>
      </c>
      <c r="BK110" s="1">
        <f>INDEX(Input!$1:$1048576,BK$93,$C110*2+6)</f>
        <v>0.05</v>
      </c>
      <c r="BL110" s="1">
        <f>INDEX(Input!$1:$1048576,BL$93,$C110*2+6)</f>
        <v>5.5E-2</v>
      </c>
      <c r="BM110" s="1">
        <f>INDEX(Input!$1:$1048576,BM$93,$C110*2+6)</f>
        <v>0.06</v>
      </c>
      <c r="BN110" s="1">
        <f>INDEX(Input!$1:$1048576,BN$93,$C110*2+6)</f>
        <v>4.4999999999999998E-2</v>
      </c>
      <c r="BO110" s="1">
        <f>INDEX(Input!$1:$1048576,BO$93,$C110*2+6)</f>
        <v>4.4999999999999998E-2</v>
      </c>
      <c r="BP110" s="1">
        <f>INDEX(Input!$1:$1048576,BP$93,$C110*2+6)</f>
        <v>0.05</v>
      </c>
      <c r="BQ110" s="1">
        <f>INDEX(Input!$1:$1048576,BQ$93,$C110*2+6)</f>
        <v>5.45E-2</v>
      </c>
      <c r="BR110" s="1">
        <f>INDEX(Input!$1:$1048576,BR$93,$C110*2+6)</f>
        <v>5.45E-2</v>
      </c>
      <c r="BS110" s="1">
        <f>INDEX(Input!$1:$1048576,BS$93,$C110*2+6)</f>
        <v>0.05</v>
      </c>
      <c r="BT110" s="1">
        <f>INDEX(Input!$1:$1048576,BT$93,$C110*2+6)</f>
        <v>0.05</v>
      </c>
      <c r="BU110" s="1">
        <f>INDEX(Input!$1:$1048576,BU$93,$C110*2+6)</f>
        <v>0.05</v>
      </c>
      <c r="BV110" s="1">
        <f>INDEX(Input!$1:$1048576,BV$93,$C110*2+6)</f>
        <v>5.5E-2</v>
      </c>
      <c r="BW110" s="1">
        <f>INDEX(Input!$1:$1048576,BW$93,$C110*2+6)</f>
        <v>0.06</v>
      </c>
      <c r="BX110" s="127">
        <f>INDEX(Input!$1:$1048576,BX$93,$C110*2+6)</f>
        <v>19985</v>
      </c>
      <c r="BY110" s="20">
        <f>INDEX(Input!$1:$1048576,BY$93,$C110*2+6)</f>
        <v>0.1</v>
      </c>
      <c r="BZ110" s="20">
        <f>INDEX(Input!$1:$1048576,BZ$93,$C110*2+6)</f>
        <v>0.1</v>
      </c>
      <c r="CA110" s="20">
        <f>INDEX(Input!$1:$1048576,CA$93,$C110*2+6)</f>
        <v>0.1</v>
      </c>
      <c r="CB110" s="20">
        <f>INDEX(Input!$1:$1048576,CB$93,$C110*2+6)</f>
        <v>0.1</v>
      </c>
      <c r="CC110" s="20">
        <f>INDEX(Input!$1:$1048576,CC$93,$C110*2+6)</f>
        <v>0.1</v>
      </c>
      <c r="CD110" s="384">
        <f>INDEX(Input!$1:$1048576,CD$93,$C110*2+6)</f>
        <v>0.1</v>
      </c>
      <c r="CE110" s="384">
        <f>INDEX(Input!$1:$1048576,CE$93,$C110*2+6)</f>
        <v>0.1</v>
      </c>
      <c r="CF110" s="384">
        <f>INDEX(Input!$1:$1048576,CF$93,$C110*2+6)</f>
        <v>0.1</v>
      </c>
      <c r="CG110" s="384">
        <f>INDEX(Input!$1:$1048576,CG$93,$C110*2+6)</f>
        <v>0.1</v>
      </c>
      <c r="CH110" s="384">
        <f>INDEX(Input!$1:$1048576,CH$93,$C110*2+6)</f>
        <v>0.1</v>
      </c>
      <c r="CI110" s="304">
        <f t="shared" si="74"/>
        <v>1729</v>
      </c>
      <c r="CJ110" s="16" t="str">
        <f>INDEX(Input!$1:$1048576,CJ$93,$C110*2+6)</f>
        <v>N</v>
      </c>
      <c r="CK110" s="1" t="str">
        <f t="shared" si="75"/>
        <v>Market</v>
      </c>
      <c r="CL110" s="1" t="str">
        <f t="shared" si="76"/>
        <v>Market</v>
      </c>
      <c r="CM110" s="1" t="str">
        <f t="shared" si="77"/>
        <v>Market</v>
      </c>
      <c r="CN110" s="1" t="str">
        <f t="shared" si="78"/>
        <v>Market</v>
      </c>
      <c r="CO110" s="1" t="str">
        <f t="shared" si="79"/>
        <v>Market</v>
      </c>
      <c r="CP110" s="304">
        <f t="shared" si="80"/>
        <v>0</v>
      </c>
      <c r="CQ110" s="1">
        <f t="shared" si="81"/>
        <v>0</v>
      </c>
      <c r="CR110" s="1">
        <f t="shared" si="82"/>
        <v>0</v>
      </c>
      <c r="CS110" s="1">
        <f t="shared" si="83"/>
        <v>0</v>
      </c>
      <c r="CT110" s="1">
        <f t="shared" si="84"/>
        <v>1.9E-2</v>
      </c>
      <c r="CU110" s="1">
        <f t="shared" si="85"/>
        <v>3.9E-2</v>
      </c>
      <c r="CV110" s="304">
        <f t="shared" si="86"/>
        <v>1942</v>
      </c>
      <c r="CW110" s="20" t="s">
        <v>122</v>
      </c>
      <c r="CX110" s="20" t="s">
        <v>122</v>
      </c>
      <c r="CY110" s="20" t="s">
        <v>122</v>
      </c>
      <c r="CZ110" s="20" t="s">
        <v>122</v>
      </c>
      <c r="DA110" s="20" t="s">
        <v>122</v>
      </c>
      <c r="DB110" s="503">
        <f t="shared" si="87"/>
        <v>0</v>
      </c>
      <c r="DC110" s="127">
        <v>0</v>
      </c>
      <c r="DD110" s="127">
        <v>0</v>
      </c>
      <c r="DE110" s="127">
        <v>0</v>
      </c>
      <c r="DF110" s="127">
        <v>0</v>
      </c>
      <c r="DG110" s="127">
        <v>0</v>
      </c>
      <c r="DH110" s="127">
        <v>0</v>
      </c>
      <c r="DI110" s="127">
        <v>0</v>
      </c>
      <c r="DJ110" s="127">
        <v>0</v>
      </c>
      <c r="DK110" s="127">
        <v>0</v>
      </c>
      <c r="DL110" s="127">
        <v>0</v>
      </c>
      <c r="DM110" s="304">
        <f>INDEX(Input!$1:$1048576,DM$93,$C110*2+6)</f>
        <v>21036.84210526316</v>
      </c>
      <c r="DN110" s="20">
        <v>0</v>
      </c>
      <c r="DO110" s="20">
        <v>0</v>
      </c>
      <c r="DP110" s="20">
        <v>0</v>
      </c>
      <c r="DQ110" s="20">
        <v>0</v>
      </c>
      <c r="DR110" s="20">
        <v>0</v>
      </c>
      <c r="DS110" s="20">
        <f>INDEX(Input!$1:$1048576,DS$93,$C110*2+6)</f>
        <v>0.6</v>
      </c>
      <c r="DT110" s="20">
        <f>INDEX(Input!$1:$1048576,DT$93,$C110*2+6)</f>
        <v>0.55000000000000004</v>
      </c>
      <c r="DU110" s="20">
        <f>INDEX(Input!$1:$1048576,DU$93,$C110*2+6)</f>
        <v>0.52</v>
      </c>
      <c r="DV110" s="20">
        <f>INDEX(Input!$1:$1048576,DV$93,$C110*2+6)</f>
        <v>0.5</v>
      </c>
      <c r="DW110" s="20">
        <f>INDEX(Input!$1:$1048576,DW$93,$C110*2+6)</f>
        <v>0.45</v>
      </c>
      <c r="DX110" s="20"/>
      <c r="DY110" s="7">
        <v>0.11408419137211373</v>
      </c>
      <c r="DZ110" s="7">
        <v>0</v>
      </c>
      <c r="EA110" s="7">
        <v>0.51481129364463185</v>
      </c>
      <c r="EB110" s="7">
        <v>0</v>
      </c>
      <c r="EC110" s="7">
        <v>0</v>
      </c>
      <c r="ED110" s="7">
        <v>0</v>
      </c>
      <c r="EE110" s="7">
        <v>0</v>
      </c>
      <c r="EF110" s="7">
        <v>0</v>
      </c>
      <c r="EG110" s="7">
        <v>0</v>
      </c>
      <c r="EH110" s="7">
        <v>1.8402200445098649E-2</v>
      </c>
      <c r="EI110" s="7">
        <v>5.3739557110571892E-2</v>
      </c>
      <c r="EJ110" s="7">
        <v>0.33946684904131991</v>
      </c>
      <c r="EK110" s="7">
        <v>0.48247712639938084</v>
      </c>
      <c r="EL110" s="7">
        <v>0.1059142670036287</v>
      </c>
      <c r="EM110" s="7">
        <v>4.165386883635052E-2</v>
      </c>
      <c r="EN110" s="7">
        <v>5.0824256578978502E-2</v>
      </c>
      <c r="EO110" s="7">
        <v>0.76815678085538364</v>
      </c>
      <c r="EP110" s="7">
        <v>7.9058197430733584E-2</v>
      </c>
      <c r="EQ110" s="7">
        <v>6.0271198631198973E-2</v>
      </c>
      <c r="ER110" s="7">
        <v>4.1689566503705221E-2</v>
      </c>
      <c r="ES110" s="7">
        <v>0.32945064614690384</v>
      </c>
      <c r="ET110" s="7">
        <v>0.37110451498325442</v>
      </c>
      <c r="EU110" s="6">
        <v>1770</v>
      </c>
      <c r="EV110" s="6">
        <v>0</v>
      </c>
      <c r="EW110" s="6">
        <v>1770</v>
      </c>
      <c r="EX110" s="6">
        <v>0</v>
      </c>
      <c r="EY110" s="6">
        <v>2039.7221397149679</v>
      </c>
      <c r="EZ110" s="6">
        <v>2085</v>
      </c>
      <c r="FA110" s="6">
        <v>0</v>
      </c>
      <c r="FB110" s="6">
        <v>0</v>
      </c>
      <c r="FC110" s="6">
        <v>0</v>
      </c>
      <c r="FD110" s="6">
        <v>0</v>
      </c>
      <c r="FE110" s="6">
        <v>0</v>
      </c>
      <c r="FF110" s="6">
        <v>0</v>
      </c>
      <c r="FG110" s="6">
        <v>0</v>
      </c>
      <c r="FH110" s="6">
        <v>1171.2811379695618</v>
      </c>
      <c r="FI110" s="6">
        <v>1553.9796069512392</v>
      </c>
      <c r="FJ110" s="6">
        <v>2101.211011744741</v>
      </c>
      <c r="FK110" s="6">
        <v>1772.7139978623227</v>
      </c>
      <c r="FL110" s="6">
        <v>907.07682140966313</v>
      </c>
      <c r="FM110" s="6">
        <v>1769.7221397149679</v>
      </c>
      <c r="FN110" s="6">
        <v>0</v>
      </c>
      <c r="FO110" s="6">
        <v>0</v>
      </c>
      <c r="FP110" s="6">
        <v>0</v>
      </c>
      <c r="FQ110" s="6">
        <v>0</v>
      </c>
      <c r="FR110" s="6">
        <v>0</v>
      </c>
      <c r="FS110" s="6">
        <v>0</v>
      </c>
      <c r="FT110" s="7">
        <v>0.62889548501674564</v>
      </c>
      <c r="FU110" s="7">
        <v>4.165386883635052E-2</v>
      </c>
      <c r="FV110" s="7">
        <v>0.32945064614690384</v>
      </c>
      <c r="FW110" s="6">
        <v>1770</v>
      </c>
      <c r="FX110" s="6">
        <v>2039.7221397149679</v>
      </c>
      <c r="FY110" s="6">
        <v>2085</v>
      </c>
      <c r="FZ110" s="6">
        <v>1952.7147957719815</v>
      </c>
      <c r="GA110" s="6">
        <v>1885.0119241662219</v>
      </c>
      <c r="GB110" s="6">
        <v>18099.988075833779</v>
      </c>
      <c r="GC110" s="7">
        <v>1.0519917368675835E-2</v>
      </c>
      <c r="GD110" s="7">
        <v>1.067642874567465E-2</v>
      </c>
      <c r="GE110" s="7"/>
      <c r="GF110" s="7"/>
      <c r="GG110" s="7">
        <v>1.4877624178384214E-2</v>
      </c>
      <c r="GH110" s="42">
        <v>-4.3916795868923568</v>
      </c>
      <c r="GI110" s="6">
        <v>-2665.638824501405</v>
      </c>
      <c r="GJ110" s="14">
        <v>0.50394797582841733</v>
      </c>
      <c r="GK110" s="14">
        <v>0.50887573065309755</v>
      </c>
      <c r="GL110" s="14">
        <v>0.49605202417158278</v>
      </c>
      <c r="GM110" s="14">
        <v>0.49112426934690245</v>
      </c>
      <c r="GO110" s="5">
        <v>343.14810671672558</v>
      </c>
      <c r="GP110" s="5">
        <v>309.37988338875158</v>
      </c>
      <c r="GQ110" s="5">
        <v>535.04305713031317</v>
      </c>
      <c r="GR110" s="5">
        <v>410.15490233172511</v>
      </c>
      <c r="GS110" s="5">
        <v>339.42744393800166</v>
      </c>
      <c r="GT110" s="5">
        <v>293.4407446948278</v>
      </c>
      <c r="GU110" s="5">
        <v>258.04012322764959</v>
      </c>
      <c r="GV110" s="39" t="s">
        <v>392</v>
      </c>
      <c r="GW110" s="5">
        <v>492.125</v>
      </c>
      <c r="GX110" s="5">
        <v>369.09375</v>
      </c>
      <c r="GY110" s="5">
        <v>295.27499999999998</v>
      </c>
      <c r="GZ110" s="5">
        <v>260.54902799031458</v>
      </c>
      <c r="HA110" s="5">
        <v>241.34874471337258</v>
      </c>
      <c r="HB110" s="39">
        <v>280.39841310148165</v>
      </c>
      <c r="HC110" s="5">
        <v>196.06562499999998</v>
      </c>
      <c r="HD110" s="5">
        <v>177.54497441520465</v>
      </c>
      <c r="HE110" s="5">
        <v>183.15757844129553</v>
      </c>
      <c r="HF110" s="5">
        <v>172.69313048245613</v>
      </c>
      <c r="HG110" s="5">
        <v>170.66888157894735</v>
      </c>
      <c r="HH110" s="39">
        <v>178.35090729075003</v>
      </c>
      <c r="HI110" s="16"/>
      <c r="HJ110" s="19" t="str">
        <f t="shared" si="107"/>
        <v>On</v>
      </c>
      <c r="HK110" s="1" t="str">
        <f t="shared" si="108"/>
        <v>On</v>
      </c>
      <c r="HL110" s="16"/>
      <c r="HM110" s="639">
        <f t="shared" si="42"/>
        <v>5.7455619280273196E-3</v>
      </c>
      <c r="HN110" s="639">
        <f t="shared" si="43"/>
        <v>5.0031960498701745E-4</v>
      </c>
      <c r="HO110" s="639">
        <f t="shared" si="44"/>
        <v>3.9819433988714835E-3</v>
      </c>
      <c r="HP110" s="644">
        <f>(FT110*$GD110-HM110)/$JF110*INDEX(Input!$1:$1048576,$JG$93,$C110*2+6)</f>
        <v>42.24583203724422</v>
      </c>
      <c r="HQ110" s="644">
        <f>(FU110*$GD110-HN110)/$JF110*INDEX(Input!$1:$1048576,$JG$93,$C110*2+6)</f>
        <v>-2.4247431945680229</v>
      </c>
      <c r="HR110" s="644">
        <f>(FV110*$GD110-HO110)/$JF110*INDEX(Input!$1:$1048576,$JG$93,$C110*2+6)</f>
        <v>-20.259031192856082</v>
      </c>
      <c r="HS110" s="644">
        <f t="shared" si="45"/>
        <v>-9.5816112631271064</v>
      </c>
      <c r="HT110" s="644">
        <f t="shared" si="46"/>
        <v>-3.5487668320532273</v>
      </c>
      <c r="HU110" s="644">
        <f t="shared" si="47"/>
        <v>4.4742609057970206</v>
      </c>
      <c r="HV110" s="648">
        <f t="shared" si="48"/>
        <v>0</v>
      </c>
      <c r="HW110" s="648">
        <f t="shared" si="49"/>
        <v>0</v>
      </c>
      <c r="HX110" s="648">
        <f t="shared" si="50"/>
        <v>0</v>
      </c>
      <c r="HY110" s="644">
        <f>INDEX(Input!$1:$1048576,HY$93,$C110*2+6)*INDEX(Input!$1:$1048576,$JG$93,$C110*2+6)</f>
        <v>110.00000000000001</v>
      </c>
      <c r="HZ110" s="644">
        <f>INDEX(Input!$1:$1048576,HZ$93,$C110*2+6)*INDEX(Input!$1:$1048576,$JG$93,$C110*2+6)</f>
        <v>157</v>
      </c>
      <c r="IA110" s="644">
        <f>INDEX(Input!$1:$1048576,IA$93,$C110*2+6)*INDEX(Input!$1:$1048576,$JG$93,$C110*2+6)</f>
        <v>179</v>
      </c>
      <c r="IB110" s="644">
        <f t="shared" si="88"/>
        <v>142.66422077411707</v>
      </c>
      <c r="IC110" s="644">
        <f t="shared" si="89"/>
        <v>151.02648997337877</v>
      </c>
      <c r="ID110" s="644">
        <f>IF(AND(INDEX(Input!$1:$1048576,IA$93,$C110*2+7)="TOS",Y110&lt;=INDEX(Y:Y,MATCH(C110*1000+2,A:A))),0,1)*MAX(IA110+HR110+HU110+HX110,0%)</f>
        <v>163.21522971294095</v>
      </c>
      <c r="IE110" s="128">
        <f t="shared" si="90"/>
        <v>0.3122398028582215</v>
      </c>
      <c r="IF110" s="128">
        <f t="shared" si="51"/>
        <v>0.33054175181260542</v>
      </c>
      <c r="IG110" s="128">
        <f t="shared" si="52"/>
        <v>0.35721844532917307</v>
      </c>
      <c r="IH110" s="21"/>
      <c r="II110" s="19">
        <f t="shared" si="53"/>
        <v>1240</v>
      </c>
      <c r="IJ110" s="19">
        <f t="shared" si="54"/>
        <v>2009.7221397149679</v>
      </c>
      <c r="IK110" s="19">
        <f t="shared" si="55"/>
        <v>2070</v>
      </c>
      <c r="IL110" s="19">
        <f t="shared" si="91"/>
        <v>530</v>
      </c>
      <c r="IM110" s="19">
        <f t="shared" si="56"/>
        <v>30</v>
      </c>
      <c r="IN110" s="19">
        <f t="shared" si="56"/>
        <v>15</v>
      </c>
      <c r="IO110" s="39">
        <f t="shared" si="57"/>
        <v>0</v>
      </c>
      <c r="IP110" s="39">
        <f t="shared" si="58"/>
        <v>0</v>
      </c>
      <c r="IQ110" s="39">
        <f t="shared" si="59"/>
        <v>0</v>
      </c>
      <c r="IR110" s="39">
        <v>0</v>
      </c>
      <c r="IS110" s="39">
        <v>0</v>
      </c>
      <c r="IT110" s="39">
        <v>0</v>
      </c>
      <c r="IU110" s="39">
        <v>0</v>
      </c>
      <c r="IV110" s="39">
        <v>0</v>
      </c>
      <c r="IW110" s="39">
        <v>0</v>
      </c>
      <c r="IX110" s="39">
        <f>INDEX(Input!$1:$1048576,IX$93,$C110*2+6)+INDEX(Input!$1:$1048576,IX$94,$C110*2+6)</f>
        <v>1270</v>
      </c>
      <c r="IY110" s="39">
        <f>INDEX(Input!$1:$1048576,IY$93,$C110*2+6)+INDEX(Input!$1:$1048576,IY$94,$C110*2+6)</f>
        <v>2130.0624533823611</v>
      </c>
      <c r="IZ110" s="39">
        <f>INDEX(Input!$1:$1048576,IZ$93,$C110*2+6)+INDEX(Input!$1:$1048576,IZ$94,$C110*2+6)</f>
        <v>4373.7164157747848</v>
      </c>
      <c r="JA110" s="19">
        <f t="shared" si="92"/>
        <v>1800</v>
      </c>
      <c r="JB110" s="19">
        <f t="shared" si="92"/>
        <v>2160.0624533823611</v>
      </c>
      <c r="JC110" s="19">
        <f t="shared" si="92"/>
        <v>4388.7164157747848</v>
      </c>
      <c r="JD110" s="19">
        <f t="shared" si="93"/>
        <v>2843.7529275441284</v>
      </c>
      <c r="JE110" s="21"/>
      <c r="JF110" s="1">
        <f t="shared" si="60"/>
        <v>1.022782493188582E-2</v>
      </c>
      <c r="JG110" s="15">
        <f>INDEX(Input!$1:$1048576,JG$93,$C110*2+6)/(1+VLOOKUP(C110*1000+INDEX(Input!$1:$1048576,JG$93+1,$C110*2+6),$A:$KK,$JK$92,FALSE))</f>
        <v>446</v>
      </c>
      <c r="JH110" s="1">
        <f t="shared" si="94"/>
        <v>4.3861115806771558E-2</v>
      </c>
      <c r="JI110" s="1">
        <f t="shared" si="95"/>
        <v>-1.9408334505343749E-2</v>
      </c>
      <c r="JJ110" s="1">
        <f t="shared" si="96"/>
        <v>0</v>
      </c>
      <c r="JK110" s="1">
        <f t="shared" si="97"/>
        <v>2.445278130142781E-2</v>
      </c>
      <c r="JL110" s="15">
        <f t="shared" si="98"/>
        <v>10.905940460436803</v>
      </c>
      <c r="JM110" s="15">
        <f t="shared" si="99"/>
        <v>456.9059404604368</v>
      </c>
      <c r="JN110" s="21"/>
      <c r="JO110" s="19">
        <f>INDEX(Input!$1:$1048576,JO$93,$C110*2+6)</f>
        <v>5995.5</v>
      </c>
      <c r="JP110" s="19">
        <f>INDEX(Input!$1:$1048576,JP$93,$C110*2+6)</f>
        <v>2818.4193802796353</v>
      </c>
      <c r="JQ110" s="39">
        <f t="shared" si="109"/>
        <v>3151.7470724558716</v>
      </c>
      <c r="JR110" s="39">
        <f t="shared" si="61"/>
        <v>25.333547264493063</v>
      </c>
      <c r="JS110" s="39">
        <f t="shared" si="62"/>
        <v>1.2993276057966703</v>
      </c>
      <c r="JT110" s="39">
        <f t="shared" si="100"/>
        <v>4.2312562191952952E-2</v>
      </c>
      <c r="JU110" s="385">
        <f>(JQ110*JM110-INDEX(Input!$1:$1048576,Input!A$18,$C110*2+6)*JL110*INDEX(Input!$1:$1048576,Input!A$19,$C110*2+6))/1000000</f>
        <v>1.4400519602338784</v>
      </c>
      <c r="JV110" s="39">
        <f t="shared" si="63"/>
        <v>2.3074003838595702E-2</v>
      </c>
      <c r="JW110" s="1">
        <f t="shared" si="117"/>
        <v>1.6283953984220584E-2</v>
      </c>
      <c r="JX110" s="19">
        <f t="shared" si="113"/>
        <v>3879.771977982929</v>
      </c>
      <c r="JZ110" s="341"/>
      <c r="KA110" s="342"/>
      <c r="KB110" s="469">
        <f t="shared" si="110"/>
        <v>2.9286733661474216</v>
      </c>
      <c r="KI110" s="473">
        <f t="shared" si="111"/>
        <v>32.664220774117055</v>
      </c>
      <c r="KJ110" s="473">
        <f t="shared" si="101"/>
        <v>-5.9735100266212271</v>
      </c>
      <c r="KK110" s="473">
        <f t="shared" si="102"/>
        <v>-15.784770287059047</v>
      </c>
      <c r="KN110" s="544">
        <f t="shared" si="114"/>
        <v>1002</v>
      </c>
      <c r="KO110" s="541">
        <f t="shared" si="64"/>
        <v>2.025352490697041E-2</v>
      </c>
      <c r="KP110" s="546">
        <f t="shared" si="65"/>
        <v>156.11990142911077</v>
      </c>
      <c r="KQ110" s="546">
        <f t="shared" si="66"/>
        <v>4.4367275254767264</v>
      </c>
      <c r="KR110" s="548">
        <f t="shared" si="67"/>
        <v>2.2243194539015358</v>
      </c>
      <c r="KS110" s="548">
        <f t="shared" si="68"/>
        <v>78.269520022563952</v>
      </c>
      <c r="KT110" s="473">
        <f t="shared" si="112"/>
        <v>238.28695973331548</v>
      </c>
      <c r="KU110" s="663">
        <f t="shared" si="103"/>
        <v>6.4476366314968478</v>
      </c>
      <c r="KV110" s="117">
        <f t="shared" ref="KV110:KV114" si="142">RANK(KU110,$KU$109:$KU$200)</f>
        <v>30</v>
      </c>
    </row>
    <row r="111" spans="1:310" s="26" customFormat="1" ht="15">
      <c r="A111" s="561">
        <f t="shared" si="122"/>
        <v>1011</v>
      </c>
      <c r="B111" s="561">
        <f t="shared" si="104"/>
        <v>11</v>
      </c>
      <c r="C111" s="561">
        <f t="shared" si="105"/>
        <v>1</v>
      </c>
      <c r="D111" s="561" t="str">
        <f t="shared" si="141"/>
        <v xml:space="preserve">750 CC, </v>
      </c>
      <c r="E111" s="475">
        <f>INDEX(Input!$1:$1048576,E$93,$C111*2+MIN($B111,2)+5)+IF(OR(BX111&gt;50000,INDEX(Input!$1:$1048576,E$93,$C111*2+MIN($B111,2)+5)&gt;0),0,250)+IF(BX111&gt;50000,500,250)*3</f>
        <v>1979</v>
      </c>
      <c r="F111" s="475">
        <f>INDEX(Input!$1:$1048576,F$93,$C111*2+MIN($B111,2)+5)</f>
        <v>0</v>
      </c>
      <c r="G111" s="475">
        <f>INDEX(Input!$1:$1048576,G$93,$C111*2+MIN($B111,2)+5)</f>
        <v>0</v>
      </c>
      <c r="H111" s="115">
        <f>INDEX(Input!$1:$1048576,H$93,$C111*2+MIN($B111,2)+5)</f>
        <v>0</v>
      </c>
      <c r="I111" s="118">
        <f>INDEX(Input!$1:$1048576,I$93,$C111*2+MIN($B111,2)+5)</f>
        <v>0.7</v>
      </c>
      <c r="J111" s="118" t="str">
        <f>INDEX(Input!$1:$1048576,J$93,$C111*2+MIN($B111,2)+5)</f>
        <v>Market</v>
      </c>
      <c r="K111" s="118" t="str">
        <f>INDEX(Input!$1:$1048576,K$93,$C111*2+MIN($B111,2)+5)</f>
        <v>Market</v>
      </c>
      <c r="L111" s="118" t="str">
        <f>INDEX(Input!$1:$1048576,L$93,$C111*2+MIN($B111,2)+5)</f>
        <v>Market</v>
      </c>
      <c r="M111" s="118" t="str">
        <f>INDEX(Input!$1:$1048576,M$93,$C111*2+MIN($B111,2)+5)</f>
        <v>Market</v>
      </c>
      <c r="N111" s="118" t="str">
        <f>INDEX(Input!$1:$1048576,N$93,$C111*2+MIN($B111,2)+5)</f>
        <v>Market</v>
      </c>
      <c r="O111" s="118" t="str">
        <f>INDEX(Input!$1:$1048576,O$93,$C111*2+MIN($B111,2)+5)</f>
        <v>Market</v>
      </c>
      <c r="P111" s="118" t="str">
        <f>INDEX(Input!$1:$1048576,P$93,$C111*2+MIN($B111,2)+5)</f>
        <v>N</v>
      </c>
      <c r="Q111" s="30">
        <f>INDEX(Input!$1:$1048576,Q$93,$C111*2+MIN($B111,2)+5)</f>
        <v>0</v>
      </c>
      <c r="R111" s="383">
        <f>INDEX(Input!$1:$1048576,R$93,$C111*2+MIN($B111,2)+5)</f>
        <v>0</v>
      </c>
      <c r="S111" s="383">
        <f>INDEX(Input!$1:$1048576,S$93,$C111*2+MIN($B111,2)+5)</f>
        <v>0</v>
      </c>
      <c r="T111" s="383">
        <f>INDEX(Input!$1:$1048576,T$93,$C111*2+MIN($B111,2)+5)</f>
        <v>0</v>
      </c>
      <c r="U111" s="383">
        <f>INDEX(Input!$1:$1048576,U$93,$C111*2+MIN($B111,2)+5)</f>
        <v>0</v>
      </c>
      <c r="V111" s="383">
        <f>INDEX(Input!$1:$1048576,V$93,$C111*2+MIN($B111,2)+5)</f>
        <v>1.9E-2</v>
      </c>
      <c r="W111" s="884">
        <f>INDEX(Input!$1:$1048576,W$93,$C111*2+MIN($B111,2)+5)</f>
        <v>3.9E-2</v>
      </c>
      <c r="X111" s="118" t="str">
        <f>INDEX(Input!$1:$1048576,X$93,$C111*2+MIN($B111,2)+5)</f>
        <v>Y</v>
      </c>
      <c r="Y111" s="150">
        <f>INDEX(Input!$1:$1048576,Y$93,$C111*2+MIN($B111,2)+5)</f>
        <v>1942</v>
      </c>
      <c r="Z111" s="30">
        <f>INDEX(Input!$1:$1048576,Z$93,$C111*2+MIN($B111,2)+5)</f>
        <v>0</v>
      </c>
      <c r="AA111" s="115">
        <f>INDEX(Input!$1:$1048576,AA$93,$C111*2+MIN($B111,2)+5)</f>
        <v>0</v>
      </c>
      <c r="AB111" s="118">
        <f>INDEX(Input!$1:$1048576,AB$93,$C111*2+MIN($B111,2)+5)</f>
        <v>0.27</v>
      </c>
      <c r="AC111" s="115">
        <f>INDEX(Input!$1:$1048576,AC$93,$C111*2+MIN($B111,2)+5)</f>
        <v>0</v>
      </c>
      <c r="AD111" s="118">
        <f>INDEX(Input!$1:$1048576,AD$93,$C111*2+MIN($B111,2)+5)</f>
        <v>0.27</v>
      </c>
      <c r="AE111" s="115">
        <f>INDEX(Input!$1:$1048576,AE$93,$C111*2+MIN($B111,2)+5)</f>
        <v>0</v>
      </c>
      <c r="AF111" s="118">
        <f>INDEX(Input!$1:$1048576,AF$93,$C111*2+MIN($B111,2)+5)</f>
        <v>0.38</v>
      </c>
      <c r="AG111" s="115">
        <f>INDEX(Input!$1:$1048576,AG$93,$C111*2+MIN($B111,2)+5)</f>
        <v>0</v>
      </c>
      <c r="AH111" s="118">
        <f>INDEX(Input!$1:$1048576,AH$93,$C111*2+MIN($B111,2)+5)</f>
        <v>0</v>
      </c>
      <c r="AI111" s="115">
        <f>INDEX(Input!$1:$1048576,AI$93,$C111*2+MIN($B111,2)+5)</f>
        <v>0</v>
      </c>
      <c r="AJ111" s="118">
        <f>INDEX(Input!$1:$1048576,AJ$93,$C111*2+MIN($B111,2)+5)</f>
        <v>0.27</v>
      </c>
      <c r="AK111" s="150">
        <f>ROUND(INDEX(Input!$1:$1048576,AK$93,$C110*2+MIN($B111,1)+5)+(Y111-VLOOKUP($C111*1000+1,$A:$HH,Y$92,FALSE)),0)</f>
        <v>3757</v>
      </c>
      <c r="AL111" s="150">
        <f>ROUND(INDEX(Input!$1:$1048576,AL$93,$C110*2+MIN($B111,1)+5)-(Y111-VLOOKUP($C111*1000+1,$A:$HH,Y$92,FALSE))/36,0)</f>
        <v>4113</v>
      </c>
      <c r="AM111" s="32" t="str">
        <f t="shared" si="118"/>
        <v>std/std/std/std</v>
      </c>
      <c r="AN111" s="32" t="str">
        <f t="shared" si="119"/>
        <v>$0 + 0/0/0/1.9/3.9</v>
      </c>
      <c r="AO111" s="32" t="str">
        <f t="shared" si="120"/>
        <v>0/0/0/1.9/3.9</v>
      </c>
      <c r="AP111" s="32" t="str">
        <f t="shared" si="73"/>
        <v>0/0.9/1.9/3.9</v>
      </c>
      <c r="AQ111" s="536">
        <f t="shared" si="39"/>
        <v>0.34457193576188533</v>
      </c>
      <c r="AR111" s="32"/>
      <c r="AS111" s="302"/>
      <c r="AT111" s="3">
        <f t="shared" si="106"/>
        <v>11</v>
      </c>
      <c r="AU111" s="41" t="s">
        <v>121</v>
      </c>
      <c r="AV111" s="41" t="s">
        <v>116</v>
      </c>
      <c r="AW111" s="41" t="str">
        <f>INDEX(Input!$1:$1048576,AW$93,$C111*2+6)</f>
        <v>Kia</v>
      </c>
      <c r="AX111" s="41" t="str">
        <f>INDEX(Input!$1:$1048576,AX$93,$C111*2+6)</f>
        <v>Kia-LR - L1</v>
      </c>
      <c r="AY111" s="41" t="str">
        <f>IF(LEN(D111)=0,"",INDEX(Input!$1:$1048576,AY$93,$C111*2+6))</f>
        <v>Compact SUV (52)</v>
      </c>
      <c r="AZ111" s="41" t="str">
        <f>INDEX(Input!$1:$1048576,AZ$93,$C111*2+6)</f>
        <v>Kia Soul</v>
      </c>
      <c r="BA111" s="3">
        <f>INDEX(Input!$1:$1048576,BA$93,$C111*2+6)</f>
        <v>2020</v>
      </c>
      <c r="BB111" s="128">
        <f>INDEX(Input!$1:$1048576,BB$93,$C111*2+6)</f>
        <v>1</v>
      </c>
      <c r="BC111" s="128">
        <f>INDEX(Input!$1:$1048576,BC$93,$C111*2+6)</f>
        <v>0.7</v>
      </c>
      <c r="BD111" s="1">
        <f>INDEX(Input!$1:$1048576,BD$93,$C111*2+6)</f>
        <v>4.4999999999999998E-2</v>
      </c>
      <c r="BE111" s="1">
        <f>INDEX(Input!$1:$1048576,BE$93,$C111*2+6)</f>
        <v>4.4999999999999998E-2</v>
      </c>
      <c r="BF111" s="1">
        <f>INDEX(Input!$1:$1048576,BF$93,$C111*2+6)</f>
        <v>0.05</v>
      </c>
      <c r="BG111" s="1">
        <f>INDEX(Input!$1:$1048576,BG$93,$C111*2+6)</f>
        <v>5.45E-2</v>
      </c>
      <c r="BH111" s="1">
        <f>INDEX(Input!$1:$1048576,BH$93,$C111*2+6)</f>
        <v>5.45E-2</v>
      </c>
      <c r="BI111" s="1">
        <f>INDEX(Input!$1:$1048576,BI$93,$C111*2+6)</f>
        <v>0.05</v>
      </c>
      <c r="BJ111" s="1">
        <f>INDEX(Input!$1:$1048576,BJ$93,$C111*2+6)</f>
        <v>0.05</v>
      </c>
      <c r="BK111" s="1">
        <f>INDEX(Input!$1:$1048576,BK$93,$C111*2+6)</f>
        <v>0.05</v>
      </c>
      <c r="BL111" s="1">
        <f>INDEX(Input!$1:$1048576,BL$93,$C111*2+6)</f>
        <v>5.5E-2</v>
      </c>
      <c r="BM111" s="1">
        <f>INDEX(Input!$1:$1048576,BM$93,$C111*2+6)</f>
        <v>0.06</v>
      </c>
      <c r="BN111" s="1">
        <f>INDEX(Input!$1:$1048576,BN$93,$C111*2+6)</f>
        <v>4.4999999999999998E-2</v>
      </c>
      <c r="BO111" s="1">
        <f>INDEX(Input!$1:$1048576,BO$93,$C111*2+6)</f>
        <v>4.4999999999999998E-2</v>
      </c>
      <c r="BP111" s="1">
        <f>INDEX(Input!$1:$1048576,BP$93,$C111*2+6)</f>
        <v>0.05</v>
      </c>
      <c r="BQ111" s="1">
        <f>INDEX(Input!$1:$1048576,BQ$93,$C111*2+6)</f>
        <v>5.45E-2</v>
      </c>
      <c r="BR111" s="1">
        <f>INDEX(Input!$1:$1048576,BR$93,$C111*2+6)</f>
        <v>5.45E-2</v>
      </c>
      <c r="BS111" s="1">
        <f>INDEX(Input!$1:$1048576,BS$93,$C111*2+6)</f>
        <v>0.05</v>
      </c>
      <c r="BT111" s="1">
        <f>INDEX(Input!$1:$1048576,BT$93,$C111*2+6)</f>
        <v>0.05</v>
      </c>
      <c r="BU111" s="1">
        <f>INDEX(Input!$1:$1048576,BU$93,$C111*2+6)</f>
        <v>0.05</v>
      </c>
      <c r="BV111" s="1">
        <f>INDEX(Input!$1:$1048576,BV$93,$C111*2+6)</f>
        <v>5.5E-2</v>
      </c>
      <c r="BW111" s="1">
        <f>INDEX(Input!$1:$1048576,BW$93,$C111*2+6)</f>
        <v>0.06</v>
      </c>
      <c r="BX111" s="127">
        <f>INDEX(Input!$1:$1048576,BX$93,$C111*2+6)</f>
        <v>19985</v>
      </c>
      <c r="BY111" s="20">
        <f>INDEX(Input!$1:$1048576,BY$93,$C111*2+6)</f>
        <v>0.1</v>
      </c>
      <c r="BZ111" s="20">
        <f>INDEX(Input!$1:$1048576,BZ$93,$C111*2+6)</f>
        <v>0.1</v>
      </c>
      <c r="CA111" s="20">
        <f>INDEX(Input!$1:$1048576,CA$93,$C111*2+6)</f>
        <v>0.1</v>
      </c>
      <c r="CB111" s="20">
        <f>INDEX(Input!$1:$1048576,CB$93,$C111*2+6)</f>
        <v>0.1</v>
      </c>
      <c r="CC111" s="20">
        <f>INDEX(Input!$1:$1048576,CC$93,$C111*2+6)</f>
        <v>0.1</v>
      </c>
      <c r="CD111" s="384">
        <f>INDEX(Input!$1:$1048576,CD$93,$C111*2+6)</f>
        <v>0.1</v>
      </c>
      <c r="CE111" s="384">
        <f>INDEX(Input!$1:$1048576,CE$93,$C111*2+6)</f>
        <v>0.1</v>
      </c>
      <c r="CF111" s="384">
        <f>INDEX(Input!$1:$1048576,CF$93,$C111*2+6)</f>
        <v>0.1</v>
      </c>
      <c r="CG111" s="384">
        <f>INDEX(Input!$1:$1048576,CG$93,$C111*2+6)</f>
        <v>0.1</v>
      </c>
      <c r="CH111" s="384">
        <f>INDEX(Input!$1:$1048576,CH$93,$C111*2+6)</f>
        <v>0.1</v>
      </c>
      <c r="CI111" s="304">
        <f t="shared" si="74"/>
        <v>1979</v>
      </c>
      <c r="CJ111" s="16" t="str">
        <f>INDEX(Input!$1:$1048576,CJ$93,$C111*2+6)</f>
        <v>N</v>
      </c>
      <c r="CK111" s="1" t="str">
        <f t="shared" si="75"/>
        <v>Market</v>
      </c>
      <c r="CL111" s="1" t="str">
        <f t="shared" si="76"/>
        <v>Market</v>
      </c>
      <c r="CM111" s="1" t="str">
        <f t="shared" si="77"/>
        <v>Market</v>
      </c>
      <c r="CN111" s="1" t="str">
        <f t="shared" si="78"/>
        <v>Market</v>
      </c>
      <c r="CO111" s="1" t="str">
        <f t="shared" si="79"/>
        <v>Market</v>
      </c>
      <c r="CP111" s="304">
        <f t="shared" si="80"/>
        <v>0</v>
      </c>
      <c r="CQ111" s="1">
        <f t="shared" si="81"/>
        <v>0</v>
      </c>
      <c r="CR111" s="1">
        <f t="shared" si="82"/>
        <v>0</v>
      </c>
      <c r="CS111" s="1">
        <f t="shared" si="83"/>
        <v>0</v>
      </c>
      <c r="CT111" s="1">
        <f t="shared" si="84"/>
        <v>1.9E-2</v>
      </c>
      <c r="CU111" s="1">
        <f t="shared" si="85"/>
        <v>3.9E-2</v>
      </c>
      <c r="CV111" s="304">
        <f t="shared" si="86"/>
        <v>1942</v>
      </c>
      <c r="CW111" s="20" t="s">
        <v>122</v>
      </c>
      <c r="CX111" s="20" t="s">
        <v>122</v>
      </c>
      <c r="CY111" s="20" t="s">
        <v>122</v>
      </c>
      <c r="CZ111" s="20" t="s">
        <v>122</v>
      </c>
      <c r="DA111" s="20" t="s">
        <v>122</v>
      </c>
      <c r="DB111" s="503">
        <f t="shared" si="87"/>
        <v>0</v>
      </c>
      <c r="DC111" s="127">
        <v>0</v>
      </c>
      <c r="DD111" s="127">
        <v>0</v>
      </c>
      <c r="DE111" s="127">
        <v>0</v>
      </c>
      <c r="DF111" s="127">
        <v>0</v>
      </c>
      <c r="DG111" s="127">
        <v>0</v>
      </c>
      <c r="DH111" s="127">
        <v>0</v>
      </c>
      <c r="DI111" s="127">
        <v>0</v>
      </c>
      <c r="DJ111" s="127">
        <v>0</v>
      </c>
      <c r="DK111" s="127">
        <v>0</v>
      </c>
      <c r="DL111" s="127">
        <v>0</v>
      </c>
      <c r="DM111" s="304">
        <f>INDEX(Input!$1:$1048576,DM$93,$C111*2+6)</f>
        <v>21036.84210526316</v>
      </c>
      <c r="DN111" s="20">
        <v>0</v>
      </c>
      <c r="DO111" s="20">
        <v>0</v>
      </c>
      <c r="DP111" s="20">
        <v>0</v>
      </c>
      <c r="DQ111" s="20">
        <v>0</v>
      </c>
      <c r="DR111" s="20">
        <v>0</v>
      </c>
      <c r="DS111" s="20">
        <f>INDEX(Input!$1:$1048576,DS$93,$C111*2+6)</f>
        <v>0.6</v>
      </c>
      <c r="DT111" s="20">
        <f>INDEX(Input!$1:$1048576,DT$93,$C111*2+6)</f>
        <v>0.55000000000000004</v>
      </c>
      <c r="DU111" s="20">
        <f>INDEX(Input!$1:$1048576,DU$93,$C111*2+6)</f>
        <v>0.52</v>
      </c>
      <c r="DV111" s="20">
        <f>INDEX(Input!$1:$1048576,DV$93,$C111*2+6)</f>
        <v>0.5</v>
      </c>
      <c r="DW111" s="20">
        <f>INDEX(Input!$1:$1048576,DW$93,$C111*2+6)</f>
        <v>0.45</v>
      </c>
      <c r="DX111" s="20"/>
      <c r="DY111" s="7">
        <v>0.12261505162211625</v>
      </c>
      <c r="DZ111" s="7">
        <v>0</v>
      </c>
      <c r="EA111" s="7">
        <v>0.53753454771067877</v>
      </c>
      <c r="EB111" s="7">
        <v>0</v>
      </c>
      <c r="EC111" s="7">
        <v>0</v>
      </c>
      <c r="ED111" s="7">
        <v>0</v>
      </c>
      <c r="EE111" s="7">
        <v>0</v>
      </c>
      <c r="EF111" s="7">
        <v>0</v>
      </c>
      <c r="EG111" s="7">
        <v>0</v>
      </c>
      <c r="EH111" s="7">
        <v>1.8402200445098656E-2</v>
      </c>
      <c r="EI111" s="7">
        <v>5.3739557110571864E-2</v>
      </c>
      <c r="EJ111" s="7">
        <v>0.33946684904131991</v>
      </c>
      <c r="EK111" s="7">
        <v>0.48247712639938084</v>
      </c>
      <c r="EL111" s="7">
        <v>0.1059142670036287</v>
      </c>
      <c r="EM111" s="7">
        <v>3.8145814566582982E-2</v>
      </c>
      <c r="EN111" s="7">
        <v>5.0824256578978537E-2</v>
      </c>
      <c r="EO111" s="7">
        <v>0.76815678085538397</v>
      </c>
      <c r="EP111" s="7">
        <v>7.9058197430733612E-2</v>
      </c>
      <c r="EQ111" s="7">
        <v>6.027119863119898E-2</v>
      </c>
      <c r="ER111" s="7">
        <v>4.1689566503705248E-2</v>
      </c>
      <c r="ES111" s="7">
        <v>0.30170458610062212</v>
      </c>
      <c r="ET111" s="7">
        <v>0.33985040066720501</v>
      </c>
      <c r="EU111" s="6">
        <v>2020</v>
      </c>
      <c r="EV111" s="6">
        <v>0</v>
      </c>
      <c r="EW111" s="6">
        <v>2020</v>
      </c>
      <c r="EX111" s="6">
        <v>0</v>
      </c>
      <c r="EY111" s="6">
        <v>2039.7221397149681</v>
      </c>
      <c r="EZ111" s="6">
        <v>2085</v>
      </c>
      <c r="FA111" s="6">
        <v>0</v>
      </c>
      <c r="FB111" s="6">
        <v>0</v>
      </c>
      <c r="FC111" s="6">
        <v>0</v>
      </c>
      <c r="FD111" s="6">
        <v>0</v>
      </c>
      <c r="FE111" s="6">
        <v>0</v>
      </c>
      <c r="FF111" s="6">
        <v>0</v>
      </c>
      <c r="FG111" s="6">
        <v>0</v>
      </c>
      <c r="FH111" s="6">
        <v>1171.2811379695615</v>
      </c>
      <c r="FI111" s="6">
        <v>1553.9796069512402</v>
      </c>
      <c r="FJ111" s="6">
        <v>2101.211011744741</v>
      </c>
      <c r="FK111" s="6">
        <v>1772.7139978623229</v>
      </c>
      <c r="FL111" s="6">
        <v>907.07682140966324</v>
      </c>
      <c r="FM111" s="6">
        <v>1769.7221397149681</v>
      </c>
      <c r="FN111" s="6">
        <v>0</v>
      </c>
      <c r="FO111" s="6">
        <v>0</v>
      </c>
      <c r="FP111" s="6">
        <v>0</v>
      </c>
      <c r="FQ111" s="6">
        <v>0</v>
      </c>
      <c r="FR111" s="6">
        <v>0</v>
      </c>
      <c r="FS111" s="6">
        <v>0</v>
      </c>
      <c r="FT111" s="7">
        <v>0.66014959933279505</v>
      </c>
      <c r="FU111" s="7">
        <v>3.8145814566582982E-2</v>
      </c>
      <c r="FV111" s="7">
        <v>0.30170458610062212</v>
      </c>
      <c r="FW111" s="6">
        <v>2019.9999999999998</v>
      </c>
      <c r="FX111" s="6">
        <v>2039.7221397149683</v>
      </c>
      <c r="FY111" s="6">
        <v>2085</v>
      </c>
      <c r="FZ111" s="6">
        <v>1952.7147957719815</v>
      </c>
      <c r="GA111" s="6">
        <v>2040.3631151809641</v>
      </c>
      <c r="GB111" s="6">
        <v>17944.636884819036</v>
      </c>
      <c r="GC111" s="7">
        <v>1.0519917368675835E-2</v>
      </c>
      <c r="GD111" s="7">
        <v>1.0907376769596985E-2</v>
      </c>
      <c r="GE111" s="7"/>
      <c r="GF111" s="7"/>
      <c r="GG111" s="7">
        <v>3.6831030828707027E-2</v>
      </c>
      <c r="GH111" s="42">
        <v>8.3979722152695846</v>
      </c>
      <c r="GI111" s="6">
        <v>4420.1042583657791</v>
      </c>
      <c r="GJ111" s="14">
        <v>0.50394797582841733</v>
      </c>
      <c r="GK111" s="14">
        <v>0.50887573065309732</v>
      </c>
      <c r="GL111" s="14">
        <v>0.49605202417158278</v>
      </c>
      <c r="GM111" s="14">
        <v>0.4911242693469024</v>
      </c>
      <c r="GO111" s="5">
        <v>343.14810671672558</v>
      </c>
      <c r="GP111" s="5">
        <v>304.61036031982871</v>
      </c>
      <c r="GQ111" s="5">
        <v>535.04305713031317</v>
      </c>
      <c r="GR111" s="5">
        <v>410.15490233172511</v>
      </c>
      <c r="GS111" s="5">
        <v>339.42744393800166</v>
      </c>
      <c r="GT111" s="5">
        <v>293.4407446948278</v>
      </c>
      <c r="GU111" s="5">
        <v>258.04012322764959</v>
      </c>
      <c r="GV111" s="39" t="s">
        <v>392</v>
      </c>
      <c r="GW111" s="5">
        <v>492.125</v>
      </c>
      <c r="GX111" s="5">
        <v>369.09375</v>
      </c>
      <c r="GY111" s="5">
        <v>295.27499999999998</v>
      </c>
      <c r="GZ111" s="5">
        <v>260.54902799031458</v>
      </c>
      <c r="HA111" s="5">
        <v>241.34874471337258</v>
      </c>
      <c r="HB111" s="39">
        <v>280.39841310148159</v>
      </c>
      <c r="HC111" s="5">
        <v>196.06562499999998</v>
      </c>
      <c r="HD111" s="5">
        <v>177.54497441520465</v>
      </c>
      <c r="HE111" s="5">
        <v>183.15757844129553</v>
      </c>
      <c r="HF111" s="5">
        <v>172.69313048245613</v>
      </c>
      <c r="HG111" s="5">
        <v>170.66888157894735</v>
      </c>
      <c r="HH111" s="39">
        <v>178.35090729075014</v>
      </c>
      <c r="HI111" s="16"/>
      <c r="HJ111" s="19" t="str">
        <f t="shared" si="107"/>
        <v>On</v>
      </c>
      <c r="HK111" s="1" t="str">
        <f t="shared" si="108"/>
        <v>On</v>
      </c>
      <c r="HL111" s="16"/>
      <c r="HM111" s="639">
        <f t="shared" si="42"/>
        <v>5.7455619280273196E-3</v>
      </c>
      <c r="HN111" s="639">
        <f t="shared" si="43"/>
        <v>5.0031960498701745E-4</v>
      </c>
      <c r="HO111" s="639">
        <f t="shared" si="44"/>
        <v>3.9819433988714835E-3</v>
      </c>
      <c r="HP111" s="644">
        <f>(FT111*$GD111-HM111)/$JF111*INDEX(Input!$1:$1048576,$JG$93,$C111*2+6)</f>
        <v>63.444824750521363</v>
      </c>
      <c r="HQ111" s="644">
        <f>(FU111*$GD111-HN111)/$JF111*INDEX(Input!$1:$1048576,$JG$93,$C111*2+6)</f>
        <v>-3.6737996508236659</v>
      </c>
      <c r="HR111" s="644">
        <f>(FV111*$GD111-HO111)/$JF111*INDEX(Input!$1:$1048576,$JG$93,$C111*2+6)</f>
        <v>-30.138124493987224</v>
      </c>
      <c r="HS111" s="644">
        <f t="shared" si="45"/>
        <v>-14.091822880641535</v>
      </c>
      <c r="HT111" s="644">
        <f t="shared" si="46"/>
        <v>-5.55624712894243</v>
      </c>
      <c r="HU111" s="644">
        <f t="shared" si="47"/>
        <v>6.4817412026862353</v>
      </c>
      <c r="HV111" s="648">
        <f t="shared" si="48"/>
        <v>0</v>
      </c>
      <c r="HW111" s="648">
        <f t="shared" si="49"/>
        <v>0</v>
      </c>
      <c r="HX111" s="648">
        <f t="shared" si="50"/>
        <v>0</v>
      </c>
      <c r="HY111" s="644">
        <f>INDEX(Input!$1:$1048576,HY$93,$C111*2+6)*INDEX(Input!$1:$1048576,$JG$93,$C111*2+6)</f>
        <v>110.00000000000001</v>
      </c>
      <c r="HZ111" s="644">
        <f>INDEX(Input!$1:$1048576,HZ$93,$C111*2+6)*INDEX(Input!$1:$1048576,$JG$93,$C111*2+6)</f>
        <v>157</v>
      </c>
      <c r="IA111" s="644">
        <f>INDEX(Input!$1:$1048576,IA$93,$C111*2+6)*INDEX(Input!$1:$1048576,$JG$93,$C111*2+6)</f>
        <v>179</v>
      </c>
      <c r="IB111" s="644">
        <f t="shared" si="88"/>
        <v>159.35300186987985</v>
      </c>
      <c r="IC111" s="644">
        <f t="shared" si="89"/>
        <v>147.7699532202339</v>
      </c>
      <c r="ID111" s="644">
        <f>IF(AND(INDEX(Input!$1:$1048576,IA$93,$C111*2+7)="TOS",Y111&lt;=INDEX(Y:Y,MATCH(C111*1000+2,A:A))),0,1)*MAX(IA111+HR111+HU111+HX111,0%)</f>
        <v>155.34361670869902</v>
      </c>
      <c r="IE111" s="128">
        <f t="shared" si="90"/>
        <v>0.34457193576188533</v>
      </c>
      <c r="IF111" s="128">
        <f t="shared" si="51"/>
        <v>0.31952569597726166</v>
      </c>
      <c r="IG111" s="128">
        <f t="shared" si="52"/>
        <v>0.33590236826085301</v>
      </c>
      <c r="IH111" s="21"/>
      <c r="II111" s="19">
        <f t="shared" si="53"/>
        <v>1240</v>
      </c>
      <c r="IJ111" s="19">
        <f t="shared" si="54"/>
        <v>2009.7221397149679</v>
      </c>
      <c r="IK111" s="19">
        <f t="shared" si="55"/>
        <v>2070</v>
      </c>
      <c r="IL111" s="19">
        <f t="shared" si="91"/>
        <v>779.99999999999977</v>
      </c>
      <c r="IM111" s="19">
        <f t="shared" si="56"/>
        <v>30.000000000000455</v>
      </c>
      <c r="IN111" s="19">
        <f t="shared" si="56"/>
        <v>15</v>
      </c>
      <c r="IO111" s="39">
        <f t="shared" si="57"/>
        <v>0</v>
      </c>
      <c r="IP111" s="39">
        <f t="shared" si="58"/>
        <v>0</v>
      </c>
      <c r="IQ111" s="39">
        <f t="shared" si="59"/>
        <v>0</v>
      </c>
      <c r="IR111" s="39">
        <v>0</v>
      </c>
      <c r="IS111" s="39">
        <v>0</v>
      </c>
      <c r="IT111" s="39">
        <v>0</v>
      </c>
      <c r="IU111" s="39">
        <v>0</v>
      </c>
      <c r="IV111" s="39">
        <v>0</v>
      </c>
      <c r="IW111" s="39">
        <v>0</v>
      </c>
      <c r="IX111" s="39">
        <f>INDEX(Input!$1:$1048576,IX$93,$C111*2+6)+INDEX(Input!$1:$1048576,IX$94,$C111*2+6)</f>
        <v>1270</v>
      </c>
      <c r="IY111" s="39">
        <f>INDEX(Input!$1:$1048576,IY$93,$C111*2+6)+INDEX(Input!$1:$1048576,IY$94,$C111*2+6)</f>
        <v>2130.0624533823611</v>
      </c>
      <c r="IZ111" s="39">
        <f>INDEX(Input!$1:$1048576,IZ$93,$C111*2+6)+INDEX(Input!$1:$1048576,IZ$94,$C111*2+6)</f>
        <v>4373.7164157747848</v>
      </c>
      <c r="JA111" s="19">
        <f t="shared" si="92"/>
        <v>2050</v>
      </c>
      <c r="JB111" s="19">
        <f t="shared" si="92"/>
        <v>2160.0624533823616</v>
      </c>
      <c r="JC111" s="19">
        <f t="shared" si="92"/>
        <v>4388.7164157747848</v>
      </c>
      <c r="JD111" s="19">
        <f t="shared" si="93"/>
        <v>2870.748164767248</v>
      </c>
      <c r="JE111" s="21"/>
      <c r="JF111" s="1">
        <f t="shared" si="60"/>
        <v>1.022782493188582E-2</v>
      </c>
      <c r="JG111" s="15">
        <f>INDEX(Input!$1:$1048576,JG$93,$C111*2+6)/(1+VLOOKUP(C111*1000+INDEX(Input!$1:$1048576,JG$93+1,$C111*2+6),$A:$KK,$JK$92,FALSE))</f>
        <v>446</v>
      </c>
      <c r="JH111" s="1">
        <f t="shared" si="94"/>
        <v>6.6441481178723033E-2</v>
      </c>
      <c r="JI111" s="1">
        <f t="shared" si="95"/>
        <v>-2.9520916607394011E-2</v>
      </c>
      <c r="JJ111" s="1">
        <f t="shared" si="96"/>
        <v>0</v>
      </c>
      <c r="JK111" s="1">
        <f t="shared" si="97"/>
        <v>3.6920564571329022E-2</v>
      </c>
      <c r="JL111" s="15">
        <f t="shared" si="98"/>
        <v>16.466571798812744</v>
      </c>
      <c r="JM111" s="15">
        <f t="shared" si="99"/>
        <v>462.46657179881277</v>
      </c>
      <c r="JN111" s="21"/>
      <c r="JO111" s="19">
        <f>INDEX(Input!$1:$1048576,JO$93,$C111*2+6)</f>
        <v>5995.5</v>
      </c>
      <c r="JP111" s="19">
        <f>INDEX(Input!$1:$1048576,JP$93,$C111*2+6)</f>
        <v>2818.4193802796353</v>
      </c>
      <c r="JQ111" s="39">
        <f t="shared" si="109"/>
        <v>3124.751835232752</v>
      </c>
      <c r="JR111" s="39">
        <f t="shared" si="61"/>
        <v>52.328784487612666</v>
      </c>
      <c r="JS111" s="39">
        <f t="shared" si="62"/>
        <v>1.3276250622576424</v>
      </c>
      <c r="JT111" s="39">
        <f t="shared" si="100"/>
        <v>7.061001865292503E-2</v>
      </c>
      <c r="JU111" s="385">
        <f>(JQ111*JM111-INDEX(Input!$1:$1048576,Input!A$18,$C111*2+6)*JL111*INDEX(Input!$1:$1048576,Input!A$19,$C111*2+6))/1000000</f>
        <v>1.4450932689621394</v>
      </c>
      <c r="JV111" s="39">
        <f t="shared" si="63"/>
        <v>2.8115312566856732E-2</v>
      </c>
      <c r="JW111" s="1">
        <f t="shared" si="117"/>
        <v>1.9841743084261246E-2</v>
      </c>
      <c r="JX111" s="19">
        <f t="shared" si="113"/>
        <v>4288.0825174561278</v>
      </c>
      <c r="JZ111" s="341"/>
      <c r="KA111" s="342"/>
      <c r="KB111" s="469">
        <f t="shared" si="110"/>
        <v>2.9286733661474216</v>
      </c>
      <c r="KI111" s="473">
        <f t="shared" si="111"/>
        <v>49.353001869879833</v>
      </c>
      <c r="KJ111" s="473">
        <f t="shared" si="101"/>
        <v>-9.2300467797660986</v>
      </c>
      <c r="KK111" s="473">
        <f t="shared" si="102"/>
        <v>-23.656383291300983</v>
      </c>
      <c r="KN111" s="544">
        <f t="shared" si="114"/>
        <v>1002</v>
      </c>
      <c r="KO111" s="541">
        <f t="shared" si="64"/>
        <v>3.2670202435761464E-2</v>
      </c>
      <c r="KP111" s="546">
        <f t="shared" si="65"/>
        <v>258.42895182141405</v>
      </c>
      <c r="KQ111" s="546">
        <f t="shared" si="66"/>
        <v>31.431964748596329</v>
      </c>
      <c r="KR111" s="548">
        <f t="shared" si="67"/>
        <v>2.16753175949124</v>
      </c>
      <c r="KS111" s="548">
        <f t="shared" si="68"/>
        <v>17.821124613915885</v>
      </c>
      <c r="KT111" s="473">
        <f t="shared" si="112"/>
        <v>238.28695973331548</v>
      </c>
      <c r="KU111" s="663">
        <f t="shared" si="103"/>
        <v>6.5494619477288403</v>
      </c>
      <c r="KV111" s="117">
        <f t="shared" si="142"/>
        <v>19</v>
      </c>
    </row>
    <row r="112" spans="1:310" s="26" customFormat="1" ht="15">
      <c r="A112" s="561">
        <f t="shared" ref="A112" si="143">C112*1000+B112</f>
        <v>1012</v>
      </c>
      <c r="B112" s="561">
        <f t="shared" si="104"/>
        <v>12</v>
      </c>
      <c r="C112" s="561">
        <f t="shared" si="105"/>
        <v>1</v>
      </c>
      <c r="D112" s="561" t="str">
        <f t="shared" si="141"/>
        <v xml:space="preserve">1000 CC, </v>
      </c>
      <c r="E112" s="475">
        <f>INDEX(Input!$1:$1048576,E$93,$C112*2+MIN($B112,2)+5)+IF(OR(BX112&gt;50000,INDEX(Input!$1:$1048576,E$93,$C112*2+MIN($B112,2)+5)&gt;0),0,250)+IF(BX112&gt;50000,500,250)*4</f>
        <v>2229</v>
      </c>
      <c r="F112" s="475">
        <f>INDEX(Input!$1:$1048576,F$93,$C112*2+MIN($B112,2)+5)</f>
        <v>0</v>
      </c>
      <c r="G112" s="475">
        <f>INDEX(Input!$1:$1048576,G$93,$C112*2+MIN($B112,2)+5)</f>
        <v>0</v>
      </c>
      <c r="H112" s="115">
        <f>INDEX(Input!$1:$1048576,H$93,$C112*2+MIN($B112,2)+5)</f>
        <v>0</v>
      </c>
      <c r="I112" s="118">
        <f>INDEX(Input!$1:$1048576,I$93,$C112*2+MIN($B112,2)+5)</f>
        <v>0.7</v>
      </c>
      <c r="J112" s="118" t="str">
        <f>INDEX(Input!$1:$1048576,J$93,$C112*2+MIN($B112,2)+5)</f>
        <v>Market</v>
      </c>
      <c r="K112" s="118" t="str">
        <f>INDEX(Input!$1:$1048576,K$93,$C112*2+MIN($B112,2)+5)</f>
        <v>Market</v>
      </c>
      <c r="L112" s="118" t="str">
        <f>INDEX(Input!$1:$1048576,L$93,$C112*2+MIN($B112,2)+5)</f>
        <v>Market</v>
      </c>
      <c r="M112" s="118" t="str">
        <f>INDEX(Input!$1:$1048576,M$93,$C112*2+MIN($B112,2)+5)</f>
        <v>Market</v>
      </c>
      <c r="N112" s="118" t="str">
        <f>INDEX(Input!$1:$1048576,N$93,$C112*2+MIN($B112,2)+5)</f>
        <v>Market</v>
      </c>
      <c r="O112" s="118" t="str">
        <f>INDEX(Input!$1:$1048576,O$93,$C112*2+MIN($B112,2)+5)</f>
        <v>Market</v>
      </c>
      <c r="P112" s="118" t="str">
        <f>INDEX(Input!$1:$1048576,P$93,$C112*2+MIN($B112,2)+5)</f>
        <v>N</v>
      </c>
      <c r="Q112" s="30">
        <f>INDEX(Input!$1:$1048576,Q$93,$C112*2+MIN($B112,2)+5)</f>
        <v>0</v>
      </c>
      <c r="R112" s="383">
        <f>INDEX(Input!$1:$1048576,R$93,$C112*2+MIN($B112,2)+5)</f>
        <v>0</v>
      </c>
      <c r="S112" s="383">
        <f>INDEX(Input!$1:$1048576,S$93,$C112*2+MIN($B112,2)+5)</f>
        <v>0</v>
      </c>
      <c r="T112" s="383">
        <f>INDEX(Input!$1:$1048576,T$93,$C112*2+MIN($B112,2)+5)</f>
        <v>0</v>
      </c>
      <c r="U112" s="383">
        <f>INDEX(Input!$1:$1048576,U$93,$C112*2+MIN($B112,2)+5)</f>
        <v>0</v>
      </c>
      <c r="V112" s="383">
        <f>INDEX(Input!$1:$1048576,V$93,$C112*2+MIN($B112,2)+5)</f>
        <v>1.9E-2</v>
      </c>
      <c r="W112" s="884">
        <f>INDEX(Input!$1:$1048576,W$93,$C112*2+MIN($B112,2)+5)</f>
        <v>3.9E-2</v>
      </c>
      <c r="X112" s="118" t="str">
        <f>INDEX(Input!$1:$1048576,X$93,$C112*2+MIN($B112,2)+5)</f>
        <v>Y</v>
      </c>
      <c r="Y112" s="150">
        <f>INDEX(Input!$1:$1048576,Y$93,$C112*2+MIN($B112,2)+5)</f>
        <v>1942</v>
      </c>
      <c r="Z112" s="30">
        <f>INDEX(Input!$1:$1048576,Z$93,$C112*2+MIN($B112,2)+5)</f>
        <v>0</v>
      </c>
      <c r="AA112" s="115">
        <f>INDEX(Input!$1:$1048576,AA$93,$C112*2+MIN($B112,2)+5)</f>
        <v>0</v>
      </c>
      <c r="AB112" s="118">
        <f>INDEX(Input!$1:$1048576,AB$93,$C112*2+MIN($B112,2)+5)</f>
        <v>0.27</v>
      </c>
      <c r="AC112" s="115">
        <f>INDEX(Input!$1:$1048576,AC$93,$C112*2+MIN($B112,2)+5)</f>
        <v>0</v>
      </c>
      <c r="AD112" s="118">
        <f>INDEX(Input!$1:$1048576,AD$93,$C112*2+MIN($B112,2)+5)</f>
        <v>0.27</v>
      </c>
      <c r="AE112" s="115">
        <f>INDEX(Input!$1:$1048576,AE$93,$C112*2+MIN($B112,2)+5)</f>
        <v>0</v>
      </c>
      <c r="AF112" s="118">
        <f>INDEX(Input!$1:$1048576,AF$93,$C112*2+MIN($B112,2)+5)</f>
        <v>0.38</v>
      </c>
      <c r="AG112" s="115">
        <f>INDEX(Input!$1:$1048576,AG$93,$C112*2+MIN($B112,2)+5)</f>
        <v>0</v>
      </c>
      <c r="AH112" s="118">
        <f>INDEX(Input!$1:$1048576,AH$93,$C112*2+MIN($B112,2)+5)</f>
        <v>0</v>
      </c>
      <c r="AI112" s="115">
        <f>INDEX(Input!$1:$1048576,AI$93,$C112*2+MIN($B112,2)+5)</f>
        <v>0</v>
      </c>
      <c r="AJ112" s="118">
        <f>INDEX(Input!$1:$1048576,AJ$93,$C112*2+MIN($B112,2)+5)</f>
        <v>0.27</v>
      </c>
      <c r="AK112" s="150">
        <f>ROUND(INDEX(Input!$1:$1048576,AK$93,$C111*2+MIN($B112,1)+5)+(Y112-VLOOKUP($C112*1000+1,$A:$HH,Y$92,FALSE)),0)</f>
        <v>3757</v>
      </c>
      <c r="AL112" s="150">
        <f>ROUND(INDEX(Input!$1:$1048576,AL$93,$C111*2+MIN($B112,1)+5)-(Y112-VLOOKUP($C112*1000+1,$A:$HH,Y$92,FALSE))/36,0)</f>
        <v>4113</v>
      </c>
      <c r="AM112" s="32" t="str">
        <f t="shared" ref="AM112" si="144">IF(K112="market","std",ROUND(K112*1000,0)/10)&amp;"/"&amp;IF(L112="market","std",ROUND(L112*1000,0)/10)&amp;"/"&amp;IF(M112="market","std",ROUND(M112*1000,0)/10)&amp;"/"&amp;IF(N112="market","std",ROUND(N112*1000,0)/10)&amp;IF(P112="N","","/"&amp;IF(O112="market","std",ROUND(O112*1000,0)/10))</f>
        <v>std/std/std/std</v>
      </c>
      <c r="AN112" s="32" t="str">
        <f t="shared" ref="AN112" si="145">"$"&amp;ROUND(Q112,0)&amp;" + "&amp;IF(S112="market","std",ROUND(S112*1000,0)/10)&amp;"/"&amp;IF(T112="market","std",ROUND(T112*1000,0)/10)&amp;"/"&amp;IF(U112="market","std",ROUND(U112*1000,0)/10)&amp;"/"&amp;IF(V112="market","std",ROUND(V112*1000,0)/10)&amp;IF(X112="N","","/"&amp;IF(W112="market","std",ROUND(W112*1000,0)/10))</f>
        <v>$0 + 0/0/0/1.9/3.9</v>
      </c>
      <c r="AO112" s="32" t="str">
        <f t="shared" ref="AO112" si="146">IF(S112="market","std",ROUND(S112*1000,0)/10)&amp;"/"&amp;IF(T112="market","std",ROUND(T112*1000,0)/10)&amp;"/"&amp;IF(U112="market","std",ROUND(U112*1000,0)/10)&amp;"/"&amp;IF(V112="market","std",ROUND(V112*1000,0)/10)&amp;IF(X112="N","","/"&amp;IF(W112="market","std",ROUND(W112*1000,0)/10))</f>
        <v>0/0/0/1.9/3.9</v>
      </c>
      <c r="AP112" s="32" t="str">
        <f t="shared" si="73"/>
        <v>0/0.9/1.9/3.9</v>
      </c>
      <c r="AQ112" s="536">
        <f t="shared" si="39"/>
        <v>0.37657151309459724</v>
      </c>
      <c r="AR112" s="32"/>
      <c r="AS112" s="302"/>
      <c r="AT112" s="3">
        <f t="shared" si="106"/>
        <v>12</v>
      </c>
      <c r="AU112" s="41" t="s">
        <v>121</v>
      </c>
      <c r="AV112" s="41" t="s">
        <v>116</v>
      </c>
      <c r="AW112" s="41" t="str">
        <f>INDEX(Input!$1:$1048576,AW$93,$C112*2+6)</f>
        <v>Kia</v>
      </c>
      <c r="AX112" s="41" t="str">
        <f>INDEX(Input!$1:$1048576,AX$93,$C112*2+6)</f>
        <v>Kia-LR - L1</v>
      </c>
      <c r="AY112" s="41" t="str">
        <f>IF(LEN(D112)=0,"",INDEX(Input!$1:$1048576,AY$93,$C112*2+6))</f>
        <v>Compact SUV (52)</v>
      </c>
      <c r="AZ112" s="41" t="str">
        <f>INDEX(Input!$1:$1048576,AZ$93,$C112*2+6)</f>
        <v>Kia Soul</v>
      </c>
      <c r="BA112" s="3">
        <f>INDEX(Input!$1:$1048576,BA$93,$C112*2+6)</f>
        <v>2020</v>
      </c>
      <c r="BB112" s="128">
        <f>INDEX(Input!$1:$1048576,BB$93,$C112*2+6)</f>
        <v>1</v>
      </c>
      <c r="BC112" s="128">
        <f>INDEX(Input!$1:$1048576,BC$93,$C112*2+6)</f>
        <v>0.7</v>
      </c>
      <c r="BD112" s="1">
        <f>INDEX(Input!$1:$1048576,BD$93,$C112*2+6)</f>
        <v>4.4999999999999998E-2</v>
      </c>
      <c r="BE112" s="1">
        <f>INDEX(Input!$1:$1048576,BE$93,$C112*2+6)</f>
        <v>4.4999999999999998E-2</v>
      </c>
      <c r="BF112" s="1">
        <f>INDEX(Input!$1:$1048576,BF$93,$C112*2+6)</f>
        <v>0.05</v>
      </c>
      <c r="BG112" s="1">
        <f>INDEX(Input!$1:$1048576,BG$93,$C112*2+6)</f>
        <v>5.45E-2</v>
      </c>
      <c r="BH112" s="1">
        <f>INDEX(Input!$1:$1048576,BH$93,$C112*2+6)</f>
        <v>5.45E-2</v>
      </c>
      <c r="BI112" s="1">
        <f>INDEX(Input!$1:$1048576,BI$93,$C112*2+6)</f>
        <v>0.05</v>
      </c>
      <c r="BJ112" s="1">
        <f>INDEX(Input!$1:$1048576,BJ$93,$C112*2+6)</f>
        <v>0.05</v>
      </c>
      <c r="BK112" s="1">
        <f>INDEX(Input!$1:$1048576,BK$93,$C112*2+6)</f>
        <v>0.05</v>
      </c>
      <c r="BL112" s="1">
        <f>INDEX(Input!$1:$1048576,BL$93,$C112*2+6)</f>
        <v>5.5E-2</v>
      </c>
      <c r="BM112" s="1">
        <f>INDEX(Input!$1:$1048576,BM$93,$C112*2+6)</f>
        <v>0.06</v>
      </c>
      <c r="BN112" s="1">
        <f>INDEX(Input!$1:$1048576,BN$93,$C112*2+6)</f>
        <v>4.4999999999999998E-2</v>
      </c>
      <c r="BO112" s="1">
        <f>INDEX(Input!$1:$1048576,BO$93,$C112*2+6)</f>
        <v>4.4999999999999998E-2</v>
      </c>
      <c r="BP112" s="1">
        <f>INDEX(Input!$1:$1048576,BP$93,$C112*2+6)</f>
        <v>0.05</v>
      </c>
      <c r="BQ112" s="1">
        <f>INDEX(Input!$1:$1048576,BQ$93,$C112*2+6)</f>
        <v>5.45E-2</v>
      </c>
      <c r="BR112" s="1">
        <f>INDEX(Input!$1:$1048576,BR$93,$C112*2+6)</f>
        <v>5.45E-2</v>
      </c>
      <c r="BS112" s="1">
        <f>INDEX(Input!$1:$1048576,BS$93,$C112*2+6)</f>
        <v>0.05</v>
      </c>
      <c r="BT112" s="1">
        <f>INDEX(Input!$1:$1048576,BT$93,$C112*2+6)</f>
        <v>0.05</v>
      </c>
      <c r="BU112" s="1">
        <f>INDEX(Input!$1:$1048576,BU$93,$C112*2+6)</f>
        <v>0.05</v>
      </c>
      <c r="BV112" s="1">
        <f>INDEX(Input!$1:$1048576,BV$93,$C112*2+6)</f>
        <v>5.5E-2</v>
      </c>
      <c r="BW112" s="1">
        <f>INDEX(Input!$1:$1048576,BW$93,$C112*2+6)</f>
        <v>0.06</v>
      </c>
      <c r="BX112" s="127">
        <f>INDEX(Input!$1:$1048576,BX$93,$C112*2+6)</f>
        <v>19985</v>
      </c>
      <c r="BY112" s="20">
        <f>INDEX(Input!$1:$1048576,BY$93,$C112*2+6)</f>
        <v>0.1</v>
      </c>
      <c r="BZ112" s="20">
        <f>INDEX(Input!$1:$1048576,BZ$93,$C112*2+6)</f>
        <v>0.1</v>
      </c>
      <c r="CA112" s="20">
        <f>INDEX(Input!$1:$1048576,CA$93,$C112*2+6)</f>
        <v>0.1</v>
      </c>
      <c r="CB112" s="20">
        <f>INDEX(Input!$1:$1048576,CB$93,$C112*2+6)</f>
        <v>0.1</v>
      </c>
      <c r="CC112" s="20">
        <f>INDEX(Input!$1:$1048576,CC$93,$C112*2+6)</f>
        <v>0.1</v>
      </c>
      <c r="CD112" s="384">
        <f>INDEX(Input!$1:$1048576,CD$93,$C112*2+6)</f>
        <v>0.1</v>
      </c>
      <c r="CE112" s="384">
        <f>INDEX(Input!$1:$1048576,CE$93,$C112*2+6)</f>
        <v>0.1</v>
      </c>
      <c r="CF112" s="384">
        <f>INDEX(Input!$1:$1048576,CF$93,$C112*2+6)</f>
        <v>0.1</v>
      </c>
      <c r="CG112" s="384">
        <f>INDEX(Input!$1:$1048576,CG$93,$C112*2+6)</f>
        <v>0.1</v>
      </c>
      <c r="CH112" s="384">
        <f>INDEX(Input!$1:$1048576,CH$93,$C112*2+6)</f>
        <v>0.1</v>
      </c>
      <c r="CI112" s="304">
        <f t="shared" si="74"/>
        <v>2229</v>
      </c>
      <c r="CJ112" s="16" t="str">
        <f>INDEX(Input!$1:$1048576,CJ$93,$C112*2+6)</f>
        <v>N</v>
      </c>
      <c r="CK112" s="1" t="str">
        <f t="shared" si="75"/>
        <v>Market</v>
      </c>
      <c r="CL112" s="1" t="str">
        <f t="shared" si="76"/>
        <v>Market</v>
      </c>
      <c r="CM112" s="1" t="str">
        <f t="shared" si="77"/>
        <v>Market</v>
      </c>
      <c r="CN112" s="1" t="str">
        <f t="shared" si="78"/>
        <v>Market</v>
      </c>
      <c r="CO112" s="1" t="str">
        <f t="shared" si="79"/>
        <v>Market</v>
      </c>
      <c r="CP112" s="304">
        <f t="shared" si="80"/>
        <v>0</v>
      </c>
      <c r="CQ112" s="1">
        <f t="shared" si="81"/>
        <v>0</v>
      </c>
      <c r="CR112" s="1">
        <f t="shared" si="82"/>
        <v>0</v>
      </c>
      <c r="CS112" s="1">
        <f t="shared" si="83"/>
        <v>0</v>
      </c>
      <c r="CT112" s="1">
        <f t="shared" si="84"/>
        <v>1.9E-2</v>
      </c>
      <c r="CU112" s="1">
        <f t="shared" si="85"/>
        <v>3.9E-2</v>
      </c>
      <c r="CV112" s="304">
        <f t="shared" si="86"/>
        <v>1942</v>
      </c>
      <c r="CW112" s="20" t="s">
        <v>122</v>
      </c>
      <c r="CX112" s="20" t="s">
        <v>122</v>
      </c>
      <c r="CY112" s="20" t="s">
        <v>122</v>
      </c>
      <c r="CZ112" s="20" t="s">
        <v>122</v>
      </c>
      <c r="DA112" s="20" t="s">
        <v>122</v>
      </c>
      <c r="DB112" s="503">
        <f t="shared" si="87"/>
        <v>0</v>
      </c>
      <c r="DC112" s="127">
        <v>0</v>
      </c>
      <c r="DD112" s="127">
        <v>0</v>
      </c>
      <c r="DE112" s="127">
        <v>0</v>
      </c>
      <c r="DF112" s="127">
        <v>0</v>
      </c>
      <c r="DG112" s="127">
        <v>0</v>
      </c>
      <c r="DH112" s="127">
        <v>0</v>
      </c>
      <c r="DI112" s="127">
        <v>0</v>
      </c>
      <c r="DJ112" s="127">
        <v>0</v>
      </c>
      <c r="DK112" s="127">
        <v>0</v>
      </c>
      <c r="DL112" s="127">
        <v>0</v>
      </c>
      <c r="DM112" s="304">
        <f>INDEX(Input!$1:$1048576,DM$93,$C112*2+6)</f>
        <v>21036.84210526316</v>
      </c>
      <c r="DN112" s="20">
        <v>0</v>
      </c>
      <c r="DO112" s="20">
        <v>0</v>
      </c>
      <c r="DP112" s="20">
        <v>0</v>
      </c>
      <c r="DQ112" s="20">
        <v>0</v>
      </c>
      <c r="DR112" s="20">
        <v>0</v>
      </c>
      <c r="DS112" s="20">
        <f>INDEX(Input!$1:$1048576,DS$93,$C112*2+6)</f>
        <v>0.6</v>
      </c>
      <c r="DT112" s="20">
        <f>INDEX(Input!$1:$1048576,DT$93,$C112*2+6)</f>
        <v>0.55000000000000004</v>
      </c>
      <c r="DU112" s="20">
        <f>INDEX(Input!$1:$1048576,DU$93,$C112*2+6)</f>
        <v>0.52</v>
      </c>
      <c r="DV112" s="20">
        <f>INDEX(Input!$1:$1048576,DV$93,$C112*2+6)</f>
        <v>0.5</v>
      </c>
      <c r="DW112" s="20">
        <f>INDEX(Input!$1:$1048576,DW$93,$C112*2+6)</f>
        <v>0.45</v>
      </c>
      <c r="DX112" s="20"/>
      <c r="DY112" s="7">
        <v>0.13123356941354508</v>
      </c>
      <c r="DZ112" s="7">
        <v>0</v>
      </c>
      <c r="EA112" s="7">
        <v>0.55883746015201574</v>
      </c>
      <c r="EB112" s="7">
        <v>0</v>
      </c>
      <c r="EC112" s="7">
        <v>0</v>
      </c>
      <c r="ED112" s="7">
        <v>0</v>
      </c>
      <c r="EE112" s="7">
        <v>0</v>
      </c>
      <c r="EF112" s="7">
        <v>0</v>
      </c>
      <c r="EG112" s="7">
        <v>0</v>
      </c>
      <c r="EH112" s="7">
        <v>1.8402200445098649E-2</v>
      </c>
      <c r="EI112" s="7">
        <v>5.3739557110571878E-2</v>
      </c>
      <c r="EJ112" s="7">
        <v>0.33946684904131991</v>
      </c>
      <c r="EK112" s="7">
        <v>0.48247712639938073</v>
      </c>
      <c r="EL112" s="7">
        <v>0.10591426700362867</v>
      </c>
      <c r="EM112" s="7">
        <v>3.4787344701650479E-2</v>
      </c>
      <c r="EN112" s="7">
        <v>5.0824256578978509E-2</v>
      </c>
      <c r="EO112" s="7">
        <v>0.76815678085538375</v>
      </c>
      <c r="EP112" s="7">
        <v>7.9058197430733584E-2</v>
      </c>
      <c r="EQ112" s="7">
        <v>6.027119863119898E-2</v>
      </c>
      <c r="ER112" s="7">
        <v>4.1689566503705228E-2</v>
      </c>
      <c r="ES112" s="7">
        <v>0.27514162573278855</v>
      </c>
      <c r="ET112" s="7">
        <v>0.30992897043443918</v>
      </c>
      <c r="EU112" s="6">
        <v>2270</v>
      </c>
      <c r="EV112" s="6">
        <v>0</v>
      </c>
      <c r="EW112" s="6">
        <v>2270</v>
      </c>
      <c r="EX112" s="6">
        <v>0</v>
      </c>
      <c r="EY112" s="6">
        <v>2039.7221397149676</v>
      </c>
      <c r="EZ112" s="6">
        <v>2085</v>
      </c>
      <c r="FA112" s="6">
        <v>0</v>
      </c>
      <c r="FB112" s="6">
        <v>0</v>
      </c>
      <c r="FC112" s="6">
        <v>0</v>
      </c>
      <c r="FD112" s="6">
        <v>0</v>
      </c>
      <c r="FE112" s="6">
        <v>0</v>
      </c>
      <c r="FF112" s="6">
        <v>0</v>
      </c>
      <c r="FG112" s="6">
        <v>0</v>
      </c>
      <c r="FH112" s="6">
        <v>1171.2811379695613</v>
      </c>
      <c r="FI112" s="6">
        <v>1553.9796069512404</v>
      </c>
      <c r="FJ112" s="6">
        <v>2101.2110117447401</v>
      </c>
      <c r="FK112" s="6">
        <v>1772.7139978623234</v>
      </c>
      <c r="FL112" s="6">
        <v>907.07682140966347</v>
      </c>
      <c r="FM112" s="6">
        <v>1769.7221397149676</v>
      </c>
      <c r="FN112" s="6">
        <v>0</v>
      </c>
      <c r="FO112" s="6">
        <v>0</v>
      </c>
      <c r="FP112" s="6">
        <v>0</v>
      </c>
      <c r="FQ112" s="6">
        <v>0</v>
      </c>
      <c r="FR112" s="6">
        <v>0</v>
      </c>
      <c r="FS112" s="6">
        <v>0</v>
      </c>
      <c r="FT112" s="7">
        <v>0.69007102956556077</v>
      </c>
      <c r="FU112" s="7">
        <v>3.4787344701650479E-2</v>
      </c>
      <c r="FV112" s="7">
        <v>0.27514162573278855</v>
      </c>
      <c r="FW112" s="6">
        <v>2270</v>
      </c>
      <c r="FX112" s="6">
        <v>2039.7221397149676</v>
      </c>
      <c r="FY112" s="6">
        <v>2085</v>
      </c>
      <c r="FZ112" s="6">
        <v>1952.7147957719815</v>
      </c>
      <c r="GA112" s="6">
        <v>2211.0880439365401</v>
      </c>
      <c r="GB112" s="6">
        <v>17773.911956063461</v>
      </c>
      <c r="GC112" s="7">
        <v>1.0519917368675835E-2</v>
      </c>
      <c r="GD112" s="7">
        <v>1.1154542643364072E-2</v>
      </c>
      <c r="GE112" s="7"/>
      <c r="GF112" s="7"/>
      <c r="GG112" s="7">
        <v>6.0326070295751655E-2</v>
      </c>
      <c r="GH112" s="42">
        <v>4.6661816709938035</v>
      </c>
      <c r="GI112" s="6">
        <v>6494.0331603326576</v>
      </c>
      <c r="GJ112" s="14">
        <v>0.50394797582841744</v>
      </c>
      <c r="GK112" s="14">
        <v>0.50887573065309755</v>
      </c>
      <c r="GL112" s="14">
        <v>0.49605202417158273</v>
      </c>
      <c r="GM112" s="14">
        <v>0.49112426934690245</v>
      </c>
      <c r="GO112" s="5">
        <v>343.14810671672558</v>
      </c>
      <c r="GP112" s="5">
        <v>299.84083725090579</v>
      </c>
      <c r="GQ112" s="5">
        <v>535.04305713031317</v>
      </c>
      <c r="GR112" s="5">
        <v>410.15490233172511</v>
      </c>
      <c r="GS112" s="5">
        <v>339.42744393800166</v>
      </c>
      <c r="GT112" s="5">
        <v>293.4407446948278</v>
      </c>
      <c r="GU112" s="5">
        <v>258.04012322764959</v>
      </c>
      <c r="GV112" s="39" t="s">
        <v>392</v>
      </c>
      <c r="GW112" s="5">
        <v>492.125</v>
      </c>
      <c r="GX112" s="5">
        <v>369.09375</v>
      </c>
      <c r="GY112" s="5">
        <v>295.27499999999998</v>
      </c>
      <c r="GZ112" s="5">
        <v>260.54902799031458</v>
      </c>
      <c r="HA112" s="5">
        <v>241.34874471337258</v>
      </c>
      <c r="HB112" s="39">
        <v>280.39841310148159</v>
      </c>
      <c r="HC112" s="5">
        <v>196.06562499999998</v>
      </c>
      <c r="HD112" s="5">
        <v>177.54497441520465</v>
      </c>
      <c r="HE112" s="5">
        <v>183.15757844129553</v>
      </c>
      <c r="HF112" s="5">
        <v>172.69313048245613</v>
      </c>
      <c r="HG112" s="5">
        <v>170.66888157894735</v>
      </c>
      <c r="HH112" s="39">
        <v>178.35090729075006</v>
      </c>
      <c r="HI112" s="16"/>
      <c r="HJ112" s="19" t="str">
        <f t="shared" si="107"/>
        <v>On</v>
      </c>
      <c r="HK112" s="1" t="str">
        <f t="shared" si="108"/>
        <v>On</v>
      </c>
      <c r="HL112" s="16"/>
      <c r="HM112" s="639">
        <f t="shared" si="42"/>
        <v>5.7455619280273196E-3</v>
      </c>
      <c r="HN112" s="639">
        <f t="shared" si="43"/>
        <v>5.0031960498701745E-4</v>
      </c>
      <c r="HO112" s="639">
        <f t="shared" si="44"/>
        <v>3.9819433988714835E-3</v>
      </c>
      <c r="HP112" s="644">
        <f>(FT112*$GD112-HM112)/$JF112*INDEX(Input!$1:$1048576,$JG$93,$C112*2+6)</f>
        <v>85.114059519005409</v>
      </c>
      <c r="HQ112" s="644">
        <f>(FU112*$GD112-HN112)/$JF112*INDEX(Input!$1:$1048576,$JG$93,$C112*2+6)</f>
        <v>-4.8962587716964094</v>
      </c>
      <c r="HR112" s="644">
        <f>(FV112*$GD112-HO112)/$JF112*INDEX(Input!$1:$1048576,$JG$93,$C112*2+6)</f>
        <v>-39.8068529581302</v>
      </c>
      <c r="HS112" s="644">
        <f t="shared" si="45"/>
        <v>-18.602034498155973</v>
      </c>
      <c r="HT112" s="644">
        <f t="shared" si="46"/>
        <v>-7.5637274258316634</v>
      </c>
      <c r="HU112" s="644">
        <f t="shared" si="47"/>
        <v>8.4892214995754518</v>
      </c>
      <c r="HV112" s="648">
        <f t="shared" si="48"/>
        <v>0</v>
      </c>
      <c r="HW112" s="648">
        <f t="shared" si="49"/>
        <v>0</v>
      </c>
      <c r="HX112" s="648">
        <f t="shared" si="50"/>
        <v>0</v>
      </c>
      <c r="HY112" s="644">
        <f>INDEX(Input!$1:$1048576,HY$93,$C112*2+6)*INDEX(Input!$1:$1048576,$JG$93,$C112*2+6)</f>
        <v>110.00000000000001</v>
      </c>
      <c r="HZ112" s="644">
        <f>INDEX(Input!$1:$1048576,HZ$93,$C112*2+6)*INDEX(Input!$1:$1048576,$JG$93,$C112*2+6)</f>
        <v>157</v>
      </c>
      <c r="IA112" s="644">
        <f>INDEX(Input!$1:$1048576,IA$93,$C112*2+6)*INDEX(Input!$1:$1048576,$JG$93,$C112*2+6)</f>
        <v>179</v>
      </c>
      <c r="IB112" s="644">
        <f t="shared" si="88"/>
        <v>176.51202502084951</v>
      </c>
      <c r="IC112" s="644">
        <f t="shared" ref="IC112" si="147">MAX(HZ112+HQ112+HT112+HW112,0%)</f>
        <v>144.54001380247192</v>
      </c>
      <c r="ID112" s="644">
        <f>IF(AND(INDEX(Input!$1:$1048576,IA$93,$C112*2+7)="TOS",Y112&lt;=INDEX(Y:Y,MATCH(C112*1000+2,A:A))),0,1)*MAX(IA112+HR112+HU112+HX112,0%)</f>
        <v>147.68236854144524</v>
      </c>
      <c r="IE112" s="128">
        <f t="shared" ref="IE112" si="148">IB112/SUM($IB112:$ID112)</f>
        <v>0.37657151309459724</v>
      </c>
      <c r="IF112" s="128">
        <f t="shared" ref="IF112" si="149">IC112/SUM($IB112:$ID112)</f>
        <v>0.30836228689734663</v>
      </c>
      <c r="IG112" s="128">
        <f t="shared" ref="IG112" si="150">ID112/SUM($IB112:$ID112)</f>
        <v>0.31506620000805619</v>
      </c>
      <c r="IH112" s="21"/>
      <c r="II112" s="19">
        <f t="shared" si="53"/>
        <v>1240</v>
      </c>
      <c r="IJ112" s="19">
        <f t="shared" si="54"/>
        <v>2009.7221397149679</v>
      </c>
      <c r="IK112" s="19">
        <f t="shared" si="55"/>
        <v>2070</v>
      </c>
      <c r="IL112" s="19">
        <f t="shared" ref="IL112" si="151">(FW112-FA112*DZ112/FT112)-II112</f>
        <v>1030</v>
      </c>
      <c r="IM112" s="19">
        <f t="shared" ref="IM112" si="152">FX112-IJ112</f>
        <v>29.999999999999773</v>
      </c>
      <c r="IN112" s="19">
        <f t="shared" ref="IN112" si="153">FY112-IK112</f>
        <v>15</v>
      </c>
      <c r="IO112" s="39">
        <f t="shared" si="57"/>
        <v>0</v>
      </c>
      <c r="IP112" s="39">
        <f t="shared" si="58"/>
        <v>0</v>
      </c>
      <c r="IQ112" s="39">
        <f t="shared" si="59"/>
        <v>0</v>
      </c>
      <c r="IR112" s="39">
        <v>0</v>
      </c>
      <c r="IS112" s="39">
        <v>0</v>
      </c>
      <c r="IT112" s="39">
        <v>0</v>
      </c>
      <c r="IU112" s="39">
        <v>0</v>
      </c>
      <c r="IV112" s="39">
        <v>0</v>
      </c>
      <c r="IW112" s="39">
        <v>0</v>
      </c>
      <c r="IX112" s="39">
        <f>INDEX(Input!$1:$1048576,IX$93,$C112*2+6)+INDEX(Input!$1:$1048576,IX$94,$C112*2+6)</f>
        <v>1270</v>
      </c>
      <c r="IY112" s="39">
        <f>INDEX(Input!$1:$1048576,IY$93,$C112*2+6)+INDEX(Input!$1:$1048576,IY$94,$C112*2+6)</f>
        <v>2130.0624533823611</v>
      </c>
      <c r="IZ112" s="39">
        <f>INDEX(Input!$1:$1048576,IZ$93,$C112*2+6)+INDEX(Input!$1:$1048576,IZ$94,$C112*2+6)</f>
        <v>4373.7164157747848</v>
      </c>
      <c r="JA112" s="19">
        <f t="shared" ref="JA112" si="154">(IL112+IO112+IR112+IU112+IX112)</f>
        <v>2300</v>
      </c>
      <c r="JB112" s="19">
        <f t="shared" ref="JB112" si="155">(IM112+IP112+IS112+IV112+IY112)</f>
        <v>2160.0624533823611</v>
      </c>
      <c r="JC112" s="19">
        <f t="shared" ref="JC112" si="156">(IN112+IQ112+IT112+IW112+IZ112)</f>
        <v>4388.7164157747848</v>
      </c>
      <c r="JD112" s="19">
        <f t="shared" ref="JD112" si="157">SUMPRODUCT(IE112:IG112,JA112:JC112)</f>
        <v>2914.9324821147893</v>
      </c>
      <c r="JE112" s="21"/>
      <c r="JF112" s="1">
        <f t="shared" si="60"/>
        <v>1.022782493188582E-2</v>
      </c>
      <c r="JG112" s="15">
        <f>INDEX(Input!$1:$1048576,JG$93,$C112*2+6)/(1+VLOOKUP(C112*1000+INDEX(Input!$1:$1048576,JG$93+1,$C112*2+6),$A:$KK,$JK$92,FALSE))</f>
        <v>446</v>
      </c>
      <c r="JH112" s="1">
        <f t="shared" si="94"/>
        <v>9.0607506253764125E-2</v>
      </c>
      <c r="JI112" s="1">
        <f t="shared" si="95"/>
        <v>-3.9633498709444367E-2</v>
      </c>
      <c r="JJ112" s="1">
        <f t="shared" si="96"/>
        <v>0</v>
      </c>
      <c r="JK112" s="1">
        <f t="shared" ref="JK112" si="158">SUM(JH112:JJ112)</f>
        <v>5.0974007544319758E-2</v>
      </c>
      <c r="JL112" s="15">
        <f t="shared" ref="JL112" si="159">JG112*JK112</f>
        <v>22.734407364766611</v>
      </c>
      <c r="JM112" s="15">
        <f t="shared" ref="JM112" si="160">JG112+JL112</f>
        <v>468.73440736476664</v>
      </c>
      <c r="JN112" s="21"/>
      <c r="JO112" s="19">
        <f>INDEX(Input!$1:$1048576,JO$93,$C112*2+6)</f>
        <v>5995.5</v>
      </c>
      <c r="JP112" s="19">
        <f>INDEX(Input!$1:$1048576,JP$93,$C112*2+6)</f>
        <v>2818.4193802796353</v>
      </c>
      <c r="JQ112" s="39">
        <f t="shared" ref="JQ112" si="161">JO112-JD112</f>
        <v>3080.5675178852107</v>
      </c>
      <c r="JR112" s="39">
        <f t="shared" ref="JR112" si="162">JD112-JP112</f>
        <v>96.513101835153975</v>
      </c>
      <c r="JS112" s="39">
        <f t="shared" ref="JS112" si="163">JM112*JD112/1000000</f>
        <v>1.3663291495123842</v>
      </c>
      <c r="JT112" s="39">
        <f t="shared" ref="JT112" si="164">(JD112*JM112-JP112*JG112)/1000000</f>
        <v>0.10931410590766673</v>
      </c>
      <c r="JU112" s="385">
        <f>(JQ112*JM112-INDEX(Input!$1:$1048576,Input!A$18,$C112*2+6)*JL112*INDEX(Input!$1:$1048576,Input!A$19,$C112*2+6))/1000000</f>
        <v>1.4439679898430744</v>
      </c>
      <c r="JV112" s="39">
        <f t="shared" ref="JV112" si="165">JU112-(JO112-JP112)*JG112/1000000</f>
        <v>2.6990033447791717E-2</v>
      </c>
      <c r="JW112" s="1">
        <f t="shared" ref="JW112" si="166">JV112/(JU112-JV112)</f>
        <v>1.9047602911518073E-2</v>
      </c>
      <c r="JX112" s="19">
        <f t="shared" ref="JX112" si="167">IF(JL112=0,0,JT112/JL112)*1000000</f>
        <v>4808.3112154082282</v>
      </c>
      <c r="JZ112" s="341"/>
      <c r="KA112" s="342"/>
      <c r="KB112" s="469">
        <f t="shared" si="110"/>
        <v>2.9286733661474216</v>
      </c>
      <c r="KI112" s="473">
        <f t="shared" si="111"/>
        <v>66.512025020849492</v>
      </c>
      <c r="KJ112" s="473">
        <f t="shared" si="101"/>
        <v>-12.459986197528082</v>
      </c>
      <c r="KK112" s="473">
        <f t="shared" si="102"/>
        <v>-31.317631458554757</v>
      </c>
      <c r="KN112" s="544">
        <f t="shared" si="114"/>
        <v>1002</v>
      </c>
      <c r="KO112" s="541">
        <f t="shared" si="64"/>
        <v>4.6666040010684418E-2</v>
      </c>
      <c r="KP112" s="546">
        <f t="shared" si="65"/>
        <v>376.57151309459715</v>
      </c>
      <c r="KQ112" s="546">
        <f t="shared" si="66"/>
        <v>75.616282096137638</v>
      </c>
      <c r="KR112" s="548">
        <f t="shared" si="67"/>
        <v>2.1247522406706256</v>
      </c>
      <c r="KS112" s="548">
        <f t="shared" si="68"/>
        <v>10.581334390432058</v>
      </c>
      <c r="KT112" s="473">
        <f t="shared" si="112"/>
        <v>238.28695973331548</v>
      </c>
      <c r="KU112" s="663">
        <f t="shared" si="103"/>
        <v>6.630527261375061</v>
      </c>
      <c r="KV112" s="117">
        <f>RANK(KU112,$KU$109:$KU$200)</f>
        <v>13</v>
      </c>
    </row>
    <row r="113" spans="1:308" s="26" customFormat="1" ht="15">
      <c r="A113" s="561">
        <f t="shared" ref="A113:A161" si="168">C113*1000+B113</f>
        <v>1013</v>
      </c>
      <c r="B113" s="561">
        <f t="shared" si="104"/>
        <v>13</v>
      </c>
      <c r="C113" s="561">
        <f t="shared" si="105"/>
        <v>1</v>
      </c>
      <c r="D113" s="561" t="str">
        <f t="shared" si="141"/>
        <v xml:space="preserve">0/0/0.9/3.9, </v>
      </c>
      <c r="E113" s="115">
        <f>INDEX(Input!$1:$1048576,E$93,$C113*2+MIN($B113,2)+5)</f>
        <v>1229</v>
      </c>
      <c r="F113" s="115">
        <f>INDEX(Input!$1:$1048576,F$93,$C113*2+MIN($B113,2)+5)</f>
        <v>0</v>
      </c>
      <c r="G113" s="115">
        <f>INDEX(Input!$1:$1048576,G$93,$C113*2+MIN($B113,2)+5)</f>
        <v>0</v>
      </c>
      <c r="H113" s="115">
        <f>INDEX(Input!$1:$1048576,H$93,$C113*2+MIN($B113,2)+5)</f>
        <v>0</v>
      </c>
      <c r="I113" s="118">
        <f>INDEX(Input!$1:$1048576,I$93,$C113*2+MIN($B113,2)+5)</f>
        <v>0.7</v>
      </c>
      <c r="J113" s="476" t="str">
        <f>INDEX(Input!$1:$1048576,J$93,$C113*2+MIN($B113,2)+5)</f>
        <v>Market</v>
      </c>
      <c r="K113" s="476" t="str">
        <f>INDEX(Input!$1:$1048576,K$93,$C113*2+MIN($B113,2)+5)</f>
        <v>Market</v>
      </c>
      <c r="L113" s="476" t="str">
        <f>INDEX(Input!$1:$1048576,L$93,$C113*2+MIN($B113,2)+5)</f>
        <v>Market</v>
      </c>
      <c r="M113" s="476" t="str">
        <f>INDEX(Input!$1:$1048576,M$93,$C113*2+MIN($B113,2)+5)</f>
        <v>Market</v>
      </c>
      <c r="N113" s="476" t="str">
        <f>INDEX(Input!$1:$1048576,N$93,$C113*2+MIN($B113,2)+5)</f>
        <v>Market</v>
      </c>
      <c r="O113" s="476" t="str">
        <f>INDEX(Input!$1:$1048576,O$93,$C113*2+MIN($B113,2)+5)</f>
        <v>Market</v>
      </c>
      <c r="P113" s="476" t="str">
        <f>INDEX(Input!$1:$1048576,P$93,$C113*2+MIN($B113,2)+5)</f>
        <v>N</v>
      </c>
      <c r="Q113" s="477">
        <f>INDEX(Input!$1:$1048576,Q$93,$C113*2+MIN($B113,2)+5)</f>
        <v>0</v>
      </c>
      <c r="R113" s="478">
        <f>IFERROR(MAX(0,INDEX(Input!$1:$1048576,R$93,$C113*2+MIN($B113,2)+5)-1%,),"Market")</f>
        <v>0</v>
      </c>
      <c r="S113" s="478">
        <f>IFERROR(MAX(0,INDEX(Input!$1:$1048576,S$93,$C113*2+MIN($B113,2)+5)-1%,),"Market")</f>
        <v>0</v>
      </c>
      <c r="T113" s="478">
        <f>IFERROR(MAX(0,INDEX(Input!$1:$1048576,T$93,$C113*2+MIN($B113,2)+5)-1%,),"Market")</f>
        <v>0</v>
      </c>
      <c r="U113" s="478">
        <f>IFERROR(MAX(0,INDEX(Input!$1:$1048576,U$93,$C113*2+MIN($B113,2)+5)-1%,),"Market")</f>
        <v>0</v>
      </c>
      <c r="V113" s="478">
        <f>IFERROR(MAX(0,INDEX(Input!$1:$1048576,V$93,$C113*2+MIN($B113,2)+5)-1%,),"Market")</f>
        <v>8.9999999999999993E-3</v>
      </c>
      <c r="W113" s="885">
        <f>IFERROR(MAX(0,INDEX(Input!$1:$1048576,W$93,$C113*2+MIN($B113,2)+5)-0%,),"Market")</f>
        <v>3.9E-2</v>
      </c>
      <c r="X113" s="476" t="str">
        <f>INDEX(Input!$1:$1048576,X$93,$C113*2+MIN($B113,2)+5)</f>
        <v>Y</v>
      </c>
      <c r="Y113" s="150">
        <f>INDEX(Input!$1:$1048576,Y$93,$C113*2+MIN($B113,2)+5)</f>
        <v>1942</v>
      </c>
      <c r="Z113" s="30">
        <f>INDEX(Input!$1:$1048576,Z$93,$C113*2+MIN($B113,2)+5)</f>
        <v>0</v>
      </c>
      <c r="AA113" s="475">
        <f>INDEX(Input!$1:$1048576,AA$93,$C113*2+MIN($B113,2)+5)</f>
        <v>0</v>
      </c>
      <c r="AB113" s="118">
        <f>INDEX(Input!$1:$1048576,AB$93,$C113*2+MIN($B113,2)+5)</f>
        <v>0.27</v>
      </c>
      <c r="AC113" s="115">
        <f>INDEX(Input!$1:$1048576,AC$93,$C113*2+MIN($B113,2)+5)</f>
        <v>0</v>
      </c>
      <c r="AD113" s="118">
        <f>INDEX(Input!$1:$1048576,AD$93,$C113*2+MIN($B113,2)+5)</f>
        <v>0.27</v>
      </c>
      <c r="AE113" s="115">
        <f>INDEX(Input!$1:$1048576,AE$93,$C113*2+MIN($B113,2)+5)</f>
        <v>0</v>
      </c>
      <c r="AF113" s="118">
        <f>INDEX(Input!$1:$1048576,AF$93,$C113*2+MIN($B113,2)+5)</f>
        <v>0.38</v>
      </c>
      <c r="AG113" s="115">
        <f>INDEX(Input!$1:$1048576,AG$93,$C113*2+MIN($B113,2)+5)</f>
        <v>0</v>
      </c>
      <c r="AH113" s="118">
        <f>INDEX(Input!$1:$1048576,AH$93,$C113*2+MIN($B113,2)+5)</f>
        <v>0</v>
      </c>
      <c r="AI113" s="115">
        <f>INDEX(Input!$1:$1048576,AI$93,$C113*2+MIN($B113,2)+5)</f>
        <v>0</v>
      </c>
      <c r="AJ113" s="118">
        <f>INDEX(Input!$1:$1048576,AJ$93,$C113*2+MIN($B113,2)+5)</f>
        <v>0.27</v>
      </c>
      <c r="AK113" s="150">
        <f>ROUND(INDEX(Input!$1:$1048576,AK$93,$C112*2+MIN($B113,1)+5)+(Y113-VLOOKUP($C113*1000+1,$A:$HH,Y$92,FALSE)),0)</f>
        <v>3757</v>
      </c>
      <c r="AL113" s="150">
        <f>ROUND(INDEX(Input!$1:$1048576,AL$93,$C112*2+MIN($B113,1)+5)-(Y113-VLOOKUP($C113*1000+1,$A:$HH,Y$92,FALSE))/36,0)</f>
        <v>4113</v>
      </c>
      <c r="AM113" s="32" t="str">
        <f t="shared" ref="AM113:AM161" si="169">IF(K113="market","std",ROUND(K113*1000,0)/10)&amp;"/"&amp;IF(L113="market","std",ROUND(L113*1000,0)/10)&amp;"/"&amp;IF(M113="market","std",ROUND(M113*1000,0)/10)&amp;"/"&amp;IF(N113="market","std",ROUND(N113*1000,0)/10)&amp;IF(P113="N","","/"&amp;IF(O113="market","std",ROUND(O113*1000,0)/10))</f>
        <v>std/std/std/std</v>
      </c>
      <c r="AN113" s="32" t="str">
        <f t="shared" ref="AN113:AN161" si="170">"$"&amp;ROUND(Q113,0)&amp;" + "&amp;IF(S113="market","std",ROUND(S113*1000,0)/10)&amp;"/"&amp;IF(T113="market","std",ROUND(T113*1000,0)/10)&amp;"/"&amp;IF(U113="market","std",ROUND(U113*1000,0)/10)&amp;"/"&amp;IF(V113="market","std",ROUND(V113*1000,0)/10)&amp;IF(X113="N","","/"&amp;IF(W113="market","std",ROUND(W113*1000,0)/10))</f>
        <v>$0 + 0/0/0/0.9/3.9</v>
      </c>
      <c r="AO113" s="32" t="str">
        <f t="shared" ref="AO113:AO161" si="171">IF(S113="market","std",ROUND(S113*1000,0)/10)&amp;"/"&amp;IF(T113="market","std",ROUND(T113*1000,0)/10)&amp;"/"&amp;IF(U113="market","std",ROUND(U113*1000,0)/10)&amp;"/"&amp;IF(V113="market","std",ROUND(V113*1000,0)/10)&amp;IF(X113="N","","/"&amp;IF(W113="market","std",ROUND(W113*1000,0)/10))</f>
        <v>0/0/0/0.9/3.9</v>
      </c>
      <c r="AP113" s="32" t="str">
        <f t="shared" si="73"/>
        <v>0/0/0.9/3.9</v>
      </c>
      <c r="AQ113" s="536">
        <f t="shared" si="39"/>
        <v>0.23812772600198689</v>
      </c>
      <c r="AR113" s="32"/>
      <c r="AS113" s="302"/>
      <c r="AT113" s="3">
        <f t="shared" si="106"/>
        <v>13</v>
      </c>
      <c r="AU113" s="41" t="s">
        <v>121</v>
      </c>
      <c r="AV113" s="41" t="s">
        <v>116</v>
      </c>
      <c r="AW113" s="41" t="str">
        <f>INDEX(Input!$1:$1048576,AW$93,$C113*2+6)</f>
        <v>Kia</v>
      </c>
      <c r="AX113" s="41" t="str">
        <f>INDEX(Input!$1:$1048576,AX$93,$C113*2+6)</f>
        <v>Kia-LR - L1</v>
      </c>
      <c r="AY113" s="41" t="str">
        <f>IF(LEN(D113)=0,"",INDEX(Input!$1:$1048576,AY$93,$C113*2+6))</f>
        <v>Compact SUV (52)</v>
      </c>
      <c r="AZ113" s="41" t="str">
        <f>INDEX(Input!$1:$1048576,AZ$93,$C113*2+6)</f>
        <v>Kia Soul</v>
      </c>
      <c r="BA113" s="3">
        <f>INDEX(Input!$1:$1048576,BA$93,$C113*2+6)</f>
        <v>2020</v>
      </c>
      <c r="BB113" s="128">
        <f>INDEX(Input!$1:$1048576,BB$93,$C113*2+6)</f>
        <v>1</v>
      </c>
      <c r="BC113" s="128">
        <f>INDEX(Input!$1:$1048576,BC$93,$C113*2+6)</f>
        <v>0.7</v>
      </c>
      <c r="BD113" s="1">
        <f>INDEX(Input!$1:$1048576,BD$93,$C113*2+6)</f>
        <v>4.4999999999999998E-2</v>
      </c>
      <c r="BE113" s="1">
        <f>INDEX(Input!$1:$1048576,BE$93,$C113*2+6)</f>
        <v>4.4999999999999998E-2</v>
      </c>
      <c r="BF113" s="1">
        <f>INDEX(Input!$1:$1048576,BF$93,$C113*2+6)</f>
        <v>0.05</v>
      </c>
      <c r="BG113" s="1">
        <f>INDEX(Input!$1:$1048576,BG$93,$C113*2+6)</f>
        <v>5.45E-2</v>
      </c>
      <c r="BH113" s="1">
        <f>INDEX(Input!$1:$1048576,BH$93,$C113*2+6)</f>
        <v>5.45E-2</v>
      </c>
      <c r="BI113" s="1">
        <f>INDEX(Input!$1:$1048576,BI$93,$C113*2+6)</f>
        <v>0.05</v>
      </c>
      <c r="BJ113" s="1">
        <f>INDEX(Input!$1:$1048576,BJ$93,$C113*2+6)</f>
        <v>0.05</v>
      </c>
      <c r="BK113" s="1">
        <f>INDEX(Input!$1:$1048576,BK$93,$C113*2+6)</f>
        <v>0.05</v>
      </c>
      <c r="BL113" s="1">
        <f>INDEX(Input!$1:$1048576,BL$93,$C113*2+6)</f>
        <v>5.5E-2</v>
      </c>
      <c r="BM113" s="1">
        <f>INDEX(Input!$1:$1048576,BM$93,$C113*2+6)</f>
        <v>0.06</v>
      </c>
      <c r="BN113" s="1">
        <f>INDEX(Input!$1:$1048576,BN$93,$C113*2+6)</f>
        <v>4.4999999999999998E-2</v>
      </c>
      <c r="BO113" s="1">
        <f>INDEX(Input!$1:$1048576,BO$93,$C113*2+6)</f>
        <v>4.4999999999999998E-2</v>
      </c>
      <c r="BP113" s="1">
        <f>INDEX(Input!$1:$1048576,BP$93,$C113*2+6)</f>
        <v>0.05</v>
      </c>
      <c r="BQ113" s="1">
        <f>INDEX(Input!$1:$1048576,BQ$93,$C113*2+6)</f>
        <v>5.45E-2</v>
      </c>
      <c r="BR113" s="1">
        <f>INDEX(Input!$1:$1048576,BR$93,$C113*2+6)</f>
        <v>5.45E-2</v>
      </c>
      <c r="BS113" s="1">
        <f>INDEX(Input!$1:$1048576,BS$93,$C113*2+6)</f>
        <v>0.05</v>
      </c>
      <c r="BT113" s="1">
        <f>INDEX(Input!$1:$1048576,BT$93,$C113*2+6)</f>
        <v>0.05</v>
      </c>
      <c r="BU113" s="1">
        <f>INDEX(Input!$1:$1048576,BU$93,$C113*2+6)</f>
        <v>0.05</v>
      </c>
      <c r="BV113" s="1">
        <f>INDEX(Input!$1:$1048576,BV$93,$C113*2+6)</f>
        <v>5.5E-2</v>
      </c>
      <c r="BW113" s="1">
        <f>INDEX(Input!$1:$1048576,BW$93,$C113*2+6)</f>
        <v>0.06</v>
      </c>
      <c r="BX113" s="127">
        <f>INDEX(Input!$1:$1048576,BX$93,$C113*2+6)</f>
        <v>19985</v>
      </c>
      <c r="BY113" s="20">
        <f>INDEX(Input!$1:$1048576,BY$93,$C113*2+6)</f>
        <v>0.1</v>
      </c>
      <c r="BZ113" s="20">
        <f>INDEX(Input!$1:$1048576,BZ$93,$C113*2+6)</f>
        <v>0.1</v>
      </c>
      <c r="CA113" s="20">
        <f>INDEX(Input!$1:$1048576,CA$93,$C113*2+6)</f>
        <v>0.1</v>
      </c>
      <c r="CB113" s="20">
        <f>INDEX(Input!$1:$1048576,CB$93,$C113*2+6)</f>
        <v>0.1</v>
      </c>
      <c r="CC113" s="20">
        <f>INDEX(Input!$1:$1048576,CC$93,$C113*2+6)</f>
        <v>0.1</v>
      </c>
      <c r="CD113" s="384">
        <f>INDEX(Input!$1:$1048576,CD$93,$C113*2+6)</f>
        <v>0.1</v>
      </c>
      <c r="CE113" s="384">
        <f>INDEX(Input!$1:$1048576,CE$93,$C113*2+6)</f>
        <v>0.1</v>
      </c>
      <c r="CF113" s="384">
        <f>INDEX(Input!$1:$1048576,CF$93,$C113*2+6)</f>
        <v>0.1</v>
      </c>
      <c r="CG113" s="384">
        <f>INDEX(Input!$1:$1048576,CG$93,$C113*2+6)</f>
        <v>0.1</v>
      </c>
      <c r="CH113" s="384">
        <f>INDEX(Input!$1:$1048576,CH$93,$C113*2+6)</f>
        <v>0.1</v>
      </c>
      <c r="CI113" s="304">
        <f t="shared" si="74"/>
        <v>1229</v>
      </c>
      <c r="CJ113" s="16" t="str">
        <f>INDEX(Input!$1:$1048576,CJ$93,$C113*2+6)</f>
        <v>N</v>
      </c>
      <c r="CK113" s="1" t="str">
        <f t="shared" si="75"/>
        <v>Market</v>
      </c>
      <c r="CL113" s="1" t="str">
        <f t="shared" si="76"/>
        <v>Market</v>
      </c>
      <c r="CM113" s="1" t="str">
        <f t="shared" si="77"/>
        <v>Market</v>
      </c>
      <c r="CN113" s="1" t="str">
        <f t="shared" si="78"/>
        <v>Market</v>
      </c>
      <c r="CO113" s="1" t="str">
        <f t="shared" si="79"/>
        <v>Market</v>
      </c>
      <c r="CP113" s="304">
        <f t="shared" si="80"/>
        <v>0</v>
      </c>
      <c r="CQ113" s="1">
        <f t="shared" si="81"/>
        <v>0</v>
      </c>
      <c r="CR113" s="1">
        <f t="shared" si="82"/>
        <v>0</v>
      </c>
      <c r="CS113" s="1">
        <f t="shared" si="83"/>
        <v>0</v>
      </c>
      <c r="CT113" s="1">
        <f t="shared" si="84"/>
        <v>8.9999999999999993E-3</v>
      </c>
      <c r="CU113" s="1">
        <f t="shared" si="85"/>
        <v>3.9E-2</v>
      </c>
      <c r="CV113" s="304">
        <f t="shared" si="86"/>
        <v>1942</v>
      </c>
      <c r="CW113" s="20" t="s">
        <v>122</v>
      </c>
      <c r="CX113" s="20" t="s">
        <v>122</v>
      </c>
      <c r="CY113" s="20" t="s">
        <v>122</v>
      </c>
      <c r="CZ113" s="20" t="s">
        <v>122</v>
      </c>
      <c r="DA113" s="20" t="s">
        <v>122</v>
      </c>
      <c r="DB113" s="503">
        <f t="shared" si="87"/>
        <v>0</v>
      </c>
      <c r="DC113" s="127">
        <v>0</v>
      </c>
      <c r="DD113" s="127">
        <v>0</v>
      </c>
      <c r="DE113" s="127">
        <v>0</v>
      </c>
      <c r="DF113" s="127">
        <v>0</v>
      </c>
      <c r="DG113" s="127">
        <v>0</v>
      </c>
      <c r="DH113" s="127">
        <v>0</v>
      </c>
      <c r="DI113" s="127">
        <v>0</v>
      </c>
      <c r="DJ113" s="127">
        <v>0</v>
      </c>
      <c r="DK113" s="127">
        <v>0</v>
      </c>
      <c r="DL113" s="127">
        <v>0</v>
      </c>
      <c r="DM113" s="304">
        <f>INDEX(Input!$1:$1048576,DM$93,$C113*2+6)</f>
        <v>21036.84210526316</v>
      </c>
      <c r="DN113" s="20">
        <v>0</v>
      </c>
      <c r="DO113" s="20">
        <v>0</v>
      </c>
      <c r="DP113" s="20">
        <v>0</v>
      </c>
      <c r="DQ113" s="20">
        <v>0</v>
      </c>
      <c r="DR113" s="20">
        <v>0</v>
      </c>
      <c r="DS113" s="20">
        <f>INDEX(Input!$1:$1048576,DS$93,$C113*2+6)</f>
        <v>0.6</v>
      </c>
      <c r="DT113" s="20">
        <f>INDEX(Input!$1:$1048576,DT$93,$C113*2+6)</f>
        <v>0.55000000000000004</v>
      </c>
      <c r="DU113" s="20">
        <f>INDEX(Input!$1:$1048576,DU$93,$C113*2+6)</f>
        <v>0.52</v>
      </c>
      <c r="DV113" s="20">
        <f>INDEX(Input!$1:$1048576,DV$93,$C113*2+6)</f>
        <v>0.5</v>
      </c>
      <c r="DW113" s="20">
        <f>INDEX(Input!$1:$1048576,DW$93,$C113*2+6)</f>
        <v>0.45</v>
      </c>
      <c r="DX113" s="20"/>
      <c r="DY113" s="7">
        <v>9.6308853512836606E-2</v>
      </c>
      <c r="DZ113" s="7">
        <v>0</v>
      </c>
      <c r="EA113" s="7">
        <v>0.46034905598936271</v>
      </c>
      <c r="EB113" s="7">
        <v>0</v>
      </c>
      <c r="EC113" s="7">
        <v>0</v>
      </c>
      <c r="ED113" s="7">
        <v>0</v>
      </c>
      <c r="EE113" s="7">
        <v>0</v>
      </c>
      <c r="EF113" s="7">
        <v>0</v>
      </c>
      <c r="EG113" s="7">
        <v>0</v>
      </c>
      <c r="EH113" s="7">
        <v>1.4789192705906975E-2</v>
      </c>
      <c r="EI113" s="7">
        <v>4.3188566954775416E-2</v>
      </c>
      <c r="EJ113" s="7">
        <v>0.27281740913088937</v>
      </c>
      <c r="EK113" s="7">
        <v>0.58408530924176327</v>
      </c>
      <c r="EL113" s="7">
        <v>8.5119521966665126E-2</v>
      </c>
      <c r="EM113" s="7">
        <v>6.0266353694378438E-2</v>
      </c>
      <c r="EN113" s="7">
        <v>5.0824256578978516E-2</v>
      </c>
      <c r="EO113" s="7">
        <v>0.76815678085538364</v>
      </c>
      <c r="EP113" s="7">
        <v>7.9058197430733598E-2</v>
      </c>
      <c r="EQ113" s="7">
        <v>6.027119863119898E-2</v>
      </c>
      <c r="ER113" s="7">
        <v>4.1689566503705235E-2</v>
      </c>
      <c r="ES113" s="7">
        <v>0.38307573680342216</v>
      </c>
      <c r="ET113" s="7">
        <v>0.44334209049780071</v>
      </c>
      <c r="EU113" s="6">
        <v>1270</v>
      </c>
      <c r="EV113" s="6">
        <v>0</v>
      </c>
      <c r="EW113" s="6">
        <v>1270</v>
      </c>
      <c r="EX113" s="6">
        <v>0</v>
      </c>
      <c r="EY113" s="6">
        <v>2319.849177339911</v>
      </c>
      <c r="EZ113" s="6">
        <v>2085</v>
      </c>
      <c r="FA113" s="6">
        <v>0</v>
      </c>
      <c r="FB113" s="6">
        <v>0</v>
      </c>
      <c r="FC113" s="6">
        <v>0</v>
      </c>
      <c r="FD113" s="6">
        <v>0</v>
      </c>
      <c r="FE113" s="6">
        <v>0</v>
      </c>
      <c r="FF113" s="6">
        <v>0</v>
      </c>
      <c r="FG113" s="6">
        <v>0</v>
      </c>
      <c r="FH113" s="6">
        <v>1171.2811379695618</v>
      </c>
      <c r="FI113" s="6">
        <v>1553.9796069512402</v>
      </c>
      <c r="FJ113" s="6">
        <v>2101.2110117447414</v>
      </c>
      <c r="FK113" s="6">
        <v>2251.3078348034678</v>
      </c>
      <c r="FL113" s="6">
        <v>907.07682140966347</v>
      </c>
      <c r="FM113" s="6">
        <v>2049.849177339911</v>
      </c>
      <c r="FN113" s="6">
        <v>0</v>
      </c>
      <c r="FO113" s="6">
        <v>0</v>
      </c>
      <c r="FP113" s="6">
        <v>0</v>
      </c>
      <c r="FQ113" s="6">
        <v>0</v>
      </c>
      <c r="FR113" s="6">
        <v>0</v>
      </c>
      <c r="FS113" s="6">
        <v>0</v>
      </c>
      <c r="FT113" s="7">
        <v>0.55665790950219929</v>
      </c>
      <c r="FU113" s="7">
        <v>6.0266353694378438E-2</v>
      </c>
      <c r="FV113" s="7">
        <v>0.38307573680342216</v>
      </c>
      <c r="FW113" s="6">
        <v>1270</v>
      </c>
      <c r="FX113" s="6">
        <v>2319.849177339911</v>
      </c>
      <c r="FY113" s="6">
        <v>2085</v>
      </c>
      <c r="FZ113" s="6">
        <v>1952.7147957719815</v>
      </c>
      <c r="GA113" s="6">
        <v>1645.4773073421081</v>
      </c>
      <c r="GB113" s="6">
        <v>18339.522692657891</v>
      </c>
      <c r="GC113" s="7">
        <v>1.0519917368675835E-2</v>
      </c>
      <c r="GD113" s="7">
        <v>1.0291623766984401E-2</v>
      </c>
      <c r="GE113" s="7"/>
      <c r="GF113" s="7"/>
      <c r="GG113" s="7">
        <v>-2.1701083163561917E-2</v>
      </c>
      <c r="GH113" s="42">
        <v>1.4115990507544318</v>
      </c>
      <c r="GI113" s="6">
        <v>15803.180225404414</v>
      </c>
      <c r="GJ113" s="14">
        <v>0.50394797582841744</v>
      </c>
      <c r="GK113" s="14">
        <v>0.50887573065309744</v>
      </c>
      <c r="GL113" s="14">
        <v>0.49605202417158284</v>
      </c>
      <c r="GM113" s="14">
        <v>0.49112426934690245</v>
      </c>
      <c r="GO113" s="5">
        <v>343.14810671672558</v>
      </c>
      <c r="GP113" s="5">
        <v>318.91892952659737</v>
      </c>
      <c r="GQ113" s="5">
        <v>535.04305713031317</v>
      </c>
      <c r="GR113" s="5">
        <v>410.15490233172511</v>
      </c>
      <c r="GS113" s="5">
        <v>339.42744393800166</v>
      </c>
      <c r="GT113" s="5">
        <v>293.4407446948278</v>
      </c>
      <c r="GU113" s="5">
        <v>258.04012322764959</v>
      </c>
      <c r="GV113" s="39" t="s">
        <v>392</v>
      </c>
      <c r="GW113" s="5">
        <v>492.125</v>
      </c>
      <c r="GX113" s="5">
        <v>369.09375</v>
      </c>
      <c r="GY113" s="5">
        <v>295.27499999999998</v>
      </c>
      <c r="GZ113" s="5">
        <v>252.85821728143046</v>
      </c>
      <c r="HA113" s="5">
        <v>241.34874471337258</v>
      </c>
      <c r="HB113" s="39">
        <v>272.00918188838421</v>
      </c>
      <c r="HC113" s="5">
        <v>196.06562499999998</v>
      </c>
      <c r="HD113" s="5">
        <v>177.54497441520465</v>
      </c>
      <c r="HE113" s="5">
        <v>183.15757844129553</v>
      </c>
      <c r="HF113" s="5">
        <v>172.69313048245613</v>
      </c>
      <c r="HG113" s="5">
        <v>170.66888157894735</v>
      </c>
      <c r="HH113" s="39">
        <v>178.35090729075003</v>
      </c>
      <c r="HI113" s="16"/>
      <c r="HJ113" s="19" t="str">
        <f t="shared" si="107"/>
        <v>On</v>
      </c>
      <c r="HK113" s="1" t="str">
        <f t="shared" si="108"/>
        <v>On</v>
      </c>
      <c r="HL113" s="16"/>
      <c r="HM113" s="639">
        <f t="shared" si="42"/>
        <v>5.7455619280273196E-3</v>
      </c>
      <c r="HN113" s="639">
        <f t="shared" si="43"/>
        <v>5.0031960498701745E-4</v>
      </c>
      <c r="HO113" s="639">
        <f t="shared" si="44"/>
        <v>3.9819433988714835E-3</v>
      </c>
      <c r="HP113" s="644">
        <f>(FT113*$GD113-HM113)/$JF113*INDEX(Input!$1:$1048576,$JG$93,$C113*2+6)</f>
        <v>-0.72596841019233938</v>
      </c>
      <c r="HQ113" s="644">
        <f>(FU113*$GD113-HN113)/$JF113*INDEX(Input!$1:$1048576,$JG$93,$C113*2+6)</f>
        <v>5.2292534427997426</v>
      </c>
      <c r="HR113" s="644">
        <f>(FV113*$GD113-HO113)/$JF113*INDEX(Input!$1:$1048576,$JG$93,$C113*2+6)</f>
        <v>-1.7212389335137153</v>
      </c>
      <c r="HS113" s="644">
        <f t="shared" si="45"/>
        <v>-0.74759047891935548</v>
      </c>
      <c r="HT113" s="644">
        <f t="shared" si="46"/>
        <v>7.0687077107342393</v>
      </c>
      <c r="HU113" s="644">
        <f t="shared" si="47"/>
        <v>0.64570276283970629</v>
      </c>
      <c r="HV113" s="648">
        <f t="shared" si="48"/>
        <v>0</v>
      </c>
      <c r="HW113" s="648">
        <f t="shared" si="49"/>
        <v>0</v>
      </c>
      <c r="HX113" s="648">
        <f t="shared" si="50"/>
        <v>0</v>
      </c>
      <c r="HY113" s="644">
        <f>INDEX(Input!$1:$1048576,HY$93,$C113*2+6)*INDEX(Input!$1:$1048576,$JG$93,$C113*2+6)</f>
        <v>110.00000000000001</v>
      </c>
      <c r="HZ113" s="644">
        <f>INDEX(Input!$1:$1048576,HZ$93,$C113*2+6)*INDEX(Input!$1:$1048576,$JG$93,$C113*2+6)</f>
        <v>157</v>
      </c>
      <c r="IA113" s="644">
        <f>INDEX(Input!$1:$1048576,IA$93,$C113*2+6)*INDEX(Input!$1:$1048576,$JG$93,$C113*2+6)</f>
        <v>179</v>
      </c>
      <c r="IB113" s="644">
        <f t="shared" si="88"/>
        <v>108.5264411108883</v>
      </c>
      <c r="IC113" s="644">
        <f t="shared" ref="IC113:IC161" si="172">MAX(HZ113+HQ113+HT113+HW113,0%)</f>
        <v>169.29796115353398</v>
      </c>
      <c r="ID113" s="644">
        <f>IF(AND(INDEX(Input!$1:$1048576,IA$93,$C113*2+7)="TOS",Y113&lt;=INDEX(Y:Y,MATCH(C113*1000+2,A:A))),0,1)*MAX(IA113+HR113+HU113+HX113,0%)</f>
        <v>177.92446382932599</v>
      </c>
      <c r="IE113" s="128">
        <f t="shared" ref="IE113:IE114" si="173">IB113/SUM($IB113:$ID113)</f>
        <v>0.23812772600198689</v>
      </c>
      <c r="IF113" s="128">
        <f t="shared" ref="IF113:IF161" si="174">IC113/SUM($IB113:$ID113)</f>
        <v>0.37147204030280379</v>
      </c>
      <c r="IG113" s="128">
        <f t="shared" ref="IG113:IG161" si="175">ID113/SUM($IB113:$ID113)</f>
        <v>0.39040023369520938</v>
      </c>
      <c r="IH113" s="21"/>
      <c r="II113" s="19">
        <f t="shared" si="53"/>
        <v>1240</v>
      </c>
      <c r="IJ113" s="19">
        <f t="shared" si="54"/>
        <v>2009.7221397149679</v>
      </c>
      <c r="IK113" s="19">
        <f t="shared" si="55"/>
        <v>2070</v>
      </c>
      <c r="IL113" s="19">
        <f t="shared" ref="IL113:IL161" si="176">(FW113-FA113*DZ113/FT113)-II113</f>
        <v>30</v>
      </c>
      <c r="IM113" s="19">
        <f t="shared" ref="IM113:IM161" si="177">FX113-IJ113</f>
        <v>310.12703762494311</v>
      </c>
      <c r="IN113" s="19">
        <f t="shared" ref="IN113:IN161" si="178">FY113-IK113</f>
        <v>15</v>
      </c>
      <c r="IO113" s="39">
        <f t="shared" si="57"/>
        <v>0</v>
      </c>
      <c r="IP113" s="39">
        <f t="shared" si="58"/>
        <v>0</v>
      </c>
      <c r="IQ113" s="39">
        <f t="shared" si="59"/>
        <v>0</v>
      </c>
      <c r="IR113" s="39">
        <v>0</v>
      </c>
      <c r="IS113" s="39">
        <v>0</v>
      </c>
      <c r="IT113" s="39">
        <v>0</v>
      </c>
      <c r="IU113" s="39">
        <v>0</v>
      </c>
      <c r="IV113" s="39">
        <v>0</v>
      </c>
      <c r="IW113" s="39">
        <v>0</v>
      </c>
      <c r="IX113" s="39">
        <f>INDEX(Input!$1:$1048576,IX$93,$C113*2+6)+INDEX(Input!$1:$1048576,IX$94,$C113*2+6)</f>
        <v>1270</v>
      </c>
      <c r="IY113" s="39">
        <f>INDEX(Input!$1:$1048576,IY$93,$C113*2+6)+INDEX(Input!$1:$1048576,IY$94,$C113*2+6)</f>
        <v>2130.0624533823611</v>
      </c>
      <c r="IZ113" s="39">
        <f>INDEX(Input!$1:$1048576,IZ$93,$C113*2+6)+INDEX(Input!$1:$1048576,IZ$94,$C113*2+6)</f>
        <v>4373.7164157747848</v>
      </c>
      <c r="JA113" s="19">
        <f t="shared" ref="JA113:JA161" si="179">(IL113+IO113+IR113+IU113+IX113)</f>
        <v>1300</v>
      </c>
      <c r="JB113" s="19">
        <f t="shared" ref="JB113:JB161" si="180">(IM113+IP113+IS113+IV113+IY113)</f>
        <v>2440.1894910073042</v>
      </c>
      <c r="JC113" s="19">
        <f t="shared" ref="JC113:JC161" si="181">(IN113+IQ113+IT113+IW113+IZ113)</f>
        <v>4388.7164157747848</v>
      </c>
      <c r="JD113" s="19">
        <f t="shared" ref="JD113:JD161" si="182">SUMPRODUCT(IE113:IG113,JA113:JC113)</f>
        <v>2929.3841270930043</v>
      </c>
      <c r="JE113" s="21"/>
      <c r="JF113" s="1">
        <f t="shared" si="60"/>
        <v>1.022782493188582E-2</v>
      </c>
      <c r="JG113" s="15">
        <f>INDEX(Input!$1:$1048576,JG$93,$C113*2+6)/(1+VLOOKUP(C113*1000+INDEX(Input!$1:$1048576,JG$93+1,$C113*2+6),$A:$KK,$JK$92,FALSE))</f>
        <v>446</v>
      </c>
      <c r="JH113" s="1">
        <f t="shared" si="94"/>
        <v>6.2377715226315869E-3</v>
      </c>
      <c r="JI113" s="1">
        <f t="shared" si="95"/>
        <v>1.5620672633754686E-2</v>
      </c>
      <c r="JJ113" s="1">
        <f>SUM(HV113:HX113)/SUM(HY113:IA113)</f>
        <v>0</v>
      </c>
      <c r="JK113" s="1">
        <f t="shared" ref="JK113:JK114" si="183">SUM(JH113:JJ113)</f>
        <v>2.1858444156386273E-2</v>
      </c>
      <c r="JL113" s="15">
        <f t="shared" ref="JL113:JL161" si="184">JG113*JK113</f>
        <v>9.7488660937482781</v>
      </c>
      <c r="JM113" s="15">
        <f t="shared" ref="JM113:JM161" si="185">JG113+JL113</f>
        <v>455.74886609374829</v>
      </c>
      <c r="JN113" s="21"/>
      <c r="JO113" s="19">
        <f>INDEX(Input!$1:$1048576,JO$93,$C113*2+6)</f>
        <v>5995.5</v>
      </c>
      <c r="JP113" s="19">
        <f>INDEX(Input!$1:$1048576,JP$93,$C113*2+6)</f>
        <v>2818.4193802796353</v>
      </c>
      <c r="JQ113" s="39">
        <f t="shared" ref="JQ113:JQ161" si="186">JO113-JD113</f>
        <v>3066.1158729069957</v>
      </c>
      <c r="JR113" s="39">
        <f t="shared" ref="JR113:JR161" si="187">JD113-JP113</f>
        <v>110.96474681336895</v>
      </c>
      <c r="JS113" s="39">
        <f t="shared" ref="JS113:JS161" si="188">JM113*JD113/1000000</f>
        <v>1.3350634942756614</v>
      </c>
      <c r="JT113" s="39">
        <f t="shared" ref="JT113:JT161" si="189">(JD113*JM113-JP113*JG113)/1000000</f>
        <v>7.8048450670944056E-2</v>
      </c>
      <c r="JU113" s="385">
        <f>(JQ113*JM113-INDEX(Input!$1:$1048576,Input!A$18,$C113*2+6)*JL113*INDEX(Input!$1:$1048576,Input!A$19,$C113*2+6))/1000000</f>
        <v>1.3973788323894065</v>
      </c>
      <c r="JV113" s="39">
        <f>JU113-(JO113-JP113)*JG113/1000000</f>
        <v>-1.9599124005876156E-2</v>
      </c>
      <c r="JW113" s="1">
        <f t="shared" ref="JW113:JW161" si="190">JV113/(JU113-JV113)</f>
        <v>-1.3831636489063878E-2</v>
      </c>
      <c r="JX113" s="19">
        <f t="shared" ref="JX113:JX161" si="191">IF(JL113=0,0,JT113/JL113)*1000000</f>
        <v>8005.9003704025345</v>
      </c>
      <c r="JZ113" s="341"/>
      <c r="KA113" s="342"/>
      <c r="KB113" s="469">
        <f t="shared" si="110"/>
        <v>2.9286733661474216</v>
      </c>
      <c r="KI113" s="473">
        <f t="shared" si="111"/>
        <v>-1.4735588891117004</v>
      </c>
      <c r="KJ113" s="473">
        <f t="shared" si="101"/>
        <v>12.297961153534004</v>
      </c>
      <c r="KK113" s="473">
        <f t="shared" si="102"/>
        <v>-1.0755361706739848</v>
      </c>
      <c r="KN113" s="544">
        <f t="shared" si="114"/>
        <v>1002</v>
      </c>
      <c r="KO113" s="541">
        <f t="shared" si="64"/>
        <v>1.766982201178835E-2</v>
      </c>
      <c r="KP113" s="546">
        <f t="shared" si="65"/>
        <v>104.05936221051793</v>
      </c>
      <c r="KQ113" s="546">
        <f t="shared" si="66"/>
        <v>90.06792707435261</v>
      </c>
      <c r="KR113" s="548">
        <f t="shared" si="67"/>
        <v>2.911426464474824</v>
      </c>
      <c r="KS113" s="548">
        <f t="shared" si="68"/>
        <v>3.3636966105145696</v>
      </c>
      <c r="KT113" s="473">
        <f t="shared" si="112"/>
        <v>238.28695973331548</v>
      </c>
      <c r="KU113" s="663">
        <f t="shared" si="103"/>
        <v>6.2260363239542587</v>
      </c>
      <c r="KV113" s="117">
        <f>RANK(KU113,$KU$109:$KU$200)</f>
        <v>52</v>
      </c>
    </row>
    <row r="114" spans="1:308" s="26" customFormat="1" ht="15">
      <c r="A114" s="561">
        <f t="shared" si="168"/>
        <v>1014</v>
      </c>
      <c r="B114" s="561">
        <f t="shared" si="104"/>
        <v>14</v>
      </c>
      <c r="C114" s="561">
        <f t="shared" si="105"/>
        <v>1</v>
      </c>
      <c r="D114" s="561" t="str">
        <f t="shared" si="141"/>
        <v xml:space="preserve">0/0/0/3.9, </v>
      </c>
      <c r="E114" s="115">
        <f>INDEX(Input!$1:$1048576,E$93,$C114*2+MIN($B114,2)+5)</f>
        <v>1229</v>
      </c>
      <c r="F114" s="115">
        <f>INDEX(Input!$1:$1048576,F$93,$C114*2+MIN($B114,2)+5)</f>
        <v>0</v>
      </c>
      <c r="G114" s="115">
        <f>INDEX(Input!$1:$1048576,G$93,$C114*2+MIN($B114,2)+5)</f>
        <v>0</v>
      </c>
      <c r="H114" s="115">
        <f>INDEX(Input!$1:$1048576,H$93,$C114*2+MIN($B114,2)+5)</f>
        <v>0</v>
      </c>
      <c r="I114" s="118">
        <f>INDEX(Input!$1:$1048576,I$93,$C114*2+MIN($B114,2)+5)</f>
        <v>0.7</v>
      </c>
      <c r="J114" s="476" t="str">
        <f>INDEX(Input!$1:$1048576,J$93,$C114*2+MIN($B114,2)+5)</f>
        <v>Market</v>
      </c>
      <c r="K114" s="476" t="str">
        <f>INDEX(Input!$1:$1048576,K$93,$C114*2+MIN($B114,2)+5)</f>
        <v>Market</v>
      </c>
      <c r="L114" s="476" t="str">
        <f>INDEX(Input!$1:$1048576,L$93,$C114*2+MIN($B114,2)+5)</f>
        <v>Market</v>
      </c>
      <c r="M114" s="476" t="str">
        <f>INDEX(Input!$1:$1048576,M$93,$C114*2+MIN($B114,2)+5)</f>
        <v>Market</v>
      </c>
      <c r="N114" s="476" t="str">
        <f>INDEX(Input!$1:$1048576,N$93,$C114*2+MIN($B114,2)+5)</f>
        <v>Market</v>
      </c>
      <c r="O114" s="476" t="str">
        <f>INDEX(Input!$1:$1048576,O$93,$C114*2+MIN($B114,2)+5)</f>
        <v>Market</v>
      </c>
      <c r="P114" s="476" t="str">
        <f>INDEX(Input!$1:$1048576,P$93,$C114*2+MIN($B114,2)+5)</f>
        <v>N</v>
      </c>
      <c r="Q114" s="477">
        <f>INDEX(Input!$1:$1048576,Q$93,$C114*2+MIN($B114,2)+5)</f>
        <v>0</v>
      </c>
      <c r="R114" s="478">
        <f>IFERROR(MAX(0,INDEX(Input!$1:$1048576,R$93,$C114*2+MIN($B114,2)+5)-2%,),"Market")</f>
        <v>0</v>
      </c>
      <c r="S114" s="478">
        <f>IFERROR(MAX(0,INDEX(Input!$1:$1048576,S$93,$C114*2+MIN($B114,2)+5)-2%,),"Market")</f>
        <v>0</v>
      </c>
      <c r="T114" s="478">
        <f>IFERROR(MAX(0,INDEX(Input!$1:$1048576,T$93,$C114*2+MIN($B114,2)+5)-2%,),"Market")</f>
        <v>0</v>
      </c>
      <c r="U114" s="478">
        <f>IFERROR(MAX(0,INDEX(Input!$1:$1048576,U$93,$C114*2+MIN($B114,2)+5)-2%,),"Market")</f>
        <v>0</v>
      </c>
      <c r="V114" s="478">
        <f>IFERROR(MAX(0,INDEX(Input!$1:$1048576,V$93,$C114*2+MIN($B114,2)+5)-2%,),"Market")</f>
        <v>0</v>
      </c>
      <c r="W114" s="885">
        <f>IFERROR(MAX(0,INDEX(Input!$1:$1048576,W$93,$C114*2+MIN($B114,2)+5)-0%,),"Market")</f>
        <v>3.9E-2</v>
      </c>
      <c r="X114" s="476" t="str">
        <f>INDEX(Input!$1:$1048576,X$93,$C114*2+MIN($B114,2)+5)</f>
        <v>Y</v>
      </c>
      <c r="Y114" s="150">
        <f>INDEX(Input!$1:$1048576,Y$93,$C114*2+MIN($B114,2)+5)</f>
        <v>1942</v>
      </c>
      <c r="Z114" s="30">
        <f>INDEX(Input!$1:$1048576,Z$93,$C114*2+MIN($B114,2)+5)</f>
        <v>0</v>
      </c>
      <c r="AA114" s="475">
        <f>INDEX(Input!$1:$1048576,AA$93,$C114*2+MIN($B114,2)+5)</f>
        <v>0</v>
      </c>
      <c r="AB114" s="118">
        <f>INDEX(Input!$1:$1048576,AB$93,$C114*2+MIN($B114,2)+5)</f>
        <v>0.27</v>
      </c>
      <c r="AC114" s="115">
        <f>INDEX(Input!$1:$1048576,AC$93,$C114*2+MIN($B114,2)+5)</f>
        <v>0</v>
      </c>
      <c r="AD114" s="118">
        <f>INDEX(Input!$1:$1048576,AD$93,$C114*2+MIN($B114,2)+5)</f>
        <v>0.27</v>
      </c>
      <c r="AE114" s="115">
        <f>INDEX(Input!$1:$1048576,AE$93,$C114*2+MIN($B114,2)+5)</f>
        <v>0</v>
      </c>
      <c r="AF114" s="118">
        <f>INDEX(Input!$1:$1048576,AF$93,$C114*2+MIN($B114,2)+5)</f>
        <v>0.38</v>
      </c>
      <c r="AG114" s="115">
        <f>INDEX(Input!$1:$1048576,AG$93,$C114*2+MIN($B114,2)+5)</f>
        <v>0</v>
      </c>
      <c r="AH114" s="118">
        <f>INDEX(Input!$1:$1048576,AH$93,$C114*2+MIN($B114,2)+5)</f>
        <v>0</v>
      </c>
      <c r="AI114" s="115">
        <f>INDEX(Input!$1:$1048576,AI$93,$C114*2+MIN($B114,2)+5)</f>
        <v>0</v>
      </c>
      <c r="AJ114" s="118">
        <f>INDEX(Input!$1:$1048576,AJ$93,$C114*2+MIN($B114,2)+5)</f>
        <v>0.27</v>
      </c>
      <c r="AK114" s="150">
        <f>ROUND(INDEX(Input!$1:$1048576,AK$93,$C113*2+MIN($B114,1)+5)+(Y114-VLOOKUP($C114*1000+1,$A:$HH,Y$92,FALSE)),0)</f>
        <v>3757</v>
      </c>
      <c r="AL114" s="150">
        <f>ROUND(INDEX(Input!$1:$1048576,AL$93,$C113*2+MIN($B114,1)+5)-(Y114-VLOOKUP($C114*1000+1,$A:$HH,Y$92,FALSE))/36,0)</f>
        <v>4113</v>
      </c>
      <c r="AM114" s="32" t="str">
        <f t="shared" si="169"/>
        <v>std/std/std/std</v>
      </c>
      <c r="AN114" s="32" t="str">
        <f t="shared" si="170"/>
        <v>$0 + 0/0/0/0/3.9</v>
      </c>
      <c r="AO114" s="32" t="str">
        <f t="shared" si="171"/>
        <v>0/0/0/0/3.9</v>
      </c>
      <c r="AP114" s="32" t="str">
        <f t="shared" si="73"/>
        <v>0/0/0/3.9</v>
      </c>
      <c r="AQ114" s="536">
        <f t="shared" si="39"/>
        <v>0.22666511876546269</v>
      </c>
      <c r="AR114" s="32"/>
      <c r="AS114" s="302"/>
      <c r="AT114" s="3">
        <f t="shared" si="106"/>
        <v>14</v>
      </c>
      <c r="AU114" s="41" t="s">
        <v>121</v>
      </c>
      <c r="AV114" s="41" t="s">
        <v>116</v>
      </c>
      <c r="AW114" s="41" t="str">
        <f>INDEX(Input!$1:$1048576,AW$93,$C114*2+6)</f>
        <v>Kia</v>
      </c>
      <c r="AX114" s="41" t="str">
        <f>INDEX(Input!$1:$1048576,AX$93,$C114*2+6)</f>
        <v>Kia-LR - L1</v>
      </c>
      <c r="AY114" s="41" t="str">
        <f>IF(LEN(D114)=0,"",INDEX(Input!$1:$1048576,AY$93,$C114*2+6))</f>
        <v>Compact SUV (52)</v>
      </c>
      <c r="AZ114" s="41" t="str">
        <f>INDEX(Input!$1:$1048576,AZ$93,$C114*2+6)</f>
        <v>Kia Soul</v>
      </c>
      <c r="BA114" s="3">
        <f>INDEX(Input!$1:$1048576,BA$93,$C114*2+6)</f>
        <v>2020</v>
      </c>
      <c r="BB114" s="128">
        <f>INDEX(Input!$1:$1048576,BB$93,$C114*2+6)</f>
        <v>1</v>
      </c>
      <c r="BC114" s="128">
        <f>INDEX(Input!$1:$1048576,BC$93,$C114*2+6)</f>
        <v>0.7</v>
      </c>
      <c r="BD114" s="1">
        <f>INDEX(Input!$1:$1048576,BD$93,$C114*2+6)</f>
        <v>4.4999999999999998E-2</v>
      </c>
      <c r="BE114" s="1">
        <f>INDEX(Input!$1:$1048576,BE$93,$C114*2+6)</f>
        <v>4.4999999999999998E-2</v>
      </c>
      <c r="BF114" s="1">
        <f>INDEX(Input!$1:$1048576,BF$93,$C114*2+6)</f>
        <v>0.05</v>
      </c>
      <c r="BG114" s="1">
        <f>INDEX(Input!$1:$1048576,BG$93,$C114*2+6)</f>
        <v>5.45E-2</v>
      </c>
      <c r="BH114" s="1">
        <f>INDEX(Input!$1:$1048576,BH$93,$C114*2+6)</f>
        <v>5.45E-2</v>
      </c>
      <c r="BI114" s="1">
        <f>INDEX(Input!$1:$1048576,BI$93,$C114*2+6)</f>
        <v>0.05</v>
      </c>
      <c r="BJ114" s="1">
        <f>INDEX(Input!$1:$1048576,BJ$93,$C114*2+6)</f>
        <v>0.05</v>
      </c>
      <c r="BK114" s="1">
        <f>INDEX(Input!$1:$1048576,BK$93,$C114*2+6)</f>
        <v>0.05</v>
      </c>
      <c r="BL114" s="1">
        <f>INDEX(Input!$1:$1048576,BL$93,$C114*2+6)</f>
        <v>5.5E-2</v>
      </c>
      <c r="BM114" s="1">
        <f>INDEX(Input!$1:$1048576,BM$93,$C114*2+6)</f>
        <v>0.06</v>
      </c>
      <c r="BN114" s="1">
        <f>INDEX(Input!$1:$1048576,BN$93,$C114*2+6)</f>
        <v>4.4999999999999998E-2</v>
      </c>
      <c r="BO114" s="1">
        <f>INDEX(Input!$1:$1048576,BO$93,$C114*2+6)</f>
        <v>4.4999999999999998E-2</v>
      </c>
      <c r="BP114" s="1">
        <f>INDEX(Input!$1:$1048576,BP$93,$C114*2+6)</f>
        <v>0.05</v>
      </c>
      <c r="BQ114" s="1">
        <f>INDEX(Input!$1:$1048576,BQ$93,$C114*2+6)</f>
        <v>5.45E-2</v>
      </c>
      <c r="BR114" s="1">
        <f>INDEX(Input!$1:$1048576,BR$93,$C114*2+6)</f>
        <v>5.45E-2</v>
      </c>
      <c r="BS114" s="1">
        <f>INDEX(Input!$1:$1048576,BS$93,$C114*2+6)</f>
        <v>0.05</v>
      </c>
      <c r="BT114" s="1">
        <f>INDEX(Input!$1:$1048576,BT$93,$C114*2+6)</f>
        <v>0.05</v>
      </c>
      <c r="BU114" s="1">
        <f>INDEX(Input!$1:$1048576,BU$93,$C114*2+6)</f>
        <v>0.05</v>
      </c>
      <c r="BV114" s="1">
        <f>INDEX(Input!$1:$1048576,BV$93,$C114*2+6)</f>
        <v>5.5E-2</v>
      </c>
      <c r="BW114" s="1">
        <f>INDEX(Input!$1:$1048576,BW$93,$C114*2+6)</f>
        <v>0.06</v>
      </c>
      <c r="BX114" s="127">
        <f>INDEX(Input!$1:$1048576,BX$93,$C114*2+6)</f>
        <v>19985</v>
      </c>
      <c r="BY114" s="20">
        <f>INDEX(Input!$1:$1048576,BY$93,$C114*2+6)</f>
        <v>0.1</v>
      </c>
      <c r="BZ114" s="20">
        <f>INDEX(Input!$1:$1048576,BZ$93,$C114*2+6)</f>
        <v>0.1</v>
      </c>
      <c r="CA114" s="20">
        <f>INDEX(Input!$1:$1048576,CA$93,$C114*2+6)</f>
        <v>0.1</v>
      </c>
      <c r="CB114" s="20">
        <f>INDEX(Input!$1:$1048576,CB$93,$C114*2+6)</f>
        <v>0.1</v>
      </c>
      <c r="CC114" s="20">
        <f>INDEX(Input!$1:$1048576,CC$93,$C114*2+6)</f>
        <v>0.1</v>
      </c>
      <c r="CD114" s="384">
        <f>INDEX(Input!$1:$1048576,CD$93,$C114*2+6)</f>
        <v>0.1</v>
      </c>
      <c r="CE114" s="384">
        <f>INDEX(Input!$1:$1048576,CE$93,$C114*2+6)</f>
        <v>0.1</v>
      </c>
      <c r="CF114" s="384">
        <f>INDEX(Input!$1:$1048576,CF$93,$C114*2+6)</f>
        <v>0.1</v>
      </c>
      <c r="CG114" s="384">
        <f>INDEX(Input!$1:$1048576,CG$93,$C114*2+6)</f>
        <v>0.1</v>
      </c>
      <c r="CH114" s="384">
        <f>INDEX(Input!$1:$1048576,CH$93,$C114*2+6)</f>
        <v>0.1</v>
      </c>
      <c r="CI114" s="304">
        <f t="shared" si="74"/>
        <v>1229</v>
      </c>
      <c r="CJ114" s="16" t="str">
        <f>INDEX(Input!$1:$1048576,CJ$93,$C114*2+6)</f>
        <v>N</v>
      </c>
      <c r="CK114" s="1" t="str">
        <f t="shared" si="75"/>
        <v>Market</v>
      </c>
      <c r="CL114" s="1" t="str">
        <f t="shared" si="76"/>
        <v>Market</v>
      </c>
      <c r="CM114" s="1" t="str">
        <f t="shared" si="77"/>
        <v>Market</v>
      </c>
      <c r="CN114" s="1" t="str">
        <f t="shared" si="78"/>
        <v>Market</v>
      </c>
      <c r="CO114" s="1" t="str">
        <f t="shared" si="79"/>
        <v>Market</v>
      </c>
      <c r="CP114" s="304">
        <f t="shared" si="80"/>
        <v>0</v>
      </c>
      <c r="CQ114" s="1">
        <f t="shared" si="81"/>
        <v>0</v>
      </c>
      <c r="CR114" s="1">
        <f t="shared" si="82"/>
        <v>0</v>
      </c>
      <c r="CS114" s="1">
        <f t="shared" si="83"/>
        <v>0</v>
      </c>
      <c r="CT114" s="1">
        <f t="shared" si="84"/>
        <v>0</v>
      </c>
      <c r="CU114" s="1">
        <f t="shared" si="85"/>
        <v>3.9E-2</v>
      </c>
      <c r="CV114" s="304">
        <f t="shared" si="86"/>
        <v>1942</v>
      </c>
      <c r="CW114" s="20" t="s">
        <v>122</v>
      </c>
      <c r="CX114" s="20" t="s">
        <v>122</v>
      </c>
      <c r="CY114" s="20" t="s">
        <v>122</v>
      </c>
      <c r="CZ114" s="20" t="s">
        <v>122</v>
      </c>
      <c r="DA114" s="20" t="s">
        <v>122</v>
      </c>
      <c r="DB114" s="503">
        <f t="shared" si="87"/>
        <v>0</v>
      </c>
      <c r="DC114" s="127">
        <v>0</v>
      </c>
      <c r="DD114" s="127">
        <v>0</v>
      </c>
      <c r="DE114" s="127">
        <v>0</v>
      </c>
      <c r="DF114" s="127">
        <v>0</v>
      </c>
      <c r="DG114" s="127">
        <v>0</v>
      </c>
      <c r="DH114" s="127">
        <v>0</v>
      </c>
      <c r="DI114" s="127">
        <v>0</v>
      </c>
      <c r="DJ114" s="127">
        <v>0</v>
      </c>
      <c r="DK114" s="127">
        <v>0</v>
      </c>
      <c r="DL114" s="127">
        <v>0</v>
      </c>
      <c r="DM114" s="304">
        <f>INDEX(Input!$1:$1048576,DM$93,$C114*2+6)</f>
        <v>21036.84210526316</v>
      </c>
      <c r="DN114" s="20">
        <v>0</v>
      </c>
      <c r="DO114" s="20">
        <v>0</v>
      </c>
      <c r="DP114" s="20">
        <v>0</v>
      </c>
      <c r="DQ114" s="20">
        <v>0</v>
      </c>
      <c r="DR114" s="20">
        <v>0</v>
      </c>
      <c r="DS114" s="20">
        <f>INDEX(Input!$1:$1048576,DS$93,$C114*2+6)</f>
        <v>0.6</v>
      </c>
      <c r="DT114" s="20">
        <f>INDEX(Input!$1:$1048576,DT$93,$C114*2+6)</f>
        <v>0.55000000000000004</v>
      </c>
      <c r="DU114" s="20">
        <f>INDEX(Input!$1:$1048576,DU$93,$C114*2+6)</f>
        <v>0.52</v>
      </c>
      <c r="DV114" s="20">
        <f>INDEX(Input!$1:$1048576,DV$93,$C114*2+6)</f>
        <v>0.5</v>
      </c>
      <c r="DW114" s="20">
        <f>INDEX(Input!$1:$1048576,DW$93,$C114*2+6)</f>
        <v>0.45</v>
      </c>
      <c r="DX114" s="20"/>
      <c r="DY114" s="7">
        <v>9.4848401427713294E-2</v>
      </c>
      <c r="DZ114" s="7">
        <v>0</v>
      </c>
      <c r="EA114" s="7">
        <v>0.45330840802798467</v>
      </c>
      <c r="EB114" s="7">
        <v>0</v>
      </c>
      <c r="EC114" s="7">
        <v>0</v>
      </c>
      <c r="ED114" s="7">
        <v>0</v>
      </c>
      <c r="EE114" s="7">
        <v>0</v>
      </c>
      <c r="EF114" s="7">
        <v>0</v>
      </c>
      <c r="EG114" s="7">
        <v>0</v>
      </c>
      <c r="EH114" s="7">
        <v>1.1770126174766769E-2</v>
      </c>
      <c r="EI114" s="7">
        <v>3.4372050758526826E-2</v>
      </c>
      <c r="EJ114" s="7">
        <v>0.2171244497247633</v>
      </c>
      <c r="EK114" s="7">
        <v>0.66899015480349511</v>
      </c>
      <c r="EL114" s="7">
        <v>6.7743218538448169E-2</v>
      </c>
      <c r="EM114" s="7">
        <v>7.4576512183260044E-2</v>
      </c>
      <c r="EN114" s="7">
        <v>5.0824256578978509E-2</v>
      </c>
      <c r="EO114" s="7">
        <v>0.76815678085538397</v>
      </c>
      <c r="EP114" s="7">
        <v>7.9058197430733598E-2</v>
      </c>
      <c r="EQ114" s="7">
        <v>6.0271198631198987E-2</v>
      </c>
      <c r="ER114" s="7">
        <v>4.1689566503705235E-2</v>
      </c>
      <c r="ES114" s="7">
        <v>0.37726667836104205</v>
      </c>
      <c r="ET114" s="7">
        <v>0.45184319054430211</v>
      </c>
      <c r="EU114" s="6">
        <v>1270</v>
      </c>
      <c r="EV114" s="6">
        <v>0</v>
      </c>
      <c r="EW114" s="6">
        <v>1270</v>
      </c>
      <c r="EX114" s="6">
        <v>0</v>
      </c>
      <c r="EY114" s="6">
        <v>2643.8860716023401</v>
      </c>
      <c r="EZ114" s="6">
        <v>2085</v>
      </c>
      <c r="FA114" s="6">
        <v>0</v>
      </c>
      <c r="FB114" s="6">
        <v>0</v>
      </c>
      <c r="FC114" s="6">
        <v>0</v>
      </c>
      <c r="FD114" s="6">
        <v>0</v>
      </c>
      <c r="FE114" s="6">
        <v>0</v>
      </c>
      <c r="FF114" s="6">
        <v>0</v>
      </c>
      <c r="FG114" s="6">
        <v>0</v>
      </c>
      <c r="FH114" s="6">
        <v>1171.281137969562</v>
      </c>
      <c r="FI114" s="6">
        <v>1553.9796069512399</v>
      </c>
      <c r="FJ114" s="6">
        <v>2101.2110117447405</v>
      </c>
      <c r="FK114" s="6">
        <v>2674.2006261592269</v>
      </c>
      <c r="FL114" s="6">
        <v>907.07682140966347</v>
      </c>
      <c r="FM114" s="6">
        <v>2373.8860716023401</v>
      </c>
      <c r="FN114" s="6">
        <v>0</v>
      </c>
      <c r="FO114" s="6">
        <v>0</v>
      </c>
      <c r="FP114" s="6">
        <v>0</v>
      </c>
      <c r="FQ114" s="6">
        <v>0</v>
      </c>
      <c r="FR114" s="6">
        <v>0</v>
      </c>
      <c r="FS114" s="6">
        <v>0</v>
      </c>
      <c r="FT114" s="7">
        <v>0.548156809455698</v>
      </c>
      <c r="FU114" s="7">
        <v>7.4576512183260044E-2</v>
      </c>
      <c r="FV114" s="7">
        <v>0.37726667836104205</v>
      </c>
      <c r="FW114" s="6">
        <v>1270</v>
      </c>
      <c r="FX114" s="6">
        <v>2643.8860716023401</v>
      </c>
      <c r="FY114" s="6">
        <v>2085</v>
      </c>
      <c r="FZ114" s="6">
        <v>1952.7147957719815</v>
      </c>
      <c r="GA114" s="6">
        <v>1679.9319742215125</v>
      </c>
      <c r="GB114" s="6">
        <v>18305.068025778488</v>
      </c>
      <c r="GC114" s="7">
        <v>1.0519917368675835E-2</v>
      </c>
      <c r="GD114" s="7">
        <v>1.0329988238937365E-2</v>
      </c>
      <c r="GE114" s="7"/>
      <c r="GF114" s="7"/>
      <c r="GG114" s="7">
        <v>-1.8054241595471476E-2</v>
      </c>
      <c r="GH114" s="42">
        <v>1.3227153243546217</v>
      </c>
      <c r="GI114" s="6">
        <v>16789.003164389422</v>
      </c>
      <c r="GJ114" s="14">
        <v>0.50394797582841733</v>
      </c>
      <c r="GK114" s="14">
        <v>0.50887573065309744</v>
      </c>
      <c r="GL114" s="14">
        <v>0.49605202417158278</v>
      </c>
      <c r="GM114" s="14">
        <v>0.49112426934690245</v>
      </c>
      <c r="GO114" s="5">
        <v>343.14810671672558</v>
      </c>
      <c r="GP114" s="5">
        <v>318.91892952659737</v>
      </c>
      <c r="GQ114" s="5">
        <v>535.04305713031317</v>
      </c>
      <c r="GR114" s="5">
        <v>410.15490233172511</v>
      </c>
      <c r="GS114" s="5">
        <v>339.42744393800166</v>
      </c>
      <c r="GT114" s="5">
        <v>293.4407446948278</v>
      </c>
      <c r="GU114" s="5">
        <v>258.04012322764959</v>
      </c>
      <c r="GV114" s="39" t="s">
        <v>392</v>
      </c>
      <c r="GW114" s="5">
        <v>492.125</v>
      </c>
      <c r="GX114" s="5">
        <v>369.09375</v>
      </c>
      <c r="GY114" s="5">
        <v>295.27499999999998</v>
      </c>
      <c r="GZ114" s="5">
        <v>246.0625</v>
      </c>
      <c r="HA114" s="5">
        <v>241.34874471337258</v>
      </c>
      <c r="HB114" s="39">
        <v>263.55343506932473</v>
      </c>
      <c r="HC114" s="5">
        <v>196.06562499999998</v>
      </c>
      <c r="HD114" s="5">
        <v>177.54497441520465</v>
      </c>
      <c r="HE114" s="5">
        <v>183.15757844129553</v>
      </c>
      <c r="HF114" s="5">
        <v>172.69313048245613</v>
      </c>
      <c r="HG114" s="5">
        <v>170.66888157894735</v>
      </c>
      <c r="HH114" s="39">
        <v>178.35090729075009</v>
      </c>
      <c r="HI114" s="16"/>
      <c r="HJ114" s="19" t="str">
        <f t="shared" si="107"/>
        <v>On</v>
      </c>
      <c r="HK114" s="1" t="str">
        <f t="shared" si="108"/>
        <v>On</v>
      </c>
      <c r="HL114" s="16"/>
      <c r="HM114" s="639">
        <f t="shared" si="42"/>
        <v>5.7455619280273196E-3</v>
      </c>
      <c r="HN114" s="639">
        <f t="shared" si="43"/>
        <v>5.0031960498701745E-4</v>
      </c>
      <c r="HO114" s="639">
        <f t="shared" si="44"/>
        <v>3.9819433988714835E-3</v>
      </c>
      <c r="HP114" s="644">
        <f>(FT114*$GD114-HM114)/$JF114*INDEX(Input!$1:$1048576,$JG$93,$C114*2+6)</f>
        <v>-3.6240751165827532</v>
      </c>
      <c r="HQ114" s="644">
        <f>(FU114*$GD114-HN114)/$JF114*INDEX(Input!$1:$1048576,$JG$93,$C114*2+6)</f>
        <v>11.776157804050985</v>
      </c>
      <c r="HR114" s="644">
        <f>(FV114*$GD114-HO114)/$JF114*INDEX(Input!$1:$1048576,$JG$93,$C114*2+6)</f>
        <v>-3.6970949214048825</v>
      </c>
      <c r="HS114" s="644">
        <f t="shared" si="45"/>
        <v>-0.96321147630358117</v>
      </c>
      <c r="HT114" s="644">
        <f t="shared" si="46"/>
        <v>14.706164389320673</v>
      </c>
      <c r="HU114" s="644">
        <f t="shared" si="47"/>
        <v>0.86132376022393198</v>
      </c>
      <c r="HV114" s="648">
        <f t="shared" si="48"/>
        <v>0</v>
      </c>
      <c r="HW114" s="648">
        <f t="shared" si="49"/>
        <v>0</v>
      </c>
      <c r="HX114" s="648">
        <f t="shared" si="50"/>
        <v>0</v>
      </c>
      <c r="HY114" s="644">
        <f>INDEX(Input!$1:$1048576,HY$93,$C114*2+6)*INDEX(Input!$1:$1048576,$JG$93,$C114*2+6)</f>
        <v>110.00000000000001</v>
      </c>
      <c r="HZ114" s="644">
        <f>INDEX(Input!$1:$1048576,HZ$93,$C114*2+6)*INDEX(Input!$1:$1048576,$JG$93,$C114*2+6)</f>
        <v>157</v>
      </c>
      <c r="IA114" s="644">
        <f>INDEX(Input!$1:$1048576,IA$93,$C114*2+6)*INDEX(Input!$1:$1048576,$JG$93,$C114*2+6)</f>
        <v>179</v>
      </c>
      <c r="IB114" s="644">
        <f t="shared" si="88"/>
        <v>105.41271340711367</v>
      </c>
      <c r="IC114" s="644">
        <f t="shared" si="172"/>
        <v>183.48232219337166</v>
      </c>
      <c r="ID114" s="644">
        <f>IF(AND(INDEX(Input!$1:$1048576,IA$93,$C114*2+7)="TOS",Y114&lt;=INDEX(Y:Y,MATCH(C114*1000+2,A:A))),0,1)*MAX(IA114+HR114+HU114+HX114,0%)</f>
        <v>176.16422883881907</v>
      </c>
      <c r="IE114" s="128">
        <f t="shared" si="173"/>
        <v>0.22666511876546269</v>
      </c>
      <c r="IF114" s="128">
        <f t="shared" si="174"/>
        <v>0.39453535543386253</v>
      </c>
      <c r="IG114" s="128">
        <f t="shared" si="175"/>
        <v>0.37879952580067461</v>
      </c>
      <c r="IH114" s="21"/>
      <c r="II114" s="19">
        <f t="shared" si="53"/>
        <v>1240</v>
      </c>
      <c r="IJ114" s="19">
        <f t="shared" si="54"/>
        <v>2009.7221397149679</v>
      </c>
      <c r="IK114" s="19">
        <f t="shared" si="55"/>
        <v>2070</v>
      </c>
      <c r="IL114" s="19">
        <f t="shared" si="176"/>
        <v>30</v>
      </c>
      <c r="IM114" s="19">
        <f t="shared" si="177"/>
        <v>634.1639318873722</v>
      </c>
      <c r="IN114" s="19">
        <f t="shared" si="178"/>
        <v>15</v>
      </c>
      <c r="IO114" s="39">
        <f t="shared" si="57"/>
        <v>0</v>
      </c>
      <c r="IP114" s="39">
        <f t="shared" si="58"/>
        <v>0</v>
      </c>
      <c r="IQ114" s="39">
        <f t="shared" si="59"/>
        <v>0</v>
      </c>
      <c r="IR114" s="39">
        <v>0</v>
      </c>
      <c r="IS114" s="39">
        <v>0</v>
      </c>
      <c r="IT114" s="39">
        <v>0</v>
      </c>
      <c r="IU114" s="39">
        <v>0</v>
      </c>
      <c r="IV114" s="39">
        <v>0</v>
      </c>
      <c r="IW114" s="39">
        <v>0</v>
      </c>
      <c r="IX114" s="39">
        <f>INDEX(Input!$1:$1048576,IX$93,$C114*2+6)+INDEX(Input!$1:$1048576,IX$94,$C114*2+6)</f>
        <v>1270</v>
      </c>
      <c r="IY114" s="39">
        <f>INDEX(Input!$1:$1048576,IY$93,$C114*2+6)+INDEX(Input!$1:$1048576,IY$94,$C114*2+6)</f>
        <v>2130.0624533823611</v>
      </c>
      <c r="IZ114" s="39">
        <f>INDEX(Input!$1:$1048576,IZ$93,$C114*2+6)+INDEX(Input!$1:$1048576,IZ$94,$C114*2+6)</f>
        <v>4373.7164157747848</v>
      </c>
      <c r="JA114" s="19">
        <f t="shared" si="179"/>
        <v>1300</v>
      </c>
      <c r="JB114" s="19">
        <f t="shared" si="180"/>
        <v>2764.2263852697333</v>
      </c>
      <c r="JC114" s="19">
        <f t="shared" si="181"/>
        <v>4388.7164157747848</v>
      </c>
      <c r="JD114" s="19">
        <f t="shared" si="182"/>
        <v>3047.6933909762815</v>
      </c>
      <c r="JE114" s="21"/>
      <c r="JF114" s="1">
        <f t="shared" si="60"/>
        <v>1.022782493188582E-2</v>
      </c>
      <c r="JG114" s="15">
        <f>INDEX(Input!$1:$1048576,JG$93,$C114*2+6)/(1+VLOOKUP(C114*1000+INDEX(Input!$1:$1048576,JG$93+1,$C114*2+6),$A:$KK,$JK$92,FALSE))</f>
        <v>446</v>
      </c>
      <c r="JH114" s="1">
        <f t="shared" si="94"/>
        <v>9.9887618073169256E-3</v>
      </c>
      <c r="JI114" s="1">
        <f t="shared" si="95"/>
        <v>3.2745014962423824E-2</v>
      </c>
      <c r="JJ114" s="1">
        <f t="shared" si="96"/>
        <v>0</v>
      </c>
      <c r="JK114" s="1">
        <f t="shared" si="183"/>
        <v>4.2733776769740751E-2</v>
      </c>
      <c r="JL114" s="15">
        <f t="shared" si="184"/>
        <v>19.059264439304375</v>
      </c>
      <c r="JM114" s="15">
        <f t="shared" si="185"/>
        <v>465.0592644393044</v>
      </c>
      <c r="JN114" s="21"/>
      <c r="JO114" s="19">
        <f>INDEX(Input!$1:$1048576,JO$93,$C114*2+6)</f>
        <v>5995.5</v>
      </c>
      <c r="JP114" s="19">
        <f>INDEX(Input!$1:$1048576,JP$93,$C114*2+6)</f>
        <v>2818.4193802796353</v>
      </c>
      <c r="JQ114" s="39">
        <f t="shared" si="186"/>
        <v>2947.8066090237185</v>
      </c>
      <c r="JR114" s="39">
        <f t="shared" si="187"/>
        <v>229.2740106966462</v>
      </c>
      <c r="JS114" s="39">
        <f t="shared" si="188"/>
        <v>1.4173580466439588</v>
      </c>
      <c r="JT114" s="39">
        <f t="shared" si="189"/>
        <v>0.16034300303924154</v>
      </c>
      <c r="JU114" s="385">
        <f>(JQ114*JM114-INDEX(Input!$1:$1048576,Input!A$18,$C114*2+6)*JL114*INDEX(Input!$1:$1048576,Input!A$19,$C114*2+6))/1000000</f>
        <v>1.3709047733018906</v>
      </c>
      <c r="JV114" s="39">
        <f t="shared" ref="JV114:JV161" si="192">JU114-(JO114-JP114)*JG114/1000000</f>
        <v>-4.6073183093392034E-2</v>
      </c>
      <c r="JW114" s="1">
        <f t="shared" si="190"/>
        <v>-3.25151022183858E-2</v>
      </c>
      <c r="JX114" s="19">
        <f t="shared" si="191"/>
        <v>8412.8641768870766</v>
      </c>
      <c r="JZ114" s="341"/>
      <c r="KA114" s="342"/>
      <c r="KB114" s="469">
        <f t="shared" si="110"/>
        <v>2.9286733661474216</v>
      </c>
      <c r="KI114" s="473">
        <f t="shared" si="111"/>
        <v>-4.5872865928863575</v>
      </c>
      <c r="KJ114" s="473">
        <f t="shared" si="101"/>
        <v>26.48232219337163</v>
      </c>
      <c r="KK114" s="473">
        <f t="shared" si="102"/>
        <v>-2.8357711611809577</v>
      </c>
      <c r="KN114" s="544">
        <f t="shared" si="114"/>
        <v>1002</v>
      </c>
      <c r="KO114" s="541">
        <f t="shared" si="64"/>
        <v>3.8459586138666069E-2</v>
      </c>
      <c r="KP114" s="546">
        <f t="shared" si="65"/>
        <v>238.36403160750433</v>
      </c>
      <c r="KQ114" s="546">
        <f t="shared" si="66"/>
        <v>208.37719095762986</v>
      </c>
      <c r="KR114" s="548">
        <f t="shared" si="67"/>
        <v>2.7664236863451079</v>
      </c>
      <c r="KS114" s="548">
        <f t="shared" si="68"/>
        <v>3.1645301483394865</v>
      </c>
      <c r="KT114" s="473">
        <f t="shared" si="112"/>
        <v>238.28695973331548</v>
      </c>
      <c r="KU114" s="663">
        <f t="shared" si="103"/>
        <v>6.2405604051151906</v>
      </c>
      <c r="KV114" s="117">
        <f t="shared" si="142"/>
        <v>49</v>
      </c>
    </row>
    <row r="115" spans="1:308" s="26" customFormat="1" ht="15">
      <c r="A115" s="561">
        <f t="shared" ref="A115" si="193">C115*1000+B115</f>
        <v>1015</v>
      </c>
      <c r="B115" s="561">
        <f t="shared" si="104"/>
        <v>15</v>
      </c>
      <c r="C115" s="561">
        <f t="shared" si="105"/>
        <v>1</v>
      </c>
      <c r="D115" s="561" t="str">
        <f t="shared" si="141"/>
        <v xml:space="preserve">500 Combo, </v>
      </c>
      <c r="E115" s="115">
        <f>INDEX(Input!$1:$1048576,E$93,$C115*2+MIN($B115,2)+5)</f>
        <v>1229</v>
      </c>
      <c r="F115" s="115">
        <f>INDEX(Input!$1:$1048576,F$93,$C115*2+MIN($B115,2)+5)</f>
        <v>0</v>
      </c>
      <c r="G115" s="115">
        <f>INDEX(Input!$1:$1048576,G$93,$C115*2+MIN($B115,2)+5)</f>
        <v>0</v>
      </c>
      <c r="H115" s="115">
        <f>INDEX(Input!$1:$1048576,H$93,$C115*2+MIN($B115,2)+5)</f>
        <v>0</v>
      </c>
      <c r="I115" s="118">
        <f>INDEX(Input!$1:$1048576,I$93,$C115*2+MIN($B115,2)+5)</f>
        <v>0.7</v>
      </c>
      <c r="J115" s="476" t="str">
        <f>INDEX(Input!$1:$1048576,J$93,$C115*2+MIN($B115,2)+5)</f>
        <v>Market</v>
      </c>
      <c r="K115" s="476" t="str">
        <f>INDEX(Input!$1:$1048576,K$93,$C115*2+MIN($B115,2)+5)</f>
        <v>Market</v>
      </c>
      <c r="L115" s="476" t="str">
        <f>INDEX(Input!$1:$1048576,L$93,$C115*2+MIN($B115,2)+5)</f>
        <v>Market</v>
      </c>
      <c r="M115" s="476" t="str">
        <f>INDEX(Input!$1:$1048576,M$93,$C115*2+MIN($B115,2)+5)</f>
        <v>Market</v>
      </c>
      <c r="N115" s="476" t="str">
        <f>INDEX(Input!$1:$1048576,N$93,$C115*2+MIN($B115,2)+5)</f>
        <v>Market</v>
      </c>
      <c r="O115" s="476" t="str">
        <f>INDEX(Input!$1:$1048576,O$93,$C115*2+MIN($B115,2)+5)</f>
        <v>Market</v>
      </c>
      <c r="P115" s="476" t="str">
        <f>INDEX(Input!$1:$1048576,P$93,$C115*2+MIN($B115,2)+5)</f>
        <v>N</v>
      </c>
      <c r="Q115" s="477">
        <f>INDEX(Input!$1:$1048576,Q$93,$C115*2+MIN($B115,2)+5)+500</f>
        <v>500</v>
      </c>
      <c r="R115" s="478">
        <f>IFERROR(MAX(0,INDEX(Input!$1:$1048576,R$93,$C115*2+MIN($B115,2)+5)-0%,),"Market")</f>
        <v>0</v>
      </c>
      <c r="S115" s="478">
        <f>IFERROR(MAX(0,INDEX(Input!$1:$1048576,S$93,$C115*2+MIN($B115,2)+5)-0%,),"Market")</f>
        <v>0</v>
      </c>
      <c r="T115" s="478">
        <f>IFERROR(MAX(0,INDEX(Input!$1:$1048576,T$93,$C115*2+MIN($B115,2)+5)-0%,),"Market")</f>
        <v>0</v>
      </c>
      <c r="U115" s="478">
        <f>IFERROR(MAX(0,INDEX(Input!$1:$1048576,U$93,$C115*2+MIN($B115,2)+5)-0%,),"Market")</f>
        <v>0</v>
      </c>
      <c r="V115" s="478">
        <f>IFERROR(MAX(0,INDEX(Input!$1:$1048576,V$93,$C115*2+MIN($B115,2)+5)-0%,),"Market")</f>
        <v>1.9E-2</v>
      </c>
      <c r="W115" s="885">
        <f>IFERROR(MAX(0,INDEX(Input!$1:$1048576,W$93,$C115*2+MIN($B115,2)+5)-0%,),"Market")</f>
        <v>3.9E-2</v>
      </c>
      <c r="X115" s="476" t="str">
        <f>INDEX(Input!$1:$1048576,X$93,$C115*2+MIN($B115,2)+5)</f>
        <v>Y</v>
      </c>
      <c r="Y115" s="150">
        <f>INDEX(Input!$1:$1048576,Y$93,$C115*2+MIN($B115,2)+5)</f>
        <v>1942</v>
      </c>
      <c r="Z115" s="30">
        <f>INDEX(Input!$1:$1048576,Z$93,$C115*2+MIN($B115,2)+5)</f>
        <v>0</v>
      </c>
      <c r="AA115" s="475">
        <f>INDEX(Input!$1:$1048576,AA$93,$C115*2+MIN($B115,2)+5)</f>
        <v>0</v>
      </c>
      <c r="AB115" s="118">
        <f>INDEX(Input!$1:$1048576,AB$93,$C115*2+MIN($B115,2)+5)</f>
        <v>0.27</v>
      </c>
      <c r="AC115" s="115">
        <f>INDEX(Input!$1:$1048576,AC$93,$C115*2+MIN($B115,2)+5)</f>
        <v>0</v>
      </c>
      <c r="AD115" s="118">
        <f>INDEX(Input!$1:$1048576,AD$93,$C115*2+MIN($B115,2)+5)</f>
        <v>0.27</v>
      </c>
      <c r="AE115" s="115">
        <f>INDEX(Input!$1:$1048576,AE$93,$C115*2+MIN($B115,2)+5)</f>
        <v>0</v>
      </c>
      <c r="AF115" s="118">
        <f>INDEX(Input!$1:$1048576,AF$93,$C115*2+MIN($B115,2)+5)</f>
        <v>0.38</v>
      </c>
      <c r="AG115" s="115">
        <f>INDEX(Input!$1:$1048576,AG$93,$C115*2+MIN($B115,2)+5)</f>
        <v>0</v>
      </c>
      <c r="AH115" s="118">
        <f>INDEX(Input!$1:$1048576,AH$93,$C115*2+MIN($B115,2)+5)</f>
        <v>0</v>
      </c>
      <c r="AI115" s="115">
        <f>INDEX(Input!$1:$1048576,AI$93,$C115*2+MIN($B115,2)+5)</f>
        <v>0</v>
      </c>
      <c r="AJ115" s="118">
        <f>INDEX(Input!$1:$1048576,AJ$93,$C115*2+MIN($B115,2)+5)</f>
        <v>0.27</v>
      </c>
      <c r="AK115" s="150">
        <f>ROUND(INDEX(Input!$1:$1048576,AK$93,$C114*2+MIN($B115,1)+5)+(Y115-VLOOKUP($C115*1000+1,$A:$HH,Y$92,FALSE)),0)</f>
        <v>3757</v>
      </c>
      <c r="AL115" s="150">
        <f>ROUND(INDEX(Input!$1:$1048576,AL$93,$C114*2+MIN($B115,1)+5)-(Y115-VLOOKUP($C115*1000+1,$A:$HH,Y$92,FALSE))/36,0)</f>
        <v>4113</v>
      </c>
      <c r="AM115" s="32" t="str">
        <f t="shared" ref="AM115" si="194">IF(K115="market","std",ROUND(K115*1000,0)/10)&amp;"/"&amp;IF(L115="market","std",ROUND(L115*1000,0)/10)&amp;"/"&amp;IF(M115="market","std",ROUND(M115*1000,0)/10)&amp;"/"&amp;IF(N115="market","std",ROUND(N115*1000,0)/10)&amp;IF(P115="N","","/"&amp;IF(O115="market","std",ROUND(O115*1000,0)/10))</f>
        <v>std/std/std/std</v>
      </c>
      <c r="AN115" s="32" t="str">
        <f t="shared" ref="AN115" si="195">"$"&amp;ROUND(Q115,0)&amp;" + "&amp;IF(S115="market","std",ROUND(S115*1000,0)/10)&amp;"/"&amp;IF(T115="market","std",ROUND(T115*1000,0)/10)&amp;"/"&amp;IF(U115="market","std",ROUND(U115*1000,0)/10)&amp;"/"&amp;IF(V115="market","std",ROUND(V115*1000,0)/10)&amp;IF(X115="N","","/"&amp;IF(W115="market","std",ROUND(W115*1000,0)/10))</f>
        <v>$500 + 0/0/0/1.9/3.9</v>
      </c>
      <c r="AO115" s="32" t="str">
        <f t="shared" ref="AO115" si="196">IF(S115="market","std",ROUND(S115*1000,0)/10)&amp;"/"&amp;IF(T115="market","std",ROUND(T115*1000,0)/10)&amp;"/"&amp;IF(U115="market","std",ROUND(U115*1000,0)/10)&amp;"/"&amp;IF(V115="market","std",ROUND(V115*1000,0)/10)&amp;IF(X115="N","","/"&amp;IF(W115="market","std",ROUND(W115*1000,0)/10))</f>
        <v>0/0/0/1.9/3.9</v>
      </c>
      <c r="AP115" s="32" t="str">
        <f t="shared" si="73"/>
        <v>0/0.9/1.9/3.9</v>
      </c>
      <c r="AQ115" s="536">
        <f t="shared" si="39"/>
        <v>0.23302980310950536</v>
      </c>
      <c r="AR115" s="32"/>
      <c r="AS115" s="302"/>
      <c r="AT115" s="3">
        <f t="shared" si="106"/>
        <v>15</v>
      </c>
      <c r="AU115" s="41" t="s">
        <v>121</v>
      </c>
      <c r="AV115" s="41" t="s">
        <v>116</v>
      </c>
      <c r="AW115" s="41" t="str">
        <f>INDEX(Input!$1:$1048576,AW$93,$C115*2+6)</f>
        <v>Kia</v>
      </c>
      <c r="AX115" s="41" t="str">
        <f>INDEX(Input!$1:$1048576,AX$93,$C115*2+6)</f>
        <v>Kia-LR - L1</v>
      </c>
      <c r="AY115" s="41" t="str">
        <f>IF(LEN(D115)=0,"",INDEX(Input!$1:$1048576,AY$93,$C115*2+6))</f>
        <v>Compact SUV (52)</v>
      </c>
      <c r="AZ115" s="41" t="str">
        <f>INDEX(Input!$1:$1048576,AZ$93,$C115*2+6)</f>
        <v>Kia Soul</v>
      </c>
      <c r="BA115" s="3">
        <f>INDEX(Input!$1:$1048576,BA$93,$C115*2+6)</f>
        <v>2020</v>
      </c>
      <c r="BB115" s="128">
        <f>INDEX(Input!$1:$1048576,BB$93,$C115*2+6)</f>
        <v>1</v>
      </c>
      <c r="BC115" s="128">
        <f>INDEX(Input!$1:$1048576,BC$93,$C115*2+6)</f>
        <v>0.7</v>
      </c>
      <c r="BD115" s="1">
        <f>INDEX(Input!$1:$1048576,BD$93,$C115*2+6)</f>
        <v>4.4999999999999998E-2</v>
      </c>
      <c r="BE115" s="1">
        <f>INDEX(Input!$1:$1048576,BE$93,$C115*2+6)</f>
        <v>4.4999999999999998E-2</v>
      </c>
      <c r="BF115" s="1">
        <f>INDEX(Input!$1:$1048576,BF$93,$C115*2+6)</f>
        <v>0.05</v>
      </c>
      <c r="BG115" s="1">
        <f>INDEX(Input!$1:$1048576,BG$93,$C115*2+6)</f>
        <v>5.45E-2</v>
      </c>
      <c r="BH115" s="1">
        <f>INDEX(Input!$1:$1048576,BH$93,$C115*2+6)</f>
        <v>5.45E-2</v>
      </c>
      <c r="BI115" s="1">
        <f>INDEX(Input!$1:$1048576,BI$93,$C115*2+6)</f>
        <v>0.05</v>
      </c>
      <c r="BJ115" s="1">
        <f>INDEX(Input!$1:$1048576,BJ$93,$C115*2+6)</f>
        <v>0.05</v>
      </c>
      <c r="BK115" s="1">
        <f>INDEX(Input!$1:$1048576,BK$93,$C115*2+6)</f>
        <v>0.05</v>
      </c>
      <c r="BL115" s="1">
        <f>INDEX(Input!$1:$1048576,BL$93,$C115*2+6)</f>
        <v>5.5E-2</v>
      </c>
      <c r="BM115" s="1">
        <f>INDEX(Input!$1:$1048576,BM$93,$C115*2+6)</f>
        <v>0.06</v>
      </c>
      <c r="BN115" s="1">
        <f>INDEX(Input!$1:$1048576,BN$93,$C115*2+6)</f>
        <v>4.4999999999999998E-2</v>
      </c>
      <c r="BO115" s="1">
        <f>INDEX(Input!$1:$1048576,BO$93,$C115*2+6)</f>
        <v>4.4999999999999998E-2</v>
      </c>
      <c r="BP115" s="1">
        <f>INDEX(Input!$1:$1048576,BP$93,$C115*2+6)</f>
        <v>0.05</v>
      </c>
      <c r="BQ115" s="1">
        <f>INDEX(Input!$1:$1048576,BQ$93,$C115*2+6)</f>
        <v>5.45E-2</v>
      </c>
      <c r="BR115" s="1">
        <f>INDEX(Input!$1:$1048576,BR$93,$C115*2+6)</f>
        <v>5.45E-2</v>
      </c>
      <c r="BS115" s="1">
        <f>INDEX(Input!$1:$1048576,BS$93,$C115*2+6)</f>
        <v>0.05</v>
      </c>
      <c r="BT115" s="1">
        <f>INDEX(Input!$1:$1048576,BT$93,$C115*2+6)</f>
        <v>0.05</v>
      </c>
      <c r="BU115" s="1">
        <f>INDEX(Input!$1:$1048576,BU$93,$C115*2+6)</f>
        <v>0.05</v>
      </c>
      <c r="BV115" s="1">
        <f>INDEX(Input!$1:$1048576,BV$93,$C115*2+6)</f>
        <v>5.5E-2</v>
      </c>
      <c r="BW115" s="1">
        <f>INDEX(Input!$1:$1048576,BW$93,$C115*2+6)</f>
        <v>0.06</v>
      </c>
      <c r="BX115" s="127">
        <f>INDEX(Input!$1:$1048576,BX$93,$C115*2+6)</f>
        <v>19985</v>
      </c>
      <c r="BY115" s="20">
        <f>INDEX(Input!$1:$1048576,BY$93,$C115*2+6)</f>
        <v>0.1</v>
      </c>
      <c r="BZ115" s="20">
        <f>INDEX(Input!$1:$1048576,BZ$93,$C115*2+6)</f>
        <v>0.1</v>
      </c>
      <c r="CA115" s="20">
        <f>INDEX(Input!$1:$1048576,CA$93,$C115*2+6)</f>
        <v>0.1</v>
      </c>
      <c r="CB115" s="20">
        <f>INDEX(Input!$1:$1048576,CB$93,$C115*2+6)</f>
        <v>0.1</v>
      </c>
      <c r="CC115" s="20">
        <f>INDEX(Input!$1:$1048576,CC$93,$C115*2+6)</f>
        <v>0.1</v>
      </c>
      <c r="CD115" s="384">
        <f>INDEX(Input!$1:$1048576,CD$93,$C115*2+6)</f>
        <v>0.1</v>
      </c>
      <c r="CE115" s="384">
        <f>INDEX(Input!$1:$1048576,CE$93,$C115*2+6)</f>
        <v>0.1</v>
      </c>
      <c r="CF115" s="384">
        <f>INDEX(Input!$1:$1048576,CF$93,$C115*2+6)</f>
        <v>0.1</v>
      </c>
      <c r="CG115" s="384">
        <f>INDEX(Input!$1:$1048576,CG$93,$C115*2+6)</f>
        <v>0.1</v>
      </c>
      <c r="CH115" s="384">
        <f>INDEX(Input!$1:$1048576,CH$93,$C115*2+6)</f>
        <v>0.1</v>
      </c>
      <c r="CI115" s="304">
        <f t="shared" si="74"/>
        <v>1229</v>
      </c>
      <c r="CJ115" s="16" t="str">
        <f>INDEX(Input!$1:$1048576,CJ$93,$C115*2+6)</f>
        <v>N</v>
      </c>
      <c r="CK115" s="1" t="str">
        <f t="shared" si="75"/>
        <v>Market</v>
      </c>
      <c r="CL115" s="1" t="str">
        <f t="shared" si="76"/>
        <v>Market</v>
      </c>
      <c r="CM115" s="1" t="str">
        <f t="shared" si="77"/>
        <v>Market</v>
      </c>
      <c r="CN115" s="1" t="str">
        <f t="shared" si="78"/>
        <v>Market</v>
      </c>
      <c r="CO115" s="1" t="str">
        <f t="shared" si="79"/>
        <v>Market</v>
      </c>
      <c r="CP115" s="304">
        <f t="shared" si="80"/>
        <v>500</v>
      </c>
      <c r="CQ115" s="1">
        <f t="shared" si="81"/>
        <v>0</v>
      </c>
      <c r="CR115" s="1">
        <f t="shared" si="82"/>
        <v>0</v>
      </c>
      <c r="CS115" s="1">
        <f t="shared" si="83"/>
        <v>0</v>
      </c>
      <c r="CT115" s="1">
        <f t="shared" si="84"/>
        <v>1.9E-2</v>
      </c>
      <c r="CU115" s="1">
        <f t="shared" si="85"/>
        <v>3.9E-2</v>
      </c>
      <c r="CV115" s="304">
        <f t="shared" si="86"/>
        <v>1942</v>
      </c>
      <c r="CW115" s="20" t="s">
        <v>122</v>
      </c>
      <c r="CX115" s="20" t="s">
        <v>122</v>
      </c>
      <c r="CY115" s="20" t="s">
        <v>122</v>
      </c>
      <c r="CZ115" s="20" t="s">
        <v>122</v>
      </c>
      <c r="DA115" s="20" t="s">
        <v>122</v>
      </c>
      <c r="DB115" s="503">
        <f t="shared" si="87"/>
        <v>0</v>
      </c>
      <c r="DC115" s="127">
        <v>0</v>
      </c>
      <c r="DD115" s="127">
        <v>0</v>
      </c>
      <c r="DE115" s="127">
        <v>0</v>
      </c>
      <c r="DF115" s="127">
        <v>0</v>
      </c>
      <c r="DG115" s="127">
        <v>0</v>
      </c>
      <c r="DH115" s="127">
        <v>0</v>
      </c>
      <c r="DI115" s="127">
        <v>0</v>
      </c>
      <c r="DJ115" s="127">
        <v>0</v>
      </c>
      <c r="DK115" s="127">
        <v>0</v>
      </c>
      <c r="DL115" s="127">
        <v>0</v>
      </c>
      <c r="DM115" s="304">
        <f>INDEX(Input!$1:$1048576,DM$93,$C115*2+6)</f>
        <v>21036.84210526316</v>
      </c>
      <c r="DN115" s="20">
        <v>0</v>
      </c>
      <c r="DO115" s="20">
        <v>0</v>
      </c>
      <c r="DP115" s="20">
        <v>0</v>
      </c>
      <c r="DQ115" s="20">
        <v>0</v>
      </c>
      <c r="DR115" s="20">
        <v>0</v>
      </c>
      <c r="DS115" s="20">
        <f>INDEX(Input!$1:$1048576,DS$93,$C115*2+6)</f>
        <v>0.6</v>
      </c>
      <c r="DT115" s="20">
        <f>INDEX(Input!$1:$1048576,DT$93,$C115*2+6)</f>
        <v>0.55000000000000004</v>
      </c>
      <c r="DU115" s="20">
        <f>INDEX(Input!$1:$1048576,DU$93,$C115*2+6)</f>
        <v>0.52</v>
      </c>
      <c r="DV115" s="20">
        <f>INDEX(Input!$1:$1048576,DV$93,$C115*2+6)</f>
        <v>0.5</v>
      </c>
      <c r="DW115" s="20">
        <f>INDEX(Input!$1:$1048576,DW$93,$C115*2+6)</f>
        <v>0.45</v>
      </c>
      <c r="DX115" s="20"/>
      <c r="DY115" s="7">
        <v>9.6237430868762575E-2</v>
      </c>
      <c r="DZ115" s="7">
        <v>0</v>
      </c>
      <c r="EA115" s="7">
        <v>0.45820228664154361</v>
      </c>
      <c r="EB115" s="7">
        <v>0</v>
      </c>
      <c r="EC115" s="7">
        <v>0</v>
      </c>
      <c r="ED115" s="7">
        <v>0</v>
      </c>
      <c r="EE115" s="7">
        <v>0</v>
      </c>
      <c r="EF115" s="7">
        <v>0</v>
      </c>
      <c r="EG115" s="7">
        <v>0</v>
      </c>
      <c r="EH115" s="7">
        <v>1.8402200445098656E-2</v>
      </c>
      <c r="EI115" s="7">
        <v>5.3739557110571878E-2</v>
      </c>
      <c r="EJ115" s="7">
        <v>0.33946684904131991</v>
      </c>
      <c r="EK115" s="7">
        <v>0.48247712639938084</v>
      </c>
      <c r="EL115" s="7">
        <v>0.10591426700362866</v>
      </c>
      <c r="EM115" s="7">
        <v>6.2768634645958721E-2</v>
      </c>
      <c r="EN115" s="7">
        <v>5.082425657897853E-2</v>
      </c>
      <c r="EO115" s="7">
        <v>0.76815678085538397</v>
      </c>
      <c r="EP115" s="7">
        <v>7.9058197430733612E-2</v>
      </c>
      <c r="EQ115" s="7">
        <v>6.0271198631199008E-2</v>
      </c>
      <c r="ER115" s="7">
        <v>4.1689566503705235E-2</v>
      </c>
      <c r="ES115" s="7">
        <v>0.38279164784373521</v>
      </c>
      <c r="ET115" s="7">
        <v>0.44556028248969382</v>
      </c>
      <c r="EU115" s="6">
        <v>1270</v>
      </c>
      <c r="EV115" s="6">
        <v>0</v>
      </c>
      <c r="EW115" s="6">
        <v>1270</v>
      </c>
      <c r="EX115" s="6">
        <v>0</v>
      </c>
      <c r="EY115" s="6">
        <v>2539.7221397149679</v>
      </c>
      <c r="EZ115" s="6">
        <v>2085</v>
      </c>
      <c r="FA115" s="6">
        <v>0</v>
      </c>
      <c r="FB115" s="6">
        <v>0</v>
      </c>
      <c r="FC115" s="6">
        <v>0</v>
      </c>
      <c r="FD115" s="6">
        <v>0</v>
      </c>
      <c r="FE115" s="6">
        <v>0</v>
      </c>
      <c r="FF115" s="6">
        <v>0</v>
      </c>
      <c r="FG115" s="6">
        <v>0</v>
      </c>
      <c r="FH115" s="6">
        <v>1171.2811379695615</v>
      </c>
      <c r="FI115" s="6">
        <v>1553.9796069512399</v>
      </c>
      <c r="FJ115" s="6">
        <v>2101.2110117447405</v>
      </c>
      <c r="FK115" s="6">
        <v>1772.7139978623229</v>
      </c>
      <c r="FL115" s="6">
        <v>907.07682140966347</v>
      </c>
      <c r="FM115" s="6">
        <v>1769.7221397149679</v>
      </c>
      <c r="FN115" s="6">
        <v>0</v>
      </c>
      <c r="FO115" s="6">
        <v>0</v>
      </c>
      <c r="FP115" s="6">
        <v>0</v>
      </c>
      <c r="FQ115" s="6">
        <v>0</v>
      </c>
      <c r="FR115" s="6">
        <v>0</v>
      </c>
      <c r="FS115" s="6">
        <v>0</v>
      </c>
      <c r="FT115" s="7">
        <v>0.55443971751030618</v>
      </c>
      <c r="FU115" s="7">
        <v>6.2768634645958721E-2</v>
      </c>
      <c r="FV115" s="7">
        <v>0.38279164784373521</v>
      </c>
      <c r="FW115" s="6">
        <v>1270</v>
      </c>
      <c r="FX115" s="6">
        <v>2539.7221397149679</v>
      </c>
      <c r="FY115" s="6">
        <v>2085</v>
      </c>
      <c r="FZ115" s="6">
        <v>1952.7147957719815</v>
      </c>
      <c r="GA115" s="6">
        <v>1661.6739180822981</v>
      </c>
      <c r="GB115" s="6">
        <v>18323.326081917701</v>
      </c>
      <c r="GC115" s="7">
        <v>1.0519917368675835E-2</v>
      </c>
      <c r="GD115" s="7">
        <v>1.0293483168141932E-2</v>
      </c>
      <c r="GE115" s="7"/>
      <c r="GF115" s="7"/>
      <c r="GG115" s="7">
        <v>-2.1524332615780309E-2</v>
      </c>
      <c r="GH115" s="42">
        <v>1.4780184513634651</v>
      </c>
      <c r="GI115" s="6">
        <v>15183.155995362153</v>
      </c>
      <c r="GJ115" s="14">
        <v>0.50394797582841733</v>
      </c>
      <c r="GK115" s="14">
        <v>0.50887573065309744</v>
      </c>
      <c r="GL115" s="14">
        <v>0.49605202417158267</v>
      </c>
      <c r="GM115" s="14">
        <v>0.49112426934690251</v>
      </c>
      <c r="GO115" s="5">
        <v>343.14810671672558</v>
      </c>
      <c r="GP115" s="5">
        <v>318.91892952659737</v>
      </c>
      <c r="GQ115" s="5">
        <v>535.04305713031317</v>
      </c>
      <c r="GR115" s="5">
        <v>410.15490233172511</v>
      </c>
      <c r="GS115" s="5">
        <v>339.42744393800166</v>
      </c>
      <c r="GT115" s="5">
        <v>293.4407446948278</v>
      </c>
      <c r="GU115" s="5">
        <v>258.04012322764959</v>
      </c>
      <c r="GV115" s="39" t="s">
        <v>392</v>
      </c>
      <c r="GW115" s="5">
        <v>478.23611111111109</v>
      </c>
      <c r="GX115" s="5">
        <v>358.67708333333331</v>
      </c>
      <c r="GY115" s="5">
        <v>286.94166666666666</v>
      </c>
      <c r="GZ115" s="5">
        <v>253.19574071601335</v>
      </c>
      <c r="HA115" s="5">
        <v>234.53733318419435</v>
      </c>
      <c r="HB115" s="39">
        <v>272.48493094920883</v>
      </c>
      <c r="HC115" s="5">
        <v>196.06562499999998</v>
      </c>
      <c r="HD115" s="5">
        <v>177.54497441520465</v>
      </c>
      <c r="HE115" s="5">
        <v>183.15757844129553</v>
      </c>
      <c r="HF115" s="5">
        <v>172.69313048245613</v>
      </c>
      <c r="HG115" s="5">
        <v>170.66888157894735</v>
      </c>
      <c r="HH115" s="39">
        <v>178.35090729075011</v>
      </c>
      <c r="HI115" s="16"/>
      <c r="HJ115" s="19" t="str">
        <f t="shared" si="107"/>
        <v>On</v>
      </c>
      <c r="HK115" s="1" t="str">
        <f t="shared" si="108"/>
        <v>On</v>
      </c>
      <c r="HL115" s="16"/>
      <c r="HM115" s="639">
        <f t="shared" ref="HM115" si="197">VLOOKUP($C115*1000+1,$A:$HH,FT$92,FALSE)*$JF115</f>
        <v>5.7455619280273196E-3</v>
      </c>
      <c r="HN115" s="639">
        <f t="shared" ref="HN115" si="198">VLOOKUP($C115*1000+1,$A:$HH,FU$92,FALSE)*$JF115</f>
        <v>5.0031960498701745E-4</v>
      </c>
      <c r="HO115" s="639">
        <f t="shared" ref="HO115" si="199">VLOOKUP($C115*1000+1,$A:$HH,FV$92,FALSE)*$JF115</f>
        <v>3.9819433988714835E-3</v>
      </c>
      <c r="HP115" s="644">
        <f>(FT115*$GD115-HM115)/$JF115*INDEX(Input!$1:$1048576,$JG$93,$C115*2+6)</f>
        <v>-1.6764980472757243</v>
      </c>
      <c r="HQ115" s="644">
        <f>(FU115*$GD115-HN115)/$JF115*INDEX(Input!$1:$1048576,$JG$93,$C115*2+6)</f>
        <v>6.357321617146777</v>
      </c>
      <c r="HR115" s="644">
        <f>(FV115*$GD115-HO115)/$JF115*INDEX(Input!$1:$1048576,$JG$93,$C115*2+6)</f>
        <v>-1.8176954301888002</v>
      </c>
      <c r="HS115" s="644">
        <f t="shared" ref="HS115" si="200">IF(AND(HJ115="On",HK115="On"),IL115/1000*INDEX(KG:KG,MATCH(C115*1000+3,$KF:$KF,0))*SUM(HY115:IA115)*1.1
+INDEX(HR:HR,MATCH(C115*1000+4,$KF:$KF,0))/INDEX(IM:IM,MATCH(C115*1000+4,$KF:$KF,0))*IM115*20%,0)</f>
        <v>-0.8938985947067466</v>
      </c>
      <c r="HT115" s="644">
        <f t="shared" ref="HT115" si="201">IF(AND(HJ115="On",HK115="On"),IM115/1000*INDEX(KG:KG,MATCH(C115*1000+4,$KF:$KF,0))*SUM(HY115:IA115)*1.1
+INDEX(HR:HR,MATCH(C115*1000+3,$KF:$KF,0))/INDEX(IL:IL,MATCH(C115*1000+3,$KF:$KF,0))*IL115*20%,0)</f>
        <v>12.251050384256981</v>
      </c>
      <c r="HU115" s="644">
        <f t="shared" ref="HU115" si="202">IF(HJ115="On",IN115/1000*INDEX(KG:KG,MATCH(C115*1000+5,$KF:$KF,0))*SUM(HY115:IA115)*1.1
-INDEX(HR:HR,MATCH(C115*1000+3,$KF:$KF,0))/INDEX(IL:IL,MATCH(C115*1000+3,$KF:$KF,0))*IL115*20%
-INDEX(HR:HR,MATCH(C115*1000+4,$KF:$KF,0))/INDEX(IM:IM,MATCH(C115*1000+4,$KF:$KF,0))*IM115*20%,0)</f>
        <v>0.7920108786270974</v>
      </c>
      <c r="HV115" s="648">
        <f t="shared" ref="HV115" si="203">IL115/1000*0+IM115/1000*0+IN115/1000*0
+(CP115-INDEX(CP:CP,MATCH(C115*1000+1,A:A,0)))/1000*0+IF(FU115&gt;0,0,0)</f>
        <v>0</v>
      </c>
      <c r="HW115" s="648">
        <f t="shared" ref="HW115" si="204">IL115/1000*0+IM115/1000*0+IN115/1000*0
+(CP115-INDEX(CP:CP,MATCH(C115*1000+1,A:A,0)))/1000*0+IF(FU115&gt;0,0,0)</f>
        <v>0</v>
      </c>
      <c r="HX115" s="648">
        <f t="shared" ref="HX115" si="205">IL115/1000*0+IM115/1000*0+IN115/1000*0
+(CP115-INDEX(CP:CP,MATCH(C115*1000+1,A:A,0)))/1000*0+IF(FU115&gt;0,0,0)</f>
        <v>0</v>
      </c>
      <c r="HY115" s="644">
        <f>INDEX(Input!$1:$1048576,HY$93,$C115*2+6)*INDEX(Input!$1:$1048576,$JG$93,$C115*2+6)</f>
        <v>110.00000000000001</v>
      </c>
      <c r="HZ115" s="644">
        <f>INDEX(Input!$1:$1048576,HZ$93,$C115*2+6)*INDEX(Input!$1:$1048576,$JG$93,$C115*2+6)</f>
        <v>157</v>
      </c>
      <c r="IA115" s="644">
        <f>INDEX(Input!$1:$1048576,IA$93,$C115*2+6)*INDEX(Input!$1:$1048576,$JG$93,$C115*2+6)</f>
        <v>179</v>
      </c>
      <c r="IB115" s="644">
        <f t="shared" ref="IB115" si="206">SUM(HP115:IA115)-IC115-ID115</f>
        <v>107.42960335801754</v>
      </c>
      <c r="IC115" s="644">
        <f t="shared" ref="IC115" si="207">MAX(HZ115+HQ115+HT115+HW115,0%)</f>
        <v>175.60837200140375</v>
      </c>
      <c r="ID115" s="644">
        <f>IF(AND(INDEX(Input!$1:$1048576,IA$93,$C115*2+7)="TOS",Y115&lt;=INDEX(Y:Y,MATCH(C115*1000+2,A:A))),0,1)*MAX(IA115+HR115+HU115+HX115,0%)</f>
        <v>177.97431544843832</v>
      </c>
      <c r="IE115" s="128">
        <f t="shared" ref="IE115" si="208">IB115/SUM($IB115:$ID115)</f>
        <v>0.23302980310950536</v>
      </c>
      <c r="IF115" s="128">
        <f t="shared" ref="IF115" si="209">IC115/SUM($IB115:$ID115)</f>
        <v>0.3809190676753425</v>
      </c>
      <c r="IG115" s="128">
        <f t="shared" ref="IG115" si="210">ID115/SUM($IB115:$ID115)</f>
        <v>0.38605112921515217</v>
      </c>
      <c r="IH115" s="21"/>
      <c r="II115" s="19">
        <f t="shared" ref="II115" si="211">VLOOKUP($C115*1000+1,$A:$HH,FW$92,FALSE)-VLOOKUP($C115*1000+1,$A:$HH,FA$92,FALSE)*VLOOKUP($C115*1000+1,$A:$HH,DZ$92,FALSE)/VLOOKUP($C115*1000+1,$A:$HH,FT$92,FALSE)</f>
        <v>1240</v>
      </c>
      <c r="IJ115" s="19">
        <f t="shared" ref="IJ115" si="212">VLOOKUP($C115*1000+1,$A:$HH,FX$92,FALSE)</f>
        <v>2009.7221397149679</v>
      </c>
      <c r="IK115" s="19">
        <f t="shared" ref="IK115" si="213">VLOOKUP($C115*1000+1,$A:$HH,FY$92,FALSE)</f>
        <v>2070</v>
      </c>
      <c r="IL115" s="19">
        <f t="shared" ref="IL115" si="214">(FW115-FA115*DZ115/FT115)-II115</f>
        <v>30</v>
      </c>
      <c r="IM115" s="19">
        <f t="shared" ref="IM115" si="215">FX115-IJ115</f>
        <v>530</v>
      </c>
      <c r="IN115" s="19">
        <f t="shared" ref="IN115" si="216">FY115-IK115</f>
        <v>15</v>
      </c>
      <c r="IO115" s="39">
        <f t="shared" ref="IO115" si="217">(F115-VLOOKUP($C115*1000+1,$A:$HH,F$92,FALSE))*(1-$I115)</f>
        <v>0</v>
      </c>
      <c r="IP115" s="39">
        <f t="shared" ref="IP115" si="218">(G115-VLOOKUP($C115*1000+1,$A:$HH,G$92,FALSE))*(1-$I115)</f>
        <v>0</v>
      </c>
      <c r="IQ115" s="39">
        <f t="shared" ref="IQ115" si="219">(H115-VLOOKUP($C115*1000+1,$A:$HH,H$92,FALSE))*(1-$I115)</f>
        <v>0</v>
      </c>
      <c r="IR115" s="39">
        <v>0</v>
      </c>
      <c r="IS115" s="39">
        <v>0</v>
      </c>
      <c r="IT115" s="39">
        <v>0</v>
      </c>
      <c r="IU115" s="39">
        <v>0</v>
      </c>
      <c r="IV115" s="39">
        <v>0</v>
      </c>
      <c r="IW115" s="39">
        <v>0</v>
      </c>
      <c r="IX115" s="39">
        <f>INDEX(Input!$1:$1048576,IX$93,$C115*2+6)+INDEX(Input!$1:$1048576,IX$94,$C115*2+6)</f>
        <v>1270</v>
      </c>
      <c r="IY115" s="39">
        <f>INDEX(Input!$1:$1048576,IY$93,$C115*2+6)+INDEX(Input!$1:$1048576,IY$94,$C115*2+6)</f>
        <v>2130.0624533823611</v>
      </c>
      <c r="IZ115" s="39">
        <f>INDEX(Input!$1:$1048576,IZ$93,$C115*2+6)+INDEX(Input!$1:$1048576,IZ$94,$C115*2+6)</f>
        <v>4373.7164157747848</v>
      </c>
      <c r="JA115" s="19">
        <f t="shared" ref="JA115" si="220">(IL115+IO115+IR115+IU115+IX115)</f>
        <v>1300</v>
      </c>
      <c r="JB115" s="19">
        <f t="shared" ref="JB115" si="221">(IM115+IP115+IS115+IV115+IY115)</f>
        <v>2660.0624533823611</v>
      </c>
      <c r="JC115" s="19">
        <f t="shared" ref="JC115" si="222">(IN115+IQ115+IT115+IW115+IZ115)</f>
        <v>4388.7164157747848</v>
      </c>
      <c r="JD115" s="19">
        <f t="shared" ref="JD115" si="223">SUMPRODUCT(IE115:IG115,JA115:JC115)</f>
        <v>3010.4761818578809</v>
      </c>
      <c r="JE115" s="21"/>
      <c r="JF115" s="1">
        <f t="shared" ref="JF115" si="224">VLOOKUP($C115*1000+1,$A:$HH,GD$92,FALSE)</f>
        <v>1.022782493188582E-2</v>
      </c>
      <c r="JG115" s="15">
        <f>INDEX(Input!$1:$1048576,JG$93,$C115*2+6)/(1+VLOOKUP(C115*1000+INDEX(Input!$1:$1048576,JG$93+1,$C115*2+6),$A:$KK,$JK$92,FALSE))</f>
        <v>446</v>
      </c>
      <c r="JH115" s="1">
        <f t="shared" ref="JH115" si="225">SUM(HP115:HR115)/SUM(HY115:IA115)</f>
        <v>6.4195698199153647E-3</v>
      </c>
      <c r="JI115" s="1">
        <f t="shared" ref="JI115" si="226">SUM(HS115:HU115)/SUM(HY115:IA115)</f>
        <v>2.7240275040756351E-2</v>
      </c>
      <c r="JJ115" s="1">
        <f t="shared" ref="JJ115" si="227">SUM(HV115:HX115)/SUM(HY115:IA115)</f>
        <v>0</v>
      </c>
      <c r="JK115" s="1">
        <f t="shared" ref="JK115" si="228">SUM(JH115:JJ115)</f>
        <v>3.3659844860671716E-2</v>
      </c>
      <c r="JL115" s="15">
        <f t="shared" ref="JL115" si="229">JG115*JK115</f>
        <v>15.012290807859586</v>
      </c>
      <c r="JM115" s="15">
        <f t="shared" ref="JM115" si="230">JG115+JL115</f>
        <v>461.01229080785959</v>
      </c>
      <c r="JN115" s="21"/>
      <c r="JO115" s="19">
        <f>INDEX(Input!$1:$1048576,JO$93,$C115*2+6)</f>
        <v>5995.5</v>
      </c>
      <c r="JP115" s="19">
        <f>INDEX(Input!$1:$1048576,JP$93,$C115*2+6)</f>
        <v>2818.4193802796353</v>
      </c>
      <c r="JQ115" s="39">
        <f t="shared" ref="JQ115" si="231">JO115-JD115</f>
        <v>2985.0238181421191</v>
      </c>
      <c r="JR115" s="39">
        <f t="shared" ref="JR115" si="232">JD115-JP115</f>
        <v>192.05680157824554</v>
      </c>
      <c r="JS115" s="39">
        <f t="shared" ref="JS115" si="233">JM115*JD115/1000000</f>
        <v>1.3878665210208001</v>
      </c>
      <c r="JT115" s="39">
        <f t="shared" ref="JT115" si="234">(JD115*JM115-JP115*JG115)/1000000</f>
        <v>0.13085147741608275</v>
      </c>
      <c r="JU115" s="385">
        <f>(JQ115*JM115-INDEX(Input!$1:$1048576,Input!A$18,$C115*2+6)*JL115*INDEX(Input!$1:$1048576,Input!A$19,$C115*2+6))/1000000</f>
        <v>1.376132668517722</v>
      </c>
      <c r="JV115" s="39">
        <f t="shared" ref="JV115" si="235">JU115-(JO115-JP115)*JG115/1000000</f>
        <v>-4.0845287877560699E-2</v>
      </c>
      <c r="JW115" s="1">
        <f t="shared" ref="JW115" si="236">JV115/(JU115-JV115)</f>
        <v>-2.8825633943853974E-2</v>
      </c>
      <c r="JX115" s="19">
        <f t="shared" ref="JX115" si="237">IF(JL115=0,0,JT115/JL115)*1000000</f>
        <v>8716.2898115173957</v>
      </c>
      <c r="JZ115" s="341"/>
      <c r="KA115" s="342"/>
      <c r="KB115" s="469">
        <f t="shared" si="110"/>
        <v>2.9286733661474216</v>
      </c>
      <c r="KI115" s="473">
        <f t="shared" ref="KI115" si="238">$JM115*IE115-$JG115*HY115/SUM($HY115:$IA115)</f>
        <v>-2.5703966419824695</v>
      </c>
      <c r="KJ115" s="473">
        <f t="shared" ref="KJ115" si="239">$JM115*IF115-$JG115*HZ115/SUM($HY115:$IA115)</f>
        <v>18.608372001403751</v>
      </c>
      <c r="KK115" s="473">
        <f t="shared" ref="KK115" si="240">$JM115*IG115-$JG115*IA115/SUM($HY115:$IA115)</f>
        <v>-1.0256845515616817</v>
      </c>
      <c r="KN115" s="544">
        <f t="shared" ref="KN115" si="241">KM115+(KN114-KM114)</f>
        <v>1002</v>
      </c>
      <c r="KO115" s="541">
        <f t="shared" ref="KO115" si="242">JM115/INDEX(JM:JM,MATCH(KN115,A:A,0))-1</f>
        <v>2.9422848493000364E-2</v>
      </c>
      <c r="KP115" s="546">
        <f t="shared" ref="KP115" si="243">(IL115-INDEX(IL:IL,MATCH(KN115,A:A,0)))*IE115
+(IM115-IF(HN115=0,INDEX(IX:IX,MATCH(KN115,A:A,0)),INDEX(IM:IM,MATCH(KN115,A:A,0))))*IF115
+(IN115-INDEX(IN:IN,MATCH(KN115,A:A,0)))*IG115</f>
        <v>190.45953383767127</v>
      </c>
      <c r="KQ115" s="546">
        <f t="shared" ref="KQ115" si="244">JD115-INDEX(JD:JD,MATCH(KN115,A:A,0))</f>
        <v>171.1599818392292</v>
      </c>
      <c r="KR115" s="548">
        <f t="shared" ref="KR115" si="245">KO115/(KP115/(BX115-INDEX(JD:JD,MATCH(KN115,A:A,0))))</f>
        <v>2.6487246219226077</v>
      </c>
      <c r="KS115" s="548">
        <f t="shared" ref="KS115" si="246">KO115/(KQ115/(BX115-INDEX(JD:JD,MATCH(KN115,A:A,0))))</f>
        <v>2.9473878843338266</v>
      </c>
      <c r="KT115" s="473">
        <f t="shared" si="112"/>
        <v>238.28695973331548</v>
      </c>
      <c r="KU115" s="663">
        <f t="shared" ref="KU115" si="247">IF(D115="",0,IFERROR((JM115/KT115-1)/(JD115/BX115)+B115*10^-6,0))</f>
        <v>6.2049651109771204</v>
      </c>
      <c r="KV115" s="117">
        <f t="shared" ref="KV115" si="248">RANK(KU115,$KU$109:$KU$200)</f>
        <v>55</v>
      </c>
    </row>
    <row r="116" spans="1:308" s="26" customFormat="1" ht="15">
      <c r="A116" s="561">
        <f t="shared" si="168"/>
        <v>1016</v>
      </c>
      <c r="B116" s="561">
        <f t="shared" si="104"/>
        <v>16</v>
      </c>
      <c r="C116" s="561">
        <f t="shared" si="105"/>
        <v>1</v>
      </c>
      <c r="D116" s="561" t="str">
        <f t="shared" si="141"/>
        <v xml:space="preserve">-360 Lease, </v>
      </c>
      <c r="E116" s="115">
        <f>INDEX(Input!$1:$1048576,E$93,$C116*2+MIN($B116,2)+5)</f>
        <v>1229</v>
      </c>
      <c r="F116" s="115">
        <f>INDEX(Input!$1:$1048576,F$93,$C116*2+MIN($B116,2)+5)</f>
        <v>0</v>
      </c>
      <c r="G116" s="115">
        <f>INDEX(Input!$1:$1048576,G$93,$C116*2+MIN($B116,2)+5)</f>
        <v>0</v>
      </c>
      <c r="H116" s="115">
        <f>INDEX(Input!$1:$1048576,H$93,$C116*2+MIN($B116,2)+5)</f>
        <v>0</v>
      </c>
      <c r="I116" s="118">
        <f>INDEX(Input!$1:$1048576,I$93,$C116*2+MIN($B116,2)+5)</f>
        <v>0.7</v>
      </c>
      <c r="J116" s="118" t="str">
        <f>INDEX(Input!$1:$1048576,J$93,$C116*2+MIN($B116,2)+5)</f>
        <v>Market</v>
      </c>
      <c r="K116" s="118" t="str">
        <f>INDEX(Input!$1:$1048576,K$93,$C116*2+MIN($B116,2)+5)</f>
        <v>Market</v>
      </c>
      <c r="L116" s="118" t="str">
        <f>INDEX(Input!$1:$1048576,L$93,$C116*2+MIN($B116,2)+5)</f>
        <v>Market</v>
      </c>
      <c r="M116" s="118" t="str">
        <f>INDEX(Input!$1:$1048576,M$93,$C116*2+MIN($B116,2)+5)</f>
        <v>Market</v>
      </c>
      <c r="N116" s="118" t="str">
        <f>INDEX(Input!$1:$1048576,N$93,$C116*2+MIN($B116,2)+5)</f>
        <v>Market</v>
      </c>
      <c r="O116" s="118" t="str">
        <f>INDEX(Input!$1:$1048576,O$93,$C116*2+MIN($B116,2)+5)</f>
        <v>Market</v>
      </c>
      <c r="P116" s="118" t="str">
        <f>INDEX(Input!$1:$1048576,P$93,$C116*2+MIN($B116,2)+5)</f>
        <v>N</v>
      </c>
      <c r="Q116" s="30">
        <f>INDEX(Input!$1:$1048576,Q$93,$C116*2+MIN($B116,2)+5)</f>
        <v>0</v>
      </c>
      <c r="R116" s="383">
        <f>INDEX(Input!$1:$1048576,R$93,$C116*2+MIN($B116,2)+5)</f>
        <v>0</v>
      </c>
      <c r="S116" s="383">
        <f>INDEX(Input!$1:$1048576,S$93,$C116*2+MIN($B116,2)+5)</f>
        <v>0</v>
      </c>
      <c r="T116" s="383">
        <f>INDEX(Input!$1:$1048576,T$93,$C116*2+MIN($B116,2)+5)</f>
        <v>0</v>
      </c>
      <c r="U116" s="383">
        <f>INDEX(Input!$1:$1048576,U$93,$C116*2+MIN($B116,2)+5)</f>
        <v>0</v>
      </c>
      <c r="V116" s="383">
        <f>INDEX(Input!$1:$1048576,V$93,$C116*2+MIN($B116,2)+5)</f>
        <v>1.9E-2</v>
      </c>
      <c r="W116" s="884">
        <f>INDEX(Input!$1:$1048576,W$93,$C116*2+MIN($B116,2)+5)</f>
        <v>3.9E-2</v>
      </c>
      <c r="X116" s="118" t="str">
        <f>INDEX(Input!$1:$1048576,X$93,$C116*2+MIN($B116,2)+5)</f>
        <v>Y</v>
      </c>
      <c r="Y116" s="475">
        <f>INDEX(Input!$1:$1048576,Y$93,$C116*2+MIN($B116,2)+5)-360</f>
        <v>1582</v>
      </c>
      <c r="Z116" s="30">
        <f>INDEX(Input!$1:$1048576,Z$93,$C116*2+MIN($B116,2)+5)</f>
        <v>0</v>
      </c>
      <c r="AA116" s="115">
        <f>INDEX(Input!$1:$1048576,AA$93,$C116*2+MIN($B116,2)+5)</f>
        <v>0</v>
      </c>
      <c r="AB116" s="118">
        <f>INDEX(Input!$1:$1048576,AB$93,$C116*2+MIN($B116,2)+5)</f>
        <v>0.27</v>
      </c>
      <c r="AC116" s="115">
        <f>INDEX(Input!$1:$1048576,AC$93,$C116*2+MIN($B116,2)+5)</f>
        <v>0</v>
      </c>
      <c r="AD116" s="118">
        <f>INDEX(Input!$1:$1048576,AD$93,$C116*2+MIN($B116,2)+5)</f>
        <v>0.27</v>
      </c>
      <c r="AE116" s="115">
        <f>INDEX(Input!$1:$1048576,AE$93,$C116*2+MIN($B116,2)+5)</f>
        <v>0</v>
      </c>
      <c r="AF116" s="118">
        <f>INDEX(Input!$1:$1048576,AF$93,$C116*2+MIN($B116,2)+5)</f>
        <v>0.38</v>
      </c>
      <c r="AG116" s="115">
        <f>INDEX(Input!$1:$1048576,AG$93,$C116*2+MIN($B116,2)+5)</f>
        <v>0</v>
      </c>
      <c r="AH116" s="118">
        <f>INDEX(Input!$1:$1048576,AH$93,$C116*2+MIN($B116,2)+5)</f>
        <v>0</v>
      </c>
      <c r="AI116" s="115">
        <f>INDEX(Input!$1:$1048576,AI$93,$C116*2+MIN($B116,2)+5)</f>
        <v>0</v>
      </c>
      <c r="AJ116" s="118">
        <f>INDEX(Input!$1:$1048576,AJ$93,$C116*2+MIN($B116,2)+5)</f>
        <v>0.27</v>
      </c>
      <c r="AK116" s="150">
        <f>ROUND(INDEX(Input!$1:$1048576,AK$93,$C115*2+MIN($B116,1)+5)+(Y116-VLOOKUP($C116*1000+1,$A:$HH,Y$92,FALSE)),0)</f>
        <v>3397</v>
      </c>
      <c r="AL116" s="150">
        <f>ROUND(INDEX(Input!$1:$1048576,AL$93,$C115*2+MIN($B116,1)+5)-(Y116-VLOOKUP($C116*1000+1,$A:$HH,Y$92,FALSE))/36,0)</f>
        <v>4123</v>
      </c>
      <c r="AM116" s="32" t="str">
        <f t="shared" si="169"/>
        <v>std/std/std/std</v>
      </c>
      <c r="AN116" s="32" t="str">
        <f t="shared" si="170"/>
        <v>$0 + 0/0/0/1.9/3.9</v>
      </c>
      <c r="AO116" s="32" t="str">
        <f t="shared" si="171"/>
        <v>0/0/0/1.9/3.9</v>
      </c>
      <c r="AP116" s="32" t="str">
        <f t="shared" si="73"/>
        <v>0/0.9/1.9/3.9</v>
      </c>
      <c r="AQ116" s="536">
        <f t="shared" si="39"/>
        <v>0.29128853532729909</v>
      </c>
      <c r="AR116" s="32"/>
      <c r="AS116" s="302"/>
      <c r="AT116" s="3">
        <f t="shared" si="106"/>
        <v>16</v>
      </c>
      <c r="AU116" s="41" t="s">
        <v>121</v>
      </c>
      <c r="AV116" s="41" t="s">
        <v>116</v>
      </c>
      <c r="AW116" s="41" t="str">
        <f>INDEX(Input!$1:$1048576,AW$93,$C116*2+6)</f>
        <v>Kia</v>
      </c>
      <c r="AX116" s="41" t="str">
        <f>INDEX(Input!$1:$1048576,AX$93,$C116*2+6)</f>
        <v>Kia-LR - L1</v>
      </c>
      <c r="AY116" s="41" t="str">
        <f>IF(LEN(D116)=0,"",INDEX(Input!$1:$1048576,AY$93,$C116*2+6))</f>
        <v>Compact SUV (52)</v>
      </c>
      <c r="AZ116" s="41" t="str">
        <f>INDEX(Input!$1:$1048576,AZ$93,$C116*2+6)</f>
        <v>Kia Soul</v>
      </c>
      <c r="BA116" s="3">
        <f>INDEX(Input!$1:$1048576,BA$93,$C116*2+6)</f>
        <v>2020</v>
      </c>
      <c r="BB116" s="128">
        <f>INDEX(Input!$1:$1048576,BB$93,$C116*2+6)</f>
        <v>1</v>
      </c>
      <c r="BC116" s="128">
        <f>INDEX(Input!$1:$1048576,BC$93,$C116*2+6)</f>
        <v>0.7</v>
      </c>
      <c r="BD116" s="1">
        <f>INDEX(Input!$1:$1048576,BD$93,$C116*2+6)</f>
        <v>4.4999999999999998E-2</v>
      </c>
      <c r="BE116" s="1">
        <f>INDEX(Input!$1:$1048576,BE$93,$C116*2+6)</f>
        <v>4.4999999999999998E-2</v>
      </c>
      <c r="BF116" s="1">
        <f>INDEX(Input!$1:$1048576,BF$93,$C116*2+6)</f>
        <v>0.05</v>
      </c>
      <c r="BG116" s="1">
        <f>INDEX(Input!$1:$1048576,BG$93,$C116*2+6)</f>
        <v>5.45E-2</v>
      </c>
      <c r="BH116" s="1">
        <f>INDEX(Input!$1:$1048576,BH$93,$C116*2+6)</f>
        <v>5.45E-2</v>
      </c>
      <c r="BI116" s="1">
        <f>INDEX(Input!$1:$1048576,BI$93,$C116*2+6)</f>
        <v>0.05</v>
      </c>
      <c r="BJ116" s="1">
        <f>INDEX(Input!$1:$1048576,BJ$93,$C116*2+6)</f>
        <v>0.05</v>
      </c>
      <c r="BK116" s="1">
        <f>INDEX(Input!$1:$1048576,BK$93,$C116*2+6)</f>
        <v>0.05</v>
      </c>
      <c r="BL116" s="1">
        <f>INDEX(Input!$1:$1048576,BL$93,$C116*2+6)</f>
        <v>5.5E-2</v>
      </c>
      <c r="BM116" s="1">
        <f>INDEX(Input!$1:$1048576,BM$93,$C116*2+6)</f>
        <v>0.06</v>
      </c>
      <c r="BN116" s="1">
        <f>INDEX(Input!$1:$1048576,BN$93,$C116*2+6)</f>
        <v>4.4999999999999998E-2</v>
      </c>
      <c r="BO116" s="1">
        <f>INDEX(Input!$1:$1048576,BO$93,$C116*2+6)</f>
        <v>4.4999999999999998E-2</v>
      </c>
      <c r="BP116" s="1">
        <f>INDEX(Input!$1:$1048576,BP$93,$C116*2+6)</f>
        <v>0.05</v>
      </c>
      <c r="BQ116" s="1">
        <f>INDEX(Input!$1:$1048576,BQ$93,$C116*2+6)</f>
        <v>5.45E-2</v>
      </c>
      <c r="BR116" s="1">
        <f>INDEX(Input!$1:$1048576,BR$93,$C116*2+6)</f>
        <v>5.45E-2</v>
      </c>
      <c r="BS116" s="1">
        <f>INDEX(Input!$1:$1048576,BS$93,$C116*2+6)</f>
        <v>0.05</v>
      </c>
      <c r="BT116" s="1">
        <f>INDEX(Input!$1:$1048576,BT$93,$C116*2+6)</f>
        <v>0.05</v>
      </c>
      <c r="BU116" s="1">
        <f>INDEX(Input!$1:$1048576,BU$93,$C116*2+6)</f>
        <v>0.05</v>
      </c>
      <c r="BV116" s="1">
        <f>INDEX(Input!$1:$1048576,BV$93,$C116*2+6)</f>
        <v>5.5E-2</v>
      </c>
      <c r="BW116" s="1">
        <f>INDEX(Input!$1:$1048576,BW$93,$C116*2+6)</f>
        <v>0.06</v>
      </c>
      <c r="BX116" s="127">
        <f>INDEX(Input!$1:$1048576,BX$93,$C116*2+6)</f>
        <v>19985</v>
      </c>
      <c r="BY116" s="20">
        <f>INDEX(Input!$1:$1048576,BY$93,$C116*2+6)</f>
        <v>0.1</v>
      </c>
      <c r="BZ116" s="20">
        <f>INDEX(Input!$1:$1048576,BZ$93,$C116*2+6)</f>
        <v>0.1</v>
      </c>
      <c r="CA116" s="20">
        <f>INDEX(Input!$1:$1048576,CA$93,$C116*2+6)</f>
        <v>0.1</v>
      </c>
      <c r="CB116" s="20">
        <f>INDEX(Input!$1:$1048576,CB$93,$C116*2+6)</f>
        <v>0.1</v>
      </c>
      <c r="CC116" s="20">
        <f>INDEX(Input!$1:$1048576,CC$93,$C116*2+6)</f>
        <v>0.1</v>
      </c>
      <c r="CD116" s="384">
        <f>INDEX(Input!$1:$1048576,CD$93,$C116*2+6)</f>
        <v>0.1</v>
      </c>
      <c r="CE116" s="384">
        <f>INDEX(Input!$1:$1048576,CE$93,$C116*2+6)</f>
        <v>0.1</v>
      </c>
      <c r="CF116" s="384">
        <f>INDEX(Input!$1:$1048576,CF$93,$C116*2+6)</f>
        <v>0.1</v>
      </c>
      <c r="CG116" s="384">
        <f>INDEX(Input!$1:$1048576,CG$93,$C116*2+6)</f>
        <v>0.1</v>
      </c>
      <c r="CH116" s="384">
        <f>INDEX(Input!$1:$1048576,CH$93,$C116*2+6)</f>
        <v>0.1</v>
      </c>
      <c r="CI116" s="304">
        <f t="shared" si="74"/>
        <v>1229</v>
      </c>
      <c r="CJ116" s="16" t="str">
        <f>INDEX(Input!$1:$1048576,CJ$93,$C116*2+6)</f>
        <v>N</v>
      </c>
      <c r="CK116" s="1" t="str">
        <f t="shared" si="75"/>
        <v>Market</v>
      </c>
      <c r="CL116" s="1" t="str">
        <f t="shared" si="76"/>
        <v>Market</v>
      </c>
      <c r="CM116" s="1" t="str">
        <f t="shared" si="77"/>
        <v>Market</v>
      </c>
      <c r="CN116" s="1" t="str">
        <f t="shared" si="78"/>
        <v>Market</v>
      </c>
      <c r="CO116" s="1" t="str">
        <f t="shared" si="79"/>
        <v>Market</v>
      </c>
      <c r="CP116" s="304">
        <f t="shared" si="80"/>
        <v>0</v>
      </c>
      <c r="CQ116" s="1">
        <f t="shared" si="81"/>
        <v>0</v>
      </c>
      <c r="CR116" s="1">
        <f t="shared" si="82"/>
        <v>0</v>
      </c>
      <c r="CS116" s="1">
        <f t="shared" si="83"/>
        <v>0</v>
      </c>
      <c r="CT116" s="1">
        <f t="shared" si="84"/>
        <v>1.9E-2</v>
      </c>
      <c r="CU116" s="1">
        <f t="shared" si="85"/>
        <v>3.9E-2</v>
      </c>
      <c r="CV116" s="304">
        <f t="shared" si="86"/>
        <v>1582</v>
      </c>
      <c r="CW116" s="20" t="s">
        <v>122</v>
      </c>
      <c r="CX116" s="20" t="s">
        <v>122</v>
      </c>
      <c r="CY116" s="20" t="s">
        <v>122</v>
      </c>
      <c r="CZ116" s="20" t="s">
        <v>122</v>
      </c>
      <c r="DA116" s="20" t="s">
        <v>122</v>
      </c>
      <c r="DB116" s="503">
        <f t="shared" si="87"/>
        <v>0</v>
      </c>
      <c r="DC116" s="127">
        <v>0</v>
      </c>
      <c r="DD116" s="127">
        <v>0</v>
      </c>
      <c r="DE116" s="127">
        <v>0</v>
      </c>
      <c r="DF116" s="127">
        <v>0</v>
      </c>
      <c r="DG116" s="127">
        <v>0</v>
      </c>
      <c r="DH116" s="127">
        <v>0</v>
      </c>
      <c r="DI116" s="127">
        <v>0</v>
      </c>
      <c r="DJ116" s="127">
        <v>0</v>
      </c>
      <c r="DK116" s="127">
        <v>0</v>
      </c>
      <c r="DL116" s="127">
        <v>0</v>
      </c>
      <c r="DM116" s="304">
        <f>INDEX(Input!$1:$1048576,DM$93,$C116*2+6)</f>
        <v>21036.84210526316</v>
      </c>
      <c r="DN116" s="20">
        <v>0</v>
      </c>
      <c r="DO116" s="20">
        <v>0</v>
      </c>
      <c r="DP116" s="20">
        <v>0</v>
      </c>
      <c r="DQ116" s="20">
        <v>0</v>
      </c>
      <c r="DR116" s="20">
        <v>0</v>
      </c>
      <c r="DS116" s="20">
        <f>INDEX(Input!$1:$1048576,DS$93,$C116*2+6)</f>
        <v>0.6</v>
      </c>
      <c r="DT116" s="20">
        <f>INDEX(Input!$1:$1048576,DT$93,$C116*2+6)</f>
        <v>0.55000000000000004</v>
      </c>
      <c r="DU116" s="20">
        <f>INDEX(Input!$1:$1048576,DU$93,$C116*2+6)</f>
        <v>0.52</v>
      </c>
      <c r="DV116" s="20">
        <f>INDEX(Input!$1:$1048576,DV$93,$C116*2+6)</f>
        <v>0.5</v>
      </c>
      <c r="DW116" s="20">
        <f>INDEX(Input!$1:$1048576,DW$93,$C116*2+6)</f>
        <v>0.45</v>
      </c>
      <c r="DX116" s="20"/>
      <c r="DY116" s="7">
        <v>0.10553583799819279</v>
      </c>
      <c r="DZ116" s="7">
        <v>0</v>
      </c>
      <c r="EA116" s="7">
        <v>0.50433707956545148</v>
      </c>
      <c r="EB116" s="7">
        <v>0</v>
      </c>
      <c r="EC116" s="7">
        <v>0</v>
      </c>
      <c r="ED116" s="7">
        <v>0</v>
      </c>
      <c r="EE116" s="7">
        <v>0</v>
      </c>
      <c r="EF116" s="7">
        <v>0</v>
      </c>
      <c r="EG116" s="7">
        <v>0</v>
      </c>
      <c r="EH116" s="7">
        <v>1.8402200445098656E-2</v>
      </c>
      <c r="EI116" s="7">
        <v>5.3739557110571899E-2</v>
      </c>
      <c r="EJ116" s="7">
        <v>0.33946684904131991</v>
      </c>
      <c r="EK116" s="7">
        <v>0.48247712639938095</v>
      </c>
      <c r="EL116" s="7">
        <v>0.1059142670036287</v>
      </c>
      <c r="EM116" s="7">
        <v>5.307419027669566E-2</v>
      </c>
      <c r="EN116" s="7">
        <v>4.9379578909208757E-2</v>
      </c>
      <c r="EO116" s="7">
        <v>0.7561001699318497</v>
      </c>
      <c r="EP116" s="7">
        <v>8.5125034424855889E-2</v>
      </c>
      <c r="EQ116" s="7">
        <v>6.5024794318701645E-2</v>
      </c>
      <c r="ER116" s="7">
        <v>4.4370422415383894E-2</v>
      </c>
      <c r="ES116" s="7">
        <v>0.33705289215966006</v>
      </c>
      <c r="ET116" s="7">
        <v>0.39012708243635574</v>
      </c>
      <c r="EU116" s="6">
        <v>1270</v>
      </c>
      <c r="EV116" s="6">
        <v>0</v>
      </c>
      <c r="EW116" s="6">
        <v>1270</v>
      </c>
      <c r="EX116" s="6">
        <v>0</v>
      </c>
      <c r="EY116" s="6">
        <v>2039.7221397149681</v>
      </c>
      <c r="EZ116" s="6">
        <v>1725</v>
      </c>
      <c r="FA116" s="6">
        <v>0</v>
      </c>
      <c r="FB116" s="6">
        <v>0</v>
      </c>
      <c r="FC116" s="6">
        <v>0</v>
      </c>
      <c r="FD116" s="6">
        <v>0</v>
      </c>
      <c r="FE116" s="6">
        <v>0</v>
      </c>
      <c r="FF116" s="6">
        <v>0</v>
      </c>
      <c r="FG116" s="6">
        <v>0</v>
      </c>
      <c r="FH116" s="6">
        <v>1171.2811379695615</v>
      </c>
      <c r="FI116" s="6">
        <v>1553.9796069512404</v>
      </c>
      <c r="FJ116" s="6">
        <v>2101.211011744741</v>
      </c>
      <c r="FK116" s="6">
        <v>1772.7139978623229</v>
      </c>
      <c r="FL116" s="6">
        <v>907.07682140966347</v>
      </c>
      <c r="FM116" s="6">
        <v>1769.7221397149681</v>
      </c>
      <c r="FN116" s="6">
        <v>0</v>
      </c>
      <c r="FO116" s="6">
        <v>0</v>
      </c>
      <c r="FP116" s="6">
        <v>0</v>
      </c>
      <c r="FQ116" s="6">
        <v>0</v>
      </c>
      <c r="FR116" s="6">
        <v>0</v>
      </c>
      <c r="FS116" s="6">
        <v>0</v>
      </c>
      <c r="FT116" s="7">
        <v>0.60987291756364426</v>
      </c>
      <c r="FU116" s="7">
        <v>5.307419027669566E-2</v>
      </c>
      <c r="FV116" s="7">
        <v>0.33705289215966006</v>
      </c>
      <c r="FW116" s="6">
        <v>1270</v>
      </c>
      <c r="FX116" s="6">
        <v>2039.7221397149681</v>
      </c>
      <c r="FY116" s="6">
        <v>1725</v>
      </c>
      <c r="FZ116" s="6">
        <v>1952.7147957719815</v>
      </c>
      <c r="GA116" s="6">
        <v>1464.2114452360629</v>
      </c>
      <c r="GB116" s="6">
        <v>18520.788554763938</v>
      </c>
      <c r="GC116" s="7">
        <v>1.0519917368675835E-2</v>
      </c>
      <c r="GD116" s="7">
        <v>1.006481709530184E-2</v>
      </c>
      <c r="GE116" s="7"/>
      <c r="GF116" s="7"/>
      <c r="GG116" s="7">
        <v>-4.3260822060171726E-2</v>
      </c>
      <c r="GH116" s="42">
        <v>1.7698292712302743</v>
      </c>
      <c r="GI116" s="6">
        <v>12756.261093679093</v>
      </c>
      <c r="GJ116" s="14">
        <v>0.50394797582841733</v>
      </c>
      <c r="GK116" s="14">
        <v>0.50887573065309744</v>
      </c>
      <c r="GL116" s="14">
        <v>0.49605202417158273</v>
      </c>
      <c r="GM116" s="14">
        <v>0.49112426934690251</v>
      </c>
      <c r="GO116" s="5">
        <v>343.14810671672558</v>
      </c>
      <c r="GP116" s="5">
        <v>318.91892952659737</v>
      </c>
      <c r="GQ116" s="5">
        <v>535.04305713031317</v>
      </c>
      <c r="GR116" s="5">
        <v>410.15490233172511</v>
      </c>
      <c r="GS116" s="5">
        <v>339.42744393800166</v>
      </c>
      <c r="GT116" s="5">
        <v>293.4407446948278</v>
      </c>
      <c r="GU116" s="5">
        <v>258.04012322764959</v>
      </c>
      <c r="GV116" s="39" t="s">
        <v>392</v>
      </c>
      <c r="GW116" s="5">
        <v>492.125</v>
      </c>
      <c r="GX116" s="5">
        <v>369.09375</v>
      </c>
      <c r="GY116" s="5">
        <v>295.27499999999998</v>
      </c>
      <c r="GZ116" s="5">
        <v>260.54902799031458</v>
      </c>
      <c r="HA116" s="5">
        <v>241.34874471337258</v>
      </c>
      <c r="HB116" s="39">
        <v>280.39841310148165</v>
      </c>
      <c r="HC116" s="5">
        <v>211.81562499999998</v>
      </c>
      <c r="HD116" s="5">
        <v>188.29497441520465</v>
      </c>
      <c r="HE116" s="5">
        <v>193.13834767206475</v>
      </c>
      <c r="HF116" s="5">
        <v>181.01813048245612</v>
      </c>
      <c r="HG116" s="5">
        <v>177.56888157894736</v>
      </c>
      <c r="HH116" s="39">
        <v>188.91961000194749</v>
      </c>
      <c r="HI116" s="16"/>
      <c r="HJ116" s="19" t="str">
        <f t="shared" si="107"/>
        <v>On</v>
      </c>
      <c r="HK116" s="1" t="str">
        <f t="shared" si="108"/>
        <v>On</v>
      </c>
      <c r="HL116" s="16"/>
      <c r="HM116" s="639">
        <f t="shared" si="42"/>
        <v>5.7455619280273196E-3</v>
      </c>
      <c r="HN116" s="639">
        <f t="shared" si="43"/>
        <v>5.0031960498701745E-4</v>
      </c>
      <c r="HO116" s="639">
        <f t="shared" si="44"/>
        <v>3.9819433988714835E-3</v>
      </c>
      <c r="HP116" s="644">
        <f>(FT116*$GD116-HM116)/$JF116*INDEX(Input!$1:$1048576,$JG$93,$C116*2+6)</f>
        <v>17.124174376748623</v>
      </c>
      <c r="HQ116" s="644">
        <f>(FU116*$GD116-HN116)/$JF116*INDEX(Input!$1:$1048576,$JG$93,$C116*2+6)</f>
        <v>1.4766224620766872</v>
      </c>
      <c r="HR116" s="644">
        <f>(FV116*$GD116-HO116)/$JF116*INDEX(Input!$1:$1048576,$JG$93,$C116*2+6)</f>
        <v>-25.709003676606116</v>
      </c>
      <c r="HS116" s="644">
        <f t="shared" si="45"/>
        <v>-0.56118802809824231</v>
      </c>
      <c r="HT116" s="644">
        <f t="shared" si="46"/>
        <v>0.46619376172520632</v>
      </c>
      <c r="HU116" s="644">
        <f t="shared" si="47"/>
        <v>-4.3032607054704552</v>
      </c>
      <c r="HV116" s="648">
        <f t="shared" si="48"/>
        <v>0</v>
      </c>
      <c r="HW116" s="648">
        <f t="shared" si="49"/>
        <v>0</v>
      </c>
      <c r="HX116" s="648">
        <f t="shared" si="50"/>
        <v>0</v>
      </c>
      <c r="HY116" s="644">
        <f>INDEX(Input!$1:$1048576,HY$93,$C116*2+6)*INDEX(Input!$1:$1048576,$JG$93,$C116*2+6)</f>
        <v>110.00000000000001</v>
      </c>
      <c r="HZ116" s="644">
        <f>INDEX(Input!$1:$1048576,HZ$93,$C116*2+6)*INDEX(Input!$1:$1048576,$JG$93,$C116*2+6)</f>
        <v>157</v>
      </c>
      <c r="IA116" s="644">
        <f>INDEX(Input!$1:$1048576,IA$93,$C116*2+6)*INDEX(Input!$1:$1048576,$JG$93,$C116*2+6)</f>
        <v>179</v>
      </c>
      <c r="IB116" s="644">
        <f t="shared" ref="IB116:IB161" si="249">SUM(HP116:IA116)-IC116-ID116</f>
        <v>126.56298634865044</v>
      </c>
      <c r="IC116" s="644">
        <f t="shared" si="172"/>
        <v>158.94281622380188</v>
      </c>
      <c r="ID116" s="644">
        <f>IF(AND(INDEX(Input!$1:$1048576,IA$93,$C116*2+7)="TOS",Y116&lt;=INDEX(Y:Y,MATCH(C116*1000+2,A:A))),0,1)*MAX(IA116+HR116+HU116+HX116,0%)</f>
        <v>148.98773561792342</v>
      </c>
      <c r="IE116" s="128">
        <f t="shared" ref="IE116:IE118" si="250">IB116/SUM($IB116:$ID116)</f>
        <v>0.29128853532729909</v>
      </c>
      <c r="IF116" s="128">
        <f t="shared" si="174"/>
        <v>0.36581169166700056</v>
      </c>
      <c r="IG116" s="128">
        <f t="shared" si="175"/>
        <v>0.34289977300570029</v>
      </c>
      <c r="IH116" s="21"/>
      <c r="II116" s="19">
        <f t="shared" si="53"/>
        <v>1240</v>
      </c>
      <c r="IJ116" s="19">
        <f t="shared" si="54"/>
        <v>2009.7221397149679</v>
      </c>
      <c r="IK116" s="19">
        <f t="shared" si="55"/>
        <v>2070</v>
      </c>
      <c r="IL116" s="19">
        <f t="shared" si="176"/>
        <v>30</v>
      </c>
      <c r="IM116" s="19">
        <f t="shared" si="177"/>
        <v>30.000000000000227</v>
      </c>
      <c r="IN116" s="19">
        <f t="shared" si="178"/>
        <v>-345</v>
      </c>
      <c r="IO116" s="39">
        <f t="shared" si="57"/>
        <v>0</v>
      </c>
      <c r="IP116" s="39">
        <f t="shared" si="58"/>
        <v>0</v>
      </c>
      <c r="IQ116" s="39">
        <f t="shared" si="59"/>
        <v>0</v>
      </c>
      <c r="IR116" s="39">
        <v>0</v>
      </c>
      <c r="IS116" s="39">
        <v>0</v>
      </c>
      <c r="IT116" s="39">
        <v>0</v>
      </c>
      <c r="IU116" s="39">
        <v>0</v>
      </c>
      <c r="IV116" s="39">
        <v>0</v>
      </c>
      <c r="IW116" s="39">
        <v>0</v>
      </c>
      <c r="IX116" s="39">
        <f>INDEX(Input!$1:$1048576,IX$93,$C116*2+6)+INDEX(Input!$1:$1048576,IX$94,$C116*2+6)</f>
        <v>1270</v>
      </c>
      <c r="IY116" s="39">
        <f>INDEX(Input!$1:$1048576,IY$93,$C116*2+6)+INDEX(Input!$1:$1048576,IY$94,$C116*2+6)</f>
        <v>2130.0624533823611</v>
      </c>
      <c r="IZ116" s="39">
        <f>INDEX(Input!$1:$1048576,IZ$93,$C116*2+6)+INDEX(Input!$1:$1048576,IZ$94,$C116*2+6)</f>
        <v>4373.7164157747848</v>
      </c>
      <c r="JA116" s="19">
        <f t="shared" si="179"/>
        <v>1300</v>
      </c>
      <c r="JB116" s="19">
        <f t="shared" si="180"/>
        <v>2160.0624533823611</v>
      </c>
      <c r="JC116" s="19">
        <f t="shared" si="181"/>
        <v>4028.7164157747848</v>
      </c>
      <c r="JD116" s="19">
        <f t="shared" si="182"/>
        <v>2550.2971405771741</v>
      </c>
      <c r="JE116" s="21"/>
      <c r="JF116" s="1">
        <f t="shared" si="60"/>
        <v>1.022782493188582E-2</v>
      </c>
      <c r="JG116" s="15">
        <f>INDEX(Input!$1:$1048576,JG$93,$C116*2+6)/(1+VLOOKUP(C116*1000+INDEX(Input!$1:$1048576,JG$93+1,$C116*2+6),$A:$KK,$JK$92,FALSE))</f>
        <v>446</v>
      </c>
      <c r="JH116" s="1">
        <f t="shared" ref="JH116:JH161" si="251">SUM(HP116:HR116)/SUM(HY116:IA116)</f>
        <v>-1.5937683492782077E-2</v>
      </c>
      <c r="JI116" s="1">
        <f t="shared" ref="JI116:JI161" si="252">SUM(HS116:HU116)/SUM(HY116:IA116)</f>
        <v>-9.8615582328329416E-3</v>
      </c>
      <c r="JJ116" s="1">
        <f t="shared" ref="JJ116:JJ161" si="253">SUM(HV116:HX116)/SUM(HY116:IA116)</f>
        <v>0</v>
      </c>
      <c r="JK116" s="1">
        <f t="shared" ref="JK116:JK161" si="254">SUM(JH116:JJ116)</f>
        <v>-2.579924172561502E-2</v>
      </c>
      <c r="JL116" s="15">
        <f t="shared" si="184"/>
        <v>-11.506461809624298</v>
      </c>
      <c r="JM116" s="15">
        <f t="shared" si="185"/>
        <v>434.49353819037572</v>
      </c>
      <c r="JN116" s="21"/>
      <c r="JO116" s="19">
        <f>INDEX(Input!$1:$1048576,JO$93,$C116*2+6)</f>
        <v>5995.5</v>
      </c>
      <c r="JP116" s="19">
        <f>INDEX(Input!$1:$1048576,JP$93,$C116*2+6)</f>
        <v>2818.4193802796353</v>
      </c>
      <c r="JQ116" s="39">
        <f t="shared" si="186"/>
        <v>3445.2028594228259</v>
      </c>
      <c r="JR116" s="39">
        <f t="shared" si="187"/>
        <v>-268.12223970246123</v>
      </c>
      <c r="JS116" s="39">
        <f t="shared" si="188"/>
        <v>1.1080876280461742</v>
      </c>
      <c r="JT116" s="39">
        <f t="shared" si="189"/>
        <v>-0.14892741555854305</v>
      </c>
      <c r="JU116" s="385">
        <f>(JQ116*JM116-INDEX(Input!$1:$1048576,Input!A$18,$C116*2+6)*JL116*INDEX(Input!$1:$1048576,Input!A$19,$C116*2+6))/1000000</f>
        <v>1.4969183801742234</v>
      </c>
      <c r="JV116" s="39">
        <f t="shared" si="192"/>
        <v>7.9940423778940728E-2</v>
      </c>
      <c r="JW116" s="1">
        <f t="shared" si="190"/>
        <v>5.641613789271991E-2</v>
      </c>
      <c r="JX116" s="19">
        <f t="shared" si="191"/>
        <v>12942.937457453374</v>
      </c>
      <c r="JZ116" s="341"/>
      <c r="KA116" s="342"/>
      <c r="KB116" s="469">
        <f t="shared" si="110"/>
        <v>2.9286733661474216</v>
      </c>
      <c r="KI116" s="473">
        <f t="shared" ref="KI116:KI118" si="255">$JM116*IE116-$JG116*HY116/SUM($HY116:$IA116)</f>
        <v>16.562986348650426</v>
      </c>
      <c r="KJ116" s="473">
        <f t="shared" ref="KJ116:KJ118" si="256">$JM116*IF116-$JG116*HZ116/SUM($HY116:$IA116)</f>
        <v>1.9428162238018558</v>
      </c>
      <c r="KK116" s="473">
        <f t="shared" ref="KK116:KK161" si="257">$JM116*IG116-$JG116*IA116/SUM($HY116:$IA116)</f>
        <v>-30.012264382076609</v>
      </c>
      <c r="KN116" s="544">
        <f t="shared" ref="KN116:KN161" si="258">KM116+(KN115-KM115)</f>
        <v>1002</v>
      </c>
      <c r="KO116" s="541">
        <f t="shared" si="64"/>
        <v>-2.9792513878648785E-2</v>
      </c>
      <c r="KP116" s="546">
        <f t="shared" si="65"/>
        <v>-123.44391828205201</v>
      </c>
      <c r="KQ116" s="546">
        <f t="shared" si="66"/>
        <v>-289.01905944147757</v>
      </c>
      <c r="KR116" s="548">
        <f t="shared" si="67"/>
        <v>4.138016920385919</v>
      </c>
      <c r="KS116" s="548">
        <f t="shared" si="68"/>
        <v>1.7674025497038219</v>
      </c>
      <c r="KT116" s="473">
        <f t="shared" si="112"/>
        <v>238.28695973331548</v>
      </c>
      <c r="KU116" s="663">
        <f t="shared" si="103"/>
        <v>6.4524958477000718</v>
      </c>
      <c r="KV116" s="117">
        <f t="shared" ref="KV116:KV118" si="259">RANK(KU116,$KU$109:$KU$200)</f>
        <v>28</v>
      </c>
    </row>
    <row r="117" spans="1:308" s="26" customFormat="1" ht="15">
      <c r="A117" s="561">
        <f t="shared" si="168"/>
        <v>1017</v>
      </c>
      <c r="B117" s="561">
        <f t="shared" si="104"/>
        <v>17</v>
      </c>
      <c r="C117" s="561">
        <f t="shared" si="105"/>
        <v>1</v>
      </c>
      <c r="D117" s="561" t="str">
        <f t="shared" si="141"/>
        <v xml:space="preserve">360 Lease, </v>
      </c>
      <c r="E117" s="115">
        <f>INDEX(Input!$1:$1048576,E$93,$C117*2+MIN($B117,2)+5)</f>
        <v>1229</v>
      </c>
      <c r="F117" s="115">
        <f>INDEX(Input!$1:$1048576,F$93,$C117*2+MIN($B117,2)+5)</f>
        <v>0</v>
      </c>
      <c r="G117" s="115">
        <f>INDEX(Input!$1:$1048576,G$93,$C117*2+MIN($B117,2)+5)</f>
        <v>0</v>
      </c>
      <c r="H117" s="115">
        <f>INDEX(Input!$1:$1048576,H$93,$C117*2+MIN($B117,2)+5)</f>
        <v>0</v>
      </c>
      <c r="I117" s="118">
        <f>INDEX(Input!$1:$1048576,I$93,$C117*2+MIN($B117,2)+5)</f>
        <v>0.7</v>
      </c>
      <c r="J117" s="118" t="str">
        <f>INDEX(Input!$1:$1048576,J$93,$C117*2+MIN($B117,2)+5)</f>
        <v>Market</v>
      </c>
      <c r="K117" s="118" t="str">
        <f>INDEX(Input!$1:$1048576,K$93,$C117*2+MIN($B117,2)+5)</f>
        <v>Market</v>
      </c>
      <c r="L117" s="118" t="str">
        <f>INDEX(Input!$1:$1048576,L$93,$C117*2+MIN($B117,2)+5)</f>
        <v>Market</v>
      </c>
      <c r="M117" s="118" t="str">
        <f>INDEX(Input!$1:$1048576,M$93,$C117*2+MIN($B117,2)+5)</f>
        <v>Market</v>
      </c>
      <c r="N117" s="118" t="str">
        <f>INDEX(Input!$1:$1048576,N$93,$C117*2+MIN($B117,2)+5)</f>
        <v>Market</v>
      </c>
      <c r="O117" s="118" t="str">
        <f>INDEX(Input!$1:$1048576,O$93,$C117*2+MIN($B117,2)+5)</f>
        <v>Market</v>
      </c>
      <c r="P117" s="118" t="str">
        <f>INDEX(Input!$1:$1048576,P$93,$C117*2+MIN($B117,2)+5)</f>
        <v>N</v>
      </c>
      <c r="Q117" s="30">
        <f>INDEX(Input!$1:$1048576,Q$93,$C117*2+MIN($B117,2)+5)</f>
        <v>0</v>
      </c>
      <c r="R117" s="383">
        <f>INDEX(Input!$1:$1048576,R$93,$C117*2+MIN($B117,2)+5)</f>
        <v>0</v>
      </c>
      <c r="S117" s="383">
        <f>INDEX(Input!$1:$1048576,S$93,$C117*2+MIN($B117,2)+5)</f>
        <v>0</v>
      </c>
      <c r="T117" s="383">
        <f>INDEX(Input!$1:$1048576,T$93,$C117*2+MIN($B117,2)+5)</f>
        <v>0</v>
      </c>
      <c r="U117" s="383">
        <f>INDEX(Input!$1:$1048576,U$93,$C117*2+MIN($B117,2)+5)</f>
        <v>0</v>
      </c>
      <c r="V117" s="383">
        <f>INDEX(Input!$1:$1048576,V$93,$C117*2+MIN($B117,2)+5)</f>
        <v>1.9E-2</v>
      </c>
      <c r="W117" s="884">
        <f>INDEX(Input!$1:$1048576,W$93,$C117*2+MIN($B117,2)+5)</f>
        <v>3.9E-2</v>
      </c>
      <c r="X117" s="118" t="str">
        <f>INDEX(Input!$1:$1048576,X$93,$C117*2+MIN($B117,2)+5)</f>
        <v>Y</v>
      </c>
      <c r="Y117" s="475">
        <f>INDEX(Input!$1:$1048576,Y$93,$C117*2+MIN($B117,2)+5)+360</f>
        <v>2302</v>
      </c>
      <c r="Z117" s="30">
        <f>INDEX(Input!$1:$1048576,Z$93,$C117*2+MIN($B117,2)+5)</f>
        <v>0</v>
      </c>
      <c r="AA117" s="115">
        <f>INDEX(Input!$1:$1048576,AA$93,$C117*2+MIN($B117,2)+5)</f>
        <v>0</v>
      </c>
      <c r="AB117" s="118">
        <f>INDEX(Input!$1:$1048576,AB$93,$C117*2+MIN($B117,2)+5)</f>
        <v>0.27</v>
      </c>
      <c r="AC117" s="115">
        <f>INDEX(Input!$1:$1048576,AC$93,$C117*2+MIN($B117,2)+5)</f>
        <v>0</v>
      </c>
      <c r="AD117" s="118">
        <f>INDEX(Input!$1:$1048576,AD$93,$C117*2+MIN($B117,2)+5)</f>
        <v>0.27</v>
      </c>
      <c r="AE117" s="115">
        <f>INDEX(Input!$1:$1048576,AE$93,$C117*2+MIN($B117,2)+5)</f>
        <v>0</v>
      </c>
      <c r="AF117" s="118">
        <f>INDEX(Input!$1:$1048576,AF$93,$C117*2+MIN($B117,2)+5)</f>
        <v>0.38</v>
      </c>
      <c r="AG117" s="115">
        <f>INDEX(Input!$1:$1048576,AG$93,$C117*2+MIN($B117,2)+5)</f>
        <v>0</v>
      </c>
      <c r="AH117" s="118">
        <f>INDEX(Input!$1:$1048576,AH$93,$C117*2+MIN($B117,2)+5)</f>
        <v>0</v>
      </c>
      <c r="AI117" s="115">
        <f>INDEX(Input!$1:$1048576,AI$93,$C117*2+MIN($B117,2)+5)</f>
        <v>0</v>
      </c>
      <c r="AJ117" s="118">
        <f>INDEX(Input!$1:$1048576,AJ$93,$C117*2+MIN($B117,2)+5)</f>
        <v>0.27</v>
      </c>
      <c r="AK117" s="150">
        <f>ROUND(INDEX(Input!$1:$1048576,AK$93,$C116*2+MIN($B117,1)+5)+(Y117-VLOOKUP($C117*1000+1,$A:$HH,Y$92,FALSE)),0)</f>
        <v>4117</v>
      </c>
      <c r="AL117" s="150">
        <f>ROUND(INDEX(Input!$1:$1048576,AL$93,$C116*2+MIN($B117,1)+5)-(Y117-VLOOKUP($C117*1000+1,$A:$HH,Y$92,FALSE))/36,0)</f>
        <v>4103</v>
      </c>
      <c r="AM117" s="32" t="str">
        <f t="shared" si="169"/>
        <v>std/std/std/std</v>
      </c>
      <c r="AN117" s="32" t="str">
        <f t="shared" si="170"/>
        <v>$0 + 0/0/0/1.9/3.9</v>
      </c>
      <c r="AO117" s="32" t="str">
        <f t="shared" si="171"/>
        <v>0/0/0/1.9/3.9</v>
      </c>
      <c r="AP117" s="32" t="str">
        <f t="shared" si="73"/>
        <v>0/0.9/1.9/3.9</v>
      </c>
      <c r="AQ117" s="536">
        <f t="shared" si="39"/>
        <v>0.20154833317952359</v>
      </c>
      <c r="AR117" s="32"/>
      <c r="AS117" s="302"/>
      <c r="AT117" s="3">
        <f t="shared" si="106"/>
        <v>17</v>
      </c>
      <c r="AU117" s="41" t="s">
        <v>121</v>
      </c>
      <c r="AV117" s="41" t="s">
        <v>116</v>
      </c>
      <c r="AW117" s="41" t="str">
        <f>INDEX(Input!$1:$1048576,AW$93,$C117*2+6)</f>
        <v>Kia</v>
      </c>
      <c r="AX117" s="41" t="str">
        <f>INDEX(Input!$1:$1048576,AX$93,$C117*2+6)</f>
        <v>Kia-LR - L1</v>
      </c>
      <c r="AY117" s="41" t="str">
        <f>IF(LEN(D117)=0,"",INDEX(Input!$1:$1048576,AY$93,$C117*2+6))</f>
        <v>Compact SUV (52)</v>
      </c>
      <c r="AZ117" s="41" t="str">
        <f>INDEX(Input!$1:$1048576,AZ$93,$C117*2+6)</f>
        <v>Kia Soul</v>
      </c>
      <c r="BA117" s="3">
        <f>INDEX(Input!$1:$1048576,BA$93,$C117*2+6)</f>
        <v>2020</v>
      </c>
      <c r="BB117" s="128">
        <f>INDEX(Input!$1:$1048576,BB$93,$C117*2+6)</f>
        <v>1</v>
      </c>
      <c r="BC117" s="128">
        <f>INDEX(Input!$1:$1048576,BC$93,$C117*2+6)</f>
        <v>0.7</v>
      </c>
      <c r="BD117" s="1">
        <f>INDEX(Input!$1:$1048576,BD$93,$C117*2+6)</f>
        <v>4.4999999999999998E-2</v>
      </c>
      <c r="BE117" s="1">
        <f>INDEX(Input!$1:$1048576,BE$93,$C117*2+6)</f>
        <v>4.4999999999999998E-2</v>
      </c>
      <c r="BF117" s="1">
        <f>INDEX(Input!$1:$1048576,BF$93,$C117*2+6)</f>
        <v>0.05</v>
      </c>
      <c r="BG117" s="1">
        <f>INDEX(Input!$1:$1048576,BG$93,$C117*2+6)</f>
        <v>5.45E-2</v>
      </c>
      <c r="BH117" s="1">
        <f>INDEX(Input!$1:$1048576,BH$93,$C117*2+6)</f>
        <v>5.45E-2</v>
      </c>
      <c r="BI117" s="1">
        <f>INDEX(Input!$1:$1048576,BI$93,$C117*2+6)</f>
        <v>0.05</v>
      </c>
      <c r="BJ117" s="1">
        <f>INDEX(Input!$1:$1048576,BJ$93,$C117*2+6)</f>
        <v>0.05</v>
      </c>
      <c r="BK117" s="1">
        <f>INDEX(Input!$1:$1048576,BK$93,$C117*2+6)</f>
        <v>0.05</v>
      </c>
      <c r="BL117" s="1">
        <f>INDEX(Input!$1:$1048576,BL$93,$C117*2+6)</f>
        <v>5.5E-2</v>
      </c>
      <c r="BM117" s="1">
        <f>INDEX(Input!$1:$1048576,BM$93,$C117*2+6)</f>
        <v>0.06</v>
      </c>
      <c r="BN117" s="1">
        <f>INDEX(Input!$1:$1048576,BN$93,$C117*2+6)</f>
        <v>4.4999999999999998E-2</v>
      </c>
      <c r="BO117" s="1">
        <f>INDEX(Input!$1:$1048576,BO$93,$C117*2+6)</f>
        <v>4.4999999999999998E-2</v>
      </c>
      <c r="BP117" s="1">
        <f>INDEX(Input!$1:$1048576,BP$93,$C117*2+6)</f>
        <v>0.05</v>
      </c>
      <c r="BQ117" s="1">
        <f>INDEX(Input!$1:$1048576,BQ$93,$C117*2+6)</f>
        <v>5.45E-2</v>
      </c>
      <c r="BR117" s="1">
        <f>INDEX(Input!$1:$1048576,BR$93,$C117*2+6)</f>
        <v>5.45E-2</v>
      </c>
      <c r="BS117" s="1">
        <f>INDEX(Input!$1:$1048576,BS$93,$C117*2+6)</f>
        <v>0.05</v>
      </c>
      <c r="BT117" s="1">
        <f>INDEX(Input!$1:$1048576,BT$93,$C117*2+6)</f>
        <v>0.05</v>
      </c>
      <c r="BU117" s="1">
        <f>INDEX(Input!$1:$1048576,BU$93,$C117*2+6)</f>
        <v>0.05</v>
      </c>
      <c r="BV117" s="1">
        <f>INDEX(Input!$1:$1048576,BV$93,$C117*2+6)</f>
        <v>5.5E-2</v>
      </c>
      <c r="BW117" s="1">
        <f>INDEX(Input!$1:$1048576,BW$93,$C117*2+6)</f>
        <v>0.06</v>
      </c>
      <c r="BX117" s="127">
        <f>INDEX(Input!$1:$1048576,BX$93,$C117*2+6)</f>
        <v>19985</v>
      </c>
      <c r="BY117" s="20">
        <f>INDEX(Input!$1:$1048576,BY$93,$C117*2+6)</f>
        <v>0.1</v>
      </c>
      <c r="BZ117" s="20">
        <f>INDEX(Input!$1:$1048576,BZ$93,$C117*2+6)</f>
        <v>0.1</v>
      </c>
      <c r="CA117" s="20">
        <f>INDEX(Input!$1:$1048576,CA$93,$C117*2+6)</f>
        <v>0.1</v>
      </c>
      <c r="CB117" s="20">
        <f>INDEX(Input!$1:$1048576,CB$93,$C117*2+6)</f>
        <v>0.1</v>
      </c>
      <c r="CC117" s="20">
        <f>INDEX(Input!$1:$1048576,CC$93,$C117*2+6)</f>
        <v>0.1</v>
      </c>
      <c r="CD117" s="384">
        <f>INDEX(Input!$1:$1048576,CD$93,$C117*2+6)</f>
        <v>0.1</v>
      </c>
      <c r="CE117" s="384">
        <f>INDEX(Input!$1:$1048576,CE$93,$C117*2+6)</f>
        <v>0.1</v>
      </c>
      <c r="CF117" s="384">
        <f>INDEX(Input!$1:$1048576,CF$93,$C117*2+6)</f>
        <v>0.1</v>
      </c>
      <c r="CG117" s="384">
        <f>INDEX(Input!$1:$1048576,CG$93,$C117*2+6)</f>
        <v>0.1</v>
      </c>
      <c r="CH117" s="384">
        <f>INDEX(Input!$1:$1048576,CH$93,$C117*2+6)</f>
        <v>0.1</v>
      </c>
      <c r="CI117" s="304">
        <f t="shared" si="74"/>
        <v>1229</v>
      </c>
      <c r="CJ117" s="16" t="str">
        <f>INDEX(Input!$1:$1048576,CJ$93,$C117*2+6)</f>
        <v>N</v>
      </c>
      <c r="CK117" s="1" t="str">
        <f t="shared" si="75"/>
        <v>Market</v>
      </c>
      <c r="CL117" s="1" t="str">
        <f t="shared" si="76"/>
        <v>Market</v>
      </c>
      <c r="CM117" s="1" t="str">
        <f t="shared" si="77"/>
        <v>Market</v>
      </c>
      <c r="CN117" s="1" t="str">
        <f t="shared" si="78"/>
        <v>Market</v>
      </c>
      <c r="CO117" s="1" t="str">
        <f t="shared" si="79"/>
        <v>Market</v>
      </c>
      <c r="CP117" s="304">
        <f t="shared" si="80"/>
        <v>0</v>
      </c>
      <c r="CQ117" s="1">
        <f t="shared" si="81"/>
        <v>0</v>
      </c>
      <c r="CR117" s="1">
        <f t="shared" si="82"/>
        <v>0</v>
      </c>
      <c r="CS117" s="1">
        <f t="shared" si="83"/>
        <v>0</v>
      </c>
      <c r="CT117" s="1">
        <f t="shared" si="84"/>
        <v>1.9E-2</v>
      </c>
      <c r="CU117" s="1">
        <f t="shared" si="85"/>
        <v>3.9E-2</v>
      </c>
      <c r="CV117" s="304">
        <f t="shared" si="86"/>
        <v>2302</v>
      </c>
      <c r="CW117" s="20" t="s">
        <v>122</v>
      </c>
      <c r="CX117" s="20" t="s">
        <v>122</v>
      </c>
      <c r="CY117" s="20" t="s">
        <v>122</v>
      </c>
      <c r="CZ117" s="20" t="s">
        <v>122</v>
      </c>
      <c r="DA117" s="20" t="s">
        <v>122</v>
      </c>
      <c r="DB117" s="503">
        <f t="shared" si="87"/>
        <v>0</v>
      </c>
      <c r="DC117" s="127">
        <v>0</v>
      </c>
      <c r="DD117" s="127">
        <v>0</v>
      </c>
      <c r="DE117" s="127">
        <v>0</v>
      </c>
      <c r="DF117" s="127">
        <v>0</v>
      </c>
      <c r="DG117" s="127">
        <v>0</v>
      </c>
      <c r="DH117" s="127">
        <v>0</v>
      </c>
      <c r="DI117" s="127">
        <v>0</v>
      </c>
      <c r="DJ117" s="127">
        <v>0</v>
      </c>
      <c r="DK117" s="127">
        <v>0</v>
      </c>
      <c r="DL117" s="127">
        <v>0</v>
      </c>
      <c r="DM117" s="304">
        <f>INDEX(Input!$1:$1048576,DM$93,$C117*2+6)</f>
        <v>21036.84210526316</v>
      </c>
      <c r="DN117" s="20">
        <v>0</v>
      </c>
      <c r="DO117" s="20">
        <v>0</v>
      </c>
      <c r="DP117" s="20">
        <v>0</v>
      </c>
      <c r="DQ117" s="20">
        <v>0</v>
      </c>
      <c r="DR117" s="20">
        <v>0</v>
      </c>
      <c r="DS117" s="20">
        <f>INDEX(Input!$1:$1048576,DS$93,$C117*2+6)</f>
        <v>0.6</v>
      </c>
      <c r="DT117" s="20">
        <f>INDEX(Input!$1:$1048576,DT$93,$C117*2+6)</f>
        <v>0.55000000000000004</v>
      </c>
      <c r="DU117" s="20">
        <f>INDEX(Input!$1:$1048576,DU$93,$C117*2+6)</f>
        <v>0.52</v>
      </c>
      <c r="DV117" s="20">
        <f>INDEX(Input!$1:$1048576,DV$93,$C117*2+6)</f>
        <v>0.5</v>
      </c>
      <c r="DW117" s="20">
        <f>INDEX(Input!$1:$1048576,DW$93,$C117*2+6)</f>
        <v>0.45</v>
      </c>
      <c r="DX117" s="20"/>
      <c r="DY117" s="7">
        <v>8.8579129494355605E-2</v>
      </c>
      <c r="DZ117" s="7">
        <v>0</v>
      </c>
      <c r="EA117" s="7">
        <v>0.42330397263153624</v>
      </c>
      <c r="EB117" s="7">
        <v>0</v>
      </c>
      <c r="EC117" s="7">
        <v>0</v>
      </c>
      <c r="ED117" s="7">
        <v>0</v>
      </c>
      <c r="EE117" s="7">
        <v>0</v>
      </c>
      <c r="EF117" s="7">
        <v>0</v>
      </c>
      <c r="EG117" s="7">
        <v>0</v>
      </c>
      <c r="EH117" s="7">
        <v>1.8402200445098642E-2</v>
      </c>
      <c r="EI117" s="7">
        <v>5.3739557110571878E-2</v>
      </c>
      <c r="EJ117" s="7">
        <v>0.3394668490413198</v>
      </c>
      <c r="EK117" s="7">
        <v>0.48247712639938084</v>
      </c>
      <c r="EL117" s="7">
        <v>0.10591426700362865</v>
      </c>
      <c r="EM117" s="7">
        <v>4.454662664836187E-2</v>
      </c>
      <c r="EN117" s="7">
        <v>5.2416424716025839E-2</v>
      </c>
      <c r="EO117" s="7">
        <v>0.78015670673154847</v>
      </c>
      <c r="EP117" s="7">
        <v>7.3001757795592495E-2</v>
      </c>
      <c r="EQ117" s="7">
        <v>5.5504556706157615E-2</v>
      </c>
      <c r="ER117" s="7">
        <v>3.8920554050675751E-2</v>
      </c>
      <c r="ES117" s="7">
        <v>0.44357027122574633</v>
      </c>
      <c r="ET117" s="7">
        <v>0.48811689787410811</v>
      </c>
      <c r="EU117" s="6">
        <v>1270</v>
      </c>
      <c r="EV117" s="6">
        <v>0</v>
      </c>
      <c r="EW117" s="6">
        <v>1270</v>
      </c>
      <c r="EX117" s="6">
        <v>0</v>
      </c>
      <c r="EY117" s="6">
        <v>2039.7221397149681</v>
      </c>
      <c r="EZ117" s="6">
        <v>2445</v>
      </c>
      <c r="FA117" s="6">
        <v>0</v>
      </c>
      <c r="FB117" s="6">
        <v>0</v>
      </c>
      <c r="FC117" s="6">
        <v>0</v>
      </c>
      <c r="FD117" s="6">
        <v>0</v>
      </c>
      <c r="FE117" s="6">
        <v>0</v>
      </c>
      <c r="FF117" s="6">
        <v>0</v>
      </c>
      <c r="FG117" s="6">
        <v>0</v>
      </c>
      <c r="FH117" s="6">
        <v>1171.281137969562</v>
      </c>
      <c r="FI117" s="6">
        <v>1553.9796069512402</v>
      </c>
      <c r="FJ117" s="6">
        <v>2101.2110117447419</v>
      </c>
      <c r="FK117" s="6">
        <v>1772.7139978623231</v>
      </c>
      <c r="FL117" s="6">
        <v>907.07682140966347</v>
      </c>
      <c r="FM117" s="6">
        <v>1769.7221397149681</v>
      </c>
      <c r="FN117" s="6">
        <v>0</v>
      </c>
      <c r="FO117" s="6">
        <v>0</v>
      </c>
      <c r="FP117" s="6">
        <v>0</v>
      </c>
      <c r="FQ117" s="6">
        <v>0</v>
      </c>
      <c r="FR117" s="6">
        <v>0</v>
      </c>
      <c r="FS117" s="6">
        <v>0</v>
      </c>
      <c r="FT117" s="7">
        <v>0.51188310212589183</v>
      </c>
      <c r="FU117" s="7">
        <v>4.454662664836187E-2</v>
      </c>
      <c r="FV117" s="7">
        <v>0.44357027122574633</v>
      </c>
      <c r="FW117" s="6">
        <v>1269.9999999999998</v>
      </c>
      <c r="FX117" s="6">
        <v>2039.7221397149681</v>
      </c>
      <c r="FY117" s="6">
        <v>2445</v>
      </c>
      <c r="FZ117" s="6">
        <v>1952.7147957719815</v>
      </c>
      <c r="GA117" s="6">
        <v>1825.4835934711127</v>
      </c>
      <c r="GB117" s="6">
        <v>18159.516406528888</v>
      </c>
      <c r="GC117" s="7">
        <v>1.0519917368675835E-2</v>
      </c>
      <c r="GD117" s="7">
        <v>1.0503398735007179E-2</v>
      </c>
      <c r="GE117" s="7"/>
      <c r="GF117" s="7"/>
      <c r="GG117" s="7">
        <v>-1.5702246595436012E-3</v>
      </c>
      <c r="GH117" s="42">
        <v>0.24664499944574209</v>
      </c>
      <c r="GI117" s="6">
        <v>82852.871316352655</v>
      </c>
      <c r="GJ117" s="14">
        <v>0.50394797582841711</v>
      </c>
      <c r="GK117" s="14">
        <v>0.50887573065309732</v>
      </c>
      <c r="GL117" s="14">
        <v>0.49605202417158273</v>
      </c>
      <c r="GM117" s="14">
        <v>0.49112426934690251</v>
      </c>
      <c r="GO117" s="5">
        <v>343.14810671672558</v>
      </c>
      <c r="GP117" s="5">
        <v>318.91892952659737</v>
      </c>
      <c r="GQ117" s="5">
        <v>535.04305713031317</v>
      </c>
      <c r="GR117" s="5">
        <v>410.15490233172511</v>
      </c>
      <c r="GS117" s="5">
        <v>339.42744393800166</v>
      </c>
      <c r="GT117" s="5">
        <v>293.4407446948278</v>
      </c>
      <c r="GU117" s="5">
        <v>258.04012322764959</v>
      </c>
      <c r="GV117" s="39" t="s">
        <v>392</v>
      </c>
      <c r="GW117" s="5">
        <v>492.125</v>
      </c>
      <c r="GX117" s="5">
        <v>369.09375</v>
      </c>
      <c r="GY117" s="5">
        <v>295.27499999999998</v>
      </c>
      <c r="GZ117" s="5">
        <v>260.54902799031458</v>
      </c>
      <c r="HA117" s="5">
        <v>241.34874471337258</v>
      </c>
      <c r="HB117" s="39">
        <v>280.39841310148159</v>
      </c>
      <c r="HC117" s="5">
        <v>180.31562499999998</v>
      </c>
      <c r="HD117" s="5">
        <v>166.79497441520465</v>
      </c>
      <c r="HE117" s="5">
        <v>173.1768092105263</v>
      </c>
      <c r="HF117" s="5">
        <v>164.36813048245611</v>
      </c>
      <c r="HG117" s="5">
        <v>163.76888157894734</v>
      </c>
      <c r="HH117" s="39">
        <v>167.71708563023569</v>
      </c>
      <c r="HI117" s="16"/>
      <c r="HJ117" s="19" t="str">
        <f t="shared" si="107"/>
        <v>On</v>
      </c>
      <c r="HK117" s="1" t="str">
        <f t="shared" si="108"/>
        <v>On</v>
      </c>
      <c r="HL117" s="16"/>
      <c r="HM117" s="639">
        <f t="shared" si="42"/>
        <v>5.7455619280273196E-3</v>
      </c>
      <c r="HN117" s="639">
        <f t="shared" si="43"/>
        <v>5.0031960498701745E-4</v>
      </c>
      <c r="HO117" s="639">
        <f t="shared" si="44"/>
        <v>3.9819433988714835E-3</v>
      </c>
      <c r="HP117" s="644">
        <f>(FT117*$GD117-HM117)/$JF117*INDEX(Input!$1:$1048576,$JG$93,$C117*2+6)</f>
        <v>-16.092974117411806</v>
      </c>
      <c r="HQ117" s="644">
        <f>(FU117*$GD117-HN117)/$JF117*INDEX(Input!$1:$1048576,$JG$93,$C117*2+6)</f>
        <v>-1.4140998652421692</v>
      </c>
      <c r="HR117" s="644">
        <f>(FV117*$GD117-HO117)/$JF117*INDEX(Input!$1:$1048576,$JG$93,$C117*2+6)</f>
        <v>29.523892515493753</v>
      </c>
      <c r="HS117" s="644">
        <f t="shared" si="45"/>
        <v>-0.56118802809823831</v>
      </c>
      <c r="HT117" s="644">
        <f t="shared" si="46"/>
        <v>0.46619376172520816</v>
      </c>
      <c r="HU117" s="644">
        <f t="shared" si="47"/>
        <v>5.2218613295076377</v>
      </c>
      <c r="HV117" s="648">
        <f t="shared" si="48"/>
        <v>0</v>
      </c>
      <c r="HW117" s="648">
        <f t="shared" si="49"/>
        <v>0</v>
      </c>
      <c r="HX117" s="648">
        <f t="shared" si="50"/>
        <v>0</v>
      </c>
      <c r="HY117" s="644">
        <f>INDEX(Input!$1:$1048576,HY$93,$C117*2+6)*INDEX(Input!$1:$1048576,$JG$93,$C117*2+6)</f>
        <v>110.00000000000001</v>
      </c>
      <c r="HZ117" s="644">
        <f>INDEX(Input!$1:$1048576,HZ$93,$C117*2+6)*INDEX(Input!$1:$1048576,$JG$93,$C117*2+6)</f>
        <v>157</v>
      </c>
      <c r="IA117" s="644">
        <f>INDEX(Input!$1:$1048576,IA$93,$C117*2+6)*INDEX(Input!$1:$1048576,$JG$93,$C117*2+6)</f>
        <v>179</v>
      </c>
      <c r="IB117" s="644">
        <f t="shared" si="249"/>
        <v>93.345837854489957</v>
      </c>
      <c r="IC117" s="644">
        <f t="shared" si="172"/>
        <v>156.05209389648303</v>
      </c>
      <c r="ID117" s="644">
        <f>IF(AND(INDEX(Input!$1:$1048576,IA$93,$C117*2+7)="TOS",Y117&lt;=INDEX(Y:Y,MATCH(C117*1000+2,A:A))),0,1)*MAX(IA117+HR117+HU117+HX117,0%)</f>
        <v>213.74575384500139</v>
      </c>
      <c r="IE117" s="128">
        <f t="shared" si="250"/>
        <v>0.20154833317952359</v>
      </c>
      <c r="IF117" s="128">
        <f t="shared" si="174"/>
        <v>0.33694099423092605</v>
      </c>
      <c r="IG117" s="128">
        <f t="shared" si="175"/>
        <v>0.46151067258955036</v>
      </c>
      <c r="IH117" s="21"/>
      <c r="II117" s="19">
        <f t="shared" si="53"/>
        <v>1240</v>
      </c>
      <c r="IJ117" s="19">
        <f t="shared" si="54"/>
        <v>2009.7221397149679</v>
      </c>
      <c r="IK117" s="19">
        <f t="shared" si="55"/>
        <v>2070</v>
      </c>
      <c r="IL117" s="19">
        <f t="shared" si="176"/>
        <v>29.999999999999773</v>
      </c>
      <c r="IM117" s="19">
        <f t="shared" si="177"/>
        <v>30.000000000000227</v>
      </c>
      <c r="IN117" s="19">
        <f t="shared" si="178"/>
        <v>375</v>
      </c>
      <c r="IO117" s="39">
        <f t="shared" si="57"/>
        <v>0</v>
      </c>
      <c r="IP117" s="39">
        <f t="shared" si="58"/>
        <v>0</v>
      </c>
      <c r="IQ117" s="39">
        <f t="shared" si="59"/>
        <v>0</v>
      </c>
      <c r="IR117" s="39">
        <v>0</v>
      </c>
      <c r="IS117" s="39">
        <v>0</v>
      </c>
      <c r="IT117" s="39">
        <v>0</v>
      </c>
      <c r="IU117" s="39">
        <v>0</v>
      </c>
      <c r="IV117" s="39">
        <v>0</v>
      </c>
      <c r="IW117" s="39">
        <v>0</v>
      </c>
      <c r="IX117" s="39">
        <f>INDEX(Input!$1:$1048576,IX$93,$C117*2+6)+INDEX(Input!$1:$1048576,IX$94,$C117*2+6)</f>
        <v>1270</v>
      </c>
      <c r="IY117" s="39">
        <f>INDEX(Input!$1:$1048576,IY$93,$C117*2+6)+INDEX(Input!$1:$1048576,IY$94,$C117*2+6)</f>
        <v>2130.0624533823611</v>
      </c>
      <c r="IZ117" s="39">
        <f>INDEX(Input!$1:$1048576,IZ$93,$C117*2+6)+INDEX(Input!$1:$1048576,IZ$94,$C117*2+6)</f>
        <v>4373.7164157747848</v>
      </c>
      <c r="JA117" s="19">
        <f t="shared" si="179"/>
        <v>1299.9999999999998</v>
      </c>
      <c r="JB117" s="19">
        <f t="shared" si="180"/>
        <v>2160.0624533823611</v>
      </c>
      <c r="JC117" s="19">
        <f t="shared" si="181"/>
        <v>4748.7164157747848</v>
      </c>
      <c r="JD117" s="19">
        <f t="shared" si="182"/>
        <v>3181.4097307581865</v>
      </c>
      <c r="JE117" s="21"/>
      <c r="JF117" s="1">
        <f t="shared" si="60"/>
        <v>1.022782493188582E-2</v>
      </c>
      <c r="JG117" s="15">
        <f>INDEX(Input!$1:$1048576,JG$93,$C117*2+6)/(1+VLOOKUP(C117*1000+INDEX(Input!$1:$1048576,JG$93+1,$C117*2+6),$A:$KK,$JK$92,FALSE))</f>
        <v>446</v>
      </c>
      <c r="JH117" s="1">
        <f t="shared" si="251"/>
        <v>2.694353931129995E-2</v>
      </c>
      <c r="JI117" s="1">
        <f t="shared" si="252"/>
        <v>1.1495217630346654E-2</v>
      </c>
      <c r="JJ117" s="1">
        <f t="shared" si="253"/>
        <v>0</v>
      </c>
      <c r="JK117" s="1">
        <f t="shared" si="254"/>
        <v>3.8438756941646605E-2</v>
      </c>
      <c r="JL117" s="15">
        <f t="shared" si="184"/>
        <v>17.143685595974386</v>
      </c>
      <c r="JM117" s="15">
        <f t="shared" si="185"/>
        <v>463.14368559597438</v>
      </c>
      <c r="JN117" s="21"/>
      <c r="JO117" s="19">
        <f>INDEX(Input!$1:$1048576,JO$93,$C117*2+6)</f>
        <v>5995.5</v>
      </c>
      <c r="JP117" s="19">
        <f>INDEX(Input!$1:$1048576,JP$93,$C117*2+6)</f>
        <v>2818.4193802796353</v>
      </c>
      <c r="JQ117" s="39">
        <f t="shared" si="186"/>
        <v>2814.0902692418135</v>
      </c>
      <c r="JR117" s="39">
        <f t="shared" si="187"/>
        <v>362.99035047855114</v>
      </c>
      <c r="JS117" s="39">
        <f t="shared" si="188"/>
        <v>1.473449828094243</v>
      </c>
      <c r="JT117" s="39">
        <f t="shared" si="189"/>
        <v>0.21643478448952572</v>
      </c>
      <c r="JU117" s="385">
        <f>(JQ117*JM117-INDEX(Input!$1:$1048576,Input!A$18,$C117*2+6)*JL117*INDEX(Input!$1:$1048576,Input!A$19,$C117*2+6))/1000000</f>
        <v>1.3033281388964213</v>
      </c>
      <c r="JV117" s="39">
        <f t="shared" si="192"/>
        <v>-0.11364981749886138</v>
      </c>
      <c r="JW117" s="1">
        <f t="shared" si="190"/>
        <v>-8.0205776657232219E-2</v>
      </c>
      <c r="JX117" s="19">
        <f t="shared" si="191"/>
        <v>12624.752319323221</v>
      </c>
      <c r="JZ117" s="341"/>
      <c r="KA117" s="342"/>
      <c r="KB117" s="469">
        <f t="shared" si="110"/>
        <v>2.9286733661474216</v>
      </c>
      <c r="KI117" s="473">
        <f t="shared" si="255"/>
        <v>-16.654162145510057</v>
      </c>
      <c r="KJ117" s="473">
        <f t="shared" si="256"/>
        <v>-0.94790610351697069</v>
      </c>
      <c r="KK117" s="473">
        <f t="shared" si="257"/>
        <v>34.745753845001389</v>
      </c>
      <c r="KN117" s="544">
        <f t="shared" si="258"/>
        <v>1002</v>
      </c>
      <c r="KO117" s="541">
        <f t="shared" si="64"/>
        <v>3.4182171699328245E-2</v>
      </c>
      <c r="KP117" s="546">
        <f t="shared" si="65"/>
        <v>166.14384213223818</v>
      </c>
      <c r="KQ117" s="546">
        <f t="shared" si="66"/>
        <v>342.0935307395348</v>
      </c>
      <c r="KR117" s="548">
        <f t="shared" si="67"/>
        <v>3.5275259078628962</v>
      </c>
      <c r="KS117" s="548">
        <f t="shared" si="68"/>
        <v>1.7132060529948567</v>
      </c>
      <c r="KT117" s="473">
        <f t="shared" si="112"/>
        <v>238.28695973331548</v>
      </c>
      <c r="KU117" s="663">
        <f t="shared" si="103"/>
        <v>5.9277707496965002</v>
      </c>
      <c r="KV117" s="117">
        <f t="shared" si="259"/>
        <v>72</v>
      </c>
    </row>
    <row r="118" spans="1:308" s="26" customFormat="1" ht="15">
      <c r="A118" s="561">
        <f t="shared" si="168"/>
        <v>1018</v>
      </c>
      <c r="B118" s="561">
        <f t="shared" si="104"/>
        <v>18</v>
      </c>
      <c r="C118" s="561">
        <f t="shared" si="105"/>
        <v>1</v>
      </c>
      <c r="D118" s="561" t="str">
        <f t="shared" si="141"/>
        <v xml:space="preserve">720 Lease, </v>
      </c>
      <c r="E118" s="115">
        <f>INDEX(Input!$1:$1048576,E$93,$C118*2+MIN($B118,2)+5)</f>
        <v>1229</v>
      </c>
      <c r="F118" s="115">
        <f>INDEX(Input!$1:$1048576,F$93,$C118*2+MIN($B118,2)+5)</f>
        <v>0</v>
      </c>
      <c r="G118" s="115">
        <f>INDEX(Input!$1:$1048576,G$93,$C118*2+MIN($B118,2)+5)</f>
        <v>0</v>
      </c>
      <c r="H118" s="115">
        <f>INDEX(Input!$1:$1048576,H$93,$C118*2+MIN($B118,2)+5)</f>
        <v>0</v>
      </c>
      <c r="I118" s="118">
        <f>INDEX(Input!$1:$1048576,I$93,$C118*2+MIN($B118,2)+5)</f>
        <v>0.7</v>
      </c>
      <c r="J118" s="118" t="str">
        <f>INDEX(Input!$1:$1048576,J$93,$C118*2+MIN($B118,2)+5)</f>
        <v>Market</v>
      </c>
      <c r="K118" s="118" t="str">
        <f>INDEX(Input!$1:$1048576,K$93,$C118*2+MIN($B118,2)+5)</f>
        <v>Market</v>
      </c>
      <c r="L118" s="118" t="str">
        <f>INDEX(Input!$1:$1048576,L$93,$C118*2+MIN($B118,2)+5)</f>
        <v>Market</v>
      </c>
      <c r="M118" s="118" t="str">
        <f>INDEX(Input!$1:$1048576,M$93,$C118*2+MIN($B118,2)+5)</f>
        <v>Market</v>
      </c>
      <c r="N118" s="118" t="str">
        <f>INDEX(Input!$1:$1048576,N$93,$C118*2+MIN($B118,2)+5)</f>
        <v>Market</v>
      </c>
      <c r="O118" s="118" t="str">
        <f>INDEX(Input!$1:$1048576,O$93,$C118*2+MIN($B118,2)+5)</f>
        <v>Market</v>
      </c>
      <c r="P118" s="118" t="str">
        <f>INDEX(Input!$1:$1048576,P$93,$C118*2+MIN($B118,2)+5)</f>
        <v>N</v>
      </c>
      <c r="Q118" s="30">
        <f>INDEX(Input!$1:$1048576,Q$93,$C118*2+MIN($B118,2)+5)</f>
        <v>0</v>
      </c>
      <c r="R118" s="383">
        <f>INDEX(Input!$1:$1048576,R$93,$C118*2+MIN($B118,2)+5)</f>
        <v>0</v>
      </c>
      <c r="S118" s="383">
        <f>INDEX(Input!$1:$1048576,S$93,$C118*2+MIN($B118,2)+5)</f>
        <v>0</v>
      </c>
      <c r="T118" s="383">
        <f>INDEX(Input!$1:$1048576,T$93,$C118*2+MIN($B118,2)+5)</f>
        <v>0</v>
      </c>
      <c r="U118" s="383">
        <f>INDEX(Input!$1:$1048576,U$93,$C118*2+MIN($B118,2)+5)</f>
        <v>0</v>
      </c>
      <c r="V118" s="383">
        <f>INDEX(Input!$1:$1048576,V$93,$C118*2+MIN($B118,2)+5)</f>
        <v>1.9E-2</v>
      </c>
      <c r="W118" s="884">
        <f>INDEX(Input!$1:$1048576,W$93,$C118*2+MIN($B118,2)+5)</f>
        <v>3.9E-2</v>
      </c>
      <c r="X118" s="118" t="str">
        <f>INDEX(Input!$1:$1048576,X$93,$C118*2+MIN($B118,2)+5)</f>
        <v>Y</v>
      </c>
      <c r="Y118" s="475">
        <f>INDEX(Input!$1:$1048576,Y$93,$C118*2+MIN($B118,2)+5)+720</f>
        <v>2662</v>
      </c>
      <c r="Z118" s="30">
        <f>INDEX(Input!$1:$1048576,Z$93,$C118*2+MIN($B118,2)+5)</f>
        <v>0</v>
      </c>
      <c r="AA118" s="115">
        <f>INDEX(Input!$1:$1048576,AA$93,$C118*2+MIN($B118,2)+5)</f>
        <v>0</v>
      </c>
      <c r="AB118" s="118">
        <f>INDEX(Input!$1:$1048576,AB$93,$C118*2+MIN($B118,2)+5)</f>
        <v>0.27</v>
      </c>
      <c r="AC118" s="115">
        <f>INDEX(Input!$1:$1048576,AC$93,$C118*2+MIN($B118,2)+5)</f>
        <v>0</v>
      </c>
      <c r="AD118" s="118">
        <f>INDEX(Input!$1:$1048576,AD$93,$C118*2+MIN($B118,2)+5)</f>
        <v>0.27</v>
      </c>
      <c r="AE118" s="115">
        <f>INDEX(Input!$1:$1048576,AE$93,$C118*2+MIN($B118,2)+5)</f>
        <v>0</v>
      </c>
      <c r="AF118" s="118">
        <f>INDEX(Input!$1:$1048576,AF$93,$C118*2+MIN($B118,2)+5)</f>
        <v>0.38</v>
      </c>
      <c r="AG118" s="115">
        <f>INDEX(Input!$1:$1048576,AG$93,$C118*2+MIN($B118,2)+5)</f>
        <v>0</v>
      </c>
      <c r="AH118" s="118">
        <f>INDEX(Input!$1:$1048576,AH$93,$C118*2+MIN($B118,2)+5)</f>
        <v>0</v>
      </c>
      <c r="AI118" s="115">
        <f>INDEX(Input!$1:$1048576,AI$93,$C118*2+MIN($B118,2)+5)</f>
        <v>0</v>
      </c>
      <c r="AJ118" s="118">
        <f>INDEX(Input!$1:$1048576,AJ$93,$C118*2+MIN($B118,2)+5)</f>
        <v>0.27</v>
      </c>
      <c r="AK118" s="150">
        <f>ROUND(INDEX(Input!$1:$1048576,AK$93,$C117*2+MIN($B118,1)+5)+(Y118-VLOOKUP($C118*1000+1,$A:$HH,Y$92,FALSE)),0)</f>
        <v>4477</v>
      </c>
      <c r="AL118" s="150">
        <f>ROUND(INDEX(Input!$1:$1048576,AL$93,$C117*2+MIN($B118,1)+5)-(Y118-VLOOKUP($C118*1000+1,$A:$HH,Y$92,FALSE))/36,0)</f>
        <v>4093</v>
      </c>
      <c r="AM118" s="32" t="str">
        <f t="shared" si="169"/>
        <v>std/std/std/std</v>
      </c>
      <c r="AN118" s="32" t="str">
        <f t="shared" si="170"/>
        <v>$0 + 0/0/0/1.9/3.9</v>
      </c>
      <c r="AO118" s="32" t="str">
        <f t="shared" si="171"/>
        <v>0/0/0/1.9/3.9</v>
      </c>
      <c r="AP118" s="32" t="str">
        <f t="shared" si="73"/>
        <v>0/0.9/1.9/3.9</v>
      </c>
      <c r="AQ118" s="536">
        <f t="shared" si="39"/>
        <v>0.15358811922385651</v>
      </c>
      <c r="AR118" s="32"/>
      <c r="AS118" s="302"/>
      <c r="AT118" s="3">
        <f t="shared" si="106"/>
        <v>18</v>
      </c>
      <c r="AU118" s="41" t="s">
        <v>121</v>
      </c>
      <c r="AV118" s="41" t="s">
        <v>116</v>
      </c>
      <c r="AW118" s="41" t="str">
        <f>INDEX(Input!$1:$1048576,AW$93,$C118*2+6)</f>
        <v>Kia</v>
      </c>
      <c r="AX118" s="41" t="str">
        <f>INDEX(Input!$1:$1048576,AX$93,$C118*2+6)</f>
        <v>Kia-LR - L1</v>
      </c>
      <c r="AY118" s="41" t="str">
        <f>IF(LEN(D118)=0,"",INDEX(Input!$1:$1048576,AY$93,$C118*2+6))</f>
        <v>Compact SUV (52)</v>
      </c>
      <c r="AZ118" s="41" t="str">
        <f>INDEX(Input!$1:$1048576,AZ$93,$C118*2+6)</f>
        <v>Kia Soul</v>
      </c>
      <c r="BA118" s="3">
        <f>INDEX(Input!$1:$1048576,BA$93,$C118*2+6)</f>
        <v>2020</v>
      </c>
      <c r="BB118" s="128">
        <f>INDEX(Input!$1:$1048576,BB$93,$C118*2+6)</f>
        <v>1</v>
      </c>
      <c r="BC118" s="128">
        <f>INDEX(Input!$1:$1048576,BC$93,$C118*2+6)</f>
        <v>0.7</v>
      </c>
      <c r="BD118" s="1">
        <f>INDEX(Input!$1:$1048576,BD$93,$C118*2+6)</f>
        <v>4.4999999999999998E-2</v>
      </c>
      <c r="BE118" s="1">
        <f>INDEX(Input!$1:$1048576,BE$93,$C118*2+6)</f>
        <v>4.4999999999999998E-2</v>
      </c>
      <c r="BF118" s="1">
        <f>INDEX(Input!$1:$1048576,BF$93,$C118*2+6)</f>
        <v>0.05</v>
      </c>
      <c r="BG118" s="1">
        <f>INDEX(Input!$1:$1048576,BG$93,$C118*2+6)</f>
        <v>5.45E-2</v>
      </c>
      <c r="BH118" s="1">
        <f>INDEX(Input!$1:$1048576,BH$93,$C118*2+6)</f>
        <v>5.45E-2</v>
      </c>
      <c r="BI118" s="1">
        <f>INDEX(Input!$1:$1048576,BI$93,$C118*2+6)</f>
        <v>0.05</v>
      </c>
      <c r="BJ118" s="1">
        <f>INDEX(Input!$1:$1048576,BJ$93,$C118*2+6)</f>
        <v>0.05</v>
      </c>
      <c r="BK118" s="1">
        <f>INDEX(Input!$1:$1048576,BK$93,$C118*2+6)</f>
        <v>0.05</v>
      </c>
      <c r="BL118" s="1">
        <f>INDEX(Input!$1:$1048576,BL$93,$C118*2+6)</f>
        <v>5.5E-2</v>
      </c>
      <c r="BM118" s="1">
        <f>INDEX(Input!$1:$1048576,BM$93,$C118*2+6)</f>
        <v>0.06</v>
      </c>
      <c r="BN118" s="1">
        <f>INDEX(Input!$1:$1048576,BN$93,$C118*2+6)</f>
        <v>4.4999999999999998E-2</v>
      </c>
      <c r="BO118" s="1">
        <f>INDEX(Input!$1:$1048576,BO$93,$C118*2+6)</f>
        <v>4.4999999999999998E-2</v>
      </c>
      <c r="BP118" s="1">
        <f>INDEX(Input!$1:$1048576,BP$93,$C118*2+6)</f>
        <v>0.05</v>
      </c>
      <c r="BQ118" s="1">
        <f>INDEX(Input!$1:$1048576,BQ$93,$C118*2+6)</f>
        <v>5.45E-2</v>
      </c>
      <c r="BR118" s="1">
        <f>INDEX(Input!$1:$1048576,BR$93,$C118*2+6)</f>
        <v>5.45E-2</v>
      </c>
      <c r="BS118" s="1">
        <f>INDEX(Input!$1:$1048576,BS$93,$C118*2+6)</f>
        <v>0.05</v>
      </c>
      <c r="BT118" s="1">
        <f>INDEX(Input!$1:$1048576,BT$93,$C118*2+6)</f>
        <v>0.05</v>
      </c>
      <c r="BU118" s="1">
        <f>INDEX(Input!$1:$1048576,BU$93,$C118*2+6)</f>
        <v>0.05</v>
      </c>
      <c r="BV118" s="1">
        <f>INDEX(Input!$1:$1048576,BV$93,$C118*2+6)</f>
        <v>5.5E-2</v>
      </c>
      <c r="BW118" s="1">
        <f>INDEX(Input!$1:$1048576,BW$93,$C118*2+6)</f>
        <v>0.06</v>
      </c>
      <c r="BX118" s="127">
        <f>INDEX(Input!$1:$1048576,BX$93,$C118*2+6)</f>
        <v>19985</v>
      </c>
      <c r="BY118" s="20">
        <f>INDEX(Input!$1:$1048576,BY$93,$C118*2+6)</f>
        <v>0.1</v>
      </c>
      <c r="BZ118" s="20">
        <f>INDEX(Input!$1:$1048576,BZ$93,$C118*2+6)</f>
        <v>0.1</v>
      </c>
      <c r="CA118" s="20">
        <f>INDEX(Input!$1:$1048576,CA$93,$C118*2+6)</f>
        <v>0.1</v>
      </c>
      <c r="CB118" s="20">
        <f>INDEX(Input!$1:$1048576,CB$93,$C118*2+6)</f>
        <v>0.1</v>
      </c>
      <c r="CC118" s="20">
        <f>INDEX(Input!$1:$1048576,CC$93,$C118*2+6)</f>
        <v>0.1</v>
      </c>
      <c r="CD118" s="384">
        <f>INDEX(Input!$1:$1048576,CD$93,$C118*2+6)</f>
        <v>0.1</v>
      </c>
      <c r="CE118" s="384">
        <f>INDEX(Input!$1:$1048576,CE$93,$C118*2+6)</f>
        <v>0.1</v>
      </c>
      <c r="CF118" s="384">
        <f>INDEX(Input!$1:$1048576,CF$93,$C118*2+6)</f>
        <v>0.1</v>
      </c>
      <c r="CG118" s="384">
        <f>INDEX(Input!$1:$1048576,CG$93,$C118*2+6)</f>
        <v>0.1</v>
      </c>
      <c r="CH118" s="384">
        <f>INDEX(Input!$1:$1048576,CH$93,$C118*2+6)</f>
        <v>0.1</v>
      </c>
      <c r="CI118" s="304">
        <f t="shared" si="74"/>
        <v>1229</v>
      </c>
      <c r="CJ118" s="16" t="str">
        <f>INDEX(Input!$1:$1048576,CJ$93,$C118*2+6)</f>
        <v>N</v>
      </c>
      <c r="CK118" s="1" t="str">
        <f t="shared" si="75"/>
        <v>Market</v>
      </c>
      <c r="CL118" s="1" t="str">
        <f t="shared" si="76"/>
        <v>Market</v>
      </c>
      <c r="CM118" s="1" t="str">
        <f t="shared" si="77"/>
        <v>Market</v>
      </c>
      <c r="CN118" s="1" t="str">
        <f t="shared" si="78"/>
        <v>Market</v>
      </c>
      <c r="CO118" s="1" t="str">
        <f t="shared" si="79"/>
        <v>Market</v>
      </c>
      <c r="CP118" s="304">
        <f t="shared" si="80"/>
        <v>0</v>
      </c>
      <c r="CQ118" s="1">
        <f t="shared" si="81"/>
        <v>0</v>
      </c>
      <c r="CR118" s="1">
        <f t="shared" si="82"/>
        <v>0</v>
      </c>
      <c r="CS118" s="1">
        <f t="shared" si="83"/>
        <v>0</v>
      </c>
      <c r="CT118" s="1">
        <f t="shared" si="84"/>
        <v>1.9E-2</v>
      </c>
      <c r="CU118" s="1">
        <f t="shared" si="85"/>
        <v>3.9E-2</v>
      </c>
      <c r="CV118" s="304">
        <f t="shared" si="86"/>
        <v>2662</v>
      </c>
      <c r="CW118" s="20" t="s">
        <v>122</v>
      </c>
      <c r="CX118" s="20" t="s">
        <v>122</v>
      </c>
      <c r="CY118" s="20" t="s">
        <v>122</v>
      </c>
      <c r="CZ118" s="20" t="s">
        <v>122</v>
      </c>
      <c r="DA118" s="20" t="s">
        <v>122</v>
      </c>
      <c r="DB118" s="503">
        <f t="shared" si="87"/>
        <v>0</v>
      </c>
      <c r="DC118" s="127">
        <v>0</v>
      </c>
      <c r="DD118" s="127">
        <v>0</v>
      </c>
      <c r="DE118" s="127">
        <v>0</v>
      </c>
      <c r="DF118" s="127">
        <v>0</v>
      </c>
      <c r="DG118" s="127">
        <v>0</v>
      </c>
      <c r="DH118" s="127">
        <v>0</v>
      </c>
      <c r="DI118" s="127">
        <v>0</v>
      </c>
      <c r="DJ118" s="127">
        <v>0</v>
      </c>
      <c r="DK118" s="127">
        <v>0</v>
      </c>
      <c r="DL118" s="127">
        <v>0</v>
      </c>
      <c r="DM118" s="304">
        <f>INDEX(Input!$1:$1048576,DM$93,$C118*2+6)</f>
        <v>21036.84210526316</v>
      </c>
      <c r="DN118" s="20">
        <v>0</v>
      </c>
      <c r="DO118" s="20">
        <v>0</v>
      </c>
      <c r="DP118" s="20">
        <v>0</v>
      </c>
      <c r="DQ118" s="20">
        <v>0</v>
      </c>
      <c r="DR118" s="20">
        <v>0</v>
      </c>
      <c r="DS118" s="20">
        <f>INDEX(Input!$1:$1048576,DS$93,$C118*2+6)</f>
        <v>0.6</v>
      </c>
      <c r="DT118" s="20">
        <f>INDEX(Input!$1:$1048576,DT$93,$C118*2+6)</f>
        <v>0.55000000000000004</v>
      </c>
      <c r="DU118" s="20">
        <f>INDEX(Input!$1:$1048576,DU$93,$C118*2+6)</f>
        <v>0.52</v>
      </c>
      <c r="DV118" s="20">
        <f>INDEX(Input!$1:$1048576,DV$93,$C118*2+6)</f>
        <v>0.5</v>
      </c>
      <c r="DW118" s="20">
        <f>INDEX(Input!$1:$1048576,DW$93,$C118*2+6)</f>
        <v>0.45</v>
      </c>
      <c r="DX118" s="20"/>
      <c r="DY118" s="7">
        <v>7.8980176325165283E-2</v>
      </c>
      <c r="DZ118" s="7">
        <v>0</v>
      </c>
      <c r="EA118" s="7">
        <v>0.37743227539521079</v>
      </c>
      <c r="EB118" s="7">
        <v>0</v>
      </c>
      <c r="EC118" s="7">
        <v>0</v>
      </c>
      <c r="ED118" s="7">
        <v>0</v>
      </c>
      <c r="EE118" s="7">
        <v>0</v>
      </c>
      <c r="EF118" s="7">
        <v>0</v>
      </c>
      <c r="EG118" s="7">
        <v>0</v>
      </c>
      <c r="EH118" s="7">
        <v>1.8402200445098656E-2</v>
      </c>
      <c r="EI118" s="7">
        <v>5.3739557110571878E-2</v>
      </c>
      <c r="EJ118" s="7">
        <v>0.33946684904131991</v>
      </c>
      <c r="EK118" s="7">
        <v>0.48247712639938095</v>
      </c>
      <c r="EL118" s="7">
        <v>0.10591426700362869</v>
      </c>
      <c r="EM118" s="7">
        <v>3.9719293330864318E-2</v>
      </c>
      <c r="EN118" s="7">
        <v>5.4185009577070259E-2</v>
      </c>
      <c r="EO118" s="7">
        <v>0.7920216882169564</v>
      </c>
      <c r="EP118" s="7">
        <v>6.6974668803349513E-2</v>
      </c>
      <c r="EQ118" s="7">
        <v>5.074453984014158E-2</v>
      </c>
      <c r="ER118" s="7">
        <v>3.6074093562481792E-2</v>
      </c>
      <c r="ES118" s="7">
        <v>0.50386825494875975</v>
      </c>
      <c r="ET118" s="7">
        <v>0.54358754827962397</v>
      </c>
      <c r="EU118" s="6">
        <v>1270</v>
      </c>
      <c r="EV118" s="6">
        <v>0</v>
      </c>
      <c r="EW118" s="6">
        <v>1270</v>
      </c>
      <c r="EX118" s="6">
        <v>0</v>
      </c>
      <c r="EY118" s="6">
        <v>2039.7221397149685</v>
      </c>
      <c r="EZ118" s="6">
        <v>2805</v>
      </c>
      <c r="FA118" s="6">
        <v>0</v>
      </c>
      <c r="FB118" s="6">
        <v>0</v>
      </c>
      <c r="FC118" s="6">
        <v>0</v>
      </c>
      <c r="FD118" s="6">
        <v>0</v>
      </c>
      <c r="FE118" s="6">
        <v>0</v>
      </c>
      <c r="FF118" s="6">
        <v>0</v>
      </c>
      <c r="FG118" s="6">
        <v>0</v>
      </c>
      <c r="FH118" s="6">
        <v>1171.2811379695615</v>
      </c>
      <c r="FI118" s="6">
        <v>1553.9796069512404</v>
      </c>
      <c r="FJ118" s="6">
        <v>2101.2110117447414</v>
      </c>
      <c r="FK118" s="6">
        <v>1772.7139978623229</v>
      </c>
      <c r="FL118" s="6">
        <v>907.07682140966324</v>
      </c>
      <c r="FM118" s="6">
        <v>1769.7221397149685</v>
      </c>
      <c r="FN118" s="6">
        <v>0</v>
      </c>
      <c r="FO118" s="6">
        <v>0</v>
      </c>
      <c r="FP118" s="6">
        <v>0</v>
      </c>
      <c r="FQ118" s="6">
        <v>0</v>
      </c>
      <c r="FR118" s="6">
        <v>0</v>
      </c>
      <c r="FS118" s="6">
        <v>0</v>
      </c>
      <c r="FT118" s="7">
        <v>0.45641245172037609</v>
      </c>
      <c r="FU118" s="7">
        <v>3.9719293330864318E-2</v>
      </c>
      <c r="FV118" s="7">
        <v>0.50386825494875975</v>
      </c>
      <c r="FW118" s="6">
        <v>1270</v>
      </c>
      <c r="FX118" s="6">
        <v>2039.7221397149685</v>
      </c>
      <c r="FY118" s="6">
        <v>2805</v>
      </c>
      <c r="FZ118" s="6">
        <v>1952.7147957719815</v>
      </c>
      <c r="GA118" s="6">
        <v>2074.0105907969455</v>
      </c>
      <c r="GB118" s="6">
        <v>17910.989409203055</v>
      </c>
      <c r="GC118" s="7">
        <v>1.0519917368675835E-2</v>
      </c>
      <c r="GD118" s="7">
        <v>1.0800669297616349E-2</v>
      </c>
      <c r="GE118" s="7"/>
      <c r="GF118" s="7"/>
      <c r="GG118" s="7">
        <v>2.6687655340001296E-2</v>
      </c>
      <c r="GH118" s="42">
        <v>4.3971251588742701</v>
      </c>
      <c r="GI118" s="6">
        <v>6619.0256353804007</v>
      </c>
      <c r="GJ118" s="14">
        <v>0.50394797582841733</v>
      </c>
      <c r="GK118" s="14">
        <v>0.50887573065309755</v>
      </c>
      <c r="GL118" s="14">
        <v>0.49605202417158278</v>
      </c>
      <c r="GM118" s="14">
        <v>0.49112426934690268</v>
      </c>
      <c r="GO118" s="5">
        <v>343.14810671672558</v>
      </c>
      <c r="GP118" s="5">
        <v>318.91892952659737</v>
      </c>
      <c r="GQ118" s="5">
        <v>535.04305713031317</v>
      </c>
      <c r="GR118" s="5">
        <v>410.15490233172511</v>
      </c>
      <c r="GS118" s="5">
        <v>339.42744393800166</v>
      </c>
      <c r="GT118" s="5">
        <v>293.4407446948278</v>
      </c>
      <c r="GU118" s="5">
        <v>258.04012322764959</v>
      </c>
      <c r="GV118" s="39" t="s">
        <v>392</v>
      </c>
      <c r="GW118" s="5">
        <v>492.125</v>
      </c>
      <c r="GX118" s="5">
        <v>369.09375</v>
      </c>
      <c r="GY118" s="5">
        <v>295.27499999999998</v>
      </c>
      <c r="GZ118" s="5">
        <v>260.54902799031458</v>
      </c>
      <c r="HA118" s="5">
        <v>241.34874471337258</v>
      </c>
      <c r="HB118" s="39">
        <v>280.39841310148165</v>
      </c>
      <c r="HC118" s="5">
        <v>164.56562499999998</v>
      </c>
      <c r="HD118" s="5">
        <v>156.04497441520465</v>
      </c>
      <c r="HE118" s="5">
        <v>163.19603997975705</v>
      </c>
      <c r="HF118" s="5">
        <v>156.04313048245612</v>
      </c>
      <c r="HG118" s="5">
        <v>156.86888157894737</v>
      </c>
      <c r="HH118" s="39">
        <v>157.01523433111433</v>
      </c>
      <c r="HI118" s="16"/>
      <c r="HJ118" s="19" t="str">
        <f t="shared" si="107"/>
        <v>On</v>
      </c>
      <c r="HK118" s="1" t="str">
        <f t="shared" si="108"/>
        <v>On</v>
      </c>
      <c r="HL118" s="16"/>
      <c r="HM118" s="639">
        <f t="shared" si="42"/>
        <v>5.7455619280273196E-3</v>
      </c>
      <c r="HN118" s="639">
        <f t="shared" si="43"/>
        <v>5.0031960498701745E-4</v>
      </c>
      <c r="HO118" s="639">
        <f t="shared" si="44"/>
        <v>3.9819433988714835E-3</v>
      </c>
      <c r="HP118" s="644">
        <f>(FT118*$GD118-HM118)/$JF118*INDEX(Input!$1:$1048576,$JG$93,$C118*2+6)</f>
        <v>-35.58301815738394</v>
      </c>
      <c r="HQ118" s="644">
        <f>(FU118*$GD118-HN118)/$JF118*INDEX(Input!$1:$1048576,$JG$93,$C118*2+6)</f>
        <v>-3.1102209358596613</v>
      </c>
      <c r="HR118" s="644">
        <f>(FV118*$GD118-HO118)/$JF118*INDEX(Input!$1:$1048576,$JG$93,$C118*2+6)</f>
        <v>63.672996648470829</v>
      </c>
      <c r="HS118" s="644">
        <f t="shared" si="45"/>
        <v>-0.56118802809824264</v>
      </c>
      <c r="HT118" s="644">
        <f t="shared" si="46"/>
        <v>0.46619376172521698</v>
      </c>
      <c r="HU118" s="644">
        <f t="shared" si="47"/>
        <v>9.984422346996686</v>
      </c>
      <c r="HV118" s="648">
        <f t="shared" si="48"/>
        <v>0</v>
      </c>
      <c r="HW118" s="648">
        <f t="shared" si="49"/>
        <v>0</v>
      </c>
      <c r="HX118" s="648">
        <f t="shared" si="50"/>
        <v>0</v>
      </c>
      <c r="HY118" s="644">
        <f>INDEX(Input!$1:$1048576,HY$93,$C118*2+6)*INDEX(Input!$1:$1048576,$JG$93,$C118*2+6)</f>
        <v>110.00000000000001</v>
      </c>
      <c r="HZ118" s="644">
        <f>INDEX(Input!$1:$1048576,HZ$93,$C118*2+6)*INDEX(Input!$1:$1048576,$JG$93,$C118*2+6)</f>
        <v>157</v>
      </c>
      <c r="IA118" s="644">
        <f>INDEX(Input!$1:$1048576,IA$93,$C118*2+6)*INDEX(Input!$1:$1048576,$JG$93,$C118*2+6)</f>
        <v>179</v>
      </c>
      <c r="IB118" s="644">
        <f t="shared" si="249"/>
        <v>73.855793814517853</v>
      </c>
      <c r="IC118" s="644">
        <f t="shared" si="172"/>
        <v>154.35597282586554</v>
      </c>
      <c r="ID118" s="644">
        <f>IF(AND(INDEX(Input!$1:$1048576,IA$93,$C118*2+7)="TOS",Y118&lt;=INDEX(Y:Y,MATCH(C118*1000+2,A:A))),0,1)*MAX(IA118+HR118+HU118+HX118,0%)</f>
        <v>252.65741899546751</v>
      </c>
      <c r="IE118" s="128">
        <f t="shared" si="250"/>
        <v>0.15358811922385651</v>
      </c>
      <c r="IF118" s="128">
        <f t="shared" si="174"/>
        <v>0.32099368692498231</v>
      </c>
      <c r="IG118" s="128">
        <f t="shared" si="175"/>
        <v>0.52541819385116117</v>
      </c>
      <c r="IH118" s="21"/>
      <c r="II118" s="19">
        <f t="shared" si="53"/>
        <v>1240</v>
      </c>
      <c r="IJ118" s="19">
        <f t="shared" si="54"/>
        <v>2009.7221397149679</v>
      </c>
      <c r="IK118" s="19">
        <f t="shared" si="55"/>
        <v>2070</v>
      </c>
      <c r="IL118" s="19">
        <f t="shared" si="176"/>
        <v>30</v>
      </c>
      <c r="IM118" s="19">
        <f t="shared" si="177"/>
        <v>30.000000000000682</v>
      </c>
      <c r="IN118" s="19">
        <f t="shared" si="178"/>
        <v>735</v>
      </c>
      <c r="IO118" s="39">
        <f t="shared" si="57"/>
        <v>0</v>
      </c>
      <c r="IP118" s="39">
        <f t="shared" si="58"/>
        <v>0</v>
      </c>
      <c r="IQ118" s="39">
        <f t="shared" si="59"/>
        <v>0</v>
      </c>
      <c r="IR118" s="39">
        <v>0</v>
      </c>
      <c r="IS118" s="39">
        <v>0</v>
      </c>
      <c r="IT118" s="39">
        <v>0</v>
      </c>
      <c r="IU118" s="39">
        <v>0</v>
      </c>
      <c r="IV118" s="39">
        <v>0</v>
      </c>
      <c r="IW118" s="39">
        <v>0</v>
      </c>
      <c r="IX118" s="39">
        <f>INDEX(Input!$1:$1048576,IX$93,$C118*2+6)+INDEX(Input!$1:$1048576,IX$94,$C118*2+6)</f>
        <v>1270</v>
      </c>
      <c r="IY118" s="39">
        <f>INDEX(Input!$1:$1048576,IY$93,$C118*2+6)+INDEX(Input!$1:$1048576,IY$94,$C118*2+6)</f>
        <v>2130.0624533823611</v>
      </c>
      <c r="IZ118" s="39">
        <f>INDEX(Input!$1:$1048576,IZ$93,$C118*2+6)+INDEX(Input!$1:$1048576,IZ$94,$C118*2+6)</f>
        <v>4373.7164157747848</v>
      </c>
      <c r="JA118" s="19">
        <f t="shared" si="179"/>
        <v>1300</v>
      </c>
      <c r="JB118" s="19">
        <f t="shared" si="180"/>
        <v>2160.062453382362</v>
      </c>
      <c r="JC118" s="19">
        <f t="shared" si="181"/>
        <v>5108.7164157747848</v>
      </c>
      <c r="JD118" s="19">
        <f t="shared" si="182"/>
        <v>3577.2435179646059</v>
      </c>
      <c r="JE118" s="21"/>
      <c r="JF118" s="1">
        <f t="shared" si="60"/>
        <v>1.022782493188582E-2</v>
      </c>
      <c r="JG118" s="15">
        <f>INDEX(Input!$1:$1048576,JG$93,$C118*2+6)/(1+VLOOKUP(C118*1000+INDEX(Input!$1:$1048576,JG$93+1,$C118*2+6),$A:$KK,$JK$92,FALSE))</f>
        <v>446</v>
      </c>
      <c r="JH118" s="1">
        <f t="shared" si="251"/>
        <v>5.600842501172025E-2</v>
      </c>
      <c r="JI118" s="1">
        <f t="shared" si="252"/>
        <v>2.2173605561936455E-2</v>
      </c>
      <c r="JJ118" s="1">
        <f t="shared" si="253"/>
        <v>0</v>
      </c>
      <c r="JK118" s="1">
        <f t="shared" si="254"/>
        <v>7.8182030573656705E-2</v>
      </c>
      <c r="JL118" s="15">
        <f t="shared" si="184"/>
        <v>34.86918563585089</v>
      </c>
      <c r="JM118" s="15">
        <f t="shared" si="185"/>
        <v>480.8691856358509</v>
      </c>
      <c r="JN118" s="21"/>
      <c r="JO118" s="19">
        <f>INDEX(Input!$1:$1048576,JO$93,$C118*2+6)</f>
        <v>5995.5</v>
      </c>
      <c r="JP118" s="19">
        <f>INDEX(Input!$1:$1048576,JP$93,$C118*2+6)</f>
        <v>2818.4193802796353</v>
      </c>
      <c r="JQ118" s="39">
        <f t="shared" si="186"/>
        <v>2418.2564820353941</v>
      </c>
      <c r="JR118" s="39">
        <f t="shared" si="187"/>
        <v>758.82413768497054</v>
      </c>
      <c r="JS118" s="39">
        <f t="shared" si="188"/>
        <v>1.7201861773047664</v>
      </c>
      <c r="JT118" s="39">
        <f t="shared" si="189"/>
        <v>0.46317113370004903</v>
      </c>
      <c r="JU118" s="385">
        <f>(JQ118*JM118-INDEX(Input!$1:$1048576,Input!A$18,$C118*2+6)*JL118*INDEX(Input!$1:$1048576,Input!A$19,$C118*2+6))/1000000</f>
        <v>1.1628650251749777</v>
      </c>
      <c r="JV118" s="39">
        <f t="shared" si="192"/>
        <v>-0.25411293122030498</v>
      </c>
      <c r="JW118" s="1">
        <f t="shared" si="190"/>
        <v>-0.17933442794463431</v>
      </c>
      <c r="JX118" s="19">
        <f t="shared" si="191"/>
        <v>13283.107283808711</v>
      </c>
      <c r="JZ118" s="341"/>
      <c r="KA118" s="342"/>
      <c r="KB118" s="469">
        <f t="shared" si="110"/>
        <v>2.9286733661474216</v>
      </c>
      <c r="KI118" s="473">
        <f t="shared" si="255"/>
        <v>-36.144206185482162</v>
      </c>
      <c r="KJ118" s="473">
        <f t="shared" si="256"/>
        <v>-2.6440271741344645</v>
      </c>
      <c r="KK118" s="473">
        <f t="shared" si="257"/>
        <v>73.657418995467509</v>
      </c>
      <c r="KN118" s="544">
        <f t="shared" si="258"/>
        <v>1002</v>
      </c>
      <c r="KO118" s="541">
        <f t="shared" si="64"/>
        <v>7.3762536704428339E-2</v>
      </c>
      <c r="KP118" s="546">
        <f t="shared" si="65"/>
        <v>378.30109957283634</v>
      </c>
      <c r="KQ118" s="546">
        <f t="shared" si="66"/>
        <v>737.9273179459542</v>
      </c>
      <c r="KR118" s="548">
        <f t="shared" si="67"/>
        <v>3.3431283494727069</v>
      </c>
      <c r="KS118" s="548">
        <f t="shared" si="68"/>
        <v>1.7138667994281707</v>
      </c>
      <c r="KT118" s="473">
        <f t="shared" si="112"/>
        <v>238.28695973331548</v>
      </c>
      <c r="KU118" s="663">
        <f t="shared" si="103"/>
        <v>5.6874255182608717</v>
      </c>
      <c r="KV118" s="117">
        <f t="shared" si="259"/>
        <v>73</v>
      </c>
    </row>
    <row r="119" spans="1:308" s="26" customFormat="1" ht="15">
      <c r="A119" s="561">
        <f t="shared" si="168"/>
        <v>1019</v>
      </c>
      <c r="B119" s="561">
        <f t="shared" si="104"/>
        <v>19</v>
      </c>
      <c r="C119" s="561">
        <f t="shared" si="105"/>
        <v>1</v>
      </c>
      <c r="D119" s="765" t="str">
        <f>"Plan A: "&amp;IF(E119=INDEX(E:E,MATCH(C119*1000+2,A:A,0)),"",E119-INDEX(E:E,MATCH(C119*1000+2,A:A,0))&amp;E$100&amp;", ")
&amp;IF(F119=INDEX(F:F,MATCH(C119*1000+2,A:A,0)),"",F119-INDEX(F:F,MATCH(C119*1000+2,A:A,0))&amp;F$100&amp;", ")
&amp;IF(AM119=INDEX(AM:AM,MATCH(C119*1000+2,A:A,0)),"",AM119&amp;AM$100&amp;", ")
&amp;IF(AP119=INDEX(AP:AP,MATCH(C119*1000+2,A:A,0)),"",AP119&amp;AP$100&amp;", ")
&amp;IF(Q119=INDEX(Q:Q,MATCH(C119*1000+2,A:A,0)),"",Q119-INDEX(Q:Q,MATCH(C119*1000+2,A:A,0))&amp;Q$100&amp;", ")
&amp;IF(Y119=INDEX(Y:Y,MATCH(C119*1000+2,A:A,0)),"",Y119-INDEX(Y:Y,MATCH(C119*1000+2,A:A,0))&amp;Y$100&amp;", ")
&amp;IF(Z119=INDEX(Z:Z,MATCH(C119*1000+2,A:A,0)),"",Z119-INDEX(Z:Z,MATCH(C119*1000+2,A:A,0))&amp;Z$100&amp;", ")
&amp;IF(AA119=INDEX(AA:AA,MATCH(C119*1000+2,A:A,0)),"",AA119-INDEX(AA:AA,MATCH(C119*1000+2,A:A,0))&amp;AA$100&amp;", ")
&amp;IF(AC119=INDEX(AC:AC,MATCH(C119*1000+2,A:A,0)),"",AC119-INDEX(AC:AC,MATCH(C119*1000+2,A:A,0))&amp;AC$100&amp;", ")
&amp;IF(AE119=INDEX(AE:AE,MATCH(C119*1000+2,A:A,0)),"",AE119-INDEX(AE:AE,MATCH(C119*1000+2,A:A,0))&amp;AE$100&amp;", ")
&amp;IF(AG119=INDEX(AG:AG,MATCH(C119*1000+2,A:A,0)),"",AG119-INDEX(AG:AG,MATCH(C119*1000+2,A:A,0))&amp;AG$100&amp;", ")
&amp;IF(AI119=INDEX(AI:AI,MATCH(C119*1000+2,A:A,0)),"",AI119-INDEX(AI:AI,MATCH(C119*1000+2,A:A,0))&amp;AI$100&amp;", ")</f>
        <v xml:space="preserve">Plan A: </v>
      </c>
      <c r="E119" s="475">
        <f>INDEX(Input!$1:$1048576,E$93,$C119*2+MIN($B119,2)+5)</f>
        <v>1229</v>
      </c>
      <c r="F119" s="475">
        <f>INDEX(Input!$1:$1048576,F$93,$C119*2+MIN($B119,2)+5)</f>
        <v>0</v>
      </c>
      <c r="G119" s="475">
        <f>INDEX(Input!$1:$1048576,G$93,$C119*2+MIN($B119,2)+5)</f>
        <v>0</v>
      </c>
      <c r="H119" s="475">
        <f>INDEX(Input!$1:$1048576,H$93,$C119*2+MIN($B119,2)+5)</f>
        <v>0</v>
      </c>
      <c r="I119" s="476">
        <f>INDEX(Input!$1:$1048576,I$93,$C119*2+MIN($B119,2)+5)</f>
        <v>0.7</v>
      </c>
      <c r="J119" s="476" t="str">
        <f>INDEX(Input!$1:$1048576,J$93,$C119*2+MIN($B119,2)+5)</f>
        <v>Market</v>
      </c>
      <c r="K119" s="476" t="str">
        <f>INDEX(Input!$1:$1048576,K$93,$C119*2+MIN($B119,2)+5)</f>
        <v>Market</v>
      </c>
      <c r="L119" s="476" t="str">
        <f>INDEX(Input!$1:$1048576,L$93,$C119*2+MIN($B119,2)+5)</f>
        <v>Market</v>
      </c>
      <c r="M119" s="476" t="str">
        <f>INDEX(Input!$1:$1048576,M$93,$C119*2+MIN($B119,2)+5)</f>
        <v>Market</v>
      </c>
      <c r="N119" s="476" t="str">
        <f>INDEX(Input!$1:$1048576,N$93,$C119*2+MIN($B119,2)+5)</f>
        <v>Market</v>
      </c>
      <c r="O119" s="476" t="str">
        <f>INDEX(Input!$1:$1048576,O$93,$C119*2+MIN($B119,2)+5)</f>
        <v>Market</v>
      </c>
      <c r="P119" s="476" t="str">
        <f>INDEX(Input!$1:$1048576,P$93,$C119*2+MIN($B119,2)+5)</f>
        <v>N</v>
      </c>
      <c r="Q119" s="477">
        <f>INDEX(Input!$1:$1048576,Q$93,$C119*2+MIN($B119,2)+5)</f>
        <v>0</v>
      </c>
      <c r="R119" s="478">
        <f>IFERROR(MAX(0,INDEX(Input!$1:$1048576,R$93,$C119*2+MIN($B119,2)+5)-0%,),"Market")</f>
        <v>0</v>
      </c>
      <c r="S119" s="478">
        <f>IFERROR(MAX(0,INDEX(Input!$1:$1048576,S$93,$C119*2+MIN($B119,2)+5)-0%,),"Market")</f>
        <v>0</v>
      </c>
      <c r="T119" s="478">
        <f>IFERROR(MAX(0,INDEX(Input!$1:$1048576,T$93,$C119*2+MIN($B119,2)+5)-0%,),"Market")</f>
        <v>0</v>
      </c>
      <c r="U119" s="478">
        <f>IFERROR(MAX(0,INDEX(Input!$1:$1048576,U$93,$C119*2+MIN($B119,2)+5)-0%,),"Market")</f>
        <v>0</v>
      </c>
      <c r="V119" s="478">
        <f>IFERROR(MAX(0,INDEX(Input!$1:$1048576,V$93,$C119*2+MIN($B119,2)+5)-0%,),"Market")</f>
        <v>1.9E-2</v>
      </c>
      <c r="W119" s="885">
        <f>IFERROR(MAX(0,INDEX(Input!$1:$1048576,W$93,$C119*2+MIN($B119,2)+5)-0%,),"Market")</f>
        <v>3.9E-2</v>
      </c>
      <c r="X119" s="476" t="str">
        <f>INDEX(Input!$1:$1048576,X$93,$C119*2+MIN($B119,2)+5)</f>
        <v>Y</v>
      </c>
      <c r="Y119" s="475">
        <f>INDEX(Input!$1:$1048576,Y$93,$C119*2+MIN($B119,2)+5)</f>
        <v>1942</v>
      </c>
      <c r="Z119" s="477">
        <f>INDEX(Input!$1:$1048576,Z$93,$C119*2+MIN($B119,2)+5)</f>
        <v>0</v>
      </c>
      <c r="AA119" s="475">
        <f>INDEX(Input!$1:$1048576,AA$93,$C119*2+MIN($B119,2)+5)-AA$102</f>
        <v>0</v>
      </c>
      <c r="AB119" s="476">
        <f>INDEX(Input!$1:$1048576,AB$93,$C119*2+MIN($B119,2)+5)</f>
        <v>0.27</v>
      </c>
      <c r="AC119" s="475">
        <f>INDEX(Input!$1:$1048576,AC$93,$C119*2+MIN($B119,2)+5)-AC$102</f>
        <v>0</v>
      </c>
      <c r="AD119" s="476">
        <f>INDEX(Input!$1:$1048576,AD$93,$C119*2+MIN($B119,2)+5)</f>
        <v>0.27</v>
      </c>
      <c r="AE119" s="475">
        <f>INDEX(Input!$1:$1048576,AE$93,$C119*2+MIN($B119,2)+5)</f>
        <v>0</v>
      </c>
      <c r="AF119" s="476">
        <f>INDEX(Input!$1:$1048576,AF$93,$C119*2+MIN($B119,2)+5)</f>
        <v>0.38</v>
      </c>
      <c r="AG119" s="475">
        <f>INDEX(Input!$1:$1048576,AG$93,$C119*2+MIN($B119,2)+5)</f>
        <v>0</v>
      </c>
      <c r="AH119" s="476">
        <f>INDEX(Input!$1:$1048576,AH$93,$C119*2+MIN($B119,2)+5)</f>
        <v>0</v>
      </c>
      <c r="AI119" s="475">
        <f>INDEX(Input!$1:$1048576,AI$93,$C119*2+MIN($B119,2)+5)</f>
        <v>0</v>
      </c>
      <c r="AJ119" s="476">
        <f>INDEX(Input!$1:$1048576,AJ$93,$C119*2+MIN($B119,2)+5)</f>
        <v>0.27</v>
      </c>
      <c r="AK119" s="150">
        <f>ROUND(INDEX(Input!$1:$1048576,AK$93,$C118*2+MIN($B119,1)+5)+(Y119-VLOOKUP($C119*1000+1,$A:$HH,Y$92,FALSE)),0)</f>
        <v>3757</v>
      </c>
      <c r="AL119" s="150">
        <f>ROUND(INDEX(Input!$1:$1048576,AL$93,$C118*2+MIN($B119,1)+5)-(Y119-VLOOKUP($C119*1000+1,$A:$HH,Y$92,FALSE))/36,0)</f>
        <v>4113</v>
      </c>
      <c r="AM119" s="32" t="str">
        <f t="shared" ref="AM119" si="260">IF(K119="market","std",ROUND(K119*1000,0)/10)&amp;"/"&amp;IF(L119="market","std",ROUND(L119*1000,0)/10)&amp;"/"&amp;IF(M119="market","std",ROUND(M119*1000,0)/10)&amp;"/"&amp;IF(N119="market","std",ROUND(N119*1000,0)/10)&amp;IF(P119="N","","/"&amp;IF(O119="market","std",ROUND(O119*1000,0)/10))</f>
        <v>std/std/std/std</v>
      </c>
      <c r="AN119" s="32" t="str">
        <f t="shared" ref="AN119" si="261">"$"&amp;ROUND(Q119,0)&amp;" + "&amp;IF(S119="market","std",ROUND(S119*1000,0)/10)&amp;"/"&amp;IF(T119="market","std",ROUND(T119*1000,0)/10)&amp;"/"&amp;IF(U119="market","std",ROUND(U119*1000,0)/10)&amp;"/"&amp;IF(V119="market","std",ROUND(V119*1000,0)/10)&amp;IF(X119="N","","/"&amp;IF(W119="market","std",ROUND(W119*1000,0)/10))</f>
        <v>$0 + 0/0/0/1.9/3.9</v>
      </c>
      <c r="AO119" s="32" t="str">
        <f t="shared" ref="AO119" si="262">IF(S119="market","std",ROUND(S119*1000,0)/10)&amp;"/"&amp;IF(T119="market","std",ROUND(T119*1000,0)/10)&amp;"/"&amp;IF(U119="market","std",ROUND(U119*1000,0)/10)&amp;"/"&amp;IF(V119="market","std",ROUND(V119*1000,0)/10)&amp;IF(X119="N","","/"&amp;IF(W119="market","std",ROUND(W119*1000,0)/10))</f>
        <v>0/0/0/1.9/3.9</v>
      </c>
      <c r="AP119" s="32" t="str">
        <f t="shared" ref="AP119" si="263">IF(X119="Y",
IF(U119="market","std",ROUND(U119*1000,0)/10)&amp;"/"
&amp;MAX(IF(V119="market","std",ROUND(V119*1000,0)/10-1),0)&amp;"/"
&amp;IF(V119="market","std",ROUND(V119*1000,0)/10)&amp;"/"
&amp;IF(W119="market","std",ROUND(W119*1000,0)/10),
IF(U119="market","std",ROUND(U119*1000,0)/10)&amp;"/"
&amp;MAX(IF(V119="market","std",ROUND(V119*1000,0)/10-1),0)&amp;"/"
&amp;IF(V119="market","std",ROUND(V119*1000,0)/10)&amp;"/"
&amp;IF(W119="market","std",ROUND(W119*1000,0)/10))</f>
        <v>0/0.9/1.9/3.9</v>
      </c>
      <c r="AQ119" s="536">
        <f t="shared" ref="AQ119" si="264">SUM(IE119,G119*IF119,H119*IG119,AC119*AD119,AE119*AF119,AI119)</f>
        <v>0.23785209687453929</v>
      </c>
      <c r="AR119" s="32"/>
      <c r="AS119" s="302"/>
      <c r="AT119" s="3">
        <f t="shared" si="106"/>
        <v>19</v>
      </c>
      <c r="AU119" s="41" t="s">
        <v>121</v>
      </c>
      <c r="AV119" s="41" t="s">
        <v>116</v>
      </c>
      <c r="AW119" s="41" t="str">
        <f>INDEX(Input!$1:$1048576,AW$93,$C119*2+6)</f>
        <v>Kia</v>
      </c>
      <c r="AX119" s="41" t="str">
        <f>INDEX(Input!$1:$1048576,AX$93,$C119*2+6)</f>
        <v>Kia-LR - L1</v>
      </c>
      <c r="AY119" s="41" t="str">
        <f>IF(LEN(D119)=0,"",INDEX(Input!$1:$1048576,AY$93,$C119*2+6))</f>
        <v>Compact SUV (52)</v>
      </c>
      <c r="AZ119" s="41" t="str">
        <f>INDEX(Input!$1:$1048576,AZ$93,$C119*2+6)</f>
        <v>Kia Soul</v>
      </c>
      <c r="BA119" s="3">
        <f>INDEX(Input!$1:$1048576,BA$93,$C119*2+6)</f>
        <v>2020</v>
      </c>
      <c r="BB119" s="128">
        <f>INDEX(Input!$1:$1048576,BB$93,$C119*2+6)</f>
        <v>1</v>
      </c>
      <c r="BC119" s="128">
        <f>INDEX(Input!$1:$1048576,BC$93,$C119*2+6)</f>
        <v>0.7</v>
      </c>
      <c r="BD119" s="1">
        <f>INDEX(Input!$1:$1048576,BD$93,$C119*2+6)</f>
        <v>4.4999999999999998E-2</v>
      </c>
      <c r="BE119" s="1">
        <f>INDEX(Input!$1:$1048576,BE$93,$C119*2+6)</f>
        <v>4.4999999999999998E-2</v>
      </c>
      <c r="BF119" s="1">
        <f>INDEX(Input!$1:$1048576,BF$93,$C119*2+6)</f>
        <v>0.05</v>
      </c>
      <c r="BG119" s="1">
        <f>INDEX(Input!$1:$1048576,BG$93,$C119*2+6)</f>
        <v>5.45E-2</v>
      </c>
      <c r="BH119" s="1">
        <f>INDEX(Input!$1:$1048576,BH$93,$C119*2+6)</f>
        <v>5.45E-2</v>
      </c>
      <c r="BI119" s="1">
        <f>INDEX(Input!$1:$1048576,BI$93,$C119*2+6)</f>
        <v>0.05</v>
      </c>
      <c r="BJ119" s="1">
        <f>INDEX(Input!$1:$1048576,BJ$93,$C119*2+6)</f>
        <v>0.05</v>
      </c>
      <c r="BK119" s="1">
        <f>INDEX(Input!$1:$1048576,BK$93,$C119*2+6)</f>
        <v>0.05</v>
      </c>
      <c r="BL119" s="1">
        <f>INDEX(Input!$1:$1048576,BL$93,$C119*2+6)</f>
        <v>5.5E-2</v>
      </c>
      <c r="BM119" s="1">
        <f>INDEX(Input!$1:$1048576,BM$93,$C119*2+6)</f>
        <v>0.06</v>
      </c>
      <c r="BN119" s="1">
        <f>INDEX(Input!$1:$1048576,BN$93,$C119*2+6)</f>
        <v>4.4999999999999998E-2</v>
      </c>
      <c r="BO119" s="1">
        <f>INDEX(Input!$1:$1048576,BO$93,$C119*2+6)</f>
        <v>4.4999999999999998E-2</v>
      </c>
      <c r="BP119" s="1">
        <f>INDEX(Input!$1:$1048576,BP$93,$C119*2+6)</f>
        <v>0.05</v>
      </c>
      <c r="BQ119" s="1">
        <f>INDEX(Input!$1:$1048576,BQ$93,$C119*2+6)</f>
        <v>5.45E-2</v>
      </c>
      <c r="BR119" s="1">
        <f>INDEX(Input!$1:$1048576,BR$93,$C119*2+6)</f>
        <v>5.45E-2</v>
      </c>
      <c r="BS119" s="1">
        <f>INDEX(Input!$1:$1048576,BS$93,$C119*2+6)</f>
        <v>0.05</v>
      </c>
      <c r="BT119" s="1">
        <f>INDEX(Input!$1:$1048576,BT$93,$C119*2+6)</f>
        <v>0.05</v>
      </c>
      <c r="BU119" s="1">
        <f>INDEX(Input!$1:$1048576,BU$93,$C119*2+6)</f>
        <v>0.05</v>
      </c>
      <c r="BV119" s="1">
        <f>INDEX(Input!$1:$1048576,BV$93,$C119*2+6)</f>
        <v>5.5E-2</v>
      </c>
      <c r="BW119" s="1">
        <f>INDEX(Input!$1:$1048576,BW$93,$C119*2+6)</f>
        <v>0.06</v>
      </c>
      <c r="BX119" s="127">
        <f>INDEX(Input!$1:$1048576,BX$93,$C119*2+6)</f>
        <v>19985</v>
      </c>
      <c r="BY119" s="20">
        <f>INDEX(Input!$1:$1048576,BY$93,$C119*2+6)</f>
        <v>0.1</v>
      </c>
      <c r="BZ119" s="20">
        <f>INDEX(Input!$1:$1048576,BZ$93,$C119*2+6)</f>
        <v>0.1</v>
      </c>
      <c r="CA119" s="20">
        <f>INDEX(Input!$1:$1048576,CA$93,$C119*2+6)</f>
        <v>0.1</v>
      </c>
      <c r="CB119" s="20">
        <f>INDEX(Input!$1:$1048576,CB$93,$C119*2+6)</f>
        <v>0.1</v>
      </c>
      <c r="CC119" s="20">
        <f>INDEX(Input!$1:$1048576,CC$93,$C119*2+6)</f>
        <v>0.1</v>
      </c>
      <c r="CD119" s="384">
        <f>INDEX(Input!$1:$1048576,CD$93,$C119*2+6)</f>
        <v>0.1</v>
      </c>
      <c r="CE119" s="384">
        <f>INDEX(Input!$1:$1048576,CE$93,$C119*2+6)</f>
        <v>0.1</v>
      </c>
      <c r="CF119" s="384">
        <f>INDEX(Input!$1:$1048576,CF$93,$C119*2+6)</f>
        <v>0.1</v>
      </c>
      <c r="CG119" s="384">
        <f>INDEX(Input!$1:$1048576,CG$93,$C119*2+6)</f>
        <v>0.1</v>
      </c>
      <c r="CH119" s="384">
        <f>INDEX(Input!$1:$1048576,CH$93,$C119*2+6)</f>
        <v>0.1</v>
      </c>
      <c r="CI119" s="304">
        <f t="shared" si="74"/>
        <v>1229</v>
      </c>
      <c r="CJ119" s="16" t="str">
        <f>INDEX(Input!$1:$1048576,CJ$93,$C119*2+6)</f>
        <v>N</v>
      </c>
      <c r="CK119" s="1" t="str">
        <f t="shared" si="75"/>
        <v>Market</v>
      </c>
      <c r="CL119" s="1" t="str">
        <f t="shared" si="76"/>
        <v>Market</v>
      </c>
      <c r="CM119" s="1" t="str">
        <f t="shared" si="77"/>
        <v>Market</v>
      </c>
      <c r="CN119" s="1" t="str">
        <f t="shared" si="78"/>
        <v>Market</v>
      </c>
      <c r="CO119" s="1" t="str">
        <f t="shared" si="79"/>
        <v>Market</v>
      </c>
      <c r="CP119" s="304">
        <f t="shared" si="80"/>
        <v>0</v>
      </c>
      <c r="CQ119" s="1">
        <f t="shared" si="81"/>
        <v>0</v>
      </c>
      <c r="CR119" s="1">
        <f t="shared" si="82"/>
        <v>0</v>
      </c>
      <c r="CS119" s="1">
        <f t="shared" si="83"/>
        <v>0</v>
      </c>
      <c r="CT119" s="1">
        <f t="shared" si="84"/>
        <v>1.9E-2</v>
      </c>
      <c r="CU119" s="1">
        <f t="shared" si="85"/>
        <v>3.9E-2</v>
      </c>
      <c r="CV119" s="304">
        <f t="shared" si="86"/>
        <v>1942</v>
      </c>
      <c r="CW119" s="20" t="s">
        <v>122</v>
      </c>
      <c r="CX119" s="20" t="s">
        <v>122</v>
      </c>
      <c r="CY119" s="20" t="s">
        <v>122</v>
      </c>
      <c r="CZ119" s="20" t="s">
        <v>122</v>
      </c>
      <c r="DA119" s="20" t="s">
        <v>122</v>
      </c>
      <c r="DB119" s="503">
        <f t="shared" si="87"/>
        <v>0</v>
      </c>
      <c r="DC119" s="127">
        <v>0</v>
      </c>
      <c r="DD119" s="127">
        <v>0</v>
      </c>
      <c r="DE119" s="127">
        <v>0</v>
      </c>
      <c r="DF119" s="127">
        <v>0</v>
      </c>
      <c r="DG119" s="127">
        <v>0</v>
      </c>
      <c r="DH119" s="127">
        <v>0</v>
      </c>
      <c r="DI119" s="127">
        <v>0</v>
      </c>
      <c r="DJ119" s="127">
        <v>0</v>
      </c>
      <c r="DK119" s="127">
        <v>0</v>
      </c>
      <c r="DL119" s="127">
        <v>0</v>
      </c>
      <c r="DM119" s="304">
        <f>INDEX(Input!$1:$1048576,DM$93,$C119*2+6)</f>
        <v>21036.84210526316</v>
      </c>
      <c r="DN119" s="20">
        <v>0</v>
      </c>
      <c r="DO119" s="20">
        <v>0</v>
      </c>
      <c r="DP119" s="20">
        <v>0</v>
      </c>
      <c r="DQ119" s="20">
        <v>0</v>
      </c>
      <c r="DR119" s="20">
        <v>0</v>
      </c>
      <c r="DS119" s="20">
        <f>INDEX(Input!$1:$1048576,DS$93,$C119*2+6)</f>
        <v>0.6</v>
      </c>
      <c r="DT119" s="20">
        <f>INDEX(Input!$1:$1048576,DT$93,$C119*2+6)</f>
        <v>0.55000000000000004</v>
      </c>
      <c r="DU119" s="20">
        <f>INDEX(Input!$1:$1048576,DU$93,$C119*2+6)</f>
        <v>0.52</v>
      </c>
      <c r="DV119" s="20">
        <f>INDEX(Input!$1:$1048576,DV$93,$C119*2+6)</f>
        <v>0.5</v>
      </c>
      <c r="DW119" s="20">
        <f>INDEX(Input!$1:$1048576,DW$93,$C119*2+6)</f>
        <v>0.45</v>
      </c>
      <c r="DX119" s="20"/>
      <c r="DY119" s="7">
        <v>9.2544080257837835E-2</v>
      </c>
      <c r="DZ119" s="7">
        <v>0</v>
      </c>
      <c r="EA119" s="7">
        <v>0.45686117950007804</v>
      </c>
      <c r="EB119" s="7">
        <v>0</v>
      </c>
      <c r="EC119" s="7">
        <v>0</v>
      </c>
      <c r="ED119" s="7">
        <v>0</v>
      </c>
      <c r="EE119" s="7">
        <v>0</v>
      </c>
      <c r="EF119" s="7">
        <v>0</v>
      </c>
      <c r="EG119" s="7">
        <v>0</v>
      </c>
      <c r="EH119" s="7">
        <v>1.8402200445098656E-2</v>
      </c>
      <c r="EI119" s="7">
        <v>5.3739557110571878E-2</v>
      </c>
      <c r="EJ119" s="7">
        <v>0.33946684904131996</v>
      </c>
      <c r="EK119" s="7">
        <v>0.48247712639938078</v>
      </c>
      <c r="EL119" s="7">
        <v>0.1059142670036287</v>
      </c>
      <c r="EM119" s="7">
        <v>4.8078037791143592E-2</v>
      </c>
      <c r="EN119" s="7">
        <v>5.026655506761156E-2</v>
      </c>
      <c r="EO119" s="7">
        <v>0.76363846834232729</v>
      </c>
      <c r="EP119" s="7">
        <v>8.1332974878230879E-2</v>
      </c>
      <c r="EQ119" s="7">
        <v>6.2056292917349994E-2</v>
      </c>
      <c r="ER119" s="7">
        <v>4.270570879448056E-2</v>
      </c>
      <c r="ES119" s="7">
        <v>0.40251670245094057</v>
      </c>
      <c r="ET119" s="7">
        <v>0.45059474024208412</v>
      </c>
      <c r="EU119" s="6">
        <v>1000</v>
      </c>
      <c r="EV119" s="6">
        <v>0</v>
      </c>
      <c r="EW119" s="6">
        <v>1000</v>
      </c>
      <c r="EX119" s="6">
        <v>0</v>
      </c>
      <c r="EY119" s="6">
        <v>1769.7221397149681</v>
      </c>
      <c r="EZ119" s="6">
        <v>1950</v>
      </c>
      <c r="FA119" s="6">
        <v>0</v>
      </c>
      <c r="FB119" s="6">
        <v>0</v>
      </c>
      <c r="FC119" s="6">
        <v>0</v>
      </c>
      <c r="FD119" s="6">
        <v>0</v>
      </c>
      <c r="FE119" s="6">
        <v>0</v>
      </c>
      <c r="FF119" s="6">
        <v>0</v>
      </c>
      <c r="FG119" s="6">
        <v>0</v>
      </c>
      <c r="FH119" s="6">
        <v>1171.2811379695615</v>
      </c>
      <c r="FI119" s="6">
        <v>1553.9796069512404</v>
      </c>
      <c r="FJ119" s="6">
        <v>2101.211011744741</v>
      </c>
      <c r="FK119" s="6">
        <v>1772.7139978623231</v>
      </c>
      <c r="FL119" s="6">
        <v>907.07682140966324</v>
      </c>
      <c r="FM119" s="6">
        <v>1769.7221397149681</v>
      </c>
      <c r="FN119" s="6">
        <v>0</v>
      </c>
      <c r="FO119" s="6">
        <v>0</v>
      </c>
      <c r="FP119" s="6">
        <v>0</v>
      </c>
      <c r="FQ119" s="6">
        <v>0</v>
      </c>
      <c r="FR119" s="6">
        <v>0</v>
      </c>
      <c r="FS119" s="6">
        <v>0</v>
      </c>
      <c r="FT119" s="7">
        <v>0.54940525975791588</v>
      </c>
      <c r="FU119" s="7">
        <v>4.8078037791143592E-2</v>
      </c>
      <c r="FV119" s="7">
        <v>0.40251670245094057</v>
      </c>
      <c r="FW119" s="6">
        <v>1000.0000000000001</v>
      </c>
      <c r="FX119" s="6">
        <v>1769.7221397149681</v>
      </c>
      <c r="FY119" s="6">
        <v>1950</v>
      </c>
      <c r="FZ119" s="6">
        <v>1952.7147957719815</v>
      </c>
      <c r="GA119" s="6">
        <v>1419.3975974502898</v>
      </c>
      <c r="GB119" s="6">
        <v>18565.60240254971</v>
      </c>
      <c r="GC119" s="7">
        <v>1.0519917368675835E-2</v>
      </c>
      <c r="GD119" s="7">
        <v>9.9634760716705711E-3</v>
      </c>
      <c r="GE119" s="7"/>
      <c r="GF119" s="7"/>
      <c r="GG119" s="7">
        <v>-5.2894074877634152E-2</v>
      </c>
      <c r="GH119" s="42">
        <v>1.9821001268215119</v>
      </c>
      <c r="GI119" s="6">
        <v>11502.13748004536</v>
      </c>
      <c r="GJ119" s="14">
        <v>0.50394797582841733</v>
      </c>
      <c r="GK119" s="14">
        <v>0.50887573065309755</v>
      </c>
      <c r="GL119" s="14">
        <v>0.49605202417158284</v>
      </c>
      <c r="GM119" s="14">
        <v>0.4911242693469024</v>
      </c>
      <c r="GO119" s="5">
        <v>343.14810671672558</v>
      </c>
      <c r="GP119" s="5">
        <v>324.070014441034</v>
      </c>
      <c r="GQ119" s="5">
        <v>535.04305713031317</v>
      </c>
      <c r="GR119" s="5">
        <v>410.15490233172511</v>
      </c>
      <c r="GS119" s="5">
        <v>339.42744393800166</v>
      </c>
      <c r="GT119" s="5">
        <v>293.4407446948278</v>
      </c>
      <c r="GU119" s="5">
        <v>258.04012322764959</v>
      </c>
      <c r="GV119" s="39" t="s">
        <v>392</v>
      </c>
      <c r="GW119" s="5">
        <v>499.625</v>
      </c>
      <c r="GX119" s="5">
        <v>374.71875</v>
      </c>
      <c r="GY119" s="5">
        <v>299.77499999999998</v>
      </c>
      <c r="GZ119" s="5">
        <v>264.51980311843727</v>
      </c>
      <c r="HA119" s="5">
        <v>245.02690693912888</v>
      </c>
      <c r="HB119" s="39">
        <v>284.67169346370895</v>
      </c>
      <c r="HC119" s="5">
        <v>201.97187499999998</v>
      </c>
      <c r="HD119" s="5">
        <v>181.57622441520465</v>
      </c>
      <c r="HE119" s="5">
        <v>186.90036690283398</v>
      </c>
      <c r="HF119" s="5">
        <v>175.81500548245612</v>
      </c>
      <c r="HG119" s="5">
        <v>173.25638157894736</v>
      </c>
      <c r="HH119" s="39">
        <v>182.32164718062685</v>
      </c>
      <c r="HI119" s="16"/>
      <c r="HJ119" s="19" t="str">
        <f t="shared" ref="HJ119" si="265">HJ118</f>
        <v>On</v>
      </c>
      <c r="HK119" s="1" t="str">
        <f t="shared" si="108"/>
        <v>On</v>
      </c>
      <c r="HL119" s="16"/>
      <c r="HM119" s="639">
        <f t="shared" ref="HM119:HM161" si="266">VLOOKUP($C119*1000+1,$A:$HH,FT$92,FALSE)*$JF119</f>
        <v>5.7455619280273196E-3</v>
      </c>
      <c r="HN119" s="639">
        <f t="shared" ref="HN119:HN161" si="267">VLOOKUP($C119*1000+1,$A:$HH,FU$92,FALSE)*$JF119</f>
        <v>5.0031960498701745E-4</v>
      </c>
      <c r="HO119" s="639">
        <f t="shared" ref="HO119:HO161" si="268">VLOOKUP($C119*1000+1,$A:$HH,FV$92,FALSE)*$JF119</f>
        <v>3.9819433988714835E-3</v>
      </c>
      <c r="HP119" s="644">
        <f>(FT119*$GD119-HM119)/$JF119*INDEX(Input!$1:$1048576,$JG$93,$C119*2+6)</f>
        <v>-11.842478110667706</v>
      </c>
      <c r="HQ119" s="644">
        <f>(FU119*$GD119-HN119)/$JF119*INDEX(Input!$1:$1048576,$JG$93,$C119*2+6)</f>
        <v>-0.92861100054619838</v>
      </c>
      <c r="HR119" s="644">
        <f>(FV119*$GD119-HO119)/$JF119*INDEX(Input!$1:$1048576,$JG$93,$C119*2+6)</f>
        <v>1.2437514376443808</v>
      </c>
      <c r="HS119" s="644">
        <f t="shared" ref="HS119:HS161" si="269">IF(AND(HJ119="On",HK119="On"),IL119/1000*INDEX(KG:KG,MATCH(C119*1000+3,$KF:$KF,0))*SUM(HY119:IA119)*1.1
+INDEX(HR:HR,MATCH(C119*1000+4,$KF:$KF,0))/INDEX(IM:IM,MATCH(C119*1000+4,$KF:$KF,0))*IM119*20%,0)</f>
        <v>4.4895042247859349</v>
      </c>
      <c r="HT119" s="644">
        <f t="shared" ref="HT119:HT161" si="270">IF(AND(HJ119="On",HK119="On"),IM119/1000*INDEX(KG:KG,MATCH(C119*1000+4,$KF:$KF,0))*SUM(HY119:IA119)*1.1
+INDEX(HR:HR,MATCH(C119*1000+3,$KF:$KF,0))/INDEX(IL:IL,MATCH(C119*1000+3,$KF:$KF,0))*IL119*20%,0)</f>
        <v>-3.7295500938016035</v>
      </c>
      <c r="HU119" s="644">
        <f t="shared" ref="HU119:HU161" si="271">IF(HJ119="On",IN119/1000*INDEX(KG:KG,MATCH(C119*1000+5,$KF:$KF,0))*SUM(HY119:IA119)*1.1
-INDEX(HR:HR,MATCH(C119*1000+3,$KF:$KF,0))/INDEX(IL:IL,MATCH(C119*1000+3,$KF:$KF,0))*IL119*20%
-INDEX(HR:HR,MATCH(C119*1000+4,$KF:$KF,0))/INDEX(IM:IM,MATCH(C119*1000+4,$KF:$KF,0))*IM119*20%,0)</f>
        <v>-3.6744024961487427</v>
      </c>
      <c r="HV119" s="648">
        <f t="shared" ref="HV119:HV161" si="272">IL119/1000*0+IM119/1000*0+IN119/1000*0
+(CP119-INDEX(CP:CP,MATCH(C119*1000+1,A:A,0)))/1000*0+IF(FU119&gt;0,0,0)</f>
        <v>0</v>
      </c>
      <c r="HW119" s="648">
        <f t="shared" ref="HW119:HW161" si="273">IL119/1000*0+IM119/1000*0+IN119/1000*0
+(CP119-INDEX(CP:CP,MATCH(C119*1000+1,A:A,0)))/1000*0+IF(FU119&gt;0,0,0)</f>
        <v>0</v>
      </c>
      <c r="HX119" s="648">
        <f t="shared" ref="HX119:HX161" si="274">IL119/1000*0+IM119/1000*0+IN119/1000*0
+(CP119-INDEX(CP:CP,MATCH(C119*1000+1,A:A,0)))/1000*0+IF(FU119&gt;0,0,0)</f>
        <v>0</v>
      </c>
      <c r="HY119" s="644">
        <f>INDEX(Input!$1:$1048576,HY$93,$C119*2+6)*INDEX(Input!$1:$1048576,$JG$93,$C119*2+6)</f>
        <v>110.00000000000001</v>
      </c>
      <c r="HZ119" s="644">
        <f>INDEX(Input!$1:$1048576,HZ$93,$C119*2+6)*INDEX(Input!$1:$1048576,$JG$93,$C119*2+6)</f>
        <v>157</v>
      </c>
      <c r="IA119" s="644">
        <f>INDEX(Input!$1:$1048576,IA$93,$C119*2+6)*INDEX(Input!$1:$1048576,$JG$93,$C119*2+6)</f>
        <v>179</v>
      </c>
      <c r="IB119" s="644">
        <f t="shared" si="249"/>
        <v>102.6470261141182</v>
      </c>
      <c r="IC119" s="644">
        <f t="shared" si="172"/>
        <v>152.3418389056522</v>
      </c>
      <c r="ID119" s="644">
        <f>IF(AND(INDEX(Input!$1:$1048576,IA$93,$C119*2+7)="TOS",Y119&lt;=INDEX(Y:Y,MATCH(C119*1000+2,A:A))),0,1)*MAX(IA119+HR119+HU119+HX119,0%)</f>
        <v>176.56934894149566</v>
      </c>
      <c r="IE119" s="128">
        <f t="shared" ref="IE119:IE161" si="275">IB119/SUM($IB119:$ID119)</f>
        <v>0.23785209687453929</v>
      </c>
      <c r="IF119" s="128">
        <f t="shared" si="174"/>
        <v>0.35300414631738519</v>
      </c>
      <c r="IG119" s="128">
        <f t="shared" si="175"/>
        <v>0.40914375680807552</v>
      </c>
      <c r="IH119" s="21"/>
      <c r="II119" s="19">
        <f t="shared" ref="II119:II161" si="276">VLOOKUP($C119*1000+1,$A:$HH,FW$92,FALSE)-VLOOKUP($C119*1000+1,$A:$HH,FA$92,FALSE)*VLOOKUP($C119*1000+1,$A:$HH,DZ$92,FALSE)/VLOOKUP($C119*1000+1,$A:$HH,FT$92,FALSE)</f>
        <v>1240</v>
      </c>
      <c r="IJ119" s="19">
        <f t="shared" ref="IJ119:IJ161" si="277">VLOOKUP($C119*1000+1,$A:$HH,FX$92,FALSE)</f>
        <v>2009.7221397149679</v>
      </c>
      <c r="IK119" s="19">
        <f t="shared" ref="IK119:IK161" si="278">VLOOKUP($C119*1000+1,$A:$HH,FY$92,FALSE)</f>
        <v>2070</v>
      </c>
      <c r="IL119" s="19">
        <f t="shared" si="176"/>
        <v>-239.99999999999989</v>
      </c>
      <c r="IM119" s="19">
        <f t="shared" si="177"/>
        <v>-239.99999999999977</v>
      </c>
      <c r="IN119" s="19">
        <f t="shared" si="178"/>
        <v>-120</v>
      </c>
      <c r="IO119" s="39">
        <f t="shared" ref="IO119:IO161" si="279">(F119-VLOOKUP($C119*1000+1,$A:$HH,F$92,FALSE))*(1-$I119)</f>
        <v>0</v>
      </c>
      <c r="IP119" s="39">
        <f t="shared" ref="IP119:IP161" si="280">(G119-VLOOKUP($C119*1000+1,$A:$HH,G$92,FALSE))*(1-$I119)</f>
        <v>0</v>
      </c>
      <c r="IQ119" s="39">
        <f t="shared" ref="IQ119:IQ161" si="281">(H119-VLOOKUP($C119*1000+1,$A:$HH,H$92,FALSE))*(1-$I119)</f>
        <v>0</v>
      </c>
      <c r="IR119" s="39">
        <v>0</v>
      </c>
      <c r="IS119" s="39">
        <v>0</v>
      </c>
      <c r="IT119" s="39">
        <v>0</v>
      </c>
      <c r="IU119" s="39">
        <v>0</v>
      </c>
      <c r="IV119" s="39">
        <v>0</v>
      </c>
      <c r="IW119" s="39">
        <v>0</v>
      </c>
      <c r="IX119" s="39">
        <f>INDEX(Input!$1:$1048576,IX$93,$C119*2+6)+INDEX(Input!$1:$1048576,IX$94,$C119*2+6)</f>
        <v>1270</v>
      </c>
      <c r="IY119" s="39">
        <f>INDEX(Input!$1:$1048576,IY$93,$C119*2+6)+INDEX(Input!$1:$1048576,IY$94,$C119*2+6)</f>
        <v>2130.0624533823611</v>
      </c>
      <c r="IZ119" s="39">
        <f>INDEX(Input!$1:$1048576,IZ$93,$C119*2+6)+INDEX(Input!$1:$1048576,IZ$94,$C119*2+6)</f>
        <v>4373.7164157747848</v>
      </c>
      <c r="JA119" s="19">
        <f t="shared" si="179"/>
        <v>1030</v>
      </c>
      <c r="JB119" s="19">
        <f t="shared" si="180"/>
        <v>1890.0624533823614</v>
      </c>
      <c r="JC119" s="19">
        <f t="shared" si="181"/>
        <v>4253.7164157747848</v>
      </c>
      <c r="JD119" s="19">
        <f t="shared" si="182"/>
        <v>2652.5690573698357</v>
      </c>
      <c r="JE119" s="21"/>
      <c r="JF119" s="1">
        <f t="shared" ref="JF119:JF161" si="282">VLOOKUP($C119*1000+1,$A:$HH,GD$92,FALSE)</f>
        <v>1.022782493188582E-2</v>
      </c>
      <c r="JG119" s="15">
        <f>INDEX(Input!$1:$1048576,JG$93,$C119*2+6)/(1+VLOOKUP(C119*1000+INDEX(Input!$1:$1048576,JG$93+1,$C119*2+6),$A:$KK,$JK$92,FALSE))</f>
        <v>446</v>
      </c>
      <c r="JH119" s="1">
        <f t="shared" si="251"/>
        <v>-2.5846048595447361E-2</v>
      </c>
      <c r="JI119" s="1">
        <f t="shared" si="252"/>
        <v>-6.5346375900547336E-3</v>
      </c>
      <c r="JJ119" s="1">
        <f t="shared" si="253"/>
        <v>0</v>
      </c>
      <c r="JK119" s="1">
        <f t="shared" si="254"/>
        <v>-3.2380686185502092E-2</v>
      </c>
      <c r="JL119" s="15">
        <f t="shared" si="184"/>
        <v>-14.441786038733932</v>
      </c>
      <c r="JM119" s="15">
        <f t="shared" si="185"/>
        <v>431.55821396126606</v>
      </c>
      <c r="JN119" s="21"/>
      <c r="JO119" s="19">
        <f>INDEX(Input!$1:$1048576,JO$93,$C119*2+6)</f>
        <v>5995.5</v>
      </c>
      <c r="JP119" s="19">
        <f>INDEX(Input!$1:$1048576,JP$93,$C119*2+6)</f>
        <v>2818.4193802796353</v>
      </c>
      <c r="JQ119" s="39">
        <f t="shared" si="186"/>
        <v>3342.9309426301643</v>
      </c>
      <c r="JR119" s="39">
        <f t="shared" si="187"/>
        <v>-165.85032290979962</v>
      </c>
      <c r="JS119" s="39">
        <f t="shared" si="188"/>
        <v>1.1447379648074454</v>
      </c>
      <c r="JT119" s="39">
        <f t="shared" si="189"/>
        <v>-0.11227707879727195</v>
      </c>
      <c r="JU119" s="385">
        <f>(JQ119*JM119-INDEX(Input!$1:$1048576,Input!A$18,$C119*2+6)*JL119*INDEX(Input!$1:$1048576,Input!A$19,$C119*2+6))/1000000</f>
        <v>1.4426693069973253</v>
      </c>
      <c r="JV119" s="39">
        <f t="shared" si="192"/>
        <v>2.569135060204264E-2</v>
      </c>
      <c r="JW119" s="1">
        <f t="shared" si="190"/>
        <v>1.8131086998276306E-2</v>
      </c>
      <c r="JX119" s="19">
        <f t="shared" si="191"/>
        <v>7774.4593706163887</v>
      </c>
      <c r="JZ119" s="341"/>
      <c r="KA119" s="342"/>
      <c r="KB119" s="469">
        <f t="shared" si="110"/>
        <v>2.9286733661474216</v>
      </c>
      <c r="KI119" s="473">
        <f t="shared" ref="KI119:KI161" si="283">$JM119*IE119-$JG119*HY119/SUM($HY119:$IA119)</f>
        <v>-7.3529738858818092</v>
      </c>
      <c r="KJ119" s="473">
        <f t="shared" ref="KJ119:KJ161" si="284">$JM119*IF119-$JG119*HZ119/SUM($HY119:$IA119)</f>
        <v>-4.658161094347804</v>
      </c>
      <c r="KK119" s="473">
        <f t="shared" si="257"/>
        <v>-2.4306510585043384</v>
      </c>
      <c r="KN119" s="544">
        <f t="shared" si="258"/>
        <v>1002</v>
      </c>
      <c r="KO119" s="541">
        <f t="shared" ref="KO119:KO161" si="285">JM119/INDEX(JM:JM,MATCH(KN119,A:A,0))-1</f>
        <v>-3.6346980840658571E-2</v>
      </c>
      <c r="KP119" s="546">
        <f t="shared" ref="KP119:KP161" si="286">(IL119-INDEX(IL:IL,MATCH(KN119,A:A,0)))*IE119
+(IM119-IF(HN119=0,INDEX(IX:IX,MATCH(KN119,A:A,0)),INDEX(IM:IM,MATCH(KN119,A:A,0))))*IF119
+(IN119-INDEX(IN:IN,MATCH(KN119,A:A,0)))*IG119</f>
        <v>-214.76559283090967</v>
      </c>
      <c r="KQ119" s="546">
        <f t="shared" ref="KQ119:KQ161" si="287">JD119-INDEX(JD:JD,MATCH(KN119,A:A,0))</f>
        <v>-186.74714264881595</v>
      </c>
      <c r="KR119" s="548">
        <f t="shared" ref="KR119:KR161" si="288">KO119/(KP119/(BX119-INDEX(JD:JD,MATCH(KN119,A:A,0))))</f>
        <v>2.9017396705093641</v>
      </c>
      <c r="KS119" s="548">
        <f t="shared" ref="KS119:KS161" si="289">KO119/(KQ119/(BX119-INDEX(JD:JD,MATCH(KN119,A:A,0))))</f>
        <v>3.3370997367807025</v>
      </c>
      <c r="KT119" s="473">
        <f t="shared" si="112"/>
        <v>238.28695973331548</v>
      </c>
      <c r="KU119" s="663">
        <f t="shared" ref="KU119:KU161" si="290">IF(D119="",0,IFERROR((JM119/KT119-1)/(JD119/BX119)+B119*10^-6,0))</f>
        <v>6.1109086619997433</v>
      </c>
      <c r="KV119" s="117"/>
    </row>
    <row r="120" spans="1:308" s="26" customFormat="1" ht="15">
      <c r="A120" s="561">
        <f t="shared" si="168"/>
        <v>1020</v>
      </c>
      <c r="B120" s="561">
        <f t="shared" si="104"/>
        <v>20</v>
      </c>
      <c r="C120" s="561">
        <f t="shared" si="105"/>
        <v>1</v>
      </c>
      <c r="D120" s="765" t="str">
        <f>"Plan B: "&amp;IF(E120=INDEX(E:E,MATCH(C120*1000+2,A:A,0)),"",E120-INDEX(E:E,MATCH(C120*1000+2,A:A,0))&amp;E$100&amp;", ")
&amp;IF(F120=INDEX(F:F,MATCH(C120*1000+2,A:A,0)),"",F120-INDEX(F:F,MATCH(C120*1000+2,A:A,0))&amp;F$100&amp;", ")
&amp;IF(AM120=INDEX(AM:AM,MATCH(C120*1000+2,A:A,0)),"",AM120&amp;AM$100&amp;", ")
&amp;IF(AP120=INDEX(AP:AP,MATCH(C120*1000+2,A:A,0)),"",AP120&amp;AP$100&amp;", ")
&amp;IF(Q120=INDEX(Q:Q,MATCH(C120*1000+2,A:A,0)),"",Q120-INDEX(Q:Q,MATCH(C120*1000+2,A:A,0))&amp;Q$100&amp;", ")
&amp;IF(Y120=INDEX(Y:Y,MATCH(C120*1000+2,A:A,0)),"",Y120-INDEX(Y:Y,MATCH(C120*1000+2,A:A,0))&amp;Y$100&amp;", ")
&amp;IF(Z120=INDEX(Z:Z,MATCH(C120*1000+2,A:A,0)),"",Z120-INDEX(Z:Z,MATCH(C120*1000+2,A:A,0))&amp;Z$100&amp;", ")
&amp;IF(AA120=INDEX(AA:AA,MATCH(C120*1000+2,A:A,0)),"",AA120-INDEX(AA:AA,MATCH(C120*1000+2,A:A,0))&amp;AA$100&amp;", ")
&amp;IF(AC120=INDEX(AC:AC,MATCH(C120*1000+2,A:A,0)),"",AC120-INDEX(AC:AC,MATCH(C120*1000+2,A:A,0))&amp;AC$100&amp;", ")
&amp;IF(AE120=INDEX(AE:AE,MATCH(C120*1000+2,A:A,0)),"",AE120-INDEX(AE:AE,MATCH(C120*1000+2,A:A,0))&amp;AE$100&amp;", ")
&amp;IF(AG120=INDEX(AG:AG,MATCH(C120*1000+2,A:A,0)),"",AG120-INDEX(AG:AG,MATCH(C120*1000+2,A:A,0))&amp;AG$100&amp;", ")
&amp;IF(AI120=INDEX(AI:AI,MATCH(C120*1000+2,A:A,0)),"",AI120-INDEX(AI:AI,MATCH(C120*1000+2,A:A,0))&amp;AI$100&amp;", ")</f>
        <v xml:space="preserve">Plan B: </v>
      </c>
      <c r="E120" s="475">
        <f>INDEX(Input!$1:$1048576,E$93,$C120*2+MIN($B120,2)+5)</f>
        <v>1229</v>
      </c>
      <c r="F120" s="475">
        <f>INDEX(Input!$1:$1048576,F$93,$C120*2+MIN($B120,2)+5)</f>
        <v>0</v>
      </c>
      <c r="G120" s="475">
        <f>INDEX(Input!$1:$1048576,G$93,$C120*2+MIN($B120,2)+5)</f>
        <v>0</v>
      </c>
      <c r="H120" s="475">
        <f>INDEX(Input!$1:$1048576,H$93,$C120*2+MIN($B120,2)+5)</f>
        <v>0</v>
      </c>
      <c r="I120" s="476">
        <f>INDEX(Input!$1:$1048576,I$93,$C120*2+MIN($B120,2)+5)</f>
        <v>0.7</v>
      </c>
      <c r="J120" s="476" t="str">
        <f>INDEX(Input!$1:$1048576,J$93,$C120*2+MIN($B120,2)+5)</f>
        <v>Market</v>
      </c>
      <c r="K120" s="476" t="str">
        <f>INDEX(Input!$1:$1048576,K$93,$C120*2+MIN($B120,2)+5)</f>
        <v>Market</v>
      </c>
      <c r="L120" s="476" t="str">
        <f>INDEX(Input!$1:$1048576,L$93,$C120*2+MIN($B120,2)+5)</f>
        <v>Market</v>
      </c>
      <c r="M120" s="476" t="str">
        <f>INDEX(Input!$1:$1048576,M$93,$C120*2+MIN($B120,2)+5)</f>
        <v>Market</v>
      </c>
      <c r="N120" s="476" t="str">
        <f>INDEX(Input!$1:$1048576,N$93,$C120*2+MIN($B120,2)+5)</f>
        <v>Market</v>
      </c>
      <c r="O120" s="476" t="str">
        <f>INDEX(Input!$1:$1048576,O$93,$C120*2+MIN($B120,2)+5)</f>
        <v>Market</v>
      </c>
      <c r="P120" s="476" t="str">
        <f>INDEX(Input!$1:$1048576,P$93,$C120*2+MIN($B120,2)+5)</f>
        <v>N</v>
      </c>
      <c r="Q120" s="477">
        <f>INDEX(Input!$1:$1048576,Q$93,$C120*2+MIN($B120,2)+5)</f>
        <v>0</v>
      </c>
      <c r="R120" s="478">
        <f>IFERROR(MAX(0,INDEX(Input!$1:$1048576,R$93,$C120*2+MIN($B120,2)+5)-0%,),"Market")</f>
        <v>0</v>
      </c>
      <c r="S120" s="478">
        <f>IFERROR(MAX(0,INDEX(Input!$1:$1048576,S$93,$C120*2+MIN($B120,2)+5)-0%,),"Market")</f>
        <v>0</v>
      </c>
      <c r="T120" s="478">
        <f>IFERROR(MAX(0,INDEX(Input!$1:$1048576,T$93,$C120*2+MIN($B120,2)+5)-0%,),"Market")</f>
        <v>0</v>
      </c>
      <c r="U120" s="478">
        <f>IFERROR(MAX(0,INDEX(Input!$1:$1048576,U$93,$C120*2+MIN($B120,2)+5)-0%,),"Market")</f>
        <v>0</v>
      </c>
      <c r="V120" s="478">
        <f>IFERROR(MAX(0,INDEX(Input!$1:$1048576,V$93,$C120*2+MIN($B120,2)+5)-0%,),"Market")</f>
        <v>1.9E-2</v>
      </c>
      <c r="W120" s="885">
        <f>IFERROR(MAX(0,INDEX(Input!$1:$1048576,W$93,$C120*2+MIN($B120,2)+5)-0%,),"Market")</f>
        <v>3.9E-2</v>
      </c>
      <c r="X120" s="476" t="str">
        <f>INDEX(Input!$1:$1048576,X$93,$C120*2+MIN($B120,2)+5)</f>
        <v>Y</v>
      </c>
      <c r="Y120" s="475">
        <f>INDEX(Input!$1:$1048576,Y$93,$C120*2+MIN($B120,2)+5)</f>
        <v>1942</v>
      </c>
      <c r="Z120" s="477">
        <f>INDEX(Input!$1:$1048576,Z$93,$C120*2+MIN($B120,2)+5)</f>
        <v>0</v>
      </c>
      <c r="AA120" s="475">
        <f>INDEX(Input!$1:$1048576,AA$93,$C120*2+MIN($B120,2)+5)</f>
        <v>0</v>
      </c>
      <c r="AB120" s="476">
        <f>INDEX(Input!$1:$1048576,AB$93,$C120*2+MIN($B120,2)+5)</f>
        <v>0.27</v>
      </c>
      <c r="AC120" s="475">
        <f>INDEX(Input!$1:$1048576,AC$93,$C120*2+MIN($B120,2)+5)</f>
        <v>0</v>
      </c>
      <c r="AD120" s="476">
        <f>INDEX(Input!$1:$1048576,AD$93,$C120*2+MIN($B120,2)+5)</f>
        <v>0.27</v>
      </c>
      <c r="AE120" s="475">
        <f>INDEX(Input!$1:$1048576,AE$93,$C120*2+MIN($B120,2)+5)</f>
        <v>0</v>
      </c>
      <c r="AF120" s="476">
        <f>INDEX(Input!$1:$1048576,AF$93,$C120*2+MIN($B120,2)+5)</f>
        <v>0.38</v>
      </c>
      <c r="AG120" s="475">
        <f>INDEX(Input!$1:$1048576,AG$93,$C120*2+MIN($B120,2)+5)</f>
        <v>0</v>
      </c>
      <c r="AH120" s="476">
        <f>INDEX(Input!$1:$1048576,AH$93,$C120*2+MIN($B120,2)+5)</f>
        <v>0</v>
      </c>
      <c r="AI120" s="475">
        <f>INDEX(Input!$1:$1048576,AI$93,$C120*2+MIN($B120,2)+5)</f>
        <v>0</v>
      </c>
      <c r="AJ120" s="476">
        <f>INDEX(Input!$1:$1048576,AJ$93,$C120*2+MIN($B120,2)+5)</f>
        <v>0.27</v>
      </c>
      <c r="AK120" s="150">
        <f>ROUND(INDEX(Input!$1:$1048576,AK$93,$C119*2+MIN($B120,1)+5)+(Y120-VLOOKUP($C120*1000+1,$A:$HH,Y$92,FALSE)),0)</f>
        <v>3757</v>
      </c>
      <c r="AL120" s="150">
        <f>ROUND(INDEX(Input!$1:$1048576,AL$93,$C119*2+MIN($B120,1)+5)-(Y120-VLOOKUP($C120*1000+1,$A:$HH,Y$92,FALSE))/36,0)</f>
        <v>4113</v>
      </c>
      <c r="AM120" s="32" t="str">
        <f t="shared" si="169"/>
        <v>std/std/std/std</v>
      </c>
      <c r="AN120" s="32" t="str">
        <f t="shared" si="170"/>
        <v>$0 + 0/0/0/1.9/3.9</v>
      </c>
      <c r="AO120" s="32" t="str">
        <f t="shared" si="171"/>
        <v>0/0/0/1.9/3.9</v>
      </c>
      <c r="AP120" s="32" t="str">
        <f t="shared" si="73"/>
        <v>0/0.9/1.9/3.9</v>
      </c>
      <c r="AQ120" s="536">
        <f t="shared" si="39"/>
        <v>0.24773569190356629</v>
      </c>
      <c r="AR120" s="32"/>
      <c r="AS120" s="302"/>
      <c r="AT120" s="3">
        <f t="shared" si="106"/>
        <v>20</v>
      </c>
      <c r="AU120" s="41" t="s">
        <v>121</v>
      </c>
      <c r="AV120" s="41" t="s">
        <v>116</v>
      </c>
      <c r="AW120" s="41" t="str">
        <f>INDEX(Input!$1:$1048576,AW$93,$C120*2+6)</f>
        <v>Kia</v>
      </c>
      <c r="AX120" s="41" t="str">
        <f>INDEX(Input!$1:$1048576,AX$93,$C120*2+6)</f>
        <v>Kia-LR - L1</v>
      </c>
      <c r="AY120" s="41" t="str">
        <f>IF(LEN(D120)=0,"",INDEX(Input!$1:$1048576,AY$93,$C120*2+6))</f>
        <v>Compact SUV (52)</v>
      </c>
      <c r="AZ120" s="41" t="str">
        <f>INDEX(Input!$1:$1048576,AZ$93,$C120*2+6)</f>
        <v>Kia Soul</v>
      </c>
      <c r="BA120" s="3">
        <f>INDEX(Input!$1:$1048576,BA$93,$C120*2+6)</f>
        <v>2020</v>
      </c>
      <c r="BB120" s="128">
        <f>INDEX(Input!$1:$1048576,BB$93,$C120*2+6)</f>
        <v>1</v>
      </c>
      <c r="BC120" s="128">
        <f>INDEX(Input!$1:$1048576,BC$93,$C120*2+6)</f>
        <v>0.7</v>
      </c>
      <c r="BD120" s="1">
        <f>INDEX(Input!$1:$1048576,BD$93,$C120*2+6)</f>
        <v>4.4999999999999998E-2</v>
      </c>
      <c r="BE120" s="1">
        <f>INDEX(Input!$1:$1048576,BE$93,$C120*2+6)</f>
        <v>4.4999999999999998E-2</v>
      </c>
      <c r="BF120" s="1">
        <f>INDEX(Input!$1:$1048576,BF$93,$C120*2+6)</f>
        <v>0.05</v>
      </c>
      <c r="BG120" s="1">
        <f>INDEX(Input!$1:$1048576,BG$93,$C120*2+6)</f>
        <v>5.45E-2</v>
      </c>
      <c r="BH120" s="1">
        <f>INDEX(Input!$1:$1048576,BH$93,$C120*2+6)</f>
        <v>5.45E-2</v>
      </c>
      <c r="BI120" s="1">
        <f>INDEX(Input!$1:$1048576,BI$93,$C120*2+6)</f>
        <v>0.05</v>
      </c>
      <c r="BJ120" s="1">
        <f>INDEX(Input!$1:$1048576,BJ$93,$C120*2+6)</f>
        <v>0.05</v>
      </c>
      <c r="BK120" s="1">
        <f>INDEX(Input!$1:$1048576,BK$93,$C120*2+6)</f>
        <v>0.05</v>
      </c>
      <c r="BL120" s="1">
        <f>INDEX(Input!$1:$1048576,BL$93,$C120*2+6)</f>
        <v>5.5E-2</v>
      </c>
      <c r="BM120" s="1">
        <f>INDEX(Input!$1:$1048576,BM$93,$C120*2+6)</f>
        <v>0.06</v>
      </c>
      <c r="BN120" s="1">
        <f>INDEX(Input!$1:$1048576,BN$93,$C120*2+6)</f>
        <v>4.4999999999999998E-2</v>
      </c>
      <c r="BO120" s="1">
        <f>INDEX(Input!$1:$1048576,BO$93,$C120*2+6)</f>
        <v>4.4999999999999998E-2</v>
      </c>
      <c r="BP120" s="1">
        <f>INDEX(Input!$1:$1048576,BP$93,$C120*2+6)</f>
        <v>0.05</v>
      </c>
      <c r="BQ120" s="1">
        <f>INDEX(Input!$1:$1048576,BQ$93,$C120*2+6)</f>
        <v>5.45E-2</v>
      </c>
      <c r="BR120" s="1">
        <f>INDEX(Input!$1:$1048576,BR$93,$C120*2+6)</f>
        <v>5.45E-2</v>
      </c>
      <c r="BS120" s="1">
        <f>INDEX(Input!$1:$1048576,BS$93,$C120*2+6)</f>
        <v>0.05</v>
      </c>
      <c r="BT120" s="1">
        <f>INDEX(Input!$1:$1048576,BT$93,$C120*2+6)</f>
        <v>0.05</v>
      </c>
      <c r="BU120" s="1">
        <f>INDEX(Input!$1:$1048576,BU$93,$C120*2+6)</f>
        <v>0.05</v>
      </c>
      <c r="BV120" s="1">
        <f>INDEX(Input!$1:$1048576,BV$93,$C120*2+6)</f>
        <v>5.5E-2</v>
      </c>
      <c r="BW120" s="1">
        <f>INDEX(Input!$1:$1048576,BW$93,$C120*2+6)</f>
        <v>0.06</v>
      </c>
      <c r="BX120" s="127">
        <f>INDEX(Input!$1:$1048576,BX$93,$C120*2+6)</f>
        <v>19985</v>
      </c>
      <c r="BY120" s="20">
        <f>INDEX(Input!$1:$1048576,BY$93,$C120*2+6)</f>
        <v>0.1</v>
      </c>
      <c r="BZ120" s="20">
        <f>INDEX(Input!$1:$1048576,BZ$93,$C120*2+6)</f>
        <v>0.1</v>
      </c>
      <c r="CA120" s="20">
        <f>INDEX(Input!$1:$1048576,CA$93,$C120*2+6)</f>
        <v>0.1</v>
      </c>
      <c r="CB120" s="20">
        <f>INDEX(Input!$1:$1048576,CB$93,$C120*2+6)</f>
        <v>0.1</v>
      </c>
      <c r="CC120" s="20">
        <f>INDEX(Input!$1:$1048576,CC$93,$C120*2+6)</f>
        <v>0.1</v>
      </c>
      <c r="CD120" s="384">
        <f>INDEX(Input!$1:$1048576,CD$93,$C120*2+6)</f>
        <v>0.1</v>
      </c>
      <c r="CE120" s="384">
        <f>INDEX(Input!$1:$1048576,CE$93,$C120*2+6)</f>
        <v>0.1</v>
      </c>
      <c r="CF120" s="384">
        <f>INDEX(Input!$1:$1048576,CF$93,$C120*2+6)</f>
        <v>0.1</v>
      </c>
      <c r="CG120" s="384">
        <f>INDEX(Input!$1:$1048576,CG$93,$C120*2+6)</f>
        <v>0.1</v>
      </c>
      <c r="CH120" s="384">
        <f>INDEX(Input!$1:$1048576,CH$93,$C120*2+6)</f>
        <v>0.1</v>
      </c>
      <c r="CI120" s="304">
        <f t="shared" si="74"/>
        <v>1229</v>
      </c>
      <c r="CJ120" s="16" t="str">
        <f>INDEX(Input!$1:$1048576,CJ$93,$C120*2+6)</f>
        <v>N</v>
      </c>
      <c r="CK120" s="1" t="str">
        <f t="shared" si="75"/>
        <v>Market</v>
      </c>
      <c r="CL120" s="1" t="str">
        <f t="shared" si="76"/>
        <v>Market</v>
      </c>
      <c r="CM120" s="1" t="str">
        <f t="shared" si="77"/>
        <v>Market</v>
      </c>
      <c r="CN120" s="1" t="str">
        <f t="shared" si="78"/>
        <v>Market</v>
      </c>
      <c r="CO120" s="1" t="str">
        <f t="shared" si="79"/>
        <v>Market</v>
      </c>
      <c r="CP120" s="304">
        <f t="shared" si="80"/>
        <v>0</v>
      </c>
      <c r="CQ120" s="1">
        <f t="shared" si="81"/>
        <v>0</v>
      </c>
      <c r="CR120" s="1">
        <f t="shared" si="82"/>
        <v>0</v>
      </c>
      <c r="CS120" s="1">
        <f t="shared" si="83"/>
        <v>0</v>
      </c>
      <c r="CT120" s="1">
        <f t="shared" si="84"/>
        <v>1.9E-2</v>
      </c>
      <c r="CU120" s="1">
        <f t="shared" si="85"/>
        <v>3.9E-2</v>
      </c>
      <c r="CV120" s="304">
        <f t="shared" si="86"/>
        <v>1942</v>
      </c>
      <c r="CW120" s="20" t="s">
        <v>122</v>
      </c>
      <c r="CX120" s="20" t="s">
        <v>122</v>
      </c>
      <c r="CY120" s="20" t="s">
        <v>122</v>
      </c>
      <c r="CZ120" s="20" t="s">
        <v>122</v>
      </c>
      <c r="DA120" s="20" t="s">
        <v>122</v>
      </c>
      <c r="DB120" s="503">
        <f t="shared" si="87"/>
        <v>0</v>
      </c>
      <c r="DC120" s="127">
        <v>0</v>
      </c>
      <c r="DD120" s="127">
        <v>0</v>
      </c>
      <c r="DE120" s="127">
        <v>0</v>
      </c>
      <c r="DF120" s="127">
        <v>0</v>
      </c>
      <c r="DG120" s="127">
        <v>0</v>
      </c>
      <c r="DH120" s="127">
        <v>0</v>
      </c>
      <c r="DI120" s="127">
        <v>0</v>
      </c>
      <c r="DJ120" s="127">
        <v>0</v>
      </c>
      <c r="DK120" s="127">
        <v>0</v>
      </c>
      <c r="DL120" s="127">
        <v>0</v>
      </c>
      <c r="DM120" s="304">
        <f>INDEX(Input!$1:$1048576,DM$93,$C120*2+6)</f>
        <v>21036.84210526316</v>
      </c>
      <c r="DN120" s="20">
        <v>0</v>
      </c>
      <c r="DO120" s="20">
        <v>0</v>
      </c>
      <c r="DP120" s="20">
        <v>0</v>
      </c>
      <c r="DQ120" s="20">
        <v>0</v>
      </c>
      <c r="DR120" s="20">
        <v>0</v>
      </c>
      <c r="DS120" s="20">
        <f>INDEX(Input!$1:$1048576,DS$93,$C120*2+6)</f>
        <v>0.6</v>
      </c>
      <c r="DT120" s="20">
        <f>INDEX(Input!$1:$1048576,DT$93,$C120*2+6)</f>
        <v>0.55000000000000004</v>
      </c>
      <c r="DU120" s="20">
        <f>INDEX(Input!$1:$1048576,DU$93,$C120*2+6)</f>
        <v>0.52</v>
      </c>
      <c r="DV120" s="20">
        <f>INDEX(Input!$1:$1048576,DV$93,$C120*2+6)</f>
        <v>0.5</v>
      </c>
      <c r="DW120" s="20">
        <f>INDEX(Input!$1:$1048576,DW$93,$C120*2+6)</f>
        <v>0.45</v>
      </c>
      <c r="DX120" s="20"/>
      <c r="DY120" s="7">
        <v>9.7472532669215337E-2</v>
      </c>
      <c r="DZ120" s="7">
        <v>0</v>
      </c>
      <c r="EA120" s="7">
        <v>0.4658039713967298</v>
      </c>
      <c r="EB120" s="7">
        <v>0</v>
      </c>
      <c r="EC120" s="7">
        <v>0</v>
      </c>
      <c r="ED120" s="7">
        <v>0</v>
      </c>
      <c r="EE120" s="7">
        <v>0</v>
      </c>
      <c r="EF120" s="7">
        <v>0</v>
      </c>
      <c r="EG120" s="7">
        <v>0</v>
      </c>
      <c r="EH120" s="7">
        <v>1.8402200445098656E-2</v>
      </c>
      <c r="EI120" s="7">
        <v>5.3739557110571871E-2</v>
      </c>
      <c r="EJ120" s="7">
        <v>0.33946684904131985</v>
      </c>
      <c r="EK120" s="7">
        <v>0.48247712639938095</v>
      </c>
      <c r="EL120" s="7">
        <v>0.10591426700362871</v>
      </c>
      <c r="EM120" s="7">
        <v>4.9019137420654751E-2</v>
      </c>
      <c r="EN120" s="7">
        <v>5.0824256578978502E-2</v>
      </c>
      <c r="EO120" s="7">
        <v>0.76815678085538341</v>
      </c>
      <c r="EP120" s="7">
        <v>7.9058197430733557E-2</v>
      </c>
      <c r="EQ120" s="7">
        <v>6.0271198631198973E-2</v>
      </c>
      <c r="ER120" s="7">
        <v>4.1689566503705214E-2</v>
      </c>
      <c r="ES120" s="7">
        <v>0.38770435851340007</v>
      </c>
      <c r="ET120" s="7">
        <v>0.43672349593405485</v>
      </c>
      <c r="EU120" s="6">
        <v>1270</v>
      </c>
      <c r="EV120" s="6">
        <v>0</v>
      </c>
      <c r="EW120" s="6">
        <v>1270</v>
      </c>
      <c r="EX120" s="6">
        <v>0</v>
      </c>
      <c r="EY120" s="6">
        <v>2039.7221397149676</v>
      </c>
      <c r="EZ120" s="6">
        <v>2085</v>
      </c>
      <c r="FA120" s="6">
        <v>0</v>
      </c>
      <c r="FB120" s="6">
        <v>0</v>
      </c>
      <c r="FC120" s="6">
        <v>0</v>
      </c>
      <c r="FD120" s="6">
        <v>0</v>
      </c>
      <c r="FE120" s="6">
        <v>0</v>
      </c>
      <c r="FF120" s="6">
        <v>0</v>
      </c>
      <c r="FG120" s="6">
        <v>0</v>
      </c>
      <c r="FH120" s="6">
        <v>1171.281137969562</v>
      </c>
      <c r="FI120" s="6">
        <v>1553.9796069512399</v>
      </c>
      <c r="FJ120" s="6">
        <v>2101.2110117447405</v>
      </c>
      <c r="FK120" s="6">
        <v>1772.7139978623225</v>
      </c>
      <c r="FL120" s="6">
        <v>907.07682140966324</v>
      </c>
      <c r="FM120" s="6">
        <v>1769.7221397149676</v>
      </c>
      <c r="FN120" s="6">
        <v>0</v>
      </c>
      <c r="FO120" s="6">
        <v>0</v>
      </c>
      <c r="FP120" s="6">
        <v>0</v>
      </c>
      <c r="FQ120" s="6">
        <v>0</v>
      </c>
      <c r="FR120" s="6">
        <v>0</v>
      </c>
      <c r="FS120" s="6">
        <v>0</v>
      </c>
      <c r="FT120" s="7">
        <v>0.56327650406594509</v>
      </c>
      <c r="FU120" s="7">
        <v>4.9019137420654751E-2</v>
      </c>
      <c r="FV120" s="7">
        <v>0.38770435851340007</v>
      </c>
      <c r="FW120" s="6">
        <v>1270.0000000000002</v>
      </c>
      <c r="FX120" s="6">
        <v>2039.7221397149676</v>
      </c>
      <c r="FY120" s="6">
        <v>2085</v>
      </c>
      <c r="FZ120" s="6">
        <v>1952.7147957719815</v>
      </c>
      <c r="GA120" s="6">
        <v>1623.7101675308295</v>
      </c>
      <c r="GB120" s="6">
        <v>18361.289832469171</v>
      </c>
      <c r="GC120" s="7">
        <v>1.0519917368675835E-2</v>
      </c>
      <c r="GD120" s="7">
        <v>1.0261567194351713E-2</v>
      </c>
      <c r="GE120" s="7"/>
      <c r="GF120" s="7"/>
      <c r="GG120" s="7">
        <v>-2.4558194258577255E-2</v>
      </c>
      <c r="GH120" s="42">
        <v>1.4917586870477881</v>
      </c>
      <c r="GI120" s="6">
        <v>15020.649078307759</v>
      </c>
      <c r="GJ120" s="14">
        <v>0.50394797582841733</v>
      </c>
      <c r="GK120" s="14">
        <v>0.50887573065309732</v>
      </c>
      <c r="GL120" s="14">
        <v>0.49605202417158267</v>
      </c>
      <c r="GM120" s="14">
        <v>0.49112426934690245</v>
      </c>
      <c r="GO120" s="5">
        <v>343.14810671672558</v>
      </c>
      <c r="GP120" s="5">
        <v>318.91892952659737</v>
      </c>
      <c r="GQ120" s="5">
        <v>535.04305713031317</v>
      </c>
      <c r="GR120" s="5">
        <v>410.15490233172511</v>
      </c>
      <c r="GS120" s="5">
        <v>339.42744393800166</v>
      </c>
      <c r="GT120" s="5">
        <v>293.4407446948278</v>
      </c>
      <c r="GU120" s="5">
        <v>258.04012322764959</v>
      </c>
      <c r="GV120" s="39" t="s">
        <v>392</v>
      </c>
      <c r="GW120" s="5">
        <v>492.125</v>
      </c>
      <c r="GX120" s="5">
        <v>369.09375</v>
      </c>
      <c r="GY120" s="5">
        <v>295.27499999999998</v>
      </c>
      <c r="GZ120" s="5">
        <v>260.54902799031458</v>
      </c>
      <c r="HA120" s="5">
        <v>241.34874471337258</v>
      </c>
      <c r="HB120" s="39">
        <v>280.39841310148165</v>
      </c>
      <c r="HC120" s="5">
        <v>196.06562499999998</v>
      </c>
      <c r="HD120" s="5">
        <v>177.54497441520465</v>
      </c>
      <c r="HE120" s="5">
        <v>183.15757844129553</v>
      </c>
      <c r="HF120" s="5">
        <v>172.69313048245613</v>
      </c>
      <c r="HG120" s="5">
        <v>170.66888157894735</v>
      </c>
      <c r="HH120" s="39">
        <v>178.35090729075</v>
      </c>
      <c r="HI120" s="16"/>
      <c r="HJ120" s="19" t="str">
        <f t="shared" ref="HJ120" si="291">HJ119</f>
        <v>On</v>
      </c>
      <c r="HK120" s="1" t="str">
        <f t="shared" si="108"/>
        <v>On</v>
      </c>
      <c r="HL120" s="16"/>
      <c r="HM120" s="639">
        <f t="shared" si="266"/>
        <v>5.7455619280273196E-3</v>
      </c>
      <c r="HN120" s="639">
        <f t="shared" si="267"/>
        <v>5.0031960498701745E-4</v>
      </c>
      <c r="HO120" s="639">
        <f t="shared" si="268"/>
        <v>3.9819433988714835E-3</v>
      </c>
      <c r="HP120" s="644">
        <f>(FT120*$GD120-HM120)/$JF120*INDEX(Input!$1:$1048576,$JG$93,$C120*2+6)</f>
        <v>1.5060723450988718</v>
      </c>
      <c r="HQ120" s="644">
        <f>(FU120*$GD120-HN120)/$JF120*INDEX(Input!$1:$1048576,$JG$93,$C120*2+6)</f>
        <v>0.11745714235724768</v>
      </c>
      <c r="HR120" s="644">
        <f>(FV120*$GD120-HO120)/$JF120*INDEX(Input!$1:$1048576,$JG$93,$C120*2+6)</f>
        <v>-0.15214635761088185</v>
      </c>
      <c r="HS120" s="644">
        <f t="shared" si="269"/>
        <v>-0.56118802809824619</v>
      </c>
      <c r="HT120" s="644">
        <f t="shared" si="270"/>
        <v>0.46619376172519378</v>
      </c>
      <c r="HU120" s="644">
        <f t="shared" si="271"/>
        <v>0.45930031201859461</v>
      </c>
      <c r="HV120" s="648">
        <f t="shared" si="272"/>
        <v>0</v>
      </c>
      <c r="HW120" s="648">
        <f t="shared" si="273"/>
        <v>0</v>
      </c>
      <c r="HX120" s="648">
        <f t="shared" si="274"/>
        <v>0</v>
      </c>
      <c r="HY120" s="644">
        <f>INDEX(Input!$1:$1048576,HY$93,$C120*2+6)*INDEX(Input!$1:$1048576,$JG$93,$C120*2+6)</f>
        <v>110.00000000000001</v>
      </c>
      <c r="HZ120" s="644">
        <f>INDEX(Input!$1:$1048576,HZ$93,$C120*2+6)*INDEX(Input!$1:$1048576,$JG$93,$C120*2+6)</f>
        <v>157</v>
      </c>
      <c r="IA120" s="644">
        <f>INDEX(Input!$1:$1048576,IA$93,$C120*2+6)*INDEX(Input!$1:$1048576,$JG$93,$C120*2+6)</f>
        <v>179</v>
      </c>
      <c r="IB120" s="644">
        <f t="shared" si="249"/>
        <v>110.94488431700066</v>
      </c>
      <c r="IC120" s="644">
        <f t="shared" si="172"/>
        <v>157.58365090408245</v>
      </c>
      <c r="ID120" s="644">
        <f>IF(AND(INDEX(Input!$1:$1048576,IA$93,$C120*2+7)="TOS",Y120&lt;=INDEX(Y:Y,MATCH(C120*1000+2,A:A))),0,1)*MAX(IA120+HR120+HU120+HX120,0%)</f>
        <v>179.30715395440771</v>
      </c>
      <c r="IE120" s="128">
        <f t="shared" si="275"/>
        <v>0.24773569190356629</v>
      </c>
      <c r="IF120" s="128">
        <f t="shared" si="174"/>
        <v>0.35187827748656952</v>
      </c>
      <c r="IG120" s="128">
        <f t="shared" si="175"/>
        <v>0.40038603060986427</v>
      </c>
      <c r="IH120" s="21"/>
      <c r="II120" s="19">
        <f t="shared" si="276"/>
        <v>1240</v>
      </c>
      <c r="IJ120" s="19">
        <f t="shared" si="277"/>
        <v>2009.7221397149679</v>
      </c>
      <c r="IK120" s="19">
        <f t="shared" si="278"/>
        <v>2070</v>
      </c>
      <c r="IL120" s="19">
        <f t="shared" si="176"/>
        <v>30.000000000000227</v>
      </c>
      <c r="IM120" s="19">
        <f t="shared" si="177"/>
        <v>29.999999999999773</v>
      </c>
      <c r="IN120" s="19">
        <f t="shared" si="178"/>
        <v>15</v>
      </c>
      <c r="IO120" s="39">
        <f t="shared" si="279"/>
        <v>0</v>
      </c>
      <c r="IP120" s="39">
        <f t="shared" si="280"/>
        <v>0</v>
      </c>
      <c r="IQ120" s="39">
        <f t="shared" si="281"/>
        <v>0</v>
      </c>
      <c r="IR120" s="39">
        <v>0</v>
      </c>
      <c r="IS120" s="39">
        <v>0</v>
      </c>
      <c r="IT120" s="39">
        <v>0</v>
      </c>
      <c r="IU120" s="39">
        <v>0</v>
      </c>
      <c r="IV120" s="39">
        <v>0</v>
      </c>
      <c r="IW120" s="39">
        <v>0</v>
      </c>
      <c r="IX120" s="39">
        <f>INDEX(Input!$1:$1048576,IX$93,$C120*2+6)+INDEX(Input!$1:$1048576,IX$94,$C120*2+6)</f>
        <v>1270</v>
      </c>
      <c r="IY120" s="39">
        <f>INDEX(Input!$1:$1048576,IY$93,$C120*2+6)+INDEX(Input!$1:$1048576,IY$94,$C120*2+6)</f>
        <v>2130.0624533823611</v>
      </c>
      <c r="IZ120" s="39">
        <f>INDEX(Input!$1:$1048576,IZ$93,$C120*2+6)+INDEX(Input!$1:$1048576,IZ$94,$C120*2+6)</f>
        <v>4373.7164157747848</v>
      </c>
      <c r="JA120" s="19">
        <f t="shared" si="179"/>
        <v>1300.0000000000002</v>
      </c>
      <c r="JB120" s="19">
        <f t="shared" si="180"/>
        <v>2160.0624533823611</v>
      </c>
      <c r="JC120" s="19">
        <f t="shared" si="181"/>
        <v>4388.7164157747848</v>
      </c>
      <c r="JD120" s="19">
        <f t="shared" si="182"/>
        <v>2839.3162000186517</v>
      </c>
      <c r="JE120" s="21"/>
      <c r="JF120" s="1">
        <f t="shared" si="282"/>
        <v>1.022782493188582E-2</v>
      </c>
      <c r="JG120" s="15">
        <f>INDEX(Input!$1:$1048576,JG$93,$C120*2+6)/(1+VLOOKUP(C120*1000+INDEX(Input!$1:$1048576,JG$93+1,$C120*2+6),$A:$KK,$JK$92,FALSE))</f>
        <v>446</v>
      </c>
      <c r="JH120" s="1">
        <f t="shared" si="251"/>
        <v>3.2990653135543443E-3</v>
      </c>
      <c r="JI120" s="1">
        <f t="shared" si="252"/>
        <v>8.168296987568211E-4</v>
      </c>
      <c r="JJ120" s="1">
        <f t="shared" si="253"/>
        <v>0</v>
      </c>
      <c r="JK120" s="1">
        <f t="shared" si="254"/>
        <v>4.1158950123111656E-3</v>
      </c>
      <c r="JL120" s="15">
        <f t="shared" si="184"/>
        <v>1.8356891754907798</v>
      </c>
      <c r="JM120" s="15">
        <f t="shared" si="185"/>
        <v>447.83568917549076</v>
      </c>
      <c r="JN120" s="21"/>
      <c r="JO120" s="19">
        <f>INDEX(Input!$1:$1048576,JO$93,$C120*2+6)</f>
        <v>5995.5</v>
      </c>
      <c r="JP120" s="19">
        <f>INDEX(Input!$1:$1048576,JP$93,$C120*2+6)</f>
        <v>2818.4193802796353</v>
      </c>
      <c r="JQ120" s="39">
        <f t="shared" si="186"/>
        <v>3156.1837999813483</v>
      </c>
      <c r="JR120" s="39">
        <f t="shared" si="187"/>
        <v>20.896819739016337</v>
      </c>
      <c r="JS120" s="39">
        <f t="shared" si="188"/>
        <v>1.2715471272224883</v>
      </c>
      <c r="JT120" s="39">
        <f t="shared" si="189"/>
        <v>1.4532083617771044E-2</v>
      </c>
      <c r="JU120" s="385">
        <f>(JQ120*JM120-INDEX(Input!$1:$1048576,Input!A$18,$C120*2+6)*JL120*INDEX(Input!$1:$1048576,Input!A$19,$C120*2+6))/1000000</f>
        <v>1.4134517472291663</v>
      </c>
      <c r="JV120" s="39">
        <f t="shared" si="192"/>
        <v>-3.5262091661163453E-3</v>
      </c>
      <c r="JW120" s="1">
        <f t="shared" si="190"/>
        <v>-2.4885420060357438E-3</v>
      </c>
      <c r="JX120" s="19">
        <f t="shared" si="191"/>
        <v>7916.4184284552557</v>
      </c>
      <c r="JZ120" s="341"/>
      <c r="KA120" s="342"/>
      <c r="KB120" s="469">
        <f t="shared" si="110"/>
        <v>2.9286733661474216</v>
      </c>
      <c r="KI120" s="473">
        <f t="shared" si="283"/>
        <v>0.94488431700064268</v>
      </c>
      <c r="KJ120" s="473">
        <f t="shared" si="284"/>
        <v>0.58365090408244669</v>
      </c>
      <c r="KK120" s="473">
        <f t="shared" si="257"/>
        <v>0.30715395440770976</v>
      </c>
      <c r="KN120" s="544">
        <f t="shared" si="258"/>
        <v>1002</v>
      </c>
      <c r="KO120" s="541">
        <f t="shared" si="285"/>
        <v>0</v>
      </c>
      <c r="KP120" s="546">
        <f t="shared" si="286"/>
        <v>0</v>
      </c>
      <c r="KQ120" s="546">
        <f t="shared" si="287"/>
        <v>0</v>
      </c>
      <c r="KR120" s="548" t="e">
        <f t="shared" si="288"/>
        <v>#DIV/0!</v>
      </c>
      <c r="KS120" s="548" t="e">
        <f t="shared" si="289"/>
        <v>#DIV/0!</v>
      </c>
      <c r="KT120" s="473">
        <f t="shared" si="112"/>
        <v>238.28695973331548</v>
      </c>
      <c r="KU120" s="663">
        <f t="shared" si="290"/>
        <v>6.1897990671338352</v>
      </c>
      <c r="KV120" s="117"/>
    </row>
    <row r="121" spans="1:308" s="26" customFormat="1" ht="15">
      <c r="A121" s="561">
        <f t="shared" si="168"/>
        <v>1021</v>
      </c>
      <c r="B121" s="561">
        <f t="shared" si="104"/>
        <v>21</v>
      </c>
      <c r="C121" s="561">
        <f t="shared" si="105"/>
        <v>1</v>
      </c>
      <c r="D121" s="561" t="str">
        <f t="shared" ref="D121" si="292">IF(E121=INDEX(E:E,MATCH(C121*1000+2,A:A,0)),"",E121-INDEX(E:E,MATCH(C121*1000+2,A:A,0))&amp;E$100&amp;", ")
&amp;IF(F121=INDEX(F:F,MATCH(C121*1000+2,A:A,0)),"",F121-INDEX(F:F,MATCH(C121*1000+2,A:A,0))&amp;F$100&amp;", ")
&amp;IF(AM121=INDEX(AM:AM,MATCH(C121*1000+2,A:A,0)),"",AM121&amp;AM$100&amp;", ")
&amp;IF(AP121=INDEX(AP:AP,MATCH(C121*1000+2,A:A,0)),"",AP121&amp;AP$100&amp;", ")
&amp;IF(Q121=INDEX(Q:Q,MATCH(C121*1000+2,A:A,0)),"",Q121-INDEX(Q:Q,MATCH(C121*1000+2,A:A,0))&amp;Q$100&amp;", ")
&amp;IF(Y121=INDEX(Y:Y,MATCH(C121*1000+2,A:A,0)),"",Y121-INDEX(Y:Y,MATCH(C121*1000+2,A:A,0))&amp;Y$100&amp;", ")
&amp;IF(Z121=INDEX(Z:Z,MATCH(C121*1000+2,A:A,0)),"",Z121-INDEX(Z:Z,MATCH(C121*1000+2,A:A,0))&amp;Z$100&amp;", ")
&amp;IF(AA121=INDEX(AA:AA,MATCH(C121*1000+2,A:A,0)),"",AA121-INDEX(AA:AA,MATCH(C121*1000+2,A:A,0))&amp;AA$100&amp;", ")
&amp;IF(AC121=INDEX(AC:AC,MATCH(C121*1000+2,A:A,0)),"",AC121-INDEX(AC:AC,MATCH(C121*1000+2,A:A,0))&amp;AC$100&amp;", ")
&amp;IF(AE121=INDEX(AE:AE,MATCH(C121*1000+2,A:A,0)),"",AE121-INDEX(AE:AE,MATCH(C121*1000+2,A:A,0))&amp;AE$100&amp;", ")
&amp;IF(AG121=INDEX(AG:AG,MATCH(C121*1000+2,A:A,0)),"",AG121-INDEX(AG:AG,MATCH(C121*1000+2,A:A,0))&amp;AG$100&amp;", ")
&amp;IF(AI121=INDEX(AI:AI,MATCH(C121*1000+2,A:A,0)),"",AI121-INDEX(AI:AI,MATCH(C121*1000+2,A:A,0))&amp;AI$100&amp;", ")</f>
        <v xml:space="preserve">0/0/0.9/3.9, </v>
      </c>
      <c r="E121" s="475">
        <f>INDEX(Input!$1:$1048576,E$93,$C121*2+MIN($B121,2)+5)
+INDEX(Scenarios!E$121:E$200,MATCH($B121,Scenarios!$B$121:$B$200,0))</f>
        <v>1229</v>
      </c>
      <c r="F121" s="475">
        <f>INDEX(Input!$1:$1048576,F$93,$C121*2+MIN($B121,2)+5)
+INDEX(Scenarios!F$121:F$200,MATCH($B121,Scenarios!$B$121:$B$200,0))</f>
        <v>0</v>
      </c>
      <c r="G121" s="475">
        <f>INDEX(Input!$1:$1048576,G$93,$C121*2+MIN($B121,2)+5)
+INDEX(Scenarios!G$121:G$200,MATCH($B121,Scenarios!$B$121:$B$200,0))</f>
        <v>0</v>
      </c>
      <c r="H121" s="475">
        <f>INDEX(Input!$1:$1048576,H$93,$C121*2+MIN($B121,2)+5)
+INDEX(Scenarios!H$121:H$200,MATCH($B121,Scenarios!$B$121:$B$200,0))</f>
        <v>0</v>
      </c>
      <c r="I121" s="476">
        <f>INDEX(Input!$1:$1048576,I$93,$C121*2+MIN($B121,2)+5)</f>
        <v>0.7</v>
      </c>
      <c r="J121" s="476" t="str">
        <f>INDEX(Input!$1:$1048576,J$93,$C121*2+MIN($B121,2)+5)</f>
        <v>Market</v>
      </c>
      <c r="K121" s="476" t="str">
        <f>INDEX(Input!$1:$1048576,K$93,$C121*2+MIN($B121,2)+5)</f>
        <v>Market</v>
      </c>
      <c r="L121" s="476" t="str">
        <f>INDEX(Input!$1:$1048576,L$93,$C121*2+MIN($B121,2)+5)</f>
        <v>Market</v>
      </c>
      <c r="M121" s="476" t="str">
        <f>INDEX(Input!$1:$1048576,M$93,$C121*2+MIN($B121,2)+5)</f>
        <v>Market</v>
      </c>
      <c r="N121" s="476" t="str">
        <f>INDEX(Input!$1:$1048576,N$93,$C121*2+MIN($B121,2)+5)</f>
        <v>Market</v>
      </c>
      <c r="O121" s="476" t="str">
        <f>INDEX(Input!$1:$1048576,O$93,$C121*2+MIN($B121,2)+5)</f>
        <v>Market</v>
      </c>
      <c r="P121" s="476" t="str">
        <f>INDEX(Input!$1:$1048576,P$93,$C121*2+MIN($B121,2)+5)</f>
        <v>N</v>
      </c>
      <c r="Q121" s="477">
        <f>INDEX(Input!$1:$1048576,Q$93,$C121*2+MIN($B121,2)+5)
+INDEX(Scenarios!Q$121:Q$200,MATCH($B121,Scenarios!$B$121:$B$200,0))</f>
        <v>0</v>
      </c>
      <c r="R121" s="478">
        <f>IFERROR(MAX(0,INDEX(Input!$1:$1048576,R$93,$C121*2+MIN($B121,2)+5)
+INDEX(Scenarios!R$121:R$200,MATCH($B121,Scenarios!$B$121:$B$200,0)),),"Market")</f>
        <v>0</v>
      </c>
      <c r="S121" s="478">
        <f>IFERROR(MAX(0,INDEX(Input!$1:$1048576,S$93,$C121*2+MIN($B121,2)+5)
+INDEX(Scenarios!S$121:S$200,MATCH($B121,Scenarios!$B$121:$B$200,0)),),"Market")</f>
        <v>0</v>
      </c>
      <c r="T121" s="478">
        <f>IFERROR(MAX(0,INDEX(Input!$1:$1048576,T$93,$C121*2+MIN($B121,2)+5)
+INDEX(Scenarios!T$121:T$200,MATCH($B121,Scenarios!$B$121:$B$200,0)),),"Market")</f>
        <v>0</v>
      </c>
      <c r="U121" s="478">
        <f>IFERROR(MAX(0,INDEX(Input!$1:$1048576,U$93,$C121*2+MIN($B121,2)+5)
+INDEX(Scenarios!U$121:U$200,MATCH($B121,Scenarios!$B$121:$B$200,0)),),"Market")</f>
        <v>0</v>
      </c>
      <c r="V121" s="478">
        <f>IFERROR(MAX(0,INDEX(Input!$1:$1048576,V$93,$C121*2+MIN($B121,2)+5)
+INDEX(Scenarios!V$121:V$200,MATCH($B121,Scenarios!$B$121:$B$200,0)),),"Market")</f>
        <v>8.9999999999999993E-3</v>
      </c>
      <c r="W121" s="885">
        <f>IFERROR(MAX(0,INDEX(Input!$1:$1048576,W$93,$C121*2+MIN($B121,2)+5)-0%,),"Market")</f>
        <v>3.9E-2</v>
      </c>
      <c r="X121" s="476" t="str">
        <f>INDEX(Input!$1:$1048576,X$93,$C121*2+MIN($B121,2)+5)</f>
        <v>Y</v>
      </c>
      <c r="Y121" s="475">
        <f>INDEX(Input!$1:$1048576,Y$93,$C121*2+MIN($B121,2)+5)
++INDEX(Scenarios!Y$121:Y$200,MATCH($B121,Scenarios!$B$121:$B$200,0))</f>
        <v>1942</v>
      </c>
      <c r="Z121" s="477">
        <f>INDEX(Input!$1:$1048576,Z$93,$C121*2+MIN($B121,2)+5)
+INDEX(Scenarios!Z$121:Z$200,MATCH($B121,Scenarios!$B$121:$B$200,0))</f>
        <v>0</v>
      </c>
      <c r="AA121" s="475">
        <f>INDEX(Input!$1:$1048576,AA$93,$C121*2+MIN($B121,2)+5)
+INDEX(Scenarios!AA$121:AA$200,MATCH($B121,Scenarios!$B$121:$B$200,0))</f>
        <v>0</v>
      </c>
      <c r="AB121" s="476">
        <f>INDEX(Input!$1:$1048576,AB$93,$C121*2+MIN($B121,2)+5)</f>
        <v>0.27</v>
      </c>
      <c r="AC121" s="475">
        <f>INDEX(Input!$1:$1048576,AC$93,$C121*2+MIN($B121,2)+5)
+INDEX(Scenarios!AC$121:AC$200,MATCH($B121,Scenarios!$B$121:$B$200,0))</f>
        <v>0</v>
      </c>
      <c r="AD121" s="476">
        <f>INDEX(Input!$1:$1048576,AD$93,$C121*2+MIN($B121,2)+5)</f>
        <v>0.27</v>
      </c>
      <c r="AE121" s="475">
        <f>INDEX(Input!$1:$1048576,AE$93,$C121*2+MIN($B121,2)+5)
+INDEX(Scenarios!AE$121:AE$200,MATCH($B121,Scenarios!$B$121:$B$200,0))</f>
        <v>0</v>
      </c>
      <c r="AF121" s="476">
        <f>INDEX(Input!$1:$1048576,AF$93,$C121*2+MIN($B121,2)+5)</f>
        <v>0.38</v>
      </c>
      <c r="AG121" s="475">
        <f>INDEX(Input!$1:$1048576,AG$93,$C121*2+MIN($B121,2)+5)
+INDEX(Scenarios!AG$121:AG$200,MATCH($B121,Scenarios!$B$121:$B$200,0))</f>
        <v>0</v>
      </c>
      <c r="AH121" s="476">
        <f>INDEX(Input!$1:$1048576,AH$93,$C121*2+MIN($B121,2)+5)</f>
        <v>0</v>
      </c>
      <c r="AI121" s="475">
        <f>INDEX(Input!$1:$1048576,AI$93,$C121*2+MIN($B121,2)+5)
+INDEX(Scenarios!AI$121:AI$200,MATCH($B121,Scenarios!$B$121:$B$200,0))</f>
        <v>0</v>
      </c>
      <c r="AJ121" s="476">
        <f>INDEX(Input!$1:$1048576,AJ$93,$C121*2+MIN($B121,2)+5)</f>
        <v>0.27</v>
      </c>
      <c r="AK121" s="150">
        <f>ROUND(INDEX(Input!$1:$1048576,AK$93,$C120*2+MIN($B121,1)+5)+(Y121-VLOOKUP($C121*1000+1,$A:$HH,Y$92,FALSE)),0)</f>
        <v>3757</v>
      </c>
      <c r="AL121" s="150">
        <f>ROUND(INDEX(Input!$1:$1048576,AL$93,$C120*2+MIN($B121,1)+5)-(Y121-VLOOKUP($C121*1000+1,$A:$HH,Y$92,FALSE))/36,0)</f>
        <v>4113</v>
      </c>
      <c r="AM121" s="32" t="str">
        <f t="shared" si="169"/>
        <v>std/std/std/std</v>
      </c>
      <c r="AN121" s="32" t="str">
        <f t="shared" si="170"/>
        <v>$0 + 0/0/0/0.9/3.9</v>
      </c>
      <c r="AO121" s="32" t="str">
        <f t="shared" si="171"/>
        <v>0/0/0/0.9/3.9</v>
      </c>
      <c r="AP121" s="32" t="str">
        <f t="shared" si="73"/>
        <v>0/0/0.9/3.9</v>
      </c>
      <c r="AQ121" s="536">
        <f t="shared" si="39"/>
        <v>0.23812772600198689</v>
      </c>
      <c r="AR121" s="32"/>
      <c r="AS121" s="302"/>
      <c r="AT121" s="3">
        <f t="shared" si="106"/>
        <v>21</v>
      </c>
      <c r="AU121" s="41" t="s">
        <v>121</v>
      </c>
      <c r="AV121" s="41" t="s">
        <v>116</v>
      </c>
      <c r="AW121" s="41" t="str">
        <f>INDEX(Input!$1:$1048576,AW$93,$C121*2+6)</f>
        <v>Kia</v>
      </c>
      <c r="AX121" s="41" t="str">
        <f>INDEX(Input!$1:$1048576,AX$93,$C121*2+6)</f>
        <v>Kia-LR - L1</v>
      </c>
      <c r="AY121" s="41" t="str">
        <f>IF(LEN(D121)=0,"",INDEX(Input!$1:$1048576,AY$93,$C121*2+6))</f>
        <v>Compact SUV (52)</v>
      </c>
      <c r="AZ121" s="41" t="str">
        <f>INDEX(Input!$1:$1048576,AZ$93,$C121*2+6)</f>
        <v>Kia Soul</v>
      </c>
      <c r="BA121" s="3">
        <f>INDEX(Input!$1:$1048576,BA$93,$C121*2+6)</f>
        <v>2020</v>
      </c>
      <c r="BB121" s="128">
        <f>INDEX(Input!$1:$1048576,BB$93,$C121*2+6)</f>
        <v>1</v>
      </c>
      <c r="BC121" s="128">
        <f>INDEX(Input!$1:$1048576,BC$93,$C121*2+6)</f>
        <v>0.7</v>
      </c>
      <c r="BD121" s="1">
        <f>INDEX(Input!$1:$1048576,BD$93,$C121*2+6)</f>
        <v>4.4999999999999998E-2</v>
      </c>
      <c r="BE121" s="1">
        <f>INDEX(Input!$1:$1048576,BE$93,$C121*2+6)</f>
        <v>4.4999999999999998E-2</v>
      </c>
      <c r="BF121" s="1">
        <f>INDEX(Input!$1:$1048576,BF$93,$C121*2+6)</f>
        <v>0.05</v>
      </c>
      <c r="BG121" s="1">
        <f>INDEX(Input!$1:$1048576,BG$93,$C121*2+6)</f>
        <v>5.45E-2</v>
      </c>
      <c r="BH121" s="1">
        <f>INDEX(Input!$1:$1048576,BH$93,$C121*2+6)</f>
        <v>5.45E-2</v>
      </c>
      <c r="BI121" s="1">
        <f>INDEX(Input!$1:$1048576,BI$93,$C121*2+6)</f>
        <v>0.05</v>
      </c>
      <c r="BJ121" s="1">
        <f>INDEX(Input!$1:$1048576,BJ$93,$C121*2+6)</f>
        <v>0.05</v>
      </c>
      <c r="BK121" s="1">
        <f>INDEX(Input!$1:$1048576,BK$93,$C121*2+6)</f>
        <v>0.05</v>
      </c>
      <c r="BL121" s="1">
        <f>INDEX(Input!$1:$1048576,BL$93,$C121*2+6)</f>
        <v>5.5E-2</v>
      </c>
      <c r="BM121" s="1">
        <f>INDEX(Input!$1:$1048576,BM$93,$C121*2+6)</f>
        <v>0.06</v>
      </c>
      <c r="BN121" s="1">
        <f>INDEX(Input!$1:$1048576,BN$93,$C121*2+6)</f>
        <v>4.4999999999999998E-2</v>
      </c>
      <c r="BO121" s="1">
        <f>INDEX(Input!$1:$1048576,BO$93,$C121*2+6)</f>
        <v>4.4999999999999998E-2</v>
      </c>
      <c r="BP121" s="1">
        <f>INDEX(Input!$1:$1048576,BP$93,$C121*2+6)</f>
        <v>0.05</v>
      </c>
      <c r="BQ121" s="1">
        <f>INDEX(Input!$1:$1048576,BQ$93,$C121*2+6)</f>
        <v>5.45E-2</v>
      </c>
      <c r="BR121" s="1">
        <f>INDEX(Input!$1:$1048576,BR$93,$C121*2+6)</f>
        <v>5.45E-2</v>
      </c>
      <c r="BS121" s="1">
        <f>INDEX(Input!$1:$1048576,BS$93,$C121*2+6)</f>
        <v>0.05</v>
      </c>
      <c r="BT121" s="1">
        <f>INDEX(Input!$1:$1048576,BT$93,$C121*2+6)</f>
        <v>0.05</v>
      </c>
      <c r="BU121" s="1">
        <f>INDEX(Input!$1:$1048576,BU$93,$C121*2+6)</f>
        <v>0.05</v>
      </c>
      <c r="BV121" s="1">
        <f>INDEX(Input!$1:$1048576,BV$93,$C121*2+6)</f>
        <v>5.5E-2</v>
      </c>
      <c r="BW121" s="1">
        <f>INDEX(Input!$1:$1048576,BW$93,$C121*2+6)</f>
        <v>0.06</v>
      </c>
      <c r="BX121" s="127">
        <f>INDEX(Input!$1:$1048576,BX$93,$C121*2+6)</f>
        <v>19985</v>
      </c>
      <c r="BY121" s="20">
        <f>INDEX(Input!$1:$1048576,BY$93,$C121*2+6)</f>
        <v>0.1</v>
      </c>
      <c r="BZ121" s="20">
        <f>INDEX(Input!$1:$1048576,BZ$93,$C121*2+6)</f>
        <v>0.1</v>
      </c>
      <c r="CA121" s="20">
        <f>INDEX(Input!$1:$1048576,CA$93,$C121*2+6)</f>
        <v>0.1</v>
      </c>
      <c r="CB121" s="20">
        <f>INDEX(Input!$1:$1048576,CB$93,$C121*2+6)</f>
        <v>0.1</v>
      </c>
      <c r="CC121" s="20">
        <f>INDEX(Input!$1:$1048576,CC$93,$C121*2+6)</f>
        <v>0.1</v>
      </c>
      <c r="CD121" s="384">
        <f>INDEX(Input!$1:$1048576,CD$93,$C121*2+6)</f>
        <v>0.1</v>
      </c>
      <c r="CE121" s="384">
        <f>INDEX(Input!$1:$1048576,CE$93,$C121*2+6)</f>
        <v>0.1</v>
      </c>
      <c r="CF121" s="384">
        <f>INDEX(Input!$1:$1048576,CF$93,$C121*2+6)</f>
        <v>0.1</v>
      </c>
      <c r="CG121" s="384">
        <f>INDEX(Input!$1:$1048576,CG$93,$C121*2+6)</f>
        <v>0.1</v>
      </c>
      <c r="CH121" s="384">
        <f>INDEX(Input!$1:$1048576,CH$93,$C121*2+6)</f>
        <v>0.1</v>
      </c>
      <c r="CI121" s="304">
        <f t="shared" si="74"/>
        <v>1229</v>
      </c>
      <c r="CJ121" s="16" t="str">
        <f>INDEX(Input!$1:$1048576,CJ$93,$C121*2+6)</f>
        <v>N</v>
      </c>
      <c r="CK121" s="1" t="str">
        <f t="shared" si="75"/>
        <v>Market</v>
      </c>
      <c r="CL121" s="1" t="str">
        <f t="shared" si="76"/>
        <v>Market</v>
      </c>
      <c r="CM121" s="1" t="str">
        <f t="shared" si="77"/>
        <v>Market</v>
      </c>
      <c r="CN121" s="1" t="str">
        <f t="shared" si="78"/>
        <v>Market</v>
      </c>
      <c r="CO121" s="1" t="str">
        <f t="shared" si="79"/>
        <v>Market</v>
      </c>
      <c r="CP121" s="304">
        <f t="shared" si="80"/>
        <v>0</v>
      </c>
      <c r="CQ121" s="1">
        <f t="shared" si="81"/>
        <v>0</v>
      </c>
      <c r="CR121" s="1">
        <f t="shared" si="82"/>
        <v>0</v>
      </c>
      <c r="CS121" s="1">
        <f t="shared" si="83"/>
        <v>0</v>
      </c>
      <c r="CT121" s="1">
        <f t="shared" si="84"/>
        <v>8.9999999999999993E-3</v>
      </c>
      <c r="CU121" s="1">
        <f t="shared" si="85"/>
        <v>3.9E-2</v>
      </c>
      <c r="CV121" s="304">
        <f t="shared" si="86"/>
        <v>1942</v>
      </c>
      <c r="CW121" s="20" t="s">
        <v>122</v>
      </c>
      <c r="CX121" s="20" t="s">
        <v>122</v>
      </c>
      <c r="CY121" s="20" t="s">
        <v>122</v>
      </c>
      <c r="CZ121" s="20" t="s">
        <v>122</v>
      </c>
      <c r="DA121" s="20" t="s">
        <v>122</v>
      </c>
      <c r="DB121" s="503">
        <f t="shared" si="87"/>
        <v>0</v>
      </c>
      <c r="DC121" s="127">
        <v>0</v>
      </c>
      <c r="DD121" s="127">
        <v>0</v>
      </c>
      <c r="DE121" s="127">
        <v>0</v>
      </c>
      <c r="DF121" s="127">
        <v>0</v>
      </c>
      <c r="DG121" s="127">
        <v>0</v>
      </c>
      <c r="DH121" s="127">
        <v>0</v>
      </c>
      <c r="DI121" s="127">
        <v>0</v>
      </c>
      <c r="DJ121" s="127">
        <v>0</v>
      </c>
      <c r="DK121" s="127">
        <v>0</v>
      </c>
      <c r="DL121" s="127">
        <v>0</v>
      </c>
      <c r="DM121" s="304">
        <f>INDEX(Input!$1:$1048576,DM$93,$C121*2+6)</f>
        <v>21036.84210526316</v>
      </c>
      <c r="DN121" s="20">
        <v>0</v>
      </c>
      <c r="DO121" s="20">
        <v>0</v>
      </c>
      <c r="DP121" s="20">
        <v>0</v>
      </c>
      <c r="DQ121" s="20">
        <v>0</v>
      </c>
      <c r="DR121" s="20">
        <v>0</v>
      </c>
      <c r="DS121" s="20">
        <f>INDEX(Input!$1:$1048576,DS$93,$C121*2+6)</f>
        <v>0.6</v>
      </c>
      <c r="DT121" s="20">
        <f>INDEX(Input!$1:$1048576,DT$93,$C121*2+6)</f>
        <v>0.55000000000000004</v>
      </c>
      <c r="DU121" s="20">
        <f>INDEX(Input!$1:$1048576,DU$93,$C121*2+6)</f>
        <v>0.52</v>
      </c>
      <c r="DV121" s="20">
        <f>INDEX(Input!$1:$1048576,DV$93,$C121*2+6)</f>
        <v>0.5</v>
      </c>
      <c r="DW121" s="20">
        <f>INDEX(Input!$1:$1048576,DW$93,$C121*2+6)</f>
        <v>0.45</v>
      </c>
      <c r="DX121" s="20"/>
      <c r="DY121" s="7">
        <v>9.6308853512836606E-2</v>
      </c>
      <c r="DZ121" s="7">
        <v>0</v>
      </c>
      <c r="EA121" s="7">
        <v>0.46034905598936271</v>
      </c>
      <c r="EB121" s="7">
        <v>0</v>
      </c>
      <c r="EC121" s="7">
        <v>0</v>
      </c>
      <c r="ED121" s="7">
        <v>0</v>
      </c>
      <c r="EE121" s="7">
        <v>0</v>
      </c>
      <c r="EF121" s="7">
        <v>0</v>
      </c>
      <c r="EG121" s="7">
        <v>0</v>
      </c>
      <c r="EH121" s="7">
        <v>1.4789192705906975E-2</v>
      </c>
      <c r="EI121" s="7">
        <v>4.3188566954775416E-2</v>
      </c>
      <c r="EJ121" s="7">
        <v>0.27281740913088937</v>
      </c>
      <c r="EK121" s="7">
        <v>0.58408530924176327</v>
      </c>
      <c r="EL121" s="7">
        <v>8.5119521966665126E-2</v>
      </c>
      <c r="EM121" s="7">
        <v>6.0266353694378438E-2</v>
      </c>
      <c r="EN121" s="7">
        <v>5.0824256578978516E-2</v>
      </c>
      <c r="EO121" s="7">
        <v>0.76815678085538364</v>
      </c>
      <c r="EP121" s="7">
        <v>7.9058197430733598E-2</v>
      </c>
      <c r="EQ121" s="7">
        <v>6.027119863119898E-2</v>
      </c>
      <c r="ER121" s="7">
        <v>4.1689566503705235E-2</v>
      </c>
      <c r="ES121" s="7">
        <v>0.38307573680342216</v>
      </c>
      <c r="ET121" s="7">
        <v>0.44334209049780071</v>
      </c>
      <c r="EU121" s="6">
        <v>1270</v>
      </c>
      <c r="EV121" s="6">
        <v>0</v>
      </c>
      <c r="EW121" s="6">
        <v>1270</v>
      </c>
      <c r="EX121" s="6">
        <v>0</v>
      </c>
      <c r="EY121" s="6">
        <v>2319.849177339911</v>
      </c>
      <c r="EZ121" s="6">
        <v>2085</v>
      </c>
      <c r="FA121" s="6">
        <v>0</v>
      </c>
      <c r="FB121" s="6">
        <v>0</v>
      </c>
      <c r="FC121" s="6">
        <v>0</v>
      </c>
      <c r="FD121" s="6">
        <v>0</v>
      </c>
      <c r="FE121" s="6">
        <v>0</v>
      </c>
      <c r="FF121" s="6">
        <v>0</v>
      </c>
      <c r="FG121" s="6">
        <v>0</v>
      </c>
      <c r="FH121" s="6">
        <v>1171.2811379695618</v>
      </c>
      <c r="FI121" s="6">
        <v>1553.9796069512402</v>
      </c>
      <c r="FJ121" s="6">
        <v>2101.2110117447414</v>
      </c>
      <c r="FK121" s="6">
        <v>2251.3078348034678</v>
      </c>
      <c r="FL121" s="6">
        <v>907.07682140966347</v>
      </c>
      <c r="FM121" s="6">
        <v>2049.849177339911</v>
      </c>
      <c r="FN121" s="6">
        <v>0</v>
      </c>
      <c r="FO121" s="6">
        <v>0</v>
      </c>
      <c r="FP121" s="6">
        <v>0</v>
      </c>
      <c r="FQ121" s="6">
        <v>0</v>
      </c>
      <c r="FR121" s="6">
        <v>0</v>
      </c>
      <c r="FS121" s="6">
        <v>0</v>
      </c>
      <c r="FT121" s="7">
        <v>0.55665790950219929</v>
      </c>
      <c r="FU121" s="7">
        <v>6.0266353694378438E-2</v>
      </c>
      <c r="FV121" s="7">
        <v>0.38307573680342216</v>
      </c>
      <c r="FW121" s="6">
        <v>1270</v>
      </c>
      <c r="FX121" s="6">
        <v>2319.849177339911</v>
      </c>
      <c r="FY121" s="6">
        <v>2085</v>
      </c>
      <c r="FZ121" s="6">
        <v>1952.7147957719815</v>
      </c>
      <c r="GA121" s="6">
        <v>1645.4773073421081</v>
      </c>
      <c r="GB121" s="6">
        <v>18339.522692657891</v>
      </c>
      <c r="GC121" s="7">
        <v>1.0519917368675835E-2</v>
      </c>
      <c r="GD121" s="7">
        <v>1.0291623766984401E-2</v>
      </c>
      <c r="GE121" s="7"/>
      <c r="GF121" s="7"/>
      <c r="GG121" s="7">
        <v>-2.1701083163561917E-2</v>
      </c>
      <c r="GH121" s="42">
        <v>1.4115990507544318</v>
      </c>
      <c r="GI121" s="6">
        <v>15803.180225404414</v>
      </c>
      <c r="GJ121" s="14">
        <v>0.50394797582841744</v>
      </c>
      <c r="GK121" s="14">
        <v>0.50887573065309744</v>
      </c>
      <c r="GL121" s="14">
        <v>0.49605202417158284</v>
      </c>
      <c r="GM121" s="14">
        <v>0.49112426934690245</v>
      </c>
      <c r="GO121" s="5">
        <v>343.14810671672558</v>
      </c>
      <c r="GP121" s="5">
        <v>318.91892952659737</v>
      </c>
      <c r="GQ121" s="5">
        <v>535.04305713031317</v>
      </c>
      <c r="GR121" s="5">
        <v>410.15490233172511</v>
      </c>
      <c r="GS121" s="5">
        <v>339.42744393800166</v>
      </c>
      <c r="GT121" s="5">
        <v>293.4407446948278</v>
      </c>
      <c r="GU121" s="5">
        <v>258.04012322764959</v>
      </c>
      <c r="GV121" s="39" t="s">
        <v>392</v>
      </c>
      <c r="GW121" s="5">
        <v>492.125</v>
      </c>
      <c r="GX121" s="5">
        <v>369.09375</v>
      </c>
      <c r="GY121" s="5">
        <v>295.27499999999998</v>
      </c>
      <c r="GZ121" s="5">
        <v>252.85821728143046</v>
      </c>
      <c r="HA121" s="5">
        <v>241.34874471337258</v>
      </c>
      <c r="HB121" s="39">
        <v>272.00918188838421</v>
      </c>
      <c r="HC121" s="5">
        <v>196.06562499999998</v>
      </c>
      <c r="HD121" s="5">
        <v>177.54497441520465</v>
      </c>
      <c r="HE121" s="5">
        <v>183.15757844129553</v>
      </c>
      <c r="HF121" s="5">
        <v>172.69313048245613</v>
      </c>
      <c r="HG121" s="5">
        <v>170.66888157894735</v>
      </c>
      <c r="HH121" s="39">
        <v>178.35090729075003</v>
      </c>
      <c r="HI121" s="16"/>
      <c r="HJ121" s="19" t="str">
        <f t="shared" ref="HJ121" si="293">HJ120</f>
        <v>On</v>
      </c>
      <c r="HK121" s="1" t="str">
        <f t="shared" si="108"/>
        <v>On</v>
      </c>
      <c r="HL121" s="16"/>
      <c r="HM121" s="639">
        <f t="shared" si="266"/>
        <v>5.7455619280273196E-3</v>
      </c>
      <c r="HN121" s="639">
        <f t="shared" si="267"/>
        <v>5.0031960498701745E-4</v>
      </c>
      <c r="HO121" s="639">
        <f t="shared" si="268"/>
        <v>3.9819433988714835E-3</v>
      </c>
      <c r="HP121" s="644">
        <f>(FT121*$GD121-HM121)/$JF121*INDEX(Input!$1:$1048576,$JG$93,$C121*2+6)</f>
        <v>-0.72596841019233938</v>
      </c>
      <c r="HQ121" s="644">
        <f>(FU121*$GD121-HN121)/$JF121*INDEX(Input!$1:$1048576,$JG$93,$C121*2+6)</f>
        <v>5.2292534427997426</v>
      </c>
      <c r="HR121" s="644">
        <f>(FV121*$GD121-HO121)/$JF121*INDEX(Input!$1:$1048576,$JG$93,$C121*2+6)</f>
        <v>-1.7212389335137153</v>
      </c>
      <c r="HS121" s="644">
        <f t="shared" si="269"/>
        <v>-0.74759047891935548</v>
      </c>
      <c r="HT121" s="644">
        <f t="shared" si="270"/>
        <v>7.0687077107342393</v>
      </c>
      <c r="HU121" s="644">
        <f t="shared" si="271"/>
        <v>0.64570276283970629</v>
      </c>
      <c r="HV121" s="648">
        <f t="shared" si="272"/>
        <v>0</v>
      </c>
      <c r="HW121" s="648">
        <f t="shared" si="273"/>
        <v>0</v>
      </c>
      <c r="HX121" s="648">
        <f t="shared" si="274"/>
        <v>0</v>
      </c>
      <c r="HY121" s="644">
        <f>INDEX(Input!$1:$1048576,HY$93,$C121*2+6)*INDEX(Input!$1:$1048576,$JG$93,$C121*2+6)</f>
        <v>110.00000000000001</v>
      </c>
      <c r="HZ121" s="644">
        <f>INDEX(Input!$1:$1048576,HZ$93,$C121*2+6)*INDEX(Input!$1:$1048576,$JG$93,$C121*2+6)</f>
        <v>157</v>
      </c>
      <c r="IA121" s="644">
        <f>INDEX(Input!$1:$1048576,IA$93,$C121*2+6)*INDEX(Input!$1:$1048576,$JG$93,$C121*2+6)</f>
        <v>179</v>
      </c>
      <c r="IB121" s="644">
        <f t="shared" si="249"/>
        <v>108.5264411108883</v>
      </c>
      <c r="IC121" s="644">
        <f t="shared" si="172"/>
        <v>169.29796115353398</v>
      </c>
      <c r="ID121" s="644">
        <f>IF(AND(INDEX(Input!$1:$1048576,IA$93,$C121*2+7)="TOS",Y121&lt;=INDEX(Y:Y,MATCH(C121*1000+2,A:A))),0,1)*MAX(IA121+HR121+HU121+HX121,0%)</f>
        <v>177.92446382932599</v>
      </c>
      <c r="IE121" s="128">
        <f t="shared" si="275"/>
        <v>0.23812772600198689</v>
      </c>
      <c r="IF121" s="128">
        <f t="shared" si="174"/>
        <v>0.37147204030280379</v>
      </c>
      <c r="IG121" s="128">
        <f t="shared" si="175"/>
        <v>0.39040023369520938</v>
      </c>
      <c r="IH121" s="21"/>
      <c r="II121" s="19">
        <f t="shared" si="276"/>
        <v>1240</v>
      </c>
      <c r="IJ121" s="19">
        <f t="shared" si="277"/>
        <v>2009.7221397149679</v>
      </c>
      <c r="IK121" s="19">
        <f t="shared" si="278"/>
        <v>2070</v>
      </c>
      <c r="IL121" s="19">
        <f t="shared" si="176"/>
        <v>30</v>
      </c>
      <c r="IM121" s="19">
        <f t="shared" si="177"/>
        <v>310.12703762494311</v>
      </c>
      <c r="IN121" s="19">
        <f t="shared" si="178"/>
        <v>15</v>
      </c>
      <c r="IO121" s="39">
        <f t="shared" si="279"/>
        <v>0</v>
      </c>
      <c r="IP121" s="39">
        <f t="shared" si="280"/>
        <v>0</v>
      </c>
      <c r="IQ121" s="39">
        <f t="shared" si="281"/>
        <v>0</v>
      </c>
      <c r="IR121" s="39">
        <v>0</v>
      </c>
      <c r="IS121" s="39">
        <v>0</v>
      </c>
      <c r="IT121" s="39">
        <v>0</v>
      </c>
      <c r="IU121" s="39">
        <v>0</v>
      </c>
      <c r="IV121" s="39">
        <v>0</v>
      </c>
      <c r="IW121" s="39">
        <v>0</v>
      </c>
      <c r="IX121" s="39">
        <f>INDEX(Input!$1:$1048576,IX$93,$C121*2+6)+INDEX(Input!$1:$1048576,IX$94,$C121*2+6)</f>
        <v>1270</v>
      </c>
      <c r="IY121" s="39">
        <f>INDEX(Input!$1:$1048576,IY$93,$C121*2+6)+INDEX(Input!$1:$1048576,IY$94,$C121*2+6)</f>
        <v>2130.0624533823611</v>
      </c>
      <c r="IZ121" s="39">
        <f>INDEX(Input!$1:$1048576,IZ$93,$C121*2+6)+INDEX(Input!$1:$1048576,IZ$94,$C121*2+6)</f>
        <v>4373.7164157747848</v>
      </c>
      <c r="JA121" s="19">
        <f t="shared" si="179"/>
        <v>1300</v>
      </c>
      <c r="JB121" s="19">
        <f t="shared" si="180"/>
        <v>2440.1894910073042</v>
      </c>
      <c r="JC121" s="19">
        <f t="shared" si="181"/>
        <v>4388.7164157747848</v>
      </c>
      <c r="JD121" s="19">
        <f t="shared" si="182"/>
        <v>2929.3841270930043</v>
      </c>
      <c r="JE121" s="21"/>
      <c r="JF121" s="1">
        <f t="shared" si="282"/>
        <v>1.022782493188582E-2</v>
      </c>
      <c r="JG121" s="15">
        <f>INDEX(Input!$1:$1048576,JG$93,$C121*2+6)/(1+VLOOKUP(C121*1000+INDEX(Input!$1:$1048576,JG$93+1,$C121*2+6),$A:$KK,$JK$92,FALSE))</f>
        <v>446</v>
      </c>
      <c r="JH121" s="1">
        <f t="shared" si="251"/>
        <v>6.2377715226315869E-3</v>
      </c>
      <c r="JI121" s="1">
        <f t="shared" si="252"/>
        <v>1.5620672633754686E-2</v>
      </c>
      <c r="JJ121" s="1">
        <f t="shared" si="253"/>
        <v>0</v>
      </c>
      <c r="JK121" s="1">
        <f t="shared" si="254"/>
        <v>2.1858444156386273E-2</v>
      </c>
      <c r="JL121" s="15">
        <f t="shared" si="184"/>
        <v>9.7488660937482781</v>
      </c>
      <c r="JM121" s="15">
        <f t="shared" si="185"/>
        <v>455.74886609374829</v>
      </c>
      <c r="JN121" s="21"/>
      <c r="JO121" s="19">
        <f>INDEX(Input!$1:$1048576,JO$93,$C121*2+6)</f>
        <v>5995.5</v>
      </c>
      <c r="JP121" s="19">
        <f>INDEX(Input!$1:$1048576,JP$93,$C121*2+6)</f>
        <v>2818.4193802796353</v>
      </c>
      <c r="JQ121" s="39">
        <f t="shared" si="186"/>
        <v>3066.1158729069957</v>
      </c>
      <c r="JR121" s="39">
        <f t="shared" si="187"/>
        <v>110.96474681336895</v>
      </c>
      <c r="JS121" s="39">
        <f t="shared" si="188"/>
        <v>1.3350634942756614</v>
      </c>
      <c r="JT121" s="39">
        <f t="shared" si="189"/>
        <v>7.8048450670944056E-2</v>
      </c>
      <c r="JU121" s="385">
        <f>(JQ121*JM121-INDEX(Input!$1:$1048576,Input!A$18,$C121*2+6)*JL121*INDEX(Input!$1:$1048576,Input!A$19,$C121*2+6))/1000000</f>
        <v>1.3973788323894065</v>
      </c>
      <c r="JV121" s="39">
        <f t="shared" si="192"/>
        <v>-1.9599124005876156E-2</v>
      </c>
      <c r="JW121" s="1">
        <f t="shared" si="190"/>
        <v>-1.3831636489063878E-2</v>
      </c>
      <c r="JX121" s="19">
        <f t="shared" si="191"/>
        <v>8005.9003704025345</v>
      </c>
      <c r="JZ121" s="341"/>
      <c r="KA121" s="342"/>
      <c r="KB121" s="469">
        <f t="shared" si="110"/>
        <v>2.9286733661474216</v>
      </c>
      <c r="KI121" s="473">
        <f t="shared" si="283"/>
        <v>-1.4735588891117004</v>
      </c>
      <c r="KJ121" s="473">
        <f t="shared" si="284"/>
        <v>12.297961153534004</v>
      </c>
      <c r="KK121" s="473">
        <f t="shared" si="257"/>
        <v>-1.0755361706739848</v>
      </c>
      <c r="KN121" s="544">
        <f t="shared" si="258"/>
        <v>1002</v>
      </c>
      <c r="KO121" s="541">
        <f t="shared" si="285"/>
        <v>1.766982201178835E-2</v>
      </c>
      <c r="KP121" s="546">
        <f t="shared" si="286"/>
        <v>104.05936221051793</v>
      </c>
      <c r="KQ121" s="546">
        <f t="shared" si="287"/>
        <v>90.06792707435261</v>
      </c>
      <c r="KR121" s="548">
        <f t="shared" si="288"/>
        <v>2.911426464474824</v>
      </c>
      <c r="KS121" s="548">
        <f t="shared" si="289"/>
        <v>3.3636966105145696</v>
      </c>
      <c r="KT121" s="473">
        <f t="shared" si="112"/>
        <v>238.28695973331548</v>
      </c>
      <c r="KU121" s="663">
        <f t="shared" si="290"/>
        <v>6.2260443239542589</v>
      </c>
      <c r="KV121" s="117"/>
    </row>
    <row r="122" spans="1:308" s="26" customFormat="1" ht="15">
      <c r="A122" s="561">
        <f t="shared" si="168"/>
        <v>1022</v>
      </c>
      <c r="B122" s="561">
        <f t="shared" si="104"/>
        <v>22</v>
      </c>
      <c r="C122" s="561">
        <f t="shared" si="105"/>
        <v>1</v>
      </c>
      <c r="D122" s="561" t="str">
        <f t="shared" ref="D122:D185" si="294">IF(E122=INDEX(E:E,MATCH(C122*1000+2,A:A,0)),"",E122-INDEX(E:E,MATCH(C122*1000+2,A:A,0))&amp;E$100&amp;", ")
&amp;IF(F122=INDEX(F:F,MATCH(C122*1000+2,A:A,0)),"",F122-INDEX(F:F,MATCH(C122*1000+2,A:A,0))&amp;F$100&amp;", ")
&amp;IF(AM122=INDEX(AM:AM,MATCH(C122*1000+2,A:A,0)),"",AM122&amp;AM$100&amp;", ")
&amp;IF(AP122=INDEX(AP:AP,MATCH(C122*1000+2,A:A,0)),"",AP122&amp;AP$100&amp;", ")
&amp;IF(Q122=INDEX(Q:Q,MATCH(C122*1000+2,A:A,0)),"",Q122-INDEX(Q:Q,MATCH(C122*1000+2,A:A,0))&amp;Q$100&amp;", ")
&amp;IF(Y122=INDEX(Y:Y,MATCH(C122*1000+2,A:A,0)),"",Y122-INDEX(Y:Y,MATCH(C122*1000+2,A:A,0))&amp;Y$100&amp;", ")
&amp;IF(Z122=INDEX(Z:Z,MATCH(C122*1000+2,A:A,0)),"",Z122-INDEX(Z:Z,MATCH(C122*1000+2,A:A,0))&amp;Z$100&amp;", ")
&amp;IF(AA122=INDEX(AA:AA,MATCH(C122*1000+2,A:A,0)),"",AA122-INDEX(AA:AA,MATCH(C122*1000+2,A:A,0))&amp;AA$100&amp;", ")
&amp;IF(AC122=INDEX(AC:AC,MATCH(C122*1000+2,A:A,0)),"",AC122-INDEX(AC:AC,MATCH(C122*1000+2,A:A,0))&amp;AC$100&amp;", ")
&amp;IF(AE122=INDEX(AE:AE,MATCH(C122*1000+2,A:A,0)),"",AE122-INDEX(AE:AE,MATCH(C122*1000+2,A:A,0))&amp;AE$100&amp;", ")
&amp;IF(AG122=INDEX(AG:AG,MATCH(C122*1000+2,A:A,0)),"",AG122-INDEX(AG:AG,MATCH(C122*1000+2,A:A,0))&amp;AG$100&amp;", ")
&amp;IF(AI122=INDEX(AI:AI,MATCH(C122*1000+2,A:A,0)),"",AI122-INDEX(AI:AI,MATCH(C122*1000+2,A:A,0))&amp;AI$100&amp;", ")</f>
        <v xml:space="preserve">0/1.9/2.9/3.9, </v>
      </c>
      <c r="E122" s="475">
        <f>INDEX(Input!$1:$1048576,E$93,$C122*2+MIN($B122,2)+5)
+INDEX(Scenarios!E$121:E$200,MATCH($B122,Scenarios!$B$121:$B$200,0))</f>
        <v>1229</v>
      </c>
      <c r="F122" s="475">
        <f>INDEX(Input!$1:$1048576,F$93,$C122*2+MIN($B122,2)+5)
+INDEX(Scenarios!F$121:F$200,MATCH($B122,Scenarios!$B$121:$B$200,0))</f>
        <v>0</v>
      </c>
      <c r="G122" s="475">
        <f>INDEX(Input!$1:$1048576,G$93,$C122*2+MIN($B122,2)+5)
+INDEX(Scenarios!G$121:G$200,MATCH($B122,Scenarios!$B$121:$B$200,0))</f>
        <v>0</v>
      </c>
      <c r="H122" s="475">
        <f>INDEX(Input!$1:$1048576,H$93,$C122*2+MIN($B122,2)+5)
+INDEX(Scenarios!H$121:H$200,MATCH($B122,Scenarios!$B$121:$B$200,0))</f>
        <v>0</v>
      </c>
      <c r="I122" s="476">
        <f>INDEX(Input!$1:$1048576,I$93,$C122*2+MIN($B122,2)+5)</f>
        <v>0.7</v>
      </c>
      <c r="J122" s="476" t="str">
        <f>INDEX(Input!$1:$1048576,J$93,$C122*2+MIN($B122,2)+5)</f>
        <v>Market</v>
      </c>
      <c r="K122" s="476" t="str">
        <f>INDEX(Input!$1:$1048576,K$93,$C122*2+MIN($B122,2)+5)</f>
        <v>Market</v>
      </c>
      <c r="L122" s="476" t="str">
        <f>INDEX(Input!$1:$1048576,L$93,$C122*2+MIN($B122,2)+5)</f>
        <v>Market</v>
      </c>
      <c r="M122" s="476" t="str">
        <f>INDEX(Input!$1:$1048576,M$93,$C122*2+MIN($B122,2)+5)</f>
        <v>Market</v>
      </c>
      <c r="N122" s="476" t="str">
        <f>INDEX(Input!$1:$1048576,N$93,$C122*2+MIN($B122,2)+5)</f>
        <v>Market</v>
      </c>
      <c r="O122" s="476" t="str">
        <f>INDEX(Input!$1:$1048576,O$93,$C122*2+MIN($B122,2)+5)</f>
        <v>Market</v>
      </c>
      <c r="P122" s="476" t="str">
        <f>INDEX(Input!$1:$1048576,P$93,$C122*2+MIN($B122,2)+5)</f>
        <v>N</v>
      </c>
      <c r="Q122" s="477">
        <f>INDEX(Input!$1:$1048576,Q$93,$C122*2+MIN($B122,2)+5)
+INDEX(Scenarios!Q$121:Q$200,MATCH($B122,Scenarios!$B$121:$B$200,0))</f>
        <v>0</v>
      </c>
      <c r="R122" s="478">
        <f>IFERROR(MAX(0,INDEX(Input!$1:$1048576,R$93,$C122*2+MIN($B122,2)+5)
+INDEX(Scenarios!R$121:R$200,MATCH($B122,Scenarios!$B$121:$B$200,0)),),"Market")</f>
        <v>0</v>
      </c>
      <c r="S122" s="478">
        <f>IFERROR(MAX(0,INDEX(Input!$1:$1048576,S$93,$C122*2+MIN($B122,2)+5)
+INDEX(Scenarios!S$121:S$200,MATCH($B122,Scenarios!$B$121:$B$200,0)),),"Market")</f>
        <v>0</v>
      </c>
      <c r="T122" s="478">
        <f>IFERROR(MAX(0,INDEX(Input!$1:$1048576,T$93,$C122*2+MIN($B122,2)+5)
+INDEX(Scenarios!T$121:T$200,MATCH($B122,Scenarios!$B$121:$B$200,0)),),"Market")</f>
        <v>0</v>
      </c>
      <c r="U122" s="478">
        <f>IFERROR(MAX(0,INDEX(Input!$1:$1048576,U$93,$C122*2+MIN($B122,2)+5)
+INDEX(Scenarios!U$121:U$200,MATCH($B122,Scenarios!$B$121:$B$200,0)),),"Market")</f>
        <v>0</v>
      </c>
      <c r="V122" s="478">
        <f>IFERROR(MAX(0,INDEX(Input!$1:$1048576,V$93,$C122*2+MIN($B122,2)+5)
+INDEX(Scenarios!V$121:V$200,MATCH($B122,Scenarios!$B$121:$B$200,0)),),"Market")</f>
        <v>2.8999999999999998E-2</v>
      </c>
      <c r="W122" s="885">
        <f>IFERROR(MAX(0,INDEX(Input!$1:$1048576,W$93,$C122*2+MIN($B122,2)+5)-0%,),"Market")</f>
        <v>3.9E-2</v>
      </c>
      <c r="X122" s="476" t="str">
        <f>INDEX(Input!$1:$1048576,X$93,$C122*2+MIN($B122,2)+5)</f>
        <v>Y</v>
      </c>
      <c r="Y122" s="475">
        <f>INDEX(Input!$1:$1048576,Y$93,$C122*2+MIN($B122,2)+5)
++INDEX(Scenarios!Y$121:Y$200,MATCH($B122,Scenarios!$B$121:$B$200,0))</f>
        <v>1942</v>
      </c>
      <c r="Z122" s="477">
        <f>INDEX(Input!$1:$1048576,Z$93,$C122*2+MIN($B122,2)+5)
+INDEX(Scenarios!Z$121:Z$200,MATCH($B122,Scenarios!$B$121:$B$200,0))</f>
        <v>0</v>
      </c>
      <c r="AA122" s="475">
        <f>INDEX(Input!$1:$1048576,AA$93,$C122*2+MIN($B122,2)+5)
+INDEX(Scenarios!AA$121:AA$200,MATCH($B122,Scenarios!$B$121:$B$200,0))</f>
        <v>0</v>
      </c>
      <c r="AB122" s="476">
        <f>INDEX(Input!$1:$1048576,AB$93,$C122*2+MIN($B122,2)+5)</f>
        <v>0.27</v>
      </c>
      <c r="AC122" s="475">
        <f>INDEX(Input!$1:$1048576,AC$93,$C122*2+MIN($B122,2)+5)
+INDEX(Scenarios!AC$121:AC$200,MATCH($B122,Scenarios!$B$121:$B$200,0))</f>
        <v>0</v>
      </c>
      <c r="AD122" s="476">
        <f>INDEX(Input!$1:$1048576,AD$93,$C122*2+MIN($B122,2)+5)</f>
        <v>0.27</v>
      </c>
      <c r="AE122" s="475">
        <f>INDEX(Input!$1:$1048576,AE$93,$C122*2+MIN($B122,2)+5)
+INDEX(Scenarios!AE$121:AE$200,MATCH($B122,Scenarios!$B$121:$B$200,0))</f>
        <v>0</v>
      </c>
      <c r="AF122" s="476">
        <f>INDEX(Input!$1:$1048576,AF$93,$C122*2+MIN($B122,2)+5)</f>
        <v>0.38</v>
      </c>
      <c r="AG122" s="475">
        <f>INDEX(Input!$1:$1048576,AG$93,$C122*2+MIN($B122,2)+5)
+INDEX(Scenarios!AG$121:AG$200,MATCH($B122,Scenarios!$B$121:$B$200,0))</f>
        <v>0</v>
      </c>
      <c r="AH122" s="476">
        <f>INDEX(Input!$1:$1048576,AH$93,$C122*2+MIN($B122,2)+5)</f>
        <v>0</v>
      </c>
      <c r="AI122" s="475">
        <f>INDEX(Input!$1:$1048576,AI$93,$C122*2+MIN($B122,2)+5)
+INDEX(Scenarios!AI$121:AI$200,MATCH($B122,Scenarios!$B$121:$B$200,0))</f>
        <v>0</v>
      </c>
      <c r="AJ122" s="476">
        <f>INDEX(Input!$1:$1048576,AJ$93,$C122*2+MIN($B122,2)+5)</f>
        <v>0.27</v>
      </c>
      <c r="AK122" s="150">
        <f>ROUND(INDEX(Input!$1:$1048576,AK$93,$C121*2+MIN($B122,1)+5)+(Y122-VLOOKUP($C122*1000+1,$A:$HH,Y$92,FALSE)),0)</f>
        <v>3757</v>
      </c>
      <c r="AL122" s="150">
        <f>ROUND(INDEX(Input!$1:$1048576,AL$93,$C121*2+MIN($B122,1)+5)-(Y122-VLOOKUP($C122*1000+1,$A:$HH,Y$92,FALSE))/36,0)</f>
        <v>4113</v>
      </c>
      <c r="AM122" s="32" t="str">
        <f t="shared" si="169"/>
        <v>std/std/std/std</v>
      </c>
      <c r="AN122" s="32" t="str">
        <f t="shared" si="170"/>
        <v>$0 + 0/0/0/2.9/3.9</v>
      </c>
      <c r="AO122" s="32" t="str">
        <f t="shared" si="171"/>
        <v>0/0/0/2.9/3.9</v>
      </c>
      <c r="AP122" s="32" t="str">
        <f t="shared" si="73"/>
        <v>0/1.9/2.9/3.9</v>
      </c>
      <c r="AQ122" s="536">
        <f t="shared" si="39"/>
        <v>0.25436802996063579</v>
      </c>
      <c r="AR122" s="32"/>
      <c r="AS122" s="302"/>
      <c r="AT122" s="3">
        <f t="shared" si="106"/>
        <v>22</v>
      </c>
      <c r="AU122" s="41" t="s">
        <v>121</v>
      </c>
      <c r="AV122" s="41" t="s">
        <v>116</v>
      </c>
      <c r="AW122" s="41" t="str">
        <f>INDEX(Input!$1:$1048576,AW$93,$C122*2+6)</f>
        <v>Kia</v>
      </c>
      <c r="AX122" s="41" t="str">
        <f>INDEX(Input!$1:$1048576,AX$93,$C122*2+6)</f>
        <v>Kia-LR - L1</v>
      </c>
      <c r="AY122" s="41" t="str">
        <f>IF(LEN(D122)=0,"",INDEX(Input!$1:$1048576,AY$93,$C122*2+6))</f>
        <v>Compact SUV (52)</v>
      </c>
      <c r="AZ122" s="41" t="str">
        <f>INDEX(Input!$1:$1048576,AZ$93,$C122*2+6)</f>
        <v>Kia Soul</v>
      </c>
      <c r="BA122" s="3">
        <f>INDEX(Input!$1:$1048576,BA$93,$C122*2+6)</f>
        <v>2020</v>
      </c>
      <c r="BB122" s="128">
        <f>INDEX(Input!$1:$1048576,BB$93,$C122*2+6)</f>
        <v>1</v>
      </c>
      <c r="BC122" s="128">
        <f>INDEX(Input!$1:$1048576,BC$93,$C122*2+6)</f>
        <v>0.7</v>
      </c>
      <c r="BD122" s="1">
        <f>INDEX(Input!$1:$1048576,BD$93,$C122*2+6)</f>
        <v>4.4999999999999998E-2</v>
      </c>
      <c r="BE122" s="1">
        <f>INDEX(Input!$1:$1048576,BE$93,$C122*2+6)</f>
        <v>4.4999999999999998E-2</v>
      </c>
      <c r="BF122" s="1">
        <f>INDEX(Input!$1:$1048576,BF$93,$C122*2+6)</f>
        <v>0.05</v>
      </c>
      <c r="BG122" s="1">
        <f>INDEX(Input!$1:$1048576,BG$93,$C122*2+6)</f>
        <v>5.45E-2</v>
      </c>
      <c r="BH122" s="1">
        <f>INDEX(Input!$1:$1048576,BH$93,$C122*2+6)</f>
        <v>5.45E-2</v>
      </c>
      <c r="BI122" s="1">
        <f>INDEX(Input!$1:$1048576,BI$93,$C122*2+6)</f>
        <v>0.05</v>
      </c>
      <c r="BJ122" s="1">
        <f>INDEX(Input!$1:$1048576,BJ$93,$C122*2+6)</f>
        <v>0.05</v>
      </c>
      <c r="BK122" s="1">
        <f>INDEX(Input!$1:$1048576,BK$93,$C122*2+6)</f>
        <v>0.05</v>
      </c>
      <c r="BL122" s="1">
        <f>INDEX(Input!$1:$1048576,BL$93,$C122*2+6)</f>
        <v>5.5E-2</v>
      </c>
      <c r="BM122" s="1">
        <f>INDEX(Input!$1:$1048576,BM$93,$C122*2+6)</f>
        <v>0.06</v>
      </c>
      <c r="BN122" s="1">
        <f>INDEX(Input!$1:$1048576,BN$93,$C122*2+6)</f>
        <v>4.4999999999999998E-2</v>
      </c>
      <c r="BO122" s="1">
        <f>INDEX(Input!$1:$1048576,BO$93,$C122*2+6)</f>
        <v>4.4999999999999998E-2</v>
      </c>
      <c r="BP122" s="1">
        <f>INDEX(Input!$1:$1048576,BP$93,$C122*2+6)</f>
        <v>0.05</v>
      </c>
      <c r="BQ122" s="1">
        <f>INDEX(Input!$1:$1048576,BQ$93,$C122*2+6)</f>
        <v>5.45E-2</v>
      </c>
      <c r="BR122" s="1">
        <f>INDEX(Input!$1:$1048576,BR$93,$C122*2+6)</f>
        <v>5.45E-2</v>
      </c>
      <c r="BS122" s="1">
        <f>INDEX(Input!$1:$1048576,BS$93,$C122*2+6)</f>
        <v>0.05</v>
      </c>
      <c r="BT122" s="1">
        <f>INDEX(Input!$1:$1048576,BT$93,$C122*2+6)</f>
        <v>0.05</v>
      </c>
      <c r="BU122" s="1">
        <f>INDEX(Input!$1:$1048576,BU$93,$C122*2+6)</f>
        <v>0.05</v>
      </c>
      <c r="BV122" s="1">
        <f>INDEX(Input!$1:$1048576,BV$93,$C122*2+6)</f>
        <v>5.5E-2</v>
      </c>
      <c r="BW122" s="1">
        <f>INDEX(Input!$1:$1048576,BW$93,$C122*2+6)</f>
        <v>0.06</v>
      </c>
      <c r="BX122" s="127">
        <f>INDEX(Input!$1:$1048576,BX$93,$C122*2+6)</f>
        <v>19985</v>
      </c>
      <c r="BY122" s="20">
        <f>INDEX(Input!$1:$1048576,BY$93,$C122*2+6)</f>
        <v>0.1</v>
      </c>
      <c r="BZ122" s="20">
        <f>INDEX(Input!$1:$1048576,BZ$93,$C122*2+6)</f>
        <v>0.1</v>
      </c>
      <c r="CA122" s="20">
        <f>INDEX(Input!$1:$1048576,CA$93,$C122*2+6)</f>
        <v>0.1</v>
      </c>
      <c r="CB122" s="20">
        <f>INDEX(Input!$1:$1048576,CB$93,$C122*2+6)</f>
        <v>0.1</v>
      </c>
      <c r="CC122" s="20">
        <f>INDEX(Input!$1:$1048576,CC$93,$C122*2+6)</f>
        <v>0.1</v>
      </c>
      <c r="CD122" s="384">
        <f>INDEX(Input!$1:$1048576,CD$93,$C122*2+6)</f>
        <v>0.1</v>
      </c>
      <c r="CE122" s="384">
        <f>INDEX(Input!$1:$1048576,CE$93,$C122*2+6)</f>
        <v>0.1</v>
      </c>
      <c r="CF122" s="384">
        <f>INDEX(Input!$1:$1048576,CF$93,$C122*2+6)</f>
        <v>0.1</v>
      </c>
      <c r="CG122" s="384">
        <f>INDEX(Input!$1:$1048576,CG$93,$C122*2+6)</f>
        <v>0.1</v>
      </c>
      <c r="CH122" s="384">
        <f>INDEX(Input!$1:$1048576,CH$93,$C122*2+6)</f>
        <v>0.1</v>
      </c>
      <c r="CI122" s="304">
        <f t="shared" si="74"/>
        <v>1229</v>
      </c>
      <c r="CJ122" s="16" t="str">
        <f>INDEX(Input!$1:$1048576,CJ$93,$C122*2+6)</f>
        <v>N</v>
      </c>
      <c r="CK122" s="1" t="str">
        <f t="shared" si="75"/>
        <v>Market</v>
      </c>
      <c r="CL122" s="1" t="str">
        <f t="shared" si="76"/>
        <v>Market</v>
      </c>
      <c r="CM122" s="1" t="str">
        <f t="shared" si="77"/>
        <v>Market</v>
      </c>
      <c r="CN122" s="1" t="str">
        <f t="shared" si="78"/>
        <v>Market</v>
      </c>
      <c r="CO122" s="1" t="str">
        <f t="shared" si="79"/>
        <v>Market</v>
      </c>
      <c r="CP122" s="304">
        <f t="shared" si="80"/>
        <v>0</v>
      </c>
      <c r="CQ122" s="1">
        <f t="shared" si="81"/>
        <v>0</v>
      </c>
      <c r="CR122" s="1">
        <f t="shared" si="82"/>
        <v>0</v>
      </c>
      <c r="CS122" s="1">
        <f t="shared" si="83"/>
        <v>0</v>
      </c>
      <c r="CT122" s="1">
        <f t="shared" si="84"/>
        <v>2.8999999999999998E-2</v>
      </c>
      <c r="CU122" s="1">
        <f t="shared" si="85"/>
        <v>3.9E-2</v>
      </c>
      <c r="CV122" s="304">
        <f t="shared" si="86"/>
        <v>1942</v>
      </c>
      <c r="CW122" s="20" t="s">
        <v>122</v>
      </c>
      <c r="CX122" s="20" t="s">
        <v>122</v>
      </c>
      <c r="CY122" s="20" t="s">
        <v>122</v>
      </c>
      <c r="CZ122" s="20" t="s">
        <v>122</v>
      </c>
      <c r="DA122" s="20" t="s">
        <v>122</v>
      </c>
      <c r="DB122" s="503">
        <f t="shared" si="87"/>
        <v>0</v>
      </c>
      <c r="DC122" s="127">
        <v>0</v>
      </c>
      <c r="DD122" s="127">
        <v>0</v>
      </c>
      <c r="DE122" s="127">
        <v>0</v>
      </c>
      <c r="DF122" s="127">
        <v>0</v>
      </c>
      <c r="DG122" s="127">
        <v>0</v>
      </c>
      <c r="DH122" s="127">
        <v>0</v>
      </c>
      <c r="DI122" s="127">
        <v>0</v>
      </c>
      <c r="DJ122" s="127">
        <v>0</v>
      </c>
      <c r="DK122" s="127">
        <v>0</v>
      </c>
      <c r="DL122" s="127">
        <v>0</v>
      </c>
      <c r="DM122" s="304">
        <f>INDEX(Input!$1:$1048576,DM$93,$C122*2+6)</f>
        <v>21036.84210526316</v>
      </c>
      <c r="DN122" s="20">
        <v>0</v>
      </c>
      <c r="DO122" s="20">
        <v>0</v>
      </c>
      <c r="DP122" s="20">
        <v>0</v>
      </c>
      <c r="DQ122" s="20">
        <v>0</v>
      </c>
      <c r="DR122" s="20">
        <v>0</v>
      </c>
      <c r="DS122" s="20">
        <f>INDEX(Input!$1:$1048576,DS$93,$C122*2+6)</f>
        <v>0.6</v>
      </c>
      <c r="DT122" s="20">
        <f>INDEX(Input!$1:$1048576,DT$93,$C122*2+6)</f>
        <v>0.55000000000000004</v>
      </c>
      <c r="DU122" s="20">
        <f>INDEX(Input!$1:$1048576,DU$93,$C122*2+6)</f>
        <v>0.52</v>
      </c>
      <c r="DV122" s="20">
        <f>INDEX(Input!$1:$1048576,DV$93,$C122*2+6)</f>
        <v>0.5</v>
      </c>
      <c r="DW122" s="20">
        <f>INDEX(Input!$1:$1048576,DW$93,$C122*2+6)</f>
        <v>0.45</v>
      </c>
      <c r="DX122" s="20"/>
      <c r="DY122" s="7">
        <v>9.8323665247913555E-2</v>
      </c>
      <c r="DZ122" s="7">
        <v>0</v>
      </c>
      <c r="EA122" s="7">
        <v>0.46950691597418232</v>
      </c>
      <c r="EB122" s="7">
        <v>0</v>
      </c>
      <c r="EC122" s="7">
        <v>0</v>
      </c>
      <c r="ED122" s="7">
        <v>0</v>
      </c>
      <c r="EE122" s="7">
        <v>0</v>
      </c>
      <c r="EF122" s="7">
        <v>0</v>
      </c>
      <c r="EG122" s="7">
        <v>0</v>
      </c>
      <c r="EH122" s="7">
        <v>2.2150567304537343E-2</v>
      </c>
      <c r="EI122" s="7">
        <v>6.4685833645008364E-2</v>
      </c>
      <c r="EJ122" s="7">
        <v>0.40861326936321507</v>
      </c>
      <c r="EK122" s="7">
        <v>0.37706225527060194</v>
      </c>
      <c r="EL122" s="7">
        <v>0.12748807441663743</v>
      </c>
      <c r="EM122" s="7">
        <v>4.1079616166586834E-2</v>
      </c>
      <c r="EN122" s="7">
        <v>5.0824256578978502E-2</v>
      </c>
      <c r="EO122" s="7">
        <v>0.76815678085538353</v>
      </c>
      <c r="EP122" s="7">
        <v>7.9058197430733584E-2</v>
      </c>
      <c r="EQ122" s="7">
        <v>6.0271198631198966E-2</v>
      </c>
      <c r="ER122" s="7">
        <v>4.1689566503705242E-2</v>
      </c>
      <c r="ES122" s="7">
        <v>0.39108980261131732</v>
      </c>
      <c r="ET122" s="7">
        <v>0.4321694187779041</v>
      </c>
      <c r="EU122" s="6">
        <v>1270</v>
      </c>
      <c r="EV122" s="6">
        <v>0</v>
      </c>
      <c r="EW122" s="6">
        <v>1270</v>
      </c>
      <c r="EX122" s="6">
        <v>0</v>
      </c>
      <c r="EY122" s="6">
        <v>1855.2024001807906</v>
      </c>
      <c r="EZ122" s="6">
        <v>2085</v>
      </c>
      <c r="FA122" s="6">
        <v>0</v>
      </c>
      <c r="FB122" s="6">
        <v>0</v>
      </c>
      <c r="FC122" s="6">
        <v>0</v>
      </c>
      <c r="FD122" s="6">
        <v>0</v>
      </c>
      <c r="FE122" s="6">
        <v>0</v>
      </c>
      <c r="FF122" s="6">
        <v>0</v>
      </c>
      <c r="FG122" s="6">
        <v>0</v>
      </c>
      <c r="FH122" s="6">
        <v>1171.2811379695618</v>
      </c>
      <c r="FI122" s="6">
        <v>1553.9796069512402</v>
      </c>
      <c r="FJ122" s="6">
        <v>2101.2110117447419</v>
      </c>
      <c r="FK122" s="6">
        <v>1284.9687470586853</v>
      </c>
      <c r="FL122" s="6">
        <v>907.07682140966335</v>
      </c>
      <c r="FM122" s="6">
        <v>1585.2024001807906</v>
      </c>
      <c r="FN122" s="6">
        <v>0</v>
      </c>
      <c r="FO122" s="6">
        <v>0</v>
      </c>
      <c r="FP122" s="6">
        <v>0</v>
      </c>
      <c r="FQ122" s="6">
        <v>0</v>
      </c>
      <c r="FR122" s="6">
        <v>0</v>
      </c>
      <c r="FS122" s="6">
        <v>0</v>
      </c>
      <c r="FT122" s="7">
        <v>0.56783058122209584</v>
      </c>
      <c r="FU122" s="7">
        <v>4.1079616166586834E-2</v>
      </c>
      <c r="FV122" s="7">
        <v>0.39108980261131732</v>
      </c>
      <c r="FW122" s="6">
        <v>1270</v>
      </c>
      <c r="FX122" s="6">
        <v>1855.2024001807908</v>
      </c>
      <c r="FY122" s="6">
        <v>2085</v>
      </c>
      <c r="FZ122" s="6">
        <v>1952.7147957719815</v>
      </c>
      <c r="GA122" s="6">
        <v>1612.7780791074158</v>
      </c>
      <c r="GB122" s="6">
        <v>18372.221920892585</v>
      </c>
      <c r="GC122" s="7">
        <v>1.0519917368675835E-2</v>
      </c>
      <c r="GD122" s="7">
        <v>1.023986328376974E-2</v>
      </c>
      <c r="GE122" s="7"/>
      <c r="GF122" s="7"/>
      <c r="GG122" s="7">
        <v>-2.6621319834696136E-2</v>
      </c>
      <c r="GH122" s="42">
        <v>1.5650768240530568</v>
      </c>
      <c r="GI122" s="6">
        <v>14382.119297927036</v>
      </c>
      <c r="GJ122" s="14">
        <v>0.50394797582841722</v>
      </c>
      <c r="GK122" s="14">
        <v>0.50887573065309744</v>
      </c>
      <c r="GL122" s="14">
        <v>0.49605202417158273</v>
      </c>
      <c r="GM122" s="14">
        <v>0.49112426934690256</v>
      </c>
      <c r="GO122" s="5">
        <v>343.14810671672558</v>
      </c>
      <c r="GP122" s="5">
        <v>318.91892952659737</v>
      </c>
      <c r="GQ122" s="5">
        <v>535.04305713031317</v>
      </c>
      <c r="GR122" s="5">
        <v>410.15490233172511</v>
      </c>
      <c r="GS122" s="5">
        <v>339.42744393800166</v>
      </c>
      <c r="GT122" s="5">
        <v>293.4407446948278</v>
      </c>
      <c r="GU122" s="5">
        <v>258.04012322764959</v>
      </c>
      <c r="GV122" s="39" t="s">
        <v>392</v>
      </c>
      <c r="GW122" s="5">
        <v>492.125</v>
      </c>
      <c r="GX122" s="5">
        <v>369.09375</v>
      </c>
      <c r="GY122" s="5">
        <v>295.27499999999998</v>
      </c>
      <c r="GZ122" s="5">
        <v>268.3868982438774</v>
      </c>
      <c r="HA122" s="5">
        <v>241.34874471337258</v>
      </c>
      <c r="HB122" s="39">
        <v>287.39692382117948</v>
      </c>
      <c r="HC122" s="5">
        <v>196.06562499999998</v>
      </c>
      <c r="HD122" s="5">
        <v>177.54497441520465</v>
      </c>
      <c r="HE122" s="5">
        <v>183.15757844129553</v>
      </c>
      <c r="HF122" s="5">
        <v>172.69313048245613</v>
      </c>
      <c r="HG122" s="5">
        <v>170.66888157894735</v>
      </c>
      <c r="HH122" s="39">
        <v>178.35090729075003</v>
      </c>
      <c r="HI122" s="16"/>
      <c r="HJ122" s="19" t="str">
        <f t="shared" ref="HJ122" si="295">HJ121</f>
        <v>On</v>
      </c>
      <c r="HK122" s="1" t="str">
        <f t="shared" si="108"/>
        <v>On</v>
      </c>
      <c r="HL122" s="16"/>
      <c r="HM122" s="639">
        <f t="shared" si="266"/>
        <v>5.7455619280273196E-3</v>
      </c>
      <c r="HN122" s="639">
        <f t="shared" si="267"/>
        <v>5.0031960498701745E-4</v>
      </c>
      <c r="HO122" s="639">
        <f t="shared" si="268"/>
        <v>3.9819433988714835E-3</v>
      </c>
      <c r="HP122" s="644">
        <f>(FT122*$GD122-HM122)/$JF122*INDEX(Input!$1:$1048576,$JG$93,$C122*2+6)</f>
        <v>3.0064783324279403</v>
      </c>
      <c r="HQ122" s="644">
        <f>(FU122*$GD122-HN122)/$JF122*INDEX(Input!$1:$1048576,$JG$93,$C122*2+6)</f>
        <v>-3.4741304911861315</v>
      </c>
      <c r="HR122" s="644">
        <f>(FV122*$GD122-HO122)/$JF122*INDEX(Input!$1:$1048576,$JG$93,$C122*2+6)</f>
        <v>0.99260296462208075</v>
      </c>
      <c r="HS122" s="644">
        <f t="shared" si="269"/>
        <v>-0.43840469391650272</v>
      </c>
      <c r="HT122" s="644">
        <f t="shared" si="270"/>
        <v>-3.8828835871491685</v>
      </c>
      <c r="HU122" s="644">
        <f t="shared" si="271"/>
        <v>0.33651697783685353</v>
      </c>
      <c r="HV122" s="648">
        <f t="shared" si="272"/>
        <v>0</v>
      </c>
      <c r="HW122" s="648">
        <f t="shared" si="273"/>
        <v>0</v>
      </c>
      <c r="HX122" s="648">
        <f t="shared" si="274"/>
        <v>0</v>
      </c>
      <c r="HY122" s="644">
        <f>INDEX(Input!$1:$1048576,HY$93,$C122*2+6)*INDEX(Input!$1:$1048576,$JG$93,$C122*2+6)</f>
        <v>110.00000000000001</v>
      </c>
      <c r="HZ122" s="644">
        <f>INDEX(Input!$1:$1048576,HZ$93,$C122*2+6)*INDEX(Input!$1:$1048576,$JG$93,$C122*2+6)</f>
        <v>157</v>
      </c>
      <c r="IA122" s="644">
        <f>INDEX(Input!$1:$1048576,IA$93,$C122*2+6)*INDEX(Input!$1:$1048576,$JG$93,$C122*2+6)</f>
        <v>179</v>
      </c>
      <c r="IB122" s="644">
        <f t="shared" si="249"/>
        <v>112.56807363851141</v>
      </c>
      <c r="IC122" s="644">
        <f t="shared" si="172"/>
        <v>149.64298592166469</v>
      </c>
      <c r="ID122" s="644">
        <f>IF(AND(INDEX(Input!$1:$1048576,IA$93,$C122*2+7)="TOS",Y122&lt;=INDEX(Y:Y,MATCH(C122*1000+2,A:A))),0,1)*MAX(IA122+HR122+HU122+HX122,0%)</f>
        <v>180.32911994245893</v>
      </c>
      <c r="IE122" s="128">
        <f t="shared" si="275"/>
        <v>0.25436802996063579</v>
      </c>
      <c r="IF122" s="128">
        <f t="shared" si="174"/>
        <v>0.33814553537228292</v>
      </c>
      <c r="IG122" s="128">
        <f t="shared" si="175"/>
        <v>0.40748643466708134</v>
      </c>
      <c r="IH122" s="21"/>
      <c r="II122" s="19">
        <f t="shared" si="276"/>
        <v>1240</v>
      </c>
      <c r="IJ122" s="19">
        <f t="shared" si="277"/>
        <v>2009.7221397149679</v>
      </c>
      <c r="IK122" s="19">
        <f t="shared" si="278"/>
        <v>2070</v>
      </c>
      <c r="IL122" s="19">
        <f t="shared" si="176"/>
        <v>30</v>
      </c>
      <c r="IM122" s="19">
        <f t="shared" si="177"/>
        <v>-154.51973953417701</v>
      </c>
      <c r="IN122" s="19">
        <f t="shared" si="178"/>
        <v>15</v>
      </c>
      <c r="IO122" s="39">
        <f t="shared" si="279"/>
        <v>0</v>
      </c>
      <c r="IP122" s="39">
        <f t="shared" si="280"/>
        <v>0</v>
      </c>
      <c r="IQ122" s="39">
        <f t="shared" si="281"/>
        <v>0</v>
      </c>
      <c r="IR122" s="39">
        <v>0</v>
      </c>
      <c r="IS122" s="39">
        <v>0</v>
      </c>
      <c r="IT122" s="39">
        <v>0</v>
      </c>
      <c r="IU122" s="39">
        <v>0</v>
      </c>
      <c r="IV122" s="39">
        <v>0</v>
      </c>
      <c r="IW122" s="39">
        <v>0</v>
      </c>
      <c r="IX122" s="39">
        <f>INDEX(Input!$1:$1048576,IX$93,$C122*2+6)+INDEX(Input!$1:$1048576,IX$94,$C122*2+6)</f>
        <v>1270</v>
      </c>
      <c r="IY122" s="39">
        <f>INDEX(Input!$1:$1048576,IY$93,$C122*2+6)+INDEX(Input!$1:$1048576,IY$94,$C122*2+6)</f>
        <v>2130.0624533823611</v>
      </c>
      <c r="IZ122" s="39">
        <f>INDEX(Input!$1:$1048576,IZ$93,$C122*2+6)+INDEX(Input!$1:$1048576,IZ$94,$C122*2+6)</f>
        <v>4373.7164157747848</v>
      </c>
      <c r="JA122" s="19">
        <f t="shared" si="179"/>
        <v>1300</v>
      </c>
      <c r="JB122" s="19">
        <f t="shared" si="180"/>
        <v>1975.5427138481841</v>
      </c>
      <c r="JC122" s="19">
        <f t="shared" si="181"/>
        <v>4388.7164157747848</v>
      </c>
      <c r="JD122" s="19">
        <f t="shared" si="182"/>
        <v>2787.0417926027926</v>
      </c>
      <c r="JE122" s="21"/>
      <c r="JF122" s="1">
        <f t="shared" si="282"/>
        <v>1.022782493188582E-2</v>
      </c>
      <c r="JG122" s="15">
        <f>INDEX(Input!$1:$1048576,JG$93,$C122*2+6)/(1+VLOOKUP(C122*1000+INDEX(Input!$1:$1048576,JG$93+1,$C122*2+6),$A:$KK,$JK$92,FALSE))</f>
        <v>446</v>
      </c>
      <c r="JH122" s="1">
        <f t="shared" si="251"/>
        <v>1.1770197440894384E-3</v>
      </c>
      <c r="JI122" s="1">
        <f t="shared" si="252"/>
        <v>-8.9344648054457791E-3</v>
      </c>
      <c r="JJ122" s="1">
        <f t="shared" si="253"/>
        <v>0</v>
      </c>
      <c r="JK122" s="1">
        <f t="shared" si="254"/>
        <v>-7.757445061356341E-3</v>
      </c>
      <c r="JL122" s="15">
        <f t="shared" si="184"/>
        <v>-3.459820497364928</v>
      </c>
      <c r="JM122" s="15">
        <f t="shared" si="185"/>
        <v>442.54017950263506</v>
      </c>
      <c r="JN122" s="21"/>
      <c r="JO122" s="19">
        <f>INDEX(Input!$1:$1048576,JO$93,$C122*2+6)</f>
        <v>5995.5</v>
      </c>
      <c r="JP122" s="19">
        <f>INDEX(Input!$1:$1048576,JP$93,$C122*2+6)</f>
        <v>2818.4193802796353</v>
      </c>
      <c r="JQ122" s="39">
        <f t="shared" si="186"/>
        <v>3208.4582073972074</v>
      </c>
      <c r="JR122" s="39">
        <f t="shared" si="187"/>
        <v>-31.377587676842722</v>
      </c>
      <c r="JS122" s="39">
        <f t="shared" si="188"/>
        <v>1.2333779751797855</v>
      </c>
      <c r="JT122" s="39">
        <f t="shared" si="189"/>
        <v>-2.3637068424931726E-2</v>
      </c>
      <c r="JU122" s="385">
        <f>(JQ122*JM122-INDEX(Input!$1:$1048576,Input!A$18,$C122*2+6)*JL122*INDEX(Input!$1:$1048576,Input!A$19,$C122*2+6))/1000000</f>
        <v>1.4198716710282628</v>
      </c>
      <c r="JV122" s="39">
        <f t="shared" si="192"/>
        <v>2.89371463298016E-3</v>
      </c>
      <c r="JW122" s="1">
        <f t="shared" si="190"/>
        <v>2.0421733590984138E-3</v>
      </c>
      <c r="JX122" s="19">
        <f t="shared" si="191"/>
        <v>6831.8770996744524</v>
      </c>
      <c r="JZ122" s="341"/>
      <c r="KA122" s="342"/>
      <c r="KB122" s="469">
        <f t="shared" si="110"/>
        <v>2.9286733661474216</v>
      </c>
      <c r="KI122" s="473">
        <f t="shared" si="283"/>
        <v>2.5680736385113931</v>
      </c>
      <c r="KJ122" s="473">
        <f t="shared" si="284"/>
        <v>-7.3570140783352826</v>
      </c>
      <c r="KK122" s="473">
        <f t="shared" si="257"/>
        <v>1.3291199424589593</v>
      </c>
      <c r="KN122" s="544">
        <f t="shared" si="258"/>
        <v>1002</v>
      </c>
      <c r="KO122" s="541">
        <f t="shared" si="285"/>
        <v>-1.1824670969402318E-2</v>
      </c>
      <c r="KP122" s="546">
        <f t="shared" si="286"/>
        <v>-62.394526111538461</v>
      </c>
      <c r="KQ122" s="546">
        <f t="shared" si="287"/>
        <v>-52.274407415859059</v>
      </c>
      <c r="KR122" s="548">
        <f t="shared" si="288"/>
        <v>3.2493566682077657</v>
      </c>
      <c r="KS122" s="548">
        <f t="shared" si="289"/>
        <v>3.8784192782390678</v>
      </c>
      <c r="KT122" s="473">
        <f t="shared" si="112"/>
        <v>238.28695973331548</v>
      </c>
      <c r="KU122" s="663">
        <f t="shared" si="290"/>
        <v>6.1465421054245031</v>
      </c>
      <c r="KV122" s="117"/>
    </row>
    <row r="123" spans="1:308" s="26" customFormat="1" ht="15">
      <c r="A123" s="561">
        <f t="shared" si="168"/>
        <v>1023</v>
      </c>
      <c r="B123" s="561">
        <f t="shared" si="104"/>
        <v>23</v>
      </c>
      <c r="C123" s="561">
        <f t="shared" si="105"/>
        <v>1</v>
      </c>
      <c r="D123" s="561" t="str">
        <f t="shared" si="294"/>
        <v xml:space="preserve">0/0/0.9/3.9, </v>
      </c>
      <c r="E123" s="475">
        <f>INDEX(Input!$1:$1048576,E$93,$C123*2+MIN($B123,2)+5)
+INDEX(Scenarios!E$121:E$200,MATCH($B123,Scenarios!$B$121:$B$200,0))</f>
        <v>1229</v>
      </c>
      <c r="F123" s="475">
        <f>INDEX(Input!$1:$1048576,F$93,$C123*2+MIN($B123,2)+5)
+INDEX(Scenarios!F$121:F$200,MATCH($B123,Scenarios!$B$121:$B$200,0))</f>
        <v>0</v>
      </c>
      <c r="G123" s="475">
        <f>INDEX(Input!$1:$1048576,G$93,$C123*2+MIN($B123,2)+5)
+INDEX(Scenarios!G$121:G$200,MATCH($B123,Scenarios!$B$121:$B$200,0))</f>
        <v>0</v>
      </c>
      <c r="H123" s="475">
        <f>INDEX(Input!$1:$1048576,H$93,$C123*2+MIN($B123,2)+5)
+INDEX(Scenarios!H$121:H$200,MATCH($B123,Scenarios!$B$121:$B$200,0))</f>
        <v>0</v>
      </c>
      <c r="I123" s="476">
        <f>INDEX(Input!$1:$1048576,I$93,$C123*2+MIN($B123,2)+5)</f>
        <v>0.7</v>
      </c>
      <c r="J123" s="476" t="str">
        <f>INDEX(Input!$1:$1048576,J$93,$C123*2+MIN($B123,2)+5)</f>
        <v>Market</v>
      </c>
      <c r="K123" s="476" t="str">
        <f>INDEX(Input!$1:$1048576,K$93,$C123*2+MIN($B123,2)+5)</f>
        <v>Market</v>
      </c>
      <c r="L123" s="476" t="str">
        <f>INDEX(Input!$1:$1048576,L$93,$C123*2+MIN($B123,2)+5)</f>
        <v>Market</v>
      </c>
      <c r="M123" s="476" t="str">
        <f>INDEX(Input!$1:$1048576,M$93,$C123*2+MIN($B123,2)+5)</f>
        <v>Market</v>
      </c>
      <c r="N123" s="476" t="str">
        <f>INDEX(Input!$1:$1048576,N$93,$C123*2+MIN($B123,2)+5)</f>
        <v>Market</v>
      </c>
      <c r="O123" s="476" t="str">
        <f>INDEX(Input!$1:$1048576,O$93,$C123*2+MIN($B123,2)+5)</f>
        <v>Market</v>
      </c>
      <c r="P123" s="476" t="str">
        <f>INDEX(Input!$1:$1048576,P$93,$C123*2+MIN($B123,2)+5)</f>
        <v>N</v>
      </c>
      <c r="Q123" s="477">
        <f>INDEX(Input!$1:$1048576,Q$93,$C123*2+MIN($B123,2)+5)
+INDEX(Scenarios!Q$121:Q$200,MATCH($B123,Scenarios!$B$121:$B$200,0))</f>
        <v>0</v>
      </c>
      <c r="R123" s="478">
        <f>IFERROR(MAX(0,INDEX(Input!$1:$1048576,R$93,$C123*2+MIN($B123,2)+5)
+INDEX(Scenarios!R$121:R$200,MATCH($B123,Scenarios!$B$121:$B$200,0)),),"Market")</f>
        <v>0</v>
      </c>
      <c r="S123" s="478">
        <f>IFERROR(MAX(0,INDEX(Input!$1:$1048576,S$93,$C123*2+MIN($B123,2)+5)
+INDEX(Scenarios!S$121:S$200,MATCH($B123,Scenarios!$B$121:$B$200,0)),),"Market")</f>
        <v>0</v>
      </c>
      <c r="T123" s="478">
        <f>IFERROR(MAX(0,INDEX(Input!$1:$1048576,T$93,$C123*2+MIN($B123,2)+5)
+INDEX(Scenarios!T$121:T$200,MATCH($B123,Scenarios!$B$121:$B$200,0)),),"Market")</f>
        <v>0</v>
      </c>
      <c r="U123" s="478">
        <f>IFERROR(MAX(0,INDEX(Input!$1:$1048576,U$93,$C123*2+MIN($B123,2)+5)
+INDEX(Scenarios!U$121:U$200,MATCH($B123,Scenarios!$B$121:$B$200,0)),),"Market")</f>
        <v>0</v>
      </c>
      <c r="V123" s="478">
        <f>IFERROR(MAX(0,INDEX(Input!$1:$1048576,V$93,$C123*2+MIN($B123,2)+5)
+INDEX(Scenarios!V$121:V$200,MATCH($B123,Scenarios!$B$121:$B$200,0)),),"Market")</f>
        <v>8.9999999999999993E-3</v>
      </c>
      <c r="W123" s="885">
        <f>IFERROR(MAX(0,INDEX(Input!$1:$1048576,W$93,$C123*2+MIN($B123,2)+5)-0%,),"Market")</f>
        <v>3.9E-2</v>
      </c>
      <c r="X123" s="476" t="str">
        <f>INDEX(Input!$1:$1048576,X$93,$C123*2+MIN($B123,2)+5)</f>
        <v>Y</v>
      </c>
      <c r="Y123" s="475">
        <f>INDEX(Input!$1:$1048576,Y$93,$C123*2+MIN($B123,2)+5)
++INDEX(Scenarios!Y$121:Y$200,MATCH($B123,Scenarios!$B$121:$B$200,0))</f>
        <v>1942</v>
      </c>
      <c r="Z123" s="477">
        <f>INDEX(Input!$1:$1048576,Z$93,$C123*2+MIN($B123,2)+5)
+INDEX(Scenarios!Z$121:Z$200,MATCH($B123,Scenarios!$B$121:$B$200,0))</f>
        <v>0</v>
      </c>
      <c r="AA123" s="475">
        <f>INDEX(Input!$1:$1048576,AA$93,$C123*2+MIN($B123,2)+5)
+INDEX(Scenarios!AA$121:AA$200,MATCH($B123,Scenarios!$B$121:$B$200,0))</f>
        <v>0</v>
      </c>
      <c r="AB123" s="476">
        <f>INDEX(Input!$1:$1048576,AB$93,$C123*2+MIN($B123,2)+5)</f>
        <v>0.27</v>
      </c>
      <c r="AC123" s="475">
        <f>INDEX(Input!$1:$1048576,AC$93,$C123*2+MIN($B123,2)+5)
+INDEX(Scenarios!AC$121:AC$200,MATCH($B123,Scenarios!$B$121:$B$200,0))</f>
        <v>0</v>
      </c>
      <c r="AD123" s="476">
        <f>INDEX(Input!$1:$1048576,AD$93,$C123*2+MIN($B123,2)+5)</f>
        <v>0.27</v>
      </c>
      <c r="AE123" s="475">
        <f>INDEX(Input!$1:$1048576,AE$93,$C123*2+MIN($B123,2)+5)
+INDEX(Scenarios!AE$121:AE$200,MATCH($B123,Scenarios!$B$121:$B$200,0))</f>
        <v>0</v>
      </c>
      <c r="AF123" s="476">
        <f>INDEX(Input!$1:$1048576,AF$93,$C123*2+MIN($B123,2)+5)</f>
        <v>0.38</v>
      </c>
      <c r="AG123" s="475">
        <f>INDEX(Input!$1:$1048576,AG$93,$C123*2+MIN($B123,2)+5)
+INDEX(Scenarios!AG$121:AG$200,MATCH($B123,Scenarios!$B$121:$B$200,0))</f>
        <v>0</v>
      </c>
      <c r="AH123" s="476">
        <f>INDEX(Input!$1:$1048576,AH$93,$C123*2+MIN($B123,2)+5)</f>
        <v>0</v>
      </c>
      <c r="AI123" s="475">
        <f>INDEX(Input!$1:$1048576,AI$93,$C123*2+MIN($B123,2)+5)
+INDEX(Scenarios!AI$121:AI$200,MATCH($B123,Scenarios!$B$121:$B$200,0))</f>
        <v>0</v>
      </c>
      <c r="AJ123" s="476">
        <f>INDEX(Input!$1:$1048576,AJ$93,$C123*2+MIN($B123,2)+5)</f>
        <v>0.27</v>
      </c>
      <c r="AK123" s="150">
        <f>ROUND(INDEX(Input!$1:$1048576,AK$93,$C122*2+MIN($B123,1)+5)+(Y123-VLOOKUP($C123*1000+1,$A:$HH,Y$92,FALSE)),0)</f>
        <v>3757</v>
      </c>
      <c r="AL123" s="150">
        <f>ROUND(INDEX(Input!$1:$1048576,AL$93,$C122*2+MIN($B123,1)+5)-(Y123-VLOOKUP($C123*1000+1,$A:$HH,Y$92,FALSE))/36,0)</f>
        <v>4113</v>
      </c>
      <c r="AM123" s="32" t="str">
        <f t="shared" si="169"/>
        <v>std/std/std/std</v>
      </c>
      <c r="AN123" s="32" t="str">
        <f t="shared" si="170"/>
        <v>$0 + 0/0/0/0.9/3.9</v>
      </c>
      <c r="AO123" s="32" t="str">
        <f t="shared" si="171"/>
        <v>0/0/0/0.9/3.9</v>
      </c>
      <c r="AP123" s="32" t="str">
        <f t="shared" si="73"/>
        <v>0/0/0.9/3.9</v>
      </c>
      <c r="AQ123" s="536">
        <f t="shared" si="39"/>
        <v>0.23812772600198689</v>
      </c>
      <c r="AR123" s="32"/>
      <c r="AS123" s="302"/>
      <c r="AT123" s="3">
        <f t="shared" si="106"/>
        <v>23</v>
      </c>
      <c r="AU123" s="41" t="s">
        <v>121</v>
      </c>
      <c r="AV123" s="41" t="s">
        <v>116</v>
      </c>
      <c r="AW123" s="41" t="str">
        <f>INDEX(Input!$1:$1048576,AW$93,$C123*2+6)</f>
        <v>Kia</v>
      </c>
      <c r="AX123" s="41" t="str">
        <f>INDEX(Input!$1:$1048576,AX$93,$C123*2+6)</f>
        <v>Kia-LR - L1</v>
      </c>
      <c r="AY123" s="41" t="str">
        <f>IF(LEN(D123)=0,"",INDEX(Input!$1:$1048576,AY$93,$C123*2+6))</f>
        <v>Compact SUV (52)</v>
      </c>
      <c r="AZ123" s="41" t="str">
        <f>INDEX(Input!$1:$1048576,AZ$93,$C123*2+6)</f>
        <v>Kia Soul</v>
      </c>
      <c r="BA123" s="3">
        <f>INDEX(Input!$1:$1048576,BA$93,$C123*2+6)</f>
        <v>2020</v>
      </c>
      <c r="BB123" s="128">
        <f>INDEX(Input!$1:$1048576,BB$93,$C123*2+6)</f>
        <v>1</v>
      </c>
      <c r="BC123" s="128">
        <f>INDEX(Input!$1:$1048576,BC$93,$C123*2+6)</f>
        <v>0.7</v>
      </c>
      <c r="BD123" s="1">
        <f>INDEX(Input!$1:$1048576,BD$93,$C123*2+6)</f>
        <v>4.4999999999999998E-2</v>
      </c>
      <c r="BE123" s="1">
        <f>INDEX(Input!$1:$1048576,BE$93,$C123*2+6)</f>
        <v>4.4999999999999998E-2</v>
      </c>
      <c r="BF123" s="1">
        <f>INDEX(Input!$1:$1048576,BF$93,$C123*2+6)</f>
        <v>0.05</v>
      </c>
      <c r="BG123" s="1">
        <f>INDEX(Input!$1:$1048576,BG$93,$C123*2+6)</f>
        <v>5.45E-2</v>
      </c>
      <c r="BH123" s="1">
        <f>INDEX(Input!$1:$1048576,BH$93,$C123*2+6)</f>
        <v>5.45E-2</v>
      </c>
      <c r="BI123" s="1">
        <f>INDEX(Input!$1:$1048576,BI$93,$C123*2+6)</f>
        <v>0.05</v>
      </c>
      <c r="BJ123" s="1">
        <f>INDEX(Input!$1:$1048576,BJ$93,$C123*2+6)</f>
        <v>0.05</v>
      </c>
      <c r="BK123" s="1">
        <f>INDEX(Input!$1:$1048576,BK$93,$C123*2+6)</f>
        <v>0.05</v>
      </c>
      <c r="BL123" s="1">
        <f>INDEX(Input!$1:$1048576,BL$93,$C123*2+6)</f>
        <v>5.5E-2</v>
      </c>
      <c r="BM123" s="1">
        <f>INDEX(Input!$1:$1048576,BM$93,$C123*2+6)</f>
        <v>0.06</v>
      </c>
      <c r="BN123" s="1">
        <f>INDEX(Input!$1:$1048576,BN$93,$C123*2+6)</f>
        <v>4.4999999999999998E-2</v>
      </c>
      <c r="BO123" s="1">
        <f>INDEX(Input!$1:$1048576,BO$93,$C123*2+6)</f>
        <v>4.4999999999999998E-2</v>
      </c>
      <c r="BP123" s="1">
        <f>INDEX(Input!$1:$1048576,BP$93,$C123*2+6)</f>
        <v>0.05</v>
      </c>
      <c r="BQ123" s="1">
        <f>INDEX(Input!$1:$1048576,BQ$93,$C123*2+6)</f>
        <v>5.45E-2</v>
      </c>
      <c r="BR123" s="1">
        <f>INDEX(Input!$1:$1048576,BR$93,$C123*2+6)</f>
        <v>5.45E-2</v>
      </c>
      <c r="BS123" s="1">
        <f>INDEX(Input!$1:$1048576,BS$93,$C123*2+6)</f>
        <v>0.05</v>
      </c>
      <c r="BT123" s="1">
        <f>INDEX(Input!$1:$1048576,BT$93,$C123*2+6)</f>
        <v>0.05</v>
      </c>
      <c r="BU123" s="1">
        <f>INDEX(Input!$1:$1048576,BU$93,$C123*2+6)</f>
        <v>0.05</v>
      </c>
      <c r="BV123" s="1">
        <f>INDEX(Input!$1:$1048576,BV$93,$C123*2+6)</f>
        <v>5.5E-2</v>
      </c>
      <c r="BW123" s="1">
        <f>INDEX(Input!$1:$1048576,BW$93,$C123*2+6)</f>
        <v>0.06</v>
      </c>
      <c r="BX123" s="127">
        <f>INDEX(Input!$1:$1048576,BX$93,$C123*2+6)</f>
        <v>19985</v>
      </c>
      <c r="BY123" s="20">
        <f>INDEX(Input!$1:$1048576,BY$93,$C123*2+6)</f>
        <v>0.1</v>
      </c>
      <c r="BZ123" s="20">
        <f>INDEX(Input!$1:$1048576,BZ$93,$C123*2+6)</f>
        <v>0.1</v>
      </c>
      <c r="CA123" s="20">
        <f>INDEX(Input!$1:$1048576,CA$93,$C123*2+6)</f>
        <v>0.1</v>
      </c>
      <c r="CB123" s="20">
        <f>INDEX(Input!$1:$1048576,CB$93,$C123*2+6)</f>
        <v>0.1</v>
      </c>
      <c r="CC123" s="20">
        <f>INDEX(Input!$1:$1048576,CC$93,$C123*2+6)</f>
        <v>0.1</v>
      </c>
      <c r="CD123" s="384">
        <f>INDEX(Input!$1:$1048576,CD$93,$C123*2+6)</f>
        <v>0.1</v>
      </c>
      <c r="CE123" s="384">
        <f>INDEX(Input!$1:$1048576,CE$93,$C123*2+6)</f>
        <v>0.1</v>
      </c>
      <c r="CF123" s="384">
        <f>INDEX(Input!$1:$1048576,CF$93,$C123*2+6)</f>
        <v>0.1</v>
      </c>
      <c r="CG123" s="384">
        <f>INDEX(Input!$1:$1048576,CG$93,$C123*2+6)</f>
        <v>0.1</v>
      </c>
      <c r="CH123" s="384">
        <f>INDEX(Input!$1:$1048576,CH$93,$C123*2+6)</f>
        <v>0.1</v>
      </c>
      <c r="CI123" s="304">
        <f t="shared" si="74"/>
        <v>1229</v>
      </c>
      <c r="CJ123" s="16" t="str">
        <f>INDEX(Input!$1:$1048576,CJ$93,$C123*2+6)</f>
        <v>N</v>
      </c>
      <c r="CK123" s="1" t="str">
        <f t="shared" si="75"/>
        <v>Market</v>
      </c>
      <c r="CL123" s="1" t="str">
        <f t="shared" si="76"/>
        <v>Market</v>
      </c>
      <c r="CM123" s="1" t="str">
        <f t="shared" si="77"/>
        <v>Market</v>
      </c>
      <c r="CN123" s="1" t="str">
        <f t="shared" si="78"/>
        <v>Market</v>
      </c>
      <c r="CO123" s="1" t="str">
        <f t="shared" si="79"/>
        <v>Market</v>
      </c>
      <c r="CP123" s="304">
        <f t="shared" si="80"/>
        <v>0</v>
      </c>
      <c r="CQ123" s="1">
        <f t="shared" si="81"/>
        <v>0</v>
      </c>
      <c r="CR123" s="1">
        <f t="shared" si="82"/>
        <v>0</v>
      </c>
      <c r="CS123" s="1">
        <f t="shared" si="83"/>
        <v>0</v>
      </c>
      <c r="CT123" s="1">
        <f t="shared" si="84"/>
        <v>8.9999999999999993E-3</v>
      </c>
      <c r="CU123" s="1">
        <f t="shared" si="85"/>
        <v>3.9E-2</v>
      </c>
      <c r="CV123" s="304">
        <f t="shared" si="86"/>
        <v>1942</v>
      </c>
      <c r="CW123" s="20" t="s">
        <v>122</v>
      </c>
      <c r="CX123" s="20" t="s">
        <v>122</v>
      </c>
      <c r="CY123" s="20" t="s">
        <v>122</v>
      </c>
      <c r="CZ123" s="20" t="s">
        <v>122</v>
      </c>
      <c r="DA123" s="20" t="s">
        <v>122</v>
      </c>
      <c r="DB123" s="503">
        <f t="shared" si="87"/>
        <v>0</v>
      </c>
      <c r="DC123" s="127">
        <v>0</v>
      </c>
      <c r="DD123" s="127">
        <v>0</v>
      </c>
      <c r="DE123" s="127">
        <v>0</v>
      </c>
      <c r="DF123" s="127">
        <v>0</v>
      </c>
      <c r="DG123" s="127">
        <v>0</v>
      </c>
      <c r="DH123" s="127">
        <v>0</v>
      </c>
      <c r="DI123" s="127">
        <v>0</v>
      </c>
      <c r="DJ123" s="127">
        <v>0</v>
      </c>
      <c r="DK123" s="127">
        <v>0</v>
      </c>
      <c r="DL123" s="127">
        <v>0</v>
      </c>
      <c r="DM123" s="304">
        <f>INDEX(Input!$1:$1048576,DM$93,$C123*2+6)</f>
        <v>21036.84210526316</v>
      </c>
      <c r="DN123" s="20">
        <v>0</v>
      </c>
      <c r="DO123" s="20">
        <v>0</v>
      </c>
      <c r="DP123" s="20">
        <v>0</v>
      </c>
      <c r="DQ123" s="20">
        <v>0</v>
      </c>
      <c r="DR123" s="20">
        <v>0</v>
      </c>
      <c r="DS123" s="20">
        <f>INDEX(Input!$1:$1048576,DS$93,$C123*2+6)</f>
        <v>0.6</v>
      </c>
      <c r="DT123" s="20">
        <f>INDEX(Input!$1:$1048576,DT$93,$C123*2+6)</f>
        <v>0.55000000000000004</v>
      </c>
      <c r="DU123" s="20">
        <f>INDEX(Input!$1:$1048576,DU$93,$C123*2+6)</f>
        <v>0.52</v>
      </c>
      <c r="DV123" s="20">
        <f>INDEX(Input!$1:$1048576,DV$93,$C123*2+6)</f>
        <v>0.5</v>
      </c>
      <c r="DW123" s="20">
        <f>INDEX(Input!$1:$1048576,DW$93,$C123*2+6)</f>
        <v>0.45</v>
      </c>
      <c r="DX123" s="20"/>
      <c r="DY123" s="7">
        <v>9.6308853512836606E-2</v>
      </c>
      <c r="DZ123" s="7">
        <v>0</v>
      </c>
      <c r="EA123" s="7">
        <v>0.46034905598936271</v>
      </c>
      <c r="EB123" s="7">
        <v>0</v>
      </c>
      <c r="EC123" s="7">
        <v>0</v>
      </c>
      <c r="ED123" s="7">
        <v>0</v>
      </c>
      <c r="EE123" s="7">
        <v>0</v>
      </c>
      <c r="EF123" s="7">
        <v>0</v>
      </c>
      <c r="EG123" s="7">
        <v>0</v>
      </c>
      <c r="EH123" s="7">
        <v>1.4789192705906975E-2</v>
      </c>
      <c r="EI123" s="7">
        <v>4.3188566954775416E-2</v>
      </c>
      <c r="EJ123" s="7">
        <v>0.27281740913088937</v>
      </c>
      <c r="EK123" s="7">
        <v>0.58408530924176327</v>
      </c>
      <c r="EL123" s="7">
        <v>8.5119521966665126E-2</v>
      </c>
      <c r="EM123" s="7">
        <v>6.0266353694378438E-2</v>
      </c>
      <c r="EN123" s="7">
        <v>5.0824256578978516E-2</v>
      </c>
      <c r="EO123" s="7">
        <v>0.76815678085538364</v>
      </c>
      <c r="EP123" s="7">
        <v>7.9058197430733598E-2</v>
      </c>
      <c r="EQ123" s="7">
        <v>6.027119863119898E-2</v>
      </c>
      <c r="ER123" s="7">
        <v>4.1689566503705235E-2</v>
      </c>
      <c r="ES123" s="7">
        <v>0.38307573680342216</v>
      </c>
      <c r="ET123" s="7">
        <v>0.44334209049780071</v>
      </c>
      <c r="EU123" s="6">
        <v>1270</v>
      </c>
      <c r="EV123" s="6">
        <v>0</v>
      </c>
      <c r="EW123" s="6">
        <v>1270</v>
      </c>
      <c r="EX123" s="6">
        <v>0</v>
      </c>
      <c r="EY123" s="6">
        <v>2319.849177339911</v>
      </c>
      <c r="EZ123" s="6">
        <v>2085</v>
      </c>
      <c r="FA123" s="6">
        <v>0</v>
      </c>
      <c r="FB123" s="6">
        <v>0</v>
      </c>
      <c r="FC123" s="6">
        <v>0</v>
      </c>
      <c r="FD123" s="6">
        <v>0</v>
      </c>
      <c r="FE123" s="6">
        <v>0</v>
      </c>
      <c r="FF123" s="6">
        <v>0</v>
      </c>
      <c r="FG123" s="6">
        <v>0</v>
      </c>
      <c r="FH123" s="6">
        <v>1171.2811379695618</v>
      </c>
      <c r="FI123" s="6">
        <v>1553.9796069512402</v>
      </c>
      <c r="FJ123" s="6">
        <v>2101.2110117447414</v>
      </c>
      <c r="FK123" s="6">
        <v>2251.3078348034678</v>
      </c>
      <c r="FL123" s="6">
        <v>907.07682140966347</v>
      </c>
      <c r="FM123" s="6">
        <v>2049.849177339911</v>
      </c>
      <c r="FN123" s="6">
        <v>0</v>
      </c>
      <c r="FO123" s="6">
        <v>0</v>
      </c>
      <c r="FP123" s="6">
        <v>0</v>
      </c>
      <c r="FQ123" s="6">
        <v>0</v>
      </c>
      <c r="FR123" s="6">
        <v>0</v>
      </c>
      <c r="FS123" s="6">
        <v>0</v>
      </c>
      <c r="FT123" s="7">
        <v>0.55665790950219929</v>
      </c>
      <c r="FU123" s="7">
        <v>6.0266353694378438E-2</v>
      </c>
      <c r="FV123" s="7">
        <v>0.38307573680342216</v>
      </c>
      <c r="FW123" s="6">
        <v>1270</v>
      </c>
      <c r="FX123" s="6">
        <v>2319.849177339911</v>
      </c>
      <c r="FY123" s="6">
        <v>2085</v>
      </c>
      <c r="FZ123" s="6">
        <v>1952.7147957719815</v>
      </c>
      <c r="GA123" s="6">
        <v>1645.4773073421081</v>
      </c>
      <c r="GB123" s="6">
        <v>18339.522692657891</v>
      </c>
      <c r="GC123" s="7">
        <v>1.0519917368675835E-2</v>
      </c>
      <c r="GD123" s="7">
        <v>1.0291623766984401E-2</v>
      </c>
      <c r="GE123" s="7"/>
      <c r="GF123" s="7"/>
      <c r="GG123" s="7">
        <v>-2.1701083163561917E-2</v>
      </c>
      <c r="GH123" s="42">
        <v>1.4115990507544318</v>
      </c>
      <c r="GI123" s="6">
        <v>15803.180225404414</v>
      </c>
      <c r="GJ123" s="14">
        <v>0.50394797582841744</v>
      </c>
      <c r="GK123" s="14">
        <v>0.50887573065309744</v>
      </c>
      <c r="GL123" s="14">
        <v>0.49605202417158284</v>
      </c>
      <c r="GM123" s="14">
        <v>0.49112426934690245</v>
      </c>
      <c r="GO123" s="5">
        <v>343.14810671672558</v>
      </c>
      <c r="GP123" s="5">
        <v>318.91892952659737</v>
      </c>
      <c r="GQ123" s="5">
        <v>535.04305713031317</v>
      </c>
      <c r="GR123" s="5">
        <v>410.15490233172511</v>
      </c>
      <c r="GS123" s="5">
        <v>339.42744393800166</v>
      </c>
      <c r="GT123" s="5">
        <v>293.4407446948278</v>
      </c>
      <c r="GU123" s="5">
        <v>258.04012322764959</v>
      </c>
      <c r="GV123" s="39" t="s">
        <v>392</v>
      </c>
      <c r="GW123" s="5">
        <v>492.125</v>
      </c>
      <c r="GX123" s="5">
        <v>369.09375</v>
      </c>
      <c r="GY123" s="5">
        <v>295.27499999999998</v>
      </c>
      <c r="GZ123" s="5">
        <v>252.85821728143046</v>
      </c>
      <c r="HA123" s="5">
        <v>241.34874471337258</v>
      </c>
      <c r="HB123" s="39">
        <v>272.00918188838421</v>
      </c>
      <c r="HC123" s="5">
        <v>196.06562499999998</v>
      </c>
      <c r="HD123" s="5">
        <v>177.54497441520465</v>
      </c>
      <c r="HE123" s="5">
        <v>183.15757844129553</v>
      </c>
      <c r="HF123" s="5">
        <v>172.69313048245613</v>
      </c>
      <c r="HG123" s="5">
        <v>170.66888157894735</v>
      </c>
      <c r="HH123" s="39">
        <v>178.35090729075003</v>
      </c>
      <c r="HI123" s="16"/>
      <c r="HJ123" s="19" t="str">
        <f t="shared" ref="HJ123" si="296">HJ122</f>
        <v>On</v>
      </c>
      <c r="HK123" s="1" t="str">
        <f t="shared" si="108"/>
        <v>On</v>
      </c>
      <c r="HL123" s="16"/>
      <c r="HM123" s="639">
        <f t="shared" si="266"/>
        <v>5.7455619280273196E-3</v>
      </c>
      <c r="HN123" s="639">
        <f t="shared" si="267"/>
        <v>5.0031960498701745E-4</v>
      </c>
      <c r="HO123" s="639">
        <f t="shared" si="268"/>
        <v>3.9819433988714835E-3</v>
      </c>
      <c r="HP123" s="644">
        <f>(FT123*$GD123-HM123)/$JF123*INDEX(Input!$1:$1048576,$JG$93,$C123*2+6)</f>
        <v>-0.72596841019233938</v>
      </c>
      <c r="HQ123" s="644">
        <f>(FU123*$GD123-HN123)/$JF123*INDEX(Input!$1:$1048576,$JG$93,$C123*2+6)</f>
        <v>5.2292534427997426</v>
      </c>
      <c r="HR123" s="644">
        <f>(FV123*$GD123-HO123)/$JF123*INDEX(Input!$1:$1048576,$JG$93,$C123*2+6)</f>
        <v>-1.7212389335137153</v>
      </c>
      <c r="HS123" s="644">
        <f t="shared" si="269"/>
        <v>-0.74759047891935548</v>
      </c>
      <c r="HT123" s="644">
        <f t="shared" si="270"/>
        <v>7.0687077107342393</v>
      </c>
      <c r="HU123" s="644">
        <f t="shared" si="271"/>
        <v>0.64570276283970629</v>
      </c>
      <c r="HV123" s="648">
        <f t="shared" si="272"/>
        <v>0</v>
      </c>
      <c r="HW123" s="648">
        <f t="shared" si="273"/>
        <v>0</v>
      </c>
      <c r="HX123" s="648">
        <f t="shared" si="274"/>
        <v>0</v>
      </c>
      <c r="HY123" s="644">
        <f>INDEX(Input!$1:$1048576,HY$93,$C123*2+6)*INDEX(Input!$1:$1048576,$JG$93,$C123*2+6)</f>
        <v>110.00000000000001</v>
      </c>
      <c r="HZ123" s="644">
        <f>INDEX(Input!$1:$1048576,HZ$93,$C123*2+6)*INDEX(Input!$1:$1048576,$JG$93,$C123*2+6)</f>
        <v>157</v>
      </c>
      <c r="IA123" s="644">
        <f>INDEX(Input!$1:$1048576,IA$93,$C123*2+6)*INDEX(Input!$1:$1048576,$JG$93,$C123*2+6)</f>
        <v>179</v>
      </c>
      <c r="IB123" s="644">
        <f t="shared" si="249"/>
        <v>108.5264411108883</v>
      </c>
      <c r="IC123" s="644">
        <f t="shared" si="172"/>
        <v>169.29796115353398</v>
      </c>
      <c r="ID123" s="644">
        <f>IF(AND(INDEX(Input!$1:$1048576,IA$93,$C123*2+7)="TOS",Y123&lt;=INDEX(Y:Y,MATCH(C123*1000+2,A:A))),0,1)*MAX(IA123+HR123+HU123+HX123,0%)</f>
        <v>177.92446382932599</v>
      </c>
      <c r="IE123" s="128">
        <f t="shared" si="275"/>
        <v>0.23812772600198689</v>
      </c>
      <c r="IF123" s="128">
        <f t="shared" si="174"/>
        <v>0.37147204030280379</v>
      </c>
      <c r="IG123" s="128">
        <f t="shared" si="175"/>
        <v>0.39040023369520938</v>
      </c>
      <c r="IH123" s="21"/>
      <c r="II123" s="19">
        <f t="shared" si="276"/>
        <v>1240</v>
      </c>
      <c r="IJ123" s="19">
        <f t="shared" si="277"/>
        <v>2009.7221397149679</v>
      </c>
      <c r="IK123" s="19">
        <f t="shared" si="278"/>
        <v>2070</v>
      </c>
      <c r="IL123" s="19">
        <f t="shared" si="176"/>
        <v>30</v>
      </c>
      <c r="IM123" s="19">
        <f t="shared" si="177"/>
        <v>310.12703762494311</v>
      </c>
      <c r="IN123" s="19">
        <f t="shared" si="178"/>
        <v>15</v>
      </c>
      <c r="IO123" s="39">
        <f t="shared" si="279"/>
        <v>0</v>
      </c>
      <c r="IP123" s="39">
        <f t="shared" si="280"/>
        <v>0</v>
      </c>
      <c r="IQ123" s="39">
        <f t="shared" si="281"/>
        <v>0</v>
      </c>
      <c r="IR123" s="39">
        <v>0</v>
      </c>
      <c r="IS123" s="39">
        <v>0</v>
      </c>
      <c r="IT123" s="39">
        <v>0</v>
      </c>
      <c r="IU123" s="39">
        <v>0</v>
      </c>
      <c r="IV123" s="39">
        <v>0</v>
      </c>
      <c r="IW123" s="39">
        <v>0</v>
      </c>
      <c r="IX123" s="39">
        <f>INDEX(Input!$1:$1048576,IX$93,$C123*2+6)+INDEX(Input!$1:$1048576,IX$94,$C123*2+6)</f>
        <v>1270</v>
      </c>
      <c r="IY123" s="39">
        <f>INDEX(Input!$1:$1048576,IY$93,$C123*2+6)+INDEX(Input!$1:$1048576,IY$94,$C123*2+6)</f>
        <v>2130.0624533823611</v>
      </c>
      <c r="IZ123" s="39">
        <f>INDEX(Input!$1:$1048576,IZ$93,$C123*2+6)+INDEX(Input!$1:$1048576,IZ$94,$C123*2+6)</f>
        <v>4373.7164157747848</v>
      </c>
      <c r="JA123" s="19">
        <f t="shared" si="179"/>
        <v>1300</v>
      </c>
      <c r="JB123" s="19">
        <f t="shared" si="180"/>
        <v>2440.1894910073042</v>
      </c>
      <c r="JC123" s="19">
        <f t="shared" si="181"/>
        <v>4388.7164157747848</v>
      </c>
      <c r="JD123" s="19">
        <f t="shared" si="182"/>
        <v>2929.3841270930043</v>
      </c>
      <c r="JE123" s="21"/>
      <c r="JF123" s="1">
        <f t="shared" si="282"/>
        <v>1.022782493188582E-2</v>
      </c>
      <c r="JG123" s="15">
        <f>INDEX(Input!$1:$1048576,JG$93,$C123*2+6)/(1+VLOOKUP(C123*1000+INDEX(Input!$1:$1048576,JG$93+1,$C123*2+6),$A:$KK,$JK$92,FALSE))</f>
        <v>446</v>
      </c>
      <c r="JH123" s="1">
        <f t="shared" si="251"/>
        <v>6.2377715226315869E-3</v>
      </c>
      <c r="JI123" s="1">
        <f t="shared" si="252"/>
        <v>1.5620672633754686E-2</v>
      </c>
      <c r="JJ123" s="1">
        <f t="shared" si="253"/>
        <v>0</v>
      </c>
      <c r="JK123" s="1">
        <f t="shared" si="254"/>
        <v>2.1858444156386273E-2</v>
      </c>
      <c r="JL123" s="15">
        <f t="shared" si="184"/>
        <v>9.7488660937482781</v>
      </c>
      <c r="JM123" s="15">
        <f t="shared" si="185"/>
        <v>455.74886609374829</v>
      </c>
      <c r="JN123" s="21"/>
      <c r="JO123" s="19">
        <f>INDEX(Input!$1:$1048576,JO$93,$C123*2+6)</f>
        <v>5995.5</v>
      </c>
      <c r="JP123" s="19">
        <f>INDEX(Input!$1:$1048576,JP$93,$C123*2+6)</f>
        <v>2818.4193802796353</v>
      </c>
      <c r="JQ123" s="39">
        <f t="shared" si="186"/>
        <v>3066.1158729069957</v>
      </c>
      <c r="JR123" s="39">
        <f t="shared" si="187"/>
        <v>110.96474681336895</v>
      </c>
      <c r="JS123" s="39">
        <f t="shared" si="188"/>
        <v>1.3350634942756614</v>
      </c>
      <c r="JT123" s="39">
        <f t="shared" si="189"/>
        <v>7.8048450670944056E-2</v>
      </c>
      <c r="JU123" s="385">
        <f>(JQ123*JM123-INDEX(Input!$1:$1048576,Input!A$18,$C123*2+6)*JL123*INDEX(Input!$1:$1048576,Input!A$19,$C123*2+6))/1000000</f>
        <v>1.3973788323894065</v>
      </c>
      <c r="JV123" s="39">
        <f t="shared" si="192"/>
        <v>-1.9599124005876156E-2</v>
      </c>
      <c r="JW123" s="1">
        <f t="shared" si="190"/>
        <v>-1.3831636489063878E-2</v>
      </c>
      <c r="JX123" s="19">
        <f t="shared" si="191"/>
        <v>8005.9003704025345</v>
      </c>
      <c r="JZ123" s="341"/>
      <c r="KA123" s="342"/>
      <c r="KB123" s="469">
        <f t="shared" si="110"/>
        <v>2.9286733661474216</v>
      </c>
      <c r="KI123" s="473">
        <f t="shared" si="283"/>
        <v>-1.4735588891117004</v>
      </c>
      <c r="KJ123" s="473">
        <f t="shared" si="284"/>
        <v>12.297961153534004</v>
      </c>
      <c r="KK123" s="473">
        <f t="shared" si="257"/>
        <v>-1.0755361706739848</v>
      </c>
      <c r="KN123" s="544">
        <f t="shared" si="258"/>
        <v>1002</v>
      </c>
      <c r="KO123" s="541">
        <f t="shared" si="285"/>
        <v>1.766982201178835E-2</v>
      </c>
      <c r="KP123" s="546">
        <f t="shared" si="286"/>
        <v>104.05936221051793</v>
      </c>
      <c r="KQ123" s="546">
        <f t="shared" si="287"/>
        <v>90.06792707435261</v>
      </c>
      <c r="KR123" s="548">
        <f t="shared" si="288"/>
        <v>2.911426464474824</v>
      </c>
      <c r="KS123" s="548">
        <f t="shared" si="289"/>
        <v>3.3636966105145696</v>
      </c>
      <c r="KT123" s="473">
        <f t="shared" si="112"/>
        <v>238.28695973331548</v>
      </c>
      <c r="KU123" s="663">
        <f t="shared" si="290"/>
        <v>6.2260463239542583</v>
      </c>
      <c r="KV123" s="117"/>
    </row>
    <row r="124" spans="1:308" s="26" customFormat="1" ht="15">
      <c r="A124" s="561">
        <f t="shared" si="168"/>
        <v>1024</v>
      </c>
      <c r="B124" s="561">
        <f t="shared" si="104"/>
        <v>24</v>
      </c>
      <c r="C124" s="561">
        <f t="shared" si="105"/>
        <v>1</v>
      </c>
      <c r="D124" s="561" t="str">
        <f t="shared" si="294"/>
        <v xml:space="preserve">0/0/0/3.9, </v>
      </c>
      <c r="E124" s="475">
        <f>INDEX(Input!$1:$1048576,E$93,$C124*2+MIN($B124,2)+5)
+INDEX(Scenarios!E$121:E$200,MATCH($B124,Scenarios!$B$121:$B$200,0))</f>
        <v>1229</v>
      </c>
      <c r="F124" s="475">
        <f>INDEX(Input!$1:$1048576,F$93,$C124*2+MIN($B124,2)+5)
+INDEX(Scenarios!F$121:F$200,MATCH($B124,Scenarios!$B$121:$B$200,0))</f>
        <v>0</v>
      </c>
      <c r="G124" s="475">
        <f>INDEX(Input!$1:$1048576,G$93,$C124*2+MIN($B124,2)+5)
+INDEX(Scenarios!G$121:G$200,MATCH($B124,Scenarios!$B$121:$B$200,0))</f>
        <v>0</v>
      </c>
      <c r="H124" s="475">
        <f>INDEX(Input!$1:$1048576,H$93,$C124*2+MIN($B124,2)+5)
+INDEX(Scenarios!H$121:H$200,MATCH($B124,Scenarios!$B$121:$B$200,0))</f>
        <v>0</v>
      </c>
      <c r="I124" s="476">
        <f>INDEX(Input!$1:$1048576,I$93,$C124*2+MIN($B124,2)+5)</f>
        <v>0.7</v>
      </c>
      <c r="J124" s="476" t="str">
        <f>INDEX(Input!$1:$1048576,J$93,$C124*2+MIN($B124,2)+5)</f>
        <v>Market</v>
      </c>
      <c r="K124" s="476" t="str">
        <f>INDEX(Input!$1:$1048576,K$93,$C124*2+MIN($B124,2)+5)</f>
        <v>Market</v>
      </c>
      <c r="L124" s="476" t="str">
        <f>INDEX(Input!$1:$1048576,L$93,$C124*2+MIN($B124,2)+5)</f>
        <v>Market</v>
      </c>
      <c r="M124" s="476" t="str">
        <f>INDEX(Input!$1:$1048576,M$93,$C124*2+MIN($B124,2)+5)</f>
        <v>Market</v>
      </c>
      <c r="N124" s="476" t="str">
        <f>INDEX(Input!$1:$1048576,N$93,$C124*2+MIN($B124,2)+5)</f>
        <v>Market</v>
      </c>
      <c r="O124" s="476" t="str">
        <f>INDEX(Input!$1:$1048576,O$93,$C124*2+MIN($B124,2)+5)</f>
        <v>Market</v>
      </c>
      <c r="P124" s="476" t="str">
        <f>INDEX(Input!$1:$1048576,P$93,$C124*2+MIN($B124,2)+5)</f>
        <v>N</v>
      </c>
      <c r="Q124" s="477">
        <f>INDEX(Input!$1:$1048576,Q$93,$C124*2+MIN($B124,2)+5)
+INDEX(Scenarios!Q$121:Q$200,MATCH($B124,Scenarios!$B$121:$B$200,0))</f>
        <v>0</v>
      </c>
      <c r="R124" s="478">
        <f>IFERROR(MAX(0,INDEX(Input!$1:$1048576,R$93,$C124*2+MIN($B124,2)+5)
+INDEX(Scenarios!R$121:R$200,MATCH($B124,Scenarios!$B$121:$B$200,0)),),"Market")</f>
        <v>0</v>
      </c>
      <c r="S124" s="478">
        <f>IFERROR(MAX(0,INDEX(Input!$1:$1048576,S$93,$C124*2+MIN($B124,2)+5)
+INDEX(Scenarios!S$121:S$200,MATCH($B124,Scenarios!$B$121:$B$200,0)),),"Market")</f>
        <v>0</v>
      </c>
      <c r="T124" s="478">
        <f>IFERROR(MAX(0,INDEX(Input!$1:$1048576,T$93,$C124*2+MIN($B124,2)+5)
+INDEX(Scenarios!T$121:T$200,MATCH($B124,Scenarios!$B$121:$B$200,0)),),"Market")</f>
        <v>0</v>
      </c>
      <c r="U124" s="478">
        <f>IFERROR(MAX(0,INDEX(Input!$1:$1048576,U$93,$C124*2+MIN($B124,2)+5)
+INDEX(Scenarios!U$121:U$200,MATCH($B124,Scenarios!$B$121:$B$200,0)),),"Market")</f>
        <v>0</v>
      </c>
      <c r="V124" s="478">
        <f>IFERROR(MAX(0,INDEX(Input!$1:$1048576,V$93,$C124*2+MIN($B124,2)+5)
+INDEX(Scenarios!V$121:V$200,MATCH($B124,Scenarios!$B$121:$B$200,0)),),"Market")</f>
        <v>0</v>
      </c>
      <c r="W124" s="885">
        <f>IFERROR(MAX(0,INDEX(Input!$1:$1048576,W$93,$C124*2+MIN($B124,2)+5)-0%,),"Market")</f>
        <v>3.9E-2</v>
      </c>
      <c r="X124" s="476" t="str">
        <f>INDEX(Input!$1:$1048576,X$93,$C124*2+MIN($B124,2)+5)</f>
        <v>Y</v>
      </c>
      <c r="Y124" s="475">
        <f>INDEX(Input!$1:$1048576,Y$93,$C124*2+MIN($B124,2)+5)
++INDEX(Scenarios!Y$121:Y$200,MATCH($B124,Scenarios!$B$121:$B$200,0))</f>
        <v>1942</v>
      </c>
      <c r="Z124" s="477">
        <f>INDEX(Input!$1:$1048576,Z$93,$C124*2+MIN($B124,2)+5)
+INDEX(Scenarios!Z$121:Z$200,MATCH($B124,Scenarios!$B$121:$B$200,0))</f>
        <v>0</v>
      </c>
      <c r="AA124" s="475">
        <f>INDEX(Input!$1:$1048576,AA$93,$C124*2+MIN($B124,2)+5)
+INDEX(Scenarios!AA$121:AA$200,MATCH($B124,Scenarios!$B$121:$B$200,0))</f>
        <v>0</v>
      </c>
      <c r="AB124" s="476">
        <f>INDEX(Input!$1:$1048576,AB$93,$C124*2+MIN($B124,2)+5)</f>
        <v>0.27</v>
      </c>
      <c r="AC124" s="475">
        <f>INDEX(Input!$1:$1048576,AC$93,$C124*2+MIN($B124,2)+5)
+INDEX(Scenarios!AC$121:AC$200,MATCH($B124,Scenarios!$B$121:$B$200,0))</f>
        <v>0</v>
      </c>
      <c r="AD124" s="476">
        <f>INDEX(Input!$1:$1048576,AD$93,$C124*2+MIN($B124,2)+5)</f>
        <v>0.27</v>
      </c>
      <c r="AE124" s="475">
        <f>INDEX(Input!$1:$1048576,AE$93,$C124*2+MIN($B124,2)+5)
+INDEX(Scenarios!AE$121:AE$200,MATCH($B124,Scenarios!$B$121:$B$200,0))</f>
        <v>0</v>
      </c>
      <c r="AF124" s="476">
        <f>INDEX(Input!$1:$1048576,AF$93,$C124*2+MIN($B124,2)+5)</f>
        <v>0.38</v>
      </c>
      <c r="AG124" s="475">
        <f>INDEX(Input!$1:$1048576,AG$93,$C124*2+MIN($B124,2)+5)
+INDEX(Scenarios!AG$121:AG$200,MATCH($B124,Scenarios!$B$121:$B$200,0))</f>
        <v>0</v>
      </c>
      <c r="AH124" s="476">
        <f>INDEX(Input!$1:$1048576,AH$93,$C124*2+MIN($B124,2)+5)</f>
        <v>0</v>
      </c>
      <c r="AI124" s="475">
        <f>INDEX(Input!$1:$1048576,AI$93,$C124*2+MIN($B124,2)+5)
+INDEX(Scenarios!AI$121:AI$200,MATCH($B124,Scenarios!$B$121:$B$200,0))</f>
        <v>0</v>
      </c>
      <c r="AJ124" s="476">
        <f>INDEX(Input!$1:$1048576,AJ$93,$C124*2+MIN($B124,2)+5)</f>
        <v>0.27</v>
      </c>
      <c r="AK124" s="150">
        <f>ROUND(INDEX(Input!$1:$1048576,AK$93,$C123*2+MIN($B124,1)+5)+(Y124-VLOOKUP($C124*1000+1,$A:$HH,Y$92,FALSE)),0)</f>
        <v>3757</v>
      </c>
      <c r="AL124" s="150">
        <f>ROUND(INDEX(Input!$1:$1048576,AL$93,$C123*2+MIN($B124,1)+5)-(Y124-VLOOKUP($C124*1000+1,$A:$HH,Y$92,FALSE))/36,0)</f>
        <v>4113</v>
      </c>
      <c r="AM124" s="32" t="str">
        <f t="shared" si="169"/>
        <v>std/std/std/std</v>
      </c>
      <c r="AN124" s="32" t="str">
        <f t="shared" si="170"/>
        <v>$0 + 0/0/0/0/3.9</v>
      </c>
      <c r="AO124" s="32" t="str">
        <f t="shared" si="171"/>
        <v>0/0/0/0/3.9</v>
      </c>
      <c r="AP124" s="32" t="str">
        <f t="shared" si="73"/>
        <v>0/0/0/3.9</v>
      </c>
      <c r="AQ124" s="536">
        <f t="shared" si="39"/>
        <v>0.22666511876546269</v>
      </c>
      <c r="AR124" s="32"/>
      <c r="AS124" s="302"/>
      <c r="AT124" s="3">
        <f t="shared" si="106"/>
        <v>24</v>
      </c>
      <c r="AU124" s="41" t="s">
        <v>121</v>
      </c>
      <c r="AV124" s="41" t="s">
        <v>116</v>
      </c>
      <c r="AW124" s="41" t="str">
        <f>INDEX(Input!$1:$1048576,AW$93,$C124*2+6)</f>
        <v>Kia</v>
      </c>
      <c r="AX124" s="41" t="str">
        <f>INDEX(Input!$1:$1048576,AX$93,$C124*2+6)</f>
        <v>Kia-LR - L1</v>
      </c>
      <c r="AY124" s="41" t="str">
        <f>IF(LEN(D124)=0,"",INDEX(Input!$1:$1048576,AY$93,$C124*2+6))</f>
        <v>Compact SUV (52)</v>
      </c>
      <c r="AZ124" s="41" t="str">
        <f>INDEX(Input!$1:$1048576,AZ$93,$C124*2+6)</f>
        <v>Kia Soul</v>
      </c>
      <c r="BA124" s="3">
        <f>INDEX(Input!$1:$1048576,BA$93,$C124*2+6)</f>
        <v>2020</v>
      </c>
      <c r="BB124" s="128">
        <f>INDEX(Input!$1:$1048576,BB$93,$C124*2+6)</f>
        <v>1</v>
      </c>
      <c r="BC124" s="128">
        <f>INDEX(Input!$1:$1048576,BC$93,$C124*2+6)</f>
        <v>0.7</v>
      </c>
      <c r="BD124" s="1">
        <f>INDEX(Input!$1:$1048576,BD$93,$C124*2+6)</f>
        <v>4.4999999999999998E-2</v>
      </c>
      <c r="BE124" s="1">
        <f>INDEX(Input!$1:$1048576,BE$93,$C124*2+6)</f>
        <v>4.4999999999999998E-2</v>
      </c>
      <c r="BF124" s="1">
        <f>INDEX(Input!$1:$1048576,BF$93,$C124*2+6)</f>
        <v>0.05</v>
      </c>
      <c r="BG124" s="1">
        <f>INDEX(Input!$1:$1048576,BG$93,$C124*2+6)</f>
        <v>5.45E-2</v>
      </c>
      <c r="BH124" s="1">
        <f>INDEX(Input!$1:$1048576,BH$93,$C124*2+6)</f>
        <v>5.45E-2</v>
      </c>
      <c r="BI124" s="1">
        <f>INDEX(Input!$1:$1048576,BI$93,$C124*2+6)</f>
        <v>0.05</v>
      </c>
      <c r="BJ124" s="1">
        <f>INDEX(Input!$1:$1048576,BJ$93,$C124*2+6)</f>
        <v>0.05</v>
      </c>
      <c r="BK124" s="1">
        <f>INDEX(Input!$1:$1048576,BK$93,$C124*2+6)</f>
        <v>0.05</v>
      </c>
      <c r="BL124" s="1">
        <f>INDEX(Input!$1:$1048576,BL$93,$C124*2+6)</f>
        <v>5.5E-2</v>
      </c>
      <c r="BM124" s="1">
        <f>INDEX(Input!$1:$1048576,BM$93,$C124*2+6)</f>
        <v>0.06</v>
      </c>
      <c r="BN124" s="1">
        <f>INDEX(Input!$1:$1048576,BN$93,$C124*2+6)</f>
        <v>4.4999999999999998E-2</v>
      </c>
      <c r="BO124" s="1">
        <f>INDEX(Input!$1:$1048576,BO$93,$C124*2+6)</f>
        <v>4.4999999999999998E-2</v>
      </c>
      <c r="BP124" s="1">
        <f>INDEX(Input!$1:$1048576,BP$93,$C124*2+6)</f>
        <v>0.05</v>
      </c>
      <c r="BQ124" s="1">
        <f>INDEX(Input!$1:$1048576,BQ$93,$C124*2+6)</f>
        <v>5.45E-2</v>
      </c>
      <c r="BR124" s="1">
        <f>INDEX(Input!$1:$1048576,BR$93,$C124*2+6)</f>
        <v>5.45E-2</v>
      </c>
      <c r="BS124" s="1">
        <f>INDEX(Input!$1:$1048576,BS$93,$C124*2+6)</f>
        <v>0.05</v>
      </c>
      <c r="BT124" s="1">
        <f>INDEX(Input!$1:$1048576,BT$93,$C124*2+6)</f>
        <v>0.05</v>
      </c>
      <c r="BU124" s="1">
        <f>INDEX(Input!$1:$1048576,BU$93,$C124*2+6)</f>
        <v>0.05</v>
      </c>
      <c r="BV124" s="1">
        <f>INDEX(Input!$1:$1048576,BV$93,$C124*2+6)</f>
        <v>5.5E-2</v>
      </c>
      <c r="BW124" s="1">
        <f>INDEX(Input!$1:$1048576,BW$93,$C124*2+6)</f>
        <v>0.06</v>
      </c>
      <c r="BX124" s="127">
        <f>INDEX(Input!$1:$1048576,BX$93,$C124*2+6)</f>
        <v>19985</v>
      </c>
      <c r="BY124" s="20">
        <f>INDEX(Input!$1:$1048576,BY$93,$C124*2+6)</f>
        <v>0.1</v>
      </c>
      <c r="BZ124" s="20">
        <f>INDEX(Input!$1:$1048576,BZ$93,$C124*2+6)</f>
        <v>0.1</v>
      </c>
      <c r="CA124" s="20">
        <f>INDEX(Input!$1:$1048576,CA$93,$C124*2+6)</f>
        <v>0.1</v>
      </c>
      <c r="CB124" s="20">
        <f>INDEX(Input!$1:$1048576,CB$93,$C124*2+6)</f>
        <v>0.1</v>
      </c>
      <c r="CC124" s="20">
        <f>INDEX(Input!$1:$1048576,CC$93,$C124*2+6)</f>
        <v>0.1</v>
      </c>
      <c r="CD124" s="384">
        <f>INDEX(Input!$1:$1048576,CD$93,$C124*2+6)</f>
        <v>0.1</v>
      </c>
      <c r="CE124" s="384">
        <f>INDEX(Input!$1:$1048576,CE$93,$C124*2+6)</f>
        <v>0.1</v>
      </c>
      <c r="CF124" s="384">
        <f>INDEX(Input!$1:$1048576,CF$93,$C124*2+6)</f>
        <v>0.1</v>
      </c>
      <c r="CG124" s="384">
        <f>INDEX(Input!$1:$1048576,CG$93,$C124*2+6)</f>
        <v>0.1</v>
      </c>
      <c r="CH124" s="384">
        <f>INDEX(Input!$1:$1048576,CH$93,$C124*2+6)</f>
        <v>0.1</v>
      </c>
      <c r="CI124" s="304">
        <f t="shared" si="74"/>
        <v>1229</v>
      </c>
      <c r="CJ124" s="16" t="str">
        <f>INDEX(Input!$1:$1048576,CJ$93,$C124*2+6)</f>
        <v>N</v>
      </c>
      <c r="CK124" s="1" t="str">
        <f t="shared" si="75"/>
        <v>Market</v>
      </c>
      <c r="CL124" s="1" t="str">
        <f t="shared" si="76"/>
        <v>Market</v>
      </c>
      <c r="CM124" s="1" t="str">
        <f t="shared" si="77"/>
        <v>Market</v>
      </c>
      <c r="CN124" s="1" t="str">
        <f t="shared" si="78"/>
        <v>Market</v>
      </c>
      <c r="CO124" s="1" t="str">
        <f t="shared" si="79"/>
        <v>Market</v>
      </c>
      <c r="CP124" s="304">
        <f t="shared" si="80"/>
        <v>0</v>
      </c>
      <c r="CQ124" s="1">
        <f t="shared" si="81"/>
        <v>0</v>
      </c>
      <c r="CR124" s="1">
        <f t="shared" si="82"/>
        <v>0</v>
      </c>
      <c r="CS124" s="1">
        <f t="shared" si="83"/>
        <v>0</v>
      </c>
      <c r="CT124" s="1">
        <f t="shared" si="84"/>
        <v>0</v>
      </c>
      <c r="CU124" s="1">
        <f t="shared" si="85"/>
        <v>3.9E-2</v>
      </c>
      <c r="CV124" s="304">
        <f t="shared" si="86"/>
        <v>1942</v>
      </c>
      <c r="CW124" s="20" t="s">
        <v>122</v>
      </c>
      <c r="CX124" s="20" t="s">
        <v>122</v>
      </c>
      <c r="CY124" s="20" t="s">
        <v>122</v>
      </c>
      <c r="CZ124" s="20" t="s">
        <v>122</v>
      </c>
      <c r="DA124" s="20" t="s">
        <v>122</v>
      </c>
      <c r="DB124" s="503">
        <f t="shared" si="87"/>
        <v>0</v>
      </c>
      <c r="DC124" s="127">
        <v>0</v>
      </c>
      <c r="DD124" s="127">
        <v>0</v>
      </c>
      <c r="DE124" s="127">
        <v>0</v>
      </c>
      <c r="DF124" s="127">
        <v>0</v>
      </c>
      <c r="DG124" s="127">
        <v>0</v>
      </c>
      <c r="DH124" s="127">
        <v>0</v>
      </c>
      <c r="DI124" s="127">
        <v>0</v>
      </c>
      <c r="DJ124" s="127">
        <v>0</v>
      </c>
      <c r="DK124" s="127">
        <v>0</v>
      </c>
      <c r="DL124" s="127">
        <v>0</v>
      </c>
      <c r="DM124" s="304">
        <f>INDEX(Input!$1:$1048576,DM$93,$C124*2+6)</f>
        <v>21036.84210526316</v>
      </c>
      <c r="DN124" s="20">
        <v>0</v>
      </c>
      <c r="DO124" s="20">
        <v>0</v>
      </c>
      <c r="DP124" s="20">
        <v>0</v>
      </c>
      <c r="DQ124" s="20">
        <v>0</v>
      </c>
      <c r="DR124" s="20">
        <v>0</v>
      </c>
      <c r="DS124" s="20">
        <f>INDEX(Input!$1:$1048576,DS$93,$C124*2+6)</f>
        <v>0.6</v>
      </c>
      <c r="DT124" s="20">
        <f>INDEX(Input!$1:$1048576,DT$93,$C124*2+6)</f>
        <v>0.55000000000000004</v>
      </c>
      <c r="DU124" s="20">
        <f>INDEX(Input!$1:$1048576,DU$93,$C124*2+6)</f>
        <v>0.52</v>
      </c>
      <c r="DV124" s="20">
        <f>INDEX(Input!$1:$1048576,DV$93,$C124*2+6)</f>
        <v>0.5</v>
      </c>
      <c r="DW124" s="20">
        <f>INDEX(Input!$1:$1048576,DW$93,$C124*2+6)</f>
        <v>0.45</v>
      </c>
      <c r="DX124" s="20"/>
      <c r="DY124" s="7">
        <v>9.4848401427713294E-2</v>
      </c>
      <c r="DZ124" s="7">
        <v>0</v>
      </c>
      <c r="EA124" s="7">
        <v>0.45330840802798467</v>
      </c>
      <c r="EB124" s="7">
        <v>0</v>
      </c>
      <c r="EC124" s="7">
        <v>0</v>
      </c>
      <c r="ED124" s="7">
        <v>0</v>
      </c>
      <c r="EE124" s="7">
        <v>0</v>
      </c>
      <c r="EF124" s="7">
        <v>0</v>
      </c>
      <c r="EG124" s="7">
        <v>0</v>
      </c>
      <c r="EH124" s="7">
        <v>1.1770126174766769E-2</v>
      </c>
      <c r="EI124" s="7">
        <v>3.4372050758526826E-2</v>
      </c>
      <c r="EJ124" s="7">
        <v>0.2171244497247633</v>
      </c>
      <c r="EK124" s="7">
        <v>0.66899015480349511</v>
      </c>
      <c r="EL124" s="7">
        <v>6.7743218538448169E-2</v>
      </c>
      <c r="EM124" s="7">
        <v>7.4576512183260044E-2</v>
      </c>
      <c r="EN124" s="7">
        <v>5.0824256578978509E-2</v>
      </c>
      <c r="EO124" s="7">
        <v>0.76815678085538397</v>
      </c>
      <c r="EP124" s="7">
        <v>7.9058197430733598E-2</v>
      </c>
      <c r="EQ124" s="7">
        <v>6.0271198631198987E-2</v>
      </c>
      <c r="ER124" s="7">
        <v>4.1689566503705235E-2</v>
      </c>
      <c r="ES124" s="7">
        <v>0.37726667836104205</v>
      </c>
      <c r="ET124" s="7">
        <v>0.45184319054430211</v>
      </c>
      <c r="EU124" s="6">
        <v>1270</v>
      </c>
      <c r="EV124" s="6">
        <v>0</v>
      </c>
      <c r="EW124" s="6">
        <v>1270</v>
      </c>
      <c r="EX124" s="6">
        <v>0</v>
      </c>
      <c r="EY124" s="6">
        <v>2643.8860716023401</v>
      </c>
      <c r="EZ124" s="6">
        <v>2085</v>
      </c>
      <c r="FA124" s="6">
        <v>0</v>
      </c>
      <c r="FB124" s="6">
        <v>0</v>
      </c>
      <c r="FC124" s="6">
        <v>0</v>
      </c>
      <c r="FD124" s="6">
        <v>0</v>
      </c>
      <c r="FE124" s="6">
        <v>0</v>
      </c>
      <c r="FF124" s="6">
        <v>0</v>
      </c>
      <c r="FG124" s="6">
        <v>0</v>
      </c>
      <c r="FH124" s="6">
        <v>1171.281137969562</v>
      </c>
      <c r="FI124" s="6">
        <v>1553.9796069512399</v>
      </c>
      <c r="FJ124" s="6">
        <v>2101.2110117447405</v>
      </c>
      <c r="FK124" s="6">
        <v>2674.2006261592269</v>
      </c>
      <c r="FL124" s="6">
        <v>907.07682140966347</v>
      </c>
      <c r="FM124" s="6">
        <v>2373.8860716023401</v>
      </c>
      <c r="FN124" s="6">
        <v>0</v>
      </c>
      <c r="FO124" s="6">
        <v>0</v>
      </c>
      <c r="FP124" s="6">
        <v>0</v>
      </c>
      <c r="FQ124" s="6">
        <v>0</v>
      </c>
      <c r="FR124" s="6">
        <v>0</v>
      </c>
      <c r="FS124" s="6">
        <v>0</v>
      </c>
      <c r="FT124" s="7">
        <v>0.548156809455698</v>
      </c>
      <c r="FU124" s="7">
        <v>7.4576512183260044E-2</v>
      </c>
      <c r="FV124" s="7">
        <v>0.37726667836104205</v>
      </c>
      <c r="FW124" s="6">
        <v>1270</v>
      </c>
      <c r="FX124" s="6">
        <v>2643.8860716023401</v>
      </c>
      <c r="FY124" s="6">
        <v>2085</v>
      </c>
      <c r="FZ124" s="6">
        <v>1952.7147957719815</v>
      </c>
      <c r="GA124" s="6">
        <v>1679.9319742215125</v>
      </c>
      <c r="GB124" s="6">
        <v>18305.068025778488</v>
      </c>
      <c r="GC124" s="7">
        <v>1.0519917368675835E-2</v>
      </c>
      <c r="GD124" s="7">
        <v>1.0329988238937365E-2</v>
      </c>
      <c r="GE124" s="7"/>
      <c r="GF124" s="7"/>
      <c r="GG124" s="7">
        <v>-1.8054241595471476E-2</v>
      </c>
      <c r="GH124" s="42">
        <v>1.3227153243546217</v>
      </c>
      <c r="GI124" s="6">
        <v>16789.003164389422</v>
      </c>
      <c r="GJ124" s="14">
        <v>0.50394797582841733</v>
      </c>
      <c r="GK124" s="14">
        <v>0.50887573065309744</v>
      </c>
      <c r="GL124" s="14">
        <v>0.49605202417158278</v>
      </c>
      <c r="GM124" s="14">
        <v>0.49112426934690245</v>
      </c>
      <c r="GO124" s="5">
        <v>343.14810671672558</v>
      </c>
      <c r="GP124" s="5">
        <v>318.91892952659737</v>
      </c>
      <c r="GQ124" s="5">
        <v>535.04305713031317</v>
      </c>
      <c r="GR124" s="5">
        <v>410.15490233172511</v>
      </c>
      <c r="GS124" s="5">
        <v>339.42744393800166</v>
      </c>
      <c r="GT124" s="5">
        <v>293.4407446948278</v>
      </c>
      <c r="GU124" s="5">
        <v>258.04012322764959</v>
      </c>
      <c r="GV124" s="39" t="s">
        <v>392</v>
      </c>
      <c r="GW124" s="5">
        <v>492.125</v>
      </c>
      <c r="GX124" s="5">
        <v>369.09375</v>
      </c>
      <c r="GY124" s="5">
        <v>295.27499999999998</v>
      </c>
      <c r="GZ124" s="5">
        <v>246.0625</v>
      </c>
      <c r="HA124" s="5">
        <v>241.34874471337258</v>
      </c>
      <c r="HB124" s="39">
        <v>263.55343506932473</v>
      </c>
      <c r="HC124" s="5">
        <v>196.06562499999998</v>
      </c>
      <c r="HD124" s="5">
        <v>177.54497441520465</v>
      </c>
      <c r="HE124" s="5">
        <v>183.15757844129553</v>
      </c>
      <c r="HF124" s="5">
        <v>172.69313048245613</v>
      </c>
      <c r="HG124" s="5">
        <v>170.66888157894735</v>
      </c>
      <c r="HH124" s="39">
        <v>178.35090729075009</v>
      </c>
      <c r="HI124" s="16"/>
      <c r="HJ124" s="19" t="str">
        <f t="shared" ref="HJ124" si="297">HJ123</f>
        <v>On</v>
      </c>
      <c r="HK124" s="1" t="str">
        <f t="shared" si="108"/>
        <v>On</v>
      </c>
      <c r="HL124" s="16"/>
      <c r="HM124" s="639">
        <f t="shared" si="266"/>
        <v>5.7455619280273196E-3</v>
      </c>
      <c r="HN124" s="639">
        <f t="shared" si="267"/>
        <v>5.0031960498701745E-4</v>
      </c>
      <c r="HO124" s="639">
        <f t="shared" si="268"/>
        <v>3.9819433988714835E-3</v>
      </c>
      <c r="HP124" s="644">
        <f>(FT124*$GD124-HM124)/$JF124*INDEX(Input!$1:$1048576,$JG$93,$C124*2+6)</f>
        <v>-3.6240751165827532</v>
      </c>
      <c r="HQ124" s="644">
        <f>(FU124*$GD124-HN124)/$JF124*INDEX(Input!$1:$1048576,$JG$93,$C124*2+6)</f>
        <v>11.776157804050985</v>
      </c>
      <c r="HR124" s="644">
        <f>(FV124*$GD124-HO124)/$JF124*INDEX(Input!$1:$1048576,$JG$93,$C124*2+6)</f>
        <v>-3.6970949214048825</v>
      </c>
      <c r="HS124" s="644">
        <f t="shared" si="269"/>
        <v>-0.96321147630358117</v>
      </c>
      <c r="HT124" s="644">
        <f t="shared" si="270"/>
        <v>14.706164389320673</v>
      </c>
      <c r="HU124" s="644">
        <f t="shared" si="271"/>
        <v>0.86132376022393198</v>
      </c>
      <c r="HV124" s="648">
        <f t="shared" si="272"/>
        <v>0</v>
      </c>
      <c r="HW124" s="648">
        <f t="shared" si="273"/>
        <v>0</v>
      </c>
      <c r="HX124" s="648">
        <f t="shared" si="274"/>
        <v>0</v>
      </c>
      <c r="HY124" s="644">
        <f>INDEX(Input!$1:$1048576,HY$93,$C124*2+6)*INDEX(Input!$1:$1048576,$JG$93,$C124*2+6)</f>
        <v>110.00000000000001</v>
      </c>
      <c r="HZ124" s="644">
        <f>INDEX(Input!$1:$1048576,HZ$93,$C124*2+6)*INDEX(Input!$1:$1048576,$JG$93,$C124*2+6)</f>
        <v>157</v>
      </c>
      <c r="IA124" s="644">
        <f>INDEX(Input!$1:$1048576,IA$93,$C124*2+6)*INDEX(Input!$1:$1048576,$JG$93,$C124*2+6)</f>
        <v>179</v>
      </c>
      <c r="IB124" s="644">
        <f t="shared" si="249"/>
        <v>105.41271340711367</v>
      </c>
      <c r="IC124" s="644">
        <f t="shared" si="172"/>
        <v>183.48232219337166</v>
      </c>
      <c r="ID124" s="644">
        <f>IF(AND(INDEX(Input!$1:$1048576,IA$93,$C124*2+7)="TOS",Y124&lt;=INDEX(Y:Y,MATCH(C124*1000+2,A:A))),0,1)*MAX(IA124+HR124+HU124+HX124,0%)</f>
        <v>176.16422883881907</v>
      </c>
      <c r="IE124" s="128">
        <f t="shared" si="275"/>
        <v>0.22666511876546269</v>
      </c>
      <c r="IF124" s="128">
        <f t="shared" si="174"/>
        <v>0.39453535543386253</v>
      </c>
      <c r="IG124" s="128">
        <f t="shared" si="175"/>
        <v>0.37879952580067461</v>
      </c>
      <c r="IH124" s="21"/>
      <c r="II124" s="19">
        <f t="shared" si="276"/>
        <v>1240</v>
      </c>
      <c r="IJ124" s="19">
        <f t="shared" si="277"/>
        <v>2009.7221397149679</v>
      </c>
      <c r="IK124" s="19">
        <f t="shared" si="278"/>
        <v>2070</v>
      </c>
      <c r="IL124" s="19">
        <f t="shared" si="176"/>
        <v>30</v>
      </c>
      <c r="IM124" s="19">
        <f t="shared" si="177"/>
        <v>634.1639318873722</v>
      </c>
      <c r="IN124" s="19">
        <f t="shared" si="178"/>
        <v>15</v>
      </c>
      <c r="IO124" s="39">
        <f t="shared" si="279"/>
        <v>0</v>
      </c>
      <c r="IP124" s="39">
        <f t="shared" si="280"/>
        <v>0</v>
      </c>
      <c r="IQ124" s="39">
        <f t="shared" si="281"/>
        <v>0</v>
      </c>
      <c r="IR124" s="39">
        <v>0</v>
      </c>
      <c r="IS124" s="39">
        <v>0</v>
      </c>
      <c r="IT124" s="39">
        <v>0</v>
      </c>
      <c r="IU124" s="39">
        <v>0</v>
      </c>
      <c r="IV124" s="39">
        <v>0</v>
      </c>
      <c r="IW124" s="39">
        <v>0</v>
      </c>
      <c r="IX124" s="39">
        <f>INDEX(Input!$1:$1048576,IX$93,$C124*2+6)+INDEX(Input!$1:$1048576,IX$94,$C124*2+6)</f>
        <v>1270</v>
      </c>
      <c r="IY124" s="39">
        <f>INDEX(Input!$1:$1048576,IY$93,$C124*2+6)+INDEX(Input!$1:$1048576,IY$94,$C124*2+6)</f>
        <v>2130.0624533823611</v>
      </c>
      <c r="IZ124" s="39">
        <f>INDEX(Input!$1:$1048576,IZ$93,$C124*2+6)+INDEX(Input!$1:$1048576,IZ$94,$C124*2+6)</f>
        <v>4373.7164157747848</v>
      </c>
      <c r="JA124" s="19">
        <f t="shared" si="179"/>
        <v>1300</v>
      </c>
      <c r="JB124" s="19">
        <f t="shared" si="180"/>
        <v>2764.2263852697333</v>
      </c>
      <c r="JC124" s="19">
        <f t="shared" si="181"/>
        <v>4388.7164157747848</v>
      </c>
      <c r="JD124" s="19">
        <f t="shared" si="182"/>
        <v>3047.6933909762815</v>
      </c>
      <c r="JE124" s="21"/>
      <c r="JF124" s="1">
        <f t="shared" si="282"/>
        <v>1.022782493188582E-2</v>
      </c>
      <c r="JG124" s="15">
        <f>INDEX(Input!$1:$1048576,JG$93,$C124*2+6)/(1+VLOOKUP(C124*1000+INDEX(Input!$1:$1048576,JG$93+1,$C124*2+6),$A:$KK,$JK$92,FALSE))</f>
        <v>446</v>
      </c>
      <c r="JH124" s="1">
        <f t="shared" si="251"/>
        <v>9.9887618073169256E-3</v>
      </c>
      <c r="JI124" s="1">
        <f t="shared" si="252"/>
        <v>3.2745014962423824E-2</v>
      </c>
      <c r="JJ124" s="1">
        <f t="shared" si="253"/>
        <v>0</v>
      </c>
      <c r="JK124" s="1">
        <f t="shared" si="254"/>
        <v>4.2733776769740751E-2</v>
      </c>
      <c r="JL124" s="15">
        <f t="shared" si="184"/>
        <v>19.059264439304375</v>
      </c>
      <c r="JM124" s="15">
        <f t="shared" si="185"/>
        <v>465.0592644393044</v>
      </c>
      <c r="JN124" s="21"/>
      <c r="JO124" s="19">
        <f>INDEX(Input!$1:$1048576,JO$93,$C124*2+6)</f>
        <v>5995.5</v>
      </c>
      <c r="JP124" s="19">
        <f>INDEX(Input!$1:$1048576,JP$93,$C124*2+6)</f>
        <v>2818.4193802796353</v>
      </c>
      <c r="JQ124" s="39">
        <f t="shared" si="186"/>
        <v>2947.8066090237185</v>
      </c>
      <c r="JR124" s="39">
        <f t="shared" si="187"/>
        <v>229.2740106966462</v>
      </c>
      <c r="JS124" s="39">
        <f t="shared" si="188"/>
        <v>1.4173580466439588</v>
      </c>
      <c r="JT124" s="39">
        <f t="shared" si="189"/>
        <v>0.16034300303924154</v>
      </c>
      <c r="JU124" s="385">
        <f>(JQ124*JM124-INDEX(Input!$1:$1048576,Input!A$18,$C124*2+6)*JL124*INDEX(Input!$1:$1048576,Input!A$19,$C124*2+6))/1000000</f>
        <v>1.3709047733018906</v>
      </c>
      <c r="JV124" s="39">
        <f t="shared" si="192"/>
        <v>-4.6073183093392034E-2</v>
      </c>
      <c r="JW124" s="1">
        <f t="shared" si="190"/>
        <v>-3.25151022183858E-2</v>
      </c>
      <c r="JX124" s="19">
        <f t="shared" si="191"/>
        <v>8412.8641768870766</v>
      </c>
      <c r="JZ124" s="341"/>
      <c r="KA124" s="342"/>
      <c r="KB124" s="469">
        <f t="shared" si="110"/>
        <v>2.9286733661474216</v>
      </c>
      <c r="KI124" s="473">
        <f t="shared" si="283"/>
        <v>-4.5872865928863575</v>
      </c>
      <c r="KJ124" s="473">
        <f t="shared" si="284"/>
        <v>26.48232219337163</v>
      </c>
      <c r="KK124" s="473">
        <f t="shared" si="257"/>
        <v>-2.8357711611809577</v>
      </c>
      <c r="KN124" s="544">
        <f t="shared" si="258"/>
        <v>1002</v>
      </c>
      <c r="KO124" s="541">
        <f t="shared" si="285"/>
        <v>3.8459586138666069E-2</v>
      </c>
      <c r="KP124" s="546">
        <f t="shared" si="286"/>
        <v>238.36403160750433</v>
      </c>
      <c r="KQ124" s="546">
        <f t="shared" si="287"/>
        <v>208.37719095762986</v>
      </c>
      <c r="KR124" s="548">
        <f t="shared" si="288"/>
        <v>2.7664236863451079</v>
      </c>
      <c r="KS124" s="548">
        <f t="shared" si="289"/>
        <v>3.1645301483394865</v>
      </c>
      <c r="KT124" s="473">
        <f t="shared" si="112"/>
        <v>238.28695973331548</v>
      </c>
      <c r="KU124" s="663">
        <f t="shared" si="290"/>
        <v>6.2405704051151902</v>
      </c>
      <c r="KV124" s="117"/>
    </row>
    <row r="125" spans="1:308" s="26" customFormat="1" ht="15">
      <c r="A125" s="561">
        <f t="shared" si="168"/>
        <v>1025</v>
      </c>
      <c r="B125" s="561">
        <f t="shared" si="104"/>
        <v>25</v>
      </c>
      <c r="C125" s="561">
        <f t="shared" si="105"/>
        <v>1</v>
      </c>
      <c r="D125" s="561" t="str">
        <f t="shared" si="294"/>
        <v xml:space="preserve">0.9/1.9/2.9/3.9, </v>
      </c>
      <c r="E125" s="475">
        <f>INDEX(Input!$1:$1048576,E$93,$C125*2+MIN($B125,2)+5)
+INDEX(Scenarios!E$121:E$200,MATCH($B125,Scenarios!$B$121:$B$200,0))</f>
        <v>1229</v>
      </c>
      <c r="F125" s="475">
        <f>INDEX(Input!$1:$1048576,F$93,$C125*2+MIN($B125,2)+5)
+INDEX(Scenarios!F$121:F$200,MATCH($B125,Scenarios!$B$121:$B$200,0))</f>
        <v>0</v>
      </c>
      <c r="G125" s="475">
        <f>INDEX(Input!$1:$1048576,G$93,$C125*2+MIN($B125,2)+5)
+INDEX(Scenarios!G$121:G$200,MATCH($B125,Scenarios!$B$121:$B$200,0))</f>
        <v>0</v>
      </c>
      <c r="H125" s="475">
        <f>INDEX(Input!$1:$1048576,H$93,$C125*2+MIN($B125,2)+5)
+INDEX(Scenarios!H$121:H$200,MATCH($B125,Scenarios!$B$121:$B$200,0))</f>
        <v>0</v>
      </c>
      <c r="I125" s="476">
        <f>INDEX(Input!$1:$1048576,I$93,$C125*2+MIN($B125,2)+5)</f>
        <v>0.7</v>
      </c>
      <c r="J125" s="476" t="str">
        <f>INDEX(Input!$1:$1048576,J$93,$C125*2+MIN($B125,2)+5)</f>
        <v>Market</v>
      </c>
      <c r="K125" s="476" t="str">
        <f>INDEX(Input!$1:$1048576,K$93,$C125*2+MIN($B125,2)+5)</f>
        <v>Market</v>
      </c>
      <c r="L125" s="476" t="str">
        <f>INDEX(Input!$1:$1048576,L$93,$C125*2+MIN($B125,2)+5)</f>
        <v>Market</v>
      </c>
      <c r="M125" s="476" t="str">
        <f>INDEX(Input!$1:$1048576,M$93,$C125*2+MIN($B125,2)+5)</f>
        <v>Market</v>
      </c>
      <c r="N125" s="476" t="str">
        <f>INDEX(Input!$1:$1048576,N$93,$C125*2+MIN($B125,2)+5)</f>
        <v>Market</v>
      </c>
      <c r="O125" s="476" t="str">
        <f>INDEX(Input!$1:$1048576,O$93,$C125*2+MIN($B125,2)+5)</f>
        <v>Market</v>
      </c>
      <c r="P125" s="476" t="str">
        <f>INDEX(Input!$1:$1048576,P$93,$C125*2+MIN($B125,2)+5)</f>
        <v>N</v>
      </c>
      <c r="Q125" s="477">
        <f>INDEX(Input!$1:$1048576,Q$93,$C125*2+MIN($B125,2)+5)
+INDEX(Scenarios!Q$121:Q$200,MATCH($B125,Scenarios!$B$121:$B$200,0))</f>
        <v>0</v>
      </c>
      <c r="R125" s="478">
        <f>IFERROR(MAX(0,INDEX(Input!$1:$1048576,R$93,$C125*2+MIN($B125,2)+5)
+INDEX(Scenarios!R$121:R$200,MATCH($B125,Scenarios!$B$121:$B$200,0)),),"Market")</f>
        <v>9.0000000000000011E-3</v>
      </c>
      <c r="S125" s="478">
        <f>IFERROR(MAX(0,INDEX(Input!$1:$1048576,S$93,$C125*2+MIN($B125,2)+5)
+INDEX(Scenarios!S$121:S$200,MATCH($B125,Scenarios!$B$121:$B$200,0)),),"Market")</f>
        <v>9.0000000000000011E-3</v>
      </c>
      <c r="T125" s="478">
        <f>IFERROR(MAX(0,INDEX(Input!$1:$1048576,T$93,$C125*2+MIN($B125,2)+5)
+INDEX(Scenarios!T$121:T$200,MATCH($B125,Scenarios!$B$121:$B$200,0)),),"Market")</f>
        <v>9.0000000000000011E-3</v>
      </c>
      <c r="U125" s="478">
        <f>IFERROR(MAX(0,INDEX(Input!$1:$1048576,U$93,$C125*2+MIN($B125,2)+5)
+INDEX(Scenarios!U$121:U$200,MATCH($B125,Scenarios!$B$121:$B$200,0)),),"Market")</f>
        <v>9.0000000000000011E-3</v>
      </c>
      <c r="V125" s="478">
        <f>IFERROR(MAX(0,INDEX(Input!$1:$1048576,V$93,$C125*2+MIN($B125,2)+5)
+INDEX(Scenarios!V$121:V$200,MATCH($B125,Scenarios!$B$121:$B$200,0)),),"Market")</f>
        <v>2.8999999999999998E-2</v>
      </c>
      <c r="W125" s="885">
        <f>IFERROR(MAX(0,INDEX(Input!$1:$1048576,W$93,$C125*2+MIN($B125,2)+5)-0%,),"Market")</f>
        <v>3.9E-2</v>
      </c>
      <c r="X125" s="476" t="str">
        <f>INDEX(Input!$1:$1048576,X$93,$C125*2+MIN($B125,2)+5)</f>
        <v>Y</v>
      </c>
      <c r="Y125" s="475">
        <f>INDEX(Input!$1:$1048576,Y$93,$C125*2+MIN($B125,2)+5)
++INDEX(Scenarios!Y$121:Y$200,MATCH($B125,Scenarios!$B$121:$B$200,0))</f>
        <v>1942</v>
      </c>
      <c r="Z125" s="477">
        <f>INDEX(Input!$1:$1048576,Z$93,$C125*2+MIN($B125,2)+5)
+INDEX(Scenarios!Z$121:Z$200,MATCH($B125,Scenarios!$B$121:$B$200,0))</f>
        <v>0</v>
      </c>
      <c r="AA125" s="475">
        <f>INDEX(Input!$1:$1048576,AA$93,$C125*2+MIN($B125,2)+5)
+INDEX(Scenarios!AA$121:AA$200,MATCH($B125,Scenarios!$B$121:$B$200,0))</f>
        <v>0</v>
      </c>
      <c r="AB125" s="476">
        <f>INDEX(Input!$1:$1048576,AB$93,$C125*2+MIN($B125,2)+5)</f>
        <v>0.27</v>
      </c>
      <c r="AC125" s="475">
        <f>INDEX(Input!$1:$1048576,AC$93,$C125*2+MIN($B125,2)+5)
+INDEX(Scenarios!AC$121:AC$200,MATCH($B125,Scenarios!$B$121:$B$200,0))</f>
        <v>0</v>
      </c>
      <c r="AD125" s="476">
        <f>INDEX(Input!$1:$1048576,AD$93,$C125*2+MIN($B125,2)+5)</f>
        <v>0.27</v>
      </c>
      <c r="AE125" s="475">
        <f>INDEX(Input!$1:$1048576,AE$93,$C125*2+MIN($B125,2)+5)
+INDEX(Scenarios!AE$121:AE$200,MATCH($B125,Scenarios!$B$121:$B$200,0))</f>
        <v>0</v>
      </c>
      <c r="AF125" s="476">
        <f>INDEX(Input!$1:$1048576,AF$93,$C125*2+MIN($B125,2)+5)</f>
        <v>0.38</v>
      </c>
      <c r="AG125" s="475">
        <f>INDEX(Input!$1:$1048576,AG$93,$C125*2+MIN($B125,2)+5)
+INDEX(Scenarios!AG$121:AG$200,MATCH($B125,Scenarios!$B$121:$B$200,0))</f>
        <v>0</v>
      </c>
      <c r="AH125" s="476">
        <f>INDEX(Input!$1:$1048576,AH$93,$C125*2+MIN($B125,2)+5)</f>
        <v>0</v>
      </c>
      <c r="AI125" s="475">
        <f>INDEX(Input!$1:$1048576,AI$93,$C125*2+MIN($B125,2)+5)
+INDEX(Scenarios!AI$121:AI$200,MATCH($B125,Scenarios!$B$121:$B$200,0))</f>
        <v>0</v>
      </c>
      <c r="AJ125" s="476">
        <f>INDEX(Input!$1:$1048576,AJ$93,$C125*2+MIN($B125,2)+5)</f>
        <v>0.27</v>
      </c>
      <c r="AK125" s="150">
        <f>ROUND(INDEX(Input!$1:$1048576,AK$93,$C124*2+MIN($B125,1)+5)+(Y125-VLOOKUP($C125*1000+1,$A:$HH,Y$92,FALSE)),0)</f>
        <v>3757</v>
      </c>
      <c r="AL125" s="150">
        <f>ROUND(INDEX(Input!$1:$1048576,AL$93,$C124*2+MIN($B125,1)+5)-(Y125-VLOOKUP($C125*1000+1,$A:$HH,Y$92,FALSE))/36,0)</f>
        <v>4113</v>
      </c>
      <c r="AM125" s="32" t="str">
        <f t="shared" si="169"/>
        <v>std/std/std/std</v>
      </c>
      <c r="AN125" s="32" t="str">
        <f t="shared" si="170"/>
        <v>$0 + 0.9/0.9/0.9/2.9/3.9</v>
      </c>
      <c r="AO125" s="32" t="str">
        <f t="shared" si="171"/>
        <v>0.9/0.9/0.9/2.9/3.9</v>
      </c>
      <c r="AP125" s="32" t="str">
        <f t="shared" si="73"/>
        <v>0.9/1.9/2.9/3.9</v>
      </c>
      <c r="AQ125" s="536">
        <f t="shared" si="39"/>
        <v>0.2602300190969975</v>
      </c>
      <c r="AR125" s="32"/>
      <c r="AS125" s="302"/>
      <c r="AT125" s="3">
        <f t="shared" si="106"/>
        <v>25</v>
      </c>
      <c r="AU125" s="41" t="s">
        <v>121</v>
      </c>
      <c r="AV125" s="41" t="s">
        <v>116</v>
      </c>
      <c r="AW125" s="41" t="str">
        <f>INDEX(Input!$1:$1048576,AW$93,$C125*2+6)</f>
        <v>Kia</v>
      </c>
      <c r="AX125" s="41" t="str">
        <f>INDEX(Input!$1:$1048576,AX$93,$C125*2+6)</f>
        <v>Kia-LR - L1</v>
      </c>
      <c r="AY125" s="41" t="str">
        <f>IF(LEN(D125)=0,"",INDEX(Input!$1:$1048576,AY$93,$C125*2+6))</f>
        <v>Compact SUV (52)</v>
      </c>
      <c r="AZ125" s="41" t="str">
        <f>INDEX(Input!$1:$1048576,AZ$93,$C125*2+6)</f>
        <v>Kia Soul</v>
      </c>
      <c r="BA125" s="3">
        <f>INDEX(Input!$1:$1048576,BA$93,$C125*2+6)</f>
        <v>2020</v>
      </c>
      <c r="BB125" s="128">
        <f>INDEX(Input!$1:$1048576,BB$93,$C125*2+6)</f>
        <v>1</v>
      </c>
      <c r="BC125" s="128">
        <f>INDEX(Input!$1:$1048576,BC$93,$C125*2+6)</f>
        <v>0.7</v>
      </c>
      <c r="BD125" s="1">
        <f>INDEX(Input!$1:$1048576,BD$93,$C125*2+6)</f>
        <v>4.4999999999999998E-2</v>
      </c>
      <c r="BE125" s="1">
        <f>INDEX(Input!$1:$1048576,BE$93,$C125*2+6)</f>
        <v>4.4999999999999998E-2</v>
      </c>
      <c r="BF125" s="1">
        <f>INDEX(Input!$1:$1048576,BF$93,$C125*2+6)</f>
        <v>0.05</v>
      </c>
      <c r="BG125" s="1">
        <f>INDEX(Input!$1:$1048576,BG$93,$C125*2+6)</f>
        <v>5.45E-2</v>
      </c>
      <c r="BH125" s="1">
        <f>INDEX(Input!$1:$1048576,BH$93,$C125*2+6)</f>
        <v>5.45E-2</v>
      </c>
      <c r="BI125" s="1">
        <f>INDEX(Input!$1:$1048576,BI$93,$C125*2+6)</f>
        <v>0.05</v>
      </c>
      <c r="BJ125" s="1">
        <f>INDEX(Input!$1:$1048576,BJ$93,$C125*2+6)</f>
        <v>0.05</v>
      </c>
      <c r="BK125" s="1">
        <f>INDEX(Input!$1:$1048576,BK$93,$C125*2+6)</f>
        <v>0.05</v>
      </c>
      <c r="BL125" s="1">
        <f>INDEX(Input!$1:$1048576,BL$93,$C125*2+6)</f>
        <v>5.5E-2</v>
      </c>
      <c r="BM125" s="1">
        <f>INDEX(Input!$1:$1048576,BM$93,$C125*2+6)</f>
        <v>0.06</v>
      </c>
      <c r="BN125" s="1">
        <f>INDEX(Input!$1:$1048576,BN$93,$C125*2+6)</f>
        <v>4.4999999999999998E-2</v>
      </c>
      <c r="BO125" s="1">
        <f>INDEX(Input!$1:$1048576,BO$93,$C125*2+6)</f>
        <v>4.4999999999999998E-2</v>
      </c>
      <c r="BP125" s="1">
        <f>INDEX(Input!$1:$1048576,BP$93,$C125*2+6)</f>
        <v>0.05</v>
      </c>
      <c r="BQ125" s="1">
        <f>INDEX(Input!$1:$1048576,BQ$93,$C125*2+6)</f>
        <v>5.45E-2</v>
      </c>
      <c r="BR125" s="1">
        <f>INDEX(Input!$1:$1048576,BR$93,$C125*2+6)</f>
        <v>5.45E-2</v>
      </c>
      <c r="BS125" s="1">
        <f>INDEX(Input!$1:$1048576,BS$93,$C125*2+6)</f>
        <v>0.05</v>
      </c>
      <c r="BT125" s="1">
        <f>INDEX(Input!$1:$1048576,BT$93,$C125*2+6)</f>
        <v>0.05</v>
      </c>
      <c r="BU125" s="1">
        <f>INDEX(Input!$1:$1048576,BU$93,$C125*2+6)</f>
        <v>0.05</v>
      </c>
      <c r="BV125" s="1">
        <f>INDEX(Input!$1:$1048576,BV$93,$C125*2+6)</f>
        <v>5.5E-2</v>
      </c>
      <c r="BW125" s="1">
        <f>INDEX(Input!$1:$1048576,BW$93,$C125*2+6)</f>
        <v>0.06</v>
      </c>
      <c r="BX125" s="127">
        <f>INDEX(Input!$1:$1048576,BX$93,$C125*2+6)</f>
        <v>19985</v>
      </c>
      <c r="BY125" s="20">
        <f>INDEX(Input!$1:$1048576,BY$93,$C125*2+6)</f>
        <v>0.1</v>
      </c>
      <c r="BZ125" s="20">
        <f>INDEX(Input!$1:$1048576,BZ$93,$C125*2+6)</f>
        <v>0.1</v>
      </c>
      <c r="CA125" s="20">
        <f>INDEX(Input!$1:$1048576,CA$93,$C125*2+6)</f>
        <v>0.1</v>
      </c>
      <c r="CB125" s="20">
        <f>INDEX(Input!$1:$1048576,CB$93,$C125*2+6)</f>
        <v>0.1</v>
      </c>
      <c r="CC125" s="20">
        <f>INDEX(Input!$1:$1048576,CC$93,$C125*2+6)</f>
        <v>0.1</v>
      </c>
      <c r="CD125" s="384">
        <f>INDEX(Input!$1:$1048576,CD$93,$C125*2+6)</f>
        <v>0.1</v>
      </c>
      <c r="CE125" s="384">
        <f>INDEX(Input!$1:$1048576,CE$93,$C125*2+6)</f>
        <v>0.1</v>
      </c>
      <c r="CF125" s="384">
        <f>INDEX(Input!$1:$1048576,CF$93,$C125*2+6)</f>
        <v>0.1</v>
      </c>
      <c r="CG125" s="384">
        <f>INDEX(Input!$1:$1048576,CG$93,$C125*2+6)</f>
        <v>0.1</v>
      </c>
      <c r="CH125" s="384">
        <f>INDEX(Input!$1:$1048576,CH$93,$C125*2+6)</f>
        <v>0.1</v>
      </c>
      <c r="CI125" s="304">
        <f t="shared" si="74"/>
        <v>1229</v>
      </c>
      <c r="CJ125" s="16" t="str">
        <f>INDEX(Input!$1:$1048576,CJ$93,$C125*2+6)</f>
        <v>N</v>
      </c>
      <c r="CK125" s="1" t="str">
        <f t="shared" si="75"/>
        <v>Market</v>
      </c>
      <c r="CL125" s="1" t="str">
        <f t="shared" si="76"/>
        <v>Market</v>
      </c>
      <c r="CM125" s="1" t="str">
        <f t="shared" si="77"/>
        <v>Market</v>
      </c>
      <c r="CN125" s="1" t="str">
        <f t="shared" si="78"/>
        <v>Market</v>
      </c>
      <c r="CO125" s="1" t="str">
        <f t="shared" si="79"/>
        <v>Market</v>
      </c>
      <c r="CP125" s="304">
        <f t="shared" si="80"/>
        <v>0</v>
      </c>
      <c r="CQ125" s="1">
        <f t="shared" si="81"/>
        <v>9.0000000000000011E-3</v>
      </c>
      <c r="CR125" s="1">
        <f t="shared" si="82"/>
        <v>9.0000000000000011E-3</v>
      </c>
      <c r="CS125" s="1">
        <f t="shared" si="83"/>
        <v>9.0000000000000011E-3</v>
      </c>
      <c r="CT125" s="1">
        <f t="shared" si="84"/>
        <v>2.8999999999999998E-2</v>
      </c>
      <c r="CU125" s="1">
        <f t="shared" si="85"/>
        <v>3.9E-2</v>
      </c>
      <c r="CV125" s="304">
        <f t="shared" si="86"/>
        <v>1942</v>
      </c>
      <c r="CW125" s="20" t="s">
        <v>122</v>
      </c>
      <c r="CX125" s="20" t="s">
        <v>122</v>
      </c>
      <c r="CY125" s="20" t="s">
        <v>122</v>
      </c>
      <c r="CZ125" s="20" t="s">
        <v>122</v>
      </c>
      <c r="DA125" s="20" t="s">
        <v>122</v>
      </c>
      <c r="DB125" s="503">
        <f t="shared" si="87"/>
        <v>0</v>
      </c>
      <c r="DC125" s="127">
        <v>0</v>
      </c>
      <c r="DD125" s="127">
        <v>0</v>
      </c>
      <c r="DE125" s="127">
        <v>0</v>
      </c>
      <c r="DF125" s="127">
        <v>0</v>
      </c>
      <c r="DG125" s="127">
        <v>0</v>
      </c>
      <c r="DH125" s="127">
        <v>0</v>
      </c>
      <c r="DI125" s="127">
        <v>0</v>
      </c>
      <c r="DJ125" s="127">
        <v>0</v>
      </c>
      <c r="DK125" s="127">
        <v>0</v>
      </c>
      <c r="DL125" s="127">
        <v>0</v>
      </c>
      <c r="DM125" s="304">
        <f>INDEX(Input!$1:$1048576,DM$93,$C125*2+6)</f>
        <v>21036.84210526316</v>
      </c>
      <c r="DN125" s="20">
        <v>0</v>
      </c>
      <c r="DO125" s="20">
        <v>0</v>
      </c>
      <c r="DP125" s="20">
        <v>0</v>
      </c>
      <c r="DQ125" s="20">
        <v>0</v>
      </c>
      <c r="DR125" s="20">
        <v>0</v>
      </c>
      <c r="DS125" s="20">
        <f>INDEX(Input!$1:$1048576,DS$93,$C125*2+6)</f>
        <v>0.6</v>
      </c>
      <c r="DT125" s="20">
        <f>INDEX(Input!$1:$1048576,DT$93,$C125*2+6)</f>
        <v>0.55000000000000004</v>
      </c>
      <c r="DU125" s="20">
        <f>INDEX(Input!$1:$1048576,DU$93,$C125*2+6)</f>
        <v>0.52</v>
      </c>
      <c r="DV125" s="20">
        <f>INDEX(Input!$1:$1048576,DV$93,$C125*2+6)</f>
        <v>0.5</v>
      </c>
      <c r="DW125" s="20">
        <f>INDEX(Input!$1:$1048576,DW$93,$C125*2+6)</f>
        <v>0.45</v>
      </c>
      <c r="DX125" s="20"/>
      <c r="DY125" s="7">
        <v>9.8861464528943482E-2</v>
      </c>
      <c r="DZ125" s="7">
        <v>0</v>
      </c>
      <c r="EA125" s="7">
        <v>0.47197873207221369</v>
      </c>
      <c r="EB125" s="7">
        <v>0</v>
      </c>
      <c r="EC125" s="7">
        <v>0</v>
      </c>
      <c r="ED125" s="7">
        <v>0</v>
      </c>
      <c r="EE125" s="7">
        <v>0</v>
      </c>
      <c r="EF125" s="7">
        <v>0</v>
      </c>
      <c r="EG125" s="7">
        <v>0</v>
      </c>
      <c r="EH125" s="7">
        <v>2.0993561591914112E-2</v>
      </c>
      <c r="EI125" s="7">
        <v>5.7217155436294929E-2</v>
      </c>
      <c r="EJ125" s="7">
        <v>0.34178366965601564</v>
      </c>
      <c r="EK125" s="7">
        <v>0.43345175249815332</v>
      </c>
      <c r="EL125" s="7">
        <v>0.14655386081762212</v>
      </c>
      <c r="EM125" s="7">
        <v>3.593086353982234E-2</v>
      </c>
      <c r="EN125" s="7">
        <v>5.0824256578978495E-2</v>
      </c>
      <c r="EO125" s="7">
        <v>0.76815678085538364</v>
      </c>
      <c r="EP125" s="7">
        <v>7.9058197430733557E-2</v>
      </c>
      <c r="EQ125" s="7">
        <v>6.0271198631198966E-2</v>
      </c>
      <c r="ER125" s="7">
        <v>4.1689566503705228E-2</v>
      </c>
      <c r="ES125" s="7">
        <v>0.39322893985902047</v>
      </c>
      <c r="ET125" s="7">
        <v>0.42915980339884285</v>
      </c>
      <c r="EU125" s="6">
        <v>1270</v>
      </c>
      <c r="EV125" s="6">
        <v>0</v>
      </c>
      <c r="EW125" s="6">
        <v>1270</v>
      </c>
      <c r="EX125" s="6">
        <v>0</v>
      </c>
      <c r="EY125" s="6">
        <v>1644.2251599154897</v>
      </c>
      <c r="EZ125" s="6">
        <v>2085</v>
      </c>
      <c r="FA125" s="6">
        <v>0</v>
      </c>
      <c r="FB125" s="6">
        <v>0</v>
      </c>
      <c r="FC125" s="6">
        <v>0</v>
      </c>
      <c r="FD125" s="6">
        <v>0</v>
      </c>
      <c r="FE125" s="6">
        <v>0</v>
      </c>
      <c r="FF125" s="6">
        <v>0</v>
      </c>
      <c r="FG125" s="6">
        <v>0</v>
      </c>
      <c r="FH125" s="6">
        <v>939.96821312143709</v>
      </c>
      <c r="FI125" s="6">
        <v>1250.2588059868267</v>
      </c>
      <c r="FJ125" s="6">
        <v>1735.1562230702805</v>
      </c>
      <c r="FK125" s="6">
        <v>1284.9687470586848</v>
      </c>
      <c r="FL125" s="6">
        <v>907.07682140966301</v>
      </c>
      <c r="FM125" s="6">
        <v>1374.2251599154897</v>
      </c>
      <c r="FN125" s="6">
        <v>0</v>
      </c>
      <c r="FO125" s="6">
        <v>0</v>
      </c>
      <c r="FP125" s="6">
        <v>0</v>
      </c>
      <c r="FQ125" s="6">
        <v>0</v>
      </c>
      <c r="FR125" s="6">
        <v>0</v>
      </c>
      <c r="FS125" s="6">
        <v>0</v>
      </c>
      <c r="FT125" s="7">
        <v>0.57084019660115715</v>
      </c>
      <c r="FU125" s="7">
        <v>3.593086353982234E-2</v>
      </c>
      <c r="FV125" s="7">
        <v>0.39322893985902047</v>
      </c>
      <c r="FW125" s="6">
        <v>1270</v>
      </c>
      <c r="FX125" s="6">
        <v>1644.2251599154897</v>
      </c>
      <c r="FY125" s="6">
        <v>2085</v>
      </c>
      <c r="FZ125" s="6">
        <v>1952.7147957719815</v>
      </c>
      <c r="GA125" s="6">
        <v>1603.9278191391932</v>
      </c>
      <c r="GB125" s="6">
        <v>18381.072180860807</v>
      </c>
      <c r="GC125" s="7">
        <v>1.0519917368675835E-2</v>
      </c>
      <c r="GD125" s="7">
        <v>1.0226268958460598E-2</v>
      </c>
      <c r="GE125" s="7"/>
      <c r="GF125" s="7"/>
      <c r="GG125" s="7">
        <v>-2.7913566231005431E-2</v>
      </c>
      <c r="GH125" s="42">
        <v>1.5994078291345286</v>
      </c>
      <c r="GI125" s="6">
        <v>14099.177395861778</v>
      </c>
      <c r="GJ125" s="14">
        <v>0.50394797582841733</v>
      </c>
      <c r="GK125" s="14">
        <v>0.50887573065309744</v>
      </c>
      <c r="GL125" s="14">
        <v>0.49605202417158284</v>
      </c>
      <c r="GM125" s="14">
        <v>0.49112426934690256</v>
      </c>
      <c r="GO125" s="5">
        <v>343.14810671672558</v>
      </c>
      <c r="GP125" s="5">
        <v>318.91892952659737</v>
      </c>
      <c r="GQ125" s="5">
        <v>535.04305713031317</v>
      </c>
      <c r="GR125" s="5">
        <v>410.15490233172511</v>
      </c>
      <c r="GS125" s="5">
        <v>339.42744393800166</v>
      </c>
      <c r="GT125" s="5">
        <v>293.4407446948278</v>
      </c>
      <c r="GU125" s="5">
        <v>258.04012322764959</v>
      </c>
      <c r="GV125" s="39" t="s">
        <v>392</v>
      </c>
      <c r="GW125" s="5">
        <v>498.98309634060678</v>
      </c>
      <c r="GX125" s="5">
        <v>375.91567668562675</v>
      </c>
      <c r="GY125" s="5">
        <v>302.07920908968697</v>
      </c>
      <c r="GZ125" s="5">
        <v>268.3868982438774</v>
      </c>
      <c r="HA125" s="5">
        <v>241.34874471337258</v>
      </c>
      <c r="HB125" s="39">
        <v>286.93336041225575</v>
      </c>
      <c r="HC125" s="5">
        <v>196.06562499999998</v>
      </c>
      <c r="HD125" s="5">
        <v>177.54497441520465</v>
      </c>
      <c r="HE125" s="5">
        <v>183.15757844129553</v>
      </c>
      <c r="HF125" s="5">
        <v>172.69313048245613</v>
      </c>
      <c r="HG125" s="5">
        <v>170.66888157894735</v>
      </c>
      <c r="HH125" s="39">
        <v>178.35090729075003</v>
      </c>
      <c r="HI125" s="16"/>
      <c r="HJ125" s="19" t="str">
        <f t="shared" ref="HJ125" si="298">HJ124</f>
        <v>On</v>
      </c>
      <c r="HK125" s="1" t="str">
        <f t="shared" si="108"/>
        <v>On</v>
      </c>
      <c r="HL125" s="16"/>
      <c r="HM125" s="639">
        <f t="shared" si="266"/>
        <v>5.7455619280273196E-3</v>
      </c>
      <c r="HN125" s="639">
        <f t="shared" si="267"/>
        <v>5.0031960498701745E-4</v>
      </c>
      <c r="HO125" s="639">
        <f t="shared" si="268"/>
        <v>3.9819433988714835E-3</v>
      </c>
      <c r="HP125" s="644">
        <f>(FT125*$GD125-HM125)/$JF125*INDEX(Input!$1:$1048576,$JG$93,$C125*2+6)</f>
        <v>4.0119518154535951</v>
      </c>
      <c r="HQ125" s="644">
        <f>(FU125*$GD125-HN125)/$JF125*INDEX(Input!$1:$1048576,$JG$93,$C125*2+6)</f>
        <v>-5.7944768712978281</v>
      </c>
      <c r="HR125" s="644">
        <f>(FV125*$GD125-HO125)/$JF125*INDEX(Input!$1:$1048576,$JG$93,$C125*2+6)</f>
        <v>1.7146744471106017</v>
      </c>
      <c r="HS125" s="644">
        <f t="shared" si="269"/>
        <v>-0.29801597961616888</v>
      </c>
      <c r="HT125" s="644">
        <f t="shared" si="270"/>
        <v>-8.8555566414371931</v>
      </c>
      <c r="HU125" s="644">
        <f t="shared" si="271"/>
        <v>0.19612826353651971</v>
      </c>
      <c r="HV125" s="648">
        <f t="shared" si="272"/>
        <v>0</v>
      </c>
      <c r="HW125" s="648">
        <f t="shared" si="273"/>
        <v>0</v>
      </c>
      <c r="HX125" s="648">
        <f t="shared" si="274"/>
        <v>0</v>
      </c>
      <c r="HY125" s="644">
        <f>INDEX(Input!$1:$1048576,HY$93,$C125*2+6)*INDEX(Input!$1:$1048576,$JG$93,$C125*2+6)</f>
        <v>110.00000000000001</v>
      </c>
      <c r="HZ125" s="644">
        <f>INDEX(Input!$1:$1048576,HZ$93,$C125*2+6)*INDEX(Input!$1:$1048576,$JG$93,$C125*2+6)</f>
        <v>157</v>
      </c>
      <c r="IA125" s="644">
        <f>INDEX(Input!$1:$1048576,IA$93,$C125*2+6)*INDEX(Input!$1:$1048576,$JG$93,$C125*2+6)</f>
        <v>179</v>
      </c>
      <c r="IB125" s="644">
        <f t="shared" si="249"/>
        <v>113.71393583583747</v>
      </c>
      <c r="IC125" s="644">
        <f t="shared" si="172"/>
        <v>142.34996648726496</v>
      </c>
      <c r="ID125" s="644">
        <f>IF(AND(INDEX(Input!$1:$1048576,IA$93,$C125*2+7)="TOS",Y125&lt;=INDEX(Y:Y,MATCH(C125*1000+2,A:A))),0,1)*MAX(IA125+HR125+HU125+HX125,0%)</f>
        <v>180.91080271064712</v>
      </c>
      <c r="IE125" s="128">
        <f t="shared" si="275"/>
        <v>0.2602300190969975</v>
      </c>
      <c r="IF125" s="128">
        <f t="shared" si="174"/>
        <v>0.32576248658665641</v>
      </c>
      <c r="IG125" s="128">
        <f t="shared" si="175"/>
        <v>0.41400749431634626</v>
      </c>
      <c r="IH125" s="21"/>
      <c r="II125" s="19">
        <f t="shared" si="276"/>
        <v>1240</v>
      </c>
      <c r="IJ125" s="19">
        <f t="shared" si="277"/>
        <v>2009.7221397149679</v>
      </c>
      <c r="IK125" s="19">
        <f t="shared" si="278"/>
        <v>2070</v>
      </c>
      <c r="IL125" s="19">
        <f t="shared" si="176"/>
        <v>30</v>
      </c>
      <c r="IM125" s="19">
        <f t="shared" si="177"/>
        <v>-365.49697979947814</v>
      </c>
      <c r="IN125" s="19">
        <f t="shared" si="178"/>
        <v>15</v>
      </c>
      <c r="IO125" s="39">
        <f t="shared" si="279"/>
        <v>0</v>
      </c>
      <c r="IP125" s="39">
        <f t="shared" si="280"/>
        <v>0</v>
      </c>
      <c r="IQ125" s="39">
        <f t="shared" si="281"/>
        <v>0</v>
      </c>
      <c r="IR125" s="39">
        <v>0</v>
      </c>
      <c r="IS125" s="39">
        <v>0</v>
      </c>
      <c r="IT125" s="39">
        <v>0</v>
      </c>
      <c r="IU125" s="39">
        <v>0</v>
      </c>
      <c r="IV125" s="39">
        <v>0</v>
      </c>
      <c r="IW125" s="39">
        <v>0</v>
      </c>
      <c r="IX125" s="39">
        <f>INDEX(Input!$1:$1048576,IX$93,$C125*2+6)+INDEX(Input!$1:$1048576,IX$94,$C125*2+6)</f>
        <v>1270</v>
      </c>
      <c r="IY125" s="39">
        <f>INDEX(Input!$1:$1048576,IY$93,$C125*2+6)+INDEX(Input!$1:$1048576,IY$94,$C125*2+6)</f>
        <v>2130.0624533823611</v>
      </c>
      <c r="IZ125" s="39">
        <f>INDEX(Input!$1:$1048576,IZ$93,$C125*2+6)+INDEX(Input!$1:$1048576,IZ$94,$C125*2+6)</f>
        <v>4373.7164157747848</v>
      </c>
      <c r="JA125" s="19">
        <f t="shared" si="179"/>
        <v>1300</v>
      </c>
      <c r="JB125" s="19">
        <f t="shared" si="180"/>
        <v>1764.565473582883</v>
      </c>
      <c r="JC125" s="19">
        <f t="shared" si="181"/>
        <v>4388.7164157747848</v>
      </c>
      <c r="JD125" s="19">
        <f t="shared" si="182"/>
        <v>2730.0897478053521</v>
      </c>
      <c r="JE125" s="21"/>
      <c r="JF125" s="1">
        <f t="shared" si="282"/>
        <v>1.022782493188582E-2</v>
      </c>
      <c r="JG125" s="15">
        <f>INDEX(Input!$1:$1048576,JG$93,$C125*2+6)/(1+VLOOKUP(C125*1000+INDEX(Input!$1:$1048576,JG$93+1,$C125*2+6),$A:$KK,$JK$92,FALSE))</f>
        <v>446</v>
      </c>
      <c r="JH125" s="1">
        <f t="shared" si="251"/>
        <v>-1.5213140971666198E-4</v>
      </c>
      <c r="JI125" s="1">
        <f t="shared" si="252"/>
        <v>-2.0083955958557942E-2</v>
      </c>
      <c r="JJ125" s="1">
        <f t="shared" si="253"/>
        <v>0</v>
      </c>
      <c r="JK125" s="1">
        <f t="shared" si="254"/>
        <v>-2.0236087368274605E-2</v>
      </c>
      <c r="JL125" s="15">
        <f t="shared" si="184"/>
        <v>-9.025294966250474</v>
      </c>
      <c r="JM125" s="15">
        <f t="shared" si="185"/>
        <v>436.9747050337495</v>
      </c>
      <c r="JN125" s="21"/>
      <c r="JO125" s="19">
        <f>INDEX(Input!$1:$1048576,JO$93,$C125*2+6)</f>
        <v>5995.5</v>
      </c>
      <c r="JP125" s="19">
        <f>INDEX(Input!$1:$1048576,JP$93,$C125*2+6)</f>
        <v>2818.4193802796353</v>
      </c>
      <c r="JQ125" s="39">
        <f t="shared" si="186"/>
        <v>3265.4102521946479</v>
      </c>
      <c r="JR125" s="39">
        <f t="shared" si="187"/>
        <v>-88.329632474283244</v>
      </c>
      <c r="JS125" s="39">
        <f t="shared" si="188"/>
        <v>1.1929801622629073</v>
      </c>
      <c r="JT125" s="39">
        <f t="shared" si="189"/>
        <v>-6.403488134181011E-2</v>
      </c>
      <c r="JU125" s="385">
        <f>(JQ125*JM125-INDEX(Input!$1:$1048576,Input!A$18,$C125*2+6)*JL125*INDEX(Input!$1:$1048576,Input!A$19,$C125*2+6))/1000000</f>
        <v>1.426901681766938</v>
      </c>
      <c r="JV125" s="39">
        <f t="shared" si="192"/>
        <v>9.923725371655312E-3</v>
      </c>
      <c r="JW125" s="1">
        <f t="shared" si="190"/>
        <v>7.0034437211011717E-3</v>
      </c>
      <c r="JX125" s="19">
        <f t="shared" si="191"/>
        <v>7095.0458219110333</v>
      </c>
      <c r="JZ125" s="341"/>
      <c r="KA125" s="342"/>
      <c r="KB125" s="469">
        <f t="shared" si="110"/>
        <v>2.9286733661474216</v>
      </c>
      <c r="KI125" s="473">
        <f t="shared" si="283"/>
        <v>3.713935835837475</v>
      </c>
      <c r="KJ125" s="473">
        <f t="shared" si="284"/>
        <v>-14.650033512735035</v>
      </c>
      <c r="KK125" s="473">
        <f t="shared" si="257"/>
        <v>1.9108027106471184</v>
      </c>
      <c r="KN125" s="544">
        <f t="shared" si="258"/>
        <v>1002</v>
      </c>
      <c r="KO125" s="541">
        <f t="shared" si="285"/>
        <v>-2.4252163023758544E-2</v>
      </c>
      <c r="KP125" s="546">
        <f t="shared" si="286"/>
        <v>-128.83807957699059</v>
      </c>
      <c r="KQ125" s="546">
        <f t="shared" si="287"/>
        <v>-109.22645221329958</v>
      </c>
      <c r="KR125" s="548">
        <f t="shared" si="288"/>
        <v>3.227461322275293</v>
      </c>
      <c r="KS125" s="548">
        <f t="shared" si="289"/>
        <v>3.8069525306831546</v>
      </c>
      <c r="KT125" s="473">
        <f t="shared" si="112"/>
        <v>238.28695973331548</v>
      </c>
      <c r="KU125" s="663">
        <f t="shared" si="290"/>
        <v>6.1037932208519967</v>
      </c>
      <c r="KV125" s="117"/>
    </row>
    <row r="126" spans="1:308" s="26" customFormat="1" ht="15">
      <c r="A126" s="561">
        <f t="shared" si="168"/>
        <v>1026</v>
      </c>
      <c r="B126" s="561">
        <f t="shared" si="104"/>
        <v>26</v>
      </c>
      <c r="C126" s="561">
        <f t="shared" si="105"/>
        <v>1</v>
      </c>
      <c r="D126" s="561" t="str">
        <f t="shared" si="294"/>
        <v xml:space="preserve">1.9/2.9/3.9/3.9, </v>
      </c>
      <c r="E126" s="475">
        <f>INDEX(Input!$1:$1048576,E$93,$C126*2+MIN($B126,2)+5)
+INDEX(Scenarios!E$121:E$200,MATCH($B126,Scenarios!$B$121:$B$200,0))</f>
        <v>1229</v>
      </c>
      <c r="F126" s="475">
        <f>INDEX(Input!$1:$1048576,F$93,$C126*2+MIN($B126,2)+5)
+INDEX(Scenarios!F$121:F$200,MATCH($B126,Scenarios!$B$121:$B$200,0))</f>
        <v>0</v>
      </c>
      <c r="G126" s="475">
        <f>INDEX(Input!$1:$1048576,G$93,$C126*2+MIN($B126,2)+5)
+INDEX(Scenarios!G$121:G$200,MATCH($B126,Scenarios!$B$121:$B$200,0))</f>
        <v>0</v>
      </c>
      <c r="H126" s="475">
        <f>INDEX(Input!$1:$1048576,H$93,$C126*2+MIN($B126,2)+5)
+INDEX(Scenarios!H$121:H$200,MATCH($B126,Scenarios!$B$121:$B$200,0))</f>
        <v>0</v>
      </c>
      <c r="I126" s="476">
        <f>INDEX(Input!$1:$1048576,I$93,$C126*2+MIN($B126,2)+5)</f>
        <v>0.7</v>
      </c>
      <c r="J126" s="476" t="str">
        <f>INDEX(Input!$1:$1048576,J$93,$C126*2+MIN($B126,2)+5)</f>
        <v>Market</v>
      </c>
      <c r="K126" s="476" t="str">
        <f>INDEX(Input!$1:$1048576,K$93,$C126*2+MIN($B126,2)+5)</f>
        <v>Market</v>
      </c>
      <c r="L126" s="476" t="str">
        <f>INDEX(Input!$1:$1048576,L$93,$C126*2+MIN($B126,2)+5)</f>
        <v>Market</v>
      </c>
      <c r="M126" s="476" t="str">
        <f>INDEX(Input!$1:$1048576,M$93,$C126*2+MIN($B126,2)+5)</f>
        <v>Market</v>
      </c>
      <c r="N126" s="476" t="str">
        <f>INDEX(Input!$1:$1048576,N$93,$C126*2+MIN($B126,2)+5)</f>
        <v>Market</v>
      </c>
      <c r="O126" s="476" t="str">
        <f>INDEX(Input!$1:$1048576,O$93,$C126*2+MIN($B126,2)+5)</f>
        <v>Market</v>
      </c>
      <c r="P126" s="476" t="str">
        <f>INDEX(Input!$1:$1048576,P$93,$C126*2+MIN($B126,2)+5)</f>
        <v>N</v>
      </c>
      <c r="Q126" s="477">
        <f>INDEX(Input!$1:$1048576,Q$93,$C126*2+MIN($B126,2)+5)
+INDEX(Scenarios!Q$121:Q$200,MATCH($B126,Scenarios!$B$121:$B$200,0))</f>
        <v>0</v>
      </c>
      <c r="R126" s="478">
        <f>IFERROR(MAX(0,INDEX(Input!$1:$1048576,R$93,$C126*2+MIN($B126,2)+5)
+INDEX(Scenarios!R$121:R$200,MATCH($B126,Scenarios!$B$121:$B$200,0)),),"Market")</f>
        <v>1.9E-2</v>
      </c>
      <c r="S126" s="478">
        <f>IFERROR(MAX(0,INDEX(Input!$1:$1048576,S$93,$C126*2+MIN($B126,2)+5)
+INDEX(Scenarios!S$121:S$200,MATCH($B126,Scenarios!$B$121:$B$200,0)),),"Market")</f>
        <v>1.9E-2</v>
      </c>
      <c r="T126" s="478">
        <f>IFERROR(MAX(0,INDEX(Input!$1:$1048576,T$93,$C126*2+MIN($B126,2)+5)
+INDEX(Scenarios!T$121:T$200,MATCH($B126,Scenarios!$B$121:$B$200,0)),),"Market")</f>
        <v>1.9E-2</v>
      </c>
      <c r="U126" s="478">
        <f>IFERROR(MAX(0,INDEX(Input!$1:$1048576,U$93,$C126*2+MIN($B126,2)+5)
+INDEX(Scenarios!U$121:U$200,MATCH($B126,Scenarios!$B$121:$B$200,0)),),"Market")</f>
        <v>1.9E-2</v>
      </c>
      <c r="V126" s="478">
        <f>IFERROR(MAX(0,INDEX(Input!$1:$1048576,V$93,$C126*2+MIN($B126,2)+5)
+INDEX(Scenarios!V$121:V$200,MATCH($B126,Scenarios!$B$121:$B$200,0)),),"Market")</f>
        <v>3.9E-2</v>
      </c>
      <c r="W126" s="885">
        <f>IFERROR(MAX(0,INDEX(Input!$1:$1048576,W$93,$C126*2+MIN($B126,2)+5)-0%,),"Market")</f>
        <v>3.9E-2</v>
      </c>
      <c r="X126" s="476" t="str">
        <f>INDEX(Input!$1:$1048576,X$93,$C126*2+MIN($B126,2)+5)</f>
        <v>Y</v>
      </c>
      <c r="Y126" s="475">
        <f>INDEX(Input!$1:$1048576,Y$93,$C126*2+MIN($B126,2)+5)
++INDEX(Scenarios!Y$121:Y$200,MATCH($B126,Scenarios!$B$121:$B$200,0))</f>
        <v>1942</v>
      </c>
      <c r="Z126" s="477">
        <f>INDEX(Input!$1:$1048576,Z$93,$C126*2+MIN($B126,2)+5)
+INDEX(Scenarios!Z$121:Z$200,MATCH($B126,Scenarios!$B$121:$B$200,0))</f>
        <v>0</v>
      </c>
      <c r="AA126" s="475">
        <f>INDEX(Input!$1:$1048576,AA$93,$C126*2+MIN($B126,2)+5)
+INDEX(Scenarios!AA$121:AA$200,MATCH($B126,Scenarios!$B$121:$B$200,0))</f>
        <v>0</v>
      </c>
      <c r="AB126" s="476">
        <f>INDEX(Input!$1:$1048576,AB$93,$C126*2+MIN($B126,2)+5)</f>
        <v>0.27</v>
      </c>
      <c r="AC126" s="475">
        <f>INDEX(Input!$1:$1048576,AC$93,$C126*2+MIN($B126,2)+5)
+INDEX(Scenarios!AC$121:AC$200,MATCH($B126,Scenarios!$B$121:$B$200,0))</f>
        <v>0</v>
      </c>
      <c r="AD126" s="476">
        <f>INDEX(Input!$1:$1048576,AD$93,$C126*2+MIN($B126,2)+5)</f>
        <v>0.27</v>
      </c>
      <c r="AE126" s="475">
        <f>INDEX(Input!$1:$1048576,AE$93,$C126*2+MIN($B126,2)+5)
+INDEX(Scenarios!AE$121:AE$200,MATCH($B126,Scenarios!$B$121:$B$200,0))</f>
        <v>0</v>
      </c>
      <c r="AF126" s="476">
        <f>INDEX(Input!$1:$1048576,AF$93,$C126*2+MIN($B126,2)+5)</f>
        <v>0.38</v>
      </c>
      <c r="AG126" s="475">
        <f>INDEX(Input!$1:$1048576,AG$93,$C126*2+MIN($B126,2)+5)
+INDEX(Scenarios!AG$121:AG$200,MATCH($B126,Scenarios!$B$121:$B$200,0))</f>
        <v>0</v>
      </c>
      <c r="AH126" s="476">
        <f>INDEX(Input!$1:$1048576,AH$93,$C126*2+MIN($B126,2)+5)</f>
        <v>0</v>
      </c>
      <c r="AI126" s="475">
        <f>INDEX(Input!$1:$1048576,AI$93,$C126*2+MIN($B126,2)+5)
+INDEX(Scenarios!AI$121:AI$200,MATCH($B126,Scenarios!$B$121:$B$200,0))</f>
        <v>0</v>
      </c>
      <c r="AJ126" s="476">
        <f>INDEX(Input!$1:$1048576,AJ$93,$C126*2+MIN($B126,2)+5)</f>
        <v>0.27</v>
      </c>
      <c r="AK126" s="150">
        <f>ROUND(INDEX(Input!$1:$1048576,AK$93,$C125*2+MIN($B126,1)+5)+(Y126-VLOOKUP($C126*1000+1,$A:$HH,Y$92,FALSE)),0)</f>
        <v>3757</v>
      </c>
      <c r="AL126" s="150">
        <f>ROUND(INDEX(Input!$1:$1048576,AL$93,$C125*2+MIN($B126,1)+5)-(Y126-VLOOKUP($C126*1000+1,$A:$HH,Y$92,FALSE))/36,0)</f>
        <v>4113</v>
      </c>
      <c r="AM126" s="32" t="str">
        <f t="shared" si="169"/>
        <v>std/std/std/std</v>
      </c>
      <c r="AN126" s="32" t="str">
        <f t="shared" si="170"/>
        <v>$0 + 1.9/1.9/1.9/3.9/3.9</v>
      </c>
      <c r="AO126" s="32" t="str">
        <f t="shared" si="171"/>
        <v>1.9/1.9/1.9/3.9/3.9</v>
      </c>
      <c r="AP126" s="32" t="str">
        <f t="shared" si="73"/>
        <v>1.9/2.9/3.9/3.9</v>
      </c>
      <c r="AQ126" s="536">
        <f t="shared" si="39"/>
        <v>0.27146746875594818</v>
      </c>
      <c r="AR126" s="32"/>
      <c r="AS126" s="302"/>
      <c r="AT126" s="3">
        <f t="shared" si="106"/>
        <v>26</v>
      </c>
      <c r="AU126" s="41" t="s">
        <v>121</v>
      </c>
      <c r="AV126" s="41" t="s">
        <v>116</v>
      </c>
      <c r="AW126" s="41" t="str">
        <f>INDEX(Input!$1:$1048576,AW$93,$C126*2+6)</f>
        <v>Kia</v>
      </c>
      <c r="AX126" s="41" t="str">
        <f>INDEX(Input!$1:$1048576,AX$93,$C126*2+6)</f>
        <v>Kia-LR - L1</v>
      </c>
      <c r="AY126" s="41" t="str">
        <f>IF(LEN(D126)=0,"",INDEX(Input!$1:$1048576,AY$93,$C126*2+6))</f>
        <v>Compact SUV (52)</v>
      </c>
      <c r="AZ126" s="41" t="str">
        <f>INDEX(Input!$1:$1048576,AZ$93,$C126*2+6)</f>
        <v>Kia Soul</v>
      </c>
      <c r="BA126" s="3">
        <f>INDEX(Input!$1:$1048576,BA$93,$C126*2+6)</f>
        <v>2020</v>
      </c>
      <c r="BB126" s="128">
        <f>INDEX(Input!$1:$1048576,BB$93,$C126*2+6)</f>
        <v>1</v>
      </c>
      <c r="BC126" s="128">
        <f>INDEX(Input!$1:$1048576,BC$93,$C126*2+6)</f>
        <v>0.7</v>
      </c>
      <c r="BD126" s="1">
        <f>INDEX(Input!$1:$1048576,BD$93,$C126*2+6)</f>
        <v>4.4999999999999998E-2</v>
      </c>
      <c r="BE126" s="1">
        <f>INDEX(Input!$1:$1048576,BE$93,$C126*2+6)</f>
        <v>4.4999999999999998E-2</v>
      </c>
      <c r="BF126" s="1">
        <f>INDEX(Input!$1:$1048576,BF$93,$C126*2+6)</f>
        <v>0.05</v>
      </c>
      <c r="BG126" s="1">
        <f>INDEX(Input!$1:$1048576,BG$93,$C126*2+6)</f>
        <v>5.45E-2</v>
      </c>
      <c r="BH126" s="1">
        <f>INDEX(Input!$1:$1048576,BH$93,$C126*2+6)</f>
        <v>5.45E-2</v>
      </c>
      <c r="BI126" s="1">
        <f>INDEX(Input!$1:$1048576,BI$93,$C126*2+6)</f>
        <v>0.05</v>
      </c>
      <c r="BJ126" s="1">
        <f>INDEX(Input!$1:$1048576,BJ$93,$C126*2+6)</f>
        <v>0.05</v>
      </c>
      <c r="BK126" s="1">
        <f>INDEX(Input!$1:$1048576,BK$93,$C126*2+6)</f>
        <v>0.05</v>
      </c>
      <c r="BL126" s="1">
        <f>INDEX(Input!$1:$1048576,BL$93,$C126*2+6)</f>
        <v>5.5E-2</v>
      </c>
      <c r="BM126" s="1">
        <f>INDEX(Input!$1:$1048576,BM$93,$C126*2+6)</f>
        <v>0.06</v>
      </c>
      <c r="BN126" s="1">
        <f>INDEX(Input!$1:$1048576,BN$93,$C126*2+6)</f>
        <v>4.4999999999999998E-2</v>
      </c>
      <c r="BO126" s="1">
        <f>INDEX(Input!$1:$1048576,BO$93,$C126*2+6)</f>
        <v>4.4999999999999998E-2</v>
      </c>
      <c r="BP126" s="1">
        <f>INDEX(Input!$1:$1048576,BP$93,$C126*2+6)</f>
        <v>0.05</v>
      </c>
      <c r="BQ126" s="1">
        <f>INDEX(Input!$1:$1048576,BQ$93,$C126*2+6)</f>
        <v>5.45E-2</v>
      </c>
      <c r="BR126" s="1">
        <f>INDEX(Input!$1:$1048576,BR$93,$C126*2+6)</f>
        <v>5.45E-2</v>
      </c>
      <c r="BS126" s="1">
        <f>INDEX(Input!$1:$1048576,BS$93,$C126*2+6)</f>
        <v>0.05</v>
      </c>
      <c r="BT126" s="1">
        <f>INDEX(Input!$1:$1048576,BT$93,$C126*2+6)</f>
        <v>0.05</v>
      </c>
      <c r="BU126" s="1">
        <f>INDEX(Input!$1:$1048576,BU$93,$C126*2+6)</f>
        <v>0.05</v>
      </c>
      <c r="BV126" s="1">
        <f>INDEX(Input!$1:$1048576,BV$93,$C126*2+6)</f>
        <v>5.5E-2</v>
      </c>
      <c r="BW126" s="1">
        <f>INDEX(Input!$1:$1048576,BW$93,$C126*2+6)</f>
        <v>0.06</v>
      </c>
      <c r="BX126" s="127">
        <f>INDEX(Input!$1:$1048576,BX$93,$C126*2+6)</f>
        <v>19985</v>
      </c>
      <c r="BY126" s="20">
        <f>INDEX(Input!$1:$1048576,BY$93,$C126*2+6)</f>
        <v>0.1</v>
      </c>
      <c r="BZ126" s="20">
        <f>INDEX(Input!$1:$1048576,BZ$93,$C126*2+6)</f>
        <v>0.1</v>
      </c>
      <c r="CA126" s="20">
        <f>INDEX(Input!$1:$1048576,CA$93,$C126*2+6)</f>
        <v>0.1</v>
      </c>
      <c r="CB126" s="20">
        <f>INDEX(Input!$1:$1048576,CB$93,$C126*2+6)</f>
        <v>0.1</v>
      </c>
      <c r="CC126" s="20">
        <f>INDEX(Input!$1:$1048576,CC$93,$C126*2+6)</f>
        <v>0.1</v>
      </c>
      <c r="CD126" s="384">
        <f>INDEX(Input!$1:$1048576,CD$93,$C126*2+6)</f>
        <v>0.1</v>
      </c>
      <c r="CE126" s="384">
        <f>INDEX(Input!$1:$1048576,CE$93,$C126*2+6)</f>
        <v>0.1</v>
      </c>
      <c r="CF126" s="384">
        <f>INDEX(Input!$1:$1048576,CF$93,$C126*2+6)</f>
        <v>0.1</v>
      </c>
      <c r="CG126" s="384">
        <f>INDEX(Input!$1:$1048576,CG$93,$C126*2+6)</f>
        <v>0.1</v>
      </c>
      <c r="CH126" s="384">
        <f>INDEX(Input!$1:$1048576,CH$93,$C126*2+6)</f>
        <v>0.1</v>
      </c>
      <c r="CI126" s="304">
        <f t="shared" si="74"/>
        <v>1229</v>
      </c>
      <c r="CJ126" s="16" t="str">
        <f>INDEX(Input!$1:$1048576,CJ$93,$C126*2+6)</f>
        <v>N</v>
      </c>
      <c r="CK126" s="1" t="str">
        <f t="shared" si="75"/>
        <v>Market</v>
      </c>
      <c r="CL126" s="1" t="str">
        <f t="shared" si="76"/>
        <v>Market</v>
      </c>
      <c r="CM126" s="1" t="str">
        <f t="shared" si="77"/>
        <v>Market</v>
      </c>
      <c r="CN126" s="1" t="str">
        <f t="shared" si="78"/>
        <v>Market</v>
      </c>
      <c r="CO126" s="1" t="str">
        <f t="shared" si="79"/>
        <v>Market</v>
      </c>
      <c r="CP126" s="304">
        <f t="shared" si="80"/>
        <v>0</v>
      </c>
      <c r="CQ126" s="1">
        <f t="shared" si="81"/>
        <v>1.9E-2</v>
      </c>
      <c r="CR126" s="1">
        <f t="shared" si="82"/>
        <v>1.9E-2</v>
      </c>
      <c r="CS126" s="1">
        <f t="shared" si="83"/>
        <v>1.9E-2</v>
      </c>
      <c r="CT126" s="1">
        <f t="shared" si="84"/>
        <v>3.9E-2</v>
      </c>
      <c r="CU126" s="1">
        <f t="shared" si="85"/>
        <v>3.9E-2</v>
      </c>
      <c r="CV126" s="304">
        <f t="shared" si="86"/>
        <v>1942</v>
      </c>
      <c r="CW126" s="20" t="s">
        <v>122</v>
      </c>
      <c r="CX126" s="20" t="s">
        <v>122</v>
      </c>
      <c r="CY126" s="20" t="s">
        <v>122</v>
      </c>
      <c r="CZ126" s="20" t="s">
        <v>122</v>
      </c>
      <c r="DA126" s="20" t="s">
        <v>122</v>
      </c>
      <c r="DB126" s="503">
        <f t="shared" si="87"/>
        <v>0</v>
      </c>
      <c r="DC126" s="127">
        <v>0</v>
      </c>
      <c r="DD126" s="127">
        <v>0</v>
      </c>
      <c r="DE126" s="127">
        <v>0</v>
      </c>
      <c r="DF126" s="127">
        <v>0</v>
      </c>
      <c r="DG126" s="127">
        <v>0</v>
      </c>
      <c r="DH126" s="127">
        <v>0</v>
      </c>
      <c r="DI126" s="127">
        <v>0</v>
      </c>
      <c r="DJ126" s="127">
        <v>0</v>
      </c>
      <c r="DK126" s="127">
        <v>0</v>
      </c>
      <c r="DL126" s="127">
        <v>0</v>
      </c>
      <c r="DM126" s="304">
        <f>INDEX(Input!$1:$1048576,DM$93,$C126*2+6)</f>
        <v>21036.84210526316</v>
      </c>
      <c r="DN126" s="20">
        <v>0</v>
      </c>
      <c r="DO126" s="20">
        <v>0</v>
      </c>
      <c r="DP126" s="20">
        <v>0</v>
      </c>
      <c r="DQ126" s="20">
        <v>0</v>
      </c>
      <c r="DR126" s="20">
        <v>0</v>
      </c>
      <c r="DS126" s="20">
        <f>INDEX(Input!$1:$1048576,DS$93,$C126*2+6)</f>
        <v>0.6</v>
      </c>
      <c r="DT126" s="20">
        <f>INDEX(Input!$1:$1048576,DT$93,$C126*2+6)</f>
        <v>0.55000000000000004</v>
      </c>
      <c r="DU126" s="20">
        <f>INDEX(Input!$1:$1048576,DU$93,$C126*2+6)</f>
        <v>0.52</v>
      </c>
      <c r="DV126" s="20">
        <f>INDEX(Input!$1:$1048576,DV$93,$C126*2+6)</f>
        <v>0.5</v>
      </c>
      <c r="DW126" s="20">
        <f>INDEX(Input!$1:$1048576,DW$93,$C126*2+6)</f>
        <v>0.45</v>
      </c>
      <c r="DX126" s="20"/>
      <c r="DY126" s="7">
        <v>0.10003444891429887</v>
      </c>
      <c r="DZ126" s="7">
        <v>0</v>
      </c>
      <c r="EA126" s="7">
        <v>0.47676513746167593</v>
      </c>
      <c r="EB126" s="7">
        <v>0</v>
      </c>
      <c r="EC126" s="7">
        <v>0</v>
      </c>
      <c r="ED126" s="7">
        <v>0</v>
      </c>
      <c r="EE126" s="7">
        <v>0</v>
      </c>
      <c r="EF126" s="7">
        <v>0</v>
      </c>
      <c r="EG126" s="7">
        <v>0</v>
      </c>
      <c r="EH126" s="7">
        <v>2.3785417028797058E-2</v>
      </c>
      <c r="EI126" s="7">
        <v>6.0074830106169624E-2</v>
      </c>
      <c r="EJ126" s="7">
        <v>0.34104330279665651</v>
      </c>
      <c r="EK126" s="7">
        <v>0.36454089270209117</v>
      </c>
      <c r="EL126" s="7">
        <v>0.21055555736628556</v>
      </c>
      <c r="EM126" s="7">
        <v>2.5305839804166431E-2</v>
      </c>
      <c r="EN126" s="7">
        <v>5.0824256578978537E-2</v>
      </c>
      <c r="EO126" s="7">
        <v>0.76815678085538408</v>
      </c>
      <c r="EP126" s="7">
        <v>7.9058197430733626E-2</v>
      </c>
      <c r="EQ126" s="7">
        <v>6.0271198631198994E-2</v>
      </c>
      <c r="ER126" s="7">
        <v>4.1689566503705255E-2</v>
      </c>
      <c r="ES126" s="7">
        <v>0.39789457381985871</v>
      </c>
      <c r="ET126" s="7">
        <v>0.42320041362402516</v>
      </c>
      <c r="EU126" s="6">
        <v>1270</v>
      </c>
      <c r="EV126" s="6">
        <v>0</v>
      </c>
      <c r="EW126" s="6">
        <v>1270</v>
      </c>
      <c r="EX126" s="6">
        <v>0</v>
      </c>
      <c r="EY126" s="6">
        <v>1269.9833202202371</v>
      </c>
      <c r="EZ126" s="6">
        <v>2085</v>
      </c>
      <c r="FA126" s="6">
        <v>0</v>
      </c>
      <c r="FB126" s="6">
        <v>0</v>
      </c>
      <c r="FC126" s="6">
        <v>0</v>
      </c>
      <c r="FD126" s="6">
        <v>0</v>
      </c>
      <c r="FE126" s="6">
        <v>0</v>
      </c>
      <c r="FF126" s="6">
        <v>0</v>
      </c>
      <c r="FG126" s="6">
        <v>0</v>
      </c>
      <c r="FH126" s="6">
        <v>681.1669943917226</v>
      </c>
      <c r="FI126" s="6">
        <v>908.63567840587166</v>
      </c>
      <c r="FJ126" s="6">
        <v>1322.1514264406362</v>
      </c>
      <c r="FK126" s="6">
        <v>788.09921179939306</v>
      </c>
      <c r="FL126" s="6">
        <v>907.07682140966347</v>
      </c>
      <c r="FM126" s="6">
        <v>999.98332022023715</v>
      </c>
      <c r="FN126" s="6">
        <v>0</v>
      </c>
      <c r="FO126" s="6">
        <v>0</v>
      </c>
      <c r="FP126" s="6">
        <v>0</v>
      </c>
      <c r="FQ126" s="6">
        <v>0</v>
      </c>
      <c r="FR126" s="6">
        <v>0</v>
      </c>
      <c r="FS126" s="6">
        <v>0</v>
      </c>
      <c r="FT126" s="7">
        <v>0.57679958637597484</v>
      </c>
      <c r="FU126" s="7">
        <v>2.5305839804166431E-2</v>
      </c>
      <c r="FV126" s="7">
        <v>0.39789457381985871</v>
      </c>
      <c r="FW126" s="6">
        <v>1270</v>
      </c>
      <c r="FX126" s="6">
        <v>1269.9833202202371</v>
      </c>
      <c r="FY126" s="6">
        <v>2085</v>
      </c>
      <c r="FZ126" s="6">
        <v>1952.7147957719815</v>
      </c>
      <c r="GA126" s="6">
        <v>1594.2836555673503</v>
      </c>
      <c r="GB126" s="6">
        <v>18390.716344432651</v>
      </c>
      <c r="GC126" s="7">
        <v>1.0519917368675835E-2</v>
      </c>
      <c r="GD126" s="7">
        <v>1.0196933702456102E-2</v>
      </c>
      <c r="GE126" s="7"/>
      <c r="GF126" s="7"/>
      <c r="GG126" s="7">
        <v>-3.0702110568040276E-2</v>
      </c>
      <c r="GH126" s="42">
        <v>1.7118537171518806</v>
      </c>
      <c r="GI126" s="6">
        <v>13268.762496697716</v>
      </c>
      <c r="GJ126" s="14">
        <v>0.50394797582841744</v>
      </c>
      <c r="GK126" s="14">
        <v>0.50887573065309744</v>
      </c>
      <c r="GL126" s="14">
        <v>0.49605202417158267</v>
      </c>
      <c r="GM126" s="14">
        <v>0.49112426934690251</v>
      </c>
      <c r="GO126" s="5">
        <v>343.14810671672558</v>
      </c>
      <c r="GP126" s="5">
        <v>318.91892952659737</v>
      </c>
      <c r="GQ126" s="5">
        <v>535.04305713031317</v>
      </c>
      <c r="GR126" s="5">
        <v>410.15490233172511</v>
      </c>
      <c r="GS126" s="5">
        <v>339.42744393800166</v>
      </c>
      <c r="GT126" s="5">
        <v>293.4407446948278</v>
      </c>
      <c r="GU126" s="5">
        <v>258.04012322764959</v>
      </c>
      <c r="GV126" s="39" t="s">
        <v>392</v>
      </c>
      <c r="GW126" s="5">
        <v>506.67318900241941</v>
      </c>
      <c r="GX126" s="5">
        <v>383.5889342400979</v>
      </c>
      <c r="GY126" s="5">
        <v>309.75612270545639</v>
      </c>
      <c r="GZ126" s="5">
        <v>276.37139208343041</v>
      </c>
      <c r="HA126" s="5">
        <v>241.34874471337258</v>
      </c>
      <c r="HB126" s="39">
        <v>292.30171775195981</v>
      </c>
      <c r="HC126" s="5">
        <v>196.06562499999998</v>
      </c>
      <c r="HD126" s="5">
        <v>177.54497441520465</v>
      </c>
      <c r="HE126" s="5">
        <v>183.15757844129553</v>
      </c>
      <c r="HF126" s="5">
        <v>172.69313048245613</v>
      </c>
      <c r="HG126" s="5">
        <v>170.66888157894735</v>
      </c>
      <c r="HH126" s="39">
        <v>178.35090729075017</v>
      </c>
      <c r="HI126" s="16"/>
      <c r="HJ126" s="19" t="str">
        <f t="shared" ref="HJ126" si="299">HJ125</f>
        <v>On</v>
      </c>
      <c r="HK126" s="1" t="str">
        <f t="shared" si="108"/>
        <v>On</v>
      </c>
      <c r="HL126" s="16"/>
      <c r="HM126" s="639">
        <f t="shared" si="266"/>
        <v>5.7455619280273196E-3</v>
      </c>
      <c r="HN126" s="639">
        <f t="shared" si="267"/>
        <v>5.0031960498701745E-4</v>
      </c>
      <c r="HO126" s="639">
        <f t="shared" si="268"/>
        <v>3.9819433988714835E-3</v>
      </c>
      <c r="HP126" s="644">
        <f>(FT126*$GD126-HM126)/$JF126*INDEX(Input!$1:$1048576,$JG$93,$C126*2+6)</f>
        <v>5.9315881707287534</v>
      </c>
      <c r="HQ126" s="644">
        <f>(FU126*$GD126-HN126)/$JF126*INDEX(Input!$1:$1048576,$JG$93,$C126*2+6)</f>
        <v>-10.564887997328247</v>
      </c>
      <c r="HR126" s="644">
        <f>(FV126*$GD126-HO126)/$JF126*INDEX(Input!$1:$1048576,$JG$93,$C126*2+6)</f>
        <v>3.2862403669970348</v>
      </c>
      <c r="HS126" s="644">
        <f t="shared" si="269"/>
        <v>-4.8987550548935721E-2</v>
      </c>
      <c r="HT126" s="644">
        <f t="shared" si="270"/>
        <v>-17.676329487359343</v>
      </c>
      <c r="HU126" s="644">
        <f t="shared" si="271"/>
        <v>-5.2900165530713472E-2</v>
      </c>
      <c r="HV126" s="648">
        <f t="shared" si="272"/>
        <v>0</v>
      </c>
      <c r="HW126" s="648">
        <f t="shared" si="273"/>
        <v>0</v>
      </c>
      <c r="HX126" s="648">
        <f t="shared" si="274"/>
        <v>0</v>
      </c>
      <c r="HY126" s="644">
        <f>INDEX(Input!$1:$1048576,HY$93,$C126*2+6)*INDEX(Input!$1:$1048576,$JG$93,$C126*2+6)</f>
        <v>110.00000000000001</v>
      </c>
      <c r="HZ126" s="644">
        <f>INDEX(Input!$1:$1048576,HZ$93,$C126*2+6)*INDEX(Input!$1:$1048576,$JG$93,$C126*2+6)</f>
        <v>157</v>
      </c>
      <c r="IA126" s="644">
        <f>INDEX(Input!$1:$1048576,IA$93,$C126*2+6)*INDEX(Input!$1:$1048576,$JG$93,$C126*2+6)</f>
        <v>179</v>
      </c>
      <c r="IB126" s="644">
        <f t="shared" si="249"/>
        <v>115.88260062017983</v>
      </c>
      <c r="IC126" s="644">
        <f t="shared" si="172"/>
        <v>128.75878251531242</v>
      </c>
      <c r="ID126" s="644">
        <f>IF(AND(INDEX(Input!$1:$1048576,IA$93,$C126*2+7)="TOS",Y126&lt;=INDEX(Y:Y,MATCH(C126*1000+2,A:A))),0,1)*MAX(IA126+HR126+HU126+HX126,0%)</f>
        <v>182.23334020146635</v>
      </c>
      <c r="IE126" s="128">
        <f t="shared" si="275"/>
        <v>0.27146746875594818</v>
      </c>
      <c r="IF126" s="128">
        <f t="shared" si="174"/>
        <v>0.30163131119308545</v>
      </c>
      <c r="IG126" s="128">
        <f t="shared" si="175"/>
        <v>0.42690122005096637</v>
      </c>
      <c r="IH126" s="21"/>
      <c r="II126" s="19">
        <f t="shared" si="276"/>
        <v>1240</v>
      </c>
      <c r="IJ126" s="19">
        <f t="shared" si="277"/>
        <v>2009.7221397149679</v>
      </c>
      <c r="IK126" s="19">
        <f t="shared" si="278"/>
        <v>2070</v>
      </c>
      <c r="IL126" s="19">
        <f t="shared" si="176"/>
        <v>30</v>
      </c>
      <c r="IM126" s="19">
        <f t="shared" si="177"/>
        <v>-739.73881949473071</v>
      </c>
      <c r="IN126" s="19">
        <f t="shared" si="178"/>
        <v>15</v>
      </c>
      <c r="IO126" s="39">
        <f t="shared" si="279"/>
        <v>0</v>
      </c>
      <c r="IP126" s="39">
        <f t="shared" si="280"/>
        <v>0</v>
      </c>
      <c r="IQ126" s="39">
        <f t="shared" si="281"/>
        <v>0</v>
      </c>
      <c r="IR126" s="39">
        <v>0</v>
      </c>
      <c r="IS126" s="39">
        <v>0</v>
      </c>
      <c r="IT126" s="39">
        <v>0</v>
      </c>
      <c r="IU126" s="39">
        <v>0</v>
      </c>
      <c r="IV126" s="39">
        <v>0</v>
      </c>
      <c r="IW126" s="39">
        <v>0</v>
      </c>
      <c r="IX126" s="39">
        <f>INDEX(Input!$1:$1048576,IX$93,$C126*2+6)+INDEX(Input!$1:$1048576,IX$94,$C126*2+6)</f>
        <v>1270</v>
      </c>
      <c r="IY126" s="39">
        <f>INDEX(Input!$1:$1048576,IY$93,$C126*2+6)+INDEX(Input!$1:$1048576,IY$94,$C126*2+6)</f>
        <v>2130.0624533823611</v>
      </c>
      <c r="IZ126" s="39">
        <f>INDEX(Input!$1:$1048576,IZ$93,$C126*2+6)+INDEX(Input!$1:$1048576,IZ$94,$C126*2+6)</f>
        <v>4373.7164157747848</v>
      </c>
      <c r="JA126" s="19">
        <f t="shared" si="179"/>
        <v>1300</v>
      </c>
      <c r="JB126" s="19">
        <f t="shared" si="180"/>
        <v>1390.3236338876304</v>
      </c>
      <c r="JC126" s="19">
        <f t="shared" si="181"/>
        <v>4388.7164157747848</v>
      </c>
      <c r="JD126" s="19">
        <f t="shared" si="182"/>
        <v>2645.8212424069538</v>
      </c>
      <c r="JE126" s="21"/>
      <c r="JF126" s="1">
        <f t="shared" si="282"/>
        <v>1.022782493188582E-2</v>
      </c>
      <c r="JG126" s="15">
        <f>INDEX(Input!$1:$1048576,JG$93,$C126*2+6)/(1+VLOOKUP(C126*1000+INDEX(Input!$1:$1048576,JG$93+1,$C126*2+6),$A:$KK,$JK$92,FALSE))</f>
        <v>446</v>
      </c>
      <c r="JH126" s="1">
        <f t="shared" si="251"/>
        <v>-3.0203126896916122E-3</v>
      </c>
      <c r="JI126" s="1">
        <f t="shared" si="252"/>
        <v>-3.9861473550311638E-2</v>
      </c>
      <c r="JJ126" s="1">
        <f t="shared" si="253"/>
        <v>0</v>
      </c>
      <c r="JK126" s="1">
        <f t="shared" si="254"/>
        <v>-4.2881786240003252E-2</v>
      </c>
      <c r="JL126" s="15">
        <f t="shared" si="184"/>
        <v>-19.125276663041451</v>
      </c>
      <c r="JM126" s="15">
        <f t="shared" si="185"/>
        <v>426.87472333695854</v>
      </c>
      <c r="JN126" s="21"/>
      <c r="JO126" s="19">
        <f>INDEX(Input!$1:$1048576,JO$93,$C126*2+6)</f>
        <v>5995.5</v>
      </c>
      <c r="JP126" s="19">
        <f>INDEX(Input!$1:$1048576,JP$93,$C126*2+6)</f>
        <v>2818.4193802796353</v>
      </c>
      <c r="JQ126" s="39">
        <f t="shared" si="186"/>
        <v>3349.6787575930462</v>
      </c>
      <c r="JR126" s="39">
        <f t="shared" si="187"/>
        <v>-172.59813787268149</v>
      </c>
      <c r="JS126" s="39">
        <f t="shared" si="188"/>
        <v>1.1294342108515163</v>
      </c>
      <c r="JT126" s="39">
        <f t="shared" si="189"/>
        <v>-0.12758083275320101</v>
      </c>
      <c r="JU126" s="385">
        <f>(JQ126*JM126-INDEX(Input!$1:$1048576,Input!A$18,$C126*2+6)*JL126*INDEX(Input!$1:$1048576,Input!A$19,$C126*2+6))/1000000</f>
        <v>1.4298931929152185</v>
      </c>
      <c r="JV126" s="39">
        <f t="shared" si="192"/>
        <v>1.2915236519935869E-2</v>
      </c>
      <c r="JW126" s="1">
        <f t="shared" si="190"/>
        <v>9.1146347490059405E-3</v>
      </c>
      <c r="JX126" s="19">
        <f t="shared" si="191"/>
        <v>6670.7967158322981</v>
      </c>
      <c r="JZ126" s="341"/>
      <c r="KA126" s="342"/>
      <c r="KB126" s="469">
        <f t="shared" si="110"/>
        <v>2.9286733661474216</v>
      </c>
      <c r="KI126" s="473">
        <f t="shared" si="283"/>
        <v>5.8826006201798009</v>
      </c>
      <c r="KJ126" s="473">
        <f t="shared" si="284"/>
        <v>-28.24121748468761</v>
      </c>
      <c r="KK126" s="473">
        <f t="shared" si="257"/>
        <v>3.2333402014663193</v>
      </c>
      <c r="KN126" s="544">
        <f t="shared" si="258"/>
        <v>1002</v>
      </c>
      <c r="KO126" s="541">
        <f t="shared" si="285"/>
        <v>-4.6805036635475417E-2</v>
      </c>
      <c r="KP126" s="546">
        <f t="shared" si="286"/>
        <v>-232.17732940041333</v>
      </c>
      <c r="KQ126" s="546">
        <f t="shared" si="287"/>
        <v>-193.49495761169783</v>
      </c>
      <c r="KR126" s="548">
        <f t="shared" si="288"/>
        <v>3.4564285861622785</v>
      </c>
      <c r="KS126" s="548">
        <f t="shared" si="289"/>
        <v>4.1474174226744216</v>
      </c>
      <c r="KT126" s="473">
        <f t="shared" si="112"/>
        <v>238.28695973331548</v>
      </c>
      <c r="KU126" s="663">
        <f t="shared" si="290"/>
        <v>5.9780394502529184</v>
      </c>
      <c r="KV126" s="117"/>
    </row>
    <row r="127" spans="1:308" s="26" customFormat="1" ht="15">
      <c r="A127" s="561">
        <f t="shared" si="168"/>
        <v>1027</v>
      </c>
      <c r="B127" s="561">
        <f t="shared" si="104"/>
        <v>27</v>
      </c>
      <c r="C127" s="561">
        <f t="shared" si="105"/>
        <v>1</v>
      </c>
      <c r="D127" s="561" t="str">
        <f t="shared" si="294"/>
        <v xml:space="preserve">750 Combo, </v>
      </c>
      <c r="E127" s="475">
        <f>INDEX(Input!$1:$1048576,E$93,$C127*2+MIN($B127,2)+5)
+INDEX(Scenarios!E$121:E$200,MATCH($B127,Scenarios!$B$121:$B$200,0))</f>
        <v>1229</v>
      </c>
      <c r="F127" s="475">
        <f>INDEX(Input!$1:$1048576,F$93,$C127*2+MIN($B127,2)+5)
+INDEX(Scenarios!F$121:F$200,MATCH($B127,Scenarios!$B$121:$B$200,0))</f>
        <v>0</v>
      </c>
      <c r="G127" s="475">
        <f>INDEX(Input!$1:$1048576,G$93,$C127*2+MIN($B127,2)+5)
+INDEX(Scenarios!G$121:G$200,MATCH($B127,Scenarios!$B$121:$B$200,0))</f>
        <v>0</v>
      </c>
      <c r="H127" s="475">
        <f>INDEX(Input!$1:$1048576,H$93,$C127*2+MIN($B127,2)+5)
+INDEX(Scenarios!H$121:H$200,MATCH($B127,Scenarios!$B$121:$B$200,0))</f>
        <v>0</v>
      </c>
      <c r="I127" s="476">
        <f>INDEX(Input!$1:$1048576,I$93,$C127*2+MIN($B127,2)+5)</f>
        <v>0.7</v>
      </c>
      <c r="J127" s="476" t="str">
        <f>INDEX(Input!$1:$1048576,J$93,$C127*2+MIN($B127,2)+5)</f>
        <v>Market</v>
      </c>
      <c r="K127" s="476" t="str">
        <f>INDEX(Input!$1:$1048576,K$93,$C127*2+MIN($B127,2)+5)</f>
        <v>Market</v>
      </c>
      <c r="L127" s="476" t="str">
        <f>INDEX(Input!$1:$1048576,L$93,$C127*2+MIN($B127,2)+5)</f>
        <v>Market</v>
      </c>
      <c r="M127" s="476" t="str">
        <f>INDEX(Input!$1:$1048576,M$93,$C127*2+MIN($B127,2)+5)</f>
        <v>Market</v>
      </c>
      <c r="N127" s="476" t="str">
        <f>INDEX(Input!$1:$1048576,N$93,$C127*2+MIN($B127,2)+5)</f>
        <v>Market</v>
      </c>
      <c r="O127" s="476" t="str">
        <f>INDEX(Input!$1:$1048576,O$93,$C127*2+MIN($B127,2)+5)</f>
        <v>Market</v>
      </c>
      <c r="P127" s="476" t="str">
        <f>INDEX(Input!$1:$1048576,P$93,$C127*2+MIN($B127,2)+5)</f>
        <v>N</v>
      </c>
      <c r="Q127" s="477">
        <f>INDEX(Input!$1:$1048576,Q$93,$C127*2+MIN($B127,2)+5)
+INDEX(Scenarios!Q$121:Q$200,MATCH($B127,Scenarios!$B$121:$B$200,0))</f>
        <v>750</v>
      </c>
      <c r="R127" s="478">
        <f>IFERROR(MAX(0,INDEX(Input!$1:$1048576,R$93,$C127*2+MIN($B127,2)+5)
+INDEX(Scenarios!R$121:R$200,MATCH($B127,Scenarios!$B$121:$B$200,0)),),"Market")</f>
        <v>0</v>
      </c>
      <c r="S127" s="478">
        <f>IFERROR(MAX(0,INDEX(Input!$1:$1048576,S$93,$C127*2+MIN($B127,2)+5)
+INDEX(Scenarios!S$121:S$200,MATCH($B127,Scenarios!$B$121:$B$200,0)),),"Market")</f>
        <v>0</v>
      </c>
      <c r="T127" s="478">
        <f>IFERROR(MAX(0,INDEX(Input!$1:$1048576,T$93,$C127*2+MIN($B127,2)+5)
+INDEX(Scenarios!T$121:T$200,MATCH($B127,Scenarios!$B$121:$B$200,0)),),"Market")</f>
        <v>0</v>
      </c>
      <c r="U127" s="478">
        <f>IFERROR(MAX(0,INDEX(Input!$1:$1048576,U$93,$C127*2+MIN($B127,2)+5)
+INDEX(Scenarios!U$121:U$200,MATCH($B127,Scenarios!$B$121:$B$200,0)),),"Market")</f>
        <v>0</v>
      </c>
      <c r="V127" s="478">
        <f>IFERROR(MAX(0,INDEX(Input!$1:$1048576,V$93,$C127*2+MIN($B127,2)+5)
+INDEX(Scenarios!V$121:V$200,MATCH($B127,Scenarios!$B$121:$B$200,0)),),"Market")</f>
        <v>1.9E-2</v>
      </c>
      <c r="W127" s="885">
        <f>IFERROR(MAX(0,INDEX(Input!$1:$1048576,W$93,$C127*2+MIN($B127,2)+5)-0%,),"Market")</f>
        <v>3.9E-2</v>
      </c>
      <c r="X127" s="476" t="str">
        <f>INDEX(Input!$1:$1048576,X$93,$C127*2+MIN($B127,2)+5)</f>
        <v>Y</v>
      </c>
      <c r="Y127" s="475">
        <f>INDEX(Input!$1:$1048576,Y$93,$C127*2+MIN($B127,2)+5)
++INDEX(Scenarios!Y$121:Y$200,MATCH($B127,Scenarios!$B$121:$B$200,0))</f>
        <v>1942</v>
      </c>
      <c r="Z127" s="477">
        <f>INDEX(Input!$1:$1048576,Z$93,$C127*2+MIN($B127,2)+5)
+INDEX(Scenarios!Z$121:Z$200,MATCH($B127,Scenarios!$B$121:$B$200,0))</f>
        <v>0</v>
      </c>
      <c r="AA127" s="475">
        <f>INDEX(Input!$1:$1048576,AA$93,$C127*2+MIN($B127,2)+5)
+INDEX(Scenarios!AA$121:AA$200,MATCH($B127,Scenarios!$B$121:$B$200,0))</f>
        <v>0</v>
      </c>
      <c r="AB127" s="476">
        <f>INDEX(Input!$1:$1048576,AB$93,$C127*2+MIN($B127,2)+5)</f>
        <v>0.27</v>
      </c>
      <c r="AC127" s="475">
        <f>INDEX(Input!$1:$1048576,AC$93,$C127*2+MIN($B127,2)+5)
+INDEX(Scenarios!AC$121:AC$200,MATCH($B127,Scenarios!$B$121:$B$200,0))</f>
        <v>0</v>
      </c>
      <c r="AD127" s="476">
        <f>INDEX(Input!$1:$1048576,AD$93,$C127*2+MIN($B127,2)+5)</f>
        <v>0.27</v>
      </c>
      <c r="AE127" s="475">
        <f>INDEX(Input!$1:$1048576,AE$93,$C127*2+MIN($B127,2)+5)
+INDEX(Scenarios!AE$121:AE$200,MATCH($B127,Scenarios!$B$121:$B$200,0))</f>
        <v>0</v>
      </c>
      <c r="AF127" s="476">
        <f>INDEX(Input!$1:$1048576,AF$93,$C127*2+MIN($B127,2)+5)</f>
        <v>0.38</v>
      </c>
      <c r="AG127" s="475">
        <f>INDEX(Input!$1:$1048576,AG$93,$C127*2+MIN($B127,2)+5)
+INDEX(Scenarios!AG$121:AG$200,MATCH($B127,Scenarios!$B$121:$B$200,0))</f>
        <v>0</v>
      </c>
      <c r="AH127" s="476">
        <f>INDEX(Input!$1:$1048576,AH$93,$C127*2+MIN($B127,2)+5)</f>
        <v>0</v>
      </c>
      <c r="AI127" s="475">
        <f>INDEX(Input!$1:$1048576,AI$93,$C127*2+MIN($B127,2)+5)
+INDEX(Scenarios!AI$121:AI$200,MATCH($B127,Scenarios!$B$121:$B$200,0))</f>
        <v>0</v>
      </c>
      <c r="AJ127" s="476">
        <f>INDEX(Input!$1:$1048576,AJ$93,$C127*2+MIN($B127,2)+5)</f>
        <v>0.27</v>
      </c>
      <c r="AK127" s="150">
        <f>ROUND(INDEX(Input!$1:$1048576,AK$93,$C126*2+MIN($B127,1)+5)+(Y127-VLOOKUP($C127*1000+1,$A:$HH,Y$92,FALSE)),0)</f>
        <v>3757</v>
      </c>
      <c r="AL127" s="150">
        <f>ROUND(INDEX(Input!$1:$1048576,AL$93,$C126*2+MIN($B127,1)+5)-(Y127-VLOOKUP($C127*1000+1,$A:$HH,Y$92,FALSE))/36,0)</f>
        <v>4113</v>
      </c>
      <c r="AM127" s="32" t="str">
        <f t="shared" si="169"/>
        <v>std/std/std/std</v>
      </c>
      <c r="AN127" s="32" t="str">
        <f t="shared" si="170"/>
        <v>$750 + 0/0/0/1.9/3.9</v>
      </c>
      <c r="AO127" s="32" t="str">
        <f t="shared" si="171"/>
        <v>0/0/0/1.9/3.9</v>
      </c>
      <c r="AP127" s="32" t="str">
        <f t="shared" si="73"/>
        <v>0/0.9/1.9/3.9</v>
      </c>
      <c r="AQ127" s="536">
        <f t="shared" si="39"/>
        <v>0.22526796840463748</v>
      </c>
      <c r="AR127" s="32"/>
      <c r="AS127" s="302"/>
      <c r="AT127" s="3">
        <f t="shared" si="106"/>
        <v>27</v>
      </c>
      <c r="AU127" s="41" t="s">
        <v>121</v>
      </c>
      <c r="AV127" s="41" t="s">
        <v>116</v>
      </c>
      <c r="AW127" s="41" t="str">
        <f>INDEX(Input!$1:$1048576,AW$93,$C127*2+6)</f>
        <v>Kia</v>
      </c>
      <c r="AX127" s="41" t="str">
        <f>INDEX(Input!$1:$1048576,AX$93,$C127*2+6)</f>
        <v>Kia-LR - L1</v>
      </c>
      <c r="AY127" s="41" t="str">
        <f>IF(LEN(D127)=0,"",INDEX(Input!$1:$1048576,AY$93,$C127*2+6))</f>
        <v>Compact SUV (52)</v>
      </c>
      <c r="AZ127" s="41" t="str">
        <f>INDEX(Input!$1:$1048576,AZ$93,$C127*2+6)</f>
        <v>Kia Soul</v>
      </c>
      <c r="BA127" s="3">
        <f>INDEX(Input!$1:$1048576,BA$93,$C127*2+6)</f>
        <v>2020</v>
      </c>
      <c r="BB127" s="128">
        <f>INDEX(Input!$1:$1048576,BB$93,$C127*2+6)</f>
        <v>1</v>
      </c>
      <c r="BC127" s="128">
        <f>INDEX(Input!$1:$1048576,BC$93,$C127*2+6)</f>
        <v>0.7</v>
      </c>
      <c r="BD127" s="1">
        <f>INDEX(Input!$1:$1048576,BD$93,$C127*2+6)</f>
        <v>4.4999999999999998E-2</v>
      </c>
      <c r="BE127" s="1">
        <f>INDEX(Input!$1:$1048576,BE$93,$C127*2+6)</f>
        <v>4.4999999999999998E-2</v>
      </c>
      <c r="BF127" s="1">
        <f>INDEX(Input!$1:$1048576,BF$93,$C127*2+6)</f>
        <v>0.05</v>
      </c>
      <c r="BG127" s="1">
        <f>INDEX(Input!$1:$1048576,BG$93,$C127*2+6)</f>
        <v>5.45E-2</v>
      </c>
      <c r="BH127" s="1">
        <f>INDEX(Input!$1:$1048576,BH$93,$C127*2+6)</f>
        <v>5.45E-2</v>
      </c>
      <c r="BI127" s="1">
        <f>INDEX(Input!$1:$1048576,BI$93,$C127*2+6)</f>
        <v>0.05</v>
      </c>
      <c r="BJ127" s="1">
        <f>INDEX(Input!$1:$1048576,BJ$93,$C127*2+6)</f>
        <v>0.05</v>
      </c>
      <c r="BK127" s="1">
        <f>INDEX(Input!$1:$1048576,BK$93,$C127*2+6)</f>
        <v>0.05</v>
      </c>
      <c r="BL127" s="1">
        <f>INDEX(Input!$1:$1048576,BL$93,$C127*2+6)</f>
        <v>5.5E-2</v>
      </c>
      <c r="BM127" s="1">
        <f>INDEX(Input!$1:$1048576,BM$93,$C127*2+6)</f>
        <v>0.06</v>
      </c>
      <c r="BN127" s="1">
        <f>INDEX(Input!$1:$1048576,BN$93,$C127*2+6)</f>
        <v>4.4999999999999998E-2</v>
      </c>
      <c r="BO127" s="1">
        <f>INDEX(Input!$1:$1048576,BO$93,$C127*2+6)</f>
        <v>4.4999999999999998E-2</v>
      </c>
      <c r="BP127" s="1">
        <f>INDEX(Input!$1:$1048576,BP$93,$C127*2+6)</f>
        <v>0.05</v>
      </c>
      <c r="BQ127" s="1">
        <f>INDEX(Input!$1:$1048576,BQ$93,$C127*2+6)</f>
        <v>5.45E-2</v>
      </c>
      <c r="BR127" s="1">
        <f>INDEX(Input!$1:$1048576,BR$93,$C127*2+6)</f>
        <v>5.45E-2</v>
      </c>
      <c r="BS127" s="1">
        <f>INDEX(Input!$1:$1048576,BS$93,$C127*2+6)</f>
        <v>0.05</v>
      </c>
      <c r="BT127" s="1">
        <f>INDEX(Input!$1:$1048576,BT$93,$C127*2+6)</f>
        <v>0.05</v>
      </c>
      <c r="BU127" s="1">
        <f>INDEX(Input!$1:$1048576,BU$93,$C127*2+6)</f>
        <v>0.05</v>
      </c>
      <c r="BV127" s="1">
        <f>INDEX(Input!$1:$1048576,BV$93,$C127*2+6)</f>
        <v>5.5E-2</v>
      </c>
      <c r="BW127" s="1">
        <f>INDEX(Input!$1:$1048576,BW$93,$C127*2+6)</f>
        <v>0.06</v>
      </c>
      <c r="BX127" s="127">
        <f>INDEX(Input!$1:$1048576,BX$93,$C127*2+6)</f>
        <v>19985</v>
      </c>
      <c r="BY127" s="20">
        <f>INDEX(Input!$1:$1048576,BY$93,$C127*2+6)</f>
        <v>0.1</v>
      </c>
      <c r="BZ127" s="20">
        <f>INDEX(Input!$1:$1048576,BZ$93,$C127*2+6)</f>
        <v>0.1</v>
      </c>
      <c r="CA127" s="20">
        <f>INDEX(Input!$1:$1048576,CA$93,$C127*2+6)</f>
        <v>0.1</v>
      </c>
      <c r="CB127" s="20">
        <f>INDEX(Input!$1:$1048576,CB$93,$C127*2+6)</f>
        <v>0.1</v>
      </c>
      <c r="CC127" s="20">
        <f>INDEX(Input!$1:$1048576,CC$93,$C127*2+6)</f>
        <v>0.1</v>
      </c>
      <c r="CD127" s="384">
        <f>INDEX(Input!$1:$1048576,CD$93,$C127*2+6)</f>
        <v>0.1</v>
      </c>
      <c r="CE127" s="384">
        <f>INDEX(Input!$1:$1048576,CE$93,$C127*2+6)</f>
        <v>0.1</v>
      </c>
      <c r="CF127" s="384">
        <f>INDEX(Input!$1:$1048576,CF$93,$C127*2+6)</f>
        <v>0.1</v>
      </c>
      <c r="CG127" s="384">
        <f>INDEX(Input!$1:$1048576,CG$93,$C127*2+6)</f>
        <v>0.1</v>
      </c>
      <c r="CH127" s="384">
        <f>INDEX(Input!$1:$1048576,CH$93,$C127*2+6)</f>
        <v>0.1</v>
      </c>
      <c r="CI127" s="304">
        <f t="shared" si="74"/>
        <v>1229</v>
      </c>
      <c r="CJ127" s="16" t="str">
        <f>INDEX(Input!$1:$1048576,CJ$93,$C127*2+6)</f>
        <v>N</v>
      </c>
      <c r="CK127" s="1" t="str">
        <f t="shared" si="75"/>
        <v>Market</v>
      </c>
      <c r="CL127" s="1" t="str">
        <f t="shared" si="76"/>
        <v>Market</v>
      </c>
      <c r="CM127" s="1" t="str">
        <f t="shared" si="77"/>
        <v>Market</v>
      </c>
      <c r="CN127" s="1" t="str">
        <f t="shared" si="78"/>
        <v>Market</v>
      </c>
      <c r="CO127" s="1" t="str">
        <f t="shared" si="79"/>
        <v>Market</v>
      </c>
      <c r="CP127" s="304">
        <f t="shared" si="80"/>
        <v>750</v>
      </c>
      <c r="CQ127" s="1">
        <f t="shared" si="81"/>
        <v>0</v>
      </c>
      <c r="CR127" s="1">
        <f t="shared" si="82"/>
        <v>0</v>
      </c>
      <c r="CS127" s="1">
        <f t="shared" si="83"/>
        <v>0</v>
      </c>
      <c r="CT127" s="1">
        <f t="shared" si="84"/>
        <v>1.9E-2</v>
      </c>
      <c r="CU127" s="1">
        <f t="shared" si="85"/>
        <v>3.9E-2</v>
      </c>
      <c r="CV127" s="304">
        <f t="shared" si="86"/>
        <v>1942</v>
      </c>
      <c r="CW127" s="20" t="s">
        <v>122</v>
      </c>
      <c r="CX127" s="20" t="s">
        <v>122</v>
      </c>
      <c r="CY127" s="20" t="s">
        <v>122</v>
      </c>
      <c r="CZ127" s="20" t="s">
        <v>122</v>
      </c>
      <c r="DA127" s="20" t="s">
        <v>122</v>
      </c>
      <c r="DB127" s="503">
        <f t="shared" si="87"/>
        <v>0</v>
      </c>
      <c r="DC127" s="127">
        <v>0</v>
      </c>
      <c r="DD127" s="127">
        <v>0</v>
      </c>
      <c r="DE127" s="127">
        <v>0</v>
      </c>
      <c r="DF127" s="127">
        <v>0</v>
      </c>
      <c r="DG127" s="127">
        <v>0</v>
      </c>
      <c r="DH127" s="127">
        <v>0</v>
      </c>
      <c r="DI127" s="127">
        <v>0</v>
      </c>
      <c r="DJ127" s="127">
        <v>0</v>
      </c>
      <c r="DK127" s="127">
        <v>0</v>
      </c>
      <c r="DL127" s="127">
        <v>0</v>
      </c>
      <c r="DM127" s="304">
        <f>INDEX(Input!$1:$1048576,DM$93,$C127*2+6)</f>
        <v>21036.84210526316</v>
      </c>
      <c r="DN127" s="20">
        <v>0</v>
      </c>
      <c r="DO127" s="20">
        <v>0</v>
      </c>
      <c r="DP127" s="20">
        <v>0</v>
      </c>
      <c r="DQ127" s="20">
        <v>0</v>
      </c>
      <c r="DR127" s="20">
        <v>0</v>
      </c>
      <c r="DS127" s="20">
        <f>INDEX(Input!$1:$1048576,DS$93,$C127*2+6)</f>
        <v>0.6</v>
      </c>
      <c r="DT127" s="20">
        <f>INDEX(Input!$1:$1048576,DT$93,$C127*2+6)</f>
        <v>0.55000000000000004</v>
      </c>
      <c r="DU127" s="20">
        <f>INDEX(Input!$1:$1048576,DU$93,$C127*2+6)</f>
        <v>0.52</v>
      </c>
      <c r="DV127" s="20">
        <f>INDEX(Input!$1:$1048576,DV$93,$C127*2+6)</f>
        <v>0.5</v>
      </c>
      <c r="DW127" s="20">
        <f>INDEX(Input!$1:$1048576,DW$93,$C127*2+6)</f>
        <v>0.45</v>
      </c>
      <c r="DX127" s="20"/>
      <c r="DY127" s="7">
        <v>9.5503313906973364E-2</v>
      </c>
      <c r="DZ127" s="7">
        <v>0</v>
      </c>
      <c r="EA127" s="7">
        <v>0.45368773214069247</v>
      </c>
      <c r="EB127" s="7">
        <v>0</v>
      </c>
      <c r="EC127" s="7">
        <v>0</v>
      </c>
      <c r="ED127" s="7">
        <v>0</v>
      </c>
      <c r="EE127" s="7">
        <v>0</v>
      </c>
      <c r="EF127" s="7">
        <v>0</v>
      </c>
      <c r="EG127" s="7">
        <v>0</v>
      </c>
      <c r="EH127" s="7">
        <v>1.8402200445098653E-2</v>
      </c>
      <c r="EI127" s="7">
        <v>5.3739557110571885E-2</v>
      </c>
      <c r="EJ127" s="7">
        <v>0.33946684904131985</v>
      </c>
      <c r="EK127" s="7">
        <v>0.48247712639938084</v>
      </c>
      <c r="EL127" s="7">
        <v>0.10591426700362866</v>
      </c>
      <c r="EM127" s="7">
        <v>7.093731175480672E-2</v>
      </c>
      <c r="EN127" s="7">
        <v>5.0824256578978502E-2</v>
      </c>
      <c r="EO127" s="7">
        <v>0.76815678085538375</v>
      </c>
      <c r="EP127" s="7">
        <v>7.9058197430733584E-2</v>
      </c>
      <c r="EQ127" s="7">
        <v>6.0271198631198973E-2</v>
      </c>
      <c r="ER127" s="7">
        <v>4.1689566503705228E-2</v>
      </c>
      <c r="ES127" s="7">
        <v>0.3798716421975275</v>
      </c>
      <c r="ET127" s="7">
        <v>0.45080895395233417</v>
      </c>
      <c r="EU127" s="6">
        <v>1270</v>
      </c>
      <c r="EV127" s="6">
        <v>0</v>
      </c>
      <c r="EW127" s="6">
        <v>1270</v>
      </c>
      <c r="EX127" s="6">
        <v>0</v>
      </c>
      <c r="EY127" s="6">
        <v>2789.7221397149679</v>
      </c>
      <c r="EZ127" s="6">
        <v>2085</v>
      </c>
      <c r="FA127" s="6">
        <v>0</v>
      </c>
      <c r="FB127" s="6">
        <v>0</v>
      </c>
      <c r="FC127" s="6">
        <v>0</v>
      </c>
      <c r="FD127" s="6">
        <v>0</v>
      </c>
      <c r="FE127" s="6">
        <v>0</v>
      </c>
      <c r="FF127" s="6">
        <v>0</v>
      </c>
      <c r="FG127" s="6">
        <v>0</v>
      </c>
      <c r="FH127" s="6">
        <v>1171.2811379695615</v>
      </c>
      <c r="FI127" s="6">
        <v>1553.9796069512399</v>
      </c>
      <c r="FJ127" s="6">
        <v>2101.2110117447414</v>
      </c>
      <c r="FK127" s="6">
        <v>1772.7139978623229</v>
      </c>
      <c r="FL127" s="6">
        <v>907.07682140966358</v>
      </c>
      <c r="FM127" s="6">
        <v>1769.7221397149681</v>
      </c>
      <c r="FN127" s="6">
        <v>0</v>
      </c>
      <c r="FO127" s="6">
        <v>0</v>
      </c>
      <c r="FP127" s="6">
        <v>0</v>
      </c>
      <c r="FQ127" s="6">
        <v>0</v>
      </c>
      <c r="FR127" s="6">
        <v>0</v>
      </c>
      <c r="FS127" s="6">
        <v>0</v>
      </c>
      <c r="FT127" s="7">
        <v>0.54919104604766589</v>
      </c>
      <c r="FU127" s="7">
        <v>7.093731175480672E-2</v>
      </c>
      <c r="FV127" s="7">
        <v>0.3798716421975275</v>
      </c>
      <c r="FW127" s="6">
        <v>1269.9999999999998</v>
      </c>
      <c r="FX127" s="6">
        <v>2789.7221397149679</v>
      </c>
      <c r="FY127" s="6">
        <v>2085</v>
      </c>
      <c r="FZ127" s="6">
        <v>1952.7147957719815</v>
      </c>
      <c r="GA127" s="6">
        <v>1687.4003915966277</v>
      </c>
      <c r="GB127" s="6">
        <v>18297.599608403372</v>
      </c>
      <c r="GC127" s="7">
        <v>1.0519917368675835E-2</v>
      </c>
      <c r="GD127" s="7">
        <v>1.0312694594886119E-2</v>
      </c>
      <c r="GE127" s="7"/>
      <c r="GF127" s="7"/>
      <c r="GG127" s="7">
        <v>-1.9698137022135173E-2</v>
      </c>
      <c r="GH127" s="42">
        <v>1.4837764636675577</v>
      </c>
      <c r="GI127" s="6">
        <v>15156.410373465211</v>
      </c>
      <c r="GJ127" s="14">
        <v>0.50394797582841744</v>
      </c>
      <c r="GK127" s="14">
        <v>0.50887573065309766</v>
      </c>
      <c r="GL127" s="14">
        <v>0.49605202417158284</v>
      </c>
      <c r="GM127" s="14">
        <v>0.49112426934690268</v>
      </c>
      <c r="GO127" s="5">
        <v>343.14810671672558</v>
      </c>
      <c r="GP127" s="5">
        <v>318.91892952659737</v>
      </c>
      <c r="GQ127" s="5">
        <v>535.04305713031317</v>
      </c>
      <c r="GR127" s="5">
        <v>410.15490233172511</v>
      </c>
      <c r="GS127" s="5">
        <v>339.42744393800166</v>
      </c>
      <c r="GT127" s="5">
        <v>293.4407446948278</v>
      </c>
      <c r="GU127" s="5">
        <v>258.04012322764959</v>
      </c>
      <c r="GV127" s="39" t="s">
        <v>392</v>
      </c>
      <c r="GW127" s="5">
        <v>471.29166666666669</v>
      </c>
      <c r="GX127" s="5">
        <v>353.46875</v>
      </c>
      <c r="GY127" s="5">
        <v>282.77499999999998</v>
      </c>
      <c r="GZ127" s="5">
        <v>249.51909707886276</v>
      </c>
      <c r="HA127" s="5">
        <v>231.13162741960522</v>
      </c>
      <c r="HB127" s="39">
        <v>268.52818987307239</v>
      </c>
      <c r="HC127" s="5">
        <v>196.06562499999998</v>
      </c>
      <c r="HD127" s="5">
        <v>177.54497441520465</v>
      </c>
      <c r="HE127" s="5">
        <v>183.15757844129553</v>
      </c>
      <c r="HF127" s="5">
        <v>172.69313048245613</v>
      </c>
      <c r="HG127" s="5">
        <v>170.66888157894735</v>
      </c>
      <c r="HH127" s="39">
        <v>178.35090729075006</v>
      </c>
      <c r="HI127" s="16"/>
      <c r="HJ127" s="19" t="str">
        <f t="shared" ref="HJ127" si="300">HJ126</f>
        <v>On</v>
      </c>
      <c r="HK127" s="1" t="str">
        <f t="shared" si="108"/>
        <v>On</v>
      </c>
      <c r="HL127" s="16"/>
      <c r="HM127" s="639">
        <f t="shared" si="266"/>
        <v>5.7455619280273196E-3</v>
      </c>
      <c r="HN127" s="639">
        <f t="shared" si="267"/>
        <v>5.0031960498701745E-4</v>
      </c>
      <c r="HO127" s="639">
        <f t="shared" si="268"/>
        <v>3.9819433988714835E-3</v>
      </c>
      <c r="HP127" s="644">
        <f>(FT127*$GD127-HM127)/$JF127*INDEX(Input!$1:$1048576,$JG$93,$C127*2+6)</f>
        <v>-3.5723517767489144</v>
      </c>
      <c r="HQ127" s="644">
        <f>(FU127*$GD127-HN127)/$JF127*INDEX(Input!$1:$1048576,$JG$93,$C127*2+6)</f>
        <v>10.083366865963033</v>
      </c>
      <c r="HR127" s="644">
        <f>(FV127*$GD127-HO127)/$JF127*INDEX(Input!$1:$1048576,$JG$93,$C127*2+6)</f>
        <v>-2.8101432078302322</v>
      </c>
      <c r="HS127" s="644">
        <f t="shared" si="269"/>
        <v>-1.0602538780109949</v>
      </c>
      <c r="HT127" s="644">
        <f t="shared" si="270"/>
        <v>18.14347869552287</v>
      </c>
      <c r="HU127" s="644">
        <f t="shared" si="271"/>
        <v>0.95836616193134783</v>
      </c>
      <c r="HV127" s="648">
        <f t="shared" si="272"/>
        <v>0</v>
      </c>
      <c r="HW127" s="648">
        <f t="shared" si="273"/>
        <v>0</v>
      </c>
      <c r="HX127" s="648">
        <f t="shared" si="274"/>
        <v>0</v>
      </c>
      <c r="HY127" s="644">
        <f>INDEX(Input!$1:$1048576,HY$93,$C127*2+6)*INDEX(Input!$1:$1048576,$JG$93,$C127*2+6)</f>
        <v>110.00000000000001</v>
      </c>
      <c r="HZ127" s="644">
        <f>INDEX(Input!$1:$1048576,HZ$93,$C127*2+6)*INDEX(Input!$1:$1048576,$JG$93,$C127*2+6)</f>
        <v>157</v>
      </c>
      <c r="IA127" s="644">
        <f>INDEX(Input!$1:$1048576,IA$93,$C127*2+6)*INDEX(Input!$1:$1048576,$JG$93,$C127*2+6)</f>
        <v>179</v>
      </c>
      <c r="IB127" s="644">
        <f t="shared" si="249"/>
        <v>105.36739434524011</v>
      </c>
      <c r="IC127" s="644">
        <f t="shared" si="172"/>
        <v>185.2268455614859</v>
      </c>
      <c r="ID127" s="644">
        <f>IF(AND(INDEX(Input!$1:$1048576,IA$93,$C127*2+7)="TOS",Y127&lt;=INDEX(Y:Y,MATCH(C127*1000+2,A:A))),0,1)*MAX(IA127+HR127+HU127+HX127,0%)</f>
        <v>177.1482229541011</v>
      </c>
      <c r="IE127" s="128">
        <f t="shared" si="275"/>
        <v>0.22526796840463748</v>
      </c>
      <c r="IF127" s="128">
        <f t="shared" si="174"/>
        <v>0.39600177505500206</v>
      </c>
      <c r="IG127" s="128">
        <f t="shared" si="175"/>
        <v>0.37873025654036052</v>
      </c>
      <c r="IH127" s="21"/>
      <c r="II127" s="19">
        <f t="shared" si="276"/>
        <v>1240</v>
      </c>
      <c r="IJ127" s="19">
        <f t="shared" si="277"/>
        <v>2009.7221397149679</v>
      </c>
      <c r="IK127" s="19">
        <f t="shared" si="278"/>
        <v>2070</v>
      </c>
      <c r="IL127" s="19">
        <f t="shared" si="176"/>
        <v>29.999999999999773</v>
      </c>
      <c r="IM127" s="19">
        <f t="shared" si="177"/>
        <v>780</v>
      </c>
      <c r="IN127" s="19">
        <f t="shared" si="178"/>
        <v>15</v>
      </c>
      <c r="IO127" s="39">
        <f t="shared" si="279"/>
        <v>0</v>
      </c>
      <c r="IP127" s="39">
        <f t="shared" si="280"/>
        <v>0</v>
      </c>
      <c r="IQ127" s="39">
        <f t="shared" si="281"/>
        <v>0</v>
      </c>
      <c r="IR127" s="39">
        <v>0</v>
      </c>
      <c r="IS127" s="39">
        <v>0</v>
      </c>
      <c r="IT127" s="39">
        <v>0</v>
      </c>
      <c r="IU127" s="39">
        <v>0</v>
      </c>
      <c r="IV127" s="39">
        <v>0</v>
      </c>
      <c r="IW127" s="39">
        <v>0</v>
      </c>
      <c r="IX127" s="39">
        <f>INDEX(Input!$1:$1048576,IX$93,$C127*2+6)+INDEX(Input!$1:$1048576,IX$94,$C127*2+6)</f>
        <v>1270</v>
      </c>
      <c r="IY127" s="39">
        <f>INDEX(Input!$1:$1048576,IY$93,$C127*2+6)+INDEX(Input!$1:$1048576,IY$94,$C127*2+6)</f>
        <v>2130.0624533823611</v>
      </c>
      <c r="IZ127" s="39">
        <f>INDEX(Input!$1:$1048576,IZ$93,$C127*2+6)+INDEX(Input!$1:$1048576,IZ$94,$C127*2+6)</f>
        <v>4373.7164157747848</v>
      </c>
      <c r="JA127" s="19">
        <f t="shared" si="179"/>
        <v>1299.9999999999998</v>
      </c>
      <c r="JB127" s="19">
        <f t="shared" si="180"/>
        <v>2910.0624533823611</v>
      </c>
      <c r="JC127" s="19">
        <f t="shared" si="181"/>
        <v>4388.7164157747848</v>
      </c>
      <c r="JD127" s="19">
        <f t="shared" si="182"/>
        <v>3107.3779500156334</v>
      </c>
      <c r="JE127" s="21"/>
      <c r="JF127" s="1">
        <f t="shared" si="282"/>
        <v>1.022782493188582E-2</v>
      </c>
      <c r="JG127" s="15">
        <f>INDEX(Input!$1:$1048576,JG$93,$C127*2+6)/(1+VLOOKUP(C127*1000+INDEX(Input!$1:$1048576,JG$93+1,$C127*2+6),$A:$KK,$JK$92,FALSE))</f>
        <v>446</v>
      </c>
      <c r="JH127" s="1">
        <f t="shared" si="251"/>
        <v>8.2979190165557992E-3</v>
      </c>
      <c r="JI127" s="1">
        <f t="shared" si="252"/>
        <v>4.0451997711756109E-2</v>
      </c>
      <c r="JJ127" s="1">
        <f t="shared" si="253"/>
        <v>0</v>
      </c>
      <c r="JK127" s="1">
        <f t="shared" si="254"/>
        <v>4.8749916728311908E-2</v>
      </c>
      <c r="JL127" s="15">
        <f t="shared" si="184"/>
        <v>21.742462860827111</v>
      </c>
      <c r="JM127" s="15">
        <f t="shared" si="185"/>
        <v>467.74246286082712</v>
      </c>
      <c r="JN127" s="21"/>
      <c r="JO127" s="19">
        <f>INDEX(Input!$1:$1048576,JO$93,$C127*2+6)</f>
        <v>5995.5</v>
      </c>
      <c r="JP127" s="19">
        <f>INDEX(Input!$1:$1048576,JP$93,$C127*2+6)</f>
        <v>2818.4193802796353</v>
      </c>
      <c r="JQ127" s="39">
        <f t="shared" si="186"/>
        <v>2888.1220499843666</v>
      </c>
      <c r="JR127" s="39">
        <f t="shared" si="187"/>
        <v>288.95856973599803</v>
      </c>
      <c r="JS127" s="39">
        <f t="shared" si="188"/>
        <v>1.4534526153797405</v>
      </c>
      <c r="JT127" s="39">
        <f t="shared" si="189"/>
        <v>0.19643757177502313</v>
      </c>
      <c r="JU127" s="385">
        <f>(JQ127*JM127-INDEX(Input!$1:$1048576,Input!A$18,$C127*2+6)*JL127*INDEX(Input!$1:$1048576,Input!A$19,$C127*2+6))/1000000</f>
        <v>1.3508973207023487</v>
      </c>
      <c r="JV127" s="39">
        <f t="shared" si="192"/>
        <v>-6.6080635692933987E-2</v>
      </c>
      <c r="JW127" s="1">
        <f t="shared" si="190"/>
        <v>-4.6634907335495641E-2</v>
      </c>
      <c r="JX127" s="19">
        <f t="shared" si="191"/>
        <v>9034.7433514047807</v>
      </c>
      <c r="JZ127" s="341"/>
      <c r="KA127" s="342"/>
      <c r="KB127" s="469">
        <f t="shared" si="110"/>
        <v>2.9286733661474216</v>
      </c>
      <c r="KI127" s="473">
        <f t="shared" si="283"/>
        <v>-4.6326056547598995</v>
      </c>
      <c r="KJ127" s="473">
        <f t="shared" si="284"/>
        <v>28.226845561485902</v>
      </c>
      <c r="KK127" s="473">
        <f t="shared" si="257"/>
        <v>-1.8517770458988991</v>
      </c>
      <c r="KN127" s="544">
        <f t="shared" si="258"/>
        <v>1002</v>
      </c>
      <c r="KO127" s="541">
        <f t="shared" si="285"/>
        <v>4.4451065795999112E-2</v>
      </c>
      <c r="KP127" s="546">
        <f t="shared" si="286"/>
        <v>297.00133129125152</v>
      </c>
      <c r="KQ127" s="546">
        <f t="shared" si="287"/>
        <v>268.06174999698169</v>
      </c>
      <c r="KR127" s="548">
        <f t="shared" si="288"/>
        <v>2.5661296378600329</v>
      </c>
      <c r="KS127" s="548">
        <f t="shared" si="289"/>
        <v>2.8431654971996134</v>
      </c>
      <c r="KT127" s="473">
        <f t="shared" si="112"/>
        <v>238.28695973331548</v>
      </c>
      <c r="KU127" s="663">
        <f t="shared" si="290"/>
        <v>6.1931295972806195</v>
      </c>
      <c r="KV127" s="117"/>
    </row>
    <row r="128" spans="1:308" s="26" customFormat="1" ht="15">
      <c r="A128" s="561">
        <f t="shared" si="168"/>
        <v>1028</v>
      </c>
      <c r="B128" s="561">
        <f t="shared" si="104"/>
        <v>28</v>
      </c>
      <c r="C128" s="561">
        <f t="shared" si="105"/>
        <v>1</v>
      </c>
      <c r="D128" s="561" t="str">
        <f t="shared" si="294"/>
        <v xml:space="preserve">1000 Combo, </v>
      </c>
      <c r="E128" s="475">
        <f>INDEX(Input!$1:$1048576,E$93,$C128*2+MIN($B128,2)+5)
+INDEX(Scenarios!E$121:E$200,MATCH($B128,Scenarios!$B$121:$B$200,0))</f>
        <v>1229</v>
      </c>
      <c r="F128" s="475">
        <f>INDEX(Input!$1:$1048576,F$93,$C128*2+MIN($B128,2)+5)
+INDEX(Scenarios!F$121:F$200,MATCH($B128,Scenarios!$B$121:$B$200,0))</f>
        <v>0</v>
      </c>
      <c r="G128" s="475">
        <f>INDEX(Input!$1:$1048576,G$93,$C128*2+MIN($B128,2)+5)
+INDEX(Scenarios!G$121:G$200,MATCH($B128,Scenarios!$B$121:$B$200,0))</f>
        <v>0</v>
      </c>
      <c r="H128" s="475">
        <f>INDEX(Input!$1:$1048576,H$93,$C128*2+MIN($B128,2)+5)
+INDEX(Scenarios!H$121:H$200,MATCH($B128,Scenarios!$B$121:$B$200,0))</f>
        <v>0</v>
      </c>
      <c r="I128" s="476">
        <f>INDEX(Input!$1:$1048576,I$93,$C128*2+MIN($B128,2)+5)</f>
        <v>0.7</v>
      </c>
      <c r="J128" s="476" t="str">
        <f>INDEX(Input!$1:$1048576,J$93,$C128*2+MIN($B128,2)+5)</f>
        <v>Market</v>
      </c>
      <c r="K128" s="476" t="str">
        <f>INDEX(Input!$1:$1048576,K$93,$C128*2+MIN($B128,2)+5)</f>
        <v>Market</v>
      </c>
      <c r="L128" s="476" t="str">
        <f>INDEX(Input!$1:$1048576,L$93,$C128*2+MIN($B128,2)+5)</f>
        <v>Market</v>
      </c>
      <c r="M128" s="476" t="str">
        <f>INDEX(Input!$1:$1048576,M$93,$C128*2+MIN($B128,2)+5)</f>
        <v>Market</v>
      </c>
      <c r="N128" s="476" t="str">
        <f>INDEX(Input!$1:$1048576,N$93,$C128*2+MIN($B128,2)+5)</f>
        <v>Market</v>
      </c>
      <c r="O128" s="476" t="str">
        <f>INDEX(Input!$1:$1048576,O$93,$C128*2+MIN($B128,2)+5)</f>
        <v>Market</v>
      </c>
      <c r="P128" s="476" t="str">
        <f>INDEX(Input!$1:$1048576,P$93,$C128*2+MIN($B128,2)+5)</f>
        <v>N</v>
      </c>
      <c r="Q128" s="477">
        <f>INDEX(Input!$1:$1048576,Q$93,$C128*2+MIN($B128,2)+5)
+INDEX(Scenarios!Q$121:Q$200,MATCH($B128,Scenarios!$B$121:$B$200,0))</f>
        <v>1000</v>
      </c>
      <c r="R128" s="478">
        <f>IFERROR(MAX(0,INDEX(Input!$1:$1048576,R$93,$C128*2+MIN($B128,2)+5)
+INDEX(Scenarios!R$121:R$200,MATCH($B128,Scenarios!$B$121:$B$200,0)),),"Market")</f>
        <v>0</v>
      </c>
      <c r="S128" s="478">
        <f>IFERROR(MAX(0,INDEX(Input!$1:$1048576,S$93,$C128*2+MIN($B128,2)+5)
+INDEX(Scenarios!S$121:S$200,MATCH($B128,Scenarios!$B$121:$B$200,0)),),"Market")</f>
        <v>0</v>
      </c>
      <c r="T128" s="478">
        <f>IFERROR(MAX(0,INDEX(Input!$1:$1048576,T$93,$C128*2+MIN($B128,2)+5)
+INDEX(Scenarios!T$121:T$200,MATCH($B128,Scenarios!$B$121:$B$200,0)),),"Market")</f>
        <v>0</v>
      </c>
      <c r="U128" s="478">
        <f>IFERROR(MAX(0,INDEX(Input!$1:$1048576,U$93,$C128*2+MIN($B128,2)+5)
+INDEX(Scenarios!U$121:U$200,MATCH($B128,Scenarios!$B$121:$B$200,0)),),"Market")</f>
        <v>0</v>
      </c>
      <c r="V128" s="478">
        <f>IFERROR(MAX(0,INDEX(Input!$1:$1048576,V$93,$C128*2+MIN($B128,2)+5)
+INDEX(Scenarios!V$121:V$200,MATCH($B128,Scenarios!$B$121:$B$200,0)),),"Market")</f>
        <v>1.9E-2</v>
      </c>
      <c r="W128" s="885">
        <f>IFERROR(MAX(0,INDEX(Input!$1:$1048576,W$93,$C128*2+MIN($B128,2)+5)-0%,),"Market")</f>
        <v>3.9E-2</v>
      </c>
      <c r="X128" s="476" t="str">
        <f>INDEX(Input!$1:$1048576,X$93,$C128*2+MIN($B128,2)+5)</f>
        <v>Y</v>
      </c>
      <c r="Y128" s="475">
        <f>INDEX(Input!$1:$1048576,Y$93,$C128*2+MIN($B128,2)+5)
++INDEX(Scenarios!Y$121:Y$200,MATCH($B128,Scenarios!$B$121:$B$200,0))</f>
        <v>1942</v>
      </c>
      <c r="Z128" s="477">
        <f>INDEX(Input!$1:$1048576,Z$93,$C128*2+MIN($B128,2)+5)
+INDEX(Scenarios!Z$121:Z$200,MATCH($B128,Scenarios!$B$121:$B$200,0))</f>
        <v>0</v>
      </c>
      <c r="AA128" s="475">
        <f>INDEX(Input!$1:$1048576,AA$93,$C128*2+MIN($B128,2)+5)
+INDEX(Scenarios!AA$121:AA$200,MATCH($B128,Scenarios!$B$121:$B$200,0))</f>
        <v>0</v>
      </c>
      <c r="AB128" s="476">
        <f>INDEX(Input!$1:$1048576,AB$93,$C128*2+MIN($B128,2)+5)</f>
        <v>0.27</v>
      </c>
      <c r="AC128" s="475">
        <f>INDEX(Input!$1:$1048576,AC$93,$C128*2+MIN($B128,2)+5)
+INDEX(Scenarios!AC$121:AC$200,MATCH($B128,Scenarios!$B$121:$B$200,0))</f>
        <v>0</v>
      </c>
      <c r="AD128" s="476">
        <f>INDEX(Input!$1:$1048576,AD$93,$C128*2+MIN($B128,2)+5)</f>
        <v>0.27</v>
      </c>
      <c r="AE128" s="475">
        <f>INDEX(Input!$1:$1048576,AE$93,$C128*2+MIN($B128,2)+5)
+INDEX(Scenarios!AE$121:AE$200,MATCH($B128,Scenarios!$B$121:$B$200,0))</f>
        <v>0</v>
      </c>
      <c r="AF128" s="476">
        <f>INDEX(Input!$1:$1048576,AF$93,$C128*2+MIN($B128,2)+5)</f>
        <v>0.38</v>
      </c>
      <c r="AG128" s="475">
        <f>INDEX(Input!$1:$1048576,AG$93,$C128*2+MIN($B128,2)+5)
+INDEX(Scenarios!AG$121:AG$200,MATCH($B128,Scenarios!$B$121:$B$200,0))</f>
        <v>0</v>
      </c>
      <c r="AH128" s="476">
        <f>INDEX(Input!$1:$1048576,AH$93,$C128*2+MIN($B128,2)+5)</f>
        <v>0</v>
      </c>
      <c r="AI128" s="475">
        <f>INDEX(Input!$1:$1048576,AI$93,$C128*2+MIN($B128,2)+5)
+INDEX(Scenarios!AI$121:AI$200,MATCH($B128,Scenarios!$B$121:$B$200,0))</f>
        <v>0</v>
      </c>
      <c r="AJ128" s="476">
        <f>INDEX(Input!$1:$1048576,AJ$93,$C128*2+MIN($B128,2)+5)</f>
        <v>0.27</v>
      </c>
      <c r="AK128" s="150">
        <f>ROUND(INDEX(Input!$1:$1048576,AK$93,$C127*2+MIN($B128,1)+5)+(Y128-VLOOKUP($C128*1000+1,$A:$HH,Y$92,FALSE)),0)</f>
        <v>3757</v>
      </c>
      <c r="AL128" s="150">
        <f>ROUND(INDEX(Input!$1:$1048576,AL$93,$C127*2+MIN($B128,1)+5)-(Y128-VLOOKUP($C128*1000+1,$A:$HH,Y$92,FALSE))/36,0)</f>
        <v>4113</v>
      </c>
      <c r="AM128" s="32" t="str">
        <f t="shared" si="169"/>
        <v>std/std/std/std</v>
      </c>
      <c r="AN128" s="32" t="str">
        <f t="shared" si="170"/>
        <v>$1000 + 0/0/0/1.9/3.9</v>
      </c>
      <c r="AO128" s="32" t="str">
        <f t="shared" si="171"/>
        <v>0/0/0/1.9/3.9</v>
      </c>
      <c r="AP128" s="32" t="str">
        <f t="shared" si="73"/>
        <v>0/0.9/1.9/3.9</v>
      </c>
      <c r="AQ128" s="536">
        <f t="shared" si="39"/>
        <v>0.2171850946643859</v>
      </c>
      <c r="AR128" s="32"/>
      <c r="AS128" s="302"/>
      <c r="AT128" s="3">
        <f t="shared" si="106"/>
        <v>28</v>
      </c>
      <c r="AU128" s="41" t="s">
        <v>121</v>
      </c>
      <c r="AV128" s="41" t="s">
        <v>116</v>
      </c>
      <c r="AW128" s="41" t="str">
        <f>INDEX(Input!$1:$1048576,AW$93,$C128*2+6)</f>
        <v>Kia</v>
      </c>
      <c r="AX128" s="41" t="str">
        <f>INDEX(Input!$1:$1048576,AX$93,$C128*2+6)</f>
        <v>Kia-LR - L1</v>
      </c>
      <c r="AY128" s="41" t="str">
        <f>IF(LEN(D128)=0,"",INDEX(Input!$1:$1048576,AY$93,$C128*2+6))</f>
        <v>Compact SUV (52)</v>
      </c>
      <c r="AZ128" s="41" t="str">
        <f>INDEX(Input!$1:$1048576,AZ$93,$C128*2+6)</f>
        <v>Kia Soul</v>
      </c>
      <c r="BA128" s="3">
        <f>INDEX(Input!$1:$1048576,BA$93,$C128*2+6)</f>
        <v>2020</v>
      </c>
      <c r="BB128" s="128">
        <f>INDEX(Input!$1:$1048576,BB$93,$C128*2+6)</f>
        <v>1</v>
      </c>
      <c r="BC128" s="128">
        <f>INDEX(Input!$1:$1048576,BC$93,$C128*2+6)</f>
        <v>0.7</v>
      </c>
      <c r="BD128" s="1">
        <f>INDEX(Input!$1:$1048576,BD$93,$C128*2+6)</f>
        <v>4.4999999999999998E-2</v>
      </c>
      <c r="BE128" s="1">
        <f>INDEX(Input!$1:$1048576,BE$93,$C128*2+6)</f>
        <v>4.4999999999999998E-2</v>
      </c>
      <c r="BF128" s="1">
        <f>INDEX(Input!$1:$1048576,BF$93,$C128*2+6)</f>
        <v>0.05</v>
      </c>
      <c r="BG128" s="1">
        <f>INDEX(Input!$1:$1048576,BG$93,$C128*2+6)</f>
        <v>5.45E-2</v>
      </c>
      <c r="BH128" s="1">
        <f>INDEX(Input!$1:$1048576,BH$93,$C128*2+6)</f>
        <v>5.45E-2</v>
      </c>
      <c r="BI128" s="1">
        <f>INDEX(Input!$1:$1048576,BI$93,$C128*2+6)</f>
        <v>0.05</v>
      </c>
      <c r="BJ128" s="1">
        <f>INDEX(Input!$1:$1048576,BJ$93,$C128*2+6)</f>
        <v>0.05</v>
      </c>
      <c r="BK128" s="1">
        <f>INDEX(Input!$1:$1048576,BK$93,$C128*2+6)</f>
        <v>0.05</v>
      </c>
      <c r="BL128" s="1">
        <f>INDEX(Input!$1:$1048576,BL$93,$C128*2+6)</f>
        <v>5.5E-2</v>
      </c>
      <c r="BM128" s="1">
        <f>INDEX(Input!$1:$1048576,BM$93,$C128*2+6)</f>
        <v>0.06</v>
      </c>
      <c r="BN128" s="1">
        <f>INDEX(Input!$1:$1048576,BN$93,$C128*2+6)</f>
        <v>4.4999999999999998E-2</v>
      </c>
      <c r="BO128" s="1">
        <f>INDEX(Input!$1:$1048576,BO$93,$C128*2+6)</f>
        <v>4.4999999999999998E-2</v>
      </c>
      <c r="BP128" s="1">
        <f>INDEX(Input!$1:$1048576,BP$93,$C128*2+6)</f>
        <v>0.05</v>
      </c>
      <c r="BQ128" s="1">
        <f>INDEX(Input!$1:$1048576,BQ$93,$C128*2+6)</f>
        <v>5.45E-2</v>
      </c>
      <c r="BR128" s="1">
        <f>INDEX(Input!$1:$1048576,BR$93,$C128*2+6)</f>
        <v>5.45E-2</v>
      </c>
      <c r="BS128" s="1">
        <f>INDEX(Input!$1:$1048576,BS$93,$C128*2+6)</f>
        <v>0.05</v>
      </c>
      <c r="BT128" s="1">
        <f>INDEX(Input!$1:$1048576,BT$93,$C128*2+6)</f>
        <v>0.05</v>
      </c>
      <c r="BU128" s="1">
        <f>INDEX(Input!$1:$1048576,BU$93,$C128*2+6)</f>
        <v>0.05</v>
      </c>
      <c r="BV128" s="1">
        <f>INDEX(Input!$1:$1048576,BV$93,$C128*2+6)</f>
        <v>5.5E-2</v>
      </c>
      <c r="BW128" s="1">
        <f>INDEX(Input!$1:$1048576,BW$93,$C128*2+6)</f>
        <v>0.06</v>
      </c>
      <c r="BX128" s="127">
        <f>INDEX(Input!$1:$1048576,BX$93,$C128*2+6)</f>
        <v>19985</v>
      </c>
      <c r="BY128" s="20">
        <f>INDEX(Input!$1:$1048576,BY$93,$C128*2+6)</f>
        <v>0.1</v>
      </c>
      <c r="BZ128" s="20">
        <f>INDEX(Input!$1:$1048576,BZ$93,$C128*2+6)</f>
        <v>0.1</v>
      </c>
      <c r="CA128" s="20">
        <f>INDEX(Input!$1:$1048576,CA$93,$C128*2+6)</f>
        <v>0.1</v>
      </c>
      <c r="CB128" s="20">
        <f>INDEX(Input!$1:$1048576,CB$93,$C128*2+6)</f>
        <v>0.1</v>
      </c>
      <c r="CC128" s="20">
        <f>INDEX(Input!$1:$1048576,CC$93,$C128*2+6)</f>
        <v>0.1</v>
      </c>
      <c r="CD128" s="384">
        <f>INDEX(Input!$1:$1048576,CD$93,$C128*2+6)</f>
        <v>0.1</v>
      </c>
      <c r="CE128" s="384">
        <f>INDEX(Input!$1:$1048576,CE$93,$C128*2+6)</f>
        <v>0.1</v>
      </c>
      <c r="CF128" s="384">
        <f>INDEX(Input!$1:$1048576,CF$93,$C128*2+6)</f>
        <v>0.1</v>
      </c>
      <c r="CG128" s="384">
        <f>INDEX(Input!$1:$1048576,CG$93,$C128*2+6)</f>
        <v>0.1</v>
      </c>
      <c r="CH128" s="384">
        <f>INDEX(Input!$1:$1048576,CH$93,$C128*2+6)</f>
        <v>0.1</v>
      </c>
      <c r="CI128" s="304">
        <f t="shared" si="74"/>
        <v>1229</v>
      </c>
      <c r="CJ128" s="16" t="str">
        <f>INDEX(Input!$1:$1048576,CJ$93,$C128*2+6)</f>
        <v>N</v>
      </c>
      <c r="CK128" s="1" t="str">
        <f t="shared" si="75"/>
        <v>Market</v>
      </c>
      <c r="CL128" s="1" t="str">
        <f t="shared" si="76"/>
        <v>Market</v>
      </c>
      <c r="CM128" s="1" t="str">
        <f t="shared" si="77"/>
        <v>Market</v>
      </c>
      <c r="CN128" s="1" t="str">
        <f t="shared" si="78"/>
        <v>Market</v>
      </c>
      <c r="CO128" s="1" t="str">
        <f t="shared" si="79"/>
        <v>Market</v>
      </c>
      <c r="CP128" s="304">
        <f t="shared" si="80"/>
        <v>1000</v>
      </c>
      <c r="CQ128" s="1">
        <f t="shared" si="81"/>
        <v>0</v>
      </c>
      <c r="CR128" s="1">
        <f t="shared" si="82"/>
        <v>0</v>
      </c>
      <c r="CS128" s="1">
        <f t="shared" si="83"/>
        <v>0</v>
      </c>
      <c r="CT128" s="1">
        <f t="shared" si="84"/>
        <v>1.9E-2</v>
      </c>
      <c r="CU128" s="1">
        <f t="shared" si="85"/>
        <v>3.9E-2</v>
      </c>
      <c r="CV128" s="304">
        <f t="shared" si="86"/>
        <v>1942</v>
      </c>
      <c r="CW128" s="20" t="s">
        <v>122</v>
      </c>
      <c r="CX128" s="20" t="s">
        <v>122</v>
      </c>
      <c r="CY128" s="20" t="s">
        <v>122</v>
      </c>
      <c r="CZ128" s="20" t="s">
        <v>122</v>
      </c>
      <c r="DA128" s="20" t="s">
        <v>122</v>
      </c>
      <c r="DB128" s="503">
        <f t="shared" si="87"/>
        <v>0</v>
      </c>
      <c r="DC128" s="127">
        <v>0</v>
      </c>
      <c r="DD128" s="127">
        <v>0</v>
      </c>
      <c r="DE128" s="127">
        <v>0</v>
      </c>
      <c r="DF128" s="127">
        <v>0</v>
      </c>
      <c r="DG128" s="127">
        <v>0</v>
      </c>
      <c r="DH128" s="127">
        <v>0</v>
      </c>
      <c r="DI128" s="127">
        <v>0</v>
      </c>
      <c r="DJ128" s="127">
        <v>0</v>
      </c>
      <c r="DK128" s="127">
        <v>0</v>
      </c>
      <c r="DL128" s="127">
        <v>0</v>
      </c>
      <c r="DM128" s="304">
        <f>INDEX(Input!$1:$1048576,DM$93,$C128*2+6)</f>
        <v>21036.84210526316</v>
      </c>
      <c r="DN128" s="20">
        <v>0</v>
      </c>
      <c r="DO128" s="20">
        <v>0</v>
      </c>
      <c r="DP128" s="20">
        <v>0</v>
      </c>
      <c r="DQ128" s="20">
        <v>0</v>
      </c>
      <c r="DR128" s="20">
        <v>0</v>
      </c>
      <c r="DS128" s="20">
        <f>INDEX(Input!$1:$1048576,DS$93,$C128*2+6)</f>
        <v>0.6</v>
      </c>
      <c r="DT128" s="20">
        <f>INDEX(Input!$1:$1048576,DT$93,$C128*2+6)</f>
        <v>0.55000000000000004</v>
      </c>
      <c r="DU128" s="20">
        <f>INDEX(Input!$1:$1048576,DU$93,$C128*2+6)</f>
        <v>0.52</v>
      </c>
      <c r="DV128" s="20">
        <f>INDEX(Input!$1:$1048576,DV$93,$C128*2+6)</f>
        <v>0.5</v>
      </c>
      <c r="DW128" s="20">
        <f>INDEX(Input!$1:$1048576,DW$93,$C128*2+6)</f>
        <v>0.45</v>
      </c>
      <c r="DX128" s="20"/>
      <c r="DY128" s="7">
        <v>9.4680522673179959E-2</v>
      </c>
      <c r="DZ128" s="7">
        <v>0</v>
      </c>
      <c r="EA128" s="7">
        <v>0.44863123883088257</v>
      </c>
      <c r="EB128" s="7">
        <v>0</v>
      </c>
      <c r="EC128" s="7">
        <v>0</v>
      </c>
      <c r="ED128" s="7">
        <v>0</v>
      </c>
      <c r="EE128" s="7">
        <v>0</v>
      </c>
      <c r="EF128" s="7">
        <v>0</v>
      </c>
      <c r="EG128" s="7">
        <v>0</v>
      </c>
      <c r="EH128" s="7">
        <v>1.8402200445098656E-2</v>
      </c>
      <c r="EI128" s="7">
        <v>5.3739557110571878E-2</v>
      </c>
      <c r="EJ128" s="7">
        <v>0.33946684904131991</v>
      </c>
      <c r="EK128" s="7">
        <v>0.4824771263993809</v>
      </c>
      <c r="EL128" s="7">
        <v>0.10591426700362867</v>
      </c>
      <c r="EM128" s="7">
        <v>8.0089310557009116E-2</v>
      </c>
      <c r="EN128" s="7">
        <v>5.0824256578978509E-2</v>
      </c>
      <c r="EO128" s="7">
        <v>0.76815678085538375</v>
      </c>
      <c r="EP128" s="7">
        <v>7.9058197430733571E-2</v>
      </c>
      <c r="EQ128" s="7">
        <v>6.027119863119898E-2</v>
      </c>
      <c r="ER128" s="7">
        <v>4.1689566503705214E-2</v>
      </c>
      <c r="ES128" s="7">
        <v>0.3765989279389283</v>
      </c>
      <c r="ET128" s="7">
        <v>0.45668823849593748</v>
      </c>
      <c r="EU128" s="6">
        <v>1270</v>
      </c>
      <c r="EV128" s="6">
        <v>0</v>
      </c>
      <c r="EW128" s="6">
        <v>1270</v>
      </c>
      <c r="EX128" s="6">
        <v>0</v>
      </c>
      <c r="EY128" s="6">
        <v>3039.7221397149679</v>
      </c>
      <c r="EZ128" s="6">
        <v>2085</v>
      </c>
      <c r="FA128" s="6">
        <v>0</v>
      </c>
      <c r="FB128" s="6">
        <v>0</v>
      </c>
      <c r="FC128" s="6">
        <v>0</v>
      </c>
      <c r="FD128" s="6">
        <v>0</v>
      </c>
      <c r="FE128" s="6">
        <v>0</v>
      </c>
      <c r="FF128" s="6">
        <v>0</v>
      </c>
      <c r="FG128" s="6">
        <v>0</v>
      </c>
      <c r="FH128" s="6">
        <v>1171.2811379695613</v>
      </c>
      <c r="FI128" s="6">
        <v>1553.9796069512402</v>
      </c>
      <c r="FJ128" s="6">
        <v>2101.211011744741</v>
      </c>
      <c r="FK128" s="6">
        <v>1772.7139978623227</v>
      </c>
      <c r="FL128" s="6">
        <v>907.07682140966358</v>
      </c>
      <c r="FM128" s="6">
        <v>1769.7221397149681</v>
      </c>
      <c r="FN128" s="6">
        <v>0</v>
      </c>
      <c r="FO128" s="6">
        <v>0</v>
      </c>
      <c r="FP128" s="6">
        <v>0</v>
      </c>
      <c r="FQ128" s="6">
        <v>0</v>
      </c>
      <c r="FR128" s="6">
        <v>0</v>
      </c>
      <c r="FS128" s="6">
        <v>0</v>
      </c>
      <c r="FT128" s="7">
        <v>0.54331176150406257</v>
      </c>
      <c r="FU128" s="7">
        <v>8.0089310557009116E-2</v>
      </c>
      <c r="FV128" s="7">
        <v>0.3765989279389283</v>
      </c>
      <c r="FW128" s="6">
        <v>1269.9999999999998</v>
      </c>
      <c r="FX128" s="6">
        <v>3039.7221397149679</v>
      </c>
      <c r="FY128" s="6">
        <v>2085</v>
      </c>
      <c r="FZ128" s="6">
        <v>1952.7147957719815</v>
      </c>
      <c r="GA128" s="6">
        <v>1718.6639523174731</v>
      </c>
      <c r="GB128" s="6">
        <v>18266.336047682526</v>
      </c>
      <c r="GC128" s="7">
        <v>1.0519917368675835E-2</v>
      </c>
      <c r="GD128" s="7">
        <v>1.0334445068150386E-2</v>
      </c>
      <c r="GE128" s="7"/>
      <c r="GF128" s="7"/>
      <c r="GG128" s="7">
        <v>-1.7630585300765993E-2</v>
      </c>
      <c r="GH128" s="42">
        <v>1.5054303673308183</v>
      </c>
      <c r="GI128" s="6">
        <v>14993.937544303091</v>
      </c>
      <c r="GJ128" s="14">
        <v>0.50394797582841733</v>
      </c>
      <c r="GK128" s="14">
        <v>0.50887573065309755</v>
      </c>
      <c r="GL128" s="14">
        <v>0.49605202417158278</v>
      </c>
      <c r="GM128" s="14">
        <v>0.49112426934690245</v>
      </c>
      <c r="GO128" s="5">
        <v>343.14810671672558</v>
      </c>
      <c r="GP128" s="5">
        <v>318.91892952659737</v>
      </c>
      <c r="GQ128" s="5">
        <v>535.04305713031317</v>
      </c>
      <c r="GR128" s="5">
        <v>410.15490233172511</v>
      </c>
      <c r="GS128" s="5">
        <v>339.42744393800166</v>
      </c>
      <c r="GT128" s="5">
        <v>293.4407446948278</v>
      </c>
      <c r="GU128" s="5">
        <v>258.04012322764959</v>
      </c>
      <c r="GV128" s="39" t="s">
        <v>392</v>
      </c>
      <c r="GW128" s="5">
        <v>464.34722222222223</v>
      </c>
      <c r="GX128" s="5">
        <v>348.26041666666669</v>
      </c>
      <c r="GY128" s="5">
        <v>278.60833333333335</v>
      </c>
      <c r="GZ128" s="5">
        <v>245.84245344171217</v>
      </c>
      <c r="HA128" s="5">
        <v>227.72592165501612</v>
      </c>
      <c r="HB128" s="39">
        <v>264.57144879693607</v>
      </c>
      <c r="HC128" s="5">
        <v>196.06562499999998</v>
      </c>
      <c r="HD128" s="5">
        <v>177.54497441520465</v>
      </c>
      <c r="HE128" s="5">
        <v>183.15757844129553</v>
      </c>
      <c r="HF128" s="5">
        <v>172.69313048245613</v>
      </c>
      <c r="HG128" s="5">
        <v>170.66888157894735</v>
      </c>
      <c r="HH128" s="39">
        <v>178.35090729075006</v>
      </c>
      <c r="HI128" s="16"/>
      <c r="HJ128" s="19" t="str">
        <f t="shared" ref="HJ128" si="301">HJ127</f>
        <v>On</v>
      </c>
      <c r="HK128" s="1" t="str">
        <f t="shared" si="108"/>
        <v>On</v>
      </c>
      <c r="HL128" s="16"/>
      <c r="HM128" s="639">
        <f t="shared" si="266"/>
        <v>5.7455619280273196E-3</v>
      </c>
      <c r="HN128" s="639">
        <f t="shared" si="267"/>
        <v>5.0031960498701745E-4</v>
      </c>
      <c r="HO128" s="639">
        <f t="shared" si="268"/>
        <v>3.9819433988714835E-3</v>
      </c>
      <c r="HP128" s="644">
        <f>(FT128*$GD128-HM128)/$JF128*INDEX(Input!$1:$1048576,$JG$93,$C128*2+6)</f>
        <v>-5.7009601885429841</v>
      </c>
      <c r="HQ128" s="644">
        <f>(FU128*$GD128-HN128)/$JF128*INDEX(Input!$1:$1048576,$JG$93,$C128*2+6)</f>
        <v>14.274990435403526</v>
      </c>
      <c r="HR128" s="644">
        <f>(FV128*$GD128-HO128)/$JF128*INDEX(Input!$1:$1048576,$JG$93,$C128*2+6)</f>
        <v>-3.9246956042868111</v>
      </c>
      <c r="HS128" s="644">
        <f t="shared" si="269"/>
        <v>-1.2266091613152472</v>
      </c>
      <c r="HT128" s="644">
        <f t="shared" si="270"/>
        <v>24.035907006788758</v>
      </c>
      <c r="HU128" s="644">
        <f t="shared" si="271"/>
        <v>1.1247214452356</v>
      </c>
      <c r="HV128" s="648">
        <f t="shared" si="272"/>
        <v>0</v>
      </c>
      <c r="HW128" s="648">
        <f t="shared" si="273"/>
        <v>0</v>
      </c>
      <c r="HX128" s="648">
        <f t="shared" si="274"/>
        <v>0</v>
      </c>
      <c r="HY128" s="644">
        <f>INDEX(Input!$1:$1048576,HY$93,$C128*2+6)*INDEX(Input!$1:$1048576,$JG$93,$C128*2+6)</f>
        <v>110.00000000000001</v>
      </c>
      <c r="HZ128" s="644">
        <f>INDEX(Input!$1:$1048576,HZ$93,$C128*2+6)*INDEX(Input!$1:$1048576,$JG$93,$C128*2+6)</f>
        <v>157</v>
      </c>
      <c r="IA128" s="644">
        <f>INDEX(Input!$1:$1048576,IA$93,$C128*2+6)*INDEX(Input!$1:$1048576,$JG$93,$C128*2+6)</f>
        <v>179</v>
      </c>
      <c r="IB128" s="644">
        <f t="shared" si="249"/>
        <v>103.0724306501418</v>
      </c>
      <c r="IC128" s="644">
        <f t="shared" si="172"/>
        <v>195.3108974421923</v>
      </c>
      <c r="ID128" s="644">
        <f>IF(AND(INDEX(Input!$1:$1048576,IA$93,$C128*2+7)="TOS",Y128&lt;=INDEX(Y:Y,MATCH(C128*1000+2,A:A))),0,1)*MAX(IA128+HR128+HU128+HX128,0%)</f>
        <v>176.20002584094877</v>
      </c>
      <c r="IE128" s="128">
        <f t="shared" si="275"/>
        <v>0.2171850946643859</v>
      </c>
      <c r="IF128" s="128">
        <f t="shared" si="174"/>
        <v>0.41154182046943261</v>
      </c>
      <c r="IG128" s="128">
        <f t="shared" si="175"/>
        <v>0.37127308486618149</v>
      </c>
      <c r="IH128" s="21"/>
      <c r="II128" s="19">
        <f t="shared" si="276"/>
        <v>1240</v>
      </c>
      <c r="IJ128" s="19">
        <f t="shared" si="277"/>
        <v>2009.7221397149679</v>
      </c>
      <c r="IK128" s="19">
        <f t="shared" si="278"/>
        <v>2070</v>
      </c>
      <c r="IL128" s="19">
        <f t="shared" si="176"/>
        <v>29.999999999999773</v>
      </c>
      <c r="IM128" s="19">
        <f t="shared" si="177"/>
        <v>1030</v>
      </c>
      <c r="IN128" s="19">
        <f t="shared" si="178"/>
        <v>15</v>
      </c>
      <c r="IO128" s="39">
        <f t="shared" si="279"/>
        <v>0</v>
      </c>
      <c r="IP128" s="39">
        <f t="shared" si="280"/>
        <v>0</v>
      </c>
      <c r="IQ128" s="39">
        <f t="shared" si="281"/>
        <v>0</v>
      </c>
      <c r="IR128" s="39">
        <v>0</v>
      </c>
      <c r="IS128" s="39">
        <v>0</v>
      </c>
      <c r="IT128" s="39">
        <v>0</v>
      </c>
      <c r="IU128" s="39">
        <v>0</v>
      </c>
      <c r="IV128" s="39">
        <v>0</v>
      </c>
      <c r="IW128" s="39">
        <v>0</v>
      </c>
      <c r="IX128" s="39">
        <f>INDEX(Input!$1:$1048576,IX$93,$C128*2+6)+INDEX(Input!$1:$1048576,IX$94,$C128*2+6)</f>
        <v>1270</v>
      </c>
      <c r="IY128" s="39">
        <f>INDEX(Input!$1:$1048576,IY$93,$C128*2+6)+INDEX(Input!$1:$1048576,IY$94,$C128*2+6)</f>
        <v>2130.0624533823611</v>
      </c>
      <c r="IZ128" s="39">
        <f>INDEX(Input!$1:$1048576,IZ$93,$C128*2+6)+INDEX(Input!$1:$1048576,IZ$94,$C128*2+6)</f>
        <v>4373.7164157747848</v>
      </c>
      <c r="JA128" s="19">
        <f t="shared" si="179"/>
        <v>1299.9999999999998</v>
      </c>
      <c r="JB128" s="19">
        <f t="shared" si="180"/>
        <v>3160.0624533823611</v>
      </c>
      <c r="JC128" s="19">
        <f t="shared" si="181"/>
        <v>4388.7164157747848</v>
      </c>
      <c r="JD128" s="19">
        <f t="shared" si="182"/>
        <v>3212.2507602133355</v>
      </c>
      <c r="JE128" s="21"/>
      <c r="JF128" s="1">
        <f t="shared" si="282"/>
        <v>1.022782493188582E-2</v>
      </c>
      <c r="JG128" s="15">
        <f>INDEX(Input!$1:$1048576,JG$93,$C128*2+6)/(1+VLOOKUP(C128*1000+INDEX(Input!$1:$1048576,JG$93+1,$C128*2+6),$A:$KK,$JK$92,FALSE))</f>
        <v>446</v>
      </c>
      <c r="JH128" s="1">
        <f t="shared" si="251"/>
        <v>1.0424517135815541E-2</v>
      </c>
      <c r="JI128" s="1">
        <f t="shared" si="252"/>
        <v>5.3663720382755853E-2</v>
      </c>
      <c r="JJ128" s="1">
        <f t="shared" si="253"/>
        <v>0</v>
      </c>
      <c r="JK128" s="1">
        <f t="shared" si="254"/>
        <v>6.40882375185714E-2</v>
      </c>
      <c r="JL128" s="15">
        <f t="shared" si="184"/>
        <v>28.583353933282844</v>
      </c>
      <c r="JM128" s="15">
        <f t="shared" si="185"/>
        <v>474.58335393328287</v>
      </c>
      <c r="JN128" s="21"/>
      <c r="JO128" s="19">
        <f>INDEX(Input!$1:$1048576,JO$93,$C128*2+6)</f>
        <v>5995.5</v>
      </c>
      <c r="JP128" s="19">
        <f>INDEX(Input!$1:$1048576,JP$93,$C128*2+6)</f>
        <v>2818.4193802796353</v>
      </c>
      <c r="JQ128" s="39">
        <f t="shared" si="186"/>
        <v>2783.2492397866645</v>
      </c>
      <c r="JR128" s="39">
        <f t="shared" si="187"/>
        <v>393.83137993370019</v>
      </c>
      <c r="JS128" s="39">
        <f t="shared" si="188"/>
        <v>1.5244807394567823</v>
      </c>
      <c r="JT128" s="39">
        <f t="shared" si="189"/>
        <v>0.26746569585206498</v>
      </c>
      <c r="JU128" s="385">
        <f>(JQ128*JM128-INDEX(Input!$1:$1048576,Input!A$18,$C128*2+6)*JL128*INDEX(Input!$1:$1048576,Input!A$19,$C128*2+6))/1000000</f>
        <v>1.3208837590502152</v>
      </c>
      <c r="JV128" s="39">
        <f t="shared" si="192"/>
        <v>-9.6094197345067522E-2</v>
      </c>
      <c r="JW128" s="1">
        <f t="shared" si="190"/>
        <v>-6.78162965848291E-2</v>
      </c>
      <c r="JX128" s="19">
        <f t="shared" si="191"/>
        <v>9357.3936941187403</v>
      </c>
      <c r="JZ128" s="341"/>
      <c r="KA128" s="342"/>
      <c r="KB128" s="469">
        <f t="shared" si="110"/>
        <v>2.9286733661474216</v>
      </c>
      <c r="KI128" s="473">
        <f t="shared" si="283"/>
        <v>-6.9275693498582172</v>
      </c>
      <c r="KJ128" s="473">
        <f t="shared" si="284"/>
        <v>38.310897442192299</v>
      </c>
      <c r="KK128" s="473">
        <f t="shared" si="257"/>
        <v>-2.7999741590512315</v>
      </c>
      <c r="KN128" s="544">
        <f t="shared" si="258"/>
        <v>1002</v>
      </c>
      <c r="KO128" s="541">
        <f t="shared" si="285"/>
        <v>5.9726514443360079E-2</v>
      </c>
      <c r="KP128" s="546">
        <f t="shared" si="286"/>
        <v>411.54182046943259</v>
      </c>
      <c r="KQ128" s="546">
        <f t="shared" si="287"/>
        <v>372.93456019468385</v>
      </c>
      <c r="KR128" s="548">
        <f t="shared" si="288"/>
        <v>2.4883301773626982</v>
      </c>
      <c r="KS128" s="548">
        <f t="shared" si="289"/>
        <v>2.7459292873963808</v>
      </c>
      <c r="KT128" s="473">
        <f t="shared" si="112"/>
        <v>238.28695973331548</v>
      </c>
      <c r="KU128" s="663">
        <f t="shared" si="290"/>
        <v>6.1695501860352504</v>
      </c>
      <c r="KV128" s="117"/>
    </row>
    <row r="129" spans="1:308" s="26" customFormat="1" ht="15">
      <c r="A129" s="561">
        <f t="shared" si="168"/>
        <v>1029</v>
      </c>
      <c r="B129" s="561">
        <f t="shared" si="104"/>
        <v>29</v>
      </c>
      <c r="C129" s="561">
        <f t="shared" si="105"/>
        <v>1</v>
      </c>
      <c r="D129" s="561" t="str">
        <f t="shared" si="294"/>
        <v xml:space="preserve">-720 Lease, </v>
      </c>
      <c r="E129" s="475">
        <f>INDEX(Input!$1:$1048576,E$93,$C129*2+MIN($B129,2)+5)
+INDEX(Scenarios!E$121:E$200,MATCH($B129,Scenarios!$B$121:$B$200,0))</f>
        <v>1229</v>
      </c>
      <c r="F129" s="475">
        <f>INDEX(Input!$1:$1048576,F$93,$C129*2+MIN($B129,2)+5)
+INDEX(Scenarios!F$121:F$200,MATCH($B129,Scenarios!$B$121:$B$200,0))</f>
        <v>0</v>
      </c>
      <c r="G129" s="475">
        <f>INDEX(Input!$1:$1048576,G$93,$C129*2+MIN($B129,2)+5)
+INDEX(Scenarios!G$121:G$200,MATCH($B129,Scenarios!$B$121:$B$200,0))</f>
        <v>0</v>
      </c>
      <c r="H129" s="475">
        <f>INDEX(Input!$1:$1048576,H$93,$C129*2+MIN($B129,2)+5)
+INDEX(Scenarios!H$121:H$200,MATCH($B129,Scenarios!$B$121:$B$200,0))</f>
        <v>0</v>
      </c>
      <c r="I129" s="476">
        <f>INDEX(Input!$1:$1048576,I$93,$C129*2+MIN($B129,2)+5)</f>
        <v>0.7</v>
      </c>
      <c r="J129" s="476" t="str">
        <f>INDEX(Input!$1:$1048576,J$93,$C129*2+MIN($B129,2)+5)</f>
        <v>Market</v>
      </c>
      <c r="K129" s="476" t="str">
        <f>INDEX(Input!$1:$1048576,K$93,$C129*2+MIN($B129,2)+5)</f>
        <v>Market</v>
      </c>
      <c r="L129" s="476" t="str">
        <f>INDEX(Input!$1:$1048576,L$93,$C129*2+MIN($B129,2)+5)</f>
        <v>Market</v>
      </c>
      <c r="M129" s="476" t="str">
        <f>INDEX(Input!$1:$1048576,M$93,$C129*2+MIN($B129,2)+5)</f>
        <v>Market</v>
      </c>
      <c r="N129" s="476" t="str">
        <f>INDEX(Input!$1:$1048576,N$93,$C129*2+MIN($B129,2)+5)</f>
        <v>Market</v>
      </c>
      <c r="O129" s="476" t="str">
        <f>INDEX(Input!$1:$1048576,O$93,$C129*2+MIN($B129,2)+5)</f>
        <v>Market</v>
      </c>
      <c r="P129" s="476" t="str">
        <f>INDEX(Input!$1:$1048576,P$93,$C129*2+MIN($B129,2)+5)</f>
        <v>N</v>
      </c>
      <c r="Q129" s="477">
        <f>INDEX(Input!$1:$1048576,Q$93,$C129*2+MIN($B129,2)+5)
+INDEX(Scenarios!Q$121:Q$200,MATCH($B129,Scenarios!$B$121:$B$200,0))</f>
        <v>0</v>
      </c>
      <c r="R129" s="478">
        <f>IFERROR(MAX(0,INDEX(Input!$1:$1048576,R$93,$C129*2+MIN($B129,2)+5)
+INDEX(Scenarios!R$121:R$200,MATCH($B129,Scenarios!$B$121:$B$200,0)),),"Market")</f>
        <v>0</v>
      </c>
      <c r="S129" s="478">
        <f>IFERROR(MAX(0,INDEX(Input!$1:$1048576,S$93,$C129*2+MIN($B129,2)+5)
+INDEX(Scenarios!S$121:S$200,MATCH($B129,Scenarios!$B$121:$B$200,0)),),"Market")</f>
        <v>0</v>
      </c>
      <c r="T129" s="478">
        <f>IFERROR(MAX(0,INDEX(Input!$1:$1048576,T$93,$C129*2+MIN($B129,2)+5)
+INDEX(Scenarios!T$121:T$200,MATCH($B129,Scenarios!$B$121:$B$200,0)),),"Market")</f>
        <v>0</v>
      </c>
      <c r="U129" s="478">
        <f>IFERROR(MAX(0,INDEX(Input!$1:$1048576,U$93,$C129*2+MIN($B129,2)+5)
+INDEX(Scenarios!U$121:U$200,MATCH($B129,Scenarios!$B$121:$B$200,0)),),"Market")</f>
        <v>0</v>
      </c>
      <c r="V129" s="478">
        <f>IFERROR(MAX(0,INDEX(Input!$1:$1048576,V$93,$C129*2+MIN($B129,2)+5)
+INDEX(Scenarios!V$121:V$200,MATCH($B129,Scenarios!$B$121:$B$200,0)),),"Market")</f>
        <v>1.9E-2</v>
      </c>
      <c r="W129" s="885">
        <f>IFERROR(MAX(0,INDEX(Input!$1:$1048576,W$93,$C129*2+MIN($B129,2)+5)-0%,),"Market")</f>
        <v>3.9E-2</v>
      </c>
      <c r="X129" s="476" t="str">
        <f>INDEX(Input!$1:$1048576,X$93,$C129*2+MIN($B129,2)+5)</f>
        <v>Y</v>
      </c>
      <c r="Y129" s="475">
        <f>INDEX(Input!$1:$1048576,Y$93,$C129*2+MIN($B129,2)+5)
++INDEX(Scenarios!Y$121:Y$200,MATCH($B129,Scenarios!$B$121:$B$200,0))</f>
        <v>1222</v>
      </c>
      <c r="Z129" s="477">
        <f>INDEX(Input!$1:$1048576,Z$93,$C129*2+MIN($B129,2)+5)
+INDEX(Scenarios!Z$121:Z$200,MATCH($B129,Scenarios!$B$121:$B$200,0))</f>
        <v>0</v>
      </c>
      <c r="AA129" s="475">
        <f>INDEX(Input!$1:$1048576,AA$93,$C129*2+MIN($B129,2)+5)
+INDEX(Scenarios!AA$121:AA$200,MATCH($B129,Scenarios!$B$121:$B$200,0))</f>
        <v>0</v>
      </c>
      <c r="AB129" s="476">
        <f>INDEX(Input!$1:$1048576,AB$93,$C129*2+MIN($B129,2)+5)</f>
        <v>0.27</v>
      </c>
      <c r="AC129" s="475">
        <f>INDEX(Input!$1:$1048576,AC$93,$C129*2+MIN($B129,2)+5)
+INDEX(Scenarios!AC$121:AC$200,MATCH($B129,Scenarios!$B$121:$B$200,0))</f>
        <v>0</v>
      </c>
      <c r="AD129" s="476">
        <f>INDEX(Input!$1:$1048576,AD$93,$C129*2+MIN($B129,2)+5)</f>
        <v>0.27</v>
      </c>
      <c r="AE129" s="475">
        <f>INDEX(Input!$1:$1048576,AE$93,$C129*2+MIN($B129,2)+5)
+INDEX(Scenarios!AE$121:AE$200,MATCH($B129,Scenarios!$B$121:$B$200,0))</f>
        <v>0</v>
      </c>
      <c r="AF129" s="476">
        <f>INDEX(Input!$1:$1048576,AF$93,$C129*2+MIN($B129,2)+5)</f>
        <v>0.38</v>
      </c>
      <c r="AG129" s="475">
        <f>INDEX(Input!$1:$1048576,AG$93,$C129*2+MIN($B129,2)+5)
+INDEX(Scenarios!AG$121:AG$200,MATCH($B129,Scenarios!$B$121:$B$200,0))</f>
        <v>0</v>
      </c>
      <c r="AH129" s="476">
        <f>INDEX(Input!$1:$1048576,AH$93,$C129*2+MIN($B129,2)+5)</f>
        <v>0</v>
      </c>
      <c r="AI129" s="475">
        <f>INDEX(Input!$1:$1048576,AI$93,$C129*2+MIN($B129,2)+5)
+INDEX(Scenarios!AI$121:AI$200,MATCH($B129,Scenarios!$B$121:$B$200,0))</f>
        <v>0</v>
      </c>
      <c r="AJ129" s="476">
        <f>INDEX(Input!$1:$1048576,AJ$93,$C129*2+MIN($B129,2)+5)</f>
        <v>0.27</v>
      </c>
      <c r="AK129" s="150">
        <f>ROUND(INDEX(Input!$1:$1048576,AK$93,$C128*2+MIN($B129,1)+5)+(Y129-VLOOKUP($C129*1000+1,$A:$HH,Y$92,FALSE)),0)</f>
        <v>3037</v>
      </c>
      <c r="AL129" s="150">
        <f>ROUND(INDEX(Input!$1:$1048576,AL$93,$C128*2+MIN($B129,1)+5)-(Y129-VLOOKUP($C129*1000+1,$A:$HH,Y$92,FALSE))/36,0)</f>
        <v>4133</v>
      </c>
      <c r="AM129" s="32" t="str">
        <f t="shared" si="169"/>
        <v>std/std/std/std</v>
      </c>
      <c r="AN129" s="32" t="str">
        <f t="shared" si="170"/>
        <v>$0 + 0/0/0/1.9/3.9</v>
      </c>
      <c r="AO129" s="32" t="str">
        <f t="shared" si="171"/>
        <v>0/0/0/1.9/3.9</v>
      </c>
      <c r="AP129" s="32" t="str">
        <f t="shared" si="73"/>
        <v>0/0.9/1.9/3.9</v>
      </c>
      <c r="AQ129" s="536">
        <f t="shared" si="39"/>
        <v>0.33172193567427966</v>
      </c>
      <c r="AR129" s="32"/>
      <c r="AS129" s="302"/>
      <c r="AT129" s="3">
        <f t="shared" si="106"/>
        <v>29</v>
      </c>
      <c r="AU129" s="41" t="s">
        <v>121</v>
      </c>
      <c r="AV129" s="41" t="s">
        <v>116</v>
      </c>
      <c r="AW129" s="41" t="str">
        <f>INDEX(Input!$1:$1048576,AW$93,$C129*2+6)</f>
        <v>Kia</v>
      </c>
      <c r="AX129" s="41" t="str">
        <f>INDEX(Input!$1:$1048576,AX$93,$C129*2+6)</f>
        <v>Kia-LR - L1</v>
      </c>
      <c r="AY129" s="41" t="str">
        <f>IF(LEN(D129)=0,"",INDEX(Input!$1:$1048576,AY$93,$C129*2+6))</f>
        <v>Compact SUV (52)</v>
      </c>
      <c r="AZ129" s="41" t="str">
        <f>INDEX(Input!$1:$1048576,AZ$93,$C129*2+6)</f>
        <v>Kia Soul</v>
      </c>
      <c r="BA129" s="3">
        <f>INDEX(Input!$1:$1048576,BA$93,$C129*2+6)</f>
        <v>2020</v>
      </c>
      <c r="BB129" s="128">
        <f>INDEX(Input!$1:$1048576,BB$93,$C129*2+6)</f>
        <v>1</v>
      </c>
      <c r="BC129" s="128">
        <f>INDEX(Input!$1:$1048576,BC$93,$C129*2+6)</f>
        <v>0.7</v>
      </c>
      <c r="BD129" s="1">
        <f>INDEX(Input!$1:$1048576,BD$93,$C129*2+6)</f>
        <v>4.4999999999999998E-2</v>
      </c>
      <c r="BE129" s="1">
        <f>INDEX(Input!$1:$1048576,BE$93,$C129*2+6)</f>
        <v>4.4999999999999998E-2</v>
      </c>
      <c r="BF129" s="1">
        <f>INDEX(Input!$1:$1048576,BF$93,$C129*2+6)</f>
        <v>0.05</v>
      </c>
      <c r="BG129" s="1">
        <f>INDEX(Input!$1:$1048576,BG$93,$C129*2+6)</f>
        <v>5.45E-2</v>
      </c>
      <c r="BH129" s="1">
        <f>INDEX(Input!$1:$1048576,BH$93,$C129*2+6)</f>
        <v>5.45E-2</v>
      </c>
      <c r="BI129" s="1">
        <f>INDEX(Input!$1:$1048576,BI$93,$C129*2+6)</f>
        <v>0.05</v>
      </c>
      <c r="BJ129" s="1">
        <f>INDEX(Input!$1:$1048576,BJ$93,$C129*2+6)</f>
        <v>0.05</v>
      </c>
      <c r="BK129" s="1">
        <f>INDEX(Input!$1:$1048576,BK$93,$C129*2+6)</f>
        <v>0.05</v>
      </c>
      <c r="BL129" s="1">
        <f>INDEX(Input!$1:$1048576,BL$93,$C129*2+6)</f>
        <v>5.5E-2</v>
      </c>
      <c r="BM129" s="1">
        <f>INDEX(Input!$1:$1048576,BM$93,$C129*2+6)</f>
        <v>0.06</v>
      </c>
      <c r="BN129" s="1">
        <f>INDEX(Input!$1:$1048576,BN$93,$C129*2+6)</f>
        <v>4.4999999999999998E-2</v>
      </c>
      <c r="BO129" s="1">
        <f>INDEX(Input!$1:$1048576,BO$93,$C129*2+6)</f>
        <v>4.4999999999999998E-2</v>
      </c>
      <c r="BP129" s="1">
        <f>INDEX(Input!$1:$1048576,BP$93,$C129*2+6)</f>
        <v>0.05</v>
      </c>
      <c r="BQ129" s="1">
        <f>INDEX(Input!$1:$1048576,BQ$93,$C129*2+6)</f>
        <v>5.45E-2</v>
      </c>
      <c r="BR129" s="1">
        <f>INDEX(Input!$1:$1048576,BR$93,$C129*2+6)</f>
        <v>5.45E-2</v>
      </c>
      <c r="BS129" s="1">
        <f>INDEX(Input!$1:$1048576,BS$93,$C129*2+6)</f>
        <v>0.05</v>
      </c>
      <c r="BT129" s="1">
        <f>INDEX(Input!$1:$1048576,BT$93,$C129*2+6)</f>
        <v>0.05</v>
      </c>
      <c r="BU129" s="1">
        <f>INDEX(Input!$1:$1048576,BU$93,$C129*2+6)</f>
        <v>0.05</v>
      </c>
      <c r="BV129" s="1">
        <f>INDEX(Input!$1:$1048576,BV$93,$C129*2+6)</f>
        <v>5.5E-2</v>
      </c>
      <c r="BW129" s="1">
        <f>INDEX(Input!$1:$1048576,BW$93,$C129*2+6)</f>
        <v>0.06</v>
      </c>
      <c r="BX129" s="127">
        <f>INDEX(Input!$1:$1048576,BX$93,$C129*2+6)</f>
        <v>19985</v>
      </c>
      <c r="BY129" s="20">
        <f>INDEX(Input!$1:$1048576,BY$93,$C129*2+6)</f>
        <v>0.1</v>
      </c>
      <c r="BZ129" s="20">
        <f>INDEX(Input!$1:$1048576,BZ$93,$C129*2+6)</f>
        <v>0.1</v>
      </c>
      <c r="CA129" s="20">
        <f>INDEX(Input!$1:$1048576,CA$93,$C129*2+6)</f>
        <v>0.1</v>
      </c>
      <c r="CB129" s="20">
        <f>INDEX(Input!$1:$1048576,CB$93,$C129*2+6)</f>
        <v>0.1</v>
      </c>
      <c r="CC129" s="20">
        <f>INDEX(Input!$1:$1048576,CC$93,$C129*2+6)</f>
        <v>0.1</v>
      </c>
      <c r="CD129" s="384">
        <f>INDEX(Input!$1:$1048576,CD$93,$C129*2+6)</f>
        <v>0.1</v>
      </c>
      <c r="CE129" s="384">
        <f>INDEX(Input!$1:$1048576,CE$93,$C129*2+6)</f>
        <v>0.1</v>
      </c>
      <c r="CF129" s="384">
        <f>INDEX(Input!$1:$1048576,CF$93,$C129*2+6)</f>
        <v>0.1</v>
      </c>
      <c r="CG129" s="384">
        <f>INDEX(Input!$1:$1048576,CG$93,$C129*2+6)</f>
        <v>0.1</v>
      </c>
      <c r="CH129" s="384">
        <f>INDEX(Input!$1:$1048576,CH$93,$C129*2+6)</f>
        <v>0.1</v>
      </c>
      <c r="CI129" s="304">
        <f t="shared" si="74"/>
        <v>1229</v>
      </c>
      <c r="CJ129" s="16" t="str">
        <f>INDEX(Input!$1:$1048576,CJ$93,$C129*2+6)</f>
        <v>N</v>
      </c>
      <c r="CK129" s="1" t="str">
        <f t="shared" si="75"/>
        <v>Market</v>
      </c>
      <c r="CL129" s="1" t="str">
        <f t="shared" si="76"/>
        <v>Market</v>
      </c>
      <c r="CM129" s="1" t="str">
        <f t="shared" si="77"/>
        <v>Market</v>
      </c>
      <c r="CN129" s="1" t="str">
        <f t="shared" si="78"/>
        <v>Market</v>
      </c>
      <c r="CO129" s="1" t="str">
        <f t="shared" si="79"/>
        <v>Market</v>
      </c>
      <c r="CP129" s="304">
        <f t="shared" si="80"/>
        <v>0</v>
      </c>
      <c r="CQ129" s="1">
        <f t="shared" si="81"/>
        <v>0</v>
      </c>
      <c r="CR129" s="1">
        <f t="shared" si="82"/>
        <v>0</v>
      </c>
      <c r="CS129" s="1">
        <f t="shared" si="83"/>
        <v>0</v>
      </c>
      <c r="CT129" s="1">
        <f t="shared" si="84"/>
        <v>1.9E-2</v>
      </c>
      <c r="CU129" s="1">
        <f t="shared" si="85"/>
        <v>3.9E-2</v>
      </c>
      <c r="CV129" s="304">
        <f t="shared" si="86"/>
        <v>1222</v>
      </c>
      <c r="CW129" s="20" t="s">
        <v>122</v>
      </c>
      <c r="CX129" s="20" t="s">
        <v>122</v>
      </c>
      <c r="CY129" s="20" t="s">
        <v>122</v>
      </c>
      <c r="CZ129" s="20" t="s">
        <v>122</v>
      </c>
      <c r="DA129" s="20" t="s">
        <v>122</v>
      </c>
      <c r="DB129" s="503">
        <f t="shared" si="87"/>
        <v>0</v>
      </c>
      <c r="DC129" s="127">
        <v>0</v>
      </c>
      <c r="DD129" s="127">
        <v>0</v>
      </c>
      <c r="DE129" s="127">
        <v>0</v>
      </c>
      <c r="DF129" s="127">
        <v>0</v>
      </c>
      <c r="DG129" s="127">
        <v>0</v>
      </c>
      <c r="DH129" s="127">
        <v>0</v>
      </c>
      <c r="DI129" s="127">
        <v>0</v>
      </c>
      <c r="DJ129" s="127">
        <v>0</v>
      </c>
      <c r="DK129" s="127">
        <v>0</v>
      </c>
      <c r="DL129" s="127">
        <v>0</v>
      </c>
      <c r="DM129" s="304">
        <f>INDEX(Input!$1:$1048576,DM$93,$C129*2+6)</f>
        <v>21036.84210526316</v>
      </c>
      <c r="DN129" s="20">
        <v>0</v>
      </c>
      <c r="DO129" s="20">
        <v>0</v>
      </c>
      <c r="DP129" s="20">
        <v>0</v>
      </c>
      <c r="DQ129" s="20">
        <v>0</v>
      </c>
      <c r="DR129" s="20">
        <v>0</v>
      </c>
      <c r="DS129" s="20">
        <f>INDEX(Input!$1:$1048576,DS$93,$C129*2+6)</f>
        <v>0.6</v>
      </c>
      <c r="DT129" s="20">
        <f>INDEX(Input!$1:$1048576,DT$93,$C129*2+6)</f>
        <v>0.55000000000000004</v>
      </c>
      <c r="DU129" s="20">
        <f>INDEX(Input!$1:$1048576,DU$93,$C129*2+6)</f>
        <v>0.52</v>
      </c>
      <c r="DV129" s="20">
        <f>INDEX(Input!$1:$1048576,DV$93,$C129*2+6)</f>
        <v>0.5</v>
      </c>
      <c r="DW129" s="20">
        <f>INDEX(Input!$1:$1048576,DW$93,$C129*2+6)</f>
        <v>0.45</v>
      </c>
      <c r="DX129" s="20"/>
      <c r="DY129" s="7">
        <v>0.1127202954435821</v>
      </c>
      <c r="DZ129" s="7">
        <v>0</v>
      </c>
      <c r="EA129" s="7">
        <v>0.53867032934105807</v>
      </c>
      <c r="EB129" s="7">
        <v>0</v>
      </c>
      <c r="EC129" s="7">
        <v>0</v>
      </c>
      <c r="ED129" s="7">
        <v>0</v>
      </c>
      <c r="EE129" s="7">
        <v>0</v>
      </c>
      <c r="EF129" s="7">
        <v>0</v>
      </c>
      <c r="EG129" s="7">
        <v>0</v>
      </c>
      <c r="EH129" s="7">
        <v>1.8402200445098646E-2</v>
      </c>
      <c r="EI129" s="7">
        <v>5.3739557110571892E-2</v>
      </c>
      <c r="EJ129" s="7">
        <v>0.33946684904131985</v>
      </c>
      <c r="EK129" s="7">
        <v>0.48247712639938084</v>
      </c>
      <c r="EL129" s="7">
        <v>0.10591426700362869</v>
      </c>
      <c r="EM129" s="7">
        <v>5.6687268722123339E-2</v>
      </c>
      <c r="EN129" s="7">
        <v>4.8059681548273336E-2</v>
      </c>
      <c r="EO129" s="7">
        <v>0.74405102123583999</v>
      </c>
      <c r="EP129" s="7">
        <v>9.1185929342103816E-2</v>
      </c>
      <c r="EQ129" s="7">
        <v>6.974840885701411E-2</v>
      </c>
      <c r="ER129" s="7">
        <v>4.6954959016768889E-2</v>
      </c>
      <c r="ES129" s="7">
        <v>0.29192210649323663</v>
      </c>
      <c r="ET129" s="7">
        <v>0.34860937521535984</v>
      </c>
      <c r="EU129" s="6">
        <v>1270</v>
      </c>
      <c r="EV129" s="6">
        <v>0</v>
      </c>
      <c r="EW129" s="6">
        <v>1270</v>
      </c>
      <c r="EX129" s="6">
        <v>0</v>
      </c>
      <c r="EY129" s="6">
        <v>2039.7221397149681</v>
      </c>
      <c r="EZ129" s="6">
        <v>1365</v>
      </c>
      <c r="FA129" s="6">
        <v>0</v>
      </c>
      <c r="FB129" s="6">
        <v>0</v>
      </c>
      <c r="FC129" s="6">
        <v>0</v>
      </c>
      <c r="FD129" s="6">
        <v>0</v>
      </c>
      <c r="FE129" s="6">
        <v>0</v>
      </c>
      <c r="FF129" s="6">
        <v>0</v>
      </c>
      <c r="FG129" s="6">
        <v>0</v>
      </c>
      <c r="FH129" s="6">
        <v>1171.281137969562</v>
      </c>
      <c r="FI129" s="6">
        <v>1553.9796069512397</v>
      </c>
      <c r="FJ129" s="6">
        <v>2101.211011744741</v>
      </c>
      <c r="FK129" s="6">
        <v>1772.7139978623231</v>
      </c>
      <c r="FL129" s="6">
        <v>907.07682140966347</v>
      </c>
      <c r="FM129" s="6">
        <v>1769.7221397149681</v>
      </c>
      <c r="FN129" s="6">
        <v>0</v>
      </c>
      <c r="FO129" s="6">
        <v>0</v>
      </c>
      <c r="FP129" s="6">
        <v>0</v>
      </c>
      <c r="FQ129" s="6">
        <v>0</v>
      </c>
      <c r="FR129" s="6">
        <v>0</v>
      </c>
      <c r="FS129" s="6">
        <v>0</v>
      </c>
      <c r="FT129" s="7">
        <v>0.65139062478464016</v>
      </c>
      <c r="FU129" s="7">
        <v>5.6687268722123339E-2</v>
      </c>
      <c r="FV129" s="7">
        <v>0.29192210649323663</v>
      </c>
      <c r="FW129" s="6">
        <v>1270</v>
      </c>
      <c r="FX129" s="6">
        <v>2039.7221397149681</v>
      </c>
      <c r="FY129" s="6">
        <v>1365</v>
      </c>
      <c r="FZ129" s="6">
        <v>1952.7147957719815</v>
      </c>
      <c r="GA129" s="6">
        <v>1341.3660458922477</v>
      </c>
      <c r="GB129" s="6">
        <v>18643.633954107754</v>
      </c>
      <c r="GC129" s="7">
        <v>1.0519917368675835E-2</v>
      </c>
      <c r="GD129" s="7">
        <v>9.9045851840379624E-3</v>
      </c>
      <c r="GE129" s="7"/>
      <c r="GF129" s="7"/>
      <c r="GG129" s="7">
        <v>-5.8492111969442741E-2</v>
      </c>
      <c r="GH129" s="42">
        <v>1.9121080364346459</v>
      </c>
      <c r="GI129" s="6">
        <v>11793.181329961881</v>
      </c>
      <c r="GJ129" s="14">
        <v>0.50394797582841744</v>
      </c>
      <c r="GK129" s="14">
        <v>0.50887573065309755</v>
      </c>
      <c r="GL129" s="14">
        <v>0.49605202417158273</v>
      </c>
      <c r="GM129" s="14">
        <v>0.49112426934690256</v>
      </c>
      <c r="GO129" s="5">
        <v>343.14810671672558</v>
      </c>
      <c r="GP129" s="5">
        <v>318.91892952659737</v>
      </c>
      <c r="GQ129" s="5">
        <v>535.04305713031317</v>
      </c>
      <c r="GR129" s="5">
        <v>410.15490233172511</v>
      </c>
      <c r="GS129" s="5">
        <v>339.42744393800166</v>
      </c>
      <c r="GT129" s="5">
        <v>293.4407446948278</v>
      </c>
      <c r="GU129" s="5">
        <v>258.04012322764959</v>
      </c>
      <c r="GV129" s="39" t="s">
        <v>392</v>
      </c>
      <c r="GW129" s="5">
        <v>492.125</v>
      </c>
      <c r="GX129" s="5">
        <v>369.09375</v>
      </c>
      <c r="GY129" s="5">
        <v>295.27499999999998</v>
      </c>
      <c r="GZ129" s="5">
        <v>260.54902799031458</v>
      </c>
      <c r="HA129" s="5">
        <v>241.34874471337258</v>
      </c>
      <c r="HB129" s="39">
        <v>280.39841310148159</v>
      </c>
      <c r="HC129" s="5">
        <v>227.56562499999998</v>
      </c>
      <c r="HD129" s="5">
        <v>199.04497441520465</v>
      </c>
      <c r="HE129" s="5">
        <v>203.11911690283398</v>
      </c>
      <c r="HF129" s="5">
        <v>189.3431304824561</v>
      </c>
      <c r="HG129" s="5">
        <v>184.46888157894736</v>
      </c>
      <c r="HH129" s="39">
        <v>199.42606424982677</v>
      </c>
      <c r="HI129" s="16"/>
      <c r="HJ129" s="19" t="str">
        <f t="shared" ref="HJ129" si="302">HJ128</f>
        <v>On</v>
      </c>
      <c r="HK129" s="1" t="str">
        <f t="shared" si="108"/>
        <v>On</v>
      </c>
      <c r="HL129" s="16"/>
      <c r="HM129" s="639">
        <f t="shared" si="266"/>
        <v>5.7455619280273196E-3</v>
      </c>
      <c r="HN129" s="639">
        <f t="shared" si="267"/>
        <v>5.0031960498701745E-4</v>
      </c>
      <c r="HO129" s="639">
        <f t="shared" si="268"/>
        <v>3.9819433988714835E-3</v>
      </c>
      <c r="HP129" s="644">
        <f>(FT129*$GD129-HM129)/$JF129*INDEX(Input!$1:$1048576,$JG$93,$C129*2+6)</f>
        <v>30.794585900789379</v>
      </c>
      <c r="HQ129" s="644">
        <f>(FU129*$GD129-HN129)/$JF129*INDEX(Input!$1:$1048576,$JG$93,$C129*2+6)</f>
        <v>2.6662900165667791</v>
      </c>
      <c r="HR129" s="644">
        <f>(FV129*$GD129-HO129)/$JF129*INDEX(Input!$1:$1048576,$JG$93,$C129*2+6)</f>
        <v>-47.556241109881285</v>
      </c>
      <c r="HS129" s="644">
        <f t="shared" si="269"/>
        <v>-0.56118802809824231</v>
      </c>
      <c r="HT129" s="644">
        <f t="shared" si="270"/>
        <v>0.46619376172520632</v>
      </c>
      <c r="HU129" s="644">
        <f t="shared" si="271"/>
        <v>-9.0658217229595017</v>
      </c>
      <c r="HV129" s="648">
        <f t="shared" si="272"/>
        <v>0</v>
      </c>
      <c r="HW129" s="648">
        <f t="shared" si="273"/>
        <v>0</v>
      </c>
      <c r="HX129" s="648">
        <f t="shared" si="274"/>
        <v>0</v>
      </c>
      <c r="HY129" s="644">
        <f>INDEX(Input!$1:$1048576,HY$93,$C129*2+6)*INDEX(Input!$1:$1048576,$JG$93,$C129*2+6)</f>
        <v>110.00000000000001</v>
      </c>
      <c r="HZ129" s="644">
        <f>INDEX(Input!$1:$1048576,HZ$93,$C129*2+6)*INDEX(Input!$1:$1048576,$JG$93,$C129*2+6)</f>
        <v>157</v>
      </c>
      <c r="IA129" s="644">
        <f>INDEX(Input!$1:$1048576,IA$93,$C129*2+6)*INDEX(Input!$1:$1048576,$JG$93,$C129*2+6)</f>
        <v>179</v>
      </c>
      <c r="IB129" s="644">
        <f t="shared" si="249"/>
        <v>140.23339787269114</v>
      </c>
      <c r="IC129" s="644">
        <f t="shared" si="172"/>
        <v>160.132483778292</v>
      </c>
      <c r="ID129" s="644">
        <f>IF(AND(INDEX(Input!$1:$1048576,IA$93,$C129*2+7)="TOS",Y129&lt;=INDEX(Y:Y,MATCH(C129*1000+2,A:A))),0,1)*MAX(IA129+HR129+HU129+HX129,0%)</f>
        <v>122.37793716715922</v>
      </c>
      <c r="IE129" s="128">
        <f t="shared" si="275"/>
        <v>0.33172193567427966</v>
      </c>
      <c r="IF129" s="128">
        <f t="shared" si="174"/>
        <v>0.37879319968763031</v>
      </c>
      <c r="IG129" s="128">
        <f t="shared" si="175"/>
        <v>0.28948486463809009</v>
      </c>
      <c r="IH129" s="21"/>
      <c r="II129" s="19">
        <f t="shared" si="276"/>
        <v>1240</v>
      </c>
      <c r="IJ129" s="19">
        <f t="shared" si="277"/>
        <v>2009.7221397149679</v>
      </c>
      <c r="IK129" s="19">
        <f t="shared" si="278"/>
        <v>2070</v>
      </c>
      <c r="IL129" s="19">
        <f t="shared" si="176"/>
        <v>30</v>
      </c>
      <c r="IM129" s="19">
        <f t="shared" si="177"/>
        <v>30.000000000000227</v>
      </c>
      <c r="IN129" s="19">
        <f t="shared" si="178"/>
        <v>-705</v>
      </c>
      <c r="IO129" s="39">
        <f t="shared" si="279"/>
        <v>0</v>
      </c>
      <c r="IP129" s="39">
        <f t="shared" si="280"/>
        <v>0</v>
      </c>
      <c r="IQ129" s="39">
        <f t="shared" si="281"/>
        <v>0</v>
      </c>
      <c r="IR129" s="39">
        <v>0</v>
      </c>
      <c r="IS129" s="39">
        <v>0</v>
      </c>
      <c r="IT129" s="39">
        <v>0</v>
      </c>
      <c r="IU129" s="39">
        <v>0</v>
      </c>
      <c r="IV129" s="39">
        <v>0</v>
      </c>
      <c r="IW129" s="39">
        <v>0</v>
      </c>
      <c r="IX129" s="39">
        <f>INDEX(Input!$1:$1048576,IX$93,$C129*2+6)+INDEX(Input!$1:$1048576,IX$94,$C129*2+6)</f>
        <v>1270</v>
      </c>
      <c r="IY129" s="39">
        <f>INDEX(Input!$1:$1048576,IY$93,$C129*2+6)+INDEX(Input!$1:$1048576,IY$94,$C129*2+6)</f>
        <v>2130.0624533823611</v>
      </c>
      <c r="IZ129" s="39">
        <f>INDEX(Input!$1:$1048576,IZ$93,$C129*2+6)+INDEX(Input!$1:$1048576,IZ$94,$C129*2+6)</f>
        <v>4373.7164157747848</v>
      </c>
      <c r="JA129" s="19">
        <f t="shared" si="179"/>
        <v>1300</v>
      </c>
      <c r="JB129" s="19">
        <f t="shared" si="180"/>
        <v>2160.0624533823611</v>
      </c>
      <c r="JC129" s="19">
        <f t="shared" si="181"/>
        <v>3668.7164157747848</v>
      </c>
      <c r="JD129" s="19">
        <f t="shared" si="182"/>
        <v>2311.4933596344836</v>
      </c>
      <c r="JE129" s="21"/>
      <c r="JF129" s="1">
        <f t="shared" si="282"/>
        <v>1.022782493188582E-2</v>
      </c>
      <c r="JG129" s="15">
        <f>INDEX(Input!$1:$1048576,JG$93,$C129*2+6)/(1+VLOOKUP(C129*1000+INDEX(Input!$1:$1048576,JG$93+1,$C129*2+6),$A:$KK,$JK$92,FALSE))</f>
        <v>446</v>
      </c>
      <c r="JH129" s="1">
        <f t="shared" si="251"/>
        <v>-3.1603957830773834E-2</v>
      </c>
      <c r="JI129" s="1">
        <f t="shared" si="252"/>
        <v>-2.0539946164422729E-2</v>
      </c>
      <c r="JJ129" s="1">
        <f t="shared" si="253"/>
        <v>0</v>
      </c>
      <c r="JK129" s="1">
        <f t="shared" si="254"/>
        <v>-5.2143903995196562E-2</v>
      </c>
      <c r="JL129" s="15">
        <f t="shared" si="184"/>
        <v>-23.256181181857666</v>
      </c>
      <c r="JM129" s="15">
        <f t="shared" si="185"/>
        <v>422.74381881814236</v>
      </c>
      <c r="JN129" s="21"/>
      <c r="JO129" s="19">
        <f>INDEX(Input!$1:$1048576,JO$93,$C129*2+6)</f>
        <v>5995.5</v>
      </c>
      <c r="JP129" s="19">
        <f>INDEX(Input!$1:$1048576,JP$93,$C129*2+6)</f>
        <v>2818.4193802796353</v>
      </c>
      <c r="JQ129" s="39">
        <f t="shared" si="186"/>
        <v>3684.0066403655164</v>
      </c>
      <c r="JR129" s="39">
        <f t="shared" si="187"/>
        <v>-506.92602064515177</v>
      </c>
      <c r="JS129" s="39">
        <f t="shared" si="188"/>
        <v>0.97716953002465934</v>
      </c>
      <c r="JT129" s="39">
        <f t="shared" si="189"/>
        <v>-0.27984551358005799</v>
      </c>
      <c r="JU129" s="385">
        <f>(JQ129*JM129-INDEX(Input!$1:$1048576,Input!A$18,$C129*2+6)*JL129*INDEX(Input!$1:$1048576,Input!A$19,$C129*2+6))/1000000</f>
        <v>1.5573910356995133</v>
      </c>
      <c r="JV129" s="39">
        <f t="shared" si="192"/>
        <v>0.14041307930423064</v>
      </c>
      <c r="JW129" s="1">
        <f t="shared" si="190"/>
        <v>9.9093340634200208E-2</v>
      </c>
      <c r="JX129" s="19">
        <f t="shared" si="191"/>
        <v>12033.167070368703</v>
      </c>
      <c r="JZ129" s="341"/>
      <c r="KA129" s="342"/>
      <c r="KB129" s="469">
        <f t="shared" si="110"/>
        <v>2.9286733661474216</v>
      </c>
      <c r="KI129" s="473">
        <f t="shared" si="283"/>
        <v>30.233397872691128</v>
      </c>
      <c r="KJ129" s="473">
        <f t="shared" si="284"/>
        <v>3.1324837782919985</v>
      </c>
      <c r="KK129" s="473">
        <f t="shared" si="257"/>
        <v>-56.622062832840783</v>
      </c>
      <c r="KN129" s="544">
        <f t="shared" si="258"/>
        <v>1002</v>
      </c>
      <c r="KO129" s="541">
        <f t="shared" si="285"/>
        <v>-5.6029188748991765E-2</v>
      </c>
      <c r="KP129" s="546">
        <f t="shared" si="286"/>
        <v>-208.42910253942478</v>
      </c>
      <c r="KQ129" s="546">
        <f t="shared" si="287"/>
        <v>-527.8228403841681</v>
      </c>
      <c r="KR129" s="548">
        <f t="shared" si="288"/>
        <v>4.6090432773320353</v>
      </c>
      <c r="KS129" s="548">
        <f t="shared" si="289"/>
        <v>1.8200401353614859</v>
      </c>
      <c r="KT129" s="473">
        <f t="shared" si="112"/>
        <v>238.28695973331548</v>
      </c>
      <c r="KU129" s="663">
        <f t="shared" si="290"/>
        <v>6.6928010794325434</v>
      </c>
      <c r="KV129" s="117"/>
    </row>
    <row r="130" spans="1:308" s="26" customFormat="1" ht="15">
      <c r="A130" s="561">
        <f t="shared" si="168"/>
        <v>1030</v>
      </c>
      <c r="B130" s="561">
        <f t="shared" si="104"/>
        <v>30</v>
      </c>
      <c r="C130" s="561">
        <f t="shared" si="105"/>
        <v>1</v>
      </c>
      <c r="D130" s="561" t="str">
        <f t="shared" si="294"/>
        <v xml:space="preserve">1080 Lease, </v>
      </c>
      <c r="E130" s="475">
        <f>INDEX(Input!$1:$1048576,E$93,$C130*2+MIN($B130,2)+5)
+INDEX(Scenarios!E$121:E$200,MATCH($B130,Scenarios!$B$121:$B$200,0))</f>
        <v>1229</v>
      </c>
      <c r="F130" s="475">
        <f>INDEX(Input!$1:$1048576,F$93,$C130*2+MIN($B130,2)+5)
+INDEX(Scenarios!F$121:F$200,MATCH($B130,Scenarios!$B$121:$B$200,0))</f>
        <v>0</v>
      </c>
      <c r="G130" s="475">
        <f>INDEX(Input!$1:$1048576,G$93,$C130*2+MIN($B130,2)+5)
+INDEX(Scenarios!G$121:G$200,MATCH($B130,Scenarios!$B$121:$B$200,0))</f>
        <v>0</v>
      </c>
      <c r="H130" s="475">
        <f>INDEX(Input!$1:$1048576,H$93,$C130*2+MIN($B130,2)+5)
+INDEX(Scenarios!H$121:H$200,MATCH($B130,Scenarios!$B$121:$B$200,0))</f>
        <v>0</v>
      </c>
      <c r="I130" s="476">
        <f>INDEX(Input!$1:$1048576,I$93,$C130*2+MIN($B130,2)+5)</f>
        <v>0.7</v>
      </c>
      <c r="J130" s="476" t="str">
        <f>INDEX(Input!$1:$1048576,J$93,$C130*2+MIN($B130,2)+5)</f>
        <v>Market</v>
      </c>
      <c r="K130" s="476" t="str">
        <f>INDEX(Input!$1:$1048576,K$93,$C130*2+MIN($B130,2)+5)</f>
        <v>Market</v>
      </c>
      <c r="L130" s="476" t="str">
        <f>INDEX(Input!$1:$1048576,L$93,$C130*2+MIN($B130,2)+5)</f>
        <v>Market</v>
      </c>
      <c r="M130" s="476" t="str">
        <f>INDEX(Input!$1:$1048576,M$93,$C130*2+MIN($B130,2)+5)</f>
        <v>Market</v>
      </c>
      <c r="N130" s="476" t="str">
        <f>INDEX(Input!$1:$1048576,N$93,$C130*2+MIN($B130,2)+5)</f>
        <v>Market</v>
      </c>
      <c r="O130" s="476" t="str">
        <f>INDEX(Input!$1:$1048576,O$93,$C130*2+MIN($B130,2)+5)</f>
        <v>Market</v>
      </c>
      <c r="P130" s="476" t="str">
        <f>INDEX(Input!$1:$1048576,P$93,$C130*2+MIN($B130,2)+5)</f>
        <v>N</v>
      </c>
      <c r="Q130" s="477">
        <f>INDEX(Input!$1:$1048576,Q$93,$C130*2+MIN($B130,2)+5)
+INDEX(Scenarios!Q$121:Q$200,MATCH($B130,Scenarios!$B$121:$B$200,0))</f>
        <v>0</v>
      </c>
      <c r="R130" s="478">
        <f>IFERROR(MAX(0,INDEX(Input!$1:$1048576,R$93,$C130*2+MIN($B130,2)+5)
+INDEX(Scenarios!R$121:R$200,MATCH($B130,Scenarios!$B$121:$B$200,0)),),"Market")</f>
        <v>0</v>
      </c>
      <c r="S130" s="478">
        <f>IFERROR(MAX(0,INDEX(Input!$1:$1048576,S$93,$C130*2+MIN($B130,2)+5)
+INDEX(Scenarios!S$121:S$200,MATCH($B130,Scenarios!$B$121:$B$200,0)),),"Market")</f>
        <v>0</v>
      </c>
      <c r="T130" s="478">
        <f>IFERROR(MAX(0,INDEX(Input!$1:$1048576,T$93,$C130*2+MIN($B130,2)+5)
+INDEX(Scenarios!T$121:T$200,MATCH($B130,Scenarios!$B$121:$B$200,0)),),"Market")</f>
        <v>0</v>
      </c>
      <c r="U130" s="478">
        <f>IFERROR(MAX(0,INDEX(Input!$1:$1048576,U$93,$C130*2+MIN($B130,2)+5)
+INDEX(Scenarios!U$121:U$200,MATCH($B130,Scenarios!$B$121:$B$200,0)),),"Market")</f>
        <v>0</v>
      </c>
      <c r="V130" s="478">
        <f>IFERROR(MAX(0,INDEX(Input!$1:$1048576,V$93,$C130*2+MIN($B130,2)+5)
+INDEX(Scenarios!V$121:V$200,MATCH($B130,Scenarios!$B$121:$B$200,0)),),"Market")</f>
        <v>1.9E-2</v>
      </c>
      <c r="W130" s="885">
        <f>IFERROR(MAX(0,INDEX(Input!$1:$1048576,W$93,$C130*2+MIN($B130,2)+5)-0%,),"Market")</f>
        <v>3.9E-2</v>
      </c>
      <c r="X130" s="476" t="str">
        <f>INDEX(Input!$1:$1048576,X$93,$C130*2+MIN($B130,2)+5)</f>
        <v>Y</v>
      </c>
      <c r="Y130" s="475">
        <f>INDEX(Input!$1:$1048576,Y$93,$C130*2+MIN($B130,2)+5)
++INDEX(Scenarios!Y$121:Y$200,MATCH($B130,Scenarios!$B$121:$B$200,0))</f>
        <v>3022</v>
      </c>
      <c r="Z130" s="477">
        <f>INDEX(Input!$1:$1048576,Z$93,$C130*2+MIN($B130,2)+5)
+INDEX(Scenarios!Z$121:Z$200,MATCH($B130,Scenarios!$B$121:$B$200,0))</f>
        <v>0</v>
      </c>
      <c r="AA130" s="475">
        <f>INDEX(Input!$1:$1048576,AA$93,$C130*2+MIN($B130,2)+5)
+INDEX(Scenarios!AA$121:AA$200,MATCH($B130,Scenarios!$B$121:$B$200,0))</f>
        <v>0</v>
      </c>
      <c r="AB130" s="476">
        <f>INDEX(Input!$1:$1048576,AB$93,$C130*2+MIN($B130,2)+5)</f>
        <v>0.27</v>
      </c>
      <c r="AC130" s="475">
        <f>INDEX(Input!$1:$1048576,AC$93,$C130*2+MIN($B130,2)+5)
+INDEX(Scenarios!AC$121:AC$200,MATCH($B130,Scenarios!$B$121:$B$200,0))</f>
        <v>0</v>
      </c>
      <c r="AD130" s="476">
        <f>INDEX(Input!$1:$1048576,AD$93,$C130*2+MIN($B130,2)+5)</f>
        <v>0.27</v>
      </c>
      <c r="AE130" s="475">
        <f>INDEX(Input!$1:$1048576,AE$93,$C130*2+MIN($B130,2)+5)
+INDEX(Scenarios!AE$121:AE$200,MATCH($B130,Scenarios!$B$121:$B$200,0))</f>
        <v>0</v>
      </c>
      <c r="AF130" s="476">
        <f>INDEX(Input!$1:$1048576,AF$93,$C130*2+MIN($B130,2)+5)</f>
        <v>0.38</v>
      </c>
      <c r="AG130" s="475">
        <f>INDEX(Input!$1:$1048576,AG$93,$C130*2+MIN($B130,2)+5)
+INDEX(Scenarios!AG$121:AG$200,MATCH($B130,Scenarios!$B$121:$B$200,0))</f>
        <v>0</v>
      </c>
      <c r="AH130" s="476">
        <f>INDEX(Input!$1:$1048576,AH$93,$C130*2+MIN($B130,2)+5)</f>
        <v>0</v>
      </c>
      <c r="AI130" s="475">
        <f>INDEX(Input!$1:$1048576,AI$93,$C130*2+MIN($B130,2)+5)
+INDEX(Scenarios!AI$121:AI$200,MATCH($B130,Scenarios!$B$121:$B$200,0))</f>
        <v>0</v>
      </c>
      <c r="AJ130" s="476">
        <f>INDEX(Input!$1:$1048576,AJ$93,$C130*2+MIN($B130,2)+5)</f>
        <v>0.27</v>
      </c>
      <c r="AK130" s="150">
        <f>ROUND(INDEX(Input!$1:$1048576,AK$93,$C129*2+MIN($B130,1)+5)+(Y130-VLOOKUP($C130*1000+1,$A:$HH,Y$92,FALSE)),0)</f>
        <v>4837</v>
      </c>
      <c r="AL130" s="150">
        <f>ROUND(INDEX(Input!$1:$1048576,AL$93,$C129*2+MIN($B130,1)+5)-(Y130-VLOOKUP($C130*1000+1,$A:$HH,Y$92,FALSE))/36,0)</f>
        <v>4083</v>
      </c>
      <c r="AM130" s="32" t="str">
        <f t="shared" si="169"/>
        <v>std/std/std/std</v>
      </c>
      <c r="AN130" s="32" t="str">
        <f t="shared" si="170"/>
        <v>$0 + 0/0/0/1.9/3.9</v>
      </c>
      <c r="AO130" s="32" t="str">
        <f t="shared" si="171"/>
        <v>0/0/0/1.9/3.9</v>
      </c>
      <c r="AP130" s="32" t="str">
        <f t="shared" si="73"/>
        <v>0/0.9/1.9/3.9</v>
      </c>
      <c r="AQ130" s="536">
        <f t="shared" si="39"/>
        <v>0.1051194460997433</v>
      </c>
      <c r="AR130" s="32"/>
      <c r="AS130" s="302"/>
      <c r="AT130" s="3">
        <f t="shared" si="106"/>
        <v>30</v>
      </c>
      <c r="AU130" s="41" t="s">
        <v>121</v>
      </c>
      <c r="AV130" s="41" t="s">
        <v>116</v>
      </c>
      <c r="AW130" s="41" t="str">
        <f>INDEX(Input!$1:$1048576,AW$93,$C130*2+6)</f>
        <v>Kia</v>
      </c>
      <c r="AX130" s="41" t="str">
        <f>INDEX(Input!$1:$1048576,AX$93,$C130*2+6)</f>
        <v>Kia-LR - L1</v>
      </c>
      <c r="AY130" s="41" t="str">
        <f>IF(LEN(D130)=0,"",INDEX(Input!$1:$1048576,AY$93,$C130*2+6))</f>
        <v>Compact SUV (52)</v>
      </c>
      <c r="AZ130" s="41" t="str">
        <f>INDEX(Input!$1:$1048576,AZ$93,$C130*2+6)</f>
        <v>Kia Soul</v>
      </c>
      <c r="BA130" s="3">
        <f>INDEX(Input!$1:$1048576,BA$93,$C130*2+6)</f>
        <v>2020</v>
      </c>
      <c r="BB130" s="128">
        <f>INDEX(Input!$1:$1048576,BB$93,$C130*2+6)</f>
        <v>1</v>
      </c>
      <c r="BC130" s="128">
        <f>INDEX(Input!$1:$1048576,BC$93,$C130*2+6)</f>
        <v>0.7</v>
      </c>
      <c r="BD130" s="1">
        <f>INDEX(Input!$1:$1048576,BD$93,$C130*2+6)</f>
        <v>4.4999999999999998E-2</v>
      </c>
      <c r="BE130" s="1">
        <f>INDEX(Input!$1:$1048576,BE$93,$C130*2+6)</f>
        <v>4.4999999999999998E-2</v>
      </c>
      <c r="BF130" s="1">
        <f>INDEX(Input!$1:$1048576,BF$93,$C130*2+6)</f>
        <v>0.05</v>
      </c>
      <c r="BG130" s="1">
        <f>INDEX(Input!$1:$1048576,BG$93,$C130*2+6)</f>
        <v>5.45E-2</v>
      </c>
      <c r="BH130" s="1">
        <f>INDEX(Input!$1:$1048576,BH$93,$C130*2+6)</f>
        <v>5.45E-2</v>
      </c>
      <c r="BI130" s="1">
        <f>INDEX(Input!$1:$1048576,BI$93,$C130*2+6)</f>
        <v>0.05</v>
      </c>
      <c r="BJ130" s="1">
        <f>INDEX(Input!$1:$1048576,BJ$93,$C130*2+6)</f>
        <v>0.05</v>
      </c>
      <c r="BK130" s="1">
        <f>INDEX(Input!$1:$1048576,BK$93,$C130*2+6)</f>
        <v>0.05</v>
      </c>
      <c r="BL130" s="1">
        <f>INDEX(Input!$1:$1048576,BL$93,$C130*2+6)</f>
        <v>5.5E-2</v>
      </c>
      <c r="BM130" s="1">
        <f>INDEX(Input!$1:$1048576,BM$93,$C130*2+6)</f>
        <v>0.06</v>
      </c>
      <c r="BN130" s="1">
        <f>INDEX(Input!$1:$1048576,BN$93,$C130*2+6)</f>
        <v>4.4999999999999998E-2</v>
      </c>
      <c r="BO130" s="1">
        <f>INDEX(Input!$1:$1048576,BO$93,$C130*2+6)</f>
        <v>4.4999999999999998E-2</v>
      </c>
      <c r="BP130" s="1">
        <f>INDEX(Input!$1:$1048576,BP$93,$C130*2+6)</f>
        <v>0.05</v>
      </c>
      <c r="BQ130" s="1">
        <f>INDEX(Input!$1:$1048576,BQ$93,$C130*2+6)</f>
        <v>5.45E-2</v>
      </c>
      <c r="BR130" s="1">
        <f>INDEX(Input!$1:$1048576,BR$93,$C130*2+6)</f>
        <v>5.45E-2</v>
      </c>
      <c r="BS130" s="1">
        <f>INDEX(Input!$1:$1048576,BS$93,$C130*2+6)</f>
        <v>0.05</v>
      </c>
      <c r="BT130" s="1">
        <f>INDEX(Input!$1:$1048576,BT$93,$C130*2+6)</f>
        <v>0.05</v>
      </c>
      <c r="BU130" s="1">
        <f>INDEX(Input!$1:$1048576,BU$93,$C130*2+6)</f>
        <v>0.05</v>
      </c>
      <c r="BV130" s="1">
        <f>INDEX(Input!$1:$1048576,BV$93,$C130*2+6)</f>
        <v>5.5E-2</v>
      </c>
      <c r="BW130" s="1">
        <f>INDEX(Input!$1:$1048576,BW$93,$C130*2+6)</f>
        <v>0.06</v>
      </c>
      <c r="BX130" s="127">
        <f>INDEX(Input!$1:$1048576,BX$93,$C130*2+6)</f>
        <v>19985</v>
      </c>
      <c r="BY130" s="20">
        <f>INDEX(Input!$1:$1048576,BY$93,$C130*2+6)</f>
        <v>0.1</v>
      </c>
      <c r="BZ130" s="20">
        <f>INDEX(Input!$1:$1048576,BZ$93,$C130*2+6)</f>
        <v>0.1</v>
      </c>
      <c r="CA130" s="20">
        <f>INDEX(Input!$1:$1048576,CA$93,$C130*2+6)</f>
        <v>0.1</v>
      </c>
      <c r="CB130" s="20">
        <f>INDEX(Input!$1:$1048576,CB$93,$C130*2+6)</f>
        <v>0.1</v>
      </c>
      <c r="CC130" s="20">
        <f>INDEX(Input!$1:$1048576,CC$93,$C130*2+6)</f>
        <v>0.1</v>
      </c>
      <c r="CD130" s="384">
        <f>INDEX(Input!$1:$1048576,CD$93,$C130*2+6)</f>
        <v>0.1</v>
      </c>
      <c r="CE130" s="384">
        <f>INDEX(Input!$1:$1048576,CE$93,$C130*2+6)</f>
        <v>0.1</v>
      </c>
      <c r="CF130" s="384">
        <f>INDEX(Input!$1:$1048576,CF$93,$C130*2+6)</f>
        <v>0.1</v>
      </c>
      <c r="CG130" s="384">
        <f>INDEX(Input!$1:$1048576,CG$93,$C130*2+6)</f>
        <v>0.1</v>
      </c>
      <c r="CH130" s="384">
        <f>INDEX(Input!$1:$1048576,CH$93,$C130*2+6)</f>
        <v>0.1</v>
      </c>
      <c r="CI130" s="304">
        <f t="shared" si="74"/>
        <v>1229</v>
      </c>
      <c r="CJ130" s="16" t="str">
        <f>INDEX(Input!$1:$1048576,CJ$93,$C130*2+6)</f>
        <v>N</v>
      </c>
      <c r="CK130" s="1" t="str">
        <f t="shared" si="75"/>
        <v>Market</v>
      </c>
      <c r="CL130" s="1" t="str">
        <f t="shared" si="76"/>
        <v>Market</v>
      </c>
      <c r="CM130" s="1" t="str">
        <f t="shared" si="77"/>
        <v>Market</v>
      </c>
      <c r="CN130" s="1" t="str">
        <f t="shared" si="78"/>
        <v>Market</v>
      </c>
      <c r="CO130" s="1" t="str">
        <f t="shared" si="79"/>
        <v>Market</v>
      </c>
      <c r="CP130" s="304">
        <f t="shared" si="80"/>
        <v>0</v>
      </c>
      <c r="CQ130" s="1">
        <f t="shared" si="81"/>
        <v>0</v>
      </c>
      <c r="CR130" s="1">
        <f t="shared" si="82"/>
        <v>0</v>
      </c>
      <c r="CS130" s="1">
        <f t="shared" si="83"/>
        <v>0</v>
      </c>
      <c r="CT130" s="1">
        <f t="shared" si="84"/>
        <v>1.9E-2</v>
      </c>
      <c r="CU130" s="1">
        <f t="shared" si="85"/>
        <v>3.9E-2</v>
      </c>
      <c r="CV130" s="304">
        <f t="shared" si="86"/>
        <v>3022</v>
      </c>
      <c r="CW130" s="20" t="s">
        <v>122</v>
      </c>
      <c r="CX130" s="20" t="s">
        <v>122</v>
      </c>
      <c r="CY130" s="20" t="s">
        <v>122</v>
      </c>
      <c r="CZ130" s="20" t="s">
        <v>122</v>
      </c>
      <c r="DA130" s="20" t="s">
        <v>122</v>
      </c>
      <c r="DB130" s="503">
        <f t="shared" si="87"/>
        <v>0</v>
      </c>
      <c r="DC130" s="127">
        <v>0</v>
      </c>
      <c r="DD130" s="127">
        <v>0</v>
      </c>
      <c r="DE130" s="127">
        <v>0</v>
      </c>
      <c r="DF130" s="127">
        <v>0</v>
      </c>
      <c r="DG130" s="127">
        <v>0</v>
      </c>
      <c r="DH130" s="127">
        <v>0</v>
      </c>
      <c r="DI130" s="127">
        <v>0</v>
      </c>
      <c r="DJ130" s="127">
        <v>0</v>
      </c>
      <c r="DK130" s="127">
        <v>0</v>
      </c>
      <c r="DL130" s="127">
        <v>0</v>
      </c>
      <c r="DM130" s="304">
        <f>INDEX(Input!$1:$1048576,DM$93,$C130*2+6)</f>
        <v>21036.84210526316</v>
      </c>
      <c r="DN130" s="20">
        <v>0</v>
      </c>
      <c r="DO130" s="20">
        <v>0</v>
      </c>
      <c r="DP130" s="20">
        <v>0</v>
      </c>
      <c r="DQ130" s="20">
        <v>0</v>
      </c>
      <c r="DR130" s="20">
        <v>0</v>
      </c>
      <c r="DS130" s="20">
        <f>INDEX(Input!$1:$1048576,DS$93,$C130*2+6)</f>
        <v>0.6</v>
      </c>
      <c r="DT130" s="20">
        <f>INDEX(Input!$1:$1048576,DT$93,$C130*2+6)</f>
        <v>0.55000000000000004</v>
      </c>
      <c r="DU130" s="20">
        <f>INDEX(Input!$1:$1048576,DU$93,$C130*2+6)</f>
        <v>0.52</v>
      </c>
      <c r="DV130" s="20">
        <f>INDEX(Input!$1:$1048576,DV$93,$C130*2+6)</f>
        <v>0.5</v>
      </c>
      <c r="DW130" s="20">
        <f>INDEX(Input!$1:$1048576,DW$93,$C130*2+6)</f>
        <v>0.45</v>
      </c>
      <c r="DX130" s="20"/>
      <c r="DY130" s="7">
        <v>6.8886884451621638E-2</v>
      </c>
      <c r="DZ130" s="7">
        <v>0</v>
      </c>
      <c r="EA130" s="7">
        <v>0.32919822103737384</v>
      </c>
      <c r="EB130" s="7">
        <v>0</v>
      </c>
      <c r="EC130" s="7">
        <v>0</v>
      </c>
      <c r="ED130" s="7">
        <v>0</v>
      </c>
      <c r="EE130" s="7">
        <v>0</v>
      </c>
      <c r="EF130" s="7">
        <v>0</v>
      </c>
      <c r="EG130" s="7">
        <v>0</v>
      </c>
      <c r="EH130" s="7">
        <v>1.8402200445098649E-2</v>
      </c>
      <c r="EI130" s="7">
        <v>5.3739557110571864E-2</v>
      </c>
      <c r="EJ130" s="7">
        <v>0.33946684904131996</v>
      </c>
      <c r="EK130" s="7">
        <v>0.48247712639938078</v>
      </c>
      <c r="EL130" s="7">
        <v>0.10591426700362871</v>
      </c>
      <c r="EM130" s="7">
        <v>3.4643356060874056E-2</v>
      </c>
      <c r="EN130" s="7">
        <v>5.6167392347984166E-2</v>
      </c>
      <c r="EO130" s="7">
        <v>0.80365633025446237</v>
      </c>
      <c r="EP130" s="7">
        <v>6.0998745128870782E-2</v>
      </c>
      <c r="EQ130" s="7">
        <v>4.601375418345692E-2</v>
      </c>
      <c r="ER130" s="7">
        <v>3.3163778085225817E-2</v>
      </c>
      <c r="ES130" s="7">
        <v>0.56727153845013056</v>
      </c>
      <c r="ET130" s="7">
        <v>0.60191489451100455</v>
      </c>
      <c r="EU130" s="6">
        <v>1270</v>
      </c>
      <c r="EV130" s="6">
        <v>0</v>
      </c>
      <c r="EW130" s="6">
        <v>1270</v>
      </c>
      <c r="EX130" s="6">
        <v>0</v>
      </c>
      <c r="EY130" s="6">
        <v>2039.7221397149681</v>
      </c>
      <c r="EZ130" s="6">
        <v>3165</v>
      </c>
      <c r="FA130" s="6">
        <v>0</v>
      </c>
      <c r="FB130" s="6">
        <v>0</v>
      </c>
      <c r="FC130" s="6">
        <v>0</v>
      </c>
      <c r="FD130" s="6">
        <v>0</v>
      </c>
      <c r="FE130" s="6">
        <v>0</v>
      </c>
      <c r="FF130" s="6">
        <v>0</v>
      </c>
      <c r="FG130" s="6">
        <v>0</v>
      </c>
      <c r="FH130" s="6">
        <v>1171.2811379695618</v>
      </c>
      <c r="FI130" s="6">
        <v>1553.9796069512404</v>
      </c>
      <c r="FJ130" s="6">
        <v>2101.2110117447405</v>
      </c>
      <c r="FK130" s="6">
        <v>1772.7139978623231</v>
      </c>
      <c r="FL130" s="6">
        <v>907.07682140966324</v>
      </c>
      <c r="FM130" s="6">
        <v>1769.7221397149681</v>
      </c>
      <c r="FN130" s="6">
        <v>0</v>
      </c>
      <c r="FO130" s="6">
        <v>0</v>
      </c>
      <c r="FP130" s="6">
        <v>0</v>
      </c>
      <c r="FQ130" s="6">
        <v>0</v>
      </c>
      <c r="FR130" s="6">
        <v>0</v>
      </c>
      <c r="FS130" s="6">
        <v>0</v>
      </c>
      <c r="FT130" s="7">
        <v>0.39808510548899545</v>
      </c>
      <c r="FU130" s="7">
        <v>3.4643356060874056E-2</v>
      </c>
      <c r="FV130" s="7">
        <v>0.56727153845013056</v>
      </c>
      <c r="FW130" s="6">
        <v>1270</v>
      </c>
      <c r="FX130" s="6">
        <v>2039.7221397149681</v>
      </c>
      <c r="FY130" s="6">
        <v>3165</v>
      </c>
      <c r="FZ130" s="6">
        <v>1952.7147957719815</v>
      </c>
      <c r="GA130" s="6">
        <v>2371.6453235170811</v>
      </c>
      <c r="GB130" s="6">
        <v>17613.354676482919</v>
      </c>
      <c r="GC130" s="7">
        <v>1.0519917368675835E-2</v>
      </c>
      <c r="GD130" s="7">
        <v>1.1165793878135086E-2</v>
      </c>
      <c r="GE130" s="7"/>
      <c r="GF130" s="7"/>
      <c r="GG130" s="7">
        <v>6.1395587705129359E-2</v>
      </c>
      <c r="GH130" s="42">
        <v>2.9288646661567208</v>
      </c>
      <c r="GI130" s="6">
        <v>9195.1084322528168</v>
      </c>
      <c r="GJ130" s="14">
        <v>0.50394797582841733</v>
      </c>
      <c r="GK130" s="14">
        <v>0.50887573065309755</v>
      </c>
      <c r="GL130" s="14">
        <v>0.49605202417158273</v>
      </c>
      <c r="GM130" s="14">
        <v>0.4911242693469024</v>
      </c>
      <c r="GO130" s="5">
        <v>343.14810671672558</v>
      </c>
      <c r="GP130" s="5">
        <v>318.91892952659737</v>
      </c>
      <c r="GQ130" s="5">
        <v>535.04305713031317</v>
      </c>
      <c r="GR130" s="5">
        <v>410.15490233172511</v>
      </c>
      <c r="GS130" s="5">
        <v>339.42744393800166</v>
      </c>
      <c r="GT130" s="5">
        <v>293.4407446948278</v>
      </c>
      <c r="GU130" s="5">
        <v>258.04012322764959</v>
      </c>
      <c r="GV130" s="39" t="s">
        <v>392</v>
      </c>
      <c r="GW130" s="5">
        <v>492.125</v>
      </c>
      <c r="GX130" s="5">
        <v>369.09375</v>
      </c>
      <c r="GY130" s="5">
        <v>295.27499999999998</v>
      </c>
      <c r="GZ130" s="5">
        <v>260.54902799031458</v>
      </c>
      <c r="HA130" s="5">
        <v>241.34874471337258</v>
      </c>
      <c r="HB130" s="39">
        <v>280.39841310148165</v>
      </c>
      <c r="HC130" s="5">
        <v>148.81562499999998</v>
      </c>
      <c r="HD130" s="5">
        <v>145.29497441520465</v>
      </c>
      <c r="HE130" s="5">
        <v>153.21527074898782</v>
      </c>
      <c r="HF130" s="5">
        <v>147.7181304824561</v>
      </c>
      <c r="HG130" s="5">
        <v>149.96888157894736</v>
      </c>
      <c r="HH130" s="39">
        <v>146.24235124292656</v>
      </c>
      <c r="HI130" s="16"/>
      <c r="HJ130" s="19" t="str">
        <f t="shared" ref="HJ130" si="303">HJ129</f>
        <v>On</v>
      </c>
      <c r="HK130" s="1" t="str">
        <f t="shared" si="108"/>
        <v>On</v>
      </c>
      <c r="HL130" s="16"/>
      <c r="HM130" s="639">
        <f t="shared" si="266"/>
        <v>5.7455619280273196E-3</v>
      </c>
      <c r="HN130" s="639">
        <f t="shared" si="267"/>
        <v>5.0031960498701745E-4</v>
      </c>
      <c r="HO130" s="639">
        <f t="shared" si="268"/>
        <v>3.9819433988714835E-3</v>
      </c>
      <c r="HP130" s="644">
        <f>(FT130*$GD130-HM130)/$JF130*INDEX(Input!$1:$1048576,$JG$93,$C130*2+6)</f>
        <v>-56.715779109254733</v>
      </c>
      <c r="HQ130" s="644">
        <f>(FU130*$GD130-HN130)/$JF130*INDEX(Input!$1:$1048576,$JG$93,$C130*2+6)</f>
        <v>-4.9492994447269885</v>
      </c>
      <c r="HR130" s="644">
        <f>(FV130*$GD130-HO130)/$JF130*INDEX(Input!$1:$1048576,$JG$93,$C130*2+6)</f>
        <v>102.56665369954294</v>
      </c>
      <c r="HS130" s="644">
        <f t="shared" si="269"/>
        <v>-0.56118802809824231</v>
      </c>
      <c r="HT130" s="644">
        <f t="shared" si="270"/>
        <v>0.46619376172520632</v>
      </c>
      <c r="HU130" s="644">
        <f t="shared" si="271"/>
        <v>14.746983364485736</v>
      </c>
      <c r="HV130" s="648">
        <f t="shared" si="272"/>
        <v>0</v>
      </c>
      <c r="HW130" s="648">
        <f t="shared" si="273"/>
        <v>0</v>
      </c>
      <c r="HX130" s="648">
        <f t="shared" si="274"/>
        <v>0</v>
      </c>
      <c r="HY130" s="644">
        <f>INDEX(Input!$1:$1048576,HY$93,$C130*2+6)*INDEX(Input!$1:$1048576,$JG$93,$C130*2+6)</f>
        <v>110.00000000000001</v>
      </c>
      <c r="HZ130" s="644">
        <f>INDEX(Input!$1:$1048576,HZ$93,$C130*2+6)*INDEX(Input!$1:$1048576,$JG$93,$C130*2+6)</f>
        <v>157</v>
      </c>
      <c r="IA130" s="644">
        <f>INDEX(Input!$1:$1048576,IA$93,$C130*2+6)*INDEX(Input!$1:$1048576,$JG$93,$C130*2+6)</f>
        <v>179</v>
      </c>
      <c r="IB130" s="644">
        <f t="shared" si="249"/>
        <v>52.723032862647017</v>
      </c>
      <c r="IC130" s="644">
        <f t="shared" si="172"/>
        <v>152.51689431699822</v>
      </c>
      <c r="ID130" s="644">
        <f>IF(AND(INDEX(Input!$1:$1048576,IA$93,$C130*2+7)="TOS",Y130&lt;=INDEX(Y:Y,MATCH(C130*1000+2,A:A))),0,1)*MAX(IA130+HR130+HU130+HX130,0%)</f>
        <v>296.31363706402868</v>
      </c>
      <c r="IE130" s="128">
        <f t="shared" si="275"/>
        <v>0.1051194460997433</v>
      </c>
      <c r="IF130" s="128">
        <f t="shared" si="174"/>
        <v>0.30408894520964797</v>
      </c>
      <c r="IG130" s="128">
        <f t="shared" si="175"/>
        <v>0.59079160869060876</v>
      </c>
      <c r="IH130" s="21"/>
      <c r="II130" s="19">
        <f t="shared" si="276"/>
        <v>1240</v>
      </c>
      <c r="IJ130" s="19">
        <f t="shared" si="277"/>
        <v>2009.7221397149679</v>
      </c>
      <c r="IK130" s="19">
        <f t="shared" si="278"/>
        <v>2070</v>
      </c>
      <c r="IL130" s="19">
        <f t="shared" si="176"/>
        <v>30</v>
      </c>
      <c r="IM130" s="19">
        <f t="shared" si="177"/>
        <v>30.000000000000227</v>
      </c>
      <c r="IN130" s="19">
        <f t="shared" si="178"/>
        <v>1095</v>
      </c>
      <c r="IO130" s="39">
        <f t="shared" si="279"/>
        <v>0</v>
      </c>
      <c r="IP130" s="39">
        <f t="shared" si="280"/>
        <v>0</v>
      </c>
      <c r="IQ130" s="39">
        <f t="shared" si="281"/>
        <v>0</v>
      </c>
      <c r="IR130" s="39">
        <v>0</v>
      </c>
      <c r="IS130" s="39">
        <v>0</v>
      </c>
      <c r="IT130" s="39">
        <v>0</v>
      </c>
      <c r="IU130" s="39">
        <v>0</v>
      </c>
      <c r="IV130" s="39">
        <v>0</v>
      </c>
      <c r="IW130" s="39">
        <v>0</v>
      </c>
      <c r="IX130" s="39">
        <f>INDEX(Input!$1:$1048576,IX$93,$C130*2+6)+INDEX(Input!$1:$1048576,IX$94,$C130*2+6)</f>
        <v>1270</v>
      </c>
      <c r="IY130" s="39">
        <f>INDEX(Input!$1:$1048576,IY$93,$C130*2+6)+INDEX(Input!$1:$1048576,IY$94,$C130*2+6)</f>
        <v>2130.0624533823611</v>
      </c>
      <c r="IZ130" s="39">
        <f>INDEX(Input!$1:$1048576,IZ$93,$C130*2+6)+INDEX(Input!$1:$1048576,IZ$94,$C130*2+6)</f>
        <v>4373.7164157747848</v>
      </c>
      <c r="JA130" s="19">
        <f t="shared" si="179"/>
        <v>1300</v>
      </c>
      <c r="JB130" s="19">
        <f t="shared" si="180"/>
        <v>2160.0624533823611</v>
      </c>
      <c r="JC130" s="19">
        <f t="shared" si="181"/>
        <v>5468.7164157747848</v>
      </c>
      <c r="JD130" s="19">
        <f t="shared" si="182"/>
        <v>4024.378161713998</v>
      </c>
      <c r="JE130" s="21"/>
      <c r="JF130" s="1">
        <f t="shared" si="282"/>
        <v>1.022782493188582E-2</v>
      </c>
      <c r="JG130" s="15">
        <f>INDEX(Input!$1:$1048576,JG$93,$C130*2+6)/(1+VLOOKUP(C130*1000+INDEX(Input!$1:$1048576,JG$93+1,$C130*2+6),$A:$KK,$JK$92,FALSE))</f>
        <v>446</v>
      </c>
      <c r="JH130" s="1">
        <f t="shared" si="251"/>
        <v>9.1707567590944436E-2</v>
      </c>
      <c r="JI130" s="1">
        <f t="shared" si="252"/>
        <v>3.2851993493526237E-2</v>
      </c>
      <c r="JJ130" s="1">
        <f t="shared" si="253"/>
        <v>0</v>
      </c>
      <c r="JK130" s="1">
        <f t="shared" si="254"/>
        <v>0.12455956108447067</v>
      </c>
      <c r="JL130" s="15">
        <f t="shared" si="184"/>
        <v>55.553564243673918</v>
      </c>
      <c r="JM130" s="15">
        <f t="shared" si="185"/>
        <v>501.55356424367392</v>
      </c>
      <c r="JN130" s="21"/>
      <c r="JO130" s="19">
        <f>INDEX(Input!$1:$1048576,JO$93,$C130*2+6)</f>
        <v>5995.5</v>
      </c>
      <c r="JP130" s="19">
        <f>INDEX(Input!$1:$1048576,JP$93,$C130*2+6)</f>
        <v>2818.4193802796353</v>
      </c>
      <c r="JQ130" s="39">
        <f t="shared" si="186"/>
        <v>1971.121838286002</v>
      </c>
      <c r="JR130" s="39">
        <f t="shared" si="187"/>
        <v>1205.9587814343627</v>
      </c>
      <c r="JS130" s="39">
        <f t="shared" si="188"/>
        <v>2.01844121087206</v>
      </c>
      <c r="JT130" s="39">
        <f t="shared" si="189"/>
        <v>0.7614261672673428</v>
      </c>
      <c r="JU130" s="385">
        <f>(JQ130*JM130-INDEX(Input!$1:$1048576,Input!A$18,$C130*2+6)*JL130*INDEX(Input!$1:$1048576,Input!A$19,$C130*2+6))/1000000</f>
        <v>0.98862318355088696</v>
      </c>
      <c r="JV130" s="39">
        <f t="shared" si="192"/>
        <v>-0.42835477284439571</v>
      </c>
      <c r="JW130" s="1">
        <f t="shared" si="190"/>
        <v>-0.30230164902078482</v>
      </c>
      <c r="JX130" s="19">
        <f t="shared" si="191"/>
        <v>13706.162289200896</v>
      </c>
      <c r="JZ130" s="341"/>
      <c r="KA130" s="342"/>
      <c r="KB130" s="469">
        <f t="shared" si="110"/>
        <v>2.9286733661474216</v>
      </c>
      <c r="KI130" s="473">
        <f t="shared" si="283"/>
        <v>-57.276967137352997</v>
      </c>
      <c r="KJ130" s="473">
        <f t="shared" si="284"/>
        <v>-4.4831056830017815</v>
      </c>
      <c r="KK130" s="473">
        <f t="shared" si="257"/>
        <v>117.31363706402868</v>
      </c>
      <c r="KN130" s="544">
        <f t="shared" si="258"/>
        <v>1002</v>
      </c>
      <c r="KO130" s="541">
        <f t="shared" si="285"/>
        <v>0.11994996461108998</v>
      </c>
      <c r="KP130" s="546">
        <f t="shared" si="286"/>
        <v>638.05493738585756</v>
      </c>
      <c r="KQ130" s="546">
        <f t="shared" si="287"/>
        <v>1185.0619616953463</v>
      </c>
      <c r="KR130" s="548">
        <f t="shared" si="288"/>
        <v>3.2232712961469923</v>
      </c>
      <c r="KS130" s="548">
        <f t="shared" si="289"/>
        <v>1.735457074411958</v>
      </c>
      <c r="KT130" s="473">
        <f t="shared" si="112"/>
        <v>238.28695973331548</v>
      </c>
      <c r="KU130" s="663">
        <f t="shared" si="290"/>
        <v>5.4865992472175984</v>
      </c>
      <c r="KV130" s="117"/>
    </row>
    <row r="131" spans="1:308" s="26" customFormat="1" ht="15">
      <c r="A131" s="561">
        <f t="shared" si="168"/>
        <v>1031</v>
      </c>
      <c r="B131" s="561">
        <f t="shared" si="104"/>
        <v>31</v>
      </c>
      <c r="C131" s="561">
        <f t="shared" si="105"/>
        <v>1</v>
      </c>
      <c r="D131" s="561" t="str">
        <f t="shared" si="294"/>
        <v xml:space="preserve">250 CC, 250 Combo, </v>
      </c>
      <c r="E131" s="475">
        <f>INDEX(Input!$1:$1048576,E$93,$C131*2+MIN($B131,2)+5)
+INDEX(Scenarios!E$121:E$200,MATCH($B131,Scenarios!$B$121:$B$200,0))</f>
        <v>1479</v>
      </c>
      <c r="F131" s="475">
        <f>INDEX(Input!$1:$1048576,F$93,$C131*2+MIN($B131,2)+5)
+INDEX(Scenarios!F$121:F$200,MATCH($B131,Scenarios!$B$121:$B$200,0))</f>
        <v>0</v>
      </c>
      <c r="G131" s="475">
        <f>INDEX(Input!$1:$1048576,G$93,$C131*2+MIN($B131,2)+5)
+INDEX(Scenarios!G$121:G$200,MATCH($B131,Scenarios!$B$121:$B$200,0))</f>
        <v>0</v>
      </c>
      <c r="H131" s="475">
        <f>INDEX(Input!$1:$1048576,H$93,$C131*2+MIN($B131,2)+5)
+INDEX(Scenarios!H$121:H$200,MATCH($B131,Scenarios!$B$121:$B$200,0))</f>
        <v>0</v>
      </c>
      <c r="I131" s="476">
        <f>INDEX(Input!$1:$1048576,I$93,$C131*2+MIN($B131,2)+5)</f>
        <v>0.7</v>
      </c>
      <c r="J131" s="476" t="str">
        <f>INDEX(Input!$1:$1048576,J$93,$C131*2+MIN($B131,2)+5)</f>
        <v>Market</v>
      </c>
      <c r="K131" s="476" t="str">
        <f>INDEX(Input!$1:$1048576,K$93,$C131*2+MIN($B131,2)+5)</f>
        <v>Market</v>
      </c>
      <c r="L131" s="476" t="str">
        <f>INDEX(Input!$1:$1048576,L$93,$C131*2+MIN($B131,2)+5)</f>
        <v>Market</v>
      </c>
      <c r="M131" s="476" t="str">
        <f>INDEX(Input!$1:$1048576,M$93,$C131*2+MIN($B131,2)+5)</f>
        <v>Market</v>
      </c>
      <c r="N131" s="476" t="str">
        <f>INDEX(Input!$1:$1048576,N$93,$C131*2+MIN($B131,2)+5)</f>
        <v>Market</v>
      </c>
      <c r="O131" s="476" t="str">
        <f>INDEX(Input!$1:$1048576,O$93,$C131*2+MIN($B131,2)+5)</f>
        <v>Market</v>
      </c>
      <c r="P131" s="476" t="str">
        <f>INDEX(Input!$1:$1048576,P$93,$C131*2+MIN($B131,2)+5)</f>
        <v>N</v>
      </c>
      <c r="Q131" s="477">
        <f>INDEX(Input!$1:$1048576,Q$93,$C131*2+MIN($B131,2)+5)
+INDEX(Scenarios!Q$121:Q$200,MATCH($B131,Scenarios!$B$121:$B$200,0))</f>
        <v>250</v>
      </c>
      <c r="R131" s="478">
        <f>IFERROR(MAX(0,INDEX(Input!$1:$1048576,R$93,$C131*2+MIN($B131,2)+5)
+INDEX(Scenarios!R$121:R$200,MATCH($B131,Scenarios!$B$121:$B$200,0)),),"Market")</f>
        <v>0</v>
      </c>
      <c r="S131" s="478">
        <f>IFERROR(MAX(0,INDEX(Input!$1:$1048576,S$93,$C131*2+MIN($B131,2)+5)
+INDEX(Scenarios!S$121:S$200,MATCH($B131,Scenarios!$B$121:$B$200,0)),),"Market")</f>
        <v>0</v>
      </c>
      <c r="T131" s="478">
        <f>IFERROR(MAX(0,INDEX(Input!$1:$1048576,T$93,$C131*2+MIN($B131,2)+5)
+INDEX(Scenarios!T$121:T$200,MATCH($B131,Scenarios!$B$121:$B$200,0)),),"Market")</f>
        <v>0</v>
      </c>
      <c r="U131" s="478">
        <f>IFERROR(MAX(0,INDEX(Input!$1:$1048576,U$93,$C131*2+MIN($B131,2)+5)
+INDEX(Scenarios!U$121:U$200,MATCH($B131,Scenarios!$B$121:$B$200,0)),),"Market")</f>
        <v>0</v>
      </c>
      <c r="V131" s="478">
        <f>IFERROR(MAX(0,INDEX(Input!$1:$1048576,V$93,$C131*2+MIN($B131,2)+5)
+INDEX(Scenarios!V$121:V$200,MATCH($B131,Scenarios!$B$121:$B$200,0)),),"Market")</f>
        <v>1.9E-2</v>
      </c>
      <c r="W131" s="885">
        <f>IFERROR(MAX(0,INDEX(Input!$1:$1048576,W$93,$C131*2+MIN($B131,2)+5)-0%,),"Market")</f>
        <v>3.9E-2</v>
      </c>
      <c r="X131" s="476" t="str">
        <f>INDEX(Input!$1:$1048576,X$93,$C131*2+MIN($B131,2)+5)</f>
        <v>Y</v>
      </c>
      <c r="Y131" s="475">
        <f>INDEX(Input!$1:$1048576,Y$93,$C131*2+MIN($B131,2)+5)
++INDEX(Scenarios!Y$121:Y$200,MATCH($B131,Scenarios!$B$121:$B$200,0))</f>
        <v>1942</v>
      </c>
      <c r="Z131" s="477">
        <f>INDEX(Input!$1:$1048576,Z$93,$C131*2+MIN($B131,2)+5)
+INDEX(Scenarios!Z$121:Z$200,MATCH($B131,Scenarios!$B$121:$B$200,0))</f>
        <v>0</v>
      </c>
      <c r="AA131" s="475">
        <f>INDEX(Input!$1:$1048576,AA$93,$C131*2+MIN($B131,2)+5)
+INDEX(Scenarios!AA$121:AA$200,MATCH($B131,Scenarios!$B$121:$B$200,0))</f>
        <v>0</v>
      </c>
      <c r="AB131" s="476">
        <f>INDEX(Input!$1:$1048576,AB$93,$C131*2+MIN($B131,2)+5)</f>
        <v>0.27</v>
      </c>
      <c r="AC131" s="475">
        <f>INDEX(Input!$1:$1048576,AC$93,$C131*2+MIN($B131,2)+5)
+INDEX(Scenarios!AC$121:AC$200,MATCH($B131,Scenarios!$B$121:$B$200,0))</f>
        <v>0</v>
      </c>
      <c r="AD131" s="476">
        <f>INDEX(Input!$1:$1048576,AD$93,$C131*2+MIN($B131,2)+5)</f>
        <v>0.27</v>
      </c>
      <c r="AE131" s="475">
        <f>INDEX(Input!$1:$1048576,AE$93,$C131*2+MIN($B131,2)+5)
+INDEX(Scenarios!AE$121:AE$200,MATCH($B131,Scenarios!$B$121:$B$200,0))</f>
        <v>0</v>
      </c>
      <c r="AF131" s="476">
        <f>INDEX(Input!$1:$1048576,AF$93,$C131*2+MIN($B131,2)+5)</f>
        <v>0.38</v>
      </c>
      <c r="AG131" s="475">
        <f>INDEX(Input!$1:$1048576,AG$93,$C131*2+MIN($B131,2)+5)
+INDEX(Scenarios!AG$121:AG$200,MATCH($B131,Scenarios!$B$121:$B$200,0))</f>
        <v>0</v>
      </c>
      <c r="AH131" s="476">
        <f>INDEX(Input!$1:$1048576,AH$93,$C131*2+MIN($B131,2)+5)</f>
        <v>0</v>
      </c>
      <c r="AI131" s="475">
        <f>INDEX(Input!$1:$1048576,AI$93,$C131*2+MIN($B131,2)+5)
+INDEX(Scenarios!AI$121:AI$200,MATCH($B131,Scenarios!$B$121:$B$200,0))</f>
        <v>0</v>
      </c>
      <c r="AJ131" s="476">
        <f>INDEX(Input!$1:$1048576,AJ$93,$C131*2+MIN($B131,2)+5)</f>
        <v>0.27</v>
      </c>
      <c r="AK131" s="150">
        <f>ROUND(INDEX(Input!$1:$1048576,AK$93,$C130*2+MIN($B131,1)+5)+(Y131-VLOOKUP($C131*1000+1,$A:$HH,Y$92,FALSE)),0)</f>
        <v>3757</v>
      </c>
      <c r="AL131" s="150">
        <f>ROUND(INDEX(Input!$1:$1048576,AL$93,$C130*2+MIN($B131,1)+5)-(Y131-VLOOKUP($C131*1000+1,$A:$HH,Y$92,FALSE))/36,0)</f>
        <v>4113</v>
      </c>
      <c r="AM131" s="32" t="str">
        <f t="shared" si="169"/>
        <v>std/std/std/std</v>
      </c>
      <c r="AN131" s="32" t="str">
        <f t="shared" si="170"/>
        <v>$250 + 0/0/0/1.9/3.9</v>
      </c>
      <c r="AO131" s="32" t="str">
        <f t="shared" si="171"/>
        <v>0/0/0/1.9/3.9</v>
      </c>
      <c r="AP131" s="32" t="str">
        <f t="shared" si="73"/>
        <v>0/0.9/1.9/3.9</v>
      </c>
      <c r="AQ131" s="536">
        <f t="shared" si="39"/>
        <v>0.27231116316742204</v>
      </c>
      <c r="AR131" s="32"/>
      <c r="AS131" s="302"/>
      <c r="AT131" s="3">
        <f t="shared" si="106"/>
        <v>31</v>
      </c>
      <c r="AU131" s="41" t="s">
        <v>121</v>
      </c>
      <c r="AV131" s="41" t="s">
        <v>116</v>
      </c>
      <c r="AW131" s="41" t="str">
        <f>INDEX(Input!$1:$1048576,AW$93,$C131*2+6)</f>
        <v>Kia</v>
      </c>
      <c r="AX131" s="41" t="str">
        <f>INDEX(Input!$1:$1048576,AX$93,$C131*2+6)</f>
        <v>Kia-LR - L1</v>
      </c>
      <c r="AY131" s="41" t="str">
        <f>IF(LEN(D131)=0,"",INDEX(Input!$1:$1048576,AY$93,$C131*2+6))</f>
        <v>Compact SUV (52)</v>
      </c>
      <c r="AZ131" s="41" t="str">
        <f>INDEX(Input!$1:$1048576,AZ$93,$C131*2+6)</f>
        <v>Kia Soul</v>
      </c>
      <c r="BA131" s="3">
        <f>INDEX(Input!$1:$1048576,BA$93,$C131*2+6)</f>
        <v>2020</v>
      </c>
      <c r="BB131" s="128">
        <f>INDEX(Input!$1:$1048576,BB$93,$C131*2+6)</f>
        <v>1</v>
      </c>
      <c r="BC131" s="128">
        <f>INDEX(Input!$1:$1048576,BC$93,$C131*2+6)</f>
        <v>0.7</v>
      </c>
      <c r="BD131" s="1">
        <f>INDEX(Input!$1:$1048576,BD$93,$C131*2+6)</f>
        <v>4.4999999999999998E-2</v>
      </c>
      <c r="BE131" s="1">
        <f>INDEX(Input!$1:$1048576,BE$93,$C131*2+6)</f>
        <v>4.4999999999999998E-2</v>
      </c>
      <c r="BF131" s="1">
        <f>INDEX(Input!$1:$1048576,BF$93,$C131*2+6)</f>
        <v>0.05</v>
      </c>
      <c r="BG131" s="1">
        <f>INDEX(Input!$1:$1048576,BG$93,$C131*2+6)</f>
        <v>5.45E-2</v>
      </c>
      <c r="BH131" s="1">
        <f>INDEX(Input!$1:$1048576,BH$93,$C131*2+6)</f>
        <v>5.45E-2</v>
      </c>
      <c r="BI131" s="1">
        <f>INDEX(Input!$1:$1048576,BI$93,$C131*2+6)</f>
        <v>0.05</v>
      </c>
      <c r="BJ131" s="1">
        <f>INDEX(Input!$1:$1048576,BJ$93,$C131*2+6)</f>
        <v>0.05</v>
      </c>
      <c r="BK131" s="1">
        <f>INDEX(Input!$1:$1048576,BK$93,$C131*2+6)</f>
        <v>0.05</v>
      </c>
      <c r="BL131" s="1">
        <f>INDEX(Input!$1:$1048576,BL$93,$C131*2+6)</f>
        <v>5.5E-2</v>
      </c>
      <c r="BM131" s="1">
        <f>INDEX(Input!$1:$1048576,BM$93,$C131*2+6)</f>
        <v>0.06</v>
      </c>
      <c r="BN131" s="1">
        <f>INDEX(Input!$1:$1048576,BN$93,$C131*2+6)</f>
        <v>4.4999999999999998E-2</v>
      </c>
      <c r="BO131" s="1">
        <f>INDEX(Input!$1:$1048576,BO$93,$C131*2+6)</f>
        <v>4.4999999999999998E-2</v>
      </c>
      <c r="BP131" s="1">
        <f>INDEX(Input!$1:$1048576,BP$93,$C131*2+6)</f>
        <v>0.05</v>
      </c>
      <c r="BQ131" s="1">
        <f>INDEX(Input!$1:$1048576,BQ$93,$C131*2+6)</f>
        <v>5.45E-2</v>
      </c>
      <c r="BR131" s="1">
        <f>INDEX(Input!$1:$1048576,BR$93,$C131*2+6)</f>
        <v>5.45E-2</v>
      </c>
      <c r="BS131" s="1">
        <f>INDEX(Input!$1:$1048576,BS$93,$C131*2+6)</f>
        <v>0.05</v>
      </c>
      <c r="BT131" s="1">
        <f>INDEX(Input!$1:$1048576,BT$93,$C131*2+6)</f>
        <v>0.05</v>
      </c>
      <c r="BU131" s="1">
        <f>INDEX(Input!$1:$1048576,BU$93,$C131*2+6)</f>
        <v>0.05</v>
      </c>
      <c r="BV131" s="1">
        <f>INDEX(Input!$1:$1048576,BV$93,$C131*2+6)</f>
        <v>5.5E-2</v>
      </c>
      <c r="BW131" s="1">
        <f>INDEX(Input!$1:$1048576,BW$93,$C131*2+6)</f>
        <v>0.06</v>
      </c>
      <c r="BX131" s="127">
        <f>INDEX(Input!$1:$1048576,BX$93,$C131*2+6)</f>
        <v>19985</v>
      </c>
      <c r="BY131" s="20">
        <f>INDEX(Input!$1:$1048576,BY$93,$C131*2+6)</f>
        <v>0.1</v>
      </c>
      <c r="BZ131" s="20">
        <f>INDEX(Input!$1:$1048576,BZ$93,$C131*2+6)</f>
        <v>0.1</v>
      </c>
      <c r="CA131" s="20">
        <f>INDEX(Input!$1:$1048576,CA$93,$C131*2+6)</f>
        <v>0.1</v>
      </c>
      <c r="CB131" s="20">
        <f>INDEX(Input!$1:$1048576,CB$93,$C131*2+6)</f>
        <v>0.1</v>
      </c>
      <c r="CC131" s="20">
        <f>INDEX(Input!$1:$1048576,CC$93,$C131*2+6)</f>
        <v>0.1</v>
      </c>
      <c r="CD131" s="384">
        <f>INDEX(Input!$1:$1048576,CD$93,$C131*2+6)</f>
        <v>0.1</v>
      </c>
      <c r="CE131" s="384">
        <f>INDEX(Input!$1:$1048576,CE$93,$C131*2+6)</f>
        <v>0.1</v>
      </c>
      <c r="CF131" s="384">
        <f>INDEX(Input!$1:$1048576,CF$93,$C131*2+6)</f>
        <v>0.1</v>
      </c>
      <c r="CG131" s="384">
        <f>INDEX(Input!$1:$1048576,CG$93,$C131*2+6)</f>
        <v>0.1</v>
      </c>
      <c r="CH131" s="384">
        <f>INDEX(Input!$1:$1048576,CH$93,$C131*2+6)</f>
        <v>0.1</v>
      </c>
      <c r="CI131" s="304">
        <f t="shared" si="74"/>
        <v>1479</v>
      </c>
      <c r="CJ131" s="16" t="str">
        <f>INDEX(Input!$1:$1048576,CJ$93,$C131*2+6)</f>
        <v>N</v>
      </c>
      <c r="CK131" s="1" t="str">
        <f t="shared" si="75"/>
        <v>Market</v>
      </c>
      <c r="CL131" s="1" t="str">
        <f t="shared" si="76"/>
        <v>Market</v>
      </c>
      <c r="CM131" s="1" t="str">
        <f t="shared" si="77"/>
        <v>Market</v>
      </c>
      <c r="CN131" s="1" t="str">
        <f t="shared" si="78"/>
        <v>Market</v>
      </c>
      <c r="CO131" s="1" t="str">
        <f t="shared" si="79"/>
        <v>Market</v>
      </c>
      <c r="CP131" s="304">
        <f t="shared" si="80"/>
        <v>250</v>
      </c>
      <c r="CQ131" s="1">
        <f t="shared" si="81"/>
        <v>0</v>
      </c>
      <c r="CR131" s="1">
        <f t="shared" si="82"/>
        <v>0</v>
      </c>
      <c r="CS131" s="1">
        <f t="shared" si="83"/>
        <v>0</v>
      </c>
      <c r="CT131" s="1">
        <f t="shared" si="84"/>
        <v>1.9E-2</v>
      </c>
      <c r="CU131" s="1">
        <f t="shared" si="85"/>
        <v>3.9E-2</v>
      </c>
      <c r="CV131" s="304">
        <f t="shared" si="86"/>
        <v>1942</v>
      </c>
      <c r="CW131" s="20" t="s">
        <v>122</v>
      </c>
      <c r="CX131" s="20" t="s">
        <v>122</v>
      </c>
      <c r="CY131" s="20" t="s">
        <v>122</v>
      </c>
      <c r="CZ131" s="20" t="s">
        <v>122</v>
      </c>
      <c r="DA131" s="20" t="s">
        <v>122</v>
      </c>
      <c r="DB131" s="503">
        <f t="shared" si="87"/>
        <v>0</v>
      </c>
      <c r="DC131" s="127">
        <v>0</v>
      </c>
      <c r="DD131" s="127">
        <v>0</v>
      </c>
      <c r="DE131" s="127">
        <v>0</v>
      </c>
      <c r="DF131" s="127">
        <v>0</v>
      </c>
      <c r="DG131" s="127">
        <v>0</v>
      </c>
      <c r="DH131" s="127">
        <v>0</v>
      </c>
      <c r="DI131" s="127">
        <v>0</v>
      </c>
      <c r="DJ131" s="127">
        <v>0</v>
      </c>
      <c r="DK131" s="127">
        <v>0</v>
      </c>
      <c r="DL131" s="127">
        <v>0</v>
      </c>
      <c r="DM131" s="304">
        <f>INDEX(Input!$1:$1048576,DM$93,$C131*2+6)</f>
        <v>21036.84210526316</v>
      </c>
      <c r="DN131" s="20">
        <v>0</v>
      </c>
      <c r="DO131" s="20">
        <v>0</v>
      </c>
      <c r="DP131" s="20">
        <v>0</v>
      </c>
      <c r="DQ131" s="20">
        <v>0</v>
      </c>
      <c r="DR131" s="20">
        <v>0</v>
      </c>
      <c r="DS131" s="20">
        <f>INDEX(Input!$1:$1048576,DS$93,$C131*2+6)</f>
        <v>0.6</v>
      </c>
      <c r="DT131" s="20">
        <f>INDEX(Input!$1:$1048576,DT$93,$C131*2+6)</f>
        <v>0.55000000000000004</v>
      </c>
      <c r="DU131" s="20">
        <f>INDEX(Input!$1:$1048576,DU$93,$C131*2+6)</f>
        <v>0.52</v>
      </c>
      <c r="DV131" s="20">
        <f>INDEX(Input!$1:$1048576,DV$93,$C131*2+6)</f>
        <v>0.5</v>
      </c>
      <c r="DW131" s="20">
        <f>INDEX(Input!$1:$1048576,DW$93,$C131*2+6)</f>
        <v>0.45</v>
      </c>
      <c r="DX131" s="20"/>
      <c r="DY131" s="7">
        <v>0.105104864657963</v>
      </c>
      <c r="DZ131" s="7">
        <v>0</v>
      </c>
      <c r="EA131" s="7">
        <v>0.48738774888958702</v>
      </c>
      <c r="EB131" s="7">
        <v>0</v>
      </c>
      <c r="EC131" s="7">
        <v>0</v>
      </c>
      <c r="ED131" s="7">
        <v>0</v>
      </c>
      <c r="EE131" s="7">
        <v>0</v>
      </c>
      <c r="EF131" s="7">
        <v>0</v>
      </c>
      <c r="EG131" s="7">
        <v>0</v>
      </c>
      <c r="EH131" s="7">
        <v>1.8402200445098653E-2</v>
      </c>
      <c r="EI131" s="7">
        <v>5.3739557110571885E-2</v>
      </c>
      <c r="EJ131" s="7">
        <v>0.33946684904131991</v>
      </c>
      <c r="EK131" s="7">
        <v>0.48247712639938101</v>
      </c>
      <c r="EL131" s="7">
        <v>0.10591426700362871</v>
      </c>
      <c r="EM131" s="7">
        <v>5.1290518130025962E-2</v>
      </c>
      <c r="EN131" s="7">
        <v>5.0824256578978516E-2</v>
      </c>
      <c r="EO131" s="7">
        <v>0.76815678085538386</v>
      </c>
      <c r="EP131" s="7">
        <v>7.9058197430733612E-2</v>
      </c>
      <c r="EQ131" s="7">
        <v>6.027119863119898E-2</v>
      </c>
      <c r="ER131" s="7">
        <v>4.1689566503705228E-2</v>
      </c>
      <c r="ES131" s="7">
        <v>0.35621686832242405</v>
      </c>
      <c r="ET131" s="7">
        <v>0.40750738645244999</v>
      </c>
      <c r="EU131" s="6">
        <v>1520</v>
      </c>
      <c r="EV131" s="6">
        <v>0</v>
      </c>
      <c r="EW131" s="6">
        <v>1520</v>
      </c>
      <c r="EX131" s="6">
        <v>0</v>
      </c>
      <c r="EY131" s="6">
        <v>2289.7221397149683</v>
      </c>
      <c r="EZ131" s="6">
        <v>2085</v>
      </c>
      <c r="FA131" s="6">
        <v>0</v>
      </c>
      <c r="FB131" s="6">
        <v>0</v>
      </c>
      <c r="FC131" s="6">
        <v>0</v>
      </c>
      <c r="FD131" s="6">
        <v>0</v>
      </c>
      <c r="FE131" s="6">
        <v>0</v>
      </c>
      <c r="FF131" s="6">
        <v>0</v>
      </c>
      <c r="FG131" s="6">
        <v>0</v>
      </c>
      <c r="FH131" s="6">
        <v>1171.2811379695615</v>
      </c>
      <c r="FI131" s="6">
        <v>1553.9796069512399</v>
      </c>
      <c r="FJ131" s="6">
        <v>2101.211011744741</v>
      </c>
      <c r="FK131" s="6">
        <v>1772.7139978623229</v>
      </c>
      <c r="FL131" s="6">
        <v>907.07682140966324</v>
      </c>
      <c r="FM131" s="6">
        <v>1769.7221397149683</v>
      </c>
      <c r="FN131" s="6">
        <v>0</v>
      </c>
      <c r="FO131" s="6">
        <v>0</v>
      </c>
      <c r="FP131" s="6">
        <v>0</v>
      </c>
      <c r="FQ131" s="6">
        <v>0</v>
      </c>
      <c r="FR131" s="6">
        <v>0</v>
      </c>
      <c r="FS131" s="6">
        <v>0</v>
      </c>
      <c r="FT131" s="7">
        <v>0.59249261354755001</v>
      </c>
      <c r="FU131" s="7">
        <v>5.1290518130025962E-2</v>
      </c>
      <c r="FV131" s="7">
        <v>0.35621686832242405</v>
      </c>
      <c r="FW131" s="6">
        <v>1520</v>
      </c>
      <c r="FX131" s="6">
        <v>2289.7221397149683</v>
      </c>
      <c r="FY131" s="6">
        <v>2085</v>
      </c>
      <c r="FZ131" s="6">
        <v>1952.7147957719815</v>
      </c>
      <c r="GA131" s="6">
        <v>1760.7419779643024</v>
      </c>
      <c r="GB131" s="6">
        <v>18224.258022035698</v>
      </c>
      <c r="GC131" s="7">
        <v>1.0519917368675835E-2</v>
      </c>
      <c r="GD131" s="7">
        <v>1.0475387520381765E-2</v>
      </c>
      <c r="GE131" s="7"/>
      <c r="GF131" s="7"/>
      <c r="GG131" s="7">
        <v>-4.232908561303198E-3</v>
      </c>
      <c r="GH131" s="42">
        <v>0.44065966506983539</v>
      </c>
      <c r="GI131" s="6">
        <v>47113.202355368732</v>
      </c>
      <c r="GJ131" s="14">
        <v>0.50394797582841722</v>
      </c>
      <c r="GK131" s="14">
        <v>0.50887573065309755</v>
      </c>
      <c r="GL131" s="14">
        <v>0.49605202417158278</v>
      </c>
      <c r="GM131" s="14">
        <v>0.49112426934690256</v>
      </c>
      <c r="GO131" s="5">
        <v>343.14810671672558</v>
      </c>
      <c r="GP131" s="5">
        <v>314.14940645767444</v>
      </c>
      <c r="GQ131" s="5">
        <v>535.04305713031317</v>
      </c>
      <c r="GR131" s="5">
        <v>410.15490233172511</v>
      </c>
      <c r="GS131" s="5">
        <v>339.42744393800166</v>
      </c>
      <c r="GT131" s="5">
        <v>293.4407446948278</v>
      </c>
      <c r="GU131" s="5">
        <v>258.04012322764959</v>
      </c>
      <c r="GV131" s="39" t="s">
        <v>392</v>
      </c>
      <c r="GW131" s="5">
        <v>485.18055555555554</v>
      </c>
      <c r="GX131" s="5">
        <v>363.88541666666669</v>
      </c>
      <c r="GY131" s="5">
        <v>291.10833333333335</v>
      </c>
      <c r="GZ131" s="5">
        <v>256.87238435316397</v>
      </c>
      <c r="HA131" s="5">
        <v>237.94303894878348</v>
      </c>
      <c r="HB131" s="39">
        <v>276.44167202534533</v>
      </c>
      <c r="HC131" s="5">
        <v>196.06562499999998</v>
      </c>
      <c r="HD131" s="5">
        <v>177.54497441520465</v>
      </c>
      <c r="HE131" s="5">
        <v>183.15757844129553</v>
      </c>
      <c r="HF131" s="5">
        <v>172.69313048245613</v>
      </c>
      <c r="HG131" s="5">
        <v>170.66888157894735</v>
      </c>
      <c r="HH131" s="39">
        <v>178.35090729075011</v>
      </c>
      <c r="HI131" s="16"/>
      <c r="HJ131" s="19" t="str">
        <f t="shared" ref="HJ131" si="304">HJ130</f>
        <v>On</v>
      </c>
      <c r="HK131" s="1" t="str">
        <f t="shared" si="108"/>
        <v>On</v>
      </c>
      <c r="HL131" s="16"/>
      <c r="HM131" s="639">
        <f t="shared" si="266"/>
        <v>5.7455619280273196E-3</v>
      </c>
      <c r="HN131" s="639">
        <f t="shared" si="267"/>
        <v>5.0031960498701745E-4</v>
      </c>
      <c r="HO131" s="639">
        <f t="shared" si="268"/>
        <v>3.9819433988714835E-3</v>
      </c>
      <c r="HP131" s="644">
        <f>(FT131*$GD131-HM131)/$JF131*INDEX(Input!$1:$1048576,$JG$93,$C131*2+6)</f>
        <v>20.103824712795223</v>
      </c>
      <c r="HQ131" s="644">
        <f>(FU131*$GD131-HN131)/$JF131*INDEX(Input!$1:$1048576,$JG$93,$C131*2+6)</f>
        <v>1.6120659242211224</v>
      </c>
      <c r="HR131" s="644">
        <f>(FV131*$GD131-HO131)/$JF131*INDEX(Input!$1:$1048576,$JG$93,$C131*2+6)</f>
        <v>-10.920544099066467</v>
      </c>
      <c r="HS131" s="644">
        <f t="shared" si="269"/>
        <v>-5.2377549289169281</v>
      </c>
      <c r="HT131" s="644">
        <f t="shared" si="270"/>
        <v>4.3511417761018869</v>
      </c>
      <c r="HU131" s="644">
        <f t="shared" si="271"/>
        <v>2.63313589221206</v>
      </c>
      <c r="HV131" s="648">
        <f t="shared" si="272"/>
        <v>0</v>
      </c>
      <c r="HW131" s="648">
        <f t="shared" si="273"/>
        <v>0</v>
      </c>
      <c r="HX131" s="648">
        <f t="shared" si="274"/>
        <v>0</v>
      </c>
      <c r="HY131" s="644">
        <f>INDEX(Input!$1:$1048576,HY$93,$C131*2+6)*INDEX(Input!$1:$1048576,$JG$93,$C131*2+6)</f>
        <v>110.00000000000001</v>
      </c>
      <c r="HZ131" s="644">
        <f>INDEX(Input!$1:$1048576,HZ$93,$C131*2+6)*INDEX(Input!$1:$1048576,$JG$93,$C131*2+6)</f>
        <v>157</v>
      </c>
      <c r="IA131" s="644">
        <f>INDEX(Input!$1:$1048576,IA$93,$C131*2+6)*INDEX(Input!$1:$1048576,$JG$93,$C131*2+6)</f>
        <v>179</v>
      </c>
      <c r="IB131" s="644">
        <f t="shared" si="249"/>
        <v>124.86606978387832</v>
      </c>
      <c r="IC131" s="644">
        <f t="shared" si="172"/>
        <v>162.96320770032301</v>
      </c>
      <c r="ID131" s="644">
        <f>IF(AND(INDEX(Input!$1:$1048576,IA$93,$C131*2+7)="TOS",Y131&lt;=INDEX(Y:Y,MATCH(C131*1000+2,A:A))),0,1)*MAX(IA131+HR131+HU131+HX131,0%)</f>
        <v>170.71259179314561</v>
      </c>
      <c r="IE131" s="128">
        <f t="shared" si="275"/>
        <v>0.27231116316742204</v>
      </c>
      <c r="IF131" s="128">
        <f t="shared" si="174"/>
        <v>0.35539438951812596</v>
      </c>
      <c r="IG131" s="128">
        <f t="shared" si="175"/>
        <v>0.3722944473144521</v>
      </c>
      <c r="IH131" s="21"/>
      <c r="II131" s="19">
        <f t="shared" si="276"/>
        <v>1240</v>
      </c>
      <c r="IJ131" s="19">
        <f t="shared" si="277"/>
        <v>2009.7221397149679</v>
      </c>
      <c r="IK131" s="19">
        <f t="shared" si="278"/>
        <v>2070</v>
      </c>
      <c r="IL131" s="19">
        <f t="shared" si="176"/>
        <v>280</v>
      </c>
      <c r="IM131" s="19">
        <f t="shared" si="177"/>
        <v>280.00000000000045</v>
      </c>
      <c r="IN131" s="19">
        <f t="shared" si="178"/>
        <v>15</v>
      </c>
      <c r="IO131" s="39">
        <f t="shared" si="279"/>
        <v>0</v>
      </c>
      <c r="IP131" s="39">
        <f t="shared" si="280"/>
        <v>0</v>
      </c>
      <c r="IQ131" s="39">
        <f t="shared" si="281"/>
        <v>0</v>
      </c>
      <c r="IR131" s="39">
        <v>0</v>
      </c>
      <c r="IS131" s="39">
        <v>0</v>
      </c>
      <c r="IT131" s="39">
        <v>0</v>
      </c>
      <c r="IU131" s="39">
        <v>0</v>
      </c>
      <c r="IV131" s="39">
        <v>0</v>
      </c>
      <c r="IW131" s="39">
        <v>0</v>
      </c>
      <c r="IX131" s="39">
        <f>INDEX(Input!$1:$1048576,IX$93,$C131*2+6)+INDEX(Input!$1:$1048576,IX$94,$C131*2+6)</f>
        <v>1270</v>
      </c>
      <c r="IY131" s="39">
        <f>INDEX(Input!$1:$1048576,IY$93,$C131*2+6)+INDEX(Input!$1:$1048576,IY$94,$C131*2+6)</f>
        <v>2130.0624533823611</v>
      </c>
      <c r="IZ131" s="39">
        <f>INDEX(Input!$1:$1048576,IZ$93,$C131*2+6)+INDEX(Input!$1:$1048576,IZ$94,$C131*2+6)</f>
        <v>4373.7164157747848</v>
      </c>
      <c r="JA131" s="19">
        <f t="shared" si="179"/>
        <v>1550</v>
      </c>
      <c r="JB131" s="19">
        <f t="shared" si="180"/>
        <v>2410.0624533823616</v>
      </c>
      <c r="JC131" s="19">
        <f t="shared" si="181"/>
        <v>4388.7164157747848</v>
      </c>
      <c r="JD131" s="19">
        <f t="shared" si="182"/>
        <v>2912.4997296606221</v>
      </c>
      <c r="JE131" s="21"/>
      <c r="JF131" s="1">
        <f t="shared" si="282"/>
        <v>1.022782493188582E-2</v>
      </c>
      <c r="JG131" s="15">
        <f>INDEX(Input!$1:$1048576,JG$93,$C131*2+6)/(1+VLOOKUP(C131*1000+INDEX(Input!$1:$1048576,JG$93+1,$C131*2+6),$A:$KK,$JK$92,FALSE))</f>
        <v>446</v>
      </c>
      <c r="JH131" s="1">
        <f t="shared" si="251"/>
        <v>2.4204812865358475E-2</v>
      </c>
      <c r="JI131" s="1">
        <f t="shared" si="252"/>
        <v>3.9159702677063202E-3</v>
      </c>
      <c r="JJ131" s="1">
        <f t="shared" si="253"/>
        <v>0</v>
      </c>
      <c r="JK131" s="1">
        <f t="shared" si="254"/>
        <v>2.8120783133064795E-2</v>
      </c>
      <c r="JL131" s="15">
        <f t="shared" si="184"/>
        <v>12.541869277346899</v>
      </c>
      <c r="JM131" s="15">
        <f t="shared" si="185"/>
        <v>458.5418692773469</v>
      </c>
      <c r="JN131" s="21"/>
      <c r="JO131" s="19">
        <f>INDEX(Input!$1:$1048576,JO$93,$C131*2+6)</f>
        <v>5995.5</v>
      </c>
      <c r="JP131" s="19">
        <f>INDEX(Input!$1:$1048576,JP$93,$C131*2+6)</f>
        <v>2818.4193802796353</v>
      </c>
      <c r="JQ131" s="39">
        <f t="shared" si="186"/>
        <v>3083.0002703393779</v>
      </c>
      <c r="JR131" s="39">
        <f t="shared" si="187"/>
        <v>94.080349380986718</v>
      </c>
      <c r="JS131" s="39">
        <f t="shared" si="188"/>
        <v>1.335503070308349</v>
      </c>
      <c r="JT131" s="39">
        <f t="shared" si="189"/>
        <v>7.8488026703631739E-2</v>
      </c>
      <c r="JU131" s="385">
        <f>(JQ131*JM131-INDEX(Input!$1:$1048576,Input!A$18,$C131*2+6)*JL131*INDEX(Input!$1:$1048576,Input!A$19,$C131*2+6))/1000000</f>
        <v>1.4136847069439842</v>
      </c>
      <c r="JV131" s="39">
        <f t="shared" si="192"/>
        <v>-3.2932494512984967E-3</v>
      </c>
      <c r="JW131" s="1">
        <f t="shared" si="190"/>
        <v>-2.3241359799811919E-3</v>
      </c>
      <c r="JX131" s="19">
        <f t="shared" si="191"/>
        <v>6258.0804318696473</v>
      </c>
      <c r="JZ131" s="341"/>
      <c r="KA131" s="342"/>
      <c r="KB131" s="469">
        <f t="shared" si="110"/>
        <v>2.9286733661474216</v>
      </c>
      <c r="KI131" s="473">
        <f t="shared" si="283"/>
        <v>14.866069783878302</v>
      </c>
      <c r="KJ131" s="473">
        <f t="shared" si="284"/>
        <v>5.9632077003230108</v>
      </c>
      <c r="KK131" s="473">
        <f t="shared" si="257"/>
        <v>-8.2874082068543942</v>
      </c>
      <c r="KN131" s="544">
        <f t="shared" si="258"/>
        <v>1002</v>
      </c>
      <c r="KO131" s="541">
        <f t="shared" si="285"/>
        <v>2.390649151157942E-2</v>
      </c>
      <c r="KP131" s="546">
        <f t="shared" si="286"/>
        <v>156.9263881713872</v>
      </c>
      <c r="KQ131" s="546">
        <f t="shared" si="287"/>
        <v>73.183529641970381</v>
      </c>
      <c r="KR131" s="548">
        <f t="shared" si="288"/>
        <v>2.6120090381282077</v>
      </c>
      <c r="KS131" s="548">
        <f t="shared" si="289"/>
        <v>5.6008933462182622</v>
      </c>
      <c r="KT131" s="473">
        <f t="shared" si="112"/>
        <v>238.28695973331548</v>
      </c>
      <c r="KU131" s="663">
        <f t="shared" si="290"/>
        <v>6.3425763388822647</v>
      </c>
      <c r="KV131" s="117"/>
    </row>
    <row r="132" spans="1:308" s="26" customFormat="1" ht="15">
      <c r="A132" s="561">
        <f t="shared" si="168"/>
        <v>1032</v>
      </c>
      <c r="B132" s="561">
        <f t="shared" si="104"/>
        <v>32</v>
      </c>
      <c r="C132" s="561">
        <f t="shared" si="105"/>
        <v>1</v>
      </c>
      <c r="D132" s="561" t="str">
        <f t="shared" si="294"/>
        <v xml:space="preserve">500 CC, 500 Combo, </v>
      </c>
      <c r="E132" s="475">
        <f>INDEX(Input!$1:$1048576,E$93,$C132*2+MIN($B132,2)+5)
+INDEX(Scenarios!E$121:E$200,MATCH($B132,Scenarios!$B$121:$B$200,0))</f>
        <v>1729</v>
      </c>
      <c r="F132" s="475">
        <f>INDEX(Input!$1:$1048576,F$93,$C132*2+MIN($B132,2)+5)
+INDEX(Scenarios!F$121:F$200,MATCH($B132,Scenarios!$B$121:$B$200,0))</f>
        <v>0</v>
      </c>
      <c r="G132" s="475">
        <f>INDEX(Input!$1:$1048576,G$93,$C132*2+MIN($B132,2)+5)
+INDEX(Scenarios!G$121:G$200,MATCH($B132,Scenarios!$B$121:$B$200,0))</f>
        <v>0</v>
      </c>
      <c r="H132" s="475">
        <f>INDEX(Input!$1:$1048576,H$93,$C132*2+MIN($B132,2)+5)
+INDEX(Scenarios!H$121:H$200,MATCH($B132,Scenarios!$B$121:$B$200,0))</f>
        <v>0</v>
      </c>
      <c r="I132" s="476">
        <f>INDEX(Input!$1:$1048576,I$93,$C132*2+MIN($B132,2)+5)</f>
        <v>0.7</v>
      </c>
      <c r="J132" s="476" t="str">
        <f>INDEX(Input!$1:$1048576,J$93,$C132*2+MIN($B132,2)+5)</f>
        <v>Market</v>
      </c>
      <c r="K132" s="476" t="str">
        <f>INDEX(Input!$1:$1048576,K$93,$C132*2+MIN($B132,2)+5)</f>
        <v>Market</v>
      </c>
      <c r="L132" s="476" t="str">
        <f>INDEX(Input!$1:$1048576,L$93,$C132*2+MIN($B132,2)+5)</f>
        <v>Market</v>
      </c>
      <c r="M132" s="476" t="str">
        <f>INDEX(Input!$1:$1048576,M$93,$C132*2+MIN($B132,2)+5)</f>
        <v>Market</v>
      </c>
      <c r="N132" s="476" t="str">
        <f>INDEX(Input!$1:$1048576,N$93,$C132*2+MIN($B132,2)+5)</f>
        <v>Market</v>
      </c>
      <c r="O132" s="476" t="str">
        <f>INDEX(Input!$1:$1048576,O$93,$C132*2+MIN($B132,2)+5)</f>
        <v>Market</v>
      </c>
      <c r="P132" s="476" t="str">
        <f>INDEX(Input!$1:$1048576,P$93,$C132*2+MIN($B132,2)+5)</f>
        <v>N</v>
      </c>
      <c r="Q132" s="477">
        <f>INDEX(Input!$1:$1048576,Q$93,$C132*2+MIN($B132,2)+5)
+INDEX(Scenarios!Q$121:Q$200,MATCH($B132,Scenarios!$B$121:$B$200,0))</f>
        <v>500</v>
      </c>
      <c r="R132" s="478">
        <f>IFERROR(MAX(0,INDEX(Input!$1:$1048576,R$93,$C132*2+MIN($B132,2)+5)
+INDEX(Scenarios!R$121:R$200,MATCH($B132,Scenarios!$B$121:$B$200,0)),),"Market")</f>
        <v>0</v>
      </c>
      <c r="S132" s="478">
        <f>IFERROR(MAX(0,INDEX(Input!$1:$1048576,S$93,$C132*2+MIN($B132,2)+5)
+INDEX(Scenarios!S$121:S$200,MATCH($B132,Scenarios!$B$121:$B$200,0)),),"Market")</f>
        <v>0</v>
      </c>
      <c r="T132" s="478">
        <f>IFERROR(MAX(0,INDEX(Input!$1:$1048576,T$93,$C132*2+MIN($B132,2)+5)
+INDEX(Scenarios!T$121:T$200,MATCH($B132,Scenarios!$B$121:$B$200,0)),),"Market")</f>
        <v>0</v>
      </c>
      <c r="U132" s="478">
        <f>IFERROR(MAX(0,INDEX(Input!$1:$1048576,U$93,$C132*2+MIN($B132,2)+5)
+INDEX(Scenarios!U$121:U$200,MATCH($B132,Scenarios!$B$121:$B$200,0)),),"Market")</f>
        <v>0</v>
      </c>
      <c r="V132" s="478">
        <f>IFERROR(MAX(0,INDEX(Input!$1:$1048576,V$93,$C132*2+MIN($B132,2)+5)
+INDEX(Scenarios!V$121:V$200,MATCH($B132,Scenarios!$B$121:$B$200,0)),),"Market")</f>
        <v>1.9E-2</v>
      </c>
      <c r="W132" s="885">
        <f>IFERROR(MAX(0,INDEX(Input!$1:$1048576,W$93,$C132*2+MIN($B132,2)+5)-0%,),"Market")</f>
        <v>3.9E-2</v>
      </c>
      <c r="X132" s="476" t="str">
        <f>INDEX(Input!$1:$1048576,X$93,$C132*2+MIN($B132,2)+5)</f>
        <v>Y</v>
      </c>
      <c r="Y132" s="475">
        <f>INDEX(Input!$1:$1048576,Y$93,$C132*2+MIN($B132,2)+5)
++INDEX(Scenarios!Y$121:Y$200,MATCH($B132,Scenarios!$B$121:$B$200,0))</f>
        <v>1942</v>
      </c>
      <c r="Z132" s="477">
        <f>INDEX(Input!$1:$1048576,Z$93,$C132*2+MIN($B132,2)+5)
+INDEX(Scenarios!Z$121:Z$200,MATCH($B132,Scenarios!$B$121:$B$200,0))</f>
        <v>0</v>
      </c>
      <c r="AA132" s="475">
        <f>INDEX(Input!$1:$1048576,AA$93,$C132*2+MIN($B132,2)+5)
+INDEX(Scenarios!AA$121:AA$200,MATCH($B132,Scenarios!$B$121:$B$200,0))</f>
        <v>0</v>
      </c>
      <c r="AB132" s="476">
        <f>INDEX(Input!$1:$1048576,AB$93,$C132*2+MIN($B132,2)+5)</f>
        <v>0.27</v>
      </c>
      <c r="AC132" s="475">
        <f>INDEX(Input!$1:$1048576,AC$93,$C132*2+MIN($B132,2)+5)
+INDEX(Scenarios!AC$121:AC$200,MATCH($B132,Scenarios!$B$121:$B$200,0))</f>
        <v>0</v>
      </c>
      <c r="AD132" s="476">
        <f>INDEX(Input!$1:$1048576,AD$93,$C132*2+MIN($B132,2)+5)</f>
        <v>0.27</v>
      </c>
      <c r="AE132" s="475">
        <f>INDEX(Input!$1:$1048576,AE$93,$C132*2+MIN($B132,2)+5)
+INDEX(Scenarios!AE$121:AE$200,MATCH($B132,Scenarios!$B$121:$B$200,0))</f>
        <v>0</v>
      </c>
      <c r="AF132" s="476">
        <f>INDEX(Input!$1:$1048576,AF$93,$C132*2+MIN($B132,2)+5)</f>
        <v>0.38</v>
      </c>
      <c r="AG132" s="475">
        <f>INDEX(Input!$1:$1048576,AG$93,$C132*2+MIN($B132,2)+5)
+INDEX(Scenarios!AG$121:AG$200,MATCH($B132,Scenarios!$B$121:$B$200,0))</f>
        <v>0</v>
      </c>
      <c r="AH132" s="476">
        <f>INDEX(Input!$1:$1048576,AH$93,$C132*2+MIN($B132,2)+5)</f>
        <v>0</v>
      </c>
      <c r="AI132" s="475">
        <f>INDEX(Input!$1:$1048576,AI$93,$C132*2+MIN($B132,2)+5)
+INDEX(Scenarios!AI$121:AI$200,MATCH($B132,Scenarios!$B$121:$B$200,0))</f>
        <v>0</v>
      </c>
      <c r="AJ132" s="476">
        <f>INDEX(Input!$1:$1048576,AJ$93,$C132*2+MIN($B132,2)+5)</f>
        <v>0.27</v>
      </c>
      <c r="AK132" s="150">
        <f>ROUND(INDEX(Input!$1:$1048576,AK$93,$C131*2+MIN($B132,1)+5)+(Y132-VLOOKUP($C132*1000+1,$A:$HH,Y$92,FALSE)),0)</f>
        <v>3757</v>
      </c>
      <c r="AL132" s="150">
        <f>ROUND(INDEX(Input!$1:$1048576,AL$93,$C131*2+MIN($B132,1)+5)-(Y132-VLOOKUP($C132*1000+1,$A:$HH,Y$92,FALSE))/36,0)</f>
        <v>4113</v>
      </c>
      <c r="AM132" s="32" t="str">
        <f t="shared" si="169"/>
        <v>std/std/std/std</v>
      </c>
      <c r="AN132" s="32" t="str">
        <f t="shared" si="170"/>
        <v>$500 + 0/0/0/1.9/3.9</v>
      </c>
      <c r="AO132" s="32" t="str">
        <f t="shared" si="171"/>
        <v>0/0/0/1.9/3.9</v>
      </c>
      <c r="AP132" s="32" t="str">
        <f t="shared" si="73"/>
        <v>0/0.9/1.9/3.9</v>
      </c>
      <c r="AQ132" s="536">
        <f t="shared" si="39"/>
        <v>0.29635154046550155</v>
      </c>
      <c r="AR132" s="32"/>
      <c r="AS132" s="302"/>
      <c r="AT132" s="3">
        <f t="shared" si="106"/>
        <v>32</v>
      </c>
      <c r="AU132" s="41" t="s">
        <v>121</v>
      </c>
      <c r="AV132" s="41" t="s">
        <v>116</v>
      </c>
      <c r="AW132" s="41" t="str">
        <f>INDEX(Input!$1:$1048576,AW$93,$C132*2+6)</f>
        <v>Kia</v>
      </c>
      <c r="AX132" s="41" t="str">
        <f>INDEX(Input!$1:$1048576,AX$93,$C132*2+6)</f>
        <v>Kia-LR - L1</v>
      </c>
      <c r="AY132" s="41" t="str">
        <f>IF(LEN(D132)=0,"",INDEX(Input!$1:$1048576,AY$93,$C132*2+6))</f>
        <v>Compact SUV (52)</v>
      </c>
      <c r="AZ132" s="41" t="str">
        <f>INDEX(Input!$1:$1048576,AZ$93,$C132*2+6)</f>
        <v>Kia Soul</v>
      </c>
      <c r="BA132" s="3">
        <f>INDEX(Input!$1:$1048576,BA$93,$C132*2+6)</f>
        <v>2020</v>
      </c>
      <c r="BB132" s="128">
        <f>INDEX(Input!$1:$1048576,BB$93,$C132*2+6)</f>
        <v>1</v>
      </c>
      <c r="BC132" s="128">
        <f>INDEX(Input!$1:$1048576,BC$93,$C132*2+6)</f>
        <v>0.7</v>
      </c>
      <c r="BD132" s="1">
        <f>INDEX(Input!$1:$1048576,BD$93,$C132*2+6)</f>
        <v>4.4999999999999998E-2</v>
      </c>
      <c r="BE132" s="1">
        <f>INDEX(Input!$1:$1048576,BE$93,$C132*2+6)</f>
        <v>4.4999999999999998E-2</v>
      </c>
      <c r="BF132" s="1">
        <f>INDEX(Input!$1:$1048576,BF$93,$C132*2+6)</f>
        <v>0.05</v>
      </c>
      <c r="BG132" s="1">
        <f>INDEX(Input!$1:$1048576,BG$93,$C132*2+6)</f>
        <v>5.45E-2</v>
      </c>
      <c r="BH132" s="1">
        <f>INDEX(Input!$1:$1048576,BH$93,$C132*2+6)</f>
        <v>5.45E-2</v>
      </c>
      <c r="BI132" s="1">
        <f>INDEX(Input!$1:$1048576,BI$93,$C132*2+6)</f>
        <v>0.05</v>
      </c>
      <c r="BJ132" s="1">
        <f>INDEX(Input!$1:$1048576,BJ$93,$C132*2+6)</f>
        <v>0.05</v>
      </c>
      <c r="BK132" s="1">
        <f>INDEX(Input!$1:$1048576,BK$93,$C132*2+6)</f>
        <v>0.05</v>
      </c>
      <c r="BL132" s="1">
        <f>INDEX(Input!$1:$1048576,BL$93,$C132*2+6)</f>
        <v>5.5E-2</v>
      </c>
      <c r="BM132" s="1">
        <f>INDEX(Input!$1:$1048576,BM$93,$C132*2+6)</f>
        <v>0.06</v>
      </c>
      <c r="BN132" s="1">
        <f>INDEX(Input!$1:$1048576,BN$93,$C132*2+6)</f>
        <v>4.4999999999999998E-2</v>
      </c>
      <c r="BO132" s="1">
        <f>INDEX(Input!$1:$1048576,BO$93,$C132*2+6)</f>
        <v>4.4999999999999998E-2</v>
      </c>
      <c r="BP132" s="1">
        <f>INDEX(Input!$1:$1048576,BP$93,$C132*2+6)</f>
        <v>0.05</v>
      </c>
      <c r="BQ132" s="1">
        <f>INDEX(Input!$1:$1048576,BQ$93,$C132*2+6)</f>
        <v>5.45E-2</v>
      </c>
      <c r="BR132" s="1">
        <f>INDEX(Input!$1:$1048576,BR$93,$C132*2+6)</f>
        <v>5.45E-2</v>
      </c>
      <c r="BS132" s="1">
        <f>INDEX(Input!$1:$1048576,BS$93,$C132*2+6)</f>
        <v>0.05</v>
      </c>
      <c r="BT132" s="1">
        <f>INDEX(Input!$1:$1048576,BT$93,$C132*2+6)</f>
        <v>0.05</v>
      </c>
      <c r="BU132" s="1">
        <f>INDEX(Input!$1:$1048576,BU$93,$C132*2+6)</f>
        <v>0.05</v>
      </c>
      <c r="BV132" s="1">
        <f>INDEX(Input!$1:$1048576,BV$93,$C132*2+6)</f>
        <v>5.5E-2</v>
      </c>
      <c r="BW132" s="1">
        <f>INDEX(Input!$1:$1048576,BW$93,$C132*2+6)</f>
        <v>0.06</v>
      </c>
      <c r="BX132" s="127">
        <f>INDEX(Input!$1:$1048576,BX$93,$C132*2+6)</f>
        <v>19985</v>
      </c>
      <c r="BY132" s="20">
        <f>INDEX(Input!$1:$1048576,BY$93,$C132*2+6)</f>
        <v>0.1</v>
      </c>
      <c r="BZ132" s="20">
        <f>INDEX(Input!$1:$1048576,BZ$93,$C132*2+6)</f>
        <v>0.1</v>
      </c>
      <c r="CA132" s="20">
        <f>INDEX(Input!$1:$1048576,CA$93,$C132*2+6)</f>
        <v>0.1</v>
      </c>
      <c r="CB132" s="20">
        <f>INDEX(Input!$1:$1048576,CB$93,$C132*2+6)</f>
        <v>0.1</v>
      </c>
      <c r="CC132" s="20">
        <f>INDEX(Input!$1:$1048576,CC$93,$C132*2+6)</f>
        <v>0.1</v>
      </c>
      <c r="CD132" s="384">
        <f>INDEX(Input!$1:$1048576,CD$93,$C132*2+6)</f>
        <v>0.1</v>
      </c>
      <c r="CE132" s="384">
        <f>INDEX(Input!$1:$1048576,CE$93,$C132*2+6)</f>
        <v>0.1</v>
      </c>
      <c r="CF132" s="384">
        <f>INDEX(Input!$1:$1048576,CF$93,$C132*2+6)</f>
        <v>0.1</v>
      </c>
      <c r="CG132" s="384">
        <f>INDEX(Input!$1:$1048576,CG$93,$C132*2+6)</f>
        <v>0.1</v>
      </c>
      <c r="CH132" s="384">
        <f>INDEX(Input!$1:$1048576,CH$93,$C132*2+6)</f>
        <v>0.1</v>
      </c>
      <c r="CI132" s="304">
        <f t="shared" si="74"/>
        <v>1729</v>
      </c>
      <c r="CJ132" s="16" t="str">
        <f>INDEX(Input!$1:$1048576,CJ$93,$C132*2+6)</f>
        <v>N</v>
      </c>
      <c r="CK132" s="1" t="str">
        <f t="shared" si="75"/>
        <v>Market</v>
      </c>
      <c r="CL132" s="1" t="str">
        <f t="shared" si="76"/>
        <v>Market</v>
      </c>
      <c r="CM132" s="1" t="str">
        <f t="shared" si="77"/>
        <v>Market</v>
      </c>
      <c r="CN132" s="1" t="str">
        <f t="shared" si="78"/>
        <v>Market</v>
      </c>
      <c r="CO132" s="1" t="str">
        <f t="shared" si="79"/>
        <v>Market</v>
      </c>
      <c r="CP132" s="304">
        <f t="shared" si="80"/>
        <v>500</v>
      </c>
      <c r="CQ132" s="1">
        <f t="shared" si="81"/>
        <v>0</v>
      </c>
      <c r="CR132" s="1">
        <f t="shared" si="82"/>
        <v>0</v>
      </c>
      <c r="CS132" s="1">
        <f t="shared" si="83"/>
        <v>0</v>
      </c>
      <c r="CT132" s="1">
        <f t="shared" si="84"/>
        <v>1.9E-2</v>
      </c>
      <c r="CU132" s="1">
        <f t="shared" si="85"/>
        <v>3.9E-2</v>
      </c>
      <c r="CV132" s="304">
        <f t="shared" si="86"/>
        <v>1942</v>
      </c>
      <c r="CW132" s="20" t="s">
        <v>122</v>
      </c>
      <c r="CX132" s="20" t="s">
        <v>122</v>
      </c>
      <c r="CY132" s="20" t="s">
        <v>122</v>
      </c>
      <c r="CZ132" s="20" t="s">
        <v>122</v>
      </c>
      <c r="DA132" s="20" t="s">
        <v>122</v>
      </c>
      <c r="DB132" s="503">
        <f t="shared" si="87"/>
        <v>0</v>
      </c>
      <c r="DC132" s="127">
        <v>0</v>
      </c>
      <c r="DD132" s="127">
        <v>0</v>
      </c>
      <c r="DE132" s="127">
        <v>0</v>
      </c>
      <c r="DF132" s="127">
        <v>0</v>
      </c>
      <c r="DG132" s="127">
        <v>0</v>
      </c>
      <c r="DH132" s="127">
        <v>0</v>
      </c>
      <c r="DI132" s="127">
        <v>0</v>
      </c>
      <c r="DJ132" s="127">
        <v>0</v>
      </c>
      <c r="DK132" s="127">
        <v>0</v>
      </c>
      <c r="DL132" s="127">
        <v>0</v>
      </c>
      <c r="DM132" s="304">
        <f>INDEX(Input!$1:$1048576,DM$93,$C132*2+6)</f>
        <v>21036.84210526316</v>
      </c>
      <c r="DN132" s="20">
        <v>0</v>
      </c>
      <c r="DO132" s="20">
        <v>0</v>
      </c>
      <c r="DP132" s="20">
        <v>0</v>
      </c>
      <c r="DQ132" s="20">
        <v>0</v>
      </c>
      <c r="DR132" s="20">
        <v>0</v>
      </c>
      <c r="DS132" s="20">
        <f>INDEX(Input!$1:$1048576,DS$93,$C132*2+6)</f>
        <v>0.6</v>
      </c>
      <c r="DT132" s="20">
        <f>INDEX(Input!$1:$1048576,DT$93,$C132*2+6)</f>
        <v>0.55000000000000004</v>
      </c>
      <c r="DU132" s="20">
        <f>INDEX(Input!$1:$1048576,DU$93,$C132*2+6)</f>
        <v>0.52</v>
      </c>
      <c r="DV132" s="20">
        <f>INDEX(Input!$1:$1048576,DV$93,$C132*2+6)</f>
        <v>0.5</v>
      </c>
      <c r="DW132" s="20">
        <f>INDEX(Input!$1:$1048576,DW$93,$C132*2+6)</f>
        <v>0.45</v>
      </c>
      <c r="DX132" s="20"/>
      <c r="DY132" s="7">
        <v>0.11285403890467278</v>
      </c>
      <c r="DZ132" s="7">
        <v>0</v>
      </c>
      <c r="EA132" s="7">
        <v>0.50780825027294418</v>
      </c>
      <c r="EB132" s="7">
        <v>0</v>
      </c>
      <c r="EC132" s="7">
        <v>0</v>
      </c>
      <c r="ED132" s="7">
        <v>0</v>
      </c>
      <c r="EE132" s="7">
        <v>0</v>
      </c>
      <c r="EF132" s="7">
        <v>0</v>
      </c>
      <c r="EG132" s="7">
        <v>0</v>
      </c>
      <c r="EH132" s="7">
        <v>1.8402200445098656E-2</v>
      </c>
      <c r="EI132" s="7">
        <v>5.3739557110571871E-2</v>
      </c>
      <c r="EJ132" s="7">
        <v>0.33946684904131985</v>
      </c>
      <c r="EK132" s="7">
        <v>0.48247712639938095</v>
      </c>
      <c r="EL132" s="7">
        <v>0.10591426700362874</v>
      </c>
      <c r="EM132" s="7">
        <v>5.3439480837467253E-2</v>
      </c>
      <c r="EN132" s="7">
        <v>5.0824256578978516E-2</v>
      </c>
      <c r="EO132" s="7">
        <v>0.76815678085538375</v>
      </c>
      <c r="EP132" s="7">
        <v>7.9058197430733598E-2</v>
      </c>
      <c r="EQ132" s="7">
        <v>6.0271198631198994E-2</v>
      </c>
      <c r="ER132" s="7">
        <v>4.1689566503705235E-2</v>
      </c>
      <c r="ES132" s="7">
        <v>0.3258982299849158</v>
      </c>
      <c r="ET132" s="7">
        <v>0.37933771082238305</v>
      </c>
      <c r="EU132" s="6">
        <v>1770</v>
      </c>
      <c r="EV132" s="6">
        <v>0</v>
      </c>
      <c r="EW132" s="6">
        <v>1770</v>
      </c>
      <c r="EX132" s="6">
        <v>0</v>
      </c>
      <c r="EY132" s="6">
        <v>2539.7221397149679</v>
      </c>
      <c r="EZ132" s="6">
        <v>2085</v>
      </c>
      <c r="FA132" s="6">
        <v>0</v>
      </c>
      <c r="FB132" s="6">
        <v>0</v>
      </c>
      <c r="FC132" s="6">
        <v>0</v>
      </c>
      <c r="FD132" s="6">
        <v>0</v>
      </c>
      <c r="FE132" s="6">
        <v>0</v>
      </c>
      <c r="FF132" s="6">
        <v>0</v>
      </c>
      <c r="FG132" s="6">
        <v>0</v>
      </c>
      <c r="FH132" s="6">
        <v>1171.2811379695622</v>
      </c>
      <c r="FI132" s="6">
        <v>1553.9796069512406</v>
      </c>
      <c r="FJ132" s="6">
        <v>2101.211011744741</v>
      </c>
      <c r="FK132" s="6">
        <v>1772.7139978623227</v>
      </c>
      <c r="FL132" s="6">
        <v>907.07682140966301</v>
      </c>
      <c r="FM132" s="6">
        <v>1769.7221397149681</v>
      </c>
      <c r="FN132" s="6">
        <v>0</v>
      </c>
      <c r="FO132" s="6">
        <v>0</v>
      </c>
      <c r="FP132" s="6">
        <v>0</v>
      </c>
      <c r="FQ132" s="6">
        <v>0</v>
      </c>
      <c r="FR132" s="6">
        <v>0</v>
      </c>
      <c r="FS132" s="6">
        <v>0</v>
      </c>
      <c r="FT132" s="7">
        <v>0.62066228917761701</v>
      </c>
      <c r="FU132" s="7">
        <v>5.3439480837467253E-2</v>
      </c>
      <c r="FV132" s="7">
        <v>0.3258982299849158</v>
      </c>
      <c r="FW132" s="6">
        <v>1770.0000000000002</v>
      </c>
      <c r="FX132" s="6">
        <v>2539.7221397149679</v>
      </c>
      <c r="FY132" s="6">
        <v>2085</v>
      </c>
      <c r="FZ132" s="6">
        <v>1952.7147957719815</v>
      </c>
      <c r="GA132" s="6">
        <v>1913.791493980721</v>
      </c>
      <c r="GB132" s="6">
        <v>18071.20850601928</v>
      </c>
      <c r="GC132" s="7">
        <v>1.0519917368675835E-2</v>
      </c>
      <c r="GD132" s="7">
        <v>1.0704627811805955E-2</v>
      </c>
      <c r="GE132" s="7"/>
      <c r="GF132" s="7"/>
      <c r="GG132" s="7">
        <v>1.7558164827426819E-2</v>
      </c>
      <c r="GH132" s="42">
        <v>-9.0151633578761192</v>
      </c>
      <c r="GI132" s="6">
        <v>-303.02912331183296</v>
      </c>
      <c r="GJ132" s="14">
        <v>0.50394797582841744</v>
      </c>
      <c r="GK132" s="14">
        <v>0.50887573065309744</v>
      </c>
      <c r="GL132" s="14">
        <v>0.49605202417158284</v>
      </c>
      <c r="GM132" s="14">
        <v>0.49112426934690268</v>
      </c>
      <c r="GO132" s="5">
        <v>343.14810671672558</v>
      </c>
      <c r="GP132" s="5">
        <v>309.37988338875158</v>
      </c>
      <c r="GQ132" s="5">
        <v>535.04305713031317</v>
      </c>
      <c r="GR132" s="5">
        <v>410.15490233172511</v>
      </c>
      <c r="GS132" s="5">
        <v>339.42744393800166</v>
      </c>
      <c r="GT132" s="5">
        <v>293.4407446948278</v>
      </c>
      <c r="GU132" s="5">
        <v>258.04012322764959</v>
      </c>
      <c r="GV132" s="39" t="s">
        <v>392</v>
      </c>
      <c r="GW132" s="5">
        <v>478.23611111111109</v>
      </c>
      <c r="GX132" s="5">
        <v>358.67708333333331</v>
      </c>
      <c r="GY132" s="5">
        <v>286.94166666666666</v>
      </c>
      <c r="GZ132" s="5">
        <v>253.19574071601335</v>
      </c>
      <c r="HA132" s="5">
        <v>234.53733318419435</v>
      </c>
      <c r="HB132" s="39">
        <v>272.48493094920889</v>
      </c>
      <c r="HC132" s="5">
        <v>196.06562499999998</v>
      </c>
      <c r="HD132" s="5">
        <v>177.54497441520465</v>
      </c>
      <c r="HE132" s="5">
        <v>183.15757844129553</v>
      </c>
      <c r="HF132" s="5">
        <v>172.69313048245613</v>
      </c>
      <c r="HG132" s="5">
        <v>170.66888157894735</v>
      </c>
      <c r="HH132" s="39">
        <v>178.35090729075006</v>
      </c>
      <c r="HI132" s="16"/>
      <c r="HJ132" s="19" t="str">
        <f t="shared" ref="HJ132" si="305">HJ131</f>
        <v>On</v>
      </c>
      <c r="HK132" s="1" t="str">
        <f t="shared" si="108"/>
        <v>On</v>
      </c>
      <c r="HL132" s="16"/>
      <c r="HM132" s="639">
        <f t="shared" si="266"/>
        <v>5.7455619280273196E-3</v>
      </c>
      <c r="HN132" s="639">
        <f t="shared" si="267"/>
        <v>5.0031960498701745E-4</v>
      </c>
      <c r="HO132" s="639">
        <f t="shared" si="268"/>
        <v>3.9819433988714835E-3</v>
      </c>
      <c r="HP132" s="644">
        <f>(FT132*$GD132-HM132)/$JF132*INDEX(Input!$1:$1048576,$JG$93,$C132*2+6)</f>
        <v>39.175974233995646</v>
      </c>
      <c r="HQ132" s="644">
        <f>(FU132*$GD132-HN132)/$JF132*INDEX(Input!$1:$1048576,$JG$93,$C132*2+6)</f>
        <v>3.1279031609467696</v>
      </c>
      <c r="HR132" s="644">
        <f>(FV132*$GD132-HO132)/$JF132*INDEX(Input!$1:$1048576,$JG$93,$C132*2+6)</f>
        <v>-21.512156197073718</v>
      </c>
      <c r="HS132" s="644">
        <f t="shared" si="269"/>
        <v>-9.9143218297356146</v>
      </c>
      <c r="HT132" s="644">
        <f t="shared" si="270"/>
        <v>8.2360897904785499</v>
      </c>
      <c r="HU132" s="644">
        <f t="shared" si="271"/>
        <v>4.8069714724055279</v>
      </c>
      <c r="HV132" s="648">
        <f t="shared" si="272"/>
        <v>0</v>
      </c>
      <c r="HW132" s="648">
        <f t="shared" si="273"/>
        <v>0</v>
      </c>
      <c r="HX132" s="648">
        <f t="shared" si="274"/>
        <v>0</v>
      </c>
      <c r="HY132" s="644">
        <f>INDEX(Input!$1:$1048576,HY$93,$C132*2+6)*INDEX(Input!$1:$1048576,$JG$93,$C132*2+6)</f>
        <v>110.00000000000001</v>
      </c>
      <c r="HZ132" s="644">
        <f>INDEX(Input!$1:$1048576,HZ$93,$C132*2+6)*INDEX(Input!$1:$1048576,$JG$93,$C132*2+6)</f>
        <v>157</v>
      </c>
      <c r="IA132" s="644">
        <f>INDEX(Input!$1:$1048576,IA$93,$C132*2+6)*INDEX(Input!$1:$1048576,$JG$93,$C132*2+6)</f>
        <v>179</v>
      </c>
      <c r="IB132" s="644">
        <f t="shared" si="249"/>
        <v>139.26165240426002</v>
      </c>
      <c r="IC132" s="644">
        <f t="shared" si="172"/>
        <v>168.36399295142533</v>
      </c>
      <c r="ID132" s="644">
        <f>IF(AND(INDEX(Input!$1:$1048576,IA$93,$C132*2+7)="TOS",Y132&lt;=INDEX(Y:Y,MATCH(C132*1000+2,A:A))),0,1)*MAX(IA132+HR132+HU132+HX132,0%)</f>
        <v>162.29481527533181</v>
      </c>
      <c r="IE132" s="128">
        <f t="shared" si="275"/>
        <v>0.29635154046550155</v>
      </c>
      <c r="IF132" s="128">
        <f t="shared" si="174"/>
        <v>0.35828189461115034</v>
      </c>
      <c r="IG132" s="128">
        <f t="shared" si="175"/>
        <v>0.34536656492334805</v>
      </c>
      <c r="IH132" s="21"/>
      <c r="II132" s="19">
        <f t="shared" si="276"/>
        <v>1240</v>
      </c>
      <c r="IJ132" s="19">
        <f t="shared" si="277"/>
        <v>2009.7221397149679</v>
      </c>
      <c r="IK132" s="19">
        <f t="shared" si="278"/>
        <v>2070</v>
      </c>
      <c r="IL132" s="19">
        <f t="shared" si="176"/>
        <v>530.00000000000023</v>
      </c>
      <c r="IM132" s="19">
        <f t="shared" si="177"/>
        <v>530</v>
      </c>
      <c r="IN132" s="19">
        <f t="shared" si="178"/>
        <v>15</v>
      </c>
      <c r="IO132" s="39">
        <f t="shared" si="279"/>
        <v>0</v>
      </c>
      <c r="IP132" s="39">
        <f t="shared" si="280"/>
        <v>0</v>
      </c>
      <c r="IQ132" s="39">
        <f t="shared" si="281"/>
        <v>0</v>
      </c>
      <c r="IR132" s="39">
        <v>0</v>
      </c>
      <c r="IS132" s="39">
        <v>0</v>
      </c>
      <c r="IT132" s="39">
        <v>0</v>
      </c>
      <c r="IU132" s="39">
        <v>0</v>
      </c>
      <c r="IV132" s="39">
        <v>0</v>
      </c>
      <c r="IW132" s="39">
        <v>0</v>
      </c>
      <c r="IX132" s="39">
        <f>INDEX(Input!$1:$1048576,IX$93,$C132*2+6)+INDEX(Input!$1:$1048576,IX$94,$C132*2+6)</f>
        <v>1270</v>
      </c>
      <c r="IY132" s="39">
        <f>INDEX(Input!$1:$1048576,IY$93,$C132*2+6)+INDEX(Input!$1:$1048576,IY$94,$C132*2+6)</f>
        <v>2130.0624533823611</v>
      </c>
      <c r="IZ132" s="39">
        <f>INDEX(Input!$1:$1048576,IZ$93,$C132*2+6)+INDEX(Input!$1:$1048576,IZ$94,$C132*2+6)</f>
        <v>4373.7164157747848</v>
      </c>
      <c r="JA132" s="19">
        <f t="shared" si="179"/>
        <v>1800.0000000000002</v>
      </c>
      <c r="JB132" s="19">
        <f t="shared" si="180"/>
        <v>2660.0624533823611</v>
      </c>
      <c r="JC132" s="19">
        <f t="shared" si="181"/>
        <v>4388.7164157747848</v>
      </c>
      <c r="JD132" s="19">
        <f t="shared" si="182"/>
        <v>3002.2009013585657</v>
      </c>
      <c r="JE132" s="21"/>
      <c r="JF132" s="1">
        <f t="shared" si="282"/>
        <v>1.022782493188582E-2</v>
      </c>
      <c r="JG132" s="15">
        <f>INDEX(Input!$1:$1048576,JG$93,$C132*2+6)/(1+VLOOKUP(C132*1000+INDEX(Input!$1:$1048576,JG$93+1,$C132*2+6),$A:$KK,$JK$92,FALSE))</f>
        <v>446</v>
      </c>
      <c r="JH132" s="1">
        <f t="shared" si="251"/>
        <v>4.6618208963831169E-2</v>
      </c>
      <c r="JI132" s="1">
        <f t="shared" si="252"/>
        <v>7.015110836655747E-3</v>
      </c>
      <c r="JJ132" s="1">
        <f t="shared" si="253"/>
        <v>0</v>
      </c>
      <c r="JK132" s="1">
        <f t="shared" si="254"/>
        <v>5.3633319800486919E-2</v>
      </c>
      <c r="JL132" s="15">
        <f t="shared" si="184"/>
        <v>23.920460631017164</v>
      </c>
      <c r="JM132" s="15">
        <f t="shared" si="185"/>
        <v>469.92046063101714</v>
      </c>
      <c r="JN132" s="21"/>
      <c r="JO132" s="19">
        <f>INDEX(Input!$1:$1048576,JO$93,$C132*2+6)</f>
        <v>5995.5</v>
      </c>
      <c r="JP132" s="19">
        <f>INDEX(Input!$1:$1048576,JP$93,$C132*2+6)</f>
        <v>2818.4193802796353</v>
      </c>
      <c r="JQ132" s="39">
        <f t="shared" si="186"/>
        <v>2993.2990986414343</v>
      </c>
      <c r="JR132" s="39">
        <f t="shared" si="187"/>
        <v>183.78152107893038</v>
      </c>
      <c r="JS132" s="39">
        <f t="shared" si="188"/>
        <v>1.4107956304732718</v>
      </c>
      <c r="JT132" s="39">
        <f t="shared" si="189"/>
        <v>0.15378058686855459</v>
      </c>
      <c r="JU132" s="385">
        <f>(JQ132*JM132-INDEX(Input!$1:$1048576,Input!A$18,$C132*2+6)*JL132*INDEX(Input!$1:$1048576,Input!A$19,$C132*2+6))/1000000</f>
        <v>1.4066124912399913</v>
      </c>
      <c r="JV132" s="39">
        <f t="shared" si="192"/>
        <v>-1.0365465155291353E-2</v>
      </c>
      <c r="JW132" s="1">
        <f t="shared" si="190"/>
        <v>-7.3151915373902863E-3</v>
      </c>
      <c r="JX132" s="19">
        <f t="shared" si="191"/>
        <v>6428.8304995745148</v>
      </c>
      <c r="JZ132" s="341"/>
      <c r="KA132" s="342"/>
      <c r="KB132" s="469">
        <f t="shared" si="110"/>
        <v>2.9286733661474216</v>
      </c>
      <c r="KI132" s="473">
        <f t="shared" si="283"/>
        <v>29.261652404259976</v>
      </c>
      <c r="KJ132" s="473">
        <f t="shared" si="284"/>
        <v>11.363992951425303</v>
      </c>
      <c r="KK132" s="473">
        <f t="shared" si="257"/>
        <v>-16.705184724668186</v>
      </c>
      <c r="KN132" s="544">
        <f t="shared" si="258"/>
        <v>1002</v>
      </c>
      <c r="KO132" s="541">
        <f t="shared" si="285"/>
        <v>4.9314451682461069E-2</v>
      </c>
      <c r="KP132" s="546">
        <f t="shared" si="286"/>
        <v>327.31671753832603</v>
      </c>
      <c r="KQ132" s="546">
        <f t="shared" si="287"/>
        <v>162.88470133991405</v>
      </c>
      <c r="KR132" s="548">
        <f t="shared" si="288"/>
        <v>2.5832166522870352</v>
      </c>
      <c r="KS132" s="548">
        <f t="shared" si="289"/>
        <v>5.1909724385499603</v>
      </c>
      <c r="KT132" s="473">
        <f t="shared" si="112"/>
        <v>238.28695973331548</v>
      </c>
      <c r="KU132" s="663">
        <f t="shared" si="290"/>
        <v>6.4709440410630616</v>
      </c>
      <c r="KV132" s="117"/>
    </row>
    <row r="133" spans="1:308" s="26" customFormat="1" ht="15">
      <c r="A133" s="561">
        <f t="shared" ref="A133:A136" si="306">C133*1000+B133</f>
        <v>1033</v>
      </c>
      <c r="B133" s="561">
        <f t="shared" si="104"/>
        <v>33</v>
      </c>
      <c r="C133" s="561">
        <f t="shared" si="105"/>
        <v>1</v>
      </c>
      <c r="D133" s="561" t="str">
        <f t="shared" si="294"/>
        <v xml:space="preserve">750 CC, 750 Combo, </v>
      </c>
      <c r="E133" s="475">
        <f>INDEX(Input!$1:$1048576,E$93,$C133*2+MIN($B133,2)+5)
+INDEX(Scenarios!E$121:E$200,MATCH($B133,Scenarios!$B$121:$B$200,0))</f>
        <v>1979</v>
      </c>
      <c r="F133" s="475">
        <f>INDEX(Input!$1:$1048576,F$93,$C133*2+MIN($B133,2)+5)
+INDEX(Scenarios!F$121:F$200,MATCH($B133,Scenarios!$B$121:$B$200,0))</f>
        <v>0</v>
      </c>
      <c r="G133" s="475">
        <f>INDEX(Input!$1:$1048576,G$93,$C133*2+MIN($B133,2)+5)
+INDEX(Scenarios!G$121:G$200,MATCH($B133,Scenarios!$B$121:$B$200,0))</f>
        <v>0</v>
      </c>
      <c r="H133" s="475">
        <f>INDEX(Input!$1:$1048576,H$93,$C133*2+MIN($B133,2)+5)
+INDEX(Scenarios!H$121:H$200,MATCH($B133,Scenarios!$B$121:$B$200,0))</f>
        <v>0</v>
      </c>
      <c r="I133" s="476">
        <f>INDEX(Input!$1:$1048576,I$93,$C133*2+MIN($B133,2)+5)</f>
        <v>0.7</v>
      </c>
      <c r="J133" s="476" t="str">
        <f>INDEX(Input!$1:$1048576,J$93,$C133*2+MIN($B133,2)+5)</f>
        <v>Market</v>
      </c>
      <c r="K133" s="476" t="str">
        <f>INDEX(Input!$1:$1048576,K$93,$C133*2+MIN($B133,2)+5)</f>
        <v>Market</v>
      </c>
      <c r="L133" s="476" t="str">
        <f>INDEX(Input!$1:$1048576,L$93,$C133*2+MIN($B133,2)+5)</f>
        <v>Market</v>
      </c>
      <c r="M133" s="476" t="str">
        <f>INDEX(Input!$1:$1048576,M$93,$C133*2+MIN($B133,2)+5)</f>
        <v>Market</v>
      </c>
      <c r="N133" s="476" t="str">
        <f>INDEX(Input!$1:$1048576,N$93,$C133*2+MIN($B133,2)+5)</f>
        <v>Market</v>
      </c>
      <c r="O133" s="476" t="str">
        <f>INDEX(Input!$1:$1048576,O$93,$C133*2+MIN($B133,2)+5)</f>
        <v>Market</v>
      </c>
      <c r="P133" s="476" t="str">
        <f>INDEX(Input!$1:$1048576,P$93,$C133*2+MIN($B133,2)+5)</f>
        <v>N</v>
      </c>
      <c r="Q133" s="477">
        <f>INDEX(Input!$1:$1048576,Q$93,$C133*2+MIN($B133,2)+5)
+INDEX(Scenarios!Q$121:Q$200,MATCH($B133,Scenarios!$B$121:$B$200,0))</f>
        <v>750</v>
      </c>
      <c r="R133" s="478">
        <f>IFERROR(MAX(0,INDEX(Input!$1:$1048576,R$93,$C133*2+MIN($B133,2)+5)
+INDEX(Scenarios!R$121:R$200,MATCH($B133,Scenarios!$B$121:$B$200,0)),),"Market")</f>
        <v>0</v>
      </c>
      <c r="S133" s="478">
        <f>IFERROR(MAX(0,INDEX(Input!$1:$1048576,S$93,$C133*2+MIN($B133,2)+5)
+INDEX(Scenarios!S$121:S$200,MATCH($B133,Scenarios!$B$121:$B$200,0)),),"Market")</f>
        <v>0</v>
      </c>
      <c r="T133" s="478">
        <f>IFERROR(MAX(0,INDEX(Input!$1:$1048576,T$93,$C133*2+MIN($B133,2)+5)
+INDEX(Scenarios!T$121:T$200,MATCH($B133,Scenarios!$B$121:$B$200,0)),),"Market")</f>
        <v>0</v>
      </c>
      <c r="U133" s="478">
        <f>IFERROR(MAX(0,INDEX(Input!$1:$1048576,U$93,$C133*2+MIN($B133,2)+5)
+INDEX(Scenarios!U$121:U$200,MATCH($B133,Scenarios!$B$121:$B$200,0)),),"Market")</f>
        <v>0</v>
      </c>
      <c r="V133" s="478">
        <f>IFERROR(MAX(0,INDEX(Input!$1:$1048576,V$93,$C133*2+MIN($B133,2)+5)
+INDEX(Scenarios!V$121:V$200,MATCH($B133,Scenarios!$B$121:$B$200,0)),),"Market")</f>
        <v>1.9E-2</v>
      </c>
      <c r="W133" s="885">
        <f>IFERROR(MAX(0,INDEX(Input!$1:$1048576,W$93,$C133*2+MIN($B133,2)+5)-0%,),"Market")</f>
        <v>3.9E-2</v>
      </c>
      <c r="X133" s="476" t="str">
        <f>INDEX(Input!$1:$1048576,X$93,$C133*2+MIN($B133,2)+5)</f>
        <v>Y</v>
      </c>
      <c r="Y133" s="475">
        <f>INDEX(Input!$1:$1048576,Y$93,$C133*2+MIN($B133,2)+5)
++INDEX(Scenarios!Y$121:Y$200,MATCH($B133,Scenarios!$B$121:$B$200,0))</f>
        <v>1942</v>
      </c>
      <c r="Z133" s="477">
        <f>INDEX(Input!$1:$1048576,Z$93,$C133*2+MIN($B133,2)+5)
+INDEX(Scenarios!Z$121:Z$200,MATCH($B133,Scenarios!$B$121:$B$200,0))</f>
        <v>0</v>
      </c>
      <c r="AA133" s="475">
        <f>INDEX(Input!$1:$1048576,AA$93,$C133*2+MIN($B133,2)+5)
+INDEX(Scenarios!AA$121:AA$200,MATCH($B133,Scenarios!$B$121:$B$200,0))</f>
        <v>0</v>
      </c>
      <c r="AB133" s="476">
        <f>INDEX(Input!$1:$1048576,AB$93,$C133*2+MIN($B133,2)+5)</f>
        <v>0.27</v>
      </c>
      <c r="AC133" s="475">
        <f>INDEX(Input!$1:$1048576,AC$93,$C133*2+MIN($B133,2)+5)
+INDEX(Scenarios!AC$121:AC$200,MATCH($B133,Scenarios!$B$121:$B$200,0))</f>
        <v>0</v>
      </c>
      <c r="AD133" s="476">
        <f>INDEX(Input!$1:$1048576,AD$93,$C133*2+MIN($B133,2)+5)</f>
        <v>0.27</v>
      </c>
      <c r="AE133" s="475">
        <f>INDEX(Input!$1:$1048576,AE$93,$C133*2+MIN($B133,2)+5)
+INDEX(Scenarios!AE$121:AE$200,MATCH($B133,Scenarios!$B$121:$B$200,0))</f>
        <v>0</v>
      </c>
      <c r="AF133" s="476">
        <f>INDEX(Input!$1:$1048576,AF$93,$C133*2+MIN($B133,2)+5)</f>
        <v>0.38</v>
      </c>
      <c r="AG133" s="475">
        <f>INDEX(Input!$1:$1048576,AG$93,$C133*2+MIN($B133,2)+5)
+INDEX(Scenarios!AG$121:AG$200,MATCH($B133,Scenarios!$B$121:$B$200,0))</f>
        <v>0</v>
      </c>
      <c r="AH133" s="476">
        <f>INDEX(Input!$1:$1048576,AH$93,$C133*2+MIN($B133,2)+5)</f>
        <v>0</v>
      </c>
      <c r="AI133" s="475">
        <f>INDEX(Input!$1:$1048576,AI$93,$C133*2+MIN($B133,2)+5)
+INDEX(Scenarios!AI$121:AI$200,MATCH($B133,Scenarios!$B$121:$B$200,0))</f>
        <v>0</v>
      </c>
      <c r="AJ133" s="476">
        <f>INDEX(Input!$1:$1048576,AJ$93,$C133*2+MIN($B133,2)+5)</f>
        <v>0.27</v>
      </c>
      <c r="AK133" s="150">
        <f>ROUND(INDEX(Input!$1:$1048576,AK$93,$C132*2+MIN($B133,1)+5)+(Y133-VLOOKUP($C133*1000+1,$A:$HH,Y$92,FALSE)),0)</f>
        <v>3757</v>
      </c>
      <c r="AL133" s="150">
        <f>ROUND(INDEX(Input!$1:$1048576,AL$93,$C132*2+MIN($B133,1)+5)-(Y133-VLOOKUP($C133*1000+1,$A:$HH,Y$92,FALSE))/36,0)</f>
        <v>4113</v>
      </c>
      <c r="AM133" s="32" t="str">
        <f t="shared" ref="AM133:AM136" si="307">IF(K133="market","std",ROUND(K133*1000,0)/10)&amp;"/"&amp;IF(L133="market","std",ROUND(L133*1000,0)/10)&amp;"/"&amp;IF(M133="market","std",ROUND(M133*1000,0)/10)&amp;"/"&amp;IF(N133="market","std",ROUND(N133*1000,0)/10)&amp;IF(P133="N","","/"&amp;IF(O133="market","std",ROUND(O133*1000,0)/10))</f>
        <v>std/std/std/std</v>
      </c>
      <c r="AN133" s="32" t="str">
        <f t="shared" ref="AN133:AN136" si="308">"$"&amp;ROUND(Q133,0)&amp;" + "&amp;IF(S133="market","std",ROUND(S133*1000,0)/10)&amp;"/"&amp;IF(T133="market","std",ROUND(T133*1000,0)/10)&amp;"/"&amp;IF(U133="market","std",ROUND(U133*1000,0)/10)&amp;"/"&amp;IF(V133="market","std",ROUND(V133*1000,0)/10)&amp;IF(X133="N","","/"&amp;IF(W133="market","std",ROUND(W133*1000,0)/10))</f>
        <v>$750 + 0/0/0/1.9/3.9</v>
      </c>
      <c r="AO133" s="32" t="str">
        <f t="shared" ref="AO133:AO136" si="309">IF(S133="market","std",ROUND(S133*1000,0)/10)&amp;"/"&amp;IF(T133="market","std",ROUND(T133*1000,0)/10)&amp;"/"&amp;IF(U133="market","std",ROUND(U133*1000,0)/10)&amp;"/"&amp;IF(V133="market","std",ROUND(V133*1000,0)/10)&amp;IF(X133="N","","/"&amp;IF(W133="market","std",ROUND(W133*1000,0)/10))</f>
        <v>0/0/0/1.9/3.9</v>
      </c>
      <c r="AP133" s="32" t="str">
        <f t="shared" si="73"/>
        <v>0/0.9/1.9/3.9</v>
      </c>
      <c r="AQ133" s="536">
        <f t="shared" si="39"/>
        <v>0.31967916169083099</v>
      </c>
      <c r="AR133" s="32"/>
      <c r="AS133" s="302"/>
      <c r="AT133" s="3">
        <f t="shared" si="106"/>
        <v>33</v>
      </c>
      <c r="AU133" s="41" t="s">
        <v>121</v>
      </c>
      <c r="AV133" s="41" t="s">
        <v>116</v>
      </c>
      <c r="AW133" s="41" t="str">
        <f>INDEX(Input!$1:$1048576,AW$93,$C133*2+6)</f>
        <v>Kia</v>
      </c>
      <c r="AX133" s="41" t="str">
        <f>INDEX(Input!$1:$1048576,AX$93,$C133*2+6)</f>
        <v>Kia-LR - L1</v>
      </c>
      <c r="AY133" s="41" t="str">
        <f>IF(LEN(D133)=0,"",INDEX(Input!$1:$1048576,AY$93,$C133*2+6))</f>
        <v>Compact SUV (52)</v>
      </c>
      <c r="AZ133" s="41" t="str">
        <f>INDEX(Input!$1:$1048576,AZ$93,$C133*2+6)</f>
        <v>Kia Soul</v>
      </c>
      <c r="BA133" s="3">
        <f>INDEX(Input!$1:$1048576,BA$93,$C133*2+6)</f>
        <v>2020</v>
      </c>
      <c r="BB133" s="128">
        <f>INDEX(Input!$1:$1048576,BB$93,$C133*2+6)</f>
        <v>1</v>
      </c>
      <c r="BC133" s="128">
        <f>INDEX(Input!$1:$1048576,BC$93,$C133*2+6)</f>
        <v>0.7</v>
      </c>
      <c r="BD133" s="1">
        <f>INDEX(Input!$1:$1048576,BD$93,$C133*2+6)</f>
        <v>4.4999999999999998E-2</v>
      </c>
      <c r="BE133" s="1">
        <f>INDEX(Input!$1:$1048576,BE$93,$C133*2+6)</f>
        <v>4.4999999999999998E-2</v>
      </c>
      <c r="BF133" s="1">
        <f>INDEX(Input!$1:$1048576,BF$93,$C133*2+6)</f>
        <v>0.05</v>
      </c>
      <c r="BG133" s="1">
        <f>INDEX(Input!$1:$1048576,BG$93,$C133*2+6)</f>
        <v>5.45E-2</v>
      </c>
      <c r="BH133" s="1">
        <f>INDEX(Input!$1:$1048576,BH$93,$C133*2+6)</f>
        <v>5.45E-2</v>
      </c>
      <c r="BI133" s="1">
        <f>INDEX(Input!$1:$1048576,BI$93,$C133*2+6)</f>
        <v>0.05</v>
      </c>
      <c r="BJ133" s="1">
        <f>INDEX(Input!$1:$1048576,BJ$93,$C133*2+6)</f>
        <v>0.05</v>
      </c>
      <c r="BK133" s="1">
        <f>INDEX(Input!$1:$1048576,BK$93,$C133*2+6)</f>
        <v>0.05</v>
      </c>
      <c r="BL133" s="1">
        <f>INDEX(Input!$1:$1048576,BL$93,$C133*2+6)</f>
        <v>5.5E-2</v>
      </c>
      <c r="BM133" s="1">
        <f>INDEX(Input!$1:$1048576,BM$93,$C133*2+6)</f>
        <v>0.06</v>
      </c>
      <c r="BN133" s="1">
        <f>INDEX(Input!$1:$1048576,BN$93,$C133*2+6)</f>
        <v>4.4999999999999998E-2</v>
      </c>
      <c r="BO133" s="1">
        <f>INDEX(Input!$1:$1048576,BO$93,$C133*2+6)</f>
        <v>4.4999999999999998E-2</v>
      </c>
      <c r="BP133" s="1">
        <f>INDEX(Input!$1:$1048576,BP$93,$C133*2+6)</f>
        <v>0.05</v>
      </c>
      <c r="BQ133" s="1">
        <f>INDEX(Input!$1:$1048576,BQ$93,$C133*2+6)</f>
        <v>5.45E-2</v>
      </c>
      <c r="BR133" s="1">
        <f>INDEX(Input!$1:$1048576,BR$93,$C133*2+6)</f>
        <v>5.45E-2</v>
      </c>
      <c r="BS133" s="1">
        <f>INDEX(Input!$1:$1048576,BS$93,$C133*2+6)</f>
        <v>0.05</v>
      </c>
      <c r="BT133" s="1">
        <f>INDEX(Input!$1:$1048576,BT$93,$C133*2+6)</f>
        <v>0.05</v>
      </c>
      <c r="BU133" s="1">
        <f>INDEX(Input!$1:$1048576,BU$93,$C133*2+6)</f>
        <v>0.05</v>
      </c>
      <c r="BV133" s="1">
        <f>INDEX(Input!$1:$1048576,BV$93,$C133*2+6)</f>
        <v>5.5E-2</v>
      </c>
      <c r="BW133" s="1">
        <f>INDEX(Input!$1:$1048576,BW$93,$C133*2+6)</f>
        <v>0.06</v>
      </c>
      <c r="BX133" s="127">
        <f>INDEX(Input!$1:$1048576,BX$93,$C133*2+6)</f>
        <v>19985</v>
      </c>
      <c r="BY133" s="20">
        <f>INDEX(Input!$1:$1048576,BY$93,$C133*2+6)</f>
        <v>0.1</v>
      </c>
      <c r="BZ133" s="20">
        <f>INDEX(Input!$1:$1048576,BZ$93,$C133*2+6)</f>
        <v>0.1</v>
      </c>
      <c r="CA133" s="20">
        <f>INDEX(Input!$1:$1048576,CA$93,$C133*2+6)</f>
        <v>0.1</v>
      </c>
      <c r="CB133" s="20">
        <f>INDEX(Input!$1:$1048576,CB$93,$C133*2+6)</f>
        <v>0.1</v>
      </c>
      <c r="CC133" s="20">
        <f>INDEX(Input!$1:$1048576,CC$93,$C133*2+6)</f>
        <v>0.1</v>
      </c>
      <c r="CD133" s="384">
        <f>INDEX(Input!$1:$1048576,CD$93,$C133*2+6)</f>
        <v>0.1</v>
      </c>
      <c r="CE133" s="384">
        <f>INDEX(Input!$1:$1048576,CE$93,$C133*2+6)</f>
        <v>0.1</v>
      </c>
      <c r="CF133" s="384">
        <f>INDEX(Input!$1:$1048576,CF$93,$C133*2+6)</f>
        <v>0.1</v>
      </c>
      <c r="CG133" s="384">
        <f>INDEX(Input!$1:$1048576,CG$93,$C133*2+6)</f>
        <v>0.1</v>
      </c>
      <c r="CH133" s="384">
        <f>INDEX(Input!$1:$1048576,CH$93,$C133*2+6)</f>
        <v>0.1</v>
      </c>
      <c r="CI133" s="304">
        <f t="shared" si="74"/>
        <v>1979</v>
      </c>
      <c r="CJ133" s="16" t="str">
        <f>INDEX(Input!$1:$1048576,CJ$93,$C133*2+6)</f>
        <v>N</v>
      </c>
      <c r="CK133" s="1" t="str">
        <f t="shared" si="75"/>
        <v>Market</v>
      </c>
      <c r="CL133" s="1" t="str">
        <f t="shared" si="76"/>
        <v>Market</v>
      </c>
      <c r="CM133" s="1" t="str">
        <f t="shared" si="77"/>
        <v>Market</v>
      </c>
      <c r="CN133" s="1" t="str">
        <f t="shared" si="78"/>
        <v>Market</v>
      </c>
      <c r="CO133" s="1" t="str">
        <f t="shared" si="79"/>
        <v>Market</v>
      </c>
      <c r="CP133" s="304">
        <f t="shared" si="80"/>
        <v>750</v>
      </c>
      <c r="CQ133" s="1">
        <f t="shared" si="81"/>
        <v>0</v>
      </c>
      <c r="CR133" s="1">
        <f t="shared" si="82"/>
        <v>0</v>
      </c>
      <c r="CS133" s="1">
        <f t="shared" si="83"/>
        <v>0</v>
      </c>
      <c r="CT133" s="1">
        <f t="shared" si="84"/>
        <v>1.9E-2</v>
      </c>
      <c r="CU133" s="1">
        <f t="shared" si="85"/>
        <v>3.9E-2</v>
      </c>
      <c r="CV133" s="304">
        <f t="shared" si="86"/>
        <v>1942</v>
      </c>
      <c r="CW133" s="20" t="s">
        <v>122</v>
      </c>
      <c r="CX133" s="20" t="s">
        <v>122</v>
      </c>
      <c r="CY133" s="20" t="s">
        <v>122</v>
      </c>
      <c r="CZ133" s="20" t="s">
        <v>122</v>
      </c>
      <c r="DA133" s="20" t="s">
        <v>122</v>
      </c>
      <c r="DB133" s="503">
        <f t="shared" si="87"/>
        <v>0</v>
      </c>
      <c r="DC133" s="127">
        <v>0</v>
      </c>
      <c r="DD133" s="127">
        <v>0</v>
      </c>
      <c r="DE133" s="127">
        <v>0</v>
      </c>
      <c r="DF133" s="127">
        <v>0</v>
      </c>
      <c r="DG133" s="127">
        <v>0</v>
      </c>
      <c r="DH133" s="127">
        <v>0</v>
      </c>
      <c r="DI133" s="127">
        <v>0</v>
      </c>
      <c r="DJ133" s="127">
        <v>0</v>
      </c>
      <c r="DK133" s="127">
        <v>0</v>
      </c>
      <c r="DL133" s="127">
        <v>0</v>
      </c>
      <c r="DM133" s="304">
        <f>INDEX(Input!$1:$1048576,DM$93,$C133*2+6)</f>
        <v>21036.84210526316</v>
      </c>
      <c r="DN133" s="20">
        <v>0</v>
      </c>
      <c r="DO133" s="20">
        <v>0</v>
      </c>
      <c r="DP133" s="20">
        <v>0</v>
      </c>
      <c r="DQ133" s="20">
        <v>0</v>
      </c>
      <c r="DR133" s="20">
        <v>0</v>
      </c>
      <c r="DS133" s="20">
        <f>INDEX(Input!$1:$1048576,DS$93,$C133*2+6)</f>
        <v>0.6</v>
      </c>
      <c r="DT133" s="20">
        <f>INDEX(Input!$1:$1048576,DT$93,$C133*2+6)</f>
        <v>0.55000000000000004</v>
      </c>
      <c r="DU133" s="20">
        <f>INDEX(Input!$1:$1048576,DU$93,$C133*2+6)</f>
        <v>0.52</v>
      </c>
      <c r="DV133" s="20">
        <f>INDEX(Input!$1:$1048576,DV$93,$C133*2+6)</f>
        <v>0.5</v>
      </c>
      <c r="DW133" s="20">
        <f>INDEX(Input!$1:$1048576,DW$93,$C133*2+6)</f>
        <v>0.45</v>
      </c>
      <c r="DX133" s="20"/>
      <c r="DY133" s="7">
        <v>0.1206800639900469</v>
      </c>
      <c r="DZ133" s="7">
        <v>0</v>
      </c>
      <c r="EA133" s="7">
        <v>0.5269252770783035</v>
      </c>
      <c r="EB133" s="7">
        <v>0</v>
      </c>
      <c r="EC133" s="7">
        <v>0</v>
      </c>
      <c r="ED133" s="7">
        <v>0</v>
      </c>
      <c r="EE133" s="7">
        <v>0</v>
      </c>
      <c r="EF133" s="7">
        <v>0</v>
      </c>
      <c r="EG133" s="7">
        <v>0</v>
      </c>
      <c r="EH133" s="7">
        <v>1.840220044509866E-2</v>
      </c>
      <c r="EI133" s="7">
        <v>5.3739557110571906E-2</v>
      </c>
      <c r="EJ133" s="7">
        <v>0.33946684904132002</v>
      </c>
      <c r="EK133" s="7">
        <v>0.48247712639938095</v>
      </c>
      <c r="EL133" s="7">
        <v>0.10591426700362871</v>
      </c>
      <c r="EM133" s="7">
        <v>5.5451271679946131E-2</v>
      </c>
      <c r="EN133" s="7">
        <v>5.0824256578978502E-2</v>
      </c>
      <c r="EO133" s="7">
        <v>0.76815678085538364</v>
      </c>
      <c r="EP133" s="7">
        <v>7.9058197430733584E-2</v>
      </c>
      <c r="EQ133" s="7">
        <v>6.0271198631198994E-2</v>
      </c>
      <c r="ER133" s="7">
        <v>4.1689566503705221E-2</v>
      </c>
      <c r="ES133" s="7">
        <v>0.29694338725170355</v>
      </c>
      <c r="ET133" s="7">
        <v>0.35239465893164973</v>
      </c>
      <c r="EU133" s="6">
        <v>2020</v>
      </c>
      <c r="EV133" s="6">
        <v>0</v>
      </c>
      <c r="EW133" s="6">
        <v>2020</v>
      </c>
      <c r="EX133" s="6">
        <v>0</v>
      </c>
      <c r="EY133" s="6">
        <v>2789.7221397149679</v>
      </c>
      <c r="EZ133" s="6">
        <v>2085</v>
      </c>
      <c r="FA133" s="6">
        <v>0</v>
      </c>
      <c r="FB133" s="6">
        <v>0</v>
      </c>
      <c r="FC133" s="6">
        <v>0</v>
      </c>
      <c r="FD133" s="6">
        <v>0</v>
      </c>
      <c r="FE133" s="6">
        <v>0</v>
      </c>
      <c r="FF133" s="6">
        <v>0</v>
      </c>
      <c r="FG133" s="6">
        <v>0</v>
      </c>
      <c r="FH133" s="6">
        <v>1171.281137969562</v>
      </c>
      <c r="FI133" s="6">
        <v>1553.9796069512399</v>
      </c>
      <c r="FJ133" s="6">
        <v>2101.211011744741</v>
      </c>
      <c r="FK133" s="6">
        <v>1772.7139978623225</v>
      </c>
      <c r="FL133" s="6">
        <v>907.07682140966313</v>
      </c>
      <c r="FM133" s="6">
        <v>1769.7221397149681</v>
      </c>
      <c r="FN133" s="6">
        <v>0</v>
      </c>
      <c r="FO133" s="6">
        <v>0</v>
      </c>
      <c r="FP133" s="6">
        <v>0</v>
      </c>
      <c r="FQ133" s="6">
        <v>0</v>
      </c>
      <c r="FR133" s="6">
        <v>0</v>
      </c>
      <c r="FS133" s="6">
        <v>0</v>
      </c>
      <c r="FT133" s="7">
        <v>0.64760534106835044</v>
      </c>
      <c r="FU133" s="7">
        <v>5.5451271679946131E-2</v>
      </c>
      <c r="FV133" s="7">
        <v>0.29694338725170355</v>
      </c>
      <c r="FW133" s="6">
        <v>2019.9999999999998</v>
      </c>
      <c r="FX133" s="6">
        <v>2789.7221397149679</v>
      </c>
      <c r="FY133" s="6">
        <v>2085</v>
      </c>
      <c r="FZ133" s="6">
        <v>1952.7147957719815</v>
      </c>
      <c r="GA133" s="6">
        <v>2081.983391658765</v>
      </c>
      <c r="GB133" s="6">
        <v>17903.016608341233</v>
      </c>
      <c r="GC133" s="7">
        <v>1.0519917368675835E-2</v>
      </c>
      <c r="GD133" s="7">
        <v>1.0949651118797215E-2</v>
      </c>
      <c r="GE133" s="7"/>
      <c r="GF133" s="7"/>
      <c r="GG133" s="7">
        <v>4.0849536651395894E-2</v>
      </c>
      <c r="GH133" s="42">
        <v>6.3153620906747552</v>
      </c>
      <c r="GI133" s="6">
        <v>5246.4891971944062</v>
      </c>
      <c r="GJ133" s="14">
        <v>0.50394797582841722</v>
      </c>
      <c r="GK133" s="14">
        <v>0.50887573065309744</v>
      </c>
      <c r="GL133" s="14">
        <v>0.49605202417158262</v>
      </c>
      <c r="GM133" s="14">
        <v>0.4911242693469024</v>
      </c>
      <c r="GO133" s="5">
        <v>343.14810671672558</v>
      </c>
      <c r="GP133" s="5">
        <v>304.61036031982871</v>
      </c>
      <c r="GQ133" s="5">
        <v>535.04305713031317</v>
      </c>
      <c r="GR133" s="5">
        <v>410.15490233172511</v>
      </c>
      <c r="GS133" s="5">
        <v>339.42744393800166</v>
      </c>
      <c r="GT133" s="5">
        <v>293.4407446948278</v>
      </c>
      <c r="GU133" s="5">
        <v>258.04012322764959</v>
      </c>
      <c r="GV133" s="39" t="s">
        <v>392</v>
      </c>
      <c r="GW133" s="5">
        <v>471.29166666666669</v>
      </c>
      <c r="GX133" s="5">
        <v>353.46875</v>
      </c>
      <c r="GY133" s="5">
        <v>282.77499999999998</v>
      </c>
      <c r="GZ133" s="5">
        <v>249.51909707886276</v>
      </c>
      <c r="HA133" s="5">
        <v>231.13162741960522</v>
      </c>
      <c r="HB133" s="39">
        <v>268.52818987307251</v>
      </c>
      <c r="HC133" s="5">
        <v>196.06562499999998</v>
      </c>
      <c r="HD133" s="5">
        <v>177.54497441520465</v>
      </c>
      <c r="HE133" s="5">
        <v>183.15757844129553</v>
      </c>
      <c r="HF133" s="5">
        <v>172.69313048245613</v>
      </c>
      <c r="HG133" s="5">
        <v>170.66888157894735</v>
      </c>
      <c r="HH133" s="39">
        <v>178.35090729075003</v>
      </c>
      <c r="HI133" s="16"/>
      <c r="HJ133" s="19" t="str">
        <f t="shared" ref="HJ133" si="310">HJ132</f>
        <v>On</v>
      </c>
      <c r="HK133" s="1" t="str">
        <f t="shared" si="108"/>
        <v>On</v>
      </c>
      <c r="HL133" s="16"/>
      <c r="HM133" s="639">
        <f t="shared" ref="HM133:HM136" si="311">VLOOKUP($C133*1000+1,$A:$HH,FT$92,FALSE)*$JF133</f>
        <v>5.7455619280273196E-3</v>
      </c>
      <c r="HN133" s="639">
        <f t="shared" ref="HN133:HN136" si="312">VLOOKUP($C133*1000+1,$A:$HH,FU$92,FALSE)*$JF133</f>
        <v>5.0031960498701745E-4</v>
      </c>
      <c r="HO133" s="639">
        <f t="shared" ref="HO133:HO136" si="313">VLOOKUP($C133*1000+1,$A:$HH,FV$92,FALSE)*$JF133</f>
        <v>3.9819433988714835E-3</v>
      </c>
      <c r="HP133" s="644">
        <f>(FT133*$GD133-HM133)/$JF133*INDEX(Input!$1:$1048576,$JG$93,$C133*2+6)</f>
        <v>58.6721830127522</v>
      </c>
      <c r="HQ133" s="644">
        <f>(FU133*$GD133-HN133)/$JF133*INDEX(Input!$1:$1048576,$JG$93,$C133*2+6)</f>
        <v>4.6594660861211867</v>
      </c>
      <c r="HR133" s="644">
        <f>(FV133*$GD133-HO133)/$JF133*INDEX(Input!$1:$1048576,$JG$93,$C133*2+6)</f>
        <v>-31.855310629407274</v>
      </c>
      <c r="HS133" s="644">
        <f t="shared" ref="HS133:HS136" si="314">IF(AND(HJ133="On",HK133="On"),IL133/1000*INDEX(KG:KG,MATCH(C133*1000+3,$KF:$KF,0))*SUM(HY133:IA133)*1.1
+INDEX(HR:HR,MATCH(C133*1000+4,$KF:$KF,0))/INDEX(IM:IM,MATCH(C133*1000+4,$KF:$KF,0))*IM133*20%,0)</f>
        <v>-14.590888730554292</v>
      </c>
      <c r="HT133" s="644">
        <f t="shared" ref="HT133:HT136" si="315">IF(AND(HJ133="On",HK133="On"),IM133/1000*INDEX(KG:KG,MATCH(C133*1000+4,$KF:$KF,0))*SUM(HY133:IA133)*1.1
+INDEX(HR:HR,MATCH(C133*1000+3,$KF:$KF,0))/INDEX(IL:IL,MATCH(C133*1000+3,$KF:$KF,0))*IL133*20%,0)</f>
        <v>12.121037804855227</v>
      </c>
      <c r="HU133" s="644">
        <f t="shared" ref="HU133:HU136" si="316">IF(HJ133="On",IN133/1000*INDEX(KG:KG,MATCH(C133*1000+5,$KF:$KF,0))*SUM(HY133:IA133)*1.1
-INDEX(HR:HR,MATCH(C133*1000+3,$KF:$KF,0))/INDEX(IL:IL,MATCH(C133*1000+3,$KF:$KF,0))*IL133*20%
-INDEX(HR:HR,MATCH(C133*1000+4,$KF:$KF,0))/INDEX(IM:IM,MATCH(C133*1000+4,$KF:$KF,0))*IM133*20%,0)</f>
        <v>6.9808070525989914</v>
      </c>
      <c r="HV133" s="648">
        <f t="shared" ref="HV133:HV136" si="317">IL133/1000*0+IM133/1000*0+IN133/1000*0
+(CP133-INDEX(CP:CP,MATCH(C133*1000+1,A:A,0)))/1000*0+IF(FU133&gt;0,0,0)</f>
        <v>0</v>
      </c>
      <c r="HW133" s="648">
        <f t="shared" ref="HW133:HW136" si="318">IL133/1000*0+IM133/1000*0+IN133/1000*0
+(CP133-INDEX(CP:CP,MATCH(C133*1000+1,A:A,0)))/1000*0+IF(FU133&gt;0,0,0)</f>
        <v>0</v>
      </c>
      <c r="HX133" s="648">
        <f t="shared" ref="HX133:HX136" si="319">IL133/1000*0+IM133/1000*0+IN133/1000*0
+(CP133-INDEX(CP:CP,MATCH(C133*1000+1,A:A,0)))/1000*0+IF(FU133&gt;0,0,0)</f>
        <v>0</v>
      </c>
      <c r="HY133" s="644">
        <f>INDEX(Input!$1:$1048576,HY$93,$C133*2+6)*INDEX(Input!$1:$1048576,$JG$93,$C133*2+6)</f>
        <v>110.00000000000001</v>
      </c>
      <c r="HZ133" s="644">
        <f>INDEX(Input!$1:$1048576,HZ$93,$C133*2+6)*INDEX(Input!$1:$1048576,$JG$93,$C133*2+6)</f>
        <v>157</v>
      </c>
      <c r="IA133" s="644">
        <f>INDEX(Input!$1:$1048576,IA$93,$C133*2+6)*INDEX(Input!$1:$1048576,$JG$93,$C133*2+6)</f>
        <v>179</v>
      </c>
      <c r="IB133" s="644">
        <f t="shared" ref="IB133:IB136" si="320">SUM(HP133:IA133)-IC133-ID133</f>
        <v>154.08129428219789</v>
      </c>
      <c r="IC133" s="644">
        <f t="shared" ref="IC133:IC136" si="321">MAX(HZ133+HQ133+HT133+HW133,0%)</f>
        <v>173.78050389097643</v>
      </c>
      <c r="ID133" s="644">
        <f>IF(AND(INDEX(Input!$1:$1048576,IA$93,$C133*2+7)="TOS",Y133&lt;=INDEX(Y:Y,MATCH(C133*1000+2,A:A))),0,1)*MAX(IA133+HR133+HU133+HX133,0%)</f>
        <v>154.12549642319172</v>
      </c>
      <c r="IE133" s="128">
        <f t="shared" ref="IE133:IE136" si="322">IB133/SUM($IB133:$ID133)</f>
        <v>0.31967916169083099</v>
      </c>
      <c r="IF133" s="128">
        <f t="shared" ref="IF133:IF136" si="323">IC133/SUM($IB133:$ID133)</f>
        <v>0.36054996851422533</v>
      </c>
      <c r="IG133" s="128">
        <f t="shared" ref="IG133:IG136" si="324">ID133/SUM($IB133:$ID133)</f>
        <v>0.31977086979494368</v>
      </c>
      <c r="IH133" s="21"/>
      <c r="II133" s="19">
        <f t="shared" ref="II133:II136" si="325">VLOOKUP($C133*1000+1,$A:$HH,FW$92,FALSE)-VLOOKUP($C133*1000+1,$A:$HH,FA$92,FALSE)*VLOOKUP($C133*1000+1,$A:$HH,DZ$92,FALSE)/VLOOKUP($C133*1000+1,$A:$HH,FT$92,FALSE)</f>
        <v>1240</v>
      </c>
      <c r="IJ133" s="19">
        <f t="shared" ref="IJ133:IJ136" si="326">VLOOKUP($C133*1000+1,$A:$HH,FX$92,FALSE)</f>
        <v>2009.7221397149679</v>
      </c>
      <c r="IK133" s="19">
        <f t="shared" ref="IK133:IK136" si="327">VLOOKUP($C133*1000+1,$A:$HH,FY$92,FALSE)</f>
        <v>2070</v>
      </c>
      <c r="IL133" s="19">
        <f t="shared" ref="IL133:IL136" si="328">(FW133-FA133*DZ133/FT133)-II133</f>
        <v>779.99999999999977</v>
      </c>
      <c r="IM133" s="19">
        <f t="shared" ref="IM133:IM136" si="329">FX133-IJ133</f>
        <v>780</v>
      </c>
      <c r="IN133" s="19">
        <f t="shared" ref="IN133:IN136" si="330">FY133-IK133</f>
        <v>15</v>
      </c>
      <c r="IO133" s="39">
        <f t="shared" ref="IO133:IO136" si="331">(F133-VLOOKUP($C133*1000+1,$A:$HH,F$92,FALSE))*(1-$I133)</f>
        <v>0</v>
      </c>
      <c r="IP133" s="39">
        <f t="shared" ref="IP133:IP136" si="332">(G133-VLOOKUP($C133*1000+1,$A:$HH,G$92,FALSE))*(1-$I133)</f>
        <v>0</v>
      </c>
      <c r="IQ133" s="39">
        <f t="shared" ref="IQ133:IQ136" si="333">(H133-VLOOKUP($C133*1000+1,$A:$HH,H$92,FALSE))*(1-$I133)</f>
        <v>0</v>
      </c>
      <c r="IR133" s="39">
        <v>0</v>
      </c>
      <c r="IS133" s="39">
        <v>0</v>
      </c>
      <c r="IT133" s="39">
        <v>0</v>
      </c>
      <c r="IU133" s="39">
        <v>0</v>
      </c>
      <c r="IV133" s="39">
        <v>0</v>
      </c>
      <c r="IW133" s="39">
        <v>0</v>
      </c>
      <c r="IX133" s="39">
        <f>INDEX(Input!$1:$1048576,IX$93,$C133*2+6)+INDEX(Input!$1:$1048576,IX$94,$C133*2+6)</f>
        <v>1270</v>
      </c>
      <c r="IY133" s="39">
        <f>INDEX(Input!$1:$1048576,IY$93,$C133*2+6)+INDEX(Input!$1:$1048576,IY$94,$C133*2+6)</f>
        <v>2130.0624533823611</v>
      </c>
      <c r="IZ133" s="39">
        <f>INDEX(Input!$1:$1048576,IZ$93,$C133*2+6)+INDEX(Input!$1:$1048576,IZ$94,$C133*2+6)</f>
        <v>4373.7164157747848</v>
      </c>
      <c r="JA133" s="19">
        <f t="shared" ref="JA133:JA136" si="334">(IL133+IO133+IR133+IU133+IX133)</f>
        <v>2050</v>
      </c>
      <c r="JB133" s="19">
        <f t="shared" ref="JB133:JB136" si="335">(IM133+IP133+IS133+IV133+IY133)</f>
        <v>2910.0624533823611</v>
      </c>
      <c r="JC133" s="19">
        <f t="shared" ref="JC133:JC136" si="336">(IN133+IQ133+IT133+IW133+IZ133)</f>
        <v>4388.7164157747848</v>
      </c>
      <c r="JD133" s="19">
        <f t="shared" ref="JD133:JD136" si="337">SUMPRODUCT(IE133:IG133,JA133:JC133)</f>
        <v>3107.948872963294</v>
      </c>
      <c r="JE133" s="21"/>
      <c r="JF133" s="1">
        <f t="shared" ref="JF133:JF136" si="338">VLOOKUP($C133*1000+1,$A:$HH,GD$92,FALSE)</f>
        <v>1.022782493188582E-2</v>
      </c>
      <c r="JG133" s="15">
        <f>INDEX(Input!$1:$1048576,JG$93,$C133*2+6)/(1+VLOOKUP(C133*1000+INDEX(Input!$1:$1048576,JG$93+1,$C133*2+6),$A:$KK,$JK$92,FALSE))</f>
        <v>446</v>
      </c>
      <c r="JH133" s="1">
        <f t="shared" ref="JH133:JH136" si="339">SUM(HP133:HR133)/SUM(HY133:IA133)</f>
        <v>7.0574749931538366E-2</v>
      </c>
      <c r="JI133" s="1">
        <f t="shared" ref="JI133:JI136" si="340">SUM(HS133:HU133)/SUM(HY133:IA133)</f>
        <v>1.0114251405605216E-2</v>
      </c>
      <c r="JJ133" s="1">
        <f t="shared" ref="JJ133:JJ136" si="341">SUM(HV133:HX133)/SUM(HY133:IA133)</f>
        <v>0</v>
      </c>
      <c r="JK133" s="1">
        <f t="shared" ref="JK133:JK136" si="342">SUM(JH133:JJ133)</f>
        <v>8.0689001337143587E-2</v>
      </c>
      <c r="JL133" s="15">
        <f t="shared" ref="JL133:JL136" si="343">JG133*JK133</f>
        <v>35.987294596366041</v>
      </c>
      <c r="JM133" s="15">
        <f t="shared" ref="JM133:JM136" si="344">JG133+JL133</f>
        <v>481.98729459636604</v>
      </c>
      <c r="JN133" s="21"/>
      <c r="JO133" s="19">
        <f>INDEX(Input!$1:$1048576,JO$93,$C133*2+6)</f>
        <v>5995.5</v>
      </c>
      <c r="JP133" s="19">
        <f>INDEX(Input!$1:$1048576,JP$93,$C133*2+6)</f>
        <v>2818.4193802796353</v>
      </c>
      <c r="JQ133" s="39">
        <f t="shared" ref="JQ133:JQ136" si="345">JO133-JD133</f>
        <v>2887.551127036706</v>
      </c>
      <c r="JR133" s="39">
        <f t="shared" ref="JR133:JR136" si="346">JD133-JP133</f>
        <v>289.52949268365865</v>
      </c>
      <c r="JS133" s="39">
        <f t="shared" ref="JS133:JS136" si="347">JM133*JD133/1000000</f>
        <v>1.4979918690234029</v>
      </c>
      <c r="JT133" s="39">
        <f t="shared" ref="JT133:JT136" si="348">(JD133*JM133-JP133*JG133)/1000000</f>
        <v>0.24097682541868556</v>
      </c>
      <c r="JU133" s="385">
        <f>(JQ133*JM133-INDEX(Input!$1:$1048576,Input!A$18,$C133*2+6)*JL133*INDEX(Input!$1:$1048576,Input!A$19,$C133*2+6))/1000000</f>
        <v>1.3917629557291098</v>
      </c>
      <c r="JV133" s="39">
        <f t="shared" ref="JV133:JV136" si="349">JU133-(JO133-JP133)*JG133/1000000</f>
        <v>-2.5215000666172882E-2</v>
      </c>
      <c r="JW133" s="1">
        <f t="shared" ref="JW133:JW136" si="350">JV133/(JU133-JV133)</f>
        <v>-1.7794913853366158E-2</v>
      </c>
      <c r="JX133" s="19">
        <f t="shared" ref="JX133:JX136" si="351">IF(JL133=0,0,JT133/JL133)*1000000</f>
        <v>6696.1639690197544</v>
      </c>
      <c r="JZ133" s="341"/>
      <c r="KA133" s="342"/>
      <c r="KB133" s="469">
        <f t="shared" si="110"/>
        <v>2.9286733661474216</v>
      </c>
      <c r="KI133" s="473">
        <f t="shared" ref="KI133:KI136" si="352">$JM133*IE133-$JG133*HY133/SUM($HY133:$IA133)</f>
        <v>44.081294282197874</v>
      </c>
      <c r="KJ133" s="473">
        <f t="shared" ref="KJ133:KJ136" si="353">$JM133*IF133-$JG133*HZ133/SUM($HY133:$IA133)</f>
        <v>16.780503890976433</v>
      </c>
      <c r="KK133" s="473">
        <f t="shared" ref="KK133:KK136" si="354">$JM133*IG133-$JG133*IA133/SUM($HY133:$IA133)</f>
        <v>-24.87450357680828</v>
      </c>
      <c r="KN133" s="544">
        <f t="shared" ref="KN133:KN136" si="355">KM133+(KN132-KM132)</f>
        <v>1002</v>
      </c>
      <c r="KO133" s="541">
        <f t="shared" ref="KO133:KO136" si="356">JM133/INDEX(JM:JM,MATCH(KN133,A:A,0))-1</f>
        <v>7.6259231334938393E-2</v>
      </c>
      <c r="KP133" s="546">
        <f t="shared" ref="KP133:KP136" si="357">(IL133-INDEX(IL:IL,MATCH(KN133,A:A,0)))*IE133
+(IM133-IF(HN133=0,INDEX(IX:IX,MATCH(KN133,A:A,0)),INDEX(IM:IM,MATCH(KN133,A:A,0))))*IF133
+(IN133-INDEX(IN:IN,MATCH(KN133,A:A,0)))*IG133</f>
        <v>510.17184765379216</v>
      </c>
      <c r="KQ133" s="546">
        <f t="shared" ref="KQ133:KQ136" si="358">JD133-INDEX(JD:JD,MATCH(KN133,A:A,0))</f>
        <v>268.63267294464231</v>
      </c>
      <c r="KR133" s="548">
        <f t="shared" ref="KR133:KR136" si="359">KO133/(KP133/(BX133-INDEX(JD:JD,MATCH(KN133,A:A,0))))</f>
        <v>2.5628945879933722</v>
      </c>
      <c r="KS133" s="548">
        <f t="shared" ref="KS133:KS136" si="360">KO133/(KQ133/(BX133-INDEX(JD:JD,MATCH(KN133,A:A,0))))</f>
        <v>4.8673031949763086</v>
      </c>
      <c r="KT133" s="473">
        <f t="shared" si="112"/>
        <v>238.28695973331548</v>
      </c>
      <c r="KU133" s="663">
        <f t="shared" ref="KU133:KU136" si="361">IF(D133="",0,IFERROR((JM133/KT133-1)/(JD133/BX133)+B133*10^-6,0))</f>
        <v>6.5764014395378085</v>
      </c>
      <c r="KV133" s="117"/>
    </row>
    <row r="134" spans="1:308" s="26" customFormat="1" ht="15">
      <c r="A134" s="561">
        <f t="shared" si="306"/>
        <v>1034</v>
      </c>
      <c r="B134" s="561">
        <f t="shared" si="104"/>
        <v>34</v>
      </c>
      <c r="C134" s="561">
        <f t="shared" si="105"/>
        <v>1</v>
      </c>
      <c r="D134" s="561" t="str">
        <f t="shared" si="294"/>
        <v xml:space="preserve">1000 CC, 1000 Combo, </v>
      </c>
      <c r="E134" s="475">
        <f>INDEX(Input!$1:$1048576,E$93,$C134*2+MIN($B134,2)+5)
+INDEX(Scenarios!E$121:E$200,MATCH($B134,Scenarios!$B$121:$B$200,0))</f>
        <v>2229</v>
      </c>
      <c r="F134" s="475">
        <f>INDEX(Input!$1:$1048576,F$93,$C134*2+MIN($B134,2)+5)
+INDEX(Scenarios!F$121:F$200,MATCH($B134,Scenarios!$B$121:$B$200,0))</f>
        <v>0</v>
      </c>
      <c r="G134" s="475">
        <f>INDEX(Input!$1:$1048576,G$93,$C134*2+MIN($B134,2)+5)
+INDEX(Scenarios!G$121:G$200,MATCH($B134,Scenarios!$B$121:$B$200,0))</f>
        <v>0</v>
      </c>
      <c r="H134" s="475">
        <f>INDEX(Input!$1:$1048576,H$93,$C134*2+MIN($B134,2)+5)
+INDEX(Scenarios!H$121:H$200,MATCH($B134,Scenarios!$B$121:$B$200,0))</f>
        <v>0</v>
      </c>
      <c r="I134" s="476">
        <f>INDEX(Input!$1:$1048576,I$93,$C134*2+MIN($B134,2)+5)</f>
        <v>0.7</v>
      </c>
      <c r="J134" s="476" t="str">
        <f>INDEX(Input!$1:$1048576,J$93,$C134*2+MIN($B134,2)+5)</f>
        <v>Market</v>
      </c>
      <c r="K134" s="476" t="str">
        <f>INDEX(Input!$1:$1048576,K$93,$C134*2+MIN($B134,2)+5)</f>
        <v>Market</v>
      </c>
      <c r="L134" s="476" t="str">
        <f>INDEX(Input!$1:$1048576,L$93,$C134*2+MIN($B134,2)+5)</f>
        <v>Market</v>
      </c>
      <c r="M134" s="476" t="str">
        <f>INDEX(Input!$1:$1048576,M$93,$C134*2+MIN($B134,2)+5)</f>
        <v>Market</v>
      </c>
      <c r="N134" s="476" t="str">
        <f>INDEX(Input!$1:$1048576,N$93,$C134*2+MIN($B134,2)+5)</f>
        <v>Market</v>
      </c>
      <c r="O134" s="476" t="str">
        <f>INDEX(Input!$1:$1048576,O$93,$C134*2+MIN($B134,2)+5)</f>
        <v>Market</v>
      </c>
      <c r="P134" s="476" t="str">
        <f>INDEX(Input!$1:$1048576,P$93,$C134*2+MIN($B134,2)+5)</f>
        <v>N</v>
      </c>
      <c r="Q134" s="477">
        <f>INDEX(Input!$1:$1048576,Q$93,$C134*2+MIN($B134,2)+5)
+INDEX(Scenarios!Q$121:Q$200,MATCH($B134,Scenarios!$B$121:$B$200,0))</f>
        <v>1000</v>
      </c>
      <c r="R134" s="478">
        <f>IFERROR(MAX(0,INDEX(Input!$1:$1048576,R$93,$C134*2+MIN($B134,2)+5)
+INDEX(Scenarios!R$121:R$200,MATCH($B134,Scenarios!$B$121:$B$200,0)),),"Market")</f>
        <v>0</v>
      </c>
      <c r="S134" s="478">
        <f>IFERROR(MAX(0,INDEX(Input!$1:$1048576,S$93,$C134*2+MIN($B134,2)+5)
+INDEX(Scenarios!S$121:S$200,MATCH($B134,Scenarios!$B$121:$B$200,0)),),"Market")</f>
        <v>0</v>
      </c>
      <c r="T134" s="478">
        <f>IFERROR(MAX(0,INDEX(Input!$1:$1048576,T$93,$C134*2+MIN($B134,2)+5)
+INDEX(Scenarios!T$121:T$200,MATCH($B134,Scenarios!$B$121:$B$200,0)),),"Market")</f>
        <v>0</v>
      </c>
      <c r="U134" s="478">
        <f>IFERROR(MAX(0,INDEX(Input!$1:$1048576,U$93,$C134*2+MIN($B134,2)+5)
+INDEX(Scenarios!U$121:U$200,MATCH($B134,Scenarios!$B$121:$B$200,0)),),"Market")</f>
        <v>0</v>
      </c>
      <c r="V134" s="478">
        <f>IFERROR(MAX(0,INDEX(Input!$1:$1048576,V$93,$C134*2+MIN($B134,2)+5)
+INDEX(Scenarios!V$121:V$200,MATCH($B134,Scenarios!$B$121:$B$200,0)),),"Market")</f>
        <v>1.9E-2</v>
      </c>
      <c r="W134" s="885">
        <f>IFERROR(MAX(0,INDEX(Input!$1:$1048576,W$93,$C134*2+MIN($B134,2)+5)-0%,),"Market")</f>
        <v>3.9E-2</v>
      </c>
      <c r="X134" s="476" t="str">
        <f>INDEX(Input!$1:$1048576,X$93,$C134*2+MIN($B134,2)+5)</f>
        <v>Y</v>
      </c>
      <c r="Y134" s="475">
        <f>INDEX(Input!$1:$1048576,Y$93,$C134*2+MIN($B134,2)+5)
++INDEX(Scenarios!Y$121:Y$200,MATCH($B134,Scenarios!$B$121:$B$200,0))</f>
        <v>1942</v>
      </c>
      <c r="Z134" s="477">
        <f>INDEX(Input!$1:$1048576,Z$93,$C134*2+MIN($B134,2)+5)
+INDEX(Scenarios!Z$121:Z$200,MATCH($B134,Scenarios!$B$121:$B$200,0))</f>
        <v>0</v>
      </c>
      <c r="AA134" s="475">
        <f>INDEX(Input!$1:$1048576,AA$93,$C134*2+MIN($B134,2)+5)
+INDEX(Scenarios!AA$121:AA$200,MATCH($B134,Scenarios!$B$121:$B$200,0))</f>
        <v>0</v>
      </c>
      <c r="AB134" s="476">
        <f>INDEX(Input!$1:$1048576,AB$93,$C134*2+MIN($B134,2)+5)</f>
        <v>0.27</v>
      </c>
      <c r="AC134" s="475">
        <f>INDEX(Input!$1:$1048576,AC$93,$C134*2+MIN($B134,2)+5)
+INDEX(Scenarios!AC$121:AC$200,MATCH($B134,Scenarios!$B$121:$B$200,0))</f>
        <v>0</v>
      </c>
      <c r="AD134" s="476">
        <f>INDEX(Input!$1:$1048576,AD$93,$C134*2+MIN($B134,2)+5)</f>
        <v>0.27</v>
      </c>
      <c r="AE134" s="475">
        <f>INDEX(Input!$1:$1048576,AE$93,$C134*2+MIN($B134,2)+5)
+INDEX(Scenarios!AE$121:AE$200,MATCH($B134,Scenarios!$B$121:$B$200,0))</f>
        <v>0</v>
      </c>
      <c r="AF134" s="476">
        <f>INDEX(Input!$1:$1048576,AF$93,$C134*2+MIN($B134,2)+5)</f>
        <v>0.38</v>
      </c>
      <c r="AG134" s="475">
        <f>INDEX(Input!$1:$1048576,AG$93,$C134*2+MIN($B134,2)+5)
+INDEX(Scenarios!AG$121:AG$200,MATCH($B134,Scenarios!$B$121:$B$200,0))</f>
        <v>0</v>
      </c>
      <c r="AH134" s="476">
        <f>INDEX(Input!$1:$1048576,AH$93,$C134*2+MIN($B134,2)+5)</f>
        <v>0</v>
      </c>
      <c r="AI134" s="475">
        <f>INDEX(Input!$1:$1048576,AI$93,$C134*2+MIN($B134,2)+5)
+INDEX(Scenarios!AI$121:AI$200,MATCH($B134,Scenarios!$B$121:$B$200,0))</f>
        <v>0</v>
      </c>
      <c r="AJ134" s="476">
        <f>INDEX(Input!$1:$1048576,AJ$93,$C134*2+MIN($B134,2)+5)</f>
        <v>0.27</v>
      </c>
      <c r="AK134" s="150">
        <f>ROUND(INDEX(Input!$1:$1048576,AK$93,$C133*2+MIN($B134,1)+5)+(Y134-VLOOKUP($C134*1000+1,$A:$HH,Y$92,FALSE)),0)</f>
        <v>3757</v>
      </c>
      <c r="AL134" s="150">
        <f>ROUND(INDEX(Input!$1:$1048576,AL$93,$C133*2+MIN($B134,1)+5)-(Y134-VLOOKUP($C134*1000+1,$A:$HH,Y$92,FALSE))/36,0)</f>
        <v>4113</v>
      </c>
      <c r="AM134" s="32" t="str">
        <f t="shared" si="307"/>
        <v>std/std/std/std</v>
      </c>
      <c r="AN134" s="32" t="str">
        <f t="shared" si="308"/>
        <v>$1000 + 0/0/0/1.9/3.9</v>
      </c>
      <c r="AO134" s="32" t="str">
        <f t="shared" si="309"/>
        <v>0/0/0/1.9/3.9</v>
      </c>
      <c r="AP134" s="32" t="str">
        <f t="shared" si="73"/>
        <v>0/0.9/1.9/3.9</v>
      </c>
      <c r="AQ134" s="536">
        <f t="shared" si="39"/>
        <v>0.34214938405407841</v>
      </c>
      <c r="AR134" s="32"/>
      <c r="AS134" s="302"/>
      <c r="AT134" s="3">
        <f t="shared" si="106"/>
        <v>34</v>
      </c>
      <c r="AU134" s="41" t="s">
        <v>121</v>
      </c>
      <c r="AV134" s="41" t="s">
        <v>116</v>
      </c>
      <c r="AW134" s="41" t="str">
        <f>INDEX(Input!$1:$1048576,AW$93,$C134*2+6)</f>
        <v>Kia</v>
      </c>
      <c r="AX134" s="41" t="str">
        <f>INDEX(Input!$1:$1048576,AX$93,$C134*2+6)</f>
        <v>Kia-LR - L1</v>
      </c>
      <c r="AY134" s="41" t="str">
        <f>IF(LEN(D134)=0,"",INDEX(Input!$1:$1048576,AY$93,$C134*2+6))</f>
        <v>Compact SUV (52)</v>
      </c>
      <c r="AZ134" s="41" t="str">
        <f>INDEX(Input!$1:$1048576,AZ$93,$C134*2+6)</f>
        <v>Kia Soul</v>
      </c>
      <c r="BA134" s="3">
        <f>INDEX(Input!$1:$1048576,BA$93,$C134*2+6)</f>
        <v>2020</v>
      </c>
      <c r="BB134" s="128">
        <f>INDEX(Input!$1:$1048576,BB$93,$C134*2+6)</f>
        <v>1</v>
      </c>
      <c r="BC134" s="128">
        <f>INDEX(Input!$1:$1048576,BC$93,$C134*2+6)</f>
        <v>0.7</v>
      </c>
      <c r="BD134" s="1">
        <f>INDEX(Input!$1:$1048576,BD$93,$C134*2+6)</f>
        <v>4.4999999999999998E-2</v>
      </c>
      <c r="BE134" s="1">
        <f>INDEX(Input!$1:$1048576,BE$93,$C134*2+6)</f>
        <v>4.4999999999999998E-2</v>
      </c>
      <c r="BF134" s="1">
        <f>INDEX(Input!$1:$1048576,BF$93,$C134*2+6)</f>
        <v>0.05</v>
      </c>
      <c r="BG134" s="1">
        <f>INDEX(Input!$1:$1048576,BG$93,$C134*2+6)</f>
        <v>5.45E-2</v>
      </c>
      <c r="BH134" s="1">
        <f>INDEX(Input!$1:$1048576,BH$93,$C134*2+6)</f>
        <v>5.45E-2</v>
      </c>
      <c r="BI134" s="1">
        <f>INDEX(Input!$1:$1048576,BI$93,$C134*2+6)</f>
        <v>0.05</v>
      </c>
      <c r="BJ134" s="1">
        <f>INDEX(Input!$1:$1048576,BJ$93,$C134*2+6)</f>
        <v>0.05</v>
      </c>
      <c r="BK134" s="1">
        <f>INDEX(Input!$1:$1048576,BK$93,$C134*2+6)</f>
        <v>0.05</v>
      </c>
      <c r="BL134" s="1">
        <f>INDEX(Input!$1:$1048576,BL$93,$C134*2+6)</f>
        <v>5.5E-2</v>
      </c>
      <c r="BM134" s="1">
        <f>INDEX(Input!$1:$1048576,BM$93,$C134*2+6)</f>
        <v>0.06</v>
      </c>
      <c r="BN134" s="1">
        <f>INDEX(Input!$1:$1048576,BN$93,$C134*2+6)</f>
        <v>4.4999999999999998E-2</v>
      </c>
      <c r="BO134" s="1">
        <f>INDEX(Input!$1:$1048576,BO$93,$C134*2+6)</f>
        <v>4.4999999999999998E-2</v>
      </c>
      <c r="BP134" s="1">
        <f>INDEX(Input!$1:$1048576,BP$93,$C134*2+6)</f>
        <v>0.05</v>
      </c>
      <c r="BQ134" s="1">
        <f>INDEX(Input!$1:$1048576,BQ$93,$C134*2+6)</f>
        <v>5.45E-2</v>
      </c>
      <c r="BR134" s="1">
        <f>INDEX(Input!$1:$1048576,BR$93,$C134*2+6)</f>
        <v>5.45E-2</v>
      </c>
      <c r="BS134" s="1">
        <f>INDEX(Input!$1:$1048576,BS$93,$C134*2+6)</f>
        <v>0.05</v>
      </c>
      <c r="BT134" s="1">
        <f>INDEX(Input!$1:$1048576,BT$93,$C134*2+6)</f>
        <v>0.05</v>
      </c>
      <c r="BU134" s="1">
        <f>INDEX(Input!$1:$1048576,BU$93,$C134*2+6)</f>
        <v>0.05</v>
      </c>
      <c r="BV134" s="1">
        <f>INDEX(Input!$1:$1048576,BV$93,$C134*2+6)</f>
        <v>5.5E-2</v>
      </c>
      <c r="BW134" s="1">
        <f>INDEX(Input!$1:$1048576,BW$93,$C134*2+6)</f>
        <v>0.06</v>
      </c>
      <c r="BX134" s="127">
        <f>INDEX(Input!$1:$1048576,BX$93,$C134*2+6)</f>
        <v>19985</v>
      </c>
      <c r="BY134" s="20">
        <f>INDEX(Input!$1:$1048576,BY$93,$C134*2+6)</f>
        <v>0.1</v>
      </c>
      <c r="BZ134" s="20">
        <f>INDEX(Input!$1:$1048576,BZ$93,$C134*2+6)</f>
        <v>0.1</v>
      </c>
      <c r="CA134" s="20">
        <f>INDEX(Input!$1:$1048576,CA$93,$C134*2+6)</f>
        <v>0.1</v>
      </c>
      <c r="CB134" s="20">
        <f>INDEX(Input!$1:$1048576,CB$93,$C134*2+6)</f>
        <v>0.1</v>
      </c>
      <c r="CC134" s="20">
        <f>INDEX(Input!$1:$1048576,CC$93,$C134*2+6)</f>
        <v>0.1</v>
      </c>
      <c r="CD134" s="384">
        <f>INDEX(Input!$1:$1048576,CD$93,$C134*2+6)</f>
        <v>0.1</v>
      </c>
      <c r="CE134" s="384">
        <f>INDEX(Input!$1:$1048576,CE$93,$C134*2+6)</f>
        <v>0.1</v>
      </c>
      <c r="CF134" s="384">
        <f>INDEX(Input!$1:$1048576,CF$93,$C134*2+6)</f>
        <v>0.1</v>
      </c>
      <c r="CG134" s="384">
        <f>INDEX(Input!$1:$1048576,CG$93,$C134*2+6)</f>
        <v>0.1</v>
      </c>
      <c r="CH134" s="384">
        <f>INDEX(Input!$1:$1048576,CH$93,$C134*2+6)</f>
        <v>0.1</v>
      </c>
      <c r="CI134" s="304">
        <f t="shared" si="74"/>
        <v>2229</v>
      </c>
      <c r="CJ134" s="16" t="str">
        <f>INDEX(Input!$1:$1048576,CJ$93,$C134*2+6)</f>
        <v>N</v>
      </c>
      <c r="CK134" s="1" t="str">
        <f t="shared" si="75"/>
        <v>Market</v>
      </c>
      <c r="CL134" s="1" t="str">
        <f t="shared" si="76"/>
        <v>Market</v>
      </c>
      <c r="CM134" s="1" t="str">
        <f t="shared" si="77"/>
        <v>Market</v>
      </c>
      <c r="CN134" s="1" t="str">
        <f t="shared" si="78"/>
        <v>Market</v>
      </c>
      <c r="CO134" s="1" t="str">
        <f t="shared" si="79"/>
        <v>Market</v>
      </c>
      <c r="CP134" s="304">
        <f t="shared" si="80"/>
        <v>1000</v>
      </c>
      <c r="CQ134" s="1">
        <f t="shared" si="81"/>
        <v>0</v>
      </c>
      <c r="CR134" s="1">
        <f t="shared" si="82"/>
        <v>0</v>
      </c>
      <c r="CS134" s="1">
        <f t="shared" si="83"/>
        <v>0</v>
      </c>
      <c r="CT134" s="1">
        <f t="shared" si="84"/>
        <v>1.9E-2</v>
      </c>
      <c r="CU134" s="1">
        <f t="shared" si="85"/>
        <v>3.9E-2</v>
      </c>
      <c r="CV134" s="304">
        <f t="shared" si="86"/>
        <v>1942</v>
      </c>
      <c r="CW134" s="20" t="s">
        <v>122</v>
      </c>
      <c r="CX134" s="20" t="s">
        <v>122</v>
      </c>
      <c r="CY134" s="20" t="s">
        <v>122</v>
      </c>
      <c r="CZ134" s="20" t="s">
        <v>122</v>
      </c>
      <c r="DA134" s="20" t="s">
        <v>122</v>
      </c>
      <c r="DB134" s="503">
        <f t="shared" si="87"/>
        <v>0</v>
      </c>
      <c r="DC134" s="127">
        <v>0</v>
      </c>
      <c r="DD134" s="127">
        <v>0</v>
      </c>
      <c r="DE134" s="127">
        <v>0</v>
      </c>
      <c r="DF134" s="127">
        <v>0</v>
      </c>
      <c r="DG134" s="127">
        <v>0</v>
      </c>
      <c r="DH134" s="127">
        <v>0</v>
      </c>
      <c r="DI134" s="127">
        <v>0</v>
      </c>
      <c r="DJ134" s="127">
        <v>0</v>
      </c>
      <c r="DK134" s="127">
        <v>0</v>
      </c>
      <c r="DL134" s="127">
        <v>0</v>
      </c>
      <c r="DM134" s="304">
        <f>INDEX(Input!$1:$1048576,DM$93,$C134*2+6)</f>
        <v>21036.84210526316</v>
      </c>
      <c r="DN134" s="20">
        <v>0</v>
      </c>
      <c r="DO134" s="20">
        <v>0</v>
      </c>
      <c r="DP134" s="20">
        <v>0</v>
      </c>
      <c r="DQ134" s="20">
        <v>0</v>
      </c>
      <c r="DR134" s="20">
        <v>0</v>
      </c>
      <c r="DS134" s="20">
        <f>INDEX(Input!$1:$1048576,DS$93,$C134*2+6)</f>
        <v>0.6</v>
      </c>
      <c r="DT134" s="20">
        <f>INDEX(Input!$1:$1048576,DT$93,$C134*2+6)</f>
        <v>0.55000000000000004</v>
      </c>
      <c r="DU134" s="20">
        <f>INDEX(Input!$1:$1048576,DU$93,$C134*2+6)</f>
        <v>0.52</v>
      </c>
      <c r="DV134" s="20">
        <f>INDEX(Input!$1:$1048576,DV$93,$C134*2+6)</f>
        <v>0.5</v>
      </c>
      <c r="DW134" s="20">
        <f>INDEX(Input!$1:$1048576,DW$93,$C134*2+6)</f>
        <v>0.45</v>
      </c>
      <c r="DX134" s="20"/>
      <c r="DY134" s="7">
        <v>0.12854609650993834</v>
      </c>
      <c r="DZ134" s="7">
        <v>0</v>
      </c>
      <c r="EA134" s="7">
        <v>0.54463211783169674</v>
      </c>
      <c r="EB134" s="7">
        <v>0</v>
      </c>
      <c r="EC134" s="7">
        <v>0</v>
      </c>
      <c r="ED134" s="7">
        <v>0</v>
      </c>
      <c r="EE134" s="7">
        <v>0</v>
      </c>
      <c r="EF134" s="7">
        <v>0</v>
      </c>
      <c r="EG134" s="7">
        <v>0</v>
      </c>
      <c r="EH134" s="7">
        <v>1.8402200445098653E-2</v>
      </c>
      <c r="EI134" s="7">
        <v>5.3739557110571878E-2</v>
      </c>
      <c r="EJ134" s="7">
        <v>0.33946684904131985</v>
      </c>
      <c r="EK134" s="7">
        <v>0.48247712639938084</v>
      </c>
      <c r="EL134" s="7">
        <v>0.10591426700362863</v>
      </c>
      <c r="EM134" s="7">
        <v>5.7314660816739894E-2</v>
      </c>
      <c r="EN134" s="7">
        <v>5.0824256578978509E-2</v>
      </c>
      <c r="EO134" s="7">
        <v>0.76815678085538386</v>
      </c>
      <c r="EP134" s="7">
        <v>7.9058197430733571E-2</v>
      </c>
      <c r="EQ134" s="7">
        <v>6.0271198631198945E-2</v>
      </c>
      <c r="ER134" s="7">
        <v>4.1689566503705214E-2</v>
      </c>
      <c r="ES134" s="7">
        <v>0.26950712484162515</v>
      </c>
      <c r="ET134" s="7">
        <v>0.32682178565836489</v>
      </c>
      <c r="EU134" s="6">
        <v>2270</v>
      </c>
      <c r="EV134" s="6">
        <v>0</v>
      </c>
      <c r="EW134" s="6">
        <v>2270</v>
      </c>
      <c r="EX134" s="6">
        <v>0</v>
      </c>
      <c r="EY134" s="6">
        <v>3039.7221397149674</v>
      </c>
      <c r="EZ134" s="6">
        <v>2085</v>
      </c>
      <c r="FA134" s="6">
        <v>0</v>
      </c>
      <c r="FB134" s="6">
        <v>0</v>
      </c>
      <c r="FC134" s="6">
        <v>0</v>
      </c>
      <c r="FD134" s="6">
        <v>0</v>
      </c>
      <c r="FE134" s="6">
        <v>0</v>
      </c>
      <c r="FF134" s="6">
        <v>0</v>
      </c>
      <c r="FG134" s="6">
        <v>0</v>
      </c>
      <c r="FH134" s="6">
        <v>1171.2811379695615</v>
      </c>
      <c r="FI134" s="6">
        <v>1553.9796069512395</v>
      </c>
      <c r="FJ134" s="6">
        <v>2101.2110117447405</v>
      </c>
      <c r="FK134" s="6">
        <v>1772.7139978623222</v>
      </c>
      <c r="FL134" s="6">
        <v>907.07682140966369</v>
      </c>
      <c r="FM134" s="6">
        <v>1769.7221397149674</v>
      </c>
      <c r="FN134" s="6">
        <v>0</v>
      </c>
      <c r="FO134" s="6">
        <v>0</v>
      </c>
      <c r="FP134" s="6">
        <v>0</v>
      </c>
      <c r="FQ134" s="6">
        <v>0</v>
      </c>
      <c r="FR134" s="6">
        <v>0</v>
      </c>
      <c r="FS134" s="6">
        <v>0</v>
      </c>
      <c r="FT134" s="7">
        <v>0.67317821434163505</v>
      </c>
      <c r="FU134" s="7">
        <v>5.7314660816739894E-2</v>
      </c>
      <c r="FV134" s="7">
        <v>0.26950712484162515</v>
      </c>
      <c r="FW134" s="6">
        <v>2270</v>
      </c>
      <c r="FX134" s="6">
        <v>3039.7221397149674</v>
      </c>
      <c r="FY134" s="6">
        <v>2085</v>
      </c>
      <c r="FZ134" s="6">
        <v>1952.7147957719815</v>
      </c>
      <c r="GA134" s="6">
        <v>2264.2575452651981</v>
      </c>
      <c r="GB134" s="6">
        <v>17720.742454734802</v>
      </c>
      <c r="GC134" s="7">
        <v>1.0519917368675835E-2</v>
      </c>
      <c r="GD134" s="7">
        <v>1.1210780736936113E-2</v>
      </c>
      <c r="GE134" s="7"/>
      <c r="GF134" s="7"/>
      <c r="GG134" s="7">
        <v>6.5671938671058069E-2</v>
      </c>
      <c r="GH134" s="42">
        <v>4.2127563439561673</v>
      </c>
      <c r="GI134" s="6">
        <v>7008.1825122696328</v>
      </c>
      <c r="GJ134" s="14">
        <v>0.50394797582841733</v>
      </c>
      <c r="GK134" s="14">
        <v>0.50887573065309744</v>
      </c>
      <c r="GL134" s="14">
        <v>0.49605202417158262</v>
      </c>
      <c r="GM134" s="14">
        <v>0.49112426934690245</v>
      </c>
      <c r="GO134" s="5">
        <v>343.14810671672558</v>
      </c>
      <c r="GP134" s="5">
        <v>299.84083725090579</v>
      </c>
      <c r="GQ134" s="5">
        <v>535.04305713031317</v>
      </c>
      <c r="GR134" s="5">
        <v>410.15490233172511</v>
      </c>
      <c r="GS134" s="5">
        <v>339.42744393800166</v>
      </c>
      <c r="GT134" s="5">
        <v>293.4407446948278</v>
      </c>
      <c r="GU134" s="5">
        <v>258.04012322764959</v>
      </c>
      <c r="GV134" s="39" t="s">
        <v>392</v>
      </c>
      <c r="GW134" s="5">
        <v>464.34722222222223</v>
      </c>
      <c r="GX134" s="5">
        <v>348.26041666666669</v>
      </c>
      <c r="GY134" s="5">
        <v>278.60833333333335</v>
      </c>
      <c r="GZ134" s="5">
        <v>245.84245344171217</v>
      </c>
      <c r="HA134" s="5">
        <v>227.72592165501612</v>
      </c>
      <c r="HB134" s="39">
        <v>264.57144879693601</v>
      </c>
      <c r="HC134" s="5">
        <v>196.06562499999998</v>
      </c>
      <c r="HD134" s="5">
        <v>177.54497441520465</v>
      </c>
      <c r="HE134" s="5">
        <v>183.15757844129553</v>
      </c>
      <c r="HF134" s="5">
        <v>172.69313048245613</v>
      </c>
      <c r="HG134" s="5">
        <v>170.66888157894735</v>
      </c>
      <c r="HH134" s="39">
        <v>178.35090729075009</v>
      </c>
      <c r="HI134" s="16"/>
      <c r="HJ134" s="19" t="str">
        <f t="shared" ref="HJ134" si="362">HJ133</f>
        <v>On</v>
      </c>
      <c r="HK134" s="1" t="str">
        <f t="shared" si="108"/>
        <v>On</v>
      </c>
      <c r="HL134" s="16"/>
      <c r="HM134" s="639">
        <f t="shared" si="311"/>
        <v>5.7455619280273196E-3</v>
      </c>
      <c r="HN134" s="639">
        <f t="shared" si="312"/>
        <v>5.0031960498701745E-4</v>
      </c>
      <c r="HO134" s="639">
        <f t="shared" si="313"/>
        <v>3.9819433988714835E-3</v>
      </c>
      <c r="HP134" s="644">
        <f>(FT134*$GD134-HM134)/$JF134*INDEX(Input!$1:$1048576,$JG$93,$C134*2+6)</f>
        <v>78.548076747343814</v>
      </c>
      <c r="HQ134" s="644">
        <f>(FU134*$GD134-HN134)/$JF134*INDEX(Input!$1:$1048576,$JG$93,$C134*2+6)</f>
        <v>6.2018299256449927</v>
      </c>
      <c r="HR134" s="644">
        <f>(FV134*$GD134-HO134)/$JF134*INDEX(Input!$1:$1048576,$JG$93,$C134*2+6)</f>
        <v>-41.886610520382639</v>
      </c>
      <c r="HS134" s="644">
        <f t="shared" si="314"/>
        <v>-19.267455631372982</v>
      </c>
      <c r="HT134" s="644">
        <f t="shared" si="315"/>
        <v>16.005985819231892</v>
      </c>
      <c r="HU134" s="644">
        <f t="shared" si="316"/>
        <v>9.154642632792461</v>
      </c>
      <c r="HV134" s="648">
        <f t="shared" si="317"/>
        <v>0</v>
      </c>
      <c r="HW134" s="648">
        <f t="shared" si="318"/>
        <v>0</v>
      </c>
      <c r="HX134" s="648">
        <f t="shared" si="319"/>
        <v>0</v>
      </c>
      <c r="HY134" s="644">
        <f>INDEX(Input!$1:$1048576,HY$93,$C134*2+6)*INDEX(Input!$1:$1048576,$JG$93,$C134*2+6)</f>
        <v>110.00000000000001</v>
      </c>
      <c r="HZ134" s="644">
        <f>INDEX(Input!$1:$1048576,HZ$93,$C134*2+6)*INDEX(Input!$1:$1048576,$JG$93,$C134*2+6)</f>
        <v>157</v>
      </c>
      <c r="IA134" s="644">
        <f>INDEX(Input!$1:$1048576,IA$93,$C134*2+6)*INDEX(Input!$1:$1048576,$JG$93,$C134*2+6)</f>
        <v>179</v>
      </c>
      <c r="IB134" s="644">
        <f t="shared" si="320"/>
        <v>169.28062111597083</v>
      </c>
      <c r="IC134" s="644">
        <f t="shared" si="321"/>
        <v>179.20781574487688</v>
      </c>
      <c r="ID134" s="644">
        <f>IF(AND(INDEX(Input!$1:$1048576,IA$93,$C134*2+7)="TOS",Y134&lt;=INDEX(Y:Y,MATCH(C134*1000+2,A:A))),0,1)*MAX(IA134+HR134+HU134+HX134,0%)</f>
        <v>146.26803211240983</v>
      </c>
      <c r="IE134" s="128">
        <f t="shared" si="322"/>
        <v>0.34214938405407841</v>
      </c>
      <c r="IF134" s="128">
        <f t="shared" si="323"/>
        <v>0.36221419422120454</v>
      </c>
      <c r="IG134" s="128">
        <f t="shared" si="324"/>
        <v>0.29563642172471699</v>
      </c>
      <c r="IH134" s="21"/>
      <c r="II134" s="19">
        <f t="shared" si="325"/>
        <v>1240</v>
      </c>
      <c r="IJ134" s="19">
        <f t="shared" si="326"/>
        <v>2009.7221397149679</v>
      </c>
      <c r="IK134" s="19">
        <f t="shared" si="327"/>
        <v>2070</v>
      </c>
      <c r="IL134" s="19">
        <f t="shared" si="328"/>
        <v>1030</v>
      </c>
      <c r="IM134" s="19">
        <f t="shared" si="329"/>
        <v>1029.9999999999995</v>
      </c>
      <c r="IN134" s="19">
        <f t="shared" si="330"/>
        <v>15</v>
      </c>
      <c r="IO134" s="39">
        <f t="shared" si="331"/>
        <v>0</v>
      </c>
      <c r="IP134" s="39">
        <f t="shared" si="332"/>
        <v>0</v>
      </c>
      <c r="IQ134" s="39">
        <f t="shared" si="333"/>
        <v>0</v>
      </c>
      <c r="IR134" s="39">
        <v>0</v>
      </c>
      <c r="IS134" s="39">
        <v>0</v>
      </c>
      <c r="IT134" s="39">
        <v>0</v>
      </c>
      <c r="IU134" s="39">
        <v>0</v>
      </c>
      <c r="IV134" s="39">
        <v>0</v>
      </c>
      <c r="IW134" s="39">
        <v>0</v>
      </c>
      <c r="IX134" s="39">
        <f>INDEX(Input!$1:$1048576,IX$93,$C134*2+6)+INDEX(Input!$1:$1048576,IX$94,$C134*2+6)</f>
        <v>1270</v>
      </c>
      <c r="IY134" s="39">
        <f>INDEX(Input!$1:$1048576,IY$93,$C134*2+6)+INDEX(Input!$1:$1048576,IY$94,$C134*2+6)</f>
        <v>2130.0624533823611</v>
      </c>
      <c r="IZ134" s="39">
        <f>INDEX(Input!$1:$1048576,IZ$93,$C134*2+6)+INDEX(Input!$1:$1048576,IZ$94,$C134*2+6)</f>
        <v>4373.7164157747848</v>
      </c>
      <c r="JA134" s="19">
        <f t="shared" si="334"/>
        <v>2300</v>
      </c>
      <c r="JB134" s="19">
        <f t="shared" si="335"/>
        <v>3160.0624533823607</v>
      </c>
      <c r="JC134" s="19">
        <f t="shared" si="336"/>
        <v>4388.7164157747848</v>
      </c>
      <c r="JD134" s="19">
        <f t="shared" si="337"/>
        <v>3229.0274756891376</v>
      </c>
      <c r="JE134" s="21"/>
      <c r="JF134" s="1">
        <f t="shared" si="338"/>
        <v>1.022782493188582E-2</v>
      </c>
      <c r="JG134" s="15">
        <f>INDEX(Input!$1:$1048576,JG$93,$C134*2+6)/(1+VLOOKUP(C134*1000+INDEX(Input!$1:$1048576,JG$93+1,$C134*2+6),$A:$KK,$JK$92,FALSE))</f>
        <v>446</v>
      </c>
      <c r="JH134" s="1">
        <f t="shared" si="339"/>
        <v>9.6106045185215608E-2</v>
      </c>
      <c r="JI134" s="1">
        <f t="shared" si="340"/>
        <v>1.3213391974554643E-2</v>
      </c>
      <c r="JJ134" s="1">
        <f t="shared" si="341"/>
        <v>0</v>
      </c>
      <c r="JK134" s="1">
        <f t="shared" si="342"/>
        <v>0.10931943715977024</v>
      </c>
      <c r="JL134" s="15">
        <f t="shared" si="343"/>
        <v>48.756468973257526</v>
      </c>
      <c r="JM134" s="15">
        <f t="shared" si="344"/>
        <v>494.75646897325754</v>
      </c>
      <c r="JN134" s="21"/>
      <c r="JO134" s="19">
        <f>INDEX(Input!$1:$1048576,JO$93,$C134*2+6)</f>
        <v>5995.5</v>
      </c>
      <c r="JP134" s="19">
        <f>INDEX(Input!$1:$1048576,JP$93,$C134*2+6)</f>
        <v>2818.4193802796353</v>
      </c>
      <c r="JQ134" s="39">
        <f t="shared" si="345"/>
        <v>2766.4725243108624</v>
      </c>
      <c r="JR134" s="39">
        <f t="shared" si="346"/>
        <v>410.60809540950231</v>
      </c>
      <c r="JS134" s="39">
        <f t="shared" si="347"/>
        <v>1.5975822320895889</v>
      </c>
      <c r="JT134" s="39">
        <f t="shared" si="348"/>
        <v>0.34056718848487155</v>
      </c>
      <c r="JU134" s="385">
        <f>(JQ134*JM134-INDEX(Input!$1:$1048576,Input!A$18,$C134*2+6)*JL134*INDEX(Input!$1:$1048576,Input!A$19,$C134*2+6))/1000000</f>
        <v>1.3687301776395766</v>
      </c>
      <c r="JV134" s="39">
        <f t="shared" si="349"/>
        <v>-4.8247778755706072E-2</v>
      </c>
      <c r="JW134" s="1">
        <f t="shared" si="350"/>
        <v>-3.4049773701805411E-2</v>
      </c>
      <c r="JX134" s="19">
        <f t="shared" si="351"/>
        <v>6985.0667133354045</v>
      </c>
      <c r="JZ134" s="341"/>
      <c r="KA134" s="342"/>
      <c r="KB134" s="469">
        <f t="shared" si="110"/>
        <v>2.9286733661474216</v>
      </c>
      <c r="KI134" s="473">
        <f t="shared" si="352"/>
        <v>59.280621115970817</v>
      </c>
      <c r="KJ134" s="473">
        <f t="shared" si="353"/>
        <v>22.207815744876854</v>
      </c>
      <c r="KK134" s="473">
        <f t="shared" si="354"/>
        <v>-32.731967887590173</v>
      </c>
      <c r="KN134" s="544">
        <f t="shared" si="355"/>
        <v>1002</v>
      </c>
      <c r="KO134" s="541">
        <f t="shared" si="356"/>
        <v>0.10477231031799294</v>
      </c>
      <c r="KP134" s="546">
        <f t="shared" si="357"/>
        <v>704.36357827528286</v>
      </c>
      <c r="KQ134" s="546">
        <f t="shared" si="358"/>
        <v>389.71127567048597</v>
      </c>
      <c r="KR134" s="548">
        <f t="shared" si="359"/>
        <v>2.5503773322642687</v>
      </c>
      <c r="KS134" s="548">
        <f t="shared" si="360"/>
        <v>4.6095481856797518</v>
      </c>
      <c r="KT134" s="473">
        <f t="shared" si="112"/>
        <v>238.28695973331548</v>
      </c>
      <c r="KU134" s="663">
        <f t="shared" si="361"/>
        <v>6.6614702604303035</v>
      </c>
      <c r="KV134" s="117"/>
    </row>
    <row r="135" spans="1:308" s="26" customFormat="1" ht="15">
      <c r="A135" s="561">
        <f t="shared" si="306"/>
        <v>1035</v>
      </c>
      <c r="B135" s="561">
        <f t="shared" si="104"/>
        <v>35</v>
      </c>
      <c r="C135" s="561">
        <f t="shared" si="105"/>
        <v>1</v>
      </c>
      <c r="D135" s="561" t="str">
        <f t="shared" si="294"/>
        <v xml:space="preserve">250 CC, 0/0/0.9/3.9, </v>
      </c>
      <c r="E135" s="475">
        <f>INDEX(Input!$1:$1048576,E$93,$C135*2+MIN($B135,2)+5)
+INDEX(Scenarios!E$121:E$200,MATCH($B135,Scenarios!$B$121:$B$200,0))</f>
        <v>1479</v>
      </c>
      <c r="F135" s="475">
        <f>INDEX(Input!$1:$1048576,F$93,$C135*2+MIN($B135,2)+5)
+INDEX(Scenarios!F$121:F$200,MATCH($B135,Scenarios!$B$121:$B$200,0))</f>
        <v>0</v>
      </c>
      <c r="G135" s="475">
        <f>INDEX(Input!$1:$1048576,G$93,$C135*2+MIN($B135,2)+5)
+INDEX(Scenarios!G$121:G$200,MATCH($B135,Scenarios!$B$121:$B$200,0))</f>
        <v>0</v>
      </c>
      <c r="H135" s="475">
        <f>INDEX(Input!$1:$1048576,H$93,$C135*2+MIN($B135,2)+5)
+INDEX(Scenarios!H$121:H$200,MATCH($B135,Scenarios!$B$121:$B$200,0))</f>
        <v>0</v>
      </c>
      <c r="I135" s="476">
        <f>INDEX(Input!$1:$1048576,I$93,$C135*2+MIN($B135,2)+5)</f>
        <v>0.7</v>
      </c>
      <c r="J135" s="476" t="str">
        <f>INDEX(Input!$1:$1048576,J$93,$C135*2+MIN($B135,2)+5)</f>
        <v>Market</v>
      </c>
      <c r="K135" s="476" t="str">
        <f>INDEX(Input!$1:$1048576,K$93,$C135*2+MIN($B135,2)+5)</f>
        <v>Market</v>
      </c>
      <c r="L135" s="476" t="str">
        <f>INDEX(Input!$1:$1048576,L$93,$C135*2+MIN($B135,2)+5)</f>
        <v>Market</v>
      </c>
      <c r="M135" s="476" t="str">
        <f>INDEX(Input!$1:$1048576,M$93,$C135*2+MIN($B135,2)+5)</f>
        <v>Market</v>
      </c>
      <c r="N135" s="476" t="str">
        <f>INDEX(Input!$1:$1048576,N$93,$C135*2+MIN($B135,2)+5)</f>
        <v>Market</v>
      </c>
      <c r="O135" s="476" t="str">
        <f>INDEX(Input!$1:$1048576,O$93,$C135*2+MIN($B135,2)+5)</f>
        <v>Market</v>
      </c>
      <c r="P135" s="476" t="str">
        <f>INDEX(Input!$1:$1048576,P$93,$C135*2+MIN($B135,2)+5)</f>
        <v>N</v>
      </c>
      <c r="Q135" s="477">
        <f>INDEX(Input!$1:$1048576,Q$93,$C135*2+MIN($B135,2)+5)
+INDEX(Scenarios!Q$121:Q$200,MATCH($B135,Scenarios!$B$121:$B$200,0))</f>
        <v>0</v>
      </c>
      <c r="R135" s="478">
        <f>IFERROR(MAX(0,INDEX(Input!$1:$1048576,R$93,$C135*2+MIN($B135,2)+5)
+INDEX(Scenarios!R$121:R$200,MATCH($B135,Scenarios!$B$121:$B$200,0)),),"Market")</f>
        <v>0</v>
      </c>
      <c r="S135" s="478">
        <f>IFERROR(MAX(0,INDEX(Input!$1:$1048576,S$93,$C135*2+MIN($B135,2)+5)
+INDEX(Scenarios!S$121:S$200,MATCH($B135,Scenarios!$B$121:$B$200,0)),),"Market")</f>
        <v>0</v>
      </c>
      <c r="T135" s="478">
        <f>IFERROR(MAX(0,INDEX(Input!$1:$1048576,T$93,$C135*2+MIN($B135,2)+5)
+INDEX(Scenarios!T$121:T$200,MATCH($B135,Scenarios!$B$121:$B$200,0)),),"Market")</f>
        <v>0</v>
      </c>
      <c r="U135" s="478">
        <f>IFERROR(MAX(0,INDEX(Input!$1:$1048576,U$93,$C135*2+MIN($B135,2)+5)
+INDEX(Scenarios!U$121:U$200,MATCH($B135,Scenarios!$B$121:$B$200,0)),),"Market")</f>
        <v>0</v>
      </c>
      <c r="V135" s="478">
        <f>IFERROR(MAX(0,INDEX(Input!$1:$1048576,V$93,$C135*2+MIN($B135,2)+5)
+INDEX(Scenarios!V$121:V$200,MATCH($B135,Scenarios!$B$121:$B$200,0)),),"Market")</f>
        <v>8.9999999999999993E-3</v>
      </c>
      <c r="W135" s="885">
        <f>IFERROR(MAX(0,INDEX(Input!$1:$1048576,W$93,$C135*2+MIN($B135,2)+5)-0%,),"Market")</f>
        <v>3.9E-2</v>
      </c>
      <c r="X135" s="476" t="str">
        <f>INDEX(Input!$1:$1048576,X$93,$C135*2+MIN($B135,2)+5)</f>
        <v>Y</v>
      </c>
      <c r="Y135" s="475">
        <f>INDEX(Input!$1:$1048576,Y$93,$C135*2+MIN($B135,2)+5)
++INDEX(Scenarios!Y$121:Y$200,MATCH($B135,Scenarios!$B$121:$B$200,0))</f>
        <v>1942</v>
      </c>
      <c r="Z135" s="477">
        <f>INDEX(Input!$1:$1048576,Z$93,$C135*2+MIN($B135,2)+5)
+INDEX(Scenarios!Z$121:Z$200,MATCH($B135,Scenarios!$B$121:$B$200,0))</f>
        <v>0</v>
      </c>
      <c r="AA135" s="475">
        <f>INDEX(Input!$1:$1048576,AA$93,$C135*2+MIN($B135,2)+5)
+INDEX(Scenarios!AA$121:AA$200,MATCH($B135,Scenarios!$B$121:$B$200,0))</f>
        <v>0</v>
      </c>
      <c r="AB135" s="476">
        <f>INDEX(Input!$1:$1048576,AB$93,$C135*2+MIN($B135,2)+5)</f>
        <v>0.27</v>
      </c>
      <c r="AC135" s="475">
        <f>INDEX(Input!$1:$1048576,AC$93,$C135*2+MIN($B135,2)+5)
+INDEX(Scenarios!AC$121:AC$200,MATCH($B135,Scenarios!$B$121:$B$200,0))</f>
        <v>0</v>
      </c>
      <c r="AD135" s="476">
        <f>INDEX(Input!$1:$1048576,AD$93,$C135*2+MIN($B135,2)+5)</f>
        <v>0.27</v>
      </c>
      <c r="AE135" s="475">
        <f>INDEX(Input!$1:$1048576,AE$93,$C135*2+MIN($B135,2)+5)
+INDEX(Scenarios!AE$121:AE$200,MATCH($B135,Scenarios!$B$121:$B$200,0))</f>
        <v>0</v>
      </c>
      <c r="AF135" s="476">
        <f>INDEX(Input!$1:$1048576,AF$93,$C135*2+MIN($B135,2)+5)</f>
        <v>0.38</v>
      </c>
      <c r="AG135" s="475">
        <f>INDEX(Input!$1:$1048576,AG$93,$C135*2+MIN($B135,2)+5)
+INDEX(Scenarios!AG$121:AG$200,MATCH($B135,Scenarios!$B$121:$B$200,0))</f>
        <v>0</v>
      </c>
      <c r="AH135" s="476">
        <f>INDEX(Input!$1:$1048576,AH$93,$C135*2+MIN($B135,2)+5)</f>
        <v>0</v>
      </c>
      <c r="AI135" s="475">
        <f>INDEX(Input!$1:$1048576,AI$93,$C135*2+MIN($B135,2)+5)
+INDEX(Scenarios!AI$121:AI$200,MATCH($B135,Scenarios!$B$121:$B$200,0))</f>
        <v>0</v>
      </c>
      <c r="AJ135" s="476">
        <f>INDEX(Input!$1:$1048576,AJ$93,$C135*2+MIN($B135,2)+5)</f>
        <v>0.27</v>
      </c>
      <c r="AK135" s="150">
        <f>ROUND(INDEX(Input!$1:$1048576,AK$93,$C134*2+MIN($B135,1)+5)+(Y135-VLOOKUP($C135*1000+1,$A:$HH,Y$92,FALSE)),0)</f>
        <v>3757</v>
      </c>
      <c r="AL135" s="150">
        <f>ROUND(INDEX(Input!$1:$1048576,AL$93,$C134*2+MIN($B135,1)+5)-(Y135-VLOOKUP($C135*1000+1,$A:$HH,Y$92,FALSE))/36,0)</f>
        <v>4113</v>
      </c>
      <c r="AM135" s="32" t="str">
        <f t="shared" si="307"/>
        <v>std/std/std/std</v>
      </c>
      <c r="AN135" s="32" t="str">
        <f t="shared" si="308"/>
        <v>$0 + 0/0/0/0.9/3.9</v>
      </c>
      <c r="AO135" s="32" t="str">
        <f t="shared" si="309"/>
        <v>0/0/0/0.9/3.9</v>
      </c>
      <c r="AP135" s="32" t="str">
        <f t="shared" si="73"/>
        <v>0/0/0.9/3.9</v>
      </c>
      <c r="AQ135" s="536">
        <f t="shared" si="39"/>
        <v>0.26983372765982316</v>
      </c>
      <c r="AR135" s="32"/>
      <c r="AS135" s="302"/>
      <c r="AT135" s="3">
        <f t="shared" si="106"/>
        <v>35</v>
      </c>
      <c r="AU135" s="41" t="s">
        <v>121</v>
      </c>
      <c r="AV135" s="41" t="s">
        <v>116</v>
      </c>
      <c r="AW135" s="41" t="str">
        <f>INDEX(Input!$1:$1048576,AW$93,$C135*2+6)</f>
        <v>Kia</v>
      </c>
      <c r="AX135" s="41" t="str">
        <f>INDEX(Input!$1:$1048576,AX$93,$C135*2+6)</f>
        <v>Kia-LR - L1</v>
      </c>
      <c r="AY135" s="41" t="str">
        <f>IF(LEN(D135)=0,"",INDEX(Input!$1:$1048576,AY$93,$C135*2+6))</f>
        <v>Compact SUV (52)</v>
      </c>
      <c r="AZ135" s="41" t="str">
        <f>INDEX(Input!$1:$1048576,AZ$93,$C135*2+6)</f>
        <v>Kia Soul</v>
      </c>
      <c r="BA135" s="3">
        <f>INDEX(Input!$1:$1048576,BA$93,$C135*2+6)</f>
        <v>2020</v>
      </c>
      <c r="BB135" s="128">
        <f>INDEX(Input!$1:$1048576,BB$93,$C135*2+6)</f>
        <v>1</v>
      </c>
      <c r="BC135" s="128">
        <f>INDEX(Input!$1:$1048576,BC$93,$C135*2+6)</f>
        <v>0.7</v>
      </c>
      <c r="BD135" s="1">
        <f>INDEX(Input!$1:$1048576,BD$93,$C135*2+6)</f>
        <v>4.4999999999999998E-2</v>
      </c>
      <c r="BE135" s="1">
        <f>INDEX(Input!$1:$1048576,BE$93,$C135*2+6)</f>
        <v>4.4999999999999998E-2</v>
      </c>
      <c r="BF135" s="1">
        <f>INDEX(Input!$1:$1048576,BF$93,$C135*2+6)</f>
        <v>0.05</v>
      </c>
      <c r="BG135" s="1">
        <f>INDEX(Input!$1:$1048576,BG$93,$C135*2+6)</f>
        <v>5.45E-2</v>
      </c>
      <c r="BH135" s="1">
        <f>INDEX(Input!$1:$1048576,BH$93,$C135*2+6)</f>
        <v>5.45E-2</v>
      </c>
      <c r="BI135" s="1">
        <f>INDEX(Input!$1:$1048576,BI$93,$C135*2+6)</f>
        <v>0.05</v>
      </c>
      <c r="BJ135" s="1">
        <f>INDEX(Input!$1:$1048576,BJ$93,$C135*2+6)</f>
        <v>0.05</v>
      </c>
      <c r="BK135" s="1">
        <f>INDEX(Input!$1:$1048576,BK$93,$C135*2+6)</f>
        <v>0.05</v>
      </c>
      <c r="BL135" s="1">
        <f>INDEX(Input!$1:$1048576,BL$93,$C135*2+6)</f>
        <v>5.5E-2</v>
      </c>
      <c r="BM135" s="1">
        <f>INDEX(Input!$1:$1048576,BM$93,$C135*2+6)</f>
        <v>0.06</v>
      </c>
      <c r="BN135" s="1">
        <f>INDEX(Input!$1:$1048576,BN$93,$C135*2+6)</f>
        <v>4.4999999999999998E-2</v>
      </c>
      <c r="BO135" s="1">
        <f>INDEX(Input!$1:$1048576,BO$93,$C135*2+6)</f>
        <v>4.4999999999999998E-2</v>
      </c>
      <c r="BP135" s="1">
        <f>INDEX(Input!$1:$1048576,BP$93,$C135*2+6)</f>
        <v>0.05</v>
      </c>
      <c r="BQ135" s="1">
        <f>INDEX(Input!$1:$1048576,BQ$93,$C135*2+6)</f>
        <v>5.45E-2</v>
      </c>
      <c r="BR135" s="1">
        <f>INDEX(Input!$1:$1048576,BR$93,$C135*2+6)</f>
        <v>5.45E-2</v>
      </c>
      <c r="BS135" s="1">
        <f>INDEX(Input!$1:$1048576,BS$93,$C135*2+6)</f>
        <v>0.05</v>
      </c>
      <c r="BT135" s="1">
        <f>INDEX(Input!$1:$1048576,BT$93,$C135*2+6)</f>
        <v>0.05</v>
      </c>
      <c r="BU135" s="1">
        <f>INDEX(Input!$1:$1048576,BU$93,$C135*2+6)</f>
        <v>0.05</v>
      </c>
      <c r="BV135" s="1">
        <f>INDEX(Input!$1:$1048576,BV$93,$C135*2+6)</f>
        <v>5.5E-2</v>
      </c>
      <c r="BW135" s="1">
        <f>INDEX(Input!$1:$1048576,BW$93,$C135*2+6)</f>
        <v>0.06</v>
      </c>
      <c r="BX135" s="127">
        <f>INDEX(Input!$1:$1048576,BX$93,$C135*2+6)</f>
        <v>19985</v>
      </c>
      <c r="BY135" s="20">
        <f>INDEX(Input!$1:$1048576,BY$93,$C135*2+6)</f>
        <v>0.1</v>
      </c>
      <c r="BZ135" s="20">
        <f>INDEX(Input!$1:$1048576,BZ$93,$C135*2+6)</f>
        <v>0.1</v>
      </c>
      <c r="CA135" s="20">
        <f>INDEX(Input!$1:$1048576,CA$93,$C135*2+6)</f>
        <v>0.1</v>
      </c>
      <c r="CB135" s="20">
        <f>INDEX(Input!$1:$1048576,CB$93,$C135*2+6)</f>
        <v>0.1</v>
      </c>
      <c r="CC135" s="20">
        <f>INDEX(Input!$1:$1048576,CC$93,$C135*2+6)</f>
        <v>0.1</v>
      </c>
      <c r="CD135" s="384">
        <f>INDEX(Input!$1:$1048576,CD$93,$C135*2+6)</f>
        <v>0.1</v>
      </c>
      <c r="CE135" s="384">
        <f>INDEX(Input!$1:$1048576,CE$93,$C135*2+6)</f>
        <v>0.1</v>
      </c>
      <c r="CF135" s="384">
        <f>INDEX(Input!$1:$1048576,CF$93,$C135*2+6)</f>
        <v>0.1</v>
      </c>
      <c r="CG135" s="384">
        <f>INDEX(Input!$1:$1048576,CG$93,$C135*2+6)</f>
        <v>0.1</v>
      </c>
      <c r="CH135" s="384">
        <f>INDEX(Input!$1:$1048576,CH$93,$C135*2+6)</f>
        <v>0.1</v>
      </c>
      <c r="CI135" s="304">
        <f t="shared" si="74"/>
        <v>1479</v>
      </c>
      <c r="CJ135" s="16" t="str">
        <f>INDEX(Input!$1:$1048576,CJ$93,$C135*2+6)</f>
        <v>N</v>
      </c>
      <c r="CK135" s="1" t="str">
        <f t="shared" si="75"/>
        <v>Market</v>
      </c>
      <c r="CL135" s="1" t="str">
        <f t="shared" si="76"/>
        <v>Market</v>
      </c>
      <c r="CM135" s="1" t="str">
        <f t="shared" si="77"/>
        <v>Market</v>
      </c>
      <c r="CN135" s="1" t="str">
        <f t="shared" si="78"/>
        <v>Market</v>
      </c>
      <c r="CO135" s="1" t="str">
        <f t="shared" si="79"/>
        <v>Market</v>
      </c>
      <c r="CP135" s="304">
        <f t="shared" si="80"/>
        <v>0</v>
      </c>
      <c r="CQ135" s="1">
        <f t="shared" si="81"/>
        <v>0</v>
      </c>
      <c r="CR135" s="1">
        <f t="shared" si="82"/>
        <v>0</v>
      </c>
      <c r="CS135" s="1">
        <f t="shared" si="83"/>
        <v>0</v>
      </c>
      <c r="CT135" s="1">
        <f t="shared" si="84"/>
        <v>8.9999999999999993E-3</v>
      </c>
      <c r="CU135" s="1">
        <f t="shared" si="85"/>
        <v>3.9E-2</v>
      </c>
      <c r="CV135" s="304">
        <f t="shared" si="86"/>
        <v>1942</v>
      </c>
      <c r="CW135" s="20" t="s">
        <v>122</v>
      </c>
      <c r="CX135" s="20" t="s">
        <v>122</v>
      </c>
      <c r="CY135" s="20" t="s">
        <v>122</v>
      </c>
      <c r="CZ135" s="20" t="s">
        <v>122</v>
      </c>
      <c r="DA135" s="20" t="s">
        <v>122</v>
      </c>
      <c r="DB135" s="503">
        <f t="shared" si="87"/>
        <v>0</v>
      </c>
      <c r="DC135" s="127">
        <v>0</v>
      </c>
      <c r="DD135" s="127">
        <v>0</v>
      </c>
      <c r="DE135" s="127">
        <v>0</v>
      </c>
      <c r="DF135" s="127">
        <v>0</v>
      </c>
      <c r="DG135" s="127">
        <v>0</v>
      </c>
      <c r="DH135" s="127">
        <v>0</v>
      </c>
      <c r="DI135" s="127">
        <v>0</v>
      </c>
      <c r="DJ135" s="127">
        <v>0</v>
      </c>
      <c r="DK135" s="127">
        <v>0</v>
      </c>
      <c r="DL135" s="127">
        <v>0</v>
      </c>
      <c r="DM135" s="304">
        <f>INDEX(Input!$1:$1048576,DM$93,$C135*2+6)</f>
        <v>21036.84210526316</v>
      </c>
      <c r="DN135" s="20">
        <v>0</v>
      </c>
      <c r="DO135" s="20">
        <v>0</v>
      </c>
      <c r="DP135" s="20">
        <v>0</v>
      </c>
      <c r="DQ135" s="20">
        <v>0</v>
      </c>
      <c r="DR135" s="20">
        <v>0</v>
      </c>
      <c r="DS135" s="20">
        <f>INDEX(Input!$1:$1048576,DS$93,$C135*2+6)</f>
        <v>0.6</v>
      </c>
      <c r="DT135" s="20">
        <f>INDEX(Input!$1:$1048576,DT$93,$C135*2+6)</f>
        <v>0.55000000000000004</v>
      </c>
      <c r="DU135" s="20">
        <f>INDEX(Input!$1:$1048576,DU$93,$C135*2+6)</f>
        <v>0.52</v>
      </c>
      <c r="DV135" s="20">
        <f>INDEX(Input!$1:$1048576,DV$93,$C135*2+6)</f>
        <v>0.5</v>
      </c>
      <c r="DW135" s="20">
        <f>INDEX(Input!$1:$1048576,DW$93,$C135*2+6)</f>
        <v>0.45</v>
      </c>
      <c r="DX135" s="20"/>
      <c r="DY135" s="7">
        <v>0.10452053239489195</v>
      </c>
      <c r="DZ135" s="7">
        <v>0</v>
      </c>
      <c r="EA135" s="7">
        <v>0.48551369813924244</v>
      </c>
      <c r="EB135" s="7">
        <v>0</v>
      </c>
      <c r="EC135" s="7">
        <v>0</v>
      </c>
      <c r="ED135" s="7">
        <v>0</v>
      </c>
      <c r="EE135" s="7">
        <v>0</v>
      </c>
      <c r="EF135" s="7">
        <v>0</v>
      </c>
      <c r="EG135" s="7">
        <v>0</v>
      </c>
      <c r="EH135" s="7">
        <v>1.4789192705906978E-2</v>
      </c>
      <c r="EI135" s="7">
        <v>4.3188566954775409E-2</v>
      </c>
      <c r="EJ135" s="7">
        <v>0.27281740913088937</v>
      </c>
      <c r="EK135" s="7">
        <v>0.58408530924176316</v>
      </c>
      <c r="EL135" s="7">
        <v>8.5119521966665126E-2</v>
      </c>
      <c r="EM135" s="7">
        <v>5.5729294814926771E-2</v>
      </c>
      <c r="EN135" s="7">
        <v>5.082425657897853E-2</v>
      </c>
      <c r="EO135" s="7">
        <v>0.76815678085538397</v>
      </c>
      <c r="EP135" s="7">
        <v>7.905819743073364E-2</v>
      </c>
      <c r="EQ135" s="7">
        <v>6.0271198631199008E-2</v>
      </c>
      <c r="ER135" s="7">
        <v>4.1689566503705242E-2</v>
      </c>
      <c r="ES135" s="7">
        <v>0.35423647465093877</v>
      </c>
      <c r="ET135" s="7">
        <v>0.4099657694658656</v>
      </c>
      <c r="EU135" s="6">
        <v>1520</v>
      </c>
      <c r="EV135" s="6">
        <v>0</v>
      </c>
      <c r="EW135" s="6">
        <v>1520</v>
      </c>
      <c r="EX135" s="6">
        <v>0</v>
      </c>
      <c r="EY135" s="6">
        <v>2319.8491773399101</v>
      </c>
      <c r="EZ135" s="6">
        <v>2085</v>
      </c>
      <c r="FA135" s="6">
        <v>0</v>
      </c>
      <c r="FB135" s="6">
        <v>0</v>
      </c>
      <c r="FC135" s="6">
        <v>0</v>
      </c>
      <c r="FD135" s="6">
        <v>0</v>
      </c>
      <c r="FE135" s="6">
        <v>0</v>
      </c>
      <c r="FF135" s="6">
        <v>0</v>
      </c>
      <c r="FG135" s="6">
        <v>0</v>
      </c>
      <c r="FH135" s="6">
        <v>1171.2811379695618</v>
      </c>
      <c r="FI135" s="6">
        <v>1553.9796069512402</v>
      </c>
      <c r="FJ135" s="6">
        <v>2101.2110117447414</v>
      </c>
      <c r="FK135" s="6">
        <v>2251.3078348034669</v>
      </c>
      <c r="FL135" s="6">
        <v>907.07682140966335</v>
      </c>
      <c r="FM135" s="6">
        <v>2049.8491773399101</v>
      </c>
      <c r="FN135" s="6">
        <v>0</v>
      </c>
      <c r="FO135" s="6">
        <v>0</v>
      </c>
      <c r="FP135" s="6">
        <v>0</v>
      </c>
      <c r="FQ135" s="6">
        <v>0</v>
      </c>
      <c r="FR135" s="6">
        <v>0</v>
      </c>
      <c r="FS135" s="6">
        <v>0</v>
      </c>
      <c r="FT135" s="7">
        <v>0.5900342305341344</v>
      </c>
      <c r="FU135" s="7">
        <v>5.5729294814926771E-2</v>
      </c>
      <c r="FV135" s="7">
        <v>0.35423647465093877</v>
      </c>
      <c r="FW135" s="6">
        <v>1520</v>
      </c>
      <c r="FX135" s="6">
        <v>2319.8491773399101</v>
      </c>
      <c r="FY135" s="6">
        <v>2085</v>
      </c>
      <c r="FZ135" s="6">
        <v>1952.7147957719815</v>
      </c>
      <c r="GA135" s="6">
        <v>1764.7186387892325</v>
      </c>
      <c r="GB135" s="6">
        <v>18220.281361210767</v>
      </c>
      <c r="GC135" s="7">
        <v>1.0519917368675835E-2</v>
      </c>
      <c r="GD135" s="7">
        <v>1.0489612586037521E-2</v>
      </c>
      <c r="GE135" s="7"/>
      <c r="GF135" s="7"/>
      <c r="GG135" s="7">
        <v>-2.8807053873397635E-3</v>
      </c>
      <c r="GH135" s="42">
        <v>0.30623443633088748</v>
      </c>
      <c r="GI135" s="6">
        <v>67025.17804187916</v>
      </c>
      <c r="GJ135" s="14">
        <v>0.50394797582841722</v>
      </c>
      <c r="GK135" s="14">
        <v>0.50887573065309744</v>
      </c>
      <c r="GL135" s="14">
        <v>0.49605202417158267</v>
      </c>
      <c r="GM135" s="14">
        <v>0.4911242693469024</v>
      </c>
      <c r="GO135" s="5">
        <v>343.14810671672558</v>
      </c>
      <c r="GP135" s="5">
        <v>314.14940645767444</v>
      </c>
      <c r="GQ135" s="5">
        <v>535.04305713031317</v>
      </c>
      <c r="GR135" s="5">
        <v>410.15490233172511</v>
      </c>
      <c r="GS135" s="5">
        <v>339.42744393800166</v>
      </c>
      <c r="GT135" s="5">
        <v>293.4407446948278</v>
      </c>
      <c r="GU135" s="5">
        <v>258.04012322764959</v>
      </c>
      <c r="GV135" s="39" t="s">
        <v>392</v>
      </c>
      <c r="GW135" s="5">
        <v>492.125</v>
      </c>
      <c r="GX135" s="5">
        <v>369.09375</v>
      </c>
      <c r="GY135" s="5">
        <v>295.27499999999998</v>
      </c>
      <c r="GZ135" s="5">
        <v>252.85821728143046</v>
      </c>
      <c r="HA135" s="5">
        <v>241.34874471337258</v>
      </c>
      <c r="HB135" s="39">
        <v>272.00918188838421</v>
      </c>
      <c r="HC135" s="5">
        <v>196.06562499999998</v>
      </c>
      <c r="HD135" s="5">
        <v>177.54497441520465</v>
      </c>
      <c r="HE135" s="5">
        <v>183.15757844129553</v>
      </c>
      <c r="HF135" s="5">
        <v>172.69313048245613</v>
      </c>
      <c r="HG135" s="5">
        <v>170.66888157894735</v>
      </c>
      <c r="HH135" s="39">
        <v>178.35090729075014</v>
      </c>
      <c r="HI135" s="16"/>
      <c r="HJ135" s="19" t="str">
        <f t="shared" ref="HJ135" si="363">HJ134</f>
        <v>On</v>
      </c>
      <c r="HK135" s="1" t="str">
        <f t="shared" si="108"/>
        <v>On</v>
      </c>
      <c r="HL135" s="16"/>
      <c r="HM135" s="639">
        <f t="shared" si="311"/>
        <v>5.7455619280273196E-3</v>
      </c>
      <c r="HN135" s="639">
        <f t="shared" si="312"/>
        <v>5.0031960498701745E-4</v>
      </c>
      <c r="HO135" s="639">
        <f t="shared" si="313"/>
        <v>3.9819433988714835E-3</v>
      </c>
      <c r="HP135" s="644">
        <f>(FT135*$GD135-HM135)/$JF135*INDEX(Input!$1:$1048576,$JG$93,$C135*2+6)</f>
        <v>19.346848456647841</v>
      </c>
      <c r="HQ135" s="644">
        <f>(FU135*$GD135-HN135)/$JF135*INDEX(Input!$1:$1048576,$JG$93,$C135*2+6)</f>
        <v>3.6742476638576753</v>
      </c>
      <c r="HR135" s="644">
        <f>(FV135*$GD135-HO135)/$JF135*INDEX(Input!$1:$1048576,$JG$93,$C135*2+6)</f>
        <v>-11.60544376731937</v>
      </c>
      <c r="HS135" s="644">
        <f t="shared" si="314"/>
        <v>-5.2578020964337879</v>
      </c>
      <c r="HT135" s="644">
        <f t="shared" si="315"/>
        <v>5.0612274138450042</v>
      </c>
      <c r="HU135" s="644">
        <f t="shared" si="316"/>
        <v>2.6531830597289203</v>
      </c>
      <c r="HV135" s="648">
        <f t="shared" si="317"/>
        <v>0</v>
      </c>
      <c r="HW135" s="648">
        <f t="shared" si="318"/>
        <v>0</v>
      </c>
      <c r="HX135" s="648">
        <f t="shared" si="319"/>
        <v>0</v>
      </c>
      <c r="HY135" s="644">
        <f>INDEX(Input!$1:$1048576,HY$93,$C135*2+6)*INDEX(Input!$1:$1048576,$JG$93,$C135*2+6)</f>
        <v>110.00000000000001</v>
      </c>
      <c r="HZ135" s="644">
        <f>INDEX(Input!$1:$1048576,HZ$93,$C135*2+6)*INDEX(Input!$1:$1048576,$JG$93,$C135*2+6)</f>
        <v>157</v>
      </c>
      <c r="IA135" s="644">
        <f>INDEX(Input!$1:$1048576,IA$93,$C135*2+6)*INDEX(Input!$1:$1048576,$JG$93,$C135*2+6)</f>
        <v>179</v>
      </c>
      <c r="IB135" s="644">
        <f t="shared" si="320"/>
        <v>124.08904636021404</v>
      </c>
      <c r="IC135" s="644">
        <f t="shared" si="321"/>
        <v>165.73547507770269</v>
      </c>
      <c r="ID135" s="644">
        <f>IF(AND(INDEX(Input!$1:$1048576,IA$93,$C135*2+7)="TOS",Y135&lt;=INDEX(Y:Y,MATCH(C135*1000+2,A:A))),0,1)*MAX(IA135+HR135+HU135+HX135,0%)</f>
        <v>170.04773929240955</v>
      </c>
      <c r="IE135" s="128">
        <f t="shared" si="322"/>
        <v>0.26983372765982316</v>
      </c>
      <c r="IF135" s="128">
        <f t="shared" si="323"/>
        <v>0.36039459047714045</v>
      </c>
      <c r="IG135" s="128">
        <f t="shared" si="324"/>
        <v>0.36977168186303644</v>
      </c>
      <c r="IH135" s="21"/>
      <c r="II135" s="19">
        <f t="shared" si="325"/>
        <v>1240</v>
      </c>
      <c r="IJ135" s="19">
        <f t="shared" si="326"/>
        <v>2009.7221397149679</v>
      </c>
      <c r="IK135" s="19">
        <f t="shared" si="327"/>
        <v>2070</v>
      </c>
      <c r="IL135" s="19">
        <f t="shared" si="328"/>
        <v>280</v>
      </c>
      <c r="IM135" s="19">
        <f t="shared" si="329"/>
        <v>310.1270376249422</v>
      </c>
      <c r="IN135" s="19">
        <f t="shared" si="330"/>
        <v>15</v>
      </c>
      <c r="IO135" s="39">
        <f t="shared" si="331"/>
        <v>0</v>
      </c>
      <c r="IP135" s="39">
        <f t="shared" si="332"/>
        <v>0</v>
      </c>
      <c r="IQ135" s="39">
        <f t="shared" si="333"/>
        <v>0</v>
      </c>
      <c r="IR135" s="39">
        <v>0</v>
      </c>
      <c r="IS135" s="39">
        <v>0</v>
      </c>
      <c r="IT135" s="39">
        <v>0</v>
      </c>
      <c r="IU135" s="39">
        <v>0</v>
      </c>
      <c r="IV135" s="39">
        <v>0</v>
      </c>
      <c r="IW135" s="39">
        <v>0</v>
      </c>
      <c r="IX135" s="39">
        <f>INDEX(Input!$1:$1048576,IX$93,$C135*2+6)+INDEX(Input!$1:$1048576,IX$94,$C135*2+6)</f>
        <v>1270</v>
      </c>
      <c r="IY135" s="39">
        <f>INDEX(Input!$1:$1048576,IY$93,$C135*2+6)+INDEX(Input!$1:$1048576,IY$94,$C135*2+6)</f>
        <v>2130.0624533823611</v>
      </c>
      <c r="IZ135" s="39">
        <f>INDEX(Input!$1:$1048576,IZ$93,$C135*2+6)+INDEX(Input!$1:$1048576,IZ$94,$C135*2+6)</f>
        <v>4373.7164157747848</v>
      </c>
      <c r="JA135" s="19">
        <f t="shared" si="334"/>
        <v>1550</v>
      </c>
      <c r="JB135" s="19">
        <f t="shared" si="335"/>
        <v>2440.1894910073033</v>
      </c>
      <c r="JC135" s="19">
        <f t="shared" si="336"/>
        <v>4388.7164157747848</v>
      </c>
      <c r="JD135" s="19">
        <f t="shared" si="337"/>
        <v>2920.4964204518838</v>
      </c>
      <c r="JE135" s="21"/>
      <c r="JF135" s="1">
        <f t="shared" si="338"/>
        <v>1.022782493188582E-2</v>
      </c>
      <c r="JG135" s="15">
        <f>INDEX(Input!$1:$1048576,JG$93,$C135*2+6)/(1+VLOOKUP(C135*1000+INDEX(Input!$1:$1048576,JG$93+1,$C135*2+6),$A:$KK,$JK$92,FALSE))</f>
        <v>446</v>
      </c>
      <c r="JH135" s="1">
        <f t="shared" si="339"/>
        <v>2.5595633078892701E-2</v>
      </c>
      <c r="JI135" s="1">
        <f t="shared" si="340"/>
        <v>5.5080905317043422E-3</v>
      </c>
      <c r="JJ135" s="1">
        <f t="shared" si="341"/>
        <v>0</v>
      </c>
      <c r="JK135" s="1">
        <f t="shared" si="342"/>
        <v>3.1103723610597045E-2</v>
      </c>
      <c r="JL135" s="15">
        <f t="shared" si="343"/>
        <v>13.872260730326282</v>
      </c>
      <c r="JM135" s="15">
        <f t="shared" si="344"/>
        <v>459.87226073032627</v>
      </c>
      <c r="JN135" s="21"/>
      <c r="JO135" s="19">
        <f>INDEX(Input!$1:$1048576,JO$93,$C135*2+6)</f>
        <v>5995.5</v>
      </c>
      <c r="JP135" s="19">
        <f>INDEX(Input!$1:$1048576,JP$93,$C135*2+6)</f>
        <v>2818.4193802796353</v>
      </c>
      <c r="JQ135" s="39">
        <f t="shared" si="345"/>
        <v>3075.0035795481162</v>
      </c>
      <c r="JR135" s="39">
        <f t="shared" si="346"/>
        <v>102.07704017224842</v>
      </c>
      <c r="JS135" s="39">
        <f t="shared" si="347"/>
        <v>1.3430552913280331</v>
      </c>
      <c r="JT135" s="39">
        <f t="shared" si="348"/>
        <v>8.6040247723315838E-2</v>
      </c>
      <c r="JU135" s="385">
        <f>(JQ135*JM135-INDEX(Input!$1:$1048576,Input!A$18,$C135*2+6)*JL135*INDEX(Input!$1:$1048576,Input!A$19,$C135*2+6))/1000000</f>
        <v>1.4141088478806381</v>
      </c>
      <c r="JV135" s="39">
        <f t="shared" si="349"/>
        <v>-2.8691085146446138E-3</v>
      </c>
      <c r="JW135" s="1">
        <f t="shared" si="350"/>
        <v>-2.0248081501165163E-3</v>
      </c>
      <c r="JX135" s="19">
        <f t="shared" si="351"/>
        <v>6202.3234277324691</v>
      </c>
      <c r="JZ135" s="341"/>
      <c r="KA135" s="342"/>
      <c r="KB135" s="469">
        <f t="shared" si="110"/>
        <v>2.9286733661474216</v>
      </c>
      <c r="KI135" s="473">
        <f t="shared" si="352"/>
        <v>14.089046360214041</v>
      </c>
      <c r="KJ135" s="473">
        <f t="shared" si="353"/>
        <v>8.7354750777026879</v>
      </c>
      <c r="KK135" s="473">
        <f t="shared" si="354"/>
        <v>-8.9522607075904546</v>
      </c>
      <c r="KN135" s="544">
        <f t="shared" si="355"/>
        <v>1002</v>
      </c>
      <c r="KO135" s="541">
        <f t="shared" si="356"/>
        <v>2.6877204844919955E-2</v>
      </c>
      <c r="KP135" s="546">
        <f t="shared" si="357"/>
        <v>168.41470092137138</v>
      </c>
      <c r="KQ135" s="546">
        <f t="shared" si="358"/>
        <v>81.18022043323208</v>
      </c>
      <c r="KR135" s="548">
        <f t="shared" si="359"/>
        <v>2.7362697744152</v>
      </c>
      <c r="KS135" s="548">
        <f t="shared" si="360"/>
        <v>5.6766051291686175</v>
      </c>
      <c r="KT135" s="473">
        <f t="shared" si="112"/>
        <v>238.28695973331548</v>
      </c>
      <c r="KU135" s="663">
        <f t="shared" si="361"/>
        <v>6.3634192092962643</v>
      </c>
      <c r="KV135" s="117"/>
    </row>
    <row r="136" spans="1:308" s="26" customFormat="1" ht="15">
      <c r="A136" s="561">
        <f t="shared" si="306"/>
        <v>1036</v>
      </c>
      <c r="B136" s="561">
        <f t="shared" si="104"/>
        <v>36</v>
      </c>
      <c r="C136" s="561">
        <f t="shared" si="105"/>
        <v>1</v>
      </c>
      <c r="D136" s="561" t="str">
        <f t="shared" si="294"/>
        <v xml:space="preserve">500 CC, 0/0/0.9/3.9, </v>
      </c>
      <c r="E136" s="475">
        <f>INDEX(Input!$1:$1048576,E$93,$C136*2+MIN($B136,2)+5)
+INDEX(Scenarios!E$121:E$200,MATCH($B136,Scenarios!$B$121:$B$200,0))</f>
        <v>1729</v>
      </c>
      <c r="F136" s="475">
        <f>INDEX(Input!$1:$1048576,F$93,$C136*2+MIN($B136,2)+5)
+INDEX(Scenarios!F$121:F$200,MATCH($B136,Scenarios!$B$121:$B$200,0))</f>
        <v>0</v>
      </c>
      <c r="G136" s="475">
        <f>INDEX(Input!$1:$1048576,G$93,$C136*2+MIN($B136,2)+5)
+INDEX(Scenarios!G$121:G$200,MATCH($B136,Scenarios!$B$121:$B$200,0))</f>
        <v>0</v>
      </c>
      <c r="H136" s="475">
        <f>INDEX(Input!$1:$1048576,H$93,$C136*2+MIN($B136,2)+5)
+INDEX(Scenarios!H$121:H$200,MATCH($B136,Scenarios!$B$121:$B$200,0))</f>
        <v>0</v>
      </c>
      <c r="I136" s="476">
        <f>INDEX(Input!$1:$1048576,I$93,$C136*2+MIN($B136,2)+5)</f>
        <v>0.7</v>
      </c>
      <c r="J136" s="476" t="str">
        <f>INDEX(Input!$1:$1048576,J$93,$C136*2+MIN($B136,2)+5)</f>
        <v>Market</v>
      </c>
      <c r="K136" s="476" t="str">
        <f>INDEX(Input!$1:$1048576,K$93,$C136*2+MIN($B136,2)+5)</f>
        <v>Market</v>
      </c>
      <c r="L136" s="476" t="str">
        <f>INDEX(Input!$1:$1048576,L$93,$C136*2+MIN($B136,2)+5)</f>
        <v>Market</v>
      </c>
      <c r="M136" s="476" t="str">
        <f>INDEX(Input!$1:$1048576,M$93,$C136*2+MIN($B136,2)+5)</f>
        <v>Market</v>
      </c>
      <c r="N136" s="476" t="str">
        <f>INDEX(Input!$1:$1048576,N$93,$C136*2+MIN($B136,2)+5)</f>
        <v>Market</v>
      </c>
      <c r="O136" s="476" t="str">
        <f>INDEX(Input!$1:$1048576,O$93,$C136*2+MIN($B136,2)+5)</f>
        <v>Market</v>
      </c>
      <c r="P136" s="476" t="str">
        <f>INDEX(Input!$1:$1048576,P$93,$C136*2+MIN($B136,2)+5)</f>
        <v>N</v>
      </c>
      <c r="Q136" s="477">
        <f>INDEX(Input!$1:$1048576,Q$93,$C136*2+MIN($B136,2)+5)
+INDEX(Scenarios!Q$121:Q$200,MATCH($B136,Scenarios!$B$121:$B$200,0))</f>
        <v>0</v>
      </c>
      <c r="R136" s="478">
        <f>IFERROR(MAX(0,INDEX(Input!$1:$1048576,R$93,$C136*2+MIN($B136,2)+5)
+INDEX(Scenarios!R$121:R$200,MATCH($B136,Scenarios!$B$121:$B$200,0)),),"Market")</f>
        <v>0</v>
      </c>
      <c r="S136" s="478">
        <f>IFERROR(MAX(0,INDEX(Input!$1:$1048576,S$93,$C136*2+MIN($B136,2)+5)
+INDEX(Scenarios!S$121:S$200,MATCH($B136,Scenarios!$B$121:$B$200,0)),),"Market")</f>
        <v>0</v>
      </c>
      <c r="T136" s="478">
        <f>IFERROR(MAX(0,INDEX(Input!$1:$1048576,T$93,$C136*2+MIN($B136,2)+5)
+INDEX(Scenarios!T$121:T$200,MATCH($B136,Scenarios!$B$121:$B$200,0)),),"Market")</f>
        <v>0</v>
      </c>
      <c r="U136" s="478">
        <f>IFERROR(MAX(0,INDEX(Input!$1:$1048576,U$93,$C136*2+MIN($B136,2)+5)
+INDEX(Scenarios!U$121:U$200,MATCH($B136,Scenarios!$B$121:$B$200,0)),),"Market")</f>
        <v>0</v>
      </c>
      <c r="V136" s="478">
        <f>IFERROR(MAX(0,INDEX(Input!$1:$1048576,V$93,$C136*2+MIN($B136,2)+5)
+INDEX(Scenarios!V$121:V$200,MATCH($B136,Scenarios!$B$121:$B$200,0)),),"Market")</f>
        <v>8.9999999999999993E-3</v>
      </c>
      <c r="W136" s="885">
        <f>IFERROR(MAX(0,INDEX(Input!$1:$1048576,W$93,$C136*2+MIN($B136,2)+5)-0%,),"Market")</f>
        <v>3.9E-2</v>
      </c>
      <c r="X136" s="476" t="str">
        <f>INDEX(Input!$1:$1048576,X$93,$C136*2+MIN($B136,2)+5)</f>
        <v>Y</v>
      </c>
      <c r="Y136" s="475">
        <f>INDEX(Input!$1:$1048576,Y$93,$C136*2+MIN($B136,2)+5)
++INDEX(Scenarios!Y$121:Y$200,MATCH($B136,Scenarios!$B$121:$B$200,0))</f>
        <v>1942</v>
      </c>
      <c r="Z136" s="477">
        <f>INDEX(Input!$1:$1048576,Z$93,$C136*2+MIN($B136,2)+5)
+INDEX(Scenarios!Z$121:Z$200,MATCH($B136,Scenarios!$B$121:$B$200,0))</f>
        <v>0</v>
      </c>
      <c r="AA136" s="475">
        <f>INDEX(Input!$1:$1048576,AA$93,$C136*2+MIN($B136,2)+5)
+INDEX(Scenarios!AA$121:AA$200,MATCH($B136,Scenarios!$B$121:$B$200,0))</f>
        <v>0</v>
      </c>
      <c r="AB136" s="476">
        <f>INDEX(Input!$1:$1048576,AB$93,$C136*2+MIN($B136,2)+5)</f>
        <v>0.27</v>
      </c>
      <c r="AC136" s="475">
        <f>INDEX(Input!$1:$1048576,AC$93,$C136*2+MIN($B136,2)+5)
+INDEX(Scenarios!AC$121:AC$200,MATCH($B136,Scenarios!$B$121:$B$200,0))</f>
        <v>0</v>
      </c>
      <c r="AD136" s="476">
        <f>INDEX(Input!$1:$1048576,AD$93,$C136*2+MIN($B136,2)+5)</f>
        <v>0.27</v>
      </c>
      <c r="AE136" s="475">
        <f>INDEX(Input!$1:$1048576,AE$93,$C136*2+MIN($B136,2)+5)
+INDEX(Scenarios!AE$121:AE$200,MATCH($B136,Scenarios!$B$121:$B$200,0))</f>
        <v>0</v>
      </c>
      <c r="AF136" s="476">
        <f>INDEX(Input!$1:$1048576,AF$93,$C136*2+MIN($B136,2)+5)</f>
        <v>0.38</v>
      </c>
      <c r="AG136" s="475">
        <f>INDEX(Input!$1:$1048576,AG$93,$C136*2+MIN($B136,2)+5)
+INDEX(Scenarios!AG$121:AG$200,MATCH($B136,Scenarios!$B$121:$B$200,0))</f>
        <v>0</v>
      </c>
      <c r="AH136" s="476">
        <f>INDEX(Input!$1:$1048576,AH$93,$C136*2+MIN($B136,2)+5)</f>
        <v>0</v>
      </c>
      <c r="AI136" s="475">
        <f>INDEX(Input!$1:$1048576,AI$93,$C136*2+MIN($B136,2)+5)
+INDEX(Scenarios!AI$121:AI$200,MATCH($B136,Scenarios!$B$121:$B$200,0))</f>
        <v>0</v>
      </c>
      <c r="AJ136" s="476">
        <f>INDEX(Input!$1:$1048576,AJ$93,$C136*2+MIN($B136,2)+5)</f>
        <v>0.27</v>
      </c>
      <c r="AK136" s="150">
        <f>ROUND(INDEX(Input!$1:$1048576,AK$93,$C135*2+MIN($B136,1)+5)+(Y136-VLOOKUP($C136*1000+1,$A:$HH,Y$92,FALSE)),0)</f>
        <v>3757</v>
      </c>
      <c r="AL136" s="150">
        <f>ROUND(INDEX(Input!$1:$1048576,AL$93,$C135*2+MIN($B136,1)+5)-(Y136-VLOOKUP($C136*1000+1,$A:$HH,Y$92,FALSE))/36,0)</f>
        <v>4113</v>
      </c>
      <c r="AM136" s="32" t="str">
        <f t="shared" si="307"/>
        <v>std/std/std/std</v>
      </c>
      <c r="AN136" s="32" t="str">
        <f t="shared" si="308"/>
        <v>$0 + 0/0/0/0.9/3.9</v>
      </c>
      <c r="AO136" s="32" t="str">
        <f t="shared" si="309"/>
        <v>0/0/0/0.9/3.9</v>
      </c>
      <c r="AP136" s="32" t="str">
        <f t="shared" si="73"/>
        <v>0/0/0.9/3.9</v>
      </c>
      <c r="AQ136" s="536">
        <f t="shared" si="39"/>
        <v>0.30186263608594599</v>
      </c>
      <c r="AR136" s="32"/>
      <c r="AS136" s="302"/>
      <c r="AT136" s="3">
        <f t="shared" si="106"/>
        <v>36</v>
      </c>
      <c r="AU136" s="41" t="s">
        <v>121</v>
      </c>
      <c r="AV136" s="41" t="s">
        <v>116</v>
      </c>
      <c r="AW136" s="41" t="str">
        <f>INDEX(Input!$1:$1048576,AW$93,$C136*2+6)</f>
        <v>Kia</v>
      </c>
      <c r="AX136" s="41" t="str">
        <f>INDEX(Input!$1:$1048576,AX$93,$C136*2+6)</f>
        <v>Kia-LR - L1</v>
      </c>
      <c r="AY136" s="41" t="str">
        <f>IF(LEN(D136)=0,"",INDEX(Input!$1:$1048576,AY$93,$C136*2+6))</f>
        <v>Compact SUV (52)</v>
      </c>
      <c r="AZ136" s="41" t="str">
        <f>INDEX(Input!$1:$1048576,AZ$93,$C136*2+6)</f>
        <v>Kia Soul</v>
      </c>
      <c r="BA136" s="3">
        <f>INDEX(Input!$1:$1048576,BA$93,$C136*2+6)</f>
        <v>2020</v>
      </c>
      <c r="BB136" s="128">
        <f>INDEX(Input!$1:$1048576,BB$93,$C136*2+6)</f>
        <v>1</v>
      </c>
      <c r="BC136" s="128">
        <f>INDEX(Input!$1:$1048576,BC$93,$C136*2+6)</f>
        <v>0.7</v>
      </c>
      <c r="BD136" s="1">
        <f>INDEX(Input!$1:$1048576,BD$93,$C136*2+6)</f>
        <v>4.4999999999999998E-2</v>
      </c>
      <c r="BE136" s="1">
        <f>INDEX(Input!$1:$1048576,BE$93,$C136*2+6)</f>
        <v>4.4999999999999998E-2</v>
      </c>
      <c r="BF136" s="1">
        <f>INDEX(Input!$1:$1048576,BF$93,$C136*2+6)</f>
        <v>0.05</v>
      </c>
      <c r="BG136" s="1">
        <f>INDEX(Input!$1:$1048576,BG$93,$C136*2+6)</f>
        <v>5.45E-2</v>
      </c>
      <c r="BH136" s="1">
        <f>INDEX(Input!$1:$1048576,BH$93,$C136*2+6)</f>
        <v>5.45E-2</v>
      </c>
      <c r="BI136" s="1">
        <f>INDEX(Input!$1:$1048576,BI$93,$C136*2+6)</f>
        <v>0.05</v>
      </c>
      <c r="BJ136" s="1">
        <f>INDEX(Input!$1:$1048576,BJ$93,$C136*2+6)</f>
        <v>0.05</v>
      </c>
      <c r="BK136" s="1">
        <f>INDEX(Input!$1:$1048576,BK$93,$C136*2+6)</f>
        <v>0.05</v>
      </c>
      <c r="BL136" s="1">
        <f>INDEX(Input!$1:$1048576,BL$93,$C136*2+6)</f>
        <v>5.5E-2</v>
      </c>
      <c r="BM136" s="1">
        <f>INDEX(Input!$1:$1048576,BM$93,$C136*2+6)</f>
        <v>0.06</v>
      </c>
      <c r="BN136" s="1">
        <f>INDEX(Input!$1:$1048576,BN$93,$C136*2+6)</f>
        <v>4.4999999999999998E-2</v>
      </c>
      <c r="BO136" s="1">
        <f>INDEX(Input!$1:$1048576,BO$93,$C136*2+6)</f>
        <v>4.4999999999999998E-2</v>
      </c>
      <c r="BP136" s="1">
        <f>INDEX(Input!$1:$1048576,BP$93,$C136*2+6)</f>
        <v>0.05</v>
      </c>
      <c r="BQ136" s="1">
        <f>INDEX(Input!$1:$1048576,BQ$93,$C136*2+6)</f>
        <v>5.45E-2</v>
      </c>
      <c r="BR136" s="1">
        <f>INDEX(Input!$1:$1048576,BR$93,$C136*2+6)</f>
        <v>5.45E-2</v>
      </c>
      <c r="BS136" s="1">
        <f>INDEX(Input!$1:$1048576,BS$93,$C136*2+6)</f>
        <v>0.05</v>
      </c>
      <c r="BT136" s="1">
        <f>INDEX(Input!$1:$1048576,BT$93,$C136*2+6)</f>
        <v>0.05</v>
      </c>
      <c r="BU136" s="1">
        <f>INDEX(Input!$1:$1048576,BU$93,$C136*2+6)</f>
        <v>0.05</v>
      </c>
      <c r="BV136" s="1">
        <f>INDEX(Input!$1:$1048576,BV$93,$C136*2+6)</f>
        <v>5.5E-2</v>
      </c>
      <c r="BW136" s="1">
        <f>INDEX(Input!$1:$1048576,BW$93,$C136*2+6)</f>
        <v>0.06</v>
      </c>
      <c r="BX136" s="127">
        <f>INDEX(Input!$1:$1048576,BX$93,$C136*2+6)</f>
        <v>19985</v>
      </c>
      <c r="BY136" s="20">
        <f>INDEX(Input!$1:$1048576,BY$93,$C136*2+6)</f>
        <v>0.1</v>
      </c>
      <c r="BZ136" s="20">
        <f>INDEX(Input!$1:$1048576,BZ$93,$C136*2+6)</f>
        <v>0.1</v>
      </c>
      <c r="CA136" s="20">
        <f>INDEX(Input!$1:$1048576,CA$93,$C136*2+6)</f>
        <v>0.1</v>
      </c>
      <c r="CB136" s="20">
        <f>INDEX(Input!$1:$1048576,CB$93,$C136*2+6)</f>
        <v>0.1</v>
      </c>
      <c r="CC136" s="20">
        <f>INDEX(Input!$1:$1048576,CC$93,$C136*2+6)</f>
        <v>0.1</v>
      </c>
      <c r="CD136" s="384">
        <f>INDEX(Input!$1:$1048576,CD$93,$C136*2+6)</f>
        <v>0.1</v>
      </c>
      <c r="CE136" s="384">
        <f>INDEX(Input!$1:$1048576,CE$93,$C136*2+6)</f>
        <v>0.1</v>
      </c>
      <c r="CF136" s="384">
        <f>INDEX(Input!$1:$1048576,CF$93,$C136*2+6)</f>
        <v>0.1</v>
      </c>
      <c r="CG136" s="384">
        <f>INDEX(Input!$1:$1048576,CG$93,$C136*2+6)</f>
        <v>0.1</v>
      </c>
      <c r="CH136" s="384">
        <f>INDEX(Input!$1:$1048576,CH$93,$C136*2+6)</f>
        <v>0.1</v>
      </c>
      <c r="CI136" s="304">
        <f t="shared" si="74"/>
        <v>1729</v>
      </c>
      <c r="CJ136" s="16" t="str">
        <f>INDEX(Input!$1:$1048576,CJ$93,$C136*2+6)</f>
        <v>N</v>
      </c>
      <c r="CK136" s="1" t="str">
        <f t="shared" si="75"/>
        <v>Market</v>
      </c>
      <c r="CL136" s="1" t="str">
        <f t="shared" si="76"/>
        <v>Market</v>
      </c>
      <c r="CM136" s="1" t="str">
        <f t="shared" si="77"/>
        <v>Market</v>
      </c>
      <c r="CN136" s="1" t="str">
        <f t="shared" si="78"/>
        <v>Market</v>
      </c>
      <c r="CO136" s="1" t="str">
        <f t="shared" si="79"/>
        <v>Market</v>
      </c>
      <c r="CP136" s="304">
        <f t="shared" si="80"/>
        <v>0</v>
      </c>
      <c r="CQ136" s="1">
        <f t="shared" si="81"/>
        <v>0</v>
      </c>
      <c r="CR136" s="1">
        <f t="shared" si="82"/>
        <v>0</v>
      </c>
      <c r="CS136" s="1">
        <f t="shared" si="83"/>
        <v>0</v>
      </c>
      <c r="CT136" s="1">
        <f t="shared" si="84"/>
        <v>8.9999999999999993E-3</v>
      </c>
      <c r="CU136" s="1">
        <f t="shared" si="85"/>
        <v>3.9E-2</v>
      </c>
      <c r="CV136" s="304">
        <f t="shared" si="86"/>
        <v>1942</v>
      </c>
      <c r="CW136" s="20" t="s">
        <v>122</v>
      </c>
      <c r="CX136" s="20" t="s">
        <v>122</v>
      </c>
      <c r="CY136" s="20" t="s">
        <v>122</v>
      </c>
      <c r="CZ136" s="20" t="s">
        <v>122</v>
      </c>
      <c r="DA136" s="20" t="s">
        <v>122</v>
      </c>
      <c r="DB136" s="503">
        <f t="shared" si="87"/>
        <v>0</v>
      </c>
      <c r="DC136" s="127">
        <v>0</v>
      </c>
      <c r="DD136" s="127">
        <v>0</v>
      </c>
      <c r="DE136" s="127">
        <v>0</v>
      </c>
      <c r="DF136" s="127">
        <v>0</v>
      </c>
      <c r="DG136" s="127">
        <v>0</v>
      </c>
      <c r="DH136" s="127">
        <v>0</v>
      </c>
      <c r="DI136" s="127">
        <v>0</v>
      </c>
      <c r="DJ136" s="127">
        <v>0</v>
      </c>
      <c r="DK136" s="127">
        <v>0</v>
      </c>
      <c r="DL136" s="127">
        <v>0</v>
      </c>
      <c r="DM136" s="304">
        <f>INDEX(Input!$1:$1048576,DM$93,$C136*2+6)</f>
        <v>21036.84210526316</v>
      </c>
      <c r="DN136" s="20">
        <v>0</v>
      </c>
      <c r="DO136" s="20">
        <v>0</v>
      </c>
      <c r="DP136" s="20">
        <v>0</v>
      </c>
      <c r="DQ136" s="20">
        <v>0</v>
      </c>
      <c r="DR136" s="20">
        <v>0</v>
      </c>
      <c r="DS136" s="20">
        <f>INDEX(Input!$1:$1048576,DS$93,$C136*2+6)</f>
        <v>0.6</v>
      </c>
      <c r="DT136" s="20">
        <f>INDEX(Input!$1:$1048576,DT$93,$C136*2+6)</f>
        <v>0.55000000000000004</v>
      </c>
      <c r="DU136" s="20">
        <f>INDEX(Input!$1:$1048576,DU$93,$C136*2+6)</f>
        <v>0.52</v>
      </c>
      <c r="DV136" s="20">
        <f>INDEX(Input!$1:$1048576,DV$93,$C136*2+6)</f>
        <v>0.5</v>
      </c>
      <c r="DW136" s="20">
        <f>INDEX(Input!$1:$1048576,DW$93,$C136*2+6)</f>
        <v>0.45</v>
      </c>
      <c r="DX136" s="20"/>
      <c r="DY136" s="7">
        <v>0.11292472948565274</v>
      </c>
      <c r="DZ136" s="7">
        <v>0</v>
      </c>
      <c r="EA136" s="7">
        <v>0.50966972850590231</v>
      </c>
      <c r="EB136" s="7">
        <v>0</v>
      </c>
      <c r="EC136" s="7">
        <v>0</v>
      </c>
      <c r="ED136" s="7">
        <v>0</v>
      </c>
      <c r="EE136" s="7">
        <v>0</v>
      </c>
      <c r="EF136" s="7">
        <v>0</v>
      </c>
      <c r="EG136" s="7">
        <v>0</v>
      </c>
      <c r="EH136" s="7">
        <v>1.4789192705906975E-2</v>
      </c>
      <c r="EI136" s="7">
        <v>4.3188566954775416E-2</v>
      </c>
      <c r="EJ136" s="7">
        <v>0.27281740913088937</v>
      </c>
      <c r="EK136" s="7">
        <v>0.58408530924176316</v>
      </c>
      <c r="EL136" s="7">
        <v>8.5119521966665113E-2</v>
      </c>
      <c r="EM136" s="7">
        <v>5.1303172805814104E-2</v>
      </c>
      <c r="EN136" s="7">
        <v>5.0824256578978509E-2</v>
      </c>
      <c r="EO136" s="7">
        <v>0.76815678085538375</v>
      </c>
      <c r="EP136" s="7">
        <v>7.9058197430733571E-2</v>
      </c>
      <c r="EQ136" s="7">
        <v>6.0271198631198966E-2</v>
      </c>
      <c r="ER136" s="7">
        <v>4.1689566503705221E-2</v>
      </c>
      <c r="ES136" s="7">
        <v>0.3261023692026308</v>
      </c>
      <c r="ET136" s="7">
        <v>0.37740554200844489</v>
      </c>
      <c r="EU136" s="6">
        <v>1770</v>
      </c>
      <c r="EV136" s="6">
        <v>0</v>
      </c>
      <c r="EW136" s="6">
        <v>1770</v>
      </c>
      <c r="EX136" s="6">
        <v>0</v>
      </c>
      <c r="EY136" s="6">
        <v>2319.8491773399101</v>
      </c>
      <c r="EZ136" s="6">
        <v>2085</v>
      </c>
      <c r="FA136" s="6">
        <v>0</v>
      </c>
      <c r="FB136" s="6">
        <v>0</v>
      </c>
      <c r="FC136" s="6">
        <v>0</v>
      </c>
      <c r="FD136" s="6">
        <v>0</v>
      </c>
      <c r="FE136" s="6">
        <v>0</v>
      </c>
      <c r="FF136" s="6">
        <v>0</v>
      </c>
      <c r="FG136" s="6">
        <v>0</v>
      </c>
      <c r="FH136" s="6">
        <v>1171.281137969562</v>
      </c>
      <c r="FI136" s="6">
        <v>1553.9796069512399</v>
      </c>
      <c r="FJ136" s="6">
        <v>2101.2110117447414</v>
      </c>
      <c r="FK136" s="6">
        <v>2251.3078348034669</v>
      </c>
      <c r="FL136" s="6">
        <v>907.07682140966335</v>
      </c>
      <c r="FM136" s="6">
        <v>2049.8491773399101</v>
      </c>
      <c r="FN136" s="6">
        <v>0</v>
      </c>
      <c r="FO136" s="6">
        <v>0</v>
      </c>
      <c r="FP136" s="6">
        <v>0</v>
      </c>
      <c r="FQ136" s="6">
        <v>0</v>
      </c>
      <c r="FR136" s="6">
        <v>0</v>
      </c>
      <c r="FS136" s="6">
        <v>0</v>
      </c>
      <c r="FT136" s="7">
        <v>0.62259445799155499</v>
      </c>
      <c r="FU136" s="7">
        <v>5.1303172805814104E-2</v>
      </c>
      <c r="FV136" s="7">
        <v>0.3261023692026308</v>
      </c>
      <c r="FW136" s="6">
        <v>1770.0000000000002</v>
      </c>
      <c r="FX136" s="6">
        <v>2319.8491773399101</v>
      </c>
      <c r="FY136" s="6">
        <v>2085</v>
      </c>
      <c r="FZ136" s="6">
        <v>1952.7147957719815</v>
      </c>
      <c r="GA136" s="6">
        <v>1900.9312536610328</v>
      </c>
      <c r="GB136" s="6">
        <v>18084.068746338966</v>
      </c>
      <c r="GC136" s="7">
        <v>1.0519917368675835E-2</v>
      </c>
      <c r="GD136" s="7">
        <v>1.0702997070721532E-2</v>
      </c>
      <c r="GE136" s="7"/>
      <c r="GF136" s="7"/>
      <c r="GG136" s="7">
        <v>1.7403150198768286E-2</v>
      </c>
      <c r="GH136" s="42">
        <v>-6.7164574408062307</v>
      </c>
      <c r="GI136" s="6">
        <v>-1074.5956779294274</v>
      </c>
      <c r="GJ136" s="14">
        <v>0.50394797582841744</v>
      </c>
      <c r="GK136" s="14">
        <v>0.50887573065309755</v>
      </c>
      <c r="GL136" s="14">
        <v>0.49605202417158289</v>
      </c>
      <c r="GM136" s="14">
        <v>0.49112426934690256</v>
      </c>
      <c r="GO136" s="5">
        <v>343.14810671672558</v>
      </c>
      <c r="GP136" s="5">
        <v>309.37988338875158</v>
      </c>
      <c r="GQ136" s="5">
        <v>535.04305713031317</v>
      </c>
      <c r="GR136" s="5">
        <v>410.15490233172511</v>
      </c>
      <c r="GS136" s="5">
        <v>339.42744393800166</v>
      </c>
      <c r="GT136" s="5">
        <v>293.4407446948278</v>
      </c>
      <c r="GU136" s="5">
        <v>258.04012322764959</v>
      </c>
      <c r="GV136" s="39" t="s">
        <v>392</v>
      </c>
      <c r="GW136" s="5">
        <v>492.125</v>
      </c>
      <c r="GX136" s="5">
        <v>369.09375</v>
      </c>
      <c r="GY136" s="5">
        <v>295.27499999999998</v>
      </c>
      <c r="GZ136" s="5">
        <v>252.85821728143046</v>
      </c>
      <c r="HA136" s="5">
        <v>241.34874471337258</v>
      </c>
      <c r="HB136" s="39">
        <v>272.00918188838421</v>
      </c>
      <c r="HC136" s="5">
        <v>196.06562499999998</v>
      </c>
      <c r="HD136" s="5">
        <v>177.54497441520465</v>
      </c>
      <c r="HE136" s="5">
        <v>183.15757844129553</v>
      </c>
      <c r="HF136" s="5">
        <v>172.69313048245613</v>
      </c>
      <c r="HG136" s="5">
        <v>170.66888157894735</v>
      </c>
      <c r="HH136" s="39">
        <v>178.35090729075006</v>
      </c>
      <c r="HI136" s="16"/>
      <c r="HJ136" s="19" t="str">
        <f t="shared" ref="HJ136" si="364">HJ135</f>
        <v>On</v>
      </c>
      <c r="HK136" s="1" t="str">
        <f t="shared" si="108"/>
        <v>On</v>
      </c>
      <c r="HL136" s="16"/>
      <c r="HM136" s="639">
        <f t="shared" si="311"/>
        <v>5.7455619280273196E-3</v>
      </c>
      <c r="HN136" s="639">
        <f t="shared" si="312"/>
        <v>5.0031960498701745E-4</v>
      </c>
      <c r="HO136" s="639">
        <f t="shared" si="313"/>
        <v>3.9819433988714835E-3</v>
      </c>
      <c r="HP136" s="644">
        <f>(FT136*$GD136-HM136)/$JF136*INDEX(Input!$1:$1048576,$JG$93,$C136*2+6)</f>
        <v>40.033621346193463</v>
      </c>
      <c r="HQ136" s="644">
        <f>(FU136*$GD136-HN136)/$JF136*INDEX(Input!$1:$1048576,$JG$93,$C136*2+6)</f>
        <v>2.1270440396019361</v>
      </c>
      <c r="HR136" s="644">
        <f>(FV136*$GD136-HO136)/$JF136*INDEX(Input!$1:$1048576,$JG$93,$C136*2+6)</f>
        <v>-21.440055155165325</v>
      </c>
      <c r="HS136" s="644">
        <f t="shared" si="314"/>
        <v>-9.768013713948223</v>
      </c>
      <c r="HT136" s="644">
        <f t="shared" si="315"/>
        <v>3.0537471169557877</v>
      </c>
      <c r="HU136" s="644">
        <f t="shared" si="316"/>
        <v>4.6606633566181364</v>
      </c>
      <c r="HV136" s="648">
        <f t="shared" si="317"/>
        <v>0</v>
      </c>
      <c r="HW136" s="648">
        <f t="shared" si="318"/>
        <v>0</v>
      </c>
      <c r="HX136" s="648">
        <f t="shared" si="319"/>
        <v>0</v>
      </c>
      <c r="HY136" s="644">
        <f>INDEX(Input!$1:$1048576,HY$93,$C136*2+6)*INDEX(Input!$1:$1048576,$JG$93,$C136*2+6)</f>
        <v>110.00000000000001</v>
      </c>
      <c r="HZ136" s="644">
        <f>INDEX(Input!$1:$1048576,HZ$93,$C136*2+6)*INDEX(Input!$1:$1048576,$JG$93,$C136*2+6)</f>
        <v>157</v>
      </c>
      <c r="IA136" s="644">
        <f>INDEX(Input!$1:$1048576,IA$93,$C136*2+6)*INDEX(Input!$1:$1048576,$JG$93,$C136*2+6)</f>
        <v>179</v>
      </c>
      <c r="IB136" s="644">
        <f t="shared" si="320"/>
        <v>140.26560763224532</v>
      </c>
      <c r="IC136" s="644">
        <f t="shared" si="321"/>
        <v>162.18079115655772</v>
      </c>
      <c r="ID136" s="644">
        <f>IF(AND(INDEX(Input!$1:$1048576,IA$93,$C136*2+7)="TOS",Y136&lt;=INDEX(Y:Y,MATCH(C136*1000+2,A:A))),0,1)*MAX(IA136+HR136+HU136+HX136,0%)</f>
        <v>162.22060820145279</v>
      </c>
      <c r="IE136" s="128">
        <f t="shared" si="322"/>
        <v>0.30186263608594599</v>
      </c>
      <c r="IF136" s="128">
        <f t="shared" si="323"/>
        <v>0.34902583724856256</v>
      </c>
      <c r="IG136" s="128">
        <f t="shared" si="324"/>
        <v>0.34911152666549145</v>
      </c>
      <c r="IH136" s="21"/>
      <c r="II136" s="19">
        <f t="shared" si="325"/>
        <v>1240</v>
      </c>
      <c r="IJ136" s="19">
        <f t="shared" si="326"/>
        <v>2009.7221397149679</v>
      </c>
      <c r="IK136" s="19">
        <f t="shared" si="327"/>
        <v>2070</v>
      </c>
      <c r="IL136" s="19">
        <f t="shared" si="328"/>
        <v>530.00000000000023</v>
      </c>
      <c r="IM136" s="19">
        <f t="shared" si="329"/>
        <v>310.1270376249422</v>
      </c>
      <c r="IN136" s="19">
        <f t="shared" si="330"/>
        <v>15</v>
      </c>
      <c r="IO136" s="39">
        <f t="shared" si="331"/>
        <v>0</v>
      </c>
      <c r="IP136" s="39">
        <f t="shared" si="332"/>
        <v>0</v>
      </c>
      <c r="IQ136" s="39">
        <f t="shared" si="333"/>
        <v>0</v>
      </c>
      <c r="IR136" s="39">
        <v>0</v>
      </c>
      <c r="IS136" s="39">
        <v>0</v>
      </c>
      <c r="IT136" s="39">
        <v>0</v>
      </c>
      <c r="IU136" s="39">
        <v>0</v>
      </c>
      <c r="IV136" s="39">
        <v>0</v>
      </c>
      <c r="IW136" s="39">
        <v>0</v>
      </c>
      <c r="IX136" s="39">
        <f>INDEX(Input!$1:$1048576,IX$93,$C136*2+6)+INDEX(Input!$1:$1048576,IX$94,$C136*2+6)</f>
        <v>1270</v>
      </c>
      <c r="IY136" s="39">
        <f>INDEX(Input!$1:$1048576,IY$93,$C136*2+6)+INDEX(Input!$1:$1048576,IY$94,$C136*2+6)</f>
        <v>2130.0624533823611</v>
      </c>
      <c r="IZ136" s="39">
        <f>INDEX(Input!$1:$1048576,IZ$93,$C136*2+6)+INDEX(Input!$1:$1048576,IZ$94,$C136*2+6)</f>
        <v>4373.7164157747848</v>
      </c>
      <c r="JA136" s="19">
        <f t="shared" si="334"/>
        <v>1800.0000000000002</v>
      </c>
      <c r="JB136" s="19">
        <f t="shared" si="335"/>
        <v>2440.1894910073033</v>
      </c>
      <c r="JC136" s="19">
        <f t="shared" si="336"/>
        <v>4388.7164157747848</v>
      </c>
      <c r="JD136" s="19">
        <f t="shared" si="337"/>
        <v>2927.1934131117096</v>
      </c>
      <c r="JE136" s="21"/>
      <c r="JF136" s="1">
        <f t="shared" si="338"/>
        <v>1.022782493188582E-2</v>
      </c>
      <c r="JG136" s="15">
        <f>INDEX(Input!$1:$1048576,JG$93,$C136*2+6)/(1+VLOOKUP(C136*1000+INDEX(Input!$1:$1048576,JG$93+1,$C136*2+6),$A:$KK,$JK$92,FALSE))</f>
        <v>446</v>
      </c>
      <c r="JH136" s="1">
        <f t="shared" si="339"/>
        <v>4.6458767333251286E-2</v>
      </c>
      <c r="JI136" s="1">
        <f t="shared" si="340"/>
        <v>-4.6044915703459619E-3</v>
      </c>
      <c r="JJ136" s="1">
        <f t="shared" si="341"/>
        <v>0</v>
      </c>
      <c r="JK136" s="1">
        <f t="shared" si="342"/>
        <v>4.1854275762905326E-2</v>
      </c>
      <c r="JL136" s="15">
        <f t="shared" si="343"/>
        <v>18.667006990255775</v>
      </c>
      <c r="JM136" s="15">
        <f t="shared" si="344"/>
        <v>464.6670069902558</v>
      </c>
      <c r="JN136" s="21"/>
      <c r="JO136" s="19">
        <f>INDEX(Input!$1:$1048576,JO$93,$C136*2+6)</f>
        <v>5995.5</v>
      </c>
      <c r="JP136" s="19">
        <f>INDEX(Input!$1:$1048576,JP$93,$C136*2+6)</f>
        <v>2818.4193802796353</v>
      </c>
      <c r="JQ136" s="39">
        <f t="shared" si="345"/>
        <v>3068.3065868882904</v>
      </c>
      <c r="JR136" s="39">
        <f t="shared" si="346"/>
        <v>108.77403283207423</v>
      </c>
      <c r="JS136" s="39">
        <f t="shared" si="347"/>
        <v>1.3601702021522095</v>
      </c>
      <c r="JT136" s="39">
        <f t="shared" si="348"/>
        <v>0.10315515854749223</v>
      </c>
      <c r="JU136" s="385">
        <f>(JQ136*JM136-INDEX(Input!$1:$1048576,Input!A$18,$C136*2+6)*JL136*INDEX(Input!$1:$1048576,Input!A$19,$C136*2+6))/1000000</f>
        <v>1.4257408382578693</v>
      </c>
      <c r="JV136" s="39">
        <f t="shared" si="349"/>
        <v>8.7628818625866689E-3</v>
      </c>
      <c r="JW136" s="1">
        <f t="shared" si="350"/>
        <v>6.1842047881104506E-3</v>
      </c>
      <c r="JX136" s="19">
        <f t="shared" si="351"/>
        <v>5526.068458716466</v>
      </c>
      <c r="JZ136" s="341"/>
      <c r="KA136" s="342"/>
      <c r="KB136" s="469">
        <f t="shared" si="110"/>
        <v>2.9286733661474216</v>
      </c>
      <c r="KI136" s="473">
        <f t="shared" si="352"/>
        <v>30.265607632245306</v>
      </c>
      <c r="KJ136" s="473">
        <f t="shared" si="353"/>
        <v>5.1807911565577172</v>
      </c>
      <c r="KK136" s="473">
        <f t="shared" si="354"/>
        <v>-16.779391798547209</v>
      </c>
      <c r="KN136" s="544">
        <f t="shared" si="355"/>
        <v>1002</v>
      </c>
      <c r="KO136" s="541">
        <f t="shared" si="356"/>
        <v>3.7583690227442901E-2</v>
      </c>
      <c r="KP136" s="546">
        <f t="shared" si="357"/>
        <v>248.70289188597812</v>
      </c>
      <c r="KQ136" s="546">
        <f t="shared" si="358"/>
        <v>87.87721309305789</v>
      </c>
      <c r="KR136" s="548">
        <f t="shared" si="359"/>
        <v>2.5910356883651349</v>
      </c>
      <c r="KS136" s="548">
        <f t="shared" si="360"/>
        <v>7.3329370151258368</v>
      </c>
      <c r="KT136" s="473">
        <f t="shared" si="112"/>
        <v>238.28695973331548</v>
      </c>
      <c r="KU136" s="663">
        <f t="shared" si="361"/>
        <v>6.4862399956875336</v>
      </c>
      <c r="KV136" s="117"/>
    </row>
    <row r="137" spans="1:308" s="26" customFormat="1" ht="15">
      <c r="A137" s="561">
        <f t="shared" si="168"/>
        <v>1037</v>
      </c>
      <c r="B137" s="561">
        <f t="shared" si="104"/>
        <v>37</v>
      </c>
      <c r="C137" s="561">
        <f t="shared" si="105"/>
        <v>1</v>
      </c>
      <c r="D137" s="561" t="str">
        <f t="shared" si="294"/>
        <v xml:space="preserve">750 CC, 0/0/0.9/3.9, </v>
      </c>
      <c r="E137" s="475">
        <f>INDEX(Input!$1:$1048576,E$93,$C137*2+MIN($B137,2)+5)
+INDEX(Scenarios!E$121:E$200,MATCH($B137,Scenarios!$B$121:$B$200,0))</f>
        <v>1979</v>
      </c>
      <c r="F137" s="475">
        <f>INDEX(Input!$1:$1048576,F$93,$C137*2+MIN($B137,2)+5)
+INDEX(Scenarios!F$121:F$200,MATCH($B137,Scenarios!$B$121:$B$200,0))</f>
        <v>0</v>
      </c>
      <c r="G137" s="475">
        <f>INDEX(Input!$1:$1048576,G$93,$C137*2+MIN($B137,2)+5)
+INDEX(Scenarios!G$121:G$200,MATCH($B137,Scenarios!$B$121:$B$200,0))</f>
        <v>0</v>
      </c>
      <c r="H137" s="475">
        <f>INDEX(Input!$1:$1048576,H$93,$C137*2+MIN($B137,2)+5)
+INDEX(Scenarios!H$121:H$200,MATCH($B137,Scenarios!$B$121:$B$200,0))</f>
        <v>0</v>
      </c>
      <c r="I137" s="476">
        <f>INDEX(Input!$1:$1048576,I$93,$C137*2+MIN($B137,2)+5)</f>
        <v>0.7</v>
      </c>
      <c r="J137" s="476" t="str">
        <f>INDEX(Input!$1:$1048576,J$93,$C137*2+MIN($B137,2)+5)</f>
        <v>Market</v>
      </c>
      <c r="K137" s="476" t="str">
        <f>INDEX(Input!$1:$1048576,K$93,$C137*2+MIN($B137,2)+5)</f>
        <v>Market</v>
      </c>
      <c r="L137" s="476" t="str">
        <f>INDEX(Input!$1:$1048576,L$93,$C137*2+MIN($B137,2)+5)</f>
        <v>Market</v>
      </c>
      <c r="M137" s="476" t="str">
        <f>INDEX(Input!$1:$1048576,M$93,$C137*2+MIN($B137,2)+5)</f>
        <v>Market</v>
      </c>
      <c r="N137" s="476" t="str">
        <f>INDEX(Input!$1:$1048576,N$93,$C137*2+MIN($B137,2)+5)</f>
        <v>Market</v>
      </c>
      <c r="O137" s="476" t="str">
        <f>INDEX(Input!$1:$1048576,O$93,$C137*2+MIN($B137,2)+5)</f>
        <v>Market</v>
      </c>
      <c r="P137" s="476" t="str">
        <f>INDEX(Input!$1:$1048576,P$93,$C137*2+MIN($B137,2)+5)</f>
        <v>N</v>
      </c>
      <c r="Q137" s="477">
        <f>INDEX(Input!$1:$1048576,Q$93,$C137*2+MIN($B137,2)+5)
+INDEX(Scenarios!Q$121:Q$200,MATCH($B137,Scenarios!$B$121:$B$200,0))</f>
        <v>0</v>
      </c>
      <c r="R137" s="478">
        <f>IFERROR(MAX(0,INDEX(Input!$1:$1048576,R$93,$C137*2+MIN($B137,2)+5)
+INDEX(Scenarios!R$121:R$200,MATCH($B137,Scenarios!$B$121:$B$200,0)),),"Market")</f>
        <v>0</v>
      </c>
      <c r="S137" s="478">
        <f>IFERROR(MAX(0,INDEX(Input!$1:$1048576,S$93,$C137*2+MIN($B137,2)+5)
+INDEX(Scenarios!S$121:S$200,MATCH($B137,Scenarios!$B$121:$B$200,0)),),"Market")</f>
        <v>0</v>
      </c>
      <c r="T137" s="478">
        <f>IFERROR(MAX(0,INDEX(Input!$1:$1048576,T$93,$C137*2+MIN($B137,2)+5)
+INDEX(Scenarios!T$121:T$200,MATCH($B137,Scenarios!$B$121:$B$200,0)),),"Market")</f>
        <v>0</v>
      </c>
      <c r="U137" s="478">
        <f>IFERROR(MAX(0,INDEX(Input!$1:$1048576,U$93,$C137*2+MIN($B137,2)+5)
+INDEX(Scenarios!U$121:U$200,MATCH($B137,Scenarios!$B$121:$B$200,0)),),"Market")</f>
        <v>0</v>
      </c>
      <c r="V137" s="478">
        <f>IFERROR(MAX(0,INDEX(Input!$1:$1048576,V$93,$C137*2+MIN($B137,2)+5)
+INDEX(Scenarios!V$121:V$200,MATCH($B137,Scenarios!$B$121:$B$200,0)),),"Market")</f>
        <v>8.9999999999999993E-3</v>
      </c>
      <c r="W137" s="885">
        <f>IFERROR(MAX(0,INDEX(Input!$1:$1048576,W$93,$C137*2+MIN($B137,2)+5)-0%,),"Market")</f>
        <v>3.9E-2</v>
      </c>
      <c r="X137" s="476" t="str">
        <f>INDEX(Input!$1:$1048576,X$93,$C137*2+MIN($B137,2)+5)</f>
        <v>Y</v>
      </c>
      <c r="Y137" s="475">
        <f>INDEX(Input!$1:$1048576,Y$93,$C137*2+MIN($B137,2)+5)
++INDEX(Scenarios!Y$121:Y$200,MATCH($B137,Scenarios!$B$121:$B$200,0))</f>
        <v>1942</v>
      </c>
      <c r="Z137" s="477">
        <f>INDEX(Input!$1:$1048576,Z$93,$C137*2+MIN($B137,2)+5)
+INDEX(Scenarios!Z$121:Z$200,MATCH($B137,Scenarios!$B$121:$B$200,0))</f>
        <v>0</v>
      </c>
      <c r="AA137" s="475">
        <f>INDEX(Input!$1:$1048576,AA$93,$C137*2+MIN($B137,2)+5)
+INDEX(Scenarios!AA$121:AA$200,MATCH($B137,Scenarios!$B$121:$B$200,0))</f>
        <v>0</v>
      </c>
      <c r="AB137" s="476">
        <f>INDEX(Input!$1:$1048576,AB$93,$C137*2+MIN($B137,2)+5)</f>
        <v>0.27</v>
      </c>
      <c r="AC137" s="475">
        <f>INDEX(Input!$1:$1048576,AC$93,$C137*2+MIN($B137,2)+5)
+INDEX(Scenarios!AC$121:AC$200,MATCH($B137,Scenarios!$B$121:$B$200,0))</f>
        <v>0</v>
      </c>
      <c r="AD137" s="476">
        <f>INDEX(Input!$1:$1048576,AD$93,$C137*2+MIN($B137,2)+5)</f>
        <v>0.27</v>
      </c>
      <c r="AE137" s="475">
        <f>INDEX(Input!$1:$1048576,AE$93,$C137*2+MIN($B137,2)+5)
+INDEX(Scenarios!AE$121:AE$200,MATCH($B137,Scenarios!$B$121:$B$200,0))</f>
        <v>0</v>
      </c>
      <c r="AF137" s="476">
        <f>INDEX(Input!$1:$1048576,AF$93,$C137*2+MIN($B137,2)+5)</f>
        <v>0.38</v>
      </c>
      <c r="AG137" s="475">
        <f>INDEX(Input!$1:$1048576,AG$93,$C137*2+MIN($B137,2)+5)
+INDEX(Scenarios!AG$121:AG$200,MATCH($B137,Scenarios!$B$121:$B$200,0))</f>
        <v>0</v>
      </c>
      <c r="AH137" s="476">
        <f>INDEX(Input!$1:$1048576,AH$93,$C137*2+MIN($B137,2)+5)</f>
        <v>0</v>
      </c>
      <c r="AI137" s="475">
        <f>INDEX(Input!$1:$1048576,AI$93,$C137*2+MIN($B137,2)+5)
+INDEX(Scenarios!AI$121:AI$200,MATCH($B137,Scenarios!$B$121:$B$200,0))</f>
        <v>0</v>
      </c>
      <c r="AJ137" s="476">
        <f>INDEX(Input!$1:$1048576,AJ$93,$C137*2+MIN($B137,2)+5)</f>
        <v>0.27</v>
      </c>
      <c r="AK137" s="150">
        <f>ROUND(INDEX(Input!$1:$1048576,AK$93,$C136*2+MIN($B137,1)+5)+(Y137-VLOOKUP($C137*1000+1,$A:$HH,Y$92,FALSE)),0)</f>
        <v>3757</v>
      </c>
      <c r="AL137" s="150">
        <f>ROUND(INDEX(Input!$1:$1048576,AL$93,$C136*2+MIN($B137,1)+5)-(Y137-VLOOKUP($C137*1000+1,$A:$HH,Y$92,FALSE))/36,0)</f>
        <v>4113</v>
      </c>
      <c r="AM137" s="32" t="str">
        <f t="shared" si="169"/>
        <v>std/std/std/std</v>
      </c>
      <c r="AN137" s="32" t="str">
        <f t="shared" si="170"/>
        <v>$0 + 0/0/0/0.9/3.9</v>
      </c>
      <c r="AO137" s="32" t="str">
        <f t="shared" si="171"/>
        <v>0/0/0/0.9/3.9</v>
      </c>
      <c r="AP137" s="32" t="str">
        <f t="shared" si="73"/>
        <v>0/0/0.9/3.9</v>
      </c>
      <c r="AQ137" s="536">
        <f t="shared" si="39"/>
        <v>0.33391287124318308</v>
      </c>
      <c r="AR137" s="32"/>
      <c r="AS137" s="302"/>
      <c r="AT137" s="3">
        <f t="shared" si="106"/>
        <v>37</v>
      </c>
      <c r="AU137" s="41" t="s">
        <v>121</v>
      </c>
      <c r="AV137" s="41" t="s">
        <v>116</v>
      </c>
      <c r="AW137" s="41" t="str">
        <f>INDEX(Input!$1:$1048576,AW$93,$C137*2+6)</f>
        <v>Kia</v>
      </c>
      <c r="AX137" s="41" t="str">
        <f>INDEX(Input!$1:$1048576,AX$93,$C137*2+6)</f>
        <v>Kia-LR - L1</v>
      </c>
      <c r="AY137" s="41" t="str">
        <f>IF(LEN(D137)=0,"",INDEX(Input!$1:$1048576,AY$93,$C137*2+6))</f>
        <v>Compact SUV (52)</v>
      </c>
      <c r="AZ137" s="41" t="str">
        <f>INDEX(Input!$1:$1048576,AZ$93,$C137*2+6)</f>
        <v>Kia Soul</v>
      </c>
      <c r="BA137" s="3">
        <f>INDEX(Input!$1:$1048576,BA$93,$C137*2+6)</f>
        <v>2020</v>
      </c>
      <c r="BB137" s="128">
        <f>INDEX(Input!$1:$1048576,BB$93,$C137*2+6)</f>
        <v>1</v>
      </c>
      <c r="BC137" s="128">
        <f>INDEX(Input!$1:$1048576,BC$93,$C137*2+6)</f>
        <v>0.7</v>
      </c>
      <c r="BD137" s="1">
        <f>INDEX(Input!$1:$1048576,BD$93,$C137*2+6)</f>
        <v>4.4999999999999998E-2</v>
      </c>
      <c r="BE137" s="1">
        <f>INDEX(Input!$1:$1048576,BE$93,$C137*2+6)</f>
        <v>4.4999999999999998E-2</v>
      </c>
      <c r="BF137" s="1">
        <f>INDEX(Input!$1:$1048576,BF$93,$C137*2+6)</f>
        <v>0.05</v>
      </c>
      <c r="BG137" s="1">
        <f>INDEX(Input!$1:$1048576,BG$93,$C137*2+6)</f>
        <v>5.45E-2</v>
      </c>
      <c r="BH137" s="1">
        <f>INDEX(Input!$1:$1048576,BH$93,$C137*2+6)</f>
        <v>5.45E-2</v>
      </c>
      <c r="BI137" s="1">
        <f>INDEX(Input!$1:$1048576,BI$93,$C137*2+6)</f>
        <v>0.05</v>
      </c>
      <c r="BJ137" s="1">
        <f>INDEX(Input!$1:$1048576,BJ$93,$C137*2+6)</f>
        <v>0.05</v>
      </c>
      <c r="BK137" s="1">
        <f>INDEX(Input!$1:$1048576,BK$93,$C137*2+6)</f>
        <v>0.05</v>
      </c>
      <c r="BL137" s="1">
        <f>INDEX(Input!$1:$1048576,BL$93,$C137*2+6)</f>
        <v>5.5E-2</v>
      </c>
      <c r="BM137" s="1">
        <f>INDEX(Input!$1:$1048576,BM$93,$C137*2+6)</f>
        <v>0.06</v>
      </c>
      <c r="BN137" s="1">
        <f>INDEX(Input!$1:$1048576,BN$93,$C137*2+6)</f>
        <v>4.4999999999999998E-2</v>
      </c>
      <c r="BO137" s="1">
        <f>INDEX(Input!$1:$1048576,BO$93,$C137*2+6)</f>
        <v>4.4999999999999998E-2</v>
      </c>
      <c r="BP137" s="1">
        <f>INDEX(Input!$1:$1048576,BP$93,$C137*2+6)</f>
        <v>0.05</v>
      </c>
      <c r="BQ137" s="1">
        <f>INDEX(Input!$1:$1048576,BQ$93,$C137*2+6)</f>
        <v>5.45E-2</v>
      </c>
      <c r="BR137" s="1">
        <f>INDEX(Input!$1:$1048576,BR$93,$C137*2+6)</f>
        <v>5.45E-2</v>
      </c>
      <c r="BS137" s="1">
        <f>INDEX(Input!$1:$1048576,BS$93,$C137*2+6)</f>
        <v>0.05</v>
      </c>
      <c r="BT137" s="1">
        <f>INDEX(Input!$1:$1048576,BT$93,$C137*2+6)</f>
        <v>0.05</v>
      </c>
      <c r="BU137" s="1">
        <f>INDEX(Input!$1:$1048576,BU$93,$C137*2+6)</f>
        <v>0.05</v>
      </c>
      <c r="BV137" s="1">
        <f>INDEX(Input!$1:$1048576,BV$93,$C137*2+6)</f>
        <v>5.5E-2</v>
      </c>
      <c r="BW137" s="1">
        <f>INDEX(Input!$1:$1048576,BW$93,$C137*2+6)</f>
        <v>0.06</v>
      </c>
      <c r="BX137" s="127">
        <f>INDEX(Input!$1:$1048576,BX$93,$C137*2+6)</f>
        <v>19985</v>
      </c>
      <c r="BY137" s="20">
        <f>INDEX(Input!$1:$1048576,BY$93,$C137*2+6)</f>
        <v>0.1</v>
      </c>
      <c r="BZ137" s="20">
        <f>INDEX(Input!$1:$1048576,BZ$93,$C137*2+6)</f>
        <v>0.1</v>
      </c>
      <c r="CA137" s="20">
        <f>INDEX(Input!$1:$1048576,CA$93,$C137*2+6)</f>
        <v>0.1</v>
      </c>
      <c r="CB137" s="20">
        <f>INDEX(Input!$1:$1048576,CB$93,$C137*2+6)</f>
        <v>0.1</v>
      </c>
      <c r="CC137" s="20">
        <f>INDEX(Input!$1:$1048576,CC$93,$C137*2+6)</f>
        <v>0.1</v>
      </c>
      <c r="CD137" s="384">
        <f>INDEX(Input!$1:$1048576,CD$93,$C137*2+6)</f>
        <v>0.1</v>
      </c>
      <c r="CE137" s="384">
        <f>INDEX(Input!$1:$1048576,CE$93,$C137*2+6)</f>
        <v>0.1</v>
      </c>
      <c r="CF137" s="384">
        <f>INDEX(Input!$1:$1048576,CF$93,$C137*2+6)</f>
        <v>0.1</v>
      </c>
      <c r="CG137" s="384">
        <f>INDEX(Input!$1:$1048576,CG$93,$C137*2+6)</f>
        <v>0.1</v>
      </c>
      <c r="CH137" s="384">
        <f>INDEX(Input!$1:$1048576,CH$93,$C137*2+6)</f>
        <v>0.1</v>
      </c>
      <c r="CI137" s="304">
        <f t="shared" si="74"/>
        <v>1979</v>
      </c>
      <c r="CJ137" s="16" t="str">
        <f>INDEX(Input!$1:$1048576,CJ$93,$C137*2+6)</f>
        <v>N</v>
      </c>
      <c r="CK137" s="1" t="str">
        <f t="shared" si="75"/>
        <v>Market</v>
      </c>
      <c r="CL137" s="1" t="str">
        <f t="shared" si="76"/>
        <v>Market</v>
      </c>
      <c r="CM137" s="1" t="str">
        <f t="shared" si="77"/>
        <v>Market</v>
      </c>
      <c r="CN137" s="1" t="str">
        <f t="shared" si="78"/>
        <v>Market</v>
      </c>
      <c r="CO137" s="1" t="str">
        <f t="shared" si="79"/>
        <v>Market</v>
      </c>
      <c r="CP137" s="304">
        <f t="shared" si="80"/>
        <v>0</v>
      </c>
      <c r="CQ137" s="1">
        <f t="shared" si="81"/>
        <v>0</v>
      </c>
      <c r="CR137" s="1">
        <f t="shared" si="82"/>
        <v>0</v>
      </c>
      <c r="CS137" s="1">
        <f t="shared" si="83"/>
        <v>0</v>
      </c>
      <c r="CT137" s="1">
        <f t="shared" si="84"/>
        <v>8.9999999999999993E-3</v>
      </c>
      <c r="CU137" s="1">
        <f t="shared" si="85"/>
        <v>3.9E-2</v>
      </c>
      <c r="CV137" s="304">
        <f t="shared" si="86"/>
        <v>1942</v>
      </c>
      <c r="CW137" s="20" t="s">
        <v>122</v>
      </c>
      <c r="CX137" s="20" t="s">
        <v>122</v>
      </c>
      <c r="CY137" s="20" t="s">
        <v>122</v>
      </c>
      <c r="CZ137" s="20" t="s">
        <v>122</v>
      </c>
      <c r="DA137" s="20" t="s">
        <v>122</v>
      </c>
      <c r="DB137" s="503">
        <f t="shared" si="87"/>
        <v>0</v>
      </c>
      <c r="DC137" s="127">
        <v>0</v>
      </c>
      <c r="DD137" s="127">
        <v>0</v>
      </c>
      <c r="DE137" s="127">
        <v>0</v>
      </c>
      <c r="DF137" s="127">
        <v>0</v>
      </c>
      <c r="DG137" s="127">
        <v>0</v>
      </c>
      <c r="DH137" s="127">
        <v>0</v>
      </c>
      <c r="DI137" s="127">
        <v>0</v>
      </c>
      <c r="DJ137" s="127">
        <v>0</v>
      </c>
      <c r="DK137" s="127">
        <v>0</v>
      </c>
      <c r="DL137" s="127">
        <v>0</v>
      </c>
      <c r="DM137" s="304">
        <f>INDEX(Input!$1:$1048576,DM$93,$C137*2+6)</f>
        <v>21036.84210526316</v>
      </c>
      <c r="DN137" s="20">
        <v>0</v>
      </c>
      <c r="DO137" s="20">
        <v>0</v>
      </c>
      <c r="DP137" s="20">
        <v>0</v>
      </c>
      <c r="DQ137" s="20">
        <v>0</v>
      </c>
      <c r="DR137" s="20">
        <v>0</v>
      </c>
      <c r="DS137" s="20">
        <f>INDEX(Input!$1:$1048576,DS$93,$C137*2+6)</f>
        <v>0.6</v>
      </c>
      <c r="DT137" s="20">
        <f>INDEX(Input!$1:$1048576,DT$93,$C137*2+6)</f>
        <v>0.55000000000000004</v>
      </c>
      <c r="DU137" s="20">
        <f>INDEX(Input!$1:$1048576,DU$93,$C137*2+6)</f>
        <v>0.52</v>
      </c>
      <c r="DV137" s="20">
        <f>INDEX(Input!$1:$1048576,DV$93,$C137*2+6)</f>
        <v>0.5</v>
      </c>
      <c r="DW137" s="20">
        <f>INDEX(Input!$1:$1048576,DW$93,$C137*2+6)</f>
        <v>0.45</v>
      </c>
      <c r="DX137" s="20"/>
      <c r="DY137" s="7">
        <v>0.1214728504835095</v>
      </c>
      <c r="DZ137" s="7">
        <v>0</v>
      </c>
      <c r="EA137" s="7">
        <v>0.53261033859593387</v>
      </c>
      <c r="EB137" s="7">
        <v>0</v>
      </c>
      <c r="EC137" s="7">
        <v>0</v>
      </c>
      <c r="ED137" s="7">
        <v>0</v>
      </c>
      <c r="EE137" s="7">
        <v>0</v>
      </c>
      <c r="EF137" s="7">
        <v>0</v>
      </c>
      <c r="EG137" s="7">
        <v>0</v>
      </c>
      <c r="EH137" s="7">
        <v>1.4789192705906984E-2</v>
      </c>
      <c r="EI137" s="7">
        <v>4.318856695477543E-2</v>
      </c>
      <c r="EJ137" s="7">
        <v>0.27281740913088942</v>
      </c>
      <c r="EK137" s="7">
        <v>0.58408530924176316</v>
      </c>
      <c r="EL137" s="7">
        <v>8.511952196666514E-2</v>
      </c>
      <c r="EM137" s="7">
        <v>4.7022706218490903E-2</v>
      </c>
      <c r="EN137" s="7">
        <v>5.0824256578978516E-2</v>
      </c>
      <c r="EO137" s="7">
        <v>0.76815678085538364</v>
      </c>
      <c r="EP137" s="7">
        <v>7.9058197430733598E-2</v>
      </c>
      <c r="EQ137" s="7">
        <v>6.027119863119898E-2</v>
      </c>
      <c r="ER137" s="7">
        <v>4.1689566503705221E-2</v>
      </c>
      <c r="ES137" s="7">
        <v>0.29889410470206562</v>
      </c>
      <c r="ET137" s="7">
        <v>0.34591681092055659</v>
      </c>
      <c r="EU137" s="6">
        <v>2020</v>
      </c>
      <c r="EV137" s="6">
        <v>0</v>
      </c>
      <c r="EW137" s="6">
        <v>2020</v>
      </c>
      <c r="EX137" s="6">
        <v>0</v>
      </c>
      <c r="EY137" s="6">
        <v>2319.8491773399105</v>
      </c>
      <c r="EZ137" s="6">
        <v>2085</v>
      </c>
      <c r="FA137" s="6">
        <v>0</v>
      </c>
      <c r="FB137" s="6">
        <v>0</v>
      </c>
      <c r="FC137" s="6">
        <v>0</v>
      </c>
      <c r="FD137" s="6">
        <v>0</v>
      </c>
      <c r="FE137" s="6">
        <v>0</v>
      </c>
      <c r="FF137" s="6">
        <v>0</v>
      </c>
      <c r="FG137" s="6">
        <v>0</v>
      </c>
      <c r="FH137" s="6">
        <v>1171.2811379695613</v>
      </c>
      <c r="FI137" s="6">
        <v>1553.9796069512397</v>
      </c>
      <c r="FJ137" s="6">
        <v>2101.2110117447414</v>
      </c>
      <c r="FK137" s="6">
        <v>2251.3078348034678</v>
      </c>
      <c r="FL137" s="6">
        <v>907.07682140966313</v>
      </c>
      <c r="FM137" s="6">
        <v>2049.8491773399105</v>
      </c>
      <c r="FN137" s="6">
        <v>0</v>
      </c>
      <c r="FO137" s="6">
        <v>0</v>
      </c>
      <c r="FP137" s="6">
        <v>0</v>
      </c>
      <c r="FQ137" s="6">
        <v>0</v>
      </c>
      <c r="FR137" s="6">
        <v>0</v>
      </c>
      <c r="FS137" s="6">
        <v>0</v>
      </c>
      <c r="FT137" s="7">
        <v>0.65408318907944341</v>
      </c>
      <c r="FU137" s="7">
        <v>4.7022706218490903E-2</v>
      </c>
      <c r="FV137" s="7">
        <v>0.29889410470206562</v>
      </c>
      <c r="FW137" s="6">
        <v>2020.0000000000002</v>
      </c>
      <c r="FX137" s="6">
        <v>2319.8491773399105</v>
      </c>
      <c r="FY137" s="6">
        <v>2085</v>
      </c>
      <c r="FZ137" s="6">
        <v>1952.7147957719815</v>
      </c>
      <c r="GA137" s="6">
        <v>2053.5278365815448</v>
      </c>
      <c r="GB137" s="6">
        <v>17931.472163418453</v>
      </c>
      <c r="GC137" s="7">
        <v>1.0519917368675835E-2</v>
      </c>
      <c r="GD137" s="7">
        <v>1.0932230092838688E-2</v>
      </c>
      <c r="GE137" s="7"/>
      <c r="GF137" s="7"/>
      <c r="GG137" s="7">
        <v>3.9193532583303117E-2</v>
      </c>
      <c r="GH137" s="42">
        <v>7.7696570045629381</v>
      </c>
      <c r="GI137" s="6">
        <v>4625.713454075757</v>
      </c>
      <c r="GJ137" s="14">
        <v>0.50394797582841744</v>
      </c>
      <c r="GK137" s="14">
        <v>0.50887573065309744</v>
      </c>
      <c r="GL137" s="14">
        <v>0.49605202417158273</v>
      </c>
      <c r="GM137" s="14">
        <v>0.49112426934690251</v>
      </c>
      <c r="GO137" s="5">
        <v>343.14810671672558</v>
      </c>
      <c r="GP137" s="5">
        <v>304.61036031982871</v>
      </c>
      <c r="GQ137" s="5">
        <v>535.04305713031317</v>
      </c>
      <c r="GR137" s="5">
        <v>410.15490233172511</v>
      </c>
      <c r="GS137" s="5">
        <v>339.42744393800166</v>
      </c>
      <c r="GT137" s="5">
        <v>293.4407446948278</v>
      </c>
      <c r="GU137" s="5">
        <v>258.04012322764959</v>
      </c>
      <c r="GV137" s="39" t="s">
        <v>392</v>
      </c>
      <c r="GW137" s="5">
        <v>492.125</v>
      </c>
      <c r="GX137" s="5">
        <v>369.09375</v>
      </c>
      <c r="GY137" s="5">
        <v>295.27499999999998</v>
      </c>
      <c r="GZ137" s="5">
        <v>252.85821728143046</v>
      </c>
      <c r="HA137" s="5">
        <v>241.34874471337258</v>
      </c>
      <c r="HB137" s="39">
        <v>272.00918188838421</v>
      </c>
      <c r="HC137" s="5">
        <v>196.06562499999998</v>
      </c>
      <c r="HD137" s="5">
        <v>177.54497441520465</v>
      </c>
      <c r="HE137" s="5">
        <v>183.15757844129553</v>
      </c>
      <c r="HF137" s="5">
        <v>172.69313048245613</v>
      </c>
      <c r="HG137" s="5">
        <v>170.66888157894735</v>
      </c>
      <c r="HH137" s="39">
        <v>178.35090729075003</v>
      </c>
      <c r="HI137" s="16"/>
      <c r="HJ137" s="19" t="str">
        <f t="shared" ref="HJ137" si="365">HJ136</f>
        <v>On</v>
      </c>
      <c r="HK137" s="1" t="str">
        <f t="shared" si="108"/>
        <v>On</v>
      </c>
      <c r="HL137" s="16"/>
      <c r="HM137" s="639">
        <f t="shared" si="266"/>
        <v>5.7455619280273196E-3</v>
      </c>
      <c r="HN137" s="639">
        <f t="shared" si="267"/>
        <v>5.0031960498701745E-4</v>
      </c>
      <c r="HO137" s="639">
        <f t="shared" si="268"/>
        <v>3.9819433988714835E-3</v>
      </c>
      <c r="HP137" s="644">
        <f>(FT137*$GD137-HM137)/$JF137*INDEX(Input!$1:$1048576,$JG$93,$C137*2+6)</f>
        <v>61.268314414349533</v>
      </c>
      <c r="HQ137" s="644">
        <f>(FU137*$GD137-HN137)/$JF137*INDEX(Input!$1:$1048576,$JG$93,$C137*2+6)</f>
        <v>0.59930374508381912</v>
      </c>
      <c r="HR137" s="644">
        <f>(FV137*$GD137-HO137)/$JF137*INDEX(Input!$1:$1048576,$JG$93,$C137*2+6)</f>
        <v>-31.150950258171939</v>
      </c>
      <c r="HS137" s="644">
        <f t="shared" si="269"/>
        <v>-14.278225331462657</v>
      </c>
      <c r="HT137" s="644">
        <f t="shared" si="270"/>
        <v>1.0462668200665837</v>
      </c>
      <c r="HU137" s="644">
        <f t="shared" si="271"/>
        <v>6.6681436535073511</v>
      </c>
      <c r="HV137" s="648">
        <f t="shared" si="272"/>
        <v>0</v>
      </c>
      <c r="HW137" s="648">
        <f t="shared" si="273"/>
        <v>0</v>
      </c>
      <c r="HX137" s="648">
        <f t="shared" si="274"/>
        <v>0</v>
      </c>
      <c r="HY137" s="644">
        <f>INDEX(Input!$1:$1048576,HY$93,$C137*2+6)*INDEX(Input!$1:$1048576,$JG$93,$C137*2+6)</f>
        <v>110.00000000000001</v>
      </c>
      <c r="HZ137" s="644">
        <f>INDEX(Input!$1:$1048576,HZ$93,$C137*2+6)*INDEX(Input!$1:$1048576,$JG$93,$C137*2+6)</f>
        <v>157</v>
      </c>
      <c r="IA137" s="644">
        <f>INDEX(Input!$1:$1048576,IA$93,$C137*2+6)*INDEX(Input!$1:$1048576,$JG$93,$C137*2+6)</f>
        <v>179</v>
      </c>
      <c r="IB137" s="644">
        <f t="shared" si="249"/>
        <v>156.9900890828869</v>
      </c>
      <c r="IC137" s="644">
        <f t="shared" si="172"/>
        <v>158.64557056515042</v>
      </c>
      <c r="ID137" s="644">
        <f>IF(AND(INDEX(Input!$1:$1048576,IA$93,$C137*2+7)="TOS",Y137&lt;=INDEX(Y:Y,MATCH(C137*1000+2,A:A))),0,1)*MAX(IA137+HR137+HU137+HX137,0%)</f>
        <v>154.5171933953354</v>
      </c>
      <c r="IE137" s="128">
        <f t="shared" si="275"/>
        <v>0.33391287124318308</v>
      </c>
      <c r="IF137" s="128">
        <f t="shared" si="174"/>
        <v>0.33743402712163267</v>
      </c>
      <c r="IG137" s="128">
        <f t="shared" si="175"/>
        <v>0.32865310163518419</v>
      </c>
      <c r="IH137" s="21"/>
      <c r="II137" s="19">
        <f t="shared" si="276"/>
        <v>1240</v>
      </c>
      <c r="IJ137" s="19">
        <f t="shared" si="277"/>
        <v>2009.7221397149679</v>
      </c>
      <c r="IK137" s="19">
        <f t="shared" si="278"/>
        <v>2070</v>
      </c>
      <c r="IL137" s="19">
        <f t="shared" si="176"/>
        <v>780.00000000000023</v>
      </c>
      <c r="IM137" s="19">
        <f t="shared" si="177"/>
        <v>310.12703762494266</v>
      </c>
      <c r="IN137" s="19">
        <f t="shared" si="178"/>
        <v>15</v>
      </c>
      <c r="IO137" s="39">
        <f t="shared" si="279"/>
        <v>0</v>
      </c>
      <c r="IP137" s="39">
        <f t="shared" si="280"/>
        <v>0</v>
      </c>
      <c r="IQ137" s="39">
        <f t="shared" si="281"/>
        <v>0</v>
      </c>
      <c r="IR137" s="39">
        <v>0</v>
      </c>
      <c r="IS137" s="39">
        <v>0</v>
      </c>
      <c r="IT137" s="39">
        <v>0</v>
      </c>
      <c r="IU137" s="39">
        <v>0</v>
      </c>
      <c r="IV137" s="39">
        <v>0</v>
      </c>
      <c r="IW137" s="39">
        <v>0</v>
      </c>
      <c r="IX137" s="39">
        <f>INDEX(Input!$1:$1048576,IX$93,$C137*2+6)+INDEX(Input!$1:$1048576,IX$94,$C137*2+6)</f>
        <v>1270</v>
      </c>
      <c r="IY137" s="39">
        <f>INDEX(Input!$1:$1048576,IY$93,$C137*2+6)+INDEX(Input!$1:$1048576,IY$94,$C137*2+6)</f>
        <v>2130.0624533823611</v>
      </c>
      <c r="IZ137" s="39">
        <f>INDEX(Input!$1:$1048576,IZ$93,$C137*2+6)+INDEX(Input!$1:$1048576,IZ$94,$C137*2+6)</f>
        <v>4373.7164157747848</v>
      </c>
      <c r="JA137" s="19">
        <f t="shared" si="179"/>
        <v>2050</v>
      </c>
      <c r="JB137" s="19">
        <f t="shared" si="180"/>
        <v>2440.1894910073038</v>
      </c>
      <c r="JC137" s="19">
        <f t="shared" si="181"/>
        <v>4388.7164157747848</v>
      </c>
      <c r="JD137" s="19">
        <f t="shared" si="182"/>
        <v>2950.2896151806385</v>
      </c>
      <c r="JE137" s="21"/>
      <c r="JF137" s="1">
        <f t="shared" si="282"/>
        <v>1.022782493188582E-2</v>
      </c>
      <c r="JG137" s="15">
        <f>INDEX(Input!$1:$1048576,JG$93,$C137*2+6)/(1+VLOOKUP(C137*1000+INDEX(Input!$1:$1048576,JG$93+1,$C137*2+6),$A:$KK,$JK$92,FALSE))</f>
        <v>446</v>
      </c>
      <c r="JH137" s="1">
        <f t="shared" si="251"/>
        <v>6.8871452693411231E-2</v>
      </c>
      <c r="JI137" s="1">
        <f t="shared" si="252"/>
        <v>-1.4717073672396237E-2</v>
      </c>
      <c r="JJ137" s="1">
        <f t="shared" si="253"/>
        <v>0</v>
      </c>
      <c r="JK137" s="1">
        <f t="shared" si="254"/>
        <v>5.4154379021014998E-2</v>
      </c>
      <c r="JL137" s="15">
        <f t="shared" si="184"/>
        <v>24.152853043372691</v>
      </c>
      <c r="JM137" s="15">
        <f t="shared" si="185"/>
        <v>470.15285304337272</v>
      </c>
      <c r="JN137" s="21"/>
      <c r="JO137" s="19">
        <f>INDEX(Input!$1:$1048576,JO$93,$C137*2+6)</f>
        <v>5995.5</v>
      </c>
      <c r="JP137" s="19">
        <f>INDEX(Input!$1:$1048576,JP$93,$C137*2+6)</f>
        <v>2818.4193802796353</v>
      </c>
      <c r="JQ137" s="39">
        <f t="shared" si="186"/>
        <v>3045.2103848193615</v>
      </c>
      <c r="JR137" s="39">
        <f t="shared" si="187"/>
        <v>131.87023490100319</v>
      </c>
      <c r="JS137" s="39">
        <f t="shared" si="188"/>
        <v>1.3870870798814112</v>
      </c>
      <c r="JT137" s="39">
        <f t="shared" si="189"/>
        <v>0.13007203627669392</v>
      </c>
      <c r="JU137" s="385">
        <f>(JQ137*JM137-INDEX(Input!$1:$1048576,Input!A$18,$C137*2+6)*JL137*INDEX(Input!$1:$1048576,Input!A$19,$C137*2+6))/1000000</f>
        <v>1.4317143505401297</v>
      </c>
      <c r="JV137" s="39">
        <f t="shared" si="192"/>
        <v>1.4736394144847065E-2</v>
      </c>
      <c r="JW137" s="1">
        <f t="shared" si="190"/>
        <v>1.0399875367387984E-2</v>
      </c>
      <c r="JX137" s="19">
        <f t="shared" si="191"/>
        <v>5385.3694237743239</v>
      </c>
      <c r="JZ137" s="341"/>
      <c r="KA137" s="342"/>
      <c r="KB137" s="469">
        <f t="shared" si="110"/>
        <v>2.9286733661474216</v>
      </c>
      <c r="KI137" s="473">
        <f t="shared" si="283"/>
        <v>46.990089082886882</v>
      </c>
      <c r="KJ137" s="473">
        <f t="shared" si="284"/>
        <v>1.6455705651504218</v>
      </c>
      <c r="KK137" s="473">
        <f t="shared" si="257"/>
        <v>-24.482806604664603</v>
      </c>
      <c r="KN137" s="544">
        <f t="shared" si="258"/>
        <v>1002</v>
      </c>
      <c r="KO137" s="541">
        <f t="shared" si="285"/>
        <v>4.9833375068811581E-2</v>
      </c>
      <c r="KP137" s="546">
        <f t="shared" si="286"/>
        <v>344.95904784382492</v>
      </c>
      <c r="KQ137" s="546">
        <f t="shared" si="287"/>
        <v>110.97341516198685</v>
      </c>
      <c r="KR137" s="548">
        <f t="shared" si="288"/>
        <v>2.4768948573934675</v>
      </c>
      <c r="KS137" s="548">
        <f t="shared" si="289"/>
        <v>7.6993871943881116</v>
      </c>
      <c r="KT137" s="473">
        <f t="shared" si="112"/>
        <v>238.28695973331548</v>
      </c>
      <c r="KU137" s="663">
        <f t="shared" si="290"/>
        <v>6.591413144799823</v>
      </c>
      <c r="KV137" s="117"/>
    </row>
    <row r="138" spans="1:308" s="26" customFormat="1" ht="15">
      <c r="A138" s="561">
        <f t="shared" si="168"/>
        <v>1038</v>
      </c>
      <c r="B138" s="561">
        <f t="shared" si="104"/>
        <v>38</v>
      </c>
      <c r="C138" s="561">
        <f t="shared" si="105"/>
        <v>1</v>
      </c>
      <c r="D138" s="561" t="str">
        <f t="shared" si="294"/>
        <v xml:space="preserve">1000 CC, 0/0/0.9/3.9, </v>
      </c>
      <c r="E138" s="475">
        <f>INDEX(Input!$1:$1048576,E$93,$C138*2+MIN($B138,2)+5)
+INDEX(Scenarios!E$121:E$200,MATCH($B138,Scenarios!$B$121:$B$200,0))</f>
        <v>2229</v>
      </c>
      <c r="F138" s="475">
        <f>INDEX(Input!$1:$1048576,F$93,$C138*2+MIN($B138,2)+5)
+INDEX(Scenarios!F$121:F$200,MATCH($B138,Scenarios!$B$121:$B$200,0))</f>
        <v>0</v>
      </c>
      <c r="G138" s="475">
        <f>INDEX(Input!$1:$1048576,G$93,$C138*2+MIN($B138,2)+5)
+INDEX(Scenarios!G$121:G$200,MATCH($B138,Scenarios!$B$121:$B$200,0))</f>
        <v>0</v>
      </c>
      <c r="H138" s="475">
        <f>INDEX(Input!$1:$1048576,H$93,$C138*2+MIN($B138,2)+5)
+INDEX(Scenarios!H$121:H$200,MATCH($B138,Scenarios!$B$121:$B$200,0))</f>
        <v>0</v>
      </c>
      <c r="I138" s="476">
        <f>INDEX(Input!$1:$1048576,I$93,$C138*2+MIN($B138,2)+5)</f>
        <v>0.7</v>
      </c>
      <c r="J138" s="476" t="str">
        <f>INDEX(Input!$1:$1048576,J$93,$C138*2+MIN($B138,2)+5)</f>
        <v>Market</v>
      </c>
      <c r="K138" s="476" t="str">
        <f>INDEX(Input!$1:$1048576,K$93,$C138*2+MIN($B138,2)+5)</f>
        <v>Market</v>
      </c>
      <c r="L138" s="476" t="str">
        <f>INDEX(Input!$1:$1048576,L$93,$C138*2+MIN($B138,2)+5)</f>
        <v>Market</v>
      </c>
      <c r="M138" s="476" t="str">
        <f>INDEX(Input!$1:$1048576,M$93,$C138*2+MIN($B138,2)+5)</f>
        <v>Market</v>
      </c>
      <c r="N138" s="476" t="str">
        <f>INDEX(Input!$1:$1048576,N$93,$C138*2+MIN($B138,2)+5)</f>
        <v>Market</v>
      </c>
      <c r="O138" s="476" t="str">
        <f>INDEX(Input!$1:$1048576,O$93,$C138*2+MIN($B138,2)+5)</f>
        <v>Market</v>
      </c>
      <c r="P138" s="476" t="str">
        <f>INDEX(Input!$1:$1048576,P$93,$C138*2+MIN($B138,2)+5)</f>
        <v>N</v>
      </c>
      <c r="Q138" s="477">
        <f>INDEX(Input!$1:$1048576,Q$93,$C138*2+MIN($B138,2)+5)
+INDEX(Scenarios!Q$121:Q$200,MATCH($B138,Scenarios!$B$121:$B$200,0))</f>
        <v>0</v>
      </c>
      <c r="R138" s="478">
        <f>IFERROR(MAX(0,INDEX(Input!$1:$1048576,R$93,$C138*2+MIN($B138,2)+5)
+INDEX(Scenarios!R$121:R$200,MATCH($B138,Scenarios!$B$121:$B$200,0)),),"Market")</f>
        <v>0</v>
      </c>
      <c r="S138" s="478">
        <f>IFERROR(MAX(0,INDEX(Input!$1:$1048576,S$93,$C138*2+MIN($B138,2)+5)
+INDEX(Scenarios!S$121:S$200,MATCH($B138,Scenarios!$B$121:$B$200,0)),),"Market")</f>
        <v>0</v>
      </c>
      <c r="T138" s="478">
        <f>IFERROR(MAX(0,INDEX(Input!$1:$1048576,T$93,$C138*2+MIN($B138,2)+5)
+INDEX(Scenarios!T$121:T$200,MATCH($B138,Scenarios!$B$121:$B$200,0)),),"Market")</f>
        <v>0</v>
      </c>
      <c r="U138" s="478">
        <f>IFERROR(MAX(0,INDEX(Input!$1:$1048576,U$93,$C138*2+MIN($B138,2)+5)
+INDEX(Scenarios!U$121:U$200,MATCH($B138,Scenarios!$B$121:$B$200,0)),),"Market")</f>
        <v>0</v>
      </c>
      <c r="V138" s="478">
        <f>IFERROR(MAX(0,INDEX(Input!$1:$1048576,V$93,$C138*2+MIN($B138,2)+5)
+INDEX(Scenarios!V$121:V$200,MATCH($B138,Scenarios!$B$121:$B$200,0)),),"Market")</f>
        <v>8.9999999999999993E-3</v>
      </c>
      <c r="W138" s="885">
        <f>IFERROR(MAX(0,INDEX(Input!$1:$1048576,W$93,$C138*2+MIN($B138,2)+5)-0%,),"Market")</f>
        <v>3.9E-2</v>
      </c>
      <c r="X138" s="476" t="str">
        <f>INDEX(Input!$1:$1048576,X$93,$C138*2+MIN($B138,2)+5)</f>
        <v>Y</v>
      </c>
      <c r="Y138" s="475">
        <f>INDEX(Input!$1:$1048576,Y$93,$C138*2+MIN($B138,2)+5)
++INDEX(Scenarios!Y$121:Y$200,MATCH($B138,Scenarios!$B$121:$B$200,0))</f>
        <v>1942</v>
      </c>
      <c r="Z138" s="477">
        <f>INDEX(Input!$1:$1048576,Z$93,$C138*2+MIN($B138,2)+5)
+INDEX(Scenarios!Z$121:Z$200,MATCH($B138,Scenarios!$B$121:$B$200,0))</f>
        <v>0</v>
      </c>
      <c r="AA138" s="475">
        <f>INDEX(Input!$1:$1048576,AA$93,$C138*2+MIN($B138,2)+5)
+INDEX(Scenarios!AA$121:AA$200,MATCH($B138,Scenarios!$B$121:$B$200,0))</f>
        <v>0</v>
      </c>
      <c r="AB138" s="476">
        <f>INDEX(Input!$1:$1048576,AB$93,$C138*2+MIN($B138,2)+5)</f>
        <v>0.27</v>
      </c>
      <c r="AC138" s="475">
        <f>INDEX(Input!$1:$1048576,AC$93,$C138*2+MIN($B138,2)+5)
+INDEX(Scenarios!AC$121:AC$200,MATCH($B138,Scenarios!$B$121:$B$200,0))</f>
        <v>0</v>
      </c>
      <c r="AD138" s="476">
        <f>INDEX(Input!$1:$1048576,AD$93,$C138*2+MIN($B138,2)+5)</f>
        <v>0.27</v>
      </c>
      <c r="AE138" s="475">
        <f>INDEX(Input!$1:$1048576,AE$93,$C138*2+MIN($B138,2)+5)
+INDEX(Scenarios!AE$121:AE$200,MATCH($B138,Scenarios!$B$121:$B$200,0))</f>
        <v>0</v>
      </c>
      <c r="AF138" s="476">
        <f>INDEX(Input!$1:$1048576,AF$93,$C138*2+MIN($B138,2)+5)</f>
        <v>0.38</v>
      </c>
      <c r="AG138" s="475">
        <f>INDEX(Input!$1:$1048576,AG$93,$C138*2+MIN($B138,2)+5)
+INDEX(Scenarios!AG$121:AG$200,MATCH($B138,Scenarios!$B$121:$B$200,0))</f>
        <v>0</v>
      </c>
      <c r="AH138" s="476">
        <f>INDEX(Input!$1:$1048576,AH$93,$C138*2+MIN($B138,2)+5)</f>
        <v>0</v>
      </c>
      <c r="AI138" s="475">
        <f>INDEX(Input!$1:$1048576,AI$93,$C138*2+MIN($B138,2)+5)
+INDEX(Scenarios!AI$121:AI$200,MATCH($B138,Scenarios!$B$121:$B$200,0))</f>
        <v>0</v>
      </c>
      <c r="AJ138" s="476">
        <f>INDEX(Input!$1:$1048576,AJ$93,$C138*2+MIN($B138,2)+5)</f>
        <v>0.27</v>
      </c>
      <c r="AK138" s="150">
        <f>ROUND(INDEX(Input!$1:$1048576,AK$93,$C137*2+MIN($B138,1)+5)+(Y138-VLOOKUP($C138*1000+1,$A:$HH,Y$92,FALSE)),0)</f>
        <v>3757</v>
      </c>
      <c r="AL138" s="150">
        <f>ROUND(INDEX(Input!$1:$1048576,AL$93,$C137*2+MIN($B138,1)+5)-(Y138-VLOOKUP($C138*1000+1,$A:$HH,Y$92,FALSE))/36,0)</f>
        <v>4113</v>
      </c>
      <c r="AM138" s="32" t="str">
        <f t="shared" si="169"/>
        <v>std/std/std/std</v>
      </c>
      <c r="AN138" s="32" t="str">
        <f t="shared" si="170"/>
        <v>$0 + 0/0/0/0.9/3.9</v>
      </c>
      <c r="AO138" s="32" t="str">
        <f t="shared" si="171"/>
        <v>0/0/0/0.9/3.9</v>
      </c>
      <c r="AP138" s="32" t="str">
        <f t="shared" si="73"/>
        <v>0/0/0.9/3.9</v>
      </c>
      <c r="AQ138" s="536">
        <f t="shared" si="39"/>
        <v>0.36569986994899023</v>
      </c>
      <c r="AR138" s="32"/>
      <c r="AS138" s="302"/>
      <c r="AT138" s="3">
        <f t="shared" si="106"/>
        <v>38</v>
      </c>
      <c r="AU138" s="41" t="s">
        <v>121</v>
      </c>
      <c r="AV138" s="41" t="s">
        <v>116</v>
      </c>
      <c r="AW138" s="41" t="str">
        <f>INDEX(Input!$1:$1048576,AW$93,$C138*2+6)</f>
        <v>Kia</v>
      </c>
      <c r="AX138" s="41" t="str">
        <f>INDEX(Input!$1:$1048576,AX$93,$C138*2+6)</f>
        <v>Kia-LR - L1</v>
      </c>
      <c r="AY138" s="41" t="str">
        <f>IF(LEN(D138)=0,"",INDEX(Input!$1:$1048576,AY$93,$C138*2+6))</f>
        <v>Compact SUV (52)</v>
      </c>
      <c r="AZ138" s="41" t="str">
        <f>INDEX(Input!$1:$1048576,AZ$93,$C138*2+6)</f>
        <v>Kia Soul</v>
      </c>
      <c r="BA138" s="3">
        <f>INDEX(Input!$1:$1048576,BA$93,$C138*2+6)</f>
        <v>2020</v>
      </c>
      <c r="BB138" s="128">
        <f>INDEX(Input!$1:$1048576,BB$93,$C138*2+6)</f>
        <v>1</v>
      </c>
      <c r="BC138" s="128">
        <f>INDEX(Input!$1:$1048576,BC$93,$C138*2+6)</f>
        <v>0.7</v>
      </c>
      <c r="BD138" s="1">
        <f>INDEX(Input!$1:$1048576,BD$93,$C138*2+6)</f>
        <v>4.4999999999999998E-2</v>
      </c>
      <c r="BE138" s="1">
        <f>INDEX(Input!$1:$1048576,BE$93,$C138*2+6)</f>
        <v>4.4999999999999998E-2</v>
      </c>
      <c r="BF138" s="1">
        <f>INDEX(Input!$1:$1048576,BF$93,$C138*2+6)</f>
        <v>0.05</v>
      </c>
      <c r="BG138" s="1">
        <f>INDEX(Input!$1:$1048576,BG$93,$C138*2+6)</f>
        <v>5.45E-2</v>
      </c>
      <c r="BH138" s="1">
        <f>INDEX(Input!$1:$1048576,BH$93,$C138*2+6)</f>
        <v>5.45E-2</v>
      </c>
      <c r="BI138" s="1">
        <f>INDEX(Input!$1:$1048576,BI$93,$C138*2+6)</f>
        <v>0.05</v>
      </c>
      <c r="BJ138" s="1">
        <f>INDEX(Input!$1:$1048576,BJ$93,$C138*2+6)</f>
        <v>0.05</v>
      </c>
      <c r="BK138" s="1">
        <f>INDEX(Input!$1:$1048576,BK$93,$C138*2+6)</f>
        <v>0.05</v>
      </c>
      <c r="BL138" s="1">
        <f>INDEX(Input!$1:$1048576,BL$93,$C138*2+6)</f>
        <v>5.5E-2</v>
      </c>
      <c r="BM138" s="1">
        <f>INDEX(Input!$1:$1048576,BM$93,$C138*2+6)</f>
        <v>0.06</v>
      </c>
      <c r="BN138" s="1">
        <f>INDEX(Input!$1:$1048576,BN$93,$C138*2+6)</f>
        <v>4.4999999999999998E-2</v>
      </c>
      <c r="BO138" s="1">
        <f>INDEX(Input!$1:$1048576,BO$93,$C138*2+6)</f>
        <v>4.4999999999999998E-2</v>
      </c>
      <c r="BP138" s="1">
        <f>INDEX(Input!$1:$1048576,BP$93,$C138*2+6)</f>
        <v>0.05</v>
      </c>
      <c r="BQ138" s="1">
        <f>INDEX(Input!$1:$1048576,BQ$93,$C138*2+6)</f>
        <v>5.45E-2</v>
      </c>
      <c r="BR138" s="1">
        <f>INDEX(Input!$1:$1048576,BR$93,$C138*2+6)</f>
        <v>5.45E-2</v>
      </c>
      <c r="BS138" s="1">
        <f>INDEX(Input!$1:$1048576,BS$93,$C138*2+6)</f>
        <v>0.05</v>
      </c>
      <c r="BT138" s="1">
        <f>INDEX(Input!$1:$1048576,BT$93,$C138*2+6)</f>
        <v>0.05</v>
      </c>
      <c r="BU138" s="1">
        <f>INDEX(Input!$1:$1048576,BU$93,$C138*2+6)</f>
        <v>0.05</v>
      </c>
      <c r="BV138" s="1">
        <f>INDEX(Input!$1:$1048576,BV$93,$C138*2+6)</f>
        <v>5.5E-2</v>
      </c>
      <c r="BW138" s="1">
        <f>INDEX(Input!$1:$1048576,BW$93,$C138*2+6)</f>
        <v>0.06</v>
      </c>
      <c r="BX138" s="127">
        <f>INDEX(Input!$1:$1048576,BX$93,$C138*2+6)</f>
        <v>19985</v>
      </c>
      <c r="BY138" s="20">
        <f>INDEX(Input!$1:$1048576,BY$93,$C138*2+6)</f>
        <v>0.1</v>
      </c>
      <c r="BZ138" s="20">
        <f>INDEX(Input!$1:$1048576,BZ$93,$C138*2+6)</f>
        <v>0.1</v>
      </c>
      <c r="CA138" s="20">
        <f>INDEX(Input!$1:$1048576,CA$93,$C138*2+6)</f>
        <v>0.1</v>
      </c>
      <c r="CB138" s="20">
        <f>INDEX(Input!$1:$1048576,CB$93,$C138*2+6)</f>
        <v>0.1</v>
      </c>
      <c r="CC138" s="20">
        <f>INDEX(Input!$1:$1048576,CC$93,$C138*2+6)</f>
        <v>0.1</v>
      </c>
      <c r="CD138" s="384">
        <f>INDEX(Input!$1:$1048576,CD$93,$C138*2+6)</f>
        <v>0.1</v>
      </c>
      <c r="CE138" s="384">
        <f>INDEX(Input!$1:$1048576,CE$93,$C138*2+6)</f>
        <v>0.1</v>
      </c>
      <c r="CF138" s="384">
        <f>INDEX(Input!$1:$1048576,CF$93,$C138*2+6)</f>
        <v>0.1</v>
      </c>
      <c r="CG138" s="384">
        <f>INDEX(Input!$1:$1048576,CG$93,$C138*2+6)</f>
        <v>0.1</v>
      </c>
      <c r="CH138" s="384">
        <f>INDEX(Input!$1:$1048576,CH$93,$C138*2+6)</f>
        <v>0.1</v>
      </c>
      <c r="CI138" s="304">
        <f t="shared" si="74"/>
        <v>2229</v>
      </c>
      <c r="CJ138" s="16" t="str">
        <f>INDEX(Input!$1:$1048576,CJ$93,$C138*2+6)</f>
        <v>N</v>
      </c>
      <c r="CK138" s="1" t="str">
        <f t="shared" si="75"/>
        <v>Market</v>
      </c>
      <c r="CL138" s="1" t="str">
        <f t="shared" si="76"/>
        <v>Market</v>
      </c>
      <c r="CM138" s="1" t="str">
        <f t="shared" si="77"/>
        <v>Market</v>
      </c>
      <c r="CN138" s="1" t="str">
        <f t="shared" si="78"/>
        <v>Market</v>
      </c>
      <c r="CO138" s="1" t="str">
        <f t="shared" si="79"/>
        <v>Market</v>
      </c>
      <c r="CP138" s="304">
        <f t="shared" si="80"/>
        <v>0</v>
      </c>
      <c r="CQ138" s="1">
        <f t="shared" si="81"/>
        <v>0</v>
      </c>
      <c r="CR138" s="1">
        <f t="shared" si="82"/>
        <v>0</v>
      </c>
      <c r="CS138" s="1">
        <f t="shared" si="83"/>
        <v>0</v>
      </c>
      <c r="CT138" s="1">
        <f t="shared" si="84"/>
        <v>8.9999999999999993E-3</v>
      </c>
      <c r="CU138" s="1">
        <f t="shared" si="85"/>
        <v>3.9E-2</v>
      </c>
      <c r="CV138" s="304">
        <f t="shared" si="86"/>
        <v>1942</v>
      </c>
      <c r="CW138" s="20" t="s">
        <v>122</v>
      </c>
      <c r="CX138" s="20" t="s">
        <v>122</v>
      </c>
      <c r="CY138" s="20" t="s">
        <v>122</v>
      </c>
      <c r="CZ138" s="20" t="s">
        <v>122</v>
      </c>
      <c r="DA138" s="20" t="s">
        <v>122</v>
      </c>
      <c r="DB138" s="503">
        <f t="shared" si="87"/>
        <v>0</v>
      </c>
      <c r="DC138" s="127">
        <v>0</v>
      </c>
      <c r="DD138" s="127">
        <v>0</v>
      </c>
      <c r="DE138" s="127">
        <v>0</v>
      </c>
      <c r="DF138" s="127">
        <v>0</v>
      </c>
      <c r="DG138" s="127">
        <v>0</v>
      </c>
      <c r="DH138" s="127">
        <v>0</v>
      </c>
      <c r="DI138" s="127">
        <v>0</v>
      </c>
      <c r="DJ138" s="127">
        <v>0</v>
      </c>
      <c r="DK138" s="127">
        <v>0</v>
      </c>
      <c r="DL138" s="127">
        <v>0</v>
      </c>
      <c r="DM138" s="304">
        <f>INDEX(Input!$1:$1048576,DM$93,$C138*2+6)</f>
        <v>21036.84210526316</v>
      </c>
      <c r="DN138" s="20">
        <v>0</v>
      </c>
      <c r="DO138" s="20">
        <v>0</v>
      </c>
      <c r="DP138" s="20">
        <v>0</v>
      </c>
      <c r="DQ138" s="20">
        <v>0</v>
      </c>
      <c r="DR138" s="20">
        <v>0</v>
      </c>
      <c r="DS138" s="20">
        <f>INDEX(Input!$1:$1048576,DS$93,$C138*2+6)</f>
        <v>0.6</v>
      </c>
      <c r="DT138" s="20">
        <f>INDEX(Input!$1:$1048576,DT$93,$C138*2+6)</f>
        <v>0.55000000000000004</v>
      </c>
      <c r="DU138" s="20">
        <f>INDEX(Input!$1:$1048576,DU$93,$C138*2+6)</f>
        <v>0.52</v>
      </c>
      <c r="DV138" s="20">
        <f>INDEX(Input!$1:$1048576,DV$93,$C138*2+6)</f>
        <v>0.5</v>
      </c>
      <c r="DW138" s="20">
        <f>INDEX(Input!$1:$1048576,DW$93,$C138*2+6)</f>
        <v>0.45</v>
      </c>
      <c r="DX138" s="20"/>
      <c r="DY138" s="7">
        <v>0.13011779011547825</v>
      </c>
      <c r="DZ138" s="7">
        <v>0</v>
      </c>
      <c r="EA138" s="7">
        <v>0.55416201974687795</v>
      </c>
      <c r="EB138" s="7">
        <v>0</v>
      </c>
      <c r="EC138" s="7">
        <v>0</v>
      </c>
      <c r="ED138" s="7">
        <v>0</v>
      </c>
      <c r="EE138" s="7">
        <v>0</v>
      </c>
      <c r="EF138" s="7">
        <v>0</v>
      </c>
      <c r="EG138" s="7">
        <v>0</v>
      </c>
      <c r="EH138" s="7">
        <v>1.4789192705906978E-2</v>
      </c>
      <c r="EI138" s="7">
        <v>4.3188566954775409E-2</v>
      </c>
      <c r="EJ138" s="7">
        <v>0.27281740913088931</v>
      </c>
      <c r="EK138" s="7">
        <v>0.58408530924176327</v>
      </c>
      <c r="EL138" s="7">
        <v>8.511952196666514E-2</v>
      </c>
      <c r="EM138" s="7">
        <v>4.2917884530041125E-2</v>
      </c>
      <c r="EN138" s="7">
        <v>5.0824256578978516E-2</v>
      </c>
      <c r="EO138" s="7">
        <v>0.76815678085538397</v>
      </c>
      <c r="EP138" s="7">
        <v>7.9058197430733612E-2</v>
      </c>
      <c r="EQ138" s="7">
        <v>6.027119863119898E-2</v>
      </c>
      <c r="ER138" s="7">
        <v>4.1689566503705228E-2</v>
      </c>
      <c r="ES138" s="7">
        <v>0.2728023056076026</v>
      </c>
      <c r="ET138" s="7">
        <v>0.31572019013764374</v>
      </c>
      <c r="EU138" s="6">
        <v>2270</v>
      </c>
      <c r="EV138" s="6">
        <v>0</v>
      </c>
      <c r="EW138" s="6">
        <v>2270</v>
      </c>
      <c r="EX138" s="6">
        <v>0</v>
      </c>
      <c r="EY138" s="6">
        <v>2319.8491773399105</v>
      </c>
      <c r="EZ138" s="6">
        <v>2085</v>
      </c>
      <c r="FA138" s="6">
        <v>0</v>
      </c>
      <c r="FB138" s="6">
        <v>0</v>
      </c>
      <c r="FC138" s="6">
        <v>0</v>
      </c>
      <c r="FD138" s="6">
        <v>0</v>
      </c>
      <c r="FE138" s="6">
        <v>0</v>
      </c>
      <c r="FF138" s="6">
        <v>0</v>
      </c>
      <c r="FG138" s="6">
        <v>0</v>
      </c>
      <c r="FH138" s="6">
        <v>1171.2811379695615</v>
      </c>
      <c r="FI138" s="6">
        <v>1553.9796069512404</v>
      </c>
      <c r="FJ138" s="6">
        <v>2101.211011744741</v>
      </c>
      <c r="FK138" s="6">
        <v>2251.3078348034674</v>
      </c>
      <c r="FL138" s="6">
        <v>907.07682140966347</v>
      </c>
      <c r="FM138" s="6">
        <v>2049.8491773399105</v>
      </c>
      <c r="FN138" s="6">
        <v>0</v>
      </c>
      <c r="FO138" s="6">
        <v>0</v>
      </c>
      <c r="FP138" s="6">
        <v>0</v>
      </c>
      <c r="FQ138" s="6">
        <v>0</v>
      </c>
      <c r="FR138" s="6">
        <v>0</v>
      </c>
      <c r="FS138" s="6">
        <v>0</v>
      </c>
      <c r="FT138" s="7">
        <v>0.68427980986235615</v>
      </c>
      <c r="FU138" s="7">
        <v>4.2917884530041125E-2</v>
      </c>
      <c r="FV138" s="7">
        <v>0.2728023056076026</v>
      </c>
      <c r="FW138" s="6">
        <v>2270</v>
      </c>
      <c r="FX138" s="6">
        <v>2319.8491773399105</v>
      </c>
      <c r="FY138" s="6">
        <v>2085</v>
      </c>
      <c r="FZ138" s="6">
        <v>1952.7147957719815</v>
      </c>
      <c r="GA138" s="6">
        <v>2221.6709946995852</v>
      </c>
      <c r="GB138" s="6">
        <v>17763.329005300417</v>
      </c>
      <c r="GC138" s="7">
        <v>1.0519917368675835E-2</v>
      </c>
      <c r="GD138" s="7">
        <v>1.1177716882368188E-2</v>
      </c>
      <c r="GE138" s="7"/>
      <c r="GF138" s="7"/>
      <c r="GG138" s="7">
        <v>6.2528962028829294E-2</v>
      </c>
      <c r="GH138" s="42">
        <v>4.6462632619318267</v>
      </c>
      <c r="GI138" s="6">
        <v>6522.9769847718335</v>
      </c>
      <c r="GJ138" s="14">
        <v>0.50394797582841733</v>
      </c>
      <c r="GK138" s="14">
        <v>0.50887573065309744</v>
      </c>
      <c r="GL138" s="14">
        <v>0.49605202417158267</v>
      </c>
      <c r="GM138" s="14">
        <v>0.49112426934690245</v>
      </c>
      <c r="GO138" s="5">
        <v>343.14810671672558</v>
      </c>
      <c r="GP138" s="5">
        <v>299.84083725090579</v>
      </c>
      <c r="GQ138" s="5">
        <v>535.04305713031317</v>
      </c>
      <c r="GR138" s="5">
        <v>410.15490233172511</v>
      </c>
      <c r="GS138" s="5">
        <v>339.42744393800166</v>
      </c>
      <c r="GT138" s="5">
        <v>293.4407446948278</v>
      </c>
      <c r="GU138" s="5">
        <v>258.04012322764959</v>
      </c>
      <c r="GV138" s="39" t="s">
        <v>392</v>
      </c>
      <c r="GW138" s="5">
        <v>492.125</v>
      </c>
      <c r="GX138" s="5">
        <v>369.09375</v>
      </c>
      <c r="GY138" s="5">
        <v>295.27499999999998</v>
      </c>
      <c r="GZ138" s="5">
        <v>252.85821728143046</v>
      </c>
      <c r="HA138" s="5">
        <v>241.34874471337258</v>
      </c>
      <c r="HB138" s="39">
        <v>272.00918188838421</v>
      </c>
      <c r="HC138" s="5">
        <v>196.06562499999998</v>
      </c>
      <c r="HD138" s="5">
        <v>177.54497441520465</v>
      </c>
      <c r="HE138" s="5">
        <v>183.15757844129553</v>
      </c>
      <c r="HF138" s="5">
        <v>172.69313048245613</v>
      </c>
      <c r="HG138" s="5">
        <v>170.66888157894735</v>
      </c>
      <c r="HH138" s="39">
        <v>178.35090729075011</v>
      </c>
      <c r="HI138" s="16"/>
      <c r="HJ138" s="19" t="str">
        <f t="shared" ref="HJ138" si="366">HJ137</f>
        <v>On</v>
      </c>
      <c r="HK138" s="1" t="str">
        <f t="shared" si="108"/>
        <v>On</v>
      </c>
      <c r="HL138" s="16"/>
      <c r="HM138" s="639">
        <f t="shared" si="266"/>
        <v>5.7455619280273196E-3</v>
      </c>
      <c r="HN138" s="639">
        <f t="shared" si="267"/>
        <v>5.0031960498701745E-4</v>
      </c>
      <c r="HO138" s="639">
        <f t="shared" si="268"/>
        <v>3.9819433988714835E-3</v>
      </c>
      <c r="HP138" s="644">
        <f>(FT138*$GD138-HM138)/$JF138*INDEX(Input!$1:$1048576,$JG$93,$C138*2+6)</f>
        <v>82.98864461932412</v>
      </c>
      <c r="HQ138" s="644">
        <f>(FU138*$GD138-HN138)/$JF138*INDEX(Input!$1:$1048576,$JG$93,$C138*2+6)</f>
        <v>-0.8981045945853775</v>
      </c>
      <c r="HR138" s="644">
        <f>(FV138*$GD138-HO138)/$JF138*INDEX(Input!$1:$1048576,$JG$93,$C138*2+6)</f>
        <v>-40.669043984620103</v>
      </c>
      <c r="HS138" s="644">
        <f t="shared" si="269"/>
        <v>-18.788436948977086</v>
      </c>
      <c r="HT138" s="644">
        <f t="shared" si="270"/>
        <v>-0.96121347682262925</v>
      </c>
      <c r="HU138" s="644">
        <f t="shared" si="271"/>
        <v>8.6756239503965649</v>
      </c>
      <c r="HV138" s="648">
        <f t="shared" si="272"/>
        <v>0</v>
      </c>
      <c r="HW138" s="648">
        <f t="shared" si="273"/>
        <v>0</v>
      </c>
      <c r="HX138" s="648">
        <f t="shared" si="274"/>
        <v>0</v>
      </c>
      <c r="HY138" s="644">
        <f>INDEX(Input!$1:$1048576,HY$93,$C138*2+6)*INDEX(Input!$1:$1048576,$JG$93,$C138*2+6)</f>
        <v>110.00000000000001</v>
      </c>
      <c r="HZ138" s="644">
        <f>INDEX(Input!$1:$1048576,HZ$93,$C138*2+6)*INDEX(Input!$1:$1048576,$JG$93,$C138*2+6)</f>
        <v>157</v>
      </c>
      <c r="IA138" s="644">
        <f>INDEX(Input!$1:$1048576,IA$93,$C138*2+6)*INDEX(Input!$1:$1048576,$JG$93,$C138*2+6)</f>
        <v>179</v>
      </c>
      <c r="IB138" s="644">
        <f t="shared" si="249"/>
        <v>174.20020767034706</v>
      </c>
      <c r="IC138" s="644">
        <f t="shared" si="172"/>
        <v>155.14068192859199</v>
      </c>
      <c r="ID138" s="644">
        <f>IF(AND(INDEX(Input!$1:$1048576,IA$93,$C138*2+7)="TOS",Y138&lt;=INDEX(Y:Y,MATCH(C138*1000+2,A:A))),0,1)*MAX(IA138+HR138+HU138+HX138,0%)</f>
        <v>147.00657996577647</v>
      </c>
      <c r="IE138" s="128">
        <f t="shared" si="275"/>
        <v>0.36569986994899023</v>
      </c>
      <c r="IF138" s="128">
        <f t="shared" si="174"/>
        <v>0.32568805722923005</v>
      </c>
      <c r="IG138" s="128">
        <f t="shared" si="175"/>
        <v>0.30861207282177966</v>
      </c>
      <c r="IH138" s="21"/>
      <c r="II138" s="19">
        <f t="shared" si="276"/>
        <v>1240</v>
      </c>
      <c r="IJ138" s="19">
        <f t="shared" si="277"/>
        <v>2009.7221397149679</v>
      </c>
      <c r="IK138" s="19">
        <f t="shared" si="278"/>
        <v>2070</v>
      </c>
      <c r="IL138" s="19">
        <f t="shared" si="176"/>
        <v>1030</v>
      </c>
      <c r="IM138" s="19">
        <f t="shared" si="177"/>
        <v>310.12703762494266</v>
      </c>
      <c r="IN138" s="19">
        <f t="shared" si="178"/>
        <v>15</v>
      </c>
      <c r="IO138" s="39">
        <f t="shared" si="279"/>
        <v>0</v>
      </c>
      <c r="IP138" s="39">
        <f t="shared" si="280"/>
        <v>0</v>
      </c>
      <c r="IQ138" s="39">
        <f t="shared" si="281"/>
        <v>0</v>
      </c>
      <c r="IR138" s="39">
        <v>0</v>
      </c>
      <c r="IS138" s="39">
        <v>0</v>
      </c>
      <c r="IT138" s="39">
        <v>0</v>
      </c>
      <c r="IU138" s="39">
        <v>0</v>
      </c>
      <c r="IV138" s="39">
        <v>0</v>
      </c>
      <c r="IW138" s="39">
        <v>0</v>
      </c>
      <c r="IX138" s="39">
        <f>INDEX(Input!$1:$1048576,IX$93,$C138*2+6)+INDEX(Input!$1:$1048576,IX$94,$C138*2+6)</f>
        <v>1270</v>
      </c>
      <c r="IY138" s="39">
        <f>INDEX(Input!$1:$1048576,IY$93,$C138*2+6)+INDEX(Input!$1:$1048576,IY$94,$C138*2+6)</f>
        <v>2130.0624533823611</v>
      </c>
      <c r="IZ138" s="39">
        <f>INDEX(Input!$1:$1048576,IZ$93,$C138*2+6)+INDEX(Input!$1:$1048576,IZ$94,$C138*2+6)</f>
        <v>4373.7164157747848</v>
      </c>
      <c r="JA138" s="19">
        <f t="shared" si="179"/>
        <v>2300</v>
      </c>
      <c r="JB138" s="19">
        <f t="shared" si="180"/>
        <v>2440.1894910073038</v>
      </c>
      <c r="JC138" s="19">
        <f t="shared" si="181"/>
        <v>4388.7164157747848</v>
      </c>
      <c r="JD138" s="19">
        <f t="shared" si="182"/>
        <v>2990.2611455792576</v>
      </c>
      <c r="JE138" s="21"/>
      <c r="JF138" s="1">
        <f t="shared" si="282"/>
        <v>1.022782493188582E-2</v>
      </c>
      <c r="JG138" s="15">
        <f>INDEX(Input!$1:$1048576,JG$93,$C138*2+6)/(1+VLOOKUP(C138*1000+INDEX(Input!$1:$1048576,JG$93+1,$C138*2+6),$A:$KK,$JK$92,FALSE))</f>
        <v>446</v>
      </c>
      <c r="JH138" s="1">
        <f t="shared" si="251"/>
        <v>9.2873309506992463E-2</v>
      </c>
      <c r="JI138" s="1">
        <f t="shared" si="252"/>
        <v>-2.4829655774446523E-2</v>
      </c>
      <c r="JJ138" s="1">
        <f t="shared" si="253"/>
        <v>0</v>
      </c>
      <c r="JK138" s="1">
        <f t="shared" si="254"/>
        <v>6.8043653732545936E-2</v>
      </c>
      <c r="JL138" s="15">
        <f t="shared" si="184"/>
        <v>30.347469564715489</v>
      </c>
      <c r="JM138" s="15">
        <f t="shared" si="185"/>
        <v>476.34746956471548</v>
      </c>
      <c r="JN138" s="21"/>
      <c r="JO138" s="19">
        <f>INDEX(Input!$1:$1048576,JO$93,$C138*2+6)</f>
        <v>5995.5</v>
      </c>
      <c r="JP138" s="19">
        <f>INDEX(Input!$1:$1048576,JP$93,$C138*2+6)</f>
        <v>2818.4193802796353</v>
      </c>
      <c r="JQ138" s="39">
        <f t="shared" si="186"/>
        <v>3005.2388544207424</v>
      </c>
      <c r="JR138" s="39">
        <f t="shared" si="187"/>
        <v>171.84176529962224</v>
      </c>
      <c r="JS138" s="39">
        <f t="shared" si="188"/>
        <v>1.4244033300343666</v>
      </c>
      <c r="JT138" s="39">
        <f t="shared" si="189"/>
        <v>0.16738828642964923</v>
      </c>
      <c r="JU138" s="385">
        <f>(JQ138*JM138-INDEX(Input!$1:$1048576,Input!A$18,$C138*2+6)*JL138*INDEX(Input!$1:$1048576,Input!A$19,$C138*2+6))/1000000</f>
        <v>1.431537923740885</v>
      </c>
      <c r="JV138" s="39">
        <f t="shared" si="192"/>
        <v>1.4559967345602276E-2</v>
      </c>
      <c r="JW138" s="1">
        <f t="shared" si="190"/>
        <v>1.02753661621117E-2</v>
      </c>
      <c r="JX138" s="19">
        <f t="shared" si="191"/>
        <v>5515.7246660284609</v>
      </c>
      <c r="JZ138" s="341"/>
      <c r="KA138" s="342"/>
      <c r="KB138" s="469">
        <f t="shared" si="110"/>
        <v>2.9286733661474216</v>
      </c>
      <c r="KI138" s="473">
        <f t="shared" si="283"/>
        <v>64.200207670347012</v>
      </c>
      <c r="KJ138" s="473">
        <f t="shared" si="284"/>
        <v>-1.859318071408012</v>
      </c>
      <c r="KK138" s="473">
        <f t="shared" si="257"/>
        <v>-31.993420034223561</v>
      </c>
      <c r="KN138" s="544">
        <f t="shared" si="258"/>
        <v>1002</v>
      </c>
      <c r="KO138" s="541">
        <f t="shared" si="285"/>
        <v>6.366571731189552E-2</v>
      </c>
      <c r="KP138" s="546">
        <f t="shared" si="286"/>
        <v>456.93390061043726</v>
      </c>
      <c r="KQ138" s="546">
        <f t="shared" si="287"/>
        <v>150.9449455606059</v>
      </c>
      <c r="KR138" s="548">
        <f t="shared" si="288"/>
        <v>2.3889500351592536</v>
      </c>
      <c r="KS138" s="548">
        <f t="shared" si="289"/>
        <v>7.231724479906311</v>
      </c>
      <c r="KT138" s="473">
        <f t="shared" si="112"/>
        <v>238.28695973331548</v>
      </c>
      <c r="KU138" s="663">
        <f t="shared" si="290"/>
        <v>6.6770494032455607</v>
      </c>
      <c r="KV138" s="117"/>
    </row>
    <row r="139" spans="1:308" s="26" customFormat="1" ht="15">
      <c r="A139" s="561">
        <f t="shared" si="168"/>
        <v>1039</v>
      </c>
      <c r="B139" s="561">
        <f t="shared" si="104"/>
        <v>39</v>
      </c>
      <c r="C139" s="561">
        <f t="shared" si="105"/>
        <v>1</v>
      </c>
      <c r="D139" s="561" t="str">
        <f t="shared" si="294"/>
        <v xml:space="preserve">250 CC, 360 Lease, </v>
      </c>
      <c r="E139" s="475">
        <f>INDEX(Input!$1:$1048576,E$93,$C139*2+MIN($B139,2)+5)
+INDEX(Scenarios!E$121:E$200,MATCH($B139,Scenarios!$B$121:$B$200,0))</f>
        <v>1479</v>
      </c>
      <c r="F139" s="475">
        <f>INDEX(Input!$1:$1048576,F$93,$C139*2+MIN($B139,2)+5)
+INDEX(Scenarios!F$121:F$200,MATCH($B139,Scenarios!$B$121:$B$200,0))</f>
        <v>0</v>
      </c>
      <c r="G139" s="475">
        <f>INDEX(Input!$1:$1048576,G$93,$C139*2+MIN($B139,2)+5)
+INDEX(Scenarios!G$121:G$200,MATCH($B139,Scenarios!$B$121:$B$200,0))</f>
        <v>0</v>
      </c>
      <c r="H139" s="475">
        <f>INDEX(Input!$1:$1048576,H$93,$C139*2+MIN($B139,2)+5)
+INDEX(Scenarios!H$121:H$200,MATCH($B139,Scenarios!$B$121:$B$200,0))</f>
        <v>0</v>
      </c>
      <c r="I139" s="476">
        <f>INDEX(Input!$1:$1048576,I$93,$C139*2+MIN($B139,2)+5)</f>
        <v>0.7</v>
      </c>
      <c r="J139" s="476" t="str">
        <f>INDEX(Input!$1:$1048576,J$93,$C139*2+MIN($B139,2)+5)</f>
        <v>Market</v>
      </c>
      <c r="K139" s="476" t="str">
        <f>INDEX(Input!$1:$1048576,K$93,$C139*2+MIN($B139,2)+5)</f>
        <v>Market</v>
      </c>
      <c r="L139" s="476" t="str">
        <f>INDEX(Input!$1:$1048576,L$93,$C139*2+MIN($B139,2)+5)</f>
        <v>Market</v>
      </c>
      <c r="M139" s="476" t="str">
        <f>INDEX(Input!$1:$1048576,M$93,$C139*2+MIN($B139,2)+5)</f>
        <v>Market</v>
      </c>
      <c r="N139" s="476" t="str">
        <f>INDEX(Input!$1:$1048576,N$93,$C139*2+MIN($B139,2)+5)</f>
        <v>Market</v>
      </c>
      <c r="O139" s="476" t="str">
        <f>INDEX(Input!$1:$1048576,O$93,$C139*2+MIN($B139,2)+5)</f>
        <v>Market</v>
      </c>
      <c r="P139" s="476" t="str">
        <f>INDEX(Input!$1:$1048576,P$93,$C139*2+MIN($B139,2)+5)</f>
        <v>N</v>
      </c>
      <c r="Q139" s="477">
        <f>INDEX(Input!$1:$1048576,Q$93,$C139*2+MIN($B139,2)+5)
+INDEX(Scenarios!Q$121:Q$200,MATCH($B139,Scenarios!$B$121:$B$200,0))</f>
        <v>0</v>
      </c>
      <c r="R139" s="478">
        <f>IFERROR(MAX(0,INDEX(Input!$1:$1048576,R$93,$C139*2+MIN($B139,2)+5)
+INDEX(Scenarios!R$121:R$200,MATCH($B139,Scenarios!$B$121:$B$200,0)),),"Market")</f>
        <v>0</v>
      </c>
      <c r="S139" s="478">
        <f>IFERROR(MAX(0,INDEX(Input!$1:$1048576,S$93,$C139*2+MIN($B139,2)+5)
+INDEX(Scenarios!S$121:S$200,MATCH($B139,Scenarios!$B$121:$B$200,0)),),"Market")</f>
        <v>0</v>
      </c>
      <c r="T139" s="478">
        <f>IFERROR(MAX(0,INDEX(Input!$1:$1048576,T$93,$C139*2+MIN($B139,2)+5)
+INDEX(Scenarios!T$121:T$200,MATCH($B139,Scenarios!$B$121:$B$200,0)),),"Market")</f>
        <v>0</v>
      </c>
      <c r="U139" s="478">
        <f>IFERROR(MAX(0,INDEX(Input!$1:$1048576,U$93,$C139*2+MIN($B139,2)+5)
+INDEX(Scenarios!U$121:U$200,MATCH($B139,Scenarios!$B$121:$B$200,0)),),"Market")</f>
        <v>0</v>
      </c>
      <c r="V139" s="478">
        <f>IFERROR(MAX(0,INDEX(Input!$1:$1048576,V$93,$C139*2+MIN($B139,2)+5)
+INDEX(Scenarios!V$121:V$200,MATCH($B139,Scenarios!$B$121:$B$200,0)),),"Market")</f>
        <v>1.9E-2</v>
      </c>
      <c r="W139" s="885">
        <f>IFERROR(MAX(0,INDEX(Input!$1:$1048576,W$93,$C139*2+MIN($B139,2)+5)-0%,),"Market")</f>
        <v>3.9E-2</v>
      </c>
      <c r="X139" s="476" t="str">
        <f>INDEX(Input!$1:$1048576,X$93,$C139*2+MIN($B139,2)+5)</f>
        <v>Y</v>
      </c>
      <c r="Y139" s="475">
        <f>INDEX(Input!$1:$1048576,Y$93,$C139*2+MIN($B139,2)+5)
++INDEX(Scenarios!Y$121:Y$200,MATCH($B139,Scenarios!$B$121:$B$200,0))</f>
        <v>2302</v>
      </c>
      <c r="Z139" s="477">
        <f>INDEX(Input!$1:$1048576,Z$93,$C139*2+MIN($B139,2)+5)
+INDEX(Scenarios!Z$121:Z$200,MATCH($B139,Scenarios!$B$121:$B$200,0))</f>
        <v>0</v>
      </c>
      <c r="AA139" s="475">
        <f>INDEX(Input!$1:$1048576,AA$93,$C139*2+MIN($B139,2)+5)
+INDEX(Scenarios!AA$121:AA$200,MATCH($B139,Scenarios!$B$121:$B$200,0))</f>
        <v>0</v>
      </c>
      <c r="AB139" s="476">
        <f>INDEX(Input!$1:$1048576,AB$93,$C139*2+MIN($B139,2)+5)</f>
        <v>0.27</v>
      </c>
      <c r="AC139" s="475">
        <f>INDEX(Input!$1:$1048576,AC$93,$C139*2+MIN($B139,2)+5)
+INDEX(Scenarios!AC$121:AC$200,MATCH($B139,Scenarios!$B$121:$B$200,0))</f>
        <v>0</v>
      </c>
      <c r="AD139" s="476">
        <f>INDEX(Input!$1:$1048576,AD$93,$C139*2+MIN($B139,2)+5)</f>
        <v>0.27</v>
      </c>
      <c r="AE139" s="475">
        <f>INDEX(Input!$1:$1048576,AE$93,$C139*2+MIN($B139,2)+5)
+INDEX(Scenarios!AE$121:AE$200,MATCH($B139,Scenarios!$B$121:$B$200,0))</f>
        <v>0</v>
      </c>
      <c r="AF139" s="476">
        <f>INDEX(Input!$1:$1048576,AF$93,$C139*2+MIN($B139,2)+5)</f>
        <v>0.38</v>
      </c>
      <c r="AG139" s="475">
        <f>INDEX(Input!$1:$1048576,AG$93,$C139*2+MIN($B139,2)+5)
+INDEX(Scenarios!AG$121:AG$200,MATCH($B139,Scenarios!$B$121:$B$200,0))</f>
        <v>0</v>
      </c>
      <c r="AH139" s="476">
        <f>INDEX(Input!$1:$1048576,AH$93,$C139*2+MIN($B139,2)+5)</f>
        <v>0</v>
      </c>
      <c r="AI139" s="475">
        <f>INDEX(Input!$1:$1048576,AI$93,$C139*2+MIN($B139,2)+5)
+INDEX(Scenarios!AI$121:AI$200,MATCH($B139,Scenarios!$B$121:$B$200,0))</f>
        <v>0</v>
      </c>
      <c r="AJ139" s="476">
        <f>INDEX(Input!$1:$1048576,AJ$93,$C139*2+MIN($B139,2)+5)</f>
        <v>0.27</v>
      </c>
      <c r="AK139" s="150">
        <f>ROUND(INDEX(Input!$1:$1048576,AK$93,$C138*2+MIN($B139,1)+5)+(Y139-VLOOKUP($C139*1000+1,$A:$HH,Y$92,FALSE)),0)</f>
        <v>4117</v>
      </c>
      <c r="AL139" s="150">
        <f>ROUND(INDEX(Input!$1:$1048576,AL$93,$C138*2+MIN($B139,1)+5)-(Y139-VLOOKUP($C139*1000+1,$A:$HH,Y$92,FALSE))/36,0)</f>
        <v>4103</v>
      </c>
      <c r="AM139" s="32" t="str">
        <f t="shared" si="169"/>
        <v>std/std/std/std</v>
      </c>
      <c r="AN139" s="32" t="str">
        <f t="shared" si="170"/>
        <v>$0 + 0/0/0/1.9/3.9</v>
      </c>
      <c r="AO139" s="32" t="str">
        <f t="shared" si="171"/>
        <v>0/0/0/1.9/3.9</v>
      </c>
      <c r="AP139" s="32" t="str">
        <f t="shared" si="73"/>
        <v>0/0.9/1.9/3.9</v>
      </c>
      <c r="AQ139" s="536">
        <f t="shared" si="39"/>
        <v>0.23318960480903245</v>
      </c>
      <c r="AR139" s="32"/>
      <c r="AS139" s="302"/>
      <c r="AT139" s="3">
        <f t="shared" si="106"/>
        <v>39</v>
      </c>
      <c r="AU139" s="41" t="s">
        <v>121</v>
      </c>
      <c r="AV139" s="41" t="s">
        <v>116</v>
      </c>
      <c r="AW139" s="41" t="str">
        <f>INDEX(Input!$1:$1048576,AW$93,$C139*2+6)</f>
        <v>Kia</v>
      </c>
      <c r="AX139" s="41" t="str">
        <f>INDEX(Input!$1:$1048576,AX$93,$C139*2+6)</f>
        <v>Kia-LR - L1</v>
      </c>
      <c r="AY139" s="41" t="str">
        <f>IF(LEN(D139)=0,"",INDEX(Input!$1:$1048576,AY$93,$C139*2+6))</f>
        <v>Compact SUV (52)</v>
      </c>
      <c r="AZ139" s="41" t="str">
        <f>INDEX(Input!$1:$1048576,AZ$93,$C139*2+6)</f>
        <v>Kia Soul</v>
      </c>
      <c r="BA139" s="3">
        <f>INDEX(Input!$1:$1048576,BA$93,$C139*2+6)</f>
        <v>2020</v>
      </c>
      <c r="BB139" s="128">
        <f>INDEX(Input!$1:$1048576,BB$93,$C139*2+6)</f>
        <v>1</v>
      </c>
      <c r="BC139" s="128">
        <f>INDEX(Input!$1:$1048576,BC$93,$C139*2+6)</f>
        <v>0.7</v>
      </c>
      <c r="BD139" s="1">
        <f>INDEX(Input!$1:$1048576,BD$93,$C139*2+6)</f>
        <v>4.4999999999999998E-2</v>
      </c>
      <c r="BE139" s="1">
        <f>INDEX(Input!$1:$1048576,BE$93,$C139*2+6)</f>
        <v>4.4999999999999998E-2</v>
      </c>
      <c r="BF139" s="1">
        <f>INDEX(Input!$1:$1048576,BF$93,$C139*2+6)</f>
        <v>0.05</v>
      </c>
      <c r="BG139" s="1">
        <f>INDEX(Input!$1:$1048576,BG$93,$C139*2+6)</f>
        <v>5.45E-2</v>
      </c>
      <c r="BH139" s="1">
        <f>INDEX(Input!$1:$1048576,BH$93,$C139*2+6)</f>
        <v>5.45E-2</v>
      </c>
      <c r="BI139" s="1">
        <f>INDEX(Input!$1:$1048576,BI$93,$C139*2+6)</f>
        <v>0.05</v>
      </c>
      <c r="BJ139" s="1">
        <f>INDEX(Input!$1:$1048576,BJ$93,$C139*2+6)</f>
        <v>0.05</v>
      </c>
      <c r="BK139" s="1">
        <f>INDEX(Input!$1:$1048576,BK$93,$C139*2+6)</f>
        <v>0.05</v>
      </c>
      <c r="BL139" s="1">
        <f>INDEX(Input!$1:$1048576,BL$93,$C139*2+6)</f>
        <v>5.5E-2</v>
      </c>
      <c r="BM139" s="1">
        <f>INDEX(Input!$1:$1048576,BM$93,$C139*2+6)</f>
        <v>0.06</v>
      </c>
      <c r="BN139" s="1">
        <f>INDEX(Input!$1:$1048576,BN$93,$C139*2+6)</f>
        <v>4.4999999999999998E-2</v>
      </c>
      <c r="BO139" s="1">
        <f>INDEX(Input!$1:$1048576,BO$93,$C139*2+6)</f>
        <v>4.4999999999999998E-2</v>
      </c>
      <c r="BP139" s="1">
        <f>INDEX(Input!$1:$1048576,BP$93,$C139*2+6)</f>
        <v>0.05</v>
      </c>
      <c r="BQ139" s="1">
        <f>INDEX(Input!$1:$1048576,BQ$93,$C139*2+6)</f>
        <v>5.45E-2</v>
      </c>
      <c r="BR139" s="1">
        <f>INDEX(Input!$1:$1048576,BR$93,$C139*2+6)</f>
        <v>5.45E-2</v>
      </c>
      <c r="BS139" s="1">
        <f>INDEX(Input!$1:$1048576,BS$93,$C139*2+6)</f>
        <v>0.05</v>
      </c>
      <c r="BT139" s="1">
        <f>INDEX(Input!$1:$1048576,BT$93,$C139*2+6)</f>
        <v>0.05</v>
      </c>
      <c r="BU139" s="1">
        <f>INDEX(Input!$1:$1048576,BU$93,$C139*2+6)</f>
        <v>0.05</v>
      </c>
      <c r="BV139" s="1">
        <f>INDEX(Input!$1:$1048576,BV$93,$C139*2+6)</f>
        <v>5.5E-2</v>
      </c>
      <c r="BW139" s="1">
        <f>INDEX(Input!$1:$1048576,BW$93,$C139*2+6)</f>
        <v>0.06</v>
      </c>
      <c r="BX139" s="127">
        <f>INDEX(Input!$1:$1048576,BX$93,$C139*2+6)</f>
        <v>19985</v>
      </c>
      <c r="BY139" s="20">
        <f>INDEX(Input!$1:$1048576,BY$93,$C139*2+6)</f>
        <v>0.1</v>
      </c>
      <c r="BZ139" s="20">
        <f>INDEX(Input!$1:$1048576,BZ$93,$C139*2+6)</f>
        <v>0.1</v>
      </c>
      <c r="CA139" s="20">
        <f>INDEX(Input!$1:$1048576,CA$93,$C139*2+6)</f>
        <v>0.1</v>
      </c>
      <c r="CB139" s="20">
        <f>INDEX(Input!$1:$1048576,CB$93,$C139*2+6)</f>
        <v>0.1</v>
      </c>
      <c r="CC139" s="20">
        <f>INDEX(Input!$1:$1048576,CC$93,$C139*2+6)</f>
        <v>0.1</v>
      </c>
      <c r="CD139" s="384">
        <f>INDEX(Input!$1:$1048576,CD$93,$C139*2+6)</f>
        <v>0.1</v>
      </c>
      <c r="CE139" s="384">
        <f>INDEX(Input!$1:$1048576,CE$93,$C139*2+6)</f>
        <v>0.1</v>
      </c>
      <c r="CF139" s="384">
        <f>INDEX(Input!$1:$1048576,CF$93,$C139*2+6)</f>
        <v>0.1</v>
      </c>
      <c r="CG139" s="384">
        <f>INDEX(Input!$1:$1048576,CG$93,$C139*2+6)</f>
        <v>0.1</v>
      </c>
      <c r="CH139" s="384">
        <f>INDEX(Input!$1:$1048576,CH$93,$C139*2+6)</f>
        <v>0.1</v>
      </c>
      <c r="CI139" s="304">
        <f t="shared" si="74"/>
        <v>1479</v>
      </c>
      <c r="CJ139" s="16" t="str">
        <f>INDEX(Input!$1:$1048576,CJ$93,$C139*2+6)</f>
        <v>N</v>
      </c>
      <c r="CK139" s="1" t="str">
        <f t="shared" si="75"/>
        <v>Market</v>
      </c>
      <c r="CL139" s="1" t="str">
        <f t="shared" si="76"/>
        <v>Market</v>
      </c>
      <c r="CM139" s="1" t="str">
        <f t="shared" si="77"/>
        <v>Market</v>
      </c>
      <c r="CN139" s="1" t="str">
        <f t="shared" si="78"/>
        <v>Market</v>
      </c>
      <c r="CO139" s="1" t="str">
        <f t="shared" si="79"/>
        <v>Market</v>
      </c>
      <c r="CP139" s="304">
        <f t="shared" si="80"/>
        <v>0</v>
      </c>
      <c r="CQ139" s="1">
        <f t="shared" si="81"/>
        <v>0</v>
      </c>
      <c r="CR139" s="1">
        <f t="shared" si="82"/>
        <v>0</v>
      </c>
      <c r="CS139" s="1">
        <f t="shared" si="83"/>
        <v>0</v>
      </c>
      <c r="CT139" s="1">
        <f t="shared" si="84"/>
        <v>1.9E-2</v>
      </c>
      <c r="CU139" s="1">
        <f t="shared" si="85"/>
        <v>3.9E-2</v>
      </c>
      <c r="CV139" s="304">
        <f t="shared" si="86"/>
        <v>2302</v>
      </c>
      <c r="CW139" s="20" t="s">
        <v>122</v>
      </c>
      <c r="CX139" s="20" t="s">
        <v>122</v>
      </c>
      <c r="CY139" s="20" t="s">
        <v>122</v>
      </c>
      <c r="CZ139" s="20" t="s">
        <v>122</v>
      </c>
      <c r="DA139" s="20" t="s">
        <v>122</v>
      </c>
      <c r="DB139" s="503">
        <f t="shared" si="87"/>
        <v>0</v>
      </c>
      <c r="DC139" s="127">
        <v>0</v>
      </c>
      <c r="DD139" s="127">
        <v>0</v>
      </c>
      <c r="DE139" s="127">
        <v>0</v>
      </c>
      <c r="DF139" s="127">
        <v>0</v>
      </c>
      <c r="DG139" s="127">
        <v>0</v>
      </c>
      <c r="DH139" s="127">
        <v>0</v>
      </c>
      <c r="DI139" s="127">
        <v>0</v>
      </c>
      <c r="DJ139" s="127">
        <v>0</v>
      </c>
      <c r="DK139" s="127">
        <v>0</v>
      </c>
      <c r="DL139" s="127">
        <v>0</v>
      </c>
      <c r="DM139" s="304">
        <f>INDEX(Input!$1:$1048576,DM$93,$C139*2+6)</f>
        <v>21036.84210526316</v>
      </c>
      <c r="DN139" s="20">
        <v>0</v>
      </c>
      <c r="DO139" s="20">
        <v>0</v>
      </c>
      <c r="DP139" s="20">
        <v>0</v>
      </c>
      <c r="DQ139" s="20">
        <v>0</v>
      </c>
      <c r="DR139" s="20">
        <v>0</v>
      </c>
      <c r="DS139" s="20">
        <f>INDEX(Input!$1:$1048576,DS$93,$C139*2+6)</f>
        <v>0.6</v>
      </c>
      <c r="DT139" s="20">
        <f>INDEX(Input!$1:$1048576,DT$93,$C139*2+6)</f>
        <v>0.55000000000000004</v>
      </c>
      <c r="DU139" s="20">
        <f>INDEX(Input!$1:$1048576,DU$93,$C139*2+6)</f>
        <v>0.52</v>
      </c>
      <c r="DV139" s="20">
        <f>INDEX(Input!$1:$1048576,DV$93,$C139*2+6)</f>
        <v>0.5</v>
      </c>
      <c r="DW139" s="20">
        <f>INDEX(Input!$1:$1048576,DW$93,$C139*2+6)</f>
        <v>0.45</v>
      </c>
      <c r="DX139" s="20"/>
      <c r="DY139" s="7">
        <v>9.6716135155348645E-2</v>
      </c>
      <c r="DZ139" s="7">
        <v>0</v>
      </c>
      <c r="EA139" s="7">
        <v>0.44917016991440295</v>
      </c>
      <c r="EB139" s="7">
        <v>0</v>
      </c>
      <c r="EC139" s="7">
        <v>0</v>
      </c>
      <c r="ED139" s="7">
        <v>0</v>
      </c>
      <c r="EE139" s="7">
        <v>0</v>
      </c>
      <c r="EF139" s="7">
        <v>0</v>
      </c>
      <c r="EG139" s="7">
        <v>0</v>
      </c>
      <c r="EH139" s="7">
        <v>1.8402200445098656E-2</v>
      </c>
      <c r="EI139" s="7">
        <v>5.3739557110571899E-2</v>
      </c>
      <c r="EJ139" s="7">
        <v>0.33946684904131991</v>
      </c>
      <c r="EK139" s="7">
        <v>0.4824771263993809</v>
      </c>
      <c r="EL139" s="7">
        <v>0.10591426700362873</v>
      </c>
      <c r="EM139" s="7">
        <v>4.1443419213860626E-2</v>
      </c>
      <c r="EN139" s="7">
        <v>5.2416424716025811E-2</v>
      </c>
      <c r="EO139" s="7">
        <v>0.78015670673154824</v>
      </c>
      <c r="EP139" s="7">
        <v>7.3001757795592453E-2</v>
      </c>
      <c r="EQ139" s="7">
        <v>5.5504556706157608E-2</v>
      </c>
      <c r="ER139" s="7">
        <v>3.8920554050675744E-2</v>
      </c>
      <c r="ES139" s="7">
        <v>0.4126702757163877</v>
      </c>
      <c r="ET139" s="7">
        <v>0.45411369493024839</v>
      </c>
      <c r="EU139" s="6">
        <v>1520</v>
      </c>
      <c r="EV139" s="6">
        <v>0</v>
      </c>
      <c r="EW139" s="6">
        <v>1520</v>
      </c>
      <c r="EX139" s="6">
        <v>0</v>
      </c>
      <c r="EY139" s="6">
        <v>2039.7221397149683</v>
      </c>
      <c r="EZ139" s="6">
        <v>2445</v>
      </c>
      <c r="FA139" s="6">
        <v>0</v>
      </c>
      <c r="FB139" s="6">
        <v>0</v>
      </c>
      <c r="FC139" s="6">
        <v>0</v>
      </c>
      <c r="FD139" s="6">
        <v>0</v>
      </c>
      <c r="FE139" s="6">
        <v>0</v>
      </c>
      <c r="FF139" s="6">
        <v>0</v>
      </c>
      <c r="FG139" s="6">
        <v>0</v>
      </c>
      <c r="FH139" s="6">
        <v>1171.2811379695622</v>
      </c>
      <c r="FI139" s="6">
        <v>1553.9796069512397</v>
      </c>
      <c r="FJ139" s="6">
        <v>2101.2110117447414</v>
      </c>
      <c r="FK139" s="6">
        <v>1772.7139978623229</v>
      </c>
      <c r="FL139" s="6">
        <v>907.07682140966347</v>
      </c>
      <c r="FM139" s="6">
        <v>1769.7221397149683</v>
      </c>
      <c r="FN139" s="6">
        <v>0</v>
      </c>
      <c r="FO139" s="6">
        <v>0</v>
      </c>
      <c r="FP139" s="6">
        <v>0</v>
      </c>
      <c r="FQ139" s="6">
        <v>0</v>
      </c>
      <c r="FR139" s="6">
        <v>0</v>
      </c>
      <c r="FS139" s="6">
        <v>0</v>
      </c>
      <c r="FT139" s="7">
        <v>0.54588630506975155</v>
      </c>
      <c r="FU139" s="7">
        <v>4.1443419213860626E-2</v>
      </c>
      <c r="FV139" s="7">
        <v>0.4126702757163877</v>
      </c>
      <c r="FW139" s="6">
        <v>1520.0000000000002</v>
      </c>
      <c r="FX139" s="6">
        <v>2039.7221397149683</v>
      </c>
      <c r="FY139" s="6">
        <v>2445</v>
      </c>
      <c r="FZ139" s="6">
        <v>1952.7147957719815</v>
      </c>
      <c r="GA139" s="6">
        <v>1923.2590675485908</v>
      </c>
      <c r="GB139" s="6">
        <v>18061.740932451408</v>
      </c>
      <c r="GC139" s="7">
        <v>1.0519917368675835E-2</v>
      </c>
      <c r="GD139" s="7">
        <v>1.0689594418595651E-2</v>
      </c>
      <c r="GE139" s="7"/>
      <c r="GF139" s="7"/>
      <c r="GG139" s="7">
        <v>1.6129123829912193E-2</v>
      </c>
      <c r="GH139" s="42">
        <v>-10.943220866793096</v>
      </c>
      <c r="GI139" s="6">
        <v>97.014286120111095</v>
      </c>
      <c r="GJ139" s="14">
        <v>0.50394797582841711</v>
      </c>
      <c r="GK139" s="14">
        <v>0.50887573065309732</v>
      </c>
      <c r="GL139" s="14">
        <v>0.49605202417158267</v>
      </c>
      <c r="GM139" s="14">
        <v>0.49112426934690229</v>
      </c>
      <c r="GO139" s="5">
        <v>343.14810671672558</v>
      </c>
      <c r="GP139" s="5">
        <v>314.14940645767444</v>
      </c>
      <c r="GQ139" s="5">
        <v>535.04305713031317</v>
      </c>
      <c r="GR139" s="5">
        <v>410.15490233172511</v>
      </c>
      <c r="GS139" s="5">
        <v>339.42744393800166</v>
      </c>
      <c r="GT139" s="5">
        <v>293.4407446948278</v>
      </c>
      <c r="GU139" s="5">
        <v>258.04012322764959</v>
      </c>
      <c r="GV139" s="39" t="s">
        <v>392</v>
      </c>
      <c r="GW139" s="5">
        <v>492.125</v>
      </c>
      <c r="GX139" s="5">
        <v>369.09375</v>
      </c>
      <c r="GY139" s="5">
        <v>295.27499999999998</v>
      </c>
      <c r="GZ139" s="5">
        <v>260.54902799031458</v>
      </c>
      <c r="HA139" s="5">
        <v>241.34874471337258</v>
      </c>
      <c r="HB139" s="39">
        <v>280.39841310148171</v>
      </c>
      <c r="HC139" s="5">
        <v>180.31562499999998</v>
      </c>
      <c r="HD139" s="5">
        <v>166.79497441520465</v>
      </c>
      <c r="HE139" s="5">
        <v>173.1768092105263</v>
      </c>
      <c r="HF139" s="5">
        <v>164.36813048245611</v>
      </c>
      <c r="HG139" s="5">
        <v>163.76888157894734</v>
      </c>
      <c r="HH139" s="39">
        <v>167.71708563023566</v>
      </c>
      <c r="HI139" s="16"/>
      <c r="HJ139" s="19" t="str">
        <f t="shared" ref="HJ139" si="367">HJ138</f>
        <v>On</v>
      </c>
      <c r="HK139" s="1" t="str">
        <f t="shared" si="108"/>
        <v>On</v>
      </c>
      <c r="HL139" s="16"/>
      <c r="HM139" s="639">
        <f t="shared" si="266"/>
        <v>5.7455619280273196E-3</v>
      </c>
      <c r="HN139" s="639">
        <f t="shared" si="267"/>
        <v>5.0031960498701745E-4</v>
      </c>
      <c r="HO139" s="639">
        <f t="shared" si="268"/>
        <v>3.9819433988714835E-3</v>
      </c>
      <c r="HP139" s="644">
        <f>(FT139*$GD139-HM139)/$JF139*INDEX(Input!$1:$1048576,$JG$93,$C139*2+6)</f>
        <v>3.9133058597072181</v>
      </c>
      <c r="HQ139" s="644">
        <f>(FU139*$GD139-HN139)/$JF139*INDEX(Input!$1:$1048576,$JG$93,$C139*2+6)</f>
        <v>-2.498927498572205</v>
      </c>
      <c r="HR139" s="644">
        <f>(FV139*$GD139-HO139)/$JF139*INDEX(Input!$1:$1048576,$JG$93,$C139*2+6)</f>
        <v>18.721788658162094</v>
      </c>
      <c r="HS139" s="644">
        <f t="shared" si="269"/>
        <v>-5.0713996456126802</v>
      </c>
      <c r="HT139" s="644">
        <f t="shared" si="270"/>
        <v>-1.5412865351640046</v>
      </c>
      <c r="HU139" s="644">
        <f t="shared" si="271"/>
        <v>7.2293416263968568</v>
      </c>
      <c r="HV139" s="648">
        <f t="shared" si="272"/>
        <v>0</v>
      </c>
      <c r="HW139" s="648">
        <f t="shared" si="273"/>
        <v>0</v>
      </c>
      <c r="HX139" s="648">
        <f t="shared" si="274"/>
        <v>0</v>
      </c>
      <c r="HY139" s="644">
        <f>INDEX(Input!$1:$1048576,HY$93,$C139*2+6)*INDEX(Input!$1:$1048576,$JG$93,$C139*2+6)</f>
        <v>110.00000000000001</v>
      </c>
      <c r="HZ139" s="644">
        <f>INDEX(Input!$1:$1048576,HZ$93,$C139*2+6)*INDEX(Input!$1:$1048576,$JG$93,$C139*2+6)</f>
        <v>157</v>
      </c>
      <c r="IA139" s="644">
        <f>INDEX(Input!$1:$1048576,IA$93,$C139*2+6)*INDEX(Input!$1:$1048576,$JG$93,$C139*2+6)</f>
        <v>179</v>
      </c>
      <c r="IB139" s="644">
        <f t="shared" si="249"/>
        <v>108.84190621409456</v>
      </c>
      <c r="IC139" s="644">
        <f t="shared" si="172"/>
        <v>152.95978596626378</v>
      </c>
      <c r="ID139" s="644">
        <f>IF(AND(INDEX(Input!$1:$1048576,IA$93,$C139*2+7)="TOS",Y139&lt;=INDEX(Y:Y,MATCH(C139*1000+2,A:A))),0,1)*MAX(IA139+HR139+HU139+HX139,0%)</f>
        <v>204.95113028455896</v>
      </c>
      <c r="IE139" s="128">
        <f t="shared" si="275"/>
        <v>0.23318960480903245</v>
      </c>
      <c r="IF139" s="128">
        <f t="shared" si="174"/>
        <v>0.32771046816275168</v>
      </c>
      <c r="IG139" s="128">
        <f t="shared" si="175"/>
        <v>0.43909992702821576</v>
      </c>
      <c r="IH139" s="21"/>
      <c r="II139" s="19">
        <f t="shared" si="276"/>
        <v>1240</v>
      </c>
      <c r="IJ139" s="19">
        <f t="shared" si="277"/>
        <v>2009.7221397149679</v>
      </c>
      <c r="IK139" s="19">
        <f t="shared" si="278"/>
        <v>2070</v>
      </c>
      <c r="IL139" s="19">
        <f t="shared" si="176"/>
        <v>280.00000000000023</v>
      </c>
      <c r="IM139" s="19">
        <f t="shared" si="177"/>
        <v>30.000000000000455</v>
      </c>
      <c r="IN139" s="19">
        <f t="shared" si="178"/>
        <v>375</v>
      </c>
      <c r="IO139" s="39">
        <f t="shared" si="279"/>
        <v>0</v>
      </c>
      <c r="IP139" s="39">
        <f t="shared" si="280"/>
        <v>0</v>
      </c>
      <c r="IQ139" s="39">
        <f t="shared" si="281"/>
        <v>0</v>
      </c>
      <c r="IR139" s="39">
        <v>0</v>
      </c>
      <c r="IS139" s="39">
        <v>0</v>
      </c>
      <c r="IT139" s="39">
        <v>0</v>
      </c>
      <c r="IU139" s="39">
        <v>0</v>
      </c>
      <c r="IV139" s="39">
        <v>0</v>
      </c>
      <c r="IW139" s="39">
        <v>0</v>
      </c>
      <c r="IX139" s="39">
        <f>INDEX(Input!$1:$1048576,IX$93,$C139*2+6)+INDEX(Input!$1:$1048576,IX$94,$C139*2+6)</f>
        <v>1270</v>
      </c>
      <c r="IY139" s="39">
        <f>INDEX(Input!$1:$1048576,IY$93,$C139*2+6)+INDEX(Input!$1:$1048576,IY$94,$C139*2+6)</f>
        <v>2130.0624533823611</v>
      </c>
      <c r="IZ139" s="39">
        <f>INDEX(Input!$1:$1048576,IZ$93,$C139*2+6)+INDEX(Input!$1:$1048576,IZ$94,$C139*2+6)</f>
        <v>4373.7164157747848</v>
      </c>
      <c r="JA139" s="19">
        <f t="shared" si="179"/>
        <v>1550.0000000000002</v>
      </c>
      <c r="JB139" s="19">
        <f t="shared" si="180"/>
        <v>2160.0624533823616</v>
      </c>
      <c r="JC139" s="19">
        <f t="shared" si="181"/>
        <v>4748.7164157747848</v>
      </c>
      <c r="JD139" s="19">
        <f t="shared" si="182"/>
        <v>3154.4799969571145</v>
      </c>
      <c r="JE139" s="21"/>
      <c r="JF139" s="1">
        <f t="shared" si="282"/>
        <v>1.022782493188582E-2</v>
      </c>
      <c r="JG139" s="15">
        <f>INDEX(Input!$1:$1048576,JG$93,$C139*2+6)/(1+VLOOKUP(C139*1000+INDEX(Input!$1:$1048576,JG$93+1,$C139*2+6),$A:$KK,$JK$92,FALSE))</f>
        <v>446</v>
      </c>
      <c r="JH139" s="1">
        <f t="shared" si="251"/>
        <v>4.5148356545509215E-2</v>
      </c>
      <c r="JI139" s="1">
        <f t="shared" si="252"/>
        <v>1.3826355282963508E-3</v>
      </c>
      <c r="JJ139" s="1">
        <f t="shared" si="253"/>
        <v>0</v>
      </c>
      <c r="JK139" s="1">
        <f t="shared" si="254"/>
        <v>4.6530992073805566E-2</v>
      </c>
      <c r="JL139" s="15">
        <f t="shared" si="184"/>
        <v>20.752822464917283</v>
      </c>
      <c r="JM139" s="15">
        <f t="shared" si="185"/>
        <v>466.7528224649173</v>
      </c>
      <c r="JN139" s="21"/>
      <c r="JO139" s="19">
        <f>INDEX(Input!$1:$1048576,JO$93,$C139*2+6)</f>
        <v>5995.5</v>
      </c>
      <c r="JP139" s="19">
        <f>INDEX(Input!$1:$1048576,JP$93,$C139*2+6)</f>
        <v>2818.4193802796353</v>
      </c>
      <c r="JQ139" s="39">
        <f t="shared" si="186"/>
        <v>2841.0200030428855</v>
      </c>
      <c r="JR139" s="39">
        <f t="shared" si="187"/>
        <v>336.06061667747917</v>
      </c>
      <c r="JS139" s="39">
        <f t="shared" si="188"/>
        <v>1.472362441988857</v>
      </c>
      <c r="JT139" s="39">
        <f t="shared" si="189"/>
        <v>0.21534739838413963</v>
      </c>
      <c r="JU139" s="385">
        <f>(JQ139*JM139-INDEX(Input!$1:$1048576,Input!A$18,$C139*2+6)*JL139*INDEX(Input!$1:$1048576,Input!A$19,$C139*2+6))/1000000</f>
        <v>1.3260541050995547</v>
      </c>
      <c r="JV139" s="39">
        <f t="shared" si="192"/>
        <v>-9.0923851295727998E-2</v>
      </c>
      <c r="JW139" s="1">
        <f t="shared" si="190"/>
        <v>-6.4167442327072957E-2</v>
      </c>
      <c r="JX139" s="19">
        <f t="shared" si="191"/>
        <v>10376.776399845618</v>
      </c>
      <c r="JZ139" s="341"/>
      <c r="KA139" s="342"/>
      <c r="KB139" s="469">
        <f t="shared" si="110"/>
        <v>2.9286733661474216</v>
      </c>
      <c r="KI139" s="473">
        <f t="shared" si="283"/>
        <v>-1.1580937859054643</v>
      </c>
      <c r="KJ139" s="473">
        <f t="shared" si="284"/>
        <v>-4.0402140337362198</v>
      </c>
      <c r="KK139" s="473">
        <f t="shared" si="257"/>
        <v>25.951130284558928</v>
      </c>
      <c r="KN139" s="544">
        <f t="shared" si="258"/>
        <v>1002</v>
      </c>
      <c r="KO139" s="541">
        <f t="shared" si="285"/>
        <v>4.2241236566596285E-2</v>
      </c>
      <c r="KP139" s="546">
        <f t="shared" si="286"/>
        <v>216.373374932416</v>
      </c>
      <c r="KQ139" s="546">
        <f t="shared" si="287"/>
        <v>315.16379693846284</v>
      </c>
      <c r="KR139" s="548">
        <f t="shared" si="288"/>
        <v>3.3472458694018612</v>
      </c>
      <c r="KS139" s="548">
        <f t="shared" si="289"/>
        <v>2.298026907045049</v>
      </c>
      <c r="KT139" s="473">
        <f t="shared" si="112"/>
        <v>238.28695973331548</v>
      </c>
      <c r="KU139" s="663">
        <f t="shared" si="290"/>
        <v>6.0743554832877527</v>
      </c>
      <c r="KV139" s="117"/>
    </row>
    <row r="140" spans="1:308" s="26" customFormat="1" ht="15">
      <c r="A140" s="561">
        <f t="shared" si="168"/>
        <v>1040</v>
      </c>
      <c r="B140" s="561">
        <f t="shared" si="104"/>
        <v>40</v>
      </c>
      <c r="C140" s="561">
        <f t="shared" si="105"/>
        <v>1</v>
      </c>
      <c r="D140" s="561" t="str">
        <f t="shared" si="294"/>
        <v xml:space="preserve">500 CC, 360 Lease, </v>
      </c>
      <c r="E140" s="475">
        <f>INDEX(Input!$1:$1048576,E$93,$C140*2+MIN($B140,2)+5)
+INDEX(Scenarios!E$121:E$200,MATCH($B140,Scenarios!$B$121:$B$200,0))</f>
        <v>1729</v>
      </c>
      <c r="F140" s="475">
        <f>INDEX(Input!$1:$1048576,F$93,$C140*2+MIN($B140,2)+5)
+INDEX(Scenarios!F$121:F$200,MATCH($B140,Scenarios!$B$121:$B$200,0))</f>
        <v>0</v>
      </c>
      <c r="G140" s="475">
        <f>INDEX(Input!$1:$1048576,G$93,$C140*2+MIN($B140,2)+5)
+INDEX(Scenarios!G$121:G$200,MATCH($B140,Scenarios!$B$121:$B$200,0))</f>
        <v>0</v>
      </c>
      <c r="H140" s="475">
        <f>INDEX(Input!$1:$1048576,H$93,$C140*2+MIN($B140,2)+5)
+INDEX(Scenarios!H$121:H$200,MATCH($B140,Scenarios!$B$121:$B$200,0))</f>
        <v>0</v>
      </c>
      <c r="I140" s="476">
        <f>INDEX(Input!$1:$1048576,I$93,$C140*2+MIN($B140,2)+5)</f>
        <v>0.7</v>
      </c>
      <c r="J140" s="476" t="str">
        <f>INDEX(Input!$1:$1048576,J$93,$C140*2+MIN($B140,2)+5)</f>
        <v>Market</v>
      </c>
      <c r="K140" s="476" t="str">
        <f>INDEX(Input!$1:$1048576,K$93,$C140*2+MIN($B140,2)+5)</f>
        <v>Market</v>
      </c>
      <c r="L140" s="476" t="str">
        <f>INDEX(Input!$1:$1048576,L$93,$C140*2+MIN($B140,2)+5)</f>
        <v>Market</v>
      </c>
      <c r="M140" s="476" t="str">
        <f>INDEX(Input!$1:$1048576,M$93,$C140*2+MIN($B140,2)+5)</f>
        <v>Market</v>
      </c>
      <c r="N140" s="476" t="str">
        <f>INDEX(Input!$1:$1048576,N$93,$C140*2+MIN($B140,2)+5)</f>
        <v>Market</v>
      </c>
      <c r="O140" s="476" t="str">
        <f>INDEX(Input!$1:$1048576,O$93,$C140*2+MIN($B140,2)+5)</f>
        <v>Market</v>
      </c>
      <c r="P140" s="476" t="str">
        <f>INDEX(Input!$1:$1048576,P$93,$C140*2+MIN($B140,2)+5)</f>
        <v>N</v>
      </c>
      <c r="Q140" s="477">
        <f>INDEX(Input!$1:$1048576,Q$93,$C140*2+MIN($B140,2)+5)
+INDEX(Scenarios!Q$121:Q$200,MATCH($B140,Scenarios!$B$121:$B$200,0))</f>
        <v>0</v>
      </c>
      <c r="R140" s="478">
        <f>IFERROR(MAX(0,INDEX(Input!$1:$1048576,R$93,$C140*2+MIN($B140,2)+5)
+INDEX(Scenarios!R$121:R$200,MATCH($B140,Scenarios!$B$121:$B$200,0)),),"Market")</f>
        <v>0</v>
      </c>
      <c r="S140" s="478">
        <f>IFERROR(MAX(0,INDEX(Input!$1:$1048576,S$93,$C140*2+MIN($B140,2)+5)
+INDEX(Scenarios!S$121:S$200,MATCH($B140,Scenarios!$B$121:$B$200,0)),),"Market")</f>
        <v>0</v>
      </c>
      <c r="T140" s="478">
        <f>IFERROR(MAX(0,INDEX(Input!$1:$1048576,T$93,$C140*2+MIN($B140,2)+5)
+INDEX(Scenarios!T$121:T$200,MATCH($B140,Scenarios!$B$121:$B$200,0)),),"Market")</f>
        <v>0</v>
      </c>
      <c r="U140" s="478">
        <f>IFERROR(MAX(0,INDEX(Input!$1:$1048576,U$93,$C140*2+MIN($B140,2)+5)
+INDEX(Scenarios!U$121:U$200,MATCH($B140,Scenarios!$B$121:$B$200,0)),),"Market")</f>
        <v>0</v>
      </c>
      <c r="V140" s="478">
        <f>IFERROR(MAX(0,INDEX(Input!$1:$1048576,V$93,$C140*2+MIN($B140,2)+5)
+INDEX(Scenarios!V$121:V$200,MATCH($B140,Scenarios!$B$121:$B$200,0)),),"Market")</f>
        <v>1.9E-2</v>
      </c>
      <c r="W140" s="885">
        <f>IFERROR(MAX(0,INDEX(Input!$1:$1048576,W$93,$C140*2+MIN($B140,2)+5)-0%,),"Market")</f>
        <v>3.9E-2</v>
      </c>
      <c r="X140" s="476" t="str">
        <f>INDEX(Input!$1:$1048576,X$93,$C140*2+MIN($B140,2)+5)</f>
        <v>Y</v>
      </c>
      <c r="Y140" s="475">
        <f>INDEX(Input!$1:$1048576,Y$93,$C140*2+MIN($B140,2)+5)
++INDEX(Scenarios!Y$121:Y$200,MATCH($B140,Scenarios!$B$121:$B$200,0))</f>
        <v>2302</v>
      </c>
      <c r="Z140" s="477">
        <f>INDEX(Input!$1:$1048576,Z$93,$C140*2+MIN($B140,2)+5)
+INDEX(Scenarios!Z$121:Z$200,MATCH($B140,Scenarios!$B$121:$B$200,0))</f>
        <v>0</v>
      </c>
      <c r="AA140" s="475">
        <f>INDEX(Input!$1:$1048576,AA$93,$C140*2+MIN($B140,2)+5)
+INDEX(Scenarios!AA$121:AA$200,MATCH($B140,Scenarios!$B$121:$B$200,0))</f>
        <v>0</v>
      </c>
      <c r="AB140" s="476">
        <f>INDEX(Input!$1:$1048576,AB$93,$C140*2+MIN($B140,2)+5)</f>
        <v>0.27</v>
      </c>
      <c r="AC140" s="475">
        <f>INDEX(Input!$1:$1048576,AC$93,$C140*2+MIN($B140,2)+5)
+INDEX(Scenarios!AC$121:AC$200,MATCH($B140,Scenarios!$B$121:$B$200,0))</f>
        <v>0</v>
      </c>
      <c r="AD140" s="476">
        <f>INDEX(Input!$1:$1048576,AD$93,$C140*2+MIN($B140,2)+5)</f>
        <v>0.27</v>
      </c>
      <c r="AE140" s="475">
        <f>INDEX(Input!$1:$1048576,AE$93,$C140*2+MIN($B140,2)+5)
+INDEX(Scenarios!AE$121:AE$200,MATCH($B140,Scenarios!$B$121:$B$200,0))</f>
        <v>0</v>
      </c>
      <c r="AF140" s="476">
        <f>INDEX(Input!$1:$1048576,AF$93,$C140*2+MIN($B140,2)+5)</f>
        <v>0.38</v>
      </c>
      <c r="AG140" s="475">
        <f>INDEX(Input!$1:$1048576,AG$93,$C140*2+MIN($B140,2)+5)
+INDEX(Scenarios!AG$121:AG$200,MATCH($B140,Scenarios!$B$121:$B$200,0))</f>
        <v>0</v>
      </c>
      <c r="AH140" s="476">
        <f>INDEX(Input!$1:$1048576,AH$93,$C140*2+MIN($B140,2)+5)</f>
        <v>0</v>
      </c>
      <c r="AI140" s="475">
        <f>INDEX(Input!$1:$1048576,AI$93,$C140*2+MIN($B140,2)+5)
+INDEX(Scenarios!AI$121:AI$200,MATCH($B140,Scenarios!$B$121:$B$200,0))</f>
        <v>0</v>
      </c>
      <c r="AJ140" s="476">
        <f>INDEX(Input!$1:$1048576,AJ$93,$C140*2+MIN($B140,2)+5)</f>
        <v>0.27</v>
      </c>
      <c r="AK140" s="150">
        <f>ROUND(INDEX(Input!$1:$1048576,AK$93,$C139*2+MIN($B140,1)+5)+(Y140-VLOOKUP($C140*1000+1,$A:$HH,Y$92,FALSE)),0)</f>
        <v>4117</v>
      </c>
      <c r="AL140" s="150">
        <f>ROUND(INDEX(Input!$1:$1048576,AL$93,$C139*2+MIN($B140,1)+5)-(Y140-VLOOKUP($C140*1000+1,$A:$HH,Y$92,FALSE))/36,0)</f>
        <v>4103</v>
      </c>
      <c r="AM140" s="32" t="str">
        <f t="shared" si="169"/>
        <v>std/std/std/std</v>
      </c>
      <c r="AN140" s="32" t="str">
        <f t="shared" si="170"/>
        <v>$0 + 0/0/0/1.9/3.9</v>
      </c>
      <c r="AO140" s="32" t="str">
        <f t="shared" si="171"/>
        <v>0/0/0/1.9/3.9</v>
      </c>
      <c r="AP140" s="32" t="str">
        <f t="shared" si="73"/>
        <v>0/0.9/1.9/3.9</v>
      </c>
      <c r="AQ140" s="536">
        <f t="shared" si="39"/>
        <v>0.26553311039864075</v>
      </c>
      <c r="AR140" s="32"/>
      <c r="AS140" s="302"/>
      <c r="AT140" s="3">
        <f t="shared" si="106"/>
        <v>40</v>
      </c>
      <c r="AU140" s="41" t="s">
        <v>121</v>
      </c>
      <c r="AV140" s="41" t="s">
        <v>116</v>
      </c>
      <c r="AW140" s="41" t="str">
        <f>INDEX(Input!$1:$1048576,AW$93,$C140*2+6)</f>
        <v>Kia</v>
      </c>
      <c r="AX140" s="41" t="str">
        <f>INDEX(Input!$1:$1048576,AX$93,$C140*2+6)</f>
        <v>Kia-LR - L1</v>
      </c>
      <c r="AY140" s="41" t="str">
        <f>IF(LEN(D140)=0,"",INDEX(Input!$1:$1048576,AY$93,$C140*2+6))</f>
        <v>Compact SUV (52)</v>
      </c>
      <c r="AZ140" s="41" t="str">
        <f>INDEX(Input!$1:$1048576,AZ$93,$C140*2+6)</f>
        <v>Kia Soul</v>
      </c>
      <c r="BA140" s="3">
        <f>INDEX(Input!$1:$1048576,BA$93,$C140*2+6)</f>
        <v>2020</v>
      </c>
      <c r="BB140" s="128">
        <f>INDEX(Input!$1:$1048576,BB$93,$C140*2+6)</f>
        <v>1</v>
      </c>
      <c r="BC140" s="128">
        <f>INDEX(Input!$1:$1048576,BC$93,$C140*2+6)</f>
        <v>0.7</v>
      </c>
      <c r="BD140" s="1">
        <f>INDEX(Input!$1:$1048576,BD$93,$C140*2+6)</f>
        <v>4.4999999999999998E-2</v>
      </c>
      <c r="BE140" s="1">
        <f>INDEX(Input!$1:$1048576,BE$93,$C140*2+6)</f>
        <v>4.4999999999999998E-2</v>
      </c>
      <c r="BF140" s="1">
        <f>INDEX(Input!$1:$1048576,BF$93,$C140*2+6)</f>
        <v>0.05</v>
      </c>
      <c r="BG140" s="1">
        <f>INDEX(Input!$1:$1048576,BG$93,$C140*2+6)</f>
        <v>5.45E-2</v>
      </c>
      <c r="BH140" s="1">
        <f>INDEX(Input!$1:$1048576,BH$93,$C140*2+6)</f>
        <v>5.45E-2</v>
      </c>
      <c r="BI140" s="1">
        <f>INDEX(Input!$1:$1048576,BI$93,$C140*2+6)</f>
        <v>0.05</v>
      </c>
      <c r="BJ140" s="1">
        <f>INDEX(Input!$1:$1048576,BJ$93,$C140*2+6)</f>
        <v>0.05</v>
      </c>
      <c r="BK140" s="1">
        <f>INDEX(Input!$1:$1048576,BK$93,$C140*2+6)</f>
        <v>0.05</v>
      </c>
      <c r="BL140" s="1">
        <f>INDEX(Input!$1:$1048576,BL$93,$C140*2+6)</f>
        <v>5.5E-2</v>
      </c>
      <c r="BM140" s="1">
        <f>INDEX(Input!$1:$1048576,BM$93,$C140*2+6)</f>
        <v>0.06</v>
      </c>
      <c r="BN140" s="1">
        <f>INDEX(Input!$1:$1048576,BN$93,$C140*2+6)</f>
        <v>4.4999999999999998E-2</v>
      </c>
      <c r="BO140" s="1">
        <f>INDEX(Input!$1:$1048576,BO$93,$C140*2+6)</f>
        <v>4.4999999999999998E-2</v>
      </c>
      <c r="BP140" s="1">
        <f>INDEX(Input!$1:$1048576,BP$93,$C140*2+6)</f>
        <v>0.05</v>
      </c>
      <c r="BQ140" s="1">
        <f>INDEX(Input!$1:$1048576,BQ$93,$C140*2+6)</f>
        <v>5.45E-2</v>
      </c>
      <c r="BR140" s="1">
        <f>INDEX(Input!$1:$1048576,BR$93,$C140*2+6)</f>
        <v>5.45E-2</v>
      </c>
      <c r="BS140" s="1">
        <f>INDEX(Input!$1:$1048576,BS$93,$C140*2+6)</f>
        <v>0.05</v>
      </c>
      <c r="BT140" s="1">
        <f>INDEX(Input!$1:$1048576,BT$93,$C140*2+6)</f>
        <v>0.05</v>
      </c>
      <c r="BU140" s="1">
        <f>INDEX(Input!$1:$1048576,BU$93,$C140*2+6)</f>
        <v>0.05</v>
      </c>
      <c r="BV140" s="1">
        <f>INDEX(Input!$1:$1048576,BV$93,$C140*2+6)</f>
        <v>5.5E-2</v>
      </c>
      <c r="BW140" s="1">
        <f>INDEX(Input!$1:$1048576,BW$93,$C140*2+6)</f>
        <v>0.06</v>
      </c>
      <c r="BX140" s="127">
        <f>INDEX(Input!$1:$1048576,BX$93,$C140*2+6)</f>
        <v>19985</v>
      </c>
      <c r="BY140" s="20">
        <f>INDEX(Input!$1:$1048576,BY$93,$C140*2+6)</f>
        <v>0.1</v>
      </c>
      <c r="BZ140" s="20">
        <f>INDEX(Input!$1:$1048576,BZ$93,$C140*2+6)</f>
        <v>0.1</v>
      </c>
      <c r="CA140" s="20">
        <f>INDEX(Input!$1:$1048576,CA$93,$C140*2+6)</f>
        <v>0.1</v>
      </c>
      <c r="CB140" s="20">
        <f>INDEX(Input!$1:$1048576,CB$93,$C140*2+6)</f>
        <v>0.1</v>
      </c>
      <c r="CC140" s="20">
        <f>INDEX(Input!$1:$1048576,CC$93,$C140*2+6)</f>
        <v>0.1</v>
      </c>
      <c r="CD140" s="384">
        <f>INDEX(Input!$1:$1048576,CD$93,$C140*2+6)</f>
        <v>0.1</v>
      </c>
      <c r="CE140" s="384">
        <f>INDEX(Input!$1:$1048576,CE$93,$C140*2+6)</f>
        <v>0.1</v>
      </c>
      <c r="CF140" s="384">
        <f>INDEX(Input!$1:$1048576,CF$93,$C140*2+6)</f>
        <v>0.1</v>
      </c>
      <c r="CG140" s="384">
        <f>INDEX(Input!$1:$1048576,CG$93,$C140*2+6)</f>
        <v>0.1</v>
      </c>
      <c r="CH140" s="384">
        <f>INDEX(Input!$1:$1048576,CH$93,$C140*2+6)</f>
        <v>0.1</v>
      </c>
      <c r="CI140" s="304">
        <f t="shared" si="74"/>
        <v>1729</v>
      </c>
      <c r="CJ140" s="16" t="str">
        <f>INDEX(Input!$1:$1048576,CJ$93,$C140*2+6)</f>
        <v>N</v>
      </c>
      <c r="CK140" s="1" t="str">
        <f t="shared" si="75"/>
        <v>Market</v>
      </c>
      <c r="CL140" s="1" t="str">
        <f t="shared" si="76"/>
        <v>Market</v>
      </c>
      <c r="CM140" s="1" t="str">
        <f t="shared" si="77"/>
        <v>Market</v>
      </c>
      <c r="CN140" s="1" t="str">
        <f t="shared" si="78"/>
        <v>Market</v>
      </c>
      <c r="CO140" s="1" t="str">
        <f t="shared" si="79"/>
        <v>Market</v>
      </c>
      <c r="CP140" s="304">
        <f t="shared" si="80"/>
        <v>0</v>
      </c>
      <c r="CQ140" s="1">
        <f t="shared" si="81"/>
        <v>0</v>
      </c>
      <c r="CR140" s="1">
        <f t="shared" si="82"/>
        <v>0</v>
      </c>
      <c r="CS140" s="1">
        <f t="shared" si="83"/>
        <v>0</v>
      </c>
      <c r="CT140" s="1">
        <f t="shared" si="84"/>
        <v>1.9E-2</v>
      </c>
      <c r="CU140" s="1">
        <f t="shared" si="85"/>
        <v>3.9E-2</v>
      </c>
      <c r="CV140" s="304">
        <f t="shared" si="86"/>
        <v>2302</v>
      </c>
      <c r="CW140" s="20" t="s">
        <v>122</v>
      </c>
      <c r="CX140" s="20" t="s">
        <v>122</v>
      </c>
      <c r="CY140" s="20" t="s">
        <v>122</v>
      </c>
      <c r="CZ140" s="20" t="s">
        <v>122</v>
      </c>
      <c r="DA140" s="20" t="s">
        <v>122</v>
      </c>
      <c r="DB140" s="503">
        <f t="shared" si="87"/>
        <v>0</v>
      </c>
      <c r="DC140" s="127">
        <v>0</v>
      </c>
      <c r="DD140" s="127">
        <v>0</v>
      </c>
      <c r="DE140" s="127">
        <v>0</v>
      </c>
      <c r="DF140" s="127">
        <v>0</v>
      </c>
      <c r="DG140" s="127">
        <v>0</v>
      </c>
      <c r="DH140" s="127">
        <v>0</v>
      </c>
      <c r="DI140" s="127">
        <v>0</v>
      </c>
      <c r="DJ140" s="127">
        <v>0</v>
      </c>
      <c r="DK140" s="127">
        <v>0</v>
      </c>
      <c r="DL140" s="127">
        <v>0</v>
      </c>
      <c r="DM140" s="304">
        <f>INDEX(Input!$1:$1048576,DM$93,$C140*2+6)</f>
        <v>21036.84210526316</v>
      </c>
      <c r="DN140" s="20">
        <v>0</v>
      </c>
      <c r="DO140" s="20">
        <v>0</v>
      </c>
      <c r="DP140" s="20">
        <v>0</v>
      </c>
      <c r="DQ140" s="20">
        <v>0</v>
      </c>
      <c r="DR140" s="20">
        <v>0</v>
      </c>
      <c r="DS140" s="20">
        <f>INDEX(Input!$1:$1048576,DS$93,$C140*2+6)</f>
        <v>0.6</v>
      </c>
      <c r="DT140" s="20">
        <f>INDEX(Input!$1:$1048576,DT$93,$C140*2+6)</f>
        <v>0.55000000000000004</v>
      </c>
      <c r="DU140" s="20">
        <f>INDEX(Input!$1:$1048576,DU$93,$C140*2+6)</f>
        <v>0.52</v>
      </c>
      <c r="DV140" s="20">
        <f>INDEX(Input!$1:$1048576,DV$93,$C140*2+6)</f>
        <v>0.5</v>
      </c>
      <c r="DW140" s="20">
        <f>INDEX(Input!$1:$1048576,DW$93,$C140*2+6)</f>
        <v>0.45</v>
      </c>
      <c r="DX140" s="20"/>
      <c r="DY140" s="7">
        <v>0.10511618621915202</v>
      </c>
      <c r="DZ140" s="7">
        <v>0</v>
      </c>
      <c r="EA140" s="7">
        <v>0.47434266886252657</v>
      </c>
      <c r="EB140" s="7">
        <v>0</v>
      </c>
      <c r="EC140" s="7">
        <v>0</v>
      </c>
      <c r="ED140" s="7">
        <v>0</v>
      </c>
      <c r="EE140" s="7">
        <v>0</v>
      </c>
      <c r="EF140" s="7">
        <v>0</v>
      </c>
      <c r="EG140" s="7">
        <v>0</v>
      </c>
      <c r="EH140" s="7">
        <v>1.8402200445098653E-2</v>
      </c>
      <c r="EI140" s="7">
        <v>5.3739557110571864E-2</v>
      </c>
      <c r="EJ140" s="7">
        <v>0.33946684904131985</v>
      </c>
      <c r="EK140" s="7">
        <v>0.48247712639938095</v>
      </c>
      <c r="EL140" s="7">
        <v>0.10591426700362869</v>
      </c>
      <c r="EM140" s="7">
        <v>3.8379514117503018E-2</v>
      </c>
      <c r="EN140" s="7">
        <v>5.241642471602586E-2</v>
      </c>
      <c r="EO140" s="7">
        <v>0.78015670673154858</v>
      </c>
      <c r="EP140" s="7">
        <v>7.3001757795592509E-2</v>
      </c>
      <c r="EQ140" s="7">
        <v>5.5504556706157629E-2</v>
      </c>
      <c r="ER140" s="7">
        <v>3.8920554050675779E-2</v>
      </c>
      <c r="ES140" s="7">
        <v>0.38216163080081844</v>
      </c>
      <c r="ET140" s="7">
        <v>0.4205411449183214</v>
      </c>
      <c r="EU140" s="6">
        <v>1770</v>
      </c>
      <c r="EV140" s="6">
        <v>0</v>
      </c>
      <c r="EW140" s="6">
        <v>1770</v>
      </c>
      <c r="EX140" s="6">
        <v>0</v>
      </c>
      <c r="EY140" s="6">
        <v>2039.7221397149681</v>
      </c>
      <c r="EZ140" s="6">
        <v>2445</v>
      </c>
      <c r="FA140" s="6">
        <v>0</v>
      </c>
      <c r="FB140" s="6">
        <v>0</v>
      </c>
      <c r="FC140" s="6">
        <v>0</v>
      </c>
      <c r="FD140" s="6">
        <v>0</v>
      </c>
      <c r="FE140" s="6">
        <v>0</v>
      </c>
      <c r="FF140" s="6">
        <v>0</v>
      </c>
      <c r="FG140" s="6">
        <v>0</v>
      </c>
      <c r="FH140" s="6">
        <v>1171.2811379695615</v>
      </c>
      <c r="FI140" s="6">
        <v>1553.9796069512399</v>
      </c>
      <c r="FJ140" s="6">
        <v>2101.211011744741</v>
      </c>
      <c r="FK140" s="6">
        <v>1772.7139978623229</v>
      </c>
      <c r="FL140" s="6">
        <v>907.07682140966324</v>
      </c>
      <c r="FM140" s="6">
        <v>1769.7221397149681</v>
      </c>
      <c r="FN140" s="6">
        <v>0</v>
      </c>
      <c r="FO140" s="6">
        <v>0</v>
      </c>
      <c r="FP140" s="6">
        <v>0</v>
      </c>
      <c r="FQ140" s="6">
        <v>0</v>
      </c>
      <c r="FR140" s="6">
        <v>0</v>
      </c>
      <c r="FS140" s="6">
        <v>0</v>
      </c>
      <c r="FT140" s="7">
        <v>0.5794588550816786</v>
      </c>
      <c r="FU140" s="7">
        <v>3.8379514117503018E-2</v>
      </c>
      <c r="FV140" s="7">
        <v>0.38216163080081844</v>
      </c>
      <c r="FW140" s="6">
        <v>1770</v>
      </c>
      <c r="FX140" s="6">
        <v>2039.7221397149683</v>
      </c>
      <c r="FY140" s="6">
        <v>2445</v>
      </c>
      <c r="FZ140" s="6">
        <v>1952.7147957719815</v>
      </c>
      <c r="GA140" s="6">
        <v>2038.3109054595461</v>
      </c>
      <c r="GB140" s="6">
        <v>17946.689094540452</v>
      </c>
      <c r="GC140" s="7">
        <v>1.0519917368675835E-2</v>
      </c>
      <c r="GD140" s="7">
        <v>1.0891186992329374E-2</v>
      </c>
      <c r="GE140" s="7"/>
      <c r="GF140" s="7"/>
      <c r="GG140" s="7">
        <v>3.5292066528871562E-2</v>
      </c>
      <c r="GH140" s="42">
        <v>8.2400000672222777</v>
      </c>
      <c r="GI140" s="6">
        <v>4463.6749633432219</v>
      </c>
      <c r="GJ140" s="14">
        <v>0.50394797582841733</v>
      </c>
      <c r="GK140" s="14">
        <v>0.50887573065309744</v>
      </c>
      <c r="GL140" s="14">
        <v>0.49605202417158273</v>
      </c>
      <c r="GM140" s="14">
        <v>0.49112426934690256</v>
      </c>
      <c r="GO140" s="5">
        <v>343.14810671672558</v>
      </c>
      <c r="GP140" s="5">
        <v>309.37988338875158</v>
      </c>
      <c r="GQ140" s="5">
        <v>535.04305713031317</v>
      </c>
      <c r="GR140" s="5">
        <v>410.15490233172511</v>
      </c>
      <c r="GS140" s="5">
        <v>339.42744393800166</v>
      </c>
      <c r="GT140" s="5">
        <v>293.4407446948278</v>
      </c>
      <c r="GU140" s="5">
        <v>258.04012322764959</v>
      </c>
      <c r="GV140" s="39" t="s">
        <v>392</v>
      </c>
      <c r="GW140" s="5">
        <v>492.125</v>
      </c>
      <c r="GX140" s="5">
        <v>369.09375</v>
      </c>
      <c r="GY140" s="5">
        <v>295.27499999999998</v>
      </c>
      <c r="GZ140" s="5">
        <v>260.54902799031458</v>
      </c>
      <c r="HA140" s="5">
        <v>241.34874471337258</v>
      </c>
      <c r="HB140" s="39">
        <v>280.39841310148165</v>
      </c>
      <c r="HC140" s="5">
        <v>180.31562499999998</v>
      </c>
      <c r="HD140" s="5">
        <v>166.79497441520465</v>
      </c>
      <c r="HE140" s="5">
        <v>173.1768092105263</v>
      </c>
      <c r="HF140" s="5">
        <v>164.36813048245611</v>
      </c>
      <c r="HG140" s="5">
        <v>163.76888157894734</v>
      </c>
      <c r="HH140" s="39">
        <v>167.71708563023574</v>
      </c>
      <c r="HI140" s="16"/>
      <c r="HJ140" s="19" t="str">
        <f t="shared" ref="HJ140:HJ142" si="368">HJ139</f>
        <v>On</v>
      </c>
      <c r="HK140" s="1" t="str">
        <f t="shared" si="108"/>
        <v>On</v>
      </c>
      <c r="HL140" s="16"/>
      <c r="HM140" s="639">
        <f t="shared" si="266"/>
        <v>5.7455619280273196E-3</v>
      </c>
      <c r="HN140" s="639">
        <f t="shared" si="267"/>
        <v>5.0031960498701745E-4</v>
      </c>
      <c r="HO140" s="639">
        <f t="shared" si="268"/>
        <v>3.9819433988714835E-3</v>
      </c>
      <c r="HP140" s="644">
        <f>(FT140*$GD140-HM140)/$JF140*INDEX(Input!$1:$1048576,$JG$93,$C140*2+6)</f>
        <v>24.656565601591424</v>
      </c>
      <c r="HQ140" s="644">
        <f>(FU140*$GD140-HN140)/$JF140*INDEX(Input!$1:$1048576,$JG$93,$C140*2+6)</f>
        <v>-3.589739627987782</v>
      </c>
      <c r="HR140" s="644">
        <f>(FV140*$GD140-HO140)/$JF140*INDEX(Input!$1:$1048576,$JG$93,$C140*2+6)</f>
        <v>7.860094552330108</v>
      </c>
      <c r="HS140" s="644">
        <f t="shared" si="269"/>
        <v>-9.5816112631271064</v>
      </c>
      <c r="HT140" s="644">
        <f t="shared" si="270"/>
        <v>-3.5487668320532166</v>
      </c>
      <c r="HU140" s="644">
        <f t="shared" si="271"/>
        <v>9.2368219232860689</v>
      </c>
      <c r="HV140" s="648">
        <f t="shared" si="272"/>
        <v>0</v>
      </c>
      <c r="HW140" s="648">
        <f t="shared" si="273"/>
        <v>0</v>
      </c>
      <c r="HX140" s="648">
        <f t="shared" si="274"/>
        <v>0</v>
      </c>
      <c r="HY140" s="644">
        <f>INDEX(Input!$1:$1048576,HY$93,$C140*2+6)*INDEX(Input!$1:$1048576,$JG$93,$C140*2+6)</f>
        <v>110.00000000000001</v>
      </c>
      <c r="HZ140" s="644">
        <f>INDEX(Input!$1:$1048576,HZ$93,$C140*2+6)*INDEX(Input!$1:$1048576,$JG$93,$C140*2+6)</f>
        <v>157</v>
      </c>
      <c r="IA140" s="644">
        <f>INDEX(Input!$1:$1048576,IA$93,$C140*2+6)*INDEX(Input!$1:$1048576,$JG$93,$C140*2+6)</f>
        <v>179</v>
      </c>
      <c r="IB140" s="644">
        <f t="shared" si="249"/>
        <v>125.07495433846435</v>
      </c>
      <c r="IC140" s="644">
        <f t="shared" si="172"/>
        <v>149.86149353995901</v>
      </c>
      <c r="ID140" s="644">
        <f>IF(AND(INDEX(Input!$1:$1048576,IA$93,$C140*2+7)="TOS",Y140&lt;=INDEX(Y:Y,MATCH(C140*1000+2,A:A))),0,1)*MAX(IA140+HR140+HU140+HX140,0%)</f>
        <v>196.09691647561618</v>
      </c>
      <c r="IE140" s="128">
        <f t="shared" si="275"/>
        <v>0.26553311039864075</v>
      </c>
      <c r="IF140" s="128">
        <f t="shared" si="174"/>
        <v>0.31815473144980799</v>
      </c>
      <c r="IG140" s="128">
        <f t="shared" si="175"/>
        <v>0.41631215815155131</v>
      </c>
      <c r="IH140" s="21"/>
      <c r="II140" s="19">
        <f t="shared" si="276"/>
        <v>1240</v>
      </c>
      <c r="IJ140" s="19">
        <f t="shared" si="277"/>
        <v>2009.7221397149679</v>
      </c>
      <c r="IK140" s="19">
        <f t="shared" si="278"/>
        <v>2070</v>
      </c>
      <c r="IL140" s="19">
        <f t="shared" si="176"/>
        <v>530</v>
      </c>
      <c r="IM140" s="19">
        <f t="shared" si="177"/>
        <v>30.000000000000455</v>
      </c>
      <c r="IN140" s="19">
        <f t="shared" si="178"/>
        <v>375</v>
      </c>
      <c r="IO140" s="39">
        <f t="shared" si="279"/>
        <v>0</v>
      </c>
      <c r="IP140" s="39">
        <f t="shared" si="280"/>
        <v>0</v>
      </c>
      <c r="IQ140" s="39">
        <f t="shared" si="281"/>
        <v>0</v>
      </c>
      <c r="IR140" s="39">
        <v>0</v>
      </c>
      <c r="IS140" s="39">
        <v>0</v>
      </c>
      <c r="IT140" s="39">
        <v>0</v>
      </c>
      <c r="IU140" s="39">
        <v>0</v>
      </c>
      <c r="IV140" s="39">
        <v>0</v>
      </c>
      <c r="IW140" s="39">
        <v>0</v>
      </c>
      <c r="IX140" s="39">
        <f>INDEX(Input!$1:$1048576,IX$93,$C140*2+6)+INDEX(Input!$1:$1048576,IX$94,$C140*2+6)</f>
        <v>1270</v>
      </c>
      <c r="IY140" s="39">
        <f>INDEX(Input!$1:$1048576,IY$93,$C140*2+6)+INDEX(Input!$1:$1048576,IY$94,$C140*2+6)</f>
        <v>2130.0624533823611</v>
      </c>
      <c r="IZ140" s="39">
        <f>INDEX(Input!$1:$1048576,IZ$93,$C140*2+6)+INDEX(Input!$1:$1048576,IZ$94,$C140*2+6)</f>
        <v>4373.7164157747848</v>
      </c>
      <c r="JA140" s="19">
        <f t="shared" si="179"/>
        <v>1800</v>
      </c>
      <c r="JB140" s="19">
        <f t="shared" si="180"/>
        <v>2160.0624533823616</v>
      </c>
      <c r="JC140" s="19">
        <f t="shared" si="181"/>
        <v>4748.7164157747848</v>
      </c>
      <c r="JD140" s="19">
        <f t="shared" si="182"/>
        <v>3142.1420679891321</v>
      </c>
      <c r="JE140" s="21"/>
      <c r="JF140" s="1">
        <f t="shared" si="282"/>
        <v>1.022782493188582E-2</v>
      </c>
      <c r="JG140" s="15">
        <f>INDEX(Input!$1:$1048576,JG$93,$C140*2+6)/(1+VLOOKUP(C140*1000+INDEX(Input!$1:$1048576,JG$93+1,$C140*2+6),$A:$KK,$JK$92,FALSE))</f>
        <v>446</v>
      </c>
      <c r="JH140" s="1">
        <f t="shared" si="251"/>
        <v>6.4858566201645179E-2</v>
      </c>
      <c r="JI140" s="1">
        <f t="shared" si="252"/>
        <v>-8.7299465737539321E-3</v>
      </c>
      <c r="JJ140" s="1">
        <f t="shared" si="253"/>
        <v>0</v>
      </c>
      <c r="JK140" s="1">
        <f t="shared" si="254"/>
        <v>5.6128619627891244E-2</v>
      </c>
      <c r="JL140" s="15">
        <f t="shared" si="184"/>
        <v>25.033364354039495</v>
      </c>
      <c r="JM140" s="15">
        <f t="shared" si="185"/>
        <v>471.03336435403952</v>
      </c>
      <c r="JN140" s="21"/>
      <c r="JO140" s="19">
        <f>INDEX(Input!$1:$1048576,JO$93,$C140*2+6)</f>
        <v>5995.5</v>
      </c>
      <c r="JP140" s="19">
        <f>INDEX(Input!$1:$1048576,JP$93,$C140*2+6)</f>
        <v>2818.4193802796353</v>
      </c>
      <c r="JQ140" s="39">
        <f t="shared" si="186"/>
        <v>2853.3579320108679</v>
      </c>
      <c r="JR140" s="39">
        <f t="shared" si="187"/>
        <v>323.72268770949677</v>
      </c>
      <c r="JS140" s="39">
        <f t="shared" si="188"/>
        <v>1.48005374956328</v>
      </c>
      <c r="JT140" s="39">
        <f t="shared" si="189"/>
        <v>0.22303870595856268</v>
      </c>
      <c r="JU140" s="385">
        <f>(JQ140*JM140-INDEX(Input!$1:$1048576,Input!A$18,$C140*2+6)*JL140*INDEX(Input!$1:$1048576,Input!A$19,$C140*2+6))/1000000</f>
        <v>1.344026786421364</v>
      </c>
      <c r="JV140" s="39">
        <f t="shared" si="192"/>
        <v>-7.2951169973918706E-2</v>
      </c>
      <c r="JW140" s="1">
        <f t="shared" si="190"/>
        <v>-5.1483630810674461E-2</v>
      </c>
      <c r="JX140" s="19">
        <f t="shared" si="191"/>
        <v>8909.6576394683507</v>
      </c>
      <c r="JZ140" s="341"/>
      <c r="KA140" s="342"/>
      <c r="KB140" s="469">
        <f t="shared" si="110"/>
        <v>2.9286733661474216</v>
      </c>
      <c r="KI140" s="473">
        <f t="shared" si="283"/>
        <v>15.074954338464337</v>
      </c>
      <c r="KJ140" s="473">
        <f t="shared" si="284"/>
        <v>-7.1385064600409862</v>
      </c>
      <c r="KK140" s="473">
        <f t="shared" si="257"/>
        <v>17.096916475616183</v>
      </c>
      <c r="KN140" s="544">
        <f t="shared" si="258"/>
        <v>1002</v>
      </c>
      <c r="KO140" s="541">
        <f t="shared" si="285"/>
        <v>5.1799523216333965E-2</v>
      </c>
      <c r="KP140" s="546">
        <f t="shared" si="286"/>
        <v>282.63893213387905</v>
      </c>
      <c r="KQ140" s="546">
        <f t="shared" si="287"/>
        <v>302.82586797048043</v>
      </c>
      <c r="KR140" s="548">
        <f t="shared" si="288"/>
        <v>3.1423068271301204</v>
      </c>
      <c r="KS140" s="548">
        <f t="shared" si="289"/>
        <v>2.9328348070437329</v>
      </c>
      <c r="KT140" s="473">
        <f t="shared" si="112"/>
        <v>238.28695973331548</v>
      </c>
      <c r="KU140" s="663">
        <f t="shared" si="290"/>
        <v>6.2124633024980564</v>
      </c>
      <c r="KV140" s="117"/>
    </row>
    <row r="141" spans="1:308" s="26" customFormat="1" ht="15">
      <c r="A141" s="561">
        <f t="shared" si="168"/>
        <v>1041</v>
      </c>
      <c r="B141" s="561">
        <f t="shared" si="104"/>
        <v>41</v>
      </c>
      <c r="C141" s="561">
        <f t="shared" si="105"/>
        <v>1</v>
      </c>
      <c r="D141" s="561" t="str">
        <f t="shared" si="294"/>
        <v xml:space="preserve">750 CC, 360 Lease, </v>
      </c>
      <c r="E141" s="475">
        <f>INDEX(Input!$1:$1048576,E$93,$C141*2+MIN($B141,2)+5)
+INDEX(Scenarios!E$121:E$200,MATCH($B141,Scenarios!$B$121:$B$200,0))</f>
        <v>1979</v>
      </c>
      <c r="F141" s="475">
        <f>INDEX(Input!$1:$1048576,F$93,$C141*2+MIN($B141,2)+5)
+INDEX(Scenarios!F$121:F$200,MATCH($B141,Scenarios!$B$121:$B$200,0))</f>
        <v>0</v>
      </c>
      <c r="G141" s="475">
        <f>INDEX(Input!$1:$1048576,G$93,$C141*2+MIN($B141,2)+5)
+INDEX(Scenarios!G$121:G$200,MATCH($B141,Scenarios!$B$121:$B$200,0))</f>
        <v>0</v>
      </c>
      <c r="H141" s="475">
        <f>INDEX(Input!$1:$1048576,H$93,$C141*2+MIN($B141,2)+5)
+INDEX(Scenarios!H$121:H$200,MATCH($B141,Scenarios!$B$121:$B$200,0))</f>
        <v>0</v>
      </c>
      <c r="I141" s="476">
        <f>INDEX(Input!$1:$1048576,I$93,$C141*2+MIN($B141,2)+5)</f>
        <v>0.7</v>
      </c>
      <c r="J141" s="476" t="str">
        <f>INDEX(Input!$1:$1048576,J$93,$C141*2+MIN($B141,2)+5)</f>
        <v>Market</v>
      </c>
      <c r="K141" s="476" t="str">
        <f>INDEX(Input!$1:$1048576,K$93,$C141*2+MIN($B141,2)+5)</f>
        <v>Market</v>
      </c>
      <c r="L141" s="476" t="str">
        <f>INDEX(Input!$1:$1048576,L$93,$C141*2+MIN($B141,2)+5)</f>
        <v>Market</v>
      </c>
      <c r="M141" s="476" t="str">
        <f>INDEX(Input!$1:$1048576,M$93,$C141*2+MIN($B141,2)+5)</f>
        <v>Market</v>
      </c>
      <c r="N141" s="476" t="str">
        <f>INDEX(Input!$1:$1048576,N$93,$C141*2+MIN($B141,2)+5)</f>
        <v>Market</v>
      </c>
      <c r="O141" s="476" t="str">
        <f>INDEX(Input!$1:$1048576,O$93,$C141*2+MIN($B141,2)+5)</f>
        <v>Market</v>
      </c>
      <c r="P141" s="476" t="str">
        <f>INDEX(Input!$1:$1048576,P$93,$C141*2+MIN($B141,2)+5)</f>
        <v>N</v>
      </c>
      <c r="Q141" s="477">
        <f>INDEX(Input!$1:$1048576,Q$93,$C141*2+MIN($B141,2)+5)
+INDEX(Scenarios!Q$121:Q$200,MATCH($B141,Scenarios!$B$121:$B$200,0))</f>
        <v>0</v>
      </c>
      <c r="R141" s="478">
        <f>IFERROR(MAX(0,INDEX(Input!$1:$1048576,R$93,$C141*2+MIN($B141,2)+5)
+INDEX(Scenarios!R$121:R$200,MATCH($B141,Scenarios!$B$121:$B$200,0)),),"Market")</f>
        <v>0</v>
      </c>
      <c r="S141" s="478">
        <f>IFERROR(MAX(0,INDEX(Input!$1:$1048576,S$93,$C141*2+MIN($B141,2)+5)
+INDEX(Scenarios!S$121:S$200,MATCH($B141,Scenarios!$B$121:$B$200,0)),),"Market")</f>
        <v>0</v>
      </c>
      <c r="T141" s="478">
        <f>IFERROR(MAX(0,INDEX(Input!$1:$1048576,T$93,$C141*2+MIN($B141,2)+5)
+INDEX(Scenarios!T$121:T$200,MATCH($B141,Scenarios!$B$121:$B$200,0)),),"Market")</f>
        <v>0</v>
      </c>
      <c r="U141" s="478">
        <f>IFERROR(MAX(0,INDEX(Input!$1:$1048576,U$93,$C141*2+MIN($B141,2)+5)
+INDEX(Scenarios!U$121:U$200,MATCH($B141,Scenarios!$B$121:$B$200,0)),),"Market")</f>
        <v>0</v>
      </c>
      <c r="V141" s="478">
        <f>IFERROR(MAX(0,INDEX(Input!$1:$1048576,V$93,$C141*2+MIN($B141,2)+5)
+INDEX(Scenarios!V$121:V$200,MATCH($B141,Scenarios!$B$121:$B$200,0)),),"Market")</f>
        <v>1.9E-2</v>
      </c>
      <c r="W141" s="885">
        <f>IFERROR(MAX(0,INDEX(Input!$1:$1048576,W$93,$C141*2+MIN($B141,2)+5)-0%,),"Market")</f>
        <v>3.9E-2</v>
      </c>
      <c r="X141" s="476" t="str">
        <f>INDEX(Input!$1:$1048576,X$93,$C141*2+MIN($B141,2)+5)</f>
        <v>Y</v>
      </c>
      <c r="Y141" s="475">
        <f>INDEX(Input!$1:$1048576,Y$93,$C141*2+MIN($B141,2)+5)
++INDEX(Scenarios!Y$121:Y$200,MATCH($B141,Scenarios!$B$121:$B$200,0))</f>
        <v>2302</v>
      </c>
      <c r="Z141" s="477">
        <f>INDEX(Input!$1:$1048576,Z$93,$C141*2+MIN($B141,2)+5)
+INDEX(Scenarios!Z$121:Z$200,MATCH($B141,Scenarios!$B$121:$B$200,0))</f>
        <v>0</v>
      </c>
      <c r="AA141" s="475">
        <f>INDEX(Input!$1:$1048576,AA$93,$C141*2+MIN($B141,2)+5)
+INDEX(Scenarios!AA$121:AA$200,MATCH($B141,Scenarios!$B$121:$B$200,0))</f>
        <v>0</v>
      </c>
      <c r="AB141" s="476">
        <f>INDEX(Input!$1:$1048576,AB$93,$C141*2+MIN($B141,2)+5)</f>
        <v>0.27</v>
      </c>
      <c r="AC141" s="475">
        <f>INDEX(Input!$1:$1048576,AC$93,$C141*2+MIN($B141,2)+5)
+INDEX(Scenarios!AC$121:AC$200,MATCH($B141,Scenarios!$B$121:$B$200,0))</f>
        <v>0</v>
      </c>
      <c r="AD141" s="476">
        <f>INDEX(Input!$1:$1048576,AD$93,$C141*2+MIN($B141,2)+5)</f>
        <v>0.27</v>
      </c>
      <c r="AE141" s="475">
        <f>INDEX(Input!$1:$1048576,AE$93,$C141*2+MIN($B141,2)+5)
+INDEX(Scenarios!AE$121:AE$200,MATCH($B141,Scenarios!$B$121:$B$200,0))</f>
        <v>0</v>
      </c>
      <c r="AF141" s="476">
        <f>INDEX(Input!$1:$1048576,AF$93,$C141*2+MIN($B141,2)+5)</f>
        <v>0.38</v>
      </c>
      <c r="AG141" s="475">
        <f>INDEX(Input!$1:$1048576,AG$93,$C141*2+MIN($B141,2)+5)
+INDEX(Scenarios!AG$121:AG$200,MATCH($B141,Scenarios!$B$121:$B$200,0))</f>
        <v>0</v>
      </c>
      <c r="AH141" s="476">
        <f>INDEX(Input!$1:$1048576,AH$93,$C141*2+MIN($B141,2)+5)</f>
        <v>0</v>
      </c>
      <c r="AI141" s="475">
        <f>INDEX(Input!$1:$1048576,AI$93,$C141*2+MIN($B141,2)+5)
+INDEX(Scenarios!AI$121:AI$200,MATCH($B141,Scenarios!$B$121:$B$200,0))</f>
        <v>0</v>
      </c>
      <c r="AJ141" s="476">
        <f>INDEX(Input!$1:$1048576,AJ$93,$C141*2+MIN($B141,2)+5)</f>
        <v>0.27</v>
      </c>
      <c r="AK141" s="150">
        <f>ROUND(INDEX(Input!$1:$1048576,AK$93,$C140*2+MIN($B141,1)+5)+(Y141-VLOOKUP($C141*1000+1,$A:$HH,Y$92,FALSE)),0)</f>
        <v>4117</v>
      </c>
      <c r="AL141" s="150">
        <f>ROUND(INDEX(Input!$1:$1048576,AL$93,$C140*2+MIN($B141,1)+5)-(Y141-VLOOKUP($C141*1000+1,$A:$HH,Y$92,FALSE))/36,0)</f>
        <v>4103</v>
      </c>
      <c r="AM141" s="32" t="str">
        <f t="shared" si="169"/>
        <v>std/std/std/std</v>
      </c>
      <c r="AN141" s="32" t="str">
        <f t="shared" si="170"/>
        <v>$0 + 0/0/0/1.9/3.9</v>
      </c>
      <c r="AO141" s="32" t="str">
        <f t="shared" si="171"/>
        <v>0/0/0/1.9/3.9</v>
      </c>
      <c r="AP141" s="32" t="str">
        <f t="shared" si="73"/>
        <v>0/0.9/1.9/3.9</v>
      </c>
      <c r="AQ141" s="536">
        <f t="shared" si="39"/>
        <v>0.29826084740937159</v>
      </c>
      <c r="AR141" s="32"/>
      <c r="AS141" s="302"/>
      <c r="AT141" s="3">
        <f t="shared" si="106"/>
        <v>41</v>
      </c>
      <c r="AU141" s="41" t="s">
        <v>121</v>
      </c>
      <c r="AV141" s="41" t="s">
        <v>116</v>
      </c>
      <c r="AW141" s="41" t="str">
        <f>INDEX(Input!$1:$1048576,AW$93,$C141*2+6)</f>
        <v>Kia</v>
      </c>
      <c r="AX141" s="41" t="str">
        <f>INDEX(Input!$1:$1048576,AX$93,$C141*2+6)</f>
        <v>Kia-LR - L1</v>
      </c>
      <c r="AY141" s="41" t="str">
        <f>IF(LEN(D141)=0,"",INDEX(Input!$1:$1048576,AY$93,$C141*2+6))</f>
        <v>Compact SUV (52)</v>
      </c>
      <c r="AZ141" s="41" t="str">
        <f>INDEX(Input!$1:$1048576,AZ$93,$C141*2+6)</f>
        <v>Kia Soul</v>
      </c>
      <c r="BA141" s="3">
        <f>INDEX(Input!$1:$1048576,BA$93,$C141*2+6)</f>
        <v>2020</v>
      </c>
      <c r="BB141" s="128">
        <f>INDEX(Input!$1:$1048576,BB$93,$C141*2+6)</f>
        <v>1</v>
      </c>
      <c r="BC141" s="128">
        <f>INDEX(Input!$1:$1048576,BC$93,$C141*2+6)</f>
        <v>0.7</v>
      </c>
      <c r="BD141" s="1">
        <f>INDEX(Input!$1:$1048576,BD$93,$C141*2+6)</f>
        <v>4.4999999999999998E-2</v>
      </c>
      <c r="BE141" s="1">
        <f>INDEX(Input!$1:$1048576,BE$93,$C141*2+6)</f>
        <v>4.4999999999999998E-2</v>
      </c>
      <c r="BF141" s="1">
        <f>INDEX(Input!$1:$1048576,BF$93,$C141*2+6)</f>
        <v>0.05</v>
      </c>
      <c r="BG141" s="1">
        <f>INDEX(Input!$1:$1048576,BG$93,$C141*2+6)</f>
        <v>5.45E-2</v>
      </c>
      <c r="BH141" s="1">
        <f>INDEX(Input!$1:$1048576,BH$93,$C141*2+6)</f>
        <v>5.45E-2</v>
      </c>
      <c r="BI141" s="1">
        <f>INDEX(Input!$1:$1048576,BI$93,$C141*2+6)</f>
        <v>0.05</v>
      </c>
      <c r="BJ141" s="1">
        <f>INDEX(Input!$1:$1048576,BJ$93,$C141*2+6)</f>
        <v>0.05</v>
      </c>
      <c r="BK141" s="1">
        <f>INDEX(Input!$1:$1048576,BK$93,$C141*2+6)</f>
        <v>0.05</v>
      </c>
      <c r="BL141" s="1">
        <f>INDEX(Input!$1:$1048576,BL$93,$C141*2+6)</f>
        <v>5.5E-2</v>
      </c>
      <c r="BM141" s="1">
        <f>INDEX(Input!$1:$1048576,BM$93,$C141*2+6)</f>
        <v>0.06</v>
      </c>
      <c r="BN141" s="1">
        <f>INDEX(Input!$1:$1048576,BN$93,$C141*2+6)</f>
        <v>4.4999999999999998E-2</v>
      </c>
      <c r="BO141" s="1">
        <f>INDEX(Input!$1:$1048576,BO$93,$C141*2+6)</f>
        <v>4.4999999999999998E-2</v>
      </c>
      <c r="BP141" s="1">
        <f>INDEX(Input!$1:$1048576,BP$93,$C141*2+6)</f>
        <v>0.05</v>
      </c>
      <c r="BQ141" s="1">
        <f>INDEX(Input!$1:$1048576,BQ$93,$C141*2+6)</f>
        <v>5.45E-2</v>
      </c>
      <c r="BR141" s="1">
        <f>INDEX(Input!$1:$1048576,BR$93,$C141*2+6)</f>
        <v>5.45E-2</v>
      </c>
      <c r="BS141" s="1">
        <f>INDEX(Input!$1:$1048576,BS$93,$C141*2+6)</f>
        <v>0.05</v>
      </c>
      <c r="BT141" s="1">
        <f>INDEX(Input!$1:$1048576,BT$93,$C141*2+6)</f>
        <v>0.05</v>
      </c>
      <c r="BU141" s="1">
        <f>INDEX(Input!$1:$1048576,BU$93,$C141*2+6)</f>
        <v>0.05</v>
      </c>
      <c r="BV141" s="1">
        <f>INDEX(Input!$1:$1048576,BV$93,$C141*2+6)</f>
        <v>5.5E-2</v>
      </c>
      <c r="BW141" s="1">
        <f>INDEX(Input!$1:$1048576,BW$93,$C141*2+6)</f>
        <v>0.06</v>
      </c>
      <c r="BX141" s="127">
        <f>INDEX(Input!$1:$1048576,BX$93,$C141*2+6)</f>
        <v>19985</v>
      </c>
      <c r="BY141" s="20">
        <f>INDEX(Input!$1:$1048576,BY$93,$C141*2+6)</f>
        <v>0.1</v>
      </c>
      <c r="BZ141" s="20">
        <f>INDEX(Input!$1:$1048576,BZ$93,$C141*2+6)</f>
        <v>0.1</v>
      </c>
      <c r="CA141" s="20">
        <f>INDEX(Input!$1:$1048576,CA$93,$C141*2+6)</f>
        <v>0.1</v>
      </c>
      <c r="CB141" s="20">
        <f>INDEX(Input!$1:$1048576,CB$93,$C141*2+6)</f>
        <v>0.1</v>
      </c>
      <c r="CC141" s="20">
        <f>INDEX(Input!$1:$1048576,CC$93,$C141*2+6)</f>
        <v>0.1</v>
      </c>
      <c r="CD141" s="384">
        <f>INDEX(Input!$1:$1048576,CD$93,$C141*2+6)</f>
        <v>0.1</v>
      </c>
      <c r="CE141" s="384">
        <f>INDEX(Input!$1:$1048576,CE$93,$C141*2+6)</f>
        <v>0.1</v>
      </c>
      <c r="CF141" s="384">
        <f>INDEX(Input!$1:$1048576,CF$93,$C141*2+6)</f>
        <v>0.1</v>
      </c>
      <c r="CG141" s="384">
        <f>INDEX(Input!$1:$1048576,CG$93,$C141*2+6)</f>
        <v>0.1</v>
      </c>
      <c r="CH141" s="384">
        <f>INDEX(Input!$1:$1048576,CH$93,$C141*2+6)</f>
        <v>0.1</v>
      </c>
      <c r="CI141" s="304">
        <f t="shared" si="74"/>
        <v>1979</v>
      </c>
      <c r="CJ141" s="16" t="str">
        <f>INDEX(Input!$1:$1048576,CJ$93,$C141*2+6)</f>
        <v>N</v>
      </c>
      <c r="CK141" s="1" t="str">
        <f t="shared" si="75"/>
        <v>Market</v>
      </c>
      <c r="CL141" s="1" t="str">
        <f t="shared" si="76"/>
        <v>Market</v>
      </c>
      <c r="CM141" s="1" t="str">
        <f t="shared" si="77"/>
        <v>Market</v>
      </c>
      <c r="CN141" s="1" t="str">
        <f t="shared" si="78"/>
        <v>Market</v>
      </c>
      <c r="CO141" s="1" t="str">
        <f t="shared" si="79"/>
        <v>Market</v>
      </c>
      <c r="CP141" s="304">
        <f t="shared" si="80"/>
        <v>0</v>
      </c>
      <c r="CQ141" s="1">
        <f t="shared" si="81"/>
        <v>0</v>
      </c>
      <c r="CR141" s="1">
        <f t="shared" si="82"/>
        <v>0</v>
      </c>
      <c r="CS141" s="1">
        <f t="shared" si="83"/>
        <v>0</v>
      </c>
      <c r="CT141" s="1">
        <f t="shared" si="84"/>
        <v>1.9E-2</v>
      </c>
      <c r="CU141" s="1">
        <f t="shared" si="85"/>
        <v>3.9E-2</v>
      </c>
      <c r="CV141" s="304">
        <f t="shared" si="86"/>
        <v>2302</v>
      </c>
      <c r="CW141" s="20" t="s">
        <v>122</v>
      </c>
      <c r="CX141" s="20" t="s">
        <v>122</v>
      </c>
      <c r="CY141" s="20" t="s">
        <v>122</v>
      </c>
      <c r="CZ141" s="20" t="s">
        <v>122</v>
      </c>
      <c r="DA141" s="20" t="s">
        <v>122</v>
      </c>
      <c r="DB141" s="503">
        <f t="shared" si="87"/>
        <v>0</v>
      </c>
      <c r="DC141" s="127">
        <v>0</v>
      </c>
      <c r="DD141" s="127">
        <v>0</v>
      </c>
      <c r="DE141" s="127">
        <v>0</v>
      </c>
      <c r="DF141" s="127">
        <v>0</v>
      </c>
      <c r="DG141" s="127">
        <v>0</v>
      </c>
      <c r="DH141" s="127">
        <v>0</v>
      </c>
      <c r="DI141" s="127">
        <v>0</v>
      </c>
      <c r="DJ141" s="127">
        <v>0</v>
      </c>
      <c r="DK141" s="127">
        <v>0</v>
      </c>
      <c r="DL141" s="127">
        <v>0</v>
      </c>
      <c r="DM141" s="304">
        <f>INDEX(Input!$1:$1048576,DM$93,$C141*2+6)</f>
        <v>21036.84210526316</v>
      </c>
      <c r="DN141" s="20">
        <v>0</v>
      </c>
      <c r="DO141" s="20">
        <v>0</v>
      </c>
      <c r="DP141" s="20">
        <v>0</v>
      </c>
      <c r="DQ141" s="20">
        <v>0</v>
      </c>
      <c r="DR141" s="20">
        <v>0</v>
      </c>
      <c r="DS141" s="20">
        <f>INDEX(Input!$1:$1048576,DS$93,$C141*2+6)</f>
        <v>0.6</v>
      </c>
      <c r="DT141" s="20">
        <f>INDEX(Input!$1:$1048576,DT$93,$C141*2+6)</f>
        <v>0.55000000000000004</v>
      </c>
      <c r="DU141" s="20">
        <f>INDEX(Input!$1:$1048576,DU$93,$C141*2+6)</f>
        <v>0.52</v>
      </c>
      <c r="DV141" s="20">
        <f>INDEX(Input!$1:$1048576,DV$93,$C141*2+6)</f>
        <v>0.5</v>
      </c>
      <c r="DW141" s="20">
        <f>INDEX(Input!$1:$1048576,DW$93,$C141*2+6)</f>
        <v>0.45</v>
      </c>
      <c r="DX141" s="20"/>
      <c r="DY141" s="7">
        <v>0.11372937594361415</v>
      </c>
      <c r="DZ141" s="7">
        <v>0</v>
      </c>
      <c r="EA141" s="7">
        <v>0.49858045852049071</v>
      </c>
      <c r="EB141" s="7">
        <v>0</v>
      </c>
      <c r="EC141" s="7">
        <v>0</v>
      </c>
      <c r="ED141" s="7">
        <v>0</v>
      </c>
      <c r="EE141" s="7">
        <v>0</v>
      </c>
      <c r="EF141" s="7">
        <v>0</v>
      </c>
      <c r="EG141" s="7">
        <v>0</v>
      </c>
      <c r="EH141" s="7">
        <v>1.8402200445098656E-2</v>
      </c>
      <c r="EI141" s="7">
        <v>5.3739557110571871E-2</v>
      </c>
      <c r="EJ141" s="7">
        <v>0.33946684904131985</v>
      </c>
      <c r="EK141" s="7">
        <v>0.4824771263993809</v>
      </c>
      <c r="EL141" s="7">
        <v>0.10591426700362869</v>
      </c>
      <c r="EM141" s="7">
        <v>3.5381461151183846E-2</v>
      </c>
      <c r="EN141" s="7">
        <v>5.2416424716025832E-2</v>
      </c>
      <c r="EO141" s="7">
        <v>0.78015670673154813</v>
      </c>
      <c r="EP141" s="7">
        <v>7.3001757795592495E-2</v>
      </c>
      <c r="EQ141" s="7">
        <v>5.5504556706157615E-2</v>
      </c>
      <c r="ER141" s="7">
        <v>3.8920554050675758E-2</v>
      </c>
      <c r="ES141" s="7">
        <v>0.3523087043847114</v>
      </c>
      <c r="ET141" s="7">
        <v>0.38769016553589514</v>
      </c>
      <c r="EU141" s="6">
        <v>2020</v>
      </c>
      <c r="EV141" s="6">
        <v>0</v>
      </c>
      <c r="EW141" s="6">
        <v>2020</v>
      </c>
      <c r="EX141" s="6">
        <v>0</v>
      </c>
      <c r="EY141" s="6">
        <v>2039.7221397149681</v>
      </c>
      <c r="EZ141" s="6">
        <v>2445</v>
      </c>
      <c r="FA141" s="6">
        <v>0</v>
      </c>
      <c r="FB141" s="6">
        <v>0</v>
      </c>
      <c r="FC141" s="6">
        <v>0</v>
      </c>
      <c r="FD141" s="6">
        <v>0</v>
      </c>
      <c r="FE141" s="6">
        <v>0</v>
      </c>
      <c r="FF141" s="6">
        <v>0</v>
      </c>
      <c r="FG141" s="6">
        <v>0</v>
      </c>
      <c r="FH141" s="6">
        <v>1171.2811379695615</v>
      </c>
      <c r="FI141" s="6">
        <v>1553.9796069512402</v>
      </c>
      <c r="FJ141" s="6">
        <v>2101.2110117447405</v>
      </c>
      <c r="FK141" s="6">
        <v>1772.7139978623231</v>
      </c>
      <c r="FL141" s="6">
        <v>907.07682140966335</v>
      </c>
      <c r="FM141" s="6">
        <v>1769.7221397149681</v>
      </c>
      <c r="FN141" s="6">
        <v>0</v>
      </c>
      <c r="FO141" s="6">
        <v>0</v>
      </c>
      <c r="FP141" s="6">
        <v>0</v>
      </c>
      <c r="FQ141" s="6">
        <v>0</v>
      </c>
      <c r="FR141" s="6">
        <v>0</v>
      </c>
      <c r="FS141" s="6">
        <v>0</v>
      </c>
      <c r="FT141" s="7">
        <v>0.61230983446410492</v>
      </c>
      <c r="FU141" s="7">
        <v>3.5381461151183846E-2</v>
      </c>
      <c r="FV141" s="7">
        <v>0.3523087043847114</v>
      </c>
      <c r="FW141" s="6">
        <v>2019.9999999999998</v>
      </c>
      <c r="FX141" s="6">
        <v>2039.7221397149681</v>
      </c>
      <c r="FY141" s="6">
        <v>2445</v>
      </c>
      <c r="FZ141" s="6">
        <v>1952.7147957719815</v>
      </c>
      <c r="GA141" s="6">
        <v>2170.4289974836461</v>
      </c>
      <c r="GB141" s="6">
        <v>17814.571002516353</v>
      </c>
      <c r="GC141" s="7">
        <v>1.0519917368675835E-2</v>
      </c>
      <c r="GD141" s="7">
        <v>1.1108720640181024E-2</v>
      </c>
      <c r="GE141" s="7"/>
      <c r="GF141" s="7"/>
      <c r="GG141" s="7">
        <v>5.5970332358162116E-2</v>
      </c>
      <c r="GH141" s="42">
        <v>5.1377773401262674</v>
      </c>
      <c r="GI141" s="6">
        <v>6060.2433426706721</v>
      </c>
      <c r="GJ141" s="14">
        <v>0.50394797582841711</v>
      </c>
      <c r="GK141" s="14">
        <v>0.50887573065309732</v>
      </c>
      <c r="GL141" s="14">
        <v>0.49605202417158273</v>
      </c>
      <c r="GM141" s="14">
        <v>0.49112426934690234</v>
      </c>
      <c r="GO141" s="5">
        <v>343.14810671672558</v>
      </c>
      <c r="GP141" s="5">
        <v>304.61036031982871</v>
      </c>
      <c r="GQ141" s="5">
        <v>535.04305713031317</v>
      </c>
      <c r="GR141" s="5">
        <v>410.15490233172511</v>
      </c>
      <c r="GS141" s="5">
        <v>339.42744393800166</v>
      </c>
      <c r="GT141" s="5">
        <v>293.4407446948278</v>
      </c>
      <c r="GU141" s="5">
        <v>258.04012322764959</v>
      </c>
      <c r="GV141" s="39" t="s">
        <v>392</v>
      </c>
      <c r="GW141" s="5">
        <v>492.125</v>
      </c>
      <c r="GX141" s="5">
        <v>369.09375</v>
      </c>
      <c r="GY141" s="5">
        <v>295.27499999999998</v>
      </c>
      <c r="GZ141" s="5">
        <v>260.54902799031458</v>
      </c>
      <c r="HA141" s="5">
        <v>241.34874471337258</v>
      </c>
      <c r="HB141" s="39">
        <v>280.39841310148159</v>
      </c>
      <c r="HC141" s="5">
        <v>180.31562499999998</v>
      </c>
      <c r="HD141" s="5">
        <v>166.79497441520465</v>
      </c>
      <c r="HE141" s="5">
        <v>173.1768092105263</v>
      </c>
      <c r="HF141" s="5">
        <v>164.36813048245611</v>
      </c>
      <c r="HG141" s="5">
        <v>163.76888157894734</v>
      </c>
      <c r="HH141" s="39">
        <v>167.71708563023563</v>
      </c>
      <c r="HI141" s="16"/>
      <c r="HJ141" s="19" t="str">
        <f t="shared" si="368"/>
        <v>On</v>
      </c>
      <c r="HK141" s="1" t="str">
        <f t="shared" si="108"/>
        <v>On</v>
      </c>
      <c r="HL141" s="16"/>
      <c r="HM141" s="639">
        <f t="shared" si="266"/>
        <v>5.7455619280273196E-3</v>
      </c>
      <c r="HN141" s="639">
        <f t="shared" si="267"/>
        <v>5.0031960498701745E-4</v>
      </c>
      <c r="HO141" s="639">
        <f t="shared" si="268"/>
        <v>3.9819433988714835E-3</v>
      </c>
      <c r="HP141" s="644">
        <f>(FT141*$GD141-HM141)/$JF141*INDEX(Input!$1:$1048576,$JG$93,$C141*2+6)</f>
        <v>46.066682895549512</v>
      </c>
      <c r="HQ141" s="644">
        <f>(FU141*$GD141-HN141)/$JF141*INDEX(Input!$1:$1048576,$JG$93,$C141*2+6)</f>
        <v>-4.6779710952682585</v>
      </c>
      <c r="HR141" s="644">
        <f>(FV141*$GD141-HO141)/$JF141*INDEX(Input!$1:$1048576,$JG$93,$C141*2+6)</f>
        <v>-2.9759027703928371</v>
      </c>
      <c r="HS141" s="644">
        <f t="shared" si="269"/>
        <v>-14.091822880641535</v>
      </c>
      <c r="HT141" s="644">
        <f t="shared" si="270"/>
        <v>-5.5562471289424353</v>
      </c>
      <c r="HU141" s="644">
        <f t="shared" si="271"/>
        <v>11.244302220175282</v>
      </c>
      <c r="HV141" s="648">
        <f t="shared" si="272"/>
        <v>0</v>
      </c>
      <c r="HW141" s="648">
        <f t="shared" si="273"/>
        <v>0</v>
      </c>
      <c r="HX141" s="648">
        <f t="shared" si="274"/>
        <v>0</v>
      </c>
      <c r="HY141" s="644">
        <f>INDEX(Input!$1:$1048576,HY$93,$C141*2+6)*INDEX(Input!$1:$1048576,$JG$93,$C141*2+6)</f>
        <v>110.00000000000001</v>
      </c>
      <c r="HZ141" s="644">
        <f>INDEX(Input!$1:$1048576,HZ$93,$C141*2+6)*INDEX(Input!$1:$1048576,$JG$93,$C141*2+6)</f>
        <v>157</v>
      </c>
      <c r="IA141" s="644">
        <f>INDEX(Input!$1:$1048576,IA$93,$C141*2+6)*INDEX(Input!$1:$1048576,$JG$93,$C141*2+6)</f>
        <v>179</v>
      </c>
      <c r="IB141" s="644">
        <f t="shared" si="249"/>
        <v>141.97486001490799</v>
      </c>
      <c r="IC141" s="644">
        <f t="shared" si="172"/>
        <v>146.76578177578932</v>
      </c>
      <c r="ID141" s="644">
        <f>IF(AND(INDEX(Input!$1:$1048576,IA$93,$C141*2+7)="TOS",Y141&lt;=INDEX(Y:Y,MATCH(C141*1000+2,A:A))),0,1)*MAX(IA141+HR141+HU141+HX141,0%)</f>
        <v>187.26839944978244</v>
      </c>
      <c r="IE141" s="128">
        <f t="shared" ref="IE141:IE142" si="369">IB141/SUM($IB141:$ID141)</f>
        <v>0.29826084740937159</v>
      </c>
      <c r="IF141" s="128">
        <f t="shared" si="174"/>
        <v>0.30832561791960428</v>
      </c>
      <c r="IG141" s="128">
        <f t="shared" si="175"/>
        <v>0.39341353467102413</v>
      </c>
      <c r="IH141" s="21"/>
      <c r="II141" s="19">
        <f t="shared" si="276"/>
        <v>1240</v>
      </c>
      <c r="IJ141" s="19">
        <f t="shared" si="277"/>
        <v>2009.7221397149679</v>
      </c>
      <c r="IK141" s="19">
        <f t="shared" si="278"/>
        <v>2070</v>
      </c>
      <c r="IL141" s="19">
        <f t="shared" si="176"/>
        <v>779.99999999999977</v>
      </c>
      <c r="IM141" s="19">
        <f t="shared" si="177"/>
        <v>30.000000000000227</v>
      </c>
      <c r="IN141" s="19">
        <f t="shared" si="178"/>
        <v>375</v>
      </c>
      <c r="IO141" s="39">
        <f t="shared" si="279"/>
        <v>0</v>
      </c>
      <c r="IP141" s="39">
        <f t="shared" si="280"/>
        <v>0</v>
      </c>
      <c r="IQ141" s="39">
        <f t="shared" si="281"/>
        <v>0</v>
      </c>
      <c r="IR141" s="39">
        <v>0</v>
      </c>
      <c r="IS141" s="39">
        <v>0</v>
      </c>
      <c r="IT141" s="39">
        <v>0</v>
      </c>
      <c r="IU141" s="39">
        <v>0</v>
      </c>
      <c r="IV141" s="39">
        <v>0</v>
      </c>
      <c r="IW141" s="39">
        <v>0</v>
      </c>
      <c r="IX141" s="39">
        <f>INDEX(Input!$1:$1048576,IX$93,$C141*2+6)+INDEX(Input!$1:$1048576,IX$94,$C141*2+6)</f>
        <v>1270</v>
      </c>
      <c r="IY141" s="39">
        <f>INDEX(Input!$1:$1048576,IY$93,$C141*2+6)+INDEX(Input!$1:$1048576,IY$94,$C141*2+6)</f>
        <v>2130.0624533823611</v>
      </c>
      <c r="IZ141" s="39">
        <f>INDEX(Input!$1:$1048576,IZ$93,$C141*2+6)+INDEX(Input!$1:$1048576,IZ$94,$C141*2+6)</f>
        <v>4373.7164157747848</v>
      </c>
      <c r="JA141" s="19">
        <f t="shared" si="179"/>
        <v>2050</v>
      </c>
      <c r="JB141" s="19">
        <f t="shared" si="180"/>
        <v>2160.0624533823611</v>
      </c>
      <c r="JC141" s="19">
        <f t="shared" si="181"/>
        <v>4748.7164157747848</v>
      </c>
      <c r="JD141" s="19">
        <f t="shared" si="182"/>
        <v>3145.6466381535392</v>
      </c>
      <c r="JE141" s="21"/>
      <c r="JF141" s="1">
        <f t="shared" si="282"/>
        <v>1.022782493188582E-2</v>
      </c>
      <c r="JG141" s="15">
        <f>INDEX(Input!$1:$1048576,JG$93,$C141*2+6)/(1+VLOOKUP(C141*1000+INDEX(Input!$1:$1048576,JG$93+1,$C141*2+6),$A:$KK,$JK$92,FALSE))</f>
        <v>446</v>
      </c>
      <c r="JH141" s="1">
        <f t="shared" si="251"/>
        <v>8.6127374506476284E-2</v>
      </c>
      <c r="JI141" s="1">
        <f t="shared" si="252"/>
        <v>-1.8842528675804236E-2</v>
      </c>
      <c r="JJ141" s="1">
        <f t="shared" si="253"/>
        <v>0</v>
      </c>
      <c r="JK141" s="1">
        <f t="shared" si="254"/>
        <v>6.7284845830672041E-2</v>
      </c>
      <c r="JL141" s="15">
        <f t="shared" si="184"/>
        <v>30.009041240479732</v>
      </c>
      <c r="JM141" s="15">
        <f t="shared" si="185"/>
        <v>476.00904124047975</v>
      </c>
      <c r="JN141" s="21"/>
      <c r="JO141" s="19">
        <f>INDEX(Input!$1:$1048576,JO$93,$C141*2+6)</f>
        <v>5995.5</v>
      </c>
      <c r="JP141" s="19">
        <f>INDEX(Input!$1:$1048576,JP$93,$C141*2+6)</f>
        <v>2818.4193802796353</v>
      </c>
      <c r="JQ141" s="39">
        <f t="shared" si="186"/>
        <v>2849.8533618464608</v>
      </c>
      <c r="JR141" s="39">
        <f t="shared" si="187"/>
        <v>327.22725787390391</v>
      </c>
      <c r="JS141" s="39">
        <f t="shared" si="188"/>
        <v>1.4973562403088045</v>
      </c>
      <c r="JT141" s="39">
        <f t="shared" si="189"/>
        <v>0.24034119670408707</v>
      </c>
      <c r="JU141" s="385">
        <f>(JQ141*JM141-INDEX(Input!$1:$1048576,Input!A$18,$C141*2+6)*JL141*INDEX(Input!$1:$1048576,Input!A$19,$C141*2+6))/1000000</f>
        <v>1.3565559664484916</v>
      </c>
      <c r="JV141" s="39">
        <f t="shared" si="192"/>
        <v>-6.0421989946791044E-2</v>
      </c>
      <c r="JW141" s="1">
        <f t="shared" si="190"/>
        <v>-4.2641446660540441E-2</v>
      </c>
      <c r="JX141" s="19">
        <f t="shared" si="191"/>
        <v>8008.9595258340532</v>
      </c>
      <c r="JZ141" s="341"/>
      <c r="KA141" s="342"/>
      <c r="KB141" s="469">
        <f t="shared" si="110"/>
        <v>2.9286733661474216</v>
      </c>
      <c r="KI141" s="473">
        <f t="shared" ref="KI141:KI142" si="370">$JM141*IE141-$JG141*HY141/SUM($HY141:$IA141)</f>
        <v>31.974860014907975</v>
      </c>
      <c r="KJ141" s="473">
        <f t="shared" ref="KJ141:KJ142" si="371">$JM141*IF141-$JG141*HZ141/SUM($HY141:$IA141)</f>
        <v>-10.234218224210679</v>
      </c>
      <c r="KK141" s="473">
        <f t="shared" si="257"/>
        <v>8.2683994497824358</v>
      </c>
      <c r="KN141" s="544">
        <f t="shared" si="258"/>
        <v>1002</v>
      </c>
      <c r="KO141" s="541">
        <f t="shared" si="285"/>
        <v>6.2910019781716953E-2</v>
      </c>
      <c r="KP141" s="546">
        <f t="shared" si="286"/>
        <v>365.3245080385974</v>
      </c>
      <c r="KQ141" s="546">
        <f t="shared" si="287"/>
        <v>306.33043813488757</v>
      </c>
      <c r="KR141" s="548">
        <f t="shared" si="288"/>
        <v>2.9525402301066812</v>
      </c>
      <c r="KS141" s="548">
        <f t="shared" si="289"/>
        <v>3.5211496239003552</v>
      </c>
      <c r="KT141" s="473">
        <f t="shared" si="112"/>
        <v>238.28695973331548</v>
      </c>
      <c r="KU141" s="663">
        <f t="shared" si="290"/>
        <v>6.3382049002787308</v>
      </c>
      <c r="KV141" s="117"/>
    </row>
    <row r="142" spans="1:308" s="26" customFormat="1" ht="15">
      <c r="A142" s="561">
        <f t="shared" si="168"/>
        <v>1042</v>
      </c>
      <c r="B142" s="561">
        <f t="shared" si="104"/>
        <v>42</v>
      </c>
      <c r="C142" s="561">
        <f t="shared" si="105"/>
        <v>1</v>
      </c>
      <c r="D142" s="561" t="str">
        <f t="shared" si="294"/>
        <v xml:space="preserve">1000 CC, 360 Lease, </v>
      </c>
      <c r="E142" s="475">
        <f>INDEX(Input!$1:$1048576,E$93,$C142*2+MIN($B142,2)+5)
+INDEX(Scenarios!E$121:E$200,MATCH($B142,Scenarios!$B$121:$B$200,0))</f>
        <v>2229</v>
      </c>
      <c r="F142" s="475">
        <f>INDEX(Input!$1:$1048576,F$93,$C142*2+MIN($B142,2)+5)
+INDEX(Scenarios!F$121:F$200,MATCH($B142,Scenarios!$B$121:$B$200,0))</f>
        <v>0</v>
      </c>
      <c r="G142" s="475">
        <f>INDEX(Input!$1:$1048576,G$93,$C142*2+MIN($B142,2)+5)
+INDEX(Scenarios!G$121:G$200,MATCH($B142,Scenarios!$B$121:$B$200,0))</f>
        <v>0</v>
      </c>
      <c r="H142" s="475">
        <f>INDEX(Input!$1:$1048576,H$93,$C142*2+MIN($B142,2)+5)
+INDEX(Scenarios!H$121:H$200,MATCH($B142,Scenarios!$B$121:$B$200,0))</f>
        <v>0</v>
      </c>
      <c r="I142" s="476">
        <f>INDEX(Input!$1:$1048576,I$93,$C142*2+MIN($B142,2)+5)</f>
        <v>0.7</v>
      </c>
      <c r="J142" s="476" t="str">
        <f>INDEX(Input!$1:$1048576,J$93,$C142*2+MIN($B142,2)+5)</f>
        <v>Market</v>
      </c>
      <c r="K142" s="476" t="str">
        <f>INDEX(Input!$1:$1048576,K$93,$C142*2+MIN($B142,2)+5)</f>
        <v>Market</v>
      </c>
      <c r="L142" s="476" t="str">
        <f>INDEX(Input!$1:$1048576,L$93,$C142*2+MIN($B142,2)+5)</f>
        <v>Market</v>
      </c>
      <c r="M142" s="476" t="str">
        <f>INDEX(Input!$1:$1048576,M$93,$C142*2+MIN($B142,2)+5)</f>
        <v>Market</v>
      </c>
      <c r="N142" s="476" t="str">
        <f>INDEX(Input!$1:$1048576,N$93,$C142*2+MIN($B142,2)+5)</f>
        <v>Market</v>
      </c>
      <c r="O142" s="476" t="str">
        <f>INDEX(Input!$1:$1048576,O$93,$C142*2+MIN($B142,2)+5)</f>
        <v>Market</v>
      </c>
      <c r="P142" s="476" t="str">
        <f>INDEX(Input!$1:$1048576,P$93,$C142*2+MIN($B142,2)+5)</f>
        <v>N</v>
      </c>
      <c r="Q142" s="477">
        <f>INDEX(Input!$1:$1048576,Q$93,$C142*2+MIN($B142,2)+5)
+INDEX(Scenarios!Q$121:Q$200,MATCH($B142,Scenarios!$B$121:$B$200,0))</f>
        <v>0</v>
      </c>
      <c r="R142" s="478">
        <f>IFERROR(MAX(0,INDEX(Input!$1:$1048576,R$93,$C142*2+MIN($B142,2)+5)
+INDEX(Scenarios!R$121:R$200,MATCH($B142,Scenarios!$B$121:$B$200,0)),),"Market")</f>
        <v>0</v>
      </c>
      <c r="S142" s="478">
        <f>IFERROR(MAX(0,INDEX(Input!$1:$1048576,S$93,$C142*2+MIN($B142,2)+5)
+INDEX(Scenarios!S$121:S$200,MATCH($B142,Scenarios!$B$121:$B$200,0)),),"Market")</f>
        <v>0</v>
      </c>
      <c r="T142" s="478">
        <f>IFERROR(MAX(0,INDEX(Input!$1:$1048576,T$93,$C142*2+MIN($B142,2)+5)
+INDEX(Scenarios!T$121:T$200,MATCH($B142,Scenarios!$B$121:$B$200,0)),),"Market")</f>
        <v>0</v>
      </c>
      <c r="U142" s="478">
        <f>IFERROR(MAX(0,INDEX(Input!$1:$1048576,U$93,$C142*2+MIN($B142,2)+5)
+INDEX(Scenarios!U$121:U$200,MATCH($B142,Scenarios!$B$121:$B$200,0)),),"Market")</f>
        <v>0</v>
      </c>
      <c r="V142" s="478">
        <f>IFERROR(MAX(0,INDEX(Input!$1:$1048576,V$93,$C142*2+MIN($B142,2)+5)
+INDEX(Scenarios!V$121:V$200,MATCH($B142,Scenarios!$B$121:$B$200,0)),),"Market")</f>
        <v>1.9E-2</v>
      </c>
      <c r="W142" s="885">
        <f>IFERROR(MAX(0,INDEX(Input!$1:$1048576,W$93,$C142*2+MIN($B142,2)+5)-0%,),"Market")</f>
        <v>3.9E-2</v>
      </c>
      <c r="X142" s="476" t="str">
        <f>INDEX(Input!$1:$1048576,X$93,$C142*2+MIN($B142,2)+5)</f>
        <v>Y</v>
      </c>
      <c r="Y142" s="475">
        <f>INDEX(Input!$1:$1048576,Y$93,$C142*2+MIN($B142,2)+5)
++INDEX(Scenarios!Y$121:Y$200,MATCH($B142,Scenarios!$B$121:$B$200,0))</f>
        <v>2302</v>
      </c>
      <c r="Z142" s="477">
        <f>INDEX(Input!$1:$1048576,Z$93,$C142*2+MIN($B142,2)+5)
+INDEX(Scenarios!Z$121:Z$200,MATCH($B142,Scenarios!$B$121:$B$200,0))</f>
        <v>0</v>
      </c>
      <c r="AA142" s="475">
        <f>INDEX(Input!$1:$1048576,AA$93,$C142*2+MIN($B142,2)+5)
+INDEX(Scenarios!AA$121:AA$200,MATCH($B142,Scenarios!$B$121:$B$200,0))</f>
        <v>0</v>
      </c>
      <c r="AB142" s="476">
        <f>INDEX(Input!$1:$1048576,AB$93,$C142*2+MIN($B142,2)+5)</f>
        <v>0.27</v>
      </c>
      <c r="AC142" s="475">
        <f>INDEX(Input!$1:$1048576,AC$93,$C142*2+MIN($B142,2)+5)
+INDEX(Scenarios!AC$121:AC$200,MATCH($B142,Scenarios!$B$121:$B$200,0))</f>
        <v>0</v>
      </c>
      <c r="AD142" s="476">
        <f>INDEX(Input!$1:$1048576,AD$93,$C142*2+MIN($B142,2)+5)</f>
        <v>0.27</v>
      </c>
      <c r="AE142" s="475">
        <f>INDEX(Input!$1:$1048576,AE$93,$C142*2+MIN($B142,2)+5)
+INDEX(Scenarios!AE$121:AE$200,MATCH($B142,Scenarios!$B$121:$B$200,0))</f>
        <v>0</v>
      </c>
      <c r="AF142" s="476">
        <f>INDEX(Input!$1:$1048576,AF$93,$C142*2+MIN($B142,2)+5)</f>
        <v>0.38</v>
      </c>
      <c r="AG142" s="475">
        <f>INDEX(Input!$1:$1048576,AG$93,$C142*2+MIN($B142,2)+5)
+INDEX(Scenarios!AG$121:AG$200,MATCH($B142,Scenarios!$B$121:$B$200,0))</f>
        <v>0</v>
      </c>
      <c r="AH142" s="476">
        <f>INDEX(Input!$1:$1048576,AH$93,$C142*2+MIN($B142,2)+5)</f>
        <v>0</v>
      </c>
      <c r="AI142" s="475">
        <f>INDEX(Input!$1:$1048576,AI$93,$C142*2+MIN($B142,2)+5)
+INDEX(Scenarios!AI$121:AI$200,MATCH($B142,Scenarios!$B$121:$B$200,0))</f>
        <v>0</v>
      </c>
      <c r="AJ142" s="476">
        <f>INDEX(Input!$1:$1048576,AJ$93,$C142*2+MIN($B142,2)+5)</f>
        <v>0.27</v>
      </c>
      <c r="AK142" s="150">
        <f>ROUND(INDEX(Input!$1:$1048576,AK$93,$C141*2+MIN($B142,1)+5)+(Y142-VLOOKUP($C142*1000+1,$A:$HH,Y$92,FALSE)),0)</f>
        <v>4117</v>
      </c>
      <c r="AL142" s="150">
        <f>ROUND(INDEX(Input!$1:$1048576,AL$93,$C141*2+MIN($B142,1)+5)-(Y142-VLOOKUP($C142*1000+1,$A:$HH,Y$92,FALSE))/36,0)</f>
        <v>4103</v>
      </c>
      <c r="AM142" s="32" t="str">
        <f t="shared" si="169"/>
        <v>std/std/std/std</v>
      </c>
      <c r="AN142" s="32" t="str">
        <f t="shared" si="170"/>
        <v>$0 + 0/0/0/1.9/3.9</v>
      </c>
      <c r="AO142" s="32" t="str">
        <f t="shared" si="171"/>
        <v>0/0/0/1.9/3.9</v>
      </c>
      <c r="AP142" s="32" t="str">
        <f t="shared" si="73"/>
        <v>0/0.9/1.9/3.9</v>
      </c>
      <c r="AQ142" s="536">
        <f t="shared" si="39"/>
        <v>0.33105931424473056</v>
      </c>
      <c r="AR142" s="32"/>
      <c r="AS142" s="302"/>
      <c r="AT142" s="3">
        <f t="shared" si="106"/>
        <v>42</v>
      </c>
      <c r="AU142" s="41" t="s">
        <v>121</v>
      </c>
      <c r="AV142" s="41" t="s">
        <v>116</v>
      </c>
      <c r="AW142" s="41" t="str">
        <f>INDEX(Input!$1:$1048576,AW$93,$C142*2+6)</f>
        <v>Kia</v>
      </c>
      <c r="AX142" s="41" t="str">
        <f>INDEX(Input!$1:$1048576,AX$93,$C142*2+6)</f>
        <v>Kia-LR - L1</v>
      </c>
      <c r="AY142" s="41" t="str">
        <f>IF(LEN(D142)=0,"",INDEX(Input!$1:$1048576,AY$93,$C142*2+6))</f>
        <v>Compact SUV (52)</v>
      </c>
      <c r="AZ142" s="41" t="str">
        <f>INDEX(Input!$1:$1048576,AZ$93,$C142*2+6)</f>
        <v>Kia Soul</v>
      </c>
      <c r="BA142" s="3">
        <f>INDEX(Input!$1:$1048576,BA$93,$C142*2+6)</f>
        <v>2020</v>
      </c>
      <c r="BB142" s="128">
        <f>INDEX(Input!$1:$1048576,BB$93,$C142*2+6)</f>
        <v>1</v>
      </c>
      <c r="BC142" s="128">
        <f>INDEX(Input!$1:$1048576,BC$93,$C142*2+6)</f>
        <v>0.7</v>
      </c>
      <c r="BD142" s="1">
        <f>INDEX(Input!$1:$1048576,BD$93,$C142*2+6)</f>
        <v>4.4999999999999998E-2</v>
      </c>
      <c r="BE142" s="1">
        <f>INDEX(Input!$1:$1048576,BE$93,$C142*2+6)</f>
        <v>4.4999999999999998E-2</v>
      </c>
      <c r="BF142" s="1">
        <f>INDEX(Input!$1:$1048576,BF$93,$C142*2+6)</f>
        <v>0.05</v>
      </c>
      <c r="BG142" s="1">
        <f>INDEX(Input!$1:$1048576,BG$93,$C142*2+6)</f>
        <v>5.45E-2</v>
      </c>
      <c r="BH142" s="1">
        <f>INDEX(Input!$1:$1048576,BH$93,$C142*2+6)</f>
        <v>5.45E-2</v>
      </c>
      <c r="BI142" s="1">
        <f>INDEX(Input!$1:$1048576,BI$93,$C142*2+6)</f>
        <v>0.05</v>
      </c>
      <c r="BJ142" s="1">
        <f>INDEX(Input!$1:$1048576,BJ$93,$C142*2+6)</f>
        <v>0.05</v>
      </c>
      <c r="BK142" s="1">
        <f>INDEX(Input!$1:$1048576,BK$93,$C142*2+6)</f>
        <v>0.05</v>
      </c>
      <c r="BL142" s="1">
        <f>INDEX(Input!$1:$1048576,BL$93,$C142*2+6)</f>
        <v>5.5E-2</v>
      </c>
      <c r="BM142" s="1">
        <f>INDEX(Input!$1:$1048576,BM$93,$C142*2+6)</f>
        <v>0.06</v>
      </c>
      <c r="BN142" s="1">
        <f>INDEX(Input!$1:$1048576,BN$93,$C142*2+6)</f>
        <v>4.4999999999999998E-2</v>
      </c>
      <c r="BO142" s="1">
        <f>INDEX(Input!$1:$1048576,BO$93,$C142*2+6)</f>
        <v>4.4999999999999998E-2</v>
      </c>
      <c r="BP142" s="1">
        <f>INDEX(Input!$1:$1048576,BP$93,$C142*2+6)</f>
        <v>0.05</v>
      </c>
      <c r="BQ142" s="1">
        <f>INDEX(Input!$1:$1048576,BQ$93,$C142*2+6)</f>
        <v>5.45E-2</v>
      </c>
      <c r="BR142" s="1">
        <f>INDEX(Input!$1:$1048576,BR$93,$C142*2+6)</f>
        <v>5.45E-2</v>
      </c>
      <c r="BS142" s="1">
        <f>INDEX(Input!$1:$1048576,BS$93,$C142*2+6)</f>
        <v>0.05</v>
      </c>
      <c r="BT142" s="1">
        <f>INDEX(Input!$1:$1048576,BT$93,$C142*2+6)</f>
        <v>0.05</v>
      </c>
      <c r="BU142" s="1">
        <f>INDEX(Input!$1:$1048576,BU$93,$C142*2+6)</f>
        <v>0.05</v>
      </c>
      <c r="BV142" s="1">
        <f>INDEX(Input!$1:$1048576,BV$93,$C142*2+6)</f>
        <v>5.5E-2</v>
      </c>
      <c r="BW142" s="1">
        <f>INDEX(Input!$1:$1048576,BW$93,$C142*2+6)</f>
        <v>0.06</v>
      </c>
      <c r="BX142" s="127">
        <f>INDEX(Input!$1:$1048576,BX$93,$C142*2+6)</f>
        <v>19985</v>
      </c>
      <c r="BY142" s="20">
        <f>INDEX(Input!$1:$1048576,BY$93,$C142*2+6)</f>
        <v>0.1</v>
      </c>
      <c r="BZ142" s="20">
        <f>INDEX(Input!$1:$1048576,BZ$93,$C142*2+6)</f>
        <v>0.1</v>
      </c>
      <c r="CA142" s="20">
        <f>INDEX(Input!$1:$1048576,CA$93,$C142*2+6)</f>
        <v>0.1</v>
      </c>
      <c r="CB142" s="20">
        <f>INDEX(Input!$1:$1048576,CB$93,$C142*2+6)</f>
        <v>0.1</v>
      </c>
      <c r="CC142" s="20">
        <f>INDEX(Input!$1:$1048576,CC$93,$C142*2+6)</f>
        <v>0.1</v>
      </c>
      <c r="CD142" s="384">
        <f>INDEX(Input!$1:$1048576,CD$93,$C142*2+6)</f>
        <v>0.1</v>
      </c>
      <c r="CE142" s="384">
        <f>INDEX(Input!$1:$1048576,CE$93,$C142*2+6)</f>
        <v>0.1</v>
      </c>
      <c r="CF142" s="384">
        <f>INDEX(Input!$1:$1048576,CF$93,$C142*2+6)</f>
        <v>0.1</v>
      </c>
      <c r="CG142" s="384">
        <f>INDEX(Input!$1:$1048576,CG$93,$C142*2+6)</f>
        <v>0.1</v>
      </c>
      <c r="CH142" s="384">
        <f>INDEX(Input!$1:$1048576,CH$93,$C142*2+6)</f>
        <v>0.1</v>
      </c>
      <c r="CI142" s="304">
        <f t="shared" si="74"/>
        <v>2229</v>
      </c>
      <c r="CJ142" s="16" t="str">
        <f>INDEX(Input!$1:$1048576,CJ$93,$C142*2+6)</f>
        <v>N</v>
      </c>
      <c r="CK142" s="1" t="str">
        <f t="shared" si="75"/>
        <v>Market</v>
      </c>
      <c r="CL142" s="1" t="str">
        <f t="shared" si="76"/>
        <v>Market</v>
      </c>
      <c r="CM142" s="1" t="str">
        <f t="shared" si="77"/>
        <v>Market</v>
      </c>
      <c r="CN142" s="1" t="str">
        <f t="shared" si="78"/>
        <v>Market</v>
      </c>
      <c r="CO142" s="1" t="str">
        <f t="shared" si="79"/>
        <v>Market</v>
      </c>
      <c r="CP142" s="304">
        <f t="shared" si="80"/>
        <v>0</v>
      </c>
      <c r="CQ142" s="1">
        <f t="shared" si="81"/>
        <v>0</v>
      </c>
      <c r="CR142" s="1">
        <f t="shared" si="82"/>
        <v>0</v>
      </c>
      <c r="CS142" s="1">
        <f t="shared" si="83"/>
        <v>0</v>
      </c>
      <c r="CT142" s="1">
        <f t="shared" si="84"/>
        <v>1.9E-2</v>
      </c>
      <c r="CU142" s="1">
        <f t="shared" si="85"/>
        <v>3.9E-2</v>
      </c>
      <c r="CV142" s="304">
        <f t="shared" si="86"/>
        <v>2302</v>
      </c>
      <c r="CW142" s="20" t="s">
        <v>122</v>
      </c>
      <c r="CX142" s="20" t="s">
        <v>122</v>
      </c>
      <c r="CY142" s="20" t="s">
        <v>122</v>
      </c>
      <c r="CZ142" s="20" t="s">
        <v>122</v>
      </c>
      <c r="DA142" s="20" t="s">
        <v>122</v>
      </c>
      <c r="DB142" s="503">
        <f t="shared" si="87"/>
        <v>0</v>
      </c>
      <c r="DC142" s="127">
        <v>0</v>
      </c>
      <c r="DD142" s="127">
        <v>0</v>
      </c>
      <c r="DE142" s="127">
        <v>0</v>
      </c>
      <c r="DF142" s="127">
        <v>0</v>
      </c>
      <c r="DG142" s="127">
        <v>0</v>
      </c>
      <c r="DH142" s="127">
        <v>0</v>
      </c>
      <c r="DI142" s="127">
        <v>0</v>
      </c>
      <c r="DJ142" s="127">
        <v>0</v>
      </c>
      <c r="DK142" s="127">
        <v>0</v>
      </c>
      <c r="DL142" s="127">
        <v>0</v>
      </c>
      <c r="DM142" s="304">
        <f>INDEX(Input!$1:$1048576,DM$93,$C142*2+6)</f>
        <v>21036.84210526316</v>
      </c>
      <c r="DN142" s="20">
        <v>0</v>
      </c>
      <c r="DO142" s="20">
        <v>0</v>
      </c>
      <c r="DP142" s="20">
        <v>0</v>
      </c>
      <c r="DQ142" s="20">
        <v>0</v>
      </c>
      <c r="DR142" s="20">
        <v>0</v>
      </c>
      <c r="DS142" s="20">
        <f>INDEX(Input!$1:$1048576,DS$93,$C142*2+6)</f>
        <v>0.6</v>
      </c>
      <c r="DT142" s="20">
        <f>INDEX(Input!$1:$1048576,DT$93,$C142*2+6)</f>
        <v>0.55000000000000004</v>
      </c>
      <c r="DU142" s="20">
        <f>INDEX(Input!$1:$1048576,DU$93,$C142*2+6)</f>
        <v>0.52</v>
      </c>
      <c r="DV142" s="20">
        <f>INDEX(Input!$1:$1048576,DV$93,$C142*2+6)</f>
        <v>0.5</v>
      </c>
      <c r="DW142" s="20">
        <f>INDEX(Input!$1:$1048576,DW$93,$C142*2+6)</f>
        <v>0.45</v>
      </c>
      <c r="DX142" s="20"/>
      <c r="DY142" s="7">
        <v>0.12250494496103675</v>
      </c>
      <c r="DZ142" s="7">
        <v>0</v>
      </c>
      <c r="EA142" s="7">
        <v>0.52166798940258241</v>
      </c>
      <c r="EB142" s="7">
        <v>0</v>
      </c>
      <c r="EC142" s="7">
        <v>0</v>
      </c>
      <c r="ED142" s="7">
        <v>0</v>
      </c>
      <c r="EE142" s="7">
        <v>0</v>
      </c>
      <c r="EF142" s="7">
        <v>0</v>
      </c>
      <c r="EG142" s="7">
        <v>0</v>
      </c>
      <c r="EH142" s="7">
        <v>1.8402200445098656E-2</v>
      </c>
      <c r="EI142" s="7">
        <v>5.3739557110571899E-2</v>
      </c>
      <c r="EJ142" s="7">
        <v>0.33946684904132002</v>
      </c>
      <c r="EK142" s="7">
        <v>0.48247712639938112</v>
      </c>
      <c r="EL142" s="7">
        <v>0.10591426700362873</v>
      </c>
      <c r="EM142" s="7">
        <v>3.24735642493044E-2</v>
      </c>
      <c r="EN142" s="7">
        <v>5.2416424716025839E-2</v>
      </c>
      <c r="EO142" s="7">
        <v>0.78015670673154836</v>
      </c>
      <c r="EP142" s="7">
        <v>7.3001757795592467E-2</v>
      </c>
      <c r="EQ142" s="7">
        <v>5.5504556706157622E-2</v>
      </c>
      <c r="ER142" s="7">
        <v>3.8920554050675758E-2</v>
      </c>
      <c r="ES142" s="7">
        <v>0.32335350138707653</v>
      </c>
      <c r="ET142" s="7">
        <v>0.35582706563638089</v>
      </c>
      <c r="EU142" s="6">
        <v>2270</v>
      </c>
      <c r="EV142" s="6">
        <v>0</v>
      </c>
      <c r="EW142" s="6">
        <v>2270</v>
      </c>
      <c r="EX142" s="6">
        <v>0</v>
      </c>
      <c r="EY142" s="6">
        <v>2039.7221397149688</v>
      </c>
      <c r="EZ142" s="6">
        <v>2445</v>
      </c>
      <c r="FA142" s="6">
        <v>0</v>
      </c>
      <c r="FB142" s="6">
        <v>0</v>
      </c>
      <c r="FC142" s="6">
        <v>0</v>
      </c>
      <c r="FD142" s="6">
        <v>0</v>
      </c>
      <c r="FE142" s="6">
        <v>0</v>
      </c>
      <c r="FF142" s="6">
        <v>0</v>
      </c>
      <c r="FG142" s="6">
        <v>0</v>
      </c>
      <c r="FH142" s="6">
        <v>1171.281137969562</v>
      </c>
      <c r="FI142" s="6">
        <v>1553.9796069512399</v>
      </c>
      <c r="FJ142" s="6">
        <v>2101.211011744741</v>
      </c>
      <c r="FK142" s="6">
        <v>1772.7139978623229</v>
      </c>
      <c r="FL142" s="6">
        <v>907.07682140966324</v>
      </c>
      <c r="FM142" s="6">
        <v>1769.7221397149688</v>
      </c>
      <c r="FN142" s="6">
        <v>0</v>
      </c>
      <c r="FO142" s="6">
        <v>0</v>
      </c>
      <c r="FP142" s="6">
        <v>0</v>
      </c>
      <c r="FQ142" s="6">
        <v>0</v>
      </c>
      <c r="FR142" s="6">
        <v>0</v>
      </c>
      <c r="FS142" s="6">
        <v>0</v>
      </c>
      <c r="FT142" s="7">
        <v>0.64417293436361911</v>
      </c>
      <c r="FU142" s="7">
        <v>3.24735642493044E-2</v>
      </c>
      <c r="FV142" s="7">
        <v>0.32335350138707653</v>
      </c>
      <c r="FW142" s="6">
        <v>2270.0000000000005</v>
      </c>
      <c r="FX142" s="6">
        <v>2039.7221397149688</v>
      </c>
      <c r="FY142" s="6">
        <v>2445</v>
      </c>
      <c r="FZ142" s="6">
        <v>1952.7147957719815</v>
      </c>
      <c r="GA142" s="6">
        <v>2319.1089198515801</v>
      </c>
      <c r="GB142" s="6">
        <v>17665.89108014842</v>
      </c>
      <c r="GC142" s="7">
        <v>1.0519917368675835E-2</v>
      </c>
      <c r="GD142" s="7">
        <v>1.1342687529395407E-2</v>
      </c>
      <c r="GE142" s="7"/>
      <c r="GF142" s="7"/>
      <c r="GG142" s="7">
        <v>7.8210705643891917E-2</v>
      </c>
      <c r="GH142" s="42">
        <v>4.2660098772588704</v>
      </c>
      <c r="GI142" s="6">
        <v>7003.8144350768234</v>
      </c>
      <c r="GJ142" s="14">
        <v>0.50394797582841722</v>
      </c>
      <c r="GK142" s="14">
        <v>0.50887573065309732</v>
      </c>
      <c r="GL142" s="14">
        <v>0.49605202417158278</v>
      </c>
      <c r="GM142" s="14">
        <v>0.4911242693469024</v>
      </c>
      <c r="GO142" s="5">
        <v>343.14810671672558</v>
      </c>
      <c r="GP142" s="5">
        <v>299.84083725090579</v>
      </c>
      <c r="GQ142" s="5">
        <v>535.04305713031317</v>
      </c>
      <c r="GR142" s="5">
        <v>410.15490233172511</v>
      </c>
      <c r="GS142" s="5">
        <v>339.42744393800166</v>
      </c>
      <c r="GT142" s="5">
        <v>293.4407446948278</v>
      </c>
      <c r="GU142" s="5">
        <v>258.04012322764959</v>
      </c>
      <c r="GV142" s="39" t="s">
        <v>392</v>
      </c>
      <c r="GW142" s="5">
        <v>492.125</v>
      </c>
      <c r="GX142" s="5">
        <v>369.09375</v>
      </c>
      <c r="GY142" s="5">
        <v>295.27499999999998</v>
      </c>
      <c r="GZ142" s="5">
        <v>260.54902799031458</v>
      </c>
      <c r="HA142" s="5">
        <v>241.34874471337258</v>
      </c>
      <c r="HB142" s="39">
        <v>280.39841310148176</v>
      </c>
      <c r="HC142" s="5">
        <v>180.31562499999998</v>
      </c>
      <c r="HD142" s="5">
        <v>166.79497441520465</v>
      </c>
      <c r="HE142" s="5">
        <v>173.1768092105263</v>
      </c>
      <c r="HF142" s="5">
        <v>164.36813048245611</v>
      </c>
      <c r="HG142" s="5">
        <v>163.76888157894734</v>
      </c>
      <c r="HH142" s="39">
        <v>167.71708563023566</v>
      </c>
      <c r="HI142" s="16"/>
      <c r="HJ142" s="19" t="str">
        <f t="shared" si="368"/>
        <v>On</v>
      </c>
      <c r="HK142" s="1" t="str">
        <f t="shared" si="108"/>
        <v>On</v>
      </c>
      <c r="HL142" s="16"/>
      <c r="HM142" s="639">
        <f t="shared" si="266"/>
        <v>5.7455619280273196E-3</v>
      </c>
      <c r="HN142" s="639">
        <f t="shared" si="267"/>
        <v>5.0031960498701745E-4</v>
      </c>
      <c r="HO142" s="639">
        <f t="shared" si="268"/>
        <v>3.9819433988714835E-3</v>
      </c>
      <c r="HP142" s="644">
        <f>(FT142*$GD142-HM142)/$JF142*INDEX(Input!$1:$1048576,$JG$93,$C142*2+6)</f>
        <v>68.073741457269961</v>
      </c>
      <c r="HQ142" s="644">
        <f>(FU142*$GD142-HN142)/$JF142*INDEX(Input!$1:$1048576,$JG$93,$C142*2+6)</f>
        <v>-5.7552825429342072</v>
      </c>
      <c r="HR142" s="644">
        <f>(FV142*$GD142-HO142)/$JF142*INDEX(Input!$1:$1048576,$JG$93,$C142*2+6)</f>
        <v>-13.703164675270616</v>
      </c>
      <c r="HS142" s="644">
        <f t="shared" si="269"/>
        <v>-18.60203449815598</v>
      </c>
      <c r="HT142" s="644">
        <f t="shared" si="270"/>
        <v>-7.5637274258316376</v>
      </c>
      <c r="HU142" s="644">
        <f t="shared" si="271"/>
        <v>13.2517825170645</v>
      </c>
      <c r="HV142" s="648">
        <f t="shared" si="272"/>
        <v>0</v>
      </c>
      <c r="HW142" s="648">
        <f t="shared" si="273"/>
        <v>0</v>
      </c>
      <c r="HX142" s="648">
        <f t="shared" si="274"/>
        <v>0</v>
      </c>
      <c r="HY142" s="644">
        <f>INDEX(Input!$1:$1048576,HY$93,$C142*2+6)*INDEX(Input!$1:$1048576,$JG$93,$C142*2+6)</f>
        <v>110.00000000000001</v>
      </c>
      <c r="HZ142" s="644">
        <f>INDEX(Input!$1:$1048576,HZ$93,$C142*2+6)*INDEX(Input!$1:$1048576,$JG$93,$C142*2+6)</f>
        <v>157</v>
      </c>
      <c r="IA142" s="644">
        <f>INDEX(Input!$1:$1048576,IA$93,$C142*2+6)*INDEX(Input!$1:$1048576,$JG$93,$C142*2+6)</f>
        <v>179</v>
      </c>
      <c r="IB142" s="644">
        <f t="shared" si="249"/>
        <v>159.47170695911399</v>
      </c>
      <c r="IC142" s="644">
        <f t="shared" si="172"/>
        <v>143.68099003123416</v>
      </c>
      <c r="ID142" s="644">
        <f>IF(AND(INDEX(Input!$1:$1048576,IA$93,$C142*2+7)="TOS",Y142&lt;=INDEX(Y:Y,MATCH(C142*1000+2,A:A))),0,1)*MAX(IA142+HR142+HU142+HX142,0%)</f>
        <v>178.54861784179388</v>
      </c>
      <c r="IE142" s="128">
        <f t="shared" si="369"/>
        <v>0.33105931424473056</v>
      </c>
      <c r="IF142" s="128">
        <f t="shared" si="174"/>
        <v>0.2982781769680295</v>
      </c>
      <c r="IG142" s="128">
        <f t="shared" si="175"/>
        <v>0.37066250878723994</v>
      </c>
      <c r="IH142" s="21"/>
      <c r="II142" s="19">
        <f t="shared" si="276"/>
        <v>1240</v>
      </c>
      <c r="IJ142" s="19">
        <f t="shared" si="277"/>
        <v>2009.7221397149679</v>
      </c>
      <c r="IK142" s="19">
        <f t="shared" si="278"/>
        <v>2070</v>
      </c>
      <c r="IL142" s="19">
        <f t="shared" si="176"/>
        <v>1030.0000000000005</v>
      </c>
      <c r="IM142" s="19">
        <f t="shared" si="177"/>
        <v>30.000000000000909</v>
      </c>
      <c r="IN142" s="19">
        <f t="shared" si="178"/>
        <v>375</v>
      </c>
      <c r="IO142" s="39">
        <f t="shared" si="279"/>
        <v>0</v>
      </c>
      <c r="IP142" s="39">
        <f t="shared" si="280"/>
        <v>0</v>
      </c>
      <c r="IQ142" s="39">
        <f t="shared" si="281"/>
        <v>0</v>
      </c>
      <c r="IR142" s="39">
        <v>0</v>
      </c>
      <c r="IS142" s="39">
        <v>0</v>
      </c>
      <c r="IT142" s="39">
        <v>0</v>
      </c>
      <c r="IU142" s="39">
        <v>0</v>
      </c>
      <c r="IV142" s="39">
        <v>0</v>
      </c>
      <c r="IW142" s="39">
        <v>0</v>
      </c>
      <c r="IX142" s="39">
        <f>INDEX(Input!$1:$1048576,IX$93,$C142*2+6)+INDEX(Input!$1:$1048576,IX$94,$C142*2+6)</f>
        <v>1270</v>
      </c>
      <c r="IY142" s="39">
        <f>INDEX(Input!$1:$1048576,IY$93,$C142*2+6)+INDEX(Input!$1:$1048576,IY$94,$C142*2+6)</f>
        <v>2130.0624533823611</v>
      </c>
      <c r="IZ142" s="39">
        <f>INDEX(Input!$1:$1048576,IZ$93,$C142*2+6)+INDEX(Input!$1:$1048576,IZ$94,$C142*2+6)</f>
        <v>4373.7164157747848</v>
      </c>
      <c r="JA142" s="19">
        <f t="shared" si="179"/>
        <v>2300.0000000000005</v>
      </c>
      <c r="JB142" s="19">
        <f t="shared" si="180"/>
        <v>2160.062453382362</v>
      </c>
      <c r="JC142" s="19">
        <f t="shared" si="181"/>
        <v>4748.7164157747848</v>
      </c>
      <c r="JD142" s="19">
        <f t="shared" si="182"/>
        <v>3165.9070536850923</v>
      </c>
      <c r="JE142" s="21"/>
      <c r="JF142" s="1">
        <f t="shared" si="282"/>
        <v>1.022782493188582E-2</v>
      </c>
      <c r="JG142" s="15">
        <f>INDEX(Input!$1:$1048576,JG$93,$C142*2+6)/(1+VLOOKUP(C142*1000+INDEX(Input!$1:$1048576,JG$93+1,$C142*2+6),$A:$KK,$JK$92,FALSE))</f>
        <v>446</v>
      </c>
      <c r="JH142" s="1">
        <f t="shared" si="251"/>
        <v>0.10900290188131197</v>
      </c>
      <c r="JI142" s="1">
        <f t="shared" si="252"/>
        <v>-2.8955110777854523E-2</v>
      </c>
      <c r="JJ142" s="1">
        <f t="shared" si="253"/>
        <v>0</v>
      </c>
      <c r="JK142" s="1">
        <f t="shared" si="254"/>
        <v>8.0047791103457444E-2</v>
      </c>
      <c r="JL142" s="15">
        <f t="shared" si="184"/>
        <v>35.701314832142018</v>
      </c>
      <c r="JM142" s="15">
        <f t="shared" si="185"/>
        <v>481.70131483214203</v>
      </c>
      <c r="JN142" s="21"/>
      <c r="JO142" s="19">
        <f>INDEX(Input!$1:$1048576,JO$93,$C142*2+6)</f>
        <v>5995.5</v>
      </c>
      <c r="JP142" s="19">
        <f>INDEX(Input!$1:$1048576,JP$93,$C142*2+6)</f>
        <v>2818.4193802796353</v>
      </c>
      <c r="JQ142" s="39">
        <f t="shared" si="186"/>
        <v>2829.5929463149077</v>
      </c>
      <c r="JR142" s="39">
        <f t="shared" si="187"/>
        <v>347.48767340545692</v>
      </c>
      <c r="JS142" s="39">
        <f t="shared" si="188"/>
        <v>1.5250215903964617</v>
      </c>
      <c r="JT142" s="39">
        <f t="shared" si="189"/>
        <v>0.2680065467917444</v>
      </c>
      <c r="JU142" s="385">
        <f>(JQ142*JM142-INDEX(Input!$1:$1048576,Input!A$18,$C142*2+6)*JL142*INDEX(Input!$1:$1048576,Input!A$19,$C142*2+6))/1000000</f>
        <v>1.3630186426796458</v>
      </c>
      <c r="JV142" s="39">
        <f t="shared" si="192"/>
        <v>-5.3959313715636892E-2</v>
      </c>
      <c r="JW142" s="1">
        <f t="shared" si="190"/>
        <v>-3.8080559737786283E-2</v>
      </c>
      <c r="JX142" s="19">
        <f t="shared" si="191"/>
        <v>7506.9097049181273</v>
      </c>
      <c r="JZ142" s="341"/>
      <c r="KA142" s="342"/>
      <c r="KB142" s="469">
        <f t="shared" si="110"/>
        <v>2.9286733661474216</v>
      </c>
      <c r="KI142" s="473">
        <f t="shared" si="370"/>
        <v>49.471706959113973</v>
      </c>
      <c r="KJ142" s="473">
        <f t="shared" si="371"/>
        <v>-13.31900996876584</v>
      </c>
      <c r="KK142" s="473">
        <f t="shared" si="257"/>
        <v>-0.45138215820611549</v>
      </c>
      <c r="KN142" s="544">
        <f t="shared" si="258"/>
        <v>1002</v>
      </c>
      <c r="KO142" s="541">
        <f t="shared" si="285"/>
        <v>7.5620649437299736E-2</v>
      </c>
      <c r="KP142" s="546">
        <f t="shared" si="286"/>
        <v>464.49781740813734</v>
      </c>
      <c r="KQ142" s="546">
        <f t="shared" si="287"/>
        <v>326.59085366644058</v>
      </c>
      <c r="KR142" s="548">
        <f t="shared" si="288"/>
        <v>2.7913322633805442</v>
      </c>
      <c r="KS142" s="548">
        <f t="shared" si="289"/>
        <v>3.9700062921094896</v>
      </c>
      <c r="KT142" s="473">
        <f t="shared" si="112"/>
        <v>238.28695973331548</v>
      </c>
      <c r="KU142" s="663">
        <f t="shared" si="290"/>
        <v>6.4484410097115488</v>
      </c>
      <c r="KV142" s="117"/>
    </row>
    <row r="143" spans="1:308" s="26" customFormat="1" ht="15">
      <c r="A143" s="561">
        <f t="shared" si="168"/>
        <v>1043</v>
      </c>
      <c r="B143" s="561">
        <f t="shared" si="104"/>
        <v>43</v>
      </c>
      <c r="C143" s="561">
        <f t="shared" si="105"/>
        <v>1</v>
      </c>
      <c r="D143" s="561" t="str">
        <f t="shared" si="294"/>
        <v xml:space="preserve">0/0/0.9/3.9, 360 Lease, </v>
      </c>
      <c r="E143" s="475">
        <f>INDEX(Input!$1:$1048576,E$93,$C143*2+MIN($B143,2)+5)
+INDEX(Scenarios!E$121:E$200,MATCH($B143,Scenarios!$B$121:$B$200,0))</f>
        <v>1229</v>
      </c>
      <c r="F143" s="475">
        <f>INDEX(Input!$1:$1048576,F$93,$C143*2+MIN($B143,2)+5)
+INDEX(Scenarios!F$121:F$200,MATCH($B143,Scenarios!$B$121:$B$200,0))</f>
        <v>0</v>
      </c>
      <c r="G143" s="475">
        <f>INDEX(Input!$1:$1048576,G$93,$C143*2+MIN($B143,2)+5)
+INDEX(Scenarios!G$121:G$200,MATCH($B143,Scenarios!$B$121:$B$200,0))</f>
        <v>0</v>
      </c>
      <c r="H143" s="475">
        <f>INDEX(Input!$1:$1048576,H$93,$C143*2+MIN($B143,2)+5)
+INDEX(Scenarios!H$121:H$200,MATCH($B143,Scenarios!$B$121:$B$200,0))</f>
        <v>0</v>
      </c>
      <c r="I143" s="476">
        <f>INDEX(Input!$1:$1048576,I$93,$C143*2+MIN($B143,2)+5)</f>
        <v>0.7</v>
      </c>
      <c r="J143" s="476" t="str">
        <f>INDEX(Input!$1:$1048576,J$93,$C143*2+MIN($B143,2)+5)</f>
        <v>Market</v>
      </c>
      <c r="K143" s="476" t="str">
        <f>INDEX(Input!$1:$1048576,K$93,$C143*2+MIN($B143,2)+5)</f>
        <v>Market</v>
      </c>
      <c r="L143" s="476" t="str">
        <f>INDEX(Input!$1:$1048576,L$93,$C143*2+MIN($B143,2)+5)</f>
        <v>Market</v>
      </c>
      <c r="M143" s="476" t="str">
        <f>INDEX(Input!$1:$1048576,M$93,$C143*2+MIN($B143,2)+5)</f>
        <v>Market</v>
      </c>
      <c r="N143" s="476" t="str">
        <f>INDEX(Input!$1:$1048576,N$93,$C143*2+MIN($B143,2)+5)</f>
        <v>Market</v>
      </c>
      <c r="O143" s="476" t="str">
        <f>INDEX(Input!$1:$1048576,O$93,$C143*2+MIN($B143,2)+5)</f>
        <v>Market</v>
      </c>
      <c r="P143" s="476" t="str">
        <f>INDEX(Input!$1:$1048576,P$93,$C143*2+MIN($B143,2)+5)</f>
        <v>N</v>
      </c>
      <c r="Q143" s="477">
        <f>INDEX(Input!$1:$1048576,Q$93,$C143*2+MIN($B143,2)+5)
+INDEX(Scenarios!Q$121:Q$200,MATCH($B143,Scenarios!$B$121:$B$200,0))</f>
        <v>0</v>
      </c>
      <c r="R143" s="478">
        <f>IFERROR(MAX(0,INDEX(Input!$1:$1048576,R$93,$C143*2+MIN($B143,2)+5)
+INDEX(Scenarios!R$121:R$200,MATCH($B143,Scenarios!$B$121:$B$200,0)),),"Market")</f>
        <v>0</v>
      </c>
      <c r="S143" s="478">
        <f>IFERROR(MAX(0,INDEX(Input!$1:$1048576,S$93,$C143*2+MIN($B143,2)+5)
+INDEX(Scenarios!S$121:S$200,MATCH($B143,Scenarios!$B$121:$B$200,0)),),"Market")</f>
        <v>0</v>
      </c>
      <c r="T143" s="478">
        <f>IFERROR(MAX(0,INDEX(Input!$1:$1048576,T$93,$C143*2+MIN($B143,2)+5)
+INDEX(Scenarios!T$121:T$200,MATCH($B143,Scenarios!$B$121:$B$200,0)),),"Market")</f>
        <v>0</v>
      </c>
      <c r="U143" s="478">
        <f>IFERROR(MAX(0,INDEX(Input!$1:$1048576,U$93,$C143*2+MIN($B143,2)+5)
+INDEX(Scenarios!U$121:U$200,MATCH($B143,Scenarios!$B$121:$B$200,0)),),"Market")</f>
        <v>0</v>
      </c>
      <c r="V143" s="478">
        <f>IFERROR(MAX(0,INDEX(Input!$1:$1048576,V$93,$C143*2+MIN($B143,2)+5)
+INDEX(Scenarios!V$121:V$200,MATCH($B143,Scenarios!$B$121:$B$200,0)),),"Market")</f>
        <v>8.9999999999999993E-3</v>
      </c>
      <c r="W143" s="885">
        <f>IFERROR(MAX(0,INDEX(Input!$1:$1048576,W$93,$C143*2+MIN($B143,2)+5)-0%,),"Market")</f>
        <v>3.9E-2</v>
      </c>
      <c r="X143" s="476" t="str">
        <f>INDEX(Input!$1:$1048576,X$93,$C143*2+MIN($B143,2)+5)</f>
        <v>Y</v>
      </c>
      <c r="Y143" s="475">
        <f>INDEX(Input!$1:$1048576,Y$93,$C143*2+MIN($B143,2)+5)
++INDEX(Scenarios!Y$121:Y$200,MATCH($B143,Scenarios!$B$121:$B$200,0))</f>
        <v>2302</v>
      </c>
      <c r="Z143" s="477">
        <f>INDEX(Input!$1:$1048576,Z$93,$C143*2+MIN($B143,2)+5)
+INDEX(Scenarios!Z$121:Z$200,MATCH($B143,Scenarios!$B$121:$B$200,0))</f>
        <v>0</v>
      </c>
      <c r="AA143" s="475">
        <f>INDEX(Input!$1:$1048576,AA$93,$C143*2+MIN($B143,2)+5)
+INDEX(Scenarios!AA$121:AA$200,MATCH($B143,Scenarios!$B$121:$B$200,0))</f>
        <v>0</v>
      </c>
      <c r="AB143" s="476">
        <f>INDEX(Input!$1:$1048576,AB$93,$C143*2+MIN($B143,2)+5)</f>
        <v>0.27</v>
      </c>
      <c r="AC143" s="475">
        <f>INDEX(Input!$1:$1048576,AC$93,$C143*2+MIN($B143,2)+5)
+INDEX(Scenarios!AC$121:AC$200,MATCH($B143,Scenarios!$B$121:$B$200,0))</f>
        <v>0</v>
      </c>
      <c r="AD143" s="476">
        <f>INDEX(Input!$1:$1048576,AD$93,$C143*2+MIN($B143,2)+5)</f>
        <v>0.27</v>
      </c>
      <c r="AE143" s="475">
        <f>INDEX(Input!$1:$1048576,AE$93,$C143*2+MIN($B143,2)+5)
+INDEX(Scenarios!AE$121:AE$200,MATCH($B143,Scenarios!$B$121:$B$200,0))</f>
        <v>0</v>
      </c>
      <c r="AF143" s="476">
        <f>INDEX(Input!$1:$1048576,AF$93,$C143*2+MIN($B143,2)+5)</f>
        <v>0.38</v>
      </c>
      <c r="AG143" s="475">
        <f>INDEX(Input!$1:$1048576,AG$93,$C143*2+MIN($B143,2)+5)
+INDEX(Scenarios!AG$121:AG$200,MATCH($B143,Scenarios!$B$121:$B$200,0))</f>
        <v>0</v>
      </c>
      <c r="AH143" s="476">
        <f>INDEX(Input!$1:$1048576,AH$93,$C143*2+MIN($B143,2)+5)</f>
        <v>0</v>
      </c>
      <c r="AI143" s="475">
        <f>INDEX(Input!$1:$1048576,AI$93,$C143*2+MIN($B143,2)+5)
+INDEX(Scenarios!AI$121:AI$200,MATCH($B143,Scenarios!$B$121:$B$200,0))</f>
        <v>0</v>
      </c>
      <c r="AJ143" s="476">
        <f>INDEX(Input!$1:$1048576,AJ$93,$C143*2+MIN($B143,2)+5)</f>
        <v>0.27</v>
      </c>
      <c r="AK143" s="150">
        <f>ROUND(INDEX(Input!$1:$1048576,AK$93,$C142*2+MIN($B143,1)+5)+(Y143-VLOOKUP($C143*1000+1,$A:$HH,Y$92,FALSE)),0)</f>
        <v>4117</v>
      </c>
      <c r="AL143" s="150">
        <f>ROUND(INDEX(Input!$1:$1048576,AL$93,$C142*2+MIN($B143,1)+5)-(Y143-VLOOKUP($C143*1000+1,$A:$HH,Y$92,FALSE))/36,0)</f>
        <v>4103</v>
      </c>
      <c r="AM143" s="32" t="str">
        <f t="shared" si="169"/>
        <v>std/std/std/std</v>
      </c>
      <c r="AN143" s="32" t="str">
        <f t="shared" si="170"/>
        <v>$0 + 0/0/0/0.9/3.9</v>
      </c>
      <c r="AO143" s="32" t="str">
        <f t="shared" si="171"/>
        <v>0/0/0/0.9/3.9</v>
      </c>
      <c r="AP143" s="32" t="str">
        <f t="shared" si="73"/>
        <v>0/0/0.9/3.9</v>
      </c>
      <c r="AQ143" s="536">
        <f t="shared" si="39"/>
        <v>0.19380324511956731</v>
      </c>
      <c r="AR143" s="32"/>
      <c r="AS143" s="302"/>
      <c r="AT143" s="3">
        <f t="shared" si="106"/>
        <v>43</v>
      </c>
      <c r="AU143" s="41" t="s">
        <v>121</v>
      </c>
      <c r="AV143" s="41" t="s">
        <v>116</v>
      </c>
      <c r="AW143" s="41" t="str">
        <f>INDEX(Input!$1:$1048576,AW$93,$C143*2+6)</f>
        <v>Kia</v>
      </c>
      <c r="AX143" s="41" t="str">
        <f>INDEX(Input!$1:$1048576,AX$93,$C143*2+6)</f>
        <v>Kia-LR - L1</v>
      </c>
      <c r="AY143" s="41" t="str">
        <f>IF(LEN(D143)=0,"",INDEX(Input!$1:$1048576,AY$93,$C143*2+6))</f>
        <v>Compact SUV (52)</v>
      </c>
      <c r="AZ143" s="41" t="str">
        <f>INDEX(Input!$1:$1048576,AZ$93,$C143*2+6)</f>
        <v>Kia Soul</v>
      </c>
      <c r="BA143" s="3">
        <f>INDEX(Input!$1:$1048576,BA$93,$C143*2+6)</f>
        <v>2020</v>
      </c>
      <c r="BB143" s="128">
        <f>INDEX(Input!$1:$1048576,BB$93,$C143*2+6)</f>
        <v>1</v>
      </c>
      <c r="BC143" s="128">
        <f>INDEX(Input!$1:$1048576,BC$93,$C143*2+6)</f>
        <v>0.7</v>
      </c>
      <c r="BD143" s="1">
        <f>INDEX(Input!$1:$1048576,BD$93,$C143*2+6)</f>
        <v>4.4999999999999998E-2</v>
      </c>
      <c r="BE143" s="1">
        <f>INDEX(Input!$1:$1048576,BE$93,$C143*2+6)</f>
        <v>4.4999999999999998E-2</v>
      </c>
      <c r="BF143" s="1">
        <f>INDEX(Input!$1:$1048576,BF$93,$C143*2+6)</f>
        <v>0.05</v>
      </c>
      <c r="BG143" s="1">
        <f>INDEX(Input!$1:$1048576,BG$93,$C143*2+6)</f>
        <v>5.45E-2</v>
      </c>
      <c r="BH143" s="1">
        <f>INDEX(Input!$1:$1048576,BH$93,$C143*2+6)</f>
        <v>5.45E-2</v>
      </c>
      <c r="BI143" s="1">
        <f>INDEX(Input!$1:$1048576,BI$93,$C143*2+6)</f>
        <v>0.05</v>
      </c>
      <c r="BJ143" s="1">
        <f>INDEX(Input!$1:$1048576,BJ$93,$C143*2+6)</f>
        <v>0.05</v>
      </c>
      <c r="BK143" s="1">
        <f>INDEX(Input!$1:$1048576,BK$93,$C143*2+6)</f>
        <v>0.05</v>
      </c>
      <c r="BL143" s="1">
        <f>INDEX(Input!$1:$1048576,BL$93,$C143*2+6)</f>
        <v>5.5E-2</v>
      </c>
      <c r="BM143" s="1">
        <f>INDEX(Input!$1:$1048576,BM$93,$C143*2+6)</f>
        <v>0.06</v>
      </c>
      <c r="BN143" s="1">
        <f>INDEX(Input!$1:$1048576,BN$93,$C143*2+6)</f>
        <v>4.4999999999999998E-2</v>
      </c>
      <c r="BO143" s="1">
        <f>INDEX(Input!$1:$1048576,BO$93,$C143*2+6)</f>
        <v>4.4999999999999998E-2</v>
      </c>
      <c r="BP143" s="1">
        <f>INDEX(Input!$1:$1048576,BP$93,$C143*2+6)</f>
        <v>0.05</v>
      </c>
      <c r="BQ143" s="1">
        <f>INDEX(Input!$1:$1048576,BQ$93,$C143*2+6)</f>
        <v>5.45E-2</v>
      </c>
      <c r="BR143" s="1">
        <f>INDEX(Input!$1:$1048576,BR$93,$C143*2+6)</f>
        <v>5.45E-2</v>
      </c>
      <c r="BS143" s="1">
        <f>INDEX(Input!$1:$1048576,BS$93,$C143*2+6)</f>
        <v>0.05</v>
      </c>
      <c r="BT143" s="1">
        <f>INDEX(Input!$1:$1048576,BT$93,$C143*2+6)</f>
        <v>0.05</v>
      </c>
      <c r="BU143" s="1">
        <f>INDEX(Input!$1:$1048576,BU$93,$C143*2+6)</f>
        <v>0.05</v>
      </c>
      <c r="BV143" s="1">
        <f>INDEX(Input!$1:$1048576,BV$93,$C143*2+6)</f>
        <v>5.5E-2</v>
      </c>
      <c r="BW143" s="1">
        <f>INDEX(Input!$1:$1048576,BW$93,$C143*2+6)</f>
        <v>0.06</v>
      </c>
      <c r="BX143" s="127">
        <f>INDEX(Input!$1:$1048576,BX$93,$C143*2+6)</f>
        <v>19985</v>
      </c>
      <c r="BY143" s="20">
        <f>INDEX(Input!$1:$1048576,BY$93,$C143*2+6)</f>
        <v>0.1</v>
      </c>
      <c r="BZ143" s="20">
        <f>INDEX(Input!$1:$1048576,BZ$93,$C143*2+6)</f>
        <v>0.1</v>
      </c>
      <c r="CA143" s="20">
        <f>INDEX(Input!$1:$1048576,CA$93,$C143*2+6)</f>
        <v>0.1</v>
      </c>
      <c r="CB143" s="20">
        <f>INDEX(Input!$1:$1048576,CB$93,$C143*2+6)</f>
        <v>0.1</v>
      </c>
      <c r="CC143" s="20">
        <f>INDEX(Input!$1:$1048576,CC$93,$C143*2+6)</f>
        <v>0.1</v>
      </c>
      <c r="CD143" s="384">
        <f>INDEX(Input!$1:$1048576,CD$93,$C143*2+6)</f>
        <v>0.1</v>
      </c>
      <c r="CE143" s="384">
        <f>INDEX(Input!$1:$1048576,CE$93,$C143*2+6)</f>
        <v>0.1</v>
      </c>
      <c r="CF143" s="384">
        <f>INDEX(Input!$1:$1048576,CF$93,$C143*2+6)</f>
        <v>0.1</v>
      </c>
      <c r="CG143" s="384">
        <f>INDEX(Input!$1:$1048576,CG$93,$C143*2+6)</f>
        <v>0.1</v>
      </c>
      <c r="CH143" s="384">
        <f>INDEX(Input!$1:$1048576,CH$93,$C143*2+6)</f>
        <v>0.1</v>
      </c>
      <c r="CI143" s="304">
        <f t="shared" si="74"/>
        <v>1229</v>
      </c>
      <c r="CJ143" s="16" t="str">
        <f>INDEX(Input!$1:$1048576,CJ$93,$C143*2+6)</f>
        <v>N</v>
      </c>
      <c r="CK143" s="1" t="str">
        <f t="shared" si="75"/>
        <v>Market</v>
      </c>
      <c r="CL143" s="1" t="str">
        <f t="shared" si="76"/>
        <v>Market</v>
      </c>
      <c r="CM143" s="1" t="str">
        <f t="shared" si="77"/>
        <v>Market</v>
      </c>
      <c r="CN143" s="1" t="str">
        <f t="shared" si="78"/>
        <v>Market</v>
      </c>
      <c r="CO143" s="1" t="str">
        <f t="shared" si="79"/>
        <v>Market</v>
      </c>
      <c r="CP143" s="304">
        <f t="shared" si="80"/>
        <v>0</v>
      </c>
      <c r="CQ143" s="1">
        <f t="shared" si="81"/>
        <v>0</v>
      </c>
      <c r="CR143" s="1">
        <f t="shared" si="82"/>
        <v>0</v>
      </c>
      <c r="CS143" s="1">
        <f t="shared" si="83"/>
        <v>0</v>
      </c>
      <c r="CT143" s="1">
        <f t="shared" si="84"/>
        <v>8.9999999999999993E-3</v>
      </c>
      <c r="CU143" s="1">
        <f t="shared" si="85"/>
        <v>3.9E-2</v>
      </c>
      <c r="CV143" s="304">
        <f t="shared" si="86"/>
        <v>2302</v>
      </c>
      <c r="CW143" s="20" t="s">
        <v>122</v>
      </c>
      <c r="CX143" s="20" t="s">
        <v>122</v>
      </c>
      <c r="CY143" s="20" t="s">
        <v>122</v>
      </c>
      <c r="CZ143" s="20" t="s">
        <v>122</v>
      </c>
      <c r="DA143" s="20" t="s">
        <v>122</v>
      </c>
      <c r="DB143" s="503">
        <f t="shared" si="87"/>
        <v>0</v>
      </c>
      <c r="DC143" s="127">
        <v>0</v>
      </c>
      <c r="DD143" s="127">
        <v>0</v>
      </c>
      <c r="DE143" s="127">
        <v>0</v>
      </c>
      <c r="DF143" s="127">
        <v>0</v>
      </c>
      <c r="DG143" s="127">
        <v>0</v>
      </c>
      <c r="DH143" s="127">
        <v>0</v>
      </c>
      <c r="DI143" s="127">
        <v>0</v>
      </c>
      <c r="DJ143" s="127">
        <v>0</v>
      </c>
      <c r="DK143" s="127">
        <v>0</v>
      </c>
      <c r="DL143" s="127">
        <v>0</v>
      </c>
      <c r="DM143" s="304">
        <f>INDEX(Input!$1:$1048576,DM$93,$C143*2+6)</f>
        <v>21036.84210526316</v>
      </c>
      <c r="DN143" s="20">
        <v>0</v>
      </c>
      <c r="DO143" s="20">
        <v>0</v>
      </c>
      <c r="DP143" s="20">
        <v>0</v>
      </c>
      <c r="DQ143" s="20">
        <v>0</v>
      </c>
      <c r="DR143" s="20">
        <v>0</v>
      </c>
      <c r="DS143" s="20">
        <f>INDEX(Input!$1:$1048576,DS$93,$C143*2+6)</f>
        <v>0.6</v>
      </c>
      <c r="DT143" s="20">
        <f>INDEX(Input!$1:$1048576,DT$93,$C143*2+6)</f>
        <v>0.55000000000000004</v>
      </c>
      <c r="DU143" s="20">
        <f>INDEX(Input!$1:$1048576,DU$93,$C143*2+6)</f>
        <v>0.52</v>
      </c>
      <c r="DV143" s="20">
        <f>INDEX(Input!$1:$1048576,DV$93,$C143*2+6)</f>
        <v>0.5</v>
      </c>
      <c r="DW143" s="20">
        <f>INDEX(Input!$1:$1048576,DW$93,$C143*2+6)</f>
        <v>0.45</v>
      </c>
      <c r="DX143" s="20"/>
      <c r="DY143" s="7">
        <v>8.7617063435901185E-2</v>
      </c>
      <c r="DZ143" s="7">
        <v>0</v>
      </c>
      <c r="EA143" s="7">
        <v>0.41880295497340986</v>
      </c>
      <c r="EB143" s="7">
        <v>0</v>
      </c>
      <c r="EC143" s="7">
        <v>0</v>
      </c>
      <c r="ED143" s="7">
        <v>0</v>
      </c>
      <c r="EE143" s="7">
        <v>0</v>
      </c>
      <c r="EF143" s="7">
        <v>0</v>
      </c>
      <c r="EG143" s="7">
        <v>0</v>
      </c>
      <c r="EH143" s="7">
        <v>1.4789192705906977E-2</v>
      </c>
      <c r="EI143" s="7">
        <v>4.3188566954775409E-2</v>
      </c>
      <c r="EJ143" s="7">
        <v>0.27281740913088937</v>
      </c>
      <c r="EK143" s="7">
        <v>0.58408530924176305</v>
      </c>
      <c r="EL143" s="7">
        <v>8.511952196666514E-2</v>
      </c>
      <c r="EM143" s="7">
        <v>5.4827367807748002E-2</v>
      </c>
      <c r="EN143" s="7">
        <v>5.2416424716025825E-2</v>
      </c>
      <c r="EO143" s="7">
        <v>0.78015670673154836</v>
      </c>
      <c r="EP143" s="7">
        <v>7.3001757795592467E-2</v>
      </c>
      <c r="EQ143" s="7">
        <v>5.5504556706157615E-2</v>
      </c>
      <c r="ER143" s="7">
        <v>3.8920554050675758E-2</v>
      </c>
      <c r="ES143" s="7">
        <v>0.43875261378294089</v>
      </c>
      <c r="ET143" s="7">
        <v>0.49357998159068894</v>
      </c>
      <c r="EU143" s="6">
        <v>1270</v>
      </c>
      <c r="EV143" s="6">
        <v>0</v>
      </c>
      <c r="EW143" s="6">
        <v>1270</v>
      </c>
      <c r="EX143" s="6">
        <v>0</v>
      </c>
      <c r="EY143" s="6">
        <v>2319.8491773399101</v>
      </c>
      <c r="EZ143" s="6">
        <v>2445</v>
      </c>
      <c r="FA143" s="6">
        <v>0</v>
      </c>
      <c r="FB143" s="6">
        <v>0</v>
      </c>
      <c r="FC143" s="6">
        <v>0</v>
      </c>
      <c r="FD143" s="6">
        <v>0</v>
      </c>
      <c r="FE143" s="6">
        <v>0</v>
      </c>
      <c r="FF143" s="6">
        <v>0</v>
      </c>
      <c r="FG143" s="6">
        <v>0</v>
      </c>
      <c r="FH143" s="6">
        <v>1171.2811379695618</v>
      </c>
      <c r="FI143" s="6">
        <v>1553.9796069512399</v>
      </c>
      <c r="FJ143" s="6">
        <v>2101.2110117447405</v>
      </c>
      <c r="FK143" s="6">
        <v>2251.3078348034678</v>
      </c>
      <c r="FL143" s="6">
        <v>907.07682140966335</v>
      </c>
      <c r="FM143" s="6">
        <v>2049.8491773399101</v>
      </c>
      <c r="FN143" s="6">
        <v>0</v>
      </c>
      <c r="FO143" s="6">
        <v>0</v>
      </c>
      <c r="FP143" s="6">
        <v>0</v>
      </c>
      <c r="FQ143" s="6">
        <v>0</v>
      </c>
      <c r="FR143" s="6">
        <v>0</v>
      </c>
      <c r="FS143" s="6">
        <v>0</v>
      </c>
      <c r="FT143" s="7">
        <v>0.50642001840931106</v>
      </c>
      <c r="FU143" s="7">
        <v>5.4827367807748002E-2</v>
      </c>
      <c r="FV143" s="7">
        <v>0.43875261378294089</v>
      </c>
      <c r="FW143" s="6">
        <v>1269.9999999999998</v>
      </c>
      <c r="FX143" s="6">
        <v>2319.8491773399101</v>
      </c>
      <c r="FY143" s="6">
        <v>2445</v>
      </c>
      <c r="FZ143" s="6">
        <v>1952.7147957719815</v>
      </c>
      <c r="GA143" s="6">
        <v>1843.0947881836323</v>
      </c>
      <c r="GB143" s="6">
        <v>18141.905211816367</v>
      </c>
      <c r="GC143" s="7">
        <v>1.0519917368675835E-2</v>
      </c>
      <c r="GD143" s="7">
        <v>1.0531353761825039E-2</v>
      </c>
      <c r="GE143" s="7"/>
      <c r="GF143" s="7"/>
      <c r="GG143" s="7">
        <v>1.0871181539179498E-3</v>
      </c>
      <c r="GH143" s="42">
        <v>-0.19819426019050337</v>
      </c>
      <c r="GI143" s="6">
        <v>-98992.317805453073</v>
      </c>
      <c r="GJ143" s="14">
        <v>0.50394797582841722</v>
      </c>
      <c r="GK143" s="14">
        <v>0.50887573065309732</v>
      </c>
      <c r="GL143" s="14">
        <v>0.49605202417158267</v>
      </c>
      <c r="GM143" s="14">
        <v>0.49112426934690234</v>
      </c>
      <c r="GO143" s="5">
        <v>343.14810671672558</v>
      </c>
      <c r="GP143" s="5">
        <v>318.91892952659737</v>
      </c>
      <c r="GQ143" s="5">
        <v>535.04305713031317</v>
      </c>
      <c r="GR143" s="5">
        <v>410.15490233172511</v>
      </c>
      <c r="GS143" s="5">
        <v>339.42744393800166</v>
      </c>
      <c r="GT143" s="5">
        <v>293.4407446948278</v>
      </c>
      <c r="GU143" s="5">
        <v>258.04012322764959</v>
      </c>
      <c r="GV143" s="39" t="s">
        <v>392</v>
      </c>
      <c r="GW143" s="5">
        <v>492.125</v>
      </c>
      <c r="GX143" s="5">
        <v>369.09375</v>
      </c>
      <c r="GY143" s="5">
        <v>295.27499999999998</v>
      </c>
      <c r="GZ143" s="5">
        <v>252.85821728143046</v>
      </c>
      <c r="HA143" s="5">
        <v>241.34874471337258</v>
      </c>
      <c r="HB143" s="39">
        <v>272.00918188838415</v>
      </c>
      <c r="HC143" s="5">
        <v>180.31562499999998</v>
      </c>
      <c r="HD143" s="5">
        <v>166.79497441520465</v>
      </c>
      <c r="HE143" s="5">
        <v>173.1768092105263</v>
      </c>
      <c r="HF143" s="5">
        <v>164.36813048245611</v>
      </c>
      <c r="HG143" s="5">
        <v>163.76888157894734</v>
      </c>
      <c r="HH143" s="39">
        <v>167.71708563023566</v>
      </c>
      <c r="HI143" s="16"/>
      <c r="HJ143" s="19" t="str">
        <f t="shared" ref="HJ143" si="372">HJ142</f>
        <v>On</v>
      </c>
      <c r="HK143" s="1" t="str">
        <f t="shared" si="108"/>
        <v>On</v>
      </c>
      <c r="HL143" s="16"/>
      <c r="HM143" s="639">
        <f t="shared" si="266"/>
        <v>5.7455619280273196E-3</v>
      </c>
      <c r="HN143" s="639">
        <f t="shared" si="267"/>
        <v>5.0031960498701745E-4</v>
      </c>
      <c r="HO143" s="639">
        <f t="shared" si="268"/>
        <v>3.9819433988714835E-3</v>
      </c>
      <c r="HP143" s="644">
        <f>(FT143*$GD143-HM143)/$JF143*INDEX(Input!$1:$1048576,$JG$93,$C143*2+6)</f>
        <v>-17.977821278346212</v>
      </c>
      <c r="HQ143" s="644">
        <f>(FU143*$GD143-HN143)/$JF143*INDEX(Input!$1:$1048576,$JG$93,$C143*2+6)</f>
        <v>3.3614882514898565</v>
      </c>
      <c r="HR143" s="644">
        <f>(FV143*$GD143-HO143)/$JF143*INDEX(Input!$1:$1048576,$JG$93,$C143*2+6)</f>
        <v>27.852173399021456</v>
      </c>
      <c r="HS143" s="644">
        <f t="shared" si="269"/>
        <v>-0.74759047891935093</v>
      </c>
      <c r="HT143" s="644">
        <f t="shared" si="270"/>
        <v>7.0687077107342207</v>
      </c>
      <c r="HU143" s="644">
        <f t="shared" si="271"/>
        <v>5.4082637803287508</v>
      </c>
      <c r="HV143" s="648">
        <f t="shared" si="272"/>
        <v>0</v>
      </c>
      <c r="HW143" s="648">
        <f t="shared" si="273"/>
        <v>0</v>
      </c>
      <c r="HX143" s="648">
        <f t="shared" si="274"/>
        <v>0</v>
      </c>
      <c r="HY143" s="644">
        <f>INDEX(Input!$1:$1048576,HY$93,$C143*2+6)*INDEX(Input!$1:$1048576,$JG$93,$C143*2+6)</f>
        <v>110.00000000000001</v>
      </c>
      <c r="HZ143" s="644">
        <f>INDEX(Input!$1:$1048576,HZ$93,$C143*2+6)*INDEX(Input!$1:$1048576,$JG$93,$C143*2+6)</f>
        <v>157</v>
      </c>
      <c r="IA143" s="644">
        <f>INDEX(Input!$1:$1048576,IA$93,$C143*2+6)*INDEX(Input!$1:$1048576,$JG$93,$C143*2+6)</f>
        <v>179</v>
      </c>
      <c r="IB143" s="644">
        <f t="shared" si="249"/>
        <v>91.274588242734467</v>
      </c>
      <c r="IC143" s="644">
        <f t="shared" si="172"/>
        <v>167.43019596222408</v>
      </c>
      <c r="ID143" s="644">
        <f>IF(AND(INDEX(Input!$1:$1048576,IA$93,$C143*2+7)="TOS",Y143&lt;=INDEX(Y:Y,MATCH(C143*1000+2,A:A))),0,1)*MAX(IA143+HR143+HU143+HX143,0%)</f>
        <v>212.26043717935022</v>
      </c>
      <c r="IE143" s="128">
        <f t="shared" si="275"/>
        <v>0.19380324511956731</v>
      </c>
      <c r="IF143" s="128">
        <f t="shared" si="174"/>
        <v>0.35550437348663722</v>
      </c>
      <c r="IG143" s="128">
        <f t="shared" si="175"/>
        <v>0.45069238139379553</v>
      </c>
      <c r="IH143" s="21"/>
      <c r="II143" s="19">
        <f t="shared" si="276"/>
        <v>1240</v>
      </c>
      <c r="IJ143" s="19">
        <f t="shared" si="277"/>
        <v>2009.7221397149679</v>
      </c>
      <c r="IK143" s="19">
        <f t="shared" si="278"/>
        <v>2070</v>
      </c>
      <c r="IL143" s="19">
        <f t="shared" si="176"/>
        <v>29.999999999999773</v>
      </c>
      <c r="IM143" s="19">
        <f t="shared" si="177"/>
        <v>310.1270376249422</v>
      </c>
      <c r="IN143" s="19">
        <f t="shared" si="178"/>
        <v>375</v>
      </c>
      <c r="IO143" s="39">
        <f t="shared" si="279"/>
        <v>0</v>
      </c>
      <c r="IP143" s="39">
        <f t="shared" si="280"/>
        <v>0</v>
      </c>
      <c r="IQ143" s="39">
        <f t="shared" si="281"/>
        <v>0</v>
      </c>
      <c r="IR143" s="39">
        <v>0</v>
      </c>
      <c r="IS143" s="39">
        <v>0</v>
      </c>
      <c r="IT143" s="39">
        <v>0</v>
      </c>
      <c r="IU143" s="39">
        <v>0</v>
      </c>
      <c r="IV143" s="39">
        <v>0</v>
      </c>
      <c r="IW143" s="39">
        <v>0</v>
      </c>
      <c r="IX143" s="39">
        <f>INDEX(Input!$1:$1048576,IX$93,$C143*2+6)+INDEX(Input!$1:$1048576,IX$94,$C143*2+6)</f>
        <v>1270</v>
      </c>
      <c r="IY143" s="39">
        <f>INDEX(Input!$1:$1048576,IY$93,$C143*2+6)+INDEX(Input!$1:$1048576,IY$94,$C143*2+6)</f>
        <v>2130.0624533823611</v>
      </c>
      <c r="IZ143" s="39">
        <f>INDEX(Input!$1:$1048576,IZ$93,$C143*2+6)+INDEX(Input!$1:$1048576,IZ$94,$C143*2+6)</f>
        <v>4373.7164157747848</v>
      </c>
      <c r="JA143" s="19">
        <f t="shared" si="179"/>
        <v>1299.9999999999998</v>
      </c>
      <c r="JB143" s="19">
        <f t="shared" si="180"/>
        <v>2440.1894910073033</v>
      </c>
      <c r="JC143" s="19">
        <f t="shared" si="181"/>
        <v>4748.7164157747848</v>
      </c>
      <c r="JD143" s="19">
        <f t="shared" si="182"/>
        <v>3259.6525648340121</v>
      </c>
      <c r="JE143" s="21"/>
      <c r="JF143" s="1">
        <f t="shared" si="282"/>
        <v>1.022782493188582E-2</v>
      </c>
      <c r="JG143" s="15">
        <f>INDEX(Input!$1:$1048576,JG$93,$C143*2+6)/(1+VLOOKUP(C143*1000+INDEX(Input!$1:$1048576,JG$93+1,$C143*2+6),$A:$KK,$JK$92,FALSE))</f>
        <v>446</v>
      </c>
      <c r="JH143" s="1">
        <f t="shared" si="251"/>
        <v>2.9676772134899328E-2</v>
      </c>
      <c r="JI143" s="1">
        <f t="shared" si="252"/>
        <v>2.6299060565344437E-2</v>
      </c>
      <c r="JJ143" s="1">
        <f t="shared" si="253"/>
        <v>0</v>
      </c>
      <c r="JK143" s="1">
        <f t="shared" si="254"/>
        <v>5.5975832700243769E-2</v>
      </c>
      <c r="JL143" s="15">
        <f t="shared" si="184"/>
        <v>24.96522138430872</v>
      </c>
      <c r="JM143" s="15">
        <f t="shared" si="185"/>
        <v>470.96522138430873</v>
      </c>
      <c r="JN143" s="21"/>
      <c r="JO143" s="19">
        <f>INDEX(Input!$1:$1048576,JO$93,$C143*2+6)</f>
        <v>5995.5</v>
      </c>
      <c r="JP143" s="19">
        <f>INDEX(Input!$1:$1048576,JP$93,$C143*2+6)</f>
        <v>2818.4193802796353</v>
      </c>
      <c r="JQ143" s="39">
        <f t="shared" si="186"/>
        <v>2735.8474351659879</v>
      </c>
      <c r="JR143" s="39">
        <f t="shared" si="187"/>
        <v>441.23318455437675</v>
      </c>
      <c r="JS143" s="39">
        <f t="shared" si="188"/>
        <v>1.5351829918329802</v>
      </c>
      <c r="JT143" s="39">
        <f t="shared" si="189"/>
        <v>0.27816794822826285</v>
      </c>
      <c r="JU143" s="385">
        <f>(JQ143*JM143-INDEX(Input!$1:$1048576,Input!A$18,$C143*2+6)*JL143*INDEX(Input!$1:$1048576,Input!A$19,$C143*2+6))/1000000</f>
        <v>1.2884889929766428</v>
      </c>
      <c r="JV143" s="39">
        <f t="shared" si="192"/>
        <v>-0.12848896341863991</v>
      </c>
      <c r="JW143" s="1">
        <f t="shared" si="190"/>
        <v>-9.0678166755331233E-2</v>
      </c>
      <c r="JX143" s="19">
        <f t="shared" si="191"/>
        <v>11142.21836635098</v>
      </c>
      <c r="JZ143" s="341"/>
      <c r="KA143" s="342"/>
      <c r="KB143" s="469">
        <f t="shared" si="110"/>
        <v>2.9286733661474216</v>
      </c>
      <c r="KI143" s="473">
        <f t="shared" si="283"/>
        <v>-18.725411757265547</v>
      </c>
      <c r="KJ143" s="473">
        <f t="shared" si="284"/>
        <v>10.430195962224076</v>
      </c>
      <c r="KK143" s="473">
        <f t="shared" si="257"/>
        <v>33.26043717935022</v>
      </c>
      <c r="KN143" s="544">
        <f t="shared" si="258"/>
        <v>1002</v>
      </c>
      <c r="KO143" s="541">
        <f t="shared" si="285"/>
        <v>5.1647362565948374E-2</v>
      </c>
      <c r="KP143" s="546">
        <f t="shared" si="286"/>
        <v>261.83564430928914</v>
      </c>
      <c r="KQ143" s="546">
        <f t="shared" si="287"/>
        <v>420.33636481536041</v>
      </c>
      <c r="KR143" s="548">
        <f t="shared" si="288"/>
        <v>3.3820045776988512</v>
      </c>
      <c r="KS143" s="548">
        <f t="shared" si="289"/>
        <v>2.1067160059961201</v>
      </c>
      <c r="KT143" s="473">
        <f t="shared" si="112"/>
        <v>238.28695973331548</v>
      </c>
      <c r="KU143" s="663">
        <f t="shared" si="290"/>
        <v>5.9867551112845323</v>
      </c>
      <c r="KV143" s="117"/>
    </row>
    <row r="144" spans="1:308" s="26" customFormat="1" ht="15">
      <c r="A144" s="561">
        <f t="shared" si="168"/>
        <v>1044</v>
      </c>
      <c r="B144" s="561">
        <f t="shared" si="104"/>
        <v>44</v>
      </c>
      <c r="C144" s="561">
        <f t="shared" si="105"/>
        <v>1</v>
      </c>
      <c r="D144" s="561" t="str">
        <f t="shared" si="294"/>
        <v xml:space="preserve">0/0/0/3.9, 360 Lease, </v>
      </c>
      <c r="E144" s="475">
        <f>INDEX(Input!$1:$1048576,E$93,$C144*2+MIN($B144,2)+5)
+INDEX(Scenarios!E$121:E$200,MATCH($B144,Scenarios!$B$121:$B$200,0))</f>
        <v>1229</v>
      </c>
      <c r="F144" s="475">
        <f>INDEX(Input!$1:$1048576,F$93,$C144*2+MIN($B144,2)+5)
+INDEX(Scenarios!F$121:F$200,MATCH($B144,Scenarios!$B$121:$B$200,0))</f>
        <v>0</v>
      </c>
      <c r="G144" s="475">
        <f>INDEX(Input!$1:$1048576,G$93,$C144*2+MIN($B144,2)+5)
+INDEX(Scenarios!G$121:G$200,MATCH($B144,Scenarios!$B$121:$B$200,0))</f>
        <v>0</v>
      </c>
      <c r="H144" s="475">
        <f>INDEX(Input!$1:$1048576,H$93,$C144*2+MIN($B144,2)+5)
+INDEX(Scenarios!H$121:H$200,MATCH($B144,Scenarios!$B$121:$B$200,0))</f>
        <v>0</v>
      </c>
      <c r="I144" s="476">
        <f>INDEX(Input!$1:$1048576,I$93,$C144*2+MIN($B144,2)+5)</f>
        <v>0.7</v>
      </c>
      <c r="J144" s="476" t="str">
        <f>INDEX(Input!$1:$1048576,J$93,$C144*2+MIN($B144,2)+5)</f>
        <v>Market</v>
      </c>
      <c r="K144" s="476" t="str">
        <f>INDEX(Input!$1:$1048576,K$93,$C144*2+MIN($B144,2)+5)</f>
        <v>Market</v>
      </c>
      <c r="L144" s="476" t="str">
        <f>INDEX(Input!$1:$1048576,L$93,$C144*2+MIN($B144,2)+5)</f>
        <v>Market</v>
      </c>
      <c r="M144" s="476" t="str">
        <f>INDEX(Input!$1:$1048576,M$93,$C144*2+MIN($B144,2)+5)</f>
        <v>Market</v>
      </c>
      <c r="N144" s="476" t="str">
        <f>INDEX(Input!$1:$1048576,N$93,$C144*2+MIN($B144,2)+5)</f>
        <v>Market</v>
      </c>
      <c r="O144" s="476" t="str">
        <f>INDEX(Input!$1:$1048576,O$93,$C144*2+MIN($B144,2)+5)</f>
        <v>Market</v>
      </c>
      <c r="P144" s="476" t="str">
        <f>INDEX(Input!$1:$1048576,P$93,$C144*2+MIN($B144,2)+5)</f>
        <v>N</v>
      </c>
      <c r="Q144" s="477">
        <f>INDEX(Input!$1:$1048576,Q$93,$C144*2+MIN($B144,2)+5)
+INDEX(Scenarios!Q$121:Q$200,MATCH($B144,Scenarios!$B$121:$B$200,0))</f>
        <v>0</v>
      </c>
      <c r="R144" s="478">
        <f>IFERROR(MAX(0,INDEX(Input!$1:$1048576,R$93,$C144*2+MIN($B144,2)+5)
+INDEX(Scenarios!R$121:R$200,MATCH($B144,Scenarios!$B$121:$B$200,0)),),"Market")</f>
        <v>0</v>
      </c>
      <c r="S144" s="478">
        <f>IFERROR(MAX(0,INDEX(Input!$1:$1048576,S$93,$C144*2+MIN($B144,2)+5)
+INDEX(Scenarios!S$121:S$200,MATCH($B144,Scenarios!$B$121:$B$200,0)),),"Market")</f>
        <v>0</v>
      </c>
      <c r="T144" s="478">
        <f>IFERROR(MAX(0,INDEX(Input!$1:$1048576,T$93,$C144*2+MIN($B144,2)+5)
+INDEX(Scenarios!T$121:T$200,MATCH($B144,Scenarios!$B$121:$B$200,0)),),"Market")</f>
        <v>0</v>
      </c>
      <c r="U144" s="478">
        <f>IFERROR(MAX(0,INDEX(Input!$1:$1048576,U$93,$C144*2+MIN($B144,2)+5)
+INDEX(Scenarios!U$121:U$200,MATCH($B144,Scenarios!$B$121:$B$200,0)),),"Market")</f>
        <v>0</v>
      </c>
      <c r="V144" s="478">
        <f>IFERROR(MAX(0,INDEX(Input!$1:$1048576,V$93,$C144*2+MIN($B144,2)+5)
+INDEX(Scenarios!V$121:V$200,MATCH($B144,Scenarios!$B$121:$B$200,0)),),"Market")</f>
        <v>0</v>
      </c>
      <c r="W144" s="885">
        <f>IFERROR(MAX(0,INDEX(Input!$1:$1048576,W$93,$C144*2+MIN($B144,2)+5)-0%,),"Market")</f>
        <v>3.9E-2</v>
      </c>
      <c r="X144" s="476" t="str">
        <f>INDEX(Input!$1:$1048576,X$93,$C144*2+MIN($B144,2)+5)</f>
        <v>Y</v>
      </c>
      <c r="Y144" s="475">
        <f>INDEX(Input!$1:$1048576,Y$93,$C144*2+MIN($B144,2)+5)
++INDEX(Scenarios!Y$121:Y$200,MATCH($B144,Scenarios!$B$121:$B$200,0))</f>
        <v>2302</v>
      </c>
      <c r="Z144" s="477">
        <f>INDEX(Input!$1:$1048576,Z$93,$C144*2+MIN($B144,2)+5)
+INDEX(Scenarios!Z$121:Z$200,MATCH($B144,Scenarios!$B$121:$B$200,0))</f>
        <v>0</v>
      </c>
      <c r="AA144" s="475">
        <f>INDEX(Input!$1:$1048576,AA$93,$C144*2+MIN($B144,2)+5)
+INDEX(Scenarios!AA$121:AA$200,MATCH($B144,Scenarios!$B$121:$B$200,0))</f>
        <v>0</v>
      </c>
      <c r="AB144" s="476">
        <f>INDEX(Input!$1:$1048576,AB$93,$C144*2+MIN($B144,2)+5)</f>
        <v>0.27</v>
      </c>
      <c r="AC144" s="475">
        <f>INDEX(Input!$1:$1048576,AC$93,$C144*2+MIN($B144,2)+5)
+INDEX(Scenarios!AC$121:AC$200,MATCH($B144,Scenarios!$B$121:$B$200,0))</f>
        <v>0</v>
      </c>
      <c r="AD144" s="476">
        <f>INDEX(Input!$1:$1048576,AD$93,$C144*2+MIN($B144,2)+5)</f>
        <v>0.27</v>
      </c>
      <c r="AE144" s="475">
        <f>INDEX(Input!$1:$1048576,AE$93,$C144*2+MIN($B144,2)+5)
+INDEX(Scenarios!AE$121:AE$200,MATCH($B144,Scenarios!$B$121:$B$200,0))</f>
        <v>0</v>
      </c>
      <c r="AF144" s="476">
        <f>INDEX(Input!$1:$1048576,AF$93,$C144*2+MIN($B144,2)+5)</f>
        <v>0.38</v>
      </c>
      <c r="AG144" s="475">
        <f>INDEX(Input!$1:$1048576,AG$93,$C144*2+MIN($B144,2)+5)
+INDEX(Scenarios!AG$121:AG$200,MATCH($B144,Scenarios!$B$121:$B$200,0))</f>
        <v>0</v>
      </c>
      <c r="AH144" s="476">
        <f>INDEX(Input!$1:$1048576,AH$93,$C144*2+MIN($B144,2)+5)</f>
        <v>0</v>
      </c>
      <c r="AI144" s="475">
        <f>INDEX(Input!$1:$1048576,AI$93,$C144*2+MIN($B144,2)+5)
+INDEX(Scenarios!AI$121:AI$200,MATCH($B144,Scenarios!$B$121:$B$200,0))</f>
        <v>0</v>
      </c>
      <c r="AJ144" s="476">
        <f>INDEX(Input!$1:$1048576,AJ$93,$C144*2+MIN($B144,2)+5)</f>
        <v>0.27</v>
      </c>
      <c r="AK144" s="150">
        <f>ROUND(INDEX(Input!$1:$1048576,AK$93,$C143*2+MIN($B144,1)+5)+(Y144-VLOOKUP($C144*1000+1,$A:$HH,Y$92,FALSE)),0)</f>
        <v>4117</v>
      </c>
      <c r="AL144" s="150">
        <f>ROUND(INDEX(Input!$1:$1048576,AL$93,$C143*2+MIN($B144,1)+5)-(Y144-VLOOKUP($C144*1000+1,$A:$HH,Y$92,FALSE))/36,0)</f>
        <v>4103</v>
      </c>
      <c r="AM144" s="32" t="str">
        <f t="shared" si="169"/>
        <v>std/std/std/std</v>
      </c>
      <c r="AN144" s="32" t="str">
        <f t="shared" si="170"/>
        <v>$0 + 0/0/0/0/3.9</v>
      </c>
      <c r="AO144" s="32" t="str">
        <f t="shared" si="171"/>
        <v>0/0/0/0/3.9</v>
      </c>
      <c r="AP144" s="32" t="str">
        <f t="shared" si="73"/>
        <v>0/0/0/3.9</v>
      </c>
      <c r="AQ144" s="536">
        <f t="shared" si="39"/>
        <v>0.18451943643771301</v>
      </c>
      <c r="AR144" s="32"/>
      <c r="AS144" s="302"/>
      <c r="AT144" s="3">
        <f t="shared" si="106"/>
        <v>44</v>
      </c>
      <c r="AU144" s="41" t="s">
        <v>121</v>
      </c>
      <c r="AV144" s="41" t="s">
        <v>116</v>
      </c>
      <c r="AW144" s="41" t="str">
        <f>INDEX(Input!$1:$1048576,AW$93,$C144*2+6)</f>
        <v>Kia</v>
      </c>
      <c r="AX144" s="41" t="str">
        <f>INDEX(Input!$1:$1048576,AX$93,$C144*2+6)</f>
        <v>Kia-LR - L1</v>
      </c>
      <c r="AY144" s="41" t="str">
        <f>IF(LEN(D144)=0,"",INDEX(Input!$1:$1048576,AY$93,$C144*2+6))</f>
        <v>Compact SUV (52)</v>
      </c>
      <c r="AZ144" s="41" t="str">
        <f>INDEX(Input!$1:$1048576,AZ$93,$C144*2+6)</f>
        <v>Kia Soul</v>
      </c>
      <c r="BA144" s="3">
        <f>INDEX(Input!$1:$1048576,BA$93,$C144*2+6)</f>
        <v>2020</v>
      </c>
      <c r="BB144" s="128">
        <f>INDEX(Input!$1:$1048576,BB$93,$C144*2+6)</f>
        <v>1</v>
      </c>
      <c r="BC144" s="128">
        <f>INDEX(Input!$1:$1048576,BC$93,$C144*2+6)</f>
        <v>0.7</v>
      </c>
      <c r="BD144" s="1">
        <f>INDEX(Input!$1:$1048576,BD$93,$C144*2+6)</f>
        <v>4.4999999999999998E-2</v>
      </c>
      <c r="BE144" s="1">
        <f>INDEX(Input!$1:$1048576,BE$93,$C144*2+6)</f>
        <v>4.4999999999999998E-2</v>
      </c>
      <c r="BF144" s="1">
        <f>INDEX(Input!$1:$1048576,BF$93,$C144*2+6)</f>
        <v>0.05</v>
      </c>
      <c r="BG144" s="1">
        <f>INDEX(Input!$1:$1048576,BG$93,$C144*2+6)</f>
        <v>5.45E-2</v>
      </c>
      <c r="BH144" s="1">
        <f>INDEX(Input!$1:$1048576,BH$93,$C144*2+6)</f>
        <v>5.45E-2</v>
      </c>
      <c r="BI144" s="1">
        <f>INDEX(Input!$1:$1048576,BI$93,$C144*2+6)</f>
        <v>0.05</v>
      </c>
      <c r="BJ144" s="1">
        <f>INDEX(Input!$1:$1048576,BJ$93,$C144*2+6)</f>
        <v>0.05</v>
      </c>
      <c r="BK144" s="1">
        <f>INDEX(Input!$1:$1048576,BK$93,$C144*2+6)</f>
        <v>0.05</v>
      </c>
      <c r="BL144" s="1">
        <f>INDEX(Input!$1:$1048576,BL$93,$C144*2+6)</f>
        <v>5.5E-2</v>
      </c>
      <c r="BM144" s="1">
        <f>INDEX(Input!$1:$1048576,BM$93,$C144*2+6)</f>
        <v>0.06</v>
      </c>
      <c r="BN144" s="1">
        <f>INDEX(Input!$1:$1048576,BN$93,$C144*2+6)</f>
        <v>4.4999999999999998E-2</v>
      </c>
      <c r="BO144" s="1">
        <f>INDEX(Input!$1:$1048576,BO$93,$C144*2+6)</f>
        <v>4.4999999999999998E-2</v>
      </c>
      <c r="BP144" s="1">
        <f>INDEX(Input!$1:$1048576,BP$93,$C144*2+6)</f>
        <v>0.05</v>
      </c>
      <c r="BQ144" s="1">
        <f>INDEX(Input!$1:$1048576,BQ$93,$C144*2+6)</f>
        <v>5.45E-2</v>
      </c>
      <c r="BR144" s="1">
        <f>INDEX(Input!$1:$1048576,BR$93,$C144*2+6)</f>
        <v>5.45E-2</v>
      </c>
      <c r="BS144" s="1">
        <f>INDEX(Input!$1:$1048576,BS$93,$C144*2+6)</f>
        <v>0.05</v>
      </c>
      <c r="BT144" s="1">
        <f>INDEX(Input!$1:$1048576,BT$93,$C144*2+6)</f>
        <v>0.05</v>
      </c>
      <c r="BU144" s="1">
        <f>INDEX(Input!$1:$1048576,BU$93,$C144*2+6)</f>
        <v>0.05</v>
      </c>
      <c r="BV144" s="1">
        <f>INDEX(Input!$1:$1048576,BV$93,$C144*2+6)</f>
        <v>5.5E-2</v>
      </c>
      <c r="BW144" s="1">
        <f>INDEX(Input!$1:$1048576,BW$93,$C144*2+6)</f>
        <v>0.06</v>
      </c>
      <c r="BX144" s="127">
        <f>INDEX(Input!$1:$1048576,BX$93,$C144*2+6)</f>
        <v>19985</v>
      </c>
      <c r="BY144" s="20">
        <f>INDEX(Input!$1:$1048576,BY$93,$C144*2+6)</f>
        <v>0.1</v>
      </c>
      <c r="BZ144" s="20">
        <f>INDEX(Input!$1:$1048576,BZ$93,$C144*2+6)</f>
        <v>0.1</v>
      </c>
      <c r="CA144" s="20">
        <f>INDEX(Input!$1:$1048576,CA$93,$C144*2+6)</f>
        <v>0.1</v>
      </c>
      <c r="CB144" s="20">
        <f>INDEX(Input!$1:$1048576,CB$93,$C144*2+6)</f>
        <v>0.1</v>
      </c>
      <c r="CC144" s="20">
        <f>INDEX(Input!$1:$1048576,CC$93,$C144*2+6)</f>
        <v>0.1</v>
      </c>
      <c r="CD144" s="384">
        <f>INDEX(Input!$1:$1048576,CD$93,$C144*2+6)</f>
        <v>0.1</v>
      </c>
      <c r="CE144" s="384">
        <f>INDEX(Input!$1:$1048576,CE$93,$C144*2+6)</f>
        <v>0.1</v>
      </c>
      <c r="CF144" s="384">
        <f>INDEX(Input!$1:$1048576,CF$93,$C144*2+6)</f>
        <v>0.1</v>
      </c>
      <c r="CG144" s="384">
        <f>INDEX(Input!$1:$1048576,CG$93,$C144*2+6)</f>
        <v>0.1</v>
      </c>
      <c r="CH144" s="384">
        <f>INDEX(Input!$1:$1048576,CH$93,$C144*2+6)</f>
        <v>0.1</v>
      </c>
      <c r="CI144" s="304">
        <f t="shared" si="74"/>
        <v>1229</v>
      </c>
      <c r="CJ144" s="16" t="str">
        <f>INDEX(Input!$1:$1048576,CJ$93,$C144*2+6)</f>
        <v>N</v>
      </c>
      <c r="CK144" s="1" t="str">
        <f t="shared" si="75"/>
        <v>Market</v>
      </c>
      <c r="CL144" s="1" t="str">
        <f t="shared" si="76"/>
        <v>Market</v>
      </c>
      <c r="CM144" s="1" t="str">
        <f t="shared" si="77"/>
        <v>Market</v>
      </c>
      <c r="CN144" s="1" t="str">
        <f t="shared" si="78"/>
        <v>Market</v>
      </c>
      <c r="CO144" s="1" t="str">
        <f t="shared" si="79"/>
        <v>Market</v>
      </c>
      <c r="CP144" s="304">
        <f t="shared" si="80"/>
        <v>0</v>
      </c>
      <c r="CQ144" s="1">
        <f t="shared" si="81"/>
        <v>0</v>
      </c>
      <c r="CR144" s="1">
        <f t="shared" si="82"/>
        <v>0</v>
      </c>
      <c r="CS144" s="1">
        <f t="shared" si="83"/>
        <v>0</v>
      </c>
      <c r="CT144" s="1">
        <f t="shared" si="84"/>
        <v>0</v>
      </c>
      <c r="CU144" s="1">
        <f t="shared" si="85"/>
        <v>3.9E-2</v>
      </c>
      <c r="CV144" s="304">
        <f t="shared" si="86"/>
        <v>2302</v>
      </c>
      <c r="CW144" s="20" t="s">
        <v>122</v>
      </c>
      <c r="CX144" s="20" t="s">
        <v>122</v>
      </c>
      <c r="CY144" s="20" t="s">
        <v>122</v>
      </c>
      <c r="CZ144" s="20" t="s">
        <v>122</v>
      </c>
      <c r="DA144" s="20" t="s">
        <v>122</v>
      </c>
      <c r="DB144" s="503">
        <f t="shared" si="87"/>
        <v>0</v>
      </c>
      <c r="DC144" s="127">
        <v>0</v>
      </c>
      <c r="DD144" s="127">
        <v>0</v>
      </c>
      <c r="DE144" s="127">
        <v>0</v>
      </c>
      <c r="DF144" s="127">
        <v>0</v>
      </c>
      <c r="DG144" s="127">
        <v>0</v>
      </c>
      <c r="DH144" s="127">
        <v>0</v>
      </c>
      <c r="DI144" s="127">
        <v>0</v>
      </c>
      <c r="DJ144" s="127">
        <v>0</v>
      </c>
      <c r="DK144" s="127">
        <v>0</v>
      </c>
      <c r="DL144" s="127">
        <v>0</v>
      </c>
      <c r="DM144" s="304">
        <f>INDEX(Input!$1:$1048576,DM$93,$C144*2+6)</f>
        <v>21036.84210526316</v>
      </c>
      <c r="DN144" s="20">
        <v>0</v>
      </c>
      <c r="DO144" s="20">
        <v>0</v>
      </c>
      <c r="DP144" s="20">
        <v>0</v>
      </c>
      <c r="DQ144" s="20">
        <v>0</v>
      </c>
      <c r="DR144" s="20">
        <v>0</v>
      </c>
      <c r="DS144" s="20">
        <f>INDEX(Input!$1:$1048576,DS$93,$C144*2+6)</f>
        <v>0.6</v>
      </c>
      <c r="DT144" s="20">
        <f>INDEX(Input!$1:$1048576,DT$93,$C144*2+6)</f>
        <v>0.55000000000000004</v>
      </c>
      <c r="DU144" s="20">
        <f>INDEX(Input!$1:$1048576,DU$93,$C144*2+6)</f>
        <v>0.52</v>
      </c>
      <c r="DV144" s="20">
        <f>INDEX(Input!$1:$1048576,DV$93,$C144*2+6)</f>
        <v>0.5</v>
      </c>
      <c r="DW144" s="20">
        <f>INDEX(Input!$1:$1048576,DW$93,$C144*2+6)</f>
        <v>0.45</v>
      </c>
      <c r="DX144" s="20"/>
      <c r="DY144" s="7">
        <v>8.640666866334977E-2</v>
      </c>
      <c r="DZ144" s="7">
        <v>0</v>
      </c>
      <c r="EA144" s="7">
        <v>0.41296288419406157</v>
      </c>
      <c r="EB144" s="7">
        <v>0</v>
      </c>
      <c r="EC144" s="7">
        <v>0</v>
      </c>
      <c r="ED144" s="7">
        <v>0</v>
      </c>
      <c r="EE144" s="7">
        <v>0</v>
      </c>
      <c r="EF144" s="7">
        <v>0</v>
      </c>
      <c r="EG144" s="7">
        <v>0</v>
      </c>
      <c r="EH144" s="7">
        <v>1.1770126174766766E-2</v>
      </c>
      <c r="EI144" s="7">
        <v>3.4372050758526805E-2</v>
      </c>
      <c r="EJ144" s="7">
        <v>0.21712444972476333</v>
      </c>
      <c r="EK144" s="7">
        <v>0.66899015480349477</v>
      </c>
      <c r="EL144" s="7">
        <v>6.7743218538448169E-2</v>
      </c>
      <c r="EM144" s="7">
        <v>6.7939025658732985E-2</v>
      </c>
      <c r="EN144" s="7">
        <v>5.2416424716025853E-2</v>
      </c>
      <c r="EO144" s="7">
        <v>0.78015670673154824</v>
      </c>
      <c r="EP144" s="7">
        <v>7.3001757795592509E-2</v>
      </c>
      <c r="EQ144" s="7">
        <v>5.5504556706157636E-2</v>
      </c>
      <c r="ER144" s="7">
        <v>3.8920554050675751E-2</v>
      </c>
      <c r="ES144" s="7">
        <v>0.43269142148385559</v>
      </c>
      <c r="ET144" s="7">
        <v>0.50063044714258864</v>
      </c>
      <c r="EU144" s="6">
        <v>1270</v>
      </c>
      <c r="EV144" s="6">
        <v>0</v>
      </c>
      <c r="EW144" s="6">
        <v>1270</v>
      </c>
      <c r="EX144" s="6">
        <v>0</v>
      </c>
      <c r="EY144" s="6">
        <v>2643.8860716023396</v>
      </c>
      <c r="EZ144" s="6">
        <v>2445</v>
      </c>
      <c r="FA144" s="6">
        <v>0</v>
      </c>
      <c r="FB144" s="6">
        <v>0</v>
      </c>
      <c r="FC144" s="6">
        <v>0</v>
      </c>
      <c r="FD144" s="6">
        <v>0</v>
      </c>
      <c r="FE144" s="6">
        <v>0</v>
      </c>
      <c r="FF144" s="6">
        <v>0</v>
      </c>
      <c r="FG144" s="6">
        <v>0</v>
      </c>
      <c r="FH144" s="6">
        <v>1171.2811379695615</v>
      </c>
      <c r="FI144" s="6">
        <v>1553.9796069512404</v>
      </c>
      <c r="FJ144" s="6">
        <v>2101.211011744741</v>
      </c>
      <c r="FK144" s="6">
        <v>2674.2006261592273</v>
      </c>
      <c r="FL144" s="6">
        <v>907.07682140966324</v>
      </c>
      <c r="FM144" s="6">
        <v>2373.8860716023396</v>
      </c>
      <c r="FN144" s="6">
        <v>0</v>
      </c>
      <c r="FO144" s="6">
        <v>0</v>
      </c>
      <c r="FP144" s="6">
        <v>0</v>
      </c>
      <c r="FQ144" s="6">
        <v>0</v>
      </c>
      <c r="FR144" s="6">
        <v>0</v>
      </c>
      <c r="FS144" s="6">
        <v>0</v>
      </c>
      <c r="FT144" s="7">
        <v>0.49936955285741136</v>
      </c>
      <c r="FU144" s="7">
        <v>6.7939025658732985E-2</v>
      </c>
      <c r="FV144" s="7">
        <v>0.43269142148385559</v>
      </c>
      <c r="FW144" s="6">
        <v>1270</v>
      </c>
      <c r="FX144" s="6">
        <v>2643.8860716023396</v>
      </c>
      <c r="FY144" s="6">
        <v>2445</v>
      </c>
      <c r="FZ144" s="6">
        <v>1952.7147957719815</v>
      </c>
      <c r="GA144" s="6">
        <v>1871.7529013142973</v>
      </c>
      <c r="GB144" s="6">
        <v>18113.247098685704</v>
      </c>
      <c r="GC144" s="7">
        <v>1.0519917368675835E-2</v>
      </c>
      <c r="GD144" s="7">
        <v>1.0567069181880646E-2</v>
      </c>
      <c r="GE144" s="7"/>
      <c r="GF144" s="7"/>
      <c r="GG144" s="7">
        <v>4.4821467272367337E-3</v>
      </c>
      <c r="GH144" s="42">
        <v>-1.1063933587997266</v>
      </c>
      <c r="GI144" s="6">
        <v>-16191.44301454048</v>
      </c>
      <c r="GJ144" s="14">
        <v>0.50394797582841733</v>
      </c>
      <c r="GK144" s="14">
        <v>0.50887573065309755</v>
      </c>
      <c r="GL144" s="14">
        <v>0.49605202417158284</v>
      </c>
      <c r="GM144" s="14">
        <v>0.49112426934690245</v>
      </c>
      <c r="GO144" s="5">
        <v>343.14810671672558</v>
      </c>
      <c r="GP144" s="5">
        <v>318.91892952659737</v>
      </c>
      <c r="GQ144" s="5">
        <v>535.04305713031317</v>
      </c>
      <c r="GR144" s="5">
        <v>410.15490233172511</v>
      </c>
      <c r="GS144" s="5">
        <v>339.42744393800166</v>
      </c>
      <c r="GT144" s="5">
        <v>293.4407446948278</v>
      </c>
      <c r="GU144" s="5">
        <v>258.04012322764959</v>
      </c>
      <c r="GV144" s="39" t="s">
        <v>392</v>
      </c>
      <c r="GW144" s="5">
        <v>492.125</v>
      </c>
      <c r="GX144" s="5">
        <v>369.09375</v>
      </c>
      <c r="GY144" s="5">
        <v>295.27499999999998</v>
      </c>
      <c r="GZ144" s="5">
        <v>246.0625</v>
      </c>
      <c r="HA144" s="5">
        <v>241.34874471337258</v>
      </c>
      <c r="HB144" s="39">
        <v>263.55343506932462</v>
      </c>
      <c r="HC144" s="5">
        <v>180.31562499999998</v>
      </c>
      <c r="HD144" s="5">
        <v>166.79497441520465</v>
      </c>
      <c r="HE144" s="5">
        <v>173.1768092105263</v>
      </c>
      <c r="HF144" s="5">
        <v>164.36813048245611</v>
      </c>
      <c r="HG144" s="5">
        <v>163.76888157894734</v>
      </c>
      <c r="HH144" s="39">
        <v>167.71708563023569</v>
      </c>
      <c r="HI144" s="16"/>
      <c r="HJ144" s="19" t="str">
        <f t="shared" ref="HJ144" si="373">HJ143</f>
        <v>On</v>
      </c>
      <c r="HK144" s="1" t="str">
        <f t="shared" si="108"/>
        <v>On</v>
      </c>
      <c r="HL144" s="16"/>
      <c r="HM144" s="639">
        <f t="shared" si="266"/>
        <v>5.7455619280273196E-3</v>
      </c>
      <c r="HN144" s="639">
        <f t="shared" si="267"/>
        <v>5.0031960498701745E-4</v>
      </c>
      <c r="HO144" s="639">
        <f t="shared" si="268"/>
        <v>3.9819433988714835E-3</v>
      </c>
      <c r="HP144" s="644">
        <f>(FT144*$GD144-HM144)/$JF144*INDEX(Input!$1:$1048576,$JG$93,$C144*2+6)</f>
        <v>-20.437916778561565</v>
      </c>
      <c r="HQ144" s="644">
        <f>(FU144*$GD144-HN144)/$JF144*INDEX(Input!$1:$1048576,$JG$93,$C144*2+6)</f>
        <v>9.4886414475597469</v>
      </c>
      <c r="HR144" s="644">
        <f>(FV144*$GD144-HO144)/$JF144*INDEX(Input!$1:$1048576,$JG$93,$C144*2+6)</f>
        <v>25.742541397376915</v>
      </c>
      <c r="HS144" s="644">
        <f t="shared" si="269"/>
        <v>-0.96321147630358084</v>
      </c>
      <c r="HT144" s="644">
        <f t="shared" si="270"/>
        <v>14.706164389320664</v>
      </c>
      <c r="HU144" s="644">
        <f t="shared" si="271"/>
        <v>5.6238847777129788</v>
      </c>
      <c r="HV144" s="648">
        <f t="shared" si="272"/>
        <v>0</v>
      </c>
      <c r="HW144" s="648">
        <f t="shared" si="273"/>
        <v>0</v>
      </c>
      <c r="HX144" s="648">
        <f t="shared" si="274"/>
        <v>0</v>
      </c>
      <c r="HY144" s="644">
        <f>INDEX(Input!$1:$1048576,HY$93,$C144*2+6)*INDEX(Input!$1:$1048576,$JG$93,$C144*2+6)</f>
        <v>110.00000000000001</v>
      </c>
      <c r="HZ144" s="644">
        <f>INDEX(Input!$1:$1048576,HZ$93,$C144*2+6)*INDEX(Input!$1:$1048576,$JG$93,$C144*2+6)</f>
        <v>157</v>
      </c>
      <c r="IA144" s="644">
        <f>INDEX(Input!$1:$1048576,IA$93,$C144*2+6)*INDEX(Input!$1:$1048576,$JG$93,$C144*2+6)</f>
        <v>179</v>
      </c>
      <c r="IB144" s="644">
        <f t="shared" si="249"/>
        <v>88.598871745134858</v>
      </c>
      <c r="IC144" s="644">
        <f t="shared" si="172"/>
        <v>181.19480583688042</v>
      </c>
      <c r="ID144" s="644">
        <f>IF(AND(INDEX(Input!$1:$1048576,IA$93,$C144*2+7)="TOS",Y144&lt;=INDEX(Y:Y,MATCH(C144*1000+2,A:A))),0,1)*MAX(IA144+HR144+HU144+HX144,0%)</f>
        <v>210.36642617508991</v>
      </c>
      <c r="IE144" s="128">
        <f t="shared" si="275"/>
        <v>0.18451943643771301</v>
      </c>
      <c r="IF144" s="128">
        <f t="shared" si="174"/>
        <v>0.37736330948591268</v>
      </c>
      <c r="IG144" s="128">
        <f t="shared" si="175"/>
        <v>0.43811725407637436</v>
      </c>
      <c r="IH144" s="21"/>
      <c r="II144" s="19">
        <f t="shared" si="276"/>
        <v>1240</v>
      </c>
      <c r="IJ144" s="19">
        <f t="shared" si="277"/>
        <v>2009.7221397149679</v>
      </c>
      <c r="IK144" s="19">
        <f t="shared" si="278"/>
        <v>2070</v>
      </c>
      <c r="IL144" s="19">
        <f t="shared" si="176"/>
        <v>30</v>
      </c>
      <c r="IM144" s="19">
        <f t="shared" si="177"/>
        <v>634.16393188737175</v>
      </c>
      <c r="IN144" s="19">
        <f t="shared" si="178"/>
        <v>375</v>
      </c>
      <c r="IO144" s="39">
        <f t="shared" si="279"/>
        <v>0</v>
      </c>
      <c r="IP144" s="39">
        <f t="shared" si="280"/>
        <v>0</v>
      </c>
      <c r="IQ144" s="39">
        <f t="shared" si="281"/>
        <v>0</v>
      </c>
      <c r="IR144" s="39">
        <v>0</v>
      </c>
      <c r="IS144" s="39">
        <v>0</v>
      </c>
      <c r="IT144" s="39">
        <v>0</v>
      </c>
      <c r="IU144" s="39">
        <v>0</v>
      </c>
      <c r="IV144" s="39">
        <v>0</v>
      </c>
      <c r="IW144" s="39">
        <v>0</v>
      </c>
      <c r="IX144" s="39">
        <f>INDEX(Input!$1:$1048576,IX$93,$C144*2+6)+INDEX(Input!$1:$1048576,IX$94,$C144*2+6)</f>
        <v>1270</v>
      </c>
      <c r="IY144" s="39">
        <f>INDEX(Input!$1:$1048576,IY$93,$C144*2+6)+INDEX(Input!$1:$1048576,IY$94,$C144*2+6)</f>
        <v>2130.0624533823611</v>
      </c>
      <c r="IZ144" s="39">
        <f>INDEX(Input!$1:$1048576,IZ$93,$C144*2+6)+INDEX(Input!$1:$1048576,IZ$94,$C144*2+6)</f>
        <v>4373.7164157747848</v>
      </c>
      <c r="JA144" s="19">
        <f t="shared" si="179"/>
        <v>1300</v>
      </c>
      <c r="JB144" s="19">
        <f t="shared" si="180"/>
        <v>2764.2263852697329</v>
      </c>
      <c r="JC144" s="19">
        <f t="shared" si="181"/>
        <v>4748.7164157747848</v>
      </c>
      <c r="JD144" s="19">
        <f t="shared" si="182"/>
        <v>3363.4874807493461</v>
      </c>
      <c r="JE144" s="21"/>
      <c r="JF144" s="1">
        <f t="shared" si="282"/>
        <v>1.022782493188582E-2</v>
      </c>
      <c r="JG144" s="15">
        <f>INDEX(Input!$1:$1048576,JG$93,$C144*2+6)/(1+VLOOKUP(C144*1000+INDEX(Input!$1:$1048576,JG$93+1,$C144*2+6),$A:$KK,$JK$92,FALSE))</f>
        <v>446</v>
      </c>
      <c r="JH144" s="1">
        <f t="shared" si="251"/>
        <v>3.3168757996356719E-2</v>
      </c>
      <c r="JI144" s="1">
        <f t="shared" si="252"/>
        <v>4.3423402894013592E-2</v>
      </c>
      <c r="JJ144" s="1">
        <f t="shared" si="253"/>
        <v>0</v>
      </c>
      <c r="JK144" s="1">
        <f t="shared" si="254"/>
        <v>7.6592160890370312E-2</v>
      </c>
      <c r="JL144" s="15">
        <f t="shared" si="184"/>
        <v>34.160103757105162</v>
      </c>
      <c r="JM144" s="15">
        <f t="shared" si="185"/>
        <v>480.16010375710516</v>
      </c>
      <c r="JN144" s="21"/>
      <c r="JO144" s="19">
        <f>INDEX(Input!$1:$1048576,JO$93,$C144*2+6)</f>
        <v>5995.5</v>
      </c>
      <c r="JP144" s="19">
        <f>INDEX(Input!$1:$1048576,JP$93,$C144*2+6)</f>
        <v>2818.4193802796353</v>
      </c>
      <c r="JQ144" s="39">
        <f t="shared" si="186"/>
        <v>2632.0125192506539</v>
      </c>
      <c r="JR144" s="39">
        <f t="shared" si="187"/>
        <v>545.06810046971077</v>
      </c>
      <c r="JS144" s="39">
        <f t="shared" si="188"/>
        <v>1.6150124977423301</v>
      </c>
      <c r="JT144" s="39">
        <f t="shared" si="189"/>
        <v>0.35799745413761286</v>
      </c>
      <c r="JU144" s="385">
        <f>(JQ144*JM144-INDEX(Input!$1:$1048576,Input!A$18,$C144*2+6)*JL144*INDEX(Input!$1:$1048576,Input!A$19,$C144*2+6))/1000000</f>
        <v>1.2637874043333939</v>
      </c>
      <c r="JV144" s="39">
        <f t="shared" si="192"/>
        <v>-0.15319055206188881</v>
      </c>
      <c r="JW144" s="1">
        <f t="shared" si="190"/>
        <v>-0.10811075173787284</v>
      </c>
      <c r="JX144" s="19">
        <f t="shared" si="191"/>
        <v>10479.987317460969</v>
      </c>
      <c r="JZ144" s="341"/>
      <c r="KA144" s="342"/>
      <c r="KB144" s="469">
        <f t="shared" si="110"/>
        <v>2.9286733661474216</v>
      </c>
      <c r="KI144" s="473">
        <f t="shared" si="283"/>
        <v>-21.401128254865156</v>
      </c>
      <c r="KJ144" s="473">
        <f t="shared" si="284"/>
        <v>24.19480583688042</v>
      </c>
      <c r="KK144" s="473">
        <f t="shared" si="257"/>
        <v>31.366426175089913</v>
      </c>
      <c r="KN144" s="544">
        <f t="shared" si="258"/>
        <v>1002</v>
      </c>
      <c r="KO144" s="541">
        <f t="shared" si="285"/>
        <v>7.2179183934908853E-2</v>
      </c>
      <c r="KP144" s="546">
        <f t="shared" si="286"/>
        <v>385.71151227653496</v>
      </c>
      <c r="KQ144" s="546">
        <f t="shared" si="287"/>
        <v>524.17128073069443</v>
      </c>
      <c r="KR144" s="548">
        <f t="shared" si="288"/>
        <v>3.2085157567227962</v>
      </c>
      <c r="KS144" s="548">
        <f t="shared" si="289"/>
        <v>2.36098678081615</v>
      </c>
      <c r="KT144" s="473">
        <f t="shared" si="112"/>
        <v>238.28695973331548</v>
      </c>
      <c r="KU144" s="663">
        <f t="shared" si="290"/>
        <v>6.0312159536660506</v>
      </c>
      <c r="KV144" s="117"/>
    </row>
    <row r="145" spans="1:308" s="26" customFormat="1" ht="15">
      <c r="A145" s="561">
        <f t="shared" si="168"/>
        <v>1045</v>
      </c>
      <c r="B145" s="561">
        <f t="shared" si="104"/>
        <v>45</v>
      </c>
      <c r="C145" s="561">
        <f t="shared" si="105"/>
        <v>1</v>
      </c>
      <c r="D145" s="561" t="str">
        <f t="shared" si="294"/>
        <v xml:space="preserve">0/0/0/3.9, 360 Lease, </v>
      </c>
      <c r="E145" s="475">
        <f>INDEX(Input!$1:$1048576,E$93,$C145*2+MIN($B145,2)+5)
+INDEX(Scenarios!E$121:E$200,MATCH($B145,Scenarios!$B$121:$B$200,0))</f>
        <v>1229</v>
      </c>
      <c r="F145" s="475">
        <f>INDEX(Input!$1:$1048576,F$93,$C145*2+MIN($B145,2)+5)
+INDEX(Scenarios!F$121:F$200,MATCH($B145,Scenarios!$B$121:$B$200,0))</f>
        <v>0</v>
      </c>
      <c r="G145" s="475">
        <f>INDEX(Input!$1:$1048576,G$93,$C145*2+MIN($B145,2)+5)
+INDEX(Scenarios!G$121:G$200,MATCH($B145,Scenarios!$B$121:$B$200,0))</f>
        <v>0</v>
      </c>
      <c r="H145" s="475">
        <f>INDEX(Input!$1:$1048576,H$93,$C145*2+MIN($B145,2)+5)
+INDEX(Scenarios!H$121:H$200,MATCH($B145,Scenarios!$B$121:$B$200,0))</f>
        <v>0</v>
      </c>
      <c r="I145" s="476">
        <f>INDEX(Input!$1:$1048576,I$93,$C145*2+MIN($B145,2)+5)</f>
        <v>0.7</v>
      </c>
      <c r="J145" s="476" t="str">
        <f>INDEX(Input!$1:$1048576,J$93,$C145*2+MIN($B145,2)+5)</f>
        <v>Market</v>
      </c>
      <c r="K145" s="476" t="str">
        <f>INDEX(Input!$1:$1048576,K$93,$C145*2+MIN($B145,2)+5)</f>
        <v>Market</v>
      </c>
      <c r="L145" s="476" t="str">
        <f>INDEX(Input!$1:$1048576,L$93,$C145*2+MIN($B145,2)+5)</f>
        <v>Market</v>
      </c>
      <c r="M145" s="476" t="str">
        <f>INDEX(Input!$1:$1048576,M$93,$C145*2+MIN($B145,2)+5)</f>
        <v>Market</v>
      </c>
      <c r="N145" s="476" t="str">
        <f>INDEX(Input!$1:$1048576,N$93,$C145*2+MIN($B145,2)+5)</f>
        <v>Market</v>
      </c>
      <c r="O145" s="476" t="str">
        <f>INDEX(Input!$1:$1048576,O$93,$C145*2+MIN($B145,2)+5)</f>
        <v>Market</v>
      </c>
      <c r="P145" s="476" t="str">
        <f>INDEX(Input!$1:$1048576,P$93,$C145*2+MIN($B145,2)+5)</f>
        <v>N</v>
      </c>
      <c r="Q145" s="477">
        <f>INDEX(Input!$1:$1048576,Q$93,$C145*2+MIN($B145,2)+5)
+INDEX(Scenarios!Q$121:Q$200,MATCH($B145,Scenarios!$B$121:$B$200,0))</f>
        <v>0</v>
      </c>
      <c r="R145" s="478">
        <f>IFERROR(MAX(0,INDEX(Input!$1:$1048576,R$93,$C145*2+MIN($B145,2)+5)
+INDEX(Scenarios!R$121:R$200,MATCH($B145,Scenarios!$B$121:$B$200,0)),),"Market")</f>
        <v>0</v>
      </c>
      <c r="S145" s="478">
        <f>IFERROR(MAX(0,INDEX(Input!$1:$1048576,S$93,$C145*2+MIN($B145,2)+5)
+INDEX(Scenarios!S$121:S$200,MATCH($B145,Scenarios!$B$121:$B$200,0)),),"Market")</f>
        <v>0</v>
      </c>
      <c r="T145" s="478">
        <f>IFERROR(MAX(0,INDEX(Input!$1:$1048576,T$93,$C145*2+MIN($B145,2)+5)
+INDEX(Scenarios!T$121:T$200,MATCH($B145,Scenarios!$B$121:$B$200,0)),),"Market")</f>
        <v>0</v>
      </c>
      <c r="U145" s="478">
        <f>IFERROR(MAX(0,INDEX(Input!$1:$1048576,U$93,$C145*2+MIN($B145,2)+5)
+INDEX(Scenarios!U$121:U$200,MATCH($B145,Scenarios!$B$121:$B$200,0)),),"Market")</f>
        <v>0</v>
      </c>
      <c r="V145" s="478">
        <f>IFERROR(MAX(0,INDEX(Input!$1:$1048576,V$93,$C145*2+MIN($B145,2)+5)
+INDEX(Scenarios!V$121:V$200,MATCH($B145,Scenarios!$B$121:$B$200,0)),),"Market")</f>
        <v>0</v>
      </c>
      <c r="W145" s="885">
        <f>IFERROR(MAX(0,INDEX(Input!$1:$1048576,W$93,$C145*2+MIN($B145,2)+5)-0%,),"Market")</f>
        <v>3.9E-2</v>
      </c>
      <c r="X145" s="476" t="str">
        <f>INDEX(Input!$1:$1048576,X$93,$C145*2+MIN($B145,2)+5)</f>
        <v>Y</v>
      </c>
      <c r="Y145" s="475">
        <f>INDEX(Input!$1:$1048576,Y$93,$C145*2+MIN($B145,2)+5)
++INDEX(Scenarios!Y$121:Y$200,MATCH($B145,Scenarios!$B$121:$B$200,0))</f>
        <v>2302</v>
      </c>
      <c r="Z145" s="477">
        <f>INDEX(Input!$1:$1048576,Z$93,$C145*2+MIN($B145,2)+5)
+INDEX(Scenarios!Z$121:Z$200,MATCH($B145,Scenarios!$B$121:$B$200,0))</f>
        <v>0</v>
      </c>
      <c r="AA145" s="475">
        <f>INDEX(Input!$1:$1048576,AA$93,$C145*2+MIN($B145,2)+5)
+INDEX(Scenarios!AA$121:AA$200,MATCH($B145,Scenarios!$B$121:$B$200,0))</f>
        <v>0</v>
      </c>
      <c r="AB145" s="476">
        <f>INDEX(Input!$1:$1048576,AB$93,$C145*2+MIN($B145,2)+5)</f>
        <v>0.27</v>
      </c>
      <c r="AC145" s="475">
        <f>INDEX(Input!$1:$1048576,AC$93,$C145*2+MIN($B145,2)+5)
+INDEX(Scenarios!AC$121:AC$200,MATCH($B145,Scenarios!$B$121:$B$200,0))</f>
        <v>0</v>
      </c>
      <c r="AD145" s="476">
        <f>INDEX(Input!$1:$1048576,AD$93,$C145*2+MIN($B145,2)+5)</f>
        <v>0.27</v>
      </c>
      <c r="AE145" s="475">
        <f>INDEX(Input!$1:$1048576,AE$93,$C145*2+MIN($B145,2)+5)
+INDEX(Scenarios!AE$121:AE$200,MATCH($B145,Scenarios!$B$121:$B$200,0))</f>
        <v>0</v>
      </c>
      <c r="AF145" s="476">
        <f>INDEX(Input!$1:$1048576,AF$93,$C145*2+MIN($B145,2)+5)</f>
        <v>0.38</v>
      </c>
      <c r="AG145" s="475">
        <f>INDEX(Input!$1:$1048576,AG$93,$C145*2+MIN($B145,2)+5)
+INDEX(Scenarios!AG$121:AG$200,MATCH($B145,Scenarios!$B$121:$B$200,0))</f>
        <v>0</v>
      </c>
      <c r="AH145" s="476">
        <f>INDEX(Input!$1:$1048576,AH$93,$C145*2+MIN($B145,2)+5)</f>
        <v>0</v>
      </c>
      <c r="AI145" s="475">
        <f>INDEX(Input!$1:$1048576,AI$93,$C145*2+MIN($B145,2)+5)
+INDEX(Scenarios!AI$121:AI$200,MATCH($B145,Scenarios!$B$121:$B$200,0))</f>
        <v>0</v>
      </c>
      <c r="AJ145" s="476">
        <f>INDEX(Input!$1:$1048576,AJ$93,$C145*2+MIN($B145,2)+5)</f>
        <v>0.27</v>
      </c>
      <c r="AK145" s="150">
        <f>ROUND(INDEX(Input!$1:$1048576,AK$93,$C144*2+MIN($B145,1)+5)+(Y145-VLOOKUP($C145*1000+1,$A:$HH,Y$92,FALSE)),0)</f>
        <v>4117</v>
      </c>
      <c r="AL145" s="150">
        <f>ROUND(INDEX(Input!$1:$1048576,AL$93,$C144*2+MIN($B145,1)+5)-(Y145-VLOOKUP($C145*1000+1,$A:$HH,Y$92,FALSE))/36,0)</f>
        <v>4103</v>
      </c>
      <c r="AM145" s="32" t="str">
        <f t="shared" si="169"/>
        <v>std/std/std/std</v>
      </c>
      <c r="AN145" s="32" t="str">
        <f t="shared" si="170"/>
        <v>$0 + 0/0/0/0/3.9</v>
      </c>
      <c r="AO145" s="32" t="str">
        <f t="shared" si="171"/>
        <v>0/0/0/0/3.9</v>
      </c>
      <c r="AP145" s="32" t="str">
        <f t="shared" si="73"/>
        <v>0/0/0/3.9</v>
      </c>
      <c r="AQ145" s="536">
        <f t="shared" si="39"/>
        <v>0.18451943643771301</v>
      </c>
      <c r="AR145" s="32"/>
      <c r="AS145" s="302"/>
      <c r="AT145" s="3">
        <f t="shared" si="106"/>
        <v>45</v>
      </c>
      <c r="AU145" s="41" t="s">
        <v>121</v>
      </c>
      <c r="AV145" s="41" t="s">
        <v>116</v>
      </c>
      <c r="AW145" s="41" t="str">
        <f>INDEX(Input!$1:$1048576,AW$93,$C145*2+6)</f>
        <v>Kia</v>
      </c>
      <c r="AX145" s="41" t="str">
        <f>INDEX(Input!$1:$1048576,AX$93,$C145*2+6)</f>
        <v>Kia-LR - L1</v>
      </c>
      <c r="AY145" s="41" t="str">
        <f>IF(LEN(D145)=0,"",INDEX(Input!$1:$1048576,AY$93,$C145*2+6))</f>
        <v>Compact SUV (52)</v>
      </c>
      <c r="AZ145" s="41" t="str">
        <f>INDEX(Input!$1:$1048576,AZ$93,$C145*2+6)</f>
        <v>Kia Soul</v>
      </c>
      <c r="BA145" s="3">
        <f>INDEX(Input!$1:$1048576,BA$93,$C145*2+6)</f>
        <v>2020</v>
      </c>
      <c r="BB145" s="128">
        <f>INDEX(Input!$1:$1048576,BB$93,$C145*2+6)</f>
        <v>1</v>
      </c>
      <c r="BC145" s="128">
        <f>INDEX(Input!$1:$1048576,BC$93,$C145*2+6)</f>
        <v>0.7</v>
      </c>
      <c r="BD145" s="1">
        <f>INDEX(Input!$1:$1048576,BD$93,$C145*2+6)</f>
        <v>4.4999999999999998E-2</v>
      </c>
      <c r="BE145" s="1">
        <f>INDEX(Input!$1:$1048576,BE$93,$C145*2+6)</f>
        <v>4.4999999999999998E-2</v>
      </c>
      <c r="BF145" s="1">
        <f>INDEX(Input!$1:$1048576,BF$93,$C145*2+6)</f>
        <v>0.05</v>
      </c>
      <c r="BG145" s="1">
        <f>INDEX(Input!$1:$1048576,BG$93,$C145*2+6)</f>
        <v>5.45E-2</v>
      </c>
      <c r="BH145" s="1">
        <f>INDEX(Input!$1:$1048576,BH$93,$C145*2+6)</f>
        <v>5.45E-2</v>
      </c>
      <c r="BI145" s="1">
        <f>INDEX(Input!$1:$1048576,BI$93,$C145*2+6)</f>
        <v>0.05</v>
      </c>
      <c r="BJ145" s="1">
        <f>INDEX(Input!$1:$1048576,BJ$93,$C145*2+6)</f>
        <v>0.05</v>
      </c>
      <c r="BK145" s="1">
        <f>INDEX(Input!$1:$1048576,BK$93,$C145*2+6)</f>
        <v>0.05</v>
      </c>
      <c r="BL145" s="1">
        <f>INDEX(Input!$1:$1048576,BL$93,$C145*2+6)</f>
        <v>5.5E-2</v>
      </c>
      <c r="BM145" s="1">
        <f>INDEX(Input!$1:$1048576,BM$93,$C145*2+6)</f>
        <v>0.06</v>
      </c>
      <c r="BN145" s="1">
        <f>INDEX(Input!$1:$1048576,BN$93,$C145*2+6)</f>
        <v>4.4999999999999998E-2</v>
      </c>
      <c r="BO145" s="1">
        <f>INDEX(Input!$1:$1048576,BO$93,$C145*2+6)</f>
        <v>4.4999999999999998E-2</v>
      </c>
      <c r="BP145" s="1">
        <f>INDEX(Input!$1:$1048576,BP$93,$C145*2+6)</f>
        <v>0.05</v>
      </c>
      <c r="BQ145" s="1">
        <f>INDEX(Input!$1:$1048576,BQ$93,$C145*2+6)</f>
        <v>5.45E-2</v>
      </c>
      <c r="BR145" s="1">
        <f>INDEX(Input!$1:$1048576,BR$93,$C145*2+6)</f>
        <v>5.45E-2</v>
      </c>
      <c r="BS145" s="1">
        <f>INDEX(Input!$1:$1048576,BS$93,$C145*2+6)</f>
        <v>0.05</v>
      </c>
      <c r="BT145" s="1">
        <f>INDEX(Input!$1:$1048576,BT$93,$C145*2+6)</f>
        <v>0.05</v>
      </c>
      <c r="BU145" s="1">
        <f>INDEX(Input!$1:$1048576,BU$93,$C145*2+6)</f>
        <v>0.05</v>
      </c>
      <c r="BV145" s="1">
        <f>INDEX(Input!$1:$1048576,BV$93,$C145*2+6)</f>
        <v>5.5E-2</v>
      </c>
      <c r="BW145" s="1">
        <f>INDEX(Input!$1:$1048576,BW$93,$C145*2+6)</f>
        <v>0.06</v>
      </c>
      <c r="BX145" s="127">
        <f>INDEX(Input!$1:$1048576,BX$93,$C145*2+6)</f>
        <v>19985</v>
      </c>
      <c r="BY145" s="20">
        <f>INDEX(Input!$1:$1048576,BY$93,$C145*2+6)</f>
        <v>0.1</v>
      </c>
      <c r="BZ145" s="20">
        <f>INDEX(Input!$1:$1048576,BZ$93,$C145*2+6)</f>
        <v>0.1</v>
      </c>
      <c r="CA145" s="20">
        <f>INDEX(Input!$1:$1048576,CA$93,$C145*2+6)</f>
        <v>0.1</v>
      </c>
      <c r="CB145" s="20">
        <f>INDEX(Input!$1:$1048576,CB$93,$C145*2+6)</f>
        <v>0.1</v>
      </c>
      <c r="CC145" s="20">
        <f>INDEX(Input!$1:$1048576,CC$93,$C145*2+6)</f>
        <v>0.1</v>
      </c>
      <c r="CD145" s="384">
        <f>INDEX(Input!$1:$1048576,CD$93,$C145*2+6)</f>
        <v>0.1</v>
      </c>
      <c r="CE145" s="384">
        <f>INDEX(Input!$1:$1048576,CE$93,$C145*2+6)</f>
        <v>0.1</v>
      </c>
      <c r="CF145" s="384">
        <f>INDEX(Input!$1:$1048576,CF$93,$C145*2+6)</f>
        <v>0.1</v>
      </c>
      <c r="CG145" s="384">
        <f>INDEX(Input!$1:$1048576,CG$93,$C145*2+6)</f>
        <v>0.1</v>
      </c>
      <c r="CH145" s="384">
        <f>INDEX(Input!$1:$1048576,CH$93,$C145*2+6)</f>
        <v>0.1</v>
      </c>
      <c r="CI145" s="304">
        <f t="shared" si="74"/>
        <v>1229</v>
      </c>
      <c r="CJ145" s="16" t="str">
        <f>INDEX(Input!$1:$1048576,CJ$93,$C145*2+6)</f>
        <v>N</v>
      </c>
      <c r="CK145" s="1" t="str">
        <f t="shared" si="75"/>
        <v>Market</v>
      </c>
      <c r="CL145" s="1" t="str">
        <f t="shared" si="76"/>
        <v>Market</v>
      </c>
      <c r="CM145" s="1" t="str">
        <f t="shared" si="77"/>
        <v>Market</v>
      </c>
      <c r="CN145" s="1" t="str">
        <f t="shared" si="78"/>
        <v>Market</v>
      </c>
      <c r="CO145" s="1" t="str">
        <f t="shared" si="79"/>
        <v>Market</v>
      </c>
      <c r="CP145" s="304">
        <f t="shared" si="80"/>
        <v>0</v>
      </c>
      <c r="CQ145" s="1">
        <f t="shared" si="81"/>
        <v>0</v>
      </c>
      <c r="CR145" s="1">
        <f t="shared" si="82"/>
        <v>0</v>
      </c>
      <c r="CS145" s="1">
        <f t="shared" si="83"/>
        <v>0</v>
      </c>
      <c r="CT145" s="1">
        <f t="shared" si="84"/>
        <v>0</v>
      </c>
      <c r="CU145" s="1">
        <f t="shared" si="85"/>
        <v>3.9E-2</v>
      </c>
      <c r="CV145" s="304">
        <f t="shared" si="86"/>
        <v>2302</v>
      </c>
      <c r="CW145" s="20" t="s">
        <v>122</v>
      </c>
      <c r="CX145" s="20" t="s">
        <v>122</v>
      </c>
      <c r="CY145" s="20" t="s">
        <v>122</v>
      </c>
      <c r="CZ145" s="20" t="s">
        <v>122</v>
      </c>
      <c r="DA145" s="20" t="s">
        <v>122</v>
      </c>
      <c r="DB145" s="503">
        <f t="shared" si="87"/>
        <v>0</v>
      </c>
      <c r="DC145" s="127">
        <v>0</v>
      </c>
      <c r="DD145" s="127">
        <v>0</v>
      </c>
      <c r="DE145" s="127">
        <v>0</v>
      </c>
      <c r="DF145" s="127">
        <v>0</v>
      </c>
      <c r="DG145" s="127">
        <v>0</v>
      </c>
      <c r="DH145" s="127">
        <v>0</v>
      </c>
      <c r="DI145" s="127">
        <v>0</v>
      </c>
      <c r="DJ145" s="127">
        <v>0</v>
      </c>
      <c r="DK145" s="127">
        <v>0</v>
      </c>
      <c r="DL145" s="127">
        <v>0</v>
      </c>
      <c r="DM145" s="304">
        <f>INDEX(Input!$1:$1048576,DM$93,$C145*2+6)</f>
        <v>21036.84210526316</v>
      </c>
      <c r="DN145" s="20">
        <v>0</v>
      </c>
      <c r="DO145" s="20">
        <v>0</v>
      </c>
      <c r="DP145" s="20">
        <v>0</v>
      </c>
      <c r="DQ145" s="20">
        <v>0</v>
      </c>
      <c r="DR145" s="20">
        <v>0</v>
      </c>
      <c r="DS145" s="20">
        <f>INDEX(Input!$1:$1048576,DS$93,$C145*2+6)</f>
        <v>0.6</v>
      </c>
      <c r="DT145" s="20">
        <f>INDEX(Input!$1:$1048576,DT$93,$C145*2+6)</f>
        <v>0.55000000000000004</v>
      </c>
      <c r="DU145" s="20">
        <f>INDEX(Input!$1:$1048576,DU$93,$C145*2+6)</f>
        <v>0.52</v>
      </c>
      <c r="DV145" s="20">
        <f>INDEX(Input!$1:$1048576,DV$93,$C145*2+6)</f>
        <v>0.5</v>
      </c>
      <c r="DW145" s="20">
        <f>INDEX(Input!$1:$1048576,DW$93,$C145*2+6)</f>
        <v>0.45</v>
      </c>
      <c r="DX145" s="20"/>
      <c r="DY145" s="7">
        <v>8.640666866334977E-2</v>
      </c>
      <c r="DZ145" s="7">
        <v>0</v>
      </c>
      <c r="EA145" s="7">
        <v>0.41296288419406157</v>
      </c>
      <c r="EB145" s="7">
        <v>0</v>
      </c>
      <c r="EC145" s="7">
        <v>0</v>
      </c>
      <c r="ED145" s="7">
        <v>0</v>
      </c>
      <c r="EE145" s="7">
        <v>0</v>
      </c>
      <c r="EF145" s="7">
        <v>0</v>
      </c>
      <c r="EG145" s="7">
        <v>0</v>
      </c>
      <c r="EH145" s="7">
        <v>1.1770126174766766E-2</v>
      </c>
      <c r="EI145" s="7">
        <v>3.4372050758526805E-2</v>
      </c>
      <c r="EJ145" s="7">
        <v>0.21712444972476333</v>
      </c>
      <c r="EK145" s="7">
        <v>0.66899015480349477</v>
      </c>
      <c r="EL145" s="7">
        <v>6.7743218538448169E-2</v>
      </c>
      <c r="EM145" s="7">
        <v>6.7939025658732985E-2</v>
      </c>
      <c r="EN145" s="7">
        <v>5.2416424716025853E-2</v>
      </c>
      <c r="EO145" s="7">
        <v>0.78015670673154824</v>
      </c>
      <c r="EP145" s="7">
        <v>7.3001757795592509E-2</v>
      </c>
      <c r="EQ145" s="7">
        <v>5.5504556706157636E-2</v>
      </c>
      <c r="ER145" s="7">
        <v>3.8920554050675751E-2</v>
      </c>
      <c r="ES145" s="7">
        <v>0.43269142148385559</v>
      </c>
      <c r="ET145" s="7">
        <v>0.50063044714258864</v>
      </c>
      <c r="EU145" s="6">
        <v>1270</v>
      </c>
      <c r="EV145" s="6">
        <v>0</v>
      </c>
      <c r="EW145" s="6">
        <v>1270</v>
      </c>
      <c r="EX145" s="6">
        <v>0</v>
      </c>
      <c r="EY145" s="6">
        <v>2643.8860716023396</v>
      </c>
      <c r="EZ145" s="6">
        <v>2445</v>
      </c>
      <c r="FA145" s="6">
        <v>0</v>
      </c>
      <c r="FB145" s="6">
        <v>0</v>
      </c>
      <c r="FC145" s="6">
        <v>0</v>
      </c>
      <c r="FD145" s="6">
        <v>0</v>
      </c>
      <c r="FE145" s="6">
        <v>0</v>
      </c>
      <c r="FF145" s="6">
        <v>0</v>
      </c>
      <c r="FG145" s="6">
        <v>0</v>
      </c>
      <c r="FH145" s="6">
        <v>1171.2811379695615</v>
      </c>
      <c r="FI145" s="6">
        <v>1553.9796069512404</v>
      </c>
      <c r="FJ145" s="6">
        <v>2101.211011744741</v>
      </c>
      <c r="FK145" s="6">
        <v>2674.2006261592273</v>
      </c>
      <c r="FL145" s="6">
        <v>907.07682140966324</v>
      </c>
      <c r="FM145" s="6">
        <v>2373.8860716023396</v>
      </c>
      <c r="FN145" s="6">
        <v>0</v>
      </c>
      <c r="FO145" s="6">
        <v>0</v>
      </c>
      <c r="FP145" s="6">
        <v>0</v>
      </c>
      <c r="FQ145" s="6">
        <v>0</v>
      </c>
      <c r="FR145" s="6">
        <v>0</v>
      </c>
      <c r="FS145" s="6">
        <v>0</v>
      </c>
      <c r="FT145" s="7">
        <v>0.49936955285741136</v>
      </c>
      <c r="FU145" s="7">
        <v>6.7939025658732985E-2</v>
      </c>
      <c r="FV145" s="7">
        <v>0.43269142148385559</v>
      </c>
      <c r="FW145" s="6">
        <v>1270</v>
      </c>
      <c r="FX145" s="6">
        <v>2643.8860716023396</v>
      </c>
      <c r="FY145" s="6">
        <v>2445</v>
      </c>
      <c r="FZ145" s="6">
        <v>1952.7147957719815</v>
      </c>
      <c r="GA145" s="6">
        <v>1871.7529013142973</v>
      </c>
      <c r="GB145" s="6">
        <v>18113.247098685704</v>
      </c>
      <c r="GC145" s="7">
        <v>1.0519917368675835E-2</v>
      </c>
      <c r="GD145" s="7">
        <v>1.0567069181880646E-2</v>
      </c>
      <c r="GE145" s="7"/>
      <c r="GF145" s="7"/>
      <c r="GG145" s="7">
        <v>4.4821467272367337E-3</v>
      </c>
      <c r="GH145" s="42">
        <v>-1.1063933587997266</v>
      </c>
      <c r="GI145" s="6">
        <v>-16191.44301454048</v>
      </c>
      <c r="GJ145" s="14">
        <v>0.50394797582841733</v>
      </c>
      <c r="GK145" s="14">
        <v>0.50887573065309755</v>
      </c>
      <c r="GL145" s="14">
        <v>0.49605202417158284</v>
      </c>
      <c r="GM145" s="14">
        <v>0.49112426934690245</v>
      </c>
      <c r="GO145" s="5">
        <v>343.14810671672558</v>
      </c>
      <c r="GP145" s="5">
        <v>318.91892952659737</v>
      </c>
      <c r="GQ145" s="5">
        <v>535.04305713031317</v>
      </c>
      <c r="GR145" s="5">
        <v>410.15490233172511</v>
      </c>
      <c r="GS145" s="5">
        <v>339.42744393800166</v>
      </c>
      <c r="GT145" s="5">
        <v>293.4407446948278</v>
      </c>
      <c r="GU145" s="5">
        <v>258.04012322764959</v>
      </c>
      <c r="GV145" s="39" t="s">
        <v>392</v>
      </c>
      <c r="GW145" s="5">
        <v>492.125</v>
      </c>
      <c r="GX145" s="5">
        <v>369.09375</v>
      </c>
      <c r="GY145" s="5">
        <v>295.27499999999998</v>
      </c>
      <c r="GZ145" s="5">
        <v>246.0625</v>
      </c>
      <c r="HA145" s="5">
        <v>241.34874471337258</v>
      </c>
      <c r="HB145" s="39">
        <v>263.55343506932462</v>
      </c>
      <c r="HC145" s="5">
        <v>180.31562499999998</v>
      </c>
      <c r="HD145" s="5">
        <v>166.79497441520465</v>
      </c>
      <c r="HE145" s="5">
        <v>173.1768092105263</v>
      </c>
      <c r="HF145" s="5">
        <v>164.36813048245611</v>
      </c>
      <c r="HG145" s="5">
        <v>163.76888157894734</v>
      </c>
      <c r="HH145" s="39">
        <v>167.71708563023569</v>
      </c>
      <c r="HI145" s="16"/>
      <c r="HJ145" s="19" t="str">
        <f t="shared" ref="HJ145" si="374">HJ144</f>
        <v>On</v>
      </c>
      <c r="HK145" s="1" t="str">
        <f t="shared" si="108"/>
        <v>On</v>
      </c>
      <c r="HL145" s="16"/>
      <c r="HM145" s="639">
        <f t="shared" si="266"/>
        <v>5.7455619280273196E-3</v>
      </c>
      <c r="HN145" s="639">
        <f t="shared" si="267"/>
        <v>5.0031960498701745E-4</v>
      </c>
      <c r="HO145" s="639">
        <f t="shared" si="268"/>
        <v>3.9819433988714835E-3</v>
      </c>
      <c r="HP145" s="644">
        <f>(FT145*$GD145-HM145)/$JF145*INDEX(Input!$1:$1048576,$JG$93,$C145*2+6)</f>
        <v>-20.437916778561565</v>
      </c>
      <c r="HQ145" s="644">
        <f>(FU145*$GD145-HN145)/$JF145*INDEX(Input!$1:$1048576,$JG$93,$C145*2+6)</f>
        <v>9.4886414475597469</v>
      </c>
      <c r="HR145" s="644">
        <f>(FV145*$GD145-HO145)/$JF145*INDEX(Input!$1:$1048576,$JG$93,$C145*2+6)</f>
        <v>25.742541397376915</v>
      </c>
      <c r="HS145" s="644">
        <f t="shared" si="269"/>
        <v>-0.96321147630358084</v>
      </c>
      <c r="HT145" s="644">
        <f t="shared" si="270"/>
        <v>14.706164389320664</v>
      </c>
      <c r="HU145" s="644">
        <f t="shared" si="271"/>
        <v>5.6238847777129788</v>
      </c>
      <c r="HV145" s="648">
        <f t="shared" si="272"/>
        <v>0</v>
      </c>
      <c r="HW145" s="648">
        <f t="shared" si="273"/>
        <v>0</v>
      </c>
      <c r="HX145" s="648">
        <f t="shared" si="274"/>
        <v>0</v>
      </c>
      <c r="HY145" s="644">
        <f>INDEX(Input!$1:$1048576,HY$93,$C145*2+6)*INDEX(Input!$1:$1048576,$JG$93,$C145*2+6)</f>
        <v>110.00000000000001</v>
      </c>
      <c r="HZ145" s="644">
        <f>INDEX(Input!$1:$1048576,HZ$93,$C145*2+6)*INDEX(Input!$1:$1048576,$JG$93,$C145*2+6)</f>
        <v>157</v>
      </c>
      <c r="IA145" s="644">
        <f>INDEX(Input!$1:$1048576,IA$93,$C145*2+6)*INDEX(Input!$1:$1048576,$JG$93,$C145*2+6)</f>
        <v>179</v>
      </c>
      <c r="IB145" s="644">
        <f t="shared" si="249"/>
        <v>88.598871745134858</v>
      </c>
      <c r="IC145" s="644">
        <f t="shared" si="172"/>
        <v>181.19480583688042</v>
      </c>
      <c r="ID145" s="644">
        <f>IF(AND(INDEX(Input!$1:$1048576,IA$93,$C145*2+7)="TOS",Y145&lt;=INDEX(Y:Y,MATCH(C145*1000+2,A:A))),0,1)*MAX(IA145+HR145+HU145+HX145,0%)</f>
        <v>210.36642617508991</v>
      </c>
      <c r="IE145" s="128">
        <f t="shared" si="275"/>
        <v>0.18451943643771301</v>
      </c>
      <c r="IF145" s="128">
        <f t="shared" si="174"/>
        <v>0.37736330948591268</v>
      </c>
      <c r="IG145" s="128">
        <f t="shared" si="175"/>
        <v>0.43811725407637436</v>
      </c>
      <c r="IH145" s="21"/>
      <c r="II145" s="19">
        <f t="shared" si="276"/>
        <v>1240</v>
      </c>
      <c r="IJ145" s="19">
        <f t="shared" si="277"/>
        <v>2009.7221397149679</v>
      </c>
      <c r="IK145" s="19">
        <f t="shared" si="278"/>
        <v>2070</v>
      </c>
      <c r="IL145" s="19">
        <f t="shared" si="176"/>
        <v>30</v>
      </c>
      <c r="IM145" s="19">
        <f t="shared" si="177"/>
        <v>634.16393188737175</v>
      </c>
      <c r="IN145" s="19">
        <f t="shared" si="178"/>
        <v>375</v>
      </c>
      <c r="IO145" s="39">
        <f t="shared" si="279"/>
        <v>0</v>
      </c>
      <c r="IP145" s="39">
        <f t="shared" si="280"/>
        <v>0</v>
      </c>
      <c r="IQ145" s="39">
        <f t="shared" si="281"/>
        <v>0</v>
      </c>
      <c r="IR145" s="39">
        <v>0</v>
      </c>
      <c r="IS145" s="39">
        <v>0</v>
      </c>
      <c r="IT145" s="39">
        <v>0</v>
      </c>
      <c r="IU145" s="39">
        <v>0</v>
      </c>
      <c r="IV145" s="39">
        <v>0</v>
      </c>
      <c r="IW145" s="39">
        <v>0</v>
      </c>
      <c r="IX145" s="39">
        <f>INDEX(Input!$1:$1048576,IX$93,$C145*2+6)+INDEX(Input!$1:$1048576,IX$94,$C145*2+6)</f>
        <v>1270</v>
      </c>
      <c r="IY145" s="39">
        <f>INDEX(Input!$1:$1048576,IY$93,$C145*2+6)+INDEX(Input!$1:$1048576,IY$94,$C145*2+6)</f>
        <v>2130.0624533823611</v>
      </c>
      <c r="IZ145" s="39">
        <f>INDEX(Input!$1:$1048576,IZ$93,$C145*2+6)+INDEX(Input!$1:$1048576,IZ$94,$C145*2+6)</f>
        <v>4373.7164157747848</v>
      </c>
      <c r="JA145" s="19">
        <f t="shared" si="179"/>
        <v>1300</v>
      </c>
      <c r="JB145" s="19">
        <f t="shared" si="180"/>
        <v>2764.2263852697329</v>
      </c>
      <c r="JC145" s="19">
        <f t="shared" si="181"/>
        <v>4748.7164157747848</v>
      </c>
      <c r="JD145" s="19">
        <f t="shared" si="182"/>
        <v>3363.4874807493461</v>
      </c>
      <c r="JE145" s="21"/>
      <c r="JF145" s="1">
        <f t="shared" si="282"/>
        <v>1.022782493188582E-2</v>
      </c>
      <c r="JG145" s="15">
        <f>INDEX(Input!$1:$1048576,JG$93,$C145*2+6)/(1+VLOOKUP(C145*1000+INDEX(Input!$1:$1048576,JG$93+1,$C145*2+6),$A:$KK,$JK$92,FALSE))</f>
        <v>446</v>
      </c>
      <c r="JH145" s="1">
        <f t="shared" si="251"/>
        <v>3.3168757996356719E-2</v>
      </c>
      <c r="JI145" s="1">
        <f t="shared" si="252"/>
        <v>4.3423402894013592E-2</v>
      </c>
      <c r="JJ145" s="1">
        <f t="shared" si="253"/>
        <v>0</v>
      </c>
      <c r="JK145" s="1">
        <f t="shared" si="254"/>
        <v>7.6592160890370312E-2</v>
      </c>
      <c r="JL145" s="15">
        <f t="shared" si="184"/>
        <v>34.160103757105162</v>
      </c>
      <c r="JM145" s="15">
        <f t="shared" si="185"/>
        <v>480.16010375710516</v>
      </c>
      <c r="JN145" s="21"/>
      <c r="JO145" s="19">
        <f>INDEX(Input!$1:$1048576,JO$93,$C145*2+6)</f>
        <v>5995.5</v>
      </c>
      <c r="JP145" s="19">
        <f>INDEX(Input!$1:$1048576,JP$93,$C145*2+6)</f>
        <v>2818.4193802796353</v>
      </c>
      <c r="JQ145" s="39">
        <f t="shared" si="186"/>
        <v>2632.0125192506539</v>
      </c>
      <c r="JR145" s="39">
        <f t="shared" si="187"/>
        <v>545.06810046971077</v>
      </c>
      <c r="JS145" s="39">
        <f t="shared" si="188"/>
        <v>1.6150124977423301</v>
      </c>
      <c r="JT145" s="39">
        <f t="shared" si="189"/>
        <v>0.35799745413761286</v>
      </c>
      <c r="JU145" s="385">
        <f>(JQ145*JM145-INDEX(Input!$1:$1048576,Input!A$18,$C145*2+6)*JL145*INDEX(Input!$1:$1048576,Input!A$19,$C145*2+6))/1000000</f>
        <v>1.2637874043333939</v>
      </c>
      <c r="JV145" s="39">
        <f t="shared" si="192"/>
        <v>-0.15319055206188881</v>
      </c>
      <c r="JW145" s="1">
        <f t="shared" si="190"/>
        <v>-0.10811075173787284</v>
      </c>
      <c r="JX145" s="19">
        <f t="shared" si="191"/>
        <v>10479.987317460969</v>
      </c>
      <c r="JZ145" s="341"/>
      <c r="KA145" s="342"/>
      <c r="KB145" s="469">
        <f t="shared" si="110"/>
        <v>2.9286733661474216</v>
      </c>
      <c r="KI145" s="473">
        <f t="shared" si="283"/>
        <v>-21.401128254865156</v>
      </c>
      <c r="KJ145" s="473">
        <f t="shared" si="284"/>
        <v>24.19480583688042</v>
      </c>
      <c r="KK145" s="473">
        <f t="shared" si="257"/>
        <v>31.366426175089913</v>
      </c>
      <c r="KN145" s="544">
        <f t="shared" si="258"/>
        <v>1002</v>
      </c>
      <c r="KO145" s="541">
        <f t="shared" si="285"/>
        <v>7.2179183934908853E-2</v>
      </c>
      <c r="KP145" s="546">
        <f t="shared" si="286"/>
        <v>385.71151227653496</v>
      </c>
      <c r="KQ145" s="546">
        <f t="shared" si="287"/>
        <v>524.17128073069443</v>
      </c>
      <c r="KR145" s="548">
        <f t="shared" si="288"/>
        <v>3.2085157567227962</v>
      </c>
      <c r="KS145" s="548">
        <f t="shared" si="289"/>
        <v>2.36098678081615</v>
      </c>
      <c r="KT145" s="473">
        <f t="shared" si="112"/>
        <v>238.28695973331548</v>
      </c>
      <c r="KU145" s="663">
        <f t="shared" si="290"/>
        <v>6.0312169536660507</v>
      </c>
      <c r="KV145" s="117"/>
    </row>
    <row r="146" spans="1:308" s="26" customFormat="1" ht="15">
      <c r="A146" s="561">
        <f t="shared" si="168"/>
        <v>1046</v>
      </c>
      <c r="B146" s="561">
        <f t="shared" si="104"/>
        <v>46</v>
      </c>
      <c r="C146" s="561">
        <f t="shared" si="105"/>
        <v>1</v>
      </c>
      <c r="D146" s="561" t="str">
        <f t="shared" si="294"/>
        <v xml:space="preserve">0/0/0/3.9, 360 Lease, </v>
      </c>
      <c r="E146" s="475">
        <f>INDEX(Input!$1:$1048576,E$93,$C146*2+MIN($B146,2)+5)
+INDEX(Scenarios!E$121:E$200,MATCH($B146,Scenarios!$B$121:$B$200,0))</f>
        <v>1229</v>
      </c>
      <c r="F146" s="475">
        <f>INDEX(Input!$1:$1048576,F$93,$C146*2+MIN($B146,2)+5)
+INDEX(Scenarios!F$121:F$200,MATCH($B146,Scenarios!$B$121:$B$200,0))</f>
        <v>0</v>
      </c>
      <c r="G146" s="475">
        <f>INDEX(Input!$1:$1048576,G$93,$C146*2+MIN($B146,2)+5)
+INDEX(Scenarios!G$121:G$200,MATCH($B146,Scenarios!$B$121:$B$200,0))</f>
        <v>0</v>
      </c>
      <c r="H146" s="475">
        <f>INDEX(Input!$1:$1048576,H$93,$C146*2+MIN($B146,2)+5)
+INDEX(Scenarios!H$121:H$200,MATCH($B146,Scenarios!$B$121:$B$200,0))</f>
        <v>0</v>
      </c>
      <c r="I146" s="476">
        <f>INDEX(Input!$1:$1048576,I$93,$C146*2+MIN($B146,2)+5)</f>
        <v>0.7</v>
      </c>
      <c r="J146" s="476" t="str">
        <f>INDEX(Input!$1:$1048576,J$93,$C146*2+MIN($B146,2)+5)</f>
        <v>Market</v>
      </c>
      <c r="K146" s="476" t="str">
        <f>INDEX(Input!$1:$1048576,K$93,$C146*2+MIN($B146,2)+5)</f>
        <v>Market</v>
      </c>
      <c r="L146" s="476" t="str">
        <f>INDEX(Input!$1:$1048576,L$93,$C146*2+MIN($B146,2)+5)</f>
        <v>Market</v>
      </c>
      <c r="M146" s="476" t="str">
        <f>INDEX(Input!$1:$1048576,M$93,$C146*2+MIN($B146,2)+5)</f>
        <v>Market</v>
      </c>
      <c r="N146" s="476" t="str">
        <f>INDEX(Input!$1:$1048576,N$93,$C146*2+MIN($B146,2)+5)</f>
        <v>Market</v>
      </c>
      <c r="O146" s="476" t="str">
        <f>INDEX(Input!$1:$1048576,O$93,$C146*2+MIN($B146,2)+5)</f>
        <v>Market</v>
      </c>
      <c r="P146" s="476" t="str">
        <f>INDEX(Input!$1:$1048576,P$93,$C146*2+MIN($B146,2)+5)</f>
        <v>N</v>
      </c>
      <c r="Q146" s="477">
        <f>INDEX(Input!$1:$1048576,Q$93,$C146*2+MIN($B146,2)+5)
+INDEX(Scenarios!Q$121:Q$200,MATCH($B146,Scenarios!$B$121:$B$200,0))</f>
        <v>0</v>
      </c>
      <c r="R146" s="478">
        <f>IFERROR(MAX(0,INDEX(Input!$1:$1048576,R$93,$C146*2+MIN($B146,2)+5)
+INDEX(Scenarios!R$121:R$200,MATCH($B146,Scenarios!$B$121:$B$200,0)),),"Market")</f>
        <v>0</v>
      </c>
      <c r="S146" s="478">
        <f>IFERROR(MAX(0,INDEX(Input!$1:$1048576,S$93,$C146*2+MIN($B146,2)+5)
+INDEX(Scenarios!S$121:S$200,MATCH($B146,Scenarios!$B$121:$B$200,0)),),"Market")</f>
        <v>0</v>
      </c>
      <c r="T146" s="478">
        <f>IFERROR(MAX(0,INDEX(Input!$1:$1048576,T$93,$C146*2+MIN($B146,2)+5)
+INDEX(Scenarios!T$121:T$200,MATCH($B146,Scenarios!$B$121:$B$200,0)),),"Market")</f>
        <v>0</v>
      </c>
      <c r="U146" s="478">
        <f>IFERROR(MAX(0,INDEX(Input!$1:$1048576,U$93,$C146*2+MIN($B146,2)+5)
+INDEX(Scenarios!U$121:U$200,MATCH($B146,Scenarios!$B$121:$B$200,0)),),"Market")</f>
        <v>0</v>
      </c>
      <c r="V146" s="478">
        <f>IFERROR(MAX(0,INDEX(Input!$1:$1048576,V$93,$C146*2+MIN($B146,2)+5)
+INDEX(Scenarios!V$121:V$200,MATCH($B146,Scenarios!$B$121:$B$200,0)),),"Market")</f>
        <v>0</v>
      </c>
      <c r="W146" s="885">
        <f>IFERROR(MAX(0,INDEX(Input!$1:$1048576,W$93,$C146*2+MIN($B146,2)+5)-0%,),"Market")</f>
        <v>3.9E-2</v>
      </c>
      <c r="X146" s="476" t="str">
        <f>INDEX(Input!$1:$1048576,X$93,$C146*2+MIN($B146,2)+5)</f>
        <v>Y</v>
      </c>
      <c r="Y146" s="475">
        <f>INDEX(Input!$1:$1048576,Y$93,$C146*2+MIN($B146,2)+5)
++INDEX(Scenarios!Y$121:Y$200,MATCH($B146,Scenarios!$B$121:$B$200,0))</f>
        <v>2302</v>
      </c>
      <c r="Z146" s="477">
        <f>INDEX(Input!$1:$1048576,Z$93,$C146*2+MIN($B146,2)+5)
+INDEX(Scenarios!Z$121:Z$200,MATCH($B146,Scenarios!$B$121:$B$200,0))</f>
        <v>0</v>
      </c>
      <c r="AA146" s="475">
        <f>INDEX(Input!$1:$1048576,AA$93,$C146*2+MIN($B146,2)+5)
+INDEX(Scenarios!AA$121:AA$200,MATCH($B146,Scenarios!$B$121:$B$200,0))</f>
        <v>0</v>
      </c>
      <c r="AB146" s="476">
        <f>INDEX(Input!$1:$1048576,AB$93,$C146*2+MIN($B146,2)+5)</f>
        <v>0.27</v>
      </c>
      <c r="AC146" s="475">
        <f>INDEX(Input!$1:$1048576,AC$93,$C146*2+MIN($B146,2)+5)
+INDEX(Scenarios!AC$121:AC$200,MATCH($B146,Scenarios!$B$121:$B$200,0))</f>
        <v>0</v>
      </c>
      <c r="AD146" s="476">
        <f>INDEX(Input!$1:$1048576,AD$93,$C146*2+MIN($B146,2)+5)</f>
        <v>0.27</v>
      </c>
      <c r="AE146" s="475">
        <f>INDEX(Input!$1:$1048576,AE$93,$C146*2+MIN($B146,2)+5)
+INDEX(Scenarios!AE$121:AE$200,MATCH($B146,Scenarios!$B$121:$B$200,0))</f>
        <v>0</v>
      </c>
      <c r="AF146" s="476">
        <f>INDEX(Input!$1:$1048576,AF$93,$C146*2+MIN($B146,2)+5)</f>
        <v>0.38</v>
      </c>
      <c r="AG146" s="475">
        <f>INDEX(Input!$1:$1048576,AG$93,$C146*2+MIN($B146,2)+5)
+INDEX(Scenarios!AG$121:AG$200,MATCH($B146,Scenarios!$B$121:$B$200,0))</f>
        <v>0</v>
      </c>
      <c r="AH146" s="476">
        <f>INDEX(Input!$1:$1048576,AH$93,$C146*2+MIN($B146,2)+5)</f>
        <v>0</v>
      </c>
      <c r="AI146" s="475">
        <f>INDEX(Input!$1:$1048576,AI$93,$C146*2+MIN($B146,2)+5)
+INDEX(Scenarios!AI$121:AI$200,MATCH($B146,Scenarios!$B$121:$B$200,0))</f>
        <v>0</v>
      </c>
      <c r="AJ146" s="476">
        <f>INDEX(Input!$1:$1048576,AJ$93,$C146*2+MIN($B146,2)+5)</f>
        <v>0.27</v>
      </c>
      <c r="AK146" s="150">
        <f>ROUND(INDEX(Input!$1:$1048576,AK$93,$C145*2+MIN($B146,1)+5)+(Y146-VLOOKUP($C146*1000+1,$A:$HH,Y$92,FALSE)),0)</f>
        <v>4117</v>
      </c>
      <c r="AL146" s="150">
        <f>ROUND(INDEX(Input!$1:$1048576,AL$93,$C145*2+MIN($B146,1)+5)-(Y146-VLOOKUP($C146*1000+1,$A:$HH,Y$92,FALSE))/36,0)</f>
        <v>4103</v>
      </c>
      <c r="AM146" s="32" t="str">
        <f t="shared" si="169"/>
        <v>std/std/std/std</v>
      </c>
      <c r="AN146" s="32" t="str">
        <f t="shared" si="170"/>
        <v>$0 + 0/0/0/0/3.9</v>
      </c>
      <c r="AO146" s="32" t="str">
        <f t="shared" si="171"/>
        <v>0/0/0/0/3.9</v>
      </c>
      <c r="AP146" s="32" t="str">
        <f t="shared" si="73"/>
        <v>0/0/0/3.9</v>
      </c>
      <c r="AQ146" s="536">
        <f t="shared" si="39"/>
        <v>0.18451943643771301</v>
      </c>
      <c r="AR146" s="32"/>
      <c r="AS146" s="302"/>
      <c r="AT146" s="3">
        <f t="shared" si="106"/>
        <v>46</v>
      </c>
      <c r="AU146" s="41" t="s">
        <v>121</v>
      </c>
      <c r="AV146" s="41" t="s">
        <v>116</v>
      </c>
      <c r="AW146" s="41" t="str">
        <f>INDEX(Input!$1:$1048576,AW$93,$C146*2+6)</f>
        <v>Kia</v>
      </c>
      <c r="AX146" s="41" t="str">
        <f>INDEX(Input!$1:$1048576,AX$93,$C146*2+6)</f>
        <v>Kia-LR - L1</v>
      </c>
      <c r="AY146" s="41" t="str">
        <f>IF(LEN(D146)=0,"",INDEX(Input!$1:$1048576,AY$93,$C146*2+6))</f>
        <v>Compact SUV (52)</v>
      </c>
      <c r="AZ146" s="41" t="str">
        <f>INDEX(Input!$1:$1048576,AZ$93,$C146*2+6)</f>
        <v>Kia Soul</v>
      </c>
      <c r="BA146" s="3">
        <f>INDEX(Input!$1:$1048576,BA$93,$C146*2+6)</f>
        <v>2020</v>
      </c>
      <c r="BB146" s="128">
        <f>INDEX(Input!$1:$1048576,BB$93,$C146*2+6)</f>
        <v>1</v>
      </c>
      <c r="BC146" s="128">
        <f>INDEX(Input!$1:$1048576,BC$93,$C146*2+6)</f>
        <v>0.7</v>
      </c>
      <c r="BD146" s="1">
        <f>INDEX(Input!$1:$1048576,BD$93,$C146*2+6)</f>
        <v>4.4999999999999998E-2</v>
      </c>
      <c r="BE146" s="1">
        <f>INDEX(Input!$1:$1048576,BE$93,$C146*2+6)</f>
        <v>4.4999999999999998E-2</v>
      </c>
      <c r="BF146" s="1">
        <f>INDEX(Input!$1:$1048576,BF$93,$C146*2+6)</f>
        <v>0.05</v>
      </c>
      <c r="BG146" s="1">
        <f>INDEX(Input!$1:$1048576,BG$93,$C146*2+6)</f>
        <v>5.45E-2</v>
      </c>
      <c r="BH146" s="1">
        <f>INDEX(Input!$1:$1048576,BH$93,$C146*2+6)</f>
        <v>5.45E-2</v>
      </c>
      <c r="BI146" s="1">
        <f>INDEX(Input!$1:$1048576,BI$93,$C146*2+6)</f>
        <v>0.05</v>
      </c>
      <c r="BJ146" s="1">
        <f>INDEX(Input!$1:$1048576,BJ$93,$C146*2+6)</f>
        <v>0.05</v>
      </c>
      <c r="BK146" s="1">
        <f>INDEX(Input!$1:$1048576,BK$93,$C146*2+6)</f>
        <v>0.05</v>
      </c>
      <c r="BL146" s="1">
        <f>INDEX(Input!$1:$1048576,BL$93,$C146*2+6)</f>
        <v>5.5E-2</v>
      </c>
      <c r="BM146" s="1">
        <f>INDEX(Input!$1:$1048576,BM$93,$C146*2+6)</f>
        <v>0.06</v>
      </c>
      <c r="BN146" s="1">
        <f>INDEX(Input!$1:$1048576,BN$93,$C146*2+6)</f>
        <v>4.4999999999999998E-2</v>
      </c>
      <c r="BO146" s="1">
        <f>INDEX(Input!$1:$1048576,BO$93,$C146*2+6)</f>
        <v>4.4999999999999998E-2</v>
      </c>
      <c r="BP146" s="1">
        <f>INDEX(Input!$1:$1048576,BP$93,$C146*2+6)</f>
        <v>0.05</v>
      </c>
      <c r="BQ146" s="1">
        <f>INDEX(Input!$1:$1048576,BQ$93,$C146*2+6)</f>
        <v>5.45E-2</v>
      </c>
      <c r="BR146" s="1">
        <f>INDEX(Input!$1:$1048576,BR$93,$C146*2+6)</f>
        <v>5.45E-2</v>
      </c>
      <c r="BS146" s="1">
        <f>INDEX(Input!$1:$1048576,BS$93,$C146*2+6)</f>
        <v>0.05</v>
      </c>
      <c r="BT146" s="1">
        <f>INDEX(Input!$1:$1048576,BT$93,$C146*2+6)</f>
        <v>0.05</v>
      </c>
      <c r="BU146" s="1">
        <f>INDEX(Input!$1:$1048576,BU$93,$C146*2+6)</f>
        <v>0.05</v>
      </c>
      <c r="BV146" s="1">
        <f>INDEX(Input!$1:$1048576,BV$93,$C146*2+6)</f>
        <v>5.5E-2</v>
      </c>
      <c r="BW146" s="1">
        <f>INDEX(Input!$1:$1048576,BW$93,$C146*2+6)</f>
        <v>0.06</v>
      </c>
      <c r="BX146" s="127">
        <f>INDEX(Input!$1:$1048576,BX$93,$C146*2+6)</f>
        <v>19985</v>
      </c>
      <c r="BY146" s="20">
        <f>INDEX(Input!$1:$1048576,BY$93,$C146*2+6)</f>
        <v>0.1</v>
      </c>
      <c r="BZ146" s="20">
        <f>INDEX(Input!$1:$1048576,BZ$93,$C146*2+6)</f>
        <v>0.1</v>
      </c>
      <c r="CA146" s="20">
        <f>INDEX(Input!$1:$1048576,CA$93,$C146*2+6)</f>
        <v>0.1</v>
      </c>
      <c r="CB146" s="20">
        <f>INDEX(Input!$1:$1048576,CB$93,$C146*2+6)</f>
        <v>0.1</v>
      </c>
      <c r="CC146" s="20">
        <f>INDEX(Input!$1:$1048576,CC$93,$C146*2+6)</f>
        <v>0.1</v>
      </c>
      <c r="CD146" s="384">
        <f>INDEX(Input!$1:$1048576,CD$93,$C146*2+6)</f>
        <v>0.1</v>
      </c>
      <c r="CE146" s="384">
        <f>INDEX(Input!$1:$1048576,CE$93,$C146*2+6)</f>
        <v>0.1</v>
      </c>
      <c r="CF146" s="384">
        <f>INDEX(Input!$1:$1048576,CF$93,$C146*2+6)</f>
        <v>0.1</v>
      </c>
      <c r="CG146" s="384">
        <f>INDEX(Input!$1:$1048576,CG$93,$C146*2+6)</f>
        <v>0.1</v>
      </c>
      <c r="CH146" s="384">
        <f>INDEX(Input!$1:$1048576,CH$93,$C146*2+6)</f>
        <v>0.1</v>
      </c>
      <c r="CI146" s="304">
        <f t="shared" si="74"/>
        <v>1229</v>
      </c>
      <c r="CJ146" s="16" t="str">
        <f>INDEX(Input!$1:$1048576,CJ$93,$C146*2+6)</f>
        <v>N</v>
      </c>
      <c r="CK146" s="1" t="str">
        <f t="shared" si="75"/>
        <v>Market</v>
      </c>
      <c r="CL146" s="1" t="str">
        <f t="shared" si="76"/>
        <v>Market</v>
      </c>
      <c r="CM146" s="1" t="str">
        <f t="shared" si="77"/>
        <v>Market</v>
      </c>
      <c r="CN146" s="1" t="str">
        <f t="shared" si="78"/>
        <v>Market</v>
      </c>
      <c r="CO146" s="1" t="str">
        <f t="shared" si="79"/>
        <v>Market</v>
      </c>
      <c r="CP146" s="304">
        <f t="shared" si="80"/>
        <v>0</v>
      </c>
      <c r="CQ146" s="1">
        <f t="shared" si="81"/>
        <v>0</v>
      </c>
      <c r="CR146" s="1">
        <f t="shared" si="82"/>
        <v>0</v>
      </c>
      <c r="CS146" s="1">
        <f t="shared" si="83"/>
        <v>0</v>
      </c>
      <c r="CT146" s="1">
        <f t="shared" si="84"/>
        <v>0</v>
      </c>
      <c r="CU146" s="1">
        <f t="shared" si="85"/>
        <v>3.9E-2</v>
      </c>
      <c r="CV146" s="304">
        <f t="shared" si="86"/>
        <v>2302</v>
      </c>
      <c r="CW146" s="20" t="s">
        <v>122</v>
      </c>
      <c r="CX146" s="20" t="s">
        <v>122</v>
      </c>
      <c r="CY146" s="20" t="s">
        <v>122</v>
      </c>
      <c r="CZ146" s="20" t="s">
        <v>122</v>
      </c>
      <c r="DA146" s="20" t="s">
        <v>122</v>
      </c>
      <c r="DB146" s="503">
        <f t="shared" si="87"/>
        <v>0</v>
      </c>
      <c r="DC146" s="127">
        <v>0</v>
      </c>
      <c r="DD146" s="127">
        <v>0</v>
      </c>
      <c r="DE146" s="127">
        <v>0</v>
      </c>
      <c r="DF146" s="127">
        <v>0</v>
      </c>
      <c r="DG146" s="127">
        <v>0</v>
      </c>
      <c r="DH146" s="127">
        <v>0</v>
      </c>
      <c r="DI146" s="127">
        <v>0</v>
      </c>
      <c r="DJ146" s="127">
        <v>0</v>
      </c>
      <c r="DK146" s="127">
        <v>0</v>
      </c>
      <c r="DL146" s="127">
        <v>0</v>
      </c>
      <c r="DM146" s="304">
        <f>INDEX(Input!$1:$1048576,DM$93,$C146*2+6)</f>
        <v>21036.84210526316</v>
      </c>
      <c r="DN146" s="20">
        <v>0</v>
      </c>
      <c r="DO146" s="20">
        <v>0</v>
      </c>
      <c r="DP146" s="20">
        <v>0</v>
      </c>
      <c r="DQ146" s="20">
        <v>0</v>
      </c>
      <c r="DR146" s="20">
        <v>0</v>
      </c>
      <c r="DS146" s="20">
        <f>INDEX(Input!$1:$1048576,DS$93,$C146*2+6)</f>
        <v>0.6</v>
      </c>
      <c r="DT146" s="20">
        <f>INDEX(Input!$1:$1048576,DT$93,$C146*2+6)</f>
        <v>0.55000000000000004</v>
      </c>
      <c r="DU146" s="20">
        <f>INDEX(Input!$1:$1048576,DU$93,$C146*2+6)</f>
        <v>0.52</v>
      </c>
      <c r="DV146" s="20">
        <f>INDEX(Input!$1:$1048576,DV$93,$C146*2+6)</f>
        <v>0.5</v>
      </c>
      <c r="DW146" s="20">
        <f>INDEX(Input!$1:$1048576,DW$93,$C146*2+6)</f>
        <v>0.45</v>
      </c>
      <c r="DX146" s="20"/>
      <c r="DY146" s="7">
        <v>8.640666866334977E-2</v>
      </c>
      <c r="DZ146" s="7">
        <v>0</v>
      </c>
      <c r="EA146" s="7">
        <v>0.41296288419406157</v>
      </c>
      <c r="EB146" s="7">
        <v>0</v>
      </c>
      <c r="EC146" s="7">
        <v>0</v>
      </c>
      <c r="ED146" s="7">
        <v>0</v>
      </c>
      <c r="EE146" s="7">
        <v>0</v>
      </c>
      <c r="EF146" s="7">
        <v>0</v>
      </c>
      <c r="EG146" s="7">
        <v>0</v>
      </c>
      <c r="EH146" s="7">
        <v>1.1770126174766766E-2</v>
      </c>
      <c r="EI146" s="7">
        <v>3.4372050758526805E-2</v>
      </c>
      <c r="EJ146" s="7">
        <v>0.21712444972476333</v>
      </c>
      <c r="EK146" s="7">
        <v>0.66899015480349477</v>
      </c>
      <c r="EL146" s="7">
        <v>6.7743218538448169E-2</v>
      </c>
      <c r="EM146" s="7">
        <v>6.7939025658732985E-2</v>
      </c>
      <c r="EN146" s="7">
        <v>5.2416424716025853E-2</v>
      </c>
      <c r="EO146" s="7">
        <v>0.78015670673154824</v>
      </c>
      <c r="EP146" s="7">
        <v>7.3001757795592509E-2</v>
      </c>
      <c r="EQ146" s="7">
        <v>5.5504556706157636E-2</v>
      </c>
      <c r="ER146" s="7">
        <v>3.8920554050675751E-2</v>
      </c>
      <c r="ES146" s="7">
        <v>0.43269142148385559</v>
      </c>
      <c r="ET146" s="7">
        <v>0.50063044714258864</v>
      </c>
      <c r="EU146" s="6">
        <v>1270</v>
      </c>
      <c r="EV146" s="6">
        <v>0</v>
      </c>
      <c r="EW146" s="6">
        <v>1270</v>
      </c>
      <c r="EX146" s="6">
        <v>0</v>
      </c>
      <c r="EY146" s="6">
        <v>2643.8860716023396</v>
      </c>
      <c r="EZ146" s="6">
        <v>2445</v>
      </c>
      <c r="FA146" s="6">
        <v>0</v>
      </c>
      <c r="FB146" s="6">
        <v>0</v>
      </c>
      <c r="FC146" s="6">
        <v>0</v>
      </c>
      <c r="FD146" s="6">
        <v>0</v>
      </c>
      <c r="FE146" s="6">
        <v>0</v>
      </c>
      <c r="FF146" s="6">
        <v>0</v>
      </c>
      <c r="FG146" s="6">
        <v>0</v>
      </c>
      <c r="FH146" s="6">
        <v>1171.2811379695615</v>
      </c>
      <c r="FI146" s="6">
        <v>1553.9796069512404</v>
      </c>
      <c r="FJ146" s="6">
        <v>2101.211011744741</v>
      </c>
      <c r="FK146" s="6">
        <v>2674.2006261592273</v>
      </c>
      <c r="FL146" s="6">
        <v>907.07682140966324</v>
      </c>
      <c r="FM146" s="6">
        <v>2373.8860716023396</v>
      </c>
      <c r="FN146" s="6">
        <v>0</v>
      </c>
      <c r="FO146" s="6">
        <v>0</v>
      </c>
      <c r="FP146" s="6">
        <v>0</v>
      </c>
      <c r="FQ146" s="6">
        <v>0</v>
      </c>
      <c r="FR146" s="6">
        <v>0</v>
      </c>
      <c r="FS146" s="6">
        <v>0</v>
      </c>
      <c r="FT146" s="7">
        <v>0.49936955285741136</v>
      </c>
      <c r="FU146" s="7">
        <v>6.7939025658732985E-2</v>
      </c>
      <c r="FV146" s="7">
        <v>0.43269142148385559</v>
      </c>
      <c r="FW146" s="6">
        <v>1270</v>
      </c>
      <c r="FX146" s="6">
        <v>2643.8860716023396</v>
      </c>
      <c r="FY146" s="6">
        <v>2445</v>
      </c>
      <c r="FZ146" s="6">
        <v>1952.7147957719815</v>
      </c>
      <c r="GA146" s="6">
        <v>1871.7529013142973</v>
      </c>
      <c r="GB146" s="6">
        <v>18113.247098685704</v>
      </c>
      <c r="GC146" s="7">
        <v>1.0519917368675835E-2</v>
      </c>
      <c r="GD146" s="7">
        <v>1.0567069181880646E-2</v>
      </c>
      <c r="GE146" s="7"/>
      <c r="GF146" s="7"/>
      <c r="GG146" s="7">
        <v>4.4821467272367337E-3</v>
      </c>
      <c r="GH146" s="42">
        <v>-1.1063933587997266</v>
      </c>
      <c r="GI146" s="6">
        <v>-16191.44301454048</v>
      </c>
      <c r="GJ146" s="14">
        <v>0.50394797582841733</v>
      </c>
      <c r="GK146" s="14">
        <v>0.50887573065309755</v>
      </c>
      <c r="GL146" s="14">
        <v>0.49605202417158284</v>
      </c>
      <c r="GM146" s="14">
        <v>0.49112426934690245</v>
      </c>
      <c r="GO146" s="5">
        <v>343.14810671672558</v>
      </c>
      <c r="GP146" s="5">
        <v>318.91892952659737</v>
      </c>
      <c r="GQ146" s="5">
        <v>535.04305713031317</v>
      </c>
      <c r="GR146" s="5">
        <v>410.15490233172511</v>
      </c>
      <c r="GS146" s="5">
        <v>339.42744393800166</v>
      </c>
      <c r="GT146" s="5">
        <v>293.4407446948278</v>
      </c>
      <c r="GU146" s="5">
        <v>258.04012322764959</v>
      </c>
      <c r="GV146" s="39" t="s">
        <v>392</v>
      </c>
      <c r="GW146" s="5">
        <v>492.125</v>
      </c>
      <c r="GX146" s="5">
        <v>369.09375</v>
      </c>
      <c r="GY146" s="5">
        <v>295.27499999999998</v>
      </c>
      <c r="GZ146" s="5">
        <v>246.0625</v>
      </c>
      <c r="HA146" s="5">
        <v>241.34874471337258</v>
      </c>
      <c r="HB146" s="39">
        <v>263.55343506932462</v>
      </c>
      <c r="HC146" s="5">
        <v>180.31562499999998</v>
      </c>
      <c r="HD146" s="5">
        <v>166.79497441520465</v>
      </c>
      <c r="HE146" s="5">
        <v>173.1768092105263</v>
      </c>
      <c r="HF146" s="5">
        <v>164.36813048245611</v>
      </c>
      <c r="HG146" s="5">
        <v>163.76888157894734</v>
      </c>
      <c r="HH146" s="39">
        <v>167.71708563023569</v>
      </c>
      <c r="HI146" s="16"/>
      <c r="HJ146" s="19" t="str">
        <f t="shared" ref="HJ146" si="375">HJ145</f>
        <v>On</v>
      </c>
      <c r="HK146" s="1" t="str">
        <f t="shared" si="108"/>
        <v>On</v>
      </c>
      <c r="HL146" s="16"/>
      <c r="HM146" s="639">
        <f t="shared" si="266"/>
        <v>5.7455619280273196E-3</v>
      </c>
      <c r="HN146" s="639">
        <f t="shared" si="267"/>
        <v>5.0031960498701745E-4</v>
      </c>
      <c r="HO146" s="639">
        <f t="shared" si="268"/>
        <v>3.9819433988714835E-3</v>
      </c>
      <c r="HP146" s="644">
        <f>(FT146*$GD146-HM146)/$JF146*INDEX(Input!$1:$1048576,$JG$93,$C146*2+6)</f>
        <v>-20.437916778561565</v>
      </c>
      <c r="HQ146" s="644">
        <f>(FU146*$GD146-HN146)/$JF146*INDEX(Input!$1:$1048576,$JG$93,$C146*2+6)</f>
        <v>9.4886414475597469</v>
      </c>
      <c r="HR146" s="644">
        <f>(FV146*$GD146-HO146)/$JF146*INDEX(Input!$1:$1048576,$JG$93,$C146*2+6)</f>
        <v>25.742541397376915</v>
      </c>
      <c r="HS146" s="644">
        <f t="shared" si="269"/>
        <v>-0.96321147630358084</v>
      </c>
      <c r="HT146" s="644">
        <f t="shared" si="270"/>
        <v>14.706164389320664</v>
      </c>
      <c r="HU146" s="644">
        <f t="shared" si="271"/>
        <v>5.6238847777129788</v>
      </c>
      <c r="HV146" s="648">
        <f t="shared" si="272"/>
        <v>0</v>
      </c>
      <c r="HW146" s="648">
        <f t="shared" si="273"/>
        <v>0</v>
      </c>
      <c r="HX146" s="648">
        <f t="shared" si="274"/>
        <v>0</v>
      </c>
      <c r="HY146" s="644">
        <f>INDEX(Input!$1:$1048576,HY$93,$C146*2+6)*INDEX(Input!$1:$1048576,$JG$93,$C146*2+6)</f>
        <v>110.00000000000001</v>
      </c>
      <c r="HZ146" s="644">
        <f>INDEX(Input!$1:$1048576,HZ$93,$C146*2+6)*INDEX(Input!$1:$1048576,$JG$93,$C146*2+6)</f>
        <v>157</v>
      </c>
      <c r="IA146" s="644">
        <f>INDEX(Input!$1:$1048576,IA$93,$C146*2+6)*INDEX(Input!$1:$1048576,$JG$93,$C146*2+6)</f>
        <v>179</v>
      </c>
      <c r="IB146" s="644">
        <f t="shared" si="249"/>
        <v>88.598871745134858</v>
      </c>
      <c r="IC146" s="644">
        <f t="shared" si="172"/>
        <v>181.19480583688042</v>
      </c>
      <c r="ID146" s="644">
        <f>IF(AND(INDEX(Input!$1:$1048576,IA$93,$C146*2+7)="TOS",Y146&lt;=INDEX(Y:Y,MATCH(C146*1000+2,A:A))),0,1)*MAX(IA146+HR146+HU146+HX146,0%)</f>
        <v>210.36642617508991</v>
      </c>
      <c r="IE146" s="128">
        <f t="shared" si="275"/>
        <v>0.18451943643771301</v>
      </c>
      <c r="IF146" s="128">
        <f t="shared" si="174"/>
        <v>0.37736330948591268</v>
      </c>
      <c r="IG146" s="128">
        <f t="shared" si="175"/>
        <v>0.43811725407637436</v>
      </c>
      <c r="IH146" s="21"/>
      <c r="II146" s="19">
        <f t="shared" si="276"/>
        <v>1240</v>
      </c>
      <c r="IJ146" s="19">
        <f t="shared" si="277"/>
        <v>2009.7221397149679</v>
      </c>
      <c r="IK146" s="19">
        <f t="shared" si="278"/>
        <v>2070</v>
      </c>
      <c r="IL146" s="19">
        <f t="shared" si="176"/>
        <v>30</v>
      </c>
      <c r="IM146" s="19">
        <f t="shared" si="177"/>
        <v>634.16393188737175</v>
      </c>
      <c r="IN146" s="19">
        <f t="shared" si="178"/>
        <v>375</v>
      </c>
      <c r="IO146" s="39">
        <f t="shared" si="279"/>
        <v>0</v>
      </c>
      <c r="IP146" s="39">
        <f t="shared" si="280"/>
        <v>0</v>
      </c>
      <c r="IQ146" s="39">
        <f t="shared" si="281"/>
        <v>0</v>
      </c>
      <c r="IR146" s="39">
        <v>0</v>
      </c>
      <c r="IS146" s="39">
        <v>0</v>
      </c>
      <c r="IT146" s="39">
        <v>0</v>
      </c>
      <c r="IU146" s="39">
        <v>0</v>
      </c>
      <c r="IV146" s="39">
        <v>0</v>
      </c>
      <c r="IW146" s="39">
        <v>0</v>
      </c>
      <c r="IX146" s="39">
        <f>INDEX(Input!$1:$1048576,IX$93,$C146*2+6)+INDEX(Input!$1:$1048576,IX$94,$C146*2+6)</f>
        <v>1270</v>
      </c>
      <c r="IY146" s="39">
        <f>INDEX(Input!$1:$1048576,IY$93,$C146*2+6)+INDEX(Input!$1:$1048576,IY$94,$C146*2+6)</f>
        <v>2130.0624533823611</v>
      </c>
      <c r="IZ146" s="39">
        <f>INDEX(Input!$1:$1048576,IZ$93,$C146*2+6)+INDEX(Input!$1:$1048576,IZ$94,$C146*2+6)</f>
        <v>4373.7164157747848</v>
      </c>
      <c r="JA146" s="19">
        <f t="shared" si="179"/>
        <v>1300</v>
      </c>
      <c r="JB146" s="19">
        <f t="shared" si="180"/>
        <v>2764.2263852697329</v>
      </c>
      <c r="JC146" s="19">
        <f t="shared" si="181"/>
        <v>4748.7164157747848</v>
      </c>
      <c r="JD146" s="19">
        <f t="shared" si="182"/>
        <v>3363.4874807493461</v>
      </c>
      <c r="JE146" s="21"/>
      <c r="JF146" s="1">
        <f t="shared" si="282"/>
        <v>1.022782493188582E-2</v>
      </c>
      <c r="JG146" s="15">
        <f>INDEX(Input!$1:$1048576,JG$93,$C146*2+6)/(1+VLOOKUP(C146*1000+INDEX(Input!$1:$1048576,JG$93+1,$C146*2+6),$A:$KK,$JK$92,FALSE))</f>
        <v>446</v>
      </c>
      <c r="JH146" s="1">
        <f t="shared" si="251"/>
        <v>3.3168757996356719E-2</v>
      </c>
      <c r="JI146" s="1">
        <f t="shared" si="252"/>
        <v>4.3423402894013592E-2</v>
      </c>
      <c r="JJ146" s="1">
        <f t="shared" si="253"/>
        <v>0</v>
      </c>
      <c r="JK146" s="1">
        <f t="shared" si="254"/>
        <v>7.6592160890370312E-2</v>
      </c>
      <c r="JL146" s="15">
        <f t="shared" si="184"/>
        <v>34.160103757105162</v>
      </c>
      <c r="JM146" s="15">
        <f t="shared" si="185"/>
        <v>480.16010375710516</v>
      </c>
      <c r="JN146" s="21"/>
      <c r="JO146" s="19">
        <f>INDEX(Input!$1:$1048576,JO$93,$C146*2+6)</f>
        <v>5995.5</v>
      </c>
      <c r="JP146" s="19">
        <f>INDEX(Input!$1:$1048576,JP$93,$C146*2+6)</f>
        <v>2818.4193802796353</v>
      </c>
      <c r="JQ146" s="39">
        <f t="shared" si="186"/>
        <v>2632.0125192506539</v>
      </c>
      <c r="JR146" s="39">
        <f t="shared" si="187"/>
        <v>545.06810046971077</v>
      </c>
      <c r="JS146" s="39">
        <f t="shared" si="188"/>
        <v>1.6150124977423301</v>
      </c>
      <c r="JT146" s="39">
        <f t="shared" si="189"/>
        <v>0.35799745413761286</v>
      </c>
      <c r="JU146" s="385">
        <f>(JQ146*JM146-INDEX(Input!$1:$1048576,Input!A$18,$C146*2+6)*JL146*INDEX(Input!$1:$1048576,Input!A$19,$C146*2+6))/1000000</f>
        <v>1.2637874043333939</v>
      </c>
      <c r="JV146" s="39">
        <f t="shared" si="192"/>
        <v>-0.15319055206188881</v>
      </c>
      <c r="JW146" s="1">
        <f t="shared" si="190"/>
        <v>-0.10811075173787284</v>
      </c>
      <c r="JX146" s="19">
        <f t="shared" si="191"/>
        <v>10479.987317460969</v>
      </c>
      <c r="JZ146" s="341"/>
      <c r="KA146" s="342"/>
      <c r="KB146" s="469">
        <f t="shared" si="110"/>
        <v>2.9286733661474216</v>
      </c>
      <c r="KI146" s="473">
        <f t="shared" si="283"/>
        <v>-21.401128254865156</v>
      </c>
      <c r="KJ146" s="473">
        <f t="shared" si="284"/>
        <v>24.19480583688042</v>
      </c>
      <c r="KK146" s="473">
        <f t="shared" si="257"/>
        <v>31.366426175089913</v>
      </c>
      <c r="KN146" s="544">
        <f t="shared" si="258"/>
        <v>1002</v>
      </c>
      <c r="KO146" s="541">
        <f t="shared" si="285"/>
        <v>7.2179183934908853E-2</v>
      </c>
      <c r="KP146" s="546">
        <f t="shared" si="286"/>
        <v>385.71151227653496</v>
      </c>
      <c r="KQ146" s="546">
        <f t="shared" si="287"/>
        <v>524.17128073069443</v>
      </c>
      <c r="KR146" s="548">
        <f t="shared" si="288"/>
        <v>3.2085157567227962</v>
      </c>
      <c r="KS146" s="548">
        <f t="shared" si="289"/>
        <v>2.36098678081615</v>
      </c>
      <c r="KT146" s="473">
        <f t="shared" si="112"/>
        <v>238.28695973331548</v>
      </c>
      <c r="KU146" s="663">
        <f t="shared" si="290"/>
        <v>6.0312179536660508</v>
      </c>
      <c r="KV146" s="117"/>
    </row>
    <row r="147" spans="1:308" s="26" customFormat="1" ht="15">
      <c r="A147" s="561">
        <f t="shared" si="168"/>
        <v>1047</v>
      </c>
      <c r="B147" s="561">
        <f t="shared" si="104"/>
        <v>47</v>
      </c>
      <c r="C147" s="561">
        <f t="shared" si="105"/>
        <v>1</v>
      </c>
      <c r="D147" s="561" t="str">
        <f t="shared" si="294"/>
        <v xml:space="preserve">250 CC, -360 Lease, </v>
      </c>
      <c r="E147" s="475">
        <f>INDEX(Input!$1:$1048576,E$93,$C147*2+MIN($B147,2)+5)
+INDEX(Scenarios!E$121:E$200,MATCH($B147,Scenarios!$B$121:$B$200,0))</f>
        <v>1479</v>
      </c>
      <c r="F147" s="475">
        <f>INDEX(Input!$1:$1048576,F$93,$C147*2+MIN($B147,2)+5)
+INDEX(Scenarios!F$121:F$200,MATCH($B147,Scenarios!$B$121:$B$200,0))</f>
        <v>0</v>
      </c>
      <c r="G147" s="475">
        <f>INDEX(Input!$1:$1048576,G$93,$C147*2+MIN($B147,2)+5)
+INDEX(Scenarios!G$121:G$200,MATCH($B147,Scenarios!$B$121:$B$200,0))</f>
        <v>0</v>
      </c>
      <c r="H147" s="475">
        <f>INDEX(Input!$1:$1048576,H$93,$C147*2+MIN($B147,2)+5)
+INDEX(Scenarios!H$121:H$200,MATCH($B147,Scenarios!$B$121:$B$200,0))</f>
        <v>0</v>
      </c>
      <c r="I147" s="476">
        <f>INDEX(Input!$1:$1048576,I$93,$C147*2+MIN($B147,2)+5)</f>
        <v>0.7</v>
      </c>
      <c r="J147" s="476" t="str">
        <f>INDEX(Input!$1:$1048576,J$93,$C147*2+MIN($B147,2)+5)</f>
        <v>Market</v>
      </c>
      <c r="K147" s="476" t="str">
        <f>INDEX(Input!$1:$1048576,K$93,$C147*2+MIN($B147,2)+5)</f>
        <v>Market</v>
      </c>
      <c r="L147" s="476" t="str">
        <f>INDEX(Input!$1:$1048576,L$93,$C147*2+MIN($B147,2)+5)</f>
        <v>Market</v>
      </c>
      <c r="M147" s="476" t="str">
        <f>INDEX(Input!$1:$1048576,M$93,$C147*2+MIN($B147,2)+5)</f>
        <v>Market</v>
      </c>
      <c r="N147" s="476" t="str">
        <f>INDEX(Input!$1:$1048576,N$93,$C147*2+MIN($B147,2)+5)</f>
        <v>Market</v>
      </c>
      <c r="O147" s="476" t="str">
        <f>INDEX(Input!$1:$1048576,O$93,$C147*2+MIN($B147,2)+5)</f>
        <v>Market</v>
      </c>
      <c r="P147" s="476" t="str">
        <f>INDEX(Input!$1:$1048576,P$93,$C147*2+MIN($B147,2)+5)</f>
        <v>N</v>
      </c>
      <c r="Q147" s="477">
        <f>INDEX(Input!$1:$1048576,Q$93,$C147*2+MIN($B147,2)+5)
+INDEX(Scenarios!Q$121:Q$200,MATCH($B147,Scenarios!$B$121:$B$200,0))</f>
        <v>0</v>
      </c>
      <c r="R147" s="478">
        <f>IFERROR(MAX(0,INDEX(Input!$1:$1048576,R$93,$C147*2+MIN($B147,2)+5)
+INDEX(Scenarios!R$121:R$200,MATCH($B147,Scenarios!$B$121:$B$200,0)),),"Market")</f>
        <v>0</v>
      </c>
      <c r="S147" s="478">
        <f>IFERROR(MAX(0,INDEX(Input!$1:$1048576,S$93,$C147*2+MIN($B147,2)+5)
+INDEX(Scenarios!S$121:S$200,MATCH($B147,Scenarios!$B$121:$B$200,0)),),"Market")</f>
        <v>0</v>
      </c>
      <c r="T147" s="478">
        <f>IFERROR(MAX(0,INDEX(Input!$1:$1048576,T$93,$C147*2+MIN($B147,2)+5)
+INDEX(Scenarios!T$121:T$200,MATCH($B147,Scenarios!$B$121:$B$200,0)),),"Market")</f>
        <v>0</v>
      </c>
      <c r="U147" s="478">
        <f>IFERROR(MAX(0,INDEX(Input!$1:$1048576,U$93,$C147*2+MIN($B147,2)+5)
+INDEX(Scenarios!U$121:U$200,MATCH($B147,Scenarios!$B$121:$B$200,0)),),"Market")</f>
        <v>0</v>
      </c>
      <c r="V147" s="478">
        <f>IFERROR(MAX(0,INDEX(Input!$1:$1048576,V$93,$C147*2+MIN($B147,2)+5)
+INDEX(Scenarios!V$121:V$200,MATCH($B147,Scenarios!$B$121:$B$200,0)),),"Market")</f>
        <v>1.9E-2</v>
      </c>
      <c r="W147" s="885">
        <f>IFERROR(MAX(0,INDEX(Input!$1:$1048576,W$93,$C147*2+MIN($B147,2)+5)-0%,),"Market")</f>
        <v>3.9E-2</v>
      </c>
      <c r="X147" s="476" t="str">
        <f>INDEX(Input!$1:$1048576,X$93,$C147*2+MIN($B147,2)+5)</f>
        <v>Y</v>
      </c>
      <c r="Y147" s="475">
        <f>INDEX(Input!$1:$1048576,Y$93,$C147*2+MIN($B147,2)+5)
++INDEX(Scenarios!Y$121:Y$200,MATCH($B147,Scenarios!$B$121:$B$200,0))</f>
        <v>1582</v>
      </c>
      <c r="Z147" s="477">
        <f>INDEX(Input!$1:$1048576,Z$93,$C147*2+MIN($B147,2)+5)
+INDEX(Scenarios!Z$121:Z$200,MATCH($B147,Scenarios!$B$121:$B$200,0))</f>
        <v>0</v>
      </c>
      <c r="AA147" s="475">
        <f>INDEX(Input!$1:$1048576,AA$93,$C147*2+MIN($B147,2)+5)
+INDEX(Scenarios!AA$121:AA$200,MATCH($B147,Scenarios!$B$121:$B$200,0))</f>
        <v>0</v>
      </c>
      <c r="AB147" s="476">
        <f>INDEX(Input!$1:$1048576,AB$93,$C147*2+MIN($B147,2)+5)</f>
        <v>0.27</v>
      </c>
      <c r="AC147" s="475">
        <f>INDEX(Input!$1:$1048576,AC$93,$C147*2+MIN($B147,2)+5)
+INDEX(Scenarios!AC$121:AC$200,MATCH($B147,Scenarios!$B$121:$B$200,0))</f>
        <v>0</v>
      </c>
      <c r="AD147" s="476">
        <f>INDEX(Input!$1:$1048576,AD$93,$C147*2+MIN($B147,2)+5)</f>
        <v>0.27</v>
      </c>
      <c r="AE147" s="475">
        <f>INDEX(Input!$1:$1048576,AE$93,$C147*2+MIN($B147,2)+5)
+INDEX(Scenarios!AE$121:AE$200,MATCH($B147,Scenarios!$B$121:$B$200,0))</f>
        <v>0</v>
      </c>
      <c r="AF147" s="476">
        <f>INDEX(Input!$1:$1048576,AF$93,$C147*2+MIN($B147,2)+5)</f>
        <v>0.38</v>
      </c>
      <c r="AG147" s="475">
        <f>INDEX(Input!$1:$1048576,AG$93,$C147*2+MIN($B147,2)+5)
+INDEX(Scenarios!AG$121:AG$200,MATCH($B147,Scenarios!$B$121:$B$200,0))</f>
        <v>0</v>
      </c>
      <c r="AH147" s="476">
        <f>INDEX(Input!$1:$1048576,AH$93,$C147*2+MIN($B147,2)+5)</f>
        <v>0</v>
      </c>
      <c r="AI147" s="475">
        <f>INDEX(Input!$1:$1048576,AI$93,$C147*2+MIN($B147,2)+5)
+INDEX(Scenarios!AI$121:AI$200,MATCH($B147,Scenarios!$B$121:$B$200,0))</f>
        <v>0</v>
      </c>
      <c r="AJ147" s="476">
        <f>INDEX(Input!$1:$1048576,AJ$93,$C147*2+MIN($B147,2)+5)</f>
        <v>0.27</v>
      </c>
      <c r="AK147" s="150">
        <f>ROUND(INDEX(Input!$1:$1048576,AK$93,$C146*2+MIN($B147,1)+5)+(Y147-VLOOKUP($C147*1000+1,$A:$HH,Y$92,FALSE)),0)</f>
        <v>3397</v>
      </c>
      <c r="AL147" s="150">
        <f>ROUND(INDEX(Input!$1:$1048576,AL$93,$C146*2+MIN($B147,1)+5)-(Y147-VLOOKUP($C147*1000+1,$A:$HH,Y$92,FALSE))/36,0)</f>
        <v>4123</v>
      </c>
      <c r="AM147" s="32" t="str">
        <f t="shared" si="169"/>
        <v>std/std/std/std</v>
      </c>
      <c r="AN147" s="32" t="str">
        <f t="shared" si="170"/>
        <v>$0 + 0/0/0/1.9/3.9</v>
      </c>
      <c r="AO147" s="32" t="str">
        <f t="shared" si="171"/>
        <v>0/0/0/1.9/3.9</v>
      </c>
      <c r="AP147" s="32" t="str">
        <f t="shared" si="73"/>
        <v>0/0.9/1.9/3.9</v>
      </c>
      <c r="AQ147" s="536">
        <f t="shared" si="39"/>
        <v>0.32330823229504657</v>
      </c>
      <c r="AR147" s="32"/>
      <c r="AS147" s="302"/>
      <c r="AT147" s="3">
        <f t="shared" si="106"/>
        <v>47</v>
      </c>
      <c r="AU147" s="41" t="s">
        <v>121</v>
      </c>
      <c r="AV147" s="41" t="s">
        <v>116</v>
      </c>
      <c r="AW147" s="41" t="str">
        <f>INDEX(Input!$1:$1048576,AW$93,$C147*2+6)</f>
        <v>Kia</v>
      </c>
      <c r="AX147" s="41" t="str">
        <f>INDEX(Input!$1:$1048576,AX$93,$C147*2+6)</f>
        <v>Kia-LR - L1</v>
      </c>
      <c r="AY147" s="41" t="str">
        <f>IF(LEN(D147)=0,"",INDEX(Input!$1:$1048576,AY$93,$C147*2+6))</f>
        <v>Compact SUV (52)</v>
      </c>
      <c r="AZ147" s="41" t="str">
        <f>INDEX(Input!$1:$1048576,AZ$93,$C147*2+6)</f>
        <v>Kia Soul</v>
      </c>
      <c r="BA147" s="3">
        <f>INDEX(Input!$1:$1048576,BA$93,$C147*2+6)</f>
        <v>2020</v>
      </c>
      <c r="BB147" s="128">
        <f>INDEX(Input!$1:$1048576,BB$93,$C147*2+6)</f>
        <v>1</v>
      </c>
      <c r="BC147" s="128">
        <f>INDEX(Input!$1:$1048576,BC$93,$C147*2+6)</f>
        <v>0.7</v>
      </c>
      <c r="BD147" s="1">
        <f>INDEX(Input!$1:$1048576,BD$93,$C147*2+6)</f>
        <v>4.4999999999999998E-2</v>
      </c>
      <c r="BE147" s="1">
        <f>INDEX(Input!$1:$1048576,BE$93,$C147*2+6)</f>
        <v>4.4999999999999998E-2</v>
      </c>
      <c r="BF147" s="1">
        <f>INDEX(Input!$1:$1048576,BF$93,$C147*2+6)</f>
        <v>0.05</v>
      </c>
      <c r="BG147" s="1">
        <f>INDEX(Input!$1:$1048576,BG$93,$C147*2+6)</f>
        <v>5.45E-2</v>
      </c>
      <c r="BH147" s="1">
        <f>INDEX(Input!$1:$1048576,BH$93,$C147*2+6)</f>
        <v>5.45E-2</v>
      </c>
      <c r="BI147" s="1">
        <f>INDEX(Input!$1:$1048576,BI$93,$C147*2+6)</f>
        <v>0.05</v>
      </c>
      <c r="BJ147" s="1">
        <f>INDEX(Input!$1:$1048576,BJ$93,$C147*2+6)</f>
        <v>0.05</v>
      </c>
      <c r="BK147" s="1">
        <f>INDEX(Input!$1:$1048576,BK$93,$C147*2+6)</f>
        <v>0.05</v>
      </c>
      <c r="BL147" s="1">
        <f>INDEX(Input!$1:$1048576,BL$93,$C147*2+6)</f>
        <v>5.5E-2</v>
      </c>
      <c r="BM147" s="1">
        <f>INDEX(Input!$1:$1048576,BM$93,$C147*2+6)</f>
        <v>0.06</v>
      </c>
      <c r="BN147" s="1">
        <f>INDEX(Input!$1:$1048576,BN$93,$C147*2+6)</f>
        <v>4.4999999999999998E-2</v>
      </c>
      <c r="BO147" s="1">
        <f>INDEX(Input!$1:$1048576,BO$93,$C147*2+6)</f>
        <v>4.4999999999999998E-2</v>
      </c>
      <c r="BP147" s="1">
        <f>INDEX(Input!$1:$1048576,BP$93,$C147*2+6)</f>
        <v>0.05</v>
      </c>
      <c r="BQ147" s="1">
        <f>INDEX(Input!$1:$1048576,BQ$93,$C147*2+6)</f>
        <v>5.45E-2</v>
      </c>
      <c r="BR147" s="1">
        <f>INDEX(Input!$1:$1048576,BR$93,$C147*2+6)</f>
        <v>5.45E-2</v>
      </c>
      <c r="BS147" s="1">
        <f>INDEX(Input!$1:$1048576,BS$93,$C147*2+6)</f>
        <v>0.05</v>
      </c>
      <c r="BT147" s="1">
        <f>INDEX(Input!$1:$1048576,BT$93,$C147*2+6)</f>
        <v>0.05</v>
      </c>
      <c r="BU147" s="1">
        <f>INDEX(Input!$1:$1048576,BU$93,$C147*2+6)</f>
        <v>0.05</v>
      </c>
      <c r="BV147" s="1">
        <f>INDEX(Input!$1:$1048576,BV$93,$C147*2+6)</f>
        <v>5.5E-2</v>
      </c>
      <c r="BW147" s="1">
        <f>INDEX(Input!$1:$1048576,BW$93,$C147*2+6)</f>
        <v>0.06</v>
      </c>
      <c r="BX147" s="127">
        <f>INDEX(Input!$1:$1048576,BX$93,$C147*2+6)</f>
        <v>19985</v>
      </c>
      <c r="BY147" s="20">
        <f>INDEX(Input!$1:$1048576,BY$93,$C147*2+6)</f>
        <v>0.1</v>
      </c>
      <c r="BZ147" s="20">
        <f>INDEX(Input!$1:$1048576,BZ$93,$C147*2+6)</f>
        <v>0.1</v>
      </c>
      <c r="CA147" s="20">
        <f>INDEX(Input!$1:$1048576,CA$93,$C147*2+6)</f>
        <v>0.1</v>
      </c>
      <c r="CB147" s="20">
        <f>INDEX(Input!$1:$1048576,CB$93,$C147*2+6)</f>
        <v>0.1</v>
      </c>
      <c r="CC147" s="20">
        <f>INDEX(Input!$1:$1048576,CC$93,$C147*2+6)</f>
        <v>0.1</v>
      </c>
      <c r="CD147" s="384">
        <f>INDEX(Input!$1:$1048576,CD$93,$C147*2+6)</f>
        <v>0.1</v>
      </c>
      <c r="CE147" s="384">
        <f>INDEX(Input!$1:$1048576,CE$93,$C147*2+6)</f>
        <v>0.1</v>
      </c>
      <c r="CF147" s="384">
        <f>INDEX(Input!$1:$1048576,CF$93,$C147*2+6)</f>
        <v>0.1</v>
      </c>
      <c r="CG147" s="384">
        <f>INDEX(Input!$1:$1048576,CG$93,$C147*2+6)</f>
        <v>0.1</v>
      </c>
      <c r="CH147" s="384">
        <f>INDEX(Input!$1:$1048576,CH$93,$C147*2+6)</f>
        <v>0.1</v>
      </c>
      <c r="CI147" s="304">
        <f t="shared" si="74"/>
        <v>1479</v>
      </c>
      <c r="CJ147" s="16" t="str">
        <f>INDEX(Input!$1:$1048576,CJ$93,$C147*2+6)</f>
        <v>N</v>
      </c>
      <c r="CK147" s="1" t="str">
        <f t="shared" si="75"/>
        <v>Market</v>
      </c>
      <c r="CL147" s="1" t="str">
        <f t="shared" si="76"/>
        <v>Market</v>
      </c>
      <c r="CM147" s="1" t="str">
        <f t="shared" si="77"/>
        <v>Market</v>
      </c>
      <c r="CN147" s="1" t="str">
        <f t="shared" si="78"/>
        <v>Market</v>
      </c>
      <c r="CO147" s="1" t="str">
        <f t="shared" si="79"/>
        <v>Market</v>
      </c>
      <c r="CP147" s="304">
        <f t="shared" si="80"/>
        <v>0</v>
      </c>
      <c r="CQ147" s="1">
        <f t="shared" si="81"/>
        <v>0</v>
      </c>
      <c r="CR147" s="1">
        <f t="shared" si="82"/>
        <v>0</v>
      </c>
      <c r="CS147" s="1">
        <f t="shared" si="83"/>
        <v>0</v>
      </c>
      <c r="CT147" s="1">
        <f t="shared" si="84"/>
        <v>1.9E-2</v>
      </c>
      <c r="CU147" s="1">
        <f t="shared" si="85"/>
        <v>3.9E-2</v>
      </c>
      <c r="CV147" s="304">
        <f t="shared" si="86"/>
        <v>1582</v>
      </c>
      <c r="CW147" s="20" t="s">
        <v>122</v>
      </c>
      <c r="CX147" s="20" t="s">
        <v>122</v>
      </c>
      <c r="CY147" s="20" t="s">
        <v>122</v>
      </c>
      <c r="CZ147" s="20" t="s">
        <v>122</v>
      </c>
      <c r="DA147" s="20" t="s">
        <v>122</v>
      </c>
      <c r="DB147" s="503">
        <f t="shared" si="87"/>
        <v>0</v>
      </c>
      <c r="DC147" s="127">
        <v>0</v>
      </c>
      <c r="DD147" s="127">
        <v>0</v>
      </c>
      <c r="DE147" s="127">
        <v>0</v>
      </c>
      <c r="DF147" s="127">
        <v>0</v>
      </c>
      <c r="DG147" s="127">
        <v>0</v>
      </c>
      <c r="DH147" s="127">
        <v>0</v>
      </c>
      <c r="DI147" s="127">
        <v>0</v>
      </c>
      <c r="DJ147" s="127">
        <v>0</v>
      </c>
      <c r="DK147" s="127">
        <v>0</v>
      </c>
      <c r="DL147" s="127">
        <v>0</v>
      </c>
      <c r="DM147" s="304">
        <f>INDEX(Input!$1:$1048576,DM$93,$C147*2+6)</f>
        <v>21036.84210526316</v>
      </c>
      <c r="DN147" s="20">
        <v>0</v>
      </c>
      <c r="DO147" s="20">
        <v>0</v>
      </c>
      <c r="DP147" s="20">
        <v>0</v>
      </c>
      <c r="DQ147" s="20">
        <v>0</v>
      </c>
      <c r="DR147" s="20">
        <v>0</v>
      </c>
      <c r="DS147" s="20">
        <f>INDEX(Input!$1:$1048576,DS$93,$C147*2+6)</f>
        <v>0.6</v>
      </c>
      <c r="DT147" s="20">
        <f>INDEX(Input!$1:$1048576,DT$93,$C147*2+6)</f>
        <v>0.55000000000000004</v>
      </c>
      <c r="DU147" s="20">
        <f>INDEX(Input!$1:$1048576,DU$93,$C147*2+6)</f>
        <v>0.52</v>
      </c>
      <c r="DV147" s="20">
        <f>INDEX(Input!$1:$1048576,DV$93,$C147*2+6)</f>
        <v>0.5</v>
      </c>
      <c r="DW147" s="20">
        <f>INDEX(Input!$1:$1048576,DW$93,$C147*2+6)</f>
        <v>0.45</v>
      </c>
      <c r="DX147" s="20"/>
      <c r="DY147" s="7">
        <v>0.11371408803631596</v>
      </c>
      <c r="DZ147" s="7">
        <v>0</v>
      </c>
      <c r="EA147" s="7">
        <v>0.5281122551360421</v>
      </c>
      <c r="EB147" s="7">
        <v>0</v>
      </c>
      <c r="EC147" s="7">
        <v>0</v>
      </c>
      <c r="ED147" s="7">
        <v>0</v>
      </c>
      <c r="EE147" s="7">
        <v>0</v>
      </c>
      <c r="EF147" s="7">
        <v>0</v>
      </c>
      <c r="EG147" s="7">
        <v>0</v>
      </c>
      <c r="EH147" s="7">
        <v>1.8402200445098649E-2</v>
      </c>
      <c r="EI147" s="7">
        <v>5.3739557110571864E-2</v>
      </c>
      <c r="EJ147" s="7">
        <v>0.33946684904131985</v>
      </c>
      <c r="EK147" s="7">
        <v>0.48247712639938073</v>
      </c>
      <c r="EL147" s="7">
        <v>0.10591426700362866</v>
      </c>
      <c r="EM147" s="7">
        <v>4.8727139617822823E-2</v>
      </c>
      <c r="EN147" s="7">
        <v>4.9379578909208757E-2</v>
      </c>
      <c r="EO147" s="7">
        <v>0.75610016993184992</v>
      </c>
      <c r="EP147" s="7">
        <v>8.5125034424855875E-2</v>
      </c>
      <c r="EQ147" s="7">
        <v>6.5024794318701687E-2</v>
      </c>
      <c r="ER147" s="7">
        <v>4.4370422415383887E-2</v>
      </c>
      <c r="ES147" s="7">
        <v>0.30944651720981925</v>
      </c>
      <c r="ET147" s="7">
        <v>0.35817365682764196</v>
      </c>
      <c r="EU147" s="6">
        <v>1520</v>
      </c>
      <c r="EV147" s="6">
        <v>0</v>
      </c>
      <c r="EW147" s="6">
        <v>1520</v>
      </c>
      <c r="EX147" s="6">
        <v>0</v>
      </c>
      <c r="EY147" s="6">
        <v>2039.7221397149676</v>
      </c>
      <c r="EZ147" s="6">
        <v>1725</v>
      </c>
      <c r="FA147" s="6">
        <v>0</v>
      </c>
      <c r="FB147" s="6">
        <v>0</v>
      </c>
      <c r="FC147" s="6">
        <v>0</v>
      </c>
      <c r="FD147" s="6">
        <v>0</v>
      </c>
      <c r="FE147" s="6">
        <v>0</v>
      </c>
      <c r="FF147" s="6">
        <v>0</v>
      </c>
      <c r="FG147" s="6">
        <v>0</v>
      </c>
      <c r="FH147" s="6">
        <v>1171.2811379695615</v>
      </c>
      <c r="FI147" s="6">
        <v>1553.9796069512402</v>
      </c>
      <c r="FJ147" s="6">
        <v>2101.211011744741</v>
      </c>
      <c r="FK147" s="6">
        <v>1772.7139978623231</v>
      </c>
      <c r="FL147" s="6">
        <v>907.07682140966335</v>
      </c>
      <c r="FM147" s="6">
        <v>1769.7221397149676</v>
      </c>
      <c r="FN147" s="6">
        <v>0</v>
      </c>
      <c r="FO147" s="6">
        <v>0</v>
      </c>
      <c r="FP147" s="6">
        <v>0</v>
      </c>
      <c r="FQ147" s="6">
        <v>0</v>
      </c>
      <c r="FR147" s="6">
        <v>0</v>
      </c>
      <c r="FS147" s="6">
        <v>0</v>
      </c>
      <c r="FT147" s="7">
        <v>0.64182634317235809</v>
      </c>
      <c r="FU147" s="7">
        <v>4.8727139617822823E-2</v>
      </c>
      <c r="FV147" s="7">
        <v>0.30944651720981925</v>
      </c>
      <c r="FW147" s="6">
        <v>1520</v>
      </c>
      <c r="FX147" s="6">
        <v>2039.7221397149676</v>
      </c>
      <c r="FY147" s="6">
        <v>1725</v>
      </c>
      <c r="FZ147" s="6">
        <v>1952.7147957719815</v>
      </c>
      <c r="GA147" s="6">
        <v>1608.761109292378</v>
      </c>
      <c r="GB147" s="6">
        <v>18376.238890707624</v>
      </c>
      <c r="GC147" s="7">
        <v>1.0519917368675835E-2</v>
      </c>
      <c r="GD147" s="7">
        <v>1.0276508256418954E-2</v>
      </c>
      <c r="GE147" s="7"/>
      <c r="GF147" s="7"/>
      <c r="GG147" s="7">
        <v>-2.3137930054627349E-2</v>
      </c>
      <c r="GH147" s="42">
        <v>1.3444005699562367</v>
      </c>
      <c r="GI147" s="6">
        <v>16474.122257309875</v>
      </c>
      <c r="GJ147" s="14">
        <v>0.50394797582841744</v>
      </c>
      <c r="GK147" s="14">
        <v>0.50887573065309744</v>
      </c>
      <c r="GL147" s="14">
        <v>0.49605202417158278</v>
      </c>
      <c r="GM147" s="14">
        <v>0.49112426934690234</v>
      </c>
      <c r="GO147" s="5">
        <v>343.14810671672558</v>
      </c>
      <c r="GP147" s="5">
        <v>314.14940645767444</v>
      </c>
      <c r="GQ147" s="5">
        <v>535.04305713031317</v>
      </c>
      <c r="GR147" s="5">
        <v>410.15490233172511</v>
      </c>
      <c r="GS147" s="5">
        <v>339.42744393800166</v>
      </c>
      <c r="GT147" s="5">
        <v>293.4407446948278</v>
      </c>
      <c r="GU147" s="5">
        <v>258.04012322764959</v>
      </c>
      <c r="GV147" s="39" t="s">
        <v>392</v>
      </c>
      <c r="GW147" s="5">
        <v>492.125</v>
      </c>
      <c r="GX147" s="5">
        <v>369.09375</v>
      </c>
      <c r="GY147" s="5">
        <v>295.27499999999998</v>
      </c>
      <c r="GZ147" s="5">
        <v>260.54902799031458</v>
      </c>
      <c r="HA147" s="5">
        <v>241.34874471337258</v>
      </c>
      <c r="HB147" s="39">
        <v>280.39841310148154</v>
      </c>
      <c r="HC147" s="5">
        <v>211.81562499999998</v>
      </c>
      <c r="HD147" s="5">
        <v>188.29497441520465</v>
      </c>
      <c r="HE147" s="5">
        <v>193.13834767206475</v>
      </c>
      <c r="HF147" s="5">
        <v>181.01813048245612</v>
      </c>
      <c r="HG147" s="5">
        <v>177.56888157894736</v>
      </c>
      <c r="HH147" s="39">
        <v>188.91961000194752</v>
      </c>
      <c r="HI147" s="16"/>
      <c r="HJ147" s="19" t="str">
        <f t="shared" ref="HJ147" si="376">HJ146</f>
        <v>On</v>
      </c>
      <c r="HK147" s="1" t="str">
        <f t="shared" si="108"/>
        <v>On</v>
      </c>
      <c r="HL147" s="16"/>
      <c r="HM147" s="639">
        <f t="shared" si="266"/>
        <v>5.7455619280273196E-3</v>
      </c>
      <c r="HN147" s="639">
        <f t="shared" si="267"/>
        <v>5.0031960498701745E-4</v>
      </c>
      <c r="HO147" s="639">
        <f t="shared" si="268"/>
        <v>3.9819433988714835E-3</v>
      </c>
      <c r="HP147" s="644">
        <f>(FT147*$GD147-HM147)/$JF147*INDEX(Input!$1:$1048576,$JG$93,$C147*2+6)</f>
        <v>37.073045288210253</v>
      </c>
      <c r="HQ147" s="644">
        <f>(FU147*$GD147-HN147)/$JF147*INDEX(Input!$1:$1048576,$JG$93,$C147*2+6)</f>
        <v>1.8543574423913651E-2</v>
      </c>
      <c r="HR147" s="644">
        <f>(FV147*$GD147-HO147)/$JF147*INDEX(Input!$1:$1048576,$JG$93,$C147*2+6)</f>
        <v>-34.968677795385901</v>
      </c>
      <c r="HS147" s="644">
        <f t="shared" si="269"/>
        <v>-5.0713996456126749</v>
      </c>
      <c r="HT147" s="644">
        <f t="shared" si="270"/>
        <v>-1.5412865351640188</v>
      </c>
      <c r="HU147" s="644">
        <f t="shared" si="271"/>
        <v>-2.2957804085812406</v>
      </c>
      <c r="HV147" s="648">
        <f t="shared" si="272"/>
        <v>0</v>
      </c>
      <c r="HW147" s="648">
        <f t="shared" si="273"/>
        <v>0</v>
      </c>
      <c r="HX147" s="648">
        <f t="shared" si="274"/>
        <v>0</v>
      </c>
      <c r="HY147" s="644">
        <f>INDEX(Input!$1:$1048576,HY$93,$C147*2+6)*INDEX(Input!$1:$1048576,$JG$93,$C147*2+6)</f>
        <v>110.00000000000001</v>
      </c>
      <c r="HZ147" s="644">
        <f>INDEX(Input!$1:$1048576,HZ$93,$C147*2+6)*INDEX(Input!$1:$1048576,$JG$93,$C147*2+6)</f>
        <v>157</v>
      </c>
      <c r="IA147" s="644">
        <f>INDEX(Input!$1:$1048576,IA$93,$C147*2+6)*INDEX(Input!$1:$1048576,$JG$93,$C147*2+6)</f>
        <v>179</v>
      </c>
      <c r="IB147" s="644">
        <f t="shared" si="249"/>
        <v>142.00164564259762</v>
      </c>
      <c r="IC147" s="644">
        <f t="shared" si="172"/>
        <v>155.47725703925991</v>
      </c>
      <c r="ID147" s="644">
        <f>IF(AND(INDEX(Input!$1:$1048576,IA$93,$C147*2+7)="TOS",Y147&lt;=INDEX(Y:Y,MATCH(C147*1000+2,A:A))),0,1)*MAX(IA147+HR147+HU147+HX147,0%)</f>
        <v>141.73554179603286</v>
      </c>
      <c r="IE147" s="128">
        <f t="shared" si="275"/>
        <v>0.32330823229504657</v>
      </c>
      <c r="IF147" s="128">
        <f t="shared" si="174"/>
        <v>0.35398939855924177</v>
      </c>
      <c r="IG147" s="128">
        <f t="shared" si="175"/>
        <v>0.32270236914571165</v>
      </c>
      <c r="IH147" s="21"/>
      <c r="II147" s="19">
        <f t="shared" si="276"/>
        <v>1240</v>
      </c>
      <c r="IJ147" s="19">
        <f t="shared" si="277"/>
        <v>2009.7221397149679</v>
      </c>
      <c r="IK147" s="19">
        <f t="shared" si="278"/>
        <v>2070</v>
      </c>
      <c r="IL147" s="19">
        <f t="shared" si="176"/>
        <v>280</v>
      </c>
      <c r="IM147" s="19">
        <f t="shared" si="177"/>
        <v>29.999999999999773</v>
      </c>
      <c r="IN147" s="19">
        <f t="shared" si="178"/>
        <v>-345</v>
      </c>
      <c r="IO147" s="39">
        <f t="shared" si="279"/>
        <v>0</v>
      </c>
      <c r="IP147" s="39">
        <f t="shared" si="280"/>
        <v>0</v>
      </c>
      <c r="IQ147" s="39">
        <f t="shared" si="281"/>
        <v>0</v>
      </c>
      <c r="IR147" s="39">
        <v>0</v>
      </c>
      <c r="IS147" s="39">
        <v>0</v>
      </c>
      <c r="IT147" s="39">
        <v>0</v>
      </c>
      <c r="IU147" s="39">
        <v>0</v>
      </c>
      <c r="IV147" s="39">
        <v>0</v>
      </c>
      <c r="IW147" s="39">
        <v>0</v>
      </c>
      <c r="IX147" s="39">
        <f>INDEX(Input!$1:$1048576,IX$93,$C147*2+6)+INDEX(Input!$1:$1048576,IX$94,$C147*2+6)</f>
        <v>1270</v>
      </c>
      <c r="IY147" s="39">
        <f>INDEX(Input!$1:$1048576,IY$93,$C147*2+6)+INDEX(Input!$1:$1048576,IY$94,$C147*2+6)</f>
        <v>2130.0624533823611</v>
      </c>
      <c r="IZ147" s="39">
        <f>INDEX(Input!$1:$1048576,IZ$93,$C147*2+6)+INDEX(Input!$1:$1048576,IZ$94,$C147*2+6)</f>
        <v>4373.7164157747848</v>
      </c>
      <c r="JA147" s="19">
        <f t="shared" si="179"/>
        <v>1550</v>
      </c>
      <c r="JB147" s="19">
        <f t="shared" si="180"/>
        <v>2160.0624533823611</v>
      </c>
      <c r="JC147" s="19">
        <f t="shared" si="181"/>
        <v>4028.7164157747848</v>
      </c>
      <c r="JD147" s="19">
        <f t="shared" si="182"/>
        <v>2565.8433007672875</v>
      </c>
      <c r="JE147" s="21"/>
      <c r="JF147" s="1">
        <f t="shared" si="282"/>
        <v>1.022782493188582E-2</v>
      </c>
      <c r="JG147" s="15">
        <f>INDEX(Input!$1:$1048576,JG$93,$C147*2+6)/(1+VLOOKUP(C147*1000+INDEX(Input!$1:$1048576,JG$93+1,$C147*2+6),$A:$KK,$JK$92,FALSE))</f>
        <v>446</v>
      </c>
      <c r="JH147" s="1">
        <f t="shared" si="251"/>
        <v>4.7598902853100171E-3</v>
      </c>
      <c r="JI147" s="1">
        <f t="shared" si="252"/>
        <v>-1.9974140334883258E-2</v>
      </c>
      <c r="JJ147" s="1">
        <f t="shared" si="253"/>
        <v>0</v>
      </c>
      <c r="JK147" s="1">
        <f t="shared" si="254"/>
        <v>-1.521425004957324E-2</v>
      </c>
      <c r="JL147" s="15">
        <f t="shared" si="184"/>
        <v>-6.7855555221096653</v>
      </c>
      <c r="JM147" s="15">
        <f t="shared" si="185"/>
        <v>439.21444447789031</v>
      </c>
      <c r="JN147" s="21"/>
      <c r="JO147" s="19">
        <f>INDEX(Input!$1:$1048576,JO$93,$C147*2+6)</f>
        <v>5995.5</v>
      </c>
      <c r="JP147" s="19">
        <f>INDEX(Input!$1:$1048576,JP$93,$C147*2+6)</f>
        <v>2818.4193802796353</v>
      </c>
      <c r="JQ147" s="39">
        <f t="shared" si="186"/>
        <v>3429.6566992327125</v>
      </c>
      <c r="JR147" s="39">
        <f t="shared" si="187"/>
        <v>-252.57607951234786</v>
      </c>
      <c r="JS147" s="39">
        <f t="shared" si="188"/>
        <v>1.1269554399638206</v>
      </c>
      <c r="JT147" s="39">
        <f t="shared" si="189"/>
        <v>-0.13005960364089672</v>
      </c>
      <c r="JU147" s="385">
        <f>(JQ147*JM147-INDEX(Input!$1:$1048576,Input!A$18,$C147*2+6)*JL147*INDEX(Input!$1:$1048576,Input!A$19,$C147*2+6))/1000000</f>
        <v>1.5063547619033708</v>
      </c>
      <c r="JV147" s="39">
        <f t="shared" si="192"/>
        <v>8.9376805508088131E-2</v>
      </c>
      <c r="JW147" s="1">
        <f t="shared" si="190"/>
        <v>6.3075649910220216E-2</v>
      </c>
      <c r="JX147" s="19">
        <f t="shared" si="191"/>
        <v>19167.126879607418</v>
      </c>
      <c r="JZ147" s="341"/>
      <c r="KA147" s="342"/>
      <c r="KB147" s="469">
        <f t="shared" si="110"/>
        <v>2.9286733661474216</v>
      </c>
      <c r="KI147" s="473">
        <f t="shared" si="283"/>
        <v>32.00164564259758</v>
      </c>
      <c r="KJ147" s="473">
        <f t="shared" si="284"/>
        <v>-1.5227429607401177</v>
      </c>
      <c r="KK147" s="473">
        <f t="shared" si="257"/>
        <v>-37.264458203967166</v>
      </c>
      <c r="KN147" s="544">
        <f t="shared" si="258"/>
        <v>1002</v>
      </c>
      <c r="KO147" s="541">
        <f t="shared" si="285"/>
        <v>-1.9250910336049865E-2</v>
      </c>
      <c r="KP147" s="546">
        <f t="shared" si="286"/>
        <v>-35.345794818694628</v>
      </c>
      <c r="KQ147" s="546">
        <f t="shared" si="287"/>
        <v>-273.4728992513642</v>
      </c>
      <c r="KR147" s="548">
        <f t="shared" si="288"/>
        <v>9.3383109129894972</v>
      </c>
      <c r="KS147" s="548">
        <f t="shared" si="289"/>
        <v>1.2069569686329975</v>
      </c>
      <c r="KT147" s="473">
        <f t="shared" si="112"/>
        <v>238.28695973331548</v>
      </c>
      <c r="KU147" s="663">
        <f t="shared" si="290"/>
        <v>6.567743783436736</v>
      </c>
      <c r="KV147" s="117"/>
    </row>
    <row r="148" spans="1:308" s="26" customFormat="1" ht="15">
      <c r="A148" s="561">
        <f t="shared" si="168"/>
        <v>1048</v>
      </c>
      <c r="B148" s="561">
        <f t="shared" si="104"/>
        <v>48</v>
      </c>
      <c r="C148" s="561">
        <f t="shared" si="105"/>
        <v>1</v>
      </c>
      <c r="D148" s="561" t="str">
        <f t="shared" si="294"/>
        <v xml:space="preserve">500 CC, -360 Lease, </v>
      </c>
      <c r="E148" s="475">
        <f>INDEX(Input!$1:$1048576,E$93,$C148*2+MIN($B148,2)+5)
+INDEX(Scenarios!E$121:E$200,MATCH($B148,Scenarios!$B$121:$B$200,0))</f>
        <v>1729</v>
      </c>
      <c r="F148" s="475">
        <f>INDEX(Input!$1:$1048576,F$93,$C148*2+MIN($B148,2)+5)
+INDEX(Scenarios!F$121:F$200,MATCH($B148,Scenarios!$B$121:$B$200,0))</f>
        <v>0</v>
      </c>
      <c r="G148" s="475">
        <f>INDEX(Input!$1:$1048576,G$93,$C148*2+MIN($B148,2)+5)
+INDEX(Scenarios!G$121:G$200,MATCH($B148,Scenarios!$B$121:$B$200,0))</f>
        <v>0</v>
      </c>
      <c r="H148" s="475">
        <f>INDEX(Input!$1:$1048576,H$93,$C148*2+MIN($B148,2)+5)
+INDEX(Scenarios!H$121:H$200,MATCH($B148,Scenarios!$B$121:$B$200,0))</f>
        <v>0</v>
      </c>
      <c r="I148" s="476">
        <f>INDEX(Input!$1:$1048576,I$93,$C148*2+MIN($B148,2)+5)</f>
        <v>0.7</v>
      </c>
      <c r="J148" s="476" t="str">
        <f>INDEX(Input!$1:$1048576,J$93,$C148*2+MIN($B148,2)+5)</f>
        <v>Market</v>
      </c>
      <c r="K148" s="476" t="str">
        <f>INDEX(Input!$1:$1048576,K$93,$C148*2+MIN($B148,2)+5)</f>
        <v>Market</v>
      </c>
      <c r="L148" s="476" t="str">
        <f>INDEX(Input!$1:$1048576,L$93,$C148*2+MIN($B148,2)+5)</f>
        <v>Market</v>
      </c>
      <c r="M148" s="476" t="str">
        <f>INDEX(Input!$1:$1048576,M$93,$C148*2+MIN($B148,2)+5)</f>
        <v>Market</v>
      </c>
      <c r="N148" s="476" t="str">
        <f>INDEX(Input!$1:$1048576,N$93,$C148*2+MIN($B148,2)+5)</f>
        <v>Market</v>
      </c>
      <c r="O148" s="476" t="str">
        <f>INDEX(Input!$1:$1048576,O$93,$C148*2+MIN($B148,2)+5)</f>
        <v>Market</v>
      </c>
      <c r="P148" s="476" t="str">
        <f>INDEX(Input!$1:$1048576,P$93,$C148*2+MIN($B148,2)+5)</f>
        <v>N</v>
      </c>
      <c r="Q148" s="477">
        <f>INDEX(Input!$1:$1048576,Q$93,$C148*2+MIN($B148,2)+5)
+INDEX(Scenarios!Q$121:Q$200,MATCH($B148,Scenarios!$B$121:$B$200,0))</f>
        <v>0</v>
      </c>
      <c r="R148" s="478">
        <f>IFERROR(MAX(0,INDEX(Input!$1:$1048576,R$93,$C148*2+MIN($B148,2)+5)
+INDEX(Scenarios!R$121:R$200,MATCH($B148,Scenarios!$B$121:$B$200,0)),),"Market")</f>
        <v>0</v>
      </c>
      <c r="S148" s="478">
        <f>IFERROR(MAX(0,INDEX(Input!$1:$1048576,S$93,$C148*2+MIN($B148,2)+5)
+INDEX(Scenarios!S$121:S$200,MATCH($B148,Scenarios!$B$121:$B$200,0)),),"Market")</f>
        <v>0</v>
      </c>
      <c r="T148" s="478">
        <f>IFERROR(MAX(0,INDEX(Input!$1:$1048576,T$93,$C148*2+MIN($B148,2)+5)
+INDEX(Scenarios!T$121:T$200,MATCH($B148,Scenarios!$B$121:$B$200,0)),),"Market")</f>
        <v>0</v>
      </c>
      <c r="U148" s="478">
        <f>IFERROR(MAX(0,INDEX(Input!$1:$1048576,U$93,$C148*2+MIN($B148,2)+5)
+INDEX(Scenarios!U$121:U$200,MATCH($B148,Scenarios!$B$121:$B$200,0)),),"Market")</f>
        <v>0</v>
      </c>
      <c r="V148" s="478">
        <f>IFERROR(MAX(0,INDEX(Input!$1:$1048576,V$93,$C148*2+MIN($B148,2)+5)
+INDEX(Scenarios!V$121:V$200,MATCH($B148,Scenarios!$B$121:$B$200,0)),),"Market")</f>
        <v>1.9E-2</v>
      </c>
      <c r="W148" s="885">
        <f>IFERROR(MAX(0,INDEX(Input!$1:$1048576,W$93,$C148*2+MIN($B148,2)+5)-0%,),"Market")</f>
        <v>3.9E-2</v>
      </c>
      <c r="X148" s="476" t="str">
        <f>INDEX(Input!$1:$1048576,X$93,$C148*2+MIN($B148,2)+5)</f>
        <v>Y</v>
      </c>
      <c r="Y148" s="475">
        <f>INDEX(Input!$1:$1048576,Y$93,$C148*2+MIN($B148,2)+5)
++INDEX(Scenarios!Y$121:Y$200,MATCH($B148,Scenarios!$B$121:$B$200,0))</f>
        <v>1582</v>
      </c>
      <c r="Z148" s="477">
        <f>INDEX(Input!$1:$1048576,Z$93,$C148*2+MIN($B148,2)+5)
+INDEX(Scenarios!Z$121:Z$200,MATCH($B148,Scenarios!$B$121:$B$200,0))</f>
        <v>0</v>
      </c>
      <c r="AA148" s="475">
        <f>INDEX(Input!$1:$1048576,AA$93,$C148*2+MIN($B148,2)+5)
+INDEX(Scenarios!AA$121:AA$200,MATCH($B148,Scenarios!$B$121:$B$200,0))</f>
        <v>0</v>
      </c>
      <c r="AB148" s="476">
        <f>INDEX(Input!$1:$1048576,AB$93,$C148*2+MIN($B148,2)+5)</f>
        <v>0.27</v>
      </c>
      <c r="AC148" s="475">
        <f>INDEX(Input!$1:$1048576,AC$93,$C148*2+MIN($B148,2)+5)
+INDEX(Scenarios!AC$121:AC$200,MATCH($B148,Scenarios!$B$121:$B$200,0))</f>
        <v>0</v>
      </c>
      <c r="AD148" s="476">
        <f>INDEX(Input!$1:$1048576,AD$93,$C148*2+MIN($B148,2)+5)</f>
        <v>0.27</v>
      </c>
      <c r="AE148" s="475">
        <f>INDEX(Input!$1:$1048576,AE$93,$C148*2+MIN($B148,2)+5)
+INDEX(Scenarios!AE$121:AE$200,MATCH($B148,Scenarios!$B$121:$B$200,0))</f>
        <v>0</v>
      </c>
      <c r="AF148" s="476">
        <f>INDEX(Input!$1:$1048576,AF$93,$C148*2+MIN($B148,2)+5)</f>
        <v>0.38</v>
      </c>
      <c r="AG148" s="475">
        <f>INDEX(Input!$1:$1048576,AG$93,$C148*2+MIN($B148,2)+5)
+INDEX(Scenarios!AG$121:AG$200,MATCH($B148,Scenarios!$B$121:$B$200,0))</f>
        <v>0</v>
      </c>
      <c r="AH148" s="476">
        <f>INDEX(Input!$1:$1048576,AH$93,$C148*2+MIN($B148,2)+5)</f>
        <v>0</v>
      </c>
      <c r="AI148" s="475">
        <f>INDEX(Input!$1:$1048576,AI$93,$C148*2+MIN($B148,2)+5)
+INDEX(Scenarios!AI$121:AI$200,MATCH($B148,Scenarios!$B$121:$B$200,0))</f>
        <v>0</v>
      </c>
      <c r="AJ148" s="476">
        <f>INDEX(Input!$1:$1048576,AJ$93,$C148*2+MIN($B148,2)+5)</f>
        <v>0.27</v>
      </c>
      <c r="AK148" s="150">
        <f>ROUND(INDEX(Input!$1:$1048576,AK$93,$C147*2+MIN($B148,1)+5)+(Y148-VLOOKUP($C148*1000+1,$A:$HH,Y$92,FALSE)),0)</f>
        <v>3397</v>
      </c>
      <c r="AL148" s="150">
        <f>ROUND(INDEX(Input!$1:$1048576,AL$93,$C147*2+MIN($B148,1)+5)-(Y148-VLOOKUP($C148*1000+1,$A:$HH,Y$92,FALSE))/36,0)</f>
        <v>4123</v>
      </c>
      <c r="AM148" s="32" t="str">
        <f t="shared" si="169"/>
        <v>std/std/std/std</v>
      </c>
      <c r="AN148" s="32" t="str">
        <f t="shared" si="170"/>
        <v>$0 + 0/0/0/1.9/3.9</v>
      </c>
      <c r="AO148" s="32" t="str">
        <f t="shared" si="171"/>
        <v>0/0/0/1.9/3.9</v>
      </c>
      <c r="AP148" s="32" t="str">
        <f t="shared" si="73"/>
        <v>0/0.9/1.9/3.9</v>
      </c>
      <c r="AQ148" s="536">
        <f t="shared" si="39"/>
        <v>0.35519475447661358</v>
      </c>
      <c r="AR148" s="32"/>
      <c r="AS148" s="302"/>
      <c r="AT148" s="3">
        <f t="shared" si="106"/>
        <v>48</v>
      </c>
      <c r="AU148" s="41" t="s">
        <v>121</v>
      </c>
      <c r="AV148" s="41" t="s">
        <v>116</v>
      </c>
      <c r="AW148" s="41" t="str">
        <f>INDEX(Input!$1:$1048576,AW$93,$C148*2+6)</f>
        <v>Kia</v>
      </c>
      <c r="AX148" s="41" t="str">
        <f>INDEX(Input!$1:$1048576,AX$93,$C148*2+6)</f>
        <v>Kia-LR - L1</v>
      </c>
      <c r="AY148" s="41" t="str">
        <f>IF(LEN(D148)=0,"",INDEX(Input!$1:$1048576,AY$93,$C148*2+6))</f>
        <v>Compact SUV (52)</v>
      </c>
      <c r="AZ148" s="41" t="str">
        <f>INDEX(Input!$1:$1048576,AZ$93,$C148*2+6)</f>
        <v>Kia Soul</v>
      </c>
      <c r="BA148" s="3">
        <f>INDEX(Input!$1:$1048576,BA$93,$C148*2+6)</f>
        <v>2020</v>
      </c>
      <c r="BB148" s="128">
        <f>INDEX(Input!$1:$1048576,BB$93,$C148*2+6)</f>
        <v>1</v>
      </c>
      <c r="BC148" s="128">
        <f>INDEX(Input!$1:$1048576,BC$93,$C148*2+6)</f>
        <v>0.7</v>
      </c>
      <c r="BD148" s="1">
        <f>INDEX(Input!$1:$1048576,BD$93,$C148*2+6)</f>
        <v>4.4999999999999998E-2</v>
      </c>
      <c r="BE148" s="1">
        <f>INDEX(Input!$1:$1048576,BE$93,$C148*2+6)</f>
        <v>4.4999999999999998E-2</v>
      </c>
      <c r="BF148" s="1">
        <f>INDEX(Input!$1:$1048576,BF$93,$C148*2+6)</f>
        <v>0.05</v>
      </c>
      <c r="BG148" s="1">
        <f>INDEX(Input!$1:$1048576,BG$93,$C148*2+6)</f>
        <v>5.45E-2</v>
      </c>
      <c r="BH148" s="1">
        <f>INDEX(Input!$1:$1048576,BH$93,$C148*2+6)</f>
        <v>5.45E-2</v>
      </c>
      <c r="BI148" s="1">
        <f>INDEX(Input!$1:$1048576,BI$93,$C148*2+6)</f>
        <v>0.05</v>
      </c>
      <c r="BJ148" s="1">
        <f>INDEX(Input!$1:$1048576,BJ$93,$C148*2+6)</f>
        <v>0.05</v>
      </c>
      <c r="BK148" s="1">
        <f>INDEX(Input!$1:$1048576,BK$93,$C148*2+6)</f>
        <v>0.05</v>
      </c>
      <c r="BL148" s="1">
        <f>INDEX(Input!$1:$1048576,BL$93,$C148*2+6)</f>
        <v>5.5E-2</v>
      </c>
      <c r="BM148" s="1">
        <f>INDEX(Input!$1:$1048576,BM$93,$C148*2+6)</f>
        <v>0.06</v>
      </c>
      <c r="BN148" s="1">
        <f>INDEX(Input!$1:$1048576,BN$93,$C148*2+6)</f>
        <v>4.4999999999999998E-2</v>
      </c>
      <c r="BO148" s="1">
        <f>INDEX(Input!$1:$1048576,BO$93,$C148*2+6)</f>
        <v>4.4999999999999998E-2</v>
      </c>
      <c r="BP148" s="1">
        <f>INDEX(Input!$1:$1048576,BP$93,$C148*2+6)</f>
        <v>0.05</v>
      </c>
      <c r="BQ148" s="1">
        <f>INDEX(Input!$1:$1048576,BQ$93,$C148*2+6)</f>
        <v>5.45E-2</v>
      </c>
      <c r="BR148" s="1">
        <f>INDEX(Input!$1:$1048576,BR$93,$C148*2+6)</f>
        <v>5.45E-2</v>
      </c>
      <c r="BS148" s="1">
        <f>INDEX(Input!$1:$1048576,BS$93,$C148*2+6)</f>
        <v>0.05</v>
      </c>
      <c r="BT148" s="1">
        <f>INDEX(Input!$1:$1048576,BT$93,$C148*2+6)</f>
        <v>0.05</v>
      </c>
      <c r="BU148" s="1">
        <f>INDEX(Input!$1:$1048576,BU$93,$C148*2+6)</f>
        <v>0.05</v>
      </c>
      <c r="BV148" s="1">
        <f>INDEX(Input!$1:$1048576,BV$93,$C148*2+6)</f>
        <v>5.5E-2</v>
      </c>
      <c r="BW148" s="1">
        <f>INDEX(Input!$1:$1048576,BW$93,$C148*2+6)</f>
        <v>0.06</v>
      </c>
      <c r="BX148" s="127">
        <f>INDEX(Input!$1:$1048576,BX$93,$C148*2+6)</f>
        <v>19985</v>
      </c>
      <c r="BY148" s="20">
        <f>INDEX(Input!$1:$1048576,BY$93,$C148*2+6)</f>
        <v>0.1</v>
      </c>
      <c r="BZ148" s="20">
        <f>INDEX(Input!$1:$1048576,BZ$93,$C148*2+6)</f>
        <v>0.1</v>
      </c>
      <c r="CA148" s="20">
        <f>INDEX(Input!$1:$1048576,CA$93,$C148*2+6)</f>
        <v>0.1</v>
      </c>
      <c r="CB148" s="20">
        <f>INDEX(Input!$1:$1048576,CB$93,$C148*2+6)</f>
        <v>0.1</v>
      </c>
      <c r="CC148" s="20">
        <f>INDEX(Input!$1:$1048576,CC$93,$C148*2+6)</f>
        <v>0.1</v>
      </c>
      <c r="CD148" s="384">
        <f>INDEX(Input!$1:$1048576,CD$93,$C148*2+6)</f>
        <v>0.1</v>
      </c>
      <c r="CE148" s="384">
        <f>INDEX(Input!$1:$1048576,CE$93,$C148*2+6)</f>
        <v>0.1</v>
      </c>
      <c r="CF148" s="384">
        <f>INDEX(Input!$1:$1048576,CF$93,$C148*2+6)</f>
        <v>0.1</v>
      </c>
      <c r="CG148" s="384">
        <f>INDEX(Input!$1:$1048576,CG$93,$C148*2+6)</f>
        <v>0.1</v>
      </c>
      <c r="CH148" s="384">
        <f>INDEX(Input!$1:$1048576,CH$93,$C148*2+6)</f>
        <v>0.1</v>
      </c>
      <c r="CI148" s="304">
        <f t="shared" si="74"/>
        <v>1729</v>
      </c>
      <c r="CJ148" s="16" t="str">
        <f>INDEX(Input!$1:$1048576,CJ$93,$C148*2+6)</f>
        <v>N</v>
      </c>
      <c r="CK148" s="1" t="str">
        <f t="shared" si="75"/>
        <v>Market</v>
      </c>
      <c r="CL148" s="1" t="str">
        <f t="shared" si="76"/>
        <v>Market</v>
      </c>
      <c r="CM148" s="1" t="str">
        <f t="shared" si="77"/>
        <v>Market</v>
      </c>
      <c r="CN148" s="1" t="str">
        <f t="shared" si="78"/>
        <v>Market</v>
      </c>
      <c r="CO148" s="1" t="str">
        <f t="shared" si="79"/>
        <v>Market</v>
      </c>
      <c r="CP148" s="304">
        <f t="shared" si="80"/>
        <v>0</v>
      </c>
      <c r="CQ148" s="1">
        <f t="shared" si="81"/>
        <v>0</v>
      </c>
      <c r="CR148" s="1">
        <f t="shared" si="82"/>
        <v>0</v>
      </c>
      <c r="CS148" s="1">
        <f t="shared" si="83"/>
        <v>0</v>
      </c>
      <c r="CT148" s="1">
        <f t="shared" si="84"/>
        <v>1.9E-2</v>
      </c>
      <c r="CU148" s="1">
        <f t="shared" si="85"/>
        <v>3.9E-2</v>
      </c>
      <c r="CV148" s="304">
        <f t="shared" si="86"/>
        <v>1582</v>
      </c>
      <c r="CW148" s="20" t="s">
        <v>122</v>
      </c>
      <c r="CX148" s="20" t="s">
        <v>122</v>
      </c>
      <c r="CY148" s="20" t="s">
        <v>122</v>
      </c>
      <c r="CZ148" s="20" t="s">
        <v>122</v>
      </c>
      <c r="DA148" s="20" t="s">
        <v>122</v>
      </c>
      <c r="DB148" s="503">
        <f t="shared" si="87"/>
        <v>0</v>
      </c>
      <c r="DC148" s="127">
        <v>0</v>
      </c>
      <c r="DD148" s="127">
        <v>0</v>
      </c>
      <c r="DE148" s="127">
        <v>0</v>
      </c>
      <c r="DF148" s="127">
        <v>0</v>
      </c>
      <c r="DG148" s="127">
        <v>0</v>
      </c>
      <c r="DH148" s="127">
        <v>0</v>
      </c>
      <c r="DI148" s="127">
        <v>0</v>
      </c>
      <c r="DJ148" s="127">
        <v>0</v>
      </c>
      <c r="DK148" s="127">
        <v>0</v>
      </c>
      <c r="DL148" s="127">
        <v>0</v>
      </c>
      <c r="DM148" s="304">
        <f>INDEX(Input!$1:$1048576,DM$93,$C148*2+6)</f>
        <v>21036.84210526316</v>
      </c>
      <c r="DN148" s="20">
        <v>0</v>
      </c>
      <c r="DO148" s="20">
        <v>0</v>
      </c>
      <c r="DP148" s="20">
        <v>0</v>
      </c>
      <c r="DQ148" s="20">
        <v>0</v>
      </c>
      <c r="DR148" s="20">
        <v>0</v>
      </c>
      <c r="DS148" s="20">
        <f>INDEX(Input!$1:$1048576,DS$93,$C148*2+6)</f>
        <v>0.6</v>
      </c>
      <c r="DT148" s="20">
        <f>INDEX(Input!$1:$1048576,DT$93,$C148*2+6)</f>
        <v>0.55000000000000004</v>
      </c>
      <c r="DU148" s="20">
        <f>INDEX(Input!$1:$1048576,DU$93,$C148*2+6)</f>
        <v>0.52</v>
      </c>
      <c r="DV148" s="20">
        <f>INDEX(Input!$1:$1048576,DV$93,$C148*2+6)</f>
        <v>0.5</v>
      </c>
      <c r="DW148" s="20">
        <f>INDEX(Input!$1:$1048576,DW$93,$C148*2+6)</f>
        <v>0.45</v>
      </c>
      <c r="DX148" s="20"/>
      <c r="DY148" s="7">
        <v>0.12200521321568507</v>
      </c>
      <c r="DZ148" s="7">
        <v>0</v>
      </c>
      <c r="EA148" s="7">
        <v>0.55055534769130954</v>
      </c>
      <c r="EB148" s="7">
        <v>0</v>
      </c>
      <c r="EC148" s="7">
        <v>0</v>
      </c>
      <c r="ED148" s="7">
        <v>0</v>
      </c>
      <c r="EE148" s="7">
        <v>0</v>
      </c>
      <c r="EF148" s="7">
        <v>0</v>
      </c>
      <c r="EG148" s="7">
        <v>0</v>
      </c>
      <c r="EH148" s="7">
        <v>1.8402200445098653E-2</v>
      </c>
      <c r="EI148" s="7">
        <v>5.3739557110571871E-2</v>
      </c>
      <c r="EJ148" s="7">
        <v>0.3394668490413198</v>
      </c>
      <c r="EK148" s="7">
        <v>0.48247712639938078</v>
      </c>
      <c r="EL148" s="7">
        <v>0.10591426700362863</v>
      </c>
      <c r="EM148" s="7">
        <v>4.4545954067036021E-2</v>
      </c>
      <c r="EN148" s="7">
        <v>4.9379578909208764E-2</v>
      </c>
      <c r="EO148" s="7">
        <v>0.75610016993184992</v>
      </c>
      <c r="EP148" s="7">
        <v>8.5125034424855875E-2</v>
      </c>
      <c r="EQ148" s="7">
        <v>6.5024794318701659E-2</v>
      </c>
      <c r="ER148" s="7">
        <v>4.437042241538388E-2</v>
      </c>
      <c r="ES148" s="7">
        <v>0.28289348502596945</v>
      </c>
      <c r="ET148" s="7">
        <v>0.32743943909300538</v>
      </c>
      <c r="EU148" s="6">
        <v>1770</v>
      </c>
      <c r="EV148" s="6">
        <v>0</v>
      </c>
      <c r="EW148" s="6">
        <v>1770</v>
      </c>
      <c r="EX148" s="6">
        <v>0</v>
      </c>
      <c r="EY148" s="6">
        <v>2039.7221397149676</v>
      </c>
      <c r="EZ148" s="6">
        <v>1725</v>
      </c>
      <c r="FA148" s="6">
        <v>0</v>
      </c>
      <c r="FB148" s="6">
        <v>0</v>
      </c>
      <c r="FC148" s="6">
        <v>0</v>
      </c>
      <c r="FD148" s="6">
        <v>0</v>
      </c>
      <c r="FE148" s="6">
        <v>0</v>
      </c>
      <c r="FF148" s="6">
        <v>0</v>
      </c>
      <c r="FG148" s="6">
        <v>0</v>
      </c>
      <c r="FH148" s="6">
        <v>1171.2811379695615</v>
      </c>
      <c r="FI148" s="6">
        <v>1553.9796069512399</v>
      </c>
      <c r="FJ148" s="6">
        <v>2101.2110117447419</v>
      </c>
      <c r="FK148" s="6">
        <v>1772.7139978623227</v>
      </c>
      <c r="FL148" s="6">
        <v>907.07682140966313</v>
      </c>
      <c r="FM148" s="6">
        <v>1769.7221397149676</v>
      </c>
      <c r="FN148" s="6">
        <v>0</v>
      </c>
      <c r="FO148" s="6">
        <v>0</v>
      </c>
      <c r="FP148" s="6">
        <v>0</v>
      </c>
      <c r="FQ148" s="6">
        <v>0</v>
      </c>
      <c r="FR148" s="6">
        <v>0</v>
      </c>
      <c r="FS148" s="6">
        <v>0</v>
      </c>
      <c r="FT148" s="7">
        <v>0.67256056090699456</v>
      </c>
      <c r="FU148" s="7">
        <v>4.4545954067036021E-2</v>
      </c>
      <c r="FV148" s="7">
        <v>0.28289348502596945</v>
      </c>
      <c r="FW148" s="6">
        <v>1770.0000000000002</v>
      </c>
      <c r="FX148" s="6">
        <v>2039.7221397149679</v>
      </c>
      <c r="FY148" s="6">
        <v>1725</v>
      </c>
      <c r="FZ148" s="6">
        <v>1952.7147957719815</v>
      </c>
      <c r="GA148" s="6">
        <v>1769.2848232204371</v>
      </c>
      <c r="GB148" s="6">
        <v>18215.715176779562</v>
      </c>
      <c r="GC148" s="7">
        <v>1.0519917368675835E-2</v>
      </c>
      <c r="GD148" s="7">
        <v>1.0503437334971869E-2</v>
      </c>
      <c r="GE148" s="7"/>
      <c r="GF148" s="7"/>
      <c r="GG148" s="7">
        <v>-1.5665554325585307E-3</v>
      </c>
      <c r="GH148" s="42">
        <v>0.17067881483155492</v>
      </c>
      <c r="GI148" s="6">
        <v>118860.55956474866</v>
      </c>
      <c r="GJ148" s="14">
        <v>0.50394797582841744</v>
      </c>
      <c r="GK148" s="14">
        <v>0.50887573065309755</v>
      </c>
      <c r="GL148" s="14">
        <v>0.49605202417158278</v>
      </c>
      <c r="GM148" s="14">
        <v>0.49112426934690251</v>
      </c>
      <c r="GO148" s="5">
        <v>343.14810671672558</v>
      </c>
      <c r="GP148" s="5">
        <v>309.37988338875158</v>
      </c>
      <c r="GQ148" s="5">
        <v>535.04305713031317</v>
      </c>
      <c r="GR148" s="5">
        <v>410.15490233172511</v>
      </c>
      <c r="GS148" s="5">
        <v>339.42744393800166</v>
      </c>
      <c r="GT148" s="5">
        <v>293.4407446948278</v>
      </c>
      <c r="GU148" s="5">
        <v>258.04012322764959</v>
      </c>
      <c r="GV148" s="39" t="s">
        <v>392</v>
      </c>
      <c r="GW148" s="5">
        <v>492.125</v>
      </c>
      <c r="GX148" s="5">
        <v>369.09375</v>
      </c>
      <c r="GY148" s="5">
        <v>295.27499999999998</v>
      </c>
      <c r="GZ148" s="5">
        <v>260.54902799031458</v>
      </c>
      <c r="HA148" s="5">
        <v>241.34874471337258</v>
      </c>
      <c r="HB148" s="39">
        <v>280.39841310148154</v>
      </c>
      <c r="HC148" s="5">
        <v>211.81562499999998</v>
      </c>
      <c r="HD148" s="5">
        <v>188.29497441520465</v>
      </c>
      <c r="HE148" s="5">
        <v>193.13834767206475</v>
      </c>
      <c r="HF148" s="5">
        <v>181.01813048245612</v>
      </c>
      <c r="HG148" s="5">
        <v>177.56888157894736</v>
      </c>
      <c r="HH148" s="39">
        <v>188.91961000194752</v>
      </c>
      <c r="HI148" s="16"/>
      <c r="HJ148" s="19" t="str">
        <f t="shared" ref="HJ148" si="377">HJ147</f>
        <v>On</v>
      </c>
      <c r="HK148" s="1" t="str">
        <f t="shared" si="108"/>
        <v>On</v>
      </c>
      <c r="HL148" s="16"/>
      <c r="HM148" s="639">
        <f t="shared" si="266"/>
        <v>5.7455619280273196E-3</v>
      </c>
      <c r="HN148" s="639">
        <f t="shared" si="267"/>
        <v>5.0031960498701745E-4</v>
      </c>
      <c r="HO148" s="639">
        <f t="shared" si="268"/>
        <v>3.9819433988714835E-3</v>
      </c>
      <c r="HP148" s="644">
        <f>(FT148*$GD148-HM148)/$JF148*INDEX(Input!$1:$1048576,$JG$93,$C148*2+6)</f>
        <v>57.501136424575542</v>
      </c>
      <c r="HQ148" s="644">
        <f>(FU148*$GD148-HN148)/$JF148*INDEX(Input!$1:$1048576,$JG$93,$C148*2+6)</f>
        <v>-1.414332938575197</v>
      </c>
      <c r="HR148" s="644">
        <f>(FV148*$GD148-HO148)/$JF148*INDEX(Input!$1:$1048576,$JG$93,$C148*2+6)</f>
        <v>-44.068301742471476</v>
      </c>
      <c r="HS148" s="644">
        <f t="shared" si="269"/>
        <v>-9.58161126312711</v>
      </c>
      <c r="HT148" s="644">
        <f t="shared" si="270"/>
        <v>-3.54876683205323</v>
      </c>
      <c r="HU148" s="644">
        <f t="shared" si="271"/>
        <v>-0.2883001116920238</v>
      </c>
      <c r="HV148" s="648">
        <f t="shared" si="272"/>
        <v>0</v>
      </c>
      <c r="HW148" s="648">
        <f t="shared" si="273"/>
        <v>0</v>
      </c>
      <c r="HX148" s="648">
        <f t="shared" si="274"/>
        <v>0</v>
      </c>
      <c r="HY148" s="644">
        <f>INDEX(Input!$1:$1048576,HY$93,$C148*2+6)*INDEX(Input!$1:$1048576,$JG$93,$C148*2+6)</f>
        <v>110.00000000000001</v>
      </c>
      <c r="HZ148" s="644">
        <f>INDEX(Input!$1:$1048576,HZ$93,$C148*2+6)*INDEX(Input!$1:$1048576,$JG$93,$C148*2+6)</f>
        <v>157</v>
      </c>
      <c r="IA148" s="644">
        <f>INDEX(Input!$1:$1048576,IA$93,$C148*2+6)*INDEX(Input!$1:$1048576,$JG$93,$C148*2+6)</f>
        <v>179</v>
      </c>
      <c r="IB148" s="644">
        <f t="shared" si="249"/>
        <v>157.91952516144841</v>
      </c>
      <c r="IC148" s="644">
        <f t="shared" si="172"/>
        <v>152.03690022937158</v>
      </c>
      <c r="ID148" s="644">
        <f>IF(AND(INDEX(Input!$1:$1048576,IA$93,$C148*2+7)="TOS",Y148&lt;=INDEX(Y:Y,MATCH(C148*1000+2,A:A))),0,1)*MAX(IA148+HR148+HU148+HX148,0%)</f>
        <v>134.6433981458365</v>
      </c>
      <c r="IE148" s="128">
        <f t="shared" si="275"/>
        <v>0.35519475447661358</v>
      </c>
      <c r="IF148" s="128">
        <f t="shared" si="174"/>
        <v>0.34196347407420058</v>
      </c>
      <c r="IG148" s="128">
        <f t="shared" si="175"/>
        <v>0.30284177144918589</v>
      </c>
      <c r="IH148" s="21"/>
      <c r="II148" s="19">
        <f t="shared" si="276"/>
        <v>1240</v>
      </c>
      <c r="IJ148" s="19">
        <f t="shared" si="277"/>
        <v>2009.7221397149679</v>
      </c>
      <c r="IK148" s="19">
        <f t="shared" si="278"/>
        <v>2070</v>
      </c>
      <c r="IL148" s="19">
        <f t="shared" si="176"/>
        <v>530.00000000000023</v>
      </c>
      <c r="IM148" s="19">
        <f t="shared" si="177"/>
        <v>30</v>
      </c>
      <c r="IN148" s="19">
        <f t="shared" si="178"/>
        <v>-345</v>
      </c>
      <c r="IO148" s="39">
        <f t="shared" si="279"/>
        <v>0</v>
      </c>
      <c r="IP148" s="39">
        <f t="shared" si="280"/>
        <v>0</v>
      </c>
      <c r="IQ148" s="39">
        <f t="shared" si="281"/>
        <v>0</v>
      </c>
      <c r="IR148" s="39">
        <v>0</v>
      </c>
      <c r="IS148" s="39">
        <v>0</v>
      </c>
      <c r="IT148" s="39">
        <v>0</v>
      </c>
      <c r="IU148" s="39">
        <v>0</v>
      </c>
      <c r="IV148" s="39">
        <v>0</v>
      </c>
      <c r="IW148" s="39">
        <v>0</v>
      </c>
      <c r="IX148" s="39">
        <f>INDEX(Input!$1:$1048576,IX$93,$C148*2+6)+INDEX(Input!$1:$1048576,IX$94,$C148*2+6)</f>
        <v>1270</v>
      </c>
      <c r="IY148" s="39">
        <f>INDEX(Input!$1:$1048576,IY$93,$C148*2+6)+INDEX(Input!$1:$1048576,IY$94,$C148*2+6)</f>
        <v>2130.0624533823611</v>
      </c>
      <c r="IZ148" s="39">
        <f>INDEX(Input!$1:$1048576,IZ$93,$C148*2+6)+INDEX(Input!$1:$1048576,IZ$94,$C148*2+6)</f>
        <v>4373.7164157747848</v>
      </c>
      <c r="JA148" s="19">
        <f t="shared" si="179"/>
        <v>1800.0000000000002</v>
      </c>
      <c r="JB148" s="19">
        <f t="shared" si="180"/>
        <v>2160.0624533823611</v>
      </c>
      <c r="JC148" s="19">
        <f t="shared" si="181"/>
        <v>4028.7164157747848</v>
      </c>
      <c r="JD148" s="19">
        <f t="shared" si="182"/>
        <v>2598.076634853428</v>
      </c>
      <c r="JE148" s="21"/>
      <c r="JF148" s="1">
        <f t="shared" si="282"/>
        <v>1.022782493188582E-2</v>
      </c>
      <c r="JG148" s="15">
        <f>INDEX(Input!$1:$1048576,JG$93,$C148*2+6)/(1+VLOOKUP(C148*1000+INDEX(Input!$1:$1048576,JG$93+1,$C148*2+6),$A:$KK,$JK$92,FALSE))</f>
        <v>446</v>
      </c>
      <c r="JH148" s="1">
        <f t="shared" si="251"/>
        <v>2.6947313326297906E-2</v>
      </c>
      <c r="JI148" s="1">
        <f t="shared" si="252"/>
        <v>-3.0086722436933552E-2</v>
      </c>
      <c r="JJ148" s="1">
        <f t="shared" si="253"/>
        <v>0</v>
      </c>
      <c r="JK148" s="1">
        <f t="shared" si="254"/>
        <v>-3.1394091106356457E-3</v>
      </c>
      <c r="JL148" s="15">
        <f t="shared" si="184"/>
        <v>-1.4001764633434981</v>
      </c>
      <c r="JM148" s="15">
        <f t="shared" si="185"/>
        <v>444.59982353665652</v>
      </c>
      <c r="JN148" s="21"/>
      <c r="JO148" s="19">
        <f>INDEX(Input!$1:$1048576,JO$93,$C148*2+6)</f>
        <v>5995.5</v>
      </c>
      <c r="JP148" s="19">
        <f>INDEX(Input!$1:$1048576,JP$93,$C148*2+6)</f>
        <v>2818.4193802796353</v>
      </c>
      <c r="JQ148" s="39">
        <f t="shared" si="186"/>
        <v>3397.423365146572</v>
      </c>
      <c r="JR148" s="39">
        <f t="shared" si="187"/>
        <v>-220.34274542620733</v>
      </c>
      <c r="JS148" s="39">
        <f t="shared" si="188"/>
        <v>1.1551044133905444</v>
      </c>
      <c r="JT148" s="39">
        <f t="shared" si="189"/>
        <v>-0.10191063021417288</v>
      </c>
      <c r="JU148" s="385">
        <f>(JQ148*JM148-INDEX(Input!$1:$1048576,Input!A$18,$C148*2+6)*JL148*INDEX(Input!$1:$1048576,Input!A$19,$C148*2+6))/1000000</f>
        <v>1.5104938286234797</v>
      </c>
      <c r="JV148" s="39">
        <f t="shared" si="192"/>
        <v>9.3515872228197017E-2</v>
      </c>
      <c r="JW148" s="1">
        <f t="shared" si="190"/>
        <v>6.5996702211300787E-2</v>
      </c>
      <c r="JX148" s="19">
        <f t="shared" si="191"/>
        <v>72784.133201910328</v>
      </c>
      <c r="JZ148" s="341"/>
      <c r="KA148" s="342"/>
      <c r="KB148" s="469">
        <f t="shared" si="110"/>
        <v>2.9286733661474216</v>
      </c>
      <c r="KI148" s="473">
        <f t="shared" si="283"/>
        <v>47.919525161448419</v>
      </c>
      <c r="KJ148" s="473">
        <f t="shared" si="284"/>
        <v>-4.9630997706284177</v>
      </c>
      <c r="KK148" s="473">
        <f t="shared" si="257"/>
        <v>-44.3566018541635</v>
      </c>
      <c r="KN148" s="544">
        <f t="shared" si="258"/>
        <v>1002</v>
      </c>
      <c r="KO148" s="541">
        <f t="shared" si="285"/>
        <v>-7.22556445823197E-3</v>
      </c>
      <c r="KP148" s="546">
        <f t="shared" si="286"/>
        <v>68.574339516599949</v>
      </c>
      <c r="KQ148" s="546">
        <f t="shared" si="287"/>
        <v>-241.23956516522367</v>
      </c>
      <c r="KR148" s="548">
        <f t="shared" si="288"/>
        <v>-1.8066122743659707</v>
      </c>
      <c r="KS148" s="548">
        <f t="shared" si="289"/>
        <v>0.51354446519740327</v>
      </c>
      <c r="KT148" s="473">
        <f t="shared" si="112"/>
        <v>238.28695973331548</v>
      </c>
      <c r="KU148" s="663">
        <f t="shared" si="290"/>
        <v>6.6601093028363501</v>
      </c>
      <c r="KV148" s="117"/>
    </row>
    <row r="149" spans="1:308" s="26" customFormat="1" ht="15">
      <c r="A149" s="561">
        <f t="shared" si="168"/>
        <v>1049</v>
      </c>
      <c r="B149" s="561">
        <f t="shared" si="104"/>
        <v>49</v>
      </c>
      <c r="C149" s="561">
        <f t="shared" si="105"/>
        <v>1</v>
      </c>
      <c r="D149" s="561" t="str">
        <f t="shared" si="294"/>
        <v xml:space="preserve">750 CC, -360 Lease, </v>
      </c>
      <c r="E149" s="475">
        <f>INDEX(Input!$1:$1048576,E$93,$C149*2+MIN($B149,2)+5)
+INDEX(Scenarios!E$121:E$200,MATCH($B149,Scenarios!$B$121:$B$200,0))</f>
        <v>1979</v>
      </c>
      <c r="F149" s="475">
        <f>INDEX(Input!$1:$1048576,F$93,$C149*2+MIN($B149,2)+5)
+INDEX(Scenarios!F$121:F$200,MATCH($B149,Scenarios!$B$121:$B$200,0))</f>
        <v>0</v>
      </c>
      <c r="G149" s="475">
        <f>INDEX(Input!$1:$1048576,G$93,$C149*2+MIN($B149,2)+5)
+INDEX(Scenarios!G$121:G$200,MATCH($B149,Scenarios!$B$121:$B$200,0))</f>
        <v>0</v>
      </c>
      <c r="H149" s="475">
        <f>INDEX(Input!$1:$1048576,H$93,$C149*2+MIN($B149,2)+5)
+INDEX(Scenarios!H$121:H$200,MATCH($B149,Scenarios!$B$121:$B$200,0))</f>
        <v>0</v>
      </c>
      <c r="I149" s="476">
        <f>INDEX(Input!$1:$1048576,I$93,$C149*2+MIN($B149,2)+5)</f>
        <v>0.7</v>
      </c>
      <c r="J149" s="476" t="str">
        <f>INDEX(Input!$1:$1048576,J$93,$C149*2+MIN($B149,2)+5)</f>
        <v>Market</v>
      </c>
      <c r="K149" s="476" t="str">
        <f>INDEX(Input!$1:$1048576,K$93,$C149*2+MIN($B149,2)+5)</f>
        <v>Market</v>
      </c>
      <c r="L149" s="476" t="str">
        <f>INDEX(Input!$1:$1048576,L$93,$C149*2+MIN($B149,2)+5)</f>
        <v>Market</v>
      </c>
      <c r="M149" s="476" t="str">
        <f>INDEX(Input!$1:$1048576,M$93,$C149*2+MIN($B149,2)+5)</f>
        <v>Market</v>
      </c>
      <c r="N149" s="476" t="str">
        <f>INDEX(Input!$1:$1048576,N$93,$C149*2+MIN($B149,2)+5)</f>
        <v>Market</v>
      </c>
      <c r="O149" s="476" t="str">
        <f>INDEX(Input!$1:$1048576,O$93,$C149*2+MIN($B149,2)+5)</f>
        <v>Market</v>
      </c>
      <c r="P149" s="476" t="str">
        <f>INDEX(Input!$1:$1048576,P$93,$C149*2+MIN($B149,2)+5)</f>
        <v>N</v>
      </c>
      <c r="Q149" s="477">
        <f>INDEX(Input!$1:$1048576,Q$93,$C149*2+MIN($B149,2)+5)
+INDEX(Scenarios!Q$121:Q$200,MATCH($B149,Scenarios!$B$121:$B$200,0))</f>
        <v>0</v>
      </c>
      <c r="R149" s="478">
        <f>IFERROR(MAX(0,INDEX(Input!$1:$1048576,R$93,$C149*2+MIN($B149,2)+5)
+INDEX(Scenarios!R$121:R$200,MATCH($B149,Scenarios!$B$121:$B$200,0)),),"Market")</f>
        <v>0</v>
      </c>
      <c r="S149" s="478">
        <f>IFERROR(MAX(0,INDEX(Input!$1:$1048576,S$93,$C149*2+MIN($B149,2)+5)
+INDEX(Scenarios!S$121:S$200,MATCH($B149,Scenarios!$B$121:$B$200,0)),),"Market")</f>
        <v>0</v>
      </c>
      <c r="T149" s="478">
        <f>IFERROR(MAX(0,INDEX(Input!$1:$1048576,T$93,$C149*2+MIN($B149,2)+5)
+INDEX(Scenarios!T$121:T$200,MATCH($B149,Scenarios!$B$121:$B$200,0)),),"Market")</f>
        <v>0</v>
      </c>
      <c r="U149" s="478">
        <f>IFERROR(MAX(0,INDEX(Input!$1:$1048576,U$93,$C149*2+MIN($B149,2)+5)
+INDEX(Scenarios!U$121:U$200,MATCH($B149,Scenarios!$B$121:$B$200,0)),),"Market")</f>
        <v>0</v>
      </c>
      <c r="V149" s="478">
        <f>IFERROR(MAX(0,INDEX(Input!$1:$1048576,V$93,$C149*2+MIN($B149,2)+5)
+INDEX(Scenarios!V$121:V$200,MATCH($B149,Scenarios!$B$121:$B$200,0)),),"Market")</f>
        <v>1.9E-2</v>
      </c>
      <c r="W149" s="885">
        <f>IFERROR(MAX(0,INDEX(Input!$1:$1048576,W$93,$C149*2+MIN($B149,2)+5)-0%,),"Market")</f>
        <v>3.9E-2</v>
      </c>
      <c r="X149" s="476" t="str">
        <f>INDEX(Input!$1:$1048576,X$93,$C149*2+MIN($B149,2)+5)</f>
        <v>Y</v>
      </c>
      <c r="Y149" s="475">
        <f>INDEX(Input!$1:$1048576,Y$93,$C149*2+MIN($B149,2)+5)
++INDEX(Scenarios!Y$121:Y$200,MATCH($B149,Scenarios!$B$121:$B$200,0))</f>
        <v>1582</v>
      </c>
      <c r="Z149" s="477">
        <f>INDEX(Input!$1:$1048576,Z$93,$C149*2+MIN($B149,2)+5)
+INDEX(Scenarios!Z$121:Z$200,MATCH($B149,Scenarios!$B$121:$B$200,0))</f>
        <v>0</v>
      </c>
      <c r="AA149" s="475">
        <f>INDEX(Input!$1:$1048576,AA$93,$C149*2+MIN($B149,2)+5)
+INDEX(Scenarios!AA$121:AA$200,MATCH($B149,Scenarios!$B$121:$B$200,0))</f>
        <v>0</v>
      </c>
      <c r="AB149" s="476">
        <f>INDEX(Input!$1:$1048576,AB$93,$C149*2+MIN($B149,2)+5)</f>
        <v>0.27</v>
      </c>
      <c r="AC149" s="475">
        <f>INDEX(Input!$1:$1048576,AC$93,$C149*2+MIN($B149,2)+5)
+INDEX(Scenarios!AC$121:AC$200,MATCH($B149,Scenarios!$B$121:$B$200,0))</f>
        <v>0</v>
      </c>
      <c r="AD149" s="476">
        <f>INDEX(Input!$1:$1048576,AD$93,$C149*2+MIN($B149,2)+5)</f>
        <v>0.27</v>
      </c>
      <c r="AE149" s="475">
        <f>INDEX(Input!$1:$1048576,AE$93,$C149*2+MIN($B149,2)+5)
+INDEX(Scenarios!AE$121:AE$200,MATCH($B149,Scenarios!$B$121:$B$200,0))</f>
        <v>0</v>
      </c>
      <c r="AF149" s="476">
        <f>INDEX(Input!$1:$1048576,AF$93,$C149*2+MIN($B149,2)+5)</f>
        <v>0.38</v>
      </c>
      <c r="AG149" s="475">
        <f>INDEX(Input!$1:$1048576,AG$93,$C149*2+MIN($B149,2)+5)
+INDEX(Scenarios!AG$121:AG$200,MATCH($B149,Scenarios!$B$121:$B$200,0))</f>
        <v>0</v>
      </c>
      <c r="AH149" s="476">
        <f>INDEX(Input!$1:$1048576,AH$93,$C149*2+MIN($B149,2)+5)</f>
        <v>0</v>
      </c>
      <c r="AI149" s="475">
        <f>INDEX(Input!$1:$1048576,AI$93,$C149*2+MIN($B149,2)+5)
+INDEX(Scenarios!AI$121:AI$200,MATCH($B149,Scenarios!$B$121:$B$200,0))</f>
        <v>0</v>
      </c>
      <c r="AJ149" s="476">
        <f>INDEX(Input!$1:$1048576,AJ$93,$C149*2+MIN($B149,2)+5)</f>
        <v>0.27</v>
      </c>
      <c r="AK149" s="150">
        <f>ROUND(INDEX(Input!$1:$1048576,AK$93,$C148*2+MIN($B149,1)+5)+(Y149-VLOOKUP($C149*1000+1,$A:$HH,Y$92,FALSE)),0)</f>
        <v>3397</v>
      </c>
      <c r="AL149" s="150">
        <f>ROUND(INDEX(Input!$1:$1048576,AL$93,$C148*2+MIN($B149,1)+5)-(Y149-VLOOKUP($C149*1000+1,$A:$HH,Y$92,FALSE))/36,0)</f>
        <v>4123</v>
      </c>
      <c r="AM149" s="32" t="str">
        <f t="shared" si="169"/>
        <v>std/std/std/std</v>
      </c>
      <c r="AN149" s="32" t="str">
        <f t="shared" si="170"/>
        <v>$0 + 0/0/0/1.9/3.9</v>
      </c>
      <c r="AO149" s="32" t="str">
        <f t="shared" si="171"/>
        <v>0/0/0/1.9/3.9</v>
      </c>
      <c r="AP149" s="32" t="str">
        <f t="shared" si="73"/>
        <v>0/0.9/1.9/3.9</v>
      </c>
      <c r="AQ149" s="536">
        <f t="shared" si="39"/>
        <v>0.38667545136343773</v>
      </c>
      <c r="AR149" s="32"/>
      <c r="AS149" s="302"/>
      <c r="AT149" s="3">
        <f t="shared" si="106"/>
        <v>49</v>
      </c>
      <c r="AU149" s="41" t="s">
        <v>121</v>
      </c>
      <c r="AV149" s="41" t="s">
        <v>116</v>
      </c>
      <c r="AW149" s="41" t="str">
        <f>INDEX(Input!$1:$1048576,AW$93,$C149*2+6)</f>
        <v>Kia</v>
      </c>
      <c r="AX149" s="41" t="str">
        <f>INDEX(Input!$1:$1048576,AX$93,$C149*2+6)</f>
        <v>Kia-LR - L1</v>
      </c>
      <c r="AY149" s="41" t="str">
        <f>IF(LEN(D149)=0,"",INDEX(Input!$1:$1048576,AY$93,$C149*2+6))</f>
        <v>Compact SUV (52)</v>
      </c>
      <c r="AZ149" s="41" t="str">
        <f>INDEX(Input!$1:$1048576,AZ$93,$C149*2+6)</f>
        <v>Kia Soul</v>
      </c>
      <c r="BA149" s="3">
        <f>INDEX(Input!$1:$1048576,BA$93,$C149*2+6)</f>
        <v>2020</v>
      </c>
      <c r="BB149" s="128">
        <f>INDEX(Input!$1:$1048576,BB$93,$C149*2+6)</f>
        <v>1</v>
      </c>
      <c r="BC149" s="128">
        <f>INDEX(Input!$1:$1048576,BC$93,$C149*2+6)</f>
        <v>0.7</v>
      </c>
      <c r="BD149" s="1">
        <f>INDEX(Input!$1:$1048576,BD$93,$C149*2+6)</f>
        <v>4.4999999999999998E-2</v>
      </c>
      <c r="BE149" s="1">
        <f>INDEX(Input!$1:$1048576,BE$93,$C149*2+6)</f>
        <v>4.4999999999999998E-2</v>
      </c>
      <c r="BF149" s="1">
        <f>INDEX(Input!$1:$1048576,BF$93,$C149*2+6)</f>
        <v>0.05</v>
      </c>
      <c r="BG149" s="1">
        <f>INDEX(Input!$1:$1048576,BG$93,$C149*2+6)</f>
        <v>5.45E-2</v>
      </c>
      <c r="BH149" s="1">
        <f>INDEX(Input!$1:$1048576,BH$93,$C149*2+6)</f>
        <v>5.45E-2</v>
      </c>
      <c r="BI149" s="1">
        <f>INDEX(Input!$1:$1048576,BI$93,$C149*2+6)</f>
        <v>0.05</v>
      </c>
      <c r="BJ149" s="1">
        <f>INDEX(Input!$1:$1048576,BJ$93,$C149*2+6)</f>
        <v>0.05</v>
      </c>
      <c r="BK149" s="1">
        <f>INDEX(Input!$1:$1048576,BK$93,$C149*2+6)</f>
        <v>0.05</v>
      </c>
      <c r="BL149" s="1">
        <f>INDEX(Input!$1:$1048576,BL$93,$C149*2+6)</f>
        <v>5.5E-2</v>
      </c>
      <c r="BM149" s="1">
        <f>INDEX(Input!$1:$1048576,BM$93,$C149*2+6)</f>
        <v>0.06</v>
      </c>
      <c r="BN149" s="1">
        <f>INDEX(Input!$1:$1048576,BN$93,$C149*2+6)</f>
        <v>4.4999999999999998E-2</v>
      </c>
      <c r="BO149" s="1">
        <f>INDEX(Input!$1:$1048576,BO$93,$C149*2+6)</f>
        <v>4.4999999999999998E-2</v>
      </c>
      <c r="BP149" s="1">
        <f>INDEX(Input!$1:$1048576,BP$93,$C149*2+6)</f>
        <v>0.05</v>
      </c>
      <c r="BQ149" s="1">
        <f>INDEX(Input!$1:$1048576,BQ$93,$C149*2+6)</f>
        <v>5.45E-2</v>
      </c>
      <c r="BR149" s="1">
        <f>INDEX(Input!$1:$1048576,BR$93,$C149*2+6)</f>
        <v>5.45E-2</v>
      </c>
      <c r="BS149" s="1">
        <f>INDEX(Input!$1:$1048576,BS$93,$C149*2+6)</f>
        <v>0.05</v>
      </c>
      <c r="BT149" s="1">
        <f>INDEX(Input!$1:$1048576,BT$93,$C149*2+6)</f>
        <v>0.05</v>
      </c>
      <c r="BU149" s="1">
        <f>INDEX(Input!$1:$1048576,BU$93,$C149*2+6)</f>
        <v>0.05</v>
      </c>
      <c r="BV149" s="1">
        <f>INDEX(Input!$1:$1048576,BV$93,$C149*2+6)</f>
        <v>5.5E-2</v>
      </c>
      <c r="BW149" s="1">
        <f>INDEX(Input!$1:$1048576,BW$93,$C149*2+6)</f>
        <v>0.06</v>
      </c>
      <c r="BX149" s="127">
        <f>INDEX(Input!$1:$1048576,BX$93,$C149*2+6)</f>
        <v>19985</v>
      </c>
      <c r="BY149" s="20">
        <f>INDEX(Input!$1:$1048576,BY$93,$C149*2+6)</f>
        <v>0.1</v>
      </c>
      <c r="BZ149" s="20">
        <f>INDEX(Input!$1:$1048576,BZ$93,$C149*2+6)</f>
        <v>0.1</v>
      </c>
      <c r="CA149" s="20">
        <f>INDEX(Input!$1:$1048576,CA$93,$C149*2+6)</f>
        <v>0.1</v>
      </c>
      <c r="CB149" s="20">
        <f>INDEX(Input!$1:$1048576,CB$93,$C149*2+6)</f>
        <v>0.1</v>
      </c>
      <c r="CC149" s="20">
        <f>INDEX(Input!$1:$1048576,CC$93,$C149*2+6)</f>
        <v>0.1</v>
      </c>
      <c r="CD149" s="384">
        <f>INDEX(Input!$1:$1048576,CD$93,$C149*2+6)</f>
        <v>0.1</v>
      </c>
      <c r="CE149" s="384">
        <f>INDEX(Input!$1:$1048576,CE$93,$C149*2+6)</f>
        <v>0.1</v>
      </c>
      <c r="CF149" s="384">
        <f>INDEX(Input!$1:$1048576,CF$93,$C149*2+6)</f>
        <v>0.1</v>
      </c>
      <c r="CG149" s="384">
        <f>INDEX(Input!$1:$1048576,CG$93,$C149*2+6)</f>
        <v>0.1</v>
      </c>
      <c r="CH149" s="384">
        <f>INDEX(Input!$1:$1048576,CH$93,$C149*2+6)</f>
        <v>0.1</v>
      </c>
      <c r="CI149" s="304">
        <f t="shared" si="74"/>
        <v>1979</v>
      </c>
      <c r="CJ149" s="16" t="str">
        <f>INDEX(Input!$1:$1048576,CJ$93,$C149*2+6)</f>
        <v>N</v>
      </c>
      <c r="CK149" s="1" t="str">
        <f t="shared" si="75"/>
        <v>Market</v>
      </c>
      <c r="CL149" s="1" t="str">
        <f t="shared" si="76"/>
        <v>Market</v>
      </c>
      <c r="CM149" s="1" t="str">
        <f t="shared" si="77"/>
        <v>Market</v>
      </c>
      <c r="CN149" s="1" t="str">
        <f t="shared" si="78"/>
        <v>Market</v>
      </c>
      <c r="CO149" s="1" t="str">
        <f t="shared" si="79"/>
        <v>Market</v>
      </c>
      <c r="CP149" s="304">
        <f t="shared" si="80"/>
        <v>0</v>
      </c>
      <c r="CQ149" s="1">
        <f t="shared" si="81"/>
        <v>0</v>
      </c>
      <c r="CR149" s="1">
        <f t="shared" si="82"/>
        <v>0</v>
      </c>
      <c r="CS149" s="1">
        <f t="shared" si="83"/>
        <v>0</v>
      </c>
      <c r="CT149" s="1">
        <f t="shared" si="84"/>
        <v>1.9E-2</v>
      </c>
      <c r="CU149" s="1">
        <f t="shared" si="85"/>
        <v>3.9E-2</v>
      </c>
      <c r="CV149" s="304">
        <f t="shared" si="86"/>
        <v>1582</v>
      </c>
      <c r="CW149" s="20" t="s">
        <v>122</v>
      </c>
      <c r="CX149" s="20" t="s">
        <v>122</v>
      </c>
      <c r="CY149" s="20" t="s">
        <v>122</v>
      </c>
      <c r="CZ149" s="20" t="s">
        <v>122</v>
      </c>
      <c r="DA149" s="20" t="s">
        <v>122</v>
      </c>
      <c r="DB149" s="503">
        <f t="shared" si="87"/>
        <v>0</v>
      </c>
      <c r="DC149" s="127">
        <v>0</v>
      </c>
      <c r="DD149" s="127">
        <v>0</v>
      </c>
      <c r="DE149" s="127">
        <v>0</v>
      </c>
      <c r="DF149" s="127">
        <v>0</v>
      </c>
      <c r="DG149" s="127">
        <v>0</v>
      </c>
      <c r="DH149" s="127">
        <v>0</v>
      </c>
      <c r="DI149" s="127">
        <v>0</v>
      </c>
      <c r="DJ149" s="127">
        <v>0</v>
      </c>
      <c r="DK149" s="127">
        <v>0</v>
      </c>
      <c r="DL149" s="127">
        <v>0</v>
      </c>
      <c r="DM149" s="304">
        <f>INDEX(Input!$1:$1048576,DM$93,$C149*2+6)</f>
        <v>21036.84210526316</v>
      </c>
      <c r="DN149" s="20">
        <v>0</v>
      </c>
      <c r="DO149" s="20">
        <v>0</v>
      </c>
      <c r="DP149" s="20">
        <v>0</v>
      </c>
      <c r="DQ149" s="20">
        <v>0</v>
      </c>
      <c r="DR149" s="20">
        <v>0</v>
      </c>
      <c r="DS149" s="20">
        <f>INDEX(Input!$1:$1048576,DS$93,$C149*2+6)</f>
        <v>0.6</v>
      </c>
      <c r="DT149" s="20">
        <f>INDEX(Input!$1:$1048576,DT$93,$C149*2+6)</f>
        <v>0.55000000000000004</v>
      </c>
      <c r="DU149" s="20">
        <f>INDEX(Input!$1:$1048576,DU$93,$C149*2+6)</f>
        <v>0.52</v>
      </c>
      <c r="DV149" s="20">
        <f>INDEX(Input!$1:$1048576,DV$93,$C149*2+6)</f>
        <v>0.5</v>
      </c>
      <c r="DW149" s="20">
        <f>INDEX(Input!$1:$1048576,DW$93,$C149*2+6)</f>
        <v>0.45</v>
      </c>
      <c r="DX149" s="20"/>
      <c r="DY149" s="7">
        <v>0.13036607337257752</v>
      </c>
      <c r="DZ149" s="7">
        <v>0</v>
      </c>
      <c r="EA149" s="7">
        <v>0.5715144051246791</v>
      </c>
      <c r="EB149" s="7">
        <v>0</v>
      </c>
      <c r="EC149" s="7">
        <v>0</v>
      </c>
      <c r="ED149" s="7">
        <v>0</v>
      </c>
      <c r="EE149" s="7">
        <v>0</v>
      </c>
      <c r="EF149" s="7">
        <v>0</v>
      </c>
      <c r="EG149" s="7">
        <v>0</v>
      </c>
      <c r="EH149" s="7">
        <v>1.840220044509866E-2</v>
      </c>
      <c r="EI149" s="7">
        <v>5.3739557110571892E-2</v>
      </c>
      <c r="EJ149" s="7">
        <v>0.33946684904131996</v>
      </c>
      <c r="EK149" s="7">
        <v>0.4824771263993809</v>
      </c>
      <c r="EL149" s="7">
        <v>0.1059142670036287</v>
      </c>
      <c r="EM149" s="7">
        <v>4.0557174627873498E-2</v>
      </c>
      <c r="EN149" s="7">
        <v>4.9379578909208764E-2</v>
      </c>
      <c r="EO149" s="7">
        <v>0.75610016993184981</v>
      </c>
      <c r="EP149" s="7">
        <v>8.5125034424855889E-2</v>
      </c>
      <c r="EQ149" s="7">
        <v>6.5024794318701687E-2</v>
      </c>
      <c r="ER149" s="7">
        <v>4.4370422415383894E-2</v>
      </c>
      <c r="ES149" s="7">
        <v>0.25756234687487001</v>
      </c>
      <c r="ET149" s="7">
        <v>0.29811952150274335</v>
      </c>
      <c r="EU149" s="6">
        <v>2020</v>
      </c>
      <c r="EV149" s="6">
        <v>0</v>
      </c>
      <c r="EW149" s="6">
        <v>2020</v>
      </c>
      <c r="EX149" s="6">
        <v>0</v>
      </c>
      <c r="EY149" s="6">
        <v>2039.7221397149681</v>
      </c>
      <c r="EZ149" s="6">
        <v>1725</v>
      </c>
      <c r="FA149" s="6">
        <v>0</v>
      </c>
      <c r="FB149" s="6">
        <v>0</v>
      </c>
      <c r="FC149" s="6">
        <v>0</v>
      </c>
      <c r="FD149" s="6">
        <v>0</v>
      </c>
      <c r="FE149" s="6">
        <v>0</v>
      </c>
      <c r="FF149" s="6">
        <v>0</v>
      </c>
      <c r="FG149" s="6">
        <v>0</v>
      </c>
      <c r="FH149" s="6">
        <v>1171.2811379695613</v>
      </c>
      <c r="FI149" s="6">
        <v>1553.9796069512399</v>
      </c>
      <c r="FJ149" s="6">
        <v>2101.211011744741</v>
      </c>
      <c r="FK149" s="6">
        <v>1772.7139978623229</v>
      </c>
      <c r="FL149" s="6">
        <v>907.07682140966313</v>
      </c>
      <c r="FM149" s="6">
        <v>1769.7221397149681</v>
      </c>
      <c r="FN149" s="6">
        <v>0</v>
      </c>
      <c r="FO149" s="6">
        <v>0</v>
      </c>
      <c r="FP149" s="6">
        <v>0</v>
      </c>
      <c r="FQ149" s="6">
        <v>0</v>
      </c>
      <c r="FR149" s="6">
        <v>0</v>
      </c>
      <c r="FS149" s="6">
        <v>0</v>
      </c>
      <c r="FT149" s="7">
        <v>0.70188047849725665</v>
      </c>
      <c r="FU149" s="7">
        <v>4.0557174627873498E-2</v>
      </c>
      <c r="FV149" s="7">
        <v>0.25756234687487001</v>
      </c>
      <c r="FW149" s="6">
        <v>2019.9999999999998</v>
      </c>
      <c r="FX149" s="6">
        <v>2039.7221397149681</v>
      </c>
      <c r="FY149" s="6">
        <v>1725</v>
      </c>
      <c r="FZ149" s="6">
        <v>1952.7147957719815</v>
      </c>
      <c r="GA149" s="6">
        <v>1944.8189819363688</v>
      </c>
      <c r="GB149" s="6">
        <v>18040.181018063631</v>
      </c>
      <c r="GC149" s="7">
        <v>1.0519917368675835E-2</v>
      </c>
      <c r="GD149" s="7">
        <v>1.0745959803802585E-2</v>
      </c>
      <c r="GE149" s="7"/>
      <c r="GF149" s="7"/>
      <c r="GG149" s="7">
        <v>2.1487092265554768E-2</v>
      </c>
      <c r="GH149" s="42">
        <v>-54.38572234191885</v>
      </c>
      <c r="GI149" s="6">
        <v>1577.3512139373383</v>
      </c>
      <c r="GJ149" s="14">
        <v>0.50394797582841733</v>
      </c>
      <c r="GK149" s="14">
        <v>0.50887573065309732</v>
      </c>
      <c r="GL149" s="14">
        <v>0.49605202417158284</v>
      </c>
      <c r="GM149" s="14">
        <v>0.49112426934690251</v>
      </c>
      <c r="GO149" s="5">
        <v>343.14810671672558</v>
      </c>
      <c r="GP149" s="5">
        <v>304.61036031982871</v>
      </c>
      <c r="GQ149" s="5">
        <v>535.04305713031317</v>
      </c>
      <c r="GR149" s="5">
        <v>410.15490233172511</v>
      </c>
      <c r="GS149" s="5">
        <v>339.42744393800166</v>
      </c>
      <c r="GT149" s="5">
        <v>293.4407446948278</v>
      </c>
      <c r="GU149" s="5">
        <v>258.04012322764959</v>
      </c>
      <c r="GV149" s="39" t="s">
        <v>392</v>
      </c>
      <c r="GW149" s="5">
        <v>492.125</v>
      </c>
      <c r="GX149" s="5">
        <v>369.09375</v>
      </c>
      <c r="GY149" s="5">
        <v>295.27499999999998</v>
      </c>
      <c r="GZ149" s="5">
        <v>260.54902799031458</v>
      </c>
      <c r="HA149" s="5">
        <v>241.34874471337258</v>
      </c>
      <c r="HB149" s="39">
        <v>280.39841310148165</v>
      </c>
      <c r="HC149" s="5">
        <v>211.81562499999998</v>
      </c>
      <c r="HD149" s="5">
        <v>188.29497441520465</v>
      </c>
      <c r="HE149" s="5">
        <v>193.13834767206475</v>
      </c>
      <c r="HF149" s="5">
        <v>181.01813048245612</v>
      </c>
      <c r="HG149" s="5">
        <v>177.56888157894736</v>
      </c>
      <c r="HH149" s="39">
        <v>188.91961000194749</v>
      </c>
      <c r="HI149" s="16"/>
      <c r="HJ149" s="19" t="str">
        <f t="shared" ref="HJ149" si="378">HJ148</f>
        <v>On</v>
      </c>
      <c r="HK149" s="1" t="str">
        <f t="shared" si="108"/>
        <v>On</v>
      </c>
      <c r="HL149" s="16"/>
      <c r="HM149" s="639">
        <f t="shared" si="266"/>
        <v>5.7455619280273196E-3</v>
      </c>
      <c r="HN149" s="639">
        <f t="shared" si="267"/>
        <v>5.0031960498701745E-4</v>
      </c>
      <c r="HO149" s="639">
        <f t="shared" si="268"/>
        <v>3.9819433988714835E-3</v>
      </c>
      <c r="HP149" s="644">
        <f>(FT149*$GD149-HM149)/$JF149*INDEX(Input!$1:$1048576,$JG$93,$C149*2+6)</f>
        <v>78.352983342314104</v>
      </c>
      <c r="HQ149" s="644">
        <f>(FU149*$GD149-HN149)/$JF149*INDEX(Input!$1:$1048576,$JG$93,$C149*2+6)</f>
        <v>-2.8123527094841587</v>
      </c>
      <c r="HR149" s="644">
        <f>(FV149*$GD149-HO149)/$JF149*INDEX(Input!$1:$1048576,$JG$93,$C149*2+6)</f>
        <v>-52.946564503046339</v>
      </c>
      <c r="HS149" s="644">
        <f t="shared" si="269"/>
        <v>-14.091822880641535</v>
      </c>
      <c r="HT149" s="644">
        <f t="shared" si="270"/>
        <v>-5.5562471289424353</v>
      </c>
      <c r="HU149" s="644">
        <f t="shared" si="271"/>
        <v>1.7191801851971875</v>
      </c>
      <c r="HV149" s="648">
        <f t="shared" si="272"/>
        <v>0</v>
      </c>
      <c r="HW149" s="648">
        <f t="shared" si="273"/>
        <v>0</v>
      </c>
      <c r="HX149" s="648">
        <f t="shared" si="274"/>
        <v>0</v>
      </c>
      <c r="HY149" s="644">
        <f>INDEX(Input!$1:$1048576,HY$93,$C149*2+6)*INDEX(Input!$1:$1048576,$JG$93,$C149*2+6)</f>
        <v>110.00000000000001</v>
      </c>
      <c r="HZ149" s="644">
        <f>INDEX(Input!$1:$1048576,HZ$93,$C149*2+6)*INDEX(Input!$1:$1048576,$JG$93,$C149*2+6)</f>
        <v>157</v>
      </c>
      <c r="IA149" s="644">
        <f>INDEX(Input!$1:$1048576,IA$93,$C149*2+6)*INDEX(Input!$1:$1048576,$JG$93,$C149*2+6)</f>
        <v>179</v>
      </c>
      <c r="IB149" s="644">
        <f t="shared" si="249"/>
        <v>174.26116046167255</v>
      </c>
      <c r="IC149" s="644">
        <f t="shared" si="172"/>
        <v>148.63140016157342</v>
      </c>
      <c r="ID149" s="644">
        <f>IF(AND(INDEX(Input!$1:$1048576,IA$93,$C149*2+7)="TOS",Y149&lt;=INDEX(Y:Y,MATCH(C149*1000+2,A:A))),0,1)*MAX(IA149+HR149+HU149+HX149,0%)</f>
        <v>127.77261568215084</v>
      </c>
      <c r="IE149" s="128">
        <f t="shared" si="275"/>
        <v>0.38667545136343773</v>
      </c>
      <c r="IF149" s="128">
        <f t="shared" si="174"/>
        <v>0.32980449339367679</v>
      </c>
      <c r="IG149" s="128">
        <f t="shared" si="175"/>
        <v>0.28352005524288554</v>
      </c>
      <c r="IH149" s="21"/>
      <c r="II149" s="19">
        <f t="shared" si="276"/>
        <v>1240</v>
      </c>
      <c r="IJ149" s="19">
        <f t="shared" si="277"/>
        <v>2009.7221397149679</v>
      </c>
      <c r="IK149" s="19">
        <f t="shared" si="278"/>
        <v>2070</v>
      </c>
      <c r="IL149" s="19">
        <f t="shared" si="176"/>
        <v>779.99999999999977</v>
      </c>
      <c r="IM149" s="19">
        <f t="shared" si="177"/>
        <v>30.000000000000227</v>
      </c>
      <c r="IN149" s="19">
        <f t="shared" si="178"/>
        <v>-345</v>
      </c>
      <c r="IO149" s="39">
        <f t="shared" si="279"/>
        <v>0</v>
      </c>
      <c r="IP149" s="39">
        <f t="shared" si="280"/>
        <v>0</v>
      </c>
      <c r="IQ149" s="39">
        <f t="shared" si="281"/>
        <v>0</v>
      </c>
      <c r="IR149" s="39">
        <v>0</v>
      </c>
      <c r="IS149" s="39">
        <v>0</v>
      </c>
      <c r="IT149" s="39">
        <v>0</v>
      </c>
      <c r="IU149" s="39">
        <v>0</v>
      </c>
      <c r="IV149" s="39">
        <v>0</v>
      </c>
      <c r="IW149" s="39">
        <v>0</v>
      </c>
      <c r="IX149" s="39">
        <f>INDEX(Input!$1:$1048576,IX$93,$C149*2+6)+INDEX(Input!$1:$1048576,IX$94,$C149*2+6)</f>
        <v>1270</v>
      </c>
      <c r="IY149" s="39">
        <f>INDEX(Input!$1:$1048576,IY$93,$C149*2+6)+INDEX(Input!$1:$1048576,IY$94,$C149*2+6)</f>
        <v>2130.0624533823611</v>
      </c>
      <c r="IZ149" s="39">
        <f>INDEX(Input!$1:$1048576,IZ$93,$C149*2+6)+INDEX(Input!$1:$1048576,IZ$94,$C149*2+6)</f>
        <v>4373.7164157747848</v>
      </c>
      <c r="JA149" s="19">
        <f t="shared" si="179"/>
        <v>2050</v>
      </c>
      <c r="JB149" s="19">
        <f t="shared" si="180"/>
        <v>2160.0624533823611</v>
      </c>
      <c r="JC149" s="19">
        <f t="shared" si="181"/>
        <v>4028.7164157747848</v>
      </c>
      <c r="JD149" s="19">
        <f t="shared" si="182"/>
        <v>2647.3048791899064</v>
      </c>
      <c r="JE149" s="21"/>
      <c r="JF149" s="1">
        <f t="shared" si="282"/>
        <v>1.022782493188582E-2</v>
      </c>
      <c r="JG149" s="15">
        <f>INDEX(Input!$1:$1048576,JG$93,$C149*2+6)/(1+VLOOKUP(C149*1000+INDEX(Input!$1:$1048576,JG$93+1,$C149*2+6),$A:$KK,$JK$92,FALSE))</f>
        <v>446</v>
      </c>
      <c r="JH149" s="1">
        <f t="shared" si="251"/>
        <v>5.0659341098169518E-2</v>
      </c>
      <c r="JI149" s="1">
        <f t="shared" si="252"/>
        <v>-4.0199304538983821E-2</v>
      </c>
      <c r="JJ149" s="1">
        <f t="shared" si="253"/>
        <v>0</v>
      </c>
      <c r="JK149" s="1">
        <f t="shared" si="254"/>
        <v>1.0460036559185697E-2</v>
      </c>
      <c r="JL149" s="15">
        <f t="shared" si="184"/>
        <v>4.6651763053968205</v>
      </c>
      <c r="JM149" s="15">
        <f t="shared" si="185"/>
        <v>450.66517630539681</v>
      </c>
      <c r="JN149" s="21"/>
      <c r="JO149" s="19">
        <f>INDEX(Input!$1:$1048576,JO$93,$C149*2+6)</f>
        <v>5995.5</v>
      </c>
      <c r="JP149" s="19">
        <f>INDEX(Input!$1:$1048576,JP$93,$C149*2+6)</f>
        <v>2818.4193802796353</v>
      </c>
      <c r="JQ149" s="39">
        <f t="shared" si="186"/>
        <v>3348.1951208100936</v>
      </c>
      <c r="JR149" s="39">
        <f t="shared" si="187"/>
        <v>-171.11450108972895</v>
      </c>
      <c r="JS149" s="39">
        <f t="shared" si="188"/>
        <v>1.1930481201142564</v>
      </c>
      <c r="JT149" s="39">
        <f t="shared" si="189"/>
        <v>-6.3966923490460958E-2</v>
      </c>
      <c r="JU149" s="385">
        <f>(JQ149*JM149-INDEX(Input!$1:$1048576,Input!A$18,$C149*2+6)*JL149*INDEX(Input!$1:$1048576,Input!A$19,$C149*2+6))/1000000</f>
        <v>1.5089149444247503</v>
      </c>
      <c r="JV149" s="39">
        <f t="shared" si="192"/>
        <v>9.1936988029467592E-2</v>
      </c>
      <c r="JW149" s="1">
        <f t="shared" si="190"/>
        <v>6.4882440559167517E-2</v>
      </c>
      <c r="JX149" s="19">
        <f t="shared" si="191"/>
        <v>-13711.57686290699</v>
      </c>
      <c r="JZ149" s="341"/>
      <c r="KA149" s="342"/>
      <c r="KB149" s="469">
        <f t="shared" si="110"/>
        <v>2.9286733661474216</v>
      </c>
      <c r="KI149" s="473">
        <f t="shared" si="283"/>
        <v>64.261160461672532</v>
      </c>
      <c r="KJ149" s="473">
        <f t="shared" si="284"/>
        <v>-8.3685998384265758</v>
      </c>
      <c r="KK149" s="473">
        <f t="shared" si="257"/>
        <v>-51.227384317849143</v>
      </c>
      <c r="KN149" s="544">
        <f t="shared" si="258"/>
        <v>1002</v>
      </c>
      <c r="KO149" s="541">
        <f t="shared" si="285"/>
        <v>6.3181367592999305E-3</v>
      </c>
      <c r="KP149" s="546">
        <f t="shared" si="286"/>
        <v>187.93936863513949</v>
      </c>
      <c r="KQ149" s="546">
        <f t="shared" si="287"/>
        <v>-192.01132082874528</v>
      </c>
      <c r="KR149" s="548">
        <f t="shared" si="288"/>
        <v>0.57640278280545931</v>
      </c>
      <c r="KS149" s="548">
        <f t="shared" si="289"/>
        <v>-0.56417910471338195</v>
      </c>
      <c r="KT149" s="473">
        <f t="shared" si="112"/>
        <v>238.28695973331548</v>
      </c>
      <c r="KU149" s="663">
        <f t="shared" si="290"/>
        <v>6.7284193111431874</v>
      </c>
      <c r="KV149" s="117"/>
    </row>
    <row r="150" spans="1:308" s="26" customFormat="1" ht="15">
      <c r="A150" s="561">
        <f t="shared" si="168"/>
        <v>1050</v>
      </c>
      <c r="B150" s="561">
        <f t="shared" si="104"/>
        <v>50</v>
      </c>
      <c r="C150" s="561">
        <f t="shared" si="105"/>
        <v>1</v>
      </c>
      <c r="D150" s="561" t="str">
        <f t="shared" si="294"/>
        <v xml:space="preserve">1000 CC, -360 Lease, </v>
      </c>
      <c r="E150" s="475">
        <f>INDEX(Input!$1:$1048576,E$93,$C150*2+MIN($B150,2)+5)
+INDEX(Scenarios!E$121:E$200,MATCH($B150,Scenarios!$B$121:$B$200,0))</f>
        <v>2229</v>
      </c>
      <c r="F150" s="475">
        <f>INDEX(Input!$1:$1048576,F$93,$C150*2+MIN($B150,2)+5)
+INDEX(Scenarios!F$121:F$200,MATCH($B150,Scenarios!$B$121:$B$200,0))</f>
        <v>0</v>
      </c>
      <c r="G150" s="475">
        <f>INDEX(Input!$1:$1048576,G$93,$C150*2+MIN($B150,2)+5)
+INDEX(Scenarios!G$121:G$200,MATCH($B150,Scenarios!$B$121:$B$200,0))</f>
        <v>0</v>
      </c>
      <c r="H150" s="475">
        <f>INDEX(Input!$1:$1048576,H$93,$C150*2+MIN($B150,2)+5)
+INDEX(Scenarios!H$121:H$200,MATCH($B150,Scenarios!$B$121:$B$200,0))</f>
        <v>0</v>
      </c>
      <c r="I150" s="476">
        <f>INDEX(Input!$1:$1048576,I$93,$C150*2+MIN($B150,2)+5)</f>
        <v>0.7</v>
      </c>
      <c r="J150" s="476" t="str">
        <f>INDEX(Input!$1:$1048576,J$93,$C150*2+MIN($B150,2)+5)</f>
        <v>Market</v>
      </c>
      <c r="K150" s="476" t="str">
        <f>INDEX(Input!$1:$1048576,K$93,$C150*2+MIN($B150,2)+5)</f>
        <v>Market</v>
      </c>
      <c r="L150" s="476" t="str">
        <f>INDEX(Input!$1:$1048576,L$93,$C150*2+MIN($B150,2)+5)</f>
        <v>Market</v>
      </c>
      <c r="M150" s="476" t="str">
        <f>INDEX(Input!$1:$1048576,M$93,$C150*2+MIN($B150,2)+5)</f>
        <v>Market</v>
      </c>
      <c r="N150" s="476" t="str">
        <f>INDEX(Input!$1:$1048576,N$93,$C150*2+MIN($B150,2)+5)</f>
        <v>Market</v>
      </c>
      <c r="O150" s="476" t="str">
        <f>INDEX(Input!$1:$1048576,O$93,$C150*2+MIN($B150,2)+5)</f>
        <v>Market</v>
      </c>
      <c r="P150" s="476" t="str">
        <f>INDEX(Input!$1:$1048576,P$93,$C150*2+MIN($B150,2)+5)</f>
        <v>N</v>
      </c>
      <c r="Q150" s="477">
        <f>INDEX(Input!$1:$1048576,Q$93,$C150*2+MIN($B150,2)+5)
+INDEX(Scenarios!Q$121:Q$200,MATCH($B150,Scenarios!$B$121:$B$200,0))</f>
        <v>0</v>
      </c>
      <c r="R150" s="478">
        <f>IFERROR(MAX(0,INDEX(Input!$1:$1048576,R$93,$C150*2+MIN($B150,2)+5)
+INDEX(Scenarios!R$121:R$200,MATCH($B150,Scenarios!$B$121:$B$200,0)),),"Market")</f>
        <v>0</v>
      </c>
      <c r="S150" s="478">
        <f>IFERROR(MAX(0,INDEX(Input!$1:$1048576,S$93,$C150*2+MIN($B150,2)+5)
+INDEX(Scenarios!S$121:S$200,MATCH($B150,Scenarios!$B$121:$B$200,0)),),"Market")</f>
        <v>0</v>
      </c>
      <c r="T150" s="478">
        <f>IFERROR(MAX(0,INDEX(Input!$1:$1048576,T$93,$C150*2+MIN($B150,2)+5)
+INDEX(Scenarios!T$121:T$200,MATCH($B150,Scenarios!$B$121:$B$200,0)),),"Market")</f>
        <v>0</v>
      </c>
      <c r="U150" s="478">
        <f>IFERROR(MAX(0,INDEX(Input!$1:$1048576,U$93,$C150*2+MIN($B150,2)+5)
+INDEX(Scenarios!U$121:U$200,MATCH($B150,Scenarios!$B$121:$B$200,0)),),"Market")</f>
        <v>0</v>
      </c>
      <c r="V150" s="478">
        <f>IFERROR(MAX(0,INDEX(Input!$1:$1048576,V$93,$C150*2+MIN($B150,2)+5)
+INDEX(Scenarios!V$121:V$200,MATCH($B150,Scenarios!$B$121:$B$200,0)),),"Market")</f>
        <v>1.9E-2</v>
      </c>
      <c r="W150" s="885">
        <f>IFERROR(MAX(0,INDEX(Input!$1:$1048576,W$93,$C150*2+MIN($B150,2)+5)-0%,),"Market")</f>
        <v>3.9E-2</v>
      </c>
      <c r="X150" s="476" t="str">
        <f>INDEX(Input!$1:$1048576,X$93,$C150*2+MIN($B150,2)+5)</f>
        <v>Y</v>
      </c>
      <c r="Y150" s="475">
        <f>INDEX(Input!$1:$1048576,Y$93,$C150*2+MIN($B150,2)+5)
++INDEX(Scenarios!Y$121:Y$200,MATCH($B150,Scenarios!$B$121:$B$200,0))</f>
        <v>1582</v>
      </c>
      <c r="Z150" s="477">
        <f>INDEX(Input!$1:$1048576,Z$93,$C150*2+MIN($B150,2)+5)
+INDEX(Scenarios!Z$121:Z$200,MATCH($B150,Scenarios!$B$121:$B$200,0))</f>
        <v>0</v>
      </c>
      <c r="AA150" s="475">
        <f>INDEX(Input!$1:$1048576,AA$93,$C150*2+MIN($B150,2)+5)
+INDEX(Scenarios!AA$121:AA$200,MATCH($B150,Scenarios!$B$121:$B$200,0))</f>
        <v>0</v>
      </c>
      <c r="AB150" s="476">
        <f>INDEX(Input!$1:$1048576,AB$93,$C150*2+MIN($B150,2)+5)</f>
        <v>0.27</v>
      </c>
      <c r="AC150" s="475">
        <f>INDEX(Input!$1:$1048576,AC$93,$C150*2+MIN($B150,2)+5)
+INDEX(Scenarios!AC$121:AC$200,MATCH($B150,Scenarios!$B$121:$B$200,0))</f>
        <v>0</v>
      </c>
      <c r="AD150" s="476">
        <f>INDEX(Input!$1:$1048576,AD$93,$C150*2+MIN($B150,2)+5)</f>
        <v>0.27</v>
      </c>
      <c r="AE150" s="475">
        <f>INDEX(Input!$1:$1048576,AE$93,$C150*2+MIN($B150,2)+5)
+INDEX(Scenarios!AE$121:AE$200,MATCH($B150,Scenarios!$B$121:$B$200,0))</f>
        <v>0</v>
      </c>
      <c r="AF150" s="476">
        <f>INDEX(Input!$1:$1048576,AF$93,$C150*2+MIN($B150,2)+5)</f>
        <v>0.38</v>
      </c>
      <c r="AG150" s="475">
        <f>INDEX(Input!$1:$1048576,AG$93,$C150*2+MIN($B150,2)+5)
+INDEX(Scenarios!AG$121:AG$200,MATCH($B150,Scenarios!$B$121:$B$200,0))</f>
        <v>0</v>
      </c>
      <c r="AH150" s="476">
        <f>INDEX(Input!$1:$1048576,AH$93,$C150*2+MIN($B150,2)+5)</f>
        <v>0</v>
      </c>
      <c r="AI150" s="475">
        <f>INDEX(Input!$1:$1048576,AI$93,$C150*2+MIN($B150,2)+5)
+INDEX(Scenarios!AI$121:AI$200,MATCH($B150,Scenarios!$B$121:$B$200,0))</f>
        <v>0</v>
      </c>
      <c r="AJ150" s="476">
        <f>INDEX(Input!$1:$1048576,AJ$93,$C150*2+MIN($B150,2)+5)</f>
        <v>0.27</v>
      </c>
      <c r="AK150" s="150">
        <f>ROUND(INDEX(Input!$1:$1048576,AK$93,$C149*2+MIN($B150,1)+5)+(Y150-VLOOKUP($C150*1000+1,$A:$HH,Y$92,FALSE)),0)</f>
        <v>3397</v>
      </c>
      <c r="AL150" s="150">
        <f>ROUND(INDEX(Input!$1:$1048576,AL$93,$C149*2+MIN($B150,1)+5)-(Y150-VLOOKUP($C150*1000+1,$A:$HH,Y$92,FALSE))/36,0)</f>
        <v>4123</v>
      </c>
      <c r="AM150" s="32" t="str">
        <f t="shared" si="169"/>
        <v>std/std/std/std</v>
      </c>
      <c r="AN150" s="32" t="str">
        <f t="shared" si="170"/>
        <v>$0 + 0/0/0/1.9/3.9</v>
      </c>
      <c r="AO150" s="32" t="str">
        <f t="shared" si="171"/>
        <v>0/0/0/1.9/3.9</v>
      </c>
      <c r="AP150" s="32" t="str">
        <f t="shared" si="73"/>
        <v>0/0.9/1.9/3.9</v>
      </c>
      <c r="AQ150" s="536">
        <f t="shared" si="39"/>
        <v>0.41750708427387445</v>
      </c>
      <c r="AR150" s="32"/>
      <c r="AS150" s="302"/>
      <c r="AT150" s="3">
        <f t="shared" si="106"/>
        <v>50</v>
      </c>
      <c r="AU150" s="41" t="s">
        <v>121</v>
      </c>
      <c r="AV150" s="41" t="s">
        <v>116</v>
      </c>
      <c r="AW150" s="41" t="str">
        <f>INDEX(Input!$1:$1048576,AW$93,$C150*2+6)</f>
        <v>Kia</v>
      </c>
      <c r="AX150" s="41" t="str">
        <f>INDEX(Input!$1:$1048576,AX$93,$C150*2+6)</f>
        <v>Kia-LR - L1</v>
      </c>
      <c r="AY150" s="41" t="str">
        <f>IF(LEN(D150)=0,"",INDEX(Input!$1:$1048576,AY$93,$C150*2+6))</f>
        <v>Compact SUV (52)</v>
      </c>
      <c r="AZ150" s="41" t="str">
        <f>INDEX(Input!$1:$1048576,AZ$93,$C150*2+6)</f>
        <v>Kia Soul</v>
      </c>
      <c r="BA150" s="3">
        <f>INDEX(Input!$1:$1048576,BA$93,$C150*2+6)</f>
        <v>2020</v>
      </c>
      <c r="BB150" s="128">
        <f>INDEX(Input!$1:$1048576,BB$93,$C150*2+6)</f>
        <v>1</v>
      </c>
      <c r="BC150" s="128">
        <f>INDEX(Input!$1:$1048576,BC$93,$C150*2+6)</f>
        <v>0.7</v>
      </c>
      <c r="BD150" s="1">
        <f>INDEX(Input!$1:$1048576,BD$93,$C150*2+6)</f>
        <v>4.4999999999999998E-2</v>
      </c>
      <c r="BE150" s="1">
        <f>INDEX(Input!$1:$1048576,BE$93,$C150*2+6)</f>
        <v>4.4999999999999998E-2</v>
      </c>
      <c r="BF150" s="1">
        <f>INDEX(Input!$1:$1048576,BF$93,$C150*2+6)</f>
        <v>0.05</v>
      </c>
      <c r="BG150" s="1">
        <f>INDEX(Input!$1:$1048576,BG$93,$C150*2+6)</f>
        <v>5.45E-2</v>
      </c>
      <c r="BH150" s="1">
        <f>INDEX(Input!$1:$1048576,BH$93,$C150*2+6)</f>
        <v>5.45E-2</v>
      </c>
      <c r="BI150" s="1">
        <f>INDEX(Input!$1:$1048576,BI$93,$C150*2+6)</f>
        <v>0.05</v>
      </c>
      <c r="BJ150" s="1">
        <f>INDEX(Input!$1:$1048576,BJ$93,$C150*2+6)</f>
        <v>0.05</v>
      </c>
      <c r="BK150" s="1">
        <f>INDEX(Input!$1:$1048576,BK$93,$C150*2+6)</f>
        <v>0.05</v>
      </c>
      <c r="BL150" s="1">
        <f>INDEX(Input!$1:$1048576,BL$93,$C150*2+6)</f>
        <v>5.5E-2</v>
      </c>
      <c r="BM150" s="1">
        <f>INDEX(Input!$1:$1048576,BM$93,$C150*2+6)</f>
        <v>0.06</v>
      </c>
      <c r="BN150" s="1">
        <f>INDEX(Input!$1:$1048576,BN$93,$C150*2+6)</f>
        <v>4.4999999999999998E-2</v>
      </c>
      <c r="BO150" s="1">
        <f>INDEX(Input!$1:$1048576,BO$93,$C150*2+6)</f>
        <v>4.4999999999999998E-2</v>
      </c>
      <c r="BP150" s="1">
        <f>INDEX(Input!$1:$1048576,BP$93,$C150*2+6)</f>
        <v>0.05</v>
      </c>
      <c r="BQ150" s="1">
        <f>INDEX(Input!$1:$1048576,BQ$93,$C150*2+6)</f>
        <v>5.45E-2</v>
      </c>
      <c r="BR150" s="1">
        <f>INDEX(Input!$1:$1048576,BR$93,$C150*2+6)</f>
        <v>5.45E-2</v>
      </c>
      <c r="BS150" s="1">
        <f>INDEX(Input!$1:$1048576,BS$93,$C150*2+6)</f>
        <v>0.05</v>
      </c>
      <c r="BT150" s="1">
        <f>INDEX(Input!$1:$1048576,BT$93,$C150*2+6)</f>
        <v>0.05</v>
      </c>
      <c r="BU150" s="1">
        <f>INDEX(Input!$1:$1048576,BU$93,$C150*2+6)</f>
        <v>0.05</v>
      </c>
      <c r="BV150" s="1">
        <f>INDEX(Input!$1:$1048576,BV$93,$C150*2+6)</f>
        <v>5.5E-2</v>
      </c>
      <c r="BW150" s="1">
        <f>INDEX(Input!$1:$1048576,BW$93,$C150*2+6)</f>
        <v>0.06</v>
      </c>
      <c r="BX150" s="127">
        <f>INDEX(Input!$1:$1048576,BX$93,$C150*2+6)</f>
        <v>19985</v>
      </c>
      <c r="BY150" s="20">
        <f>INDEX(Input!$1:$1048576,BY$93,$C150*2+6)</f>
        <v>0.1</v>
      </c>
      <c r="BZ150" s="20">
        <f>INDEX(Input!$1:$1048576,BZ$93,$C150*2+6)</f>
        <v>0.1</v>
      </c>
      <c r="CA150" s="20">
        <f>INDEX(Input!$1:$1048576,CA$93,$C150*2+6)</f>
        <v>0.1</v>
      </c>
      <c r="CB150" s="20">
        <f>INDEX(Input!$1:$1048576,CB$93,$C150*2+6)</f>
        <v>0.1</v>
      </c>
      <c r="CC150" s="20">
        <f>INDEX(Input!$1:$1048576,CC$93,$C150*2+6)</f>
        <v>0.1</v>
      </c>
      <c r="CD150" s="384">
        <f>INDEX(Input!$1:$1048576,CD$93,$C150*2+6)</f>
        <v>0.1</v>
      </c>
      <c r="CE150" s="384">
        <f>INDEX(Input!$1:$1048576,CE$93,$C150*2+6)</f>
        <v>0.1</v>
      </c>
      <c r="CF150" s="384">
        <f>INDEX(Input!$1:$1048576,CF$93,$C150*2+6)</f>
        <v>0.1</v>
      </c>
      <c r="CG150" s="384">
        <f>INDEX(Input!$1:$1048576,CG$93,$C150*2+6)</f>
        <v>0.1</v>
      </c>
      <c r="CH150" s="384">
        <f>INDEX(Input!$1:$1048576,CH$93,$C150*2+6)</f>
        <v>0.1</v>
      </c>
      <c r="CI150" s="304">
        <f t="shared" si="74"/>
        <v>2229</v>
      </c>
      <c r="CJ150" s="16" t="str">
        <f>INDEX(Input!$1:$1048576,CJ$93,$C150*2+6)</f>
        <v>N</v>
      </c>
      <c r="CK150" s="1" t="str">
        <f t="shared" si="75"/>
        <v>Market</v>
      </c>
      <c r="CL150" s="1" t="str">
        <f t="shared" si="76"/>
        <v>Market</v>
      </c>
      <c r="CM150" s="1" t="str">
        <f t="shared" si="77"/>
        <v>Market</v>
      </c>
      <c r="CN150" s="1" t="str">
        <f t="shared" si="78"/>
        <v>Market</v>
      </c>
      <c r="CO150" s="1" t="str">
        <f t="shared" si="79"/>
        <v>Market</v>
      </c>
      <c r="CP150" s="304">
        <f t="shared" si="80"/>
        <v>0</v>
      </c>
      <c r="CQ150" s="1">
        <f t="shared" si="81"/>
        <v>0</v>
      </c>
      <c r="CR150" s="1">
        <f t="shared" si="82"/>
        <v>0</v>
      </c>
      <c r="CS150" s="1">
        <f t="shared" si="83"/>
        <v>0</v>
      </c>
      <c r="CT150" s="1">
        <f t="shared" si="84"/>
        <v>1.9E-2</v>
      </c>
      <c r="CU150" s="1">
        <f t="shared" si="85"/>
        <v>3.9E-2</v>
      </c>
      <c r="CV150" s="304">
        <f t="shared" si="86"/>
        <v>1582</v>
      </c>
      <c r="CW150" s="20" t="s">
        <v>122</v>
      </c>
      <c r="CX150" s="20" t="s">
        <v>122</v>
      </c>
      <c r="CY150" s="20" t="s">
        <v>122</v>
      </c>
      <c r="CZ150" s="20" t="s">
        <v>122</v>
      </c>
      <c r="DA150" s="20" t="s">
        <v>122</v>
      </c>
      <c r="DB150" s="503">
        <f t="shared" si="87"/>
        <v>0</v>
      </c>
      <c r="DC150" s="127">
        <v>0</v>
      </c>
      <c r="DD150" s="127">
        <v>0</v>
      </c>
      <c r="DE150" s="127">
        <v>0</v>
      </c>
      <c r="DF150" s="127">
        <v>0</v>
      </c>
      <c r="DG150" s="127">
        <v>0</v>
      </c>
      <c r="DH150" s="127">
        <v>0</v>
      </c>
      <c r="DI150" s="127">
        <v>0</v>
      </c>
      <c r="DJ150" s="127">
        <v>0</v>
      </c>
      <c r="DK150" s="127">
        <v>0</v>
      </c>
      <c r="DL150" s="127">
        <v>0</v>
      </c>
      <c r="DM150" s="304">
        <f>INDEX(Input!$1:$1048576,DM$93,$C150*2+6)</f>
        <v>21036.84210526316</v>
      </c>
      <c r="DN150" s="20">
        <v>0</v>
      </c>
      <c r="DO150" s="20">
        <v>0</v>
      </c>
      <c r="DP150" s="20">
        <v>0</v>
      </c>
      <c r="DQ150" s="20">
        <v>0</v>
      </c>
      <c r="DR150" s="20">
        <v>0</v>
      </c>
      <c r="DS150" s="20">
        <f>INDEX(Input!$1:$1048576,DS$93,$C150*2+6)</f>
        <v>0.6</v>
      </c>
      <c r="DT150" s="20">
        <f>INDEX(Input!$1:$1048576,DT$93,$C150*2+6)</f>
        <v>0.55000000000000004</v>
      </c>
      <c r="DU150" s="20">
        <f>INDEX(Input!$1:$1048576,DU$93,$C150*2+6)</f>
        <v>0.52</v>
      </c>
      <c r="DV150" s="20">
        <f>INDEX(Input!$1:$1048576,DV$93,$C150*2+6)</f>
        <v>0.5</v>
      </c>
      <c r="DW150" s="20">
        <f>INDEX(Input!$1:$1048576,DW$93,$C150*2+6)</f>
        <v>0.45</v>
      </c>
      <c r="DX150" s="20"/>
      <c r="DY150" s="7">
        <v>0.13875714179490214</v>
      </c>
      <c r="DZ150" s="7">
        <v>0</v>
      </c>
      <c r="EA150" s="7">
        <v>0.59087540669005656</v>
      </c>
      <c r="EB150" s="7">
        <v>0</v>
      </c>
      <c r="EC150" s="7">
        <v>0</v>
      </c>
      <c r="ED150" s="7">
        <v>0</v>
      </c>
      <c r="EE150" s="7">
        <v>0</v>
      </c>
      <c r="EF150" s="7">
        <v>0</v>
      </c>
      <c r="EG150" s="7">
        <v>0</v>
      </c>
      <c r="EH150" s="7">
        <v>1.8402200445098653E-2</v>
      </c>
      <c r="EI150" s="7">
        <v>5.3739557110571878E-2</v>
      </c>
      <c r="EJ150" s="7">
        <v>0.33946684904132002</v>
      </c>
      <c r="EK150" s="7">
        <v>0.48247712639938078</v>
      </c>
      <c r="EL150" s="7">
        <v>0.10591426700362867</v>
      </c>
      <c r="EM150" s="7">
        <v>3.6781690408984956E-2</v>
      </c>
      <c r="EN150" s="7">
        <v>4.9379578909208736E-2</v>
      </c>
      <c r="EO150" s="7">
        <v>0.75610016993184981</v>
      </c>
      <c r="EP150" s="7">
        <v>8.5125034424855847E-2</v>
      </c>
      <c r="EQ150" s="7">
        <v>6.5024794318701659E-2</v>
      </c>
      <c r="ER150" s="7">
        <v>4.4370422415383887E-2</v>
      </c>
      <c r="ES150" s="7">
        <v>0.23358576110605631</v>
      </c>
      <c r="ET150" s="7">
        <v>0.27036745151504127</v>
      </c>
      <c r="EU150" s="6">
        <v>2270</v>
      </c>
      <c r="EV150" s="6">
        <v>0</v>
      </c>
      <c r="EW150" s="6">
        <v>2270</v>
      </c>
      <c r="EX150" s="6">
        <v>0</v>
      </c>
      <c r="EY150" s="6">
        <v>2039.7221397149676</v>
      </c>
      <c r="EZ150" s="6">
        <v>1725</v>
      </c>
      <c r="FA150" s="6">
        <v>0</v>
      </c>
      <c r="FB150" s="6">
        <v>0</v>
      </c>
      <c r="FC150" s="6">
        <v>0</v>
      </c>
      <c r="FD150" s="6">
        <v>0</v>
      </c>
      <c r="FE150" s="6">
        <v>0</v>
      </c>
      <c r="FF150" s="6">
        <v>0</v>
      </c>
      <c r="FG150" s="6">
        <v>0</v>
      </c>
      <c r="FH150" s="6">
        <v>1171.2811379695615</v>
      </c>
      <c r="FI150" s="6">
        <v>1553.9796069512402</v>
      </c>
      <c r="FJ150" s="6">
        <v>2101.2110117447396</v>
      </c>
      <c r="FK150" s="6">
        <v>1772.7139978623231</v>
      </c>
      <c r="FL150" s="6">
        <v>907.07682140966347</v>
      </c>
      <c r="FM150" s="6">
        <v>1769.7221397149676</v>
      </c>
      <c r="FN150" s="6">
        <v>0</v>
      </c>
      <c r="FO150" s="6">
        <v>0</v>
      </c>
      <c r="FP150" s="6">
        <v>0</v>
      </c>
      <c r="FQ150" s="6">
        <v>0</v>
      </c>
      <c r="FR150" s="6">
        <v>0</v>
      </c>
      <c r="FS150" s="6">
        <v>0</v>
      </c>
      <c r="FT150" s="7">
        <v>0.72963254848495873</v>
      </c>
      <c r="FU150" s="7">
        <v>3.6781690408984956E-2</v>
      </c>
      <c r="FV150" s="7">
        <v>0.23358576110605631</v>
      </c>
      <c r="FW150" s="6">
        <v>2270</v>
      </c>
      <c r="FX150" s="6">
        <v>2039.7221397149676</v>
      </c>
      <c r="FY150" s="6">
        <v>1725</v>
      </c>
      <c r="FZ150" s="6">
        <v>1952.7147957719815</v>
      </c>
      <c r="GA150" s="6">
        <v>2134.2257512321517</v>
      </c>
      <c r="GB150" s="6">
        <v>17850.774248767848</v>
      </c>
      <c r="GC150" s="7">
        <v>1.0519917368675835E-2</v>
      </c>
      <c r="GD150" s="7">
        <v>1.1004392635704558E-2</v>
      </c>
      <c r="GE150" s="7"/>
      <c r="GF150" s="7"/>
      <c r="GG150" s="7">
        <v>4.6053143770054684E-2</v>
      </c>
      <c r="GH150" s="42">
        <v>5.0706144756452707</v>
      </c>
      <c r="GI150" s="6">
        <v>6075.5626633539796</v>
      </c>
      <c r="GJ150" s="14">
        <v>0.50394797582841744</v>
      </c>
      <c r="GK150" s="14">
        <v>0.50887573065309732</v>
      </c>
      <c r="GL150" s="14">
        <v>0.49605202417158278</v>
      </c>
      <c r="GM150" s="14">
        <v>0.49112426934690251</v>
      </c>
      <c r="GO150" s="5">
        <v>343.14810671672558</v>
      </c>
      <c r="GP150" s="5">
        <v>299.84083725090579</v>
      </c>
      <c r="GQ150" s="5">
        <v>535.04305713031317</v>
      </c>
      <c r="GR150" s="5">
        <v>410.15490233172511</v>
      </c>
      <c r="GS150" s="5">
        <v>339.42744393800166</v>
      </c>
      <c r="GT150" s="5">
        <v>293.4407446948278</v>
      </c>
      <c r="GU150" s="5">
        <v>258.04012322764959</v>
      </c>
      <c r="GV150" s="39" t="s">
        <v>392</v>
      </c>
      <c r="GW150" s="5">
        <v>492.125</v>
      </c>
      <c r="GX150" s="5">
        <v>369.09375</v>
      </c>
      <c r="GY150" s="5">
        <v>295.27499999999998</v>
      </c>
      <c r="GZ150" s="5">
        <v>260.54902799031458</v>
      </c>
      <c r="HA150" s="5">
        <v>241.34874471337258</v>
      </c>
      <c r="HB150" s="39">
        <v>280.39841310148165</v>
      </c>
      <c r="HC150" s="5">
        <v>211.81562499999998</v>
      </c>
      <c r="HD150" s="5">
        <v>188.29497441520465</v>
      </c>
      <c r="HE150" s="5">
        <v>193.13834767206475</v>
      </c>
      <c r="HF150" s="5">
        <v>181.01813048245612</v>
      </c>
      <c r="HG150" s="5">
        <v>177.56888157894736</v>
      </c>
      <c r="HH150" s="39">
        <v>188.91961000194749</v>
      </c>
      <c r="HI150" s="16"/>
      <c r="HJ150" s="19" t="str">
        <f t="shared" ref="HJ150" si="379">HJ149</f>
        <v>On</v>
      </c>
      <c r="HK150" s="1" t="str">
        <f t="shared" si="108"/>
        <v>On</v>
      </c>
      <c r="HL150" s="16"/>
      <c r="HM150" s="639">
        <f t="shared" si="266"/>
        <v>5.7455619280273196E-3</v>
      </c>
      <c r="HN150" s="639">
        <f t="shared" si="267"/>
        <v>5.0031960498701745E-4</v>
      </c>
      <c r="HO150" s="639">
        <f t="shared" si="268"/>
        <v>3.9819433988714835E-3</v>
      </c>
      <c r="HP150" s="644">
        <f>(FT150*$GD150-HM150)/$JF150*INDEX(Input!$1:$1048576,$JG$93,$C150*2+6)</f>
        <v>99.579930650216568</v>
      </c>
      <c r="HQ150" s="644">
        <f>(FU150*$GD150-HN150)/$JF150*INDEX(Input!$1:$1048576,$JG$93,$C150*2+6)</f>
        <v>-4.1670160939275664</v>
      </c>
      <c r="HR150" s="644">
        <f>(FV150*$GD150-HO150)/$JF150*INDEX(Input!$1:$1048576,$JG$93,$C150*2+6)</f>
        <v>-61.549488245246643</v>
      </c>
      <c r="HS150" s="644">
        <f t="shared" si="269"/>
        <v>-18.602034498155973</v>
      </c>
      <c r="HT150" s="644">
        <f t="shared" si="270"/>
        <v>-7.5637274258316634</v>
      </c>
      <c r="HU150" s="644">
        <f t="shared" si="271"/>
        <v>3.7266604820864035</v>
      </c>
      <c r="HV150" s="648">
        <f t="shared" si="272"/>
        <v>0</v>
      </c>
      <c r="HW150" s="648">
        <f t="shared" si="273"/>
        <v>0</v>
      </c>
      <c r="HX150" s="648">
        <f t="shared" si="274"/>
        <v>0</v>
      </c>
      <c r="HY150" s="644">
        <f>INDEX(Input!$1:$1048576,HY$93,$C150*2+6)*INDEX(Input!$1:$1048576,$JG$93,$C150*2+6)</f>
        <v>110.00000000000001</v>
      </c>
      <c r="HZ150" s="644">
        <f>INDEX(Input!$1:$1048576,HZ$93,$C150*2+6)*INDEX(Input!$1:$1048576,$JG$93,$C150*2+6)</f>
        <v>157</v>
      </c>
      <c r="IA150" s="644">
        <f>INDEX(Input!$1:$1048576,IA$93,$C150*2+6)*INDEX(Input!$1:$1048576,$JG$93,$C150*2+6)</f>
        <v>179</v>
      </c>
      <c r="IB150" s="644">
        <f t="shared" si="249"/>
        <v>190.97789615206059</v>
      </c>
      <c r="IC150" s="644">
        <f t="shared" si="172"/>
        <v>145.26925648024076</v>
      </c>
      <c r="ID150" s="644">
        <f>IF(AND(INDEX(Input!$1:$1048576,IA$93,$C150*2+7)="TOS",Y150&lt;=INDEX(Y:Y,MATCH(C150*1000+2,A:A))),0,1)*MAX(IA150+HR150+HU150+HX150,0%)</f>
        <v>121.17717223683977</v>
      </c>
      <c r="IE150" s="128">
        <f t="shared" si="275"/>
        <v>0.41750708427387445</v>
      </c>
      <c r="IF150" s="128">
        <f t="shared" si="174"/>
        <v>0.31758096057047047</v>
      </c>
      <c r="IG150" s="128">
        <f t="shared" si="175"/>
        <v>0.26491195515565524</v>
      </c>
      <c r="IH150" s="21"/>
      <c r="II150" s="19">
        <f t="shared" si="276"/>
        <v>1240</v>
      </c>
      <c r="IJ150" s="19">
        <f t="shared" si="277"/>
        <v>2009.7221397149679</v>
      </c>
      <c r="IK150" s="19">
        <f t="shared" si="278"/>
        <v>2070</v>
      </c>
      <c r="IL150" s="19">
        <f t="shared" si="176"/>
        <v>1030</v>
      </c>
      <c r="IM150" s="19">
        <f t="shared" si="177"/>
        <v>29.999999999999773</v>
      </c>
      <c r="IN150" s="19">
        <f t="shared" si="178"/>
        <v>-345</v>
      </c>
      <c r="IO150" s="39">
        <f t="shared" si="279"/>
        <v>0</v>
      </c>
      <c r="IP150" s="39">
        <f t="shared" si="280"/>
        <v>0</v>
      </c>
      <c r="IQ150" s="39">
        <f t="shared" si="281"/>
        <v>0</v>
      </c>
      <c r="IR150" s="39">
        <v>0</v>
      </c>
      <c r="IS150" s="39">
        <v>0</v>
      </c>
      <c r="IT150" s="39">
        <v>0</v>
      </c>
      <c r="IU150" s="39">
        <v>0</v>
      </c>
      <c r="IV150" s="39">
        <v>0</v>
      </c>
      <c r="IW150" s="39">
        <v>0</v>
      </c>
      <c r="IX150" s="39">
        <f>INDEX(Input!$1:$1048576,IX$93,$C150*2+6)+INDEX(Input!$1:$1048576,IX$94,$C150*2+6)</f>
        <v>1270</v>
      </c>
      <c r="IY150" s="39">
        <f>INDEX(Input!$1:$1048576,IY$93,$C150*2+6)+INDEX(Input!$1:$1048576,IY$94,$C150*2+6)</f>
        <v>2130.0624533823611</v>
      </c>
      <c r="IZ150" s="39">
        <f>INDEX(Input!$1:$1048576,IZ$93,$C150*2+6)+INDEX(Input!$1:$1048576,IZ$94,$C150*2+6)</f>
        <v>4373.7164157747848</v>
      </c>
      <c r="JA150" s="19">
        <f t="shared" si="179"/>
        <v>2300</v>
      </c>
      <c r="JB150" s="19">
        <f t="shared" si="180"/>
        <v>2160.0624533823611</v>
      </c>
      <c r="JC150" s="19">
        <f t="shared" si="181"/>
        <v>4028.7164157747848</v>
      </c>
      <c r="JD150" s="19">
        <f t="shared" si="182"/>
        <v>2713.5161451378704</v>
      </c>
      <c r="JE150" s="21"/>
      <c r="JF150" s="1">
        <f t="shared" si="282"/>
        <v>1.022782493188582E-2</v>
      </c>
      <c r="JG150" s="15">
        <f>INDEX(Input!$1:$1048576,JG$93,$C150*2+6)/(1+VLOOKUP(C150*1000+INDEX(Input!$1:$1048576,JG$93+1,$C150*2+6),$A:$KK,$JK$92,FALSE))</f>
        <v>446</v>
      </c>
      <c r="JH150" s="1">
        <f t="shared" si="251"/>
        <v>7.5926964822964918E-2</v>
      </c>
      <c r="JI150" s="1">
        <f t="shared" si="252"/>
        <v>-5.0311886641034163E-2</v>
      </c>
      <c r="JJ150" s="1">
        <f t="shared" si="253"/>
        <v>0</v>
      </c>
      <c r="JK150" s="1">
        <f t="shared" si="254"/>
        <v>2.5615078181930755E-2</v>
      </c>
      <c r="JL150" s="15">
        <f t="shared" si="184"/>
        <v>11.424324869141117</v>
      </c>
      <c r="JM150" s="15">
        <f t="shared" si="185"/>
        <v>457.42432486914112</v>
      </c>
      <c r="JN150" s="21"/>
      <c r="JO150" s="19">
        <f>INDEX(Input!$1:$1048576,JO$93,$C150*2+6)</f>
        <v>5995.5</v>
      </c>
      <c r="JP150" s="19">
        <f>INDEX(Input!$1:$1048576,JP$93,$C150*2+6)</f>
        <v>2818.4193802796353</v>
      </c>
      <c r="JQ150" s="39">
        <f t="shared" si="186"/>
        <v>3281.9838548621296</v>
      </c>
      <c r="JR150" s="39">
        <f t="shared" si="187"/>
        <v>-104.90323514176498</v>
      </c>
      <c r="JS150" s="39">
        <f t="shared" si="188"/>
        <v>1.2412282907112047</v>
      </c>
      <c r="JT150" s="39">
        <f t="shared" si="189"/>
        <v>-1.5786752893512602E-2</v>
      </c>
      <c r="JU150" s="385">
        <f>(JQ150*JM150-INDEX(Input!$1:$1048576,Input!A$18,$C150*2+6)*JL150*INDEX(Input!$1:$1048576,Input!A$19,$C150*2+6))/1000000</f>
        <v>1.5012592490417307</v>
      </c>
      <c r="JV150" s="39">
        <f t="shared" si="192"/>
        <v>8.4281292646448014E-2</v>
      </c>
      <c r="JW150" s="1">
        <f t="shared" si="190"/>
        <v>5.9479607474526408E-2</v>
      </c>
      <c r="JX150" s="19">
        <f t="shared" si="191"/>
        <v>-1381.8543392577258</v>
      </c>
      <c r="JZ150" s="341"/>
      <c r="KA150" s="342"/>
      <c r="KB150" s="469">
        <f t="shared" si="110"/>
        <v>2.9286733661474216</v>
      </c>
      <c r="KI150" s="473">
        <f t="shared" si="283"/>
        <v>80.977896152060609</v>
      </c>
      <c r="KJ150" s="473">
        <f t="shared" si="284"/>
        <v>-11.730743519759216</v>
      </c>
      <c r="KK150" s="473">
        <f t="shared" si="257"/>
        <v>-57.82282776316022</v>
      </c>
      <c r="KN150" s="544">
        <f t="shared" si="258"/>
        <v>1002</v>
      </c>
      <c r="KO150" s="541">
        <f t="shared" si="285"/>
        <v>2.1411057504827191E-2</v>
      </c>
      <c r="KP150" s="546">
        <f t="shared" si="286"/>
        <v>322.13878041783846</v>
      </c>
      <c r="KQ150" s="546">
        <f t="shared" si="287"/>
        <v>-125.80005488078132</v>
      </c>
      <c r="KR150" s="548">
        <f t="shared" si="288"/>
        <v>1.1395933806070127</v>
      </c>
      <c r="KS150" s="548">
        <f t="shared" si="289"/>
        <v>-2.9181801402939467</v>
      </c>
      <c r="KT150" s="473">
        <f t="shared" si="112"/>
        <v>238.28695973331548</v>
      </c>
      <c r="KU150" s="663">
        <f t="shared" si="290"/>
        <v>6.7731564601756933</v>
      </c>
      <c r="KV150" s="117"/>
    </row>
    <row r="151" spans="1:308" s="26" customFormat="1" ht="15" outlineLevel="1">
      <c r="A151" s="561">
        <f t="shared" si="168"/>
        <v>1051</v>
      </c>
      <c r="B151" s="561">
        <f t="shared" si="104"/>
        <v>51</v>
      </c>
      <c r="C151" s="561">
        <f t="shared" si="105"/>
        <v>1</v>
      </c>
      <c r="D151" s="561" t="str">
        <f t="shared" si="294"/>
        <v xml:space="preserve">0/0/0.9/3.9, -360 Lease, </v>
      </c>
      <c r="E151" s="475">
        <f>INDEX(Input!$1:$1048576,E$93,$C151*2+MIN($B151,2)+5)
+INDEX(Scenarios!E$121:E$200,MATCH($B151,Scenarios!$B$121:$B$200,0))</f>
        <v>1229</v>
      </c>
      <c r="F151" s="475">
        <f>INDEX(Input!$1:$1048576,F$93,$C151*2+MIN($B151,2)+5)
+INDEX(Scenarios!F$121:F$200,MATCH($B151,Scenarios!$B$121:$B$200,0))</f>
        <v>0</v>
      </c>
      <c r="G151" s="475">
        <f>INDEX(Input!$1:$1048576,G$93,$C151*2+MIN($B151,2)+5)
+INDEX(Scenarios!G$121:G$200,MATCH($B151,Scenarios!$B$121:$B$200,0))</f>
        <v>0</v>
      </c>
      <c r="H151" s="475">
        <f>INDEX(Input!$1:$1048576,H$93,$C151*2+MIN($B151,2)+5)
+INDEX(Scenarios!H$121:H$200,MATCH($B151,Scenarios!$B$121:$B$200,0))</f>
        <v>0</v>
      </c>
      <c r="I151" s="476">
        <f>INDEX(Input!$1:$1048576,I$93,$C151*2+MIN($B151,2)+5)</f>
        <v>0.7</v>
      </c>
      <c r="J151" s="476" t="str">
        <f>INDEX(Input!$1:$1048576,J$93,$C151*2+MIN($B151,2)+5)</f>
        <v>Market</v>
      </c>
      <c r="K151" s="476" t="str">
        <f>INDEX(Input!$1:$1048576,K$93,$C151*2+MIN($B151,2)+5)</f>
        <v>Market</v>
      </c>
      <c r="L151" s="476" t="str">
        <f>INDEX(Input!$1:$1048576,L$93,$C151*2+MIN($B151,2)+5)</f>
        <v>Market</v>
      </c>
      <c r="M151" s="476" t="str">
        <f>INDEX(Input!$1:$1048576,M$93,$C151*2+MIN($B151,2)+5)</f>
        <v>Market</v>
      </c>
      <c r="N151" s="476" t="str">
        <f>INDEX(Input!$1:$1048576,N$93,$C151*2+MIN($B151,2)+5)</f>
        <v>Market</v>
      </c>
      <c r="O151" s="476" t="str">
        <f>INDEX(Input!$1:$1048576,O$93,$C151*2+MIN($B151,2)+5)</f>
        <v>Market</v>
      </c>
      <c r="P151" s="476" t="str">
        <f>INDEX(Input!$1:$1048576,P$93,$C151*2+MIN($B151,2)+5)</f>
        <v>N</v>
      </c>
      <c r="Q151" s="477">
        <f>INDEX(Input!$1:$1048576,Q$93,$C151*2+MIN($B151,2)+5)
+INDEX(Scenarios!Q$121:Q$200,MATCH($B151,Scenarios!$B$121:$B$200,0))</f>
        <v>0</v>
      </c>
      <c r="R151" s="478">
        <f>IFERROR(MAX(0,INDEX(Input!$1:$1048576,R$93,$C151*2+MIN($B151,2)+5)
+INDEX(Scenarios!R$121:R$200,MATCH($B151,Scenarios!$B$121:$B$200,0)),),"Market")</f>
        <v>0</v>
      </c>
      <c r="S151" s="478">
        <f>IFERROR(MAX(0,INDEX(Input!$1:$1048576,S$93,$C151*2+MIN($B151,2)+5)
+INDEX(Scenarios!S$121:S$200,MATCH($B151,Scenarios!$B$121:$B$200,0)),),"Market")</f>
        <v>0</v>
      </c>
      <c r="T151" s="478">
        <f>IFERROR(MAX(0,INDEX(Input!$1:$1048576,T$93,$C151*2+MIN($B151,2)+5)
+INDEX(Scenarios!T$121:T$200,MATCH($B151,Scenarios!$B$121:$B$200,0)),),"Market")</f>
        <v>0</v>
      </c>
      <c r="U151" s="478">
        <f>IFERROR(MAX(0,INDEX(Input!$1:$1048576,U$93,$C151*2+MIN($B151,2)+5)
+INDEX(Scenarios!U$121:U$200,MATCH($B151,Scenarios!$B$121:$B$200,0)),),"Market")</f>
        <v>0</v>
      </c>
      <c r="V151" s="478">
        <f>IFERROR(MAX(0,INDEX(Input!$1:$1048576,V$93,$C151*2+MIN($B151,2)+5)
+INDEX(Scenarios!V$121:V$200,MATCH($B151,Scenarios!$B$121:$B$200,0)),),"Market")</f>
        <v>8.9999999999999993E-3</v>
      </c>
      <c r="W151" s="885">
        <f>IFERROR(MAX(0,INDEX(Input!$1:$1048576,W$93,$C151*2+MIN($B151,2)+5)-0%,),"Market")</f>
        <v>3.9E-2</v>
      </c>
      <c r="X151" s="476" t="str">
        <f>INDEX(Input!$1:$1048576,X$93,$C151*2+MIN($B151,2)+5)</f>
        <v>Y</v>
      </c>
      <c r="Y151" s="475">
        <f>INDEX(Input!$1:$1048576,Y$93,$C151*2+MIN($B151,2)+5)
++INDEX(Scenarios!Y$121:Y$200,MATCH($B151,Scenarios!$B$121:$B$200,0))</f>
        <v>1582</v>
      </c>
      <c r="Z151" s="477">
        <f>INDEX(Input!$1:$1048576,Z$93,$C151*2+MIN($B151,2)+5)
+INDEX(Scenarios!Z$121:Z$200,MATCH($B151,Scenarios!$B$121:$B$200,0))</f>
        <v>0</v>
      </c>
      <c r="AA151" s="475">
        <f>INDEX(Input!$1:$1048576,AA$93,$C151*2+MIN($B151,2)+5)
+INDEX(Scenarios!AA$121:AA$200,MATCH($B151,Scenarios!$B$121:$B$200,0))</f>
        <v>0</v>
      </c>
      <c r="AB151" s="476">
        <f>INDEX(Input!$1:$1048576,AB$93,$C151*2+MIN($B151,2)+5)</f>
        <v>0.27</v>
      </c>
      <c r="AC151" s="475">
        <f>INDEX(Input!$1:$1048576,AC$93,$C151*2+MIN($B151,2)+5)
+INDEX(Scenarios!AC$121:AC$200,MATCH($B151,Scenarios!$B$121:$B$200,0))</f>
        <v>0</v>
      </c>
      <c r="AD151" s="476">
        <f>INDEX(Input!$1:$1048576,AD$93,$C151*2+MIN($B151,2)+5)</f>
        <v>0.27</v>
      </c>
      <c r="AE151" s="475">
        <f>INDEX(Input!$1:$1048576,AE$93,$C151*2+MIN($B151,2)+5)
+INDEX(Scenarios!AE$121:AE$200,MATCH($B151,Scenarios!$B$121:$B$200,0))</f>
        <v>0</v>
      </c>
      <c r="AF151" s="476">
        <f>INDEX(Input!$1:$1048576,AF$93,$C151*2+MIN($B151,2)+5)</f>
        <v>0.38</v>
      </c>
      <c r="AG151" s="475">
        <f>INDEX(Input!$1:$1048576,AG$93,$C151*2+MIN($B151,2)+5)
+INDEX(Scenarios!AG$121:AG$200,MATCH($B151,Scenarios!$B$121:$B$200,0))</f>
        <v>0</v>
      </c>
      <c r="AH151" s="476">
        <f>INDEX(Input!$1:$1048576,AH$93,$C151*2+MIN($B151,2)+5)</f>
        <v>0</v>
      </c>
      <c r="AI151" s="475">
        <f>INDEX(Input!$1:$1048576,AI$93,$C151*2+MIN($B151,2)+5)
+INDEX(Scenarios!AI$121:AI$200,MATCH($B151,Scenarios!$B$121:$B$200,0))</f>
        <v>0</v>
      </c>
      <c r="AJ151" s="476">
        <f>INDEX(Input!$1:$1048576,AJ$93,$C151*2+MIN($B151,2)+5)</f>
        <v>0.27</v>
      </c>
      <c r="AK151" s="150">
        <f>ROUND(INDEX(Input!$1:$1048576,AK$93,$C150*2+MIN($B151,1)+5)+(Y151-VLOOKUP($C151*1000+1,$A:$HH,Y$92,FALSE)),0)</f>
        <v>3397</v>
      </c>
      <c r="AL151" s="150">
        <f>ROUND(INDEX(Input!$1:$1048576,AL$93,$C150*2+MIN($B151,1)+5)-(Y151-VLOOKUP($C151*1000+1,$A:$HH,Y$92,FALSE))/36,0)</f>
        <v>4123</v>
      </c>
      <c r="AM151" s="32" t="str">
        <f t="shared" si="169"/>
        <v>std/std/std/std</v>
      </c>
      <c r="AN151" s="32" t="str">
        <f t="shared" si="170"/>
        <v>$0 + 0/0/0/0.9/3.9</v>
      </c>
      <c r="AO151" s="32" t="str">
        <f t="shared" si="171"/>
        <v>0/0/0/0.9/3.9</v>
      </c>
      <c r="AP151" s="32" t="str">
        <f t="shared" si="73"/>
        <v>0/0/0.9/3.9</v>
      </c>
      <c r="AQ151" s="536">
        <f t="shared" si="39"/>
        <v>0.27980094232034197</v>
      </c>
      <c r="AR151" s="32"/>
      <c r="AS151" s="302"/>
      <c r="AT151" s="3">
        <f t="shared" si="106"/>
        <v>51</v>
      </c>
      <c r="AU151" s="41" t="s">
        <v>121</v>
      </c>
      <c r="AV151" s="41" t="s">
        <v>116</v>
      </c>
      <c r="AW151" s="41" t="str">
        <f>INDEX(Input!$1:$1048576,AW$93,$C151*2+6)</f>
        <v>Kia</v>
      </c>
      <c r="AX151" s="41" t="str">
        <f>INDEX(Input!$1:$1048576,AX$93,$C151*2+6)</f>
        <v>Kia-LR - L1</v>
      </c>
      <c r="AY151" s="41" t="str">
        <f>IF(LEN(D151)=0,"",INDEX(Input!$1:$1048576,AY$93,$C151*2+6))</f>
        <v>Compact SUV (52)</v>
      </c>
      <c r="AZ151" s="41" t="str">
        <f>INDEX(Input!$1:$1048576,AZ$93,$C151*2+6)</f>
        <v>Kia Soul</v>
      </c>
      <c r="BA151" s="3">
        <f>INDEX(Input!$1:$1048576,BA$93,$C151*2+6)</f>
        <v>2020</v>
      </c>
      <c r="BB151" s="128">
        <f>INDEX(Input!$1:$1048576,BB$93,$C151*2+6)</f>
        <v>1</v>
      </c>
      <c r="BC151" s="128">
        <f>INDEX(Input!$1:$1048576,BC$93,$C151*2+6)</f>
        <v>0.7</v>
      </c>
      <c r="BD151" s="1">
        <f>INDEX(Input!$1:$1048576,BD$93,$C151*2+6)</f>
        <v>4.4999999999999998E-2</v>
      </c>
      <c r="BE151" s="1">
        <f>INDEX(Input!$1:$1048576,BE$93,$C151*2+6)</f>
        <v>4.4999999999999998E-2</v>
      </c>
      <c r="BF151" s="1">
        <f>INDEX(Input!$1:$1048576,BF$93,$C151*2+6)</f>
        <v>0.05</v>
      </c>
      <c r="BG151" s="1">
        <f>INDEX(Input!$1:$1048576,BG$93,$C151*2+6)</f>
        <v>5.45E-2</v>
      </c>
      <c r="BH151" s="1">
        <f>INDEX(Input!$1:$1048576,BH$93,$C151*2+6)</f>
        <v>5.45E-2</v>
      </c>
      <c r="BI151" s="1">
        <f>INDEX(Input!$1:$1048576,BI$93,$C151*2+6)</f>
        <v>0.05</v>
      </c>
      <c r="BJ151" s="1">
        <f>INDEX(Input!$1:$1048576,BJ$93,$C151*2+6)</f>
        <v>0.05</v>
      </c>
      <c r="BK151" s="1">
        <f>INDEX(Input!$1:$1048576,BK$93,$C151*2+6)</f>
        <v>0.05</v>
      </c>
      <c r="BL151" s="1">
        <f>INDEX(Input!$1:$1048576,BL$93,$C151*2+6)</f>
        <v>5.5E-2</v>
      </c>
      <c r="BM151" s="1">
        <f>INDEX(Input!$1:$1048576,BM$93,$C151*2+6)</f>
        <v>0.06</v>
      </c>
      <c r="BN151" s="1">
        <f>INDEX(Input!$1:$1048576,BN$93,$C151*2+6)</f>
        <v>4.4999999999999998E-2</v>
      </c>
      <c r="BO151" s="1">
        <f>INDEX(Input!$1:$1048576,BO$93,$C151*2+6)</f>
        <v>4.4999999999999998E-2</v>
      </c>
      <c r="BP151" s="1">
        <f>INDEX(Input!$1:$1048576,BP$93,$C151*2+6)</f>
        <v>0.05</v>
      </c>
      <c r="BQ151" s="1">
        <f>INDEX(Input!$1:$1048576,BQ$93,$C151*2+6)</f>
        <v>5.45E-2</v>
      </c>
      <c r="BR151" s="1">
        <f>INDEX(Input!$1:$1048576,BR$93,$C151*2+6)</f>
        <v>5.45E-2</v>
      </c>
      <c r="BS151" s="1">
        <f>INDEX(Input!$1:$1048576,BS$93,$C151*2+6)</f>
        <v>0.05</v>
      </c>
      <c r="BT151" s="1">
        <f>INDEX(Input!$1:$1048576,BT$93,$C151*2+6)</f>
        <v>0.05</v>
      </c>
      <c r="BU151" s="1">
        <f>INDEX(Input!$1:$1048576,BU$93,$C151*2+6)</f>
        <v>0.05</v>
      </c>
      <c r="BV151" s="1">
        <f>INDEX(Input!$1:$1048576,BV$93,$C151*2+6)</f>
        <v>5.5E-2</v>
      </c>
      <c r="BW151" s="1">
        <f>INDEX(Input!$1:$1048576,BW$93,$C151*2+6)</f>
        <v>0.06</v>
      </c>
      <c r="BX151" s="127">
        <f>INDEX(Input!$1:$1048576,BX$93,$C151*2+6)</f>
        <v>19985</v>
      </c>
      <c r="BY151" s="20">
        <f>INDEX(Input!$1:$1048576,BY$93,$C151*2+6)</f>
        <v>0.1</v>
      </c>
      <c r="BZ151" s="20">
        <f>INDEX(Input!$1:$1048576,BZ$93,$C151*2+6)</f>
        <v>0.1</v>
      </c>
      <c r="CA151" s="20">
        <f>INDEX(Input!$1:$1048576,CA$93,$C151*2+6)</f>
        <v>0.1</v>
      </c>
      <c r="CB151" s="20">
        <f>INDEX(Input!$1:$1048576,CB$93,$C151*2+6)</f>
        <v>0.1</v>
      </c>
      <c r="CC151" s="20">
        <f>INDEX(Input!$1:$1048576,CC$93,$C151*2+6)</f>
        <v>0.1</v>
      </c>
      <c r="CD151" s="384">
        <f>INDEX(Input!$1:$1048576,CD$93,$C151*2+6)</f>
        <v>0.1</v>
      </c>
      <c r="CE151" s="384">
        <f>INDEX(Input!$1:$1048576,CE$93,$C151*2+6)</f>
        <v>0.1</v>
      </c>
      <c r="CF151" s="384">
        <f>INDEX(Input!$1:$1048576,CF$93,$C151*2+6)</f>
        <v>0.1</v>
      </c>
      <c r="CG151" s="384">
        <f>INDEX(Input!$1:$1048576,CG$93,$C151*2+6)</f>
        <v>0.1</v>
      </c>
      <c r="CH151" s="384">
        <f>INDEX(Input!$1:$1048576,CH$93,$C151*2+6)</f>
        <v>0.1</v>
      </c>
      <c r="CI151" s="304">
        <f t="shared" si="74"/>
        <v>1229</v>
      </c>
      <c r="CJ151" s="16" t="str">
        <f>INDEX(Input!$1:$1048576,CJ$93,$C151*2+6)</f>
        <v>N</v>
      </c>
      <c r="CK151" s="1" t="str">
        <f t="shared" si="75"/>
        <v>Market</v>
      </c>
      <c r="CL151" s="1" t="str">
        <f t="shared" si="76"/>
        <v>Market</v>
      </c>
      <c r="CM151" s="1" t="str">
        <f t="shared" si="77"/>
        <v>Market</v>
      </c>
      <c r="CN151" s="1" t="str">
        <f t="shared" si="78"/>
        <v>Market</v>
      </c>
      <c r="CO151" s="1" t="str">
        <f t="shared" si="79"/>
        <v>Market</v>
      </c>
      <c r="CP151" s="304">
        <f t="shared" si="80"/>
        <v>0</v>
      </c>
      <c r="CQ151" s="1">
        <f t="shared" si="81"/>
        <v>0</v>
      </c>
      <c r="CR151" s="1">
        <f t="shared" si="82"/>
        <v>0</v>
      </c>
      <c r="CS151" s="1">
        <f t="shared" si="83"/>
        <v>0</v>
      </c>
      <c r="CT151" s="1">
        <f t="shared" si="84"/>
        <v>8.9999999999999993E-3</v>
      </c>
      <c r="CU151" s="1">
        <f t="shared" si="85"/>
        <v>3.9E-2</v>
      </c>
      <c r="CV151" s="304">
        <f t="shared" si="86"/>
        <v>1582</v>
      </c>
      <c r="CW151" s="20" t="s">
        <v>122</v>
      </c>
      <c r="CX151" s="20" t="s">
        <v>122</v>
      </c>
      <c r="CY151" s="20" t="s">
        <v>122</v>
      </c>
      <c r="CZ151" s="20" t="s">
        <v>122</v>
      </c>
      <c r="DA151" s="20" t="s">
        <v>122</v>
      </c>
      <c r="DB151" s="503">
        <f t="shared" si="87"/>
        <v>0</v>
      </c>
      <c r="DC151" s="127">
        <v>0</v>
      </c>
      <c r="DD151" s="127">
        <v>0</v>
      </c>
      <c r="DE151" s="127">
        <v>0</v>
      </c>
      <c r="DF151" s="127">
        <v>0</v>
      </c>
      <c r="DG151" s="127">
        <v>0</v>
      </c>
      <c r="DH151" s="127">
        <v>0</v>
      </c>
      <c r="DI151" s="127">
        <v>0</v>
      </c>
      <c r="DJ151" s="127">
        <v>0</v>
      </c>
      <c r="DK151" s="127">
        <v>0</v>
      </c>
      <c r="DL151" s="127">
        <v>0</v>
      </c>
      <c r="DM151" s="304">
        <f>INDEX(Input!$1:$1048576,DM$93,$C151*2+6)</f>
        <v>21036.84210526316</v>
      </c>
      <c r="DN151" s="20">
        <v>0</v>
      </c>
      <c r="DO151" s="20">
        <v>0</v>
      </c>
      <c r="DP151" s="20">
        <v>0</v>
      </c>
      <c r="DQ151" s="20">
        <v>0</v>
      </c>
      <c r="DR151" s="20">
        <v>0</v>
      </c>
      <c r="DS151" s="20">
        <f>INDEX(Input!$1:$1048576,DS$93,$C151*2+6)</f>
        <v>0.6</v>
      </c>
      <c r="DT151" s="20">
        <f>INDEX(Input!$1:$1048576,DT$93,$C151*2+6)</f>
        <v>0.55000000000000004</v>
      </c>
      <c r="DU151" s="20">
        <f>INDEX(Input!$1:$1048576,DU$93,$C151*2+6)</f>
        <v>0.52</v>
      </c>
      <c r="DV151" s="20">
        <f>INDEX(Input!$1:$1048576,DV$93,$C151*2+6)</f>
        <v>0.5</v>
      </c>
      <c r="DW151" s="20">
        <f>INDEX(Input!$1:$1048576,DW$93,$C151*2+6)</f>
        <v>0.45</v>
      </c>
      <c r="DX151" s="20"/>
      <c r="DY151" s="7">
        <v>0.10417301334377227</v>
      </c>
      <c r="DZ151" s="7">
        <v>0</v>
      </c>
      <c r="EA151" s="7">
        <v>0.49793914685092805</v>
      </c>
      <c r="EB151" s="7">
        <v>0</v>
      </c>
      <c r="EC151" s="7">
        <v>0</v>
      </c>
      <c r="ED151" s="7">
        <v>0</v>
      </c>
      <c r="EE151" s="7">
        <v>0</v>
      </c>
      <c r="EF151" s="7">
        <v>0</v>
      </c>
      <c r="EG151" s="7">
        <v>0</v>
      </c>
      <c r="EH151" s="7">
        <v>1.4789192705906982E-2</v>
      </c>
      <c r="EI151" s="7">
        <v>4.3188566954775423E-2</v>
      </c>
      <c r="EJ151" s="7">
        <v>0.27281740913088937</v>
      </c>
      <c r="EK151" s="7">
        <v>0.58408530924176316</v>
      </c>
      <c r="EL151" s="7">
        <v>8.5119521966665126E-2</v>
      </c>
      <c r="EM151" s="7">
        <v>6.5187440599614246E-2</v>
      </c>
      <c r="EN151" s="7">
        <v>4.9379578909208743E-2</v>
      </c>
      <c r="EO151" s="7">
        <v>0.7561001699318497</v>
      </c>
      <c r="EP151" s="7">
        <v>8.5125034424855847E-2</v>
      </c>
      <c r="EQ151" s="7">
        <v>6.5024794318701659E-2</v>
      </c>
      <c r="ER151" s="7">
        <v>4.437042241538388E-2</v>
      </c>
      <c r="ES151" s="7">
        <v>0.33270039920568556</v>
      </c>
      <c r="ET151" s="7">
        <v>0.39788783980529968</v>
      </c>
      <c r="EU151" s="6">
        <v>1270</v>
      </c>
      <c r="EV151" s="6">
        <v>0</v>
      </c>
      <c r="EW151" s="6">
        <v>1270</v>
      </c>
      <c r="EX151" s="6">
        <v>0</v>
      </c>
      <c r="EY151" s="6">
        <v>2319.8491773399101</v>
      </c>
      <c r="EZ151" s="6">
        <v>1725</v>
      </c>
      <c r="FA151" s="6">
        <v>0</v>
      </c>
      <c r="FB151" s="6">
        <v>0</v>
      </c>
      <c r="FC151" s="6">
        <v>0</v>
      </c>
      <c r="FD151" s="6">
        <v>0</v>
      </c>
      <c r="FE151" s="6">
        <v>0</v>
      </c>
      <c r="FF151" s="6">
        <v>0</v>
      </c>
      <c r="FG151" s="6">
        <v>0</v>
      </c>
      <c r="FH151" s="6">
        <v>1171.2811379695618</v>
      </c>
      <c r="FI151" s="6">
        <v>1553.9796069512399</v>
      </c>
      <c r="FJ151" s="6">
        <v>2101.211011744741</v>
      </c>
      <c r="FK151" s="6">
        <v>2251.3078348034669</v>
      </c>
      <c r="FL151" s="6">
        <v>907.07682140966324</v>
      </c>
      <c r="FM151" s="6">
        <v>2049.8491773399101</v>
      </c>
      <c r="FN151" s="6">
        <v>0</v>
      </c>
      <c r="FO151" s="6">
        <v>0</v>
      </c>
      <c r="FP151" s="6">
        <v>0</v>
      </c>
      <c r="FQ151" s="6">
        <v>0</v>
      </c>
      <c r="FR151" s="6">
        <v>0</v>
      </c>
      <c r="FS151" s="6">
        <v>0</v>
      </c>
      <c r="FT151" s="7">
        <v>0.60211216019470037</v>
      </c>
      <c r="FU151" s="7">
        <v>6.5187440599614246E-2</v>
      </c>
      <c r="FV151" s="7">
        <v>0.33270039920568556</v>
      </c>
      <c r="FW151" s="6">
        <v>1269.9999999999998</v>
      </c>
      <c r="FX151" s="6">
        <v>2319.8491773399101</v>
      </c>
      <c r="FY151" s="6">
        <v>1725</v>
      </c>
      <c r="FZ151" s="6">
        <v>1952.7147957719815</v>
      </c>
      <c r="GA151" s="6">
        <v>1489.8156625249862</v>
      </c>
      <c r="GB151" s="6">
        <v>18495.184337475013</v>
      </c>
      <c r="GC151" s="7">
        <v>1.0519917368675835E-2</v>
      </c>
      <c r="GD151" s="7">
        <v>1.0096737681969359E-2</v>
      </c>
      <c r="GE151" s="7"/>
      <c r="GF151" s="7"/>
      <c r="GG151" s="7">
        <v>-4.0226521927495158E-2</v>
      </c>
      <c r="GH151" s="42">
        <v>1.7367218535966209</v>
      </c>
      <c r="GI151" s="6">
        <v>12997.12753207541</v>
      </c>
      <c r="GJ151" s="14">
        <v>0.50394797582841744</v>
      </c>
      <c r="GK151" s="14">
        <v>0.50887573065309755</v>
      </c>
      <c r="GL151" s="14">
        <v>0.49605202417158284</v>
      </c>
      <c r="GM151" s="14">
        <v>0.4911242693469024</v>
      </c>
      <c r="GO151" s="5">
        <v>343.14810671672558</v>
      </c>
      <c r="GP151" s="5">
        <v>318.91892952659737</v>
      </c>
      <c r="GQ151" s="5">
        <v>535.04305713031317</v>
      </c>
      <c r="GR151" s="5">
        <v>410.15490233172511</v>
      </c>
      <c r="GS151" s="5">
        <v>339.42744393800166</v>
      </c>
      <c r="GT151" s="5">
        <v>293.4407446948278</v>
      </c>
      <c r="GU151" s="5">
        <v>258.04012322764959</v>
      </c>
      <c r="GV151" s="39" t="s">
        <v>392</v>
      </c>
      <c r="GW151" s="5">
        <v>492.125</v>
      </c>
      <c r="GX151" s="5">
        <v>369.09375</v>
      </c>
      <c r="GY151" s="5">
        <v>295.27499999999998</v>
      </c>
      <c r="GZ151" s="5">
        <v>252.85821728143046</v>
      </c>
      <c r="HA151" s="5">
        <v>241.34874471337258</v>
      </c>
      <c r="HB151" s="39">
        <v>272.00918188838421</v>
      </c>
      <c r="HC151" s="5">
        <v>211.81562499999998</v>
      </c>
      <c r="HD151" s="5">
        <v>188.29497441520465</v>
      </c>
      <c r="HE151" s="5">
        <v>193.13834767206475</v>
      </c>
      <c r="HF151" s="5">
        <v>181.01813048245612</v>
      </c>
      <c r="HG151" s="5">
        <v>177.56888157894736</v>
      </c>
      <c r="HH151" s="39">
        <v>188.91961000194746</v>
      </c>
      <c r="HI151" s="16"/>
      <c r="HJ151" s="19" t="str">
        <f t="shared" ref="HJ151" si="380">HJ150</f>
        <v>On</v>
      </c>
      <c r="HK151" s="1" t="str">
        <f t="shared" si="108"/>
        <v>On</v>
      </c>
      <c r="HL151" s="16"/>
      <c r="HM151" s="639">
        <f t="shared" si="266"/>
        <v>5.7455619280273196E-3</v>
      </c>
      <c r="HN151" s="639">
        <f t="shared" si="267"/>
        <v>5.0031960498701745E-4</v>
      </c>
      <c r="HO151" s="639">
        <f t="shared" si="268"/>
        <v>3.9819433988714835E-3</v>
      </c>
      <c r="HP151" s="644">
        <f>(FT151*$GD151-HM151)/$JF151*INDEX(Input!$1:$1048576,$JG$93,$C151*2+6)</f>
        <v>14.556149368929127</v>
      </c>
      <c r="HQ151" s="644">
        <f>(FU151*$GD151-HN151)/$JF151*INDEX(Input!$1:$1048576,$JG$93,$C151*2+6)</f>
        <v>6.8837660250413215</v>
      </c>
      <c r="HR151" s="644">
        <f>(FV151*$GD151-HO151)/$JF151*INDEX(Input!$1:$1048576,$JG$93,$C151*2+6)</f>
        <v>-27.156176070321418</v>
      </c>
      <c r="HS151" s="644">
        <f t="shared" si="269"/>
        <v>-0.74759047891935093</v>
      </c>
      <c r="HT151" s="644">
        <f t="shared" si="270"/>
        <v>7.0687077107342207</v>
      </c>
      <c r="HU151" s="644">
        <f t="shared" si="271"/>
        <v>-4.116858254649344</v>
      </c>
      <c r="HV151" s="648">
        <f t="shared" si="272"/>
        <v>0</v>
      </c>
      <c r="HW151" s="648">
        <f t="shared" si="273"/>
        <v>0</v>
      </c>
      <c r="HX151" s="648">
        <f t="shared" si="274"/>
        <v>0</v>
      </c>
      <c r="HY151" s="644">
        <f>INDEX(Input!$1:$1048576,HY$93,$C151*2+6)*INDEX(Input!$1:$1048576,$JG$93,$C151*2+6)</f>
        <v>110.00000000000001</v>
      </c>
      <c r="HZ151" s="644">
        <f>INDEX(Input!$1:$1048576,HZ$93,$C151*2+6)*INDEX(Input!$1:$1048576,$JG$93,$C151*2+6)</f>
        <v>157</v>
      </c>
      <c r="IA151" s="644">
        <f>INDEX(Input!$1:$1048576,IA$93,$C151*2+6)*INDEX(Input!$1:$1048576,$JG$93,$C151*2+6)</f>
        <v>179</v>
      </c>
      <c r="IB151" s="644">
        <f t="shared" si="249"/>
        <v>123.80855889000981</v>
      </c>
      <c r="IC151" s="644">
        <f t="shared" si="172"/>
        <v>170.95247373577556</v>
      </c>
      <c r="ID151" s="644">
        <f>IF(AND(INDEX(Input!$1:$1048576,IA$93,$C151*2+7)="TOS",Y151&lt;=INDEX(Y:Y,MATCH(C151*1000+2,A:A))),0,1)*MAX(IA151+HR151+HU151+HX151,0%)</f>
        <v>147.72696567502925</v>
      </c>
      <c r="IE151" s="128">
        <f t="shared" si="275"/>
        <v>0.27980094232034197</v>
      </c>
      <c r="IF151" s="128">
        <f t="shared" si="174"/>
        <v>0.38634375258141512</v>
      </c>
      <c r="IG151" s="128">
        <f t="shared" si="175"/>
        <v>0.3338553050982429</v>
      </c>
      <c r="IH151" s="21"/>
      <c r="II151" s="19">
        <f t="shared" si="276"/>
        <v>1240</v>
      </c>
      <c r="IJ151" s="19">
        <f t="shared" si="277"/>
        <v>2009.7221397149679</v>
      </c>
      <c r="IK151" s="19">
        <f t="shared" si="278"/>
        <v>2070</v>
      </c>
      <c r="IL151" s="19">
        <f t="shared" si="176"/>
        <v>29.999999999999773</v>
      </c>
      <c r="IM151" s="19">
        <f t="shared" si="177"/>
        <v>310.1270376249422</v>
      </c>
      <c r="IN151" s="19">
        <f t="shared" si="178"/>
        <v>-345</v>
      </c>
      <c r="IO151" s="39">
        <f t="shared" si="279"/>
        <v>0</v>
      </c>
      <c r="IP151" s="39">
        <f t="shared" si="280"/>
        <v>0</v>
      </c>
      <c r="IQ151" s="39">
        <f t="shared" si="281"/>
        <v>0</v>
      </c>
      <c r="IR151" s="39">
        <v>0</v>
      </c>
      <c r="IS151" s="39">
        <v>0</v>
      </c>
      <c r="IT151" s="39">
        <v>0</v>
      </c>
      <c r="IU151" s="39">
        <v>0</v>
      </c>
      <c r="IV151" s="39">
        <v>0</v>
      </c>
      <c r="IW151" s="39">
        <v>0</v>
      </c>
      <c r="IX151" s="39">
        <f>INDEX(Input!$1:$1048576,IX$93,$C151*2+6)+INDEX(Input!$1:$1048576,IX$94,$C151*2+6)</f>
        <v>1270</v>
      </c>
      <c r="IY151" s="39">
        <f>INDEX(Input!$1:$1048576,IY$93,$C151*2+6)+INDEX(Input!$1:$1048576,IY$94,$C151*2+6)</f>
        <v>2130.0624533823611</v>
      </c>
      <c r="IZ151" s="39">
        <f>INDEX(Input!$1:$1048576,IZ$93,$C151*2+6)+INDEX(Input!$1:$1048576,IZ$94,$C151*2+6)</f>
        <v>4373.7164157747848</v>
      </c>
      <c r="JA151" s="19">
        <f t="shared" si="179"/>
        <v>1299.9999999999998</v>
      </c>
      <c r="JB151" s="19">
        <f t="shared" si="180"/>
        <v>2440.1894910073033</v>
      </c>
      <c r="JC151" s="19">
        <f t="shared" si="181"/>
        <v>4028.7164157747848</v>
      </c>
      <c r="JD151" s="19">
        <f t="shared" si="182"/>
        <v>2651.5015381247294</v>
      </c>
      <c r="JE151" s="21"/>
      <c r="JF151" s="1">
        <f t="shared" si="282"/>
        <v>1.022782493188582E-2</v>
      </c>
      <c r="JG151" s="15">
        <f>INDEX(Input!$1:$1048576,JG$93,$C151*2+6)/(1+VLOOKUP(C151*1000+INDEX(Input!$1:$1048576,JG$93+1,$C151*2+6),$A:$KK,$JK$92,FALSE))</f>
        <v>446</v>
      </c>
      <c r="JH151" s="1">
        <f t="shared" si="251"/>
        <v>-1.2816727973881099E-2</v>
      </c>
      <c r="JI151" s="1">
        <f t="shared" si="252"/>
        <v>4.9422847021648557E-3</v>
      </c>
      <c r="JJ151" s="1">
        <f t="shared" si="253"/>
        <v>0</v>
      </c>
      <c r="JK151" s="1">
        <f t="shared" si="254"/>
        <v>-7.8744432717162433E-3</v>
      </c>
      <c r="JL151" s="15">
        <f t="shared" si="184"/>
        <v>-3.5120016991854444</v>
      </c>
      <c r="JM151" s="15">
        <f t="shared" si="185"/>
        <v>442.48799830081458</v>
      </c>
      <c r="JN151" s="21"/>
      <c r="JO151" s="19">
        <f>INDEX(Input!$1:$1048576,JO$93,$C151*2+6)</f>
        <v>5995.5</v>
      </c>
      <c r="JP151" s="19">
        <f>INDEX(Input!$1:$1048576,JP$93,$C151*2+6)</f>
        <v>2818.4193802796353</v>
      </c>
      <c r="JQ151" s="39">
        <f t="shared" si="186"/>
        <v>3343.9984618752706</v>
      </c>
      <c r="JR151" s="39">
        <f t="shared" si="187"/>
        <v>-166.91784215490588</v>
      </c>
      <c r="JS151" s="39">
        <f t="shared" si="188"/>
        <v>1.1732576080963426</v>
      </c>
      <c r="JT151" s="39">
        <f t="shared" si="189"/>
        <v>-8.375743550837482E-2</v>
      </c>
      <c r="JU151" s="385">
        <f>(JQ151*JM151-INDEX(Input!$1:$1048576,Input!A$18,$C151*2+6)*JL151*INDEX(Input!$1:$1048576,Input!A$19,$C151*2+6))/1000000</f>
        <v>1.4796791857161913</v>
      </c>
      <c r="JV151" s="39">
        <f t="shared" si="192"/>
        <v>6.2701229320908602E-2</v>
      </c>
      <c r="JW151" s="1">
        <f t="shared" si="190"/>
        <v>4.4249968066135077E-2</v>
      </c>
      <c r="JX151" s="19">
        <f t="shared" si="191"/>
        <v>23848.916567381242</v>
      </c>
      <c r="JZ151" s="341"/>
      <c r="KA151" s="342"/>
      <c r="KB151" s="469">
        <f t="shared" si="110"/>
        <v>2.9286733661474216</v>
      </c>
      <c r="KI151" s="473">
        <f t="shared" si="283"/>
        <v>13.808558890009778</v>
      </c>
      <c r="KJ151" s="473">
        <f t="shared" si="284"/>
        <v>13.952473735775555</v>
      </c>
      <c r="KK151" s="473">
        <f t="shared" si="257"/>
        <v>-31.273034324970752</v>
      </c>
      <c r="KN151" s="544">
        <f t="shared" si="258"/>
        <v>1002</v>
      </c>
      <c r="KO151" s="541">
        <f t="shared" si="285"/>
        <v>-1.194118960130619E-2</v>
      </c>
      <c r="KP151" s="546">
        <f t="shared" si="286"/>
        <v>-11.962578919832055</v>
      </c>
      <c r="KQ151" s="546">
        <f t="shared" si="287"/>
        <v>-187.81466189392222</v>
      </c>
      <c r="KR151" s="548">
        <f t="shared" si="288"/>
        <v>17.115026991395236</v>
      </c>
      <c r="KS151" s="548">
        <f t="shared" si="289"/>
        <v>1.0901164958849612</v>
      </c>
      <c r="KT151" s="473">
        <f t="shared" si="112"/>
        <v>238.28695973331548</v>
      </c>
      <c r="KU151" s="663">
        <f t="shared" si="290"/>
        <v>6.4591202319517924</v>
      </c>
      <c r="KV151" s="117"/>
    </row>
    <row r="152" spans="1:308" s="26" customFormat="1" ht="15" outlineLevel="1">
      <c r="A152" s="561">
        <f t="shared" si="168"/>
        <v>1052</v>
      </c>
      <c r="B152" s="561">
        <f t="shared" si="104"/>
        <v>52</v>
      </c>
      <c r="C152" s="561">
        <f t="shared" si="105"/>
        <v>1</v>
      </c>
      <c r="D152" s="561" t="str">
        <f t="shared" si="294"/>
        <v xml:space="preserve">0/0/0/3.9, -360 Lease, </v>
      </c>
      <c r="E152" s="475">
        <f>INDEX(Input!$1:$1048576,E$93,$C152*2+MIN($B152,2)+5)
+INDEX(Scenarios!E$121:E$200,MATCH($B152,Scenarios!$B$121:$B$200,0))</f>
        <v>1229</v>
      </c>
      <c r="F152" s="475">
        <f>INDEX(Input!$1:$1048576,F$93,$C152*2+MIN($B152,2)+5)
+INDEX(Scenarios!F$121:F$200,MATCH($B152,Scenarios!$B$121:$B$200,0))</f>
        <v>0</v>
      </c>
      <c r="G152" s="475">
        <f>INDEX(Input!$1:$1048576,G$93,$C152*2+MIN($B152,2)+5)
+INDEX(Scenarios!G$121:G$200,MATCH($B152,Scenarios!$B$121:$B$200,0))</f>
        <v>0</v>
      </c>
      <c r="H152" s="475">
        <f>INDEX(Input!$1:$1048576,H$93,$C152*2+MIN($B152,2)+5)
+INDEX(Scenarios!H$121:H$200,MATCH($B152,Scenarios!$B$121:$B$200,0))</f>
        <v>0</v>
      </c>
      <c r="I152" s="476">
        <f>INDEX(Input!$1:$1048576,I$93,$C152*2+MIN($B152,2)+5)</f>
        <v>0.7</v>
      </c>
      <c r="J152" s="476" t="str">
        <f>INDEX(Input!$1:$1048576,J$93,$C152*2+MIN($B152,2)+5)</f>
        <v>Market</v>
      </c>
      <c r="K152" s="476" t="str">
        <f>INDEX(Input!$1:$1048576,K$93,$C152*2+MIN($B152,2)+5)</f>
        <v>Market</v>
      </c>
      <c r="L152" s="476" t="str">
        <f>INDEX(Input!$1:$1048576,L$93,$C152*2+MIN($B152,2)+5)</f>
        <v>Market</v>
      </c>
      <c r="M152" s="476" t="str">
        <f>INDEX(Input!$1:$1048576,M$93,$C152*2+MIN($B152,2)+5)</f>
        <v>Market</v>
      </c>
      <c r="N152" s="476" t="str">
        <f>INDEX(Input!$1:$1048576,N$93,$C152*2+MIN($B152,2)+5)</f>
        <v>Market</v>
      </c>
      <c r="O152" s="476" t="str">
        <f>INDEX(Input!$1:$1048576,O$93,$C152*2+MIN($B152,2)+5)</f>
        <v>Market</v>
      </c>
      <c r="P152" s="476" t="str">
        <f>INDEX(Input!$1:$1048576,P$93,$C152*2+MIN($B152,2)+5)</f>
        <v>N</v>
      </c>
      <c r="Q152" s="477">
        <f>INDEX(Input!$1:$1048576,Q$93,$C152*2+MIN($B152,2)+5)
+INDEX(Scenarios!Q$121:Q$200,MATCH($B152,Scenarios!$B$121:$B$200,0))</f>
        <v>0</v>
      </c>
      <c r="R152" s="478">
        <f>IFERROR(MAX(0,INDEX(Input!$1:$1048576,R$93,$C152*2+MIN($B152,2)+5)
+INDEX(Scenarios!R$121:R$200,MATCH($B152,Scenarios!$B$121:$B$200,0)),),"Market")</f>
        <v>0</v>
      </c>
      <c r="S152" s="478">
        <f>IFERROR(MAX(0,INDEX(Input!$1:$1048576,S$93,$C152*2+MIN($B152,2)+5)
+INDEX(Scenarios!S$121:S$200,MATCH($B152,Scenarios!$B$121:$B$200,0)),),"Market")</f>
        <v>0</v>
      </c>
      <c r="T152" s="478">
        <f>IFERROR(MAX(0,INDEX(Input!$1:$1048576,T$93,$C152*2+MIN($B152,2)+5)
+INDEX(Scenarios!T$121:T$200,MATCH($B152,Scenarios!$B$121:$B$200,0)),),"Market")</f>
        <v>0</v>
      </c>
      <c r="U152" s="478">
        <f>IFERROR(MAX(0,INDEX(Input!$1:$1048576,U$93,$C152*2+MIN($B152,2)+5)
+INDEX(Scenarios!U$121:U$200,MATCH($B152,Scenarios!$B$121:$B$200,0)),),"Market")</f>
        <v>0</v>
      </c>
      <c r="V152" s="478">
        <f>IFERROR(MAX(0,INDEX(Input!$1:$1048576,V$93,$C152*2+MIN($B152,2)+5)
+INDEX(Scenarios!V$121:V$200,MATCH($B152,Scenarios!$B$121:$B$200,0)),),"Market")</f>
        <v>0</v>
      </c>
      <c r="W152" s="885">
        <f>IFERROR(MAX(0,INDEX(Input!$1:$1048576,W$93,$C152*2+MIN($B152,2)+5)-0%,),"Market")</f>
        <v>3.9E-2</v>
      </c>
      <c r="X152" s="476" t="str">
        <f>INDEX(Input!$1:$1048576,X$93,$C152*2+MIN($B152,2)+5)</f>
        <v>Y</v>
      </c>
      <c r="Y152" s="475">
        <f>INDEX(Input!$1:$1048576,Y$93,$C152*2+MIN($B152,2)+5)
++INDEX(Scenarios!Y$121:Y$200,MATCH($B152,Scenarios!$B$121:$B$200,0))</f>
        <v>1582</v>
      </c>
      <c r="Z152" s="477">
        <f>INDEX(Input!$1:$1048576,Z$93,$C152*2+MIN($B152,2)+5)
+INDEX(Scenarios!Z$121:Z$200,MATCH($B152,Scenarios!$B$121:$B$200,0))</f>
        <v>0</v>
      </c>
      <c r="AA152" s="475">
        <f>INDEX(Input!$1:$1048576,AA$93,$C152*2+MIN($B152,2)+5)
+INDEX(Scenarios!AA$121:AA$200,MATCH($B152,Scenarios!$B$121:$B$200,0))</f>
        <v>0</v>
      </c>
      <c r="AB152" s="476">
        <f>INDEX(Input!$1:$1048576,AB$93,$C152*2+MIN($B152,2)+5)</f>
        <v>0.27</v>
      </c>
      <c r="AC152" s="475">
        <f>INDEX(Input!$1:$1048576,AC$93,$C152*2+MIN($B152,2)+5)
+INDEX(Scenarios!AC$121:AC$200,MATCH($B152,Scenarios!$B$121:$B$200,0))</f>
        <v>0</v>
      </c>
      <c r="AD152" s="476">
        <f>INDEX(Input!$1:$1048576,AD$93,$C152*2+MIN($B152,2)+5)</f>
        <v>0.27</v>
      </c>
      <c r="AE152" s="475">
        <f>INDEX(Input!$1:$1048576,AE$93,$C152*2+MIN($B152,2)+5)
+INDEX(Scenarios!AE$121:AE$200,MATCH($B152,Scenarios!$B$121:$B$200,0))</f>
        <v>0</v>
      </c>
      <c r="AF152" s="476">
        <f>INDEX(Input!$1:$1048576,AF$93,$C152*2+MIN($B152,2)+5)</f>
        <v>0.38</v>
      </c>
      <c r="AG152" s="475">
        <f>INDEX(Input!$1:$1048576,AG$93,$C152*2+MIN($B152,2)+5)
+INDEX(Scenarios!AG$121:AG$200,MATCH($B152,Scenarios!$B$121:$B$200,0))</f>
        <v>0</v>
      </c>
      <c r="AH152" s="476">
        <f>INDEX(Input!$1:$1048576,AH$93,$C152*2+MIN($B152,2)+5)</f>
        <v>0</v>
      </c>
      <c r="AI152" s="475">
        <f>INDEX(Input!$1:$1048576,AI$93,$C152*2+MIN($B152,2)+5)
+INDEX(Scenarios!AI$121:AI$200,MATCH($B152,Scenarios!$B$121:$B$200,0))</f>
        <v>0</v>
      </c>
      <c r="AJ152" s="476">
        <f>INDEX(Input!$1:$1048576,AJ$93,$C152*2+MIN($B152,2)+5)</f>
        <v>0.27</v>
      </c>
      <c r="AK152" s="150">
        <f>ROUND(INDEX(Input!$1:$1048576,AK$93,$C151*2+MIN($B152,1)+5)+(Y152-VLOOKUP($C152*1000+1,$A:$HH,Y$92,FALSE)),0)</f>
        <v>3397</v>
      </c>
      <c r="AL152" s="150">
        <f>ROUND(INDEX(Input!$1:$1048576,AL$93,$C151*2+MIN($B152,1)+5)-(Y152-VLOOKUP($C152*1000+1,$A:$HH,Y$92,FALSE))/36,0)</f>
        <v>4123</v>
      </c>
      <c r="AM152" s="32" t="str">
        <f t="shared" si="169"/>
        <v>std/std/std/std</v>
      </c>
      <c r="AN152" s="32" t="str">
        <f t="shared" si="170"/>
        <v>$0 + 0/0/0/0/3.9</v>
      </c>
      <c r="AO152" s="32" t="str">
        <f t="shared" si="171"/>
        <v>0/0/0/0/3.9</v>
      </c>
      <c r="AP152" s="32" t="str">
        <f t="shared" si="73"/>
        <v>0/0/0/3.9</v>
      </c>
      <c r="AQ152" s="536">
        <f t="shared" si="39"/>
        <v>0.26614877969815559</v>
      </c>
      <c r="AR152" s="32"/>
      <c r="AS152" s="302"/>
      <c r="AT152" s="3">
        <f t="shared" si="106"/>
        <v>52</v>
      </c>
      <c r="AU152" s="41" t="s">
        <v>121</v>
      </c>
      <c r="AV152" s="41" t="s">
        <v>116</v>
      </c>
      <c r="AW152" s="41" t="str">
        <f>INDEX(Input!$1:$1048576,AW$93,$C152*2+6)</f>
        <v>Kia</v>
      </c>
      <c r="AX152" s="41" t="str">
        <f>INDEX(Input!$1:$1048576,AX$93,$C152*2+6)</f>
        <v>Kia-LR - L1</v>
      </c>
      <c r="AY152" s="41" t="str">
        <f>IF(LEN(D152)=0,"",INDEX(Input!$1:$1048576,AY$93,$C152*2+6))</f>
        <v>Compact SUV (52)</v>
      </c>
      <c r="AZ152" s="41" t="str">
        <f>INDEX(Input!$1:$1048576,AZ$93,$C152*2+6)</f>
        <v>Kia Soul</v>
      </c>
      <c r="BA152" s="3">
        <f>INDEX(Input!$1:$1048576,BA$93,$C152*2+6)</f>
        <v>2020</v>
      </c>
      <c r="BB152" s="128">
        <f>INDEX(Input!$1:$1048576,BB$93,$C152*2+6)</f>
        <v>1</v>
      </c>
      <c r="BC152" s="128">
        <f>INDEX(Input!$1:$1048576,BC$93,$C152*2+6)</f>
        <v>0.7</v>
      </c>
      <c r="BD152" s="1">
        <f>INDEX(Input!$1:$1048576,BD$93,$C152*2+6)</f>
        <v>4.4999999999999998E-2</v>
      </c>
      <c r="BE152" s="1">
        <f>INDEX(Input!$1:$1048576,BE$93,$C152*2+6)</f>
        <v>4.4999999999999998E-2</v>
      </c>
      <c r="BF152" s="1">
        <f>INDEX(Input!$1:$1048576,BF$93,$C152*2+6)</f>
        <v>0.05</v>
      </c>
      <c r="BG152" s="1">
        <f>INDEX(Input!$1:$1048576,BG$93,$C152*2+6)</f>
        <v>5.45E-2</v>
      </c>
      <c r="BH152" s="1">
        <f>INDEX(Input!$1:$1048576,BH$93,$C152*2+6)</f>
        <v>5.45E-2</v>
      </c>
      <c r="BI152" s="1">
        <f>INDEX(Input!$1:$1048576,BI$93,$C152*2+6)</f>
        <v>0.05</v>
      </c>
      <c r="BJ152" s="1">
        <f>INDEX(Input!$1:$1048576,BJ$93,$C152*2+6)</f>
        <v>0.05</v>
      </c>
      <c r="BK152" s="1">
        <f>INDEX(Input!$1:$1048576,BK$93,$C152*2+6)</f>
        <v>0.05</v>
      </c>
      <c r="BL152" s="1">
        <f>INDEX(Input!$1:$1048576,BL$93,$C152*2+6)</f>
        <v>5.5E-2</v>
      </c>
      <c r="BM152" s="1">
        <f>INDEX(Input!$1:$1048576,BM$93,$C152*2+6)</f>
        <v>0.06</v>
      </c>
      <c r="BN152" s="1">
        <f>INDEX(Input!$1:$1048576,BN$93,$C152*2+6)</f>
        <v>4.4999999999999998E-2</v>
      </c>
      <c r="BO152" s="1">
        <f>INDEX(Input!$1:$1048576,BO$93,$C152*2+6)</f>
        <v>4.4999999999999998E-2</v>
      </c>
      <c r="BP152" s="1">
        <f>INDEX(Input!$1:$1048576,BP$93,$C152*2+6)</f>
        <v>0.05</v>
      </c>
      <c r="BQ152" s="1">
        <f>INDEX(Input!$1:$1048576,BQ$93,$C152*2+6)</f>
        <v>5.45E-2</v>
      </c>
      <c r="BR152" s="1">
        <f>INDEX(Input!$1:$1048576,BR$93,$C152*2+6)</f>
        <v>5.45E-2</v>
      </c>
      <c r="BS152" s="1">
        <f>INDEX(Input!$1:$1048576,BS$93,$C152*2+6)</f>
        <v>0.05</v>
      </c>
      <c r="BT152" s="1">
        <f>INDEX(Input!$1:$1048576,BT$93,$C152*2+6)</f>
        <v>0.05</v>
      </c>
      <c r="BU152" s="1">
        <f>INDEX(Input!$1:$1048576,BU$93,$C152*2+6)</f>
        <v>0.05</v>
      </c>
      <c r="BV152" s="1">
        <f>INDEX(Input!$1:$1048576,BV$93,$C152*2+6)</f>
        <v>5.5E-2</v>
      </c>
      <c r="BW152" s="1">
        <f>INDEX(Input!$1:$1048576,BW$93,$C152*2+6)</f>
        <v>0.06</v>
      </c>
      <c r="BX152" s="127">
        <f>INDEX(Input!$1:$1048576,BX$93,$C152*2+6)</f>
        <v>19985</v>
      </c>
      <c r="BY152" s="20">
        <f>INDEX(Input!$1:$1048576,BY$93,$C152*2+6)</f>
        <v>0.1</v>
      </c>
      <c r="BZ152" s="20">
        <f>INDEX(Input!$1:$1048576,BZ$93,$C152*2+6)</f>
        <v>0.1</v>
      </c>
      <c r="CA152" s="20">
        <f>INDEX(Input!$1:$1048576,CA$93,$C152*2+6)</f>
        <v>0.1</v>
      </c>
      <c r="CB152" s="20">
        <f>INDEX(Input!$1:$1048576,CB$93,$C152*2+6)</f>
        <v>0.1</v>
      </c>
      <c r="CC152" s="20">
        <f>INDEX(Input!$1:$1048576,CC$93,$C152*2+6)</f>
        <v>0.1</v>
      </c>
      <c r="CD152" s="384">
        <f>INDEX(Input!$1:$1048576,CD$93,$C152*2+6)</f>
        <v>0.1</v>
      </c>
      <c r="CE152" s="384">
        <f>INDEX(Input!$1:$1048576,CE$93,$C152*2+6)</f>
        <v>0.1</v>
      </c>
      <c r="CF152" s="384">
        <f>INDEX(Input!$1:$1048576,CF$93,$C152*2+6)</f>
        <v>0.1</v>
      </c>
      <c r="CG152" s="384">
        <f>INDEX(Input!$1:$1048576,CG$93,$C152*2+6)</f>
        <v>0.1</v>
      </c>
      <c r="CH152" s="384">
        <f>INDEX(Input!$1:$1048576,CH$93,$C152*2+6)</f>
        <v>0.1</v>
      </c>
      <c r="CI152" s="304">
        <f t="shared" si="74"/>
        <v>1229</v>
      </c>
      <c r="CJ152" s="16" t="str">
        <f>INDEX(Input!$1:$1048576,CJ$93,$C152*2+6)</f>
        <v>N</v>
      </c>
      <c r="CK152" s="1" t="str">
        <f t="shared" si="75"/>
        <v>Market</v>
      </c>
      <c r="CL152" s="1" t="str">
        <f t="shared" si="76"/>
        <v>Market</v>
      </c>
      <c r="CM152" s="1" t="str">
        <f t="shared" si="77"/>
        <v>Market</v>
      </c>
      <c r="CN152" s="1" t="str">
        <f t="shared" si="78"/>
        <v>Market</v>
      </c>
      <c r="CO152" s="1" t="str">
        <f t="shared" si="79"/>
        <v>Market</v>
      </c>
      <c r="CP152" s="304">
        <f t="shared" si="80"/>
        <v>0</v>
      </c>
      <c r="CQ152" s="1">
        <f t="shared" si="81"/>
        <v>0</v>
      </c>
      <c r="CR152" s="1">
        <f t="shared" si="82"/>
        <v>0</v>
      </c>
      <c r="CS152" s="1">
        <f t="shared" si="83"/>
        <v>0</v>
      </c>
      <c r="CT152" s="1">
        <f t="shared" si="84"/>
        <v>0</v>
      </c>
      <c r="CU152" s="1">
        <f t="shared" si="85"/>
        <v>3.9E-2</v>
      </c>
      <c r="CV152" s="304">
        <f t="shared" si="86"/>
        <v>1582</v>
      </c>
      <c r="CW152" s="20" t="s">
        <v>122</v>
      </c>
      <c r="CX152" s="20" t="s">
        <v>122</v>
      </c>
      <c r="CY152" s="20" t="s">
        <v>122</v>
      </c>
      <c r="CZ152" s="20" t="s">
        <v>122</v>
      </c>
      <c r="DA152" s="20" t="s">
        <v>122</v>
      </c>
      <c r="DB152" s="503">
        <f t="shared" si="87"/>
        <v>0</v>
      </c>
      <c r="DC152" s="127">
        <v>0</v>
      </c>
      <c r="DD152" s="127">
        <v>0</v>
      </c>
      <c r="DE152" s="127">
        <v>0</v>
      </c>
      <c r="DF152" s="127">
        <v>0</v>
      </c>
      <c r="DG152" s="127">
        <v>0</v>
      </c>
      <c r="DH152" s="127">
        <v>0</v>
      </c>
      <c r="DI152" s="127">
        <v>0</v>
      </c>
      <c r="DJ152" s="127">
        <v>0</v>
      </c>
      <c r="DK152" s="127">
        <v>0</v>
      </c>
      <c r="DL152" s="127">
        <v>0</v>
      </c>
      <c r="DM152" s="304">
        <f>INDEX(Input!$1:$1048576,DM$93,$C152*2+6)</f>
        <v>21036.84210526316</v>
      </c>
      <c r="DN152" s="20">
        <v>0</v>
      </c>
      <c r="DO152" s="20">
        <v>0</v>
      </c>
      <c r="DP152" s="20">
        <v>0</v>
      </c>
      <c r="DQ152" s="20">
        <v>0</v>
      </c>
      <c r="DR152" s="20">
        <v>0</v>
      </c>
      <c r="DS152" s="20">
        <f>INDEX(Input!$1:$1048576,DS$93,$C152*2+6)</f>
        <v>0.6</v>
      </c>
      <c r="DT152" s="20">
        <f>INDEX(Input!$1:$1048576,DT$93,$C152*2+6)</f>
        <v>0.55000000000000004</v>
      </c>
      <c r="DU152" s="20">
        <f>INDEX(Input!$1:$1048576,DU$93,$C152*2+6)</f>
        <v>0.52</v>
      </c>
      <c r="DV152" s="20">
        <f>INDEX(Input!$1:$1048576,DV$93,$C152*2+6)</f>
        <v>0.5</v>
      </c>
      <c r="DW152" s="20">
        <f>INDEX(Input!$1:$1048576,DW$93,$C152*2+6)</f>
        <v>0.45</v>
      </c>
      <c r="DX152" s="20"/>
      <c r="DY152" s="7">
        <v>0.10246642839938903</v>
      </c>
      <c r="DZ152" s="7">
        <v>0</v>
      </c>
      <c r="EA152" s="7">
        <v>0.48971719960341709</v>
      </c>
      <c r="EB152" s="7">
        <v>0</v>
      </c>
      <c r="EC152" s="7">
        <v>0</v>
      </c>
      <c r="ED152" s="7">
        <v>0</v>
      </c>
      <c r="EE152" s="7">
        <v>0</v>
      </c>
      <c r="EF152" s="7">
        <v>0</v>
      </c>
      <c r="EG152" s="7">
        <v>0</v>
      </c>
      <c r="EH152" s="7">
        <v>1.1770126174766771E-2</v>
      </c>
      <c r="EI152" s="7">
        <v>3.437205075852684E-2</v>
      </c>
      <c r="EJ152" s="7">
        <v>0.2171244497247633</v>
      </c>
      <c r="EK152" s="7">
        <v>0.66899015480349511</v>
      </c>
      <c r="EL152" s="7">
        <v>6.7743218538448183E-2</v>
      </c>
      <c r="EM152" s="7">
        <v>8.0566343036640981E-2</v>
      </c>
      <c r="EN152" s="7">
        <v>4.9379578909208757E-2</v>
      </c>
      <c r="EO152" s="7">
        <v>0.75610016993184992</v>
      </c>
      <c r="EP152" s="7">
        <v>8.5125034424855875E-2</v>
      </c>
      <c r="EQ152" s="7">
        <v>6.5024794318701659E-2</v>
      </c>
      <c r="ER152" s="7">
        <v>4.437042241538388E-2</v>
      </c>
      <c r="ES152" s="7">
        <v>0.32725002896055277</v>
      </c>
      <c r="ET152" s="7">
        <v>0.40781637199719389</v>
      </c>
      <c r="EU152" s="6">
        <v>1270</v>
      </c>
      <c r="EV152" s="6">
        <v>0</v>
      </c>
      <c r="EW152" s="6">
        <v>1270</v>
      </c>
      <c r="EX152" s="6">
        <v>0</v>
      </c>
      <c r="EY152" s="6">
        <v>2643.8860716023401</v>
      </c>
      <c r="EZ152" s="6">
        <v>1725</v>
      </c>
      <c r="FA152" s="6">
        <v>0</v>
      </c>
      <c r="FB152" s="6">
        <v>0</v>
      </c>
      <c r="FC152" s="6">
        <v>0</v>
      </c>
      <c r="FD152" s="6">
        <v>0</v>
      </c>
      <c r="FE152" s="6">
        <v>0</v>
      </c>
      <c r="FF152" s="6">
        <v>0</v>
      </c>
      <c r="FG152" s="6">
        <v>0</v>
      </c>
      <c r="FH152" s="6">
        <v>1171.2811379695618</v>
      </c>
      <c r="FI152" s="6">
        <v>1553.9796069512395</v>
      </c>
      <c r="FJ152" s="6">
        <v>2101.211011744741</v>
      </c>
      <c r="FK152" s="6">
        <v>2674.2006261592269</v>
      </c>
      <c r="FL152" s="6">
        <v>907.07682140966324</v>
      </c>
      <c r="FM152" s="6">
        <v>2373.8860716023401</v>
      </c>
      <c r="FN152" s="6">
        <v>0</v>
      </c>
      <c r="FO152" s="6">
        <v>0</v>
      </c>
      <c r="FP152" s="6">
        <v>0</v>
      </c>
      <c r="FQ152" s="6">
        <v>0</v>
      </c>
      <c r="FR152" s="6">
        <v>0</v>
      </c>
      <c r="FS152" s="6">
        <v>0</v>
      </c>
      <c r="FT152" s="7">
        <v>0.59218362800280611</v>
      </c>
      <c r="FU152" s="7">
        <v>8.0566343036640981E-2</v>
      </c>
      <c r="FV152" s="7">
        <v>0.32725002896055277</v>
      </c>
      <c r="FW152" s="6">
        <v>1270</v>
      </c>
      <c r="FX152" s="6">
        <v>2643.8860716023401</v>
      </c>
      <c r="FY152" s="6">
        <v>1725</v>
      </c>
      <c r="FZ152" s="6">
        <v>1952.7147957719815</v>
      </c>
      <c r="GA152" s="6">
        <v>1529.5877397150284</v>
      </c>
      <c r="GB152" s="6">
        <v>18455.412260284971</v>
      </c>
      <c r="GC152" s="7">
        <v>1.0519917368675835E-2</v>
      </c>
      <c r="GD152" s="7">
        <v>1.0137446957483573E-2</v>
      </c>
      <c r="GE152" s="7"/>
      <c r="GF152" s="7"/>
      <c r="GG152" s="7">
        <v>-3.6356788536296675E-2</v>
      </c>
      <c r="GH152" s="42">
        <v>1.7171920549559225</v>
      </c>
      <c r="GI152" s="6">
        <v>13167.773429150326</v>
      </c>
      <c r="GJ152" s="14">
        <v>0.50394797582841733</v>
      </c>
      <c r="GK152" s="14">
        <v>0.50887573065309744</v>
      </c>
      <c r="GL152" s="14">
        <v>0.49605202417158273</v>
      </c>
      <c r="GM152" s="14">
        <v>0.49112426934690245</v>
      </c>
      <c r="GO152" s="5">
        <v>343.14810671672558</v>
      </c>
      <c r="GP152" s="5">
        <v>318.91892952659737</v>
      </c>
      <c r="GQ152" s="5">
        <v>535.04305713031317</v>
      </c>
      <c r="GR152" s="5">
        <v>410.15490233172511</v>
      </c>
      <c r="GS152" s="5">
        <v>339.42744393800166</v>
      </c>
      <c r="GT152" s="5">
        <v>293.4407446948278</v>
      </c>
      <c r="GU152" s="5">
        <v>258.04012322764959</v>
      </c>
      <c r="GV152" s="39" t="s">
        <v>392</v>
      </c>
      <c r="GW152" s="5">
        <v>492.125</v>
      </c>
      <c r="GX152" s="5">
        <v>369.09375</v>
      </c>
      <c r="GY152" s="5">
        <v>295.27499999999998</v>
      </c>
      <c r="GZ152" s="5">
        <v>246.0625</v>
      </c>
      <c r="HA152" s="5">
        <v>241.34874471337258</v>
      </c>
      <c r="HB152" s="39">
        <v>263.55343506932473</v>
      </c>
      <c r="HC152" s="5">
        <v>211.81562499999998</v>
      </c>
      <c r="HD152" s="5">
        <v>188.29497441520465</v>
      </c>
      <c r="HE152" s="5">
        <v>193.13834767206475</v>
      </c>
      <c r="HF152" s="5">
        <v>181.01813048245612</v>
      </c>
      <c r="HG152" s="5">
        <v>177.56888157894736</v>
      </c>
      <c r="HH152" s="39">
        <v>188.91961000194752</v>
      </c>
      <c r="HI152" s="16"/>
      <c r="HJ152" s="19" t="str">
        <f t="shared" ref="HJ152" si="381">HJ151</f>
        <v>On</v>
      </c>
      <c r="HK152" s="1" t="str">
        <f t="shared" si="108"/>
        <v>On</v>
      </c>
      <c r="HL152" s="16"/>
      <c r="HM152" s="639">
        <f t="shared" si="266"/>
        <v>5.7455619280273196E-3</v>
      </c>
      <c r="HN152" s="639">
        <f t="shared" si="267"/>
        <v>5.0031960498701745E-4</v>
      </c>
      <c r="HO152" s="639">
        <f t="shared" si="268"/>
        <v>3.9819433988714835E-3</v>
      </c>
      <c r="HP152" s="644">
        <f>(FT152*$GD152-HM152)/$JF152*INDEX(Input!$1:$1048576,$JG$93,$C152*2+6)</f>
        <v>11.236016795277269</v>
      </c>
      <c r="HQ152" s="644">
        <f>(FU152*$GD152-HN152)/$JF152*INDEX(Input!$1:$1048576,$JG$93,$C152*2+6)</f>
        <v>13.797867297379394</v>
      </c>
      <c r="HR152" s="644">
        <f>(FV152*$GD152-HO152)/$JF152*INDEX(Input!$1:$1048576,$JG$93,$C152*2+6)</f>
        <v>-28.974954344821324</v>
      </c>
      <c r="HS152" s="644">
        <f t="shared" si="269"/>
        <v>-0.96321147630358117</v>
      </c>
      <c r="HT152" s="644">
        <f t="shared" si="270"/>
        <v>14.706164389320673</v>
      </c>
      <c r="HU152" s="644">
        <f t="shared" si="271"/>
        <v>-3.9012372572651159</v>
      </c>
      <c r="HV152" s="648">
        <f t="shared" si="272"/>
        <v>0</v>
      </c>
      <c r="HW152" s="648">
        <f t="shared" si="273"/>
        <v>0</v>
      </c>
      <c r="HX152" s="648">
        <f t="shared" si="274"/>
        <v>0</v>
      </c>
      <c r="HY152" s="644">
        <f>INDEX(Input!$1:$1048576,HY$93,$C152*2+6)*INDEX(Input!$1:$1048576,$JG$93,$C152*2+6)</f>
        <v>110.00000000000001</v>
      </c>
      <c r="HZ152" s="644">
        <f>INDEX(Input!$1:$1048576,HZ$93,$C152*2+6)*INDEX(Input!$1:$1048576,$JG$93,$C152*2+6)</f>
        <v>157</v>
      </c>
      <c r="IA152" s="644">
        <f>INDEX(Input!$1:$1048576,IA$93,$C152*2+6)*INDEX(Input!$1:$1048576,$JG$93,$C152*2+6)</f>
        <v>179</v>
      </c>
      <c r="IB152" s="644">
        <f t="shared" si="249"/>
        <v>120.2728053189737</v>
      </c>
      <c r="IC152" s="644">
        <f t="shared" si="172"/>
        <v>185.50403168670005</v>
      </c>
      <c r="ID152" s="644">
        <f>IF(AND(INDEX(Input!$1:$1048576,IA$93,$C152*2+7)="TOS",Y152&lt;=INDEX(Y:Y,MATCH(C152*1000+2,A:A))),0,1)*MAX(IA152+HR152+HU152+HX152,0%)</f>
        <v>146.12380839791356</v>
      </c>
      <c r="IE152" s="128">
        <f t="shared" si="275"/>
        <v>0.26614877969815559</v>
      </c>
      <c r="IF152" s="128">
        <f t="shared" si="174"/>
        <v>0.41049738161145688</v>
      </c>
      <c r="IG152" s="128">
        <f t="shared" si="175"/>
        <v>0.32335383869038747</v>
      </c>
      <c r="IH152" s="21"/>
      <c r="II152" s="19">
        <f t="shared" si="276"/>
        <v>1240</v>
      </c>
      <c r="IJ152" s="19">
        <f t="shared" si="277"/>
        <v>2009.7221397149679</v>
      </c>
      <c r="IK152" s="19">
        <f t="shared" si="278"/>
        <v>2070</v>
      </c>
      <c r="IL152" s="19">
        <f t="shared" si="176"/>
        <v>30</v>
      </c>
      <c r="IM152" s="19">
        <f t="shared" si="177"/>
        <v>634.1639318873722</v>
      </c>
      <c r="IN152" s="19">
        <f t="shared" si="178"/>
        <v>-345</v>
      </c>
      <c r="IO152" s="39">
        <f t="shared" si="279"/>
        <v>0</v>
      </c>
      <c r="IP152" s="39">
        <f t="shared" si="280"/>
        <v>0</v>
      </c>
      <c r="IQ152" s="39">
        <f t="shared" si="281"/>
        <v>0</v>
      </c>
      <c r="IR152" s="39">
        <v>0</v>
      </c>
      <c r="IS152" s="39">
        <v>0</v>
      </c>
      <c r="IT152" s="39">
        <v>0</v>
      </c>
      <c r="IU152" s="39">
        <v>0</v>
      </c>
      <c r="IV152" s="39">
        <v>0</v>
      </c>
      <c r="IW152" s="39">
        <v>0</v>
      </c>
      <c r="IX152" s="39">
        <f>INDEX(Input!$1:$1048576,IX$93,$C152*2+6)+INDEX(Input!$1:$1048576,IX$94,$C152*2+6)</f>
        <v>1270</v>
      </c>
      <c r="IY152" s="39">
        <f>INDEX(Input!$1:$1048576,IY$93,$C152*2+6)+INDEX(Input!$1:$1048576,IY$94,$C152*2+6)</f>
        <v>2130.0624533823611</v>
      </c>
      <c r="IZ152" s="39">
        <f>INDEX(Input!$1:$1048576,IZ$93,$C152*2+6)+INDEX(Input!$1:$1048576,IZ$94,$C152*2+6)</f>
        <v>4373.7164157747848</v>
      </c>
      <c r="JA152" s="19">
        <f t="shared" si="179"/>
        <v>1300</v>
      </c>
      <c r="JB152" s="19">
        <f t="shared" si="180"/>
        <v>2764.2263852697333</v>
      </c>
      <c r="JC152" s="19">
        <f t="shared" si="181"/>
        <v>4028.7164157747848</v>
      </c>
      <c r="JD152" s="19">
        <f t="shared" si="182"/>
        <v>2783.402024977886</v>
      </c>
      <c r="JE152" s="21"/>
      <c r="JF152" s="1">
        <f t="shared" si="282"/>
        <v>1.022782493188582E-2</v>
      </c>
      <c r="JG152" s="15">
        <f>INDEX(Input!$1:$1048576,JG$93,$C152*2+6)/(1+VLOOKUP(C152*1000+INDEX(Input!$1:$1048576,JG$93+1,$C152*2+6),$A:$KK,$JK$92,FALSE))</f>
        <v>446</v>
      </c>
      <c r="JH152" s="1">
        <f t="shared" si="251"/>
        <v>-8.8364803860194185E-3</v>
      </c>
      <c r="JI152" s="1">
        <f t="shared" si="252"/>
        <v>2.2066627030834028E-2</v>
      </c>
      <c r="JJ152" s="1">
        <f t="shared" si="253"/>
        <v>0</v>
      </c>
      <c r="JK152" s="1">
        <f t="shared" si="254"/>
        <v>1.323014664481461E-2</v>
      </c>
      <c r="JL152" s="15">
        <f t="shared" si="184"/>
        <v>5.9006454035873155</v>
      </c>
      <c r="JM152" s="15">
        <f t="shared" si="185"/>
        <v>451.9006454035873</v>
      </c>
      <c r="JN152" s="21"/>
      <c r="JO152" s="19">
        <f>INDEX(Input!$1:$1048576,JO$93,$C152*2+6)</f>
        <v>5995.5</v>
      </c>
      <c r="JP152" s="19">
        <f>INDEX(Input!$1:$1048576,JP$93,$C152*2+6)</f>
        <v>2818.4193802796353</v>
      </c>
      <c r="JQ152" s="39">
        <f t="shared" si="186"/>
        <v>3212.097975022114</v>
      </c>
      <c r="JR152" s="39">
        <f t="shared" si="187"/>
        <v>-35.017355301749376</v>
      </c>
      <c r="JS152" s="39">
        <f t="shared" si="188"/>
        <v>1.2578211715051586</v>
      </c>
      <c r="JT152" s="39">
        <f t="shared" si="189"/>
        <v>8.0612790044117715E-4</v>
      </c>
      <c r="JU152" s="385">
        <f>(JQ152*JM152-INDEX(Input!$1:$1048576,Input!A$18,$C152*2+6)*JL152*INDEX(Input!$1:$1048576,Input!A$19,$C152*2+6))/1000000</f>
        <v>1.4515491480120493</v>
      </c>
      <c r="JV152" s="39">
        <f t="shared" si="192"/>
        <v>3.4571191616766583E-2</v>
      </c>
      <c r="JW152" s="1">
        <f t="shared" si="190"/>
        <v>2.4397833050779333E-2</v>
      </c>
      <c r="JX152" s="19">
        <f t="shared" si="191"/>
        <v>136.61690294947891</v>
      </c>
      <c r="JZ152" s="341"/>
      <c r="KA152" s="342"/>
      <c r="KB152" s="469">
        <f t="shared" si="110"/>
        <v>2.9286733661474216</v>
      </c>
      <c r="KI152" s="473">
        <f t="shared" si="283"/>
        <v>10.272805318973667</v>
      </c>
      <c r="KJ152" s="473">
        <f t="shared" si="284"/>
        <v>28.504031686700046</v>
      </c>
      <c r="KK152" s="473">
        <f t="shared" si="257"/>
        <v>-32.876191602086436</v>
      </c>
      <c r="KN152" s="544">
        <f t="shared" si="258"/>
        <v>1002</v>
      </c>
      <c r="KO152" s="541">
        <f t="shared" si="285"/>
        <v>9.07689209759166E-3</v>
      </c>
      <c r="KP152" s="546">
        <f t="shared" si="286"/>
        <v>131.60033017530941</v>
      </c>
      <c r="KQ152" s="546">
        <f t="shared" si="287"/>
        <v>-55.914175040765713</v>
      </c>
      <c r="KR152" s="548">
        <f t="shared" si="288"/>
        <v>1.1825921833519453</v>
      </c>
      <c r="KS152" s="548">
        <f t="shared" si="289"/>
        <v>-2.7833643557897476</v>
      </c>
      <c r="KT152" s="473">
        <f t="shared" si="112"/>
        <v>238.28695973331548</v>
      </c>
      <c r="KU152" s="663">
        <f t="shared" si="290"/>
        <v>6.4366592619360379</v>
      </c>
      <c r="KV152" s="117"/>
    </row>
    <row r="153" spans="1:308" s="26" customFormat="1" ht="15" outlineLevel="1">
      <c r="A153" s="561">
        <f t="shared" si="168"/>
        <v>1053</v>
      </c>
      <c r="B153" s="561">
        <f t="shared" si="104"/>
        <v>53</v>
      </c>
      <c r="C153" s="561">
        <f t="shared" si="105"/>
        <v>1</v>
      </c>
      <c r="D153" s="561" t="str">
        <f t="shared" si="294"/>
        <v xml:space="preserve">0/0/0/3.9, -360 Lease, </v>
      </c>
      <c r="E153" s="475">
        <f>INDEX(Input!$1:$1048576,E$93,$C153*2+MIN($B153,2)+5)
+INDEX(Scenarios!E$121:E$200,MATCH($B153,Scenarios!$B$121:$B$200,0))</f>
        <v>1229</v>
      </c>
      <c r="F153" s="475">
        <f>INDEX(Input!$1:$1048576,F$93,$C153*2+MIN($B153,2)+5)
+INDEX(Scenarios!F$121:F$200,MATCH($B153,Scenarios!$B$121:$B$200,0))</f>
        <v>0</v>
      </c>
      <c r="G153" s="475">
        <f>INDEX(Input!$1:$1048576,G$93,$C153*2+MIN($B153,2)+5)
+INDEX(Scenarios!G$121:G$200,MATCH($B153,Scenarios!$B$121:$B$200,0))</f>
        <v>0</v>
      </c>
      <c r="H153" s="475">
        <f>INDEX(Input!$1:$1048576,H$93,$C153*2+MIN($B153,2)+5)
+INDEX(Scenarios!H$121:H$200,MATCH($B153,Scenarios!$B$121:$B$200,0))</f>
        <v>0</v>
      </c>
      <c r="I153" s="476">
        <f>INDEX(Input!$1:$1048576,I$93,$C153*2+MIN($B153,2)+5)</f>
        <v>0.7</v>
      </c>
      <c r="J153" s="476" t="str">
        <f>INDEX(Input!$1:$1048576,J$93,$C153*2+MIN($B153,2)+5)</f>
        <v>Market</v>
      </c>
      <c r="K153" s="476" t="str">
        <f>INDEX(Input!$1:$1048576,K$93,$C153*2+MIN($B153,2)+5)</f>
        <v>Market</v>
      </c>
      <c r="L153" s="476" t="str">
        <f>INDEX(Input!$1:$1048576,L$93,$C153*2+MIN($B153,2)+5)</f>
        <v>Market</v>
      </c>
      <c r="M153" s="476" t="str">
        <f>INDEX(Input!$1:$1048576,M$93,$C153*2+MIN($B153,2)+5)</f>
        <v>Market</v>
      </c>
      <c r="N153" s="476" t="str">
        <f>INDEX(Input!$1:$1048576,N$93,$C153*2+MIN($B153,2)+5)</f>
        <v>Market</v>
      </c>
      <c r="O153" s="476" t="str">
        <f>INDEX(Input!$1:$1048576,O$93,$C153*2+MIN($B153,2)+5)</f>
        <v>Market</v>
      </c>
      <c r="P153" s="476" t="str">
        <f>INDEX(Input!$1:$1048576,P$93,$C153*2+MIN($B153,2)+5)</f>
        <v>N</v>
      </c>
      <c r="Q153" s="477">
        <f>INDEX(Input!$1:$1048576,Q$93,$C153*2+MIN($B153,2)+5)
+INDEX(Scenarios!Q$121:Q$200,MATCH($B153,Scenarios!$B$121:$B$200,0))</f>
        <v>0</v>
      </c>
      <c r="R153" s="478">
        <f>IFERROR(MAX(0,INDEX(Input!$1:$1048576,R$93,$C153*2+MIN($B153,2)+5)
+INDEX(Scenarios!R$121:R$200,MATCH($B153,Scenarios!$B$121:$B$200,0)),),"Market")</f>
        <v>0</v>
      </c>
      <c r="S153" s="478">
        <f>IFERROR(MAX(0,INDEX(Input!$1:$1048576,S$93,$C153*2+MIN($B153,2)+5)
+INDEX(Scenarios!S$121:S$200,MATCH($B153,Scenarios!$B$121:$B$200,0)),),"Market")</f>
        <v>0</v>
      </c>
      <c r="T153" s="478">
        <f>IFERROR(MAX(0,INDEX(Input!$1:$1048576,T$93,$C153*2+MIN($B153,2)+5)
+INDEX(Scenarios!T$121:T$200,MATCH($B153,Scenarios!$B$121:$B$200,0)),),"Market")</f>
        <v>0</v>
      </c>
      <c r="U153" s="478">
        <f>IFERROR(MAX(0,INDEX(Input!$1:$1048576,U$93,$C153*2+MIN($B153,2)+5)
+INDEX(Scenarios!U$121:U$200,MATCH($B153,Scenarios!$B$121:$B$200,0)),),"Market")</f>
        <v>0</v>
      </c>
      <c r="V153" s="478">
        <f>IFERROR(MAX(0,INDEX(Input!$1:$1048576,V$93,$C153*2+MIN($B153,2)+5)
+INDEX(Scenarios!V$121:V$200,MATCH($B153,Scenarios!$B$121:$B$200,0)),),"Market")</f>
        <v>0</v>
      </c>
      <c r="W153" s="885">
        <f>IFERROR(MAX(0,INDEX(Input!$1:$1048576,W$93,$C153*2+MIN($B153,2)+5)-0%,),"Market")</f>
        <v>3.9E-2</v>
      </c>
      <c r="X153" s="476" t="str">
        <f>INDEX(Input!$1:$1048576,X$93,$C153*2+MIN($B153,2)+5)</f>
        <v>Y</v>
      </c>
      <c r="Y153" s="475">
        <f>INDEX(Input!$1:$1048576,Y$93,$C153*2+MIN($B153,2)+5)
++INDEX(Scenarios!Y$121:Y$200,MATCH($B153,Scenarios!$B$121:$B$200,0))</f>
        <v>1582</v>
      </c>
      <c r="Z153" s="477">
        <f>INDEX(Input!$1:$1048576,Z$93,$C153*2+MIN($B153,2)+5)
+INDEX(Scenarios!Z$121:Z$200,MATCH($B153,Scenarios!$B$121:$B$200,0))</f>
        <v>0</v>
      </c>
      <c r="AA153" s="475">
        <f>INDEX(Input!$1:$1048576,AA$93,$C153*2+MIN($B153,2)+5)
+INDEX(Scenarios!AA$121:AA$200,MATCH($B153,Scenarios!$B$121:$B$200,0))</f>
        <v>0</v>
      </c>
      <c r="AB153" s="476">
        <f>INDEX(Input!$1:$1048576,AB$93,$C153*2+MIN($B153,2)+5)</f>
        <v>0.27</v>
      </c>
      <c r="AC153" s="475">
        <f>INDEX(Input!$1:$1048576,AC$93,$C153*2+MIN($B153,2)+5)
+INDEX(Scenarios!AC$121:AC$200,MATCH($B153,Scenarios!$B$121:$B$200,0))</f>
        <v>0</v>
      </c>
      <c r="AD153" s="476">
        <f>INDEX(Input!$1:$1048576,AD$93,$C153*2+MIN($B153,2)+5)</f>
        <v>0.27</v>
      </c>
      <c r="AE153" s="475">
        <f>INDEX(Input!$1:$1048576,AE$93,$C153*2+MIN($B153,2)+5)
+INDEX(Scenarios!AE$121:AE$200,MATCH($B153,Scenarios!$B$121:$B$200,0))</f>
        <v>0</v>
      </c>
      <c r="AF153" s="476">
        <f>INDEX(Input!$1:$1048576,AF$93,$C153*2+MIN($B153,2)+5)</f>
        <v>0.38</v>
      </c>
      <c r="AG153" s="475">
        <f>INDEX(Input!$1:$1048576,AG$93,$C153*2+MIN($B153,2)+5)
+INDEX(Scenarios!AG$121:AG$200,MATCH($B153,Scenarios!$B$121:$B$200,0))</f>
        <v>0</v>
      </c>
      <c r="AH153" s="476">
        <f>INDEX(Input!$1:$1048576,AH$93,$C153*2+MIN($B153,2)+5)</f>
        <v>0</v>
      </c>
      <c r="AI153" s="475">
        <f>INDEX(Input!$1:$1048576,AI$93,$C153*2+MIN($B153,2)+5)
+INDEX(Scenarios!AI$121:AI$200,MATCH($B153,Scenarios!$B$121:$B$200,0))</f>
        <v>0</v>
      </c>
      <c r="AJ153" s="476">
        <f>INDEX(Input!$1:$1048576,AJ$93,$C153*2+MIN($B153,2)+5)</f>
        <v>0.27</v>
      </c>
      <c r="AK153" s="150">
        <f>ROUND(INDEX(Input!$1:$1048576,AK$93,$C152*2+MIN($B153,1)+5)+(Y153-VLOOKUP($C153*1000+1,$A:$HH,Y$92,FALSE)),0)</f>
        <v>3397</v>
      </c>
      <c r="AL153" s="150">
        <f>ROUND(INDEX(Input!$1:$1048576,AL$93,$C152*2+MIN($B153,1)+5)-(Y153-VLOOKUP($C153*1000+1,$A:$HH,Y$92,FALSE))/36,0)</f>
        <v>4123</v>
      </c>
      <c r="AM153" s="32" t="str">
        <f t="shared" si="169"/>
        <v>std/std/std/std</v>
      </c>
      <c r="AN153" s="32" t="str">
        <f t="shared" si="170"/>
        <v>$0 + 0/0/0/0/3.9</v>
      </c>
      <c r="AO153" s="32" t="str">
        <f t="shared" si="171"/>
        <v>0/0/0/0/3.9</v>
      </c>
      <c r="AP153" s="32" t="str">
        <f t="shared" si="73"/>
        <v>0/0/0/3.9</v>
      </c>
      <c r="AQ153" s="536">
        <f t="shared" si="39"/>
        <v>0.26614877969815559</v>
      </c>
      <c r="AR153" s="32"/>
      <c r="AS153" s="302"/>
      <c r="AT153" s="3">
        <f t="shared" si="106"/>
        <v>53</v>
      </c>
      <c r="AU153" s="41" t="s">
        <v>121</v>
      </c>
      <c r="AV153" s="41" t="s">
        <v>116</v>
      </c>
      <c r="AW153" s="41" t="str">
        <f>INDEX(Input!$1:$1048576,AW$93,$C153*2+6)</f>
        <v>Kia</v>
      </c>
      <c r="AX153" s="41" t="str">
        <f>INDEX(Input!$1:$1048576,AX$93,$C153*2+6)</f>
        <v>Kia-LR - L1</v>
      </c>
      <c r="AY153" s="41" t="str">
        <f>IF(LEN(D153)=0,"",INDEX(Input!$1:$1048576,AY$93,$C153*2+6))</f>
        <v>Compact SUV (52)</v>
      </c>
      <c r="AZ153" s="41" t="str">
        <f>INDEX(Input!$1:$1048576,AZ$93,$C153*2+6)</f>
        <v>Kia Soul</v>
      </c>
      <c r="BA153" s="3">
        <f>INDEX(Input!$1:$1048576,BA$93,$C153*2+6)</f>
        <v>2020</v>
      </c>
      <c r="BB153" s="128">
        <f>INDEX(Input!$1:$1048576,BB$93,$C153*2+6)</f>
        <v>1</v>
      </c>
      <c r="BC153" s="128">
        <f>INDEX(Input!$1:$1048576,BC$93,$C153*2+6)</f>
        <v>0.7</v>
      </c>
      <c r="BD153" s="1">
        <f>INDEX(Input!$1:$1048576,BD$93,$C153*2+6)</f>
        <v>4.4999999999999998E-2</v>
      </c>
      <c r="BE153" s="1">
        <f>INDEX(Input!$1:$1048576,BE$93,$C153*2+6)</f>
        <v>4.4999999999999998E-2</v>
      </c>
      <c r="BF153" s="1">
        <f>INDEX(Input!$1:$1048576,BF$93,$C153*2+6)</f>
        <v>0.05</v>
      </c>
      <c r="BG153" s="1">
        <f>INDEX(Input!$1:$1048576,BG$93,$C153*2+6)</f>
        <v>5.45E-2</v>
      </c>
      <c r="BH153" s="1">
        <f>INDEX(Input!$1:$1048576,BH$93,$C153*2+6)</f>
        <v>5.45E-2</v>
      </c>
      <c r="BI153" s="1">
        <f>INDEX(Input!$1:$1048576,BI$93,$C153*2+6)</f>
        <v>0.05</v>
      </c>
      <c r="BJ153" s="1">
        <f>INDEX(Input!$1:$1048576,BJ$93,$C153*2+6)</f>
        <v>0.05</v>
      </c>
      <c r="BK153" s="1">
        <f>INDEX(Input!$1:$1048576,BK$93,$C153*2+6)</f>
        <v>0.05</v>
      </c>
      <c r="BL153" s="1">
        <f>INDEX(Input!$1:$1048576,BL$93,$C153*2+6)</f>
        <v>5.5E-2</v>
      </c>
      <c r="BM153" s="1">
        <f>INDEX(Input!$1:$1048576,BM$93,$C153*2+6)</f>
        <v>0.06</v>
      </c>
      <c r="BN153" s="1">
        <f>INDEX(Input!$1:$1048576,BN$93,$C153*2+6)</f>
        <v>4.4999999999999998E-2</v>
      </c>
      <c r="BO153" s="1">
        <f>INDEX(Input!$1:$1048576,BO$93,$C153*2+6)</f>
        <v>4.4999999999999998E-2</v>
      </c>
      <c r="BP153" s="1">
        <f>INDEX(Input!$1:$1048576,BP$93,$C153*2+6)</f>
        <v>0.05</v>
      </c>
      <c r="BQ153" s="1">
        <f>INDEX(Input!$1:$1048576,BQ$93,$C153*2+6)</f>
        <v>5.45E-2</v>
      </c>
      <c r="BR153" s="1">
        <f>INDEX(Input!$1:$1048576,BR$93,$C153*2+6)</f>
        <v>5.45E-2</v>
      </c>
      <c r="BS153" s="1">
        <f>INDEX(Input!$1:$1048576,BS$93,$C153*2+6)</f>
        <v>0.05</v>
      </c>
      <c r="BT153" s="1">
        <f>INDEX(Input!$1:$1048576,BT$93,$C153*2+6)</f>
        <v>0.05</v>
      </c>
      <c r="BU153" s="1">
        <f>INDEX(Input!$1:$1048576,BU$93,$C153*2+6)</f>
        <v>0.05</v>
      </c>
      <c r="BV153" s="1">
        <f>INDEX(Input!$1:$1048576,BV$93,$C153*2+6)</f>
        <v>5.5E-2</v>
      </c>
      <c r="BW153" s="1">
        <f>INDEX(Input!$1:$1048576,BW$93,$C153*2+6)</f>
        <v>0.06</v>
      </c>
      <c r="BX153" s="127">
        <f>INDEX(Input!$1:$1048576,BX$93,$C153*2+6)</f>
        <v>19985</v>
      </c>
      <c r="BY153" s="20">
        <f>INDEX(Input!$1:$1048576,BY$93,$C153*2+6)</f>
        <v>0.1</v>
      </c>
      <c r="BZ153" s="20">
        <f>INDEX(Input!$1:$1048576,BZ$93,$C153*2+6)</f>
        <v>0.1</v>
      </c>
      <c r="CA153" s="20">
        <f>INDEX(Input!$1:$1048576,CA$93,$C153*2+6)</f>
        <v>0.1</v>
      </c>
      <c r="CB153" s="20">
        <f>INDEX(Input!$1:$1048576,CB$93,$C153*2+6)</f>
        <v>0.1</v>
      </c>
      <c r="CC153" s="20">
        <f>INDEX(Input!$1:$1048576,CC$93,$C153*2+6)</f>
        <v>0.1</v>
      </c>
      <c r="CD153" s="384">
        <f>INDEX(Input!$1:$1048576,CD$93,$C153*2+6)</f>
        <v>0.1</v>
      </c>
      <c r="CE153" s="384">
        <f>INDEX(Input!$1:$1048576,CE$93,$C153*2+6)</f>
        <v>0.1</v>
      </c>
      <c r="CF153" s="384">
        <f>INDEX(Input!$1:$1048576,CF$93,$C153*2+6)</f>
        <v>0.1</v>
      </c>
      <c r="CG153" s="384">
        <f>INDEX(Input!$1:$1048576,CG$93,$C153*2+6)</f>
        <v>0.1</v>
      </c>
      <c r="CH153" s="384">
        <f>INDEX(Input!$1:$1048576,CH$93,$C153*2+6)</f>
        <v>0.1</v>
      </c>
      <c r="CI153" s="304">
        <f t="shared" si="74"/>
        <v>1229</v>
      </c>
      <c r="CJ153" s="16" t="str">
        <f>INDEX(Input!$1:$1048576,CJ$93,$C153*2+6)</f>
        <v>N</v>
      </c>
      <c r="CK153" s="1" t="str">
        <f t="shared" si="75"/>
        <v>Market</v>
      </c>
      <c r="CL153" s="1" t="str">
        <f t="shared" si="76"/>
        <v>Market</v>
      </c>
      <c r="CM153" s="1" t="str">
        <f t="shared" si="77"/>
        <v>Market</v>
      </c>
      <c r="CN153" s="1" t="str">
        <f t="shared" si="78"/>
        <v>Market</v>
      </c>
      <c r="CO153" s="1" t="str">
        <f t="shared" si="79"/>
        <v>Market</v>
      </c>
      <c r="CP153" s="304">
        <f t="shared" si="80"/>
        <v>0</v>
      </c>
      <c r="CQ153" s="1">
        <f t="shared" si="81"/>
        <v>0</v>
      </c>
      <c r="CR153" s="1">
        <f t="shared" si="82"/>
        <v>0</v>
      </c>
      <c r="CS153" s="1">
        <f t="shared" si="83"/>
        <v>0</v>
      </c>
      <c r="CT153" s="1">
        <f t="shared" si="84"/>
        <v>0</v>
      </c>
      <c r="CU153" s="1">
        <f t="shared" si="85"/>
        <v>3.9E-2</v>
      </c>
      <c r="CV153" s="304">
        <f t="shared" si="86"/>
        <v>1582</v>
      </c>
      <c r="CW153" s="20" t="s">
        <v>122</v>
      </c>
      <c r="CX153" s="20" t="s">
        <v>122</v>
      </c>
      <c r="CY153" s="20" t="s">
        <v>122</v>
      </c>
      <c r="CZ153" s="20" t="s">
        <v>122</v>
      </c>
      <c r="DA153" s="20" t="s">
        <v>122</v>
      </c>
      <c r="DB153" s="503">
        <f t="shared" si="87"/>
        <v>0</v>
      </c>
      <c r="DC153" s="127">
        <v>0</v>
      </c>
      <c r="DD153" s="127">
        <v>0</v>
      </c>
      <c r="DE153" s="127">
        <v>0</v>
      </c>
      <c r="DF153" s="127">
        <v>0</v>
      </c>
      <c r="DG153" s="127">
        <v>0</v>
      </c>
      <c r="DH153" s="127">
        <v>0</v>
      </c>
      <c r="DI153" s="127">
        <v>0</v>
      </c>
      <c r="DJ153" s="127">
        <v>0</v>
      </c>
      <c r="DK153" s="127">
        <v>0</v>
      </c>
      <c r="DL153" s="127">
        <v>0</v>
      </c>
      <c r="DM153" s="304">
        <f>INDEX(Input!$1:$1048576,DM$93,$C153*2+6)</f>
        <v>21036.84210526316</v>
      </c>
      <c r="DN153" s="20">
        <v>0</v>
      </c>
      <c r="DO153" s="20">
        <v>0</v>
      </c>
      <c r="DP153" s="20">
        <v>0</v>
      </c>
      <c r="DQ153" s="20">
        <v>0</v>
      </c>
      <c r="DR153" s="20">
        <v>0</v>
      </c>
      <c r="DS153" s="20">
        <f>INDEX(Input!$1:$1048576,DS$93,$C153*2+6)</f>
        <v>0.6</v>
      </c>
      <c r="DT153" s="20">
        <f>INDEX(Input!$1:$1048576,DT$93,$C153*2+6)</f>
        <v>0.55000000000000004</v>
      </c>
      <c r="DU153" s="20">
        <f>INDEX(Input!$1:$1048576,DU$93,$C153*2+6)</f>
        <v>0.52</v>
      </c>
      <c r="DV153" s="20">
        <f>INDEX(Input!$1:$1048576,DV$93,$C153*2+6)</f>
        <v>0.5</v>
      </c>
      <c r="DW153" s="20">
        <f>INDEX(Input!$1:$1048576,DW$93,$C153*2+6)</f>
        <v>0.45</v>
      </c>
      <c r="DX153" s="20"/>
      <c r="DY153" s="7">
        <v>0.10246642839938903</v>
      </c>
      <c r="DZ153" s="7">
        <v>0</v>
      </c>
      <c r="EA153" s="7">
        <v>0.48971719960341709</v>
      </c>
      <c r="EB153" s="7">
        <v>0</v>
      </c>
      <c r="EC153" s="7">
        <v>0</v>
      </c>
      <c r="ED153" s="7">
        <v>0</v>
      </c>
      <c r="EE153" s="7">
        <v>0</v>
      </c>
      <c r="EF153" s="7">
        <v>0</v>
      </c>
      <c r="EG153" s="7">
        <v>0</v>
      </c>
      <c r="EH153" s="7">
        <v>1.1770126174766771E-2</v>
      </c>
      <c r="EI153" s="7">
        <v>3.437205075852684E-2</v>
      </c>
      <c r="EJ153" s="7">
        <v>0.2171244497247633</v>
      </c>
      <c r="EK153" s="7">
        <v>0.66899015480349511</v>
      </c>
      <c r="EL153" s="7">
        <v>6.7743218538448183E-2</v>
      </c>
      <c r="EM153" s="7">
        <v>8.0566343036640981E-2</v>
      </c>
      <c r="EN153" s="7">
        <v>4.9379578909208757E-2</v>
      </c>
      <c r="EO153" s="7">
        <v>0.75610016993184992</v>
      </c>
      <c r="EP153" s="7">
        <v>8.5125034424855875E-2</v>
      </c>
      <c r="EQ153" s="7">
        <v>6.5024794318701659E-2</v>
      </c>
      <c r="ER153" s="7">
        <v>4.437042241538388E-2</v>
      </c>
      <c r="ES153" s="7">
        <v>0.32725002896055277</v>
      </c>
      <c r="ET153" s="7">
        <v>0.40781637199719389</v>
      </c>
      <c r="EU153" s="6">
        <v>1270</v>
      </c>
      <c r="EV153" s="6">
        <v>0</v>
      </c>
      <c r="EW153" s="6">
        <v>1270</v>
      </c>
      <c r="EX153" s="6">
        <v>0</v>
      </c>
      <c r="EY153" s="6">
        <v>2643.8860716023401</v>
      </c>
      <c r="EZ153" s="6">
        <v>1725</v>
      </c>
      <c r="FA153" s="6">
        <v>0</v>
      </c>
      <c r="FB153" s="6">
        <v>0</v>
      </c>
      <c r="FC153" s="6">
        <v>0</v>
      </c>
      <c r="FD153" s="6">
        <v>0</v>
      </c>
      <c r="FE153" s="6">
        <v>0</v>
      </c>
      <c r="FF153" s="6">
        <v>0</v>
      </c>
      <c r="FG153" s="6">
        <v>0</v>
      </c>
      <c r="FH153" s="6">
        <v>1171.2811379695618</v>
      </c>
      <c r="FI153" s="6">
        <v>1553.9796069512395</v>
      </c>
      <c r="FJ153" s="6">
        <v>2101.211011744741</v>
      </c>
      <c r="FK153" s="6">
        <v>2674.2006261592269</v>
      </c>
      <c r="FL153" s="6">
        <v>907.07682140966324</v>
      </c>
      <c r="FM153" s="6">
        <v>2373.8860716023401</v>
      </c>
      <c r="FN153" s="6">
        <v>0</v>
      </c>
      <c r="FO153" s="6">
        <v>0</v>
      </c>
      <c r="FP153" s="6">
        <v>0</v>
      </c>
      <c r="FQ153" s="6">
        <v>0</v>
      </c>
      <c r="FR153" s="6">
        <v>0</v>
      </c>
      <c r="FS153" s="6">
        <v>0</v>
      </c>
      <c r="FT153" s="7">
        <v>0.59218362800280611</v>
      </c>
      <c r="FU153" s="7">
        <v>8.0566343036640981E-2</v>
      </c>
      <c r="FV153" s="7">
        <v>0.32725002896055277</v>
      </c>
      <c r="FW153" s="6">
        <v>1270</v>
      </c>
      <c r="FX153" s="6">
        <v>2643.8860716023401</v>
      </c>
      <c r="FY153" s="6">
        <v>1725</v>
      </c>
      <c r="FZ153" s="6">
        <v>1952.7147957719815</v>
      </c>
      <c r="GA153" s="6">
        <v>1529.5877397150284</v>
      </c>
      <c r="GB153" s="6">
        <v>18455.412260284971</v>
      </c>
      <c r="GC153" s="7">
        <v>1.0519917368675835E-2</v>
      </c>
      <c r="GD153" s="7">
        <v>1.0137446957483573E-2</v>
      </c>
      <c r="GE153" s="7"/>
      <c r="GF153" s="7"/>
      <c r="GG153" s="7">
        <v>-3.6356788536296675E-2</v>
      </c>
      <c r="GH153" s="42">
        <v>1.7171920549559225</v>
      </c>
      <c r="GI153" s="6">
        <v>13167.773429150326</v>
      </c>
      <c r="GJ153" s="14">
        <v>0.50394797582841733</v>
      </c>
      <c r="GK153" s="14">
        <v>0.50887573065309744</v>
      </c>
      <c r="GL153" s="14">
        <v>0.49605202417158273</v>
      </c>
      <c r="GM153" s="14">
        <v>0.49112426934690245</v>
      </c>
      <c r="GO153" s="5">
        <v>343.14810671672558</v>
      </c>
      <c r="GP153" s="5">
        <v>318.91892952659737</v>
      </c>
      <c r="GQ153" s="5">
        <v>535.04305713031317</v>
      </c>
      <c r="GR153" s="5">
        <v>410.15490233172511</v>
      </c>
      <c r="GS153" s="5">
        <v>339.42744393800166</v>
      </c>
      <c r="GT153" s="5">
        <v>293.4407446948278</v>
      </c>
      <c r="GU153" s="5">
        <v>258.04012322764959</v>
      </c>
      <c r="GV153" s="39" t="s">
        <v>392</v>
      </c>
      <c r="GW153" s="5">
        <v>492.125</v>
      </c>
      <c r="GX153" s="5">
        <v>369.09375</v>
      </c>
      <c r="GY153" s="5">
        <v>295.27499999999998</v>
      </c>
      <c r="GZ153" s="5">
        <v>246.0625</v>
      </c>
      <c r="HA153" s="5">
        <v>241.34874471337258</v>
      </c>
      <c r="HB153" s="39">
        <v>263.55343506932473</v>
      </c>
      <c r="HC153" s="5">
        <v>211.81562499999998</v>
      </c>
      <c r="HD153" s="5">
        <v>188.29497441520465</v>
      </c>
      <c r="HE153" s="5">
        <v>193.13834767206475</v>
      </c>
      <c r="HF153" s="5">
        <v>181.01813048245612</v>
      </c>
      <c r="HG153" s="5">
        <v>177.56888157894736</v>
      </c>
      <c r="HH153" s="39">
        <v>188.91961000194752</v>
      </c>
      <c r="HI153" s="16"/>
      <c r="HJ153" s="19" t="str">
        <f t="shared" ref="HJ153" si="382">HJ152</f>
        <v>On</v>
      </c>
      <c r="HK153" s="1" t="str">
        <f t="shared" si="108"/>
        <v>On</v>
      </c>
      <c r="HL153" s="16"/>
      <c r="HM153" s="639">
        <f t="shared" si="266"/>
        <v>5.7455619280273196E-3</v>
      </c>
      <c r="HN153" s="639">
        <f t="shared" si="267"/>
        <v>5.0031960498701745E-4</v>
      </c>
      <c r="HO153" s="639">
        <f t="shared" si="268"/>
        <v>3.9819433988714835E-3</v>
      </c>
      <c r="HP153" s="644">
        <f>(FT153*$GD153-HM153)/$JF153*INDEX(Input!$1:$1048576,$JG$93,$C153*2+6)</f>
        <v>11.236016795277269</v>
      </c>
      <c r="HQ153" s="644">
        <f>(FU153*$GD153-HN153)/$JF153*INDEX(Input!$1:$1048576,$JG$93,$C153*2+6)</f>
        <v>13.797867297379394</v>
      </c>
      <c r="HR153" s="644">
        <f>(FV153*$GD153-HO153)/$JF153*INDEX(Input!$1:$1048576,$JG$93,$C153*2+6)</f>
        <v>-28.974954344821324</v>
      </c>
      <c r="HS153" s="644">
        <f t="shared" si="269"/>
        <v>-0.96321147630358117</v>
      </c>
      <c r="HT153" s="644">
        <f t="shared" si="270"/>
        <v>14.706164389320673</v>
      </c>
      <c r="HU153" s="644">
        <f t="shared" si="271"/>
        <v>-3.9012372572651159</v>
      </c>
      <c r="HV153" s="648">
        <f t="shared" si="272"/>
        <v>0</v>
      </c>
      <c r="HW153" s="648">
        <f t="shared" si="273"/>
        <v>0</v>
      </c>
      <c r="HX153" s="648">
        <f t="shared" si="274"/>
        <v>0</v>
      </c>
      <c r="HY153" s="644">
        <f>INDEX(Input!$1:$1048576,HY$93,$C153*2+6)*INDEX(Input!$1:$1048576,$JG$93,$C153*2+6)</f>
        <v>110.00000000000001</v>
      </c>
      <c r="HZ153" s="644">
        <f>INDEX(Input!$1:$1048576,HZ$93,$C153*2+6)*INDEX(Input!$1:$1048576,$JG$93,$C153*2+6)</f>
        <v>157</v>
      </c>
      <c r="IA153" s="644">
        <f>INDEX(Input!$1:$1048576,IA$93,$C153*2+6)*INDEX(Input!$1:$1048576,$JG$93,$C153*2+6)</f>
        <v>179</v>
      </c>
      <c r="IB153" s="644">
        <f t="shared" si="249"/>
        <v>120.2728053189737</v>
      </c>
      <c r="IC153" s="644">
        <f t="shared" si="172"/>
        <v>185.50403168670005</v>
      </c>
      <c r="ID153" s="644">
        <f>IF(AND(INDEX(Input!$1:$1048576,IA$93,$C153*2+7)="TOS",Y153&lt;=INDEX(Y:Y,MATCH(C153*1000+2,A:A))),0,1)*MAX(IA153+HR153+HU153+HX153,0%)</f>
        <v>146.12380839791356</v>
      </c>
      <c r="IE153" s="128">
        <f t="shared" si="275"/>
        <v>0.26614877969815559</v>
      </c>
      <c r="IF153" s="128">
        <f t="shared" si="174"/>
        <v>0.41049738161145688</v>
      </c>
      <c r="IG153" s="128">
        <f t="shared" si="175"/>
        <v>0.32335383869038747</v>
      </c>
      <c r="IH153" s="21"/>
      <c r="II153" s="19">
        <f t="shared" si="276"/>
        <v>1240</v>
      </c>
      <c r="IJ153" s="19">
        <f t="shared" si="277"/>
        <v>2009.7221397149679</v>
      </c>
      <c r="IK153" s="19">
        <f t="shared" si="278"/>
        <v>2070</v>
      </c>
      <c r="IL153" s="19">
        <f t="shared" si="176"/>
        <v>30</v>
      </c>
      <c r="IM153" s="19">
        <f t="shared" si="177"/>
        <v>634.1639318873722</v>
      </c>
      <c r="IN153" s="19">
        <f t="shared" si="178"/>
        <v>-345</v>
      </c>
      <c r="IO153" s="39">
        <f t="shared" si="279"/>
        <v>0</v>
      </c>
      <c r="IP153" s="39">
        <f t="shared" si="280"/>
        <v>0</v>
      </c>
      <c r="IQ153" s="39">
        <f t="shared" si="281"/>
        <v>0</v>
      </c>
      <c r="IR153" s="39">
        <v>0</v>
      </c>
      <c r="IS153" s="39">
        <v>0</v>
      </c>
      <c r="IT153" s="39">
        <v>0</v>
      </c>
      <c r="IU153" s="39">
        <v>0</v>
      </c>
      <c r="IV153" s="39">
        <v>0</v>
      </c>
      <c r="IW153" s="39">
        <v>0</v>
      </c>
      <c r="IX153" s="39">
        <f>INDEX(Input!$1:$1048576,IX$93,$C153*2+6)+INDEX(Input!$1:$1048576,IX$94,$C153*2+6)</f>
        <v>1270</v>
      </c>
      <c r="IY153" s="39">
        <f>INDEX(Input!$1:$1048576,IY$93,$C153*2+6)+INDEX(Input!$1:$1048576,IY$94,$C153*2+6)</f>
        <v>2130.0624533823611</v>
      </c>
      <c r="IZ153" s="39">
        <f>INDEX(Input!$1:$1048576,IZ$93,$C153*2+6)+INDEX(Input!$1:$1048576,IZ$94,$C153*2+6)</f>
        <v>4373.7164157747848</v>
      </c>
      <c r="JA153" s="19">
        <f t="shared" si="179"/>
        <v>1300</v>
      </c>
      <c r="JB153" s="19">
        <f t="shared" si="180"/>
        <v>2764.2263852697333</v>
      </c>
      <c r="JC153" s="19">
        <f t="shared" si="181"/>
        <v>4028.7164157747848</v>
      </c>
      <c r="JD153" s="19">
        <f t="shared" si="182"/>
        <v>2783.402024977886</v>
      </c>
      <c r="JE153" s="21"/>
      <c r="JF153" s="1">
        <f t="shared" si="282"/>
        <v>1.022782493188582E-2</v>
      </c>
      <c r="JG153" s="15">
        <f>INDEX(Input!$1:$1048576,JG$93,$C153*2+6)/(1+VLOOKUP(C153*1000+INDEX(Input!$1:$1048576,JG$93+1,$C153*2+6),$A:$KK,$JK$92,FALSE))</f>
        <v>446</v>
      </c>
      <c r="JH153" s="1">
        <f t="shared" si="251"/>
        <v>-8.8364803860194185E-3</v>
      </c>
      <c r="JI153" s="1">
        <f t="shared" si="252"/>
        <v>2.2066627030834028E-2</v>
      </c>
      <c r="JJ153" s="1">
        <f t="shared" si="253"/>
        <v>0</v>
      </c>
      <c r="JK153" s="1">
        <f t="shared" si="254"/>
        <v>1.323014664481461E-2</v>
      </c>
      <c r="JL153" s="15">
        <f t="shared" si="184"/>
        <v>5.9006454035873155</v>
      </c>
      <c r="JM153" s="15">
        <f t="shared" si="185"/>
        <v>451.9006454035873</v>
      </c>
      <c r="JN153" s="21"/>
      <c r="JO153" s="19">
        <f>INDEX(Input!$1:$1048576,JO$93,$C153*2+6)</f>
        <v>5995.5</v>
      </c>
      <c r="JP153" s="19">
        <f>INDEX(Input!$1:$1048576,JP$93,$C153*2+6)</f>
        <v>2818.4193802796353</v>
      </c>
      <c r="JQ153" s="39">
        <f t="shared" si="186"/>
        <v>3212.097975022114</v>
      </c>
      <c r="JR153" s="39">
        <f t="shared" si="187"/>
        <v>-35.017355301749376</v>
      </c>
      <c r="JS153" s="39">
        <f t="shared" si="188"/>
        <v>1.2578211715051586</v>
      </c>
      <c r="JT153" s="39">
        <f t="shared" si="189"/>
        <v>8.0612790044117715E-4</v>
      </c>
      <c r="JU153" s="385">
        <f>(JQ153*JM153-INDEX(Input!$1:$1048576,Input!A$18,$C153*2+6)*JL153*INDEX(Input!$1:$1048576,Input!A$19,$C153*2+6))/1000000</f>
        <v>1.4515491480120493</v>
      </c>
      <c r="JV153" s="39">
        <f t="shared" si="192"/>
        <v>3.4571191616766583E-2</v>
      </c>
      <c r="JW153" s="1">
        <f t="shared" si="190"/>
        <v>2.4397833050779333E-2</v>
      </c>
      <c r="JX153" s="19">
        <f t="shared" si="191"/>
        <v>136.61690294947891</v>
      </c>
      <c r="JZ153" s="341"/>
      <c r="KA153" s="342"/>
      <c r="KB153" s="469">
        <f t="shared" si="110"/>
        <v>2.9286733661474216</v>
      </c>
      <c r="KI153" s="473">
        <f t="shared" si="283"/>
        <v>10.272805318973667</v>
      </c>
      <c r="KJ153" s="473">
        <f t="shared" si="284"/>
        <v>28.504031686700046</v>
      </c>
      <c r="KK153" s="473">
        <f t="shared" si="257"/>
        <v>-32.876191602086436</v>
      </c>
      <c r="KN153" s="544">
        <f t="shared" si="258"/>
        <v>1002</v>
      </c>
      <c r="KO153" s="541">
        <f t="shared" si="285"/>
        <v>9.07689209759166E-3</v>
      </c>
      <c r="KP153" s="546">
        <f t="shared" si="286"/>
        <v>131.60033017530941</v>
      </c>
      <c r="KQ153" s="546">
        <f t="shared" si="287"/>
        <v>-55.914175040765713</v>
      </c>
      <c r="KR153" s="548">
        <f t="shared" si="288"/>
        <v>1.1825921833519453</v>
      </c>
      <c r="KS153" s="548">
        <f t="shared" si="289"/>
        <v>-2.7833643557897476</v>
      </c>
      <c r="KT153" s="473">
        <f t="shared" si="112"/>
        <v>238.28695973331548</v>
      </c>
      <c r="KU153" s="663">
        <f t="shared" si="290"/>
        <v>6.436660261936038</v>
      </c>
      <c r="KV153" s="117"/>
    </row>
    <row r="154" spans="1:308" s="26" customFormat="1" ht="15" outlineLevel="1">
      <c r="A154" s="561">
        <f t="shared" si="168"/>
        <v>1054</v>
      </c>
      <c r="B154" s="561">
        <f t="shared" si="104"/>
        <v>54</v>
      </c>
      <c r="C154" s="561">
        <f t="shared" si="105"/>
        <v>1</v>
      </c>
      <c r="D154" s="561" t="str">
        <f t="shared" si="294"/>
        <v xml:space="preserve">0/0/0/3.9, -360 Lease, </v>
      </c>
      <c r="E154" s="475">
        <f>INDEX(Input!$1:$1048576,E$93,$C154*2+MIN($B154,2)+5)
+INDEX(Scenarios!E$121:E$200,MATCH($B154,Scenarios!$B$121:$B$200,0))</f>
        <v>1229</v>
      </c>
      <c r="F154" s="475">
        <f>INDEX(Input!$1:$1048576,F$93,$C154*2+MIN($B154,2)+5)
+INDEX(Scenarios!F$121:F$200,MATCH($B154,Scenarios!$B$121:$B$200,0))</f>
        <v>0</v>
      </c>
      <c r="G154" s="475">
        <f>INDEX(Input!$1:$1048576,G$93,$C154*2+MIN($B154,2)+5)
+INDEX(Scenarios!G$121:G$200,MATCH($B154,Scenarios!$B$121:$B$200,0))</f>
        <v>0</v>
      </c>
      <c r="H154" s="475">
        <f>INDEX(Input!$1:$1048576,H$93,$C154*2+MIN($B154,2)+5)
+INDEX(Scenarios!H$121:H$200,MATCH($B154,Scenarios!$B$121:$B$200,0))</f>
        <v>0</v>
      </c>
      <c r="I154" s="476">
        <f>INDEX(Input!$1:$1048576,I$93,$C154*2+MIN($B154,2)+5)</f>
        <v>0.7</v>
      </c>
      <c r="J154" s="476" t="str">
        <f>INDEX(Input!$1:$1048576,J$93,$C154*2+MIN($B154,2)+5)</f>
        <v>Market</v>
      </c>
      <c r="K154" s="476" t="str">
        <f>INDEX(Input!$1:$1048576,K$93,$C154*2+MIN($B154,2)+5)</f>
        <v>Market</v>
      </c>
      <c r="L154" s="476" t="str">
        <f>INDEX(Input!$1:$1048576,L$93,$C154*2+MIN($B154,2)+5)</f>
        <v>Market</v>
      </c>
      <c r="M154" s="476" t="str">
        <f>INDEX(Input!$1:$1048576,M$93,$C154*2+MIN($B154,2)+5)</f>
        <v>Market</v>
      </c>
      <c r="N154" s="476" t="str">
        <f>INDEX(Input!$1:$1048576,N$93,$C154*2+MIN($B154,2)+5)</f>
        <v>Market</v>
      </c>
      <c r="O154" s="476" t="str">
        <f>INDEX(Input!$1:$1048576,O$93,$C154*2+MIN($B154,2)+5)</f>
        <v>Market</v>
      </c>
      <c r="P154" s="476" t="str">
        <f>INDEX(Input!$1:$1048576,P$93,$C154*2+MIN($B154,2)+5)</f>
        <v>N</v>
      </c>
      <c r="Q154" s="477">
        <f>INDEX(Input!$1:$1048576,Q$93,$C154*2+MIN($B154,2)+5)
+INDEX(Scenarios!Q$121:Q$200,MATCH($B154,Scenarios!$B$121:$B$200,0))</f>
        <v>0</v>
      </c>
      <c r="R154" s="478">
        <f>IFERROR(MAX(0,INDEX(Input!$1:$1048576,R$93,$C154*2+MIN($B154,2)+5)
+INDEX(Scenarios!R$121:R$200,MATCH($B154,Scenarios!$B$121:$B$200,0)),),"Market")</f>
        <v>0</v>
      </c>
      <c r="S154" s="478">
        <f>IFERROR(MAX(0,INDEX(Input!$1:$1048576,S$93,$C154*2+MIN($B154,2)+5)
+INDEX(Scenarios!S$121:S$200,MATCH($B154,Scenarios!$B$121:$B$200,0)),),"Market")</f>
        <v>0</v>
      </c>
      <c r="T154" s="478">
        <f>IFERROR(MAX(0,INDEX(Input!$1:$1048576,T$93,$C154*2+MIN($B154,2)+5)
+INDEX(Scenarios!T$121:T$200,MATCH($B154,Scenarios!$B$121:$B$200,0)),),"Market")</f>
        <v>0</v>
      </c>
      <c r="U154" s="478">
        <f>IFERROR(MAX(0,INDEX(Input!$1:$1048576,U$93,$C154*2+MIN($B154,2)+5)
+INDEX(Scenarios!U$121:U$200,MATCH($B154,Scenarios!$B$121:$B$200,0)),),"Market")</f>
        <v>0</v>
      </c>
      <c r="V154" s="478">
        <f>IFERROR(MAX(0,INDEX(Input!$1:$1048576,V$93,$C154*2+MIN($B154,2)+5)
+INDEX(Scenarios!V$121:V$200,MATCH($B154,Scenarios!$B$121:$B$200,0)),),"Market")</f>
        <v>0</v>
      </c>
      <c r="W154" s="885">
        <f>IFERROR(MAX(0,INDEX(Input!$1:$1048576,W$93,$C154*2+MIN($B154,2)+5)-0%,),"Market")</f>
        <v>3.9E-2</v>
      </c>
      <c r="X154" s="476" t="str">
        <f>INDEX(Input!$1:$1048576,X$93,$C154*2+MIN($B154,2)+5)</f>
        <v>Y</v>
      </c>
      <c r="Y154" s="475">
        <f>INDEX(Input!$1:$1048576,Y$93,$C154*2+MIN($B154,2)+5)
++INDEX(Scenarios!Y$121:Y$200,MATCH($B154,Scenarios!$B$121:$B$200,0))</f>
        <v>1582</v>
      </c>
      <c r="Z154" s="477">
        <f>INDEX(Input!$1:$1048576,Z$93,$C154*2+MIN($B154,2)+5)
+INDEX(Scenarios!Z$121:Z$200,MATCH($B154,Scenarios!$B$121:$B$200,0))</f>
        <v>0</v>
      </c>
      <c r="AA154" s="475">
        <f>INDEX(Input!$1:$1048576,AA$93,$C154*2+MIN($B154,2)+5)
+INDEX(Scenarios!AA$121:AA$200,MATCH($B154,Scenarios!$B$121:$B$200,0))</f>
        <v>0</v>
      </c>
      <c r="AB154" s="476">
        <f>INDEX(Input!$1:$1048576,AB$93,$C154*2+MIN($B154,2)+5)</f>
        <v>0.27</v>
      </c>
      <c r="AC154" s="475">
        <f>INDEX(Input!$1:$1048576,AC$93,$C154*2+MIN($B154,2)+5)
+INDEX(Scenarios!AC$121:AC$200,MATCH($B154,Scenarios!$B$121:$B$200,0))</f>
        <v>0</v>
      </c>
      <c r="AD154" s="476">
        <f>INDEX(Input!$1:$1048576,AD$93,$C154*2+MIN($B154,2)+5)</f>
        <v>0.27</v>
      </c>
      <c r="AE154" s="475">
        <f>INDEX(Input!$1:$1048576,AE$93,$C154*2+MIN($B154,2)+5)
+INDEX(Scenarios!AE$121:AE$200,MATCH($B154,Scenarios!$B$121:$B$200,0))</f>
        <v>0</v>
      </c>
      <c r="AF154" s="476">
        <f>INDEX(Input!$1:$1048576,AF$93,$C154*2+MIN($B154,2)+5)</f>
        <v>0.38</v>
      </c>
      <c r="AG154" s="475">
        <f>INDEX(Input!$1:$1048576,AG$93,$C154*2+MIN($B154,2)+5)
+INDEX(Scenarios!AG$121:AG$200,MATCH($B154,Scenarios!$B$121:$B$200,0))</f>
        <v>0</v>
      </c>
      <c r="AH154" s="476">
        <f>INDEX(Input!$1:$1048576,AH$93,$C154*2+MIN($B154,2)+5)</f>
        <v>0</v>
      </c>
      <c r="AI154" s="475">
        <f>INDEX(Input!$1:$1048576,AI$93,$C154*2+MIN($B154,2)+5)
+INDEX(Scenarios!AI$121:AI$200,MATCH($B154,Scenarios!$B$121:$B$200,0))</f>
        <v>0</v>
      </c>
      <c r="AJ154" s="476">
        <f>INDEX(Input!$1:$1048576,AJ$93,$C154*2+MIN($B154,2)+5)</f>
        <v>0.27</v>
      </c>
      <c r="AK154" s="150">
        <f>ROUND(INDEX(Input!$1:$1048576,AK$93,$C153*2+MIN($B154,1)+5)+(Y154-VLOOKUP($C154*1000+1,$A:$HH,Y$92,FALSE)),0)</f>
        <v>3397</v>
      </c>
      <c r="AL154" s="150">
        <f>ROUND(INDEX(Input!$1:$1048576,AL$93,$C153*2+MIN($B154,1)+5)-(Y154-VLOOKUP($C154*1000+1,$A:$HH,Y$92,FALSE))/36,0)</f>
        <v>4123</v>
      </c>
      <c r="AM154" s="32" t="str">
        <f t="shared" si="169"/>
        <v>std/std/std/std</v>
      </c>
      <c r="AN154" s="32" t="str">
        <f t="shared" si="170"/>
        <v>$0 + 0/0/0/0/3.9</v>
      </c>
      <c r="AO154" s="32" t="str">
        <f t="shared" si="171"/>
        <v>0/0/0/0/3.9</v>
      </c>
      <c r="AP154" s="32" t="str">
        <f t="shared" si="73"/>
        <v>0/0/0/3.9</v>
      </c>
      <c r="AQ154" s="536">
        <f t="shared" si="39"/>
        <v>0.26614877969815559</v>
      </c>
      <c r="AR154" s="32"/>
      <c r="AS154" s="302"/>
      <c r="AT154" s="3">
        <f t="shared" si="106"/>
        <v>54</v>
      </c>
      <c r="AU154" s="41" t="s">
        <v>121</v>
      </c>
      <c r="AV154" s="41" t="s">
        <v>116</v>
      </c>
      <c r="AW154" s="41" t="str">
        <f>INDEX(Input!$1:$1048576,AW$93,$C154*2+6)</f>
        <v>Kia</v>
      </c>
      <c r="AX154" s="41" t="str">
        <f>INDEX(Input!$1:$1048576,AX$93,$C154*2+6)</f>
        <v>Kia-LR - L1</v>
      </c>
      <c r="AY154" s="41" t="str">
        <f>IF(LEN(D154)=0,"",INDEX(Input!$1:$1048576,AY$93,$C154*2+6))</f>
        <v>Compact SUV (52)</v>
      </c>
      <c r="AZ154" s="41" t="str">
        <f>INDEX(Input!$1:$1048576,AZ$93,$C154*2+6)</f>
        <v>Kia Soul</v>
      </c>
      <c r="BA154" s="3">
        <f>INDEX(Input!$1:$1048576,BA$93,$C154*2+6)</f>
        <v>2020</v>
      </c>
      <c r="BB154" s="128">
        <f>INDEX(Input!$1:$1048576,BB$93,$C154*2+6)</f>
        <v>1</v>
      </c>
      <c r="BC154" s="128">
        <f>INDEX(Input!$1:$1048576,BC$93,$C154*2+6)</f>
        <v>0.7</v>
      </c>
      <c r="BD154" s="1">
        <f>INDEX(Input!$1:$1048576,BD$93,$C154*2+6)</f>
        <v>4.4999999999999998E-2</v>
      </c>
      <c r="BE154" s="1">
        <f>INDEX(Input!$1:$1048576,BE$93,$C154*2+6)</f>
        <v>4.4999999999999998E-2</v>
      </c>
      <c r="BF154" s="1">
        <f>INDEX(Input!$1:$1048576,BF$93,$C154*2+6)</f>
        <v>0.05</v>
      </c>
      <c r="BG154" s="1">
        <f>INDEX(Input!$1:$1048576,BG$93,$C154*2+6)</f>
        <v>5.45E-2</v>
      </c>
      <c r="BH154" s="1">
        <f>INDEX(Input!$1:$1048576,BH$93,$C154*2+6)</f>
        <v>5.45E-2</v>
      </c>
      <c r="BI154" s="1">
        <f>INDEX(Input!$1:$1048576,BI$93,$C154*2+6)</f>
        <v>0.05</v>
      </c>
      <c r="BJ154" s="1">
        <f>INDEX(Input!$1:$1048576,BJ$93,$C154*2+6)</f>
        <v>0.05</v>
      </c>
      <c r="BK154" s="1">
        <f>INDEX(Input!$1:$1048576,BK$93,$C154*2+6)</f>
        <v>0.05</v>
      </c>
      <c r="BL154" s="1">
        <f>INDEX(Input!$1:$1048576,BL$93,$C154*2+6)</f>
        <v>5.5E-2</v>
      </c>
      <c r="BM154" s="1">
        <f>INDEX(Input!$1:$1048576,BM$93,$C154*2+6)</f>
        <v>0.06</v>
      </c>
      <c r="BN154" s="1">
        <f>INDEX(Input!$1:$1048576,BN$93,$C154*2+6)</f>
        <v>4.4999999999999998E-2</v>
      </c>
      <c r="BO154" s="1">
        <f>INDEX(Input!$1:$1048576,BO$93,$C154*2+6)</f>
        <v>4.4999999999999998E-2</v>
      </c>
      <c r="BP154" s="1">
        <f>INDEX(Input!$1:$1048576,BP$93,$C154*2+6)</f>
        <v>0.05</v>
      </c>
      <c r="BQ154" s="1">
        <f>INDEX(Input!$1:$1048576,BQ$93,$C154*2+6)</f>
        <v>5.45E-2</v>
      </c>
      <c r="BR154" s="1">
        <f>INDEX(Input!$1:$1048576,BR$93,$C154*2+6)</f>
        <v>5.45E-2</v>
      </c>
      <c r="BS154" s="1">
        <f>INDEX(Input!$1:$1048576,BS$93,$C154*2+6)</f>
        <v>0.05</v>
      </c>
      <c r="BT154" s="1">
        <f>INDEX(Input!$1:$1048576,BT$93,$C154*2+6)</f>
        <v>0.05</v>
      </c>
      <c r="BU154" s="1">
        <f>INDEX(Input!$1:$1048576,BU$93,$C154*2+6)</f>
        <v>0.05</v>
      </c>
      <c r="BV154" s="1">
        <f>INDEX(Input!$1:$1048576,BV$93,$C154*2+6)</f>
        <v>5.5E-2</v>
      </c>
      <c r="BW154" s="1">
        <f>INDEX(Input!$1:$1048576,BW$93,$C154*2+6)</f>
        <v>0.06</v>
      </c>
      <c r="BX154" s="127">
        <f>INDEX(Input!$1:$1048576,BX$93,$C154*2+6)</f>
        <v>19985</v>
      </c>
      <c r="BY154" s="20">
        <f>INDEX(Input!$1:$1048576,BY$93,$C154*2+6)</f>
        <v>0.1</v>
      </c>
      <c r="BZ154" s="20">
        <f>INDEX(Input!$1:$1048576,BZ$93,$C154*2+6)</f>
        <v>0.1</v>
      </c>
      <c r="CA154" s="20">
        <f>INDEX(Input!$1:$1048576,CA$93,$C154*2+6)</f>
        <v>0.1</v>
      </c>
      <c r="CB154" s="20">
        <f>INDEX(Input!$1:$1048576,CB$93,$C154*2+6)</f>
        <v>0.1</v>
      </c>
      <c r="CC154" s="20">
        <f>INDEX(Input!$1:$1048576,CC$93,$C154*2+6)</f>
        <v>0.1</v>
      </c>
      <c r="CD154" s="384">
        <f>INDEX(Input!$1:$1048576,CD$93,$C154*2+6)</f>
        <v>0.1</v>
      </c>
      <c r="CE154" s="384">
        <f>INDEX(Input!$1:$1048576,CE$93,$C154*2+6)</f>
        <v>0.1</v>
      </c>
      <c r="CF154" s="384">
        <f>INDEX(Input!$1:$1048576,CF$93,$C154*2+6)</f>
        <v>0.1</v>
      </c>
      <c r="CG154" s="384">
        <f>INDEX(Input!$1:$1048576,CG$93,$C154*2+6)</f>
        <v>0.1</v>
      </c>
      <c r="CH154" s="384">
        <f>INDEX(Input!$1:$1048576,CH$93,$C154*2+6)</f>
        <v>0.1</v>
      </c>
      <c r="CI154" s="304">
        <f t="shared" si="74"/>
        <v>1229</v>
      </c>
      <c r="CJ154" s="16" t="str">
        <f>INDEX(Input!$1:$1048576,CJ$93,$C154*2+6)</f>
        <v>N</v>
      </c>
      <c r="CK154" s="1" t="str">
        <f t="shared" si="75"/>
        <v>Market</v>
      </c>
      <c r="CL154" s="1" t="str">
        <f t="shared" si="76"/>
        <v>Market</v>
      </c>
      <c r="CM154" s="1" t="str">
        <f t="shared" si="77"/>
        <v>Market</v>
      </c>
      <c r="CN154" s="1" t="str">
        <f t="shared" si="78"/>
        <v>Market</v>
      </c>
      <c r="CO154" s="1" t="str">
        <f t="shared" si="79"/>
        <v>Market</v>
      </c>
      <c r="CP154" s="304">
        <f t="shared" si="80"/>
        <v>0</v>
      </c>
      <c r="CQ154" s="1">
        <f t="shared" si="81"/>
        <v>0</v>
      </c>
      <c r="CR154" s="1">
        <f t="shared" si="82"/>
        <v>0</v>
      </c>
      <c r="CS154" s="1">
        <f t="shared" si="83"/>
        <v>0</v>
      </c>
      <c r="CT154" s="1">
        <f t="shared" si="84"/>
        <v>0</v>
      </c>
      <c r="CU154" s="1">
        <f t="shared" si="85"/>
        <v>3.9E-2</v>
      </c>
      <c r="CV154" s="304">
        <f t="shared" si="86"/>
        <v>1582</v>
      </c>
      <c r="CW154" s="20" t="s">
        <v>122</v>
      </c>
      <c r="CX154" s="20" t="s">
        <v>122</v>
      </c>
      <c r="CY154" s="20" t="s">
        <v>122</v>
      </c>
      <c r="CZ154" s="20" t="s">
        <v>122</v>
      </c>
      <c r="DA154" s="20" t="s">
        <v>122</v>
      </c>
      <c r="DB154" s="503">
        <f t="shared" si="87"/>
        <v>0</v>
      </c>
      <c r="DC154" s="127">
        <v>0</v>
      </c>
      <c r="DD154" s="127">
        <v>0</v>
      </c>
      <c r="DE154" s="127">
        <v>0</v>
      </c>
      <c r="DF154" s="127">
        <v>0</v>
      </c>
      <c r="DG154" s="127">
        <v>0</v>
      </c>
      <c r="DH154" s="127">
        <v>0</v>
      </c>
      <c r="DI154" s="127">
        <v>0</v>
      </c>
      <c r="DJ154" s="127">
        <v>0</v>
      </c>
      <c r="DK154" s="127">
        <v>0</v>
      </c>
      <c r="DL154" s="127">
        <v>0</v>
      </c>
      <c r="DM154" s="304">
        <f>INDEX(Input!$1:$1048576,DM$93,$C154*2+6)</f>
        <v>21036.84210526316</v>
      </c>
      <c r="DN154" s="20">
        <v>0</v>
      </c>
      <c r="DO154" s="20">
        <v>0</v>
      </c>
      <c r="DP154" s="20">
        <v>0</v>
      </c>
      <c r="DQ154" s="20">
        <v>0</v>
      </c>
      <c r="DR154" s="20">
        <v>0</v>
      </c>
      <c r="DS154" s="20">
        <f>INDEX(Input!$1:$1048576,DS$93,$C154*2+6)</f>
        <v>0.6</v>
      </c>
      <c r="DT154" s="20">
        <f>INDEX(Input!$1:$1048576,DT$93,$C154*2+6)</f>
        <v>0.55000000000000004</v>
      </c>
      <c r="DU154" s="20">
        <f>INDEX(Input!$1:$1048576,DU$93,$C154*2+6)</f>
        <v>0.52</v>
      </c>
      <c r="DV154" s="20">
        <f>INDEX(Input!$1:$1048576,DV$93,$C154*2+6)</f>
        <v>0.5</v>
      </c>
      <c r="DW154" s="20">
        <f>INDEX(Input!$1:$1048576,DW$93,$C154*2+6)</f>
        <v>0.45</v>
      </c>
      <c r="DX154" s="20"/>
      <c r="DY154" s="7">
        <v>0.10246642839938903</v>
      </c>
      <c r="DZ154" s="7">
        <v>0</v>
      </c>
      <c r="EA154" s="7">
        <v>0.48971719960341709</v>
      </c>
      <c r="EB154" s="7">
        <v>0</v>
      </c>
      <c r="EC154" s="7">
        <v>0</v>
      </c>
      <c r="ED154" s="7">
        <v>0</v>
      </c>
      <c r="EE154" s="7">
        <v>0</v>
      </c>
      <c r="EF154" s="7">
        <v>0</v>
      </c>
      <c r="EG154" s="7">
        <v>0</v>
      </c>
      <c r="EH154" s="7">
        <v>1.1770126174766771E-2</v>
      </c>
      <c r="EI154" s="7">
        <v>3.437205075852684E-2</v>
      </c>
      <c r="EJ154" s="7">
        <v>0.2171244497247633</v>
      </c>
      <c r="EK154" s="7">
        <v>0.66899015480349511</v>
      </c>
      <c r="EL154" s="7">
        <v>6.7743218538448183E-2</v>
      </c>
      <c r="EM154" s="7">
        <v>8.0566343036640981E-2</v>
      </c>
      <c r="EN154" s="7">
        <v>4.9379578909208757E-2</v>
      </c>
      <c r="EO154" s="7">
        <v>0.75610016993184992</v>
      </c>
      <c r="EP154" s="7">
        <v>8.5125034424855875E-2</v>
      </c>
      <c r="EQ154" s="7">
        <v>6.5024794318701659E-2</v>
      </c>
      <c r="ER154" s="7">
        <v>4.437042241538388E-2</v>
      </c>
      <c r="ES154" s="7">
        <v>0.32725002896055277</v>
      </c>
      <c r="ET154" s="7">
        <v>0.40781637199719389</v>
      </c>
      <c r="EU154" s="6">
        <v>1270</v>
      </c>
      <c r="EV154" s="6">
        <v>0</v>
      </c>
      <c r="EW154" s="6">
        <v>1270</v>
      </c>
      <c r="EX154" s="6">
        <v>0</v>
      </c>
      <c r="EY154" s="6">
        <v>2643.8860716023401</v>
      </c>
      <c r="EZ154" s="6">
        <v>1725</v>
      </c>
      <c r="FA154" s="6">
        <v>0</v>
      </c>
      <c r="FB154" s="6">
        <v>0</v>
      </c>
      <c r="FC154" s="6">
        <v>0</v>
      </c>
      <c r="FD154" s="6">
        <v>0</v>
      </c>
      <c r="FE154" s="6">
        <v>0</v>
      </c>
      <c r="FF154" s="6">
        <v>0</v>
      </c>
      <c r="FG154" s="6">
        <v>0</v>
      </c>
      <c r="FH154" s="6">
        <v>1171.2811379695618</v>
      </c>
      <c r="FI154" s="6">
        <v>1553.9796069512395</v>
      </c>
      <c r="FJ154" s="6">
        <v>2101.211011744741</v>
      </c>
      <c r="FK154" s="6">
        <v>2674.2006261592269</v>
      </c>
      <c r="FL154" s="6">
        <v>907.07682140966324</v>
      </c>
      <c r="FM154" s="6">
        <v>2373.8860716023401</v>
      </c>
      <c r="FN154" s="6">
        <v>0</v>
      </c>
      <c r="FO154" s="6">
        <v>0</v>
      </c>
      <c r="FP154" s="6">
        <v>0</v>
      </c>
      <c r="FQ154" s="6">
        <v>0</v>
      </c>
      <c r="FR154" s="6">
        <v>0</v>
      </c>
      <c r="FS154" s="6">
        <v>0</v>
      </c>
      <c r="FT154" s="7">
        <v>0.59218362800280611</v>
      </c>
      <c r="FU154" s="7">
        <v>8.0566343036640981E-2</v>
      </c>
      <c r="FV154" s="7">
        <v>0.32725002896055277</v>
      </c>
      <c r="FW154" s="6">
        <v>1270</v>
      </c>
      <c r="FX154" s="6">
        <v>2643.8860716023401</v>
      </c>
      <c r="FY154" s="6">
        <v>1725</v>
      </c>
      <c r="FZ154" s="6">
        <v>1952.7147957719815</v>
      </c>
      <c r="GA154" s="6">
        <v>1529.5877397150284</v>
      </c>
      <c r="GB154" s="6">
        <v>18455.412260284971</v>
      </c>
      <c r="GC154" s="7">
        <v>1.0519917368675835E-2</v>
      </c>
      <c r="GD154" s="7">
        <v>1.0137446957483573E-2</v>
      </c>
      <c r="GE154" s="7"/>
      <c r="GF154" s="7"/>
      <c r="GG154" s="7">
        <v>-3.6356788536296675E-2</v>
      </c>
      <c r="GH154" s="42">
        <v>1.7171920549559225</v>
      </c>
      <c r="GI154" s="6">
        <v>13167.773429150326</v>
      </c>
      <c r="GJ154" s="14">
        <v>0.50394797582841733</v>
      </c>
      <c r="GK154" s="14">
        <v>0.50887573065309744</v>
      </c>
      <c r="GL154" s="14">
        <v>0.49605202417158273</v>
      </c>
      <c r="GM154" s="14">
        <v>0.49112426934690245</v>
      </c>
      <c r="GO154" s="5">
        <v>343.14810671672558</v>
      </c>
      <c r="GP154" s="5">
        <v>318.91892952659737</v>
      </c>
      <c r="GQ154" s="5">
        <v>535.04305713031317</v>
      </c>
      <c r="GR154" s="5">
        <v>410.15490233172511</v>
      </c>
      <c r="GS154" s="5">
        <v>339.42744393800166</v>
      </c>
      <c r="GT154" s="5">
        <v>293.4407446948278</v>
      </c>
      <c r="GU154" s="5">
        <v>258.04012322764959</v>
      </c>
      <c r="GV154" s="39" t="s">
        <v>392</v>
      </c>
      <c r="GW154" s="5">
        <v>492.125</v>
      </c>
      <c r="GX154" s="5">
        <v>369.09375</v>
      </c>
      <c r="GY154" s="5">
        <v>295.27499999999998</v>
      </c>
      <c r="GZ154" s="5">
        <v>246.0625</v>
      </c>
      <c r="HA154" s="5">
        <v>241.34874471337258</v>
      </c>
      <c r="HB154" s="39">
        <v>263.55343506932473</v>
      </c>
      <c r="HC154" s="5">
        <v>211.81562499999998</v>
      </c>
      <c r="HD154" s="5">
        <v>188.29497441520465</v>
      </c>
      <c r="HE154" s="5">
        <v>193.13834767206475</v>
      </c>
      <c r="HF154" s="5">
        <v>181.01813048245612</v>
      </c>
      <c r="HG154" s="5">
        <v>177.56888157894736</v>
      </c>
      <c r="HH154" s="39">
        <v>188.91961000194752</v>
      </c>
      <c r="HI154" s="16"/>
      <c r="HJ154" s="19" t="str">
        <f t="shared" ref="HJ154" si="383">HJ153</f>
        <v>On</v>
      </c>
      <c r="HK154" s="1" t="str">
        <f t="shared" si="108"/>
        <v>On</v>
      </c>
      <c r="HL154" s="16"/>
      <c r="HM154" s="639">
        <f t="shared" si="266"/>
        <v>5.7455619280273196E-3</v>
      </c>
      <c r="HN154" s="639">
        <f t="shared" si="267"/>
        <v>5.0031960498701745E-4</v>
      </c>
      <c r="HO154" s="639">
        <f t="shared" si="268"/>
        <v>3.9819433988714835E-3</v>
      </c>
      <c r="HP154" s="644">
        <f>(FT154*$GD154-HM154)/$JF154*INDEX(Input!$1:$1048576,$JG$93,$C154*2+6)</f>
        <v>11.236016795277269</v>
      </c>
      <c r="HQ154" s="644">
        <f>(FU154*$GD154-HN154)/$JF154*INDEX(Input!$1:$1048576,$JG$93,$C154*2+6)</f>
        <v>13.797867297379394</v>
      </c>
      <c r="HR154" s="644">
        <f>(FV154*$GD154-HO154)/$JF154*INDEX(Input!$1:$1048576,$JG$93,$C154*2+6)</f>
        <v>-28.974954344821324</v>
      </c>
      <c r="HS154" s="644">
        <f t="shared" si="269"/>
        <v>-0.96321147630358117</v>
      </c>
      <c r="HT154" s="644">
        <f t="shared" si="270"/>
        <v>14.706164389320673</v>
      </c>
      <c r="HU154" s="644">
        <f t="shared" si="271"/>
        <v>-3.9012372572651159</v>
      </c>
      <c r="HV154" s="648">
        <f t="shared" si="272"/>
        <v>0</v>
      </c>
      <c r="HW154" s="648">
        <f t="shared" si="273"/>
        <v>0</v>
      </c>
      <c r="HX154" s="648">
        <f t="shared" si="274"/>
        <v>0</v>
      </c>
      <c r="HY154" s="644">
        <f>INDEX(Input!$1:$1048576,HY$93,$C154*2+6)*INDEX(Input!$1:$1048576,$JG$93,$C154*2+6)</f>
        <v>110.00000000000001</v>
      </c>
      <c r="HZ154" s="644">
        <f>INDEX(Input!$1:$1048576,HZ$93,$C154*2+6)*INDEX(Input!$1:$1048576,$JG$93,$C154*2+6)</f>
        <v>157</v>
      </c>
      <c r="IA154" s="644">
        <f>INDEX(Input!$1:$1048576,IA$93,$C154*2+6)*INDEX(Input!$1:$1048576,$JG$93,$C154*2+6)</f>
        <v>179</v>
      </c>
      <c r="IB154" s="644">
        <f t="shared" si="249"/>
        <v>120.2728053189737</v>
      </c>
      <c r="IC154" s="644">
        <f t="shared" si="172"/>
        <v>185.50403168670005</v>
      </c>
      <c r="ID154" s="644">
        <f>IF(AND(INDEX(Input!$1:$1048576,IA$93,$C154*2+7)="TOS",Y154&lt;=INDEX(Y:Y,MATCH(C154*1000+2,A:A))),0,1)*MAX(IA154+HR154+HU154+HX154,0%)</f>
        <v>146.12380839791356</v>
      </c>
      <c r="IE154" s="128">
        <f t="shared" si="275"/>
        <v>0.26614877969815559</v>
      </c>
      <c r="IF154" s="128">
        <f t="shared" si="174"/>
        <v>0.41049738161145688</v>
      </c>
      <c r="IG154" s="128">
        <f t="shared" si="175"/>
        <v>0.32335383869038747</v>
      </c>
      <c r="IH154" s="21"/>
      <c r="II154" s="19">
        <f t="shared" si="276"/>
        <v>1240</v>
      </c>
      <c r="IJ154" s="19">
        <f t="shared" si="277"/>
        <v>2009.7221397149679</v>
      </c>
      <c r="IK154" s="19">
        <f t="shared" si="278"/>
        <v>2070</v>
      </c>
      <c r="IL154" s="19">
        <f t="shared" si="176"/>
        <v>30</v>
      </c>
      <c r="IM154" s="19">
        <f t="shared" si="177"/>
        <v>634.1639318873722</v>
      </c>
      <c r="IN154" s="19">
        <f t="shared" si="178"/>
        <v>-345</v>
      </c>
      <c r="IO154" s="39">
        <f t="shared" si="279"/>
        <v>0</v>
      </c>
      <c r="IP154" s="39">
        <f t="shared" si="280"/>
        <v>0</v>
      </c>
      <c r="IQ154" s="39">
        <f t="shared" si="281"/>
        <v>0</v>
      </c>
      <c r="IR154" s="39">
        <v>0</v>
      </c>
      <c r="IS154" s="39">
        <v>0</v>
      </c>
      <c r="IT154" s="39">
        <v>0</v>
      </c>
      <c r="IU154" s="39">
        <v>0</v>
      </c>
      <c r="IV154" s="39">
        <v>0</v>
      </c>
      <c r="IW154" s="39">
        <v>0</v>
      </c>
      <c r="IX154" s="39">
        <f>INDEX(Input!$1:$1048576,IX$93,$C154*2+6)+INDEX(Input!$1:$1048576,IX$94,$C154*2+6)</f>
        <v>1270</v>
      </c>
      <c r="IY154" s="39">
        <f>INDEX(Input!$1:$1048576,IY$93,$C154*2+6)+INDEX(Input!$1:$1048576,IY$94,$C154*2+6)</f>
        <v>2130.0624533823611</v>
      </c>
      <c r="IZ154" s="39">
        <f>INDEX(Input!$1:$1048576,IZ$93,$C154*2+6)+INDEX(Input!$1:$1048576,IZ$94,$C154*2+6)</f>
        <v>4373.7164157747848</v>
      </c>
      <c r="JA154" s="19">
        <f t="shared" si="179"/>
        <v>1300</v>
      </c>
      <c r="JB154" s="19">
        <f t="shared" si="180"/>
        <v>2764.2263852697333</v>
      </c>
      <c r="JC154" s="19">
        <f t="shared" si="181"/>
        <v>4028.7164157747848</v>
      </c>
      <c r="JD154" s="19">
        <f t="shared" si="182"/>
        <v>2783.402024977886</v>
      </c>
      <c r="JE154" s="21"/>
      <c r="JF154" s="1">
        <f t="shared" si="282"/>
        <v>1.022782493188582E-2</v>
      </c>
      <c r="JG154" s="15">
        <f>INDEX(Input!$1:$1048576,JG$93,$C154*2+6)/(1+VLOOKUP(C154*1000+INDEX(Input!$1:$1048576,JG$93+1,$C154*2+6),$A:$KK,$JK$92,FALSE))</f>
        <v>446</v>
      </c>
      <c r="JH154" s="1">
        <f t="shared" si="251"/>
        <v>-8.8364803860194185E-3</v>
      </c>
      <c r="JI154" s="1">
        <f t="shared" si="252"/>
        <v>2.2066627030834028E-2</v>
      </c>
      <c r="JJ154" s="1">
        <f t="shared" si="253"/>
        <v>0</v>
      </c>
      <c r="JK154" s="1">
        <f t="shared" si="254"/>
        <v>1.323014664481461E-2</v>
      </c>
      <c r="JL154" s="15">
        <f t="shared" si="184"/>
        <v>5.9006454035873155</v>
      </c>
      <c r="JM154" s="15">
        <f t="shared" si="185"/>
        <v>451.9006454035873</v>
      </c>
      <c r="JN154" s="21"/>
      <c r="JO154" s="19">
        <f>INDEX(Input!$1:$1048576,JO$93,$C154*2+6)</f>
        <v>5995.5</v>
      </c>
      <c r="JP154" s="19">
        <f>INDEX(Input!$1:$1048576,JP$93,$C154*2+6)</f>
        <v>2818.4193802796353</v>
      </c>
      <c r="JQ154" s="39">
        <f t="shared" si="186"/>
        <v>3212.097975022114</v>
      </c>
      <c r="JR154" s="39">
        <f t="shared" si="187"/>
        <v>-35.017355301749376</v>
      </c>
      <c r="JS154" s="39">
        <f t="shared" si="188"/>
        <v>1.2578211715051586</v>
      </c>
      <c r="JT154" s="39">
        <f t="shared" si="189"/>
        <v>8.0612790044117715E-4</v>
      </c>
      <c r="JU154" s="385">
        <f>(JQ154*JM154-INDEX(Input!$1:$1048576,Input!A$18,$C154*2+6)*JL154*INDEX(Input!$1:$1048576,Input!A$19,$C154*2+6))/1000000</f>
        <v>1.4515491480120493</v>
      </c>
      <c r="JV154" s="39">
        <f t="shared" si="192"/>
        <v>3.4571191616766583E-2</v>
      </c>
      <c r="JW154" s="1">
        <f t="shared" si="190"/>
        <v>2.4397833050779333E-2</v>
      </c>
      <c r="JX154" s="19">
        <f t="shared" si="191"/>
        <v>136.61690294947891</v>
      </c>
      <c r="JZ154" s="341"/>
      <c r="KA154" s="342"/>
      <c r="KB154" s="469">
        <f t="shared" si="110"/>
        <v>2.9286733661474216</v>
      </c>
      <c r="KI154" s="473">
        <f t="shared" si="283"/>
        <v>10.272805318973667</v>
      </c>
      <c r="KJ154" s="473">
        <f t="shared" si="284"/>
        <v>28.504031686700046</v>
      </c>
      <c r="KK154" s="473">
        <f t="shared" si="257"/>
        <v>-32.876191602086436</v>
      </c>
      <c r="KN154" s="544">
        <f t="shared" si="258"/>
        <v>1002</v>
      </c>
      <c r="KO154" s="541">
        <f t="shared" si="285"/>
        <v>9.07689209759166E-3</v>
      </c>
      <c r="KP154" s="546">
        <f t="shared" si="286"/>
        <v>131.60033017530941</v>
      </c>
      <c r="KQ154" s="546">
        <f t="shared" si="287"/>
        <v>-55.914175040765713</v>
      </c>
      <c r="KR154" s="548">
        <f t="shared" si="288"/>
        <v>1.1825921833519453</v>
      </c>
      <c r="KS154" s="548">
        <f t="shared" si="289"/>
        <v>-2.7833643557897476</v>
      </c>
      <c r="KT154" s="473">
        <f t="shared" si="112"/>
        <v>238.28695973331548</v>
      </c>
      <c r="KU154" s="663">
        <f t="shared" si="290"/>
        <v>6.4366612619360382</v>
      </c>
      <c r="KV154" s="117"/>
    </row>
    <row r="155" spans="1:308" s="26" customFormat="1" ht="15" outlineLevel="1">
      <c r="A155" s="561">
        <f t="shared" si="168"/>
        <v>1055</v>
      </c>
      <c r="B155" s="561">
        <f t="shared" si="104"/>
        <v>55</v>
      </c>
      <c r="C155" s="561">
        <f t="shared" si="105"/>
        <v>1</v>
      </c>
      <c r="D155" s="561" t="str">
        <f t="shared" si="294"/>
        <v xml:space="preserve">500 CC, 500 Combo, 360 Lease, </v>
      </c>
      <c r="E155" s="475">
        <f>INDEX(Input!$1:$1048576,E$93,$C155*2+MIN($B155,2)+5)
+INDEX(Scenarios!E$121:E$200,MATCH($B155,Scenarios!$B$121:$B$200,0))</f>
        <v>1729</v>
      </c>
      <c r="F155" s="475">
        <f>INDEX(Input!$1:$1048576,F$93,$C155*2+MIN($B155,2)+5)
+INDEX(Scenarios!F$121:F$200,MATCH($B155,Scenarios!$B$121:$B$200,0))</f>
        <v>0</v>
      </c>
      <c r="G155" s="475">
        <f>INDEX(Input!$1:$1048576,G$93,$C155*2+MIN($B155,2)+5)
+INDEX(Scenarios!G$121:G$200,MATCH($B155,Scenarios!$B$121:$B$200,0))</f>
        <v>0</v>
      </c>
      <c r="H155" s="475">
        <f>INDEX(Input!$1:$1048576,H$93,$C155*2+MIN($B155,2)+5)
+INDEX(Scenarios!H$121:H$200,MATCH($B155,Scenarios!$B$121:$B$200,0))</f>
        <v>0</v>
      </c>
      <c r="I155" s="476">
        <f>INDEX(Input!$1:$1048576,I$93,$C155*2+MIN($B155,2)+5)</f>
        <v>0.7</v>
      </c>
      <c r="J155" s="476" t="str">
        <f>INDEX(Input!$1:$1048576,J$93,$C155*2+MIN($B155,2)+5)</f>
        <v>Market</v>
      </c>
      <c r="K155" s="476" t="str">
        <f>INDEX(Input!$1:$1048576,K$93,$C155*2+MIN($B155,2)+5)</f>
        <v>Market</v>
      </c>
      <c r="L155" s="476" t="str">
        <f>INDEX(Input!$1:$1048576,L$93,$C155*2+MIN($B155,2)+5)</f>
        <v>Market</v>
      </c>
      <c r="M155" s="476" t="str">
        <f>INDEX(Input!$1:$1048576,M$93,$C155*2+MIN($B155,2)+5)</f>
        <v>Market</v>
      </c>
      <c r="N155" s="476" t="str">
        <f>INDEX(Input!$1:$1048576,N$93,$C155*2+MIN($B155,2)+5)</f>
        <v>Market</v>
      </c>
      <c r="O155" s="476" t="str">
        <f>INDEX(Input!$1:$1048576,O$93,$C155*2+MIN($B155,2)+5)</f>
        <v>Market</v>
      </c>
      <c r="P155" s="476" t="str">
        <f>INDEX(Input!$1:$1048576,P$93,$C155*2+MIN($B155,2)+5)</f>
        <v>N</v>
      </c>
      <c r="Q155" s="477">
        <f>INDEX(Input!$1:$1048576,Q$93,$C155*2+MIN($B155,2)+5)
+INDEX(Scenarios!Q$121:Q$200,MATCH($B155,Scenarios!$B$121:$B$200,0))</f>
        <v>500</v>
      </c>
      <c r="R155" s="478">
        <f>IFERROR(MAX(0,INDEX(Input!$1:$1048576,R$93,$C155*2+MIN($B155,2)+5)
+INDEX(Scenarios!R$121:R$200,MATCH($B155,Scenarios!$B$121:$B$200,0)),),"Market")</f>
        <v>0</v>
      </c>
      <c r="S155" s="478">
        <f>IFERROR(MAX(0,INDEX(Input!$1:$1048576,S$93,$C155*2+MIN($B155,2)+5)
+INDEX(Scenarios!S$121:S$200,MATCH($B155,Scenarios!$B$121:$B$200,0)),),"Market")</f>
        <v>0</v>
      </c>
      <c r="T155" s="478">
        <f>IFERROR(MAX(0,INDEX(Input!$1:$1048576,T$93,$C155*2+MIN($B155,2)+5)
+INDEX(Scenarios!T$121:T$200,MATCH($B155,Scenarios!$B$121:$B$200,0)),),"Market")</f>
        <v>0</v>
      </c>
      <c r="U155" s="478">
        <f>IFERROR(MAX(0,INDEX(Input!$1:$1048576,U$93,$C155*2+MIN($B155,2)+5)
+INDEX(Scenarios!U$121:U$200,MATCH($B155,Scenarios!$B$121:$B$200,0)),),"Market")</f>
        <v>0</v>
      </c>
      <c r="V155" s="478">
        <f>IFERROR(MAX(0,INDEX(Input!$1:$1048576,V$93,$C155*2+MIN($B155,2)+5)
+INDEX(Scenarios!V$121:V$200,MATCH($B155,Scenarios!$B$121:$B$200,0)),),"Market")</f>
        <v>1.9E-2</v>
      </c>
      <c r="W155" s="885">
        <f>IFERROR(MAX(0,INDEX(Input!$1:$1048576,W$93,$C155*2+MIN($B155,2)+5)-0%,),"Market")</f>
        <v>3.9E-2</v>
      </c>
      <c r="X155" s="476" t="str">
        <f>INDEX(Input!$1:$1048576,X$93,$C155*2+MIN($B155,2)+5)</f>
        <v>Y</v>
      </c>
      <c r="Y155" s="475">
        <f>INDEX(Input!$1:$1048576,Y$93,$C155*2+MIN($B155,2)+5)
++INDEX(Scenarios!Y$121:Y$200,MATCH($B155,Scenarios!$B$121:$B$200,0))</f>
        <v>2302</v>
      </c>
      <c r="Z155" s="477">
        <f>INDEX(Input!$1:$1048576,Z$93,$C155*2+MIN($B155,2)+5)
+INDEX(Scenarios!Z$121:Z$200,MATCH($B155,Scenarios!$B$121:$B$200,0))</f>
        <v>0</v>
      </c>
      <c r="AA155" s="475">
        <f>INDEX(Input!$1:$1048576,AA$93,$C155*2+MIN($B155,2)+5)
+INDEX(Scenarios!AA$121:AA$200,MATCH($B155,Scenarios!$B$121:$B$200,0))</f>
        <v>0</v>
      </c>
      <c r="AB155" s="476">
        <f>INDEX(Input!$1:$1048576,AB$93,$C155*2+MIN($B155,2)+5)</f>
        <v>0.27</v>
      </c>
      <c r="AC155" s="475">
        <f>INDEX(Input!$1:$1048576,AC$93,$C155*2+MIN($B155,2)+5)
+INDEX(Scenarios!AC$121:AC$200,MATCH($B155,Scenarios!$B$121:$B$200,0))</f>
        <v>0</v>
      </c>
      <c r="AD155" s="476">
        <f>INDEX(Input!$1:$1048576,AD$93,$C155*2+MIN($B155,2)+5)</f>
        <v>0.27</v>
      </c>
      <c r="AE155" s="475">
        <f>INDEX(Input!$1:$1048576,AE$93,$C155*2+MIN($B155,2)+5)
+INDEX(Scenarios!AE$121:AE$200,MATCH($B155,Scenarios!$B$121:$B$200,0))</f>
        <v>0</v>
      </c>
      <c r="AF155" s="476">
        <f>INDEX(Input!$1:$1048576,AF$93,$C155*2+MIN($B155,2)+5)</f>
        <v>0.38</v>
      </c>
      <c r="AG155" s="475">
        <f>INDEX(Input!$1:$1048576,AG$93,$C155*2+MIN($B155,2)+5)
+INDEX(Scenarios!AG$121:AG$200,MATCH($B155,Scenarios!$B$121:$B$200,0))</f>
        <v>0</v>
      </c>
      <c r="AH155" s="476">
        <f>INDEX(Input!$1:$1048576,AH$93,$C155*2+MIN($B155,2)+5)</f>
        <v>0</v>
      </c>
      <c r="AI155" s="475">
        <f>INDEX(Input!$1:$1048576,AI$93,$C155*2+MIN($B155,2)+5)
+INDEX(Scenarios!AI$121:AI$200,MATCH($B155,Scenarios!$B$121:$B$200,0))</f>
        <v>0</v>
      </c>
      <c r="AJ155" s="476">
        <f>INDEX(Input!$1:$1048576,AJ$93,$C155*2+MIN($B155,2)+5)</f>
        <v>0.27</v>
      </c>
      <c r="AK155" s="150">
        <f>ROUND(INDEX(Input!$1:$1048576,AK$93,$C154*2+MIN($B155,1)+5)+(Y155-VLOOKUP($C155*1000+1,$A:$HH,Y$92,FALSE)),0)</f>
        <v>4117</v>
      </c>
      <c r="AL155" s="150">
        <f>ROUND(INDEX(Input!$1:$1048576,AL$93,$C154*2+MIN($B155,1)+5)-(Y155-VLOOKUP($C155*1000+1,$A:$HH,Y$92,FALSE))/36,0)</f>
        <v>4103</v>
      </c>
      <c r="AM155" s="32" t="str">
        <f t="shared" si="169"/>
        <v>std/std/std/std</v>
      </c>
      <c r="AN155" s="32" t="str">
        <f t="shared" si="170"/>
        <v>$500 + 0/0/0/1.9/3.9</v>
      </c>
      <c r="AO155" s="32" t="str">
        <f t="shared" si="171"/>
        <v>0/0/0/1.9/3.9</v>
      </c>
      <c r="AP155" s="32" t="str">
        <f t="shared" si="73"/>
        <v>0/0.9/1.9/3.9</v>
      </c>
      <c r="AQ155" s="536">
        <f t="shared" si="39"/>
        <v>0.25214440056128251</v>
      </c>
      <c r="AR155" s="32"/>
      <c r="AS155" s="302"/>
      <c r="AT155" s="3">
        <f t="shared" si="106"/>
        <v>55</v>
      </c>
      <c r="AU155" s="41" t="s">
        <v>121</v>
      </c>
      <c r="AV155" s="41" t="s">
        <v>116</v>
      </c>
      <c r="AW155" s="41" t="str">
        <f>INDEX(Input!$1:$1048576,AW$93,$C155*2+6)</f>
        <v>Kia</v>
      </c>
      <c r="AX155" s="41" t="str">
        <f>INDEX(Input!$1:$1048576,AX$93,$C155*2+6)</f>
        <v>Kia-LR - L1</v>
      </c>
      <c r="AY155" s="41" t="str">
        <f>IF(LEN(D155)=0,"",INDEX(Input!$1:$1048576,AY$93,$C155*2+6))</f>
        <v>Compact SUV (52)</v>
      </c>
      <c r="AZ155" s="41" t="str">
        <f>INDEX(Input!$1:$1048576,AZ$93,$C155*2+6)</f>
        <v>Kia Soul</v>
      </c>
      <c r="BA155" s="3">
        <f>INDEX(Input!$1:$1048576,BA$93,$C155*2+6)</f>
        <v>2020</v>
      </c>
      <c r="BB155" s="128">
        <f>INDEX(Input!$1:$1048576,BB$93,$C155*2+6)</f>
        <v>1</v>
      </c>
      <c r="BC155" s="128">
        <f>INDEX(Input!$1:$1048576,BC$93,$C155*2+6)</f>
        <v>0.7</v>
      </c>
      <c r="BD155" s="1">
        <f>INDEX(Input!$1:$1048576,BD$93,$C155*2+6)</f>
        <v>4.4999999999999998E-2</v>
      </c>
      <c r="BE155" s="1">
        <f>INDEX(Input!$1:$1048576,BE$93,$C155*2+6)</f>
        <v>4.4999999999999998E-2</v>
      </c>
      <c r="BF155" s="1">
        <f>INDEX(Input!$1:$1048576,BF$93,$C155*2+6)</f>
        <v>0.05</v>
      </c>
      <c r="BG155" s="1">
        <f>INDEX(Input!$1:$1048576,BG$93,$C155*2+6)</f>
        <v>5.45E-2</v>
      </c>
      <c r="BH155" s="1">
        <f>INDEX(Input!$1:$1048576,BH$93,$C155*2+6)</f>
        <v>5.45E-2</v>
      </c>
      <c r="BI155" s="1">
        <f>INDEX(Input!$1:$1048576,BI$93,$C155*2+6)</f>
        <v>0.05</v>
      </c>
      <c r="BJ155" s="1">
        <f>INDEX(Input!$1:$1048576,BJ$93,$C155*2+6)</f>
        <v>0.05</v>
      </c>
      <c r="BK155" s="1">
        <f>INDEX(Input!$1:$1048576,BK$93,$C155*2+6)</f>
        <v>0.05</v>
      </c>
      <c r="BL155" s="1">
        <f>INDEX(Input!$1:$1048576,BL$93,$C155*2+6)</f>
        <v>5.5E-2</v>
      </c>
      <c r="BM155" s="1">
        <f>INDEX(Input!$1:$1048576,BM$93,$C155*2+6)</f>
        <v>0.06</v>
      </c>
      <c r="BN155" s="1">
        <f>INDEX(Input!$1:$1048576,BN$93,$C155*2+6)</f>
        <v>4.4999999999999998E-2</v>
      </c>
      <c r="BO155" s="1">
        <f>INDEX(Input!$1:$1048576,BO$93,$C155*2+6)</f>
        <v>4.4999999999999998E-2</v>
      </c>
      <c r="BP155" s="1">
        <f>INDEX(Input!$1:$1048576,BP$93,$C155*2+6)</f>
        <v>0.05</v>
      </c>
      <c r="BQ155" s="1">
        <f>INDEX(Input!$1:$1048576,BQ$93,$C155*2+6)</f>
        <v>5.45E-2</v>
      </c>
      <c r="BR155" s="1">
        <f>INDEX(Input!$1:$1048576,BR$93,$C155*2+6)</f>
        <v>5.45E-2</v>
      </c>
      <c r="BS155" s="1">
        <f>INDEX(Input!$1:$1048576,BS$93,$C155*2+6)</f>
        <v>0.05</v>
      </c>
      <c r="BT155" s="1">
        <f>INDEX(Input!$1:$1048576,BT$93,$C155*2+6)</f>
        <v>0.05</v>
      </c>
      <c r="BU155" s="1">
        <f>INDEX(Input!$1:$1048576,BU$93,$C155*2+6)</f>
        <v>0.05</v>
      </c>
      <c r="BV155" s="1">
        <f>INDEX(Input!$1:$1048576,BV$93,$C155*2+6)</f>
        <v>5.5E-2</v>
      </c>
      <c r="BW155" s="1">
        <f>INDEX(Input!$1:$1048576,BW$93,$C155*2+6)</f>
        <v>0.06</v>
      </c>
      <c r="BX155" s="127">
        <f>INDEX(Input!$1:$1048576,BX$93,$C155*2+6)</f>
        <v>19985</v>
      </c>
      <c r="BY155" s="20">
        <f>INDEX(Input!$1:$1048576,BY$93,$C155*2+6)</f>
        <v>0.1</v>
      </c>
      <c r="BZ155" s="20">
        <f>INDEX(Input!$1:$1048576,BZ$93,$C155*2+6)</f>
        <v>0.1</v>
      </c>
      <c r="CA155" s="20">
        <f>INDEX(Input!$1:$1048576,CA$93,$C155*2+6)</f>
        <v>0.1</v>
      </c>
      <c r="CB155" s="20">
        <f>INDEX(Input!$1:$1048576,CB$93,$C155*2+6)</f>
        <v>0.1</v>
      </c>
      <c r="CC155" s="20">
        <f>INDEX(Input!$1:$1048576,CC$93,$C155*2+6)</f>
        <v>0.1</v>
      </c>
      <c r="CD155" s="384">
        <f>INDEX(Input!$1:$1048576,CD$93,$C155*2+6)</f>
        <v>0.1</v>
      </c>
      <c r="CE155" s="384">
        <f>INDEX(Input!$1:$1048576,CE$93,$C155*2+6)</f>
        <v>0.1</v>
      </c>
      <c r="CF155" s="384">
        <f>INDEX(Input!$1:$1048576,CF$93,$C155*2+6)</f>
        <v>0.1</v>
      </c>
      <c r="CG155" s="384">
        <f>INDEX(Input!$1:$1048576,CG$93,$C155*2+6)</f>
        <v>0.1</v>
      </c>
      <c r="CH155" s="384">
        <f>INDEX(Input!$1:$1048576,CH$93,$C155*2+6)</f>
        <v>0.1</v>
      </c>
      <c r="CI155" s="304">
        <f t="shared" si="74"/>
        <v>1729</v>
      </c>
      <c r="CJ155" s="16" t="str">
        <f>INDEX(Input!$1:$1048576,CJ$93,$C155*2+6)</f>
        <v>N</v>
      </c>
      <c r="CK155" s="1" t="str">
        <f t="shared" si="75"/>
        <v>Market</v>
      </c>
      <c r="CL155" s="1" t="str">
        <f t="shared" si="76"/>
        <v>Market</v>
      </c>
      <c r="CM155" s="1" t="str">
        <f t="shared" si="77"/>
        <v>Market</v>
      </c>
      <c r="CN155" s="1" t="str">
        <f t="shared" si="78"/>
        <v>Market</v>
      </c>
      <c r="CO155" s="1" t="str">
        <f t="shared" si="79"/>
        <v>Market</v>
      </c>
      <c r="CP155" s="304">
        <f t="shared" si="80"/>
        <v>500</v>
      </c>
      <c r="CQ155" s="1">
        <f t="shared" si="81"/>
        <v>0</v>
      </c>
      <c r="CR155" s="1">
        <f t="shared" si="82"/>
        <v>0</v>
      </c>
      <c r="CS155" s="1">
        <f t="shared" si="83"/>
        <v>0</v>
      </c>
      <c r="CT155" s="1">
        <f t="shared" si="84"/>
        <v>1.9E-2</v>
      </c>
      <c r="CU155" s="1">
        <f t="shared" si="85"/>
        <v>3.9E-2</v>
      </c>
      <c r="CV155" s="304">
        <f t="shared" si="86"/>
        <v>2302</v>
      </c>
      <c r="CW155" s="20" t="s">
        <v>122</v>
      </c>
      <c r="CX155" s="20" t="s">
        <v>122</v>
      </c>
      <c r="CY155" s="20" t="s">
        <v>122</v>
      </c>
      <c r="CZ155" s="20" t="s">
        <v>122</v>
      </c>
      <c r="DA155" s="20" t="s">
        <v>122</v>
      </c>
      <c r="DB155" s="503">
        <f t="shared" si="87"/>
        <v>0</v>
      </c>
      <c r="DC155" s="127">
        <v>0</v>
      </c>
      <c r="DD155" s="127">
        <v>0</v>
      </c>
      <c r="DE155" s="127">
        <v>0</v>
      </c>
      <c r="DF155" s="127">
        <v>0</v>
      </c>
      <c r="DG155" s="127">
        <v>0</v>
      </c>
      <c r="DH155" s="127">
        <v>0</v>
      </c>
      <c r="DI155" s="127">
        <v>0</v>
      </c>
      <c r="DJ155" s="127">
        <v>0</v>
      </c>
      <c r="DK155" s="127">
        <v>0</v>
      </c>
      <c r="DL155" s="127">
        <v>0</v>
      </c>
      <c r="DM155" s="304">
        <f>INDEX(Input!$1:$1048576,DM$93,$C155*2+6)</f>
        <v>21036.84210526316</v>
      </c>
      <c r="DN155" s="20">
        <v>0</v>
      </c>
      <c r="DO155" s="20">
        <v>0</v>
      </c>
      <c r="DP155" s="20">
        <v>0</v>
      </c>
      <c r="DQ155" s="20">
        <v>0</v>
      </c>
      <c r="DR155" s="20">
        <v>0</v>
      </c>
      <c r="DS155" s="20">
        <f>INDEX(Input!$1:$1048576,DS$93,$C155*2+6)</f>
        <v>0.6</v>
      </c>
      <c r="DT155" s="20">
        <f>INDEX(Input!$1:$1048576,DT$93,$C155*2+6)</f>
        <v>0.55000000000000004</v>
      </c>
      <c r="DU155" s="20">
        <f>INDEX(Input!$1:$1048576,DU$93,$C155*2+6)</f>
        <v>0.52</v>
      </c>
      <c r="DV155" s="20">
        <f>INDEX(Input!$1:$1048576,DV$93,$C155*2+6)</f>
        <v>0.5</v>
      </c>
      <c r="DW155" s="20">
        <f>INDEX(Input!$1:$1048576,DW$93,$C155*2+6)</f>
        <v>0.45</v>
      </c>
      <c r="DX155" s="20"/>
      <c r="DY155" s="7">
        <v>0.10407094754257583</v>
      </c>
      <c r="DZ155" s="7">
        <v>0</v>
      </c>
      <c r="EA155" s="7">
        <v>0.46828705723579217</v>
      </c>
      <c r="EB155" s="7">
        <v>0</v>
      </c>
      <c r="EC155" s="7">
        <v>0</v>
      </c>
      <c r="ED155" s="7">
        <v>0</v>
      </c>
      <c r="EE155" s="7">
        <v>0</v>
      </c>
      <c r="EF155" s="7">
        <v>0</v>
      </c>
      <c r="EG155" s="7">
        <v>0</v>
      </c>
      <c r="EH155" s="7">
        <v>1.8402200445098656E-2</v>
      </c>
      <c r="EI155" s="7">
        <v>5.3739557110571899E-2</v>
      </c>
      <c r="EJ155" s="7">
        <v>0.33946684904131991</v>
      </c>
      <c r="EK155" s="7">
        <v>0.48247712639938078</v>
      </c>
      <c r="EL155" s="7">
        <v>0.10591426700362869</v>
      </c>
      <c r="EM155" s="7">
        <v>4.928044632621708E-2</v>
      </c>
      <c r="EN155" s="7">
        <v>5.2416424716025839E-2</v>
      </c>
      <c r="EO155" s="7">
        <v>0.78015670673154824</v>
      </c>
      <c r="EP155" s="7">
        <v>7.3001757795592481E-2</v>
      </c>
      <c r="EQ155" s="7">
        <v>5.5504556706157629E-2</v>
      </c>
      <c r="ER155" s="7">
        <v>3.8920554050675744E-2</v>
      </c>
      <c r="ES155" s="7">
        <v>0.37836154889541501</v>
      </c>
      <c r="ET155" s="7">
        <v>0.42764199522163199</v>
      </c>
      <c r="EU155" s="6">
        <v>1770</v>
      </c>
      <c r="EV155" s="6">
        <v>0</v>
      </c>
      <c r="EW155" s="6">
        <v>1770</v>
      </c>
      <c r="EX155" s="6">
        <v>0</v>
      </c>
      <c r="EY155" s="6">
        <v>2539.7221397149679</v>
      </c>
      <c r="EZ155" s="6">
        <v>2445</v>
      </c>
      <c r="FA155" s="6">
        <v>0</v>
      </c>
      <c r="FB155" s="6">
        <v>0</v>
      </c>
      <c r="FC155" s="6">
        <v>0</v>
      </c>
      <c r="FD155" s="6">
        <v>0</v>
      </c>
      <c r="FE155" s="6">
        <v>0</v>
      </c>
      <c r="FF155" s="6">
        <v>0</v>
      </c>
      <c r="FG155" s="6">
        <v>0</v>
      </c>
      <c r="FH155" s="6">
        <v>1171.2811379695615</v>
      </c>
      <c r="FI155" s="6">
        <v>1553.9796069512399</v>
      </c>
      <c r="FJ155" s="6">
        <v>2101.2110117447405</v>
      </c>
      <c r="FK155" s="6">
        <v>1772.7139978623231</v>
      </c>
      <c r="FL155" s="6">
        <v>907.07682140966335</v>
      </c>
      <c r="FM155" s="6">
        <v>1769.7221397149679</v>
      </c>
      <c r="FN155" s="6">
        <v>0</v>
      </c>
      <c r="FO155" s="6">
        <v>0</v>
      </c>
      <c r="FP155" s="6">
        <v>0</v>
      </c>
      <c r="FQ155" s="6">
        <v>0</v>
      </c>
      <c r="FR155" s="6">
        <v>0</v>
      </c>
      <c r="FS155" s="6">
        <v>0</v>
      </c>
      <c r="FT155" s="7">
        <v>0.57235800477836796</v>
      </c>
      <c r="FU155" s="7">
        <v>4.928044632621708E-2</v>
      </c>
      <c r="FV155" s="7">
        <v>0.37836154889541501</v>
      </c>
      <c r="FW155" s="6">
        <v>1770.0000000000002</v>
      </c>
      <c r="FX155" s="6">
        <v>2539.7221397149679</v>
      </c>
      <c r="FY155" s="6">
        <v>2445</v>
      </c>
      <c r="FZ155" s="6">
        <v>1952.7147957719815</v>
      </c>
      <c r="GA155" s="6">
        <v>2063.3262960967299</v>
      </c>
      <c r="GB155" s="6">
        <v>17921.673703903271</v>
      </c>
      <c r="GC155" s="7">
        <v>1.0519917368675835E-2</v>
      </c>
      <c r="GD155" s="7">
        <v>1.0917688557619196E-2</v>
      </c>
      <c r="GE155" s="7"/>
      <c r="GF155" s="7"/>
      <c r="GG155" s="7">
        <v>3.7811246514898166E-2</v>
      </c>
      <c r="GH155" s="42">
        <v>6.8316382960331952</v>
      </c>
      <c r="GI155" s="6">
        <v>4988.6860903358784</v>
      </c>
      <c r="GJ155" s="14">
        <v>0.50394797582841733</v>
      </c>
      <c r="GK155" s="14">
        <v>0.50887573065309755</v>
      </c>
      <c r="GL155" s="14">
        <v>0.49605202417158278</v>
      </c>
      <c r="GM155" s="14">
        <v>0.49112426934690245</v>
      </c>
      <c r="GO155" s="5">
        <v>343.14810671672558</v>
      </c>
      <c r="GP155" s="5">
        <v>309.37988338875158</v>
      </c>
      <c r="GQ155" s="5">
        <v>535.04305713031317</v>
      </c>
      <c r="GR155" s="5">
        <v>410.15490233172511</v>
      </c>
      <c r="GS155" s="5">
        <v>339.42744393800166</v>
      </c>
      <c r="GT155" s="5">
        <v>293.4407446948278</v>
      </c>
      <c r="GU155" s="5">
        <v>258.04012322764959</v>
      </c>
      <c r="GV155" s="39" t="s">
        <v>392</v>
      </c>
      <c r="GW155" s="5">
        <v>478.23611111111109</v>
      </c>
      <c r="GX155" s="5">
        <v>358.67708333333331</v>
      </c>
      <c r="GY155" s="5">
        <v>286.94166666666666</v>
      </c>
      <c r="GZ155" s="5">
        <v>253.19574071601335</v>
      </c>
      <c r="HA155" s="5">
        <v>234.53733318419435</v>
      </c>
      <c r="HB155" s="39">
        <v>272.48493094920889</v>
      </c>
      <c r="HC155" s="5">
        <v>180.31562499999998</v>
      </c>
      <c r="HD155" s="5">
        <v>166.79497441520465</v>
      </c>
      <c r="HE155" s="5">
        <v>173.1768092105263</v>
      </c>
      <c r="HF155" s="5">
        <v>164.36813048245611</v>
      </c>
      <c r="HG155" s="5">
        <v>163.76888157894734</v>
      </c>
      <c r="HH155" s="39">
        <v>167.71708563023566</v>
      </c>
      <c r="HI155" s="16"/>
      <c r="HJ155" s="19" t="str">
        <f t="shared" ref="HJ155" si="384">HJ154</f>
        <v>On</v>
      </c>
      <c r="HK155" s="1" t="str">
        <f t="shared" si="108"/>
        <v>On</v>
      </c>
      <c r="HL155" s="16"/>
      <c r="HM155" s="639">
        <f t="shared" si="266"/>
        <v>5.7455619280273196E-3</v>
      </c>
      <c r="HN155" s="639">
        <f t="shared" si="267"/>
        <v>5.0031960498701745E-4</v>
      </c>
      <c r="HO155" s="639">
        <f t="shared" si="268"/>
        <v>3.9819433988714835E-3</v>
      </c>
      <c r="HP155" s="644">
        <f>(FT155*$GD155-HM155)/$JF155*INDEX(Input!$1:$1048576,$JG$93,$C155*2+6)</f>
        <v>21.94562125083727</v>
      </c>
      <c r="HQ155" s="644">
        <f>(FU155*$GD155-HN155)/$JF155*INDEX(Input!$1:$1048576,$JG$93,$C155*2+6)</f>
        <v>1.644357061688289</v>
      </c>
      <c r="HR155" s="644">
        <f>(FV155*$GD155-HO155)/$JF155*INDEX(Input!$1:$1048576,$JG$93,$C155*2+6)</f>
        <v>6.4925836325736688</v>
      </c>
      <c r="HS155" s="644">
        <f t="shared" si="269"/>
        <v>-9.9143218297356146</v>
      </c>
      <c r="HT155" s="644">
        <f t="shared" si="270"/>
        <v>8.2360897904785499</v>
      </c>
      <c r="HU155" s="644">
        <f t="shared" si="271"/>
        <v>9.5695324898945753</v>
      </c>
      <c r="HV155" s="648">
        <f t="shared" si="272"/>
        <v>0</v>
      </c>
      <c r="HW155" s="648">
        <f t="shared" si="273"/>
        <v>0</v>
      </c>
      <c r="HX155" s="648">
        <f t="shared" si="274"/>
        <v>0</v>
      </c>
      <c r="HY155" s="644">
        <f>INDEX(Input!$1:$1048576,HY$93,$C155*2+6)*INDEX(Input!$1:$1048576,$JG$93,$C155*2+6)</f>
        <v>110.00000000000001</v>
      </c>
      <c r="HZ155" s="644">
        <f>INDEX(Input!$1:$1048576,HZ$93,$C155*2+6)*INDEX(Input!$1:$1048576,$JG$93,$C155*2+6)</f>
        <v>157</v>
      </c>
      <c r="IA155" s="644">
        <f>INDEX(Input!$1:$1048576,IA$93,$C155*2+6)*INDEX(Input!$1:$1048576,$JG$93,$C155*2+6)</f>
        <v>179</v>
      </c>
      <c r="IB155" s="644">
        <f t="shared" si="249"/>
        <v>122.03129942110166</v>
      </c>
      <c r="IC155" s="644">
        <f t="shared" si="172"/>
        <v>166.88044685216684</v>
      </c>
      <c r="ID155" s="644">
        <f>IF(AND(INDEX(Input!$1:$1048576,IA$93,$C155*2+7)="TOS",Y155&lt;=INDEX(Y:Y,MATCH(C155*1000+2,A:A))),0,1)*MAX(IA155+HR155+HU155+HX155,0%)</f>
        <v>195.06211612246824</v>
      </c>
      <c r="IE155" s="128">
        <f t="shared" si="275"/>
        <v>0.25214440056128251</v>
      </c>
      <c r="IF155" s="128">
        <f t="shared" si="174"/>
        <v>0.34481293271931224</v>
      </c>
      <c r="IG155" s="128">
        <f t="shared" si="175"/>
        <v>0.40304266671940531</v>
      </c>
      <c r="IH155" s="21"/>
      <c r="II155" s="19">
        <f t="shared" si="276"/>
        <v>1240</v>
      </c>
      <c r="IJ155" s="19">
        <f t="shared" si="277"/>
        <v>2009.7221397149679</v>
      </c>
      <c r="IK155" s="19">
        <f t="shared" si="278"/>
        <v>2070</v>
      </c>
      <c r="IL155" s="19">
        <f t="shared" si="176"/>
        <v>530.00000000000023</v>
      </c>
      <c r="IM155" s="19">
        <f t="shared" si="177"/>
        <v>530</v>
      </c>
      <c r="IN155" s="19">
        <f t="shared" si="178"/>
        <v>375</v>
      </c>
      <c r="IO155" s="39">
        <f t="shared" si="279"/>
        <v>0</v>
      </c>
      <c r="IP155" s="39">
        <f t="shared" si="280"/>
        <v>0</v>
      </c>
      <c r="IQ155" s="39">
        <f t="shared" si="281"/>
        <v>0</v>
      </c>
      <c r="IR155" s="39">
        <v>0</v>
      </c>
      <c r="IS155" s="39">
        <v>0</v>
      </c>
      <c r="IT155" s="39">
        <v>0</v>
      </c>
      <c r="IU155" s="39">
        <v>0</v>
      </c>
      <c r="IV155" s="39">
        <v>0</v>
      </c>
      <c r="IW155" s="39">
        <v>0</v>
      </c>
      <c r="IX155" s="39">
        <f>INDEX(Input!$1:$1048576,IX$93,$C155*2+6)+INDEX(Input!$1:$1048576,IX$94,$C155*2+6)</f>
        <v>1270</v>
      </c>
      <c r="IY155" s="39">
        <f>INDEX(Input!$1:$1048576,IY$93,$C155*2+6)+INDEX(Input!$1:$1048576,IY$94,$C155*2+6)</f>
        <v>2130.0624533823611</v>
      </c>
      <c r="IZ155" s="39">
        <f>INDEX(Input!$1:$1048576,IZ$93,$C155*2+6)+INDEX(Input!$1:$1048576,IZ$94,$C155*2+6)</f>
        <v>4373.7164157747848</v>
      </c>
      <c r="JA155" s="19">
        <f t="shared" si="179"/>
        <v>1800.0000000000002</v>
      </c>
      <c r="JB155" s="19">
        <f t="shared" si="180"/>
        <v>2660.0624533823611</v>
      </c>
      <c r="JC155" s="19">
        <f t="shared" si="181"/>
        <v>4748.7164157747848</v>
      </c>
      <c r="JD155" s="19">
        <f t="shared" si="182"/>
        <v>3285.0191844856945</v>
      </c>
      <c r="JE155" s="21"/>
      <c r="JF155" s="1">
        <f t="shared" si="282"/>
        <v>1.022782493188582E-2</v>
      </c>
      <c r="JG155" s="15">
        <f>INDEX(Input!$1:$1048576,JG$93,$C155*2+6)/(1+VLOOKUP(C155*1000+INDEX(Input!$1:$1048576,JG$93+1,$C155*2+6),$A:$KK,$JK$92,FALSE))</f>
        <v>446</v>
      </c>
      <c r="JH155" s="1">
        <f t="shared" si="251"/>
        <v>6.7449690459863737E-2</v>
      </c>
      <c r="JI155" s="1">
        <f t="shared" si="252"/>
        <v>1.7693498768245539E-2</v>
      </c>
      <c r="JJ155" s="1">
        <f t="shared" si="253"/>
        <v>0</v>
      </c>
      <c r="JK155" s="1">
        <f t="shared" si="254"/>
        <v>8.5143189228109276E-2</v>
      </c>
      <c r="JL155" s="15">
        <f t="shared" si="184"/>
        <v>37.973862395736738</v>
      </c>
      <c r="JM155" s="15">
        <f t="shared" si="185"/>
        <v>483.97386239573672</v>
      </c>
      <c r="JN155" s="21"/>
      <c r="JO155" s="19">
        <f>INDEX(Input!$1:$1048576,JO$93,$C155*2+6)</f>
        <v>5995.5</v>
      </c>
      <c r="JP155" s="19">
        <f>INDEX(Input!$1:$1048576,JP$93,$C155*2+6)</f>
        <v>2818.4193802796353</v>
      </c>
      <c r="JQ155" s="39">
        <f t="shared" si="186"/>
        <v>2710.4808155143055</v>
      </c>
      <c r="JR155" s="39">
        <f t="shared" si="187"/>
        <v>466.59980420605916</v>
      </c>
      <c r="JS155" s="39">
        <f t="shared" si="188"/>
        <v>1.5898634227596347</v>
      </c>
      <c r="JT155" s="39">
        <f t="shared" si="189"/>
        <v>0.33284837915491733</v>
      </c>
      <c r="JU155" s="385">
        <f>(JQ155*JM155-INDEX(Input!$1:$1048576,Input!A$18,$C155*2+6)*JL155*INDEX(Input!$1:$1048576,Input!A$19,$C155*2+6))/1000000</f>
        <v>1.3118018692340048</v>
      </c>
      <c r="JV155" s="39">
        <f t="shared" si="192"/>
        <v>-0.10517608716127791</v>
      </c>
      <c r="JW155" s="1">
        <f t="shared" si="190"/>
        <v>-7.4225633988576886E-2</v>
      </c>
      <c r="JX155" s="19">
        <f t="shared" si="191"/>
        <v>8765.1968526721594</v>
      </c>
      <c r="JZ155" s="341"/>
      <c r="KA155" s="342"/>
      <c r="KB155" s="469">
        <f t="shared" si="110"/>
        <v>2.9286733661474216</v>
      </c>
      <c r="KI155" s="473">
        <f t="shared" si="283"/>
        <v>12.03129942110165</v>
      </c>
      <c r="KJ155" s="473">
        <f t="shared" si="284"/>
        <v>9.8804468521668412</v>
      </c>
      <c r="KK155" s="473">
        <f t="shared" si="257"/>
        <v>16.06211612246824</v>
      </c>
      <c r="KN155" s="544">
        <f t="shared" si="258"/>
        <v>1002</v>
      </c>
      <c r="KO155" s="541">
        <f t="shared" si="285"/>
        <v>8.0695161403459892E-2</v>
      </c>
      <c r="KP155" s="546">
        <f t="shared" si="286"/>
        <v>443.57402665928333</v>
      </c>
      <c r="KQ155" s="546">
        <f t="shared" si="287"/>
        <v>445.70298446704282</v>
      </c>
      <c r="KR155" s="548">
        <f t="shared" si="288"/>
        <v>3.1191495409061192</v>
      </c>
      <c r="KS155" s="548">
        <f t="shared" si="289"/>
        <v>3.1042505207063287</v>
      </c>
      <c r="KT155" s="473">
        <f t="shared" si="112"/>
        <v>238.28695973331548</v>
      </c>
      <c r="KU155" s="663">
        <f t="shared" si="290"/>
        <v>6.2726604560382766</v>
      </c>
      <c r="KV155" s="117"/>
    </row>
    <row r="156" spans="1:308" s="26" customFormat="1" ht="15" outlineLevel="1">
      <c r="A156" s="561">
        <f t="shared" si="168"/>
        <v>1056</v>
      </c>
      <c r="B156" s="561">
        <f t="shared" si="104"/>
        <v>56</v>
      </c>
      <c r="C156" s="561">
        <f t="shared" si="105"/>
        <v>1</v>
      </c>
      <c r="D156" s="561" t="str">
        <f t="shared" si="294"/>
        <v xml:space="preserve">1000 CC, 1000 Combo, 720 Lease, </v>
      </c>
      <c r="E156" s="475">
        <f>INDEX(Input!$1:$1048576,E$93,$C156*2+MIN($B156,2)+5)
+INDEX(Scenarios!E$121:E$200,MATCH($B156,Scenarios!$B$121:$B$200,0))</f>
        <v>2229</v>
      </c>
      <c r="F156" s="475">
        <f>INDEX(Input!$1:$1048576,F$93,$C156*2+MIN($B156,2)+5)
+INDEX(Scenarios!F$121:F$200,MATCH($B156,Scenarios!$B$121:$B$200,0))</f>
        <v>0</v>
      </c>
      <c r="G156" s="475">
        <f>INDEX(Input!$1:$1048576,G$93,$C156*2+MIN($B156,2)+5)
+INDEX(Scenarios!G$121:G$200,MATCH($B156,Scenarios!$B$121:$B$200,0))</f>
        <v>0</v>
      </c>
      <c r="H156" s="475">
        <f>INDEX(Input!$1:$1048576,H$93,$C156*2+MIN($B156,2)+5)
+INDEX(Scenarios!H$121:H$200,MATCH($B156,Scenarios!$B$121:$B$200,0))</f>
        <v>0</v>
      </c>
      <c r="I156" s="476">
        <f>INDEX(Input!$1:$1048576,I$93,$C156*2+MIN($B156,2)+5)</f>
        <v>0.7</v>
      </c>
      <c r="J156" s="476" t="str">
        <f>INDEX(Input!$1:$1048576,J$93,$C156*2+MIN($B156,2)+5)</f>
        <v>Market</v>
      </c>
      <c r="K156" s="476" t="str">
        <f>INDEX(Input!$1:$1048576,K$93,$C156*2+MIN($B156,2)+5)</f>
        <v>Market</v>
      </c>
      <c r="L156" s="476" t="str">
        <f>INDEX(Input!$1:$1048576,L$93,$C156*2+MIN($B156,2)+5)</f>
        <v>Market</v>
      </c>
      <c r="M156" s="476" t="str">
        <f>INDEX(Input!$1:$1048576,M$93,$C156*2+MIN($B156,2)+5)</f>
        <v>Market</v>
      </c>
      <c r="N156" s="476" t="str">
        <f>INDEX(Input!$1:$1048576,N$93,$C156*2+MIN($B156,2)+5)</f>
        <v>Market</v>
      </c>
      <c r="O156" s="476" t="str">
        <f>INDEX(Input!$1:$1048576,O$93,$C156*2+MIN($B156,2)+5)</f>
        <v>Market</v>
      </c>
      <c r="P156" s="476" t="str">
        <f>INDEX(Input!$1:$1048576,P$93,$C156*2+MIN($B156,2)+5)</f>
        <v>N</v>
      </c>
      <c r="Q156" s="477">
        <f>INDEX(Input!$1:$1048576,Q$93,$C156*2+MIN($B156,2)+5)
+INDEX(Scenarios!Q$121:Q$200,MATCH($B156,Scenarios!$B$121:$B$200,0))</f>
        <v>1000</v>
      </c>
      <c r="R156" s="478">
        <f>IFERROR(MAX(0,INDEX(Input!$1:$1048576,R$93,$C156*2+MIN($B156,2)+5)
+INDEX(Scenarios!R$121:R$200,MATCH($B156,Scenarios!$B$121:$B$200,0)),),"Market")</f>
        <v>0</v>
      </c>
      <c r="S156" s="478">
        <f>IFERROR(MAX(0,INDEX(Input!$1:$1048576,S$93,$C156*2+MIN($B156,2)+5)
+INDEX(Scenarios!S$121:S$200,MATCH($B156,Scenarios!$B$121:$B$200,0)),),"Market")</f>
        <v>0</v>
      </c>
      <c r="T156" s="478">
        <f>IFERROR(MAX(0,INDEX(Input!$1:$1048576,T$93,$C156*2+MIN($B156,2)+5)
+INDEX(Scenarios!T$121:T$200,MATCH($B156,Scenarios!$B$121:$B$200,0)),),"Market")</f>
        <v>0</v>
      </c>
      <c r="U156" s="478">
        <f>IFERROR(MAX(0,INDEX(Input!$1:$1048576,U$93,$C156*2+MIN($B156,2)+5)
+INDEX(Scenarios!U$121:U$200,MATCH($B156,Scenarios!$B$121:$B$200,0)),),"Market")</f>
        <v>0</v>
      </c>
      <c r="V156" s="478">
        <f>IFERROR(MAX(0,INDEX(Input!$1:$1048576,V$93,$C156*2+MIN($B156,2)+5)
+INDEX(Scenarios!V$121:V$200,MATCH($B156,Scenarios!$B$121:$B$200,0)),),"Market")</f>
        <v>1.9E-2</v>
      </c>
      <c r="W156" s="885">
        <f>IFERROR(MAX(0,INDEX(Input!$1:$1048576,W$93,$C156*2+MIN($B156,2)+5)-0%,),"Market")</f>
        <v>3.9E-2</v>
      </c>
      <c r="X156" s="476" t="str">
        <f>INDEX(Input!$1:$1048576,X$93,$C156*2+MIN($B156,2)+5)</f>
        <v>Y</v>
      </c>
      <c r="Y156" s="475">
        <f>INDEX(Input!$1:$1048576,Y$93,$C156*2+MIN($B156,2)+5)
++INDEX(Scenarios!Y$121:Y$200,MATCH($B156,Scenarios!$B$121:$B$200,0))</f>
        <v>2662</v>
      </c>
      <c r="Z156" s="477">
        <f>INDEX(Input!$1:$1048576,Z$93,$C156*2+MIN($B156,2)+5)
+INDEX(Scenarios!Z$121:Z$200,MATCH($B156,Scenarios!$B$121:$B$200,0))</f>
        <v>0</v>
      </c>
      <c r="AA156" s="475">
        <f>INDEX(Input!$1:$1048576,AA$93,$C156*2+MIN($B156,2)+5)
+INDEX(Scenarios!AA$121:AA$200,MATCH($B156,Scenarios!$B$121:$B$200,0))</f>
        <v>0</v>
      </c>
      <c r="AB156" s="476">
        <f>INDEX(Input!$1:$1048576,AB$93,$C156*2+MIN($B156,2)+5)</f>
        <v>0.27</v>
      </c>
      <c r="AC156" s="475">
        <f>INDEX(Input!$1:$1048576,AC$93,$C156*2+MIN($B156,2)+5)
+INDEX(Scenarios!AC$121:AC$200,MATCH($B156,Scenarios!$B$121:$B$200,0))</f>
        <v>0</v>
      </c>
      <c r="AD156" s="476">
        <f>INDEX(Input!$1:$1048576,AD$93,$C156*2+MIN($B156,2)+5)</f>
        <v>0.27</v>
      </c>
      <c r="AE156" s="475">
        <f>INDEX(Input!$1:$1048576,AE$93,$C156*2+MIN($B156,2)+5)
+INDEX(Scenarios!AE$121:AE$200,MATCH($B156,Scenarios!$B$121:$B$200,0))</f>
        <v>0</v>
      </c>
      <c r="AF156" s="476">
        <f>INDEX(Input!$1:$1048576,AF$93,$C156*2+MIN($B156,2)+5)</f>
        <v>0.38</v>
      </c>
      <c r="AG156" s="475">
        <f>INDEX(Input!$1:$1048576,AG$93,$C156*2+MIN($B156,2)+5)
+INDEX(Scenarios!AG$121:AG$200,MATCH($B156,Scenarios!$B$121:$B$200,0))</f>
        <v>0</v>
      </c>
      <c r="AH156" s="476">
        <f>INDEX(Input!$1:$1048576,AH$93,$C156*2+MIN($B156,2)+5)</f>
        <v>0</v>
      </c>
      <c r="AI156" s="475">
        <f>INDEX(Input!$1:$1048576,AI$93,$C156*2+MIN($B156,2)+5)
+INDEX(Scenarios!AI$121:AI$200,MATCH($B156,Scenarios!$B$121:$B$200,0))</f>
        <v>0</v>
      </c>
      <c r="AJ156" s="476">
        <f>INDEX(Input!$1:$1048576,AJ$93,$C156*2+MIN($B156,2)+5)</f>
        <v>0.27</v>
      </c>
      <c r="AK156" s="150">
        <f>ROUND(INDEX(Input!$1:$1048576,AK$93,$C155*2+MIN($B156,1)+5)+(Y156-VLOOKUP($C156*1000+1,$A:$HH,Y$92,FALSE)),0)</f>
        <v>4477</v>
      </c>
      <c r="AL156" s="150">
        <f>ROUND(INDEX(Input!$1:$1048576,AL$93,$C155*2+MIN($B156,1)+5)-(Y156-VLOOKUP($C156*1000+1,$A:$HH,Y$92,FALSE))/36,0)</f>
        <v>4093</v>
      </c>
      <c r="AM156" s="32" t="str">
        <f t="shared" si="169"/>
        <v>std/std/std/std</v>
      </c>
      <c r="AN156" s="32" t="str">
        <f t="shared" si="170"/>
        <v>$1000 + 0/0/0/1.9/3.9</v>
      </c>
      <c r="AO156" s="32" t="str">
        <f t="shared" si="171"/>
        <v>0/0/0/1.9/3.9</v>
      </c>
      <c r="AP156" s="32" t="str">
        <f t="shared" si="73"/>
        <v>0/0.9/1.9/3.9</v>
      </c>
      <c r="AQ156" s="536">
        <f t="shared" si="39"/>
        <v>0.25601976191102543</v>
      </c>
      <c r="AR156" s="32"/>
      <c r="AS156" s="302"/>
      <c r="AT156" s="3">
        <f t="shared" si="106"/>
        <v>56</v>
      </c>
      <c r="AU156" s="41" t="s">
        <v>121</v>
      </c>
      <c r="AV156" s="41" t="s">
        <v>116</v>
      </c>
      <c r="AW156" s="41" t="str">
        <f>INDEX(Input!$1:$1048576,AW$93,$C156*2+6)</f>
        <v>Kia</v>
      </c>
      <c r="AX156" s="41" t="str">
        <f>INDEX(Input!$1:$1048576,AX$93,$C156*2+6)</f>
        <v>Kia-LR - L1</v>
      </c>
      <c r="AY156" s="41" t="str">
        <f>IF(LEN(D156)=0,"",INDEX(Input!$1:$1048576,AY$93,$C156*2+6))</f>
        <v>Compact SUV (52)</v>
      </c>
      <c r="AZ156" s="41" t="str">
        <f>INDEX(Input!$1:$1048576,AZ$93,$C156*2+6)</f>
        <v>Kia Soul</v>
      </c>
      <c r="BA156" s="3">
        <f>INDEX(Input!$1:$1048576,BA$93,$C156*2+6)</f>
        <v>2020</v>
      </c>
      <c r="BB156" s="128">
        <f>INDEX(Input!$1:$1048576,BB$93,$C156*2+6)</f>
        <v>1</v>
      </c>
      <c r="BC156" s="128">
        <f>INDEX(Input!$1:$1048576,BC$93,$C156*2+6)</f>
        <v>0.7</v>
      </c>
      <c r="BD156" s="1">
        <f>INDEX(Input!$1:$1048576,BD$93,$C156*2+6)</f>
        <v>4.4999999999999998E-2</v>
      </c>
      <c r="BE156" s="1">
        <f>INDEX(Input!$1:$1048576,BE$93,$C156*2+6)</f>
        <v>4.4999999999999998E-2</v>
      </c>
      <c r="BF156" s="1">
        <f>INDEX(Input!$1:$1048576,BF$93,$C156*2+6)</f>
        <v>0.05</v>
      </c>
      <c r="BG156" s="1">
        <f>INDEX(Input!$1:$1048576,BG$93,$C156*2+6)</f>
        <v>5.45E-2</v>
      </c>
      <c r="BH156" s="1">
        <f>INDEX(Input!$1:$1048576,BH$93,$C156*2+6)</f>
        <v>5.45E-2</v>
      </c>
      <c r="BI156" s="1">
        <f>INDEX(Input!$1:$1048576,BI$93,$C156*2+6)</f>
        <v>0.05</v>
      </c>
      <c r="BJ156" s="1">
        <f>INDEX(Input!$1:$1048576,BJ$93,$C156*2+6)</f>
        <v>0.05</v>
      </c>
      <c r="BK156" s="1">
        <f>INDEX(Input!$1:$1048576,BK$93,$C156*2+6)</f>
        <v>0.05</v>
      </c>
      <c r="BL156" s="1">
        <f>INDEX(Input!$1:$1048576,BL$93,$C156*2+6)</f>
        <v>5.5E-2</v>
      </c>
      <c r="BM156" s="1">
        <f>INDEX(Input!$1:$1048576,BM$93,$C156*2+6)</f>
        <v>0.06</v>
      </c>
      <c r="BN156" s="1">
        <f>INDEX(Input!$1:$1048576,BN$93,$C156*2+6)</f>
        <v>4.4999999999999998E-2</v>
      </c>
      <c r="BO156" s="1">
        <f>INDEX(Input!$1:$1048576,BO$93,$C156*2+6)</f>
        <v>4.4999999999999998E-2</v>
      </c>
      <c r="BP156" s="1">
        <f>INDEX(Input!$1:$1048576,BP$93,$C156*2+6)</f>
        <v>0.05</v>
      </c>
      <c r="BQ156" s="1">
        <f>INDEX(Input!$1:$1048576,BQ$93,$C156*2+6)</f>
        <v>5.45E-2</v>
      </c>
      <c r="BR156" s="1">
        <f>INDEX(Input!$1:$1048576,BR$93,$C156*2+6)</f>
        <v>5.45E-2</v>
      </c>
      <c r="BS156" s="1">
        <f>INDEX(Input!$1:$1048576,BS$93,$C156*2+6)</f>
        <v>0.05</v>
      </c>
      <c r="BT156" s="1">
        <f>INDEX(Input!$1:$1048576,BT$93,$C156*2+6)</f>
        <v>0.05</v>
      </c>
      <c r="BU156" s="1">
        <f>INDEX(Input!$1:$1048576,BU$93,$C156*2+6)</f>
        <v>0.05</v>
      </c>
      <c r="BV156" s="1">
        <f>INDEX(Input!$1:$1048576,BV$93,$C156*2+6)</f>
        <v>5.5E-2</v>
      </c>
      <c r="BW156" s="1">
        <f>INDEX(Input!$1:$1048576,BW$93,$C156*2+6)</f>
        <v>0.06</v>
      </c>
      <c r="BX156" s="127">
        <f>INDEX(Input!$1:$1048576,BX$93,$C156*2+6)</f>
        <v>19985</v>
      </c>
      <c r="BY156" s="20">
        <f>INDEX(Input!$1:$1048576,BY$93,$C156*2+6)</f>
        <v>0.1</v>
      </c>
      <c r="BZ156" s="20">
        <f>INDEX(Input!$1:$1048576,BZ$93,$C156*2+6)</f>
        <v>0.1</v>
      </c>
      <c r="CA156" s="20">
        <f>INDEX(Input!$1:$1048576,CA$93,$C156*2+6)</f>
        <v>0.1</v>
      </c>
      <c r="CB156" s="20">
        <f>INDEX(Input!$1:$1048576,CB$93,$C156*2+6)</f>
        <v>0.1</v>
      </c>
      <c r="CC156" s="20">
        <f>INDEX(Input!$1:$1048576,CC$93,$C156*2+6)</f>
        <v>0.1</v>
      </c>
      <c r="CD156" s="384">
        <f>INDEX(Input!$1:$1048576,CD$93,$C156*2+6)</f>
        <v>0.1</v>
      </c>
      <c r="CE156" s="384">
        <f>INDEX(Input!$1:$1048576,CE$93,$C156*2+6)</f>
        <v>0.1</v>
      </c>
      <c r="CF156" s="384">
        <f>INDEX(Input!$1:$1048576,CF$93,$C156*2+6)</f>
        <v>0.1</v>
      </c>
      <c r="CG156" s="384">
        <f>INDEX(Input!$1:$1048576,CG$93,$C156*2+6)</f>
        <v>0.1</v>
      </c>
      <c r="CH156" s="384">
        <f>INDEX(Input!$1:$1048576,CH$93,$C156*2+6)</f>
        <v>0.1</v>
      </c>
      <c r="CI156" s="304">
        <f t="shared" si="74"/>
        <v>2229</v>
      </c>
      <c r="CJ156" s="16" t="str">
        <f>INDEX(Input!$1:$1048576,CJ$93,$C156*2+6)</f>
        <v>N</v>
      </c>
      <c r="CK156" s="1" t="str">
        <f t="shared" si="75"/>
        <v>Market</v>
      </c>
      <c r="CL156" s="1" t="str">
        <f t="shared" si="76"/>
        <v>Market</v>
      </c>
      <c r="CM156" s="1" t="str">
        <f t="shared" si="77"/>
        <v>Market</v>
      </c>
      <c r="CN156" s="1" t="str">
        <f t="shared" si="78"/>
        <v>Market</v>
      </c>
      <c r="CO156" s="1" t="str">
        <f t="shared" si="79"/>
        <v>Market</v>
      </c>
      <c r="CP156" s="304">
        <f t="shared" si="80"/>
        <v>1000</v>
      </c>
      <c r="CQ156" s="1">
        <f t="shared" si="81"/>
        <v>0</v>
      </c>
      <c r="CR156" s="1">
        <f t="shared" si="82"/>
        <v>0</v>
      </c>
      <c r="CS156" s="1">
        <f t="shared" si="83"/>
        <v>0</v>
      </c>
      <c r="CT156" s="1">
        <f t="shared" si="84"/>
        <v>1.9E-2</v>
      </c>
      <c r="CU156" s="1">
        <f t="shared" si="85"/>
        <v>3.9E-2</v>
      </c>
      <c r="CV156" s="304">
        <f t="shared" si="86"/>
        <v>2662</v>
      </c>
      <c r="CW156" s="20" t="s">
        <v>122</v>
      </c>
      <c r="CX156" s="20" t="s">
        <v>122</v>
      </c>
      <c r="CY156" s="20" t="s">
        <v>122</v>
      </c>
      <c r="CZ156" s="20" t="s">
        <v>122</v>
      </c>
      <c r="DA156" s="20" t="s">
        <v>122</v>
      </c>
      <c r="DB156" s="503">
        <f t="shared" si="87"/>
        <v>0</v>
      </c>
      <c r="DC156" s="127">
        <v>0</v>
      </c>
      <c r="DD156" s="127">
        <v>0</v>
      </c>
      <c r="DE156" s="127">
        <v>0</v>
      </c>
      <c r="DF156" s="127">
        <v>0</v>
      </c>
      <c r="DG156" s="127">
        <v>0</v>
      </c>
      <c r="DH156" s="127">
        <v>0</v>
      </c>
      <c r="DI156" s="127">
        <v>0</v>
      </c>
      <c r="DJ156" s="127">
        <v>0</v>
      </c>
      <c r="DK156" s="127">
        <v>0</v>
      </c>
      <c r="DL156" s="127">
        <v>0</v>
      </c>
      <c r="DM156" s="304">
        <f>INDEX(Input!$1:$1048576,DM$93,$C156*2+6)</f>
        <v>21036.84210526316</v>
      </c>
      <c r="DN156" s="20">
        <v>0</v>
      </c>
      <c r="DO156" s="20">
        <v>0</v>
      </c>
      <c r="DP156" s="20">
        <v>0</v>
      </c>
      <c r="DQ156" s="20">
        <v>0</v>
      </c>
      <c r="DR156" s="20">
        <v>0</v>
      </c>
      <c r="DS156" s="20">
        <f>INDEX(Input!$1:$1048576,DS$93,$C156*2+6)</f>
        <v>0.6</v>
      </c>
      <c r="DT156" s="20">
        <f>INDEX(Input!$1:$1048576,DT$93,$C156*2+6)</f>
        <v>0.55000000000000004</v>
      </c>
      <c r="DU156" s="20">
        <f>INDEX(Input!$1:$1048576,DU$93,$C156*2+6)</f>
        <v>0.52</v>
      </c>
      <c r="DV156" s="20">
        <f>INDEX(Input!$1:$1048576,DV$93,$C156*2+6)</f>
        <v>0.5</v>
      </c>
      <c r="DW156" s="20">
        <f>INDEX(Input!$1:$1048576,DW$93,$C156*2+6)</f>
        <v>0.45</v>
      </c>
      <c r="DX156" s="20"/>
      <c r="DY156" s="7">
        <v>0.11055270265057428</v>
      </c>
      <c r="DZ156" s="7">
        <v>0</v>
      </c>
      <c r="EA156" s="7">
        <v>0.46839658465976847</v>
      </c>
      <c r="EB156" s="7">
        <v>0</v>
      </c>
      <c r="EC156" s="7">
        <v>0</v>
      </c>
      <c r="ED156" s="7">
        <v>0</v>
      </c>
      <c r="EE156" s="7">
        <v>0</v>
      </c>
      <c r="EF156" s="7">
        <v>0</v>
      </c>
      <c r="EG156" s="7">
        <v>0</v>
      </c>
      <c r="EH156" s="7">
        <v>1.8402200445098653E-2</v>
      </c>
      <c r="EI156" s="7">
        <v>5.3739557110571878E-2</v>
      </c>
      <c r="EJ156" s="7">
        <v>0.33946684904131991</v>
      </c>
      <c r="EK156" s="7">
        <v>0.48247712639938095</v>
      </c>
      <c r="EL156" s="7">
        <v>0.1059142670036287</v>
      </c>
      <c r="EM156" s="7">
        <v>4.9291972504989186E-2</v>
      </c>
      <c r="EN156" s="7">
        <v>5.4185009577070273E-2</v>
      </c>
      <c r="EO156" s="7">
        <v>0.79202168821695662</v>
      </c>
      <c r="EP156" s="7">
        <v>6.6974668803349541E-2</v>
      </c>
      <c r="EQ156" s="7">
        <v>5.074453984014158E-2</v>
      </c>
      <c r="ER156" s="7">
        <v>3.607409356248182E-2</v>
      </c>
      <c r="ES156" s="7">
        <v>0.37175874018466809</v>
      </c>
      <c r="ET156" s="7">
        <v>0.42105071268965721</v>
      </c>
      <c r="EU156" s="6">
        <v>2270</v>
      </c>
      <c r="EV156" s="6">
        <v>0</v>
      </c>
      <c r="EW156" s="6">
        <v>2270</v>
      </c>
      <c r="EX156" s="6">
        <v>0</v>
      </c>
      <c r="EY156" s="6">
        <v>3039.7221397149679</v>
      </c>
      <c r="EZ156" s="6">
        <v>2805</v>
      </c>
      <c r="FA156" s="6">
        <v>0</v>
      </c>
      <c r="FB156" s="6">
        <v>0</v>
      </c>
      <c r="FC156" s="6">
        <v>0</v>
      </c>
      <c r="FD156" s="6">
        <v>0</v>
      </c>
      <c r="FE156" s="6">
        <v>0</v>
      </c>
      <c r="FF156" s="6">
        <v>0</v>
      </c>
      <c r="FG156" s="6">
        <v>0</v>
      </c>
      <c r="FH156" s="6">
        <v>1171.2811379695618</v>
      </c>
      <c r="FI156" s="6">
        <v>1553.9796069512399</v>
      </c>
      <c r="FJ156" s="6">
        <v>2101.211011744741</v>
      </c>
      <c r="FK156" s="6">
        <v>1772.7139978623218</v>
      </c>
      <c r="FL156" s="6">
        <v>907.07682140966324</v>
      </c>
      <c r="FM156" s="6">
        <v>1769.7221397149676</v>
      </c>
      <c r="FN156" s="6">
        <v>0</v>
      </c>
      <c r="FO156" s="6">
        <v>0</v>
      </c>
      <c r="FP156" s="6">
        <v>0</v>
      </c>
      <c r="FQ156" s="6">
        <v>0</v>
      </c>
      <c r="FR156" s="6">
        <v>0</v>
      </c>
      <c r="FS156" s="6">
        <v>0</v>
      </c>
      <c r="FT156" s="7">
        <v>0.57894928731034279</v>
      </c>
      <c r="FU156" s="7">
        <v>4.9291972504989186E-2</v>
      </c>
      <c r="FV156" s="7">
        <v>0.37175874018466809</v>
      </c>
      <c r="FW156" s="6">
        <v>2270</v>
      </c>
      <c r="FX156" s="6">
        <v>3039.7221397149679</v>
      </c>
      <c r="FY156" s="6">
        <v>2805</v>
      </c>
      <c r="FZ156" s="6">
        <v>1952.7147957719815</v>
      </c>
      <c r="GA156" s="6">
        <v>2506.832048546109</v>
      </c>
      <c r="GB156" s="6">
        <v>17478.167951453892</v>
      </c>
      <c r="GC156" s="7">
        <v>1.0519917368675835E-2</v>
      </c>
      <c r="GD156" s="7">
        <v>1.1629085210728335E-2</v>
      </c>
      <c r="GE156" s="7"/>
      <c r="GF156" s="7"/>
      <c r="GG156" s="7">
        <v>0.10543503367765648</v>
      </c>
      <c r="GH156" s="42">
        <v>3.8026593424025381</v>
      </c>
      <c r="GI156" s="6">
        <v>7762.364611548026</v>
      </c>
      <c r="GJ156" s="14">
        <v>0.50394797582841744</v>
      </c>
      <c r="GK156" s="14">
        <v>0.50887573065309755</v>
      </c>
      <c r="GL156" s="14">
        <v>0.49605202417158278</v>
      </c>
      <c r="GM156" s="14">
        <v>0.49112426934690251</v>
      </c>
      <c r="GO156" s="5">
        <v>343.14810671672558</v>
      </c>
      <c r="GP156" s="5">
        <v>299.84083725090579</v>
      </c>
      <c r="GQ156" s="5">
        <v>535.04305713031317</v>
      </c>
      <c r="GR156" s="5">
        <v>410.15490233172511</v>
      </c>
      <c r="GS156" s="5">
        <v>339.42744393800166</v>
      </c>
      <c r="GT156" s="5">
        <v>293.4407446948278</v>
      </c>
      <c r="GU156" s="5">
        <v>258.04012322764959</v>
      </c>
      <c r="GV156" s="39" t="s">
        <v>392</v>
      </c>
      <c r="GW156" s="5">
        <v>464.34722222222223</v>
      </c>
      <c r="GX156" s="5">
        <v>348.26041666666669</v>
      </c>
      <c r="GY156" s="5">
        <v>278.60833333333335</v>
      </c>
      <c r="GZ156" s="5">
        <v>245.84245344171217</v>
      </c>
      <c r="HA156" s="5">
        <v>227.72592165501612</v>
      </c>
      <c r="HB156" s="39">
        <v>264.57144879693612</v>
      </c>
      <c r="HC156" s="5">
        <v>164.56562499999998</v>
      </c>
      <c r="HD156" s="5">
        <v>156.04497441520465</v>
      </c>
      <c r="HE156" s="5">
        <v>163.19603997975705</v>
      </c>
      <c r="HF156" s="5">
        <v>156.04313048245612</v>
      </c>
      <c r="HG156" s="5">
        <v>156.86888157894737</v>
      </c>
      <c r="HH156" s="39">
        <v>157.01523433111436</v>
      </c>
      <c r="HI156" s="16"/>
      <c r="HJ156" s="19" t="str">
        <f t="shared" ref="HJ156" si="385">HJ155</f>
        <v>On</v>
      </c>
      <c r="HK156" s="1" t="str">
        <f t="shared" si="108"/>
        <v>On</v>
      </c>
      <c r="HL156" s="16"/>
      <c r="HM156" s="639">
        <f t="shared" si="266"/>
        <v>5.7455619280273196E-3</v>
      </c>
      <c r="HN156" s="639">
        <f t="shared" si="267"/>
        <v>5.0031960498701745E-4</v>
      </c>
      <c r="HO156" s="639">
        <f t="shared" si="268"/>
        <v>3.9819433988714835E-3</v>
      </c>
      <c r="HP156" s="644">
        <f>(FT156*$GD156-HM156)/$JF156*INDEX(Input!$1:$1048576,$JG$93,$C156*2+6)</f>
        <v>43.043515930560709</v>
      </c>
      <c r="HQ156" s="644">
        <f>(FU156*$GD156-HN156)/$JF156*INDEX(Input!$1:$1048576,$JG$93,$C156*2+6)</f>
        <v>3.1789575015107885</v>
      </c>
      <c r="HR156" s="644">
        <f>(FV156*$GD156-HO156)/$JF156*INDEX(Input!$1:$1048576,$JG$93,$C156*2+6)</f>
        <v>14.881631157693946</v>
      </c>
      <c r="HS156" s="644">
        <f t="shared" si="269"/>
        <v>-19.267455631372982</v>
      </c>
      <c r="HT156" s="644">
        <f t="shared" si="270"/>
        <v>16.005985819231899</v>
      </c>
      <c r="HU156" s="644">
        <f t="shared" si="271"/>
        <v>18.679764667770552</v>
      </c>
      <c r="HV156" s="648">
        <f t="shared" si="272"/>
        <v>0</v>
      </c>
      <c r="HW156" s="648">
        <f t="shared" si="273"/>
        <v>0</v>
      </c>
      <c r="HX156" s="648">
        <f t="shared" si="274"/>
        <v>0</v>
      </c>
      <c r="HY156" s="644">
        <f>INDEX(Input!$1:$1048576,HY$93,$C156*2+6)*INDEX(Input!$1:$1048576,$JG$93,$C156*2+6)</f>
        <v>110.00000000000001</v>
      </c>
      <c r="HZ156" s="644">
        <f>INDEX(Input!$1:$1048576,HZ$93,$C156*2+6)*INDEX(Input!$1:$1048576,$JG$93,$C156*2+6)</f>
        <v>157</v>
      </c>
      <c r="IA156" s="644">
        <f>INDEX(Input!$1:$1048576,IA$93,$C156*2+6)*INDEX(Input!$1:$1048576,$JG$93,$C156*2+6)</f>
        <v>179</v>
      </c>
      <c r="IB156" s="644">
        <f t="shared" si="249"/>
        <v>133.77606029918775</v>
      </c>
      <c r="IC156" s="644">
        <f t="shared" si="172"/>
        <v>176.18494332074269</v>
      </c>
      <c r="ID156" s="644">
        <f>IF(AND(INDEX(Input!$1:$1048576,IA$93,$C156*2+7)="TOS",Y156&lt;=INDEX(Y:Y,MATCH(C156*1000+2,A:A))),0,1)*MAX(IA156+HR156+HU156+HX156,0%)</f>
        <v>212.5613958254645</v>
      </c>
      <c r="IE156" s="128">
        <f t="shared" si="275"/>
        <v>0.25601976191102543</v>
      </c>
      <c r="IF156" s="128">
        <f t="shared" si="174"/>
        <v>0.33718160887982085</v>
      </c>
      <c r="IG156" s="128">
        <f t="shared" si="175"/>
        <v>0.40679862920915366</v>
      </c>
      <c r="IH156" s="21"/>
      <c r="II156" s="19">
        <f t="shared" si="276"/>
        <v>1240</v>
      </c>
      <c r="IJ156" s="19">
        <f t="shared" si="277"/>
        <v>2009.7221397149679</v>
      </c>
      <c r="IK156" s="19">
        <f t="shared" si="278"/>
        <v>2070</v>
      </c>
      <c r="IL156" s="19">
        <f t="shared" si="176"/>
        <v>1030</v>
      </c>
      <c r="IM156" s="19">
        <f t="shared" si="177"/>
        <v>1030</v>
      </c>
      <c r="IN156" s="19">
        <f t="shared" si="178"/>
        <v>735</v>
      </c>
      <c r="IO156" s="39">
        <f t="shared" si="279"/>
        <v>0</v>
      </c>
      <c r="IP156" s="39">
        <f t="shared" si="280"/>
        <v>0</v>
      </c>
      <c r="IQ156" s="39">
        <f t="shared" si="281"/>
        <v>0</v>
      </c>
      <c r="IR156" s="39">
        <v>0</v>
      </c>
      <c r="IS156" s="39">
        <v>0</v>
      </c>
      <c r="IT156" s="39">
        <v>0</v>
      </c>
      <c r="IU156" s="39">
        <v>0</v>
      </c>
      <c r="IV156" s="39">
        <v>0</v>
      </c>
      <c r="IW156" s="39">
        <v>0</v>
      </c>
      <c r="IX156" s="39">
        <f>INDEX(Input!$1:$1048576,IX$93,$C156*2+6)+INDEX(Input!$1:$1048576,IX$94,$C156*2+6)</f>
        <v>1270</v>
      </c>
      <c r="IY156" s="39">
        <f>INDEX(Input!$1:$1048576,IY$93,$C156*2+6)+INDEX(Input!$1:$1048576,IY$94,$C156*2+6)</f>
        <v>2130.0624533823611</v>
      </c>
      <c r="IZ156" s="39">
        <f>INDEX(Input!$1:$1048576,IZ$93,$C156*2+6)+INDEX(Input!$1:$1048576,IZ$94,$C156*2+6)</f>
        <v>4373.7164157747848</v>
      </c>
      <c r="JA156" s="19">
        <f t="shared" si="179"/>
        <v>2300</v>
      </c>
      <c r="JB156" s="19">
        <f t="shared" si="180"/>
        <v>3160.0624533823611</v>
      </c>
      <c r="JC156" s="19">
        <f t="shared" si="181"/>
        <v>5108.7164157747848</v>
      </c>
      <c r="JD156" s="19">
        <f t="shared" si="182"/>
        <v>3732.5792295430201</v>
      </c>
      <c r="JE156" s="21"/>
      <c r="JF156" s="1">
        <f t="shared" si="282"/>
        <v>1.022782493188582E-2</v>
      </c>
      <c r="JG156" s="15">
        <f>INDEX(Input!$1:$1048576,JG$93,$C156*2+6)/(1+VLOOKUP(C156*1000+INDEX(Input!$1:$1048576,JG$93+1,$C156*2+6),$A:$KK,$JK$92,FALSE))</f>
        <v>446</v>
      </c>
      <c r="JH156" s="1">
        <f t="shared" si="251"/>
        <v>0.13700471881113327</v>
      </c>
      <c r="JI156" s="1">
        <f t="shared" si="252"/>
        <v>3.4570167837734235E-2</v>
      </c>
      <c r="JJ156" s="1">
        <f t="shared" si="253"/>
        <v>0</v>
      </c>
      <c r="JK156" s="1">
        <f t="shared" si="254"/>
        <v>0.1715748866488675</v>
      </c>
      <c r="JL156" s="15">
        <f t="shared" si="184"/>
        <v>76.52239944539491</v>
      </c>
      <c r="JM156" s="15">
        <f t="shared" si="185"/>
        <v>522.52239944539497</v>
      </c>
      <c r="JN156" s="21"/>
      <c r="JO156" s="19">
        <f>INDEX(Input!$1:$1048576,JO$93,$C156*2+6)</f>
        <v>5995.5</v>
      </c>
      <c r="JP156" s="19">
        <f>INDEX(Input!$1:$1048576,JP$93,$C156*2+6)</f>
        <v>2818.4193802796353</v>
      </c>
      <c r="JQ156" s="39">
        <f t="shared" si="186"/>
        <v>2262.9207704569799</v>
      </c>
      <c r="JR156" s="39">
        <f t="shared" si="187"/>
        <v>914.15984926338479</v>
      </c>
      <c r="JS156" s="39">
        <f t="shared" si="188"/>
        <v>1.9503562551408626</v>
      </c>
      <c r="JT156" s="39">
        <f t="shared" si="189"/>
        <v>0.69334121153614525</v>
      </c>
      <c r="JU156" s="385">
        <f>(JQ156*JM156-INDEX(Input!$1:$1048576,Input!A$18,$C156*2+6)*JL156*INDEX(Input!$1:$1048576,Input!A$19,$C156*2+6))/1000000</f>
        <v>1.1824267907340031</v>
      </c>
      <c r="JV156" s="39">
        <f t="shared" si="192"/>
        <v>-0.23455116566127954</v>
      </c>
      <c r="JW156" s="1">
        <f t="shared" si="190"/>
        <v>-0.16552915633067811</v>
      </c>
      <c r="JX156" s="19">
        <f t="shared" si="191"/>
        <v>9060.6308291587447</v>
      </c>
      <c r="JZ156" s="341"/>
      <c r="KA156" s="342"/>
      <c r="KB156" s="469">
        <f t="shared" si="110"/>
        <v>2.9286733661474216</v>
      </c>
      <c r="KI156" s="473">
        <f t="shared" si="283"/>
        <v>23.776060299187733</v>
      </c>
      <c r="KJ156" s="473">
        <f t="shared" si="284"/>
        <v>19.18494332074269</v>
      </c>
      <c r="KK156" s="473">
        <f t="shared" si="257"/>
        <v>33.561395825464501</v>
      </c>
      <c r="KN156" s="544">
        <f t="shared" si="258"/>
        <v>1002</v>
      </c>
      <c r="KO156" s="541">
        <f t="shared" si="285"/>
        <v>0.16677257323419159</v>
      </c>
      <c r="KP156" s="546">
        <f t="shared" si="286"/>
        <v>886.09638382143703</v>
      </c>
      <c r="KQ156" s="546">
        <f t="shared" si="287"/>
        <v>893.26302952436845</v>
      </c>
      <c r="KR156" s="548">
        <f t="shared" si="288"/>
        <v>3.226996362236485</v>
      </c>
      <c r="KS156" s="548">
        <f t="shared" si="289"/>
        <v>3.2011061833659773</v>
      </c>
      <c r="KT156" s="473">
        <f t="shared" si="112"/>
        <v>238.28695973331548</v>
      </c>
      <c r="KU156" s="663">
        <f t="shared" si="290"/>
        <v>6.3867052846595618</v>
      </c>
      <c r="KV156" s="117"/>
    </row>
    <row r="157" spans="1:308" s="26" customFormat="1" ht="15" outlineLevel="1">
      <c r="A157" s="561">
        <f t="shared" si="168"/>
        <v>1057</v>
      </c>
      <c r="B157" s="561">
        <f t="shared" si="104"/>
        <v>57</v>
      </c>
      <c r="C157" s="561">
        <f t="shared" si="105"/>
        <v>1</v>
      </c>
      <c r="D157" s="561" t="str">
        <f t="shared" si="294"/>
        <v xml:space="preserve">500 CC, 0/0/0.9/3.9, 360 Lease, </v>
      </c>
      <c r="E157" s="475">
        <f>INDEX(Input!$1:$1048576,E$93,$C157*2+MIN($B157,2)+5)
+INDEX(Scenarios!E$121:E$200,MATCH($B157,Scenarios!$B$121:$B$200,0))</f>
        <v>1729</v>
      </c>
      <c r="F157" s="475">
        <f>INDEX(Input!$1:$1048576,F$93,$C157*2+MIN($B157,2)+5)
+INDEX(Scenarios!F$121:F$200,MATCH($B157,Scenarios!$B$121:$B$200,0))</f>
        <v>0</v>
      </c>
      <c r="G157" s="475">
        <f>INDEX(Input!$1:$1048576,G$93,$C157*2+MIN($B157,2)+5)
+INDEX(Scenarios!G$121:G$200,MATCH($B157,Scenarios!$B$121:$B$200,0))</f>
        <v>0</v>
      </c>
      <c r="H157" s="475">
        <f>INDEX(Input!$1:$1048576,H$93,$C157*2+MIN($B157,2)+5)
+INDEX(Scenarios!H$121:H$200,MATCH($B157,Scenarios!$B$121:$B$200,0))</f>
        <v>0</v>
      </c>
      <c r="I157" s="476">
        <f>INDEX(Input!$1:$1048576,I$93,$C157*2+MIN($B157,2)+5)</f>
        <v>0.7</v>
      </c>
      <c r="J157" s="476" t="str">
        <f>INDEX(Input!$1:$1048576,J$93,$C157*2+MIN($B157,2)+5)</f>
        <v>Market</v>
      </c>
      <c r="K157" s="476" t="str">
        <f>INDEX(Input!$1:$1048576,K$93,$C157*2+MIN($B157,2)+5)</f>
        <v>Market</v>
      </c>
      <c r="L157" s="476" t="str">
        <f>INDEX(Input!$1:$1048576,L$93,$C157*2+MIN($B157,2)+5)</f>
        <v>Market</v>
      </c>
      <c r="M157" s="476" t="str">
        <f>INDEX(Input!$1:$1048576,M$93,$C157*2+MIN($B157,2)+5)</f>
        <v>Market</v>
      </c>
      <c r="N157" s="476" t="str">
        <f>INDEX(Input!$1:$1048576,N$93,$C157*2+MIN($B157,2)+5)</f>
        <v>Market</v>
      </c>
      <c r="O157" s="476" t="str">
        <f>INDEX(Input!$1:$1048576,O$93,$C157*2+MIN($B157,2)+5)</f>
        <v>Market</v>
      </c>
      <c r="P157" s="476" t="str">
        <f>INDEX(Input!$1:$1048576,P$93,$C157*2+MIN($B157,2)+5)</f>
        <v>N</v>
      </c>
      <c r="Q157" s="477">
        <f>INDEX(Input!$1:$1048576,Q$93,$C157*2+MIN($B157,2)+5)
+INDEX(Scenarios!Q$121:Q$200,MATCH($B157,Scenarios!$B$121:$B$200,0))</f>
        <v>0</v>
      </c>
      <c r="R157" s="478">
        <f>IFERROR(MAX(0,INDEX(Input!$1:$1048576,R$93,$C157*2+MIN($B157,2)+5)
+INDEX(Scenarios!R$121:R$200,MATCH($B157,Scenarios!$B$121:$B$200,0)),),"Market")</f>
        <v>0</v>
      </c>
      <c r="S157" s="478">
        <f>IFERROR(MAX(0,INDEX(Input!$1:$1048576,S$93,$C157*2+MIN($B157,2)+5)
+INDEX(Scenarios!S$121:S$200,MATCH($B157,Scenarios!$B$121:$B$200,0)),),"Market")</f>
        <v>0</v>
      </c>
      <c r="T157" s="478">
        <f>IFERROR(MAX(0,INDEX(Input!$1:$1048576,T$93,$C157*2+MIN($B157,2)+5)
+INDEX(Scenarios!T$121:T$200,MATCH($B157,Scenarios!$B$121:$B$200,0)),),"Market")</f>
        <v>0</v>
      </c>
      <c r="U157" s="478">
        <f>IFERROR(MAX(0,INDEX(Input!$1:$1048576,U$93,$C157*2+MIN($B157,2)+5)
+INDEX(Scenarios!U$121:U$200,MATCH($B157,Scenarios!$B$121:$B$200,0)),),"Market")</f>
        <v>0</v>
      </c>
      <c r="V157" s="478">
        <f>IFERROR(MAX(0,INDEX(Input!$1:$1048576,V$93,$C157*2+MIN($B157,2)+5)
+INDEX(Scenarios!V$121:V$200,MATCH($B157,Scenarios!$B$121:$B$200,0)),),"Market")</f>
        <v>8.9999999999999993E-3</v>
      </c>
      <c r="W157" s="885">
        <f>IFERROR(MAX(0,INDEX(Input!$1:$1048576,W$93,$C157*2+MIN($B157,2)+5)-0%,),"Market")</f>
        <v>3.9E-2</v>
      </c>
      <c r="X157" s="476" t="str">
        <f>INDEX(Input!$1:$1048576,X$93,$C157*2+MIN($B157,2)+5)</f>
        <v>Y</v>
      </c>
      <c r="Y157" s="475">
        <f>INDEX(Input!$1:$1048576,Y$93,$C157*2+MIN($B157,2)+5)
++INDEX(Scenarios!Y$121:Y$200,MATCH($B157,Scenarios!$B$121:$B$200,0))</f>
        <v>2302</v>
      </c>
      <c r="Z157" s="477">
        <f>INDEX(Input!$1:$1048576,Z$93,$C157*2+MIN($B157,2)+5)
+INDEX(Scenarios!Z$121:Z$200,MATCH($B157,Scenarios!$B$121:$B$200,0))</f>
        <v>0</v>
      </c>
      <c r="AA157" s="475">
        <f>INDEX(Input!$1:$1048576,AA$93,$C157*2+MIN($B157,2)+5)
+INDEX(Scenarios!AA$121:AA$200,MATCH($B157,Scenarios!$B$121:$B$200,0))</f>
        <v>0</v>
      </c>
      <c r="AB157" s="476">
        <f>INDEX(Input!$1:$1048576,AB$93,$C157*2+MIN($B157,2)+5)</f>
        <v>0.27</v>
      </c>
      <c r="AC157" s="475">
        <f>INDEX(Input!$1:$1048576,AC$93,$C157*2+MIN($B157,2)+5)
+INDEX(Scenarios!AC$121:AC$200,MATCH($B157,Scenarios!$B$121:$B$200,0))</f>
        <v>0</v>
      </c>
      <c r="AD157" s="476">
        <f>INDEX(Input!$1:$1048576,AD$93,$C157*2+MIN($B157,2)+5)</f>
        <v>0.27</v>
      </c>
      <c r="AE157" s="475">
        <f>INDEX(Input!$1:$1048576,AE$93,$C157*2+MIN($B157,2)+5)
+INDEX(Scenarios!AE$121:AE$200,MATCH($B157,Scenarios!$B$121:$B$200,0))</f>
        <v>0</v>
      </c>
      <c r="AF157" s="476">
        <f>INDEX(Input!$1:$1048576,AF$93,$C157*2+MIN($B157,2)+5)</f>
        <v>0.38</v>
      </c>
      <c r="AG157" s="475">
        <f>INDEX(Input!$1:$1048576,AG$93,$C157*2+MIN($B157,2)+5)
+INDEX(Scenarios!AG$121:AG$200,MATCH($B157,Scenarios!$B$121:$B$200,0))</f>
        <v>0</v>
      </c>
      <c r="AH157" s="476">
        <f>INDEX(Input!$1:$1048576,AH$93,$C157*2+MIN($B157,2)+5)</f>
        <v>0</v>
      </c>
      <c r="AI157" s="475">
        <f>INDEX(Input!$1:$1048576,AI$93,$C157*2+MIN($B157,2)+5)
+INDEX(Scenarios!AI$121:AI$200,MATCH($B157,Scenarios!$B$121:$B$200,0))</f>
        <v>0</v>
      </c>
      <c r="AJ157" s="476">
        <f>INDEX(Input!$1:$1048576,AJ$93,$C157*2+MIN($B157,2)+5)</f>
        <v>0.27</v>
      </c>
      <c r="AK157" s="150">
        <f>ROUND(INDEX(Input!$1:$1048576,AK$93,$C156*2+MIN($B157,1)+5)+(Y157-VLOOKUP($C157*1000+1,$A:$HH,Y$92,FALSE)),0)</f>
        <v>4117</v>
      </c>
      <c r="AL157" s="150">
        <f>ROUND(INDEX(Input!$1:$1048576,AL$93,$C156*2+MIN($B157,1)+5)-(Y157-VLOOKUP($C157*1000+1,$A:$HH,Y$92,FALSE))/36,0)</f>
        <v>4103</v>
      </c>
      <c r="AM157" s="32" t="str">
        <f t="shared" si="169"/>
        <v>std/std/std/std</v>
      </c>
      <c r="AN157" s="32" t="str">
        <f t="shared" si="170"/>
        <v>$0 + 0/0/0/0.9/3.9</v>
      </c>
      <c r="AO157" s="32" t="str">
        <f t="shared" si="171"/>
        <v>0/0/0/0.9/3.9</v>
      </c>
      <c r="AP157" s="32" t="str">
        <f t="shared" si="73"/>
        <v>0/0/0.9/3.9</v>
      </c>
      <c r="AQ157" s="536">
        <f t="shared" si="39"/>
        <v>0.2568787284106161</v>
      </c>
      <c r="AR157" s="32"/>
      <c r="AS157" s="302"/>
      <c r="AT157" s="3">
        <f t="shared" si="106"/>
        <v>57</v>
      </c>
      <c r="AU157" s="41" t="s">
        <v>121</v>
      </c>
      <c r="AV157" s="41" t="s">
        <v>116</v>
      </c>
      <c r="AW157" s="41" t="str">
        <f>INDEX(Input!$1:$1048576,AW$93,$C157*2+6)</f>
        <v>Kia</v>
      </c>
      <c r="AX157" s="41" t="str">
        <f>INDEX(Input!$1:$1048576,AX$93,$C157*2+6)</f>
        <v>Kia-LR - L1</v>
      </c>
      <c r="AY157" s="41" t="str">
        <f>IF(LEN(D157)=0,"",INDEX(Input!$1:$1048576,AY$93,$C157*2+6))</f>
        <v>Compact SUV (52)</v>
      </c>
      <c r="AZ157" s="41" t="str">
        <f>INDEX(Input!$1:$1048576,AZ$93,$C157*2+6)</f>
        <v>Kia Soul</v>
      </c>
      <c r="BA157" s="3">
        <f>INDEX(Input!$1:$1048576,BA$93,$C157*2+6)</f>
        <v>2020</v>
      </c>
      <c r="BB157" s="128">
        <f>INDEX(Input!$1:$1048576,BB$93,$C157*2+6)</f>
        <v>1</v>
      </c>
      <c r="BC157" s="128">
        <f>INDEX(Input!$1:$1048576,BC$93,$C157*2+6)</f>
        <v>0.7</v>
      </c>
      <c r="BD157" s="1">
        <f>INDEX(Input!$1:$1048576,BD$93,$C157*2+6)</f>
        <v>4.4999999999999998E-2</v>
      </c>
      <c r="BE157" s="1">
        <f>INDEX(Input!$1:$1048576,BE$93,$C157*2+6)</f>
        <v>4.4999999999999998E-2</v>
      </c>
      <c r="BF157" s="1">
        <f>INDEX(Input!$1:$1048576,BF$93,$C157*2+6)</f>
        <v>0.05</v>
      </c>
      <c r="BG157" s="1">
        <f>INDEX(Input!$1:$1048576,BG$93,$C157*2+6)</f>
        <v>5.45E-2</v>
      </c>
      <c r="BH157" s="1">
        <f>INDEX(Input!$1:$1048576,BH$93,$C157*2+6)</f>
        <v>5.45E-2</v>
      </c>
      <c r="BI157" s="1">
        <f>INDEX(Input!$1:$1048576,BI$93,$C157*2+6)</f>
        <v>0.05</v>
      </c>
      <c r="BJ157" s="1">
        <f>INDEX(Input!$1:$1048576,BJ$93,$C157*2+6)</f>
        <v>0.05</v>
      </c>
      <c r="BK157" s="1">
        <f>INDEX(Input!$1:$1048576,BK$93,$C157*2+6)</f>
        <v>0.05</v>
      </c>
      <c r="BL157" s="1">
        <f>INDEX(Input!$1:$1048576,BL$93,$C157*2+6)</f>
        <v>5.5E-2</v>
      </c>
      <c r="BM157" s="1">
        <f>INDEX(Input!$1:$1048576,BM$93,$C157*2+6)</f>
        <v>0.06</v>
      </c>
      <c r="BN157" s="1">
        <f>INDEX(Input!$1:$1048576,BN$93,$C157*2+6)</f>
        <v>4.4999999999999998E-2</v>
      </c>
      <c r="BO157" s="1">
        <f>INDEX(Input!$1:$1048576,BO$93,$C157*2+6)</f>
        <v>4.4999999999999998E-2</v>
      </c>
      <c r="BP157" s="1">
        <f>INDEX(Input!$1:$1048576,BP$93,$C157*2+6)</f>
        <v>0.05</v>
      </c>
      <c r="BQ157" s="1">
        <f>INDEX(Input!$1:$1048576,BQ$93,$C157*2+6)</f>
        <v>5.45E-2</v>
      </c>
      <c r="BR157" s="1">
        <f>INDEX(Input!$1:$1048576,BR$93,$C157*2+6)</f>
        <v>5.45E-2</v>
      </c>
      <c r="BS157" s="1">
        <f>INDEX(Input!$1:$1048576,BS$93,$C157*2+6)</f>
        <v>0.05</v>
      </c>
      <c r="BT157" s="1">
        <f>INDEX(Input!$1:$1048576,BT$93,$C157*2+6)</f>
        <v>0.05</v>
      </c>
      <c r="BU157" s="1">
        <f>INDEX(Input!$1:$1048576,BU$93,$C157*2+6)</f>
        <v>0.05</v>
      </c>
      <c r="BV157" s="1">
        <f>INDEX(Input!$1:$1048576,BV$93,$C157*2+6)</f>
        <v>5.5E-2</v>
      </c>
      <c r="BW157" s="1">
        <f>INDEX(Input!$1:$1048576,BW$93,$C157*2+6)</f>
        <v>0.06</v>
      </c>
      <c r="BX157" s="127">
        <f>INDEX(Input!$1:$1048576,BX$93,$C157*2+6)</f>
        <v>19985</v>
      </c>
      <c r="BY157" s="20">
        <f>INDEX(Input!$1:$1048576,BY$93,$C157*2+6)</f>
        <v>0.1</v>
      </c>
      <c r="BZ157" s="20">
        <f>INDEX(Input!$1:$1048576,BZ$93,$C157*2+6)</f>
        <v>0.1</v>
      </c>
      <c r="CA157" s="20">
        <f>INDEX(Input!$1:$1048576,CA$93,$C157*2+6)</f>
        <v>0.1</v>
      </c>
      <c r="CB157" s="20">
        <f>INDEX(Input!$1:$1048576,CB$93,$C157*2+6)</f>
        <v>0.1</v>
      </c>
      <c r="CC157" s="20">
        <f>INDEX(Input!$1:$1048576,CC$93,$C157*2+6)</f>
        <v>0.1</v>
      </c>
      <c r="CD157" s="384">
        <f>INDEX(Input!$1:$1048576,CD$93,$C157*2+6)</f>
        <v>0.1</v>
      </c>
      <c r="CE157" s="384">
        <f>INDEX(Input!$1:$1048576,CE$93,$C157*2+6)</f>
        <v>0.1</v>
      </c>
      <c r="CF157" s="384">
        <f>INDEX(Input!$1:$1048576,CF$93,$C157*2+6)</f>
        <v>0.1</v>
      </c>
      <c r="CG157" s="384">
        <f>INDEX(Input!$1:$1048576,CG$93,$C157*2+6)</f>
        <v>0.1</v>
      </c>
      <c r="CH157" s="384">
        <f>INDEX(Input!$1:$1048576,CH$93,$C157*2+6)</f>
        <v>0.1</v>
      </c>
      <c r="CI157" s="304">
        <f t="shared" si="74"/>
        <v>1729</v>
      </c>
      <c r="CJ157" s="16" t="str">
        <f>INDEX(Input!$1:$1048576,CJ$93,$C157*2+6)</f>
        <v>N</v>
      </c>
      <c r="CK157" s="1" t="str">
        <f t="shared" si="75"/>
        <v>Market</v>
      </c>
      <c r="CL157" s="1" t="str">
        <f t="shared" si="76"/>
        <v>Market</v>
      </c>
      <c r="CM157" s="1" t="str">
        <f t="shared" si="77"/>
        <v>Market</v>
      </c>
      <c r="CN157" s="1" t="str">
        <f t="shared" si="78"/>
        <v>Market</v>
      </c>
      <c r="CO157" s="1" t="str">
        <f t="shared" si="79"/>
        <v>Market</v>
      </c>
      <c r="CP157" s="304">
        <f t="shared" si="80"/>
        <v>0</v>
      </c>
      <c r="CQ157" s="1">
        <f t="shared" si="81"/>
        <v>0</v>
      </c>
      <c r="CR157" s="1">
        <f t="shared" si="82"/>
        <v>0</v>
      </c>
      <c r="CS157" s="1">
        <f t="shared" si="83"/>
        <v>0</v>
      </c>
      <c r="CT157" s="1">
        <f t="shared" si="84"/>
        <v>8.9999999999999993E-3</v>
      </c>
      <c r="CU157" s="1">
        <f t="shared" si="85"/>
        <v>3.9E-2</v>
      </c>
      <c r="CV157" s="304">
        <f t="shared" si="86"/>
        <v>2302</v>
      </c>
      <c r="CW157" s="20" t="s">
        <v>122</v>
      </c>
      <c r="CX157" s="20" t="s">
        <v>122</v>
      </c>
      <c r="CY157" s="20" t="s">
        <v>122</v>
      </c>
      <c r="CZ157" s="20" t="s">
        <v>122</v>
      </c>
      <c r="DA157" s="20" t="s">
        <v>122</v>
      </c>
      <c r="DB157" s="503">
        <f t="shared" si="87"/>
        <v>0</v>
      </c>
      <c r="DC157" s="127">
        <v>0</v>
      </c>
      <c r="DD157" s="127">
        <v>0</v>
      </c>
      <c r="DE157" s="127">
        <v>0</v>
      </c>
      <c r="DF157" s="127">
        <v>0</v>
      </c>
      <c r="DG157" s="127">
        <v>0</v>
      </c>
      <c r="DH157" s="127">
        <v>0</v>
      </c>
      <c r="DI157" s="127">
        <v>0</v>
      </c>
      <c r="DJ157" s="127">
        <v>0</v>
      </c>
      <c r="DK157" s="127">
        <v>0</v>
      </c>
      <c r="DL157" s="127">
        <v>0</v>
      </c>
      <c r="DM157" s="304">
        <f>INDEX(Input!$1:$1048576,DM$93,$C157*2+6)</f>
        <v>21036.84210526316</v>
      </c>
      <c r="DN157" s="20">
        <v>0</v>
      </c>
      <c r="DO157" s="20">
        <v>0</v>
      </c>
      <c r="DP157" s="20">
        <v>0</v>
      </c>
      <c r="DQ157" s="20">
        <v>0</v>
      </c>
      <c r="DR157" s="20">
        <v>0</v>
      </c>
      <c r="DS157" s="20">
        <f>INDEX(Input!$1:$1048576,DS$93,$C157*2+6)</f>
        <v>0.6</v>
      </c>
      <c r="DT157" s="20">
        <f>INDEX(Input!$1:$1048576,DT$93,$C157*2+6)</f>
        <v>0.55000000000000004</v>
      </c>
      <c r="DU157" s="20">
        <f>INDEX(Input!$1:$1048576,DU$93,$C157*2+6)</f>
        <v>0.52</v>
      </c>
      <c r="DV157" s="20">
        <f>INDEX(Input!$1:$1048576,DV$93,$C157*2+6)</f>
        <v>0.5</v>
      </c>
      <c r="DW157" s="20">
        <f>INDEX(Input!$1:$1048576,DW$93,$C157*2+6)</f>
        <v>0.45</v>
      </c>
      <c r="DX157" s="20"/>
      <c r="DY157" s="7">
        <v>0.10413106009710103</v>
      </c>
      <c r="DZ157" s="7">
        <v>0</v>
      </c>
      <c r="EA157" s="7">
        <v>0.46998075063322781</v>
      </c>
      <c r="EB157" s="7">
        <v>0</v>
      </c>
      <c r="EC157" s="7">
        <v>0</v>
      </c>
      <c r="ED157" s="7">
        <v>0</v>
      </c>
      <c r="EE157" s="7">
        <v>0</v>
      </c>
      <c r="EF157" s="7">
        <v>0</v>
      </c>
      <c r="EG157" s="7">
        <v>0</v>
      </c>
      <c r="EH157" s="7">
        <v>1.4789192705906978E-2</v>
      </c>
      <c r="EI157" s="7">
        <v>4.3188566954775423E-2</v>
      </c>
      <c r="EJ157" s="7">
        <v>0.27281740913088942</v>
      </c>
      <c r="EK157" s="7">
        <v>0.58408530924176338</v>
      </c>
      <c r="EL157" s="7">
        <v>8.5119521966665154E-2</v>
      </c>
      <c r="EM157" s="7">
        <v>4.7308094470954007E-2</v>
      </c>
      <c r="EN157" s="7">
        <v>5.2416424716025832E-2</v>
      </c>
      <c r="EO157" s="7">
        <v>0.78015670673154847</v>
      </c>
      <c r="EP157" s="7">
        <v>7.3001757795592481E-2</v>
      </c>
      <c r="EQ157" s="7">
        <v>5.5504556706157636E-2</v>
      </c>
      <c r="ER157" s="7">
        <v>3.8920554050675744E-2</v>
      </c>
      <c r="ES157" s="7">
        <v>0.37858009479871707</v>
      </c>
      <c r="ET157" s="7">
        <v>0.42588818926967115</v>
      </c>
      <c r="EU157" s="6">
        <v>1770</v>
      </c>
      <c r="EV157" s="6">
        <v>0</v>
      </c>
      <c r="EW157" s="6">
        <v>1770</v>
      </c>
      <c r="EX157" s="6">
        <v>0</v>
      </c>
      <c r="EY157" s="6">
        <v>2319.8491773399105</v>
      </c>
      <c r="EZ157" s="6">
        <v>2445</v>
      </c>
      <c r="FA157" s="6">
        <v>0</v>
      </c>
      <c r="FB157" s="6">
        <v>0</v>
      </c>
      <c r="FC157" s="6">
        <v>0</v>
      </c>
      <c r="FD157" s="6">
        <v>0</v>
      </c>
      <c r="FE157" s="6">
        <v>0</v>
      </c>
      <c r="FF157" s="6">
        <v>0</v>
      </c>
      <c r="FG157" s="6">
        <v>0</v>
      </c>
      <c r="FH157" s="6">
        <v>1171.2811379695618</v>
      </c>
      <c r="FI157" s="6">
        <v>1553.9796069512404</v>
      </c>
      <c r="FJ157" s="6">
        <v>2101.211011744741</v>
      </c>
      <c r="FK157" s="6">
        <v>2251.3078348034664</v>
      </c>
      <c r="FL157" s="6">
        <v>907.07682140966358</v>
      </c>
      <c r="FM157" s="6">
        <v>2049.8491773399105</v>
      </c>
      <c r="FN157" s="6">
        <v>0</v>
      </c>
      <c r="FO157" s="6">
        <v>0</v>
      </c>
      <c r="FP157" s="6">
        <v>0</v>
      </c>
      <c r="FQ157" s="6">
        <v>0</v>
      </c>
      <c r="FR157" s="6">
        <v>0</v>
      </c>
      <c r="FS157" s="6">
        <v>0</v>
      </c>
      <c r="FT157" s="7">
        <v>0.5741118107303288</v>
      </c>
      <c r="FU157" s="7">
        <v>4.7308094470954007E-2</v>
      </c>
      <c r="FV157" s="7">
        <v>0.37858009479871707</v>
      </c>
      <c r="FW157" s="6">
        <v>1770</v>
      </c>
      <c r="FX157" s="6">
        <v>2319.8491773399105</v>
      </c>
      <c r="FY157" s="6">
        <v>2445</v>
      </c>
      <c r="FZ157" s="6">
        <v>1952.7147957719815</v>
      </c>
      <c r="GA157" s="6">
        <v>2051.5538808155065</v>
      </c>
      <c r="GB157" s="6">
        <v>17933.446119184493</v>
      </c>
      <c r="GC157" s="7">
        <v>1.0519917368675835E-2</v>
      </c>
      <c r="GD157" s="7">
        <v>1.0916155517768601E-2</v>
      </c>
      <c r="GE157" s="7"/>
      <c r="GF157" s="7"/>
      <c r="GG157" s="7">
        <v>3.7665519148715652E-2</v>
      </c>
      <c r="GH157" s="42">
        <v>7.6158677496417653</v>
      </c>
      <c r="GI157" s="6">
        <v>4675.680330613699</v>
      </c>
      <c r="GJ157" s="14">
        <v>0.50394797582841733</v>
      </c>
      <c r="GK157" s="14">
        <v>0.50887573065309744</v>
      </c>
      <c r="GL157" s="14">
        <v>0.49605202417158262</v>
      </c>
      <c r="GM157" s="14">
        <v>0.4911242693469024</v>
      </c>
      <c r="GO157" s="5">
        <v>343.14810671672558</v>
      </c>
      <c r="GP157" s="5">
        <v>309.37988338875158</v>
      </c>
      <c r="GQ157" s="5">
        <v>535.04305713031317</v>
      </c>
      <c r="GR157" s="5">
        <v>410.15490233172511</v>
      </c>
      <c r="GS157" s="5">
        <v>339.42744393800166</v>
      </c>
      <c r="GT157" s="5">
        <v>293.4407446948278</v>
      </c>
      <c r="GU157" s="5">
        <v>258.04012322764959</v>
      </c>
      <c r="GV157" s="39" t="s">
        <v>392</v>
      </c>
      <c r="GW157" s="5">
        <v>492.125</v>
      </c>
      <c r="GX157" s="5">
        <v>369.09375</v>
      </c>
      <c r="GY157" s="5">
        <v>295.27499999999998</v>
      </c>
      <c r="GZ157" s="5">
        <v>252.85821728143046</v>
      </c>
      <c r="HA157" s="5">
        <v>241.34874471337258</v>
      </c>
      <c r="HB157" s="39">
        <v>272.00918188838426</v>
      </c>
      <c r="HC157" s="5">
        <v>180.31562499999998</v>
      </c>
      <c r="HD157" s="5">
        <v>166.79497441520465</v>
      </c>
      <c r="HE157" s="5">
        <v>173.1768092105263</v>
      </c>
      <c r="HF157" s="5">
        <v>164.36813048245611</v>
      </c>
      <c r="HG157" s="5">
        <v>163.76888157894734</v>
      </c>
      <c r="HH157" s="39">
        <v>167.71708563023569</v>
      </c>
      <c r="HI157" s="16"/>
      <c r="HJ157" s="19" t="str">
        <f t="shared" ref="HJ157" si="386">HJ156</f>
        <v>On</v>
      </c>
      <c r="HK157" s="1" t="str">
        <f t="shared" si="108"/>
        <v>On</v>
      </c>
      <c r="HL157" s="16"/>
      <c r="HM157" s="639">
        <f t="shared" si="266"/>
        <v>5.7455619280273196E-3</v>
      </c>
      <c r="HN157" s="639">
        <f t="shared" si="267"/>
        <v>5.0031960498701745E-4</v>
      </c>
      <c r="HO157" s="639">
        <f t="shared" si="268"/>
        <v>3.9819433988714835E-3</v>
      </c>
      <c r="HP157" s="644">
        <f>(FT157*$GD157-HM157)/$JF157*INDEX(Input!$1:$1048576,$JG$93,$C157*2+6)</f>
        <v>22.742197988409291</v>
      </c>
      <c r="HQ157" s="644">
        <f>(FU157*$GD157-HN157)/$JF157*INDEX(Input!$1:$1048576,$JG$93,$C157*2+6)</f>
        <v>0.7021921650050561</v>
      </c>
      <c r="HR157" s="644">
        <f>(FV157*$GD157-HO157)/$JF157*INDEX(Input!$1:$1048576,$JG$93,$C157*2+6)</f>
        <v>6.5713212366627261</v>
      </c>
      <c r="HS157" s="644">
        <f t="shared" si="269"/>
        <v>-9.7680137139482195</v>
      </c>
      <c r="HT157" s="644">
        <f t="shared" si="270"/>
        <v>3.053747116955801</v>
      </c>
      <c r="HU157" s="644">
        <f t="shared" si="271"/>
        <v>9.4232243741071819</v>
      </c>
      <c r="HV157" s="648">
        <f t="shared" si="272"/>
        <v>0</v>
      </c>
      <c r="HW157" s="648">
        <f t="shared" si="273"/>
        <v>0</v>
      </c>
      <c r="HX157" s="648">
        <f t="shared" si="274"/>
        <v>0</v>
      </c>
      <c r="HY157" s="644">
        <f>INDEX(Input!$1:$1048576,HY$93,$C157*2+6)*INDEX(Input!$1:$1048576,$JG$93,$C157*2+6)</f>
        <v>110.00000000000001</v>
      </c>
      <c r="HZ157" s="644">
        <f>INDEX(Input!$1:$1048576,HZ$93,$C157*2+6)*INDEX(Input!$1:$1048576,$JG$93,$C157*2+6)</f>
        <v>157</v>
      </c>
      <c r="IA157" s="644">
        <f>INDEX(Input!$1:$1048576,IA$93,$C157*2+6)*INDEX(Input!$1:$1048576,$JG$93,$C157*2+6)</f>
        <v>179</v>
      </c>
      <c r="IB157" s="644">
        <f t="shared" si="249"/>
        <v>122.97418427446112</v>
      </c>
      <c r="IC157" s="644">
        <f t="shared" si="172"/>
        <v>160.75593928196085</v>
      </c>
      <c r="ID157" s="644">
        <f>IF(AND(INDEX(Input!$1:$1048576,IA$93,$C157*2+7)="TOS",Y157&lt;=INDEX(Y:Y,MATCH(C157*1000+2,A:A))),0,1)*MAX(IA157+HR157+HU157+HX157,0%)</f>
        <v>194.9945456107699</v>
      </c>
      <c r="IE157" s="128">
        <f t="shared" si="275"/>
        <v>0.2568787284106161</v>
      </c>
      <c r="IF157" s="128">
        <f t="shared" si="174"/>
        <v>0.33580040811687883</v>
      </c>
      <c r="IG157" s="128">
        <f t="shared" si="175"/>
        <v>0.40732086347250501</v>
      </c>
      <c r="IH157" s="21"/>
      <c r="II157" s="19">
        <f t="shared" si="276"/>
        <v>1240</v>
      </c>
      <c r="IJ157" s="19">
        <f t="shared" si="277"/>
        <v>2009.7221397149679</v>
      </c>
      <c r="IK157" s="19">
        <f t="shared" si="278"/>
        <v>2070</v>
      </c>
      <c r="IL157" s="19">
        <f t="shared" si="176"/>
        <v>530</v>
      </c>
      <c r="IM157" s="19">
        <f t="shared" si="177"/>
        <v>310.12703762494266</v>
      </c>
      <c r="IN157" s="19">
        <f t="shared" si="178"/>
        <v>375</v>
      </c>
      <c r="IO157" s="39">
        <f t="shared" si="279"/>
        <v>0</v>
      </c>
      <c r="IP157" s="39">
        <f t="shared" si="280"/>
        <v>0</v>
      </c>
      <c r="IQ157" s="39">
        <f t="shared" si="281"/>
        <v>0</v>
      </c>
      <c r="IR157" s="39">
        <v>0</v>
      </c>
      <c r="IS157" s="39">
        <v>0</v>
      </c>
      <c r="IT157" s="39">
        <v>0</v>
      </c>
      <c r="IU157" s="39">
        <v>0</v>
      </c>
      <c r="IV157" s="39">
        <v>0</v>
      </c>
      <c r="IW157" s="39">
        <v>0</v>
      </c>
      <c r="IX157" s="39">
        <f>INDEX(Input!$1:$1048576,IX$93,$C157*2+6)+INDEX(Input!$1:$1048576,IX$94,$C157*2+6)</f>
        <v>1270</v>
      </c>
      <c r="IY157" s="39">
        <f>INDEX(Input!$1:$1048576,IY$93,$C157*2+6)+INDEX(Input!$1:$1048576,IY$94,$C157*2+6)</f>
        <v>2130.0624533823611</v>
      </c>
      <c r="IZ157" s="39">
        <f>INDEX(Input!$1:$1048576,IZ$93,$C157*2+6)+INDEX(Input!$1:$1048576,IZ$94,$C157*2+6)</f>
        <v>4373.7164157747848</v>
      </c>
      <c r="JA157" s="19">
        <f t="shared" si="179"/>
        <v>1800</v>
      </c>
      <c r="JB157" s="19">
        <f t="shared" si="180"/>
        <v>2440.1894910073038</v>
      </c>
      <c r="JC157" s="19">
        <f t="shared" si="181"/>
        <v>4748.7164157747848</v>
      </c>
      <c r="JD157" s="19">
        <f t="shared" si="182"/>
        <v>3216.0496089613252</v>
      </c>
      <c r="JE157" s="21"/>
      <c r="JF157" s="1">
        <f t="shared" si="282"/>
        <v>1.022782493188582E-2</v>
      </c>
      <c r="JG157" s="15">
        <f>INDEX(Input!$1:$1048576,JG$93,$C157*2+6)/(1+VLOOKUP(C157*1000+INDEX(Input!$1:$1048576,JG$93+1,$C157*2+6),$A:$KK,$JK$92,FALSE))</f>
        <v>446</v>
      </c>
      <c r="JH157" s="1">
        <f t="shared" si="251"/>
        <v>6.7299801323042766E-2</v>
      </c>
      <c r="JI157" s="1">
        <f t="shared" si="252"/>
        <v>6.0738963612438643E-3</v>
      </c>
      <c r="JJ157" s="1">
        <f t="shared" si="253"/>
        <v>0</v>
      </c>
      <c r="JK157" s="1">
        <f t="shared" si="254"/>
        <v>7.3373697684286629E-2</v>
      </c>
      <c r="JL157" s="15">
        <f t="shared" si="184"/>
        <v>32.724669167191834</v>
      </c>
      <c r="JM157" s="15">
        <f t="shared" si="185"/>
        <v>478.72466916719185</v>
      </c>
      <c r="JN157" s="21"/>
      <c r="JO157" s="19">
        <f>INDEX(Input!$1:$1048576,JO$93,$C157*2+6)</f>
        <v>5995.5</v>
      </c>
      <c r="JP157" s="19">
        <f>INDEX(Input!$1:$1048576,JP$93,$C157*2+6)</f>
        <v>2818.4193802796353</v>
      </c>
      <c r="JQ157" s="39">
        <f t="shared" si="186"/>
        <v>2779.4503910386748</v>
      </c>
      <c r="JR157" s="39">
        <f t="shared" si="187"/>
        <v>397.63022868168991</v>
      </c>
      <c r="JS157" s="39">
        <f t="shared" si="188"/>
        <v>1.5396022850752871</v>
      </c>
      <c r="JT157" s="39">
        <f t="shared" si="189"/>
        <v>0.28258724147056974</v>
      </c>
      <c r="JU157" s="385">
        <f>(JQ157*JM157-INDEX(Input!$1:$1048576,Input!A$18,$C157*2+6)*JL157*INDEX(Input!$1:$1048576,Input!A$19,$C157*2+6))/1000000</f>
        <v>1.3305914689166116</v>
      </c>
      <c r="JV157" s="39">
        <f t="shared" si="192"/>
        <v>-8.6386487478671059E-2</v>
      </c>
      <c r="JW157" s="1">
        <f t="shared" si="190"/>
        <v>-6.0965300898846539E-2</v>
      </c>
      <c r="JX157" s="19">
        <f t="shared" si="191"/>
        <v>8635.2971217774138</v>
      </c>
      <c r="JZ157" s="341"/>
      <c r="KA157" s="342"/>
      <c r="KB157" s="469">
        <f t="shared" si="110"/>
        <v>2.9286733661474216</v>
      </c>
      <c r="KI157" s="473">
        <f t="shared" si="283"/>
        <v>12.974184274461109</v>
      </c>
      <c r="KJ157" s="473">
        <f t="shared" si="284"/>
        <v>3.7559392819608206</v>
      </c>
      <c r="KK157" s="473">
        <f t="shared" si="257"/>
        <v>15.994545610769876</v>
      </c>
      <c r="KN157" s="544">
        <f t="shared" si="258"/>
        <v>1002</v>
      </c>
      <c r="KO157" s="541">
        <f t="shared" si="285"/>
        <v>6.8973913286300981E-2</v>
      </c>
      <c r="KP157" s="546">
        <f t="shared" si="286"/>
        <v>369.14164861443788</v>
      </c>
      <c r="KQ157" s="546">
        <f t="shared" si="287"/>
        <v>376.73340894267358</v>
      </c>
      <c r="KR157" s="548">
        <f t="shared" si="288"/>
        <v>3.2036615540216635</v>
      </c>
      <c r="KS157" s="548">
        <f t="shared" si="289"/>
        <v>3.1391028233288503</v>
      </c>
      <c r="KT157" s="473">
        <f t="shared" si="112"/>
        <v>238.28695973331548</v>
      </c>
      <c r="KU157" s="663">
        <f t="shared" si="290"/>
        <v>6.2702905722950222</v>
      </c>
      <c r="KV157" s="117"/>
    </row>
    <row r="158" spans="1:308" s="26" customFormat="1" ht="15" outlineLevel="1">
      <c r="A158" s="561">
        <f t="shared" si="168"/>
        <v>1058</v>
      </c>
      <c r="B158" s="561">
        <f t="shared" si="104"/>
        <v>58</v>
      </c>
      <c r="C158" s="561">
        <f t="shared" si="105"/>
        <v>1</v>
      </c>
      <c r="D158" s="561" t="str">
        <f t="shared" si="294"/>
        <v xml:space="preserve">1000 CC, 0/0/0.9/3.9, 360 Lease, </v>
      </c>
      <c r="E158" s="475">
        <f>INDEX(Input!$1:$1048576,E$93,$C158*2+MIN($B158,2)+5)
+INDEX(Scenarios!E$121:E$200,MATCH($B158,Scenarios!$B$121:$B$200,0))</f>
        <v>2229</v>
      </c>
      <c r="F158" s="475">
        <f>INDEX(Input!$1:$1048576,F$93,$C158*2+MIN($B158,2)+5)
+INDEX(Scenarios!F$121:F$200,MATCH($B158,Scenarios!$B$121:$B$200,0))</f>
        <v>0</v>
      </c>
      <c r="G158" s="475">
        <f>INDEX(Input!$1:$1048576,G$93,$C158*2+MIN($B158,2)+5)
+INDEX(Scenarios!G$121:G$200,MATCH($B158,Scenarios!$B$121:$B$200,0))</f>
        <v>0</v>
      </c>
      <c r="H158" s="475">
        <f>INDEX(Input!$1:$1048576,H$93,$C158*2+MIN($B158,2)+5)
+INDEX(Scenarios!H$121:H$200,MATCH($B158,Scenarios!$B$121:$B$200,0))</f>
        <v>0</v>
      </c>
      <c r="I158" s="476">
        <f>INDEX(Input!$1:$1048576,I$93,$C158*2+MIN($B158,2)+5)</f>
        <v>0.7</v>
      </c>
      <c r="J158" s="476" t="str">
        <f>INDEX(Input!$1:$1048576,J$93,$C158*2+MIN($B158,2)+5)</f>
        <v>Market</v>
      </c>
      <c r="K158" s="476" t="str">
        <f>INDEX(Input!$1:$1048576,K$93,$C158*2+MIN($B158,2)+5)</f>
        <v>Market</v>
      </c>
      <c r="L158" s="476" t="str">
        <f>INDEX(Input!$1:$1048576,L$93,$C158*2+MIN($B158,2)+5)</f>
        <v>Market</v>
      </c>
      <c r="M158" s="476" t="str">
        <f>INDEX(Input!$1:$1048576,M$93,$C158*2+MIN($B158,2)+5)</f>
        <v>Market</v>
      </c>
      <c r="N158" s="476" t="str">
        <f>INDEX(Input!$1:$1048576,N$93,$C158*2+MIN($B158,2)+5)</f>
        <v>Market</v>
      </c>
      <c r="O158" s="476" t="str">
        <f>INDEX(Input!$1:$1048576,O$93,$C158*2+MIN($B158,2)+5)</f>
        <v>Market</v>
      </c>
      <c r="P158" s="476" t="str">
        <f>INDEX(Input!$1:$1048576,P$93,$C158*2+MIN($B158,2)+5)</f>
        <v>N</v>
      </c>
      <c r="Q158" s="477">
        <f>INDEX(Input!$1:$1048576,Q$93,$C158*2+MIN($B158,2)+5)
+INDEX(Scenarios!Q$121:Q$200,MATCH($B158,Scenarios!$B$121:$B$200,0))</f>
        <v>0</v>
      </c>
      <c r="R158" s="478">
        <f>IFERROR(MAX(0,INDEX(Input!$1:$1048576,R$93,$C158*2+MIN($B158,2)+5)
+INDEX(Scenarios!R$121:R$200,MATCH($B158,Scenarios!$B$121:$B$200,0)),),"Market")</f>
        <v>0</v>
      </c>
      <c r="S158" s="478">
        <f>IFERROR(MAX(0,INDEX(Input!$1:$1048576,S$93,$C158*2+MIN($B158,2)+5)
+INDEX(Scenarios!S$121:S$200,MATCH($B158,Scenarios!$B$121:$B$200,0)),),"Market")</f>
        <v>0</v>
      </c>
      <c r="T158" s="478">
        <f>IFERROR(MAX(0,INDEX(Input!$1:$1048576,T$93,$C158*2+MIN($B158,2)+5)
+INDEX(Scenarios!T$121:T$200,MATCH($B158,Scenarios!$B$121:$B$200,0)),),"Market")</f>
        <v>0</v>
      </c>
      <c r="U158" s="478">
        <f>IFERROR(MAX(0,INDEX(Input!$1:$1048576,U$93,$C158*2+MIN($B158,2)+5)
+INDEX(Scenarios!U$121:U$200,MATCH($B158,Scenarios!$B$121:$B$200,0)),),"Market")</f>
        <v>0</v>
      </c>
      <c r="V158" s="478">
        <f>IFERROR(MAX(0,INDEX(Input!$1:$1048576,V$93,$C158*2+MIN($B158,2)+5)
+INDEX(Scenarios!V$121:V$200,MATCH($B158,Scenarios!$B$121:$B$200,0)),),"Market")</f>
        <v>8.9999999999999993E-3</v>
      </c>
      <c r="W158" s="885">
        <f>IFERROR(MAX(0,INDEX(Input!$1:$1048576,W$93,$C158*2+MIN($B158,2)+5)-0%,),"Market")</f>
        <v>3.9E-2</v>
      </c>
      <c r="X158" s="476" t="str">
        <f>INDEX(Input!$1:$1048576,X$93,$C158*2+MIN($B158,2)+5)</f>
        <v>Y</v>
      </c>
      <c r="Y158" s="475">
        <f>INDEX(Input!$1:$1048576,Y$93,$C158*2+MIN($B158,2)+5)
++INDEX(Scenarios!Y$121:Y$200,MATCH($B158,Scenarios!$B$121:$B$200,0))</f>
        <v>2302</v>
      </c>
      <c r="Z158" s="477">
        <f>INDEX(Input!$1:$1048576,Z$93,$C158*2+MIN($B158,2)+5)
+INDEX(Scenarios!Z$121:Z$200,MATCH($B158,Scenarios!$B$121:$B$200,0))</f>
        <v>0</v>
      </c>
      <c r="AA158" s="475">
        <f>INDEX(Input!$1:$1048576,AA$93,$C158*2+MIN($B158,2)+5)
+INDEX(Scenarios!AA$121:AA$200,MATCH($B158,Scenarios!$B$121:$B$200,0))</f>
        <v>0</v>
      </c>
      <c r="AB158" s="476">
        <f>INDEX(Input!$1:$1048576,AB$93,$C158*2+MIN($B158,2)+5)</f>
        <v>0.27</v>
      </c>
      <c r="AC158" s="475">
        <f>INDEX(Input!$1:$1048576,AC$93,$C158*2+MIN($B158,2)+5)
+INDEX(Scenarios!AC$121:AC$200,MATCH($B158,Scenarios!$B$121:$B$200,0))</f>
        <v>0</v>
      </c>
      <c r="AD158" s="476">
        <f>INDEX(Input!$1:$1048576,AD$93,$C158*2+MIN($B158,2)+5)</f>
        <v>0.27</v>
      </c>
      <c r="AE158" s="475">
        <f>INDEX(Input!$1:$1048576,AE$93,$C158*2+MIN($B158,2)+5)
+INDEX(Scenarios!AE$121:AE$200,MATCH($B158,Scenarios!$B$121:$B$200,0))</f>
        <v>0</v>
      </c>
      <c r="AF158" s="476">
        <f>INDEX(Input!$1:$1048576,AF$93,$C158*2+MIN($B158,2)+5)</f>
        <v>0.38</v>
      </c>
      <c r="AG158" s="475">
        <f>INDEX(Input!$1:$1048576,AG$93,$C158*2+MIN($B158,2)+5)
+INDEX(Scenarios!AG$121:AG$200,MATCH($B158,Scenarios!$B$121:$B$200,0))</f>
        <v>0</v>
      </c>
      <c r="AH158" s="476">
        <f>INDEX(Input!$1:$1048576,AH$93,$C158*2+MIN($B158,2)+5)</f>
        <v>0</v>
      </c>
      <c r="AI158" s="475">
        <f>INDEX(Input!$1:$1048576,AI$93,$C158*2+MIN($B158,2)+5)
+INDEX(Scenarios!AI$121:AI$200,MATCH($B158,Scenarios!$B$121:$B$200,0))</f>
        <v>0</v>
      </c>
      <c r="AJ158" s="476">
        <f>INDEX(Input!$1:$1048576,AJ$93,$C158*2+MIN($B158,2)+5)</f>
        <v>0.27</v>
      </c>
      <c r="AK158" s="150">
        <f>ROUND(INDEX(Input!$1:$1048576,AK$93,$C157*2+MIN($B158,1)+5)+(Y158-VLOOKUP($C158*1000+1,$A:$HH,Y$92,FALSE)),0)</f>
        <v>4117</v>
      </c>
      <c r="AL158" s="150">
        <f>ROUND(INDEX(Input!$1:$1048576,AL$93,$C157*2+MIN($B158,1)+5)-(Y158-VLOOKUP($C158*1000+1,$A:$HH,Y$92,FALSE))/36,0)</f>
        <v>4103</v>
      </c>
      <c r="AM158" s="32" t="str">
        <f t="shared" si="169"/>
        <v>std/std/std/std</v>
      </c>
      <c r="AN158" s="32" t="str">
        <f t="shared" si="170"/>
        <v>$0 + 0/0/0/0.9/3.9</v>
      </c>
      <c r="AO158" s="32" t="str">
        <f t="shared" si="171"/>
        <v>0/0/0/0.9/3.9</v>
      </c>
      <c r="AP158" s="32" t="str">
        <f t="shared" si="73"/>
        <v>0/0/0.9/3.9</v>
      </c>
      <c r="AQ158" s="536">
        <f t="shared" si="39"/>
        <v>0.32171484409942808</v>
      </c>
      <c r="AR158" s="32"/>
      <c r="AS158" s="302"/>
      <c r="AT158" s="3">
        <f t="shared" si="106"/>
        <v>58</v>
      </c>
      <c r="AU158" s="41" t="s">
        <v>121</v>
      </c>
      <c r="AV158" s="41" t="s">
        <v>116</v>
      </c>
      <c r="AW158" s="41" t="str">
        <f>INDEX(Input!$1:$1048576,AW$93,$C158*2+6)</f>
        <v>Kia</v>
      </c>
      <c r="AX158" s="41" t="str">
        <f>INDEX(Input!$1:$1048576,AX$93,$C158*2+6)</f>
        <v>Kia-LR - L1</v>
      </c>
      <c r="AY158" s="41" t="str">
        <f>IF(LEN(D158)=0,"",INDEX(Input!$1:$1048576,AY$93,$C158*2+6))</f>
        <v>Compact SUV (52)</v>
      </c>
      <c r="AZ158" s="41" t="str">
        <f>INDEX(Input!$1:$1048576,AZ$93,$C158*2+6)</f>
        <v>Kia Soul</v>
      </c>
      <c r="BA158" s="3">
        <f>INDEX(Input!$1:$1048576,BA$93,$C158*2+6)</f>
        <v>2020</v>
      </c>
      <c r="BB158" s="128">
        <f>INDEX(Input!$1:$1048576,BB$93,$C158*2+6)</f>
        <v>1</v>
      </c>
      <c r="BC158" s="128">
        <f>INDEX(Input!$1:$1048576,BC$93,$C158*2+6)</f>
        <v>0.7</v>
      </c>
      <c r="BD158" s="1">
        <f>INDEX(Input!$1:$1048576,BD$93,$C158*2+6)</f>
        <v>4.4999999999999998E-2</v>
      </c>
      <c r="BE158" s="1">
        <f>INDEX(Input!$1:$1048576,BE$93,$C158*2+6)</f>
        <v>4.4999999999999998E-2</v>
      </c>
      <c r="BF158" s="1">
        <f>INDEX(Input!$1:$1048576,BF$93,$C158*2+6)</f>
        <v>0.05</v>
      </c>
      <c r="BG158" s="1">
        <f>INDEX(Input!$1:$1048576,BG$93,$C158*2+6)</f>
        <v>5.45E-2</v>
      </c>
      <c r="BH158" s="1">
        <f>INDEX(Input!$1:$1048576,BH$93,$C158*2+6)</f>
        <v>5.45E-2</v>
      </c>
      <c r="BI158" s="1">
        <f>INDEX(Input!$1:$1048576,BI$93,$C158*2+6)</f>
        <v>0.05</v>
      </c>
      <c r="BJ158" s="1">
        <f>INDEX(Input!$1:$1048576,BJ$93,$C158*2+6)</f>
        <v>0.05</v>
      </c>
      <c r="BK158" s="1">
        <f>INDEX(Input!$1:$1048576,BK$93,$C158*2+6)</f>
        <v>0.05</v>
      </c>
      <c r="BL158" s="1">
        <f>INDEX(Input!$1:$1048576,BL$93,$C158*2+6)</f>
        <v>5.5E-2</v>
      </c>
      <c r="BM158" s="1">
        <f>INDEX(Input!$1:$1048576,BM$93,$C158*2+6)</f>
        <v>0.06</v>
      </c>
      <c r="BN158" s="1">
        <f>INDEX(Input!$1:$1048576,BN$93,$C158*2+6)</f>
        <v>4.4999999999999998E-2</v>
      </c>
      <c r="BO158" s="1">
        <f>INDEX(Input!$1:$1048576,BO$93,$C158*2+6)</f>
        <v>4.4999999999999998E-2</v>
      </c>
      <c r="BP158" s="1">
        <f>INDEX(Input!$1:$1048576,BP$93,$C158*2+6)</f>
        <v>0.05</v>
      </c>
      <c r="BQ158" s="1">
        <f>INDEX(Input!$1:$1048576,BQ$93,$C158*2+6)</f>
        <v>5.45E-2</v>
      </c>
      <c r="BR158" s="1">
        <f>INDEX(Input!$1:$1048576,BR$93,$C158*2+6)</f>
        <v>5.45E-2</v>
      </c>
      <c r="BS158" s="1">
        <f>INDEX(Input!$1:$1048576,BS$93,$C158*2+6)</f>
        <v>0.05</v>
      </c>
      <c r="BT158" s="1">
        <f>INDEX(Input!$1:$1048576,BT$93,$C158*2+6)</f>
        <v>0.05</v>
      </c>
      <c r="BU158" s="1">
        <f>INDEX(Input!$1:$1048576,BU$93,$C158*2+6)</f>
        <v>0.05</v>
      </c>
      <c r="BV158" s="1">
        <f>INDEX(Input!$1:$1048576,BV$93,$C158*2+6)</f>
        <v>5.5E-2</v>
      </c>
      <c r="BW158" s="1">
        <f>INDEX(Input!$1:$1048576,BW$93,$C158*2+6)</f>
        <v>0.06</v>
      </c>
      <c r="BX158" s="127">
        <f>INDEX(Input!$1:$1048576,BX$93,$C158*2+6)</f>
        <v>19985</v>
      </c>
      <c r="BY158" s="20">
        <f>INDEX(Input!$1:$1048576,BY$93,$C158*2+6)</f>
        <v>0.1</v>
      </c>
      <c r="BZ158" s="20">
        <f>INDEX(Input!$1:$1048576,BZ$93,$C158*2+6)</f>
        <v>0.1</v>
      </c>
      <c r="CA158" s="20">
        <f>INDEX(Input!$1:$1048576,CA$93,$C158*2+6)</f>
        <v>0.1</v>
      </c>
      <c r="CB158" s="20">
        <f>INDEX(Input!$1:$1048576,CB$93,$C158*2+6)</f>
        <v>0.1</v>
      </c>
      <c r="CC158" s="20">
        <f>INDEX(Input!$1:$1048576,CC$93,$C158*2+6)</f>
        <v>0.1</v>
      </c>
      <c r="CD158" s="384">
        <f>INDEX(Input!$1:$1048576,CD$93,$C158*2+6)</f>
        <v>0.1</v>
      </c>
      <c r="CE158" s="384">
        <f>INDEX(Input!$1:$1048576,CE$93,$C158*2+6)</f>
        <v>0.1</v>
      </c>
      <c r="CF158" s="384">
        <f>INDEX(Input!$1:$1048576,CF$93,$C158*2+6)</f>
        <v>0.1</v>
      </c>
      <c r="CG158" s="384">
        <f>INDEX(Input!$1:$1048576,CG$93,$C158*2+6)</f>
        <v>0.1</v>
      </c>
      <c r="CH158" s="384">
        <f>INDEX(Input!$1:$1048576,CH$93,$C158*2+6)</f>
        <v>0.1</v>
      </c>
      <c r="CI158" s="304">
        <f t="shared" si="74"/>
        <v>2229</v>
      </c>
      <c r="CJ158" s="16" t="str">
        <f>INDEX(Input!$1:$1048576,CJ$93,$C158*2+6)</f>
        <v>N</v>
      </c>
      <c r="CK158" s="1" t="str">
        <f t="shared" si="75"/>
        <v>Market</v>
      </c>
      <c r="CL158" s="1" t="str">
        <f t="shared" si="76"/>
        <v>Market</v>
      </c>
      <c r="CM158" s="1" t="str">
        <f t="shared" si="77"/>
        <v>Market</v>
      </c>
      <c r="CN158" s="1" t="str">
        <f t="shared" si="78"/>
        <v>Market</v>
      </c>
      <c r="CO158" s="1" t="str">
        <f t="shared" si="79"/>
        <v>Market</v>
      </c>
      <c r="CP158" s="304">
        <f t="shared" si="80"/>
        <v>0</v>
      </c>
      <c r="CQ158" s="1">
        <f t="shared" si="81"/>
        <v>0</v>
      </c>
      <c r="CR158" s="1">
        <f t="shared" si="82"/>
        <v>0</v>
      </c>
      <c r="CS158" s="1">
        <f t="shared" si="83"/>
        <v>0</v>
      </c>
      <c r="CT158" s="1">
        <f t="shared" si="84"/>
        <v>8.9999999999999993E-3</v>
      </c>
      <c r="CU158" s="1">
        <f t="shared" si="85"/>
        <v>3.9E-2</v>
      </c>
      <c r="CV158" s="304">
        <f t="shared" si="86"/>
        <v>2302</v>
      </c>
      <c r="CW158" s="20" t="s">
        <v>122</v>
      </c>
      <c r="CX158" s="20" t="s">
        <v>122</v>
      </c>
      <c r="CY158" s="20" t="s">
        <v>122</v>
      </c>
      <c r="CZ158" s="20" t="s">
        <v>122</v>
      </c>
      <c r="DA158" s="20" t="s">
        <v>122</v>
      </c>
      <c r="DB158" s="503">
        <f t="shared" si="87"/>
        <v>0</v>
      </c>
      <c r="DC158" s="127">
        <v>0</v>
      </c>
      <c r="DD158" s="127">
        <v>0</v>
      </c>
      <c r="DE158" s="127">
        <v>0</v>
      </c>
      <c r="DF158" s="127">
        <v>0</v>
      </c>
      <c r="DG158" s="127">
        <v>0</v>
      </c>
      <c r="DH158" s="127">
        <v>0</v>
      </c>
      <c r="DI158" s="127">
        <v>0</v>
      </c>
      <c r="DJ158" s="127">
        <v>0</v>
      </c>
      <c r="DK158" s="127">
        <v>0</v>
      </c>
      <c r="DL158" s="127">
        <v>0</v>
      </c>
      <c r="DM158" s="304">
        <f>INDEX(Input!$1:$1048576,DM$93,$C158*2+6)</f>
        <v>21036.84210526316</v>
      </c>
      <c r="DN158" s="20">
        <v>0</v>
      </c>
      <c r="DO158" s="20">
        <v>0</v>
      </c>
      <c r="DP158" s="20">
        <v>0</v>
      </c>
      <c r="DQ158" s="20">
        <v>0</v>
      </c>
      <c r="DR158" s="20">
        <v>0</v>
      </c>
      <c r="DS158" s="20">
        <f>INDEX(Input!$1:$1048576,DS$93,$C158*2+6)</f>
        <v>0.6</v>
      </c>
      <c r="DT158" s="20">
        <f>INDEX(Input!$1:$1048576,DT$93,$C158*2+6)</f>
        <v>0.55000000000000004</v>
      </c>
      <c r="DU158" s="20">
        <f>INDEX(Input!$1:$1048576,DU$93,$C158*2+6)</f>
        <v>0.52</v>
      </c>
      <c r="DV158" s="20">
        <f>INDEX(Input!$1:$1048576,DV$93,$C158*2+6)</f>
        <v>0.5</v>
      </c>
      <c r="DW158" s="20">
        <f>INDEX(Input!$1:$1048576,DW$93,$C158*2+6)</f>
        <v>0.45</v>
      </c>
      <c r="DX158" s="20"/>
      <c r="DY158" s="7">
        <v>0.1215321051837818</v>
      </c>
      <c r="DZ158" s="7">
        <v>0</v>
      </c>
      <c r="EA158" s="7">
        <v>0.51759622425929153</v>
      </c>
      <c r="EB158" s="7">
        <v>0</v>
      </c>
      <c r="EC158" s="7">
        <v>0</v>
      </c>
      <c r="ED158" s="7">
        <v>0</v>
      </c>
      <c r="EE158" s="7">
        <v>0</v>
      </c>
      <c r="EF158" s="7">
        <v>0</v>
      </c>
      <c r="EG158" s="7">
        <v>0</v>
      </c>
      <c r="EH158" s="7">
        <v>1.4789192705906973E-2</v>
      </c>
      <c r="EI158" s="7">
        <v>4.3188566954775409E-2</v>
      </c>
      <c r="EJ158" s="7">
        <v>0.27281740913088925</v>
      </c>
      <c r="EK158" s="7">
        <v>0.58408530924176305</v>
      </c>
      <c r="EL158" s="7">
        <v>8.5119521966665099E-2</v>
      </c>
      <c r="EM158" s="7">
        <v>4.0085993255351941E-2</v>
      </c>
      <c r="EN158" s="7">
        <v>5.2416424716025846E-2</v>
      </c>
      <c r="EO158" s="7">
        <v>0.78015670673154824</v>
      </c>
      <c r="EP158" s="7">
        <v>7.3001757795592523E-2</v>
      </c>
      <c r="EQ158" s="7">
        <v>5.5504556706157629E-2</v>
      </c>
      <c r="ER158" s="7">
        <v>3.8920554050675758E-2</v>
      </c>
      <c r="ES158" s="7">
        <v>0.32078567730157476</v>
      </c>
      <c r="ET158" s="7">
        <v>0.36087167055692676</v>
      </c>
      <c r="EU158" s="6">
        <v>2270</v>
      </c>
      <c r="EV158" s="6">
        <v>0</v>
      </c>
      <c r="EW158" s="6">
        <v>2270</v>
      </c>
      <c r="EX158" s="6">
        <v>0</v>
      </c>
      <c r="EY158" s="6">
        <v>2319.8491773399096</v>
      </c>
      <c r="EZ158" s="6">
        <v>2445</v>
      </c>
      <c r="FA158" s="6">
        <v>0</v>
      </c>
      <c r="FB158" s="6">
        <v>0</v>
      </c>
      <c r="FC158" s="6">
        <v>0</v>
      </c>
      <c r="FD158" s="6">
        <v>0</v>
      </c>
      <c r="FE158" s="6">
        <v>0</v>
      </c>
      <c r="FF158" s="6">
        <v>0</v>
      </c>
      <c r="FG158" s="6">
        <v>0</v>
      </c>
      <c r="FH158" s="6">
        <v>1171.2811379695618</v>
      </c>
      <c r="FI158" s="6">
        <v>1553.9796069512397</v>
      </c>
      <c r="FJ158" s="6">
        <v>2101.211011744741</v>
      </c>
      <c r="FK158" s="6">
        <v>2251.3078348034674</v>
      </c>
      <c r="FL158" s="6">
        <v>907.07682140966335</v>
      </c>
      <c r="FM158" s="6">
        <v>2049.8491773399096</v>
      </c>
      <c r="FN158" s="6">
        <v>0</v>
      </c>
      <c r="FO158" s="6">
        <v>0</v>
      </c>
      <c r="FP158" s="6">
        <v>0</v>
      </c>
      <c r="FQ158" s="6">
        <v>0</v>
      </c>
      <c r="FR158" s="6">
        <v>0</v>
      </c>
      <c r="FS158" s="6">
        <v>0</v>
      </c>
      <c r="FT158" s="7">
        <v>0.6391283294430733</v>
      </c>
      <c r="FU158" s="7">
        <v>4.0085993255351941E-2</v>
      </c>
      <c r="FV158" s="7">
        <v>0.32078567730157476</v>
      </c>
      <c r="FW158" s="6">
        <v>2270</v>
      </c>
      <c r="FX158" s="6">
        <v>2319.8491773399096</v>
      </c>
      <c r="FY158" s="6">
        <v>2445</v>
      </c>
      <c r="FZ158" s="6">
        <v>1952.7147957719815</v>
      </c>
      <c r="GA158" s="6">
        <v>2328.135747314408</v>
      </c>
      <c r="GB158" s="6">
        <v>17656.864252685591</v>
      </c>
      <c r="GC158" s="7">
        <v>1.0519917368675835E-2</v>
      </c>
      <c r="GD158" s="7">
        <v>1.1364681442006499E-2</v>
      </c>
      <c r="GE158" s="7"/>
      <c r="GF158" s="7"/>
      <c r="GG158" s="7">
        <v>8.0301398169346686E-2</v>
      </c>
      <c r="GH158" s="42">
        <v>4.2747306345608447</v>
      </c>
      <c r="GI158" s="6">
        <v>7003.2841270562594</v>
      </c>
      <c r="GJ158" s="14">
        <v>0.50394797582841744</v>
      </c>
      <c r="GK158" s="14">
        <v>0.50887573065309766</v>
      </c>
      <c r="GL158" s="14">
        <v>0.49605202417158295</v>
      </c>
      <c r="GM158" s="14">
        <v>0.49112426934690256</v>
      </c>
      <c r="GO158" s="5">
        <v>343.14810671672558</v>
      </c>
      <c r="GP158" s="5">
        <v>299.84083725090579</v>
      </c>
      <c r="GQ158" s="5">
        <v>535.04305713031317</v>
      </c>
      <c r="GR158" s="5">
        <v>410.15490233172511</v>
      </c>
      <c r="GS158" s="5">
        <v>339.42744393800166</v>
      </c>
      <c r="GT158" s="5">
        <v>293.4407446948278</v>
      </c>
      <c r="GU158" s="5">
        <v>258.04012322764959</v>
      </c>
      <c r="GV158" s="39" t="s">
        <v>392</v>
      </c>
      <c r="GW158" s="5">
        <v>492.125</v>
      </c>
      <c r="GX158" s="5">
        <v>369.09375</v>
      </c>
      <c r="GY158" s="5">
        <v>295.27499999999998</v>
      </c>
      <c r="GZ158" s="5">
        <v>252.85821728143046</v>
      </c>
      <c r="HA158" s="5">
        <v>241.34874471337258</v>
      </c>
      <c r="HB158" s="39">
        <v>272.00918188838409</v>
      </c>
      <c r="HC158" s="5">
        <v>180.31562499999998</v>
      </c>
      <c r="HD158" s="5">
        <v>166.79497441520465</v>
      </c>
      <c r="HE158" s="5">
        <v>173.1768092105263</v>
      </c>
      <c r="HF158" s="5">
        <v>164.36813048245611</v>
      </c>
      <c r="HG158" s="5">
        <v>163.76888157894734</v>
      </c>
      <c r="HH158" s="39">
        <v>167.71708563023569</v>
      </c>
      <c r="HI158" s="16"/>
      <c r="HJ158" s="19" t="str">
        <f t="shared" ref="HJ158" si="387">HJ157</f>
        <v>On</v>
      </c>
      <c r="HK158" s="1" t="str">
        <f t="shared" si="108"/>
        <v>On</v>
      </c>
      <c r="HL158" s="16"/>
      <c r="HM158" s="639">
        <f t="shared" si="266"/>
        <v>5.7455619280273196E-3</v>
      </c>
      <c r="HN158" s="639">
        <f t="shared" si="267"/>
        <v>5.0031960498701745E-4</v>
      </c>
      <c r="HO158" s="639">
        <f t="shared" si="268"/>
        <v>3.9819433988714835E-3</v>
      </c>
      <c r="HP158" s="644">
        <f>(FT158*$GD158-HM158)/$JF158*INDEX(Input!$1:$1048576,$JG$93,$C158*2+6)</f>
        <v>66.191576826618657</v>
      </c>
      <c r="HQ158" s="644">
        <f>(FU158*$GD158-HN158)/$JF158*INDEX(Input!$1:$1048576,$JG$93,$C158*2+6)</f>
        <v>-1.9516131236702954</v>
      </c>
      <c r="HR158" s="644">
        <f>(FV158*$GD158-HO158)/$JF158*INDEX(Input!$1:$1048576,$JG$93,$C158*2+6)</f>
        <v>-14.665591156435289</v>
      </c>
      <c r="HS158" s="644">
        <f t="shared" si="269"/>
        <v>-18.788436948977086</v>
      </c>
      <c r="HT158" s="644">
        <f t="shared" si="270"/>
        <v>-0.96121347682265057</v>
      </c>
      <c r="HU158" s="644">
        <f t="shared" si="271"/>
        <v>13.438184967885611</v>
      </c>
      <c r="HV158" s="648">
        <f t="shared" si="272"/>
        <v>0</v>
      </c>
      <c r="HW158" s="648">
        <f t="shared" si="273"/>
        <v>0</v>
      </c>
      <c r="HX158" s="648">
        <f t="shared" si="274"/>
        <v>0</v>
      </c>
      <c r="HY158" s="644">
        <f>INDEX(Input!$1:$1048576,HY$93,$C158*2+6)*INDEX(Input!$1:$1048576,$JG$93,$C158*2+6)</f>
        <v>110.00000000000001</v>
      </c>
      <c r="HZ158" s="644">
        <f>INDEX(Input!$1:$1048576,HZ$93,$C158*2+6)*INDEX(Input!$1:$1048576,$JG$93,$C158*2+6)</f>
        <v>157</v>
      </c>
      <c r="IA158" s="644">
        <f>INDEX(Input!$1:$1048576,IA$93,$C158*2+6)*INDEX(Input!$1:$1048576,$JG$93,$C158*2+6)</f>
        <v>179</v>
      </c>
      <c r="IB158" s="644">
        <f t="shared" si="249"/>
        <v>157.40313987764156</v>
      </c>
      <c r="IC158" s="644">
        <f t="shared" si="172"/>
        <v>154.08717339950707</v>
      </c>
      <c r="ID158" s="644">
        <f>IF(AND(INDEX(Input!$1:$1048576,IA$93,$C158*2+7)="TOS",Y158&lt;=INDEX(Y:Y,MATCH(C158*1000+2,A:A))),0,1)*MAX(IA158+HR158+HU158+HX158,0%)</f>
        <v>177.77259381145032</v>
      </c>
      <c r="IE158" s="128">
        <f t="shared" si="275"/>
        <v>0.32171484409942808</v>
      </c>
      <c r="IF158" s="128">
        <f t="shared" si="174"/>
        <v>0.3149373704138253</v>
      </c>
      <c r="IG158" s="128">
        <f t="shared" si="175"/>
        <v>0.36334778548674668</v>
      </c>
      <c r="IH158" s="21"/>
      <c r="II158" s="19">
        <f t="shared" si="276"/>
        <v>1240</v>
      </c>
      <c r="IJ158" s="19">
        <f t="shared" si="277"/>
        <v>2009.7221397149679</v>
      </c>
      <c r="IK158" s="19">
        <f t="shared" si="278"/>
        <v>2070</v>
      </c>
      <c r="IL158" s="19">
        <f t="shared" si="176"/>
        <v>1030</v>
      </c>
      <c r="IM158" s="19">
        <f t="shared" si="177"/>
        <v>310.12703762494175</v>
      </c>
      <c r="IN158" s="19">
        <f t="shared" si="178"/>
        <v>375</v>
      </c>
      <c r="IO158" s="39">
        <f t="shared" si="279"/>
        <v>0</v>
      </c>
      <c r="IP158" s="39">
        <f t="shared" si="280"/>
        <v>0</v>
      </c>
      <c r="IQ158" s="39">
        <f t="shared" si="281"/>
        <v>0</v>
      </c>
      <c r="IR158" s="39">
        <v>0</v>
      </c>
      <c r="IS158" s="39">
        <v>0</v>
      </c>
      <c r="IT158" s="39">
        <v>0</v>
      </c>
      <c r="IU158" s="39">
        <v>0</v>
      </c>
      <c r="IV158" s="39">
        <v>0</v>
      </c>
      <c r="IW158" s="39">
        <v>0</v>
      </c>
      <c r="IX158" s="39">
        <f>INDEX(Input!$1:$1048576,IX$93,$C158*2+6)+INDEX(Input!$1:$1048576,IX$94,$C158*2+6)</f>
        <v>1270</v>
      </c>
      <c r="IY158" s="39">
        <f>INDEX(Input!$1:$1048576,IY$93,$C158*2+6)+INDEX(Input!$1:$1048576,IY$94,$C158*2+6)</f>
        <v>2130.0624533823611</v>
      </c>
      <c r="IZ158" s="39">
        <f>INDEX(Input!$1:$1048576,IZ$93,$C158*2+6)+INDEX(Input!$1:$1048576,IZ$94,$C158*2+6)</f>
        <v>4373.7164157747848</v>
      </c>
      <c r="JA158" s="19">
        <f t="shared" si="179"/>
        <v>2300</v>
      </c>
      <c r="JB158" s="19">
        <f t="shared" si="180"/>
        <v>2440.1894910073029</v>
      </c>
      <c r="JC158" s="19">
        <f t="shared" si="181"/>
        <v>4748.7164157747848</v>
      </c>
      <c r="JD158" s="19">
        <f t="shared" si="182"/>
        <v>3233.8865966143044</v>
      </c>
      <c r="JE158" s="21"/>
      <c r="JF158" s="1">
        <f t="shared" si="282"/>
        <v>1.022782493188582E-2</v>
      </c>
      <c r="JG158" s="15">
        <f>INDEX(Input!$1:$1048576,JG$93,$C158*2+6)/(1+VLOOKUP(C158*1000+INDEX(Input!$1:$1048576,JG$93+1,$C158*2+6),$A:$KK,$JK$92,FALSE))</f>
        <v>446</v>
      </c>
      <c r="JH158" s="1">
        <f t="shared" si="251"/>
        <v>0.11115330167379611</v>
      </c>
      <c r="JI158" s="1">
        <f t="shared" si="252"/>
        <v>-1.4151267842856781E-2</v>
      </c>
      <c r="JJ158" s="1">
        <f t="shared" si="253"/>
        <v>0</v>
      </c>
      <c r="JK158" s="1">
        <f t="shared" si="254"/>
        <v>9.7002033830939333E-2</v>
      </c>
      <c r="JL158" s="15">
        <f t="shared" si="184"/>
        <v>43.262907088598944</v>
      </c>
      <c r="JM158" s="15">
        <f t="shared" si="185"/>
        <v>489.26290708859892</v>
      </c>
      <c r="JN158" s="21"/>
      <c r="JO158" s="19">
        <f>INDEX(Input!$1:$1048576,JO$93,$C158*2+6)</f>
        <v>5995.5</v>
      </c>
      <c r="JP158" s="19">
        <f>INDEX(Input!$1:$1048576,JP$93,$C158*2+6)</f>
        <v>2818.4193802796353</v>
      </c>
      <c r="JQ158" s="39">
        <f t="shared" si="186"/>
        <v>2761.6134033856956</v>
      </c>
      <c r="JR158" s="39">
        <f t="shared" si="187"/>
        <v>415.46721633466905</v>
      </c>
      <c r="JS158" s="39">
        <f t="shared" si="188"/>
        <v>1.5822207574543696</v>
      </c>
      <c r="JT158" s="39">
        <f t="shared" si="189"/>
        <v>0.3252057138496523</v>
      </c>
      <c r="JU158" s="385">
        <f>(JQ158*JM158-INDEX(Input!$1:$1048576,Input!A$18,$C158*2+6)*JL158*INDEX(Input!$1:$1048576,Input!A$19,$C158*2+6))/1000000</f>
        <v>1.3511550019953251</v>
      </c>
      <c r="JV158" s="39">
        <f t="shared" si="192"/>
        <v>-6.5822954399957556E-2</v>
      </c>
      <c r="JW158" s="1">
        <f t="shared" si="190"/>
        <v>-4.6453054617312244E-2</v>
      </c>
      <c r="JX158" s="19">
        <f t="shared" si="191"/>
        <v>7516.9639706286316</v>
      </c>
      <c r="JZ158" s="341"/>
      <c r="KA158" s="342"/>
      <c r="KB158" s="469">
        <f t="shared" si="110"/>
        <v>2.9286733661474216</v>
      </c>
      <c r="KI158" s="473">
        <f t="shared" si="283"/>
        <v>47.40313987764155</v>
      </c>
      <c r="KJ158" s="473">
        <f t="shared" si="284"/>
        <v>-2.9128266004929344</v>
      </c>
      <c r="KK158" s="473">
        <f t="shared" si="257"/>
        <v>-1.2274061885496792</v>
      </c>
      <c r="KN158" s="544">
        <f t="shared" si="258"/>
        <v>1002</v>
      </c>
      <c r="KO158" s="541">
        <f t="shared" si="285"/>
        <v>9.2505396319305655E-2</v>
      </c>
      <c r="KP158" s="546">
        <f t="shared" si="286"/>
        <v>540.74251948607071</v>
      </c>
      <c r="KQ158" s="546">
        <f t="shared" si="287"/>
        <v>394.57039659565271</v>
      </c>
      <c r="KR158" s="548">
        <f t="shared" si="288"/>
        <v>2.9331303123530859</v>
      </c>
      <c r="KS158" s="548">
        <f t="shared" si="289"/>
        <v>4.0197345993702154</v>
      </c>
      <c r="KT158" s="473">
        <f t="shared" si="112"/>
        <v>238.28695973331548</v>
      </c>
      <c r="KU158" s="663">
        <f t="shared" si="290"/>
        <v>6.5090118496411158</v>
      </c>
      <c r="KV158" s="117"/>
    </row>
    <row r="159" spans="1:308" s="26" customFormat="1" ht="15" outlineLevel="1">
      <c r="A159" s="561">
        <f t="shared" si="168"/>
        <v>1059</v>
      </c>
      <c r="B159" s="561">
        <f t="shared" si="104"/>
        <v>59</v>
      </c>
      <c r="C159" s="561">
        <f t="shared" si="105"/>
        <v>1</v>
      </c>
      <c r="D159" s="561" t="str">
        <f t="shared" si="294"/>
        <v xml:space="preserve">250 CC, 0/0/0.9/3.9, -360 Lease, </v>
      </c>
      <c r="E159" s="475">
        <f>INDEX(Input!$1:$1048576,E$93,$C159*2+MIN($B159,2)+5)
+INDEX(Scenarios!E$121:E$200,MATCH($B159,Scenarios!$B$121:$B$200,0))</f>
        <v>1479</v>
      </c>
      <c r="F159" s="475">
        <f>INDEX(Input!$1:$1048576,F$93,$C159*2+MIN($B159,2)+5)
+INDEX(Scenarios!F$121:F$200,MATCH($B159,Scenarios!$B$121:$B$200,0))</f>
        <v>0</v>
      </c>
      <c r="G159" s="475">
        <f>INDEX(Input!$1:$1048576,G$93,$C159*2+MIN($B159,2)+5)
+INDEX(Scenarios!G$121:G$200,MATCH($B159,Scenarios!$B$121:$B$200,0))</f>
        <v>0</v>
      </c>
      <c r="H159" s="475">
        <f>INDEX(Input!$1:$1048576,H$93,$C159*2+MIN($B159,2)+5)
+INDEX(Scenarios!H$121:H$200,MATCH($B159,Scenarios!$B$121:$B$200,0))</f>
        <v>0</v>
      </c>
      <c r="I159" s="476">
        <f>INDEX(Input!$1:$1048576,I$93,$C159*2+MIN($B159,2)+5)</f>
        <v>0.7</v>
      </c>
      <c r="J159" s="476" t="str">
        <f>INDEX(Input!$1:$1048576,J$93,$C159*2+MIN($B159,2)+5)</f>
        <v>Market</v>
      </c>
      <c r="K159" s="476" t="str">
        <f>INDEX(Input!$1:$1048576,K$93,$C159*2+MIN($B159,2)+5)</f>
        <v>Market</v>
      </c>
      <c r="L159" s="476" t="str">
        <f>INDEX(Input!$1:$1048576,L$93,$C159*2+MIN($B159,2)+5)</f>
        <v>Market</v>
      </c>
      <c r="M159" s="476" t="str">
        <f>INDEX(Input!$1:$1048576,M$93,$C159*2+MIN($B159,2)+5)</f>
        <v>Market</v>
      </c>
      <c r="N159" s="476" t="str">
        <f>INDEX(Input!$1:$1048576,N$93,$C159*2+MIN($B159,2)+5)</f>
        <v>Market</v>
      </c>
      <c r="O159" s="476" t="str">
        <f>INDEX(Input!$1:$1048576,O$93,$C159*2+MIN($B159,2)+5)</f>
        <v>Market</v>
      </c>
      <c r="P159" s="476" t="str">
        <f>INDEX(Input!$1:$1048576,P$93,$C159*2+MIN($B159,2)+5)</f>
        <v>N</v>
      </c>
      <c r="Q159" s="477">
        <f>INDEX(Input!$1:$1048576,Q$93,$C159*2+MIN($B159,2)+5)
+INDEX(Scenarios!Q$121:Q$200,MATCH($B159,Scenarios!$B$121:$B$200,0))</f>
        <v>0</v>
      </c>
      <c r="R159" s="478">
        <f>IFERROR(MAX(0,INDEX(Input!$1:$1048576,R$93,$C159*2+MIN($B159,2)+5)
+INDEX(Scenarios!R$121:R$200,MATCH($B159,Scenarios!$B$121:$B$200,0)),),"Market")</f>
        <v>0</v>
      </c>
      <c r="S159" s="478">
        <f>IFERROR(MAX(0,INDEX(Input!$1:$1048576,S$93,$C159*2+MIN($B159,2)+5)
+INDEX(Scenarios!S$121:S$200,MATCH($B159,Scenarios!$B$121:$B$200,0)),),"Market")</f>
        <v>0</v>
      </c>
      <c r="T159" s="478">
        <f>IFERROR(MAX(0,INDEX(Input!$1:$1048576,T$93,$C159*2+MIN($B159,2)+5)
+INDEX(Scenarios!T$121:T$200,MATCH($B159,Scenarios!$B$121:$B$200,0)),),"Market")</f>
        <v>0</v>
      </c>
      <c r="U159" s="478">
        <f>IFERROR(MAX(0,INDEX(Input!$1:$1048576,U$93,$C159*2+MIN($B159,2)+5)
+INDEX(Scenarios!U$121:U$200,MATCH($B159,Scenarios!$B$121:$B$200,0)),),"Market")</f>
        <v>0</v>
      </c>
      <c r="V159" s="478">
        <f>IFERROR(MAX(0,INDEX(Input!$1:$1048576,V$93,$C159*2+MIN($B159,2)+5)
+INDEX(Scenarios!V$121:V$200,MATCH($B159,Scenarios!$B$121:$B$200,0)),),"Market")</f>
        <v>8.9999999999999993E-3</v>
      </c>
      <c r="W159" s="885">
        <f>IFERROR(MAX(0,INDEX(Input!$1:$1048576,W$93,$C159*2+MIN($B159,2)+5)-0%,),"Market")</f>
        <v>3.9E-2</v>
      </c>
      <c r="X159" s="476" t="str">
        <f>INDEX(Input!$1:$1048576,X$93,$C159*2+MIN($B159,2)+5)</f>
        <v>Y</v>
      </c>
      <c r="Y159" s="475">
        <f>INDEX(Input!$1:$1048576,Y$93,$C159*2+MIN($B159,2)+5)
++INDEX(Scenarios!Y$121:Y$200,MATCH($B159,Scenarios!$B$121:$B$200,0))</f>
        <v>1582</v>
      </c>
      <c r="Z159" s="477">
        <f>INDEX(Input!$1:$1048576,Z$93,$C159*2+MIN($B159,2)+5)
+INDEX(Scenarios!Z$121:Z$200,MATCH($B159,Scenarios!$B$121:$B$200,0))</f>
        <v>0</v>
      </c>
      <c r="AA159" s="475">
        <f>INDEX(Input!$1:$1048576,AA$93,$C159*2+MIN($B159,2)+5)
+INDEX(Scenarios!AA$121:AA$200,MATCH($B159,Scenarios!$B$121:$B$200,0))</f>
        <v>0</v>
      </c>
      <c r="AB159" s="476">
        <f>INDEX(Input!$1:$1048576,AB$93,$C159*2+MIN($B159,2)+5)</f>
        <v>0.27</v>
      </c>
      <c r="AC159" s="475">
        <f>INDEX(Input!$1:$1048576,AC$93,$C159*2+MIN($B159,2)+5)
+INDEX(Scenarios!AC$121:AC$200,MATCH($B159,Scenarios!$B$121:$B$200,0))</f>
        <v>0</v>
      </c>
      <c r="AD159" s="476">
        <f>INDEX(Input!$1:$1048576,AD$93,$C159*2+MIN($B159,2)+5)</f>
        <v>0.27</v>
      </c>
      <c r="AE159" s="475">
        <f>INDEX(Input!$1:$1048576,AE$93,$C159*2+MIN($B159,2)+5)
+INDEX(Scenarios!AE$121:AE$200,MATCH($B159,Scenarios!$B$121:$B$200,0))</f>
        <v>0</v>
      </c>
      <c r="AF159" s="476">
        <f>INDEX(Input!$1:$1048576,AF$93,$C159*2+MIN($B159,2)+5)</f>
        <v>0.38</v>
      </c>
      <c r="AG159" s="475">
        <f>INDEX(Input!$1:$1048576,AG$93,$C159*2+MIN($B159,2)+5)
+INDEX(Scenarios!AG$121:AG$200,MATCH($B159,Scenarios!$B$121:$B$200,0))</f>
        <v>0</v>
      </c>
      <c r="AH159" s="476">
        <f>INDEX(Input!$1:$1048576,AH$93,$C159*2+MIN($B159,2)+5)</f>
        <v>0</v>
      </c>
      <c r="AI159" s="475">
        <f>INDEX(Input!$1:$1048576,AI$93,$C159*2+MIN($B159,2)+5)
+INDEX(Scenarios!AI$121:AI$200,MATCH($B159,Scenarios!$B$121:$B$200,0))</f>
        <v>0</v>
      </c>
      <c r="AJ159" s="476">
        <f>INDEX(Input!$1:$1048576,AJ$93,$C159*2+MIN($B159,2)+5)</f>
        <v>0.27</v>
      </c>
      <c r="AK159" s="150">
        <f>ROUND(INDEX(Input!$1:$1048576,AK$93,$C158*2+MIN($B159,1)+5)+(Y159-VLOOKUP($C159*1000+1,$A:$HH,Y$92,FALSE)),0)</f>
        <v>3397</v>
      </c>
      <c r="AL159" s="150">
        <f>ROUND(INDEX(Input!$1:$1048576,AL$93,$C158*2+MIN($B159,1)+5)-(Y159-VLOOKUP($C159*1000+1,$A:$HH,Y$92,FALSE))/36,0)</f>
        <v>4123</v>
      </c>
      <c r="AM159" s="32" t="str">
        <f t="shared" si="169"/>
        <v>std/std/std/std</v>
      </c>
      <c r="AN159" s="32" t="str">
        <f t="shared" si="170"/>
        <v>$0 + 0/0/0/0.9/3.9</v>
      </c>
      <c r="AO159" s="32" t="str">
        <f t="shared" si="171"/>
        <v>0/0/0/0.9/3.9</v>
      </c>
      <c r="AP159" s="32" t="str">
        <f t="shared" si="73"/>
        <v>0/0/0.9/3.9</v>
      </c>
      <c r="AQ159" s="536">
        <f t="shared" si="39"/>
        <v>0.31149605016081744</v>
      </c>
      <c r="AR159" s="32"/>
      <c r="AS159" s="302"/>
      <c r="AT159" s="3">
        <f t="shared" si="106"/>
        <v>59</v>
      </c>
      <c r="AU159" s="41" t="s">
        <v>121</v>
      </c>
      <c r="AV159" s="41" t="s">
        <v>116</v>
      </c>
      <c r="AW159" s="41" t="str">
        <f>INDEX(Input!$1:$1048576,AW$93,$C159*2+6)</f>
        <v>Kia</v>
      </c>
      <c r="AX159" s="41" t="str">
        <f>INDEX(Input!$1:$1048576,AX$93,$C159*2+6)</f>
        <v>Kia-LR - L1</v>
      </c>
      <c r="AY159" s="41" t="str">
        <f>IF(LEN(D159)=0,"",INDEX(Input!$1:$1048576,AY$93,$C159*2+6))</f>
        <v>Compact SUV (52)</v>
      </c>
      <c r="AZ159" s="41" t="str">
        <f>INDEX(Input!$1:$1048576,AZ$93,$C159*2+6)</f>
        <v>Kia Soul</v>
      </c>
      <c r="BA159" s="3">
        <f>INDEX(Input!$1:$1048576,BA$93,$C159*2+6)</f>
        <v>2020</v>
      </c>
      <c r="BB159" s="128">
        <f>INDEX(Input!$1:$1048576,BB$93,$C159*2+6)</f>
        <v>1</v>
      </c>
      <c r="BC159" s="128">
        <f>INDEX(Input!$1:$1048576,BC$93,$C159*2+6)</f>
        <v>0.7</v>
      </c>
      <c r="BD159" s="1">
        <f>INDEX(Input!$1:$1048576,BD$93,$C159*2+6)</f>
        <v>4.4999999999999998E-2</v>
      </c>
      <c r="BE159" s="1">
        <f>INDEX(Input!$1:$1048576,BE$93,$C159*2+6)</f>
        <v>4.4999999999999998E-2</v>
      </c>
      <c r="BF159" s="1">
        <f>INDEX(Input!$1:$1048576,BF$93,$C159*2+6)</f>
        <v>0.05</v>
      </c>
      <c r="BG159" s="1">
        <f>INDEX(Input!$1:$1048576,BG$93,$C159*2+6)</f>
        <v>5.45E-2</v>
      </c>
      <c r="BH159" s="1">
        <f>INDEX(Input!$1:$1048576,BH$93,$C159*2+6)</f>
        <v>5.45E-2</v>
      </c>
      <c r="BI159" s="1">
        <f>INDEX(Input!$1:$1048576,BI$93,$C159*2+6)</f>
        <v>0.05</v>
      </c>
      <c r="BJ159" s="1">
        <f>INDEX(Input!$1:$1048576,BJ$93,$C159*2+6)</f>
        <v>0.05</v>
      </c>
      <c r="BK159" s="1">
        <f>INDEX(Input!$1:$1048576,BK$93,$C159*2+6)</f>
        <v>0.05</v>
      </c>
      <c r="BL159" s="1">
        <f>INDEX(Input!$1:$1048576,BL$93,$C159*2+6)</f>
        <v>5.5E-2</v>
      </c>
      <c r="BM159" s="1">
        <f>INDEX(Input!$1:$1048576,BM$93,$C159*2+6)</f>
        <v>0.06</v>
      </c>
      <c r="BN159" s="1">
        <f>INDEX(Input!$1:$1048576,BN$93,$C159*2+6)</f>
        <v>4.4999999999999998E-2</v>
      </c>
      <c r="BO159" s="1">
        <f>INDEX(Input!$1:$1048576,BO$93,$C159*2+6)</f>
        <v>4.4999999999999998E-2</v>
      </c>
      <c r="BP159" s="1">
        <f>INDEX(Input!$1:$1048576,BP$93,$C159*2+6)</f>
        <v>0.05</v>
      </c>
      <c r="BQ159" s="1">
        <f>INDEX(Input!$1:$1048576,BQ$93,$C159*2+6)</f>
        <v>5.45E-2</v>
      </c>
      <c r="BR159" s="1">
        <f>INDEX(Input!$1:$1048576,BR$93,$C159*2+6)</f>
        <v>5.45E-2</v>
      </c>
      <c r="BS159" s="1">
        <f>INDEX(Input!$1:$1048576,BS$93,$C159*2+6)</f>
        <v>0.05</v>
      </c>
      <c r="BT159" s="1">
        <f>INDEX(Input!$1:$1048576,BT$93,$C159*2+6)</f>
        <v>0.05</v>
      </c>
      <c r="BU159" s="1">
        <f>INDEX(Input!$1:$1048576,BU$93,$C159*2+6)</f>
        <v>0.05</v>
      </c>
      <c r="BV159" s="1">
        <f>INDEX(Input!$1:$1048576,BV$93,$C159*2+6)</f>
        <v>5.5E-2</v>
      </c>
      <c r="BW159" s="1">
        <f>INDEX(Input!$1:$1048576,BW$93,$C159*2+6)</f>
        <v>0.06</v>
      </c>
      <c r="BX159" s="127">
        <f>INDEX(Input!$1:$1048576,BX$93,$C159*2+6)</f>
        <v>19985</v>
      </c>
      <c r="BY159" s="20">
        <f>INDEX(Input!$1:$1048576,BY$93,$C159*2+6)</f>
        <v>0.1</v>
      </c>
      <c r="BZ159" s="20">
        <f>INDEX(Input!$1:$1048576,BZ$93,$C159*2+6)</f>
        <v>0.1</v>
      </c>
      <c r="CA159" s="20">
        <f>INDEX(Input!$1:$1048576,CA$93,$C159*2+6)</f>
        <v>0.1</v>
      </c>
      <c r="CB159" s="20">
        <f>INDEX(Input!$1:$1048576,CB$93,$C159*2+6)</f>
        <v>0.1</v>
      </c>
      <c r="CC159" s="20">
        <f>INDEX(Input!$1:$1048576,CC$93,$C159*2+6)</f>
        <v>0.1</v>
      </c>
      <c r="CD159" s="384">
        <f>INDEX(Input!$1:$1048576,CD$93,$C159*2+6)</f>
        <v>0.1</v>
      </c>
      <c r="CE159" s="384">
        <f>INDEX(Input!$1:$1048576,CE$93,$C159*2+6)</f>
        <v>0.1</v>
      </c>
      <c r="CF159" s="384">
        <f>INDEX(Input!$1:$1048576,CF$93,$C159*2+6)</f>
        <v>0.1</v>
      </c>
      <c r="CG159" s="384">
        <f>INDEX(Input!$1:$1048576,CG$93,$C159*2+6)</f>
        <v>0.1</v>
      </c>
      <c r="CH159" s="384">
        <f>INDEX(Input!$1:$1048576,CH$93,$C159*2+6)</f>
        <v>0.1</v>
      </c>
      <c r="CI159" s="304">
        <f t="shared" si="74"/>
        <v>1479</v>
      </c>
      <c r="CJ159" s="16" t="str">
        <f>INDEX(Input!$1:$1048576,CJ$93,$C159*2+6)</f>
        <v>N</v>
      </c>
      <c r="CK159" s="1" t="str">
        <f t="shared" si="75"/>
        <v>Market</v>
      </c>
      <c r="CL159" s="1" t="str">
        <f t="shared" si="76"/>
        <v>Market</v>
      </c>
      <c r="CM159" s="1" t="str">
        <f t="shared" si="77"/>
        <v>Market</v>
      </c>
      <c r="CN159" s="1" t="str">
        <f t="shared" si="78"/>
        <v>Market</v>
      </c>
      <c r="CO159" s="1" t="str">
        <f t="shared" si="79"/>
        <v>Market</v>
      </c>
      <c r="CP159" s="304">
        <f t="shared" si="80"/>
        <v>0</v>
      </c>
      <c r="CQ159" s="1">
        <f t="shared" si="81"/>
        <v>0</v>
      </c>
      <c r="CR159" s="1">
        <f t="shared" si="82"/>
        <v>0</v>
      </c>
      <c r="CS159" s="1">
        <f t="shared" si="83"/>
        <v>0</v>
      </c>
      <c r="CT159" s="1">
        <f t="shared" si="84"/>
        <v>8.9999999999999993E-3</v>
      </c>
      <c r="CU159" s="1">
        <f t="shared" si="85"/>
        <v>3.9E-2</v>
      </c>
      <c r="CV159" s="304">
        <f t="shared" si="86"/>
        <v>1582</v>
      </c>
      <c r="CW159" s="20" t="s">
        <v>122</v>
      </c>
      <c r="CX159" s="20" t="s">
        <v>122</v>
      </c>
      <c r="CY159" s="20" t="s">
        <v>122</v>
      </c>
      <c r="CZ159" s="20" t="s">
        <v>122</v>
      </c>
      <c r="DA159" s="20" t="s">
        <v>122</v>
      </c>
      <c r="DB159" s="503">
        <f t="shared" si="87"/>
        <v>0</v>
      </c>
      <c r="DC159" s="127">
        <v>0</v>
      </c>
      <c r="DD159" s="127">
        <v>0</v>
      </c>
      <c r="DE159" s="127">
        <v>0</v>
      </c>
      <c r="DF159" s="127">
        <v>0</v>
      </c>
      <c r="DG159" s="127">
        <v>0</v>
      </c>
      <c r="DH159" s="127">
        <v>0</v>
      </c>
      <c r="DI159" s="127">
        <v>0</v>
      </c>
      <c r="DJ159" s="127">
        <v>0</v>
      </c>
      <c r="DK159" s="127">
        <v>0</v>
      </c>
      <c r="DL159" s="127">
        <v>0</v>
      </c>
      <c r="DM159" s="304">
        <f>INDEX(Input!$1:$1048576,DM$93,$C159*2+6)</f>
        <v>21036.84210526316</v>
      </c>
      <c r="DN159" s="20">
        <v>0</v>
      </c>
      <c r="DO159" s="20">
        <v>0</v>
      </c>
      <c r="DP159" s="20">
        <v>0</v>
      </c>
      <c r="DQ159" s="20">
        <v>0</v>
      </c>
      <c r="DR159" s="20">
        <v>0</v>
      </c>
      <c r="DS159" s="20">
        <f>INDEX(Input!$1:$1048576,DS$93,$C159*2+6)</f>
        <v>0.6</v>
      </c>
      <c r="DT159" s="20">
        <f>INDEX(Input!$1:$1048576,DT$93,$C159*2+6)</f>
        <v>0.55000000000000004</v>
      </c>
      <c r="DU159" s="20">
        <f>INDEX(Input!$1:$1048576,DU$93,$C159*2+6)</f>
        <v>0.52</v>
      </c>
      <c r="DV159" s="20">
        <f>INDEX(Input!$1:$1048576,DV$93,$C159*2+6)</f>
        <v>0.5</v>
      </c>
      <c r="DW159" s="20">
        <f>INDEX(Input!$1:$1048576,DW$93,$C159*2+6)</f>
        <v>0.45</v>
      </c>
      <c r="DX159" s="20"/>
      <c r="DY159" s="7">
        <v>0.11236448191084071</v>
      </c>
      <c r="DZ159" s="7">
        <v>0</v>
      </c>
      <c r="EA159" s="7">
        <v>0.52195003127154427</v>
      </c>
      <c r="EB159" s="7">
        <v>0</v>
      </c>
      <c r="EC159" s="7">
        <v>0</v>
      </c>
      <c r="ED159" s="7">
        <v>0</v>
      </c>
      <c r="EE159" s="7">
        <v>0</v>
      </c>
      <c r="EF159" s="7">
        <v>0</v>
      </c>
      <c r="EG159" s="7">
        <v>0</v>
      </c>
      <c r="EH159" s="7">
        <v>1.4789192705906973E-2</v>
      </c>
      <c r="EI159" s="7">
        <v>4.3188566954775409E-2</v>
      </c>
      <c r="EJ159" s="7">
        <v>0.27281740913088931</v>
      </c>
      <c r="EK159" s="7">
        <v>0.58408530924176316</v>
      </c>
      <c r="EL159" s="7">
        <v>8.5119521966665113E-2</v>
      </c>
      <c r="EM159" s="7">
        <v>5.9911609668013725E-2</v>
      </c>
      <c r="EN159" s="7">
        <v>4.9379578909208771E-2</v>
      </c>
      <c r="EO159" s="7">
        <v>0.75610016993185003</v>
      </c>
      <c r="EP159" s="7">
        <v>8.5125034424855875E-2</v>
      </c>
      <c r="EQ159" s="7">
        <v>6.5024794318701645E-2</v>
      </c>
      <c r="ER159" s="7">
        <v>4.4370422415383894E-2</v>
      </c>
      <c r="ES159" s="7">
        <v>0.30577387714960119</v>
      </c>
      <c r="ET159" s="7">
        <v>0.36568548681761498</v>
      </c>
      <c r="EU159" s="6">
        <v>1520</v>
      </c>
      <c r="EV159" s="6">
        <v>0</v>
      </c>
      <c r="EW159" s="6">
        <v>1520</v>
      </c>
      <c r="EX159" s="6">
        <v>0</v>
      </c>
      <c r="EY159" s="6">
        <v>2319.8491773399096</v>
      </c>
      <c r="EZ159" s="6">
        <v>1725</v>
      </c>
      <c r="FA159" s="6">
        <v>0</v>
      </c>
      <c r="FB159" s="6">
        <v>0</v>
      </c>
      <c r="FC159" s="6">
        <v>0</v>
      </c>
      <c r="FD159" s="6">
        <v>0</v>
      </c>
      <c r="FE159" s="6">
        <v>0</v>
      </c>
      <c r="FF159" s="6">
        <v>0</v>
      </c>
      <c r="FG159" s="6">
        <v>0</v>
      </c>
      <c r="FH159" s="6">
        <v>1171.2811379695618</v>
      </c>
      <c r="FI159" s="6">
        <v>1553.9796069512397</v>
      </c>
      <c r="FJ159" s="6">
        <v>2101.2110117447405</v>
      </c>
      <c r="FK159" s="6">
        <v>2251.3078348034669</v>
      </c>
      <c r="FL159" s="6">
        <v>907.07682140966347</v>
      </c>
      <c r="FM159" s="6">
        <v>2049.8491773399096</v>
      </c>
      <c r="FN159" s="6">
        <v>0</v>
      </c>
      <c r="FO159" s="6">
        <v>0</v>
      </c>
      <c r="FP159" s="6">
        <v>0</v>
      </c>
      <c r="FQ159" s="6">
        <v>0</v>
      </c>
      <c r="FR159" s="6">
        <v>0</v>
      </c>
      <c r="FS159" s="6">
        <v>0</v>
      </c>
      <c r="FT159" s="7">
        <v>0.63431451318238496</v>
      </c>
      <c r="FU159" s="7">
        <v>5.9911609668013725E-2</v>
      </c>
      <c r="FV159" s="7">
        <v>0.30577387714960119</v>
      </c>
      <c r="FW159" s="6">
        <v>1520</v>
      </c>
      <c r="FX159" s="6">
        <v>2319.8491773399096</v>
      </c>
      <c r="FY159" s="6">
        <v>1725</v>
      </c>
      <c r="FZ159" s="6">
        <v>1952.7147957719815</v>
      </c>
      <c r="GA159" s="6">
        <v>1630.6038965217385</v>
      </c>
      <c r="GB159" s="6">
        <v>18354.396103478262</v>
      </c>
      <c r="GC159" s="7">
        <v>1.0519917368675835E-2</v>
      </c>
      <c r="GD159" s="7">
        <v>1.0306429528166093E-2</v>
      </c>
      <c r="GE159" s="7"/>
      <c r="GF159" s="7"/>
      <c r="GG159" s="7">
        <v>-2.0293680361542034E-2</v>
      </c>
      <c r="GH159" s="42">
        <v>1.2590980403626055</v>
      </c>
      <c r="GI159" s="6">
        <v>17503.077174491864</v>
      </c>
      <c r="GJ159" s="14">
        <v>0.50394797582841733</v>
      </c>
      <c r="GK159" s="14">
        <v>0.50887573065309732</v>
      </c>
      <c r="GL159" s="14">
        <v>0.49605202417158278</v>
      </c>
      <c r="GM159" s="14">
        <v>0.49112426934690234</v>
      </c>
      <c r="GO159" s="5">
        <v>343.14810671672558</v>
      </c>
      <c r="GP159" s="5">
        <v>314.14940645767444</v>
      </c>
      <c r="GQ159" s="5">
        <v>535.04305713031317</v>
      </c>
      <c r="GR159" s="5">
        <v>410.15490233172511</v>
      </c>
      <c r="GS159" s="5">
        <v>339.42744393800166</v>
      </c>
      <c r="GT159" s="5">
        <v>293.4407446948278</v>
      </c>
      <c r="GU159" s="5">
        <v>258.04012322764959</v>
      </c>
      <c r="GV159" s="39" t="s">
        <v>392</v>
      </c>
      <c r="GW159" s="5">
        <v>492.125</v>
      </c>
      <c r="GX159" s="5">
        <v>369.09375</v>
      </c>
      <c r="GY159" s="5">
        <v>295.27499999999998</v>
      </c>
      <c r="GZ159" s="5">
        <v>252.85821728143046</v>
      </c>
      <c r="HA159" s="5">
        <v>241.34874471337258</v>
      </c>
      <c r="HB159" s="39">
        <v>272.00918188838415</v>
      </c>
      <c r="HC159" s="5">
        <v>211.81562499999998</v>
      </c>
      <c r="HD159" s="5">
        <v>188.29497441520465</v>
      </c>
      <c r="HE159" s="5">
        <v>193.13834767206475</v>
      </c>
      <c r="HF159" s="5">
        <v>181.01813048245612</v>
      </c>
      <c r="HG159" s="5">
        <v>177.56888157894736</v>
      </c>
      <c r="HH159" s="39">
        <v>188.91961000194755</v>
      </c>
      <c r="HI159" s="16"/>
      <c r="HJ159" s="19" t="str">
        <f t="shared" ref="HJ159" si="388">HJ158</f>
        <v>On</v>
      </c>
      <c r="HK159" s="1" t="str">
        <f t="shared" si="108"/>
        <v>On</v>
      </c>
      <c r="HL159" s="16"/>
      <c r="HM159" s="639">
        <f t="shared" si="266"/>
        <v>5.7455619280273196E-3</v>
      </c>
      <c r="HN159" s="639">
        <f t="shared" si="267"/>
        <v>5.0031960498701745E-4</v>
      </c>
      <c r="HO159" s="639">
        <f t="shared" si="268"/>
        <v>3.9819433988714835E-3</v>
      </c>
      <c r="HP159" s="644">
        <f>(FT159*$GD159-HM159)/$JF159*INDEX(Input!$1:$1048576,$JG$93,$C159*2+6)</f>
        <v>34.534452251590835</v>
      </c>
      <c r="HQ159" s="644">
        <f>(FU159*$GD159-HN159)/$JF159*INDEX(Input!$1:$1048576,$JG$93,$C159*2+6)</f>
        <v>5.1087313016196303</v>
      </c>
      <c r="HR159" s="644">
        <f>(FV159*$GD159-HO159)/$JF159*INDEX(Input!$1:$1048576,$JG$93,$C159*2+6)</f>
        <v>-36.215509519437504</v>
      </c>
      <c r="HS159" s="644">
        <f t="shared" si="269"/>
        <v>-5.2578020964337879</v>
      </c>
      <c r="HT159" s="644">
        <f t="shared" si="270"/>
        <v>5.0612274138449935</v>
      </c>
      <c r="HU159" s="644">
        <f t="shared" si="271"/>
        <v>-2.1093779577601279</v>
      </c>
      <c r="HV159" s="648">
        <f t="shared" si="272"/>
        <v>0</v>
      </c>
      <c r="HW159" s="648">
        <f t="shared" si="273"/>
        <v>0</v>
      </c>
      <c r="HX159" s="648">
        <f t="shared" si="274"/>
        <v>0</v>
      </c>
      <c r="HY159" s="644">
        <f>INDEX(Input!$1:$1048576,HY$93,$C159*2+6)*INDEX(Input!$1:$1048576,$JG$93,$C159*2+6)</f>
        <v>110.00000000000001</v>
      </c>
      <c r="HZ159" s="644">
        <f>INDEX(Input!$1:$1048576,HZ$93,$C159*2+6)*INDEX(Input!$1:$1048576,$JG$93,$C159*2+6)</f>
        <v>157</v>
      </c>
      <c r="IA159" s="644">
        <f>INDEX(Input!$1:$1048576,IA$93,$C159*2+6)*INDEX(Input!$1:$1048576,$JG$93,$C159*2+6)</f>
        <v>179</v>
      </c>
      <c r="IB159" s="644">
        <f t="shared" si="249"/>
        <v>139.27665015515706</v>
      </c>
      <c r="IC159" s="644">
        <f t="shared" si="172"/>
        <v>167.16995871546462</v>
      </c>
      <c r="ID159" s="644">
        <f>IF(AND(INDEX(Input!$1:$1048576,IA$93,$C159*2+7)="TOS",Y159&lt;=INDEX(Y:Y,MATCH(C159*1000+2,A:A))),0,1)*MAX(IA159+HR159+HU159+HX159,0%)</f>
        <v>140.67511252280238</v>
      </c>
      <c r="IE159" s="128">
        <f t="shared" si="275"/>
        <v>0.31149605016081744</v>
      </c>
      <c r="IF159" s="128">
        <f t="shared" si="174"/>
        <v>0.37388020021592988</v>
      </c>
      <c r="IG159" s="128">
        <f t="shared" si="175"/>
        <v>0.31462374962325262</v>
      </c>
      <c r="IH159" s="21"/>
      <c r="II159" s="19">
        <f t="shared" si="276"/>
        <v>1240</v>
      </c>
      <c r="IJ159" s="19">
        <f t="shared" si="277"/>
        <v>2009.7221397149679</v>
      </c>
      <c r="IK159" s="19">
        <f t="shared" si="278"/>
        <v>2070</v>
      </c>
      <c r="IL159" s="19">
        <f t="shared" si="176"/>
        <v>280</v>
      </c>
      <c r="IM159" s="19">
        <f t="shared" si="177"/>
        <v>310.12703762494175</v>
      </c>
      <c r="IN159" s="19">
        <f t="shared" si="178"/>
        <v>-345</v>
      </c>
      <c r="IO159" s="39">
        <f t="shared" si="279"/>
        <v>0</v>
      </c>
      <c r="IP159" s="39">
        <f t="shared" si="280"/>
        <v>0</v>
      </c>
      <c r="IQ159" s="39">
        <f t="shared" si="281"/>
        <v>0</v>
      </c>
      <c r="IR159" s="39">
        <v>0</v>
      </c>
      <c r="IS159" s="39">
        <v>0</v>
      </c>
      <c r="IT159" s="39">
        <v>0</v>
      </c>
      <c r="IU159" s="39">
        <v>0</v>
      </c>
      <c r="IV159" s="39">
        <v>0</v>
      </c>
      <c r="IW159" s="39">
        <v>0</v>
      </c>
      <c r="IX159" s="39">
        <f>INDEX(Input!$1:$1048576,IX$93,$C159*2+6)+INDEX(Input!$1:$1048576,IX$94,$C159*2+6)</f>
        <v>1270</v>
      </c>
      <c r="IY159" s="39">
        <f>INDEX(Input!$1:$1048576,IY$93,$C159*2+6)+INDEX(Input!$1:$1048576,IY$94,$C159*2+6)</f>
        <v>2130.0624533823611</v>
      </c>
      <c r="IZ159" s="39">
        <f>INDEX(Input!$1:$1048576,IZ$93,$C159*2+6)+INDEX(Input!$1:$1048576,IZ$94,$C159*2+6)</f>
        <v>4373.7164157747848</v>
      </c>
      <c r="JA159" s="19">
        <f t="shared" si="179"/>
        <v>1550</v>
      </c>
      <c r="JB159" s="19">
        <f t="shared" si="180"/>
        <v>2440.1894910073029</v>
      </c>
      <c r="JC159" s="19">
        <f t="shared" si="181"/>
        <v>4028.7164157747848</v>
      </c>
      <c r="JD159" s="19">
        <f t="shared" si="182"/>
        <v>2662.687278111699</v>
      </c>
      <c r="JE159" s="21"/>
      <c r="JF159" s="1">
        <f t="shared" si="282"/>
        <v>1.022782493188582E-2</v>
      </c>
      <c r="JG159" s="15">
        <f>INDEX(Input!$1:$1048576,JG$93,$C159*2+6)/(1+VLOOKUP(C159*1000+INDEX(Input!$1:$1048576,JG$93+1,$C159*2+6),$A:$KK,$JK$92,FALSE))</f>
        <v>446</v>
      </c>
      <c r="JH159" s="1">
        <f t="shared" si="251"/>
        <v>7.6853677887286078E-3</v>
      </c>
      <c r="JI159" s="1">
        <f t="shared" si="252"/>
        <v>-5.1702973998854762E-3</v>
      </c>
      <c r="JJ159" s="1">
        <f t="shared" si="253"/>
        <v>0</v>
      </c>
      <c r="JK159" s="1">
        <f t="shared" si="254"/>
        <v>2.5150703888431316E-3</v>
      </c>
      <c r="JL159" s="15">
        <f t="shared" si="184"/>
        <v>1.1217213934240367</v>
      </c>
      <c r="JM159" s="15">
        <f t="shared" si="185"/>
        <v>447.12172139342402</v>
      </c>
      <c r="JN159" s="21"/>
      <c r="JO159" s="19">
        <f>INDEX(Input!$1:$1048576,JO$93,$C159*2+6)</f>
        <v>5995.5</v>
      </c>
      <c r="JP159" s="19">
        <f>INDEX(Input!$1:$1048576,JP$93,$C159*2+6)</f>
        <v>2818.4193802796353</v>
      </c>
      <c r="JQ159" s="39">
        <f t="shared" si="186"/>
        <v>3332.812721888301</v>
      </c>
      <c r="JR159" s="39">
        <f t="shared" si="187"/>
        <v>-155.73210216793632</v>
      </c>
      <c r="JS159" s="39">
        <f t="shared" si="188"/>
        <v>1.1905453193216735</v>
      </c>
      <c r="JT159" s="39">
        <f t="shared" si="189"/>
        <v>-6.6469724283043763E-2</v>
      </c>
      <c r="JU159" s="385">
        <f>(JQ159*JM159-INDEX(Input!$1:$1048576,Input!A$18,$C159*2+6)*JL159*INDEX(Input!$1:$1048576,Input!A$19,$C159*2+6))/1000000</f>
        <v>1.4901729612926</v>
      </c>
      <c r="JV159" s="39">
        <f t="shared" si="192"/>
        <v>7.3195004897317339E-2</v>
      </c>
      <c r="JW159" s="1">
        <f t="shared" si="190"/>
        <v>5.1655711768107938E-2</v>
      </c>
      <c r="JX159" s="19">
        <f t="shared" si="191"/>
        <v>-59256.892729972802</v>
      </c>
      <c r="JZ159" s="341"/>
      <c r="KA159" s="342"/>
      <c r="KB159" s="469">
        <f t="shared" si="110"/>
        <v>2.9286733661474216</v>
      </c>
      <c r="KI159" s="473">
        <f t="shared" si="283"/>
        <v>29.276650155157043</v>
      </c>
      <c r="KJ159" s="473">
        <f t="shared" si="284"/>
        <v>10.169958715464588</v>
      </c>
      <c r="KK159" s="473">
        <f t="shared" si="257"/>
        <v>-38.324887477197649</v>
      </c>
      <c r="KN159" s="544">
        <f t="shared" si="258"/>
        <v>1002</v>
      </c>
      <c r="KO159" s="541">
        <f t="shared" si="285"/>
        <v>-1.5942628051399677E-3</v>
      </c>
      <c r="KP159" s="546">
        <f t="shared" si="286"/>
        <v>69.343415588941966</v>
      </c>
      <c r="KQ159" s="546">
        <f t="shared" si="287"/>
        <v>-176.62892190695266</v>
      </c>
      <c r="KR159" s="548">
        <f t="shared" si="288"/>
        <v>-0.39419353256317202</v>
      </c>
      <c r="KS159" s="548">
        <f t="shared" si="289"/>
        <v>0.15475792784038492</v>
      </c>
      <c r="KT159" s="473">
        <f t="shared" si="112"/>
        <v>238.28695973331548</v>
      </c>
      <c r="KU159" s="663">
        <f t="shared" si="290"/>
        <v>6.577947446535811</v>
      </c>
      <c r="KV159" s="117"/>
    </row>
    <row r="160" spans="1:308" s="26" customFormat="1" ht="15" outlineLevel="1">
      <c r="A160" s="561">
        <f t="shared" si="168"/>
        <v>1060</v>
      </c>
      <c r="B160" s="561">
        <f t="shared" si="104"/>
        <v>60</v>
      </c>
      <c r="C160" s="561">
        <f t="shared" si="105"/>
        <v>1</v>
      </c>
      <c r="D160" s="561" t="str">
        <f t="shared" si="294"/>
        <v xml:space="preserve">500 CC, 0/0/0.9/3.9, -360 Lease, </v>
      </c>
      <c r="E160" s="475">
        <f>INDEX(Input!$1:$1048576,E$93,$C160*2+MIN($B160,2)+5)
+INDEX(Scenarios!E$121:E$200,MATCH($B160,Scenarios!$B$121:$B$200,0))</f>
        <v>1729</v>
      </c>
      <c r="F160" s="475">
        <f>INDEX(Input!$1:$1048576,F$93,$C160*2+MIN($B160,2)+5)
+INDEX(Scenarios!F$121:F$200,MATCH($B160,Scenarios!$B$121:$B$200,0))</f>
        <v>0</v>
      </c>
      <c r="G160" s="475">
        <f>INDEX(Input!$1:$1048576,G$93,$C160*2+MIN($B160,2)+5)
+INDEX(Scenarios!G$121:G$200,MATCH($B160,Scenarios!$B$121:$B$200,0))</f>
        <v>0</v>
      </c>
      <c r="H160" s="475">
        <f>INDEX(Input!$1:$1048576,H$93,$C160*2+MIN($B160,2)+5)
+INDEX(Scenarios!H$121:H$200,MATCH($B160,Scenarios!$B$121:$B$200,0))</f>
        <v>0</v>
      </c>
      <c r="I160" s="476">
        <f>INDEX(Input!$1:$1048576,I$93,$C160*2+MIN($B160,2)+5)</f>
        <v>0.7</v>
      </c>
      <c r="J160" s="476" t="str">
        <f>INDEX(Input!$1:$1048576,J$93,$C160*2+MIN($B160,2)+5)</f>
        <v>Market</v>
      </c>
      <c r="K160" s="476" t="str">
        <f>INDEX(Input!$1:$1048576,K$93,$C160*2+MIN($B160,2)+5)</f>
        <v>Market</v>
      </c>
      <c r="L160" s="476" t="str">
        <f>INDEX(Input!$1:$1048576,L$93,$C160*2+MIN($B160,2)+5)</f>
        <v>Market</v>
      </c>
      <c r="M160" s="476" t="str">
        <f>INDEX(Input!$1:$1048576,M$93,$C160*2+MIN($B160,2)+5)</f>
        <v>Market</v>
      </c>
      <c r="N160" s="476" t="str">
        <f>INDEX(Input!$1:$1048576,N$93,$C160*2+MIN($B160,2)+5)</f>
        <v>Market</v>
      </c>
      <c r="O160" s="476" t="str">
        <f>INDEX(Input!$1:$1048576,O$93,$C160*2+MIN($B160,2)+5)</f>
        <v>Market</v>
      </c>
      <c r="P160" s="476" t="str">
        <f>INDEX(Input!$1:$1048576,P$93,$C160*2+MIN($B160,2)+5)</f>
        <v>N</v>
      </c>
      <c r="Q160" s="477">
        <f>INDEX(Input!$1:$1048576,Q$93,$C160*2+MIN($B160,2)+5)
+INDEX(Scenarios!Q$121:Q$200,MATCH($B160,Scenarios!$B$121:$B$200,0))</f>
        <v>0</v>
      </c>
      <c r="R160" s="478">
        <f>IFERROR(MAX(0,INDEX(Input!$1:$1048576,R$93,$C160*2+MIN($B160,2)+5)
+INDEX(Scenarios!R$121:R$200,MATCH($B160,Scenarios!$B$121:$B$200,0)),),"Market")</f>
        <v>0</v>
      </c>
      <c r="S160" s="478">
        <f>IFERROR(MAX(0,INDEX(Input!$1:$1048576,S$93,$C160*2+MIN($B160,2)+5)
+INDEX(Scenarios!S$121:S$200,MATCH($B160,Scenarios!$B$121:$B$200,0)),),"Market")</f>
        <v>0</v>
      </c>
      <c r="T160" s="478">
        <f>IFERROR(MAX(0,INDEX(Input!$1:$1048576,T$93,$C160*2+MIN($B160,2)+5)
+INDEX(Scenarios!T$121:T$200,MATCH($B160,Scenarios!$B$121:$B$200,0)),),"Market")</f>
        <v>0</v>
      </c>
      <c r="U160" s="478">
        <f>IFERROR(MAX(0,INDEX(Input!$1:$1048576,U$93,$C160*2+MIN($B160,2)+5)
+INDEX(Scenarios!U$121:U$200,MATCH($B160,Scenarios!$B$121:$B$200,0)),),"Market")</f>
        <v>0</v>
      </c>
      <c r="V160" s="478">
        <f>IFERROR(MAX(0,INDEX(Input!$1:$1048576,V$93,$C160*2+MIN($B160,2)+5)
+INDEX(Scenarios!V$121:V$200,MATCH($B160,Scenarios!$B$121:$B$200,0)),),"Market")</f>
        <v>8.9999999999999993E-3</v>
      </c>
      <c r="W160" s="885">
        <f>IFERROR(MAX(0,INDEX(Input!$1:$1048576,W$93,$C160*2+MIN($B160,2)+5)-0%,),"Market")</f>
        <v>3.9E-2</v>
      </c>
      <c r="X160" s="476" t="str">
        <f>INDEX(Input!$1:$1048576,X$93,$C160*2+MIN($B160,2)+5)</f>
        <v>Y</v>
      </c>
      <c r="Y160" s="475">
        <f>INDEX(Input!$1:$1048576,Y$93,$C160*2+MIN($B160,2)+5)
++INDEX(Scenarios!Y$121:Y$200,MATCH($B160,Scenarios!$B$121:$B$200,0))</f>
        <v>1582</v>
      </c>
      <c r="Z160" s="477">
        <f>INDEX(Input!$1:$1048576,Z$93,$C160*2+MIN($B160,2)+5)
+INDEX(Scenarios!Z$121:Z$200,MATCH($B160,Scenarios!$B$121:$B$200,0))</f>
        <v>0</v>
      </c>
      <c r="AA160" s="475">
        <f>INDEX(Input!$1:$1048576,AA$93,$C160*2+MIN($B160,2)+5)
+INDEX(Scenarios!AA$121:AA$200,MATCH($B160,Scenarios!$B$121:$B$200,0))</f>
        <v>0</v>
      </c>
      <c r="AB160" s="476">
        <f>INDEX(Input!$1:$1048576,AB$93,$C160*2+MIN($B160,2)+5)</f>
        <v>0.27</v>
      </c>
      <c r="AC160" s="475">
        <f>INDEX(Input!$1:$1048576,AC$93,$C160*2+MIN($B160,2)+5)
+INDEX(Scenarios!AC$121:AC$200,MATCH($B160,Scenarios!$B$121:$B$200,0))</f>
        <v>0</v>
      </c>
      <c r="AD160" s="476">
        <f>INDEX(Input!$1:$1048576,AD$93,$C160*2+MIN($B160,2)+5)</f>
        <v>0.27</v>
      </c>
      <c r="AE160" s="475">
        <f>INDEX(Input!$1:$1048576,AE$93,$C160*2+MIN($B160,2)+5)
+INDEX(Scenarios!AE$121:AE$200,MATCH($B160,Scenarios!$B$121:$B$200,0))</f>
        <v>0</v>
      </c>
      <c r="AF160" s="476">
        <f>INDEX(Input!$1:$1048576,AF$93,$C160*2+MIN($B160,2)+5)</f>
        <v>0.38</v>
      </c>
      <c r="AG160" s="475">
        <f>INDEX(Input!$1:$1048576,AG$93,$C160*2+MIN($B160,2)+5)
+INDEX(Scenarios!AG$121:AG$200,MATCH($B160,Scenarios!$B$121:$B$200,0))</f>
        <v>0</v>
      </c>
      <c r="AH160" s="476">
        <f>INDEX(Input!$1:$1048576,AH$93,$C160*2+MIN($B160,2)+5)</f>
        <v>0</v>
      </c>
      <c r="AI160" s="475">
        <f>INDEX(Input!$1:$1048576,AI$93,$C160*2+MIN($B160,2)+5)
+INDEX(Scenarios!AI$121:AI$200,MATCH($B160,Scenarios!$B$121:$B$200,0))</f>
        <v>0</v>
      </c>
      <c r="AJ160" s="476">
        <f>INDEX(Input!$1:$1048576,AJ$93,$C160*2+MIN($B160,2)+5)</f>
        <v>0.27</v>
      </c>
      <c r="AK160" s="150">
        <f>ROUND(INDEX(Input!$1:$1048576,AK$93,$C159*2+MIN($B160,1)+5)+(Y160-VLOOKUP($C160*1000+1,$A:$HH,Y$92,FALSE)),0)</f>
        <v>3397</v>
      </c>
      <c r="AL160" s="150">
        <f>ROUND(INDEX(Input!$1:$1048576,AL$93,$C159*2+MIN($B160,1)+5)-(Y160-VLOOKUP($C160*1000+1,$A:$HH,Y$92,FALSE))/36,0)</f>
        <v>4123</v>
      </c>
      <c r="AM160" s="32" t="str">
        <f t="shared" si="169"/>
        <v>std/std/std/std</v>
      </c>
      <c r="AN160" s="32" t="str">
        <f t="shared" si="170"/>
        <v>$0 + 0/0/0/0.9/3.9</v>
      </c>
      <c r="AO160" s="32" t="str">
        <f t="shared" si="171"/>
        <v>0/0/0/0.9/3.9</v>
      </c>
      <c r="AP160" s="32" t="str">
        <f t="shared" si="73"/>
        <v>0/0/0.9/3.9</v>
      </c>
      <c r="AQ160" s="536">
        <f t="shared" si="39"/>
        <v>0.34313764763655275</v>
      </c>
      <c r="AR160" s="32"/>
      <c r="AS160" s="302"/>
      <c r="AT160" s="3">
        <f t="shared" si="106"/>
        <v>60</v>
      </c>
      <c r="AU160" s="41" t="s">
        <v>121</v>
      </c>
      <c r="AV160" s="41" t="s">
        <v>116</v>
      </c>
      <c r="AW160" s="41" t="str">
        <f>INDEX(Input!$1:$1048576,AW$93,$C160*2+6)</f>
        <v>Kia</v>
      </c>
      <c r="AX160" s="41" t="str">
        <f>INDEX(Input!$1:$1048576,AX$93,$C160*2+6)</f>
        <v>Kia-LR - L1</v>
      </c>
      <c r="AY160" s="41" t="str">
        <f>IF(LEN(D160)=0,"",INDEX(Input!$1:$1048576,AY$93,$C160*2+6))</f>
        <v>Compact SUV (52)</v>
      </c>
      <c r="AZ160" s="41" t="str">
        <f>INDEX(Input!$1:$1048576,AZ$93,$C160*2+6)</f>
        <v>Kia Soul</v>
      </c>
      <c r="BA160" s="3">
        <f>INDEX(Input!$1:$1048576,BA$93,$C160*2+6)</f>
        <v>2020</v>
      </c>
      <c r="BB160" s="128">
        <f>INDEX(Input!$1:$1048576,BB$93,$C160*2+6)</f>
        <v>1</v>
      </c>
      <c r="BC160" s="128">
        <f>INDEX(Input!$1:$1048576,BC$93,$C160*2+6)</f>
        <v>0.7</v>
      </c>
      <c r="BD160" s="1">
        <f>INDEX(Input!$1:$1048576,BD$93,$C160*2+6)</f>
        <v>4.4999999999999998E-2</v>
      </c>
      <c r="BE160" s="1">
        <f>INDEX(Input!$1:$1048576,BE$93,$C160*2+6)</f>
        <v>4.4999999999999998E-2</v>
      </c>
      <c r="BF160" s="1">
        <f>INDEX(Input!$1:$1048576,BF$93,$C160*2+6)</f>
        <v>0.05</v>
      </c>
      <c r="BG160" s="1">
        <f>INDEX(Input!$1:$1048576,BG$93,$C160*2+6)</f>
        <v>5.45E-2</v>
      </c>
      <c r="BH160" s="1">
        <f>INDEX(Input!$1:$1048576,BH$93,$C160*2+6)</f>
        <v>5.45E-2</v>
      </c>
      <c r="BI160" s="1">
        <f>INDEX(Input!$1:$1048576,BI$93,$C160*2+6)</f>
        <v>0.05</v>
      </c>
      <c r="BJ160" s="1">
        <f>INDEX(Input!$1:$1048576,BJ$93,$C160*2+6)</f>
        <v>0.05</v>
      </c>
      <c r="BK160" s="1">
        <f>INDEX(Input!$1:$1048576,BK$93,$C160*2+6)</f>
        <v>0.05</v>
      </c>
      <c r="BL160" s="1">
        <f>INDEX(Input!$1:$1048576,BL$93,$C160*2+6)</f>
        <v>5.5E-2</v>
      </c>
      <c r="BM160" s="1">
        <f>INDEX(Input!$1:$1048576,BM$93,$C160*2+6)</f>
        <v>0.06</v>
      </c>
      <c r="BN160" s="1">
        <f>INDEX(Input!$1:$1048576,BN$93,$C160*2+6)</f>
        <v>4.4999999999999998E-2</v>
      </c>
      <c r="BO160" s="1">
        <f>INDEX(Input!$1:$1048576,BO$93,$C160*2+6)</f>
        <v>4.4999999999999998E-2</v>
      </c>
      <c r="BP160" s="1">
        <f>INDEX(Input!$1:$1048576,BP$93,$C160*2+6)</f>
        <v>0.05</v>
      </c>
      <c r="BQ160" s="1">
        <f>INDEX(Input!$1:$1048576,BQ$93,$C160*2+6)</f>
        <v>5.45E-2</v>
      </c>
      <c r="BR160" s="1">
        <f>INDEX(Input!$1:$1048576,BR$93,$C160*2+6)</f>
        <v>5.45E-2</v>
      </c>
      <c r="BS160" s="1">
        <f>INDEX(Input!$1:$1048576,BS$93,$C160*2+6)</f>
        <v>0.05</v>
      </c>
      <c r="BT160" s="1">
        <f>INDEX(Input!$1:$1048576,BT$93,$C160*2+6)</f>
        <v>0.05</v>
      </c>
      <c r="BU160" s="1">
        <f>INDEX(Input!$1:$1048576,BU$93,$C160*2+6)</f>
        <v>0.05</v>
      </c>
      <c r="BV160" s="1">
        <f>INDEX(Input!$1:$1048576,BV$93,$C160*2+6)</f>
        <v>5.5E-2</v>
      </c>
      <c r="BW160" s="1">
        <f>INDEX(Input!$1:$1048576,BW$93,$C160*2+6)</f>
        <v>0.06</v>
      </c>
      <c r="BX160" s="127">
        <f>INDEX(Input!$1:$1048576,BX$93,$C160*2+6)</f>
        <v>19985</v>
      </c>
      <c r="BY160" s="20">
        <f>INDEX(Input!$1:$1048576,BY$93,$C160*2+6)</f>
        <v>0.1</v>
      </c>
      <c r="BZ160" s="20">
        <f>INDEX(Input!$1:$1048576,BZ$93,$C160*2+6)</f>
        <v>0.1</v>
      </c>
      <c r="CA160" s="20">
        <f>INDEX(Input!$1:$1048576,CA$93,$C160*2+6)</f>
        <v>0.1</v>
      </c>
      <c r="CB160" s="20">
        <f>INDEX(Input!$1:$1048576,CB$93,$C160*2+6)</f>
        <v>0.1</v>
      </c>
      <c r="CC160" s="20">
        <f>INDEX(Input!$1:$1048576,CC$93,$C160*2+6)</f>
        <v>0.1</v>
      </c>
      <c r="CD160" s="384">
        <f>INDEX(Input!$1:$1048576,CD$93,$C160*2+6)</f>
        <v>0.1</v>
      </c>
      <c r="CE160" s="384">
        <f>INDEX(Input!$1:$1048576,CE$93,$C160*2+6)</f>
        <v>0.1</v>
      </c>
      <c r="CF160" s="384">
        <f>INDEX(Input!$1:$1048576,CF$93,$C160*2+6)</f>
        <v>0.1</v>
      </c>
      <c r="CG160" s="384">
        <f>INDEX(Input!$1:$1048576,CG$93,$C160*2+6)</f>
        <v>0.1</v>
      </c>
      <c r="CH160" s="384">
        <f>INDEX(Input!$1:$1048576,CH$93,$C160*2+6)</f>
        <v>0.1</v>
      </c>
      <c r="CI160" s="304">
        <f t="shared" si="74"/>
        <v>1729</v>
      </c>
      <c r="CJ160" s="16" t="str">
        <f>INDEX(Input!$1:$1048576,CJ$93,$C160*2+6)</f>
        <v>N</v>
      </c>
      <c r="CK160" s="1" t="str">
        <f t="shared" si="75"/>
        <v>Market</v>
      </c>
      <c r="CL160" s="1" t="str">
        <f t="shared" si="76"/>
        <v>Market</v>
      </c>
      <c r="CM160" s="1" t="str">
        <f t="shared" si="77"/>
        <v>Market</v>
      </c>
      <c r="CN160" s="1" t="str">
        <f t="shared" si="78"/>
        <v>Market</v>
      </c>
      <c r="CO160" s="1" t="str">
        <f t="shared" si="79"/>
        <v>Market</v>
      </c>
      <c r="CP160" s="304">
        <f t="shared" si="80"/>
        <v>0</v>
      </c>
      <c r="CQ160" s="1">
        <f t="shared" si="81"/>
        <v>0</v>
      </c>
      <c r="CR160" s="1">
        <f t="shared" si="82"/>
        <v>0</v>
      </c>
      <c r="CS160" s="1">
        <f t="shared" si="83"/>
        <v>0</v>
      </c>
      <c r="CT160" s="1">
        <f t="shared" si="84"/>
        <v>8.9999999999999993E-3</v>
      </c>
      <c r="CU160" s="1">
        <f t="shared" si="85"/>
        <v>3.9E-2</v>
      </c>
      <c r="CV160" s="304">
        <f t="shared" si="86"/>
        <v>1582</v>
      </c>
      <c r="CW160" s="20" t="s">
        <v>122</v>
      </c>
      <c r="CX160" s="20" t="s">
        <v>122</v>
      </c>
      <c r="CY160" s="20" t="s">
        <v>122</v>
      </c>
      <c r="CZ160" s="20" t="s">
        <v>122</v>
      </c>
      <c r="DA160" s="20" t="s">
        <v>122</v>
      </c>
      <c r="DB160" s="503">
        <f t="shared" si="87"/>
        <v>0</v>
      </c>
      <c r="DC160" s="127">
        <v>0</v>
      </c>
      <c r="DD160" s="127">
        <v>0</v>
      </c>
      <c r="DE160" s="127">
        <v>0</v>
      </c>
      <c r="DF160" s="127">
        <v>0</v>
      </c>
      <c r="DG160" s="127">
        <v>0</v>
      </c>
      <c r="DH160" s="127">
        <v>0</v>
      </c>
      <c r="DI160" s="127">
        <v>0</v>
      </c>
      <c r="DJ160" s="127">
        <v>0</v>
      </c>
      <c r="DK160" s="127">
        <v>0</v>
      </c>
      <c r="DL160" s="127">
        <v>0</v>
      </c>
      <c r="DM160" s="304">
        <f>INDEX(Input!$1:$1048576,DM$93,$C160*2+6)</f>
        <v>21036.84210526316</v>
      </c>
      <c r="DN160" s="20">
        <v>0</v>
      </c>
      <c r="DO160" s="20">
        <v>0</v>
      </c>
      <c r="DP160" s="20">
        <v>0</v>
      </c>
      <c r="DQ160" s="20">
        <v>0</v>
      </c>
      <c r="DR160" s="20">
        <v>0</v>
      </c>
      <c r="DS160" s="20">
        <f>INDEX(Input!$1:$1048576,DS$93,$C160*2+6)</f>
        <v>0.6</v>
      </c>
      <c r="DT160" s="20">
        <f>INDEX(Input!$1:$1048576,DT$93,$C160*2+6)</f>
        <v>0.55000000000000004</v>
      </c>
      <c r="DU160" s="20">
        <f>INDEX(Input!$1:$1048576,DU$93,$C160*2+6)</f>
        <v>0.52</v>
      </c>
      <c r="DV160" s="20">
        <f>INDEX(Input!$1:$1048576,DV$93,$C160*2+6)</f>
        <v>0.5</v>
      </c>
      <c r="DW160" s="20">
        <f>INDEX(Input!$1:$1048576,DW$93,$C160*2+6)</f>
        <v>0.45</v>
      </c>
      <c r="DX160" s="20"/>
      <c r="DY160" s="7">
        <v>0.12068009090317663</v>
      </c>
      <c r="DZ160" s="7">
        <v>0</v>
      </c>
      <c r="EA160" s="7">
        <v>0.54467245081604732</v>
      </c>
      <c r="EB160" s="7">
        <v>0</v>
      </c>
      <c r="EC160" s="7">
        <v>0</v>
      </c>
      <c r="ED160" s="7">
        <v>0</v>
      </c>
      <c r="EE160" s="7">
        <v>0</v>
      </c>
      <c r="EF160" s="7">
        <v>0</v>
      </c>
      <c r="EG160" s="7">
        <v>0</v>
      </c>
      <c r="EH160" s="7">
        <v>1.4789192705906975E-2</v>
      </c>
      <c r="EI160" s="7">
        <v>4.3188566954775409E-2</v>
      </c>
      <c r="EJ160" s="7">
        <v>0.27281740913088931</v>
      </c>
      <c r="EK160" s="7">
        <v>0.58408530924176316</v>
      </c>
      <c r="EL160" s="7">
        <v>8.5119521966665126E-2</v>
      </c>
      <c r="EM160" s="7">
        <v>5.4826534329786791E-2</v>
      </c>
      <c r="EN160" s="7">
        <v>4.9379578909208736E-2</v>
      </c>
      <c r="EO160" s="7">
        <v>0.75610016993184992</v>
      </c>
      <c r="EP160" s="7">
        <v>8.5125034424855889E-2</v>
      </c>
      <c r="EQ160" s="7">
        <v>6.5024794318701659E-2</v>
      </c>
      <c r="ER160" s="7">
        <v>4.4370422415383887E-2</v>
      </c>
      <c r="ES160" s="7">
        <v>0.27982092395098918</v>
      </c>
      <c r="ET160" s="7">
        <v>0.33464745828077591</v>
      </c>
      <c r="EU160" s="6">
        <v>1770</v>
      </c>
      <c r="EV160" s="6">
        <v>0</v>
      </c>
      <c r="EW160" s="6">
        <v>1770</v>
      </c>
      <c r="EX160" s="6">
        <v>0</v>
      </c>
      <c r="EY160" s="6">
        <v>2319.8491773399096</v>
      </c>
      <c r="EZ160" s="6">
        <v>1725</v>
      </c>
      <c r="FA160" s="6">
        <v>0</v>
      </c>
      <c r="FB160" s="6">
        <v>0</v>
      </c>
      <c r="FC160" s="6">
        <v>0</v>
      </c>
      <c r="FD160" s="6">
        <v>0</v>
      </c>
      <c r="FE160" s="6">
        <v>0</v>
      </c>
      <c r="FF160" s="6">
        <v>0</v>
      </c>
      <c r="FG160" s="6">
        <v>0</v>
      </c>
      <c r="FH160" s="6">
        <v>1171.281137969562</v>
      </c>
      <c r="FI160" s="6">
        <v>1553.9796069512397</v>
      </c>
      <c r="FJ160" s="6">
        <v>2101.2110117447405</v>
      </c>
      <c r="FK160" s="6">
        <v>2251.3078348034669</v>
      </c>
      <c r="FL160" s="6">
        <v>907.07682140966335</v>
      </c>
      <c r="FM160" s="6">
        <v>2049.8491773399096</v>
      </c>
      <c r="FN160" s="6">
        <v>0</v>
      </c>
      <c r="FO160" s="6">
        <v>0</v>
      </c>
      <c r="FP160" s="6">
        <v>0</v>
      </c>
      <c r="FQ160" s="6">
        <v>0</v>
      </c>
      <c r="FR160" s="6">
        <v>0</v>
      </c>
      <c r="FS160" s="6">
        <v>0</v>
      </c>
      <c r="FT160" s="7">
        <v>0.66535254171922398</v>
      </c>
      <c r="FU160" s="7">
        <v>5.4826534329786791E-2</v>
      </c>
      <c r="FV160" s="7">
        <v>0.27982092395098918</v>
      </c>
      <c r="FW160" s="6">
        <v>1769.9999999999998</v>
      </c>
      <c r="FX160" s="6">
        <v>2319.8491773399096</v>
      </c>
      <c r="FY160" s="6">
        <v>1725</v>
      </c>
      <c r="FZ160" s="6">
        <v>1952.7147957719815</v>
      </c>
      <c r="GA160" s="6">
        <v>1787.5543832198368</v>
      </c>
      <c r="GB160" s="6">
        <v>18197.445616780162</v>
      </c>
      <c r="GC160" s="7">
        <v>1.0519917368675835E-2</v>
      </c>
      <c r="GD160" s="7">
        <v>1.0531392727494331E-2</v>
      </c>
      <c r="GE160" s="7"/>
      <c r="GF160" s="7"/>
      <c r="GG160" s="7">
        <v>1.0908221439709419E-3</v>
      </c>
      <c r="GH160" s="42">
        <v>-0.13199337668387409</v>
      </c>
      <c r="GI160" s="6">
        <v>-149621.55796841261</v>
      </c>
      <c r="GJ160" s="14">
        <v>0.50394797582841722</v>
      </c>
      <c r="GK160" s="14">
        <v>0.50887573065309744</v>
      </c>
      <c r="GL160" s="14">
        <v>0.49605202417158278</v>
      </c>
      <c r="GM160" s="14">
        <v>0.4911242693469024</v>
      </c>
      <c r="GO160" s="5">
        <v>343.14810671672558</v>
      </c>
      <c r="GP160" s="5">
        <v>309.37988338875158</v>
      </c>
      <c r="GQ160" s="5">
        <v>535.04305713031317</v>
      </c>
      <c r="GR160" s="5">
        <v>410.15490233172511</v>
      </c>
      <c r="GS160" s="5">
        <v>339.42744393800166</v>
      </c>
      <c r="GT160" s="5">
        <v>293.4407446948278</v>
      </c>
      <c r="GU160" s="5">
        <v>258.04012322764959</v>
      </c>
      <c r="GV160" s="39" t="s">
        <v>392</v>
      </c>
      <c r="GW160" s="5">
        <v>492.125</v>
      </c>
      <c r="GX160" s="5">
        <v>369.09375</v>
      </c>
      <c r="GY160" s="5">
        <v>295.27499999999998</v>
      </c>
      <c r="GZ160" s="5">
        <v>252.85821728143046</v>
      </c>
      <c r="HA160" s="5">
        <v>241.34874471337258</v>
      </c>
      <c r="HB160" s="39">
        <v>272.00918188838415</v>
      </c>
      <c r="HC160" s="5">
        <v>211.81562499999998</v>
      </c>
      <c r="HD160" s="5">
        <v>188.29497441520465</v>
      </c>
      <c r="HE160" s="5">
        <v>193.13834767206475</v>
      </c>
      <c r="HF160" s="5">
        <v>181.01813048245612</v>
      </c>
      <c r="HG160" s="5">
        <v>177.56888157894736</v>
      </c>
      <c r="HH160" s="39">
        <v>188.91961000194755</v>
      </c>
      <c r="HI160" s="16"/>
      <c r="HJ160" s="19" t="str">
        <f t="shared" ref="HJ160" si="389">HJ159</f>
        <v>On</v>
      </c>
      <c r="HK160" s="1" t="str">
        <f t="shared" si="108"/>
        <v>On</v>
      </c>
      <c r="HL160" s="16"/>
      <c r="HM160" s="639">
        <f t="shared" si="266"/>
        <v>5.7455619280273196E-3</v>
      </c>
      <c r="HN160" s="639">
        <f t="shared" si="267"/>
        <v>5.0031960498701745E-4</v>
      </c>
      <c r="HO160" s="639">
        <f t="shared" si="268"/>
        <v>3.9819433988714835E-3</v>
      </c>
      <c r="HP160" s="644">
        <f>(FT160*$GD160-HM160)/$JF160*INDEX(Input!$1:$1048576,$JG$93,$C160*2+6)</f>
        <v>55.010820165311024</v>
      </c>
      <c r="HQ160" s="644">
        <f>(FU160*$GD160-HN160)/$JF160*INDEX(Input!$1:$1048576,$JG$93,$C160*2+6)</f>
        <v>3.3611986474713307</v>
      </c>
      <c r="HR160" s="644">
        <f>(FV160*$GD160-HO160)/$JF160*INDEX(Input!$1:$1048576,$JG$93,$C160*2+6)</f>
        <v>-45.134479282817821</v>
      </c>
      <c r="HS160" s="644">
        <f t="shared" si="269"/>
        <v>-9.7680137139482177</v>
      </c>
      <c r="HT160" s="644">
        <f t="shared" si="270"/>
        <v>3.0537471169557806</v>
      </c>
      <c r="HU160" s="644">
        <f t="shared" si="271"/>
        <v>-0.1018976608709149</v>
      </c>
      <c r="HV160" s="648">
        <f t="shared" si="272"/>
        <v>0</v>
      </c>
      <c r="HW160" s="648">
        <f t="shared" si="273"/>
        <v>0</v>
      </c>
      <c r="HX160" s="648">
        <f t="shared" si="274"/>
        <v>0</v>
      </c>
      <c r="HY160" s="644">
        <f>INDEX(Input!$1:$1048576,HY$93,$C160*2+6)*INDEX(Input!$1:$1048576,$JG$93,$C160*2+6)</f>
        <v>110.00000000000001</v>
      </c>
      <c r="HZ160" s="644">
        <f>INDEX(Input!$1:$1048576,HZ$93,$C160*2+6)*INDEX(Input!$1:$1048576,$JG$93,$C160*2+6)</f>
        <v>157</v>
      </c>
      <c r="IA160" s="644">
        <f>INDEX(Input!$1:$1048576,IA$93,$C160*2+6)*INDEX(Input!$1:$1048576,$JG$93,$C160*2+6)</f>
        <v>179</v>
      </c>
      <c r="IB160" s="644">
        <f t="shared" si="249"/>
        <v>155.24280645136287</v>
      </c>
      <c r="IC160" s="644">
        <f t="shared" si="172"/>
        <v>163.4149457644271</v>
      </c>
      <c r="ID160" s="644">
        <f>IF(AND(INDEX(Input!$1:$1048576,IA$93,$C160*2+7)="TOS",Y160&lt;=INDEX(Y:Y,MATCH(C160*1000+2,A:A))),0,1)*MAX(IA160+HR160+HU160+HX160,0%)</f>
        <v>133.76362305631125</v>
      </c>
      <c r="IE160" s="128">
        <f t="shared" si="275"/>
        <v>0.34313764763655275</v>
      </c>
      <c r="IF160" s="128">
        <f t="shared" si="174"/>
        <v>0.36120076259912332</v>
      </c>
      <c r="IG160" s="128">
        <f t="shared" si="175"/>
        <v>0.29566158976432394</v>
      </c>
      <c r="IH160" s="21"/>
      <c r="II160" s="19">
        <f t="shared" si="276"/>
        <v>1240</v>
      </c>
      <c r="IJ160" s="19">
        <f t="shared" si="277"/>
        <v>2009.7221397149679</v>
      </c>
      <c r="IK160" s="19">
        <f t="shared" si="278"/>
        <v>2070</v>
      </c>
      <c r="IL160" s="19">
        <f t="shared" si="176"/>
        <v>529.99999999999977</v>
      </c>
      <c r="IM160" s="19">
        <f t="shared" si="177"/>
        <v>310.12703762494175</v>
      </c>
      <c r="IN160" s="19">
        <f t="shared" si="178"/>
        <v>-345</v>
      </c>
      <c r="IO160" s="39">
        <f t="shared" si="279"/>
        <v>0</v>
      </c>
      <c r="IP160" s="39">
        <f t="shared" si="280"/>
        <v>0</v>
      </c>
      <c r="IQ160" s="39">
        <f t="shared" si="281"/>
        <v>0</v>
      </c>
      <c r="IR160" s="39">
        <v>0</v>
      </c>
      <c r="IS160" s="39">
        <v>0</v>
      </c>
      <c r="IT160" s="39">
        <v>0</v>
      </c>
      <c r="IU160" s="39">
        <v>0</v>
      </c>
      <c r="IV160" s="39">
        <v>0</v>
      </c>
      <c r="IW160" s="39">
        <v>0</v>
      </c>
      <c r="IX160" s="39">
        <f>INDEX(Input!$1:$1048576,IX$93,$C160*2+6)+INDEX(Input!$1:$1048576,IX$94,$C160*2+6)</f>
        <v>1270</v>
      </c>
      <c r="IY160" s="39">
        <f>INDEX(Input!$1:$1048576,IY$93,$C160*2+6)+INDEX(Input!$1:$1048576,IY$94,$C160*2+6)</f>
        <v>2130.0624533823611</v>
      </c>
      <c r="IZ160" s="39">
        <f>INDEX(Input!$1:$1048576,IZ$93,$C160*2+6)+INDEX(Input!$1:$1048576,IZ$94,$C160*2+6)</f>
        <v>4373.7164157747848</v>
      </c>
      <c r="JA160" s="19">
        <f t="shared" si="179"/>
        <v>1799.9999999999998</v>
      </c>
      <c r="JB160" s="19">
        <f t="shared" si="180"/>
        <v>2440.1894910073029</v>
      </c>
      <c r="JC160" s="19">
        <f t="shared" si="181"/>
        <v>4028.7164157747848</v>
      </c>
      <c r="JD160" s="19">
        <f t="shared" si="182"/>
        <v>2690.1827709816012</v>
      </c>
      <c r="JE160" s="21"/>
      <c r="JF160" s="1">
        <f t="shared" si="282"/>
        <v>1.022782493188582E-2</v>
      </c>
      <c r="JG160" s="15">
        <f>INDEX(Input!$1:$1048576,JG$93,$C160*2+6)/(1+VLOOKUP(C160*1000+INDEX(Input!$1:$1048576,JG$93+1,$C160*2+6),$A:$KK,$JK$92,FALSE))</f>
        <v>446</v>
      </c>
      <c r="JH160" s="1">
        <f t="shared" si="251"/>
        <v>2.968058190575008E-2</v>
      </c>
      <c r="JI160" s="1">
        <f t="shared" si="252"/>
        <v>-1.5282879501935766E-2</v>
      </c>
      <c r="JJ160" s="1">
        <f t="shared" si="253"/>
        <v>0</v>
      </c>
      <c r="JK160" s="1">
        <f t="shared" si="254"/>
        <v>1.4397702403814314E-2</v>
      </c>
      <c r="JL160" s="15">
        <f t="shared" si="184"/>
        <v>6.4213752721011836</v>
      </c>
      <c r="JM160" s="15">
        <f t="shared" si="185"/>
        <v>452.42137527210116</v>
      </c>
      <c r="JN160" s="21"/>
      <c r="JO160" s="19">
        <f>INDEX(Input!$1:$1048576,JO$93,$C160*2+6)</f>
        <v>5995.5</v>
      </c>
      <c r="JP160" s="19">
        <f>INDEX(Input!$1:$1048576,JP$93,$C160*2+6)</f>
        <v>2818.4193802796353</v>
      </c>
      <c r="JQ160" s="39">
        <f t="shared" si="186"/>
        <v>3305.3172290183988</v>
      </c>
      <c r="JR160" s="39">
        <f t="shared" si="187"/>
        <v>-128.23660929803418</v>
      </c>
      <c r="JS160" s="39">
        <f t="shared" si="188"/>
        <v>1.2170961889808081</v>
      </c>
      <c r="JT160" s="39">
        <f t="shared" si="189"/>
        <v>-3.9918854623909344E-2</v>
      </c>
      <c r="JU160" s="385">
        <f>(JQ160*JM160-INDEX(Input!$1:$1048576,Input!A$18,$C160*2+6)*JL160*INDEX(Input!$1:$1048576,Input!A$19,$C160*2+6))/1000000</f>
        <v>1.4953961664630746</v>
      </c>
      <c r="JV160" s="39">
        <f t="shared" si="192"/>
        <v>7.8418210067791927E-2</v>
      </c>
      <c r="JW160" s="1">
        <f t="shared" si="190"/>
        <v>5.5341870149683718E-2</v>
      </c>
      <c r="JX160" s="19">
        <f t="shared" si="191"/>
        <v>-6216.5584368420214</v>
      </c>
      <c r="JZ160" s="341"/>
      <c r="KA160" s="342"/>
      <c r="KB160" s="469">
        <f t="shared" si="110"/>
        <v>2.9286733661474216</v>
      </c>
      <c r="KI160" s="473">
        <f t="shared" si="283"/>
        <v>45.242806451362824</v>
      </c>
      <c r="KJ160" s="473">
        <f t="shared" si="284"/>
        <v>6.4149457644271024</v>
      </c>
      <c r="KK160" s="473">
        <f t="shared" si="257"/>
        <v>-45.236376943688782</v>
      </c>
      <c r="KN160" s="544">
        <f t="shared" si="258"/>
        <v>1002</v>
      </c>
      <c r="KO160" s="541">
        <f t="shared" si="285"/>
        <v>1.0239662017676787E-2</v>
      </c>
      <c r="KP160" s="546">
        <f t="shared" si="286"/>
        <v>166.31275111788193</v>
      </c>
      <c r="KQ160" s="546">
        <f t="shared" si="287"/>
        <v>-149.13342903705052</v>
      </c>
      <c r="KR160" s="548">
        <f t="shared" si="288"/>
        <v>1.0556376825810823</v>
      </c>
      <c r="KS160" s="548">
        <f t="shared" si="289"/>
        <v>-1.1772411343813989</v>
      </c>
      <c r="KT160" s="473">
        <f t="shared" si="112"/>
        <v>238.28695973331548</v>
      </c>
      <c r="KU160" s="663">
        <f t="shared" si="290"/>
        <v>6.6759406191305244</v>
      </c>
      <c r="KV160" s="117"/>
    </row>
    <row r="161" spans="1:308" s="26" customFormat="1" ht="15" outlineLevel="1">
      <c r="A161" s="561">
        <f t="shared" si="168"/>
        <v>1061</v>
      </c>
      <c r="B161" s="561">
        <f t="shared" si="104"/>
        <v>61</v>
      </c>
      <c r="C161" s="561">
        <f t="shared" si="105"/>
        <v>1</v>
      </c>
      <c r="D161" s="561" t="str">
        <f t="shared" si="294"/>
        <v xml:space="preserve">750 CC, 0/0/0.9/3.9, -360 Lease, </v>
      </c>
      <c r="E161" s="475">
        <f>INDEX(Input!$1:$1048576,E$93,$C161*2+MIN($B161,2)+5)
+INDEX(Scenarios!E$121:E$200,MATCH($B161,Scenarios!$B$121:$B$200,0))</f>
        <v>1979</v>
      </c>
      <c r="F161" s="475">
        <f>INDEX(Input!$1:$1048576,F$93,$C161*2+MIN($B161,2)+5)
+INDEX(Scenarios!F$121:F$200,MATCH($B161,Scenarios!$B$121:$B$200,0))</f>
        <v>0</v>
      </c>
      <c r="G161" s="475">
        <f>INDEX(Input!$1:$1048576,G$93,$C161*2+MIN($B161,2)+5)
+INDEX(Scenarios!G$121:G$200,MATCH($B161,Scenarios!$B$121:$B$200,0))</f>
        <v>0</v>
      </c>
      <c r="H161" s="475">
        <f>INDEX(Input!$1:$1048576,H$93,$C161*2+MIN($B161,2)+5)
+INDEX(Scenarios!H$121:H$200,MATCH($B161,Scenarios!$B$121:$B$200,0))</f>
        <v>0</v>
      </c>
      <c r="I161" s="476">
        <f>INDEX(Input!$1:$1048576,I$93,$C161*2+MIN($B161,2)+5)</f>
        <v>0.7</v>
      </c>
      <c r="J161" s="476" t="str">
        <f>INDEX(Input!$1:$1048576,J$93,$C161*2+MIN($B161,2)+5)</f>
        <v>Market</v>
      </c>
      <c r="K161" s="476" t="str">
        <f>INDEX(Input!$1:$1048576,K$93,$C161*2+MIN($B161,2)+5)</f>
        <v>Market</v>
      </c>
      <c r="L161" s="476" t="str">
        <f>INDEX(Input!$1:$1048576,L$93,$C161*2+MIN($B161,2)+5)</f>
        <v>Market</v>
      </c>
      <c r="M161" s="476" t="str">
        <f>INDEX(Input!$1:$1048576,M$93,$C161*2+MIN($B161,2)+5)</f>
        <v>Market</v>
      </c>
      <c r="N161" s="476" t="str">
        <f>INDEX(Input!$1:$1048576,N$93,$C161*2+MIN($B161,2)+5)</f>
        <v>Market</v>
      </c>
      <c r="O161" s="476" t="str">
        <f>INDEX(Input!$1:$1048576,O$93,$C161*2+MIN($B161,2)+5)</f>
        <v>Market</v>
      </c>
      <c r="P161" s="476" t="str">
        <f>INDEX(Input!$1:$1048576,P$93,$C161*2+MIN($B161,2)+5)</f>
        <v>N</v>
      </c>
      <c r="Q161" s="477">
        <f>INDEX(Input!$1:$1048576,Q$93,$C161*2+MIN($B161,2)+5)
+INDEX(Scenarios!Q$121:Q$200,MATCH($B161,Scenarios!$B$121:$B$200,0))</f>
        <v>0</v>
      </c>
      <c r="R161" s="478">
        <f>IFERROR(MAX(0,INDEX(Input!$1:$1048576,R$93,$C161*2+MIN($B161,2)+5)
+INDEX(Scenarios!R$121:R$200,MATCH($B161,Scenarios!$B$121:$B$200,0)),),"Market")</f>
        <v>0</v>
      </c>
      <c r="S161" s="478">
        <f>IFERROR(MAX(0,INDEX(Input!$1:$1048576,S$93,$C161*2+MIN($B161,2)+5)
+INDEX(Scenarios!S$121:S$200,MATCH($B161,Scenarios!$B$121:$B$200,0)),),"Market")</f>
        <v>0</v>
      </c>
      <c r="T161" s="478">
        <f>IFERROR(MAX(0,INDEX(Input!$1:$1048576,T$93,$C161*2+MIN($B161,2)+5)
+INDEX(Scenarios!T$121:T$200,MATCH($B161,Scenarios!$B$121:$B$200,0)),),"Market")</f>
        <v>0</v>
      </c>
      <c r="U161" s="478">
        <f>IFERROR(MAX(0,INDEX(Input!$1:$1048576,U$93,$C161*2+MIN($B161,2)+5)
+INDEX(Scenarios!U$121:U$200,MATCH($B161,Scenarios!$B$121:$B$200,0)),),"Market")</f>
        <v>0</v>
      </c>
      <c r="V161" s="478">
        <f>IFERROR(MAX(0,INDEX(Input!$1:$1048576,V$93,$C161*2+MIN($B161,2)+5)
+INDEX(Scenarios!V$121:V$200,MATCH($B161,Scenarios!$B$121:$B$200,0)),),"Market")</f>
        <v>8.9999999999999993E-3</v>
      </c>
      <c r="W161" s="885">
        <f>IFERROR(MAX(0,INDEX(Input!$1:$1048576,W$93,$C161*2+MIN($B161,2)+5)-0%,),"Market")</f>
        <v>3.9E-2</v>
      </c>
      <c r="X161" s="476" t="str">
        <f>INDEX(Input!$1:$1048576,X$93,$C161*2+MIN($B161,2)+5)</f>
        <v>Y</v>
      </c>
      <c r="Y161" s="475">
        <f>INDEX(Input!$1:$1048576,Y$93,$C161*2+MIN($B161,2)+5)
++INDEX(Scenarios!Y$121:Y$200,MATCH($B161,Scenarios!$B$121:$B$200,0))</f>
        <v>1582</v>
      </c>
      <c r="Z161" s="477">
        <f>INDEX(Input!$1:$1048576,Z$93,$C161*2+MIN($B161,2)+5)
+INDEX(Scenarios!Z$121:Z$200,MATCH($B161,Scenarios!$B$121:$B$200,0))</f>
        <v>0</v>
      </c>
      <c r="AA161" s="475">
        <f>INDEX(Input!$1:$1048576,AA$93,$C161*2+MIN($B161,2)+5)
+INDEX(Scenarios!AA$121:AA$200,MATCH($B161,Scenarios!$B$121:$B$200,0))</f>
        <v>0</v>
      </c>
      <c r="AB161" s="476">
        <f>INDEX(Input!$1:$1048576,AB$93,$C161*2+MIN($B161,2)+5)</f>
        <v>0.27</v>
      </c>
      <c r="AC161" s="475">
        <f>INDEX(Input!$1:$1048576,AC$93,$C161*2+MIN($B161,2)+5)
+INDEX(Scenarios!AC$121:AC$200,MATCH($B161,Scenarios!$B$121:$B$200,0))</f>
        <v>0</v>
      </c>
      <c r="AD161" s="476">
        <f>INDEX(Input!$1:$1048576,AD$93,$C161*2+MIN($B161,2)+5)</f>
        <v>0.27</v>
      </c>
      <c r="AE161" s="475">
        <f>INDEX(Input!$1:$1048576,AE$93,$C161*2+MIN($B161,2)+5)
+INDEX(Scenarios!AE$121:AE$200,MATCH($B161,Scenarios!$B$121:$B$200,0))</f>
        <v>0</v>
      </c>
      <c r="AF161" s="476">
        <f>INDEX(Input!$1:$1048576,AF$93,$C161*2+MIN($B161,2)+5)</f>
        <v>0.38</v>
      </c>
      <c r="AG161" s="475">
        <f>INDEX(Input!$1:$1048576,AG$93,$C161*2+MIN($B161,2)+5)
+INDEX(Scenarios!AG$121:AG$200,MATCH($B161,Scenarios!$B$121:$B$200,0))</f>
        <v>0</v>
      </c>
      <c r="AH161" s="476">
        <f>INDEX(Input!$1:$1048576,AH$93,$C161*2+MIN($B161,2)+5)</f>
        <v>0</v>
      </c>
      <c r="AI161" s="475">
        <f>INDEX(Input!$1:$1048576,AI$93,$C161*2+MIN($B161,2)+5)
+INDEX(Scenarios!AI$121:AI$200,MATCH($B161,Scenarios!$B$121:$B$200,0))</f>
        <v>0</v>
      </c>
      <c r="AJ161" s="476">
        <f>INDEX(Input!$1:$1048576,AJ$93,$C161*2+MIN($B161,2)+5)</f>
        <v>0.27</v>
      </c>
      <c r="AK161" s="150">
        <f>ROUND(INDEX(Input!$1:$1048576,AK$93,$C160*2+MIN($B161,1)+5)+(Y161-VLOOKUP($C161*1000+1,$A:$HH,Y$92,FALSE)),0)</f>
        <v>3397</v>
      </c>
      <c r="AL161" s="150">
        <f>ROUND(INDEX(Input!$1:$1048576,AL$93,$C160*2+MIN($B161,1)+5)-(Y161-VLOOKUP($C161*1000+1,$A:$HH,Y$92,FALSE))/36,0)</f>
        <v>4123</v>
      </c>
      <c r="AM161" s="32" t="str">
        <f t="shared" si="169"/>
        <v>std/std/std/std</v>
      </c>
      <c r="AN161" s="32" t="str">
        <f t="shared" si="170"/>
        <v>$0 + 0/0/0/0.9/3.9</v>
      </c>
      <c r="AO161" s="32" t="str">
        <f t="shared" si="171"/>
        <v>0/0/0/0.9/3.9</v>
      </c>
      <c r="AP161" s="32" t="str">
        <f t="shared" si="73"/>
        <v>0/0/0.9/3.9</v>
      </c>
      <c r="AQ161" s="536">
        <f t="shared" si="39"/>
        <v>0.3744514603825313</v>
      </c>
      <c r="AR161" s="32"/>
      <c r="AS161" s="302"/>
      <c r="AT161" s="3">
        <f t="shared" si="106"/>
        <v>61</v>
      </c>
      <c r="AU161" s="41" t="s">
        <v>121</v>
      </c>
      <c r="AV161" s="41" t="s">
        <v>116</v>
      </c>
      <c r="AW161" s="41" t="str">
        <f>INDEX(Input!$1:$1048576,AW$93,$C161*2+6)</f>
        <v>Kia</v>
      </c>
      <c r="AX161" s="41" t="str">
        <f>INDEX(Input!$1:$1048576,AX$93,$C161*2+6)</f>
        <v>Kia-LR - L1</v>
      </c>
      <c r="AY161" s="41" t="str">
        <f>IF(LEN(D161)=0,"",INDEX(Input!$1:$1048576,AY$93,$C161*2+6))</f>
        <v>Compact SUV (52)</v>
      </c>
      <c r="AZ161" s="41" t="str">
        <f>INDEX(Input!$1:$1048576,AZ$93,$C161*2+6)</f>
        <v>Kia Soul</v>
      </c>
      <c r="BA161" s="3">
        <f>INDEX(Input!$1:$1048576,BA$93,$C161*2+6)</f>
        <v>2020</v>
      </c>
      <c r="BB161" s="128">
        <f>INDEX(Input!$1:$1048576,BB$93,$C161*2+6)</f>
        <v>1</v>
      </c>
      <c r="BC161" s="128">
        <f>INDEX(Input!$1:$1048576,BC$93,$C161*2+6)</f>
        <v>0.7</v>
      </c>
      <c r="BD161" s="1">
        <f>INDEX(Input!$1:$1048576,BD$93,$C161*2+6)</f>
        <v>4.4999999999999998E-2</v>
      </c>
      <c r="BE161" s="1">
        <f>INDEX(Input!$1:$1048576,BE$93,$C161*2+6)</f>
        <v>4.4999999999999998E-2</v>
      </c>
      <c r="BF161" s="1">
        <f>INDEX(Input!$1:$1048576,BF$93,$C161*2+6)</f>
        <v>0.05</v>
      </c>
      <c r="BG161" s="1">
        <f>INDEX(Input!$1:$1048576,BG$93,$C161*2+6)</f>
        <v>5.45E-2</v>
      </c>
      <c r="BH161" s="1">
        <f>INDEX(Input!$1:$1048576,BH$93,$C161*2+6)</f>
        <v>5.45E-2</v>
      </c>
      <c r="BI161" s="1">
        <f>INDEX(Input!$1:$1048576,BI$93,$C161*2+6)</f>
        <v>0.05</v>
      </c>
      <c r="BJ161" s="1">
        <f>INDEX(Input!$1:$1048576,BJ$93,$C161*2+6)</f>
        <v>0.05</v>
      </c>
      <c r="BK161" s="1">
        <f>INDEX(Input!$1:$1048576,BK$93,$C161*2+6)</f>
        <v>0.05</v>
      </c>
      <c r="BL161" s="1">
        <f>INDEX(Input!$1:$1048576,BL$93,$C161*2+6)</f>
        <v>5.5E-2</v>
      </c>
      <c r="BM161" s="1">
        <f>INDEX(Input!$1:$1048576,BM$93,$C161*2+6)</f>
        <v>0.06</v>
      </c>
      <c r="BN161" s="1">
        <f>INDEX(Input!$1:$1048576,BN$93,$C161*2+6)</f>
        <v>4.4999999999999998E-2</v>
      </c>
      <c r="BO161" s="1">
        <f>INDEX(Input!$1:$1048576,BO$93,$C161*2+6)</f>
        <v>4.4999999999999998E-2</v>
      </c>
      <c r="BP161" s="1">
        <f>INDEX(Input!$1:$1048576,BP$93,$C161*2+6)</f>
        <v>0.05</v>
      </c>
      <c r="BQ161" s="1">
        <f>INDEX(Input!$1:$1048576,BQ$93,$C161*2+6)</f>
        <v>5.45E-2</v>
      </c>
      <c r="BR161" s="1">
        <f>INDEX(Input!$1:$1048576,BR$93,$C161*2+6)</f>
        <v>5.45E-2</v>
      </c>
      <c r="BS161" s="1">
        <f>INDEX(Input!$1:$1048576,BS$93,$C161*2+6)</f>
        <v>0.05</v>
      </c>
      <c r="BT161" s="1">
        <f>INDEX(Input!$1:$1048576,BT$93,$C161*2+6)</f>
        <v>0.05</v>
      </c>
      <c r="BU161" s="1">
        <f>INDEX(Input!$1:$1048576,BU$93,$C161*2+6)</f>
        <v>0.05</v>
      </c>
      <c r="BV161" s="1">
        <f>INDEX(Input!$1:$1048576,BV$93,$C161*2+6)</f>
        <v>5.5E-2</v>
      </c>
      <c r="BW161" s="1">
        <f>INDEX(Input!$1:$1048576,BW$93,$C161*2+6)</f>
        <v>0.06</v>
      </c>
      <c r="BX161" s="127">
        <f>INDEX(Input!$1:$1048576,BX$93,$C161*2+6)</f>
        <v>19985</v>
      </c>
      <c r="BY161" s="20">
        <f>INDEX(Input!$1:$1048576,BY$93,$C161*2+6)</f>
        <v>0.1</v>
      </c>
      <c r="BZ161" s="20">
        <f>INDEX(Input!$1:$1048576,BZ$93,$C161*2+6)</f>
        <v>0.1</v>
      </c>
      <c r="CA161" s="20">
        <f>INDEX(Input!$1:$1048576,CA$93,$C161*2+6)</f>
        <v>0.1</v>
      </c>
      <c r="CB161" s="20">
        <f>INDEX(Input!$1:$1048576,CB$93,$C161*2+6)</f>
        <v>0.1</v>
      </c>
      <c r="CC161" s="20">
        <f>INDEX(Input!$1:$1048576,CC$93,$C161*2+6)</f>
        <v>0.1</v>
      </c>
      <c r="CD161" s="384">
        <f>INDEX(Input!$1:$1048576,CD$93,$C161*2+6)</f>
        <v>0.1</v>
      </c>
      <c r="CE161" s="384">
        <f>INDEX(Input!$1:$1048576,CE$93,$C161*2+6)</f>
        <v>0.1</v>
      </c>
      <c r="CF161" s="384">
        <f>INDEX(Input!$1:$1048576,CF$93,$C161*2+6)</f>
        <v>0.1</v>
      </c>
      <c r="CG161" s="384">
        <f>INDEX(Input!$1:$1048576,CG$93,$C161*2+6)</f>
        <v>0.1</v>
      </c>
      <c r="CH161" s="384">
        <f>INDEX(Input!$1:$1048576,CH$93,$C161*2+6)</f>
        <v>0.1</v>
      </c>
      <c r="CI161" s="304">
        <f t="shared" si="74"/>
        <v>1979</v>
      </c>
      <c r="CJ161" s="16" t="str">
        <f>INDEX(Input!$1:$1048576,CJ$93,$C161*2+6)</f>
        <v>N</v>
      </c>
      <c r="CK161" s="1" t="str">
        <f t="shared" si="75"/>
        <v>Market</v>
      </c>
      <c r="CL161" s="1" t="str">
        <f t="shared" si="76"/>
        <v>Market</v>
      </c>
      <c r="CM161" s="1" t="str">
        <f t="shared" si="77"/>
        <v>Market</v>
      </c>
      <c r="CN161" s="1" t="str">
        <f t="shared" si="78"/>
        <v>Market</v>
      </c>
      <c r="CO161" s="1" t="str">
        <f t="shared" si="79"/>
        <v>Market</v>
      </c>
      <c r="CP161" s="304">
        <f t="shared" si="80"/>
        <v>0</v>
      </c>
      <c r="CQ161" s="1">
        <f t="shared" si="81"/>
        <v>0</v>
      </c>
      <c r="CR161" s="1">
        <f t="shared" si="82"/>
        <v>0</v>
      </c>
      <c r="CS161" s="1">
        <f t="shared" si="83"/>
        <v>0</v>
      </c>
      <c r="CT161" s="1">
        <f t="shared" si="84"/>
        <v>8.9999999999999993E-3</v>
      </c>
      <c r="CU161" s="1">
        <f t="shared" si="85"/>
        <v>3.9E-2</v>
      </c>
      <c r="CV161" s="304">
        <f t="shared" si="86"/>
        <v>1582</v>
      </c>
      <c r="CW161" s="20" t="s">
        <v>122</v>
      </c>
      <c r="CX161" s="20" t="s">
        <v>122</v>
      </c>
      <c r="CY161" s="20" t="s">
        <v>122</v>
      </c>
      <c r="CZ161" s="20" t="s">
        <v>122</v>
      </c>
      <c r="DA161" s="20" t="s">
        <v>122</v>
      </c>
      <c r="DB161" s="503">
        <f t="shared" si="87"/>
        <v>0</v>
      </c>
      <c r="DC161" s="127">
        <v>0</v>
      </c>
      <c r="DD161" s="127">
        <v>0</v>
      </c>
      <c r="DE161" s="127">
        <v>0</v>
      </c>
      <c r="DF161" s="127">
        <v>0</v>
      </c>
      <c r="DG161" s="127">
        <v>0</v>
      </c>
      <c r="DH161" s="127">
        <v>0</v>
      </c>
      <c r="DI161" s="127">
        <v>0</v>
      </c>
      <c r="DJ161" s="127">
        <v>0</v>
      </c>
      <c r="DK161" s="127">
        <v>0</v>
      </c>
      <c r="DL161" s="127">
        <v>0</v>
      </c>
      <c r="DM161" s="304">
        <f>INDEX(Input!$1:$1048576,DM$93,$C161*2+6)</f>
        <v>21036.84210526316</v>
      </c>
      <c r="DN161" s="20">
        <v>0</v>
      </c>
      <c r="DO161" s="20">
        <v>0</v>
      </c>
      <c r="DP161" s="20">
        <v>0</v>
      </c>
      <c r="DQ161" s="20">
        <v>0</v>
      </c>
      <c r="DR161" s="20">
        <v>0</v>
      </c>
      <c r="DS161" s="20">
        <f>INDEX(Input!$1:$1048576,DS$93,$C161*2+6)</f>
        <v>0.6</v>
      </c>
      <c r="DT161" s="20">
        <f>INDEX(Input!$1:$1048576,DT$93,$C161*2+6)</f>
        <v>0.55000000000000004</v>
      </c>
      <c r="DU161" s="20">
        <f>INDEX(Input!$1:$1048576,DU$93,$C161*2+6)</f>
        <v>0.52</v>
      </c>
      <c r="DV161" s="20">
        <f>INDEX(Input!$1:$1048576,DV$93,$C161*2+6)</f>
        <v>0.5</v>
      </c>
      <c r="DW161" s="20">
        <f>INDEX(Input!$1:$1048576,DW$93,$C161*2+6)</f>
        <v>0.45</v>
      </c>
      <c r="DX161" s="20"/>
      <c r="DY161" s="7">
        <v>0.12907566098602208</v>
      </c>
      <c r="DZ161" s="7">
        <v>0</v>
      </c>
      <c r="EA161" s="7">
        <v>0.56594565146548448</v>
      </c>
      <c r="EB161" s="7">
        <v>0</v>
      </c>
      <c r="EC161" s="7">
        <v>0</v>
      </c>
      <c r="ED161" s="7">
        <v>0</v>
      </c>
      <c r="EE161" s="7">
        <v>0</v>
      </c>
      <c r="EF161" s="7">
        <v>0</v>
      </c>
      <c r="EG161" s="7">
        <v>0</v>
      </c>
      <c r="EH161" s="7">
        <v>1.4789192705906975E-2</v>
      </c>
      <c r="EI161" s="7">
        <v>4.3188566954775402E-2</v>
      </c>
      <c r="EJ161" s="7">
        <v>0.27281740913088942</v>
      </c>
      <c r="EK161" s="7">
        <v>0.58408530924176305</v>
      </c>
      <c r="EL161" s="7">
        <v>8.5119521966665099E-2</v>
      </c>
      <c r="EM161" s="7">
        <v>4.996578957638937E-2</v>
      </c>
      <c r="EN161" s="7">
        <v>4.9379578909208771E-2</v>
      </c>
      <c r="EO161" s="7">
        <v>0.75610016993185003</v>
      </c>
      <c r="EP161" s="7">
        <v>8.5125034424855903E-2</v>
      </c>
      <c r="EQ161" s="7">
        <v>6.5024794318701687E-2</v>
      </c>
      <c r="ER161" s="7">
        <v>4.4370422415383894E-2</v>
      </c>
      <c r="ES161" s="7">
        <v>0.25501289797210397</v>
      </c>
      <c r="ET161" s="7">
        <v>0.30497868754849344</v>
      </c>
      <c r="EU161" s="6">
        <v>2020</v>
      </c>
      <c r="EV161" s="6">
        <v>0</v>
      </c>
      <c r="EW161" s="6">
        <v>2020</v>
      </c>
      <c r="EX161" s="6">
        <v>0</v>
      </c>
      <c r="EY161" s="6">
        <v>2319.8491773399096</v>
      </c>
      <c r="EZ161" s="6">
        <v>1725</v>
      </c>
      <c r="FA161" s="6">
        <v>0</v>
      </c>
      <c r="FB161" s="6">
        <v>0</v>
      </c>
      <c r="FC161" s="6">
        <v>0</v>
      </c>
      <c r="FD161" s="6">
        <v>0</v>
      </c>
      <c r="FE161" s="6">
        <v>0</v>
      </c>
      <c r="FF161" s="6">
        <v>0</v>
      </c>
      <c r="FG161" s="6">
        <v>0</v>
      </c>
      <c r="FH161" s="6">
        <v>1171.2811379695618</v>
      </c>
      <c r="FI161" s="6">
        <v>1553.9796069512402</v>
      </c>
      <c r="FJ161" s="6">
        <v>2101.2110117447401</v>
      </c>
      <c r="FK161" s="6">
        <v>2251.3078348034669</v>
      </c>
      <c r="FL161" s="6">
        <v>907.07682140966347</v>
      </c>
      <c r="FM161" s="6">
        <v>2049.8491773399096</v>
      </c>
      <c r="FN161" s="6">
        <v>0</v>
      </c>
      <c r="FO161" s="6">
        <v>0</v>
      </c>
      <c r="FP161" s="6">
        <v>0</v>
      </c>
      <c r="FQ161" s="6">
        <v>0</v>
      </c>
      <c r="FR161" s="6">
        <v>0</v>
      </c>
      <c r="FS161" s="6">
        <v>0</v>
      </c>
      <c r="FT161" s="7">
        <v>0.69502131245150656</v>
      </c>
      <c r="FU161" s="7">
        <v>4.996578957638937E-2</v>
      </c>
      <c r="FV161" s="7">
        <v>0.25501289797210397</v>
      </c>
      <c r="FW161" s="6">
        <v>2019.9999999999998</v>
      </c>
      <c r="FX161" s="6">
        <v>2319.8491773399096</v>
      </c>
      <c r="FY161" s="6">
        <v>1725</v>
      </c>
      <c r="FZ161" s="6">
        <v>1952.7147957719815</v>
      </c>
      <c r="GA161" s="6">
        <v>1959.7533959978484</v>
      </c>
      <c r="GB161" s="6">
        <v>18025.24660400215</v>
      </c>
      <c r="GC161" s="7">
        <v>1.0519917368675835E-2</v>
      </c>
      <c r="GD161" s="7">
        <v>1.0771996176427118E-2</v>
      </c>
      <c r="GE161" s="7"/>
      <c r="GF161" s="7"/>
      <c r="GG161" s="7">
        <v>2.3962052069142186E-2</v>
      </c>
      <c r="GH161" s="42">
        <v>68.036483851137007</v>
      </c>
      <c r="GI161" s="6">
        <v>2253.4928556049376</v>
      </c>
      <c r="GJ161" s="14">
        <v>0.50394797582841733</v>
      </c>
      <c r="GK161" s="14">
        <v>0.50887573065309744</v>
      </c>
      <c r="GL161" s="14">
        <v>0.49605202417158284</v>
      </c>
      <c r="GM161" s="14">
        <v>0.4911242693469024</v>
      </c>
      <c r="GO161" s="5">
        <v>343.14810671672558</v>
      </c>
      <c r="GP161" s="5">
        <v>304.61036031982871</v>
      </c>
      <c r="GQ161" s="5">
        <v>535.04305713031317</v>
      </c>
      <c r="GR161" s="5">
        <v>410.15490233172511</v>
      </c>
      <c r="GS161" s="5">
        <v>339.42744393800166</v>
      </c>
      <c r="GT161" s="5">
        <v>293.4407446948278</v>
      </c>
      <c r="GU161" s="5">
        <v>258.04012322764959</v>
      </c>
      <c r="GV161" s="39" t="s">
        <v>392</v>
      </c>
      <c r="GW161" s="5">
        <v>492.125</v>
      </c>
      <c r="GX161" s="5">
        <v>369.09375</v>
      </c>
      <c r="GY161" s="5">
        <v>295.27499999999998</v>
      </c>
      <c r="GZ161" s="5">
        <v>252.85821728143046</v>
      </c>
      <c r="HA161" s="5">
        <v>241.34874471337258</v>
      </c>
      <c r="HB161" s="39">
        <v>272.00918188838415</v>
      </c>
      <c r="HC161" s="5">
        <v>211.81562499999998</v>
      </c>
      <c r="HD161" s="5">
        <v>188.29497441520465</v>
      </c>
      <c r="HE161" s="5">
        <v>193.13834767206475</v>
      </c>
      <c r="HF161" s="5">
        <v>181.01813048245612</v>
      </c>
      <c r="HG161" s="5">
        <v>177.56888157894736</v>
      </c>
      <c r="HH161" s="39">
        <v>188.91961000194755</v>
      </c>
      <c r="HI161" s="16"/>
      <c r="HJ161" s="19" t="str">
        <f t="shared" ref="HJ161:HK175" si="390">HJ160</f>
        <v>On</v>
      </c>
      <c r="HK161" s="1" t="str">
        <f t="shared" si="108"/>
        <v>On</v>
      </c>
      <c r="HL161" s="16"/>
      <c r="HM161" s="639">
        <f t="shared" si="266"/>
        <v>5.7455619280273196E-3</v>
      </c>
      <c r="HN161" s="639">
        <f t="shared" si="267"/>
        <v>5.0031960498701745E-4</v>
      </c>
      <c r="HO161" s="639">
        <f t="shared" si="268"/>
        <v>3.9819433988714835E-3</v>
      </c>
      <c r="HP161" s="644">
        <f>(FT161*$GD161-HM161)/$JF161*INDEX(Input!$1:$1048576,$JG$93,$C161*2+6)</f>
        <v>75.927915437434166</v>
      </c>
      <c r="HQ161" s="644">
        <f>(FU161*$GD161-HN161)/$JF161*INDEX(Input!$1:$1048576,$JG$93,$C161*2+6)</f>
        <v>1.6531973838409424</v>
      </c>
      <c r="HR161" s="644">
        <f>(FV161*$GD161-HO161)/$JF161*INDEX(Input!$1:$1048576,$JG$93,$C161*2+6)</f>
        <v>-53.851690712299984</v>
      </c>
      <c r="HS161" s="644">
        <f t="shared" si="269"/>
        <v>-14.278225331462648</v>
      </c>
      <c r="HT161" s="644">
        <f t="shared" si="270"/>
        <v>1.0462668200665659</v>
      </c>
      <c r="HU161" s="644">
        <f t="shared" si="271"/>
        <v>1.9055826360182997</v>
      </c>
      <c r="HV161" s="648">
        <f t="shared" si="272"/>
        <v>0</v>
      </c>
      <c r="HW161" s="648">
        <f t="shared" si="273"/>
        <v>0</v>
      </c>
      <c r="HX161" s="648">
        <f t="shared" si="274"/>
        <v>0</v>
      </c>
      <c r="HY161" s="644">
        <f>INDEX(Input!$1:$1048576,HY$93,$C161*2+6)*INDEX(Input!$1:$1048576,$JG$93,$C161*2+6)</f>
        <v>110.00000000000001</v>
      </c>
      <c r="HZ161" s="644">
        <f>INDEX(Input!$1:$1048576,HZ$93,$C161*2+6)*INDEX(Input!$1:$1048576,$JG$93,$C161*2+6)</f>
        <v>157</v>
      </c>
      <c r="IA161" s="644">
        <f>INDEX(Input!$1:$1048576,IA$93,$C161*2+6)*INDEX(Input!$1:$1048576,$JG$93,$C161*2+6)</f>
        <v>179</v>
      </c>
      <c r="IB161" s="644">
        <f t="shared" si="249"/>
        <v>171.64969010597156</v>
      </c>
      <c r="IC161" s="644">
        <f t="shared" si="172"/>
        <v>159.6994642039075</v>
      </c>
      <c r="ID161" s="644">
        <f>IF(AND(INDEX(Input!$1:$1048576,IA$93,$C161*2+7)="TOS",Y161&lt;=INDEX(Y:Y,MATCH(C161*1000+2,A:A))),0,1)*MAX(IA161+HR161+HU161+HX161,0%)</f>
        <v>127.05389192371831</v>
      </c>
      <c r="IE161" s="128">
        <f t="shared" si="275"/>
        <v>0.3744514603825313</v>
      </c>
      <c r="IF161" s="128">
        <f t="shared" si="174"/>
        <v>0.34838220538902426</v>
      </c>
      <c r="IG161" s="128">
        <f t="shared" si="175"/>
        <v>0.27716633422844444</v>
      </c>
      <c r="IH161" s="21"/>
      <c r="II161" s="19">
        <f t="shared" si="276"/>
        <v>1240</v>
      </c>
      <c r="IJ161" s="19">
        <f t="shared" si="277"/>
        <v>2009.7221397149679</v>
      </c>
      <c r="IK161" s="19">
        <f t="shared" si="278"/>
        <v>2070</v>
      </c>
      <c r="IL161" s="19">
        <f t="shared" si="176"/>
        <v>779.99999999999977</v>
      </c>
      <c r="IM161" s="19">
        <f t="shared" si="177"/>
        <v>310.12703762494175</v>
      </c>
      <c r="IN161" s="19">
        <f t="shared" si="178"/>
        <v>-345</v>
      </c>
      <c r="IO161" s="39">
        <f t="shared" si="279"/>
        <v>0</v>
      </c>
      <c r="IP161" s="39">
        <f t="shared" si="280"/>
        <v>0</v>
      </c>
      <c r="IQ161" s="39">
        <f t="shared" si="281"/>
        <v>0</v>
      </c>
      <c r="IR161" s="39">
        <v>0</v>
      </c>
      <c r="IS161" s="39">
        <v>0</v>
      </c>
      <c r="IT161" s="39">
        <v>0</v>
      </c>
      <c r="IU161" s="39">
        <v>0</v>
      </c>
      <c r="IV161" s="39">
        <v>0</v>
      </c>
      <c r="IW161" s="39">
        <v>0</v>
      </c>
      <c r="IX161" s="39">
        <f>INDEX(Input!$1:$1048576,IX$93,$C161*2+6)+INDEX(Input!$1:$1048576,IX$94,$C161*2+6)</f>
        <v>1270</v>
      </c>
      <c r="IY161" s="39">
        <f>INDEX(Input!$1:$1048576,IY$93,$C161*2+6)+INDEX(Input!$1:$1048576,IY$94,$C161*2+6)</f>
        <v>2130.0624533823611</v>
      </c>
      <c r="IZ161" s="39">
        <f>INDEX(Input!$1:$1048576,IZ$93,$C161*2+6)+INDEX(Input!$1:$1048576,IZ$94,$C161*2+6)</f>
        <v>4373.7164157747848</v>
      </c>
      <c r="JA161" s="19">
        <f t="shared" si="179"/>
        <v>2050</v>
      </c>
      <c r="JB161" s="19">
        <f t="shared" si="180"/>
        <v>2440.1894910073029</v>
      </c>
      <c r="JC161" s="19">
        <f t="shared" si="181"/>
        <v>4028.7164157747848</v>
      </c>
      <c r="JD161" s="19">
        <f t="shared" si="182"/>
        <v>2734.3686508346887</v>
      </c>
      <c r="JE161" s="21"/>
      <c r="JF161" s="1">
        <f t="shared" si="282"/>
        <v>1.022782493188582E-2</v>
      </c>
      <c r="JG161" s="15">
        <f>INDEX(Input!$1:$1048576,JG$93,$C161*2+6)/(1+VLOOKUP(C161*1000+INDEX(Input!$1:$1048576,JG$93+1,$C161*2+6),$A:$KK,$JK$92,FALSE))</f>
        <v>446</v>
      </c>
      <c r="JH161" s="1">
        <f t="shared" si="251"/>
        <v>5.3204982307119127E-2</v>
      </c>
      <c r="JI161" s="1">
        <f t="shared" si="252"/>
        <v>-2.539546160398606E-2</v>
      </c>
      <c r="JJ161" s="1">
        <f t="shared" si="253"/>
        <v>0</v>
      </c>
      <c r="JK161" s="1">
        <f t="shared" si="254"/>
        <v>2.7809520703133066E-2</v>
      </c>
      <c r="JL161" s="15">
        <f t="shared" si="184"/>
        <v>12.403046233597347</v>
      </c>
      <c r="JM161" s="15">
        <f t="shared" si="185"/>
        <v>458.40304623359737</v>
      </c>
      <c r="JN161" s="21"/>
      <c r="JO161" s="19">
        <f>INDEX(Input!$1:$1048576,JO$93,$C161*2+6)</f>
        <v>5995.5</v>
      </c>
      <c r="JP161" s="19">
        <f>INDEX(Input!$1:$1048576,JP$93,$C161*2+6)</f>
        <v>2818.4193802796353</v>
      </c>
      <c r="JQ161" s="39">
        <f t="shared" si="186"/>
        <v>3261.1313491653113</v>
      </c>
      <c r="JR161" s="39">
        <f t="shared" si="187"/>
        <v>-84.050729444946683</v>
      </c>
      <c r="JS161" s="39">
        <f t="shared" si="188"/>
        <v>1.253442919068273</v>
      </c>
      <c r="JT161" s="39">
        <f t="shared" si="189"/>
        <v>-3.572124536444433E-3</v>
      </c>
      <c r="JU161" s="385">
        <f>(JQ161*JM161-INDEX(Input!$1:$1048576,Input!A$18,$C161*2+6)*JL161*INDEX(Input!$1:$1048576,Input!A$19,$C161*2+6))/1000000</f>
        <v>1.49491254462526</v>
      </c>
      <c r="JV161" s="39">
        <f t="shared" si="192"/>
        <v>7.7934588229977342E-2</v>
      </c>
      <c r="JW161" s="1">
        <f t="shared" si="190"/>
        <v>5.5000565025188415E-2</v>
      </c>
      <c r="JX161" s="19">
        <f t="shared" si="191"/>
        <v>-288.00380722344397</v>
      </c>
      <c r="JZ161" s="341"/>
      <c r="KA161" s="342"/>
      <c r="KB161" s="469">
        <f t="shared" si="110"/>
        <v>2.9286733661474216</v>
      </c>
      <c r="KI161" s="473">
        <f t="shared" si="283"/>
        <v>61.649690105971544</v>
      </c>
      <c r="KJ161" s="473">
        <f t="shared" si="284"/>
        <v>2.6994642039074961</v>
      </c>
      <c r="KK161" s="473">
        <f t="shared" si="257"/>
        <v>-51.946108076281675</v>
      </c>
      <c r="KN161" s="544">
        <f t="shared" si="258"/>
        <v>1002</v>
      </c>
      <c r="KO161" s="541">
        <f t="shared" si="285"/>
        <v>2.3596504953774744E-2</v>
      </c>
      <c r="KP161" s="546">
        <f t="shared" si="286"/>
        <v>278.64999012152975</v>
      </c>
      <c r="KQ161" s="546">
        <f t="shared" si="287"/>
        <v>-104.94754918396302</v>
      </c>
      <c r="KR161" s="548">
        <f t="shared" si="288"/>
        <v>1.4519225805307348</v>
      </c>
      <c r="KS161" s="548">
        <f t="shared" si="289"/>
        <v>-3.8550515554482203</v>
      </c>
      <c r="KT161" s="473">
        <f t="shared" si="112"/>
        <v>238.28695973331548</v>
      </c>
      <c r="KU161" s="663">
        <f t="shared" si="290"/>
        <v>6.7515348968028563</v>
      </c>
      <c r="KV161" s="117"/>
    </row>
    <row r="162" spans="1:308" s="26" customFormat="1" ht="15" outlineLevel="1">
      <c r="A162" s="561">
        <f t="shared" ref="A162:A198" si="391">C162*1000+B162</f>
        <v>1062</v>
      </c>
      <c r="B162" s="561">
        <f t="shared" si="104"/>
        <v>62</v>
      </c>
      <c r="C162" s="561">
        <f t="shared" si="105"/>
        <v>1</v>
      </c>
      <c r="D162" s="561" t="str">
        <f t="shared" si="294"/>
        <v xml:space="preserve">1000 CC, 0/0/0.9/3.9, -360 Lease, </v>
      </c>
      <c r="E162" s="475">
        <f>INDEX(Input!$1:$1048576,E$93,$C162*2+MIN($B162,2)+5)
+INDEX(Scenarios!E$121:E$200,MATCH($B162,Scenarios!$B$121:$B$200,0))</f>
        <v>2229</v>
      </c>
      <c r="F162" s="475">
        <f>INDEX(Input!$1:$1048576,F$93,$C162*2+MIN($B162,2)+5)
+INDEX(Scenarios!F$121:F$200,MATCH($B162,Scenarios!$B$121:$B$200,0))</f>
        <v>0</v>
      </c>
      <c r="G162" s="475">
        <f>INDEX(Input!$1:$1048576,G$93,$C162*2+MIN($B162,2)+5)
+INDEX(Scenarios!G$121:G$200,MATCH($B162,Scenarios!$B$121:$B$200,0))</f>
        <v>0</v>
      </c>
      <c r="H162" s="475">
        <f>INDEX(Input!$1:$1048576,H$93,$C162*2+MIN($B162,2)+5)
+INDEX(Scenarios!H$121:H$200,MATCH($B162,Scenarios!$B$121:$B$200,0))</f>
        <v>0</v>
      </c>
      <c r="I162" s="476">
        <f>INDEX(Input!$1:$1048576,I$93,$C162*2+MIN($B162,2)+5)</f>
        <v>0.7</v>
      </c>
      <c r="J162" s="476" t="str">
        <f>INDEX(Input!$1:$1048576,J$93,$C162*2+MIN($B162,2)+5)</f>
        <v>Market</v>
      </c>
      <c r="K162" s="476" t="str">
        <f>INDEX(Input!$1:$1048576,K$93,$C162*2+MIN($B162,2)+5)</f>
        <v>Market</v>
      </c>
      <c r="L162" s="476" t="str">
        <f>INDEX(Input!$1:$1048576,L$93,$C162*2+MIN($B162,2)+5)</f>
        <v>Market</v>
      </c>
      <c r="M162" s="476" t="str">
        <f>INDEX(Input!$1:$1048576,M$93,$C162*2+MIN($B162,2)+5)</f>
        <v>Market</v>
      </c>
      <c r="N162" s="476" t="str">
        <f>INDEX(Input!$1:$1048576,N$93,$C162*2+MIN($B162,2)+5)</f>
        <v>Market</v>
      </c>
      <c r="O162" s="476" t="str">
        <f>INDEX(Input!$1:$1048576,O$93,$C162*2+MIN($B162,2)+5)</f>
        <v>Market</v>
      </c>
      <c r="P162" s="476" t="str">
        <f>INDEX(Input!$1:$1048576,P$93,$C162*2+MIN($B162,2)+5)</f>
        <v>N</v>
      </c>
      <c r="Q162" s="477">
        <f>INDEX(Input!$1:$1048576,Q$93,$C162*2+MIN($B162,2)+5)
+INDEX(Scenarios!Q$121:Q$200,MATCH($B162,Scenarios!$B$121:$B$200,0))</f>
        <v>0</v>
      </c>
      <c r="R162" s="478">
        <f>IFERROR(MAX(0,INDEX(Input!$1:$1048576,R$93,$C162*2+MIN($B162,2)+5)
+INDEX(Scenarios!R$121:R$200,MATCH($B162,Scenarios!$B$121:$B$200,0)),),"Market")</f>
        <v>0</v>
      </c>
      <c r="S162" s="478">
        <f>IFERROR(MAX(0,INDEX(Input!$1:$1048576,S$93,$C162*2+MIN($B162,2)+5)
+INDEX(Scenarios!S$121:S$200,MATCH($B162,Scenarios!$B$121:$B$200,0)),),"Market")</f>
        <v>0</v>
      </c>
      <c r="T162" s="478">
        <f>IFERROR(MAX(0,INDEX(Input!$1:$1048576,T$93,$C162*2+MIN($B162,2)+5)
+INDEX(Scenarios!T$121:T$200,MATCH($B162,Scenarios!$B$121:$B$200,0)),),"Market")</f>
        <v>0</v>
      </c>
      <c r="U162" s="478">
        <f>IFERROR(MAX(0,INDEX(Input!$1:$1048576,U$93,$C162*2+MIN($B162,2)+5)
+INDEX(Scenarios!U$121:U$200,MATCH($B162,Scenarios!$B$121:$B$200,0)),),"Market")</f>
        <v>0</v>
      </c>
      <c r="V162" s="478">
        <f>IFERROR(MAX(0,INDEX(Input!$1:$1048576,V$93,$C162*2+MIN($B162,2)+5)
+INDEX(Scenarios!V$121:V$200,MATCH($B162,Scenarios!$B$121:$B$200,0)),),"Market")</f>
        <v>8.9999999999999993E-3</v>
      </c>
      <c r="W162" s="885">
        <f>IFERROR(MAX(0,INDEX(Input!$1:$1048576,W$93,$C162*2+MIN($B162,2)+5)-0%,),"Market")</f>
        <v>3.9E-2</v>
      </c>
      <c r="X162" s="476" t="str">
        <f>INDEX(Input!$1:$1048576,X$93,$C162*2+MIN($B162,2)+5)</f>
        <v>Y</v>
      </c>
      <c r="Y162" s="475">
        <f>INDEX(Input!$1:$1048576,Y$93,$C162*2+MIN($B162,2)+5)
++INDEX(Scenarios!Y$121:Y$200,MATCH($B162,Scenarios!$B$121:$B$200,0))</f>
        <v>1582</v>
      </c>
      <c r="Z162" s="477">
        <f>INDEX(Input!$1:$1048576,Z$93,$C162*2+MIN($B162,2)+5)
+INDEX(Scenarios!Z$121:Z$200,MATCH($B162,Scenarios!$B$121:$B$200,0))</f>
        <v>0</v>
      </c>
      <c r="AA162" s="475">
        <f>INDEX(Input!$1:$1048576,AA$93,$C162*2+MIN($B162,2)+5)
+INDEX(Scenarios!AA$121:AA$200,MATCH($B162,Scenarios!$B$121:$B$200,0))</f>
        <v>0</v>
      </c>
      <c r="AB162" s="476">
        <f>INDEX(Input!$1:$1048576,AB$93,$C162*2+MIN($B162,2)+5)</f>
        <v>0.27</v>
      </c>
      <c r="AC162" s="475">
        <f>INDEX(Input!$1:$1048576,AC$93,$C162*2+MIN($B162,2)+5)
+INDEX(Scenarios!AC$121:AC$200,MATCH($B162,Scenarios!$B$121:$B$200,0))</f>
        <v>0</v>
      </c>
      <c r="AD162" s="476">
        <f>INDEX(Input!$1:$1048576,AD$93,$C162*2+MIN($B162,2)+5)</f>
        <v>0.27</v>
      </c>
      <c r="AE162" s="475">
        <f>INDEX(Input!$1:$1048576,AE$93,$C162*2+MIN($B162,2)+5)
+INDEX(Scenarios!AE$121:AE$200,MATCH($B162,Scenarios!$B$121:$B$200,0))</f>
        <v>0</v>
      </c>
      <c r="AF162" s="476">
        <f>INDEX(Input!$1:$1048576,AF$93,$C162*2+MIN($B162,2)+5)</f>
        <v>0.38</v>
      </c>
      <c r="AG162" s="475">
        <f>INDEX(Input!$1:$1048576,AG$93,$C162*2+MIN($B162,2)+5)
+INDEX(Scenarios!AG$121:AG$200,MATCH($B162,Scenarios!$B$121:$B$200,0))</f>
        <v>0</v>
      </c>
      <c r="AH162" s="476">
        <f>INDEX(Input!$1:$1048576,AH$93,$C162*2+MIN($B162,2)+5)</f>
        <v>0</v>
      </c>
      <c r="AI162" s="475">
        <f>INDEX(Input!$1:$1048576,AI$93,$C162*2+MIN($B162,2)+5)
+INDEX(Scenarios!AI$121:AI$200,MATCH($B162,Scenarios!$B$121:$B$200,0))</f>
        <v>0</v>
      </c>
      <c r="AJ162" s="476">
        <f>INDEX(Input!$1:$1048576,AJ$93,$C162*2+MIN($B162,2)+5)</f>
        <v>0.27</v>
      </c>
      <c r="AK162" s="150">
        <f>ROUND(INDEX(Input!$1:$1048576,AK$93,$C161*2+MIN($B162,1)+5)+(Y162-VLOOKUP($C162*1000+1,$A:$HH,Y$92,FALSE)),0)</f>
        <v>3397</v>
      </c>
      <c r="AL162" s="150">
        <f>ROUND(INDEX(Input!$1:$1048576,AL$93,$C161*2+MIN($B162,1)+5)-(Y162-VLOOKUP($C162*1000+1,$A:$HH,Y$92,FALSE))/36,0)</f>
        <v>4123</v>
      </c>
      <c r="AM162" s="32" t="str">
        <f t="shared" ref="AM162:AM198" si="392">IF(K162="market","std",ROUND(K162*1000,0)/10)&amp;"/"&amp;IF(L162="market","std",ROUND(L162*1000,0)/10)&amp;"/"&amp;IF(M162="market","std",ROUND(M162*1000,0)/10)&amp;"/"&amp;IF(N162="market","std",ROUND(N162*1000,0)/10)&amp;IF(P162="N","","/"&amp;IF(O162="market","std",ROUND(O162*1000,0)/10))</f>
        <v>std/std/std/std</v>
      </c>
      <c r="AN162" s="32" t="str">
        <f t="shared" ref="AN162:AN198" si="393">"$"&amp;ROUND(Q162,0)&amp;" + "&amp;IF(S162="market","std",ROUND(S162*1000,0)/10)&amp;"/"&amp;IF(T162="market","std",ROUND(T162*1000,0)/10)&amp;"/"&amp;IF(U162="market","std",ROUND(U162*1000,0)/10)&amp;"/"&amp;IF(V162="market","std",ROUND(V162*1000,0)/10)&amp;IF(X162="N","","/"&amp;IF(W162="market","std",ROUND(W162*1000,0)/10))</f>
        <v>$0 + 0/0/0/0.9/3.9</v>
      </c>
      <c r="AO162" s="32" t="str">
        <f t="shared" ref="AO162:AO198" si="394">IF(S162="market","std",ROUND(S162*1000,0)/10)&amp;"/"&amp;IF(T162="market","std",ROUND(T162*1000,0)/10)&amp;"/"&amp;IF(U162="market","std",ROUND(U162*1000,0)/10)&amp;"/"&amp;IF(V162="market","std",ROUND(V162*1000,0)/10)&amp;IF(X162="N","","/"&amp;IF(W162="market","std",ROUND(W162*1000,0)/10))</f>
        <v>0/0/0/0.9/3.9</v>
      </c>
      <c r="AP162" s="32" t="str">
        <f t="shared" si="73"/>
        <v>0/0/0.9/3.9</v>
      </c>
      <c r="AQ162" s="536">
        <f t="shared" si="39"/>
        <v>0.40519045338534065</v>
      </c>
      <c r="AR162" s="32"/>
      <c r="AS162" s="302"/>
      <c r="AT162" s="3">
        <f t="shared" si="106"/>
        <v>62</v>
      </c>
      <c r="AU162" s="41" t="s">
        <v>121</v>
      </c>
      <c r="AV162" s="41" t="s">
        <v>116</v>
      </c>
      <c r="AW162" s="41" t="str">
        <f>INDEX(Input!$1:$1048576,AW$93,$C162*2+6)</f>
        <v>Kia</v>
      </c>
      <c r="AX162" s="41" t="str">
        <f>INDEX(Input!$1:$1048576,AX$93,$C162*2+6)</f>
        <v>Kia-LR - L1</v>
      </c>
      <c r="AY162" s="41" t="str">
        <f>IF(LEN(D162)=0,"",INDEX(Input!$1:$1048576,AY$93,$C162*2+6))</f>
        <v>Compact SUV (52)</v>
      </c>
      <c r="AZ162" s="41" t="str">
        <f>INDEX(Input!$1:$1048576,AZ$93,$C162*2+6)</f>
        <v>Kia Soul</v>
      </c>
      <c r="BA162" s="3">
        <f>INDEX(Input!$1:$1048576,BA$93,$C162*2+6)</f>
        <v>2020</v>
      </c>
      <c r="BB162" s="128">
        <f>INDEX(Input!$1:$1048576,BB$93,$C162*2+6)</f>
        <v>1</v>
      </c>
      <c r="BC162" s="128">
        <f>INDEX(Input!$1:$1048576,BC$93,$C162*2+6)</f>
        <v>0.7</v>
      </c>
      <c r="BD162" s="1">
        <f>INDEX(Input!$1:$1048576,BD$93,$C162*2+6)</f>
        <v>4.4999999999999998E-2</v>
      </c>
      <c r="BE162" s="1">
        <f>INDEX(Input!$1:$1048576,BE$93,$C162*2+6)</f>
        <v>4.4999999999999998E-2</v>
      </c>
      <c r="BF162" s="1">
        <f>INDEX(Input!$1:$1048576,BF$93,$C162*2+6)</f>
        <v>0.05</v>
      </c>
      <c r="BG162" s="1">
        <f>INDEX(Input!$1:$1048576,BG$93,$C162*2+6)</f>
        <v>5.45E-2</v>
      </c>
      <c r="BH162" s="1">
        <f>INDEX(Input!$1:$1048576,BH$93,$C162*2+6)</f>
        <v>5.45E-2</v>
      </c>
      <c r="BI162" s="1">
        <f>INDEX(Input!$1:$1048576,BI$93,$C162*2+6)</f>
        <v>0.05</v>
      </c>
      <c r="BJ162" s="1">
        <f>INDEX(Input!$1:$1048576,BJ$93,$C162*2+6)</f>
        <v>0.05</v>
      </c>
      <c r="BK162" s="1">
        <f>INDEX(Input!$1:$1048576,BK$93,$C162*2+6)</f>
        <v>0.05</v>
      </c>
      <c r="BL162" s="1">
        <f>INDEX(Input!$1:$1048576,BL$93,$C162*2+6)</f>
        <v>5.5E-2</v>
      </c>
      <c r="BM162" s="1">
        <f>INDEX(Input!$1:$1048576,BM$93,$C162*2+6)</f>
        <v>0.06</v>
      </c>
      <c r="BN162" s="1">
        <f>INDEX(Input!$1:$1048576,BN$93,$C162*2+6)</f>
        <v>4.4999999999999998E-2</v>
      </c>
      <c r="BO162" s="1">
        <f>INDEX(Input!$1:$1048576,BO$93,$C162*2+6)</f>
        <v>4.4999999999999998E-2</v>
      </c>
      <c r="BP162" s="1">
        <f>INDEX(Input!$1:$1048576,BP$93,$C162*2+6)</f>
        <v>0.05</v>
      </c>
      <c r="BQ162" s="1">
        <f>INDEX(Input!$1:$1048576,BQ$93,$C162*2+6)</f>
        <v>5.45E-2</v>
      </c>
      <c r="BR162" s="1">
        <f>INDEX(Input!$1:$1048576,BR$93,$C162*2+6)</f>
        <v>5.45E-2</v>
      </c>
      <c r="BS162" s="1">
        <f>INDEX(Input!$1:$1048576,BS$93,$C162*2+6)</f>
        <v>0.05</v>
      </c>
      <c r="BT162" s="1">
        <f>INDEX(Input!$1:$1048576,BT$93,$C162*2+6)</f>
        <v>0.05</v>
      </c>
      <c r="BU162" s="1">
        <f>INDEX(Input!$1:$1048576,BU$93,$C162*2+6)</f>
        <v>0.05</v>
      </c>
      <c r="BV162" s="1">
        <f>INDEX(Input!$1:$1048576,BV$93,$C162*2+6)</f>
        <v>5.5E-2</v>
      </c>
      <c r="BW162" s="1">
        <f>INDEX(Input!$1:$1048576,BW$93,$C162*2+6)</f>
        <v>0.06</v>
      </c>
      <c r="BX162" s="127">
        <f>INDEX(Input!$1:$1048576,BX$93,$C162*2+6)</f>
        <v>19985</v>
      </c>
      <c r="BY162" s="20">
        <f>INDEX(Input!$1:$1048576,BY$93,$C162*2+6)</f>
        <v>0.1</v>
      </c>
      <c r="BZ162" s="20">
        <f>INDEX(Input!$1:$1048576,BZ$93,$C162*2+6)</f>
        <v>0.1</v>
      </c>
      <c r="CA162" s="20">
        <f>INDEX(Input!$1:$1048576,CA$93,$C162*2+6)</f>
        <v>0.1</v>
      </c>
      <c r="CB162" s="20">
        <f>INDEX(Input!$1:$1048576,CB$93,$C162*2+6)</f>
        <v>0.1</v>
      </c>
      <c r="CC162" s="20">
        <f>INDEX(Input!$1:$1048576,CC$93,$C162*2+6)</f>
        <v>0.1</v>
      </c>
      <c r="CD162" s="384">
        <f>INDEX(Input!$1:$1048576,CD$93,$C162*2+6)</f>
        <v>0.1</v>
      </c>
      <c r="CE162" s="384">
        <f>INDEX(Input!$1:$1048576,CE$93,$C162*2+6)</f>
        <v>0.1</v>
      </c>
      <c r="CF162" s="384">
        <f>INDEX(Input!$1:$1048576,CF$93,$C162*2+6)</f>
        <v>0.1</v>
      </c>
      <c r="CG162" s="384">
        <f>INDEX(Input!$1:$1048576,CG$93,$C162*2+6)</f>
        <v>0.1</v>
      </c>
      <c r="CH162" s="384">
        <f>INDEX(Input!$1:$1048576,CH$93,$C162*2+6)</f>
        <v>0.1</v>
      </c>
      <c r="CI162" s="304">
        <f t="shared" si="74"/>
        <v>2229</v>
      </c>
      <c r="CJ162" s="16" t="str">
        <f>INDEX(Input!$1:$1048576,CJ$93,$C162*2+6)</f>
        <v>N</v>
      </c>
      <c r="CK162" s="1" t="str">
        <f t="shared" si="75"/>
        <v>Market</v>
      </c>
      <c r="CL162" s="1" t="str">
        <f t="shared" si="76"/>
        <v>Market</v>
      </c>
      <c r="CM162" s="1" t="str">
        <f t="shared" si="77"/>
        <v>Market</v>
      </c>
      <c r="CN162" s="1" t="str">
        <f t="shared" si="78"/>
        <v>Market</v>
      </c>
      <c r="CO162" s="1" t="str">
        <f t="shared" si="79"/>
        <v>Market</v>
      </c>
      <c r="CP162" s="304">
        <f t="shared" si="80"/>
        <v>0</v>
      </c>
      <c r="CQ162" s="1">
        <f t="shared" si="81"/>
        <v>0</v>
      </c>
      <c r="CR162" s="1">
        <f t="shared" si="82"/>
        <v>0</v>
      </c>
      <c r="CS162" s="1">
        <f t="shared" si="83"/>
        <v>0</v>
      </c>
      <c r="CT162" s="1">
        <f t="shared" si="84"/>
        <v>8.9999999999999993E-3</v>
      </c>
      <c r="CU162" s="1">
        <f t="shared" si="85"/>
        <v>3.9E-2</v>
      </c>
      <c r="CV162" s="304">
        <f t="shared" si="86"/>
        <v>1582</v>
      </c>
      <c r="CW162" s="20" t="s">
        <v>122</v>
      </c>
      <c r="CX162" s="20" t="s">
        <v>122</v>
      </c>
      <c r="CY162" s="20" t="s">
        <v>122</v>
      </c>
      <c r="CZ162" s="20" t="s">
        <v>122</v>
      </c>
      <c r="DA162" s="20" t="s">
        <v>122</v>
      </c>
      <c r="DB162" s="503">
        <f t="shared" si="87"/>
        <v>0</v>
      </c>
      <c r="DC162" s="127">
        <v>0</v>
      </c>
      <c r="DD162" s="127">
        <v>0</v>
      </c>
      <c r="DE162" s="127">
        <v>0</v>
      </c>
      <c r="DF162" s="127">
        <v>0</v>
      </c>
      <c r="DG162" s="127">
        <v>0</v>
      </c>
      <c r="DH162" s="127">
        <v>0</v>
      </c>
      <c r="DI162" s="127">
        <v>0</v>
      </c>
      <c r="DJ162" s="127">
        <v>0</v>
      </c>
      <c r="DK162" s="127">
        <v>0</v>
      </c>
      <c r="DL162" s="127">
        <v>0</v>
      </c>
      <c r="DM162" s="304">
        <f>INDEX(Input!$1:$1048576,DM$93,$C162*2+6)</f>
        <v>21036.84210526316</v>
      </c>
      <c r="DN162" s="20">
        <v>0</v>
      </c>
      <c r="DO162" s="20">
        <v>0</v>
      </c>
      <c r="DP162" s="20">
        <v>0</v>
      </c>
      <c r="DQ162" s="20">
        <v>0</v>
      </c>
      <c r="DR162" s="20">
        <v>0</v>
      </c>
      <c r="DS162" s="20">
        <f>INDEX(Input!$1:$1048576,DS$93,$C162*2+6)</f>
        <v>0.6</v>
      </c>
      <c r="DT162" s="20">
        <f>INDEX(Input!$1:$1048576,DT$93,$C162*2+6)</f>
        <v>0.55000000000000004</v>
      </c>
      <c r="DU162" s="20">
        <f>INDEX(Input!$1:$1048576,DU$93,$C162*2+6)</f>
        <v>0.52</v>
      </c>
      <c r="DV162" s="20">
        <f>INDEX(Input!$1:$1048576,DV$93,$C162*2+6)</f>
        <v>0.5</v>
      </c>
      <c r="DW162" s="20">
        <f>INDEX(Input!$1:$1048576,DW$93,$C162*2+6)</f>
        <v>0.45</v>
      </c>
      <c r="DX162" s="20"/>
      <c r="DY162" s="7">
        <v>0.13751036855926441</v>
      </c>
      <c r="DZ162" s="7">
        <v>0</v>
      </c>
      <c r="EA162" s="7">
        <v>0.58564646317240776</v>
      </c>
      <c r="EB162" s="7">
        <v>0</v>
      </c>
      <c r="EC162" s="7">
        <v>0</v>
      </c>
      <c r="ED162" s="7">
        <v>0</v>
      </c>
      <c r="EE162" s="7">
        <v>0</v>
      </c>
      <c r="EF162" s="7">
        <v>0</v>
      </c>
      <c r="EG162" s="7">
        <v>0</v>
      </c>
      <c r="EH162" s="7">
        <v>1.4789192705906982E-2</v>
      </c>
      <c r="EI162" s="7">
        <v>4.3188566954775416E-2</v>
      </c>
      <c r="EJ162" s="7">
        <v>0.27281740913088937</v>
      </c>
      <c r="EK162" s="7">
        <v>0.58408530924176327</v>
      </c>
      <c r="EL162" s="7">
        <v>8.5119521966665126E-2</v>
      </c>
      <c r="EM162" s="7">
        <v>4.535624309536955E-2</v>
      </c>
      <c r="EN162" s="7">
        <v>4.9379578909208743E-2</v>
      </c>
      <c r="EO162" s="7">
        <v>0.75610016993185025</v>
      </c>
      <c r="EP162" s="7">
        <v>8.5125034424855889E-2</v>
      </c>
      <c r="EQ162" s="7">
        <v>6.5024794318701687E-2</v>
      </c>
      <c r="ER162" s="7">
        <v>4.4370422415383901E-2</v>
      </c>
      <c r="ES162" s="7">
        <v>0.23148692517295824</v>
      </c>
      <c r="ET162" s="7">
        <v>0.27684316826832789</v>
      </c>
      <c r="EU162" s="6">
        <v>2270</v>
      </c>
      <c r="EV162" s="6">
        <v>0</v>
      </c>
      <c r="EW162" s="6">
        <v>2270</v>
      </c>
      <c r="EX162" s="6">
        <v>0</v>
      </c>
      <c r="EY162" s="6">
        <v>2319.8491773399096</v>
      </c>
      <c r="EZ162" s="6">
        <v>1725</v>
      </c>
      <c r="FA162" s="6">
        <v>0</v>
      </c>
      <c r="FB162" s="6">
        <v>0</v>
      </c>
      <c r="FC162" s="6">
        <v>0</v>
      </c>
      <c r="FD162" s="6">
        <v>0</v>
      </c>
      <c r="FE162" s="6">
        <v>0</v>
      </c>
      <c r="FF162" s="6">
        <v>0</v>
      </c>
      <c r="FG162" s="6">
        <v>0</v>
      </c>
      <c r="FH162" s="6">
        <v>1171.2811379695613</v>
      </c>
      <c r="FI162" s="6">
        <v>1553.9796069512395</v>
      </c>
      <c r="FJ162" s="6">
        <v>2101.211011744741</v>
      </c>
      <c r="FK162" s="6">
        <v>2251.3078348034664</v>
      </c>
      <c r="FL162" s="6">
        <v>907.07682140966347</v>
      </c>
      <c r="FM162" s="6">
        <v>2049.8491773399096</v>
      </c>
      <c r="FN162" s="6">
        <v>0</v>
      </c>
      <c r="FO162" s="6">
        <v>0</v>
      </c>
      <c r="FP162" s="6">
        <v>0</v>
      </c>
      <c r="FQ162" s="6">
        <v>0</v>
      </c>
      <c r="FR162" s="6">
        <v>0</v>
      </c>
      <c r="FS162" s="6">
        <v>0</v>
      </c>
      <c r="FT162" s="7">
        <v>0.72315683173167211</v>
      </c>
      <c r="FU162" s="7">
        <v>4.535624309536955E-2</v>
      </c>
      <c r="FV162" s="7">
        <v>0.23148692517295824</v>
      </c>
      <c r="FW162" s="6">
        <v>2270</v>
      </c>
      <c r="FX162" s="6">
        <v>2319.8491773399096</v>
      </c>
      <c r="FY162" s="6">
        <v>1725</v>
      </c>
      <c r="FZ162" s="6">
        <v>1952.7147957719815</v>
      </c>
      <c r="GA162" s="6">
        <v>2146.1005971862705</v>
      </c>
      <c r="GB162" s="6">
        <v>17838.899402813731</v>
      </c>
      <c r="GC162" s="7">
        <v>1.0519917368675835E-2</v>
      </c>
      <c r="GD162" s="7">
        <v>1.1028568703156766E-2</v>
      </c>
      <c r="GE162" s="7"/>
      <c r="GF162" s="7"/>
      <c r="GG162" s="7">
        <v>4.8351267092220179E-2</v>
      </c>
      <c r="GH162" s="42">
        <v>4.9967477745065798</v>
      </c>
      <c r="GI162" s="6">
        <v>6145.7021183924271</v>
      </c>
      <c r="GJ162" s="14">
        <v>0.50394797582841722</v>
      </c>
      <c r="GK162" s="14">
        <v>0.50887573065309744</v>
      </c>
      <c r="GL162" s="14">
        <v>0.49605202417158278</v>
      </c>
      <c r="GM162" s="14">
        <v>0.49112426934690229</v>
      </c>
      <c r="GO162" s="5">
        <v>343.14810671672558</v>
      </c>
      <c r="GP162" s="5">
        <v>299.84083725090579</v>
      </c>
      <c r="GQ162" s="5">
        <v>535.04305713031317</v>
      </c>
      <c r="GR162" s="5">
        <v>410.15490233172511</v>
      </c>
      <c r="GS162" s="5">
        <v>339.42744393800166</v>
      </c>
      <c r="GT162" s="5">
        <v>293.4407446948278</v>
      </c>
      <c r="GU162" s="5">
        <v>258.04012322764959</v>
      </c>
      <c r="GV162" s="39" t="s">
        <v>392</v>
      </c>
      <c r="GW162" s="5">
        <v>492.125</v>
      </c>
      <c r="GX162" s="5">
        <v>369.09375</v>
      </c>
      <c r="GY162" s="5">
        <v>295.27499999999998</v>
      </c>
      <c r="GZ162" s="5">
        <v>252.85821728143046</v>
      </c>
      <c r="HA162" s="5">
        <v>241.34874471337258</v>
      </c>
      <c r="HB162" s="39">
        <v>272.00918188838421</v>
      </c>
      <c r="HC162" s="5">
        <v>211.81562499999998</v>
      </c>
      <c r="HD162" s="5">
        <v>188.29497441520465</v>
      </c>
      <c r="HE162" s="5">
        <v>193.13834767206475</v>
      </c>
      <c r="HF162" s="5">
        <v>181.01813048245612</v>
      </c>
      <c r="HG162" s="5">
        <v>177.56888157894736</v>
      </c>
      <c r="HH162" s="39">
        <v>188.9196100019476</v>
      </c>
      <c r="HI162" s="16"/>
      <c r="HJ162" s="19" t="str">
        <f t="shared" si="390"/>
        <v>On</v>
      </c>
      <c r="HK162" s="1" t="str">
        <f t="shared" si="108"/>
        <v>On</v>
      </c>
      <c r="HL162" s="16"/>
      <c r="HM162" s="639">
        <f t="shared" ref="HM162" si="395">VLOOKUP($C162*1000+1,$A:$HH,FT$92,FALSE)*$JF162</f>
        <v>5.7455619280273196E-3</v>
      </c>
      <c r="HN162" s="639">
        <f t="shared" ref="HN162" si="396">VLOOKUP($C162*1000+1,$A:$HH,FU$92,FALSE)*$JF162</f>
        <v>5.0031960498701745E-4</v>
      </c>
      <c r="HO162" s="639">
        <f t="shared" ref="HO162" si="397">VLOOKUP($C162*1000+1,$A:$HH,FV$92,FALSE)*$JF162</f>
        <v>3.9819433988714835E-3</v>
      </c>
      <c r="HP162" s="644">
        <f>(FT162*$GD162-HM162)/$JF162*INDEX(Input!$1:$1048576,$JG$93,$C162*2+6)</f>
        <v>97.234847914851187</v>
      </c>
      <c r="HQ162" s="644">
        <f>(FU162*$GD162-HN162)/$JF162*INDEX(Input!$1:$1048576,$JG$93,$C162*2+6)</f>
        <v>-4.585745692397598E-3</v>
      </c>
      <c r="HR162" s="644">
        <f>(FV162*$GD162-HO162)/$JF162*INDEX(Input!$1:$1048576,$JG$93,$C162*2+6)</f>
        <v>-62.312601340465598</v>
      </c>
      <c r="HS162" s="644">
        <f t="shared" ref="HS162" si="398">IF(AND(HJ162="On",HK162="On"),IL162/1000*INDEX(KG:KG,MATCH(C162*1000+3,$KF:$KF,0))*SUM(HY162:IA162)*1.1
+INDEX(HR:HR,MATCH(C162*1000+4,$KF:$KF,0))/INDEX(IM:IM,MATCH(C162*1000+4,$KF:$KF,0))*IM162*20%,0)</f>
        <v>-18.788436948977086</v>
      </c>
      <c r="HT162" s="644">
        <f t="shared" ref="HT162" si="399">IF(AND(HJ162="On",HK162="On"),IM162/1000*INDEX(KG:KG,MATCH(C162*1000+4,$KF:$KF,0))*SUM(HY162:IA162)*1.1
+INDEX(HR:HR,MATCH(C162*1000+3,$KF:$KF,0))/INDEX(IL:IL,MATCH(C162*1000+3,$KF:$KF,0))*IL162*20%,0)</f>
        <v>-0.96121347682265057</v>
      </c>
      <c r="HU162" s="644">
        <f t="shared" ref="HU162" si="400">IF(HJ162="On",IN162/1000*INDEX(KG:KG,MATCH(C162*1000+5,$KF:$KF,0))*SUM(HY162:IA162)*1.1
-INDEX(HR:HR,MATCH(C162*1000+3,$KF:$KF,0))/INDEX(IL:IL,MATCH(C162*1000+3,$KF:$KF,0))*IL162*20%
-INDEX(HR:HR,MATCH(C162*1000+4,$KF:$KF,0))/INDEX(IM:IM,MATCH(C162*1000+4,$KF:$KF,0))*IM162*20%,0)</f>
        <v>3.9130629329075162</v>
      </c>
      <c r="HV162" s="648">
        <f t="shared" ref="HV162" si="401">IL162/1000*0+IM162/1000*0+IN162/1000*0
+(CP162-INDEX(CP:CP,MATCH(C162*1000+1,A:A,0)))/1000*0+IF(FU162&gt;0,0,0)</f>
        <v>0</v>
      </c>
      <c r="HW162" s="648">
        <f t="shared" ref="HW162" si="402">IL162/1000*0+IM162/1000*0+IN162/1000*0
+(CP162-INDEX(CP:CP,MATCH(C162*1000+1,A:A,0)))/1000*0+IF(FU162&gt;0,0,0)</f>
        <v>0</v>
      </c>
      <c r="HX162" s="648">
        <f t="shared" ref="HX162" si="403">IL162/1000*0+IM162/1000*0+IN162/1000*0
+(CP162-INDEX(CP:CP,MATCH(C162*1000+1,A:A,0)))/1000*0+IF(FU162&gt;0,0,0)</f>
        <v>0</v>
      </c>
      <c r="HY162" s="644">
        <f>INDEX(Input!$1:$1048576,HY$93,$C162*2+6)*INDEX(Input!$1:$1048576,$JG$93,$C162*2+6)</f>
        <v>110.00000000000001</v>
      </c>
      <c r="HZ162" s="644">
        <f>INDEX(Input!$1:$1048576,HZ$93,$C162*2+6)*INDEX(Input!$1:$1048576,$JG$93,$C162*2+6)</f>
        <v>157</v>
      </c>
      <c r="IA162" s="644">
        <f>INDEX(Input!$1:$1048576,IA$93,$C162*2+6)*INDEX(Input!$1:$1048576,$JG$93,$C162*2+6)</f>
        <v>179</v>
      </c>
      <c r="IB162" s="644">
        <f t="shared" ref="IB162" si="404">SUM(HP162:IA162)-IC162-ID162</f>
        <v>188.44641096587407</v>
      </c>
      <c r="IC162" s="644">
        <f t="shared" ref="IC162" si="405">MAX(HZ162+HQ162+HT162+HW162,0%)</f>
        <v>156.03420077748495</v>
      </c>
      <c r="ID162" s="644">
        <f>IF(AND(INDEX(Input!$1:$1048576,IA$93,$C162*2+7)="TOS",Y162&lt;=INDEX(Y:Y,MATCH(C162*1000+2,A:A))),0,1)*MAX(IA162+HR162+HU162+HX162,0%)</f>
        <v>120.60046159244193</v>
      </c>
      <c r="IE162" s="128">
        <f t="shared" ref="IE162" si="406">IB162/SUM($IB162:$ID162)</f>
        <v>0.40519045338534065</v>
      </c>
      <c r="IF162" s="128">
        <f t="shared" ref="IF162" si="407">IC162/SUM($IB162:$ID162)</f>
        <v>0.33549892636638018</v>
      </c>
      <c r="IG162" s="128">
        <f t="shared" ref="IG162" si="408">ID162/SUM($IB162:$ID162)</f>
        <v>0.25931062024827911</v>
      </c>
      <c r="IH162" s="21"/>
      <c r="II162" s="19">
        <f t="shared" ref="II162" si="409">VLOOKUP($C162*1000+1,$A:$HH,FW$92,FALSE)-VLOOKUP($C162*1000+1,$A:$HH,FA$92,FALSE)*VLOOKUP($C162*1000+1,$A:$HH,DZ$92,FALSE)/VLOOKUP($C162*1000+1,$A:$HH,FT$92,FALSE)</f>
        <v>1240</v>
      </c>
      <c r="IJ162" s="19">
        <f t="shared" ref="IJ162" si="410">VLOOKUP($C162*1000+1,$A:$HH,FX$92,FALSE)</f>
        <v>2009.7221397149679</v>
      </c>
      <c r="IK162" s="19">
        <f t="shared" ref="IK162" si="411">VLOOKUP($C162*1000+1,$A:$HH,FY$92,FALSE)</f>
        <v>2070</v>
      </c>
      <c r="IL162" s="19">
        <f t="shared" ref="IL162" si="412">(FW162-FA162*DZ162/FT162)-II162</f>
        <v>1030</v>
      </c>
      <c r="IM162" s="19">
        <f t="shared" ref="IM162" si="413">FX162-IJ162</f>
        <v>310.12703762494175</v>
      </c>
      <c r="IN162" s="19">
        <f t="shared" ref="IN162" si="414">FY162-IK162</f>
        <v>-345</v>
      </c>
      <c r="IO162" s="39">
        <f t="shared" ref="IO162" si="415">(F162-VLOOKUP($C162*1000+1,$A:$HH,F$92,FALSE))*(1-$I162)</f>
        <v>0</v>
      </c>
      <c r="IP162" s="39">
        <f t="shared" ref="IP162" si="416">(G162-VLOOKUP($C162*1000+1,$A:$HH,G$92,FALSE))*(1-$I162)</f>
        <v>0</v>
      </c>
      <c r="IQ162" s="39">
        <f t="shared" ref="IQ162" si="417">(H162-VLOOKUP($C162*1000+1,$A:$HH,H$92,FALSE))*(1-$I162)</f>
        <v>0</v>
      </c>
      <c r="IR162" s="39">
        <v>0</v>
      </c>
      <c r="IS162" s="39">
        <v>0</v>
      </c>
      <c r="IT162" s="39">
        <v>0</v>
      </c>
      <c r="IU162" s="39">
        <v>0</v>
      </c>
      <c r="IV162" s="39">
        <v>0</v>
      </c>
      <c r="IW162" s="39">
        <v>0</v>
      </c>
      <c r="IX162" s="39">
        <f>INDEX(Input!$1:$1048576,IX$93,$C162*2+6)+INDEX(Input!$1:$1048576,IX$94,$C162*2+6)</f>
        <v>1270</v>
      </c>
      <c r="IY162" s="39">
        <f>INDEX(Input!$1:$1048576,IY$93,$C162*2+6)+INDEX(Input!$1:$1048576,IY$94,$C162*2+6)</f>
        <v>2130.0624533823611</v>
      </c>
      <c r="IZ162" s="39">
        <f>INDEX(Input!$1:$1048576,IZ$93,$C162*2+6)+INDEX(Input!$1:$1048576,IZ$94,$C162*2+6)</f>
        <v>4373.7164157747848</v>
      </c>
      <c r="JA162" s="19">
        <f t="shared" ref="JA162" si="418">(IL162+IO162+IR162+IU162+IX162)</f>
        <v>2300</v>
      </c>
      <c r="JB162" s="19">
        <f t="shared" ref="JB162" si="419">(IM162+IP162+IS162+IV162+IY162)</f>
        <v>2440.1894910073029</v>
      </c>
      <c r="JC162" s="19">
        <f t="shared" ref="JC162" si="420">(IN162+IQ162+IT162+IW162+IZ162)</f>
        <v>4028.7164157747848</v>
      </c>
      <c r="JD162" s="19">
        <f t="shared" ref="JD162" si="421">SUMPRODUCT(IE162:IG162,JA162:JC162)</f>
        <v>2795.3079497287408</v>
      </c>
      <c r="JE162" s="21"/>
      <c r="JF162" s="1">
        <f t="shared" ref="JF162" si="422">VLOOKUP($C162*1000+1,$A:$HH,GD$92,FALSE)</f>
        <v>1.022782493188582E-2</v>
      </c>
      <c r="JG162" s="15">
        <f>INDEX(Input!$1:$1048576,JG$93,$C162*2+6)/(1+VLOOKUP(C162*1000+INDEX(Input!$1:$1048576,JG$93+1,$C162*2+6),$A:$KK,$JK$92,FALSE))</f>
        <v>446</v>
      </c>
      <c r="JH162" s="1">
        <f t="shared" ref="JH162" si="423">SUM(HP162:HR162)/SUM(HY162:IA162)</f>
        <v>7.8290719346845727E-2</v>
      </c>
      <c r="JI162" s="1">
        <f t="shared" ref="JI162" si="424">SUM(HS162:HU162)/SUM(HY162:IA162)</f>
        <v>-3.5508043706036364E-2</v>
      </c>
      <c r="JJ162" s="1">
        <f t="shared" ref="JJ162" si="425">SUM(HV162:HX162)/SUM(HY162:IA162)</f>
        <v>0</v>
      </c>
      <c r="JK162" s="1">
        <f t="shared" ref="JK162" si="426">SUM(JH162:JJ162)</f>
        <v>4.2782675640809363E-2</v>
      </c>
      <c r="JL162" s="15">
        <f t="shared" ref="JL162" si="427">JG162*JK162</f>
        <v>19.081073335800976</v>
      </c>
      <c r="JM162" s="15">
        <f t="shared" ref="JM162" si="428">JG162+JL162</f>
        <v>465.08107333580097</v>
      </c>
      <c r="JN162" s="21"/>
      <c r="JO162" s="19">
        <f>INDEX(Input!$1:$1048576,JO$93,$C162*2+6)</f>
        <v>5995.5</v>
      </c>
      <c r="JP162" s="19">
        <f>INDEX(Input!$1:$1048576,JP$93,$C162*2+6)</f>
        <v>2818.4193802796353</v>
      </c>
      <c r="JQ162" s="39">
        <f t="shared" ref="JQ162" si="429">JO162-JD162</f>
        <v>3200.1920502712592</v>
      </c>
      <c r="JR162" s="39">
        <f t="shared" ref="JR162" si="430">JD162-JP162</f>
        <v>-23.111430550894511</v>
      </c>
      <c r="JS162" s="39">
        <f t="shared" ref="JS162" si="431">JM162*JD162/1000000</f>
        <v>1.30004482156394</v>
      </c>
      <c r="JT162" s="39">
        <f t="shared" ref="JT162" si="432">(JD162*JM162-JP162*JG162)/1000000</f>
        <v>4.3029777959222672E-2</v>
      </c>
      <c r="JU162" s="385">
        <f>(JQ162*JM162-INDEX(Input!$1:$1048576,Input!A$18,$C162*2+6)*JL162*INDEX(Input!$1:$1048576,Input!A$19,$C162*2+6))/1000000</f>
        <v>1.4883487536208548</v>
      </c>
      <c r="JV162" s="39">
        <f t="shared" ref="JV162" si="433">JU162-(JO162-JP162)*JG162/1000000</f>
        <v>7.1370797225572158E-2</v>
      </c>
      <c r="JW162" s="1">
        <f t="shared" ref="JW162" si="434">JV162/(JU162-JV162)</f>
        <v>5.0368318648467691E-2</v>
      </c>
      <c r="JX162" s="19">
        <f t="shared" ref="JX162" si="435">IF(JL162=0,0,JT162/JL162)*1000000</f>
        <v>2255.1025931275994</v>
      </c>
      <c r="JZ162" s="341"/>
      <c r="KA162" s="342"/>
      <c r="KB162" s="469">
        <f t="shared" si="110"/>
        <v>2.9286733661474216</v>
      </c>
      <c r="KI162" s="473">
        <f t="shared" ref="KI162" si="436">$JM162*IE162-$JG162*HY162/SUM($HY162:$IA162)</f>
        <v>78.446410965874051</v>
      </c>
      <c r="KJ162" s="473">
        <f t="shared" ref="KJ162" si="437">$JM162*IF162-$JG162*HZ162/SUM($HY162:$IA162)</f>
        <v>-0.96579922251504513</v>
      </c>
      <c r="KK162" s="473">
        <f t="shared" ref="KK162" si="438">$JM162*IG162-$JG162*IA162/SUM($HY162:$IA162)</f>
        <v>-58.399538407558069</v>
      </c>
      <c r="KN162" s="544">
        <f t="shared" ref="KN162" si="439">KM162+(KN161-KM161)</f>
        <v>1002</v>
      </c>
      <c r="KO162" s="541">
        <f t="shared" ref="KO162" si="440">JM162/INDEX(JM:JM,MATCH(KN162,A:A,0))-1</f>
        <v>3.8508284572095208E-2</v>
      </c>
      <c r="KP162" s="546">
        <f t="shared" ref="KP162" si="441">(IL162-INDEX(IL:IL,MATCH(KN162,A:A,0)))*IE162
+(IM162-IF(HN162=0,INDEX(IX:IX,MATCH(KN162,A:A,0)),INDEX(IM:IM,MATCH(KN162,A:A,0))))*IF162
+(IN162-INDEX(IN:IN,MATCH(KN162,A:A,0)))*IG162</f>
        <v>405.82095046532265</v>
      </c>
      <c r="KQ162" s="546">
        <f t="shared" ref="KQ162" si="442">JD162-INDEX(JD:JD,MATCH(KN162,A:A,0))</f>
        <v>-44.008250289910848</v>
      </c>
      <c r="KR162" s="548">
        <f t="shared" ref="KR162" si="443">KO162/(KP162/(BX162-INDEX(JD:JD,MATCH(KN162,A:A,0))))</f>
        <v>1.6269511719288696</v>
      </c>
      <c r="KS162" s="548">
        <f t="shared" ref="KS162" si="444">KO162/(KQ162/(BX162-INDEX(JD:JD,MATCH(KN162,A:A,0))))</f>
        <v>-15.002888472123848</v>
      </c>
      <c r="KT162" s="473">
        <f t="shared" si="112"/>
        <v>238.28695973331548</v>
      </c>
      <c r="KU162" s="663">
        <f t="shared" ref="KU162" si="445">IF(D162="",0,IFERROR((JM162/KT162-1)/(JD162/BX162)+B162*10^-6,0))</f>
        <v>6.8047151822346112</v>
      </c>
    </row>
    <row r="163" spans="1:308" s="26" customFormat="1" ht="15" outlineLevel="1">
      <c r="A163" s="561">
        <f t="shared" si="391"/>
        <v>1063</v>
      </c>
      <c r="B163" s="561">
        <f t="shared" si="104"/>
        <v>63</v>
      </c>
      <c r="C163" s="561">
        <f t="shared" si="105"/>
        <v>1</v>
      </c>
      <c r="D163" s="561" t="str">
        <f t="shared" si="294"/>
        <v xml:space="preserve">500 CC, 500 Combo, -180 Lease, </v>
      </c>
      <c r="E163" s="475">
        <f>INDEX(Input!$1:$1048576,E$93,$C163*2+MIN($B163,2)+5)
+INDEX(Scenarios!E$121:E$200,MATCH($B163,Scenarios!$B$121:$B$200,0))</f>
        <v>1729</v>
      </c>
      <c r="F163" s="475">
        <f>INDEX(Input!$1:$1048576,F$93,$C163*2+MIN($B163,2)+5)
+INDEX(Scenarios!F$121:F$200,MATCH($B163,Scenarios!$B$121:$B$200,0))</f>
        <v>0</v>
      </c>
      <c r="G163" s="475">
        <f>INDEX(Input!$1:$1048576,G$93,$C163*2+MIN($B163,2)+5)
+INDEX(Scenarios!G$121:G$200,MATCH($B163,Scenarios!$B$121:$B$200,0))</f>
        <v>0</v>
      </c>
      <c r="H163" s="475">
        <f>INDEX(Input!$1:$1048576,H$93,$C163*2+MIN($B163,2)+5)
+INDEX(Scenarios!H$121:H$200,MATCH($B163,Scenarios!$B$121:$B$200,0))</f>
        <v>0</v>
      </c>
      <c r="I163" s="476">
        <f>INDEX(Input!$1:$1048576,I$93,$C163*2+MIN($B163,2)+5)</f>
        <v>0.7</v>
      </c>
      <c r="J163" s="476" t="str">
        <f>INDEX(Input!$1:$1048576,J$93,$C163*2+MIN($B163,2)+5)</f>
        <v>Market</v>
      </c>
      <c r="K163" s="476" t="str">
        <f>INDEX(Input!$1:$1048576,K$93,$C163*2+MIN($B163,2)+5)</f>
        <v>Market</v>
      </c>
      <c r="L163" s="476" t="str">
        <f>INDEX(Input!$1:$1048576,L$93,$C163*2+MIN($B163,2)+5)</f>
        <v>Market</v>
      </c>
      <c r="M163" s="476" t="str">
        <f>INDEX(Input!$1:$1048576,M$93,$C163*2+MIN($B163,2)+5)</f>
        <v>Market</v>
      </c>
      <c r="N163" s="476" t="str">
        <f>INDEX(Input!$1:$1048576,N$93,$C163*2+MIN($B163,2)+5)</f>
        <v>Market</v>
      </c>
      <c r="O163" s="476" t="str">
        <f>INDEX(Input!$1:$1048576,O$93,$C163*2+MIN($B163,2)+5)</f>
        <v>Market</v>
      </c>
      <c r="P163" s="476" t="str">
        <f>INDEX(Input!$1:$1048576,P$93,$C163*2+MIN($B163,2)+5)</f>
        <v>N</v>
      </c>
      <c r="Q163" s="477">
        <f>INDEX(Input!$1:$1048576,Q$93,$C163*2+MIN($B163,2)+5)
+INDEX(Scenarios!Q$121:Q$200,MATCH($B163,Scenarios!$B$121:$B$200,0))</f>
        <v>500</v>
      </c>
      <c r="R163" s="478">
        <f>IFERROR(MAX(0,INDEX(Input!$1:$1048576,R$93,$C163*2+MIN($B163,2)+5)
+INDEX(Scenarios!R$121:R$200,MATCH($B163,Scenarios!$B$121:$B$200,0)),),"Market")</f>
        <v>0</v>
      </c>
      <c r="S163" s="478">
        <f>IFERROR(MAX(0,INDEX(Input!$1:$1048576,S$93,$C163*2+MIN($B163,2)+5)
+INDEX(Scenarios!S$121:S$200,MATCH($B163,Scenarios!$B$121:$B$200,0)),),"Market")</f>
        <v>0</v>
      </c>
      <c r="T163" s="478">
        <f>IFERROR(MAX(0,INDEX(Input!$1:$1048576,T$93,$C163*2+MIN($B163,2)+5)
+INDEX(Scenarios!T$121:T$200,MATCH($B163,Scenarios!$B$121:$B$200,0)),),"Market")</f>
        <v>0</v>
      </c>
      <c r="U163" s="478">
        <f>IFERROR(MAX(0,INDEX(Input!$1:$1048576,U$93,$C163*2+MIN($B163,2)+5)
+INDEX(Scenarios!U$121:U$200,MATCH($B163,Scenarios!$B$121:$B$200,0)),),"Market")</f>
        <v>0</v>
      </c>
      <c r="V163" s="478">
        <f>IFERROR(MAX(0,INDEX(Input!$1:$1048576,V$93,$C163*2+MIN($B163,2)+5)
+INDEX(Scenarios!V$121:V$200,MATCH($B163,Scenarios!$B$121:$B$200,0)),),"Market")</f>
        <v>1.9E-2</v>
      </c>
      <c r="W163" s="885">
        <f>IFERROR(MAX(0,INDEX(Input!$1:$1048576,W$93,$C163*2+MIN($B163,2)+5)-0%,),"Market")</f>
        <v>3.9E-2</v>
      </c>
      <c r="X163" s="476" t="str">
        <f>INDEX(Input!$1:$1048576,X$93,$C163*2+MIN($B163,2)+5)</f>
        <v>Y</v>
      </c>
      <c r="Y163" s="475">
        <f>INDEX(Input!$1:$1048576,Y$93,$C163*2+MIN($B163,2)+5)
++INDEX(Scenarios!Y$121:Y$200,MATCH($B163,Scenarios!$B$121:$B$200,0))</f>
        <v>1762</v>
      </c>
      <c r="Z163" s="477">
        <f>INDEX(Input!$1:$1048576,Z$93,$C163*2+MIN($B163,2)+5)
+INDEX(Scenarios!Z$121:Z$200,MATCH($B163,Scenarios!$B$121:$B$200,0))</f>
        <v>0</v>
      </c>
      <c r="AA163" s="475">
        <f>INDEX(Input!$1:$1048576,AA$93,$C163*2+MIN($B163,2)+5)
+INDEX(Scenarios!AA$121:AA$200,MATCH($B163,Scenarios!$B$121:$B$200,0))</f>
        <v>0</v>
      </c>
      <c r="AB163" s="476">
        <f>INDEX(Input!$1:$1048576,AB$93,$C163*2+MIN($B163,2)+5)</f>
        <v>0.27</v>
      </c>
      <c r="AC163" s="475">
        <f>INDEX(Input!$1:$1048576,AC$93,$C163*2+MIN($B163,2)+5)
+INDEX(Scenarios!AC$121:AC$200,MATCH($B163,Scenarios!$B$121:$B$200,0))</f>
        <v>0</v>
      </c>
      <c r="AD163" s="476">
        <f>INDEX(Input!$1:$1048576,AD$93,$C163*2+MIN($B163,2)+5)</f>
        <v>0.27</v>
      </c>
      <c r="AE163" s="475">
        <f>INDEX(Input!$1:$1048576,AE$93,$C163*2+MIN($B163,2)+5)
+INDEX(Scenarios!AE$121:AE$200,MATCH($B163,Scenarios!$B$121:$B$200,0))</f>
        <v>0</v>
      </c>
      <c r="AF163" s="476">
        <f>INDEX(Input!$1:$1048576,AF$93,$C163*2+MIN($B163,2)+5)</f>
        <v>0.38</v>
      </c>
      <c r="AG163" s="475">
        <f>INDEX(Input!$1:$1048576,AG$93,$C163*2+MIN($B163,2)+5)
+INDEX(Scenarios!AG$121:AG$200,MATCH($B163,Scenarios!$B$121:$B$200,0))</f>
        <v>0</v>
      </c>
      <c r="AH163" s="476">
        <f>INDEX(Input!$1:$1048576,AH$93,$C163*2+MIN($B163,2)+5)</f>
        <v>0</v>
      </c>
      <c r="AI163" s="475">
        <f>INDEX(Input!$1:$1048576,AI$93,$C163*2+MIN($B163,2)+5)
+INDEX(Scenarios!AI$121:AI$200,MATCH($B163,Scenarios!$B$121:$B$200,0))</f>
        <v>0</v>
      </c>
      <c r="AJ163" s="476">
        <f>INDEX(Input!$1:$1048576,AJ$93,$C163*2+MIN($B163,2)+5)</f>
        <v>0.27</v>
      </c>
      <c r="AK163" s="150">
        <f>ROUND(INDEX(Input!$1:$1048576,AK$93,$C162*2+MIN($B163,1)+5)+(Y163-VLOOKUP($C163*1000+1,$A:$HH,Y$92,FALSE)),0)</f>
        <v>3577</v>
      </c>
      <c r="AL163" s="150">
        <f>ROUND(INDEX(Input!$1:$1048576,AL$93,$C162*2+MIN($B163,1)+5)-(Y163-VLOOKUP($C163*1000+1,$A:$HH,Y$92,FALSE))/36,0)</f>
        <v>4118</v>
      </c>
      <c r="AM163" s="32" t="str">
        <f t="shared" si="392"/>
        <v>std/std/std/std</v>
      </c>
      <c r="AN163" s="32" t="str">
        <f t="shared" si="393"/>
        <v>$500 + 0/0/0/1.9/3.9</v>
      </c>
      <c r="AO163" s="32" t="str">
        <f t="shared" si="394"/>
        <v>0/0/0/1.9/3.9</v>
      </c>
      <c r="AP163" s="32" t="str">
        <f t="shared" si="73"/>
        <v>0/0.9/1.9/3.9</v>
      </c>
      <c r="AQ163" s="536">
        <f t="shared" si="39"/>
        <v>0.31709153540393348</v>
      </c>
      <c r="AR163" s="32"/>
      <c r="AS163" s="302"/>
      <c r="AT163" s="3">
        <f t="shared" si="106"/>
        <v>63</v>
      </c>
      <c r="AU163" s="41" t="s">
        <v>121</v>
      </c>
      <c r="AV163" s="41" t="s">
        <v>116</v>
      </c>
      <c r="AW163" s="41" t="str">
        <f>INDEX(Input!$1:$1048576,AW$93,$C163*2+6)</f>
        <v>Kia</v>
      </c>
      <c r="AX163" s="41" t="str">
        <f>INDEX(Input!$1:$1048576,AX$93,$C163*2+6)</f>
        <v>Kia-LR - L1</v>
      </c>
      <c r="AY163" s="41" t="str">
        <f>IF(LEN(D163)=0,"",INDEX(Input!$1:$1048576,AY$93,$C163*2+6))</f>
        <v>Compact SUV (52)</v>
      </c>
      <c r="AZ163" s="41" t="str">
        <f>INDEX(Input!$1:$1048576,AZ$93,$C163*2+6)</f>
        <v>Kia Soul</v>
      </c>
      <c r="BA163" s="3">
        <f>INDEX(Input!$1:$1048576,BA$93,$C163*2+6)</f>
        <v>2020</v>
      </c>
      <c r="BB163" s="128">
        <f>INDEX(Input!$1:$1048576,BB$93,$C163*2+6)</f>
        <v>1</v>
      </c>
      <c r="BC163" s="128">
        <f>INDEX(Input!$1:$1048576,BC$93,$C163*2+6)</f>
        <v>0.7</v>
      </c>
      <c r="BD163" s="1">
        <f>INDEX(Input!$1:$1048576,BD$93,$C163*2+6)</f>
        <v>4.4999999999999998E-2</v>
      </c>
      <c r="BE163" s="1">
        <f>INDEX(Input!$1:$1048576,BE$93,$C163*2+6)</f>
        <v>4.4999999999999998E-2</v>
      </c>
      <c r="BF163" s="1">
        <f>INDEX(Input!$1:$1048576,BF$93,$C163*2+6)</f>
        <v>0.05</v>
      </c>
      <c r="BG163" s="1">
        <f>INDEX(Input!$1:$1048576,BG$93,$C163*2+6)</f>
        <v>5.45E-2</v>
      </c>
      <c r="BH163" s="1">
        <f>INDEX(Input!$1:$1048576,BH$93,$C163*2+6)</f>
        <v>5.45E-2</v>
      </c>
      <c r="BI163" s="1">
        <f>INDEX(Input!$1:$1048576,BI$93,$C163*2+6)</f>
        <v>0.05</v>
      </c>
      <c r="BJ163" s="1">
        <f>INDEX(Input!$1:$1048576,BJ$93,$C163*2+6)</f>
        <v>0.05</v>
      </c>
      <c r="BK163" s="1">
        <f>INDEX(Input!$1:$1048576,BK$93,$C163*2+6)</f>
        <v>0.05</v>
      </c>
      <c r="BL163" s="1">
        <f>INDEX(Input!$1:$1048576,BL$93,$C163*2+6)</f>
        <v>5.5E-2</v>
      </c>
      <c r="BM163" s="1">
        <f>INDEX(Input!$1:$1048576,BM$93,$C163*2+6)</f>
        <v>0.06</v>
      </c>
      <c r="BN163" s="1">
        <f>INDEX(Input!$1:$1048576,BN$93,$C163*2+6)</f>
        <v>4.4999999999999998E-2</v>
      </c>
      <c r="BO163" s="1">
        <f>INDEX(Input!$1:$1048576,BO$93,$C163*2+6)</f>
        <v>4.4999999999999998E-2</v>
      </c>
      <c r="BP163" s="1">
        <f>INDEX(Input!$1:$1048576,BP$93,$C163*2+6)</f>
        <v>0.05</v>
      </c>
      <c r="BQ163" s="1">
        <f>INDEX(Input!$1:$1048576,BQ$93,$C163*2+6)</f>
        <v>5.45E-2</v>
      </c>
      <c r="BR163" s="1">
        <f>INDEX(Input!$1:$1048576,BR$93,$C163*2+6)</f>
        <v>5.45E-2</v>
      </c>
      <c r="BS163" s="1">
        <f>INDEX(Input!$1:$1048576,BS$93,$C163*2+6)</f>
        <v>0.05</v>
      </c>
      <c r="BT163" s="1">
        <f>INDEX(Input!$1:$1048576,BT$93,$C163*2+6)</f>
        <v>0.05</v>
      </c>
      <c r="BU163" s="1">
        <f>INDEX(Input!$1:$1048576,BU$93,$C163*2+6)</f>
        <v>0.05</v>
      </c>
      <c r="BV163" s="1">
        <f>INDEX(Input!$1:$1048576,BV$93,$C163*2+6)</f>
        <v>5.5E-2</v>
      </c>
      <c r="BW163" s="1">
        <f>INDEX(Input!$1:$1048576,BW$93,$C163*2+6)</f>
        <v>0.06</v>
      </c>
      <c r="BX163" s="127">
        <f>INDEX(Input!$1:$1048576,BX$93,$C163*2+6)</f>
        <v>19985</v>
      </c>
      <c r="BY163" s="20">
        <f>INDEX(Input!$1:$1048576,BY$93,$C163*2+6)</f>
        <v>0.1</v>
      </c>
      <c r="BZ163" s="20">
        <f>INDEX(Input!$1:$1048576,BZ$93,$C163*2+6)</f>
        <v>0.1</v>
      </c>
      <c r="CA163" s="20">
        <f>INDEX(Input!$1:$1048576,CA$93,$C163*2+6)</f>
        <v>0.1</v>
      </c>
      <c r="CB163" s="20">
        <f>INDEX(Input!$1:$1048576,CB$93,$C163*2+6)</f>
        <v>0.1</v>
      </c>
      <c r="CC163" s="20">
        <f>INDEX(Input!$1:$1048576,CC$93,$C163*2+6)</f>
        <v>0.1</v>
      </c>
      <c r="CD163" s="384">
        <f>INDEX(Input!$1:$1048576,CD$93,$C163*2+6)</f>
        <v>0.1</v>
      </c>
      <c r="CE163" s="384">
        <f>INDEX(Input!$1:$1048576,CE$93,$C163*2+6)</f>
        <v>0.1</v>
      </c>
      <c r="CF163" s="384">
        <f>INDEX(Input!$1:$1048576,CF$93,$C163*2+6)</f>
        <v>0.1</v>
      </c>
      <c r="CG163" s="384">
        <f>INDEX(Input!$1:$1048576,CG$93,$C163*2+6)</f>
        <v>0.1</v>
      </c>
      <c r="CH163" s="384">
        <f>INDEX(Input!$1:$1048576,CH$93,$C163*2+6)</f>
        <v>0.1</v>
      </c>
      <c r="CI163" s="304">
        <f t="shared" si="74"/>
        <v>1729</v>
      </c>
      <c r="CJ163" s="16" t="str">
        <f>INDEX(Input!$1:$1048576,CJ$93,$C163*2+6)</f>
        <v>N</v>
      </c>
      <c r="CK163" s="1" t="str">
        <f t="shared" si="75"/>
        <v>Market</v>
      </c>
      <c r="CL163" s="1" t="str">
        <f t="shared" si="76"/>
        <v>Market</v>
      </c>
      <c r="CM163" s="1" t="str">
        <f t="shared" si="77"/>
        <v>Market</v>
      </c>
      <c r="CN163" s="1" t="str">
        <f t="shared" si="78"/>
        <v>Market</v>
      </c>
      <c r="CO163" s="1" t="str">
        <f t="shared" si="79"/>
        <v>Market</v>
      </c>
      <c r="CP163" s="304">
        <f t="shared" si="80"/>
        <v>500</v>
      </c>
      <c r="CQ163" s="1">
        <f t="shared" si="81"/>
        <v>0</v>
      </c>
      <c r="CR163" s="1">
        <f t="shared" si="82"/>
        <v>0</v>
      </c>
      <c r="CS163" s="1">
        <f t="shared" si="83"/>
        <v>0</v>
      </c>
      <c r="CT163" s="1">
        <f t="shared" si="84"/>
        <v>1.9E-2</v>
      </c>
      <c r="CU163" s="1">
        <f t="shared" si="85"/>
        <v>3.9E-2</v>
      </c>
      <c r="CV163" s="304">
        <f t="shared" si="86"/>
        <v>1762</v>
      </c>
      <c r="CW163" s="20" t="s">
        <v>122</v>
      </c>
      <c r="CX163" s="20" t="s">
        <v>122</v>
      </c>
      <c r="CY163" s="20" t="s">
        <v>122</v>
      </c>
      <c r="CZ163" s="20" t="s">
        <v>122</v>
      </c>
      <c r="DA163" s="20" t="s">
        <v>122</v>
      </c>
      <c r="DB163" s="503">
        <f t="shared" si="87"/>
        <v>0</v>
      </c>
      <c r="DC163" s="127">
        <v>0</v>
      </c>
      <c r="DD163" s="127">
        <v>0</v>
      </c>
      <c r="DE163" s="127">
        <v>0</v>
      </c>
      <c r="DF163" s="127">
        <v>0</v>
      </c>
      <c r="DG163" s="127">
        <v>0</v>
      </c>
      <c r="DH163" s="127">
        <v>0</v>
      </c>
      <c r="DI163" s="127">
        <v>0</v>
      </c>
      <c r="DJ163" s="127">
        <v>0</v>
      </c>
      <c r="DK163" s="127">
        <v>0</v>
      </c>
      <c r="DL163" s="127">
        <v>0</v>
      </c>
      <c r="DM163" s="304">
        <f>INDEX(Input!$1:$1048576,DM$93,$C163*2+6)</f>
        <v>21036.84210526316</v>
      </c>
      <c r="DN163" s="20">
        <v>0</v>
      </c>
      <c r="DO163" s="20">
        <v>0</v>
      </c>
      <c r="DP163" s="20">
        <v>0</v>
      </c>
      <c r="DQ163" s="20">
        <v>0</v>
      </c>
      <c r="DR163" s="20">
        <v>0</v>
      </c>
      <c r="DS163" s="20">
        <f>INDEX(Input!$1:$1048576,DS$93,$C163*2+6)</f>
        <v>0.6</v>
      </c>
      <c r="DT163" s="20">
        <f>INDEX(Input!$1:$1048576,DT$93,$C163*2+6)</f>
        <v>0.55000000000000004</v>
      </c>
      <c r="DU163" s="20">
        <f>INDEX(Input!$1:$1048576,DU$93,$C163*2+6)</f>
        <v>0.52</v>
      </c>
      <c r="DV163" s="20">
        <f>INDEX(Input!$1:$1048576,DV$93,$C163*2+6)</f>
        <v>0.5</v>
      </c>
      <c r="DW163" s="20">
        <f>INDEX(Input!$1:$1048576,DW$93,$C163*2+6)</f>
        <v>0.45</v>
      </c>
      <c r="DX163" s="20"/>
      <c r="DY163" s="7">
        <v>0.11685616500586794</v>
      </c>
      <c r="DZ163" s="7">
        <v>0</v>
      </c>
      <c r="EA163" s="7">
        <v>0.52581657919537017</v>
      </c>
      <c r="EB163" s="7">
        <v>0</v>
      </c>
      <c r="EC163" s="7">
        <v>0</v>
      </c>
      <c r="ED163" s="7">
        <v>0</v>
      </c>
      <c r="EE163" s="7">
        <v>0</v>
      </c>
      <c r="EF163" s="7">
        <v>0</v>
      </c>
      <c r="EG163" s="7">
        <v>0</v>
      </c>
      <c r="EH163" s="7">
        <v>1.8402200445098653E-2</v>
      </c>
      <c r="EI163" s="7">
        <v>5.3739557110571885E-2</v>
      </c>
      <c r="EJ163" s="7">
        <v>0.3394668490413198</v>
      </c>
      <c r="EK163" s="7">
        <v>0.48247712639938073</v>
      </c>
      <c r="EL163" s="7">
        <v>0.10591426700362869</v>
      </c>
      <c r="EM163" s="7">
        <v>5.5334597247741264E-2</v>
      </c>
      <c r="EN163" s="7">
        <v>5.0085025442757732E-2</v>
      </c>
      <c r="EO163" s="7">
        <v>0.76213125160956297</v>
      </c>
      <c r="EP163" s="7">
        <v>8.2091395765261282E-2</v>
      </c>
      <c r="EQ163" s="7">
        <v>6.2650747270154628E-2</v>
      </c>
      <c r="ER163" s="7">
        <v>4.3041579912263289E-2</v>
      </c>
      <c r="ES163" s="7">
        <v>0.30199265855102053</v>
      </c>
      <c r="ET163" s="7">
        <v>0.3573272557987619</v>
      </c>
      <c r="EU163" s="6">
        <v>1770</v>
      </c>
      <c r="EV163" s="6">
        <v>0</v>
      </c>
      <c r="EW163" s="6">
        <v>1770</v>
      </c>
      <c r="EX163" s="6">
        <v>0</v>
      </c>
      <c r="EY163" s="6">
        <v>2539.7221397149679</v>
      </c>
      <c r="EZ163" s="6">
        <v>1905</v>
      </c>
      <c r="FA163" s="6">
        <v>0</v>
      </c>
      <c r="FB163" s="6">
        <v>0</v>
      </c>
      <c r="FC163" s="6">
        <v>0</v>
      </c>
      <c r="FD163" s="6">
        <v>0</v>
      </c>
      <c r="FE163" s="6">
        <v>0</v>
      </c>
      <c r="FF163" s="6">
        <v>0</v>
      </c>
      <c r="FG163" s="6">
        <v>0</v>
      </c>
      <c r="FH163" s="6">
        <v>1171.2811379695615</v>
      </c>
      <c r="FI163" s="6">
        <v>1553.9796069512402</v>
      </c>
      <c r="FJ163" s="6">
        <v>2101.2110117447405</v>
      </c>
      <c r="FK163" s="6">
        <v>1772.7139978623229</v>
      </c>
      <c r="FL163" s="6">
        <v>907.07682140966335</v>
      </c>
      <c r="FM163" s="6">
        <v>1769.7221397149676</v>
      </c>
      <c r="FN163" s="6">
        <v>0</v>
      </c>
      <c r="FO163" s="6">
        <v>0</v>
      </c>
      <c r="FP163" s="6">
        <v>0</v>
      </c>
      <c r="FQ163" s="6">
        <v>0</v>
      </c>
      <c r="FR163" s="6">
        <v>0</v>
      </c>
      <c r="FS163" s="6">
        <v>0</v>
      </c>
      <c r="FT163" s="7">
        <v>0.6426727442012381</v>
      </c>
      <c r="FU163" s="7">
        <v>5.5334597247741264E-2</v>
      </c>
      <c r="FV163" s="7">
        <v>0.30199265855102053</v>
      </c>
      <c r="FW163" s="6">
        <v>1770</v>
      </c>
      <c r="FX163" s="6">
        <v>2539.7221397149679</v>
      </c>
      <c r="FY163" s="6">
        <v>1905</v>
      </c>
      <c r="FZ163" s="6">
        <v>1952.7147957719815</v>
      </c>
      <c r="GA163" s="6">
        <v>1853.361273498185</v>
      </c>
      <c r="GB163" s="6">
        <v>18131.638726501817</v>
      </c>
      <c r="GC163" s="7">
        <v>1.0519917368675835E-2</v>
      </c>
      <c r="GD163" s="7">
        <v>1.0614243097754026E-2</v>
      </c>
      <c r="GE163" s="7"/>
      <c r="GF163" s="7"/>
      <c r="GG163" s="7">
        <v>8.9663944850989045E-3</v>
      </c>
      <c r="GH163" s="42">
        <v>-1.8035937698402282</v>
      </c>
      <c r="GI163" s="6">
        <v>-9227.2935469996719</v>
      </c>
      <c r="GJ163" s="14">
        <v>0.50394797582841733</v>
      </c>
      <c r="GK163" s="14">
        <v>0.50887573065309744</v>
      </c>
      <c r="GL163" s="14">
        <v>0.49605202417158278</v>
      </c>
      <c r="GM163" s="14">
        <v>0.49112426934690234</v>
      </c>
      <c r="GO163" s="5">
        <v>343.14810671672558</v>
      </c>
      <c r="GP163" s="5">
        <v>309.37988338875158</v>
      </c>
      <c r="GQ163" s="5">
        <v>535.04305713031317</v>
      </c>
      <c r="GR163" s="5">
        <v>410.15490233172511</v>
      </c>
      <c r="GS163" s="5">
        <v>339.42744393800166</v>
      </c>
      <c r="GT163" s="5">
        <v>293.4407446948278</v>
      </c>
      <c r="GU163" s="5">
        <v>258.04012322764959</v>
      </c>
      <c r="GV163" s="39" t="s">
        <v>392</v>
      </c>
      <c r="GW163" s="5">
        <v>478.23611111111109</v>
      </c>
      <c r="GX163" s="5">
        <v>358.67708333333331</v>
      </c>
      <c r="GY163" s="5">
        <v>286.94166666666666</v>
      </c>
      <c r="GZ163" s="5">
        <v>253.19574071601335</v>
      </c>
      <c r="HA163" s="5">
        <v>234.53733318419435</v>
      </c>
      <c r="HB163" s="39">
        <v>272.48493094920877</v>
      </c>
      <c r="HC163" s="5">
        <v>203.94062499999998</v>
      </c>
      <c r="HD163" s="5">
        <v>182.91997441520465</v>
      </c>
      <c r="HE163" s="5">
        <v>188.14796305668014</v>
      </c>
      <c r="HF163" s="5">
        <v>176.85563048245612</v>
      </c>
      <c r="HG163" s="5">
        <v>174.11888157894737</v>
      </c>
      <c r="HH163" s="39">
        <v>183.64321849947416</v>
      </c>
      <c r="HI163" s="16"/>
      <c r="HJ163" s="19" t="str">
        <f t="shared" si="390"/>
        <v>On</v>
      </c>
      <c r="HK163" s="1" t="str">
        <f t="shared" si="108"/>
        <v>On</v>
      </c>
      <c r="HL163" s="16"/>
      <c r="HM163" s="639">
        <f t="shared" ref="HM163:HM174" si="446">VLOOKUP($C163*1000+1,$A:$HH,FT$92,FALSE)*$JF163</f>
        <v>5.7455619280273196E-3</v>
      </c>
      <c r="HN163" s="639">
        <f t="shared" ref="HN163:HN174" si="447">VLOOKUP($C163*1000+1,$A:$HH,FU$92,FALSE)*$JF163</f>
        <v>5.0031960498701745E-4</v>
      </c>
      <c r="HO163" s="639">
        <f t="shared" ref="HO163:HO174" si="448">VLOOKUP($C163*1000+1,$A:$HH,FV$92,FALSE)*$JF163</f>
        <v>3.9819433988714835E-3</v>
      </c>
      <c r="HP163" s="644">
        <f>(FT163*$GD163-HM163)/$JF163*INDEX(Input!$1:$1048576,$JG$93,$C163*2+6)</f>
        <v>46.917265107901208</v>
      </c>
      <c r="HQ163" s="644">
        <f>(FU163*$GD163-HN163)/$JF163*INDEX(Input!$1:$1048576,$JG$93,$C163*2+6)</f>
        <v>3.7944340144024857</v>
      </c>
      <c r="HR163" s="644">
        <f>(FV163*$GD163-HO163)/$JF163*INDEX(Input!$1:$1048576,$JG$93,$C163*2+6)</f>
        <v>-33.861342069365513</v>
      </c>
      <c r="HS163" s="644">
        <f t="shared" ref="HS163:HS174" si="449">IF(AND(HJ163="On",HK163="On"),IL163/1000*INDEX(KG:KG,MATCH(C163*1000+3,$KF:$KF,0))*SUM(HY163:IA163)*1.1
+INDEX(HR:HR,MATCH(C163*1000+4,$KF:$KF,0))/INDEX(IM:IM,MATCH(C163*1000+4,$KF:$KF,0))*IM163*20%,0)</f>
        <v>-9.914321829735611</v>
      </c>
      <c r="HT163" s="644">
        <f t="shared" ref="HT163:HT174" si="450">IF(AND(HJ163="On",HK163="On"),IM163/1000*INDEX(KG:KG,MATCH(C163*1000+4,$KF:$KF,0))*SUM(HY163:IA163)*1.1
+INDEX(HR:HR,MATCH(C163*1000+3,$KF:$KF,0))/INDEX(IL:IL,MATCH(C163*1000+3,$KF:$KF,0))*IL163*20%,0)</f>
        <v>8.2360897904785517</v>
      </c>
      <c r="HU163" s="644">
        <f t="shared" ref="HU163:HU174" si="451">IF(HJ163="On",IN163/1000*INDEX(KG:KG,MATCH(C163*1000+5,$KF:$KF,0))*SUM(HY163:IA163)*1.1
-INDEX(HR:HR,MATCH(C163*1000+3,$KF:$KF,0))/INDEX(IL:IL,MATCH(C163*1000+3,$KF:$KF,0))*IL163*20%
-INDEX(HR:HR,MATCH(C163*1000+4,$KF:$KF,0))/INDEX(IM:IM,MATCH(C163*1000+4,$KF:$KF,0))*IM163*20%,0)</f>
        <v>2.4256909636610016</v>
      </c>
      <c r="HV163" s="648">
        <f t="shared" ref="HV163:HV174" si="452">IL163/1000*0+IM163/1000*0+IN163/1000*0
+(CP163-INDEX(CP:CP,MATCH(C163*1000+1,A:A,0)))/1000*0+IF(FU163&gt;0,0,0)</f>
        <v>0</v>
      </c>
      <c r="HW163" s="648">
        <f t="shared" ref="HW163:HW174" si="453">IL163/1000*0+IM163/1000*0+IN163/1000*0
+(CP163-INDEX(CP:CP,MATCH(C163*1000+1,A:A,0)))/1000*0+IF(FU163&gt;0,0,0)</f>
        <v>0</v>
      </c>
      <c r="HX163" s="648">
        <f t="shared" ref="HX163:HX174" si="454">IL163/1000*0+IM163/1000*0+IN163/1000*0
+(CP163-INDEX(CP:CP,MATCH(C163*1000+1,A:A,0)))/1000*0+IF(FU163&gt;0,0,0)</f>
        <v>0</v>
      </c>
      <c r="HY163" s="644">
        <f>INDEX(Input!$1:$1048576,HY$93,$C163*2+6)*INDEX(Input!$1:$1048576,$JG$93,$C163*2+6)</f>
        <v>110.00000000000001</v>
      </c>
      <c r="HZ163" s="644">
        <f>INDEX(Input!$1:$1048576,HZ$93,$C163*2+6)*INDEX(Input!$1:$1048576,$JG$93,$C163*2+6)</f>
        <v>157</v>
      </c>
      <c r="IA163" s="644">
        <f>INDEX(Input!$1:$1048576,IA$93,$C163*2+6)*INDEX(Input!$1:$1048576,$JG$93,$C163*2+6)</f>
        <v>179</v>
      </c>
      <c r="IB163" s="644">
        <f t="shared" ref="IB163:IB174" si="455">SUM(HP163:IA163)-IC163-ID163</f>
        <v>147.00294327816559</v>
      </c>
      <c r="IC163" s="644">
        <f t="shared" ref="IC163:IC174" si="456">MAX(HZ163+HQ163+HT163+HW163,0%)</f>
        <v>169.03052380488106</v>
      </c>
      <c r="ID163" s="644">
        <f>IF(AND(INDEX(Input!$1:$1048576,IA$93,$C163*2+7)="TOS",Y163&lt;=INDEX(Y:Y,MATCH(C163*1000+2,A:A))),0,1)*MAX(IA163+HR163+HU163+HX163,0%)</f>
        <v>147.56434889429548</v>
      </c>
      <c r="IE163" s="128">
        <f t="shared" ref="IE163:IE174" si="457">IB163/SUM($IB163:$ID163)</f>
        <v>0.31709153540393348</v>
      </c>
      <c r="IF163" s="128">
        <f t="shared" ref="IF163:IF174" si="458">IC163/SUM($IB163:$ID163)</f>
        <v>0.36460595365087373</v>
      </c>
      <c r="IG163" s="128">
        <f t="shared" ref="IG163:IG174" si="459">ID163/SUM($IB163:$ID163)</f>
        <v>0.31830251094519296</v>
      </c>
      <c r="IH163" s="21"/>
      <c r="II163" s="19">
        <f t="shared" ref="II163:II174" si="460">VLOOKUP($C163*1000+1,$A:$HH,FW$92,FALSE)-VLOOKUP($C163*1000+1,$A:$HH,FA$92,FALSE)*VLOOKUP($C163*1000+1,$A:$HH,DZ$92,FALSE)/VLOOKUP($C163*1000+1,$A:$HH,FT$92,FALSE)</f>
        <v>1240</v>
      </c>
      <c r="IJ163" s="19">
        <f t="shared" ref="IJ163:IJ174" si="461">VLOOKUP($C163*1000+1,$A:$HH,FX$92,FALSE)</f>
        <v>2009.7221397149679</v>
      </c>
      <c r="IK163" s="19">
        <f t="shared" ref="IK163:IK174" si="462">VLOOKUP($C163*1000+1,$A:$HH,FY$92,FALSE)</f>
        <v>2070</v>
      </c>
      <c r="IL163" s="19">
        <f t="shared" ref="IL163:IL174" si="463">(FW163-FA163*DZ163/FT163)-II163</f>
        <v>530</v>
      </c>
      <c r="IM163" s="19">
        <f t="shared" ref="IM163:IM174" si="464">FX163-IJ163</f>
        <v>530</v>
      </c>
      <c r="IN163" s="19">
        <f t="shared" ref="IN163:IN174" si="465">FY163-IK163</f>
        <v>-165</v>
      </c>
      <c r="IO163" s="39">
        <f t="shared" ref="IO163:IO174" si="466">(F163-VLOOKUP($C163*1000+1,$A:$HH,F$92,FALSE))*(1-$I163)</f>
        <v>0</v>
      </c>
      <c r="IP163" s="39">
        <f t="shared" ref="IP163:IP174" si="467">(G163-VLOOKUP($C163*1000+1,$A:$HH,G$92,FALSE))*(1-$I163)</f>
        <v>0</v>
      </c>
      <c r="IQ163" s="39">
        <f t="shared" ref="IQ163:IQ174" si="468">(H163-VLOOKUP($C163*1000+1,$A:$HH,H$92,FALSE))*(1-$I163)</f>
        <v>0</v>
      </c>
      <c r="IR163" s="39">
        <v>0</v>
      </c>
      <c r="IS163" s="39">
        <v>0</v>
      </c>
      <c r="IT163" s="39">
        <v>0</v>
      </c>
      <c r="IU163" s="39">
        <v>0</v>
      </c>
      <c r="IV163" s="39">
        <v>0</v>
      </c>
      <c r="IW163" s="39">
        <v>0</v>
      </c>
      <c r="IX163" s="39">
        <f>INDEX(Input!$1:$1048576,IX$93,$C163*2+6)+INDEX(Input!$1:$1048576,IX$94,$C163*2+6)</f>
        <v>1270</v>
      </c>
      <c r="IY163" s="39">
        <f>INDEX(Input!$1:$1048576,IY$93,$C163*2+6)+INDEX(Input!$1:$1048576,IY$94,$C163*2+6)</f>
        <v>2130.0624533823611</v>
      </c>
      <c r="IZ163" s="39">
        <f>INDEX(Input!$1:$1048576,IZ$93,$C163*2+6)+INDEX(Input!$1:$1048576,IZ$94,$C163*2+6)</f>
        <v>4373.7164157747848</v>
      </c>
      <c r="JA163" s="19">
        <f t="shared" ref="JA163:JA174" si="469">(IL163+IO163+IR163+IU163+IX163)</f>
        <v>1800</v>
      </c>
      <c r="JB163" s="19">
        <f t="shared" ref="JB163:JB174" si="470">(IM163+IP163+IS163+IV163+IY163)</f>
        <v>2660.0624533823611</v>
      </c>
      <c r="JC163" s="19">
        <f t="shared" ref="JC163:JC174" si="471">(IN163+IQ163+IT163+IW163+IZ163)</f>
        <v>4208.7164157747848</v>
      </c>
      <c r="JD163" s="19">
        <f t="shared" ref="JD163:JD174" si="472">SUMPRODUCT(IE163:IG163,JA163:JC163)</f>
        <v>2880.2843743108056</v>
      </c>
      <c r="JE163" s="21"/>
      <c r="JF163" s="1">
        <f t="shared" ref="JF163:JF174" si="473">VLOOKUP($C163*1000+1,$A:$HH,GD$92,FALSE)</f>
        <v>1.022782493188582E-2</v>
      </c>
      <c r="JG163" s="15">
        <f>INDEX(Input!$1:$1048576,JG$93,$C163*2+6)/(1+VLOOKUP(C163*1000+INDEX(Input!$1:$1048576,JG$93+1,$C163*2+6),$A:$KK,$JK$92,FALSE))</f>
        <v>446</v>
      </c>
      <c r="JH163" s="1">
        <f t="shared" ref="JH163:JH174" si="474">SUM(HP163:HR163)/SUM(HY163:IA163)</f>
        <v>3.7781069625421923E-2</v>
      </c>
      <c r="JI163" s="1">
        <f t="shared" ref="JI163:JI174" si="475">SUM(HS163:HU163)/SUM(HY163:IA163)</f>
        <v>1.6759168708608571E-3</v>
      </c>
      <c r="JJ163" s="1">
        <f t="shared" ref="JJ163:JJ174" si="476">SUM(HV163:HX163)/SUM(HY163:IA163)</f>
        <v>0</v>
      </c>
      <c r="JK163" s="1">
        <f t="shared" ref="JK163:JK174" si="477">SUM(JH163:JJ163)</f>
        <v>3.9456986496282778E-2</v>
      </c>
      <c r="JL163" s="15">
        <f t="shared" ref="JL163:JL174" si="478">JG163*JK163</f>
        <v>17.597815977342119</v>
      </c>
      <c r="JM163" s="15">
        <f t="shared" ref="JM163:JM174" si="479">JG163+JL163</f>
        <v>463.59781597734212</v>
      </c>
      <c r="JN163" s="21"/>
      <c r="JO163" s="19">
        <f>INDEX(Input!$1:$1048576,JO$93,$C163*2+6)</f>
        <v>5995.5</v>
      </c>
      <c r="JP163" s="19">
        <f>INDEX(Input!$1:$1048576,JP$93,$C163*2+6)</f>
        <v>2818.4193802796353</v>
      </c>
      <c r="JQ163" s="39">
        <f t="shared" ref="JQ163:JQ174" si="480">JO163-JD163</f>
        <v>3115.2156256891944</v>
      </c>
      <c r="JR163" s="39">
        <f t="shared" ref="JR163:JR174" si="481">JD163-JP163</f>
        <v>61.864994031170227</v>
      </c>
      <c r="JS163" s="39">
        <f t="shared" ref="JS163:JS174" si="482">JM163*JD163/1000000</f>
        <v>1.335293545324155</v>
      </c>
      <c r="JT163" s="39">
        <f t="shared" ref="JT163:JT174" si="483">(JD163*JM163-JP163*JG163)/1000000</f>
        <v>7.8278501719437538E-2</v>
      </c>
      <c r="JU163" s="385">
        <f>(JQ163*JM163-INDEX(Input!$1:$1048576,Input!A$18,$C163*2+6)*JL163*INDEX(Input!$1:$1048576,Input!A$19,$C163*2+6))/1000000</f>
        <v>1.444207160368</v>
      </c>
      <c r="JV163" s="39">
        <f t="shared" ref="JV163:JV174" si="484">JU163-(JO163-JP163)*JG163/1000000</f>
        <v>2.7229203972717331E-2</v>
      </c>
      <c r="JW163" s="1">
        <f t="shared" ref="JW163:JW174" si="485">JV163/(JU163-JV163)</f>
        <v>1.9216392075701017E-2</v>
      </c>
      <c r="JX163" s="19">
        <f t="shared" ref="JX163:JX174" si="486">IF(JL163=0,0,JT163/JL163)*1000000</f>
        <v>4448.1941293296959</v>
      </c>
      <c r="JZ163" s="341"/>
      <c r="KA163" s="342"/>
      <c r="KB163" s="469">
        <f t="shared" si="110"/>
        <v>2.9286733661474216</v>
      </c>
      <c r="KI163" s="473">
        <f t="shared" ref="KI163:KI174" si="487">$JM163*IE163-$JG163*HY163/SUM($HY163:$IA163)</f>
        <v>37.002943278165603</v>
      </c>
      <c r="KJ163" s="473">
        <f t="shared" ref="KJ163:KJ174" si="488">$JM163*IF163-$JG163*HZ163/SUM($HY163:$IA163)</f>
        <v>12.030523804881085</v>
      </c>
      <c r="KK163" s="473">
        <f t="shared" ref="KK163:KK174" si="489">$JM163*IG163-$JG163*IA163/SUM($HY163:$IA163)</f>
        <v>-31.435651105704494</v>
      </c>
      <c r="KN163" s="544">
        <f t="shared" ref="KN163:KN174" si="490">KM163+(KN162-KM162)</f>
        <v>1002</v>
      </c>
      <c r="KO163" s="541">
        <f t="shared" ref="KO163:KO174" si="491">JM163/INDEX(JM:JM,MATCH(KN163,A:A,0))-1</f>
        <v>3.5196227506724576E-2</v>
      </c>
      <c r="KP163" s="546">
        <f t="shared" ref="KP163:KP174" si="492">(IL163-INDEX(IL:IL,MATCH(KN163,A:A,0)))*IE163
+(IM163-IF(HN163=0,INDEX(IX:IX,MATCH(KN163,A:A,0)),INDEX(IM:IM,MATCH(KN163,A:A,0))))*IF163
+(IN163-INDEX(IN:IN,MATCH(KN163,A:A,0)))*IG163</f>
        <v>283.55429255726887</v>
      </c>
      <c r="KQ163" s="546">
        <f t="shared" ref="KQ163:KQ174" si="493">JD163-INDEX(JD:JD,MATCH(KN163,A:A,0))</f>
        <v>40.96817429215389</v>
      </c>
      <c r="KR163" s="548">
        <f t="shared" ref="KR163:KR174" si="494">KO163/(KP163/(BX163-INDEX(JD:JD,MATCH(KN163,A:A,0))))</f>
        <v>2.1282110820474536</v>
      </c>
      <c r="KS163" s="548">
        <f t="shared" ref="KS163:KS174" si="495">KO163/(KQ163/(BX163-INDEX(JD:JD,MATCH(KN163,A:A,0))))</f>
        <v>14.730053223242585</v>
      </c>
      <c r="KT163" s="473">
        <f t="shared" si="112"/>
        <v>238.28695973331548</v>
      </c>
      <c r="KU163" s="663">
        <f t="shared" ref="KU163:KU174" si="496">IF(D163="",0,IFERROR((JM163/KT163-1)/(JD163/BX163)+B163*10^-6,0))</f>
        <v>6.560769748893585</v>
      </c>
    </row>
    <row r="164" spans="1:308" s="26" customFormat="1" ht="15" outlineLevel="1">
      <c r="A164" s="561">
        <f t="shared" si="391"/>
        <v>1064</v>
      </c>
      <c r="B164" s="561">
        <f t="shared" si="104"/>
        <v>64</v>
      </c>
      <c r="C164" s="561">
        <f t="shared" si="105"/>
        <v>1</v>
      </c>
      <c r="D164" s="561" t="str">
        <f t="shared" si="294"/>
        <v xml:space="preserve">1000 CC, 1000 Combo, -180 Lease, </v>
      </c>
      <c r="E164" s="475">
        <f>INDEX(Input!$1:$1048576,E$93,$C164*2+MIN($B164,2)+5)
+INDEX(Scenarios!E$121:E$200,MATCH($B164,Scenarios!$B$121:$B$200,0))</f>
        <v>2229</v>
      </c>
      <c r="F164" s="475">
        <f>INDEX(Input!$1:$1048576,F$93,$C164*2+MIN($B164,2)+5)
+INDEX(Scenarios!F$121:F$200,MATCH($B164,Scenarios!$B$121:$B$200,0))</f>
        <v>0</v>
      </c>
      <c r="G164" s="475">
        <f>INDEX(Input!$1:$1048576,G$93,$C164*2+MIN($B164,2)+5)
+INDEX(Scenarios!G$121:G$200,MATCH($B164,Scenarios!$B$121:$B$200,0))</f>
        <v>0</v>
      </c>
      <c r="H164" s="475">
        <f>INDEX(Input!$1:$1048576,H$93,$C164*2+MIN($B164,2)+5)
+INDEX(Scenarios!H$121:H$200,MATCH($B164,Scenarios!$B$121:$B$200,0))</f>
        <v>0</v>
      </c>
      <c r="I164" s="476">
        <f>INDEX(Input!$1:$1048576,I$93,$C164*2+MIN($B164,2)+5)</f>
        <v>0.7</v>
      </c>
      <c r="J164" s="476" t="str">
        <f>INDEX(Input!$1:$1048576,J$93,$C164*2+MIN($B164,2)+5)</f>
        <v>Market</v>
      </c>
      <c r="K164" s="476" t="str">
        <f>INDEX(Input!$1:$1048576,K$93,$C164*2+MIN($B164,2)+5)</f>
        <v>Market</v>
      </c>
      <c r="L164" s="476" t="str">
        <f>INDEX(Input!$1:$1048576,L$93,$C164*2+MIN($B164,2)+5)</f>
        <v>Market</v>
      </c>
      <c r="M164" s="476" t="str">
        <f>INDEX(Input!$1:$1048576,M$93,$C164*2+MIN($B164,2)+5)</f>
        <v>Market</v>
      </c>
      <c r="N164" s="476" t="str">
        <f>INDEX(Input!$1:$1048576,N$93,$C164*2+MIN($B164,2)+5)</f>
        <v>Market</v>
      </c>
      <c r="O164" s="476" t="str">
        <f>INDEX(Input!$1:$1048576,O$93,$C164*2+MIN($B164,2)+5)</f>
        <v>Market</v>
      </c>
      <c r="P164" s="476" t="str">
        <f>INDEX(Input!$1:$1048576,P$93,$C164*2+MIN($B164,2)+5)</f>
        <v>N</v>
      </c>
      <c r="Q164" s="477">
        <f>INDEX(Input!$1:$1048576,Q$93,$C164*2+MIN($B164,2)+5)
+INDEX(Scenarios!Q$121:Q$200,MATCH($B164,Scenarios!$B$121:$B$200,0))</f>
        <v>1000</v>
      </c>
      <c r="R164" s="478">
        <f>IFERROR(MAX(0,INDEX(Input!$1:$1048576,R$93,$C164*2+MIN($B164,2)+5)
+INDEX(Scenarios!R$121:R$200,MATCH($B164,Scenarios!$B$121:$B$200,0)),),"Market")</f>
        <v>0</v>
      </c>
      <c r="S164" s="478">
        <f>IFERROR(MAX(0,INDEX(Input!$1:$1048576,S$93,$C164*2+MIN($B164,2)+5)
+INDEX(Scenarios!S$121:S$200,MATCH($B164,Scenarios!$B$121:$B$200,0)),),"Market")</f>
        <v>0</v>
      </c>
      <c r="T164" s="478">
        <f>IFERROR(MAX(0,INDEX(Input!$1:$1048576,T$93,$C164*2+MIN($B164,2)+5)
+INDEX(Scenarios!T$121:T$200,MATCH($B164,Scenarios!$B$121:$B$200,0)),),"Market")</f>
        <v>0</v>
      </c>
      <c r="U164" s="478">
        <f>IFERROR(MAX(0,INDEX(Input!$1:$1048576,U$93,$C164*2+MIN($B164,2)+5)
+INDEX(Scenarios!U$121:U$200,MATCH($B164,Scenarios!$B$121:$B$200,0)),),"Market")</f>
        <v>0</v>
      </c>
      <c r="V164" s="478">
        <f>IFERROR(MAX(0,INDEX(Input!$1:$1048576,V$93,$C164*2+MIN($B164,2)+5)
+INDEX(Scenarios!V$121:V$200,MATCH($B164,Scenarios!$B$121:$B$200,0)),),"Market")</f>
        <v>1.9E-2</v>
      </c>
      <c r="W164" s="885">
        <f>IFERROR(MAX(0,INDEX(Input!$1:$1048576,W$93,$C164*2+MIN($B164,2)+5)-0%,),"Market")</f>
        <v>3.9E-2</v>
      </c>
      <c r="X164" s="476" t="str">
        <f>INDEX(Input!$1:$1048576,X$93,$C164*2+MIN($B164,2)+5)</f>
        <v>Y</v>
      </c>
      <c r="Y164" s="475">
        <f>INDEX(Input!$1:$1048576,Y$93,$C164*2+MIN($B164,2)+5)
++INDEX(Scenarios!Y$121:Y$200,MATCH($B164,Scenarios!$B$121:$B$200,0))</f>
        <v>1762</v>
      </c>
      <c r="Z164" s="477">
        <f>INDEX(Input!$1:$1048576,Z$93,$C164*2+MIN($B164,2)+5)
+INDEX(Scenarios!Z$121:Z$200,MATCH($B164,Scenarios!$B$121:$B$200,0))</f>
        <v>0</v>
      </c>
      <c r="AA164" s="475">
        <f>INDEX(Input!$1:$1048576,AA$93,$C164*2+MIN($B164,2)+5)
+INDEX(Scenarios!AA$121:AA$200,MATCH($B164,Scenarios!$B$121:$B$200,0))</f>
        <v>0</v>
      </c>
      <c r="AB164" s="476">
        <f>INDEX(Input!$1:$1048576,AB$93,$C164*2+MIN($B164,2)+5)</f>
        <v>0.27</v>
      </c>
      <c r="AC164" s="475">
        <f>INDEX(Input!$1:$1048576,AC$93,$C164*2+MIN($B164,2)+5)
+INDEX(Scenarios!AC$121:AC$200,MATCH($B164,Scenarios!$B$121:$B$200,0))</f>
        <v>0</v>
      </c>
      <c r="AD164" s="476">
        <f>INDEX(Input!$1:$1048576,AD$93,$C164*2+MIN($B164,2)+5)</f>
        <v>0.27</v>
      </c>
      <c r="AE164" s="475">
        <f>INDEX(Input!$1:$1048576,AE$93,$C164*2+MIN($B164,2)+5)
+INDEX(Scenarios!AE$121:AE$200,MATCH($B164,Scenarios!$B$121:$B$200,0))</f>
        <v>0</v>
      </c>
      <c r="AF164" s="476">
        <f>INDEX(Input!$1:$1048576,AF$93,$C164*2+MIN($B164,2)+5)</f>
        <v>0.38</v>
      </c>
      <c r="AG164" s="475">
        <f>INDEX(Input!$1:$1048576,AG$93,$C164*2+MIN($B164,2)+5)
+INDEX(Scenarios!AG$121:AG$200,MATCH($B164,Scenarios!$B$121:$B$200,0))</f>
        <v>0</v>
      </c>
      <c r="AH164" s="476">
        <f>INDEX(Input!$1:$1048576,AH$93,$C164*2+MIN($B164,2)+5)</f>
        <v>0</v>
      </c>
      <c r="AI164" s="475">
        <f>INDEX(Input!$1:$1048576,AI$93,$C164*2+MIN($B164,2)+5)
+INDEX(Scenarios!AI$121:AI$200,MATCH($B164,Scenarios!$B$121:$B$200,0))</f>
        <v>0</v>
      </c>
      <c r="AJ164" s="476">
        <f>INDEX(Input!$1:$1048576,AJ$93,$C164*2+MIN($B164,2)+5)</f>
        <v>0.27</v>
      </c>
      <c r="AK164" s="150">
        <f>ROUND(INDEX(Input!$1:$1048576,AK$93,$C163*2+MIN($B164,1)+5)+(Y164-VLOOKUP($C164*1000+1,$A:$HH,Y$92,FALSE)),0)</f>
        <v>3577</v>
      </c>
      <c r="AL164" s="150">
        <f>ROUND(INDEX(Input!$1:$1048576,AL$93,$C163*2+MIN($B164,1)+5)-(Y164-VLOOKUP($C164*1000+1,$A:$HH,Y$92,FALSE))/36,0)</f>
        <v>4118</v>
      </c>
      <c r="AM164" s="32" t="str">
        <f t="shared" si="392"/>
        <v>std/std/std/std</v>
      </c>
      <c r="AN164" s="32" t="str">
        <f t="shared" si="393"/>
        <v>$1000 + 0/0/0/1.9/3.9</v>
      </c>
      <c r="AO164" s="32" t="str">
        <f t="shared" si="394"/>
        <v>0/0/0/1.9/3.9</v>
      </c>
      <c r="AP164" s="32" t="str">
        <f t="shared" si="73"/>
        <v>0/0.9/1.9/3.9</v>
      </c>
      <c r="AQ164" s="536">
        <f t="shared" si="39"/>
        <v>0.36099323072266265</v>
      </c>
      <c r="AR164" s="32"/>
      <c r="AS164" s="302"/>
      <c r="AT164" s="3">
        <f t="shared" si="106"/>
        <v>64</v>
      </c>
      <c r="AU164" s="41" t="s">
        <v>121</v>
      </c>
      <c r="AV164" s="41" t="s">
        <v>116</v>
      </c>
      <c r="AW164" s="41" t="str">
        <f>INDEX(Input!$1:$1048576,AW$93,$C164*2+6)</f>
        <v>Kia</v>
      </c>
      <c r="AX164" s="41" t="str">
        <f>INDEX(Input!$1:$1048576,AX$93,$C164*2+6)</f>
        <v>Kia-LR - L1</v>
      </c>
      <c r="AY164" s="41" t="str">
        <f>IF(LEN(D164)=0,"",INDEX(Input!$1:$1048576,AY$93,$C164*2+6))</f>
        <v>Compact SUV (52)</v>
      </c>
      <c r="AZ164" s="41" t="str">
        <f>INDEX(Input!$1:$1048576,AZ$93,$C164*2+6)</f>
        <v>Kia Soul</v>
      </c>
      <c r="BA164" s="3">
        <f>INDEX(Input!$1:$1048576,BA$93,$C164*2+6)</f>
        <v>2020</v>
      </c>
      <c r="BB164" s="128">
        <f>INDEX(Input!$1:$1048576,BB$93,$C164*2+6)</f>
        <v>1</v>
      </c>
      <c r="BC164" s="128">
        <f>INDEX(Input!$1:$1048576,BC$93,$C164*2+6)</f>
        <v>0.7</v>
      </c>
      <c r="BD164" s="1">
        <f>INDEX(Input!$1:$1048576,BD$93,$C164*2+6)</f>
        <v>4.4999999999999998E-2</v>
      </c>
      <c r="BE164" s="1">
        <f>INDEX(Input!$1:$1048576,BE$93,$C164*2+6)</f>
        <v>4.4999999999999998E-2</v>
      </c>
      <c r="BF164" s="1">
        <f>INDEX(Input!$1:$1048576,BF$93,$C164*2+6)</f>
        <v>0.05</v>
      </c>
      <c r="BG164" s="1">
        <f>INDEX(Input!$1:$1048576,BG$93,$C164*2+6)</f>
        <v>5.45E-2</v>
      </c>
      <c r="BH164" s="1">
        <f>INDEX(Input!$1:$1048576,BH$93,$C164*2+6)</f>
        <v>5.45E-2</v>
      </c>
      <c r="BI164" s="1">
        <f>INDEX(Input!$1:$1048576,BI$93,$C164*2+6)</f>
        <v>0.05</v>
      </c>
      <c r="BJ164" s="1">
        <f>INDEX(Input!$1:$1048576,BJ$93,$C164*2+6)</f>
        <v>0.05</v>
      </c>
      <c r="BK164" s="1">
        <f>INDEX(Input!$1:$1048576,BK$93,$C164*2+6)</f>
        <v>0.05</v>
      </c>
      <c r="BL164" s="1">
        <f>INDEX(Input!$1:$1048576,BL$93,$C164*2+6)</f>
        <v>5.5E-2</v>
      </c>
      <c r="BM164" s="1">
        <f>INDEX(Input!$1:$1048576,BM$93,$C164*2+6)</f>
        <v>0.06</v>
      </c>
      <c r="BN164" s="1">
        <f>INDEX(Input!$1:$1048576,BN$93,$C164*2+6)</f>
        <v>4.4999999999999998E-2</v>
      </c>
      <c r="BO164" s="1">
        <f>INDEX(Input!$1:$1048576,BO$93,$C164*2+6)</f>
        <v>4.4999999999999998E-2</v>
      </c>
      <c r="BP164" s="1">
        <f>INDEX(Input!$1:$1048576,BP$93,$C164*2+6)</f>
        <v>0.05</v>
      </c>
      <c r="BQ164" s="1">
        <f>INDEX(Input!$1:$1048576,BQ$93,$C164*2+6)</f>
        <v>5.45E-2</v>
      </c>
      <c r="BR164" s="1">
        <f>INDEX(Input!$1:$1048576,BR$93,$C164*2+6)</f>
        <v>5.45E-2</v>
      </c>
      <c r="BS164" s="1">
        <f>INDEX(Input!$1:$1048576,BS$93,$C164*2+6)</f>
        <v>0.05</v>
      </c>
      <c r="BT164" s="1">
        <f>INDEX(Input!$1:$1048576,BT$93,$C164*2+6)</f>
        <v>0.05</v>
      </c>
      <c r="BU164" s="1">
        <f>INDEX(Input!$1:$1048576,BU$93,$C164*2+6)</f>
        <v>0.05</v>
      </c>
      <c r="BV164" s="1">
        <f>INDEX(Input!$1:$1048576,BV$93,$C164*2+6)</f>
        <v>5.5E-2</v>
      </c>
      <c r="BW164" s="1">
        <f>INDEX(Input!$1:$1048576,BW$93,$C164*2+6)</f>
        <v>0.06</v>
      </c>
      <c r="BX164" s="127">
        <f>INDEX(Input!$1:$1048576,BX$93,$C164*2+6)</f>
        <v>19985</v>
      </c>
      <c r="BY164" s="20">
        <f>INDEX(Input!$1:$1048576,BY$93,$C164*2+6)</f>
        <v>0.1</v>
      </c>
      <c r="BZ164" s="20">
        <f>INDEX(Input!$1:$1048576,BZ$93,$C164*2+6)</f>
        <v>0.1</v>
      </c>
      <c r="CA164" s="20">
        <f>INDEX(Input!$1:$1048576,CA$93,$C164*2+6)</f>
        <v>0.1</v>
      </c>
      <c r="CB164" s="20">
        <f>INDEX(Input!$1:$1048576,CB$93,$C164*2+6)</f>
        <v>0.1</v>
      </c>
      <c r="CC164" s="20">
        <f>INDEX(Input!$1:$1048576,CC$93,$C164*2+6)</f>
        <v>0.1</v>
      </c>
      <c r="CD164" s="384">
        <f>INDEX(Input!$1:$1048576,CD$93,$C164*2+6)</f>
        <v>0.1</v>
      </c>
      <c r="CE164" s="384">
        <f>INDEX(Input!$1:$1048576,CE$93,$C164*2+6)</f>
        <v>0.1</v>
      </c>
      <c r="CF164" s="384">
        <f>INDEX(Input!$1:$1048576,CF$93,$C164*2+6)</f>
        <v>0.1</v>
      </c>
      <c r="CG164" s="384">
        <f>INDEX(Input!$1:$1048576,CG$93,$C164*2+6)</f>
        <v>0.1</v>
      </c>
      <c r="CH164" s="384">
        <f>INDEX(Input!$1:$1048576,CH$93,$C164*2+6)</f>
        <v>0.1</v>
      </c>
      <c r="CI164" s="304">
        <f t="shared" si="74"/>
        <v>2229</v>
      </c>
      <c r="CJ164" s="16" t="str">
        <f>INDEX(Input!$1:$1048576,CJ$93,$C164*2+6)</f>
        <v>N</v>
      </c>
      <c r="CK164" s="1" t="str">
        <f t="shared" si="75"/>
        <v>Market</v>
      </c>
      <c r="CL164" s="1" t="str">
        <f t="shared" si="76"/>
        <v>Market</v>
      </c>
      <c r="CM164" s="1" t="str">
        <f t="shared" si="77"/>
        <v>Market</v>
      </c>
      <c r="CN164" s="1" t="str">
        <f t="shared" si="78"/>
        <v>Market</v>
      </c>
      <c r="CO164" s="1" t="str">
        <f t="shared" si="79"/>
        <v>Market</v>
      </c>
      <c r="CP164" s="304">
        <f t="shared" si="80"/>
        <v>1000</v>
      </c>
      <c r="CQ164" s="1">
        <f t="shared" si="81"/>
        <v>0</v>
      </c>
      <c r="CR164" s="1">
        <f t="shared" si="82"/>
        <v>0</v>
      </c>
      <c r="CS164" s="1">
        <f t="shared" si="83"/>
        <v>0</v>
      </c>
      <c r="CT164" s="1">
        <f t="shared" si="84"/>
        <v>1.9E-2</v>
      </c>
      <c r="CU164" s="1">
        <f t="shared" si="85"/>
        <v>3.9E-2</v>
      </c>
      <c r="CV164" s="304">
        <f t="shared" si="86"/>
        <v>1762</v>
      </c>
      <c r="CW164" s="20" t="s">
        <v>122</v>
      </c>
      <c r="CX164" s="20" t="s">
        <v>122</v>
      </c>
      <c r="CY164" s="20" t="s">
        <v>122</v>
      </c>
      <c r="CZ164" s="20" t="s">
        <v>122</v>
      </c>
      <c r="DA164" s="20" t="s">
        <v>122</v>
      </c>
      <c r="DB164" s="503">
        <f t="shared" si="87"/>
        <v>0</v>
      </c>
      <c r="DC164" s="127">
        <v>0</v>
      </c>
      <c r="DD164" s="127">
        <v>0</v>
      </c>
      <c r="DE164" s="127">
        <v>0</v>
      </c>
      <c r="DF164" s="127">
        <v>0</v>
      </c>
      <c r="DG164" s="127">
        <v>0</v>
      </c>
      <c r="DH164" s="127">
        <v>0</v>
      </c>
      <c r="DI164" s="127">
        <v>0</v>
      </c>
      <c r="DJ164" s="127">
        <v>0</v>
      </c>
      <c r="DK164" s="127">
        <v>0</v>
      </c>
      <c r="DL164" s="127">
        <v>0</v>
      </c>
      <c r="DM164" s="304">
        <f>INDEX(Input!$1:$1048576,DM$93,$C164*2+6)</f>
        <v>21036.84210526316</v>
      </c>
      <c r="DN164" s="20">
        <v>0</v>
      </c>
      <c r="DO164" s="20">
        <v>0</v>
      </c>
      <c r="DP164" s="20">
        <v>0</v>
      </c>
      <c r="DQ164" s="20">
        <v>0</v>
      </c>
      <c r="DR164" s="20">
        <v>0</v>
      </c>
      <c r="DS164" s="20">
        <f>INDEX(Input!$1:$1048576,DS$93,$C164*2+6)</f>
        <v>0.6</v>
      </c>
      <c r="DT164" s="20">
        <f>INDEX(Input!$1:$1048576,DT$93,$C164*2+6)</f>
        <v>0.55000000000000004</v>
      </c>
      <c r="DU164" s="20">
        <f>INDEX(Input!$1:$1048576,DU$93,$C164*2+6)</f>
        <v>0.52</v>
      </c>
      <c r="DV164" s="20">
        <f>INDEX(Input!$1:$1048576,DV$93,$C164*2+6)</f>
        <v>0.5</v>
      </c>
      <c r="DW164" s="20">
        <f>INDEX(Input!$1:$1048576,DW$93,$C164*2+6)</f>
        <v>0.45</v>
      </c>
      <c r="DX164" s="20"/>
      <c r="DY164" s="7">
        <v>0.1322929267151309</v>
      </c>
      <c r="DZ164" s="7">
        <v>0</v>
      </c>
      <c r="EA164" s="7">
        <v>0.56050692169749949</v>
      </c>
      <c r="EB164" s="7">
        <v>0</v>
      </c>
      <c r="EC164" s="7">
        <v>0</v>
      </c>
      <c r="ED164" s="7">
        <v>0</v>
      </c>
      <c r="EE164" s="7">
        <v>0</v>
      </c>
      <c r="EF164" s="7">
        <v>0</v>
      </c>
      <c r="EG164" s="7">
        <v>0</v>
      </c>
      <c r="EH164" s="7">
        <v>1.840220044509866E-2</v>
      </c>
      <c r="EI164" s="7">
        <v>5.3739557110571899E-2</v>
      </c>
      <c r="EJ164" s="7">
        <v>0.33946684904131991</v>
      </c>
      <c r="EK164" s="7">
        <v>0.48247712639938095</v>
      </c>
      <c r="EL164" s="7">
        <v>0.10591426700362873</v>
      </c>
      <c r="EM164" s="7">
        <v>5.8985254542873962E-2</v>
      </c>
      <c r="EN164" s="7">
        <v>5.0085025442757732E-2</v>
      </c>
      <c r="EO164" s="7">
        <v>0.76213125160956319</v>
      </c>
      <c r="EP164" s="7">
        <v>8.209139576526131E-2</v>
      </c>
      <c r="EQ164" s="7">
        <v>6.2650747270154628E-2</v>
      </c>
      <c r="ER164" s="7">
        <v>4.3041579912263296E-2</v>
      </c>
      <c r="ES164" s="7">
        <v>0.24821489704449551</v>
      </c>
      <c r="ET164" s="7">
        <v>0.30720015158736963</v>
      </c>
      <c r="EU164" s="6">
        <v>2270</v>
      </c>
      <c r="EV164" s="6">
        <v>0</v>
      </c>
      <c r="EW164" s="6">
        <v>2270</v>
      </c>
      <c r="EX164" s="6">
        <v>0</v>
      </c>
      <c r="EY164" s="6">
        <v>3039.7221397149688</v>
      </c>
      <c r="EZ164" s="6">
        <v>1905</v>
      </c>
      <c r="FA164" s="6">
        <v>0</v>
      </c>
      <c r="FB164" s="6">
        <v>0</v>
      </c>
      <c r="FC164" s="6">
        <v>0</v>
      </c>
      <c r="FD164" s="6">
        <v>0</v>
      </c>
      <c r="FE164" s="6">
        <v>0</v>
      </c>
      <c r="FF164" s="6">
        <v>0</v>
      </c>
      <c r="FG164" s="6">
        <v>0</v>
      </c>
      <c r="FH164" s="6">
        <v>1171.2811379695613</v>
      </c>
      <c r="FI164" s="6">
        <v>1553.9796069512399</v>
      </c>
      <c r="FJ164" s="6">
        <v>2101.2110117447414</v>
      </c>
      <c r="FK164" s="6">
        <v>1772.7139978623229</v>
      </c>
      <c r="FL164" s="6">
        <v>907.0768214096629</v>
      </c>
      <c r="FM164" s="6">
        <v>1769.7221397149685</v>
      </c>
      <c r="FN164" s="6">
        <v>0</v>
      </c>
      <c r="FO164" s="6">
        <v>0</v>
      </c>
      <c r="FP164" s="6">
        <v>0</v>
      </c>
      <c r="FQ164" s="6">
        <v>0</v>
      </c>
      <c r="FR164" s="6">
        <v>0</v>
      </c>
      <c r="FS164" s="6">
        <v>0</v>
      </c>
      <c r="FT164" s="7">
        <v>0.69279984841263043</v>
      </c>
      <c r="FU164" s="7">
        <v>5.8985254542873962E-2</v>
      </c>
      <c r="FV164" s="7">
        <v>0.24821489704449551</v>
      </c>
      <c r="FW164" s="6">
        <v>2269.9999999999995</v>
      </c>
      <c r="FX164" s="6">
        <v>3039.7221397149688</v>
      </c>
      <c r="FY164" s="6">
        <v>1905</v>
      </c>
      <c r="FZ164" s="6">
        <v>1952.7147957719815</v>
      </c>
      <c r="GA164" s="6">
        <v>2224.8038189171316</v>
      </c>
      <c r="GB164" s="6">
        <v>17760.196181082869</v>
      </c>
      <c r="GC164" s="7">
        <v>1.0519917368675835E-2</v>
      </c>
      <c r="GD164" s="7">
        <v>1.1132764788981196E-2</v>
      </c>
      <c r="GE164" s="7"/>
      <c r="GF164" s="7"/>
      <c r="GG164" s="7">
        <v>5.8255915786009811E-2</v>
      </c>
      <c r="GH164" s="42">
        <v>4.2789101284777731</v>
      </c>
      <c r="GI164" s="6">
        <v>6895.3856726915801</v>
      </c>
      <c r="GJ164" s="14">
        <v>0.50394797582841744</v>
      </c>
      <c r="GK164" s="14">
        <v>0.50887573065309744</v>
      </c>
      <c r="GL164" s="14">
        <v>0.49605202417158278</v>
      </c>
      <c r="GM164" s="14">
        <v>0.49112426934690251</v>
      </c>
      <c r="GO164" s="5">
        <v>343.14810671672558</v>
      </c>
      <c r="GP164" s="5">
        <v>299.84083725090579</v>
      </c>
      <c r="GQ164" s="5">
        <v>535.04305713031317</v>
      </c>
      <c r="GR164" s="5">
        <v>410.15490233172511</v>
      </c>
      <c r="GS164" s="5">
        <v>339.42744393800166</v>
      </c>
      <c r="GT164" s="5">
        <v>293.4407446948278</v>
      </c>
      <c r="GU164" s="5">
        <v>258.04012322764959</v>
      </c>
      <c r="GV164" s="39" t="s">
        <v>392</v>
      </c>
      <c r="GW164" s="5">
        <v>464.34722222222223</v>
      </c>
      <c r="GX164" s="5">
        <v>348.26041666666669</v>
      </c>
      <c r="GY164" s="5">
        <v>278.60833333333335</v>
      </c>
      <c r="GZ164" s="5">
        <v>245.84245344171217</v>
      </c>
      <c r="HA164" s="5">
        <v>227.72592165501612</v>
      </c>
      <c r="HB164" s="39">
        <v>264.57144879693612</v>
      </c>
      <c r="HC164" s="5">
        <v>203.94062499999998</v>
      </c>
      <c r="HD164" s="5">
        <v>182.91997441520465</v>
      </c>
      <c r="HE164" s="5">
        <v>188.14796305668014</v>
      </c>
      <c r="HF164" s="5">
        <v>176.85563048245612</v>
      </c>
      <c r="HG164" s="5">
        <v>174.11888157894737</v>
      </c>
      <c r="HH164" s="39">
        <v>183.64321849947419</v>
      </c>
      <c r="HI164" s="16"/>
      <c r="HJ164" s="19" t="str">
        <f t="shared" si="390"/>
        <v>On</v>
      </c>
      <c r="HK164" s="1" t="str">
        <f t="shared" si="108"/>
        <v>On</v>
      </c>
      <c r="HL164" s="16"/>
      <c r="HM164" s="639">
        <f t="shared" si="446"/>
        <v>5.7455619280273196E-3</v>
      </c>
      <c r="HN164" s="639">
        <f t="shared" si="447"/>
        <v>5.0031960498701745E-4</v>
      </c>
      <c r="HO164" s="639">
        <f t="shared" si="448"/>
        <v>3.9819433988714835E-3</v>
      </c>
      <c r="HP164" s="644">
        <f>(FT164*$GD164-HM164)/$JF164*INDEX(Input!$1:$1048576,$JG$93,$C164*2+6)</f>
        <v>85.783464823542261</v>
      </c>
      <c r="HQ164" s="644">
        <f>(FU164*$GD164-HN164)/$JF164*INDEX(Input!$1:$1048576,$JG$93,$C164*2+6)</f>
        <v>6.8178537431572117</v>
      </c>
      <c r="HR164" s="644">
        <f>(FV164*$GD164-HO164)/$JF164*INDEX(Input!$1:$1048576,$JG$93,$C164*2+6)</f>
        <v>-53.140027534401753</v>
      </c>
      <c r="HS164" s="644">
        <f t="shared" si="449"/>
        <v>-19.267455631372972</v>
      </c>
      <c r="HT164" s="644">
        <f t="shared" si="450"/>
        <v>16.005985819231924</v>
      </c>
      <c r="HU164" s="644">
        <f t="shared" si="451"/>
        <v>6.7733621240479325</v>
      </c>
      <c r="HV164" s="648">
        <f t="shared" si="452"/>
        <v>0</v>
      </c>
      <c r="HW164" s="648">
        <f t="shared" si="453"/>
        <v>0</v>
      </c>
      <c r="HX164" s="648">
        <f t="shared" si="454"/>
        <v>0</v>
      </c>
      <c r="HY164" s="644">
        <f>INDEX(Input!$1:$1048576,HY$93,$C164*2+6)*INDEX(Input!$1:$1048576,$JG$93,$C164*2+6)</f>
        <v>110.00000000000001</v>
      </c>
      <c r="HZ164" s="644">
        <f>INDEX(Input!$1:$1048576,HZ$93,$C164*2+6)*INDEX(Input!$1:$1048576,$JG$93,$C164*2+6)</f>
        <v>157</v>
      </c>
      <c r="IA164" s="644">
        <f>INDEX(Input!$1:$1048576,IA$93,$C164*2+6)*INDEX(Input!$1:$1048576,$JG$93,$C164*2+6)</f>
        <v>179</v>
      </c>
      <c r="IB164" s="644">
        <f t="shared" si="455"/>
        <v>176.51600919216932</v>
      </c>
      <c r="IC164" s="644">
        <f t="shared" si="456"/>
        <v>179.82383956238914</v>
      </c>
      <c r="ID164" s="644">
        <f>IF(AND(INDEX(Input!$1:$1048576,IA$93,$C164*2+7)="TOS",Y164&lt;=INDEX(Y:Y,MATCH(C164*1000+2,A:A))),0,1)*MAX(IA164+HR164+HU164+HX164,0%)</f>
        <v>132.63333458964618</v>
      </c>
      <c r="IE164" s="128">
        <f t="shared" si="457"/>
        <v>0.36099323072266265</v>
      </c>
      <c r="IF164" s="128">
        <f t="shared" si="458"/>
        <v>0.36775808099031287</v>
      </c>
      <c r="IG164" s="128">
        <f t="shared" si="459"/>
        <v>0.27124868828702436</v>
      </c>
      <c r="IH164" s="21"/>
      <c r="II164" s="19">
        <f t="shared" si="460"/>
        <v>1240</v>
      </c>
      <c r="IJ164" s="19">
        <f t="shared" si="461"/>
        <v>2009.7221397149679</v>
      </c>
      <c r="IK164" s="19">
        <f t="shared" si="462"/>
        <v>2070</v>
      </c>
      <c r="IL164" s="19">
        <f t="shared" si="463"/>
        <v>1029.9999999999995</v>
      </c>
      <c r="IM164" s="19">
        <f t="shared" si="464"/>
        <v>1030.0000000000009</v>
      </c>
      <c r="IN164" s="19">
        <f t="shared" si="465"/>
        <v>-165</v>
      </c>
      <c r="IO164" s="39">
        <f t="shared" si="466"/>
        <v>0</v>
      </c>
      <c r="IP164" s="39">
        <f t="shared" si="467"/>
        <v>0</v>
      </c>
      <c r="IQ164" s="39">
        <f t="shared" si="468"/>
        <v>0</v>
      </c>
      <c r="IR164" s="39">
        <v>0</v>
      </c>
      <c r="IS164" s="39">
        <v>0</v>
      </c>
      <c r="IT164" s="39">
        <v>0</v>
      </c>
      <c r="IU164" s="39">
        <v>0</v>
      </c>
      <c r="IV164" s="39">
        <v>0</v>
      </c>
      <c r="IW164" s="39">
        <v>0</v>
      </c>
      <c r="IX164" s="39">
        <f>INDEX(Input!$1:$1048576,IX$93,$C164*2+6)+INDEX(Input!$1:$1048576,IX$94,$C164*2+6)</f>
        <v>1270</v>
      </c>
      <c r="IY164" s="39">
        <f>INDEX(Input!$1:$1048576,IY$93,$C164*2+6)+INDEX(Input!$1:$1048576,IY$94,$C164*2+6)</f>
        <v>2130.0624533823611</v>
      </c>
      <c r="IZ164" s="39">
        <f>INDEX(Input!$1:$1048576,IZ$93,$C164*2+6)+INDEX(Input!$1:$1048576,IZ$94,$C164*2+6)</f>
        <v>4373.7164157747848</v>
      </c>
      <c r="JA164" s="19">
        <f t="shared" si="469"/>
        <v>2299.9999999999995</v>
      </c>
      <c r="JB164" s="19">
        <f t="shared" si="470"/>
        <v>3160.062453382362</v>
      </c>
      <c r="JC164" s="19">
        <f t="shared" si="471"/>
        <v>4208.7164157747848</v>
      </c>
      <c r="JD164" s="19">
        <f t="shared" si="472"/>
        <v>3134.0317414785386</v>
      </c>
      <c r="JE164" s="21"/>
      <c r="JF164" s="1">
        <f t="shared" si="473"/>
        <v>1.022782493188582E-2</v>
      </c>
      <c r="JG164" s="15">
        <f>INDEX(Input!$1:$1048576,JG$93,$C164*2+6)/(1+VLOOKUP(C164*1000+INDEX(Input!$1:$1048576,JG$93+1,$C164*2+6),$A:$KK,$JK$92,FALSE))</f>
        <v>446</v>
      </c>
      <c r="JH164" s="1">
        <f t="shared" si="474"/>
        <v>8.8478231014120459E-2</v>
      </c>
      <c r="JI164" s="1">
        <f t="shared" si="475"/>
        <v>7.8741980087598321E-3</v>
      </c>
      <c r="JJ164" s="1">
        <f t="shared" si="476"/>
        <v>0</v>
      </c>
      <c r="JK164" s="1">
        <f t="shared" si="477"/>
        <v>9.6352429022880298E-2</v>
      </c>
      <c r="JL164" s="15">
        <f t="shared" si="478"/>
        <v>42.973183344204614</v>
      </c>
      <c r="JM164" s="15">
        <f t="shared" si="479"/>
        <v>488.97318334420459</v>
      </c>
      <c r="JN164" s="21"/>
      <c r="JO164" s="19">
        <f>INDEX(Input!$1:$1048576,JO$93,$C164*2+6)</f>
        <v>5995.5</v>
      </c>
      <c r="JP164" s="19">
        <f>INDEX(Input!$1:$1048576,JP$93,$C164*2+6)</f>
        <v>2818.4193802796353</v>
      </c>
      <c r="JQ164" s="39">
        <f t="shared" si="480"/>
        <v>2861.4682585214614</v>
      </c>
      <c r="JR164" s="39">
        <f t="shared" si="481"/>
        <v>315.61236119890327</v>
      </c>
      <c r="JS164" s="39">
        <f t="shared" si="482"/>
        <v>1.5324574773325421</v>
      </c>
      <c r="JT164" s="39">
        <f t="shared" si="483"/>
        <v>0.27544243372782484</v>
      </c>
      <c r="JU164" s="385">
        <f>(JQ164*JM164-INDEX(Input!$1:$1048576,Input!A$18,$C164*2+6)*JL164*INDEX(Input!$1:$1048576,Input!A$19,$C164*2+6))/1000000</f>
        <v>1.3991812434076365</v>
      </c>
      <c r="JV164" s="39">
        <f t="shared" si="484"/>
        <v>-1.7796712987646179E-2</v>
      </c>
      <c r="JW164" s="1">
        <f t="shared" si="485"/>
        <v>-1.2559625862437607E-2</v>
      </c>
      <c r="JX164" s="19">
        <f t="shared" si="486"/>
        <v>6409.6353188824478</v>
      </c>
      <c r="JZ164" s="341"/>
      <c r="KA164" s="342"/>
      <c r="KB164" s="469">
        <f t="shared" si="110"/>
        <v>2.9286733661474216</v>
      </c>
      <c r="KI164" s="473">
        <f t="shared" si="487"/>
        <v>66.51600919216925</v>
      </c>
      <c r="KJ164" s="473">
        <f t="shared" si="488"/>
        <v>22.823839562389082</v>
      </c>
      <c r="KK164" s="473">
        <f t="shared" si="489"/>
        <v>-46.366665410353846</v>
      </c>
      <c r="KN164" s="544">
        <f t="shared" si="490"/>
        <v>1002</v>
      </c>
      <c r="KO164" s="541">
        <f t="shared" si="491"/>
        <v>9.1858454256854793E-2</v>
      </c>
      <c r="KP164" s="546">
        <f t="shared" si="492"/>
        <v>679.92654782131137</v>
      </c>
      <c r="KQ164" s="546">
        <f t="shared" si="493"/>
        <v>294.71554145988694</v>
      </c>
      <c r="KR164" s="548">
        <f t="shared" si="494"/>
        <v>2.3163914044682894</v>
      </c>
      <c r="KS164" s="548">
        <f t="shared" si="495"/>
        <v>5.3440548239884711</v>
      </c>
      <c r="KT164" s="473">
        <f t="shared" si="112"/>
        <v>238.28695973331548</v>
      </c>
      <c r="KU164" s="663">
        <f t="shared" si="496"/>
        <v>6.7086494168052857</v>
      </c>
    </row>
    <row r="165" spans="1:308" s="26" customFormat="1" ht="15" outlineLevel="1">
      <c r="A165" s="561">
        <f t="shared" si="391"/>
        <v>1065</v>
      </c>
      <c r="B165" s="561">
        <f t="shared" si="104"/>
        <v>65</v>
      </c>
      <c r="C165" s="561">
        <f t="shared" si="105"/>
        <v>1</v>
      </c>
      <c r="D165" s="561" t="str">
        <f t="shared" si="294"/>
        <v xml:space="preserve">500 CC, 500 Combo, -360 Lease, </v>
      </c>
      <c r="E165" s="475">
        <f>INDEX(Input!$1:$1048576,E$93,$C165*2+MIN($B165,2)+5)
+INDEX(Scenarios!E$121:E$200,MATCH($B165,Scenarios!$B$121:$B$200,0))</f>
        <v>1729</v>
      </c>
      <c r="F165" s="475">
        <f>INDEX(Input!$1:$1048576,F$93,$C165*2+MIN($B165,2)+5)
+INDEX(Scenarios!F$121:F$200,MATCH($B165,Scenarios!$B$121:$B$200,0))</f>
        <v>0</v>
      </c>
      <c r="G165" s="475">
        <f>INDEX(Input!$1:$1048576,G$93,$C165*2+MIN($B165,2)+5)
+INDEX(Scenarios!G$121:G$200,MATCH($B165,Scenarios!$B$121:$B$200,0))</f>
        <v>0</v>
      </c>
      <c r="H165" s="475">
        <f>INDEX(Input!$1:$1048576,H$93,$C165*2+MIN($B165,2)+5)
+INDEX(Scenarios!H$121:H$200,MATCH($B165,Scenarios!$B$121:$B$200,0))</f>
        <v>0</v>
      </c>
      <c r="I165" s="476">
        <f>INDEX(Input!$1:$1048576,I$93,$C165*2+MIN($B165,2)+5)</f>
        <v>0.7</v>
      </c>
      <c r="J165" s="476" t="str">
        <f>INDEX(Input!$1:$1048576,J$93,$C165*2+MIN($B165,2)+5)</f>
        <v>Market</v>
      </c>
      <c r="K165" s="476" t="str">
        <f>INDEX(Input!$1:$1048576,K$93,$C165*2+MIN($B165,2)+5)</f>
        <v>Market</v>
      </c>
      <c r="L165" s="476" t="str">
        <f>INDEX(Input!$1:$1048576,L$93,$C165*2+MIN($B165,2)+5)</f>
        <v>Market</v>
      </c>
      <c r="M165" s="476" t="str">
        <f>INDEX(Input!$1:$1048576,M$93,$C165*2+MIN($B165,2)+5)</f>
        <v>Market</v>
      </c>
      <c r="N165" s="476" t="str">
        <f>INDEX(Input!$1:$1048576,N$93,$C165*2+MIN($B165,2)+5)</f>
        <v>Market</v>
      </c>
      <c r="O165" s="476" t="str">
        <f>INDEX(Input!$1:$1048576,O$93,$C165*2+MIN($B165,2)+5)</f>
        <v>Market</v>
      </c>
      <c r="P165" s="476" t="str">
        <f>INDEX(Input!$1:$1048576,P$93,$C165*2+MIN($B165,2)+5)</f>
        <v>N</v>
      </c>
      <c r="Q165" s="477">
        <f>INDEX(Input!$1:$1048576,Q$93,$C165*2+MIN($B165,2)+5)
+INDEX(Scenarios!Q$121:Q$200,MATCH($B165,Scenarios!$B$121:$B$200,0))</f>
        <v>500</v>
      </c>
      <c r="R165" s="478">
        <f>IFERROR(MAX(0,INDEX(Input!$1:$1048576,R$93,$C165*2+MIN($B165,2)+5)
+INDEX(Scenarios!R$121:R$200,MATCH($B165,Scenarios!$B$121:$B$200,0)),),"Market")</f>
        <v>0</v>
      </c>
      <c r="S165" s="478">
        <f>IFERROR(MAX(0,INDEX(Input!$1:$1048576,S$93,$C165*2+MIN($B165,2)+5)
+INDEX(Scenarios!S$121:S$200,MATCH($B165,Scenarios!$B$121:$B$200,0)),),"Market")</f>
        <v>0</v>
      </c>
      <c r="T165" s="478">
        <f>IFERROR(MAX(0,INDEX(Input!$1:$1048576,T$93,$C165*2+MIN($B165,2)+5)
+INDEX(Scenarios!T$121:T$200,MATCH($B165,Scenarios!$B$121:$B$200,0)),),"Market")</f>
        <v>0</v>
      </c>
      <c r="U165" s="478">
        <f>IFERROR(MAX(0,INDEX(Input!$1:$1048576,U$93,$C165*2+MIN($B165,2)+5)
+INDEX(Scenarios!U$121:U$200,MATCH($B165,Scenarios!$B$121:$B$200,0)),),"Market")</f>
        <v>0</v>
      </c>
      <c r="V165" s="478">
        <f>IFERROR(MAX(0,INDEX(Input!$1:$1048576,V$93,$C165*2+MIN($B165,2)+5)
+INDEX(Scenarios!V$121:V$200,MATCH($B165,Scenarios!$B$121:$B$200,0)),),"Market")</f>
        <v>1.9E-2</v>
      </c>
      <c r="W165" s="885">
        <f>IFERROR(MAX(0,INDEX(Input!$1:$1048576,W$93,$C165*2+MIN($B165,2)+5)-0%,),"Market")</f>
        <v>3.9E-2</v>
      </c>
      <c r="X165" s="476" t="str">
        <f>INDEX(Input!$1:$1048576,X$93,$C165*2+MIN($B165,2)+5)</f>
        <v>Y</v>
      </c>
      <c r="Y165" s="475">
        <f>INDEX(Input!$1:$1048576,Y$93,$C165*2+MIN($B165,2)+5)
++INDEX(Scenarios!Y$121:Y$200,MATCH($B165,Scenarios!$B$121:$B$200,0))</f>
        <v>1582</v>
      </c>
      <c r="Z165" s="477">
        <f>INDEX(Input!$1:$1048576,Z$93,$C165*2+MIN($B165,2)+5)
+INDEX(Scenarios!Z$121:Z$200,MATCH($B165,Scenarios!$B$121:$B$200,0))</f>
        <v>0</v>
      </c>
      <c r="AA165" s="475">
        <f>INDEX(Input!$1:$1048576,AA$93,$C165*2+MIN($B165,2)+5)
+INDEX(Scenarios!AA$121:AA$200,MATCH($B165,Scenarios!$B$121:$B$200,0))</f>
        <v>0</v>
      </c>
      <c r="AB165" s="476">
        <f>INDEX(Input!$1:$1048576,AB$93,$C165*2+MIN($B165,2)+5)</f>
        <v>0.27</v>
      </c>
      <c r="AC165" s="475">
        <f>INDEX(Input!$1:$1048576,AC$93,$C165*2+MIN($B165,2)+5)
+INDEX(Scenarios!AC$121:AC$200,MATCH($B165,Scenarios!$B$121:$B$200,0))</f>
        <v>0</v>
      </c>
      <c r="AD165" s="476">
        <f>INDEX(Input!$1:$1048576,AD$93,$C165*2+MIN($B165,2)+5)</f>
        <v>0.27</v>
      </c>
      <c r="AE165" s="475">
        <f>INDEX(Input!$1:$1048576,AE$93,$C165*2+MIN($B165,2)+5)
+INDEX(Scenarios!AE$121:AE$200,MATCH($B165,Scenarios!$B$121:$B$200,0))</f>
        <v>0</v>
      </c>
      <c r="AF165" s="476">
        <f>INDEX(Input!$1:$1048576,AF$93,$C165*2+MIN($B165,2)+5)</f>
        <v>0.38</v>
      </c>
      <c r="AG165" s="475">
        <f>INDEX(Input!$1:$1048576,AG$93,$C165*2+MIN($B165,2)+5)
+INDEX(Scenarios!AG$121:AG$200,MATCH($B165,Scenarios!$B$121:$B$200,0))</f>
        <v>0</v>
      </c>
      <c r="AH165" s="476">
        <f>INDEX(Input!$1:$1048576,AH$93,$C165*2+MIN($B165,2)+5)</f>
        <v>0</v>
      </c>
      <c r="AI165" s="475">
        <f>INDEX(Input!$1:$1048576,AI$93,$C165*2+MIN($B165,2)+5)
+INDEX(Scenarios!AI$121:AI$200,MATCH($B165,Scenarios!$B$121:$B$200,0))</f>
        <v>0</v>
      </c>
      <c r="AJ165" s="476">
        <f>INDEX(Input!$1:$1048576,AJ$93,$C165*2+MIN($B165,2)+5)</f>
        <v>0.27</v>
      </c>
      <c r="AK165" s="150">
        <f>ROUND(INDEX(Input!$1:$1048576,AK$93,$C164*2+MIN($B165,1)+5)+(Y165-VLOOKUP($C165*1000+1,$A:$HH,Y$92,FALSE)),0)</f>
        <v>3397</v>
      </c>
      <c r="AL165" s="150">
        <f>ROUND(INDEX(Input!$1:$1048576,AL$93,$C164*2+MIN($B165,1)+5)-(Y165-VLOOKUP($C165*1000+1,$A:$HH,Y$92,FALSE))/36,0)</f>
        <v>4123</v>
      </c>
      <c r="AM165" s="32" t="str">
        <f t="shared" si="392"/>
        <v>std/std/std/std</v>
      </c>
      <c r="AN165" s="32" t="str">
        <f t="shared" si="393"/>
        <v>$500 + 0/0/0/1.9/3.9</v>
      </c>
      <c r="AO165" s="32" t="str">
        <f t="shared" si="394"/>
        <v>0/0/0/1.9/3.9</v>
      </c>
      <c r="AP165" s="32" t="str">
        <f t="shared" si="73"/>
        <v>0/0.9/1.9/3.9</v>
      </c>
      <c r="AQ165" s="536">
        <f t="shared" ref="AQ165:AQ228" si="497">SUM(IE165,G165*IF165,H165*IG165,AC165*AD165,AE165*AF165,AI165)</f>
        <v>0.33688439882652343</v>
      </c>
      <c r="AR165" s="32"/>
      <c r="AS165" s="302"/>
      <c r="AT165" s="3">
        <f t="shared" si="106"/>
        <v>65</v>
      </c>
      <c r="AU165" s="41" t="s">
        <v>121</v>
      </c>
      <c r="AV165" s="41" t="s">
        <v>116</v>
      </c>
      <c r="AW165" s="41" t="str">
        <f>INDEX(Input!$1:$1048576,AW$93,$C165*2+6)</f>
        <v>Kia</v>
      </c>
      <c r="AX165" s="41" t="str">
        <f>INDEX(Input!$1:$1048576,AX$93,$C165*2+6)</f>
        <v>Kia-LR - L1</v>
      </c>
      <c r="AY165" s="41" t="str">
        <f>IF(LEN(D165)=0,"",INDEX(Input!$1:$1048576,AY$93,$C165*2+6))</f>
        <v>Compact SUV (52)</v>
      </c>
      <c r="AZ165" s="41" t="str">
        <f>INDEX(Input!$1:$1048576,AZ$93,$C165*2+6)</f>
        <v>Kia Soul</v>
      </c>
      <c r="BA165" s="3">
        <f>INDEX(Input!$1:$1048576,BA$93,$C165*2+6)</f>
        <v>2020</v>
      </c>
      <c r="BB165" s="128">
        <f>INDEX(Input!$1:$1048576,BB$93,$C165*2+6)</f>
        <v>1</v>
      </c>
      <c r="BC165" s="128">
        <f>INDEX(Input!$1:$1048576,BC$93,$C165*2+6)</f>
        <v>0.7</v>
      </c>
      <c r="BD165" s="1">
        <f>INDEX(Input!$1:$1048576,BD$93,$C165*2+6)</f>
        <v>4.4999999999999998E-2</v>
      </c>
      <c r="BE165" s="1">
        <f>INDEX(Input!$1:$1048576,BE$93,$C165*2+6)</f>
        <v>4.4999999999999998E-2</v>
      </c>
      <c r="BF165" s="1">
        <f>INDEX(Input!$1:$1048576,BF$93,$C165*2+6)</f>
        <v>0.05</v>
      </c>
      <c r="BG165" s="1">
        <f>INDEX(Input!$1:$1048576,BG$93,$C165*2+6)</f>
        <v>5.45E-2</v>
      </c>
      <c r="BH165" s="1">
        <f>INDEX(Input!$1:$1048576,BH$93,$C165*2+6)</f>
        <v>5.45E-2</v>
      </c>
      <c r="BI165" s="1">
        <f>INDEX(Input!$1:$1048576,BI$93,$C165*2+6)</f>
        <v>0.05</v>
      </c>
      <c r="BJ165" s="1">
        <f>INDEX(Input!$1:$1048576,BJ$93,$C165*2+6)</f>
        <v>0.05</v>
      </c>
      <c r="BK165" s="1">
        <f>INDEX(Input!$1:$1048576,BK$93,$C165*2+6)</f>
        <v>0.05</v>
      </c>
      <c r="BL165" s="1">
        <f>INDEX(Input!$1:$1048576,BL$93,$C165*2+6)</f>
        <v>5.5E-2</v>
      </c>
      <c r="BM165" s="1">
        <f>INDEX(Input!$1:$1048576,BM$93,$C165*2+6)</f>
        <v>0.06</v>
      </c>
      <c r="BN165" s="1">
        <f>INDEX(Input!$1:$1048576,BN$93,$C165*2+6)</f>
        <v>4.4999999999999998E-2</v>
      </c>
      <c r="BO165" s="1">
        <f>INDEX(Input!$1:$1048576,BO$93,$C165*2+6)</f>
        <v>4.4999999999999998E-2</v>
      </c>
      <c r="BP165" s="1">
        <f>INDEX(Input!$1:$1048576,BP$93,$C165*2+6)</f>
        <v>0.05</v>
      </c>
      <c r="BQ165" s="1">
        <f>INDEX(Input!$1:$1048576,BQ$93,$C165*2+6)</f>
        <v>5.45E-2</v>
      </c>
      <c r="BR165" s="1">
        <f>INDEX(Input!$1:$1048576,BR$93,$C165*2+6)</f>
        <v>5.45E-2</v>
      </c>
      <c r="BS165" s="1">
        <f>INDEX(Input!$1:$1048576,BS$93,$C165*2+6)</f>
        <v>0.05</v>
      </c>
      <c r="BT165" s="1">
        <f>INDEX(Input!$1:$1048576,BT$93,$C165*2+6)</f>
        <v>0.05</v>
      </c>
      <c r="BU165" s="1">
        <f>INDEX(Input!$1:$1048576,BU$93,$C165*2+6)</f>
        <v>0.05</v>
      </c>
      <c r="BV165" s="1">
        <f>INDEX(Input!$1:$1048576,BV$93,$C165*2+6)</f>
        <v>5.5E-2</v>
      </c>
      <c r="BW165" s="1">
        <f>INDEX(Input!$1:$1048576,BW$93,$C165*2+6)</f>
        <v>0.06</v>
      </c>
      <c r="BX165" s="127">
        <f>INDEX(Input!$1:$1048576,BX$93,$C165*2+6)</f>
        <v>19985</v>
      </c>
      <c r="BY165" s="20">
        <f>INDEX(Input!$1:$1048576,BY$93,$C165*2+6)</f>
        <v>0.1</v>
      </c>
      <c r="BZ165" s="20">
        <f>INDEX(Input!$1:$1048576,BZ$93,$C165*2+6)</f>
        <v>0.1</v>
      </c>
      <c r="CA165" s="20">
        <f>INDEX(Input!$1:$1048576,CA$93,$C165*2+6)</f>
        <v>0.1</v>
      </c>
      <c r="CB165" s="20">
        <f>INDEX(Input!$1:$1048576,CB$93,$C165*2+6)</f>
        <v>0.1</v>
      </c>
      <c r="CC165" s="20">
        <f>INDEX(Input!$1:$1048576,CC$93,$C165*2+6)</f>
        <v>0.1</v>
      </c>
      <c r="CD165" s="384">
        <f>INDEX(Input!$1:$1048576,CD$93,$C165*2+6)</f>
        <v>0.1</v>
      </c>
      <c r="CE165" s="384">
        <f>INDEX(Input!$1:$1048576,CE$93,$C165*2+6)</f>
        <v>0.1</v>
      </c>
      <c r="CF165" s="384">
        <f>INDEX(Input!$1:$1048576,CF$93,$C165*2+6)</f>
        <v>0.1</v>
      </c>
      <c r="CG165" s="384">
        <f>INDEX(Input!$1:$1048576,CG$93,$C165*2+6)</f>
        <v>0.1</v>
      </c>
      <c r="CH165" s="384">
        <f>INDEX(Input!$1:$1048576,CH$93,$C165*2+6)</f>
        <v>0.1</v>
      </c>
      <c r="CI165" s="304">
        <f t="shared" si="74"/>
        <v>1729</v>
      </c>
      <c r="CJ165" s="16" t="str">
        <f>INDEX(Input!$1:$1048576,CJ$93,$C165*2+6)</f>
        <v>N</v>
      </c>
      <c r="CK165" s="1" t="str">
        <f t="shared" si="75"/>
        <v>Market</v>
      </c>
      <c r="CL165" s="1" t="str">
        <f t="shared" si="76"/>
        <v>Market</v>
      </c>
      <c r="CM165" s="1" t="str">
        <f t="shared" si="77"/>
        <v>Market</v>
      </c>
      <c r="CN165" s="1" t="str">
        <f t="shared" si="78"/>
        <v>Market</v>
      </c>
      <c r="CO165" s="1" t="str">
        <f t="shared" si="79"/>
        <v>Market</v>
      </c>
      <c r="CP165" s="304">
        <f t="shared" si="80"/>
        <v>500</v>
      </c>
      <c r="CQ165" s="1">
        <f t="shared" si="81"/>
        <v>0</v>
      </c>
      <c r="CR165" s="1">
        <f t="shared" si="82"/>
        <v>0</v>
      </c>
      <c r="CS165" s="1">
        <f t="shared" si="83"/>
        <v>0</v>
      </c>
      <c r="CT165" s="1">
        <f t="shared" si="84"/>
        <v>1.9E-2</v>
      </c>
      <c r="CU165" s="1">
        <f t="shared" si="85"/>
        <v>3.9E-2</v>
      </c>
      <c r="CV165" s="304">
        <f t="shared" si="86"/>
        <v>1582</v>
      </c>
      <c r="CW165" s="20" t="s">
        <v>122</v>
      </c>
      <c r="CX165" s="20" t="s">
        <v>122</v>
      </c>
      <c r="CY165" s="20" t="s">
        <v>122</v>
      </c>
      <c r="CZ165" s="20" t="s">
        <v>122</v>
      </c>
      <c r="DA165" s="20" t="s">
        <v>122</v>
      </c>
      <c r="DB165" s="503">
        <f t="shared" si="87"/>
        <v>0</v>
      </c>
      <c r="DC165" s="127">
        <v>0</v>
      </c>
      <c r="DD165" s="127">
        <v>0</v>
      </c>
      <c r="DE165" s="127">
        <v>0</v>
      </c>
      <c r="DF165" s="127">
        <v>0</v>
      </c>
      <c r="DG165" s="127">
        <v>0</v>
      </c>
      <c r="DH165" s="127">
        <v>0</v>
      </c>
      <c r="DI165" s="127">
        <v>0</v>
      </c>
      <c r="DJ165" s="127">
        <v>0</v>
      </c>
      <c r="DK165" s="127">
        <v>0</v>
      </c>
      <c r="DL165" s="127">
        <v>0</v>
      </c>
      <c r="DM165" s="304">
        <f>INDEX(Input!$1:$1048576,DM$93,$C165*2+6)</f>
        <v>21036.84210526316</v>
      </c>
      <c r="DN165" s="20">
        <v>0</v>
      </c>
      <c r="DO165" s="20">
        <v>0</v>
      </c>
      <c r="DP165" s="20">
        <v>0</v>
      </c>
      <c r="DQ165" s="20">
        <v>0</v>
      </c>
      <c r="DR165" s="20">
        <v>0</v>
      </c>
      <c r="DS165" s="20">
        <f>INDEX(Input!$1:$1048576,DS$93,$C165*2+6)</f>
        <v>0.6</v>
      </c>
      <c r="DT165" s="20">
        <f>INDEX(Input!$1:$1048576,DT$93,$C165*2+6)</f>
        <v>0.55000000000000004</v>
      </c>
      <c r="DU165" s="20">
        <f>INDEX(Input!$1:$1048576,DU$93,$C165*2+6)</f>
        <v>0.52</v>
      </c>
      <c r="DV165" s="20">
        <f>INDEX(Input!$1:$1048576,DV$93,$C165*2+6)</f>
        <v>0.5</v>
      </c>
      <c r="DW165" s="20">
        <f>INDEX(Input!$1:$1048576,DW$93,$C165*2+6)</f>
        <v>0.45</v>
      </c>
      <c r="DX165" s="20"/>
      <c r="DY165" s="7">
        <v>0.12059936070477044</v>
      </c>
      <c r="DZ165" s="7">
        <v>0</v>
      </c>
      <c r="EA165" s="7">
        <v>0.54265980143834625</v>
      </c>
      <c r="EB165" s="7">
        <v>0</v>
      </c>
      <c r="EC165" s="7">
        <v>0</v>
      </c>
      <c r="ED165" s="7">
        <v>0</v>
      </c>
      <c r="EE165" s="7">
        <v>0</v>
      </c>
      <c r="EF165" s="7">
        <v>0</v>
      </c>
      <c r="EG165" s="7">
        <v>0</v>
      </c>
      <c r="EH165" s="7">
        <v>1.8402200445098653E-2</v>
      </c>
      <c r="EI165" s="7">
        <v>5.3739557110571878E-2</v>
      </c>
      <c r="EJ165" s="7">
        <v>0.33946684904131991</v>
      </c>
      <c r="EK165" s="7">
        <v>0.48247712639938101</v>
      </c>
      <c r="EL165" s="7">
        <v>0.1059142670036287</v>
      </c>
      <c r="EM165" s="7">
        <v>5.7107103015047969E-2</v>
      </c>
      <c r="EN165" s="7">
        <v>4.9379578909208764E-2</v>
      </c>
      <c r="EO165" s="7">
        <v>0.75610016993184981</v>
      </c>
      <c r="EP165" s="7">
        <v>8.5125034424855861E-2</v>
      </c>
      <c r="EQ165" s="7">
        <v>6.5024794318701645E-2</v>
      </c>
      <c r="ER165" s="7">
        <v>4.4370422415383873E-2</v>
      </c>
      <c r="ES165" s="7">
        <v>0.27963373484183535</v>
      </c>
      <c r="ET165" s="7">
        <v>0.3367408378568833</v>
      </c>
      <c r="EU165" s="6">
        <v>1770</v>
      </c>
      <c r="EV165" s="6">
        <v>0</v>
      </c>
      <c r="EW165" s="6">
        <v>1770</v>
      </c>
      <c r="EX165" s="6">
        <v>0</v>
      </c>
      <c r="EY165" s="6">
        <v>2539.7221397149679</v>
      </c>
      <c r="EZ165" s="6">
        <v>1725</v>
      </c>
      <c r="FA165" s="6">
        <v>0</v>
      </c>
      <c r="FB165" s="6">
        <v>0</v>
      </c>
      <c r="FC165" s="6">
        <v>0</v>
      </c>
      <c r="FD165" s="6">
        <v>0</v>
      </c>
      <c r="FE165" s="6">
        <v>0</v>
      </c>
      <c r="FF165" s="6">
        <v>0</v>
      </c>
      <c r="FG165" s="6">
        <v>0</v>
      </c>
      <c r="FH165" s="6">
        <v>1171.281137969562</v>
      </c>
      <c r="FI165" s="6">
        <v>1553.9796069512399</v>
      </c>
      <c r="FJ165" s="6">
        <v>2101.2110117447405</v>
      </c>
      <c r="FK165" s="6">
        <v>1772.7139978623225</v>
      </c>
      <c r="FL165" s="6">
        <v>907.07682140966313</v>
      </c>
      <c r="FM165" s="6">
        <v>1769.7221397149681</v>
      </c>
      <c r="FN165" s="6">
        <v>0</v>
      </c>
      <c r="FO165" s="6">
        <v>0</v>
      </c>
      <c r="FP165" s="6">
        <v>0</v>
      </c>
      <c r="FQ165" s="6">
        <v>0</v>
      </c>
      <c r="FR165" s="6">
        <v>0</v>
      </c>
      <c r="FS165" s="6">
        <v>0</v>
      </c>
      <c r="FT165" s="7">
        <v>0.66325916214311664</v>
      </c>
      <c r="FU165" s="7">
        <v>5.7107103015047969E-2</v>
      </c>
      <c r="FV165" s="7">
        <v>0.27963373484183535</v>
      </c>
      <c r="FW165" s="6">
        <v>1770.0000000000002</v>
      </c>
      <c r="FX165" s="6">
        <v>2539.7221397149679</v>
      </c>
      <c r="FY165" s="6">
        <v>1725</v>
      </c>
      <c r="FZ165" s="6">
        <v>1952.7147957719815</v>
      </c>
      <c r="GA165" s="6">
        <v>1801.3730834577832</v>
      </c>
      <c r="GB165" s="6">
        <v>18183.626916542216</v>
      </c>
      <c r="GC165" s="7">
        <v>1.0519917368675835E-2</v>
      </c>
      <c r="GD165" s="7">
        <v>1.0533108118657843E-2</v>
      </c>
      <c r="GE165" s="7"/>
      <c r="GF165" s="7"/>
      <c r="GG165" s="7">
        <v>1.2538834212980959E-3</v>
      </c>
      <c r="GH165" s="42">
        <v>-0.16557801409447595</v>
      </c>
      <c r="GI165" s="6">
        <v>-118897.01860396098</v>
      </c>
      <c r="GJ165" s="14">
        <v>0.50394797582841722</v>
      </c>
      <c r="GK165" s="14">
        <v>0.50887573065309755</v>
      </c>
      <c r="GL165" s="14">
        <v>0.49605202417158284</v>
      </c>
      <c r="GM165" s="14">
        <v>0.49112426934690234</v>
      </c>
      <c r="GO165" s="5">
        <v>343.14810671672558</v>
      </c>
      <c r="GP165" s="5">
        <v>309.37988338875158</v>
      </c>
      <c r="GQ165" s="5">
        <v>535.04305713031317</v>
      </c>
      <c r="GR165" s="5">
        <v>410.15490233172511</v>
      </c>
      <c r="GS165" s="5">
        <v>339.42744393800166</v>
      </c>
      <c r="GT165" s="5">
        <v>293.4407446948278</v>
      </c>
      <c r="GU165" s="5">
        <v>258.04012322764959</v>
      </c>
      <c r="GV165" s="39" t="s">
        <v>392</v>
      </c>
      <c r="GW165" s="5">
        <v>478.23611111111109</v>
      </c>
      <c r="GX165" s="5">
        <v>358.67708333333331</v>
      </c>
      <c r="GY165" s="5">
        <v>286.94166666666666</v>
      </c>
      <c r="GZ165" s="5">
        <v>253.19574071601335</v>
      </c>
      <c r="HA165" s="5">
        <v>234.53733318419435</v>
      </c>
      <c r="HB165" s="39">
        <v>272.48493094920889</v>
      </c>
      <c r="HC165" s="5">
        <v>211.81562499999998</v>
      </c>
      <c r="HD165" s="5">
        <v>188.29497441520465</v>
      </c>
      <c r="HE165" s="5">
        <v>193.13834767206475</v>
      </c>
      <c r="HF165" s="5">
        <v>181.01813048245612</v>
      </c>
      <c r="HG165" s="5">
        <v>177.56888157894736</v>
      </c>
      <c r="HH165" s="39">
        <v>188.91961000194749</v>
      </c>
      <c r="HI165" s="16"/>
      <c r="HJ165" s="19" t="str">
        <f t="shared" si="390"/>
        <v>On</v>
      </c>
      <c r="HK165" s="1" t="str">
        <f t="shared" si="108"/>
        <v>On</v>
      </c>
      <c r="HL165" s="16"/>
      <c r="HM165" s="639">
        <f t="shared" si="446"/>
        <v>5.7455619280273196E-3</v>
      </c>
      <c r="HN165" s="639">
        <f t="shared" si="447"/>
        <v>5.0031960498701745E-4</v>
      </c>
      <c r="HO165" s="639">
        <f t="shared" si="448"/>
        <v>3.9819433988714835E-3</v>
      </c>
      <c r="HP165" s="644">
        <f>(FT165*$GD165-HM165)/$JF165*INDEX(Input!$1:$1048576,$JG$93,$C165*2+6)</f>
        <v>54.099074966309217</v>
      </c>
      <c r="HQ165" s="644">
        <f>(FU165*$GD165-HN165)/$JF165*INDEX(Input!$1:$1048576,$JG$93,$C165*2+6)</f>
        <v>4.4127931398058617</v>
      </c>
      <c r="HR165" s="644">
        <f>(FV165*$GD165-HO165)/$JF165*INDEX(Input!$1:$1048576,$JG$93,$C165*2+6)</f>
        <v>-45.199526312323997</v>
      </c>
      <c r="HS165" s="644">
        <f t="shared" si="449"/>
        <v>-9.9143218297356146</v>
      </c>
      <c r="HT165" s="644">
        <f t="shared" si="450"/>
        <v>8.2360897904785499</v>
      </c>
      <c r="HU165" s="644">
        <f t="shared" si="451"/>
        <v>4.4410454916480713E-2</v>
      </c>
      <c r="HV165" s="648">
        <f t="shared" si="452"/>
        <v>0</v>
      </c>
      <c r="HW165" s="648">
        <f t="shared" si="453"/>
        <v>0</v>
      </c>
      <c r="HX165" s="648">
        <f t="shared" si="454"/>
        <v>0</v>
      </c>
      <c r="HY165" s="644">
        <f>INDEX(Input!$1:$1048576,HY$93,$C165*2+6)*INDEX(Input!$1:$1048576,$JG$93,$C165*2+6)</f>
        <v>110.00000000000001</v>
      </c>
      <c r="HZ165" s="644">
        <f>INDEX(Input!$1:$1048576,HZ$93,$C165*2+6)*INDEX(Input!$1:$1048576,$JG$93,$C165*2+6)</f>
        <v>157</v>
      </c>
      <c r="IA165" s="644">
        <f>INDEX(Input!$1:$1048576,IA$93,$C165*2+6)*INDEX(Input!$1:$1048576,$JG$93,$C165*2+6)</f>
        <v>179</v>
      </c>
      <c r="IB165" s="644">
        <f t="shared" si="455"/>
        <v>154.18475313657359</v>
      </c>
      <c r="IC165" s="644">
        <f t="shared" si="456"/>
        <v>169.64888293028443</v>
      </c>
      <c r="ID165" s="644">
        <f>IF(AND(INDEX(Input!$1:$1048576,IA$93,$C165*2+7)="TOS",Y165&lt;=INDEX(Y:Y,MATCH(C165*1000+2,A:A))),0,1)*MAX(IA165+HR165+HU165+HX165,0%)</f>
        <v>133.84488414259249</v>
      </c>
      <c r="IE165" s="128">
        <f t="shared" si="457"/>
        <v>0.33688439882652343</v>
      </c>
      <c r="IF165" s="128">
        <f t="shared" si="458"/>
        <v>0.37067259099825539</v>
      </c>
      <c r="IG165" s="128">
        <f t="shared" si="459"/>
        <v>0.29244301017522112</v>
      </c>
      <c r="IH165" s="21"/>
      <c r="II165" s="19">
        <f t="shared" si="460"/>
        <v>1240</v>
      </c>
      <c r="IJ165" s="19">
        <f t="shared" si="461"/>
        <v>2009.7221397149679</v>
      </c>
      <c r="IK165" s="19">
        <f t="shared" si="462"/>
        <v>2070</v>
      </c>
      <c r="IL165" s="19">
        <f t="shared" si="463"/>
        <v>530.00000000000023</v>
      </c>
      <c r="IM165" s="19">
        <f t="shared" si="464"/>
        <v>530</v>
      </c>
      <c r="IN165" s="19">
        <f t="shared" si="465"/>
        <v>-345</v>
      </c>
      <c r="IO165" s="39">
        <f t="shared" si="466"/>
        <v>0</v>
      </c>
      <c r="IP165" s="39">
        <f t="shared" si="467"/>
        <v>0</v>
      </c>
      <c r="IQ165" s="39">
        <f t="shared" si="468"/>
        <v>0</v>
      </c>
      <c r="IR165" s="39">
        <v>0</v>
      </c>
      <c r="IS165" s="39">
        <v>0</v>
      </c>
      <c r="IT165" s="39">
        <v>0</v>
      </c>
      <c r="IU165" s="39">
        <v>0</v>
      </c>
      <c r="IV165" s="39">
        <v>0</v>
      </c>
      <c r="IW165" s="39">
        <v>0</v>
      </c>
      <c r="IX165" s="39">
        <f>INDEX(Input!$1:$1048576,IX$93,$C165*2+6)+INDEX(Input!$1:$1048576,IX$94,$C165*2+6)</f>
        <v>1270</v>
      </c>
      <c r="IY165" s="39">
        <f>INDEX(Input!$1:$1048576,IY$93,$C165*2+6)+INDEX(Input!$1:$1048576,IY$94,$C165*2+6)</f>
        <v>2130.0624533823611</v>
      </c>
      <c r="IZ165" s="39">
        <f>INDEX(Input!$1:$1048576,IZ$93,$C165*2+6)+INDEX(Input!$1:$1048576,IZ$94,$C165*2+6)</f>
        <v>4373.7164157747848</v>
      </c>
      <c r="JA165" s="19">
        <f t="shared" si="469"/>
        <v>1800.0000000000002</v>
      </c>
      <c r="JB165" s="19">
        <f t="shared" si="470"/>
        <v>2660.0624533823611</v>
      </c>
      <c r="JC165" s="19">
        <f t="shared" si="471"/>
        <v>4028.7164157747848</v>
      </c>
      <c r="JD165" s="19">
        <f t="shared" si="472"/>
        <v>2770.5741154716634</v>
      </c>
      <c r="JE165" s="21"/>
      <c r="JF165" s="1">
        <f t="shared" si="473"/>
        <v>1.022782493188582E-2</v>
      </c>
      <c r="JG165" s="15">
        <f>INDEX(Input!$1:$1048576,JG$93,$C165*2+6)/(1+VLOOKUP(C165*1000+INDEX(Input!$1:$1048576,JG$93+1,$C165*2+6),$A:$KK,$JK$92,FALSE))</f>
        <v>446</v>
      </c>
      <c r="JH165" s="1">
        <f t="shared" si="474"/>
        <v>2.9848299986078665E-2</v>
      </c>
      <c r="JI165" s="1">
        <f t="shared" si="475"/>
        <v>-3.6632770949340445E-3</v>
      </c>
      <c r="JJ165" s="1">
        <f t="shared" si="476"/>
        <v>0</v>
      </c>
      <c r="JK165" s="1">
        <f t="shared" si="477"/>
        <v>2.6185022891144619E-2</v>
      </c>
      <c r="JL165" s="15">
        <f t="shared" si="478"/>
        <v>11.6785202094505</v>
      </c>
      <c r="JM165" s="15">
        <f t="shared" si="479"/>
        <v>457.67852020945048</v>
      </c>
      <c r="JN165" s="21"/>
      <c r="JO165" s="19">
        <f>INDEX(Input!$1:$1048576,JO$93,$C165*2+6)</f>
        <v>5995.5</v>
      </c>
      <c r="JP165" s="19">
        <f>INDEX(Input!$1:$1048576,JP$93,$C165*2+6)</f>
        <v>2818.4193802796353</v>
      </c>
      <c r="JQ165" s="39">
        <f t="shared" si="480"/>
        <v>3224.9258845283366</v>
      </c>
      <c r="JR165" s="39">
        <f t="shared" si="481"/>
        <v>-47.845264807971944</v>
      </c>
      <c r="JS165" s="39">
        <f t="shared" si="482"/>
        <v>1.2680322612996782</v>
      </c>
      <c r="JT165" s="39">
        <f t="shared" si="483"/>
        <v>1.1017217694960767E-2</v>
      </c>
      <c r="JU165" s="385">
        <f>(JQ165*JM165-INDEX(Input!$1:$1048576,Input!A$18,$C165*2+6)*JL165*INDEX(Input!$1:$1048576,Input!A$19,$C165*2+6))/1000000</f>
        <v>1.4759793066160822</v>
      </c>
      <c r="JV165" s="39">
        <f t="shared" si="484"/>
        <v>5.9001350220799553E-2</v>
      </c>
      <c r="JW165" s="1">
        <f t="shared" si="485"/>
        <v>4.1638862449840705E-2</v>
      </c>
      <c r="JX165" s="19">
        <f t="shared" si="486"/>
        <v>943.3744598947909</v>
      </c>
      <c r="JZ165" s="341"/>
      <c r="KA165" s="342"/>
      <c r="KB165" s="469">
        <f t="shared" si="110"/>
        <v>2.9286733661474216</v>
      </c>
      <c r="KI165" s="473">
        <f t="shared" si="487"/>
        <v>44.184753136573576</v>
      </c>
      <c r="KJ165" s="473">
        <f t="shared" si="488"/>
        <v>12.648882930284401</v>
      </c>
      <c r="KK165" s="473">
        <f t="shared" si="489"/>
        <v>-45.155115857407537</v>
      </c>
      <c r="KN165" s="544">
        <f t="shared" si="490"/>
        <v>1002</v>
      </c>
      <c r="KO165" s="541">
        <f t="shared" si="491"/>
        <v>2.1978665997078872E-2</v>
      </c>
      <c r="KP165" s="546">
        <f t="shared" si="492"/>
        <v>248.49901124930989</v>
      </c>
      <c r="KQ165" s="546">
        <f t="shared" si="493"/>
        <v>-68.742084546988281</v>
      </c>
      <c r="KR165" s="548">
        <f t="shared" si="494"/>
        <v>1.5164617985270259</v>
      </c>
      <c r="KS165" s="548">
        <f t="shared" si="495"/>
        <v>-5.4819294470729893</v>
      </c>
      <c r="KT165" s="473">
        <f t="shared" si="112"/>
        <v>238.28695973331548</v>
      </c>
      <c r="KU165" s="663">
        <f t="shared" si="496"/>
        <v>6.6413791078058528</v>
      </c>
    </row>
    <row r="166" spans="1:308" s="26" customFormat="1" ht="15" outlineLevel="1">
      <c r="A166" s="561">
        <f t="shared" si="391"/>
        <v>1066</v>
      </c>
      <c r="B166" s="561">
        <f t="shared" si="104"/>
        <v>66</v>
      </c>
      <c r="C166" s="561">
        <f t="shared" si="105"/>
        <v>1</v>
      </c>
      <c r="D166" s="561" t="str">
        <f t="shared" si="294"/>
        <v xml:space="preserve">1000 CC, 1000 Combo, -360 Lease, </v>
      </c>
      <c r="E166" s="475">
        <f>INDEX(Input!$1:$1048576,E$93,$C166*2+MIN($B166,2)+5)
+INDEX(Scenarios!E$121:E$200,MATCH($B166,Scenarios!$B$121:$B$200,0))</f>
        <v>2229</v>
      </c>
      <c r="F166" s="475">
        <f>INDEX(Input!$1:$1048576,F$93,$C166*2+MIN($B166,2)+5)
+INDEX(Scenarios!F$121:F$200,MATCH($B166,Scenarios!$B$121:$B$200,0))</f>
        <v>0</v>
      </c>
      <c r="G166" s="475">
        <f>INDEX(Input!$1:$1048576,G$93,$C166*2+MIN($B166,2)+5)
+INDEX(Scenarios!G$121:G$200,MATCH($B166,Scenarios!$B$121:$B$200,0))</f>
        <v>0</v>
      </c>
      <c r="H166" s="475">
        <f>INDEX(Input!$1:$1048576,H$93,$C166*2+MIN($B166,2)+5)
+INDEX(Scenarios!H$121:H$200,MATCH($B166,Scenarios!$B$121:$B$200,0))</f>
        <v>0</v>
      </c>
      <c r="I166" s="476">
        <f>INDEX(Input!$1:$1048576,I$93,$C166*2+MIN($B166,2)+5)</f>
        <v>0.7</v>
      </c>
      <c r="J166" s="476" t="str">
        <f>INDEX(Input!$1:$1048576,J$93,$C166*2+MIN($B166,2)+5)</f>
        <v>Market</v>
      </c>
      <c r="K166" s="476" t="str">
        <f>INDEX(Input!$1:$1048576,K$93,$C166*2+MIN($B166,2)+5)</f>
        <v>Market</v>
      </c>
      <c r="L166" s="476" t="str">
        <f>INDEX(Input!$1:$1048576,L$93,$C166*2+MIN($B166,2)+5)</f>
        <v>Market</v>
      </c>
      <c r="M166" s="476" t="str">
        <f>INDEX(Input!$1:$1048576,M$93,$C166*2+MIN($B166,2)+5)</f>
        <v>Market</v>
      </c>
      <c r="N166" s="476" t="str">
        <f>INDEX(Input!$1:$1048576,N$93,$C166*2+MIN($B166,2)+5)</f>
        <v>Market</v>
      </c>
      <c r="O166" s="476" t="str">
        <f>INDEX(Input!$1:$1048576,O$93,$C166*2+MIN($B166,2)+5)</f>
        <v>Market</v>
      </c>
      <c r="P166" s="476" t="str">
        <f>INDEX(Input!$1:$1048576,P$93,$C166*2+MIN($B166,2)+5)</f>
        <v>N</v>
      </c>
      <c r="Q166" s="477">
        <f>INDEX(Input!$1:$1048576,Q$93,$C166*2+MIN($B166,2)+5)
+INDEX(Scenarios!Q$121:Q$200,MATCH($B166,Scenarios!$B$121:$B$200,0))</f>
        <v>1000</v>
      </c>
      <c r="R166" s="478">
        <f>IFERROR(MAX(0,INDEX(Input!$1:$1048576,R$93,$C166*2+MIN($B166,2)+5)
+INDEX(Scenarios!R$121:R$200,MATCH($B166,Scenarios!$B$121:$B$200,0)),),"Market")</f>
        <v>0</v>
      </c>
      <c r="S166" s="478">
        <f>IFERROR(MAX(0,INDEX(Input!$1:$1048576,S$93,$C166*2+MIN($B166,2)+5)
+INDEX(Scenarios!S$121:S$200,MATCH($B166,Scenarios!$B$121:$B$200,0)),),"Market")</f>
        <v>0</v>
      </c>
      <c r="T166" s="478">
        <f>IFERROR(MAX(0,INDEX(Input!$1:$1048576,T$93,$C166*2+MIN($B166,2)+5)
+INDEX(Scenarios!T$121:T$200,MATCH($B166,Scenarios!$B$121:$B$200,0)),),"Market")</f>
        <v>0</v>
      </c>
      <c r="U166" s="478">
        <f>IFERROR(MAX(0,INDEX(Input!$1:$1048576,U$93,$C166*2+MIN($B166,2)+5)
+INDEX(Scenarios!U$121:U$200,MATCH($B166,Scenarios!$B$121:$B$200,0)),),"Market")</f>
        <v>0</v>
      </c>
      <c r="V166" s="478">
        <f>IFERROR(MAX(0,INDEX(Input!$1:$1048576,V$93,$C166*2+MIN($B166,2)+5)
+INDEX(Scenarios!V$121:V$200,MATCH($B166,Scenarios!$B$121:$B$200,0)),),"Market")</f>
        <v>1.9E-2</v>
      </c>
      <c r="W166" s="885">
        <f>IFERROR(MAX(0,INDEX(Input!$1:$1048576,W$93,$C166*2+MIN($B166,2)+5)-0%,),"Market")</f>
        <v>3.9E-2</v>
      </c>
      <c r="X166" s="476" t="str">
        <f>INDEX(Input!$1:$1048576,X$93,$C166*2+MIN($B166,2)+5)</f>
        <v>Y</v>
      </c>
      <c r="Y166" s="475">
        <f>INDEX(Input!$1:$1048576,Y$93,$C166*2+MIN($B166,2)+5)
++INDEX(Scenarios!Y$121:Y$200,MATCH($B166,Scenarios!$B$121:$B$200,0))</f>
        <v>1582</v>
      </c>
      <c r="Z166" s="477">
        <f>INDEX(Input!$1:$1048576,Z$93,$C166*2+MIN($B166,2)+5)
+INDEX(Scenarios!Z$121:Z$200,MATCH($B166,Scenarios!$B$121:$B$200,0))</f>
        <v>0</v>
      </c>
      <c r="AA166" s="475">
        <f>INDEX(Input!$1:$1048576,AA$93,$C166*2+MIN($B166,2)+5)
+INDEX(Scenarios!AA$121:AA$200,MATCH($B166,Scenarios!$B$121:$B$200,0))</f>
        <v>0</v>
      </c>
      <c r="AB166" s="476">
        <f>INDEX(Input!$1:$1048576,AB$93,$C166*2+MIN($B166,2)+5)</f>
        <v>0.27</v>
      </c>
      <c r="AC166" s="475">
        <f>INDEX(Input!$1:$1048576,AC$93,$C166*2+MIN($B166,2)+5)
+INDEX(Scenarios!AC$121:AC$200,MATCH($B166,Scenarios!$B$121:$B$200,0))</f>
        <v>0</v>
      </c>
      <c r="AD166" s="476">
        <f>INDEX(Input!$1:$1048576,AD$93,$C166*2+MIN($B166,2)+5)</f>
        <v>0.27</v>
      </c>
      <c r="AE166" s="475">
        <f>INDEX(Input!$1:$1048576,AE$93,$C166*2+MIN($B166,2)+5)
+INDEX(Scenarios!AE$121:AE$200,MATCH($B166,Scenarios!$B$121:$B$200,0))</f>
        <v>0</v>
      </c>
      <c r="AF166" s="476">
        <f>INDEX(Input!$1:$1048576,AF$93,$C166*2+MIN($B166,2)+5)</f>
        <v>0.38</v>
      </c>
      <c r="AG166" s="475">
        <f>INDEX(Input!$1:$1048576,AG$93,$C166*2+MIN($B166,2)+5)
+INDEX(Scenarios!AG$121:AG$200,MATCH($B166,Scenarios!$B$121:$B$200,0))</f>
        <v>0</v>
      </c>
      <c r="AH166" s="476">
        <f>INDEX(Input!$1:$1048576,AH$93,$C166*2+MIN($B166,2)+5)</f>
        <v>0</v>
      </c>
      <c r="AI166" s="475">
        <f>INDEX(Input!$1:$1048576,AI$93,$C166*2+MIN($B166,2)+5)
+INDEX(Scenarios!AI$121:AI$200,MATCH($B166,Scenarios!$B$121:$B$200,0))</f>
        <v>0</v>
      </c>
      <c r="AJ166" s="476">
        <f>INDEX(Input!$1:$1048576,AJ$93,$C166*2+MIN($B166,2)+5)</f>
        <v>0.27</v>
      </c>
      <c r="AK166" s="150">
        <f>ROUND(INDEX(Input!$1:$1048576,AK$93,$C165*2+MIN($B166,1)+5)+(Y166-VLOOKUP($C166*1000+1,$A:$HH,Y$92,FALSE)),0)</f>
        <v>3397</v>
      </c>
      <c r="AL166" s="150">
        <f>ROUND(INDEX(Input!$1:$1048576,AL$93,$C165*2+MIN($B166,1)+5)-(Y166-VLOOKUP($C166*1000+1,$A:$HH,Y$92,FALSE))/36,0)</f>
        <v>4123</v>
      </c>
      <c r="AM166" s="32" t="str">
        <f t="shared" si="392"/>
        <v>std/std/std/std</v>
      </c>
      <c r="AN166" s="32" t="str">
        <f t="shared" si="393"/>
        <v>$1000 + 0/0/0/1.9/3.9</v>
      </c>
      <c r="AO166" s="32" t="str">
        <f t="shared" si="394"/>
        <v>0/0/0/1.9/3.9</v>
      </c>
      <c r="AP166" s="32" t="str">
        <f t="shared" ref="AP166:AP229" si="498">IF(X166="Y",
IF(U166="market","std",ROUND(U166*1000,0)/10)&amp;"/"
&amp;MAX(IF(V166="market","std",ROUND(V166*1000,0)/10-1),0)&amp;"/"
&amp;IF(V166="market","std",ROUND(V166*1000,0)/10)&amp;"/"
&amp;IF(W166="market","std",ROUND(W166*1000,0)/10),
IF(U166="market","std",ROUND(U166*1000,0)/10)&amp;"/"
&amp;MAX(IF(V166="market","std",ROUND(V166*1000,0)/10-1),0)&amp;"/"
&amp;IF(V166="market","std",ROUND(V166*1000,0)/10)&amp;"/"
&amp;IF(W166="market","std",ROUND(W166*1000,0)/10))</f>
        <v>0/0.9/1.9/3.9</v>
      </c>
      <c r="AQ166" s="536">
        <f t="shared" si="497"/>
        <v>0.3787792000243913</v>
      </c>
      <c r="AR166" s="32"/>
      <c r="AS166" s="302"/>
      <c r="AT166" s="3">
        <f t="shared" si="106"/>
        <v>66</v>
      </c>
      <c r="AU166" s="41" t="s">
        <v>121</v>
      </c>
      <c r="AV166" s="41" t="s">
        <v>116</v>
      </c>
      <c r="AW166" s="41" t="str">
        <f>INDEX(Input!$1:$1048576,AW$93,$C166*2+6)</f>
        <v>Kia</v>
      </c>
      <c r="AX166" s="41" t="str">
        <f>INDEX(Input!$1:$1048576,AX$93,$C166*2+6)</f>
        <v>Kia-LR - L1</v>
      </c>
      <c r="AY166" s="41" t="str">
        <f>IF(LEN(D166)=0,"",INDEX(Input!$1:$1048576,AY$93,$C166*2+6))</f>
        <v>Compact SUV (52)</v>
      </c>
      <c r="AZ166" s="41" t="str">
        <f>INDEX(Input!$1:$1048576,AZ$93,$C166*2+6)</f>
        <v>Kia Soul</v>
      </c>
      <c r="BA166" s="3">
        <f>INDEX(Input!$1:$1048576,BA$93,$C166*2+6)</f>
        <v>2020</v>
      </c>
      <c r="BB166" s="128">
        <f>INDEX(Input!$1:$1048576,BB$93,$C166*2+6)</f>
        <v>1</v>
      </c>
      <c r="BC166" s="128">
        <f>INDEX(Input!$1:$1048576,BC$93,$C166*2+6)</f>
        <v>0.7</v>
      </c>
      <c r="BD166" s="1">
        <f>INDEX(Input!$1:$1048576,BD$93,$C166*2+6)</f>
        <v>4.4999999999999998E-2</v>
      </c>
      <c r="BE166" s="1">
        <f>INDEX(Input!$1:$1048576,BE$93,$C166*2+6)</f>
        <v>4.4999999999999998E-2</v>
      </c>
      <c r="BF166" s="1">
        <f>INDEX(Input!$1:$1048576,BF$93,$C166*2+6)</f>
        <v>0.05</v>
      </c>
      <c r="BG166" s="1">
        <f>INDEX(Input!$1:$1048576,BG$93,$C166*2+6)</f>
        <v>5.45E-2</v>
      </c>
      <c r="BH166" s="1">
        <f>INDEX(Input!$1:$1048576,BH$93,$C166*2+6)</f>
        <v>5.45E-2</v>
      </c>
      <c r="BI166" s="1">
        <f>INDEX(Input!$1:$1048576,BI$93,$C166*2+6)</f>
        <v>0.05</v>
      </c>
      <c r="BJ166" s="1">
        <f>INDEX(Input!$1:$1048576,BJ$93,$C166*2+6)</f>
        <v>0.05</v>
      </c>
      <c r="BK166" s="1">
        <f>INDEX(Input!$1:$1048576,BK$93,$C166*2+6)</f>
        <v>0.05</v>
      </c>
      <c r="BL166" s="1">
        <f>INDEX(Input!$1:$1048576,BL$93,$C166*2+6)</f>
        <v>5.5E-2</v>
      </c>
      <c r="BM166" s="1">
        <f>INDEX(Input!$1:$1048576,BM$93,$C166*2+6)</f>
        <v>0.06</v>
      </c>
      <c r="BN166" s="1">
        <f>INDEX(Input!$1:$1048576,BN$93,$C166*2+6)</f>
        <v>4.4999999999999998E-2</v>
      </c>
      <c r="BO166" s="1">
        <f>INDEX(Input!$1:$1048576,BO$93,$C166*2+6)</f>
        <v>4.4999999999999998E-2</v>
      </c>
      <c r="BP166" s="1">
        <f>INDEX(Input!$1:$1048576,BP$93,$C166*2+6)</f>
        <v>0.05</v>
      </c>
      <c r="BQ166" s="1">
        <f>INDEX(Input!$1:$1048576,BQ$93,$C166*2+6)</f>
        <v>5.45E-2</v>
      </c>
      <c r="BR166" s="1">
        <f>INDEX(Input!$1:$1048576,BR$93,$C166*2+6)</f>
        <v>5.45E-2</v>
      </c>
      <c r="BS166" s="1">
        <f>INDEX(Input!$1:$1048576,BS$93,$C166*2+6)</f>
        <v>0.05</v>
      </c>
      <c r="BT166" s="1">
        <f>INDEX(Input!$1:$1048576,BT$93,$C166*2+6)</f>
        <v>0.05</v>
      </c>
      <c r="BU166" s="1">
        <f>INDEX(Input!$1:$1048576,BU$93,$C166*2+6)</f>
        <v>0.05</v>
      </c>
      <c r="BV166" s="1">
        <f>INDEX(Input!$1:$1048576,BV$93,$C166*2+6)</f>
        <v>5.5E-2</v>
      </c>
      <c r="BW166" s="1">
        <f>INDEX(Input!$1:$1048576,BW$93,$C166*2+6)</f>
        <v>0.06</v>
      </c>
      <c r="BX166" s="127">
        <f>INDEX(Input!$1:$1048576,BX$93,$C166*2+6)</f>
        <v>19985</v>
      </c>
      <c r="BY166" s="20">
        <f>INDEX(Input!$1:$1048576,BY$93,$C166*2+6)</f>
        <v>0.1</v>
      </c>
      <c r="BZ166" s="20">
        <f>INDEX(Input!$1:$1048576,BZ$93,$C166*2+6)</f>
        <v>0.1</v>
      </c>
      <c r="CA166" s="20">
        <f>INDEX(Input!$1:$1048576,CA$93,$C166*2+6)</f>
        <v>0.1</v>
      </c>
      <c r="CB166" s="20">
        <f>INDEX(Input!$1:$1048576,CB$93,$C166*2+6)</f>
        <v>0.1</v>
      </c>
      <c r="CC166" s="20">
        <f>INDEX(Input!$1:$1048576,CC$93,$C166*2+6)</f>
        <v>0.1</v>
      </c>
      <c r="CD166" s="384">
        <f>INDEX(Input!$1:$1048576,CD$93,$C166*2+6)</f>
        <v>0.1</v>
      </c>
      <c r="CE166" s="384">
        <f>INDEX(Input!$1:$1048576,CE$93,$C166*2+6)</f>
        <v>0.1</v>
      </c>
      <c r="CF166" s="384">
        <f>INDEX(Input!$1:$1048576,CF$93,$C166*2+6)</f>
        <v>0.1</v>
      </c>
      <c r="CG166" s="384">
        <f>INDEX(Input!$1:$1048576,CG$93,$C166*2+6)</f>
        <v>0.1</v>
      </c>
      <c r="CH166" s="384">
        <f>INDEX(Input!$1:$1048576,CH$93,$C166*2+6)</f>
        <v>0.1</v>
      </c>
      <c r="CI166" s="304">
        <f t="shared" ref="CI166:CI229" si="499">E166+F166*I166+AA166*AB166</f>
        <v>2229</v>
      </c>
      <c r="CJ166" s="16" t="str">
        <f>INDEX(Input!$1:$1048576,CJ$93,$C166*2+6)</f>
        <v>N</v>
      </c>
      <c r="CK166" s="1" t="str">
        <f t="shared" ref="CK166:CK229" si="500">K166</f>
        <v>Market</v>
      </c>
      <c r="CL166" s="1" t="str">
        <f t="shared" ref="CL166:CL229" si="501">L166</f>
        <v>Market</v>
      </c>
      <c r="CM166" s="1" t="str">
        <f t="shared" ref="CM166:CM229" si="502">M166</f>
        <v>Market</v>
      </c>
      <c r="CN166" s="1" t="str">
        <f t="shared" ref="CN166:CN229" si="503">N166</f>
        <v>Market</v>
      </c>
      <c r="CO166" s="1" t="str">
        <f t="shared" ref="CO166:CO229" si="504">O166</f>
        <v>Market</v>
      </c>
      <c r="CP166" s="304">
        <f t="shared" ref="CP166:CP229" si="505">Q166+G166*I166+AG166*AH166</f>
        <v>1000</v>
      </c>
      <c r="CQ166" s="1">
        <f t="shared" ref="CQ166:CQ229" si="506">S166</f>
        <v>0</v>
      </c>
      <c r="CR166" s="1">
        <f t="shared" ref="CR166:CR229" si="507">T166</f>
        <v>0</v>
      </c>
      <c r="CS166" s="1">
        <f t="shared" ref="CS166:CS229" si="508">U166</f>
        <v>0</v>
      </c>
      <c r="CT166" s="1">
        <f t="shared" ref="CT166:CT229" si="509">V166</f>
        <v>1.9E-2</v>
      </c>
      <c r="CU166" s="1">
        <f t="shared" ref="CU166:CU229" si="510">W166</f>
        <v>3.9E-2</v>
      </c>
      <c r="CV166" s="304">
        <f t="shared" ref="CV166:CV229" si="511">Y166+H166*I166+AC166*AD166</f>
        <v>1582</v>
      </c>
      <c r="CW166" s="20" t="s">
        <v>122</v>
      </c>
      <c r="CX166" s="20" t="s">
        <v>122</v>
      </c>
      <c r="CY166" s="20" t="s">
        <v>122</v>
      </c>
      <c r="CZ166" s="20" t="s">
        <v>122</v>
      </c>
      <c r="DA166" s="20" t="s">
        <v>122</v>
      </c>
      <c r="DB166" s="503">
        <f t="shared" ref="DB166:DB229" si="512">Z166+AE166*AF166</f>
        <v>0</v>
      </c>
      <c r="DC166" s="127">
        <v>0</v>
      </c>
      <c r="DD166" s="127">
        <v>0</v>
      </c>
      <c r="DE166" s="127">
        <v>0</v>
      </c>
      <c r="DF166" s="127">
        <v>0</v>
      </c>
      <c r="DG166" s="127">
        <v>0</v>
      </c>
      <c r="DH166" s="127">
        <v>0</v>
      </c>
      <c r="DI166" s="127">
        <v>0</v>
      </c>
      <c r="DJ166" s="127">
        <v>0</v>
      </c>
      <c r="DK166" s="127">
        <v>0</v>
      </c>
      <c r="DL166" s="127">
        <v>0</v>
      </c>
      <c r="DM166" s="304">
        <f>INDEX(Input!$1:$1048576,DM$93,$C166*2+6)</f>
        <v>21036.84210526316</v>
      </c>
      <c r="DN166" s="20">
        <v>0</v>
      </c>
      <c r="DO166" s="20">
        <v>0</v>
      </c>
      <c r="DP166" s="20">
        <v>0</v>
      </c>
      <c r="DQ166" s="20">
        <v>0</v>
      </c>
      <c r="DR166" s="20">
        <v>0</v>
      </c>
      <c r="DS166" s="20">
        <f>INDEX(Input!$1:$1048576,DS$93,$C166*2+6)</f>
        <v>0.6</v>
      </c>
      <c r="DT166" s="20">
        <f>INDEX(Input!$1:$1048576,DT$93,$C166*2+6)</f>
        <v>0.55000000000000004</v>
      </c>
      <c r="DU166" s="20">
        <f>INDEX(Input!$1:$1048576,DU$93,$C166*2+6)</f>
        <v>0.52</v>
      </c>
      <c r="DV166" s="20">
        <f>INDEX(Input!$1:$1048576,DV$93,$C166*2+6)</f>
        <v>0.5</v>
      </c>
      <c r="DW166" s="20">
        <f>INDEX(Input!$1:$1048576,DW$93,$C166*2+6)</f>
        <v>0.45</v>
      </c>
      <c r="DX166" s="20"/>
      <c r="DY166" s="7">
        <v>0.13575621550893813</v>
      </c>
      <c r="DZ166" s="7">
        <v>0</v>
      </c>
      <c r="EA166" s="7">
        <v>0.57518039962989376</v>
      </c>
      <c r="EB166" s="7">
        <v>0</v>
      </c>
      <c r="EC166" s="7">
        <v>0</v>
      </c>
      <c r="ED166" s="7">
        <v>0</v>
      </c>
      <c r="EE166" s="7">
        <v>0</v>
      </c>
      <c r="EF166" s="7">
        <v>0</v>
      </c>
      <c r="EG166" s="7">
        <v>0</v>
      </c>
      <c r="EH166" s="7">
        <v>1.8402200445098656E-2</v>
      </c>
      <c r="EI166" s="7">
        <v>5.3739557110571878E-2</v>
      </c>
      <c r="EJ166" s="7">
        <v>0.33946684904131985</v>
      </c>
      <c r="EK166" s="7">
        <v>0.4824771263993809</v>
      </c>
      <c r="EL166" s="7">
        <v>0.10591426700362869</v>
      </c>
      <c r="EM166" s="7">
        <v>6.0529426072906643E-2</v>
      </c>
      <c r="EN166" s="7">
        <v>4.9379578909208757E-2</v>
      </c>
      <c r="EO166" s="7">
        <v>0.75610016993185014</v>
      </c>
      <c r="EP166" s="7">
        <v>8.5125034424855875E-2</v>
      </c>
      <c r="EQ166" s="7">
        <v>6.5024794318701673E-2</v>
      </c>
      <c r="ER166" s="7">
        <v>4.4370422415383894E-2</v>
      </c>
      <c r="ES166" s="7">
        <v>0.22853395878826147</v>
      </c>
      <c r="ET166" s="7">
        <v>0.28906338486116806</v>
      </c>
      <c r="EU166" s="6">
        <v>2270</v>
      </c>
      <c r="EV166" s="6">
        <v>0</v>
      </c>
      <c r="EW166" s="6">
        <v>2270</v>
      </c>
      <c r="EX166" s="6">
        <v>0</v>
      </c>
      <c r="EY166" s="6">
        <v>3039.7221397149679</v>
      </c>
      <c r="EZ166" s="6">
        <v>1725</v>
      </c>
      <c r="FA166" s="6">
        <v>0</v>
      </c>
      <c r="FB166" s="6">
        <v>0</v>
      </c>
      <c r="FC166" s="6">
        <v>0</v>
      </c>
      <c r="FD166" s="6">
        <v>0</v>
      </c>
      <c r="FE166" s="6">
        <v>0</v>
      </c>
      <c r="FF166" s="6">
        <v>0</v>
      </c>
      <c r="FG166" s="6">
        <v>0</v>
      </c>
      <c r="FH166" s="6">
        <v>1171.2811379695615</v>
      </c>
      <c r="FI166" s="6">
        <v>1553.9796069512402</v>
      </c>
      <c r="FJ166" s="6">
        <v>2101.211011744741</v>
      </c>
      <c r="FK166" s="6">
        <v>1772.7139978623229</v>
      </c>
      <c r="FL166" s="6">
        <v>907.07682140966347</v>
      </c>
      <c r="FM166" s="6">
        <v>1769.7221397149681</v>
      </c>
      <c r="FN166" s="6">
        <v>0</v>
      </c>
      <c r="FO166" s="6">
        <v>0</v>
      </c>
      <c r="FP166" s="6">
        <v>0</v>
      </c>
      <c r="FQ166" s="6">
        <v>0</v>
      </c>
      <c r="FR166" s="6">
        <v>0</v>
      </c>
      <c r="FS166" s="6">
        <v>0</v>
      </c>
      <c r="FT166" s="7">
        <v>0.71093661513883188</v>
      </c>
      <c r="FU166" s="7">
        <v>6.0529426072906643E-2</v>
      </c>
      <c r="FV166" s="7">
        <v>0.22853395878826147</v>
      </c>
      <c r="FW166" s="6">
        <v>2269.9999999999995</v>
      </c>
      <c r="FX166" s="6">
        <v>3039.7221397149679</v>
      </c>
      <c r="FY166" s="6">
        <v>1725</v>
      </c>
      <c r="FZ166" s="6">
        <v>1952.7147957719815</v>
      </c>
      <c r="GA166" s="6">
        <v>2192.0398318129542</v>
      </c>
      <c r="GB166" s="6">
        <v>17792.960168187044</v>
      </c>
      <c r="GC166" s="7">
        <v>1.0519917368675835E-2</v>
      </c>
      <c r="GD166" s="7">
        <v>1.1063046521188155E-2</v>
      </c>
      <c r="GE166" s="7"/>
      <c r="GF166" s="7"/>
      <c r="GG166" s="7">
        <v>5.162865196351682E-2</v>
      </c>
      <c r="GH166" s="42">
        <v>4.3112857165275376</v>
      </c>
      <c r="GI166" s="6">
        <v>6827.5479641982574</v>
      </c>
      <c r="GJ166" s="14">
        <v>0.50394797582841733</v>
      </c>
      <c r="GK166" s="14">
        <v>0.50887573065309744</v>
      </c>
      <c r="GL166" s="14">
        <v>0.49605202417158267</v>
      </c>
      <c r="GM166" s="14">
        <v>0.49112426934690245</v>
      </c>
      <c r="GO166" s="5">
        <v>343.14810671672558</v>
      </c>
      <c r="GP166" s="5">
        <v>299.84083725090579</v>
      </c>
      <c r="GQ166" s="5">
        <v>535.04305713031317</v>
      </c>
      <c r="GR166" s="5">
        <v>410.15490233172511</v>
      </c>
      <c r="GS166" s="5">
        <v>339.42744393800166</v>
      </c>
      <c r="GT166" s="5">
        <v>293.4407446948278</v>
      </c>
      <c r="GU166" s="5">
        <v>258.04012322764959</v>
      </c>
      <c r="GV166" s="39" t="s">
        <v>392</v>
      </c>
      <c r="GW166" s="5">
        <v>464.34722222222223</v>
      </c>
      <c r="GX166" s="5">
        <v>348.26041666666669</v>
      </c>
      <c r="GY166" s="5">
        <v>278.60833333333335</v>
      </c>
      <c r="GZ166" s="5">
        <v>245.84245344171217</v>
      </c>
      <c r="HA166" s="5">
        <v>227.72592165501612</v>
      </c>
      <c r="HB166" s="39">
        <v>264.57144879693607</v>
      </c>
      <c r="HC166" s="5">
        <v>211.81562499999998</v>
      </c>
      <c r="HD166" s="5">
        <v>188.29497441520465</v>
      </c>
      <c r="HE166" s="5">
        <v>193.13834767206475</v>
      </c>
      <c r="HF166" s="5">
        <v>181.01813048245612</v>
      </c>
      <c r="HG166" s="5">
        <v>177.56888157894736</v>
      </c>
      <c r="HH166" s="39">
        <v>188.91961000194755</v>
      </c>
      <c r="HI166" s="16"/>
      <c r="HJ166" s="19" t="str">
        <f t="shared" si="390"/>
        <v>On</v>
      </c>
      <c r="HK166" s="1" t="str">
        <f t="shared" si="108"/>
        <v>On</v>
      </c>
      <c r="HL166" s="16"/>
      <c r="HM166" s="639">
        <f t="shared" si="446"/>
        <v>5.7455619280273196E-3</v>
      </c>
      <c r="HN166" s="639">
        <f t="shared" si="447"/>
        <v>5.0031960498701745E-4</v>
      </c>
      <c r="HO166" s="639">
        <f t="shared" si="448"/>
        <v>3.9819433988714835E-3</v>
      </c>
      <c r="HP166" s="644">
        <f>(FT166*$GD166-HM166)/$JF166*INDEX(Input!$1:$1048576,$JG$93,$C166*2+6)</f>
        <v>92.426793390718345</v>
      </c>
      <c r="HQ166" s="644">
        <f>(FU166*$GD166-HN166)/$JF166*INDEX(Input!$1:$1048576,$JG$93,$C166*2+6)</f>
        <v>7.3834693786754366</v>
      </c>
      <c r="HR166" s="644">
        <f>(FV166*$GD166-HO166)/$JF166*INDEX(Input!$1:$1048576,$JG$93,$C166*2+6)</f>
        <v>-63.389143781765874</v>
      </c>
      <c r="HS166" s="644">
        <f t="shared" si="449"/>
        <v>-19.267455631372972</v>
      </c>
      <c r="HT166" s="644">
        <f t="shared" si="450"/>
        <v>16.005985819231903</v>
      </c>
      <c r="HU166" s="644">
        <f t="shared" si="451"/>
        <v>4.3920816153034075</v>
      </c>
      <c r="HV166" s="648">
        <f t="shared" si="452"/>
        <v>0</v>
      </c>
      <c r="HW166" s="648">
        <f t="shared" si="453"/>
        <v>0</v>
      </c>
      <c r="HX166" s="648">
        <f t="shared" si="454"/>
        <v>0</v>
      </c>
      <c r="HY166" s="644">
        <f>INDEX(Input!$1:$1048576,HY$93,$C166*2+6)*INDEX(Input!$1:$1048576,$JG$93,$C166*2+6)</f>
        <v>110.00000000000001</v>
      </c>
      <c r="HZ166" s="644">
        <f>INDEX(Input!$1:$1048576,HZ$93,$C166*2+6)*INDEX(Input!$1:$1048576,$JG$93,$C166*2+6)</f>
        <v>157</v>
      </c>
      <c r="IA166" s="644">
        <f>INDEX(Input!$1:$1048576,IA$93,$C166*2+6)*INDEX(Input!$1:$1048576,$JG$93,$C166*2+6)</f>
        <v>179</v>
      </c>
      <c r="IB166" s="644">
        <f t="shared" si="455"/>
        <v>183.15933775934536</v>
      </c>
      <c r="IC166" s="644">
        <f t="shared" si="456"/>
        <v>180.38945519790735</v>
      </c>
      <c r="ID166" s="644">
        <f>IF(AND(INDEX(Input!$1:$1048576,IA$93,$C166*2+7)="TOS",Y166&lt;=INDEX(Y:Y,MATCH(C166*1000+2,A:A))),0,1)*MAX(IA166+HR166+HU166+HX166,0%)</f>
        <v>120.00293783353753</v>
      </c>
      <c r="IE166" s="128">
        <f t="shared" si="457"/>
        <v>0.3787792000243913</v>
      </c>
      <c r="IF166" s="128">
        <f t="shared" si="458"/>
        <v>0.37305099684557486</v>
      </c>
      <c r="IG166" s="128">
        <f t="shared" si="459"/>
        <v>0.24816980313003381</v>
      </c>
      <c r="IH166" s="21"/>
      <c r="II166" s="19">
        <f t="shared" si="460"/>
        <v>1240</v>
      </c>
      <c r="IJ166" s="19">
        <f t="shared" si="461"/>
        <v>2009.7221397149679</v>
      </c>
      <c r="IK166" s="19">
        <f t="shared" si="462"/>
        <v>2070</v>
      </c>
      <c r="IL166" s="19">
        <f t="shared" si="463"/>
        <v>1029.9999999999995</v>
      </c>
      <c r="IM166" s="19">
        <f t="shared" si="464"/>
        <v>1030</v>
      </c>
      <c r="IN166" s="19">
        <f t="shared" si="465"/>
        <v>-345</v>
      </c>
      <c r="IO166" s="39">
        <f t="shared" si="466"/>
        <v>0</v>
      </c>
      <c r="IP166" s="39">
        <f t="shared" si="467"/>
        <v>0</v>
      </c>
      <c r="IQ166" s="39">
        <f t="shared" si="468"/>
        <v>0</v>
      </c>
      <c r="IR166" s="39">
        <v>0</v>
      </c>
      <c r="IS166" s="39">
        <v>0</v>
      </c>
      <c r="IT166" s="39">
        <v>0</v>
      </c>
      <c r="IU166" s="39">
        <v>0</v>
      </c>
      <c r="IV166" s="39">
        <v>0</v>
      </c>
      <c r="IW166" s="39">
        <v>0</v>
      </c>
      <c r="IX166" s="39">
        <f>INDEX(Input!$1:$1048576,IX$93,$C166*2+6)+INDEX(Input!$1:$1048576,IX$94,$C166*2+6)</f>
        <v>1270</v>
      </c>
      <c r="IY166" s="39">
        <f>INDEX(Input!$1:$1048576,IY$93,$C166*2+6)+INDEX(Input!$1:$1048576,IY$94,$C166*2+6)</f>
        <v>2130.0624533823611</v>
      </c>
      <c r="IZ166" s="39">
        <f>INDEX(Input!$1:$1048576,IZ$93,$C166*2+6)+INDEX(Input!$1:$1048576,IZ$94,$C166*2+6)</f>
        <v>4373.7164157747848</v>
      </c>
      <c r="JA166" s="19">
        <f t="shared" si="469"/>
        <v>2299.9999999999995</v>
      </c>
      <c r="JB166" s="19">
        <f t="shared" si="470"/>
        <v>3160.0624533823611</v>
      </c>
      <c r="JC166" s="19">
        <f t="shared" si="471"/>
        <v>4028.7164157747848</v>
      </c>
      <c r="JD166" s="19">
        <f t="shared" si="472"/>
        <v>3049.8623681542263</v>
      </c>
      <c r="JE166" s="21"/>
      <c r="JF166" s="1">
        <f t="shared" si="473"/>
        <v>1.022782493188582E-2</v>
      </c>
      <c r="JG166" s="15">
        <f>INDEX(Input!$1:$1048576,JG$93,$C166*2+6)/(1+VLOOKUP(C166*1000+INDEX(Input!$1:$1048576,JG$93+1,$C166*2+6),$A:$KK,$JK$92,FALSE))</f>
        <v>446</v>
      </c>
      <c r="JH166" s="1">
        <f t="shared" si="474"/>
        <v>8.1661701765981864E-2</v>
      </c>
      <c r="JI166" s="1">
        <f t="shared" si="475"/>
        <v>2.5350040429648842E-3</v>
      </c>
      <c r="JJ166" s="1">
        <f t="shared" si="476"/>
        <v>0</v>
      </c>
      <c r="JK166" s="1">
        <f t="shared" si="477"/>
        <v>8.4196705808946753E-2</v>
      </c>
      <c r="JL166" s="15">
        <f t="shared" si="478"/>
        <v>37.551730790790252</v>
      </c>
      <c r="JM166" s="15">
        <f t="shared" si="479"/>
        <v>483.55173079079026</v>
      </c>
      <c r="JN166" s="21"/>
      <c r="JO166" s="19">
        <f>INDEX(Input!$1:$1048576,JO$93,$C166*2+6)</f>
        <v>5995.5</v>
      </c>
      <c r="JP166" s="19">
        <f>INDEX(Input!$1:$1048576,JP$93,$C166*2+6)</f>
        <v>2818.4193802796353</v>
      </c>
      <c r="JQ166" s="39">
        <f t="shared" si="480"/>
        <v>2945.6376318457737</v>
      </c>
      <c r="JR166" s="39">
        <f t="shared" si="481"/>
        <v>231.44298787459093</v>
      </c>
      <c r="JS166" s="39">
        <f t="shared" si="482"/>
        <v>1.4747662267946746</v>
      </c>
      <c r="JT166" s="39">
        <f t="shared" si="483"/>
        <v>0.21775118318995718</v>
      </c>
      <c r="JU166" s="385">
        <f>(JQ166*JM166-INDEX(Input!$1:$1048576,Input!A$18,$C166*2+6)*JL166*INDEX(Input!$1:$1048576,Input!A$19,$C166*2+6))/1000000</f>
        <v>1.4243681751615087</v>
      </c>
      <c r="JV166" s="39">
        <f t="shared" si="484"/>
        <v>7.390218766226031E-3</v>
      </c>
      <c r="JW166" s="1">
        <f t="shared" si="485"/>
        <v>5.2154789937779687E-3</v>
      </c>
      <c r="JX166" s="19">
        <f t="shared" si="486"/>
        <v>5798.6989841587201</v>
      </c>
      <c r="JZ166" s="341"/>
      <c r="KA166" s="342"/>
      <c r="KB166" s="469">
        <f t="shared" si="110"/>
        <v>2.9286733661474216</v>
      </c>
      <c r="KI166" s="473">
        <f t="shared" si="487"/>
        <v>73.159337759345348</v>
      </c>
      <c r="KJ166" s="473">
        <f t="shared" si="488"/>
        <v>23.389455197907353</v>
      </c>
      <c r="KK166" s="473">
        <f t="shared" si="489"/>
        <v>-58.99706216646247</v>
      </c>
      <c r="KN166" s="544">
        <f t="shared" si="490"/>
        <v>1002</v>
      </c>
      <c r="KO166" s="541">
        <f t="shared" si="491"/>
        <v>7.9752557642416289E-2</v>
      </c>
      <c r="KP166" s="546">
        <f t="shared" si="492"/>
        <v>662.48906774315378</v>
      </c>
      <c r="KQ166" s="546">
        <f t="shared" si="493"/>
        <v>210.54616813557459</v>
      </c>
      <c r="KR166" s="548">
        <f t="shared" si="494"/>
        <v>2.0640523778526707</v>
      </c>
      <c r="KS166" s="548">
        <f t="shared" si="495"/>
        <v>6.4945952124673836</v>
      </c>
      <c r="KT166" s="473">
        <f t="shared" si="112"/>
        <v>238.28695973331548</v>
      </c>
      <c r="KU166" s="663">
        <f t="shared" si="496"/>
        <v>6.7447065196558516</v>
      </c>
    </row>
    <row r="167" spans="1:308" s="26" customFormat="1" ht="15" outlineLevel="1">
      <c r="A167" s="561">
        <f t="shared" si="391"/>
        <v>1067</v>
      </c>
      <c r="B167" s="561">
        <f t="shared" ref="B167:B200" si="513">B166+1</f>
        <v>67</v>
      </c>
      <c r="C167" s="561">
        <f t="shared" si="105"/>
        <v>1</v>
      </c>
      <c r="D167" s="561" t="str">
        <f t="shared" si="294"/>
        <v xml:space="preserve">-180 Lease, </v>
      </c>
      <c r="E167" s="475">
        <f>INDEX(Input!$1:$1048576,E$93,$C167*2+MIN($B167,2)+5)
+INDEX(Scenarios!E$121:E$200,MATCH($B167,Scenarios!$B$121:$B$200,0))</f>
        <v>1229</v>
      </c>
      <c r="F167" s="475">
        <f>INDEX(Input!$1:$1048576,F$93,$C167*2+MIN($B167,2)+5)
+INDEX(Scenarios!F$121:F$200,MATCH($B167,Scenarios!$B$121:$B$200,0))</f>
        <v>0</v>
      </c>
      <c r="G167" s="475">
        <f>INDEX(Input!$1:$1048576,G$93,$C167*2+MIN($B167,2)+5)
+INDEX(Scenarios!G$121:G$200,MATCH($B167,Scenarios!$B$121:$B$200,0))</f>
        <v>0</v>
      </c>
      <c r="H167" s="475">
        <f>INDEX(Input!$1:$1048576,H$93,$C167*2+MIN($B167,2)+5)
+INDEX(Scenarios!H$121:H$200,MATCH($B167,Scenarios!$B$121:$B$200,0))</f>
        <v>0</v>
      </c>
      <c r="I167" s="476">
        <f>INDEX(Input!$1:$1048576,I$93,$C167*2+MIN($B167,2)+5)</f>
        <v>0.7</v>
      </c>
      <c r="J167" s="476" t="str">
        <f>INDEX(Input!$1:$1048576,J$93,$C167*2+MIN($B167,2)+5)</f>
        <v>Market</v>
      </c>
      <c r="K167" s="476" t="str">
        <f>INDEX(Input!$1:$1048576,K$93,$C167*2+MIN($B167,2)+5)</f>
        <v>Market</v>
      </c>
      <c r="L167" s="476" t="str">
        <f>INDEX(Input!$1:$1048576,L$93,$C167*2+MIN($B167,2)+5)</f>
        <v>Market</v>
      </c>
      <c r="M167" s="476" t="str">
        <f>INDEX(Input!$1:$1048576,M$93,$C167*2+MIN($B167,2)+5)</f>
        <v>Market</v>
      </c>
      <c r="N167" s="476" t="str">
        <f>INDEX(Input!$1:$1048576,N$93,$C167*2+MIN($B167,2)+5)</f>
        <v>Market</v>
      </c>
      <c r="O167" s="476" t="str">
        <f>INDEX(Input!$1:$1048576,O$93,$C167*2+MIN($B167,2)+5)</f>
        <v>Market</v>
      </c>
      <c r="P167" s="476" t="str">
        <f>INDEX(Input!$1:$1048576,P$93,$C167*2+MIN($B167,2)+5)</f>
        <v>N</v>
      </c>
      <c r="Q167" s="477">
        <f>INDEX(Input!$1:$1048576,Q$93,$C167*2+MIN($B167,2)+5)
+INDEX(Scenarios!Q$121:Q$200,MATCH($B167,Scenarios!$B$121:$B$200,0))</f>
        <v>0</v>
      </c>
      <c r="R167" s="478">
        <f>IFERROR(MAX(0,INDEX(Input!$1:$1048576,R$93,$C167*2+MIN($B167,2)+5)
+INDEX(Scenarios!R$121:R$200,MATCH($B167,Scenarios!$B$121:$B$200,0)),),"Market")</f>
        <v>0</v>
      </c>
      <c r="S167" s="478">
        <f>IFERROR(MAX(0,INDEX(Input!$1:$1048576,S$93,$C167*2+MIN($B167,2)+5)
+INDEX(Scenarios!S$121:S$200,MATCH($B167,Scenarios!$B$121:$B$200,0)),),"Market")</f>
        <v>0</v>
      </c>
      <c r="T167" s="478">
        <f>IFERROR(MAX(0,INDEX(Input!$1:$1048576,T$93,$C167*2+MIN($B167,2)+5)
+INDEX(Scenarios!T$121:T$200,MATCH($B167,Scenarios!$B$121:$B$200,0)),),"Market")</f>
        <v>0</v>
      </c>
      <c r="U167" s="478">
        <f>IFERROR(MAX(0,INDEX(Input!$1:$1048576,U$93,$C167*2+MIN($B167,2)+5)
+INDEX(Scenarios!U$121:U$200,MATCH($B167,Scenarios!$B$121:$B$200,0)),),"Market")</f>
        <v>0</v>
      </c>
      <c r="V167" s="478">
        <f>IFERROR(MAX(0,INDEX(Input!$1:$1048576,V$93,$C167*2+MIN($B167,2)+5)
+INDEX(Scenarios!V$121:V$200,MATCH($B167,Scenarios!$B$121:$B$200,0)),),"Market")</f>
        <v>1.9E-2</v>
      </c>
      <c r="W167" s="885">
        <f>IFERROR(MAX(0,INDEX(Input!$1:$1048576,W$93,$C167*2+MIN($B167,2)+5)-0%,),"Market")</f>
        <v>3.9E-2</v>
      </c>
      <c r="X167" s="476" t="str">
        <f>INDEX(Input!$1:$1048576,X$93,$C167*2+MIN($B167,2)+5)</f>
        <v>Y</v>
      </c>
      <c r="Y167" s="475">
        <f>INDEX(Input!$1:$1048576,Y$93,$C167*2+MIN($B167,2)+5)
++INDEX(Scenarios!Y$121:Y$200,MATCH($B167,Scenarios!$B$121:$B$200,0))</f>
        <v>1762</v>
      </c>
      <c r="Z167" s="477">
        <f>INDEX(Input!$1:$1048576,Z$93,$C167*2+MIN($B167,2)+5)
+INDEX(Scenarios!Z$121:Z$200,MATCH($B167,Scenarios!$B$121:$B$200,0))</f>
        <v>0</v>
      </c>
      <c r="AA167" s="475">
        <f>INDEX(Input!$1:$1048576,AA$93,$C167*2+MIN($B167,2)+5)
+INDEX(Scenarios!AA$121:AA$200,MATCH($B167,Scenarios!$B$121:$B$200,0))</f>
        <v>0</v>
      </c>
      <c r="AB167" s="476">
        <f>INDEX(Input!$1:$1048576,AB$93,$C167*2+MIN($B167,2)+5)</f>
        <v>0.27</v>
      </c>
      <c r="AC167" s="475">
        <f>INDEX(Input!$1:$1048576,AC$93,$C167*2+MIN($B167,2)+5)
+INDEX(Scenarios!AC$121:AC$200,MATCH($B167,Scenarios!$B$121:$B$200,0))</f>
        <v>0</v>
      </c>
      <c r="AD167" s="476">
        <f>INDEX(Input!$1:$1048576,AD$93,$C167*2+MIN($B167,2)+5)</f>
        <v>0.27</v>
      </c>
      <c r="AE167" s="475">
        <f>INDEX(Input!$1:$1048576,AE$93,$C167*2+MIN($B167,2)+5)
+INDEX(Scenarios!AE$121:AE$200,MATCH($B167,Scenarios!$B$121:$B$200,0))</f>
        <v>0</v>
      </c>
      <c r="AF167" s="476">
        <f>INDEX(Input!$1:$1048576,AF$93,$C167*2+MIN($B167,2)+5)</f>
        <v>0.38</v>
      </c>
      <c r="AG167" s="475">
        <f>INDEX(Input!$1:$1048576,AG$93,$C167*2+MIN($B167,2)+5)
+INDEX(Scenarios!AG$121:AG$200,MATCH($B167,Scenarios!$B$121:$B$200,0))</f>
        <v>0</v>
      </c>
      <c r="AH167" s="476">
        <f>INDEX(Input!$1:$1048576,AH$93,$C167*2+MIN($B167,2)+5)</f>
        <v>0</v>
      </c>
      <c r="AI167" s="475">
        <f>INDEX(Input!$1:$1048576,AI$93,$C167*2+MIN($B167,2)+5)
+INDEX(Scenarios!AI$121:AI$200,MATCH($B167,Scenarios!$B$121:$B$200,0))</f>
        <v>0</v>
      </c>
      <c r="AJ167" s="476">
        <f>INDEX(Input!$1:$1048576,AJ$93,$C167*2+MIN($B167,2)+5)</f>
        <v>0.27</v>
      </c>
      <c r="AK167" s="150">
        <f>ROUND(INDEX(Input!$1:$1048576,AK$93,$C166*2+MIN($B167,1)+5)+(Y167-VLOOKUP($C167*1000+1,$A:$HH,Y$92,FALSE)),0)</f>
        <v>3577</v>
      </c>
      <c r="AL167" s="150">
        <f>ROUND(INDEX(Input!$1:$1048576,AL$93,$C166*2+MIN($B167,1)+5)-(Y167-VLOOKUP($C167*1000+1,$A:$HH,Y$92,FALSE))/36,0)</f>
        <v>4118</v>
      </c>
      <c r="AM167" s="32" t="str">
        <f t="shared" si="392"/>
        <v>std/std/std/std</v>
      </c>
      <c r="AN167" s="32" t="str">
        <f t="shared" si="393"/>
        <v>$0 + 0/0/0/1.9/3.9</v>
      </c>
      <c r="AO167" s="32" t="str">
        <f t="shared" si="394"/>
        <v>0/0/0/1.9/3.9</v>
      </c>
      <c r="AP167" s="32" t="str">
        <f t="shared" si="498"/>
        <v>0/0.9/1.9/3.9</v>
      </c>
      <c r="AQ167" s="536">
        <f t="shared" si="497"/>
        <v>0.2698798891801702</v>
      </c>
      <c r="AR167" s="32"/>
      <c r="AS167" s="302"/>
      <c r="AT167" s="3">
        <f t="shared" si="106"/>
        <v>67</v>
      </c>
      <c r="AU167" s="41" t="s">
        <v>121</v>
      </c>
      <c r="AV167" s="41" t="s">
        <v>116</v>
      </c>
      <c r="AW167" s="41" t="str">
        <f>INDEX(Input!$1:$1048576,AW$93,$C167*2+6)</f>
        <v>Kia</v>
      </c>
      <c r="AX167" s="41" t="str">
        <f>INDEX(Input!$1:$1048576,AX$93,$C167*2+6)</f>
        <v>Kia-LR - L1</v>
      </c>
      <c r="AY167" s="41" t="str">
        <f>IF(LEN(D167)=0,"",INDEX(Input!$1:$1048576,AY$93,$C167*2+6))</f>
        <v>Compact SUV (52)</v>
      </c>
      <c r="AZ167" s="41" t="str">
        <f>INDEX(Input!$1:$1048576,AZ$93,$C167*2+6)</f>
        <v>Kia Soul</v>
      </c>
      <c r="BA167" s="3">
        <f>INDEX(Input!$1:$1048576,BA$93,$C167*2+6)</f>
        <v>2020</v>
      </c>
      <c r="BB167" s="128">
        <f>INDEX(Input!$1:$1048576,BB$93,$C167*2+6)</f>
        <v>1</v>
      </c>
      <c r="BC167" s="128">
        <f>INDEX(Input!$1:$1048576,BC$93,$C167*2+6)</f>
        <v>0.7</v>
      </c>
      <c r="BD167" s="1">
        <f>INDEX(Input!$1:$1048576,BD$93,$C167*2+6)</f>
        <v>4.4999999999999998E-2</v>
      </c>
      <c r="BE167" s="1">
        <f>INDEX(Input!$1:$1048576,BE$93,$C167*2+6)</f>
        <v>4.4999999999999998E-2</v>
      </c>
      <c r="BF167" s="1">
        <f>INDEX(Input!$1:$1048576,BF$93,$C167*2+6)</f>
        <v>0.05</v>
      </c>
      <c r="BG167" s="1">
        <f>INDEX(Input!$1:$1048576,BG$93,$C167*2+6)</f>
        <v>5.45E-2</v>
      </c>
      <c r="BH167" s="1">
        <f>INDEX(Input!$1:$1048576,BH$93,$C167*2+6)</f>
        <v>5.45E-2</v>
      </c>
      <c r="BI167" s="1">
        <f>INDEX(Input!$1:$1048576,BI$93,$C167*2+6)</f>
        <v>0.05</v>
      </c>
      <c r="BJ167" s="1">
        <f>INDEX(Input!$1:$1048576,BJ$93,$C167*2+6)</f>
        <v>0.05</v>
      </c>
      <c r="BK167" s="1">
        <f>INDEX(Input!$1:$1048576,BK$93,$C167*2+6)</f>
        <v>0.05</v>
      </c>
      <c r="BL167" s="1">
        <f>INDEX(Input!$1:$1048576,BL$93,$C167*2+6)</f>
        <v>5.5E-2</v>
      </c>
      <c r="BM167" s="1">
        <f>INDEX(Input!$1:$1048576,BM$93,$C167*2+6)</f>
        <v>0.06</v>
      </c>
      <c r="BN167" s="1">
        <f>INDEX(Input!$1:$1048576,BN$93,$C167*2+6)</f>
        <v>4.4999999999999998E-2</v>
      </c>
      <c r="BO167" s="1">
        <f>INDEX(Input!$1:$1048576,BO$93,$C167*2+6)</f>
        <v>4.4999999999999998E-2</v>
      </c>
      <c r="BP167" s="1">
        <f>INDEX(Input!$1:$1048576,BP$93,$C167*2+6)</f>
        <v>0.05</v>
      </c>
      <c r="BQ167" s="1">
        <f>INDEX(Input!$1:$1048576,BQ$93,$C167*2+6)</f>
        <v>5.45E-2</v>
      </c>
      <c r="BR167" s="1">
        <f>INDEX(Input!$1:$1048576,BR$93,$C167*2+6)</f>
        <v>5.45E-2</v>
      </c>
      <c r="BS167" s="1">
        <f>INDEX(Input!$1:$1048576,BS$93,$C167*2+6)</f>
        <v>0.05</v>
      </c>
      <c r="BT167" s="1">
        <f>INDEX(Input!$1:$1048576,BT$93,$C167*2+6)</f>
        <v>0.05</v>
      </c>
      <c r="BU167" s="1">
        <f>INDEX(Input!$1:$1048576,BU$93,$C167*2+6)</f>
        <v>0.05</v>
      </c>
      <c r="BV167" s="1">
        <f>INDEX(Input!$1:$1048576,BV$93,$C167*2+6)</f>
        <v>5.5E-2</v>
      </c>
      <c r="BW167" s="1">
        <f>INDEX(Input!$1:$1048576,BW$93,$C167*2+6)</f>
        <v>0.06</v>
      </c>
      <c r="BX167" s="127">
        <f>INDEX(Input!$1:$1048576,BX$93,$C167*2+6)</f>
        <v>19985</v>
      </c>
      <c r="BY167" s="20">
        <f>INDEX(Input!$1:$1048576,BY$93,$C167*2+6)</f>
        <v>0.1</v>
      </c>
      <c r="BZ167" s="20">
        <f>INDEX(Input!$1:$1048576,BZ$93,$C167*2+6)</f>
        <v>0.1</v>
      </c>
      <c r="CA167" s="20">
        <f>INDEX(Input!$1:$1048576,CA$93,$C167*2+6)</f>
        <v>0.1</v>
      </c>
      <c r="CB167" s="20">
        <f>INDEX(Input!$1:$1048576,CB$93,$C167*2+6)</f>
        <v>0.1</v>
      </c>
      <c r="CC167" s="20">
        <f>INDEX(Input!$1:$1048576,CC$93,$C167*2+6)</f>
        <v>0.1</v>
      </c>
      <c r="CD167" s="384">
        <f>INDEX(Input!$1:$1048576,CD$93,$C167*2+6)</f>
        <v>0.1</v>
      </c>
      <c r="CE167" s="384">
        <f>INDEX(Input!$1:$1048576,CE$93,$C167*2+6)</f>
        <v>0.1</v>
      </c>
      <c r="CF167" s="384">
        <f>INDEX(Input!$1:$1048576,CF$93,$C167*2+6)</f>
        <v>0.1</v>
      </c>
      <c r="CG167" s="384">
        <f>INDEX(Input!$1:$1048576,CG$93,$C167*2+6)</f>
        <v>0.1</v>
      </c>
      <c r="CH167" s="384">
        <f>INDEX(Input!$1:$1048576,CH$93,$C167*2+6)</f>
        <v>0.1</v>
      </c>
      <c r="CI167" s="304">
        <f t="shared" si="499"/>
        <v>1229</v>
      </c>
      <c r="CJ167" s="16" t="str">
        <f>INDEX(Input!$1:$1048576,CJ$93,$C167*2+6)</f>
        <v>N</v>
      </c>
      <c r="CK167" s="1" t="str">
        <f t="shared" si="500"/>
        <v>Market</v>
      </c>
      <c r="CL167" s="1" t="str">
        <f t="shared" si="501"/>
        <v>Market</v>
      </c>
      <c r="CM167" s="1" t="str">
        <f t="shared" si="502"/>
        <v>Market</v>
      </c>
      <c r="CN167" s="1" t="str">
        <f t="shared" si="503"/>
        <v>Market</v>
      </c>
      <c r="CO167" s="1" t="str">
        <f t="shared" si="504"/>
        <v>Market</v>
      </c>
      <c r="CP167" s="304">
        <f t="shared" si="505"/>
        <v>0</v>
      </c>
      <c r="CQ167" s="1">
        <f t="shared" si="506"/>
        <v>0</v>
      </c>
      <c r="CR167" s="1">
        <f t="shared" si="507"/>
        <v>0</v>
      </c>
      <c r="CS167" s="1">
        <f t="shared" si="508"/>
        <v>0</v>
      </c>
      <c r="CT167" s="1">
        <f t="shared" si="509"/>
        <v>1.9E-2</v>
      </c>
      <c r="CU167" s="1">
        <f t="shared" si="510"/>
        <v>3.9E-2</v>
      </c>
      <c r="CV167" s="304">
        <f t="shared" si="511"/>
        <v>1762</v>
      </c>
      <c r="CW167" s="20" t="s">
        <v>122</v>
      </c>
      <c r="CX167" s="20" t="s">
        <v>122</v>
      </c>
      <c r="CY167" s="20" t="s">
        <v>122</v>
      </c>
      <c r="CZ167" s="20" t="s">
        <v>122</v>
      </c>
      <c r="DA167" s="20" t="s">
        <v>122</v>
      </c>
      <c r="DB167" s="503">
        <f t="shared" si="512"/>
        <v>0</v>
      </c>
      <c r="DC167" s="127">
        <v>0</v>
      </c>
      <c r="DD167" s="127">
        <v>0</v>
      </c>
      <c r="DE167" s="127">
        <v>0</v>
      </c>
      <c r="DF167" s="127">
        <v>0</v>
      </c>
      <c r="DG167" s="127">
        <v>0</v>
      </c>
      <c r="DH167" s="127">
        <v>0</v>
      </c>
      <c r="DI167" s="127">
        <v>0</v>
      </c>
      <c r="DJ167" s="127">
        <v>0</v>
      </c>
      <c r="DK167" s="127">
        <v>0</v>
      </c>
      <c r="DL167" s="127">
        <v>0</v>
      </c>
      <c r="DM167" s="304">
        <f>INDEX(Input!$1:$1048576,DM$93,$C167*2+6)</f>
        <v>21036.84210526316</v>
      </c>
      <c r="DN167" s="20">
        <v>0</v>
      </c>
      <c r="DO167" s="20">
        <v>0</v>
      </c>
      <c r="DP167" s="20">
        <v>0</v>
      </c>
      <c r="DQ167" s="20">
        <v>0</v>
      </c>
      <c r="DR167" s="20">
        <v>0</v>
      </c>
      <c r="DS167" s="20">
        <f>INDEX(Input!$1:$1048576,DS$93,$C167*2+6)</f>
        <v>0.6</v>
      </c>
      <c r="DT167" s="20">
        <f>INDEX(Input!$1:$1048576,DT$93,$C167*2+6)</f>
        <v>0.55000000000000004</v>
      </c>
      <c r="DU167" s="20">
        <f>INDEX(Input!$1:$1048576,DU$93,$C167*2+6)</f>
        <v>0.52</v>
      </c>
      <c r="DV167" s="20">
        <f>INDEX(Input!$1:$1048576,DV$93,$C167*2+6)</f>
        <v>0.5</v>
      </c>
      <c r="DW167" s="20">
        <f>INDEX(Input!$1:$1048576,DW$93,$C167*2+6)</f>
        <v>0.45</v>
      </c>
      <c r="DX167" s="20"/>
      <c r="DY167" s="7">
        <v>0.10161257992915451</v>
      </c>
      <c r="DZ167" s="7">
        <v>0</v>
      </c>
      <c r="EA167" s="7">
        <v>0.48558852405623909</v>
      </c>
      <c r="EB167" s="7">
        <v>0</v>
      </c>
      <c r="EC167" s="7">
        <v>0</v>
      </c>
      <c r="ED167" s="7">
        <v>0</v>
      </c>
      <c r="EE167" s="7">
        <v>0</v>
      </c>
      <c r="EF167" s="7">
        <v>0</v>
      </c>
      <c r="EG167" s="7">
        <v>0</v>
      </c>
      <c r="EH167" s="7">
        <v>1.8402200445098656E-2</v>
      </c>
      <c r="EI167" s="7">
        <v>5.3739557110571885E-2</v>
      </c>
      <c r="EJ167" s="7">
        <v>0.33946684904131991</v>
      </c>
      <c r="EK167" s="7">
        <v>0.48247712639938112</v>
      </c>
      <c r="EL167" s="7">
        <v>0.10591426700362871</v>
      </c>
      <c r="EM167" s="7">
        <v>5.1101175713962159E-2</v>
      </c>
      <c r="EN167" s="7">
        <v>5.0085025442757725E-2</v>
      </c>
      <c r="EO167" s="7">
        <v>0.76213125160956319</v>
      </c>
      <c r="EP167" s="7">
        <v>8.209139576526131E-2</v>
      </c>
      <c r="EQ167" s="7">
        <v>6.26507472701546E-2</v>
      </c>
      <c r="ER167" s="7">
        <v>4.3041579912263296E-2</v>
      </c>
      <c r="ES167" s="7">
        <v>0.3616977203006444</v>
      </c>
      <c r="ET167" s="7">
        <v>0.41279889601460645</v>
      </c>
      <c r="EU167" s="6">
        <v>1270</v>
      </c>
      <c r="EV167" s="6">
        <v>0</v>
      </c>
      <c r="EW167" s="6">
        <v>1270</v>
      </c>
      <c r="EX167" s="6">
        <v>0</v>
      </c>
      <c r="EY167" s="6">
        <v>2039.7221397149681</v>
      </c>
      <c r="EZ167" s="6">
        <v>1905</v>
      </c>
      <c r="FA167" s="6">
        <v>0</v>
      </c>
      <c r="FB167" s="6">
        <v>0</v>
      </c>
      <c r="FC167" s="6">
        <v>0</v>
      </c>
      <c r="FD167" s="6">
        <v>0</v>
      </c>
      <c r="FE167" s="6">
        <v>0</v>
      </c>
      <c r="FF167" s="6">
        <v>0</v>
      </c>
      <c r="FG167" s="6">
        <v>0</v>
      </c>
      <c r="FH167" s="6">
        <v>1171.2811379695615</v>
      </c>
      <c r="FI167" s="6">
        <v>1553.9796069512404</v>
      </c>
      <c r="FJ167" s="6">
        <v>2101.2110117447405</v>
      </c>
      <c r="FK167" s="6">
        <v>1772.7139978623222</v>
      </c>
      <c r="FL167" s="6">
        <v>907.07682140966335</v>
      </c>
      <c r="FM167" s="6">
        <v>1769.7221397149681</v>
      </c>
      <c r="FN167" s="6">
        <v>0</v>
      </c>
      <c r="FO167" s="6">
        <v>0</v>
      </c>
      <c r="FP167" s="6">
        <v>0</v>
      </c>
      <c r="FQ167" s="6">
        <v>0</v>
      </c>
      <c r="FR167" s="6">
        <v>0</v>
      </c>
      <c r="FS167" s="6">
        <v>0</v>
      </c>
      <c r="FT167" s="7">
        <v>0.5872011039853936</v>
      </c>
      <c r="FU167" s="7">
        <v>5.1101175713962159E-2</v>
      </c>
      <c r="FV167" s="7">
        <v>0.3616977203006444</v>
      </c>
      <c r="FW167" s="6">
        <v>1269.9999999999998</v>
      </c>
      <c r="FX167" s="6">
        <v>2039.7221397149679</v>
      </c>
      <c r="FY167" s="6">
        <v>1905</v>
      </c>
      <c r="FZ167" s="6">
        <v>1952.7147957719815</v>
      </c>
      <c r="GA167" s="6">
        <v>1539.0117587034108</v>
      </c>
      <c r="GB167" s="6">
        <v>18445.988241296589</v>
      </c>
      <c r="GC167" s="7">
        <v>1.0519917368675835E-2</v>
      </c>
      <c r="GD167" s="7">
        <v>1.0158131270134624E-2</v>
      </c>
      <c r="GE167" s="7"/>
      <c r="GF167" s="7"/>
      <c r="GG167" s="7">
        <v>-3.4390583676870631E-2</v>
      </c>
      <c r="GH167" s="42">
        <v>1.6613264907415735</v>
      </c>
      <c r="GI167" s="6">
        <v>13568.555687229597</v>
      </c>
      <c r="GJ167" s="14">
        <v>0.50394797582841744</v>
      </c>
      <c r="GK167" s="14">
        <v>0.50887573065309755</v>
      </c>
      <c r="GL167" s="14">
        <v>0.49605202417158284</v>
      </c>
      <c r="GM167" s="14">
        <v>0.49112426934690256</v>
      </c>
      <c r="GO167" s="5">
        <v>343.14810671672558</v>
      </c>
      <c r="GP167" s="5">
        <v>318.91892952659737</v>
      </c>
      <c r="GQ167" s="5">
        <v>535.04305713031317</v>
      </c>
      <c r="GR167" s="5">
        <v>410.15490233172511</v>
      </c>
      <c r="GS167" s="5">
        <v>339.42744393800166</v>
      </c>
      <c r="GT167" s="5">
        <v>293.4407446948278</v>
      </c>
      <c r="GU167" s="5">
        <v>258.04012322764959</v>
      </c>
      <c r="GV167" s="39" t="s">
        <v>392</v>
      </c>
      <c r="GW167" s="5">
        <v>492.125</v>
      </c>
      <c r="GX167" s="5">
        <v>369.09375</v>
      </c>
      <c r="GY167" s="5">
        <v>295.27499999999998</v>
      </c>
      <c r="GZ167" s="5">
        <v>260.54902799031458</v>
      </c>
      <c r="HA167" s="5">
        <v>241.34874471337258</v>
      </c>
      <c r="HB167" s="39">
        <v>280.39841310148176</v>
      </c>
      <c r="HC167" s="5">
        <v>203.94062499999998</v>
      </c>
      <c r="HD167" s="5">
        <v>182.91997441520465</v>
      </c>
      <c r="HE167" s="5">
        <v>188.14796305668014</v>
      </c>
      <c r="HF167" s="5">
        <v>176.85563048245612</v>
      </c>
      <c r="HG167" s="5">
        <v>174.11888157894737</v>
      </c>
      <c r="HH167" s="39">
        <v>183.64321849947419</v>
      </c>
      <c r="HI167" s="16"/>
      <c r="HJ167" s="19" t="str">
        <f t="shared" si="390"/>
        <v>On</v>
      </c>
      <c r="HK167" s="1" t="str">
        <f t="shared" si="390"/>
        <v>On</v>
      </c>
      <c r="HL167" s="16"/>
      <c r="HM167" s="639">
        <f t="shared" si="446"/>
        <v>5.7455619280273196E-3</v>
      </c>
      <c r="HN167" s="639">
        <f t="shared" si="447"/>
        <v>5.0031960498701745E-4</v>
      </c>
      <c r="HO167" s="639">
        <f t="shared" si="448"/>
        <v>3.9819433988714835E-3</v>
      </c>
      <c r="HP167" s="644">
        <f>(FT167*$GD167-HM167)/$JF167*INDEX(Input!$1:$1048576,$JG$93,$C167*2+6)</f>
        <v>9.5630860402295337</v>
      </c>
      <c r="HQ167" s="644">
        <f>(FU167*$GD167-HN167)/$JF167*INDEX(Input!$1:$1048576,$JG$93,$C167*2+6)</f>
        <v>0.81861875423137931</v>
      </c>
      <c r="HR167" s="644">
        <f>(FV167*$GD167-HO167)/$JF167*INDEX(Input!$1:$1048576,$JG$93,$C167*2+6)</f>
        <v>-13.42080385491988</v>
      </c>
      <c r="HS167" s="644">
        <f t="shared" si="449"/>
        <v>-0.5611880280982382</v>
      </c>
      <c r="HT167" s="644">
        <f t="shared" si="450"/>
        <v>0.46619376172520283</v>
      </c>
      <c r="HU167" s="644">
        <f t="shared" si="451"/>
        <v>-1.9219801967259329</v>
      </c>
      <c r="HV167" s="648">
        <f t="shared" si="452"/>
        <v>0</v>
      </c>
      <c r="HW167" s="648">
        <f t="shared" si="453"/>
        <v>0</v>
      </c>
      <c r="HX167" s="648">
        <f t="shared" si="454"/>
        <v>0</v>
      </c>
      <c r="HY167" s="644">
        <f>INDEX(Input!$1:$1048576,HY$93,$C167*2+6)*INDEX(Input!$1:$1048576,$JG$93,$C167*2+6)</f>
        <v>110.00000000000001</v>
      </c>
      <c r="HZ167" s="644">
        <f>INDEX(Input!$1:$1048576,HZ$93,$C167*2+6)*INDEX(Input!$1:$1048576,$JG$93,$C167*2+6)</f>
        <v>157</v>
      </c>
      <c r="IA167" s="644">
        <f>INDEX(Input!$1:$1048576,IA$93,$C167*2+6)*INDEX(Input!$1:$1048576,$JG$93,$C167*2+6)</f>
        <v>179</v>
      </c>
      <c r="IB167" s="644">
        <f t="shared" si="455"/>
        <v>119.00189801213128</v>
      </c>
      <c r="IC167" s="644">
        <f t="shared" si="456"/>
        <v>158.28481251595659</v>
      </c>
      <c r="ID167" s="644">
        <f>IF(AND(INDEX(Input!$1:$1048576,IA$93,$C167*2+7)="TOS",Y167&lt;=INDEX(Y:Y,MATCH(C167*1000+2,A:A))),0,1)*MAX(IA167+HR167+HU167+HX167,0%)</f>
        <v>163.65721594835418</v>
      </c>
      <c r="IE167" s="128">
        <f t="shared" si="457"/>
        <v>0.2698798891801702</v>
      </c>
      <c r="IF167" s="128">
        <f t="shared" si="458"/>
        <v>0.3589681204610336</v>
      </c>
      <c r="IG167" s="128">
        <f t="shared" si="459"/>
        <v>0.37115199035879626</v>
      </c>
      <c r="IH167" s="21"/>
      <c r="II167" s="19">
        <f t="shared" si="460"/>
        <v>1240</v>
      </c>
      <c r="IJ167" s="19">
        <f t="shared" si="461"/>
        <v>2009.7221397149679</v>
      </c>
      <c r="IK167" s="19">
        <f t="shared" si="462"/>
        <v>2070</v>
      </c>
      <c r="IL167" s="19">
        <f t="shared" si="463"/>
        <v>29.999999999999773</v>
      </c>
      <c r="IM167" s="19">
        <f t="shared" si="464"/>
        <v>30</v>
      </c>
      <c r="IN167" s="19">
        <f t="shared" si="465"/>
        <v>-165</v>
      </c>
      <c r="IO167" s="39">
        <f t="shared" si="466"/>
        <v>0</v>
      </c>
      <c r="IP167" s="39">
        <f t="shared" si="467"/>
        <v>0</v>
      </c>
      <c r="IQ167" s="39">
        <f t="shared" si="468"/>
        <v>0</v>
      </c>
      <c r="IR167" s="39">
        <v>0</v>
      </c>
      <c r="IS167" s="39">
        <v>0</v>
      </c>
      <c r="IT167" s="39">
        <v>0</v>
      </c>
      <c r="IU167" s="39">
        <v>0</v>
      </c>
      <c r="IV167" s="39">
        <v>0</v>
      </c>
      <c r="IW167" s="39">
        <v>0</v>
      </c>
      <c r="IX167" s="39">
        <f>INDEX(Input!$1:$1048576,IX$93,$C167*2+6)+INDEX(Input!$1:$1048576,IX$94,$C167*2+6)</f>
        <v>1270</v>
      </c>
      <c r="IY167" s="39">
        <f>INDEX(Input!$1:$1048576,IY$93,$C167*2+6)+INDEX(Input!$1:$1048576,IY$94,$C167*2+6)</f>
        <v>2130.0624533823611</v>
      </c>
      <c r="IZ167" s="39">
        <f>INDEX(Input!$1:$1048576,IZ$93,$C167*2+6)+INDEX(Input!$1:$1048576,IZ$94,$C167*2+6)</f>
        <v>4373.7164157747848</v>
      </c>
      <c r="JA167" s="19">
        <f t="shared" si="469"/>
        <v>1299.9999999999998</v>
      </c>
      <c r="JB167" s="19">
        <f t="shared" si="470"/>
        <v>2160.0624533823611</v>
      </c>
      <c r="JC167" s="19">
        <f t="shared" si="471"/>
        <v>4208.7164157747848</v>
      </c>
      <c r="JD167" s="19">
        <f t="shared" si="472"/>
        <v>2688.3108894738866</v>
      </c>
      <c r="JE167" s="21"/>
      <c r="JF167" s="1">
        <f t="shared" si="473"/>
        <v>1.022782493188582E-2</v>
      </c>
      <c r="JG167" s="15">
        <f>INDEX(Input!$1:$1048576,JG$93,$C167*2+6)/(1+VLOOKUP(C167*1000+INDEX(Input!$1:$1048576,JG$93+1,$C167*2+6),$A:$KK,$JK$92,FALSE))</f>
        <v>446</v>
      </c>
      <c r="JH167" s="1">
        <f t="shared" si="474"/>
        <v>-6.8141234539438739E-3</v>
      </c>
      <c r="JI167" s="1">
        <f t="shared" si="475"/>
        <v>-4.5223642670380454E-3</v>
      </c>
      <c r="JJ167" s="1">
        <f t="shared" si="476"/>
        <v>0</v>
      </c>
      <c r="JK167" s="1">
        <f t="shared" si="477"/>
        <v>-1.1336487720981919E-2</v>
      </c>
      <c r="JL167" s="15">
        <f t="shared" si="478"/>
        <v>-5.0560735235579362</v>
      </c>
      <c r="JM167" s="15">
        <f t="shared" si="479"/>
        <v>440.94392647644207</v>
      </c>
      <c r="JN167" s="21"/>
      <c r="JO167" s="19">
        <f>INDEX(Input!$1:$1048576,JO$93,$C167*2+6)</f>
        <v>5995.5</v>
      </c>
      <c r="JP167" s="19">
        <f>INDEX(Input!$1:$1048576,JP$93,$C167*2+6)</f>
        <v>2818.4193802796353</v>
      </c>
      <c r="JQ167" s="39">
        <f t="shared" si="480"/>
        <v>3307.1891105261134</v>
      </c>
      <c r="JR167" s="39">
        <f t="shared" si="481"/>
        <v>-130.10849080574872</v>
      </c>
      <c r="JS167" s="39">
        <f t="shared" si="482"/>
        <v>1.1853943591939922</v>
      </c>
      <c r="JT167" s="39">
        <f t="shared" si="483"/>
        <v>-7.1620684410725249E-2</v>
      </c>
      <c r="JU167" s="385">
        <f>(JQ167*JM167-INDEX(Input!$1:$1048576,Input!A$18,$C167*2+6)*JL167*INDEX(Input!$1:$1048576,Input!A$19,$C167*2+6))/1000000</f>
        <v>1.4582849519955163</v>
      </c>
      <c r="JV167" s="39">
        <f t="shared" si="484"/>
        <v>4.1306995600233654E-2</v>
      </c>
      <c r="JW167" s="1">
        <f t="shared" si="485"/>
        <v>2.9151473679461096E-2</v>
      </c>
      <c r="JX167" s="19">
        <f t="shared" si="486"/>
        <v>14165.277478070788</v>
      </c>
      <c r="JZ167" s="341"/>
      <c r="KA167" s="342"/>
      <c r="KB167" s="469">
        <f t="shared" ref="KB167:KB182" si="514">KB166</f>
        <v>2.9286733661474216</v>
      </c>
      <c r="KI167" s="473">
        <f t="shared" si="487"/>
        <v>9.0018980121312921</v>
      </c>
      <c r="KJ167" s="473">
        <f t="shared" si="488"/>
        <v>1.2848125159565882</v>
      </c>
      <c r="KK167" s="473">
        <f t="shared" si="489"/>
        <v>-15.342784051645793</v>
      </c>
      <c r="KN167" s="544">
        <f t="shared" si="490"/>
        <v>1002</v>
      </c>
      <c r="KO167" s="541">
        <f t="shared" si="491"/>
        <v>-1.5389043047768447E-2</v>
      </c>
      <c r="KP167" s="546">
        <f t="shared" si="492"/>
        <v>-66.807358264583371</v>
      </c>
      <c r="KQ167" s="546">
        <f t="shared" si="493"/>
        <v>-151.00531054476505</v>
      </c>
      <c r="KR167" s="548">
        <f t="shared" si="494"/>
        <v>3.9495000690847109</v>
      </c>
      <c r="KS167" s="548">
        <f t="shared" si="495"/>
        <v>1.7473270650512642</v>
      </c>
      <c r="KT167" s="473">
        <f t="shared" ref="KT167:KT182" si="515">KT166</f>
        <v>238.28695973331548</v>
      </c>
      <c r="KU167" s="663">
        <f t="shared" si="496"/>
        <v>6.322524566566222</v>
      </c>
    </row>
    <row r="168" spans="1:308" s="26" customFormat="1" ht="15" outlineLevel="1">
      <c r="A168" s="561">
        <f t="shared" si="391"/>
        <v>1068</v>
      </c>
      <c r="B168" s="561">
        <f t="shared" si="513"/>
        <v>68</v>
      </c>
      <c r="C168" s="561">
        <f t="shared" si="105"/>
        <v>1</v>
      </c>
      <c r="D168" s="561" t="str">
        <f t="shared" si="294"/>
        <v xml:space="preserve">180 Lease, </v>
      </c>
      <c r="E168" s="475">
        <f>INDEX(Input!$1:$1048576,E$93,$C168*2+MIN($B168,2)+5)
+INDEX(Scenarios!E$121:E$200,MATCH($B168,Scenarios!$B$121:$B$200,0))</f>
        <v>1229</v>
      </c>
      <c r="F168" s="475">
        <f>INDEX(Input!$1:$1048576,F$93,$C168*2+MIN($B168,2)+5)
+INDEX(Scenarios!F$121:F$200,MATCH($B168,Scenarios!$B$121:$B$200,0))</f>
        <v>0</v>
      </c>
      <c r="G168" s="475">
        <f>INDEX(Input!$1:$1048576,G$93,$C168*2+MIN($B168,2)+5)
+INDEX(Scenarios!G$121:G$200,MATCH($B168,Scenarios!$B$121:$B$200,0))</f>
        <v>0</v>
      </c>
      <c r="H168" s="475">
        <f>INDEX(Input!$1:$1048576,H$93,$C168*2+MIN($B168,2)+5)
+INDEX(Scenarios!H$121:H$200,MATCH($B168,Scenarios!$B$121:$B$200,0))</f>
        <v>0</v>
      </c>
      <c r="I168" s="476">
        <f>INDEX(Input!$1:$1048576,I$93,$C168*2+MIN($B168,2)+5)</f>
        <v>0.7</v>
      </c>
      <c r="J168" s="476" t="str">
        <f>INDEX(Input!$1:$1048576,J$93,$C168*2+MIN($B168,2)+5)</f>
        <v>Market</v>
      </c>
      <c r="K168" s="476" t="str">
        <f>INDEX(Input!$1:$1048576,K$93,$C168*2+MIN($B168,2)+5)</f>
        <v>Market</v>
      </c>
      <c r="L168" s="476" t="str">
        <f>INDEX(Input!$1:$1048576,L$93,$C168*2+MIN($B168,2)+5)</f>
        <v>Market</v>
      </c>
      <c r="M168" s="476" t="str">
        <f>INDEX(Input!$1:$1048576,M$93,$C168*2+MIN($B168,2)+5)</f>
        <v>Market</v>
      </c>
      <c r="N168" s="476" t="str">
        <f>INDEX(Input!$1:$1048576,N$93,$C168*2+MIN($B168,2)+5)</f>
        <v>Market</v>
      </c>
      <c r="O168" s="476" t="str">
        <f>INDEX(Input!$1:$1048576,O$93,$C168*2+MIN($B168,2)+5)</f>
        <v>Market</v>
      </c>
      <c r="P168" s="476" t="str">
        <f>INDEX(Input!$1:$1048576,P$93,$C168*2+MIN($B168,2)+5)</f>
        <v>N</v>
      </c>
      <c r="Q168" s="477">
        <f>INDEX(Input!$1:$1048576,Q$93,$C168*2+MIN($B168,2)+5)
+INDEX(Scenarios!Q$121:Q$200,MATCH($B168,Scenarios!$B$121:$B$200,0))</f>
        <v>0</v>
      </c>
      <c r="R168" s="478">
        <f>IFERROR(MAX(0,INDEX(Input!$1:$1048576,R$93,$C168*2+MIN($B168,2)+5)
+INDEX(Scenarios!R$121:R$200,MATCH($B168,Scenarios!$B$121:$B$200,0)),),"Market")</f>
        <v>0</v>
      </c>
      <c r="S168" s="478">
        <f>IFERROR(MAX(0,INDEX(Input!$1:$1048576,S$93,$C168*2+MIN($B168,2)+5)
+INDEX(Scenarios!S$121:S$200,MATCH($B168,Scenarios!$B$121:$B$200,0)),),"Market")</f>
        <v>0</v>
      </c>
      <c r="T168" s="478">
        <f>IFERROR(MAX(0,INDEX(Input!$1:$1048576,T$93,$C168*2+MIN($B168,2)+5)
+INDEX(Scenarios!T$121:T$200,MATCH($B168,Scenarios!$B$121:$B$200,0)),),"Market")</f>
        <v>0</v>
      </c>
      <c r="U168" s="478">
        <f>IFERROR(MAX(0,INDEX(Input!$1:$1048576,U$93,$C168*2+MIN($B168,2)+5)
+INDEX(Scenarios!U$121:U$200,MATCH($B168,Scenarios!$B$121:$B$200,0)),),"Market")</f>
        <v>0</v>
      </c>
      <c r="V168" s="478">
        <f>IFERROR(MAX(0,INDEX(Input!$1:$1048576,V$93,$C168*2+MIN($B168,2)+5)
+INDEX(Scenarios!V$121:V$200,MATCH($B168,Scenarios!$B$121:$B$200,0)),),"Market")</f>
        <v>1.9E-2</v>
      </c>
      <c r="W168" s="885">
        <f>IFERROR(MAX(0,INDEX(Input!$1:$1048576,W$93,$C168*2+MIN($B168,2)+5)-0%,),"Market")</f>
        <v>3.9E-2</v>
      </c>
      <c r="X168" s="476" t="str">
        <f>INDEX(Input!$1:$1048576,X$93,$C168*2+MIN($B168,2)+5)</f>
        <v>Y</v>
      </c>
      <c r="Y168" s="475">
        <f>INDEX(Input!$1:$1048576,Y$93,$C168*2+MIN($B168,2)+5)
++INDEX(Scenarios!Y$121:Y$200,MATCH($B168,Scenarios!$B$121:$B$200,0))</f>
        <v>2122</v>
      </c>
      <c r="Z168" s="477">
        <f>INDEX(Input!$1:$1048576,Z$93,$C168*2+MIN($B168,2)+5)
+INDEX(Scenarios!Z$121:Z$200,MATCH($B168,Scenarios!$B$121:$B$200,0))</f>
        <v>0</v>
      </c>
      <c r="AA168" s="475">
        <f>INDEX(Input!$1:$1048576,AA$93,$C168*2+MIN($B168,2)+5)
+INDEX(Scenarios!AA$121:AA$200,MATCH($B168,Scenarios!$B$121:$B$200,0))</f>
        <v>0</v>
      </c>
      <c r="AB168" s="476">
        <f>INDEX(Input!$1:$1048576,AB$93,$C168*2+MIN($B168,2)+5)</f>
        <v>0.27</v>
      </c>
      <c r="AC168" s="475">
        <f>INDEX(Input!$1:$1048576,AC$93,$C168*2+MIN($B168,2)+5)
+INDEX(Scenarios!AC$121:AC$200,MATCH($B168,Scenarios!$B$121:$B$200,0))</f>
        <v>0</v>
      </c>
      <c r="AD168" s="476">
        <f>INDEX(Input!$1:$1048576,AD$93,$C168*2+MIN($B168,2)+5)</f>
        <v>0.27</v>
      </c>
      <c r="AE168" s="475">
        <f>INDEX(Input!$1:$1048576,AE$93,$C168*2+MIN($B168,2)+5)
+INDEX(Scenarios!AE$121:AE$200,MATCH($B168,Scenarios!$B$121:$B$200,0))</f>
        <v>0</v>
      </c>
      <c r="AF168" s="476">
        <f>INDEX(Input!$1:$1048576,AF$93,$C168*2+MIN($B168,2)+5)</f>
        <v>0.38</v>
      </c>
      <c r="AG168" s="475">
        <f>INDEX(Input!$1:$1048576,AG$93,$C168*2+MIN($B168,2)+5)
+INDEX(Scenarios!AG$121:AG$200,MATCH($B168,Scenarios!$B$121:$B$200,0))</f>
        <v>0</v>
      </c>
      <c r="AH168" s="476">
        <f>INDEX(Input!$1:$1048576,AH$93,$C168*2+MIN($B168,2)+5)</f>
        <v>0</v>
      </c>
      <c r="AI168" s="475">
        <f>INDEX(Input!$1:$1048576,AI$93,$C168*2+MIN($B168,2)+5)
+INDEX(Scenarios!AI$121:AI$200,MATCH($B168,Scenarios!$B$121:$B$200,0))</f>
        <v>0</v>
      </c>
      <c r="AJ168" s="476">
        <f>INDEX(Input!$1:$1048576,AJ$93,$C168*2+MIN($B168,2)+5)</f>
        <v>0.27</v>
      </c>
      <c r="AK168" s="150">
        <f>ROUND(INDEX(Input!$1:$1048576,AK$93,$C167*2+MIN($B168,1)+5)+(Y168-VLOOKUP($C168*1000+1,$A:$HH,Y$92,FALSE)),0)</f>
        <v>3937</v>
      </c>
      <c r="AL168" s="150">
        <f>ROUND(INDEX(Input!$1:$1048576,AL$93,$C167*2+MIN($B168,1)+5)-(Y168-VLOOKUP($C168*1000+1,$A:$HH,Y$92,FALSE))/36,0)</f>
        <v>4108</v>
      </c>
      <c r="AM168" s="32" t="str">
        <f t="shared" si="392"/>
        <v>std/std/std/std</v>
      </c>
      <c r="AN168" s="32" t="str">
        <f t="shared" si="393"/>
        <v>$0 + 0/0/0/1.9/3.9</v>
      </c>
      <c r="AO168" s="32" t="str">
        <f t="shared" si="394"/>
        <v>0/0/0/1.9/3.9</v>
      </c>
      <c r="AP168" s="32" t="str">
        <f t="shared" si="498"/>
        <v>0/0.9/1.9/3.9</v>
      </c>
      <c r="AQ168" s="536">
        <f t="shared" si="497"/>
        <v>0.22492689685207812</v>
      </c>
      <c r="AR168" s="32"/>
      <c r="AS168" s="302"/>
      <c r="AT168" s="3">
        <f t="shared" si="106"/>
        <v>68</v>
      </c>
      <c r="AU168" s="41" t="s">
        <v>121</v>
      </c>
      <c r="AV168" s="41" t="s">
        <v>116</v>
      </c>
      <c r="AW168" s="41" t="str">
        <f>INDEX(Input!$1:$1048576,AW$93,$C168*2+6)</f>
        <v>Kia</v>
      </c>
      <c r="AX168" s="41" t="str">
        <f>INDEX(Input!$1:$1048576,AX$93,$C168*2+6)</f>
        <v>Kia-LR - L1</v>
      </c>
      <c r="AY168" s="41" t="str">
        <f>IF(LEN(D168)=0,"",INDEX(Input!$1:$1048576,AY$93,$C168*2+6))</f>
        <v>Compact SUV (52)</v>
      </c>
      <c r="AZ168" s="41" t="str">
        <f>INDEX(Input!$1:$1048576,AZ$93,$C168*2+6)</f>
        <v>Kia Soul</v>
      </c>
      <c r="BA168" s="3">
        <f>INDEX(Input!$1:$1048576,BA$93,$C168*2+6)</f>
        <v>2020</v>
      </c>
      <c r="BB168" s="128">
        <f>INDEX(Input!$1:$1048576,BB$93,$C168*2+6)</f>
        <v>1</v>
      </c>
      <c r="BC168" s="128">
        <f>INDEX(Input!$1:$1048576,BC$93,$C168*2+6)</f>
        <v>0.7</v>
      </c>
      <c r="BD168" s="1">
        <f>INDEX(Input!$1:$1048576,BD$93,$C168*2+6)</f>
        <v>4.4999999999999998E-2</v>
      </c>
      <c r="BE168" s="1">
        <f>INDEX(Input!$1:$1048576,BE$93,$C168*2+6)</f>
        <v>4.4999999999999998E-2</v>
      </c>
      <c r="BF168" s="1">
        <f>INDEX(Input!$1:$1048576,BF$93,$C168*2+6)</f>
        <v>0.05</v>
      </c>
      <c r="BG168" s="1">
        <f>INDEX(Input!$1:$1048576,BG$93,$C168*2+6)</f>
        <v>5.45E-2</v>
      </c>
      <c r="BH168" s="1">
        <f>INDEX(Input!$1:$1048576,BH$93,$C168*2+6)</f>
        <v>5.45E-2</v>
      </c>
      <c r="BI168" s="1">
        <f>INDEX(Input!$1:$1048576,BI$93,$C168*2+6)</f>
        <v>0.05</v>
      </c>
      <c r="BJ168" s="1">
        <f>INDEX(Input!$1:$1048576,BJ$93,$C168*2+6)</f>
        <v>0.05</v>
      </c>
      <c r="BK168" s="1">
        <f>INDEX(Input!$1:$1048576,BK$93,$C168*2+6)</f>
        <v>0.05</v>
      </c>
      <c r="BL168" s="1">
        <f>INDEX(Input!$1:$1048576,BL$93,$C168*2+6)</f>
        <v>5.5E-2</v>
      </c>
      <c r="BM168" s="1">
        <f>INDEX(Input!$1:$1048576,BM$93,$C168*2+6)</f>
        <v>0.06</v>
      </c>
      <c r="BN168" s="1">
        <f>INDEX(Input!$1:$1048576,BN$93,$C168*2+6)</f>
        <v>4.4999999999999998E-2</v>
      </c>
      <c r="BO168" s="1">
        <f>INDEX(Input!$1:$1048576,BO$93,$C168*2+6)</f>
        <v>4.4999999999999998E-2</v>
      </c>
      <c r="BP168" s="1">
        <f>INDEX(Input!$1:$1048576,BP$93,$C168*2+6)</f>
        <v>0.05</v>
      </c>
      <c r="BQ168" s="1">
        <f>INDEX(Input!$1:$1048576,BQ$93,$C168*2+6)</f>
        <v>5.45E-2</v>
      </c>
      <c r="BR168" s="1">
        <f>INDEX(Input!$1:$1048576,BR$93,$C168*2+6)</f>
        <v>5.45E-2</v>
      </c>
      <c r="BS168" s="1">
        <f>INDEX(Input!$1:$1048576,BS$93,$C168*2+6)</f>
        <v>0.05</v>
      </c>
      <c r="BT168" s="1">
        <f>INDEX(Input!$1:$1048576,BT$93,$C168*2+6)</f>
        <v>0.05</v>
      </c>
      <c r="BU168" s="1">
        <f>INDEX(Input!$1:$1048576,BU$93,$C168*2+6)</f>
        <v>0.05</v>
      </c>
      <c r="BV168" s="1">
        <f>INDEX(Input!$1:$1048576,BV$93,$C168*2+6)</f>
        <v>5.5E-2</v>
      </c>
      <c r="BW168" s="1">
        <f>INDEX(Input!$1:$1048576,BW$93,$C168*2+6)</f>
        <v>0.06</v>
      </c>
      <c r="BX168" s="127">
        <f>INDEX(Input!$1:$1048576,BX$93,$C168*2+6)</f>
        <v>19985</v>
      </c>
      <c r="BY168" s="20">
        <f>INDEX(Input!$1:$1048576,BY$93,$C168*2+6)</f>
        <v>0.1</v>
      </c>
      <c r="BZ168" s="20">
        <f>INDEX(Input!$1:$1048576,BZ$93,$C168*2+6)</f>
        <v>0.1</v>
      </c>
      <c r="CA168" s="20">
        <f>INDEX(Input!$1:$1048576,CA$93,$C168*2+6)</f>
        <v>0.1</v>
      </c>
      <c r="CB168" s="20">
        <f>INDEX(Input!$1:$1048576,CB$93,$C168*2+6)</f>
        <v>0.1</v>
      </c>
      <c r="CC168" s="20">
        <f>INDEX(Input!$1:$1048576,CC$93,$C168*2+6)</f>
        <v>0.1</v>
      </c>
      <c r="CD168" s="384">
        <f>INDEX(Input!$1:$1048576,CD$93,$C168*2+6)</f>
        <v>0.1</v>
      </c>
      <c r="CE168" s="384">
        <f>INDEX(Input!$1:$1048576,CE$93,$C168*2+6)</f>
        <v>0.1</v>
      </c>
      <c r="CF168" s="384">
        <f>INDEX(Input!$1:$1048576,CF$93,$C168*2+6)</f>
        <v>0.1</v>
      </c>
      <c r="CG168" s="384">
        <f>INDEX(Input!$1:$1048576,CG$93,$C168*2+6)</f>
        <v>0.1</v>
      </c>
      <c r="CH168" s="384">
        <f>INDEX(Input!$1:$1048576,CH$93,$C168*2+6)</f>
        <v>0.1</v>
      </c>
      <c r="CI168" s="304">
        <f t="shared" si="499"/>
        <v>1229</v>
      </c>
      <c r="CJ168" s="16" t="str">
        <f>INDEX(Input!$1:$1048576,CJ$93,$C168*2+6)</f>
        <v>N</v>
      </c>
      <c r="CK168" s="1" t="str">
        <f t="shared" si="500"/>
        <v>Market</v>
      </c>
      <c r="CL168" s="1" t="str">
        <f t="shared" si="501"/>
        <v>Market</v>
      </c>
      <c r="CM168" s="1" t="str">
        <f t="shared" si="502"/>
        <v>Market</v>
      </c>
      <c r="CN168" s="1" t="str">
        <f t="shared" si="503"/>
        <v>Market</v>
      </c>
      <c r="CO168" s="1" t="str">
        <f t="shared" si="504"/>
        <v>Market</v>
      </c>
      <c r="CP168" s="304">
        <f t="shared" si="505"/>
        <v>0</v>
      </c>
      <c r="CQ168" s="1">
        <f t="shared" si="506"/>
        <v>0</v>
      </c>
      <c r="CR168" s="1">
        <f t="shared" si="507"/>
        <v>0</v>
      </c>
      <c r="CS168" s="1">
        <f t="shared" si="508"/>
        <v>0</v>
      </c>
      <c r="CT168" s="1">
        <f t="shared" si="509"/>
        <v>1.9E-2</v>
      </c>
      <c r="CU168" s="1">
        <f t="shared" si="510"/>
        <v>3.9E-2</v>
      </c>
      <c r="CV168" s="304">
        <f t="shared" si="511"/>
        <v>2122</v>
      </c>
      <c r="CW168" s="20" t="s">
        <v>122</v>
      </c>
      <c r="CX168" s="20" t="s">
        <v>122</v>
      </c>
      <c r="CY168" s="20" t="s">
        <v>122</v>
      </c>
      <c r="CZ168" s="20" t="s">
        <v>122</v>
      </c>
      <c r="DA168" s="20" t="s">
        <v>122</v>
      </c>
      <c r="DB168" s="503">
        <f t="shared" si="512"/>
        <v>0</v>
      </c>
      <c r="DC168" s="127">
        <v>0</v>
      </c>
      <c r="DD168" s="127">
        <v>0</v>
      </c>
      <c r="DE168" s="127">
        <v>0</v>
      </c>
      <c r="DF168" s="127">
        <v>0</v>
      </c>
      <c r="DG168" s="127">
        <v>0</v>
      </c>
      <c r="DH168" s="127">
        <v>0</v>
      </c>
      <c r="DI168" s="127">
        <v>0</v>
      </c>
      <c r="DJ168" s="127">
        <v>0</v>
      </c>
      <c r="DK168" s="127">
        <v>0</v>
      </c>
      <c r="DL168" s="127">
        <v>0</v>
      </c>
      <c r="DM168" s="304">
        <f>INDEX(Input!$1:$1048576,DM$93,$C168*2+6)</f>
        <v>21036.84210526316</v>
      </c>
      <c r="DN168" s="20">
        <v>0</v>
      </c>
      <c r="DO168" s="20">
        <v>0</v>
      </c>
      <c r="DP168" s="20">
        <v>0</v>
      </c>
      <c r="DQ168" s="20">
        <v>0</v>
      </c>
      <c r="DR168" s="20">
        <v>0</v>
      </c>
      <c r="DS168" s="20">
        <f>INDEX(Input!$1:$1048576,DS$93,$C168*2+6)</f>
        <v>0.6</v>
      </c>
      <c r="DT168" s="20">
        <f>INDEX(Input!$1:$1048576,DT$93,$C168*2+6)</f>
        <v>0.55000000000000004</v>
      </c>
      <c r="DU168" s="20">
        <f>INDEX(Input!$1:$1048576,DU$93,$C168*2+6)</f>
        <v>0.52</v>
      </c>
      <c r="DV168" s="20">
        <f>INDEX(Input!$1:$1048576,DV$93,$C168*2+6)</f>
        <v>0.5</v>
      </c>
      <c r="DW168" s="20">
        <f>INDEX(Input!$1:$1048576,DW$93,$C168*2+6)</f>
        <v>0.45</v>
      </c>
      <c r="DX168" s="20"/>
      <c r="DY168" s="7">
        <v>9.3123763580409913E-2</v>
      </c>
      <c r="DZ168" s="7">
        <v>0</v>
      </c>
      <c r="EA168" s="7">
        <v>0.44502197408137062</v>
      </c>
      <c r="EB168" s="7">
        <v>0</v>
      </c>
      <c r="EC168" s="7">
        <v>0</v>
      </c>
      <c r="ED168" s="7">
        <v>0</v>
      </c>
      <c r="EE168" s="7">
        <v>0</v>
      </c>
      <c r="EF168" s="7">
        <v>0</v>
      </c>
      <c r="EG168" s="7">
        <v>0</v>
      </c>
      <c r="EH168" s="7">
        <v>1.8402200445098656E-2</v>
      </c>
      <c r="EI168" s="7">
        <v>5.3739557110571878E-2</v>
      </c>
      <c r="EJ168" s="7">
        <v>0.33946684904131991</v>
      </c>
      <c r="EK168" s="7">
        <v>0.4824771263993809</v>
      </c>
      <c r="EL168" s="7">
        <v>0.10591426700362871</v>
      </c>
      <c r="EM168" s="7">
        <v>4.6832132489755117E-2</v>
      </c>
      <c r="EN168" s="7">
        <v>5.1600264466425315E-2</v>
      </c>
      <c r="EO168" s="7">
        <v>0.77416835812351281</v>
      </c>
      <c r="EP168" s="7">
        <v>7.6027557584774447E-2</v>
      </c>
      <c r="EQ168" s="7">
        <v>5.7888345626876649E-2</v>
      </c>
      <c r="ER168" s="7">
        <v>4.0315474198410889E-2</v>
      </c>
      <c r="ES168" s="7">
        <v>0.41502212984846443</v>
      </c>
      <c r="ET168" s="7">
        <v>0.46185426233821947</v>
      </c>
      <c r="EU168" s="6">
        <v>1270</v>
      </c>
      <c r="EV168" s="6">
        <v>0</v>
      </c>
      <c r="EW168" s="6">
        <v>1270</v>
      </c>
      <c r="EX168" s="6">
        <v>0</v>
      </c>
      <c r="EY168" s="6">
        <v>2039.7221397149681</v>
      </c>
      <c r="EZ168" s="6">
        <v>2265</v>
      </c>
      <c r="FA168" s="6">
        <v>0</v>
      </c>
      <c r="FB168" s="6">
        <v>0</v>
      </c>
      <c r="FC168" s="6">
        <v>0</v>
      </c>
      <c r="FD168" s="6">
        <v>0</v>
      </c>
      <c r="FE168" s="6">
        <v>0</v>
      </c>
      <c r="FF168" s="6">
        <v>0</v>
      </c>
      <c r="FG168" s="6">
        <v>0</v>
      </c>
      <c r="FH168" s="6">
        <v>1171.2811379695615</v>
      </c>
      <c r="FI168" s="6">
        <v>1553.9796069512404</v>
      </c>
      <c r="FJ168" s="6">
        <v>2101.2110117447405</v>
      </c>
      <c r="FK168" s="6">
        <v>1772.7139978623231</v>
      </c>
      <c r="FL168" s="6">
        <v>907.07682140966324</v>
      </c>
      <c r="FM168" s="6">
        <v>1769.7221397149681</v>
      </c>
      <c r="FN168" s="6">
        <v>0</v>
      </c>
      <c r="FO168" s="6">
        <v>0</v>
      </c>
      <c r="FP168" s="6">
        <v>0</v>
      </c>
      <c r="FQ168" s="6">
        <v>0</v>
      </c>
      <c r="FR168" s="6">
        <v>0</v>
      </c>
      <c r="FS168" s="6">
        <v>0</v>
      </c>
      <c r="FT168" s="7">
        <v>0.53814573766178053</v>
      </c>
      <c r="FU168" s="7">
        <v>4.6832132489755117E-2</v>
      </c>
      <c r="FV168" s="7">
        <v>0.41502212984846443</v>
      </c>
      <c r="FW168" s="6">
        <v>1270</v>
      </c>
      <c r="FX168" s="6">
        <v>2039.7221397149681</v>
      </c>
      <c r="FY168" s="6">
        <v>2265</v>
      </c>
      <c r="FZ168" s="6">
        <v>1952.7147957719815</v>
      </c>
      <c r="GA168" s="6">
        <v>1718.9947484266513</v>
      </c>
      <c r="GB168" s="6">
        <v>18266.005251573348</v>
      </c>
      <c r="GC168" s="7">
        <v>1.0519917368675835E-2</v>
      </c>
      <c r="GD168" s="7">
        <v>1.0376245468779719E-2</v>
      </c>
      <c r="GE168" s="7"/>
      <c r="GF168" s="7"/>
      <c r="GG168" s="7">
        <v>-1.3657131977472935E-2</v>
      </c>
      <c r="GH168" s="42">
        <v>1.1677979089509629</v>
      </c>
      <c r="GI168" s="6">
        <v>18832.40096950185</v>
      </c>
      <c r="GJ168" s="14">
        <v>0.50394797582841722</v>
      </c>
      <c r="GK168" s="14">
        <v>0.50887573065309744</v>
      </c>
      <c r="GL168" s="14">
        <v>0.49605202417158278</v>
      </c>
      <c r="GM168" s="14">
        <v>0.4911242693469024</v>
      </c>
      <c r="GO168" s="5">
        <v>343.14810671672558</v>
      </c>
      <c r="GP168" s="5">
        <v>318.91892952659737</v>
      </c>
      <c r="GQ168" s="5">
        <v>535.04305713031317</v>
      </c>
      <c r="GR168" s="5">
        <v>410.15490233172511</v>
      </c>
      <c r="GS168" s="5">
        <v>339.42744393800166</v>
      </c>
      <c r="GT168" s="5">
        <v>293.4407446948278</v>
      </c>
      <c r="GU168" s="5">
        <v>258.04012322764959</v>
      </c>
      <c r="GV168" s="39" t="s">
        <v>392</v>
      </c>
      <c r="GW168" s="5">
        <v>492.125</v>
      </c>
      <c r="GX168" s="5">
        <v>369.09375</v>
      </c>
      <c r="GY168" s="5">
        <v>295.27499999999998</v>
      </c>
      <c r="GZ168" s="5">
        <v>260.54902799031458</v>
      </c>
      <c r="HA168" s="5">
        <v>241.34874471337258</v>
      </c>
      <c r="HB168" s="39">
        <v>280.39841310148165</v>
      </c>
      <c r="HC168" s="5">
        <v>188.19062499999998</v>
      </c>
      <c r="HD168" s="5">
        <v>172.16997441520465</v>
      </c>
      <c r="HE168" s="5">
        <v>178.16719382591089</v>
      </c>
      <c r="HF168" s="5">
        <v>168.5306304824561</v>
      </c>
      <c r="HG168" s="5">
        <v>167.21888157894736</v>
      </c>
      <c r="HH168" s="39">
        <v>173.04231691147217</v>
      </c>
      <c r="HI168" s="16"/>
      <c r="HJ168" s="19" t="str">
        <f t="shared" si="390"/>
        <v>On</v>
      </c>
      <c r="HK168" s="1" t="str">
        <f t="shared" si="390"/>
        <v>On</v>
      </c>
      <c r="HL168" s="16"/>
      <c r="HM168" s="639">
        <f t="shared" si="446"/>
        <v>5.7455619280273196E-3</v>
      </c>
      <c r="HN168" s="639">
        <f t="shared" si="447"/>
        <v>5.0031960498701745E-4</v>
      </c>
      <c r="HO168" s="639">
        <f t="shared" si="448"/>
        <v>3.9819433988714835E-3</v>
      </c>
      <c r="HP168" s="644">
        <f>(FT168*$GD168-HM168)/$JF168*INDEX(Input!$1:$1048576,$JG$93,$C168*2+6)</f>
        <v>-7.0481091618021328</v>
      </c>
      <c r="HQ168" s="644">
        <f>(FU168*$GD168-HN168)/$JF168*INDEX(Input!$1:$1048576,$JG$93,$C168*2+6)</f>
        <v>-0.62697049803110361</v>
      </c>
      <c r="HR168" s="644">
        <f>(FV168*$GD168-HO168)/$JF168*INDEX(Input!$1:$1048576,$JG$93,$C168*2+6)</f>
        <v>14.147184911489502</v>
      </c>
      <c r="HS168" s="644">
        <f t="shared" si="449"/>
        <v>-0.56118802809824231</v>
      </c>
      <c r="HT168" s="644">
        <f t="shared" si="450"/>
        <v>0.46619376172520632</v>
      </c>
      <c r="HU168" s="644">
        <f t="shared" si="451"/>
        <v>2.8405808207631167</v>
      </c>
      <c r="HV168" s="648">
        <f t="shared" si="452"/>
        <v>0</v>
      </c>
      <c r="HW168" s="648">
        <f t="shared" si="453"/>
        <v>0</v>
      </c>
      <c r="HX168" s="648">
        <f t="shared" si="454"/>
        <v>0</v>
      </c>
      <c r="HY168" s="644">
        <f>INDEX(Input!$1:$1048576,HY$93,$C168*2+6)*INDEX(Input!$1:$1048576,$JG$93,$C168*2+6)</f>
        <v>110.00000000000001</v>
      </c>
      <c r="HZ168" s="644">
        <f>INDEX(Input!$1:$1048576,HZ$93,$C168*2+6)*INDEX(Input!$1:$1048576,$JG$93,$C168*2+6)</f>
        <v>157</v>
      </c>
      <c r="IA168" s="644">
        <f>INDEX(Input!$1:$1048576,IA$93,$C168*2+6)*INDEX(Input!$1:$1048576,$JG$93,$C168*2+6)</f>
        <v>179</v>
      </c>
      <c r="IB168" s="644">
        <f t="shared" si="455"/>
        <v>102.39070281009967</v>
      </c>
      <c r="IC168" s="644">
        <f t="shared" si="456"/>
        <v>156.83922326369409</v>
      </c>
      <c r="ID168" s="644">
        <f>IF(AND(INDEX(Input!$1:$1048576,IA$93,$C168*2+7)="TOS",Y168&lt;=INDEX(Y:Y,MATCH(C168*1000+2,A:A))),0,1)*MAX(IA168+HR168+HU168+HX168,0%)</f>
        <v>195.9877657322526</v>
      </c>
      <c r="IE168" s="128">
        <f t="shared" si="457"/>
        <v>0.22492689685207812</v>
      </c>
      <c r="IF168" s="128">
        <f t="shared" si="458"/>
        <v>0.3445367482125854</v>
      </c>
      <c r="IG168" s="128">
        <f t="shared" si="459"/>
        <v>0.43053635493533654</v>
      </c>
      <c r="IH168" s="21"/>
      <c r="II168" s="19">
        <f t="shared" si="460"/>
        <v>1240</v>
      </c>
      <c r="IJ168" s="19">
        <f t="shared" si="461"/>
        <v>2009.7221397149679</v>
      </c>
      <c r="IK168" s="19">
        <f t="shared" si="462"/>
        <v>2070</v>
      </c>
      <c r="IL168" s="19">
        <f t="shared" si="463"/>
        <v>30</v>
      </c>
      <c r="IM168" s="19">
        <f t="shared" si="464"/>
        <v>30.000000000000227</v>
      </c>
      <c r="IN168" s="19">
        <f t="shared" si="465"/>
        <v>195</v>
      </c>
      <c r="IO168" s="39">
        <f t="shared" si="466"/>
        <v>0</v>
      </c>
      <c r="IP168" s="39">
        <f t="shared" si="467"/>
        <v>0</v>
      </c>
      <c r="IQ168" s="39">
        <f t="shared" si="468"/>
        <v>0</v>
      </c>
      <c r="IR168" s="39">
        <v>0</v>
      </c>
      <c r="IS168" s="39">
        <v>0</v>
      </c>
      <c r="IT168" s="39">
        <v>0</v>
      </c>
      <c r="IU168" s="39">
        <v>0</v>
      </c>
      <c r="IV168" s="39">
        <v>0</v>
      </c>
      <c r="IW168" s="39">
        <v>0</v>
      </c>
      <c r="IX168" s="39">
        <f>INDEX(Input!$1:$1048576,IX$93,$C168*2+6)+INDEX(Input!$1:$1048576,IX$94,$C168*2+6)</f>
        <v>1270</v>
      </c>
      <c r="IY168" s="39">
        <f>INDEX(Input!$1:$1048576,IY$93,$C168*2+6)+INDEX(Input!$1:$1048576,IY$94,$C168*2+6)</f>
        <v>2130.0624533823611</v>
      </c>
      <c r="IZ168" s="39">
        <f>INDEX(Input!$1:$1048576,IZ$93,$C168*2+6)+INDEX(Input!$1:$1048576,IZ$94,$C168*2+6)</f>
        <v>4373.7164157747848</v>
      </c>
      <c r="JA168" s="19">
        <f t="shared" si="469"/>
        <v>1300</v>
      </c>
      <c r="JB168" s="19">
        <f t="shared" si="470"/>
        <v>2160.0624533823611</v>
      </c>
      <c r="JC168" s="19">
        <f t="shared" si="471"/>
        <v>4568.7164157747848</v>
      </c>
      <c r="JD168" s="19">
        <f t="shared" si="472"/>
        <v>3003.6243719130707</v>
      </c>
      <c r="JE168" s="21"/>
      <c r="JF168" s="1">
        <f t="shared" si="473"/>
        <v>1.022782493188582E-2</v>
      </c>
      <c r="JG168" s="15">
        <f>INDEX(Input!$1:$1048576,JG$93,$C168*2+6)/(1+VLOOKUP(C168*1000+INDEX(Input!$1:$1048576,JG$93+1,$C168*2+6),$A:$KK,$JK$92,FALSE))</f>
        <v>446</v>
      </c>
      <c r="JH168" s="1">
        <f t="shared" si="474"/>
        <v>1.4511446752592524E-2</v>
      </c>
      <c r="JI168" s="1">
        <f t="shared" si="475"/>
        <v>6.1560236645517505E-3</v>
      </c>
      <c r="JJ168" s="1">
        <f t="shared" si="476"/>
        <v>0</v>
      </c>
      <c r="JK168" s="1">
        <f t="shared" si="477"/>
        <v>2.0667470417144274E-2</v>
      </c>
      <c r="JL168" s="15">
        <f t="shared" si="478"/>
        <v>9.2176918060463464</v>
      </c>
      <c r="JM168" s="15">
        <f t="shared" si="479"/>
        <v>455.21769180604633</v>
      </c>
      <c r="JN168" s="21"/>
      <c r="JO168" s="19">
        <f>INDEX(Input!$1:$1048576,JO$93,$C168*2+6)</f>
        <v>5995.5</v>
      </c>
      <c r="JP168" s="19">
        <f>INDEX(Input!$1:$1048576,JP$93,$C168*2+6)</f>
        <v>2818.4193802796353</v>
      </c>
      <c r="JQ168" s="39">
        <f t="shared" si="480"/>
        <v>2991.8756280869293</v>
      </c>
      <c r="JR168" s="39">
        <f t="shared" si="481"/>
        <v>185.20499163343538</v>
      </c>
      <c r="JS168" s="39">
        <f t="shared" si="482"/>
        <v>1.3673029536346537</v>
      </c>
      <c r="JT168" s="39">
        <f t="shared" si="483"/>
        <v>0.11028791002993635</v>
      </c>
      <c r="JU168" s="385">
        <f>(JQ168*JM168-INDEX(Input!$1:$1048576,Input!A$18,$C168*2+6)*JL168*INDEX(Input!$1:$1048576,Input!A$19,$C168*2+6))/1000000</f>
        <v>1.3619547175884972</v>
      </c>
      <c r="JV168" s="39">
        <f t="shared" si="484"/>
        <v>-5.5023238806785502E-2</v>
      </c>
      <c r="JW168" s="1">
        <f t="shared" si="485"/>
        <v>-3.88314006992471E-2</v>
      </c>
      <c r="JX168" s="19">
        <f t="shared" si="486"/>
        <v>11964.807714399061</v>
      </c>
      <c r="JZ168" s="341"/>
      <c r="KA168" s="342"/>
      <c r="KB168" s="469">
        <f t="shared" si="514"/>
        <v>2.9286733661474216</v>
      </c>
      <c r="KI168" s="473">
        <f t="shared" si="487"/>
        <v>-7.6092971899003459</v>
      </c>
      <c r="KJ168" s="473">
        <f t="shared" si="488"/>
        <v>-0.16077673630590539</v>
      </c>
      <c r="KK168" s="473">
        <f t="shared" si="489"/>
        <v>16.987765732252598</v>
      </c>
      <c r="KN168" s="544">
        <f t="shared" si="490"/>
        <v>1002</v>
      </c>
      <c r="KO168" s="541">
        <f t="shared" si="491"/>
        <v>1.6483730102320626E-2</v>
      </c>
      <c r="KP168" s="546">
        <f t="shared" si="492"/>
        <v>77.496543888360677</v>
      </c>
      <c r="KQ168" s="546">
        <f t="shared" si="493"/>
        <v>164.30817189441905</v>
      </c>
      <c r="KR168" s="548">
        <f t="shared" si="494"/>
        <v>3.6469345598916632</v>
      </c>
      <c r="KS168" s="548">
        <f t="shared" si="495"/>
        <v>1.7200898830536093</v>
      </c>
      <c r="KT168" s="473">
        <f t="shared" si="515"/>
        <v>238.28695973331548</v>
      </c>
      <c r="KU168" s="663">
        <f t="shared" si="496"/>
        <v>6.0573715585014147</v>
      </c>
    </row>
    <row r="169" spans="1:308" s="26" customFormat="1" ht="15" outlineLevel="1">
      <c r="A169" s="561">
        <f t="shared" si="391"/>
        <v>1069</v>
      </c>
      <c r="B169" s="561">
        <f t="shared" si="513"/>
        <v>69</v>
      </c>
      <c r="C169" s="561">
        <f t="shared" si="105"/>
        <v>1</v>
      </c>
      <c r="D169" s="561" t="str">
        <f t="shared" si="294"/>
        <v xml:space="preserve">500 CC, 0/1.8/2.8/3.9, 1000 Combo, </v>
      </c>
      <c r="E169" s="475">
        <f>INDEX(Input!$1:$1048576,E$93,$C169*2+MIN($B169,2)+5)
+INDEX(Scenarios!E$121:E$200,MATCH($B169,Scenarios!$B$121:$B$200,0))</f>
        <v>1729</v>
      </c>
      <c r="F169" s="475">
        <f>INDEX(Input!$1:$1048576,F$93,$C169*2+MIN($B169,2)+5)
+INDEX(Scenarios!F$121:F$200,MATCH($B169,Scenarios!$B$121:$B$200,0))</f>
        <v>0</v>
      </c>
      <c r="G169" s="475">
        <f>INDEX(Input!$1:$1048576,G$93,$C169*2+MIN($B169,2)+5)
+INDEX(Scenarios!G$121:G$200,MATCH($B169,Scenarios!$B$121:$B$200,0))</f>
        <v>0</v>
      </c>
      <c r="H169" s="475">
        <f>INDEX(Input!$1:$1048576,H$93,$C169*2+MIN($B169,2)+5)
+INDEX(Scenarios!H$121:H$200,MATCH($B169,Scenarios!$B$121:$B$200,0))</f>
        <v>0</v>
      </c>
      <c r="I169" s="476">
        <f>INDEX(Input!$1:$1048576,I$93,$C169*2+MIN($B169,2)+5)</f>
        <v>0.7</v>
      </c>
      <c r="J169" s="476" t="str">
        <f>INDEX(Input!$1:$1048576,J$93,$C169*2+MIN($B169,2)+5)</f>
        <v>Market</v>
      </c>
      <c r="K169" s="476" t="str">
        <f>INDEX(Input!$1:$1048576,K$93,$C169*2+MIN($B169,2)+5)</f>
        <v>Market</v>
      </c>
      <c r="L169" s="476" t="str">
        <f>INDEX(Input!$1:$1048576,L$93,$C169*2+MIN($B169,2)+5)</f>
        <v>Market</v>
      </c>
      <c r="M169" s="476" t="str">
        <f>INDEX(Input!$1:$1048576,M$93,$C169*2+MIN($B169,2)+5)</f>
        <v>Market</v>
      </c>
      <c r="N169" s="476" t="str">
        <f>INDEX(Input!$1:$1048576,N$93,$C169*2+MIN($B169,2)+5)</f>
        <v>Market</v>
      </c>
      <c r="O169" s="476" t="str">
        <f>INDEX(Input!$1:$1048576,O$93,$C169*2+MIN($B169,2)+5)</f>
        <v>Market</v>
      </c>
      <c r="P169" s="476" t="str">
        <f>INDEX(Input!$1:$1048576,P$93,$C169*2+MIN($B169,2)+5)</f>
        <v>N</v>
      </c>
      <c r="Q169" s="477">
        <f>INDEX(Input!$1:$1048576,Q$93,$C169*2+MIN($B169,2)+5)
+INDEX(Scenarios!Q$121:Q$200,MATCH($B169,Scenarios!$B$121:$B$200,0))</f>
        <v>1000</v>
      </c>
      <c r="R169" s="478">
        <f>IFERROR(MAX(0,INDEX(Input!$1:$1048576,R$93,$C169*2+MIN($B169,2)+5)
+INDEX(Scenarios!R$121:R$200,MATCH($B169,Scenarios!$B$121:$B$200,0)),),"Market")</f>
        <v>0</v>
      </c>
      <c r="S169" s="478">
        <f>IFERROR(MAX(0,INDEX(Input!$1:$1048576,S$93,$C169*2+MIN($B169,2)+5)
+INDEX(Scenarios!S$121:S$200,MATCH($B169,Scenarios!$B$121:$B$200,0)),),"Market")</f>
        <v>0</v>
      </c>
      <c r="T169" s="478">
        <f>IFERROR(MAX(0,INDEX(Input!$1:$1048576,T$93,$C169*2+MIN($B169,2)+5)
+INDEX(Scenarios!T$121:T$200,MATCH($B169,Scenarios!$B$121:$B$200,0)),),"Market")</f>
        <v>0</v>
      </c>
      <c r="U169" s="478">
        <f>IFERROR(MAX(0,INDEX(Input!$1:$1048576,U$93,$C169*2+MIN($B169,2)+5)
+INDEX(Scenarios!U$121:U$200,MATCH($B169,Scenarios!$B$121:$B$200,0)),),"Market")</f>
        <v>0</v>
      </c>
      <c r="V169" s="478">
        <f>IFERROR(MAX(0,INDEX(Input!$1:$1048576,V$93,$C169*2+MIN($B169,2)+5)
+INDEX(Scenarios!V$121:V$200,MATCH($B169,Scenarios!$B$121:$B$200,0)),),"Market")</f>
        <v>2.7999999999999997E-2</v>
      </c>
      <c r="W169" s="885">
        <f>IFERROR(MAX(0,INDEX(Input!$1:$1048576,W$93,$C169*2+MIN($B169,2)+5)-0%,),"Market")</f>
        <v>3.9E-2</v>
      </c>
      <c r="X169" s="476" t="str">
        <f>INDEX(Input!$1:$1048576,X$93,$C169*2+MIN($B169,2)+5)</f>
        <v>Y</v>
      </c>
      <c r="Y169" s="475">
        <f>INDEX(Input!$1:$1048576,Y$93,$C169*2+MIN($B169,2)+5)
++INDEX(Scenarios!Y$121:Y$200,MATCH($B169,Scenarios!$B$121:$B$200,0))</f>
        <v>1942</v>
      </c>
      <c r="Z169" s="477">
        <f>INDEX(Input!$1:$1048576,Z$93,$C169*2+MIN($B169,2)+5)
+INDEX(Scenarios!Z$121:Z$200,MATCH($B169,Scenarios!$B$121:$B$200,0))</f>
        <v>0</v>
      </c>
      <c r="AA169" s="475">
        <f>INDEX(Input!$1:$1048576,AA$93,$C169*2+MIN($B169,2)+5)
+INDEX(Scenarios!AA$121:AA$200,MATCH($B169,Scenarios!$B$121:$B$200,0))</f>
        <v>0</v>
      </c>
      <c r="AB169" s="476">
        <f>INDEX(Input!$1:$1048576,AB$93,$C169*2+MIN($B169,2)+5)</f>
        <v>0.27</v>
      </c>
      <c r="AC169" s="475">
        <f>INDEX(Input!$1:$1048576,AC$93,$C169*2+MIN($B169,2)+5)
+INDEX(Scenarios!AC$121:AC$200,MATCH($B169,Scenarios!$B$121:$B$200,0))</f>
        <v>0</v>
      </c>
      <c r="AD169" s="476">
        <f>INDEX(Input!$1:$1048576,AD$93,$C169*2+MIN($B169,2)+5)</f>
        <v>0.27</v>
      </c>
      <c r="AE169" s="475">
        <f>INDEX(Input!$1:$1048576,AE$93,$C169*2+MIN($B169,2)+5)
+INDEX(Scenarios!AE$121:AE$200,MATCH($B169,Scenarios!$B$121:$B$200,0))</f>
        <v>0</v>
      </c>
      <c r="AF169" s="476">
        <f>INDEX(Input!$1:$1048576,AF$93,$C169*2+MIN($B169,2)+5)</f>
        <v>0.38</v>
      </c>
      <c r="AG169" s="475">
        <f>INDEX(Input!$1:$1048576,AG$93,$C169*2+MIN($B169,2)+5)
+INDEX(Scenarios!AG$121:AG$200,MATCH($B169,Scenarios!$B$121:$B$200,0))</f>
        <v>0</v>
      </c>
      <c r="AH169" s="476">
        <f>INDEX(Input!$1:$1048576,AH$93,$C169*2+MIN($B169,2)+5)</f>
        <v>0</v>
      </c>
      <c r="AI169" s="475">
        <f>INDEX(Input!$1:$1048576,AI$93,$C169*2+MIN($B169,2)+5)
+INDEX(Scenarios!AI$121:AI$200,MATCH($B169,Scenarios!$B$121:$B$200,0))</f>
        <v>0</v>
      </c>
      <c r="AJ169" s="476">
        <f>INDEX(Input!$1:$1048576,AJ$93,$C169*2+MIN($B169,2)+5)</f>
        <v>0.27</v>
      </c>
      <c r="AK169" s="150">
        <f>ROUND(INDEX(Input!$1:$1048576,AK$93,$C168*2+MIN($B169,1)+5)+(Y169-VLOOKUP($C169*1000+1,$A:$HH,Y$92,FALSE)),0)</f>
        <v>3757</v>
      </c>
      <c r="AL169" s="150">
        <f>ROUND(INDEX(Input!$1:$1048576,AL$93,$C168*2+MIN($B169,1)+5)-(Y169-VLOOKUP($C169*1000+1,$A:$HH,Y$92,FALSE))/36,0)</f>
        <v>4113</v>
      </c>
      <c r="AM169" s="32" t="str">
        <f t="shared" si="392"/>
        <v>std/std/std/std</v>
      </c>
      <c r="AN169" s="32" t="str">
        <f t="shared" si="393"/>
        <v>$1000 + 0/0/0/2.8/3.9</v>
      </c>
      <c r="AO169" s="32" t="str">
        <f t="shared" si="394"/>
        <v>0/0/0/2.8/3.9</v>
      </c>
      <c r="AP169" s="32" t="str">
        <f t="shared" si="498"/>
        <v>0/1.8/2.8/3.9</v>
      </c>
      <c r="AQ169" s="536">
        <f t="shared" si="497"/>
        <v>0.28732906268377362</v>
      </c>
      <c r="AR169" s="32"/>
      <c r="AS169" s="302"/>
      <c r="AT169" s="3">
        <f t="shared" si="106"/>
        <v>69</v>
      </c>
      <c r="AU169" s="41" t="s">
        <v>121</v>
      </c>
      <c r="AV169" s="41" t="s">
        <v>116</v>
      </c>
      <c r="AW169" s="41" t="str">
        <f>INDEX(Input!$1:$1048576,AW$93,$C169*2+6)</f>
        <v>Kia</v>
      </c>
      <c r="AX169" s="41" t="str">
        <f>INDEX(Input!$1:$1048576,AX$93,$C169*2+6)</f>
        <v>Kia-LR - L1</v>
      </c>
      <c r="AY169" s="41" t="str">
        <f>IF(LEN(D169)=0,"",INDEX(Input!$1:$1048576,AY$93,$C169*2+6))</f>
        <v>Compact SUV (52)</v>
      </c>
      <c r="AZ169" s="41" t="str">
        <f>INDEX(Input!$1:$1048576,AZ$93,$C169*2+6)</f>
        <v>Kia Soul</v>
      </c>
      <c r="BA169" s="3">
        <f>INDEX(Input!$1:$1048576,BA$93,$C169*2+6)</f>
        <v>2020</v>
      </c>
      <c r="BB169" s="128">
        <f>INDEX(Input!$1:$1048576,BB$93,$C169*2+6)</f>
        <v>1</v>
      </c>
      <c r="BC169" s="128">
        <f>INDEX(Input!$1:$1048576,BC$93,$C169*2+6)</f>
        <v>0.7</v>
      </c>
      <c r="BD169" s="1">
        <f>INDEX(Input!$1:$1048576,BD$93,$C169*2+6)</f>
        <v>4.4999999999999998E-2</v>
      </c>
      <c r="BE169" s="1">
        <f>INDEX(Input!$1:$1048576,BE$93,$C169*2+6)</f>
        <v>4.4999999999999998E-2</v>
      </c>
      <c r="BF169" s="1">
        <f>INDEX(Input!$1:$1048576,BF$93,$C169*2+6)</f>
        <v>0.05</v>
      </c>
      <c r="BG169" s="1">
        <f>INDEX(Input!$1:$1048576,BG$93,$C169*2+6)</f>
        <v>5.45E-2</v>
      </c>
      <c r="BH169" s="1">
        <f>INDEX(Input!$1:$1048576,BH$93,$C169*2+6)</f>
        <v>5.45E-2</v>
      </c>
      <c r="BI169" s="1">
        <f>INDEX(Input!$1:$1048576,BI$93,$C169*2+6)</f>
        <v>0.05</v>
      </c>
      <c r="BJ169" s="1">
        <f>INDEX(Input!$1:$1048576,BJ$93,$C169*2+6)</f>
        <v>0.05</v>
      </c>
      <c r="BK169" s="1">
        <f>INDEX(Input!$1:$1048576,BK$93,$C169*2+6)</f>
        <v>0.05</v>
      </c>
      <c r="BL169" s="1">
        <f>INDEX(Input!$1:$1048576,BL$93,$C169*2+6)</f>
        <v>5.5E-2</v>
      </c>
      <c r="BM169" s="1">
        <f>INDEX(Input!$1:$1048576,BM$93,$C169*2+6)</f>
        <v>0.06</v>
      </c>
      <c r="BN169" s="1">
        <f>INDEX(Input!$1:$1048576,BN$93,$C169*2+6)</f>
        <v>4.4999999999999998E-2</v>
      </c>
      <c r="BO169" s="1">
        <f>INDEX(Input!$1:$1048576,BO$93,$C169*2+6)</f>
        <v>4.4999999999999998E-2</v>
      </c>
      <c r="BP169" s="1">
        <f>INDEX(Input!$1:$1048576,BP$93,$C169*2+6)</f>
        <v>0.05</v>
      </c>
      <c r="BQ169" s="1">
        <f>INDEX(Input!$1:$1048576,BQ$93,$C169*2+6)</f>
        <v>5.45E-2</v>
      </c>
      <c r="BR169" s="1">
        <f>INDEX(Input!$1:$1048576,BR$93,$C169*2+6)</f>
        <v>5.45E-2</v>
      </c>
      <c r="BS169" s="1">
        <f>INDEX(Input!$1:$1048576,BS$93,$C169*2+6)</f>
        <v>0.05</v>
      </c>
      <c r="BT169" s="1">
        <f>INDEX(Input!$1:$1048576,BT$93,$C169*2+6)</f>
        <v>0.05</v>
      </c>
      <c r="BU169" s="1">
        <f>INDEX(Input!$1:$1048576,BU$93,$C169*2+6)</f>
        <v>0.05</v>
      </c>
      <c r="BV169" s="1">
        <f>INDEX(Input!$1:$1048576,BV$93,$C169*2+6)</f>
        <v>5.5E-2</v>
      </c>
      <c r="BW169" s="1">
        <f>INDEX(Input!$1:$1048576,BW$93,$C169*2+6)</f>
        <v>0.06</v>
      </c>
      <c r="BX169" s="127">
        <f>INDEX(Input!$1:$1048576,BX$93,$C169*2+6)</f>
        <v>19985</v>
      </c>
      <c r="BY169" s="20">
        <f>INDEX(Input!$1:$1048576,BY$93,$C169*2+6)</f>
        <v>0.1</v>
      </c>
      <c r="BZ169" s="20">
        <f>INDEX(Input!$1:$1048576,BZ$93,$C169*2+6)</f>
        <v>0.1</v>
      </c>
      <c r="CA169" s="20">
        <f>INDEX(Input!$1:$1048576,CA$93,$C169*2+6)</f>
        <v>0.1</v>
      </c>
      <c r="CB169" s="20">
        <f>INDEX(Input!$1:$1048576,CB$93,$C169*2+6)</f>
        <v>0.1</v>
      </c>
      <c r="CC169" s="20">
        <f>INDEX(Input!$1:$1048576,CC$93,$C169*2+6)</f>
        <v>0.1</v>
      </c>
      <c r="CD169" s="384">
        <f>INDEX(Input!$1:$1048576,CD$93,$C169*2+6)</f>
        <v>0.1</v>
      </c>
      <c r="CE169" s="384">
        <f>INDEX(Input!$1:$1048576,CE$93,$C169*2+6)</f>
        <v>0.1</v>
      </c>
      <c r="CF169" s="384">
        <f>INDEX(Input!$1:$1048576,CF$93,$C169*2+6)</f>
        <v>0.1</v>
      </c>
      <c r="CG169" s="384">
        <f>INDEX(Input!$1:$1048576,CG$93,$C169*2+6)</f>
        <v>0.1</v>
      </c>
      <c r="CH169" s="384">
        <f>INDEX(Input!$1:$1048576,CH$93,$C169*2+6)</f>
        <v>0.1</v>
      </c>
      <c r="CI169" s="304">
        <f t="shared" si="499"/>
        <v>1729</v>
      </c>
      <c r="CJ169" s="16" t="str">
        <f>INDEX(Input!$1:$1048576,CJ$93,$C169*2+6)</f>
        <v>N</v>
      </c>
      <c r="CK169" s="1" t="str">
        <f t="shared" si="500"/>
        <v>Market</v>
      </c>
      <c r="CL169" s="1" t="str">
        <f t="shared" si="501"/>
        <v>Market</v>
      </c>
      <c r="CM169" s="1" t="str">
        <f t="shared" si="502"/>
        <v>Market</v>
      </c>
      <c r="CN169" s="1" t="str">
        <f t="shared" si="503"/>
        <v>Market</v>
      </c>
      <c r="CO169" s="1" t="str">
        <f t="shared" si="504"/>
        <v>Market</v>
      </c>
      <c r="CP169" s="304">
        <f t="shared" si="505"/>
        <v>1000</v>
      </c>
      <c r="CQ169" s="1">
        <f t="shared" si="506"/>
        <v>0</v>
      </c>
      <c r="CR169" s="1">
        <f t="shared" si="507"/>
        <v>0</v>
      </c>
      <c r="CS169" s="1">
        <f t="shared" si="508"/>
        <v>0</v>
      </c>
      <c r="CT169" s="1">
        <f t="shared" si="509"/>
        <v>2.7999999999999997E-2</v>
      </c>
      <c r="CU169" s="1">
        <f t="shared" si="510"/>
        <v>3.9E-2</v>
      </c>
      <c r="CV169" s="304">
        <f t="shared" si="511"/>
        <v>1942</v>
      </c>
      <c r="CW169" s="20" t="s">
        <v>122</v>
      </c>
      <c r="CX169" s="20" t="s">
        <v>122</v>
      </c>
      <c r="CY169" s="20" t="s">
        <v>122</v>
      </c>
      <c r="CZ169" s="20" t="s">
        <v>122</v>
      </c>
      <c r="DA169" s="20" t="s">
        <v>122</v>
      </c>
      <c r="DB169" s="503">
        <f t="shared" si="512"/>
        <v>0</v>
      </c>
      <c r="DC169" s="127">
        <v>0</v>
      </c>
      <c r="DD169" s="127">
        <v>0</v>
      </c>
      <c r="DE169" s="127">
        <v>0</v>
      </c>
      <c r="DF169" s="127">
        <v>0</v>
      </c>
      <c r="DG169" s="127">
        <v>0</v>
      </c>
      <c r="DH169" s="127">
        <v>0</v>
      </c>
      <c r="DI169" s="127">
        <v>0</v>
      </c>
      <c r="DJ169" s="127">
        <v>0</v>
      </c>
      <c r="DK169" s="127">
        <v>0</v>
      </c>
      <c r="DL169" s="127">
        <v>0</v>
      </c>
      <c r="DM169" s="304">
        <f>INDEX(Input!$1:$1048576,DM$93,$C169*2+6)</f>
        <v>21036.84210526316</v>
      </c>
      <c r="DN169" s="20">
        <v>0</v>
      </c>
      <c r="DO169" s="20">
        <v>0</v>
      </c>
      <c r="DP169" s="20">
        <v>0</v>
      </c>
      <c r="DQ169" s="20">
        <v>0</v>
      </c>
      <c r="DR169" s="20">
        <v>0</v>
      </c>
      <c r="DS169" s="20">
        <f>INDEX(Input!$1:$1048576,DS$93,$C169*2+6)</f>
        <v>0.6</v>
      </c>
      <c r="DT169" s="20">
        <f>INDEX(Input!$1:$1048576,DT$93,$C169*2+6)</f>
        <v>0.55000000000000004</v>
      </c>
      <c r="DU169" s="20">
        <f>INDEX(Input!$1:$1048576,DU$93,$C169*2+6)</f>
        <v>0.52</v>
      </c>
      <c r="DV169" s="20">
        <f>INDEX(Input!$1:$1048576,DV$93,$C169*2+6)</f>
        <v>0.5</v>
      </c>
      <c r="DW169" s="20">
        <f>INDEX(Input!$1:$1048576,DW$93,$C169*2+6)</f>
        <v>0.45</v>
      </c>
      <c r="DX169" s="20"/>
      <c r="DY169" s="7">
        <v>0.11253536360723872</v>
      </c>
      <c r="DZ169" s="7">
        <v>0</v>
      </c>
      <c r="EA169" s="7">
        <v>0.50406573263208432</v>
      </c>
      <c r="EB169" s="7">
        <v>0</v>
      </c>
      <c r="EC169" s="7">
        <v>0</v>
      </c>
      <c r="ED169" s="7">
        <v>0</v>
      </c>
      <c r="EE169" s="7">
        <v>0</v>
      </c>
      <c r="EF169" s="7">
        <v>0</v>
      </c>
      <c r="EG169" s="7">
        <v>0</v>
      </c>
      <c r="EH169" s="7">
        <v>2.1769607992833936E-2</v>
      </c>
      <c r="EI169" s="7">
        <v>6.3573326216933804E-2</v>
      </c>
      <c r="EJ169" s="7">
        <v>0.4015856827687353</v>
      </c>
      <c r="EK169" s="7">
        <v>0.38777592825258322</v>
      </c>
      <c r="EL169" s="7">
        <v>0.12529545476891374</v>
      </c>
      <c r="EM169" s="7">
        <v>5.8420939602147996E-2</v>
      </c>
      <c r="EN169" s="7">
        <v>5.0824256578978516E-2</v>
      </c>
      <c r="EO169" s="7">
        <v>0.76815678085538386</v>
      </c>
      <c r="EP169" s="7">
        <v>7.9058197430733584E-2</v>
      </c>
      <c r="EQ169" s="7">
        <v>6.0271198631198973E-2</v>
      </c>
      <c r="ER169" s="7">
        <v>4.1689566503705228E-2</v>
      </c>
      <c r="ES169" s="7">
        <v>0.32497796415852914</v>
      </c>
      <c r="ET169" s="7">
        <v>0.38339890376067698</v>
      </c>
      <c r="EU169" s="6">
        <v>1770</v>
      </c>
      <c r="EV169" s="6">
        <v>0</v>
      </c>
      <c r="EW169" s="6">
        <v>1770</v>
      </c>
      <c r="EX169" s="6">
        <v>0</v>
      </c>
      <c r="EY169" s="6">
        <v>2869.1117918992659</v>
      </c>
      <c r="EZ169" s="6">
        <v>2085</v>
      </c>
      <c r="FA169" s="6">
        <v>0</v>
      </c>
      <c r="FB169" s="6">
        <v>0</v>
      </c>
      <c r="FC169" s="6">
        <v>0</v>
      </c>
      <c r="FD169" s="6">
        <v>0</v>
      </c>
      <c r="FE169" s="6">
        <v>0</v>
      </c>
      <c r="FF169" s="6">
        <v>0</v>
      </c>
      <c r="FG169" s="6">
        <v>0</v>
      </c>
      <c r="FH169" s="6">
        <v>1171.2811379695613</v>
      </c>
      <c r="FI169" s="6">
        <v>1553.9796069512402</v>
      </c>
      <c r="FJ169" s="6">
        <v>2101.2110117447414</v>
      </c>
      <c r="FK169" s="6">
        <v>1334.1543630076696</v>
      </c>
      <c r="FL169" s="6">
        <v>907.07682140966347</v>
      </c>
      <c r="FM169" s="6">
        <v>1599.1117918992661</v>
      </c>
      <c r="FN169" s="6">
        <v>0</v>
      </c>
      <c r="FO169" s="6">
        <v>0</v>
      </c>
      <c r="FP169" s="6">
        <v>0</v>
      </c>
      <c r="FQ169" s="6">
        <v>0</v>
      </c>
      <c r="FR169" s="6">
        <v>0</v>
      </c>
      <c r="FS169" s="6">
        <v>0</v>
      </c>
      <c r="FT169" s="7">
        <v>0.61660109623932302</v>
      </c>
      <c r="FU169" s="7">
        <v>5.8420939602147996E-2</v>
      </c>
      <c r="FV169" s="7">
        <v>0.32497796415852914</v>
      </c>
      <c r="FW169" s="6">
        <v>1770</v>
      </c>
      <c r="FX169" s="6">
        <v>2869.1117918992659</v>
      </c>
      <c r="FY169" s="6">
        <v>2085</v>
      </c>
      <c r="FZ169" s="6">
        <v>1952.7147957719815</v>
      </c>
      <c r="GA169" s="6">
        <v>1936.5792023204926</v>
      </c>
      <c r="GB169" s="6">
        <v>18048.420797679508</v>
      </c>
      <c r="GC169" s="7">
        <v>1.0519917368675835E-2</v>
      </c>
      <c r="GD169" s="7">
        <v>1.071199497167555E-2</v>
      </c>
      <c r="GE169" s="7"/>
      <c r="GF169" s="7"/>
      <c r="GG169" s="7">
        <v>1.8258470695943517E-2</v>
      </c>
      <c r="GH169" s="42">
        <v>-22.614323914114376</v>
      </c>
      <c r="GI169" s="6">
        <v>1052.8472775501498</v>
      </c>
      <c r="GJ169" s="14">
        <v>0.50394797582841755</v>
      </c>
      <c r="GK169" s="14">
        <v>0.50887573065309755</v>
      </c>
      <c r="GL169" s="14">
        <v>0.49605202417158295</v>
      </c>
      <c r="GM169" s="14">
        <v>0.49112426934690251</v>
      </c>
      <c r="GO169" s="5">
        <v>343.14810671672558</v>
      </c>
      <c r="GP169" s="5">
        <v>309.37988338875158</v>
      </c>
      <c r="GQ169" s="5">
        <v>535.04305713031317</v>
      </c>
      <c r="GR169" s="5">
        <v>410.15490233172511</v>
      </c>
      <c r="GS169" s="5">
        <v>339.42744393800166</v>
      </c>
      <c r="GT169" s="5">
        <v>293.4407446948278</v>
      </c>
      <c r="GU169" s="5">
        <v>258.04012322764959</v>
      </c>
      <c r="GV169" s="39" t="s">
        <v>392</v>
      </c>
      <c r="GW169" s="5">
        <v>464.34722222222223</v>
      </c>
      <c r="GX169" s="5">
        <v>348.26041666666669</v>
      </c>
      <c r="GY169" s="5">
        <v>278.60833333333335</v>
      </c>
      <c r="GZ169" s="5">
        <v>252.49213887601286</v>
      </c>
      <c r="HA169" s="5">
        <v>227.72592165501612</v>
      </c>
      <c r="HB169" s="39">
        <v>270.57724428982181</v>
      </c>
      <c r="HC169" s="5">
        <v>196.06562499999998</v>
      </c>
      <c r="HD169" s="5">
        <v>177.54497441520465</v>
      </c>
      <c r="HE169" s="5">
        <v>183.15757844129553</v>
      </c>
      <c r="HF169" s="5">
        <v>172.69313048245613</v>
      </c>
      <c r="HG169" s="5">
        <v>170.66888157894735</v>
      </c>
      <c r="HH169" s="39">
        <v>178.35090729075009</v>
      </c>
      <c r="HI169" s="16"/>
      <c r="HJ169" s="19" t="str">
        <f t="shared" si="390"/>
        <v>On</v>
      </c>
      <c r="HK169" s="1" t="str">
        <f t="shared" si="390"/>
        <v>On</v>
      </c>
      <c r="HL169" s="16"/>
      <c r="HM169" s="639">
        <f t="shared" si="446"/>
        <v>5.7455619280273196E-3</v>
      </c>
      <c r="HN169" s="639">
        <f t="shared" si="447"/>
        <v>5.0031960498701745E-4</v>
      </c>
      <c r="HO169" s="639">
        <f t="shared" si="448"/>
        <v>3.9819433988714835E-3</v>
      </c>
      <c r="HP169" s="644">
        <f>(FT169*$GD169-HM169)/$JF169*INDEX(Input!$1:$1048576,$JG$93,$C169*2+6)</f>
        <v>37.478329985427692</v>
      </c>
      <c r="HQ169" s="644">
        <f>(FU169*$GD169-HN169)/$JF169*INDEX(Input!$1:$1048576,$JG$93,$C169*2+6)</f>
        <v>5.4719749672995839</v>
      </c>
      <c r="HR169" s="644">
        <f>(FV169*$GD169-HO169)/$JF169*INDEX(Input!$1:$1048576,$JG$93,$C169*2+6)</f>
        <v>-21.837327444379891</v>
      </c>
      <c r="HS169" s="644">
        <f t="shared" si="449"/>
        <v>-10.133504665362043</v>
      </c>
      <c r="HT169" s="644">
        <f t="shared" si="450"/>
        <v>15.99970943835368</v>
      </c>
      <c r="HU169" s="644">
        <f t="shared" si="451"/>
        <v>5.0261543080319573</v>
      </c>
      <c r="HV169" s="648">
        <f t="shared" si="452"/>
        <v>0</v>
      </c>
      <c r="HW169" s="648">
        <f t="shared" si="453"/>
        <v>0</v>
      </c>
      <c r="HX169" s="648">
        <f t="shared" si="454"/>
        <v>0</v>
      </c>
      <c r="HY169" s="644">
        <f>INDEX(Input!$1:$1048576,HY$93,$C169*2+6)*INDEX(Input!$1:$1048576,$JG$93,$C169*2+6)</f>
        <v>110.00000000000001</v>
      </c>
      <c r="HZ169" s="644">
        <f>INDEX(Input!$1:$1048576,HZ$93,$C169*2+6)*INDEX(Input!$1:$1048576,$JG$93,$C169*2+6)</f>
        <v>157</v>
      </c>
      <c r="IA169" s="644">
        <f>INDEX(Input!$1:$1048576,IA$93,$C169*2+6)*INDEX(Input!$1:$1048576,$JG$93,$C169*2+6)</f>
        <v>179</v>
      </c>
      <c r="IB169" s="644">
        <f t="shared" si="455"/>
        <v>137.34482532006567</v>
      </c>
      <c r="IC169" s="644">
        <f t="shared" si="456"/>
        <v>178.47168440565326</v>
      </c>
      <c r="ID169" s="644">
        <f>IF(AND(INDEX(Input!$1:$1048576,IA$93,$C169*2+7)="TOS",Y169&lt;=INDEX(Y:Y,MATCH(C169*1000+2,A:A))),0,1)*MAX(IA169+HR169+HU169+HX169,0%)</f>
        <v>162.18882686365205</v>
      </c>
      <c r="IE169" s="128">
        <f t="shared" si="457"/>
        <v>0.28732906268377362</v>
      </c>
      <c r="IF169" s="128">
        <f t="shared" si="458"/>
        <v>0.37336755626845403</v>
      </c>
      <c r="IG169" s="128">
        <f t="shared" si="459"/>
        <v>0.33930338104777247</v>
      </c>
      <c r="IH169" s="21"/>
      <c r="II169" s="19">
        <f t="shared" si="460"/>
        <v>1240</v>
      </c>
      <c r="IJ169" s="19">
        <f t="shared" si="461"/>
        <v>2009.7221397149679</v>
      </c>
      <c r="IK169" s="19">
        <f t="shared" si="462"/>
        <v>2070</v>
      </c>
      <c r="IL169" s="19">
        <f t="shared" si="463"/>
        <v>530</v>
      </c>
      <c r="IM169" s="19">
        <f t="shared" si="464"/>
        <v>859.38965218429803</v>
      </c>
      <c r="IN169" s="19">
        <f t="shared" si="465"/>
        <v>15</v>
      </c>
      <c r="IO169" s="39">
        <f t="shared" si="466"/>
        <v>0</v>
      </c>
      <c r="IP169" s="39">
        <f t="shared" si="467"/>
        <v>0</v>
      </c>
      <c r="IQ169" s="39">
        <f t="shared" si="468"/>
        <v>0</v>
      </c>
      <c r="IR169" s="39">
        <v>0</v>
      </c>
      <c r="IS169" s="39">
        <v>0</v>
      </c>
      <c r="IT169" s="39">
        <v>0</v>
      </c>
      <c r="IU169" s="39">
        <v>0</v>
      </c>
      <c r="IV169" s="39">
        <v>0</v>
      </c>
      <c r="IW169" s="39">
        <v>0</v>
      </c>
      <c r="IX169" s="39">
        <f>INDEX(Input!$1:$1048576,IX$93,$C169*2+6)+INDEX(Input!$1:$1048576,IX$94,$C169*2+6)</f>
        <v>1270</v>
      </c>
      <c r="IY169" s="39">
        <f>INDEX(Input!$1:$1048576,IY$93,$C169*2+6)+INDEX(Input!$1:$1048576,IY$94,$C169*2+6)</f>
        <v>2130.0624533823611</v>
      </c>
      <c r="IZ169" s="39">
        <f>INDEX(Input!$1:$1048576,IZ$93,$C169*2+6)+INDEX(Input!$1:$1048576,IZ$94,$C169*2+6)</f>
        <v>4373.7164157747848</v>
      </c>
      <c r="JA169" s="19">
        <f t="shared" si="469"/>
        <v>1800</v>
      </c>
      <c r="JB169" s="19">
        <f t="shared" si="470"/>
        <v>2989.4521055666592</v>
      </c>
      <c r="JC169" s="19">
        <f t="shared" si="471"/>
        <v>4388.7164157747848</v>
      </c>
      <c r="JD169" s="19">
        <f t="shared" si="472"/>
        <v>3122.4630584000461</v>
      </c>
      <c r="JE169" s="21"/>
      <c r="JF169" s="1">
        <f t="shared" si="473"/>
        <v>1.022782493188582E-2</v>
      </c>
      <c r="JG169" s="15">
        <f>INDEX(Input!$1:$1048576,JG$93,$C169*2+6)/(1+VLOOKUP(C169*1000+INDEX(Input!$1:$1048576,JG$93+1,$C169*2+6),$A:$KK,$JK$92,FALSE))</f>
        <v>446</v>
      </c>
      <c r="JH169" s="1">
        <f t="shared" si="474"/>
        <v>4.7338514592707145E-2</v>
      </c>
      <c r="JI169" s="1">
        <f t="shared" si="475"/>
        <v>2.4422329778079808E-2</v>
      </c>
      <c r="JJ169" s="1">
        <f t="shared" si="476"/>
        <v>0</v>
      </c>
      <c r="JK169" s="1">
        <f t="shared" si="477"/>
        <v>7.1760844370786947E-2</v>
      </c>
      <c r="JL169" s="15">
        <f t="shared" si="478"/>
        <v>32.005336589370977</v>
      </c>
      <c r="JM169" s="15">
        <f t="shared" si="479"/>
        <v>478.00533658937098</v>
      </c>
      <c r="JN169" s="21"/>
      <c r="JO169" s="19">
        <f>INDEX(Input!$1:$1048576,JO$93,$C169*2+6)</f>
        <v>5995.5</v>
      </c>
      <c r="JP169" s="19">
        <f>INDEX(Input!$1:$1048576,JP$93,$C169*2+6)</f>
        <v>2818.4193802796353</v>
      </c>
      <c r="JQ169" s="39">
        <f t="shared" si="480"/>
        <v>2873.0369415999539</v>
      </c>
      <c r="JR169" s="39">
        <f t="shared" si="481"/>
        <v>304.04367812041073</v>
      </c>
      <c r="JS169" s="39">
        <f t="shared" si="482"/>
        <v>1.4925540052183908</v>
      </c>
      <c r="JT169" s="39">
        <f t="shared" si="483"/>
        <v>0.23553896161367349</v>
      </c>
      <c r="JU169" s="385">
        <f>(JQ169*JM169-INDEX(Input!$1:$1048576,Input!A$18,$C169*2+6)*JL169*INDEX(Input!$1:$1048576,Input!A$19,$C169*2+6))/1000000</f>
        <v>1.3733269903031831</v>
      </c>
      <c r="JV169" s="39">
        <f t="shared" si="484"/>
        <v>-4.3650966092099619E-2</v>
      </c>
      <c r="JW169" s="1">
        <f t="shared" si="485"/>
        <v>-3.0805677600761961E-2</v>
      </c>
      <c r="JX169" s="19">
        <f t="shared" si="486"/>
        <v>7359.3652407297704</v>
      </c>
      <c r="JZ169" s="341"/>
      <c r="KA169" s="342"/>
      <c r="KB169" s="469">
        <f t="shared" si="514"/>
        <v>2.9286733661474216</v>
      </c>
      <c r="KI169" s="473">
        <f t="shared" si="487"/>
        <v>27.344825320065681</v>
      </c>
      <c r="KJ169" s="473">
        <f t="shared" si="488"/>
        <v>21.471684405653264</v>
      </c>
      <c r="KK169" s="473">
        <f t="shared" si="489"/>
        <v>-16.811173136347918</v>
      </c>
      <c r="KN169" s="544">
        <f t="shared" si="490"/>
        <v>1002</v>
      </c>
      <c r="KO169" s="541">
        <f t="shared" si="491"/>
        <v>6.7367671097016579E-2</v>
      </c>
      <c r="KP169" s="546">
        <f t="shared" si="492"/>
        <v>453.33171897228124</v>
      </c>
      <c r="KQ169" s="546">
        <f t="shared" si="493"/>
        <v>283.1468583813944</v>
      </c>
      <c r="KR169" s="548">
        <f t="shared" si="494"/>
        <v>2.5479461035489881</v>
      </c>
      <c r="KS169" s="548">
        <f t="shared" si="495"/>
        <v>4.0793840820749443</v>
      </c>
      <c r="KT169" s="473">
        <f t="shared" si="515"/>
        <v>238.28695973331548</v>
      </c>
      <c r="KU169" s="663">
        <f t="shared" si="496"/>
        <v>6.4389128912719302</v>
      </c>
    </row>
    <row r="170" spans="1:308" s="26" customFormat="1" ht="15" outlineLevel="1">
      <c r="A170" s="561">
        <f t="shared" si="391"/>
        <v>1070</v>
      </c>
      <c r="B170" s="561">
        <f t="shared" si="513"/>
        <v>70</v>
      </c>
      <c r="C170" s="561">
        <f t="shared" si="105"/>
        <v>1</v>
      </c>
      <c r="D170" s="561" t="str">
        <f t="shared" si="294"/>
        <v xml:space="preserve">750 CC, 0/1.8/2.8/3.9, 1500 Combo, </v>
      </c>
      <c r="E170" s="475">
        <f>INDEX(Input!$1:$1048576,E$93,$C170*2+MIN($B170,2)+5)
+INDEX(Scenarios!E$121:E$200,MATCH($B170,Scenarios!$B$121:$B$200,0))</f>
        <v>1979</v>
      </c>
      <c r="F170" s="475">
        <f>INDEX(Input!$1:$1048576,F$93,$C170*2+MIN($B170,2)+5)
+INDEX(Scenarios!F$121:F$200,MATCH($B170,Scenarios!$B$121:$B$200,0))</f>
        <v>0</v>
      </c>
      <c r="G170" s="475">
        <f>INDEX(Input!$1:$1048576,G$93,$C170*2+MIN($B170,2)+5)
+INDEX(Scenarios!G$121:G$200,MATCH($B170,Scenarios!$B$121:$B$200,0))</f>
        <v>0</v>
      </c>
      <c r="H170" s="475">
        <f>INDEX(Input!$1:$1048576,H$93,$C170*2+MIN($B170,2)+5)
+INDEX(Scenarios!H$121:H$200,MATCH($B170,Scenarios!$B$121:$B$200,0))</f>
        <v>0</v>
      </c>
      <c r="I170" s="476">
        <f>INDEX(Input!$1:$1048576,I$93,$C170*2+MIN($B170,2)+5)</f>
        <v>0.7</v>
      </c>
      <c r="J170" s="476" t="str">
        <f>INDEX(Input!$1:$1048576,J$93,$C170*2+MIN($B170,2)+5)</f>
        <v>Market</v>
      </c>
      <c r="K170" s="476" t="str">
        <f>INDEX(Input!$1:$1048576,K$93,$C170*2+MIN($B170,2)+5)</f>
        <v>Market</v>
      </c>
      <c r="L170" s="476" t="str">
        <f>INDEX(Input!$1:$1048576,L$93,$C170*2+MIN($B170,2)+5)</f>
        <v>Market</v>
      </c>
      <c r="M170" s="476" t="str">
        <f>INDEX(Input!$1:$1048576,M$93,$C170*2+MIN($B170,2)+5)</f>
        <v>Market</v>
      </c>
      <c r="N170" s="476" t="str">
        <f>INDEX(Input!$1:$1048576,N$93,$C170*2+MIN($B170,2)+5)</f>
        <v>Market</v>
      </c>
      <c r="O170" s="476" t="str">
        <f>INDEX(Input!$1:$1048576,O$93,$C170*2+MIN($B170,2)+5)</f>
        <v>Market</v>
      </c>
      <c r="P170" s="476" t="str">
        <f>INDEX(Input!$1:$1048576,P$93,$C170*2+MIN($B170,2)+5)</f>
        <v>N</v>
      </c>
      <c r="Q170" s="477">
        <f>INDEX(Input!$1:$1048576,Q$93,$C170*2+MIN($B170,2)+5)
+INDEX(Scenarios!Q$121:Q$200,MATCH($B170,Scenarios!$B$121:$B$200,0))</f>
        <v>1500</v>
      </c>
      <c r="R170" s="478">
        <f>IFERROR(MAX(0,INDEX(Input!$1:$1048576,R$93,$C170*2+MIN($B170,2)+5)
+INDEX(Scenarios!R$121:R$200,MATCH($B170,Scenarios!$B$121:$B$200,0)),),"Market")</f>
        <v>0</v>
      </c>
      <c r="S170" s="478">
        <f>IFERROR(MAX(0,INDEX(Input!$1:$1048576,S$93,$C170*2+MIN($B170,2)+5)
+INDEX(Scenarios!S$121:S$200,MATCH($B170,Scenarios!$B$121:$B$200,0)),),"Market")</f>
        <v>0</v>
      </c>
      <c r="T170" s="478">
        <f>IFERROR(MAX(0,INDEX(Input!$1:$1048576,T$93,$C170*2+MIN($B170,2)+5)
+INDEX(Scenarios!T$121:T$200,MATCH($B170,Scenarios!$B$121:$B$200,0)),),"Market")</f>
        <v>0</v>
      </c>
      <c r="U170" s="478">
        <f>IFERROR(MAX(0,INDEX(Input!$1:$1048576,U$93,$C170*2+MIN($B170,2)+5)
+INDEX(Scenarios!U$121:U$200,MATCH($B170,Scenarios!$B$121:$B$200,0)),),"Market")</f>
        <v>0</v>
      </c>
      <c r="V170" s="478">
        <f>IFERROR(MAX(0,INDEX(Input!$1:$1048576,V$93,$C170*2+MIN($B170,2)+5)
+INDEX(Scenarios!V$121:V$200,MATCH($B170,Scenarios!$B$121:$B$200,0)),),"Market")</f>
        <v>2.7999999999999997E-2</v>
      </c>
      <c r="W170" s="885">
        <f>IFERROR(MAX(0,INDEX(Input!$1:$1048576,W$93,$C170*2+MIN($B170,2)+5)-0%,),"Market")</f>
        <v>3.9E-2</v>
      </c>
      <c r="X170" s="476" t="str">
        <f>INDEX(Input!$1:$1048576,X$93,$C170*2+MIN($B170,2)+5)</f>
        <v>Y</v>
      </c>
      <c r="Y170" s="475">
        <f>INDEX(Input!$1:$1048576,Y$93,$C170*2+MIN($B170,2)+5)
++INDEX(Scenarios!Y$121:Y$200,MATCH($B170,Scenarios!$B$121:$B$200,0))</f>
        <v>1942</v>
      </c>
      <c r="Z170" s="477">
        <f>INDEX(Input!$1:$1048576,Z$93,$C170*2+MIN($B170,2)+5)
+INDEX(Scenarios!Z$121:Z$200,MATCH($B170,Scenarios!$B$121:$B$200,0))</f>
        <v>0</v>
      </c>
      <c r="AA170" s="475">
        <f>INDEX(Input!$1:$1048576,AA$93,$C170*2+MIN($B170,2)+5)
+INDEX(Scenarios!AA$121:AA$200,MATCH($B170,Scenarios!$B$121:$B$200,0))</f>
        <v>0</v>
      </c>
      <c r="AB170" s="476">
        <f>INDEX(Input!$1:$1048576,AB$93,$C170*2+MIN($B170,2)+5)</f>
        <v>0.27</v>
      </c>
      <c r="AC170" s="475">
        <f>INDEX(Input!$1:$1048576,AC$93,$C170*2+MIN($B170,2)+5)
+INDEX(Scenarios!AC$121:AC$200,MATCH($B170,Scenarios!$B$121:$B$200,0))</f>
        <v>0</v>
      </c>
      <c r="AD170" s="476">
        <f>INDEX(Input!$1:$1048576,AD$93,$C170*2+MIN($B170,2)+5)</f>
        <v>0.27</v>
      </c>
      <c r="AE170" s="475">
        <f>INDEX(Input!$1:$1048576,AE$93,$C170*2+MIN($B170,2)+5)
+INDEX(Scenarios!AE$121:AE$200,MATCH($B170,Scenarios!$B$121:$B$200,0))</f>
        <v>0</v>
      </c>
      <c r="AF170" s="476">
        <f>INDEX(Input!$1:$1048576,AF$93,$C170*2+MIN($B170,2)+5)</f>
        <v>0.38</v>
      </c>
      <c r="AG170" s="475">
        <f>INDEX(Input!$1:$1048576,AG$93,$C170*2+MIN($B170,2)+5)
+INDEX(Scenarios!AG$121:AG$200,MATCH($B170,Scenarios!$B$121:$B$200,0))</f>
        <v>0</v>
      </c>
      <c r="AH170" s="476">
        <f>INDEX(Input!$1:$1048576,AH$93,$C170*2+MIN($B170,2)+5)</f>
        <v>0</v>
      </c>
      <c r="AI170" s="475">
        <f>INDEX(Input!$1:$1048576,AI$93,$C170*2+MIN($B170,2)+5)
+INDEX(Scenarios!AI$121:AI$200,MATCH($B170,Scenarios!$B$121:$B$200,0))</f>
        <v>0</v>
      </c>
      <c r="AJ170" s="476">
        <f>INDEX(Input!$1:$1048576,AJ$93,$C170*2+MIN($B170,2)+5)</f>
        <v>0.27</v>
      </c>
      <c r="AK170" s="150">
        <f>ROUND(INDEX(Input!$1:$1048576,AK$93,$C169*2+MIN($B170,1)+5)+(Y170-VLOOKUP($C170*1000+1,$A:$HH,Y$92,FALSE)),0)</f>
        <v>3757</v>
      </c>
      <c r="AL170" s="150">
        <f>ROUND(INDEX(Input!$1:$1048576,AL$93,$C169*2+MIN($B170,1)+5)-(Y170-VLOOKUP($C170*1000+1,$A:$HH,Y$92,FALSE))/36,0)</f>
        <v>4113</v>
      </c>
      <c r="AM170" s="32" t="str">
        <f t="shared" si="392"/>
        <v>std/std/std/std</v>
      </c>
      <c r="AN170" s="32" t="str">
        <f t="shared" si="393"/>
        <v>$1500 + 0/0/0/2.8/3.9</v>
      </c>
      <c r="AO170" s="32" t="str">
        <f t="shared" si="394"/>
        <v>0/0/0/2.8/3.9</v>
      </c>
      <c r="AP170" s="32" t="str">
        <f t="shared" si="498"/>
        <v>0/1.8/2.8/3.9</v>
      </c>
      <c r="AQ170" s="536">
        <f t="shared" si="497"/>
        <v>0.30115486784390016</v>
      </c>
      <c r="AR170" s="32"/>
      <c r="AS170" s="302"/>
      <c r="AT170" s="3">
        <f t="shared" si="106"/>
        <v>70</v>
      </c>
      <c r="AU170" s="41" t="s">
        <v>121</v>
      </c>
      <c r="AV170" s="41" t="s">
        <v>116</v>
      </c>
      <c r="AW170" s="41" t="str">
        <f>INDEX(Input!$1:$1048576,AW$93,$C170*2+6)</f>
        <v>Kia</v>
      </c>
      <c r="AX170" s="41" t="str">
        <f>INDEX(Input!$1:$1048576,AX$93,$C170*2+6)</f>
        <v>Kia-LR - L1</v>
      </c>
      <c r="AY170" s="41" t="str">
        <f>IF(LEN(D170)=0,"",INDEX(Input!$1:$1048576,AY$93,$C170*2+6))</f>
        <v>Compact SUV (52)</v>
      </c>
      <c r="AZ170" s="41" t="str">
        <f>INDEX(Input!$1:$1048576,AZ$93,$C170*2+6)</f>
        <v>Kia Soul</v>
      </c>
      <c r="BA170" s="3">
        <f>INDEX(Input!$1:$1048576,BA$93,$C170*2+6)</f>
        <v>2020</v>
      </c>
      <c r="BB170" s="128">
        <f>INDEX(Input!$1:$1048576,BB$93,$C170*2+6)</f>
        <v>1</v>
      </c>
      <c r="BC170" s="128">
        <f>INDEX(Input!$1:$1048576,BC$93,$C170*2+6)</f>
        <v>0.7</v>
      </c>
      <c r="BD170" s="1">
        <f>INDEX(Input!$1:$1048576,BD$93,$C170*2+6)</f>
        <v>4.4999999999999998E-2</v>
      </c>
      <c r="BE170" s="1">
        <f>INDEX(Input!$1:$1048576,BE$93,$C170*2+6)</f>
        <v>4.4999999999999998E-2</v>
      </c>
      <c r="BF170" s="1">
        <f>INDEX(Input!$1:$1048576,BF$93,$C170*2+6)</f>
        <v>0.05</v>
      </c>
      <c r="BG170" s="1">
        <f>INDEX(Input!$1:$1048576,BG$93,$C170*2+6)</f>
        <v>5.45E-2</v>
      </c>
      <c r="BH170" s="1">
        <f>INDEX(Input!$1:$1048576,BH$93,$C170*2+6)</f>
        <v>5.45E-2</v>
      </c>
      <c r="BI170" s="1">
        <f>INDEX(Input!$1:$1048576,BI$93,$C170*2+6)</f>
        <v>0.05</v>
      </c>
      <c r="BJ170" s="1">
        <f>INDEX(Input!$1:$1048576,BJ$93,$C170*2+6)</f>
        <v>0.05</v>
      </c>
      <c r="BK170" s="1">
        <f>INDEX(Input!$1:$1048576,BK$93,$C170*2+6)</f>
        <v>0.05</v>
      </c>
      <c r="BL170" s="1">
        <f>INDEX(Input!$1:$1048576,BL$93,$C170*2+6)</f>
        <v>5.5E-2</v>
      </c>
      <c r="BM170" s="1">
        <f>INDEX(Input!$1:$1048576,BM$93,$C170*2+6)</f>
        <v>0.06</v>
      </c>
      <c r="BN170" s="1">
        <f>INDEX(Input!$1:$1048576,BN$93,$C170*2+6)</f>
        <v>4.4999999999999998E-2</v>
      </c>
      <c r="BO170" s="1">
        <f>INDEX(Input!$1:$1048576,BO$93,$C170*2+6)</f>
        <v>4.4999999999999998E-2</v>
      </c>
      <c r="BP170" s="1">
        <f>INDEX(Input!$1:$1048576,BP$93,$C170*2+6)</f>
        <v>0.05</v>
      </c>
      <c r="BQ170" s="1">
        <f>INDEX(Input!$1:$1048576,BQ$93,$C170*2+6)</f>
        <v>5.45E-2</v>
      </c>
      <c r="BR170" s="1">
        <f>INDEX(Input!$1:$1048576,BR$93,$C170*2+6)</f>
        <v>5.45E-2</v>
      </c>
      <c r="BS170" s="1">
        <f>INDEX(Input!$1:$1048576,BS$93,$C170*2+6)</f>
        <v>0.05</v>
      </c>
      <c r="BT170" s="1">
        <f>INDEX(Input!$1:$1048576,BT$93,$C170*2+6)</f>
        <v>0.05</v>
      </c>
      <c r="BU170" s="1">
        <f>INDEX(Input!$1:$1048576,BU$93,$C170*2+6)</f>
        <v>0.05</v>
      </c>
      <c r="BV170" s="1">
        <f>INDEX(Input!$1:$1048576,BV$93,$C170*2+6)</f>
        <v>5.5E-2</v>
      </c>
      <c r="BW170" s="1">
        <f>INDEX(Input!$1:$1048576,BW$93,$C170*2+6)</f>
        <v>0.06</v>
      </c>
      <c r="BX170" s="127">
        <f>INDEX(Input!$1:$1048576,BX$93,$C170*2+6)</f>
        <v>19985</v>
      </c>
      <c r="BY170" s="20">
        <f>INDEX(Input!$1:$1048576,BY$93,$C170*2+6)</f>
        <v>0.1</v>
      </c>
      <c r="BZ170" s="20">
        <f>INDEX(Input!$1:$1048576,BZ$93,$C170*2+6)</f>
        <v>0.1</v>
      </c>
      <c r="CA170" s="20">
        <f>INDEX(Input!$1:$1048576,CA$93,$C170*2+6)</f>
        <v>0.1</v>
      </c>
      <c r="CB170" s="20">
        <f>INDEX(Input!$1:$1048576,CB$93,$C170*2+6)</f>
        <v>0.1</v>
      </c>
      <c r="CC170" s="20">
        <f>INDEX(Input!$1:$1048576,CC$93,$C170*2+6)</f>
        <v>0.1</v>
      </c>
      <c r="CD170" s="384">
        <f>INDEX(Input!$1:$1048576,CD$93,$C170*2+6)</f>
        <v>0.1</v>
      </c>
      <c r="CE170" s="384">
        <f>INDEX(Input!$1:$1048576,CE$93,$C170*2+6)</f>
        <v>0.1</v>
      </c>
      <c r="CF170" s="384">
        <f>INDEX(Input!$1:$1048576,CF$93,$C170*2+6)</f>
        <v>0.1</v>
      </c>
      <c r="CG170" s="384">
        <f>INDEX(Input!$1:$1048576,CG$93,$C170*2+6)</f>
        <v>0.1</v>
      </c>
      <c r="CH170" s="384">
        <f>INDEX(Input!$1:$1048576,CH$93,$C170*2+6)</f>
        <v>0.1</v>
      </c>
      <c r="CI170" s="304">
        <f t="shared" si="499"/>
        <v>1979</v>
      </c>
      <c r="CJ170" s="16" t="str">
        <f>INDEX(Input!$1:$1048576,CJ$93,$C170*2+6)</f>
        <v>N</v>
      </c>
      <c r="CK170" s="1" t="str">
        <f t="shared" si="500"/>
        <v>Market</v>
      </c>
      <c r="CL170" s="1" t="str">
        <f t="shared" si="501"/>
        <v>Market</v>
      </c>
      <c r="CM170" s="1" t="str">
        <f t="shared" si="502"/>
        <v>Market</v>
      </c>
      <c r="CN170" s="1" t="str">
        <f t="shared" si="503"/>
        <v>Market</v>
      </c>
      <c r="CO170" s="1" t="str">
        <f t="shared" si="504"/>
        <v>Market</v>
      </c>
      <c r="CP170" s="304">
        <f t="shared" si="505"/>
        <v>1500</v>
      </c>
      <c r="CQ170" s="1">
        <f t="shared" si="506"/>
        <v>0</v>
      </c>
      <c r="CR170" s="1">
        <f t="shared" si="507"/>
        <v>0</v>
      </c>
      <c r="CS170" s="1">
        <f t="shared" si="508"/>
        <v>0</v>
      </c>
      <c r="CT170" s="1">
        <f t="shared" si="509"/>
        <v>2.7999999999999997E-2</v>
      </c>
      <c r="CU170" s="1">
        <f t="shared" si="510"/>
        <v>3.9E-2</v>
      </c>
      <c r="CV170" s="304">
        <f t="shared" si="511"/>
        <v>1942</v>
      </c>
      <c r="CW170" s="20" t="s">
        <v>122</v>
      </c>
      <c r="CX170" s="20" t="s">
        <v>122</v>
      </c>
      <c r="CY170" s="20" t="s">
        <v>122</v>
      </c>
      <c r="CZ170" s="20" t="s">
        <v>122</v>
      </c>
      <c r="DA170" s="20" t="s">
        <v>122</v>
      </c>
      <c r="DB170" s="503">
        <f t="shared" si="512"/>
        <v>0</v>
      </c>
      <c r="DC170" s="127">
        <v>0</v>
      </c>
      <c r="DD170" s="127">
        <v>0</v>
      </c>
      <c r="DE170" s="127">
        <v>0</v>
      </c>
      <c r="DF170" s="127">
        <v>0</v>
      </c>
      <c r="DG170" s="127">
        <v>0</v>
      </c>
      <c r="DH170" s="127">
        <v>0</v>
      </c>
      <c r="DI170" s="127">
        <v>0</v>
      </c>
      <c r="DJ170" s="127">
        <v>0</v>
      </c>
      <c r="DK170" s="127">
        <v>0</v>
      </c>
      <c r="DL170" s="127">
        <v>0</v>
      </c>
      <c r="DM170" s="304">
        <f>INDEX(Input!$1:$1048576,DM$93,$C170*2+6)</f>
        <v>21036.84210526316</v>
      </c>
      <c r="DN170" s="20">
        <v>0</v>
      </c>
      <c r="DO170" s="20">
        <v>0</v>
      </c>
      <c r="DP170" s="20">
        <v>0</v>
      </c>
      <c r="DQ170" s="20">
        <v>0</v>
      </c>
      <c r="DR170" s="20">
        <v>0</v>
      </c>
      <c r="DS170" s="20">
        <f>INDEX(Input!$1:$1048576,DS$93,$C170*2+6)</f>
        <v>0.6</v>
      </c>
      <c r="DT170" s="20">
        <f>INDEX(Input!$1:$1048576,DT$93,$C170*2+6)</f>
        <v>0.55000000000000004</v>
      </c>
      <c r="DU170" s="20">
        <f>INDEX(Input!$1:$1048576,DU$93,$C170*2+6)</f>
        <v>0.52</v>
      </c>
      <c r="DV170" s="20">
        <f>INDEX(Input!$1:$1048576,DV$93,$C170*2+6)</f>
        <v>0.5</v>
      </c>
      <c r="DW170" s="20">
        <f>INDEX(Input!$1:$1048576,DW$93,$C170*2+6)</f>
        <v>0.45</v>
      </c>
      <c r="DX170" s="20"/>
      <c r="DY170" s="7">
        <v>0.11946875652223987</v>
      </c>
      <c r="DZ170" s="7">
        <v>0</v>
      </c>
      <c r="EA170" s="7">
        <v>0.51803181346132265</v>
      </c>
      <c r="EB170" s="7">
        <v>0</v>
      </c>
      <c r="EC170" s="7">
        <v>0</v>
      </c>
      <c r="ED170" s="7">
        <v>0</v>
      </c>
      <c r="EE170" s="7">
        <v>0</v>
      </c>
      <c r="EF170" s="7">
        <v>0</v>
      </c>
      <c r="EG170" s="7">
        <v>0</v>
      </c>
      <c r="EH170" s="7">
        <v>2.1769607992833933E-2</v>
      </c>
      <c r="EI170" s="7">
        <v>6.3573326216933804E-2</v>
      </c>
      <c r="EJ170" s="7">
        <v>0.40158568276873535</v>
      </c>
      <c r="EK170" s="7">
        <v>0.38777592825258328</v>
      </c>
      <c r="EL170" s="7">
        <v>0.12529545476891377</v>
      </c>
      <c r="EM170" s="7">
        <v>6.8536566064121215E-2</v>
      </c>
      <c r="EN170" s="7">
        <v>5.0824256578978523E-2</v>
      </c>
      <c r="EO170" s="7">
        <v>0.76815678085538386</v>
      </c>
      <c r="EP170" s="7">
        <v>7.9058197430733612E-2</v>
      </c>
      <c r="EQ170" s="7">
        <v>6.0271198631198994E-2</v>
      </c>
      <c r="ER170" s="7">
        <v>4.1689566503705242E-2</v>
      </c>
      <c r="ES170" s="7">
        <v>0.29396286395231608</v>
      </c>
      <c r="ET170" s="7">
        <v>0.36249943001643747</v>
      </c>
      <c r="EU170" s="6">
        <v>2020</v>
      </c>
      <c r="EV170" s="6">
        <v>0</v>
      </c>
      <c r="EW170" s="6">
        <v>2020</v>
      </c>
      <c r="EX170" s="6">
        <v>0</v>
      </c>
      <c r="EY170" s="6">
        <v>3369.1117918992659</v>
      </c>
      <c r="EZ170" s="6">
        <v>2085</v>
      </c>
      <c r="FA170" s="6">
        <v>0</v>
      </c>
      <c r="FB170" s="6">
        <v>0</v>
      </c>
      <c r="FC170" s="6">
        <v>0</v>
      </c>
      <c r="FD170" s="6">
        <v>0</v>
      </c>
      <c r="FE170" s="6">
        <v>0</v>
      </c>
      <c r="FF170" s="6">
        <v>0</v>
      </c>
      <c r="FG170" s="6">
        <v>0</v>
      </c>
      <c r="FH170" s="6">
        <v>1171.2811379695615</v>
      </c>
      <c r="FI170" s="6">
        <v>1553.9796069512397</v>
      </c>
      <c r="FJ170" s="6">
        <v>2101.211011744741</v>
      </c>
      <c r="FK170" s="6">
        <v>1334.1543630076694</v>
      </c>
      <c r="FL170" s="6">
        <v>907.07682140966347</v>
      </c>
      <c r="FM170" s="6">
        <v>1599.1117918992661</v>
      </c>
      <c r="FN170" s="6">
        <v>0</v>
      </c>
      <c r="FO170" s="6">
        <v>0</v>
      </c>
      <c r="FP170" s="6">
        <v>0</v>
      </c>
      <c r="FQ170" s="6">
        <v>0</v>
      </c>
      <c r="FR170" s="6">
        <v>0</v>
      </c>
      <c r="FS170" s="6">
        <v>0</v>
      </c>
      <c r="FT170" s="7">
        <v>0.63750056998356253</v>
      </c>
      <c r="FU170" s="7">
        <v>6.8536566064121215E-2</v>
      </c>
      <c r="FV170" s="7">
        <v>0.29396286395231608</v>
      </c>
      <c r="FW170" s="6">
        <v>2019.9999999999998</v>
      </c>
      <c r="FX170" s="6">
        <v>3369.1117918992659</v>
      </c>
      <c r="FY170" s="6">
        <v>2085</v>
      </c>
      <c r="FZ170" s="6">
        <v>1952.7147957719815</v>
      </c>
      <c r="GA170" s="6">
        <v>2131.571075610289</v>
      </c>
      <c r="GB170" s="6">
        <v>17853.428924389711</v>
      </c>
      <c r="GC170" s="7">
        <v>1.0519917368675835E-2</v>
      </c>
      <c r="GD170" s="7">
        <v>1.0976544262907813E-2</v>
      </c>
      <c r="GE170" s="7"/>
      <c r="GF170" s="7"/>
      <c r="GG170" s="7">
        <v>4.3405939251161145E-2</v>
      </c>
      <c r="GH170" s="42">
        <v>4.8500824053741773</v>
      </c>
      <c r="GI170" s="6">
        <v>6252.1196209000364</v>
      </c>
      <c r="GJ170" s="14">
        <v>0.50394797582841722</v>
      </c>
      <c r="GK170" s="14">
        <v>0.50887573065309744</v>
      </c>
      <c r="GL170" s="14">
        <v>0.49605202417158262</v>
      </c>
      <c r="GM170" s="14">
        <v>0.49112426934690234</v>
      </c>
      <c r="GO170" s="5">
        <v>343.14810671672558</v>
      </c>
      <c r="GP170" s="5">
        <v>304.61036031982871</v>
      </c>
      <c r="GQ170" s="5">
        <v>535.04305713031317</v>
      </c>
      <c r="GR170" s="5">
        <v>410.15490233172511</v>
      </c>
      <c r="GS170" s="5">
        <v>339.42744393800166</v>
      </c>
      <c r="GT170" s="5">
        <v>293.4407446948278</v>
      </c>
      <c r="GU170" s="5">
        <v>258.04012322764959</v>
      </c>
      <c r="GV170" s="39" t="s">
        <v>392</v>
      </c>
      <c r="GW170" s="5">
        <v>450.45833333333331</v>
      </c>
      <c r="GX170" s="5">
        <v>337.84375</v>
      </c>
      <c r="GY170" s="5">
        <v>270.27499999999998</v>
      </c>
      <c r="GZ170" s="5">
        <v>244.93995573731721</v>
      </c>
      <c r="HA170" s="5">
        <v>220.91451012583786</v>
      </c>
      <c r="HB170" s="39">
        <v>262.48412538664769</v>
      </c>
      <c r="HC170" s="5">
        <v>196.06562499999998</v>
      </c>
      <c r="HD170" s="5">
        <v>177.54497441520465</v>
      </c>
      <c r="HE170" s="5">
        <v>183.15757844129553</v>
      </c>
      <c r="HF170" s="5">
        <v>172.69313048245613</v>
      </c>
      <c r="HG170" s="5">
        <v>170.66888157894735</v>
      </c>
      <c r="HH170" s="39">
        <v>178.35090729075014</v>
      </c>
      <c r="HI170" s="16"/>
      <c r="HJ170" s="19" t="str">
        <f t="shared" si="390"/>
        <v>On</v>
      </c>
      <c r="HK170" s="1" t="str">
        <f t="shared" si="390"/>
        <v>On</v>
      </c>
      <c r="HL170" s="16"/>
      <c r="HM170" s="639">
        <f t="shared" si="446"/>
        <v>5.7455619280273196E-3</v>
      </c>
      <c r="HN170" s="639">
        <f t="shared" si="447"/>
        <v>5.0031960498701745E-4</v>
      </c>
      <c r="HO170" s="639">
        <f t="shared" si="448"/>
        <v>3.9819433988714835E-3</v>
      </c>
      <c r="HP170" s="644">
        <f>(FT170*$GD170-HM170)/$JF170*INDEX(Input!$1:$1048576,$JG$93,$C170*2+6)</f>
        <v>54.595001551784982</v>
      </c>
      <c r="HQ170" s="644">
        <f>(FU170*$GD170-HN170)/$JF170*INDEX(Input!$1:$1048576,$JG$93,$C170*2+6)</f>
        <v>10.98775851990327</v>
      </c>
      <c r="HR170" s="644">
        <f>(FV170*$GD170-HO170)/$JF170*INDEX(Input!$1:$1048576,$JG$93,$C170*2+6)</f>
        <v>-32.933704787727947</v>
      </c>
      <c r="HS170" s="644">
        <f t="shared" si="449"/>
        <v>-14.976426849484977</v>
      </c>
      <c r="HT170" s="644">
        <f t="shared" si="450"/>
        <v>25.77708576399624</v>
      </c>
      <c r="HU170" s="644">
        <f t="shared" si="451"/>
        <v>7.3663451715296757</v>
      </c>
      <c r="HV170" s="648">
        <f t="shared" si="452"/>
        <v>0</v>
      </c>
      <c r="HW170" s="648">
        <f t="shared" si="453"/>
        <v>0</v>
      </c>
      <c r="HX170" s="648">
        <f t="shared" si="454"/>
        <v>0</v>
      </c>
      <c r="HY170" s="644">
        <f>INDEX(Input!$1:$1048576,HY$93,$C170*2+6)*INDEX(Input!$1:$1048576,$JG$93,$C170*2+6)</f>
        <v>110.00000000000001</v>
      </c>
      <c r="HZ170" s="644">
        <f>INDEX(Input!$1:$1048576,HZ$93,$C170*2+6)*INDEX(Input!$1:$1048576,$JG$93,$C170*2+6)</f>
        <v>157</v>
      </c>
      <c r="IA170" s="644">
        <f>INDEX(Input!$1:$1048576,IA$93,$C170*2+6)*INDEX(Input!$1:$1048576,$JG$93,$C170*2+6)</f>
        <v>179</v>
      </c>
      <c r="IB170" s="644">
        <f t="shared" si="455"/>
        <v>149.61857470229998</v>
      </c>
      <c r="IC170" s="644">
        <f t="shared" si="456"/>
        <v>193.76484428389952</v>
      </c>
      <c r="ID170" s="644">
        <f>IF(AND(INDEX(Input!$1:$1048576,IA$93,$C170*2+7)="TOS",Y170&lt;=INDEX(Y:Y,MATCH(C170*1000+2,A:A))),0,1)*MAX(IA170+HR170+HU170+HX170,0%)</f>
        <v>153.43264038380173</v>
      </c>
      <c r="IE170" s="128">
        <f t="shared" si="457"/>
        <v>0.30115486784390016</v>
      </c>
      <c r="IF170" s="128">
        <f t="shared" si="458"/>
        <v>0.39001324661205072</v>
      </c>
      <c r="IG170" s="128">
        <f t="shared" si="459"/>
        <v>0.30883188554404911</v>
      </c>
      <c r="IH170" s="21"/>
      <c r="II170" s="19">
        <f t="shared" si="460"/>
        <v>1240</v>
      </c>
      <c r="IJ170" s="19">
        <f t="shared" si="461"/>
        <v>2009.7221397149679</v>
      </c>
      <c r="IK170" s="19">
        <f t="shared" si="462"/>
        <v>2070</v>
      </c>
      <c r="IL170" s="19">
        <f t="shared" si="463"/>
        <v>779.99999999999977</v>
      </c>
      <c r="IM170" s="19">
        <f t="shared" si="464"/>
        <v>1359.389652184298</v>
      </c>
      <c r="IN170" s="19">
        <f t="shared" si="465"/>
        <v>15</v>
      </c>
      <c r="IO170" s="39">
        <f t="shared" si="466"/>
        <v>0</v>
      </c>
      <c r="IP170" s="39">
        <f t="shared" si="467"/>
        <v>0</v>
      </c>
      <c r="IQ170" s="39">
        <f t="shared" si="468"/>
        <v>0</v>
      </c>
      <c r="IR170" s="39">
        <v>0</v>
      </c>
      <c r="IS170" s="39">
        <v>0</v>
      </c>
      <c r="IT170" s="39">
        <v>0</v>
      </c>
      <c r="IU170" s="39">
        <v>0</v>
      </c>
      <c r="IV170" s="39">
        <v>0</v>
      </c>
      <c r="IW170" s="39">
        <v>0</v>
      </c>
      <c r="IX170" s="39">
        <f>INDEX(Input!$1:$1048576,IX$93,$C170*2+6)+INDEX(Input!$1:$1048576,IX$94,$C170*2+6)</f>
        <v>1270</v>
      </c>
      <c r="IY170" s="39">
        <f>INDEX(Input!$1:$1048576,IY$93,$C170*2+6)+INDEX(Input!$1:$1048576,IY$94,$C170*2+6)</f>
        <v>2130.0624533823611</v>
      </c>
      <c r="IZ170" s="39">
        <f>INDEX(Input!$1:$1048576,IZ$93,$C170*2+6)+INDEX(Input!$1:$1048576,IZ$94,$C170*2+6)</f>
        <v>4373.7164157747848</v>
      </c>
      <c r="JA170" s="19">
        <f t="shared" si="469"/>
        <v>2050</v>
      </c>
      <c r="JB170" s="19">
        <f t="shared" si="470"/>
        <v>3489.4521055666592</v>
      </c>
      <c r="JC170" s="19">
        <f t="shared" si="471"/>
        <v>4388.7164157747848</v>
      </c>
      <c r="JD170" s="19">
        <f t="shared" si="472"/>
        <v>3333.6755894711523</v>
      </c>
      <c r="JE170" s="21"/>
      <c r="JF170" s="1">
        <f t="shared" si="473"/>
        <v>1.022782493188582E-2</v>
      </c>
      <c r="JG170" s="15">
        <f>INDEX(Input!$1:$1048576,JG$93,$C170*2+6)/(1+VLOOKUP(C170*1000+INDEX(Input!$1:$1048576,JG$93+1,$C170*2+6),$A:$KK,$JK$92,FALSE))</f>
        <v>446</v>
      </c>
      <c r="JH170" s="1">
        <f t="shared" si="474"/>
        <v>7.3204159829507412E-2</v>
      </c>
      <c r="JI170" s="1">
        <f t="shared" si="475"/>
        <v>4.0733193018029017E-2</v>
      </c>
      <c r="JJ170" s="1">
        <f t="shared" si="476"/>
        <v>0</v>
      </c>
      <c r="JK170" s="1">
        <f t="shared" si="477"/>
        <v>0.11393735284753642</v>
      </c>
      <c r="JL170" s="15">
        <f t="shared" si="478"/>
        <v>50.816059370001241</v>
      </c>
      <c r="JM170" s="15">
        <f t="shared" si="479"/>
        <v>496.81605937000126</v>
      </c>
      <c r="JN170" s="21"/>
      <c r="JO170" s="19">
        <f>INDEX(Input!$1:$1048576,JO$93,$C170*2+6)</f>
        <v>5995.5</v>
      </c>
      <c r="JP170" s="19">
        <f>INDEX(Input!$1:$1048576,JP$93,$C170*2+6)</f>
        <v>2818.4193802796353</v>
      </c>
      <c r="JQ170" s="39">
        <f t="shared" si="480"/>
        <v>2661.8244105288477</v>
      </c>
      <c r="JR170" s="39">
        <f t="shared" si="481"/>
        <v>515.25620919151697</v>
      </c>
      <c r="JS170" s="39">
        <f t="shared" si="482"/>
        <v>1.6562235695790239</v>
      </c>
      <c r="JT170" s="39">
        <f t="shared" si="483"/>
        <v>0.39920852597430651</v>
      </c>
      <c r="JU170" s="385">
        <f>(JQ170*JM170-INDEX(Input!$1:$1048576,Input!A$18,$C170*2+6)*JL170*INDEX(Input!$1:$1048576,Input!A$19,$C170*2+6))/1000000</f>
        <v>1.3224371143738185</v>
      </c>
      <c r="JV170" s="39">
        <f t="shared" si="484"/>
        <v>-9.4540842021464178E-2</v>
      </c>
      <c r="JW170" s="1">
        <f t="shared" si="485"/>
        <v>-6.6720051356318269E-2</v>
      </c>
      <c r="JX170" s="19">
        <f t="shared" si="486"/>
        <v>7855.9520538102825</v>
      </c>
      <c r="JZ170" s="341"/>
      <c r="KA170" s="342"/>
      <c r="KB170" s="469">
        <f t="shared" si="514"/>
        <v>2.9286733661474216</v>
      </c>
      <c r="KI170" s="473">
        <f t="shared" si="487"/>
        <v>39.618574702299966</v>
      </c>
      <c r="KJ170" s="473">
        <f t="shared" si="488"/>
        <v>36.764844283899521</v>
      </c>
      <c r="KK170" s="473">
        <f t="shared" si="489"/>
        <v>-25.567359616198274</v>
      </c>
      <c r="KN170" s="544">
        <f t="shared" si="490"/>
        <v>1002</v>
      </c>
      <c r="KO170" s="541">
        <f t="shared" si="491"/>
        <v>0.10937129705916959</v>
      </c>
      <c r="KP170" s="546">
        <f t="shared" si="492"/>
        <v>744.34572514378806</v>
      </c>
      <c r="KQ170" s="546">
        <f t="shared" si="493"/>
        <v>494.35938945250064</v>
      </c>
      <c r="KR170" s="548">
        <f t="shared" si="494"/>
        <v>2.5193208113180248</v>
      </c>
      <c r="KS170" s="548">
        <f t="shared" si="495"/>
        <v>3.7932842304202463</v>
      </c>
      <c r="KT170" s="473">
        <f t="shared" si="515"/>
        <v>238.28695973331548</v>
      </c>
      <c r="KU170" s="663">
        <f t="shared" si="496"/>
        <v>6.504211412899271</v>
      </c>
    </row>
    <row r="171" spans="1:308" s="26" customFormat="1" ht="15" outlineLevel="1">
      <c r="A171" s="561">
        <f t="shared" si="391"/>
        <v>1071</v>
      </c>
      <c r="B171" s="561">
        <f t="shared" si="513"/>
        <v>71</v>
      </c>
      <c r="C171" s="561">
        <f t="shared" si="105"/>
        <v>1</v>
      </c>
      <c r="D171" s="561" t="str">
        <f t="shared" si="294"/>
        <v xml:space="preserve">1000 CC, 0/1.8/2.8/3.9, 2000 Combo, </v>
      </c>
      <c r="E171" s="475">
        <f>INDEX(Input!$1:$1048576,E$93,$C171*2+MIN($B171,2)+5)
+INDEX(Scenarios!E$121:E$200,MATCH($B171,Scenarios!$B$121:$B$200,0))</f>
        <v>2229</v>
      </c>
      <c r="F171" s="475">
        <f>INDEX(Input!$1:$1048576,F$93,$C171*2+MIN($B171,2)+5)
+INDEX(Scenarios!F$121:F$200,MATCH($B171,Scenarios!$B$121:$B$200,0))</f>
        <v>0</v>
      </c>
      <c r="G171" s="475">
        <f>INDEX(Input!$1:$1048576,G$93,$C171*2+MIN($B171,2)+5)
+INDEX(Scenarios!G$121:G$200,MATCH($B171,Scenarios!$B$121:$B$200,0))</f>
        <v>0</v>
      </c>
      <c r="H171" s="475">
        <f>INDEX(Input!$1:$1048576,H$93,$C171*2+MIN($B171,2)+5)
+INDEX(Scenarios!H$121:H$200,MATCH($B171,Scenarios!$B$121:$B$200,0))</f>
        <v>0</v>
      </c>
      <c r="I171" s="476">
        <f>INDEX(Input!$1:$1048576,I$93,$C171*2+MIN($B171,2)+5)</f>
        <v>0.7</v>
      </c>
      <c r="J171" s="476" t="str">
        <f>INDEX(Input!$1:$1048576,J$93,$C171*2+MIN($B171,2)+5)</f>
        <v>Market</v>
      </c>
      <c r="K171" s="476" t="str">
        <f>INDEX(Input!$1:$1048576,K$93,$C171*2+MIN($B171,2)+5)</f>
        <v>Market</v>
      </c>
      <c r="L171" s="476" t="str">
        <f>INDEX(Input!$1:$1048576,L$93,$C171*2+MIN($B171,2)+5)</f>
        <v>Market</v>
      </c>
      <c r="M171" s="476" t="str">
        <f>INDEX(Input!$1:$1048576,M$93,$C171*2+MIN($B171,2)+5)</f>
        <v>Market</v>
      </c>
      <c r="N171" s="476" t="str">
        <f>INDEX(Input!$1:$1048576,N$93,$C171*2+MIN($B171,2)+5)</f>
        <v>Market</v>
      </c>
      <c r="O171" s="476" t="str">
        <f>INDEX(Input!$1:$1048576,O$93,$C171*2+MIN($B171,2)+5)</f>
        <v>Market</v>
      </c>
      <c r="P171" s="476" t="str">
        <f>INDEX(Input!$1:$1048576,P$93,$C171*2+MIN($B171,2)+5)</f>
        <v>N</v>
      </c>
      <c r="Q171" s="477">
        <f>INDEX(Input!$1:$1048576,Q$93,$C171*2+MIN($B171,2)+5)
+INDEX(Scenarios!Q$121:Q$200,MATCH($B171,Scenarios!$B$121:$B$200,0))</f>
        <v>2000</v>
      </c>
      <c r="R171" s="478">
        <f>IFERROR(MAX(0,INDEX(Input!$1:$1048576,R$93,$C171*2+MIN($B171,2)+5)
+INDEX(Scenarios!R$121:R$200,MATCH($B171,Scenarios!$B$121:$B$200,0)),),"Market")</f>
        <v>0</v>
      </c>
      <c r="S171" s="478">
        <f>IFERROR(MAX(0,INDEX(Input!$1:$1048576,S$93,$C171*2+MIN($B171,2)+5)
+INDEX(Scenarios!S$121:S$200,MATCH($B171,Scenarios!$B$121:$B$200,0)),),"Market")</f>
        <v>0</v>
      </c>
      <c r="T171" s="478">
        <f>IFERROR(MAX(0,INDEX(Input!$1:$1048576,T$93,$C171*2+MIN($B171,2)+5)
+INDEX(Scenarios!T$121:T$200,MATCH($B171,Scenarios!$B$121:$B$200,0)),),"Market")</f>
        <v>0</v>
      </c>
      <c r="U171" s="478">
        <f>IFERROR(MAX(0,INDEX(Input!$1:$1048576,U$93,$C171*2+MIN($B171,2)+5)
+INDEX(Scenarios!U$121:U$200,MATCH($B171,Scenarios!$B$121:$B$200,0)),),"Market")</f>
        <v>0</v>
      </c>
      <c r="V171" s="478">
        <f>IFERROR(MAX(0,INDEX(Input!$1:$1048576,V$93,$C171*2+MIN($B171,2)+5)
+INDEX(Scenarios!V$121:V$200,MATCH($B171,Scenarios!$B$121:$B$200,0)),),"Market")</f>
        <v>2.7999999999999997E-2</v>
      </c>
      <c r="W171" s="885">
        <f>IFERROR(MAX(0,INDEX(Input!$1:$1048576,W$93,$C171*2+MIN($B171,2)+5)-0%,),"Market")</f>
        <v>3.9E-2</v>
      </c>
      <c r="X171" s="476" t="str">
        <f>INDEX(Input!$1:$1048576,X$93,$C171*2+MIN($B171,2)+5)</f>
        <v>Y</v>
      </c>
      <c r="Y171" s="475">
        <f>INDEX(Input!$1:$1048576,Y$93,$C171*2+MIN($B171,2)+5)
++INDEX(Scenarios!Y$121:Y$200,MATCH($B171,Scenarios!$B$121:$B$200,0))</f>
        <v>1942</v>
      </c>
      <c r="Z171" s="477">
        <f>INDEX(Input!$1:$1048576,Z$93,$C171*2+MIN($B171,2)+5)
+INDEX(Scenarios!Z$121:Z$200,MATCH($B171,Scenarios!$B$121:$B$200,0))</f>
        <v>0</v>
      </c>
      <c r="AA171" s="475">
        <f>INDEX(Input!$1:$1048576,AA$93,$C171*2+MIN($B171,2)+5)
+INDEX(Scenarios!AA$121:AA$200,MATCH($B171,Scenarios!$B$121:$B$200,0))</f>
        <v>0</v>
      </c>
      <c r="AB171" s="476">
        <f>INDEX(Input!$1:$1048576,AB$93,$C171*2+MIN($B171,2)+5)</f>
        <v>0.27</v>
      </c>
      <c r="AC171" s="475">
        <f>INDEX(Input!$1:$1048576,AC$93,$C171*2+MIN($B171,2)+5)
+INDEX(Scenarios!AC$121:AC$200,MATCH($B171,Scenarios!$B$121:$B$200,0))</f>
        <v>0</v>
      </c>
      <c r="AD171" s="476">
        <f>INDEX(Input!$1:$1048576,AD$93,$C171*2+MIN($B171,2)+5)</f>
        <v>0.27</v>
      </c>
      <c r="AE171" s="475">
        <f>INDEX(Input!$1:$1048576,AE$93,$C171*2+MIN($B171,2)+5)
+INDEX(Scenarios!AE$121:AE$200,MATCH($B171,Scenarios!$B$121:$B$200,0))</f>
        <v>0</v>
      </c>
      <c r="AF171" s="476">
        <f>INDEX(Input!$1:$1048576,AF$93,$C171*2+MIN($B171,2)+5)</f>
        <v>0.38</v>
      </c>
      <c r="AG171" s="475">
        <f>INDEX(Input!$1:$1048576,AG$93,$C171*2+MIN($B171,2)+5)
+INDEX(Scenarios!AG$121:AG$200,MATCH($B171,Scenarios!$B$121:$B$200,0))</f>
        <v>0</v>
      </c>
      <c r="AH171" s="476">
        <f>INDEX(Input!$1:$1048576,AH$93,$C171*2+MIN($B171,2)+5)</f>
        <v>0</v>
      </c>
      <c r="AI171" s="475">
        <f>INDEX(Input!$1:$1048576,AI$93,$C171*2+MIN($B171,2)+5)
+INDEX(Scenarios!AI$121:AI$200,MATCH($B171,Scenarios!$B$121:$B$200,0))</f>
        <v>0</v>
      </c>
      <c r="AJ171" s="476">
        <f>INDEX(Input!$1:$1048576,AJ$93,$C171*2+MIN($B171,2)+5)</f>
        <v>0.27</v>
      </c>
      <c r="AK171" s="150">
        <f>ROUND(INDEX(Input!$1:$1048576,AK$93,$C170*2+MIN($B171,1)+5)+(Y171-VLOOKUP($C171*1000+1,$A:$HH,Y$92,FALSE)),0)</f>
        <v>3757</v>
      </c>
      <c r="AL171" s="150">
        <f>ROUND(INDEX(Input!$1:$1048576,AL$93,$C170*2+MIN($B171,1)+5)-(Y171-VLOOKUP($C171*1000+1,$A:$HH,Y$92,FALSE))/36,0)</f>
        <v>4113</v>
      </c>
      <c r="AM171" s="32" t="str">
        <f t="shared" si="392"/>
        <v>std/std/std/std</v>
      </c>
      <c r="AN171" s="32" t="str">
        <f t="shared" si="393"/>
        <v>$2000 + 0/0/0/2.8/3.9</v>
      </c>
      <c r="AO171" s="32" t="str">
        <f t="shared" si="394"/>
        <v>0/0/0/2.8/3.9</v>
      </c>
      <c r="AP171" s="32" t="str">
        <f t="shared" si="498"/>
        <v>0/1.8/2.8/3.9</v>
      </c>
      <c r="AQ171" s="536">
        <f t="shared" si="497"/>
        <v>0.31278840117593454</v>
      </c>
      <c r="AR171" s="32"/>
      <c r="AS171" s="302"/>
      <c r="AT171" s="3">
        <f t="shared" si="106"/>
        <v>71</v>
      </c>
      <c r="AU171" s="41" t="s">
        <v>121</v>
      </c>
      <c r="AV171" s="41" t="s">
        <v>116</v>
      </c>
      <c r="AW171" s="41" t="str">
        <f>INDEX(Input!$1:$1048576,AW$93,$C171*2+6)</f>
        <v>Kia</v>
      </c>
      <c r="AX171" s="41" t="str">
        <f>INDEX(Input!$1:$1048576,AX$93,$C171*2+6)</f>
        <v>Kia-LR - L1</v>
      </c>
      <c r="AY171" s="41" t="str">
        <f>IF(LEN(D171)=0,"",INDEX(Input!$1:$1048576,AY$93,$C171*2+6))</f>
        <v>Compact SUV (52)</v>
      </c>
      <c r="AZ171" s="41" t="str">
        <f>INDEX(Input!$1:$1048576,AZ$93,$C171*2+6)</f>
        <v>Kia Soul</v>
      </c>
      <c r="BA171" s="3">
        <f>INDEX(Input!$1:$1048576,BA$93,$C171*2+6)</f>
        <v>2020</v>
      </c>
      <c r="BB171" s="128">
        <f>INDEX(Input!$1:$1048576,BB$93,$C171*2+6)</f>
        <v>1</v>
      </c>
      <c r="BC171" s="128">
        <f>INDEX(Input!$1:$1048576,BC$93,$C171*2+6)</f>
        <v>0.7</v>
      </c>
      <c r="BD171" s="1">
        <f>INDEX(Input!$1:$1048576,BD$93,$C171*2+6)</f>
        <v>4.4999999999999998E-2</v>
      </c>
      <c r="BE171" s="1">
        <f>INDEX(Input!$1:$1048576,BE$93,$C171*2+6)</f>
        <v>4.4999999999999998E-2</v>
      </c>
      <c r="BF171" s="1">
        <f>INDEX(Input!$1:$1048576,BF$93,$C171*2+6)</f>
        <v>0.05</v>
      </c>
      <c r="BG171" s="1">
        <f>INDEX(Input!$1:$1048576,BG$93,$C171*2+6)</f>
        <v>5.45E-2</v>
      </c>
      <c r="BH171" s="1">
        <f>INDEX(Input!$1:$1048576,BH$93,$C171*2+6)</f>
        <v>5.45E-2</v>
      </c>
      <c r="BI171" s="1">
        <f>INDEX(Input!$1:$1048576,BI$93,$C171*2+6)</f>
        <v>0.05</v>
      </c>
      <c r="BJ171" s="1">
        <f>INDEX(Input!$1:$1048576,BJ$93,$C171*2+6)</f>
        <v>0.05</v>
      </c>
      <c r="BK171" s="1">
        <f>INDEX(Input!$1:$1048576,BK$93,$C171*2+6)</f>
        <v>0.05</v>
      </c>
      <c r="BL171" s="1">
        <f>INDEX(Input!$1:$1048576,BL$93,$C171*2+6)</f>
        <v>5.5E-2</v>
      </c>
      <c r="BM171" s="1">
        <f>INDEX(Input!$1:$1048576,BM$93,$C171*2+6)</f>
        <v>0.06</v>
      </c>
      <c r="BN171" s="1">
        <f>INDEX(Input!$1:$1048576,BN$93,$C171*2+6)</f>
        <v>4.4999999999999998E-2</v>
      </c>
      <c r="BO171" s="1">
        <f>INDEX(Input!$1:$1048576,BO$93,$C171*2+6)</f>
        <v>4.4999999999999998E-2</v>
      </c>
      <c r="BP171" s="1">
        <f>INDEX(Input!$1:$1048576,BP$93,$C171*2+6)</f>
        <v>0.05</v>
      </c>
      <c r="BQ171" s="1">
        <f>INDEX(Input!$1:$1048576,BQ$93,$C171*2+6)</f>
        <v>5.45E-2</v>
      </c>
      <c r="BR171" s="1">
        <f>INDEX(Input!$1:$1048576,BR$93,$C171*2+6)</f>
        <v>5.45E-2</v>
      </c>
      <c r="BS171" s="1">
        <f>INDEX(Input!$1:$1048576,BS$93,$C171*2+6)</f>
        <v>0.05</v>
      </c>
      <c r="BT171" s="1">
        <f>INDEX(Input!$1:$1048576,BT$93,$C171*2+6)</f>
        <v>0.05</v>
      </c>
      <c r="BU171" s="1">
        <f>INDEX(Input!$1:$1048576,BU$93,$C171*2+6)</f>
        <v>0.05</v>
      </c>
      <c r="BV171" s="1">
        <f>INDEX(Input!$1:$1048576,BV$93,$C171*2+6)</f>
        <v>5.5E-2</v>
      </c>
      <c r="BW171" s="1">
        <f>INDEX(Input!$1:$1048576,BW$93,$C171*2+6)</f>
        <v>0.06</v>
      </c>
      <c r="BX171" s="127">
        <f>INDEX(Input!$1:$1048576,BX$93,$C171*2+6)</f>
        <v>19985</v>
      </c>
      <c r="BY171" s="20">
        <f>INDEX(Input!$1:$1048576,BY$93,$C171*2+6)</f>
        <v>0.1</v>
      </c>
      <c r="BZ171" s="20">
        <f>INDEX(Input!$1:$1048576,BZ$93,$C171*2+6)</f>
        <v>0.1</v>
      </c>
      <c r="CA171" s="20">
        <f>INDEX(Input!$1:$1048576,CA$93,$C171*2+6)</f>
        <v>0.1</v>
      </c>
      <c r="CB171" s="20">
        <f>INDEX(Input!$1:$1048576,CB$93,$C171*2+6)</f>
        <v>0.1</v>
      </c>
      <c r="CC171" s="20">
        <f>INDEX(Input!$1:$1048576,CC$93,$C171*2+6)</f>
        <v>0.1</v>
      </c>
      <c r="CD171" s="384">
        <f>INDEX(Input!$1:$1048576,CD$93,$C171*2+6)</f>
        <v>0.1</v>
      </c>
      <c r="CE171" s="384">
        <f>INDEX(Input!$1:$1048576,CE$93,$C171*2+6)</f>
        <v>0.1</v>
      </c>
      <c r="CF171" s="384">
        <f>INDEX(Input!$1:$1048576,CF$93,$C171*2+6)</f>
        <v>0.1</v>
      </c>
      <c r="CG171" s="384">
        <f>INDEX(Input!$1:$1048576,CG$93,$C171*2+6)</f>
        <v>0.1</v>
      </c>
      <c r="CH171" s="384">
        <f>INDEX(Input!$1:$1048576,CH$93,$C171*2+6)</f>
        <v>0.1</v>
      </c>
      <c r="CI171" s="304">
        <f t="shared" si="499"/>
        <v>2229</v>
      </c>
      <c r="CJ171" s="16" t="str">
        <f>INDEX(Input!$1:$1048576,CJ$93,$C171*2+6)</f>
        <v>N</v>
      </c>
      <c r="CK171" s="1" t="str">
        <f t="shared" si="500"/>
        <v>Market</v>
      </c>
      <c r="CL171" s="1" t="str">
        <f t="shared" si="501"/>
        <v>Market</v>
      </c>
      <c r="CM171" s="1" t="str">
        <f t="shared" si="502"/>
        <v>Market</v>
      </c>
      <c r="CN171" s="1" t="str">
        <f t="shared" si="503"/>
        <v>Market</v>
      </c>
      <c r="CO171" s="1" t="str">
        <f t="shared" si="504"/>
        <v>Market</v>
      </c>
      <c r="CP171" s="304">
        <f t="shared" si="505"/>
        <v>2000</v>
      </c>
      <c r="CQ171" s="1">
        <f t="shared" si="506"/>
        <v>0</v>
      </c>
      <c r="CR171" s="1">
        <f t="shared" si="507"/>
        <v>0</v>
      </c>
      <c r="CS171" s="1">
        <f t="shared" si="508"/>
        <v>0</v>
      </c>
      <c r="CT171" s="1">
        <f t="shared" si="509"/>
        <v>2.7999999999999997E-2</v>
      </c>
      <c r="CU171" s="1">
        <f t="shared" si="510"/>
        <v>3.9E-2</v>
      </c>
      <c r="CV171" s="304">
        <f t="shared" si="511"/>
        <v>1942</v>
      </c>
      <c r="CW171" s="20" t="s">
        <v>122</v>
      </c>
      <c r="CX171" s="20" t="s">
        <v>122</v>
      </c>
      <c r="CY171" s="20" t="s">
        <v>122</v>
      </c>
      <c r="CZ171" s="20" t="s">
        <v>122</v>
      </c>
      <c r="DA171" s="20" t="s">
        <v>122</v>
      </c>
      <c r="DB171" s="503">
        <f t="shared" si="512"/>
        <v>0</v>
      </c>
      <c r="DC171" s="127">
        <v>0</v>
      </c>
      <c r="DD171" s="127">
        <v>0</v>
      </c>
      <c r="DE171" s="127">
        <v>0</v>
      </c>
      <c r="DF171" s="127">
        <v>0</v>
      </c>
      <c r="DG171" s="127">
        <v>0</v>
      </c>
      <c r="DH171" s="127">
        <v>0</v>
      </c>
      <c r="DI171" s="127">
        <v>0</v>
      </c>
      <c r="DJ171" s="127">
        <v>0</v>
      </c>
      <c r="DK171" s="127">
        <v>0</v>
      </c>
      <c r="DL171" s="127">
        <v>0</v>
      </c>
      <c r="DM171" s="304">
        <f>INDEX(Input!$1:$1048576,DM$93,$C171*2+6)</f>
        <v>21036.84210526316</v>
      </c>
      <c r="DN171" s="20">
        <v>0</v>
      </c>
      <c r="DO171" s="20">
        <v>0</v>
      </c>
      <c r="DP171" s="20">
        <v>0</v>
      </c>
      <c r="DQ171" s="20">
        <v>0</v>
      </c>
      <c r="DR171" s="20">
        <v>0</v>
      </c>
      <c r="DS171" s="20">
        <f>INDEX(Input!$1:$1048576,DS$93,$C171*2+6)</f>
        <v>0.6</v>
      </c>
      <c r="DT171" s="20">
        <f>INDEX(Input!$1:$1048576,DT$93,$C171*2+6)</f>
        <v>0.55000000000000004</v>
      </c>
      <c r="DU171" s="20">
        <f>INDEX(Input!$1:$1048576,DU$93,$C171*2+6)</f>
        <v>0.52</v>
      </c>
      <c r="DV171" s="20">
        <f>INDEX(Input!$1:$1048576,DV$93,$C171*2+6)</f>
        <v>0.5</v>
      </c>
      <c r="DW171" s="20">
        <f>INDEX(Input!$1:$1048576,DW$93,$C171*2+6)</f>
        <v>0.45</v>
      </c>
      <c r="DX171" s="20"/>
      <c r="DY171" s="7">
        <v>0.12615424534020528</v>
      </c>
      <c r="DZ171" s="7">
        <v>0</v>
      </c>
      <c r="EA171" s="7">
        <v>0.52937758173538396</v>
      </c>
      <c r="EB171" s="7">
        <v>0</v>
      </c>
      <c r="EC171" s="7">
        <v>0</v>
      </c>
      <c r="ED171" s="7">
        <v>0</v>
      </c>
      <c r="EE171" s="7">
        <v>0</v>
      </c>
      <c r="EF171" s="7">
        <v>0</v>
      </c>
      <c r="EG171" s="7">
        <v>0</v>
      </c>
      <c r="EH171" s="7">
        <v>2.1769607992833943E-2</v>
      </c>
      <c r="EI171" s="7">
        <v>6.3573326216933831E-2</v>
      </c>
      <c r="EJ171" s="7">
        <v>0.40158568276873546</v>
      </c>
      <c r="EK171" s="7">
        <v>0.38777592825258317</v>
      </c>
      <c r="EL171" s="7">
        <v>0.12529545476891371</v>
      </c>
      <c r="EM171" s="7">
        <v>7.9975754474542957E-2</v>
      </c>
      <c r="EN171" s="7">
        <v>5.0824256578978523E-2</v>
      </c>
      <c r="EO171" s="7">
        <v>0.76815678085538375</v>
      </c>
      <c r="EP171" s="7">
        <v>7.9058197430733598E-2</v>
      </c>
      <c r="EQ171" s="7">
        <v>6.027119863119898E-2</v>
      </c>
      <c r="ER171" s="7">
        <v>4.1689566503705242E-2</v>
      </c>
      <c r="ES171" s="7">
        <v>0.26449241844986782</v>
      </c>
      <c r="ET171" s="7">
        <v>0.34446817292441068</v>
      </c>
      <c r="EU171" s="6">
        <v>2270</v>
      </c>
      <c r="EV171" s="6">
        <v>0</v>
      </c>
      <c r="EW171" s="6">
        <v>2270</v>
      </c>
      <c r="EX171" s="6">
        <v>0</v>
      </c>
      <c r="EY171" s="6">
        <v>3869.1117918992659</v>
      </c>
      <c r="EZ171" s="6">
        <v>2085</v>
      </c>
      <c r="FA171" s="6">
        <v>0</v>
      </c>
      <c r="FB171" s="6">
        <v>0</v>
      </c>
      <c r="FC171" s="6">
        <v>0</v>
      </c>
      <c r="FD171" s="6">
        <v>0</v>
      </c>
      <c r="FE171" s="6">
        <v>0</v>
      </c>
      <c r="FF171" s="6">
        <v>0</v>
      </c>
      <c r="FG171" s="6">
        <v>0</v>
      </c>
      <c r="FH171" s="6">
        <v>1171.2811379695618</v>
      </c>
      <c r="FI171" s="6">
        <v>1553.9796069512402</v>
      </c>
      <c r="FJ171" s="6">
        <v>2101.2110117447405</v>
      </c>
      <c r="FK171" s="6">
        <v>1334.1543630076699</v>
      </c>
      <c r="FL171" s="6">
        <v>907.07682140966358</v>
      </c>
      <c r="FM171" s="6">
        <v>1599.1117918992661</v>
      </c>
      <c r="FN171" s="6">
        <v>0</v>
      </c>
      <c r="FO171" s="6">
        <v>0</v>
      </c>
      <c r="FP171" s="6">
        <v>0</v>
      </c>
      <c r="FQ171" s="6">
        <v>0</v>
      </c>
      <c r="FR171" s="6">
        <v>0</v>
      </c>
      <c r="FS171" s="6">
        <v>0</v>
      </c>
      <c r="FT171" s="7">
        <v>0.65553182707558921</v>
      </c>
      <c r="FU171" s="7">
        <v>7.9975754474542957E-2</v>
      </c>
      <c r="FV171" s="7">
        <v>0.26449241844986782</v>
      </c>
      <c r="FW171" s="6">
        <v>2270</v>
      </c>
      <c r="FX171" s="6">
        <v>3869.1117918992654</v>
      </c>
      <c r="FY171" s="6">
        <v>2085</v>
      </c>
      <c r="FZ171" s="6">
        <v>1952.7147957719815</v>
      </c>
      <c r="GA171" s="6">
        <v>2348.9590746330568</v>
      </c>
      <c r="GB171" s="6">
        <v>17636.040925366942</v>
      </c>
      <c r="GC171" s="7">
        <v>1.0519917368675835E-2</v>
      </c>
      <c r="GD171" s="7">
        <v>1.126207020632425E-2</v>
      </c>
      <c r="GE171" s="7"/>
      <c r="GF171" s="7"/>
      <c r="GG171" s="7">
        <v>7.0547401813083985E-2</v>
      </c>
      <c r="GH171" s="42">
        <v>3.5581329509335218</v>
      </c>
      <c r="GI171" s="6">
        <v>7965.6688141487393</v>
      </c>
      <c r="GJ171" s="14">
        <v>0.50394797582841744</v>
      </c>
      <c r="GK171" s="14">
        <v>0.50887573065309744</v>
      </c>
      <c r="GL171" s="14">
        <v>0.49605202417158273</v>
      </c>
      <c r="GM171" s="14">
        <v>0.49112426934690251</v>
      </c>
      <c r="GO171" s="5">
        <v>343.14810671672558</v>
      </c>
      <c r="GP171" s="5">
        <v>299.84083725090579</v>
      </c>
      <c r="GQ171" s="5">
        <v>535.04305713031317</v>
      </c>
      <c r="GR171" s="5">
        <v>410.15490233172511</v>
      </c>
      <c r="GS171" s="5">
        <v>339.42744393800166</v>
      </c>
      <c r="GT171" s="5">
        <v>293.4407446948278</v>
      </c>
      <c r="GU171" s="5">
        <v>258.04012322764959</v>
      </c>
      <c r="GV171" s="39" t="s">
        <v>392</v>
      </c>
      <c r="GW171" s="5">
        <v>436.56944444444446</v>
      </c>
      <c r="GX171" s="5">
        <v>327.42708333333331</v>
      </c>
      <c r="GY171" s="5">
        <v>261.94166666666666</v>
      </c>
      <c r="GZ171" s="5">
        <v>237.38777259862152</v>
      </c>
      <c r="HA171" s="5">
        <v>214.10309859665963</v>
      </c>
      <c r="HB171" s="39">
        <v>254.39100648347352</v>
      </c>
      <c r="HC171" s="5">
        <v>196.06562499999998</v>
      </c>
      <c r="HD171" s="5">
        <v>177.54497441520465</v>
      </c>
      <c r="HE171" s="5">
        <v>183.15757844129553</v>
      </c>
      <c r="HF171" s="5">
        <v>172.69313048245613</v>
      </c>
      <c r="HG171" s="5">
        <v>170.66888157894735</v>
      </c>
      <c r="HH171" s="39">
        <v>178.35090729075009</v>
      </c>
      <c r="HI171" s="16"/>
      <c r="HJ171" s="19" t="str">
        <f t="shared" si="390"/>
        <v>On</v>
      </c>
      <c r="HK171" s="1" t="str">
        <f t="shared" si="390"/>
        <v>On</v>
      </c>
      <c r="HL171" s="16"/>
      <c r="HM171" s="639">
        <f t="shared" si="446"/>
        <v>5.7455619280273196E-3</v>
      </c>
      <c r="HN171" s="639">
        <f t="shared" si="447"/>
        <v>5.0031960498701745E-4</v>
      </c>
      <c r="HO171" s="639">
        <f t="shared" si="448"/>
        <v>3.9819433988714835E-3</v>
      </c>
      <c r="HP171" s="644">
        <f>(FT171*$GD171-HM171)/$JF171*INDEX(Input!$1:$1048576,$JG$93,$C171*2+6)</f>
        <v>71.38753935256814</v>
      </c>
      <c r="HQ171" s="644">
        <f>(FU171*$GD171-HN171)/$JF171*INDEX(Input!$1:$1048576,$JG$93,$C171*2+6)</f>
        <v>17.458877120152838</v>
      </c>
      <c r="HR171" s="644">
        <f>(FV171*$GD171-HO171)/$JF171*INDEX(Input!$1:$1048576,$JG$93,$C171*2+6)</f>
        <v>-43.746564307526612</v>
      </c>
      <c r="HS171" s="644">
        <f t="shared" si="449"/>
        <v>-19.819349033607917</v>
      </c>
      <c r="HT171" s="644">
        <f t="shared" si="450"/>
        <v>35.554462089638804</v>
      </c>
      <c r="HU171" s="644">
        <f t="shared" si="451"/>
        <v>9.7065360350273977</v>
      </c>
      <c r="HV171" s="648">
        <f t="shared" si="452"/>
        <v>0</v>
      </c>
      <c r="HW171" s="648">
        <f t="shared" si="453"/>
        <v>0</v>
      </c>
      <c r="HX171" s="648">
        <f t="shared" si="454"/>
        <v>0</v>
      </c>
      <c r="HY171" s="644">
        <f>INDEX(Input!$1:$1048576,HY$93,$C171*2+6)*INDEX(Input!$1:$1048576,$JG$93,$C171*2+6)</f>
        <v>110.00000000000001</v>
      </c>
      <c r="HZ171" s="644">
        <f>INDEX(Input!$1:$1048576,HZ$93,$C171*2+6)*INDEX(Input!$1:$1048576,$JG$93,$C171*2+6)</f>
        <v>157</v>
      </c>
      <c r="IA171" s="644">
        <f>INDEX(Input!$1:$1048576,IA$93,$C171*2+6)*INDEX(Input!$1:$1048576,$JG$93,$C171*2+6)</f>
        <v>179</v>
      </c>
      <c r="IB171" s="644">
        <f t="shared" si="455"/>
        <v>161.56819031896026</v>
      </c>
      <c r="IC171" s="644">
        <f t="shared" si="456"/>
        <v>210.01333920979164</v>
      </c>
      <c r="ID171" s="644">
        <f>IF(AND(INDEX(Input!$1:$1048576,IA$93,$C171*2+7)="TOS",Y171&lt;=INDEX(Y:Y,MATCH(C171*1000+2,A:A))),0,1)*MAX(IA171+HR171+HU171+HX171,0%)</f>
        <v>144.95997172750077</v>
      </c>
      <c r="IE171" s="128">
        <f t="shared" si="457"/>
        <v>0.31278840117593454</v>
      </c>
      <c r="IF171" s="128">
        <f t="shared" si="458"/>
        <v>0.40657592603697773</v>
      </c>
      <c r="IG171" s="128">
        <f t="shared" si="459"/>
        <v>0.28063567278708768</v>
      </c>
      <c r="IH171" s="21"/>
      <c r="II171" s="19">
        <f t="shared" si="460"/>
        <v>1240</v>
      </c>
      <c r="IJ171" s="19">
        <f t="shared" si="461"/>
        <v>2009.7221397149679</v>
      </c>
      <c r="IK171" s="19">
        <f t="shared" si="462"/>
        <v>2070</v>
      </c>
      <c r="IL171" s="19">
        <f t="shared" si="463"/>
        <v>1030</v>
      </c>
      <c r="IM171" s="19">
        <f t="shared" si="464"/>
        <v>1859.3896521842976</v>
      </c>
      <c r="IN171" s="19">
        <f t="shared" si="465"/>
        <v>15</v>
      </c>
      <c r="IO171" s="39">
        <f t="shared" si="466"/>
        <v>0</v>
      </c>
      <c r="IP171" s="39">
        <f t="shared" si="467"/>
        <v>0</v>
      </c>
      <c r="IQ171" s="39">
        <f t="shared" si="468"/>
        <v>0</v>
      </c>
      <c r="IR171" s="39">
        <v>0</v>
      </c>
      <c r="IS171" s="39">
        <v>0</v>
      </c>
      <c r="IT171" s="39">
        <v>0</v>
      </c>
      <c r="IU171" s="39">
        <v>0</v>
      </c>
      <c r="IV171" s="39">
        <v>0</v>
      </c>
      <c r="IW171" s="39">
        <v>0</v>
      </c>
      <c r="IX171" s="39">
        <f>INDEX(Input!$1:$1048576,IX$93,$C171*2+6)+INDEX(Input!$1:$1048576,IX$94,$C171*2+6)</f>
        <v>1270</v>
      </c>
      <c r="IY171" s="39">
        <f>INDEX(Input!$1:$1048576,IY$93,$C171*2+6)+INDEX(Input!$1:$1048576,IY$94,$C171*2+6)</f>
        <v>2130.0624533823611</v>
      </c>
      <c r="IZ171" s="39">
        <f>INDEX(Input!$1:$1048576,IZ$93,$C171*2+6)+INDEX(Input!$1:$1048576,IZ$94,$C171*2+6)</f>
        <v>4373.7164157747848</v>
      </c>
      <c r="JA171" s="19">
        <f t="shared" si="469"/>
        <v>2300</v>
      </c>
      <c r="JB171" s="19">
        <f t="shared" si="470"/>
        <v>3989.4521055666587</v>
      </c>
      <c r="JC171" s="19">
        <f t="shared" si="471"/>
        <v>4388.7164157747848</v>
      </c>
      <c r="JD171" s="19">
        <f t="shared" si="472"/>
        <v>3573.058890918277</v>
      </c>
      <c r="JE171" s="21"/>
      <c r="JF171" s="1">
        <f t="shared" si="473"/>
        <v>1.022782493188582E-2</v>
      </c>
      <c r="JG171" s="15">
        <f>INDEX(Input!$1:$1048576,JG$93,$C171*2+6)/(1+VLOOKUP(C171*1000+INDEX(Input!$1:$1048576,JG$93+1,$C171*2+6),$A:$KK,$JK$92,FALSE))</f>
        <v>446</v>
      </c>
      <c r="JH171" s="1">
        <f t="shared" si="474"/>
        <v>0.10112074476500979</v>
      </c>
      <c r="JI171" s="1">
        <f t="shared" si="475"/>
        <v>5.7044056257978218E-2</v>
      </c>
      <c r="JJ171" s="1">
        <f t="shared" si="476"/>
        <v>0</v>
      </c>
      <c r="JK171" s="1">
        <f t="shared" si="477"/>
        <v>0.15816480102298802</v>
      </c>
      <c r="JL171" s="15">
        <f t="shared" si="478"/>
        <v>70.541501256252658</v>
      </c>
      <c r="JM171" s="15">
        <f t="shared" si="479"/>
        <v>516.54150125625267</v>
      </c>
      <c r="JN171" s="21"/>
      <c r="JO171" s="19">
        <f>INDEX(Input!$1:$1048576,JO$93,$C171*2+6)</f>
        <v>5995.5</v>
      </c>
      <c r="JP171" s="19">
        <f>INDEX(Input!$1:$1048576,JP$93,$C171*2+6)</f>
        <v>2818.4193802796353</v>
      </c>
      <c r="JQ171" s="39">
        <f t="shared" si="480"/>
        <v>2422.441109081723</v>
      </c>
      <c r="JR171" s="39">
        <f t="shared" si="481"/>
        <v>754.6395106386417</v>
      </c>
      <c r="JS171" s="39">
        <f t="shared" si="482"/>
        <v>1.8456332035919278</v>
      </c>
      <c r="JT171" s="39">
        <f t="shared" si="483"/>
        <v>0.58861815998721057</v>
      </c>
      <c r="JU171" s="385">
        <f>(JQ171*JM171-INDEX(Input!$1:$1048576,Input!A$18,$C171*2+6)*JL171*INDEX(Input!$1:$1048576,Input!A$19,$C171*2+6))/1000000</f>
        <v>1.2512913671899348</v>
      </c>
      <c r="JV171" s="39">
        <f t="shared" si="484"/>
        <v>-0.16568658920534785</v>
      </c>
      <c r="JW171" s="1">
        <f t="shared" si="485"/>
        <v>-0.11692954605084034</v>
      </c>
      <c r="JX171" s="19">
        <f t="shared" si="486"/>
        <v>8344.2817278436723</v>
      </c>
      <c r="JZ171" s="341"/>
      <c r="KA171" s="342"/>
      <c r="KB171" s="469">
        <f t="shared" si="514"/>
        <v>2.9286733661474216</v>
      </c>
      <c r="KI171" s="473">
        <f t="shared" si="487"/>
        <v>51.568190318960248</v>
      </c>
      <c r="KJ171" s="473">
        <f t="shared" si="488"/>
        <v>53.013339209791638</v>
      </c>
      <c r="KK171" s="473">
        <f t="shared" si="489"/>
        <v>-34.040028272499228</v>
      </c>
      <c r="KN171" s="544">
        <f t="shared" si="490"/>
        <v>1002</v>
      </c>
      <c r="KO171" s="541">
        <f t="shared" si="491"/>
        <v>0.15341745586926314</v>
      </c>
      <c r="KP171" s="546">
        <f t="shared" si="492"/>
        <v>1056.5741930952299</v>
      </c>
      <c r="KQ171" s="546">
        <f t="shared" si="493"/>
        <v>733.74269089962536</v>
      </c>
      <c r="KR171" s="548">
        <f t="shared" si="494"/>
        <v>2.4896000725004401</v>
      </c>
      <c r="KS171" s="548">
        <f t="shared" si="495"/>
        <v>3.5849722530208052</v>
      </c>
      <c r="KT171" s="473">
        <f t="shared" si="515"/>
        <v>238.28695973331548</v>
      </c>
      <c r="KU171" s="663">
        <f t="shared" si="496"/>
        <v>6.5314662115329831</v>
      </c>
    </row>
    <row r="172" spans="1:308" s="26" customFormat="1" ht="15" outlineLevel="1">
      <c r="A172" s="561">
        <f t="shared" si="391"/>
        <v>1072</v>
      </c>
      <c r="B172" s="561">
        <f t="shared" si="513"/>
        <v>72</v>
      </c>
      <c r="C172" s="561">
        <f t="shared" si="105"/>
        <v>1</v>
      </c>
      <c r="D172" s="561" t="str">
        <f t="shared" si="294"/>
        <v xml:space="preserve">500 CC, 0/2.8/3.8/3.9, 1000 Combo, </v>
      </c>
      <c r="E172" s="475">
        <f>INDEX(Input!$1:$1048576,E$93,$C172*2+MIN($B172,2)+5)
+INDEX(Scenarios!E$121:E$200,MATCH($B172,Scenarios!$B$121:$B$200,0))</f>
        <v>1729</v>
      </c>
      <c r="F172" s="475">
        <f>INDEX(Input!$1:$1048576,F$93,$C172*2+MIN($B172,2)+5)
+INDEX(Scenarios!F$121:F$200,MATCH($B172,Scenarios!$B$121:$B$200,0))</f>
        <v>0</v>
      </c>
      <c r="G172" s="475">
        <f>INDEX(Input!$1:$1048576,G$93,$C172*2+MIN($B172,2)+5)
+INDEX(Scenarios!G$121:G$200,MATCH($B172,Scenarios!$B$121:$B$200,0))</f>
        <v>0</v>
      </c>
      <c r="H172" s="475">
        <f>INDEX(Input!$1:$1048576,H$93,$C172*2+MIN($B172,2)+5)
+INDEX(Scenarios!H$121:H$200,MATCH($B172,Scenarios!$B$121:$B$200,0))</f>
        <v>0</v>
      </c>
      <c r="I172" s="476">
        <f>INDEX(Input!$1:$1048576,I$93,$C172*2+MIN($B172,2)+5)</f>
        <v>0.7</v>
      </c>
      <c r="J172" s="476" t="str">
        <f>INDEX(Input!$1:$1048576,J$93,$C172*2+MIN($B172,2)+5)</f>
        <v>Market</v>
      </c>
      <c r="K172" s="476" t="str">
        <f>INDEX(Input!$1:$1048576,K$93,$C172*2+MIN($B172,2)+5)</f>
        <v>Market</v>
      </c>
      <c r="L172" s="476" t="str">
        <f>INDEX(Input!$1:$1048576,L$93,$C172*2+MIN($B172,2)+5)</f>
        <v>Market</v>
      </c>
      <c r="M172" s="476" t="str">
        <f>INDEX(Input!$1:$1048576,M$93,$C172*2+MIN($B172,2)+5)</f>
        <v>Market</v>
      </c>
      <c r="N172" s="476" t="str">
        <f>INDEX(Input!$1:$1048576,N$93,$C172*2+MIN($B172,2)+5)</f>
        <v>Market</v>
      </c>
      <c r="O172" s="476" t="str">
        <f>INDEX(Input!$1:$1048576,O$93,$C172*2+MIN($B172,2)+5)</f>
        <v>Market</v>
      </c>
      <c r="P172" s="476" t="str">
        <f>INDEX(Input!$1:$1048576,P$93,$C172*2+MIN($B172,2)+5)</f>
        <v>N</v>
      </c>
      <c r="Q172" s="477">
        <f>INDEX(Input!$1:$1048576,Q$93,$C172*2+MIN($B172,2)+5)
+INDEX(Scenarios!Q$121:Q$200,MATCH($B172,Scenarios!$B$121:$B$200,0))</f>
        <v>1000</v>
      </c>
      <c r="R172" s="478">
        <f>IFERROR(MAX(0,INDEX(Input!$1:$1048576,R$93,$C172*2+MIN($B172,2)+5)
+INDEX(Scenarios!R$121:R$200,MATCH($B172,Scenarios!$B$121:$B$200,0)),),"Market")</f>
        <v>0</v>
      </c>
      <c r="S172" s="478">
        <f>IFERROR(MAX(0,INDEX(Input!$1:$1048576,S$93,$C172*2+MIN($B172,2)+5)
+INDEX(Scenarios!S$121:S$200,MATCH($B172,Scenarios!$B$121:$B$200,0)),),"Market")</f>
        <v>0</v>
      </c>
      <c r="T172" s="478">
        <f>IFERROR(MAX(0,INDEX(Input!$1:$1048576,T$93,$C172*2+MIN($B172,2)+5)
+INDEX(Scenarios!T$121:T$200,MATCH($B172,Scenarios!$B$121:$B$200,0)),),"Market")</f>
        <v>0</v>
      </c>
      <c r="U172" s="478">
        <f>IFERROR(MAX(0,INDEX(Input!$1:$1048576,U$93,$C172*2+MIN($B172,2)+5)
+INDEX(Scenarios!U$121:U$200,MATCH($B172,Scenarios!$B$121:$B$200,0)),),"Market")</f>
        <v>0</v>
      </c>
      <c r="V172" s="478">
        <f>IFERROR(MAX(0,INDEX(Input!$1:$1048576,V$93,$C172*2+MIN($B172,2)+5)
+INDEX(Scenarios!V$121:V$200,MATCH($B172,Scenarios!$B$121:$B$200,0)),),"Market")</f>
        <v>3.7999999999999999E-2</v>
      </c>
      <c r="W172" s="885">
        <f>IFERROR(MAX(0,INDEX(Input!$1:$1048576,W$93,$C172*2+MIN($B172,2)+5)-0%,),"Market")</f>
        <v>3.9E-2</v>
      </c>
      <c r="X172" s="476" t="str">
        <f>INDEX(Input!$1:$1048576,X$93,$C172*2+MIN($B172,2)+5)</f>
        <v>Y</v>
      </c>
      <c r="Y172" s="475">
        <f>INDEX(Input!$1:$1048576,Y$93,$C172*2+MIN($B172,2)+5)
++INDEX(Scenarios!Y$121:Y$200,MATCH($B172,Scenarios!$B$121:$B$200,0))</f>
        <v>1942</v>
      </c>
      <c r="Z172" s="477">
        <f>INDEX(Input!$1:$1048576,Z$93,$C172*2+MIN($B172,2)+5)
+INDEX(Scenarios!Z$121:Z$200,MATCH($B172,Scenarios!$B$121:$B$200,0))</f>
        <v>0</v>
      </c>
      <c r="AA172" s="475">
        <f>INDEX(Input!$1:$1048576,AA$93,$C172*2+MIN($B172,2)+5)
+INDEX(Scenarios!AA$121:AA$200,MATCH($B172,Scenarios!$B$121:$B$200,0))</f>
        <v>0</v>
      </c>
      <c r="AB172" s="476">
        <f>INDEX(Input!$1:$1048576,AB$93,$C172*2+MIN($B172,2)+5)</f>
        <v>0.27</v>
      </c>
      <c r="AC172" s="475">
        <f>INDEX(Input!$1:$1048576,AC$93,$C172*2+MIN($B172,2)+5)
+INDEX(Scenarios!AC$121:AC$200,MATCH($B172,Scenarios!$B$121:$B$200,0))</f>
        <v>0</v>
      </c>
      <c r="AD172" s="476">
        <f>INDEX(Input!$1:$1048576,AD$93,$C172*2+MIN($B172,2)+5)</f>
        <v>0.27</v>
      </c>
      <c r="AE172" s="475">
        <f>INDEX(Input!$1:$1048576,AE$93,$C172*2+MIN($B172,2)+5)
+INDEX(Scenarios!AE$121:AE$200,MATCH($B172,Scenarios!$B$121:$B$200,0))</f>
        <v>0</v>
      </c>
      <c r="AF172" s="476">
        <f>INDEX(Input!$1:$1048576,AF$93,$C172*2+MIN($B172,2)+5)</f>
        <v>0.38</v>
      </c>
      <c r="AG172" s="475">
        <f>INDEX(Input!$1:$1048576,AG$93,$C172*2+MIN($B172,2)+5)
+INDEX(Scenarios!AG$121:AG$200,MATCH($B172,Scenarios!$B$121:$B$200,0))</f>
        <v>0</v>
      </c>
      <c r="AH172" s="476">
        <f>INDEX(Input!$1:$1048576,AH$93,$C172*2+MIN($B172,2)+5)</f>
        <v>0</v>
      </c>
      <c r="AI172" s="475">
        <f>INDEX(Input!$1:$1048576,AI$93,$C172*2+MIN($B172,2)+5)
+INDEX(Scenarios!AI$121:AI$200,MATCH($B172,Scenarios!$B$121:$B$200,0))</f>
        <v>0</v>
      </c>
      <c r="AJ172" s="476">
        <f>INDEX(Input!$1:$1048576,AJ$93,$C172*2+MIN($B172,2)+5)</f>
        <v>0.27</v>
      </c>
      <c r="AK172" s="150">
        <f>ROUND(INDEX(Input!$1:$1048576,AK$93,$C171*2+MIN($B172,1)+5)+(Y172-VLOOKUP($C172*1000+1,$A:$HH,Y$92,FALSE)),0)</f>
        <v>3757</v>
      </c>
      <c r="AL172" s="150">
        <f>ROUND(INDEX(Input!$1:$1048576,AL$93,$C171*2+MIN($B172,1)+5)-(Y172-VLOOKUP($C172*1000+1,$A:$HH,Y$92,FALSE))/36,0)</f>
        <v>4113</v>
      </c>
      <c r="AM172" s="32" t="str">
        <f t="shared" si="392"/>
        <v>std/std/std/std</v>
      </c>
      <c r="AN172" s="32" t="str">
        <f t="shared" si="393"/>
        <v>$1000 + 0/0/0/3.8/3.9</v>
      </c>
      <c r="AO172" s="32" t="str">
        <f t="shared" si="394"/>
        <v>0/0/0/3.8/3.9</v>
      </c>
      <c r="AP172" s="32" t="str">
        <f t="shared" si="498"/>
        <v>0/2.8/3.8/3.9</v>
      </c>
      <c r="AQ172" s="536">
        <f t="shared" si="497"/>
        <v>0.2931811231033784</v>
      </c>
      <c r="AR172" s="32"/>
      <c r="AS172" s="302"/>
      <c r="AT172" s="3">
        <f t="shared" si="106"/>
        <v>72</v>
      </c>
      <c r="AU172" s="41" t="s">
        <v>121</v>
      </c>
      <c r="AV172" s="41" t="s">
        <v>116</v>
      </c>
      <c r="AW172" s="41" t="str">
        <f>INDEX(Input!$1:$1048576,AW$93,$C172*2+6)</f>
        <v>Kia</v>
      </c>
      <c r="AX172" s="41" t="str">
        <f>INDEX(Input!$1:$1048576,AX$93,$C172*2+6)</f>
        <v>Kia-LR - L1</v>
      </c>
      <c r="AY172" s="41" t="str">
        <f>IF(LEN(D172)=0,"",INDEX(Input!$1:$1048576,AY$93,$C172*2+6))</f>
        <v>Compact SUV (52)</v>
      </c>
      <c r="AZ172" s="41" t="str">
        <f>INDEX(Input!$1:$1048576,AZ$93,$C172*2+6)</f>
        <v>Kia Soul</v>
      </c>
      <c r="BA172" s="3">
        <f>INDEX(Input!$1:$1048576,BA$93,$C172*2+6)</f>
        <v>2020</v>
      </c>
      <c r="BB172" s="128">
        <f>INDEX(Input!$1:$1048576,BB$93,$C172*2+6)</f>
        <v>1</v>
      </c>
      <c r="BC172" s="128">
        <f>INDEX(Input!$1:$1048576,BC$93,$C172*2+6)</f>
        <v>0.7</v>
      </c>
      <c r="BD172" s="1">
        <f>INDEX(Input!$1:$1048576,BD$93,$C172*2+6)</f>
        <v>4.4999999999999998E-2</v>
      </c>
      <c r="BE172" s="1">
        <f>INDEX(Input!$1:$1048576,BE$93,$C172*2+6)</f>
        <v>4.4999999999999998E-2</v>
      </c>
      <c r="BF172" s="1">
        <f>INDEX(Input!$1:$1048576,BF$93,$C172*2+6)</f>
        <v>0.05</v>
      </c>
      <c r="BG172" s="1">
        <f>INDEX(Input!$1:$1048576,BG$93,$C172*2+6)</f>
        <v>5.45E-2</v>
      </c>
      <c r="BH172" s="1">
        <f>INDEX(Input!$1:$1048576,BH$93,$C172*2+6)</f>
        <v>5.45E-2</v>
      </c>
      <c r="BI172" s="1">
        <f>INDEX(Input!$1:$1048576,BI$93,$C172*2+6)</f>
        <v>0.05</v>
      </c>
      <c r="BJ172" s="1">
        <f>INDEX(Input!$1:$1048576,BJ$93,$C172*2+6)</f>
        <v>0.05</v>
      </c>
      <c r="BK172" s="1">
        <f>INDEX(Input!$1:$1048576,BK$93,$C172*2+6)</f>
        <v>0.05</v>
      </c>
      <c r="BL172" s="1">
        <f>INDEX(Input!$1:$1048576,BL$93,$C172*2+6)</f>
        <v>5.5E-2</v>
      </c>
      <c r="BM172" s="1">
        <f>INDEX(Input!$1:$1048576,BM$93,$C172*2+6)</f>
        <v>0.06</v>
      </c>
      <c r="BN172" s="1">
        <f>INDEX(Input!$1:$1048576,BN$93,$C172*2+6)</f>
        <v>4.4999999999999998E-2</v>
      </c>
      <c r="BO172" s="1">
        <f>INDEX(Input!$1:$1048576,BO$93,$C172*2+6)</f>
        <v>4.4999999999999998E-2</v>
      </c>
      <c r="BP172" s="1">
        <f>INDEX(Input!$1:$1048576,BP$93,$C172*2+6)</f>
        <v>0.05</v>
      </c>
      <c r="BQ172" s="1">
        <f>INDEX(Input!$1:$1048576,BQ$93,$C172*2+6)</f>
        <v>5.45E-2</v>
      </c>
      <c r="BR172" s="1">
        <f>INDEX(Input!$1:$1048576,BR$93,$C172*2+6)</f>
        <v>5.45E-2</v>
      </c>
      <c r="BS172" s="1">
        <f>INDEX(Input!$1:$1048576,BS$93,$C172*2+6)</f>
        <v>0.05</v>
      </c>
      <c r="BT172" s="1">
        <f>INDEX(Input!$1:$1048576,BT$93,$C172*2+6)</f>
        <v>0.05</v>
      </c>
      <c r="BU172" s="1">
        <f>INDEX(Input!$1:$1048576,BU$93,$C172*2+6)</f>
        <v>0.05</v>
      </c>
      <c r="BV172" s="1">
        <f>INDEX(Input!$1:$1048576,BV$93,$C172*2+6)</f>
        <v>5.5E-2</v>
      </c>
      <c r="BW172" s="1">
        <f>INDEX(Input!$1:$1048576,BW$93,$C172*2+6)</f>
        <v>0.06</v>
      </c>
      <c r="BX172" s="127">
        <f>INDEX(Input!$1:$1048576,BX$93,$C172*2+6)</f>
        <v>19985</v>
      </c>
      <c r="BY172" s="20">
        <f>INDEX(Input!$1:$1048576,BY$93,$C172*2+6)</f>
        <v>0.1</v>
      </c>
      <c r="BZ172" s="20">
        <f>INDEX(Input!$1:$1048576,BZ$93,$C172*2+6)</f>
        <v>0.1</v>
      </c>
      <c r="CA172" s="20">
        <f>INDEX(Input!$1:$1048576,CA$93,$C172*2+6)</f>
        <v>0.1</v>
      </c>
      <c r="CB172" s="20">
        <f>INDEX(Input!$1:$1048576,CB$93,$C172*2+6)</f>
        <v>0.1</v>
      </c>
      <c r="CC172" s="20">
        <f>INDEX(Input!$1:$1048576,CC$93,$C172*2+6)</f>
        <v>0.1</v>
      </c>
      <c r="CD172" s="384">
        <f>INDEX(Input!$1:$1048576,CD$93,$C172*2+6)</f>
        <v>0.1</v>
      </c>
      <c r="CE172" s="384">
        <f>INDEX(Input!$1:$1048576,CE$93,$C172*2+6)</f>
        <v>0.1</v>
      </c>
      <c r="CF172" s="384">
        <f>INDEX(Input!$1:$1048576,CF$93,$C172*2+6)</f>
        <v>0.1</v>
      </c>
      <c r="CG172" s="384">
        <f>INDEX(Input!$1:$1048576,CG$93,$C172*2+6)</f>
        <v>0.1</v>
      </c>
      <c r="CH172" s="384">
        <f>INDEX(Input!$1:$1048576,CH$93,$C172*2+6)</f>
        <v>0.1</v>
      </c>
      <c r="CI172" s="304">
        <f t="shared" si="499"/>
        <v>1729</v>
      </c>
      <c r="CJ172" s="16" t="str">
        <f>INDEX(Input!$1:$1048576,CJ$93,$C172*2+6)</f>
        <v>N</v>
      </c>
      <c r="CK172" s="1" t="str">
        <f t="shared" si="500"/>
        <v>Market</v>
      </c>
      <c r="CL172" s="1" t="str">
        <f t="shared" si="501"/>
        <v>Market</v>
      </c>
      <c r="CM172" s="1" t="str">
        <f t="shared" si="502"/>
        <v>Market</v>
      </c>
      <c r="CN172" s="1" t="str">
        <f t="shared" si="503"/>
        <v>Market</v>
      </c>
      <c r="CO172" s="1" t="str">
        <f t="shared" si="504"/>
        <v>Market</v>
      </c>
      <c r="CP172" s="304">
        <f t="shared" si="505"/>
        <v>1000</v>
      </c>
      <c r="CQ172" s="1">
        <f t="shared" si="506"/>
        <v>0</v>
      </c>
      <c r="CR172" s="1">
        <f t="shared" si="507"/>
        <v>0</v>
      </c>
      <c r="CS172" s="1">
        <f t="shared" si="508"/>
        <v>0</v>
      </c>
      <c r="CT172" s="1">
        <f t="shared" si="509"/>
        <v>3.7999999999999999E-2</v>
      </c>
      <c r="CU172" s="1">
        <f t="shared" si="510"/>
        <v>3.9E-2</v>
      </c>
      <c r="CV172" s="304">
        <f t="shared" si="511"/>
        <v>1942</v>
      </c>
      <c r="CW172" s="20" t="s">
        <v>122</v>
      </c>
      <c r="CX172" s="20" t="s">
        <v>122</v>
      </c>
      <c r="CY172" s="20" t="s">
        <v>122</v>
      </c>
      <c r="CZ172" s="20" t="s">
        <v>122</v>
      </c>
      <c r="DA172" s="20" t="s">
        <v>122</v>
      </c>
      <c r="DB172" s="503">
        <f t="shared" si="512"/>
        <v>0</v>
      </c>
      <c r="DC172" s="127">
        <v>0</v>
      </c>
      <c r="DD172" s="127">
        <v>0</v>
      </c>
      <c r="DE172" s="127">
        <v>0</v>
      </c>
      <c r="DF172" s="127">
        <v>0</v>
      </c>
      <c r="DG172" s="127">
        <v>0</v>
      </c>
      <c r="DH172" s="127">
        <v>0</v>
      </c>
      <c r="DI172" s="127">
        <v>0</v>
      </c>
      <c r="DJ172" s="127">
        <v>0</v>
      </c>
      <c r="DK172" s="127">
        <v>0</v>
      </c>
      <c r="DL172" s="127">
        <v>0</v>
      </c>
      <c r="DM172" s="304">
        <f>INDEX(Input!$1:$1048576,DM$93,$C172*2+6)</f>
        <v>21036.84210526316</v>
      </c>
      <c r="DN172" s="20">
        <v>0</v>
      </c>
      <c r="DO172" s="20">
        <v>0</v>
      </c>
      <c r="DP172" s="20">
        <v>0</v>
      </c>
      <c r="DQ172" s="20">
        <v>0</v>
      </c>
      <c r="DR172" s="20">
        <v>0</v>
      </c>
      <c r="DS172" s="20">
        <f>INDEX(Input!$1:$1048576,DS$93,$C172*2+6)</f>
        <v>0.6</v>
      </c>
      <c r="DT172" s="20">
        <f>INDEX(Input!$1:$1048576,DT$93,$C172*2+6)</f>
        <v>0.55000000000000004</v>
      </c>
      <c r="DU172" s="20">
        <f>INDEX(Input!$1:$1048576,DU$93,$C172*2+6)</f>
        <v>0.52</v>
      </c>
      <c r="DV172" s="20">
        <f>INDEX(Input!$1:$1048576,DV$93,$C172*2+6)</f>
        <v>0.5</v>
      </c>
      <c r="DW172" s="20">
        <f>INDEX(Input!$1:$1048576,DW$93,$C172*2+6)</f>
        <v>0.45</v>
      </c>
      <c r="DX172" s="20"/>
      <c r="DY172" s="7">
        <v>0.11366248203961148</v>
      </c>
      <c r="DZ172" s="7">
        <v>0</v>
      </c>
      <c r="EA172" s="7">
        <v>0.50831024608159636</v>
      </c>
      <c r="EB172" s="7">
        <v>0</v>
      </c>
      <c r="EC172" s="7">
        <v>0</v>
      </c>
      <c r="ED172" s="7">
        <v>0</v>
      </c>
      <c r="EE172" s="7">
        <v>0</v>
      </c>
      <c r="EF172" s="7">
        <v>0</v>
      </c>
      <c r="EG172" s="7">
        <v>0</v>
      </c>
      <c r="EH172" s="7">
        <v>2.5796838387281897E-2</v>
      </c>
      <c r="EI172" s="7">
        <v>7.5333962040108421E-2</v>
      </c>
      <c r="EJ172" s="7">
        <v>0.47587632080657949</v>
      </c>
      <c r="EK172" s="7">
        <v>0.27451861141134776</v>
      </c>
      <c r="EL172" s="7">
        <v>0.14847426735468242</v>
      </c>
      <c r="EM172" s="7">
        <v>4.9794431725936096E-2</v>
      </c>
      <c r="EN172" s="7">
        <v>5.0824256578978509E-2</v>
      </c>
      <c r="EO172" s="7">
        <v>0.76815678085538353</v>
      </c>
      <c r="EP172" s="7">
        <v>7.9058197430733557E-2</v>
      </c>
      <c r="EQ172" s="7">
        <v>6.0271198631198966E-2</v>
      </c>
      <c r="ER172" s="7">
        <v>4.1689566503705228E-2</v>
      </c>
      <c r="ES172" s="7">
        <v>0.32823284015285614</v>
      </c>
      <c r="ET172" s="7">
        <v>0.37802727187879226</v>
      </c>
      <c r="EU172" s="6">
        <v>1770</v>
      </c>
      <c r="EV172" s="6">
        <v>0</v>
      </c>
      <c r="EW172" s="6">
        <v>1770</v>
      </c>
      <c r="EX172" s="6">
        <v>0</v>
      </c>
      <c r="EY172" s="6">
        <v>2781.9772844163344</v>
      </c>
      <c r="EZ172" s="6">
        <v>2085</v>
      </c>
      <c r="FA172" s="6">
        <v>0</v>
      </c>
      <c r="FB172" s="6">
        <v>0</v>
      </c>
      <c r="FC172" s="6">
        <v>0</v>
      </c>
      <c r="FD172" s="6">
        <v>0</v>
      </c>
      <c r="FE172" s="6">
        <v>0</v>
      </c>
      <c r="FF172" s="6">
        <v>0</v>
      </c>
      <c r="FG172" s="6">
        <v>0</v>
      </c>
      <c r="FH172" s="6">
        <v>1171.2811379695615</v>
      </c>
      <c r="FI172" s="6">
        <v>1553.9796069512402</v>
      </c>
      <c r="FJ172" s="6">
        <v>2101.211011744741</v>
      </c>
      <c r="FK172" s="6">
        <v>838.19585232978341</v>
      </c>
      <c r="FL172" s="6">
        <v>907.07682140966324</v>
      </c>
      <c r="FM172" s="6">
        <v>1511.9772844163344</v>
      </c>
      <c r="FN172" s="6">
        <v>0</v>
      </c>
      <c r="FO172" s="6">
        <v>0</v>
      </c>
      <c r="FP172" s="6">
        <v>0</v>
      </c>
      <c r="FQ172" s="6">
        <v>0</v>
      </c>
      <c r="FR172" s="6">
        <v>0</v>
      </c>
      <c r="FS172" s="6">
        <v>0</v>
      </c>
      <c r="FT172" s="7">
        <v>0.62197272812120785</v>
      </c>
      <c r="FU172" s="7">
        <v>4.9794431725936096E-2</v>
      </c>
      <c r="FV172" s="7">
        <v>0.32823284015285614</v>
      </c>
      <c r="FW172" s="6">
        <v>1769.9999999999998</v>
      </c>
      <c r="FX172" s="6">
        <v>2781.9772844163344</v>
      </c>
      <c r="FY172" s="6">
        <v>2085</v>
      </c>
      <c r="FZ172" s="6">
        <v>1952.7147957719815</v>
      </c>
      <c r="GA172" s="6">
        <v>1923.7841784452171</v>
      </c>
      <c r="GB172" s="6">
        <v>18061.215821554782</v>
      </c>
      <c r="GC172" s="7">
        <v>1.0519917368675835E-2</v>
      </c>
      <c r="GD172" s="7">
        <v>1.0686053112440357E-2</v>
      </c>
      <c r="GE172" s="7"/>
      <c r="GF172" s="7"/>
      <c r="GG172" s="7">
        <v>1.5792495125409298E-2</v>
      </c>
      <c r="GH172" s="42">
        <v>-10.909308001157791</v>
      </c>
      <c r="GI172" s="6">
        <v>91.862300551678189</v>
      </c>
      <c r="GJ172" s="14">
        <v>0.50394797582841722</v>
      </c>
      <c r="GK172" s="14">
        <v>0.50887573065309732</v>
      </c>
      <c r="GL172" s="14">
        <v>0.49605202417158267</v>
      </c>
      <c r="GM172" s="14">
        <v>0.49112426934690251</v>
      </c>
      <c r="GO172" s="5">
        <v>343.14810671672558</v>
      </c>
      <c r="GP172" s="5">
        <v>309.37988338875158</v>
      </c>
      <c r="GQ172" s="5">
        <v>535.04305713031317</v>
      </c>
      <c r="GR172" s="5">
        <v>410.15490233172511</v>
      </c>
      <c r="GS172" s="5">
        <v>339.42744393800166</v>
      </c>
      <c r="GT172" s="5">
        <v>293.4407446948278</v>
      </c>
      <c r="GU172" s="5">
        <v>258.04012322764959</v>
      </c>
      <c r="GV172" s="39" t="s">
        <v>392</v>
      </c>
      <c r="GW172" s="5">
        <v>464.34722222222223</v>
      </c>
      <c r="GX172" s="5">
        <v>348.26041666666669</v>
      </c>
      <c r="GY172" s="5">
        <v>278.60833333333335</v>
      </c>
      <c r="GZ172" s="5">
        <v>260.01213803316631</v>
      </c>
      <c r="HA172" s="5">
        <v>227.72592165501612</v>
      </c>
      <c r="HB172" s="39">
        <v>275.9872463275675</v>
      </c>
      <c r="HC172" s="5">
        <v>196.06562499999998</v>
      </c>
      <c r="HD172" s="5">
        <v>177.54497441520465</v>
      </c>
      <c r="HE172" s="5">
        <v>183.15757844129553</v>
      </c>
      <c r="HF172" s="5">
        <v>172.69313048245613</v>
      </c>
      <c r="HG172" s="5">
        <v>170.66888157894735</v>
      </c>
      <c r="HH172" s="39">
        <v>178.35090729075</v>
      </c>
      <c r="HI172" s="16"/>
      <c r="HJ172" s="19" t="str">
        <f t="shared" si="390"/>
        <v>On</v>
      </c>
      <c r="HK172" s="1" t="str">
        <f t="shared" si="390"/>
        <v>On</v>
      </c>
      <c r="HL172" s="16"/>
      <c r="HM172" s="639">
        <f t="shared" si="446"/>
        <v>5.7455619280273196E-3</v>
      </c>
      <c r="HN172" s="639">
        <f t="shared" si="447"/>
        <v>5.0031960498701745E-4</v>
      </c>
      <c r="HO172" s="639">
        <f t="shared" si="448"/>
        <v>3.9819433988714835E-3</v>
      </c>
      <c r="HP172" s="644">
        <f>(FT172*$GD172-HM172)/$JF172*INDEX(Input!$1:$1048576,$JG$93,$C172*2+6)</f>
        <v>39.283891891338463</v>
      </c>
      <c r="HQ172" s="644">
        <f>(FU172*$GD172-HN172)/$JF172*INDEX(Input!$1:$1048576,$JG$93,$C172*2+6)</f>
        <v>1.3860920047914798</v>
      </c>
      <c r="HR172" s="644">
        <f>(FV172*$GD172-HO172)/$JF172*INDEX(Input!$1:$1048576,$JG$93,$C172*2+6)</f>
        <v>-20.688240965608184</v>
      </c>
      <c r="HS172" s="644">
        <f t="shared" si="449"/>
        <v>-10.075523522650442</v>
      </c>
      <c r="HT172" s="644">
        <f t="shared" si="450"/>
        <v>13.945974083231144</v>
      </c>
      <c r="HU172" s="644">
        <f t="shared" si="451"/>
        <v>4.9681731653203585</v>
      </c>
      <c r="HV172" s="648">
        <f t="shared" si="452"/>
        <v>0</v>
      </c>
      <c r="HW172" s="648">
        <f t="shared" si="453"/>
        <v>0</v>
      </c>
      <c r="HX172" s="648">
        <f t="shared" si="454"/>
        <v>0</v>
      </c>
      <c r="HY172" s="644">
        <f>INDEX(Input!$1:$1048576,HY$93,$C172*2+6)*INDEX(Input!$1:$1048576,$JG$93,$C172*2+6)</f>
        <v>110.00000000000001</v>
      </c>
      <c r="HZ172" s="644">
        <f>INDEX(Input!$1:$1048576,HZ$93,$C172*2+6)*INDEX(Input!$1:$1048576,$JG$93,$C172*2+6)</f>
        <v>157</v>
      </c>
      <c r="IA172" s="644">
        <f>INDEX(Input!$1:$1048576,IA$93,$C172*2+6)*INDEX(Input!$1:$1048576,$JG$93,$C172*2+6)</f>
        <v>179</v>
      </c>
      <c r="IB172" s="644">
        <f t="shared" si="455"/>
        <v>139.20836836868799</v>
      </c>
      <c r="IC172" s="644">
        <f t="shared" si="456"/>
        <v>172.33206608802263</v>
      </c>
      <c r="ID172" s="644">
        <f>IF(AND(INDEX(Input!$1:$1048576,IA$93,$C172*2+7)="TOS",Y172&lt;=INDEX(Y:Y,MATCH(C172*1000+2,A:A))),0,1)*MAX(IA172+HR172+HU172+HX172,0%)</f>
        <v>163.27993219971219</v>
      </c>
      <c r="IE172" s="128">
        <f t="shared" si="457"/>
        <v>0.2931811231033784</v>
      </c>
      <c r="IF172" s="128">
        <f t="shared" si="458"/>
        <v>0.36294160526757918</v>
      </c>
      <c r="IG172" s="128">
        <f t="shared" si="459"/>
        <v>0.34387727162904236</v>
      </c>
      <c r="IH172" s="21"/>
      <c r="II172" s="19">
        <f t="shared" si="460"/>
        <v>1240</v>
      </c>
      <c r="IJ172" s="19">
        <f t="shared" si="461"/>
        <v>2009.7221397149679</v>
      </c>
      <c r="IK172" s="19">
        <f t="shared" si="462"/>
        <v>2070</v>
      </c>
      <c r="IL172" s="19">
        <f t="shared" si="463"/>
        <v>529.99999999999977</v>
      </c>
      <c r="IM172" s="19">
        <f t="shared" si="464"/>
        <v>772.25514470136659</v>
      </c>
      <c r="IN172" s="19">
        <f t="shared" si="465"/>
        <v>15</v>
      </c>
      <c r="IO172" s="39">
        <f t="shared" si="466"/>
        <v>0</v>
      </c>
      <c r="IP172" s="39">
        <f t="shared" si="467"/>
        <v>0</v>
      </c>
      <c r="IQ172" s="39">
        <f t="shared" si="468"/>
        <v>0</v>
      </c>
      <c r="IR172" s="39">
        <v>0</v>
      </c>
      <c r="IS172" s="39">
        <v>0</v>
      </c>
      <c r="IT172" s="39">
        <v>0</v>
      </c>
      <c r="IU172" s="39">
        <v>0</v>
      </c>
      <c r="IV172" s="39">
        <v>0</v>
      </c>
      <c r="IW172" s="39">
        <v>0</v>
      </c>
      <c r="IX172" s="39">
        <f>INDEX(Input!$1:$1048576,IX$93,$C172*2+6)+INDEX(Input!$1:$1048576,IX$94,$C172*2+6)</f>
        <v>1270</v>
      </c>
      <c r="IY172" s="39">
        <f>INDEX(Input!$1:$1048576,IY$93,$C172*2+6)+INDEX(Input!$1:$1048576,IY$94,$C172*2+6)</f>
        <v>2130.0624533823611</v>
      </c>
      <c r="IZ172" s="39">
        <f>INDEX(Input!$1:$1048576,IZ$93,$C172*2+6)+INDEX(Input!$1:$1048576,IZ$94,$C172*2+6)</f>
        <v>4373.7164157747848</v>
      </c>
      <c r="JA172" s="19">
        <f t="shared" si="469"/>
        <v>1799.9999999999998</v>
      </c>
      <c r="JB172" s="19">
        <f t="shared" si="470"/>
        <v>2902.3175980837277</v>
      </c>
      <c r="JC172" s="19">
        <f t="shared" si="471"/>
        <v>4388.7164157747848</v>
      </c>
      <c r="JD172" s="19">
        <f t="shared" si="472"/>
        <v>3090.2776566411567</v>
      </c>
      <c r="JE172" s="21"/>
      <c r="JF172" s="1">
        <f t="shared" si="473"/>
        <v>1.022782493188582E-2</v>
      </c>
      <c r="JG172" s="15">
        <f>INDEX(Input!$1:$1048576,JG$93,$C172*2+6)/(1+VLOOKUP(C172*1000+INDEX(Input!$1:$1048576,JG$93+1,$C172*2+6),$A:$KK,$JK$92,FALSE))</f>
        <v>446</v>
      </c>
      <c r="JH172" s="1">
        <f t="shared" si="474"/>
        <v>4.480211419399497E-2</v>
      </c>
      <c r="JI172" s="1">
        <f t="shared" si="475"/>
        <v>1.9817541986325248E-2</v>
      </c>
      <c r="JJ172" s="1">
        <f t="shared" si="476"/>
        <v>0</v>
      </c>
      <c r="JK172" s="1">
        <f t="shared" si="477"/>
        <v>6.4619656180320215E-2</v>
      </c>
      <c r="JL172" s="15">
        <f t="shared" si="478"/>
        <v>28.820366656422816</v>
      </c>
      <c r="JM172" s="15">
        <f t="shared" si="479"/>
        <v>474.82036665642283</v>
      </c>
      <c r="JN172" s="21"/>
      <c r="JO172" s="19">
        <f>INDEX(Input!$1:$1048576,JO$93,$C172*2+6)</f>
        <v>5995.5</v>
      </c>
      <c r="JP172" s="19">
        <f>INDEX(Input!$1:$1048576,JP$93,$C172*2+6)</f>
        <v>2818.4193802796353</v>
      </c>
      <c r="JQ172" s="39">
        <f t="shared" si="480"/>
        <v>2905.2223433588433</v>
      </c>
      <c r="JR172" s="39">
        <f t="shared" si="481"/>
        <v>271.85827636152135</v>
      </c>
      <c r="JS172" s="39">
        <f t="shared" si="482"/>
        <v>1.4673267699965051</v>
      </c>
      <c r="JT172" s="39">
        <f t="shared" si="483"/>
        <v>0.21031172639178788</v>
      </c>
      <c r="JU172" s="385">
        <f>(JQ172*JM172-INDEX(Input!$1:$1048576,Input!A$18,$C172*2+6)*JL172*INDEX(Input!$1:$1048576,Input!A$19,$C172*2+6))/1000000</f>
        <v>1.379458738292078</v>
      </c>
      <c r="JV172" s="39">
        <f t="shared" si="484"/>
        <v>-3.7519218103204688E-2</v>
      </c>
      <c r="JW172" s="1">
        <f t="shared" si="485"/>
        <v>-2.6478335766529214E-2</v>
      </c>
      <c r="JX172" s="19">
        <f t="shared" si="486"/>
        <v>7297.3300062065127</v>
      </c>
      <c r="JZ172" s="341"/>
      <c r="KA172" s="342"/>
      <c r="KB172" s="469">
        <f t="shared" si="514"/>
        <v>2.9286733661474216</v>
      </c>
      <c r="KI172" s="473">
        <f t="shared" si="487"/>
        <v>29.208368368687971</v>
      </c>
      <c r="KJ172" s="473">
        <f t="shared" si="488"/>
        <v>15.332066088022628</v>
      </c>
      <c r="KK172" s="473">
        <f t="shared" si="489"/>
        <v>-15.720067800287808</v>
      </c>
      <c r="KN172" s="544">
        <f t="shared" si="490"/>
        <v>1002</v>
      </c>
      <c r="KO172" s="541">
        <f t="shared" si="491"/>
        <v>6.0255754807334583E-2</v>
      </c>
      <c r="KP172" s="546">
        <f t="shared" si="492"/>
        <v>415.98583528772241</v>
      </c>
      <c r="KQ172" s="546">
        <f t="shared" si="493"/>
        <v>250.96145662250501</v>
      </c>
      <c r="KR172" s="548">
        <f t="shared" si="494"/>
        <v>2.483560812452156</v>
      </c>
      <c r="KS172" s="548">
        <f t="shared" si="495"/>
        <v>4.1166724681941416</v>
      </c>
      <c r="KT172" s="473">
        <f t="shared" si="515"/>
        <v>238.28695973331548</v>
      </c>
      <c r="KU172" s="663">
        <f t="shared" si="496"/>
        <v>6.4195373901308228</v>
      </c>
    </row>
    <row r="173" spans="1:308" s="26" customFormat="1" ht="15" outlineLevel="1">
      <c r="A173" s="561">
        <f t="shared" si="391"/>
        <v>1073</v>
      </c>
      <c r="B173" s="561">
        <f t="shared" si="513"/>
        <v>73</v>
      </c>
      <c r="C173" s="561">
        <f t="shared" si="105"/>
        <v>1</v>
      </c>
      <c r="D173" s="561" t="str">
        <f t="shared" si="294"/>
        <v xml:space="preserve">750 CC, 0/2.8/3.8/3.9, 1500 Combo, </v>
      </c>
      <c r="E173" s="475">
        <f>INDEX(Input!$1:$1048576,E$93,$C173*2+MIN($B173,2)+5)
+INDEX(Scenarios!E$121:E$200,MATCH($B173,Scenarios!$B$121:$B$200,0))</f>
        <v>1979</v>
      </c>
      <c r="F173" s="475">
        <f>INDEX(Input!$1:$1048576,F$93,$C173*2+MIN($B173,2)+5)
+INDEX(Scenarios!F$121:F$200,MATCH($B173,Scenarios!$B$121:$B$200,0))</f>
        <v>0</v>
      </c>
      <c r="G173" s="475">
        <f>INDEX(Input!$1:$1048576,G$93,$C173*2+MIN($B173,2)+5)
+INDEX(Scenarios!G$121:G$200,MATCH($B173,Scenarios!$B$121:$B$200,0))</f>
        <v>0</v>
      </c>
      <c r="H173" s="475">
        <f>INDEX(Input!$1:$1048576,H$93,$C173*2+MIN($B173,2)+5)
+INDEX(Scenarios!H$121:H$200,MATCH($B173,Scenarios!$B$121:$B$200,0))</f>
        <v>0</v>
      </c>
      <c r="I173" s="476">
        <f>INDEX(Input!$1:$1048576,I$93,$C173*2+MIN($B173,2)+5)</f>
        <v>0.7</v>
      </c>
      <c r="J173" s="476" t="str">
        <f>INDEX(Input!$1:$1048576,J$93,$C173*2+MIN($B173,2)+5)</f>
        <v>Market</v>
      </c>
      <c r="K173" s="476" t="str">
        <f>INDEX(Input!$1:$1048576,K$93,$C173*2+MIN($B173,2)+5)</f>
        <v>Market</v>
      </c>
      <c r="L173" s="476" t="str">
        <f>INDEX(Input!$1:$1048576,L$93,$C173*2+MIN($B173,2)+5)</f>
        <v>Market</v>
      </c>
      <c r="M173" s="476" t="str">
        <f>INDEX(Input!$1:$1048576,M$93,$C173*2+MIN($B173,2)+5)</f>
        <v>Market</v>
      </c>
      <c r="N173" s="476" t="str">
        <f>INDEX(Input!$1:$1048576,N$93,$C173*2+MIN($B173,2)+5)</f>
        <v>Market</v>
      </c>
      <c r="O173" s="476" t="str">
        <f>INDEX(Input!$1:$1048576,O$93,$C173*2+MIN($B173,2)+5)</f>
        <v>Market</v>
      </c>
      <c r="P173" s="476" t="str">
        <f>INDEX(Input!$1:$1048576,P$93,$C173*2+MIN($B173,2)+5)</f>
        <v>N</v>
      </c>
      <c r="Q173" s="477">
        <f>INDEX(Input!$1:$1048576,Q$93,$C173*2+MIN($B173,2)+5)
+INDEX(Scenarios!Q$121:Q$200,MATCH($B173,Scenarios!$B$121:$B$200,0))</f>
        <v>1500</v>
      </c>
      <c r="R173" s="478">
        <f>IFERROR(MAX(0,INDEX(Input!$1:$1048576,R$93,$C173*2+MIN($B173,2)+5)
+INDEX(Scenarios!R$121:R$200,MATCH($B173,Scenarios!$B$121:$B$200,0)),),"Market")</f>
        <v>0</v>
      </c>
      <c r="S173" s="478">
        <f>IFERROR(MAX(0,INDEX(Input!$1:$1048576,S$93,$C173*2+MIN($B173,2)+5)
+INDEX(Scenarios!S$121:S$200,MATCH($B173,Scenarios!$B$121:$B$200,0)),),"Market")</f>
        <v>0</v>
      </c>
      <c r="T173" s="478">
        <f>IFERROR(MAX(0,INDEX(Input!$1:$1048576,T$93,$C173*2+MIN($B173,2)+5)
+INDEX(Scenarios!T$121:T$200,MATCH($B173,Scenarios!$B$121:$B$200,0)),),"Market")</f>
        <v>0</v>
      </c>
      <c r="U173" s="478">
        <f>IFERROR(MAX(0,INDEX(Input!$1:$1048576,U$93,$C173*2+MIN($B173,2)+5)
+INDEX(Scenarios!U$121:U$200,MATCH($B173,Scenarios!$B$121:$B$200,0)),),"Market")</f>
        <v>0</v>
      </c>
      <c r="V173" s="478">
        <f>IFERROR(MAX(0,INDEX(Input!$1:$1048576,V$93,$C173*2+MIN($B173,2)+5)
+INDEX(Scenarios!V$121:V$200,MATCH($B173,Scenarios!$B$121:$B$200,0)),),"Market")</f>
        <v>3.7999999999999999E-2</v>
      </c>
      <c r="W173" s="885">
        <f>IFERROR(MAX(0,INDEX(Input!$1:$1048576,W$93,$C173*2+MIN($B173,2)+5)-0%,),"Market")</f>
        <v>3.9E-2</v>
      </c>
      <c r="X173" s="476" t="str">
        <f>INDEX(Input!$1:$1048576,X$93,$C173*2+MIN($B173,2)+5)</f>
        <v>Y</v>
      </c>
      <c r="Y173" s="475">
        <f>INDEX(Input!$1:$1048576,Y$93,$C173*2+MIN($B173,2)+5)
++INDEX(Scenarios!Y$121:Y$200,MATCH($B173,Scenarios!$B$121:$B$200,0))</f>
        <v>1942</v>
      </c>
      <c r="Z173" s="477">
        <f>INDEX(Input!$1:$1048576,Z$93,$C173*2+MIN($B173,2)+5)
+INDEX(Scenarios!Z$121:Z$200,MATCH($B173,Scenarios!$B$121:$B$200,0))</f>
        <v>0</v>
      </c>
      <c r="AA173" s="475">
        <f>INDEX(Input!$1:$1048576,AA$93,$C173*2+MIN($B173,2)+5)
+INDEX(Scenarios!AA$121:AA$200,MATCH($B173,Scenarios!$B$121:$B$200,0))</f>
        <v>0</v>
      </c>
      <c r="AB173" s="476">
        <f>INDEX(Input!$1:$1048576,AB$93,$C173*2+MIN($B173,2)+5)</f>
        <v>0.27</v>
      </c>
      <c r="AC173" s="475">
        <f>INDEX(Input!$1:$1048576,AC$93,$C173*2+MIN($B173,2)+5)
+INDEX(Scenarios!AC$121:AC$200,MATCH($B173,Scenarios!$B$121:$B$200,0))</f>
        <v>0</v>
      </c>
      <c r="AD173" s="476">
        <f>INDEX(Input!$1:$1048576,AD$93,$C173*2+MIN($B173,2)+5)</f>
        <v>0.27</v>
      </c>
      <c r="AE173" s="475">
        <f>INDEX(Input!$1:$1048576,AE$93,$C173*2+MIN($B173,2)+5)
+INDEX(Scenarios!AE$121:AE$200,MATCH($B173,Scenarios!$B$121:$B$200,0))</f>
        <v>0</v>
      </c>
      <c r="AF173" s="476">
        <f>INDEX(Input!$1:$1048576,AF$93,$C173*2+MIN($B173,2)+5)</f>
        <v>0.38</v>
      </c>
      <c r="AG173" s="475">
        <f>INDEX(Input!$1:$1048576,AG$93,$C173*2+MIN($B173,2)+5)
+INDEX(Scenarios!AG$121:AG$200,MATCH($B173,Scenarios!$B$121:$B$200,0))</f>
        <v>0</v>
      </c>
      <c r="AH173" s="476">
        <f>INDEX(Input!$1:$1048576,AH$93,$C173*2+MIN($B173,2)+5)</f>
        <v>0</v>
      </c>
      <c r="AI173" s="475">
        <f>INDEX(Input!$1:$1048576,AI$93,$C173*2+MIN($B173,2)+5)
+INDEX(Scenarios!AI$121:AI$200,MATCH($B173,Scenarios!$B$121:$B$200,0))</f>
        <v>0</v>
      </c>
      <c r="AJ173" s="476">
        <f>INDEX(Input!$1:$1048576,AJ$93,$C173*2+MIN($B173,2)+5)</f>
        <v>0.27</v>
      </c>
      <c r="AK173" s="150">
        <f>ROUND(INDEX(Input!$1:$1048576,AK$93,$C172*2+MIN($B173,1)+5)+(Y173-VLOOKUP($C173*1000+1,$A:$HH,Y$92,FALSE)),0)</f>
        <v>3757</v>
      </c>
      <c r="AL173" s="150">
        <f>ROUND(INDEX(Input!$1:$1048576,AL$93,$C172*2+MIN($B173,1)+5)-(Y173-VLOOKUP($C173*1000+1,$A:$HH,Y$92,FALSE))/36,0)</f>
        <v>4113</v>
      </c>
      <c r="AM173" s="32" t="str">
        <f t="shared" si="392"/>
        <v>std/std/std/std</v>
      </c>
      <c r="AN173" s="32" t="str">
        <f t="shared" si="393"/>
        <v>$1500 + 0/0/0/3.8/3.9</v>
      </c>
      <c r="AO173" s="32" t="str">
        <f t="shared" si="394"/>
        <v>0/0/0/3.8/3.9</v>
      </c>
      <c r="AP173" s="32" t="str">
        <f t="shared" si="498"/>
        <v>0/2.8/3.8/3.9</v>
      </c>
      <c r="AQ173" s="536">
        <f t="shared" si="497"/>
        <v>0.30794437360108118</v>
      </c>
      <c r="AR173" s="32"/>
      <c r="AS173" s="302"/>
      <c r="AT173" s="3">
        <f t="shared" si="106"/>
        <v>73</v>
      </c>
      <c r="AU173" s="41" t="s">
        <v>121</v>
      </c>
      <c r="AV173" s="41" t="s">
        <v>116</v>
      </c>
      <c r="AW173" s="41" t="str">
        <f>INDEX(Input!$1:$1048576,AW$93,$C173*2+6)</f>
        <v>Kia</v>
      </c>
      <c r="AX173" s="41" t="str">
        <f>INDEX(Input!$1:$1048576,AX$93,$C173*2+6)</f>
        <v>Kia-LR - L1</v>
      </c>
      <c r="AY173" s="41" t="str">
        <f>IF(LEN(D173)=0,"",INDEX(Input!$1:$1048576,AY$93,$C173*2+6))</f>
        <v>Compact SUV (52)</v>
      </c>
      <c r="AZ173" s="41" t="str">
        <f>INDEX(Input!$1:$1048576,AZ$93,$C173*2+6)</f>
        <v>Kia Soul</v>
      </c>
      <c r="BA173" s="3">
        <f>INDEX(Input!$1:$1048576,BA$93,$C173*2+6)</f>
        <v>2020</v>
      </c>
      <c r="BB173" s="128">
        <f>INDEX(Input!$1:$1048576,BB$93,$C173*2+6)</f>
        <v>1</v>
      </c>
      <c r="BC173" s="128">
        <f>INDEX(Input!$1:$1048576,BC$93,$C173*2+6)</f>
        <v>0.7</v>
      </c>
      <c r="BD173" s="1">
        <f>INDEX(Input!$1:$1048576,BD$93,$C173*2+6)</f>
        <v>4.4999999999999998E-2</v>
      </c>
      <c r="BE173" s="1">
        <f>INDEX(Input!$1:$1048576,BE$93,$C173*2+6)</f>
        <v>4.4999999999999998E-2</v>
      </c>
      <c r="BF173" s="1">
        <f>INDEX(Input!$1:$1048576,BF$93,$C173*2+6)</f>
        <v>0.05</v>
      </c>
      <c r="BG173" s="1">
        <f>INDEX(Input!$1:$1048576,BG$93,$C173*2+6)</f>
        <v>5.45E-2</v>
      </c>
      <c r="BH173" s="1">
        <f>INDEX(Input!$1:$1048576,BH$93,$C173*2+6)</f>
        <v>5.45E-2</v>
      </c>
      <c r="BI173" s="1">
        <f>INDEX(Input!$1:$1048576,BI$93,$C173*2+6)</f>
        <v>0.05</v>
      </c>
      <c r="BJ173" s="1">
        <f>INDEX(Input!$1:$1048576,BJ$93,$C173*2+6)</f>
        <v>0.05</v>
      </c>
      <c r="BK173" s="1">
        <f>INDEX(Input!$1:$1048576,BK$93,$C173*2+6)</f>
        <v>0.05</v>
      </c>
      <c r="BL173" s="1">
        <f>INDEX(Input!$1:$1048576,BL$93,$C173*2+6)</f>
        <v>5.5E-2</v>
      </c>
      <c r="BM173" s="1">
        <f>INDEX(Input!$1:$1048576,BM$93,$C173*2+6)</f>
        <v>0.06</v>
      </c>
      <c r="BN173" s="1">
        <f>INDEX(Input!$1:$1048576,BN$93,$C173*2+6)</f>
        <v>4.4999999999999998E-2</v>
      </c>
      <c r="BO173" s="1">
        <f>INDEX(Input!$1:$1048576,BO$93,$C173*2+6)</f>
        <v>4.4999999999999998E-2</v>
      </c>
      <c r="BP173" s="1">
        <f>INDEX(Input!$1:$1048576,BP$93,$C173*2+6)</f>
        <v>0.05</v>
      </c>
      <c r="BQ173" s="1">
        <f>INDEX(Input!$1:$1048576,BQ$93,$C173*2+6)</f>
        <v>5.45E-2</v>
      </c>
      <c r="BR173" s="1">
        <f>INDEX(Input!$1:$1048576,BR$93,$C173*2+6)</f>
        <v>5.45E-2</v>
      </c>
      <c r="BS173" s="1">
        <f>INDEX(Input!$1:$1048576,BS$93,$C173*2+6)</f>
        <v>0.05</v>
      </c>
      <c r="BT173" s="1">
        <f>INDEX(Input!$1:$1048576,BT$93,$C173*2+6)</f>
        <v>0.05</v>
      </c>
      <c r="BU173" s="1">
        <f>INDEX(Input!$1:$1048576,BU$93,$C173*2+6)</f>
        <v>0.05</v>
      </c>
      <c r="BV173" s="1">
        <f>INDEX(Input!$1:$1048576,BV$93,$C173*2+6)</f>
        <v>5.5E-2</v>
      </c>
      <c r="BW173" s="1">
        <f>INDEX(Input!$1:$1048576,BW$93,$C173*2+6)</f>
        <v>0.06</v>
      </c>
      <c r="BX173" s="127">
        <f>INDEX(Input!$1:$1048576,BX$93,$C173*2+6)</f>
        <v>19985</v>
      </c>
      <c r="BY173" s="20">
        <f>INDEX(Input!$1:$1048576,BY$93,$C173*2+6)</f>
        <v>0.1</v>
      </c>
      <c r="BZ173" s="20">
        <f>INDEX(Input!$1:$1048576,BZ$93,$C173*2+6)</f>
        <v>0.1</v>
      </c>
      <c r="CA173" s="20">
        <f>INDEX(Input!$1:$1048576,CA$93,$C173*2+6)</f>
        <v>0.1</v>
      </c>
      <c r="CB173" s="20">
        <f>INDEX(Input!$1:$1048576,CB$93,$C173*2+6)</f>
        <v>0.1</v>
      </c>
      <c r="CC173" s="20">
        <f>INDEX(Input!$1:$1048576,CC$93,$C173*2+6)</f>
        <v>0.1</v>
      </c>
      <c r="CD173" s="384">
        <f>INDEX(Input!$1:$1048576,CD$93,$C173*2+6)</f>
        <v>0.1</v>
      </c>
      <c r="CE173" s="384">
        <f>INDEX(Input!$1:$1048576,CE$93,$C173*2+6)</f>
        <v>0.1</v>
      </c>
      <c r="CF173" s="384">
        <f>INDEX(Input!$1:$1048576,CF$93,$C173*2+6)</f>
        <v>0.1</v>
      </c>
      <c r="CG173" s="384">
        <f>INDEX(Input!$1:$1048576,CG$93,$C173*2+6)</f>
        <v>0.1</v>
      </c>
      <c r="CH173" s="384">
        <f>INDEX(Input!$1:$1048576,CH$93,$C173*2+6)</f>
        <v>0.1</v>
      </c>
      <c r="CI173" s="304">
        <f t="shared" si="499"/>
        <v>1979</v>
      </c>
      <c r="CJ173" s="16" t="str">
        <f>INDEX(Input!$1:$1048576,CJ$93,$C173*2+6)</f>
        <v>N</v>
      </c>
      <c r="CK173" s="1" t="str">
        <f t="shared" si="500"/>
        <v>Market</v>
      </c>
      <c r="CL173" s="1" t="str">
        <f t="shared" si="501"/>
        <v>Market</v>
      </c>
      <c r="CM173" s="1" t="str">
        <f t="shared" si="502"/>
        <v>Market</v>
      </c>
      <c r="CN173" s="1" t="str">
        <f t="shared" si="503"/>
        <v>Market</v>
      </c>
      <c r="CO173" s="1" t="str">
        <f t="shared" si="504"/>
        <v>Market</v>
      </c>
      <c r="CP173" s="304">
        <f t="shared" si="505"/>
        <v>1500</v>
      </c>
      <c r="CQ173" s="1">
        <f t="shared" si="506"/>
        <v>0</v>
      </c>
      <c r="CR173" s="1">
        <f t="shared" si="507"/>
        <v>0</v>
      </c>
      <c r="CS173" s="1">
        <f t="shared" si="508"/>
        <v>0</v>
      </c>
      <c r="CT173" s="1">
        <f t="shared" si="509"/>
        <v>3.7999999999999999E-2</v>
      </c>
      <c r="CU173" s="1">
        <f t="shared" si="510"/>
        <v>3.9E-2</v>
      </c>
      <c r="CV173" s="304">
        <f t="shared" si="511"/>
        <v>1942</v>
      </c>
      <c r="CW173" s="20" t="s">
        <v>122</v>
      </c>
      <c r="CX173" s="20" t="s">
        <v>122</v>
      </c>
      <c r="CY173" s="20" t="s">
        <v>122</v>
      </c>
      <c r="CZ173" s="20" t="s">
        <v>122</v>
      </c>
      <c r="DA173" s="20" t="s">
        <v>122</v>
      </c>
      <c r="DB173" s="503">
        <f t="shared" si="512"/>
        <v>0</v>
      </c>
      <c r="DC173" s="127">
        <v>0</v>
      </c>
      <c r="DD173" s="127">
        <v>0</v>
      </c>
      <c r="DE173" s="127">
        <v>0</v>
      </c>
      <c r="DF173" s="127">
        <v>0</v>
      </c>
      <c r="DG173" s="127">
        <v>0</v>
      </c>
      <c r="DH173" s="127">
        <v>0</v>
      </c>
      <c r="DI173" s="127">
        <v>0</v>
      </c>
      <c r="DJ173" s="127">
        <v>0</v>
      </c>
      <c r="DK173" s="127">
        <v>0</v>
      </c>
      <c r="DL173" s="127">
        <v>0</v>
      </c>
      <c r="DM173" s="304">
        <f>INDEX(Input!$1:$1048576,DM$93,$C173*2+6)</f>
        <v>21036.84210526316</v>
      </c>
      <c r="DN173" s="20">
        <v>0</v>
      </c>
      <c r="DO173" s="20">
        <v>0</v>
      </c>
      <c r="DP173" s="20">
        <v>0</v>
      </c>
      <c r="DQ173" s="20">
        <v>0</v>
      </c>
      <c r="DR173" s="20">
        <v>0</v>
      </c>
      <c r="DS173" s="20">
        <f>INDEX(Input!$1:$1048576,DS$93,$C173*2+6)</f>
        <v>0.6</v>
      </c>
      <c r="DT173" s="20">
        <f>INDEX(Input!$1:$1048576,DT$93,$C173*2+6)</f>
        <v>0.55000000000000004</v>
      </c>
      <c r="DU173" s="20">
        <f>INDEX(Input!$1:$1048576,DU$93,$C173*2+6)</f>
        <v>0.52</v>
      </c>
      <c r="DV173" s="20">
        <f>INDEX(Input!$1:$1048576,DV$93,$C173*2+6)</f>
        <v>0.5</v>
      </c>
      <c r="DW173" s="20">
        <f>INDEX(Input!$1:$1048576,DW$93,$C173*2+6)</f>
        <v>0.45</v>
      </c>
      <c r="DX173" s="20"/>
      <c r="DY173" s="7">
        <v>0.1208746295065579</v>
      </c>
      <c r="DZ173" s="7">
        <v>0</v>
      </c>
      <c r="EA173" s="7">
        <v>0.52318553432913784</v>
      </c>
      <c r="EB173" s="7">
        <v>0</v>
      </c>
      <c r="EC173" s="7">
        <v>0</v>
      </c>
      <c r="ED173" s="7">
        <v>0</v>
      </c>
      <c r="EE173" s="7">
        <v>0</v>
      </c>
      <c r="EF173" s="7">
        <v>0</v>
      </c>
      <c r="EG173" s="7">
        <v>0</v>
      </c>
      <c r="EH173" s="7">
        <v>2.5796838387281897E-2</v>
      </c>
      <c r="EI173" s="7">
        <v>7.5333962040108449E-2</v>
      </c>
      <c r="EJ173" s="7">
        <v>0.4758763208065796</v>
      </c>
      <c r="EK173" s="7">
        <v>0.2745186114113477</v>
      </c>
      <c r="EL173" s="7">
        <v>0.14847426735468239</v>
      </c>
      <c r="EM173" s="7">
        <v>5.8517704192015046E-2</v>
      </c>
      <c r="EN173" s="7">
        <v>5.0824256578978502E-2</v>
      </c>
      <c r="EO173" s="7">
        <v>0.76815678085538375</v>
      </c>
      <c r="EP173" s="7">
        <v>7.9058197430733598E-2</v>
      </c>
      <c r="EQ173" s="7">
        <v>6.0271198631198966E-2</v>
      </c>
      <c r="ER173" s="7">
        <v>4.1689566503705228E-2</v>
      </c>
      <c r="ES173" s="7">
        <v>0.29742213197228912</v>
      </c>
      <c r="ET173" s="7">
        <v>0.35593983616430419</v>
      </c>
      <c r="EU173" s="6">
        <v>2020</v>
      </c>
      <c r="EV173" s="6">
        <v>0</v>
      </c>
      <c r="EW173" s="6">
        <v>2020</v>
      </c>
      <c r="EX173" s="6">
        <v>0</v>
      </c>
      <c r="EY173" s="6">
        <v>3281.9772844163354</v>
      </c>
      <c r="EZ173" s="6">
        <v>2085</v>
      </c>
      <c r="FA173" s="6">
        <v>0</v>
      </c>
      <c r="FB173" s="6">
        <v>0</v>
      </c>
      <c r="FC173" s="6">
        <v>0</v>
      </c>
      <c r="FD173" s="6">
        <v>0</v>
      </c>
      <c r="FE173" s="6">
        <v>0</v>
      </c>
      <c r="FF173" s="6">
        <v>0</v>
      </c>
      <c r="FG173" s="6">
        <v>0</v>
      </c>
      <c r="FH173" s="6">
        <v>1171.2811379695615</v>
      </c>
      <c r="FI173" s="6">
        <v>1553.9796069512397</v>
      </c>
      <c r="FJ173" s="6">
        <v>2101.2110117447419</v>
      </c>
      <c r="FK173" s="6">
        <v>838.19585232978352</v>
      </c>
      <c r="FL173" s="6">
        <v>907.07682140966335</v>
      </c>
      <c r="FM173" s="6">
        <v>1511.9772844163351</v>
      </c>
      <c r="FN173" s="6">
        <v>0</v>
      </c>
      <c r="FO173" s="6">
        <v>0</v>
      </c>
      <c r="FP173" s="6">
        <v>0</v>
      </c>
      <c r="FQ173" s="6">
        <v>0</v>
      </c>
      <c r="FR173" s="6">
        <v>0</v>
      </c>
      <c r="FS173" s="6">
        <v>0</v>
      </c>
      <c r="FT173" s="7">
        <v>0.64406016383569575</v>
      </c>
      <c r="FU173" s="7">
        <v>5.8517704192015046E-2</v>
      </c>
      <c r="FV173" s="7">
        <v>0.29742213197228912</v>
      </c>
      <c r="FW173" s="6">
        <v>2019.9999999999998</v>
      </c>
      <c r="FX173" s="6">
        <v>3281.9772844163354</v>
      </c>
      <c r="FY173" s="6">
        <v>2085</v>
      </c>
      <c r="FZ173" s="6">
        <v>1952.7147957719815</v>
      </c>
      <c r="GA173" s="6">
        <v>2113.1804520047158</v>
      </c>
      <c r="GB173" s="6">
        <v>17871.819547995285</v>
      </c>
      <c r="GC173" s="7">
        <v>1.0519917368675835E-2</v>
      </c>
      <c r="GD173" s="7">
        <v>1.0945362565747024E-2</v>
      </c>
      <c r="GE173" s="7"/>
      <c r="GF173" s="7"/>
      <c r="GG173" s="7">
        <v>4.0441876315302362E-2</v>
      </c>
      <c r="GH173" s="42">
        <v>5.0367843009913917</v>
      </c>
      <c r="GI173" s="6">
        <v>6080.9898330946135</v>
      </c>
      <c r="GJ173" s="14">
        <v>0.50394797582841722</v>
      </c>
      <c r="GK173" s="14">
        <v>0.50887573065309732</v>
      </c>
      <c r="GL173" s="14">
        <v>0.49605202417158267</v>
      </c>
      <c r="GM173" s="14">
        <v>0.49112426934690245</v>
      </c>
      <c r="GO173" s="5">
        <v>343.14810671672558</v>
      </c>
      <c r="GP173" s="5">
        <v>304.61036031982871</v>
      </c>
      <c r="GQ173" s="5">
        <v>535.04305713031317</v>
      </c>
      <c r="GR173" s="5">
        <v>410.15490233172511</v>
      </c>
      <c r="GS173" s="5">
        <v>339.42744393800166</v>
      </c>
      <c r="GT173" s="5">
        <v>293.4407446948278</v>
      </c>
      <c r="GU173" s="5">
        <v>258.04012322764959</v>
      </c>
      <c r="GV173" s="39" t="s">
        <v>392</v>
      </c>
      <c r="GW173" s="5">
        <v>450.45833333333331</v>
      </c>
      <c r="GX173" s="5">
        <v>337.84375</v>
      </c>
      <c r="GY173" s="5">
        <v>270.27499999999998</v>
      </c>
      <c r="GZ173" s="5">
        <v>252.23502745280661</v>
      </c>
      <c r="HA173" s="5">
        <v>220.91451012583786</v>
      </c>
      <c r="HB173" s="39">
        <v>267.73231119379057</v>
      </c>
      <c r="HC173" s="5">
        <v>196.06562499999998</v>
      </c>
      <c r="HD173" s="5">
        <v>177.54497441520465</v>
      </c>
      <c r="HE173" s="5">
        <v>183.15757844129553</v>
      </c>
      <c r="HF173" s="5">
        <v>172.69313048245613</v>
      </c>
      <c r="HG173" s="5">
        <v>170.66888157894735</v>
      </c>
      <c r="HH173" s="39">
        <v>178.35090729075006</v>
      </c>
      <c r="HI173" s="16"/>
      <c r="HJ173" s="19" t="str">
        <f t="shared" si="390"/>
        <v>On</v>
      </c>
      <c r="HK173" s="1" t="str">
        <f t="shared" si="390"/>
        <v>On</v>
      </c>
      <c r="HL173" s="16"/>
      <c r="HM173" s="639">
        <f t="shared" si="446"/>
        <v>5.7455619280273196E-3</v>
      </c>
      <c r="HN173" s="639">
        <f t="shared" si="447"/>
        <v>5.0031960498701745E-4</v>
      </c>
      <c r="HO173" s="639">
        <f t="shared" si="448"/>
        <v>3.9819433988714835E-3</v>
      </c>
      <c r="HP173" s="644">
        <f>(FT173*$GD173-HM173)/$JF173*INDEX(Input!$1:$1048576,$JG$93,$C173*2+6)</f>
        <v>56.858999762376548</v>
      </c>
      <c r="HQ173" s="644">
        <f>(FU173*$GD173-HN173)/$JF173*INDEX(Input!$1:$1048576,$JG$93,$C173*2+6)</f>
        <v>6.1126717205364329</v>
      </c>
      <c r="HR173" s="644">
        <f>(FV173*$GD173-HO173)/$JF173*INDEX(Input!$1:$1048576,$JG$93,$C173*2+6)</f>
        <v>-31.682341949669752</v>
      </c>
      <c r="HS173" s="644">
        <f t="shared" si="449"/>
        <v>-14.91844570677338</v>
      </c>
      <c r="HT173" s="644">
        <f t="shared" si="450"/>
        <v>23.723350408873724</v>
      </c>
      <c r="HU173" s="644">
        <f t="shared" si="451"/>
        <v>7.3083640288180778</v>
      </c>
      <c r="HV173" s="648">
        <f t="shared" si="452"/>
        <v>0</v>
      </c>
      <c r="HW173" s="648">
        <f t="shared" si="453"/>
        <v>0</v>
      </c>
      <c r="HX173" s="648">
        <f t="shared" si="454"/>
        <v>0</v>
      </c>
      <c r="HY173" s="644">
        <f>INDEX(Input!$1:$1048576,HY$93,$C173*2+6)*INDEX(Input!$1:$1048576,$JG$93,$C173*2+6)</f>
        <v>110.00000000000001</v>
      </c>
      <c r="HZ173" s="644">
        <f>INDEX(Input!$1:$1048576,HZ$93,$C173*2+6)*INDEX(Input!$1:$1048576,$JG$93,$C173*2+6)</f>
        <v>157</v>
      </c>
      <c r="IA173" s="644">
        <f>INDEX(Input!$1:$1048576,IA$93,$C173*2+6)*INDEX(Input!$1:$1048576,$JG$93,$C173*2+6)</f>
        <v>179</v>
      </c>
      <c r="IB173" s="644">
        <f t="shared" si="455"/>
        <v>151.94055405560314</v>
      </c>
      <c r="IC173" s="644">
        <f t="shared" si="456"/>
        <v>186.83602212941017</v>
      </c>
      <c r="ID173" s="644">
        <f>IF(AND(INDEX(Input!$1:$1048576,IA$93,$C173*2+7)="TOS",Y173&lt;=INDEX(Y:Y,MATCH(C173*1000+2,A:A))),0,1)*MAX(IA173+HR173+HU173+HX173,0%)</f>
        <v>154.62602207914833</v>
      </c>
      <c r="IE173" s="128">
        <f t="shared" si="457"/>
        <v>0.30794437360108118</v>
      </c>
      <c r="IF173" s="128">
        <f t="shared" si="458"/>
        <v>0.37866850070655789</v>
      </c>
      <c r="IG173" s="128">
        <f t="shared" si="459"/>
        <v>0.31338712569236105</v>
      </c>
      <c r="IH173" s="21"/>
      <c r="II173" s="19">
        <f t="shared" si="460"/>
        <v>1240</v>
      </c>
      <c r="IJ173" s="19">
        <f t="shared" si="461"/>
        <v>2009.7221397149679</v>
      </c>
      <c r="IK173" s="19">
        <f t="shared" si="462"/>
        <v>2070</v>
      </c>
      <c r="IL173" s="19">
        <f t="shared" si="463"/>
        <v>779.99999999999977</v>
      </c>
      <c r="IM173" s="19">
        <f t="shared" si="464"/>
        <v>1272.2551447013675</v>
      </c>
      <c r="IN173" s="19">
        <f t="shared" si="465"/>
        <v>15</v>
      </c>
      <c r="IO173" s="39">
        <f t="shared" si="466"/>
        <v>0</v>
      </c>
      <c r="IP173" s="39">
        <f t="shared" si="467"/>
        <v>0</v>
      </c>
      <c r="IQ173" s="39">
        <f t="shared" si="468"/>
        <v>0</v>
      </c>
      <c r="IR173" s="39">
        <v>0</v>
      </c>
      <c r="IS173" s="39">
        <v>0</v>
      </c>
      <c r="IT173" s="39">
        <v>0</v>
      </c>
      <c r="IU173" s="39">
        <v>0</v>
      </c>
      <c r="IV173" s="39">
        <v>0</v>
      </c>
      <c r="IW173" s="39">
        <v>0</v>
      </c>
      <c r="IX173" s="39">
        <f>INDEX(Input!$1:$1048576,IX$93,$C173*2+6)+INDEX(Input!$1:$1048576,IX$94,$C173*2+6)</f>
        <v>1270</v>
      </c>
      <c r="IY173" s="39">
        <f>INDEX(Input!$1:$1048576,IY$93,$C173*2+6)+INDEX(Input!$1:$1048576,IY$94,$C173*2+6)</f>
        <v>2130.0624533823611</v>
      </c>
      <c r="IZ173" s="39">
        <f>INDEX(Input!$1:$1048576,IZ$93,$C173*2+6)+INDEX(Input!$1:$1048576,IZ$94,$C173*2+6)</f>
        <v>4373.7164157747848</v>
      </c>
      <c r="JA173" s="19">
        <f t="shared" si="469"/>
        <v>2050</v>
      </c>
      <c r="JB173" s="19">
        <f t="shared" si="470"/>
        <v>3402.3175980837286</v>
      </c>
      <c r="JC173" s="19">
        <f t="shared" si="471"/>
        <v>4388.7164157747848</v>
      </c>
      <c r="JD173" s="19">
        <f t="shared" si="472"/>
        <v>3295.00369269466</v>
      </c>
      <c r="JE173" s="21"/>
      <c r="JF173" s="1">
        <f t="shared" si="473"/>
        <v>1.022782493188582E-2</v>
      </c>
      <c r="JG173" s="15">
        <f>INDEX(Input!$1:$1048576,JG$93,$C173*2+6)/(1+VLOOKUP(C173*1000+INDEX(Input!$1:$1048576,JG$93+1,$C173*2+6),$A:$KK,$JK$92,FALSE))</f>
        <v>446</v>
      </c>
      <c r="JH173" s="1">
        <f t="shared" si="474"/>
        <v>7.0155447383953434E-2</v>
      </c>
      <c r="JI173" s="1">
        <f t="shared" si="475"/>
        <v>3.6128405226274488E-2</v>
      </c>
      <c r="JJ173" s="1">
        <f t="shared" si="476"/>
        <v>0</v>
      </c>
      <c r="JK173" s="1">
        <f t="shared" si="477"/>
        <v>0.10628385261022792</v>
      </c>
      <c r="JL173" s="15">
        <f t="shared" si="478"/>
        <v>47.402598264161654</v>
      </c>
      <c r="JM173" s="15">
        <f t="shared" si="479"/>
        <v>493.40259826416167</v>
      </c>
      <c r="JN173" s="21"/>
      <c r="JO173" s="19">
        <f>INDEX(Input!$1:$1048576,JO$93,$C173*2+6)</f>
        <v>5995.5</v>
      </c>
      <c r="JP173" s="19">
        <f>INDEX(Input!$1:$1048576,JP$93,$C173*2+6)</f>
        <v>2818.4193802796353</v>
      </c>
      <c r="JQ173" s="39">
        <f t="shared" si="480"/>
        <v>2700.49630730534</v>
      </c>
      <c r="JR173" s="39">
        <f t="shared" si="481"/>
        <v>476.58431241502467</v>
      </c>
      <c r="JS173" s="39">
        <f t="shared" si="482"/>
        <v>1.6257633832655525</v>
      </c>
      <c r="JT173" s="39">
        <f t="shared" si="483"/>
        <v>0.3687483396608352</v>
      </c>
      <c r="JU173" s="385">
        <f>(JQ173*JM173-INDEX(Input!$1:$1048576,Input!A$18,$C173*2+6)*JL173*INDEX(Input!$1:$1048576,Input!A$19,$C173*2+6))/1000000</f>
        <v>1.3324318946272289</v>
      </c>
      <c r="JV173" s="39">
        <f t="shared" si="484"/>
        <v>-8.4546061768053793E-2</v>
      </c>
      <c r="JW173" s="1">
        <f t="shared" si="485"/>
        <v>-5.9666462266734568E-2</v>
      </c>
      <c r="JX173" s="19">
        <f t="shared" si="486"/>
        <v>7779.0744213197358</v>
      </c>
      <c r="JZ173" s="341"/>
      <c r="KA173" s="342"/>
      <c r="KB173" s="469">
        <f t="shared" si="514"/>
        <v>2.9286733661474216</v>
      </c>
      <c r="KI173" s="473">
        <f t="shared" si="487"/>
        <v>41.940554055603158</v>
      </c>
      <c r="KJ173" s="473">
        <f t="shared" si="488"/>
        <v>29.836022129410196</v>
      </c>
      <c r="KK173" s="473">
        <f t="shared" si="489"/>
        <v>-24.373977920851644</v>
      </c>
      <c r="KN173" s="544">
        <f t="shared" si="490"/>
        <v>1002</v>
      </c>
      <c r="KO173" s="541">
        <f t="shared" si="491"/>
        <v>0.10174916870194961</v>
      </c>
      <c r="KP173" s="546">
        <f t="shared" si="492"/>
        <v>701.3611733398858</v>
      </c>
      <c r="KQ173" s="546">
        <f t="shared" si="493"/>
        <v>455.68749267600833</v>
      </c>
      <c r="KR173" s="548">
        <f t="shared" si="494"/>
        <v>2.4873904341852664</v>
      </c>
      <c r="KS173" s="548">
        <f t="shared" si="495"/>
        <v>3.828411140340338</v>
      </c>
      <c r="KT173" s="473">
        <f t="shared" si="515"/>
        <v>238.28695973331548</v>
      </c>
      <c r="KU173" s="663">
        <f t="shared" si="496"/>
        <v>6.4936658135371763</v>
      </c>
    </row>
    <row r="174" spans="1:308" s="26" customFormat="1" ht="15" outlineLevel="1">
      <c r="A174" s="561">
        <f t="shared" si="391"/>
        <v>1074</v>
      </c>
      <c r="B174" s="561">
        <f t="shared" si="513"/>
        <v>74</v>
      </c>
      <c r="C174" s="561">
        <f t="shared" si="105"/>
        <v>1</v>
      </c>
      <c r="D174" s="561" t="str">
        <f t="shared" si="294"/>
        <v xml:space="preserve">1000 CC, 0/2.8/3.8/3.9, 2000 Combo, </v>
      </c>
      <c r="E174" s="475">
        <f>INDEX(Input!$1:$1048576,E$93,$C174*2+MIN($B174,2)+5)
+INDEX(Scenarios!E$121:E$200,MATCH($B174,Scenarios!$B$121:$B$200,0))</f>
        <v>2229</v>
      </c>
      <c r="F174" s="475">
        <f>INDEX(Input!$1:$1048576,F$93,$C174*2+MIN($B174,2)+5)
+INDEX(Scenarios!F$121:F$200,MATCH($B174,Scenarios!$B$121:$B$200,0))</f>
        <v>0</v>
      </c>
      <c r="G174" s="475">
        <f>INDEX(Input!$1:$1048576,G$93,$C174*2+MIN($B174,2)+5)
+INDEX(Scenarios!G$121:G$200,MATCH($B174,Scenarios!$B$121:$B$200,0))</f>
        <v>0</v>
      </c>
      <c r="H174" s="475">
        <f>INDEX(Input!$1:$1048576,H$93,$C174*2+MIN($B174,2)+5)
+INDEX(Scenarios!H$121:H$200,MATCH($B174,Scenarios!$B$121:$B$200,0))</f>
        <v>0</v>
      </c>
      <c r="I174" s="476">
        <f>INDEX(Input!$1:$1048576,I$93,$C174*2+MIN($B174,2)+5)</f>
        <v>0.7</v>
      </c>
      <c r="J174" s="476" t="str">
        <f>INDEX(Input!$1:$1048576,J$93,$C174*2+MIN($B174,2)+5)</f>
        <v>Market</v>
      </c>
      <c r="K174" s="476" t="str">
        <f>INDEX(Input!$1:$1048576,K$93,$C174*2+MIN($B174,2)+5)</f>
        <v>Market</v>
      </c>
      <c r="L174" s="476" t="str">
        <f>INDEX(Input!$1:$1048576,L$93,$C174*2+MIN($B174,2)+5)</f>
        <v>Market</v>
      </c>
      <c r="M174" s="476" t="str">
        <f>INDEX(Input!$1:$1048576,M$93,$C174*2+MIN($B174,2)+5)</f>
        <v>Market</v>
      </c>
      <c r="N174" s="476" t="str">
        <f>INDEX(Input!$1:$1048576,N$93,$C174*2+MIN($B174,2)+5)</f>
        <v>Market</v>
      </c>
      <c r="O174" s="476" t="str">
        <f>INDEX(Input!$1:$1048576,O$93,$C174*2+MIN($B174,2)+5)</f>
        <v>Market</v>
      </c>
      <c r="P174" s="476" t="str">
        <f>INDEX(Input!$1:$1048576,P$93,$C174*2+MIN($B174,2)+5)</f>
        <v>N</v>
      </c>
      <c r="Q174" s="477">
        <f>INDEX(Input!$1:$1048576,Q$93,$C174*2+MIN($B174,2)+5)
+INDEX(Scenarios!Q$121:Q$200,MATCH($B174,Scenarios!$B$121:$B$200,0))</f>
        <v>2000</v>
      </c>
      <c r="R174" s="478">
        <f>IFERROR(MAX(0,INDEX(Input!$1:$1048576,R$93,$C174*2+MIN($B174,2)+5)
+INDEX(Scenarios!R$121:R$200,MATCH($B174,Scenarios!$B$121:$B$200,0)),),"Market")</f>
        <v>0</v>
      </c>
      <c r="S174" s="478">
        <f>IFERROR(MAX(0,INDEX(Input!$1:$1048576,S$93,$C174*2+MIN($B174,2)+5)
+INDEX(Scenarios!S$121:S$200,MATCH($B174,Scenarios!$B$121:$B$200,0)),),"Market")</f>
        <v>0</v>
      </c>
      <c r="T174" s="478">
        <f>IFERROR(MAX(0,INDEX(Input!$1:$1048576,T$93,$C174*2+MIN($B174,2)+5)
+INDEX(Scenarios!T$121:T$200,MATCH($B174,Scenarios!$B$121:$B$200,0)),),"Market")</f>
        <v>0</v>
      </c>
      <c r="U174" s="478">
        <f>IFERROR(MAX(0,INDEX(Input!$1:$1048576,U$93,$C174*2+MIN($B174,2)+5)
+INDEX(Scenarios!U$121:U$200,MATCH($B174,Scenarios!$B$121:$B$200,0)),),"Market")</f>
        <v>0</v>
      </c>
      <c r="V174" s="478">
        <f>IFERROR(MAX(0,INDEX(Input!$1:$1048576,V$93,$C174*2+MIN($B174,2)+5)
+INDEX(Scenarios!V$121:V$200,MATCH($B174,Scenarios!$B$121:$B$200,0)),),"Market")</f>
        <v>3.7999999999999999E-2</v>
      </c>
      <c r="W174" s="885">
        <f>IFERROR(MAX(0,INDEX(Input!$1:$1048576,W$93,$C174*2+MIN($B174,2)+5)-0%,),"Market")</f>
        <v>3.9E-2</v>
      </c>
      <c r="X174" s="476" t="str">
        <f>INDEX(Input!$1:$1048576,X$93,$C174*2+MIN($B174,2)+5)</f>
        <v>Y</v>
      </c>
      <c r="Y174" s="475">
        <f>INDEX(Input!$1:$1048576,Y$93,$C174*2+MIN($B174,2)+5)
++INDEX(Scenarios!Y$121:Y$200,MATCH($B174,Scenarios!$B$121:$B$200,0))</f>
        <v>1942</v>
      </c>
      <c r="Z174" s="477">
        <f>INDEX(Input!$1:$1048576,Z$93,$C174*2+MIN($B174,2)+5)
+INDEX(Scenarios!Z$121:Z$200,MATCH($B174,Scenarios!$B$121:$B$200,0))</f>
        <v>0</v>
      </c>
      <c r="AA174" s="475">
        <f>INDEX(Input!$1:$1048576,AA$93,$C174*2+MIN($B174,2)+5)
+INDEX(Scenarios!AA$121:AA$200,MATCH($B174,Scenarios!$B$121:$B$200,0))</f>
        <v>0</v>
      </c>
      <c r="AB174" s="476">
        <f>INDEX(Input!$1:$1048576,AB$93,$C174*2+MIN($B174,2)+5)</f>
        <v>0.27</v>
      </c>
      <c r="AC174" s="475">
        <f>INDEX(Input!$1:$1048576,AC$93,$C174*2+MIN($B174,2)+5)
+INDEX(Scenarios!AC$121:AC$200,MATCH($B174,Scenarios!$B$121:$B$200,0))</f>
        <v>0</v>
      </c>
      <c r="AD174" s="476">
        <f>INDEX(Input!$1:$1048576,AD$93,$C174*2+MIN($B174,2)+5)</f>
        <v>0.27</v>
      </c>
      <c r="AE174" s="475">
        <f>INDEX(Input!$1:$1048576,AE$93,$C174*2+MIN($B174,2)+5)
+INDEX(Scenarios!AE$121:AE$200,MATCH($B174,Scenarios!$B$121:$B$200,0))</f>
        <v>0</v>
      </c>
      <c r="AF174" s="476">
        <f>INDEX(Input!$1:$1048576,AF$93,$C174*2+MIN($B174,2)+5)</f>
        <v>0.38</v>
      </c>
      <c r="AG174" s="475">
        <f>INDEX(Input!$1:$1048576,AG$93,$C174*2+MIN($B174,2)+5)
+INDEX(Scenarios!AG$121:AG$200,MATCH($B174,Scenarios!$B$121:$B$200,0))</f>
        <v>0</v>
      </c>
      <c r="AH174" s="476">
        <f>INDEX(Input!$1:$1048576,AH$93,$C174*2+MIN($B174,2)+5)</f>
        <v>0</v>
      </c>
      <c r="AI174" s="475">
        <f>INDEX(Input!$1:$1048576,AI$93,$C174*2+MIN($B174,2)+5)
+INDEX(Scenarios!AI$121:AI$200,MATCH($B174,Scenarios!$B$121:$B$200,0))</f>
        <v>0</v>
      </c>
      <c r="AJ174" s="476">
        <f>INDEX(Input!$1:$1048576,AJ$93,$C174*2+MIN($B174,2)+5)</f>
        <v>0.27</v>
      </c>
      <c r="AK174" s="150">
        <f>ROUND(INDEX(Input!$1:$1048576,AK$93,$C173*2+MIN($B174,1)+5)+(Y174-VLOOKUP($C174*1000+1,$A:$HH,Y$92,FALSE)),0)</f>
        <v>3757</v>
      </c>
      <c r="AL174" s="150">
        <f>ROUND(INDEX(Input!$1:$1048576,AL$93,$C173*2+MIN($B174,1)+5)-(Y174-VLOOKUP($C174*1000+1,$A:$HH,Y$92,FALSE))/36,0)</f>
        <v>4113</v>
      </c>
      <c r="AM174" s="32" t="str">
        <f t="shared" si="392"/>
        <v>std/std/std/std</v>
      </c>
      <c r="AN174" s="32" t="str">
        <f t="shared" si="393"/>
        <v>$2000 + 0/0/0/3.8/3.9</v>
      </c>
      <c r="AO174" s="32" t="str">
        <f t="shared" si="394"/>
        <v>0/0/0/3.8/3.9</v>
      </c>
      <c r="AP174" s="32" t="str">
        <f t="shared" si="498"/>
        <v>0/2.8/3.8/3.9</v>
      </c>
      <c r="AQ174" s="536">
        <f t="shared" si="497"/>
        <v>0.32062378151493531</v>
      </c>
      <c r="AR174" s="32"/>
      <c r="AS174" s="302"/>
      <c r="AT174" s="3">
        <f t="shared" si="106"/>
        <v>74</v>
      </c>
      <c r="AU174" s="41" t="s">
        <v>121</v>
      </c>
      <c r="AV174" s="41" t="s">
        <v>116</v>
      </c>
      <c r="AW174" s="41" t="str">
        <f>INDEX(Input!$1:$1048576,AW$93,$C174*2+6)</f>
        <v>Kia</v>
      </c>
      <c r="AX174" s="41" t="str">
        <f>INDEX(Input!$1:$1048576,AX$93,$C174*2+6)</f>
        <v>Kia-LR - L1</v>
      </c>
      <c r="AY174" s="41" t="str">
        <f>IF(LEN(D174)=0,"",INDEX(Input!$1:$1048576,AY$93,$C174*2+6))</f>
        <v>Compact SUV (52)</v>
      </c>
      <c r="AZ174" s="41" t="str">
        <f>INDEX(Input!$1:$1048576,AZ$93,$C174*2+6)</f>
        <v>Kia Soul</v>
      </c>
      <c r="BA174" s="3">
        <f>INDEX(Input!$1:$1048576,BA$93,$C174*2+6)</f>
        <v>2020</v>
      </c>
      <c r="BB174" s="128">
        <f>INDEX(Input!$1:$1048576,BB$93,$C174*2+6)</f>
        <v>1</v>
      </c>
      <c r="BC174" s="128">
        <f>INDEX(Input!$1:$1048576,BC$93,$C174*2+6)</f>
        <v>0.7</v>
      </c>
      <c r="BD174" s="1">
        <f>INDEX(Input!$1:$1048576,BD$93,$C174*2+6)</f>
        <v>4.4999999999999998E-2</v>
      </c>
      <c r="BE174" s="1">
        <f>INDEX(Input!$1:$1048576,BE$93,$C174*2+6)</f>
        <v>4.4999999999999998E-2</v>
      </c>
      <c r="BF174" s="1">
        <f>INDEX(Input!$1:$1048576,BF$93,$C174*2+6)</f>
        <v>0.05</v>
      </c>
      <c r="BG174" s="1">
        <f>INDEX(Input!$1:$1048576,BG$93,$C174*2+6)</f>
        <v>5.45E-2</v>
      </c>
      <c r="BH174" s="1">
        <f>INDEX(Input!$1:$1048576,BH$93,$C174*2+6)</f>
        <v>5.45E-2</v>
      </c>
      <c r="BI174" s="1">
        <f>INDEX(Input!$1:$1048576,BI$93,$C174*2+6)</f>
        <v>0.05</v>
      </c>
      <c r="BJ174" s="1">
        <f>INDEX(Input!$1:$1048576,BJ$93,$C174*2+6)</f>
        <v>0.05</v>
      </c>
      <c r="BK174" s="1">
        <f>INDEX(Input!$1:$1048576,BK$93,$C174*2+6)</f>
        <v>0.05</v>
      </c>
      <c r="BL174" s="1">
        <f>INDEX(Input!$1:$1048576,BL$93,$C174*2+6)</f>
        <v>5.5E-2</v>
      </c>
      <c r="BM174" s="1">
        <f>INDEX(Input!$1:$1048576,BM$93,$C174*2+6)</f>
        <v>0.06</v>
      </c>
      <c r="BN174" s="1">
        <f>INDEX(Input!$1:$1048576,BN$93,$C174*2+6)</f>
        <v>4.4999999999999998E-2</v>
      </c>
      <c r="BO174" s="1">
        <f>INDEX(Input!$1:$1048576,BO$93,$C174*2+6)</f>
        <v>4.4999999999999998E-2</v>
      </c>
      <c r="BP174" s="1">
        <f>INDEX(Input!$1:$1048576,BP$93,$C174*2+6)</f>
        <v>0.05</v>
      </c>
      <c r="BQ174" s="1">
        <f>INDEX(Input!$1:$1048576,BQ$93,$C174*2+6)</f>
        <v>5.45E-2</v>
      </c>
      <c r="BR174" s="1">
        <f>INDEX(Input!$1:$1048576,BR$93,$C174*2+6)</f>
        <v>5.45E-2</v>
      </c>
      <c r="BS174" s="1">
        <f>INDEX(Input!$1:$1048576,BS$93,$C174*2+6)</f>
        <v>0.05</v>
      </c>
      <c r="BT174" s="1">
        <f>INDEX(Input!$1:$1048576,BT$93,$C174*2+6)</f>
        <v>0.05</v>
      </c>
      <c r="BU174" s="1">
        <f>INDEX(Input!$1:$1048576,BU$93,$C174*2+6)</f>
        <v>0.05</v>
      </c>
      <c r="BV174" s="1">
        <f>INDEX(Input!$1:$1048576,BV$93,$C174*2+6)</f>
        <v>5.5E-2</v>
      </c>
      <c r="BW174" s="1">
        <f>INDEX(Input!$1:$1048576,BW$93,$C174*2+6)</f>
        <v>0.06</v>
      </c>
      <c r="BX174" s="127">
        <f>INDEX(Input!$1:$1048576,BX$93,$C174*2+6)</f>
        <v>19985</v>
      </c>
      <c r="BY174" s="20">
        <f>INDEX(Input!$1:$1048576,BY$93,$C174*2+6)</f>
        <v>0.1</v>
      </c>
      <c r="BZ174" s="20">
        <f>INDEX(Input!$1:$1048576,BZ$93,$C174*2+6)</f>
        <v>0.1</v>
      </c>
      <c r="CA174" s="20">
        <f>INDEX(Input!$1:$1048576,CA$93,$C174*2+6)</f>
        <v>0.1</v>
      </c>
      <c r="CB174" s="20">
        <f>INDEX(Input!$1:$1048576,CB$93,$C174*2+6)</f>
        <v>0.1</v>
      </c>
      <c r="CC174" s="20">
        <f>INDEX(Input!$1:$1048576,CC$93,$C174*2+6)</f>
        <v>0.1</v>
      </c>
      <c r="CD174" s="384">
        <f>INDEX(Input!$1:$1048576,CD$93,$C174*2+6)</f>
        <v>0.1</v>
      </c>
      <c r="CE174" s="384">
        <f>INDEX(Input!$1:$1048576,CE$93,$C174*2+6)</f>
        <v>0.1</v>
      </c>
      <c r="CF174" s="384">
        <f>INDEX(Input!$1:$1048576,CF$93,$C174*2+6)</f>
        <v>0.1</v>
      </c>
      <c r="CG174" s="384">
        <f>INDEX(Input!$1:$1048576,CG$93,$C174*2+6)</f>
        <v>0.1</v>
      </c>
      <c r="CH174" s="384">
        <f>INDEX(Input!$1:$1048576,CH$93,$C174*2+6)</f>
        <v>0.1</v>
      </c>
      <c r="CI174" s="304">
        <f t="shared" si="499"/>
        <v>2229</v>
      </c>
      <c r="CJ174" s="16" t="str">
        <f>INDEX(Input!$1:$1048576,CJ$93,$C174*2+6)</f>
        <v>N</v>
      </c>
      <c r="CK174" s="1" t="str">
        <f t="shared" si="500"/>
        <v>Market</v>
      </c>
      <c r="CL174" s="1" t="str">
        <f t="shared" si="501"/>
        <v>Market</v>
      </c>
      <c r="CM174" s="1" t="str">
        <f t="shared" si="502"/>
        <v>Market</v>
      </c>
      <c r="CN174" s="1" t="str">
        <f t="shared" si="503"/>
        <v>Market</v>
      </c>
      <c r="CO174" s="1" t="str">
        <f t="shared" si="504"/>
        <v>Market</v>
      </c>
      <c r="CP174" s="304">
        <f t="shared" si="505"/>
        <v>2000</v>
      </c>
      <c r="CQ174" s="1">
        <f t="shared" si="506"/>
        <v>0</v>
      </c>
      <c r="CR174" s="1">
        <f t="shared" si="507"/>
        <v>0</v>
      </c>
      <c r="CS174" s="1">
        <f t="shared" si="508"/>
        <v>0</v>
      </c>
      <c r="CT174" s="1">
        <f t="shared" si="509"/>
        <v>3.7999999999999999E-2</v>
      </c>
      <c r="CU174" s="1">
        <f t="shared" si="510"/>
        <v>3.9E-2</v>
      </c>
      <c r="CV174" s="304">
        <f t="shared" si="511"/>
        <v>1942</v>
      </c>
      <c r="CW174" s="20" t="s">
        <v>122</v>
      </c>
      <c r="CX174" s="20" t="s">
        <v>122</v>
      </c>
      <c r="CY174" s="20" t="s">
        <v>122</v>
      </c>
      <c r="CZ174" s="20" t="s">
        <v>122</v>
      </c>
      <c r="DA174" s="20" t="s">
        <v>122</v>
      </c>
      <c r="DB174" s="503">
        <f t="shared" si="512"/>
        <v>0</v>
      </c>
      <c r="DC174" s="127">
        <v>0</v>
      </c>
      <c r="DD174" s="127">
        <v>0</v>
      </c>
      <c r="DE174" s="127">
        <v>0</v>
      </c>
      <c r="DF174" s="127">
        <v>0</v>
      </c>
      <c r="DG174" s="127">
        <v>0</v>
      </c>
      <c r="DH174" s="127">
        <v>0</v>
      </c>
      <c r="DI174" s="127">
        <v>0</v>
      </c>
      <c r="DJ174" s="127">
        <v>0</v>
      </c>
      <c r="DK174" s="127">
        <v>0</v>
      </c>
      <c r="DL174" s="127">
        <v>0</v>
      </c>
      <c r="DM174" s="304">
        <f>INDEX(Input!$1:$1048576,DM$93,$C174*2+6)</f>
        <v>21036.84210526316</v>
      </c>
      <c r="DN174" s="20">
        <v>0</v>
      </c>
      <c r="DO174" s="20">
        <v>0</v>
      </c>
      <c r="DP174" s="20">
        <v>0</v>
      </c>
      <c r="DQ174" s="20">
        <v>0</v>
      </c>
      <c r="DR174" s="20">
        <v>0</v>
      </c>
      <c r="DS174" s="20">
        <f>INDEX(Input!$1:$1048576,DS$93,$C174*2+6)</f>
        <v>0.6</v>
      </c>
      <c r="DT174" s="20">
        <f>INDEX(Input!$1:$1048576,DT$93,$C174*2+6)</f>
        <v>0.55000000000000004</v>
      </c>
      <c r="DU174" s="20">
        <f>INDEX(Input!$1:$1048576,DU$93,$C174*2+6)</f>
        <v>0.52</v>
      </c>
      <c r="DV174" s="20">
        <f>INDEX(Input!$1:$1048576,DV$93,$C174*2+6)</f>
        <v>0.5</v>
      </c>
      <c r="DW174" s="20">
        <f>INDEX(Input!$1:$1048576,DW$93,$C174*2+6)</f>
        <v>0.45</v>
      </c>
      <c r="DX174" s="20"/>
      <c r="DY174" s="7">
        <v>0.12788954203692468</v>
      </c>
      <c r="DZ174" s="7">
        <v>0</v>
      </c>
      <c r="EA174" s="7">
        <v>0.5355610233161856</v>
      </c>
      <c r="EB174" s="7">
        <v>0</v>
      </c>
      <c r="EC174" s="7">
        <v>0</v>
      </c>
      <c r="ED174" s="7">
        <v>0</v>
      </c>
      <c r="EE174" s="7">
        <v>0</v>
      </c>
      <c r="EF174" s="7">
        <v>0</v>
      </c>
      <c r="EG174" s="7">
        <v>0</v>
      </c>
      <c r="EH174" s="7">
        <v>2.57968383872819E-2</v>
      </c>
      <c r="EI174" s="7">
        <v>7.5333962040108421E-2</v>
      </c>
      <c r="EJ174" s="7">
        <v>0.47587632080657971</v>
      </c>
      <c r="EK174" s="7">
        <v>0.2745186114113477</v>
      </c>
      <c r="EL174" s="7">
        <v>0.14847426735468239</v>
      </c>
      <c r="EM174" s="7">
        <v>6.8418828526003256E-2</v>
      </c>
      <c r="EN174" s="7">
        <v>5.0824256578978509E-2</v>
      </c>
      <c r="EO174" s="7">
        <v>0.76815678085538353</v>
      </c>
      <c r="EP174" s="7">
        <v>7.9058197430733571E-2</v>
      </c>
      <c r="EQ174" s="7">
        <v>6.0271198631198959E-2</v>
      </c>
      <c r="ER174" s="7">
        <v>4.1689566503705221E-2</v>
      </c>
      <c r="ES174" s="7">
        <v>0.26813060612088646</v>
      </c>
      <c r="ET174" s="7">
        <v>0.33654943464688969</v>
      </c>
      <c r="EU174" s="6">
        <v>2270</v>
      </c>
      <c r="EV174" s="6">
        <v>0</v>
      </c>
      <c r="EW174" s="6">
        <v>2270</v>
      </c>
      <c r="EX174" s="6">
        <v>0</v>
      </c>
      <c r="EY174" s="6">
        <v>3781.9772844163354</v>
      </c>
      <c r="EZ174" s="6">
        <v>2085</v>
      </c>
      <c r="FA174" s="6">
        <v>0</v>
      </c>
      <c r="FB174" s="6">
        <v>0</v>
      </c>
      <c r="FC174" s="6">
        <v>0</v>
      </c>
      <c r="FD174" s="6">
        <v>0</v>
      </c>
      <c r="FE174" s="6">
        <v>0</v>
      </c>
      <c r="FF174" s="6">
        <v>0</v>
      </c>
      <c r="FG174" s="6">
        <v>0</v>
      </c>
      <c r="FH174" s="6">
        <v>1171.2811379695613</v>
      </c>
      <c r="FI174" s="6">
        <v>1553.9796069512406</v>
      </c>
      <c r="FJ174" s="6">
        <v>2101.2110117447414</v>
      </c>
      <c r="FK174" s="6">
        <v>838.19585232978329</v>
      </c>
      <c r="FL174" s="6">
        <v>907.07682140966347</v>
      </c>
      <c r="FM174" s="6">
        <v>1511.9772844163354</v>
      </c>
      <c r="FN174" s="6">
        <v>0</v>
      </c>
      <c r="FO174" s="6">
        <v>0</v>
      </c>
      <c r="FP174" s="6">
        <v>0</v>
      </c>
      <c r="FQ174" s="6">
        <v>0</v>
      </c>
      <c r="FR174" s="6">
        <v>0</v>
      </c>
      <c r="FS174" s="6">
        <v>0</v>
      </c>
      <c r="FT174" s="7">
        <v>0.66345056535311031</v>
      </c>
      <c r="FU174" s="7">
        <v>6.8418828526003256E-2</v>
      </c>
      <c r="FV174" s="7">
        <v>0.26813060612088646</v>
      </c>
      <c r="FW174" s="6">
        <v>2270</v>
      </c>
      <c r="FX174" s="6">
        <v>3781.9772844163354</v>
      </c>
      <c r="FY174" s="6">
        <v>2085</v>
      </c>
      <c r="FZ174" s="6">
        <v>1952.7147957719815</v>
      </c>
      <c r="GA174" s="6">
        <v>2323.8435524253291</v>
      </c>
      <c r="GB174" s="6">
        <v>17661.156447574671</v>
      </c>
      <c r="GC174" s="7">
        <v>1.0519917368675835E-2</v>
      </c>
      <c r="GD174" s="7">
        <v>1.1224741194487367E-2</v>
      </c>
      <c r="GE174" s="7"/>
      <c r="GF174" s="7"/>
      <c r="GG174" s="7">
        <v>6.6998988785807359E-2</v>
      </c>
      <c r="GH174" s="42">
        <v>3.6078443582722097</v>
      </c>
      <c r="GI174" s="6">
        <v>7863.1623299046278</v>
      </c>
      <c r="GJ174" s="14">
        <v>0.50394797582841733</v>
      </c>
      <c r="GK174" s="14">
        <v>0.50887573065309732</v>
      </c>
      <c r="GL174" s="14">
        <v>0.49605202417158278</v>
      </c>
      <c r="GM174" s="14">
        <v>0.49112426934690245</v>
      </c>
      <c r="GO174" s="5">
        <v>343.14810671672558</v>
      </c>
      <c r="GP174" s="5">
        <v>299.84083725090579</v>
      </c>
      <c r="GQ174" s="5">
        <v>535.04305713031317</v>
      </c>
      <c r="GR174" s="5">
        <v>410.15490233172511</v>
      </c>
      <c r="GS174" s="5">
        <v>339.42744393800166</v>
      </c>
      <c r="GT174" s="5">
        <v>293.4407446948278</v>
      </c>
      <c r="GU174" s="5">
        <v>258.04012322764959</v>
      </c>
      <c r="GV174" s="39" t="s">
        <v>392</v>
      </c>
      <c r="GW174" s="5">
        <v>436.56944444444446</v>
      </c>
      <c r="GX174" s="5">
        <v>327.42708333333331</v>
      </c>
      <c r="GY174" s="5">
        <v>261.94166666666666</v>
      </c>
      <c r="GZ174" s="5">
        <v>244.45791687244687</v>
      </c>
      <c r="HA174" s="5">
        <v>214.10309859665963</v>
      </c>
      <c r="HB174" s="39">
        <v>259.47737606001351</v>
      </c>
      <c r="HC174" s="5">
        <v>196.06562499999998</v>
      </c>
      <c r="HD174" s="5">
        <v>177.54497441520465</v>
      </c>
      <c r="HE174" s="5">
        <v>183.15757844129553</v>
      </c>
      <c r="HF174" s="5">
        <v>172.69313048245613</v>
      </c>
      <c r="HG174" s="5">
        <v>170.66888157894735</v>
      </c>
      <c r="HH174" s="39">
        <v>178.35090729075</v>
      </c>
      <c r="HI174" s="16"/>
      <c r="HJ174" s="19" t="str">
        <f t="shared" si="390"/>
        <v>On</v>
      </c>
      <c r="HK174" s="1" t="str">
        <f t="shared" si="390"/>
        <v>On</v>
      </c>
      <c r="HL174" s="16"/>
      <c r="HM174" s="639">
        <f t="shared" si="446"/>
        <v>5.7455619280273196E-3</v>
      </c>
      <c r="HN174" s="639">
        <f t="shared" si="447"/>
        <v>5.0031960498701745E-4</v>
      </c>
      <c r="HO174" s="639">
        <f t="shared" si="448"/>
        <v>3.9819433988714835E-3</v>
      </c>
      <c r="HP174" s="644">
        <f>(FT174*$GD174-HM174)/$JF174*INDEX(Input!$1:$1048576,$JG$93,$C174*2+6)</f>
        <v>74.19647312397241</v>
      </c>
      <c r="HQ174" s="644">
        <f>(FU174*$GD174-HN174)/$JF174*INDEX(Input!$1:$1048576,$JG$93,$C174*2+6)</f>
        <v>11.671901089836094</v>
      </c>
      <c r="HR174" s="644">
        <f>(FV174*$GD174-HO174)/$JF174*INDEX(Input!$1:$1048576,$JG$93,$C174*2+6)</f>
        <v>-42.396310888384598</v>
      </c>
      <c r="HS174" s="644">
        <f t="shared" si="449"/>
        <v>-19.76136789089632</v>
      </c>
      <c r="HT174" s="644">
        <f t="shared" si="450"/>
        <v>33.500726734516292</v>
      </c>
      <c r="HU174" s="644">
        <f t="shared" si="451"/>
        <v>9.6485548923158007</v>
      </c>
      <c r="HV174" s="648">
        <f t="shared" si="452"/>
        <v>0</v>
      </c>
      <c r="HW174" s="648">
        <f t="shared" si="453"/>
        <v>0</v>
      </c>
      <c r="HX174" s="648">
        <f t="shared" si="454"/>
        <v>0</v>
      </c>
      <c r="HY174" s="644">
        <f>INDEX(Input!$1:$1048576,HY$93,$C174*2+6)*INDEX(Input!$1:$1048576,$JG$93,$C174*2+6)</f>
        <v>110.00000000000001</v>
      </c>
      <c r="HZ174" s="644">
        <f>INDEX(Input!$1:$1048576,HZ$93,$C174*2+6)*INDEX(Input!$1:$1048576,$JG$93,$C174*2+6)</f>
        <v>157</v>
      </c>
      <c r="IA174" s="644">
        <f>INDEX(Input!$1:$1048576,IA$93,$C174*2+6)*INDEX(Input!$1:$1048576,$JG$93,$C174*2+6)</f>
        <v>179</v>
      </c>
      <c r="IB174" s="644">
        <f t="shared" si="455"/>
        <v>164.43510523307611</v>
      </c>
      <c r="IC174" s="644">
        <f t="shared" si="456"/>
        <v>202.17262782435239</v>
      </c>
      <c r="ID174" s="644">
        <f>IF(AND(INDEX(Input!$1:$1048576,IA$93,$C174*2+7)="TOS",Y174&lt;=INDEX(Y:Y,MATCH(C174*1000+2,A:A))),0,1)*MAX(IA174+HR174+HU174+HX174,0%)</f>
        <v>146.2522440039312</v>
      </c>
      <c r="IE174" s="128">
        <f t="shared" si="457"/>
        <v>0.32062378151493531</v>
      </c>
      <c r="IF174" s="128">
        <f t="shared" si="458"/>
        <v>0.39420628800629537</v>
      </c>
      <c r="IG174" s="128">
        <f t="shared" si="459"/>
        <v>0.28516993047876937</v>
      </c>
      <c r="IH174" s="21"/>
      <c r="II174" s="19">
        <f t="shared" si="460"/>
        <v>1240</v>
      </c>
      <c r="IJ174" s="19">
        <f t="shared" si="461"/>
        <v>2009.7221397149679</v>
      </c>
      <c r="IK174" s="19">
        <f t="shared" si="462"/>
        <v>2070</v>
      </c>
      <c r="IL174" s="19">
        <f t="shared" si="463"/>
        <v>1030</v>
      </c>
      <c r="IM174" s="19">
        <f t="shared" si="464"/>
        <v>1772.2551447013675</v>
      </c>
      <c r="IN174" s="19">
        <f t="shared" si="465"/>
        <v>15</v>
      </c>
      <c r="IO174" s="39">
        <f t="shared" si="466"/>
        <v>0</v>
      </c>
      <c r="IP174" s="39">
        <f t="shared" si="467"/>
        <v>0</v>
      </c>
      <c r="IQ174" s="39">
        <f t="shared" si="468"/>
        <v>0</v>
      </c>
      <c r="IR174" s="39">
        <v>0</v>
      </c>
      <c r="IS174" s="39">
        <v>0</v>
      </c>
      <c r="IT174" s="39">
        <v>0</v>
      </c>
      <c r="IU174" s="39">
        <v>0</v>
      </c>
      <c r="IV174" s="39">
        <v>0</v>
      </c>
      <c r="IW174" s="39">
        <v>0</v>
      </c>
      <c r="IX174" s="39">
        <f>INDEX(Input!$1:$1048576,IX$93,$C174*2+6)+INDEX(Input!$1:$1048576,IX$94,$C174*2+6)</f>
        <v>1270</v>
      </c>
      <c r="IY174" s="39">
        <f>INDEX(Input!$1:$1048576,IY$93,$C174*2+6)+INDEX(Input!$1:$1048576,IY$94,$C174*2+6)</f>
        <v>2130.0624533823611</v>
      </c>
      <c r="IZ174" s="39">
        <f>INDEX(Input!$1:$1048576,IZ$93,$C174*2+6)+INDEX(Input!$1:$1048576,IZ$94,$C174*2+6)</f>
        <v>4373.7164157747848</v>
      </c>
      <c r="JA174" s="19">
        <f t="shared" si="469"/>
        <v>2300</v>
      </c>
      <c r="JB174" s="19">
        <f t="shared" si="470"/>
        <v>3902.3175980837286</v>
      </c>
      <c r="JC174" s="19">
        <f t="shared" si="471"/>
        <v>4388.7164157747848</v>
      </c>
      <c r="JD174" s="19">
        <f t="shared" si="472"/>
        <v>3527.2827876241095</v>
      </c>
      <c r="JE174" s="21"/>
      <c r="JF174" s="1">
        <f t="shared" si="473"/>
        <v>1.022782493188582E-2</v>
      </c>
      <c r="JG174" s="15">
        <f>INDEX(Input!$1:$1048576,JG$93,$C174*2+6)/(1+VLOOKUP(C174*1000+INDEX(Input!$1:$1048576,JG$93+1,$C174*2+6),$A:$KK,$JK$92,FALSE))</f>
        <v>446</v>
      </c>
      <c r="JH174" s="1">
        <f t="shared" si="474"/>
        <v>9.7470994003192618E-2</v>
      </c>
      <c r="JI174" s="1">
        <f t="shared" si="475"/>
        <v>5.2439268466223703E-2</v>
      </c>
      <c r="JJ174" s="1">
        <f t="shared" si="476"/>
        <v>0</v>
      </c>
      <c r="JK174" s="1">
        <f t="shared" si="477"/>
        <v>0.14991026246941633</v>
      </c>
      <c r="JL174" s="15">
        <f t="shared" si="478"/>
        <v>66.859977061359686</v>
      </c>
      <c r="JM174" s="15">
        <f t="shared" si="479"/>
        <v>512.8599770613597</v>
      </c>
      <c r="JN174" s="21"/>
      <c r="JO174" s="19">
        <f>INDEX(Input!$1:$1048576,JO$93,$C174*2+6)</f>
        <v>5995.5</v>
      </c>
      <c r="JP174" s="19">
        <f>INDEX(Input!$1:$1048576,JP$93,$C174*2+6)</f>
        <v>2818.4193802796353</v>
      </c>
      <c r="JQ174" s="39">
        <f t="shared" si="480"/>
        <v>2468.2172123758905</v>
      </c>
      <c r="JR174" s="39">
        <f t="shared" si="481"/>
        <v>708.86340734447413</v>
      </c>
      <c r="JS174" s="39">
        <f t="shared" si="482"/>
        <v>1.8090021695498297</v>
      </c>
      <c r="JT174" s="39">
        <f t="shared" si="483"/>
        <v>0.55198712594511246</v>
      </c>
      <c r="JU174" s="385">
        <f>(JQ174*JM174-INDEX(Input!$1:$1048576,Input!A$18,$C174*2+6)*JL174*INDEX(Input!$1:$1048576,Input!A$19,$C174*2+6))/1000000</f>
        <v>1.2658498229215525</v>
      </c>
      <c r="JV174" s="39">
        <f t="shared" si="484"/>
        <v>-0.15112813347373022</v>
      </c>
      <c r="JW174" s="1">
        <f t="shared" si="485"/>
        <v>-0.10665524667595552</v>
      </c>
      <c r="JX174" s="19">
        <f t="shared" si="486"/>
        <v>8255.8677134832851</v>
      </c>
      <c r="JZ174" s="341"/>
      <c r="KA174" s="342"/>
      <c r="KB174" s="469">
        <f t="shared" si="514"/>
        <v>2.9286733661474216</v>
      </c>
      <c r="KI174" s="473">
        <f t="shared" si="487"/>
        <v>54.435105233076101</v>
      </c>
      <c r="KJ174" s="473">
        <f t="shared" si="488"/>
        <v>45.172627824352389</v>
      </c>
      <c r="KK174" s="473">
        <f t="shared" si="489"/>
        <v>-32.747755996068804</v>
      </c>
      <c r="KN174" s="544">
        <f t="shared" si="490"/>
        <v>1002</v>
      </c>
      <c r="KO174" s="541">
        <f t="shared" si="491"/>
        <v>0.1451967528661795</v>
      </c>
      <c r="KP174" s="546">
        <f t="shared" si="492"/>
        <v>1007.4317148675324</v>
      </c>
      <c r="KQ174" s="546">
        <f t="shared" si="493"/>
        <v>687.96658760545779</v>
      </c>
      <c r="KR174" s="548">
        <f t="shared" si="494"/>
        <v>2.4711328586224766</v>
      </c>
      <c r="KS174" s="548">
        <f t="shared" si="495"/>
        <v>3.6186315706007108</v>
      </c>
      <c r="KT174" s="473">
        <f t="shared" si="515"/>
        <v>238.28695973331548</v>
      </c>
      <c r="KU174" s="663">
        <f t="shared" si="496"/>
        <v>6.5286949385363426</v>
      </c>
    </row>
    <row r="175" spans="1:308" s="26" customFormat="1" ht="15" outlineLevel="1">
      <c r="A175" s="561">
        <f t="shared" si="391"/>
        <v>1075</v>
      </c>
      <c r="B175" s="561">
        <f t="shared" si="513"/>
        <v>75</v>
      </c>
      <c r="C175" s="561">
        <f t="shared" si="105"/>
        <v>1</v>
      </c>
      <c r="D175" s="561" t="str">
        <f t="shared" si="294"/>
        <v xml:space="preserve">-500 OLP/CBP, </v>
      </c>
      <c r="E175" s="475">
        <f>INDEX(Input!$1:$1048576,E$93,$C175*2+MIN($B175,2)+5)
+INDEX(Scenarios!E$121:E$200,MATCH($B175,Scenarios!$B$121:$B$200,0))</f>
        <v>1229</v>
      </c>
      <c r="F175" s="475">
        <f>INDEX(Input!$1:$1048576,F$93,$C175*2+MIN($B175,2)+5)
+INDEX(Scenarios!F$121:F$200,MATCH($B175,Scenarios!$B$121:$B$200,0))</f>
        <v>0</v>
      </c>
      <c r="G175" s="475">
        <f>INDEX(Input!$1:$1048576,G$93,$C175*2+MIN($B175,2)+5)
+INDEX(Scenarios!G$121:G$200,MATCH($B175,Scenarios!$B$121:$B$200,0))</f>
        <v>0</v>
      </c>
      <c r="H175" s="475">
        <f>INDEX(Input!$1:$1048576,H$93,$C175*2+MIN($B175,2)+5)
+INDEX(Scenarios!H$121:H$200,MATCH($B175,Scenarios!$B$121:$B$200,0))</f>
        <v>0</v>
      </c>
      <c r="I175" s="476">
        <f>INDEX(Input!$1:$1048576,I$93,$C175*2+MIN($B175,2)+5)</f>
        <v>0.7</v>
      </c>
      <c r="J175" s="476" t="str">
        <f>INDEX(Input!$1:$1048576,J$93,$C175*2+MIN($B175,2)+5)</f>
        <v>Market</v>
      </c>
      <c r="K175" s="476" t="str">
        <f>INDEX(Input!$1:$1048576,K$93,$C175*2+MIN($B175,2)+5)</f>
        <v>Market</v>
      </c>
      <c r="L175" s="476" t="str">
        <f>INDEX(Input!$1:$1048576,L$93,$C175*2+MIN($B175,2)+5)</f>
        <v>Market</v>
      </c>
      <c r="M175" s="476" t="str">
        <f>INDEX(Input!$1:$1048576,M$93,$C175*2+MIN($B175,2)+5)</f>
        <v>Market</v>
      </c>
      <c r="N175" s="476" t="str">
        <f>INDEX(Input!$1:$1048576,N$93,$C175*2+MIN($B175,2)+5)</f>
        <v>Market</v>
      </c>
      <c r="O175" s="476" t="str">
        <f>INDEX(Input!$1:$1048576,O$93,$C175*2+MIN($B175,2)+5)</f>
        <v>Market</v>
      </c>
      <c r="P175" s="476" t="str">
        <f>INDEX(Input!$1:$1048576,P$93,$C175*2+MIN($B175,2)+5)</f>
        <v>N</v>
      </c>
      <c r="Q175" s="477">
        <f>INDEX(Input!$1:$1048576,Q$93,$C175*2+MIN($B175,2)+5)
+INDEX(Scenarios!Q$121:Q$200,MATCH($B175,Scenarios!$B$121:$B$200,0))</f>
        <v>0</v>
      </c>
      <c r="R175" s="478">
        <f>IFERROR(MAX(0,INDEX(Input!$1:$1048576,R$93,$C175*2+MIN($B175,2)+5)
+INDEX(Scenarios!R$121:R$200,MATCH($B175,Scenarios!$B$121:$B$200,0)),),"Market")</f>
        <v>0</v>
      </c>
      <c r="S175" s="478">
        <f>IFERROR(MAX(0,INDEX(Input!$1:$1048576,S$93,$C175*2+MIN($B175,2)+5)
+INDEX(Scenarios!S$121:S$200,MATCH($B175,Scenarios!$B$121:$B$200,0)),),"Market")</f>
        <v>0</v>
      </c>
      <c r="T175" s="478">
        <f>IFERROR(MAX(0,INDEX(Input!$1:$1048576,T$93,$C175*2+MIN($B175,2)+5)
+INDEX(Scenarios!T$121:T$200,MATCH($B175,Scenarios!$B$121:$B$200,0)),),"Market")</f>
        <v>0</v>
      </c>
      <c r="U175" s="478">
        <f>IFERROR(MAX(0,INDEX(Input!$1:$1048576,U$93,$C175*2+MIN($B175,2)+5)
+INDEX(Scenarios!U$121:U$200,MATCH($B175,Scenarios!$B$121:$B$200,0)),),"Market")</f>
        <v>0</v>
      </c>
      <c r="V175" s="478">
        <f>IFERROR(MAX(0,INDEX(Input!$1:$1048576,V$93,$C175*2+MIN($B175,2)+5)
+INDEX(Scenarios!V$121:V$200,MATCH($B175,Scenarios!$B$121:$B$200,0)),),"Market")</f>
        <v>1.9E-2</v>
      </c>
      <c r="W175" s="885">
        <f>IFERROR(MAX(0,INDEX(Input!$1:$1048576,W$93,$C175*2+MIN($B175,2)+5)-0%,),"Market")</f>
        <v>3.9E-2</v>
      </c>
      <c r="X175" s="476" t="str">
        <f>INDEX(Input!$1:$1048576,X$93,$C175*2+MIN($B175,2)+5)</f>
        <v>Y</v>
      </c>
      <c r="Y175" s="475">
        <f>INDEX(Input!$1:$1048576,Y$93,$C175*2+MIN($B175,2)+5)
++INDEX(Scenarios!Y$121:Y$200,MATCH($B175,Scenarios!$B$121:$B$200,0))</f>
        <v>1942</v>
      </c>
      <c r="Z175" s="477">
        <f>INDEX(Input!$1:$1048576,Z$93,$C175*2+MIN($B175,2)+5)
+INDEX(Scenarios!Z$121:Z$200,MATCH($B175,Scenarios!$B$121:$B$200,0))</f>
        <v>0</v>
      </c>
      <c r="AA175" s="475">
        <f>INDEX(Input!$1:$1048576,AA$93,$C175*2+MIN($B175,2)+5)
+INDEX(Scenarios!AA$121:AA$200,MATCH($B175,Scenarios!$B$121:$B$200,0))</f>
        <v>0</v>
      </c>
      <c r="AB175" s="476">
        <f>INDEX(Input!$1:$1048576,AB$93,$C175*2+MIN($B175,2)+5)</f>
        <v>0.27</v>
      </c>
      <c r="AC175" s="475">
        <f>INDEX(Input!$1:$1048576,AC$93,$C175*2+MIN($B175,2)+5)
+INDEX(Scenarios!AC$121:AC$200,MATCH($B175,Scenarios!$B$121:$B$200,0))</f>
        <v>0</v>
      </c>
      <c r="AD175" s="476">
        <f>INDEX(Input!$1:$1048576,AD$93,$C175*2+MIN($B175,2)+5)</f>
        <v>0.27</v>
      </c>
      <c r="AE175" s="475">
        <f>INDEX(Input!$1:$1048576,AE$93,$C175*2+MIN($B175,2)+5)
+INDEX(Scenarios!AE$121:AE$200,MATCH($B175,Scenarios!$B$121:$B$200,0))</f>
        <v>-500</v>
      </c>
      <c r="AF175" s="476">
        <f>INDEX(Input!$1:$1048576,AF$93,$C175*2+MIN($B175,2)+5)</f>
        <v>0.38</v>
      </c>
      <c r="AG175" s="475">
        <f>INDEX(Input!$1:$1048576,AG$93,$C175*2+MIN($B175,2)+5)
+INDEX(Scenarios!AG$121:AG$200,MATCH($B175,Scenarios!$B$121:$B$200,0))</f>
        <v>0</v>
      </c>
      <c r="AH175" s="476">
        <f>INDEX(Input!$1:$1048576,AH$93,$C175*2+MIN($B175,2)+5)</f>
        <v>0</v>
      </c>
      <c r="AI175" s="475">
        <f>INDEX(Input!$1:$1048576,AI$93,$C175*2+MIN($B175,2)+5)
+INDEX(Scenarios!AI$121:AI$200,MATCH($B175,Scenarios!$B$121:$B$200,0))</f>
        <v>0</v>
      </c>
      <c r="AJ175" s="476">
        <f>INDEX(Input!$1:$1048576,AJ$93,$C175*2+MIN($B175,2)+5)</f>
        <v>0.27</v>
      </c>
      <c r="AK175" s="150">
        <f>ROUND(INDEX(Input!$1:$1048576,AK$93,$C174*2+MIN($B175,1)+5)+(Y175-VLOOKUP($C175*1000+1,$A:$HH,Y$92,FALSE)),0)</f>
        <v>3757</v>
      </c>
      <c r="AL175" s="150">
        <f>ROUND(INDEX(Input!$1:$1048576,AL$93,$C174*2+MIN($B175,1)+5)-(Y175-VLOOKUP($C175*1000+1,$A:$HH,Y$92,FALSE))/36,0)</f>
        <v>4113</v>
      </c>
      <c r="AM175" s="32" t="str">
        <f t="shared" si="392"/>
        <v>std/std/std/std</v>
      </c>
      <c r="AN175" s="32" t="str">
        <f t="shared" si="393"/>
        <v>$0 + 0/0/0/1.9/3.9</v>
      </c>
      <c r="AO175" s="32" t="str">
        <f t="shared" si="394"/>
        <v>0/0/0/1.9/3.9</v>
      </c>
      <c r="AP175" s="32" t="str">
        <f t="shared" si="498"/>
        <v>0/0.9/1.9/3.9</v>
      </c>
      <c r="AQ175" s="536">
        <f t="shared" si="497"/>
        <v>-189.74743591825228</v>
      </c>
      <c r="AR175" s="32"/>
      <c r="AS175" s="302"/>
      <c r="AT175" s="3">
        <f t="shared" si="106"/>
        <v>75</v>
      </c>
      <c r="AU175" s="41" t="s">
        <v>121</v>
      </c>
      <c r="AV175" s="41" t="s">
        <v>116</v>
      </c>
      <c r="AW175" s="41" t="str">
        <f>INDEX(Input!$1:$1048576,AW$93,$C175*2+6)</f>
        <v>Kia</v>
      </c>
      <c r="AX175" s="41" t="str">
        <f>INDEX(Input!$1:$1048576,AX$93,$C175*2+6)</f>
        <v>Kia-LR - L1</v>
      </c>
      <c r="AY175" s="41" t="str">
        <f>IF(LEN(D175)=0,"",INDEX(Input!$1:$1048576,AY$93,$C175*2+6))</f>
        <v>Compact SUV (52)</v>
      </c>
      <c r="AZ175" s="41" t="str">
        <f>INDEX(Input!$1:$1048576,AZ$93,$C175*2+6)</f>
        <v>Kia Soul</v>
      </c>
      <c r="BA175" s="3">
        <f>INDEX(Input!$1:$1048576,BA$93,$C175*2+6)</f>
        <v>2020</v>
      </c>
      <c r="BB175" s="128">
        <f>INDEX(Input!$1:$1048576,BB$93,$C175*2+6)</f>
        <v>1</v>
      </c>
      <c r="BC175" s="128">
        <f>INDEX(Input!$1:$1048576,BC$93,$C175*2+6)</f>
        <v>0.7</v>
      </c>
      <c r="BD175" s="1">
        <f>INDEX(Input!$1:$1048576,BD$93,$C175*2+6)</f>
        <v>4.4999999999999998E-2</v>
      </c>
      <c r="BE175" s="1">
        <f>INDEX(Input!$1:$1048576,BE$93,$C175*2+6)</f>
        <v>4.4999999999999998E-2</v>
      </c>
      <c r="BF175" s="1">
        <f>INDEX(Input!$1:$1048576,BF$93,$C175*2+6)</f>
        <v>0.05</v>
      </c>
      <c r="BG175" s="1">
        <f>INDEX(Input!$1:$1048576,BG$93,$C175*2+6)</f>
        <v>5.45E-2</v>
      </c>
      <c r="BH175" s="1">
        <f>INDEX(Input!$1:$1048576,BH$93,$C175*2+6)</f>
        <v>5.45E-2</v>
      </c>
      <c r="BI175" s="1">
        <f>INDEX(Input!$1:$1048576,BI$93,$C175*2+6)</f>
        <v>0.05</v>
      </c>
      <c r="BJ175" s="1">
        <f>INDEX(Input!$1:$1048576,BJ$93,$C175*2+6)</f>
        <v>0.05</v>
      </c>
      <c r="BK175" s="1">
        <f>INDEX(Input!$1:$1048576,BK$93,$C175*2+6)</f>
        <v>0.05</v>
      </c>
      <c r="BL175" s="1">
        <f>INDEX(Input!$1:$1048576,BL$93,$C175*2+6)</f>
        <v>5.5E-2</v>
      </c>
      <c r="BM175" s="1">
        <f>INDEX(Input!$1:$1048576,BM$93,$C175*2+6)</f>
        <v>0.06</v>
      </c>
      <c r="BN175" s="1">
        <f>INDEX(Input!$1:$1048576,BN$93,$C175*2+6)</f>
        <v>4.4999999999999998E-2</v>
      </c>
      <c r="BO175" s="1">
        <f>INDEX(Input!$1:$1048576,BO$93,$C175*2+6)</f>
        <v>4.4999999999999998E-2</v>
      </c>
      <c r="BP175" s="1">
        <f>INDEX(Input!$1:$1048576,BP$93,$C175*2+6)</f>
        <v>0.05</v>
      </c>
      <c r="BQ175" s="1">
        <f>INDEX(Input!$1:$1048576,BQ$93,$C175*2+6)</f>
        <v>5.45E-2</v>
      </c>
      <c r="BR175" s="1">
        <f>INDEX(Input!$1:$1048576,BR$93,$C175*2+6)</f>
        <v>5.45E-2</v>
      </c>
      <c r="BS175" s="1">
        <f>INDEX(Input!$1:$1048576,BS$93,$C175*2+6)</f>
        <v>0.05</v>
      </c>
      <c r="BT175" s="1">
        <f>INDEX(Input!$1:$1048576,BT$93,$C175*2+6)</f>
        <v>0.05</v>
      </c>
      <c r="BU175" s="1">
        <f>INDEX(Input!$1:$1048576,BU$93,$C175*2+6)</f>
        <v>0.05</v>
      </c>
      <c r="BV175" s="1">
        <f>INDEX(Input!$1:$1048576,BV$93,$C175*2+6)</f>
        <v>5.5E-2</v>
      </c>
      <c r="BW175" s="1">
        <f>INDEX(Input!$1:$1048576,BW$93,$C175*2+6)</f>
        <v>0.06</v>
      </c>
      <c r="BX175" s="127">
        <f>INDEX(Input!$1:$1048576,BX$93,$C175*2+6)</f>
        <v>19985</v>
      </c>
      <c r="BY175" s="20">
        <f>INDEX(Input!$1:$1048576,BY$93,$C175*2+6)</f>
        <v>0.1</v>
      </c>
      <c r="BZ175" s="20">
        <f>INDEX(Input!$1:$1048576,BZ$93,$C175*2+6)</f>
        <v>0.1</v>
      </c>
      <c r="CA175" s="20">
        <f>INDEX(Input!$1:$1048576,CA$93,$C175*2+6)</f>
        <v>0.1</v>
      </c>
      <c r="CB175" s="20">
        <f>INDEX(Input!$1:$1048576,CB$93,$C175*2+6)</f>
        <v>0.1</v>
      </c>
      <c r="CC175" s="20">
        <f>INDEX(Input!$1:$1048576,CC$93,$C175*2+6)</f>
        <v>0.1</v>
      </c>
      <c r="CD175" s="384">
        <f>INDEX(Input!$1:$1048576,CD$93,$C175*2+6)</f>
        <v>0.1</v>
      </c>
      <c r="CE175" s="384">
        <f>INDEX(Input!$1:$1048576,CE$93,$C175*2+6)</f>
        <v>0.1</v>
      </c>
      <c r="CF175" s="384">
        <f>INDEX(Input!$1:$1048576,CF$93,$C175*2+6)</f>
        <v>0.1</v>
      </c>
      <c r="CG175" s="384">
        <f>INDEX(Input!$1:$1048576,CG$93,$C175*2+6)</f>
        <v>0.1</v>
      </c>
      <c r="CH175" s="384">
        <f>INDEX(Input!$1:$1048576,CH$93,$C175*2+6)</f>
        <v>0.1</v>
      </c>
      <c r="CI175" s="304">
        <f t="shared" si="499"/>
        <v>1229</v>
      </c>
      <c r="CJ175" s="16" t="str">
        <f>INDEX(Input!$1:$1048576,CJ$93,$C175*2+6)</f>
        <v>N</v>
      </c>
      <c r="CK175" s="1" t="str">
        <f t="shared" si="500"/>
        <v>Market</v>
      </c>
      <c r="CL175" s="1" t="str">
        <f t="shared" si="501"/>
        <v>Market</v>
      </c>
      <c r="CM175" s="1" t="str">
        <f t="shared" si="502"/>
        <v>Market</v>
      </c>
      <c r="CN175" s="1" t="str">
        <f t="shared" si="503"/>
        <v>Market</v>
      </c>
      <c r="CO175" s="1" t="str">
        <f t="shared" si="504"/>
        <v>Market</v>
      </c>
      <c r="CP175" s="304">
        <f t="shared" si="505"/>
        <v>0</v>
      </c>
      <c r="CQ175" s="1">
        <f t="shared" si="506"/>
        <v>0</v>
      </c>
      <c r="CR175" s="1">
        <f t="shared" si="507"/>
        <v>0</v>
      </c>
      <c r="CS175" s="1">
        <f t="shared" si="508"/>
        <v>0</v>
      </c>
      <c r="CT175" s="1">
        <f t="shared" si="509"/>
        <v>1.9E-2</v>
      </c>
      <c r="CU175" s="1">
        <f t="shared" si="510"/>
        <v>3.9E-2</v>
      </c>
      <c r="CV175" s="304">
        <f t="shared" si="511"/>
        <v>1942</v>
      </c>
      <c r="CW175" s="20" t="s">
        <v>122</v>
      </c>
      <c r="CX175" s="20" t="s">
        <v>122</v>
      </c>
      <c r="CY175" s="20" t="s">
        <v>122</v>
      </c>
      <c r="CZ175" s="20" t="s">
        <v>122</v>
      </c>
      <c r="DA175" s="20" t="s">
        <v>122</v>
      </c>
      <c r="DB175" s="503">
        <f t="shared" si="512"/>
        <v>-190</v>
      </c>
      <c r="DC175" s="127">
        <v>0</v>
      </c>
      <c r="DD175" s="127">
        <v>0</v>
      </c>
      <c r="DE175" s="127">
        <v>0</v>
      </c>
      <c r="DF175" s="127">
        <v>0</v>
      </c>
      <c r="DG175" s="127">
        <v>0</v>
      </c>
      <c r="DH175" s="127">
        <v>0</v>
      </c>
      <c r="DI175" s="127">
        <v>0</v>
      </c>
      <c r="DJ175" s="127">
        <v>0</v>
      </c>
      <c r="DK175" s="127">
        <v>0</v>
      </c>
      <c r="DL175" s="127">
        <v>0</v>
      </c>
      <c r="DM175" s="304">
        <f>INDEX(Input!$1:$1048576,DM$93,$C175*2+6)</f>
        <v>21036.84210526316</v>
      </c>
      <c r="DN175" s="20">
        <v>0</v>
      </c>
      <c r="DO175" s="20">
        <v>0</v>
      </c>
      <c r="DP175" s="20">
        <v>0</v>
      </c>
      <c r="DQ175" s="20">
        <v>0</v>
      </c>
      <c r="DR175" s="20">
        <v>0</v>
      </c>
      <c r="DS175" s="20">
        <f>INDEX(Input!$1:$1048576,DS$93,$C175*2+6)</f>
        <v>0.6</v>
      </c>
      <c r="DT175" s="20">
        <f>INDEX(Input!$1:$1048576,DT$93,$C175*2+6)</f>
        <v>0.55000000000000004</v>
      </c>
      <c r="DU175" s="20">
        <f>INDEX(Input!$1:$1048576,DU$93,$C175*2+6)</f>
        <v>0.52</v>
      </c>
      <c r="DV175" s="20">
        <f>INDEX(Input!$1:$1048576,DV$93,$C175*2+6)</f>
        <v>0.5</v>
      </c>
      <c r="DW175" s="20">
        <f>INDEX(Input!$1:$1048576,DW$93,$C175*2+6)</f>
        <v>0.45</v>
      </c>
      <c r="DX175" s="20"/>
      <c r="DY175" s="7">
        <v>9.6157411622312144E-2</v>
      </c>
      <c r="DZ175" s="7">
        <v>0</v>
      </c>
      <c r="EA175" s="7">
        <v>0.47014979497058984</v>
      </c>
      <c r="EB175" s="7">
        <v>0</v>
      </c>
      <c r="EC175" s="7">
        <v>0</v>
      </c>
      <c r="ED175" s="7">
        <v>0</v>
      </c>
      <c r="EE175" s="7">
        <v>0</v>
      </c>
      <c r="EF175" s="7">
        <v>0</v>
      </c>
      <c r="EG175" s="7">
        <v>0</v>
      </c>
      <c r="EH175" s="7">
        <v>1.8402200445098649E-2</v>
      </c>
      <c r="EI175" s="7">
        <v>5.3739557110571885E-2</v>
      </c>
      <c r="EJ175" s="7">
        <v>0.3394668490413198</v>
      </c>
      <c r="EK175" s="7">
        <v>0.48247712639938084</v>
      </c>
      <c r="EL175" s="7">
        <v>0.10591426700362866</v>
      </c>
      <c r="EM175" s="7">
        <v>4.9476472557438145E-2</v>
      </c>
      <c r="EN175" s="7">
        <v>5.004497360539821E-2</v>
      </c>
      <c r="EO175" s="7">
        <v>0.7617962635750487</v>
      </c>
      <c r="EP175" s="7">
        <v>8.2259938494638848E-2</v>
      </c>
      <c r="EQ175" s="7">
        <v>6.2782802594243819E-2</v>
      </c>
      <c r="ER175" s="7">
        <v>4.3116021730670216E-2</v>
      </c>
      <c r="ES175" s="7">
        <v>0.3842163208496599</v>
      </c>
      <c r="ET175" s="7">
        <v>0.43369279340709799</v>
      </c>
      <c r="EU175" s="6">
        <v>1080</v>
      </c>
      <c r="EV175" s="6">
        <v>0</v>
      </c>
      <c r="EW175" s="6">
        <v>1080</v>
      </c>
      <c r="EX175" s="6">
        <v>0</v>
      </c>
      <c r="EY175" s="6">
        <v>1849.7221397149676</v>
      </c>
      <c r="EZ175" s="6">
        <v>1895</v>
      </c>
      <c r="FA175" s="6">
        <v>0</v>
      </c>
      <c r="FB175" s="6">
        <v>0</v>
      </c>
      <c r="FC175" s="6">
        <v>0</v>
      </c>
      <c r="FD175" s="6">
        <v>0</v>
      </c>
      <c r="FE175" s="6">
        <v>0</v>
      </c>
      <c r="FF175" s="6">
        <v>0</v>
      </c>
      <c r="FG175" s="6">
        <v>0</v>
      </c>
      <c r="FH175" s="6">
        <v>1171.2811379695618</v>
      </c>
      <c r="FI175" s="6">
        <v>1553.9796069512397</v>
      </c>
      <c r="FJ175" s="6">
        <v>2101.2110117447405</v>
      </c>
      <c r="FK175" s="6">
        <v>1772.7139978623231</v>
      </c>
      <c r="FL175" s="6">
        <v>907.07682140966335</v>
      </c>
      <c r="FM175" s="6">
        <v>1769.7221397149676</v>
      </c>
      <c r="FN175" s="6">
        <v>0</v>
      </c>
      <c r="FO175" s="6">
        <v>0</v>
      </c>
      <c r="FP175" s="6">
        <v>0</v>
      </c>
      <c r="FQ175" s="6">
        <v>0</v>
      </c>
      <c r="FR175" s="6">
        <v>0</v>
      </c>
      <c r="FS175" s="6">
        <v>0</v>
      </c>
      <c r="FT175" s="7">
        <v>0.56630720659290201</v>
      </c>
      <c r="FU175" s="7">
        <v>4.9476472557438145E-2</v>
      </c>
      <c r="FV175" s="7">
        <v>0.3842163208496599</v>
      </c>
      <c r="FW175" s="6">
        <v>1080</v>
      </c>
      <c r="FX175" s="6">
        <v>1849.7221397149679</v>
      </c>
      <c r="FY175" s="6">
        <v>1895</v>
      </c>
      <c r="FZ175" s="6">
        <v>1952.7147957719815</v>
      </c>
      <c r="GA175" s="6">
        <v>1431.2194378149329</v>
      </c>
      <c r="GB175" s="6">
        <v>18553.780562185068</v>
      </c>
      <c r="GC175" s="7">
        <v>1.0519917368675835E-2</v>
      </c>
      <c r="GD175" s="7">
        <v>9.9949123726254269E-3</v>
      </c>
      <c r="GE175" s="7"/>
      <c r="GF175" s="7"/>
      <c r="GG175" s="7">
        <v>-4.9905809870110361E-2</v>
      </c>
      <c r="GH175" s="42">
        <v>1.9125148384087838</v>
      </c>
      <c r="GI175" s="6">
        <v>11880.811565752392</v>
      </c>
      <c r="GJ175" s="14">
        <v>0.50394797582841722</v>
      </c>
      <c r="GK175" s="14">
        <v>0.50887573065309744</v>
      </c>
      <c r="GL175" s="14">
        <v>0.49605202417158273</v>
      </c>
      <c r="GM175" s="14">
        <v>0.4911242693469024</v>
      </c>
      <c r="GO175" s="5">
        <v>343.14810671672558</v>
      </c>
      <c r="GP175" s="5">
        <v>322.54376705897874</v>
      </c>
      <c r="GQ175" s="5">
        <v>535.04305713031317</v>
      </c>
      <c r="GR175" s="5">
        <v>410.15490233172511</v>
      </c>
      <c r="GS175" s="5">
        <v>339.42744393800166</v>
      </c>
      <c r="GT175" s="5">
        <v>293.4407446948278</v>
      </c>
      <c r="GU175" s="5">
        <v>258.04012322764959</v>
      </c>
      <c r="GV175" s="39" t="s">
        <v>392</v>
      </c>
      <c r="GW175" s="5">
        <v>497.40277777777777</v>
      </c>
      <c r="GX175" s="5">
        <v>373.05208333333331</v>
      </c>
      <c r="GY175" s="5">
        <v>298.44166666666666</v>
      </c>
      <c r="GZ175" s="5">
        <v>263.34327715454901</v>
      </c>
      <c r="HA175" s="5">
        <v>243.93708109446032</v>
      </c>
      <c r="HB175" s="39">
        <v>283.40553631934523</v>
      </c>
      <c r="HC175" s="5">
        <v>204.37812499999998</v>
      </c>
      <c r="HD175" s="5">
        <v>183.21858552631574</v>
      </c>
      <c r="HE175" s="5">
        <v>188.42520664642373</v>
      </c>
      <c r="HF175" s="5">
        <v>177.08688048245614</v>
      </c>
      <c r="HG175" s="5">
        <v>174.31054824561403</v>
      </c>
      <c r="HH175" s="39">
        <v>183.93676569757645</v>
      </c>
      <c r="HI175" s="16"/>
      <c r="HJ175" s="19" t="str">
        <f t="shared" si="390"/>
        <v>On</v>
      </c>
      <c r="HK175" s="1" t="str">
        <f t="shared" si="390"/>
        <v>On</v>
      </c>
      <c r="HL175" s="16"/>
      <c r="HM175" s="639">
        <f t="shared" ref="HM175" si="516">VLOOKUP($C175*1000+1,$A:$HH,FT$92,FALSE)*$JF175</f>
        <v>5.7455619280273196E-3</v>
      </c>
      <c r="HN175" s="639">
        <f t="shared" ref="HN175" si="517">VLOOKUP($C175*1000+1,$A:$HH,FU$92,FALSE)*$JF175</f>
        <v>5.0031960498701745E-4</v>
      </c>
      <c r="HO175" s="639">
        <f t="shared" ref="HO175" si="518">VLOOKUP($C175*1000+1,$A:$HH,FV$92,FALSE)*$JF175</f>
        <v>3.9819433988714835E-3</v>
      </c>
      <c r="HP175" s="644">
        <f>(FT175*$GD175-HM175)/$JF175*INDEX(Input!$1:$1048576,$JG$93,$C175*2+6)</f>
        <v>-3.7227344161864107</v>
      </c>
      <c r="HQ175" s="644">
        <f>(FU175*$GD175-HN175)/$JF175*INDEX(Input!$1:$1048576,$JG$93,$C175*2+6)</f>
        <v>-0.25320558370318985</v>
      </c>
      <c r="HR175" s="644">
        <f>(FV175*$GD175-HO175)/$JF175*INDEX(Input!$1:$1048576,$JG$93,$C175*2+6)</f>
        <v>-6.1805695338516902</v>
      </c>
      <c r="HS175" s="644">
        <f t="shared" ref="HS175" si="519">IF(AND(HJ175="On",HK175="On"),IL175/1000*INDEX(KG:KG,MATCH(C175*1000+3,$KF:$KF,0))*SUM(HY175:IA175)*1.1
+INDEX(HR:HR,MATCH(C175*1000+4,$KF:$KF,0))/INDEX(IM:IM,MATCH(C175*1000+4,$KF:$KF,0))*IM175*20%,0)</f>
        <v>2.9930028165239588</v>
      </c>
      <c r="HT175" s="644">
        <f t="shared" ref="HT175" si="520">IF(AND(HJ175="On",HK175="On"),IM175/1000*INDEX(KG:KG,MATCH(C175*1000+4,$KF:$KF,0))*SUM(HY175:IA175)*1.1
+INDEX(HR:HR,MATCH(C175*1000+3,$KF:$KF,0))/INDEX(IL:IL,MATCH(C175*1000+3,$KF:$KF,0))*IL175*20%,0)</f>
        <v>-2.4863667292010718</v>
      </c>
      <c r="HU175" s="644">
        <f t="shared" ref="HU175" si="521">IF(HJ175="On",IN175/1000*INDEX(KG:KG,MATCH(C175*1000+5,$KF:$KF,0))*SUM(HY175:IA175)*1.1
-INDEX(HR:HR,MATCH(C175*1000+3,$KF:$KF,0))/INDEX(IL:IL,MATCH(C175*1000+3,$KF:$KF,0))*IL175*20%
-INDEX(HR:HR,MATCH(C175*1000+4,$KF:$KF,0))/INDEX(IM:IM,MATCH(C175*1000+4,$KF:$KF,0))*IM175*20%,0)</f>
        <v>-3.7063885992698831</v>
      </c>
      <c r="HV175" s="648">
        <f t="shared" ref="HV175" si="522">IL175/1000*0+IM175/1000*0+IN175/1000*0
+(CP175-INDEX(CP:CP,MATCH(C175*1000+1,A:A,0)))/1000*0+IF(FU175&gt;0,0,0)</f>
        <v>0</v>
      </c>
      <c r="HW175" s="648">
        <f t="shared" ref="HW175" si="523">IL175/1000*0+IM175/1000*0+IN175/1000*0
+(CP175-INDEX(CP:CP,MATCH(C175*1000+1,A:A,0)))/1000*0+IF(FU175&gt;0,0,0)</f>
        <v>0</v>
      </c>
      <c r="HX175" s="648">
        <f t="shared" ref="HX175" si="524">IL175/1000*0+IM175/1000*0+IN175/1000*0
+(CP175-INDEX(CP:CP,MATCH(C175*1000+1,A:A,0)))/1000*0+IF(FU175&gt;0,0,0)</f>
        <v>0</v>
      </c>
      <c r="HY175" s="644">
        <f>INDEX(Input!$1:$1048576,HY$93,$C175*2+6)*INDEX(Input!$1:$1048576,$JG$93,$C175*2+6)</f>
        <v>110.00000000000001</v>
      </c>
      <c r="HZ175" s="644">
        <f>INDEX(Input!$1:$1048576,HZ$93,$C175*2+6)*INDEX(Input!$1:$1048576,$JG$93,$C175*2+6)</f>
        <v>157</v>
      </c>
      <c r="IA175" s="644">
        <f>INDEX(Input!$1:$1048576,IA$93,$C175*2+6)*INDEX(Input!$1:$1048576,$JG$93,$C175*2+6)</f>
        <v>179</v>
      </c>
      <c r="IB175" s="644">
        <f t="shared" ref="IB175" si="525">SUM(HP175:IA175)-IC175-ID175</f>
        <v>109.27026840033759</v>
      </c>
      <c r="IC175" s="644">
        <f t="shared" ref="IC175" si="526">MAX(HZ175+HQ175+HT175+HW175,0%)</f>
        <v>154.26042768709573</v>
      </c>
      <c r="ID175" s="644">
        <f>IF(AND(INDEX(Input!$1:$1048576,IA$93,$C175*2+7)="TOS",Y175&lt;=INDEX(Y:Y,MATCH(C175*1000+2,A:A))),0,1)*MAX(IA175+HR175+HU175+HX175,0%)</f>
        <v>169.11304186687843</v>
      </c>
      <c r="IE175" s="128">
        <f t="shared" ref="IE175" si="527">IB175/SUM($IB175:$ID175)</f>
        <v>0.25256408174773304</v>
      </c>
      <c r="IF175" s="128">
        <f t="shared" ref="IF175" si="528">IC175/SUM($IB175:$ID175)</f>
        <v>0.35655301152974511</v>
      </c>
      <c r="IG175" s="128">
        <f t="shared" ref="IG175" si="529">ID175/SUM($IB175:$ID175)</f>
        <v>0.39088290672252185</v>
      </c>
      <c r="IH175" s="21"/>
      <c r="II175" s="19">
        <f t="shared" ref="II175" si="530">VLOOKUP($C175*1000+1,$A:$HH,FW$92,FALSE)-VLOOKUP($C175*1000+1,$A:$HH,FA$92,FALSE)*VLOOKUP($C175*1000+1,$A:$HH,DZ$92,FALSE)/VLOOKUP($C175*1000+1,$A:$HH,FT$92,FALSE)</f>
        <v>1240</v>
      </c>
      <c r="IJ175" s="19">
        <f t="shared" ref="IJ175" si="531">VLOOKUP($C175*1000+1,$A:$HH,FX$92,FALSE)</f>
        <v>2009.7221397149679</v>
      </c>
      <c r="IK175" s="19">
        <f t="shared" ref="IK175" si="532">VLOOKUP($C175*1000+1,$A:$HH,FY$92,FALSE)</f>
        <v>2070</v>
      </c>
      <c r="IL175" s="19">
        <f t="shared" ref="IL175" si="533">(FW175-FA175*DZ175/FT175)-II175</f>
        <v>-160</v>
      </c>
      <c r="IM175" s="19">
        <f t="shared" ref="IM175" si="534">FX175-IJ175</f>
        <v>-160</v>
      </c>
      <c r="IN175" s="19">
        <f t="shared" ref="IN175" si="535">FY175-IK175</f>
        <v>-175</v>
      </c>
      <c r="IO175" s="39">
        <f t="shared" ref="IO175" si="536">(F175-VLOOKUP($C175*1000+1,$A:$HH,F$92,FALSE))*(1-$I175)</f>
        <v>0</v>
      </c>
      <c r="IP175" s="39">
        <f t="shared" ref="IP175" si="537">(G175-VLOOKUP($C175*1000+1,$A:$HH,G$92,FALSE))*(1-$I175)</f>
        <v>0</v>
      </c>
      <c r="IQ175" s="39">
        <f t="shared" ref="IQ175" si="538">(H175-VLOOKUP($C175*1000+1,$A:$HH,H$92,FALSE))*(1-$I175)</f>
        <v>0</v>
      </c>
      <c r="IR175" s="39">
        <v>0</v>
      </c>
      <c r="IS175" s="39">
        <v>0</v>
      </c>
      <c r="IT175" s="39">
        <v>0</v>
      </c>
      <c r="IU175" s="39">
        <v>0</v>
      </c>
      <c r="IV175" s="39">
        <v>0</v>
      </c>
      <c r="IW175" s="39">
        <v>0</v>
      </c>
      <c r="IX175" s="39">
        <f>INDEX(Input!$1:$1048576,IX$93,$C175*2+6)+INDEX(Input!$1:$1048576,IX$94,$C175*2+6)</f>
        <v>1270</v>
      </c>
      <c r="IY175" s="39">
        <f>INDEX(Input!$1:$1048576,IY$93,$C175*2+6)+INDEX(Input!$1:$1048576,IY$94,$C175*2+6)</f>
        <v>2130.0624533823611</v>
      </c>
      <c r="IZ175" s="39">
        <f>INDEX(Input!$1:$1048576,IZ$93,$C175*2+6)+INDEX(Input!$1:$1048576,IZ$94,$C175*2+6)</f>
        <v>4373.7164157747848</v>
      </c>
      <c r="JA175" s="19">
        <f t="shared" ref="JA175" si="539">(IL175+IO175+IR175+IU175+IX175)</f>
        <v>1110</v>
      </c>
      <c r="JB175" s="19">
        <f t="shared" ref="JB175" si="540">(IM175+IP175+IS175+IV175+IY175)</f>
        <v>1970.0624533823611</v>
      </c>
      <c r="JC175" s="19">
        <f t="shared" ref="JC175" si="541">(IN175+IQ175+IT175+IW175+IZ175)</f>
        <v>4198.7164157747848</v>
      </c>
      <c r="JD175" s="19">
        <f t="shared" ref="JD175" si="542">SUMPRODUCT(IE175:IG175,JA175:JC175)</f>
        <v>2623.9843084967588</v>
      </c>
      <c r="JE175" s="21"/>
      <c r="JF175" s="1">
        <f t="shared" ref="JF175" si="543">VLOOKUP($C175*1000+1,$A:$HH,GD$92,FALSE)</f>
        <v>1.022782493188582E-2</v>
      </c>
      <c r="JG175" s="15">
        <f>INDEX(Input!$1:$1048576,JG$93,$C175*2+6)/(1+VLOOKUP(C175*1000+INDEX(Input!$1:$1048576,JG$93+1,$C175*2+6),$A:$KK,$JK$92,FALSE))</f>
        <v>446</v>
      </c>
      <c r="JH175" s="1">
        <f t="shared" ref="JH175" si="544">SUM(HP175:HR175)/SUM(HY175:IA175)</f>
        <v>-2.2772442900765227E-2</v>
      </c>
      <c r="JI175" s="1">
        <f t="shared" ref="JI175" si="545">SUM(HS175:HU175)/SUM(HY175:IA175)</f>
        <v>-7.1743329864282423E-3</v>
      </c>
      <c r="JJ175" s="1">
        <f t="shared" ref="JJ175" si="546">SUM(HV175:HX175)/SUM(HY175:IA175)</f>
        <v>0</v>
      </c>
      <c r="JK175" s="1">
        <f t="shared" ref="JK175" si="547">SUM(JH175:JJ175)</f>
        <v>-2.994677588719347E-2</v>
      </c>
      <c r="JL175" s="15">
        <f t="shared" ref="JL175" si="548">JG175*JK175</f>
        <v>-13.356262045688288</v>
      </c>
      <c r="JM175" s="15">
        <f t="shared" ref="JM175" si="549">JG175+JL175</f>
        <v>432.64373795431169</v>
      </c>
      <c r="JN175" s="21"/>
      <c r="JO175" s="19">
        <f>INDEX(Input!$1:$1048576,JO$93,$C175*2+6)</f>
        <v>5995.5</v>
      </c>
      <c r="JP175" s="19">
        <f>INDEX(Input!$1:$1048576,JP$93,$C175*2+6)</f>
        <v>2818.4193802796353</v>
      </c>
      <c r="JQ175" s="39">
        <f t="shared" ref="JQ175" si="550">JO175-JD175</f>
        <v>3371.5156915032412</v>
      </c>
      <c r="JR175" s="39">
        <f t="shared" ref="JR175" si="551">JD175-JP175</f>
        <v>-194.43507178287655</v>
      </c>
      <c r="JS175" s="39">
        <f t="shared" ref="JS175" si="552">JM175*JD175/1000000</f>
        <v>1.1352503795614974</v>
      </c>
      <c r="JT175" s="39">
        <f t="shared" ref="JT175" si="553">(JD175*JM175-JP175*JG175)/1000000</f>
        <v>-0.12176466404321999</v>
      </c>
      <c r="JU175" s="385">
        <f>(JQ175*JM175-INDEX(Input!$1:$1048576,Input!A$18,$C175*2+6)*JL175*INDEX(Input!$1:$1048576,Input!A$19,$C175*2+6))/1000000</f>
        <v>1.4586651513435782</v>
      </c>
      <c r="JV175" s="39">
        <f t="shared" ref="JV175" si="554">JU175-(JO175-JP175)*JG175/1000000</f>
        <v>4.1687194948295536E-2</v>
      </c>
      <c r="JW175" s="1">
        <f t="shared" ref="JW175" si="555">JV175/(JU175-JV175)</f>
        <v>2.9419790731498439E-2</v>
      </c>
      <c r="JX175" s="19">
        <f t="shared" ref="JX175" si="556">IF(JL175=0,0,JT175/JL175)*1000000</f>
        <v>9116.6722865046249</v>
      </c>
      <c r="JZ175" s="341"/>
      <c r="KA175" s="342"/>
      <c r="KB175" s="469">
        <f t="shared" si="514"/>
        <v>2.9286733661474216</v>
      </c>
      <c r="KI175" s="473">
        <f t="shared" ref="KI175" si="557">$JM175*IE175-$JG175*HY175/SUM($HY175:$IA175)</f>
        <v>-0.72973159966244339</v>
      </c>
      <c r="KJ175" s="473">
        <f t="shared" ref="KJ175" si="558">$JM175*IF175-$JG175*HZ175/SUM($HY175:$IA175)</f>
        <v>-2.7395723129042722</v>
      </c>
      <c r="KK175" s="473">
        <f t="shared" ref="KK175" si="559">$JM175*IG175-$JG175*IA175/SUM($HY175:$IA175)</f>
        <v>-9.8869581331215954</v>
      </c>
      <c r="KN175" s="544">
        <f t="shared" ref="KN175" si="560">KM175+(KN174-KM174)</f>
        <v>1002</v>
      </c>
      <c r="KO175" s="541">
        <f t="shared" ref="KO175" si="561">JM175/INDEX(JM:JM,MATCH(KN175,A:A,0))-1</f>
        <v>-3.3923047198736955E-2</v>
      </c>
      <c r="KP175" s="546">
        <f t="shared" ref="KP175" si="562">(IL175-INDEX(IL:IL,MATCH(KN175,A:A,0)))*IE175
+(IM175-IF(HN175=0,INDEX(IX:IX,MATCH(KN175,A:A,0)),INDEX(IM:IM,MATCH(KN175,A:A,0))))*IF175
+(IN175-INDEX(IN:IN,MATCH(KN175,A:A,0)))*IG175</f>
        <v>-189.99999999999997</v>
      </c>
      <c r="KQ175" s="546">
        <f t="shared" ref="KQ175" si="563">JD175-INDEX(JD:JD,MATCH(KN175,A:A,0))</f>
        <v>-215.33189152189289</v>
      </c>
      <c r="KR175" s="548">
        <f t="shared" ref="KR175" si="564">KO175/(KP175/(BX175-INDEX(JD:JD,MATCH(KN175,A:A,0))))</f>
        <v>3.0612307410599313</v>
      </c>
      <c r="KS175" s="548">
        <f t="shared" ref="KS175" si="565">KO175/(KQ175/(BX175-INDEX(JD:JD,MATCH(KN175,A:A,0))))</f>
        <v>2.7011040338270185</v>
      </c>
      <c r="KT175" s="473">
        <f t="shared" si="515"/>
        <v>238.28695973331548</v>
      </c>
      <c r="KU175" s="663">
        <f t="shared" ref="KU175" si="566">IF(D175="",0,IFERROR((JM175/KT175-1)/(JD175/BX175)+B175*10^-6,0))</f>
        <v>6.2122307262966583</v>
      </c>
    </row>
    <row r="176" spans="1:308" s="26" customFormat="1" ht="15" outlineLevel="1">
      <c r="A176" s="561">
        <f t="shared" si="391"/>
        <v>1076</v>
      </c>
      <c r="B176" s="561">
        <f t="shared" si="513"/>
        <v>76</v>
      </c>
      <c r="C176" s="561">
        <f t="shared" si="105"/>
        <v>1</v>
      </c>
      <c r="D176" s="561" t="str">
        <f t="shared" si="294"/>
        <v xml:space="preserve">-1000 Event (RBC), -500 Event (L), </v>
      </c>
      <c r="E176" s="475">
        <f>INDEX(Input!$1:$1048576,E$93,$C176*2+MIN($B176,2)+5)
+INDEX(Scenarios!E$121:E$200,MATCH($B176,Scenarios!$B$121:$B$200,0))</f>
        <v>1229</v>
      </c>
      <c r="F176" s="475">
        <f>INDEX(Input!$1:$1048576,F$93,$C176*2+MIN($B176,2)+5)
+INDEX(Scenarios!F$121:F$200,MATCH($B176,Scenarios!$B$121:$B$200,0))</f>
        <v>0</v>
      </c>
      <c r="G176" s="475">
        <f>INDEX(Input!$1:$1048576,G$93,$C176*2+MIN($B176,2)+5)
+INDEX(Scenarios!G$121:G$200,MATCH($B176,Scenarios!$B$121:$B$200,0))</f>
        <v>0</v>
      </c>
      <c r="H176" s="475">
        <f>INDEX(Input!$1:$1048576,H$93,$C176*2+MIN($B176,2)+5)
+INDEX(Scenarios!H$121:H$200,MATCH($B176,Scenarios!$B$121:$B$200,0))</f>
        <v>0</v>
      </c>
      <c r="I176" s="476">
        <f>INDEX(Input!$1:$1048576,I$93,$C176*2+MIN($B176,2)+5)</f>
        <v>0.7</v>
      </c>
      <c r="J176" s="476" t="str">
        <f>INDEX(Input!$1:$1048576,J$93,$C176*2+MIN($B176,2)+5)</f>
        <v>Market</v>
      </c>
      <c r="K176" s="476" t="str">
        <f>INDEX(Input!$1:$1048576,K$93,$C176*2+MIN($B176,2)+5)</f>
        <v>Market</v>
      </c>
      <c r="L176" s="476" t="str">
        <f>INDEX(Input!$1:$1048576,L$93,$C176*2+MIN($B176,2)+5)</f>
        <v>Market</v>
      </c>
      <c r="M176" s="476" t="str">
        <f>INDEX(Input!$1:$1048576,M$93,$C176*2+MIN($B176,2)+5)</f>
        <v>Market</v>
      </c>
      <c r="N176" s="476" t="str">
        <f>INDEX(Input!$1:$1048576,N$93,$C176*2+MIN($B176,2)+5)</f>
        <v>Market</v>
      </c>
      <c r="O176" s="476" t="str">
        <f>INDEX(Input!$1:$1048576,O$93,$C176*2+MIN($B176,2)+5)</f>
        <v>Market</v>
      </c>
      <c r="P176" s="476" t="str">
        <f>INDEX(Input!$1:$1048576,P$93,$C176*2+MIN($B176,2)+5)</f>
        <v>N</v>
      </c>
      <c r="Q176" s="477">
        <f>INDEX(Input!$1:$1048576,Q$93,$C176*2+MIN($B176,2)+5)
+INDEX(Scenarios!Q$121:Q$200,MATCH($B176,Scenarios!$B$121:$B$200,0))</f>
        <v>0</v>
      </c>
      <c r="R176" s="478">
        <f>IFERROR(MAX(0,INDEX(Input!$1:$1048576,R$93,$C176*2+MIN($B176,2)+5)
+INDEX(Scenarios!R$121:R$200,MATCH($B176,Scenarios!$B$121:$B$200,0)),),"Market")</f>
        <v>0</v>
      </c>
      <c r="S176" s="478">
        <f>IFERROR(MAX(0,INDEX(Input!$1:$1048576,S$93,$C176*2+MIN($B176,2)+5)
+INDEX(Scenarios!S$121:S$200,MATCH($B176,Scenarios!$B$121:$B$200,0)),),"Market")</f>
        <v>0</v>
      </c>
      <c r="T176" s="478">
        <f>IFERROR(MAX(0,INDEX(Input!$1:$1048576,T$93,$C176*2+MIN($B176,2)+5)
+INDEX(Scenarios!T$121:T$200,MATCH($B176,Scenarios!$B$121:$B$200,0)),),"Market")</f>
        <v>0</v>
      </c>
      <c r="U176" s="478">
        <f>IFERROR(MAX(0,INDEX(Input!$1:$1048576,U$93,$C176*2+MIN($B176,2)+5)
+INDEX(Scenarios!U$121:U$200,MATCH($B176,Scenarios!$B$121:$B$200,0)),),"Market")</f>
        <v>0</v>
      </c>
      <c r="V176" s="478">
        <f>IFERROR(MAX(0,INDEX(Input!$1:$1048576,V$93,$C176*2+MIN($B176,2)+5)
+INDEX(Scenarios!V$121:V$200,MATCH($B176,Scenarios!$B$121:$B$200,0)),),"Market")</f>
        <v>1.9E-2</v>
      </c>
      <c r="W176" s="885">
        <f>IFERROR(MAX(0,INDEX(Input!$1:$1048576,W$93,$C176*2+MIN($B176,2)+5)-0%,),"Market")</f>
        <v>3.9E-2</v>
      </c>
      <c r="X176" s="476" t="str">
        <f>INDEX(Input!$1:$1048576,X$93,$C176*2+MIN($B176,2)+5)</f>
        <v>Y</v>
      </c>
      <c r="Y176" s="475">
        <f>INDEX(Input!$1:$1048576,Y$93,$C176*2+MIN($B176,2)+5)
++INDEX(Scenarios!Y$121:Y$200,MATCH($B176,Scenarios!$B$121:$B$200,0))</f>
        <v>1942</v>
      </c>
      <c r="Z176" s="477">
        <f>INDEX(Input!$1:$1048576,Z$93,$C176*2+MIN($B176,2)+5)
+INDEX(Scenarios!Z$121:Z$200,MATCH($B176,Scenarios!$B$121:$B$200,0))</f>
        <v>0</v>
      </c>
      <c r="AA176" s="475">
        <f>INDEX(Input!$1:$1048576,AA$93,$C176*2+MIN($B176,2)+5)
+INDEX(Scenarios!AA$121:AA$200,MATCH($B176,Scenarios!$B$121:$B$200,0))</f>
        <v>-1000</v>
      </c>
      <c r="AB176" s="476">
        <f>INDEX(Input!$1:$1048576,AB$93,$C176*2+MIN($B176,2)+5)</f>
        <v>0.27</v>
      </c>
      <c r="AC176" s="475">
        <f>INDEX(Input!$1:$1048576,AC$93,$C176*2+MIN($B176,2)+5)
+INDEX(Scenarios!AC$121:AC$200,MATCH($B176,Scenarios!$B$121:$B$200,0))</f>
        <v>-500</v>
      </c>
      <c r="AD176" s="476">
        <f>INDEX(Input!$1:$1048576,AD$93,$C176*2+MIN($B176,2)+5)</f>
        <v>0.27</v>
      </c>
      <c r="AE176" s="475">
        <f>INDEX(Input!$1:$1048576,AE$93,$C176*2+MIN($B176,2)+5)
+INDEX(Scenarios!AE$121:AE$200,MATCH($B176,Scenarios!$B$121:$B$200,0))</f>
        <v>0</v>
      </c>
      <c r="AF176" s="476">
        <f>INDEX(Input!$1:$1048576,AF$93,$C176*2+MIN($B176,2)+5)</f>
        <v>0.38</v>
      </c>
      <c r="AG176" s="475">
        <f>INDEX(Input!$1:$1048576,AG$93,$C176*2+MIN($B176,2)+5)
+INDEX(Scenarios!AG$121:AG$200,MATCH($B176,Scenarios!$B$121:$B$200,0))</f>
        <v>0</v>
      </c>
      <c r="AH176" s="476">
        <f>INDEX(Input!$1:$1048576,AH$93,$C176*2+MIN($B176,2)+5)</f>
        <v>0</v>
      </c>
      <c r="AI176" s="475">
        <f>INDEX(Input!$1:$1048576,AI$93,$C176*2+MIN($B176,2)+5)
+INDEX(Scenarios!AI$121:AI$200,MATCH($B176,Scenarios!$B$121:$B$200,0))</f>
        <v>0</v>
      </c>
      <c r="AJ176" s="476">
        <f>INDEX(Input!$1:$1048576,AJ$93,$C176*2+MIN($B176,2)+5)</f>
        <v>0.27</v>
      </c>
      <c r="AK176" s="150">
        <f>ROUND(INDEX(Input!$1:$1048576,AK$93,$C175*2+MIN($B176,1)+5)+(Y176-VLOOKUP($C176*1000+1,$A:$HH,Y$92,FALSE)),0)</f>
        <v>3757</v>
      </c>
      <c r="AL176" s="150">
        <f>ROUND(INDEX(Input!$1:$1048576,AL$93,$C175*2+MIN($B176,1)+5)-(Y176-VLOOKUP($C176*1000+1,$A:$HH,Y$92,FALSE))/36,0)</f>
        <v>4113</v>
      </c>
      <c r="AM176" s="32" t="str">
        <f t="shared" si="392"/>
        <v>std/std/std/std</v>
      </c>
      <c r="AN176" s="32" t="str">
        <f t="shared" si="393"/>
        <v>$0 + 0/0/0/1.9/3.9</v>
      </c>
      <c r="AO176" s="32" t="str">
        <f t="shared" si="394"/>
        <v>0/0/0/1.9/3.9</v>
      </c>
      <c r="AP176" s="32" t="str">
        <f t="shared" si="498"/>
        <v>0/0.9/1.9/3.9</v>
      </c>
      <c r="AQ176" s="536">
        <f t="shared" si="497"/>
        <v>-134.76214790312545</v>
      </c>
      <c r="AR176" s="32"/>
      <c r="AS176" s="302"/>
      <c r="AT176" s="3">
        <f t="shared" si="106"/>
        <v>76</v>
      </c>
      <c r="AU176" s="41" t="s">
        <v>121</v>
      </c>
      <c r="AV176" s="41" t="s">
        <v>116</v>
      </c>
      <c r="AW176" s="41" t="str">
        <f>INDEX(Input!$1:$1048576,AW$93,$C176*2+6)</f>
        <v>Kia</v>
      </c>
      <c r="AX176" s="41" t="str">
        <f>INDEX(Input!$1:$1048576,AX$93,$C176*2+6)</f>
        <v>Kia-LR - L1</v>
      </c>
      <c r="AY176" s="41" t="str">
        <f>IF(LEN(D176)=0,"",INDEX(Input!$1:$1048576,AY$93,$C176*2+6))</f>
        <v>Compact SUV (52)</v>
      </c>
      <c r="AZ176" s="41" t="str">
        <f>INDEX(Input!$1:$1048576,AZ$93,$C176*2+6)</f>
        <v>Kia Soul</v>
      </c>
      <c r="BA176" s="3">
        <f>INDEX(Input!$1:$1048576,BA$93,$C176*2+6)</f>
        <v>2020</v>
      </c>
      <c r="BB176" s="128">
        <f>INDEX(Input!$1:$1048576,BB$93,$C176*2+6)</f>
        <v>1</v>
      </c>
      <c r="BC176" s="128">
        <f>INDEX(Input!$1:$1048576,BC$93,$C176*2+6)</f>
        <v>0.7</v>
      </c>
      <c r="BD176" s="1">
        <f>INDEX(Input!$1:$1048576,BD$93,$C176*2+6)</f>
        <v>4.4999999999999998E-2</v>
      </c>
      <c r="BE176" s="1">
        <f>INDEX(Input!$1:$1048576,BE$93,$C176*2+6)</f>
        <v>4.4999999999999998E-2</v>
      </c>
      <c r="BF176" s="1">
        <f>INDEX(Input!$1:$1048576,BF$93,$C176*2+6)</f>
        <v>0.05</v>
      </c>
      <c r="BG176" s="1">
        <f>INDEX(Input!$1:$1048576,BG$93,$C176*2+6)</f>
        <v>5.45E-2</v>
      </c>
      <c r="BH176" s="1">
        <f>INDEX(Input!$1:$1048576,BH$93,$C176*2+6)</f>
        <v>5.45E-2</v>
      </c>
      <c r="BI176" s="1">
        <f>INDEX(Input!$1:$1048576,BI$93,$C176*2+6)</f>
        <v>0.05</v>
      </c>
      <c r="BJ176" s="1">
        <f>INDEX(Input!$1:$1048576,BJ$93,$C176*2+6)</f>
        <v>0.05</v>
      </c>
      <c r="BK176" s="1">
        <f>INDEX(Input!$1:$1048576,BK$93,$C176*2+6)</f>
        <v>0.05</v>
      </c>
      <c r="BL176" s="1">
        <f>INDEX(Input!$1:$1048576,BL$93,$C176*2+6)</f>
        <v>5.5E-2</v>
      </c>
      <c r="BM176" s="1">
        <f>INDEX(Input!$1:$1048576,BM$93,$C176*2+6)</f>
        <v>0.06</v>
      </c>
      <c r="BN176" s="1">
        <f>INDEX(Input!$1:$1048576,BN$93,$C176*2+6)</f>
        <v>4.4999999999999998E-2</v>
      </c>
      <c r="BO176" s="1">
        <f>INDEX(Input!$1:$1048576,BO$93,$C176*2+6)</f>
        <v>4.4999999999999998E-2</v>
      </c>
      <c r="BP176" s="1">
        <f>INDEX(Input!$1:$1048576,BP$93,$C176*2+6)</f>
        <v>0.05</v>
      </c>
      <c r="BQ176" s="1">
        <f>INDEX(Input!$1:$1048576,BQ$93,$C176*2+6)</f>
        <v>5.45E-2</v>
      </c>
      <c r="BR176" s="1">
        <f>INDEX(Input!$1:$1048576,BR$93,$C176*2+6)</f>
        <v>5.45E-2</v>
      </c>
      <c r="BS176" s="1">
        <f>INDEX(Input!$1:$1048576,BS$93,$C176*2+6)</f>
        <v>0.05</v>
      </c>
      <c r="BT176" s="1">
        <f>INDEX(Input!$1:$1048576,BT$93,$C176*2+6)</f>
        <v>0.05</v>
      </c>
      <c r="BU176" s="1">
        <f>INDEX(Input!$1:$1048576,BU$93,$C176*2+6)</f>
        <v>0.05</v>
      </c>
      <c r="BV176" s="1">
        <f>INDEX(Input!$1:$1048576,BV$93,$C176*2+6)</f>
        <v>5.5E-2</v>
      </c>
      <c r="BW176" s="1">
        <f>INDEX(Input!$1:$1048576,BW$93,$C176*2+6)</f>
        <v>0.06</v>
      </c>
      <c r="BX176" s="127">
        <f>INDEX(Input!$1:$1048576,BX$93,$C176*2+6)</f>
        <v>19985</v>
      </c>
      <c r="BY176" s="20">
        <f>INDEX(Input!$1:$1048576,BY$93,$C176*2+6)</f>
        <v>0.1</v>
      </c>
      <c r="BZ176" s="20">
        <f>INDEX(Input!$1:$1048576,BZ$93,$C176*2+6)</f>
        <v>0.1</v>
      </c>
      <c r="CA176" s="20">
        <f>INDEX(Input!$1:$1048576,CA$93,$C176*2+6)</f>
        <v>0.1</v>
      </c>
      <c r="CB176" s="20">
        <f>INDEX(Input!$1:$1048576,CB$93,$C176*2+6)</f>
        <v>0.1</v>
      </c>
      <c r="CC176" s="20">
        <f>INDEX(Input!$1:$1048576,CC$93,$C176*2+6)</f>
        <v>0.1</v>
      </c>
      <c r="CD176" s="384">
        <f>INDEX(Input!$1:$1048576,CD$93,$C176*2+6)</f>
        <v>0.1</v>
      </c>
      <c r="CE176" s="384">
        <f>INDEX(Input!$1:$1048576,CE$93,$C176*2+6)</f>
        <v>0.1</v>
      </c>
      <c r="CF176" s="384">
        <f>INDEX(Input!$1:$1048576,CF$93,$C176*2+6)</f>
        <v>0.1</v>
      </c>
      <c r="CG176" s="384">
        <f>INDEX(Input!$1:$1048576,CG$93,$C176*2+6)</f>
        <v>0.1</v>
      </c>
      <c r="CH176" s="384">
        <f>INDEX(Input!$1:$1048576,CH$93,$C176*2+6)</f>
        <v>0.1</v>
      </c>
      <c r="CI176" s="304">
        <f t="shared" si="499"/>
        <v>959</v>
      </c>
      <c r="CJ176" s="16" t="str">
        <f>INDEX(Input!$1:$1048576,CJ$93,$C176*2+6)</f>
        <v>N</v>
      </c>
      <c r="CK176" s="1" t="str">
        <f t="shared" si="500"/>
        <v>Market</v>
      </c>
      <c r="CL176" s="1" t="str">
        <f t="shared" si="501"/>
        <v>Market</v>
      </c>
      <c r="CM176" s="1" t="str">
        <f t="shared" si="502"/>
        <v>Market</v>
      </c>
      <c r="CN176" s="1" t="str">
        <f t="shared" si="503"/>
        <v>Market</v>
      </c>
      <c r="CO176" s="1" t="str">
        <f t="shared" si="504"/>
        <v>Market</v>
      </c>
      <c r="CP176" s="304">
        <f t="shared" si="505"/>
        <v>0</v>
      </c>
      <c r="CQ176" s="1">
        <f t="shared" si="506"/>
        <v>0</v>
      </c>
      <c r="CR176" s="1">
        <f t="shared" si="507"/>
        <v>0</v>
      </c>
      <c r="CS176" s="1">
        <f t="shared" si="508"/>
        <v>0</v>
      </c>
      <c r="CT176" s="1">
        <f t="shared" si="509"/>
        <v>1.9E-2</v>
      </c>
      <c r="CU176" s="1">
        <f t="shared" si="510"/>
        <v>3.9E-2</v>
      </c>
      <c r="CV176" s="304">
        <f t="shared" si="511"/>
        <v>1807</v>
      </c>
      <c r="CW176" s="20" t="s">
        <v>122</v>
      </c>
      <c r="CX176" s="20" t="s">
        <v>122</v>
      </c>
      <c r="CY176" s="20" t="s">
        <v>122</v>
      </c>
      <c r="CZ176" s="20" t="s">
        <v>122</v>
      </c>
      <c r="DA176" s="20" t="s">
        <v>122</v>
      </c>
      <c r="DB176" s="503">
        <f t="shared" si="512"/>
        <v>0</v>
      </c>
      <c r="DC176" s="127">
        <v>0</v>
      </c>
      <c r="DD176" s="127">
        <v>0</v>
      </c>
      <c r="DE176" s="127">
        <v>0</v>
      </c>
      <c r="DF176" s="127">
        <v>0</v>
      </c>
      <c r="DG176" s="127">
        <v>0</v>
      </c>
      <c r="DH176" s="127">
        <v>0</v>
      </c>
      <c r="DI176" s="127">
        <v>0</v>
      </c>
      <c r="DJ176" s="127">
        <v>0</v>
      </c>
      <c r="DK176" s="127">
        <v>0</v>
      </c>
      <c r="DL176" s="127">
        <v>0</v>
      </c>
      <c r="DM176" s="304">
        <f>INDEX(Input!$1:$1048576,DM$93,$C176*2+6)</f>
        <v>21036.84210526316</v>
      </c>
      <c r="DN176" s="20">
        <v>0</v>
      </c>
      <c r="DO176" s="20">
        <v>0</v>
      </c>
      <c r="DP176" s="20">
        <v>0</v>
      </c>
      <c r="DQ176" s="20">
        <v>0</v>
      </c>
      <c r="DR176" s="20">
        <v>0</v>
      </c>
      <c r="DS176" s="20">
        <f>INDEX(Input!$1:$1048576,DS$93,$C176*2+6)</f>
        <v>0.6</v>
      </c>
      <c r="DT176" s="20">
        <f>INDEX(Input!$1:$1048576,DT$93,$C176*2+6)</f>
        <v>0.55000000000000004</v>
      </c>
      <c r="DU176" s="20">
        <f>INDEX(Input!$1:$1048576,DU$93,$C176*2+6)</f>
        <v>0.52</v>
      </c>
      <c r="DV176" s="20">
        <f>INDEX(Input!$1:$1048576,DV$93,$C176*2+6)</f>
        <v>0.5</v>
      </c>
      <c r="DW176" s="20">
        <f>INDEX(Input!$1:$1048576,DW$93,$C176*2+6)</f>
        <v>0.45</v>
      </c>
      <c r="DX176" s="20"/>
      <c r="DY176" s="7">
        <v>9.2544080257837835E-2</v>
      </c>
      <c r="DZ176" s="7">
        <v>0</v>
      </c>
      <c r="EA176" s="7">
        <v>0.45686117950007804</v>
      </c>
      <c r="EB176" s="7">
        <v>0</v>
      </c>
      <c r="EC176" s="7">
        <v>0</v>
      </c>
      <c r="ED176" s="7">
        <v>0</v>
      </c>
      <c r="EE176" s="7">
        <v>0</v>
      </c>
      <c r="EF176" s="7">
        <v>0</v>
      </c>
      <c r="EG176" s="7">
        <v>0</v>
      </c>
      <c r="EH176" s="7">
        <v>1.8402200445098656E-2</v>
      </c>
      <c r="EI176" s="7">
        <v>5.3739557110571878E-2</v>
      </c>
      <c r="EJ176" s="7">
        <v>0.33946684904131996</v>
      </c>
      <c r="EK176" s="7">
        <v>0.48247712639938078</v>
      </c>
      <c r="EL176" s="7">
        <v>0.1059142670036287</v>
      </c>
      <c r="EM176" s="7">
        <v>4.8078037791143592E-2</v>
      </c>
      <c r="EN176" s="7">
        <v>5.026655506761156E-2</v>
      </c>
      <c r="EO176" s="7">
        <v>0.76363846834232729</v>
      </c>
      <c r="EP176" s="7">
        <v>8.1332974878230879E-2</v>
      </c>
      <c r="EQ176" s="7">
        <v>6.2056292917349994E-2</v>
      </c>
      <c r="ER176" s="7">
        <v>4.270570879448056E-2</v>
      </c>
      <c r="ES176" s="7">
        <v>0.40251670245094057</v>
      </c>
      <c r="ET176" s="7">
        <v>0.45059474024208412</v>
      </c>
      <c r="EU176" s="6">
        <v>1000</v>
      </c>
      <c r="EV176" s="6">
        <v>0</v>
      </c>
      <c r="EW176" s="6">
        <v>1000</v>
      </c>
      <c r="EX176" s="6">
        <v>0</v>
      </c>
      <c r="EY176" s="6">
        <v>1769.7221397149681</v>
      </c>
      <c r="EZ176" s="6">
        <v>1950</v>
      </c>
      <c r="FA176" s="6">
        <v>0</v>
      </c>
      <c r="FB176" s="6">
        <v>0</v>
      </c>
      <c r="FC176" s="6">
        <v>0</v>
      </c>
      <c r="FD176" s="6">
        <v>0</v>
      </c>
      <c r="FE176" s="6">
        <v>0</v>
      </c>
      <c r="FF176" s="6">
        <v>0</v>
      </c>
      <c r="FG176" s="6">
        <v>0</v>
      </c>
      <c r="FH176" s="6">
        <v>1171.2811379695615</v>
      </c>
      <c r="FI176" s="6">
        <v>1553.9796069512404</v>
      </c>
      <c r="FJ176" s="6">
        <v>2101.211011744741</v>
      </c>
      <c r="FK176" s="6">
        <v>1772.7139978623231</v>
      </c>
      <c r="FL176" s="6">
        <v>907.07682140966324</v>
      </c>
      <c r="FM176" s="6">
        <v>1769.7221397149681</v>
      </c>
      <c r="FN176" s="6">
        <v>0</v>
      </c>
      <c r="FO176" s="6">
        <v>0</v>
      </c>
      <c r="FP176" s="6">
        <v>0</v>
      </c>
      <c r="FQ176" s="6">
        <v>0</v>
      </c>
      <c r="FR176" s="6">
        <v>0</v>
      </c>
      <c r="FS176" s="6">
        <v>0</v>
      </c>
      <c r="FT176" s="7">
        <v>0.54940525975791588</v>
      </c>
      <c r="FU176" s="7">
        <v>4.8078037791143592E-2</v>
      </c>
      <c r="FV176" s="7">
        <v>0.40251670245094057</v>
      </c>
      <c r="FW176" s="6">
        <v>1000.0000000000001</v>
      </c>
      <c r="FX176" s="6">
        <v>1769.7221397149681</v>
      </c>
      <c r="FY176" s="6">
        <v>1950</v>
      </c>
      <c r="FZ176" s="6">
        <v>1952.7147957719815</v>
      </c>
      <c r="GA176" s="6">
        <v>1419.3975974502898</v>
      </c>
      <c r="GB176" s="6">
        <v>18565.60240254971</v>
      </c>
      <c r="GC176" s="7">
        <v>1.0519917368675835E-2</v>
      </c>
      <c r="GD176" s="7">
        <v>9.9634760716705711E-3</v>
      </c>
      <c r="GE176" s="7"/>
      <c r="GF176" s="7"/>
      <c r="GG176" s="7">
        <v>-5.2894074877634152E-2</v>
      </c>
      <c r="GH176" s="42">
        <v>1.9821001268215119</v>
      </c>
      <c r="GI176" s="6">
        <v>11502.13748004536</v>
      </c>
      <c r="GJ176" s="14">
        <v>0.50394797582841733</v>
      </c>
      <c r="GK176" s="14">
        <v>0.50887573065309755</v>
      </c>
      <c r="GL176" s="14">
        <v>0.49605202417158284</v>
      </c>
      <c r="GM176" s="14">
        <v>0.4911242693469024</v>
      </c>
      <c r="GO176" s="5">
        <v>343.14810671672558</v>
      </c>
      <c r="GP176" s="5">
        <v>324.070014441034</v>
      </c>
      <c r="GQ176" s="5">
        <v>535.04305713031317</v>
      </c>
      <c r="GR176" s="5">
        <v>410.15490233172511</v>
      </c>
      <c r="GS176" s="5">
        <v>339.42744393800166</v>
      </c>
      <c r="GT176" s="5">
        <v>293.4407446948278</v>
      </c>
      <c r="GU176" s="5">
        <v>258.04012322764959</v>
      </c>
      <c r="GV176" s="39" t="s">
        <v>392</v>
      </c>
      <c r="GW176" s="5">
        <v>499.625</v>
      </c>
      <c r="GX176" s="5">
        <v>374.71875</v>
      </c>
      <c r="GY176" s="5">
        <v>299.77499999999998</v>
      </c>
      <c r="GZ176" s="5">
        <v>264.51980311843727</v>
      </c>
      <c r="HA176" s="5">
        <v>245.02690693912888</v>
      </c>
      <c r="HB176" s="39">
        <v>284.67169346370895</v>
      </c>
      <c r="HC176" s="5">
        <v>201.97187499999998</v>
      </c>
      <c r="HD176" s="5">
        <v>181.57622441520465</v>
      </c>
      <c r="HE176" s="5">
        <v>186.90036690283398</v>
      </c>
      <c r="HF176" s="5">
        <v>175.81500548245612</v>
      </c>
      <c r="HG176" s="5">
        <v>173.25638157894736</v>
      </c>
      <c r="HH176" s="39">
        <v>182.32164718062685</v>
      </c>
      <c r="HI176" s="16"/>
      <c r="HJ176" s="19" t="str">
        <f t="shared" ref="HJ176:HK176" si="567">HJ175</f>
        <v>On</v>
      </c>
      <c r="HK176" s="1" t="str">
        <f t="shared" si="567"/>
        <v>On</v>
      </c>
      <c r="HL176" s="16"/>
      <c r="HM176" s="639">
        <f t="shared" ref="HM176:HM182" si="568">VLOOKUP($C176*1000+1,$A:$HH,FT$92,FALSE)*$JF176</f>
        <v>5.7455619280273196E-3</v>
      </c>
      <c r="HN176" s="639">
        <f t="shared" ref="HN176:HN182" si="569">VLOOKUP($C176*1000+1,$A:$HH,FU$92,FALSE)*$JF176</f>
        <v>5.0031960498701745E-4</v>
      </c>
      <c r="HO176" s="639">
        <f t="shared" ref="HO176:HO182" si="570">VLOOKUP($C176*1000+1,$A:$HH,FV$92,FALSE)*$JF176</f>
        <v>3.9819433988714835E-3</v>
      </c>
      <c r="HP176" s="644">
        <f>(FT176*$GD176-HM176)/$JF176*INDEX(Input!$1:$1048576,$JG$93,$C176*2+6)</f>
        <v>-11.842478110667706</v>
      </c>
      <c r="HQ176" s="644">
        <f>(FU176*$GD176-HN176)/$JF176*INDEX(Input!$1:$1048576,$JG$93,$C176*2+6)</f>
        <v>-0.92861100054619838</v>
      </c>
      <c r="HR176" s="644">
        <f>(FV176*$GD176-HO176)/$JF176*INDEX(Input!$1:$1048576,$JG$93,$C176*2+6)</f>
        <v>1.2437514376443808</v>
      </c>
      <c r="HS176" s="644">
        <f t="shared" ref="HS176:HS182" si="571">IF(AND(HJ176="On",HK176="On"),IL176/1000*INDEX(KG:KG,MATCH(C176*1000+3,$KF:$KF,0))*SUM(HY176:IA176)*1.1
+INDEX(HR:HR,MATCH(C176*1000+4,$KF:$KF,0))/INDEX(IM:IM,MATCH(C176*1000+4,$KF:$KF,0))*IM176*20%,0)</f>
        <v>4.4895042247859349</v>
      </c>
      <c r="HT176" s="644">
        <f t="shared" ref="HT176:HT182" si="572">IF(AND(HJ176="On",HK176="On"),IM176/1000*INDEX(KG:KG,MATCH(C176*1000+4,$KF:$KF,0))*SUM(HY176:IA176)*1.1
+INDEX(HR:HR,MATCH(C176*1000+3,$KF:$KF,0))/INDEX(IL:IL,MATCH(C176*1000+3,$KF:$KF,0))*IL176*20%,0)</f>
        <v>-3.7295500938016035</v>
      </c>
      <c r="HU176" s="644">
        <f t="shared" ref="HU176:HU182" si="573">IF(HJ176="On",IN176/1000*INDEX(KG:KG,MATCH(C176*1000+5,$KF:$KF,0))*SUM(HY176:IA176)*1.1
-INDEX(HR:HR,MATCH(C176*1000+3,$KF:$KF,0))/INDEX(IL:IL,MATCH(C176*1000+3,$KF:$KF,0))*IL176*20%
-INDEX(HR:HR,MATCH(C176*1000+4,$KF:$KF,0))/INDEX(IM:IM,MATCH(C176*1000+4,$KF:$KF,0))*IM176*20%,0)</f>
        <v>-3.6744024961487427</v>
      </c>
      <c r="HV176" s="648">
        <f t="shared" ref="HV176:HV182" si="574">IL176/1000*0+IM176/1000*0+IN176/1000*0
+(CP176-INDEX(CP:CP,MATCH(C176*1000+1,A:A,0)))/1000*0+IF(FU176&gt;0,0,0)</f>
        <v>0</v>
      </c>
      <c r="HW176" s="648">
        <f t="shared" ref="HW176:HW182" si="575">IL176/1000*0+IM176/1000*0+IN176/1000*0
+(CP176-INDEX(CP:CP,MATCH(C176*1000+1,A:A,0)))/1000*0+IF(FU176&gt;0,0,0)</f>
        <v>0</v>
      </c>
      <c r="HX176" s="648">
        <f t="shared" ref="HX176:HX182" si="576">IL176/1000*0+IM176/1000*0+IN176/1000*0
+(CP176-INDEX(CP:CP,MATCH(C176*1000+1,A:A,0)))/1000*0+IF(FU176&gt;0,0,0)</f>
        <v>0</v>
      </c>
      <c r="HY176" s="644">
        <f>INDEX(Input!$1:$1048576,HY$93,$C176*2+6)*INDEX(Input!$1:$1048576,$JG$93,$C176*2+6)</f>
        <v>110.00000000000001</v>
      </c>
      <c r="HZ176" s="644">
        <f>INDEX(Input!$1:$1048576,HZ$93,$C176*2+6)*INDEX(Input!$1:$1048576,$JG$93,$C176*2+6)</f>
        <v>157</v>
      </c>
      <c r="IA176" s="644">
        <f>INDEX(Input!$1:$1048576,IA$93,$C176*2+6)*INDEX(Input!$1:$1048576,$JG$93,$C176*2+6)</f>
        <v>179</v>
      </c>
      <c r="IB176" s="644">
        <f t="shared" ref="IB176:IB182" si="577">SUM(HP176:IA176)-IC176-ID176</f>
        <v>102.6470261141182</v>
      </c>
      <c r="IC176" s="644">
        <f t="shared" ref="IC176:IC182" si="578">MAX(HZ176+HQ176+HT176+HW176,0%)</f>
        <v>152.3418389056522</v>
      </c>
      <c r="ID176" s="644">
        <f>IF(AND(INDEX(Input!$1:$1048576,IA$93,$C176*2+7)="TOS",Y176&lt;=INDEX(Y:Y,MATCH(C176*1000+2,A:A))),0,1)*MAX(IA176+HR176+HU176+HX176,0%)</f>
        <v>176.56934894149566</v>
      </c>
      <c r="IE176" s="128">
        <f t="shared" ref="IE176:IE182" si="579">IB176/SUM($IB176:$ID176)</f>
        <v>0.23785209687453929</v>
      </c>
      <c r="IF176" s="128">
        <f t="shared" ref="IF176:IF182" si="580">IC176/SUM($IB176:$ID176)</f>
        <v>0.35300414631738519</v>
      </c>
      <c r="IG176" s="128">
        <f t="shared" ref="IG176:IG182" si="581">ID176/SUM($IB176:$ID176)</f>
        <v>0.40914375680807552</v>
      </c>
      <c r="IH176" s="21"/>
      <c r="II176" s="19">
        <f t="shared" ref="II176:II182" si="582">VLOOKUP($C176*1000+1,$A:$HH,FW$92,FALSE)-VLOOKUP($C176*1000+1,$A:$HH,FA$92,FALSE)*VLOOKUP($C176*1000+1,$A:$HH,DZ$92,FALSE)/VLOOKUP($C176*1000+1,$A:$HH,FT$92,FALSE)</f>
        <v>1240</v>
      </c>
      <c r="IJ176" s="19">
        <f t="shared" ref="IJ176:IJ182" si="583">VLOOKUP($C176*1000+1,$A:$HH,FX$92,FALSE)</f>
        <v>2009.7221397149679</v>
      </c>
      <c r="IK176" s="19">
        <f t="shared" ref="IK176:IK182" si="584">VLOOKUP($C176*1000+1,$A:$HH,FY$92,FALSE)</f>
        <v>2070</v>
      </c>
      <c r="IL176" s="19">
        <f t="shared" ref="IL176:IL182" si="585">(FW176-FA176*DZ176/FT176)-II176</f>
        <v>-239.99999999999989</v>
      </c>
      <c r="IM176" s="19">
        <f t="shared" ref="IM176:IM182" si="586">FX176-IJ176</f>
        <v>-239.99999999999977</v>
      </c>
      <c r="IN176" s="19">
        <f t="shared" ref="IN176:IN182" si="587">FY176-IK176</f>
        <v>-120</v>
      </c>
      <c r="IO176" s="39">
        <f t="shared" ref="IO176:IO182" si="588">(F176-VLOOKUP($C176*1000+1,$A:$HH,F$92,FALSE))*(1-$I176)</f>
        <v>0</v>
      </c>
      <c r="IP176" s="39">
        <f t="shared" ref="IP176:IP182" si="589">(G176-VLOOKUP($C176*1000+1,$A:$HH,G$92,FALSE))*(1-$I176)</f>
        <v>0</v>
      </c>
      <c r="IQ176" s="39">
        <f t="shared" ref="IQ176:IQ182" si="590">(H176-VLOOKUP($C176*1000+1,$A:$HH,H$92,FALSE))*(1-$I176)</f>
        <v>0</v>
      </c>
      <c r="IR176" s="39">
        <v>0</v>
      </c>
      <c r="IS176" s="39">
        <v>0</v>
      </c>
      <c r="IT176" s="39">
        <v>0</v>
      </c>
      <c r="IU176" s="39">
        <v>0</v>
      </c>
      <c r="IV176" s="39">
        <v>0</v>
      </c>
      <c r="IW176" s="39">
        <v>0</v>
      </c>
      <c r="IX176" s="39">
        <f>INDEX(Input!$1:$1048576,IX$93,$C176*2+6)+INDEX(Input!$1:$1048576,IX$94,$C176*2+6)</f>
        <v>1270</v>
      </c>
      <c r="IY176" s="39">
        <f>INDEX(Input!$1:$1048576,IY$93,$C176*2+6)+INDEX(Input!$1:$1048576,IY$94,$C176*2+6)</f>
        <v>2130.0624533823611</v>
      </c>
      <c r="IZ176" s="39">
        <f>INDEX(Input!$1:$1048576,IZ$93,$C176*2+6)+INDEX(Input!$1:$1048576,IZ$94,$C176*2+6)</f>
        <v>4373.7164157747848</v>
      </c>
      <c r="JA176" s="19">
        <f t="shared" ref="JA176:JA182" si="591">(IL176+IO176+IR176+IU176+IX176)</f>
        <v>1030</v>
      </c>
      <c r="JB176" s="19">
        <f t="shared" ref="JB176:JB182" si="592">(IM176+IP176+IS176+IV176+IY176)</f>
        <v>1890.0624533823614</v>
      </c>
      <c r="JC176" s="19">
        <f t="shared" ref="JC176:JC182" si="593">(IN176+IQ176+IT176+IW176+IZ176)</f>
        <v>4253.7164157747848</v>
      </c>
      <c r="JD176" s="19">
        <f t="shared" ref="JD176:JD182" si="594">SUMPRODUCT(IE176:IG176,JA176:JC176)</f>
        <v>2652.5690573698357</v>
      </c>
      <c r="JE176" s="21"/>
      <c r="JF176" s="1">
        <f t="shared" ref="JF176:JF182" si="595">VLOOKUP($C176*1000+1,$A:$HH,GD$92,FALSE)</f>
        <v>1.022782493188582E-2</v>
      </c>
      <c r="JG176" s="15">
        <f>INDEX(Input!$1:$1048576,JG$93,$C176*2+6)/(1+VLOOKUP(C176*1000+INDEX(Input!$1:$1048576,JG$93+1,$C176*2+6),$A:$KK,$JK$92,FALSE))</f>
        <v>446</v>
      </c>
      <c r="JH176" s="1">
        <f t="shared" ref="JH176:JH182" si="596">SUM(HP176:HR176)/SUM(HY176:IA176)</f>
        <v>-2.5846048595447361E-2</v>
      </c>
      <c r="JI176" s="1">
        <f t="shared" ref="JI176:JI182" si="597">SUM(HS176:HU176)/SUM(HY176:IA176)</f>
        <v>-6.5346375900547336E-3</v>
      </c>
      <c r="JJ176" s="1">
        <f t="shared" ref="JJ176:JJ182" si="598">SUM(HV176:HX176)/SUM(HY176:IA176)</f>
        <v>0</v>
      </c>
      <c r="JK176" s="1">
        <f t="shared" ref="JK176:JK182" si="599">SUM(JH176:JJ176)</f>
        <v>-3.2380686185502092E-2</v>
      </c>
      <c r="JL176" s="15">
        <f t="shared" ref="JL176:JL182" si="600">JG176*JK176</f>
        <v>-14.441786038733932</v>
      </c>
      <c r="JM176" s="15">
        <f t="shared" ref="JM176:JM182" si="601">JG176+JL176</f>
        <v>431.55821396126606</v>
      </c>
      <c r="JN176" s="21"/>
      <c r="JO176" s="19">
        <f>INDEX(Input!$1:$1048576,JO$93,$C176*2+6)</f>
        <v>5995.5</v>
      </c>
      <c r="JP176" s="19">
        <f>INDEX(Input!$1:$1048576,JP$93,$C176*2+6)</f>
        <v>2818.4193802796353</v>
      </c>
      <c r="JQ176" s="39">
        <f t="shared" ref="JQ176:JQ182" si="602">JO176-JD176</f>
        <v>3342.9309426301643</v>
      </c>
      <c r="JR176" s="39">
        <f t="shared" ref="JR176:JR182" si="603">JD176-JP176</f>
        <v>-165.85032290979962</v>
      </c>
      <c r="JS176" s="39">
        <f t="shared" ref="JS176:JS182" si="604">JM176*JD176/1000000</f>
        <v>1.1447379648074454</v>
      </c>
      <c r="JT176" s="39">
        <f t="shared" ref="JT176:JT182" si="605">(JD176*JM176-JP176*JG176)/1000000</f>
        <v>-0.11227707879727195</v>
      </c>
      <c r="JU176" s="385">
        <f>(JQ176*JM176-INDEX(Input!$1:$1048576,Input!A$18,$C176*2+6)*JL176*INDEX(Input!$1:$1048576,Input!A$19,$C176*2+6))/1000000</f>
        <v>1.4426693069973253</v>
      </c>
      <c r="JV176" s="39">
        <f t="shared" ref="JV176:JV182" si="606">JU176-(JO176-JP176)*JG176/1000000</f>
        <v>2.569135060204264E-2</v>
      </c>
      <c r="JW176" s="1">
        <f t="shared" ref="JW176:JW182" si="607">JV176/(JU176-JV176)</f>
        <v>1.8131086998276306E-2</v>
      </c>
      <c r="JX176" s="19">
        <f t="shared" ref="JX176:JX182" si="608">IF(JL176=0,0,JT176/JL176)*1000000</f>
        <v>7774.4593706163887</v>
      </c>
      <c r="JZ176" s="341"/>
      <c r="KA176" s="342"/>
      <c r="KB176" s="469">
        <f t="shared" si="514"/>
        <v>2.9286733661474216</v>
      </c>
      <c r="KI176" s="473">
        <f t="shared" ref="KI176:KI182" si="609">$JM176*IE176-$JG176*HY176/SUM($HY176:$IA176)</f>
        <v>-7.3529738858818092</v>
      </c>
      <c r="KJ176" s="473">
        <f t="shared" ref="KJ176:KJ182" si="610">$JM176*IF176-$JG176*HZ176/SUM($HY176:$IA176)</f>
        <v>-4.658161094347804</v>
      </c>
      <c r="KK176" s="473">
        <f t="shared" ref="KK176:KK182" si="611">$JM176*IG176-$JG176*IA176/SUM($HY176:$IA176)</f>
        <v>-2.4306510585043384</v>
      </c>
      <c r="KN176" s="544">
        <f t="shared" ref="KN176:KN182" si="612">KM176+(KN175-KM175)</f>
        <v>1002</v>
      </c>
      <c r="KO176" s="541">
        <f t="shared" ref="KO176:KO182" si="613">JM176/INDEX(JM:JM,MATCH(KN176,A:A,0))-1</f>
        <v>-3.6346980840658571E-2</v>
      </c>
      <c r="KP176" s="546">
        <f t="shared" ref="KP176:KP182" si="614">(IL176-INDEX(IL:IL,MATCH(KN176,A:A,0)))*IE176
+(IM176-IF(HN176=0,INDEX(IX:IX,MATCH(KN176,A:A,0)),INDEX(IM:IM,MATCH(KN176,A:A,0))))*IF176
+(IN176-INDEX(IN:IN,MATCH(KN176,A:A,0)))*IG176</f>
        <v>-214.76559283090967</v>
      </c>
      <c r="KQ176" s="546">
        <f t="shared" ref="KQ176:KQ182" si="615">JD176-INDEX(JD:JD,MATCH(KN176,A:A,0))</f>
        <v>-186.74714264881595</v>
      </c>
      <c r="KR176" s="548">
        <f t="shared" ref="KR176:KR182" si="616">KO176/(KP176/(BX176-INDEX(JD:JD,MATCH(KN176,A:A,0))))</f>
        <v>2.9017396705093641</v>
      </c>
      <c r="KS176" s="548">
        <f t="shared" ref="KS176:KS182" si="617">KO176/(KQ176/(BX176-INDEX(JD:JD,MATCH(KN176,A:A,0))))</f>
        <v>3.3370997367807025</v>
      </c>
      <c r="KT176" s="473">
        <f t="shared" si="515"/>
        <v>238.28695973331548</v>
      </c>
      <c r="KU176" s="663">
        <f t="shared" ref="KU176:KU182" si="618">IF(D176="",0,IFERROR((JM176/KT176-1)/(JD176/BX176)+B176*10^-6,0))</f>
        <v>6.1109656619997432</v>
      </c>
    </row>
    <row r="177" spans="1:307" s="26" customFormat="1" ht="15" outlineLevel="1">
      <c r="A177" s="561">
        <f t="shared" si="391"/>
        <v>1077</v>
      </c>
      <c r="B177" s="561">
        <f t="shared" si="513"/>
        <v>77</v>
      </c>
      <c r="C177" s="561">
        <f t="shared" si="105"/>
        <v>1</v>
      </c>
      <c r="D177" s="561" t="str">
        <f t="shared" si="294"/>
        <v xml:space="preserve">-250 CC, -360 Lease, </v>
      </c>
      <c r="E177" s="475">
        <f>INDEX(Input!$1:$1048576,E$93,$C177*2+MIN($B177,2)+5)
+INDEX(Scenarios!E$121:E$200,MATCH($B177,Scenarios!$B$121:$B$200,0))</f>
        <v>979</v>
      </c>
      <c r="F177" s="475">
        <f>INDEX(Input!$1:$1048576,F$93,$C177*2+MIN($B177,2)+5)
+INDEX(Scenarios!F$121:F$200,MATCH($B177,Scenarios!$B$121:$B$200,0))</f>
        <v>0</v>
      </c>
      <c r="G177" s="475">
        <f>INDEX(Input!$1:$1048576,G$93,$C177*2+MIN($B177,2)+5)
+INDEX(Scenarios!G$121:G$200,MATCH($B177,Scenarios!$B$121:$B$200,0))</f>
        <v>0</v>
      </c>
      <c r="H177" s="475">
        <f>INDEX(Input!$1:$1048576,H$93,$C177*2+MIN($B177,2)+5)
+INDEX(Scenarios!H$121:H$200,MATCH($B177,Scenarios!$B$121:$B$200,0))</f>
        <v>0</v>
      </c>
      <c r="I177" s="476">
        <f>INDEX(Input!$1:$1048576,I$93,$C177*2+MIN($B177,2)+5)</f>
        <v>0.7</v>
      </c>
      <c r="J177" s="476" t="str">
        <f>INDEX(Input!$1:$1048576,J$93,$C177*2+MIN($B177,2)+5)</f>
        <v>Market</v>
      </c>
      <c r="K177" s="476" t="str">
        <f>INDEX(Input!$1:$1048576,K$93,$C177*2+MIN($B177,2)+5)</f>
        <v>Market</v>
      </c>
      <c r="L177" s="476" t="str">
        <f>INDEX(Input!$1:$1048576,L$93,$C177*2+MIN($B177,2)+5)</f>
        <v>Market</v>
      </c>
      <c r="M177" s="476" t="str">
        <f>INDEX(Input!$1:$1048576,M$93,$C177*2+MIN($B177,2)+5)</f>
        <v>Market</v>
      </c>
      <c r="N177" s="476" t="str">
        <f>INDEX(Input!$1:$1048576,N$93,$C177*2+MIN($B177,2)+5)</f>
        <v>Market</v>
      </c>
      <c r="O177" s="476" t="str">
        <f>INDEX(Input!$1:$1048576,O$93,$C177*2+MIN($B177,2)+5)</f>
        <v>Market</v>
      </c>
      <c r="P177" s="476" t="str">
        <f>INDEX(Input!$1:$1048576,P$93,$C177*2+MIN($B177,2)+5)</f>
        <v>N</v>
      </c>
      <c r="Q177" s="477">
        <f>INDEX(Input!$1:$1048576,Q$93,$C177*2+MIN($B177,2)+5)
+INDEX(Scenarios!Q$121:Q$200,MATCH($B177,Scenarios!$B$121:$B$200,0))</f>
        <v>0</v>
      </c>
      <c r="R177" s="478">
        <f>IFERROR(MAX(0,INDEX(Input!$1:$1048576,R$93,$C177*2+MIN($B177,2)+5)
+INDEX(Scenarios!R$121:R$200,MATCH($B177,Scenarios!$B$121:$B$200,0)),),"Market")</f>
        <v>0</v>
      </c>
      <c r="S177" s="478">
        <f>IFERROR(MAX(0,INDEX(Input!$1:$1048576,S$93,$C177*2+MIN($B177,2)+5)
+INDEX(Scenarios!S$121:S$200,MATCH($B177,Scenarios!$B$121:$B$200,0)),),"Market")</f>
        <v>0</v>
      </c>
      <c r="T177" s="478">
        <f>IFERROR(MAX(0,INDEX(Input!$1:$1048576,T$93,$C177*2+MIN($B177,2)+5)
+INDEX(Scenarios!T$121:T$200,MATCH($B177,Scenarios!$B$121:$B$200,0)),),"Market")</f>
        <v>0</v>
      </c>
      <c r="U177" s="478">
        <f>IFERROR(MAX(0,INDEX(Input!$1:$1048576,U$93,$C177*2+MIN($B177,2)+5)
+INDEX(Scenarios!U$121:U$200,MATCH($B177,Scenarios!$B$121:$B$200,0)),),"Market")</f>
        <v>0</v>
      </c>
      <c r="V177" s="478">
        <f>IFERROR(MAX(0,INDEX(Input!$1:$1048576,V$93,$C177*2+MIN($B177,2)+5)
+INDEX(Scenarios!V$121:V$200,MATCH($B177,Scenarios!$B$121:$B$200,0)),),"Market")</f>
        <v>1.9E-2</v>
      </c>
      <c r="W177" s="885">
        <f>IFERROR(MAX(0,INDEX(Input!$1:$1048576,W$93,$C177*2+MIN($B177,2)+5)-0%,),"Market")</f>
        <v>3.9E-2</v>
      </c>
      <c r="X177" s="476" t="str">
        <f>INDEX(Input!$1:$1048576,X$93,$C177*2+MIN($B177,2)+5)</f>
        <v>Y</v>
      </c>
      <c r="Y177" s="475">
        <f>INDEX(Input!$1:$1048576,Y$93,$C177*2+MIN($B177,2)+5)
++INDEX(Scenarios!Y$121:Y$200,MATCH($B177,Scenarios!$B$121:$B$200,0))</f>
        <v>1582</v>
      </c>
      <c r="Z177" s="477">
        <f>INDEX(Input!$1:$1048576,Z$93,$C177*2+MIN($B177,2)+5)
+INDEX(Scenarios!Z$121:Z$200,MATCH($B177,Scenarios!$B$121:$B$200,0))</f>
        <v>0</v>
      </c>
      <c r="AA177" s="475">
        <f>INDEX(Input!$1:$1048576,AA$93,$C177*2+MIN($B177,2)+5)
+INDEX(Scenarios!AA$121:AA$200,MATCH($B177,Scenarios!$B$121:$B$200,0))</f>
        <v>0</v>
      </c>
      <c r="AB177" s="476">
        <f>INDEX(Input!$1:$1048576,AB$93,$C177*2+MIN($B177,2)+5)</f>
        <v>0.27</v>
      </c>
      <c r="AC177" s="475">
        <f>INDEX(Input!$1:$1048576,AC$93,$C177*2+MIN($B177,2)+5)
+INDEX(Scenarios!AC$121:AC$200,MATCH($B177,Scenarios!$B$121:$B$200,0))</f>
        <v>0</v>
      </c>
      <c r="AD177" s="476">
        <f>INDEX(Input!$1:$1048576,AD$93,$C177*2+MIN($B177,2)+5)</f>
        <v>0.27</v>
      </c>
      <c r="AE177" s="475">
        <f>INDEX(Input!$1:$1048576,AE$93,$C177*2+MIN($B177,2)+5)
+INDEX(Scenarios!AE$121:AE$200,MATCH($B177,Scenarios!$B$121:$B$200,0))</f>
        <v>0</v>
      </c>
      <c r="AF177" s="476">
        <f>INDEX(Input!$1:$1048576,AF$93,$C177*2+MIN($B177,2)+5)</f>
        <v>0.38</v>
      </c>
      <c r="AG177" s="475">
        <f>INDEX(Input!$1:$1048576,AG$93,$C177*2+MIN($B177,2)+5)
+INDEX(Scenarios!AG$121:AG$200,MATCH($B177,Scenarios!$B$121:$B$200,0))</f>
        <v>0</v>
      </c>
      <c r="AH177" s="476">
        <f>INDEX(Input!$1:$1048576,AH$93,$C177*2+MIN($B177,2)+5)</f>
        <v>0</v>
      </c>
      <c r="AI177" s="475">
        <f>INDEX(Input!$1:$1048576,AI$93,$C177*2+MIN($B177,2)+5)
+INDEX(Scenarios!AI$121:AI$200,MATCH($B177,Scenarios!$B$121:$B$200,0))</f>
        <v>0</v>
      </c>
      <c r="AJ177" s="476">
        <f>INDEX(Input!$1:$1048576,AJ$93,$C177*2+MIN($B177,2)+5)</f>
        <v>0.27</v>
      </c>
      <c r="AK177" s="150">
        <f>ROUND(INDEX(Input!$1:$1048576,AK$93,$C176*2+MIN($B177,1)+5)+(Y177-VLOOKUP($C177*1000+1,$A:$HH,Y$92,FALSE)),0)</f>
        <v>3397</v>
      </c>
      <c r="AL177" s="150">
        <f>ROUND(INDEX(Input!$1:$1048576,AL$93,$C176*2+MIN($B177,1)+5)-(Y177-VLOOKUP($C177*1000+1,$A:$HH,Y$92,FALSE))/36,0)</f>
        <v>4123</v>
      </c>
      <c r="AM177" s="32" t="str">
        <f t="shared" si="392"/>
        <v>std/std/std/std</v>
      </c>
      <c r="AN177" s="32" t="str">
        <f t="shared" si="393"/>
        <v>$0 + 0/0/0/1.9/3.9</v>
      </c>
      <c r="AO177" s="32" t="str">
        <f t="shared" si="394"/>
        <v>0/0/0/1.9/3.9</v>
      </c>
      <c r="AP177" s="32" t="str">
        <f t="shared" si="498"/>
        <v>0/0.9/1.9/3.9</v>
      </c>
      <c r="AQ177" s="536">
        <f t="shared" si="497"/>
        <v>0.25943045169857976</v>
      </c>
      <c r="AR177" s="32"/>
      <c r="AS177" s="302"/>
      <c r="AT177" s="3">
        <f t="shared" si="106"/>
        <v>77</v>
      </c>
      <c r="AU177" s="41" t="s">
        <v>121</v>
      </c>
      <c r="AV177" s="41" t="s">
        <v>116</v>
      </c>
      <c r="AW177" s="41" t="str">
        <f>INDEX(Input!$1:$1048576,AW$93,$C177*2+6)</f>
        <v>Kia</v>
      </c>
      <c r="AX177" s="41" t="str">
        <f>INDEX(Input!$1:$1048576,AX$93,$C177*2+6)</f>
        <v>Kia-LR - L1</v>
      </c>
      <c r="AY177" s="41" t="str">
        <f>IF(LEN(D177)=0,"",INDEX(Input!$1:$1048576,AY$93,$C177*2+6))</f>
        <v>Compact SUV (52)</v>
      </c>
      <c r="AZ177" s="41" t="str">
        <f>INDEX(Input!$1:$1048576,AZ$93,$C177*2+6)</f>
        <v>Kia Soul</v>
      </c>
      <c r="BA177" s="3">
        <f>INDEX(Input!$1:$1048576,BA$93,$C177*2+6)</f>
        <v>2020</v>
      </c>
      <c r="BB177" s="128">
        <f>INDEX(Input!$1:$1048576,BB$93,$C177*2+6)</f>
        <v>1</v>
      </c>
      <c r="BC177" s="128">
        <f>INDEX(Input!$1:$1048576,BC$93,$C177*2+6)</f>
        <v>0.7</v>
      </c>
      <c r="BD177" s="1">
        <f>INDEX(Input!$1:$1048576,BD$93,$C177*2+6)</f>
        <v>4.4999999999999998E-2</v>
      </c>
      <c r="BE177" s="1">
        <f>INDEX(Input!$1:$1048576,BE$93,$C177*2+6)</f>
        <v>4.4999999999999998E-2</v>
      </c>
      <c r="BF177" s="1">
        <f>INDEX(Input!$1:$1048576,BF$93,$C177*2+6)</f>
        <v>0.05</v>
      </c>
      <c r="BG177" s="1">
        <f>INDEX(Input!$1:$1048576,BG$93,$C177*2+6)</f>
        <v>5.45E-2</v>
      </c>
      <c r="BH177" s="1">
        <f>INDEX(Input!$1:$1048576,BH$93,$C177*2+6)</f>
        <v>5.45E-2</v>
      </c>
      <c r="BI177" s="1">
        <f>INDEX(Input!$1:$1048576,BI$93,$C177*2+6)</f>
        <v>0.05</v>
      </c>
      <c r="BJ177" s="1">
        <f>INDEX(Input!$1:$1048576,BJ$93,$C177*2+6)</f>
        <v>0.05</v>
      </c>
      <c r="BK177" s="1">
        <f>INDEX(Input!$1:$1048576,BK$93,$C177*2+6)</f>
        <v>0.05</v>
      </c>
      <c r="BL177" s="1">
        <f>INDEX(Input!$1:$1048576,BL$93,$C177*2+6)</f>
        <v>5.5E-2</v>
      </c>
      <c r="BM177" s="1">
        <f>INDEX(Input!$1:$1048576,BM$93,$C177*2+6)</f>
        <v>0.06</v>
      </c>
      <c r="BN177" s="1">
        <f>INDEX(Input!$1:$1048576,BN$93,$C177*2+6)</f>
        <v>4.4999999999999998E-2</v>
      </c>
      <c r="BO177" s="1">
        <f>INDEX(Input!$1:$1048576,BO$93,$C177*2+6)</f>
        <v>4.4999999999999998E-2</v>
      </c>
      <c r="BP177" s="1">
        <f>INDEX(Input!$1:$1048576,BP$93,$C177*2+6)</f>
        <v>0.05</v>
      </c>
      <c r="BQ177" s="1">
        <f>INDEX(Input!$1:$1048576,BQ$93,$C177*2+6)</f>
        <v>5.45E-2</v>
      </c>
      <c r="BR177" s="1">
        <f>INDEX(Input!$1:$1048576,BR$93,$C177*2+6)</f>
        <v>5.45E-2</v>
      </c>
      <c r="BS177" s="1">
        <f>INDEX(Input!$1:$1048576,BS$93,$C177*2+6)</f>
        <v>0.05</v>
      </c>
      <c r="BT177" s="1">
        <f>INDEX(Input!$1:$1048576,BT$93,$C177*2+6)</f>
        <v>0.05</v>
      </c>
      <c r="BU177" s="1">
        <f>INDEX(Input!$1:$1048576,BU$93,$C177*2+6)</f>
        <v>0.05</v>
      </c>
      <c r="BV177" s="1">
        <f>INDEX(Input!$1:$1048576,BV$93,$C177*2+6)</f>
        <v>5.5E-2</v>
      </c>
      <c r="BW177" s="1">
        <f>INDEX(Input!$1:$1048576,BW$93,$C177*2+6)</f>
        <v>0.06</v>
      </c>
      <c r="BX177" s="127">
        <f>INDEX(Input!$1:$1048576,BX$93,$C177*2+6)</f>
        <v>19985</v>
      </c>
      <c r="BY177" s="20">
        <f>INDEX(Input!$1:$1048576,BY$93,$C177*2+6)</f>
        <v>0.1</v>
      </c>
      <c r="BZ177" s="20">
        <f>INDEX(Input!$1:$1048576,BZ$93,$C177*2+6)</f>
        <v>0.1</v>
      </c>
      <c r="CA177" s="20">
        <f>INDEX(Input!$1:$1048576,CA$93,$C177*2+6)</f>
        <v>0.1</v>
      </c>
      <c r="CB177" s="20">
        <f>INDEX(Input!$1:$1048576,CB$93,$C177*2+6)</f>
        <v>0.1</v>
      </c>
      <c r="CC177" s="20">
        <f>INDEX(Input!$1:$1048576,CC$93,$C177*2+6)</f>
        <v>0.1</v>
      </c>
      <c r="CD177" s="384">
        <f>INDEX(Input!$1:$1048576,CD$93,$C177*2+6)</f>
        <v>0.1</v>
      </c>
      <c r="CE177" s="384">
        <f>INDEX(Input!$1:$1048576,CE$93,$C177*2+6)</f>
        <v>0.1</v>
      </c>
      <c r="CF177" s="384">
        <f>INDEX(Input!$1:$1048576,CF$93,$C177*2+6)</f>
        <v>0.1</v>
      </c>
      <c r="CG177" s="384">
        <f>INDEX(Input!$1:$1048576,CG$93,$C177*2+6)</f>
        <v>0.1</v>
      </c>
      <c r="CH177" s="384">
        <f>INDEX(Input!$1:$1048576,CH$93,$C177*2+6)</f>
        <v>0.1</v>
      </c>
      <c r="CI177" s="304">
        <f t="shared" si="499"/>
        <v>979</v>
      </c>
      <c r="CJ177" s="16" t="str">
        <f>INDEX(Input!$1:$1048576,CJ$93,$C177*2+6)</f>
        <v>N</v>
      </c>
      <c r="CK177" s="1" t="str">
        <f t="shared" si="500"/>
        <v>Market</v>
      </c>
      <c r="CL177" s="1" t="str">
        <f t="shared" si="501"/>
        <v>Market</v>
      </c>
      <c r="CM177" s="1" t="str">
        <f t="shared" si="502"/>
        <v>Market</v>
      </c>
      <c r="CN177" s="1" t="str">
        <f t="shared" si="503"/>
        <v>Market</v>
      </c>
      <c r="CO177" s="1" t="str">
        <f t="shared" si="504"/>
        <v>Market</v>
      </c>
      <c r="CP177" s="304">
        <f t="shared" si="505"/>
        <v>0</v>
      </c>
      <c r="CQ177" s="1">
        <f t="shared" si="506"/>
        <v>0</v>
      </c>
      <c r="CR177" s="1">
        <f t="shared" si="507"/>
        <v>0</v>
      </c>
      <c r="CS177" s="1">
        <f t="shared" si="508"/>
        <v>0</v>
      </c>
      <c r="CT177" s="1">
        <f t="shared" si="509"/>
        <v>1.9E-2</v>
      </c>
      <c r="CU177" s="1">
        <f t="shared" si="510"/>
        <v>3.9E-2</v>
      </c>
      <c r="CV177" s="304">
        <f t="shared" si="511"/>
        <v>1582</v>
      </c>
      <c r="CW177" s="20" t="s">
        <v>122</v>
      </c>
      <c r="CX177" s="20" t="s">
        <v>122</v>
      </c>
      <c r="CY177" s="20" t="s">
        <v>122</v>
      </c>
      <c r="CZ177" s="20" t="s">
        <v>122</v>
      </c>
      <c r="DA177" s="20" t="s">
        <v>122</v>
      </c>
      <c r="DB177" s="503">
        <f t="shared" si="512"/>
        <v>0</v>
      </c>
      <c r="DC177" s="127">
        <v>0</v>
      </c>
      <c r="DD177" s="127">
        <v>0</v>
      </c>
      <c r="DE177" s="127">
        <v>0</v>
      </c>
      <c r="DF177" s="127">
        <v>0</v>
      </c>
      <c r="DG177" s="127">
        <v>0</v>
      </c>
      <c r="DH177" s="127">
        <v>0</v>
      </c>
      <c r="DI177" s="127">
        <v>0</v>
      </c>
      <c r="DJ177" s="127">
        <v>0</v>
      </c>
      <c r="DK177" s="127">
        <v>0</v>
      </c>
      <c r="DL177" s="127">
        <v>0</v>
      </c>
      <c r="DM177" s="304">
        <f>INDEX(Input!$1:$1048576,DM$93,$C177*2+6)</f>
        <v>21036.84210526316</v>
      </c>
      <c r="DN177" s="20">
        <v>0</v>
      </c>
      <c r="DO177" s="20">
        <v>0</v>
      </c>
      <c r="DP177" s="20">
        <v>0</v>
      </c>
      <c r="DQ177" s="20">
        <v>0</v>
      </c>
      <c r="DR177" s="20">
        <v>0</v>
      </c>
      <c r="DS177" s="20">
        <f>INDEX(Input!$1:$1048576,DS$93,$C177*2+6)</f>
        <v>0.6</v>
      </c>
      <c r="DT177" s="20">
        <f>INDEX(Input!$1:$1048576,DT$93,$C177*2+6)</f>
        <v>0.55000000000000004</v>
      </c>
      <c r="DU177" s="20">
        <f>INDEX(Input!$1:$1048576,DU$93,$C177*2+6)</f>
        <v>0.52</v>
      </c>
      <c r="DV177" s="20">
        <f>INDEX(Input!$1:$1048576,DV$93,$C177*2+6)</f>
        <v>0.5</v>
      </c>
      <c r="DW177" s="20">
        <f>INDEX(Input!$1:$1048576,DW$93,$C177*2+6)</f>
        <v>0.45</v>
      </c>
      <c r="DX177" s="20"/>
      <c r="DY177" s="7">
        <v>9.7515949232804239E-2</v>
      </c>
      <c r="DZ177" s="7">
        <v>0</v>
      </c>
      <c r="EA177" s="7">
        <v>0.47941762810711197</v>
      </c>
      <c r="EB177" s="7">
        <v>0</v>
      </c>
      <c r="EC177" s="7">
        <v>0</v>
      </c>
      <c r="ED177" s="7">
        <v>0</v>
      </c>
      <c r="EE177" s="7">
        <v>0</v>
      </c>
      <c r="EF177" s="7">
        <v>0</v>
      </c>
      <c r="EG177" s="7">
        <v>0</v>
      </c>
      <c r="EH177" s="7">
        <v>1.8402200445098653E-2</v>
      </c>
      <c r="EI177" s="7">
        <v>5.3739557110571878E-2</v>
      </c>
      <c r="EJ177" s="7">
        <v>0.33946684904131991</v>
      </c>
      <c r="EK177" s="7">
        <v>0.4824771263993809</v>
      </c>
      <c r="EL177" s="7">
        <v>0.10591426700362874</v>
      </c>
      <c r="EM177" s="7">
        <v>5.7555368050115581E-2</v>
      </c>
      <c r="EN177" s="7">
        <v>4.9379578909208716E-2</v>
      </c>
      <c r="EO177" s="7">
        <v>0.7561001699318497</v>
      </c>
      <c r="EP177" s="7">
        <v>8.5125034424855847E-2</v>
      </c>
      <c r="EQ177" s="7">
        <v>6.5024794318701645E-2</v>
      </c>
      <c r="ER177" s="7">
        <v>4.4370422415383873E-2</v>
      </c>
      <c r="ES177" s="7">
        <v>0.36551105460996824</v>
      </c>
      <c r="ET177" s="7">
        <v>0.42306642266008382</v>
      </c>
      <c r="EU177" s="6">
        <v>1020</v>
      </c>
      <c r="EV177" s="6">
        <v>0</v>
      </c>
      <c r="EW177" s="6">
        <v>1020</v>
      </c>
      <c r="EX177" s="6">
        <v>0</v>
      </c>
      <c r="EY177" s="6">
        <v>2039.7221397149681</v>
      </c>
      <c r="EZ177" s="6">
        <v>1725</v>
      </c>
      <c r="FA177" s="6">
        <v>0</v>
      </c>
      <c r="FB177" s="6">
        <v>0</v>
      </c>
      <c r="FC177" s="6">
        <v>0</v>
      </c>
      <c r="FD177" s="6">
        <v>0</v>
      </c>
      <c r="FE177" s="6">
        <v>0</v>
      </c>
      <c r="FF177" s="6">
        <v>0</v>
      </c>
      <c r="FG177" s="6">
        <v>0</v>
      </c>
      <c r="FH177" s="6">
        <v>1171.2811379695615</v>
      </c>
      <c r="FI177" s="6">
        <v>1553.9796069512404</v>
      </c>
      <c r="FJ177" s="6">
        <v>2101.2110117447405</v>
      </c>
      <c r="FK177" s="6">
        <v>1772.7139978623229</v>
      </c>
      <c r="FL177" s="6">
        <v>907.07682140966313</v>
      </c>
      <c r="FM177" s="6">
        <v>1769.7221397149681</v>
      </c>
      <c r="FN177" s="6">
        <v>0</v>
      </c>
      <c r="FO177" s="6">
        <v>0</v>
      </c>
      <c r="FP177" s="6">
        <v>0</v>
      </c>
      <c r="FQ177" s="6">
        <v>0</v>
      </c>
      <c r="FR177" s="6">
        <v>0</v>
      </c>
      <c r="FS177" s="6">
        <v>0</v>
      </c>
      <c r="FT177" s="7">
        <v>0.57693357733991624</v>
      </c>
      <c r="FU177" s="7">
        <v>5.7555368050115581E-2</v>
      </c>
      <c r="FV177" s="7">
        <v>0.36551105460996824</v>
      </c>
      <c r="FW177" s="6">
        <v>1019.9999999999999</v>
      </c>
      <c r="FX177" s="6">
        <v>2039.7221397149683</v>
      </c>
      <c r="FY177" s="6">
        <v>1725</v>
      </c>
      <c r="FZ177" s="6">
        <v>1952.7147957719815</v>
      </c>
      <c r="GA177" s="6">
        <v>1336.375776560174</v>
      </c>
      <c r="GB177" s="6">
        <v>18648.624223439827</v>
      </c>
      <c r="GC177" s="7">
        <v>1.0519917368675835E-2</v>
      </c>
      <c r="GD177" s="7">
        <v>9.8679655800784603E-3</v>
      </c>
      <c r="GE177" s="7"/>
      <c r="GF177" s="7"/>
      <c r="GG177" s="7">
        <v>-6.1973090258163985E-2</v>
      </c>
      <c r="GH177" s="42">
        <v>2.0094982959107131</v>
      </c>
      <c r="GI177" s="6">
        <v>11281.644225241649</v>
      </c>
      <c r="GJ177" s="14">
        <v>0.50394797582841744</v>
      </c>
      <c r="GK177" s="14">
        <v>0.50887573065309755</v>
      </c>
      <c r="GL177" s="14">
        <v>0.49605202417158295</v>
      </c>
      <c r="GM177" s="14">
        <v>0.49112426934690251</v>
      </c>
      <c r="GO177" s="5">
        <v>343.14810671672558</v>
      </c>
      <c r="GP177" s="5">
        <v>323.68845259552023</v>
      </c>
      <c r="GQ177" s="5">
        <v>535.04305713031317</v>
      </c>
      <c r="GR177" s="5">
        <v>410.15490233172511</v>
      </c>
      <c r="GS177" s="5">
        <v>339.42744393800166</v>
      </c>
      <c r="GT177" s="5">
        <v>293.4407446948278</v>
      </c>
      <c r="GU177" s="5">
        <v>258.04012322764959</v>
      </c>
      <c r="GV177" s="39" t="s">
        <v>392</v>
      </c>
      <c r="GW177" s="5">
        <v>492.125</v>
      </c>
      <c r="GX177" s="5">
        <v>369.09375</v>
      </c>
      <c r="GY177" s="5">
        <v>295.27499999999998</v>
      </c>
      <c r="GZ177" s="5">
        <v>260.54902799031458</v>
      </c>
      <c r="HA177" s="5">
        <v>241.34874471337258</v>
      </c>
      <c r="HB177" s="39">
        <v>280.39841310148171</v>
      </c>
      <c r="HC177" s="5">
        <v>211.81562499999998</v>
      </c>
      <c r="HD177" s="5">
        <v>188.29497441520465</v>
      </c>
      <c r="HE177" s="5">
        <v>193.13834767206475</v>
      </c>
      <c r="HF177" s="5">
        <v>181.01813048245612</v>
      </c>
      <c r="HG177" s="5">
        <v>177.56888157894736</v>
      </c>
      <c r="HH177" s="39">
        <v>188.91961000194746</v>
      </c>
      <c r="HI177" s="16"/>
      <c r="HJ177" s="19" t="str">
        <f t="shared" ref="HJ177:HK177" si="619">HJ176</f>
        <v>On</v>
      </c>
      <c r="HK177" s="1" t="str">
        <f t="shared" si="619"/>
        <v>On</v>
      </c>
      <c r="HL177" s="16"/>
      <c r="HM177" s="639">
        <f t="shared" si="568"/>
        <v>5.7455619280273196E-3</v>
      </c>
      <c r="HN177" s="639">
        <f t="shared" si="569"/>
        <v>5.0031960498701745E-4</v>
      </c>
      <c r="HO177" s="639">
        <f t="shared" si="570"/>
        <v>3.9819433988714835E-3</v>
      </c>
      <c r="HP177" s="644">
        <f>(FT177*$GD177-HM177)/$JF177*INDEX(Input!$1:$1048576,$JG$93,$C177*2+6)</f>
        <v>-2.2850366873438555</v>
      </c>
      <c r="HQ177" s="644">
        <f>(FU177*$GD177-HN177)/$JF177*INDEX(Input!$1:$1048576,$JG$93,$C177*2+6)</f>
        <v>2.9493186189137086</v>
      </c>
      <c r="HR177" s="644">
        <f>(FV177*$GD177-HO177)/$JF177*INDEX(Input!$1:$1048576,$JG$93,$C177*2+6)</f>
        <v>-16.356501144838063</v>
      </c>
      <c r="HS177" s="644">
        <f t="shared" si="571"/>
        <v>3.9490235894161922</v>
      </c>
      <c r="HT177" s="644">
        <f t="shared" si="572"/>
        <v>2.473674058614427</v>
      </c>
      <c r="HU177" s="644">
        <f t="shared" si="573"/>
        <v>-6.3107410023596691</v>
      </c>
      <c r="HV177" s="648">
        <f t="shared" si="574"/>
        <v>0</v>
      </c>
      <c r="HW177" s="648">
        <f t="shared" si="575"/>
        <v>0</v>
      </c>
      <c r="HX177" s="648">
        <f t="shared" si="576"/>
        <v>0</v>
      </c>
      <c r="HY177" s="644">
        <f>INDEX(Input!$1:$1048576,HY$93,$C177*2+6)*INDEX(Input!$1:$1048576,$JG$93,$C177*2+6)</f>
        <v>110.00000000000001</v>
      </c>
      <c r="HZ177" s="644">
        <f>INDEX(Input!$1:$1048576,HZ$93,$C177*2+6)*INDEX(Input!$1:$1048576,$JG$93,$C177*2+6)</f>
        <v>157</v>
      </c>
      <c r="IA177" s="644">
        <f>INDEX(Input!$1:$1048576,IA$93,$C177*2+6)*INDEX(Input!$1:$1048576,$JG$93,$C177*2+6)</f>
        <v>179</v>
      </c>
      <c r="IB177" s="644">
        <f t="shared" si="577"/>
        <v>111.66398690207234</v>
      </c>
      <c r="IC177" s="644">
        <f t="shared" si="578"/>
        <v>162.42299267752813</v>
      </c>
      <c r="ID177" s="644">
        <f>IF(AND(INDEX(Input!$1:$1048576,IA$93,$C177*2+7)="TOS",Y177&lt;=INDEX(Y:Y,MATCH(C177*1000+2,A:A))),0,1)*MAX(IA177+HR177+HU177+HX177,0%)</f>
        <v>156.33275785280227</v>
      </c>
      <c r="IE177" s="128">
        <f t="shared" si="579"/>
        <v>0.25943045169857976</v>
      </c>
      <c r="IF177" s="128">
        <f t="shared" si="580"/>
        <v>0.37735953663843452</v>
      </c>
      <c r="IG177" s="128">
        <f t="shared" si="581"/>
        <v>0.36321001166298578</v>
      </c>
      <c r="IH177" s="21"/>
      <c r="II177" s="19">
        <f t="shared" si="582"/>
        <v>1240</v>
      </c>
      <c r="IJ177" s="19">
        <f t="shared" si="583"/>
        <v>2009.7221397149679</v>
      </c>
      <c r="IK177" s="19">
        <f t="shared" si="584"/>
        <v>2070</v>
      </c>
      <c r="IL177" s="19">
        <f t="shared" si="585"/>
        <v>-220.00000000000011</v>
      </c>
      <c r="IM177" s="19">
        <f t="shared" si="586"/>
        <v>30.000000000000455</v>
      </c>
      <c r="IN177" s="19">
        <f t="shared" si="587"/>
        <v>-345</v>
      </c>
      <c r="IO177" s="39">
        <f t="shared" si="588"/>
        <v>0</v>
      </c>
      <c r="IP177" s="39">
        <f t="shared" si="589"/>
        <v>0</v>
      </c>
      <c r="IQ177" s="39">
        <f t="shared" si="590"/>
        <v>0</v>
      </c>
      <c r="IR177" s="39">
        <v>0</v>
      </c>
      <c r="IS177" s="39">
        <v>0</v>
      </c>
      <c r="IT177" s="39">
        <v>0</v>
      </c>
      <c r="IU177" s="39">
        <v>0</v>
      </c>
      <c r="IV177" s="39">
        <v>0</v>
      </c>
      <c r="IW177" s="39">
        <v>0</v>
      </c>
      <c r="IX177" s="39">
        <f>INDEX(Input!$1:$1048576,IX$93,$C177*2+6)+INDEX(Input!$1:$1048576,IX$94,$C177*2+6)</f>
        <v>1270</v>
      </c>
      <c r="IY177" s="39">
        <f>INDEX(Input!$1:$1048576,IY$93,$C177*2+6)+INDEX(Input!$1:$1048576,IY$94,$C177*2+6)</f>
        <v>2130.0624533823611</v>
      </c>
      <c r="IZ177" s="39">
        <f>INDEX(Input!$1:$1048576,IZ$93,$C177*2+6)+INDEX(Input!$1:$1048576,IZ$94,$C177*2+6)</f>
        <v>4373.7164157747848</v>
      </c>
      <c r="JA177" s="19">
        <f t="shared" si="591"/>
        <v>1050</v>
      </c>
      <c r="JB177" s="19">
        <f t="shared" si="592"/>
        <v>2160.0624533823616</v>
      </c>
      <c r="JC177" s="19">
        <f t="shared" si="593"/>
        <v>4028.7164157747848</v>
      </c>
      <c r="JD177" s="19">
        <f t="shared" si="594"/>
        <v>2550.7922771623789</v>
      </c>
      <c r="JE177" s="21"/>
      <c r="JF177" s="1">
        <f t="shared" si="595"/>
        <v>1.022782493188582E-2</v>
      </c>
      <c r="JG177" s="15">
        <f>INDEX(Input!$1:$1048576,JG$93,$C177*2+6)/(1+VLOOKUP(C177*1000+INDEX(Input!$1:$1048576,JG$93+1,$C177*2+6),$A:$KK,$JK$92,FALSE))</f>
        <v>446</v>
      </c>
      <c r="JH177" s="1">
        <f t="shared" si="596"/>
        <v>-3.5184348011812132E-2</v>
      </c>
      <c r="JI177" s="1">
        <f t="shared" si="597"/>
        <v>2.5102386921737615E-4</v>
      </c>
      <c r="JJ177" s="1">
        <f t="shared" si="598"/>
        <v>0</v>
      </c>
      <c r="JK177" s="1">
        <f t="shared" si="599"/>
        <v>-3.4933324142594757E-2</v>
      </c>
      <c r="JL177" s="15">
        <f t="shared" si="600"/>
        <v>-15.580262567597261</v>
      </c>
      <c r="JM177" s="15">
        <f t="shared" si="601"/>
        <v>430.41973743240271</v>
      </c>
      <c r="JN177" s="21"/>
      <c r="JO177" s="19">
        <f>INDEX(Input!$1:$1048576,JO$93,$C177*2+6)</f>
        <v>5995.5</v>
      </c>
      <c r="JP177" s="19">
        <f>INDEX(Input!$1:$1048576,JP$93,$C177*2+6)</f>
        <v>2818.4193802796353</v>
      </c>
      <c r="JQ177" s="39">
        <f t="shared" si="602"/>
        <v>3444.7077228376211</v>
      </c>
      <c r="JR177" s="39">
        <f t="shared" si="603"/>
        <v>-267.62710311725641</v>
      </c>
      <c r="JS177" s="39">
        <f t="shared" si="604"/>
        <v>1.0979113421808318</v>
      </c>
      <c r="JT177" s="39">
        <f t="shared" si="605"/>
        <v>-0.15910370142388552</v>
      </c>
      <c r="JU177" s="385">
        <f>(JQ177*JM177-INDEX(Input!$1:$1048576,Input!A$18,$C177*2+6)*JL177*INDEX(Input!$1:$1048576,Input!A$19,$C177*2+6))/1000000</f>
        <v>1.4826701935951385</v>
      </c>
      <c r="JV177" s="39">
        <f t="shared" si="606"/>
        <v>6.5692237199855841E-2</v>
      </c>
      <c r="JW177" s="1">
        <f t="shared" si="607"/>
        <v>4.6360803923141777E-2</v>
      </c>
      <c r="JX177" s="19">
        <f t="shared" si="608"/>
        <v>10211.875488849479</v>
      </c>
      <c r="JZ177" s="341"/>
      <c r="KA177" s="342"/>
      <c r="KB177" s="469">
        <f t="shared" si="514"/>
        <v>2.9286733661474216</v>
      </c>
      <c r="KI177" s="473">
        <f t="shared" si="609"/>
        <v>1.6639869020723239</v>
      </c>
      <c r="KJ177" s="473">
        <f t="shared" si="610"/>
        <v>5.4229926775281285</v>
      </c>
      <c r="KK177" s="473">
        <f t="shared" si="611"/>
        <v>-22.667242147197726</v>
      </c>
      <c r="KN177" s="544">
        <f t="shared" si="612"/>
        <v>1002</v>
      </c>
      <c r="KO177" s="541">
        <f t="shared" si="613"/>
        <v>-3.8889155473858072E-2</v>
      </c>
      <c r="KP177" s="546">
        <f t="shared" si="614"/>
        <v>-195.61321712331966</v>
      </c>
      <c r="KQ177" s="546">
        <f t="shared" si="615"/>
        <v>-288.52392285627275</v>
      </c>
      <c r="KR177" s="548">
        <f t="shared" si="616"/>
        <v>3.4086713199074277</v>
      </c>
      <c r="KS177" s="548">
        <f t="shared" si="617"/>
        <v>2.311008239463177</v>
      </c>
      <c r="KT177" s="473">
        <f t="shared" si="515"/>
        <v>238.28695973331548</v>
      </c>
      <c r="KU177" s="663">
        <f t="shared" si="618"/>
        <v>6.3173587153662698</v>
      </c>
    </row>
    <row r="178" spans="1:307" s="26" customFormat="1" ht="15" outlineLevel="1">
      <c r="A178" s="561">
        <f t="shared" si="391"/>
        <v>1078</v>
      </c>
      <c r="B178" s="561">
        <f t="shared" si="513"/>
        <v>78</v>
      </c>
      <c r="C178" s="561">
        <f t="shared" si="105"/>
        <v>1</v>
      </c>
      <c r="D178" s="561" t="str">
        <f t="shared" si="294"/>
        <v xml:space="preserve">-500 CC, -360 Lease, </v>
      </c>
      <c r="E178" s="475">
        <f>INDEX(Input!$1:$1048576,E$93,$C178*2+MIN($B178,2)+5)
+INDEX(Scenarios!E$121:E$200,MATCH($B178,Scenarios!$B$121:$B$200,0))</f>
        <v>729</v>
      </c>
      <c r="F178" s="475">
        <f>INDEX(Input!$1:$1048576,F$93,$C178*2+MIN($B178,2)+5)
+INDEX(Scenarios!F$121:F$200,MATCH($B178,Scenarios!$B$121:$B$200,0))</f>
        <v>0</v>
      </c>
      <c r="G178" s="475">
        <f>INDEX(Input!$1:$1048576,G$93,$C178*2+MIN($B178,2)+5)
+INDEX(Scenarios!G$121:G$200,MATCH($B178,Scenarios!$B$121:$B$200,0))</f>
        <v>0</v>
      </c>
      <c r="H178" s="475">
        <f>INDEX(Input!$1:$1048576,H$93,$C178*2+MIN($B178,2)+5)
+INDEX(Scenarios!H$121:H$200,MATCH($B178,Scenarios!$B$121:$B$200,0))</f>
        <v>0</v>
      </c>
      <c r="I178" s="476">
        <f>INDEX(Input!$1:$1048576,I$93,$C178*2+MIN($B178,2)+5)</f>
        <v>0.7</v>
      </c>
      <c r="J178" s="476" t="str">
        <f>INDEX(Input!$1:$1048576,J$93,$C178*2+MIN($B178,2)+5)</f>
        <v>Market</v>
      </c>
      <c r="K178" s="476" t="str">
        <f>INDEX(Input!$1:$1048576,K$93,$C178*2+MIN($B178,2)+5)</f>
        <v>Market</v>
      </c>
      <c r="L178" s="476" t="str">
        <f>INDEX(Input!$1:$1048576,L$93,$C178*2+MIN($B178,2)+5)</f>
        <v>Market</v>
      </c>
      <c r="M178" s="476" t="str">
        <f>INDEX(Input!$1:$1048576,M$93,$C178*2+MIN($B178,2)+5)</f>
        <v>Market</v>
      </c>
      <c r="N178" s="476" t="str">
        <f>INDEX(Input!$1:$1048576,N$93,$C178*2+MIN($B178,2)+5)</f>
        <v>Market</v>
      </c>
      <c r="O178" s="476" t="str">
        <f>INDEX(Input!$1:$1048576,O$93,$C178*2+MIN($B178,2)+5)</f>
        <v>Market</v>
      </c>
      <c r="P178" s="476" t="str">
        <f>INDEX(Input!$1:$1048576,P$93,$C178*2+MIN($B178,2)+5)</f>
        <v>N</v>
      </c>
      <c r="Q178" s="477">
        <f>INDEX(Input!$1:$1048576,Q$93,$C178*2+MIN($B178,2)+5)
+INDEX(Scenarios!Q$121:Q$200,MATCH($B178,Scenarios!$B$121:$B$200,0))</f>
        <v>0</v>
      </c>
      <c r="R178" s="478">
        <f>IFERROR(MAX(0,INDEX(Input!$1:$1048576,R$93,$C178*2+MIN($B178,2)+5)
+INDEX(Scenarios!R$121:R$200,MATCH($B178,Scenarios!$B$121:$B$200,0)),),"Market")</f>
        <v>0</v>
      </c>
      <c r="S178" s="478">
        <f>IFERROR(MAX(0,INDEX(Input!$1:$1048576,S$93,$C178*2+MIN($B178,2)+5)
+INDEX(Scenarios!S$121:S$200,MATCH($B178,Scenarios!$B$121:$B$200,0)),),"Market")</f>
        <v>0</v>
      </c>
      <c r="T178" s="478">
        <f>IFERROR(MAX(0,INDEX(Input!$1:$1048576,T$93,$C178*2+MIN($B178,2)+5)
+INDEX(Scenarios!T$121:T$200,MATCH($B178,Scenarios!$B$121:$B$200,0)),),"Market")</f>
        <v>0</v>
      </c>
      <c r="U178" s="478">
        <f>IFERROR(MAX(0,INDEX(Input!$1:$1048576,U$93,$C178*2+MIN($B178,2)+5)
+INDEX(Scenarios!U$121:U$200,MATCH($B178,Scenarios!$B$121:$B$200,0)),),"Market")</f>
        <v>0</v>
      </c>
      <c r="V178" s="478">
        <f>IFERROR(MAX(0,INDEX(Input!$1:$1048576,V$93,$C178*2+MIN($B178,2)+5)
+INDEX(Scenarios!V$121:V$200,MATCH($B178,Scenarios!$B$121:$B$200,0)),),"Market")</f>
        <v>1.9E-2</v>
      </c>
      <c r="W178" s="885">
        <f>IFERROR(MAX(0,INDEX(Input!$1:$1048576,W$93,$C178*2+MIN($B178,2)+5)-0%,),"Market")</f>
        <v>3.9E-2</v>
      </c>
      <c r="X178" s="476" t="str">
        <f>INDEX(Input!$1:$1048576,X$93,$C178*2+MIN($B178,2)+5)</f>
        <v>Y</v>
      </c>
      <c r="Y178" s="475">
        <f>INDEX(Input!$1:$1048576,Y$93,$C178*2+MIN($B178,2)+5)
++INDEX(Scenarios!Y$121:Y$200,MATCH($B178,Scenarios!$B$121:$B$200,0))</f>
        <v>1582</v>
      </c>
      <c r="Z178" s="477">
        <f>INDEX(Input!$1:$1048576,Z$93,$C178*2+MIN($B178,2)+5)
+INDEX(Scenarios!Z$121:Z$200,MATCH($B178,Scenarios!$B$121:$B$200,0))</f>
        <v>0</v>
      </c>
      <c r="AA178" s="475">
        <f>INDEX(Input!$1:$1048576,AA$93,$C178*2+MIN($B178,2)+5)
+INDEX(Scenarios!AA$121:AA$200,MATCH($B178,Scenarios!$B$121:$B$200,0))</f>
        <v>0</v>
      </c>
      <c r="AB178" s="476">
        <f>INDEX(Input!$1:$1048576,AB$93,$C178*2+MIN($B178,2)+5)</f>
        <v>0.27</v>
      </c>
      <c r="AC178" s="475">
        <f>INDEX(Input!$1:$1048576,AC$93,$C178*2+MIN($B178,2)+5)
+INDEX(Scenarios!AC$121:AC$200,MATCH($B178,Scenarios!$B$121:$B$200,0))</f>
        <v>0</v>
      </c>
      <c r="AD178" s="476">
        <f>INDEX(Input!$1:$1048576,AD$93,$C178*2+MIN($B178,2)+5)</f>
        <v>0.27</v>
      </c>
      <c r="AE178" s="475">
        <f>INDEX(Input!$1:$1048576,AE$93,$C178*2+MIN($B178,2)+5)
+INDEX(Scenarios!AE$121:AE$200,MATCH($B178,Scenarios!$B$121:$B$200,0))</f>
        <v>0</v>
      </c>
      <c r="AF178" s="476">
        <f>INDEX(Input!$1:$1048576,AF$93,$C178*2+MIN($B178,2)+5)</f>
        <v>0.38</v>
      </c>
      <c r="AG178" s="475">
        <f>INDEX(Input!$1:$1048576,AG$93,$C178*2+MIN($B178,2)+5)
+INDEX(Scenarios!AG$121:AG$200,MATCH($B178,Scenarios!$B$121:$B$200,0))</f>
        <v>0</v>
      </c>
      <c r="AH178" s="476">
        <f>INDEX(Input!$1:$1048576,AH$93,$C178*2+MIN($B178,2)+5)</f>
        <v>0</v>
      </c>
      <c r="AI178" s="475">
        <f>INDEX(Input!$1:$1048576,AI$93,$C178*2+MIN($B178,2)+5)
+INDEX(Scenarios!AI$121:AI$200,MATCH($B178,Scenarios!$B$121:$B$200,0))</f>
        <v>0</v>
      </c>
      <c r="AJ178" s="476">
        <f>INDEX(Input!$1:$1048576,AJ$93,$C178*2+MIN($B178,2)+5)</f>
        <v>0.27</v>
      </c>
      <c r="AK178" s="150">
        <f>ROUND(INDEX(Input!$1:$1048576,AK$93,$C177*2+MIN($B178,1)+5)+(Y178-VLOOKUP($C178*1000+1,$A:$HH,Y$92,FALSE)),0)</f>
        <v>3397</v>
      </c>
      <c r="AL178" s="150">
        <f>ROUND(INDEX(Input!$1:$1048576,AL$93,$C177*2+MIN($B178,1)+5)-(Y178-VLOOKUP($C178*1000+1,$A:$HH,Y$92,FALSE))/36,0)</f>
        <v>4123</v>
      </c>
      <c r="AM178" s="32" t="str">
        <f t="shared" si="392"/>
        <v>std/std/std/std</v>
      </c>
      <c r="AN178" s="32" t="str">
        <f t="shared" si="393"/>
        <v>$0 + 0/0/0/1.9/3.9</v>
      </c>
      <c r="AO178" s="32" t="str">
        <f t="shared" si="394"/>
        <v>0/0/0/1.9/3.9</v>
      </c>
      <c r="AP178" s="32" t="str">
        <f t="shared" si="498"/>
        <v>0/0.9/1.9/3.9</v>
      </c>
      <c r="AQ178" s="536">
        <f t="shared" si="497"/>
        <v>0.22804173454013368</v>
      </c>
      <c r="AR178" s="32"/>
      <c r="AS178" s="302"/>
      <c r="AT178" s="3">
        <f t="shared" si="106"/>
        <v>78</v>
      </c>
      <c r="AU178" s="41" t="s">
        <v>121</v>
      </c>
      <c r="AV178" s="41" t="s">
        <v>116</v>
      </c>
      <c r="AW178" s="41" t="str">
        <f>INDEX(Input!$1:$1048576,AW$93,$C178*2+6)</f>
        <v>Kia</v>
      </c>
      <c r="AX178" s="41" t="str">
        <f>INDEX(Input!$1:$1048576,AX$93,$C178*2+6)</f>
        <v>Kia-LR - L1</v>
      </c>
      <c r="AY178" s="41" t="str">
        <f>IF(LEN(D178)=0,"",INDEX(Input!$1:$1048576,AY$93,$C178*2+6))</f>
        <v>Compact SUV (52)</v>
      </c>
      <c r="AZ178" s="41" t="str">
        <f>INDEX(Input!$1:$1048576,AZ$93,$C178*2+6)</f>
        <v>Kia Soul</v>
      </c>
      <c r="BA178" s="3">
        <f>INDEX(Input!$1:$1048576,BA$93,$C178*2+6)</f>
        <v>2020</v>
      </c>
      <c r="BB178" s="128">
        <f>INDEX(Input!$1:$1048576,BB$93,$C178*2+6)</f>
        <v>1</v>
      </c>
      <c r="BC178" s="128">
        <f>INDEX(Input!$1:$1048576,BC$93,$C178*2+6)</f>
        <v>0.7</v>
      </c>
      <c r="BD178" s="1">
        <f>INDEX(Input!$1:$1048576,BD$93,$C178*2+6)</f>
        <v>4.4999999999999998E-2</v>
      </c>
      <c r="BE178" s="1">
        <f>INDEX(Input!$1:$1048576,BE$93,$C178*2+6)</f>
        <v>4.4999999999999998E-2</v>
      </c>
      <c r="BF178" s="1">
        <f>INDEX(Input!$1:$1048576,BF$93,$C178*2+6)</f>
        <v>0.05</v>
      </c>
      <c r="BG178" s="1">
        <f>INDEX(Input!$1:$1048576,BG$93,$C178*2+6)</f>
        <v>5.45E-2</v>
      </c>
      <c r="BH178" s="1">
        <f>INDEX(Input!$1:$1048576,BH$93,$C178*2+6)</f>
        <v>5.45E-2</v>
      </c>
      <c r="BI178" s="1">
        <f>INDEX(Input!$1:$1048576,BI$93,$C178*2+6)</f>
        <v>0.05</v>
      </c>
      <c r="BJ178" s="1">
        <f>INDEX(Input!$1:$1048576,BJ$93,$C178*2+6)</f>
        <v>0.05</v>
      </c>
      <c r="BK178" s="1">
        <f>INDEX(Input!$1:$1048576,BK$93,$C178*2+6)</f>
        <v>0.05</v>
      </c>
      <c r="BL178" s="1">
        <f>INDEX(Input!$1:$1048576,BL$93,$C178*2+6)</f>
        <v>5.5E-2</v>
      </c>
      <c r="BM178" s="1">
        <f>INDEX(Input!$1:$1048576,BM$93,$C178*2+6)</f>
        <v>0.06</v>
      </c>
      <c r="BN178" s="1">
        <f>INDEX(Input!$1:$1048576,BN$93,$C178*2+6)</f>
        <v>4.4999999999999998E-2</v>
      </c>
      <c r="BO178" s="1">
        <f>INDEX(Input!$1:$1048576,BO$93,$C178*2+6)</f>
        <v>4.4999999999999998E-2</v>
      </c>
      <c r="BP178" s="1">
        <f>INDEX(Input!$1:$1048576,BP$93,$C178*2+6)</f>
        <v>0.05</v>
      </c>
      <c r="BQ178" s="1">
        <f>INDEX(Input!$1:$1048576,BQ$93,$C178*2+6)</f>
        <v>5.45E-2</v>
      </c>
      <c r="BR178" s="1">
        <f>INDEX(Input!$1:$1048576,BR$93,$C178*2+6)</f>
        <v>5.45E-2</v>
      </c>
      <c r="BS178" s="1">
        <f>INDEX(Input!$1:$1048576,BS$93,$C178*2+6)</f>
        <v>0.05</v>
      </c>
      <c r="BT178" s="1">
        <f>INDEX(Input!$1:$1048576,BT$93,$C178*2+6)</f>
        <v>0.05</v>
      </c>
      <c r="BU178" s="1">
        <f>INDEX(Input!$1:$1048576,BU$93,$C178*2+6)</f>
        <v>0.05</v>
      </c>
      <c r="BV178" s="1">
        <f>INDEX(Input!$1:$1048576,BV$93,$C178*2+6)</f>
        <v>5.5E-2</v>
      </c>
      <c r="BW178" s="1">
        <f>INDEX(Input!$1:$1048576,BW$93,$C178*2+6)</f>
        <v>0.06</v>
      </c>
      <c r="BX178" s="127">
        <f>INDEX(Input!$1:$1048576,BX$93,$C178*2+6)</f>
        <v>19985</v>
      </c>
      <c r="BY178" s="20">
        <f>INDEX(Input!$1:$1048576,BY$93,$C178*2+6)</f>
        <v>0.1</v>
      </c>
      <c r="BZ178" s="20">
        <f>INDEX(Input!$1:$1048576,BZ$93,$C178*2+6)</f>
        <v>0.1</v>
      </c>
      <c r="CA178" s="20">
        <f>INDEX(Input!$1:$1048576,CA$93,$C178*2+6)</f>
        <v>0.1</v>
      </c>
      <c r="CB178" s="20">
        <f>INDEX(Input!$1:$1048576,CB$93,$C178*2+6)</f>
        <v>0.1</v>
      </c>
      <c r="CC178" s="20">
        <f>INDEX(Input!$1:$1048576,CC$93,$C178*2+6)</f>
        <v>0.1</v>
      </c>
      <c r="CD178" s="384">
        <f>INDEX(Input!$1:$1048576,CD$93,$C178*2+6)</f>
        <v>0.1</v>
      </c>
      <c r="CE178" s="384">
        <f>INDEX(Input!$1:$1048576,CE$93,$C178*2+6)</f>
        <v>0.1</v>
      </c>
      <c r="CF178" s="384">
        <f>INDEX(Input!$1:$1048576,CF$93,$C178*2+6)</f>
        <v>0.1</v>
      </c>
      <c r="CG178" s="384">
        <f>INDEX(Input!$1:$1048576,CG$93,$C178*2+6)</f>
        <v>0.1</v>
      </c>
      <c r="CH178" s="384">
        <f>INDEX(Input!$1:$1048576,CH$93,$C178*2+6)</f>
        <v>0.1</v>
      </c>
      <c r="CI178" s="304">
        <f t="shared" si="499"/>
        <v>729</v>
      </c>
      <c r="CJ178" s="16" t="str">
        <f>INDEX(Input!$1:$1048576,CJ$93,$C178*2+6)</f>
        <v>N</v>
      </c>
      <c r="CK178" s="1" t="str">
        <f t="shared" si="500"/>
        <v>Market</v>
      </c>
      <c r="CL178" s="1" t="str">
        <f t="shared" si="501"/>
        <v>Market</v>
      </c>
      <c r="CM178" s="1" t="str">
        <f t="shared" si="502"/>
        <v>Market</v>
      </c>
      <c r="CN178" s="1" t="str">
        <f t="shared" si="503"/>
        <v>Market</v>
      </c>
      <c r="CO178" s="1" t="str">
        <f t="shared" si="504"/>
        <v>Market</v>
      </c>
      <c r="CP178" s="304">
        <f t="shared" si="505"/>
        <v>0</v>
      </c>
      <c r="CQ178" s="1">
        <f t="shared" si="506"/>
        <v>0</v>
      </c>
      <c r="CR178" s="1">
        <f t="shared" si="507"/>
        <v>0</v>
      </c>
      <c r="CS178" s="1">
        <f t="shared" si="508"/>
        <v>0</v>
      </c>
      <c r="CT178" s="1">
        <f t="shared" si="509"/>
        <v>1.9E-2</v>
      </c>
      <c r="CU178" s="1">
        <f t="shared" si="510"/>
        <v>3.9E-2</v>
      </c>
      <c r="CV178" s="304">
        <f t="shared" si="511"/>
        <v>1582</v>
      </c>
      <c r="CW178" s="20" t="s">
        <v>122</v>
      </c>
      <c r="CX178" s="20" t="s">
        <v>122</v>
      </c>
      <c r="CY178" s="20" t="s">
        <v>122</v>
      </c>
      <c r="CZ178" s="20" t="s">
        <v>122</v>
      </c>
      <c r="DA178" s="20" t="s">
        <v>122</v>
      </c>
      <c r="DB178" s="503">
        <f t="shared" si="512"/>
        <v>0</v>
      </c>
      <c r="DC178" s="127">
        <v>0</v>
      </c>
      <c r="DD178" s="127">
        <v>0</v>
      </c>
      <c r="DE178" s="127">
        <v>0</v>
      </c>
      <c r="DF178" s="127">
        <v>0</v>
      </c>
      <c r="DG178" s="127">
        <v>0</v>
      </c>
      <c r="DH178" s="127">
        <v>0</v>
      </c>
      <c r="DI178" s="127">
        <v>0</v>
      </c>
      <c r="DJ178" s="127">
        <v>0</v>
      </c>
      <c r="DK178" s="127">
        <v>0</v>
      </c>
      <c r="DL178" s="127">
        <v>0</v>
      </c>
      <c r="DM178" s="304">
        <f>INDEX(Input!$1:$1048576,DM$93,$C178*2+6)</f>
        <v>21036.84210526316</v>
      </c>
      <c r="DN178" s="20">
        <v>0</v>
      </c>
      <c r="DO178" s="20">
        <v>0</v>
      </c>
      <c r="DP178" s="20">
        <v>0</v>
      </c>
      <c r="DQ178" s="20">
        <v>0</v>
      </c>
      <c r="DR178" s="20">
        <v>0</v>
      </c>
      <c r="DS178" s="20">
        <f>INDEX(Input!$1:$1048576,DS$93,$C178*2+6)</f>
        <v>0.6</v>
      </c>
      <c r="DT178" s="20">
        <f>INDEX(Input!$1:$1048576,DT$93,$C178*2+6)</f>
        <v>0.55000000000000004</v>
      </c>
      <c r="DU178" s="20">
        <f>INDEX(Input!$1:$1048576,DU$93,$C178*2+6)</f>
        <v>0.52</v>
      </c>
      <c r="DV178" s="20">
        <f>INDEX(Input!$1:$1048576,DV$93,$C178*2+6)</f>
        <v>0.5</v>
      </c>
      <c r="DW178" s="20">
        <f>INDEX(Input!$1:$1048576,DW$93,$C178*2+6)</f>
        <v>0.45</v>
      </c>
      <c r="DX178" s="20"/>
      <c r="DY178" s="7">
        <v>8.9700733526317231E-2</v>
      </c>
      <c r="DZ178" s="7">
        <v>0</v>
      </c>
      <c r="EA178" s="7">
        <v>0.45357333640820352</v>
      </c>
      <c r="EB178" s="7">
        <v>0</v>
      </c>
      <c r="EC178" s="7">
        <v>0</v>
      </c>
      <c r="ED178" s="7">
        <v>0</v>
      </c>
      <c r="EE178" s="7">
        <v>0</v>
      </c>
      <c r="EF178" s="7">
        <v>0</v>
      </c>
      <c r="EG178" s="7">
        <v>0</v>
      </c>
      <c r="EH178" s="7">
        <v>1.8402200445098653E-2</v>
      </c>
      <c r="EI178" s="7">
        <v>5.3739557110571906E-2</v>
      </c>
      <c r="EJ178" s="7">
        <v>0.33946684904131996</v>
      </c>
      <c r="EK178" s="7">
        <v>0.48247712639938084</v>
      </c>
      <c r="EL178" s="7">
        <v>0.10591426700362871</v>
      </c>
      <c r="EM178" s="7">
        <v>6.2134519770363682E-2</v>
      </c>
      <c r="EN178" s="7">
        <v>4.9379578909208743E-2</v>
      </c>
      <c r="EO178" s="7">
        <v>0.75610016993184981</v>
      </c>
      <c r="EP178" s="7">
        <v>8.5125034424855861E-2</v>
      </c>
      <c r="EQ178" s="7">
        <v>6.5024794318701645E-2</v>
      </c>
      <c r="ER178" s="7">
        <v>4.4370422415383894E-2</v>
      </c>
      <c r="ES178" s="7">
        <v>0.39459141029511557</v>
      </c>
      <c r="ET178" s="7">
        <v>0.45672593006547924</v>
      </c>
      <c r="EU178" s="6">
        <v>770</v>
      </c>
      <c r="EV178" s="6">
        <v>0</v>
      </c>
      <c r="EW178" s="6">
        <v>770</v>
      </c>
      <c r="EX178" s="6">
        <v>0</v>
      </c>
      <c r="EY178" s="6">
        <v>2039.7221397149683</v>
      </c>
      <c r="EZ178" s="6">
        <v>1725</v>
      </c>
      <c r="FA178" s="6">
        <v>0</v>
      </c>
      <c r="FB178" s="6">
        <v>0</v>
      </c>
      <c r="FC178" s="6">
        <v>0</v>
      </c>
      <c r="FD178" s="6">
        <v>0</v>
      </c>
      <c r="FE178" s="6">
        <v>0</v>
      </c>
      <c r="FF178" s="6">
        <v>0</v>
      </c>
      <c r="FG178" s="6">
        <v>0</v>
      </c>
      <c r="FH178" s="6">
        <v>1171.2811379695615</v>
      </c>
      <c r="FI178" s="6">
        <v>1553.9796069512392</v>
      </c>
      <c r="FJ178" s="6">
        <v>2101.211011744741</v>
      </c>
      <c r="FK178" s="6">
        <v>1772.7139978623234</v>
      </c>
      <c r="FL178" s="6">
        <v>907.07682140966313</v>
      </c>
      <c r="FM178" s="6">
        <v>1769.7221397149683</v>
      </c>
      <c r="FN178" s="6">
        <v>0</v>
      </c>
      <c r="FO178" s="6">
        <v>0</v>
      </c>
      <c r="FP178" s="6">
        <v>0</v>
      </c>
      <c r="FQ178" s="6">
        <v>0</v>
      </c>
      <c r="FR178" s="6">
        <v>0</v>
      </c>
      <c r="FS178" s="6">
        <v>0</v>
      </c>
      <c r="FT178" s="7">
        <v>0.54327406993452076</v>
      </c>
      <c r="FU178" s="7">
        <v>6.2134519770363682E-2</v>
      </c>
      <c r="FV178" s="7">
        <v>0.39459141029511557</v>
      </c>
      <c r="FW178" s="6">
        <v>770</v>
      </c>
      <c r="FX178" s="6">
        <v>2039.7221397149683</v>
      </c>
      <c r="FY178" s="6">
        <v>1725</v>
      </c>
      <c r="FZ178" s="6">
        <v>1952.7147957719815</v>
      </c>
      <c r="GA178" s="6">
        <v>1225.7283722248235</v>
      </c>
      <c r="GB178" s="6">
        <v>18759.271627775175</v>
      </c>
      <c r="GC178" s="7">
        <v>1.0519917368675835E-2</v>
      </c>
      <c r="GD178" s="7">
        <v>9.6855098844896362E-3</v>
      </c>
      <c r="GE178" s="7"/>
      <c r="GF178" s="7"/>
      <c r="GG178" s="7">
        <v>-7.9316923787893526E-2</v>
      </c>
      <c r="GH178" s="42">
        <v>2.1804378604028045</v>
      </c>
      <c r="GI178" s="6">
        <v>10391.318624958769</v>
      </c>
      <c r="GJ178" s="14">
        <v>0.50394797582841744</v>
      </c>
      <c r="GK178" s="14">
        <v>0.50887573065309755</v>
      </c>
      <c r="GL178" s="14">
        <v>0.49605202417158278</v>
      </c>
      <c r="GM178" s="14">
        <v>0.49112426934690256</v>
      </c>
      <c r="GO178" s="5">
        <v>343.14810671672558</v>
      </c>
      <c r="GP178" s="5">
        <v>328.4579756644431</v>
      </c>
      <c r="GQ178" s="5">
        <v>535.04305713031317</v>
      </c>
      <c r="GR178" s="5">
        <v>410.15490233172511</v>
      </c>
      <c r="GS178" s="5">
        <v>339.42744393800166</v>
      </c>
      <c r="GT178" s="5">
        <v>293.4407446948278</v>
      </c>
      <c r="GU178" s="5">
        <v>258.04012322764959</v>
      </c>
      <c r="GV178" s="39" t="s">
        <v>392</v>
      </c>
      <c r="GW178" s="5">
        <v>492.125</v>
      </c>
      <c r="GX178" s="5">
        <v>369.09375</v>
      </c>
      <c r="GY178" s="5">
        <v>295.27499999999998</v>
      </c>
      <c r="GZ178" s="5">
        <v>260.54902799031458</v>
      </c>
      <c r="HA178" s="5">
        <v>241.34874471337258</v>
      </c>
      <c r="HB178" s="39">
        <v>280.39841310148165</v>
      </c>
      <c r="HC178" s="5">
        <v>211.81562499999998</v>
      </c>
      <c r="HD178" s="5">
        <v>188.29497441520465</v>
      </c>
      <c r="HE178" s="5">
        <v>193.13834767206475</v>
      </c>
      <c r="HF178" s="5">
        <v>181.01813048245612</v>
      </c>
      <c r="HG178" s="5">
        <v>177.56888157894736</v>
      </c>
      <c r="HH178" s="39">
        <v>188.91961000194749</v>
      </c>
      <c r="HI178" s="16"/>
      <c r="HJ178" s="19" t="str">
        <f t="shared" ref="HJ178:HK178" si="620">HJ177</f>
        <v>On</v>
      </c>
      <c r="HK178" s="1" t="str">
        <f t="shared" si="620"/>
        <v>On</v>
      </c>
      <c r="HL178" s="16"/>
      <c r="HM178" s="639">
        <f t="shared" si="568"/>
        <v>5.7455619280273196E-3</v>
      </c>
      <c r="HN178" s="639">
        <f t="shared" si="569"/>
        <v>5.0031960498701745E-4</v>
      </c>
      <c r="HO178" s="639">
        <f t="shared" si="570"/>
        <v>3.9819433988714835E-3</v>
      </c>
      <c r="HP178" s="644">
        <f>(FT178*$GD178-HM178)/$JF178*INDEX(Input!$1:$1048576,$JG$93,$C178*2+6)</f>
        <v>-21.091414683198842</v>
      </c>
      <c r="HQ178" s="644">
        <f>(FU178*$GD178-HN178)/$JF178*INDEX(Input!$1:$1048576,$JG$93,$C178*2+6)</f>
        <v>4.4254048037926861</v>
      </c>
      <c r="HR178" s="644">
        <f>(FV178*$GD178-HO178)/$JF178*INDEX(Input!$1:$1048576,$JG$93,$C178*2+6)</f>
        <v>-6.9824699048583279</v>
      </c>
      <c r="HS178" s="644">
        <f t="shared" si="571"/>
        <v>8.4592352069306216</v>
      </c>
      <c r="HT178" s="644">
        <f t="shared" si="572"/>
        <v>4.4811543555036399</v>
      </c>
      <c r="HU178" s="644">
        <f t="shared" si="573"/>
        <v>-8.3182212992488829</v>
      </c>
      <c r="HV178" s="648">
        <f t="shared" si="574"/>
        <v>0</v>
      </c>
      <c r="HW178" s="648">
        <f t="shared" si="575"/>
        <v>0</v>
      </c>
      <c r="HX178" s="648">
        <f t="shared" si="576"/>
        <v>0</v>
      </c>
      <c r="HY178" s="644">
        <f>INDEX(Input!$1:$1048576,HY$93,$C178*2+6)*INDEX(Input!$1:$1048576,$JG$93,$C178*2+6)</f>
        <v>110.00000000000001</v>
      </c>
      <c r="HZ178" s="644">
        <f>INDEX(Input!$1:$1048576,HZ$93,$C178*2+6)*INDEX(Input!$1:$1048576,$JG$93,$C178*2+6)</f>
        <v>157</v>
      </c>
      <c r="IA178" s="644">
        <f>INDEX(Input!$1:$1048576,IA$93,$C178*2+6)*INDEX(Input!$1:$1048576,$JG$93,$C178*2+6)</f>
        <v>179</v>
      </c>
      <c r="IB178" s="644">
        <f t="shared" si="577"/>
        <v>97.367820523731808</v>
      </c>
      <c r="IC178" s="644">
        <f t="shared" si="578"/>
        <v>165.90655915929631</v>
      </c>
      <c r="ID178" s="644">
        <f>IF(AND(INDEX(Input!$1:$1048576,IA$93,$C178*2+7)="TOS",Y178&lt;=INDEX(Y:Y,MATCH(C178*1000+2,A:A))),0,1)*MAX(IA178+HR178+HU178+HX178,0%)</f>
        <v>163.69930879589279</v>
      </c>
      <c r="IE178" s="128">
        <f t="shared" si="579"/>
        <v>0.22804173454013368</v>
      </c>
      <c r="IF178" s="128">
        <f t="shared" si="580"/>
        <v>0.38856389430068339</v>
      </c>
      <c r="IG178" s="128">
        <f t="shared" si="581"/>
        <v>0.38339437115918307</v>
      </c>
      <c r="IH178" s="21"/>
      <c r="II178" s="19">
        <f t="shared" si="582"/>
        <v>1240</v>
      </c>
      <c r="IJ178" s="19">
        <f t="shared" si="583"/>
        <v>2009.7221397149679</v>
      </c>
      <c r="IK178" s="19">
        <f t="shared" si="584"/>
        <v>2070</v>
      </c>
      <c r="IL178" s="19">
        <f t="shared" si="585"/>
        <v>-470</v>
      </c>
      <c r="IM178" s="19">
        <f t="shared" si="586"/>
        <v>30.000000000000455</v>
      </c>
      <c r="IN178" s="19">
        <f t="shared" si="587"/>
        <v>-345</v>
      </c>
      <c r="IO178" s="39">
        <f t="shared" si="588"/>
        <v>0</v>
      </c>
      <c r="IP178" s="39">
        <f t="shared" si="589"/>
        <v>0</v>
      </c>
      <c r="IQ178" s="39">
        <f t="shared" si="590"/>
        <v>0</v>
      </c>
      <c r="IR178" s="39">
        <v>0</v>
      </c>
      <c r="IS178" s="39">
        <v>0</v>
      </c>
      <c r="IT178" s="39">
        <v>0</v>
      </c>
      <c r="IU178" s="39">
        <v>0</v>
      </c>
      <c r="IV178" s="39">
        <v>0</v>
      </c>
      <c r="IW178" s="39">
        <v>0</v>
      </c>
      <c r="IX178" s="39">
        <f>INDEX(Input!$1:$1048576,IX$93,$C178*2+6)+INDEX(Input!$1:$1048576,IX$94,$C178*2+6)</f>
        <v>1270</v>
      </c>
      <c r="IY178" s="39">
        <f>INDEX(Input!$1:$1048576,IY$93,$C178*2+6)+INDEX(Input!$1:$1048576,IY$94,$C178*2+6)</f>
        <v>2130.0624533823611</v>
      </c>
      <c r="IZ178" s="39">
        <f>INDEX(Input!$1:$1048576,IZ$93,$C178*2+6)+INDEX(Input!$1:$1048576,IZ$94,$C178*2+6)</f>
        <v>4373.7164157747848</v>
      </c>
      <c r="JA178" s="19">
        <f t="shared" si="591"/>
        <v>800</v>
      </c>
      <c r="JB178" s="19">
        <f t="shared" si="592"/>
        <v>2160.0624533823616</v>
      </c>
      <c r="JC178" s="19">
        <f t="shared" si="593"/>
        <v>4028.7164157747848</v>
      </c>
      <c r="JD178" s="19">
        <f t="shared" si="594"/>
        <v>2566.342863255697</v>
      </c>
      <c r="JE178" s="21"/>
      <c r="JF178" s="1">
        <f t="shared" si="595"/>
        <v>1.022782493188582E-2</v>
      </c>
      <c r="JG178" s="15">
        <f>INDEX(Input!$1:$1048576,JG$93,$C178*2+6)/(1+VLOOKUP(C178*1000+INDEX(Input!$1:$1048576,JG$93+1,$C178*2+6),$A:$KK,$JK$92,FALSE))</f>
        <v>446</v>
      </c>
      <c r="JH178" s="1">
        <f t="shared" si="596"/>
        <v>-5.3023497274135606E-2</v>
      </c>
      <c r="JI178" s="1">
        <f t="shared" si="597"/>
        <v>1.0363605971267667E-2</v>
      </c>
      <c r="JJ178" s="1">
        <f t="shared" si="598"/>
        <v>0</v>
      </c>
      <c r="JK178" s="1">
        <f t="shared" si="599"/>
        <v>-4.2659891302867937E-2</v>
      </c>
      <c r="JL178" s="15">
        <f t="shared" si="600"/>
        <v>-19.026311521079101</v>
      </c>
      <c r="JM178" s="15">
        <f t="shared" si="601"/>
        <v>426.97368847892091</v>
      </c>
      <c r="JN178" s="21"/>
      <c r="JO178" s="19">
        <f>INDEX(Input!$1:$1048576,JO$93,$C178*2+6)</f>
        <v>5995.5</v>
      </c>
      <c r="JP178" s="19">
        <f>INDEX(Input!$1:$1048576,JP$93,$C178*2+6)</f>
        <v>2818.4193802796353</v>
      </c>
      <c r="JQ178" s="39">
        <f t="shared" si="602"/>
        <v>3429.157136744303</v>
      </c>
      <c r="JR178" s="39">
        <f t="shared" si="603"/>
        <v>-252.07651702393832</v>
      </c>
      <c r="JS178" s="39">
        <f t="shared" si="604"/>
        <v>1.0957608782258399</v>
      </c>
      <c r="JT178" s="39">
        <f t="shared" si="605"/>
        <v>-0.16125416537887743</v>
      </c>
      <c r="JU178" s="385">
        <f>(JQ178*JM178-INDEX(Input!$1:$1048576,Input!A$18,$C178*2+6)*JL178*INDEX(Input!$1:$1048576,Input!A$19,$C178*2+6))/1000000</f>
        <v>1.4641598710495303</v>
      </c>
      <c r="JV178" s="39">
        <f t="shared" si="606"/>
        <v>4.7181914654247592E-2</v>
      </c>
      <c r="JW178" s="1">
        <f t="shared" si="607"/>
        <v>3.3297564327871336E-2</v>
      </c>
      <c r="JX178" s="19">
        <f t="shared" si="608"/>
        <v>8475.324563051814</v>
      </c>
      <c r="JZ178" s="341"/>
      <c r="KA178" s="342"/>
      <c r="KB178" s="469">
        <f t="shared" si="514"/>
        <v>2.9286733661474216</v>
      </c>
      <c r="KI178" s="473">
        <f t="shared" si="609"/>
        <v>-12.632179476268192</v>
      </c>
      <c r="KJ178" s="473">
        <f t="shared" si="610"/>
        <v>8.9065591592963358</v>
      </c>
      <c r="KK178" s="473">
        <f t="shared" si="611"/>
        <v>-15.300691204107181</v>
      </c>
      <c r="KN178" s="544">
        <f t="shared" si="612"/>
        <v>1002</v>
      </c>
      <c r="KO178" s="541">
        <f t="shared" si="613"/>
        <v>-4.6584051250981862E-2</v>
      </c>
      <c r="KP178" s="546">
        <f t="shared" si="614"/>
        <v>-252.04284088737253</v>
      </c>
      <c r="KQ178" s="546">
        <f t="shared" si="615"/>
        <v>-272.97333676295466</v>
      </c>
      <c r="KR178" s="548">
        <f t="shared" si="616"/>
        <v>3.1689668711057468</v>
      </c>
      <c r="KS178" s="548">
        <f t="shared" si="617"/>
        <v>2.9259832566176649</v>
      </c>
      <c r="KT178" s="473">
        <f t="shared" si="515"/>
        <v>238.28695973331548</v>
      </c>
      <c r="KU178" s="663">
        <f t="shared" si="618"/>
        <v>6.1664618274433449</v>
      </c>
    </row>
    <row r="179" spans="1:307" s="26" customFormat="1" ht="15" outlineLevel="1">
      <c r="A179" s="561">
        <f t="shared" si="391"/>
        <v>1079</v>
      </c>
      <c r="B179" s="561">
        <f t="shared" si="513"/>
        <v>79</v>
      </c>
      <c r="C179" s="561">
        <f t="shared" si="105"/>
        <v>1</v>
      </c>
      <c r="D179" s="561" t="str">
        <f t="shared" si="294"/>
        <v xml:space="preserve">0.9/1.9/2.9/3.9, -360 Lease, </v>
      </c>
      <c r="E179" s="475">
        <f>INDEX(Input!$1:$1048576,E$93,$C179*2+MIN($B179,2)+5)
+INDEX(Scenarios!E$121:E$200,MATCH($B179,Scenarios!$B$121:$B$200,0))</f>
        <v>1229</v>
      </c>
      <c r="F179" s="475">
        <f>INDEX(Input!$1:$1048576,F$93,$C179*2+MIN($B179,2)+5)
+INDEX(Scenarios!F$121:F$200,MATCH($B179,Scenarios!$B$121:$B$200,0))</f>
        <v>0</v>
      </c>
      <c r="G179" s="475">
        <f>INDEX(Input!$1:$1048576,G$93,$C179*2+MIN($B179,2)+5)
+INDEX(Scenarios!G$121:G$200,MATCH($B179,Scenarios!$B$121:$B$200,0))</f>
        <v>0</v>
      </c>
      <c r="H179" s="475">
        <f>INDEX(Input!$1:$1048576,H$93,$C179*2+MIN($B179,2)+5)
+INDEX(Scenarios!H$121:H$200,MATCH($B179,Scenarios!$B$121:$B$200,0))</f>
        <v>0</v>
      </c>
      <c r="I179" s="476">
        <f>INDEX(Input!$1:$1048576,I$93,$C179*2+MIN($B179,2)+5)</f>
        <v>0.7</v>
      </c>
      <c r="J179" s="476" t="str">
        <f>INDEX(Input!$1:$1048576,J$93,$C179*2+MIN($B179,2)+5)</f>
        <v>Market</v>
      </c>
      <c r="K179" s="476" t="str">
        <f>INDEX(Input!$1:$1048576,K$93,$C179*2+MIN($B179,2)+5)</f>
        <v>Market</v>
      </c>
      <c r="L179" s="476" t="str">
        <f>INDEX(Input!$1:$1048576,L$93,$C179*2+MIN($B179,2)+5)</f>
        <v>Market</v>
      </c>
      <c r="M179" s="476" t="str">
        <f>INDEX(Input!$1:$1048576,M$93,$C179*2+MIN($B179,2)+5)</f>
        <v>Market</v>
      </c>
      <c r="N179" s="476" t="str">
        <f>INDEX(Input!$1:$1048576,N$93,$C179*2+MIN($B179,2)+5)</f>
        <v>Market</v>
      </c>
      <c r="O179" s="476" t="str">
        <f>INDEX(Input!$1:$1048576,O$93,$C179*2+MIN($B179,2)+5)</f>
        <v>Market</v>
      </c>
      <c r="P179" s="476" t="str">
        <f>INDEX(Input!$1:$1048576,P$93,$C179*2+MIN($B179,2)+5)</f>
        <v>N</v>
      </c>
      <c r="Q179" s="477">
        <f>INDEX(Input!$1:$1048576,Q$93,$C179*2+MIN($B179,2)+5)
+INDEX(Scenarios!Q$121:Q$200,MATCH($B179,Scenarios!$B$121:$B$200,0))</f>
        <v>0</v>
      </c>
      <c r="R179" s="478">
        <f>IFERROR(MAX(0,INDEX(Input!$1:$1048576,R$93,$C179*2+MIN($B179,2)+5)
+INDEX(Scenarios!R$121:R$200,MATCH($B179,Scenarios!$B$121:$B$200,0)),),"Market")</f>
        <v>0</v>
      </c>
      <c r="S179" s="478">
        <f>IFERROR(MAX(0,INDEX(Input!$1:$1048576,S$93,$C179*2+MIN($B179,2)+5)
+INDEX(Scenarios!S$121:S$200,MATCH($B179,Scenarios!$B$121:$B$200,0)),),"Market")</f>
        <v>0</v>
      </c>
      <c r="T179" s="478">
        <f>IFERROR(MAX(0,INDEX(Input!$1:$1048576,T$93,$C179*2+MIN($B179,2)+5)
+INDEX(Scenarios!T$121:T$200,MATCH($B179,Scenarios!$B$121:$B$200,0)),),"Market")</f>
        <v>0</v>
      </c>
      <c r="U179" s="478">
        <f>IFERROR(MAX(0,INDEX(Input!$1:$1048576,U$93,$C179*2+MIN($B179,2)+5)
+INDEX(Scenarios!U$121:U$200,MATCH($B179,Scenarios!$B$121:$B$200,0)),),"Market")</f>
        <v>9.0000000000000011E-3</v>
      </c>
      <c r="V179" s="478">
        <f>IFERROR(MAX(0,INDEX(Input!$1:$1048576,V$93,$C179*2+MIN($B179,2)+5)
+INDEX(Scenarios!V$121:V$200,MATCH($B179,Scenarios!$B$121:$B$200,0)),),"Market")</f>
        <v>2.8999999999999998E-2</v>
      </c>
      <c r="W179" s="885">
        <f>IFERROR(MAX(0,INDEX(Input!$1:$1048576,W$93,$C179*2+MIN($B179,2)+5)-0%,),"Market")</f>
        <v>3.9E-2</v>
      </c>
      <c r="X179" s="476" t="str">
        <f>INDEX(Input!$1:$1048576,X$93,$C179*2+MIN($B179,2)+5)</f>
        <v>Y</v>
      </c>
      <c r="Y179" s="475">
        <f>INDEX(Input!$1:$1048576,Y$93,$C179*2+MIN($B179,2)+5)
++INDEX(Scenarios!Y$121:Y$200,MATCH($B179,Scenarios!$B$121:$B$200,0))</f>
        <v>1582</v>
      </c>
      <c r="Z179" s="477">
        <f>INDEX(Input!$1:$1048576,Z$93,$C179*2+MIN($B179,2)+5)
+INDEX(Scenarios!Z$121:Z$200,MATCH($B179,Scenarios!$B$121:$B$200,0))</f>
        <v>0</v>
      </c>
      <c r="AA179" s="475">
        <f>INDEX(Input!$1:$1048576,AA$93,$C179*2+MIN($B179,2)+5)
+INDEX(Scenarios!AA$121:AA$200,MATCH($B179,Scenarios!$B$121:$B$200,0))</f>
        <v>0</v>
      </c>
      <c r="AB179" s="476">
        <f>INDEX(Input!$1:$1048576,AB$93,$C179*2+MIN($B179,2)+5)</f>
        <v>0.27</v>
      </c>
      <c r="AC179" s="475">
        <f>INDEX(Input!$1:$1048576,AC$93,$C179*2+MIN($B179,2)+5)
+INDEX(Scenarios!AC$121:AC$200,MATCH($B179,Scenarios!$B$121:$B$200,0))</f>
        <v>0</v>
      </c>
      <c r="AD179" s="476">
        <f>INDEX(Input!$1:$1048576,AD$93,$C179*2+MIN($B179,2)+5)</f>
        <v>0.27</v>
      </c>
      <c r="AE179" s="475">
        <f>INDEX(Input!$1:$1048576,AE$93,$C179*2+MIN($B179,2)+5)
+INDEX(Scenarios!AE$121:AE$200,MATCH($B179,Scenarios!$B$121:$B$200,0))</f>
        <v>0</v>
      </c>
      <c r="AF179" s="476">
        <f>INDEX(Input!$1:$1048576,AF$93,$C179*2+MIN($B179,2)+5)</f>
        <v>0.38</v>
      </c>
      <c r="AG179" s="475">
        <f>INDEX(Input!$1:$1048576,AG$93,$C179*2+MIN($B179,2)+5)
+INDEX(Scenarios!AG$121:AG$200,MATCH($B179,Scenarios!$B$121:$B$200,0))</f>
        <v>0</v>
      </c>
      <c r="AH179" s="476">
        <f>INDEX(Input!$1:$1048576,AH$93,$C179*2+MIN($B179,2)+5)</f>
        <v>0</v>
      </c>
      <c r="AI179" s="475">
        <f>INDEX(Input!$1:$1048576,AI$93,$C179*2+MIN($B179,2)+5)
+INDEX(Scenarios!AI$121:AI$200,MATCH($B179,Scenarios!$B$121:$B$200,0))</f>
        <v>0</v>
      </c>
      <c r="AJ179" s="476">
        <f>INDEX(Input!$1:$1048576,AJ$93,$C179*2+MIN($B179,2)+5)</f>
        <v>0.27</v>
      </c>
      <c r="AK179" s="150">
        <f>ROUND(INDEX(Input!$1:$1048576,AK$93,$C178*2+MIN($B179,1)+5)+(Y179-VLOOKUP($C179*1000+1,$A:$HH,Y$92,FALSE)),0)</f>
        <v>3397</v>
      </c>
      <c r="AL179" s="150">
        <f>ROUND(INDEX(Input!$1:$1048576,AL$93,$C178*2+MIN($B179,1)+5)-(Y179-VLOOKUP($C179*1000+1,$A:$HH,Y$92,FALSE))/36,0)</f>
        <v>4123</v>
      </c>
      <c r="AM179" s="32" t="str">
        <f t="shared" si="392"/>
        <v>std/std/std/std</v>
      </c>
      <c r="AN179" s="32" t="str">
        <f t="shared" si="393"/>
        <v>$0 + 0/0/0.9/2.9/3.9</v>
      </c>
      <c r="AO179" s="32" t="str">
        <f t="shared" si="394"/>
        <v>0/0/0.9/2.9/3.9</v>
      </c>
      <c r="AP179" s="32" t="str">
        <f t="shared" si="498"/>
        <v>0.9/1.9/2.9/3.9</v>
      </c>
      <c r="AQ179" s="536">
        <f t="shared" si="497"/>
        <v>0.30540649233130618</v>
      </c>
      <c r="AR179" s="32"/>
      <c r="AS179" s="302"/>
      <c r="AT179" s="3">
        <f t="shared" si="106"/>
        <v>79</v>
      </c>
      <c r="AU179" s="41" t="s">
        <v>121</v>
      </c>
      <c r="AV179" s="41" t="s">
        <v>116</v>
      </c>
      <c r="AW179" s="41" t="str">
        <f>INDEX(Input!$1:$1048576,AW$93,$C179*2+6)</f>
        <v>Kia</v>
      </c>
      <c r="AX179" s="41" t="str">
        <f>INDEX(Input!$1:$1048576,AX$93,$C179*2+6)</f>
        <v>Kia-LR - L1</v>
      </c>
      <c r="AY179" s="41" t="str">
        <f>IF(LEN(D179)=0,"",INDEX(Input!$1:$1048576,AY$93,$C179*2+6))</f>
        <v>Compact SUV (52)</v>
      </c>
      <c r="AZ179" s="41" t="str">
        <f>INDEX(Input!$1:$1048576,AZ$93,$C179*2+6)</f>
        <v>Kia Soul</v>
      </c>
      <c r="BA179" s="3">
        <f>INDEX(Input!$1:$1048576,BA$93,$C179*2+6)</f>
        <v>2020</v>
      </c>
      <c r="BB179" s="128">
        <f>INDEX(Input!$1:$1048576,BB$93,$C179*2+6)</f>
        <v>1</v>
      </c>
      <c r="BC179" s="128">
        <f>INDEX(Input!$1:$1048576,BC$93,$C179*2+6)</f>
        <v>0.7</v>
      </c>
      <c r="BD179" s="1">
        <f>INDEX(Input!$1:$1048576,BD$93,$C179*2+6)</f>
        <v>4.4999999999999998E-2</v>
      </c>
      <c r="BE179" s="1">
        <f>INDEX(Input!$1:$1048576,BE$93,$C179*2+6)</f>
        <v>4.4999999999999998E-2</v>
      </c>
      <c r="BF179" s="1">
        <f>INDEX(Input!$1:$1048576,BF$93,$C179*2+6)</f>
        <v>0.05</v>
      </c>
      <c r="BG179" s="1">
        <f>INDEX(Input!$1:$1048576,BG$93,$C179*2+6)</f>
        <v>5.45E-2</v>
      </c>
      <c r="BH179" s="1">
        <f>INDEX(Input!$1:$1048576,BH$93,$C179*2+6)</f>
        <v>5.45E-2</v>
      </c>
      <c r="BI179" s="1">
        <f>INDEX(Input!$1:$1048576,BI$93,$C179*2+6)</f>
        <v>0.05</v>
      </c>
      <c r="BJ179" s="1">
        <f>INDEX(Input!$1:$1048576,BJ$93,$C179*2+6)</f>
        <v>0.05</v>
      </c>
      <c r="BK179" s="1">
        <f>INDEX(Input!$1:$1048576,BK$93,$C179*2+6)</f>
        <v>0.05</v>
      </c>
      <c r="BL179" s="1">
        <f>INDEX(Input!$1:$1048576,BL$93,$C179*2+6)</f>
        <v>5.5E-2</v>
      </c>
      <c r="BM179" s="1">
        <f>INDEX(Input!$1:$1048576,BM$93,$C179*2+6)</f>
        <v>0.06</v>
      </c>
      <c r="BN179" s="1">
        <f>INDEX(Input!$1:$1048576,BN$93,$C179*2+6)</f>
        <v>4.4999999999999998E-2</v>
      </c>
      <c r="BO179" s="1">
        <f>INDEX(Input!$1:$1048576,BO$93,$C179*2+6)</f>
        <v>4.4999999999999998E-2</v>
      </c>
      <c r="BP179" s="1">
        <f>INDEX(Input!$1:$1048576,BP$93,$C179*2+6)</f>
        <v>0.05</v>
      </c>
      <c r="BQ179" s="1">
        <f>INDEX(Input!$1:$1048576,BQ$93,$C179*2+6)</f>
        <v>5.45E-2</v>
      </c>
      <c r="BR179" s="1">
        <f>INDEX(Input!$1:$1048576,BR$93,$C179*2+6)</f>
        <v>5.45E-2</v>
      </c>
      <c r="BS179" s="1">
        <f>INDEX(Input!$1:$1048576,BS$93,$C179*2+6)</f>
        <v>0.05</v>
      </c>
      <c r="BT179" s="1">
        <f>INDEX(Input!$1:$1048576,BT$93,$C179*2+6)</f>
        <v>0.05</v>
      </c>
      <c r="BU179" s="1">
        <f>INDEX(Input!$1:$1048576,BU$93,$C179*2+6)</f>
        <v>0.05</v>
      </c>
      <c r="BV179" s="1">
        <f>INDEX(Input!$1:$1048576,BV$93,$C179*2+6)</f>
        <v>5.5E-2</v>
      </c>
      <c r="BW179" s="1">
        <f>INDEX(Input!$1:$1048576,BW$93,$C179*2+6)</f>
        <v>0.06</v>
      </c>
      <c r="BX179" s="127">
        <f>INDEX(Input!$1:$1048576,BX$93,$C179*2+6)</f>
        <v>19985</v>
      </c>
      <c r="BY179" s="20">
        <f>INDEX(Input!$1:$1048576,BY$93,$C179*2+6)</f>
        <v>0.1</v>
      </c>
      <c r="BZ179" s="20">
        <f>INDEX(Input!$1:$1048576,BZ$93,$C179*2+6)</f>
        <v>0.1</v>
      </c>
      <c r="CA179" s="20">
        <f>INDEX(Input!$1:$1048576,CA$93,$C179*2+6)</f>
        <v>0.1</v>
      </c>
      <c r="CB179" s="20">
        <f>INDEX(Input!$1:$1048576,CB$93,$C179*2+6)</f>
        <v>0.1</v>
      </c>
      <c r="CC179" s="20">
        <f>INDEX(Input!$1:$1048576,CC$93,$C179*2+6)</f>
        <v>0.1</v>
      </c>
      <c r="CD179" s="384">
        <f>INDEX(Input!$1:$1048576,CD$93,$C179*2+6)</f>
        <v>0.1</v>
      </c>
      <c r="CE179" s="384">
        <f>INDEX(Input!$1:$1048576,CE$93,$C179*2+6)</f>
        <v>0.1</v>
      </c>
      <c r="CF179" s="384">
        <f>INDEX(Input!$1:$1048576,CF$93,$C179*2+6)</f>
        <v>0.1</v>
      </c>
      <c r="CG179" s="384">
        <f>INDEX(Input!$1:$1048576,CG$93,$C179*2+6)</f>
        <v>0.1</v>
      </c>
      <c r="CH179" s="384">
        <f>INDEX(Input!$1:$1048576,CH$93,$C179*2+6)</f>
        <v>0.1</v>
      </c>
      <c r="CI179" s="304">
        <f t="shared" si="499"/>
        <v>1229</v>
      </c>
      <c r="CJ179" s="16" t="str">
        <f>INDEX(Input!$1:$1048576,CJ$93,$C179*2+6)</f>
        <v>N</v>
      </c>
      <c r="CK179" s="1" t="str">
        <f t="shared" si="500"/>
        <v>Market</v>
      </c>
      <c r="CL179" s="1" t="str">
        <f t="shared" si="501"/>
        <v>Market</v>
      </c>
      <c r="CM179" s="1" t="str">
        <f t="shared" si="502"/>
        <v>Market</v>
      </c>
      <c r="CN179" s="1" t="str">
        <f t="shared" si="503"/>
        <v>Market</v>
      </c>
      <c r="CO179" s="1" t="str">
        <f t="shared" si="504"/>
        <v>Market</v>
      </c>
      <c r="CP179" s="304">
        <f t="shared" si="505"/>
        <v>0</v>
      </c>
      <c r="CQ179" s="1">
        <f t="shared" si="506"/>
        <v>0</v>
      </c>
      <c r="CR179" s="1">
        <f t="shared" si="507"/>
        <v>0</v>
      </c>
      <c r="CS179" s="1">
        <f t="shared" si="508"/>
        <v>9.0000000000000011E-3</v>
      </c>
      <c r="CT179" s="1">
        <f t="shared" si="509"/>
        <v>2.8999999999999998E-2</v>
      </c>
      <c r="CU179" s="1">
        <f t="shared" si="510"/>
        <v>3.9E-2</v>
      </c>
      <c r="CV179" s="304">
        <f t="shared" si="511"/>
        <v>1582</v>
      </c>
      <c r="CW179" s="20" t="s">
        <v>122</v>
      </c>
      <c r="CX179" s="20" t="s">
        <v>122</v>
      </c>
      <c r="CY179" s="20" t="s">
        <v>122</v>
      </c>
      <c r="CZ179" s="20" t="s">
        <v>122</v>
      </c>
      <c r="DA179" s="20" t="s">
        <v>122</v>
      </c>
      <c r="DB179" s="503">
        <f t="shared" si="512"/>
        <v>0</v>
      </c>
      <c r="DC179" s="127">
        <v>0</v>
      </c>
      <c r="DD179" s="127">
        <v>0</v>
      </c>
      <c r="DE179" s="127">
        <v>0</v>
      </c>
      <c r="DF179" s="127">
        <v>0</v>
      </c>
      <c r="DG179" s="127">
        <v>0</v>
      </c>
      <c r="DH179" s="127">
        <v>0</v>
      </c>
      <c r="DI179" s="127">
        <v>0</v>
      </c>
      <c r="DJ179" s="127">
        <v>0</v>
      </c>
      <c r="DK179" s="127">
        <v>0</v>
      </c>
      <c r="DL179" s="127">
        <v>0</v>
      </c>
      <c r="DM179" s="304">
        <f>INDEX(Input!$1:$1048576,DM$93,$C179*2+6)</f>
        <v>21036.84210526316</v>
      </c>
      <c r="DN179" s="20">
        <v>0</v>
      </c>
      <c r="DO179" s="20">
        <v>0</v>
      </c>
      <c r="DP179" s="20">
        <v>0</v>
      </c>
      <c r="DQ179" s="20">
        <v>0</v>
      </c>
      <c r="DR179" s="20">
        <v>0</v>
      </c>
      <c r="DS179" s="20">
        <f>INDEX(Input!$1:$1048576,DS$93,$C179*2+6)</f>
        <v>0.6</v>
      </c>
      <c r="DT179" s="20">
        <f>INDEX(Input!$1:$1048576,DT$93,$C179*2+6)</f>
        <v>0.55000000000000004</v>
      </c>
      <c r="DU179" s="20">
        <f>INDEX(Input!$1:$1048576,DU$93,$C179*2+6)</f>
        <v>0.52</v>
      </c>
      <c r="DV179" s="20">
        <f>INDEX(Input!$1:$1048576,DV$93,$C179*2+6)</f>
        <v>0.5</v>
      </c>
      <c r="DW179" s="20">
        <f>INDEX(Input!$1:$1048576,DW$93,$C179*2+6)</f>
        <v>0.45</v>
      </c>
      <c r="DX179" s="20"/>
      <c r="DY179" s="7">
        <v>0.10707062745166644</v>
      </c>
      <c r="DZ179" s="7">
        <v>0</v>
      </c>
      <c r="EA179" s="7">
        <v>0.51121930210788036</v>
      </c>
      <c r="EB179" s="7">
        <v>0</v>
      </c>
      <c r="EC179" s="7">
        <v>0</v>
      </c>
      <c r="ED179" s="7">
        <v>0</v>
      </c>
      <c r="EE179" s="7">
        <v>0</v>
      </c>
      <c r="EF179" s="7">
        <v>0</v>
      </c>
      <c r="EG179" s="7">
        <v>0</v>
      </c>
      <c r="EH179" s="7">
        <v>2.4924505894191561E-2</v>
      </c>
      <c r="EI179" s="7">
        <v>7.2786507893432065E-2</v>
      </c>
      <c r="EJ179" s="7">
        <v>0.33455329378928089</v>
      </c>
      <c r="EK179" s="7">
        <v>0.42428215380488998</v>
      </c>
      <c r="EL179" s="7">
        <v>0.1434535386182057</v>
      </c>
      <c r="EM179" s="7">
        <v>3.9755476319054829E-2</v>
      </c>
      <c r="EN179" s="7">
        <v>4.9379578909208771E-2</v>
      </c>
      <c r="EO179" s="7">
        <v>0.75610016993185003</v>
      </c>
      <c r="EP179" s="7">
        <v>8.5125034424855889E-2</v>
      </c>
      <c r="EQ179" s="7">
        <v>6.5024794318701673E-2</v>
      </c>
      <c r="ER179" s="7">
        <v>4.4370422415383901E-2</v>
      </c>
      <c r="ES179" s="7">
        <v>0.34195459412139839</v>
      </c>
      <c r="ET179" s="7">
        <v>0.3817100704404533</v>
      </c>
      <c r="EU179" s="6">
        <v>1270</v>
      </c>
      <c r="EV179" s="6">
        <v>0</v>
      </c>
      <c r="EW179" s="6">
        <v>1270</v>
      </c>
      <c r="EX179" s="6">
        <v>0</v>
      </c>
      <c r="EY179" s="6">
        <v>1668.1172696255976</v>
      </c>
      <c r="EZ179" s="6">
        <v>1725</v>
      </c>
      <c r="FA179" s="6">
        <v>0</v>
      </c>
      <c r="FB179" s="6">
        <v>0</v>
      </c>
      <c r="FC179" s="6">
        <v>0</v>
      </c>
      <c r="FD179" s="6">
        <v>0</v>
      </c>
      <c r="FE179" s="6">
        <v>0</v>
      </c>
      <c r="FF179" s="6">
        <v>0</v>
      </c>
      <c r="FG179" s="6">
        <v>0</v>
      </c>
      <c r="FH179" s="6">
        <v>1171.2811379695615</v>
      </c>
      <c r="FI179" s="6">
        <v>1553.9796069512402</v>
      </c>
      <c r="FJ179" s="6">
        <v>1735.1562230702807</v>
      </c>
      <c r="FK179" s="6">
        <v>1284.9687470586853</v>
      </c>
      <c r="FL179" s="6">
        <v>907.07682140966324</v>
      </c>
      <c r="FM179" s="6">
        <v>1398.1172696255976</v>
      </c>
      <c r="FN179" s="6">
        <v>0</v>
      </c>
      <c r="FO179" s="6">
        <v>0</v>
      </c>
      <c r="FP179" s="6">
        <v>0</v>
      </c>
      <c r="FQ179" s="6">
        <v>0</v>
      </c>
      <c r="FR179" s="6">
        <v>0</v>
      </c>
      <c r="FS179" s="6">
        <v>0</v>
      </c>
      <c r="FT179" s="7">
        <v>0.61828992955954676</v>
      </c>
      <c r="FU179" s="7">
        <v>3.9755476319054829E-2</v>
      </c>
      <c r="FV179" s="7">
        <v>0.34195459412139839</v>
      </c>
      <c r="FW179" s="6">
        <v>1270</v>
      </c>
      <c r="FX179" s="6">
        <v>1668.1172696255976</v>
      </c>
      <c r="FY179" s="6">
        <v>1725</v>
      </c>
      <c r="FZ179" s="6">
        <v>1952.7147957719815</v>
      </c>
      <c r="GA179" s="6">
        <v>1441.4166820100436</v>
      </c>
      <c r="GB179" s="6">
        <v>18543.583317989956</v>
      </c>
      <c r="GC179" s="7">
        <v>1.0519917368675835E-2</v>
      </c>
      <c r="GD179" s="7">
        <v>1.0029474233168899E-2</v>
      </c>
      <c r="GE179" s="7"/>
      <c r="GF179" s="7"/>
      <c r="GG179" s="7">
        <v>-4.6620436104116363E-2</v>
      </c>
      <c r="GH179" s="42">
        <v>1.8222430133481238</v>
      </c>
      <c r="GI179" s="6">
        <v>12408.669597020697</v>
      </c>
      <c r="GJ179" s="14">
        <v>0.50394797582841744</v>
      </c>
      <c r="GK179" s="14">
        <v>0.50887573065309755</v>
      </c>
      <c r="GL179" s="14">
        <v>0.49605202417158278</v>
      </c>
      <c r="GM179" s="14">
        <v>0.49112426934690256</v>
      </c>
      <c r="GO179" s="5">
        <v>343.14810671672558</v>
      </c>
      <c r="GP179" s="5">
        <v>318.91892952659737</v>
      </c>
      <c r="GQ179" s="5">
        <v>535.04305713031317</v>
      </c>
      <c r="GR179" s="5">
        <v>410.15490233172511</v>
      </c>
      <c r="GS179" s="5">
        <v>339.42744393800166</v>
      </c>
      <c r="GT179" s="5">
        <v>293.4407446948278</v>
      </c>
      <c r="GU179" s="5">
        <v>258.04012322764959</v>
      </c>
      <c r="GV179" s="39" t="s">
        <v>392</v>
      </c>
      <c r="GW179" s="5">
        <v>492.125</v>
      </c>
      <c r="GX179" s="5">
        <v>369.09375</v>
      </c>
      <c r="GY179" s="5">
        <v>302.07920908968697</v>
      </c>
      <c r="GZ179" s="5">
        <v>268.3868982438774</v>
      </c>
      <c r="HA179" s="5">
        <v>241.34874471337258</v>
      </c>
      <c r="HB179" s="39">
        <v>288.68671470730754</v>
      </c>
      <c r="HC179" s="5">
        <v>211.81562499999998</v>
      </c>
      <c r="HD179" s="5">
        <v>188.29497441520465</v>
      </c>
      <c r="HE179" s="5">
        <v>193.13834767206475</v>
      </c>
      <c r="HF179" s="5">
        <v>181.01813048245612</v>
      </c>
      <c r="HG179" s="5">
        <v>177.56888157894736</v>
      </c>
      <c r="HH179" s="39">
        <v>188.91961000194755</v>
      </c>
      <c r="HI179" s="16"/>
      <c r="HJ179" s="19" t="str">
        <f t="shared" ref="HJ179:HK179" si="621">HJ178</f>
        <v>On</v>
      </c>
      <c r="HK179" s="1" t="str">
        <f t="shared" si="621"/>
        <v>On</v>
      </c>
      <c r="HL179" s="16"/>
      <c r="HM179" s="639">
        <f t="shared" si="568"/>
        <v>5.7455619280273196E-3</v>
      </c>
      <c r="HN179" s="639">
        <f t="shared" si="569"/>
        <v>5.0031960498701745E-4</v>
      </c>
      <c r="HO179" s="639">
        <f t="shared" si="570"/>
        <v>3.9819433988714835E-3</v>
      </c>
      <c r="HP179" s="644">
        <f>(FT179*$GD179-HM179)/$JF179*INDEX(Input!$1:$1048576,$JG$93,$C179*2+6)</f>
        <v>19.865435955321054</v>
      </c>
      <c r="HQ179" s="644">
        <f>(FU179*$GD179-HN179)/$JF179*INDEX(Input!$1:$1048576,$JG$93,$C179*2+6)</f>
        <v>-4.4301221238385136</v>
      </c>
      <c r="HR179" s="644">
        <f>(FV179*$GD179-HO179)/$JF179*INDEX(Input!$1:$1048576,$JG$93,$C179*2+6)</f>
        <v>-24.084700403592752</v>
      </c>
      <c r="HS179" s="644">
        <f t="shared" si="571"/>
        <v>-0.31391429433441398</v>
      </c>
      <c r="HT179" s="644">
        <f t="shared" si="572"/>
        <v>-8.2924264667503511</v>
      </c>
      <c r="HU179" s="644">
        <f t="shared" si="573"/>
        <v>-4.5505344392342835</v>
      </c>
      <c r="HV179" s="648">
        <f t="shared" si="574"/>
        <v>0</v>
      </c>
      <c r="HW179" s="648">
        <f t="shared" si="575"/>
        <v>0</v>
      </c>
      <c r="HX179" s="648">
        <f t="shared" si="576"/>
        <v>0</v>
      </c>
      <c r="HY179" s="644">
        <f>INDEX(Input!$1:$1048576,HY$93,$C179*2+6)*INDEX(Input!$1:$1048576,$JG$93,$C179*2+6)</f>
        <v>110.00000000000001</v>
      </c>
      <c r="HZ179" s="644">
        <f>INDEX(Input!$1:$1048576,HZ$93,$C179*2+6)*INDEX(Input!$1:$1048576,$JG$93,$C179*2+6)</f>
        <v>157</v>
      </c>
      <c r="IA179" s="644">
        <f>INDEX(Input!$1:$1048576,IA$93,$C179*2+6)*INDEX(Input!$1:$1048576,$JG$93,$C179*2+6)</f>
        <v>179</v>
      </c>
      <c r="IB179" s="644">
        <f t="shared" si="577"/>
        <v>129.55152166098668</v>
      </c>
      <c r="IC179" s="644">
        <f t="shared" si="578"/>
        <v>144.27745140941113</v>
      </c>
      <c r="ID179" s="644">
        <f>IF(AND(INDEX(Input!$1:$1048576,IA$93,$C179*2+7)="TOS",Y179&lt;=INDEX(Y:Y,MATCH(C179*1000+2,A:A))),0,1)*MAX(IA179+HR179+HU179+HX179,0%)</f>
        <v>150.36476515717294</v>
      </c>
      <c r="IE179" s="128">
        <f t="shared" si="579"/>
        <v>0.30540649233130618</v>
      </c>
      <c r="IF179" s="128">
        <f t="shared" si="580"/>
        <v>0.34012159635418615</v>
      </c>
      <c r="IG179" s="128">
        <f t="shared" si="581"/>
        <v>0.35447191131450767</v>
      </c>
      <c r="IH179" s="21"/>
      <c r="II179" s="19">
        <f t="shared" si="582"/>
        <v>1240</v>
      </c>
      <c r="IJ179" s="19">
        <f t="shared" si="583"/>
        <v>2009.7221397149679</v>
      </c>
      <c r="IK179" s="19">
        <f t="shared" si="584"/>
        <v>2070</v>
      </c>
      <c r="IL179" s="19">
        <f t="shared" si="585"/>
        <v>30</v>
      </c>
      <c r="IM179" s="19">
        <f t="shared" si="586"/>
        <v>-341.60487008937025</v>
      </c>
      <c r="IN179" s="19">
        <f t="shared" si="587"/>
        <v>-345</v>
      </c>
      <c r="IO179" s="39">
        <f t="shared" si="588"/>
        <v>0</v>
      </c>
      <c r="IP179" s="39">
        <f t="shared" si="589"/>
        <v>0</v>
      </c>
      <c r="IQ179" s="39">
        <f t="shared" si="590"/>
        <v>0</v>
      </c>
      <c r="IR179" s="39">
        <v>0</v>
      </c>
      <c r="IS179" s="39">
        <v>0</v>
      </c>
      <c r="IT179" s="39">
        <v>0</v>
      </c>
      <c r="IU179" s="39">
        <v>0</v>
      </c>
      <c r="IV179" s="39">
        <v>0</v>
      </c>
      <c r="IW179" s="39">
        <v>0</v>
      </c>
      <c r="IX179" s="39">
        <f>INDEX(Input!$1:$1048576,IX$93,$C179*2+6)+INDEX(Input!$1:$1048576,IX$94,$C179*2+6)</f>
        <v>1270</v>
      </c>
      <c r="IY179" s="39">
        <f>INDEX(Input!$1:$1048576,IY$93,$C179*2+6)+INDEX(Input!$1:$1048576,IY$94,$C179*2+6)</f>
        <v>2130.0624533823611</v>
      </c>
      <c r="IZ179" s="39">
        <f>INDEX(Input!$1:$1048576,IZ$93,$C179*2+6)+INDEX(Input!$1:$1048576,IZ$94,$C179*2+6)</f>
        <v>4373.7164157747848</v>
      </c>
      <c r="JA179" s="19">
        <f t="shared" si="591"/>
        <v>1300</v>
      </c>
      <c r="JB179" s="19">
        <f t="shared" si="592"/>
        <v>1788.4575832929909</v>
      </c>
      <c r="JC179" s="19">
        <f t="shared" si="593"/>
        <v>4028.7164157747848</v>
      </c>
      <c r="JD179" s="19">
        <f t="shared" si="594"/>
        <v>2433.3882963158803</v>
      </c>
      <c r="JE179" s="21"/>
      <c r="JF179" s="1">
        <f t="shared" si="595"/>
        <v>1.022782493188582E-2</v>
      </c>
      <c r="JG179" s="15">
        <f>INDEX(Input!$1:$1048576,JG$93,$C179*2+6)/(1+VLOOKUP(C179*1000+INDEX(Input!$1:$1048576,JG$93+1,$C179*2+6),$A:$KK,$JK$92,FALSE))</f>
        <v>446</v>
      </c>
      <c r="JH179" s="1">
        <f t="shared" si="596"/>
        <v>-1.9393243435224691E-2</v>
      </c>
      <c r="JI179" s="1">
        <f t="shared" si="597"/>
        <v>-2.9499720180087553E-2</v>
      </c>
      <c r="JJ179" s="1">
        <f t="shared" si="598"/>
        <v>0</v>
      </c>
      <c r="JK179" s="1">
        <f t="shared" si="599"/>
        <v>-4.8892963615312243E-2</v>
      </c>
      <c r="JL179" s="15">
        <f t="shared" si="600"/>
        <v>-21.806261772429259</v>
      </c>
      <c r="JM179" s="15">
        <f t="shared" si="601"/>
        <v>424.19373822757075</v>
      </c>
      <c r="JN179" s="21"/>
      <c r="JO179" s="19">
        <f>INDEX(Input!$1:$1048576,JO$93,$C179*2+6)</f>
        <v>5995.5</v>
      </c>
      <c r="JP179" s="19">
        <f>INDEX(Input!$1:$1048576,JP$93,$C179*2+6)</f>
        <v>2818.4193802796353</v>
      </c>
      <c r="JQ179" s="39">
        <f t="shared" si="602"/>
        <v>3562.1117036841197</v>
      </c>
      <c r="JR179" s="39">
        <f t="shared" si="603"/>
        <v>-385.03108396375501</v>
      </c>
      <c r="JS179" s="39">
        <f t="shared" si="604"/>
        <v>1.032228077973453</v>
      </c>
      <c r="JT179" s="39">
        <f t="shared" si="605"/>
        <v>-0.22478696563126449</v>
      </c>
      <c r="JU179" s="385">
        <f>(JQ179*JM179-INDEX(Input!$1:$1048576,Input!A$18,$C179*2+6)*JL179*INDEX(Input!$1:$1048576,Input!A$19,$C179*2+6))/1000000</f>
        <v>1.5110254795699476</v>
      </c>
      <c r="JV179" s="39">
        <f t="shared" si="606"/>
        <v>9.4047523174664915E-2</v>
      </c>
      <c r="JW179" s="1">
        <f t="shared" si="607"/>
        <v>6.6371902788041157E-2</v>
      </c>
      <c r="JX179" s="19">
        <f t="shared" si="608"/>
        <v>10308.36775129765</v>
      </c>
      <c r="JZ179" s="341"/>
      <c r="KA179" s="342"/>
      <c r="KB179" s="469">
        <f t="shared" si="514"/>
        <v>2.9286733661474216</v>
      </c>
      <c r="KI179" s="473">
        <f t="shared" si="609"/>
        <v>19.551521660986666</v>
      </c>
      <c r="KJ179" s="473">
        <f t="shared" si="610"/>
        <v>-12.722548590588872</v>
      </c>
      <c r="KK179" s="473">
        <f t="shared" si="611"/>
        <v>-28.63523484282706</v>
      </c>
      <c r="KN179" s="544">
        <f t="shared" si="612"/>
        <v>1002</v>
      </c>
      <c r="KO179" s="541">
        <f t="shared" si="613"/>
        <v>-5.2791574051293533E-2</v>
      </c>
      <c r="KP179" s="546">
        <f t="shared" si="614"/>
        <v>-254.00072970100933</v>
      </c>
      <c r="KQ179" s="546">
        <f t="shared" si="615"/>
        <v>-405.92790370277135</v>
      </c>
      <c r="KR179" s="548">
        <f t="shared" si="616"/>
        <v>3.5635631324849002</v>
      </c>
      <c r="KS179" s="548">
        <f t="shared" si="617"/>
        <v>2.2298236404303622</v>
      </c>
      <c r="KT179" s="473">
        <f t="shared" si="515"/>
        <v>238.28695973331548</v>
      </c>
      <c r="KU179" s="663">
        <f t="shared" si="618"/>
        <v>6.4075653058073518</v>
      </c>
    </row>
    <row r="180" spans="1:307" s="26" customFormat="1" ht="15" outlineLevel="1">
      <c r="A180" s="561">
        <f t="shared" si="391"/>
        <v>1080</v>
      </c>
      <c r="B180" s="561">
        <f t="shared" si="513"/>
        <v>80</v>
      </c>
      <c r="C180" s="561">
        <f t="shared" si="105"/>
        <v>1</v>
      </c>
      <c r="D180" s="561" t="str">
        <f t="shared" si="294"/>
        <v xml:space="preserve">0.9/1.9/2.9/3.9, -360 Lease, </v>
      </c>
      <c r="E180" s="475">
        <f>INDEX(Input!$1:$1048576,E$93,$C180*2+MIN($B180,2)+5)
+INDEX(Scenarios!E$121:E$200,MATCH($B180,Scenarios!$B$121:$B$200,0))</f>
        <v>1229</v>
      </c>
      <c r="F180" s="475">
        <f>INDEX(Input!$1:$1048576,F$93,$C180*2+MIN($B180,2)+5)
+INDEX(Scenarios!F$121:F$200,MATCH($B180,Scenarios!$B$121:$B$200,0))</f>
        <v>0</v>
      </c>
      <c r="G180" s="475">
        <f>INDEX(Input!$1:$1048576,G$93,$C180*2+MIN($B180,2)+5)
+INDEX(Scenarios!G$121:G$200,MATCH($B180,Scenarios!$B$121:$B$200,0))</f>
        <v>0</v>
      </c>
      <c r="H180" s="475">
        <f>INDEX(Input!$1:$1048576,H$93,$C180*2+MIN($B180,2)+5)
+INDEX(Scenarios!H$121:H$200,MATCH($B180,Scenarios!$B$121:$B$200,0))</f>
        <v>0</v>
      </c>
      <c r="I180" s="476">
        <f>INDEX(Input!$1:$1048576,I$93,$C180*2+MIN($B180,2)+5)</f>
        <v>0.7</v>
      </c>
      <c r="J180" s="476" t="str">
        <f>INDEX(Input!$1:$1048576,J$93,$C180*2+MIN($B180,2)+5)</f>
        <v>Market</v>
      </c>
      <c r="K180" s="476" t="str">
        <f>INDEX(Input!$1:$1048576,K$93,$C180*2+MIN($B180,2)+5)</f>
        <v>Market</v>
      </c>
      <c r="L180" s="476" t="str">
        <f>INDEX(Input!$1:$1048576,L$93,$C180*2+MIN($B180,2)+5)</f>
        <v>Market</v>
      </c>
      <c r="M180" s="476" t="str">
        <f>INDEX(Input!$1:$1048576,M$93,$C180*2+MIN($B180,2)+5)</f>
        <v>Market</v>
      </c>
      <c r="N180" s="476" t="str">
        <f>INDEX(Input!$1:$1048576,N$93,$C180*2+MIN($B180,2)+5)</f>
        <v>Market</v>
      </c>
      <c r="O180" s="476" t="str">
        <f>INDEX(Input!$1:$1048576,O$93,$C180*2+MIN($B180,2)+5)</f>
        <v>Market</v>
      </c>
      <c r="P180" s="476" t="str">
        <f>INDEX(Input!$1:$1048576,P$93,$C180*2+MIN($B180,2)+5)</f>
        <v>N</v>
      </c>
      <c r="Q180" s="477">
        <f>INDEX(Input!$1:$1048576,Q$93,$C180*2+MIN($B180,2)+5)
+INDEX(Scenarios!Q$121:Q$200,MATCH($B180,Scenarios!$B$121:$B$200,0))</f>
        <v>0</v>
      </c>
      <c r="R180" s="478">
        <f>IFERROR(MAX(0,INDEX(Input!$1:$1048576,R$93,$C180*2+MIN($B180,2)+5)
+INDEX(Scenarios!R$121:R$200,MATCH($B180,Scenarios!$B$121:$B$200,0)),),"Market")</f>
        <v>0</v>
      </c>
      <c r="S180" s="478">
        <f>IFERROR(MAX(0,INDEX(Input!$1:$1048576,S$93,$C180*2+MIN($B180,2)+5)
+INDEX(Scenarios!S$121:S$200,MATCH($B180,Scenarios!$B$121:$B$200,0)),),"Market")</f>
        <v>0</v>
      </c>
      <c r="T180" s="478">
        <f>IFERROR(MAX(0,INDEX(Input!$1:$1048576,T$93,$C180*2+MIN($B180,2)+5)
+INDEX(Scenarios!T$121:T$200,MATCH($B180,Scenarios!$B$121:$B$200,0)),),"Market")</f>
        <v>0</v>
      </c>
      <c r="U180" s="478">
        <f>IFERROR(MAX(0,INDEX(Input!$1:$1048576,U$93,$C180*2+MIN($B180,2)+5)
+INDEX(Scenarios!U$121:U$200,MATCH($B180,Scenarios!$B$121:$B$200,0)),),"Market")</f>
        <v>9.0000000000000011E-3</v>
      </c>
      <c r="V180" s="478">
        <f>IFERROR(MAX(0,INDEX(Input!$1:$1048576,V$93,$C180*2+MIN($B180,2)+5)
+INDEX(Scenarios!V$121:V$200,MATCH($B180,Scenarios!$B$121:$B$200,0)),),"Market")</f>
        <v>2.8999999999999998E-2</v>
      </c>
      <c r="W180" s="885">
        <f>IFERROR(MAX(0,INDEX(Input!$1:$1048576,W$93,$C180*2+MIN($B180,2)+5)-0%,),"Market")</f>
        <v>3.9E-2</v>
      </c>
      <c r="X180" s="476" t="str">
        <f>INDEX(Input!$1:$1048576,X$93,$C180*2+MIN($B180,2)+5)</f>
        <v>Y</v>
      </c>
      <c r="Y180" s="475">
        <f>INDEX(Input!$1:$1048576,Y$93,$C180*2+MIN($B180,2)+5)
++INDEX(Scenarios!Y$121:Y$200,MATCH($B180,Scenarios!$B$121:$B$200,0))</f>
        <v>1582</v>
      </c>
      <c r="Z180" s="477">
        <f>INDEX(Input!$1:$1048576,Z$93,$C180*2+MIN($B180,2)+5)
+INDEX(Scenarios!Z$121:Z$200,MATCH($B180,Scenarios!$B$121:$B$200,0))</f>
        <v>0</v>
      </c>
      <c r="AA180" s="475">
        <f>INDEX(Input!$1:$1048576,AA$93,$C180*2+MIN($B180,2)+5)
+INDEX(Scenarios!AA$121:AA$200,MATCH($B180,Scenarios!$B$121:$B$200,0))</f>
        <v>0</v>
      </c>
      <c r="AB180" s="476">
        <f>INDEX(Input!$1:$1048576,AB$93,$C180*2+MIN($B180,2)+5)</f>
        <v>0.27</v>
      </c>
      <c r="AC180" s="475">
        <f>INDEX(Input!$1:$1048576,AC$93,$C180*2+MIN($B180,2)+5)
+INDEX(Scenarios!AC$121:AC$200,MATCH($B180,Scenarios!$B$121:$B$200,0))</f>
        <v>0</v>
      </c>
      <c r="AD180" s="476">
        <f>INDEX(Input!$1:$1048576,AD$93,$C180*2+MIN($B180,2)+5)</f>
        <v>0.27</v>
      </c>
      <c r="AE180" s="475">
        <f>INDEX(Input!$1:$1048576,AE$93,$C180*2+MIN($B180,2)+5)
+INDEX(Scenarios!AE$121:AE$200,MATCH($B180,Scenarios!$B$121:$B$200,0))</f>
        <v>0</v>
      </c>
      <c r="AF180" s="476">
        <f>INDEX(Input!$1:$1048576,AF$93,$C180*2+MIN($B180,2)+5)</f>
        <v>0.38</v>
      </c>
      <c r="AG180" s="475">
        <f>INDEX(Input!$1:$1048576,AG$93,$C180*2+MIN($B180,2)+5)
+INDEX(Scenarios!AG$121:AG$200,MATCH($B180,Scenarios!$B$121:$B$200,0))</f>
        <v>0</v>
      </c>
      <c r="AH180" s="476">
        <f>INDEX(Input!$1:$1048576,AH$93,$C180*2+MIN($B180,2)+5)</f>
        <v>0</v>
      </c>
      <c r="AI180" s="475">
        <f>INDEX(Input!$1:$1048576,AI$93,$C180*2+MIN($B180,2)+5)
+INDEX(Scenarios!AI$121:AI$200,MATCH($B180,Scenarios!$B$121:$B$200,0))</f>
        <v>0</v>
      </c>
      <c r="AJ180" s="476">
        <f>INDEX(Input!$1:$1048576,AJ$93,$C180*2+MIN($B180,2)+5)</f>
        <v>0.27</v>
      </c>
      <c r="AK180" s="150">
        <f>ROUND(INDEX(Input!$1:$1048576,AK$93,$C179*2+MIN($B180,1)+5)+(Y180-VLOOKUP($C180*1000+1,$A:$HH,Y$92,FALSE)),0)</f>
        <v>3397</v>
      </c>
      <c r="AL180" s="150">
        <f>ROUND(INDEX(Input!$1:$1048576,AL$93,$C179*2+MIN($B180,1)+5)-(Y180-VLOOKUP($C180*1000+1,$A:$HH,Y$92,FALSE))/36,0)</f>
        <v>4123</v>
      </c>
      <c r="AM180" s="32" t="str">
        <f t="shared" si="392"/>
        <v>std/std/std/std</v>
      </c>
      <c r="AN180" s="32" t="str">
        <f t="shared" si="393"/>
        <v>$0 + 0/0/0.9/2.9/3.9</v>
      </c>
      <c r="AO180" s="32" t="str">
        <f t="shared" si="394"/>
        <v>0/0/0.9/2.9/3.9</v>
      </c>
      <c r="AP180" s="32" t="str">
        <f t="shared" si="498"/>
        <v>0.9/1.9/2.9/3.9</v>
      </c>
      <c r="AQ180" s="536">
        <f t="shared" si="497"/>
        <v>0.30540649233130618</v>
      </c>
      <c r="AR180" s="32"/>
      <c r="AS180" s="302"/>
      <c r="AT180" s="3">
        <f t="shared" si="106"/>
        <v>80</v>
      </c>
      <c r="AU180" s="41" t="s">
        <v>121</v>
      </c>
      <c r="AV180" s="41" t="s">
        <v>116</v>
      </c>
      <c r="AW180" s="41" t="str">
        <f>INDEX(Input!$1:$1048576,AW$93,$C180*2+6)</f>
        <v>Kia</v>
      </c>
      <c r="AX180" s="41" t="str">
        <f>INDEX(Input!$1:$1048576,AX$93,$C180*2+6)</f>
        <v>Kia-LR - L1</v>
      </c>
      <c r="AY180" s="41" t="str">
        <f>IF(LEN(D180)=0,"",INDEX(Input!$1:$1048576,AY$93,$C180*2+6))</f>
        <v>Compact SUV (52)</v>
      </c>
      <c r="AZ180" s="41" t="str">
        <f>INDEX(Input!$1:$1048576,AZ$93,$C180*2+6)</f>
        <v>Kia Soul</v>
      </c>
      <c r="BA180" s="3">
        <f>INDEX(Input!$1:$1048576,BA$93,$C180*2+6)</f>
        <v>2020</v>
      </c>
      <c r="BB180" s="128">
        <f>INDEX(Input!$1:$1048576,BB$93,$C180*2+6)</f>
        <v>1</v>
      </c>
      <c r="BC180" s="128">
        <f>INDEX(Input!$1:$1048576,BC$93,$C180*2+6)</f>
        <v>0.7</v>
      </c>
      <c r="BD180" s="1">
        <f>INDEX(Input!$1:$1048576,BD$93,$C180*2+6)</f>
        <v>4.4999999999999998E-2</v>
      </c>
      <c r="BE180" s="1">
        <f>INDEX(Input!$1:$1048576,BE$93,$C180*2+6)</f>
        <v>4.4999999999999998E-2</v>
      </c>
      <c r="BF180" s="1">
        <f>INDEX(Input!$1:$1048576,BF$93,$C180*2+6)</f>
        <v>0.05</v>
      </c>
      <c r="BG180" s="1">
        <f>INDEX(Input!$1:$1048576,BG$93,$C180*2+6)</f>
        <v>5.45E-2</v>
      </c>
      <c r="BH180" s="1">
        <f>INDEX(Input!$1:$1048576,BH$93,$C180*2+6)</f>
        <v>5.45E-2</v>
      </c>
      <c r="BI180" s="1">
        <f>INDEX(Input!$1:$1048576,BI$93,$C180*2+6)</f>
        <v>0.05</v>
      </c>
      <c r="BJ180" s="1">
        <f>INDEX(Input!$1:$1048576,BJ$93,$C180*2+6)</f>
        <v>0.05</v>
      </c>
      <c r="BK180" s="1">
        <f>INDEX(Input!$1:$1048576,BK$93,$C180*2+6)</f>
        <v>0.05</v>
      </c>
      <c r="BL180" s="1">
        <f>INDEX(Input!$1:$1048576,BL$93,$C180*2+6)</f>
        <v>5.5E-2</v>
      </c>
      <c r="BM180" s="1">
        <f>INDEX(Input!$1:$1048576,BM$93,$C180*2+6)</f>
        <v>0.06</v>
      </c>
      <c r="BN180" s="1">
        <f>INDEX(Input!$1:$1048576,BN$93,$C180*2+6)</f>
        <v>4.4999999999999998E-2</v>
      </c>
      <c r="BO180" s="1">
        <f>INDEX(Input!$1:$1048576,BO$93,$C180*2+6)</f>
        <v>4.4999999999999998E-2</v>
      </c>
      <c r="BP180" s="1">
        <f>INDEX(Input!$1:$1048576,BP$93,$C180*2+6)</f>
        <v>0.05</v>
      </c>
      <c r="BQ180" s="1">
        <f>INDEX(Input!$1:$1048576,BQ$93,$C180*2+6)</f>
        <v>5.45E-2</v>
      </c>
      <c r="BR180" s="1">
        <f>INDEX(Input!$1:$1048576,BR$93,$C180*2+6)</f>
        <v>5.45E-2</v>
      </c>
      <c r="BS180" s="1">
        <f>INDEX(Input!$1:$1048576,BS$93,$C180*2+6)</f>
        <v>0.05</v>
      </c>
      <c r="BT180" s="1">
        <f>INDEX(Input!$1:$1048576,BT$93,$C180*2+6)</f>
        <v>0.05</v>
      </c>
      <c r="BU180" s="1">
        <f>INDEX(Input!$1:$1048576,BU$93,$C180*2+6)</f>
        <v>0.05</v>
      </c>
      <c r="BV180" s="1">
        <f>INDEX(Input!$1:$1048576,BV$93,$C180*2+6)</f>
        <v>5.5E-2</v>
      </c>
      <c r="BW180" s="1">
        <f>INDEX(Input!$1:$1048576,BW$93,$C180*2+6)</f>
        <v>0.06</v>
      </c>
      <c r="BX180" s="127">
        <f>INDEX(Input!$1:$1048576,BX$93,$C180*2+6)</f>
        <v>19985</v>
      </c>
      <c r="BY180" s="20">
        <f>INDEX(Input!$1:$1048576,BY$93,$C180*2+6)</f>
        <v>0.1</v>
      </c>
      <c r="BZ180" s="20">
        <f>INDEX(Input!$1:$1048576,BZ$93,$C180*2+6)</f>
        <v>0.1</v>
      </c>
      <c r="CA180" s="20">
        <f>INDEX(Input!$1:$1048576,CA$93,$C180*2+6)</f>
        <v>0.1</v>
      </c>
      <c r="CB180" s="20">
        <f>INDEX(Input!$1:$1048576,CB$93,$C180*2+6)</f>
        <v>0.1</v>
      </c>
      <c r="CC180" s="20">
        <f>INDEX(Input!$1:$1048576,CC$93,$C180*2+6)</f>
        <v>0.1</v>
      </c>
      <c r="CD180" s="384">
        <f>INDEX(Input!$1:$1048576,CD$93,$C180*2+6)</f>
        <v>0.1</v>
      </c>
      <c r="CE180" s="384">
        <f>INDEX(Input!$1:$1048576,CE$93,$C180*2+6)</f>
        <v>0.1</v>
      </c>
      <c r="CF180" s="384">
        <f>INDEX(Input!$1:$1048576,CF$93,$C180*2+6)</f>
        <v>0.1</v>
      </c>
      <c r="CG180" s="384">
        <f>INDEX(Input!$1:$1048576,CG$93,$C180*2+6)</f>
        <v>0.1</v>
      </c>
      <c r="CH180" s="384">
        <f>INDEX(Input!$1:$1048576,CH$93,$C180*2+6)</f>
        <v>0.1</v>
      </c>
      <c r="CI180" s="304">
        <f t="shared" si="499"/>
        <v>1229</v>
      </c>
      <c r="CJ180" s="16" t="str">
        <f>INDEX(Input!$1:$1048576,CJ$93,$C180*2+6)</f>
        <v>N</v>
      </c>
      <c r="CK180" s="1" t="str">
        <f t="shared" si="500"/>
        <v>Market</v>
      </c>
      <c r="CL180" s="1" t="str">
        <f t="shared" si="501"/>
        <v>Market</v>
      </c>
      <c r="CM180" s="1" t="str">
        <f t="shared" si="502"/>
        <v>Market</v>
      </c>
      <c r="CN180" s="1" t="str">
        <f t="shared" si="503"/>
        <v>Market</v>
      </c>
      <c r="CO180" s="1" t="str">
        <f t="shared" si="504"/>
        <v>Market</v>
      </c>
      <c r="CP180" s="304">
        <f t="shared" si="505"/>
        <v>0</v>
      </c>
      <c r="CQ180" s="1">
        <f t="shared" si="506"/>
        <v>0</v>
      </c>
      <c r="CR180" s="1">
        <f t="shared" si="507"/>
        <v>0</v>
      </c>
      <c r="CS180" s="1">
        <f t="shared" si="508"/>
        <v>9.0000000000000011E-3</v>
      </c>
      <c r="CT180" s="1">
        <f t="shared" si="509"/>
        <v>2.8999999999999998E-2</v>
      </c>
      <c r="CU180" s="1">
        <f t="shared" si="510"/>
        <v>3.9E-2</v>
      </c>
      <c r="CV180" s="304">
        <f t="shared" si="511"/>
        <v>1582</v>
      </c>
      <c r="CW180" s="20" t="s">
        <v>122</v>
      </c>
      <c r="CX180" s="20" t="s">
        <v>122</v>
      </c>
      <c r="CY180" s="20" t="s">
        <v>122</v>
      </c>
      <c r="CZ180" s="20" t="s">
        <v>122</v>
      </c>
      <c r="DA180" s="20" t="s">
        <v>122</v>
      </c>
      <c r="DB180" s="503">
        <f t="shared" si="512"/>
        <v>0</v>
      </c>
      <c r="DC180" s="127">
        <v>0</v>
      </c>
      <c r="DD180" s="127">
        <v>0</v>
      </c>
      <c r="DE180" s="127">
        <v>0</v>
      </c>
      <c r="DF180" s="127">
        <v>0</v>
      </c>
      <c r="DG180" s="127">
        <v>0</v>
      </c>
      <c r="DH180" s="127">
        <v>0</v>
      </c>
      <c r="DI180" s="127">
        <v>0</v>
      </c>
      <c r="DJ180" s="127">
        <v>0</v>
      </c>
      <c r="DK180" s="127">
        <v>0</v>
      </c>
      <c r="DL180" s="127">
        <v>0</v>
      </c>
      <c r="DM180" s="304">
        <f>INDEX(Input!$1:$1048576,DM$93,$C180*2+6)</f>
        <v>21036.84210526316</v>
      </c>
      <c r="DN180" s="20">
        <v>0</v>
      </c>
      <c r="DO180" s="20">
        <v>0</v>
      </c>
      <c r="DP180" s="20">
        <v>0</v>
      </c>
      <c r="DQ180" s="20">
        <v>0</v>
      </c>
      <c r="DR180" s="20">
        <v>0</v>
      </c>
      <c r="DS180" s="20">
        <f>INDEX(Input!$1:$1048576,DS$93,$C180*2+6)</f>
        <v>0.6</v>
      </c>
      <c r="DT180" s="20">
        <f>INDEX(Input!$1:$1048576,DT$93,$C180*2+6)</f>
        <v>0.55000000000000004</v>
      </c>
      <c r="DU180" s="20">
        <f>INDEX(Input!$1:$1048576,DU$93,$C180*2+6)</f>
        <v>0.52</v>
      </c>
      <c r="DV180" s="20">
        <f>INDEX(Input!$1:$1048576,DV$93,$C180*2+6)</f>
        <v>0.5</v>
      </c>
      <c r="DW180" s="20">
        <f>INDEX(Input!$1:$1048576,DW$93,$C180*2+6)</f>
        <v>0.45</v>
      </c>
      <c r="DX180" s="20"/>
      <c r="DY180" s="7">
        <v>0.10707062745166644</v>
      </c>
      <c r="DZ180" s="7">
        <v>0</v>
      </c>
      <c r="EA180" s="7">
        <v>0.51121930210788036</v>
      </c>
      <c r="EB180" s="7">
        <v>0</v>
      </c>
      <c r="EC180" s="7">
        <v>0</v>
      </c>
      <c r="ED180" s="7">
        <v>0</v>
      </c>
      <c r="EE180" s="7">
        <v>0</v>
      </c>
      <c r="EF180" s="7">
        <v>0</v>
      </c>
      <c r="EG180" s="7">
        <v>0</v>
      </c>
      <c r="EH180" s="7">
        <v>2.4924505894191561E-2</v>
      </c>
      <c r="EI180" s="7">
        <v>7.2786507893432065E-2</v>
      </c>
      <c r="EJ180" s="7">
        <v>0.33455329378928089</v>
      </c>
      <c r="EK180" s="7">
        <v>0.42428215380488998</v>
      </c>
      <c r="EL180" s="7">
        <v>0.1434535386182057</v>
      </c>
      <c r="EM180" s="7">
        <v>3.9755476319054829E-2</v>
      </c>
      <c r="EN180" s="7">
        <v>4.9379578909208771E-2</v>
      </c>
      <c r="EO180" s="7">
        <v>0.75610016993185003</v>
      </c>
      <c r="EP180" s="7">
        <v>8.5125034424855889E-2</v>
      </c>
      <c r="EQ180" s="7">
        <v>6.5024794318701673E-2</v>
      </c>
      <c r="ER180" s="7">
        <v>4.4370422415383901E-2</v>
      </c>
      <c r="ES180" s="7">
        <v>0.34195459412139839</v>
      </c>
      <c r="ET180" s="7">
        <v>0.3817100704404533</v>
      </c>
      <c r="EU180" s="6">
        <v>1270</v>
      </c>
      <c r="EV180" s="6">
        <v>0</v>
      </c>
      <c r="EW180" s="6">
        <v>1270</v>
      </c>
      <c r="EX180" s="6">
        <v>0</v>
      </c>
      <c r="EY180" s="6">
        <v>1668.1172696255976</v>
      </c>
      <c r="EZ180" s="6">
        <v>1725</v>
      </c>
      <c r="FA180" s="6">
        <v>0</v>
      </c>
      <c r="FB180" s="6">
        <v>0</v>
      </c>
      <c r="FC180" s="6">
        <v>0</v>
      </c>
      <c r="FD180" s="6">
        <v>0</v>
      </c>
      <c r="FE180" s="6">
        <v>0</v>
      </c>
      <c r="FF180" s="6">
        <v>0</v>
      </c>
      <c r="FG180" s="6">
        <v>0</v>
      </c>
      <c r="FH180" s="6">
        <v>1171.2811379695615</v>
      </c>
      <c r="FI180" s="6">
        <v>1553.9796069512402</v>
      </c>
      <c r="FJ180" s="6">
        <v>1735.1562230702807</v>
      </c>
      <c r="FK180" s="6">
        <v>1284.9687470586853</v>
      </c>
      <c r="FL180" s="6">
        <v>907.07682140966324</v>
      </c>
      <c r="FM180" s="6">
        <v>1398.1172696255976</v>
      </c>
      <c r="FN180" s="6">
        <v>0</v>
      </c>
      <c r="FO180" s="6">
        <v>0</v>
      </c>
      <c r="FP180" s="6">
        <v>0</v>
      </c>
      <c r="FQ180" s="6">
        <v>0</v>
      </c>
      <c r="FR180" s="6">
        <v>0</v>
      </c>
      <c r="FS180" s="6">
        <v>0</v>
      </c>
      <c r="FT180" s="7">
        <v>0.61828992955954676</v>
      </c>
      <c r="FU180" s="7">
        <v>3.9755476319054829E-2</v>
      </c>
      <c r="FV180" s="7">
        <v>0.34195459412139839</v>
      </c>
      <c r="FW180" s="6">
        <v>1270</v>
      </c>
      <c r="FX180" s="6">
        <v>1668.1172696255976</v>
      </c>
      <c r="FY180" s="6">
        <v>1725</v>
      </c>
      <c r="FZ180" s="6">
        <v>1952.7147957719815</v>
      </c>
      <c r="GA180" s="6">
        <v>1441.4166820100436</v>
      </c>
      <c r="GB180" s="6">
        <v>18543.583317989956</v>
      </c>
      <c r="GC180" s="7">
        <v>1.0519917368675835E-2</v>
      </c>
      <c r="GD180" s="7">
        <v>1.0029474233168899E-2</v>
      </c>
      <c r="GE180" s="7"/>
      <c r="GF180" s="7"/>
      <c r="GG180" s="7">
        <v>-4.6620436104116363E-2</v>
      </c>
      <c r="GH180" s="42">
        <v>1.8222430133481238</v>
      </c>
      <c r="GI180" s="6">
        <v>12408.669597020697</v>
      </c>
      <c r="GJ180" s="14">
        <v>0.50394797582841744</v>
      </c>
      <c r="GK180" s="14">
        <v>0.50887573065309755</v>
      </c>
      <c r="GL180" s="14">
        <v>0.49605202417158278</v>
      </c>
      <c r="GM180" s="14">
        <v>0.49112426934690256</v>
      </c>
      <c r="GO180" s="5">
        <v>343.14810671672558</v>
      </c>
      <c r="GP180" s="5">
        <v>318.91892952659737</v>
      </c>
      <c r="GQ180" s="5">
        <v>535.04305713031317</v>
      </c>
      <c r="GR180" s="5">
        <v>410.15490233172511</v>
      </c>
      <c r="GS180" s="5">
        <v>339.42744393800166</v>
      </c>
      <c r="GT180" s="5">
        <v>293.4407446948278</v>
      </c>
      <c r="GU180" s="5">
        <v>258.04012322764959</v>
      </c>
      <c r="GV180" s="39" t="s">
        <v>392</v>
      </c>
      <c r="GW180" s="5">
        <v>492.125</v>
      </c>
      <c r="GX180" s="5">
        <v>369.09375</v>
      </c>
      <c r="GY180" s="5">
        <v>302.07920908968697</v>
      </c>
      <c r="GZ180" s="5">
        <v>268.3868982438774</v>
      </c>
      <c r="HA180" s="5">
        <v>241.34874471337258</v>
      </c>
      <c r="HB180" s="39">
        <v>288.68671470730754</v>
      </c>
      <c r="HC180" s="5">
        <v>211.81562499999998</v>
      </c>
      <c r="HD180" s="5">
        <v>188.29497441520465</v>
      </c>
      <c r="HE180" s="5">
        <v>193.13834767206475</v>
      </c>
      <c r="HF180" s="5">
        <v>181.01813048245612</v>
      </c>
      <c r="HG180" s="5">
        <v>177.56888157894736</v>
      </c>
      <c r="HH180" s="39">
        <v>188.91961000194755</v>
      </c>
      <c r="HI180" s="16"/>
      <c r="HJ180" s="19" t="str">
        <f t="shared" ref="HJ180:HK180" si="622">HJ179</f>
        <v>On</v>
      </c>
      <c r="HK180" s="1" t="str">
        <f t="shared" si="622"/>
        <v>On</v>
      </c>
      <c r="HL180" s="16"/>
      <c r="HM180" s="639">
        <f t="shared" si="568"/>
        <v>5.7455619280273196E-3</v>
      </c>
      <c r="HN180" s="639">
        <f t="shared" si="569"/>
        <v>5.0031960498701745E-4</v>
      </c>
      <c r="HO180" s="639">
        <f t="shared" si="570"/>
        <v>3.9819433988714835E-3</v>
      </c>
      <c r="HP180" s="644">
        <f>(FT180*$GD180-HM180)/$JF180*INDEX(Input!$1:$1048576,$JG$93,$C180*2+6)</f>
        <v>19.865435955321054</v>
      </c>
      <c r="HQ180" s="644">
        <f>(FU180*$GD180-HN180)/$JF180*INDEX(Input!$1:$1048576,$JG$93,$C180*2+6)</f>
        <v>-4.4301221238385136</v>
      </c>
      <c r="HR180" s="644">
        <f>(FV180*$GD180-HO180)/$JF180*INDEX(Input!$1:$1048576,$JG$93,$C180*2+6)</f>
        <v>-24.084700403592752</v>
      </c>
      <c r="HS180" s="644">
        <f t="shared" si="571"/>
        <v>-0.31391429433441398</v>
      </c>
      <c r="HT180" s="644">
        <f t="shared" si="572"/>
        <v>-8.2924264667503511</v>
      </c>
      <c r="HU180" s="644">
        <f t="shared" si="573"/>
        <v>-4.5505344392342835</v>
      </c>
      <c r="HV180" s="648">
        <f t="shared" si="574"/>
        <v>0</v>
      </c>
      <c r="HW180" s="648">
        <f t="shared" si="575"/>
        <v>0</v>
      </c>
      <c r="HX180" s="648">
        <f t="shared" si="576"/>
        <v>0</v>
      </c>
      <c r="HY180" s="644">
        <f>INDEX(Input!$1:$1048576,HY$93,$C180*2+6)*INDEX(Input!$1:$1048576,$JG$93,$C180*2+6)</f>
        <v>110.00000000000001</v>
      </c>
      <c r="HZ180" s="644">
        <f>INDEX(Input!$1:$1048576,HZ$93,$C180*2+6)*INDEX(Input!$1:$1048576,$JG$93,$C180*2+6)</f>
        <v>157</v>
      </c>
      <c r="IA180" s="644">
        <f>INDEX(Input!$1:$1048576,IA$93,$C180*2+6)*INDEX(Input!$1:$1048576,$JG$93,$C180*2+6)</f>
        <v>179</v>
      </c>
      <c r="IB180" s="644">
        <f t="shared" si="577"/>
        <v>129.55152166098668</v>
      </c>
      <c r="IC180" s="644">
        <f t="shared" si="578"/>
        <v>144.27745140941113</v>
      </c>
      <c r="ID180" s="644">
        <f>IF(AND(INDEX(Input!$1:$1048576,IA$93,$C180*2+7)="TOS",Y180&lt;=INDEX(Y:Y,MATCH(C180*1000+2,A:A))),0,1)*MAX(IA180+HR180+HU180+HX180,0%)</f>
        <v>150.36476515717294</v>
      </c>
      <c r="IE180" s="128">
        <f t="shared" si="579"/>
        <v>0.30540649233130618</v>
      </c>
      <c r="IF180" s="128">
        <f t="shared" si="580"/>
        <v>0.34012159635418615</v>
      </c>
      <c r="IG180" s="128">
        <f t="shared" si="581"/>
        <v>0.35447191131450767</v>
      </c>
      <c r="IH180" s="21"/>
      <c r="II180" s="19">
        <f t="shared" si="582"/>
        <v>1240</v>
      </c>
      <c r="IJ180" s="19">
        <f t="shared" si="583"/>
        <v>2009.7221397149679</v>
      </c>
      <c r="IK180" s="19">
        <f t="shared" si="584"/>
        <v>2070</v>
      </c>
      <c r="IL180" s="19">
        <f t="shared" si="585"/>
        <v>30</v>
      </c>
      <c r="IM180" s="19">
        <f t="shared" si="586"/>
        <v>-341.60487008937025</v>
      </c>
      <c r="IN180" s="19">
        <f t="shared" si="587"/>
        <v>-345</v>
      </c>
      <c r="IO180" s="39">
        <f t="shared" si="588"/>
        <v>0</v>
      </c>
      <c r="IP180" s="39">
        <f t="shared" si="589"/>
        <v>0</v>
      </c>
      <c r="IQ180" s="39">
        <f t="shared" si="590"/>
        <v>0</v>
      </c>
      <c r="IR180" s="39">
        <v>0</v>
      </c>
      <c r="IS180" s="39">
        <v>0</v>
      </c>
      <c r="IT180" s="39">
        <v>0</v>
      </c>
      <c r="IU180" s="39">
        <v>0</v>
      </c>
      <c r="IV180" s="39">
        <v>0</v>
      </c>
      <c r="IW180" s="39">
        <v>0</v>
      </c>
      <c r="IX180" s="39">
        <f>INDEX(Input!$1:$1048576,IX$93,$C180*2+6)+INDEX(Input!$1:$1048576,IX$94,$C180*2+6)</f>
        <v>1270</v>
      </c>
      <c r="IY180" s="39">
        <f>INDEX(Input!$1:$1048576,IY$93,$C180*2+6)+INDEX(Input!$1:$1048576,IY$94,$C180*2+6)</f>
        <v>2130.0624533823611</v>
      </c>
      <c r="IZ180" s="39">
        <f>INDEX(Input!$1:$1048576,IZ$93,$C180*2+6)+INDEX(Input!$1:$1048576,IZ$94,$C180*2+6)</f>
        <v>4373.7164157747848</v>
      </c>
      <c r="JA180" s="19">
        <f t="shared" si="591"/>
        <v>1300</v>
      </c>
      <c r="JB180" s="19">
        <f t="shared" si="592"/>
        <v>1788.4575832929909</v>
      </c>
      <c r="JC180" s="19">
        <f t="shared" si="593"/>
        <v>4028.7164157747848</v>
      </c>
      <c r="JD180" s="19">
        <f t="shared" si="594"/>
        <v>2433.3882963158803</v>
      </c>
      <c r="JE180" s="21"/>
      <c r="JF180" s="1">
        <f t="shared" si="595"/>
        <v>1.022782493188582E-2</v>
      </c>
      <c r="JG180" s="15">
        <f>INDEX(Input!$1:$1048576,JG$93,$C180*2+6)/(1+VLOOKUP(C180*1000+INDEX(Input!$1:$1048576,JG$93+1,$C180*2+6),$A:$KK,$JK$92,FALSE))</f>
        <v>446</v>
      </c>
      <c r="JH180" s="1">
        <f t="shared" si="596"/>
        <v>-1.9393243435224691E-2</v>
      </c>
      <c r="JI180" s="1">
        <f t="shared" si="597"/>
        <v>-2.9499720180087553E-2</v>
      </c>
      <c r="JJ180" s="1">
        <f t="shared" si="598"/>
        <v>0</v>
      </c>
      <c r="JK180" s="1">
        <f t="shared" si="599"/>
        <v>-4.8892963615312243E-2</v>
      </c>
      <c r="JL180" s="15">
        <f t="shared" si="600"/>
        <v>-21.806261772429259</v>
      </c>
      <c r="JM180" s="15">
        <f t="shared" si="601"/>
        <v>424.19373822757075</v>
      </c>
      <c r="JN180" s="21"/>
      <c r="JO180" s="19">
        <f>INDEX(Input!$1:$1048576,JO$93,$C180*2+6)</f>
        <v>5995.5</v>
      </c>
      <c r="JP180" s="19">
        <f>INDEX(Input!$1:$1048576,JP$93,$C180*2+6)</f>
        <v>2818.4193802796353</v>
      </c>
      <c r="JQ180" s="39">
        <f t="shared" si="602"/>
        <v>3562.1117036841197</v>
      </c>
      <c r="JR180" s="39">
        <f t="shared" si="603"/>
        <v>-385.03108396375501</v>
      </c>
      <c r="JS180" s="39">
        <f t="shared" si="604"/>
        <v>1.032228077973453</v>
      </c>
      <c r="JT180" s="39">
        <f t="shared" si="605"/>
        <v>-0.22478696563126449</v>
      </c>
      <c r="JU180" s="385">
        <f>(JQ180*JM180-INDEX(Input!$1:$1048576,Input!A$18,$C180*2+6)*JL180*INDEX(Input!$1:$1048576,Input!A$19,$C180*2+6))/1000000</f>
        <v>1.5110254795699476</v>
      </c>
      <c r="JV180" s="39">
        <f t="shared" si="606"/>
        <v>9.4047523174664915E-2</v>
      </c>
      <c r="JW180" s="1">
        <f t="shared" si="607"/>
        <v>6.6371902788041157E-2</v>
      </c>
      <c r="JX180" s="19">
        <f t="shared" si="608"/>
        <v>10308.36775129765</v>
      </c>
      <c r="JZ180" s="341"/>
      <c r="KA180" s="342"/>
      <c r="KB180" s="469">
        <f t="shared" si="514"/>
        <v>2.9286733661474216</v>
      </c>
      <c r="KI180" s="473">
        <f t="shared" si="609"/>
        <v>19.551521660986666</v>
      </c>
      <c r="KJ180" s="473">
        <f t="shared" si="610"/>
        <v>-12.722548590588872</v>
      </c>
      <c r="KK180" s="473">
        <f t="shared" si="611"/>
        <v>-28.63523484282706</v>
      </c>
      <c r="KN180" s="544">
        <f t="shared" si="612"/>
        <v>1002</v>
      </c>
      <c r="KO180" s="541">
        <f t="shared" si="613"/>
        <v>-5.2791574051293533E-2</v>
      </c>
      <c r="KP180" s="546">
        <f t="shared" si="614"/>
        <v>-254.00072970100933</v>
      </c>
      <c r="KQ180" s="546">
        <f t="shared" si="615"/>
        <v>-405.92790370277135</v>
      </c>
      <c r="KR180" s="548">
        <f t="shared" si="616"/>
        <v>3.5635631324849002</v>
      </c>
      <c r="KS180" s="548">
        <f t="shared" si="617"/>
        <v>2.2298236404303622</v>
      </c>
      <c r="KT180" s="473">
        <f t="shared" si="515"/>
        <v>238.28695973331548</v>
      </c>
      <c r="KU180" s="663">
        <f t="shared" si="618"/>
        <v>6.4075663058073511</v>
      </c>
    </row>
    <row r="181" spans="1:307" s="26" customFormat="1" ht="15" outlineLevel="1">
      <c r="A181" s="561">
        <f t="shared" si="391"/>
        <v>1081</v>
      </c>
      <c r="B181" s="561">
        <f t="shared" si="513"/>
        <v>81</v>
      </c>
      <c r="C181" s="561">
        <f t="shared" si="105"/>
        <v>1</v>
      </c>
      <c r="D181" s="561" t="str">
        <f t="shared" si="294"/>
        <v xml:space="preserve">-250 CC, 0.9/1.9/2.9/3.9, -360 Lease, </v>
      </c>
      <c r="E181" s="475">
        <f>INDEX(Input!$1:$1048576,E$93,$C181*2+MIN($B181,2)+5)
+INDEX(Scenarios!E$121:E$200,MATCH($B181,Scenarios!$B$121:$B$200,0))</f>
        <v>979</v>
      </c>
      <c r="F181" s="475">
        <f>INDEX(Input!$1:$1048576,F$93,$C181*2+MIN($B181,2)+5)
+INDEX(Scenarios!F$121:F$200,MATCH($B181,Scenarios!$B$121:$B$200,0))</f>
        <v>0</v>
      </c>
      <c r="G181" s="475">
        <f>INDEX(Input!$1:$1048576,G$93,$C181*2+MIN($B181,2)+5)
+INDEX(Scenarios!G$121:G$200,MATCH($B181,Scenarios!$B$121:$B$200,0))</f>
        <v>0</v>
      </c>
      <c r="H181" s="475">
        <f>INDEX(Input!$1:$1048576,H$93,$C181*2+MIN($B181,2)+5)
+INDEX(Scenarios!H$121:H$200,MATCH($B181,Scenarios!$B$121:$B$200,0))</f>
        <v>0</v>
      </c>
      <c r="I181" s="476">
        <f>INDEX(Input!$1:$1048576,I$93,$C181*2+MIN($B181,2)+5)</f>
        <v>0.7</v>
      </c>
      <c r="J181" s="476" t="str">
        <f>INDEX(Input!$1:$1048576,J$93,$C181*2+MIN($B181,2)+5)</f>
        <v>Market</v>
      </c>
      <c r="K181" s="476" t="str">
        <f>INDEX(Input!$1:$1048576,K$93,$C181*2+MIN($B181,2)+5)</f>
        <v>Market</v>
      </c>
      <c r="L181" s="476" t="str">
        <f>INDEX(Input!$1:$1048576,L$93,$C181*2+MIN($B181,2)+5)</f>
        <v>Market</v>
      </c>
      <c r="M181" s="476" t="str">
        <f>INDEX(Input!$1:$1048576,M$93,$C181*2+MIN($B181,2)+5)</f>
        <v>Market</v>
      </c>
      <c r="N181" s="476" t="str">
        <f>INDEX(Input!$1:$1048576,N$93,$C181*2+MIN($B181,2)+5)</f>
        <v>Market</v>
      </c>
      <c r="O181" s="476" t="str">
        <f>INDEX(Input!$1:$1048576,O$93,$C181*2+MIN($B181,2)+5)</f>
        <v>Market</v>
      </c>
      <c r="P181" s="476" t="str">
        <f>INDEX(Input!$1:$1048576,P$93,$C181*2+MIN($B181,2)+5)</f>
        <v>N</v>
      </c>
      <c r="Q181" s="477">
        <f>INDEX(Input!$1:$1048576,Q$93,$C181*2+MIN($B181,2)+5)
+INDEX(Scenarios!Q$121:Q$200,MATCH($B181,Scenarios!$B$121:$B$200,0))</f>
        <v>0</v>
      </c>
      <c r="R181" s="478">
        <f>IFERROR(MAX(0,INDEX(Input!$1:$1048576,R$93,$C181*2+MIN($B181,2)+5)
+INDEX(Scenarios!R$121:R$200,MATCH($B181,Scenarios!$B$121:$B$200,0)),),"Market")</f>
        <v>0</v>
      </c>
      <c r="S181" s="478">
        <f>IFERROR(MAX(0,INDEX(Input!$1:$1048576,S$93,$C181*2+MIN($B181,2)+5)
+INDEX(Scenarios!S$121:S$200,MATCH($B181,Scenarios!$B$121:$B$200,0)),),"Market")</f>
        <v>0</v>
      </c>
      <c r="T181" s="478">
        <f>IFERROR(MAX(0,INDEX(Input!$1:$1048576,T$93,$C181*2+MIN($B181,2)+5)
+INDEX(Scenarios!T$121:T$200,MATCH($B181,Scenarios!$B$121:$B$200,0)),),"Market")</f>
        <v>0</v>
      </c>
      <c r="U181" s="478">
        <f>IFERROR(MAX(0,INDEX(Input!$1:$1048576,U$93,$C181*2+MIN($B181,2)+5)
+INDEX(Scenarios!U$121:U$200,MATCH($B181,Scenarios!$B$121:$B$200,0)),),"Market")</f>
        <v>9.0000000000000011E-3</v>
      </c>
      <c r="V181" s="478">
        <f>IFERROR(MAX(0,INDEX(Input!$1:$1048576,V$93,$C181*2+MIN($B181,2)+5)
+INDEX(Scenarios!V$121:V$200,MATCH($B181,Scenarios!$B$121:$B$200,0)),),"Market")</f>
        <v>2.8999999999999998E-2</v>
      </c>
      <c r="W181" s="885">
        <f>IFERROR(MAX(0,INDEX(Input!$1:$1048576,W$93,$C181*2+MIN($B181,2)+5)-0%,),"Market")</f>
        <v>3.9E-2</v>
      </c>
      <c r="X181" s="476" t="str">
        <f>INDEX(Input!$1:$1048576,X$93,$C181*2+MIN($B181,2)+5)</f>
        <v>Y</v>
      </c>
      <c r="Y181" s="475">
        <f>INDEX(Input!$1:$1048576,Y$93,$C181*2+MIN($B181,2)+5)
++INDEX(Scenarios!Y$121:Y$200,MATCH($B181,Scenarios!$B$121:$B$200,0))</f>
        <v>1582</v>
      </c>
      <c r="Z181" s="477">
        <f>INDEX(Input!$1:$1048576,Z$93,$C181*2+MIN($B181,2)+5)
+INDEX(Scenarios!Z$121:Z$200,MATCH($B181,Scenarios!$B$121:$B$200,0))</f>
        <v>0</v>
      </c>
      <c r="AA181" s="475">
        <f>INDEX(Input!$1:$1048576,AA$93,$C181*2+MIN($B181,2)+5)
+INDEX(Scenarios!AA$121:AA$200,MATCH($B181,Scenarios!$B$121:$B$200,0))</f>
        <v>0</v>
      </c>
      <c r="AB181" s="476">
        <f>INDEX(Input!$1:$1048576,AB$93,$C181*2+MIN($B181,2)+5)</f>
        <v>0.27</v>
      </c>
      <c r="AC181" s="475">
        <f>INDEX(Input!$1:$1048576,AC$93,$C181*2+MIN($B181,2)+5)
+INDEX(Scenarios!AC$121:AC$200,MATCH($B181,Scenarios!$B$121:$B$200,0))</f>
        <v>0</v>
      </c>
      <c r="AD181" s="476">
        <f>INDEX(Input!$1:$1048576,AD$93,$C181*2+MIN($B181,2)+5)</f>
        <v>0.27</v>
      </c>
      <c r="AE181" s="475">
        <f>INDEX(Input!$1:$1048576,AE$93,$C181*2+MIN($B181,2)+5)
+INDEX(Scenarios!AE$121:AE$200,MATCH($B181,Scenarios!$B$121:$B$200,0))</f>
        <v>0</v>
      </c>
      <c r="AF181" s="476">
        <f>INDEX(Input!$1:$1048576,AF$93,$C181*2+MIN($B181,2)+5)</f>
        <v>0.38</v>
      </c>
      <c r="AG181" s="475">
        <f>INDEX(Input!$1:$1048576,AG$93,$C181*2+MIN($B181,2)+5)
+INDEX(Scenarios!AG$121:AG$200,MATCH($B181,Scenarios!$B$121:$B$200,0))</f>
        <v>0</v>
      </c>
      <c r="AH181" s="476">
        <f>INDEX(Input!$1:$1048576,AH$93,$C181*2+MIN($B181,2)+5)</f>
        <v>0</v>
      </c>
      <c r="AI181" s="475">
        <f>INDEX(Input!$1:$1048576,AI$93,$C181*2+MIN($B181,2)+5)
+INDEX(Scenarios!AI$121:AI$200,MATCH($B181,Scenarios!$B$121:$B$200,0))</f>
        <v>0</v>
      </c>
      <c r="AJ181" s="476">
        <f>INDEX(Input!$1:$1048576,AJ$93,$C181*2+MIN($B181,2)+5)</f>
        <v>0.27</v>
      </c>
      <c r="AK181" s="150">
        <f>ROUND(INDEX(Input!$1:$1048576,AK$93,$C180*2+MIN($B181,1)+5)+(Y181-VLOOKUP($C181*1000+1,$A:$HH,Y$92,FALSE)),0)</f>
        <v>3397</v>
      </c>
      <c r="AL181" s="150">
        <f>ROUND(INDEX(Input!$1:$1048576,AL$93,$C180*2+MIN($B181,1)+5)-(Y181-VLOOKUP($C181*1000+1,$A:$HH,Y$92,FALSE))/36,0)</f>
        <v>4123</v>
      </c>
      <c r="AM181" s="32" t="str">
        <f t="shared" si="392"/>
        <v>std/std/std/std</v>
      </c>
      <c r="AN181" s="32" t="str">
        <f t="shared" si="393"/>
        <v>$0 + 0/0/0.9/2.9/3.9</v>
      </c>
      <c r="AO181" s="32" t="str">
        <f t="shared" si="394"/>
        <v>0/0/0.9/2.9/3.9</v>
      </c>
      <c r="AP181" s="32" t="str">
        <f t="shared" si="498"/>
        <v>0.9/1.9/2.9/3.9</v>
      </c>
      <c r="AQ181" s="536">
        <f t="shared" si="497"/>
        <v>0.27298589870890044</v>
      </c>
      <c r="AR181" s="32"/>
      <c r="AS181" s="302"/>
      <c r="AT181" s="3">
        <f t="shared" si="106"/>
        <v>81</v>
      </c>
      <c r="AU181" s="41" t="s">
        <v>121</v>
      </c>
      <c r="AV181" s="41" t="s">
        <v>116</v>
      </c>
      <c r="AW181" s="41" t="str">
        <f>INDEX(Input!$1:$1048576,AW$93,$C181*2+6)</f>
        <v>Kia</v>
      </c>
      <c r="AX181" s="41" t="str">
        <f>INDEX(Input!$1:$1048576,AX$93,$C181*2+6)</f>
        <v>Kia-LR - L1</v>
      </c>
      <c r="AY181" s="41" t="str">
        <f>IF(LEN(D181)=0,"",INDEX(Input!$1:$1048576,AY$93,$C181*2+6))</f>
        <v>Compact SUV (52)</v>
      </c>
      <c r="AZ181" s="41" t="str">
        <f>INDEX(Input!$1:$1048576,AZ$93,$C181*2+6)</f>
        <v>Kia Soul</v>
      </c>
      <c r="BA181" s="3">
        <f>INDEX(Input!$1:$1048576,BA$93,$C181*2+6)</f>
        <v>2020</v>
      </c>
      <c r="BB181" s="128">
        <f>INDEX(Input!$1:$1048576,BB$93,$C181*2+6)</f>
        <v>1</v>
      </c>
      <c r="BC181" s="128">
        <f>INDEX(Input!$1:$1048576,BC$93,$C181*2+6)</f>
        <v>0.7</v>
      </c>
      <c r="BD181" s="1">
        <f>INDEX(Input!$1:$1048576,BD$93,$C181*2+6)</f>
        <v>4.4999999999999998E-2</v>
      </c>
      <c r="BE181" s="1">
        <f>INDEX(Input!$1:$1048576,BE$93,$C181*2+6)</f>
        <v>4.4999999999999998E-2</v>
      </c>
      <c r="BF181" s="1">
        <f>INDEX(Input!$1:$1048576,BF$93,$C181*2+6)</f>
        <v>0.05</v>
      </c>
      <c r="BG181" s="1">
        <f>INDEX(Input!$1:$1048576,BG$93,$C181*2+6)</f>
        <v>5.45E-2</v>
      </c>
      <c r="BH181" s="1">
        <f>INDEX(Input!$1:$1048576,BH$93,$C181*2+6)</f>
        <v>5.45E-2</v>
      </c>
      <c r="BI181" s="1">
        <f>INDEX(Input!$1:$1048576,BI$93,$C181*2+6)</f>
        <v>0.05</v>
      </c>
      <c r="BJ181" s="1">
        <f>INDEX(Input!$1:$1048576,BJ$93,$C181*2+6)</f>
        <v>0.05</v>
      </c>
      <c r="BK181" s="1">
        <f>INDEX(Input!$1:$1048576,BK$93,$C181*2+6)</f>
        <v>0.05</v>
      </c>
      <c r="BL181" s="1">
        <f>INDEX(Input!$1:$1048576,BL$93,$C181*2+6)</f>
        <v>5.5E-2</v>
      </c>
      <c r="BM181" s="1">
        <f>INDEX(Input!$1:$1048576,BM$93,$C181*2+6)</f>
        <v>0.06</v>
      </c>
      <c r="BN181" s="1">
        <f>INDEX(Input!$1:$1048576,BN$93,$C181*2+6)</f>
        <v>4.4999999999999998E-2</v>
      </c>
      <c r="BO181" s="1">
        <f>INDEX(Input!$1:$1048576,BO$93,$C181*2+6)</f>
        <v>4.4999999999999998E-2</v>
      </c>
      <c r="BP181" s="1">
        <f>INDEX(Input!$1:$1048576,BP$93,$C181*2+6)</f>
        <v>0.05</v>
      </c>
      <c r="BQ181" s="1">
        <f>INDEX(Input!$1:$1048576,BQ$93,$C181*2+6)</f>
        <v>5.45E-2</v>
      </c>
      <c r="BR181" s="1">
        <f>INDEX(Input!$1:$1048576,BR$93,$C181*2+6)</f>
        <v>5.45E-2</v>
      </c>
      <c r="BS181" s="1">
        <f>INDEX(Input!$1:$1048576,BS$93,$C181*2+6)</f>
        <v>0.05</v>
      </c>
      <c r="BT181" s="1">
        <f>INDEX(Input!$1:$1048576,BT$93,$C181*2+6)</f>
        <v>0.05</v>
      </c>
      <c r="BU181" s="1">
        <f>INDEX(Input!$1:$1048576,BU$93,$C181*2+6)</f>
        <v>0.05</v>
      </c>
      <c r="BV181" s="1">
        <f>INDEX(Input!$1:$1048576,BV$93,$C181*2+6)</f>
        <v>5.5E-2</v>
      </c>
      <c r="BW181" s="1">
        <f>INDEX(Input!$1:$1048576,BW$93,$C181*2+6)</f>
        <v>0.06</v>
      </c>
      <c r="BX181" s="127">
        <f>INDEX(Input!$1:$1048576,BX$93,$C181*2+6)</f>
        <v>19985</v>
      </c>
      <c r="BY181" s="20">
        <f>INDEX(Input!$1:$1048576,BY$93,$C181*2+6)</f>
        <v>0.1</v>
      </c>
      <c r="BZ181" s="20">
        <f>INDEX(Input!$1:$1048576,BZ$93,$C181*2+6)</f>
        <v>0.1</v>
      </c>
      <c r="CA181" s="20">
        <f>INDEX(Input!$1:$1048576,CA$93,$C181*2+6)</f>
        <v>0.1</v>
      </c>
      <c r="CB181" s="20">
        <f>INDEX(Input!$1:$1048576,CB$93,$C181*2+6)</f>
        <v>0.1</v>
      </c>
      <c r="CC181" s="20">
        <f>INDEX(Input!$1:$1048576,CC$93,$C181*2+6)</f>
        <v>0.1</v>
      </c>
      <c r="CD181" s="384">
        <f>INDEX(Input!$1:$1048576,CD$93,$C181*2+6)</f>
        <v>0.1</v>
      </c>
      <c r="CE181" s="384">
        <f>INDEX(Input!$1:$1048576,CE$93,$C181*2+6)</f>
        <v>0.1</v>
      </c>
      <c r="CF181" s="384">
        <f>INDEX(Input!$1:$1048576,CF$93,$C181*2+6)</f>
        <v>0.1</v>
      </c>
      <c r="CG181" s="384">
        <f>INDEX(Input!$1:$1048576,CG$93,$C181*2+6)</f>
        <v>0.1</v>
      </c>
      <c r="CH181" s="384">
        <f>INDEX(Input!$1:$1048576,CH$93,$C181*2+6)</f>
        <v>0.1</v>
      </c>
      <c r="CI181" s="304">
        <f t="shared" si="499"/>
        <v>979</v>
      </c>
      <c r="CJ181" s="16" t="str">
        <f>INDEX(Input!$1:$1048576,CJ$93,$C181*2+6)</f>
        <v>N</v>
      </c>
      <c r="CK181" s="1" t="str">
        <f t="shared" si="500"/>
        <v>Market</v>
      </c>
      <c r="CL181" s="1" t="str">
        <f t="shared" si="501"/>
        <v>Market</v>
      </c>
      <c r="CM181" s="1" t="str">
        <f t="shared" si="502"/>
        <v>Market</v>
      </c>
      <c r="CN181" s="1" t="str">
        <f t="shared" si="503"/>
        <v>Market</v>
      </c>
      <c r="CO181" s="1" t="str">
        <f t="shared" si="504"/>
        <v>Market</v>
      </c>
      <c r="CP181" s="304">
        <f t="shared" si="505"/>
        <v>0</v>
      </c>
      <c r="CQ181" s="1">
        <f t="shared" si="506"/>
        <v>0</v>
      </c>
      <c r="CR181" s="1">
        <f t="shared" si="507"/>
        <v>0</v>
      </c>
      <c r="CS181" s="1">
        <f t="shared" si="508"/>
        <v>9.0000000000000011E-3</v>
      </c>
      <c r="CT181" s="1">
        <f t="shared" si="509"/>
        <v>2.8999999999999998E-2</v>
      </c>
      <c r="CU181" s="1">
        <f t="shared" si="510"/>
        <v>3.9E-2</v>
      </c>
      <c r="CV181" s="304">
        <f t="shared" si="511"/>
        <v>1582</v>
      </c>
      <c r="CW181" s="20" t="s">
        <v>122</v>
      </c>
      <c r="CX181" s="20" t="s">
        <v>122</v>
      </c>
      <c r="CY181" s="20" t="s">
        <v>122</v>
      </c>
      <c r="CZ181" s="20" t="s">
        <v>122</v>
      </c>
      <c r="DA181" s="20" t="s">
        <v>122</v>
      </c>
      <c r="DB181" s="503">
        <f t="shared" si="512"/>
        <v>0</v>
      </c>
      <c r="DC181" s="127">
        <v>0</v>
      </c>
      <c r="DD181" s="127">
        <v>0</v>
      </c>
      <c r="DE181" s="127">
        <v>0</v>
      </c>
      <c r="DF181" s="127">
        <v>0</v>
      </c>
      <c r="DG181" s="127">
        <v>0</v>
      </c>
      <c r="DH181" s="127">
        <v>0</v>
      </c>
      <c r="DI181" s="127">
        <v>0</v>
      </c>
      <c r="DJ181" s="127">
        <v>0</v>
      </c>
      <c r="DK181" s="127">
        <v>0</v>
      </c>
      <c r="DL181" s="127">
        <v>0</v>
      </c>
      <c r="DM181" s="304">
        <f>INDEX(Input!$1:$1048576,DM$93,$C181*2+6)</f>
        <v>21036.84210526316</v>
      </c>
      <c r="DN181" s="20">
        <v>0</v>
      </c>
      <c r="DO181" s="20">
        <v>0</v>
      </c>
      <c r="DP181" s="20">
        <v>0</v>
      </c>
      <c r="DQ181" s="20">
        <v>0</v>
      </c>
      <c r="DR181" s="20">
        <v>0</v>
      </c>
      <c r="DS181" s="20">
        <f>INDEX(Input!$1:$1048576,DS$93,$C181*2+6)</f>
        <v>0.6</v>
      </c>
      <c r="DT181" s="20">
        <f>INDEX(Input!$1:$1048576,DT$93,$C181*2+6)</f>
        <v>0.55000000000000004</v>
      </c>
      <c r="DU181" s="20">
        <f>INDEX(Input!$1:$1048576,DU$93,$C181*2+6)</f>
        <v>0.52</v>
      </c>
      <c r="DV181" s="20">
        <f>INDEX(Input!$1:$1048576,DV$93,$C181*2+6)</f>
        <v>0.5</v>
      </c>
      <c r="DW181" s="20">
        <f>INDEX(Input!$1:$1048576,DW$93,$C181*2+6)</f>
        <v>0.45</v>
      </c>
      <c r="DX181" s="20"/>
      <c r="DY181" s="7">
        <v>9.9055649814153462E-2</v>
      </c>
      <c r="DZ181" s="7">
        <v>0</v>
      </c>
      <c r="EA181" s="7">
        <v>0.48649707356280497</v>
      </c>
      <c r="EB181" s="7">
        <v>0</v>
      </c>
      <c r="EC181" s="7">
        <v>0</v>
      </c>
      <c r="ED181" s="7">
        <v>0</v>
      </c>
      <c r="EE181" s="7">
        <v>0</v>
      </c>
      <c r="EF181" s="7">
        <v>0</v>
      </c>
      <c r="EG181" s="7">
        <v>0</v>
      </c>
      <c r="EH181" s="7">
        <v>2.4924505894191554E-2</v>
      </c>
      <c r="EI181" s="7">
        <v>7.2786507893432079E-2</v>
      </c>
      <c r="EJ181" s="7">
        <v>0.33455329378928084</v>
      </c>
      <c r="EK181" s="7">
        <v>0.42428215380488987</v>
      </c>
      <c r="EL181" s="7">
        <v>0.14345353861820564</v>
      </c>
      <c r="EM181" s="7">
        <v>4.3165088288794395E-2</v>
      </c>
      <c r="EN181" s="7">
        <v>4.937957890920875E-2</v>
      </c>
      <c r="EO181" s="7">
        <v>0.75610016993184981</v>
      </c>
      <c r="EP181" s="7">
        <v>8.5125034424855847E-2</v>
      </c>
      <c r="EQ181" s="7">
        <v>6.5024794318701645E-2</v>
      </c>
      <c r="ER181" s="7">
        <v>4.437042241538388E-2</v>
      </c>
      <c r="ES181" s="7">
        <v>0.3712821883342472</v>
      </c>
      <c r="ET181" s="7">
        <v>0.41444727662304159</v>
      </c>
      <c r="EU181" s="6">
        <v>1020</v>
      </c>
      <c r="EV181" s="6">
        <v>0</v>
      </c>
      <c r="EW181" s="6">
        <v>1020</v>
      </c>
      <c r="EX181" s="6">
        <v>0</v>
      </c>
      <c r="EY181" s="6">
        <v>1668.1172696255971</v>
      </c>
      <c r="EZ181" s="6">
        <v>1725</v>
      </c>
      <c r="FA181" s="6">
        <v>0</v>
      </c>
      <c r="FB181" s="6">
        <v>0</v>
      </c>
      <c r="FC181" s="6">
        <v>0</v>
      </c>
      <c r="FD181" s="6">
        <v>0</v>
      </c>
      <c r="FE181" s="6">
        <v>0</v>
      </c>
      <c r="FF181" s="6">
        <v>0</v>
      </c>
      <c r="FG181" s="6">
        <v>0</v>
      </c>
      <c r="FH181" s="6">
        <v>1171.2811379695615</v>
      </c>
      <c r="FI181" s="6">
        <v>1553.9796069512402</v>
      </c>
      <c r="FJ181" s="6">
        <v>1735.1562230702805</v>
      </c>
      <c r="FK181" s="6">
        <v>1284.9687470586853</v>
      </c>
      <c r="FL181" s="6">
        <v>907.07682140966381</v>
      </c>
      <c r="FM181" s="6">
        <v>1398.1172696255971</v>
      </c>
      <c r="FN181" s="6">
        <v>0</v>
      </c>
      <c r="FO181" s="6">
        <v>0</v>
      </c>
      <c r="FP181" s="6">
        <v>0</v>
      </c>
      <c r="FQ181" s="6">
        <v>0</v>
      </c>
      <c r="FR181" s="6">
        <v>0</v>
      </c>
      <c r="FS181" s="6">
        <v>0</v>
      </c>
      <c r="FT181" s="7">
        <v>0.58555272337695841</v>
      </c>
      <c r="FU181" s="7">
        <v>4.3165088288794395E-2</v>
      </c>
      <c r="FV181" s="7">
        <v>0.3712821883342472</v>
      </c>
      <c r="FW181" s="6">
        <v>1020</v>
      </c>
      <c r="FX181" s="6">
        <v>1668.1172696255974</v>
      </c>
      <c r="FY181" s="6">
        <v>1725</v>
      </c>
      <c r="FZ181" s="6">
        <v>1952.7147957719815</v>
      </c>
      <c r="GA181" s="6">
        <v>1309.7299819405257</v>
      </c>
      <c r="GB181" s="6">
        <v>18675.270018059473</v>
      </c>
      <c r="GC181" s="7">
        <v>1.0519917368675835E-2</v>
      </c>
      <c r="GD181" s="7">
        <v>9.8303567126116539E-3</v>
      </c>
      <c r="GE181" s="7"/>
      <c r="GF181" s="7"/>
      <c r="GG181" s="7">
        <v>-6.5548105740585061E-2</v>
      </c>
      <c r="GH181" s="42">
        <v>2.0373403306675524</v>
      </c>
      <c r="GI181" s="6">
        <v>11119.087652414632</v>
      </c>
      <c r="GJ181" s="14">
        <v>0.50394797582841744</v>
      </c>
      <c r="GK181" s="14">
        <v>0.50887573065309744</v>
      </c>
      <c r="GL181" s="14">
        <v>0.49605202417158284</v>
      </c>
      <c r="GM181" s="14">
        <v>0.49112426934690251</v>
      </c>
      <c r="GO181" s="5">
        <v>343.14810671672558</v>
      </c>
      <c r="GP181" s="5">
        <v>323.68845259552023</v>
      </c>
      <c r="GQ181" s="5">
        <v>535.04305713031317</v>
      </c>
      <c r="GR181" s="5">
        <v>410.15490233172511</v>
      </c>
      <c r="GS181" s="5">
        <v>339.42744393800166</v>
      </c>
      <c r="GT181" s="5">
        <v>293.4407446948278</v>
      </c>
      <c r="GU181" s="5">
        <v>258.04012322764959</v>
      </c>
      <c r="GV181" s="39" t="s">
        <v>392</v>
      </c>
      <c r="GW181" s="5">
        <v>492.125</v>
      </c>
      <c r="GX181" s="5">
        <v>369.09375</v>
      </c>
      <c r="GY181" s="5">
        <v>302.07920908968697</v>
      </c>
      <c r="GZ181" s="5">
        <v>268.3868982438774</v>
      </c>
      <c r="HA181" s="5">
        <v>241.34874471337258</v>
      </c>
      <c r="HB181" s="39">
        <v>288.68671470730749</v>
      </c>
      <c r="HC181" s="5">
        <v>211.81562499999998</v>
      </c>
      <c r="HD181" s="5">
        <v>188.29497441520465</v>
      </c>
      <c r="HE181" s="5">
        <v>193.13834767206475</v>
      </c>
      <c r="HF181" s="5">
        <v>181.01813048245612</v>
      </c>
      <c r="HG181" s="5">
        <v>177.56888157894736</v>
      </c>
      <c r="HH181" s="39">
        <v>188.91961000194749</v>
      </c>
      <c r="HI181" s="16"/>
      <c r="HJ181" s="19" t="str">
        <f t="shared" ref="HJ181:HK181" si="623">HJ180</f>
        <v>On</v>
      </c>
      <c r="HK181" s="1" t="str">
        <f t="shared" si="623"/>
        <v>On</v>
      </c>
      <c r="HL181" s="16"/>
      <c r="HM181" s="639">
        <f t="shared" si="568"/>
        <v>5.7455619280273196E-3</v>
      </c>
      <c r="HN181" s="639">
        <f t="shared" si="569"/>
        <v>5.0031960498701745E-4</v>
      </c>
      <c r="HO181" s="639">
        <f t="shared" si="570"/>
        <v>3.9819433988714835E-3</v>
      </c>
      <c r="HP181" s="644">
        <f>(FT181*$GD181-HM181)/$JF181*INDEX(Input!$1:$1048576,$JG$93,$C181*2+6)</f>
        <v>0.46354691525969199</v>
      </c>
      <c r="HQ181" s="644">
        <f>(FU181*$GD181-HN181)/$JF181*INDEX(Input!$1:$1048576,$JG$93,$C181*2+6)</f>
        <v>-3.3137211456943172</v>
      </c>
      <c r="HR181" s="644">
        <f>(FV181*$GD181-HO181)/$JF181*INDEX(Input!$1:$1048576,$JG$93,$C181*2+6)</f>
        <v>-14.48203735676476</v>
      </c>
      <c r="HS181" s="644">
        <f t="shared" si="571"/>
        <v>4.1962973231800191</v>
      </c>
      <c r="HT181" s="644">
        <f t="shared" si="572"/>
        <v>-6.2849461698611409</v>
      </c>
      <c r="HU181" s="644">
        <f t="shared" si="573"/>
        <v>-6.5580147361234973</v>
      </c>
      <c r="HV181" s="648">
        <f t="shared" si="574"/>
        <v>0</v>
      </c>
      <c r="HW181" s="648">
        <f t="shared" si="575"/>
        <v>0</v>
      </c>
      <c r="HX181" s="648">
        <f t="shared" si="576"/>
        <v>0</v>
      </c>
      <c r="HY181" s="644">
        <f>INDEX(Input!$1:$1048576,HY$93,$C181*2+6)*INDEX(Input!$1:$1048576,$JG$93,$C181*2+6)</f>
        <v>110.00000000000001</v>
      </c>
      <c r="HZ181" s="644">
        <f>INDEX(Input!$1:$1048576,HZ$93,$C181*2+6)*INDEX(Input!$1:$1048576,$JG$93,$C181*2+6)</f>
        <v>157</v>
      </c>
      <c r="IA181" s="644">
        <f>INDEX(Input!$1:$1048576,IA$93,$C181*2+6)*INDEX(Input!$1:$1048576,$JG$93,$C181*2+6)</f>
        <v>179</v>
      </c>
      <c r="IB181" s="644">
        <f t="shared" si="577"/>
        <v>114.65984423843972</v>
      </c>
      <c r="IC181" s="644">
        <f t="shared" si="578"/>
        <v>147.40133268444453</v>
      </c>
      <c r="ID181" s="644">
        <f>IF(AND(INDEX(Input!$1:$1048576,IA$93,$C181*2+7)="TOS",Y181&lt;=INDEX(Y:Y,MATCH(C181*1000+2,A:A))),0,1)*MAX(IA181+HR181+HU181+HX181,0%)</f>
        <v>157.95994790711174</v>
      </c>
      <c r="IE181" s="128">
        <f t="shared" si="579"/>
        <v>0.27298589870890044</v>
      </c>
      <c r="IF181" s="128">
        <f t="shared" si="580"/>
        <v>0.35093790281168685</v>
      </c>
      <c r="IG181" s="128">
        <f t="shared" si="581"/>
        <v>0.3760761984794127</v>
      </c>
      <c r="IH181" s="21"/>
      <c r="II181" s="19">
        <f t="shared" si="582"/>
        <v>1240</v>
      </c>
      <c r="IJ181" s="19">
        <f t="shared" si="583"/>
        <v>2009.7221397149679</v>
      </c>
      <c r="IK181" s="19">
        <f t="shared" si="584"/>
        <v>2070</v>
      </c>
      <c r="IL181" s="19">
        <f t="shared" si="585"/>
        <v>-220</v>
      </c>
      <c r="IM181" s="19">
        <f t="shared" si="586"/>
        <v>-341.60487008937048</v>
      </c>
      <c r="IN181" s="19">
        <f t="shared" si="587"/>
        <v>-345</v>
      </c>
      <c r="IO181" s="39">
        <f t="shared" si="588"/>
        <v>0</v>
      </c>
      <c r="IP181" s="39">
        <f t="shared" si="589"/>
        <v>0</v>
      </c>
      <c r="IQ181" s="39">
        <f t="shared" si="590"/>
        <v>0</v>
      </c>
      <c r="IR181" s="39">
        <v>0</v>
      </c>
      <c r="IS181" s="39">
        <v>0</v>
      </c>
      <c r="IT181" s="39">
        <v>0</v>
      </c>
      <c r="IU181" s="39">
        <v>0</v>
      </c>
      <c r="IV181" s="39">
        <v>0</v>
      </c>
      <c r="IW181" s="39">
        <v>0</v>
      </c>
      <c r="IX181" s="39">
        <f>INDEX(Input!$1:$1048576,IX$93,$C181*2+6)+INDEX(Input!$1:$1048576,IX$94,$C181*2+6)</f>
        <v>1270</v>
      </c>
      <c r="IY181" s="39">
        <f>INDEX(Input!$1:$1048576,IY$93,$C181*2+6)+INDEX(Input!$1:$1048576,IY$94,$C181*2+6)</f>
        <v>2130.0624533823611</v>
      </c>
      <c r="IZ181" s="39">
        <f>INDEX(Input!$1:$1048576,IZ$93,$C181*2+6)+INDEX(Input!$1:$1048576,IZ$94,$C181*2+6)</f>
        <v>4373.7164157747848</v>
      </c>
      <c r="JA181" s="19">
        <f t="shared" si="591"/>
        <v>1050</v>
      </c>
      <c r="JB181" s="19">
        <f t="shared" si="592"/>
        <v>1788.4575832929906</v>
      </c>
      <c r="JC181" s="19">
        <f t="shared" si="593"/>
        <v>4028.7164157747848</v>
      </c>
      <c r="JD181" s="19">
        <f t="shared" si="594"/>
        <v>2429.3771015890316</v>
      </c>
      <c r="JE181" s="21"/>
      <c r="JF181" s="1">
        <f t="shared" si="595"/>
        <v>1.022782493188582E-2</v>
      </c>
      <c r="JG181" s="15">
        <f>INDEX(Input!$1:$1048576,JG$93,$C181*2+6)/(1+VLOOKUP(C181*1000+INDEX(Input!$1:$1048576,JG$93+1,$C181*2+6),$A:$KK,$JK$92,FALSE))</f>
        <v>446</v>
      </c>
      <c r="JH181" s="1">
        <f t="shared" si="596"/>
        <v>-3.8861460957846157E-2</v>
      </c>
      <c r="JI181" s="1">
        <f t="shared" si="597"/>
        <v>-1.9387138078037262E-2</v>
      </c>
      <c r="JJ181" s="1">
        <f t="shared" si="598"/>
        <v>0</v>
      </c>
      <c r="JK181" s="1">
        <f t="shared" si="599"/>
        <v>-5.8248599035883419E-2</v>
      </c>
      <c r="JL181" s="15">
        <f t="shared" si="600"/>
        <v>-25.978875170004006</v>
      </c>
      <c r="JM181" s="15">
        <f t="shared" si="601"/>
        <v>420.02112482999598</v>
      </c>
      <c r="JN181" s="21"/>
      <c r="JO181" s="19">
        <f>INDEX(Input!$1:$1048576,JO$93,$C181*2+6)</f>
        <v>5995.5</v>
      </c>
      <c r="JP181" s="19">
        <f>INDEX(Input!$1:$1048576,JP$93,$C181*2+6)</f>
        <v>2818.4193802796353</v>
      </c>
      <c r="JQ181" s="39">
        <f t="shared" si="602"/>
        <v>3566.1228984109684</v>
      </c>
      <c r="JR181" s="39">
        <f t="shared" si="603"/>
        <v>-389.04227869060378</v>
      </c>
      <c r="JS181" s="39">
        <f t="shared" si="604"/>
        <v>1.0203897028456606</v>
      </c>
      <c r="JT181" s="39">
        <f t="shared" si="605"/>
        <v>-0.23662534075905686</v>
      </c>
      <c r="JU181" s="385">
        <f>(JQ181*JM181-INDEX(Input!$1:$1048576,Input!A$18,$C181*2+6)*JL181*INDEX(Input!$1:$1048576,Input!A$19,$C181*2+6))/1000000</f>
        <v>1.4978469510725805</v>
      </c>
      <c r="JV181" s="39">
        <f t="shared" si="606"/>
        <v>8.0868994677297801E-2</v>
      </c>
      <c r="JW181" s="1">
        <f t="shared" si="607"/>
        <v>5.7071455707768573E-2</v>
      </c>
      <c r="JX181" s="19">
        <f t="shared" si="608"/>
        <v>9108.3751398240529</v>
      </c>
      <c r="JZ181" s="341"/>
      <c r="KA181" s="342"/>
      <c r="KB181" s="469">
        <f t="shared" si="514"/>
        <v>2.9286733661474216</v>
      </c>
      <c r="KI181" s="473">
        <f t="shared" si="609"/>
        <v>4.6598442384397032</v>
      </c>
      <c r="KJ181" s="473">
        <f t="shared" si="610"/>
        <v>-9.598667315555474</v>
      </c>
      <c r="KK181" s="473">
        <f t="shared" si="611"/>
        <v>-21.04005209288826</v>
      </c>
      <c r="KN181" s="544">
        <f t="shared" si="612"/>
        <v>1002</v>
      </c>
      <c r="KO181" s="541">
        <f t="shared" si="613"/>
        <v>-6.2108860499046181E-2</v>
      </c>
      <c r="KP181" s="546">
        <f t="shared" si="614"/>
        <v>-334.04413991358666</v>
      </c>
      <c r="KQ181" s="546">
        <f t="shared" si="615"/>
        <v>-409.93909842962012</v>
      </c>
      <c r="KR181" s="548">
        <f t="shared" si="616"/>
        <v>3.1878987117369411</v>
      </c>
      <c r="KS181" s="548">
        <f t="shared" si="617"/>
        <v>2.597700212966203</v>
      </c>
      <c r="KT181" s="473">
        <f t="shared" si="515"/>
        <v>238.28695973331548</v>
      </c>
      <c r="KU181" s="663">
        <f t="shared" si="618"/>
        <v>6.2740955690394928</v>
      </c>
    </row>
    <row r="182" spans="1:307" s="26" customFormat="1" ht="15" outlineLevel="1">
      <c r="A182" s="561">
        <f t="shared" si="391"/>
        <v>1082</v>
      </c>
      <c r="B182" s="561">
        <f t="shared" si="513"/>
        <v>82</v>
      </c>
      <c r="C182" s="561">
        <f t="shared" si="105"/>
        <v>1</v>
      </c>
      <c r="D182" s="561" t="str">
        <f t="shared" si="294"/>
        <v xml:space="preserve">-500 CC, 0.9/1.9/2.9/3.9, -360 Lease, </v>
      </c>
      <c r="E182" s="475">
        <f>INDEX(Input!$1:$1048576,E$93,$C182*2+MIN($B182,2)+5)
+INDEX(Scenarios!E$121:E$200,MATCH($B182,Scenarios!$B$121:$B$200,0))</f>
        <v>729</v>
      </c>
      <c r="F182" s="475">
        <f>INDEX(Input!$1:$1048576,F$93,$C182*2+MIN($B182,2)+5)
+INDEX(Scenarios!F$121:F$200,MATCH($B182,Scenarios!$B$121:$B$200,0))</f>
        <v>0</v>
      </c>
      <c r="G182" s="475">
        <f>INDEX(Input!$1:$1048576,G$93,$C182*2+MIN($B182,2)+5)
+INDEX(Scenarios!G$121:G$200,MATCH($B182,Scenarios!$B$121:$B$200,0))</f>
        <v>0</v>
      </c>
      <c r="H182" s="475">
        <f>INDEX(Input!$1:$1048576,H$93,$C182*2+MIN($B182,2)+5)
+INDEX(Scenarios!H$121:H$200,MATCH($B182,Scenarios!$B$121:$B$200,0))</f>
        <v>0</v>
      </c>
      <c r="I182" s="476">
        <f>INDEX(Input!$1:$1048576,I$93,$C182*2+MIN($B182,2)+5)</f>
        <v>0.7</v>
      </c>
      <c r="J182" s="476" t="str">
        <f>INDEX(Input!$1:$1048576,J$93,$C182*2+MIN($B182,2)+5)</f>
        <v>Market</v>
      </c>
      <c r="K182" s="476" t="str">
        <f>INDEX(Input!$1:$1048576,K$93,$C182*2+MIN($B182,2)+5)</f>
        <v>Market</v>
      </c>
      <c r="L182" s="476" t="str">
        <f>INDEX(Input!$1:$1048576,L$93,$C182*2+MIN($B182,2)+5)</f>
        <v>Market</v>
      </c>
      <c r="M182" s="476" t="str">
        <f>INDEX(Input!$1:$1048576,M$93,$C182*2+MIN($B182,2)+5)</f>
        <v>Market</v>
      </c>
      <c r="N182" s="476" t="str">
        <f>INDEX(Input!$1:$1048576,N$93,$C182*2+MIN($B182,2)+5)</f>
        <v>Market</v>
      </c>
      <c r="O182" s="476" t="str">
        <f>INDEX(Input!$1:$1048576,O$93,$C182*2+MIN($B182,2)+5)</f>
        <v>Market</v>
      </c>
      <c r="P182" s="476" t="str">
        <f>INDEX(Input!$1:$1048576,P$93,$C182*2+MIN($B182,2)+5)</f>
        <v>N</v>
      </c>
      <c r="Q182" s="477">
        <f>INDEX(Input!$1:$1048576,Q$93,$C182*2+MIN($B182,2)+5)
+INDEX(Scenarios!Q$121:Q$200,MATCH($B182,Scenarios!$B$121:$B$200,0))</f>
        <v>0</v>
      </c>
      <c r="R182" s="478">
        <f>IFERROR(MAX(0,INDEX(Input!$1:$1048576,R$93,$C182*2+MIN($B182,2)+5)
+INDEX(Scenarios!R$121:R$200,MATCH($B182,Scenarios!$B$121:$B$200,0)),),"Market")</f>
        <v>0</v>
      </c>
      <c r="S182" s="478">
        <f>IFERROR(MAX(0,INDEX(Input!$1:$1048576,S$93,$C182*2+MIN($B182,2)+5)
+INDEX(Scenarios!S$121:S$200,MATCH($B182,Scenarios!$B$121:$B$200,0)),),"Market")</f>
        <v>0</v>
      </c>
      <c r="T182" s="478">
        <f>IFERROR(MAX(0,INDEX(Input!$1:$1048576,T$93,$C182*2+MIN($B182,2)+5)
+INDEX(Scenarios!T$121:T$200,MATCH($B182,Scenarios!$B$121:$B$200,0)),),"Market")</f>
        <v>0</v>
      </c>
      <c r="U182" s="478">
        <f>IFERROR(MAX(0,INDEX(Input!$1:$1048576,U$93,$C182*2+MIN($B182,2)+5)
+INDEX(Scenarios!U$121:U$200,MATCH($B182,Scenarios!$B$121:$B$200,0)),),"Market")</f>
        <v>9.0000000000000011E-3</v>
      </c>
      <c r="V182" s="478">
        <f>IFERROR(MAX(0,INDEX(Input!$1:$1048576,V$93,$C182*2+MIN($B182,2)+5)
+INDEX(Scenarios!V$121:V$200,MATCH($B182,Scenarios!$B$121:$B$200,0)),),"Market")</f>
        <v>2.8999999999999998E-2</v>
      </c>
      <c r="W182" s="885">
        <f>IFERROR(MAX(0,INDEX(Input!$1:$1048576,W$93,$C182*2+MIN($B182,2)+5)-0%,),"Market")</f>
        <v>3.9E-2</v>
      </c>
      <c r="X182" s="476" t="str">
        <f>INDEX(Input!$1:$1048576,X$93,$C182*2+MIN($B182,2)+5)</f>
        <v>Y</v>
      </c>
      <c r="Y182" s="475">
        <f>INDEX(Input!$1:$1048576,Y$93,$C182*2+MIN($B182,2)+5)
++INDEX(Scenarios!Y$121:Y$200,MATCH($B182,Scenarios!$B$121:$B$200,0))</f>
        <v>1582</v>
      </c>
      <c r="Z182" s="477">
        <f>INDEX(Input!$1:$1048576,Z$93,$C182*2+MIN($B182,2)+5)
+INDEX(Scenarios!Z$121:Z$200,MATCH($B182,Scenarios!$B$121:$B$200,0))</f>
        <v>0</v>
      </c>
      <c r="AA182" s="475">
        <f>INDEX(Input!$1:$1048576,AA$93,$C182*2+MIN($B182,2)+5)
+INDEX(Scenarios!AA$121:AA$200,MATCH($B182,Scenarios!$B$121:$B$200,0))</f>
        <v>0</v>
      </c>
      <c r="AB182" s="476">
        <f>INDEX(Input!$1:$1048576,AB$93,$C182*2+MIN($B182,2)+5)</f>
        <v>0.27</v>
      </c>
      <c r="AC182" s="475">
        <f>INDEX(Input!$1:$1048576,AC$93,$C182*2+MIN($B182,2)+5)
+INDEX(Scenarios!AC$121:AC$200,MATCH($B182,Scenarios!$B$121:$B$200,0))</f>
        <v>0</v>
      </c>
      <c r="AD182" s="476">
        <f>INDEX(Input!$1:$1048576,AD$93,$C182*2+MIN($B182,2)+5)</f>
        <v>0.27</v>
      </c>
      <c r="AE182" s="475">
        <f>INDEX(Input!$1:$1048576,AE$93,$C182*2+MIN($B182,2)+5)
+INDEX(Scenarios!AE$121:AE$200,MATCH($B182,Scenarios!$B$121:$B$200,0))</f>
        <v>0</v>
      </c>
      <c r="AF182" s="476">
        <f>INDEX(Input!$1:$1048576,AF$93,$C182*2+MIN($B182,2)+5)</f>
        <v>0.38</v>
      </c>
      <c r="AG182" s="475">
        <f>INDEX(Input!$1:$1048576,AG$93,$C182*2+MIN($B182,2)+5)
+INDEX(Scenarios!AG$121:AG$200,MATCH($B182,Scenarios!$B$121:$B$200,0))</f>
        <v>0</v>
      </c>
      <c r="AH182" s="476">
        <f>INDEX(Input!$1:$1048576,AH$93,$C182*2+MIN($B182,2)+5)</f>
        <v>0</v>
      </c>
      <c r="AI182" s="475">
        <f>INDEX(Input!$1:$1048576,AI$93,$C182*2+MIN($B182,2)+5)
+INDEX(Scenarios!AI$121:AI$200,MATCH($B182,Scenarios!$B$121:$B$200,0))</f>
        <v>0</v>
      </c>
      <c r="AJ182" s="476">
        <f>INDEX(Input!$1:$1048576,AJ$93,$C182*2+MIN($B182,2)+5)</f>
        <v>0.27</v>
      </c>
      <c r="AK182" s="150">
        <f>ROUND(INDEX(Input!$1:$1048576,AK$93,$C181*2+MIN($B182,1)+5)+(Y182-VLOOKUP($C182*1000+1,$A:$HH,Y$92,FALSE)),0)</f>
        <v>3397</v>
      </c>
      <c r="AL182" s="150">
        <f>ROUND(INDEX(Input!$1:$1048576,AL$93,$C181*2+MIN($B182,1)+5)-(Y182-VLOOKUP($C182*1000+1,$A:$HH,Y$92,FALSE))/36,0)</f>
        <v>4123</v>
      </c>
      <c r="AM182" s="32" t="str">
        <f t="shared" si="392"/>
        <v>std/std/std/std</v>
      </c>
      <c r="AN182" s="32" t="str">
        <f t="shared" si="393"/>
        <v>$0 + 0/0/0.9/2.9/3.9</v>
      </c>
      <c r="AO182" s="32" t="str">
        <f t="shared" si="394"/>
        <v>0/0/0.9/2.9/3.9</v>
      </c>
      <c r="AP182" s="32" t="str">
        <f t="shared" si="498"/>
        <v>0.9/1.9/2.9/3.9</v>
      </c>
      <c r="AQ182" s="536">
        <f t="shared" si="497"/>
        <v>0.24094432671496788</v>
      </c>
      <c r="AR182" s="32"/>
      <c r="AS182" s="302"/>
      <c r="AT182" s="3">
        <f t="shared" si="106"/>
        <v>82</v>
      </c>
      <c r="AU182" s="41" t="s">
        <v>121</v>
      </c>
      <c r="AV182" s="41" t="s">
        <v>116</v>
      </c>
      <c r="AW182" s="41" t="str">
        <f>INDEX(Input!$1:$1048576,AW$93,$C182*2+6)</f>
        <v>Kia</v>
      </c>
      <c r="AX182" s="41" t="str">
        <f>INDEX(Input!$1:$1048576,AX$93,$C182*2+6)</f>
        <v>Kia-LR - L1</v>
      </c>
      <c r="AY182" s="41" t="str">
        <f>IF(LEN(D182)=0,"",INDEX(Input!$1:$1048576,AY$93,$C182*2+6))</f>
        <v>Compact SUV (52)</v>
      </c>
      <c r="AZ182" s="41" t="str">
        <f>INDEX(Input!$1:$1048576,AZ$93,$C182*2+6)</f>
        <v>Kia Soul</v>
      </c>
      <c r="BA182" s="3">
        <f>INDEX(Input!$1:$1048576,BA$93,$C182*2+6)</f>
        <v>2020</v>
      </c>
      <c r="BB182" s="128">
        <f>INDEX(Input!$1:$1048576,BB$93,$C182*2+6)</f>
        <v>1</v>
      </c>
      <c r="BC182" s="128">
        <f>INDEX(Input!$1:$1048576,BC$93,$C182*2+6)</f>
        <v>0.7</v>
      </c>
      <c r="BD182" s="1">
        <f>INDEX(Input!$1:$1048576,BD$93,$C182*2+6)</f>
        <v>4.4999999999999998E-2</v>
      </c>
      <c r="BE182" s="1">
        <f>INDEX(Input!$1:$1048576,BE$93,$C182*2+6)</f>
        <v>4.4999999999999998E-2</v>
      </c>
      <c r="BF182" s="1">
        <f>INDEX(Input!$1:$1048576,BF$93,$C182*2+6)</f>
        <v>0.05</v>
      </c>
      <c r="BG182" s="1">
        <f>INDEX(Input!$1:$1048576,BG$93,$C182*2+6)</f>
        <v>5.45E-2</v>
      </c>
      <c r="BH182" s="1">
        <f>INDEX(Input!$1:$1048576,BH$93,$C182*2+6)</f>
        <v>5.45E-2</v>
      </c>
      <c r="BI182" s="1">
        <f>INDEX(Input!$1:$1048576,BI$93,$C182*2+6)</f>
        <v>0.05</v>
      </c>
      <c r="BJ182" s="1">
        <f>INDEX(Input!$1:$1048576,BJ$93,$C182*2+6)</f>
        <v>0.05</v>
      </c>
      <c r="BK182" s="1">
        <f>INDEX(Input!$1:$1048576,BK$93,$C182*2+6)</f>
        <v>0.05</v>
      </c>
      <c r="BL182" s="1">
        <f>INDEX(Input!$1:$1048576,BL$93,$C182*2+6)</f>
        <v>5.5E-2</v>
      </c>
      <c r="BM182" s="1">
        <f>INDEX(Input!$1:$1048576,BM$93,$C182*2+6)</f>
        <v>0.06</v>
      </c>
      <c r="BN182" s="1">
        <f>INDEX(Input!$1:$1048576,BN$93,$C182*2+6)</f>
        <v>4.4999999999999998E-2</v>
      </c>
      <c r="BO182" s="1">
        <f>INDEX(Input!$1:$1048576,BO$93,$C182*2+6)</f>
        <v>4.4999999999999998E-2</v>
      </c>
      <c r="BP182" s="1">
        <f>INDEX(Input!$1:$1048576,BP$93,$C182*2+6)</f>
        <v>0.05</v>
      </c>
      <c r="BQ182" s="1">
        <f>INDEX(Input!$1:$1048576,BQ$93,$C182*2+6)</f>
        <v>5.45E-2</v>
      </c>
      <c r="BR182" s="1">
        <f>INDEX(Input!$1:$1048576,BR$93,$C182*2+6)</f>
        <v>5.45E-2</v>
      </c>
      <c r="BS182" s="1">
        <f>INDEX(Input!$1:$1048576,BS$93,$C182*2+6)</f>
        <v>0.05</v>
      </c>
      <c r="BT182" s="1">
        <f>INDEX(Input!$1:$1048576,BT$93,$C182*2+6)</f>
        <v>0.05</v>
      </c>
      <c r="BU182" s="1">
        <f>INDEX(Input!$1:$1048576,BU$93,$C182*2+6)</f>
        <v>0.05</v>
      </c>
      <c r="BV182" s="1">
        <f>INDEX(Input!$1:$1048576,BV$93,$C182*2+6)</f>
        <v>5.5E-2</v>
      </c>
      <c r="BW182" s="1">
        <f>INDEX(Input!$1:$1048576,BW$93,$C182*2+6)</f>
        <v>0.06</v>
      </c>
      <c r="BX182" s="127">
        <f>INDEX(Input!$1:$1048576,BX$93,$C182*2+6)</f>
        <v>19985</v>
      </c>
      <c r="BY182" s="20">
        <f>INDEX(Input!$1:$1048576,BY$93,$C182*2+6)</f>
        <v>0.1</v>
      </c>
      <c r="BZ182" s="20">
        <f>INDEX(Input!$1:$1048576,BZ$93,$C182*2+6)</f>
        <v>0.1</v>
      </c>
      <c r="CA182" s="20">
        <f>INDEX(Input!$1:$1048576,CA$93,$C182*2+6)</f>
        <v>0.1</v>
      </c>
      <c r="CB182" s="20">
        <f>INDEX(Input!$1:$1048576,CB$93,$C182*2+6)</f>
        <v>0.1</v>
      </c>
      <c r="CC182" s="20">
        <f>INDEX(Input!$1:$1048576,CC$93,$C182*2+6)</f>
        <v>0.1</v>
      </c>
      <c r="CD182" s="384">
        <f>INDEX(Input!$1:$1048576,CD$93,$C182*2+6)</f>
        <v>0.1</v>
      </c>
      <c r="CE182" s="384">
        <f>INDEX(Input!$1:$1048576,CE$93,$C182*2+6)</f>
        <v>0.1</v>
      </c>
      <c r="CF182" s="384">
        <f>INDEX(Input!$1:$1048576,CF$93,$C182*2+6)</f>
        <v>0.1</v>
      </c>
      <c r="CG182" s="384">
        <f>INDEX(Input!$1:$1048576,CG$93,$C182*2+6)</f>
        <v>0.1</v>
      </c>
      <c r="CH182" s="384">
        <f>INDEX(Input!$1:$1048576,CH$93,$C182*2+6)</f>
        <v>0.1</v>
      </c>
      <c r="CI182" s="304">
        <f t="shared" si="499"/>
        <v>729</v>
      </c>
      <c r="CJ182" s="16" t="str">
        <f>INDEX(Input!$1:$1048576,CJ$93,$C182*2+6)</f>
        <v>N</v>
      </c>
      <c r="CK182" s="1" t="str">
        <f t="shared" si="500"/>
        <v>Market</v>
      </c>
      <c r="CL182" s="1" t="str">
        <f t="shared" si="501"/>
        <v>Market</v>
      </c>
      <c r="CM182" s="1" t="str">
        <f t="shared" si="502"/>
        <v>Market</v>
      </c>
      <c r="CN182" s="1" t="str">
        <f t="shared" si="503"/>
        <v>Market</v>
      </c>
      <c r="CO182" s="1" t="str">
        <f t="shared" si="504"/>
        <v>Market</v>
      </c>
      <c r="CP182" s="304">
        <f t="shared" si="505"/>
        <v>0</v>
      </c>
      <c r="CQ182" s="1">
        <f t="shared" si="506"/>
        <v>0</v>
      </c>
      <c r="CR182" s="1">
        <f t="shared" si="507"/>
        <v>0</v>
      </c>
      <c r="CS182" s="1">
        <f t="shared" si="508"/>
        <v>9.0000000000000011E-3</v>
      </c>
      <c r="CT182" s="1">
        <f t="shared" si="509"/>
        <v>2.8999999999999998E-2</v>
      </c>
      <c r="CU182" s="1">
        <f t="shared" si="510"/>
        <v>3.9E-2</v>
      </c>
      <c r="CV182" s="304">
        <f t="shared" si="511"/>
        <v>1582</v>
      </c>
      <c r="CW182" s="20" t="s">
        <v>122</v>
      </c>
      <c r="CX182" s="20" t="s">
        <v>122</v>
      </c>
      <c r="CY182" s="20" t="s">
        <v>122</v>
      </c>
      <c r="CZ182" s="20" t="s">
        <v>122</v>
      </c>
      <c r="DA182" s="20" t="s">
        <v>122</v>
      </c>
      <c r="DB182" s="503">
        <f t="shared" si="512"/>
        <v>0</v>
      </c>
      <c r="DC182" s="127">
        <v>0</v>
      </c>
      <c r="DD182" s="127">
        <v>0</v>
      </c>
      <c r="DE182" s="127">
        <v>0</v>
      </c>
      <c r="DF182" s="127">
        <v>0</v>
      </c>
      <c r="DG182" s="127">
        <v>0</v>
      </c>
      <c r="DH182" s="127">
        <v>0</v>
      </c>
      <c r="DI182" s="127">
        <v>0</v>
      </c>
      <c r="DJ182" s="127">
        <v>0</v>
      </c>
      <c r="DK182" s="127">
        <v>0</v>
      </c>
      <c r="DL182" s="127">
        <v>0</v>
      </c>
      <c r="DM182" s="304">
        <f>INDEX(Input!$1:$1048576,DM$93,$C182*2+6)</f>
        <v>21036.84210526316</v>
      </c>
      <c r="DN182" s="20">
        <v>0</v>
      </c>
      <c r="DO182" s="20">
        <v>0</v>
      </c>
      <c r="DP182" s="20">
        <v>0</v>
      </c>
      <c r="DQ182" s="20">
        <v>0</v>
      </c>
      <c r="DR182" s="20">
        <v>0</v>
      </c>
      <c r="DS182" s="20">
        <f>INDEX(Input!$1:$1048576,DS$93,$C182*2+6)</f>
        <v>0.6</v>
      </c>
      <c r="DT182" s="20">
        <f>INDEX(Input!$1:$1048576,DT$93,$C182*2+6)</f>
        <v>0.55000000000000004</v>
      </c>
      <c r="DU182" s="20">
        <f>INDEX(Input!$1:$1048576,DU$93,$C182*2+6)</f>
        <v>0.52</v>
      </c>
      <c r="DV182" s="20">
        <f>INDEX(Input!$1:$1048576,DV$93,$C182*2+6)</f>
        <v>0.5</v>
      </c>
      <c r="DW182" s="20">
        <f>INDEX(Input!$1:$1048576,DW$93,$C182*2+6)</f>
        <v>0.45</v>
      </c>
      <c r="DX182" s="20"/>
      <c r="DY182" s="7">
        <v>9.1231546049852383E-2</v>
      </c>
      <c r="DZ182" s="7">
        <v>0</v>
      </c>
      <c r="EA182" s="7">
        <v>0.4607851357378292</v>
      </c>
      <c r="EB182" s="7">
        <v>0</v>
      </c>
      <c r="EC182" s="7">
        <v>0</v>
      </c>
      <c r="ED182" s="7">
        <v>0</v>
      </c>
      <c r="EE182" s="7">
        <v>0</v>
      </c>
      <c r="EF182" s="7">
        <v>0</v>
      </c>
      <c r="EG182" s="7">
        <v>0</v>
      </c>
      <c r="EH182" s="7">
        <v>2.4924505894191554E-2</v>
      </c>
      <c r="EI182" s="7">
        <v>7.2786507893432092E-2</v>
      </c>
      <c r="EJ182" s="7">
        <v>0.33455329378928073</v>
      </c>
      <c r="EK182" s="7">
        <v>0.42428215380488993</v>
      </c>
      <c r="EL182" s="7">
        <v>0.1434535386182057</v>
      </c>
      <c r="EM182" s="7">
        <v>4.6657899745665095E-2</v>
      </c>
      <c r="EN182" s="7">
        <v>4.9379578909208736E-2</v>
      </c>
      <c r="EO182" s="7">
        <v>0.7561001699318497</v>
      </c>
      <c r="EP182" s="7">
        <v>8.5125034424855861E-2</v>
      </c>
      <c r="EQ182" s="7">
        <v>6.5024794318701659E-2</v>
      </c>
      <c r="ER182" s="7">
        <v>4.4370422415383887E-2</v>
      </c>
      <c r="ES182" s="7">
        <v>0.40132541846665343</v>
      </c>
      <c r="ET182" s="7">
        <v>0.44798331821231846</v>
      </c>
      <c r="EU182" s="6">
        <v>770</v>
      </c>
      <c r="EV182" s="6">
        <v>0</v>
      </c>
      <c r="EW182" s="6">
        <v>770</v>
      </c>
      <c r="EX182" s="6">
        <v>0</v>
      </c>
      <c r="EY182" s="6">
        <v>1668.1172696255976</v>
      </c>
      <c r="EZ182" s="6">
        <v>1725</v>
      </c>
      <c r="FA182" s="6">
        <v>0</v>
      </c>
      <c r="FB182" s="6">
        <v>0</v>
      </c>
      <c r="FC182" s="6">
        <v>0</v>
      </c>
      <c r="FD182" s="6">
        <v>0</v>
      </c>
      <c r="FE182" s="6">
        <v>0</v>
      </c>
      <c r="FF182" s="6">
        <v>0</v>
      </c>
      <c r="FG182" s="6">
        <v>0</v>
      </c>
      <c r="FH182" s="6">
        <v>1171.281137969562</v>
      </c>
      <c r="FI182" s="6">
        <v>1553.9796069512397</v>
      </c>
      <c r="FJ182" s="6">
        <v>1735.1562230702816</v>
      </c>
      <c r="FK182" s="6">
        <v>1284.9687470586853</v>
      </c>
      <c r="FL182" s="6">
        <v>907.07682140966324</v>
      </c>
      <c r="FM182" s="6">
        <v>1398.1172696255976</v>
      </c>
      <c r="FN182" s="6">
        <v>0</v>
      </c>
      <c r="FO182" s="6">
        <v>0</v>
      </c>
      <c r="FP182" s="6">
        <v>0</v>
      </c>
      <c r="FQ182" s="6">
        <v>0</v>
      </c>
      <c r="FR182" s="6">
        <v>0</v>
      </c>
      <c r="FS182" s="6">
        <v>0</v>
      </c>
      <c r="FT182" s="7">
        <v>0.5520166817876816</v>
      </c>
      <c r="FU182" s="7">
        <v>4.6657899745665095E-2</v>
      </c>
      <c r="FV182" s="7">
        <v>0.40132541846665343</v>
      </c>
      <c r="FW182" s="6">
        <v>770</v>
      </c>
      <c r="FX182" s="6">
        <v>1668.1172696255976</v>
      </c>
      <c r="FY182" s="6">
        <v>1725</v>
      </c>
      <c r="FZ182" s="6">
        <v>1952.7147957719815</v>
      </c>
      <c r="GA182" s="6">
        <v>1195.1700401616959</v>
      </c>
      <c r="GB182" s="6">
        <v>18789.829959838306</v>
      </c>
      <c r="GC182" s="7">
        <v>1.0519917368675835E-2</v>
      </c>
      <c r="GD182" s="7">
        <v>9.6456270902891255E-3</v>
      </c>
      <c r="GE182" s="7"/>
      <c r="GF182" s="7"/>
      <c r="GG182" s="7">
        <v>-8.3108093699481037E-2</v>
      </c>
      <c r="GH182" s="42">
        <v>2.1924978561115886</v>
      </c>
      <c r="GI182" s="6">
        <v>10310.344289610473</v>
      </c>
      <c r="GJ182" s="14">
        <v>0.50394797582841733</v>
      </c>
      <c r="GK182" s="14">
        <v>0.50887573065309755</v>
      </c>
      <c r="GL182" s="14">
        <v>0.49605202417158289</v>
      </c>
      <c r="GM182" s="14">
        <v>0.49112426934690251</v>
      </c>
      <c r="GO182" s="5">
        <v>343.14810671672558</v>
      </c>
      <c r="GP182" s="5">
        <v>328.4579756644431</v>
      </c>
      <c r="GQ182" s="5">
        <v>535.04305713031317</v>
      </c>
      <c r="GR182" s="5">
        <v>410.15490233172511</v>
      </c>
      <c r="GS182" s="5">
        <v>339.42744393800166</v>
      </c>
      <c r="GT182" s="5">
        <v>293.4407446948278</v>
      </c>
      <c r="GU182" s="5">
        <v>258.04012322764959</v>
      </c>
      <c r="GV182" s="39" t="s">
        <v>392</v>
      </c>
      <c r="GW182" s="5">
        <v>492.125</v>
      </c>
      <c r="GX182" s="5">
        <v>369.09375</v>
      </c>
      <c r="GY182" s="5">
        <v>302.07920908968697</v>
      </c>
      <c r="GZ182" s="5">
        <v>268.3868982438774</v>
      </c>
      <c r="HA182" s="5">
        <v>241.34874471337258</v>
      </c>
      <c r="HB182" s="39">
        <v>288.68671470730749</v>
      </c>
      <c r="HC182" s="5">
        <v>211.81562499999998</v>
      </c>
      <c r="HD182" s="5">
        <v>188.29497441520465</v>
      </c>
      <c r="HE182" s="5">
        <v>193.13834767206475</v>
      </c>
      <c r="HF182" s="5">
        <v>181.01813048245612</v>
      </c>
      <c r="HG182" s="5">
        <v>177.56888157894736</v>
      </c>
      <c r="HH182" s="39">
        <v>188.91961000194746</v>
      </c>
      <c r="HI182" s="16"/>
      <c r="HJ182" s="19" t="str">
        <f t="shared" ref="HJ182:HK182" si="624">HJ181</f>
        <v>On</v>
      </c>
      <c r="HK182" s="1" t="str">
        <f t="shared" si="624"/>
        <v>On</v>
      </c>
      <c r="HL182" s="16"/>
      <c r="HM182" s="639">
        <f t="shared" si="568"/>
        <v>5.7455619280273196E-3</v>
      </c>
      <c r="HN182" s="639">
        <f t="shared" si="569"/>
        <v>5.0031960498701745E-4</v>
      </c>
      <c r="HO182" s="639">
        <f t="shared" si="570"/>
        <v>3.9819433988714835E-3</v>
      </c>
      <c r="HP182" s="644">
        <f>(FT182*$GD182-HM182)/$JF182*INDEX(Input!$1:$1048576,$JG$93,$C182*2+6)</f>
        <v>-18.358999330455482</v>
      </c>
      <c r="HQ182" s="644">
        <f>(FU182*$GD182-HN182)/$JF182*INDEX(Input!$1:$1048576,$JG$93,$C182*2+6)</f>
        <v>-2.1923142982341801</v>
      </c>
      <c r="HR182" s="644">
        <f>(FV182*$GD182-HO182)/$JF182*INDEX(Input!$1:$1048576,$JG$93,$C182*2+6)</f>
        <v>-4.8363165939024384</v>
      </c>
      <c r="HS182" s="644">
        <f t="shared" si="571"/>
        <v>8.7065089406944498</v>
      </c>
      <c r="HT182" s="644">
        <f t="shared" si="572"/>
        <v>-4.2774658729719235</v>
      </c>
      <c r="HU182" s="644">
        <f t="shared" si="573"/>
        <v>-8.5654950330127111</v>
      </c>
      <c r="HV182" s="648">
        <f t="shared" si="574"/>
        <v>0</v>
      </c>
      <c r="HW182" s="648">
        <f t="shared" si="575"/>
        <v>0</v>
      </c>
      <c r="HX182" s="648">
        <f t="shared" si="576"/>
        <v>0</v>
      </c>
      <c r="HY182" s="644">
        <f>INDEX(Input!$1:$1048576,HY$93,$C182*2+6)*INDEX(Input!$1:$1048576,$JG$93,$C182*2+6)</f>
        <v>110.00000000000001</v>
      </c>
      <c r="HZ182" s="644">
        <f>INDEX(Input!$1:$1048576,HZ$93,$C182*2+6)*INDEX(Input!$1:$1048576,$JG$93,$C182*2+6)</f>
        <v>157</v>
      </c>
      <c r="IA182" s="644">
        <f>INDEX(Input!$1:$1048576,IA$93,$C182*2+6)*INDEX(Input!$1:$1048576,$JG$93,$C182*2+6)</f>
        <v>179</v>
      </c>
      <c r="IB182" s="644">
        <f t="shared" si="577"/>
        <v>100.347509610239</v>
      </c>
      <c r="IC182" s="644">
        <f t="shared" si="578"/>
        <v>150.53021982879389</v>
      </c>
      <c r="ID182" s="644">
        <f>IF(AND(INDEX(Input!$1:$1048576,IA$93,$C182*2+7)="TOS",Y182&lt;=INDEX(Y:Y,MATCH(C182*1000+2,A:A))),0,1)*MAX(IA182+HR182+HU182+HX182,0%)</f>
        <v>165.59818837308484</v>
      </c>
      <c r="IE182" s="128">
        <f t="shared" si="579"/>
        <v>0.24094432671496788</v>
      </c>
      <c r="IF182" s="128">
        <f t="shared" si="580"/>
        <v>0.36143799290863604</v>
      </c>
      <c r="IG182" s="128">
        <f t="shared" si="581"/>
        <v>0.39761768037639611</v>
      </c>
      <c r="IH182" s="21"/>
      <c r="II182" s="19">
        <f t="shared" si="582"/>
        <v>1240</v>
      </c>
      <c r="IJ182" s="19">
        <f t="shared" si="583"/>
        <v>2009.7221397149679</v>
      </c>
      <c r="IK182" s="19">
        <f t="shared" si="584"/>
        <v>2070</v>
      </c>
      <c r="IL182" s="19">
        <f t="shared" si="585"/>
        <v>-470</v>
      </c>
      <c r="IM182" s="19">
        <f t="shared" si="586"/>
        <v>-341.60487008937025</v>
      </c>
      <c r="IN182" s="19">
        <f t="shared" si="587"/>
        <v>-345</v>
      </c>
      <c r="IO182" s="39">
        <f t="shared" si="588"/>
        <v>0</v>
      </c>
      <c r="IP182" s="39">
        <f t="shared" si="589"/>
        <v>0</v>
      </c>
      <c r="IQ182" s="39">
        <f t="shared" si="590"/>
        <v>0</v>
      </c>
      <c r="IR182" s="39">
        <v>0</v>
      </c>
      <c r="IS182" s="39">
        <v>0</v>
      </c>
      <c r="IT182" s="39">
        <v>0</v>
      </c>
      <c r="IU182" s="39">
        <v>0</v>
      </c>
      <c r="IV182" s="39">
        <v>0</v>
      </c>
      <c r="IW182" s="39">
        <v>0</v>
      </c>
      <c r="IX182" s="39">
        <f>INDEX(Input!$1:$1048576,IX$93,$C182*2+6)+INDEX(Input!$1:$1048576,IX$94,$C182*2+6)</f>
        <v>1270</v>
      </c>
      <c r="IY182" s="39">
        <f>INDEX(Input!$1:$1048576,IY$93,$C182*2+6)+INDEX(Input!$1:$1048576,IY$94,$C182*2+6)</f>
        <v>2130.0624533823611</v>
      </c>
      <c r="IZ182" s="39">
        <f>INDEX(Input!$1:$1048576,IZ$93,$C182*2+6)+INDEX(Input!$1:$1048576,IZ$94,$C182*2+6)</f>
        <v>4373.7164157747848</v>
      </c>
      <c r="JA182" s="19">
        <f t="shared" si="591"/>
        <v>800</v>
      </c>
      <c r="JB182" s="19">
        <f t="shared" si="592"/>
        <v>1788.4575832929909</v>
      </c>
      <c r="JC182" s="19">
        <f t="shared" si="593"/>
        <v>4028.7164157747848</v>
      </c>
      <c r="JD182" s="19">
        <f t="shared" si="594"/>
        <v>2441.0608568143011</v>
      </c>
      <c r="JE182" s="21"/>
      <c r="JF182" s="1">
        <f t="shared" si="595"/>
        <v>1.022782493188582E-2</v>
      </c>
      <c r="JG182" s="15">
        <f>INDEX(Input!$1:$1048576,JG$93,$C182*2+6)/(1+VLOOKUP(C182*1000+INDEX(Input!$1:$1048576,JG$93+1,$C182*2+6),$A:$KK,$JK$92,FALSE))</f>
        <v>446</v>
      </c>
      <c r="JH182" s="1">
        <f t="shared" si="596"/>
        <v>-5.6922937718816367E-2</v>
      </c>
      <c r="JI182" s="1">
        <f t="shared" si="597"/>
        <v>-9.2745559759869617E-3</v>
      </c>
      <c r="JJ182" s="1">
        <f t="shared" si="598"/>
        <v>0</v>
      </c>
      <c r="JK182" s="1">
        <f t="shared" si="599"/>
        <v>-6.6197493694803322E-2</v>
      </c>
      <c r="JL182" s="15">
        <f t="shared" si="600"/>
        <v>-29.524082187882282</v>
      </c>
      <c r="JM182" s="15">
        <f t="shared" si="601"/>
        <v>416.4759178121177</v>
      </c>
      <c r="JN182" s="21"/>
      <c r="JO182" s="19">
        <f>INDEX(Input!$1:$1048576,JO$93,$C182*2+6)</f>
        <v>5995.5</v>
      </c>
      <c r="JP182" s="19">
        <f>INDEX(Input!$1:$1048576,JP$93,$C182*2+6)</f>
        <v>2818.4193802796353</v>
      </c>
      <c r="JQ182" s="39">
        <f t="shared" si="602"/>
        <v>3554.4391431856989</v>
      </c>
      <c r="JR182" s="39">
        <f t="shared" si="603"/>
        <v>-377.3585234653342</v>
      </c>
      <c r="JS182" s="39">
        <f t="shared" si="604"/>
        <v>1.0166430607769705</v>
      </c>
      <c r="JT182" s="39">
        <f t="shared" si="605"/>
        <v>-0.24037198282774688</v>
      </c>
      <c r="JU182" s="385">
        <f>(JQ182*JM182-INDEX(Input!$1:$1048576,Input!A$18,$C182*2+6)*JL182*INDEX(Input!$1:$1048576,Input!A$19,$C182*2+6))/1000000</f>
        <v>1.4803383044655811</v>
      </c>
      <c r="JV182" s="39">
        <f t="shared" si="606"/>
        <v>6.3360348070298445E-2</v>
      </c>
      <c r="JW182" s="1">
        <f t="shared" si="607"/>
        <v>4.4715126148810271E-2</v>
      </c>
      <c r="JX182" s="19">
        <f t="shared" si="608"/>
        <v>8141.5564859253773</v>
      </c>
      <c r="JZ182" s="341"/>
      <c r="KA182" s="342"/>
      <c r="KB182" s="469">
        <f t="shared" si="514"/>
        <v>2.9286733661474216</v>
      </c>
      <c r="KI182" s="473">
        <f t="shared" si="609"/>
        <v>-9.652490389761013</v>
      </c>
      <c r="KJ182" s="473">
        <f t="shared" si="610"/>
        <v>-6.4697801712061107</v>
      </c>
      <c r="KK182" s="473">
        <f t="shared" si="611"/>
        <v>-13.401811626915162</v>
      </c>
      <c r="KN182" s="544">
        <f t="shared" si="612"/>
        <v>1002</v>
      </c>
      <c r="KO182" s="541">
        <f t="shared" si="613"/>
        <v>-7.0025172449095008E-2</v>
      </c>
      <c r="KP182" s="546">
        <f t="shared" si="614"/>
        <v>-397.92664669316292</v>
      </c>
      <c r="KQ182" s="546">
        <f t="shared" si="615"/>
        <v>-398.25534320435054</v>
      </c>
      <c r="KR182" s="548">
        <f t="shared" si="616"/>
        <v>3.0172130336804042</v>
      </c>
      <c r="KS182" s="548">
        <f t="shared" si="617"/>
        <v>3.0147228036945335</v>
      </c>
      <c r="KT182" s="473">
        <f t="shared" si="515"/>
        <v>238.28695973331548</v>
      </c>
      <c r="KU182" s="663">
        <f t="shared" si="618"/>
        <v>6.1222614896669354</v>
      </c>
    </row>
    <row r="183" spans="1:307" s="26" customFormat="1" ht="15" outlineLevel="1">
      <c r="A183" s="561">
        <f t="shared" si="391"/>
        <v>1083</v>
      </c>
      <c r="B183" s="561">
        <f t="shared" si="513"/>
        <v>83</v>
      </c>
      <c r="C183" s="561">
        <f t="shared" si="105"/>
        <v>1</v>
      </c>
      <c r="D183" s="561" t="str">
        <f t="shared" si="294"/>
        <v xml:space="preserve">250 CC, 0.9/1.9/2.9/3.9, -360 Lease, </v>
      </c>
      <c r="E183" s="475">
        <f>INDEX(Input!$1:$1048576,E$93,$C183*2+MIN($B183,2)+5)
+INDEX(Scenarios!E$121:E$200,MATCH($B183,Scenarios!$B$121:$B$200,0))</f>
        <v>1479</v>
      </c>
      <c r="F183" s="475">
        <f>INDEX(Input!$1:$1048576,F$93,$C183*2+MIN($B183,2)+5)
+INDEX(Scenarios!F$121:F$200,MATCH($B183,Scenarios!$B$121:$B$200,0))</f>
        <v>0</v>
      </c>
      <c r="G183" s="475">
        <f>INDEX(Input!$1:$1048576,G$93,$C183*2+MIN($B183,2)+5)
+INDEX(Scenarios!G$121:G$200,MATCH($B183,Scenarios!$B$121:$B$200,0))</f>
        <v>0</v>
      </c>
      <c r="H183" s="475">
        <f>INDEX(Input!$1:$1048576,H$93,$C183*2+MIN($B183,2)+5)
+INDEX(Scenarios!H$121:H$200,MATCH($B183,Scenarios!$B$121:$B$200,0))</f>
        <v>0</v>
      </c>
      <c r="I183" s="476">
        <f>INDEX(Input!$1:$1048576,I$93,$C183*2+MIN($B183,2)+5)</f>
        <v>0.7</v>
      </c>
      <c r="J183" s="476" t="str">
        <f>INDEX(Input!$1:$1048576,J$93,$C183*2+MIN($B183,2)+5)</f>
        <v>Market</v>
      </c>
      <c r="K183" s="476" t="str">
        <f>INDEX(Input!$1:$1048576,K$93,$C183*2+MIN($B183,2)+5)</f>
        <v>Market</v>
      </c>
      <c r="L183" s="476" t="str">
        <f>INDEX(Input!$1:$1048576,L$93,$C183*2+MIN($B183,2)+5)</f>
        <v>Market</v>
      </c>
      <c r="M183" s="476" t="str">
        <f>INDEX(Input!$1:$1048576,M$93,$C183*2+MIN($B183,2)+5)</f>
        <v>Market</v>
      </c>
      <c r="N183" s="476" t="str">
        <f>INDEX(Input!$1:$1048576,N$93,$C183*2+MIN($B183,2)+5)</f>
        <v>Market</v>
      </c>
      <c r="O183" s="476" t="str">
        <f>INDEX(Input!$1:$1048576,O$93,$C183*2+MIN($B183,2)+5)</f>
        <v>Market</v>
      </c>
      <c r="P183" s="476" t="str">
        <f>INDEX(Input!$1:$1048576,P$93,$C183*2+MIN($B183,2)+5)</f>
        <v>N</v>
      </c>
      <c r="Q183" s="477">
        <f>INDEX(Input!$1:$1048576,Q$93,$C183*2+MIN($B183,2)+5)
+INDEX(Scenarios!Q$121:Q$200,MATCH($B183,Scenarios!$B$121:$B$200,0))</f>
        <v>0</v>
      </c>
      <c r="R183" s="478">
        <f>IFERROR(MAX(0,INDEX(Input!$1:$1048576,R$93,$C183*2+MIN($B183,2)+5)
+INDEX(Scenarios!R$121:R$200,MATCH($B183,Scenarios!$B$121:$B$200,0)),),"Market")</f>
        <v>0</v>
      </c>
      <c r="S183" s="478">
        <f>IFERROR(MAX(0,INDEX(Input!$1:$1048576,S$93,$C183*2+MIN($B183,2)+5)
+INDEX(Scenarios!S$121:S$200,MATCH($B183,Scenarios!$B$121:$B$200,0)),),"Market")</f>
        <v>0</v>
      </c>
      <c r="T183" s="478">
        <f>IFERROR(MAX(0,INDEX(Input!$1:$1048576,T$93,$C183*2+MIN($B183,2)+5)
+INDEX(Scenarios!T$121:T$200,MATCH($B183,Scenarios!$B$121:$B$200,0)),),"Market")</f>
        <v>0</v>
      </c>
      <c r="U183" s="478">
        <f>IFERROR(MAX(0,INDEX(Input!$1:$1048576,U$93,$C183*2+MIN($B183,2)+5)
+INDEX(Scenarios!U$121:U$200,MATCH($B183,Scenarios!$B$121:$B$200,0)),),"Market")</f>
        <v>9.0000000000000011E-3</v>
      </c>
      <c r="V183" s="478">
        <f>IFERROR(MAX(0,INDEX(Input!$1:$1048576,V$93,$C183*2+MIN($B183,2)+5)
+INDEX(Scenarios!V$121:V$200,MATCH($B183,Scenarios!$B$121:$B$200,0)),),"Market")</f>
        <v>2.8999999999999998E-2</v>
      </c>
      <c r="W183" s="885">
        <f>IFERROR(MAX(0,INDEX(Input!$1:$1048576,W$93,$C183*2+MIN($B183,2)+5)-0%,),"Market")</f>
        <v>3.9E-2</v>
      </c>
      <c r="X183" s="476" t="str">
        <f>INDEX(Input!$1:$1048576,X$93,$C183*2+MIN($B183,2)+5)</f>
        <v>Y</v>
      </c>
      <c r="Y183" s="475">
        <f>INDEX(Input!$1:$1048576,Y$93,$C183*2+MIN($B183,2)+5)
++INDEX(Scenarios!Y$121:Y$200,MATCH($B183,Scenarios!$B$121:$B$200,0))</f>
        <v>1582</v>
      </c>
      <c r="Z183" s="477">
        <f>INDEX(Input!$1:$1048576,Z$93,$C183*2+MIN($B183,2)+5)
+INDEX(Scenarios!Z$121:Z$200,MATCH($B183,Scenarios!$B$121:$B$200,0))</f>
        <v>0</v>
      </c>
      <c r="AA183" s="475">
        <f>INDEX(Input!$1:$1048576,AA$93,$C183*2+MIN($B183,2)+5)
+INDEX(Scenarios!AA$121:AA$200,MATCH($B183,Scenarios!$B$121:$B$200,0))</f>
        <v>0</v>
      </c>
      <c r="AB183" s="476">
        <f>INDEX(Input!$1:$1048576,AB$93,$C183*2+MIN($B183,2)+5)</f>
        <v>0.27</v>
      </c>
      <c r="AC183" s="475">
        <f>INDEX(Input!$1:$1048576,AC$93,$C183*2+MIN($B183,2)+5)
+INDEX(Scenarios!AC$121:AC$200,MATCH($B183,Scenarios!$B$121:$B$200,0))</f>
        <v>0</v>
      </c>
      <c r="AD183" s="476">
        <f>INDEX(Input!$1:$1048576,AD$93,$C183*2+MIN($B183,2)+5)</f>
        <v>0.27</v>
      </c>
      <c r="AE183" s="475">
        <f>INDEX(Input!$1:$1048576,AE$93,$C183*2+MIN($B183,2)+5)
+INDEX(Scenarios!AE$121:AE$200,MATCH($B183,Scenarios!$B$121:$B$200,0))</f>
        <v>0</v>
      </c>
      <c r="AF183" s="476">
        <f>INDEX(Input!$1:$1048576,AF$93,$C183*2+MIN($B183,2)+5)</f>
        <v>0.38</v>
      </c>
      <c r="AG183" s="475">
        <f>INDEX(Input!$1:$1048576,AG$93,$C183*2+MIN($B183,2)+5)
+INDEX(Scenarios!AG$121:AG$200,MATCH($B183,Scenarios!$B$121:$B$200,0))</f>
        <v>0</v>
      </c>
      <c r="AH183" s="476">
        <f>INDEX(Input!$1:$1048576,AH$93,$C183*2+MIN($B183,2)+5)</f>
        <v>0</v>
      </c>
      <c r="AI183" s="475">
        <f>INDEX(Input!$1:$1048576,AI$93,$C183*2+MIN($B183,2)+5)
+INDEX(Scenarios!AI$121:AI$200,MATCH($B183,Scenarios!$B$121:$B$200,0))</f>
        <v>0</v>
      </c>
      <c r="AJ183" s="476">
        <f>INDEX(Input!$1:$1048576,AJ$93,$C183*2+MIN($B183,2)+5)</f>
        <v>0.27</v>
      </c>
      <c r="AK183" s="150">
        <f>ROUND(INDEX(Input!$1:$1048576,AK$93,$C182*2+MIN($B183,1)+5)+(Y183-VLOOKUP($C183*1000+1,$A:$HH,Y$92,FALSE)),0)</f>
        <v>3397</v>
      </c>
      <c r="AL183" s="150">
        <f>ROUND(INDEX(Input!$1:$1048576,AL$93,$C182*2+MIN($B183,1)+5)-(Y183-VLOOKUP($C183*1000+1,$A:$HH,Y$92,FALSE))/36,0)</f>
        <v>4123</v>
      </c>
      <c r="AM183" s="32" t="str">
        <f t="shared" si="392"/>
        <v>std/std/std/std</v>
      </c>
      <c r="AN183" s="32" t="str">
        <f t="shared" si="393"/>
        <v>$0 + 0/0/0.9/2.9/3.9</v>
      </c>
      <c r="AO183" s="32" t="str">
        <f t="shared" si="394"/>
        <v>0/0/0.9/2.9/3.9</v>
      </c>
      <c r="AP183" s="32" t="str">
        <f t="shared" si="498"/>
        <v>0.9/1.9/2.9/3.9</v>
      </c>
      <c r="AQ183" s="536">
        <f t="shared" si="497"/>
        <v>0</v>
      </c>
      <c r="AR183" s="32"/>
      <c r="AS183" s="302"/>
      <c r="AT183" s="3">
        <f t="shared" si="106"/>
        <v>83</v>
      </c>
      <c r="AU183" s="41" t="s">
        <v>121</v>
      </c>
      <c r="AV183" s="41" t="s">
        <v>116</v>
      </c>
      <c r="AW183" s="41" t="str">
        <f>INDEX(Input!$1:$1048576,AW$93,$C183*2+6)</f>
        <v>Kia</v>
      </c>
      <c r="AX183" s="41" t="str">
        <f>INDEX(Input!$1:$1048576,AX$93,$C183*2+6)</f>
        <v>Kia-LR - L1</v>
      </c>
      <c r="AY183" s="41" t="str">
        <f>IF(LEN(D183)=0,"",INDEX(Input!$1:$1048576,AY$93,$C183*2+6))</f>
        <v>Compact SUV (52)</v>
      </c>
      <c r="AZ183" s="41" t="str">
        <f>INDEX(Input!$1:$1048576,AZ$93,$C183*2+6)</f>
        <v>Kia Soul</v>
      </c>
      <c r="BA183" s="3">
        <f>INDEX(Input!$1:$1048576,BA$93,$C183*2+6)</f>
        <v>2020</v>
      </c>
      <c r="BB183" s="128">
        <f>INDEX(Input!$1:$1048576,BB$93,$C183*2+6)</f>
        <v>1</v>
      </c>
      <c r="BC183" s="128">
        <f>INDEX(Input!$1:$1048576,BC$93,$C183*2+6)</f>
        <v>0.7</v>
      </c>
      <c r="BD183" s="1">
        <f>INDEX(Input!$1:$1048576,BD$93,$C183*2+6)</f>
        <v>4.4999999999999998E-2</v>
      </c>
      <c r="BE183" s="1">
        <f>INDEX(Input!$1:$1048576,BE$93,$C183*2+6)</f>
        <v>4.4999999999999998E-2</v>
      </c>
      <c r="BF183" s="1">
        <f>INDEX(Input!$1:$1048576,BF$93,$C183*2+6)</f>
        <v>0.05</v>
      </c>
      <c r="BG183" s="1">
        <f>INDEX(Input!$1:$1048576,BG$93,$C183*2+6)</f>
        <v>5.45E-2</v>
      </c>
      <c r="BH183" s="1">
        <f>INDEX(Input!$1:$1048576,BH$93,$C183*2+6)</f>
        <v>5.45E-2</v>
      </c>
      <c r="BI183" s="1">
        <f>INDEX(Input!$1:$1048576,BI$93,$C183*2+6)</f>
        <v>0.05</v>
      </c>
      <c r="BJ183" s="1">
        <f>INDEX(Input!$1:$1048576,BJ$93,$C183*2+6)</f>
        <v>0.05</v>
      </c>
      <c r="BK183" s="1">
        <f>INDEX(Input!$1:$1048576,BK$93,$C183*2+6)</f>
        <v>0.05</v>
      </c>
      <c r="BL183" s="1">
        <f>INDEX(Input!$1:$1048576,BL$93,$C183*2+6)</f>
        <v>5.5E-2</v>
      </c>
      <c r="BM183" s="1">
        <f>INDEX(Input!$1:$1048576,BM$93,$C183*2+6)</f>
        <v>0.06</v>
      </c>
      <c r="BN183" s="1">
        <f>INDEX(Input!$1:$1048576,BN$93,$C183*2+6)</f>
        <v>4.4999999999999998E-2</v>
      </c>
      <c r="BO183" s="1">
        <f>INDEX(Input!$1:$1048576,BO$93,$C183*2+6)</f>
        <v>4.4999999999999998E-2</v>
      </c>
      <c r="BP183" s="1">
        <f>INDEX(Input!$1:$1048576,BP$93,$C183*2+6)</f>
        <v>0.05</v>
      </c>
      <c r="BQ183" s="1">
        <f>INDEX(Input!$1:$1048576,BQ$93,$C183*2+6)</f>
        <v>5.45E-2</v>
      </c>
      <c r="BR183" s="1">
        <f>INDEX(Input!$1:$1048576,BR$93,$C183*2+6)</f>
        <v>5.45E-2</v>
      </c>
      <c r="BS183" s="1">
        <f>INDEX(Input!$1:$1048576,BS$93,$C183*2+6)</f>
        <v>0.05</v>
      </c>
      <c r="BT183" s="1">
        <f>INDEX(Input!$1:$1048576,BT$93,$C183*2+6)</f>
        <v>0.05</v>
      </c>
      <c r="BU183" s="1">
        <f>INDEX(Input!$1:$1048576,BU$93,$C183*2+6)</f>
        <v>0.05</v>
      </c>
      <c r="BV183" s="1">
        <f>INDEX(Input!$1:$1048576,BV$93,$C183*2+6)</f>
        <v>5.5E-2</v>
      </c>
      <c r="BW183" s="1">
        <f>INDEX(Input!$1:$1048576,BW$93,$C183*2+6)</f>
        <v>0.06</v>
      </c>
      <c r="BX183" s="127">
        <f>INDEX(Input!$1:$1048576,BX$93,$C183*2+6)</f>
        <v>19985</v>
      </c>
      <c r="BY183" s="20">
        <f>INDEX(Input!$1:$1048576,BY$93,$C183*2+6)</f>
        <v>0.1</v>
      </c>
      <c r="BZ183" s="20">
        <f>INDEX(Input!$1:$1048576,BZ$93,$C183*2+6)</f>
        <v>0.1</v>
      </c>
      <c r="CA183" s="20">
        <f>INDEX(Input!$1:$1048576,CA$93,$C183*2+6)</f>
        <v>0.1</v>
      </c>
      <c r="CB183" s="20">
        <f>INDEX(Input!$1:$1048576,CB$93,$C183*2+6)</f>
        <v>0.1</v>
      </c>
      <c r="CC183" s="20">
        <f>INDEX(Input!$1:$1048576,CC$93,$C183*2+6)</f>
        <v>0.1</v>
      </c>
      <c r="CD183" s="384">
        <f>INDEX(Input!$1:$1048576,CD$93,$C183*2+6)</f>
        <v>0.1</v>
      </c>
      <c r="CE183" s="384">
        <f>INDEX(Input!$1:$1048576,CE$93,$C183*2+6)</f>
        <v>0.1</v>
      </c>
      <c r="CF183" s="384">
        <f>INDEX(Input!$1:$1048576,CF$93,$C183*2+6)</f>
        <v>0.1</v>
      </c>
      <c r="CG183" s="384">
        <f>INDEX(Input!$1:$1048576,CG$93,$C183*2+6)</f>
        <v>0.1</v>
      </c>
      <c r="CH183" s="384">
        <f>INDEX(Input!$1:$1048576,CH$93,$C183*2+6)</f>
        <v>0.1</v>
      </c>
      <c r="CI183" s="304">
        <f t="shared" si="499"/>
        <v>1479</v>
      </c>
      <c r="CJ183" s="16" t="str">
        <f>INDEX(Input!$1:$1048576,CJ$93,$C183*2+6)</f>
        <v>N</v>
      </c>
      <c r="CK183" s="1" t="str">
        <f t="shared" si="500"/>
        <v>Market</v>
      </c>
      <c r="CL183" s="1" t="str">
        <f t="shared" si="501"/>
        <v>Market</v>
      </c>
      <c r="CM183" s="1" t="str">
        <f t="shared" si="502"/>
        <v>Market</v>
      </c>
      <c r="CN183" s="1" t="str">
        <f t="shared" si="503"/>
        <v>Market</v>
      </c>
      <c r="CO183" s="1" t="str">
        <f t="shared" si="504"/>
        <v>Market</v>
      </c>
      <c r="CP183" s="304">
        <f t="shared" si="505"/>
        <v>0</v>
      </c>
      <c r="CQ183" s="1">
        <f t="shared" si="506"/>
        <v>0</v>
      </c>
      <c r="CR183" s="1">
        <f t="shared" si="507"/>
        <v>0</v>
      </c>
      <c r="CS183" s="1">
        <f t="shared" si="508"/>
        <v>9.0000000000000011E-3</v>
      </c>
      <c r="CT183" s="1">
        <f t="shared" si="509"/>
        <v>2.8999999999999998E-2</v>
      </c>
      <c r="CU183" s="1">
        <f t="shared" si="510"/>
        <v>3.9E-2</v>
      </c>
      <c r="CV183" s="304">
        <f t="shared" si="511"/>
        <v>1582</v>
      </c>
      <c r="CW183" s="20" t="s">
        <v>122</v>
      </c>
      <c r="CX183" s="20" t="s">
        <v>122</v>
      </c>
      <c r="CY183" s="20" t="s">
        <v>122</v>
      </c>
      <c r="CZ183" s="20" t="s">
        <v>122</v>
      </c>
      <c r="DA183" s="20" t="s">
        <v>122</v>
      </c>
      <c r="DB183" s="503">
        <f t="shared" si="512"/>
        <v>0</v>
      </c>
      <c r="DC183" s="127">
        <v>0</v>
      </c>
      <c r="DD183" s="127">
        <v>0</v>
      </c>
      <c r="DE183" s="127">
        <v>0</v>
      </c>
      <c r="DF183" s="127">
        <v>0</v>
      </c>
      <c r="DG183" s="127">
        <v>0</v>
      </c>
      <c r="DH183" s="127">
        <v>0</v>
      </c>
      <c r="DI183" s="127">
        <v>0</v>
      </c>
      <c r="DJ183" s="127">
        <v>0</v>
      </c>
      <c r="DK183" s="127">
        <v>0</v>
      </c>
      <c r="DL183" s="127">
        <v>0</v>
      </c>
      <c r="DM183" s="304">
        <f>INDEX(Input!$1:$1048576,DM$93,$C183*2+6)</f>
        <v>21036.84210526316</v>
      </c>
      <c r="DN183" s="20">
        <v>0</v>
      </c>
      <c r="DO183" s="20">
        <v>0</v>
      </c>
      <c r="DP183" s="20">
        <v>0</v>
      </c>
      <c r="DQ183" s="20">
        <v>0</v>
      </c>
      <c r="DR183" s="20">
        <v>0</v>
      </c>
      <c r="DS183" s="20">
        <f>INDEX(Input!$1:$1048576,DS$93,$C183*2+6)</f>
        <v>0.6</v>
      </c>
      <c r="DT183" s="20">
        <f>INDEX(Input!$1:$1048576,DT$93,$C183*2+6)</f>
        <v>0.55000000000000004</v>
      </c>
      <c r="DU183" s="20">
        <f>INDEX(Input!$1:$1048576,DU$93,$C183*2+6)</f>
        <v>0.52</v>
      </c>
      <c r="DV183" s="20">
        <f>INDEX(Input!$1:$1048576,DV$93,$C183*2+6)</f>
        <v>0.5</v>
      </c>
      <c r="DW183" s="20">
        <f>INDEX(Input!$1:$1048576,DW$93,$C183*2+6)</f>
        <v>0.45</v>
      </c>
      <c r="DX183" s="20"/>
      <c r="DY183" s="7"/>
      <c r="DZ183" s="7"/>
      <c r="EA183" s="7"/>
      <c r="EB183" s="7"/>
      <c r="EC183" s="7"/>
      <c r="ED183" s="7"/>
      <c r="EE183" s="7"/>
      <c r="EF183" s="7"/>
      <c r="EG183" s="7"/>
      <c r="EH183" s="7"/>
      <c r="EI183" s="7"/>
      <c r="EJ183" s="7"/>
      <c r="EK183" s="7"/>
      <c r="EL183" s="7"/>
      <c r="EM183" s="7"/>
      <c r="EN183" s="7"/>
      <c r="EO183" s="7"/>
      <c r="EP183" s="7"/>
      <c r="EQ183" s="7"/>
      <c r="ER183" s="7"/>
      <c r="ES183" s="7"/>
      <c r="ET183" s="7"/>
      <c r="EU183" s="6"/>
      <c r="EV183" s="6"/>
      <c r="EW183" s="6"/>
      <c r="EX183" s="6"/>
      <c r="EY183" s="6"/>
      <c r="EZ183" s="6"/>
      <c r="FA183" s="6"/>
      <c r="FB183" s="6"/>
      <c r="FC183" s="6"/>
      <c r="FD183" s="6"/>
      <c r="FE183" s="6"/>
      <c r="FF183" s="6"/>
      <c r="FG183" s="6"/>
      <c r="FH183" s="6"/>
      <c r="FI183" s="6"/>
      <c r="FJ183" s="6"/>
      <c r="FK183" s="6"/>
      <c r="FL183" s="6"/>
      <c r="FM183" s="6"/>
      <c r="FN183" s="6"/>
      <c r="FO183" s="6"/>
      <c r="FP183" s="6"/>
      <c r="FQ183" s="6"/>
      <c r="FR183" s="6"/>
      <c r="FS183" s="6"/>
      <c r="FT183" s="7"/>
      <c r="FU183" s="7"/>
      <c r="FV183" s="7"/>
      <c r="FW183" s="6"/>
      <c r="FX183" s="6"/>
      <c r="FY183" s="6"/>
      <c r="FZ183" s="6"/>
      <c r="GA183" s="6"/>
      <c r="GB183" s="6"/>
      <c r="GC183" s="7"/>
      <c r="GD183" s="7"/>
      <c r="GE183" s="7"/>
      <c r="GF183" s="7"/>
      <c r="GG183" s="7"/>
      <c r="GH183" s="42"/>
      <c r="GI183" s="6"/>
      <c r="GJ183" s="14"/>
      <c r="GK183" s="14"/>
      <c r="GL183" s="14"/>
      <c r="GM183" s="14"/>
      <c r="GO183" s="5"/>
      <c r="GP183" s="5"/>
      <c r="GQ183" s="5"/>
      <c r="GR183" s="5"/>
      <c r="GS183" s="5"/>
      <c r="GT183" s="5"/>
      <c r="GU183" s="5"/>
      <c r="GV183" s="39"/>
      <c r="GW183" s="5"/>
      <c r="GX183" s="5"/>
      <c r="GY183" s="5"/>
      <c r="GZ183" s="5"/>
      <c r="HA183" s="5"/>
      <c r="HB183" s="39"/>
      <c r="HC183" s="5"/>
      <c r="HD183" s="5"/>
      <c r="HE183" s="5"/>
      <c r="HF183" s="5"/>
      <c r="HG183" s="5"/>
      <c r="HH183" s="39"/>
      <c r="HI183" s="16"/>
      <c r="HJ183" s="19"/>
      <c r="HK183" s="1"/>
      <c r="HL183" s="16"/>
      <c r="HM183" s="1"/>
      <c r="HN183" s="1"/>
      <c r="HO183" s="1"/>
      <c r="HP183" s="1"/>
      <c r="HQ183" s="1"/>
      <c r="HR183" s="1"/>
      <c r="HS183" s="1"/>
      <c r="HT183" s="1"/>
      <c r="HU183" s="1"/>
      <c r="HV183" s="1"/>
      <c r="HW183" s="1"/>
      <c r="HX183" s="1"/>
      <c r="HY183" s="1"/>
      <c r="HZ183" s="1"/>
      <c r="IA183" s="1"/>
      <c r="IB183" s="1"/>
      <c r="IC183" s="1"/>
      <c r="ID183" s="1"/>
      <c r="IE183" s="1"/>
      <c r="IF183" s="1"/>
      <c r="IG183" s="1"/>
      <c r="IH183" s="21"/>
      <c r="II183" s="19"/>
      <c r="IJ183" s="19"/>
      <c r="IK183" s="19"/>
      <c r="IL183" s="19"/>
      <c r="IM183" s="19"/>
      <c r="IN183" s="19"/>
      <c r="IO183" s="39"/>
      <c r="IP183" s="39"/>
      <c r="IQ183" s="39"/>
      <c r="IR183" s="39"/>
      <c r="IS183" s="39"/>
      <c r="IT183" s="39"/>
      <c r="IU183" s="39"/>
      <c r="IV183" s="39"/>
      <c r="IW183" s="39"/>
      <c r="IX183" s="39"/>
      <c r="IY183" s="39"/>
      <c r="IZ183" s="39"/>
      <c r="JA183" s="19"/>
      <c r="JB183" s="19"/>
      <c r="JC183" s="19"/>
      <c r="JD183" s="19"/>
      <c r="JE183" s="21"/>
      <c r="JF183" s="1"/>
      <c r="JG183" s="15"/>
      <c r="JH183" s="1"/>
      <c r="JI183" s="1"/>
      <c r="JJ183" s="1"/>
      <c r="JK183" s="1"/>
      <c r="JL183" s="15"/>
      <c r="JM183" s="15"/>
      <c r="JN183" s="21"/>
      <c r="JO183" s="19"/>
      <c r="JP183" s="19"/>
      <c r="JQ183" s="39"/>
      <c r="JR183" s="39"/>
      <c r="JS183" s="39"/>
      <c r="JT183" s="39"/>
      <c r="JU183" s="385"/>
      <c r="JV183" s="39"/>
      <c r="JW183" s="1"/>
      <c r="JX183" s="19"/>
      <c r="JZ183" s="341"/>
      <c r="KA183" s="342"/>
      <c r="KB183" s="469"/>
      <c r="KI183" s="473"/>
      <c r="KJ183" s="473"/>
      <c r="KK183" s="473"/>
    </row>
    <row r="184" spans="1:307" s="26" customFormat="1" ht="15" outlineLevel="1">
      <c r="A184" s="561">
        <f t="shared" si="391"/>
        <v>1084</v>
      </c>
      <c r="B184" s="561">
        <f t="shared" si="513"/>
        <v>84</v>
      </c>
      <c r="C184" s="561">
        <f t="shared" si="105"/>
        <v>1</v>
      </c>
      <c r="D184" s="561" t="str">
        <f t="shared" si="294"/>
        <v xml:space="preserve">250 CC, 0.9/1.9/2.9/3.9, </v>
      </c>
      <c r="E184" s="475">
        <f>INDEX(Input!$1:$1048576,E$93,$C184*2+MIN($B184,2)+5)
+INDEX(Scenarios!E$121:E$200,MATCH($B184,Scenarios!$B$121:$B$200,0))</f>
        <v>1479</v>
      </c>
      <c r="F184" s="475">
        <f>INDEX(Input!$1:$1048576,F$93,$C184*2+MIN($B184,2)+5)
+INDEX(Scenarios!F$121:F$200,MATCH($B184,Scenarios!$B$121:$B$200,0))</f>
        <v>0</v>
      </c>
      <c r="G184" s="475">
        <f>INDEX(Input!$1:$1048576,G$93,$C184*2+MIN($B184,2)+5)
+INDEX(Scenarios!G$121:G$200,MATCH($B184,Scenarios!$B$121:$B$200,0))</f>
        <v>0</v>
      </c>
      <c r="H184" s="475">
        <f>INDEX(Input!$1:$1048576,H$93,$C184*2+MIN($B184,2)+5)
+INDEX(Scenarios!H$121:H$200,MATCH($B184,Scenarios!$B$121:$B$200,0))</f>
        <v>0</v>
      </c>
      <c r="I184" s="476">
        <f>INDEX(Input!$1:$1048576,I$93,$C184*2+MIN($B184,2)+5)</f>
        <v>0.7</v>
      </c>
      <c r="J184" s="476" t="str">
        <f>INDEX(Input!$1:$1048576,J$93,$C184*2+MIN($B184,2)+5)</f>
        <v>Market</v>
      </c>
      <c r="K184" s="476" t="str">
        <f>INDEX(Input!$1:$1048576,K$93,$C184*2+MIN($B184,2)+5)</f>
        <v>Market</v>
      </c>
      <c r="L184" s="476" t="str">
        <f>INDEX(Input!$1:$1048576,L$93,$C184*2+MIN($B184,2)+5)</f>
        <v>Market</v>
      </c>
      <c r="M184" s="476" t="str">
        <f>INDEX(Input!$1:$1048576,M$93,$C184*2+MIN($B184,2)+5)</f>
        <v>Market</v>
      </c>
      <c r="N184" s="476" t="str">
        <f>INDEX(Input!$1:$1048576,N$93,$C184*2+MIN($B184,2)+5)</f>
        <v>Market</v>
      </c>
      <c r="O184" s="476" t="str">
        <f>INDEX(Input!$1:$1048576,O$93,$C184*2+MIN($B184,2)+5)</f>
        <v>Market</v>
      </c>
      <c r="P184" s="476" t="str">
        <f>INDEX(Input!$1:$1048576,P$93,$C184*2+MIN($B184,2)+5)</f>
        <v>N</v>
      </c>
      <c r="Q184" s="477">
        <f>INDEX(Input!$1:$1048576,Q$93,$C184*2+MIN($B184,2)+5)
+INDEX(Scenarios!Q$121:Q$200,MATCH($B184,Scenarios!$B$121:$B$200,0))</f>
        <v>0</v>
      </c>
      <c r="R184" s="478">
        <f>IFERROR(MAX(0,INDEX(Input!$1:$1048576,R$93,$C184*2+MIN($B184,2)+5)
+INDEX(Scenarios!R$121:R$200,MATCH($B184,Scenarios!$B$121:$B$200,0)),),"Market")</f>
        <v>9.0000000000000011E-3</v>
      </c>
      <c r="S184" s="478">
        <f>IFERROR(MAX(0,INDEX(Input!$1:$1048576,S$93,$C184*2+MIN($B184,2)+5)
+INDEX(Scenarios!S$121:S$200,MATCH($B184,Scenarios!$B$121:$B$200,0)),),"Market")</f>
        <v>9.0000000000000011E-3</v>
      </c>
      <c r="T184" s="478">
        <f>IFERROR(MAX(0,INDEX(Input!$1:$1048576,T$93,$C184*2+MIN($B184,2)+5)
+INDEX(Scenarios!T$121:T$200,MATCH($B184,Scenarios!$B$121:$B$200,0)),),"Market")</f>
        <v>9.0000000000000011E-3</v>
      </c>
      <c r="U184" s="478">
        <f>IFERROR(MAX(0,INDEX(Input!$1:$1048576,U$93,$C184*2+MIN($B184,2)+5)
+INDEX(Scenarios!U$121:U$200,MATCH($B184,Scenarios!$B$121:$B$200,0)),),"Market")</f>
        <v>9.0000000000000011E-3</v>
      </c>
      <c r="V184" s="478">
        <f>IFERROR(MAX(0,INDEX(Input!$1:$1048576,V$93,$C184*2+MIN($B184,2)+5)
+INDEX(Scenarios!V$121:V$200,MATCH($B184,Scenarios!$B$121:$B$200,0)),),"Market")</f>
        <v>2.8999999999999998E-2</v>
      </c>
      <c r="W184" s="885">
        <f>IFERROR(MAX(0,INDEX(Input!$1:$1048576,W$93,$C184*2+MIN($B184,2)+5)-0%,),"Market")</f>
        <v>3.9E-2</v>
      </c>
      <c r="X184" s="476" t="str">
        <f>INDEX(Input!$1:$1048576,X$93,$C184*2+MIN($B184,2)+5)</f>
        <v>Y</v>
      </c>
      <c r="Y184" s="475">
        <f>INDEX(Input!$1:$1048576,Y$93,$C184*2+MIN($B184,2)+5)
++INDEX(Scenarios!Y$121:Y$200,MATCH($B184,Scenarios!$B$121:$B$200,0))</f>
        <v>1942</v>
      </c>
      <c r="Z184" s="477">
        <f>INDEX(Input!$1:$1048576,Z$93,$C184*2+MIN($B184,2)+5)
+INDEX(Scenarios!Z$121:Z$200,MATCH($B184,Scenarios!$B$121:$B$200,0))</f>
        <v>0</v>
      </c>
      <c r="AA184" s="475">
        <f>INDEX(Input!$1:$1048576,AA$93,$C184*2+MIN($B184,2)+5)
+INDEX(Scenarios!AA$121:AA$200,MATCH($B184,Scenarios!$B$121:$B$200,0))</f>
        <v>0</v>
      </c>
      <c r="AB184" s="476">
        <f>INDEX(Input!$1:$1048576,AB$93,$C184*2+MIN($B184,2)+5)</f>
        <v>0.27</v>
      </c>
      <c r="AC184" s="475">
        <f>INDEX(Input!$1:$1048576,AC$93,$C184*2+MIN($B184,2)+5)
+INDEX(Scenarios!AC$121:AC$200,MATCH($B184,Scenarios!$B$121:$B$200,0))</f>
        <v>0</v>
      </c>
      <c r="AD184" s="476">
        <f>INDEX(Input!$1:$1048576,AD$93,$C184*2+MIN($B184,2)+5)</f>
        <v>0.27</v>
      </c>
      <c r="AE184" s="475">
        <f>INDEX(Input!$1:$1048576,AE$93,$C184*2+MIN($B184,2)+5)
+INDEX(Scenarios!AE$121:AE$200,MATCH($B184,Scenarios!$B$121:$B$200,0))</f>
        <v>0</v>
      </c>
      <c r="AF184" s="476">
        <f>INDEX(Input!$1:$1048576,AF$93,$C184*2+MIN($B184,2)+5)</f>
        <v>0.38</v>
      </c>
      <c r="AG184" s="475">
        <f>INDEX(Input!$1:$1048576,AG$93,$C184*2+MIN($B184,2)+5)
+INDEX(Scenarios!AG$121:AG$200,MATCH($B184,Scenarios!$B$121:$B$200,0))</f>
        <v>0</v>
      </c>
      <c r="AH184" s="476">
        <f>INDEX(Input!$1:$1048576,AH$93,$C184*2+MIN($B184,2)+5)</f>
        <v>0</v>
      </c>
      <c r="AI184" s="475">
        <f>INDEX(Input!$1:$1048576,AI$93,$C184*2+MIN($B184,2)+5)
+INDEX(Scenarios!AI$121:AI$200,MATCH($B184,Scenarios!$B$121:$B$200,0))</f>
        <v>0</v>
      </c>
      <c r="AJ184" s="476">
        <f>INDEX(Input!$1:$1048576,AJ$93,$C184*2+MIN($B184,2)+5)</f>
        <v>0.27</v>
      </c>
      <c r="AK184" s="150">
        <f>ROUND(INDEX(Input!$1:$1048576,AK$93,$C183*2+MIN($B184,1)+5)+(Y184-VLOOKUP($C184*1000+1,$A:$HH,Y$92,FALSE)),0)</f>
        <v>3757</v>
      </c>
      <c r="AL184" s="150">
        <f>ROUND(INDEX(Input!$1:$1048576,AL$93,$C183*2+MIN($B184,1)+5)-(Y184-VLOOKUP($C184*1000+1,$A:$HH,Y$92,FALSE))/36,0)</f>
        <v>4113</v>
      </c>
      <c r="AM184" s="32" t="str">
        <f t="shared" si="392"/>
        <v>std/std/std/std</v>
      </c>
      <c r="AN184" s="32" t="str">
        <f t="shared" si="393"/>
        <v>$0 + 0.9/0.9/0.9/2.9/3.9</v>
      </c>
      <c r="AO184" s="32" t="str">
        <f t="shared" si="394"/>
        <v>0.9/0.9/0.9/2.9/3.9</v>
      </c>
      <c r="AP184" s="32" t="str">
        <f t="shared" si="498"/>
        <v>0.9/1.9/2.9/3.9</v>
      </c>
      <c r="AQ184" s="536">
        <f t="shared" si="497"/>
        <v>0</v>
      </c>
      <c r="AR184" s="32"/>
      <c r="AS184" s="302"/>
      <c r="AT184" s="3">
        <f t="shared" si="106"/>
        <v>84</v>
      </c>
      <c r="AU184" s="41" t="s">
        <v>121</v>
      </c>
      <c r="AV184" s="41" t="s">
        <v>116</v>
      </c>
      <c r="AW184" s="41" t="str">
        <f>INDEX(Input!$1:$1048576,AW$93,$C184*2+6)</f>
        <v>Kia</v>
      </c>
      <c r="AX184" s="41" t="str">
        <f>INDEX(Input!$1:$1048576,AX$93,$C184*2+6)</f>
        <v>Kia-LR - L1</v>
      </c>
      <c r="AY184" s="41" t="str">
        <f>IF(LEN(D184)=0,"",INDEX(Input!$1:$1048576,AY$93,$C184*2+6))</f>
        <v>Compact SUV (52)</v>
      </c>
      <c r="AZ184" s="41" t="str">
        <f>INDEX(Input!$1:$1048576,AZ$93,$C184*2+6)</f>
        <v>Kia Soul</v>
      </c>
      <c r="BA184" s="3">
        <f>INDEX(Input!$1:$1048576,BA$93,$C184*2+6)</f>
        <v>2020</v>
      </c>
      <c r="BB184" s="128">
        <f>INDEX(Input!$1:$1048576,BB$93,$C184*2+6)</f>
        <v>1</v>
      </c>
      <c r="BC184" s="128">
        <f>INDEX(Input!$1:$1048576,BC$93,$C184*2+6)</f>
        <v>0.7</v>
      </c>
      <c r="BD184" s="1">
        <f>INDEX(Input!$1:$1048576,BD$93,$C184*2+6)</f>
        <v>4.4999999999999998E-2</v>
      </c>
      <c r="BE184" s="1">
        <f>INDEX(Input!$1:$1048576,BE$93,$C184*2+6)</f>
        <v>4.4999999999999998E-2</v>
      </c>
      <c r="BF184" s="1">
        <f>INDEX(Input!$1:$1048576,BF$93,$C184*2+6)</f>
        <v>0.05</v>
      </c>
      <c r="BG184" s="1">
        <f>INDEX(Input!$1:$1048576,BG$93,$C184*2+6)</f>
        <v>5.45E-2</v>
      </c>
      <c r="BH184" s="1">
        <f>INDEX(Input!$1:$1048576,BH$93,$C184*2+6)</f>
        <v>5.45E-2</v>
      </c>
      <c r="BI184" s="1">
        <f>INDEX(Input!$1:$1048576,BI$93,$C184*2+6)</f>
        <v>0.05</v>
      </c>
      <c r="BJ184" s="1">
        <f>INDEX(Input!$1:$1048576,BJ$93,$C184*2+6)</f>
        <v>0.05</v>
      </c>
      <c r="BK184" s="1">
        <f>INDEX(Input!$1:$1048576,BK$93,$C184*2+6)</f>
        <v>0.05</v>
      </c>
      <c r="BL184" s="1">
        <f>INDEX(Input!$1:$1048576,BL$93,$C184*2+6)</f>
        <v>5.5E-2</v>
      </c>
      <c r="BM184" s="1">
        <f>INDEX(Input!$1:$1048576,BM$93,$C184*2+6)</f>
        <v>0.06</v>
      </c>
      <c r="BN184" s="1">
        <f>INDEX(Input!$1:$1048576,BN$93,$C184*2+6)</f>
        <v>4.4999999999999998E-2</v>
      </c>
      <c r="BO184" s="1">
        <f>INDEX(Input!$1:$1048576,BO$93,$C184*2+6)</f>
        <v>4.4999999999999998E-2</v>
      </c>
      <c r="BP184" s="1">
        <f>INDEX(Input!$1:$1048576,BP$93,$C184*2+6)</f>
        <v>0.05</v>
      </c>
      <c r="BQ184" s="1">
        <f>INDEX(Input!$1:$1048576,BQ$93,$C184*2+6)</f>
        <v>5.45E-2</v>
      </c>
      <c r="BR184" s="1">
        <f>INDEX(Input!$1:$1048576,BR$93,$C184*2+6)</f>
        <v>5.45E-2</v>
      </c>
      <c r="BS184" s="1">
        <f>INDEX(Input!$1:$1048576,BS$93,$C184*2+6)</f>
        <v>0.05</v>
      </c>
      <c r="BT184" s="1">
        <f>INDEX(Input!$1:$1048576,BT$93,$C184*2+6)</f>
        <v>0.05</v>
      </c>
      <c r="BU184" s="1">
        <f>INDEX(Input!$1:$1048576,BU$93,$C184*2+6)</f>
        <v>0.05</v>
      </c>
      <c r="BV184" s="1">
        <f>INDEX(Input!$1:$1048576,BV$93,$C184*2+6)</f>
        <v>5.5E-2</v>
      </c>
      <c r="BW184" s="1">
        <f>INDEX(Input!$1:$1048576,BW$93,$C184*2+6)</f>
        <v>0.06</v>
      </c>
      <c r="BX184" s="127">
        <f>INDEX(Input!$1:$1048576,BX$93,$C184*2+6)</f>
        <v>19985</v>
      </c>
      <c r="BY184" s="20">
        <f>INDEX(Input!$1:$1048576,BY$93,$C184*2+6)</f>
        <v>0.1</v>
      </c>
      <c r="BZ184" s="20">
        <f>INDEX(Input!$1:$1048576,BZ$93,$C184*2+6)</f>
        <v>0.1</v>
      </c>
      <c r="CA184" s="20">
        <f>INDEX(Input!$1:$1048576,CA$93,$C184*2+6)</f>
        <v>0.1</v>
      </c>
      <c r="CB184" s="20">
        <f>INDEX(Input!$1:$1048576,CB$93,$C184*2+6)</f>
        <v>0.1</v>
      </c>
      <c r="CC184" s="20">
        <f>INDEX(Input!$1:$1048576,CC$93,$C184*2+6)</f>
        <v>0.1</v>
      </c>
      <c r="CD184" s="384">
        <f>INDEX(Input!$1:$1048576,CD$93,$C184*2+6)</f>
        <v>0.1</v>
      </c>
      <c r="CE184" s="384">
        <f>INDEX(Input!$1:$1048576,CE$93,$C184*2+6)</f>
        <v>0.1</v>
      </c>
      <c r="CF184" s="384">
        <f>INDEX(Input!$1:$1048576,CF$93,$C184*2+6)</f>
        <v>0.1</v>
      </c>
      <c r="CG184" s="384">
        <f>INDEX(Input!$1:$1048576,CG$93,$C184*2+6)</f>
        <v>0.1</v>
      </c>
      <c r="CH184" s="384">
        <f>INDEX(Input!$1:$1048576,CH$93,$C184*2+6)</f>
        <v>0.1</v>
      </c>
      <c r="CI184" s="304">
        <f t="shared" si="499"/>
        <v>1479</v>
      </c>
      <c r="CJ184" s="16" t="str">
        <f>INDEX(Input!$1:$1048576,CJ$93,$C184*2+6)</f>
        <v>N</v>
      </c>
      <c r="CK184" s="1" t="str">
        <f t="shared" si="500"/>
        <v>Market</v>
      </c>
      <c r="CL184" s="1" t="str">
        <f t="shared" si="501"/>
        <v>Market</v>
      </c>
      <c r="CM184" s="1" t="str">
        <f t="shared" si="502"/>
        <v>Market</v>
      </c>
      <c r="CN184" s="1" t="str">
        <f t="shared" si="503"/>
        <v>Market</v>
      </c>
      <c r="CO184" s="1" t="str">
        <f t="shared" si="504"/>
        <v>Market</v>
      </c>
      <c r="CP184" s="304">
        <f t="shared" si="505"/>
        <v>0</v>
      </c>
      <c r="CQ184" s="1">
        <f t="shared" si="506"/>
        <v>9.0000000000000011E-3</v>
      </c>
      <c r="CR184" s="1">
        <f t="shared" si="507"/>
        <v>9.0000000000000011E-3</v>
      </c>
      <c r="CS184" s="1">
        <f t="shared" si="508"/>
        <v>9.0000000000000011E-3</v>
      </c>
      <c r="CT184" s="1">
        <f t="shared" si="509"/>
        <v>2.8999999999999998E-2</v>
      </c>
      <c r="CU184" s="1">
        <f t="shared" si="510"/>
        <v>3.9E-2</v>
      </c>
      <c r="CV184" s="304">
        <f t="shared" si="511"/>
        <v>1942</v>
      </c>
      <c r="CW184" s="20" t="s">
        <v>122</v>
      </c>
      <c r="CX184" s="20" t="s">
        <v>122</v>
      </c>
      <c r="CY184" s="20" t="s">
        <v>122</v>
      </c>
      <c r="CZ184" s="20" t="s">
        <v>122</v>
      </c>
      <c r="DA184" s="20" t="s">
        <v>122</v>
      </c>
      <c r="DB184" s="503">
        <f t="shared" si="512"/>
        <v>0</v>
      </c>
      <c r="DC184" s="127">
        <v>0</v>
      </c>
      <c r="DD184" s="127">
        <v>0</v>
      </c>
      <c r="DE184" s="127">
        <v>0</v>
      </c>
      <c r="DF184" s="127">
        <v>0</v>
      </c>
      <c r="DG184" s="127">
        <v>0</v>
      </c>
      <c r="DH184" s="127">
        <v>0</v>
      </c>
      <c r="DI184" s="127">
        <v>0</v>
      </c>
      <c r="DJ184" s="127">
        <v>0</v>
      </c>
      <c r="DK184" s="127">
        <v>0</v>
      </c>
      <c r="DL184" s="127">
        <v>0</v>
      </c>
      <c r="DM184" s="304">
        <f>INDEX(Input!$1:$1048576,DM$93,$C184*2+6)</f>
        <v>21036.84210526316</v>
      </c>
      <c r="DN184" s="20">
        <v>0</v>
      </c>
      <c r="DO184" s="20">
        <v>0</v>
      </c>
      <c r="DP184" s="20">
        <v>0</v>
      </c>
      <c r="DQ184" s="20">
        <v>0</v>
      </c>
      <c r="DR184" s="20">
        <v>0</v>
      </c>
      <c r="DS184" s="20">
        <f>INDEX(Input!$1:$1048576,DS$93,$C184*2+6)</f>
        <v>0.6</v>
      </c>
      <c r="DT184" s="20">
        <f>INDEX(Input!$1:$1048576,DT$93,$C184*2+6)</f>
        <v>0.55000000000000004</v>
      </c>
      <c r="DU184" s="20">
        <f>INDEX(Input!$1:$1048576,DU$93,$C184*2+6)</f>
        <v>0.52</v>
      </c>
      <c r="DV184" s="20">
        <f>INDEX(Input!$1:$1048576,DV$93,$C184*2+6)</f>
        <v>0.5</v>
      </c>
      <c r="DW184" s="20">
        <f>INDEX(Input!$1:$1048576,DW$93,$C184*2+6)</f>
        <v>0.45</v>
      </c>
      <c r="DX184" s="20"/>
      <c r="DY184" s="7"/>
      <c r="DZ184" s="7"/>
      <c r="EA184" s="7"/>
      <c r="EB184" s="7"/>
      <c r="EC184" s="7"/>
      <c r="ED184" s="7"/>
      <c r="EE184" s="7"/>
      <c r="EF184" s="7"/>
      <c r="EG184" s="7"/>
      <c r="EH184" s="7"/>
      <c r="EI184" s="7"/>
      <c r="EJ184" s="7"/>
      <c r="EK184" s="7"/>
      <c r="EL184" s="7"/>
      <c r="EM184" s="7"/>
      <c r="EN184" s="7"/>
      <c r="EO184" s="7"/>
      <c r="EP184" s="7"/>
      <c r="EQ184" s="7"/>
      <c r="ER184" s="7"/>
      <c r="ES184" s="7"/>
      <c r="ET184" s="7"/>
      <c r="EU184" s="6"/>
      <c r="EV184" s="6"/>
      <c r="EW184" s="6"/>
      <c r="EX184" s="6"/>
      <c r="EY184" s="6"/>
      <c r="EZ184" s="6"/>
      <c r="FA184" s="6"/>
      <c r="FB184" s="6"/>
      <c r="FC184" s="6"/>
      <c r="FD184" s="6"/>
      <c r="FE184" s="6"/>
      <c r="FF184" s="6"/>
      <c r="FG184" s="6"/>
      <c r="FH184" s="6"/>
      <c r="FI184" s="6"/>
      <c r="FJ184" s="6"/>
      <c r="FK184" s="6"/>
      <c r="FL184" s="6"/>
      <c r="FM184" s="6"/>
      <c r="FN184" s="6"/>
      <c r="FO184" s="6"/>
      <c r="FP184" s="6"/>
      <c r="FQ184" s="6"/>
      <c r="FR184" s="6"/>
      <c r="FS184" s="6"/>
      <c r="FT184" s="7"/>
      <c r="FU184" s="7"/>
      <c r="FV184" s="7"/>
      <c r="FW184" s="6"/>
      <c r="FX184" s="6"/>
      <c r="FY184" s="6"/>
      <c r="FZ184" s="6"/>
      <c r="GA184" s="6"/>
      <c r="GB184" s="6"/>
      <c r="GC184" s="7"/>
      <c r="GD184" s="7"/>
      <c r="GE184" s="7"/>
      <c r="GF184" s="7"/>
      <c r="GG184" s="7"/>
      <c r="GH184" s="42"/>
      <c r="GI184" s="6"/>
      <c r="GJ184" s="14"/>
      <c r="GK184" s="14"/>
      <c r="GL184" s="14"/>
      <c r="GM184" s="14"/>
      <c r="GO184" s="5"/>
      <c r="GP184" s="5"/>
      <c r="GQ184" s="5"/>
      <c r="GR184" s="5"/>
      <c r="GS184" s="5"/>
      <c r="GT184" s="5"/>
      <c r="GU184" s="5"/>
      <c r="GV184" s="39"/>
      <c r="GW184" s="5"/>
      <c r="GX184" s="5"/>
      <c r="GY184" s="5"/>
      <c r="GZ184" s="5"/>
      <c r="HA184" s="5"/>
      <c r="HB184" s="39"/>
      <c r="HC184" s="5"/>
      <c r="HD184" s="5"/>
      <c r="HE184" s="5"/>
      <c r="HF184" s="5"/>
      <c r="HG184" s="5"/>
      <c r="HH184" s="39"/>
      <c r="HI184" s="16"/>
      <c r="HJ184" s="19"/>
      <c r="HK184" s="1"/>
      <c r="HL184" s="16"/>
      <c r="HM184" s="1"/>
      <c r="HN184" s="1"/>
      <c r="HO184" s="1"/>
      <c r="HP184" s="1"/>
      <c r="HQ184" s="1"/>
      <c r="HR184" s="1"/>
      <c r="HS184" s="1"/>
      <c r="HT184" s="1"/>
      <c r="HU184" s="1"/>
      <c r="HV184" s="1"/>
      <c r="HW184" s="1"/>
      <c r="HX184" s="1"/>
      <c r="HY184" s="1"/>
      <c r="HZ184" s="1"/>
      <c r="IA184" s="1"/>
      <c r="IB184" s="1"/>
      <c r="IC184" s="1"/>
      <c r="ID184" s="1"/>
      <c r="IE184" s="1"/>
      <c r="IF184" s="1"/>
      <c r="IG184" s="1"/>
      <c r="IH184" s="21"/>
      <c r="II184" s="19"/>
      <c r="IJ184" s="19"/>
      <c r="IK184" s="19"/>
      <c r="IL184" s="19"/>
      <c r="IM184" s="19"/>
      <c r="IN184" s="19"/>
      <c r="IO184" s="39"/>
      <c r="IP184" s="39"/>
      <c r="IQ184" s="39"/>
      <c r="IR184" s="39"/>
      <c r="IS184" s="39"/>
      <c r="IT184" s="39"/>
      <c r="IU184" s="39"/>
      <c r="IV184" s="39"/>
      <c r="IW184" s="39"/>
      <c r="IX184" s="39"/>
      <c r="IY184" s="39"/>
      <c r="IZ184" s="39"/>
      <c r="JA184" s="19"/>
      <c r="JB184" s="19"/>
      <c r="JC184" s="19"/>
      <c r="JD184" s="19"/>
      <c r="JE184" s="21"/>
      <c r="JF184" s="1"/>
      <c r="JG184" s="15"/>
      <c r="JH184" s="1"/>
      <c r="JI184" s="1"/>
      <c r="JJ184" s="1"/>
      <c r="JK184" s="1"/>
      <c r="JL184" s="15"/>
      <c r="JM184" s="15"/>
      <c r="JN184" s="21"/>
      <c r="JO184" s="19"/>
      <c r="JP184" s="19"/>
      <c r="JQ184" s="39"/>
      <c r="JR184" s="39"/>
      <c r="JS184" s="39"/>
      <c r="JT184" s="39"/>
      <c r="JU184" s="385"/>
      <c r="JV184" s="39"/>
      <c r="JW184" s="1"/>
      <c r="JX184" s="19"/>
      <c r="JZ184" s="341"/>
      <c r="KA184" s="342"/>
      <c r="KB184" s="469"/>
      <c r="KI184" s="473"/>
      <c r="KJ184" s="473"/>
      <c r="KK184" s="473"/>
    </row>
    <row r="185" spans="1:307" s="26" customFormat="1" ht="15" outlineLevel="1">
      <c r="A185" s="561">
        <f t="shared" si="391"/>
        <v>1085</v>
      </c>
      <c r="B185" s="561">
        <f t="shared" si="513"/>
        <v>85</v>
      </c>
      <c r="C185" s="561">
        <f t="shared" si="105"/>
        <v>1</v>
      </c>
      <c r="D185" s="561" t="str">
        <f t="shared" si="294"/>
        <v xml:space="preserve">500 CC, 1.9/2.9/3.9/3.9, </v>
      </c>
      <c r="E185" s="475">
        <f>INDEX(Input!$1:$1048576,E$93,$C185*2+MIN($B185,2)+5)
+INDEX(Scenarios!E$121:E$200,MATCH($B185,Scenarios!$B$121:$B$200,0))</f>
        <v>1729</v>
      </c>
      <c r="F185" s="475">
        <f>INDEX(Input!$1:$1048576,F$93,$C185*2+MIN($B185,2)+5)
+INDEX(Scenarios!F$121:F$200,MATCH($B185,Scenarios!$B$121:$B$200,0))</f>
        <v>0</v>
      </c>
      <c r="G185" s="475">
        <f>INDEX(Input!$1:$1048576,G$93,$C185*2+MIN($B185,2)+5)
+INDEX(Scenarios!G$121:G$200,MATCH($B185,Scenarios!$B$121:$B$200,0))</f>
        <v>0</v>
      </c>
      <c r="H185" s="475">
        <f>INDEX(Input!$1:$1048576,H$93,$C185*2+MIN($B185,2)+5)
+INDEX(Scenarios!H$121:H$200,MATCH($B185,Scenarios!$B$121:$B$200,0))</f>
        <v>0</v>
      </c>
      <c r="I185" s="476">
        <f>INDEX(Input!$1:$1048576,I$93,$C185*2+MIN($B185,2)+5)</f>
        <v>0.7</v>
      </c>
      <c r="J185" s="476" t="str">
        <f>INDEX(Input!$1:$1048576,J$93,$C185*2+MIN($B185,2)+5)</f>
        <v>Market</v>
      </c>
      <c r="K185" s="476" t="str">
        <f>INDEX(Input!$1:$1048576,K$93,$C185*2+MIN($B185,2)+5)</f>
        <v>Market</v>
      </c>
      <c r="L185" s="476" t="str">
        <f>INDEX(Input!$1:$1048576,L$93,$C185*2+MIN($B185,2)+5)</f>
        <v>Market</v>
      </c>
      <c r="M185" s="476" t="str">
        <f>INDEX(Input!$1:$1048576,M$93,$C185*2+MIN($B185,2)+5)</f>
        <v>Market</v>
      </c>
      <c r="N185" s="476" t="str">
        <f>INDEX(Input!$1:$1048576,N$93,$C185*2+MIN($B185,2)+5)</f>
        <v>Market</v>
      </c>
      <c r="O185" s="476" t="str">
        <f>INDEX(Input!$1:$1048576,O$93,$C185*2+MIN($B185,2)+5)</f>
        <v>Market</v>
      </c>
      <c r="P185" s="476" t="str">
        <f>INDEX(Input!$1:$1048576,P$93,$C185*2+MIN($B185,2)+5)</f>
        <v>N</v>
      </c>
      <c r="Q185" s="477">
        <f>INDEX(Input!$1:$1048576,Q$93,$C185*2+MIN($B185,2)+5)
+INDEX(Scenarios!Q$121:Q$200,MATCH($B185,Scenarios!$B$121:$B$200,0))</f>
        <v>0</v>
      </c>
      <c r="R185" s="478">
        <f>IFERROR(MAX(0,INDEX(Input!$1:$1048576,R$93,$C185*2+MIN($B185,2)+5)
+INDEX(Scenarios!R$121:R$200,MATCH($B185,Scenarios!$B$121:$B$200,0)),),"Market")</f>
        <v>1.9E-2</v>
      </c>
      <c r="S185" s="478">
        <f>IFERROR(MAX(0,INDEX(Input!$1:$1048576,S$93,$C185*2+MIN($B185,2)+5)
+INDEX(Scenarios!S$121:S$200,MATCH($B185,Scenarios!$B$121:$B$200,0)),),"Market")</f>
        <v>1.9E-2</v>
      </c>
      <c r="T185" s="478">
        <f>IFERROR(MAX(0,INDEX(Input!$1:$1048576,T$93,$C185*2+MIN($B185,2)+5)
+INDEX(Scenarios!T$121:T$200,MATCH($B185,Scenarios!$B$121:$B$200,0)),),"Market")</f>
        <v>1.9E-2</v>
      </c>
      <c r="U185" s="478">
        <f>IFERROR(MAX(0,INDEX(Input!$1:$1048576,U$93,$C185*2+MIN($B185,2)+5)
+INDEX(Scenarios!U$121:U$200,MATCH($B185,Scenarios!$B$121:$B$200,0)),),"Market")</f>
        <v>1.9E-2</v>
      </c>
      <c r="V185" s="478">
        <f>IFERROR(MAX(0,INDEX(Input!$1:$1048576,V$93,$C185*2+MIN($B185,2)+5)
+INDEX(Scenarios!V$121:V$200,MATCH($B185,Scenarios!$B$121:$B$200,0)),),"Market")</f>
        <v>3.9E-2</v>
      </c>
      <c r="W185" s="885">
        <f>IFERROR(MAX(0,INDEX(Input!$1:$1048576,W$93,$C185*2+MIN($B185,2)+5)-0%,),"Market")</f>
        <v>3.9E-2</v>
      </c>
      <c r="X185" s="476" t="str">
        <f>INDEX(Input!$1:$1048576,X$93,$C185*2+MIN($B185,2)+5)</f>
        <v>Y</v>
      </c>
      <c r="Y185" s="475">
        <f>INDEX(Input!$1:$1048576,Y$93,$C185*2+MIN($B185,2)+5)
++INDEX(Scenarios!Y$121:Y$200,MATCH($B185,Scenarios!$B$121:$B$200,0))</f>
        <v>1942</v>
      </c>
      <c r="Z185" s="477">
        <f>INDEX(Input!$1:$1048576,Z$93,$C185*2+MIN($B185,2)+5)
+INDEX(Scenarios!Z$121:Z$200,MATCH($B185,Scenarios!$B$121:$B$200,0))</f>
        <v>0</v>
      </c>
      <c r="AA185" s="475">
        <f>INDEX(Input!$1:$1048576,AA$93,$C185*2+MIN($B185,2)+5)
+INDEX(Scenarios!AA$121:AA$200,MATCH($B185,Scenarios!$B$121:$B$200,0))</f>
        <v>0</v>
      </c>
      <c r="AB185" s="476">
        <f>INDEX(Input!$1:$1048576,AB$93,$C185*2+MIN($B185,2)+5)</f>
        <v>0.27</v>
      </c>
      <c r="AC185" s="475">
        <f>INDEX(Input!$1:$1048576,AC$93,$C185*2+MIN($B185,2)+5)
+INDEX(Scenarios!AC$121:AC$200,MATCH($B185,Scenarios!$B$121:$B$200,0))</f>
        <v>0</v>
      </c>
      <c r="AD185" s="476">
        <f>INDEX(Input!$1:$1048576,AD$93,$C185*2+MIN($B185,2)+5)</f>
        <v>0.27</v>
      </c>
      <c r="AE185" s="475">
        <f>INDEX(Input!$1:$1048576,AE$93,$C185*2+MIN($B185,2)+5)
+INDEX(Scenarios!AE$121:AE$200,MATCH($B185,Scenarios!$B$121:$B$200,0))</f>
        <v>0</v>
      </c>
      <c r="AF185" s="476">
        <f>INDEX(Input!$1:$1048576,AF$93,$C185*2+MIN($B185,2)+5)</f>
        <v>0.38</v>
      </c>
      <c r="AG185" s="475">
        <f>INDEX(Input!$1:$1048576,AG$93,$C185*2+MIN($B185,2)+5)
+INDEX(Scenarios!AG$121:AG$200,MATCH($B185,Scenarios!$B$121:$B$200,0))</f>
        <v>0</v>
      </c>
      <c r="AH185" s="476">
        <f>INDEX(Input!$1:$1048576,AH$93,$C185*2+MIN($B185,2)+5)</f>
        <v>0</v>
      </c>
      <c r="AI185" s="475">
        <f>INDEX(Input!$1:$1048576,AI$93,$C185*2+MIN($B185,2)+5)
+INDEX(Scenarios!AI$121:AI$200,MATCH($B185,Scenarios!$B$121:$B$200,0))</f>
        <v>0</v>
      </c>
      <c r="AJ185" s="476">
        <f>INDEX(Input!$1:$1048576,AJ$93,$C185*2+MIN($B185,2)+5)</f>
        <v>0.27</v>
      </c>
      <c r="AK185" s="150">
        <f>ROUND(INDEX(Input!$1:$1048576,AK$93,$C184*2+MIN($B185,1)+5)+(Y185-VLOOKUP($C185*1000+1,$A:$HH,Y$92,FALSE)),0)</f>
        <v>3757</v>
      </c>
      <c r="AL185" s="150">
        <f>ROUND(INDEX(Input!$1:$1048576,AL$93,$C184*2+MIN($B185,1)+5)-(Y185-VLOOKUP($C185*1000+1,$A:$HH,Y$92,FALSE))/36,0)</f>
        <v>4113</v>
      </c>
      <c r="AM185" s="32" t="str">
        <f t="shared" si="392"/>
        <v>std/std/std/std</v>
      </c>
      <c r="AN185" s="32" t="str">
        <f t="shared" si="393"/>
        <v>$0 + 1.9/1.9/1.9/3.9/3.9</v>
      </c>
      <c r="AO185" s="32" t="str">
        <f t="shared" si="394"/>
        <v>1.9/1.9/1.9/3.9/3.9</v>
      </c>
      <c r="AP185" s="32" t="str">
        <f t="shared" si="498"/>
        <v>1.9/2.9/3.9/3.9</v>
      </c>
      <c r="AQ185" s="536">
        <f t="shared" si="497"/>
        <v>0</v>
      </c>
      <c r="AR185" s="32"/>
      <c r="AS185" s="302"/>
      <c r="AT185" s="3">
        <f t="shared" si="106"/>
        <v>85</v>
      </c>
      <c r="AU185" s="41" t="s">
        <v>121</v>
      </c>
      <c r="AV185" s="41" t="s">
        <v>116</v>
      </c>
      <c r="AW185" s="41" t="str">
        <f>INDEX(Input!$1:$1048576,AW$93,$C185*2+6)</f>
        <v>Kia</v>
      </c>
      <c r="AX185" s="41" t="str">
        <f>INDEX(Input!$1:$1048576,AX$93,$C185*2+6)</f>
        <v>Kia-LR - L1</v>
      </c>
      <c r="AY185" s="41" t="str">
        <f>IF(LEN(D185)=0,"",INDEX(Input!$1:$1048576,AY$93,$C185*2+6))</f>
        <v>Compact SUV (52)</v>
      </c>
      <c r="AZ185" s="41" t="str">
        <f>INDEX(Input!$1:$1048576,AZ$93,$C185*2+6)</f>
        <v>Kia Soul</v>
      </c>
      <c r="BA185" s="3">
        <f>INDEX(Input!$1:$1048576,BA$93,$C185*2+6)</f>
        <v>2020</v>
      </c>
      <c r="BB185" s="128">
        <f>INDEX(Input!$1:$1048576,BB$93,$C185*2+6)</f>
        <v>1</v>
      </c>
      <c r="BC185" s="128">
        <f>INDEX(Input!$1:$1048576,BC$93,$C185*2+6)</f>
        <v>0.7</v>
      </c>
      <c r="BD185" s="1">
        <f>INDEX(Input!$1:$1048576,BD$93,$C185*2+6)</f>
        <v>4.4999999999999998E-2</v>
      </c>
      <c r="BE185" s="1">
        <f>INDEX(Input!$1:$1048576,BE$93,$C185*2+6)</f>
        <v>4.4999999999999998E-2</v>
      </c>
      <c r="BF185" s="1">
        <f>INDEX(Input!$1:$1048576,BF$93,$C185*2+6)</f>
        <v>0.05</v>
      </c>
      <c r="BG185" s="1">
        <f>INDEX(Input!$1:$1048576,BG$93,$C185*2+6)</f>
        <v>5.45E-2</v>
      </c>
      <c r="BH185" s="1">
        <f>INDEX(Input!$1:$1048576,BH$93,$C185*2+6)</f>
        <v>5.45E-2</v>
      </c>
      <c r="BI185" s="1">
        <f>INDEX(Input!$1:$1048576,BI$93,$C185*2+6)</f>
        <v>0.05</v>
      </c>
      <c r="BJ185" s="1">
        <f>INDEX(Input!$1:$1048576,BJ$93,$C185*2+6)</f>
        <v>0.05</v>
      </c>
      <c r="BK185" s="1">
        <f>INDEX(Input!$1:$1048576,BK$93,$C185*2+6)</f>
        <v>0.05</v>
      </c>
      <c r="BL185" s="1">
        <f>INDEX(Input!$1:$1048576,BL$93,$C185*2+6)</f>
        <v>5.5E-2</v>
      </c>
      <c r="BM185" s="1">
        <f>INDEX(Input!$1:$1048576,BM$93,$C185*2+6)</f>
        <v>0.06</v>
      </c>
      <c r="BN185" s="1">
        <f>INDEX(Input!$1:$1048576,BN$93,$C185*2+6)</f>
        <v>4.4999999999999998E-2</v>
      </c>
      <c r="BO185" s="1">
        <f>INDEX(Input!$1:$1048576,BO$93,$C185*2+6)</f>
        <v>4.4999999999999998E-2</v>
      </c>
      <c r="BP185" s="1">
        <f>INDEX(Input!$1:$1048576,BP$93,$C185*2+6)</f>
        <v>0.05</v>
      </c>
      <c r="BQ185" s="1">
        <f>INDEX(Input!$1:$1048576,BQ$93,$C185*2+6)</f>
        <v>5.45E-2</v>
      </c>
      <c r="BR185" s="1">
        <f>INDEX(Input!$1:$1048576,BR$93,$C185*2+6)</f>
        <v>5.45E-2</v>
      </c>
      <c r="BS185" s="1">
        <f>INDEX(Input!$1:$1048576,BS$93,$C185*2+6)</f>
        <v>0.05</v>
      </c>
      <c r="BT185" s="1">
        <f>INDEX(Input!$1:$1048576,BT$93,$C185*2+6)</f>
        <v>0.05</v>
      </c>
      <c r="BU185" s="1">
        <f>INDEX(Input!$1:$1048576,BU$93,$C185*2+6)</f>
        <v>0.05</v>
      </c>
      <c r="BV185" s="1">
        <f>INDEX(Input!$1:$1048576,BV$93,$C185*2+6)</f>
        <v>5.5E-2</v>
      </c>
      <c r="BW185" s="1">
        <f>INDEX(Input!$1:$1048576,BW$93,$C185*2+6)</f>
        <v>0.06</v>
      </c>
      <c r="BX185" s="127">
        <f>INDEX(Input!$1:$1048576,BX$93,$C185*2+6)</f>
        <v>19985</v>
      </c>
      <c r="BY185" s="20">
        <f>INDEX(Input!$1:$1048576,BY$93,$C185*2+6)</f>
        <v>0.1</v>
      </c>
      <c r="BZ185" s="20">
        <f>INDEX(Input!$1:$1048576,BZ$93,$C185*2+6)</f>
        <v>0.1</v>
      </c>
      <c r="CA185" s="20">
        <f>INDEX(Input!$1:$1048576,CA$93,$C185*2+6)</f>
        <v>0.1</v>
      </c>
      <c r="CB185" s="20">
        <f>INDEX(Input!$1:$1048576,CB$93,$C185*2+6)</f>
        <v>0.1</v>
      </c>
      <c r="CC185" s="20">
        <f>INDEX(Input!$1:$1048576,CC$93,$C185*2+6)</f>
        <v>0.1</v>
      </c>
      <c r="CD185" s="384">
        <f>INDEX(Input!$1:$1048576,CD$93,$C185*2+6)</f>
        <v>0.1</v>
      </c>
      <c r="CE185" s="384">
        <f>INDEX(Input!$1:$1048576,CE$93,$C185*2+6)</f>
        <v>0.1</v>
      </c>
      <c r="CF185" s="384">
        <f>INDEX(Input!$1:$1048576,CF$93,$C185*2+6)</f>
        <v>0.1</v>
      </c>
      <c r="CG185" s="384">
        <f>INDEX(Input!$1:$1048576,CG$93,$C185*2+6)</f>
        <v>0.1</v>
      </c>
      <c r="CH185" s="384">
        <f>INDEX(Input!$1:$1048576,CH$93,$C185*2+6)</f>
        <v>0.1</v>
      </c>
      <c r="CI185" s="304">
        <f t="shared" si="499"/>
        <v>1729</v>
      </c>
      <c r="CJ185" s="16" t="str">
        <f>INDEX(Input!$1:$1048576,CJ$93,$C185*2+6)</f>
        <v>N</v>
      </c>
      <c r="CK185" s="1" t="str">
        <f t="shared" si="500"/>
        <v>Market</v>
      </c>
      <c r="CL185" s="1" t="str">
        <f t="shared" si="501"/>
        <v>Market</v>
      </c>
      <c r="CM185" s="1" t="str">
        <f t="shared" si="502"/>
        <v>Market</v>
      </c>
      <c r="CN185" s="1" t="str">
        <f t="shared" si="503"/>
        <v>Market</v>
      </c>
      <c r="CO185" s="1" t="str">
        <f t="shared" si="504"/>
        <v>Market</v>
      </c>
      <c r="CP185" s="304">
        <f t="shared" si="505"/>
        <v>0</v>
      </c>
      <c r="CQ185" s="1">
        <f t="shared" si="506"/>
        <v>1.9E-2</v>
      </c>
      <c r="CR185" s="1">
        <f t="shared" si="507"/>
        <v>1.9E-2</v>
      </c>
      <c r="CS185" s="1">
        <f t="shared" si="508"/>
        <v>1.9E-2</v>
      </c>
      <c r="CT185" s="1">
        <f t="shared" si="509"/>
        <v>3.9E-2</v>
      </c>
      <c r="CU185" s="1">
        <f t="shared" si="510"/>
        <v>3.9E-2</v>
      </c>
      <c r="CV185" s="304">
        <f t="shared" si="511"/>
        <v>1942</v>
      </c>
      <c r="CW185" s="20" t="s">
        <v>122</v>
      </c>
      <c r="CX185" s="20" t="s">
        <v>122</v>
      </c>
      <c r="CY185" s="20" t="s">
        <v>122</v>
      </c>
      <c r="CZ185" s="20" t="s">
        <v>122</v>
      </c>
      <c r="DA185" s="20" t="s">
        <v>122</v>
      </c>
      <c r="DB185" s="503">
        <f t="shared" si="512"/>
        <v>0</v>
      </c>
      <c r="DC185" s="127">
        <v>0</v>
      </c>
      <c r="DD185" s="127">
        <v>0</v>
      </c>
      <c r="DE185" s="127">
        <v>0</v>
      </c>
      <c r="DF185" s="127">
        <v>0</v>
      </c>
      <c r="DG185" s="127">
        <v>0</v>
      </c>
      <c r="DH185" s="127">
        <v>0</v>
      </c>
      <c r="DI185" s="127">
        <v>0</v>
      </c>
      <c r="DJ185" s="127">
        <v>0</v>
      </c>
      <c r="DK185" s="127">
        <v>0</v>
      </c>
      <c r="DL185" s="127">
        <v>0</v>
      </c>
      <c r="DM185" s="304">
        <f>INDEX(Input!$1:$1048576,DM$93,$C185*2+6)</f>
        <v>21036.84210526316</v>
      </c>
      <c r="DN185" s="20">
        <v>0</v>
      </c>
      <c r="DO185" s="20">
        <v>0</v>
      </c>
      <c r="DP185" s="20">
        <v>0</v>
      </c>
      <c r="DQ185" s="20">
        <v>0</v>
      </c>
      <c r="DR185" s="20">
        <v>0</v>
      </c>
      <c r="DS185" s="20">
        <f>INDEX(Input!$1:$1048576,DS$93,$C185*2+6)</f>
        <v>0.6</v>
      </c>
      <c r="DT185" s="20">
        <f>INDEX(Input!$1:$1048576,DT$93,$C185*2+6)</f>
        <v>0.55000000000000004</v>
      </c>
      <c r="DU185" s="20">
        <f>INDEX(Input!$1:$1048576,DU$93,$C185*2+6)</f>
        <v>0.52</v>
      </c>
      <c r="DV185" s="20">
        <f>INDEX(Input!$1:$1048576,DV$93,$C185*2+6)</f>
        <v>0.5</v>
      </c>
      <c r="DW185" s="20">
        <f>INDEX(Input!$1:$1048576,DW$93,$C185*2+6)</f>
        <v>0.45</v>
      </c>
      <c r="DX185" s="20"/>
      <c r="DY185" s="7"/>
      <c r="DZ185" s="7"/>
      <c r="EA185" s="7"/>
      <c r="EB185" s="7"/>
      <c r="EC185" s="7"/>
      <c r="ED185" s="7"/>
      <c r="EE185" s="7"/>
      <c r="EF185" s="7"/>
      <c r="EG185" s="7"/>
      <c r="EH185" s="7"/>
      <c r="EI185" s="7"/>
      <c r="EJ185" s="7"/>
      <c r="EK185" s="7"/>
      <c r="EL185" s="7"/>
      <c r="EM185" s="7"/>
      <c r="EN185" s="7"/>
      <c r="EO185" s="7"/>
      <c r="EP185" s="7"/>
      <c r="EQ185" s="7"/>
      <c r="ER185" s="7"/>
      <c r="ES185" s="7"/>
      <c r="ET185" s="7"/>
      <c r="EU185" s="6"/>
      <c r="EV185" s="6"/>
      <c r="EW185" s="6"/>
      <c r="EX185" s="6"/>
      <c r="EY185" s="6"/>
      <c r="EZ185" s="6"/>
      <c r="FA185" s="6"/>
      <c r="FB185" s="6"/>
      <c r="FC185" s="6"/>
      <c r="FD185" s="6"/>
      <c r="FE185" s="6"/>
      <c r="FF185" s="6"/>
      <c r="FG185" s="6"/>
      <c r="FH185" s="6"/>
      <c r="FI185" s="6"/>
      <c r="FJ185" s="6"/>
      <c r="FK185" s="6"/>
      <c r="FL185" s="6"/>
      <c r="FM185" s="6"/>
      <c r="FN185" s="6"/>
      <c r="FO185" s="6"/>
      <c r="FP185" s="6"/>
      <c r="FQ185" s="6"/>
      <c r="FR185" s="6"/>
      <c r="FS185" s="6"/>
      <c r="FT185" s="7"/>
      <c r="FU185" s="7"/>
      <c r="FV185" s="7"/>
      <c r="FW185" s="6"/>
      <c r="FX185" s="6"/>
      <c r="FY185" s="6"/>
      <c r="FZ185" s="6"/>
      <c r="GA185" s="6"/>
      <c r="GB185" s="6"/>
      <c r="GC185" s="7"/>
      <c r="GD185" s="7"/>
      <c r="GE185" s="7"/>
      <c r="GF185" s="7"/>
      <c r="GG185" s="7"/>
      <c r="GH185" s="42"/>
      <c r="GI185" s="6"/>
      <c r="GJ185" s="14"/>
      <c r="GK185" s="14"/>
      <c r="GL185" s="14"/>
      <c r="GM185" s="14"/>
      <c r="GO185" s="5"/>
      <c r="GP185" s="5"/>
      <c r="GQ185" s="5"/>
      <c r="GR185" s="5"/>
      <c r="GS185" s="5"/>
      <c r="GT185" s="5"/>
      <c r="GU185" s="5"/>
      <c r="GV185" s="39"/>
      <c r="GW185" s="5"/>
      <c r="GX185" s="5"/>
      <c r="GY185" s="5"/>
      <c r="GZ185" s="5"/>
      <c r="HA185" s="5"/>
      <c r="HB185" s="39"/>
      <c r="HC185" s="5"/>
      <c r="HD185" s="5"/>
      <c r="HE185" s="5"/>
      <c r="HF185" s="5"/>
      <c r="HG185" s="5"/>
      <c r="HH185" s="39"/>
      <c r="HI185" s="16"/>
      <c r="HJ185" s="19"/>
      <c r="HK185" s="1"/>
      <c r="HL185" s="16"/>
      <c r="HM185" s="1"/>
      <c r="HN185" s="1"/>
      <c r="HO185" s="1"/>
      <c r="HP185" s="1"/>
      <c r="HQ185" s="1"/>
      <c r="HR185" s="1"/>
      <c r="HS185" s="1"/>
      <c r="HT185" s="1"/>
      <c r="HU185" s="1"/>
      <c r="HV185" s="1"/>
      <c r="HW185" s="1"/>
      <c r="HX185" s="1"/>
      <c r="HY185" s="1"/>
      <c r="HZ185" s="1"/>
      <c r="IA185" s="1"/>
      <c r="IB185" s="1"/>
      <c r="IC185" s="1"/>
      <c r="ID185" s="1"/>
      <c r="IE185" s="1"/>
      <c r="IF185" s="1"/>
      <c r="IG185" s="1"/>
      <c r="IH185" s="21"/>
      <c r="II185" s="19"/>
      <c r="IJ185" s="19"/>
      <c r="IK185" s="19"/>
      <c r="IL185" s="19"/>
      <c r="IM185" s="19"/>
      <c r="IN185" s="19"/>
      <c r="IO185" s="39"/>
      <c r="IP185" s="39"/>
      <c r="IQ185" s="39"/>
      <c r="IR185" s="39"/>
      <c r="IS185" s="39"/>
      <c r="IT185" s="39"/>
      <c r="IU185" s="39"/>
      <c r="IV185" s="39"/>
      <c r="IW185" s="39"/>
      <c r="IX185" s="39"/>
      <c r="IY185" s="39"/>
      <c r="IZ185" s="39"/>
      <c r="JA185" s="19"/>
      <c r="JB185" s="19"/>
      <c r="JC185" s="19"/>
      <c r="JD185" s="19"/>
      <c r="JE185" s="21"/>
      <c r="JF185" s="1"/>
      <c r="JG185" s="15"/>
      <c r="JH185" s="1"/>
      <c r="JI185" s="1"/>
      <c r="JJ185" s="1"/>
      <c r="JK185" s="1"/>
      <c r="JL185" s="15"/>
      <c r="JM185" s="15"/>
      <c r="JN185" s="21"/>
      <c r="JO185" s="19"/>
      <c r="JP185" s="19"/>
      <c r="JQ185" s="39"/>
      <c r="JR185" s="39"/>
      <c r="JS185" s="39"/>
      <c r="JT185" s="39"/>
      <c r="JU185" s="385"/>
      <c r="JV185" s="39"/>
      <c r="JW185" s="1"/>
      <c r="JX185" s="19"/>
      <c r="JZ185" s="341"/>
      <c r="KA185" s="342"/>
      <c r="KB185" s="469"/>
      <c r="KI185" s="473"/>
      <c r="KJ185" s="473"/>
      <c r="KK185" s="473"/>
    </row>
    <row r="186" spans="1:307" s="26" customFormat="1" ht="15" outlineLevel="1">
      <c r="A186" s="561">
        <f t="shared" si="391"/>
        <v>1086</v>
      </c>
      <c r="B186" s="561">
        <f t="shared" si="513"/>
        <v>86</v>
      </c>
      <c r="C186" s="561">
        <f t="shared" si="105"/>
        <v>1</v>
      </c>
      <c r="D186" s="561" t="str">
        <f t="shared" ref="D186:D200" si="625">IF(E186=INDEX(E:E,MATCH(C186*1000+2,A:A,0)),"",E186-INDEX(E:E,MATCH(C186*1000+2,A:A,0))&amp;E$100&amp;", ")
&amp;IF(F186=INDEX(F:F,MATCH(C186*1000+2,A:A,0)),"",F186-INDEX(F:F,MATCH(C186*1000+2,A:A,0))&amp;F$100&amp;", ")
&amp;IF(AM186=INDEX(AM:AM,MATCH(C186*1000+2,A:A,0)),"",AM186&amp;AM$100&amp;", ")
&amp;IF(AP186=INDEX(AP:AP,MATCH(C186*1000+2,A:A,0)),"",AP186&amp;AP$100&amp;", ")
&amp;IF(Q186=INDEX(Q:Q,MATCH(C186*1000+2,A:A,0)),"",Q186-INDEX(Q:Q,MATCH(C186*1000+2,A:A,0))&amp;Q$100&amp;", ")
&amp;IF(Y186=INDEX(Y:Y,MATCH(C186*1000+2,A:A,0)),"",Y186-INDEX(Y:Y,MATCH(C186*1000+2,A:A,0))&amp;Y$100&amp;", ")
&amp;IF(Z186=INDEX(Z:Z,MATCH(C186*1000+2,A:A,0)),"",Z186-INDEX(Z:Z,MATCH(C186*1000+2,A:A,0))&amp;Z$100&amp;", ")
&amp;IF(AA186=INDEX(AA:AA,MATCH(C186*1000+2,A:A,0)),"",AA186-INDEX(AA:AA,MATCH(C186*1000+2,A:A,0))&amp;AA$100&amp;", ")
&amp;IF(AC186=INDEX(AC:AC,MATCH(C186*1000+2,A:A,0)),"",AC186-INDEX(AC:AC,MATCH(C186*1000+2,A:A,0))&amp;AC$100&amp;", ")
&amp;IF(AE186=INDEX(AE:AE,MATCH(C186*1000+2,A:A,0)),"",AE186-INDEX(AE:AE,MATCH(C186*1000+2,A:A,0))&amp;AE$100&amp;", ")
&amp;IF(AG186=INDEX(AG:AG,MATCH(C186*1000+2,A:A,0)),"",AG186-INDEX(AG:AG,MATCH(C186*1000+2,A:A,0))&amp;AG$100&amp;", ")
&amp;IF(AI186=INDEX(AI:AI,MATCH(C186*1000+2,A:A,0)),"",AI186-INDEX(AI:AI,MATCH(C186*1000+2,A:A,0))&amp;AI$100&amp;", ")</f>
        <v xml:space="preserve">-250 CC, 0/0/0.9/3.9, </v>
      </c>
      <c r="E186" s="475">
        <f>INDEX(Input!$1:$1048576,E$93,$C186*2+MIN($B186,2)+5)
+INDEX(Scenarios!E$121:E$200,MATCH($B186,Scenarios!$B$121:$B$200,0))</f>
        <v>979</v>
      </c>
      <c r="F186" s="475">
        <f>INDEX(Input!$1:$1048576,F$93,$C186*2+MIN($B186,2)+5)
+INDEX(Scenarios!F$121:F$200,MATCH($B186,Scenarios!$B$121:$B$200,0))</f>
        <v>0</v>
      </c>
      <c r="G186" s="475">
        <f>INDEX(Input!$1:$1048576,G$93,$C186*2+MIN($B186,2)+5)
+INDEX(Scenarios!G$121:G$200,MATCH($B186,Scenarios!$B$121:$B$200,0))</f>
        <v>0</v>
      </c>
      <c r="H186" s="475">
        <f>INDEX(Input!$1:$1048576,H$93,$C186*2+MIN($B186,2)+5)
+INDEX(Scenarios!H$121:H$200,MATCH($B186,Scenarios!$B$121:$B$200,0))</f>
        <v>0</v>
      </c>
      <c r="I186" s="476">
        <f>INDEX(Input!$1:$1048576,I$93,$C186*2+MIN($B186,2)+5)</f>
        <v>0.7</v>
      </c>
      <c r="J186" s="476" t="str">
        <f>INDEX(Input!$1:$1048576,J$93,$C186*2+MIN($B186,2)+5)</f>
        <v>Market</v>
      </c>
      <c r="K186" s="476" t="str">
        <f>INDEX(Input!$1:$1048576,K$93,$C186*2+MIN($B186,2)+5)</f>
        <v>Market</v>
      </c>
      <c r="L186" s="476" t="str">
        <f>INDEX(Input!$1:$1048576,L$93,$C186*2+MIN($B186,2)+5)</f>
        <v>Market</v>
      </c>
      <c r="M186" s="476" t="str">
        <f>INDEX(Input!$1:$1048576,M$93,$C186*2+MIN($B186,2)+5)</f>
        <v>Market</v>
      </c>
      <c r="N186" s="476" t="str">
        <f>INDEX(Input!$1:$1048576,N$93,$C186*2+MIN($B186,2)+5)</f>
        <v>Market</v>
      </c>
      <c r="O186" s="476" t="str">
        <f>INDEX(Input!$1:$1048576,O$93,$C186*2+MIN($B186,2)+5)</f>
        <v>Market</v>
      </c>
      <c r="P186" s="476" t="str">
        <f>INDEX(Input!$1:$1048576,P$93,$C186*2+MIN($B186,2)+5)</f>
        <v>N</v>
      </c>
      <c r="Q186" s="477">
        <f>INDEX(Input!$1:$1048576,Q$93,$C186*2+MIN($B186,2)+5)
+INDEX(Scenarios!Q$121:Q$200,MATCH($B186,Scenarios!$B$121:$B$200,0))</f>
        <v>0</v>
      </c>
      <c r="R186" s="478">
        <f>IFERROR(MAX(0,INDEX(Input!$1:$1048576,R$93,$C186*2+MIN($B186,2)+5)
+INDEX(Scenarios!R$121:R$200,MATCH($B186,Scenarios!$B$121:$B$200,0)),),"Market")</f>
        <v>0</v>
      </c>
      <c r="S186" s="478">
        <f>IFERROR(MAX(0,INDEX(Input!$1:$1048576,S$93,$C186*2+MIN($B186,2)+5)
+INDEX(Scenarios!S$121:S$200,MATCH($B186,Scenarios!$B$121:$B$200,0)),),"Market")</f>
        <v>0</v>
      </c>
      <c r="T186" s="478">
        <f>IFERROR(MAX(0,INDEX(Input!$1:$1048576,T$93,$C186*2+MIN($B186,2)+5)
+INDEX(Scenarios!T$121:T$200,MATCH($B186,Scenarios!$B$121:$B$200,0)),),"Market")</f>
        <v>0</v>
      </c>
      <c r="U186" s="478">
        <f>IFERROR(MAX(0,INDEX(Input!$1:$1048576,U$93,$C186*2+MIN($B186,2)+5)
+INDEX(Scenarios!U$121:U$200,MATCH($B186,Scenarios!$B$121:$B$200,0)),),"Market")</f>
        <v>0</v>
      </c>
      <c r="V186" s="478">
        <f>IFERROR(MAX(0,INDEX(Input!$1:$1048576,V$93,$C186*2+MIN($B186,2)+5)
+INDEX(Scenarios!V$121:V$200,MATCH($B186,Scenarios!$B$121:$B$200,0)),),"Market")</f>
        <v>8.9999999999999993E-3</v>
      </c>
      <c r="W186" s="885">
        <f>IFERROR(MAX(0,INDEX(Input!$1:$1048576,W$93,$C186*2+MIN($B186,2)+5)-0%,),"Market")</f>
        <v>3.9E-2</v>
      </c>
      <c r="X186" s="476" t="str">
        <f>INDEX(Input!$1:$1048576,X$93,$C186*2+MIN($B186,2)+5)</f>
        <v>Y</v>
      </c>
      <c r="Y186" s="475">
        <f>INDEX(Input!$1:$1048576,Y$93,$C186*2+MIN($B186,2)+5)
++INDEX(Scenarios!Y$121:Y$200,MATCH($B186,Scenarios!$B$121:$B$200,0))</f>
        <v>1942</v>
      </c>
      <c r="Z186" s="477">
        <f>INDEX(Input!$1:$1048576,Z$93,$C186*2+MIN($B186,2)+5)
+INDEX(Scenarios!Z$121:Z$200,MATCH($B186,Scenarios!$B$121:$B$200,0))</f>
        <v>0</v>
      </c>
      <c r="AA186" s="475">
        <f>INDEX(Input!$1:$1048576,AA$93,$C186*2+MIN($B186,2)+5)
+INDEX(Scenarios!AA$121:AA$200,MATCH($B186,Scenarios!$B$121:$B$200,0))</f>
        <v>0</v>
      </c>
      <c r="AB186" s="476">
        <f>INDEX(Input!$1:$1048576,AB$93,$C186*2+MIN($B186,2)+5)</f>
        <v>0.27</v>
      </c>
      <c r="AC186" s="475">
        <f>INDEX(Input!$1:$1048576,AC$93,$C186*2+MIN($B186,2)+5)
+INDEX(Scenarios!AC$121:AC$200,MATCH($B186,Scenarios!$B$121:$B$200,0))</f>
        <v>0</v>
      </c>
      <c r="AD186" s="476">
        <f>INDEX(Input!$1:$1048576,AD$93,$C186*2+MIN($B186,2)+5)</f>
        <v>0.27</v>
      </c>
      <c r="AE186" s="475">
        <f>INDEX(Input!$1:$1048576,AE$93,$C186*2+MIN($B186,2)+5)
+INDEX(Scenarios!AE$121:AE$200,MATCH($B186,Scenarios!$B$121:$B$200,0))</f>
        <v>0</v>
      </c>
      <c r="AF186" s="476">
        <f>INDEX(Input!$1:$1048576,AF$93,$C186*2+MIN($B186,2)+5)</f>
        <v>0.38</v>
      </c>
      <c r="AG186" s="475">
        <f>INDEX(Input!$1:$1048576,AG$93,$C186*2+MIN($B186,2)+5)
+INDEX(Scenarios!AG$121:AG$200,MATCH($B186,Scenarios!$B$121:$B$200,0))</f>
        <v>0</v>
      </c>
      <c r="AH186" s="476">
        <f>INDEX(Input!$1:$1048576,AH$93,$C186*2+MIN($B186,2)+5)</f>
        <v>0</v>
      </c>
      <c r="AI186" s="475">
        <f>INDEX(Input!$1:$1048576,AI$93,$C186*2+MIN($B186,2)+5)
+INDEX(Scenarios!AI$121:AI$200,MATCH($B186,Scenarios!$B$121:$B$200,0))</f>
        <v>0</v>
      </c>
      <c r="AJ186" s="476">
        <f>INDEX(Input!$1:$1048576,AJ$93,$C186*2+MIN($B186,2)+5)</f>
        <v>0.27</v>
      </c>
      <c r="AK186" s="150">
        <f>ROUND(INDEX(Input!$1:$1048576,AK$93,$C185*2+MIN($B186,1)+5)+(Y186-VLOOKUP($C186*1000+1,$A:$HH,Y$92,FALSE)),0)</f>
        <v>3757</v>
      </c>
      <c r="AL186" s="150">
        <f>ROUND(INDEX(Input!$1:$1048576,AL$93,$C185*2+MIN($B186,1)+5)-(Y186-VLOOKUP($C186*1000+1,$A:$HH,Y$92,FALSE))/36,0)</f>
        <v>4113</v>
      </c>
      <c r="AM186" s="32" t="str">
        <f t="shared" si="392"/>
        <v>std/std/std/std</v>
      </c>
      <c r="AN186" s="32" t="str">
        <f t="shared" si="393"/>
        <v>$0 + 0/0/0/0.9/3.9</v>
      </c>
      <c r="AO186" s="32" t="str">
        <f t="shared" si="394"/>
        <v>0/0/0/0.9/3.9</v>
      </c>
      <c r="AP186" s="32" t="str">
        <f t="shared" si="498"/>
        <v>0/0/0.9/3.9</v>
      </c>
      <c r="AQ186" s="536">
        <f t="shared" si="497"/>
        <v>0</v>
      </c>
      <c r="AR186" s="32"/>
      <c r="AS186" s="302"/>
      <c r="AT186" s="3">
        <f t="shared" si="106"/>
        <v>86</v>
      </c>
      <c r="AU186" s="41" t="s">
        <v>121</v>
      </c>
      <c r="AV186" s="41" t="s">
        <v>116</v>
      </c>
      <c r="AW186" s="41" t="str">
        <f>INDEX(Input!$1:$1048576,AW$93,$C186*2+6)</f>
        <v>Kia</v>
      </c>
      <c r="AX186" s="41" t="str">
        <f>INDEX(Input!$1:$1048576,AX$93,$C186*2+6)</f>
        <v>Kia-LR - L1</v>
      </c>
      <c r="AY186" s="41" t="str">
        <f>IF(LEN(D186)=0,"",INDEX(Input!$1:$1048576,AY$93,$C186*2+6))</f>
        <v>Compact SUV (52)</v>
      </c>
      <c r="AZ186" s="41" t="str">
        <f>INDEX(Input!$1:$1048576,AZ$93,$C186*2+6)</f>
        <v>Kia Soul</v>
      </c>
      <c r="BA186" s="3">
        <f>INDEX(Input!$1:$1048576,BA$93,$C186*2+6)</f>
        <v>2020</v>
      </c>
      <c r="BB186" s="128">
        <f>INDEX(Input!$1:$1048576,BB$93,$C186*2+6)</f>
        <v>1</v>
      </c>
      <c r="BC186" s="128">
        <f>INDEX(Input!$1:$1048576,BC$93,$C186*2+6)</f>
        <v>0.7</v>
      </c>
      <c r="BD186" s="1">
        <f>INDEX(Input!$1:$1048576,BD$93,$C186*2+6)</f>
        <v>4.4999999999999998E-2</v>
      </c>
      <c r="BE186" s="1">
        <f>INDEX(Input!$1:$1048576,BE$93,$C186*2+6)</f>
        <v>4.4999999999999998E-2</v>
      </c>
      <c r="BF186" s="1">
        <f>INDEX(Input!$1:$1048576,BF$93,$C186*2+6)</f>
        <v>0.05</v>
      </c>
      <c r="BG186" s="1">
        <f>INDEX(Input!$1:$1048576,BG$93,$C186*2+6)</f>
        <v>5.45E-2</v>
      </c>
      <c r="BH186" s="1">
        <f>INDEX(Input!$1:$1048576,BH$93,$C186*2+6)</f>
        <v>5.45E-2</v>
      </c>
      <c r="BI186" s="1">
        <f>INDEX(Input!$1:$1048576,BI$93,$C186*2+6)</f>
        <v>0.05</v>
      </c>
      <c r="BJ186" s="1">
        <f>INDEX(Input!$1:$1048576,BJ$93,$C186*2+6)</f>
        <v>0.05</v>
      </c>
      <c r="BK186" s="1">
        <f>INDEX(Input!$1:$1048576,BK$93,$C186*2+6)</f>
        <v>0.05</v>
      </c>
      <c r="BL186" s="1">
        <f>INDEX(Input!$1:$1048576,BL$93,$C186*2+6)</f>
        <v>5.5E-2</v>
      </c>
      <c r="BM186" s="1">
        <f>INDEX(Input!$1:$1048576,BM$93,$C186*2+6)</f>
        <v>0.06</v>
      </c>
      <c r="BN186" s="1">
        <f>INDEX(Input!$1:$1048576,BN$93,$C186*2+6)</f>
        <v>4.4999999999999998E-2</v>
      </c>
      <c r="BO186" s="1">
        <f>INDEX(Input!$1:$1048576,BO$93,$C186*2+6)</f>
        <v>4.4999999999999998E-2</v>
      </c>
      <c r="BP186" s="1">
        <f>INDEX(Input!$1:$1048576,BP$93,$C186*2+6)</f>
        <v>0.05</v>
      </c>
      <c r="BQ186" s="1">
        <f>INDEX(Input!$1:$1048576,BQ$93,$C186*2+6)</f>
        <v>5.45E-2</v>
      </c>
      <c r="BR186" s="1">
        <f>INDEX(Input!$1:$1048576,BR$93,$C186*2+6)</f>
        <v>5.45E-2</v>
      </c>
      <c r="BS186" s="1">
        <f>INDEX(Input!$1:$1048576,BS$93,$C186*2+6)</f>
        <v>0.05</v>
      </c>
      <c r="BT186" s="1">
        <f>INDEX(Input!$1:$1048576,BT$93,$C186*2+6)</f>
        <v>0.05</v>
      </c>
      <c r="BU186" s="1">
        <f>INDEX(Input!$1:$1048576,BU$93,$C186*2+6)</f>
        <v>0.05</v>
      </c>
      <c r="BV186" s="1">
        <f>INDEX(Input!$1:$1048576,BV$93,$C186*2+6)</f>
        <v>5.5E-2</v>
      </c>
      <c r="BW186" s="1">
        <f>INDEX(Input!$1:$1048576,BW$93,$C186*2+6)</f>
        <v>0.06</v>
      </c>
      <c r="BX186" s="127">
        <f>INDEX(Input!$1:$1048576,BX$93,$C186*2+6)</f>
        <v>19985</v>
      </c>
      <c r="BY186" s="20">
        <f>INDEX(Input!$1:$1048576,BY$93,$C186*2+6)</f>
        <v>0.1</v>
      </c>
      <c r="BZ186" s="20">
        <f>INDEX(Input!$1:$1048576,BZ$93,$C186*2+6)</f>
        <v>0.1</v>
      </c>
      <c r="CA186" s="20">
        <f>INDEX(Input!$1:$1048576,CA$93,$C186*2+6)</f>
        <v>0.1</v>
      </c>
      <c r="CB186" s="20">
        <f>INDEX(Input!$1:$1048576,CB$93,$C186*2+6)</f>
        <v>0.1</v>
      </c>
      <c r="CC186" s="20">
        <f>INDEX(Input!$1:$1048576,CC$93,$C186*2+6)</f>
        <v>0.1</v>
      </c>
      <c r="CD186" s="384">
        <f>INDEX(Input!$1:$1048576,CD$93,$C186*2+6)</f>
        <v>0.1</v>
      </c>
      <c r="CE186" s="384">
        <f>INDEX(Input!$1:$1048576,CE$93,$C186*2+6)</f>
        <v>0.1</v>
      </c>
      <c r="CF186" s="384">
        <f>INDEX(Input!$1:$1048576,CF$93,$C186*2+6)</f>
        <v>0.1</v>
      </c>
      <c r="CG186" s="384">
        <f>INDEX(Input!$1:$1048576,CG$93,$C186*2+6)</f>
        <v>0.1</v>
      </c>
      <c r="CH186" s="384">
        <f>INDEX(Input!$1:$1048576,CH$93,$C186*2+6)</f>
        <v>0.1</v>
      </c>
      <c r="CI186" s="304">
        <f t="shared" si="499"/>
        <v>979</v>
      </c>
      <c r="CJ186" s="16" t="str">
        <f>INDEX(Input!$1:$1048576,CJ$93,$C186*2+6)</f>
        <v>N</v>
      </c>
      <c r="CK186" s="1" t="str">
        <f t="shared" si="500"/>
        <v>Market</v>
      </c>
      <c r="CL186" s="1" t="str">
        <f t="shared" si="501"/>
        <v>Market</v>
      </c>
      <c r="CM186" s="1" t="str">
        <f t="shared" si="502"/>
        <v>Market</v>
      </c>
      <c r="CN186" s="1" t="str">
        <f t="shared" si="503"/>
        <v>Market</v>
      </c>
      <c r="CO186" s="1" t="str">
        <f t="shared" si="504"/>
        <v>Market</v>
      </c>
      <c r="CP186" s="304">
        <f t="shared" si="505"/>
        <v>0</v>
      </c>
      <c r="CQ186" s="1">
        <f t="shared" si="506"/>
        <v>0</v>
      </c>
      <c r="CR186" s="1">
        <f t="shared" si="507"/>
        <v>0</v>
      </c>
      <c r="CS186" s="1">
        <f t="shared" si="508"/>
        <v>0</v>
      </c>
      <c r="CT186" s="1">
        <f t="shared" si="509"/>
        <v>8.9999999999999993E-3</v>
      </c>
      <c r="CU186" s="1">
        <f t="shared" si="510"/>
        <v>3.9E-2</v>
      </c>
      <c r="CV186" s="304">
        <f t="shared" si="511"/>
        <v>1942</v>
      </c>
      <c r="CW186" s="20" t="s">
        <v>122</v>
      </c>
      <c r="CX186" s="20" t="s">
        <v>122</v>
      </c>
      <c r="CY186" s="20" t="s">
        <v>122</v>
      </c>
      <c r="CZ186" s="20" t="s">
        <v>122</v>
      </c>
      <c r="DA186" s="20" t="s">
        <v>122</v>
      </c>
      <c r="DB186" s="503">
        <f t="shared" si="512"/>
        <v>0</v>
      </c>
      <c r="DC186" s="127">
        <v>0</v>
      </c>
      <c r="DD186" s="127">
        <v>0</v>
      </c>
      <c r="DE186" s="127">
        <v>0</v>
      </c>
      <c r="DF186" s="127">
        <v>0</v>
      </c>
      <c r="DG186" s="127">
        <v>0</v>
      </c>
      <c r="DH186" s="127">
        <v>0</v>
      </c>
      <c r="DI186" s="127">
        <v>0</v>
      </c>
      <c r="DJ186" s="127">
        <v>0</v>
      </c>
      <c r="DK186" s="127">
        <v>0</v>
      </c>
      <c r="DL186" s="127">
        <v>0</v>
      </c>
      <c r="DM186" s="304">
        <f>INDEX(Input!$1:$1048576,DM$93,$C186*2+6)</f>
        <v>21036.84210526316</v>
      </c>
      <c r="DN186" s="20">
        <v>0</v>
      </c>
      <c r="DO186" s="20">
        <v>0</v>
      </c>
      <c r="DP186" s="20">
        <v>0</v>
      </c>
      <c r="DQ186" s="20">
        <v>0</v>
      </c>
      <c r="DR186" s="20">
        <v>0</v>
      </c>
      <c r="DS186" s="20">
        <f>INDEX(Input!$1:$1048576,DS$93,$C186*2+6)</f>
        <v>0.6</v>
      </c>
      <c r="DT186" s="20">
        <f>INDEX(Input!$1:$1048576,DT$93,$C186*2+6)</f>
        <v>0.55000000000000004</v>
      </c>
      <c r="DU186" s="20">
        <f>INDEX(Input!$1:$1048576,DU$93,$C186*2+6)</f>
        <v>0.52</v>
      </c>
      <c r="DV186" s="20">
        <f>INDEX(Input!$1:$1048576,DV$93,$C186*2+6)</f>
        <v>0.5</v>
      </c>
      <c r="DW186" s="20">
        <f>INDEX(Input!$1:$1048576,DW$93,$C186*2+6)</f>
        <v>0.45</v>
      </c>
      <c r="DX186" s="20"/>
      <c r="DY186" s="7"/>
      <c r="DZ186" s="7"/>
      <c r="EA186" s="7"/>
      <c r="EB186" s="7"/>
      <c r="EC186" s="7"/>
      <c r="ED186" s="7"/>
      <c r="EE186" s="7"/>
      <c r="EF186" s="7"/>
      <c r="EG186" s="7"/>
      <c r="EH186" s="7"/>
      <c r="EI186" s="7"/>
      <c r="EJ186" s="7"/>
      <c r="EK186" s="7"/>
      <c r="EL186" s="7"/>
      <c r="EM186" s="7"/>
      <c r="EN186" s="7"/>
      <c r="EO186" s="7"/>
      <c r="EP186" s="7"/>
      <c r="EQ186" s="7"/>
      <c r="ER186" s="7"/>
      <c r="ES186" s="7"/>
      <c r="ET186" s="7"/>
      <c r="EU186" s="6"/>
      <c r="EV186" s="6"/>
      <c r="EW186" s="6"/>
      <c r="EX186" s="6"/>
      <c r="EY186" s="6"/>
      <c r="EZ186" s="6"/>
      <c r="FA186" s="6"/>
      <c r="FB186" s="6"/>
      <c r="FC186" s="6"/>
      <c r="FD186" s="6"/>
      <c r="FE186" s="6"/>
      <c r="FF186" s="6"/>
      <c r="FG186" s="6"/>
      <c r="FH186" s="6"/>
      <c r="FI186" s="6"/>
      <c r="FJ186" s="6"/>
      <c r="FK186" s="6"/>
      <c r="FL186" s="6"/>
      <c r="FM186" s="6"/>
      <c r="FN186" s="6"/>
      <c r="FO186" s="6"/>
      <c r="FP186" s="6"/>
      <c r="FQ186" s="6"/>
      <c r="FR186" s="6"/>
      <c r="FS186" s="6"/>
      <c r="FT186" s="7"/>
      <c r="FU186" s="7"/>
      <c r="FV186" s="7"/>
      <c r="FW186" s="6"/>
      <c r="FX186" s="6"/>
      <c r="FY186" s="6"/>
      <c r="FZ186" s="6"/>
      <c r="GA186" s="6"/>
      <c r="GB186" s="6"/>
      <c r="GC186" s="7"/>
      <c r="GD186" s="7"/>
      <c r="GE186" s="7"/>
      <c r="GF186" s="7"/>
      <c r="GG186" s="7"/>
      <c r="GH186" s="42"/>
      <c r="GI186" s="6"/>
      <c r="GJ186" s="14"/>
      <c r="GK186" s="14"/>
      <c r="GL186" s="14"/>
      <c r="GM186" s="14"/>
      <c r="GO186" s="5"/>
      <c r="GP186" s="5"/>
      <c r="GQ186" s="5"/>
      <c r="GR186" s="5"/>
      <c r="GS186" s="5"/>
      <c r="GT186" s="5"/>
      <c r="GU186" s="5"/>
      <c r="GV186" s="39"/>
      <c r="GW186" s="5"/>
      <c r="GX186" s="5"/>
      <c r="GY186" s="5"/>
      <c r="GZ186" s="5"/>
      <c r="HA186" s="5"/>
      <c r="HB186" s="39"/>
      <c r="HC186" s="5"/>
      <c r="HD186" s="5"/>
      <c r="HE186" s="5"/>
      <c r="HF186" s="5"/>
      <c r="HG186" s="5"/>
      <c r="HH186" s="39"/>
      <c r="HI186" s="16"/>
      <c r="HJ186" s="19"/>
      <c r="HK186" s="1"/>
      <c r="HL186" s="16"/>
      <c r="HM186" s="1"/>
      <c r="HN186" s="1"/>
      <c r="HO186" s="1"/>
      <c r="HP186" s="1"/>
      <c r="HQ186" s="1"/>
      <c r="HR186" s="1"/>
      <c r="HS186" s="1"/>
      <c r="HT186" s="1"/>
      <c r="HU186" s="1"/>
      <c r="HV186" s="1"/>
      <c r="HW186" s="1"/>
      <c r="HX186" s="1"/>
      <c r="HY186" s="1"/>
      <c r="HZ186" s="1"/>
      <c r="IA186" s="1"/>
      <c r="IB186" s="1"/>
      <c r="IC186" s="1"/>
      <c r="ID186" s="1"/>
      <c r="IE186" s="1"/>
      <c r="IF186" s="1"/>
      <c r="IG186" s="1"/>
      <c r="IH186" s="21"/>
      <c r="II186" s="19"/>
      <c r="IJ186" s="19"/>
      <c r="IK186" s="19"/>
      <c r="IL186" s="19"/>
      <c r="IM186" s="19"/>
      <c r="IN186" s="19"/>
      <c r="IO186" s="39"/>
      <c r="IP186" s="39"/>
      <c r="IQ186" s="39"/>
      <c r="IR186" s="39"/>
      <c r="IS186" s="39"/>
      <c r="IT186" s="39"/>
      <c r="IU186" s="39"/>
      <c r="IV186" s="39"/>
      <c r="IW186" s="39"/>
      <c r="IX186" s="39"/>
      <c r="IY186" s="39"/>
      <c r="IZ186" s="39"/>
      <c r="JA186" s="19"/>
      <c r="JB186" s="19"/>
      <c r="JC186" s="19"/>
      <c r="JD186" s="19"/>
      <c r="JE186" s="21"/>
      <c r="JF186" s="1"/>
      <c r="JG186" s="15"/>
      <c r="JH186" s="1"/>
      <c r="JI186" s="1"/>
      <c r="JJ186" s="1"/>
      <c r="JK186" s="1"/>
      <c r="JL186" s="15"/>
      <c r="JM186" s="15"/>
      <c r="JN186" s="21"/>
      <c r="JO186" s="19"/>
      <c r="JP186" s="19"/>
      <c r="JQ186" s="39"/>
      <c r="JR186" s="39"/>
      <c r="JS186" s="39"/>
      <c r="JT186" s="39"/>
      <c r="JU186" s="385"/>
      <c r="JV186" s="39"/>
      <c r="JW186" s="1"/>
      <c r="JX186" s="19"/>
      <c r="JZ186" s="341"/>
      <c r="KA186" s="342"/>
      <c r="KB186" s="469"/>
      <c r="KI186" s="473"/>
      <c r="KJ186" s="473"/>
      <c r="KK186" s="473"/>
    </row>
    <row r="187" spans="1:307" s="26" customFormat="1" ht="15" outlineLevel="1">
      <c r="A187" s="561">
        <f t="shared" si="391"/>
        <v>1087</v>
      </c>
      <c r="B187" s="561">
        <f t="shared" si="513"/>
        <v>87</v>
      </c>
      <c r="C187" s="561">
        <f t="shared" si="105"/>
        <v>1</v>
      </c>
      <c r="D187" s="561" t="str">
        <f t="shared" si="625"/>
        <v xml:space="preserve">-500 CC, 0/0/0.9/3.9, </v>
      </c>
      <c r="E187" s="475">
        <f>INDEX(Input!$1:$1048576,E$93,$C187*2+MIN($B187,2)+5)
+INDEX(Scenarios!E$121:E$200,MATCH($B187,Scenarios!$B$121:$B$200,0))</f>
        <v>729</v>
      </c>
      <c r="F187" s="475">
        <f>INDEX(Input!$1:$1048576,F$93,$C187*2+MIN($B187,2)+5)
+INDEX(Scenarios!F$121:F$200,MATCH($B187,Scenarios!$B$121:$B$200,0))</f>
        <v>0</v>
      </c>
      <c r="G187" s="475">
        <f>INDEX(Input!$1:$1048576,G$93,$C187*2+MIN($B187,2)+5)
+INDEX(Scenarios!G$121:G$200,MATCH($B187,Scenarios!$B$121:$B$200,0))</f>
        <v>0</v>
      </c>
      <c r="H187" s="475">
        <f>INDEX(Input!$1:$1048576,H$93,$C187*2+MIN($B187,2)+5)
+INDEX(Scenarios!H$121:H$200,MATCH($B187,Scenarios!$B$121:$B$200,0))</f>
        <v>0</v>
      </c>
      <c r="I187" s="476">
        <f>INDEX(Input!$1:$1048576,I$93,$C187*2+MIN($B187,2)+5)</f>
        <v>0.7</v>
      </c>
      <c r="J187" s="476" t="str">
        <f>INDEX(Input!$1:$1048576,J$93,$C187*2+MIN($B187,2)+5)</f>
        <v>Market</v>
      </c>
      <c r="K187" s="476" t="str">
        <f>INDEX(Input!$1:$1048576,K$93,$C187*2+MIN($B187,2)+5)</f>
        <v>Market</v>
      </c>
      <c r="L187" s="476" t="str">
        <f>INDEX(Input!$1:$1048576,L$93,$C187*2+MIN($B187,2)+5)</f>
        <v>Market</v>
      </c>
      <c r="M187" s="476" t="str">
        <f>INDEX(Input!$1:$1048576,M$93,$C187*2+MIN($B187,2)+5)</f>
        <v>Market</v>
      </c>
      <c r="N187" s="476" t="str">
        <f>INDEX(Input!$1:$1048576,N$93,$C187*2+MIN($B187,2)+5)</f>
        <v>Market</v>
      </c>
      <c r="O187" s="476" t="str">
        <f>INDEX(Input!$1:$1048576,O$93,$C187*2+MIN($B187,2)+5)</f>
        <v>Market</v>
      </c>
      <c r="P187" s="476" t="str">
        <f>INDEX(Input!$1:$1048576,P$93,$C187*2+MIN($B187,2)+5)</f>
        <v>N</v>
      </c>
      <c r="Q187" s="477">
        <f>INDEX(Input!$1:$1048576,Q$93,$C187*2+MIN($B187,2)+5)
+INDEX(Scenarios!Q$121:Q$200,MATCH($B187,Scenarios!$B$121:$B$200,0))</f>
        <v>0</v>
      </c>
      <c r="R187" s="478">
        <f>IFERROR(MAX(0,INDEX(Input!$1:$1048576,R$93,$C187*2+MIN($B187,2)+5)
+INDEX(Scenarios!R$121:R$200,MATCH($B187,Scenarios!$B$121:$B$200,0)),),"Market")</f>
        <v>0</v>
      </c>
      <c r="S187" s="478">
        <f>IFERROR(MAX(0,INDEX(Input!$1:$1048576,S$93,$C187*2+MIN($B187,2)+5)
+INDEX(Scenarios!S$121:S$200,MATCH($B187,Scenarios!$B$121:$B$200,0)),),"Market")</f>
        <v>0</v>
      </c>
      <c r="T187" s="478">
        <f>IFERROR(MAX(0,INDEX(Input!$1:$1048576,T$93,$C187*2+MIN($B187,2)+5)
+INDEX(Scenarios!T$121:T$200,MATCH($B187,Scenarios!$B$121:$B$200,0)),),"Market")</f>
        <v>0</v>
      </c>
      <c r="U187" s="478">
        <f>IFERROR(MAX(0,INDEX(Input!$1:$1048576,U$93,$C187*2+MIN($B187,2)+5)
+INDEX(Scenarios!U$121:U$200,MATCH($B187,Scenarios!$B$121:$B$200,0)),),"Market")</f>
        <v>0</v>
      </c>
      <c r="V187" s="478">
        <f>IFERROR(MAX(0,INDEX(Input!$1:$1048576,V$93,$C187*2+MIN($B187,2)+5)
+INDEX(Scenarios!V$121:V$200,MATCH($B187,Scenarios!$B$121:$B$200,0)),),"Market")</f>
        <v>8.9999999999999993E-3</v>
      </c>
      <c r="W187" s="885">
        <f>IFERROR(MAX(0,INDEX(Input!$1:$1048576,W$93,$C187*2+MIN($B187,2)+5)-0%,),"Market")</f>
        <v>3.9E-2</v>
      </c>
      <c r="X187" s="476" t="str">
        <f>INDEX(Input!$1:$1048576,X$93,$C187*2+MIN($B187,2)+5)</f>
        <v>Y</v>
      </c>
      <c r="Y187" s="475">
        <f>INDEX(Input!$1:$1048576,Y$93,$C187*2+MIN($B187,2)+5)
++INDEX(Scenarios!Y$121:Y$200,MATCH($B187,Scenarios!$B$121:$B$200,0))</f>
        <v>1942</v>
      </c>
      <c r="Z187" s="477">
        <f>INDEX(Input!$1:$1048576,Z$93,$C187*2+MIN($B187,2)+5)
+INDEX(Scenarios!Z$121:Z$200,MATCH($B187,Scenarios!$B$121:$B$200,0))</f>
        <v>0</v>
      </c>
      <c r="AA187" s="475">
        <f>INDEX(Input!$1:$1048576,AA$93,$C187*2+MIN($B187,2)+5)
+INDEX(Scenarios!AA$121:AA$200,MATCH($B187,Scenarios!$B$121:$B$200,0))</f>
        <v>0</v>
      </c>
      <c r="AB187" s="476">
        <f>INDEX(Input!$1:$1048576,AB$93,$C187*2+MIN($B187,2)+5)</f>
        <v>0.27</v>
      </c>
      <c r="AC187" s="475">
        <f>INDEX(Input!$1:$1048576,AC$93,$C187*2+MIN($B187,2)+5)
+INDEX(Scenarios!AC$121:AC$200,MATCH($B187,Scenarios!$B$121:$B$200,0))</f>
        <v>0</v>
      </c>
      <c r="AD187" s="476">
        <f>INDEX(Input!$1:$1048576,AD$93,$C187*2+MIN($B187,2)+5)</f>
        <v>0.27</v>
      </c>
      <c r="AE187" s="475">
        <f>INDEX(Input!$1:$1048576,AE$93,$C187*2+MIN($B187,2)+5)
+INDEX(Scenarios!AE$121:AE$200,MATCH($B187,Scenarios!$B$121:$B$200,0))</f>
        <v>0</v>
      </c>
      <c r="AF187" s="476">
        <f>INDEX(Input!$1:$1048576,AF$93,$C187*2+MIN($B187,2)+5)</f>
        <v>0.38</v>
      </c>
      <c r="AG187" s="475">
        <f>INDEX(Input!$1:$1048576,AG$93,$C187*2+MIN($B187,2)+5)
+INDEX(Scenarios!AG$121:AG$200,MATCH($B187,Scenarios!$B$121:$B$200,0))</f>
        <v>0</v>
      </c>
      <c r="AH187" s="476">
        <f>INDEX(Input!$1:$1048576,AH$93,$C187*2+MIN($B187,2)+5)</f>
        <v>0</v>
      </c>
      <c r="AI187" s="475">
        <f>INDEX(Input!$1:$1048576,AI$93,$C187*2+MIN($B187,2)+5)
+INDEX(Scenarios!AI$121:AI$200,MATCH($B187,Scenarios!$B$121:$B$200,0))</f>
        <v>0</v>
      </c>
      <c r="AJ187" s="476">
        <f>INDEX(Input!$1:$1048576,AJ$93,$C187*2+MIN($B187,2)+5)</f>
        <v>0.27</v>
      </c>
      <c r="AK187" s="150">
        <f>ROUND(INDEX(Input!$1:$1048576,AK$93,$C186*2+MIN($B187,1)+5)+(Y187-VLOOKUP($C187*1000+1,$A:$HH,Y$92,FALSE)),0)</f>
        <v>3757</v>
      </c>
      <c r="AL187" s="150">
        <f>ROUND(INDEX(Input!$1:$1048576,AL$93,$C186*2+MIN($B187,1)+5)-(Y187-VLOOKUP($C187*1000+1,$A:$HH,Y$92,FALSE))/36,0)</f>
        <v>4113</v>
      </c>
      <c r="AM187" s="32" t="str">
        <f t="shared" si="392"/>
        <v>std/std/std/std</v>
      </c>
      <c r="AN187" s="32" t="str">
        <f t="shared" si="393"/>
        <v>$0 + 0/0/0/0.9/3.9</v>
      </c>
      <c r="AO187" s="32" t="str">
        <f t="shared" si="394"/>
        <v>0/0/0/0.9/3.9</v>
      </c>
      <c r="AP187" s="32" t="str">
        <f t="shared" si="498"/>
        <v>0/0/0.9/3.9</v>
      </c>
      <c r="AQ187" s="536">
        <f t="shared" si="497"/>
        <v>0</v>
      </c>
      <c r="AR187" s="32"/>
      <c r="AS187" s="302"/>
      <c r="AT187" s="3">
        <f t="shared" si="106"/>
        <v>87</v>
      </c>
      <c r="AU187" s="41" t="s">
        <v>121</v>
      </c>
      <c r="AV187" s="41" t="s">
        <v>116</v>
      </c>
      <c r="AW187" s="41" t="str">
        <f>INDEX(Input!$1:$1048576,AW$93,$C187*2+6)</f>
        <v>Kia</v>
      </c>
      <c r="AX187" s="41" t="str">
        <f>INDEX(Input!$1:$1048576,AX$93,$C187*2+6)</f>
        <v>Kia-LR - L1</v>
      </c>
      <c r="AY187" s="41" t="str">
        <f>IF(LEN(D187)=0,"",INDEX(Input!$1:$1048576,AY$93,$C187*2+6))</f>
        <v>Compact SUV (52)</v>
      </c>
      <c r="AZ187" s="41" t="str">
        <f>INDEX(Input!$1:$1048576,AZ$93,$C187*2+6)</f>
        <v>Kia Soul</v>
      </c>
      <c r="BA187" s="3">
        <f>INDEX(Input!$1:$1048576,BA$93,$C187*2+6)</f>
        <v>2020</v>
      </c>
      <c r="BB187" s="128">
        <f>INDEX(Input!$1:$1048576,BB$93,$C187*2+6)</f>
        <v>1</v>
      </c>
      <c r="BC187" s="128">
        <f>INDEX(Input!$1:$1048576,BC$93,$C187*2+6)</f>
        <v>0.7</v>
      </c>
      <c r="BD187" s="1">
        <f>INDEX(Input!$1:$1048576,BD$93,$C187*2+6)</f>
        <v>4.4999999999999998E-2</v>
      </c>
      <c r="BE187" s="1">
        <f>INDEX(Input!$1:$1048576,BE$93,$C187*2+6)</f>
        <v>4.4999999999999998E-2</v>
      </c>
      <c r="BF187" s="1">
        <f>INDEX(Input!$1:$1048576,BF$93,$C187*2+6)</f>
        <v>0.05</v>
      </c>
      <c r="BG187" s="1">
        <f>INDEX(Input!$1:$1048576,BG$93,$C187*2+6)</f>
        <v>5.45E-2</v>
      </c>
      <c r="BH187" s="1">
        <f>INDEX(Input!$1:$1048576,BH$93,$C187*2+6)</f>
        <v>5.45E-2</v>
      </c>
      <c r="BI187" s="1">
        <f>INDEX(Input!$1:$1048576,BI$93,$C187*2+6)</f>
        <v>0.05</v>
      </c>
      <c r="BJ187" s="1">
        <f>INDEX(Input!$1:$1048576,BJ$93,$C187*2+6)</f>
        <v>0.05</v>
      </c>
      <c r="BK187" s="1">
        <f>INDEX(Input!$1:$1048576,BK$93,$C187*2+6)</f>
        <v>0.05</v>
      </c>
      <c r="BL187" s="1">
        <f>INDEX(Input!$1:$1048576,BL$93,$C187*2+6)</f>
        <v>5.5E-2</v>
      </c>
      <c r="BM187" s="1">
        <f>INDEX(Input!$1:$1048576,BM$93,$C187*2+6)</f>
        <v>0.06</v>
      </c>
      <c r="BN187" s="1">
        <f>INDEX(Input!$1:$1048576,BN$93,$C187*2+6)</f>
        <v>4.4999999999999998E-2</v>
      </c>
      <c r="BO187" s="1">
        <f>INDEX(Input!$1:$1048576,BO$93,$C187*2+6)</f>
        <v>4.4999999999999998E-2</v>
      </c>
      <c r="BP187" s="1">
        <f>INDEX(Input!$1:$1048576,BP$93,$C187*2+6)</f>
        <v>0.05</v>
      </c>
      <c r="BQ187" s="1">
        <f>INDEX(Input!$1:$1048576,BQ$93,$C187*2+6)</f>
        <v>5.45E-2</v>
      </c>
      <c r="BR187" s="1">
        <f>INDEX(Input!$1:$1048576,BR$93,$C187*2+6)</f>
        <v>5.45E-2</v>
      </c>
      <c r="BS187" s="1">
        <f>INDEX(Input!$1:$1048576,BS$93,$C187*2+6)</f>
        <v>0.05</v>
      </c>
      <c r="BT187" s="1">
        <f>INDEX(Input!$1:$1048576,BT$93,$C187*2+6)</f>
        <v>0.05</v>
      </c>
      <c r="BU187" s="1">
        <f>INDEX(Input!$1:$1048576,BU$93,$C187*2+6)</f>
        <v>0.05</v>
      </c>
      <c r="BV187" s="1">
        <f>INDEX(Input!$1:$1048576,BV$93,$C187*2+6)</f>
        <v>5.5E-2</v>
      </c>
      <c r="BW187" s="1">
        <f>INDEX(Input!$1:$1048576,BW$93,$C187*2+6)</f>
        <v>0.06</v>
      </c>
      <c r="BX187" s="127">
        <f>INDEX(Input!$1:$1048576,BX$93,$C187*2+6)</f>
        <v>19985</v>
      </c>
      <c r="BY187" s="20">
        <f>INDEX(Input!$1:$1048576,BY$93,$C187*2+6)</f>
        <v>0.1</v>
      </c>
      <c r="BZ187" s="20">
        <f>INDEX(Input!$1:$1048576,BZ$93,$C187*2+6)</f>
        <v>0.1</v>
      </c>
      <c r="CA187" s="20">
        <f>INDEX(Input!$1:$1048576,CA$93,$C187*2+6)</f>
        <v>0.1</v>
      </c>
      <c r="CB187" s="20">
        <f>INDEX(Input!$1:$1048576,CB$93,$C187*2+6)</f>
        <v>0.1</v>
      </c>
      <c r="CC187" s="20">
        <f>INDEX(Input!$1:$1048576,CC$93,$C187*2+6)</f>
        <v>0.1</v>
      </c>
      <c r="CD187" s="384">
        <f>INDEX(Input!$1:$1048576,CD$93,$C187*2+6)</f>
        <v>0.1</v>
      </c>
      <c r="CE187" s="384">
        <f>INDEX(Input!$1:$1048576,CE$93,$C187*2+6)</f>
        <v>0.1</v>
      </c>
      <c r="CF187" s="384">
        <f>INDEX(Input!$1:$1048576,CF$93,$C187*2+6)</f>
        <v>0.1</v>
      </c>
      <c r="CG187" s="384">
        <f>INDEX(Input!$1:$1048576,CG$93,$C187*2+6)</f>
        <v>0.1</v>
      </c>
      <c r="CH187" s="384">
        <f>INDEX(Input!$1:$1048576,CH$93,$C187*2+6)</f>
        <v>0.1</v>
      </c>
      <c r="CI187" s="304">
        <f t="shared" si="499"/>
        <v>729</v>
      </c>
      <c r="CJ187" s="16" t="str">
        <f>INDEX(Input!$1:$1048576,CJ$93,$C187*2+6)</f>
        <v>N</v>
      </c>
      <c r="CK187" s="1" t="str">
        <f t="shared" si="500"/>
        <v>Market</v>
      </c>
      <c r="CL187" s="1" t="str">
        <f t="shared" si="501"/>
        <v>Market</v>
      </c>
      <c r="CM187" s="1" t="str">
        <f t="shared" si="502"/>
        <v>Market</v>
      </c>
      <c r="CN187" s="1" t="str">
        <f t="shared" si="503"/>
        <v>Market</v>
      </c>
      <c r="CO187" s="1" t="str">
        <f t="shared" si="504"/>
        <v>Market</v>
      </c>
      <c r="CP187" s="304">
        <f t="shared" si="505"/>
        <v>0</v>
      </c>
      <c r="CQ187" s="1">
        <f t="shared" si="506"/>
        <v>0</v>
      </c>
      <c r="CR187" s="1">
        <f t="shared" si="507"/>
        <v>0</v>
      </c>
      <c r="CS187" s="1">
        <f t="shared" si="508"/>
        <v>0</v>
      </c>
      <c r="CT187" s="1">
        <f t="shared" si="509"/>
        <v>8.9999999999999993E-3</v>
      </c>
      <c r="CU187" s="1">
        <f t="shared" si="510"/>
        <v>3.9E-2</v>
      </c>
      <c r="CV187" s="304">
        <f t="shared" si="511"/>
        <v>1942</v>
      </c>
      <c r="CW187" s="20" t="s">
        <v>122</v>
      </c>
      <c r="CX187" s="20" t="s">
        <v>122</v>
      </c>
      <c r="CY187" s="20" t="s">
        <v>122</v>
      </c>
      <c r="CZ187" s="20" t="s">
        <v>122</v>
      </c>
      <c r="DA187" s="20" t="s">
        <v>122</v>
      </c>
      <c r="DB187" s="503">
        <f t="shared" si="512"/>
        <v>0</v>
      </c>
      <c r="DC187" s="127">
        <v>0</v>
      </c>
      <c r="DD187" s="127">
        <v>0</v>
      </c>
      <c r="DE187" s="127">
        <v>0</v>
      </c>
      <c r="DF187" s="127">
        <v>0</v>
      </c>
      <c r="DG187" s="127">
        <v>0</v>
      </c>
      <c r="DH187" s="127">
        <v>0</v>
      </c>
      <c r="DI187" s="127">
        <v>0</v>
      </c>
      <c r="DJ187" s="127">
        <v>0</v>
      </c>
      <c r="DK187" s="127">
        <v>0</v>
      </c>
      <c r="DL187" s="127">
        <v>0</v>
      </c>
      <c r="DM187" s="304">
        <f>INDEX(Input!$1:$1048576,DM$93,$C187*2+6)</f>
        <v>21036.84210526316</v>
      </c>
      <c r="DN187" s="20">
        <v>0</v>
      </c>
      <c r="DO187" s="20">
        <v>0</v>
      </c>
      <c r="DP187" s="20">
        <v>0</v>
      </c>
      <c r="DQ187" s="20">
        <v>0</v>
      </c>
      <c r="DR187" s="20">
        <v>0</v>
      </c>
      <c r="DS187" s="20">
        <f>INDEX(Input!$1:$1048576,DS$93,$C187*2+6)</f>
        <v>0.6</v>
      </c>
      <c r="DT187" s="20">
        <f>INDEX(Input!$1:$1048576,DT$93,$C187*2+6)</f>
        <v>0.55000000000000004</v>
      </c>
      <c r="DU187" s="20">
        <f>INDEX(Input!$1:$1048576,DU$93,$C187*2+6)</f>
        <v>0.52</v>
      </c>
      <c r="DV187" s="20">
        <f>INDEX(Input!$1:$1048576,DV$93,$C187*2+6)</f>
        <v>0.5</v>
      </c>
      <c r="DW187" s="20">
        <f>INDEX(Input!$1:$1048576,DW$93,$C187*2+6)</f>
        <v>0.45</v>
      </c>
      <c r="DX187" s="20"/>
      <c r="DY187" s="7"/>
      <c r="DZ187" s="7"/>
      <c r="EA187" s="7"/>
      <c r="EB187" s="7"/>
      <c r="EC187" s="7"/>
      <c r="ED187" s="7"/>
      <c r="EE187" s="7"/>
      <c r="EF187" s="7"/>
      <c r="EG187" s="7"/>
      <c r="EH187" s="7"/>
      <c r="EI187" s="7"/>
      <c r="EJ187" s="7"/>
      <c r="EK187" s="7"/>
      <c r="EL187" s="7"/>
      <c r="EM187" s="7"/>
      <c r="EN187" s="7"/>
      <c r="EO187" s="7"/>
      <c r="EP187" s="7"/>
      <c r="EQ187" s="7"/>
      <c r="ER187" s="7"/>
      <c r="ES187" s="7"/>
      <c r="ET187" s="7"/>
      <c r="EU187" s="6"/>
      <c r="EV187" s="6"/>
      <c r="EW187" s="6"/>
      <c r="EX187" s="6"/>
      <c r="EY187" s="6"/>
      <c r="EZ187" s="6"/>
      <c r="FA187" s="6"/>
      <c r="FB187" s="6"/>
      <c r="FC187" s="6"/>
      <c r="FD187" s="6"/>
      <c r="FE187" s="6"/>
      <c r="FF187" s="6"/>
      <c r="FG187" s="6"/>
      <c r="FH187" s="6"/>
      <c r="FI187" s="6"/>
      <c r="FJ187" s="6"/>
      <c r="FK187" s="6"/>
      <c r="FL187" s="6"/>
      <c r="FM187" s="6"/>
      <c r="FN187" s="6"/>
      <c r="FO187" s="6"/>
      <c r="FP187" s="6"/>
      <c r="FQ187" s="6"/>
      <c r="FR187" s="6"/>
      <c r="FS187" s="6"/>
      <c r="FT187" s="7"/>
      <c r="FU187" s="7"/>
      <c r="FV187" s="7"/>
      <c r="FW187" s="6"/>
      <c r="FX187" s="6"/>
      <c r="FY187" s="6"/>
      <c r="FZ187" s="6"/>
      <c r="GA187" s="6"/>
      <c r="GB187" s="6"/>
      <c r="GC187" s="7"/>
      <c r="GD187" s="7"/>
      <c r="GE187" s="7"/>
      <c r="GF187" s="7"/>
      <c r="GG187" s="7"/>
      <c r="GH187" s="42"/>
      <c r="GI187" s="6"/>
      <c r="GJ187" s="14"/>
      <c r="GK187" s="14"/>
      <c r="GL187" s="14"/>
      <c r="GM187" s="14"/>
      <c r="GO187" s="5"/>
      <c r="GP187" s="5"/>
      <c r="GQ187" s="5"/>
      <c r="GR187" s="5"/>
      <c r="GS187" s="5"/>
      <c r="GT187" s="5"/>
      <c r="GU187" s="5"/>
      <c r="GV187" s="39"/>
      <c r="GW187" s="5"/>
      <c r="GX187" s="5"/>
      <c r="GY187" s="5"/>
      <c r="GZ187" s="5"/>
      <c r="HA187" s="5"/>
      <c r="HB187" s="39"/>
      <c r="HC187" s="5"/>
      <c r="HD187" s="5"/>
      <c r="HE187" s="5"/>
      <c r="HF187" s="5"/>
      <c r="HG187" s="5"/>
      <c r="HH187" s="39"/>
      <c r="HI187" s="16"/>
      <c r="HJ187" s="19"/>
      <c r="HK187" s="1"/>
      <c r="HL187" s="16"/>
      <c r="HM187" s="1"/>
      <c r="HN187" s="1"/>
      <c r="HO187" s="1"/>
      <c r="HP187" s="1"/>
      <c r="HQ187" s="1"/>
      <c r="HR187" s="1"/>
      <c r="HS187" s="1"/>
      <c r="HT187" s="1"/>
      <c r="HU187" s="1"/>
      <c r="HV187" s="1"/>
      <c r="HW187" s="1"/>
      <c r="HX187" s="1"/>
      <c r="HY187" s="1"/>
      <c r="HZ187" s="1"/>
      <c r="IA187" s="1"/>
      <c r="IB187" s="1"/>
      <c r="IC187" s="1"/>
      <c r="ID187" s="1"/>
      <c r="IE187" s="1"/>
      <c r="IF187" s="1"/>
      <c r="IG187" s="1"/>
      <c r="IH187" s="21"/>
      <c r="II187" s="19"/>
      <c r="IJ187" s="19"/>
      <c r="IK187" s="19"/>
      <c r="IL187" s="19"/>
      <c r="IM187" s="19"/>
      <c r="IN187" s="19"/>
      <c r="IO187" s="39"/>
      <c r="IP187" s="39"/>
      <c r="IQ187" s="39"/>
      <c r="IR187" s="39"/>
      <c r="IS187" s="39"/>
      <c r="IT187" s="39"/>
      <c r="IU187" s="39"/>
      <c r="IV187" s="39"/>
      <c r="IW187" s="39"/>
      <c r="IX187" s="39"/>
      <c r="IY187" s="39"/>
      <c r="IZ187" s="39"/>
      <c r="JA187" s="19"/>
      <c r="JB187" s="19"/>
      <c r="JC187" s="19"/>
      <c r="JD187" s="19"/>
      <c r="JE187" s="21"/>
      <c r="JF187" s="1"/>
      <c r="JG187" s="15"/>
      <c r="JH187" s="1"/>
      <c r="JI187" s="1"/>
      <c r="JJ187" s="1"/>
      <c r="JK187" s="1"/>
      <c r="JL187" s="15"/>
      <c r="JM187" s="15"/>
      <c r="JN187" s="21"/>
      <c r="JO187" s="19"/>
      <c r="JP187" s="19"/>
      <c r="JQ187" s="39"/>
      <c r="JR187" s="39"/>
      <c r="JS187" s="39"/>
      <c r="JT187" s="39"/>
      <c r="JU187" s="385"/>
      <c r="JV187" s="39"/>
      <c r="JW187" s="1"/>
      <c r="JX187" s="19"/>
      <c r="JZ187" s="341"/>
      <c r="KA187" s="342"/>
      <c r="KB187" s="469"/>
      <c r="KI187" s="473"/>
      <c r="KJ187" s="473"/>
      <c r="KK187" s="473"/>
    </row>
    <row r="188" spans="1:307" s="26" customFormat="1" ht="15" outlineLevel="1">
      <c r="A188" s="561">
        <f t="shared" si="391"/>
        <v>1088</v>
      </c>
      <c r="B188" s="561">
        <f t="shared" si="513"/>
        <v>88</v>
      </c>
      <c r="C188" s="561">
        <f t="shared" si="105"/>
        <v>1</v>
      </c>
      <c r="D188" s="561" t="str">
        <f t="shared" si="625"/>
        <v/>
      </c>
      <c r="E188" s="475">
        <f>INDEX(Input!$1:$1048576,E$93,$C188*2+MIN($B188,2)+5)
+INDEX(Scenarios!E$121:E$200,MATCH($B188,Scenarios!$B$121:$B$200,0))</f>
        <v>1229</v>
      </c>
      <c r="F188" s="475">
        <f>INDEX(Input!$1:$1048576,F$93,$C188*2+MIN($B188,2)+5)
+INDEX(Scenarios!F$121:F$200,MATCH($B188,Scenarios!$B$121:$B$200,0))</f>
        <v>0</v>
      </c>
      <c r="G188" s="475">
        <f>INDEX(Input!$1:$1048576,G$93,$C188*2+MIN($B188,2)+5)
+INDEX(Scenarios!G$121:G$200,MATCH($B188,Scenarios!$B$121:$B$200,0))</f>
        <v>0</v>
      </c>
      <c r="H188" s="475">
        <f>INDEX(Input!$1:$1048576,H$93,$C188*2+MIN($B188,2)+5)
+INDEX(Scenarios!H$121:H$200,MATCH($B188,Scenarios!$B$121:$B$200,0))</f>
        <v>0</v>
      </c>
      <c r="I188" s="476">
        <f>INDEX(Input!$1:$1048576,I$93,$C188*2+MIN($B188,2)+5)</f>
        <v>0.7</v>
      </c>
      <c r="J188" s="476" t="str">
        <f>INDEX(Input!$1:$1048576,J$93,$C188*2+MIN($B188,2)+5)</f>
        <v>Market</v>
      </c>
      <c r="K188" s="476" t="str">
        <f>INDEX(Input!$1:$1048576,K$93,$C188*2+MIN($B188,2)+5)</f>
        <v>Market</v>
      </c>
      <c r="L188" s="476" t="str">
        <f>INDEX(Input!$1:$1048576,L$93,$C188*2+MIN($B188,2)+5)</f>
        <v>Market</v>
      </c>
      <c r="M188" s="476" t="str">
        <f>INDEX(Input!$1:$1048576,M$93,$C188*2+MIN($B188,2)+5)</f>
        <v>Market</v>
      </c>
      <c r="N188" s="476" t="str">
        <f>INDEX(Input!$1:$1048576,N$93,$C188*2+MIN($B188,2)+5)</f>
        <v>Market</v>
      </c>
      <c r="O188" s="476" t="str">
        <f>INDEX(Input!$1:$1048576,O$93,$C188*2+MIN($B188,2)+5)</f>
        <v>Market</v>
      </c>
      <c r="P188" s="476" t="str">
        <f>INDEX(Input!$1:$1048576,P$93,$C188*2+MIN($B188,2)+5)</f>
        <v>N</v>
      </c>
      <c r="Q188" s="477">
        <f>INDEX(Input!$1:$1048576,Q$93,$C188*2+MIN($B188,2)+5)
+INDEX(Scenarios!Q$121:Q$200,MATCH($B188,Scenarios!$B$121:$B$200,0))</f>
        <v>0</v>
      </c>
      <c r="R188" s="478">
        <f>IFERROR(MAX(0,INDEX(Input!$1:$1048576,R$93,$C188*2+MIN($B188,2)+5)
+INDEX(Scenarios!R$121:R$200,MATCH($B188,Scenarios!$B$121:$B$200,0)),),"Market")</f>
        <v>0</v>
      </c>
      <c r="S188" s="478">
        <f>IFERROR(MAX(0,INDEX(Input!$1:$1048576,S$93,$C188*2+MIN($B188,2)+5)
+INDEX(Scenarios!S$121:S$200,MATCH($B188,Scenarios!$B$121:$B$200,0)),),"Market")</f>
        <v>0</v>
      </c>
      <c r="T188" s="478">
        <f>IFERROR(MAX(0,INDEX(Input!$1:$1048576,T$93,$C188*2+MIN($B188,2)+5)
+INDEX(Scenarios!T$121:T$200,MATCH($B188,Scenarios!$B$121:$B$200,0)),),"Market")</f>
        <v>0</v>
      </c>
      <c r="U188" s="478">
        <f>IFERROR(MAX(0,INDEX(Input!$1:$1048576,U$93,$C188*2+MIN($B188,2)+5)
+INDEX(Scenarios!U$121:U$200,MATCH($B188,Scenarios!$B$121:$B$200,0)),),"Market")</f>
        <v>0</v>
      </c>
      <c r="V188" s="478">
        <f>IFERROR(MAX(0,INDEX(Input!$1:$1048576,V$93,$C188*2+MIN($B188,2)+5)
+INDEX(Scenarios!V$121:V$200,MATCH($B188,Scenarios!$B$121:$B$200,0)),),"Market")</f>
        <v>1.9E-2</v>
      </c>
      <c r="W188" s="885">
        <f>IFERROR(MAX(0,INDEX(Input!$1:$1048576,W$93,$C188*2+MIN($B188,2)+5)-0%,),"Market")</f>
        <v>3.9E-2</v>
      </c>
      <c r="X188" s="476" t="str">
        <f>INDEX(Input!$1:$1048576,X$93,$C188*2+MIN($B188,2)+5)</f>
        <v>Y</v>
      </c>
      <c r="Y188" s="475">
        <f>INDEX(Input!$1:$1048576,Y$93,$C188*2+MIN($B188,2)+5)
++INDEX(Scenarios!Y$121:Y$200,MATCH($B188,Scenarios!$B$121:$B$200,0))</f>
        <v>1942</v>
      </c>
      <c r="Z188" s="477">
        <f>INDEX(Input!$1:$1048576,Z$93,$C188*2+MIN($B188,2)+5)
+INDEX(Scenarios!Z$121:Z$200,MATCH($B188,Scenarios!$B$121:$B$200,0))</f>
        <v>0</v>
      </c>
      <c r="AA188" s="475">
        <f>INDEX(Input!$1:$1048576,AA$93,$C188*2+MIN($B188,2)+5)
+INDEX(Scenarios!AA$121:AA$200,MATCH($B188,Scenarios!$B$121:$B$200,0))</f>
        <v>0</v>
      </c>
      <c r="AB188" s="476">
        <f>INDEX(Input!$1:$1048576,AB$93,$C188*2+MIN($B188,2)+5)</f>
        <v>0.27</v>
      </c>
      <c r="AC188" s="475">
        <f>INDEX(Input!$1:$1048576,AC$93,$C188*2+MIN($B188,2)+5)
+INDEX(Scenarios!AC$121:AC$200,MATCH($B188,Scenarios!$B$121:$B$200,0))</f>
        <v>0</v>
      </c>
      <c r="AD188" s="476">
        <f>INDEX(Input!$1:$1048576,AD$93,$C188*2+MIN($B188,2)+5)</f>
        <v>0.27</v>
      </c>
      <c r="AE188" s="475">
        <f>INDEX(Input!$1:$1048576,AE$93,$C188*2+MIN($B188,2)+5)
+INDEX(Scenarios!AE$121:AE$200,MATCH($B188,Scenarios!$B$121:$B$200,0))</f>
        <v>0</v>
      </c>
      <c r="AF188" s="476">
        <f>INDEX(Input!$1:$1048576,AF$93,$C188*2+MIN($B188,2)+5)</f>
        <v>0.38</v>
      </c>
      <c r="AG188" s="475">
        <f>INDEX(Input!$1:$1048576,AG$93,$C188*2+MIN($B188,2)+5)
+INDEX(Scenarios!AG$121:AG$200,MATCH($B188,Scenarios!$B$121:$B$200,0))</f>
        <v>0</v>
      </c>
      <c r="AH188" s="476">
        <f>INDEX(Input!$1:$1048576,AH$93,$C188*2+MIN($B188,2)+5)</f>
        <v>0</v>
      </c>
      <c r="AI188" s="475">
        <f>INDEX(Input!$1:$1048576,AI$93,$C188*2+MIN($B188,2)+5)
+INDEX(Scenarios!AI$121:AI$200,MATCH($B188,Scenarios!$B$121:$B$200,0))</f>
        <v>0</v>
      </c>
      <c r="AJ188" s="476">
        <f>INDEX(Input!$1:$1048576,AJ$93,$C188*2+MIN($B188,2)+5)</f>
        <v>0.27</v>
      </c>
      <c r="AK188" s="150">
        <f>ROUND(INDEX(Input!$1:$1048576,AK$93,$C187*2+MIN($B188,1)+5)+(Y188-VLOOKUP($C188*1000+1,$A:$HH,Y$92,FALSE)),0)</f>
        <v>3757</v>
      </c>
      <c r="AL188" s="150">
        <f>ROUND(INDEX(Input!$1:$1048576,AL$93,$C187*2+MIN($B188,1)+5)-(Y188-VLOOKUP($C188*1000+1,$A:$HH,Y$92,FALSE))/36,0)</f>
        <v>4113</v>
      </c>
      <c r="AM188" s="32" t="str">
        <f t="shared" si="392"/>
        <v>std/std/std/std</v>
      </c>
      <c r="AN188" s="32" t="str">
        <f t="shared" si="393"/>
        <v>$0 + 0/0/0/1.9/3.9</v>
      </c>
      <c r="AO188" s="32" t="str">
        <f t="shared" si="394"/>
        <v>0/0/0/1.9/3.9</v>
      </c>
      <c r="AP188" s="32" t="str">
        <f t="shared" si="498"/>
        <v>0/0.9/1.9/3.9</v>
      </c>
      <c r="AQ188" s="536">
        <f t="shared" si="497"/>
        <v>0</v>
      </c>
      <c r="AR188" s="32"/>
      <c r="AS188" s="302"/>
      <c r="AT188" s="3">
        <f t="shared" si="106"/>
        <v>88</v>
      </c>
      <c r="AU188" s="41" t="s">
        <v>121</v>
      </c>
      <c r="AV188" s="41" t="s">
        <v>116</v>
      </c>
      <c r="AW188" s="41" t="str">
        <f>INDEX(Input!$1:$1048576,AW$93,$C188*2+6)</f>
        <v>Kia</v>
      </c>
      <c r="AX188" s="41" t="str">
        <f>INDEX(Input!$1:$1048576,AX$93,$C188*2+6)</f>
        <v>Kia-LR - L1</v>
      </c>
      <c r="AY188" s="41" t="str">
        <f>IF(LEN(D188)=0,"",INDEX(Input!$1:$1048576,AY$93,$C188*2+6))</f>
        <v/>
      </c>
      <c r="AZ188" s="41" t="str">
        <f>INDEX(Input!$1:$1048576,AZ$93,$C188*2+6)</f>
        <v>Kia Soul</v>
      </c>
      <c r="BA188" s="3">
        <f>INDEX(Input!$1:$1048576,BA$93,$C188*2+6)</f>
        <v>2020</v>
      </c>
      <c r="BB188" s="128">
        <f>INDEX(Input!$1:$1048576,BB$93,$C188*2+6)</f>
        <v>1</v>
      </c>
      <c r="BC188" s="128">
        <f>INDEX(Input!$1:$1048576,BC$93,$C188*2+6)</f>
        <v>0.7</v>
      </c>
      <c r="BD188" s="1">
        <f>INDEX(Input!$1:$1048576,BD$93,$C188*2+6)</f>
        <v>4.4999999999999998E-2</v>
      </c>
      <c r="BE188" s="1">
        <f>INDEX(Input!$1:$1048576,BE$93,$C188*2+6)</f>
        <v>4.4999999999999998E-2</v>
      </c>
      <c r="BF188" s="1">
        <f>INDEX(Input!$1:$1048576,BF$93,$C188*2+6)</f>
        <v>0.05</v>
      </c>
      <c r="BG188" s="1">
        <f>INDEX(Input!$1:$1048576,BG$93,$C188*2+6)</f>
        <v>5.45E-2</v>
      </c>
      <c r="BH188" s="1">
        <f>INDEX(Input!$1:$1048576,BH$93,$C188*2+6)</f>
        <v>5.45E-2</v>
      </c>
      <c r="BI188" s="1">
        <f>INDEX(Input!$1:$1048576,BI$93,$C188*2+6)</f>
        <v>0.05</v>
      </c>
      <c r="BJ188" s="1">
        <f>INDEX(Input!$1:$1048576,BJ$93,$C188*2+6)</f>
        <v>0.05</v>
      </c>
      <c r="BK188" s="1">
        <f>INDEX(Input!$1:$1048576,BK$93,$C188*2+6)</f>
        <v>0.05</v>
      </c>
      <c r="BL188" s="1">
        <f>INDEX(Input!$1:$1048576,BL$93,$C188*2+6)</f>
        <v>5.5E-2</v>
      </c>
      <c r="BM188" s="1">
        <f>INDEX(Input!$1:$1048576,BM$93,$C188*2+6)</f>
        <v>0.06</v>
      </c>
      <c r="BN188" s="1">
        <f>INDEX(Input!$1:$1048576,BN$93,$C188*2+6)</f>
        <v>4.4999999999999998E-2</v>
      </c>
      <c r="BO188" s="1">
        <f>INDEX(Input!$1:$1048576,BO$93,$C188*2+6)</f>
        <v>4.4999999999999998E-2</v>
      </c>
      <c r="BP188" s="1">
        <f>INDEX(Input!$1:$1048576,BP$93,$C188*2+6)</f>
        <v>0.05</v>
      </c>
      <c r="BQ188" s="1">
        <f>INDEX(Input!$1:$1048576,BQ$93,$C188*2+6)</f>
        <v>5.45E-2</v>
      </c>
      <c r="BR188" s="1">
        <f>INDEX(Input!$1:$1048576,BR$93,$C188*2+6)</f>
        <v>5.45E-2</v>
      </c>
      <c r="BS188" s="1">
        <f>INDEX(Input!$1:$1048576,BS$93,$C188*2+6)</f>
        <v>0.05</v>
      </c>
      <c r="BT188" s="1">
        <f>INDEX(Input!$1:$1048576,BT$93,$C188*2+6)</f>
        <v>0.05</v>
      </c>
      <c r="BU188" s="1">
        <f>INDEX(Input!$1:$1048576,BU$93,$C188*2+6)</f>
        <v>0.05</v>
      </c>
      <c r="BV188" s="1">
        <f>INDEX(Input!$1:$1048576,BV$93,$C188*2+6)</f>
        <v>5.5E-2</v>
      </c>
      <c r="BW188" s="1">
        <f>INDEX(Input!$1:$1048576,BW$93,$C188*2+6)</f>
        <v>0.06</v>
      </c>
      <c r="BX188" s="127">
        <f>INDEX(Input!$1:$1048576,BX$93,$C188*2+6)</f>
        <v>19985</v>
      </c>
      <c r="BY188" s="20">
        <f>INDEX(Input!$1:$1048576,BY$93,$C188*2+6)</f>
        <v>0.1</v>
      </c>
      <c r="BZ188" s="20">
        <f>INDEX(Input!$1:$1048576,BZ$93,$C188*2+6)</f>
        <v>0.1</v>
      </c>
      <c r="CA188" s="20">
        <f>INDEX(Input!$1:$1048576,CA$93,$C188*2+6)</f>
        <v>0.1</v>
      </c>
      <c r="CB188" s="20">
        <f>INDEX(Input!$1:$1048576,CB$93,$C188*2+6)</f>
        <v>0.1</v>
      </c>
      <c r="CC188" s="20">
        <f>INDEX(Input!$1:$1048576,CC$93,$C188*2+6)</f>
        <v>0.1</v>
      </c>
      <c r="CD188" s="384">
        <f>INDEX(Input!$1:$1048576,CD$93,$C188*2+6)</f>
        <v>0.1</v>
      </c>
      <c r="CE188" s="384">
        <f>INDEX(Input!$1:$1048576,CE$93,$C188*2+6)</f>
        <v>0.1</v>
      </c>
      <c r="CF188" s="384">
        <f>INDEX(Input!$1:$1048576,CF$93,$C188*2+6)</f>
        <v>0.1</v>
      </c>
      <c r="CG188" s="384">
        <f>INDEX(Input!$1:$1048576,CG$93,$C188*2+6)</f>
        <v>0.1</v>
      </c>
      <c r="CH188" s="384">
        <f>INDEX(Input!$1:$1048576,CH$93,$C188*2+6)</f>
        <v>0.1</v>
      </c>
      <c r="CI188" s="304">
        <f t="shared" si="499"/>
        <v>1229</v>
      </c>
      <c r="CJ188" s="16" t="str">
        <f>INDEX(Input!$1:$1048576,CJ$93,$C188*2+6)</f>
        <v>N</v>
      </c>
      <c r="CK188" s="1" t="str">
        <f t="shared" si="500"/>
        <v>Market</v>
      </c>
      <c r="CL188" s="1" t="str">
        <f t="shared" si="501"/>
        <v>Market</v>
      </c>
      <c r="CM188" s="1" t="str">
        <f t="shared" si="502"/>
        <v>Market</v>
      </c>
      <c r="CN188" s="1" t="str">
        <f t="shared" si="503"/>
        <v>Market</v>
      </c>
      <c r="CO188" s="1" t="str">
        <f t="shared" si="504"/>
        <v>Market</v>
      </c>
      <c r="CP188" s="304">
        <f t="shared" si="505"/>
        <v>0</v>
      </c>
      <c r="CQ188" s="1">
        <f t="shared" si="506"/>
        <v>0</v>
      </c>
      <c r="CR188" s="1">
        <f t="shared" si="507"/>
        <v>0</v>
      </c>
      <c r="CS188" s="1">
        <f t="shared" si="508"/>
        <v>0</v>
      </c>
      <c r="CT188" s="1">
        <f t="shared" si="509"/>
        <v>1.9E-2</v>
      </c>
      <c r="CU188" s="1">
        <f t="shared" si="510"/>
        <v>3.9E-2</v>
      </c>
      <c r="CV188" s="304">
        <f t="shared" si="511"/>
        <v>1942</v>
      </c>
      <c r="CW188" s="20" t="s">
        <v>122</v>
      </c>
      <c r="CX188" s="20" t="s">
        <v>122</v>
      </c>
      <c r="CY188" s="20" t="s">
        <v>122</v>
      </c>
      <c r="CZ188" s="20" t="s">
        <v>122</v>
      </c>
      <c r="DA188" s="20" t="s">
        <v>122</v>
      </c>
      <c r="DB188" s="503">
        <f t="shared" si="512"/>
        <v>0</v>
      </c>
      <c r="DC188" s="127">
        <v>0</v>
      </c>
      <c r="DD188" s="127">
        <v>0</v>
      </c>
      <c r="DE188" s="127">
        <v>0</v>
      </c>
      <c r="DF188" s="127">
        <v>0</v>
      </c>
      <c r="DG188" s="127">
        <v>0</v>
      </c>
      <c r="DH188" s="127">
        <v>0</v>
      </c>
      <c r="DI188" s="127">
        <v>0</v>
      </c>
      <c r="DJ188" s="127">
        <v>0</v>
      </c>
      <c r="DK188" s="127">
        <v>0</v>
      </c>
      <c r="DL188" s="127">
        <v>0</v>
      </c>
      <c r="DM188" s="304">
        <f>INDEX(Input!$1:$1048576,DM$93,$C188*2+6)</f>
        <v>21036.84210526316</v>
      </c>
      <c r="DN188" s="20">
        <v>0</v>
      </c>
      <c r="DO188" s="20">
        <v>0</v>
      </c>
      <c r="DP188" s="20">
        <v>0</v>
      </c>
      <c r="DQ188" s="20">
        <v>0</v>
      </c>
      <c r="DR188" s="20">
        <v>0</v>
      </c>
      <c r="DS188" s="20">
        <f>INDEX(Input!$1:$1048576,DS$93,$C188*2+6)</f>
        <v>0.6</v>
      </c>
      <c r="DT188" s="20">
        <f>INDEX(Input!$1:$1048576,DT$93,$C188*2+6)</f>
        <v>0.55000000000000004</v>
      </c>
      <c r="DU188" s="20">
        <f>INDEX(Input!$1:$1048576,DU$93,$C188*2+6)</f>
        <v>0.52</v>
      </c>
      <c r="DV188" s="20">
        <f>INDEX(Input!$1:$1048576,DV$93,$C188*2+6)</f>
        <v>0.5</v>
      </c>
      <c r="DW188" s="20">
        <f>INDEX(Input!$1:$1048576,DW$93,$C188*2+6)</f>
        <v>0.45</v>
      </c>
      <c r="DX188" s="20"/>
      <c r="DY188" s="7"/>
      <c r="DZ188" s="7"/>
      <c r="EA188" s="7"/>
      <c r="EB188" s="7"/>
      <c r="EC188" s="7"/>
      <c r="ED188" s="7"/>
      <c r="EE188" s="7"/>
      <c r="EF188" s="7"/>
      <c r="EG188" s="7"/>
      <c r="EH188" s="7"/>
      <c r="EI188" s="7"/>
      <c r="EJ188" s="7"/>
      <c r="EK188" s="7"/>
      <c r="EL188" s="7"/>
      <c r="EM188" s="7"/>
      <c r="EN188" s="7"/>
      <c r="EO188" s="7"/>
      <c r="EP188" s="7"/>
      <c r="EQ188" s="7"/>
      <c r="ER188" s="7"/>
      <c r="ES188" s="7"/>
      <c r="ET188" s="7"/>
      <c r="EU188" s="6"/>
      <c r="EV188" s="6"/>
      <c r="EW188" s="6"/>
      <c r="EX188" s="6"/>
      <c r="EY188" s="6"/>
      <c r="EZ188" s="6"/>
      <c r="FA188" s="6"/>
      <c r="FB188" s="6"/>
      <c r="FC188" s="6"/>
      <c r="FD188" s="6"/>
      <c r="FE188" s="6"/>
      <c r="FF188" s="6"/>
      <c r="FG188" s="6"/>
      <c r="FH188" s="6"/>
      <c r="FI188" s="6"/>
      <c r="FJ188" s="6"/>
      <c r="FK188" s="6"/>
      <c r="FL188" s="6"/>
      <c r="FM188" s="6"/>
      <c r="FN188" s="6"/>
      <c r="FO188" s="6"/>
      <c r="FP188" s="6"/>
      <c r="FQ188" s="6"/>
      <c r="FR188" s="6"/>
      <c r="FS188" s="6"/>
      <c r="FT188" s="7"/>
      <c r="FU188" s="7"/>
      <c r="FV188" s="7"/>
      <c r="FW188" s="6"/>
      <c r="FX188" s="6"/>
      <c r="FY188" s="6"/>
      <c r="FZ188" s="6"/>
      <c r="GA188" s="6"/>
      <c r="GB188" s="6"/>
      <c r="GC188" s="7"/>
      <c r="GD188" s="7"/>
      <c r="GE188" s="7"/>
      <c r="GF188" s="7"/>
      <c r="GG188" s="7"/>
      <c r="GH188" s="42"/>
      <c r="GI188" s="6"/>
      <c r="GJ188" s="14"/>
      <c r="GK188" s="14"/>
      <c r="GL188" s="14"/>
      <c r="GM188" s="14"/>
      <c r="GO188" s="5"/>
      <c r="GP188" s="5"/>
      <c r="GQ188" s="5"/>
      <c r="GR188" s="5"/>
      <c r="GS188" s="5"/>
      <c r="GT188" s="5"/>
      <c r="GU188" s="5"/>
      <c r="GV188" s="39"/>
      <c r="GW188" s="5"/>
      <c r="GX188" s="5"/>
      <c r="GY188" s="5"/>
      <c r="GZ188" s="5"/>
      <c r="HA188" s="5"/>
      <c r="HB188" s="39"/>
      <c r="HC188" s="5"/>
      <c r="HD188" s="5"/>
      <c r="HE188" s="5"/>
      <c r="HF188" s="5"/>
      <c r="HG188" s="5"/>
      <c r="HH188" s="39"/>
      <c r="HI188" s="16"/>
      <c r="HJ188" s="19"/>
      <c r="HK188" s="1"/>
      <c r="HL188" s="16"/>
      <c r="HM188" s="1"/>
      <c r="HN188" s="1"/>
      <c r="HO188" s="1"/>
      <c r="HP188" s="1"/>
      <c r="HQ188" s="1"/>
      <c r="HR188" s="1"/>
      <c r="HS188" s="1"/>
      <c r="HT188" s="1"/>
      <c r="HU188" s="1"/>
      <c r="HV188" s="1"/>
      <c r="HW188" s="1"/>
      <c r="HX188" s="1"/>
      <c r="HY188" s="1"/>
      <c r="HZ188" s="1"/>
      <c r="IA188" s="1"/>
      <c r="IB188" s="1"/>
      <c r="IC188" s="1"/>
      <c r="ID188" s="1"/>
      <c r="IE188" s="1"/>
      <c r="IF188" s="1"/>
      <c r="IG188" s="1"/>
      <c r="IH188" s="21"/>
      <c r="II188" s="19"/>
      <c r="IJ188" s="19"/>
      <c r="IK188" s="19"/>
      <c r="IL188" s="19"/>
      <c r="IM188" s="19"/>
      <c r="IN188" s="19"/>
      <c r="IO188" s="39"/>
      <c r="IP188" s="39"/>
      <c r="IQ188" s="39"/>
      <c r="IR188" s="39"/>
      <c r="IS188" s="39"/>
      <c r="IT188" s="39"/>
      <c r="IU188" s="39"/>
      <c r="IV188" s="39"/>
      <c r="IW188" s="39"/>
      <c r="IX188" s="39"/>
      <c r="IY188" s="39"/>
      <c r="IZ188" s="39"/>
      <c r="JA188" s="19"/>
      <c r="JB188" s="19"/>
      <c r="JC188" s="19"/>
      <c r="JD188" s="19"/>
      <c r="JE188" s="21"/>
      <c r="JF188" s="1"/>
      <c r="JG188" s="15"/>
      <c r="JH188" s="1"/>
      <c r="JI188" s="1"/>
      <c r="JJ188" s="1"/>
      <c r="JK188" s="1"/>
      <c r="JL188" s="15"/>
      <c r="JM188" s="15"/>
      <c r="JN188" s="21"/>
      <c r="JO188" s="19"/>
      <c r="JP188" s="19"/>
      <c r="JQ188" s="39"/>
      <c r="JR188" s="39"/>
      <c r="JS188" s="39"/>
      <c r="JT188" s="39"/>
      <c r="JU188" s="385"/>
      <c r="JV188" s="39"/>
      <c r="JW188" s="1"/>
      <c r="JX188" s="19"/>
      <c r="JZ188" s="341"/>
      <c r="KA188" s="342"/>
      <c r="KB188" s="469"/>
      <c r="KI188" s="473"/>
      <c r="KJ188" s="473"/>
      <c r="KK188" s="473"/>
    </row>
    <row r="189" spans="1:307" s="26" customFormat="1" ht="15" outlineLevel="1">
      <c r="A189" s="561">
        <f t="shared" si="391"/>
        <v>1089</v>
      </c>
      <c r="B189" s="561">
        <f t="shared" si="513"/>
        <v>89</v>
      </c>
      <c r="C189" s="561">
        <f t="shared" si="105"/>
        <v>1</v>
      </c>
      <c r="D189" s="561" t="str">
        <f t="shared" si="625"/>
        <v/>
      </c>
      <c r="E189" s="475">
        <f>INDEX(Input!$1:$1048576,E$93,$C189*2+MIN($B189,2)+5)
+INDEX(Scenarios!E$121:E$200,MATCH($B189,Scenarios!$B$121:$B$200,0))</f>
        <v>1229</v>
      </c>
      <c r="F189" s="475">
        <f>INDEX(Input!$1:$1048576,F$93,$C189*2+MIN($B189,2)+5)
+INDEX(Scenarios!F$121:F$200,MATCH($B189,Scenarios!$B$121:$B$200,0))</f>
        <v>0</v>
      </c>
      <c r="G189" s="475">
        <f>INDEX(Input!$1:$1048576,G$93,$C189*2+MIN($B189,2)+5)
+INDEX(Scenarios!G$121:G$200,MATCH($B189,Scenarios!$B$121:$B$200,0))</f>
        <v>0</v>
      </c>
      <c r="H189" s="475">
        <f>INDEX(Input!$1:$1048576,H$93,$C189*2+MIN($B189,2)+5)
+INDEX(Scenarios!H$121:H$200,MATCH($B189,Scenarios!$B$121:$B$200,0))</f>
        <v>0</v>
      </c>
      <c r="I189" s="476">
        <f>INDEX(Input!$1:$1048576,I$93,$C189*2+MIN($B189,2)+5)</f>
        <v>0.7</v>
      </c>
      <c r="J189" s="476" t="str">
        <f>INDEX(Input!$1:$1048576,J$93,$C189*2+MIN($B189,2)+5)</f>
        <v>Market</v>
      </c>
      <c r="K189" s="476" t="str">
        <f>INDEX(Input!$1:$1048576,K$93,$C189*2+MIN($B189,2)+5)</f>
        <v>Market</v>
      </c>
      <c r="L189" s="476" t="str">
        <f>INDEX(Input!$1:$1048576,L$93,$C189*2+MIN($B189,2)+5)</f>
        <v>Market</v>
      </c>
      <c r="M189" s="476" t="str">
        <f>INDEX(Input!$1:$1048576,M$93,$C189*2+MIN($B189,2)+5)</f>
        <v>Market</v>
      </c>
      <c r="N189" s="476" t="str">
        <f>INDEX(Input!$1:$1048576,N$93,$C189*2+MIN($B189,2)+5)</f>
        <v>Market</v>
      </c>
      <c r="O189" s="476" t="str">
        <f>INDEX(Input!$1:$1048576,O$93,$C189*2+MIN($B189,2)+5)</f>
        <v>Market</v>
      </c>
      <c r="P189" s="476" t="str">
        <f>INDEX(Input!$1:$1048576,P$93,$C189*2+MIN($B189,2)+5)</f>
        <v>N</v>
      </c>
      <c r="Q189" s="477">
        <f>INDEX(Input!$1:$1048576,Q$93,$C189*2+MIN($B189,2)+5)
+INDEX(Scenarios!Q$121:Q$200,MATCH($B189,Scenarios!$B$121:$B$200,0))</f>
        <v>0</v>
      </c>
      <c r="R189" s="478">
        <f>IFERROR(MAX(0,INDEX(Input!$1:$1048576,R$93,$C189*2+MIN($B189,2)+5)
+INDEX(Scenarios!R$121:R$200,MATCH($B189,Scenarios!$B$121:$B$200,0)),),"Market")</f>
        <v>0</v>
      </c>
      <c r="S189" s="478">
        <f>IFERROR(MAX(0,INDEX(Input!$1:$1048576,S$93,$C189*2+MIN($B189,2)+5)
+INDEX(Scenarios!S$121:S$200,MATCH($B189,Scenarios!$B$121:$B$200,0)),),"Market")</f>
        <v>0</v>
      </c>
      <c r="T189" s="478">
        <f>IFERROR(MAX(0,INDEX(Input!$1:$1048576,T$93,$C189*2+MIN($B189,2)+5)
+INDEX(Scenarios!T$121:T$200,MATCH($B189,Scenarios!$B$121:$B$200,0)),),"Market")</f>
        <v>0</v>
      </c>
      <c r="U189" s="478">
        <f>IFERROR(MAX(0,INDEX(Input!$1:$1048576,U$93,$C189*2+MIN($B189,2)+5)
+INDEX(Scenarios!U$121:U$200,MATCH($B189,Scenarios!$B$121:$B$200,0)),),"Market")</f>
        <v>0</v>
      </c>
      <c r="V189" s="478">
        <f>IFERROR(MAX(0,INDEX(Input!$1:$1048576,V$93,$C189*2+MIN($B189,2)+5)
+INDEX(Scenarios!V$121:V$200,MATCH($B189,Scenarios!$B$121:$B$200,0)),),"Market")</f>
        <v>1.9E-2</v>
      </c>
      <c r="W189" s="885">
        <f>IFERROR(MAX(0,INDEX(Input!$1:$1048576,W$93,$C189*2+MIN($B189,2)+5)-0%,),"Market")</f>
        <v>3.9E-2</v>
      </c>
      <c r="X189" s="476" t="str">
        <f>INDEX(Input!$1:$1048576,X$93,$C189*2+MIN($B189,2)+5)</f>
        <v>Y</v>
      </c>
      <c r="Y189" s="475">
        <f>INDEX(Input!$1:$1048576,Y$93,$C189*2+MIN($B189,2)+5)
++INDEX(Scenarios!Y$121:Y$200,MATCH($B189,Scenarios!$B$121:$B$200,0))</f>
        <v>1942</v>
      </c>
      <c r="Z189" s="477">
        <f>INDEX(Input!$1:$1048576,Z$93,$C189*2+MIN($B189,2)+5)
+INDEX(Scenarios!Z$121:Z$200,MATCH($B189,Scenarios!$B$121:$B$200,0))</f>
        <v>0</v>
      </c>
      <c r="AA189" s="475">
        <f>INDEX(Input!$1:$1048576,AA$93,$C189*2+MIN($B189,2)+5)
+INDEX(Scenarios!AA$121:AA$200,MATCH($B189,Scenarios!$B$121:$B$200,0))</f>
        <v>0</v>
      </c>
      <c r="AB189" s="476">
        <f>INDEX(Input!$1:$1048576,AB$93,$C189*2+MIN($B189,2)+5)</f>
        <v>0.27</v>
      </c>
      <c r="AC189" s="475">
        <f>INDEX(Input!$1:$1048576,AC$93,$C189*2+MIN($B189,2)+5)
+INDEX(Scenarios!AC$121:AC$200,MATCH($B189,Scenarios!$B$121:$B$200,0))</f>
        <v>0</v>
      </c>
      <c r="AD189" s="476">
        <f>INDEX(Input!$1:$1048576,AD$93,$C189*2+MIN($B189,2)+5)</f>
        <v>0.27</v>
      </c>
      <c r="AE189" s="475">
        <f>INDEX(Input!$1:$1048576,AE$93,$C189*2+MIN($B189,2)+5)
+INDEX(Scenarios!AE$121:AE$200,MATCH($B189,Scenarios!$B$121:$B$200,0))</f>
        <v>0</v>
      </c>
      <c r="AF189" s="476">
        <f>INDEX(Input!$1:$1048576,AF$93,$C189*2+MIN($B189,2)+5)</f>
        <v>0.38</v>
      </c>
      <c r="AG189" s="475">
        <f>INDEX(Input!$1:$1048576,AG$93,$C189*2+MIN($B189,2)+5)
+INDEX(Scenarios!AG$121:AG$200,MATCH($B189,Scenarios!$B$121:$B$200,0))</f>
        <v>0</v>
      </c>
      <c r="AH189" s="476">
        <f>INDEX(Input!$1:$1048576,AH$93,$C189*2+MIN($B189,2)+5)</f>
        <v>0</v>
      </c>
      <c r="AI189" s="475">
        <f>INDEX(Input!$1:$1048576,AI$93,$C189*2+MIN($B189,2)+5)
+INDEX(Scenarios!AI$121:AI$200,MATCH($B189,Scenarios!$B$121:$B$200,0))</f>
        <v>0</v>
      </c>
      <c r="AJ189" s="476">
        <f>INDEX(Input!$1:$1048576,AJ$93,$C189*2+MIN($B189,2)+5)</f>
        <v>0.27</v>
      </c>
      <c r="AK189" s="150">
        <f>ROUND(INDEX(Input!$1:$1048576,AK$93,$C188*2+MIN($B189,1)+5)+(Y189-VLOOKUP($C189*1000+1,$A:$HH,Y$92,FALSE)),0)</f>
        <v>3757</v>
      </c>
      <c r="AL189" s="150">
        <f>ROUND(INDEX(Input!$1:$1048576,AL$93,$C188*2+MIN($B189,1)+5)-(Y189-VLOOKUP($C189*1000+1,$A:$HH,Y$92,FALSE))/36,0)</f>
        <v>4113</v>
      </c>
      <c r="AM189" s="32" t="str">
        <f t="shared" si="392"/>
        <v>std/std/std/std</v>
      </c>
      <c r="AN189" s="32" t="str">
        <f t="shared" si="393"/>
        <v>$0 + 0/0/0/1.9/3.9</v>
      </c>
      <c r="AO189" s="32" t="str">
        <f t="shared" si="394"/>
        <v>0/0/0/1.9/3.9</v>
      </c>
      <c r="AP189" s="32" t="str">
        <f t="shared" si="498"/>
        <v>0/0.9/1.9/3.9</v>
      </c>
      <c r="AQ189" s="536">
        <f t="shared" si="497"/>
        <v>0</v>
      </c>
      <c r="AR189" s="32"/>
      <c r="AS189" s="302"/>
      <c r="AT189" s="3">
        <f t="shared" si="106"/>
        <v>89</v>
      </c>
      <c r="AU189" s="41" t="s">
        <v>121</v>
      </c>
      <c r="AV189" s="41" t="s">
        <v>116</v>
      </c>
      <c r="AW189" s="41" t="str">
        <f>INDEX(Input!$1:$1048576,AW$93,$C189*2+6)</f>
        <v>Kia</v>
      </c>
      <c r="AX189" s="41" t="str">
        <f>INDEX(Input!$1:$1048576,AX$93,$C189*2+6)</f>
        <v>Kia-LR - L1</v>
      </c>
      <c r="AY189" s="41" t="str">
        <f>IF(LEN(D189)=0,"",INDEX(Input!$1:$1048576,AY$93,$C189*2+6))</f>
        <v/>
      </c>
      <c r="AZ189" s="41" t="str">
        <f>INDEX(Input!$1:$1048576,AZ$93,$C189*2+6)</f>
        <v>Kia Soul</v>
      </c>
      <c r="BA189" s="3">
        <f>INDEX(Input!$1:$1048576,BA$93,$C189*2+6)</f>
        <v>2020</v>
      </c>
      <c r="BB189" s="128">
        <f>INDEX(Input!$1:$1048576,BB$93,$C189*2+6)</f>
        <v>1</v>
      </c>
      <c r="BC189" s="128">
        <f>INDEX(Input!$1:$1048576,BC$93,$C189*2+6)</f>
        <v>0.7</v>
      </c>
      <c r="BD189" s="1">
        <f>INDEX(Input!$1:$1048576,BD$93,$C189*2+6)</f>
        <v>4.4999999999999998E-2</v>
      </c>
      <c r="BE189" s="1">
        <f>INDEX(Input!$1:$1048576,BE$93,$C189*2+6)</f>
        <v>4.4999999999999998E-2</v>
      </c>
      <c r="BF189" s="1">
        <f>INDEX(Input!$1:$1048576,BF$93,$C189*2+6)</f>
        <v>0.05</v>
      </c>
      <c r="BG189" s="1">
        <f>INDEX(Input!$1:$1048576,BG$93,$C189*2+6)</f>
        <v>5.45E-2</v>
      </c>
      <c r="BH189" s="1">
        <f>INDEX(Input!$1:$1048576,BH$93,$C189*2+6)</f>
        <v>5.45E-2</v>
      </c>
      <c r="BI189" s="1">
        <f>INDEX(Input!$1:$1048576,BI$93,$C189*2+6)</f>
        <v>0.05</v>
      </c>
      <c r="BJ189" s="1">
        <f>INDEX(Input!$1:$1048576,BJ$93,$C189*2+6)</f>
        <v>0.05</v>
      </c>
      <c r="BK189" s="1">
        <f>INDEX(Input!$1:$1048576,BK$93,$C189*2+6)</f>
        <v>0.05</v>
      </c>
      <c r="BL189" s="1">
        <f>INDEX(Input!$1:$1048576,BL$93,$C189*2+6)</f>
        <v>5.5E-2</v>
      </c>
      <c r="BM189" s="1">
        <f>INDEX(Input!$1:$1048576,BM$93,$C189*2+6)</f>
        <v>0.06</v>
      </c>
      <c r="BN189" s="1">
        <f>INDEX(Input!$1:$1048576,BN$93,$C189*2+6)</f>
        <v>4.4999999999999998E-2</v>
      </c>
      <c r="BO189" s="1">
        <f>INDEX(Input!$1:$1048576,BO$93,$C189*2+6)</f>
        <v>4.4999999999999998E-2</v>
      </c>
      <c r="BP189" s="1">
        <f>INDEX(Input!$1:$1048576,BP$93,$C189*2+6)</f>
        <v>0.05</v>
      </c>
      <c r="BQ189" s="1">
        <f>INDEX(Input!$1:$1048576,BQ$93,$C189*2+6)</f>
        <v>5.45E-2</v>
      </c>
      <c r="BR189" s="1">
        <f>INDEX(Input!$1:$1048576,BR$93,$C189*2+6)</f>
        <v>5.45E-2</v>
      </c>
      <c r="BS189" s="1">
        <f>INDEX(Input!$1:$1048576,BS$93,$C189*2+6)</f>
        <v>0.05</v>
      </c>
      <c r="BT189" s="1">
        <f>INDEX(Input!$1:$1048576,BT$93,$C189*2+6)</f>
        <v>0.05</v>
      </c>
      <c r="BU189" s="1">
        <f>INDEX(Input!$1:$1048576,BU$93,$C189*2+6)</f>
        <v>0.05</v>
      </c>
      <c r="BV189" s="1">
        <f>INDEX(Input!$1:$1048576,BV$93,$C189*2+6)</f>
        <v>5.5E-2</v>
      </c>
      <c r="BW189" s="1">
        <f>INDEX(Input!$1:$1048576,BW$93,$C189*2+6)</f>
        <v>0.06</v>
      </c>
      <c r="BX189" s="127">
        <f>INDEX(Input!$1:$1048576,BX$93,$C189*2+6)</f>
        <v>19985</v>
      </c>
      <c r="BY189" s="20">
        <f>INDEX(Input!$1:$1048576,BY$93,$C189*2+6)</f>
        <v>0.1</v>
      </c>
      <c r="BZ189" s="20">
        <f>INDEX(Input!$1:$1048576,BZ$93,$C189*2+6)</f>
        <v>0.1</v>
      </c>
      <c r="CA189" s="20">
        <f>INDEX(Input!$1:$1048576,CA$93,$C189*2+6)</f>
        <v>0.1</v>
      </c>
      <c r="CB189" s="20">
        <f>INDEX(Input!$1:$1048576,CB$93,$C189*2+6)</f>
        <v>0.1</v>
      </c>
      <c r="CC189" s="20">
        <f>INDEX(Input!$1:$1048576,CC$93,$C189*2+6)</f>
        <v>0.1</v>
      </c>
      <c r="CD189" s="384">
        <f>INDEX(Input!$1:$1048576,CD$93,$C189*2+6)</f>
        <v>0.1</v>
      </c>
      <c r="CE189" s="384">
        <f>INDEX(Input!$1:$1048576,CE$93,$C189*2+6)</f>
        <v>0.1</v>
      </c>
      <c r="CF189" s="384">
        <f>INDEX(Input!$1:$1048576,CF$93,$C189*2+6)</f>
        <v>0.1</v>
      </c>
      <c r="CG189" s="384">
        <f>INDEX(Input!$1:$1048576,CG$93,$C189*2+6)</f>
        <v>0.1</v>
      </c>
      <c r="CH189" s="384">
        <f>INDEX(Input!$1:$1048576,CH$93,$C189*2+6)</f>
        <v>0.1</v>
      </c>
      <c r="CI189" s="304">
        <f t="shared" si="499"/>
        <v>1229</v>
      </c>
      <c r="CJ189" s="16" t="str">
        <f>INDEX(Input!$1:$1048576,CJ$93,$C189*2+6)</f>
        <v>N</v>
      </c>
      <c r="CK189" s="1" t="str">
        <f t="shared" si="500"/>
        <v>Market</v>
      </c>
      <c r="CL189" s="1" t="str">
        <f t="shared" si="501"/>
        <v>Market</v>
      </c>
      <c r="CM189" s="1" t="str">
        <f t="shared" si="502"/>
        <v>Market</v>
      </c>
      <c r="CN189" s="1" t="str">
        <f t="shared" si="503"/>
        <v>Market</v>
      </c>
      <c r="CO189" s="1" t="str">
        <f t="shared" si="504"/>
        <v>Market</v>
      </c>
      <c r="CP189" s="304">
        <f t="shared" si="505"/>
        <v>0</v>
      </c>
      <c r="CQ189" s="1">
        <f t="shared" si="506"/>
        <v>0</v>
      </c>
      <c r="CR189" s="1">
        <f t="shared" si="507"/>
        <v>0</v>
      </c>
      <c r="CS189" s="1">
        <f t="shared" si="508"/>
        <v>0</v>
      </c>
      <c r="CT189" s="1">
        <f t="shared" si="509"/>
        <v>1.9E-2</v>
      </c>
      <c r="CU189" s="1">
        <f t="shared" si="510"/>
        <v>3.9E-2</v>
      </c>
      <c r="CV189" s="304">
        <f t="shared" si="511"/>
        <v>1942</v>
      </c>
      <c r="CW189" s="20" t="s">
        <v>122</v>
      </c>
      <c r="CX189" s="20" t="s">
        <v>122</v>
      </c>
      <c r="CY189" s="20" t="s">
        <v>122</v>
      </c>
      <c r="CZ189" s="20" t="s">
        <v>122</v>
      </c>
      <c r="DA189" s="20" t="s">
        <v>122</v>
      </c>
      <c r="DB189" s="503">
        <f t="shared" si="512"/>
        <v>0</v>
      </c>
      <c r="DC189" s="127">
        <v>0</v>
      </c>
      <c r="DD189" s="127">
        <v>0</v>
      </c>
      <c r="DE189" s="127">
        <v>0</v>
      </c>
      <c r="DF189" s="127">
        <v>0</v>
      </c>
      <c r="DG189" s="127">
        <v>0</v>
      </c>
      <c r="DH189" s="127">
        <v>0</v>
      </c>
      <c r="DI189" s="127">
        <v>0</v>
      </c>
      <c r="DJ189" s="127">
        <v>0</v>
      </c>
      <c r="DK189" s="127">
        <v>0</v>
      </c>
      <c r="DL189" s="127">
        <v>0</v>
      </c>
      <c r="DM189" s="304">
        <f>INDEX(Input!$1:$1048576,DM$93,$C189*2+6)</f>
        <v>21036.84210526316</v>
      </c>
      <c r="DN189" s="20">
        <v>0</v>
      </c>
      <c r="DO189" s="20">
        <v>0</v>
      </c>
      <c r="DP189" s="20">
        <v>0</v>
      </c>
      <c r="DQ189" s="20">
        <v>0</v>
      </c>
      <c r="DR189" s="20">
        <v>0</v>
      </c>
      <c r="DS189" s="20">
        <f>INDEX(Input!$1:$1048576,DS$93,$C189*2+6)</f>
        <v>0.6</v>
      </c>
      <c r="DT189" s="20">
        <f>INDEX(Input!$1:$1048576,DT$93,$C189*2+6)</f>
        <v>0.55000000000000004</v>
      </c>
      <c r="DU189" s="20">
        <f>INDEX(Input!$1:$1048576,DU$93,$C189*2+6)</f>
        <v>0.52</v>
      </c>
      <c r="DV189" s="20">
        <f>INDEX(Input!$1:$1048576,DV$93,$C189*2+6)</f>
        <v>0.5</v>
      </c>
      <c r="DW189" s="20">
        <f>INDEX(Input!$1:$1048576,DW$93,$C189*2+6)</f>
        <v>0.45</v>
      </c>
      <c r="DX189" s="20"/>
      <c r="DY189" s="7"/>
      <c r="DZ189" s="7"/>
      <c r="EA189" s="7"/>
      <c r="EB189" s="7"/>
      <c r="EC189" s="7"/>
      <c r="ED189" s="7"/>
      <c r="EE189" s="7"/>
      <c r="EF189" s="7"/>
      <c r="EG189" s="7"/>
      <c r="EH189" s="7"/>
      <c r="EI189" s="7"/>
      <c r="EJ189" s="7"/>
      <c r="EK189" s="7"/>
      <c r="EL189" s="7"/>
      <c r="EM189" s="7"/>
      <c r="EN189" s="7"/>
      <c r="EO189" s="7"/>
      <c r="EP189" s="7"/>
      <c r="EQ189" s="7"/>
      <c r="ER189" s="7"/>
      <c r="ES189" s="7"/>
      <c r="ET189" s="7"/>
      <c r="EU189" s="6"/>
      <c r="EV189" s="6"/>
      <c r="EW189" s="6"/>
      <c r="EX189" s="6"/>
      <c r="EY189" s="6"/>
      <c r="EZ189" s="6"/>
      <c r="FA189" s="6"/>
      <c r="FB189" s="6"/>
      <c r="FC189" s="6"/>
      <c r="FD189" s="6"/>
      <c r="FE189" s="6"/>
      <c r="FF189" s="6"/>
      <c r="FG189" s="6"/>
      <c r="FH189" s="6"/>
      <c r="FI189" s="6"/>
      <c r="FJ189" s="6"/>
      <c r="FK189" s="6"/>
      <c r="FL189" s="6"/>
      <c r="FM189" s="6"/>
      <c r="FN189" s="6"/>
      <c r="FO189" s="6"/>
      <c r="FP189" s="6"/>
      <c r="FQ189" s="6"/>
      <c r="FR189" s="6"/>
      <c r="FS189" s="6"/>
      <c r="FT189" s="7"/>
      <c r="FU189" s="7"/>
      <c r="FV189" s="7"/>
      <c r="FW189" s="6"/>
      <c r="FX189" s="6"/>
      <c r="FY189" s="6"/>
      <c r="FZ189" s="6"/>
      <c r="GA189" s="6"/>
      <c r="GB189" s="6"/>
      <c r="GC189" s="7"/>
      <c r="GD189" s="7"/>
      <c r="GE189" s="7"/>
      <c r="GF189" s="7"/>
      <c r="GG189" s="7"/>
      <c r="GH189" s="42"/>
      <c r="GI189" s="6"/>
      <c r="GJ189" s="14"/>
      <c r="GK189" s="14"/>
      <c r="GL189" s="14"/>
      <c r="GM189" s="14"/>
      <c r="GO189" s="5"/>
      <c r="GP189" s="5"/>
      <c r="GQ189" s="5"/>
      <c r="GR189" s="5"/>
      <c r="GS189" s="5"/>
      <c r="GT189" s="5"/>
      <c r="GU189" s="5"/>
      <c r="GV189" s="39"/>
      <c r="GW189" s="5"/>
      <c r="GX189" s="5"/>
      <c r="GY189" s="5"/>
      <c r="GZ189" s="5"/>
      <c r="HA189" s="5"/>
      <c r="HB189" s="39"/>
      <c r="HC189" s="5"/>
      <c r="HD189" s="5"/>
      <c r="HE189" s="5"/>
      <c r="HF189" s="5"/>
      <c r="HG189" s="5"/>
      <c r="HH189" s="39"/>
      <c r="HI189" s="16"/>
      <c r="HJ189" s="19"/>
      <c r="HK189" s="1"/>
      <c r="HL189" s="16"/>
      <c r="HM189" s="1"/>
      <c r="HN189" s="1"/>
      <c r="HO189" s="1"/>
      <c r="HP189" s="1"/>
      <c r="HQ189" s="1"/>
      <c r="HR189" s="1"/>
      <c r="HS189" s="1"/>
      <c r="HT189" s="1"/>
      <c r="HU189" s="1"/>
      <c r="HV189" s="1"/>
      <c r="HW189" s="1"/>
      <c r="HX189" s="1"/>
      <c r="HY189" s="1"/>
      <c r="HZ189" s="1"/>
      <c r="IA189" s="1"/>
      <c r="IB189" s="1"/>
      <c r="IC189" s="1"/>
      <c r="ID189" s="1"/>
      <c r="IE189" s="1"/>
      <c r="IF189" s="1"/>
      <c r="IG189" s="1"/>
      <c r="IH189" s="21"/>
      <c r="II189" s="19"/>
      <c r="IJ189" s="19"/>
      <c r="IK189" s="19"/>
      <c r="IL189" s="19"/>
      <c r="IM189" s="19"/>
      <c r="IN189" s="19"/>
      <c r="IO189" s="39"/>
      <c r="IP189" s="39"/>
      <c r="IQ189" s="39"/>
      <c r="IR189" s="39"/>
      <c r="IS189" s="39"/>
      <c r="IT189" s="39"/>
      <c r="IU189" s="39"/>
      <c r="IV189" s="39"/>
      <c r="IW189" s="39"/>
      <c r="IX189" s="39"/>
      <c r="IY189" s="39"/>
      <c r="IZ189" s="39"/>
      <c r="JA189" s="19"/>
      <c r="JB189" s="19"/>
      <c r="JC189" s="19"/>
      <c r="JD189" s="19"/>
      <c r="JE189" s="21"/>
      <c r="JF189" s="1"/>
      <c r="JG189" s="15"/>
      <c r="JH189" s="1"/>
      <c r="JI189" s="1"/>
      <c r="JJ189" s="1"/>
      <c r="JK189" s="1"/>
      <c r="JL189" s="15"/>
      <c r="JM189" s="15"/>
      <c r="JN189" s="21"/>
      <c r="JO189" s="19"/>
      <c r="JP189" s="19"/>
      <c r="JQ189" s="39"/>
      <c r="JR189" s="39"/>
      <c r="JS189" s="39"/>
      <c r="JT189" s="39"/>
      <c r="JU189" s="385"/>
      <c r="JV189" s="39"/>
      <c r="JW189" s="1"/>
      <c r="JX189" s="19"/>
      <c r="JZ189" s="341"/>
      <c r="KA189" s="342"/>
      <c r="KB189" s="469"/>
      <c r="KI189" s="473"/>
      <c r="KJ189" s="473"/>
      <c r="KK189" s="473"/>
    </row>
    <row r="190" spans="1:307" s="26" customFormat="1" ht="15" outlineLevel="1">
      <c r="A190" s="561">
        <f t="shared" si="391"/>
        <v>1090</v>
      </c>
      <c r="B190" s="561">
        <f t="shared" si="513"/>
        <v>90</v>
      </c>
      <c r="C190" s="561">
        <f t="shared" si="105"/>
        <v>1</v>
      </c>
      <c r="D190" s="561" t="str">
        <f t="shared" si="625"/>
        <v/>
      </c>
      <c r="E190" s="475">
        <f>INDEX(Input!$1:$1048576,E$93,$C190*2+MIN($B190,2)+5)
+INDEX(Scenarios!E$121:E$200,MATCH($B190,Scenarios!$B$121:$B$200,0))</f>
        <v>1229</v>
      </c>
      <c r="F190" s="475">
        <f>INDEX(Input!$1:$1048576,F$93,$C190*2+MIN($B190,2)+5)
+INDEX(Scenarios!F$121:F$200,MATCH($B190,Scenarios!$B$121:$B$200,0))</f>
        <v>0</v>
      </c>
      <c r="G190" s="475">
        <f>INDEX(Input!$1:$1048576,G$93,$C190*2+MIN($B190,2)+5)
+INDEX(Scenarios!G$121:G$200,MATCH($B190,Scenarios!$B$121:$B$200,0))</f>
        <v>0</v>
      </c>
      <c r="H190" s="475">
        <f>INDEX(Input!$1:$1048576,H$93,$C190*2+MIN($B190,2)+5)
+INDEX(Scenarios!H$121:H$200,MATCH($B190,Scenarios!$B$121:$B$200,0))</f>
        <v>0</v>
      </c>
      <c r="I190" s="476">
        <f>INDEX(Input!$1:$1048576,I$93,$C190*2+MIN($B190,2)+5)</f>
        <v>0.7</v>
      </c>
      <c r="J190" s="476" t="str">
        <f>INDEX(Input!$1:$1048576,J$93,$C190*2+MIN($B190,2)+5)</f>
        <v>Market</v>
      </c>
      <c r="K190" s="476" t="str">
        <f>INDEX(Input!$1:$1048576,K$93,$C190*2+MIN($B190,2)+5)</f>
        <v>Market</v>
      </c>
      <c r="L190" s="476" t="str">
        <f>INDEX(Input!$1:$1048576,L$93,$C190*2+MIN($B190,2)+5)</f>
        <v>Market</v>
      </c>
      <c r="M190" s="476" t="str">
        <f>INDEX(Input!$1:$1048576,M$93,$C190*2+MIN($B190,2)+5)</f>
        <v>Market</v>
      </c>
      <c r="N190" s="476" t="str">
        <f>INDEX(Input!$1:$1048576,N$93,$C190*2+MIN($B190,2)+5)</f>
        <v>Market</v>
      </c>
      <c r="O190" s="476" t="str">
        <f>INDEX(Input!$1:$1048576,O$93,$C190*2+MIN($B190,2)+5)</f>
        <v>Market</v>
      </c>
      <c r="P190" s="476" t="str">
        <f>INDEX(Input!$1:$1048576,P$93,$C190*2+MIN($B190,2)+5)</f>
        <v>N</v>
      </c>
      <c r="Q190" s="477">
        <f>INDEX(Input!$1:$1048576,Q$93,$C190*2+MIN($B190,2)+5)
+INDEX(Scenarios!Q$121:Q$200,MATCH($B190,Scenarios!$B$121:$B$200,0))</f>
        <v>0</v>
      </c>
      <c r="R190" s="478">
        <f>IFERROR(MAX(0,INDEX(Input!$1:$1048576,R$93,$C190*2+MIN($B190,2)+5)
+INDEX(Scenarios!R$121:R$200,MATCH($B190,Scenarios!$B$121:$B$200,0)),),"Market")</f>
        <v>0</v>
      </c>
      <c r="S190" s="478">
        <f>IFERROR(MAX(0,INDEX(Input!$1:$1048576,S$93,$C190*2+MIN($B190,2)+5)
+INDEX(Scenarios!S$121:S$200,MATCH($B190,Scenarios!$B$121:$B$200,0)),),"Market")</f>
        <v>0</v>
      </c>
      <c r="T190" s="478">
        <f>IFERROR(MAX(0,INDEX(Input!$1:$1048576,T$93,$C190*2+MIN($B190,2)+5)
+INDEX(Scenarios!T$121:T$200,MATCH($B190,Scenarios!$B$121:$B$200,0)),),"Market")</f>
        <v>0</v>
      </c>
      <c r="U190" s="478">
        <f>IFERROR(MAX(0,INDEX(Input!$1:$1048576,U$93,$C190*2+MIN($B190,2)+5)
+INDEX(Scenarios!U$121:U$200,MATCH($B190,Scenarios!$B$121:$B$200,0)),),"Market")</f>
        <v>0</v>
      </c>
      <c r="V190" s="478">
        <f>IFERROR(MAX(0,INDEX(Input!$1:$1048576,V$93,$C190*2+MIN($B190,2)+5)
+INDEX(Scenarios!V$121:V$200,MATCH($B190,Scenarios!$B$121:$B$200,0)),),"Market")</f>
        <v>1.9E-2</v>
      </c>
      <c r="W190" s="885">
        <f>IFERROR(MAX(0,INDEX(Input!$1:$1048576,W$93,$C190*2+MIN($B190,2)+5)-0%,),"Market")</f>
        <v>3.9E-2</v>
      </c>
      <c r="X190" s="476" t="str">
        <f>INDEX(Input!$1:$1048576,X$93,$C190*2+MIN($B190,2)+5)</f>
        <v>Y</v>
      </c>
      <c r="Y190" s="475">
        <f>INDEX(Input!$1:$1048576,Y$93,$C190*2+MIN($B190,2)+5)
++INDEX(Scenarios!Y$121:Y$200,MATCH($B190,Scenarios!$B$121:$B$200,0))</f>
        <v>1942</v>
      </c>
      <c r="Z190" s="477">
        <f>INDEX(Input!$1:$1048576,Z$93,$C190*2+MIN($B190,2)+5)
+INDEX(Scenarios!Z$121:Z$200,MATCH($B190,Scenarios!$B$121:$B$200,0))</f>
        <v>0</v>
      </c>
      <c r="AA190" s="475">
        <f>INDEX(Input!$1:$1048576,AA$93,$C190*2+MIN($B190,2)+5)
+INDEX(Scenarios!AA$121:AA$200,MATCH($B190,Scenarios!$B$121:$B$200,0))</f>
        <v>0</v>
      </c>
      <c r="AB190" s="476">
        <f>INDEX(Input!$1:$1048576,AB$93,$C190*2+MIN($B190,2)+5)</f>
        <v>0.27</v>
      </c>
      <c r="AC190" s="475">
        <f>INDEX(Input!$1:$1048576,AC$93,$C190*2+MIN($B190,2)+5)
+INDEX(Scenarios!AC$121:AC$200,MATCH($B190,Scenarios!$B$121:$B$200,0))</f>
        <v>0</v>
      </c>
      <c r="AD190" s="476">
        <f>INDEX(Input!$1:$1048576,AD$93,$C190*2+MIN($B190,2)+5)</f>
        <v>0.27</v>
      </c>
      <c r="AE190" s="475">
        <f>INDEX(Input!$1:$1048576,AE$93,$C190*2+MIN($B190,2)+5)
+INDEX(Scenarios!AE$121:AE$200,MATCH($B190,Scenarios!$B$121:$B$200,0))</f>
        <v>0</v>
      </c>
      <c r="AF190" s="476">
        <f>INDEX(Input!$1:$1048576,AF$93,$C190*2+MIN($B190,2)+5)</f>
        <v>0.38</v>
      </c>
      <c r="AG190" s="475">
        <f>INDEX(Input!$1:$1048576,AG$93,$C190*2+MIN($B190,2)+5)
+INDEX(Scenarios!AG$121:AG$200,MATCH($B190,Scenarios!$B$121:$B$200,0))</f>
        <v>0</v>
      </c>
      <c r="AH190" s="476">
        <f>INDEX(Input!$1:$1048576,AH$93,$C190*2+MIN($B190,2)+5)</f>
        <v>0</v>
      </c>
      <c r="AI190" s="475">
        <f>INDEX(Input!$1:$1048576,AI$93,$C190*2+MIN($B190,2)+5)
+INDEX(Scenarios!AI$121:AI$200,MATCH($B190,Scenarios!$B$121:$B$200,0))</f>
        <v>0</v>
      </c>
      <c r="AJ190" s="476">
        <f>INDEX(Input!$1:$1048576,AJ$93,$C190*2+MIN($B190,2)+5)</f>
        <v>0.27</v>
      </c>
      <c r="AK190" s="150">
        <f>ROUND(INDEX(Input!$1:$1048576,AK$93,$C189*2+MIN($B190,1)+5)+(Y190-VLOOKUP($C190*1000+1,$A:$HH,Y$92,FALSE)),0)</f>
        <v>3757</v>
      </c>
      <c r="AL190" s="150">
        <f>ROUND(INDEX(Input!$1:$1048576,AL$93,$C189*2+MIN($B190,1)+5)-(Y190-VLOOKUP($C190*1000+1,$A:$HH,Y$92,FALSE))/36,0)</f>
        <v>4113</v>
      </c>
      <c r="AM190" s="32" t="str">
        <f t="shared" si="392"/>
        <v>std/std/std/std</v>
      </c>
      <c r="AN190" s="32" t="str">
        <f t="shared" si="393"/>
        <v>$0 + 0/0/0/1.9/3.9</v>
      </c>
      <c r="AO190" s="32" t="str">
        <f t="shared" si="394"/>
        <v>0/0/0/1.9/3.9</v>
      </c>
      <c r="AP190" s="32" t="str">
        <f t="shared" si="498"/>
        <v>0/0.9/1.9/3.9</v>
      </c>
      <c r="AQ190" s="536">
        <f t="shared" si="497"/>
        <v>0</v>
      </c>
      <c r="AR190" s="32"/>
      <c r="AS190" s="302"/>
      <c r="AT190" s="3">
        <f t="shared" si="106"/>
        <v>90</v>
      </c>
      <c r="AU190" s="41" t="s">
        <v>121</v>
      </c>
      <c r="AV190" s="41" t="s">
        <v>116</v>
      </c>
      <c r="AW190" s="41" t="str">
        <f>INDEX(Input!$1:$1048576,AW$93,$C190*2+6)</f>
        <v>Kia</v>
      </c>
      <c r="AX190" s="41" t="str">
        <f>INDEX(Input!$1:$1048576,AX$93,$C190*2+6)</f>
        <v>Kia-LR - L1</v>
      </c>
      <c r="AY190" s="41" t="str">
        <f>IF(LEN(D190)=0,"",INDEX(Input!$1:$1048576,AY$93,$C190*2+6))</f>
        <v/>
      </c>
      <c r="AZ190" s="41" t="str">
        <f>INDEX(Input!$1:$1048576,AZ$93,$C190*2+6)</f>
        <v>Kia Soul</v>
      </c>
      <c r="BA190" s="3">
        <f>INDEX(Input!$1:$1048576,BA$93,$C190*2+6)</f>
        <v>2020</v>
      </c>
      <c r="BB190" s="128">
        <f>INDEX(Input!$1:$1048576,BB$93,$C190*2+6)</f>
        <v>1</v>
      </c>
      <c r="BC190" s="128">
        <f>INDEX(Input!$1:$1048576,BC$93,$C190*2+6)</f>
        <v>0.7</v>
      </c>
      <c r="BD190" s="1">
        <f>INDEX(Input!$1:$1048576,BD$93,$C190*2+6)</f>
        <v>4.4999999999999998E-2</v>
      </c>
      <c r="BE190" s="1">
        <f>INDEX(Input!$1:$1048576,BE$93,$C190*2+6)</f>
        <v>4.4999999999999998E-2</v>
      </c>
      <c r="BF190" s="1">
        <f>INDEX(Input!$1:$1048576,BF$93,$C190*2+6)</f>
        <v>0.05</v>
      </c>
      <c r="BG190" s="1">
        <f>INDEX(Input!$1:$1048576,BG$93,$C190*2+6)</f>
        <v>5.45E-2</v>
      </c>
      <c r="BH190" s="1">
        <f>INDEX(Input!$1:$1048576,BH$93,$C190*2+6)</f>
        <v>5.45E-2</v>
      </c>
      <c r="BI190" s="1">
        <f>INDEX(Input!$1:$1048576,BI$93,$C190*2+6)</f>
        <v>0.05</v>
      </c>
      <c r="BJ190" s="1">
        <f>INDEX(Input!$1:$1048576,BJ$93,$C190*2+6)</f>
        <v>0.05</v>
      </c>
      <c r="BK190" s="1">
        <f>INDEX(Input!$1:$1048576,BK$93,$C190*2+6)</f>
        <v>0.05</v>
      </c>
      <c r="BL190" s="1">
        <f>INDEX(Input!$1:$1048576,BL$93,$C190*2+6)</f>
        <v>5.5E-2</v>
      </c>
      <c r="BM190" s="1">
        <f>INDEX(Input!$1:$1048576,BM$93,$C190*2+6)</f>
        <v>0.06</v>
      </c>
      <c r="BN190" s="1">
        <f>INDEX(Input!$1:$1048576,BN$93,$C190*2+6)</f>
        <v>4.4999999999999998E-2</v>
      </c>
      <c r="BO190" s="1">
        <f>INDEX(Input!$1:$1048576,BO$93,$C190*2+6)</f>
        <v>4.4999999999999998E-2</v>
      </c>
      <c r="BP190" s="1">
        <f>INDEX(Input!$1:$1048576,BP$93,$C190*2+6)</f>
        <v>0.05</v>
      </c>
      <c r="BQ190" s="1">
        <f>INDEX(Input!$1:$1048576,BQ$93,$C190*2+6)</f>
        <v>5.45E-2</v>
      </c>
      <c r="BR190" s="1">
        <f>INDEX(Input!$1:$1048576,BR$93,$C190*2+6)</f>
        <v>5.45E-2</v>
      </c>
      <c r="BS190" s="1">
        <f>INDEX(Input!$1:$1048576,BS$93,$C190*2+6)</f>
        <v>0.05</v>
      </c>
      <c r="BT190" s="1">
        <f>INDEX(Input!$1:$1048576,BT$93,$C190*2+6)</f>
        <v>0.05</v>
      </c>
      <c r="BU190" s="1">
        <f>INDEX(Input!$1:$1048576,BU$93,$C190*2+6)</f>
        <v>0.05</v>
      </c>
      <c r="BV190" s="1">
        <f>INDEX(Input!$1:$1048576,BV$93,$C190*2+6)</f>
        <v>5.5E-2</v>
      </c>
      <c r="BW190" s="1">
        <f>INDEX(Input!$1:$1048576,BW$93,$C190*2+6)</f>
        <v>0.06</v>
      </c>
      <c r="BX190" s="127">
        <f>INDEX(Input!$1:$1048576,BX$93,$C190*2+6)</f>
        <v>19985</v>
      </c>
      <c r="BY190" s="20">
        <f>INDEX(Input!$1:$1048576,BY$93,$C190*2+6)</f>
        <v>0.1</v>
      </c>
      <c r="BZ190" s="20">
        <f>INDEX(Input!$1:$1048576,BZ$93,$C190*2+6)</f>
        <v>0.1</v>
      </c>
      <c r="CA190" s="20">
        <f>INDEX(Input!$1:$1048576,CA$93,$C190*2+6)</f>
        <v>0.1</v>
      </c>
      <c r="CB190" s="20">
        <f>INDEX(Input!$1:$1048576,CB$93,$C190*2+6)</f>
        <v>0.1</v>
      </c>
      <c r="CC190" s="20">
        <f>INDEX(Input!$1:$1048576,CC$93,$C190*2+6)</f>
        <v>0.1</v>
      </c>
      <c r="CD190" s="384">
        <f>INDEX(Input!$1:$1048576,CD$93,$C190*2+6)</f>
        <v>0.1</v>
      </c>
      <c r="CE190" s="384">
        <f>INDEX(Input!$1:$1048576,CE$93,$C190*2+6)</f>
        <v>0.1</v>
      </c>
      <c r="CF190" s="384">
        <f>INDEX(Input!$1:$1048576,CF$93,$C190*2+6)</f>
        <v>0.1</v>
      </c>
      <c r="CG190" s="384">
        <f>INDEX(Input!$1:$1048576,CG$93,$C190*2+6)</f>
        <v>0.1</v>
      </c>
      <c r="CH190" s="384">
        <f>INDEX(Input!$1:$1048576,CH$93,$C190*2+6)</f>
        <v>0.1</v>
      </c>
      <c r="CI190" s="304">
        <f t="shared" si="499"/>
        <v>1229</v>
      </c>
      <c r="CJ190" s="16" t="str">
        <f>INDEX(Input!$1:$1048576,CJ$93,$C190*2+6)</f>
        <v>N</v>
      </c>
      <c r="CK190" s="1" t="str">
        <f t="shared" si="500"/>
        <v>Market</v>
      </c>
      <c r="CL190" s="1" t="str">
        <f t="shared" si="501"/>
        <v>Market</v>
      </c>
      <c r="CM190" s="1" t="str">
        <f t="shared" si="502"/>
        <v>Market</v>
      </c>
      <c r="CN190" s="1" t="str">
        <f t="shared" si="503"/>
        <v>Market</v>
      </c>
      <c r="CO190" s="1" t="str">
        <f t="shared" si="504"/>
        <v>Market</v>
      </c>
      <c r="CP190" s="304">
        <f t="shared" si="505"/>
        <v>0</v>
      </c>
      <c r="CQ190" s="1">
        <f t="shared" si="506"/>
        <v>0</v>
      </c>
      <c r="CR190" s="1">
        <f t="shared" si="507"/>
        <v>0</v>
      </c>
      <c r="CS190" s="1">
        <f t="shared" si="508"/>
        <v>0</v>
      </c>
      <c r="CT190" s="1">
        <f t="shared" si="509"/>
        <v>1.9E-2</v>
      </c>
      <c r="CU190" s="1">
        <f t="shared" si="510"/>
        <v>3.9E-2</v>
      </c>
      <c r="CV190" s="304">
        <f t="shared" si="511"/>
        <v>1942</v>
      </c>
      <c r="CW190" s="20" t="s">
        <v>122</v>
      </c>
      <c r="CX190" s="20" t="s">
        <v>122</v>
      </c>
      <c r="CY190" s="20" t="s">
        <v>122</v>
      </c>
      <c r="CZ190" s="20" t="s">
        <v>122</v>
      </c>
      <c r="DA190" s="20" t="s">
        <v>122</v>
      </c>
      <c r="DB190" s="503">
        <f t="shared" si="512"/>
        <v>0</v>
      </c>
      <c r="DC190" s="127">
        <v>0</v>
      </c>
      <c r="DD190" s="127">
        <v>0</v>
      </c>
      <c r="DE190" s="127">
        <v>0</v>
      </c>
      <c r="DF190" s="127">
        <v>0</v>
      </c>
      <c r="DG190" s="127">
        <v>0</v>
      </c>
      <c r="DH190" s="127">
        <v>0</v>
      </c>
      <c r="DI190" s="127">
        <v>0</v>
      </c>
      <c r="DJ190" s="127">
        <v>0</v>
      </c>
      <c r="DK190" s="127">
        <v>0</v>
      </c>
      <c r="DL190" s="127">
        <v>0</v>
      </c>
      <c r="DM190" s="304">
        <f>INDEX(Input!$1:$1048576,DM$93,$C190*2+6)</f>
        <v>21036.84210526316</v>
      </c>
      <c r="DN190" s="20">
        <v>0</v>
      </c>
      <c r="DO190" s="20">
        <v>0</v>
      </c>
      <c r="DP190" s="20">
        <v>0</v>
      </c>
      <c r="DQ190" s="20">
        <v>0</v>
      </c>
      <c r="DR190" s="20">
        <v>0</v>
      </c>
      <c r="DS190" s="20">
        <f>INDEX(Input!$1:$1048576,DS$93,$C190*2+6)</f>
        <v>0.6</v>
      </c>
      <c r="DT190" s="20">
        <f>INDEX(Input!$1:$1048576,DT$93,$C190*2+6)</f>
        <v>0.55000000000000004</v>
      </c>
      <c r="DU190" s="20">
        <f>INDEX(Input!$1:$1048576,DU$93,$C190*2+6)</f>
        <v>0.52</v>
      </c>
      <c r="DV190" s="20">
        <f>INDEX(Input!$1:$1048576,DV$93,$C190*2+6)</f>
        <v>0.5</v>
      </c>
      <c r="DW190" s="20">
        <f>INDEX(Input!$1:$1048576,DW$93,$C190*2+6)</f>
        <v>0.45</v>
      </c>
      <c r="DX190" s="20"/>
      <c r="DY190" s="7"/>
      <c r="DZ190" s="7"/>
      <c r="EA190" s="7"/>
      <c r="EB190" s="7"/>
      <c r="EC190" s="7"/>
      <c r="ED190" s="7"/>
      <c r="EE190" s="7"/>
      <c r="EF190" s="7"/>
      <c r="EG190" s="7"/>
      <c r="EH190" s="7"/>
      <c r="EI190" s="7"/>
      <c r="EJ190" s="7"/>
      <c r="EK190" s="7"/>
      <c r="EL190" s="7"/>
      <c r="EM190" s="7"/>
      <c r="EN190" s="7"/>
      <c r="EO190" s="7"/>
      <c r="EP190" s="7"/>
      <c r="EQ190" s="7"/>
      <c r="ER190" s="7"/>
      <c r="ES190" s="7"/>
      <c r="ET190" s="7"/>
      <c r="EU190" s="6"/>
      <c r="EV190" s="6"/>
      <c r="EW190" s="6"/>
      <c r="EX190" s="6"/>
      <c r="EY190" s="6"/>
      <c r="EZ190" s="6"/>
      <c r="FA190" s="6"/>
      <c r="FB190" s="6"/>
      <c r="FC190" s="6"/>
      <c r="FD190" s="6"/>
      <c r="FE190" s="6"/>
      <c r="FF190" s="6"/>
      <c r="FG190" s="6"/>
      <c r="FH190" s="6"/>
      <c r="FI190" s="6"/>
      <c r="FJ190" s="6"/>
      <c r="FK190" s="6"/>
      <c r="FL190" s="6"/>
      <c r="FM190" s="6"/>
      <c r="FN190" s="6"/>
      <c r="FO190" s="6"/>
      <c r="FP190" s="6"/>
      <c r="FQ190" s="6"/>
      <c r="FR190" s="6"/>
      <c r="FS190" s="6"/>
      <c r="FT190" s="7"/>
      <c r="FU190" s="7"/>
      <c r="FV190" s="7"/>
      <c r="FW190" s="6"/>
      <c r="FX190" s="6"/>
      <c r="FY190" s="6"/>
      <c r="FZ190" s="6"/>
      <c r="GA190" s="6"/>
      <c r="GB190" s="6"/>
      <c r="GC190" s="7"/>
      <c r="GD190" s="7"/>
      <c r="GE190" s="7"/>
      <c r="GF190" s="7"/>
      <c r="GG190" s="7"/>
      <c r="GH190" s="42"/>
      <c r="GI190" s="6"/>
      <c r="GJ190" s="14"/>
      <c r="GK190" s="14"/>
      <c r="GL190" s="14"/>
      <c r="GM190" s="14"/>
      <c r="GO190" s="5"/>
      <c r="GP190" s="5"/>
      <c r="GQ190" s="5"/>
      <c r="GR190" s="5"/>
      <c r="GS190" s="5"/>
      <c r="GT190" s="5"/>
      <c r="GU190" s="5"/>
      <c r="GV190" s="39"/>
      <c r="GW190" s="5"/>
      <c r="GX190" s="5"/>
      <c r="GY190" s="5"/>
      <c r="GZ190" s="5"/>
      <c r="HA190" s="5"/>
      <c r="HB190" s="39"/>
      <c r="HC190" s="5"/>
      <c r="HD190" s="5"/>
      <c r="HE190" s="5"/>
      <c r="HF190" s="5"/>
      <c r="HG190" s="5"/>
      <c r="HH190" s="39"/>
      <c r="HI190" s="16"/>
      <c r="HJ190" s="19"/>
      <c r="HK190" s="1"/>
      <c r="HL190" s="16"/>
      <c r="HM190" s="1"/>
      <c r="HN190" s="1"/>
      <c r="HO190" s="1"/>
      <c r="HP190" s="1"/>
      <c r="HQ190" s="1"/>
      <c r="HR190" s="1"/>
      <c r="HS190" s="1"/>
      <c r="HT190" s="1"/>
      <c r="HU190" s="1"/>
      <c r="HV190" s="1"/>
      <c r="HW190" s="1"/>
      <c r="HX190" s="1"/>
      <c r="HY190" s="1"/>
      <c r="HZ190" s="1"/>
      <c r="IA190" s="1"/>
      <c r="IB190" s="1"/>
      <c r="IC190" s="1"/>
      <c r="ID190" s="1"/>
      <c r="IE190" s="1"/>
      <c r="IF190" s="1"/>
      <c r="IG190" s="1"/>
      <c r="IH190" s="21"/>
      <c r="II190" s="19"/>
      <c r="IJ190" s="19"/>
      <c r="IK190" s="19"/>
      <c r="IL190" s="19"/>
      <c r="IM190" s="19"/>
      <c r="IN190" s="19"/>
      <c r="IO190" s="39"/>
      <c r="IP190" s="39"/>
      <c r="IQ190" s="39"/>
      <c r="IR190" s="39"/>
      <c r="IS190" s="39"/>
      <c r="IT190" s="39"/>
      <c r="IU190" s="39"/>
      <c r="IV190" s="39"/>
      <c r="IW190" s="39"/>
      <c r="IX190" s="39"/>
      <c r="IY190" s="39"/>
      <c r="IZ190" s="39"/>
      <c r="JA190" s="19"/>
      <c r="JB190" s="19"/>
      <c r="JC190" s="19"/>
      <c r="JD190" s="19"/>
      <c r="JE190" s="21"/>
      <c r="JF190" s="1"/>
      <c r="JG190" s="15"/>
      <c r="JH190" s="1"/>
      <c r="JI190" s="1"/>
      <c r="JJ190" s="1"/>
      <c r="JK190" s="1"/>
      <c r="JL190" s="15"/>
      <c r="JM190" s="15"/>
      <c r="JN190" s="21"/>
      <c r="JO190" s="19"/>
      <c r="JP190" s="19"/>
      <c r="JQ190" s="39"/>
      <c r="JR190" s="39"/>
      <c r="JS190" s="39"/>
      <c r="JT190" s="39"/>
      <c r="JU190" s="385"/>
      <c r="JV190" s="39"/>
      <c r="JW190" s="1"/>
      <c r="JX190" s="19"/>
      <c r="JZ190" s="341"/>
      <c r="KA190" s="342"/>
      <c r="KB190" s="469"/>
      <c r="KI190" s="473"/>
      <c r="KJ190" s="473"/>
      <c r="KK190" s="473"/>
    </row>
    <row r="191" spans="1:307" s="26" customFormat="1" ht="15" outlineLevel="1">
      <c r="A191" s="561">
        <f t="shared" si="391"/>
        <v>1091</v>
      </c>
      <c r="B191" s="561">
        <f t="shared" si="513"/>
        <v>91</v>
      </c>
      <c r="C191" s="561">
        <f t="shared" si="105"/>
        <v>1</v>
      </c>
      <c r="D191" s="561" t="str">
        <f t="shared" si="625"/>
        <v/>
      </c>
      <c r="E191" s="475">
        <f>INDEX(Input!$1:$1048576,E$93,$C191*2+MIN($B191,2)+5)
+INDEX(Scenarios!E$121:E$200,MATCH($B191,Scenarios!$B$121:$B$200,0))</f>
        <v>1229</v>
      </c>
      <c r="F191" s="475">
        <f>INDEX(Input!$1:$1048576,F$93,$C191*2+MIN($B191,2)+5)
+INDEX(Scenarios!F$121:F$200,MATCH($B191,Scenarios!$B$121:$B$200,0))</f>
        <v>0</v>
      </c>
      <c r="G191" s="475">
        <f>INDEX(Input!$1:$1048576,G$93,$C191*2+MIN($B191,2)+5)
+INDEX(Scenarios!G$121:G$200,MATCH($B191,Scenarios!$B$121:$B$200,0))</f>
        <v>0</v>
      </c>
      <c r="H191" s="475">
        <f>INDEX(Input!$1:$1048576,H$93,$C191*2+MIN($B191,2)+5)
+INDEX(Scenarios!H$121:H$200,MATCH($B191,Scenarios!$B$121:$B$200,0))</f>
        <v>0</v>
      </c>
      <c r="I191" s="476">
        <f>INDEX(Input!$1:$1048576,I$93,$C191*2+MIN($B191,2)+5)</f>
        <v>0.7</v>
      </c>
      <c r="J191" s="476" t="str">
        <f>INDEX(Input!$1:$1048576,J$93,$C191*2+MIN($B191,2)+5)</f>
        <v>Market</v>
      </c>
      <c r="K191" s="476" t="str">
        <f>INDEX(Input!$1:$1048576,K$93,$C191*2+MIN($B191,2)+5)</f>
        <v>Market</v>
      </c>
      <c r="L191" s="476" t="str">
        <f>INDEX(Input!$1:$1048576,L$93,$C191*2+MIN($B191,2)+5)</f>
        <v>Market</v>
      </c>
      <c r="M191" s="476" t="str">
        <f>INDEX(Input!$1:$1048576,M$93,$C191*2+MIN($B191,2)+5)</f>
        <v>Market</v>
      </c>
      <c r="N191" s="476" t="str">
        <f>INDEX(Input!$1:$1048576,N$93,$C191*2+MIN($B191,2)+5)</f>
        <v>Market</v>
      </c>
      <c r="O191" s="476" t="str">
        <f>INDEX(Input!$1:$1048576,O$93,$C191*2+MIN($B191,2)+5)</f>
        <v>Market</v>
      </c>
      <c r="P191" s="476" t="str">
        <f>INDEX(Input!$1:$1048576,P$93,$C191*2+MIN($B191,2)+5)</f>
        <v>N</v>
      </c>
      <c r="Q191" s="477">
        <f>INDEX(Input!$1:$1048576,Q$93,$C191*2+MIN($B191,2)+5)
+INDEX(Scenarios!Q$121:Q$200,MATCH($B191,Scenarios!$B$121:$B$200,0))</f>
        <v>0</v>
      </c>
      <c r="R191" s="478">
        <f>IFERROR(MAX(0,INDEX(Input!$1:$1048576,R$93,$C191*2+MIN($B191,2)+5)
+INDEX(Scenarios!R$121:R$200,MATCH($B191,Scenarios!$B$121:$B$200,0)),),"Market")</f>
        <v>0</v>
      </c>
      <c r="S191" s="478">
        <f>IFERROR(MAX(0,INDEX(Input!$1:$1048576,S$93,$C191*2+MIN($B191,2)+5)
+INDEX(Scenarios!S$121:S$200,MATCH($B191,Scenarios!$B$121:$B$200,0)),),"Market")</f>
        <v>0</v>
      </c>
      <c r="T191" s="478">
        <f>IFERROR(MAX(0,INDEX(Input!$1:$1048576,T$93,$C191*2+MIN($B191,2)+5)
+INDEX(Scenarios!T$121:T$200,MATCH($B191,Scenarios!$B$121:$B$200,0)),),"Market")</f>
        <v>0</v>
      </c>
      <c r="U191" s="478">
        <f>IFERROR(MAX(0,INDEX(Input!$1:$1048576,U$93,$C191*2+MIN($B191,2)+5)
+INDEX(Scenarios!U$121:U$200,MATCH($B191,Scenarios!$B$121:$B$200,0)),),"Market")</f>
        <v>0</v>
      </c>
      <c r="V191" s="478">
        <f>IFERROR(MAX(0,INDEX(Input!$1:$1048576,V$93,$C191*2+MIN($B191,2)+5)
+INDEX(Scenarios!V$121:V$200,MATCH($B191,Scenarios!$B$121:$B$200,0)),),"Market")</f>
        <v>1.9E-2</v>
      </c>
      <c r="W191" s="885">
        <f>IFERROR(MAX(0,INDEX(Input!$1:$1048576,W$93,$C191*2+MIN($B191,2)+5)-0%,),"Market")</f>
        <v>3.9E-2</v>
      </c>
      <c r="X191" s="476" t="str">
        <f>INDEX(Input!$1:$1048576,X$93,$C191*2+MIN($B191,2)+5)</f>
        <v>Y</v>
      </c>
      <c r="Y191" s="475">
        <f>INDEX(Input!$1:$1048576,Y$93,$C191*2+MIN($B191,2)+5)
++INDEX(Scenarios!Y$121:Y$200,MATCH($B191,Scenarios!$B$121:$B$200,0))</f>
        <v>1942</v>
      </c>
      <c r="Z191" s="477">
        <f>INDEX(Input!$1:$1048576,Z$93,$C191*2+MIN($B191,2)+5)
+INDEX(Scenarios!Z$121:Z$200,MATCH($B191,Scenarios!$B$121:$B$200,0))</f>
        <v>0</v>
      </c>
      <c r="AA191" s="475">
        <f>INDEX(Input!$1:$1048576,AA$93,$C191*2+MIN($B191,2)+5)
+INDEX(Scenarios!AA$121:AA$200,MATCH($B191,Scenarios!$B$121:$B$200,0))</f>
        <v>0</v>
      </c>
      <c r="AB191" s="476">
        <f>INDEX(Input!$1:$1048576,AB$93,$C191*2+MIN($B191,2)+5)</f>
        <v>0.27</v>
      </c>
      <c r="AC191" s="475">
        <f>INDEX(Input!$1:$1048576,AC$93,$C191*2+MIN($B191,2)+5)
+INDEX(Scenarios!AC$121:AC$200,MATCH($B191,Scenarios!$B$121:$B$200,0))</f>
        <v>0</v>
      </c>
      <c r="AD191" s="476">
        <f>INDEX(Input!$1:$1048576,AD$93,$C191*2+MIN($B191,2)+5)</f>
        <v>0.27</v>
      </c>
      <c r="AE191" s="475">
        <f>INDEX(Input!$1:$1048576,AE$93,$C191*2+MIN($B191,2)+5)
+INDEX(Scenarios!AE$121:AE$200,MATCH($B191,Scenarios!$B$121:$B$200,0))</f>
        <v>0</v>
      </c>
      <c r="AF191" s="476">
        <f>INDEX(Input!$1:$1048576,AF$93,$C191*2+MIN($B191,2)+5)</f>
        <v>0.38</v>
      </c>
      <c r="AG191" s="475">
        <f>INDEX(Input!$1:$1048576,AG$93,$C191*2+MIN($B191,2)+5)
+INDEX(Scenarios!AG$121:AG$200,MATCH($B191,Scenarios!$B$121:$B$200,0))</f>
        <v>0</v>
      </c>
      <c r="AH191" s="476">
        <f>INDEX(Input!$1:$1048576,AH$93,$C191*2+MIN($B191,2)+5)</f>
        <v>0</v>
      </c>
      <c r="AI191" s="475">
        <f>INDEX(Input!$1:$1048576,AI$93,$C191*2+MIN($B191,2)+5)
+INDEX(Scenarios!AI$121:AI$200,MATCH($B191,Scenarios!$B$121:$B$200,0))</f>
        <v>0</v>
      </c>
      <c r="AJ191" s="476">
        <f>INDEX(Input!$1:$1048576,AJ$93,$C191*2+MIN($B191,2)+5)</f>
        <v>0.27</v>
      </c>
      <c r="AK191" s="150">
        <f>ROUND(INDEX(Input!$1:$1048576,AK$93,$C190*2+MIN($B191,1)+5)+(Y191-VLOOKUP($C191*1000+1,$A:$HH,Y$92,FALSE)),0)</f>
        <v>3757</v>
      </c>
      <c r="AL191" s="150">
        <f>ROUND(INDEX(Input!$1:$1048576,AL$93,$C190*2+MIN($B191,1)+5)-(Y191-VLOOKUP($C191*1000+1,$A:$HH,Y$92,FALSE))/36,0)</f>
        <v>4113</v>
      </c>
      <c r="AM191" s="32" t="str">
        <f t="shared" si="392"/>
        <v>std/std/std/std</v>
      </c>
      <c r="AN191" s="32" t="str">
        <f t="shared" si="393"/>
        <v>$0 + 0/0/0/1.9/3.9</v>
      </c>
      <c r="AO191" s="32" t="str">
        <f t="shared" si="394"/>
        <v>0/0/0/1.9/3.9</v>
      </c>
      <c r="AP191" s="32" t="str">
        <f t="shared" si="498"/>
        <v>0/0.9/1.9/3.9</v>
      </c>
      <c r="AQ191" s="536">
        <f t="shared" si="497"/>
        <v>0</v>
      </c>
      <c r="AR191" s="32"/>
      <c r="AS191" s="302"/>
      <c r="AT191" s="3">
        <f t="shared" si="106"/>
        <v>91</v>
      </c>
      <c r="AU191" s="41" t="s">
        <v>121</v>
      </c>
      <c r="AV191" s="41" t="s">
        <v>116</v>
      </c>
      <c r="AW191" s="41" t="str">
        <f>INDEX(Input!$1:$1048576,AW$93,$C191*2+6)</f>
        <v>Kia</v>
      </c>
      <c r="AX191" s="41" t="str">
        <f>INDEX(Input!$1:$1048576,AX$93,$C191*2+6)</f>
        <v>Kia-LR - L1</v>
      </c>
      <c r="AY191" s="41" t="str">
        <f>IF(LEN(D191)=0,"",INDEX(Input!$1:$1048576,AY$93,$C191*2+6))</f>
        <v/>
      </c>
      <c r="AZ191" s="41" t="str">
        <f>INDEX(Input!$1:$1048576,AZ$93,$C191*2+6)</f>
        <v>Kia Soul</v>
      </c>
      <c r="BA191" s="3">
        <f>INDEX(Input!$1:$1048576,BA$93,$C191*2+6)</f>
        <v>2020</v>
      </c>
      <c r="BB191" s="128">
        <f>INDEX(Input!$1:$1048576,BB$93,$C191*2+6)</f>
        <v>1</v>
      </c>
      <c r="BC191" s="128">
        <f>INDEX(Input!$1:$1048576,BC$93,$C191*2+6)</f>
        <v>0.7</v>
      </c>
      <c r="BD191" s="1">
        <f>INDEX(Input!$1:$1048576,BD$93,$C191*2+6)</f>
        <v>4.4999999999999998E-2</v>
      </c>
      <c r="BE191" s="1">
        <f>INDEX(Input!$1:$1048576,BE$93,$C191*2+6)</f>
        <v>4.4999999999999998E-2</v>
      </c>
      <c r="BF191" s="1">
        <f>INDEX(Input!$1:$1048576,BF$93,$C191*2+6)</f>
        <v>0.05</v>
      </c>
      <c r="BG191" s="1">
        <f>INDEX(Input!$1:$1048576,BG$93,$C191*2+6)</f>
        <v>5.45E-2</v>
      </c>
      <c r="BH191" s="1">
        <f>INDEX(Input!$1:$1048576,BH$93,$C191*2+6)</f>
        <v>5.45E-2</v>
      </c>
      <c r="BI191" s="1">
        <f>INDEX(Input!$1:$1048576,BI$93,$C191*2+6)</f>
        <v>0.05</v>
      </c>
      <c r="BJ191" s="1">
        <f>INDEX(Input!$1:$1048576,BJ$93,$C191*2+6)</f>
        <v>0.05</v>
      </c>
      <c r="BK191" s="1">
        <f>INDEX(Input!$1:$1048576,BK$93,$C191*2+6)</f>
        <v>0.05</v>
      </c>
      <c r="BL191" s="1">
        <f>INDEX(Input!$1:$1048576,BL$93,$C191*2+6)</f>
        <v>5.5E-2</v>
      </c>
      <c r="BM191" s="1">
        <f>INDEX(Input!$1:$1048576,BM$93,$C191*2+6)</f>
        <v>0.06</v>
      </c>
      <c r="BN191" s="1">
        <f>INDEX(Input!$1:$1048576,BN$93,$C191*2+6)</f>
        <v>4.4999999999999998E-2</v>
      </c>
      <c r="BO191" s="1">
        <f>INDEX(Input!$1:$1048576,BO$93,$C191*2+6)</f>
        <v>4.4999999999999998E-2</v>
      </c>
      <c r="BP191" s="1">
        <f>INDEX(Input!$1:$1048576,BP$93,$C191*2+6)</f>
        <v>0.05</v>
      </c>
      <c r="BQ191" s="1">
        <f>INDEX(Input!$1:$1048576,BQ$93,$C191*2+6)</f>
        <v>5.45E-2</v>
      </c>
      <c r="BR191" s="1">
        <f>INDEX(Input!$1:$1048576,BR$93,$C191*2+6)</f>
        <v>5.45E-2</v>
      </c>
      <c r="BS191" s="1">
        <f>INDEX(Input!$1:$1048576,BS$93,$C191*2+6)</f>
        <v>0.05</v>
      </c>
      <c r="BT191" s="1">
        <f>INDEX(Input!$1:$1048576,BT$93,$C191*2+6)</f>
        <v>0.05</v>
      </c>
      <c r="BU191" s="1">
        <f>INDEX(Input!$1:$1048576,BU$93,$C191*2+6)</f>
        <v>0.05</v>
      </c>
      <c r="BV191" s="1">
        <f>INDEX(Input!$1:$1048576,BV$93,$C191*2+6)</f>
        <v>5.5E-2</v>
      </c>
      <c r="BW191" s="1">
        <f>INDEX(Input!$1:$1048576,BW$93,$C191*2+6)</f>
        <v>0.06</v>
      </c>
      <c r="BX191" s="127">
        <f>INDEX(Input!$1:$1048576,BX$93,$C191*2+6)</f>
        <v>19985</v>
      </c>
      <c r="BY191" s="20">
        <f>INDEX(Input!$1:$1048576,BY$93,$C191*2+6)</f>
        <v>0.1</v>
      </c>
      <c r="BZ191" s="20">
        <f>INDEX(Input!$1:$1048576,BZ$93,$C191*2+6)</f>
        <v>0.1</v>
      </c>
      <c r="CA191" s="20">
        <f>INDEX(Input!$1:$1048576,CA$93,$C191*2+6)</f>
        <v>0.1</v>
      </c>
      <c r="CB191" s="20">
        <f>INDEX(Input!$1:$1048576,CB$93,$C191*2+6)</f>
        <v>0.1</v>
      </c>
      <c r="CC191" s="20">
        <f>INDEX(Input!$1:$1048576,CC$93,$C191*2+6)</f>
        <v>0.1</v>
      </c>
      <c r="CD191" s="384">
        <f>INDEX(Input!$1:$1048576,CD$93,$C191*2+6)</f>
        <v>0.1</v>
      </c>
      <c r="CE191" s="384">
        <f>INDEX(Input!$1:$1048576,CE$93,$C191*2+6)</f>
        <v>0.1</v>
      </c>
      <c r="CF191" s="384">
        <f>INDEX(Input!$1:$1048576,CF$93,$C191*2+6)</f>
        <v>0.1</v>
      </c>
      <c r="CG191" s="384">
        <f>INDEX(Input!$1:$1048576,CG$93,$C191*2+6)</f>
        <v>0.1</v>
      </c>
      <c r="CH191" s="384">
        <f>INDEX(Input!$1:$1048576,CH$93,$C191*2+6)</f>
        <v>0.1</v>
      </c>
      <c r="CI191" s="304">
        <f t="shared" si="499"/>
        <v>1229</v>
      </c>
      <c r="CJ191" s="16" t="str">
        <f>INDEX(Input!$1:$1048576,CJ$93,$C191*2+6)</f>
        <v>N</v>
      </c>
      <c r="CK191" s="1" t="str">
        <f t="shared" si="500"/>
        <v>Market</v>
      </c>
      <c r="CL191" s="1" t="str">
        <f t="shared" si="501"/>
        <v>Market</v>
      </c>
      <c r="CM191" s="1" t="str">
        <f t="shared" si="502"/>
        <v>Market</v>
      </c>
      <c r="CN191" s="1" t="str">
        <f t="shared" si="503"/>
        <v>Market</v>
      </c>
      <c r="CO191" s="1" t="str">
        <f t="shared" si="504"/>
        <v>Market</v>
      </c>
      <c r="CP191" s="304">
        <f t="shared" si="505"/>
        <v>0</v>
      </c>
      <c r="CQ191" s="1">
        <f t="shared" si="506"/>
        <v>0</v>
      </c>
      <c r="CR191" s="1">
        <f t="shared" si="507"/>
        <v>0</v>
      </c>
      <c r="CS191" s="1">
        <f t="shared" si="508"/>
        <v>0</v>
      </c>
      <c r="CT191" s="1">
        <f t="shared" si="509"/>
        <v>1.9E-2</v>
      </c>
      <c r="CU191" s="1">
        <f t="shared" si="510"/>
        <v>3.9E-2</v>
      </c>
      <c r="CV191" s="304">
        <f t="shared" si="511"/>
        <v>1942</v>
      </c>
      <c r="CW191" s="20" t="s">
        <v>122</v>
      </c>
      <c r="CX191" s="20" t="s">
        <v>122</v>
      </c>
      <c r="CY191" s="20" t="s">
        <v>122</v>
      </c>
      <c r="CZ191" s="20" t="s">
        <v>122</v>
      </c>
      <c r="DA191" s="20" t="s">
        <v>122</v>
      </c>
      <c r="DB191" s="503">
        <f t="shared" si="512"/>
        <v>0</v>
      </c>
      <c r="DC191" s="127">
        <v>0</v>
      </c>
      <c r="DD191" s="127">
        <v>0</v>
      </c>
      <c r="DE191" s="127">
        <v>0</v>
      </c>
      <c r="DF191" s="127">
        <v>0</v>
      </c>
      <c r="DG191" s="127">
        <v>0</v>
      </c>
      <c r="DH191" s="127">
        <v>0</v>
      </c>
      <c r="DI191" s="127">
        <v>0</v>
      </c>
      <c r="DJ191" s="127">
        <v>0</v>
      </c>
      <c r="DK191" s="127">
        <v>0</v>
      </c>
      <c r="DL191" s="127">
        <v>0</v>
      </c>
      <c r="DM191" s="304">
        <f>INDEX(Input!$1:$1048576,DM$93,$C191*2+6)</f>
        <v>21036.84210526316</v>
      </c>
      <c r="DN191" s="20">
        <v>0</v>
      </c>
      <c r="DO191" s="20">
        <v>0</v>
      </c>
      <c r="DP191" s="20">
        <v>0</v>
      </c>
      <c r="DQ191" s="20">
        <v>0</v>
      </c>
      <c r="DR191" s="20">
        <v>0</v>
      </c>
      <c r="DS191" s="20">
        <f>INDEX(Input!$1:$1048576,DS$93,$C191*2+6)</f>
        <v>0.6</v>
      </c>
      <c r="DT191" s="20">
        <f>INDEX(Input!$1:$1048576,DT$93,$C191*2+6)</f>
        <v>0.55000000000000004</v>
      </c>
      <c r="DU191" s="20">
        <f>INDEX(Input!$1:$1048576,DU$93,$C191*2+6)</f>
        <v>0.52</v>
      </c>
      <c r="DV191" s="20">
        <f>INDEX(Input!$1:$1048576,DV$93,$C191*2+6)</f>
        <v>0.5</v>
      </c>
      <c r="DW191" s="20">
        <f>INDEX(Input!$1:$1048576,DW$93,$C191*2+6)</f>
        <v>0.45</v>
      </c>
      <c r="DX191" s="20"/>
      <c r="DY191" s="7"/>
      <c r="DZ191" s="7"/>
      <c r="EA191" s="7"/>
      <c r="EB191" s="7"/>
      <c r="EC191" s="7"/>
      <c r="ED191" s="7"/>
      <c r="EE191" s="7"/>
      <c r="EF191" s="7"/>
      <c r="EG191" s="7"/>
      <c r="EH191" s="7"/>
      <c r="EI191" s="7"/>
      <c r="EJ191" s="7"/>
      <c r="EK191" s="7"/>
      <c r="EL191" s="7"/>
      <c r="EM191" s="7"/>
      <c r="EN191" s="7"/>
      <c r="EO191" s="7"/>
      <c r="EP191" s="7"/>
      <c r="EQ191" s="7"/>
      <c r="ER191" s="7"/>
      <c r="ES191" s="7"/>
      <c r="ET191" s="7"/>
      <c r="EU191" s="6"/>
      <c r="EV191" s="6"/>
      <c r="EW191" s="6"/>
      <c r="EX191" s="6"/>
      <c r="EY191" s="6"/>
      <c r="EZ191" s="6"/>
      <c r="FA191" s="6"/>
      <c r="FB191" s="6"/>
      <c r="FC191" s="6"/>
      <c r="FD191" s="6"/>
      <c r="FE191" s="6"/>
      <c r="FF191" s="6"/>
      <c r="FG191" s="6"/>
      <c r="FH191" s="6"/>
      <c r="FI191" s="6"/>
      <c r="FJ191" s="6"/>
      <c r="FK191" s="6"/>
      <c r="FL191" s="6"/>
      <c r="FM191" s="6"/>
      <c r="FN191" s="6"/>
      <c r="FO191" s="6"/>
      <c r="FP191" s="6"/>
      <c r="FQ191" s="6"/>
      <c r="FR191" s="6"/>
      <c r="FS191" s="6"/>
      <c r="FT191" s="7"/>
      <c r="FU191" s="7"/>
      <c r="FV191" s="7"/>
      <c r="FW191" s="6"/>
      <c r="FX191" s="6"/>
      <c r="FY191" s="6"/>
      <c r="FZ191" s="6"/>
      <c r="GA191" s="6"/>
      <c r="GB191" s="6"/>
      <c r="GC191" s="7"/>
      <c r="GD191" s="7"/>
      <c r="GE191" s="7"/>
      <c r="GF191" s="7"/>
      <c r="GG191" s="7"/>
      <c r="GH191" s="42"/>
      <c r="GI191" s="6"/>
      <c r="GJ191" s="14"/>
      <c r="GK191" s="14"/>
      <c r="GL191" s="14"/>
      <c r="GM191" s="14"/>
      <c r="GO191" s="5"/>
      <c r="GP191" s="5"/>
      <c r="GQ191" s="5"/>
      <c r="GR191" s="5"/>
      <c r="GS191" s="5"/>
      <c r="GT191" s="5"/>
      <c r="GU191" s="5"/>
      <c r="GV191" s="39"/>
      <c r="GW191" s="5"/>
      <c r="GX191" s="5"/>
      <c r="GY191" s="5"/>
      <c r="GZ191" s="5"/>
      <c r="HA191" s="5"/>
      <c r="HB191" s="39"/>
      <c r="HC191" s="5"/>
      <c r="HD191" s="5"/>
      <c r="HE191" s="5"/>
      <c r="HF191" s="5"/>
      <c r="HG191" s="5"/>
      <c r="HH191" s="39"/>
      <c r="HI191" s="16"/>
      <c r="HJ191" s="19"/>
      <c r="HK191" s="1"/>
      <c r="HL191" s="16"/>
      <c r="HM191" s="1"/>
      <c r="HN191" s="1"/>
      <c r="HO191" s="1"/>
      <c r="HP191" s="1"/>
      <c r="HQ191" s="1"/>
      <c r="HR191" s="1"/>
      <c r="HS191" s="1"/>
      <c r="HT191" s="1"/>
      <c r="HU191" s="1"/>
      <c r="HV191" s="1"/>
      <c r="HW191" s="1"/>
      <c r="HX191" s="1"/>
      <c r="HY191" s="1"/>
      <c r="HZ191" s="1"/>
      <c r="IA191" s="1"/>
      <c r="IB191" s="1"/>
      <c r="IC191" s="1"/>
      <c r="ID191" s="1"/>
      <c r="IE191" s="1"/>
      <c r="IF191" s="1"/>
      <c r="IG191" s="1"/>
      <c r="IH191" s="21"/>
      <c r="II191" s="19"/>
      <c r="IJ191" s="19"/>
      <c r="IK191" s="19"/>
      <c r="IL191" s="19"/>
      <c r="IM191" s="19"/>
      <c r="IN191" s="19"/>
      <c r="IO191" s="39"/>
      <c r="IP191" s="39"/>
      <c r="IQ191" s="39"/>
      <c r="IR191" s="39"/>
      <c r="IS191" s="39"/>
      <c r="IT191" s="39"/>
      <c r="IU191" s="39"/>
      <c r="IV191" s="39"/>
      <c r="IW191" s="39"/>
      <c r="IX191" s="39"/>
      <c r="IY191" s="39"/>
      <c r="IZ191" s="39"/>
      <c r="JA191" s="19"/>
      <c r="JB191" s="19"/>
      <c r="JC191" s="19"/>
      <c r="JD191" s="19"/>
      <c r="JE191" s="21"/>
      <c r="JF191" s="1"/>
      <c r="JG191" s="15"/>
      <c r="JH191" s="1"/>
      <c r="JI191" s="1"/>
      <c r="JJ191" s="1"/>
      <c r="JK191" s="1"/>
      <c r="JL191" s="15"/>
      <c r="JM191" s="15"/>
      <c r="JN191" s="21"/>
      <c r="JO191" s="19"/>
      <c r="JP191" s="19"/>
      <c r="JQ191" s="39"/>
      <c r="JR191" s="39"/>
      <c r="JS191" s="39"/>
      <c r="JT191" s="39"/>
      <c r="JU191" s="385"/>
      <c r="JV191" s="39"/>
      <c r="JW191" s="1"/>
      <c r="JX191" s="19"/>
      <c r="JZ191" s="341"/>
      <c r="KA191" s="342"/>
      <c r="KB191" s="469"/>
      <c r="KI191" s="473"/>
      <c r="KJ191" s="473"/>
      <c r="KK191" s="473"/>
    </row>
    <row r="192" spans="1:307" s="26" customFormat="1" ht="15" outlineLevel="1">
      <c r="A192" s="561">
        <f t="shared" si="391"/>
        <v>1092</v>
      </c>
      <c r="B192" s="561">
        <f t="shared" si="513"/>
        <v>92</v>
      </c>
      <c r="C192" s="561">
        <f t="shared" si="105"/>
        <v>1</v>
      </c>
      <c r="D192" s="561" t="str">
        <f t="shared" si="625"/>
        <v/>
      </c>
      <c r="E192" s="475">
        <f>INDEX(Input!$1:$1048576,E$93,$C192*2+MIN($B192,2)+5)
+INDEX(Scenarios!E$121:E$200,MATCH($B192,Scenarios!$B$121:$B$200,0))</f>
        <v>1229</v>
      </c>
      <c r="F192" s="475">
        <f>INDEX(Input!$1:$1048576,F$93,$C192*2+MIN($B192,2)+5)
+INDEX(Scenarios!F$121:F$200,MATCH($B192,Scenarios!$B$121:$B$200,0))</f>
        <v>0</v>
      </c>
      <c r="G192" s="475">
        <f>INDEX(Input!$1:$1048576,G$93,$C192*2+MIN($B192,2)+5)
+INDEX(Scenarios!G$121:G$200,MATCH($B192,Scenarios!$B$121:$B$200,0))</f>
        <v>0</v>
      </c>
      <c r="H192" s="475">
        <f>INDEX(Input!$1:$1048576,H$93,$C192*2+MIN($B192,2)+5)
+INDEX(Scenarios!H$121:H$200,MATCH($B192,Scenarios!$B$121:$B$200,0))</f>
        <v>0</v>
      </c>
      <c r="I192" s="476">
        <f>INDEX(Input!$1:$1048576,I$93,$C192*2+MIN($B192,2)+5)</f>
        <v>0.7</v>
      </c>
      <c r="J192" s="476" t="str">
        <f>INDEX(Input!$1:$1048576,J$93,$C192*2+MIN($B192,2)+5)</f>
        <v>Market</v>
      </c>
      <c r="K192" s="476" t="str">
        <f>INDEX(Input!$1:$1048576,K$93,$C192*2+MIN($B192,2)+5)</f>
        <v>Market</v>
      </c>
      <c r="L192" s="476" t="str">
        <f>INDEX(Input!$1:$1048576,L$93,$C192*2+MIN($B192,2)+5)</f>
        <v>Market</v>
      </c>
      <c r="M192" s="476" t="str">
        <f>INDEX(Input!$1:$1048576,M$93,$C192*2+MIN($B192,2)+5)</f>
        <v>Market</v>
      </c>
      <c r="N192" s="476" t="str">
        <f>INDEX(Input!$1:$1048576,N$93,$C192*2+MIN($B192,2)+5)</f>
        <v>Market</v>
      </c>
      <c r="O192" s="476" t="str">
        <f>INDEX(Input!$1:$1048576,O$93,$C192*2+MIN($B192,2)+5)</f>
        <v>Market</v>
      </c>
      <c r="P192" s="476" t="str">
        <f>INDEX(Input!$1:$1048576,P$93,$C192*2+MIN($B192,2)+5)</f>
        <v>N</v>
      </c>
      <c r="Q192" s="477">
        <f>INDEX(Input!$1:$1048576,Q$93,$C192*2+MIN($B192,2)+5)
+INDEX(Scenarios!Q$121:Q$200,MATCH($B192,Scenarios!$B$121:$B$200,0))</f>
        <v>0</v>
      </c>
      <c r="R192" s="478">
        <f>IFERROR(MAX(0,INDEX(Input!$1:$1048576,R$93,$C192*2+MIN($B192,2)+5)
+INDEX(Scenarios!R$121:R$200,MATCH($B192,Scenarios!$B$121:$B$200,0)),),"Market")</f>
        <v>0</v>
      </c>
      <c r="S192" s="478">
        <f>IFERROR(MAX(0,INDEX(Input!$1:$1048576,S$93,$C192*2+MIN($B192,2)+5)
+INDEX(Scenarios!S$121:S$200,MATCH($B192,Scenarios!$B$121:$B$200,0)),),"Market")</f>
        <v>0</v>
      </c>
      <c r="T192" s="478">
        <f>IFERROR(MAX(0,INDEX(Input!$1:$1048576,T$93,$C192*2+MIN($B192,2)+5)
+INDEX(Scenarios!T$121:T$200,MATCH($B192,Scenarios!$B$121:$B$200,0)),),"Market")</f>
        <v>0</v>
      </c>
      <c r="U192" s="478">
        <f>IFERROR(MAX(0,INDEX(Input!$1:$1048576,U$93,$C192*2+MIN($B192,2)+5)
+INDEX(Scenarios!U$121:U$200,MATCH($B192,Scenarios!$B$121:$B$200,0)),),"Market")</f>
        <v>0</v>
      </c>
      <c r="V192" s="478">
        <f>IFERROR(MAX(0,INDEX(Input!$1:$1048576,V$93,$C192*2+MIN($B192,2)+5)
+INDEX(Scenarios!V$121:V$200,MATCH($B192,Scenarios!$B$121:$B$200,0)),),"Market")</f>
        <v>1.9E-2</v>
      </c>
      <c r="W192" s="885">
        <f>IFERROR(MAX(0,INDEX(Input!$1:$1048576,W$93,$C192*2+MIN($B192,2)+5)-0%,),"Market")</f>
        <v>3.9E-2</v>
      </c>
      <c r="X192" s="476" t="str">
        <f>INDEX(Input!$1:$1048576,X$93,$C192*2+MIN($B192,2)+5)</f>
        <v>Y</v>
      </c>
      <c r="Y192" s="475">
        <f>INDEX(Input!$1:$1048576,Y$93,$C192*2+MIN($B192,2)+5)
++INDEX(Scenarios!Y$121:Y$200,MATCH($B192,Scenarios!$B$121:$B$200,0))</f>
        <v>1942</v>
      </c>
      <c r="Z192" s="477">
        <f>INDEX(Input!$1:$1048576,Z$93,$C192*2+MIN($B192,2)+5)
+INDEX(Scenarios!Z$121:Z$200,MATCH($B192,Scenarios!$B$121:$B$200,0))</f>
        <v>0</v>
      </c>
      <c r="AA192" s="475">
        <f>INDEX(Input!$1:$1048576,AA$93,$C192*2+MIN($B192,2)+5)
+INDEX(Scenarios!AA$121:AA$200,MATCH($B192,Scenarios!$B$121:$B$200,0))</f>
        <v>0</v>
      </c>
      <c r="AB192" s="476">
        <f>INDEX(Input!$1:$1048576,AB$93,$C192*2+MIN($B192,2)+5)</f>
        <v>0.27</v>
      </c>
      <c r="AC192" s="475">
        <f>INDEX(Input!$1:$1048576,AC$93,$C192*2+MIN($B192,2)+5)
+INDEX(Scenarios!AC$121:AC$200,MATCH($B192,Scenarios!$B$121:$B$200,0))</f>
        <v>0</v>
      </c>
      <c r="AD192" s="476">
        <f>INDEX(Input!$1:$1048576,AD$93,$C192*2+MIN($B192,2)+5)</f>
        <v>0.27</v>
      </c>
      <c r="AE192" s="475">
        <f>INDEX(Input!$1:$1048576,AE$93,$C192*2+MIN($B192,2)+5)
+INDEX(Scenarios!AE$121:AE$200,MATCH($B192,Scenarios!$B$121:$B$200,0))</f>
        <v>0</v>
      </c>
      <c r="AF192" s="476">
        <f>INDEX(Input!$1:$1048576,AF$93,$C192*2+MIN($B192,2)+5)</f>
        <v>0.38</v>
      </c>
      <c r="AG192" s="475">
        <f>INDEX(Input!$1:$1048576,AG$93,$C192*2+MIN($B192,2)+5)
+INDEX(Scenarios!AG$121:AG$200,MATCH($B192,Scenarios!$B$121:$B$200,0))</f>
        <v>0</v>
      </c>
      <c r="AH192" s="476">
        <f>INDEX(Input!$1:$1048576,AH$93,$C192*2+MIN($B192,2)+5)</f>
        <v>0</v>
      </c>
      <c r="AI192" s="475">
        <f>INDEX(Input!$1:$1048576,AI$93,$C192*2+MIN($B192,2)+5)
+INDEX(Scenarios!AI$121:AI$200,MATCH($B192,Scenarios!$B$121:$B$200,0))</f>
        <v>0</v>
      </c>
      <c r="AJ192" s="476">
        <f>INDEX(Input!$1:$1048576,AJ$93,$C192*2+MIN($B192,2)+5)</f>
        <v>0.27</v>
      </c>
      <c r="AK192" s="150">
        <f>ROUND(INDEX(Input!$1:$1048576,AK$93,$C191*2+MIN($B192,1)+5)+(Y192-VLOOKUP($C192*1000+1,$A:$HH,Y$92,FALSE)),0)</f>
        <v>3757</v>
      </c>
      <c r="AL192" s="150">
        <f>ROUND(INDEX(Input!$1:$1048576,AL$93,$C191*2+MIN($B192,1)+5)-(Y192-VLOOKUP($C192*1000+1,$A:$HH,Y$92,FALSE))/36,0)</f>
        <v>4113</v>
      </c>
      <c r="AM192" s="32" t="str">
        <f t="shared" si="392"/>
        <v>std/std/std/std</v>
      </c>
      <c r="AN192" s="32" t="str">
        <f t="shared" si="393"/>
        <v>$0 + 0/0/0/1.9/3.9</v>
      </c>
      <c r="AO192" s="32" t="str">
        <f t="shared" si="394"/>
        <v>0/0/0/1.9/3.9</v>
      </c>
      <c r="AP192" s="32" t="str">
        <f t="shared" si="498"/>
        <v>0/0.9/1.9/3.9</v>
      </c>
      <c r="AQ192" s="536">
        <f t="shared" si="497"/>
        <v>0</v>
      </c>
      <c r="AR192" s="32"/>
      <c r="AS192" s="302"/>
      <c r="AT192" s="3">
        <f t="shared" si="106"/>
        <v>92</v>
      </c>
      <c r="AU192" s="41" t="s">
        <v>121</v>
      </c>
      <c r="AV192" s="41" t="s">
        <v>116</v>
      </c>
      <c r="AW192" s="41" t="str">
        <f>INDEX(Input!$1:$1048576,AW$93,$C192*2+6)</f>
        <v>Kia</v>
      </c>
      <c r="AX192" s="41" t="str">
        <f>INDEX(Input!$1:$1048576,AX$93,$C192*2+6)</f>
        <v>Kia-LR - L1</v>
      </c>
      <c r="AY192" s="41" t="str">
        <f>IF(LEN(D192)=0,"",INDEX(Input!$1:$1048576,AY$93,$C192*2+6))</f>
        <v/>
      </c>
      <c r="AZ192" s="41" t="str">
        <f>INDEX(Input!$1:$1048576,AZ$93,$C192*2+6)</f>
        <v>Kia Soul</v>
      </c>
      <c r="BA192" s="3">
        <f>INDEX(Input!$1:$1048576,BA$93,$C192*2+6)</f>
        <v>2020</v>
      </c>
      <c r="BB192" s="128">
        <f>INDEX(Input!$1:$1048576,BB$93,$C192*2+6)</f>
        <v>1</v>
      </c>
      <c r="BC192" s="128">
        <f>INDEX(Input!$1:$1048576,BC$93,$C192*2+6)</f>
        <v>0.7</v>
      </c>
      <c r="BD192" s="1">
        <f>INDEX(Input!$1:$1048576,BD$93,$C192*2+6)</f>
        <v>4.4999999999999998E-2</v>
      </c>
      <c r="BE192" s="1">
        <f>INDEX(Input!$1:$1048576,BE$93,$C192*2+6)</f>
        <v>4.4999999999999998E-2</v>
      </c>
      <c r="BF192" s="1">
        <f>INDEX(Input!$1:$1048576,BF$93,$C192*2+6)</f>
        <v>0.05</v>
      </c>
      <c r="BG192" s="1">
        <f>INDEX(Input!$1:$1048576,BG$93,$C192*2+6)</f>
        <v>5.45E-2</v>
      </c>
      <c r="BH192" s="1">
        <f>INDEX(Input!$1:$1048576,BH$93,$C192*2+6)</f>
        <v>5.45E-2</v>
      </c>
      <c r="BI192" s="1">
        <f>INDEX(Input!$1:$1048576,BI$93,$C192*2+6)</f>
        <v>0.05</v>
      </c>
      <c r="BJ192" s="1">
        <f>INDEX(Input!$1:$1048576,BJ$93,$C192*2+6)</f>
        <v>0.05</v>
      </c>
      <c r="BK192" s="1">
        <f>INDEX(Input!$1:$1048576,BK$93,$C192*2+6)</f>
        <v>0.05</v>
      </c>
      <c r="BL192" s="1">
        <f>INDEX(Input!$1:$1048576,BL$93,$C192*2+6)</f>
        <v>5.5E-2</v>
      </c>
      <c r="BM192" s="1">
        <f>INDEX(Input!$1:$1048576,BM$93,$C192*2+6)</f>
        <v>0.06</v>
      </c>
      <c r="BN192" s="1">
        <f>INDEX(Input!$1:$1048576,BN$93,$C192*2+6)</f>
        <v>4.4999999999999998E-2</v>
      </c>
      <c r="BO192" s="1">
        <f>INDEX(Input!$1:$1048576,BO$93,$C192*2+6)</f>
        <v>4.4999999999999998E-2</v>
      </c>
      <c r="BP192" s="1">
        <f>INDEX(Input!$1:$1048576,BP$93,$C192*2+6)</f>
        <v>0.05</v>
      </c>
      <c r="BQ192" s="1">
        <f>INDEX(Input!$1:$1048576,BQ$93,$C192*2+6)</f>
        <v>5.45E-2</v>
      </c>
      <c r="BR192" s="1">
        <f>INDEX(Input!$1:$1048576,BR$93,$C192*2+6)</f>
        <v>5.45E-2</v>
      </c>
      <c r="BS192" s="1">
        <f>INDEX(Input!$1:$1048576,BS$93,$C192*2+6)</f>
        <v>0.05</v>
      </c>
      <c r="BT192" s="1">
        <f>INDEX(Input!$1:$1048576,BT$93,$C192*2+6)</f>
        <v>0.05</v>
      </c>
      <c r="BU192" s="1">
        <f>INDEX(Input!$1:$1048576,BU$93,$C192*2+6)</f>
        <v>0.05</v>
      </c>
      <c r="BV192" s="1">
        <f>INDEX(Input!$1:$1048576,BV$93,$C192*2+6)</f>
        <v>5.5E-2</v>
      </c>
      <c r="BW192" s="1">
        <f>INDEX(Input!$1:$1048576,BW$93,$C192*2+6)</f>
        <v>0.06</v>
      </c>
      <c r="BX192" s="127">
        <f>INDEX(Input!$1:$1048576,BX$93,$C192*2+6)</f>
        <v>19985</v>
      </c>
      <c r="BY192" s="20">
        <f>INDEX(Input!$1:$1048576,BY$93,$C192*2+6)</f>
        <v>0.1</v>
      </c>
      <c r="BZ192" s="20">
        <f>INDEX(Input!$1:$1048576,BZ$93,$C192*2+6)</f>
        <v>0.1</v>
      </c>
      <c r="CA192" s="20">
        <f>INDEX(Input!$1:$1048576,CA$93,$C192*2+6)</f>
        <v>0.1</v>
      </c>
      <c r="CB192" s="20">
        <f>INDEX(Input!$1:$1048576,CB$93,$C192*2+6)</f>
        <v>0.1</v>
      </c>
      <c r="CC192" s="20">
        <f>INDEX(Input!$1:$1048576,CC$93,$C192*2+6)</f>
        <v>0.1</v>
      </c>
      <c r="CD192" s="384">
        <f>INDEX(Input!$1:$1048576,CD$93,$C192*2+6)</f>
        <v>0.1</v>
      </c>
      <c r="CE192" s="384">
        <f>INDEX(Input!$1:$1048576,CE$93,$C192*2+6)</f>
        <v>0.1</v>
      </c>
      <c r="CF192" s="384">
        <f>INDEX(Input!$1:$1048576,CF$93,$C192*2+6)</f>
        <v>0.1</v>
      </c>
      <c r="CG192" s="384">
        <f>INDEX(Input!$1:$1048576,CG$93,$C192*2+6)</f>
        <v>0.1</v>
      </c>
      <c r="CH192" s="384">
        <f>INDEX(Input!$1:$1048576,CH$93,$C192*2+6)</f>
        <v>0.1</v>
      </c>
      <c r="CI192" s="304">
        <f t="shared" si="499"/>
        <v>1229</v>
      </c>
      <c r="CJ192" s="16" t="str">
        <f>INDEX(Input!$1:$1048576,CJ$93,$C192*2+6)</f>
        <v>N</v>
      </c>
      <c r="CK192" s="1" t="str">
        <f t="shared" si="500"/>
        <v>Market</v>
      </c>
      <c r="CL192" s="1" t="str">
        <f t="shared" si="501"/>
        <v>Market</v>
      </c>
      <c r="CM192" s="1" t="str">
        <f t="shared" si="502"/>
        <v>Market</v>
      </c>
      <c r="CN192" s="1" t="str">
        <f t="shared" si="503"/>
        <v>Market</v>
      </c>
      <c r="CO192" s="1" t="str">
        <f t="shared" si="504"/>
        <v>Market</v>
      </c>
      <c r="CP192" s="304">
        <f t="shared" si="505"/>
        <v>0</v>
      </c>
      <c r="CQ192" s="1">
        <f t="shared" si="506"/>
        <v>0</v>
      </c>
      <c r="CR192" s="1">
        <f t="shared" si="507"/>
        <v>0</v>
      </c>
      <c r="CS192" s="1">
        <f t="shared" si="508"/>
        <v>0</v>
      </c>
      <c r="CT192" s="1">
        <f t="shared" si="509"/>
        <v>1.9E-2</v>
      </c>
      <c r="CU192" s="1">
        <f t="shared" si="510"/>
        <v>3.9E-2</v>
      </c>
      <c r="CV192" s="304">
        <f t="shared" si="511"/>
        <v>1942</v>
      </c>
      <c r="CW192" s="20" t="s">
        <v>122</v>
      </c>
      <c r="CX192" s="20" t="s">
        <v>122</v>
      </c>
      <c r="CY192" s="20" t="s">
        <v>122</v>
      </c>
      <c r="CZ192" s="20" t="s">
        <v>122</v>
      </c>
      <c r="DA192" s="20" t="s">
        <v>122</v>
      </c>
      <c r="DB192" s="503">
        <f t="shared" si="512"/>
        <v>0</v>
      </c>
      <c r="DC192" s="127">
        <v>0</v>
      </c>
      <c r="DD192" s="127">
        <v>0</v>
      </c>
      <c r="DE192" s="127">
        <v>0</v>
      </c>
      <c r="DF192" s="127">
        <v>0</v>
      </c>
      <c r="DG192" s="127">
        <v>0</v>
      </c>
      <c r="DH192" s="127">
        <v>0</v>
      </c>
      <c r="DI192" s="127">
        <v>0</v>
      </c>
      <c r="DJ192" s="127">
        <v>0</v>
      </c>
      <c r="DK192" s="127">
        <v>0</v>
      </c>
      <c r="DL192" s="127">
        <v>0</v>
      </c>
      <c r="DM192" s="304">
        <f>INDEX(Input!$1:$1048576,DM$93,$C192*2+6)</f>
        <v>21036.84210526316</v>
      </c>
      <c r="DN192" s="20">
        <v>0</v>
      </c>
      <c r="DO192" s="20">
        <v>0</v>
      </c>
      <c r="DP192" s="20">
        <v>0</v>
      </c>
      <c r="DQ192" s="20">
        <v>0</v>
      </c>
      <c r="DR192" s="20">
        <v>0</v>
      </c>
      <c r="DS192" s="20">
        <f>INDEX(Input!$1:$1048576,DS$93,$C192*2+6)</f>
        <v>0.6</v>
      </c>
      <c r="DT192" s="20">
        <f>INDEX(Input!$1:$1048576,DT$93,$C192*2+6)</f>
        <v>0.55000000000000004</v>
      </c>
      <c r="DU192" s="20">
        <f>INDEX(Input!$1:$1048576,DU$93,$C192*2+6)</f>
        <v>0.52</v>
      </c>
      <c r="DV192" s="20">
        <f>INDEX(Input!$1:$1048576,DV$93,$C192*2+6)</f>
        <v>0.5</v>
      </c>
      <c r="DW192" s="20">
        <f>INDEX(Input!$1:$1048576,DW$93,$C192*2+6)</f>
        <v>0.45</v>
      </c>
      <c r="DX192" s="20"/>
      <c r="DY192" s="7"/>
      <c r="DZ192" s="7"/>
      <c r="EA192" s="7"/>
      <c r="EB192" s="7"/>
      <c r="EC192" s="7"/>
      <c r="ED192" s="7"/>
      <c r="EE192" s="7"/>
      <c r="EF192" s="7"/>
      <c r="EG192" s="7"/>
      <c r="EH192" s="7"/>
      <c r="EI192" s="7"/>
      <c r="EJ192" s="7"/>
      <c r="EK192" s="7"/>
      <c r="EL192" s="7"/>
      <c r="EM192" s="7"/>
      <c r="EN192" s="7"/>
      <c r="EO192" s="7"/>
      <c r="EP192" s="7"/>
      <c r="EQ192" s="7"/>
      <c r="ER192" s="7"/>
      <c r="ES192" s="7"/>
      <c r="ET192" s="7"/>
      <c r="EU192" s="6"/>
      <c r="EV192" s="6"/>
      <c r="EW192" s="6"/>
      <c r="EX192" s="6"/>
      <c r="EY192" s="6"/>
      <c r="EZ192" s="6"/>
      <c r="FA192" s="6"/>
      <c r="FB192" s="6"/>
      <c r="FC192" s="6"/>
      <c r="FD192" s="6"/>
      <c r="FE192" s="6"/>
      <c r="FF192" s="6"/>
      <c r="FG192" s="6"/>
      <c r="FH192" s="6"/>
      <c r="FI192" s="6"/>
      <c r="FJ192" s="6"/>
      <c r="FK192" s="6"/>
      <c r="FL192" s="6"/>
      <c r="FM192" s="6"/>
      <c r="FN192" s="6"/>
      <c r="FO192" s="6"/>
      <c r="FP192" s="6"/>
      <c r="FQ192" s="6"/>
      <c r="FR192" s="6"/>
      <c r="FS192" s="6"/>
      <c r="FT192" s="7"/>
      <c r="FU192" s="7"/>
      <c r="FV192" s="7"/>
      <c r="FW192" s="6"/>
      <c r="FX192" s="6"/>
      <c r="FY192" s="6"/>
      <c r="FZ192" s="6"/>
      <c r="GA192" s="6"/>
      <c r="GB192" s="6"/>
      <c r="GC192" s="7"/>
      <c r="GD192" s="7"/>
      <c r="GE192" s="7"/>
      <c r="GF192" s="7"/>
      <c r="GG192" s="7"/>
      <c r="GH192" s="42"/>
      <c r="GI192" s="6"/>
      <c r="GJ192" s="14"/>
      <c r="GK192" s="14"/>
      <c r="GL192" s="14"/>
      <c r="GM192" s="14"/>
      <c r="GO192" s="5"/>
      <c r="GP192" s="5"/>
      <c r="GQ192" s="5"/>
      <c r="GR192" s="5"/>
      <c r="GS192" s="5"/>
      <c r="GT192" s="5"/>
      <c r="GU192" s="5"/>
      <c r="GV192" s="39"/>
      <c r="GW192" s="5"/>
      <c r="GX192" s="5"/>
      <c r="GY192" s="5"/>
      <c r="GZ192" s="5"/>
      <c r="HA192" s="5"/>
      <c r="HB192" s="39"/>
      <c r="HC192" s="5"/>
      <c r="HD192" s="5"/>
      <c r="HE192" s="5"/>
      <c r="HF192" s="5"/>
      <c r="HG192" s="5"/>
      <c r="HH192" s="39"/>
      <c r="HI192" s="16"/>
      <c r="HJ192" s="19"/>
      <c r="HK192" s="1"/>
      <c r="HL192" s="16"/>
      <c r="HM192" s="1"/>
      <c r="HN192" s="1"/>
      <c r="HO192" s="1"/>
      <c r="HP192" s="1"/>
      <c r="HQ192" s="1"/>
      <c r="HR192" s="1"/>
      <c r="HS192" s="1"/>
      <c r="HT192" s="1"/>
      <c r="HU192" s="1"/>
      <c r="HV192" s="1"/>
      <c r="HW192" s="1"/>
      <c r="HX192" s="1"/>
      <c r="HY192" s="1"/>
      <c r="HZ192" s="1"/>
      <c r="IA192" s="1"/>
      <c r="IB192" s="1"/>
      <c r="IC192" s="1"/>
      <c r="ID192" s="1"/>
      <c r="IE192" s="1"/>
      <c r="IF192" s="1"/>
      <c r="IG192" s="1"/>
      <c r="IH192" s="21"/>
      <c r="II192" s="19"/>
      <c r="IJ192" s="19"/>
      <c r="IK192" s="19"/>
      <c r="IL192" s="19"/>
      <c r="IM192" s="19"/>
      <c r="IN192" s="19"/>
      <c r="IO192" s="39"/>
      <c r="IP192" s="39"/>
      <c r="IQ192" s="39"/>
      <c r="IR192" s="39"/>
      <c r="IS192" s="39"/>
      <c r="IT192" s="39"/>
      <c r="IU192" s="39"/>
      <c r="IV192" s="39"/>
      <c r="IW192" s="39"/>
      <c r="IX192" s="39"/>
      <c r="IY192" s="39"/>
      <c r="IZ192" s="39"/>
      <c r="JA192" s="19"/>
      <c r="JB192" s="19"/>
      <c r="JC192" s="19"/>
      <c r="JD192" s="19"/>
      <c r="JE192" s="21"/>
      <c r="JF192" s="1"/>
      <c r="JG192" s="15"/>
      <c r="JH192" s="1"/>
      <c r="JI192" s="1"/>
      <c r="JJ192" s="1"/>
      <c r="JK192" s="1"/>
      <c r="JL192" s="15"/>
      <c r="JM192" s="15"/>
      <c r="JN192" s="21"/>
      <c r="JO192" s="19"/>
      <c r="JP192" s="19"/>
      <c r="JQ192" s="39"/>
      <c r="JR192" s="39"/>
      <c r="JS192" s="39"/>
      <c r="JT192" s="39"/>
      <c r="JU192" s="385"/>
      <c r="JV192" s="39"/>
      <c r="JW192" s="1"/>
      <c r="JX192" s="19"/>
      <c r="JZ192" s="341"/>
      <c r="KA192" s="342"/>
      <c r="KB192" s="469"/>
      <c r="KI192" s="473"/>
      <c r="KJ192" s="473"/>
      <c r="KK192" s="473"/>
    </row>
    <row r="193" spans="1:310" s="26" customFormat="1" ht="15" outlineLevel="1">
      <c r="A193" s="561">
        <f t="shared" si="391"/>
        <v>1093</v>
      </c>
      <c r="B193" s="561">
        <f t="shared" si="513"/>
        <v>93</v>
      </c>
      <c r="C193" s="561">
        <f t="shared" si="105"/>
        <v>1</v>
      </c>
      <c r="D193" s="561" t="str">
        <f t="shared" si="625"/>
        <v/>
      </c>
      <c r="E193" s="475">
        <f>INDEX(Input!$1:$1048576,E$93,$C193*2+MIN($B193,2)+5)
+INDEX(Scenarios!E$121:E$200,MATCH($B193,Scenarios!$B$121:$B$200,0))</f>
        <v>1229</v>
      </c>
      <c r="F193" s="475">
        <f>INDEX(Input!$1:$1048576,F$93,$C193*2+MIN($B193,2)+5)
+INDEX(Scenarios!F$121:F$200,MATCH($B193,Scenarios!$B$121:$B$200,0))</f>
        <v>0</v>
      </c>
      <c r="G193" s="475">
        <f>INDEX(Input!$1:$1048576,G$93,$C193*2+MIN($B193,2)+5)
+INDEX(Scenarios!G$121:G$200,MATCH($B193,Scenarios!$B$121:$B$200,0))</f>
        <v>0</v>
      </c>
      <c r="H193" s="475">
        <f>INDEX(Input!$1:$1048576,H$93,$C193*2+MIN($B193,2)+5)
+INDEX(Scenarios!H$121:H$200,MATCH($B193,Scenarios!$B$121:$B$200,0))</f>
        <v>0</v>
      </c>
      <c r="I193" s="476">
        <f>INDEX(Input!$1:$1048576,I$93,$C193*2+MIN($B193,2)+5)</f>
        <v>0.7</v>
      </c>
      <c r="J193" s="476" t="str">
        <f>INDEX(Input!$1:$1048576,J$93,$C193*2+MIN($B193,2)+5)</f>
        <v>Market</v>
      </c>
      <c r="K193" s="476" t="str">
        <f>INDEX(Input!$1:$1048576,K$93,$C193*2+MIN($B193,2)+5)</f>
        <v>Market</v>
      </c>
      <c r="L193" s="476" t="str">
        <f>INDEX(Input!$1:$1048576,L$93,$C193*2+MIN($B193,2)+5)</f>
        <v>Market</v>
      </c>
      <c r="M193" s="476" t="str">
        <f>INDEX(Input!$1:$1048576,M$93,$C193*2+MIN($B193,2)+5)</f>
        <v>Market</v>
      </c>
      <c r="N193" s="476" t="str">
        <f>INDEX(Input!$1:$1048576,N$93,$C193*2+MIN($B193,2)+5)</f>
        <v>Market</v>
      </c>
      <c r="O193" s="476" t="str">
        <f>INDEX(Input!$1:$1048576,O$93,$C193*2+MIN($B193,2)+5)</f>
        <v>Market</v>
      </c>
      <c r="P193" s="476" t="str">
        <f>INDEX(Input!$1:$1048576,P$93,$C193*2+MIN($B193,2)+5)</f>
        <v>N</v>
      </c>
      <c r="Q193" s="477">
        <f>INDEX(Input!$1:$1048576,Q$93,$C193*2+MIN($B193,2)+5)
+INDEX(Scenarios!Q$121:Q$200,MATCH($B193,Scenarios!$B$121:$B$200,0))</f>
        <v>0</v>
      </c>
      <c r="R193" s="478">
        <f>IFERROR(MAX(0,INDEX(Input!$1:$1048576,R$93,$C193*2+MIN($B193,2)+5)
+INDEX(Scenarios!R$121:R$200,MATCH($B193,Scenarios!$B$121:$B$200,0)),),"Market")</f>
        <v>0</v>
      </c>
      <c r="S193" s="478">
        <f>IFERROR(MAX(0,INDEX(Input!$1:$1048576,S$93,$C193*2+MIN($B193,2)+5)
+INDEX(Scenarios!S$121:S$200,MATCH($B193,Scenarios!$B$121:$B$200,0)),),"Market")</f>
        <v>0</v>
      </c>
      <c r="T193" s="478">
        <f>IFERROR(MAX(0,INDEX(Input!$1:$1048576,T$93,$C193*2+MIN($B193,2)+5)
+INDEX(Scenarios!T$121:T$200,MATCH($B193,Scenarios!$B$121:$B$200,0)),),"Market")</f>
        <v>0</v>
      </c>
      <c r="U193" s="478">
        <f>IFERROR(MAX(0,INDEX(Input!$1:$1048576,U$93,$C193*2+MIN($B193,2)+5)
+INDEX(Scenarios!U$121:U$200,MATCH($B193,Scenarios!$B$121:$B$200,0)),),"Market")</f>
        <v>0</v>
      </c>
      <c r="V193" s="478">
        <f>IFERROR(MAX(0,INDEX(Input!$1:$1048576,V$93,$C193*2+MIN($B193,2)+5)
+INDEX(Scenarios!V$121:V$200,MATCH($B193,Scenarios!$B$121:$B$200,0)),),"Market")</f>
        <v>1.9E-2</v>
      </c>
      <c r="W193" s="885">
        <f>IFERROR(MAX(0,INDEX(Input!$1:$1048576,W$93,$C193*2+MIN($B193,2)+5)-0%,),"Market")</f>
        <v>3.9E-2</v>
      </c>
      <c r="X193" s="476" t="str">
        <f>INDEX(Input!$1:$1048576,X$93,$C193*2+MIN($B193,2)+5)</f>
        <v>Y</v>
      </c>
      <c r="Y193" s="475">
        <f>INDEX(Input!$1:$1048576,Y$93,$C193*2+MIN($B193,2)+5)
++INDEX(Scenarios!Y$121:Y$200,MATCH($B193,Scenarios!$B$121:$B$200,0))</f>
        <v>1942</v>
      </c>
      <c r="Z193" s="477">
        <f>INDEX(Input!$1:$1048576,Z$93,$C193*2+MIN($B193,2)+5)
+INDEX(Scenarios!Z$121:Z$200,MATCH($B193,Scenarios!$B$121:$B$200,0))</f>
        <v>0</v>
      </c>
      <c r="AA193" s="475">
        <f>INDEX(Input!$1:$1048576,AA$93,$C193*2+MIN($B193,2)+5)
+INDEX(Scenarios!AA$121:AA$200,MATCH($B193,Scenarios!$B$121:$B$200,0))</f>
        <v>0</v>
      </c>
      <c r="AB193" s="476">
        <f>INDEX(Input!$1:$1048576,AB$93,$C193*2+MIN($B193,2)+5)</f>
        <v>0.27</v>
      </c>
      <c r="AC193" s="475">
        <f>INDEX(Input!$1:$1048576,AC$93,$C193*2+MIN($B193,2)+5)
+INDEX(Scenarios!AC$121:AC$200,MATCH($B193,Scenarios!$B$121:$B$200,0))</f>
        <v>0</v>
      </c>
      <c r="AD193" s="476">
        <f>INDEX(Input!$1:$1048576,AD$93,$C193*2+MIN($B193,2)+5)</f>
        <v>0.27</v>
      </c>
      <c r="AE193" s="475">
        <f>INDEX(Input!$1:$1048576,AE$93,$C193*2+MIN($B193,2)+5)
+INDEX(Scenarios!AE$121:AE$200,MATCH($B193,Scenarios!$B$121:$B$200,0))</f>
        <v>0</v>
      </c>
      <c r="AF193" s="476">
        <f>INDEX(Input!$1:$1048576,AF$93,$C193*2+MIN($B193,2)+5)</f>
        <v>0.38</v>
      </c>
      <c r="AG193" s="475">
        <f>INDEX(Input!$1:$1048576,AG$93,$C193*2+MIN($B193,2)+5)
+INDEX(Scenarios!AG$121:AG$200,MATCH($B193,Scenarios!$B$121:$B$200,0))</f>
        <v>0</v>
      </c>
      <c r="AH193" s="476">
        <f>INDEX(Input!$1:$1048576,AH$93,$C193*2+MIN($B193,2)+5)</f>
        <v>0</v>
      </c>
      <c r="AI193" s="475">
        <f>INDEX(Input!$1:$1048576,AI$93,$C193*2+MIN($B193,2)+5)
+INDEX(Scenarios!AI$121:AI$200,MATCH($B193,Scenarios!$B$121:$B$200,0))</f>
        <v>0</v>
      </c>
      <c r="AJ193" s="476">
        <f>INDEX(Input!$1:$1048576,AJ$93,$C193*2+MIN($B193,2)+5)</f>
        <v>0.27</v>
      </c>
      <c r="AK193" s="150">
        <f>ROUND(INDEX(Input!$1:$1048576,AK$93,$C192*2+MIN($B193,1)+5)+(Y193-VLOOKUP($C193*1000+1,$A:$HH,Y$92,FALSE)),0)</f>
        <v>3757</v>
      </c>
      <c r="AL193" s="150">
        <f>ROUND(INDEX(Input!$1:$1048576,AL$93,$C192*2+MIN($B193,1)+5)-(Y193-VLOOKUP($C193*1000+1,$A:$HH,Y$92,FALSE))/36,0)</f>
        <v>4113</v>
      </c>
      <c r="AM193" s="32" t="str">
        <f t="shared" si="392"/>
        <v>std/std/std/std</v>
      </c>
      <c r="AN193" s="32" t="str">
        <f t="shared" si="393"/>
        <v>$0 + 0/0/0/1.9/3.9</v>
      </c>
      <c r="AO193" s="32" t="str">
        <f t="shared" si="394"/>
        <v>0/0/0/1.9/3.9</v>
      </c>
      <c r="AP193" s="32" t="str">
        <f t="shared" si="498"/>
        <v>0/0.9/1.9/3.9</v>
      </c>
      <c r="AQ193" s="536">
        <f t="shared" si="497"/>
        <v>0</v>
      </c>
      <c r="AR193" s="32"/>
      <c r="AS193" s="302"/>
      <c r="AT193" s="3">
        <f t="shared" si="106"/>
        <v>93</v>
      </c>
      <c r="AU193" s="41" t="s">
        <v>121</v>
      </c>
      <c r="AV193" s="41" t="s">
        <v>116</v>
      </c>
      <c r="AW193" s="41" t="str">
        <f>INDEX(Input!$1:$1048576,AW$93,$C193*2+6)</f>
        <v>Kia</v>
      </c>
      <c r="AX193" s="41" t="str">
        <f>INDEX(Input!$1:$1048576,AX$93,$C193*2+6)</f>
        <v>Kia-LR - L1</v>
      </c>
      <c r="AY193" s="41" t="str">
        <f>IF(LEN(D193)=0,"",INDEX(Input!$1:$1048576,AY$93,$C193*2+6))</f>
        <v/>
      </c>
      <c r="AZ193" s="41" t="str">
        <f>INDEX(Input!$1:$1048576,AZ$93,$C193*2+6)</f>
        <v>Kia Soul</v>
      </c>
      <c r="BA193" s="3">
        <f>INDEX(Input!$1:$1048576,BA$93,$C193*2+6)</f>
        <v>2020</v>
      </c>
      <c r="BB193" s="128">
        <f>INDEX(Input!$1:$1048576,BB$93,$C193*2+6)</f>
        <v>1</v>
      </c>
      <c r="BC193" s="128">
        <f>INDEX(Input!$1:$1048576,BC$93,$C193*2+6)</f>
        <v>0.7</v>
      </c>
      <c r="BD193" s="1">
        <f>INDEX(Input!$1:$1048576,BD$93,$C193*2+6)</f>
        <v>4.4999999999999998E-2</v>
      </c>
      <c r="BE193" s="1">
        <f>INDEX(Input!$1:$1048576,BE$93,$C193*2+6)</f>
        <v>4.4999999999999998E-2</v>
      </c>
      <c r="BF193" s="1">
        <f>INDEX(Input!$1:$1048576,BF$93,$C193*2+6)</f>
        <v>0.05</v>
      </c>
      <c r="BG193" s="1">
        <f>INDEX(Input!$1:$1048576,BG$93,$C193*2+6)</f>
        <v>5.45E-2</v>
      </c>
      <c r="BH193" s="1">
        <f>INDEX(Input!$1:$1048576,BH$93,$C193*2+6)</f>
        <v>5.45E-2</v>
      </c>
      <c r="BI193" s="1">
        <f>INDEX(Input!$1:$1048576,BI$93,$C193*2+6)</f>
        <v>0.05</v>
      </c>
      <c r="BJ193" s="1">
        <f>INDEX(Input!$1:$1048576,BJ$93,$C193*2+6)</f>
        <v>0.05</v>
      </c>
      <c r="BK193" s="1">
        <f>INDEX(Input!$1:$1048576,BK$93,$C193*2+6)</f>
        <v>0.05</v>
      </c>
      <c r="BL193" s="1">
        <f>INDEX(Input!$1:$1048576,BL$93,$C193*2+6)</f>
        <v>5.5E-2</v>
      </c>
      <c r="BM193" s="1">
        <f>INDEX(Input!$1:$1048576,BM$93,$C193*2+6)</f>
        <v>0.06</v>
      </c>
      <c r="BN193" s="1">
        <f>INDEX(Input!$1:$1048576,BN$93,$C193*2+6)</f>
        <v>4.4999999999999998E-2</v>
      </c>
      <c r="BO193" s="1">
        <f>INDEX(Input!$1:$1048576,BO$93,$C193*2+6)</f>
        <v>4.4999999999999998E-2</v>
      </c>
      <c r="BP193" s="1">
        <f>INDEX(Input!$1:$1048576,BP$93,$C193*2+6)</f>
        <v>0.05</v>
      </c>
      <c r="BQ193" s="1">
        <f>INDEX(Input!$1:$1048576,BQ$93,$C193*2+6)</f>
        <v>5.45E-2</v>
      </c>
      <c r="BR193" s="1">
        <f>INDEX(Input!$1:$1048576,BR$93,$C193*2+6)</f>
        <v>5.45E-2</v>
      </c>
      <c r="BS193" s="1">
        <f>INDEX(Input!$1:$1048576,BS$93,$C193*2+6)</f>
        <v>0.05</v>
      </c>
      <c r="BT193" s="1">
        <f>INDEX(Input!$1:$1048576,BT$93,$C193*2+6)</f>
        <v>0.05</v>
      </c>
      <c r="BU193" s="1">
        <f>INDEX(Input!$1:$1048576,BU$93,$C193*2+6)</f>
        <v>0.05</v>
      </c>
      <c r="BV193" s="1">
        <f>INDEX(Input!$1:$1048576,BV$93,$C193*2+6)</f>
        <v>5.5E-2</v>
      </c>
      <c r="BW193" s="1">
        <f>INDEX(Input!$1:$1048576,BW$93,$C193*2+6)</f>
        <v>0.06</v>
      </c>
      <c r="BX193" s="127">
        <f>INDEX(Input!$1:$1048576,BX$93,$C193*2+6)</f>
        <v>19985</v>
      </c>
      <c r="BY193" s="20">
        <f>INDEX(Input!$1:$1048576,BY$93,$C193*2+6)</f>
        <v>0.1</v>
      </c>
      <c r="BZ193" s="20">
        <f>INDEX(Input!$1:$1048576,BZ$93,$C193*2+6)</f>
        <v>0.1</v>
      </c>
      <c r="CA193" s="20">
        <f>INDEX(Input!$1:$1048576,CA$93,$C193*2+6)</f>
        <v>0.1</v>
      </c>
      <c r="CB193" s="20">
        <f>INDEX(Input!$1:$1048576,CB$93,$C193*2+6)</f>
        <v>0.1</v>
      </c>
      <c r="CC193" s="20">
        <f>INDEX(Input!$1:$1048576,CC$93,$C193*2+6)</f>
        <v>0.1</v>
      </c>
      <c r="CD193" s="384">
        <f>INDEX(Input!$1:$1048576,CD$93,$C193*2+6)</f>
        <v>0.1</v>
      </c>
      <c r="CE193" s="384">
        <f>INDEX(Input!$1:$1048576,CE$93,$C193*2+6)</f>
        <v>0.1</v>
      </c>
      <c r="CF193" s="384">
        <f>INDEX(Input!$1:$1048576,CF$93,$C193*2+6)</f>
        <v>0.1</v>
      </c>
      <c r="CG193" s="384">
        <f>INDEX(Input!$1:$1048576,CG$93,$C193*2+6)</f>
        <v>0.1</v>
      </c>
      <c r="CH193" s="384">
        <f>INDEX(Input!$1:$1048576,CH$93,$C193*2+6)</f>
        <v>0.1</v>
      </c>
      <c r="CI193" s="304">
        <f t="shared" si="499"/>
        <v>1229</v>
      </c>
      <c r="CJ193" s="16" t="str">
        <f>INDEX(Input!$1:$1048576,CJ$93,$C193*2+6)</f>
        <v>N</v>
      </c>
      <c r="CK193" s="1" t="str">
        <f t="shared" si="500"/>
        <v>Market</v>
      </c>
      <c r="CL193" s="1" t="str">
        <f t="shared" si="501"/>
        <v>Market</v>
      </c>
      <c r="CM193" s="1" t="str">
        <f t="shared" si="502"/>
        <v>Market</v>
      </c>
      <c r="CN193" s="1" t="str">
        <f t="shared" si="503"/>
        <v>Market</v>
      </c>
      <c r="CO193" s="1" t="str">
        <f t="shared" si="504"/>
        <v>Market</v>
      </c>
      <c r="CP193" s="304">
        <f t="shared" si="505"/>
        <v>0</v>
      </c>
      <c r="CQ193" s="1">
        <f t="shared" si="506"/>
        <v>0</v>
      </c>
      <c r="CR193" s="1">
        <f t="shared" si="507"/>
        <v>0</v>
      </c>
      <c r="CS193" s="1">
        <f t="shared" si="508"/>
        <v>0</v>
      </c>
      <c r="CT193" s="1">
        <f t="shared" si="509"/>
        <v>1.9E-2</v>
      </c>
      <c r="CU193" s="1">
        <f t="shared" si="510"/>
        <v>3.9E-2</v>
      </c>
      <c r="CV193" s="304">
        <f t="shared" si="511"/>
        <v>1942</v>
      </c>
      <c r="CW193" s="20" t="s">
        <v>122</v>
      </c>
      <c r="CX193" s="20" t="s">
        <v>122</v>
      </c>
      <c r="CY193" s="20" t="s">
        <v>122</v>
      </c>
      <c r="CZ193" s="20" t="s">
        <v>122</v>
      </c>
      <c r="DA193" s="20" t="s">
        <v>122</v>
      </c>
      <c r="DB193" s="503">
        <f t="shared" si="512"/>
        <v>0</v>
      </c>
      <c r="DC193" s="127">
        <v>0</v>
      </c>
      <c r="DD193" s="127">
        <v>0</v>
      </c>
      <c r="DE193" s="127">
        <v>0</v>
      </c>
      <c r="DF193" s="127">
        <v>0</v>
      </c>
      <c r="DG193" s="127">
        <v>0</v>
      </c>
      <c r="DH193" s="127">
        <v>0</v>
      </c>
      <c r="DI193" s="127">
        <v>0</v>
      </c>
      <c r="DJ193" s="127">
        <v>0</v>
      </c>
      <c r="DK193" s="127">
        <v>0</v>
      </c>
      <c r="DL193" s="127">
        <v>0</v>
      </c>
      <c r="DM193" s="304">
        <f>INDEX(Input!$1:$1048576,DM$93,$C193*2+6)</f>
        <v>21036.84210526316</v>
      </c>
      <c r="DN193" s="20">
        <v>0</v>
      </c>
      <c r="DO193" s="20">
        <v>0</v>
      </c>
      <c r="DP193" s="20">
        <v>0</v>
      </c>
      <c r="DQ193" s="20">
        <v>0</v>
      </c>
      <c r="DR193" s="20">
        <v>0</v>
      </c>
      <c r="DS193" s="20">
        <f>INDEX(Input!$1:$1048576,DS$93,$C193*2+6)</f>
        <v>0.6</v>
      </c>
      <c r="DT193" s="20">
        <f>INDEX(Input!$1:$1048576,DT$93,$C193*2+6)</f>
        <v>0.55000000000000004</v>
      </c>
      <c r="DU193" s="20">
        <f>INDEX(Input!$1:$1048576,DU$93,$C193*2+6)</f>
        <v>0.52</v>
      </c>
      <c r="DV193" s="20">
        <f>INDEX(Input!$1:$1048576,DV$93,$C193*2+6)</f>
        <v>0.5</v>
      </c>
      <c r="DW193" s="20">
        <f>INDEX(Input!$1:$1048576,DW$93,$C193*2+6)</f>
        <v>0.45</v>
      </c>
      <c r="DX193" s="20"/>
      <c r="DY193" s="7"/>
      <c r="DZ193" s="7"/>
      <c r="EA193" s="7"/>
      <c r="EB193" s="7"/>
      <c r="EC193" s="7"/>
      <c r="ED193" s="7"/>
      <c r="EE193" s="7"/>
      <c r="EF193" s="7"/>
      <c r="EG193" s="7"/>
      <c r="EH193" s="7"/>
      <c r="EI193" s="7"/>
      <c r="EJ193" s="7"/>
      <c r="EK193" s="7"/>
      <c r="EL193" s="7"/>
      <c r="EM193" s="7"/>
      <c r="EN193" s="7"/>
      <c r="EO193" s="7"/>
      <c r="EP193" s="7"/>
      <c r="EQ193" s="7"/>
      <c r="ER193" s="7"/>
      <c r="ES193" s="7"/>
      <c r="ET193" s="7"/>
      <c r="EU193" s="6"/>
      <c r="EV193" s="6"/>
      <c r="EW193" s="6"/>
      <c r="EX193" s="6"/>
      <c r="EY193" s="6"/>
      <c r="EZ193" s="6"/>
      <c r="FA193" s="6"/>
      <c r="FB193" s="6"/>
      <c r="FC193" s="6"/>
      <c r="FD193" s="6"/>
      <c r="FE193" s="6"/>
      <c r="FF193" s="6"/>
      <c r="FG193" s="6"/>
      <c r="FH193" s="6"/>
      <c r="FI193" s="6"/>
      <c r="FJ193" s="6"/>
      <c r="FK193" s="6"/>
      <c r="FL193" s="6"/>
      <c r="FM193" s="6"/>
      <c r="FN193" s="6"/>
      <c r="FO193" s="6"/>
      <c r="FP193" s="6"/>
      <c r="FQ193" s="6"/>
      <c r="FR193" s="6"/>
      <c r="FS193" s="6"/>
      <c r="FT193" s="7"/>
      <c r="FU193" s="7"/>
      <c r="FV193" s="7"/>
      <c r="FW193" s="6"/>
      <c r="FX193" s="6"/>
      <c r="FY193" s="6"/>
      <c r="FZ193" s="6"/>
      <c r="GA193" s="6"/>
      <c r="GB193" s="6"/>
      <c r="GC193" s="7"/>
      <c r="GD193" s="7"/>
      <c r="GE193" s="7"/>
      <c r="GF193" s="7"/>
      <c r="GG193" s="7"/>
      <c r="GH193" s="42"/>
      <c r="GI193" s="6"/>
      <c r="GJ193" s="14"/>
      <c r="GK193" s="14"/>
      <c r="GL193" s="14"/>
      <c r="GM193" s="14"/>
      <c r="GO193" s="5"/>
      <c r="GP193" s="5"/>
      <c r="GQ193" s="5"/>
      <c r="GR193" s="5"/>
      <c r="GS193" s="5"/>
      <c r="GT193" s="5"/>
      <c r="GU193" s="5"/>
      <c r="GV193" s="39"/>
      <c r="GW193" s="5"/>
      <c r="GX193" s="5"/>
      <c r="GY193" s="5"/>
      <c r="GZ193" s="5"/>
      <c r="HA193" s="5"/>
      <c r="HB193" s="39"/>
      <c r="HC193" s="5"/>
      <c r="HD193" s="5"/>
      <c r="HE193" s="5"/>
      <c r="HF193" s="5"/>
      <c r="HG193" s="5"/>
      <c r="HH193" s="39"/>
      <c r="HI193" s="16"/>
      <c r="HJ193" s="19"/>
      <c r="HK193" s="1"/>
      <c r="HL193" s="16"/>
      <c r="HM193" s="1"/>
      <c r="HN193" s="1"/>
      <c r="HO193" s="1"/>
      <c r="HP193" s="1"/>
      <c r="HQ193" s="1"/>
      <c r="HR193" s="1"/>
      <c r="HS193" s="1"/>
      <c r="HT193" s="1"/>
      <c r="HU193" s="1"/>
      <c r="HV193" s="1"/>
      <c r="HW193" s="1"/>
      <c r="HX193" s="1"/>
      <c r="HY193" s="1"/>
      <c r="HZ193" s="1"/>
      <c r="IA193" s="1"/>
      <c r="IB193" s="1"/>
      <c r="IC193" s="1"/>
      <c r="ID193" s="1"/>
      <c r="IE193" s="1"/>
      <c r="IF193" s="1"/>
      <c r="IG193" s="1"/>
      <c r="IH193" s="21"/>
      <c r="II193" s="19"/>
      <c r="IJ193" s="19"/>
      <c r="IK193" s="19"/>
      <c r="IL193" s="19"/>
      <c r="IM193" s="19"/>
      <c r="IN193" s="19"/>
      <c r="IO193" s="39"/>
      <c r="IP193" s="39"/>
      <c r="IQ193" s="39"/>
      <c r="IR193" s="39"/>
      <c r="IS193" s="39"/>
      <c r="IT193" s="39"/>
      <c r="IU193" s="39"/>
      <c r="IV193" s="39"/>
      <c r="IW193" s="39"/>
      <c r="IX193" s="39"/>
      <c r="IY193" s="39"/>
      <c r="IZ193" s="39"/>
      <c r="JA193" s="19"/>
      <c r="JB193" s="19"/>
      <c r="JC193" s="19"/>
      <c r="JD193" s="19"/>
      <c r="JE193" s="21"/>
      <c r="JF193" s="1"/>
      <c r="JG193" s="15"/>
      <c r="JH193" s="1"/>
      <c r="JI193" s="1"/>
      <c r="JJ193" s="1"/>
      <c r="JK193" s="1"/>
      <c r="JL193" s="15"/>
      <c r="JM193" s="15"/>
      <c r="JN193" s="21"/>
      <c r="JO193" s="19"/>
      <c r="JP193" s="19"/>
      <c r="JQ193" s="39"/>
      <c r="JR193" s="39"/>
      <c r="JS193" s="39"/>
      <c r="JT193" s="39"/>
      <c r="JU193" s="385"/>
      <c r="JV193" s="39"/>
      <c r="JW193" s="1"/>
      <c r="JX193" s="19"/>
      <c r="JZ193" s="341"/>
      <c r="KA193" s="342"/>
      <c r="KB193" s="469"/>
      <c r="KI193" s="473"/>
      <c r="KJ193" s="473"/>
      <c r="KK193" s="473"/>
    </row>
    <row r="194" spans="1:310" s="26" customFormat="1" ht="15" outlineLevel="1">
      <c r="A194" s="561">
        <f t="shared" si="391"/>
        <v>1094</v>
      </c>
      <c r="B194" s="561">
        <f t="shared" si="513"/>
        <v>94</v>
      </c>
      <c r="C194" s="561">
        <f t="shared" si="105"/>
        <v>1</v>
      </c>
      <c r="D194" s="561" t="str">
        <f t="shared" si="625"/>
        <v/>
      </c>
      <c r="E194" s="475">
        <f>INDEX(Input!$1:$1048576,E$93,$C194*2+MIN($B194,2)+5)
+INDEX(Scenarios!E$121:E$200,MATCH($B194,Scenarios!$B$121:$B$200,0))</f>
        <v>1229</v>
      </c>
      <c r="F194" s="475">
        <f>INDEX(Input!$1:$1048576,F$93,$C194*2+MIN($B194,2)+5)
+INDEX(Scenarios!F$121:F$200,MATCH($B194,Scenarios!$B$121:$B$200,0))</f>
        <v>0</v>
      </c>
      <c r="G194" s="475">
        <f>INDEX(Input!$1:$1048576,G$93,$C194*2+MIN($B194,2)+5)
+INDEX(Scenarios!G$121:G$200,MATCH($B194,Scenarios!$B$121:$B$200,0))</f>
        <v>0</v>
      </c>
      <c r="H194" s="475">
        <f>INDEX(Input!$1:$1048576,H$93,$C194*2+MIN($B194,2)+5)
+INDEX(Scenarios!H$121:H$200,MATCH($B194,Scenarios!$B$121:$B$200,0))</f>
        <v>0</v>
      </c>
      <c r="I194" s="476">
        <f>INDEX(Input!$1:$1048576,I$93,$C194*2+MIN($B194,2)+5)</f>
        <v>0.7</v>
      </c>
      <c r="J194" s="476" t="str">
        <f>INDEX(Input!$1:$1048576,J$93,$C194*2+MIN($B194,2)+5)</f>
        <v>Market</v>
      </c>
      <c r="K194" s="476" t="str">
        <f>INDEX(Input!$1:$1048576,K$93,$C194*2+MIN($B194,2)+5)</f>
        <v>Market</v>
      </c>
      <c r="L194" s="476" t="str">
        <f>INDEX(Input!$1:$1048576,L$93,$C194*2+MIN($B194,2)+5)</f>
        <v>Market</v>
      </c>
      <c r="M194" s="476" t="str">
        <f>INDEX(Input!$1:$1048576,M$93,$C194*2+MIN($B194,2)+5)</f>
        <v>Market</v>
      </c>
      <c r="N194" s="476" t="str">
        <f>INDEX(Input!$1:$1048576,N$93,$C194*2+MIN($B194,2)+5)</f>
        <v>Market</v>
      </c>
      <c r="O194" s="476" t="str">
        <f>INDEX(Input!$1:$1048576,O$93,$C194*2+MIN($B194,2)+5)</f>
        <v>Market</v>
      </c>
      <c r="P194" s="476" t="str">
        <f>INDEX(Input!$1:$1048576,P$93,$C194*2+MIN($B194,2)+5)</f>
        <v>N</v>
      </c>
      <c r="Q194" s="477">
        <f>INDEX(Input!$1:$1048576,Q$93,$C194*2+MIN($B194,2)+5)
+INDEX(Scenarios!Q$121:Q$200,MATCH($B194,Scenarios!$B$121:$B$200,0))</f>
        <v>0</v>
      </c>
      <c r="R194" s="478">
        <f>IFERROR(MAX(0,INDEX(Input!$1:$1048576,R$93,$C194*2+MIN($B194,2)+5)
+INDEX(Scenarios!R$121:R$200,MATCH($B194,Scenarios!$B$121:$B$200,0)),),"Market")</f>
        <v>0</v>
      </c>
      <c r="S194" s="478">
        <f>IFERROR(MAX(0,INDEX(Input!$1:$1048576,S$93,$C194*2+MIN($B194,2)+5)
+INDEX(Scenarios!S$121:S$200,MATCH($B194,Scenarios!$B$121:$B$200,0)),),"Market")</f>
        <v>0</v>
      </c>
      <c r="T194" s="478">
        <f>IFERROR(MAX(0,INDEX(Input!$1:$1048576,T$93,$C194*2+MIN($B194,2)+5)
+INDEX(Scenarios!T$121:T$200,MATCH($B194,Scenarios!$B$121:$B$200,0)),),"Market")</f>
        <v>0</v>
      </c>
      <c r="U194" s="478">
        <f>IFERROR(MAX(0,INDEX(Input!$1:$1048576,U$93,$C194*2+MIN($B194,2)+5)
+INDEX(Scenarios!U$121:U$200,MATCH($B194,Scenarios!$B$121:$B$200,0)),),"Market")</f>
        <v>0</v>
      </c>
      <c r="V194" s="478">
        <f>IFERROR(MAX(0,INDEX(Input!$1:$1048576,V$93,$C194*2+MIN($B194,2)+5)
+INDEX(Scenarios!V$121:V$200,MATCH($B194,Scenarios!$B$121:$B$200,0)),),"Market")</f>
        <v>1.9E-2</v>
      </c>
      <c r="W194" s="885">
        <f>IFERROR(MAX(0,INDEX(Input!$1:$1048576,W$93,$C194*2+MIN($B194,2)+5)-0%,),"Market")</f>
        <v>3.9E-2</v>
      </c>
      <c r="X194" s="476" t="str">
        <f>INDEX(Input!$1:$1048576,X$93,$C194*2+MIN($B194,2)+5)</f>
        <v>Y</v>
      </c>
      <c r="Y194" s="475">
        <f>INDEX(Input!$1:$1048576,Y$93,$C194*2+MIN($B194,2)+5)
++INDEX(Scenarios!Y$121:Y$200,MATCH($B194,Scenarios!$B$121:$B$200,0))</f>
        <v>1942</v>
      </c>
      <c r="Z194" s="477">
        <f>INDEX(Input!$1:$1048576,Z$93,$C194*2+MIN($B194,2)+5)
+INDEX(Scenarios!Z$121:Z$200,MATCH($B194,Scenarios!$B$121:$B$200,0))</f>
        <v>0</v>
      </c>
      <c r="AA194" s="475">
        <f>INDEX(Input!$1:$1048576,AA$93,$C194*2+MIN($B194,2)+5)
+INDEX(Scenarios!AA$121:AA$200,MATCH($B194,Scenarios!$B$121:$B$200,0))</f>
        <v>0</v>
      </c>
      <c r="AB194" s="476">
        <f>INDEX(Input!$1:$1048576,AB$93,$C194*2+MIN($B194,2)+5)</f>
        <v>0.27</v>
      </c>
      <c r="AC194" s="475">
        <f>INDEX(Input!$1:$1048576,AC$93,$C194*2+MIN($B194,2)+5)
+INDEX(Scenarios!AC$121:AC$200,MATCH($B194,Scenarios!$B$121:$B$200,0))</f>
        <v>0</v>
      </c>
      <c r="AD194" s="476">
        <f>INDEX(Input!$1:$1048576,AD$93,$C194*2+MIN($B194,2)+5)</f>
        <v>0.27</v>
      </c>
      <c r="AE194" s="475">
        <f>INDEX(Input!$1:$1048576,AE$93,$C194*2+MIN($B194,2)+5)
+INDEX(Scenarios!AE$121:AE$200,MATCH($B194,Scenarios!$B$121:$B$200,0))</f>
        <v>0</v>
      </c>
      <c r="AF194" s="476">
        <f>INDEX(Input!$1:$1048576,AF$93,$C194*2+MIN($B194,2)+5)</f>
        <v>0.38</v>
      </c>
      <c r="AG194" s="475">
        <f>INDEX(Input!$1:$1048576,AG$93,$C194*2+MIN($B194,2)+5)
+INDEX(Scenarios!AG$121:AG$200,MATCH($B194,Scenarios!$B$121:$B$200,0))</f>
        <v>0</v>
      </c>
      <c r="AH194" s="476">
        <f>INDEX(Input!$1:$1048576,AH$93,$C194*2+MIN($B194,2)+5)</f>
        <v>0</v>
      </c>
      <c r="AI194" s="475">
        <f>INDEX(Input!$1:$1048576,AI$93,$C194*2+MIN($B194,2)+5)
+INDEX(Scenarios!AI$121:AI$200,MATCH($B194,Scenarios!$B$121:$B$200,0))</f>
        <v>0</v>
      </c>
      <c r="AJ194" s="476">
        <f>INDEX(Input!$1:$1048576,AJ$93,$C194*2+MIN($B194,2)+5)</f>
        <v>0.27</v>
      </c>
      <c r="AK194" s="150">
        <f>ROUND(INDEX(Input!$1:$1048576,AK$93,$C193*2+MIN($B194,1)+5)+(Y194-VLOOKUP($C194*1000+1,$A:$HH,Y$92,FALSE)),0)</f>
        <v>3757</v>
      </c>
      <c r="AL194" s="150">
        <f>ROUND(INDEX(Input!$1:$1048576,AL$93,$C193*2+MIN($B194,1)+5)-(Y194-VLOOKUP($C194*1000+1,$A:$HH,Y$92,FALSE))/36,0)</f>
        <v>4113</v>
      </c>
      <c r="AM194" s="32" t="str">
        <f t="shared" si="392"/>
        <v>std/std/std/std</v>
      </c>
      <c r="AN194" s="32" t="str">
        <f t="shared" si="393"/>
        <v>$0 + 0/0/0/1.9/3.9</v>
      </c>
      <c r="AO194" s="32" t="str">
        <f t="shared" si="394"/>
        <v>0/0/0/1.9/3.9</v>
      </c>
      <c r="AP194" s="32" t="str">
        <f t="shared" si="498"/>
        <v>0/0.9/1.9/3.9</v>
      </c>
      <c r="AQ194" s="536">
        <f t="shared" si="497"/>
        <v>0</v>
      </c>
      <c r="AR194" s="32"/>
      <c r="AS194" s="302"/>
      <c r="AT194" s="3">
        <f t="shared" si="106"/>
        <v>94</v>
      </c>
      <c r="AU194" s="41" t="s">
        <v>121</v>
      </c>
      <c r="AV194" s="41" t="s">
        <v>116</v>
      </c>
      <c r="AW194" s="41" t="str">
        <f>INDEX(Input!$1:$1048576,AW$93,$C194*2+6)</f>
        <v>Kia</v>
      </c>
      <c r="AX194" s="41" t="str">
        <f>INDEX(Input!$1:$1048576,AX$93,$C194*2+6)</f>
        <v>Kia-LR - L1</v>
      </c>
      <c r="AY194" s="41" t="str">
        <f>IF(LEN(D194)=0,"",INDEX(Input!$1:$1048576,AY$93,$C194*2+6))</f>
        <v/>
      </c>
      <c r="AZ194" s="41" t="str">
        <f>INDEX(Input!$1:$1048576,AZ$93,$C194*2+6)</f>
        <v>Kia Soul</v>
      </c>
      <c r="BA194" s="3">
        <f>INDEX(Input!$1:$1048576,BA$93,$C194*2+6)</f>
        <v>2020</v>
      </c>
      <c r="BB194" s="128">
        <f>INDEX(Input!$1:$1048576,BB$93,$C194*2+6)</f>
        <v>1</v>
      </c>
      <c r="BC194" s="128">
        <f>INDEX(Input!$1:$1048576,BC$93,$C194*2+6)</f>
        <v>0.7</v>
      </c>
      <c r="BD194" s="1">
        <f>INDEX(Input!$1:$1048576,BD$93,$C194*2+6)</f>
        <v>4.4999999999999998E-2</v>
      </c>
      <c r="BE194" s="1">
        <f>INDEX(Input!$1:$1048576,BE$93,$C194*2+6)</f>
        <v>4.4999999999999998E-2</v>
      </c>
      <c r="BF194" s="1">
        <f>INDEX(Input!$1:$1048576,BF$93,$C194*2+6)</f>
        <v>0.05</v>
      </c>
      <c r="BG194" s="1">
        <f>INDEX(Input!$1:$1048576,BG$93,$C194*2+6)</f>
        <v>5.45E-2</v>
      </c>
      <c r="BH194" s="1">
        <f>INDEX(Input!$1:$1048576,BH$93,$C194*2+6)</f>
        <v>5.45E-2</v>
      </c>
      <c r="BI194" s="1">
        <f>INDEX(Input!$1:$1048576,BI$93,$C194*2+6)</f>
        <v>0.05</v>
      </c>
      <c r="BJ194" s="1">
        <f>INDEX(Input!$1:$1048576,BJ$93,$C194*2+6)</f>
        <v>0.05</v>
      </c>
      <c r="BK194" s="1">
        <f>INDEX(Input!$1:$1048576,BK$93,$C194*2+6)</f>
        <v>0.05</v>
      </c>
      <c r="BL194" s="1">
        <f>INDEX(Input!$1:$1048576,BL$93,$C194*2+6)</f>
        <v>5.5E-2</v>
      </c>
      <c r="BM194" s="1">
        <f>INDEX(Input!$1:$1048576,BM$93,$C194*2+6)</f>
        <v>0.06</v>
      </c>
      <c r="BN194" s="1">
        <f>INDEX(Input!$1:$1048576,BN$93,$C194*2+6)</f>
        <v>4.4999999999999998E-2</v>
      </c>
      <c r="BO194" s="1">
        <f>INDEX(Input!$1:$1048576,BO$93,$C194*2+6)</f>
        <v>4.4999999999999998E-2</v>
      </c>
      <c r="BP194" s="1">
        <f>INDEX(Input!$1:$1048576,BP$93,$C194*2+6)</f>
        <v>0.05</v>
      </c>
      <c r="BQ194" s="1">
        <f>INDEX(Input!$1:$1048576,BQ$93,$C194*2+6)</f>
        <v>5.45E-2</v>
      </c>
      <c r="BR194" s="1">
        <f>INDEX(Input!$1:$1048576,BR$93,$C194*2+6)</f>
        <v>5.45E-2</v>
      </c>
      <c r="BS194" s="1">
        <f>INDEX(Input!$1:$1048576,BS$93,$C194*2+6)</f>
        <v>0.05</v>
      </c>
      <c r="BT194" s="1">
        <f>INDEX(Input!$1:$1048576,BT$93,$C194*2+6)</f>
        <v>0.05</v>
      </c>
      <c r="BU194" s="1">
        <f>INDEX(Input!$1:$1048576,BU$93,$C194*2+6)</f>
        <v>0.05</v>
      </c>
      <c r="BV194" s="1">
        <f>INDEX(Input!$1:$1048576,BV$93,$C194*2+6)</f>
        <v>5.5E-2</v>
      </c>
      <c r="BW194" s="1">
        <f>INDEX(Input!$1:$1048576,BW$93,$C194*2+6)</f>
        <v>0.06</v>
      </c>
      <c r="BX194" s="127">
        <f>INDEX(Input!$1:$1048576,BX$93,$C194*2+6)</f>
        <v>19985</v>
      </c>
      <c r="BY194" s="20">
        <f>INDEX(Input!$1:$1048576,BY$93,$C194*2+6)</f>
        <v>0.1</v>
      </c>
      <c r="BZ194" s="20">
        <f>INDEX(Input!$1:$1048576,BZ$93,$C194*2+6)</f>
        <v>0.1</v>
      </c>
      <c r="CA194" s="20">
        <f>INDEX(Input!$1:$1048576,CA$93,$C194*2+6)</f>
        <v>0.1</v>
      </c>
      <c r="CB194" s="20">
        <f>INDEX(Input!$1:$1048576,CB$93,$C194*2+6)</f>
        <v>0.1</v>
      </c>
      <c r="CC194" s="20">
        <f>INDEX(Input!$1:$1048576,CC$93,$C194*2+6)</f>
        <v>0.1</v>
      </c>
      <c r="CD194" s="384">
        <f>INDEX(Input!$1:$1048576,CD$93,$C194*2+6)</f>
        <v>0.1</v>
      </c>
      <c r="CE194" s="384">
        <f>INDEX(Input!$1:$1048576,CE$93,$C194*2+6)</f>
        <v>0.1</v>
      </c>
      <c r="CF194" s="384">
        <f>INDEX(Input!$1:$1048576,CF$93,$C194*2+6)</f>
        <v>0.1</v>
      </c>
      <c r="CG194" s="384">
        <f>INDEX(Input!$1:$1048576,CG$93,$C194*2+6)</f>
        <v>0.1</v>
      </c>
      <c r="CH194" s="384">
        <f>INDEX(Input!$1:$1048576,CH$93,$C194*2+6)</f>
        <v>0.1</v>
      </c>
      <c r="CI194" s="304">
        <f t="shared" si="499"/>
        <v>1229</v>
      </c>
      <c r="CJ194" s="16" t="str">
        <f>INDEX(Input!$1:$1048576,CJ$93,$C194*2+6)</f>
        <v>N</v>
      </c>
      <c r="CK194" s="1" t="str">
        <f t="shared" si="500"/>
        <v>Market</v>
      </c>
      <c r="CL194" s="1" t="str">
        <f t="shared" si="501"/>
        <v>Market</v>
      </c>
      <c r="CM194" s="1" t="str">
        <f t="shared" si="502"/>
        <v>Market</v>
      </c>
      <c r="CN194" s="1" t="str">
        <f t="shared" si="503"/>
        <v>Market</v>
      </c>
      <c r="CO194" s="1" t="str">
        <f t="shared" si="504"/>
        <v>Market</v>
      </c>
      <c r="CP194" s="304">
        <f t="shared" si="505"/>
        <v>0</v>
      </c>
      <c r="CQ194" s="1">
        <f t="shared" si="506"/>
        <v>0</v>
      </c>
      <c r="CR194" s="1">
        <f t="shared" si="507"/>
        <v>0</v>
      </c>
      <c r="CS194" s="1">
        <f t="shared" si="508"/>
        <v>0</v>
      </c>
      <c r="CT194" s="1">
        <f t="shared" si="509"/>
        <v>1.9E-2</v>
      </c>
      <c r="CU194" s="1">
        <f t="shared" si="510"/>
        <v>3.9E-2</v>
      </c>
      <c r="CV194" s="304">
        <f t="shared" si="511"/>
        <v>1942</v>
      </c>
      <c r="CW194" s="20" t="s">
        <v>122</v>
      </c>
      <c r="CX194" s="20" t="s">
        <v>122</v>
      </c>
      <c r="CY194" s="20" t="s">
        <v>122</v>
      </c>
      <c r="CZ194" s="20" t="s">
        <v>122</v>
      </c>
      <c r="DA194" s="20" t="s">
        <v>122</v>
      </c>
      <c r="DB194" s="503">
        <f t="shared" si="512"/>
        <v>0</v>
      </c>
      <c r="DC194" s="127">
        <v>0</v>
      </c>
      <c r="DD194" s="127">
        <v>0</v>
      </c>
      <c r="DE194" s="127">
        <v>0</v>
      </c>
      <c r="DF194" s="127">
        <v>0</v>
      </c>
      <c r="DG194" s="127">
        <v>0</v>
      </c>
      <c r="DH194" s="127">
        <v>0</v>
      </c>
      <c r="DI194" s="127">
        <v>0</v>
      </c>
      <c r="DJ194" s="127">
        <v>0</v>
      </c>
      <c r="DK194" s="127">
        <v>0</v>
      </c>
      <c r="DL194" s="127">
        <v>0</v>
      </c>
      <c r="DM194" s="304">
        <f>INDEX(Input!$1:$1048576,DM$93,$C194*2+6)</f>
        <v>21036.84210526316</v>
      </c>
      <c r="DN194" s="20">
        <v>0</v>
      </c>
      <c r="DO194" s="20">
        <v>0</v>
      </c>
      <c r="DP194" s="20">
        <v>0</v>
      </c>
      <c r="DQ194" s="20">
        <v>0</v>
      </c>
      <c r="DR194" s="20">
        <v>0</v>
      </c>
      <c r="DS194" s="20">
        <f>INDEX(Input!$1:$1048576,DS$93,$C194*2+6)</f>
        <v>0.6</v>
      </c>
      <c r="DT194" s="20">
        <f>INDEX(Input!$1:$1048576,DT$93,$C194*2+6)</f>
        <v>0.55000000000000004</v>
      </c>
      <c r="DU194" s="20">
        <f>INDEX(Input!$1:$1048576,DU$93,$C194*2+6)</f>
        <v>0.52</v>
      </c>
      <c r="DV194" s="20">
        <f>INDEX(Input!$1:$1048576,DV$93,$C194*2+6)</f>
        <v>0.5</v>
      </c>
      <c r="DW194" s="20">
        <f>INDEX(Input!$1:$1048576,DW$93,$C194*2+6)</f>
        <v>0.45</v>
      </c>
      <c r="DX194" s="20"/>
      <c r="DY194" s="7"/>
      <c r="DZ194" s="7"/>
      <c r="EA194" s="7"/>
      <c r="EB194" s="7"/>
      <c r="EC194" s="7"/>
      <c r="ED194" s="7"/>
      <c r="EE194" s="7"/>
      <c r="EF194" s="7"/>
      <c r="EG194" s="7"/>
      <c r="EH194" s="7"/>
      <c r="EI194" s="7"/>
      <c r="EJ194" s="7"/>
      <c r="EK194" s="7"/>
      <c r="EL194" s="7"/>
      <c r="EM194" s="7"/>
      <c r="EN194" s="7"/>
      <c r="EO194" s="7"/>
      <c r="EP194" s="7"/>
      <c r="EQ194" s="7"/>
      <c r="ER194" s="7"/>
      <c r="ES194" s="7"/>
      <c r="ET194" s="7"/>
      <c r="EU194" s="6"/>
      <c r="EV194" s="6"/>
      <c r="EW194" s="6"/>
      <c r="EX194" s="6"/>
      <c r="EY194" s="6"/>
      <c r="EZ194" s="6"/>
      <c r="FA194" s="6"/>
      <c r="FB194" s="6"/>
      <c r="FC194" s="6"/>
      <c r="FD194" s="6"/>
      <c r="FE194" s="6"/>
      <c r="FF194" s="6"/>
      <c r="FG194" s="6"/>
      <c r="FH194" s="6"/>
      <c r="FI194" s="6"/>
      <c r="FJ194" s="6"/>
      <c r="FK194" s="6"/>
      <c r="FL194" s="6"/>
      <c r="FM194" s="6"/>
      <c r="FN194" s="6"/>
      <c r="FO194" s="6"/>
      <c r="FP194" s="6"/>
      <c r="FQ194" s="6"/>
      <c r="FR194" s="6"/>
      <c r="FS194" s="6"/>
      <c r="FT194" s="7"/>
      <c r="FU194" s="7"/>
      <c r="FV194" s="7"/>
      <c r="FW194" s="6"/>
      <c r="FX194" s="6"/>
      <c r="FY194" s="6"/>
      <c r="FZ194" s="6"/>
      <c r="GA194" s="6"/>
      <c r="GB194" s="6"/>
      <c r="GC194" s="7"/>
      <c r="GD194" s="7"/>
      <c r="GE194" s="7"/>
      <c r="GF194" s="7"/>
      <c r="GG194" s="7"/>
      <c r="GH194" s="42"/>
      <c r="GI194" s="6"/>
      <c r="GJ194" s="14"/>
      <c r="GK194" s="14"/>
      <c r="GL194" s="14"/>
      <c r="GM194" s="14"/>
      <c r="GO194" s="5"/>
      <c r="GP194" s="5"/>
      <c r="GQ194" s="5"/>
      <c r="GR194" s="5"/>
      <c r="GS194" s="5"/>
      <c r="GT194" s="5"/>
      <c r="GU194" s="5"/>
      <c r="GV194" s="39"/>
      <c r="GW194" s="5"/>
      <c r="GX194" s="5"/>
      <c r="GY194" s="5"/>
      <c r="GZ194" s="5"/>
      <c r="HA194" s="5"/>
      <c r="HB194" s="39"/>
      <c r="HC194" s="5"/>
      <c r="HD194" s="5"/>
      <c r="HE194" s="5"/>
      <c r="HF194" s="5"/>
      <c r="HG194" s="5"/>
      <c r="HH194" s="39"/>
      <c r="HI194" s="16"/>
      <c r="HJ194" s="19"/>
      <c r="HK194" s="1"/>
      <c r="HL194" s="16"/>
      <c r="HM194" s="1"/>
      <c r="HN194" s="1"/>
      <c r="HO194" s="1"/>
      <c r="HP194" s="1"/>
      <c r="HQ194" s="1"/>
      <c r="HR194" s="1"/>
      <c r="HS194" s="1"/>
      <c r="HT194" s="1"/>
      <c r="HU194" s="1"/>
      <c r="HV194" s="1"/>
      <c r="HW194" s="1"/>
      <c r="HX194" s="1"/>
      <c r="HY194" s="1"/>
      <c r="HZ194" s="1"/>
      <c r="IA194" s="1"/>
      <c r="IB194" s="1"/>
      <c r="IC194" s="1"/>
      <c r="ID194" s="1"/>
      <c r="IE194" s="1"/>
      <c r="IF194" s="1"/>
      <c r="IG194" s="1"/>
      <c r="IH194" s="21"/>
      <c r="II194" s="19"/>
      <c r="IJ194" s="19"/>
      <c r="IK194" s="19"/>
      <c r="IL194" s="19"/>
      <c r="IM194" s="19"/>
      <c r="IN194" s="19"/>
      <c r="IO194" s="39"/>
      <c r="IP194" s="39"/>
      <c r="IQ194" s="39"/>
      <c r="IR194" s="39"/>
      <c r="IS194" s="39"/>
      <c r="IT194" s="39"/>
      <c r="IU194" s="39"/>
      <c r="IV194" s="39"/>
      <c r="IW194" s="39"/>
      <c r="IX194" s="39"/>
      <c r="IY194" s="39"/>
      <c r="IZ194" s="39"/>
      <c r="JA194" s="19"/>
      <c r="JB194" s="19"/>
      <c r="JC194" s="19"/>
      <c r="JD194" s="19"/>
      <c r="JE194" s="21"/>
      <c r="JF194" s="1"/>
      <c r="JG194" s="15"/>
      <c r="JH194" s="1"/>
      <c r="JI194" s="1"/>
      <c r="JJ194" s="1"/>
      <c r="JK194" s="1"/>
      <c r="JL194" s="15"/>
      <c r="JM194" s="15"/>
      <c r="JN194" s="21"/>
      <c r="JO194" s="19"/>
      <c r="JP194" s="19"/>
      <c r="JQ194" s="39"/>
      <c r="JR194" s="39"/>
      <c r="JS194" s="39"/>
      <c r="JT194" s="39"/>
      <c r="JU194" s="385"/>
      <c r="JV194" s="39"/>
      <c r="JW194" s="1"/>
      <c r="JX194" s="19"/>
      <c r="JZ194" s="341"/>
      <c r="KA194" s="342"/>
      <c r="KB194" s="469"/>
      <c r="KI194" s="473"/>
      <c r="KJ194" s="473"/>
      <c r="KK194" s="473"/>
    </row>
    <row r="195" spans="1:310" s="26" customFormat="1" ht="15" outlineLevel="1">
      <c r="A195" s="561">
        <f t="shared" si="391"/>
        <v>1095</v>
      </c>
      <c r="B195" s="561">
        <f t="shared" si="513"/>
        <v>95</v>
      </c>
      <c r="C195" s="561">
        <f t="shared" si="105"/>
        <v>1</v>
      </c>
      <c r="D195" s="561" t="str">
        <f t="shared" si="625"/>
        <v/>
      </c>
      <c r="E195" s="475">
        <f>INDEX(Input!$1:$1048576,E$93,$C195*2+MIN($B195,2)+5)
+INDEX(Scenarios!E$121:E$200,MATCH($B195,Scenarios!$B$121:$B$200,0))</f>
        <v>1229</v>
      </c>
      <c r="F195" s="475">
        <f>INDEX(Input!$1:$1048576,F$93,$C195*2+MIN($B195,2)+5)
+INDEX(Scenarios!F$121:F$200,MATCH($B195,Scenarios!$B$121:$B$200,0))</f>
        <v>0</v>
      </c>
      <c r="G195" s="475">
        <f>INDEX(Input!$1:$1048576,G$93,$C195*2+MIN($B195,2)+5)
+INDEX(Scenarios!G$121:G$200,MATCH($B195,Scenarios!$B$121:$B$200,0))</f>
        <v>0</v>
      </c>
      <c r="H195" s="475">
        <f>INDEX(Input!$1:$1048576,H$93,$C195*2+MIN($B195,2)+5)
+INDEX(Scenarios!H$121:H$200,MATCH($B195,Scenarios!$B$121:$B$200,0))</f>
        <v>0</v>
      </c>
      <c r="I195" s="476">
        <f>INDEX(Input!$1:$1048576,I$93,$C195*2+MIN($B195,2)+5)</f>
        <v>0.7</v>
      </c>
      <c r="J195" s="476" t="str">
        <f>INDEX(Input!$1:$1048576,J$93,$C195*2+MIN($B195,2)+5)</f>
        <v>Market</v>
      </c>
      <c r="K195" s="476" t="str">
        <f>INDEX(Input!$1:$1048576,K$93,$C195*2+MIN($B195,2)+5)</f>
        <v>Market</v>
      </c>
      <c r="L195" s="476" t="str">
        <f>INDEX(Input!$1:$1048576,L$93,$C195*2+MIN($B195,2)+5)</f>
        <v>Market</v>
      </c>
      <c r="M195" s="476" t="str">
        <f>INDEX(Input!$1:$1048576,M$93,$C195*2+MIN($B195,2)+5)</f>
        <v>Market</v>
      </c>
      <c r="N195" s="476" t="str">
        <f>INDEX(Input!$1:$1048576,N$93,$C195*2+MIN($B195,2)+5)</f>
        <v>Market</v>
      </c>
      <c r="O195" s="476" t="str">
        <f>INDEX(Input!$1:$1048576,O$93,$C195*2+MIN($B195,2)+5)</f>
        <v>Market</v>
      </c>
      <c r="P195" s="476" t="str">
        <f>INDEX(Input!$1:$1048576,P$93,$C195*2+MIN($B195,2)+5)</f>
        <v>N</v>
      </c>
      <c r="Q195" s="477">
        <f>INDEX(Input!$1:$1048576,Q$93,$C195*2+MIN($B195,2)+5)
+INDEX(Scenarios!Q$121:Q$200,MATCH($B195,Scenarios!$B$121:$B$200,0))</f>
        <v>0</v>
      </c>
      <c r="R195" s="478">
        <f>IFERROR(MAX(0,INDEX(Input!$1:$1048576,R$93,$C195*2+MIN($B195,2)+5)
+INDEX(Scenarios!R$121:R$200,MATCH($B195,Scenarios!$B$121:$B$200,0)),),"Market")</f>
        <v>0</v>
      </c>
      <c r="S195" s="478">
        <f>IFERROR(MAX(0,INDEX(Input!$1:$1048576,S$93,$C195*2+MIN($B195,2)+5)
+INDEX(Scenarios!S$121:S$200,MATCH($B195,Scenarios!$B$121:$B$200,0)),),"Market")</f>
        <v>0</v>
      </c>
      <c r="T195" s="478">
        <f>IFERROR(MAX(0,INDEX(Input!$1:$1048576,T$93,$C195*2+MIN($B195,2)+5)
+INDEX(Scenarios!T$121:T$200,MATCH($B195,Scenarios!$B$121:$B$200,0)),),"Market")</f>
        <v>0</v>
      </c>
      <c r="U195" s="478">
        <f>IFERROR(MAX(0,INDEX(Input!$1:$1048576,U$93,$C195*2+MIN($B195,2)+5)
+INDEX(Scenarios!U$121:U$200,MATCH($B195,Scenarios!$B$121:$B$200,0)),),"Market")</f>
        <v>0</v>
      </c>
      <c r="V195" s="478">
        <f>IFERROR(MAX(0,INDEX(Input!$1:$1048576,V$93,$C195*2+MIN($B195,2)+5)
+INDEX(Scenarios!V$121:V$200,MATCH($B195,Scenarios!$B$121:$B$200,0)),),"Market")</f>
        <v>1.9E-2</v>
      </c>
      <c r="W195" s="885">
        <f>IFERROR(MAX(0,INDEX(Input!$1:$1048576,W$93,$C195*2+MIN($B195,2)+5)-0%,),"Market")</f>
        <v>3.9E-2</v>
      </c>
      <c r="X195" s="476" t="str">
        <f>INDEX(Input!$1:$1048576,X$93,$C195*2+MIN($B195,2)+5)</f>
        <v>Y</v>
      </c>
      <c r="Y195" s="475">
        <f>INDEX(Input!$1:$1048576,Y$93,$C195*2+MIN($B195,2)+5)
++INDEX(Scenarios!Y$121:Y$200,MATCH($B195,Scenarios!$B$121:$B$200,0))</f>
        <v>1942</v>
      </c>
      <c r="Z195" s="477">
        <f>INDEX(Input!$1:$1048576,Z$93,$C195*2+MIN($B195,2)+5)
+INDEX(Scenarios!Z$121:Z$200,MATCH($B195,Scenarios!$B$121:$B$200,0))</f>
        <v>0</v>
      </c>
      <c r="AA195" s="475">
        <f>INDEX(Input!$1:$1048576,AA$93,$C195*2+MIN($B195,2)+5)
+INDEX(Scenarios!AA$121:AA$200,MATCH($B195,Scenarios!$B$121:$B$200,0))</f>
        <v>0</v>
      </c>
      <c r="AB195" s="476">
        <f>INDEX(Input!$1:$1048576,AB$93,$C195*2+MIN($B195,2)+5)</f>
        <v>0.27</v>
      </c>
      <c r="AC195" s="475">
        <f>INDEX(Input!$1:$1048576,AC$93,$C195*2+MIN($B195,2)+5)
+INDEX(Scenarios!AC$121:AC$200,MATCH($B195,Scenarios!$B$121:$B$200,0))</f>
        <v>0</v>
      </c>
      <c r="AD195" s="476">
        <f>INDEX(Input!$1:$1048576,AD$93,$C195*2+MIN($B195,2)+5)</f>
        <v>0.27</v>
      </c>
      <c r="AE195" s="475">
        <f>INDEX(Input!$1:$1048576,AE$93,$C195*2+MIN($B195,2)+5)
+INDEX(Scenarios!AE$121:AE$200,MATCH($B195,Scenarios!$B$121:$B$200,0))</f>
        <v>0</v>
      </c>
      <c r="AF195" s="476">
        <f>INDEX(Input!$1:$1048576,AF$93,$C195*2+MIN($B195,2)+5)</f>
        <v>0.38</v>
      </c>
      <c r="AG195" s="475">
        <f>INDEX(Input!$1:$1048576,AG$93,$C195*2+MIN($B195,2)+5)
+INDEX(Scenarios!AG$121:AG$200,MATCH($B195,Scenarios!$B$121:$B$200,0))</f>
        <v>0</v>
      </c>
      <c r="AH195" s="476">
        <f>INDEX(Input!$1:$1048576,AH$93,$C195*2+MIN($B195,2)+5)</f>
        <v>0</v>
      </c>
      <c r="AI195" s="475">
        <f>INDEX(Input!$1:$1048576,AI$93,$C195*2+MIN($B195,2)+5)
+INDEX(Scenarios!AI$121:AI$200,MATCH($B195,Scenarios!$B$121:$B$200,0))</f>
        <v>0</v>
      </c>
      <c r="AJ195" s="476">
        <f>INDEX(Input!$1:$1048576,AJ$93,$C195*2+MIN($B195,2)+5)</f>
        <v>0.27</v>
      </c>
      <c r="AK195" s="150">
        <f>ROUND(INDEX(Input!$1:$1048576,AK$93,$C194*2+MIN($B195,1)+5)+(Y195-VLOOKUP($C195*1000+1,$A:$HH,Y$92,FALSE)),0)</f>
        <v>3757</v>
      </c>
      <c r="AL195" s="150">
        <f>ROUND(INDEX(Input!$1:$1048576,AL$93,$C194*2+MIN($B195,1)+5)-(Y195-VLOOKUP($C195*1000+1,$A:$HH,Y$92,FALSE))/36,0)</f>
        <v>4113</v>
      </c>
      <c r="AM195" s="32" t="str">
        <f t="shared" si="392"/>
        <v>std/std/std/std</v>
      </c>
      <c r="AN195" s="32" t="str">
        <f t="shared" si="393"/>
        <v>$0 + 0/0/0/1.9/3.9</v>
      </c>
      <c r="AO195" s="32" t="str">
        <f t="shared" si="394"/>
        <v>0/0/0/1.9/3.9</v>
      </c>
      <c r="AP195" s="32" t="str">
        <f t="shared" si="498"/>
        <v>0/0.9/1.9/3.9</v>
      </c>
      <c r="AQ195" s="536">
        <f t="shared" si="497"/>
        <v>0</v>
      </c>
      <c r="AR195" s="32"/>
      <c r="AS195" s="302"/>
      <c r="AT195" s="3">
        <f t="shared" si="106"/>
        <v>95</v>
      </c>
      <c r="AU195" s="41" t="s">
        <v>121</v>
      </c>
      <c r="AV195" s="41" t="s">
        <v>116</v>
      </c>
      <c r="AW195" s="41" t="str">
        <f>INDEX(Input!$1:$1048576,AW$93,$C195*2+6)</f>
        <v>Kia</v>
      </c>
      <c r="AX195" s="41" t="str">
        <f>INDEX(Input!$1:$1048576,AX$93,$C195*2+6)</f>
        <v>Kia-LR - L1</v>
      </c>
      <c r="AY195" s="41" t="str">
        <f>IF(LEN(D195)=0,"",INDEX(Input!$1:$1048576,AY$93,$C195*2+6))</f>
        <v/>
      </c>
      <c r="AZ195" s="41" t="str">
        <f>INDEX(Input!$1:$1048576,AZ$93,$C195*2+6)</f>
        <v>Kia Soul</v>
      </c>
      <c r="BA195" s="3">
        <f>INDEX(Input!$1:$1048576,BA$93,$C195*2+6)</f>
        <v>2020</v>
      </c>
      <c r="BB195" s="128">
        <f>INDEX(Input!$1:$1048576,BB$93,$C195*2+6)</f>
        <v>1</v>
      </c>
      <c r="BC195" s="128">
        <f>INDEX(Input!$1:$1048576,BC$93,$C195*2+6)</f>
        <v>0.7</v>
      </c>
      <c r="BD195" s="1">
        <f>INDEX(Input!$1:$1048576,BD$93,$C195*2+6)</f>
        <v>4.4999999999999998E-2</v>
      </c>
      <c r="BE195" s="1">
        <f>INDEX(Input!$1:$1048576,BE$93,$C195*2+6)</f>
        <v>4.4999999999999998E-2</v>
      </c>
      <c r="BF195" s="1">
        <f>INDEX(Input!$1:$1048576,BF$93,$C195*2+6)</f>
        <v>0.05</v>
      </c>
      <c r="BG195" s="1">
        <f>INDEX(Input!$1:$1048576,BG$93,$C195*2+6)</f>
        <v>5.45E-2</v>
      </c>
      <c r="BH195" s="1">
        <f>INDEX(Input!$1:$1048576,BH$93,$C195*2+6)</f>
        <v>5.45E-2</v>
      </c>
      <c r="BI195" s="1">
        <f>INDEX(Input!$1:$1048576,BI$93,$C195*2+6)</f>
        <v>0.05</v>
      </c>
      <c r="BJ195" s="1">
        <f>INDEX(Input!$1:$1048576,BJ$93,$C195*2+6)</f>
        <v>0.05</v>
      </c>
      <c r="BK195" s="1">
        <f>INDEX(Input!$1:$1048576,BK$93,$C195*2+6)</f>
        <v>0.05</v>
      </c>
      <c r="BL195" s="1">
        <f>INDEX(Input!$1:$1048576,BL$93,$C195*2+6)</f>
        <v>5.5E-2</v>
      </c>
      <c r="BM195" s="1">
        <f>INDEX(Input!$1:$1048576,BM$93,$C195*2+6)</f>
        <v>0.06</v>
      </c>
      <c r="BN195" s="1">
        <f>INDEX(Input!$1:$1048576,BN$93,$C195*2+6)</f>
        <v>4.4999999999999998E-2</v>
      </c>
      <c r="BO195" s="1">
        <f>INDEX(Input!$1:$1048576,BO$93,$C195*2+6)</f>
        <v>4.4999999999999998E-2</v>
      </c>
      <c r="BP195" s="1">
        <f>INDEX(Input!$1:$1048576,BP$93,$C195*2+6)</f>
        <v>0.05</v>
      </c>
      <c r="BQ195" s="1">
        <f>INDEX(Input!$1:$1048576,BQ$93,$C195*2+6)</f>
        <v>5.45E-2</v>
      </c>
      <c r="BR195" s="1">
        <f>INDEX(Input!$1:$1048576,BR$93,$C195*2+6)</f>
        <v>5.45E-2</v>
      </c>
      <c r="BS195" s="1">
        <f>INDEX(Input!$1:$1048576,BS$93,$C195*2+6)</f>
        <v>0.05</v>
      </c>
      <c r="BT195" s="1">
        <f>INDEX(Input!$1:$1048576,BT$93,$C195*2+6)</f>
        <v>0.05</v>
      </c>
      <c r="BU195" s="1">
        <f>INDEX(Input!$1:$1048576,BU$93,$C195*2+6)</f>
        <v>0.05</v>
      </c>
      <c r="BV195" s="1">
        <f>INDEX(Input!$1:$1048576,BV$93,$C195*2+6)</f>
        <v>5.5E-2</v>
      </c>
      <c r="BW195" s="1">
        <f>INDEX(Input!$1:$1048576,BW$93,$C195*2+6)</f>
        <v>0.06</v>
      </c>
      <c r="BX195" s="127">
        <f>INDEX(Input!$1:$1048576,BX$93,$C195*2+6)</f>
        <v>19985</v>
      </c>
      <c r="BY195" s="20">
        <f>INDEX(Input!$1:$1048576,BY$93,$C195*2+6)</f>
        <v>0.1</v>
      </c>
      <c r="BZ195" s="20">
        <f>INDEX(Input!$1:$1048576,BZ$93,$C195*2+6)</f>
        <v>0.1</v>
      </c>
      <c r="CA195" s="20">
        <f>INDEX(Input!$1:$1048576,CA$93,$C195*2+6)</f>
        <v>0.1</v>
      </c>
      <c r="CB195" s="20">
        <f>INDEX(Input!$1:$1048576,CB$93,$C195*2+6)</f>
        <v>0.1</v>
      </c>
      <c r="CC195" s="20">
        <f>INDEX(Input!$1:$1048576,CC$93,$C195*2+6)</f>
        <v>0.1</v>
      </c>
      <c r="CD195" s="384">
        <f>INDEX(Input!$1:$1048576,CD$93,$C195*2+6)</f>
        <v>0.1</v>
      </c>
      <c r="CE195" s="384">
        <f>INDEX(Input!$1:$1048576,CE$93,$C195*2+6)</f>
        <v>0.1</v>
      </c>
      <c r="CF195" s="384">
        <f>INDEX(Input!$1:$1048576,CF$93,$C195*2+6)</f>
        <v>0.1</v>
      </c>
      <c r="CG195" s="384">
        <f>INDEX(Input!$1:$1048576,CG$93,$C195*2+6)</f>
        <v>0.1</v>
      </c>
      <c r="CH195" s="384">
        <f>INDEX(Input!$1:$1048576,CH$93,$C195*2+6)</f>
        <v>0.1</v>
      </c>
      <c r="CI195" s="304">
        <f t="shared" si="499"/>
        <v>1229</v>
      </c>
      <c r="CJ195" s="16" t="str">
        <f>INDEX(Input!$1:$1048576,CJ$93,$C195*2+6)</f>
        <v>N</v>
      </c>
      <c r="CK195" s="1" t="str">
        <f t="shared" si="500"/>
        <v>Market</v>
      </c>
      <c r="CL195" s="1" t="str">
        <f t="shared" si="501"/>
        <v>Market</v>
      </c>
      <c r="CM195" s="1" t="str">
        <f t="shared" si="502"/>
        <v>Market</v>
      </c>
      <c r="CN195" s="1" t="str">
        <f t="shared" si="503"/>
        <v>Market</v>
      </c>
      <c r="CO195" s="1" t="str">
        <f t="shared" si="504"/>
        <v>Market</v>
      </c>
      <c r="CP195" s="304">
        <f t="shared" si="505"/>
        <v>0</v>
      </c>
      <c r="CQ195" s="1">
        <f t="shared" si="506"/>
        <v>0</v>
      </c>
      <c r="CR195" s="1">
        <f t="shared" si="507"/>
        <v>0</v>
      </c>
      <c r="CS195" s="1">
        <f t="shared" si="508"/>
        <v>0</v>
      </c>
      <c r="CT195" s="1">
        <f t="shared" si="509"/>
        <v>1.9E-2</v>
      </c>
      <c r="CU195" s="1">
        <f t="shared" si="510"/>
        <v>3.9E-2</v>
      </c>
      <c r="CV195" s="304">
        <f t="shared" si="511"/>
        <v>1942</v>
      </c>
      <c r="CW195" s="20" t="s">
        <v>122</v>
      </c>
      <c r="CX195" s="20" t="s">
        <v>122</v>
      </c>
      <c r="CY195" s="20" t="s">
        <v>122</v>
      </c>
      <c r="CZ195" s="20" t="s">
        <v>122</v>
      </c>
      <c r="DA195" s="20" t="s">
        <v>122</v>
      </c>
      <c r="DB195" s="503">
        <f t="shared" si="512"/>
        <v>0</v>
      </c>
      <c r="DC195" s="127">
        <v>0</v>
      </c>
      <c r="DD195" s="127">
        <v>0</v>
      </c>
      <c r="DE195" s="127">
        <v>0</v>
      </c>
      <c r="DF195" s="127">
        <v>0</v>
      </c>
      <c r="DG195" s="127">
        <v>0</v>
      </c>
      <c r="DH195" s="127">
        <v>0</v>
      </c>
      <c r="DI195" s="127">
        <v>0</v>
      </c>
      <c r="DJ195" s="127">
        <v>0</v>
      </c>
      <c r="DK195" s="127">
        <v>0</v>
      </c>
      <c r="DL195" s="127">
        <v>0</v>
      </c>
      <c r="DM195" s="304">
        <f>INDEX(Input!$1:$1048576,DM$93,$C195*2+6)</f>
        <v>21036.84210526316</v>
      </c>
      <c r="DN195" s="20">
        <v>0</v>
      </c>
      <c r="DO195" s="20">
        <v>0</v>
      </c>
      <c r="DP195" s="20">
        <v>0</v>
      </c>
      <c r="DQ195" s="20">
        <v>0</v>
      </c>
      <c r="DR195" s="20">
        <v>0</v>
      </c>
      <c r="DS195" s="20">
        <f>INDEX(Input!$1:$1048576,DS$93,$C195*2+6)</f>
        <v>0.6</v>
      </c>
      <c r="DT195" s="20">
        <f>INDEX(Input!$1:$1048576,DT$93,$C195*2+6)</f>
        <v>0.55000000000000004</v>
      </c>
      <c r="DU195" s="20">
        <f>INDEX(Input!$1:$1048576,DU$93,$C195*2+6)</f>
        <v>0.52</v>
      </c>
      <c r="DV195" s="20">
        <f>INDEX(Input!$1:$1048576,DV$93,$C195*2+6)</f>
        <v>0.5</v>
      </c>
      <c r="DW195" s="20">
        <f>INDEX(Input!$1:$1048576,DW$93,$C195*2+6)</f>
        <v>0.45</v>
      </c>
      <c r="DX195" s="20"/>
      <c r="DY195" s="7"/>
      <c r="DZ195" s="7"/>
      <c r="EA195" s="7"/>
      <c r="EB195" s="7"/>
      <c r="EC195" s="7"/>
      <c r="ED195" s="7"/>
      <c r="EE195" s="7"/>
      <c r="EF195" s="7"/>
      <c r="EG195" s="7"/>
      <c r="EH195" s="7"/>
      <c r="EI195" s="7"/>
      <c r="EJ195" s="7"/>
      <c r="EK195" s="7"/>
      <c r="EL195" s="7"/>
      <c r="EM195" s="7"/>
      <c r="EN195" s="7"/>
      <c r="EO195" s="7"/>
      <c r="EP195" s="7"/>
      <c r="EQ195" s="7"/>
      <c r="ER195" s="7"/>
      <c r="ES195" s="7"/>
      <c r="ET195" s="7"/>
      <c r="EU195" s="6"/>
      <c r="EV195" s="6"/>
      <c r="EW195" s="6"/>
      <c r="EX195" s="6"/>
      <c r="EY195" s="6"/>
      <c r="EZ195" s="6"/>
      <c r="FA195" s="6"/>
      <c r="FB195" s="6"/>
      <c r="FC195" s="6"/>
      <c r="FD195" s="6"/>
      <c r="FE195" s="6"/>
      <c r="FF195" s="6"/>
      <c r="FG195" s="6"/>
      <c r="FH195" s="6"/>
      <c r="FI195" s="6"/>
      <c r="FJ195" s="6"/>
      <c r="FK195" s="6"/>
      <c r="FL195" s="6"/>
      <c r="FM195" s="6"/>
      <c r="FN195" s="6"/>
      <c r="FO195" s="6"/>
      <c r="FP195" s="6"/>
      <c r="FQ195" s="6"/>
      <c r="FR195" s="6"/>
      <c r="FS195" s="6"/>
      <c r="FT195" s="7"/>
      <c r="FU195" s="7"/>
      <c r="FV195" s="7"/>
      <c r="FW195" s="6"/>
      <c r="FX195" s="6"/>
      <c r="FY195" s="6"/>
      <c r="FZ195" s="6"/>
      <c r="GA195" s="6"/>
      <c r="GB195" s="6"/>
      <c r="GC195" s="7"/>
      <c r="GD195" s="7"/>
      <c r="GE195" s="7"/>
      <c r="GF195" s="7"/>
      <c r="GG195" s="7"/>
      <c r="GH195" s="42"/>
      <c r="GI195" s="6"/>
      <c r="GJ195" s="14"/>
      <c r="GK195" s="14"/>
      <c r="GL195" s="14"/>
      <c r="GM195" s="14"/>
      <c r="GO195" s="5"/>
      <c r="GP195" s="5"/>
      <c r="GQ195" s="5"/>
      <c r="GR195" s="5"/>
      <c r="GS195" s="5"/>
      <c r="GT195" s="5"/>
      <c r="GU195" s="5"/>
      <c r="GV195" s="39"/>
      <c r="GW195" s="5"/>
      <c r="GX195" s="5"/>
      <c r="GY195" s="5"/>
      <c r="GZ195" s="5"/>
      <c r="HA195" s="5"/>
      <c r="HB195" s="39"/>
      <c r="HC195" s="5"/>
      <c r="HD195" s="5"/>
      <c r="HE195" s="5"/>
      <c r="HF195" s="5"/>
      <c r="HG195" s="5"/>
      <c r="HH195" s="39"/>
      <c r="HI195" s="16"/>
      <c r="HJ195" s="19"/>
      <c r="HK195" s="1"/>
      <c r="HL195" s="16"/>
      <c r="HM195" s="1"/>
      <c r="HN195" s="1"/>
      <c r="HO195" s="1"/>
      <c r="HP195" s="1"/>
      <c r="HQ195" s="1"/>
      <c r="HR195" s="1"/>
      <c r="HS195" s="1"/>
      <c r="HT195" s="1"/>
      <c r="HU195" s="1"/>
      <c r="HV195" s="1"/>
      <c r="HW195" s="1"/>
      <c r="HX195" s="1"/>
      <c r="HY195" s="1"/>
      <c r="HZ195" s="1"/>
      <c r="IA195" s="1"/>
      <c r="IB195" s="1"/>
      <c r="IC195" s="1"/>
      <c r="ID195" s="1"/>
      <c r="IE195" s="1"/>
      <c r="IF195" s="1"/>
      <c r="IG195" s="1"/>
      <c r="IH195" s="21"/>
      <c r="II195" s="19"/>
      <c r="IJ195" s="19"/>
      <c r="IK195" s="19"/>
      <c r="IL195" s="19"/>
      <c r="IM195" s="19"/>
      <c r="IN195" s="19"/>
      <c r="IO195" s="39"/>
      <c r="IP195" s="39"/>
      <c r="IQ195" s="39"/>
      <c r="IR195" s="39"/>
      <c r="IS195" s="39"/>
      <c r="IT195" s="39"/>
      <c r="IU195" s="39"/>
      <c r="IV195" s="39"/>
      <c r="IW195" s="39"/>
      <c r="IX195" s="39"/>
      <c r="IY195" s="39"/>
      <c r="IZ195" s="39"/>
      <c r="JA195" s="19"/>
      <c r="JB195" s="19"/>
      <c r="JC195" s="19"/>
      <c r="JD195" s="19"/>
      <c r="JE195" s="21"/>
      <c r="JF195" s="1"/>
      <c r="JG195" s="15"/>
      <c r="JH195" s="1"/>
      <c r="JI195" s="1"/>
      <c r="JJ195" s="1"/>
      <c r="JK195" s="1"/>
      <c r="JL195" s="15"/>
      <c r="JM195" s="15"/>
      <c r="JN195" s="21"/>
      <c r="JO195" s="19"/>
      <c r="JP195" s="19"/>
      <c r="JQ195" s="39"/>
      <c r="JR195" s="39"/>
      <c r="JS195" s="39"/>
      <c r="JT195" s="39"/>
      <c r="JU195" s="385"/>
      <c r="JV195" s="39"/>
      <c r="JW195" s="1"/>
      <c r="JX195" s="19"/>
      <c r="JZ195" s="341"/>
      <c r="KA195" s="342"/>
      <c r="KB195" s="469"/>
      <c r="KI195" s="473"/>
      <c r="KJ195" s="473"/>
      <c r="KK195" s="473"/>
    </row>
    <row r="196" spans="1:310" s="26" customFormat="1" ht="15" outlineLevel="1">
      <c r="A196" s="561">
        <f t="shared" si="391"/>
        <v>1096</v>
      </c>
      <c r="B196" s="561">
        <f t="shared" si="513"/>
        <v>96</v>
      </c>
      <c r="C196" s="561">
        <f t="shared" si="105"/>
        <v>1</v>
      </c>
      <c r="D196" s="561" t="str">
        <f t="shared" si="625"/>
        <v/>
      </c>
      <c r="E196" s="475">
        <f>INDEX(Input!$1:$1048576,E$93,$C196*2+MIN($B196,2)+5)
+INDEX(Scenarios!E$121:E$200,MATCH($B196,Scenarios!$B$121:$B$200,0))</f>
        <v>1229</v>
      </c>
      <c r="F196" s="475">
        <f>INDEX(Input!$1:$1048576,F$93,$C196*2+MIN($B196,2)+5)
+INDEX(Scenarios!F$121:F$200,MATCH($B196,Scenarios!$B$121:$B$200,0))</f>
        <v>0</v>
      </c>
      <c r="G196" s="475">
        <f>INDEX(Input!$1:$1048576,G$93,$C196*2+MIN($B196,2)+5)
+INDEX(Scenarios!G$121:G$200,MATCH($B196,Scenarios!$B$121:$B$200,0))</f>
        <v>0</v>
      </c>
      <c r="H196" s="475">
        <f>INDEX(Input!$1:$1048576,H$93,$C196*2+MIN($B196,2)+5)
+INDEX(Scenarios!H$121:H$200,MATCH($B196,Scenarios!$B$121:$B$200,0))</f>
        <v>0</v>
      </c>
      <c r="I196" s="476">
        <f>INDEX(Input!$1:$1048576,I$93,$C196*2+MIN($B196,2)+5)</f>
        <v>0.7</v>
      </c>
      <c r="J196" s="476" t="str">
        <f>INDEX(Input!$1:$1048576,J$93,$C196*2+MIN($B196,2)+5)</f>
        <v>Market</v>
      </c>
      <c r="K196" s="476" t="str">
        <f>INDEX(Input!$1:$1048576,K$93,$C196*2+MIN($B196,2)+5)</f>
        <v>Market</v>
      </c>
      <c r="L196" s="476" t="str">
        <f>INDEX(Input!$1:$1048576,L$93,$C196*2+MIN($B196,2)+5)</f>
        <v>Market</v>
      </c>
      <c r="M196" s="476" t="str">
        <f>INDEX(Input!$1:$1048576,M$93,$C196*2+MIN($B196,2)+5)</f>
        <v>Market</v>
      </c>
      <c r="N196" s="476" t="str">
        <f>INDEX(Input!$1:$1048576,N$93,$C196*2+MIN($B196,2)+5)</f>
        <v>Market</v>
      </c>
      <c r="O196" s="476" t="str">
        <f>INDEX(Input!$1:$1048576,O$93,$C196*2+MIN($B196,2)+5)</f>
        <v>Market</v>
      </c>
      <c r="P196" s="476" t="str">
        <f>INDEX(Input!$1:$1048576,P$93,$C196*2+MIN($B196,2)+5)</f>
        <v>N</v>
      </c>
      <c r="Q196" s="477">
        <f>INDEX(Input!$1:$1048576,Q$93,$C196*2+MIN($B196,2)+5)
+INDEX(Scenarios!Q$121:Q$200,MATCH($B196,Scenarios!$B$121:$B$200,0))</f>
        <v>0</v>
      </c>
      <c r="R196" s="478">
        <f>IFERROR(MAX(0,INDEX(Input!$1:$1048576,R$93,$C196*2+MIN($B196,2)+5)
+INDEX(Scenarios!R$121:R$200,MATCH($B196,Scenarios!$B$121:$B$200,0)),),"Market")</f>
        <v>0</v>
      </c>
      <c r="S196" s="478">
        <f>IFERROR(MAX(0,INDEX(Input!$1:$1048576,S$93,$C196*2+MIN($B196,2)+5)
+INDEX(Scenarios!S$121:S$200,MATCH($B196,Scenarios!$B$121:$B$200,0)),),"Market")</f>
        <v>0</v>
      </c>
      <c r="T196" s="478">
        <f>IFERROR(MAX(0,INDEX(Input!$1:$1048576,T$93,$C196*2+MIN($B196,2)+5)
+INDEX(Scenarios!T$121:T$200,MATCH($B196,Scenarios!$B$121:$B$200,0)),),"Market")</f>
        <v>0</v>
      </c>
      <c r="U196" s="478">
        <f>IFERROR(MAX(0,INDEX(Input!$1:$1048576,U$93,$C196*2+MIN($B196,2)+5)
+INDEX(Scenarios!U$121:U$200,MATCH($B196,Scenarios!$B$121:$B$200,0)),),"Market")</f>
        <v>0</v>
      </c>
      <c r="V196" s="478">
        <f>IFERROR(MAX(0,INDEX(Input!$1:$1048576,V$93,$C196*2+MIN($B196,2)+5)
+INDEX(Scenarios!V$121:V$200,MATCH($B196,Scenarios!$B$121:$B$200,0)),),"Market")</f>
        <v>1.9E-2</v>
      </c>
      <c r="W196" s="885">
        <f>IFERROR(MAX(0,INDEX(Input!$1:$1048576,W$93,$C196*2+MIN($B196,2)+5)-0%,),"Market")</f>
        <v>3.9E-2</v>
      </c>
      <c r="X196" s="476" t="str">
        <f>INDEX(Input!$1:$1048576,X$93,$C196*2+MIN($B196,2)+5)</f>
        <v>Y</v>
      </c>
      <c r="Y196" s="475">
        <f>INDEX(Input!$1:$1048576,Y$93,$C196*2+MIN($B196,2)+5)
++INDEX(Scenarios!Y$121:Y$200,MATCH($B196,Scenarios!$B$121:$B$200,0))</f>
        <v>1942</v>
      </c>
      <c r="Z196" s="477">
        <f>INDEX(Input!$1:$1048576,Z$93,$C196*2+MIN($B196,2)+5)
+INDEX(Scenarios!Z$121:Z$200,MATCH($B196,Scenarios!$B$121:$B$200,0))</f>
        <v>0</v>
      </c>
      <c r="AA196" s="475">
        <f>INDEX(Input!$1:$1048576,AA$93,$C196*2+MIN($B196,2)+5)
+INDEX(Scenarios!AA$121:AA$200,MATCH($B196,Scenarios!$B$121:$B$200,0))</f>
        <v>0</v>
      </c>
      <c r="AB196" s="476">
        <f>INDEX(Input!$1:$1048576,AB$93,$C196*2+MIN($B196,2)+5)</f>
        <v>0.27</v>
      </c>
      <c r="AC196" s="475">
        <f>INDEX(Input!$1:$1048576,AC$93,$C196*2+MIN($B196,2)+5)
+INDEX(Scenarios!AC$121:AC$200,MATCH($B196,Scenarios!$B$121:$B$200,0))</f>
        <v>0</v>
      </c>
      <c r="AD196" s="476">
        <f>INDEX(Input!$1:$1048576,AD$93,$C196*2+MIN($B196,2)+5)</f>
        <v>0.27</v>
      </c>
      <c r="AE196" s="475">
        <f>INDEX(Input!$1:$1048576,AE$93,$C196*2+MIN($B196,2)+5)
+INDEX(Scenarios!AE$121:AE$200,MATCH($B196,Scenarios!$B$121:$B$200,0))</f>
        <v>0</v>
      </c>
      <c r="AF196" s="476">
        <f>INDEX(Input!$1:$1048576,AF$93,$C196*2+MIN($B196,2)+5)</f>
        <v>0.38</v>
      </c>
      <c r="AG196" s="475">
        <f>INDEX(Input!$1:$1048576,AG$93,$C196*2+MIN($B196,2)+5)
+INDEX(Scenarios!AG$121:AG$200,MATCH($B196,Scenarios!$B$121:$B$200,0))</f>
        <v>0</v>
      </c>
      <c r="AH196" s="476">
        <f>INDEX(Input!$1:$1048576,AH$93,$C196*2+MIN($B196,2)+5)</f>
        <v>0</v>
      </c>
      <c r="AI196" s="475">
        <f>INDEX(Input!$1:$1048576,AI$93,$C196*2+MIN($B196,2)+5)
+INDEX(Scenarios!AI$121:AI$200,MATCH($B196,Scenarios!$B$121:$B$200,0))</f>
        <v>0</v>
      </c>
      <c r="AJ196" s="476">
        <f>INDEX(Input!$1:$1048576,AJ$93,$C196*2+MIN($B196,2)+5)</f>
        <v>0.27</v>
      </c>
      <c r="AK196" s="150">
        <f>ROUND(INDEX(Input!$1:$1048576,AK$93,$C195*2+MIN($B196,1)+5)+(Y196-VLOOKUP($C196*1000+1,$A:$HH,Y$92,FALSE)),0)</f>
        <v>3757</v>
      </c>
      <c r="AL196" s="150">
        <f>ROUND(INDEX(Input!$1:$1048576,AL$93,$C195*2+MIN($B196,1)+5)-(Y196-VLOOKUP($C196*1000+1,$A:$HH,Y$92,FALSE))/36,0)</f>
        <v>4113</v>
      </c>
      <c r="AM196" s="32" t="str">
        <f t="shared" si="392"/>
        <v>std/std/std/std</v>
      </c>
      <c r="AN196" s="32" t="str">
        <f t="shared" si="393"/>
        <v>$0 + 0/0/0/1.9/3.9</v>
      </c>
      <c r="AO196" s="32" t="str">
        <f t="shared" si="394"/>
        <v>0/0/0/1.9/3.9</v>
      </c>
      <c r="AP196" s="32" t="str">
        <f t="shared" si="498"/>
        <v>0/0.9/1.9/3.9</v>
      </c>
      <c r="AQ196" s="536">
        <f t="shared" si="497"/>
        <v>0</v>
      </c>
      <c r="AR196" s="32"/>
      <c r="AS196" s="302"/>
      <c r="AT196" s="3">
        <f t="shared" si="106"/>
        <v>96</v>
      </c>
      <c r="AU196" s="41" t="s">
        <v>121</v>
      </c>
      <c r="AV196" s="41" t="s">
        <v>116</v>
      </c>
      <c r="AW196" s="41" t="str">
        <f>INDEX(Input!$1:$1048576,AW$93,$C196*2+6)</f>
        <v>Kia</v>
      </c>
      <c r="AX196" s="41" t="str">
        <f>INDEX(Input!$1:$1048576,AX$93,$C196*2+6)</f>
        <v>Kia-LR - L1</v>
      </c>
      <c r="AY196" s="41" t="str">
        <f>IF(LEN(D196)=0,"",INDEX(Input!$1:$1048576,AY$93,$C196*2+6))</f>
        <v/>
      </c>
      <c r="AZ196" s="41" t="str">
        <f>INDEX(Input!$1:$1048576,AZ$93,$C196*2+6)</f>
        <v>Kia Soul</v>
      </c>
      <c r="BA196" s="3">
        <f>INDEX(Input!$1:$1048576,BA$93,$C196*2+6)</f>
        <v>2020</v>
      </c>
      <c r="BB196" s="128">
        <f>INDEX(Input!$1:$1048576,BB$93,$C196*2+6)</f>
        <v>1</v>
      </c>
      <c r="BC196" s="128">
        <f>INDEX(Input!$1:$1048576,BC$93,$C196*2+6)</f>
        <v>0.7</v>
      </c>
      <c r="BD196" s="1">
        <f>INDEX(Input!$1:$1048576,BD$93,$C196*2+6)</f>
        <v>4.4999999999999998E-2</v>
      </c>
      <c r="BE196" s="1">
        <f>INDEX(Input!$1:$1048576,BE$93,$C196*2+6)</f>
        <v>4.4999999999999998E-2</v>
      </c>
      <c r="BF196" s="1">
        <f>INDEX(Input!$1:$1048576,BF$93,$C196*2+6)</f>
        <v>0.05</v>
      </c>
      <c r="BG196" s="1">
        <f>INDEX(Input!$1:$1048576,BG$93,$C196*2+6)</f>
        <v>5.45E-2</v>
      </c>
      <c r="BH196" s="1">
        <f>INDEX(Input!$1:$1048576,BH$93,$C196*2+6)</f>
        <v>5.45E-2</v>
      </c>
      <c r="BI196" s="1">
        <f>INDEX(Input!$1:$1048576,BI$93,$C196*2+6)</f>
        <v>0.05</v>
      </c>
      <c r="BJ196" s="1">
        <f>INDEX(Input!$1:$1048576,BJ$93,$C196*2+6)</f>
        <v>0.05</v>
      </c>
      <c r="BK196" s="1">
        <f>INDEX(Input!$1:$1048576,BK$93,$C196*2+6)</f>
        <v>0.05</v>
      </c>
      <c r="BL196" s="1">
        <f>INDEX(Input!$1:$1048576,BL$93,$C196*2+6)</f>
        <v>5.5E-2</v>
      </c>
      <c r="BM196" s="1">
        <f>INDEX(Input!$1:$1048576,BM$93,$C196*2+6)</f>
        <v>0.06</v>
      </c>
      <c r="BN196" s="1">
        <f>INDEX(Input!$1:$1048576,BN$93,$C196*2+6)</f>
        <v>4.4999999999999998E-2</v>
      </c>
      <c r="BO196" s="1">
        <f>INDEX(Input!$1:$1048576,BO$93,$C196*2+6)</f>
        <v>4.4999999999999998E-2</v>
      </c>
      <c r="BP196" s="1">
        <f>INDEX(Input!$1:$1048576,BP$93,$C196*2+6)</f>
        <v>0.05</v>
      </c>
      <c r="BQ196" s="1">
        <f>INDEX(Input!$1:$1048576,BQ$93,$C196*2+6)</f>
        <v>5.45E-2</v>
      </c>
      <c r="BR196" s="1">
        <f>INDEX(Input!$1:$1048576,BR$93,$C196*2+6)</f>
        <v>5.45E-2</v>
      </c>
      <c r="BS196" s="1">
        <f>INDEX(Input!$1:$1048576,BS$93,$C196*2+6)</f>
        <v>0.05</v>
      </c>
      <c r="BT196" s="1">
        <f>INDEX(Input!$1:$1048576,BT$93,$C196*2+6)</f>
        <v>0.05</v>
      </c>
      <c r="BU196" s="1">
        <f>INDEX(Input!$1:$1048576,BU$93,$C196*2+6)</f>
        <v>0.05</v>
      </c>
      <c r="BV196" s="1">
        <f>INDEX(Input!$1:$1048576,BV$93,$C196*2+6)</f>
        <v>5.5E-2</v>
      </c>
      <c r="BW196" s="1">
        <f>INDEX(Input!$1:$1048576,BW$93,$C196*2+6)</f>
        <v>0.06</v>
      </c>
      <c r="BX196" s="127">
        <f>INDEX(Input!$1:$1048576,BX$93,$C196*2+6)</f>
        <v>19985</v>
      </c>
      <c r="BY196" s="20">
        <f>INDEX(Input!$1:$1048576,BY$93,$C196*2+6)</f>
        <v>0.1</v>
      </c>
      <c r="BZ196" s="20">
        <f>INDEX(Input!$1:$1048576,BZ$93,$C196*2+6)</f>
        <v>0.1</v>
      </c>
      <c r="CA196" s="20">
        <f>INDEX(Input!$1:$1048576,CA$93,$C196*2+6)</f>
        <v>0.1</v>
      </c>
      <c r="CB196" s="20">
        <f>INDEX(Input!$1:$1048576,CB$93,$C196*2+6)</f>
        <v>0.1</v>
      </c>
      <c r="CC196" s="20">
        <f>INDEX(Input!$1:$1048576,CC$93,$C196*2+6)</f>
        <v>0.1</v>
      </c>
      <c r="CD196" s="384">
        <f>INDEX(Input!$1:$1048576,CD$93,$C196*2+6)</f>
        <v>0.1</v>
      </c>
      <c r="CE196" s="384">
        <f>INDEX(Input!$1:$1048576,CE$93,$C196*2+6)</f>
        <v>0.1</v>
      </c>
      <c r="CF196" s="384">
        <f>INDEX(Input!$1:$1048576,CF$93,$C196*2+6)</f>
        <v>0.1</v>
      </c>
      <c r="CG196" s="384">
        <f>INDEX(Input!$1:$1048576,CG$93,$C196*2+6)</f>
        <v>0.1</v>
      </c>
      <c r="CH196" s="384">
        <f>INDEX(Input!$1:$1048576,CH$93,$C196*2+6)</f>
        <v>0.1</v>
      </c>
      <c r="CI196" s="304">
        <f t="shared" si="499"/>
        <v>1229</v>
      </c>
      <c r="CJ196" s="16" t="str">
        <f>INDEX(Input!$1:$1048576,CJ$93,$C196*2+6)</f>
        <v>N</v>
      </c>
      <c r="CK196" s="1" t="str">
        <f t="shared" si="500"/>
        <v>Market</v>
      </c>
      <c r="CL196" s="1" t="str">
        <f t="shared" si="501"/>
        <v>Market</v>
      </c>
      <c r="CM196" s="1" t="str">
        <f t="shared" si="502"/>
        <v>Market</v>
      </c>
      <c r="CN196" s="1" t="str">
        <f t="shared" si="503"/>
        <v>Market</v>
      </c>
      <c r="CO196" s="1" t="str">
        <f t="shared" si="504"/>
        <v>Market</v>
      </c>
      <c r="CP196" s="304">
        <f t="shared" si="505"/>
        <v>0</v>
      </c>
      <c r="CQ196" s="1">
        <f t="shared" si="506"/>
        <v>0</v>
      </c>
      <c r="CR196" s="1">
        <f t="shared" si="507"/>
        <v>0</v>
      </c>
      <c r="CS196" s="1">
        <f t="shared" si="508"/>
        <v>0</v>
      </c>
      <c r="CT196" s="1">
        <f t="shared" si="509"/>
        <v>1.9E-2</v>
      </c>
      <c r="CU196" s="1">
        <f t="shared" si="510"/>
        <v>3.9E-2</v>
      </c>
      <c r="CV196" s="304">
        <f t="shared" si="511"/>
        <v>1942</v>
      </c>
      <c r="CW196" s="20" t="s">
        <v>122</v>
      </c>
      <c r="CX196" s="20" t="s">
        <v>122</v>
      </c>
      <c r="CY196" s="20" t="s">
        <v>122</v>
      </c>
      <c r="CZ196" s="20" t="s">
        <v>122</v>
      </c>
      <c r="DA196" s="20" t="s">
        <v>122</v>
      </c>
      <c r="DB196" s="503">
        <f t="shared" si="512"/>
        <v>0</v>
      </c>
      <c r="DC196" s="127">
        <v>0</v>
      </c>
      <c r="DD196" s="127">
        <v>0</v>
      </c>
      <c r="DE196" s="127">
        <v>0</v>
      </c>
      <c r="DF196" s="127">
        <v>0</v>
      </c>
      <c r="DG196" s="127">
        <v>0</v>
      </c>
      <c r="DH196" s="127">
        <v>0</v>
      </c>
      <c r="DI196" s="127">
        <v>0</v>
      </c>
      <c r="DJ196" s="127">
        <v>0</v>
      </c>
      <c r="DK196" s="127">
        <v>0</v>
      </c>
      <c r="DL196" s="127">
        <v>0</v>
      </c>
      <c r="DM196" s="304">
        <f>INDEX(Input!$1:$1048576,DM$93,$C196*2+6)</f>
        <v>21036.84210526316</v>
      </c>
      <c r="DN196" s="20">
        <v>0</v>
      </c>
      <c r="DO196" s="20">
        <v>0</v>
      </c>
      <c r="DP196" s="20">
        <v>0</v>
      </c>
      <c r="DQ196" s="20">
        <v>0</v>
      </c>
      <c r="DR196" s="20">
        <v>0</v>
      </c>
      <c r="DS196" s="20">
        <f>INDEX(Input!$1:$1048576,DS$93,$C196*2+6)</f>
        <v>0.6</v>
      </c>
      <c r="DT196" s="20">
        <f>INDEX(Input!$1:$1048576,DT$93,$C196*2+6)</f>
        <v>0.55000000000000004</v>
      </c>
      <c r="DU196" s="20">
        <f>INDEX(Input!$1:$1048576,DU$93,$C196*2+6)</f>
        <v>0.52</v>
      </c>
      <c r="DV196" s="20">
        <f>INDEX(Input!$1:$1048576,DV$93,$C196*2+6)</f>
        <v>0.5</v>
      </c>
      <c r="DW196" s="20">
        <f>INDEX(Input!$1:$1048576,DW$93,$C196*2+6)</f>
        <v>0.45</v>
      </c>
      <c r="DX196" s="20"/>
      <c r="DY196" s="7"/>
      <c r="DZ196" s="7"/>
      <c r="EA196" s="7"/>
      <c r="EB196" s="7"/>
      <c r="EC196" s="7"/>
      <c r="ED196" s="7"/>
      <c r="EE196" s="7"/>
      <c r="EF196" s="7"/>
      <c r="EG196" s="7"/>
      <c r="EH196" s="7"/>
      <c r="EI196" s="7"/>
      <c r="EJ196" s="7"/>
      <c r="EK196" s="7"/>
      <c r="EL196" s="7"/>
      <c r="EM196" s="7"/>
      <c r="EN196" s="7"/>
      <c r="EO196" s="7"/>
      <c r="EP196" s="7"/>
      <c r="EQ196" s="7"/>
      <c r="ER196" s="7"/>
      <c r="ES196" s="7"/>
      <c r="ET196" s="7"/>
      <c r="EU196" s="6"/>
      <c r="EV196" s="6"/>
      <c r="EW196" s="6"/>
      <c r="EX196" s="6"/>
      <c r="EY196" s="6"/>
      <c r="EZ196" s="6"/>
      <c r="FA196" s="6"/>
      <c r="FB196" s="6"/>
      <c r="FC196" s="6"/>
      <c r="FD196" s="6"/>
      <c r="FE196" s="6"/>
      <c r="FF196" s="6"/>
      <c r="FG196" s="6"/>
      <c r="FH196" s="6"/>
      <c r="FI196" s="6"/>
      <c r="FJ196" s="6"/>
      <c r="FK196" s="6"/>
      <c r="FL196" s="6"/>
      <c r="FM196" s="6"/>
      <c r="FN196" s="6"/>
      <c r="FO196" s="6"/>
      <c r="FP196" s="6"/>
      <c r="FQ196" s="6"/>
      <c r="FR196" s="6"/>
      <c r="FS196" s="6"/>
      <c r="FT196" s="7"/>
      <c r="FU196" s="7"/>
      <c r="FV196" s="7"/>
      <c r="FW196" s="6"/>
      <c r="FX196" s="6"/>
      <c r="FY196" s="6"/>
      <c r="FZ196" s="6"/>
      <c r="GA196" s="6"/>
      <c r="GB196" s="6"/>
      <c r="GC196" s="7"/>
      <c r="GD196" s="7"/>
      <c r="GE196" s="7"/>
      <c r="GF196" s="7"/>
      <c r="GG196" s="7"/>
      <c r="GH196" s="42"/>
      <c r="GI196" s="6"/>
      <c r="GJ196" s="14"/>
      <c r="GK196" s="14"/>
      <c r="GL196" s="14"/>
      <c r="GM196" s="14"/>
      <c r="GO196" s="5"/>
      <c r="GP196" s="5"/>
      <c r="GQ196" s="5"/>
      <c r="GR196" s="5"/>
      <c r="GS196" s="5"/>
      <c r="GT196" s="5"/>
      <c r="GU196" s="5"/>
      <c r="GV196" s="39"/>
      <c r="GW196" s="5"/>
      <c r="GX196" s="5"/>
      <c r="GY196" s="5"/>
      <c r="GZ196" s="5"/>
      <c r="HA196" s="5"/>
      <c r="HB196" s="39"/>
      <c r="HC196" s="5"/>
      <c r="HD196" s="5"/>
      <c r="HE196" s="5"/>
      <c r="HF196" s="5"/>
      <c r="HG196" s="5"/>
      <c r="HH196" s="39"/>
      <c r="HI196" s="16"/>
      <c r="HJ196" s="19"/>
      <c r="HK196" s="1"/>
      <c r="HL196" s="16"/>
      <c r="HM196" s="1"/>
      <c r="HN196" s="1"/>
      <c r="HO196" s="1"/>
      <c r="HP196" s="1"/>
      <c r="HQ196" s="1"/>
      <c r="HR196" s="1"/>
      <c r="HS196" s="1"/>
      <c r="HT196" s="1"/>
      <c r="HU196" s="1"/>
      <c r="HV196" s="1"/>
      <c r="HW196" s="1"/>
      <c r="HX196" s="1"/>
      <c r="HY196" s="1"/>
      <c r="HZ196" s="1"/>
      <c r="IA196" s="1"/>
      <c r="IB196" s="1"/>
      <c r="IC196" s="1"/>
      <c r="ID196" s="1"/>
      <c r="IE196" s="1"/>
      <c r="IF196" s="1"/>
      <c r="IG196" s="1"/>
      <c r="IH196" s="21"/>
      <c r="II196" s="19"/>
      <c r="IJ196" s="19"/>
      <c r="IK196" s="19"/>
      <c r="IL196" s="19"/>
      <c r="IM196" s="19"/>
      <c r="IN196" s="19"/>
      <c r="IO196" s="39"/>
      <c r="IP196" s="39"/>
      <c r="IQ196" s="39"/>
      <c r="IR196" s="39"/>
      <c r="IS196" s="39"/>
      <c r="IT196" s="39"/>
      <c r="IU196" s="39"/>
      <c r="IV196" s="39"/>
      <c r="IW196" s="39"/>
      <c r="IX196" s="39"/>
      <c r="IY196" s="39"/>
      <c r="IZ196" s="39"/>
      <c r="JA196" s="19"/>
      <c r="JB196" s="19"/>
      <c r="JC196" s="19"/>
      <c r="JD196" s="19"/>
      <c r="JE196" s="21"/>
      <c r="JF196" s="1"/>
      <c r="JG196" s="15"/>
      <c r="JH196" s="1"/>
      <c r="JI196" s="1"/>
      <c r="JJ196" s="1"/>
      <c r="JK196" s="1"/>
      <c r="JL196" s="15"/>
      <c r="JM196" s="15"/>
      <c r="JN196" s="21"/>
      <c r="JO196" s="19"/>
      <c r="JP196" s="19"/>
      <c r="JQ196" s="39"/>
      <c r="JR196" s="39"/>
      <c r="JS196" s="39"/>
      <c r="JT196" s="39"/>
      <c r="JU196" s="385"/>
      <c r="JV196" s="39"/>
      <c r="JW196" s="1"/>
      <c r="JX196" s="19"/>
      <c r="JZ196" s="341"/>
      <c r="KA196" s="342"/>
      <c r="KB196" s="469"/>
      <c r="KI196" s="473"/>
      <c r="KJ196" s="473"/>
      <c r="KK196" s="473"/>
    </row>
    <row r="197" spans="1:310" s="26" customFormat="1" ht="15" outlineLevel="1">
      <c r="A197" s="561">
        <f t="shared" si="391"/>
        <v>1097</v>
      </c>
      <c r="B197" s="561">
        <f t="shared" si="513"/>
        <v>97</v>
      </c>
      <c r="C197" s="561">
        <f t="shared" si="105"/>
        <v>1</v>
      </c>
      <c r="D197" s="561" t="str">
        <f t="shared" si="625"/>
        <v/>
      </c>
      <c r="E197" s="475">
        <f>INDEX(Input!$1:$1048576,E$93,$C197*2+MIN($B197,2)+5)
+INDEX(Scenarios!E$121:E$200,MATCH($B197,Scenarios!$B$121:$B$200,0))</f>
        <v>1229</v>
      </c>
      <c r="F197" s="475">
        <f>INDEX(Input!$1:$1048576,F$93,$C197*2+MIN($B197,2)+5)
+INDEX(Scenarios!F$121:F$200,MATCH($B197,Scenarios!$B$121:$B$200,0))</f>
        <v>0</v>
      </c>
      <c r="G197" s="475">
        <f>INDEX(Input!$1:$1048576,G$93,$C197*2+MIN($B197,2)+5)
+INDEX(Scenarios!G$121:G$200,MATCH($B197,Scenarios!$B$121:$B$200,0))</f>
        <v>0</v>
      </c>
      <c r="H197" s="475">
        <f>INDEX(Input!$1:$1048576,H$93,$C197*2+MIN($B197,2)+5)
+INDEX(Scenarios!H$121:H$200,MATCH($B197,Scenarios!$B$121:$B$200,0))</f>
        <v>0</v>
      </c>
      <c r="I197" s="476">
        <f>INDEX(Input!$1:$1048576,I$93,$C197*2+MIN($B197,2)+5)</f>
        <v>0.7</v>
      </c>
      <c r="J197" s="476" t="str">
        <f>INDEX(Input!$1:$1048576,J$93,$C197*2+MIN($B197,2)+5)</f>
        <v>Market</v>
      </c>
      <c r="K197" s="476" t="str">
        <f>INDEX(Input!$1:$1048576,K$93,$C197*2+MIN($B197,2)+5)</f>
        <v>Market</v>
      </c>
      <c r="L197" s="476" t="str">
        <f>INDEX(Input!$1:$1048576,L$93,$C197*2+MIN($B197,2)+5)</f>
        <v>Market</v>
      </c>
      <c r="M197" s="476" t="str">
        <f>INDEX(Input!$1:$1048576,M$93,$C197*2+MIN($B197,2)+5)</f>
        <v>Market</v>
      </c>
      <c r="N197" s="476" t="str">
        <f>INDEX(Input!$1:$1048576,N$93,$C197*2+MIN($B197,2)+5)</f>
        <v>Market</v>
      </c>
      <c r="O197" s="476" t="str">
        <f>INDEX(Input!$1:$1048576,O$93,$C197*2+MIN($B197,2)+5)</f>
        <v>Market</v>
      </c>
      <c r="P197" s="476" t="str">
        <f>INDEX(Input!$1:$1048576,P$93,$C197*2+MIN($B197,2)+5)</f>
        <v>N</v>
      </c>
      <c r="Q197" s="477">
        <f>INDEX(Input!$1:$1048576,Q$93,$C197*2+MIN($B197,2)+5)
+INDEX(Scenarios!Q$121:Q$200,MATCH($B197,Scenarios!$B$121:$B$200,0))</f>
        <v>0</v>
      </c>
      <c r="R197" s="478">
        <f>IFERROR(MAX(0,INDEX(Input!$1:$1048576,R$93,$C197*2+MIN($B197,2)+5)
+INDEX(Scenarios!R$121:R$200,MATCH($B197,Scenarios!$B$121:$B$200,0)),),"Market")</f>
        <v>0</v>
      </c>
      <c r="S197" s="478">
        <f>IFERROR(MAX(0,INDEX(Input!$1:$1048576,S$93,$C197*2+MIN($B197,2)+5)
+INDEX(Scenarios!S$121:S$200,MATCH($B197,Scenarios!$B$121:$B$200,0)),),"Market")</f>
        <v>0</v>
      </c>
      <c r="T197" s="478">
        <f>IFERROR(MAX(0,INDEX(Input!$1:$1048576,T$93,$C197*2+MIN($B197,2)+5)
+INDEX(Scenarios!T$121:T$200,MATCH($B197,Scenarios!$B$121:$B$200,0)),),"Market")</f>
        <v>0</v>
      </c>
      <c r="U197" s="478">
        <f>IFERROR(MAX(0,INDEX(Input!$1:$1048576,U$93,$C197*2+MIN($B197,2)+5)
+INDEX(Scenarios!U$121:U$200,MATCH($B197,Scenarios!$B$121:$B$200,0)),),"Market")</f>
        <v>0</v>
      </c>
      <c r="V197" s="478">
        <f>IFERROR(MAX(0,INDEX(Input!$1:$1048576,V$93,$C197*2+MIN($B197,2)+5)
+INDEX(Scenarios!V$121:V$200,MATCH($B197,Scenarios!$B$121:$B$200,0)),),"Market")</f>
        <v>1.9E-2</v>
      </c>
      <c r="W197" s="885">
        <f>IFERROR(MAX(0,INDEX(Input!$1:$1048576,W$93,$C197*2+MIN($B197,2)+5)-0%,),"Market")</f>
        <v>3.9E-2</v>
      </c>
      <c r="X197" s="476" t="str">
        <f>INDEX(Input!$1:$1048576,X$93,$C197*2+MIN($B197,2)+5)</f>
        <v>Y</v>
      </c>
      <c r="Y197" s="475">
        <f>INDEX(Input!$1:$1048576,Y$93,$C197*2+MIN($B197,2)+5)
++INDEX(Scenarios!Y$121:Y$200,MATCH($B197,Scenarios!$B$121:$B$200,0))</f>
        <v>1942</v>
      </c>
      <c r="Z197" s="477">
        <f>INDEX(Input!$1:$1048576,Z$93,$C197*2+MIN($B197,2)+5)
+INDEX(Scenarios!Z$121:Z$200,MATCH($B197,Scenarios!$B$121:$B$200,0))</f>
        <v>0</v>
      </c>
      <c r="AA197" s="475">
        <f>INDEX(Input!$1:$1048576,AA$93,$C197*2+MIN($B197,2)+5)
+INDEX(Scenarios!AA$121:AA$200,MATCH($B197,Scenarios!$B$121:$B$200,0))</f>
        <v>0</v>
      </c>
      <c r="AB197" s="476">
        <f>INDEX(Input!$1:$1048576,AB$93,$C197*2+MIN($B197,2)+5)</f>
        <v>0.27</v>
      </c>
      <c r="AC197" s="475">
        <f>INDEX(Input!$1:$1048576,AC$93,$C197*2+MIN($B197,2)+5)
+INDEX(Scenarios!AC$121:AC$200,MATCH($B197,Scenarios!$B$121:$B$200,0))</f>
        <v>0</v>
      </c>
      <c r="AD197" s="476">
        <f>INDEX(Input!$1:$1048576,AD$93,$C197*2+MIN($B197,2)+5)</f>
        <v>0.27</v>
      </c>
      <c r="AE197" s="475">
        <f>INDEX(Input!$1:$1048576,AE$93,$C197*2+MIN($B197,2)+5)
+INDEX(Scenarios!AE$121:AE$200,MATCH($B197,Scenarios!$B$121:$B$200,0))</f>
        <v>0</v>
      </c>
      <c r="AF197" s="476">
        <f>INDEX(Input!$1:$1048576,AF$93,$C197*2+MIN($B197,2)+5)</f>
        <v>0.38</v>
      </c>
      <c r="AG197" s="475">
        <f>INDEX(Input!$1:$1048576,AG$93,$C197*2+MIN($B197,2)+5)
+INDEX(Scenarios!AG$121:AG$200,MATCH($B197,Scenarios!$B$121:$B$200,0))</f>
        <v>0</v>
      </c>
      <c r="AH197" s="476">
        <f>INDEX(Input!$1:$1048576,AH$93,$C197*2+MIN($B197,2)+5)</f>
        <v>0</v>
      </c>
      <c r="AI197" s="475">
        <f>INDEX(Input!$1:$1048576,AI$93,$C197*2+MIN($B197,2)+5)
+INDEX(Scenarios!AI$121:AI$200,MATCH($B197,Scenarios!$B$121:$B$200,0))</f>
        <v>0</v>
      </c>
      <c r="AJ197" s="476">
        <f>INDEX(Input!$1:$1048576,AJ$93,$C197*2+MIN($B197,2)+5)</f>
        <v>0.27</v>
      </c>
      <c r="AK197" s="150">
        <f>ROUND(INDEX(Input!$1:$1048576,AK$93,$C196*2+MIN($B197,1)+5)+(Y197-VLOOKUP($C197*1000+1,$A:$HH,Y$92,FALSE)),0)</f>
        <v>3757</v>
      </c>
      <c r="AL197" s="150">
        <f>ROUND(INDEX(Input!$1:$1048576,AL$93,$C196*2+MIN($B197,1)+5)-(Y197-VLOOKUP($C197*1000+1,$A:$HH,Y$92,FALSE))/36,0)</f>
        <v>4113</v>
      </c>
      <c r="AM197" s="32" t="str">
        <f t="shared" si="392"/>
        <v>std/std/std/std</v>
      </c>
      <c r="AN197" s="32" t="str">
        <f t="shared" si="393"/>
        <v>$0 + 0/0/0/1.9/3.9</v>
      </c>
      <c r="AO197" s="32" t="str">
        <f t="shared" si="394"/>
        <v>0/0/0/1.9/3.9</v>
      </c>
      <c r="AP197" s="32" t="str">
        <f t="shared" si="498"/>
        <v>0/0.9/1.9/3.9</v>
      </c>
      <c r="AQ197" s="536">
        <f t="shared" si="497"/>
        <v>0</v>
      </c>
      <c r="AR197" s="32"/>
      <c r="AS197" s="302"/>
      <c r="AT197" s="3">
        <f t="shared" si="106"/>
        <v>97</v>
      </c>
      <c r="AU197" s="41" t="s">
        <v>121</v>
      </c>
      <c r="AV197" s="41" t="s">
        <v>116</v>
      </c>
      <c r="AW197" s="41" t="str">
        <f>INDEX(Input!$1:$1048576,AW$93,$C197*2+6)</f>
        <v>Kia</v>
      </c>
      <c r="AX197" s="41" t="str">
        <f>INDEX(Input!$1:$1048576,AX$93,$C197*2+6)</f>
        <v>Kia-LR - L1</v>
      </c>
      <c r="AY197" s="41" t="str">
        <f>IF(LEN(D197)=0,"",INDEX(Input!$1:$1048576,AY$93,$C197*2+6))</f>
        <v/>
      </c>
      <c r="AZ197" s="41" t="str">
        <f>INDEX(Input!$1:$1048576,AZ$93,$C197*2+6)</f>
        <v>Kia Soul</v>
      </c>
      <c r="BA197" s="3">
        <f>INDEX(Input!$1:$1048576,BA$93,$C197*2+6)</f>
        <v>2020</v>
      </c>
      <c r="BB197" s="128">
        <f>INDEX(Input!$1:$1048576,BB$93,$C197*2+6)</f>
        <v>1</v>
      </c>
      <c r="BC197" s="128">
        <f>INDEX(Input!$1:$1048576,BC$93,$C197*2+6)</f>
        <v>0.7</v>
      </c>
      <c r="BD197" s="1">
        <f>INDEX(Input!$1:$1048576,BD$93,$C197*2+6)</f>
        <v>4.4999999999999998E-2</v>
      </c>
      <c r="BE197" s="1">
        <f>INDEX(Input!$1:$1048576,BE$93,$C197*2+6)</f>
        <v>4.4999999999999998E-2</v>
      </c>
      <c r="BF197" s="1">
        <f>INDEX(Input!$1:$1048576,BF$93,$C197*2+6)</f>
        <v>0.05</v>
      </c>
      <c r="BG197" s="1">
        <f>INDEX(Input!$1:$1048576,BG$93,$C197*2+6)</f>
        <v>5.45E-2</v>
      </c>
      <c r="BH197" s="1">
        <f>INDEX(Input!$1:$1048576,BH$93,$C197*2+6)</f>
        <v>5.45E-2</v>
      </c>
      <c r="BI197" s="1">
        <f>INDEX(Input!$1:$1048576,BI$93,$C197*2+6)</f>
        <v>0.05</v>
      </c>
      <c r="BJ197" s="1">
        <f>INDEX(Input!$1:$1048576,BJ$93,$C197*2+6)</f>
        <v>0.05</v>
      </c>
      <c r="BK197" s="1">
        <f>INDEX(Input!$1:$1048576,BK$93,$C197*2+6)</f>
        <v>0.05</v>
      </c>
      <c r="BL197" s="1">
        <f>INDEX(Input!$1:$1048576,BL$93,$C197*2+6)</f>
        <v>5.5E-2</v>
      </c>
      <c r="BM197" s="1">
        <f>INDEX(Input!$1:$1048576,BM$93,$C197*2+6)</f>
        <v>0.06</v>
      </c>
      <c r="BN197" s="1">
        <f>INDEX(Input!$1:$1048576,BN$93,$C197*2+6)</f>
        <v>4.4999999999999998E-2</v>
      </c>
      <c r="BO197" s="1">
        <f>INDEX(Input!$1:$1048576,BO$93,$C197*2+6)</f>
        <v>4.4999999999999998E-2</v>
      </c>
      <c r="BP197" s="1">
        <f>INDEX(Input!$1:$1048576,BP$93,$C197*2+6)</f>
        <v>0.05</v>
      </c>
      <c r="BQ197" s="1">
        <f>INDEX(Input!$1:$1048576,BQ$93,$C197*2+6)</f>
        <v>5.45E-2</v>
      </c>
      <c r="BR197" s="1">
        <f>INDEX(Input!$1:$1048576,BR$93,$C197*2+6)</f>
        <v>5.45E-2</v>
      </c>
      <c r="BS197" s="1">
        <f>INDEX(Input!$1:$1048576,BS$93,$C197*2+6)</f>
        <v>0.05</v>
      </c>
      <c r="BT197" s="1">
        <f>INDEX(Input!$1:$1048576,BT$93,$C197*2+6)</f>
        <v>0.05</v>
      </c>
      <c r="BU197" s="1">
        <f>INDEX(Input!$1:$1048576,BU$93,$C197*2+6)</f>
        <v>0.05</v>
      </c>
      <c r="BV197" s="1">
        <f>INDEX(Input!$1:$1048576,BV$93,$C197*2+6)</f>
        <v>5.5E-2</v>
      </c>
      <c r="BW197" s="1">
        <f>INDEX(Input!$1:$1048576,BW$93,$C197*2+6)</f>
        <v>0.06</v>
      </c>
      <c r="BX197" s="127">
        <f>INDEX(Input!$1:$1048576,BX$93,$C197*2+6)</f>
        <v>19985</v>
      </c>
      <c r="BY197" s="20">
        <f>INDEX(Input!$1:$1048576,BY$93,$C197*2+6)</f>
        <v>0.1</v>
      </c>
      <c r="BZ197" s="20">
        <f>INDEX(Input!$1:$1048576,BZ$93,$C197*2+6)</f>
        <v>0.1</v>
      </c>
      <c r="CA197" s="20">
        <f>INDEX(Input!$1:$1048576,CA$93,$C197*2+6)</f>
        <v>0.1</v>
      </c>
      <c r="CB197" s="20">
        <f>INDEX(Input!$1:$1048576,CB$93,$C197*2+6)</f>
        <v>0.1</v>
      </c>
      <c r="CC197" s="20">
        <f>INDEX(Input!$1:$1048576,CC$93,$C197*2+6)</f>
        <v>0.1</v>
      </c>
      <c r="CD197" s="384">
        <f>INDEX(Input!$1:$1048576,CD$93,$C197*2+6)</f>
        <v>0.1</v>
      </c>
      <c r="CE197" s="384">
        <f>INDEX(Input!$1:$1048576,CE$93,$C197*2+6)</f>
        <v>0.1</v>
      </c>
      <c r="CF197" s="384">
        <f>INDEX(Input!$1:$1048576,CF$93,$C197*2+6)</f>
        <v>0.1</v>
      </c>
      <c r="CG197" s="384">
        <f>INDEX(Input!$1:$1048576,CG$93,$C197*2+6)</f>
        <v>0.1</v>
      </c>
      <c r="CH197" s="384">
        <f>INDEX(Input!$1:$1048576,CH$93,$C197*2+6)</f>
        <v>0.1</v>
      </c>
      <c r="CI197" s="304">
        <f t="shared" si="499"/>
        <v>1229</v>
      </c>
      <c r="CJ197" s="16" t="str">
        <f>INDEX(Input!$1:$1048576,CJ$93,$C197*2+6)</f>
        <v>N</v>
      </c>
      <c r="CK197" s="1" t="str">
        <f t="shared" si="500"/>
        <v>Market</v>
      </c>
      <c r="CL197" s="1" t="str">
        <f t="shared" si="501"/>
        <v>Market</v>
      </c>
      <c r="CM197" s="1" t="str">
        <f t="shared" si="502"/>
        <v>Market</v>
      </c>
      <c r="CN197" s="1" t="str">
        <f t="shared" si="503"/>
        <v>Market</v>
      </c>
      <c r="CO197" s="1" t="str">
        <f t="shared" si="504"/>
        <v>Market</v>
      </c>
      <c r="CP197" s="304">
        <f t="shared" si="505"/>
        <v>0</v>
      </c>
      <c r="CQ197" s="1">
        <f t="shared" si="506"/>
        <v>0</v>
      </c>
      <c r="CR197" s="1">
        <f t="shared" si="507"/>
        <v>0</v>
      </c>
      <c r="CS197" s="1">
        <f t="shared" si="508"/>
        <v>0</v>
      </c>
      <c r="CT197" s="1">
        <f t="shared" si="509"/>
        <v>1.9E-2</v>
      </c>
      <c r="CU197" s="1">
        <f t="shared" si="510"/>
        <v>3.9E-2</v>
      </c>
      <c r="CV197" s="304">
        <f t="shared" si="511"/>
        <v>1942</v>
      </c>
      <c r="CW197" s="20" t="s">
        <v>122</v>
      </c>
      <c r="CX197" s="20" t="s">
        <v>122</v>
      </c>
      <c r="CY197" s="20" t="s">
        <v>122</v>
      </c>
      <c r="CZ197" s="20" t="s">
        <v>122</v>
      </c>
      <c r="DA197" s="20" t="s">
        <v>122</v>
      </c>
      <c r="DB197" s="503">
        <f t="shared" si="512"/>
        <v>0</v>
      </c>
      <c r="DC197" s="127">
        <v>0</v>
      </c>
      <c r="DD197" s="127">
        <v>0</v>
      </c>
      <c r="DE197" s="127">
        <v>0</v>
      </c>
      <c r="DF197" s="127">
        <v>0</v>
      </c>
      <c r="DG197" s="127">
        <v>0</v>
      </c>
      <c r="DH197" s="127">
        <v>0</v>
      </c>
      <c r="DI197" s="127">
        <v>0</v>
      </c>
      <c r="DJ197" s="127">
        <v>0</v>
      </c>
      <c r="DK197" s="127">
        <v>0</v>
      </c>
      <c r="DL197" s="127">
        <v>0</v>
      </c>
      <c r="DM197" s="304">
        <f>INDEX(Input!$1:$1048576,DM$93,$C197*2+6)</f>
        <v>21036.84210526316</v>
      </c>
      <c r="DN197" s="20">
        <v>0</v>
      </c>
      <c r="DO197" s="20">
        <v>0</v>
      </c>
      <c r="DP197" s="20">
        <v>0</v>
      </c>
      <c r="DQ197" s="20">
        <v>0</v>
      </c>
      <c r="DR197" s="20">
        <v>0</v>
      </c>
      <c r="DS197" s="20">
        <f>INDEX(Input!$1:$1048576,DS$93,$C197*2+6)</f>
        <v>0.6</v>
      </c>
      <c r="DT197" s="20">
        <f>INDEX(Input!$1:$1048576,DT$93,$C197*2+6)</f>
        <v>0.55000000000000004</v>
      </c>
      <c r="DU197" s="20">
        <f>INDEX(Input!$1:$1048576,DU$93,$C197*2+6)</f>
        <v>0.52</v>
      </c>
      <c r="DV197" s="20">
        <f>INDEX(Input!$1:$1048576,DV$93,$C197*2+6)</f>
        <v>0.5</v>
      </c>
      <c r="DW197" s="20">
        <f>INDEX(Input!$1:$1048576,DW$93,$C197*2+6)</f>
        <v>0.45</v>
      </c>
      <c r="DX197" s="20"/>
      <c r="DY197" s="7"/>
      <c r="DZ197" s="7"/>
      <c r="EA197" s="7"/>
      <c r="EB197" s="7"/>
      <c r="EC197" s="7"/>
      <c r="ED197" s="7"/>
      <c r="EE197" s="7"/>
      <c r="EF197" s="7"/>
      <c r="EG197" s="7"/>
      <c r="EH197" s="7"/>
      <c r="EI197" s="7"/>
      <c r="EJ197" s="7"/>
      <c r="EK197" s="7"/>
      <c r="EL197" s="7"/>
      <c r="EM197" s="7"/>
      <c r="EN197" s="7"/>
      <c r="EO197" s="7"/>
      <c r="EP197" s="7"/>
      <c r="EQ197" s="7"/>
      <c r="ER197" s="7"/>
      <c r="ES197" s="7"/>
      <c r="ET197" s="7"/>
      <c r="EU197" s="6"/>
      <c r="EV197" s="6"/>
      <c r="EW197" s="6"/>
      <c r="EX197" s="6"/>
      <c r="EY197" s="6"/>
      <c r="EZ197" s="6"/>
      <c r="FA197" s="6"/>
      <c r="FB197" s="6"/>
      <c r="FC197" s="6"/>
      <c r="FD197" s="6"/>
      <c r="FE197" s="6"/>
      <c r="FF197" s="6"/>
      <c r="FG197" s="6"/>
      <c r="FH197" s="6"/>
      <c r="FI197" s="6"/>
      <c r="FJ197" s="6"/>
      <c r="FK197" s="6"/>
      <c r="FL197" s="6"/>
      <c r="FM197" s="6"/>
      <c r="FN197" s="6"/>
      <c r="FO197" s="6"/>
      <c r="FP197" s="6"/>
      <c r="FQ197" s="6"/>
      <c r="FR197" s="6"/>
      <c r="FS197" s="6"/>
      <c r="FT197" s="7"/>
      <c r="FU197" s="7"/>
      <c r="FV197" s="7"/>
      <c r="FW197" s="6"/>
      <c r="FX197" s="6"/>
      <c r="FY197" s="6"/>
      <c r="FZ197" s="6"/>
      <c r="GA197" s="6"/>
      <c r="GB197" s="6"/>
      <c r="GC197" s="7"/>
      <c r="GD197" s="7"/>
      <c r="GE197" s="7"/>
      <c r="GF197" s="7"/>
      <c r="GG197" s="7"/>
      <c r="GH197" s="42"/>
      <c r="GI197" s="6"/>
      <c r="GJ197" s="14"/>
      <c r="GK197" s="14"/>
      <c r="GL197" s="14"/>
      <c r="GM197" s="14"/>
      <c r="GO197" s="5"/>
      <c r="GP197" s="5"/>
      <c r="GQ197" s="5"/>
      <c r="GR197" s="5"/>
      <c r="GS197" s="5"/>
      <c r="GT197" s="5"/>
      <c r="GU197" s="5"/>
      <c r="GV197" s="39"/>
      <c r="GW197" s="5"/>
      <c r="GX197" s="5"/>
      <c r="GY197" s="5"/>
      <c r="GZ197" s="5"/>
      <c r="HA197" s="5"/>
      <c r="HB197" s="39"/>
      <c r="HC197" s="5"/>
      <c r="HD197" s="5"/>
      <c r="HE197" s="5"/>
      <c r="HF197" s="5"/>
      <c r="HG197" s="5"/>
      <c r="HH197" s="39"/>
      <c r="HI197" s="16"/>
      <c r="HJ197" s="19"/>
      <c r="HK197" s="1"/>
      <c r="HL197" s="16"/>
      <c r="HM197" s="1"/>
      <c r="HN197" s="1"/>
      <c r="HO197" s="1"/>
      <c r="HP197" s="1"/>
      <c r="HQ197" s="1"/>
      <c r="HR197" s="1"/>
      <c r="HS197" s="1"/>
      <c r="HT197" s="1"/>
      <c r="HU197" s="1"/>
      <c r="HV197" s="1"/>
      <c r="HW197" s="1"/>
      <c r="HX197" s="1"/>
      <c r="HY197" s="1"/>
      <c r="HZ197" s="1"/>
      <c r="IA197" s="1"/>
      <c r="IB197" s="1"/>
      <c r="IC197" s="1"/>
      <c r="ID197" s="1"/>
      <c r="IE197" s="1"/>
      <c r="IF197" s="1"/>
      <c r="IG197" s="1"/>
      <c r="IH197" s="21"/>
      <c r="II197" s="19"/>
      <c r="IJ197" s="19"/>
      <c r="IK197" s="19"/>
      <c r="IL197" s="19"/>
      <c r="IM197" s="19"/>
      <c r="IN197" s="19"/>
      <c r="IO197" s="39"/>
      <c r="IP197" s="39"/>
      <c r="IQ197" s="39"/>
      <c r="IR197" s="39"/>
      <c r="IS197" s="39"/>
      <c r="IT197" s="39"/>
      <c r="IU197" s="39"/>
      <c r="IV197" s="39"/>
      <c r="IW197" s="39"/>
      <c r="IX197" s="39"/>
      <c r="IY197" s="39"/>
      <c r="IZ197" s="39"/>
      <c r="JA197" s="19"/>
      <c r="JB197" s="19"/>
      <c r="JC197" s="19"/>
      <c r="JD197" s="19"/>
      <c r="JE197" s="21"/>
      <c r="JF197" s="1"/>
      <c r="JG197" s="15"/>
      <c r="JH197" s="1"/>
      <c r="JI197" s="1"/>
      <c r="JJ197" s="1"/>
      <c r="JK197" s="1"/>
      <c r="JL197" s="15"/>
      <c r="JM197" s="15"/>
      <c r="JN197" s="21"/>
      <c r="JO197" s="19"/>
      <c r="JP197" s="19"/>
      <c r="JQ197" s="39"/>
      <c r="JR197" s="39"/>
      <c r="JS197" s="39"/>
      <c r="JT197" s="39"/>
      <c r="JU197" s="385"/>
      <c r="JV197" s="39"/>
      <c r="JW197" s="1"/>
      <c r="JX197" s="19"/>
      <c r="JZ197" s="341"/>
      <c r="KA197" s="342"/>
      <c r="KB197" s="469"/>
      <c r="KI197" s="473"/>
      <c r="KJ197" s="473"/>
      <c r="KK197" s="473"/>
    </row>
    <row r="198" spans="1:310" s="26" customFormat="1" ht="15" outlineLevel="1">
      <c r="A198" s="561">
        <f t="shared" si="391"/>
        <v>1098</v>
      </c>
      <c r="B198" s="561">
        <f t="shared" si="513"/>
        <v>98</v>
      </c>
      <c r="C198" s="561">
        <f t="shared" si="105"/>
        <v>1</v>
      </c>
      <c r="D198" s="561" t="str">
        <f t="shared" si="625"/>
        <v/>
      </c>
      <c r="E198" s="475">
        <f>INDEX(Input!$1:$1048576,E$93,$C198*2+MIN($B198,2)+5)
+INDEX(Scenarios!E$121:E$200,MATCH($B198,Scenarios!$B$121:$B$200,0))</f>
        <v>1229</v>
      </c>
      <c r="F198" s="475">
        <f>INDEX(Input!$1:$1048576,F$93,$C198*2+MIN($B198,2)+5)
+INDEX(Scenarios!F$121:F$200,MATCH($B198,Scenarios!$B$121:$B$200,0))</f>
        <v>0</v>
      </c>
      <c r="G198" s="475">
        <f>INDEX(Input!$1:$1048576,G$93,$C198*2+MIN($B198,2)+5)
+INDEX(Scenarios!G$121:G$200,MATCH($B198,Scenarios!$B$121:$B$200,0))</f>
        <v>0</v>
      </c>
      <c r="H198" s="475">
        <f>INDEX(Input!$1:$1048576,H$93,$C198*2+MIN($B198,2)+5)
+INDEX(Scenarios!H$121:H$200,MATCH($B198,Scenarios!$B$121:$B$200,0))</f>
        <v>0</v>
      </c>
      <c r="I198" s="476">
        <f>INDEX(Input!$1:$1048576,I$93,$C198*2+MIN($B198,2)+5)</f>
        <v>0.7</v>
      </c>
      <c r="J198" s="476" t="str">
        <f>INDEX(Input!$1:$1048576,J$93,$C198*2+MIN($B198,2)+5)</f>
        <v>Market</v>
      </c>
      <c r="K198" s="476" t="str">
        <f>INDEX(Input!$1:$1048576,K$93,$C198*2+MIN($B198,2)+5)</f>
        <v>Market</v>
      </c>
      <c r="L198" s="476" t="str">
        <f>INDEX(Input!$1:$1048576,L$93,$C198*2+MIN($B198,2)+5)</f>
        <v>Market</v>
      </c>
      <c r="M198" s="476" t="str">
        <f>INDEX(Input!$1:$1048576,M$93,$C198*2+MIN($B198,2)+5)</f>
        <v>Market</v>
      </c>
      <c r="N198" s="476" t="str">
        <f>INDEX(Input!$1:$1048576,N$93,$C198*2+MIN($B198,2)+5)</f>
        <v>Market</v>
      </c>
      <c r="O198" s="476" t="str">
        <f>INDEX(Input!$1:$1048576,O$93,$C198*2+MIN($B198,2)+5)</f>
        <v>Market</v>
      </c>
      <c r="P198" s="476" t="str">
        <f>INDEX(Input!$1:$1048576,P$93,$C198*2+MIN($B198,2)+5)</f>
        <v>N</v>
      </c>
      <c r="Q198" s="477">
        <f>INDEX(Input!$1:$1048576,Q$93,$C198*2+MIN($B198,2)+5)
+INDEX(Scenarios!Q$121:Q$200,MATCH($B198,Scenarios!$B$121:$B$200,0))</f>
        <v>0</v>
      </c>
      <c r="R198" s="478">
        <f>IFERROR(MAX(0,INDEX(Input!$1:$1048576,R$93,$C198*2+MIN($B198,2)+5)
+INDEX(Scenarios!R$121:R$200,MATCH($B198,Scenarios!$B$121:$B$200,0)),),"Market")</f>
        <v>0</v>
      </c>
      <c r="S198" s="478">
        <f>IFERROR(MAX(0,INDEX(Input!$1:$1048576,S$93,$C198*2+MIN($B198,2)+5)
+INDEX(Scenarios!S$121:S$200,MATCH($B198,Scenarios!$B$121:$B$200,0)),),"Market")</f>
        <v>0</v>
      </c>
      <c r="T198" s="478">
        <f>IFERROR(MAX(0,INDEX(Input!$1:$1048576,T$93,$C198*2+MIN($B198,2)+5)
+INDEX(Scenarios!T$121:T$200,MATCH($B198,Scenarios!$B$121:$B$200,0)),),"Market")</f>
        <v>0</v>
      </c>
      <c r="U198" s="478">
        <f>IFERROR(MAX(0,INDEX(Input!$1:$1048576,U$93,$C198*2+MIN($B198,2)+5)
+INDEX(Scenarios!U$121:U$200,MATCH($B198,Scenarios!$B$121:$B$200,0)),),"Market")</f>
        <v>0</v>
      </c>
      <c r="V198" s="478">
        <f>IFERROR(MAX(0,INDEX(Input!$1:$1048576,V$93,$C198*2+MIN($B198,2)+5)
+INDEX(Scenarios!V$121:V$200,MATCH($B198,Scenarios!$B$121:$B$200,0)),),"Market")</f>
        <v>1.9E-2</v>
      </c>
      <c r="W198" s="885">
        <f>IFERROR(MAX(0,INDEX(Input!$1:$1048576,W$93,$C198*2+MIN($B198,2)+5)-0%,),"Market")</f>
        <v>3.9E-2</v>
      </c>
      <c r="X198" s="476" t="str">
        <f>INDEX(Input!$1:$1048576,X$93,$C198*2+MIN($B198,2)+5)</f>
        <v>Y</v>
      </c>
      <c r="Y198" s="475">
        <f>INDEX(Input!$1:$1048576,Y$93,$C198*2+MIN($B198,2)+5)
++INDEX(Scenarios!Y$121:Y$200,MATCH($B198,Scenarios!$B$121:$B$200,0))</f>
        <v>1942</v>
      </c>
      <c r="Z198" s="477">
        <f>INDEX(Input!$1:$1048576,Z$93,$C198*2+MIN($B198,2)+5)
+INDEX(Scenarios!Z$121:Z$200,MATCH($B198,Scenarios!$B$121:$B$200,0))</f>
        <v>0</v>
      </c>
      <c r="AA198" s="475">
        <f>INDEX(Input!$1:$1048576,AA$93,$C198*2+MIN($B198,2)+5)
+INDEX(Scenarios!AA$121:AA$200,MATCH($B198,Scenarios!$B$121:$B$200,0))</f>
        <v>0</v>
      </c>
      <c r="AB198" s="476">
        <f>INDEX(Input!$1:$1048576,AB$93,$C198*2+MIN($B198,2)+5)</f>
        <v>0.27</v>
      </c>
      <c r="AC198" s="475">
        <f>INDEX(Input!$1:$1048576,AC$93,$C198*2+MIN($B198,2)+5)
+INDEX(Scenarios!AC$121:AC$200,MATCH($B198,Scenarios!$B$121:$B$200,0))</f>
        <v>0</v>
      </c>
      <c r="AD198" s="476">
        <f>INDEX(Input!$1:$1048576,AD$93,$C198*2+MIN($B198,2)+5)</f>
        <v>0.27</v>
      </c>
      <c r="AE198" s="475">
        <f>INDEX(Input!$1:$1048576,AE$93,$C198*2+MIN($B198,2)+5)
+INDEX(Scenarios!AE$121:AE$200,MATCH($B198,Scenarios!$B$121:$B$200,0))</f>
        <v>0</v>
      </c>
      <c r="AF198" s="476">
        <f>INDEX(Input!$1:$1048576,AF$93,$C198*2+MIN($B198,2)+5)</f>
        <v>0.38</v>
      </c>
      <c r="AG198" s="475">
        <f>INDEX(Input!$1:$1048576,AG$93,$C198*2+MIN($B198,2)+5)
+INDEX(Scenarios!AG$121:AG$200,MATCH($B198,Scenarios!$B$121:$B$200,0))</f>
        <v>0</v>
      </c>
      <c r="AH198" s="476">
        <f>INDEX(Input!$1:$1048576,AH$93,$C198*2+MIN($B198,2)+5)</f>
        <v>0</v>
      </c>
      <c r="AI198" s="475">
        <f>INDEX(Input!$1:$1048576,AI$93,$C198*2+MIN($B198,2)+5)
+INDEX(Scenarios!AI$121:AI$200,MATCH($B198,Scenarios!$B$121:$B$200,0))</f>
        <v>0</v>
      </c>
      <c r="AJ198" s="476">
        <f>INDEX(Input!$1:$1048576,AJ$93,$C198*2+MIN($B198,2)+5)</f>
        <v>0.27</v>
      </c>
      <c r="AK198" s="150">
        <f>ROUND(INDEX(Input!$1:$1048576,AK$93,$C197*2+MIN($B198,1)+5)+(Y198-VLOOKUP($C198*1000+1,$A:$HH,Y$92,FALSE)),0)</f>
        <v>3757</v>
      </c>
      <c r="AL198" s="150">
        <f>ROUND(INDEX(Input!$1:$1048576,AL$93,$C197*2+MIN($B198,1)+5)-(Y198-VLOOKUP($C198*1000+1,$A:$HH,Y$92,FALSE))/36,0)</f>
        <v>4113</v>
      </c>
      <c r="AM198" s="32" t="str">
        <f t="shared" si="392"/>
        <v>std/std/std/std</v>
      </c>
      <c r="AN198" s="32" t="str">
        <f t="shared" si="393"/>
        <v>$0 + 0/0/0/1.9/3.9</v>
      </c>
      <c r="AO198" s="32" t="str">
        <f t="shared" si="394"/>
        <v>0/0/0/1.9/3.9</v>
      </c>
      <c r="AP198" s="32" t="str">
        <f t="shared" si="498"/>
        <v>0/0.9/1.9/3.9</v>
      </c>
      <c r="AQ198" s="536">
        <f t="shared" si="497"/>
        <v>0</v>
      </c>
      <c r="AR198" s="32"/>
      <c r="AS198" s="302"/>
      <c r="AT198" s="3">
        <f t="shared" si="106"/>
        <v>98</v>
      </c>
      <c r="AU198" s="41" t="s">
        <v>121</v>
      </c>
      <c r="AV198" s="41" t="s">
        <v>116</v>
      </c>
      <c r="AW198" s="41" t="str">
        <f>INDEX(Input!$1:$1048576,AW$93,$C198*2+6)</f>
        <v>Kia</v>
      </c>
      <c r="AX198" s="41" t="str">
        <f>INDEX(Input!$1:$1048576,AX$93,$C198*2+6)</f>
        <v>Kia-LR - L1</v>
      </c>
      <c r="AY198" s="41" t="str">
        <f>IF(LEN(D198)=0,"",INDEX(Input!$1:$1048576,AY$93,$C198*2+6))</f>
        <v/>
      </c>
      <c r="AZ198" s="41" t="str">
        <f>INDEX(Input!$1:$1048576,AZ$93,$C198*2+6)</f>
        <v>Kia Soul</v>
      </c>
      <c r="BA198" s="3">
        <f>INDEX(Input!$1:$1048576,BA$93,$C198*2+6)</f>
        <v>2020</v>
      </c>
      <c r="BB198" s="128">
        <f>INDEX(Input!$1:$1048576,BB$93,$C198*2+6)</f>
        <v>1</v>
      </c>
      <c r="BC198" s="128">
        <f>INDEX(Input!$1:$1048576,BC$93,$C198*2+6)</f>
        <v>0.7</v>
      </c>
      <c r="BD198" s="1">
        <f>INDEX(Input!$1:$1048576,BD$93,$C198*2+6)</f>
        <v>4.4999999999999998E-2</v>
      </c>
      <c r="BE198" s="1">
        <f>INDEX(Input!$1:$1048576,BE$93,$C198*2+6)</f>
        <v>4.4999999999999998E-2</v>
      </c>
      <c r="BF198" s="1">
        <f>INDEX(Input!$1:$1048576,BF$93,$C198*2+6)</f>
        <v>0.05</v>
      </c>
      <c r="BG198" s="1">
        <f>INDEX(Input!$1:$1048576,BG$93,$C198*2+6)</f>
        <v>5.45E-2</v>
      </c>
      <c r="BH198" s="1">
        <f>INDEX(Input!$1:$1048576,BH$93,$C198*2+6)</f>
        <v>5.45E-2</v>
      </c>
      <c r="BI198" s="1">
        <f>INDEX(Input!$1:$1048576,BI$93,$C198*2+6)</f>
        <v>0.05</v>
      </c>
      <c r="BJ198" s="1">
        <f>INDEX(Input!$1:$1048576,BJ$93,$C198*2+6)</f>
        <v>0.05</v>
      </c>
      <c r="BK198" s="1">
        <f>INDEX(Input!$1:$1048576,BK$93,$C198*2+6)</f>
        <v>0.05</v>
      </c>
      <c r="BL198" s="1">
        <f>INDEX(Input!$1:$1048576,BL$93,$C198*2+6)</f>
        <v>5.5E-2</v>
      </c>
      <c r="BM198" s="1">
        <f>INDEX(Input!$1:$1048576,BM$93,$C198*2+6)</f>
        <v>0.06</v>
      </c>
      <c r="BN198" s="1">
        <f>INDEX(Input!$1:$1048576,BN$93,$C198*2+6)</f>
        <v>4.4999999999999998E-2</v>
      </c>
      <c r="BO198" s="1">
        <f>INDEX(Input!$1:$1048576,BO$93,$C198*2+6)</f>
        <v>4.4999999999999998E-2</v>
      </c>
      <c r="BP198" s="1">
        <f>INDEX(Input!$1:$1048576,BP$93,$C198*2+6)</f>
        <v>0.05</v>
      </c>
      <c r="BQ198" s="1">
        <f>INDEX(Input!$1:$1048576,BQ$93,$C198*2+6)</f>
        <v>5.45E-2</v>
      </c>
      <c r="BR198" s="1">
        <f>INDEX(Input!$1:$1048576,BR$93,$C198*2+6)</f>
        <v>5.45E-2</v>
      </c>
      <c r="BS198" s="1">
        <f>INDEX(Input!$1:$1048576,BS$93,$C198*2+6)</f>
        <v>0.05</v>
      </c>
      <c r="BT198" s="1">
        <f>INDEX(Input!$1:$1048576,BT$93,$C198*2+6)</f>
        <v>0.05</v>
      </c>
      <c r="BU198" s="1">
        <f>INDEX(Input!$1:$1048576,BU$93,$C198*2+6)</f>
        <v>0.05</v>
      </c>
      <c r="BV198" s="1">
        <f>INDEX(Input!$1:$1048576,BV$93,$C198*2+6)</f>
        <v>5.5E-2</v>
      </c>
      <c r="BW198" s="1">
        <f>INDEX(Input!$1:$1048576,BW$93,$C198*2+6)</f>
        <v>0.06</v>
      </c>
      <c r="BX198" s="127">
        <f>INDEX(Input!$1:$1048576,BX$93,$C198*2+6)</f>
        <v>19985</v>
      </c>
      <c r="BY198" s="20">
        <f>INDEX(Input!$1:$1048576,BY$93,$C198*2+6)</f>
        <v>0.1</v>
      </c>
      <c r="BZ198" s="20">
        <f>INDEX(Input!$1:$1048576,BZ$93,$C198*2+6)</f>
        <v>0.1</v>
      </c>
      <c r="CA198" s="20">
        <f>INDEX(Input!$1:$1048576,CA$93,$C198*2+6)</f>
        <v>0.1</v>
      </c>
      <c r="CB198" s="20">
        <f>INDEX(Input!$1:$1048576,CB$93,$C198*2+6)</f>
        <v>0.1</v>
      </c>
      <c r="CC198" s="20">
        <f>INDEX(Input!$1:$1048576,CC$93,$C198*2+6)</f>
        <v>0.1</v>
      </c>
      <c r="CD198" s="384">
        <f>INDEX(Input!$1:$1048576,CD$93,$C198*2+6)</f>
        <v>0.1</v>
      </c>
      <c r="CE198" s="384">
        <f>INDEX(Input!$1:$1048576,CE$93,$C198*2+6)</f>
        <v>0.1</v>
      </c>
      <c r="CF198" s="384">
        <f>INDEX(Input!$1:$1048576,CF$93,$C198*2+6)</f>
        <v>0.1</v>
      </c>
      <c r="CG198" s="384">
        <f>INDEX(Input!$1:$1048576,CG$93,$C198*2+6)</f>
        <v>0.1</v>
      </c>
      <c r="CH198" s="384">
        <f>INDEX(Input!$1:$1048576,CH$93,$C198*2+6)</f>
        <v>0.1</v>
      </c>
      <c r="CI198" s="304">
        <f t="shared" si="499"/>
        <v>1229</v>
      </c>
      <c r="CJ198" s="16" t="str">
        <f>INDEX(Input!$1:$1048576,CJ$93,$C198*2+6)</f>
        <v>N</v>
      </c>
      <c r="CK198" s="1" t="str">
        <f t="shared" si="500"/>
        <v>Market</v>
      </c>
      <c r="CL198" s="1" t="str">
        <f t="shared" si="501"/>
        <v>Market</v>
      </c>
      <c r="CM198" s="1" t="str">
        <f t="shared" si="502"/>
        <v>Market</v>
      </c>
      <c r="CN198" s="1" t="str">
        <f t="shared" si="503"/>
        <v>Market</v>
      </c>
      <c r="CO198" s="1" t="str">
        <f t="shared" si="504"/>
        <v>Market</v>
      </c>
      <c r="CP198" s="304">
        <f t="shared" si="505"/>
        <v>0</v>
      </c>
      <c r="CQ198" s="1">
        <f t="shared" si="506"/>
        <v>0</v>
      </c>
      <c r="CR198" s="1">
        <f t="shared" si="507"/>
        <v>0</v>
      </c>
      <c r="CS198" s="1">
        <f t="shared" si="508"/>
        <v>0</v>
      </c>
      <c r="CT198" s="1">
        <f t="shared" si="509"/>
        <v>1.9E-2</v>
      </c>
      <c r="CU198" s="1">
        <f t="shared" si="510"/>
        <v>3.9E-2</v>
      </c>
      <c r="CV198" s="304">
        <f t="shared" si="511"/>
        <v>1942</v>
      </c>
      <c r="CW198" s="20" t="s">
        <v>122</v>
      </c>
      <c r="CX198" s="20" t="s">
        <v>122</v>
      </c>
      <c r="CY198" s="20" t="s">
        <v>122</v>
      </c>
      <c r="CZ198" s="20" t="s">
        <v>122</v>
      </c>
      <c r="DA198" s="20" t="s">
        <v>122</v>
      </c>
      <c r="DB198" s="503">
        <f t="shared" si="512"/>
        <v>0</v>
      </c>
      <c r="DC198" s="127">
        <v>0</v>
      </c>
      <c r="DD198" s="127">
        <v>0</v>
      </c>
      <c r="DE198" s="127">
        <v>0</v>
      </c>
      <c r="DF198" s="127">
        <v>0</v>
      </c>
      <c r="DG198" s="127">
        <v>0</v>
      </c>
      <c r="DH198" s="127">
        <v>0</v>
      </c>
      <c r="DI198" s="127">
        <v>0</v>
      </c>
      <c r="DJ198" s="127">
        <v>0</v>
      </c>
      <c r="DK198" s="127">
        <v>0</v>
      </c>
      <c r="DL198" s="127">
        <v>0</v>
      </c>
      <c r="DM198" s="304">
        <f>INDEX(Input!$1:$1048576,DM$93,$C198*2+6)</f>
        <v>21036.84210526316</v>
      </c>
      <c r="DN198" s="20">
        <v>0</v>
      </c>
      <c r="DO198" s="20">
        <v>0</v>
      </c>
      <c r="DP198" s="20">
        <v>0</v>
      </c>
      <c r="DQ198" s="20">
        <v>0</v>
      </c>
      <c r="DR198" s="20">
        <v>0</v>
      </c>
      <c r="DS198" s="20">
        <f>INDEX(Input!$1:$1048576,DS$93,$C198*2+6)</f>
        <v>0.6</v>
      </c>
      <c r="DT198" s="20">
        <f>INDEX(Input!$1:$1048576,DT$93,$C198*2+6)</f>
        <v>0.55000000000000004</v>
      </c>
      <c r="DU198" s="20">
        <f>INDEX(Input!$1:$1048576,DU$93,$C198*2+6)</f>
        <v>0.52</v>
      </c>
      <c r="DV198" s="20">
        <f>INDEX(Input!$1:$1048576,DV$93,$C198*2+6)</f>
        <v>0.5</v>
      </c>
      <c r="DW198" s="20">
        <f>INDEX(Input!$1:$1048576,DW$93,$C198*2+6)</f>
        <v>0.45</v>
      </c>
      <c r="DX198" s="20"/>
      <c r="DY198" s="7"/>
      <c r="DZ198" s="7"/>
      <c r="EA198" s="7"/>
      <c r="EB198" s="7"/>
      <c r="EC198" s="7"/>
      <c r="ED198" s="7"/>
      <c r="EE198" s="7"/>
      <c r="EF198" s="7"/>
      <c r="EG198" s="7"/>
      <c r="EH198" s="7"/>
      <c r="EI198" s="7"/>
      <c r="EJ198" s="7"/>
      <c r="EK198" s="7"/>
      <c r="EL198" s="7"/>
      <c r="EM198" s="7"/>
      <c r="EN198" s="7"/>
      <c r="EO198" s="7"/>
      <c r="EP198" s="7"/>
      <c r="EQ198" s="7"/>
      <c r="ER198" s="7"/>
      <c r="ES198" s="7"/>
      <c r="ET198" s="7"/>
      <c r="EU198" s="6"/>
      <c r="EV198" s="6"/>
      <c r="EW198" s="6"/>
      <c r="EX198" s="6"/>
      <c r="EY198" s="6"/>
      <c r="EZ198" s="6"/>
      <c r="FA198" s="6"/>
      <c r="FB198" s="6"/>
      <c r="FC198" s="6"/>
      <c r="FD198" s="6"/>
      <c r="FE198" s="6"/>
      <c r="FF198" s="6"/>
      <c r="FG198" s="6"/>
      <c r="FH198" s="6"/>
      <c r="FI198" s="6"/>
      <c r="FJ198" s="6"/>
      <c r="FK198" s="6"/>
      <c r="FL198" s="6"/>
      <c r="FM198" s="6"/>
      <c r="FN198" s="6"/>
      <c r="FO198" s="6"/>
      <c r="FP198" s="6"/>
      <c r="FQ198" s="6"/>
      <c r="FR198" s="6"/>
      <c r="FS198" s="6"/>
      <c r="FT198" s="7"/>
      <c r="FU198" s="7"/>
      <c r="FV198" s="7"/>
      <c r="FW198" s="6"/>
      <c r="FX198" s="6"/>
      <c r="FY198" s="6"/>
      <c r="FZ198" s="6"/>
      <c r="GA198" s="6"/>
      <c r="GB198" s="6"/>
      <c r="GC198" s="7"/>
      <c r="GD198" s="7"/>
      <c r="GE198" s="7"/>
      <c r="GF198" s="7"/>
      <c r="GG198" s="7"/>
      <c r="GH198" s="42"/>
      <c r="GI198" s="6"/>
      <c r="GJ198" s="14"/>
      <c r="GK198" s="14"/>
      <c r="GL198" s="14"/>
      <c r="GM198" s="14"/>
      <c r="GO198" s="5"/>
      <c r="GP198" s="5"/>
      <c r="GQ198" s="5"/>
      <c r="GR198" s="5"/>
      <c r="GS198" s="5"/>
      <c r="GT198" s="5"/>
      <c r="GU198" s="5"/>
      <c r="GV198" s="39"/>
      <c r="GW198" s="5"/>
      <c r="GX198" s="5"/>
      <c r="GY198" s="5"/>
      <c r="GZ198" s="5"/>
      <c r="HA198" s="5"/>
      <c r="HB198" s="39"/>
      <c r="HC198" s="5"/>
      <c r="HD198" s="5"/>
      <c r="HE198" s="5"/>
      <c r="HF198" s="5"/>
      <c r="HG198" s="5"/>
      <c r="HH198" s="39"/>
      <c r="HI198" s="16"/>
      <c r="HJ198" s="19"/>
      <c r="HK198" s="1"/>
      <c r="HL198" s="16"/>
      <c r="HM198" s="1"/>
      <c r="HN198" s="1"/>
      <c r="HO198" s="1"/>
      <c r="HP198" s="1"/>
      <c r="HQ198" s="1"/>
      <c r="HR198" s="1"/>
      <c r="HS198" s="1"/>
      <c r="HT198" s="1"/>
      <c r="HU198" s="1"/>
      <c r="HV198" s="1"/>
      <c r="HW198" s="1"/>
      <c r="HX198" s="1"/>
      <c r="HY198" s="1"/>
      <c r="HZ198" s="1"/>
      <c r="IA198" s="1"/>
      <c r="IB198" s="1"/>
      <c r="IC198" s="1"/>
      <c r="ID198" s="1"/>
      <c r="IE198" s="1"/>
      <c r="IF198" s="1"/>
      <c r="IG198" s="1"/>
      <c r="IH198" s="21"/>
      <c r="II198" s="19"/>
      <c r="IJ198" s="19"/>
      <c r="IK198" s="19"/>
      <c r="IL198" s="19"/>
      <c r="IM198" s="19"/>
      <c r="IN198" s="19"/>
      <c r="IO198" s="39"/>
      <c r="IP198" s="39"/>
      <c r="IQ198" s="39"/>
      <c r="IR198" s="39"/>
      <c r="IS198" s="39"/>
      <c r="IT198" s="39"/>
      <c r="IU198" s="39"/>
      <c r="IV198" s="39"/>
      <c r="IW198" s="39"/>
      <c r="IX198" s="39"/>
      <c r="IY198" s="39"/>
      <c r="IZ198" s="39"/>
      <c r="JA198" s="19"/>
      <c r="JB198" s="19"/>
      <c r="JC198" s="19"/>
      <c r="JD198" s="19"/>
      <c r="JE198" s="21"/>
      <c r="JF198" s="1"/>
      <c r="JG198" s="15"/>
      <c r="JH198" s="1"/>
      <c r="JI198" s="1"/>
      <c r="JJ198" s="1"/>
      <c r="JK198" s="1"/>
      <c r="JL198" s="15"/>
      <c r="JM198" s="15"/>
      <c r="JN198" s="21"/>
      <c r="JO198" s="19"/>
      <c r="JP198" s="19"/>
      <c r="JQ198" s="39"/>
      <c r="JR198" s="39"/>
      <c r="JS198" s="39"/>
      <c r="JT198" s="39"/>
      <c r="JU198" s="385"/>
      <c r="JV198" s="39"/>
      <c r="JW198" s="1"/>
      <c r="JX198" s="19"/>
      <c r="JZ198" s="341"/>
      <c r="KA198" s="342"/>
      <c r="KB198" s="469"/>
      <c r="KI198" s="473"/>
      <c r="KJ198" s="473"/>
      <c r="KK198" s="473"/>
    </row>
    <row r="199" spans="1:310" s="26" customFormat="1" ht="15" outlineLevel="1">
      <c r="A199" s="561">
        <f t="shared" ref="A199" si="626">C199*1000+B199</f>
        <v>1099</v>
      </c>
      <c r="B199" s="561">
        <f t="shared" si="513"/>
        <v>99</v>
      </c>
      <c r="C199" s="561">
        <f t="shared" si="105"/>
        <v>1</v>
      </c>
      <c r="D199" s="561" t="str">
        <f t="shared" si="625"/>
        <v/>
      </c>
      <c r="E199" s="475">
        <f>INDEX(Input!$1:$1048576,E$93,$C199*2+MIN($B199,2)+5)
+INDEX(Scenarios!E$121:E$200,MATCH($B199,Scenarios!$B$121:$B$200,0))</f>
        <v>1229</v>
      </c>
      <c r="F199" s="475">
        <f>INDEX(Input!$1:$1048576,F$93,$C199*2+MIN($B199,2)+5)
+INDEX(Scenarios!F$121:F$200,MATCH($B199,Scenarios!$B$121:$B$200,0))</f>
        <v>0</v>
      </c>
      <c r="G199" s="475">
        <f>INDEX(Input!$1:$1048576,G$93,$C199*2+MIN($B199,2)+5)
+INDEX(Scenarios!G$121:G$200,MATCH($B199,Scenarios!$B$121:$B$200,0))</f>
        <v>0</v>
      </c>
      <c r="H199" s="475">
        <f>INDEX(Input!$1:$1048576,H$93,$C199*2+MIN($B199,2)+5)
+INDEX(Scenarios!H$121:H$200,MATCH($B199,Scenarios!$B$121:$B$200,0))</f>
        <v>0</v>
      </c>
      <c r="I199" s="476">
        <f>INDEX(Input!$1:$1048576,I$93,$C199*2+MIN($B199,2)+5)</f>
        <v>0.7</v>
      </c>
      <c r="J199" s="476" t="str">
        <f>INDEX(Input!$1:$1048576,J$93,$C199*2+MIN($B199,2)+5)</f>
        <v>Market</v>
      </c>
      <c r="K199" s="476" t="str">
        <f>INDEX(Input!$1:$1048576,K$93,$C199*2+MIN($B199,2)+5)</f>
        <v>Market</v>
      </c>
      <c r="L199" s="476" t="str">
        <f>INDEX(Input!$1:$1048576,L$93,$C199*2+MIN($B199,2)+5)</f>
        <v>Market</v>
      </c>
      <c r="M199" s="476" t="str">
        <f>INDEX(Input!$1:$1048576,M$93,$C199*2+MIN($B199,2)+5)</f>
        <v>Market</v>
      </c>
      <c r="N199" s="476" t="str">
        <f>INDEX(Input!$1:$1048576,N$93,$C199*2+MIN($B199,2)+5)</f>
        <v>Market</v>
      </c>
      <c r="O199" s="476" t="str">
        <f>INDEX(Input!$1:$1048576,O$93,$C199*2+MIN($B199,2)+5)</f>
        <v>Market</v>
      </c>
      <c r="P199" s="476" t="str">
        <f>INDEX(Input!$1:$1048576,P$93,$C199*2+MIN($B199,2)+5)</f>
        <v>N</v>
      </c>
      <c r="Q199" s="477">
        <f>INDEX(Input!$1:$1048576,Q$93,$C199*2+MIN($B199,2)+5)
+INDEX(Scenarios!Q$121:Q$200,MATCH($B199,Scenarios!$B$121:$B$200,0))</f>
        <v>0</v>
      </c>
      <c r="R199" s="478">
        <f>IFERROR(MAX(0,INDEX(Input!$1:$1048576,R$93,$C199*2+MIN($B199,2)+5)
+INDEX(Scenarios!R$121:R$200,MATCH($B199,Scenarios!$B$121:$B$200,0)),),"Market")</f>
        <v>0</v>
      </c>
      <c r="S199" s="478">
        <f>IFERROR(MAX(0,INDEX(Input!$1:$1048576,S$93,$C199*2+MIN($B199,2)+5)
+INDEX(Scenarios!S$121:S$200,MATCH($B199,Scenarios!$B$121:$B$200,0)),),"Market")</f>
        <v>0</v>
      </c>
      <c r="T199" s="478">
        <f>IFERROR(MAX(0,INDEX(Input!$1:$1048576,T$93,$C199*2+MIN($B199,2)+5)
+INDEX(Scenarios!T$121:T$200,MATCH($B199,Scenarios!$B$121:$B$200,0)),),"Market")</f>
        <v>0</v>
      </c>
      <c r="U199" s="478">
        <f>IFERROR(MAX(0,INDEX(Input!$1:$1048576,U$93,$C199*2+MIN($B199,2)+5)
+INDEX(Scenarios!U$121:U$200,MATCH($B199,Scenarios!$B$121:$B$200,0)),),"Market")</f>
        <v>0</v>
      </c>
      <c r="V199" s="478">
        <f>IFERROR(MAX(0,INDEX(Input!$1:$1048576,V$93,$C199*2+MIN($B199,2)+5)
+INDEX(Scenarios!V$121:V$200,MATCH($B199,Scenarios!$B$121:$B$200,0)),),"Market")</f>
        <v>1.9E-2</v>
      </c>
      <c r="W199" s="885">
        <f>IFERROR(MAX(0,INDEX(Input!$1:$1048576,W$93,$C199*2+MIN($B199,2)+5)-0%,),"Market")</f>
        <v>3.9E-2</v>
      </c>
      <c r="X199" s="476" t="str">
        <f>INDEX(Input!$1:$1048576,X$93,$C199*2+MIN($B199,2)+5)</f>
        <v>Y</v>
      </c>
      <c r="Y199" s="475">
        <f>INDEX(Input!$1:$1048576,Y$93,$C199*2+MIN($B199,2)+5)
++INDEX(Scenarios!Y$121:Y$200,MATCH($B199,Scenarios!$B$121:$B$200,0))</f>
        <v>1942</v>
      </c>
      <c r="Z199" s="477">
        <f>INDEX(Input!$1:$1048576,Z$93,$C199*2+MIN($B199,2)+5)
+INDEX(Scenarios!Z$121:Z$200,MATCH($B199,Scenarios!$B$121:$B$200,0))</f>
        <v>0</v>
      </c>
      <c r="AA199" s="475">
        <f>INDEX(Input!$1:$1048576,AA$93,$C199*2+MIN($B199,2)+5)
+INDEX(Scenarios!AA$121:AA$200,MATCH($B199,Scenarios!$B$121:$B$200,0))</f>
        <v>0</v>
      </c>
      <c r="AB199" s="476">
        <f>INDEX(Input!$1:$1048576,AB$93,$C199*2+MIN($B199,2)+5)</f>
        <v>0.27</v>
      </c>
      <c r="AC199" s="475">
        <f>INDEX(Input!$1:$1048576,AC$93,$C199*2+MIN($B199,2)+5)
+INDEX(Scenarios!AC$121:AC$200,MATCH($B199,Scenarios!$B$121:$B$200,0))</f>
        <v>0</v>
      </c>
      <c r="AD199" s="476">
        <f>INDEX(Input!$1:$1048576,AD$93,$C199*2+MIN($B199,2)+5)</f>
        <v>0.27</v>
      </c>
      <c r="AE199" s="475">
        <f>INDEX(Input!$1:$1048576,AE$93,$C199*2+MIN($B199,2)+5)
+INDEX(Scenarios!AE$121:AE$200,MATCH($B199,Scenarios!$B$121:$B$200,0))</f>
        <v>0</v>
      </c>
      <c r="AF199" s="476">
        <f>INDEX(Input!$1:$1048576,AF$93,$C199*2+MIN($B199,2)+5)</f>
        <v>0.38</v>
      </c>
      <c r="AG199" s="475">
        <f>INDEX(Input!$1:$1048576,AG$93,$C199*2+MIN($B199,2)+5)
+INDEX(Scenarios!AG$121:AG$200,MATCH($B199,Scenarios!$B$121:$B$200,0))</f>
        <v>0</v>
      </c>
      <c r="AH199" s="476">
        <f>INDEX(Input!$1:$1048576,AH$93,$C199*2+MIN($B199,2)+5)</f>
        <v>0</v>
      </c>
      <c r="AI199" s="475">
        <f>INDEX(Input!$1:$1048576,AI$93,$C199*2+MIN($B199,2)+5)
+INDEX(Scenarios!AI$121:AI$200,MATCH($B199,Scenarios!$B$121:$B$200,0))</f>
        <v>0</v>
      </c>
      <c r="AJ199" s="476">
        <f>INDEX(Input!$1:$1048576,AJ$93,$C199*2+MIN($B199,2)+5)</f>
        <v>0.27</v>
      </c>
      <c r="AK199" s="150">
        <f>ROUND(INDEX(Input!$1:$1048576,AK$93,$C198*2+MIN($B199,1)+5)+(Y199-VLOOKUP($C199*1000+1,$A:$HH,Y$92,FALSE)),0)</f>
        <v>3757</v>
      </c>
      <c r="AL199" s="150">
        <f>ROUND(INDEX(Input!$1:$1048576,AL$93,$C198*2+MIN($B199,1)+5)-(Y199-VLOOKUP($C199*1000+1,$A:$HH,Y$92,FALSE))/36,0)</f>
        <v>4113</v>
      </c>
      <c r="AM199" s="32" t="str">
        <f t="shared" ref="AM199" si="627">IF(K199="market","std",ROUND(K199*1000,0)/10)&amp;"/"&amp;IF(L199="market","std",ROUND(L199*1000,0)/10)&amp;"/"&amp;IF(M199="market","std",ROUND(M199*1000,0)/10)&amp;"/"&amp;IF(N199="market","std",ROUND(N199*1000,0)/10)&amp;IF(P199="N","","/"&amp;IF(O199="market","std",ROUND(O199*1000,0)/10))</f>
        <v>std/std/std/std</v>
      </c>
      <c r="AN199" s="32" t="str">
        <f t="shared" ref="AN199" si="628">"$"&amp;ROUND(Q199,0)&amp;" + "&amp;IF(S199="market","std",ROUND(S199*1000,0)/10)&amp;"/"&amp;IF(T199="market","std",ROUND(T199*1000,0)/10)&amp;"/"&amp;IF(U199="market","std",ROUND(U199*1000,0)/10)&amp;"/"&amp;IF(V199="market","std",ROUND(V199*1000,0)/10)&amp;IF(X199="N","","/"&amp;IF(W199="market","std",ROUND(W199*1000,0)/10))</f>
        <v>$0 + 0/0/0/1.9/3.9</v>
      </c>
      <c r="AO199" s="32" t="str">
        <f t="shared" ref="AO199" si="629">IF(S199="market","std",ROUND(S199*1000,0)/10)&amp;"/"&amp;IF(T199="market","std",ROUND(T199*1000,0)/10)&amp;"/"&amp;IF(U199="market","std",ROUND(U199*1000,0)/10)&amp;"/"&amp;IF(V199="market","std",ROUND(V199*1000,0)/10)&amp;IF(X199="N","","/"&amp;IF(W199="market","std",ROUND(W199*1000,0)/10))</f>
        <v>0/0/0/1.9/3.9</v>
      </c>
      <c r="AP199" s="32" t="str">
        <f t="shared" si="498"/>
        <v>0/0.9/1.9/3.9</v>
      </c>
      <c r="AQ199" s="536">
        <f t="shared" si="497"/>
        <v>0</v>
      </c>
      <c r="AR199" s="32"/>
      <c r="AS199" s="302"/>
      <c r="AT199" s="3">
        <f t="shared" si="106"/>
        <v>99</v>
      </c>
      <c r="AU199" s="41" t="s">
        <v>121</v>
      </c>
      <c r="AV199" s="41" t="s">
        <v>116</v>
      </c>
      <c r="AW199" s="41" t="str">
        <f>INDEX(Input!$1:$1048576,AW$93,$C199*2+6)</f>
        <v>Kia</v>
      </c>
      <c r="AX199" s="41" t="str">
        <f>INDEX(Input!$1:$1048576,AX$93,$C199*2+6)</f>
        <v>Kia-LR - L1</v>
      </c>
      <c r="AY199" s="41" t="str">
        <f>IF(LEN(D199)=0,"",INDEX(Input!$1:$1048576,AY$93,$C199*2+6))</f>
        <v/>
      </c>
      <c r="AZ199" s="41" t="str">
        <f>INDEX(Input!$1:$1048576,AZ$93,$C199*2+6)</f>
        <v>Kia Soul</v>
      </c>
      <c r="BA199" s="3">
        <f>INDEX(Input!$1:$1048576,BA$93,$C199*2+6)</f>
        <v>2020</v>
      </c>
      <c r="BB199" s="128">
        <f>INDEX(Input!$1:$1048576,BB$93,$C199*2+6)</f>
        <v>1</v>
      </c>
      <c r="BC199" s="128">
        <f>INDEX(Input!$1:$1048576,BC$93,$C199*2+6)</f>
        <v>0.7</v>
      </c>
      <c r="BD199" s="1">
        <f>INDEX(Input!$1:$1048576,BD$93,$C199*2+6)</f>
        <v>4.4999999999999998E-2</v>
      </c>
      <c r="BE199" s="1">
        <f>INDEX(Input!$1:$1048576,BE$93,$C199*2+6)</f>
        <v>4.4999999999999998E-2</v>
      </c>
      <c r="BF199" s="1">
        <f>INDEX(Input!$1:$1048576,BF$93,$C199*2+6)</f>
        <v>0.05</v>
      </c>
      <c r="BG199" s="1">
        <f>INDEX(Input!$1:$1048576,BG$93,$C199*2+6)</f>
        <v>5.45E-2</v>
      </c>
      <c r="BH199" s="1">
        <f>INDEX(Input!$1:$1048576,BH$93,$C199*2+6)</f>
        <v>5.45E-2</v>
      </c>
      <c r="BI199" s="1">
        <f>INDEX(Input!$1:$1048576,BI$93,$C199*2+6)</f>
        <v>0.05</v>
      </c>
      <c r="BJ199" s="1">
        <f>INDEX(Input!$1:$1048576,BJ$93,$C199*2+6)</f>
        <v>0.05</v>
      </c>
      <c r="BK199" s="1">
        <f>INDEX(Input!$1:$1048576,BK$93,$C199*2+6)</f>
        <v>0.05</v>
      </c>
      <c r="BL199" s="1">
        <f>INDEX(Input!$1:$1048576,BL$93,$C199*2+6)</f>
        <v>5.5E-2</v>
      </c>
      <c r="BM199" s="1">
        <f>INDEX(Input!$1:$1048576,BM$93,$C199*2+6)</f>
        <v>0.06</v>
      </c>
      <c r="BN199" s="1">
        <f>INDEX(Input!$1:$1048576,BN$93,$C199*2+6)</f>
        <v>4.4999999999999998E-2</v>
      </c>
      <c r="BO199" s="1">
        <f>INDEX(Input!$1:$1048576,BO$93,$C199*2+6)</f>
        <v>4.4999999999999998E-2</v>
      </c>
      <c r="BP199" s="1">
        <f>INDEX(Input!$1:$1048576,BP$93,$C199*2+6)</f>
        <v>0.05</v>
      </c>
      <c r="BQ199" s="1">
        <f>INDEX(Input!$1:$1048576,BQ$93,$C199*2+6)</f>
        <v>5.45E-2</v>
      </c>
      <c r="BR199" s="1">
        <f>INDEX(Input!$1:$1048576,BR$93,$C199*2+6)</f>
        <v>5.45E-2</v>
      </c>
      <c r="BS199" s="1">
        <f>INDEX(Input!$1:$1048576,BS$93,$C199*2+6)</f>
        <v>0.05</v>
      </c>
      <c r="BT199" s="1">
        <f>INDEX(Input!$1:$1048576,BT$93,$C199*2+6)</f>
        <v>0.05</v>
      </c>
      <c r="BU199" s="1">
        <f>INDEX(Input!$1:$1048576,BU$93,$C199*2+6)</f>
        <v>0.05</v>
      </c>
      <c r="BV199" s="1">
        <f>INDEX(Input!$1:$1048576,BV$93,$C199*2+6)</f>
        <v>5.5E-2</v>
      </c>
      <c r="BW199" s="1">
        <f>INDEX(Input!$1:$1048576,BW$93,$C199*2+6)</f>
        <v>0.06</v>
      </c>
      <c r="BX199" s="127">
        <f>INDEX(Input!$1:$1048576,BX$93,$C199*2+6)</f>
        <v>19985</v>
      </c>
      <c r="BY199" s="20">
        <f>INDEX(Input!$1:$1048576,BY$93,$C199*2+6)</f>
        <v>0.1</v>
      </c>
      <c r="BZ199" s="20">
        <f>INDEX(Input!$1:$1048576,BZ$93,$C199*2+6)</f>
        <v>0.1</v>
      </c>
      <c r="CA199" s="20">
        <f>INDEX(Input!$1:$1048576,CA$93,$C199*2+6)</f>
        <v>0.1</v>
      </c>
      <c r="CB199" s="20">
        <f>INDEX(Input!$1:$1048576,CB$93,$C199*2+6)</f>
        <v>0.1</v>
      </c>
      <c r="CC199" s="20">
        <f>INDEX(Input!$1:$1048576,CC$93,$C199*2+6)</f>
        <v>0.1</v>
      </c>
      <c r="CD199" s="384">
        <f>INDEX(Input!$1:$1048576,CD$93,$C199*2+6)</f>
        <v>0.1</v>
      </c>
      <c r="CE199" s="384">
        <f>INDEX(Input!$1:$1048576,CE$93,$C199*2+6)</f>
        <v>0.1</v>
      </c>
      <c r="CF199" s="384">
        <f>INDEX(Input!$1:$1048576,CF$93,$C199*2+6)</f>
        <v>0.1</v>
      </c>
      <c r="CG199" s="384">
        <f>INDEX(Input!$1:$1048576,CG$93,$C199*2+6)</f>
        <v>0.1</v>
      </c>
      <c r="CH199" s="384">
        <f>INDEX(Input!$1:$1048576,CH$93,$C199*2+6)</f>
        <v>0.1</v>
      </c>
      <c r="CI199" s="304">
        <f t="shared" si="499"/>
        <v>1229</v>
      </c>
      <c r="CJ199" s="16" t="str">
        <f>INDEX(Input!$1:$1048576,CJ$93,$C199*2+6)</f>
        <v>N</v>
      </c>
      <c r="CK199" s="1" t="str">
        <f t="shared" si="500"/>
        <v>Market</v>
      </c>
      <c r="CL199" s="1" t="str">
        <f t="shared" si="501"/>
        <v>Market</v>
      </c>
      <c r="CM199" s="1" t="str">
        <f t="shared" si="502"/>
        <v>Market</v>
      </c>
      <c r="CN199" s="1" t="str">
        <f t="shared" si="503"/>
        <v>Market</v>
      </c>
      <c r="CO199" s="1" t="str">
        <f t="shared" si="504"/>
        <v>Market</v>
      </c>
      <c r="CP199" s="304">
        <f t="shared" si="505"/>
        <v>0</v>
      </c>
      <c r="CQ199" s="1">
        <f t="shared" si="506"/>
        <v>0</v>
      </c>
      <c r="CR199" s="1">
        <f t="shared" si="507"/>
        <v>0</v>
      </c>
      <c r="CS199" s="1">
        <f t="shared" si="508"/>
        <v>0</v>
      </c>
      <c r="CT199" s="1">
        <f t="shared" si="509"/>
        <v>1.9E-2</v>
      </c>
      <c r="CU199" s="1">
        <f t="shared" si="510"/>
        <v>3.9E-2</v>
      </c>
      <c r="CV199" s="304">
        <f t="shared" si="511"/>
        <v>1942</v>
      </c>
      <c r="CW199" s="20" t="s">
        <v>122</v>
      </c>
      <c r="CX199" s="20" t="s">
        <v>122</v>
      </c>
      <c r="CY199" s="20" t="s">
        <v>122</v>
      </c>
      <c r="CZ199" s="20" t="s">
        <v>122</v>
      </c>
      <c r="DA199" s="20" t="s">
        <v>122</v>
      </c>
      <c r="DB199" s="503">
        <f t="shared" si="512"/>
        <v>0</v>
      </c>
      <c r="DC199" s="127">
        <v>0</v>
      </c>
      <c r="DD199" s="127">
        <v>0</v>
      </c>
      <c r="DE199" s="127">
        <v>0</v>
      </c>
      <c r="DF199" s="127">
        <v>0</v>
      </c>
      <c r="DG199" s="127">
        <v>0</v>
      </c>
      <c r="DH199" s="127">
        <v>0</v>
      </c>
      <c r="DI199" s="127">
        <v>0</v>
      </c>
      <c r="DJ199" s="127">
        <v>0</v>
      </c>
      <c r="DK199" s="127">
        <v>0</v>
      </c>
      <c r="DL199" s="127">
        <v>0</v>
      </c>
      <c r="DM199" s="304">
        <f>INDEX(Input!$1:$1048576,DM$93,$C199*2+6)</f>
        <v>21036.84210526316</v>
      </c>
      <c r="DN199" s="20">
        <v>0</v>
      </c>
      <c r="DO199" s="20">
        <v>0</v>
      </c>
      <c r="DP199" s="20">
        <v>0</v>
      </c>
      <c r="DQ199" s="20">
        <v>0</v>
      </c>
      <c r="DR199" s="20">
        <v>0</v>
      </c>
      <c r="DS199" s="20">
        <f>INDEX(Input!$1:$1048576,DS$93,$C199*2+6)</f>
        <v>0.6</v>
      </c>
      <c r="DT199" s="20">
        <f>INDEX(Input!$1:$1048576,DT$93,$C199*2+6)</f>
        <v>0.55000000000000004</v>
      </c>
      <c r="DU199" s="20">
        <f>INDEX(Input!$1:$1048576,DU$93,$C199*2+6)</f>
        <v>0.52</v>
      </c>
      <c r="DV199" s="20">
        <f>INDEX(Input!$1:$1048576,DV$93,$C199*2+6)</f>
        <v>0.5</v>
      </c>
      <c r="DW199" s="20">
        <f>INDEX(Input!$1:$1048576,DW$93,$C199*2+6)</f>
        <v>0.45</v>
      </c>
      <c r="DX199" s="20"/>
      <c r="DY199" s="7"/>
      <c r="DZ199" s="7"/>
      <c r="EA199" s="7"/>
      <c r="EB199" s="7"/>
      <c r="EC199" s="7"/>
      <c r="ED199" s="7"/>
      <c r="EE199" s="7"/>
      <c r="EF199" s="7"/>
      <c r="EG199" s="7"/>
      <c r="EH199" s="7"/>
      <c r="EI199" s="7"/>
      <c r="EJ199" s="7"/>
      <c r="EK199" s="7"/>
      <c r="EL199" s="7"/>
      <c r="EM199" s="7"/>
      <c r="EN199" s="7"/>
      <c r="EO199" s="7"/>
      <c r="EP199" s="7"/>
      <c r="EQ199" s="7"/>
      <c r="ER199" s="7"/>
      <c r="ES199" s="7"/>
      <c r="ET199" s="7"/>
      <c r="EU199" s="6"/>
      <c r="EV199" s="6"/>
      <c r="EW199" s="6"/>
      <c r="EX199" s="6"/>
      <c r="EY199" s="6"/>
      <c r="EZ199" s="6"/>
      <c r="FA199" s="6"/>
      <c r="FB199" s="6"/>
      <c r="FC199" s="6"/>
      <c r="FD199" s="6"/>
      <c r="FE199" s="6"/>
      <c r="FF199" s="6"/>
      <c r="FG199" s="6"/>
      <c r="FH199" s="6"/>
      <c r="FI199" s="6"/>
      <c r="FJ199" s="6"/>
      <c r="FK199" s="6"/>
      <c r="FL199" s="6"/>
      <c r="FM199" s="6"/>
      <c r="FN199" s="6"/>
      <c r="FO199" s="6"/>
      <c r="FP199" s="6"/>
      <c r="FQ199" s="6"/>
      <c r="FR199" s="6"/>
      <c r="FS199" s="6"/>
      <c r="FT199" s="7"/>
      <c r="FU199" s="7"/>
      <c r="FV199" s="7"/>
      <c r="FW199" s="6"/>
      <c r="FX199" s="6"/>
      <c r="FY199" s="6"/>
      <c r="FZ199" s="6"/>
      <c r="GA199" s="6"/>
      <c r="GB199" s="6"/>
      <c r="GC199" s="7"/>
      <c r="GD199" s="7"/>
      <c r="GE199" s="7"/>
      <c r="GF199" s="7"/>
      <c r="GG199" s="7"/>
      <c r="GH199" s="42"/>
      <c r="GI199" s="6"/>
      <c r="GJ199" s="14"/>
      <c r="GK199" s="14"/>
      <c r="GL199" s="14"/>
      <c r="GM199" s="14"/>
      <c r="GO199" s="5"/>
      <c r="GP199" s="5"/>
      <c r="GQ199" s="5"/>
      <c r="GR199" s="5"/>
      <c r="GS199" s="5"/>
      <c r="GT199" s="5"/>
      <c r="GU199" s="5"/>
      <c r="GV199" s="39"/>
      <c r="GW199" s="5"/>
      <c r="GX199" s="5"/>
      <c r="GY199" s="5"/>
      <c r="GZ199" s="5"/>
      <c r="HA199" s="5"/>
      <c r="HB199" s="39"/>
      <c r="HC199" s="5"/>
      <c r="HD199" s="5"/>
      <c r="HE199" s="5"/>
      <c r="HF199" s="5"/>
      <c r="HG199" s="5"/>
      <c r="HH199" s="39"/>
      <c r="HI199" s="16"/>
      <c r="HJ199" s="19"/>
      <c r="HK199" s="1"/>
      <c r="HL199" s="16"/>
      <c r="HM199" s="1"/>
      <c r="HN199" s="1"/>
      <c r="HO199" s="1"/>
      <c r="HP199" s="1"/>
      <c r="HQ199" s="1"/>
      <c r="HR199" s="1"/>
      <c r="HS199" s="1"/>
      <c r="HT199" s="1"/>
      <c r="HU199" s="1"/>
      <c r="HV199" s="1"/>
      <c r="HW199" s="1"/>
      <c r="HX199" s="1"/>
      <c r="HY199" s="1"/>
      <c r="HZ199" s="1"/>
      <c r="IA199" s="1"/>
      <c r="IB199" s="1"/>
      <c r="IC199" s="1"/>
      <c r="ID199" s="1"/>
      <c r="IE199" s="1"/>
      <c r="IF199" s="1"/>
      <c r="IG199" s="1"/>
      <c r="IH199" s="21"/>
      <c r="II199" s="19"/>
      <c r="IJ199" s="19"/>
      <c r="IK199" s="19"/>
      <c r="IL199" s="19"/>
      <c r="IM199" s="19"/>
      <c r="IN199" s="19"/>
      <c r="IO199" s="39"/>
      <c r="IP199" s="39"/>
      <c r="IQ199" s="39"/>
      <c r="IR199" s="39"/>
      <c r="IS199" s="39"/>
      <c r="IT199" s="39"/>
      <c r="IU199" s="39"/>
      <c r="IV199" s="39"/>
      <c r="IW199" s="39"/>
      <c r="IX199" s="39"/>
      <c r="IY199" s="39"/>
      <c r="IZ199" s="39"/>
      <c r="JA199" s="19"/>
      <c r="JB199" s="19"/>
      <c r="JC199" s="19"/>
      <c r="JD199" s="19"/>
      <c r="JE199" s="21"/>
      <c r="JF199" s="1"/>
      <c r="JG199" s="15"/>
      <c r="JH199" s="1"/>
      <c r="JI199" s="1"/>
      <c r="JJ199" s="1"/>
      <c r="JK199" s="1"/>
      <c r="JL199" s="15"/>
      <c r="JM199" s="15"/>
      <c r="JN199" s="21"/>
      <c r="JO199" s="19"/>
      <c r="JP199" s="19"/>
      <c r="JQ199" s="39"/>
      <c r="JR199" s="39"/>
      <c r="JS199" s="39"/>
      <c r="JT199" s="39"/>
      <c r="JU199" s="385"/>
      <c r="JV199" s="39"/>
      <c r="JW199" s="1"/>
      <c r="JX199" s="19"/>
      <c r="JZ199" s="341"/>
      <c r="KA199" s="342"/>
      <c r="KB199" s="469"/>
      <c r="KI199" s="473"/>
      <c r="KJ199" s="473"/>
      <c r="KK199" s="473"/>
    </row>
    <row r="200" spans="1:310" s="26" customFormat="1" ht="15.75" outlineLevel="1" thickBot="1">
      <c r="A200" s="561">
        <f t="shared" ref="A200" si="630">C200*1000+B200</f>
        <v>1100</v>
      </c>
      <c r="B200" s="561">
        <f t="shared" si="513"/>
        <v>100</v>
      </c>
      <c r="C200" s="561">
        <f t="shared" si="105"/>
        <v>1</v>
      </c>
      <c r="D200" s="561" t="str">
        <f t="shared" si="625"/>
        <v/>
      </c>
      <c r="E200" s="475">
        <f>INDEX(Input!$1:$1048576,E$93,$C200*2+MIN($B200,2)+5)
+INDEX(Scenarios!E$121:E$200,MATCH($B200,Scenarios!$B$121:$B$200,0))</f>
        <v>1229</v>
      </c>
      <c r="F200" s="475">
        <f>INDEX(Input!$1:$1048576,F$93,$C200*2+MIN($B200,2)+5)
+INDEX(Scenarios!F$121:F$200,MATCH($B200,Scenarios!$B$121:$B$200,0))</f>
        <v>0</v>
      </c>
      <c r="G200" s="475">
        <f>INDEX(Input!$1:$1048576,G$93,$C200*2+MIN($B200,2)+5)
+INDEX(Scenarios!G$121:G$200,MATCH($B200,Scenarios!$B$121:$B$200,0))</f>
        <v>0</v>
      </c>
      <c r="H200" s="475">
        <f>INDEX(Input!$1:$1048576,H$93,$C200*2+MIN($B200,2)+5)
+INDEX(Scenarios!H$121:H$200,MATCH($B200,Scenarios!$B$121:$B$200,0))</f>
        <v>0</v>
      </c>
      <c r="I200" s="476">
        <f>INDEX(Input!$1:$1048576,I$93,$C200*2+MIN($B200,2)+5)</f>
        <v>0.7</v>
      </c>
      <c r="J200" s="476" t="str">
        <f>INDEX(Input!$1:$1048576,J$93,$C200*2+MIN($B200,2)+5)</f>
        <v>Market</v>
      </c>
      <c r="K200" s="476" t="str">
        <f>INDEX(Input!$1:$1048576,K$93,$C200*2+MIN($B200,2)+5)</f>
        <v>Market</v>
      </c>
      <c r="L200" s="476" t="str">
        <f>INDEX(Input!$1:$1048576,L$93,$C200*2+MIN($B200,2)+5)</f>
        <v>Market</v>
      </c>
      <c r="M200" s="476" t="str">
        <f>INDEX(Input!$1:$1048576,M$93,$C200*2+MIN($B200,2)+5)</f>
        <v>Market</v>
      </c>
      <c r="N200" s="476" t="str">
        <f>INDEX(Input!$1:$1048576,N$93,$C200*2+MIN($B200,2)+5)</f>
        <v>Market</v>
      </c>
      <c r="O200" s="476" t="str">
        <f>INDEX(Input!$1:$1048576,O$93,$C200*2+MIN($B200,2)+5)</f>
        <v>Market</v>
      </c>
      <c r="P200" s="476" t="str">
        <f>INDEX(Input!$1:$1048576,P$93,$C200*2+MIN($B200,2)+5)</f>
        <v>N</v>
      </c>
      <c r="Q200" s="477">
        <f>INDEX(Input!$1:$1048576,Q$93,$C200*2+MIN($B200,2)+5)
+INDEX(Scenarios!Q$121:Q$200,MATCH($B200,Scenarios!$B$121:$B$200,0))</f>
        <v>0</v>
      </c>
      <c r="R200" s="478">
        <f>IFERROR(MAX(0,INDEX(Input!$1:$1048576,R$93,$C200*2+MIN($B200,2)+5)
+INDEX(Scenarios!R$121:R$200,MATCH($B200,Scenarios!$B$121:$B$200,0)),),"Market")</f>
        <v>0</v>
      </c>
      <c r="S200" s="478">
        <f>IFERROR(MAX(0,INDEX(Input!$1:$1048576,S$93,$C200*2+MIN($B200,2)+5)
+INDEX(Scenarios!S$121:S$200,MATCH($B200,Scenarios!$B$121:$B$200,0)),),"Market")</f>
        <v>0</v>
      </c>
      <c r="T200" s="478">
        <f>IFERROR(MAX(0,INDEX(Input!$1:$1048576,T$93,$C200*2+MIN($B200,2)+5)
+INDEX(Scenarios!T$121:T$200,MATCH($B200,Scenarios!$B$121:$B$200,0)),),"Market")</f>
        <v>0</v>
      </c>
      <c r="U200" s="478">
        <f>IFERROR(MAX(0,INDEX(Input!$1:$1048576,U$93,$C200*2+MIN($B200,2)+5)
+INDEX(Scenarios!U$121:U$200,MATCH($B200,Scenarios!$B$121:$B$200,0)),),"Market")</f>
        <v>0</v>
      </c>
      <c r="V200" s="478">
        <f>IFERROR(MAX(0,INDEX(Input!$1:$1048576,V$93,$C200*2+MIN($B200,2)+5)
+INDEX(Scenarios!V$121:V$200,MATCH($B200,Scenarios!$B$121:$B$200,0)),),"Market")</f>
        <v>1.9E-2</v>
      </c>
      <c r="W200" s="885">
        <f>IFERROR(MAX(0,INDEX(Input!$1:$1048576,W$93,$C200*2+MIN($B200,2)+5)-0%,),"Market")</f>
        <v>3.9E-2</v>
      </c>
      <c r="X200" s="476" t="str">
        <f>INDEX(Input!$1:$1048576,X$93,$C200*2+MIN($B200,2)+5)</f>
        <v>Y</v>
      </c>
      <c r="Y200" s="475">
        <f>INDEX(Input!$1:$1048576,Y$93,$C200*2+MIN($B200,2)+5)
++INDEX(Scenarios!Y$121:Y$200,MATCH($B200,Scenarios!$B$121:$B$200,0))</f>
        <v>1942</v>
      </c>
      <c r="Z200" s="477">
        <f>INDEX(Input!$1:$1048576,Z$93,$C200*2+MIN($B200,2)+5)
+INDEX(Scenarios!Z$121:Z$200,MATCH($B200,Scenarios!$B$121:$B$200,0))</f>
        <v>0</v>
      </c>
      <c r="AA200" s="475">
        <f>INDEX(Input!$1:$1048576,AA$93,$C200*2+MIN($B200,2)+5)
+INDEX(Scenarios!AA$121:AA$200,MATCH($B200,Scenarios!$B$121:$B$200,0))</f>
        <v>0</v>
      </c>
      <c r="AB200" s="476">
        <f>INDEX(Input!$1:$1048576,AB$93,$C200*2+MIN($B200,2)+5)</f>
        <v>0.27</v>
      </c>
      <c r="AC200" s="475">
        <f>INDEX(Input!$1:$1048576,AC$93,$C200*2+MIN($B200,2)+5)
+INDEX(Scenarios!AC$121:AC$200,MATCH($B200,Scenarios!$B$121:$B$200,0))</f>
        <v>0</v>
      </c>
      <c r="AD200" s="476">
        <f>INDEX(Input!$1:$1048576,AD$93,$C200*2+MIN($B200,2)+5)</f>
        <v>0.27</v>
      </c>
      <c r="AE200" s="475">
        <f>INDEX(Input!$1:$1048576,AE$93,$C200*2+MIN($B200,2)+5)
+INDEX(Scenarios!AE$121:AE$200,MATCH($B200,Scenarios!$B$121:$B$200,0))</f>
        <v>0</v>
      </c>
      <c r="AF200" s="476">
        <f>INDEX(Input!$1:$1048576,AF$93,$C200*2+MIN($B200,2)+5)</f>
        <v>0.38</v>
      </c>
      <c r="AG200" s="475">
        <f>INDEX(Input!$1:$1048576,AG$93,$C200*2+MIN($B200,2)+5)
+INDEX(Scenarios!AG$121:AG$200,MATCH($B200,Scenarios!$B$121:$B$200,0))</f>
        <v>0</v>
      </c>
      <c r="AH200" s="476">
        <f>INDEX(Input!$1:$1048576,AH$93,$C200*2+MIN($B200,2)+5)</f>
        <v>0</v>
      </c>
      <c r="AI200" s="475">
        <f>INDEX(Input!$1:$1048576,AI$93,$C200*2+MIN($B200,2)+5)
+INDEX(Scenarios!AI$121:AI$200,MATCH($B200,Scenarios!$B$121:$B$200,0))</f>
        <v>0</v>
      </c>
      <c r="AJ200" s="476">
        <f>INDEX(Input!$1:$1048576,AJ$93,$C200*2+MIN($B200,2)+5)</f>
        <v>0.27</v>
      </c>
      <c r="AK200" s="150">
        <f>ROUND(INDEX(Input!$1:$1048576,AK$93,$C199*2+MIN($B200,1)+5)+(Y200-VLOOKUP($C200*1000+1,$A:$HH,Y$92,FALSE)),0)</f>
        <v>3757</v>
      </c>
      <c r="AL200" s="150">
        <f>ROUND(INDEX(Input!$1:$1048576,AL$93,$C199*2+MIN($B200,1)+5)-(Y200-VLOOKUP($C200*1000+1,$A:$HH,Y$92,FALSE))/36,0)</f>
        <v>4113</v>
      </c>
      <c r="AM200" s="32" t="str">
        <f t="shared" ref="AM200" si="631">IF(K200="market","std",ROUND(K200*1000,0)/10)&amp;"/"&amp;IF(L200="market","std",ROUND(L200*1000,0)/10)&amp;"/"&amp;IF(M200="market","std",ROUND(M200*1000,0)/10)&amp;"/"&amp;IF(N200="market","std",ROUND(N200*1000,0)/10)&amp;IF(P200="N","","/"&amp;IF(O200="market","std",ROUND(O200*1000,0)/10))</f>
        <v>std/std/std/std</v>
      </c>
      <c r="AN200" s="32" t="str">
        <f t="shared" ref="AN200" si="632">"$"&amp;ROUND(Q200,0)&amp;" + "&amp;IF(S200="market","std",ROUND(S200*1000,0)/10)&amp;"/"&amp;IF(T200="market","std",ROUND(T200*1000,0)/10)&amp;"/"&amp;IF(U200="market","std",ROUND(U200*1000,0)/10)&amp;"/"&amp;IF(V200="market","std",ROUND(V200*1000,0)/10)&amp;IF(X200="N","","/"&amp;IF(W200="market","std",ROUND(W200*1000,0)/10))</f>
        <v>$0 + 0/0/0/1.9/3.9</v>
      </c>
      <c r="AO200" s="32" t="str">
        <f t="shared" ref="AO200" si="633">IF(S200="market","std",ROUND(S200*1000,0)/10)&amp;"/"&amp;IF(T200="market","std",ROUND(T200*1000,0)/10)&amp;"/"&amp;IF(U200="market","std",ROUND(U200*1000,0)/10)&amp;"/"&amp;IF(V200="market","std",ROUND(V200*1000,0)/10)&amp;IF(X200="N","","/"&amp;IF(W200="market","std",ROUND(W200*1000,0)/10))</f>
        <v>0/0/0/1.9/3.9</v>
      </c>
      <c r="AP200" s="32" t="str">
        <f t="shared" si="498"/>
        <v>0/0.9/1.9/3.9</v>
      </c>
      <c r="AQ200" s="536">
        <f t="shared" si="497"/>
        <v>0</v>
      </c>
      <c r="AR200" s="32"/>
      <c r="AS200" s="302"/>
      <c r="AT200" s="3">
        <f t="shared" si="106"/>
        <v>100</v>
      </c>
      <c r="AU200" s="41" t="s">
        <v>121</v>
      </c>
      <c r="AV200" s="41" t="s">
        <v>116</v>
      </c>
      <c r="AW200" s="41" t="str">
        <f>INDEX(Input!$1:$1048576,AW$93,$C200*2+6)</f>
        <v>Kia</v>
      </c>
      <c r="AX200" s="41" t="str">
        <f>INDEX(Input!$1:$1048576,AX$93,$C200*2+6)</f>
        <v>Kia-LR - L1</v>
      </c>
      <c r="AY200" s="41" t="str">
        <f>IF(LEN(D200)=0,"",INDEX(Input!$1:$1048576,AY$93,$C200*2+6))</f>
        <v/>
      </c>
      <c r="AZ200" s="41" t="str">
        <f>INDEX(Input!$1:$1048576,AZ$93,$C200*2+6)</f>
        <v>Kia Soul</v>
      </c>
      <c r="BA200" s="3">
        <f>INDEX(Input!$1:$1048576,BA$93,$C200*2+6)</f>
        <v>2020</v>
      </c>
      <c r="BB200" s="128">
        <f>INDEX(Input!$1:$1048576,BB$93,$C200*2+6)</f>
        <v>1</v>
      </c>
      <c r="BC200" s="128">
        <f>INDEX(Input!$1:$1048576,BC$93,$C200*2+6)</f>
        <v>0.7</v>
      </c>
      <c r="BD200" s="1">
        <f>INDEX(Input!$1:$1048576,BD$93,$C200*2+6)</f>
        <v>4.4999999999999998E-2</v>
      </c>
      <c r="BE200" s="1">
        <f>INDEX(Input!$1:$1048576,BE$93,$C200*2+6)</f>
        <v>4.4999999999999998E-2</v>
      </c>
      <c r="BF200" s="1">
        <f>INDEX(Input!$1:$1048576,BF$93,$C200*2+6)</f>
        <v>0.05</v>
      </c>
      <c r="BG200" s="1">
        <f>INDEX(Input!$1:$1048576,BG$93,$C200*2+6)</f>
        <v>5.45E-2</v>
      </c>
      <c r="BH200" s="1">
        <f>INDEX(Input!$1:$1048576,BH$93,$C200*2+6)</f>
        <v>5.45E-2</v>
      </c>
      <c r="BI200" s="1">
        <f>INDEX(Input!$1:$1048576,BI$93,$C200*2+6)</f>
        <v>0.05</v>
      </c>
      <c r="BJ200" s="1">
        <f>INDEX(Input!$1:$1048576,BJ$93,$C200*2+6)</f>
        <v>0.05</v>
      </c>
      <c r="BK200" s="1">
        <f>INDEX(Input!$1:$1048576,BK$93,$C200*2+6)</f>
        <v>0.05</v>
      </c>
      <c r="BL200" s="1">
        <f>INDEX(Input!$1:$1048576,BL$93,$C200*2+6)</f>
        <v>5.5E-2</v>
      </c>
      <c r="BM200" s="1">
        <f>INDEX(Input!$1:$1048576,BM$93,$C200*2+6)</f>
        <v>0.06</v>
      </c>
      <c r="BN200" s="1">
        <f>INDEX(Input!$1:$1048576,BN$93,$C200*2+6)</f>
        <v>4.4999999999999998E-2</v>
      </c>
      <c r="BO200" s="1">
        <f>INDEX(Input!$1:$1048576,BO$93,$C200*2+6)</f>
        <v>4.4999999999999998E-2</v>
      </c>
      <c r="BP200" s="1">
        <f>INDEX(Input!$1:$1048576,BP$93,$C200*2+6)</f>
        <v>0.05</v>
      </c>
      <c r="BQ200" s="1">
        <f>INDEX(Input!$1:$1048576,BQ$93,$C200*2+6)</f>
        <v>5.45E-2</v>
      </c>
      <c r="BR200" s="1">
        <f>INDEX(Input!$1:$1048576,BR$93,$C200*2+6)</f>
        <v>5.45E-2</v>
      </c>
      <c r="BS200" s="1">
        <f>INDEX(Input!$1:$1048576,BS$93,$C200*2+6)</f>
        <v>0.05</v>
      </c>
      <c r="BT200" s="1">
        <f>INDEX(Input!$1:$1048576,BT$93,$C200*2+6)</f>
        <v>0.05</v>
      </c>
      <c r="BU200" s="1">
        <f>INDEX(Input!$1:$1048576,BU$93,$C200*2+6)</f>
        <v>0.05</v>
      </c>
      <c r="BV200" s="1">
        <f>INDEX(Input!$1:$1048576,BV$93,$C200*2+6)</f>
        <v>5.5E-2</v>
      </c>
      <c r="BW200" s="1">
        <f>INDEX(Input!$1:$1048576,BW$93,$C200*2+6)</f>
        <v>0.06</v>
      </c>
      <c r="BX200" s="127">
        <f>INDEX(Input!$1:$1048576,BX$93,$C200*2+6)</f>
        <v>19985</v>
      </c>
      <c r="BY200" s="20">
        <f>INDEX(Input!$1:$1048576,BY$93,$C200*2+6)</f>
        <v>0.1</v>
      </c>
      <c r="BZ200" s="20">
        <f>INDEX(Input!$1:$1048576,BZ$93,$C200*2+6)</f>
        <v>0.1</v>
      </c>
      <c r="CA200" s="20">
        <f>INDEX(Input!$1:$1048576,CA$93,$C200*2+6)</f>
        <v>0.1</v>
      </c>
      <c r="CB200" s="20">
        <f>INDEX(Input!$1:$1048576,CB$93,$C200*2+6)</f>
        <v>0.1</v>
      </c>
      <c r="CC200" s="20">
        <f>INDEX(Input!$1:$1048576,CC$93,$C200*2+6)</f>
        <v>0.1</v>
      </c>
      <c r="CD200" s="384">
        <f>INDEX(Input!$1:$1048576,CD$93,$C200*2+6)</f>
        <v>0.1</v>
      </c>
      <c r="CE200" s="384">
        <f>INDEX(Input!$1:$1048576,CE$93,$C200*2+6)</f>
        <v>0.1</v>
      </c>
      <c r="CF200" s="384">
        <f>INDEX(Input!$1:$1048576,CF$93,$C200*2+6)</f>
        <v>0.1</v>
      </c>
      <c r="CG200" s="384">
        <f>INDEX(Input!$1:$1048576,CG$93,$C200*2+6)</f>
        <v>0.1</v>
      </c>
      <c r="CH200" s="384">
        <f>INDEX(Input!$1:$1048576,CH$93,$C200*2+6)</f>
        <v>0.1</v>
      </c>
      <c r="CI200" s="304">
        <f t="shared" si="499"/>
        <v>1229</v>
      </c>
      <c r="CJ200" s="16" t="str">
        <f>INDEX(Input!$1:$1048576,CJ$93,$C200*2+6)</f>
        <v>N</v>
      </c>
      <c r="CK200" s="1" t="str">
        <f t="shared" si="500"/>
        <v>Market</v>
      </c>
      <c r="CL200" s="1" t="str">
        <f t="shared" si="501"/>
        <v>Market</v>
      </c>
      <c r="CM200" s="1" t="str">
        <f t="shared" si="502"/>
        <v>Market</v>
      </c>
      <c r="CN200" s="1" t="str">
        <f t="shared" si="503"/>
        <v>Market</v>
      </c>
      <c r="CO200" s="1" t="str">
        <f t="shared" si="504"/>
        <v>Market</v>
      </c>
      <c r="CP200" s="304">
        <f t="shared" si="505"/>
        <v>0</v>
      </c>
      <c r="CQ200" s="1">
        <f t="shared" si="506"/>
        <v>0</v>
      </c>
      <c r="CR200" s="1">
        <f t="shared" si="507"/>
        <v>0</v>
      </c>
      <c r="CS200" s="1">
        <f t="shared" si="508"/>
        <v>0</v>
      </c>
      <c r="CT200" s="1">
        <f t="shared" si="509"/>
        <v>1.9E-2</v>
      </c>
      <c r="CU200" s="1">
        <f t="shared" si="510"/>
        <v>3.9E-2</v>
      </c>
      <c r="CV200" s="304">
        <f t="shared" si="511"/>
        <v>1942</v>
      </c>
      <c r="CW200" s="20" t="s">
        <v>122</v>
      </c>
      <c r="CX200" s="20" t="s">
        <v>122</v>
      </c>
      <c r="CY200" s="20" t="s">
        <v>122</v>
      </c>
      <c r="CZ200" s="20" t="s">
        <v>122</v>
      </c>
      <c r="DA200" s="20" t="s">
        <v>122</v>
      </c>
      <c r="DB200" s="503">
        <f t="shared" si="512"/>
        <v>0</v>
      </c>
      <c r="DC200" s="127">
        <v>0</v>
      </c>
      <c r="DD200" s="127">
        <v>0</v>
      </c>
      <c r="DE200" s="127">
        <v>0</v>
      </c>
      <c r="DF200" s="127">
        <v>0</v>
      </c>
      <c r="DG200" s="127">
        <v>0</v>
      </c>
      <c r="DH200" s="127">
        <v>0</v>
      </c>
      <c r="DI200" s="127">
        <v>0</v>
      </c>
      <c r="DJ200" s="127">
        <v>0</v>
      </c>
      <c r="DK200" s="127">
        <v>0</v>
      </c>
      <c r="DL200" s="127">
        <v>0</v>
      </c>
      <c r="DM200" s="304">
        <f>INDEX(Input!$1:$1048576,DM$93,$C200*2+6)</f>
        <v>21036.84210526316</v>
      </c>
      <c r="DN200" s="20">
        <v>0</v>
      </c>
      <c r="DO200" s="20">
        <v>0</v>
      </c>
      <c r="DP200" s="20">
        <v>0</v>
      </c>
      <c r="DQ200" s="20">
        <v>0</v>
      </c>
      <c r="DR200" s="20">
        <v>0</v>
      </c>
      <c r="DS200" s="20">
        <f>INDEX(Input!$1:$1048576,DS$93,$C200*2+6)</f>
        <v>0.6</v>
      </c>
      <c r="DT200" s="20">
        <f>INDEX(Input!$1:$1048576,DT$93,$C200*2+6)</f>
        <v>0.55000000000000004</v>
      </c>
      <c r="DU200" s="20">
        <f>INDEX(Input!$1:$1048576,DU$93,$C200*2+6)</f>
        <v>0.52</v>
      </c>
      <c r="DV200" s="20">
        <f>INDEX(Input!$1:$1048576,DV$93,$C200*2+6)</f>
        <v>0.5</v>
      </c>
      <c r="DW200" s="20">
        <f>INDEX(Input!$1:$1048576,DW$93,$C200*2+6)</f>
        <v>0.45</v>
      </c>
      <c r="DX200" s="20"/>
      <c r="DY200" s="7"/>
      <c r="DZ200" s="7"/>
      <c r="EA200" s="7"/>
      <c r="EB200" s="7"/>
      <c r="EC200" s="7"/>
      <c r="ED200" s="7"/>
      <c r="EE200" s="7"/>
      <c r="EF200" s="7"/>
      <c r="EG200" s="7"/>
      <c r="EH200" s="7"/>
      <c r="EI200" s="7"/>
      <c r="EJ200" s="7"/>
      <c r="EK200" s="7"/>
      <c r="EL200" s="7"/>
      <c r="EM200" s="7"/>
      <c r="EN200" s="7"/>
      <c r="EO200" s="7"/>
      <c r="EP200" s="7"/>
      <c r="EQ200" s="7"/>
      <c r="ER200" s="7"/>
      <c r="ES200" s="7"/>
      <c r="ET200" s="7"/>
      <c r="EU200" s="6"/>
      <c r="EV200" s="6"/>
      <c r="EW200" s="6"/>
      <c r="EX200" s="6"/>
      <c r="EY200" s="6"/>
      <c r="EZ200" s="6"/>
      <c r="FA200" s="6"/>
      <c r="FB200" s="6"/>
      <c r="FC200" s="6"/>
      <c r="FD200" s="6"/>
      <c r="FE200" s="6"/>
      <c r="FF200" s="6"/>
      <c r="FG200" s="6"/>
      <c r="FH200" s="6"/>
      <c r="FI200" s="6"/>
      <c r="FJ200" s="6"/>
      <c r="FK200" s="6"/>
      <c r="FL200" s="6"/>
      <c r="FM200" s="6"/>
      <c r="FN200" s="6"/>
      <c r="FO200" s="6"/>
      <c r="FP200" s="6"/>
      <c r="FQ200" s="6"/>
      <c r="FR200" s="6"/>
      <c r="FS200" s="6"/>
      <c r="FT200" s="7"/>
      <c r="FU200" s="7"/>
      <c r="FV200" s="7"/>
      <c r="FW200" s="6"/>
      <c r="FX200" s="6"/>
      <c r="FY200" s="6"/>
      <c r="FZ200" s="6"/>
      <c r="GA200" s="6"/>
      <c r="GB200" s="6"/>
      <c r="GC200" s="7"/>
      <c r="GD200" s="7"/>
      <c r="GE200" s="7"/>
      <c r="GF200" s="7"/>
      <c r="GG200" s="7"/>
      <c r="GH200" s="42"/>
      <c r="GI200" s="6"/>
      <c r="GJ200" s="14"/>
      <c r="GK200" s="14"/>
      <c r="GL200" s="14"/>
      <c r="GM200" s="14"/>
      <c r="GO200" s="5"/>
      <c r="GP200" s="5"/>
      <c r="GQ200" s="5"/>
      <c r="GR200" s="5"/>
      <c r="GS200" s="5"/>
      <c r="GT200" s="5"/>
      <c r="GU200" s="5"/>
      <c r="GV200" s="39"/>
      <c r="GW200" s="5"/>
      <c r="GX200" s="5"/>
      <c r="GY200" s="5"/>
      <c r="GZ200" s="5"/>
      <c r="HA200" s="5"/>
      <c r="HB200" s="39"/>
      <c r="HC200" s="5"/>
      <c r="HD200" s="5"/>
      <c r="HE200" s="5"/>
      <c r="HF200" s="5"/>
      <c r="HG200" s="5"/>
      <c r="HH200" s="39"/>
      <c r="HI200" s="16"/>
      <c r="HJ200" s="19"/>
      <c r="HK200" s="1"/>
      <c r="HL200" s="16"/>
      <c r="HM200" s="1"/>
      <c r="HN200" s="1"/>
      <c r="HO200" s="1"/>
      <c r="HP200" s="1"/>
      <c r="HQ200" s="1"/>
      <c r="HR200" s="1"/>
      <c r="HS200" s="1"/>
      <c r="HT200" s="1"/>
      <c r="HU200" s="1"/>
      <c r="HV200" s="1"/>
      <c r="HW200" s="1"/>
      <c r="HX200" s="1"/>
      <c r="HY200" s="1"/>
      <c r="HZ200" s="1"/>
      <c r="IA200" s="1"/>
      <c r="IB200" s="1"/>
      <c r="IC200" s="1"/>
      <c r="ID200" s="1"/>
      <c r="IE200" s="1"/>
      <c r="IF200" s="1"/>
      <c r="IG200" s="1"/>
      <c r="IH200" s="21"/>
      <c r="II200" s="19"/>
      <c r="IJ200" s="19"/>
      <c r="IK200" s="19"/>
      <c r="IL200" s="19"/>
      <c r="IM200" s="19"/>
      <c r="IN200" s="19"/>
      <c r="IO200" s="39"/>
      <c r="IP200" s="39"/>
      <c r="IQ200" s="39"/>
      <c r="IR200" s="39"/>
      <c r="IS200" s="39"/>
      <c r="IT200" s="39"/>
      <c r="IU200" s="39"/>
      <c r="IV200" s="39"/>
      <c r="IW200" s="39"/>
      <c r="IX200" s="39"/>
      <c r="IY200" s="39"/>
      <c r="IZ200" s="39"/>
      <c r="JA200" s="19"/>
      <c r="JB200" s="19"/>
      <c r="JC200" s="19"/>
      <c r="JD200" s="19"/>
      <c r="JE200" s="21"/>
      <c r="JF200" s="1"/>
      <c r="JG200" s="15"/>
      <c r="JH200" s="1"/>
      <c r="JI200" s="1"/>
      <c r="JJ200" s="1"/>
      <c r="JK200" s="1"/>
      <c r="JL200" s="15"/>
      <c r="JM200" s="15"/>
      <c r="JN200" s="21"/>
      <c r="JO200" s="19"/>
      <c r="JP200" s="19"/>
      <c r="JQ200" s="39"/>
      <c r="JR200" s="39"/>
      <c r="JS200" s="39"/>
      <c r="JT200" s="39"/>
      <c r="JU200" s="385"/>
      <c r="JV200" s="39"/>
      <c r="JW200" s="1"/>
      <c r="JX200" s="19"/>
      <c r="JZ200" s="341"/>
      <c r="KA200" s="342"/>
      <c r="KB200" s="469"/>
      <c r="KI200" s="473"/>
      <c r="KJ200" s="473"/>
      <c r="KK200" s="473"/>
    </row>
    <row r="201" spans="1:310" s="60" customFormat="1" ht="15.75" thickBot="1">
      <c r="A201" s="560">
        <f>C201*1000+B201</f>
        <v>2001</v>
      </c>
      <c r="B201" s="560">
        <v>1</v>
      </c>
      <c r="C201" s="559">
        <v>2</v>
      </c>
      <c r="D201" s="560" t="s">
        <v>566</v>
      </c>
      <c r="E201" s="365">
        <f>INDEX(Input!$1:$1048576,E$93,$C201*2+MIN($B201,1)+5)</f>
        <v>1000</v>
      </c>
      <c r="F201" s="366">
        <f>INDEX(Input!$1:$1048576,F$93,$C201*2+MIN($B201,1)+5)</f>
        <v>0</v>
      </c>
      <c r="G201" s="49">
        <f>INDEX(Input!$1:$1048576,G$93,$C201*2+MIN($B201,1)+5)</f>
        <v>0</v>
      </c>
      <c r="H201" s="49">
        <f>INDEX(Input!$1:$1048576,H$93,$C201*2+MIN($B201,1)+5)</f>
        <v>0</v>
      </c>
      <c r="I201" s="367">
        <f>INDEX(Input!$1:$1048576,I$93,$C201*2+MIN($B201,1)+5)</f>
        <v>0.7</v>
      </c>
      <c r="J201" s="367" t="str">
        <f>INDEX(Input!$1:$1048576,J$93,$C201*2+MIN($B201,1)+5)</f>
        <v>Market</v>
      </c>
      <c r="K201" s="367" t="str">
        <f>INDEX(Input!$1:$1048576,K$93,$C201*2+MIN($B201,1)+5)</f>
        <v>Market</v>
      </c>
      <c r="L201" s="367" t="str">
        <f>INDEX(Input!$1:$1048576,L$93,$C201*2+MIN($B201,1)+5)</f>
        <v>Market</v>
      </c>
      <c r="M201" s="367" t="str">
        <f>INDEX(Input!$1:$1048576,M$93,$C201*2+MIN($B201,1)+5)</f>
        <v>Market</v>
      </c>
      <c r="N201" s="367" t="str">
        <f>INDEX(Input!$1:$1048576,N$93,$C201*2+MIN($B201,1)+5)</f>
        <v>Market</v>
      </c>
      <c r="O201" s="367" t="str">
        <f>INDEX(Input!$1:$1048576,O$93,$C201*2+MIN($B201,1)+5)</f>
        <v>Market</v>
      </c>
      <c r="P201" s="367" t="str">
        <f>INDEX(Input!$1:$1048576,P$93,$C201*2+MIN($B201,1)+5)</f>
        <v>N</v>
      </c>
      <c r="Q201" s="47">
        <f>INDEX(Input!$1:$1048576,Q$93,$C201*2+MIN($B201,1)+5)</f>
        <v>0</v>
      </c>
      <c r="R201" s="38">
        <f>INDEX(Input!$1:$1048576,R$93,$C201*2+MIN($B201,1)+5)</f>
        <v>0</v>
      </c>
      <c r="S201" s="38">
        <f>INDEX(Input!$1:$1048576,S$93,$C201*2+MIN($B201,1)+5)</f>
        <v>0</v>
      </c>
      <c r="T201" s="38">
        <f>INDEX(Input!$1:$1048576,T$93,$C201*2+MIN($B201,1)+5)</f>
        <v>0</v>
      </c>
      <c r="U201" s="38">
        <f>INDEX(Input!$1:$1048576,U$93,$C201*2+MIN($B201,1)+5)</f>
        <v>0</v>
      </c>
      <c r="V201" s="38">
        <f>INDEX(Input!$1:$1048576,V$93,$C201*2+MIN($B201,1)+5)</f>
        <v>1.9E-2</v>
      </c>
      <c r="W201" s="22">
        <f>INDEX(Input!$1:$1048576,W$93,$C201*2+MIN($B201,1)+5)</f>
        <v>3.9E-2</v>
      </c>
      <c r="X201" s="367" t="str">
        <f>INDEX(Input!$1:$1048576,X$93,$C201*2+MIN($B201,1)+5)</f>
        <v>Y</v>
      </c>
      <c r="Y201" s="49">
        <f>INDEX(Input!$1:$1048576,Y$93,$C201*2+MIN($B201,1)+5)</f>
        <v>463</v>
      </c>
      <c r="Z201" s="584">
        <f>INDEX(Input!$1:$1048576,Z$93,$C201*2+MIN($B201,1)+5)</f>
        <v>0</v>
      </c>
      <c r="AA201" s="49">
        <f>INDEX(Input!$1:$1048576,AA$93,$C201*2+MIN($B201,1)+5)</f>
        <v>1000</v>
      </c>
      <c r="AB201" s="367">
        <f>INDEX(Input!$1:$1048576,AB$93,$C201*2+MIN($B201,1)+5)</f>
        <v>0.27</v>
      </c>
      <c r="AC201" s="49">
        <f>INDEX(Input!$1:$1048576,AC$93,$C201*2+MIN($B201,1)+5)</f>
        <v>1000</v>
      </c>
      <c r="AD201" s="367">
        <f>INDEX(Input!$1:$1048576,AD$93,$C201*2+MIN($B201,1)+5)</f>
        <v>0.27</v>
      </c>
      <c r="AE201" s="49">
        <f>INDEX(Input!$1:$1048576,AE$93,$C201*2+MIN($B201,1)+5)</f>
        <v>500</v>
      </c>
      <c r="AF201" s="367">
        <f>INDEX(Input!$1:$1048576,AF$93,$C201*2+MIN($B201,1)+5)</f>
        <v>4.8000000000000001E-2</v>
      </c>
      <c r="AG201" s="49">
        <f>INDEX(Input!$1:$1048576,AG$93,$C201*2+MIN($B201,1)+5)</f>
        <v>0</v>
      </c>
      <c r="AH201" s="367">
        <f>INDEX(Input!$1:$1048576,AH$93,$C201*2+MIN($B201,1)+5)</f>
        <v>0.94599999999999995</v>
      </c>
      <c r="AI201" s="49">
        <f>INDEX(Input!$1:$1048576,AI$93,$C201*2+MIN($B201,1)+5)</f>
        <v>0</v>
      </c>
      <c r="AJ201" s="367">
        <f>INDEX(Input!$1:$1048576,AJ$93,$C201*2+MIN($B201,1)+5)</f>
        <v>0.27</v>
      </c>
      <c r="AK201" s="298">
        <f>ROUND(INDEX(Input!$1:$1048576,AK$93,$C201*2+MIN($B201,1)+5),0)</f>
        <v>3384</v>
      </c>
      <c r="AL201" s="49">
        <f>ROUND(INDEX(Input!$1:$1048576,AL$93,$C201*2+MIN($B201,1)+5),0)</f>
        <v>3384</v>
      </c>
      <c r="AM201" s="46" t="str">
        <f>IF(K201="market","std",ROUND(K201*1000,0)/10)&amp;"/"&amp;IF(L201="market","std",ROUND(L201*1000,0)/10)&amp;"/"&amp;IF(M201="market","std",ROUND(M201*1000,0)/10)&amp;"/"&amp;IF(N201="market","std",ROUND(N201*1000,0)/10)&amp;IF(P201="N","","/"&amp;IF(O201="market","std",ROUND(O201*1000,0)/10))</f>
        <v>std/std/std/std</v>
      </c>
      <c r="AN201" s="46" t="str">
        <f>"$"&amp;ROUND(Q201,0)&amp;" + "&amp;IF(S201="market","std",ROUND(S201*1000,0)/10)&amp;"/"&amp;IF(T201="market","std",ROUND(T201*1000,0)/10)&amp;"/"&amp;IF(U201="market","std",ROUND(U201*1000,0)/10)&amp;"/"&amp;IF(V201="market","std",ROUND(V201*1000,0)/10)&amp;IF(X201="N","","/"&amp;IF(W201="market","std",ROUND(W201*1000,0)/10))</f>
        <v>$0 + 0/0/0/1.9/3.9</v>
      </c>
      <c r="AO201" s="44" t="str">
        <f>IF(S201="market","std",ROUND(S201*1000,0)/10)&amp;"/"&amp;IF(T201="market","std",ROUND(T201*1000,0)/10)&amp;"/"&amp;IF(U201="market","std",ROUND(U201*1000,0)/10)&amp;"/"&amp;IF(V201="market","std",ROUND(V201*1000,0)/10)&amp;IF(X201="N","","/"&amp;IF(W201="market","std",ROUND(W201*1000,0)/10))</f>
        <v>0/0/0/1.9/3.9</v>
      </c>
      <c r="AP201" s="44" t="str">
        <f t="shared" si="498"/>
        <v>0/0.9/1.9/3.9</v>
      </c>
      <c r="AQ201" s="507">
        <f t="shared" si="497"/>
        <v>294.36283185840711</v>
      </c>
      <c r="AR201" s="44"/>
      <c r="AS201" s="368"/>
      <c r="AT201" s="579">
        <v>1</v>
      </c>
      <c r="AU201" s="45" t="s">
        <v>121</v>
      </c>
      <c r="AV201" s="45" t="s">
        <v>116</v>
      </c>
      <c r="AW201" s="45" t="str">
        <f>INDEX(Input!$1:$1048576,AW$93,$C201*2+6)</f>
        <v>Kia</v>
      </c>
      <c r="AX201" s="45" t="str">
        <f>INDEX(Input!$1:$1048576,AX$93,$C201*2+6)</f>
        <v>Kia-LR - L2</v>
      </c>
      <c r="AY201" s="10" t="str">
        <f>IF(LEN(D201)=0,"",INDEX(Input!$1:$1048576,AY$93,$C201*2+6))</f>
        <v>Compact SUV (52)</v>
      </c>
      <c r="AZ201" s="45" t="str">
        <f>INDEX(Input!$1:$1048576,AZ$93,$C201*2+6)</f>
        <v>Kia Soul</v>
      </c>
      <c r="BA201" s="50">
        <f>INDEX(Input!$1:$1048576,BA$93,$C201*2+6)</f>
        <v>2020</v>
      </c>
      <c r="BB201" s="48">
        <f>INDEX(Input!$1:$1048576,BB$93,$C201*2+6)</f>
        <v>1</v>
      </c>
      <c r="BC201" s="578">
        <f>INDEX(Input!$1:$1048576,BC$93,$C201*2+6)</f>
        <v>0.7</v>
      </c>
      <c r="BD201" s="38">
        <f>INDEX(Input!$1:$1048576,BD$93,$C201*2+6)</f>
        <v>4.4999999999999998E-2</v>
      </c>
      <c r="BE201" s="38">
        <f>INDEX(Input!$1:$1048576,BE$93,$C201*2+6)</f>
        <v>4.4999999999999998E-2</v>
      </c>
      <c r="BF201" s="38">
        <f>INDEX(Input!$1:$1048576,BF$93,$C201*2+6)</f>
        <v>0.05</v>
      </c>
      <c r="BG201" s="38">
        <f>INDEX(Input!$1:$1048576,BG$93,$C201*2+6)</f>
        <v>5.45E-2</v>
      </c>
      <c r="BH201" s="38">
        <f>INDEX(Input!$1:$1048576,BH$93,$C201*2+6)</f>
        <v>5.45E-2</v>
      </c>
      <c r="BI201" s="38">
        <f>INDEX(Input!$1:$1048576,BI$93,$C201*2+6)</f>
        <v>0.05</v>
      </c>
      <c r="BJ201" s="38">
        <f>INDEX(Input!$1:$1048576,BJ$93,$C201*2+6)</f>
        <v>0.05</v>
      </c>
      <c r="BK201" s="38">
        <f>INDEX(Input!$1:$1048576,BK$93,$C201*2+6)</f>
        <v>0.05</v>
      </c>
      <c r="BL201" s="38">
        <f>INDEX(Input!$1:$1048576,BL$93,$C201*2+6)</f>
        <v>5.5E-2</v>
      </c>
      <c r="BM201" s="38">
        <f>INDEX(Input!$1:$1048576,BM$93,$C201*2+6)</f>
        <v>0.06</v>
      </c>
      <c r="BN201" s="38">
        <f>INDEX(Input!$1:$1048576,BN$93,$C201*2+6)</f>
        <v>4.4999999999999998E-2</v>
      </c>
      <c r="BO201" s="38">
        <f>INDEX(Input!$1:$1048576,BO$93,$C201*2+6)</f>
        <v>4.4999999999999998E-2</v>
      </c>
      <c r="BP201" s="38">
        <f>INDEX(Input!$1:$1048576,BP$93,$C201*2+6)</f>
        <v>0.05</v>
      </c>
      <c r="BQ201" s="38">
        <f>INDEX(Input!$1:$1048576,BQ$93,$C201*2+6)</f>
        <v>5.45E-2</v>
      </c>
      <c r="BR201" s="38">
        <f>INDEX(Input!$1:$1048576,BR$93,$C201*2+6)</f>
        <v>5.45E-2</v>
      </c>
      <c r="BS201" s="38">
        <f>INDEX(Input!$1:$1048576,BS$93,$C201*2+6)</f>
        <v>0.05</v>
      </c>
      <c r="BT201" s="38">
        <f>INDEX(Input!$1:$1048576,BT$93,$C201*2+6)</f>
        <v>0.05</v>
      </c>
      <c r="BU201" s="38">
        <f>INDEX(Input!$1:$1048576,BU$93,$C201*2+6)</f>
        <v>0.05</v>
      </c>
      <c r="BV201" s="38">
        <f>INDEX(Input!$1:$1048576,BV$93,$C201*2+6)</f>
        <v>5.5E-2</v>
      </c>
      <c r="BW201" s="38">
        <f>INDEX(Input!$1:$1048576,BW$93,$C201*2+6)</f>
        <v>0.06</v>
      </c>
      <c r="BX201" s="29">
        <f>INDEX(Input!$1:$1048576,BX$93,$C201*2+6)</f>
        <v>19985</v>
      </c>
      <c r="BY201" s="367">
        <f>INDEX(Input!$1:$1048576,BY$93,$C201*2+6)</f>
        <v>0.1</v>
      </c>
      <c r="BZ201" s="367">
        <f>INDEX(Input!$1:$1048576,BZ$93,$C201*2+6)</f>
        <v>0.1</v>
      </c>
      <c r="CA201" s="367">
        <f>INDEX(Input!$1:$1048576,CA$93,$C201*2+6)</f>
        <v>0.1</v>
      </c>
      <c r="CB201" s="367">
        <f>INDEX(Input!$1:$1048576,CB$93,$C201*2+6)</f>
        <v>0.1</v>
      </c>
      <c r="CC201" s="367">
        <f>INDEX(Input!$1:$1048576,CC$93,$C201*2+6)</f>
        <v>0.1</v>
      </c>
      <c r="CD201" s="367">
        <f>INDEX(Input!$1:$1048576,CD$93,$C201*2+6)</f>
        <v>0.1</v>
      </c>
      <c r="CE201" s="367">
        <f>INDEX(Input!$1:$1048576,CE$93,$C201*2+6)</f>
        <v>0.1</v>
      </c>
      <c r="CF201" s="367">
        <f>INDEX(Input!$1:$1048576,CF$93,$C201*2+6)</f>
        <v>0.1</v>
      </c>
      <c r="CG201" s="367">
        <f>INDEX(Input!$1:$1048576,CG$93,$C201*2+6)</f>
        <v>0.1</v>
      </c>
      <c r="CH201" s="48">
        <f>INDEX(Input!$1:$1048576,CH$93,$C201*2+6)</f>
        <v>0.1</v>
      </c>
      <c r="CI201" s="298">
        <f t="shared" si="499"/>
        <v>1270</v>
      </c>
      <c r="CJ201" s="46" t="str">
        <f>INDEX(Input!$1:$1048576,CJ$93,$C201*2+6)</f>
        <v>N</v>
      </c>
      <c r="CK201" s="38" t="str">
        <f t="shared" si="500"/>
        <v>Market</v>
      </c>
      <c r="CL201" s="38" t="str">
        <f t="shared" si="501"/>
        <v>Market</v>
      </c>
      <c r="CM201" s="38" t="str">
        <f t="shared" si="502"/>
        <v>Market</v>
      </c>
      <c r="CN201" s="38" t="str">
        <f t="shared" si="503"/>
        <v>Market</v>
      </c>
      <c r="CO201" s="38" t="str">
        <f t="shared" si="504"/>
        <v>Market</v>
      </c>
      <c r="CP201" s="49">
        <f t="shared" si="505"/>
        <v>0</v>
      </c>
      <c r="CQ201" s="38">
        <f t="shared" si="506"/>
        <v>0</v>
      </c>
      <c r="CR201" s="38">
        <f t="shared" si="507"/>
        <v>0</v>
      </c>
      <c r="CS201" s="38">
        <f t="shared" si="508"/>
        <v>0</v>
      </c>
      <c r="CT201" s="38">
        <f t="shared" si="509"/>
        <v>1.9E-2</v>
      </c>
      <c r="CU201" s="38">
        <f t="shared" si="510"/>
        <v>3.9E-2</v>
      </c>
      <c r="CV201" s="49">
        <f t="shared" si="511"/>
        <v>733</v>
      </c>
      <c r="CW201" s="22" t="s">
        <v>122</v>
      </c>
      <c r="CX201" s="22" t="s">
        <v>122</v>
      </c>
      <c r="CY201" s="22" t="s">
        <v>122</v>
      </c>
      <c r="CZ201" s="22" t="s">
        <v>122</v>
      </c>
      <c r="DA201" s="22" t="s">
        <v>122</v>
      </c>
      <c r="DB201" s="502">
        <f t="shared" si="512"/>
        <v>24</v>
      </c>
      <c r="DC201" s="29">
        <v>0</v>
      </c>
      <c r="DD201" s="29">
        <v>0</v>
      </c>
      <c r="DE201" s="29">
        <v>0</v>
      </c>
      <c r="DF201" s="49">
        <v>0</v>
      </c>
      <c r="DG201" s="49">
        <v>0</v>
      </c>
      <c r="DH201" s="49">
        <v>0</v>
      </c>
      <c r="DI201" s="49">
        <v>0</v>
      </c>
      <c r="DJ201" s="49">
        <v>0</v>
      </c>
      <c r="DK201" s="29">
        <v>0</v>
      </c>
      <c r="DL201" s="29">
        <v>0</v>
      </c>
      <c r="DM201" s="49">
        <f>INDEX(Input!$1:$1048576,DM$93,$C201*2+6)</f>
        <v>21036.84210526316</v>
      </c>
      <c r="DN201" s="367">
        <v>0</v>
      </c>
      <c r="DO201" s="367">
        <v>0</v>
      </c>
      <c r="DP201" s="367">
        <v>0</v>
      </c>
      <c r="DQ201" s="367">
        <v>0</v>
      </c>
      <c r="DR201" s="367">
        <v>0</v>
      </c>
      <c r="DS201" s="367">
        <f>INDEX(Input!$1:$1048576,DS$93,$C201*2+6)</f>
        <v>0.6</v>
      </c>
      <c r="DT201" s="367">
        <f>INDEX(Input!$1:$1048576,DT$93,$C201*2+6)</f>
        <v>0.55000000000000004</v>
      </c>
      <c r="DU201" s="367">
        <f>INDEX(Input!$1:$1048576,DU$93,$C201*2+6)</f>
        <v>0.52</v>
      </c>
      <c r="DV201" s="367">
        <f>INDEX(Input!$1:$1048576,DV$93,$C201*2+6)</f>
        <v>0.5</v>
      </c>
      <c r="DW201" s="48">
        <f>INDEX(Input!$1:$1048576,DW$93,$C201*2+6)</f>
        <v>0.45</v>
      </c>
      <c r="DX201" s="577"/>
      <c r="DY201" s="4">
        <v>9.189248386807744E-2</v>
      </c>
      <c r="DZ201" s="37">
        <v>0</v>
      </c>
      <c r="EA201" s="37">
        <v>0.65452888329455483</v>
      </c>
      <c r="EB201" s="37">
        <v>0</v>
      </c>
      <c r="EC201" s="37">
        <v>0</v>
      </c>
      <c r="ED201" s="37">
        <v>0</v>
      </c>
      <c r="EE201" s="37">
        <v>0</v>
      </c>
      <c r="EF201" s="37">
        <v>0</v>
      </c>
      <c r="EG201" s="37">
        <v>0</v>
      </c>
      <c r="EH201" s="37">
        <v>1.4260549755981275E-2</v>
      </c>
      <c r="EI201" s="37">
        <v>4.0588217628574064E-2</v>
      </c>
      <c r="EJ201" s="37">
        <v>0.30722721491864208</v>
      </c>
      <c r="EK201" s="37">
        <v>0.52673255580002443</v>
      </c>
      <c r="EL201" s="37">
        <v>0.11119146189677807</v>
      </c>
      <c r="EM201" s="37">
        <v>5.7261839208963314E-2</v>
      </c>
      <c r="EN201" s="37">
        <v>6.5449566287667627E-2</v>
      </c>
      <c r="EO201" s="37">
        <v>0.73144282105826275</v>
      </c>
      <c r="EP201" s="37">
        <v>8.798336510560302E-2</v>
      </c>
      <c r="EQ201" s="37">
        <v>7.5055336563532929E-2</v>
      </c>
      <c r="ER201" s="37">
        <v>4.0068910984934265E-2</v>
      </c>
      <c r="ES201" s="37">
        <v>0.19631679362840435</v>
      </c>
      <c r="ET201" s="37">
        <v>0.25357863283736765</v>
      </c>
      <c r="EU201" s="36">
        <v>1252</v>
      </c>
      <c r="EV201" s="36">
        <v>0</v>
      </c>
      <c r="EW201" s="36">
        <v>1252</v>
      </c>
      <c r="EX201" s="36">
        <v>0</v>
      </c>
      <c r="EY201" s="36">
        <v>2011.9658773055378</v>
      </c>
      <c r="EZ201" s="36">
        <v>919</v>
      </c>
      <c r="FA201" s="36">
        <v>0</v>
      </c>
      <c r="FB201" s="36">
        <v>0</v>
      </c>
      <c r="FC201" s="36">
        <v>0</v>
      </c>
      <c r="FD201" s="36">
        <v>0</v>
      </c>
      <c r="FE201" s="36">
        <v>0</v>
      </c>
      <c r="FF201" s="36">
        <v>0</v>
      </c>
      <c r="FG201" s="36">
        <v>0</v>
      </c>
      <c r="FH201" s="36">
        <v>1173.7300032750484</v>
      </c>
      <c r="FI201" s="36">
        <v>1553.9796069512395</v>
      </c>
      <c r="FJ201" s="36">
        <v>2101.2110117447405</v>
      </c>
      <c r="FK201" s="36">
        <v>1772.7139978623238</v>
      </c>
      <c r="FL201" s="36">
        <v>907.07682140966403</v>
      </c>
      <c r="FM201" s="36">
        <v>1759.9658773055378</v>
      </c>
      <c r="FN201" s="36">
        <v>0</v>
      </c>
      <c r="FO201" s="36">
        <v>0</v>
      </c>
      <c r="FP201" s="36">
        <v>0</v>
      </c>
      <c r="FQ201" s="36">
        <v>0</v>
      </c>
      <c r="FR201" s="36">
        <v>0</v>
      </c>
      <c r="FS201" s="36">
        <v>0</v>
      </c>
      <c r="FT201" s="37">
        <v>0.7464213671626323</v>
      </c>
      <c r="FU201" s="37">
        <v>5.7261839208963314E-2</v>
      </c>
      <c r="FV201" s="37">
        <v>0.19631679362840435</v>
      </c>
      <c r="FW201" s="36">
        <v>1252</v>
      </c>
      <c r="FX201" s="36">
        <v>2011.9658773055378</v>
      </c>
      <c r="FY201" s="36">
        <v>919</v>
      </c>
      <c r="FZ201" s="36">
        <v>1817.4615072224267</v>
      </c>
      <c r="GA201" s="36">
        <v>1230.1435515923097</v>
      </c>
      <c r="GB201" s="36">
        <v>18754.856448407689</v>
      </c>
      <c r="GC201" s="37">
        <v>1.804905384453976E-2</v>
      </c>
      <c r="GD201" s="37">
        <v>1.7106565950787935E-2</v>
      </c>
      <c r="GE201" s="37"/>
      <c r="GF201" s="37"/>
      <c r="GG201" s="37">
        <v>-5.2218132976369194E-2</v>
      </c>
      <c r="GH201" s="35">
        <v>1.7768559219564659</v>
      </c>
      <c r="GI201" s="36">
        <v>12477.538319534358</v>
      </c>
      <c r="GJ201" s="34">
        <v>0.50394797582841733</v>
      </c>
      <c r="GK201" s="34">
        <v>0.50887573065309744</v>
      </c>
      <c r="GL201" s="34">
        <v>0.49605202417158273</v>
      </c>
      <c r="GM201" s="33">
        <v>0.49112426934690223</v>
      </c>
      <c r="GN201" s="61"/>
      <c r="GO201" s="13">
        <v>343.14810671672558</v>
      </c>
      <c r="GP201" s="27">
        <v>319.26233518755981</v>
      </c>
      <c r="GQ201" s="27">
        <v>535.04305713031317</v>
      </c>
      <c r="GR201" s="27">
        <v>410.15490233172511</v>
      </c>
      <c r="GS201" s="27">
        <v>339.42744393800166</v>
      </c>
      <c r="GT201" s="27">
        <v>293.4407446948278</v>
      </c>
      <c r="GU201" s="27">
        <v>258.04012322764959</v>
      </c>
      <c r="GV201" s="29" t="s">
        <v>392</v>
      </c>
      <c r="GW201" s="27">
        <v>492.625</v>
      </c>
      <c r="GX201" s="27">
        <v>369.46875</v>
      </c>
      <c r="GY201" s="27">
        <v>295.57499999999999</v>
      </c>
      <c r="GZ201" s="27">
        <v>260.81374633218945</v>
      </c>
      <c r="HA201" s="27">
        <v>241.59395552842301</v>
      </c>
      <c r="HB201" s="29">
        <v>277.07214169903904</v>
      </c>
      <c r="HC201" s="27">
        <v>247.078125</v>
      </c>
      <c r="HD201" s="27">
        <v>212.36302997076018</v>
      </c>
      <c r="HE201" s="27">
        <v>215.48418100539809</v>
      </c>
      <c r="HF201" s="27">
        <v>199.65688048245613</v>
      </c>
      <c r="HG201" s="27">
        <v>193.01721491228068</v>
      </c>
      <c r="HH201" s="12">
        <v>213.18089718730909</v>
      </c>
      <c r="HI201" s="94"/>
      <c r="HJ201" s="335" t="s">
        <v>353</v>
      </c>
      <c r="HK201" s="335" t="s">
        <v>353</v>
      </c>
      <c r="HL201" s="94"/>
      <c r="HM201" s="640">
        <f t="shared" ref="HM201:HM264" si="634">VLOOKUP($C201*1000+1,$A:$HH,FT$92,FALSE)*$JF201</f>
        <v>1.2768706344444866E-2</v>
      </c>
      <c r="HN201" s="22">
        <f t="shared" ref="HN201:HN264" si="635">VLOOKUP($C201*1000+1,$A:$HH,FU$92,FALSE)*$JF201</f>
        <v>9.795534288915453E-4</v>
      </c>
      <c r="HO201" s="638">
        <f t="shared" ref="HO201:HO264" si="636">VLOOKUP($C201*1000+1,$A:$HH,FV$92,FALSE)*$JF201</f>
        <v>3.3583061774515237E-3</v>
      </c>
      <c r="HP201" s="649">
        <f>(FT201*$GD201-HM201)/$JF201*INDEX(Input!$1:$1048576,$JG$93,$C201*2+6)</f>
        <v>0</v>
      </c>
      <c r="HQ201" s="650">
        <f>(FU201*$GD201-HN201)/$JF201*INDEX(Input!$1:$1048576,$JG$93,$C201*2+6)</f>
        <v>0</v>
      </c>
      <c r="HR201" s="651">
        <f>(FV201*$GD201-HO201)/$JF201*INDEX(Input!$1:$1048576,$JG$93,$C201*2+6)</f>
        <v>0</v>
      </c>
      <c r="HS201" s="650">
        <f t="shared" ref="HS201:HS202" si="637">IF(AND(HJ201="On",HK201="On"),IL201/1000*INDEX(KG:KG,MATCH(C201*1000+3,$KF:$KF,0))*SUM(HY201:IA201)*1.1
+INDEX(HR:HR,MATCH(C201*1000+4,$KF:$KF,0))/INDEX(IM:IM,MATCH(C201*1000+4,$KF:$KF,0))*IM201*20%,0)</f>
        <v>0</v>
      </c>
      <c r="HT201" s="650">
        <f t="shared" ref="HT201:HT264" si="638">IF(AND(HJ201="On",HK201="On"),IM201/1000*INDEX(KG:KG,MATCH(C201*1000+4,$KF:$KF,0))*SUM(HY201:IA201)*1.1
+INDEX(HR:HR,MATCH(C201*1000+3,$KF:$KF,0))/INDEX(IL:IL,MATCH(C201*1000+3,$KF:$KF,0))*IL201*20%,0)</f>
        <v>0</v>
      </c>
      <c r="HU201" s="651">
        <f t="shared" ref="HU201:HU264" si="639">IF(HJ201="On",IN201/1000*INDEX(KG:KG,MATCH(C201*1000+5,$KF:$KF,0))*SUM(HY201:IA201)*1.1
-INDEX(HR:HR,MATCH(C201*1000+3,$KF:$KF,0))/INDEX(IL:IL,MATCH(C201*1000+3,$KF:$KF,0))*IL201*20%
-INDEX(HR:HR,MATCH(C201*1000+4,$KF:$KF,0))/INDEX(IM:IM,MATCH(C201*1000+4,$KF:$KF,0))*IM201*20%,0)</f>
        <v>0</v>
      </c>
      <c r="HV201" s="649">
        <f t="shared" ref="HV201:HV264" si="640">IL201/1000*0+IM201/1000*0+IN201/1000*0
+(CP201-INDEX(CP:CP,MATCH(C201*1000+1,A:A,0)))/1000*0+IF(FU201&gt;0,0,0)</f>
        <v>0</v>
      </c>
      <c r="HW201" s="650">
        <f t="shared" ref="HW201:HW264" si="641">IL201/1000*0+IM201/1000*0+IN201/1000*0
+(CP201-INDEX(CP:CP,MATCH(C201*1000+1,A:A,0)))/1000*0+IF(FU201&gt;0,0,0)</f>
        <v>0</v>
      </c>
      <c r="HX201" s="651">
        <f t="shared" ref="HX201:HX264" si="642">IL201/1000*0+IM201/1000*0+IN201/1000*0
+(CP201-INDEX(CP:CP,MATCH(C201*1000+1,A:A,0)))/1000*0+IF(FU201&gt;0,0,0)</f>
        <v>0</v>
      </c>
      <c r="HY201" s="641">
        <f>INDEX(Input!$1:$1048576,HY$93,$C201*2+6)*INDEX(Input!$1:$1048576,$JG$93,$C201*2+6)</f>
        <v>451</v>
      </c>
      <c r="HZ201" s="641">
        <f>INDEX(Input!$1:$1048576,HZ$93,$C201*2+6)*INDEX(Input!$1:$1048576,$JG$93,$C201*2+6)</f>
        <v>577</v>
      </c>
      <c r="IA201" s="642">
        <f>INDEX(Input!$1:$1048576,IA$93,$C201*2+6)*INDEX(Input!$1:$1048576,$JG$93,$C201*2+6)</f>
        <v>215</v>
      </c>
      <c r="IB201" s="649">
        <f>SUM(HP201:IA201)-IC201-ID201</f>
        <v>451</v>
      </c>
      <c r="IC201" s="650">
        <f>IF(FU201=0,0,1)*MAX(HZ201+HQ201+HT201+HW201,0%)</f>
        <v>577</v>
      </c>
      <c r="ID201" s="651">
        <f>IF(AND(INDEX(Input!$1:$1048576,IA$93,$C201*2+7)="TOS",Y201&lt;=INDEX(Y:Y,MATCH(C201*1000+2,A:A))),0,1)*MAX(IA201+HR201+HU201+HX201,0%)</f>
        <v>215</v>
      </c>
      <c r="IE201" s="129">
        <f>IB201/SUM($IB201:$ID201)</f>
        <v>0.36283185840707965</v>
      </c>
      <c r="IF201" s="652">
        <f t="shared" ref="IF201:IF264" si="643">IC201/SUM($IB201:$ID201)</f>
        <v>0.46419951729686243</v>
      </c>
      <c r="IG201" s="653">
        <f t="shared" ref="IG201:IG264" si="644">ID201/SUM($IB201:$ID201)</f>
        <v>0.17296862429605792</v>
      </c>
      <c r="IH201" s="95"/>
      <c r="II201" s="298">
        <f t="shared" ref="II201:II264" si="645">VLOOKUP($C201*1000+1,$A:$HH,FW$92,FALSE)-VLOOKUP($C201*1000+1,$A:$HH,FA$92,FALSE)*VLOOKUP($C201*1000+1,$A:$HH,DZ$92,FALSE)/VLOOKUP($C201*1000+1,$A:$HH,FT$92,FALSE)</f>
        <v>1252</v>
      </c>
      <c r="IJ201" s="49">
        <f t="shared" ref="IJ201:IJ264" si="646">VLOOKUP($C201*1000+1,$A:$HH,FX$92,FALSE)</f>
        <v>2011.9658773055378</v>
      </c>
      <c r="IK201" s="40">
        <f t="shared" ref="IK201:IK264" si="647">VLOOKUP($C201*1000+1,$A:$HH,FY$92,FALSE)</f>
        <v>919</v>
      </c>
      <c r="IL201" s="298">
        <f>(FW201-FA201*DZ201/FT201)-II201</f>
        <v>0</v>
      </c>
      <c r="IM201" s="49">
        <f t="shared" ref="IM201:IM264" si="648">FX201-IJ201</f>
        <v>0</v>
      </c>
      <c r="IN201" s="40">
        <f t="shared" ref="IN201:IN264" si="649">FY201-IK201</f>
        <v>0</v>
      </c>
      <c r="IO201" s="25">
        <f t="shared" ref="IO201:IO264" si="650">(F201-VLOOKUP($C201*1000+1,$A:$HH,F$92,FALSE))*(1-$I201)</f>
        <v>0</v>
      </c>
      <c r="IP201" s="29">
        <f t="shared" ref="IP201:IP264" si="651">(G201-VLOOKUP($C201*1000+1,$A:$HH,G$92,FALSE))*(1-$I201)</f>
        <v>0</v>
      </c>
      <c r="IQ201" s="29">
        <f t="shared" ref="IQ201:IQ264" si="652">(H201-VLOOKUP($C201*1000+1,$A:$HH,H$92,FALSE))*(1-$I201)</f>
        <v>0</v>
      </c>
      <c r="IR201" s="17">
        <v>0</v>
      </c>
      <c r="IS201" s="29">
        <v>0</v>
      </c>
      <c r="IT201" s="12">
        <v>0</v>
      </c>
      <c r="IU201" s="25">
        <v>0</v>
      </c>
      <c r="IV201" s="29">
        <v>0</v>
      </c>
      <c r="IW201" s="12">
        <v>0</v>
      </c>
      <c r="IX201" s="372">
        <f>INDEX(Input!$1:$1048576,IX$93,$C201*2+6)+INDEX(Input!$1:$1048576,IX$94,$C201*2+6)</f>
        <v>1294</v>
      </c>
      <c r="IY201" s="373">
        <f>INDEX(Input!$1:$1048576,IY$93,$C201*2+6)+INDEX(Input!$1:$1048576,IY$94,$C201*2+6)</f>
        <v>2154.0624533823611</v>
      </c>
      <c r="IZ201" s="374">
        <f>INDEX(Input!$1:$1048576,IZ$93,$C201*2+6)+INDEX(Input!$1:$1048576,IZ$94,$C201*2+6)</f>
        <v>3677.7164157747848</v>
      </c>
      <c r="JA201" s="298">
        <f>(IL201+IO201+IR201+IU201+IX201)</f>
        <v>1294</v>
      </c>
      <c r="JB201" s="49">
        <f>(IM201+IP201+IS201+IV201+IY201)</f>
        <v>2154.0624533823611</v>
      </c>
      <c r="JC201" s="49">
        <f>(IN201+IQ201+IT201+IW201+IZ201)</f>
        <v>3677.7164157747848</v>
      </c>
      <c r="JD201" s="40">
        <f>SUMPRODUCT(IE201:IG201,JA201:JC201)</f>
        <v>2105.5487248537415</v>
      </c>
      <c r="JE201" s="95"/>
      <c r="JF201" s="28">
        <f t="shared" ref="JF201:JF264" si="653">VLOOKUP($C201*1000+1,$A:$HH,GD$92,FALSE)</f>
        <v>1.7106565950787935E-2</v>
      </c>
      <c r="JG201" s="23">
        <f>INDEX(Input!$1:$1048576,JG$93,$C201*2+6)/(1+VLOOKUP(C201*1000+INDEX(Input!$1:$1048576,JG$93+1,$C201*2+6),$A:$KK,$JK$92,FALSE))</f>
        <v>1243</v>
      </c>
      <c r="JH201" s="38">
        <f>SUM(HP201:HR201)/SUM(HY201:IA201)</f>
        <v>0</v>
      </c>
      <c r="JI201" s="38">
        <f>SUM(HS201:HU201)/SUM(HY201:IA201)</f>
        <v>0</v>
      </c>
      <c r="JJ201" s="11">
        <f>SUM(HV201:HX201)/SUM(HY201:IA201)</f>
        <v>0</v>
      </c>
      <c r="JK201" s="2">
        <f>SUM(JH201:JJ201)</f>
        <v>0</v>
      </c>
      <c r="JL201" s="9">
        <f>JG201*JK201</f>
        <v>0</v>
      </c>
      <c r="JM201" s="8">
        <f>JG201+JL201</f>
        <v>1243</v>
      </c>
      <c r="JN201" s="95"/>
      <c r="JO201" s="375">
        <f>INDEX(Input!$1:$1048576,JO$93,$C201*2+6)</f>
        <v>5995.5</v>
      </c>
      <c r="JP201" s="375">
        <f>INDEX(Input!$1:$1048576,JP$93,$C201*2+6)</f>
        <v>2105.548724853742</v>
      </c>
      <c r="JQ201" s="25">
        <f>JO201-JD201</f>
        <v>3889.9512751462585</v>
      </c>
      <c r="JR201" s="29">
        <f t="shared" ref="JR201" si="654">JD201-JP201</f>
        <v>0</v>
      </c>
      <c r="JS201" s="29">
        <f t="shared" ref="JS201" si="655">JM201*JD201/1000000</f>
        <v>2.617197064993201</v>
      </c>
      <c r="JT201" s="29">
        <f>(JD201*JM201-JP201*JG201)/1000000</f>
        <v>-4.6566128730773924E-16</v>
      </c>
      <c r="JU201" s="376">
        <f>(JQ201*JM201-INDEX(Input!$1:$1048576,Input!A$18,$C201*2+6)*JL201*INDEX(Input!$1:$1048576,Input!A$19,$C201*2+6))/1000000</f>
        <v>4.8352094350067993</v>
      </c>
      <c r="JV201" s="29">
        <f t="shared" ref="JV201:JV212" si="656">JU201-(JO201-JP201)*JG201/1000000</f>
        <v>0</v>
      </c>
      <c r="JW201" s="38">
        <f>JV201/(JU201-JV201)</f>
        <v>0</v>
      </c>
      <c r="JX201" s="40">
        <f>IF(JL201=0,0,JT201/JL201)*1000000</f>
        <v>0</v>
      </c>
      <c r="JZ201" s="377"/>
      <c r="KA201" s="378"/>
      <c r="KB201" s="474">
        <f>KA206</f>
        <v>2.5660492421988774</v>
      </c>
      <c r="KC201" s="379"/>
      <c r="KD201" s="379"/>
      <c r="KE201" s="379"/>
      <c r="KF201" s="379"/>
      <c r="KG201" s="380"/>
      <c r="KI201" s="381"/>
      <c r="KJ201" s="379"/>
      <c r="KK201" s="379"/>
      <c r="KL201" s="380"/>
      <c r="KN201" s="542">
        <f>C201*1000+$KN$97</f>
        <v>2002</v>
      </c>
      <c r="KO201" s="540">
        <f t="shared" ref="KO201:KO264" si="657">JM201/INDEX(JM:JM,MATCH(KN201,A:A,0))-1</f>
        <v>-5.8917462873248061E-3</v>
      </c>
      <c r="KP201" s="545">
        <f t="shared" ref="KP201:KP264" si="658">(IL201-INDEX(IL:IL,MATCH(KN201,A:A,0)))*IE201
+(IM201-IF(HN201=0,INDEX(IX:IX,MATCH(KN201,A:A,0)),INDEX(IM:IM,MATCH(KN201,A:A,0))))*IF201
+(IN201-INDEX(IN:IN,MATCH(KN201,A:A,0)))*IG201</f>
        <v>-39.405998253629399</v>
      </c>
      <c r="KQ201" s="545">
        <f t="shared" ref="KQ201:KQ264" si="659">JD201-INDEX(JD:JD,MATCH(KN201,A:A,0))</f>
        <v>-38.131614579731377</v>
      </c>
      <c r="KR201" s="549">
        <f t="shared" ref="KR201:KR264" si="660">KO201/(KP201/(BX201-INDEX(JD:JD,MATCH(KN201,A:A,0))))</f>
        <v>2.6675261008376157</v>
      </c>
      <c r="KS201" s="549">
        <f t="shared" ref="KS201:KS264" si="661">KO201/(KQ201/(BX201-INDEX(JD:JD,MATCH(KN201,A:A,0))))</f>
        <v>2.75667658004159</v>
      </c>
      <c r="KT201" s="661">
        <f>(1+JK206/(JD206-JD201)*(0-JD201))*JM201</f>
        <v>843.26993010479111</v>
      </c>
      <c r="KU201" s="662">
        <f>IF(D201="",0,IFERROR((JM201/KT201-1)/(JD201/BX201)+B201*10^-6,0))</f>
        <v>4.4992399831753476</v>
      </c>
      <c r="KV201" s="568"/>
      <c r="KW201" s="26"/>
    </row>
    <row r="202" spans="1:310" s="60" customFormat="1" ht="15.75" thickBot="1">
      <c r="A202" s="560">
        <f t="shared" ref="A202:A265" si="662">C202*1000+B202</f>
        <v>2002</v>
      </c>
      <c r="B202" s="560">
        <f>B201+1</f>
        <v>2</v>
      </c>
      <c r="C202" s="560">
        <f>C201</f>
        <v>2</v>
      </c>
      <c r="D202" s="560" t="s">
        <v>567</v>
      </c>
      <c r="E202" s="365">
        <f>INDEX(Input!$1:$1048576,E$93,$C202*2+MIN($B202,2)+5)</f>
        <v>1269.7618664521319</v>
      </c>
      <c r="F202" s="49">
        <f>INDEX(Input!$1:$1048576,F$93,$C202*2+MIN($B202,2)+5)</f>
        <v>0</v>
      </c>
      <c r="G202" s="49">
        <f>INDEX(Input!$1:$1048576,G$93,$C202*2+MIN($B202,2)+5)</f>
        <v>0</v>
      </c>
      <c r="H202" s="49">
        <f>INDEX(Input!$1:$1048576,H$93,$C202*2+MIN($B202,2)+5)</f>
        <v>0</v>
      </c>
      <c r="I202" s="367">
        <f>INDEX(Input!$1:$1048576,I$93,$C202*2+MIN($B202,2)+5)</f>
        <v>0.7</v>
      </c>
      <c r="J202" s="367" t="str">
        <f>INDEX(Input!$1:$1048576,J$93,$C202*2+MIN($B202,2)+5)</f>
        <v>Market</v>
      </c>
      <c r="K202" s="367" t="str">
        <f>INDEX(Input!$1:$1048576,K$93,$C202*2+MIN($B202,2)+5)</f>
        <v>Market</v>
      </c>
      <c r="L202" s="367" t="str">
        <f>INDEX(Input!$1:$1048576,L$93,$C202*2+MIN($B202,2)+5)</f>
        <v>Market</v>
      </c>
      <c r="M202" s="367" t="str">
        <f>INDEX(Input!$1:$1048576,M$93,$C202*2+MIN($B202,2)+5)</f>
        <v>Market</v>
      </c>
      <c r="N202" s="367" t="str">
        <f>INDEX(Input!$1:$1048576,N$93,$C202*2+MIN($B202,2)+5)</f>
        <v>Market</v>
      </c>
      <c r="O202" s="367" t="str">
        <f>INDEX(Input!$1:$1048576,O$93,$C202*2+MIN($B202,2)+5)</f>
        <v>Market</v>
      </c>
      <c r="P202" s="367" t="str">
        <f>INDEX(Input!$1:$1048576,P$93,$C202*2+MIN($B202,2)+5)</f>
        <v>N</v>
      </c>
      <c r="Q202" s="47">
        <f>INDEX(Input!$1:$1048576,Q$93,$C202*2+MIN($B202,2)+5)</f>
        <v>0</v>
      </c>
      <c r="R202" s="38">
        <f>INDEX(Input!$1:$1048576,R$93,$C202*2+MIN($B202,2)+5)</f>
        <v>0</v>
      </c>
      <c r="S202" s="38">
        <f>INDEX(Input!$1:$1048576,S$93,$C202*2+MIN($B202,2)+5)</f>
        <v>0</v>
      </c>
      <c r="T202" s="38">
        <f>INDEX(Input!$1:$1048576,T$93,$C202*2+MIN($B202,2)+5)</f>
        <v>0</v>
      </c>
      <c r="U202" s="38">
        <f>INDEX(Input!$1:$1048576,U$93,$C202*2+MIN($B202,2)+5)</f>
        <v>0</v>
      </c>
      <c r="V202" s="38">
        <f>INDEX(Input!$1:$1048576,V$93,$C202*2+MIN($B202,2)+5)</f>
        <v>1.9E-2</v>
      </c>
      <c r="W202" s="22">
        <f>INDEX(Input!$1:$1048576,W$93,$C202*2+MIN($B202,2)+5)</f>
        <v>3.9E-2</v>
      </c>
      <c r="X202" s="367" t="str">
        <f>INDEX(Input!$1:$1048576,X$93,$C202*2+MIN($B202,2)+5)</f>
        <v>Y</v>
      </c>
      <c r="Y202" s="49">
        <f>INDEX(Input!$1:$1048576,Y$93,$C202*2+MIN($B202,2)+5)</f>
        <v>56</v>
      </c>
      <c r="Z202" s="584">
        <f>INDEX(Input!$1:$1048576,Z$93,$C202*2+MIN($B202,2)+5)</f>
        <v>0</v>
      </c>
      <c r="AA202" s="49">
        <f>INDEX(Input!$1:$1048576,AA$93,$C202*2+MIN($B202,2)+5)</f>
        <v>0</v>
      </c>
      <c r="AB202" s="367">
        <f>INDEX(Input!$1:$1048576,AB$93,$C202*2+MIN($B202,2)+5)</f>
        <v>0.27</v>
      </c>
      <c r="AC202" s="49">
        <f>INDEX(Input!$1:$1048576,AC$93,$C202*2+MIN($B202,2)+5)</f>
        <v>0</v>
      </c>
      <c r="AD202" s="367">
        <f>INDEX(Input!$1:$1048576,AD$93,$C202*2+MIN($B202,2)+5)</f>
        <v>0.27</v>
      </c>
      <c r="AE202" s="49">
        <f>INDEX(Input!$1:$1048576,AE$93,$C202*2+MIN($B202,2)+5)</f>
        <v>0</v>
      </c>
      <c r="AF202" s="367">
        <f>INDEX(Input!$1:$1048576,AF$93,$C202*2+MIN($B202,2)+5)</f>
        <v>4.8000000000000001E-2</v>
      </c>
      <c r="AG202" s="49">
        <f>INDEX(Input!$1:$1048576,AG$93,$C202*2+MIN($B202,2)+5)</f>
        <v>500</v>
      </c>
      <c r="AH202" s="367">
        <f>INDEX(Input!$1:$1048576,AH$93,$C202*2+MIN($B202,2)+5)</f>
        <v>0.94599999999999995</v>
      </c>
      <c r="AI202" s="49">
        <f>INDEX(Input!$1:$1048576,AI$93,$C202*2+MIN($B202,2)+5)</f>
        <v>0</v>
      </c>
      <c r="AJ202" s="367">
        <f>INDEX(Input!$1:$1048576,AJ$93,$C202*2+MIN($B202,2)+5)</f>
        <v>0.27</v>
      </c>
      <c r="AK202" s="298">
        <f>ROUND(INDEX(Input!$1:$1048576,AK$93,$C202*2+MIN($B202,2)+5),0)</f>
        <v>2977</v>
      </c>
      <c r="AL202" s="49">
        <f>ROUND(INDEX(Input!$1:$1048576,AL$93,$C201*2+6)-(Y202-VLOOKUP($C202*1000+1,$A:$HH,Y$92,FALSE))/36,0)</f>
        <v>3395</v>
      </c>
      <c r="AM202" s="46" t="str">
        <f t="shared" ref="AM202:AM265" si="663">IF(K202="market","std",ROUND(K202*1000,0)/10)&amp;"/"&amp;IF(L202="market","std",ROUND(L202*1000,0)/10)&amp;"/"&amp;IF(M202="market","std",ROUND(M202*1000,0)/10)&amp;"/"&amp;IF(N202="market","std",ROUND(N202*1000,0)/10)&amp;IF(P202="N","","/"&amp;IF(O202="market","std",ROUND(O202*1000,0)/10))</f>
        <v>std/std/std/std</v>
      </c>
      <c r="AN202" s="46" t="str">
        <f t="shared" ref="AN202:AN265" si="664">"$"&amp;ROUND(Q202,0)&amp;" + "&amp;IF(S202="market","std",ROUND(S202*1000,0)/10)&amp;"/"&amp;IF(T202="market","std",ROUND(T202*1000,0)/10)&amp;"/"&amp;IF(U202="market","std",ROUND(U202*1000,0)/10)&amp;"/"&amp;IF(V202="market","std",ROUND(V202*1000,0)/10)&amp;IF(X202="N","","/"&amp;IF(W202="market","std",ROUND(W202*1000,0)/10))</f>
        <v>$0 + 0/0/0/1.9/3.9</v>
      </c>
      <c r="AO202" s="44" t="str">
        <f t="shared" ref="AO202:AO265" si="665">IF(S202="market","std",ROUND(S202*1000,0)/10)&amp;"/"&amp;IF(T202="market","std",ROUND(T202*1000,0)/10)&amp;"/"&amp;IF(U202="market","std",ROUND(U202*1000,0)/10)&amp;"/"&amp;IF(V202="market","std",ROUND(V202*1000,0)/10)&amp;IF(X202="N","","/"&amp;IF(W202="market","std",ROUND(W202*1000,0)/10))</f>
        <v>0/0/0/1.9/3.9</v>
      </c>
      <c r="AP202" s="44" t="str">
        <f t="shared" si="498"/>
        <v>0/0.9/1.9/3.9</v>
      </c>
      <c r="AQ202" s="507">
        <f t="shared" si="497"/>
        <v>0.36346525724366952</v>
      </c>
      <c r="AR202" s="44"/>
      <c r="AS202" s="368"/>
      <c r="AT202" s="579">
        <f>AT201+1</f>
        <v>2</v>
      </c>
      <c r="AU202" s="45" t="s">
        <v>121</v>
      </c>
      <c r="AV202" s="45" t="s">
        <v>116</v>
      </c>
      <c r="AW202" s="45" t="str">
        <f>INDEX(Input!$1:$1048576,AW$93,$C202*2+6)</f>
        <v>Kia</v>
      </c>
      <c r="AX202" s="45" t="str">
        <f>INDEX(Input!$1:$1048576,AX$93,$C202*2+6)</f>
        <v>Kia-LR - L2</v>
      </c>
      <c r="AY202" s="10" t="str">
        <f>IF(LEN(D202)=0,"",INDEX(Input!$1:$1048576,AY$93,$C202*2+6))</f>
        <v>Compact SUV (52)</v>
      </c>
      <c r="AZ202" s="45" t="str">
        <f>INDEX(Input!$1:$1048576,AZ$93,$C202*2+6)</f>
        <v>Kia Soul</v>
      </c>
      <c r="BA202" s="50">
        <f>INDEX(Input!$1:$1048576,BA$93,$C202*2+6)</f>
        <v>2020</v>
      </c>
      <c r="BB202" s="48">
        <f>INDEX(Input!$1:$1048576,BB$93,$C202*2+6)</f>
        <v>1</v>
      </c>
      <c r="BC202" s="129">
        <f>INDEX(Input!$1:$1048576,BC$93,$C202*2+6)</f>
        <v>0.7</v>
      </c>
      <c r="BD202" s="38">
        <f>INDEX(Input!$1:$1048576,BD$93,$C202*2+6)</f>
        <v>4.4999999999999998E-2</v>
      </c>
      <c r="BE202" s="38">
        <f>INDEX(Input!$1:$1048576,BE$93,$C202*2+6)</f>
        <v>4.4999999999999998E-2</v>
      </c>
      <c r="BF202" s="38">
        <f>INDEX(Input!$1:$1048576,BF$93,$C202*2+6)</f>
        <v>0.05</v>
      </c>
      <c r="BG202" s="38">
        <f>INDEX(Input!$1:$1048576,BG$93,$C202*2+6)</f>
        <v>5.45E-2</v>
      </c>
      <c r="BH202" s="38">
        <f>INDEX(Input!$1:$1048576,BH$93,$C202*2+6)</f>
        <v>5.45E-2</v>
      </c>
      <c r="BI202" s="38">
        <f>INDEX(Input!$1:$1048576,BI$93,$C202*2+6)</f>
        <v>0.05</v>
      </c>
      <c r="BJ202" s="38">
        <f>INDEX(Input!$1:$1048576,BJ$93,$C202*2+6)</f>
        <v>0.05</v>
      </c>
      <c r="BK202" s="38">
        <f>INDEX(Input!$1:$1048576,BK$93,$C202*2+6)</f>
        <v>0.05</v>
      </c>
      <c r="BL202" s="38">
        <f>INDEX(Input!$1:$1048576,BL$93,$C202*2+6)</f>
        <v>5.5E-2</v>
      </c>
      <c r="BM202" s="38">
        <f>INDEX(Input!$1:$1048576,BM$93,$C202*2+6)</f>
        <v>0.06</v>
      </c>
      <c r="BN202" s="38">
        <f>INDEX(Input!$1:$1048576,BN$93,$C202*2+6)</f>
        <v>4.4999999999999998E-2</v>
      </c>
      <c r="BO202" s="38">
        <f>INDEX(Input!$1:$1048576,BO$93,$C202*2+6)</f>
        <v>4.4999999999999998E-2</v>
      </c>
      <c r="BP202" s="38">
        <f>INDEX(Input!$1:$1048576,BP$93,$C202*2+6)</f>
        <v>0.05</v>
      </c>
      <c r="BQ202" s="38">
        <f>INDEX(Input!$1:$1048576,BQ$93,$C202*2+6)</f>
        <v>5.45E-2</v>
      </c>
      <c r="BR202" s="38">
        <f>INDEX(Input!$1:$1048576,BR$93,$C202*2+6)</f>
        <v>5.45E-2</v>
      </c>
      <c r="BS202" s="38">
        <f>INDEX(Input!$1:$1048576,BS$93,$C202*2+6)</f>
        <v>0.05</v>
      </c>
      <c r="BT202" s="38">
        <f>INDEX(Input!$1:$1048576,BT$93,$C202*2+6)</f>
        <v>0.05</v>
      </c>
      <c r="BU202" s="38">
        <f>INDEX(Input!$1:$1048576,BU$93,$C202*2+6)</f>
        <v>0.05</v>
      </c>
      <c r="BV202" s="38">
        <f>INDEX(Input!$1:$1048576,BV$93,$C202*2+6)</f>
        <v>5.5E-2</v>
      </c>
      <c r="BW202" s="38">
        <f>INDEX(Input!$1:$1048576,BW$93,$C202*2+6)</f>
        <v>0.06</v>
      </c>
      <c r="BX202" s="29">
        <f>INDEX(Input!$1:$1048576,BX$93,$C202*2+6)</f>
        <v>19985</v>
      </c>
      <c r="BY202" s="367">
        <f>INDEX(Input!$1:$1048576,BY$93,$C202*2+6)</f>
        <v>0.1</v>
      </c>
      <c r="BZ202" s="367">
        <f>INDEX(Input!$1:$1048576,BZ$93,$C202*2+6)</f>
        <v>0.1</v>
      </c>
      <c r="CA202" s="367">
        <f>INDEX(Input!$1:$1048576,CA$93,$C202*2+6)</f>
        <v>0.1</v>
      </c>
      <c r="CB202" s="367">
        <f>INDEX(Input!$1:$1048576,CB$93,$C202*2+6)</f>
        <v>0.1</v>
      </c>
      <c r="CC202" s="367">
        <f>INDEX(Input!$1:$1048576,CC$93,$C202*2+6)</f>
        <v>0.1</v>
      </c>
      <c r="CD202" s="367">
        <f>INDEX(Input!$1:$1048576,CD$93,$C202*2+6)</f>
        <v>0.1</v>
      </c>
      <c r="CE202" s="367">
        <f>INDEX(Input!$1:$1048576,CE$93,$C202*2+6)</f>
        <v>0.1</v>
      </c>
      <c r="CF202" s="367">
        <f>INDEX(Input!$1:$1048576,CF$93,$C202*2+6)</f>
        <v>0.1</v>
      </c>
      <c r="CG202" s="367">
        <f>INDEX(Input!$1:$1048576,CG$93,$C202*2+6)</f>
        <v>0.1</v>
      </c>
      <c r="CH202" s="48">
        <f>INDEX(Input!$1:$1048576,CH$93,$C202*2+6)</f>
        <v>0.1</v>
      </c>
      <c r="CI202" s="298">
        <f t="shared" si="499"/>
        <v>1269.7618664521319</v>
      </c>
      <c r="CJ202" s="46" t="str">
        <f>INDEX(Input!$1:$1048576,CJ$93,$C202*2+6)</f>
        <v>N</v>
      </c>
      <c r="CK202" s="38" t="str">
        <f t="shared" si="500"/>
        <v>Market</v>
      </c>
      <c r="CL202" s="38" t="str">
        <f t="shared" si="501"/>
        <v>Market</v>
      </c>
      <c r="CM202" s="38" t="str">
        <f t="shared" si="502"/>
        <v>Market</v>
      </c>
      <c r="CN202" s="38" t="str">
        <f t="shared" si="503"/>
        <v>Market</v>
      </c>
      <c r="CO202" s="38" t="str">
        <f t="shared" si="504"/>
        <v>Market</v>
      </c>
      <c r="CP202" s="49">
        <f t="shared" si="505"/>
        <v>473</v>
      </c>
      <c r="CQ202" s="38">
        <f t="shared" si="506"/>
        <v>0</v>
      </c>
      <c r="CR202" s="38">
        <f t="shared" si="507"/>
        <v>0</v>
      </c>
      <c r="CS202" s="38">
        <f t="shared" si="508"/>
        <v>0</v>
      </c>
      <c r="CT202" s="38">
        <f t="shared" si="509"/>
        <v>1.9E-2</v>
      </c>
      <c r="CU202" s="38">
        <f t="shared" si="510"/>
        <v>3.9E-2</v>
      </c>
      <c r="CV202" s="49">
        <f t="shared" si="511"/>
        <v>56</v>
      </c>
      <c r="CW202" s="22" t="s">
        <v>122</v>
      </c>
      <c r="CX202" s="22" t="s">
        <v>122</v>
      </c>
      <c r="CY202" s="22" t="s">
        <v>122</v>
      </c>
      <c r="CZ202" s="22" t="s">
        <v>122</v>
      </c>
      <c r="DA202" s="22" t="s">
        <v>122</v>
      </c>
      <c r="DB202" s="502">
        <f t="shared" si="512"/>
        <v>0</v>
      </c>
      <c r="DC202" s="29">
        <v>0</v>
      </c>
      <c r="DD202" s="29">
        <v>0</v>
      </c>
      <c r="DE202" s="29">
        <v>0</v>
      </c>
      <c r="DF202" s="49">
        <v>0</v>
      </c>
      <c r="DG202" s="49">
        <v>0</v>
      </c>
      <c r="DH202" s="49">
        <v>0</v>
      </c>
      <c r="DI202" s="49">
        <v>0</v>
      </c>
      <c r="DJ202" s="49">
        <v>0</v>
      </c>
      <c r="DK202" s="29">
        <v>0</v>
      </c>
      <c r="DL202" s="29">
        <v>0</v>
      </c>
      <c r="DM202" s="49">
        <f>INDEX(Input!$1:$1048576,DM$93,$C202*2+6)</f>
        <v>21036.84210526316</v>
      </c>
      <c r="DN202" s="367">
        <v>0</v>
      </c>
      <c r="DO202" s="367">
        <v>0</v>
      </c>
      <c r="DP202" s="367">
        <v>0</v>
      </c>
      <c r="DQ202" s="367">
        <v>0</v>
      </c>
      <c r="DR202" s="367">
        <v>0</v>
      </c>
      <c r="DS202" s="367">
        <f>INDEX(Input!$1:$1048576,DS$93,$C202*2+6)</f>
        <v>0.6</v>
      </c>
      <c r="DT202" s="367">
        <f>INDEX(Input!$1:$1048576,DT$93,$C202*2+6)</f>
        <v>0.55000000000000004</v>
      </c>
      <c r="DU202" s="367">
        <f>INDEX(Input!$1:$1048576,DU$93,$C202*2+6)</f>
        <v>0.52</v>
      </c>
      <c r="DV202" s="367">
        <f>INDEX(Input!$1:$1048576,DV$93,$C202*2+6)</f>
        <v>0.5</v>
      </c>
      <c r="DW202" s="48">
        <f>INDEX(Input!$1:$1048576,DW$93,$C202*2+6)</f>
        <v>0.45</v>
      </c>
      <c r="DX202" s="577"/>
      <c r="DY202" s="4">
        <v>9.2510794042928127E-2</v>
      </c>
      <c r="DZ202" s="37">
        <v>0</v>
      </c>
      <c r="EA202" s="37">
        <v>0.65520424416402745</v>
      </c>
      <c r="EB202" s="37">
        <v>0</v>
      </c>
      <c r="EC202" s="37">
        <v>0</v>
      </c>
      <c r="ED202" s="37">
        <v>0</v>
      </c>
      <c r="EE202" s="37">
        <v>0</v>
      </c>
      <c r="EF202" s="37">
        <v>0</v>
      </c>
      <c r="EG202" s="37">
        <v>0</v>
      </c>
      <c r="EH202" s="37">
        <v>1.4260719306967309E-2</v>
      </c>
      <c r="EI202" s="37">
        <v>4.0588879620914835E-2</v>
      </c>
      <c r="EJ202" s="37">
        <v>0.30723050061456508</v>
      </c>
      <c r="EK202" s="37">
        <v>0.52672878779884957</v>
      </c>
      <c r="EL202" s="37">
        <v>0.11119111265870334</v>
      </c>
      <c r="EM202" s="37">
        <v>5.732152807487742E-2</v>
      </c>
      <c r="EN202" s="37">
        <v>6.5539324161884543E-2</v>
      </c>
      <c r="EO202" s="37">
        <v>0.73222258348117619</v>
      </c>
      <c r="EP202" s="37">
        <v>8.75885066949912E-2</v>
      </c>
      <c r="EQ202" s="37">
        <v>7.4716518219428138E-2</v>
      </c>
      <c r="ER202" s="37">
        <v>3.993306744251978E-2</v>
      </c>
      <c r="ES202" s="37">
        <v>0.19496343371816702</v>
      </c>
      <c r="ET202" s="37">
        <v>0.25228496179304444</v>
      </c>
      <c r="EU202" s="36">
        <v>1294</v>
      </c>
      <c r="EV202" s="36">
        <v>0</v>
      </c>
      <c r="EW202" s="36">
        <v>1294</v>
      </c>
      <c r="EX202" s="36">
        <v>0</v>
      </c>
      <c r="EY202" s="36">
        <v>2053.9670139247082</v>
      </c>
      <c r="EZ202" s="36">
        <v>946</v>
      </c>
      <c r="FA202" s="36">
        <v>0</v>
      </c>
      <c r="FB202" s="36">
        <v>0</v>
      </c>
      <c r="FC202" s="36">
        <v>0</v>
      </c>
      <c r="FD202" s="36">
        <v>0</v>
      </c>
      <c r="FE202" s="36">
        <v>0</v>
      </c>
      <c r="FF202" s="36">
        <v>0</v>
      </c>
      <c r="FG202" s="36">
        <v>0</v>
      </c>
      <c r="FH202" s="36">
        <v>1173.7300960633979</v>
      </c>
      <c r="FI202" s="36">
        <v>1553.9796069512397</v>
      </c>
      <c r="FJ202" s="36">
        <v>2101.2110117447405</v>
      </c>
      <c r="FK202" s="36">
        <v>1772.713997862324</v>
      </c>
      <c r="FL202" s="36">
        <v>907.07682140966256</v>
      </c>
      <c r="FM202" s="36">
        <v>1759.9670139247085</v>
      </c>
      <c r="FN202" s="36">
        <v>0</v>
      </c>
      <c r="FO202" s="36">
        <v>0</v>
      </c>
      <c r="FP202" s="36">
        <v>0</v>
      </c>
      <c r="FQ202" s="36">
        <v>0</v>
      </c>
      <c r="FR202" s="36">
        <v>0</v>
      </c>
      <c r="FS202" s="36">
        <v>0</v>
      </c>
      <c r="FT202" s="37">
        <v>0.74771503820695562</v>
      </c>
      <c r="FU202" s="37">
        <v>5.732152807487742E-2</v>
      </c>
      <c r="FV202" s="37">
        <v>0.19496343371816702</v>
      </c>
      <c r="FW202" s="36">
        <v>1294</v>
      </c>
      <c r="FX202" s="36">
        <v>2053.9670139247082</v>
      </c>
      <c r="FY202" s="36">
        <v>946</v>
      </c>
      <c r="FZ202" s="36">
        <v>1817.4615072224267</v>
      </c>
      <c r="GA202" s="36">
        <v>1269.7151955907439</v>
      </c>
      <c r="GB202" s="36">
        <v>18715.284804409257</v>
      </c>
      <c r="GC202" s="37">
        <v>1.804905384453976E-2</v>
      </c>
      <c r="GD202" s="37">
        <v>1.7189749341810889E-2</v>
      </c>
      <c r="GE202" s="37"/>
      <c r="GF202" s="37"/>
      <c r="GG202" s="37">
        <v>-4.760939327513998E-2</v>
      </c>
      <c r="GH202" s="35">
        <v>1.737070071306049</v>
      </c>
      <c r="GI202" s="36">
        <v>12774.720278646433</v>
      </c>
      <c r="GJ202" s="34">
        <v>0.50394797582841755</v>
      </c>
      <c r="GK202" s="34">
        <v>0.50887573065309732</v>
      </c>
      <c r="GL202" s="34">
        <v>0.49605202417158284</v>
      </c>
      <c r="GM202" s="33">
        <v>0.4911242693469024</v>
      </c>
      <c r="GN202" s="61"/>
      <c r="GO202" s="13">
        <v>343.14810671672558</v>
      </c>
      <c r="GP202" s="27">
        <v>318.46105531198077</v>
      </c>
      <c r="GQ202" s="27">
        <v>535.04305713031317</v>
      </c>
      <c r="GR202" s="27">
        <v>410.15490233172511</v>
      </c>
      <c r="GS202" s="27">
        <v>339.42744393800166</v>
      </c>
      <c r="GT202" s="27">
        <v>293.4407446948278</v>
      </c>
      <c r="GU202" s="27">
        <v>258.04012322764959</v>
      </c>
      <c r="GV202" s="29" t="s">
        <v>392</v>
      </c>
      <c r="GW202" s="27">
        <v>491.45833333333331</v>
      </c>
      <c r="GX202" s="27">
        <v>368.59375</v>
      </c>
      <c r="GY202" s="27">
        <v>294.875</v>
      </c>
      <c r="GZ202" s="27">
        <v>260.19607020114813</v>
      </c>
      <c r="HA202" s="27">
        <v>241.02179695997205</v>
      </c>
      <c r="HB202" s="29">
        <v>276.41619298528263</v>
      </c>
      <c r="HC202" s="27">
        <v>245.89687499999999</v>
      </c>
      <c r="HD202" s="27">
        <v>211.55677997076018</v>
      </c>
      <c r="HE202" s="27">
        <v>214.73562331309037</v>
      </c>
      <c r="HF202" s="27">
        <v>199.03250548245612</v>
      </c>
      <c r="HG202" s="27">
        <v>192.49971491228069</v>
      </c>
      <c r="HH202" s="12">
        <v>212.3890594847762</v>
      </c>
      <c r="HI202" s="94"/>
      <c r="HJ202" s="370" t="str">
        <f>HJ201</f>
        <v>On</v>
      </c>
      <c r="HK202" s="371" t="str">
        <f>HK201</f>
        <v>On</v>
      </c>
      <c r="HL202" s="94"/>
      <c r="HM202" s="640">
        <f t="shared" si="634"/>
        <v>1.2768706344444866E-2</v>
      </c>
      <c r="HN202" s="22">
        <f t="shared" si="635"/>
        <v>9.795534288915453E-4</v>
      </c>
      <c r="HO202" s="638">
        <f t="shared" si="636"/>
        <v>3.3583061774515237E-3</v>
      </c>
      <c r="HP202" s="650">
        <f>(FT202*$GD202-HM202)/$JF202*INDEX(Input!$1:$1048576,$JG$93,$C202*2+6)</f>
        <v>6.1274356820395317</v>
      </c>
      <c r="HQ202" s="650">
        <f>(FU202*$GD202-HN202)/$JF202*INDEX(Input!$1:$1048576,$JG$93,$C202*2+6)</f>
        <v>0.42066089611041185</v>
      </c>
      <c r="HR202" s="651">
        <f>(FV202*$GD202-HO202)/$JF202*INDEX(Input!$1:$1048576,$JG$93,$C202*2+6)</f>
        <v>-0.50381186671306599</v>
      </c>
      <c r="HS202" s="650">
        <f t="shared" si="637"/>
        <v>-2.6625290015039171</v>
      </c>
      <c r="HT202" s="650">
        <f t="shared" si="638"/>
        <v>2.8117508781783496</v>
      </c>
      <c r="HU202" s="651">
        <f t="shared" si="639"/>
        <v>1.1733376240697475</v>
      </c>
      <c r="HV202" s="645">
        <f t="shared" si="640"/>
        <v>0</v>
      </c>
      <c r="HW202" s="646">
        <f t="shared" si="641"/>
        <v>0</v>
      </c>
      <c r="HX202" s="647">
        <f t="shared" si="642"/>
        <v>0</v>
      </c>
      <c r="HY202" s="643">
        <f>INDEX(Input!$1:$1048576,HY$93,$C202*2+6)*INDEX(Input!$1:$1048576,$JG$93,$C202*2+6)</f>
        <v>451</v>
      </c>
      <c r="HZ202" s="641">
        <f>INDEX(Input!$1:$1048576,HZ$93,$C202*2+6)*INDEX(Input!$1:$1048576,$JG$93,$C202*2+6)</f>
        <v>577</v>
      </c>
      <c r="IA202" s="642">
        <f>INDEX(Input!$1:$1048576,IA$93,$C202*2+6)*INDEX(Input!$1:$1048576,$JG$93,$C202*2+6)</f>
        <v>215</v>
      </c>
      <c r="IB202" s="649">
        <f t="shared" ref="IB202:IB265" si="666">SUM(HP202:IA202)-IC202-ID202</f>
        <v>454.46490668053565</v>
      </c>
      <c r="IC202" s="650">
        <f t="shared" ref="IC202:IC265" si="667">MAX(HZ202+HQ202+HT202+HW202,0%)</f>
        <v>580.23241177428883</v>
      </c>
      <c r="ID202" s="651">
        <f>IF(AND(INDEX(Input!$1:$1048576,IA$93,$C202*2+7)="TOS",Y202&lt;=INDEX(Y:Y,MATCH(C202*1000+2,A:A))),0,1)*MAX(IA202+HR202+HU202+HX202,0%)</f>
        <v>215.66952575735667</v>
      </c>
      <c r="IE202" s="129">
        <f t="shared" ref="IE202" si="668">IB202/SUM($IB202:$ID202)</f>
        <v>0.36346525724366952</v>
      </c>
      <c r="IF202" s="652">
        <f t="shared" si="643"/>
        <v>0.46404974224974427</v>
      </c>
      <c r="IG202" s="653">
        <f t="shared" si="644"/>
        <v>0.17248500050658622</v>
      </c>
      <c r="IH202" s="95"/>
      <c r="II202" s="298">
        <f t="shared" si="645"/>
        <v>1252</v>
      </c>
      <c r="IJ202" s="49">
        <f t="shared" si="646"/>
        <v>2011.9658773055378</v>
      </c>
      <c r="IK202" s="40">
        <f t="shared" si="647"/>
        <v>919</v>
      </c>
      <c r="IL202" s="298">
        <f t="shared" ref="IL202:IL265" si="669">(FW202-FA202*DZ202/FT202)-II202</f>
        <v>42</v>
      </c>
      <c r="IM202" s="49">
        <f t="shared" si="648"/>
        <v>42.001136619170438</v>
      </c>
      <c r="IN202" s="40">
        <f t="shared" si="649"/>
        <v>27</v>
      </c>
      <c r="IO202" s="25">
        <f t="shared" si="650"/>
        <v>0</v>
      </c>
      <c r="IP202" s="29">
        <f t="shared" si="651"/>
        <v>0</v>
      </c>
      <c r="IQ202" s="29">
        <f t="shared" si="652"/>
        <v>0</v>
      </c>
      <c r="IR202" s="17">
        <v>0</v>
      </c>
      <c r="IS202" s="29">
        <v>0</v>
      </c>
      <c r="IT202" s="12">
        <v>0</v>
      </c>
      <c r="IU202" s="25">
        <v>0</v>
      </c>
      <c r="IV202" s="29">
        <v>0</v>
      </c>
      <c r="IW202" s="12">
        <v>0</v>
      </c>
      <c r="IX202" s="372">
        <f>INDEX(Input!$1:$1048576,IX$93,$C202*2+6)+INDEX(Input!$1:$1048576,IX$94,$C202*2+6)</f>
        <v>1294</v>
      </c>
      <c r="IY202" s="373">
        <f>INDEX(Input!$1:$1048576,IY$93,$C202*2+6)+INDEX(Input!$1:$1048576,IY$94,$C202*2+6)</f>
        <v>2154.0624533823611</v>
      </c>
      <c r="IZ202" s="374">
        <f>INDEX(Input!$1:$1048576,IZ$93,$C202*2+6)+INDEX(Input!$1:$1048576,IZ$94,$C202*2+6)</f>
        <v>3677.7164157747848</v>
      </c>
      <c r="JA202" s="298">
        <f t="shared" ref="JA202:JA265" si="670">(IL202+IO202+IR202+IU202+IX202)</f>
        <v>1336</v>
      </c>
      <c r="JB202" s="49">
        <f t="shared" ref="JB202:JB265" si="671">(IM202+IP202+IS202+IV202+IY202)</f>
        <v>2196.0635900015313</v>
      </c>
      <c r="JC202" s="49">
        <f t="shared" ref="JC202:JC265" si="672">(IN202+IQ202+IT202+IW202+IZ202)</f>
        <v>3704.7164157747848</v>
      </c>
      <c r="JD202" s="40">
        <f t="shared" ref="JD202:JD265" si="673">SUMPRODUCT(IE202:IG202,JA202:JC202)</f>
        <v>2143.6803394334729</v>
      </c>
      <c r="JE202" s="382"/>
      <c r="JF202" s="28">
        <f t="shared" si="653"/>
        <v>1.7106565950787935E-2</v>
      </c>
      <c r="JG202" s="23">
        <f>INDEX(Input!$1:$1048576,JG$93,$C202*2+6)/(1+VLOOKUP(C202*1000+INDEX(Input!$1:$1048576,JG$93+1,$C202*2+6),$A:$KK,$JK$92,FALSE))</f>
        <v>1243</v>
      </c>
      <c r="JH202" s="38">
        <f t="shared" ref="JH202:JH265" si="674">SUM(HP202:HR202)/SUM(HY202:IA202)</f>
        <v>4.8626586576322418E-3</v>
      </c>
      <c r="JI202" s="38">
        <f t="shared" ref="JI202:JI265" si="675">SUM(HS202:HU202)/SUM(HY202:IA202)</f>
        <v>1.0640060343879163E-3</v>
      </c>
      <c r="JJ202" s="11">
        <f t="shared" ref="JJ202:JJ212" si="676">SUM(HV202:HX202)/SUM(HY202:IA202)</f>
        <v>0</v>
      </c>
      <c r="JK202" s="2">
        <f t="shared" ref="JK202:JK204" si="677">SUM(JH202:JJ202)</f>
        <v>5.9266646920201581E-3</v>
      </c>
      <c r="JL202" s="9">
        <f t="shared" ref="JL202:JL265" si="678">JG202*JK202</f>
        <v>7.3668442121810562</v>
      </c>
      <c r="JM202" s="8">
        <f t="shared" ref="JM202:JM205" si="679">JG202+JL202</f>
        <v>1250.3668442121811</v>
      </c>
      <c r="JN202" s="95"/>
      <c r="JO202" s="375">
        <f>INDEX(Input!$1:$1048576,JO$93,$C202*2+6)</f>
        <v>5995.5</v>
      </c>
      <c r="JP202" s="375">
        <f>INDEX(Input!$1:$1048576,JP$93,$C202*2+6)</f>
        <v>2105.548724853742</v>
      </c>
      <c r="JQ202" s="25">
        <f>JO202-JD202</f>
        <v>3851.8196605665271</v>
      </c>
      <c r="JR202" s="29">
        <f>JD202-JP202</f>
        <v>38.131614579730922</v>
      </c>
      <c r="JS202" s="29">
        <f>JM202*JD202/1000000</f>
        <v>2.6803868210171289</v>
      </c>
      <c r="JT202" s="29">
        <f t="shared" ref="JT202:JT265" si="680">(JD202*JM202-JP202*JG202)/1000000</f>
        <v>6.3189756023927596E-2</v>
      </c>
      <c r="JU202" s="376">
        <f>(JQ202*JM202-INDEX(Input!$1:$1048576,Input!A$18,$C202*2+6)*JL202*INDEX(Input!$1:$1048576,Input!A$19,$C202*2+6))/1000000</f>
        <v>4.8161875934570029</v>
      </c>
      <c r="JV202" s="29">
        <f t="shared" si="656"/>
        <v>-1.9021841549795582E-2</v>
      </c>
      <c r="JW202" s="38">
        <f>JV202/(JU202-JV202)</f>
        <v>-3.9340263964737316E-3</v>
      </c>
      <c r="JX202" s="40">
        <f>IF(JL202=0,0,JT202/JL202)*1000000</f>
        <v>8577.5882051969438</v>
      </c>
      <c r="JZ202" s="377"/>
      <c r="KA202" s="378"/>
      <c r="KB202" s="474">
        <f>KB201</f>
        <v>2.5660492421988774</v>
      </c>
      <c r="KC202" s="379"/>
      <c r="KD202" s="379"/>
      <c r="KE202" s="379"/>
      <c r="KF202" s="379"/>
      <c r="KG202" s="380"/>
      <c r="KI202" s="513">
        <f>$JM202*IE202-$JG202*HY202/SUM($HY202:$IA202)</f>
        <v>3.4649066805356483</v>
      </c>
      <c r="KJ202" s="514">
        <f t="shared" ref="KJ202:KJ215" si="681">$JM202*IF202-$JG202*HZ202/SUM($HY202:$IA202)</f>
        <v>3.2324117742888347</v>
      </c>
      <c r="KK202" s="514">
        <f t="shared" ref="KK202:KK265" si="682">$JM202*IG202-$JG202*IA202/SUM($HY202:$IA202)</f>
        <v>0.66952575735666642</v>
      </c>
      <c r="KL202" s="380"/>
      <c r="KN202" s="543">
        <f>KM202+(KN201-KM201)</f>
        <v>2002</v>
      </c>
      <c r="KO202" s="540">
        <f t="shared" si="657"/>
        <v>0</v>
      </c>
      <c r="KP202" s="545">
        <f t="shared" si="658"/>
        <v>0</v>
      </c>
      <c r="KQ202" s="545">
        <f t="shared" si="659"/>
        <v>0</v>
      </c>
      <c r="KR202" s="547" t="e">
        <f t="shared" si="660"/>
        <v>#DIV/0!</v>
      </c>
      <c r="KS202" s="547" t="e">
        <f t="shared" si="661"/>
        <v>#DIV/0!</v>
      </c>
      <c r="KT202" s="661">
        <f>KT201</f>
        <v>843.26993010479111</v>
      </c>
      <c r="KU202" s="662">
        <f t="shared" ref="KU202:KU265" si="683">IF(D202="",0,IFERROR((JM202/KT202-1)/(JD202/BX202)+B202*10^-6,0))</f>
        <v>4.5006528616860226</v>
      </c>
      <c r="KV202" s="568"/>
      <c r="KW202" s="26"/>
      <c r="KX202" s="582"/>
    </row>
    <row r="203" spans="1:310" s="26" customFormat="1" ht="15">
      <c r="A203" s="561">
        <f t="shared" si="662"/>
        <v>2003</v>
      </c>
      <c r="B203" s="561">
        <f t="shared" ref="B203:B266" si="684">B202+1</f>
        <v>3</v>
      </c>
      <c r="C203" s="561">
        <f t="shared" si="105"/>
        <v>2</v>
      </c>
      <c r="D203" s="561" t="s">
        <v>740</v>
      </c>
      <c r="E203" s="475">
        <f>INDEX(Input!$1:$1048576,E$93,$C203*2+MIN($B203,1)+5)+500</f>
        <v>1500</v>
      </c>
      <c r="F203" s="115">
        <f>INDEX(Input!$1:$1048576,F$93,$C203*2+MIN($B203,1)+5)</f>
        <v>0</v>
      </c>
      <c r="G203" s="115">
        <f>INDEX(Input!$1:$1048576,G$93,$C203*2+MIN($B203,1)+5)</f>
        <v>0</v>
      </c>
      <c r="H203" s="115">
        <f>INDEX(Input!$1:$1048576,H$93,$C203*2+MIN($B203,1)+5)</f>
        <v>0</v>
      </c>
      <c r="I203" s="118">
        <f>INDEX(Input!$1:$1048576,I$93,$C203*2+MIN($B203,1)+5)</f>
        <v>0.7</v>
      </c>
      <c r="J203" s="118" t="str">
        <f>INDEX(Input!$1:$1048576,J$93,$C203*2+MIN($B203,1)+5)</f>
        <v>Market</v>
      </c>
      <c r="K203" s="118" t="str">
        <f>INDEX(Input!$1:$1048576,K$93,$C203*2+MIN($B203,1)+5)</f>
        <v>Market</v>
      </c>
      <c r="L203" s="118" t="str">
        <f>INDEX(Input!$1:$1048576,L$93,$C203*2+MIN($B203,1)+5)</f>
        <v>Market</v>
      </c>
      <c r="M203" s="118" t="str">
        <f>INDEX(Input!$1:$1048576,M$93,$C203*2+MIN($B203,1)+5)</f>
        <v>Market</v>
      </c>
      <c r="N203" s="118" t="str">
        <f>INDEX(Input!$1:$1048576,N$93,$C203*2+MIN($B203,1)+5)</f>
        <v>Market</v>
      </c>
      <c r="O203" s="118" t="str">
        <f>INDEX(Input!$1:$1048576,O$93,$C203*2+MIN($B203,1)+5)</f>
        <v>Market</v>
      </c>
      <c r="P203" s="118" t="str">
        <f>INDEX(Input!$1:$1048576,P$93,$C203*2+MIN($B203,1)+5)</f>
        <v>N</v>
      </c>
      <c r="Q203" s="30">
        <f>INDEX(Input!$1:$1048576,Q$93,$C203*2+MIN($B203,1)+5)</f>
        <v>0</v>
      </c>
      <c r="R203" s="383">
        <f>INDEX(Input!$1:$1048576,R$93,$C203*2+MIN($B203,1)+5)</f>
        <v>0</v>
      </c>
      <c r="S203" s="383">
        <f>INDEX(Input!$1:$1048576,S$93,$C203*2+MIN($B203,1)+5)</f>
        <v>0</v>
      </c>
      <c r="T203" s="383">
        <f>INDEX(Input!$1:$1048576,T$93,$C203*2+MIN($B203,1)+5)</f>
        <v>0</v>
      </c>
      <c r="U203" s="383">
        <f>INDEX(Input!$1:$1048576,U$93,$C203*2+MIN($B203,1)+5)</f>
        <v>0</v>
      </c>
      <c r="V203" s="383">
        <f>INDEX(Input!$1:$1048576,V$93,$C203*2+MIN($B203,1)+5)</f>
        <v>1.9E-2</v>
      </c>
      <c r="W203" s="884">
        <f>INDEX(Input!$1:$1048576,W$93,$C203*2+MIN($B203,1)+5)</f>
        <v>3.9E-2</v>
      </c>
      <c r="X203" s="118" t="str">
        <f>INDEX(Input!$1:$1048576,X$93,$C203*2+MIN($B203,1)+5)</f>
        <v>Y</v>
      </c>
      <c r="Y203" s="150">
        <f>INDEX(Input!$1:$1048576,Y$93,$C203*2+MIN($B203,1)+5)</f>
        <v>463</v>
      </c>
      <c r="Z203" s="30">
        <f>INDEX(Input!$1:$1048576,Z$93,$C203*2+MIN($B203,1)+5)</f>
        <v>0</v>
      </c>
      <c r="AA203" s="115">
        <f>INDEX(Input!$1:$1048576,AA$93,$C203*2+MIN($B203,1)+5)</f>
        <v>1000</v>
      </c>
      <c r="AB203" s="118">
        <f>INDEX(Input!$1:$1048576,AB$93,$C203*2+MIN($B203,1)+5)</f>
        <v>0.27</v>
      </c>
      <c r="AC203" s="115">
        <f>INDEX(Input!$1:$1048576,AC$93,$C203*2+MIN($B203,1)+5)</f>
        <v>1000</v>
      </c>
      <c r="AD203" s="118">
        <f>INDEX(Input!$1:$1048576,AD$93,$C203*2+MIN($B203,1)+5)</f>
        <v>0.27</v>
      </c>
      <c r="AE203" s="115">
        <f>INDEX(Input!$1:$1048576,AE$93,$C203*2+MIN($B203,1)+5)</f>
        <v>500</v>
      </c>
      <c r="AF203" s="118">
        <f>INDEX(Input!$1:$1048576,AF$93,$C203*2+MIN($B203,1)+5)</f>
        <v>4.8000000000000001E-2</v>
      </c>
      <c r="AG203" s="115">
        <f>INDEX(Input!$1:$1048576,AG$93,$C203*2+MIN($B203,1)+5)</f>
        <v>0</v>
      </c>
      <c r="AH203" s="118">
        <f>INDEX(Input!$1:$1048576,AH$93,$C203*2+MIN($B203,1)+5)</f>
        <v>0.94599999999999995</v>
      </c>
      <c r="AI203" s="115">
        <f>INDEX(Input!$1:$1048576,AI$93,$C203*2+MIN($B203,1)+5)</f>
        <v>0</v>
      </c>
      <c r="AJ203" s="118">
        <f>INDEX(Input!$1:$1048576,AJ$93,$C203*2+MIN($B203,1)+5)</f>
        <v>0.27</v>
      </c>
      <c r="AK203" s="150">
        <f>ROUND(INDEX(Input!$1:$1048576,AK$93,$C202*2+MIN($B203,1)+5)+(Y203-VLOOKUP($C203*1000+1,$A:$HH,Y$92,FALSE)),0)</f>
        <v>3384</v>
      </c>
      <c r="AL203" s="150">
        <f>ROUND(INDEX(Input!$1:$1048576,AL$93,$C202*2+MIN($B203,1)+5)-(Y203-VLOOKUP($C203*1000+1,$A:$HH,Y$92,FALSE))/36,0)</f>
        <v>3384</v>
      </c>
      <c r="AM203" s="32" t="str">
        <f t="shared" si="663"/>
        <v>std/std/std/std</v>
      </c>
      <c r="AN203" s="32" t="str">
        <f t="shared" si="664"/>
        <v>$0 + 0/0/0/1.9/3.9</v>
      </c>
      <c r="AO203" s="32" t="str">
        <f t="shared" si="665"/>
        <v>0/0/0/1.9/3.9</v>
      </c>
      <c r="AP203" s="32" t="str">
        <f t="shared" si="498"/>
        <v>0/0.9/1.9/3.9</v>
      </c>
      <c r="AQ203" s="536">
        <f t="shared" si="497"/>
        <v>294.4148053798159</v>
      </c>
      <c r="AR203" s="32"/>
      <c r="AS203" s="302"/>
      <c r="AT203" s="3">
        <f t="shared" si="106"/>
        <v>3</v>
      </c>
      <c r="AU203" s="41" t="s">
        <v>121</v>
      </c>
      <c r="AV203" s="41" t="s">
        <v>116</v>
      </c>
      <c r="AW203" s="41" t="str">
        <f>INDEX(Input!$1:$1048576,AW$93,$C203*2+6)</f>
        <v>Kia</v>
      </c>
      <c r="AX203" s="41" t="str">
        <f>INDEX(Input!$1:$1048576,AX$93,$C203*2+6)</f>
        <v>Kia-LR - L2</v>
      </c>
      <c r="AY203" s="41" t="str">
        <f>IF(LEN(D203)=0,"",INDEX(Input!$1:$1048576,AY$93,$C203*2+6))</f>
        <v>Compact SUV (52)</v>
      </c>
      <c r="AZ203" s="41" t="str">
        <f>INDEX(Input!$1:$1048576,AZ$93,$C203*2+6)</f>
        <v>Kia Soul</v>
      </c>
      <c r="BA203" s="3">
        <f>INDEX(Input!$1:$1048576,BA$93,$C203*2+6)</f>
        <v>2020</v>
      </c>
      <c r="BB203" s="128">
        <f>INDEX(Input!$1:$1048576,BB$93,$C203*2+6)</f>
        <v>1</v>
      </c>
      <c r="BC203" s="128">
        <f>INDEX(Input!$1:$1048576,BC$93,$C203*2+6)</f>
        <v>0.7</v>
      </c>
      <c r="BD203" s="1">
        <f>INDEX(Input!$1:$1048576,BD$93,$C203*2+6)</f>
        <v>4.4999999999999998E-2</v>
      </c>
      <c r="BE203" s="1">
        <f>INDEX(Input!$1:$1048576,BE$93,$C203*2+6)</f>
        <v>4.4999999999999998E-2</v>
      </c>
      <c r="BF203" s="1">
        <f>INDEX(Input!$1:$1048576,BF$93,$C203*2+6)</f>
        <v>0.05</v>
      </c>
      <c r="BG203" s="1">
        <f>INDEX(Input!$1:$1048576,BG$93,$C203*2+6)</f>
        <v>5.45E-2</v>
      </c>
      <c r="BH203" s="1">
        <f>INDEX(Input!$1:$1048576,BH$93,$C203*2+6)</f>
        <v>5.45E-2</v>
      </c>
      <c r="BI203" s="1">
        <f>INDEX(Input!$1:$1048576,BI$93,$C203*2+6)</f>
        <v>0.05</v>
      </c>
      <c r="BJ203" s="1">
        <f>INDEX(Input!$1:$1048576,BJ$93,$C203*2+6)</f>
        <v>0.05</v>
      </c>
      <c r="BK203" s="1">
        <f>INDEX(Input!$1:$1048576,BK$93,$C203*2+6)</f>
        <v>0.05</v>
      </c>
      <c r="BL203" s="1">
        <f>INDEX(Input!$1:$1048576,BL$93,$C203*2+6)</f>
        <v>5.5E-2</v>
      </c>
      <c r="BM203" s="1">
        <f>INDEX(Input!$1:$1048576,BM$93,$C203*2+6)</f>
        <v>0.06</v>
      </c>
      <c r="BN203" s="1">
        <f>INDEX(Input!$1:$1048576,BN$93,$C203*2+6)</f>
        <v>4.4999999999999998E-2</v>
      </c>
      <c r="BO203" s="1">
        <f>INDEX(Input!$1:$1048576,BO$93,$C203*2+6)</f>
        <v>4.4999999999999998E-2</v>
      </c>
      <c r="BP203" s="1">
        <f>INDEX(Input!$1:$1048576,BP$93,$C203*2+6)</f>
        <v>0.05</v>
      </c>
      <c r="BQ203" s="1">
        <f>INDEX(Input!$1:$1048576,BQ$93,$C203*2+6)</f>
        <v>5.45E-2</v>
      </c>
      <c r="BR203" s="1">
        <f>INDEX(Input!$1:$1048576,BR$93,$C203*2+6)</f>
        <v>5.45E-2</v>
      </c>
      <c r="BS203" s="1">
        <f>INDEX(Input!$1:$1048576,BS$93,$C203*2+6)</f>
        <v>0.05</v>
      </c>
      <c r="BT203" s="1">
        <f>INDEX(Input!$1:$1048576,BT$93,$C203*2+6)</f>
        <v>0.05</v>
      </c>
      <c r="BU203" s="1">
        <f>INDEX(Input!$1:$1048576,BU$93,$C203*2+6)</f>
        <v>0.05</v>
      </c>
      <c r="BV203" s="1">
        <f>INDEX(Input!$1:$1048576,BV$93,$C203*2+6)</f>
        <v>5.5E-2</v>
      </c>
      <c r="BW203" s="1">
        <f>INDEX(Input!$1:$1048576,BW$93,$C203*2+6)</f>
        <v>0.06</v>
      </c>
      <c r="BX203" s="127">
        <f>INDEX(Input!$1:$1048576,BX$93,$C203*2+6)</f>
        <v>19985</v>
      </c>
      <c r="BY203" s="20">
        <f>INDEX(Input!$1:$1048576,BY$93,$C203*2+6)</f>
        <v>0.1</v>
      </c>
      <c r="BZ203" s="20">
        <f>INDEX(Input!$1:$1048576,BZ$93,$C203*2+6)</f>
        <v>0.1</v>
      </c>
      <c r="CA203" s="20">
        <f>INDEX(Input!$1:$1048576,CA$93,$C203*2+6)</f>
        <v>0.1</v>
      </c>
      <c r="CB203" s="20">
        <f>INDEX(Input!$1:$1048576,CB$93,$C203*2+6)</f>
        <v>0.1</v>
      </c>
      <c r="CC203" s="20">
        <f>INDEX(Input!$1:$1048576,CC$93,$C203*2+6)</f>
        <v>0.1</v>
      </c>
      <c r="CD203" s="384">
        <f>INDEX(Input!$1:$1048576,CD$93,$C203*2+6)</f>
        <v>0.1</v>
      </c>
      <c r="CE203" s="384">
        <f>INDEX(Input!$1:$1048576,CE$93,$C203*2+6)</f>
        <v>0.1</v>
      </c>
      <c r="CF203" s="384">
        <f>INDEX(Input!$1:$1048576,CF$93,$C203*2+6)</f>
        <v>0.1</v>
      </c>
      <c r="CG203" s="384">
        <f>INDEX(Input!$1:$1048576,CG$93,$C203*2+6)</f>
        <v>0.1</v>
      </c>
      <c r="CH203" s="384">
        <f>INDEX(Input!$1:$1048576,CH$93,$C203*2+6)</f>
        <v>0.1</v>
      </c>
      <c r="CI203" s="304">
        <f t="shared" si="499"/>
        <v>1770</v>
      </c>
      <c r="CJ203" s="16" t="str">
        <f>INDEX(Input!$1:$1048576,CJ$93,$C203*2+6)</f>
        <v>N</v>
      </c>
      <c r="CK203" s="1" t="str">
        <f t="shared" si="500"/>
        <v>Market</v>
      </c>
      <c r="CL203" s="1" t="str">
        <f t="shared" si="501"/>
        <v>Market</v>
      </c>
      <c r="CM203" s="1" t="str">
        <f t="shared" si="502"/>
        <v>Market</v>
      </c>
      <c r="CN203" s="1" t="str">
        <f t="shared" si="503"/>
        <v>Market</v>
      </c>
      <c r="CO203" s="1" t="str">
        <f t="shared" si="504"/>
        <v>Market</v>
      </c>
      <c r="CP203" s="304">
        <f t="shared" si="505"/>
        <v>0</v>
      </c>
      <c r="CQ203" s="1">
        <f t="shared" si="506"/>
        <v>0</v>
      </c>
      <c r="CR203" s="1">
        <f t="shared" si="507"/>
        <v>0</v>
      </c>
      <c r="CS203" s="1">
        <f t="shared" si="508"/>
        <v>0</v>
      </c>
      <c r="CT203" s="1">
        <f t="shared" si="509"/>
        <v>1.9E-2</v>
      </c>
      <c r="CU203" s="1">
        <f t="shared" si="510"/>
        <v>3.9E-2</v>
      </c>
      <c r="CV203" s="304">
        <f t="shared" si="511"/>
        <v>733</v>
      </c>
      <c r="CW203" s="20" t="s">
        <v>122</v>
      </c>
      <c r="CX203" s="20" t="s">
        <v>122</v>
      </c>
      <c r="CY203" s="20" t="s">
        <v>122</v>
      </c>
      <c r="CZ203" s="20" t="s">
        <v>122</v>
      </c>
      <c r="DA203" s="20" t="s">
        <v>122</v>
      </c>
      <c r="DB203" s="503">
        <f t="shared" si="512"/>
        <v>24</v>
      </c>
      <c r="DC203" s="127">
        <v>0</v>
      </c>
      <c r="DD203" s="127">
        <v>0</v>
      </c>
      <c r="DE203" s="127">
        <v>0</v>
      </c>
      <c r="DF203" s="127">
        <v>0</v>
      </c>
      <c r="DG203" s="127">
        <v>0</v>
      </c>
      <c r="DH203" s="127">
        <v>0</v>
      </c>
      <c r="DI203" s="127">
        <v>0</v>
      </c>
      <c r="DJ203" s="127">
        <v>0</v>
      </c>
      <c r="DK203" s="127">
        <v>0</v>
      </c>
      <c r="DL203" s="127">
        <v>0</v>
      </c>
      <c r="DM203" s="304">
        <f>INDEX(Input!$1:$1048576,DM$93,$C203*2+6)</f>
        <v>21036.84210526316</v>
      </c>
      <c r="DN203" s="20">
        <v>0</v>
      </c>
      <c r="DO203" s="20">
        <v>0</v>
      </c>
      <c r="DP203" s="20">
        <v>0</v>
      </c>
      <c r="DQ203" s="20">
        <v>0</v>
      </c>
      <c r="DR203" s="20">
        <v>0</v>
      </c>
      <c r="DS203" s="20">
        <f>INDEX(Input!$1:$1048576,DS$93,$C203*2+6)</f>
        <v>0.6</v>
      </c>
      <c r="DT203" s="20">
        <f>INDEX(Input!$1:$1048576,DT$93,$C203*2+6)</f>
        <v>0.55000000000000004</v>
      </c>
      <c r="DU203" s="20">
        <f>INDEX(Input!$1:$1048576,DU$93,$C203*2+6)</f>
        <v>0.52</v>
      </c>
      <c r="DV203" s="20">
        <f>INDEX(Input!$1:$1048576,DV$93,$C203*2+6)</f>
        <v>0.5</v>
      </c>
      <c r="DW203" s="20">
        <f>INDEX(Input!$1:$1048576,DW$93,$C203*2+6)</f>
        <v>0.45</v>
      </c>
      <c r="DX203" s="20"/>
      <c r="DY203" s="7">
        <v>0.10353124511236449</v>
      </c>
      <c r="DZ203" s="7">
        <v>0</v>
      </c>
      <c r="EA203" s="7">
        <v>0.69063026043453246</v>
      </c>
      <c r="EB203" s="7">
        <v>0</v>
      </c>
      <c r="EC203" s="7">
        <v>0</v>
      </c>
      <c r="ED203" s="7">
        <v>0</v>
      </c>
      <c r="EE203" s="7">
        <v>0</v>
      </c>
      <c r="EF203" s="7">
        <v>0</v>
      </c>
      <c r="EG203" s="7">
        <v>0</v>
      </c>
      <c r="EH203" s="7">
        <v>1.4273535782593785E-2</v>
      </c>
      <c r="EI203" s="7">
        <v>4.0633700699115136E-2</v>
      </c>
      <c r="EJ203" s="7">
        <v>0.30738469161468013</v>
      </c>
      <c r="EK203" s="7">
        <v>0.52656022567679039</v>
      </c>
      <c r="EL203" s="7">
        <v>0.11114784622682054</v>
      </c>
      <c r="EM203" s="7">
        <v>4.6398314983290723E-2</v>
      </c>
      <c r="EN203" s="7">
        <v>6.5432884531706301E-2</v>
      </c>
      <c r="EO203" s="7">
        <v>0.73142953016150636</v>
      </c>
      <c r="EP203" s="7">
        <v>8.8008355565450599E-2</v>
      </c>
      <c r="EQ203" s="7">
        <v>7.5050570877003481E-2</v>
      </c>
      <c r="ER203" s="7">
        <v>4.0078658864332879E-2</v>
      </c>
      <c r="ES203" s="7">
        <v>0.1594401794698124</v>
      </c>
      <c r="ET203" s="7">
        <v>0.20583849445310307</v>
      </c>
      <c r="EU203" s="6">
        <v>1752</v>
      </c>
      <c r="EV203" s="6">
        <v>0</v>
      </c>
      <c r="EW203" s="6">
        <v>1752</v>
      </c>
      <c r="EX203" s="6">
        <v>0</v>
      </c>
      <c r="EY203" s="6">
        <v>2012.0376960041563</v>
      </c>
      <c r="EZ203" s="6">
        <v>919</v>
      </c>
      <c r="FA203" s="6">
        <v>0</v>
      </c>
      <c r="FB203" s="6">
        <v>0</v>
      </c>
      <c r="FC203" s="6">
        <v>0</v>
      </c>
      <c r="FD203" s="6">
        <v>0</v>
      </c>
      <c r="FE203" s="6">
        <v>0</v>
      </c>
      <c r="FF203" s="6">
        <v>0</v>
      </c>
      <c r="FG203" s="6">
        <v>0</v>
      </c>
      <c r="FH203" s="6">
        <v>1173.7341972357979</v>
      </c>
      <c r="FI203" s="6">
        <v>1553.9796069512402</v>
      </c>
      <c r="FJ203" s="6">
        <v>2101.211011744741</v>
      </c>
      <c r="FK203" s="6">
        <v>1772.7139978623234</v>
      </c>
      <c r="FL203" s="6">
        <v>907.07682140966381</v>
      </c>
      <c r="FM203" s="6">
        <v>1760.0376960041563</v>
      </c>
      <c r="FN203" s="6">
        <v>0</v>
      </c>
      <c r="FO203" s="6">
        <v>0</v>
      </c>
      <c r="FP203" s="6">
        <v>0</v>
      </c>
      <c r="FQ203" s="6">
        <v>0</v>
      </c>
      <c r="FR203" s="6">
        <v>0</v>
      </c>
      <c r="FS203" s="6">
        <v>0</v>
      </c>
      <c r="FT203" s="7">
        <v>0.79416150554689691</v>
      </c>
      <c r="FU203" s="7">
        <v>4.6398314983290723E-2</v>
      </c>
      <c r="FV203" s="7">
        <v>0.1594401794698124</v>
      </c>
      <c r="FW203" s="6">
        <v>1752.0000000000002</v>
      </c>
      <c r="FX203" s="6">
        <v>2012.0376960041563</v>
      </c>
      <c r="FY203" s="6">
        <v>919</v>
      </c>
      <c r="FZ203" s="6">
        <v>1817.4615072224267</v>
      </c>
      <c r="GA203" s="6">
        <v>1631.2516414283766</v>
      </c>
      <c r="GB203" s="6">
        <v>18353.748358571622</v>
      </c>
      <c r="GC203" s="7">
        <v>1.804905384453976E-2</v>
      </c>
      <c r="GD203" s="7">
        <v>1.7958782379364054E-2</v>
      </c>
      <c r="GE203" s="7"/>
      <c r="GF203" s="7"/>
      <c r="GG203" s="7">
        <v>-5.0014513754146461E-3</v>
      </c>
      <c r="GH203" s="42">
        <v>0.5367814713330592</v>
      </c>
      <c r="GI203" s="6">
        <v>38862.417520475276</v>
      </c>
      <c r="GJ203" s="14">
        <v>0.50394797582841711</v>
      </c>
      <c r="GK203" s="14">
        <v>0.50887573065309755</v>
      </c>
      <c r="GL203" s="14">
        <v>0.49605202417158278</v>
      </c>
      <c r="GM203" s="14">
        <v>0.49112426934690262</v>
      </c>
      <c r="GO203" s="5">
        <v>343.14810671672558</v>
      </c>
      <c r="GP203" s="5">
        <v>309.72328904971403</v>
      </c>
      <c r="GQ203" s="5">
        <v>535.04305713031317</v>
      </c>
      <c r="GR203" s="5">
        <v>410.15490233172511</v>
      </c>
      <c r="GS203" s="5">
        <v>339.42744393800166</v>
      </c>
      <c r="GT203" s="5">
        <v>293.4407446948278</v>
      </c>
      <c r="GU203" s="5">
        <v>258.04012322764959</v>
      </c>
      <c r="GV203" s="39" t="s">
        <v>392</v>
      </c>
      <c r="GW203" s="5">
        <v>492.625</v>
      </c>
      <c r="GX203" s="5">
        <v>369.46875</v>
      </c>
      <c r="GY203" s="5">
        <v>295.57499999999999</v>
      </c>
      <c r="GZ203" s="5">
        <v>260.81374633218945</v>
      </c>
      <c r="HA203" s="5">
        <v>241.59395552842301</v>
      </c>
      <c r="HB203" s="39">
        <v>277.08640634077489</v>
      </c>
      <c r="HC203" s="5">
        <v>247.078125</v>
      </c>
      <c r="HD203" s="5">
        <v>212.36302997076018</v>
      </c>
      <c r="HE203" s="5">
        <v>215.48418100539809</v>
      </c>
      <c r="HF203" s="5">
        <v>199.65688048245613</v>
      </c>
      <c r="HG203" s="5">
        <v>193.01721491228068</v>
      </c>
      <c r="HH203" s="39">
        <v>213.18026805041845</v>
      </c>
      <c r="HI203" s="16"/>
      <c r="HJ203" s="19" t="str">
        <f t="shared" ref="HJ203:HK218" si="685">HJ202</f>
        <v>On</v>
      </c>
      <c r="HK203" s="1" t="str">
        <f t="shared" si="685"/>
        <v>On</v>
      </c>
      <c r="HL203" s="16"/>
      <c r="HM203" s="639">
        <f t="shared" si="634"/>
        <v>1.2768706344444866E-2</v>
      </c>
      <c r="HN203" s="639">
        <f t="shared" si="635"/>
        <v>9.795534288915453E-4</v>
      </c>
      <c r="HO203" s="639">
        <f t="shared" si="636"/>
        <v>3.3583061774515237E-3</v>
      </c>
      <c r="HP203" s="644">
        <f>(FT203*$GD203-HM203)/$JF203*INDEX(Input!$1:$1048576,$JG$93,$C203*2+6)</f>
        <v>108.51855766149737</v>
      </c>
      <c r="HQ203" s="644">
        <f>(FU203*$GD203-HN203)/$JF203*INDEX(Input!$1:$1048576,$JG$93,$C203*2+6)</f>
        <v>-10.630196696611856</v>
      </c>
      <c r="HR203" s="644">
        <f>(FV203*$GD203-HO203)/$JF203*INDEX(Input!$1:$1048576,$JG$93,$C203*2+6)</f>
        <v>-35.964476079542749</v>
      </c>
      <c r="HS203" s="644">
        <f t="shared" ref="HS203:HS220" si="686">IF(AND(HJ203="On",HK203="On"),IL203/1000*INDEX(KG:KG,MATCH(C203*1000+3,$KF:$KF,0))*SUM(HY203:IA203)*1.1
+INDEX(HR:HR,MATCH(C203*1000+4,$KF:$KF,0))/INDEX(IM:IM,MATCH(C203*1000+4,$KF:$KF,0))*IM203*20%,0)</f>
        <v>-31.146312090710435</v>
      </c>
      <c r="HT203" s="644">
        <f t="shared" si="638"/>
        <v>-7.187054198354053</v>
      </c>
      <c r="HU203" s="644">
        <f t="shared" si="639"/>
        <v>7.1929742920179907</v>
      </c>
      <c r="HV203" s="648">
        <f t="shared" si="640"/>
        <v>0</v>
      </c>
      <c r="HW203" s="648">
        <f t="shared" si="641"/>
        <v>0</v>
      </c>
      <c r="HX203" s="648">
        <f t="shared" si="642"/>
        <v>0</v>
      </c>
      <c r="HY203" s="644">
        <f>INDEX(Input!$1:$1048576,HY$93,$C203*2+6)*INDEX(Input!$1:$1048576,$JG$93,$C203*2+6)</f>
        <v>451</v>
      </c>
      <c r="HZ203" s="644">
        <f>INDEX(Input!$1:$1048576,HZ$93,$C203*2+6)*INDEX(Input!$1:$1048576,$JG$93,$C203*2+6)</f>
        <v>577</v>
      </c>
      <c r="IA203" s="644">
        <f>INDEX(Input!$1:$1048576,IA$93,$C203*2+6)*INDEX(Input!$1:$1048576,$JG$93,$C203*2+6)</f>
        <v>215</v>
      </c>
      <c r="IB203" s="644">
        <f t="shared" si="666"/>
        <v>528.37224557078684</v>
      </c>
      <c r="IC203" s="644">
        <f t="shared" si="667"/>
        <v>559.18274910503408</v>
      </c>
      <c r="ID203" s="644">
        <f>IF(AND(INDEX(Input!$1:$1048576,IA$93,$C203*2+7)="TOS",Y203&lt;=INDEX(Y:Y,MATCH(C203*1000+2,A:A))),0,1)*MAX(IA203+HR203+HU203+HX203,0%)</f>
        <v>186.22849821247524</v>
      </c>
      <c r="IE203" s="128">
        <f t="shared" ref="IE203:IE204" si="687">IB203/SUM($IB203:$ID203)</f>
        <v>0.41480537981592619</v>
      </c>
      <c r="IF203" s="128">
        <f t="shared" si="643"/>
        <v>0.438993559130752</v>
      </c>
      <c r="IG203" s="128">
        <f t="shared" si="644"/>
        <v>0.14620106105332176</v>
      </c>
      <c r="IH203" s="21"/>
      <c r="II203" s="19">
        <f t="shared" si="645"/>
        <v>1252</v>
      </c>
      <c r="IJ203" s="19">
        <f t="shared" si="646"/>
        <v>2011.9658773055378</v>
      </c>
      <c r="IK203" s="19">
        <f t="shared" si="647"/>
        <v>919</v>
      </c>
      <c r="IL203" s="19">
        <f t="shared" si="669"/>
        <v>500.00000000000023</v>
      </c>
      <c r="IM203" s="19">
        <f t="shared" si="648"/>
        <v>7.1818698618471899E-2</v>
      </c>
      <c r="IN203" s="19">
        <f t="shared" si="649"/>
        <v>0</v>
      </c>
      <c r="IO203" s="39">
        <f t="shared" si="650"/>
        <v>0</v>
      </c>
      <c r="IP203" s="39">
        <f t="shared" si="651"/>
        <v>0</v>
      </c>
      <c r="IQ203" s="39">
        <f t="shared" si="652"/>
        <v>0</v>
      </c>
      <c r="IR203" s="39">
        <v>0</v>
      </c>
      <c r="IS203" s="39">
        <v>0</v>
      </c>
      <c r="IT203" s="39">
        <v>0</v>
      </c>
      <c r="IU203" s="39">
        <v>0</v>
      </c>
      <c r="IV203" s="39">
        <v>0</v>
      </c>
      <c r="IW203" s="39">
        <v>0</v>
      </c>
      <c r="IX203" s="39">
        <f>INDEX(Input!$1:$1048576,IX$93,$C203*2+6)+INDEX(Input!$1:$1048576,IX$94,$C203*2+6)</f>
        <v>1294</v>
      </c>
      <c r="IY203" s="39">
        <f>INDEX(Input!$1:$1048576,IY$93,$C203*2+6)+INDEX(Input!$1:$1048576,IY$94,$C203*2+6)</f>
        <v>2154.0624533823611</v>
      </c>
      <c r="IZ203" s="39">
        <f>INDEX(Input!$1:$1048576,IZ$93,$C203*2+6)+INDEX(Input!$1:$1048576,IZ$94,$C203*2+6)</f>
        <v>3677.7164157747848</v>
      </c>
      <c r="JA203" s="19">
        <f t="shared" si="670"/>
        <v>1794.0000000000002</v>
      </c>
      <c r="JB203" s="19">
        <f t="shared" si="671"/>
        <v>2154.1342720809798</v>
      </c>
      <c r="JC203" s="19">
        <f t="shared" si="672"/>
        <v>3677.7164157747848</v>
      </c>
      <c r="JD203" s="19">
        <f t="shared" si="673"/>
        <v>2227.4979645756257</v>
      </c>
      <c r="JE203" s="21"/>
      <c r="JF203" s="1">
        <f t="shared" si="653"/>
        <v>1.7106565950787935E-2</v>
      </c>
      <c r="JG203" s="15">
        <f>INDEX(Input!$1:$1048576,JG$93,$C203*2+6)/(1+VLOOKUP(C203*1000+INDEX(Input!$1:$1048576,JG$93+1,$C203*2+6),$A:$KK,$JK$92,FALSE))</f>
        <v>1243</v>
      </c>
      <c r="JH203" s="1">
        <f t="shared" si="674"/>
        <v>4.9818089207838097E-2</v>
      </c>
      <c r="JI203" s="1">
        <f t="shared" si="675"/>
        <v>-2.5052608203577229E-2</v>
      </c>
      <c r="JJ203" s="1">
        <f t="shared" si="676"/>
        <v>0</v>
      </c>
      <c r="JK203" s="1">
        <f t="shared" si="677"/>
        <v>2.4765481004260868E-2</v>
      </c>
      <c r="JL203" s="15">
        <f t="shared" si="678"/>
        <v>30.783492888296259</v>
      </c>
      <c r="JM203" s="15">
        <f t="shared" si="679"/>
        <v>1273.7834928882962</v>
      </c>
      <c r="JN203" s="21"/>
      <c r="JO203" s="19">
        <f>INDEX(Input!$1:$1048576,JO$93,$C203*2+6)</f>
        <v>5995.5</v>
      </c>
      <c r="JP203" s="19">
        <f>INDEX(Input!$1:$1048576,JP$93,$C203*2+6)</f>
        <v>2105.548724853742</v>
      </c>
      <c r="JQ203" s="39">
        <f t="shared" ref="JQ203:JQ266" si="688">JO203-JD203</f>
        <v>3768.0020354243743</v>
      </c>
      <c r="JR203" s="39">
        <f t="shared" ref="JR203:JR205" si="689">JD203-JP203</f>
        <v>121.94923972188371</v>
      </c>
      <c r="JS203" s="39">
        <f t="shared" ref="JS203:JS266" si="690">JM203*JD203/1000000</f>
        <v>2.8373501377187109</v>
      </c>
      <c r="JT203" s="39">
        <f t="shared" si="680"/>
        <v>0.22015307272550977</v>
      </c>
      <c r="JU203" s="385">
        <f>(JQ203*JM203-INDEX(Input!$1:$1048576,Input!A$18,$C203*2+6)*JL203*INDEX(Input!$1:$1048576,Input!A$19,$C203*2+6))/1000000</f>
        <v>4.7996187938930692</v>
      </c>
      <c r="JV203" s="39">
        <f t="shared" si="656"/>
        <v>-3.5590641113729227E-2</v>
      </c>
      <c r="JW203" s="1">
        <f>JV203/(JU203-JV203)</f>
        <v>-7.3607237891401044E-3</v>
      </c>
      <c r="JX203" s="19">
        <f>IF(JL203=0,0,JT203/JL203)*1000000</f>
        <v>7151.6599342503769</v>
      </c>
      <c r="JZ203" s="468">
        <f>(HY203+HP203)/SUM(HP203:HR203,HY203:IA203)*IL203</f>
        <v>214.38743061656035</v>
      </c>
      <c r="KA203" s="469">
        <f>JH203/(JZ203/BX203)</f>
        <v>4.643996665081251</v>
      </c>
      <c r="KB203" s="469">
        <f t="shared" ref="KB203:KB266" si="691">KB202</f>
        <v>2.5660492421988774</v>
      </c>
      <c r="KC203" s="469">
        <f>MIN(AVERAGE(KB203*0.8,VLOOKUP(AZ201,Lookup!$B:$E,4,FALSE)*0.8),$KC$97)</f>
        <v>2.0164196968795509</v>
      </c>
      <c r="KD203" s="469">
        <f>AVERAGE(KB203,VLOOKUP(AZ201,Lookup!$B:$E,4,FALSE))</f>
        <v>2.5205246210994385</v>
      </c>
      <c r="KE203" s="469">
        <f>MIN(MAX(KA203,KC203),KD203)</f>
        <v>2.5205246210994385</v>
      </c>
      <c r="KF203" s="470">
        <f>A203</f>
        <v>2003</v>
      </c>
      <c r="KG203" s="471">
        <f>(JH203/KA203*KE203-JH203)/MAX(IL203:IN203)*1000</f>
        <v>-4.5558740604989365E-2</v>
      </c>
      <c r="KH203" s="472"/>
      <c r="KI203" s="473">
        <f t="shared" ref="KI203:KI214" si="692">$JM203*IE203-$JG203*HY203/SUM($HY203:$IA203)</f>
        <v>77.372245570786845</v>
      </c>
      <c r="KJ203" s="473">
        <f t="shared" si="681"/>
        <v>-17.817250894965923</v>
      </c>
      <c r="KK203" s="473">
        <f t="shared" si="682"/>
        <v>-28.771501787524755</v>
      </c>
      <c r="KL203" s="472" t="str">
        <f>IF(OR(KJ203&gt;0,KK203&gt;0),"Error - Adjust TR","ok")</f>
        <v>ok</v>
      </c>
      <c r="KN203" s="544">
        <f>KM203+(KN202-KM202)</f>
        <v>2002</v>
      </c>
      <c r="KO203" s="541">
        <f t="shared" si="657"/>
        <v>1.8727822786175352E-2</v>
      </c>
      <c r="KP203" s="546">
        <f t="shared" si="658"/>
        <v>167.62673480138668</v>
      </c>
      <c r="KQ203" s="546">
        <f t="shared" si="659"/>
        <v>83.817625142152792</v>
      </c>
      <c r="KR203" s="548">
        <f t="shared" si="660"/>
        <v>1.9932922589614988</v>
      </c>
      <c r="KS203" s="548">
        <f t="shared" si="661"/>
        <v>3.9863820086517698</v>
      </c>
      <c r="KT203" s="473">
        <f t="shared" ref="KT203:KT266" si="693">KT202</f>
        <v>843.26993010479111</v>
      </c>
      <c r="KU203" s="663">
        <f t="shared" si="683"/>
        <v>4.5804415422881606</v>
      </c>
      <c r="KV203" s="117"/>
    </row>
    <row r="204" spans="1:310" s="26" customFormat="1" ht="15">
      <c r="A204" s="561">
        <f t="shared" si="662"/>
        <v>2004</v>
      </c>
      <c r="B204" s="561">
        <f t="shared" si="684"/>
        <v>4</v>
      </c>
      <c r="C204" s="561">
        <f t="shared" si="105"/>
        <v>2</v>
      </c>
      <c r="D204" s="561" t="s">
        <v>741</v>
      </c>
      <c r="E204" s="115">
        <f>INDEX(Input!$1:$1048576,E$93,$C204*2+MIN($B204,1)+5)</f>
        <v>1000</v>
      </c>
      <c r="F204" s="115">
        <f>INDEX(Input!$1:$1048576,F$93,$C204*2+MIN($B204,1)+5)</f>
        <v>0</v>
      </c>
      <c r="G204" s="115">
        <f>INDEX(Input!$1:$1048576,G$93,$C204*2+MIN($B204,1)+5)</f>
        <v>0</v>
      </c>
      <c r="H204" s="115">
        <f>INDEX(Input!$1:$1048576,H$93,$C204*2+MIN($B204,1)+5)</f>
        <v>0</v>
      </c>
      <c r="I204" s="118">
        <f>INDEX(Input!$1:$1048576,I$93,$C204*2+MIN($B204,1)+5)</f>
        <v>0.7</v>
      </c>
      <c r="J204" s="478">
        <f>IF(INDEX(Input!$1:$1048576,J$93,$C204*2+MIN($B204,1)+5)="Market",BD202-1%,MAX(INDEX(Input!$1:$1048576,J$93,$C204*2+MIN($B204,1)+5)-1%,0))</f>
        <v>3.4999999999999996E-2</v>
      </c>
      <c r="K204" s="478">
        <f>IF(INDEX(Input!$1:$1048576,K$93,$C204*2+MIN($B204,1)+5)="Market",BE202-1%,MAX(INDEX(Input!$1:$1048576,K$93,$C204*2+MIN($B204,1)+5)-1%,0))</f>
        <v>3.4999999999999996E-2</v>
      </c>
      <c r="L204" s="478">
        <f>IF(INDEX(Input!$1:$1048576,L$93,$C204*2+MIN($B204,1)+5)="Market",BF202-1%,MAX(INDEX(Input!$1:$1048576,L$93,$C204*2+MIN($B204,1)+5)-1%,0))</f>
        <v>0.04</v>
      </c>
      <c r="M204" s="478">
        <f>IF(INDEX(Input!$1:$1048576,M$93,$C204*2+MIN($B204,1)+5)="Market",BG202-1%,MAX(INDEX(Input!$1:$1048576,M$93,$C204*2+MIN($B204,1)+5)-1%,0))</f>
        <v>4.4499999999999998E-2</v>
      </c>
      <c r="N204" s="478">
        <f>IF(INDEX(Input!$1:$1048576,N$93,$C204*2+MIN($B204,1)+5)="Market",BH202-1%,MAX(INDEX(Input!$1:$1048576,N$93,$C204*2+6)-IF(INDEX(Input!$1:$1048576,M$93,$C204*2+MIN($B204,1)+5)=0,0,1%),0))</f>
        <v>4.4499999999999998E-2</v>
      </c>
      <c r="O204" s="476" t="str">
        <f>INDEX(Input!$1:$1048576,O$93,$C204*2+MIN($B204,1)+5)</f>
        <v>Market</v>
      </c>
      <c r="P204" s="476" t="str">
        <f>INDEX(Input!$1:$1048576,P$93,$C204*2+MIN($B204,1)+5)</f>
        <v>N</v>
      </c>
      <c r="Q204" s="477">
        <f>INDEX(Input!$1:$1048576,Q$93,$C204*2+MIN($B204,1)+5)+IF(U202&gt;1.8%,0,500)</f>
        <v>500</v>
      </c>
      <c r="R204" s="478">
        <f>IF(INDEX(Input!$1:$1048576,R$93,$C204*2+MIN($B204,1)+5)="Market",BD202-1%,MAX(INDEX(Input!$1:$1048576,R$93,$C204*2+MIN($B204,1)+5)-1%,0))</f>
        <v>0</v>
      </c>
      <c r="S204" s="478">
        <f>IF(INDEX(Input!$1:$1048576,S$93,$C204*2+MIN($B204,1)+5)="Market",BE202-1%,MAX(INDEX(Input!$1:$1048576,S$93,$C204*2+MIN($B204,1)+5)-1%,0))</f>
        <v>0</v>
      </c>
      <c r="T204" s="478">
        <f>IF(INDEX(Input!$1:$1048576,T$93,$C204*2+MIN($B204,1)+5)="Market",BF202-1%,MAX(INDEX(Input!$1:$1048576,T$93,$C204*2+MIN($B204,1)+5)-1%,0))</f>
        <v>0</v>
      </c>
      <c r="U204" s="478">
        <f>IF(INDEX(Input!$1:$1048576,U$93,$C204*2+MIN($B204,1)+5)="Market",BG202-1%,MAX(INDEX(Input!$1:$1048576,U$93,$C204*2+MIN($B204,1)+5)-1%,0))</f>
        <v>0</v>
      </c>
      <c r="V204" s="478">
        <f>IF(INDEX(Input!$1:$1048576,V$93,$C204*2+MIN($B204,1)+5)="Market",BH202-1%,MAX(INDEX(Input!$1:$1048576,V$93,$C204*2+MIN($B204,1)+5)-IF(INDEX(Input!$1:$1048576,U$93,$C204*2+MIN($B204,1)+5)=0,0,1%),0))</f>
        <v>1.9E-2</v>
      </c>
      <c r="W204" s="885">
        <f>INDEX(Input!$1:$1048576,W$93,$C204*2+MIN($B204,1)+5)</f>
        <v>3.9E-2</v>
      </c>
      <c r="X204" s="476" t="str">
        <f>INDEX(Input!$1:$1048576,X$93,$C204*2+MIN($B204,1)+5)</f>
        <v>Y</v>
      </c>
      <c r="Y204" s="150">
        <f>INDEX(Input!$1:$1048576,Y$93,$C204*2+MIN($B204,1)+5)</f>
        <v>463</v>
      </c>
      <c r="Z204" s="30">
        <f>INDEX(Input!$1:$1048576,Z$93,$C204*2+MIN($B204,1)+5)</f>
        <v>0</v>
      </c>
      <c r="AA204" s="115">
        <f>INDEX(Input!$1:$1048576,AA$93,$C204*2+MIN($B204,1)+5)</f>
        <v>1000</v>
      </c>
      <c r="AB204" s="118">
        <f>INDEX(Input!$1:$1048576,AB$93,$C204*2+MIN($B204,1)+5)</f>
        <v>0.27</v>
      </c>
      <c r="AC204" s="115">
        <f>INDEX(Input!$1:$1048576,AC$93,$C204*2+MIN($B204,1)+5)</f>
        <v>1000</v>
      </c>
      <c r="AD204" s="118">
        <f>INDEX(Input!$1:$1048576,AD$93,$C204*2+MIN($B204,1)+5)</f>
        <v>0.27</v>
      </c>
      <c r="AE204" s="115">
        <f>INDEX(Input!$1:$1048576,AE$93,$C204*2+MIN($B204,1)+5)</f>
        <v>500</v>
      </c>
      <c r="AF204" s="118">
        <f>INDEX(Input!$1:$1048576,AF$93,$C204*2+MIN($B204,1)+5)</f>
        <v>4.8000000000000001E-2</v>
      </c>
      <c r="AG204" s="115">
        <f>INDEX(Input!$1:$1048576,AG$93,$C204*2+MIN($B204,1)+5)</f>
        <v>0</v>
      </c>
      <c r="AH204" s="118">
        <f>INDEX(Input!$1:$1048576,AH$93,$C204*2+MIN($B204,1)+5)</f>
        <v>0.94599999999999995</v>
      </c>
      <c r="AI204" s="115">
        <f>INDEX(Input!$1:$1048576,AI$93,$C204*2+MIN($B204,1)+5)</f>
        <v>0</v>
      </c>
      <c r="AJ204" s="118">
        <f>INDEX(Input!$1:$1048576,AJ$93,$C204*2+MIN($B204,1)+5)</f>
        <v>0.27</v>
      </c>
      <c r="AK204" s="150">
        <f>ROUND(INDEX(Input!$1:$1048576,AK$93,$C203*2+MIN($B204,1)+5)+(Y204-VLOOKUP($C204*1000+1,$A:$HH,Y$92,FALSE)),0)</f>
        <v>3384</v>
      </c>
      <c r="AL204" s="150">
        <f>ROUND(INDEX(Input!$1:$1048576,AL$93,$C203*2+MIN($B204,1)+5)-(Y204-VLOOKUP($C204*1000+1,$A:$HH,Y$92,FALSE))/36,0)</f>
        <v>3384</v>
      </c>
      <c r="AM204" s="32" t="str">
        <f t="shared" si="663"/>
        <v>3.5/4/4.5/4.5</v>
      </c>
      <c r="AN204" s="32" t="str">
        <f t="shared" si="664"/>
        <v>$500 + 0/0/0/1.9/3.9</v>
      </c>
      <c r="AO204" s="32" t="str">
        <f t="shared" si="665"/>
        <v>0/0/0/1.9/3.9</v>
      </c>
      <c r="AP204" s="32" t="str">
        <f t="shared" si="498"/>
        <v>0/0.9/1.9/3.9</v>
      </c>
      <c r="AQ204" s="536">
        <f t="shared" si="497"/>
        <v>294.33950123658656</v>
      </c>
      <c r="AR204" s="32"/>
      <c r="AS204" s="302"/>
      <c r="AT204" s="3">
        <f t="shared" si="106"/>
        <v>4</v>
      </c>
      <c r="AU204" s="41" t="s">
        <v>121</v>
      </c>
      <c r="AV204" s="41" t="s">
        <v>116</v>
      </c>
      <c r="AW204" s="41" t="str">
        <f>INDEX(Input!$1:$1048576,AW$93,$C204*2+6)</f>
        <v>Kia</v>
      </c>
      <c r="AX204" s="41" t="str">
        <f>INDEX(Input!$1:$1048576,AX$93,$C204*2+6)</f>
        <v>Kia-LR - L2</v>
      </c>
      <c r="AY204" s="41" t="str">
        <f>IF(LEN(D204)=0,"",INDEX(Input!$1:$1048576,AY$93,$C204*2+6))</f>
        <v>Compact SUV (52)</v>
      </c>
      <c r="AZ204" s="41" t="str">
        <f>INDEX(Input!$1:$1048576,AZ$93,$C204*2+6)</f>
        <v>Kia Soul</v>
      </c>
      <c r="BA204" s="3">
        <f>INDEX(Input!$1:$1048576,BA$93,$C204*2+6)</f>
        <v>2020</v>
      </c>
      <c r="BB204" s="128">
        <f>INDEX(Input!$1:$1048576,BB$93,$C204*2+6)</f>
        <v>1</v>
      </c>
      <c r="BC204" s="128">
        <f>INDEX(Input!$1:$1048576,BC$93,$C204*2+6)</f>
        <v>0.7</v>
      </c>
      <c r="BD204" s="1">
        <f>INDEX(Input!$1:$1048576,BD$93,$C204*2+6)</f>
        <v>4.4999999999999998E-2</v>
      </c>
      <c r="BE204" s="1">
        <f>INDEX(Input!$1:$1048576,BE$93,$C204*2+6)</f>
        <v>4.4999999999999998E-2</v>
      </c>
      <c r="BF204" s="1">
        <f>INDEX(Input!$1:$1048576,BF$93,$C204*2+6)</f>
        <v>0.05</v>
      </c>
      <c r="BG204" s="1">
        <f>INDEX(Input!$1:$1048576,BG$93,$C204*2+6)</f>
        <v>5.45E-2</v>
      </c>
      <c r="BH204" s="1">
        <f>INDEX(Input!$1:$1048576,BH$93,$C204*2+6)</f>
        <v>5.45E-2</v>
      </c>
      <c r="BI204" s="1">
        <f>INDEX(Input!$1:$1048576,BI$93,$C204*2+6)</f>
        <v>0.05</v>
      </c>
      <c r="BJ204" s="1">
        <f>INDEX(Input!$1:$1048576,BJ$93,$C204*2+6)</f>
        <v>0.05</v>
      </c>
      <c r="BK204" s="1">
        <f>INDEX(Input!$1:$1048576,BK$93,$C204*2+6)</f>
        <v>0.05</v>
      </c>
      <c r="BL204" s="1">
        <f>INDEX(Input!$1:$1048576,BL$93,$C204*2+6)</f>
        <v>5.5E-2</v>
      </c>
      <c r="BM204" s="1">
        <f>INDEX(Input!$1:$1048576,BM$93,$C204*2+6)</f>
        <v>0.06</v>
      </c>
      <c r="BN204" s="1">
        <f>INDEX(Input!$1:$1048576,BN$93,$C204*2+6)</f>
        <v>4.4999999999999998E-2</v>
      </c>
      <c r="BO204" s="1">
        <f>INDEX(Input!$1:$1048576,BO$93,$C204*2+6)</f>
        <v>4.4999999999999998E-2</v>
      </c>
      <c r="BP204" s="1">
        <f>INDEX(Input!$1:$1048576,BP$93,$C204*2+6)</f>
        <v>0.05</v>
      </c>
      <c r="BQ204" s="1">
        <f>INDEX(Input!$1:$1048576,BQ$93,$C204*2+6)</f>
        <v>5.45E-2</v>
      </c>
      <c r="BR204" s="1">
        <f>INDEX(Input!$1:$1048576,BR$93,$C204*2+6)</f>
        <v>5.45E-2</v>
      </c>
      <c r="BS204" s="1">
        <f>INDEX(Input!$1:$1048576,BS$93,$C204*2+6)</f>
        <v>0.05</v>
      </c>
      <c r="BT204" s="1">
        <f>INDEX(Input!$1:$1048576,BT$93,$C204*2+6)</f>
        <v>0.05</v>
      </c>
      <c r="BU204" s="1">
        <f>INDEX(Input!$1:$1048576,BU$93,$C204*2+6)</f>
        <v>0.05</v>
      </c>
      <c r="BV204" s="1">
        <f>INDEX(Input!$1:$1048576,BV$93,$C204*2+6)</f>
        <v>5.5E-2</v>
      </c>
      <c r="BW204" s="1">
        <f>INDEX(Input!$1:$1048576,BW$93,$C204*2+6)</f>
        <v>0.06</v>
      </c>
      <c r="BX204" s="127">
        <f>INDEX(Input!$1:$1048576,BX$93,$C204*2+6)</f>
        <v>19985</v>
      </c>
      <c r="BY204" s="20">
        <f>INDEX(Input!$1:$1048576,BY$93,$C204*2+6)</f>
        <v>0.1</v>
      </c>
      <c r="BZ204" s="20">
        <f>INDEX(Input!$1:$1048576,BZ$93,$C204*2+6)</f>
        <v>0.1</v>
      </c>
      <c r="CA204" s="20">
        <f>INDEX(Input!$1:$1048576,CA$93,$C204*2+6)</f>
        <v>0.1</v>
      </c>
      <c r="CB204" s="20">
        <f>INDEX(Input!$1:$1048576,CB$93,$C204*2+6)</f>
        <v>0.1</v>
      </c>
      <c r="CC204" s="20">
        <f>INDEX(Input!$1:$1048576,CC$93,$C204*2+6)</f>
        <v>0.1</v>
      </c>
      <c r="CD204" s="384">
        <f>INDEX(Input!$1:$1048576,CD$93,$C204*2+6)</f>
        <v>0.1</v>
      </c>
      <c r="CE204" s="384">
        <f>INDEX(Input!$1:$1048576,CE$93,$C204*2+6)</f>
        <v>0.1</v>
      </c>
      <c r="CF204" s="384">
        <f>INDEX(Input!$1:$1048576,CF$93,$C204*2+6)</f>
        <v>0.1</v>
      </c>
      <c r="CG204" s="384">
        <f>INDEX(Input!$1:$1048576,CG$93,$C204*2+6)</f>
        <v>0.1</v>
      </c>
      <c r="CH204" s="384">
        <f>INDEX(Input!$1:$1048576,CH$93,$C204*2+6)</f>
        <v>0.1</v>
      </c>
      <c r="CI204" s="304">
        <f t="shared" si="499"/>
        <v>1270</v>
      </c>
      <c r="CJ204" s="16" t="str">
        <f>INDEX(Input!$1:$1048576,CJ$93,$C204*2+6)</f>
        <v>N</v>
      </c>
      <c r="CK204" s="1">
        <f t="shared" si="500"/>
        <v>3.4999999999999996E-2</v>
      </c>
      <c r="CL204" s="1">
        <f t="shared" si="501"/>
        <v>0.04</v>
      </c>
      <c r="CM204" s="1">
        <f t="shared" si="502"/>
        <v>4.4499999999999998E-2</v>
      </c>
      <c r="CN204" s="1">
        <f t="shared" si="503"/>
        <v>4.4499999999999998E-2</v>
      </c>
      <c r="CO204" s="1" t="str">
        <f t="shared" si="504"/>
        <v>Market</v>
      </c>
      <c r="CP204" s="304">
        <f t="shared" si="505"/>
        <v>500</v>
      </c>
      <c r="CQ204" s="1">
        <f t="shared" si="506"/>
        <v>0</v>
      </c>
      <c r="CR204" s="1">
        <f t="shared" si="507"/>
        <v>0</v>
      </c>
      <c r="CS204" s="1">
        <f t="shared" si="508"/>
        <v>0</v>
      </c>
      <c r="CT204" s="1">
        <f t="shared" si="509"/>
        <v>1.9E-2</v>
      </c>
      <c r="CU204" s="1">
        <f t="shared" si="510"/>
        <v>3.9E-2</v>
      </c>
      <c r="CV204" s="304">
        <f t="shared" si="511"/>
        <v>733</v>
      </c>
      <c r="CW204" s="20" t="s">
        <v>122</v>
      </c>
      <c r="CX204" s="20" t="s">
        <v>122</v>
      </c>
      <c r="CY204" s="20" t="s">
        <v>122</v>
      </c>
      <c r="CZ204" s="20" t="s">
        <v>122</v>
      </c>
      <c r="DA204" s="20" t="s">
        <v>122</v>
      </c>
      <c r="DB204" s="503">
        <f t="shared" si="512"/>
        <v>24</v>
      </c>
      <c r="DC204" s="127">
        <v>0</v>
      </c>
      <c r="DD204" s="127">
        <v>0</v>
      </c>
      <c r="DE204" s="127">
        <v>0</v>
      </c>
      <c r="DF204" s="127">
        <v>0</v>
      </c>
      <c r="DG204" s="127">
        <v>0</v>
      </c>
      <c r="DH204" s="127">
        <v>0</v>
      </c>
      <c r="DI204" s="127">
        <v>0</v>
      </c>
      <c r="DJ204" s="127">
        <v>0</v>
      </c>
      <c r="DK204" s="127">
        <v>0</v>
      </c>
      <c r="DL204" s="127">
        <v>0</v>
      </c>
      <c r="DM204" s="304">
        <f>INDEX(Input!$1:$1048576,DM$93,$C204*2+6)</f>
        <v>21036.84210526316</v>
      </c>
      <c r="DN204" s="20">
        <v>0</v>
      </c>
      <c r="DO204" s="20">
        <v>0</v>
      </c>
      <c r="DP204" s="20">
        <v>0</v>
      </c>
      <c r="DQ204" s="20">
        <v>0</v>
      </c>
      <c r="DR204" s="20">
        <v>0</v>
      </c>
      <c r="DS204" s="20">
        <f>INDEX(Input!$1:$1048576,DS$93,$C204*2+6)</f>
        <v>0.6</v>
      </c>
      <c r="DT204" s="20">
        <f>INDEX(Input!$1:$1048576,DT$93,$C204*2+6)</f>
        <v>0.55000000000000004</v>
      </c>
      <c r="DU204" s="20">
        <f>INDEX(Input!$1:$1048576,DU$93,$C204*2+6)</f>
        <v>0.52</v>
      </c>
      <c r="DV204" s="20">
        <f>INDEX(Input!$1:$1048576,DV$93,$C204*2+6)</f>
        <v>0.5</v>
      </c>
      <c r="DW204" s="20">
        <f>INDEX(Input!$1:$1048576,DW$93,$C204*2+6)</f>
        <v>0.45</v>
      </c>
      <c r="DX204" s="20"/>
      <c r="DY204" s="7">
        <v>9.0511819270086155E-2</v>
      </c>
      <c r="DZ204" s="7">
        <v>0</v>
      </c>
      <c r="EA204" s="7">
        <v>0.64276053486773066</v>
      </c>
      <c r="EB204" s="7">
        <v>0</v>
      </c>
      <c r="EC204" s="7">
        <v>0</v>
      </c>
      <c r="ED204" s="7">
        <v>0</v>
      </c>
      <c r="EE204" s="7">
        <v>0</v>
      </c>
      <c r="EF204" s="7">
        <v>0</v>
      </c>
      <c r="EG204" s="7">
        <v>0</v>
      </c>
      <c r="EH204" s="7">
        <v>1.4256788357477143E-2</v>
      </c>
      <c r="EI204" s="7">
        <v>4.0575583209437875E-2</v>
      </c>
      <c r="EJ204" s="7">
        <v>0.30719333968421197</v>
      </c>
      <c r="EK204" s="7">
        <v>0.52676510891586181</v>
      </c>
      <c r="EL204" s="7">
        <v>0.11120917983301111</v>
      </c>
      <c r="EM204" s="7">
        <v>7.3297089024716253E-2</v>
      </c>
      <c r="EN204" s="7">
        <v>6.5453535069299934E-2</v>
      </c>
      <c r="EO204" s="7">
        <v>0.73143799446302304</v>
      </c>
      <c r="EP204" s="7">
        <v>8.7985940893365089E-2</v>
      </c>
      <c r="EQ204" s="7">
        <v>7.5055667176230662E-2</v>
      </c>
      <c r="ER204" s="7">
        <v>4.0066862398081222E-2</v>
      </c>
      <c r="ES204" s="7">
        <v>0.19343055683746707</v>
      </c>
      <c r="ET204" s="7">
        <v>0.26672764586218323</v>
      </c>
      <c r="EU204" s="6">
        <v>1252</v>
      </c>
      <c r="EV204" s="6">
        <v>0</v>
      </c>
      <c r="EW204" s="6">
        <v>1252</v>
      </c>
      <c r="EX204" s="6">
        <v>0</v>
      </c>
      <c r="EY204" s="6">
        <v>2511.9444013332118</v>
      </c>
      <c r="EZ204" s="6">
        <v>919</v>
      </c>
      <c r="FA204" s="6">
        <v>0</v>
      </c>
      <c r="FB204" s="6">
        <v>0</v>
      </c>
      <c r="FC204" s="6">
        <v>0</v>
      </c>
      <c r="FD204" s="6">
        <v>0</v>
      </c>
      <c r="FE204" s="6">
        <v>0</v>
      </c>
      <c r="FF204" s="6">
        <v>0</v>
      </c>
      <c r="FG204" s="6">
        <v>0</v>
      </c>
      <c r="FH204" s="6">
        <v>1173.7280845993996</v>
      </c>
      <c r="FI204" s="6">
        <v>1553.9796069512397</v>
      </c>
      <c r="FJ204" s="6">
        <v>2101.211011744741</v>
      </c>
      <c r="FK204" s="6">
        <v>1772.7139978623227</v>
      </c>
      <c r="FL204" s="6">
        <v>907.07682140966301</v>
      </c>
      <c r="FM204" s="6">
        <v>1759.9444013332118</v>
      </c>
      <c r="FN204" s="6">
        <v>0</v>
      </c>
      <c r="FO204" s="6">
        <v>0</v>
      </c>
      <c r="FP204" s="6">
        <v>0</v>
      </c>
      <c r="FQ204" s="6">
        <v>0</v>
      </c>
      <c r="FR204" s="6">
        <v>0</v>
      </c>
      <c r="FS204" s="6">
        <v>0</v>
      </c>
      <c r="FT204" s="7">
        <v>0.73327235413781677</v>
      </c>
      <c r="FU204" s="7">
        <v>7.3297089024716253E-2</v>
      </c>
      <c r="FV204" s="7">
        <v>0.19343055683746707</v>
      </c>
      <c r="FW204" s="6">
        <v>1252</v>
      </c>
      <c r="FX204" s="6">
        <v>2511.9444013332118</v>
      </c>
      <c r="FY204" s="6">
        <v>919</v>
      </c>
      <c r="FZ204" s="6">
        <v>1817.4615072224267</v>
      </c>
      <c r="GA204" s="6">
        <v>1279.9378815238369</v>
      </c>
      <c r="GB204" s="6">
        <v>18705.062118476162</v>
      </c>
      <c r="GC204" s="7">
        <v>1.804905384453976E-2</v>
      </c>
      <c r="GD204" s="7">
        <v>1.7165980830609572E-2</v>
      </c>
      <c r="GE204" s="7"/>
      <c r="GF204" s="7"/>
      <c r="GG204" s="7">
        <v>-4.8926277329342537E-2</v>
      </c>
      <c r="GH204" s="42">
        <v>1.8190673036113134</v>
      </c>
      <c r="GI204" s="6">
        <v>12266.33731838066</v>
      </c>
      <c r="GJ204" s="14">
        <v>0.50394797582841711</v>
      </c>
      <c r="GK204" s="14">
        <v>0.50887573065309721</v>
      </c>
      <c r="GL204" s="14">
        <v>0.49605202417158267</v>
      </c>
      <c r="GM204" s="14">
        <v>0.49112426934690245</v>
      </c>
      <c r="GO204" s="5">
        <v>343.14810671672558</v>
      </c>
      <c r="GP204" s="5">
        <v>319.26233518755981</v>
      </c>
      <c r="GQ204" s="5">
        <v>527.04185700808205</v>
      </c>
      <c r="GR204" s="5">
        <v>406.11816631274644</v>
      </c>
      <c r="GS204" s="5">
        <v>334.91388563620632</v>
      </c>
      <c r="GT204" s="5">
        <v>285.1049551080626</v>
      </c>
      <c r="GU204" s="5">
        <v>258.04012322764959</v>
      </c>
      <c r="GV204" s="39" t="s">
        <v>392</v>
      </c>
      <c r="GW204" s="5">
        <v>478.73611111111109</v>
      </c>
      <c r="GX204" s="5">
        <v>359.05208333333331</v>
      </c>
      <c r="GY204" s="5">
        <v>287.24166666666667</v>
      </c>
      <c r="GZ204" s="5">
        <v>253.46045905788822</v>
      </c>
      <c r="HA204" s="5">
        <v>234.78254399924478</v>
      </c>
      <c r="HB204" s="39">
        <v>269.25681445755566</v>
      </c>
      <c r="HC204" s="5">
        <v>247.078125</v>
      </c>
      <c r="HD204" s="5">
        <v>212.36302997076018</v>
      </c>
      <c r="HE204" s="5">
        <v>215.48418100539809</v>
      </c>
      <c r="HF204" s="5">
        <v>199.65688048245613</v>
      </c>
      <c r="HG204" s="5">
        <v>193.01721491228068</v>
      </c>
      <c r="HH204" s="39">
        <v>213.18107843413111</v>
      </c>
      <c r="HI204" s="16"/>
      <c r="HJ204" s="19" t="str">
        <f t="shared" si="685"/>
        <v>On</v>
      </c>
      <c r="HK204" s="1" t="str">
        <f t="shared" si="685"/>
        <v>On</v>
      </c>
      <c r="HL204" s="16"/>
      <c r="HM204" s="639">
        <f t="shared" si="634"/>
        <v>1.2768706344444866E-2</v>
      </c>
      <c r="HN204" s="639">
        <f t="shared" si="635"/>
        <v>9.795534288915453E-4</v>
      </c>
      <c r="HO204" s="639">
        <f t="shared" si="636"/>
        <v>3.3583061774515237E-3</v>
      </c>
      <c r="HP204" s="644">
        <f>(FT204*$GD204-HM204)/$JF204*INDEX(Input!$1:$1048576,$JG$93,$C204*2+6)</f>
        <v>-13.178529962389108</v>
      </c>
      <c r="HQ204" s="644">
        <f>(FU204*$GD204-HN204)/$JF204*INDEX(Input!$1:$1048576,$JG$93,$C204*2+6)</f>
        <v>20.248254695331973</v>
      </c>
      <c r="HR204" s="644">
        <f>(FV204*$GD204-HO204)/$JF204*INDEX(Input!$1:$1048576,$JG$93,$C204*2+6)</f>
        <v>-2.7525113406843063</v>
      </c>
      <c r="HS204" s="644">
        <f t="shared" si="686"/>
        <v>-0.55050226813686132</v>
      </c>
      <c r="HT204" s="644">
        <f t="shared" si="638"/>
        <v>40.663272823016683</v>
      </c>
      <c r="HU204" s="644">
        <f t="shared" si="639"/>
        <v>0.55050226813686132</v>
      </c>
      <c r="HV204" s="648">
        <f t="shared" si="640"/>
        <v>0</v>
      </c>
      <c r="HW204" s="648">
        <f t="shared" si="641"/>
        <v>0</v>
      </c>
      <c r="HX204" s="648">
        <f t="shared" si="642"/>
        <v>0</v>
      </c>
      <c r="HY204" s="644">
        <f>INDEX(Input!$1:$1048576,HY$93,$C204*2+6)*INDEX(Input!$1:$1048576,$JG$93,$C204*2+6)</f>
        <v>451</v>
      </c>
      <c r="HZ204" s="644">
        <f>INDEX(Input!$1:$1048576,HZ$93,$C204*2+6)*INDEX(Input!$1:$1048576,$JG$93,$C204*2+6)</f>
        <v>577</v>
      </c>
      <c r="IA204" s="644">
        <f>INDEX(Input!$1:$1048576,IA$93,$C204*2+6)*INDEX(Input!$1:$1048576,$JG$93,$C204*2+6)</f>
        <v>215</v>
      </c>
      <c r="IB204" s="644">
        <f t="shared" si="666"/>
        <v>437.27096776947405</v>
      </c>
      <c r="IC204" s="644">
        <f t="shared" si="667"/>
        <v>637.91152751834863</v>
      </c>
      <c r="ID204" s="644">
        <f>IF(AND(INDEX(Input!$1:$1048576,IA$93,$C204*2+7)="TOS",Y204&lt;=INDEX(Y:Y,MATCH(C204*1000+2,A:A))),0,1)*MAX(IA204+HR204+HU204+HX204,0%)</f>
        <v>212.79799092745256</v>
      </c>
      <c r="IE204" s="128">
        <f t="shared" si="687"/>
        <v>0.33950123658658277</v>
      </c>
      <c r="IF204" s="128">
        <f t="shared" si="643"/>
        <v>0.49528042881522893</v>
      </c>
      <c r="IG204" s="128">
        <f t="shared" si="644"/>
        <v>0.16521833459818827</v>
      </c>
      <c r="IH204" s="21"/>
      <c r="II204" s="19">
        <f t="shared" si="645"/>
        <v>1252</v>
      </c>
      <c r="IJ204" s="19">
        <f t="shared" si="646"/>
        <v>2011.9658773055378</v>
      </c>
      <c r="IK204" s="19">
        <f t="shared" si="647"/>
        <v>919</v>
      </c>
      <c r="IL204" s="19">
        <f t="shared" si="669"/>
        <v>0</v>
      </c>
      <c r="IM204" s="19">
        <f t="shared" si="648"/>
        <v>499.97852402767398</v>
      </c>
      <c r="IN204" s="19">
        <f t="shared" si="649"/>
        <v>0</v>
      </c>
      <c r="IO204" s="39">
        <f t="shared" si="650"/>
        <v>0</v>
      </c>
      <c r="IP204" s="39">
        <f t="shared" si="651"/>
        <v>0</v>
      </c>
      <c r="IQ204" s="39">
        <f t="shared" si="652"/>
        <v>0</v>
      </c>
      <c r="IR204" s="39">
        <v>0</v>
      </c>
      <c r="IS204" s="39">
        <v>0</v>
      </c>
      <c r="IT204" s="39">
        <v>0</v>
      </c>
      <c r="IU204" s="39">
        <v>0</v>
      </c>
      <c r="IV204" s="39">
        <v>0</v>
      </c>
      <c r="IW204" s="39">
        <v>0</v>
      </c>
      <c r="IX204" s="39">
        <f>INDEX(Input!$1:$1048576,IX$93,$C204*2+6)+INDEX(Input!$1:$1048576,IX$94,$C204*2+6)</f>
        <v>1294</v>
      </c>
      <c r="IY204" s="39">
        <f>INDEX(Input!$1:$1048576,IY$93,$C204*2+6)+INDEX(Input!$1:$1048576,IY$94,$C204*2+6)</f>
        <v>2154.0624533823611</v>
      </c>
      <c r="IZ204" s="39">
        <f>INDEX(Input!$1:$1048576,IZ$93,$C204*2+6)+INDEX(Input!$1:$1048576,IZ$94,$C204*2+6)</f>
        <v>3677.7164157747848</v>
      </c>
      <c r="JA204" s="19">
        <f t="shared" si="670"/>
        <v>1294</v>
      </c>
      <c r="JB204" s="19">
        <f t="shared" si="671"/>
        <v>2654.0409774100353</v>
      </c>
      <c r="JC204" s="19">
        <f t="shared" si="672"/>
        <v>3677.7164157747848</v>
      </c>
      <c r="JD204" s="19">
        <f t="shared" si="673"/>
        <v>2361.4353348665977</v>
      </c>
      <c r="JE204" s="21"/>
      <c r="JF204" s="1">
        <f t="shared" si="653"/>
        <v>1.7106565950787935E-2</v>
      </c>
      <c r="JG204" s="15">
        <f>INDEX(Input!$1:$1048576,JG$93,$C204*2+6)/(1+VLOOKUP(C204*1000+INDEX(Input!$1:$1048576,JG$93+1,$C204*2+6),$A:$KK,$JK$92,FALSE))</f>
        <v>1243</v>
      </c>
      <c r="JH204" s="1">
        <f t="shared" si="674"/>
        <v>3.4732207500068855E-3</v>
      </c>
      <c r="JI204" s="1">
        <f t="shared" si="675"/>
        <v>3.2713815625918491E-2</v>
      </c>
      <c r="JJ204" s="1">
        <f t="shared" si="676"/>
        <v>0</v>
      </c>
      <c r="JK204" s="1">
        <f t="shared" si="677"/>
        <v>3.618703637592538E-2</v>
      </c>
      <c r="JL204" s="15">
        <f t="shared" si="678"/>
        <v>44.980486215275249</v>
      </c>
      <c r="JM204" s="15">
        <f t="shared" si="679"/>
        <v>1287.9804862152753</v>
      </c>
      <c r="JN204" s="21"/>
      <c r="JO204" s="19">
        <f>INDEX(Input!$1:$1048576,JO$93,$C204*2+6)</f>
        <v>5995.5</v>
      </c>
      <c r="JP204" s="19">
        <f>INDEX(Input!$1:$1048576,JP$93,$C204*2+6)</f>
        <v>2105.548724853742</v>
      </c>
      <c r="JQ204" s="39">
        <f t="shared" si="688"/>
        <v>3634.0646651334023</v>
      </c>
      <c r="JR204" s="39">
        <f t="shared" si="689"/>
        <v>255.88661001285573</v>
      </c>
      <c r="JS204" s="39">
        <f t="shared" si="690"/>
        <v>3.0414826307674119</v>
      </c>
      <c r="JT204" s="39">
        <f t="shared" si="680"/>
        <v>0.42428556577421073</v>
      </c>
      <c r="JU204" s="385">
        <f>(JQ204*JM204-INDEX(Input!$1:$1048576,Input!A$18,$C204*2+6)*JL204*INDEX(Input!$1:$1048576,Input!A$19,$C204*2+6))/1000000</f>
        <v>4.6806043743362702</v>
      </c>
      <c r="JV204" s="39">
        <f t="shared" si="656"/>
        <v>-0.15460506067052826</v>
      </c>
      <c r="JW204" s="1">
        <f>JV204/(JU204-JV204)</f>
        <v>-3.19748426099584E-2</v>
      </c>
      <c r="JX204" s="19">
        <f t="shared" ref="JX204:JX267" si="694">IF(JL204=0,0,JT204/JL204)*1000000</f>
        <v>9432.6585031471841</v>
      </c>
      <c r="JZ204" s="468">
        <f>(HZ204+HQ204)/SUM(HP204:HR204,HY204:IA204)*IM204</f>
        <v>239.40285410521997</v>
      </c>
      <c r="KA204" s="469">
        <f>JH204/(JZ204/BX204)</f>
        <v>0.28993938668074609</v>
      </c>
      <c r="KB204" s="469">
        <f t="shared" si="691"/>
        <v>2.5660492421988774</v>
      </c>
      <c r="KC204" s="469">
        <f>MIN(KE203+0.5,KE203*1.1)</f>
        <v>2.7725770832093826</v>
      </c>
      <c r="KD204" s="469">
        <f>KC204+2</f>
        <v>4.7725770832093826</v>
      </c>
      <c r="KE204" s="469">
        <f>MIN(MAX(KA204,KC204),KD204)</f>
        <v>2.7725770832093826</v>
      </c>
      <c r="KF204" s="470">
        <f>A204</f>
        <v>2004</v>
      </c>
      <c r="KG204" s="471">
        <f>IF(HK204="Off",0,(JH204/KA204*KE204-JH204)/MAX(IL204:IN204)*1000)</f>
        <v>5.9482219651403496E-2</v>
      </c>
      <c r="KH204" s="472"/>
      <c r="KI204" s="473">
        <f t="shared" si="692"/>
        <v>-13.729032230525945</v>
      </c>
      <c r="KJ204" s="473">
        <f t="shared" si="681"/>
        <v>60.911527518348635</v>
      </c>
      <c r="KK204" s="473">
        <f t="shared" si="682"/>
        <v>-2.2020090725474404</v>
      </c>
      <c r="KL204" s="472" t="str">
        <f>IF(OR(KI204&gt;0,KK204&gt;0),"Error - Adjust TR","ok")</f>
        <v>ok</v>
      </c>
      <c r="KN204" s="544">
        <f t="shared" ref="KN204:KN267" si="695">KM204+(KN203-KM203)</f>
        <v>2002</v>
      </c>
      <c r="KO204" s="541">
        <f t="shared" si="657"/>
        <v>3.008208525138345E-2</v>
      </c>
      <c r="KP204" s="546">
        <f t="shared" si="658"/>
        <v>208.1072898525743</v>
      </c>
      <c r="KQ204" s="546">
        <f t="shared" si="659"/>
        <v>217.7549954331248</v>
      </c>
      <c r="KR204" s="548">
        <f t="shared" si="660"/>
        <v>2.5789778887926205</v>
      </c>
      <c r="KS204" s="548">
        <f t="shared" si="661"/>
        <v>2.4647154383706176</v>
      </c>
      <c r="KT204" s="473">
        <f t="shared" si="693"/>
        <v>843.26993010479111</v>
      </c>
      <c r="KU204" s="663">
        <f t="shared" si="683"/>
        <v>4.4631276532068735</v>
      </c>
      <c r="KV204" s="117"/>
    </row>
    <row r="205" spans="1:310" s="26" customFormat="1" ht="15">
      <c r="A205" s="561">
        <f t="shared" si="662"/>
        <v>2005</v>
      </c>
      <c r="B205" s="561">
        <f t="shared" si="684"/>
        <v>5</v>
      </c>
      <c r="C205" s="561">
        <f t="shared" si="105"/>
        <v>2</v>
      </c>
      <c r="D205" s="561" t="s">
        <v>568</v>
      </c>
      <c r="E205" s="115">
        <f>INDEX(Input!$1:$1048576,E$93,$C205*2+MIN($B205,1)+5)</f>
        <v>1000</v>
      </c>
      <c r="F205" s="115">
        <f>INDEX(Input!$1:$1048576,F$93,$C205*2+MIN($B205,1)+5)</f>
        <v>0</v>
      </c>
      <c r="G205" s="115">
        <f>INDEX(Input!$1:$1048576,G$93,$C205*2+MIN($B205,1)+5)</f>
        <v>0</v>
      </c>
      <c r="H205" s="115">
        <f>INDEX(Input!$1:$1048576,H$93,$C205*2+MIN($B205,1)+5)</f>
        <v>0</v>
      </c>
      <c r="I205" s="118">
        <f>INDEX(Input!$1:$1048576,I$93,$C205*2+MIN($B205,1)+5)</f>
        <v>0.7</v>
      </c>
      <c r="J205" s="118" t="str">
        <f>INDEX(Input!$1:$1048576,J$93,$C205*2+MIN($B205,1)+5)</f>
        <v>Market</v>
      </c>
      <c r="K205" s="118" t="str">
        <f>INDEX(Input!$1:$1048576,K$93,$C205*2+MIN($B205,1)+5)</f>
        <v>Market</v>
      </c>
      <c r="L205" s="118" t="str">
        <f>INDEX(Input!$1:$1048576,L$93,$C205*2+MIN($B205,1)+5)</f>
        <v>Market</v>
      </c>
      <c r="M205" s="118" t="str">
        <f>INDEX(Input!$1:$1048576,M$93,$C205*2+MIN($B205,1)+5)</f>
        <v>Market</v>
      </c>
      <c r="N205" s="118" t="str">
        <f>INDEX(Input!$1:$1048576,N$93,$C205*2+MIN($B205,1)+5)</f>
        <v>Market</v>
      </c>
      <c r="O205" s="118" t="str">
        <f>INDEX(Input!$1:$1048576,O$93,$C205*2+MIN($B205,1)+5)</f>
        <v>Market</v>
      </c>
      <c r="P205" s="118" t="str">
        <f>INDEX(Input!$1:$1048576,P$93,$C205*2+MIN($B205,1)+5)</f>
        <v>N</v>
      </c>
      <c r="Q205" s="30">
        <f>INDEX(Input!$1:$1048576,Q$93,$C205*2+MIN($B205,1)+5)</f>
        <v>0</v>
      </c>
      <c r="R205" s="383">
        <f>INDEX(Input!$1:$1048576,R$93,$C205*2+MIN($B205,1)+5)</f>
        <v>0</v>
      </c>
      <c r="S205" s="383">
        <f>INDEX(Input!$1:$1048576,S$93,$C205*2+MIN($B205,1)+5)</f>
        <v>0</v>
      </c>
      <c r="T205" s="383">
        <f>INDEX(Input!$1:$1048576,T$93,$C205*2+MIN($B205,1)+5)</f>
        <v>0</v>
      </c>
      <c r="U205" s="383">
        <f>INDEX(Input!$1:$1048576,U$93,$C205*2+MIN($B205,1)+5)</f>
        <v>0</v>
      </c>
      <c r="V205" s="383">
        <f>INDEX(Input!$1:$1048576,V$93,$C205*2+MIN($B205,1)+5)</f>
        <v>1.9E-2</v>
      </c>
      <c r="W205" s="884">
        <f>INDEX(Input!$1:$1048576,W$93,$C205*2+MIN($B205,1)+5)</f>
        <v>3.9E-2</v>
      </c>
      <c r="X205" s="118" t="str">
        <f>INDEX(Input!$1:$1048576,X$93,$C205*2+MIN($B205,1)+5)</f>
        <v>Y</v>
      </c>
      <c r="Y205" s="475">
        <f>INDEX(Input!$1:$1048576,Y$93,$C205*2+MIN($B205,1)+5)+500</f>
        <v>963</v>
      </c>
      <c r="Z205" s="30">
        <f>INDEX(Input!$1:$1048576,Z$93,$C205*2+MIN($B205,1)+5)</f>
        <v>0</v>
      </c>
      <c r="AA205" s="115">
        <f>INDEX(Input!$1:$1048576,AA$93,$C205*2+MIN($B205,1)+5)</f>
        <v>1000</v>
      </c>
      <c r="AB205" s="118">
        <f>INDEX(Input!$1:$1048576,AB$93,$C205*2+MIN($B205,1)+5)</f>
        <v>0.27</v>
      </c>
      <c r="AC205" s="115">
        <f>INDEX(Input!$1:$1048576,AC$93,$C205*2+MIN($B205,1)+5)</f>
        <v>1000</v>
      </c>
      <c r="AD205" s="118">
        <f>INDEX(Input!$1:$1048576,AD$93,$C205*2+MIN($B205,1)+5)</f>
        <v>0.27</v>
      </c>
      <c r="AE205" s="115">
        <f>INDEX(Input!$1:$1048576,AE$93,$C205*2+MIN($B205,1)+5)</f>
        <v>500</v>
      </c>
      <c r="AF205" s="118">
        <f>INDEX(Input!$1:$1048576,AF$93,$C205*2+MIN($B205,1)+5)</f>
        <v>4.8000000000000001E-2</v>
      </c>
      <c r="AG205" s="115">
        <f>INDEX(Input!$1:$1048576,AG$93,$C205*2+MIN($B205,1)+5)</f>
        <v>0</v>
      </c>
      <c r="AH205" s="118">
        <f>INDEX(Input!$1:$1048576,AH$93,$C205*2+MIN($B205,1)+5)</f>
        <v>0.94599999999999995</v>
      </c>
      <c r="AI205" s="115">
        <f>INDEX(Input!$1:$1048576,AI$93,$C205*2+MIN($B205,1)+5)</f>
        <v>0</v>
      </c>
      <c r="AJ205" s="118">
        <f>INDEX(Input!$1:$1048576,AJ$93,$C205*2+MIN($B205,1)+5)</f>
        <v>0.27</v>
      </c>
      <c r="AK205" s="150">
        <f>ROUND(INDEX(Input!$1:$1048576,AK$93,$C204*2+MIN($B205,1)+5)+(Y205-VLOOKUP($C205*1000+1,$A:$HH,Y$92,FALSE)),0)</f>
        <v>3884</v>
      </c>
      <c r="AL205" s="150">
        <f>ROUND(INDEX(Input!$1:$1048576,AL$93,$C204*2+MIN($B205,1)+5)-(Y205-VLOOKUP($C205*1000+1,$A:$HH,Y$92,FALSE))/36,0)</f>
        <v>3370</v>
      </c>
      <c r="AM205" s="32" t="str">
        <f t="shared" si="663"/>
        <v>std/std/std/std</v>
      </c>
      <c r="AN205" s="32" t="str">
        <f t="shared" si="664"/>
        <v>$0 + 0/0/0/1.9/3.9</v>
      </c>
      <c r="AO205" s="32" t="str">
        <f t="shared" si="665"/>
        <v>0/0/0/1.9/3.9</v>
      </c>
      <c r="AP205" s="32" t="str">
        <f t="shared" si="498"/>
        <v>0/0.9/1.9/3.9</v>
      </c>
      <c r="AQ205" s="536">
        <f t="shared" si="497"/>
        <v>294.32385920632902</v>
      </c>
      <c r="AR205" s="32"/>
      <c r="AS205" s="302"/>
      <c r="AT205" s="3">
        <f t="shared" si="106"/>
        <v>5</v>
      </c>
      <c r="AU205" s="41" t="s">
        <v>121</v>
      </c>
      <c r="AV205" s="41" t="s">
        <v>116</v>
      </c>
      <c r="AW205" s="41" t="str">
        <f>INDEX(Input!$1:$1048576,AW$93,$C205*2+6)</f>
        <v>Kia</v>
      </c>
      <c r="AX205" s="41" t="str">
        <f>INDEX(Input!$1:$1048576,AX$93,$C205*2+6)</f>
        <v>Kia-LR - L2</v>
      </c>
      <c r="AY205" s="41" t="str">
        <f>IF(LEN(D205)=0,"",INDEX(Input!$1:$1048576,AY$93,$C205*2+6))</f>
        <v>Compact SUV (52)</v>
      </c>
      <c r="AZ205" s="41" t="str">
        <f>INDEX(Input!$1:$1048576,AZ$93,$C205*2+6)</f>
        <v>Kia Soul</v>
      </c>
      <c r="BA205" s="3">
        <f>INDEX(Input!$1:$1048576,BA$93,$C205*2+6)</f>
        <v>2020</v>
      </c>
      <c r="BB205" s="128">
        <f>INDEX(Input!$1:$1048576,BB$93,$C205*2+6)</f>
        <v>1</v>
      </c>
      <c r="BC205" s="128">
        <f>INDEX(Input!$1:$1048576,BC$93,$C205*2+6)</f>
        <v>0.7</v>
      </c>
      <c r="BD205" s="1">
        <f>INDEX(Input!$1:$1048576,BD$93,$C205*2+6)</f>
        <v>4.4999999999999998E-2</v>
      </c>
      <c r="BE205" s="1">
        <f>INDEX(Input!$1:$1048576,BE$93,$C205*2+6)</f>
        <v>4.4999999999999998E-2</v>
      </c>
      <c r="BF205" s="1">
        <f>INDEX(Input!$1:$1048576,BF$93,$C205*2+6)</f>
        <v>0.05</v>
      </c>
      <c r="BG205" s="1">
        <f>INDEX(Input!$1:$1048576,BG$93,$C205*2+6)</f>
        <v>5.45E-2</v>
      </c>
      <c r="BH205" s="1">
        <f>INDEX(Input!$1:$1048576,BH$93,$C205*2+6)</f>
        <v>5.45E-2</v>
      </c>
      <c r="BI205" s="1">
        <f>INDEX(Input!$1:$1048576,BI$93,$C205*2+6)</f>
        <v>0.05</v>
      </c>
      <c r="BJ205" s="1">
        <f>INDEX(Input!$1:$1048576,BJ$93,$C205*2+6)</f>
        <v>0.05</v>
      </c>
      <c r="BK205" s="1">
        <f>INDEX(Input!$1:$1048576,BK$93,$C205*2+6)</f>
        <v>0.05</v>
      </c>
      <c r="BL205" s="1">
        <f>INDEX(Input!$1:$1048576,BL$93,$C205*2+6)</f>
        <v>5.5E-2</v>
      </c>
      <c r="BM205" s="1">
        <f>INDEX(Input!$1:$1048576,BM$93,$C205*2+6)</f>
        <v>0.06</v>
      </c>
      <c r="BN205" s="1">
        <f>INDEX(Input!$1:$1048576,BN$93,$C205*2+6)</f>
        <v>4.4999999999999998E-2</v>
      </c>
      <c r="BO205" s="1">
        <f>INDEX(Input!$1:$1048576,BO$93,$C205*2+6)</f>
        <v>4.4999999999999998E-2</v>
      </c>
      <c r="BP205" s="1">
        <f>INDEX(Input!$1:$1048576,BP$93,$C205*2+6)</f>
        <v>0.05</v>
      </c>
      <c r="BQ205" s="1">
        <f>INDEX(Input!$1:$1048576,BQ$93,$C205*2+6)</f>
        <v>5.45E-2</v>
      </c>
      <c r="BR205" s="1">
        <f>INDEX(Input!$1:$1048576,BR$93,$C205*2+6)</f>
        <v>5.45E-2</v>
      </c>
      <c r="BS205" s="1">
        <f>INDEX(Input!$1:$1048576,BS$93,$C205*2+6)</f>
        <v>0.05</v>
      </c>
      <c r="BT205" s="1">
        <f>INDEX(Input!$1:$1048576,BT$93,$C205*2+6)</f>
        <v>0.05</v>
      </c>
      <c r="BU205" s="1">
        <f>INDEX(Input!$1:$1048576,BU$93,$C205*2+6)</f>
        <v>0.05</v>
      </c>
      <c r="BV205" s="1">
        <f>INDEX(Input!$1:$1048576,BV$93,$C205*2+6)</f>
        <v>5.5E-2</v>
      </c>
      <c r="BW205" s="1">
        <f>INDEX(Input!$1:$1048576,BW$93,$C205*2+6)</f>
        <v>0.06</v>
      </c>
      <c r="BX205" s="127">
        <f>INDEX(Input!$1:$1048576,BX$93,$C205*2+6)</f>
        <v>19985</v>
      </c>
      <c r="BY205" s="20">
        <f>INDEX(Input!$1:$1048576,BY$93,$C205*2+6)</f>
        <v>0.1</v>
      </c>
      <c r="BZ205" s="20">
        <f>INDEX(Input!$1:$1048576,BZ$93,$C205*2+6)</f>
        <v>0.1</v>
      </c>
      <c r="CA205" s="20">
        <f>INDEX(Input!$1:$1048576,CA$93,$C205*2+6)</f>
        <v>0.1</v>
      </c>
      <c r="CB205" s="20">
        <f>INDEX(Input!$1:$1048576,CB$93,$C205*2+6)</f>
        <v>0.1</v>
      </c>
      <c r="CC205" s="20">
        <f>INDEX(Input!$1:$1048576,CC$93,$C205*2+6)</f>
        <v>0.1</v>
      </c>
      <c r="CD205" s="384">
        <f>INDEX(Input!$1:$1048576,CD$93,$C205*2+6)</f>
        <v>0.1</v>
      </c>
      <c r="CE205" s="384">
        <f>INDEX(Input!$1:$1048576,CE$93,$C205*2+6)</f>
        <v>0.1</v>
      </c>
      <c r="CF205" s="384">
        <f>INDEX(Input!$1:$1048576,CF$93,$C205*2+6)</f>
        <v>0.1</v>
      </c>
      <c r="CG205" s="384">
        <f>INDEX(Input!$1:$1048576,CG$93,$C205*2+6)</f>
        <v>0.1</v>
      </c>
      <c r="CH205" s="384">
        <f>INDEX(Input!$1:$1048576,CH$93,$C205*2+6)</f>
        <v>0.1</v>
      </c>
      <c r="CI205" s="304">
        <f t="shared" si="499"/>
        <v>1270</v>
      </c>
      <c r="CJ205" s="16" t="str">
        <f>INDEX(Input!$1:$1048576,CJ$93,$C205*2+6)</f>
        <v>N</v>
      </c>
      <c r="CK205" s="1" t="str">
        <f t="shared" si="500"/>
        <v>Market</v>
      </c>
      <c r="CL205" s="1" t="str">
        <f t="shared" si="501"/>
        <v>Market</v>
      </c>
      <c r="CM205" s="1" t="str">
        <f t="shared" si="502"/>
        <v>Market</v>
      </c>
      <c r="CN205" s="1" t="str">
        <f t="shared" si="503"/>
        <v>Market</v>
      </c>
      <c r="CO205" s="1" t="str">
        <f t="shared" si="504"/>
        <v>Market</v>
      </c>
      <c r="CP205" s="304">
        <f t="shared" si="505"/>
        <v>0</v>
      </c>
      <c r="CQ205" s="1">
        <f t="shared" si="506"/>
        <v>0</v>
      </c>
      <c r="CR205" s="1">
        <f t="shared" si="507"/>
        <v>0</v>
      </c>
      <c r="CS205" s="1">
        <f t="shared" si="508"/>
        <v>0</v>
      </c>
      <c r="CT205" s="1">
        <f t="shared" si="509"/>
        <v>1.9E-2</v>
      </c>
      <c r="CU205" s="1">
        <f t="shared" si="510"/>
        <v>3.9E-2</v>
      </c>
      <c r="CV205" s="304">
        <f t="shared" si="511"/>
        <v>1233</v>
      </c>
      <c r="CW205" s="20" t="s">
        <v>122</v>
      </c>
      <c r="CX205" s="20" t="s">
        <v>122</v>
      </c>
      <c r="CY205" s="20" t="s">
        <v>122</v>
      </c>
      <c r="CZ205" s="20" t="s">
        <v>122</v>
      </c>
      <c r="DA205" s="20" t="s">
        <v>122</v>
      </c>
      <c r="DB205" s="503">
        <f t="shared" si="512"/>
        <v>24</v>
      </c>
      <c r="DC205" s="127">
        <v>0</v>
      </c>
      <c r="DD205" s="127">
        <v>0</v>
      </c>
      <c r="DE205" s="127">
        <v>0</v>
      </c>
      <c r="DF205" s="127">
        <v>0</v>
      </c>
      <c r="DG205" s="127">
        <v>0</v>
      </c>
      <c r="DH205" s="127">
        <v>0</v>
      </c>
      <c r="DI205" s="127">
        <v>0</v>
      </c>
      <c r="DJ205" s="127">
        <v>0</v>
      </c>
      <c r="DK205" s="127">
        <v>0</v>
      </c>
      <c r="DL205" s="127">
        <v>0</v>
      </c>
      <c r="DM205" s="304">
        <f>INDEX(Input!$1:$1048576,DM$93,$C205*2+6)</f>
        <v>21036.84210526316</v>
      </c>
      <c r="DN205" s="20">
        <v>0</v>
      </c>
      <c r="DO205" s="20">
        <v>0</v>
      </c>
      <c r="DP205" s="20">
        <v>0</v>
      </c>
      <c r="DQ205" s="20">
        <v>0</v>
      </c>
      <c r="DR205" s="20">
        <v>0</v>
      </c>
      <c r="DS205" s="20">
        <f>INDEX(Input!$1:$1048576,DS$93,$C205*2+6)</f>
        <v>0.6</v>
      </c>
      <c r="DT205" s="20">
        <f>INDEX(Input!$1:$1048576,DT$93,$C205*2+6)</f>
        <v>0.55000000000000004</v>
      </c>
      <c r="DU205" s="20">
        <f>INDEX(Input!$1:$1048576,DU$93,$C205*2+6)</f>
        <v>0.52</v>
      </c>
      <c r="DV205" s="20">
        <f>INDEX(Input!$1:$1048576,DV$93,$C205*2+6)</f>
        <v>0.5</v>
      </c>
      <c r="DW205" s="20">
        <f>INDEX(Input!$1:$1048576,DW$93,$C205*2+6)</f>
        <v>0.45</v>
      </c>
      <c r="DX205" s="20"/>
      <c r="DY205" s="7">
        <v>8.6730147299065197E-2</v>
      </c>
      <c r="DZ205" s="7">
        <v>0</v>
      </c>
      <c r="EA205" s="7">
        <v>0.61809632176792773</v>
      </c>
      <c r="EB205" s="7">
        <v>0</v>
      </c>
      <c r="EC205" s="7">
        <v>0</v>
      </c>
      <c r="ED205" s="7">
        <v>0</v>
      </c>
      <c r="EE205" s="7">
        <v>0</v>
      </c>
      <c r="EF205" s="7">
        <v>0</v>
      </c>
      <c r="EG205" s="7">
        <v>0</v>
      </c>
      <c r="EH205" s="7">
        <v>1.4246726582998021E-2</v>
      </c>
      <c r="EI205" s="7">
        <v>4.0539652309521015E-2</v>
      </c>
      <c r="EJ205" s="7">
        <v>0.30705221462967802</v>
      </c>
      <c r="EK205" s="7">
        <v>0.52693056076031586</v>
      </c>
      <c r="EL205" s="7">
        <v>0.11123084571748726</v>
      </c>
      <c r="EM205" s="7">
        <v>5.4059710468196812E-2</v>
      </c>
      <c r="EN205" s="7">
        <v>6.7229158545997758E-2</v>
      </c>
      <c r="EO205" s="7">
        <v>0.74596056177405201</v>
      </c>
      <c r="EP205" s="7">
        <v>8.0606335780233254E-2</v>
      </c>
      <c r="EQ205" s="7">
        <v>6.8743082802187563E-2</v>
      </c>
      <c r="ER205" s="7">
        <v>3.7460861097529004E-2</v>
      </c>
      <c r="ES205" s="7">
        <v>0.24111382046481028</v>
      </c>
      <c r="ET205" s="7">
        <v>0.29517353093300708</v>
      </c>
      <c r="EU205" s="6">
        <v>1252</v>
      </c>
      <c r="EV205" s="6">
        <v>0</v>
      </c>
      <c r="EW205" s="6">
        <v>1252</v>
      </c>
      <c r="EX205" s="6">
        <v>0</v>
      </c>
      <c r="EY205" s="6">
        <v>2011.8931653609811</v>
      </c>
      <c r="EZ205" s="6">
        <v>1419</v>
      </c>
      <c r="FA205" s="6">
        <v>0</v>
      </c>
      <c r="FB205" s="6">
        <v>0</v>
      </c>
      <c r="FC205" s="6">
        <v>0</v>
      </c>
      <c r="FD205" s="6">
        <v>0</v>
      </c>
      <c r="FE205" s="6">
        <v>0</v>
      </c>
      <c r="FF205" s="6">
        <v>0</v>
      </c>
      <c r="FG205" s="6">
        <v>0</v>
      </c>
      <c r="FH205" s="6">
        <v>1173.7275088283232</v>
      </c>
      <c r="FI205" s="6">
        <v>1553.9796069512397</v>
      </c>
      <c r="FJ205" s="6">
        <v>2101.2110117447405</v>
      </c>
      <c r="FK205" s="6">
        <v>1772.7139978623231</v>
      </c>
      <c r="FL205" s="6">
        <v>907.07682140966381</v>
      </c>
      <c r="FM205" s="6">
        <v>1759.8931653609811</v>
      </c>
      <c r="FN205" s="6">
        <v>0</v>
      </c>
      <c r="FO205" s="6">
        <v>0</v>
      </c>
      <c r="FP205" s="6">
        <v>0</v>
      </c>
      <c r="FQ205" s="6">
        <v>0</v>
      </c>
      <c r="FR205" s="6">
        <v>0</v>
      </c>
      <c r="FS205" s="6">
        <v>0</v>
      </c>
      <c r="FT205" s="7">
        <v>0.70482646906699298</v>
      </c>
      <c r="FU205" s="7">
        <v>5.4059710468196812E-2</v>
      </c>
      <c r="FV205" s="7">
        <v>0.24111382046481028</v>
      </c>
      <c r="FW205" s="6">
        <v>1251.9999999999998</v>
      </c>
      <c r="FX205" s="6">
        <v>2011.8931653609811</v>
      </c>
      <c r="FY205" s="6">
        <v>1419</v>
      </c>
      <c r="FZ205" s="6">
        <v>1817.4615072224267</v>
      </c>
      <c r="GA205" s="6">
        <v>1333.3456125237994</v>
      </c>
      <c r="GB205" s="6">
        <v>18651.654387476199</v>
      </c>
      <c r="GC205" s="7">
        <v>1.804905384453976E-2</v>
      </c>
      <c r="GD205" s="7">
        <v>1.7337526484687393E-2</v>
      </c>
      <c r="GE205" s="7"/>
      <c r="GF205" s="7"/>
      <c r="GG205" s="7">
        <v>-3.9421864768142377E-2</v>
      </c>
      <c r="GH205" s="42">
        <v>1.6273912425076991</v>
      </c>
      <c r="GI205" s="6">
        <v>13613.736140621069</v>
      </c>
      <c r="GJ205" s="14">
        <v>0.50394797582841688</v>
      </c>
      <c r="GK205" s="14">
        <v>0.50887573065309699</v>
      </c>
      <c r="GL205" s="14">
        <v>0.49605202417158278</v>
      </c>
      <c r="GM205" s="14">
        <v>0.49112426934690223</v>
      </c>
      <c r="GO205" s="5">
        <v>343.14810671672558</v>
      </c>
      <c r="GP205" s="5">
        <v>319.26233518755981</v>
      </c>
      <c r="GQ205" s="5">
        <v>535.04305713031317</v>
      </c>
      <c r="GR205" s="5">
        <v>410.15490233172511</v>
      </c>
      <c r="GS205" s="5">
        <v>339.42744393800166</v>
      </c>
      <c r="GT205" s="5">
        <v>293.4407446948278</v>
      </c>
      <c r="GU205" s="5">
        <v>258.04012322764959</v>
      </c>
      <c r="GV205" s="39" t="s">
        <v>392</v>
      </c>
      <c r="GW205" s="5">
        <v>492.625</v>
      </c>
      <c r="GX205" s="5">
        <v>369.46875</v>
      </c>
      <c r="GY205" s="5">
        <v>295.57499999999999</v>
      </c>
      <c r="GZ205" s="5">
        <v>260.81374633218945</v>
      </c>
      <c r="HA205" s="5">
        <v>241.59395552842301</v>
      </c>
      <c r="HB205" s="39">
        <v>277.0568202888287</v>
      </c>
      <c r="HC205" s="5">
        <v>225.203125</v>
      </c>
      <c r="HD205" s="5">
        <v>197.43247441520464</v>
      </c>
      <c r="HE205" s="5">
        <v>201.62200151821861</v>
      </c>
      <c r="HF205" s="5">
        <v>188.09438048245613</v>
      </c>
      <c r="HG205" s="5">
        <v>183.43388157894736</v>
      </c>
      <c r="HH205" s="39">
        <v>198.47084560848779</v>
      </c>
      <c r="HI205" s="16"/>
      <c r="HJ205" s="19" t="str">
        <f t="shared" si="685"/>
        <v>On</v>
      </c>
      <c r="HK205" s="1" t="str">
        <f t="shared" si="685"/>
        <v>On</v>
      </c>
      <c r="HL205" s="16"/>
      <c r="HM205" s="639">
        <f t="shared" si="634"/>
        <v>1.2768706344444866E-2</v>
      </c>
      <c r="HN205" s="639">
        <f t="shared" si="635"/>
        <v>9.795534288915453E-4</v>
      </c>
      <c r="HO205" s="639">
        <f t="shared" si="636"/>
        <v>3.3583061774515237E-3</v>
      </c>
      <c r="HP205" s="644">
        <f>(FT205*$GD205-HM205)/$JF205*INDEX(Input!$1:$1048576,$JG$93,$C205*2+6)</f>
        <v>-39.873996507074658</v>
      </c>
      <c r="HQ205" s="644">
        <f>(FU205*$GD205-HN205)/$JF205*INDEX(Input!$1:$1048576,$JG$93,$C205*2+6)</f>
        <v>-3.0730110532575661</v>
      </c>
      <c r="HR205" s="644">
        <f>(FV205*$GD205-HO205)/$JF205*INDEX(Input!$1:$1048576,$JG$93,$C205*2+6)</f>
        <v>59.729098393928432</v>
      </c>
      <c r="HS205" s="644">
        <f t="shared" si="686"/>
        <v>8.0059619514510818E-5</v>
      </c>
      <c r="HT205" s="644">
        <f t="shared" si="638"/>
        <v>-5.9136652814228046E-3</v>
      </c>
      <c r="HU205" s="644">
        <f t="shared" si="639"/>
        <v>9.6830495266026091</v>
      </c>
      <c r="HV205" s="648">
        <f t="shared" si="640"/>
        <v>0</v>
      </c>
      <c r="HW205" s="648">
        <f t="shared" si="641"/>
        <v>0</v>
      </c>
      <c r="HX205" s="648">
        <f t="shared" si="642"/>
        <v>0</v>
      </c>
      <c r="HY205" s="644">
        <f>INDEX(Input!$1:$1048576,HY$93,$C205*2+6)*INDEX(Input!$1:$1048576,$JG$93,$C205*2+6)</f>
        <v>451</v>
      </c>
      <c r="HZ205" s="644">
        <f>INDEX(Input!$1:$1048576,HZ$93,$C205*2+6)*INDEX(Input!$1:$1048576,$JG$93,$C205*2+6)</f>
        <v>577</v>
      </c>
      <c r="IA205" s="644">
        <f>INDEX(Input!$1:$1048576,IA$93,$C205*2+6)*INDEX(Input!$1:$1048576,$JG$93,$C205*2+6)</f>
        <v>215</v>
      </c>
      <c r="IB205" s="644">
        <f t="shared" si="666"/>
        <v>411.12608355254503</v>
      </c>
      <c r="IC205" s="644">
        <f t="shared" si="667"/>
        <v>573.92107528146096</v>
      </c>
      <c r="ID205" s="644">
        <f>IF(AND(INDEX(Input!$1:$1048576,IA$93,$C205*2+7)="TOS",Y205&lt;=INDEX(Y:Y,MATCH(C205*1000+2,A:A))),0,1)*MAX(IA205+HR205+HU205+HX205,0%)</f>
        <v>284.41214792053103</v>
      </c>
      <c r="IE205" s="128">
        <f t="shared" ref="IE205:IE206" si="696">IB205/SUM($IB205:$ID205)</f>
        <v>0.3238592063290458</v>
      </c>
      <c r="IF205" s="128">
        <f t="shared" si="643"/>
        <v>0.45209883627442221</v>
      </c>
      <c r="IG205" s="128">
        <f t="shared" si="644"/>
        <v>0.22404195739653199</v>
      </c>
      <c r="IH205" s="21"/>
      <c r="II205" s="19">
        <f t="shared" si="645"/>
        <v>1252</v>
      </c>
      <c r="IJ205" s="19">
        <f t="shared" si="646"/>
        <v>2011.9658773055378</v>
      </c>
      <c r="IK205" s="19">
        <f t="shared" si="647"/>
        <v>919</v>
      </c>
      <c r="IL205" s="19">
        <f t="shared" si="669"/>
        <v>0</v>
      </c>
      <c r="IM205" s="19">
        <f t="shared" si="648"/>
        <v>-7.2711944556658636E-2</v>
      </c>
      <c r="IN205" s="19">
        <f t="shared" si="649"/>
        <v>500</v>
      </c>
      <c r="IO205" s="39">
        <f t="shared" si="650"/>
        <v>0</v>
      </c>
      <c r="IP205" s="39">
        <f t="shared" si="651"/>
        <v>0</v>
      </c>
      <c r="IQ205" s="39">
        <f t="shared" si="652"/>
        <v>0</v>
      </c>
      <c r="IR205" s="39">
        <v>0</v>
      </c>
      <c r="IS205" s="39">
        <v>0</v>
      </c>
      <c r="IT205" s="39">
        <v>0</v>
      </c>
      <c r="IU205" s="39">
        <v>0</v>
      </c>
      <c r="IV205" s="39">
        <v>0</v>
      </c>
      <c r="IW205" s="39">
        <v>0</v>
      </c>
      <c r="IX205" s="39">
        <f>INDEX(Input!$1:$1048576,IX$93,$C205*2+6)+INDEX(Input!$1:$1048576,IX$94,$C205*2+6)</f>
        <v>1294</v>
      </c>
      <c r="IY205" s="39">
        <f>INDEX(Input!$1:$1048576,IY$93,$C205*2+6)+INDEX(Input!$1:$1048576,IY$94,$C205*2+6)</f>
        <v>2154.0624533823611</v>
      </c>
      <c r="IZ205" s="39">
        <f>INDEX(Input!$1:$1048576,IZ$93,$C205*2+6)+INDEX(Input!$1:$1048576,IZ$94,$C205*2+6)</f>
        <v>3677.7164157747848</v>
      </c>
      <c r="JA205" s="19">
        <f t="shared" si="670"/>
        <v>1294</v>
      </c>
      <c r="JB205" s="19">
        <f t="shared" si="671"/>
        <v>2153.9897414378047</v>
      </c>
      <c r="JC205" s="19">
        <f t="shared" si="672"/>
        <v>4177.7164157747848</v>
      </c>
      <c r="JD205" s="19">
        <f t="shared" si="673"/>
        <v>2328.8738316786671</v>
      </c>
      <c r="JE205" s="21"/>
      <c r="JF205" s="1">
        <f t="shared" si="653"/>
        <v>1.7106565950787935E-2</v>
      </c>
      <c r="JG205" s="15">
        <f>INDEX(Input!$1:$1048576,JG$93,$C205*2+6)/(1+VLOOKUP(C205*1000+INDEX(Input!$1:$1048576,JG$93+1,$C205*2+6),$A:$KK,$JK$92,FALSE))</f>
        <v>1243</v>
      </c>
      <c r="JH205" s="1">
        <f t="shared" si="674"/>
        <v>1.3501279833947069E-2</v>
      </c>
      <c r="JI205" s="1">
        <f t="shared" si="675"/>
        <v>7.7853708133070795E-3</v>
      </c>
      <c r="JJ205" s="1">
        <f t="shared" si="676"/>
        <v>0</v>
      </c>
      <c r="JK205" s="1">
        <f>SUM(JH205:JJ205)</f>
        <v>2.128665064725415E-2</v>
      </c>
      <c r="JL205" s="15">
        <f t="shared" si="678"/>
        <v>26.459306754536907</v>
      </c>
      <c r="JM205" s="15">
        <f t="shared" si="679"/>
        <v>1269.459306754537</v>
      </c>
      <c r="JN205" s="21"/>
      <c r="JO205" s="19">
        <f>INDEX(Input!$1:$1048576,JO$93,$C205*2+6)</f>
        <v>5995.5</v>
      </c>
      <c r="JP205" s="19">
        <f>INDEX(Input!$1:$1048576,JP$93,$C205*2+6)</f>
        <v>2105.548724853742</v>
      </c>
      <c r="JQ205" s="39">
        <f t="shared" si="688"/>
        <v>3666.6261683213329</v>
      </c>
      <c r="JR205" s="39">
        <f t="shared" si="689"/>
        <v>223.32510682492511</v>
      </c>
      <c r="JS205" s="39">
        <f t="shared" si="690"/>
        <v>2.9564105598815829</v>
      </c>
      <c r="JT205" s="39">
        <f t="shared" si="680"/>
        <v>0.33921349488838154</v>
      </c>
      <c r="JU205" s="385">
        <f>(JQ205*JM205-INDEX(Input!$1:$1048576,Input!A$18,$C205*2+6)*JL205*INDEX(Input!$1:$1048576,Input!A$19,$C205*2+6))/1000000</f>
        <v>4.6546327137652437</v>
      </c>
      <c r="JV205" s="39">
        <f t="shared" si="656"/>
        <v>-0.18057672124155477</v>
      </c>
      <c r="JW205" s="1">
        <f t="shared" ref="JW205" si="697">JV205/(JU205-JV205)</f>
        <v>-3.7346204682300564E-2</v>
      </c>
      <c r="JX205" s="19">
        <f t="shared" si="694"/>
        <v>12820.195859070174</v>
      </c>
      <c r="JZ205" s="468">
        <f>(IA205+HR205)/SUM(HP205:HR205,HY205:IA205)*IN205</f>
        <v>109.03834099282224</v>
      </c>
      <c r="KA205" s="469">
        <f>JH205/(JZ205/BX205)</f>
        <v>2.4745706420752867</v>
      </c>
      <c r="KB205" s="469">
        <f>KB204</f>
        <v>2.5660492421988774</v>
      </c>
      <c r="KC205" s="469">
        <f>MIN(KE204+1)</f>
        <v>3.7725770832093826</v>
      </c>
      <c r="KD205" s="469">
        <f>KC205+2</f>
        <v>5.7725770832093826</v>
      </c>
      <c r="KE205" s="469">
        <f>MIN(MAX(KA205,KC205),KD205)</f>
        <v>3.7725770832093826</v>
      </c>
      <c r="KF205" s="470">
        <f>A205</f>
        <v>2005</v>
      </c>
      <c r="KG205" s="471">
        <f>(JH205/KA205*KE205-JH205)/MAX(IL205:IN205)*1000</f>
        <v>1.4163869796273126E-2</v>
      </c>
      <c r="KH205" s="472"/>
      <c r="KI205" s="473">
        <f t="shared" si="692"/>
        <v>-39.873916447454974</v>
      </c>
      <c r="KJ205" s="473">
        <f t="shared" si="681"/>
        <v>-3.0789247185390423</v>
      </c>
      <c r="KK205" s="473">
        <f t="shared" si="682"/>
        <v>69.412147920531027</v>
      </c>
      <c r="KL205" s="472" t="str">
        <f>IF(OR(KI205&gt;0,KJ205&gt;0),"Error - Adjust TR","ok")</f>
        <v>ok</v>
      </c>
      <c r="KN205" s="544">
        <f t="shared" si="695"/>
        <v>2002</v>
      </c>
      <c r="KO205" s="541">
        <f t="shared" si="657"/>
        <v>1.5269488815008891E-2</v>
      </c>
      <c r="KP205" s="546">
        <f t="shared" si="658"/>
        <v>73.348221209492408</v>
      </c>
      <c r="KQ205" s="546">
        <f t="shared" si="659"/>
        <v>185.19349224519419</v>
      </c>
      <c r="KR205" s="548">
        <f t="shared" si="660"/>
        <v>3.7141709302523949</v>
      </c>
      <c r="KS205" s="548">
        <f t="shared" si="661"/>
        <v>1.4710442991232506</v>
      </c>
      <c r="KT205" s="473">
        <f t="shared" si="693"/>
        <v>843.26993010479111</v>
      </c>
      <c r="KU205" s="663">
        <f t="shared" si="683"/>
        <v>4.337052688614909</v>
      </c>
      <c r="KV205" s="117"/>
    </row>
    <row r="206" spans="1:310" s="26" customFormat="1" ht="15">
      <c r="A206" s="561">
        <f t="shared" si="662"/>
        <v>2006</v>
      </c>
      <c r="B206" s="561">
        <f t="shared" si="684"/>
        <v>6</v>
      </c>
      <c r="C206" s="561">
        <f t="shared" si="105"/>
        <v>2</v>
      </c>
      <c r="D206" s="561" t="s">
        <v>742</v>
      </c>
      <c r="E206" s="115">
        <f>INDEX(Input!$1:$1048576,E$93,$C206*2+MIN($B206,1)+5)</f>
        <v>1000</v>
      </c>
      <c r="F206" s="115">
        <f>INDEX(Input!$1:$1048576,F$93,$C206*2+MIN($B206,1)+5)</f>
        <v>0</v>
      </c>
      <c r="G206" s="115">
        <f>INDEX(Input!$1:$1048576,G$93,$C206*2+MIN($B206,1)+5)</f>
        <v>0</v>
      </c>
      <c r="H206" s="115">
        <f>INDEX(Input!$1:$1048576,H$93,$C206*2+MIN($B206,1)+5)</f>
        <v>0</v>
      </c>
      <c r="I206" s="118">
        <f>INDEX(Input!$1:$1048576,I$93,$C206*2+MIN($B206,1)+5)</f>
        <v>0.7</v>
      </c>
      <c r="J206" s="118" t="str">
        <f>INDEX(Input!$1:$1048576,J$93,$C206*2+MIN($B206,1)+5)</f>
        <v>Market</v>
      </c>
      <c r="K206" s="118" t="str">
        <f>INDEX(Input!$1:$1048576,K$93,$C206*2+MIN($B206,1)+5)</f>
        <v>Market</v>
      </c>
      <c r="L206" s="118" t="str">
        <f>INDEX(Input!$1:$1048576,L$93,$C206*2+MIN($B206,1)+5)</f>
        <v>Market</v>
      </c>
      <c r="M206" s="118" t="str">
        <f>INDEX(Input!$1:$1048576,M$93,$C206*2+MIN($B206,1)+5)</f>
        <v>Market</v>
      </c>
      <c r="N206" s="118" t="str">
        <f>INDEX(Input!$1:$1048576,N$93,$C206*2+MIN($B206,1)+5)</f>
        <v>Market</v>
      </c>
      <c r="O206" s="118" t="str">
        <f>INDEX(Input!$1:$1048576,O$93,$C206*2+MIN($B206,1)+5)</f>
        <v>Market</v>
      </c>
      <c r="P206" s="118" t="str">
        <f>INDEX(Input!$1:$1048576,P$93,$C206*2+MIN($B206,1)+5)</f>
        <v>N</v>
      </c>
      <c r="Q206" s="30">
        <f>INDEX(Input!$1:$1048576,Q$93,$C206*2+MIN($B206,1)+5)</f>
        <v>0</v>
      </c>
      <c r="R206" s="383">
        <f>INDEX(Input!$1:$1048576,R$93,$C206*2+MIN($B206,1)+5)</f>
        <v>0</v>
      </c>
      <c r="S206" s="383">
        <f>INDEX(Input!$1:$1048576,S$93,$C206*2+MIN($B206,1)+5)</f>
        <v>0</v>
      </c>
      <c r="T206" s="383">
        <f>INDEX(Input!$1:$1048576,T$93,$C206*2+MIN($B206,1)+5)</f>
        <v>0</v>
      </c>
      <c r="U206" s="383">
        <f>INDEX(Input!$1:$1048576,U$93,$C206*2+MIN($B206,1)+5)</f>
        <v>0</v>
      </c>
      <c r="V206" s="383">
        <f>INDEX(Input!$1:$1048576,V$93,$C206*2+MIN($B206,1)+5)</f>
        <v>1.9E-2</v>
      </c>
      <c r="W206" s="884">
        <f>INDEX(Input!$1:$1048576,W$93,$C206*2+MIN($B206,1)+5)</f>
        <v>3.9E-2</v>
      </c>
      <c r="X206" s="118" t="str">
        <f>INDEX(Input!$1:$1048576,X$93,$C206*2+MIN($B206,1)+5)</f>
        <v>Y</v>
      </c>
      <c r="Y206" s="150">
        <f>INDEX(Input!$1:$1048576,Y$93,$C206*2+MIN($B206,1)+5)</f>
        <v>463</v>
      </c>
      <c r="Z206" s="477">
        <f>INDEX(Input!$1:$1048576,Z$93,$C206*2+MIN($B206,1)+5)+500</f>
        <v>500</v>
      </c>
      <c r="AA206" s="115">
        <f>INDEX(Input!$1:$1048576,AA$93,$C206*2+MIN($B206,1)+5)</f>
        <v>1000</v>
      </c>
      <c r="AB206" s="118">
        <f>INDEX(Input!$1:$1048576,AB$93,$C206*2+MIN($B206,1)+5)</f>
        <v>0.27</v>
      </c>
      <c r="AC206" s="115">
        <f>INDEX(Input!$1:$1048576,AC$93,$C206*2+MIN($B206,1)+5)</f>
        <v>1000</v>
      </c>
      <c r="AD206" s="118">
        <f>INDEX(Input!$1:$1048576,AD$93,$C206*2+MIN($B206,1)+5)</f>
        <v>0.27</v>
      </c>
      <c r="AE206" s="115">
        <f>INDEX(Input!$1:$1048576,AE$93,$C206*2+MIN($B206,1)+5)</f>
        <v>500</v>
      </c>
      <c r="AF206" s="118">
        <f>INDEX(Input!$1:$1048576,AF$93,$C206*2+MIN($B206,1)+5)</f>
        <v>4.8000000000000001E-2</v>
      </c>
      <c r="AG206" s="115">
        <f>INDEX(Input!$1:$1048576,AG$93,$C206*2+MIN($B206,1)+5)</f>
        <v>0</v>
      </c>
      <c r="AH206" s="118">
        <f>INDEX(Input!$1:$1048576,AH$93,$C206*2+MIN($B206,1)+5)</f>
        <v>0.94599999999999995</v>
      </c>
      <c r="AI206" s="115">
        <f>INDEX(Input!$1:$1048576,AI$93,$C206*2+MIN($B206,1)+5)</f>
        <v>0</v>
      </c>
      <c r="AJ206" s="118">
        <f>INDEX(Input!$1:$1048576,AJ$93,$C206*2+MIN($B206,1)+5)</f>
        <v>0.27</v>
      </c>
      <c r="AK206" s="150">
        <f>ROUND(INDEX(Input!$1:$1048576,AK$93,$C205*2+MIN($B206,1)+5)+(Y206-VLOOKUP($C206*1000+1,$A:$HH,Y$92,FALSE)),0)</f>
        <v>3384</v>
      </c>
      <c r="AL206" s="150">
        <f>ROUND(INDEX(Input!$1:$1048576,AL$93,$C205*2+MIN($B206,1)+5)-(Y206-VLOOKUP($C206*1000+1,$A:$HH,Y$92,FALSE))/36,0)</f>
        <v>3384</v>
      </c>
      <c r="AM206" s="32" t="str">
        <f t="shared" si="663"/>
        <v>std/std/std/std</v>
      </c>
      <c r="AN206" s="32" t="str">
        <f t="shared" si="664"/>
        <v>$0 + 0/0/0/1.9/3.9</v>
      </c>
      <c r="AO206" s="32" t="str">
        <f t="shared" si="665"/>
        <v>0/0/0/1.9/3.9</v>
      </c>
      <c r="AP206" s="32" t="str">
        <f t="shared" si="498"/>
        <v>0/0.9/1.9/3.9</v>
      </c>
      <c r="AQ206" s="536">
        <f t="shared" si="497"/>
        <v>294.35784517797356</v>
      </c>
      <c r="AR206" s="32"/>
      <c r="AS206" s="302"/>
      <c r="AT206" s="3">
        <f t="shared" si="106"/>
        <v>6</v>
      </c>
      <c r="AU206" s="41" t="s">
        <v>121</v>
      </c>
      <c r="AV206" s="41" t="s">
        <v>116</v>
      </c>
      <c r="AW206" s="41" t="str">
        <f>INDEX(Input!$1:$1048576,AW$93,$C206*2+6)</f>
        <v>Kia</v>
      </c>
      <c r="AX206" s="41" t="str">
        <f>INDEX(Input!$1:$1048576,AX$93,$C206*2+6)</f>
        <v>Kia-LR - L2</v>
      </c>
      <c r="AY206" s="41" t="str">
        <f>IF(LEN(D206)=0,"",INDEX(Input!$1:$1048576,AY$93,$C206*2+6))</f>
        <v>Compact SUV (52)</v>
      </c>
      <c r="AZ206" s="41" t="str">
        <f>INDEX(Input!$1:$1048576,AZ$93,$C206*2+6)</f>
        <v>Kia Soul</v>
      </c>
      <c r="BA206" s="3">
        <f>INDEX(Input!$1:$1048576,BA$93,$C206*2+6)</f>
        <v>2020</v>
      </c>
      <c r="BB206" s="128">
        <f>INDEX(Input!$1:$1048576,BB$93,$C206*2+6)</f>
        <v>1</v>
      </c>
      <c r="BC206" s="128">
        <f>INDEX(Input!$1:$1048576,BC$93,$C206*2+6)</f>
        <v>0.7</v>
      </c>
      <c r="BD206" s="1">
        <f>INDEX(Input!$1:$1048576,BD$93,$C206*2+6)</f>
        <v>4.4999999999999998E-2</v>
      </c>
      <c r="BE206" s="1">
        <f>INDEX(Input!$1:$1048576,BE$93,$C206*2+6)</f>
        <v>4.4999999999999998E-2</v>
      </c>
      <c r="BF206" s="1">
        <f>INDEX(Input!$1:$1048576,BF$93,$C206*2+6)</f>
        <v>0.05</v>
      </c>
      <c r="BG206" s="1">
        <f>INDEX(Input!$1:$1048576,BG$93,$C206*2+6)</f>
        <v>5.45E-2</v>
      </c>
      <c r="BH206" s="1">
        <f>INDEX(Input!$1:$1048576,BH$93,$C206*2+6)</f>
        <v>5.45E-2</v>
      </c>
      <c r="BI206" s="1">
        <f>INDEX(Input!$1:$1048576,BI$93,$C206*2+6)</f>
        <v>0.05</v>
      </c>
      <c r="BJ206" s="1">
        <f>INDEX(Input!$1:$1048576,BJ$93,$C206*2+6)</f>
        <v>0.05</v>
      </c>
      <c r="BK206" s="1">
        <f>INDEX(Input!$1:$1048576,BK$93,$C206*2+6)</f>
        <v>0.05</v>
      </c>
      <c r="BL206" s="1">
        <f>INDEX(Input!$1:$1048576,BL$93,$C206*2+6)</f>
        <v>5.5E-2</v>
      </c>
      <c r="BM206" s="1">
        <f>INDEX(Input!$1:$1048576,BM$93,$C206*2+6)</f>
        <v>0.06</v>
      </c>
      <c r="BN206" s="1">
        <f>INDEX(Input!$1:$1048576,BN$93,$C206*2+6)</f>
        <v>4.4999999999999998E-2</v>
      </c>
      <c r="BO206" s="1">
        <f>INDEX(Input!$1:$1048576,BO$93,$C206*2+6)</f>
        <v>4.4999999999999998E-2</v>
      </c>
      <c r="BP206" s="1">
        <f>INDEX(Input!$1:$1048576,BP$93,$C206*2+6)</f>
        <v>0.05</v>
      </c>
      <c r="BQ206" s="1">
        <f>INDEX(Input!$1:$1048576,BQ$93,$C206*2+6)</f>
        <v>5.45E-2</v>
      </c>
      <c r="BR206" s="1">
        <f>INDEX(Input!$1:$1048576,BR$93,$C206*2+6)</f>
        <v>5.45E-2</v>
      </c>
      <c r="BS206" s="1">
        <f>INDEX(Input!$1:$1048576,BS$93,$C206*2+6)</f>
        <v>0.05</v>
      </c>
      <c r="BT206" s="1">
        <f>INDEX(Input!$1:$1048576,BT$93,$C206*2+6)</f>
        <v>0.05</v>
      </c>
      <c r="BU206" s="1">
        <f>INDEX(Input!$1:$1048576,BU$93,$C206*2+6)</f>
        <v>0.05</v>
      </c>
      <c r="BV206" s="1">
        <f>INDEX(Input!$1:$1048576,BV$93,$C206*2+6)</f>
        <v>5.5E-2</v>
      </c>
      <c r="BW206" s="1">
        <f>INDEX(Input!$1:$1048576,BW$93,$C206*2+6)</f>
        <v>0.06</v>
      </c>
      <c r="BX206" s="127">
        <f>INDEX(Input!$1:$1048576,BX$93,$C206*2+6)</f>
        <v>19985</v>
      </c>
      <c r="BY206" s="20">
        <f>INDEX(Input!$1:$1048576,BY$93,$C206*2+6)</f>
        <v>0.1</v>
      </c>
      <c r="BZ206" s="20">
        <f>INDEX(Input!$1:$1048576,BZ$93,$C206*2+6)</f>
        <v>0.1</v>
      </c>
      <c r="CA206" s="20">
        <f>INDEX(Input!$1:$1048576,CA$93,$C206*2+6)</f>
        <v>0.1</v>
      </c>
      <c r="CB206" s="20">
        <f>INDEX(Input!$1:$1048576,CB$93,$C206*2+6)</f>
        <v>0.1</v>
      </c>
      <c r="CC206" s="20">
        <f>INDEX(Input!$1:$1048576,CC$93,$C206*2+6)</f>
        <v>0.1</v>
      </c>
      <c r="CD206" s="384">
        <f>INDEX(Input!$1:$1048576,CD$93,$C206*2+6)</f>
        <v>0.1</v>
      </c>
      <c r="CE206" s="384">
        <f>INDEX(Input!$1:$1048576,CE$93,$C206*2+6)</f>
        <v>0.1</v>
      </c>
      <c r="CF206" s="384">
        <f>INDEX(Input!$1:$1048576,CF$93,$C206*2+6)</f>
        <v>0.1</v>
      </c>
      <c r="CG206" s="384">
        <f>INDEX(Input!$1:$1048576,CG$93,$C206*2+6)</f>
        <v>0.1</v>
      </c>
      <c r="CH206" s="384">
        <f>INDEX(Input!$1:$1048576,CH$93,$C206*2+6)</f>
        <v>0.1</v>
      </c>
      <c r="CI206" s="304">
        <f t="shared" si="499"/>
        <v>1270</v>
      </c>
      <c r="CJ206" s="16" t="str">
        <f>INDEX(Input!$1:$1048576,CJ$93,$C206*2+6)</f>
        <v>N</v>
      </c>
      <c r="CK206" s="1" t="str">
        <f t="shared" si="500"/>
        <v>Market</v>
      </c>
      <c r="CL206" s="1" t="str">
        <f t="shared" si="501"/>
        <v>Market</v>
      </c>
      <c r="CM206" s="1" t="str">
        <f t="shared" si="502"/>
        <v>Market</v>
      </c>
      <c r="CN206" s="1" t="str">
        <f t="shared" si="503"/>
        <v>Market</v>
      </c>
      <c r="CO206" s="1" t="str">
        <f t="shared" si="504"/>
        <v>Market</v>
      </c>
      <c r="CP206" s="304">
        <f t="shared" si="505"/>
        <v>0</v>
      </c>
      <c r="CQ206" s="1">
        <f t="shared" si="506"/>
        <v>0</v>
      </c>
      <c r="CR206" s="1">
        <f t="shared" si="507"/>
        <v>0</v>
      </c>
      <c r="CS206" s="1">
        <f t="shared" si="508"/>
        <v>0</v>
      </c>
      <c r="CT206" s="1">
        <f t="shared" si="509"/>
        <v>1.9E-2</v>
      </c>
      <c r="CU206" s="1">
        <f t="shared" si="510"/>
        <v>3.9E-2</v>
      </c>
      <c r="CV206" s="304">
        <f t="shared" si="511"/>
        <v>733</v>
      </c>
      <c r="CW206" s="20" t="s">
        <v>122</v>
      </c>
      <c r="CX206" s="20" t="s">
        <v>122</v>
      </c>
      <c r="CY206" s="20" t="s">
        <v>122</v>
      </c>
      <c r="CZ206" s="20" t="s">
        <v>122</v>
      </c>
      <c r="DA206" s="20" t="s">
        <v>122</v>
      </c>
      <c r="DB206" s="503">
        <f t="shared" si="512"/>
        <v>524</v>
      </c>
      <c r="DC206" s="127">
        <v>0</v>
      </c>
      <c r="DD206" s="127">
        <v>0</v>
      </c>
      <c r="DE206" s="127">
        <v>0</v>
      </c>
      <c r="DF206" s="127">
        <v>0</v>
      </c>
      <c r="DG206" s="127">
        <v>0</v>
      </c>
      <c r="DH206" s="127">
        <v>0</v>
      </c>
      <c r="DI206" s="127">
        <v>0</v>
      </c>
      <c r="DJ206" s="127">
        <v>0</v>
      </c>
      <c r="DK206" s="127">
        <v>0</v>
      </c>
      <c r="DL206" s="127">
        <v>0</v>
      </c>
      <c r="DM206" s="304">
        <f>INDEX(Input!$1:$1048576,DM$93,$C206*2+6)</f>
        <v>21036.84210526316</v>
      </c>
      <c r="DN206" s="20">
        <v>0</v>
      </c>
      <c r="DO206" s="20">
        <v>0</v>
      </c>
      <c r="DP206" s="20">
        <v>0</v>
      </c>
      <c r="DQ206" s="20">
        <v>0</v>
      </c>
      <c r="DR206" s="20">
        <v>0</v>
      </c>
      <c r="DS206" s="20">
        <f>INDEX(Input!$1:$1048576,DS$93,$C206*2+6)</f>
        <v>0.6</v>
      </c>
      <c r="DT206" s="20">
        <f>INDEX(Input!$1:$1048576,DT$93,$C206*2+6)</f>
        <v>0.55000000000000004</v>
      </c>
      <c r="DU206" s="20">
        <f>INDEX(Input!$1:$1048576,DU$93,$C206*2+6)</f>
        <v>0.52</v>
      </c>
      <c r="DV206" s="20">
        <f>INDEX(Input!$1:$1048576,DV$93,$C206*2+6)</f>
        <v>0.5</v>
      </c>
      <c r="DW206" s="20">
        <f>INDEX(Input!$1:$1048576,DW$93,$C206*2+6)</f>
        <v>0.45</v>
      </c>
      <c r="DX206" s="20"/>
      <c r="DY206" s="7">
        <v>9.7596942143238274E-2</v>
      </c>
      <c r="DZ206" s="7">
        <v>0</v>
      </c>
      <c r="EA206" s="7">
        <v>0.64985328229444883</v>
      </c>
      <c r="EB206" s="7">
        <v>0</v>
      </c>
      <c r="EC206" s="7">
        <v>0</v>
      </c>
      <c r="ED206" s="7">
        <v>0</v>
      </c>
      <c r="EE206" s="7">
        <v>0</v>
      </c>
      <c r="EF206" s="7">
        <v>0</v>
      </c>
      <c r="EG206" s="7">
        <v>0</v>
      </c>
      <c r="EH206" s="7">
        <v>1.4257835491235327E-2</v>
      </c>
      <c r="EI206" s="7">
        <v>4.0579505325377671E-2</v>
      </c>
      <c r="EJ206" s="7">
        <v>0.30720705595003711</v>
      </c>
      <c r="EK206" s="7">
        <v>0.52675462296014663</v>
      </c>
      <c r="EL206" s="7">
        <v>0.11120098027320319</v>
      </c>
      <c r="EM206" s="7">
        <v>5.6854987200832721E-2</v>
      </c>
      <c r="EN206" s="7">
        <v>6.7211774851614489E-2</v>
      </c>
      <c r="EO206" s="7">
        <v>0.74594432139832756</v>
      </c>
      <c r="EP206" s="7">
        <v>8.063497826319091E-2</v>
      </c>
      <c r="EQ206" s="7">
        <v>6.8738411114552908E-2</v>
      </c>
      <c r="ER206" s="7">
        <v>3.7470514372314204E-2</v>
      </c>
      <c r="ES206" s="7">
        <v>0.19569478836148013</v>
      </c>
      <c r="ET206" s="7">
        <v>0.25254977556231289</v>
      </c>
      <c r="EU206" s="6">
        <v>1752</v>
      </c>
      <c r="EV206" s="6">
        <v>0</v>
      </c>
      <c r="EW206" s="6">
        <v>1752</v>
      </c>
      <c r="EX206" s="6">
        <v>0</v>
      </c>
      <c r="EY206" s="6">
        <v>2511.9545507296843</v>
      </c>
      <c r="EZ206" s="6">
        <v>1419</v>
      </c>
      <c r="FA206" s="6">
        <v>0</v>
      </c>
      <c r="FB206" s="6">
        <v>0</v>
      </c>
      <c r="FC206" s="6">
        <v>0</v>
      </c>
      <c r="FD206" s="6">
        <v>0</v>
      </c>
      <c r="FE206" s="6">
        <v>0</v>
      </c>
      <c r="FF206" s="6">
        <v>0</v>
      </c>
      <c r="FG206" s="6">
        <v>0</v>
      </c>
      <c r="FH206" s="6">
        <v>1173.730253253869</v>
      </c>
      <c r="FI206" s="6">
        <v>1553.979606951239</v>
      </c>
      <c r="FJ206" s="6">
        <v>2101.2110117447414</v>
      </c>
      <c r="FK206" s="6">
        <v>1772.7139978623225</v>
      </c>
      <c r="FL206" s="6">
        <v>907.07682140966324</v>
      </c>
      <c r="FM206" s="6">
        <v>1759.9545507296841</v>
      </c>
      <c r="FN206" s="6">
        <v>0</v>
      </c>
      <c r="FO206" s="6">
        <v>0</v>
      </c>
      <c r="FP206" s="6">
        <v>0</v>
      </c>
      <c r="FQ206" s="6">
        <v>0</v>
      </c>
      <c r="FR206" s="6">
        <v>0</v>
      </c>
      <c r="FS206" s="6">
        <v>0</v>
      </c>
      <c r="FT206" s="7">
        <v>0.74745022443768705</v>
      </c>
      <c r="FU206" s="7">
        <v>5.6854987200832721E-2</v>
      </c>
      <c r="FV206" s="7">
        <v>0.19569478836148013</v>
      </c>
      <c r="FW206" s="6">
        <v>1752</v>
      </c>
      <c r="FX206" s="6">
        <v>2511.9545507296839</v>
      </c>
      <c r="FY206" s="6">
        <v>1419</v>
      </c>
      <c r="FZ206" s="6">
        <v>1817.4615072224267</v>
      </c>
      <c r="GA206" s="6">
        <v>1730.0408417305778</v>
      </c>
      <c r="GB206" s="6">
        <v>18254.959158269423</v>
      </c>
      <c r="GC206" s="7">
        <v>1.804905384453976E-2</v>
      </c>
      <c r="GD206" s="7">
        <v>1.8204796888857601E-2</v>
      </c>
      <c r="GE206" s="7"/>
      <c r="GF206" s="7"/>
      <c r="GG206" s="7">
        <v>8.628875821374794E-3</v>
      </c>
      <c r="GH206" s="42">
        <v>-1.9726237763112688</v>
      </c>
      <c r="GI206" s="6">
        <v>-8401.135837773496</v>
      </c>
      <c r="GJ206" s="14">
        <v>0.50394797582841733</v>
      </c>
      <c r="GK206" s="14">
        <v>0.50887573065309744</v>
      </c>
      <c r="GL206" s="14">
        <v>0.49605202417158284</v>
      </c>
      <c r="GM206" s="14">
        <v>0.49112426934690234</v>
      </c>
      <c r="GO206" s="5">
        <v>343.14810671672558</v>
      </c>
      <c r="GP206" s="5">
        <v>309.72328904971403</v>
      </c>
      <c r="GQ206" s="5">
        <v>535.04305713031317</v>
      </c>
      <c r="GR206" s="5">
        <v>410.15490233172511</v>
      </c>
      <c r="GS206" s="5">
        <v>339.42744393800166</v>
      </c>
      <c r="GT206" s="5">
        <v>293.4407446948278</v>
      </c>
      <c r="GU206" s="5">
        <v>258.04012322764959</v>
      </c>
      <c r="GV206" s="39" t="s">
        <v>392</v>
      </c>
      <c r="GW206" s="5">
        <v>478.73611111111109</v>
      </c>
      <c r="GX206" s="5">
        <v>359.05208333333331</v>
      </c>
      <c r="GY206" s="5">
        <v>287.24166666666667</v>
      </c>
      <c r="GZ206" s="5">
        <v>253.46045905788822</v>
      </c>
      <c r="HA206" s="5">
        <v>234.78254399924478</v>
      </c>
      <c r="HB206" s="39">
        <v>269.25808099659361</v>
      </c>
      <c r="HC206" s="5">
        <v>225.203125</v>
      </c>
      <c r="HD206" s="5">
        <v>197.43247441520464</v>
      </c>
      <c r="HE206" s="5">
        <v>201.62200151821861</v>
      </c>
      <c r="HF206" s="5">
        <v>188.09438048245613</v>
      </c>
      <c r="HG206" s="5">
        <v>183.43388157894736</v>
      </c>
      <c r="HH206" s="39">
        <v>198.47039134283858</v>
      </c>
      <c r="HI206" s="16"/>
      <c r="HJ206" s="19" t="str">
        <f t="shared" si="685"/>
        <v>On</v>
      </c>
      <c r="HK206" s="1" t="str">
        <f t="shared" si="685"/>
        <v>On</v>
      </c>
      <c r="HL206" s="16"/>
      <c r="HM206" s="639">
        <f t="shared" si="634"/>
        <v>1.2768706344444866E-2</v>
      </c>
      <c r="HN206" s="639">
        <f t="shared" si="635"/>
        <v>9.795534288915453E-4</v>
      </c>
      <c r="HO206" s="639">
        <f t="shared" si="636"/>
        <v>3.3583061774515237E-3</v>
      </c>
      <c r="HP206" s="644">
        <f>(FT206*$GD206-HM206)/$JF206*INDEX(Input!$1:$1048576,$JG$93,$C206*2+6)</f>
        <v>60.92527049170814</v>
      </c>
      <c r="HQ206" s="644">
        <f>(FU206*$GD206-HN206)/$JF206*INDEX(Input!$1:$1048576,$JG$93,$C206*2+6)</f>
        <v>4.0313012713730663</v>
      </c>
      <c r="HR206" s="644">
        <f>(FV206*$GD206-HO206)/$JF206*INDEX(Input!$1:$1048576,$JG$93,$C206*2+6)</f>
        <v>14.843258310804334</v>
      </c>
      <c r="HS206" s="644">
        <f t="shared" si="686"/>
        <v>-31.696746457749391</v>
      </c>
      <c r="HT206" s="644">
        <f t="shared" si="638"/>
        <v>33.471203057918316</v>
      </c>
      <c r="HU206" s="644">
        <f t="shared" si="639"/>
        <v>17.42653824527908</v>
      </c>
      <c r="HV206" s="648">
        <f t="shared" si="640"/>
        <v>0</v>
      </c>
      <c r="HW206" s="648">
        <f t="shared" si="641"/>
        <v>0</v>
      </c>
      <c r="HX206" s="648">
        <f t="shared" si="642"/>
        <v>0</v>
      </c>
      <c r="HY206" s="644">
        <f>INDEX(Input!$1:$1048576,HY$93,$C206*2+6)*INDEX(Input!$1:$1048576,$JG$93,$C206*2+6)</f>
        <v>451</v>
      </c>
      <c r="HZ206" s="644">
        <f>INDEX(Input!$1:$1048576,HZ$93,$C206*2+6)*INDEX(Input!$1:$1048576,$JG$93,$C206*2+6)</f>
        <v>577</v>
      </c>
      <c r="IA206" s="644">
        <f>INDEX(Input!$1:$1048576,IA$93,$C206*2+6)*INDEX(Input!$1:$1048576,$JG$93,$C206*2+6)</f>
        <v>215</v>
      </c>
      <c r="IB206" s="644">
        <f t="shared" si="666"/>
        <v>480.22852403395882</v>
      </c>
      <c r="IC206" s="644">
        <f t="shared" si="667"/>
        <v>614.50250432929136</v>
      </c>
      <c r="ID206" s="644">
        <f>IF(AND(INDEX(Input!$1:$1048576,IA$93,$C206*2+7)="TOS",Y206&lt;=INDEX(Y:Y,MATCH(C206*1000+2,A:A))),0,1)*MAX(IA206+HR206+HU206+HX206,0%)</f>
        <v>247.26979655608343</v>
      </c>
      <c r="IE206" s="128">
        <f t="shared" si="696"/>
        <v>0.3578451779735865</v>
      </c>
      <c r="IF206" s="128">
        <f t="shared" si="643"/>
        <v>0.45790024336701024</v>
      </c>
      <c r="IG206" s="128">
        <f t="shared" si="644"/>
        <v>0.18425457865940328</v>
      </c>
      <c r="IH206" s="21"/>
      <c r="II206" s="19">
        <f t="shared" si="645"/>
        <v>1252</v>
      </c>
      <c r="IJ206" s="19">
        <f t="shared" si="646"/>
        <v>2011.9658773055378</v>
      </c>
      <c r="IK206" s="19">
        <f t="shared" si="647"/>
        <v>919</v>
      </c>
      <c r="IL206" s="19">
        <f t="shared" si="669"/>
        <v>500</v>
      </c>
      <c r="IM206" s="19">
        <f t="shared" si="648"/>
        <v>499.9886734241461</v>
      </c>
      <c r="IN206" s="19">
        <f t="shared" si="649"/>
        <v>500</v>
      </c>
      <c r="IO206" s="39">
        <f t="shared" si="650"/>
        <v>0</v>
      </c>
      <c r="IP206" s="39">
        <f t="shared" si="651"/>
        <v>0</v>
      </c>
      <c r="IQ206" s="39">
        <f t="shared" si="652"/>
        <v>0</v>
      </c>
      <c r="IR206" s="39">
        <v>0</v>
      </c>
      <c r="IS206" s="39">
        <v>0</v>
      </c>
      <c r="IT206" s="39">
        <v>0</v>
      </c>
      <c r="IU206" s="39">
        <v>0</v>
      </c>
      <c r="IV206" s="39">
        <v>0</v>
      </c>
      <c r="IW206" s="39">
        <v>0</v>
      </c>
      <c r="IX206" s="39">
        <f>INDEX(Input!$1:$1048576,IX$93,$C206*2+6)+INDEX(Input!$1:$1048576,IX$94,$C206*2+6)</f>
        <v>1294</v>
      </c>
      <c r="IY206" s="39">
        <f>INDEX(Input!$1:$1048576,IY$93,$C206*2+6)+INDEX(Input!$1:$1048576,IY$94,$C206*2+6)</f>
        <v>2154.0624533823611</v>
      </c>
      <c r="IZ206" s="39">
        <f>INDEX(Input!$1:$1048576,IZ$93,$C206*2+6)+INDEX(Input!$1:$1048576,IZ$94,$C206*2+6)</f>
        <v>3677.7164157747848</v>
      </c>
      <c r="JA206" s="19">
        <f t="shared" si="670"/>
        <v>1794</v>
      </c>
      <c r="JB206" s="19">
        <f t="shared" si="671"/>
        <v>2654.0511268065075</v>
      </c>
      <c r="JC206" s="19">
        <f t="shared" si="672"/>
        <v>4177.7164157747848</v>
      </c>
      <c r="JD206" s="19">
        <f t="shared" si="673"/>
        <v>2627.0282841048574</v>
      </c>
      <c r="JE206" s="21"/>
      <c r="JF206" s="1">
        <f t="shared" si="653"/>
        <v>1.7106565950787935E-2</v>
      </c>
      <c r="JG206" s="15">
        <f>INDEX(Input!$1:$1048576,JG$93,$C206*2+6)/(1+VLOOKUP(C206*1000+INDEX(Input!$1:$1048576,JG$93+1,$C206*2+6),$A:$KK,$JK$92,FALSE))</f>
        <v>1243</v>
      </c>
      <c r="JH206" s="1">
        <f t="shared" si="674"/>
        <v>6.4199380590414745E-2</v>
      </c>
      <c r="JI206" s="1">
        <f t="shared" si="675"/>
        <v>1.5447300760617864E-2</v>
      </c>
      <c r="JJ206" s="1">
        <f t="shared" si="676"/>
        <v>0</v>
      </c>
      <c r="JK206" s="1">
        <f t="shared" ref="JK206:JK207" si="698">SUM(JH206:JJ206)</f>
        <v>7.9646681351032617E-2</v>
      </c>
      <c r="JL206" s="15">
        <f t="shared" si="678"/>
        <v>99.000824919333539</v>
      </c>
      <c r="JM206" s="15">
        <f>JG206+JL206</f>
        <v>1342.0008249193336</v>
      </c>
      <c r="JN206" s="21"/>
      <c r="JO206" s="19">
        <f>INDEX(Input!$1:$1048576,JO$93,$C206*2+6)</f>
        <v>5995.5</v>
      </c>
      <c r="JP206" s="19">
        <f>INDEX(Input!$1:$1048576,JP$93,$C206*2+6)</f>
        <v>2105.548724853742</v>
      </c>
      <c r="JQ206" s="39">
        <f t="shared" si="688"/>
        <v>3368.4717158951426</v>
      </c>
      <c r="JR206" s="39">
        <f>JD206-JP206</f>
        <v>521.47955925111546</v>
      </c>
      <c r="JS206" s="39">
        <f t="shared" si="690"/>
        <v>3.52547412435514</v>
      </c>
      <c r="JT206" s="39">
        <f t="shared" si="680"/>
        <v>0.90827705936193881</v>
      </c>
      <c r="JU206" s="385">
        <f>(JQ206*JM206-INDEX(Input!$1:$1048576,Input!A$18,$C206*2+6)*JL206*INDEX(Input!$1:$1048576,Input!A$19,$C206*2+6))/1000000</f>
        <v>4.5204918214487249</v>
      </c>
      <c r="JV206" s="39">
        <f t="shared" si="656"/>
        <v>-0.31471761355807359</v>
      </c>
      <c r="JW206" s="1">
        <f>JV206/(JU206-JV206)</f>
        <v>-6.5088724240055823E-2</v>
      </c>
      <c r="JX206" s="19">
        <f t="shared" si="694"/>
        <v>9174.4393049452701</v>
      </c>
      <c r="JZ206" s="468">
        <f>DB206-DB201</f>
        <v>500</v>
      </c>
      <c r="KA206" s="469">
        <f>JH206/(JZ206/BX206)</f>
        <v>2.5660492421988774</v>
      </c>
      <c r="KB206" s="469">
        <f t="shared" si="691"/>
        <v>2.5660492421988774</v>
      </c>
      <c r="KI206" s="473">
        <f t="shared" si="692"/>
        <v>29.22852403395882</v>
      </c>
      <c r="KJ206" s="473">
        <f t="shared" si="681"/>
        <v>37.502504329291355</v>
      </c>
      <c r="KK206" s="473">
        <f t="shared" si="682"/>
        <v>32.269796556083435</v>
      </c>
      <c r="KN206" s="544">
        <f t="shared" si="695"/>
        <v>2002</v>
      </c>
      <c r="KO206" s="541">
        <f t="shared" si="657"/>
        <v>7.3285677024560236E-2</v>
      </c>
      <c r="KP206" s="546">
        <f t="shared" si="658"/>
        <v>460.75811177985622</v>
      </c>
      <c r="KQ206" s="546">
        <f t="shared" si="659"/>
        <v>483.34794467138454</v>
      </c>
      <c r="KR206" s="548">
        <f t="shared" si="660"/>
        <v>2.8377431821773911</v>
      </c>
      <c r="KS206" s="548">
        <f t="shared" si="661"/>
        <v>2.7051179274697419</v>
      </c>
      <c r="KT206" s="473">
        <f t="shared" si="693"/>
        <v>843.26993010479111</v>
      </c>
      <c r="KU206" s="663">
        <f t="shared" si="683"/>
        <v>4.4992449831753465</v>
      </c>
      <c r="KV206" s="117"/>
    </row>
    <row r="207" spans="1:310" s="26" customFormat="1" ht="15">
      <c r="A207" s="561">
        <f t="shared" si="662"/>
        <v>2007</v>
      </c>
      <c r="B207" s="561">
        <f t="shared" si="684"/>
        <v>7</v>
      </c>
      <c r="C207" s="561">
        <f t="shared" si="105"/>
        <v>2</v>
      </c>
      <c r="D207" s="561" t="s">
        <v>634</v>
      </c>
      <c r="E207" s="475">
        <f>INDEX(Input!$1:$1048576,E$93,$C207*2+MIN($B207,1)+5)</f>
        <v>1000</v>
      </c>
      <c r="F207" s="475">
        <f>INDEX(Input!$1:$1048576,F$93,$C207*2+MIN($B207,1)+5)</f>
        <v>0</v>
      </c>
      <c r="G207" s="475">
        <f>INDEX(Input!$1:$1048576,G$93,$C207*2+MIN($B207,1)+5)</f>
        <v>0</v>
      </c>
      <c r="H207" s="475">
        <f>INDEX(Input!$1:$1048576,H$93,$C207*2+MIN($B207,1)+5)</f>
        <v>0</v>
      </c>
      <c r="I207" s="476">
        <f>INDEX(Input!$1:$1048576,I$93,$C207*2+MIN($B207,1)+5)</f>
        <v>0.7</v>
      </c>
      <c r="J207" s="476" t="str">
        <f>INDEX(Input!$1:$1048576,J$93,$C207*2+MIN($B207,1)+5)</f>
        <v>Market</v>
      </c>
      <c r="K207" s="476" t="str">
        <f>INDEX(Input!$1:$1048576,K$93,$C207*2+MIN($B207,1)+5)</f>
        <v>Market</v>
      </c>
      <c r="L207" s="476" t="str">
        <f>INDEX(Input!$1:$1048576,L$93,$C207*2+MIN($B207,1)+5)</f>
        <v>Market</v>
      </c>
      <c r="M207" s="476" t="str">
        <f>INDEX(Input!$1:$1048576,M$93,$C207*2+MIN($B207,1)+5)</f>
        <v>Market</v>
      </c>
      <c r="N207" s="476" t="str">
        <f>INDEX(Input!$1:$1048576,N$93,$C207*2+MIN($B207,1)+5)</f>
        <v>Market</v>
      </c>
      <c r="O207" s="476" t="str">
        <f>INDEX(Input!$1:$1048576,O$93,$C207*2+MIN($B207,1)+5)</f>
        <v>Market</v>
      </c>
      <c r="P207" s="476" t="str">
        <f>INDEX(Input!$1:$1048576,P$93,$C207*2+MIN($B207,1)+5)</f>
        <v>N</v>
      </c>
      <c r="Q207" s="477">
        <f>INDEX(Input!$1:$1048576,Q$93,$C207*2+MIN($B207,1)+5)</f>
        <v>0</v>
      </c>
      <c r="R207" s="478">
        <f>IFERROR(MAX(0,INDEX(Input!$1:$1048576,R$93,$C207*2+MIN($B207,1)+5)-0%),"Market")</f>
        <v>0</v>
      </c>
      <c r="S207" s="478">
        <f>IFERROR(MAX(0,INDEX(Input!$1:$1048576,S$93,$C207*2+MIN($B207,1)+5)-0%),"Market")</f>
        <v>0</v>
      </c>
      <c r="T207" s="478">
        <f>IFERROR(MAX(0,INDEX(Input!$1:$1048576,T$93,$C207*2+MIN($B207,1)+5)-0%),"Market")</f>
        <v>0</v>
      </c>
      <c r="U207" s="478">
        <f>IFERROR(MAX(0,INDEX(Input!$1:$1048576,U$93,$C207*2+MIN($B207,1)+5)-0%),"Market")</f>
        <v>0</v>
      </c>
      <c r="V207" s="478">
        <f>IFERROR(MAX(0,INDEX(Input!$1:$1048576,V$93,$C207*2+MIN($B207,1)+5)-0%),"Market")</f>
        <v>1.9E-2</v>
      </c>
      <c r="W207" s="885">
        <f>IFERROR(MAX(0,INDEX(Input!$1:$1048576,W$93,$C207*2+MIN($B207,1)+5)-0%),"Market")</f>
        <v>3.9E-2</v>
      </c>
      <c r="X207" s="476" t="str">
        <f>INDEX(Input!$1:$1048576,X$93,$C207*2+MIN($B207,1)+5)</f>
        <v>Y</v>
      </c>
      <c r="Y207" s="475">
        <f>INDEX(Input!$1:$1048576,Y$93,$C207*2+MIN($B207,1)+5)</f>
        <v>463</v>
      </c>
      <c r="Z207" s="477">
        <f>INDEX(Input!$1:$1048576,Z$93,$C207*2+MIN($B207,1)+5)</f>
        <v>0</v>
      </c>
      <c r="AA207" s="475">
        <f>INDEX(Input!$1:$1048576,AA$93,$C207*2+MIN($B207,1)+5)</f>
        <v>1000</v>
      </c>
      <c r="AB207" s="476">
        <f>INDEX(Input!$1:$1048576,AB$93,$C207*2+MIN($B207,1)+5)</f>
        <v>0.27</v>
      </c>
      <c r="AC207" s="475">
        <f>INDEX(Input!$1:$1048576,AC$93,$C207*2+MIN($B207,1)+5)</f>
        <v>1000</v>
      </c>
      <c r="AD207" s="476">
        <f>INDEX(Input!$1:$1048576,AD$93,$C207*2+MIN($B207,1)+5)</f>
        <v>0.27</v>
      </c>
      <c r="AE207" s="475">
        <f>INDEX(Input!$1:$1048576,AE$93,$C207*2+MIN($B207,1)+5)</f>
        <v>500</v>
      </c>
      <c r="AF207" s="476">
        <f>INDEX(Input!$1:$1048576,AF$93,$C207*2+MIN($B207,1)+5)</f>
        <v>4.8000000000000001E-2</v>
      </c>
      <c r="AG207" s="475">
        <f>INDEX(Input!$1:$1048576,AG$93,$C207*2+MIN($B207,1)+5)</f>
        <v>0</v>
      </c>
      <c r="AH207" s="476">
        <f>INDEX(Input!$1:$1048576,AH$93,$C207*2+MIN($B207,1)+5)</f>
        <v>0.94599999999999995</v>
      </c>
      <c r="AI207" s="475">
        <f>INDEX(Input!$1:$1048576,AI$93,$C207*2+MIN($B207,1)+5)</f>
        <v>0</v>
      </c>
      <c r="AJ207" s="476">
        <f>INDEX(Input!$1:$1048576,AJ$93,$C207*2+MIN($B207,1)+5)</f>
        <v>0.27</v>
      </c>
      <c r="AK207" s="150">
        <f>ROUND(INDEX(Input!$1:$1048576,AK$93,$C206*2+MIN($B207,1)+5)+(Y207-VLOOKUP($C207*1000+1,$A:$HH,Y$92,FALSE)),0)</f>
        <v>3384</v>
      </c>
      <c r="AL207" s="150">
        <f>ROUND(INDEX(Input!$1:$1048576,AL$93,$C206*2+MIN($B207,1)+5)-(Y207-VLOOKUP($C207*1000+1,$A:$HH,Y$92,FALSE))/36,0)</f>
        <v>3384</v>
      </c>
      <c r="AM207" s="32" t="str">
        <f t="shared" si="663"/>
        <v>std/std/std/std</v>
      </c>
      <c r="AN207" s="32" t="str">
        <f t="shared" si="664"/>
        <v>$0 + 0/0/0/1.9/3.9</v>
      </c>
      <c r="AO207" s="32" t="str">
        <f t="shared" si="665"/>
        <v>0/0/0/1.9/3.9</v>
      </c>
      <c r="AP207" s="32" t="str">
        <f t="shared" si="498"/>
        <v>0/0.9/1.9/3.9</v>
      </c>
      <c r="AQ207" s="536">
        <f t="shared" si="497"/>
        <v>294.36283185840711</v>
      </c>
      <c r="AR207" s="32"/>
      <c r="AS207" s="302"/>
      <c r="AT207" s="3">
        <f t="shared" si="106"/>
        <v>7</v>
      </c>
      <c r="AU207" s="41" t="s">
        <v>121</v>
      </c>
      <c r="AV207" s="41" t="s">
        <v>116</v>
      </c>
      <c r="AW207" s="41" t="str">
        <f>INDEX(Input!$1:$1048576,AW$93,$C207*2+6)</f>
        <v>Kia</v>
      </c>
      <c r="AX207" s="41" t="str">
        <f>INDEX(Input!$1:$1048576,AX$93,$C207*2+6)</f>
        <v>Kia-LR - L2</v>
      </c>
      <c r="AY207" s="41" t="str">
        <f>IF(LEN(D207)=0,"",INDEX(Input!$1:$1048576,AY$93,$C207*2+6))</f>
        <v>Compact SUV (52)</v>
      </c>
      <c r="AZ207" s="41" t="str">
        <f>INDEX(Input!$1:$1048576,AZ$93,$C207*2+6)</f>
        <v>Kia Soul</v>
      </c>
      <c r="BA207" s="3">
        <f>INDEX(Input!$1:$1048576,BA$93,$C207*2+6)</f>
        <v>2020</v>
      </c>
      <c r="BB207" s="128">
        <f>INDEX(Input!$1:$1048576,BB$93,$C207*2+6)</f>
        <v>1</v>
      </c>
      <c r="BC207" s="128">
        <f>INDEX(Input!$1:$1048576,BC$93,$C207*2+6)</f>
        <v>0.7</v>
      </c>
      <c r="BD207" s="1">
        <f>INDEX(Input!$1:$1048576,BD$93,$C207*2+6)</f>
        <v>4.4999999999999998E-2</v>
      </c>
      <c r="BE207" s="1">
        <f>INDEX(Input!$1:$1048576,BE$93,$C207*2+6)</f>
        <v>4.4999999999999998E-2</v>
      </c>
      <c r="BF207" s="1">
        <f>INDEX(Input!$1:$1048576,BF$93,$C207*2+6)</f>
        <v>0.05</v>
      </c>
      <c r="BG207" s="1">
        <f>INDEX(Input!$1:$1048576,BG$93,$C207*2+6)</f>
        <v>5.45E-2</v>
      </c>
      <c r="BH207" s="1">
        <f>INDEX(Input!$1:$1048576,BH$93,$C207*2+6)</f>
        <v>5.45E-2</v>
      </c>
      <c r="BI207" s="1">
        <f>INDEX(Input!$1:$1048576,BI$93,$C207*2+6)</f>
        <v>0.05</v>
      </c>
      <c r="BJ207" s="1">
        <f>INDEX(Input!$1:$1048576,BJ$93,$C207*2+6)</f>
        <v>0.05</v>
      </c>
      <c r="BK207" s="1">
        <f>INDEX(Input!$1:$1048576,BK$93,$C207*2+6)</f>
        <v>0.05</v>
      </c>
      <c r="BL207" s="1">
        <f>INDEX(Input!$1:$1048576,BL$93,$C207*2+6)</f>
        <v>5.5E-2</v>
      </c>
      <c r="BM207" s="1">
        <f>INDEX(Input!$1:$1048576,BM$93,$C207*2+6)</f>
        <v>0.06</v>
      </c>
      <c r="BN207" s="1">
        <f>INDEX(Input!$1:$1048576,BN$93,$C207*2+6)</f>
        <v>4.4999999999999998E-2</v>
      </c>
      <c r="BO207" s="1">
        <f>INDEX(Input!$1:$1048576,BO$93,$C207*2+6)</f>
        <v>4.4999999999999998E-2</v>
      </c>
      <c r="BP207" s="1">
        <f>INDEX(Input!$1:$1048576,BP$93,$C207*2+6)</f>
        <v>0.05</v>
      </c>
      <c r="BQ207" s="1">
        <f>INDEX(Input!$1:$1048576,BQ$93,$C207*2+6)</f>
        <v>5.45E-2</v>
      </c>
      <c r="BR207" s="1">
        <f>INDEX(Input!$1:$1048576,BR$93,$C207*2+6)</f>
        <v>5.45E-2</v>
      </c>
      <c r="BS207" s="1">
        <f>INDEX(Input!$1:$1048576,BS$93,$C207*2+6)</f>
        <v>0.05</v>
      </c>
      <c r="BT207" s="1">
        <f>INDEX(Input!$1:$1048576,BT$93,$C207*2+6)</f>
        <v>0.05</v>
      </c>
      <c r="BU207" s="1">
        <f>INDEX(Input!$1:$1048576,BU$93,$C207*2+6)</f>
        <v>0.05</v>
      </c>
      <c r="BV207" s="1">
        <f>INDEX(Input!$1:$1048576,BV$93,$C207*2+6)</f>
        <v>5.5E-2</v>
      </c>
      <c r="BW207" s="1">
        <f>INDEX(Input!$1:$1048576,BW$93,$C207*2+6)</f>
        <v>0.06</v>
      </c>
      <c r="BX207" s="127">
        <f>INDEX(Input!$1:$1048576,BX$93,$C207*2+6)</f>
        <v>19985</v>
      </c>
      <c r="BY207" s="20">
        <f>INDEX(Input!$1:$1048576,BY$93,$C207*2+6)</f>
        <v>0.1</v>
      </c>
      <c r="BZ207" s="20">
        <f>INDEX(Input!$1:$1048576,BZ$93,$C207*2+6)</f>
        <v>0.1</v>
      </c>
      <c r="CA207" s="20">
        <f>INDEX(Input!$1:$1048576,CA$93,$C207*2+6)</f>
        <v>0.1</v>
      </c>
      <c r="CB207" s="20">
        <f>INDEX(Input!$1:$1048576,CB$93,$C207*2+6)</f>
        <v>0.1</v>
      </c>
      <c r="CC207" s="20">
        <f>INDEX(Input!$1:$1048576,CC$93,$C207*2+6)</f>
        <v>0.1</v>
      </c>
      <c r="CD207" s="384">
        <f>INDEX(Input!$1:$1048576,CD$93,$C207*2+6)</f>
        <v>0.1</v>
      </c>
      <c r="CE207" s="384">
        <f>INDEX(Input!$1:$1048576,CE$93,$C207*2+6)</f>
        <v>0.1</v>
      </c>
      <c r="CF207" s="384">
        <f>INDEX(Input!$1:$1048576,CF$93,$C207*2+6)</f>
        <v>0.1</v>
      </c>
      <c r="CG207" s="384">
        <f>INDEX(Input!$1:$1048576,CG$93,$C207*2+6)</f>
        <v>0.1</v>
      </c>
      <c r="CH207" s="384">
        <f>INDEX(Input!$1:$1048576,CH$93,$C207*2+6)</f>
        <v>0.1</v>
      </c>
      <c r="CI207" s="304">
        <f t="shared" si="499"/>
        <v>1270</v>
      </c>
      <c r="CJ207" s="16" t="str">
        <f>INDEX(Input!$1:$1048576,CJ$93,$C207*2+6)</f>
        <v>N</v>
      </c>
      <c r="CK207" s="1" t="str">
        <f t="shared" si="500"/>
        <v>Market</v>
      </c>
      <c r="CL207" s="1" t="str">
        <f t="shared" si="501"/>
        <v>Market</v>
      </c>
      <c r="CM207" s="1" t="str">
        <f t="shared" si="502"/>
        <v>Market</v>
      </c>
      <c r="CN207" s="1" t="str">
        <f t="shared" si="503"/>
        <v>Market</v>
      </c>
      <c r="CO207" s="1" t="str">
        <f t="shared" si="504"/>
        <v>Market</v>
      </c>
      <c r="CP207" s="304">
        <f t="shared" si="505"/>
        <v>0</v>
      </c>
      <c r="CQ207" s="1">
        <f t="shared" si="506"/>
        <v>0</v>
      </c>
      <c r="CR207" s="1">
        <f t="shared" si="507"/>
        <v>0</v>
      </c>
      <c r="CS207" s="1">
        <f t="shared" si="508"/>
        <v>0</v>
      </c>
      <c r="CT207" s="1">
        <f t="shared" si="509"/>
        <v>1.9E-2</v>
      </c>
      <c r="CU207" s="1">
        <f t="shared" si="510"/>
        <v>3.9E-2</v>
      </c>
      <c r="CV207" s="304">
        <f t="shared" si="511"/>
        <v>733</v>
      </c>
      <c r="CW207" s="20" t="s">
        <v>122</v>
      </c>
      <c r="CX207" s="20" t="s">
        <v>122</v>
      </c>
      <c r="CY207" s="20" t="s">
        <v>122</v>
      </c>
      <c r="CZ207" s="20" t="s">
        <v>122</v>
      </c>
      <c r="DA207" s="20" t="s">
        <v>122</v>
      </c>
      <c r="DB207" s="503">
        <f t="shared" si="512"/>
        <v>24</v>
      </c>
      <c r="DC207" s="127">
        <v>0</v>
      </c>
      <c r="DD207" s="127">
        <v>0</v>
      </c>
      <c r="DE207" s="127">
        <v>0</v>
      </c>
      <c r="DF207" s="127">
        <v>0</v>
      </c>
      <c r="DG207" s="127">
        <v>0</v>
      </c>
      <c r="DH207" s="127">
        <v>0</v>
      </c>
      <c r="DI207" s="127">
        <v>0</v>
      </c>
      <c r="DJ207" s="127">
        <v>0</v>
      </c>
      <c r="DK207" s="127">
        <v>0</v>
      </c>
      <c r="DL207" s="127">
        <v>0</v>
      </c>
      <c r="DM207" s="304">
        <f>INDEX(Input!$1:$1048576,DM$93,$C207*2+6)</f>
        <v>21036.84210526316</v>
      </c>
      <c r="DN207" s="20">
        <v>0</v>
      </c>
      <c r="DO207" s="20">
        <v>0</v>
      </c>
      <c r="DP207" s="20">
        <v>0</v>
      </c>
      <c r="DQ207" s="20">
        <v>0</v>
      </c>
      <c r="DR207" s="20">
        <v>0</v>
      </c>
      <c r="DS207" s="20">
        <f>INDEX(Input!$1:$1048576,DS$93,$C207*2+6)</f>
        <v>0.6</v>
      </c>
      <c r="DT207" s="20">
        <f>INDEX(Input!$1:$1048576,DT$93,$C207*2+6)</f>
        <v>0.55000000000000004</v>
      </c>
      <c r="DU207" s="20">
        <f>INDEX(Input!$1:$1048576,DU$93,$C207*2+6)</f>
        <v>0.52</v>
      </c>
      <c r="DV207" s="20">
        <f>INDEX(Input!$1:$1048576,DV$93,$C207*2+6)</f>
        <v>0.5</v>
      </c>
      <c r="DW207" s="20">
        <f>INDEX(Input!$1:$1048576,DW$93,$C207*2+6)</f>
        <v>0.45</v>
      </c>
      <c r="DX207" s="20"/>
      <c r="DY207" s="7">
        <v>9.189248386807744E-2</v>
      </c>
      <c r="DZ207" s="7">
        <v>0</v>
      </c>
      <c r="EA207" s="7">
        <v>0.65452888329455483</v>
      </c>
      <c r="EB207" s="7">
        <v>0</v>
      </c>
      <c r="EC207" s="7">
        <v>0</v>
      </c>
      <c r="ED207" s="7">
        <v>0</v>
      </c>
      <c r="EE207" s="7">
        <v>0</v>
      </c>
      <c r="EF207" s="7">
        <v>0</v>
      </c>
      <c r="EG207" s="7">
        <v>0</v>
      </c>
      <c r="EH207" s="7">
        <v>1.4260549755981275E-2</v>
      </c>
      <c r="EI207" s="7">
        <v>4.0588217628574064E-2</v>
      </c>
      <c r="EJ207" s="7">
        <v>0.30722721491864208</v>
      </c>
      <c r="EK207" s="7">
        <v>0.52673255580002443</v>
      </c>
      <c r="EL207" s="7">
        <v>0.11119146189677807</v>
      </c>
      <c r="EM207" s="7">
        <v>5.7261839208963314E-2</v>
      </c>
      <c r="EN207" s="7">
        <v>6.5449566287667627E-2</v>
      </c>
      <c r="EO207" s="7">
        <v>0.73144282105826275</v>
      </c>
      <c r="EP207" s="7">
        <v>8.798336510560302E-2</v>
      </c>
      <c r="EQ207" s="7">
        <v>7.5055336563532929E-2</v>
      </c>
      <c r="ER207" s="7">
        <v>4.0068910984934265E-2</v>
      </c>
      <c r="ES207" s="7">
        <v>0.19631679362840435</v>
      </c>
      <c r="ET207" s="7">
        <v>0.25357863283736765</v>
      </c>
      <c r="EU207" s="6">
        <v>1252</v>
      </c>
      <c r="EV207" s="6">
        <v>0</v>
      </c>
      <c r="EW207" s="6">
        <v>1252</v>
      </c>
      <c r="EX207" s="6">
        <v>0</v>
      </c>
      <c r="EY207" s="6">
        <v>2011.9658773055378</v>
      </c>
      <c r="EZ207" s="6">
        <v>919</v>
      </c>
      <c r="FA207" s="6">
        <v>0</v>
      </c>
      <c r="FB207" s="6">
        <v>0</v>
      </c>
      <c r="FC207" s="6">
        <v>0</v>
      </c>
      <c r="FD207" s="6">
        <v>0</v>
      </c>
      <c r="FE207" s="6">
        <v>0</v>
      </c>
      <c r="FF207" s="6">
        <v>0</v>
      </c>
      <c r="FG207" s="6">
        <v>0</v>
      </c>
      <c r="FH207" s="6">
        <v>1173.7300032750484</v>
      </c>
      <c r="FI207" s="6">
        <v>1553.9796069512395</v>
      </c>
      <c r="FJ207" s="6">
        <v>2101.2110117447405</v>
      </c>
      <c r="FK207" s="6">
        <v>1772.7139978623238</v>
      </c>
      <c r="FL207" s="6">
        <v>907.07682140966403</v>
      </c>
      <c r="FM207" s="6">
        <v>1759.9658773055378</v>
      </c>
      <c r="FN207" s="6">
        <v>0</v>
      </c>
      <c r="FO207" s="6">
        <v>0</v>
      </c>
      <c r="FP207" s="6">
        <v>0</v>
      </c>
      <c r="FQ207" s="6">
        <v>0</v>
      </c>
      <c r="FR207" s="6">
        <v>0</v>
      </c>
      <c r="FS207" s="6">
        <v>0</v>
      </c>
      <c r="FT207" s="7">
        <v>0.7464213671626323</v>
      </c>
      <c r="FU207" s="7">
        <v>5.7261839208963314E-2</v>
      </c>
      <c r="FV207" s="7">
        <v>0.19631679362840435</v>
      </c>
      <c r="FW207" s="6">
        <v>1252</v>
      </c>
      <c r="FX207" s="6">
        <v>2011.9658773055378</v>
      </c>
      <c r="FY207" s="6">
        <v>919</v>
      </c>
      <c r="FZ207" s="6">
        <v>1817.4615072224267</v>
      </c>
      <c r="GA207" s="6">
        <v>1230.1435515923097</v>
      </c>
      <c r="GB207" s="6">
        <v>18754.856448407689</v>
      </c>
      <c r="GC207" s="7">
        <v>1.804905384453976E-2</v>
      </c>
      <c r="GD207" s="7">
        <v>1.7106565950787935E-2</v>
      </c>
      <c r="GE207" s="7"/>
      <c r="GF207" s="7"/>
      <c r="GG207" s="7">
        <v>-5.2218132976369194E-2</v>
      </c>
      <c r="GH207" s="42">
        <v>1.7768559219564659</v>
      </c>
      <c r="GI207" s="6">
        <v>12477.538319534358</v>
      </c>
      <c r="GJ207" s="14">
        <v>0.50394797582841733</v>
      </c>
      <c r="GK207" s="14">
        <v>0.50887573065309744</v>
      </c>
      <c r="GL207" s="14">
        <v>0.49605202417158273</v>
      </c>
      <c r="GM207" s="14">
        <v>0.49112426934690223</v>
      </c>
      <c r="GO207" s="5">
        <v>343.14810671672558</v>
      </c>
      <c r="GP207" s="5">
        <v>319.26233518755981</v>
      </c>
      <c r="GQ207" s="5">
        <v>535.04305713031317</v>
      </c>
      <c r="GR207" s="5">
        <v>410.15490233172511</v>
      </c>
      <c r="GS207" s="5">
        <v>339.42744393800166</v>
      </c>
      <c r="GT207" s="5">
        <v>293.4407446948278</v>
      </c>
      <c r="GU207" s="5">
        <v>258.04012322764959</v>
      </c>
      <c r="GV207" s="39" t="s">
        <v>392</v>
      </c>
      <c r="GW207" s="5">
        <v>492.625</v>
      </c>
      <c r="GX207" s="5">
        <v>369.46875</v>
      </c>
      <c r="GY207" s="5">
        <v>295.57499999999999</v>
      </c>
      <c r="GZ207" s="5">
        <v>260.81374633218945</v>
      </c>
      <c r="HA207" s="5">
        <v>241.59395552842301</v>
      </c>
      <c r="HB207" s="39">
        <v>277.07214169903904</v>
      </c>
      <c r="HC207" s="5">
        <v>247.078125</v>
      </c>
      <c r="HD207" s="5">
        <v>212.36302997076018</v>
      </c>
      <c r="HE207" s="5">
        <v>215.48418100539809</v>
      </c>
      <c r="HF207" s="5">
        <v>199.65688048245613</v>
      </c>
      <c r="HG207" s="5">
        <v>193.01721491228068</v>
      </c>
      <c r="HH207" s="39">
        <v>213.18089718730909</v>
      </c>
      <c r="HI207" s="16"/>
      <c r="HJ207" s="19" t="str">
        <f t="shared" si="685"/>
        <v>On</v>
      </c>
      <c r="HK207" s="1" t="str">
        <f t="shared" si="685"/>
        <v>On</v>
      </c>
      <c r="HL207" s="16"/>
      <c r="HM207" s="639">
        <f t="shared" si="634"/>
        <v>1.2768706344444866E-2</v>
      </c>
      <c r="HN207" s="639">
        <f t="shared" si="635"/>
        <v>9.795534288915453E-4</v>
      </c>
      <c r="HO207" s="639">
        <f t="shared" si="636"/>
        <v>3.3583061774515237E-3</v>
      </c>
      <c r="HP207" s="644">
        <f>(FT207*$GD207-HM207)/$JF207*INDEX(Input!$1:$1048576,$JG$93,$C207*2+6)</f>
        <v>0</v>
      </c>
      <c r="HQ207" s="644">
        <f>(FU207*$GD207-HN207)/$JF207*INDEX(Input!$1:$1048576,$JG$93,$C207*2+6)</f>
        <v>0</v>
      </c>
      <c r="HR207" s="644">
        <f>(FV207*$GD207-HO207)/$JF207*INDEX(Input!$1:$1048576,$JG$93,$C207*2+6)</f>
        <v>0</v>
      </c>
      <c r="HS207" s="644">
        <f t="shared" si="686"/>
        <v>0</v>
      </c>
      <c r="HT207" s="644">
        <f t="shared" si="638"/>
        <v>0</v>
      </c>
      <c r="HU207" s="644">
        <f t="shared" si="639"/>
        <v>0</v>
      </c>
      <c r="HV207" s="648">
        <f t="shared" si="640"/>
        <v>0</v>
      </c>
      <c r="HW207" s="648">
        <f t="shared" si="641"/>
        <v>0</v>
      </c>
      <c r="HX207" s="648">
        <f t="shared" si="642"/>
        <v>0</v>
      </c>
      <c r="HY207" s="644">
        <f>INDEX(Input!$1:$1048576,HY$93,$C207*2+6)*INDEX(Input!$1:$1048576,$JG$93,$C207*2+6)</f>
        <v>451</v>
      </c>
      <c r="HZ207" s="644">
        <f>INDEX(Input!$1:$1048576,HZ$93,$C207*2+6)*INDEX(Input!$1:$1048576,$JG$93,$C207*2+6)</f>
        <v>577</v>
      </c>
      <c r="IA207" s="644">
        <f>INDEX(Input!$1:$1048576,IA$93,$C207*2+6)*INDEX(Input!$1:$1048576,$JG$93,$C207*2+6)</f>
        <v>215</v>
      </c>
      <c r="IB207" s="644">
        <f t="shared" si="666"/>
        <v>451</v>
      </c>
      <c r="IC207" s="644">
        <f t="shared" si="667"/>
        <v>577</v>
      </c>
      <c r="ID207" s="644">
        <f>IF(AND(INDEX(Input!$1:$1048576,IA$93,$C207*2+7)="TOS",Y207&lt;=INDEX(Y:Y,MATCH(C207*1000+2,A:A))),0,1)*MAX(IA207+HR207+HU207+HX207,0%)</f>
        <v>215</v>
      </c>
      <c r="IE207" s="128">
        <f t="shared" ref="IE207" si="699">IB207/SUM($IB207:$ID207)</f>
        <v>0.36283185840707965</v>
      </c>
      <c r="IF207" s="128">
        <f t="shared" si="643"/>
        <v>0.46419951729686243</v>
      </c>
      <c r="IG207" s="128">
        <f t="shared" si="644"/>
        <v>0.17296862429605792</v>
      </c>
      <c r="IH207" s="21"/>
      <c r="II207" s="19">
        <f t="shared" si="645"/>
        <v>1252</v>
      </c>
      <c r="IJ207" s="19">
        <f t="shared" si="646"/>
        <v>2011.9658773055378</v>
      </c>
      <c r="IK207" s="19">
        <f t="shared" si="647"/>
        <v>919</v>
      </c>
      <c r="IL207" s="19">
        <f t="shared" si="669"/>
        <v>0</v>
      </c>
      <c r="IM207" s="19">
        <f t="shared" si="648"/>
        <v>0</v>
      </c>
      <c r="IN207" s="19">
        <f t="shared" si="649"/>
        <v>0</v>
      </c>
      <c r="IO207" s="39">
        <f t="shared" si="650"/>
        <v>0</v>
      </c>
      <c r="IP207" s="39">
        <f t="shared" si="651"/>
        <v>0</v>
      </c>
      <c r="IQ207" s="39">
        <f t="shared" si="652"/>
        <v>0</v>
      </c>
      <c r="IR207" s="39">
        <v>0</v>
      </c>
      <c r="IS207" s="39">
        <v>0</v>
      </c>
      <c r="IT207" s="39">
        <v>0</v>
      </c>
      <c r="IU207" s="39">
        <v>0</v>
      </c>
      <c r="IV207" s="39">
        <v>0</v>
      </c>
      <c r="IW207" s="39">
        <v>0</v>
      </c>
      <c r="IX207" s="39">
        <f>INDEX(Input!$1:$1048576,IX$93,$C207*2+6)+INDEX(Input!$1:$1048576,IX$94,$C207*2+6)</f>
        <v>1294</v>
      </c>
      <c r="IY207" s="39">
        <f>INDEX(Input!$1:$1048576,IY$93,$C207*2+6)+INDEX(Input!$1:$1048576,IY$94,$C207*2+6)</f>
        <v>2154.0624533823611</v>
      </c>
      <c r="IZ207" s="39">
        <f>INDEX(Input!$1:$1048576,IZ$93,$C207*2+6)+INDEX(Input!$1:$1048576,IZ$94,$C207*2+6)</f>
        <v>3677.7164157747848</v>
      </c>
      <c r="JA207" s="19">
        <f t="shared" si="670"/>
        <v>1294</v>
      </c>
      <c r="JB207" s="19">
        <f t="shared" si="671"/>
        <v>2154.0624533823611</v>
      </c>
      <c r="JC207" s="19">
        <f t="shared" si="672"/>
        <v>3677.7164157747848</v>
      </c>
      <c r="JD207" s="19">
        <f t="shared" si="673"/>
        <v>2105.5487248537415</v>
      </c>
      <c r="JE207" s="21"/>
      <c r="JF207" s="1">
        <f t="shared" si="653"/>
        <v>1.7106565950787935E-2</v>
      </c>
      <c r="JG207" s="15">
        <f>INDEX(Input!$1:$1048576,JG$93,$C207*2+6)/(1+VLOOKUP(C207*1000+INDEX(Input!$1:$1048576,JG$93+1,$C207*2+6),$A:$KK,$JK$92,FALSE))</f>
        <v>1243</v>
      </c>
      <c r="JH207" s="1">
        <f t="shared" si="674"/>
        <v>0</v>
      </c>
      <c r="JI207" s="1">
        <f t="shared" si="675"/>
        <v>0</v>
      </c>
      <c r="JJ207" s="1">
        <f t="shared" si="676"/>
        <v>0</v>
      </c>
      <c r="JK207" s="1">
        <f t="shared" si="698"/>
        <v>0</v>
      </c>
      <c r="JL207" s="15">
        <f t="shared" si="678"/>
        <v>0</v>
      </c>
      <c r="JM207" s="15">
        <f>JG207+JL207</f>
        <v>1243</v>
      </c>
      <c r="JN207" s="21"/>
      <c r="JO207" s="19">
        <f>INDEX(Input!$1:$1048576,JO$93,$C207*2+6)</f>
        <v>5995.5</v>
      </c>
      <c r="JP207" s="19">
        <f>INDEX(Input!$1:$1048576,JP$93,$C207*2+6)</f>
        <v>2105.548724853742</v>
      </c>
      <c r="JQ207" s="39">
        <f t="shared" si="688"/>
        <v>3889.9512751462585</v>
      </c>
      <c r="JR207" s="39">
        <f>JD207-JP207</f>
        <v>0</v>
      </c>
      <c r="JS207" s="39">
        <f t="shared" si="690"/>
        <v>2.617197064993201</v>
      </c>
      <c r="JT207" s="39">
        <f t="shared" si="680"/>
        <v>-4.6566128730773924E-16</v>
      </c>
      <c r="JU207" s="385">
        <f>(JQ207*JM207-INDEX(Input!$1:$1048576,Input!A$18,$C207*2+6)*JL207*INDEX(Input!$1:$1048576,Input!A$19,$C207*2+6))/1000000</f>
        <v>4.8352094350067993</v>
      </c>
      <c r="JV207" s="39">
        <f t="shared" si="656"/>
        <v>0</v>
      </c>
      <c r="JW207" s="1">
        <f>JV207/(JU207-JV207)</f>
        <v>0</v>
      </c>
      <c r="JX207" s="19">
        <f t="shared" si="694"/>
        <v>0</v>
      </c>
      <c r="JZ207" s="468"/>
      <c r="KA207" s="469"/>
      <c r="KB207" s="469">
        <f t="shared" si="691"/>
        <v>2.5660492421988774</v>
      </c>
      <c r="KI207" s="473">
        <f t="shared" si="692"/>
        <v>0</v>
      </c>
      <c r="KJ207" s="473">
        <f t="shared" si="681"/>
        <v>0</v>
      </c>
      <c r="KK207" s="473">
        <f t="shared" si="682"/>
        <v>0</v>
      </c>
      <c r="KN207" s="544">
        <f t="shared" si="695"/>
        <v>2002</v>
      </c>
      <c r="KO207" s="541">
        <f t="shared" si="657"/>
        <v>-5.8917462873248061E-3</v>
      </c>
      <c r="KP207" s="546">
        <f t="shared" si="658"/>
        <v>-39.405998253629399</v>
      </c>
      <c r="KQ207" s="546">
        <f t="shared" si="659"/>
        <v>-38.131614579731377</v>
      </c>
      <c r="KR207" s="548">
        <f t="shared" si="660"/>
        <v>2.6675261008376157</v>
      </c>
      <c r="KS207" s="548">
        <f t="shared" si="661"/>
        <v>2.75667658004159</v>
      </c>
      <c r="KT207" s="473">
        <f t="shared" si="693"/>
        <v>843.26993010479111</v>
      </c>
      <c r="KU207" s="663">
        <f t="shared" si="683"/>
        <v>4.4992459831753475</v>
      </c>
      <c r="KV207" s="117"/>
    </row>
    <row r="208" spans="1:310" s="26" customFormat="1" ht="15">
      <c r="A208" s="561">
        <f t="shared" si="662"/>
        <v>2008</v>
      </c>
      <c r="B208" s="561">
        <f t="shared" si="684"/>
        <v>8</v>
      </c>
      <c r="C208" s="561">
        <f t="shared" si="105"/>
        <v>2</v>
      </c>
      <c r="D208" s="561" t="s">
        <v>569</v>
      </c>
      <c r="E208" s="475">
        <f>INDEX(Input!$1:$1048576,E$93,$C208*2+MIN($B208,2)+5)</f>
        <v>1269.7618664521319</v>
      </c>
      <c r="F208" s="475">
        <f>INDEX(Input!$1:$1048576,F$93,$C208*2+MIN($B208,2)+5)</f>
        <v>0</v>
      </c>
      <c r="G208" s="475">
        <f>INDEX(Input!$1:$1048576,G$93,$C208*2+MIN($B208,2)+5)</f>
        <v>0</v>
      </c>
      <c r="H208" s="475">
        <f>INDEX(Input!$1:$1048576,H$93,$C208*2+MIN($B208,2)+5)</f>
        <v>0</v>
      </c>
      <c r="I208" s="476">
        <f>INDEX(Input!$1:$1048576,I$93,$C208*2+MIN($B208,2)+5)</f>
        <v>0.7</v>
      </c>
      <c r="J208" s="476" t="str">
        <f>INDEX(Input!$1:$1048576,J$93,$C208*2+MIN($B208,2)+5)</f>
        <v>Market</v>
      </c>
      <c r="K208" s="476" t="str">
        <f>INDEX(Input!$1:$1048576,K$93,$C208*2+MIN($B208,2)+5)</f>
        <v>Market</v>
      </c>
      <c r="L208" s="476" t="str">
        <f>INDEX(Input!$1:$1048576,L$93,$C208*2+MIN($B208,2)+5)</f>
        <v>Market</v>
      </c>
      <c r="M208" s="476" t="str">
        <f>INDEX(Input!$1:$1048576,M$93,$C208*2+MIN($B208,2)+5)</f>
        <v>Market</v>
      </c>
      <c r="N208" s="476" t="str">
        <f>INDEX(Input!$1:$1048576,N$93,$C208*2+MIN($B208,2)+5)</f>
        <v>Market</v>
      </c>
      <c r="O208" s="476" t="str">
        <f>INDEX(Input!$1:$1048576,O$93,$C208*2+MIN($B208,2)+5)</f>
        <v>Market</v>
      </c>
      <c r="P208" s="476" t="str">
        <f>INDEX(Input!$1:$1048576,P$93,$C208*2+MIN($B208,2)+5)</f>
        <v>N</v>
      </c>
      <c r="Q208" s="477">
        <f>INDEX(Input!$1:$1048576,Q$93,$C208*2+MIN($B208,2)+5)</f>
        <v>0</v>
      </c>
      <c r="R208" s="478">
        <f>IFERROR(MAX(0,INDEX(Input!$1:$1048576,R$93,$C208*2+MIN($B208,2)+5)-0%,),"Market")</f>
        <v>0</v>
      </c>
      <c r="S208" s="478">
        <f>IFERROR(MAX(0,INDEX(Input!$1:$1048576,S$93,$C208*2+MIN($B208,2)+5)-0%,),"Market")</f>
        <v>0</v>
      </c>
      <c r="T208" s="478">
        <f>IFERROR(MAX(0,INDEX(Input!$1:$1048576,T$93,$C208*2+MIN($B208,2)+5)-0%,),"Market")</f>
        <v>0</v>
      </c>
      <c r="U208" s="478">
        <f>IFERROR(MAX(0,INDEX(Input!$1:$1048576,U$93,$C208*2+MIN($B208,2)+5)-0%,),"Market")</f>
        <v>0</v>
      </c>
      <c r="V208" s="478">
        <f>IFERROR(MAX(0,INDEX(Input!$1:$1048576,V$93,$C208*2+MIN($B208,2)+5)-0%,),"Market")</f>
        <v>1.9E-2</v>
      </c>
      <c r="W208" s="885">
        <f>IFERROR(MAX(0,INDEX(Input!$1:$1048576,W$93,$C208*2+MIN($B208,2)+5)-0%,),"Market")</f>
        <v>3.9E-2</v>
      </c>
      <c r="X208" s="476" t="str">
        <f>INDEX(Input!$1:$1048576,X$93,$C208*2+MIN($B208,2)+5)</f>
        <v>Y</v>
      </c>
      <c r="Y208" s="475">
        <f>INDEX(Input!$1:$1048576,Y$93,$C208*2+MIN($B208,2)+5)</f>
        <v>56</v>
      </c>
      <c r="Z208" s="477">
        <f>INDEX(Input!$1:$1048576,Z$93,$C208*2+MIN($B208,2)+5)</f>
        <v>0</v>
      </c>
      <c r="AA208" s="475">
        <f>INDEX(Input!$1:$1048576,AA$93,$C208*2+MIN($B208,2)+5)</f>
        <v>0</v>
      </c>
      <c r="AB208" s="476">
        <f>INDEX(Input!$1:$1048576,AB$93,$C208*2+MIN($B208,2)+5)</f>
        <v>0.27</v>
      </c>
      <c r="AC208" s="475">
        <f>INDEX(Input!$1:$1048576,AC$93,$C208*2+MIN($B208,2)+5)</f>
        <v>0</v>
      </c>
      <c r="AD208" s="476">
        <f>INDEX(Input!$1:$1048576,AD$93,$C208*2+MIN($B208,2)+5)</f>
        <v>0.27</v>
      </c>
      <c r="AE208" s="475">
        <f>INDEX(Input!$1:$1048576,AE$93,$C208*2+MIN($B208,2)+5)</f>
        <v>0</v>
      </c>
      <c r="AF208" s="476">
        <f>INDEX(Input!$1:$1048576,AF$93,$C208*2+MIN($B208,2)+5)</f>
        <v>4.8000000000000001E-2</v>
      </c>
      <c r="AG208" s="475">
        <f>INDEX(Input!$1:$1048576,AG$93,$C208*2+MIN($B208,2)+5)</f>
        <v>500</v>
      </c>
      <c r="AH208" s="476">
        <f>INDEX(Input!$1:$1048576,AH$93,$C208*2+MIN($B208,2)+5)</f>
        <v>0.94599999999999995</v>
      </c>
      <c r="AI208" s="475">
        <f>INDEX(Input!$1:$1048576,AI$93,$C208*2+MIN($B208,2)+5)</f>
        <v>0</v>
      </c>
      <c r="AJ208" s="476">
        <f>INDEX(Input!$1:$1048576,AJ$93,$C208*2+MIN($B208,2)+5)</f>
        <v>0.27</v>
      </c>
      <c r="AK208" s="150">
        <f>ROUND(INDEX(Input!$1:$1048576,AK$93,$C207*2+MIN($B208,1)+5)+(Y208-VLOOKUP($C208*1000+1,$A:$HH,Y$92,FALSE)),0)</f>
        <v>2977</v>
      </c>
      <c r="AL208" s="150">
        <f>ROUND(INDEX(Input!$1:$1048576,AL$93,$C207*2+MIN($B208,1)+5)-(Y208-VLOOKUP($C208*1000+1,$A:$HH,Y$92,FALSE))/36,0)</f>
        <v>3395</v>
      </c>
      <c r="AM208" s="32" t="str">
        <f t="shared" si="663"/>
        <v>std/std/std/std</v>
      </c>
      <c r="AN208" s="32" t="str">
        <f t="shared" si="664"/>
        <v>$0 + 0/0/0/1.9/3.9</v>
      </c>
      <c r="AO208" s="32" t="str">
        <f t="shared" si="665"/>
        <v>0/0/0/1.9/3.9</v>
      </c>
      <c r="AP208" s="32" t="str">
        <f t="shared" si="498"/>
        <v>0/0.9/1.9/3.9</v>
      </c>
      <c r="AQ208" s="536">
        <f t="shared" si="497"/>
        <v>0.36346525724366952</v>
      </c>
      <c r="AR208" s="32"/>
      <c r="AS208" s="302"/>
      <c r="AT208" s="3">
        <f t="shared" si="106"/>
        <v>8</v>
      </c>
      <c r="AU208" s="41" t="s">
        <v>121</v>
      </c>
      <c r="AV208" s="41" t="s">
        <v>116</v>
      </c>
      <c r="AW208" s="41" t="str">
        <f>INDEX(Input!$1:$1048576,AW$93,$C208*2+6)</f>
        <v>Kia</v>
      </c>
      <c r="AX208" s="41" t="str">
        <f>INDEX(Input!$1:$1048576,AX$93,$C208*2+6)</f>
        <v>Kia-LR - L2</v>
      </c>
      <c r="AY208" s="41" t="str">
        <f>IF(LEN(D208)=0,"",INDEX(Input!$1:$1048576,AY$93,$C208*2+6))</f>
        <v>Compact SUV (52)</v>
      </c>
      <c r="AZ208" s="41" t="str">
        <f>INDEX(Input!$1:$1048576,AZ$93,$C208*2+6)</f>
        <v>Kia Soul</v>
      </c>
      <c r="BA208" s="3">
        <f>INDEX(Input!$1:$1048576,BA$93,$C208*2+6)</f>
        <v>2020</v>
      </c>
      <c r="BB208" s="128">
        <f>INDEX(Input!$1:$1048576,BB$93,$C208*2+6)</f>
        <v>1</v>
      </c>
      <c r="BC208" s="128">
        <f>INDEX(Input!$1:$1048576,BC$93,$C208*2+6)</f>
        <v>0.7</v>
      </c>
      <c r="BD208" s="1">
        <f>INDEX(Input!$1:$1048576,BD$93,$C208*2+6)</f>
        <v>4.4999999999999998E-2</v>
      </c>
      <c r="BE208" s="1">
        <f>INDEX(Input!$1:$1048576,BE$93,$C208*2+6)</f>
        <v>4.4999999999999998E-2</v>
      </c>
      <c r="BF208" s="1">
        <f>INDEX(Input!$1:$1048576,BF$93,$C208*2+6)</f>
        <v>0.05</v>
      </c>
      <c r="BG208" s="1">
        <f>INDEX(Input!$1:$1048576,BG$93,$C208*2+6)</f>
        <v>5.45E-2</v>
      </c>
      <c r="BH208" s="1">
        <f>INDEX(Input!$1:$1048576,BH$93,$C208*2+6)</f>
        <v>5.45E-2</v>
      </c>
      <c r="BI208" s="1">
        <f>INDEX(Input!$1:$1048576,BI$93,$C208*2+6)</f>
        <v>0.05</v>
      </c>
      <c r="BJ208" s="1">
        <f>INDEX(Input!$1:$1048576,BJ$93,$C208*2+6)</f>
        <v>0.05</v>
      </c>
      <c r="BK208" s="1">
        <f>INDEX(Input!$1:$1048576,BK$93,$C208*2+6)</f>
        <v>0.05</v>
      </c>
      <c r="BL208" s="1">
        <f>INDEX(Input!$1:$1048576,BL$93,$C208*2+6)</f>
        <v>5.5E-2</v>
      </c>
      <c r="BM208" s="1">
        <f>INDEX(Input!$1:$1048576,BM$93,$C208*2+6)</f>
        <v>0.06</v>
      </c>
      <c r="BN208" s="1">
        <f>INDEX(Input!$1:$1048576,BN$93,$C208*2+6)</f>
        <v>4.4999999999999998E-2</v>
      </c>
      <c r="BO208" s="1">
        <f>INDEX(Input!$1:$1048576,BO$93,$C208*2+6)</f>
        <v>4.4999999999999998E-2</v>
      </c>
      <c r="BP208" s="1">
        <f>INDEX(Input!$1:$1048576,BP$93,$C208*2+6)</f>
        <v>0.05</v>
      </c>
      <c r="BQ208" s="1">
        <f>INDEX(Input!$1:$1048576,BQ$93,$C208*2+6)</f>
        <v>5.45E-2</v>
      </c>
      <c r="BR208" s="1">
        <f>INDEX(Input!$1:$1048576,BR$93,$C208*2+6)</f>
        <v>5.45E-2</v>
      </c>
      <c r="BS208" s="1">
        <f>INDEX(Input!$1:$1048576,BS$93,$C208*2+6)</f>
        <v>0.05</v>
      </c>
      <c r="BT208" s="1">
        <f>INDEX(Input!$1:$1048576,BT$93,$C208*2+6)</f>
        <v>0.05</v>
      </c>
      <c r="BU208" s="1">
        <f>INDEX(Input!$1:$1048576,BU$93,$C208*2+6)</f>
        <v>0.05</v>
      </c>
      <c r="BV208" s="1">
        <f>INDEX(Input!$1:$1048576,BV$93,$C208*2+6)</f>
        <v>5.5E-2</v>
      </c>
      <c r="BW208" s="1">
        <f>INDEX(Input!$1:$1048576,BW$93,$C208*2+6)</f>
        <v>0.06</v>
      </c>
      <c r="BX208" s="127">
        <f>INDEX(Input!$1:$1048576,BX$93,$C208*2+6)</f>
        <v>19985</v>
      </c>
      <c r="BY208" s="20">
        <f>INDEX(Input!$1:$1048576,BY$93,$C208*2+6)</f>
        <v>0.1</v>
      </c>
      <c r="BZ208" s="20">
        <f>INDEX(Input!$1:$1048576,BZ$93,$C208*2+6)</f>
        <v>0.1</v>
      </c>
      <c r="CA208" s="20">
        <f>INDEX(Input!$1:$1048576,CA$93,$C208*2+6)</f>
        <v>0.1</v>
      </c>
      <c r="CB208" s="20">
        <f>INDEX(Input!$1:$1048576,CB$93,$C208*2+6)</f>
        <v>0.1</v>
      </c>
      <c r="CC208" s="20">
        <f>INDEX(Input!$1:$1048576,CC$93,$C208*2+6)</f>
        <v>0.1</v>
      </c>
      <c r="CD208" s="384">
        <f>INDEX(Input!$1:$1048576,CD$93,$C208*2+6)</f>
        <v>0.1</v>
      </c>
      <c r="CE208" s="384">
        <f>INDEX(Input!$1:$1048576,CE$93,$C208*2+6)</f>
        <v>0.1</v>
      </c>
      <c r="CF208" s="384">
        <f>INDEX(Input!$1:$1048576,CF$93,$C208*2+6)</f>
        <v>0.1</v>
      </c>
      <c r="CG208" s="384">
        <f>INDEX(Input!$1:$1048576,CG$93,$C208*2+6)</f>
        <v>0.1</v>
      </c>
      <c r="CH208" s="384">
        <f>INDEX(Input!$1:$1048576,CH$93,$C208*2+6)</f>
        <v>0.1</v>
      </c>
      <c r="CI208" s="304">
        <f t="shared" si="499"/>
        <v>1269.7618664521319</v>
      </c>
      <c r="CJ208" s="16" t="str">
        <f>INDEX(Input!$1:$1048576,CJ$93,$C208*2+6)</f>
        <v>N</v>
      </c>
      <c r="CK208" s="1" t="str">
        <f t="shared" si="500"/>
        <v>Market</v>
      </c>
      <c r="CL208" s="1" t="str">
        <f t="shared" si="501"/>
        <v>Market</v>
      </c>
      <c r="CM208" s="1" t="str">
        <f t="shared" si="502"/>
        <v>Market</v>
      </c>
      <c r="CN208" s="1" t="str">
        <f t="shared" si="503"/>
        <v>Market</v>
      </c>
      <c r="CO208" s="1" t="str">
        <f t="shared" si="504"/>
        <v>Market</v>
      </c>
      <c r="CP208" s="304">
        <f t="shared" si="505"/>
        <v>473</v>
      </c>
      <c r="CQ208" s="1">
        <f t="shared" si="506"/>
        <v>0</v>
      </c>
      <c r="CR208" s="1">
        <f t="shared" si="507"/>
        <v>0</v>
      </c>
      <c r="CS208" s="1">
        <f t="shared" si="508"/>
        <v>0</v>
      </c>
      <c r="CT208" s="1">
        <f t="shared" si="509"/>
        <v>1.9E-2</v>
      </c>
      <c r="CU208" s="1">
        <f t="shared" si="510"/>
        <v>3.9E-2</v>
      </c>
      <c r="CV208" s="304">
        <f t="shared" si="511"/>
        <v>56</v>
      </c>
      <c r="CW208" s="20" t="s">
        <v>122</v>
      </c>
      <c r="CX208" s="20" t="s">
        <v>122</v>
      </c>
      <c r="CY208" s="20" t="s">
        <v>122</v>
      </c>
      <c r="CZ208" s="20" t="s">
        <v>122</v>
      </c>
      <c r="DA208" s="20" t="s">
        <v>122</v>
      </c>
      <c r="DB208" s="503">
        <f t="shared" si="512"/>
        <v>0</v>
      </c>
      <c r="DC208" s="127">
        <v>0</v>
      </c>
      <c r="DD208" s="127">
        <v>0</v>
      </c>
      <c r="DE208" s="127">
        <v>0</v>
      </c>
      <c r="DF208" s="127">
        <v>0</v>
      </c>
      <c r="DG208" s="127">
        <v>0</v>
      </c>
      <c r="DH208" s="127">
        <v>0</v>
      </c>
      <c r="DI208" s="127">
        <v>0</v>
      </c>
      <c r="DJ208" s="127">
        <v>0</v>
      </c>
      <c r="DK208" s="127">
        <v>0</v>
      </c>
      <c r="DL208" s="127">
        <v>0</v>
      </c>
      <c r="DM208" s="304">
        <f>INDEX(Input!$1:$1048576,DM$93,$C208*2+6)</f>
        <v>21036.84210526316</v>
      </c>
      <c r="DN208" s="20">
        <v>0</v>
      </c>
      <c r="DO208" s="20">
        <v>0</v>
      </c>
      <c r="DP208" s="20">
        <v>0</v>
      </c>
      <c r="DQ208" s="20">
        <v>0</v>
      </c>
      <c r="DR208" s="20">
        <v>0</v>
      </c>
      <c r="DS208" s="20">
        <f>INDEX(Input!$1:$1048576,DS$93,$C208*2+6)</f>
        <v>0.6</v>
      </c>
      <c r="DT208" s="20">
        <f>INDEX(Input!$1:$1048576,DT$93,$C208*2+6)</f>
        <v>0.55000000000000004</v>
      </c>
      <c r="DU208" s="20">
        <f>INDEX(Input!$1:$1048576,DU$93,$C208*2+6)</f>
        <v>0.52</v>
      </c>
      <c r="DV208" s="20">
        <f>INDEX(Input!$1:$1048576,DV$93,$C208*2+6)</f>
        <v>0.5</v>
      </c>
      <c r="DW208" s="20">
        <f>INDEX(Input!$1:$1048576,DW$93,$C208*2+6)</f>
        <v>0.45</v>
      </c>
      <c r="DX208" s="20"/>
      <c r="DY208" s="7">
        <v>9.2510794042928127E-2</v>
      </c>
      <c r="DZ208" s="7">
        <v>0</v>
      </c>
      <c r="EA208" s="7">
        <v>0.65520424416402745</v>
      </c>
      <c r="EB208" s="7">
        <v>0</v>
      </c>
      <c r="EC208" s="7">
        <v>0</v>
      </c>
      <c r="ED208" s="7">
        <v>0</v>
      </c>
      <c r="EE208" s="7">
        <v>0</v>
      </c>
      <c r="EF208" s="7">
        <v>0</v>
      </c>
      <c r="EG208" s="7">
        <v>0</v>
      </c>
      <c r="EH208" s="7">
        <v>1.4260719306967309E-2</v>
      </c>
      <c r="EI208" s="7">
        <v>4.0588879620914835E-2</v>
      </c>
      <c r="EJ208" s="7">
        <v>0.30723050061456508</v>
      </c>
      <c r="EK208" s="7">
        <v>0.52672878779884957</v>
      </c>
      <c r="EL208" s="7">
        <v>0.11119111265870334</v>
      </c>
      <c r="EM208" s="7">
        <v>5.732152807487742E-2</v>
      </c>
      <c r="EN208" s="7">
        <v>6.5539324161884543E-2</v>
      </c>
      <c r="EO208" s="7">
        <v>0.73222258348117619</v>
      </c>
      <c r="EP208" s="7">
        <v>8.75885066949912E-2</v>
      </c>
      <c r="EQ208" s="7">
        <v>7.4716518219428138E-2</v>
      </c>
      <c r="ER208" s="7">
        <v>3.993306744251978E-2</v>
      </c>
      <c r="ES208" s="7">
        <v>0.19496343371816702</v>
      </c>
      <c r="ET208" s="7">
        <v>0.25228496179304444</v>
      </c>
      <c r="EU208" s="6">
        <v>1294</v>
      </c>
      <c r="EV208" s="6">
        <v>0</v>
      </c>
      <c r="EW208" s="6">
        <v>1294</v>
      </c>
      <c r="EX208" s="6">
        <v>0</v>
      </c>
      <c r="EY208" s="6">
        <v>2053.9670139247082</v>
      </c>
      <c r="EZ208" s="6">
        <v>946</v>
      </c>
      <c r="FA208" s="6">
        <v>0</v>
      </c>
      <c r="FB208" s="6">
        <v>0</v>
      </c>
      <c r="FC208" s="6">
        <v>0</v>
      </c>
      <c r="FD208" s="6">
        <v>0</v>
      </c>
      <c r="FE208" s="6">
        <v>0</v>
      </c>
      <c r="FF208" s="6">
        <v>0</v>
      </c>
      <c r="FG208" s="6">
        <v>0</v>
      </c>
      <c r="FH208" s="6">
        <v>1173.7300960633979</v>
      </c>
      <c r="FI208" s="6">
        <v>1553.9796069512397</v>
      </c>
      <c r="FJ208" s="6">
        <v>2101.2110117447405</v>
      </c>
      <c r="FK208" s="6">
        <v>1772.713997862324</v>
      </c>
      <c r="FL208" s="6">
        <v>907.07682140966256</v>
      </c>
      <c r="FM208" s="6">
        <v>1759.9670139247085</v>
      </c>
      <c r="FN208" s="6">
        <v>0</v>
      </c>
      <c r="FO208" s="6">
        <v>0</v>
      </c>
      <c r="FP208" s="6">
        <v>0</v>
      </c>
      <c r="FQ208" s="6">
        <v>0</v>
      </c>
      <c r="FR208" s="6">
        <v>0</v>
      </c>
      <c r="FS208" s="6">
        <v>0</v>
      </c>
      <c r="FT208" s="7">
        <v>0.74771503820695562</v>
      </c>
      <c r="FU208" s="7">
        <v>5.732152807487742E-2</v>
      </c>
      <c r="FV208" s="7">
        <v>0.19496343371816702</v>
      </c>
      <c r="FW208" s="6">
        <v>1294</v>
      </c>
      <c r="FX208" s="6">
        <v>2053.9670139247082</v>
      </c>
      <c r="FY208" s="6">
        <v>946</v>
      </c>
      <c r="FZ208" s="6">
        <v>1817.4615072224267</v>
      </c>
      <c r="GA208" s="6">
        <v>1269.7151955907439</v>
      </c>
      <c r="GB208" s="6">
        <v>18715.284804409257</v>
      </c>
      <c r="GC208" s="7">
        <v>1.804905384453976E-2</v>
      </c>
      <c r="GD208" s="7">
        <v>1.7189749341810889E-2</v>
      </c>
      <c r="GE208" s="7"/>
      <c r="GF208" s="7"/>
      <c r="GG208" s="7">
        <v>-4.760939327513998E-2</v>
      </c>
      <c r="GH208" s="42">
        <v>1.737070071306049</v>
      </c>
      <c r="GI208" s="6">
        <v>12774.720278646433</v>
      </c>
      <c r="GJ208" s="14">
        <v>0.50394797582841755</v>
      </c>
      <c r="GK208" s="14">
        <v>0.50887573065309732</v>
      </c>
      <c r="GL208" s="14">
        <v>0.49605202417158284</v>
      </c>
      <c r="GM208" s="14">
        <v>0.4911242693469024</v>
      </c>
      <c r="GO208" s="5">
        <v>343.14810671672558</v>
      </c>
      <c r="GP208" s="5">
        <v>318.46105531198077</v>
      </c>
      <c r="GQ208" s="5">
        <v>535.04305713031317</v>
      </c>
      <c r="GR208" s="5">
        <v>410.15490233172511</v>
      </c>
      <c r="GS208" s="5">
        <v>339.42744393800166</v>
      </c>
      <c r="GT208" s="5">
        <v>293.4407446948278</v>
      </c>
      <c r="GU208" s="5">
        <v>258.04012322764959</v>
      </c>
      <c r="GV208" s="39" t="s">
        <v>392</v>
      </c>
      <c r="GW208" s="5">
        <v>491.45833333333331</v>
      </c>
      <c r="GX208" s="5">
        <v>368.59375</v>
      </c>
      <c r="GY208" s="5">
        <v>294.875</v>
      </c>
      <c r="GZ208" s="5">
        <v>260.19607020114813</v>
      </c>
      <c r="HA208" s="5">
        <v>241.02179695997205</v>
      </c>
      <c r="HB208" s="39">
        <v>276.41619298528263</v>
      </c>
      <c r="HC208" s="5">
        <v>245.89687499999999</v>
      </c>
      <c r="HD208" s="5">
        <v>211.55677997076018</v>
      </c>
      <c r="HE208" s="5">
        <v>214.73562331309037</v>
      </c>
      <c r="HF208" s="5">
        <v>199.03250548245612</v>
      </c>
      <c r="HG208" s="5">
        <v>192.49971491228069</v>
      </c>
      <c r="HH208" s="39">
        <v>212.3890594847762</v>
      </c>
      <c r="HI208" s="16"/>
      <c r="HJ208" s="19" t="str">
        <f t="shared" si="685"/>
        <v>On</v>
      </c>
      <c r="HK208" s="1" t="str">
        <f t="shared" si="685"/>
        <v>On</v>
      </c>
      <c r="HL208" s="16"/>
      <c r="HM208" s="639">
        <f t="shared" si="634"/>
        <v>1.2768706344444866E-2</v>
      </c>
      <c r="HN208" s="639">
        <f t="shared" si="635"/>
        <v>9.795534288915453E-4</v>
      </c>
      <c r="HO208" s="639">
        <f t="shared" si="636"/>
        <v>3.3583061774515237E-3</v>
      </c>
      <c r="HP208" s="644">
        <f>(FT208*$GD208-HM208)/$JF208*INDEX(Input!$1:$1048576,$JG$93,$C208*2+6)</f>
        <v>6.1274356820395317</v>
      </c>
      <c r="HQ208" s="644">
        <f>(FU208*$GD208-HN208)/$JF208*INDEX(Input!$1:$1048576,$JG$93,$C208*2+6)</f>
        <v>0.42066089611041185</v>
      </c>
      <c r="HR208" s="644">
        <f>(FV208*$GD208-HO208)/$JF208*INDEX(Input!$1:$1048576,$JG$93,$C208*2+6)</f>
        <v>-0.50381186671306599</v>
      </c>
      <c r="HS208" s="644">
        <f t="shared" si="686"/>
        <v>-2.6625290015039171</v>
      </c>
      <c r="HT208" s="644">
        <f t="shared" si="638"/>
        <v>2.8117508781783496</v>
      </c>
      <c r="HU208" s="644">
        <f t="shared" si="639"/>
        <v>1.1733376240697475</v>
      </c>
      <c r="HV208" s="648">
        <f t="shared" si="640"/>
        <v>0</v>
      </c>
      <c r="HW208" s="648">
        <f t="shared" si="641"/>
        <v>0</v>
      </c>
      <c r="HX208" s="648">
        <f t="shared" si="642"/>
        <v>0</v>
      </c>
      <c r="HY208" s="644">
        <f>INDEX(Input!$1:$1048576,HY$93,$C208*2+6)*INDEX(Input!$1:$1048576,$JG$93,$C208*2+6)</f>
        <v>451</v>
      </c>
      <c r="HZ208" s="644">
        <f>INDEX(Input!$1:$1048576,HZ$93,$C208*2+6)*INDEX(Input!$1:$1048576,$JG$93,$C208*2+6)</f>
        <v>577</v>
      </c>
      <c r="IA208" s="644">
        <f>INDEX(Input!$1:$1048576,IA$93,$C208*2+6)*INDEX(Input!$1:$1048576,$JG$93,$C208*2+6)</f>
        <v>215</v>
      </c>
      <c r="IB208" s="644">
        <f t="shared" si="666"/>
        <v>454.46490668053565</v>
      </c>
      <c r="IC208" s="644">
        <f t="shared" si="667"/>
        <v>580.23241177428883</v>
      </c>
      <c r="ID208" s="644">
        <f>IF(AND(INDEX(Input!$1:$1048576,IA$93,$C208*2+7)="TOS",Y208&lt;=INDEX(Y:Y,MATCH(C208*1000+2,A:A))),0,1)*MAX(IA208+HR208+HU208+HX208,0%)</f>
        <v>215.66952575735667</v>
      </c>
      <c r="IE208" s="128">
        <f t="shared" ref="IE208:IE211" si="700">IB208/SUM($IB208:$ID208)</f>
        <v>0.36346525724366952</v>
      </c>
      <c r="IF208" s="128">
        <f t="shared" si="643"/>
        <v>0.46404974224974427</v>
      </c>
      <c r="IG208" s="128">
        <f t="shared" si="644"/>
        <v>0.17248500050658622</v>
      </c>
      <c r="IH208" s="21"/>
      <c r="II208" s="19">
        <f t="shared" si="645"/>
        <v>1252</v>
      </c>
      <c r="IJ208" s="19">
        <f t="shared" si="646"/>
        <v>2011.9658773055378</v>
      </c>
      <c r="IK208" s="19">
        <f t="shared" si="647"/>
        <v>919</v>
      </c>
      <c r="IL208" s="19">
        <f t="shared" si="669"/>
        <v>42</v>
      </c>
      <c r="IM208" s="19">
        <f t="shared" si="648"/>
        <v>42.001136619170438</v>
      </c>
      <c r="IN208" s="19">
        <f t="shared" si="649"/>
        <v>27</v>
      </c>
      <c r="IO208" s="39">
        <f t="shared" si="650"/>
        <v>0</v>
      </c>
      <c r="IP208" s="39">
        <f t="shared" si="651"/>
        <v>0</v>
      </c>
      <c r="IQ208" s="39">
        <f t="shared" si="652"/>
        <v>0</v>
      </c>
      <c r="IR208" s="39">
        <v>0</v>
      </c>
      <c r="IS208" s="39">
        <v>0</v>
      </c>
      <c r="IT208" s="39">
        <v>0</v>
      </c>
      <c r="IU208" s="39">
        <v>0</v>
      </c>
      <c r="IV208" s="39">
        <v>0</v>
      </c>
      <c r="IW208" s="39">
        <v>0</v>
      </c>
      <c r="IX208" s="39">
        <f>INDEX(Input!$1:$1048576,IX$93,$C208*2+6)+INDEX(Input!$1:$1048576,IX$94,$C208*2+6)</f>
        <v>1294</v>
      </c>
      <c r="IY208" s="39">
        <f>INDEX(Input!$1:$1048576,IY$93,$C208*2+6)+INDEX(Input!$1:$1048576,IY$94,$C208*2+6)</f>
        <v>2154.0624533823611</v>
      </c>
      <c r="IZ208" s="39">
        <f>INDEX(Input!$1:$1048576,IZ$93,$C208*2+6)+INDEX(Input!$1:$1048576,IZ$94,$C208*2+6)</f>
        <v>3677.7164157747848</v>
      </c>
      <c r="JA208" s="19">
        <f t="shared" si="670"/>
        <v>1336</v>
      </c>
      <c r="JB208" s="19">
        <f t="shared" si="671"/>
        <v>2196.0635900015313</v>
      </c>
      <c r="JC208" s="19">
        <f t="shared" si="672"/>
        <v>3704.7164157747848</v>
      </c>
      <c r="JD208" s="19">
        <f t="shared" si="673"/>
        <v>2143.6803394334729</v>
      </c>
      <c r="JE208" s="21"/>
      <c r="JF208" s="1">
        <f t="shared" si="653"/>
        <v>1.7106565950787935E-2</v>
      </c>
      <c r="JG208" s="15">
        <f>INDEX(Input!$1:$1048576,JG$93,$C208*2+6)/(1+VLOOKUP(C208*1000+INDEX(Input!$1:$1048576,JG$93+1,$C208*2+6),$A:$KK,$JK$92,FALSE))</f>
        <v>1243</v>
      </c>
      <c r="JH208" s="1">
        <f t="shared" si="674"/>
        <v>4.8626586576322418E-3</v>
      </c>
      <c r="JI208" s="1">
        <f t="shared" si="675"/>
        <v>1.0640060343879163E-3</v>
      </c>
      <c r="JJ208" s="1">
        <f t="shared" si="676"/>
        <v>0</v>
      </c>
      <c r="JK208" s="1">
        <f t="shared" ref="JK208:JK211" si="701">SUM(JH208:JJ208)</f>
        <v>5.9266646920201581E-3</v>
      </c>
      <c r="JL208" s="15">
        <f t="shared" si="678"/>
        <v>7.3668442121810562</v>
      </c>
      <c r="JM208" s="15">
        <f t="shared" ref="JM208:JM271" si="702">JG208+JL208</f>
        <v>1250.3668442121811</v>
      </c>
      <c r="JN208" s="21"/>
      <c r="JO208" s="19">
        <f>INDEX(Input!$1:$1048576,JO$93,$C208*2+6)</f>
        <v>5995.5</v>
      </c>
      <c r="JP208" s="19">
        <f>INDEX(Input!$1:$1048576,JP$93,$C208*2+6)</f>
        <v>2105.548724853742</v>
      </c>
      <c r="JQ208" s="39">
        <f t="shared" si="688"/>
        <v>3851.8196605665271</v>
      </c>
      <c r="JR208" s="39">
        <f>JD208-JP208</f>
        <v>38.131614579730922</v>
      </c>
      <c r="JS208" s="39">
        <f t="shared" si="690"/>
        <v>2.6803868210171289</v>
      </c>
      <c r="JT208" s="39">
        <f t="shared" si="680"/>
        <v>6.3189756023927596E-2</v>
      </c>
      <c r="JU208" s="385">
        <f>(JQ208*JM208-INDEX(Input!$1:$1048576,Input!A$18,$C208*2+6)*JL208*INDEX(Input!$1:$1048576,Input!A$19,$C208*2+6))/1000000</f>
        <v>4.8161875934570029</v>
      </c>
      <c r="JV208" s="39">
        <f t="shared" si="656"/>
        <v>-1.9021841549795582E-2</v>
      </c>
      <c r="JW208" s="1">
        <f t="shared" ref="JW208:JW271" si="703">JV208/(JU208-JV208)</f>
        <v>-3.9340263964737316E-3</v>
      </c>
      <c r="JX208" s="19">
        <f t="shared" si="694"/>
        <v>8577.5882051969438</v>
      </c>
      <c r="JZ208" s="341"/>
      <c r="KA208" s="342"/>
      <c r="KB208" s="469">
        <f t="shared" si="691"/>
        <v>2.5660492421988774</v>
      </c>
      <c r="KI208" s="473">
        <f t="shared" si="692"/>
        <v>3.4649066805356483</v>
      </c>
      <c r="KJ208" s="473">
        <f t="shared" si="681"/>
        <v>3.2324117742888347</v>
      </c>
      <c r="KK208" s="473">
        <f t="shared" si="682"/>
        <v>0.66952575735666642</v>
      </c>
      <c r="KN208" s="544">
        <f t="shared" si="695"/>
        <v>2002</v>
      </c>
      <c r="KO208" s="541">
        <f t="shared" si="657"/>
        <v>0</v>
      </c>
      <c r="KP208" s="546">
        <f t="shared" si="658"/>
        <v>0</v>
      </c>
      <c r="KQ208" s="546">
        <f t="shared" si="659"/>
        <v>0</v>
      </c>
      <c r="KR208" s="548" t="e">
        <f t="shared" si="660"/>
        <v>#DIV/0!</v>
      </c>
      <c r="KS208" s="548" t="e">
        <f t="shared" si="661"/>
        <v>#DIV/0!</v>
      </c>
      <c r="KT208" s="473">
        <f>KT207</f>
        <v>843.26993010479111</v>
      </c>
      <c r="KU208" s="663">
        <f t="shared" si="683"/>
        <v>4.5006588616860226</v>
      </c>
      <c r="KV208" s="117"/>
    </row>
    <row r="209" spans="1:308" s="26" customFormat="1" ht="15">
      <c r="A209" s="561">
        <f t="shared" si="662"/>
        <v>2009</v>
      </c>
      <c r="B209" s="561">
        <f t="shared" si="684"/>
        <v>9</v>
      </c>
      <c r="C209" s="561">
        <f t="shared" si="105"/>
        <v>2</v>
      </c>
      <c r="D209" s="561" t="str">
        <f t="shared" ref="D209:D218" si="704">IF(E209=INDEX(E:E,MATCH(C209*1000+2,A:A,0)),"",E209-INDEX(E:E,MATCH(C209*1000+2,A:A,0))&amp;E$100&amp;", ")
&amp;IF(F209=INDEX(F:F,MATCH(C209*1000+2,A:A,0)),"",F209-INDEX(F:F,MATCH(C209*1000+2,A:A,0))&amp;F$100&amp;", ")
&amp;IF(AM209=INDEX(AM:AM,MATCH(C209*1000+2,A:A,0)),"",AM209&amp;AM$100&amp;", ")
&amp;IF(AP209=INDEX(AP:AP,MATCH(C209*1000+2,A:A,0)),"",AP209&amp;AP$100&amp;", ")
&amp;IF(Q209=INDEX(Q:Q,MATCH(C209*1000+2,A:A,0)),"",Q209-INDEX(Q:Q,MATCH(C209*1000+2,A:A,0))&amp;Q$100&amp;", ")
&amp;IF(Y209=INDEX(Y:Y,MATCH(C209*1000+2,A:A,0)),"",Y209-INDEX(Y:Y,MATCH(C209*1000+2,A:A,0))&amp;Y$100&amp;", ")
&amp;IF(Z209=INDEX(Z:Z,MATCH(C209*1000+2,A:A,0)),"",Z209-INDEX(Z:Z,MATCH(C209*1000+2,A:A,0))&amp;Z$100&amp;", ")
&amp;IF(AA209=INDEX(AA:AA,MATCH(C209*1000+2,A:A,0)),"",AA209-INDEX(AA:AA,MATCH(C209*1000+2,A:A,0))&amp;AA$100&amp;", ")
&amp;IF(AC209=INDEX(AC:AC,MATCH(C209*1000+2,A:A,0)),"",AC209-INDEX(AC:AC,MATCH(C209*1000+2,A:A,0))&amp;AC$100&amp;", ")
&amp;IF(AE209=INDEX(AE:AE,MATCH(C209*1000+2,A:A,0)),"",AE209-INDEX(AE:AE,MATCH(C209*1000+2,A:A,0))&amp;AE$100&amp;", ")
&amp;IF(AG209=INDEX(AG:AG,MATCH(C209*1000+2,A:A,0)),"",AG209-INDEX(AG:AG,MATCH(C209*1000+2,A:A,0))&amp;AG$100&amp;", ")
&amp;IF(AI209=INDEX(AI:AI,MATCH(C209*1000+2,A:A,0)),"",AI209-INDEX(AI:AI,MATCH(C209*1000+2,A:A,0))&amp;AI$100&amp;", ")</f>
        <v xml:space="preserve">250 CC, </v>
      </c>
      <c r="E209" s="475">
        <f>INDEX(Input!$1:$1048576,E$93,$C209*2+MIN($B209,2)+5)+IF(OR(BX209&gt;50000,INDEX(Input!$1:$1048576,E$93,$C209*2+MIN($B209,2)+5)&gt;0),0,250)+IF(BX209&gt;50000,500,250)*1</f>
        <v>1519.7618664521319</v>
      </c>
      <c r="F209" s="475">
        <f>INDEX(Input!$1:$1048576,F$93,$C209*2+MIN($B209,2)+5)</f>
        <v>0</v>
      </c>
      <c r="G209" s="475">
        <f>INDEX(Input!$1:$1048576,G$93,$C209*2+MIN($B209,2)+5)</f>
        <v>0</v>
      </c>
      <c r="H209" s="115">
        <f>INDEX(Input!$1:$1048576,H$93,$C209*2+MIN($B209,2)+5)</f>
        <v>0</v>
      </c>
      <c r="I209" s="118">
        <f>INDEX(Input!$1:$1048576,I$93,$C209*2+MIN($B209,2)+5)</f>
        <v>0.7</v>
      </c>
      <c r="J209" s="118" t="str">
        <f>INDEX(Input!$1:$1048576,J$93,$C209*2+MIN($B209,2)+5)</f>
        <v>Market</v>
      </c>
      <c r="K209" s="118" t="str">
        <f>INDEX(Input!$1:$1048576,K$93,$C209*2+MIN($B209,2)+5)</f>
        <v>Market</v>
      </c>
      <c r="L209" s="118" t="str">
        <f>INDEX(Input!$1:$1048576,L$93,$C209*2+MIN($B209,2)+5)</f>
        <v>Market</v>
      </c>
      <c r="M209" s="118" t="str">
        <f>INDEX(Input!$1:$1048576,M$93,$C209*2+MIN($B209,2)+5)</f>
        <v>Market</v>
      </c>
      <c r="N209" s="118" t="str">
        <f>INDEX(Input!$1:$1048576,N$93,$C209*2+MIN($B209,2)+5)</f>
        <v>Market</v>
      </c>
      <c r="O209" s="118" t="str">
        <f>INDEX(Input!$1:$1048576,O$93,$C209*2+MIN($B209,2)+5)</f>
        <v>Market</v>
      </c>
      <c r="P209" s="118" t="str">
        <f>INDEX(Input!$1:$1048576,P$93,$C209*2+MIN($B209,2)+5)</f>
        <v>N</v>
      </c>
      <c r="Q209" s="30">
        <f>INDEX(Input!$1:$1048576,Q$93,$C209*2+MIN($B209,2)+5)</f>
        <v>0</v>
      </c>
      <c r="R209" s="383">
        <f>INDEX(Input!$1:$1048576,R$93,$C209*2+MIN($B209,2)+5)</f>
        <v>0</v>
      </c>
      <c r="S209" s="383">
        <f>INDEX(Input!$1:$1048576,S$93,$C209*2+MIN($B209,2)+5)</f>
        <v>0</v>
      </c>
      <c r="T209" s="383">
        <f>INDEX(Input!$1:$1048576,T$93,$C209*2+MIN($B209,2)+5)</f>
        <v>0</v>
      </c>
      <c r="U209" s="383">
        <f>INDEX(Input!$1:$1048576,U$93,$C209*2+MIN($B209,2)+5)</f>
        <v>0</v>
      </c>
      <c r="V209" s="383">
        <f>INDEX(Input!$1:$1048576,V$93,$C209*2+MIN($B209,2)+5)</f>
        <v>1.9E-2</v>
      </c>
      <c r="W209" s="884">
        <f>INDEX(Input!$1:$1048576,W$93,$C209*2+MIN($B209,2)+5)</f>
        <v>3.9E-2</v>
      </c>
      <c r="X209" s="118" t="str">
        <f>INDEX(Input!$1:$1048576,X$93,$C209*2+MIN($B209,2)+5)</f>
        <v>Y</v>
      </c>
      <c r="Y209" s="150">
        <f>INDEX(Input!$1:$1048576,Y$93,$C209*2+MIN($B209,2)+5)</f>
        <v>56</v>
      </c>
      <c r="Z209" s="30">
        <f>INDEX(Input!$1:$1048576,Z$93,$C209*2+MIN($B209,2)+5)</f>
        <v>0</v>
      </c>
      <c r="AA209" s="115">
        <f>INDEX(Input!$1:$1048576,AA$93,$C209*2+MIN($B209,2)+5)</f>
        <v>0</v>
      </c>
      <c r="AB209" s="118">
        <f>INDEX(Input!$1:$1048576,AB$93,$C209*2+MIN($B209,2)+5)</f>
        <v>0.27</v>
      </c>
      <c r="AC209" s="115">
        <f>INDEX(Input!$1:$1048576,AC$93,$C209*2+MIN($B209,2)+5)</f>
        <v>0</v>
      </c>
      <c r="AD209" s="118">
        <f>INDEX(Input!$1:$1048576,AD$93,$C209*2+MIN($B209,2)+5)</f>
        <v>0.27</v>
      </c>
      <c r="AE209" s="115">
        <f>INDEX(Input!$1:$1048576,AE$93,$C209*2+MIN($B209,2)+5)</f>
        <v>0</v>
      </c>
      <c r="AF209" s="118">
        <f>INDEX(Input!$1:$1048576,AF$93,$C209*2+MIN($B209,2)+5)</f>
        <v>4.8000000000000001E-2</v>
      </c>
      <c r="AG209" s="115">
        <f>INDEX(Input!$1:$1048576,AG$93,$C209*2+MIN($B209,2)+5)</f>
        <v>500</v>
      </c>
      <c r="AH209" s="118">
        <f>INDEX(Input!$1:$1048576,AH$93,$C209*2+MIN($B209,2)+5)</f>
        <v>0.94599999999999995</v>
      </c>
      <c r="AI209" s="115">
        <f>INDEX(Input!$1:$1048576,AI$93,$C209*2+MIN($B209,2)+5)</f>
        <v>0</v>
      </c>
      <c r="AJ209" s="118">
        <f>INDEX(Input!$1:$1048576,AJ$93,$C209*2+MIN($B209,2)+5)</f>
        <v>0.27</v>
      </c>
      <c r="AK209" s="150">
        <f>ROUND(INDEX(Input!$1:$1048576,AK$93,$C208*2+MIN($B209,1)+5)+(Y209-VLOOKUP($C209*1000+1,$A:$HH,Y$92,FALSE)),0)</f>
        <v>2977</v>
      </c>
      <c r="AL209" s="150">
        <f>ROUND(INDEX(Input!$1:$1048576,AL$93,$C208*2+MIN($B209,1)+5)-(Y209-VLOOKUP($C209*1000+1,$A:$HH,Y$92,FALSE))/36,0)</f>
        <v>3395</v>
      </c>
      <c r="AM209" s="32" t="str">
        <f t="shared" si="663"/>
        <v>std/std/std/std</v>
      </c>
      <c r="AN209" s="32" t="str">
        <f t="shared" si="664"/>
        <v>$0 + 0/0/0/1.9/3.9</v>
      </c>
      <c r="AO209" s="32" t="str">
        <f t="shared" si="665"/>
        <v>0/0/0/1.9/3.9</v>
      </c>
      <c r="AP209" s="32" t="str">
        <f t="shared" si="498"/>
        <v>0/0.9/1.9/3.9</v>
      </c>
      <c r="AQ209" s="536">
        <f t="shared" si="497"/>
        <v>0.38977373265170939</v>
      </c>
      <c r="AR209" s="32"/>
      <c r="AS209" s="302"/>
      <c r="AT209" s="3">
        <f t="shared" si="106"/>
        <v>9</v>
      </c>
      <c r="AU209" s="41" t="s">
        <v>121</v>
      </c>
      <c r="AV209" s="41" t="s">
        <v>116</v>
      </c>
      <c r="AW209" s="41" t="str">
        <f>INDEX(Input!$1:$1048576,AW$93,$C209*2+6)</f>
        <v>Kia</v>
      </c>
      <c r="AX209" s="41" t="str">
        <f>INDEX(Input!$1:$1048576,AX$93,$C209*2+6)</f>
        <v>Kia-LR - L2</v>
      </c>
      <c r="AY209" s="41" t="str">
        <f>IF(LEN(D209)=0,"",INDEX(Input!$1:$1048576,AY$93,$C209*2+6))</f>
        <v>Compact SUV (52)</v>
      </c>
      <c r="AZ209" s="41" t="str">
        <f>INDEX(Input!$1:$1048576,AZ$93,$C209*2+6)</f>
        <v>Kia Soul</v>
      </c>
      <c r="BA209" s="3">
        <f>INDEX(Input!$1:$1048576,BA$93,$C209*2+6)</f>
        <v>2020</v>
      </c>
      <c r="BB209" s="128">
        <f>INDEX(Input!$1:$1048576,BB$93,$C209*2+6)</f>
        <v>1</v>
      </c>
      <c r="BC209" s="128">
        <f>INDEX(Input!$1:$1048576,BC$93,$C209*2+6)</f>
        <v>0.7</v>
      </c>
      <c r="BD209" s="1">
        <f>INDEX(Input!$1:$1048576,BD$93,$C209*2+6)</f>
        <v>4.4999999999999998E-2</v>
      </c>
      <c r="BE209" s="1">
        <f>INDEX(Input!$1:$1048576,BE$93,$C209*2+6)</f>
        <v>4.4999999999999998E-2</v>
      </c>
      <c r="BF209" s="1">
        <f>INDEX(Input!$1:$1048576,BF$93,$C209*2+6)</f>
        <v>0.05</v>
      </c>
      <c r="BG209" s="1">
        <f>INDEX(Input!$1:$1048576,BG$93,$C209*2+6)</f>
        <v>5.45E-2</v>
      </c>
      <c r="BH209" s="1">
        <f>INDEX(Input!$1:$1048576,BH$93,$C209*2+6)</f>
        <v>5.45E-2</v>
      </c>
      <c r="BI209" s="1">
        <f>INDEX(Input!$1:$1048576,BI$93,$C209*2+6)</f>
        <v>0.05</v>
      </c>
      <c r="BJ209" s="1">
        <f>INDEX(Input!$1:$1048576,BJ$93,$C209*2+6)</f>
        <v>0.05</v>
      </c>
      <c r="BK209" s="1">
        <f>INDEX(Input!$1:$1048576,BK$93,$C209*2+6)</f>
        <v>0.05</v>
      </c>
      <c r="BL209" s="1">
        <f>INDEX(Input!$1:$1048576,BL$93,$C209*2+6)</f>
        <v>5.5E-2</v>
      </c>
      <c r="BM209" s="1">
        <f>INDEX(Input!$1:$1048576,BM$93,$C209*2+6)</f>
        <v>0.06</v>
      </c>
      <c r="BN209" s="1">
        <f>INDEX(Input!$1:$1048576,BN$93,$C209*2+6)</f>
        <v>4.4999999999999998E-2</v>
      </c>
      <c r="BO209" s="1">
        <f>INDEX(Input!$1:$1048576,BO$93,$C209*2+6)</f>
        <v>4.4999999999999998E-2</v>
      </c>
      <c r="BP209" s="1">
        <f>INDEX(Input!$1:$1048576,BP$93,$C209*2+6)</f>
        <v>0.05</v>
      </c>
      <c r="BQ209" s="1">
        <f>INDEX(Input!$1:$1048576,BQ$93,$C209*2+6)</f>
        <v>5.45E-2</v>
      </c>
      <c r="BR209" s="1">
        <f>INDEX(Input!$1:$1048576,BR$93,$C209*2+6)</f>
        <v>5.45E-2</v>
      </c>
      <c r="BS209" s="1">
        <f>INDEX(Input!$1:$1048576,BS$93,$C209*2+6)</f>
        <v>0.05</v>
      </c>
      <c r="BT209" s="1">
        <f>INDEX(Input!$1:$1048576,BT$93,$C209*2+6)</f>
        <v>0.05</v>
      </c>
      <c r="BU209" s="1">
        <f>INDEX(Input!$1:$1048576,BU$93,$C209*2+6)</f>
        <v>0.05</v>
      </c>
      <c r="BV209" s="1">
        <f>INDEX(Input!$1:$1048576,BV$93,$C209*2+6)</f>
        <v>5.5E-2</v>
      </c>
      <c r="BW209" s="1">
        <f>INDEX(Input!$1:$1048576,BW$93,$C209*2+6)</f>
        <v>0.06</v>
      </c>
      <c r="BX209" s="127">
        <f>INDEX(Input!$1:$1048576,BX$93,$C209*2+6)</f>
        <v>19985</v>
      </c>
      <c r="BY209" s="20">
        <f>INDEX(Input!$1:$1048576,BY$93,$C209*2+6)</f>
        <v>0.1</v>
      </c>
      <c r="BZ209" s="20">
        <f>INDEX(Input!$1:$1048576,BZ$93,$C209*2+6)</f>
        <v>0.1</v>
      </c>
      <c r="CA209" s="20">
        <f>INDEX(Input!$1:$1048576,CA$93,$C209*2+6)</f>
        <v>0.1</v>
      </c>
      <c r="CB209" s="20">
        <f>INDEX(Input!$1:$1048576,CB$93,$C209*2+6)</f>
        <v>0.1</v>
      </c>
      <c r="CC209" s="20">
        <f>INDEX(Input!$1:$1048576,CC$93,$C209*2+6)</f>
        <v>0.1</v>
      </c>
      <c r="CD209" s="384">
        <f>INDEX(Input!$1:$1048576,CD$93,$C209*2+6)</f>
        <v>0.1</v>
      </c>
      <c r="CE209" s="384">
        <f>INDEX(Input!$1:$1048576,CE$93,$C209*2+6)</f>
        <v>0.1</v>
      </c>
      <c r="CF209" s="384">
        <f>INDEX(Input!$1:$1048576,CF$93,$C209*2+6)</f>
        <v>0.1</v>
      </c>
      <c r="CG209" s="384">
        <f>INDEX(Input!$1:$1048576,CG$93,$C209*2+6)</f>
        <v>0.1</v>
      </c>
      <c r="CH209" s="384">
        <f>INDEX(Input!$1:$1048576,CH$93,$C209*2+6)</f>
        <v>0.1</v>
      </c>
      <c r="CI209" s="304">
        <f t="shared" si="499"/>
        <v>1519.7618664521319</v>
      </c>
      <c r="CJ209" s="16" t="str">
        <f>INDEX(Input!$1:$1048576,CJ$93,$C209*2+6)</f>
        <v>N</v>
      </c>
      <c r="CK209" s="1" t="str">
        <f t="shared" si="500"/>
        <v>Market</v>
      </c>
      <c r="CL209" s="1" t="str">
        <f t="shared" si="501"/>
        <v>Market</v>
      </c>
      <c r="CM209" s="1" t="str">
        <f t="shared" si="502"/>
        <v>Market</v>
      </c>
      <c r="CN209" s="1" t="str">
        <f t="shared" si="503"/>
        <v>Market</v>
      </c>
      <c r="CO209" s="1" t="str">
        <f t="shared" si="504"/>
        <v>Market</v>
      </c>
      <c r="CP209" s="304">
        <f t="shared" si="505"/>
        <v>473</v>
      </c>
      <c r="CQ209" s="1">
        <f t="shared" si="506"/>
        <v>0</v>
      </c>
      <c r="CR209" s="1">
        <f t="shared" si="507"/>
        <v>0</v>
      </c>
      <c r="CS209" s="1">
        <f t="shared" si="508"/>
        <v>0</v>
      </c>
      <c r="CT209" s="1">
        <f t="shared" si="509"/>
        <v>1.9E-2</v>
      </c>
      <c r="CU209" s="1">
        <f t="shared" si="510"/>
        <v>3.9E-2</v>
      </c>
      <c r="CV209" s="304">
        <f t="shared" si="511"/>
        <v>56</v>
      </c>
      <c r="CW209" s="20" t="s">
        <v>122</v>
      </c>
      <c r="CX209" s="20" t="s">
        <v>122</v>
      </c>
      <c r="CY209" s="20" t="s">
        <v>122</v>
      </c>
      <c r="CZ209" s="20" t="s">
        <v>122</v>
      </c>
      <c r="DA209" s="20" t="s">
        <v>122</v>
      </c>
      <c r="DB209" s="503">
        <f t="shared" si="512"/>
        <v>0</v>
      </c>
      <c r="DC209" s="127">
        <v>0</v>
      </c>
      <c r="DD209" s="127">
        <v>0</v>
      </c>
      <c r="DE209" s="127">
        <v>0</v>
      </c>
      <c r="DF209" s="127">
        <v>0</v>
      </c>
      <c r="DG209" s="127">
        <v>0</v>
      </c>
      <c r="DH209" s="127">
        <v>0</v>
      </c>
      <c r="DI209" s="127">
        <v>0</v>
      </c>
      <c r="DJ209" s="127">
        <v>0</v>
      </c>
      <c r="DK209" s="127">
        <v>0</v>
      </c>
      <c r="DL209" s="127">
        <v>0</v>
      </c>
      <c r="DM209" s="304">
        <f>INDEX(Input!$1:$1048576,DM$93,$C209*2+6)</f>
        <v>21036.84210526316</v>
      </c>
      <c r="DN209" s="20">
        <v>0</v>
      </c>
      <c r="DO209" s="20">
        <v>0</v>
      </c>
      <c r="DP209" s="20">
        <v>0</v>
      </c>
      <c r="DQ209" s="20">
        <v>0</v>
      </c>
      <c r="DR209" s="20">
        <v>0</v>
      </c>
      <c r="DS209" s="20">
        <f>INDEX(Input!$1:$1048576,DS$93,$C209*2+6)</f>
        <v>0.6</v>
      </c>
      <c r="DT209" s="20">
        <f>INDEX(Input!$1:$1048576,DT$93,$C209*2+6)</f>
        <v>0.55000000000000004</v>
      </c>
      <c r="DU209" s="20">
        <f>INDEX(Input!$1:$1048576,DU$93,$C209*2+6)</f>
        <v>0.52</v>
      </c>
      <c r="DV209" s="20">
        <f>INDEX(Input!$1:$1048576,DV$93,$C209*2+6)</f>
        <v>0.5</v>
      </c>
      <c r="DW209" s="20">
        <f>INDEX(Input!$1:$1048576,DW$93,$C209*2+6)</f>
        <v>0.45</v>
      </c>
      <c r="DX209" s="20"/>
      <c r="DY209" s="7">
        <v>9.8334162703216224E-2</v>
      </c>
      <c r="DZ209" s="7">
        <v>0</v>
      </c>
      <c r="EA209" s="7">
        <v>0.67403894266851827</v>
      </c>
      <c r="EB209" s="7">
        <v>0</v>
      </c>
      <c r="EC209" s="7">
        <v>0</v>
      </c>
      <c r="ED209" s="7">
        <v>0</v>
      </c>
      <c r="EE209" s="7">
        <v>0</v>
      </c>
      <c r="EF209" s="7">
        <v>0</v>
      </c>
      <c r="EG209" s="7">
        <v>0</v>
      </c>
      <c r="EH209" s="7">
        <v>1.4267385896352052E-2</v>
      </c>
      <c r="EI209" s="7">
        <v>4.0612274523887618E-2</v>
      </c>
      <c r="EJ209" s="7">
        <v>0.30731222800011077</v>
      </c>
      <c r="EK209" s="7">
        <v>0.52663922828269538</v>
      </c>
      <c r="EL209" s="7">
        <v>0.11116888329695337</v>
      </c>
      <c r="EM209" s="7">
        <v>5.1671678173853833E-2</v>
      </c>
      <c r="EN209" s="7">
        <v>6.553068863470439E-2</v>
      </c>
      <c r="EO209" s="7">
        <v>0.7322159720102519</v>
      </c>
      <c r="EP209" s="7">
        <v>8.7601205897983841E-2</v>
      </c>
      <c r="EQ209" s="7">
        <v>7.4714039783284031E-2</v>
      </c>
      <c r="ER209" s="7">
        <v>3.993809367377521E-2</v>
      </c>
      <c r="ES209" s="7">
        <v>0.17595521645441164</v>
      </c>
      <c r="ET209" s="7">
        <v>0.22762689462826541</v>
      </c>
      <c r="EU209" s="6">
        <v>1544</v>
      </c>
      <c r="EV209" s="6">
        <v>0</v>
      </c>
      <c r="EW209" s="6">
        <v>1544</v>
      </c>
      <c r="EX209" s="6">
        <v>0</v>
      </c>
      <c r="EY209" s="6">
        <v>2054.0040241705465</v>
      </c>
      <c r="EZ209" s="6">
        <v>946</v>
      </c>
      <c r="FA209" s="6">
        <v>0</v>
      </c>
      <c r="FB209" s="6">
        <v>0</v>
      </c>
      <c r="FC209" s="6">
        <v>0</v>
      </c>
      <c r="FD209" s="6">
        <v>0</v>
      </c>
      <c r="FE209" s="6">
        <v>0</v>
      </c>
      <c r="FF209" s="6">
        <v>0</v>
      </c>
      <c r="FG209" s="6">
        <v>0</v>
      </c>
      <c r="FH209" s="6">
        <v>1173.7322640407142</v>
      </c>
      <c r="FI209" s="6">
        <v>1553.9796069512395</v>
      </c>
      <c r="FJ209" s="6">
        <v>2101.2110117447423</v>
      </c>
      <c r="FK209" s="6">
        <v>1772.713997862324</v>
      </c>
      <c r="FL209" s="6">
        <v>907.07682140966369</v>
      </c>
      <c r="FM209" s="6">
        <v>1760.0040241705465</v>
      </c>
      <c r="FN209" s="6">
        <v>0</v>
      </c>
      <c r="FO209" s="6">
        <v>0</v>
      </c>
      <c r="FP209" s="6">
        <v>0</v>
      </c>
      <c r="FQ209" s="6">
        <v>0</v>
      </c>
      <c r="FR209" s="6">
        <v>0</v>
      </c>
      <c r="FS209" s="6">
        <v>0</v>
      </c>
      <c r="FT209" s="7">
        <v>0.77237310537173454</v>
      </c>
      <c r="FU209" s="7">
        <v>5.1671678173853833E-2</v>
      </c>
      <c r="FV209" s="7">
        <v>0.17595521645441164</v>
      </c>
      <c r="FW209" s="6">
        <v>1543.9999999999998</v>
      </c>
      <c r="FX209" s="6">
        <v>2054.0040241705465</v>
      </c>
      <c r="FY209" s="6">
        <v>946</v>
      </c>
      <c r="FZ209" s="6">
        <v>1817.4615072224267</v>
      </c>
      <c r="GA209" s="6">
        <v>1465.1315443645726</v>
      </c>
      <c r="GB209" s="6">
        <v>18519.868455635427</v>
      </c>
      <c r="GC209" s="7">
        <v>1.804905384453976E-2</v>
      </c>
      <c r="GD209" s="7">
        <v>1.7607028450886623E-2</v>
      </c>
      <c r="GE209" s="7"/>
      <c r="GF209" s="7"/>
      <c r="GG209" s="7">
        <v>-2.4490225219581749E-2</v>
      </c>
      <c r="GH209" s="42">
        <v>1.3891442755630821</v>
      </c>
      <c r="GI209" s="6">
        <v>15851.686167640968</v>
      </c>
      <c r="GJ209" s="14">
        <v>0.50394797582841733</v>
      </c>
      <c r="GK209" s="14">
        <v>0.50887573065309766</v>
      </c>
      <c r="GL209" s="14">
        <v>0.49605202417158278</v>
      </c>
      <c r="GM209" s="14">
        <v>0.49112426934690223</v>
      </c>
      <c r="GO209" s="5">
        <v>343.14810671672558</v>
      </c>
      <c r="GP209" s="5">
        <v>313.69153224305785</v>
      </c>
      <c r="GQ209" s="5">
        <v>535.04305713031317</v>
      </c>
      <c r="GR209" s="5">
        <v>410.15490233172511</v>
      </c>
      <c r="GS209" s="5">
        <v>339.42744393800166</v>
      </c>
      <c r="GT209" s="5">
        <v>293.4407446948278</v>
      </c>
      <c r="GU209" s="5">
        <v>258.04012322764959</v>
      </c>
      <c r="GV209" s="39" t="s">
        <v>392</v>
      </c>
      <c r="GW209" s="5">
        <v>491.45833333333331</v>
      </c>
      <c r="GX209" s="5">
        <v>368.59375</v>
      </c>
      <c r="GY209" s="5">
        <v>294.875</v>
      </c>
      <c r="GZ209" s="5">
        <v>260.19607020114813</v>
      </c>
      <c r="HA209" s="5">
        <v>241.02179695997205</v>
      </c>
      <c r="HB209" s="39">
        <v>276.42353111915435</v>
      </c>
      <c r="HC209" s="5">
        <v>245.89687499999999</v>
      </c>
      <c r="HD209" s="5">
        <v>211.55677997076018</v>
      </c>
      <c r="HE209" s="5">
        <v>214.73562331309037</v>
      </c>
      <c r="HF209" s="5">
        <v>199.03250548245612</v>
      </c>
      <c r="HG209" s="5">
        <v>192.49971491228069</v>
      </c>
      <c r="HH209" s="39">
        <v>212.38873856412752</v>
      </c>
      <c r="HI209" s="16"/>
      <c r="HJ209" s="19" t="str">
        <f t="shared" si="685"/>
        <v>On</v>
      </c>
      <c r="HK209" s="1" t="str">
        <f t="shared" si="685"/>
        <v>On</v>
      </c>
      <c r="HL209" s="16"/>
      <c r="HM209" s="639">
        <f t="shared" si="634"/>
        <v>1.2768706344444866E-2</v>
      </c>
      <c r="HN209" s="639">
        <f t="shared" si="635"/>
        <v>9.795534288915453E-4</v>
      </c>
      <c r="HO209" s="639">
        <f t="shared" si="636"/>
        <v>3.3583061774515237E-3</v>
      </c>
      <c r="HP209" s="644">
        <f>(FT209*$GD209-HM209)/$JF209*INDEX(Input!$1:$1048576,$JG$93,$C209*2+6)</f>
        <v>60.345115516615607</v>
      </c>
      <c r="HQ209" s="644">
        <f>(FU209*$GD209-HN209)/$JF209*INDEX(Input!$1:$1048576,$JG$93,$C209*2+6)</f>
        <v>-5.0695458501449755</v>
      </c>
      <c r="HR209" s="644">
        <f>(FV209*$GD209-HO209)/$JF209*INDEX(Input!$1:$1048576,$JG$93,$C209*2+6)</f>
        <v>-18.910884351355239</v>
      </c>
      <c r="HS209" s="644">
        <f t="shared" si="686"/>
        <v>-18.235686259003248</v>
      </c>
      <c r="HT209" s="644">
        <f t="shared" si="638"/>
        <v>-0.78168668504111105</v>
      </c>
      <c r="HU209" s="644">
        <f t="shared" si="639"/>
        <v>4.7698259822228746</v>
      </c>
      <c r="HV209" s="648">
        <f t="shared" si="640"/>
        <v>0</v>
      </c>
      <c r="HW209" s="648">
        <f t="shared" si="641"/>
        <v>0</v>
      </c>
      <c r="HX209" s="648">
        <f t="shared" si="642"/>
        <v>0</v>
      </c>
      <c r="HY209" s="644">
        <f>INDEX(Input!$1:$1048576,HY$93,$C209*2+6)*INDEX(Input!$1:$1048576,$JG$93,$C209*2+6)</f>
        <v>451</v>
      </c>
      <c r="HZ209" s="644">
        <f>INDEX(Input!$1:$1048576,HZ$93,$C209*2+6)*INDEX(Input!$1:$1048576,$JG$93,$C209*2+6)</f>
        <v>577</v>
      </c>
      <c r="IA209" s="644">
        <f>INDEX(Input!$1:$1048576,IA$93,$C209*2+6)*INDEX(Input!$1:$1048576,$JG$93,$C209*2+6)</f>
        <v>215</v>
      </c>
      <c r="IB209" s="644">
        <f t="shared" si="666"/>
        <v>493.10942925761242</v>
      </c>
      <c r="IC209" s="644">
        <f t="shared" si="667"/>
        <v>571.14876746481389</v>
      </c>
      <c r="ID209" s="644">
        <f>IF(AND(INDEX(Input!$1:$1048576,IA$93,$C209*2+7)="TOS",Y209&lt;=INDEX(Y:Y,MATCH(C209*1000+2,A:A))),0,1)*MAX(IA209+HR209+HU209+HX209,0%)</f>
        <v>200.85894163086763</v>
      </c>
      <c r="IE209" s="128">
        <f t="shared" si="700"/>
        <v>0.38977373265170939</v>
      </c>
      <c r="IF209" s="128">
        <f t="shared" si="643"/>
        <v>0.45145919705762144</v>
      </c>
      <c r="IG209" s="128">
        <f t="shared" si="644"/>
        <v>0.15876707029066917</v>
      </c>
      <c r="IH209" s="21"/>
      <c r="II209" s="19">
        <f t="shared" si="645"/>
        <v>1252</v>
      </c>
      <c r="IJ209" s="19">
        <f t="shared" si="646"/>
        <v>2011.9658773055378</v>
      </c>
      <c r="IK209" s="19">
        <f t="shared" si="647"/>
        <v>919</v>
      </c>
      <c r="IL209" s="19">
        <f t="shared" si="669"/>
        <v>291.99999999999977</v>
      </c>
      <c r="IM209" s="19">
        <f t="shared" si="648"/>
        <v>42.038146865008684</v>
      </c>
      <c r="IN209" s="19">
        <f t="shared" si="649"/>
        <v>27</v>
      </c>
      <c r="IO209" s="39">
        <f t="shared" si="650"/>
        <v>0</v>
      </c>
      <c r="IP209" s="39">
        <f t="shared" si="651"/>
        <v>0</v>
      </c>
      <c r="IQ209" s="39">
        <f t="shared" si="652"/>
        <v>0</v>
      </c>
      <c r="IR209" s="39">
        <v>0</v>
      </c>
      <c r="IS209" s="39">
        <v>0</v>
      </c>
      <c r="IT209" s="39">
        <v>0</v>
      </c>
      <c r="IU209" s="39">
        <v>0</v>
      </c>
      <c r="IV209" s="39">
        <v>0</v>
      </c>
      <c r="IW209" s="39">
        <v>0</v>
      </c>
      <c r="IX209" s="39">
        <f>INDEX(Input!$1:$1048576,IX$93,$C209*2+6)+INDEX(Input!$1:$1048576,IX$94,$C209*2+6)</f>
        <v>1294</v>
      </c>
      <c r="IY209" s="39">
        <f>INDEX(Input!$1:$1048576,IY$93,$C209*2+6)+INDEX(Input!$1:$1048576,IY$94,$C209*2+6)</f>
        <v>2154.0624533823611</v>
      </c>
      <c r="IZ209" s="39">
        <f>INDEX(Input!$1:$1048576,IZ$93,$C209*2+6)+INDEX(Input!$1:$1048576,IZ$94,$C209*2+6)</f>
        <v>3677.7164157747848</v>
      </c>
      <c r="JA209" s="19">
        <f t="shared" si="670"/>
        <v>1585.9999999999998</v>
      </c>
      <c r="JB209" s="19">
        <f t="shared" si="671"/>
        <v>2196.1006002473696</v>
      </c>
      <c r="JC209" s="19">
        <f t="shared" si="672"/>
        <v>3704.7164157747848</v>
      </c>
      <c r="JD209" s="19">
        <f t="shared" si="673"/>
        <v>2197.8179252213604</v>
      </c>
      <c r="JE209" s="21"/>
      <c r="JF209" s="1">
        <f t="shared" si="653"/>
        <v>1.7106565950787935E-2</v>
      </c>
      <c r="JG209" s="15">
        <f>INDEX(Input!$1:$1048576,JG$93,$C209*2+6)/(1+VLOOKUP(C209*1000+INDEX(Input!$1:$1048576,JG$93+1,$C209*2+6),$A:$KK,$JK$92,FALSE))</f>
        <v>1243</v>
      </c>
      <c r="JH209" s="1">
        <f t="shared" si="674"/>
        <v>2.9255579497277067E-2</v>
      </c>
      <c r="JI209" s="1">
        <f t="shared" si="675"/>
        <v>-1.1462226035254614E-2</v>
      </c>
      <c r="JJ209" s="1">
        <f t="shared" si="676"/>
        <v>0</v>
      </c>
      <c r="JK209" s="1">
        <f t="shared" si="701"/>
        <v>1.7793353462022453E-2</v>
      </c>
      <c r="JL209" s="15">
        <f t="shared" si="678"/>
        <v>22.11713835329391</v>
      </c>
      <c r="JM209" s="15">
        <f t="shared" si="702"/>
        <v>1265.117138353294</v>
      </c>
      <c r="JN209" s="21"/>
      <c r="JO209" s="19">
        <f>INDEX(Input!$1:$1048576,JO$93,$C209*2+6)</f>
        <v>5995.5</v>
      </c>
      <c r="JP209" s="19">
        <f>INDEX(Input!$1:$1048576,JP$93,$C209*2+6)</f>
        <v>2105.548724853742</v>
      </c>
      <c r="JQ209" s="39">
        <f t="shared" si="688"/>
        <v>3797.6820747786396</v>
      </c>
      <c r="JR209" s="39">
        <f t="shared" ref="JR209:JR272" si="705">JD209-JP209</f>
        <v>92.269200367618396</v>
      </c>
      <c r="JS209" s="39">
        <f t="shared" si="690"/>
        <v>2.7804971241776211</v>
      </c>
      <c r="JT209" s="39">
        <f t="shared" si="680"/>
        <v>0.16330005918441992</v>
      </c>
      <c r="JU209" s="385">
        <f>(JQ209*JM209-INDEX(Input!$1:$1048576,Input!A$18,$C209*2+6)*JL209*INDEX(Input!$1:$1048576,Input!A$19,$C209*2+6))/1000000</f>
        <v>4.8045126788195534</v>
      </c>
      <c r="JV209" s="39">
        <f t="shared" si="656"/>
        <v>-3.06967561872451E-2</v>
      </c>
      <c r="JW209" s="1">
        <f t="shared" si="703"/>
        <v>-6.3485887426098517E-3</v>
      </c>
      <c r="JX209" s="19">
        <f t="shared" si="694"/>
        <v>7383.4171752196689</v>
      </c>
      <c r="JZ209" s="341"/>
      <c r="KA209" s="342"/>
      <c r="KB209" s="469">
        <f t="shared" si="691"/>
        <v>2.5660492421988774</v>
      </c>
      <c r="KI209" s="473">
        <f t="shared" si="692"/>
        <v>42.109429257612419</v>
      </c>
      <c r="KJ209" s="473">
        <f t="shared" si="681"/>
        <v>-5.8512325351861136</v>
      </c>
      <c r="KK209" s="473">
        <f t="shared" si="682"/>
        <v>-14.141058369132338</v>
      </c>
      <c r="KN209" s="544">
        <f t="shared" si="695"/>
        <v>2002</v>
      </c>
      <c r="KO209" s="541">
        <f t="shared" si="657"/>
        <v>1.179677325049866E-2</v>
      </c>
      <c r="KP209" s="546">
        <f t="shared" si="658"/>
        <v>97.460141778796299</v>
      </c>
      <c r="KQ209" s="546">
        <f t="shared" si="659"/>
        <v>54.137585787887474</v>
      </c>
      <c r="KR209" s="548">
        <f t="shared" si="660"/>
        <v>2.15954952131167</v>
      </c>
      <c r="KS209" s="548">
        <f t="shared" si="661"/>
        <v>3.8876872594576755</v>
      </c>
      <c r="KT209" s="473">
        <f t="shared" si="693"/>
        <v>843.26993010479111</v>
      </c>
      <c r="KU209" s="663">
        <f t="shared" si="683"/>
        <v>4.5488526161353464</v>
      </c>
      <c r="KV209" s="117" t="e">
        <f>RANK(KU209,$KU$109:$KU$200)</f>
        <v>#N/A</v>
      </c>
    </row>
    <row r="210" spans="1:308" s="26" customFormat="1" ht="15">
      <c r="A210" s="561">
        <f t="shared" si="662"/>
        <v>2010</v>
      </c>
      <c r="B210" s="561">
        <f t="shared" si="684"/>
        <v>10</v>
      </c>
      <c r="C210" s="561">
        <f t="shared" si="105"/>
        <v>2</v>
      </c>
      <c r="D210" s="561" t="str">
        <f t="shared" si="704"/>
        <v xml:space="preserve">500 CC, </v>
      </c>
      <c r="E210" s="475">
        <f>INDEX(Input!$1:$1048576,E$93,$C210*2+MIN($B210,2)+5)+IF(OR(BX210&gt;50000,INDEX(Input!$1:$1048576,E$93,$C210*2+MIN($B210,2)+5)&gt;0),0,250)+IF(BX210&gt;50000,500,250)*2</f>
        <v>1769.7618664521319</v>
      </c>
      <c r="F210" s="475">
        <f>INDEX(Input!$1:$1048576,F$93,$C210*2+MIN($B210,2)+5)</f>
        <v>0</v>
      </c>
      <c r="G210" s="475">
        <f>INDEX(Input!$1:$1048576,G$93,$C210*2+MIN($B210,2)+5)</f>
        <v>0</v>
      </c>
      <c r="H210" s="115">
        <f>INDEX(Input!$1:$1048576,H$93,$C210*2+MIN($B210,2)+5)</f>
        <v>0</v>
      </c>
      <c r="I210" s="118">
        <f>INDEX(Input!$1:$1048576,I$93,$C210*2+MIN($B210,2)+5)</f>
        <v>0.7</v>
      </c>
      <c r="J210" s="118" t="str">
        <f>INDEX(Input!$1:$1048576,J$93,$C210*2+MIN($B210,2)+5)</f>
        <v>Market</v>
      </c>
      <c r="K210" s="118" t="str">
        <f>INDEX(Input!$1:$1048576,K$93,$C210*2+MIN($B210,2)+5)</f>
        <v>Market</v>
      </c>
      <c r="L210" s="118" t="str">
        <f>INDEX(Input!$1:$1048576,L$93,$C210*2+MIN($B210,2)+5)</f>
        <v>Market</v>
      </c>
      <c r="M210" s="118" t="str">
        <f>INDEX(Input!$1:$1048576,M$93,$C210*2+MIN($B210,2)+5)</f>
        <v>Market</v>
      </c>
      <c r="N210" s="118" t="str">
        <f>INDEX(Input!$1:$1048576,N$93,$C210*2+MIN($B210,2)+5)</f>
        <v>Market</v>
      </c>
      <c r="O210" s="118" t="str">
        <f>INDEX(Input!$1:$1048576,O$93,$C210*2+MIN($B210,2)+5)</f>
        <v>Market</v>
      </c>
      <c r="P210" s="118" t="str">
        <f>INDEX(Input!$1:$1048576,P$93,$C210*2+MIN($B210,2)+5)</f>
        <v>N</v>
      </c>
      <c r="Q210" s="30">
        <f>INDEX(Input!$1:$1048576,Q$93,$C210*2+MIN($B210,2)+5)</f>
        <v>0</v>
      </c>
      <c r="R210" s="383">
        <f>INDEX(Input!$1:$1048576,R$93,$C210*2+MIN($B210,2)+5)</f>
        <v>0</v>
      </c>
      <c r="S210" s="383">
        <f>INDEX(Input!$1:$1048576,S$93,$C210*2+MIN($B210,2)+5)</f>
        <v>0</v>
      </c>
      <c r="T210" s="383">
        <f>INDEX(Input!$1:$1048576,T$93,$C210*2+MIN($B210,2)+5)</f>
        <v>0</v>
      </c>
      <c r="U210" s="383">
        <f>INDEX(Input!$1:$1048576,U$93,$C210*2+MIN($B210,2)+5)</f>
        <v>0</v>
      </c>
      <c r="V210" s="383">
        <f>INDEX(Input!$1:$1048576,V$93,$C210*2+MIN($B210,2)+5)</f>
        <v>1.9E-2</v>
      </c>
      <c r="W210" s="884">
        <f>INDEX(Input!$1:$1048576,W$93,$C210*2+MIN($B210,2)+5)</f>
        <v>3.9E-2</v>
      </c>
      <c r="X210" s="118" t="str">
        <f>INDEX(Input!$1:$1048576,X$93,$C210*2+MIN($B210,2)+5)</f>
        <v>Y</v>
      </c>
      <c r="Y210" s="150">
        <f>INDEX(Input!$1:$1048576,Y$93,$C210*2+MIN($B210,2)+5)</f>
        <v>56</v>
      </c>
      <c r="Z210" s="30">
        <f>INDEX(Input!$1:$1048576,Z$93,$C210*2+MIN($B210,2)+5)</f>
        <v>0</v>
      </c>
      <c r="AA210" s="115">
        <f>INDEX(Input!$1:$1048576,AA$93,$C210*2+MIN($B210,2)+5)</f>
        <v>0</v>
      </c>
      <c r="AB210" s="118">
        <f>INDEX(Input!$1:$1048576,AB$93,$C210*2+MIN($B210,2)+5)</f>
        <v>0.27</v>
      </c>
      <c r="AC210" s="115">
        <f>INDEX(Input!$1:$1048576,AC$93,$C210*2+MIN($B210,2)+5)</f>
        <v>0</v>
      </c>
      <c r="AD210" s="118">
        <f>INDEX(Input!$1:$1048576,AD$93,$C210*2+MIN($B210,2)+5)</f>
        <v>0.27</v>
      </c>
      <c r="AE210" s="115">
        <f>INDEX(Input!$1:$1048576,AE$93,$C210*2+MIN($B210,2)+5)</f>
        <v>0</v>
      </c>
      <c r="AF210" s="118">
        <f>INDEX(Input!$1:$1048576,AF$93,$C210*2+MIN($B210,2)+5)</f>
        <v>4.8000000000000001E-2</v>
      </c>
      <c r="AG210" s="115">
        <f>INDEX(Input!$1:$1048576,AG$93,$C210*2+MIN($B210,2)+5)</f>
        <v>500</v>
      </c>
      <c r="AH210" s="118">
        <f>INDEX(Input!$1:$1048576,AH$93,$C210*2+MIN($B210,2)+5)</f>
        <v>0.94599999999999995</v>
      </c>
      <c r="AI210" s="115">
        <f>INDEX(Input!$1:$1048576,AI$93,$C210*2+MIN($B210,2)+5)</f>
        <v>0</v>
      </c>
      <c r="AJ210" s="118">
        <f>INDEX(Input!$1:$1048576,AJ$93,$C210*2+MIN($B210,2)+5)</f>
        <v>0.27</v>
      </c>
      <c r="AK210" s="150">
        <f>ROUND(INDEX(Input!$1:$1048576,AK$93,$C209*2+MIN($B210,1)+5)+(Y210-VLOOKUP($C210*1000+1,$A:$HH,Y$92,FALSE)),0)</f>
        <v>2977</v>
      </c>
      <c r="AL210" s="150">
        <f>ROUND(INDEX(Input!$1:$1048576,AL$93,$C209*2+MIN($B210,1)+5)-(Y210-VLOOKUP($C210*1000+1,$A:$HH,Y$92,FALSE))/36,0)</f>
        <v>3395</v>
      </c>
      <c r="AM210" s="32" t="str">
        <f t="shared" si="663"/>
        <v>std/std/std/std</v>
      </c>
      <c r="AN210" s="32" t="str">
        <f t="shared" si="664"/>
        <v>$0 + 0/0/0/1.9/3.9</v>
      </c>
      <c r="AO210" s="32" t="str">
        <f t="shared" si="665"/>
        <v>0/0/0/1.9/3.9</v>
      </c>
      <c r="AP210" s="32" t="str">
        <f t="shared" si="498"/>
        <v>0/0.9/1.9/3.9</v>
      </c>
      <c r="AQ210" s="536">
        <f t="shared" si="497"/>
        <v>0.41535833332397271</v>
      </c>
      <c r="AR210" s="32"/>
      <c r="AS210" s="302"/>
      <c r="AT210" s="3">
        <f t="shared" si="106"/>
        <v>10</v>
      </c>
      <c r="AU210" s="41" t="s">
        <v>121</v>
      </c>
      <c r="AV210" s="41" t="s">
        <v>116</v>
      </c>
      <c r="AW210" s="41" t="str">
        <f>INDEX(Input!$1:$1048576,AW$93,$C210*2+6)</f>
        <v>Kia</v>
      </c>
      <c r="AX210" s="41" t="str">
        <f>INDEX(Input!$1:$1048576,AX$93,$C210*2+6)</f>
        <v>Kia-LR - L2</v>
      </c>
      <c r="AY210" s="41" t="str">
        <f>IF(LEN(D210)=0,"",INDEX(Input!$1:$1048576,AY$93,$C210*2+6))</f>
        <v>Compact SUV (52)</v>
      </c>
      <c r="AZ210" s="41" t="str">
        <f>INDEX(Input!$1:$1048576,AZ$93,$C210*2+6)</f>
        <v>Kia Soul</v>
      </c>
      <c r="BA210" s="3">
        <f>INDEX(Input!$1:$1048576,BA$93,$C210*2+6)</f>
        <v>2020</v>
      </c>
      <c r="BB210" s="128">
        <f>INDEX(Input!$1:$1048576,BB$93,$C210*2+6)</f>
        <v>1</v>
      </c>
      <c r="BC210" s="128">
        <f>INDEX(Input!$1:$1048576,BC$93,$C210*2+6)</f>
        <v>0.7</v>
      </c>
      <c r="BD210" s="1">
        <f>INDEX(Input!$1:$1048576,BD$93,$C210*2+6)</f>
        <v>4.4999999999999998E-2</v>
      </c>
      <c r="BE210" s="1">
        <f>INDEX(Input!$1:$1048576,BE$93,$C210*2+6)</f>
        <v>4.4999999999999998E-2</v>
      </c>
      <c r="BF210" s="1">
        <f>INDEX(Input!$1:$1048576,BF$93,$C210*2+6)</f>
        <v>0.05</v>
      </c>
      <c r="BG210" s="1">
        <f>INDEX(Input!$1:$1048576,BG$93,$C210*2+6)</f>
        <v>5.45E-2</v>
      </c>
      <c r="BH210" s="1">
        <f>INDEX(Input!$1:$1048576,BH$93,$C210*2+6)</f>
        <v>5.45E-2</v>
      </c>
      <c r="BI210" s="1">
        <f>INDEX(Input!$1:$1048576,BI$93,$C210*2+6)</f>
        <v>0.05</v>
      </c>
      <c r="BJ210" s="1">
        <f>INDEX(Input!$1:$1048576,BJ$93,$C210*2+6)</f>
        <v>0.05</v>
      </c>
      <c r="BK210" s="1">
        <f>INDEX(Input!$1:$1048576,BK$93,$C210*2+6)</f>
        <v>0.05</v>
      </c>
      <c r="BL210" s="1">
        <f>INDEX(Input!$1:$1048576,BL$93,$C210*2+6)</f>
        <v>5.5E-2</v>
      </c>
      <c r="BM210" s="1">
        <f>INDEX(Input!$1:$1048576,BM$93,$C210*2+6)</f>
        <v>0.06</v>
      </c>
      <c r="BN210" s="1">
        <f>INDEX(Input!$1:$1048576,BN$93,$C210*2+6)</f>
        <v>4.4999999999999998E-2</v>
      </c>
      <c r="BO210" s="1">
        <f>INDEX(Input!$1:$1048576,BO$93,$C210*2+6)</f>
        <v>4.4999999999999998E-2</v>
      </c>
      <c r="BP210" s="1">
        <f>INDEX(Input!$1:$1048576,BP$93,$C210*2+6)</f>
        <v>0.05</v>
      </c>
      <c r="BQ210" s="1">
        <f>INDEX(Input!$1:$1048576,BQ$93,$C210*2+6)</f>
        <v>5.45E-2</v>
      </c>
      <c r="BR210" s="1">
        <f>INDEX(Input!$1:$1048576,BR$93,$C210*2+6)</f>
        <v>5.45E-2</v>
      </c>
      <c r="BS210" s="1">
        <f>INDEX(Input!$1:$1048576,BS$93,$C210*2+6)</f>
        <v>0.05</v>
      </c>
      <c r="BT210" s="1">
        <f>INDEX(Input!$1:$1048576,BT$93,$C210*2+6)</f>
        <v>0.05</v>
      </c>
      <c r="BU210" s="1">
        <f>INDEX(Input!$1:$1048576,BU$93,$C210*2+6)</f>
        <v>0.05</v>
      </c>
      <c r="BV210" s="1">
        <f>INDEX(Input!$1:$1048576,BV$93,$C210*2+6)</f>
        <v>5.5E-2</v>
      </c>
      <c r="BW210" s="1">
        <f>INDEX(Input!$1:$1048576,BW$93,$C210*2+6)</f>
        <v>0.06</v>
      </c>
      <c r="BX210" s="127">
        <f>INDEX(Input!$1:$1048576,BX$93,$C210*2+6)</f>
        <v>19985</v>
      </c>
      <c r="BY210" s="20">
        <f>INDEX(Input!$1:$1048576,BY$93,$C210*2+6)</f>
        <v>0.1</v>
      </c>
      <c r="BZ210" s="20">
        <f>INDEX(Input!$1:$1048576,BZ$93,$C210*2+6)</f>
        <v>0.1</v>
      </c>
      <c r="CA210" s="20">
        <f>INDEX(Input!$1:$1048576,CA$93,$C210*2+6)</f>
        <v>0.1</v>
      </c>
      <c r="CB210" s="20">
        <f>INDEX(Input!$1:$1048576,CB$93,$C210*2+6)</f>
        <v>0.1</v>
      </c>
      <c r="CC210" s="20">
        <f>INDEX(Input!$1:$1048576,CC$93,$C210*2+6)</f>
        <v>0.1</v>
      </c>
      <c r="CD210" s="384">
        <f>INDEX(Input!$1:$1048576,CD$93,$C210*2+6)</f>
        <v>0.1</v>
      </c>
      <c r="CE210" s="384">
        <f>INDEX(Input!$1:$1048576,CE$93,$C210*2+6)</f>
        <v>0.1</v>
      </c>
      <c r="CF210" s="384">
        <f>INDEX(Input!$1:$1048576,CF$93,$C210*2+6)</f>
        <v>0.1</v>
      </c>
      <c r="CG210" s="384">
        <f>INDEX(Input!$1:$1048576,CG$93,$C210*2+6)</f>
        <v>0.1</v>
      </c>
      <c r="CH210" s="384">
        <f>INDEX(Input!$1:$1048576,CH$93,$C210*2+6)</f>
        <v>0.1</v>
      </c>
      <c r="CI210" s="304">
        <f t="shared" si="499"/>
        <v>1769.7618664521319</v>
      </c>
      <c r="CJ210" s="16" t="str">
        <f>INDEX(Input!$1:$1048576,CJ$93,$C210*2+6)</f>
        <v>N</v>
      </c>
      <c r="CK210" s="1" t="str">
        <f t="shared" si="500"/>
        <v>Market</v>
      </c>
      <c r="CL210" s="1" t="str">
        <f t="shared" si="501"/>
        <v>Market</v>
      </c>
      <c r="CM210" s="1" t="str">
        <f t="shared" si="502"/>
        <v>Market</v>
      </c>
      <c r="CN210" s="1" t="str">
        <f t="shared" si="503"/>
        <v>Market</v>
      </c>
      <c r="CO210" s="1" t="str">
        <f t="shared" si="504"/>
        <v>Market</v>
      </c>
      <c r="CP210" s="304">
        <f t="shared" si="505"/>
        <v>473</v>
      </c>
      <c r="CQ210" s="1">
        <f t="shared" si="506"/>
        <v>0</v>
      </c>
      <c r="CR210" s="1">
        <f t="shared" si="507"/>
        <v>0</v>
      </c>
      <c r="CS210" s="1">
        <f t="shared" si="508"/>
        <v>0</v>
      </c>
      <c r="CT210" s="1">
        <f t="shared" si="509"/>
        <v>1.9E-2</v>
      </c>
      <c r="CU210" s="1">
        <f t="shared" si="510"/>
        <v>3.9E-2</v>
      </c>
      <c r="CV210" s="304">
        <f t="shared" si="511"/>
        <v>56</v>
      </c>
      <c r="CW210" s="20" t="s">
        <v>122</v>
      </c>
      <c r="CX210" s="20" t="s">
        <v>122</v>
      </c>
      <c r="CY210" s="20" t="s">
        <v>122</v>
      </c>
      <c r="CZ210" s="20" t="s">
        <v>122</v>
      </c>
      <c r="DA210" s="20" t="s">
        <v>122</v>
      </c>
      <c r="DB210" s="503">
        <f t="shared" si="512"/>
        <v>0</v>
      </c>
      <c r="DC210" s="127">
        <v>0</v>
      </c>
      <c r="DD210" s="127">
        <v>0</v>
      </c>
      <c r="DE210" s="127">
        <v>0</v>
      </c>
      <c r="DF210" s="127">
        <v>0</v>
      </c>
      <c r="DG210" s="127">
        <v>0</v>
      </c>
      <c r="DH210" s="127">
        <v>0</v>
      </c>
      <c r="DI210" s="127">
        <v>0</v>
      </c>
      <c r="DJ210" s="127">
        <v>0</v>
      </c>
      <c r="DK210" s="127">
        <v>0</v>
      </c>
      <c r="DL210" s="127">
        <v>0</v>
      </c>
      <c r="DM210" s="304">
        <f>INDEX(Input!$1:$1048576,DM$93,$C210*2+6)</f>
        <v>21036.84210526316</v>
      </c>
      <c r="DN210" s="20">
        <v>0</v>
      </c>
      <c r="DO210" s="20">
        <v>0</v>
      </c>
      <c r="DP210" s="20">
        <v>0</v>
      </c>
      <c r="DQ210" s="20">
        <v>0</v>
      </c>
      <c r="DR210" s="20">
        <v>0</v>
      </c>
      <c r="DS210" s="20">
        <f>INDEX(Input!$1:$1048576,DS$93,$C210*2+6)</f>
        <v>0.6</v>
      </c>
      <c r="DT210" s="20">
        <f>INDEX(Input!$1:$1048576,DT$93,$C210*2+6)</f>
        <v>0.55000000000000004</v>
      </c>
      <c r="DU210" s="20">
        <f>INDEX(Input!$1:$1048576,DU$93,$C210*2+6)</f>
        <v>0.52</v>
      </c>
      <c r="DV210" s="20">
        <f>INDEX(Input!$1:$1048576,DV$93,$C210*2+6)</f>
        <v>0.5</v>
      </c>
      <c r="DW210" s="20">
        <f>INDEX(Input!$1:$1048576,DW$93,$C210*2+6)</f>
        <v>0.45</v>
      </c>
      <c r="DX210" s="20"/>
      <c r="DY210" s="7">
        <v>0.10419124561575259</v>
      </c>
      <c r="DZ210" s="7">
        <v>0</v>
      </c>
      <c r="EA210" s="7">
        <v>0.69109584816570346</v>
      </c>
      <c r="EB210" s="7">
        <v>0</v>
      </c>
      <c r="EC210" s="7">
        <v>0</v>
      </c>
      <c r="ED210" s="7">
        <v>0</v>
      </c>
      <c r="EE210" s="7">
        <v>0</v>
      </c>
      <c r="EF210" s="7">
        <v>0</v>
      </c>
      <c r="EG210" s="7">
        <v>0</v>
      </c>
      <c r="EH210" s="7">
        <v>1.4273656869275222E-2</v>
      </c>
      <c r="EI210" s="7">
        <v>4.0634178822342708E-2</v>
      </c>
      <c r="EJ210" s="7">
        <v>0.30738715869961547</v>
      </c>
      <c r="EK210" s="7">
        <v>0.52655732654477894</v>
      </c>
      <c r="EL210" s="7">
        <v>0.1111476790639873</v>
      </c>
      <c r="EM210" s="7">
        <v>4.6430062039081871E-2</v>
      </c>
      <c r="EN210" s="7">
        <v>6.5522593348356098E-2</v>
      </c>
      <c r="EO210" s="7">
        <v>0.73220944061674254</v>
      </c>
      <c r="EP210" s="7">
        <v>8.7613339144021848E-2</v>
      </c>
      <c r="EQ210" s="7">
        <v>7.4711827457059649E-2</v>
      </c>
      <c r="ER210" s="7">
        <v>3.9942799433819787E-2</v>
      </c>
      <c r="ES210" s="7">
        <v>0.15828284417946209</v>
      </c>
      <c r="ET210" s="7">
        <v>0.20471290621854385</v>
      </c>
      <c r="EU210" s="6">
        <v>1794</v>
      </c>
      <c r="EV210" s="6">
        <v>0</v>
      </c>
      <c r="EW210" s="6">
        <v>1794</v>
      </c>
      <c r="EX210" s="6">
        <v>0</v>
      </c>
      <c r="EY210" s="6">
        <v>2054.0384747611342</v>
      </c>
      <c r="EZ210" s="6">
        <v>946</v>
      </c>
      <c r="FA210" s="6">
        <v>0</v>
      </c>
      <c r="FB210" s="6">
        <v>0</v>
      </c>
      <c r="FC210" s="6">
        <v>0</v>
      </c>
      <c r="FD210" s="6">
        <v>0</v>
      </c>
      <c r="FE210" s="6">
        <v>0</v>
      </c>
      <c r="FF210" s="6">
        <v>0</v>
      </c>
      <c r="FG210" s="6">
        <v>0</v>
      </c>
      <c r="FH210" s="6">
        <v>1173.7342487328283</v>
      </c>
      <c r="FI210" s="6">
        <v>1553.9796069512399</v>
      </c>
      <c r="FJ210" s="6">
        <v>2101.211011744741</v>
      </c>
      <c r="FK210" s="6">
        <v>1772.7139978623231</v>
      </c>
      <c r="FL210" s="6">
        <v>907.07682140966324</v>
      </c>
      <c r="FM210" s="6">
        <v>1760.0384747611345</v>
      </c>
      <c r="FN210" s="6">
        <v>0</v>
      </c>
      <c r="FO210" s="6">
        <v>0</v>
      </c>
      <c r="FP210" s="6">
        <v>0</v>
      </c>
      <c r="FQ210" s="6">
        <v>0</v>
      </c>
      <c r="FR210" s="6">
        <v>0</v>
      </c>
      <c r="FS210" s="6">
        <v>0</v>
      </c>
      <c r="FT210" s="7">
        <v>0.79528709378145601</v>
      </c>
      <c r="FU210" s="7">
        <v>4.6430062039081871E-2</v>
      </c>
      <c r="FV210" s="7">
        <v>0.15828284417946209</v>
      </c>
      <c r="FW210" s="6">
        <v>1794.0000000000005</v>
      </c>
      <c r="FX210" s="6">
        <v>2054.0384747611342</v>
      </c>
      <c r="FY210" s="6">
        <v>946</v>
      </c>
      <c r="FZ210" s="6">
        <v>1817.4615072224267</v>
      </c>
      <c r="GA210" s="6">
        <v>1671.8497506515241</v>
      </c>
      <c r="GB210" s="6">
        <v>18313.150249348477</v>
      </c>
      <c r="GC210" s="7">
        <v>1.804905384453976E-2</v>
      </c>
      <c r="GD210" s="7">
        <v>1.8047435185827319E-2</v>
      </c>
      <c r="GE210" s="7"/>
      <c r="GF210" s="7"/>
      <c r="GG210" s="7">
        <v>-8.9681083916223224E-5</v>
      </c>
      <c r="GH210" s="42">
        <v>1.2308597219572788E-2</v>
      </c>
      <c r="GI210" s="6">
        <v>1625333.7214885945</v>
      </c>
      <c r="GJ210" s="14">
        <v>0.50394797582841755</v>
      </c>
      <c r="GK210" s="14">
        <v>0.50887573065309744</v>
      </c>
      <c r="GL210" s="14">
        <v>0.49605202417158301</v>
      </c>
      <c r="GM210" s="14">
        <v>0.4911242693469024</v>
      </c>
      <c r="GO210" s="5">
        <v>343.14810671672558</v>
      </c>
      <c r="GP210" s="5">
        <v>308.92200917413498</v>
      </c>
      <c r="GQ210" s="5">
        <v>535.04305713031317</v>
      </c>
      <c r="GR210" s="5">
        <v>410.15490233172511</v>
      </c>
      <c r="GS210" s="5">
        <v>339.42744393800166</v>
      </c>
      <c r="GT210" s="5">
        <v>293.4407446948278</v>
      </c>
      <c r="GU210" s="5">
        <v>258.04012322764959</v>
      </c>
      <c r="GV210" s="39" t="s">
        <v>392</v>
      </c>
      <c r="GW210" s="5">
        <v>491.45833333333331</v>
      </c>
      <c r="GX210" s="5">
        <v>368.59375</v>
      </c>
      <c r="GY210" s="5">
        <v>294.875</v>
      </c>
      <c r="GZ210" s="5">
        <v>260.19607020114813</v>
      </c>
      <c r="HA210" s="5">
        <v>241.02179695997205</v>
      </c>
      <c r="HB210" s="39">
        <v>276.43036082589958</v>
      </c>
      <c r="HC210" s="5">
        <v>245.89687499999999</v>
      </c>
      <c r="HD210" s="5">
        <v>211.55677997076018</v>
      </c>
      <c r="HE210" s="5">
        <v>214.73562331309037</v>
      </c>
      <c r="HF210" s="5">
        <v>199.03250548245612</v>
      </c>
      <c r="HG210" s="5">
        <v>192.49971491228069</v>
      </c>
      <c r="HH210" s="39">
        <v>212.38843717071913</v>
      </c>
      <c r="HI210" s="16"/>
      <c r="HJ210" s="19" t="str">
        <f t="shared" si="685"/>
        <v>On</v>
      </c>
      <c r="HK210" s="1" t="str">
        <f t="shared" si="685"/>
        <v>On</v>
      </c>
      <c r="HL210" s="16"/>
      <c r="HM210" s="639">
        <f t="shared" si="634"/>
        <v>1.2768706344444866E-2</v>
      </c>
      <c r="HN210" s="639">
        <f t="shared" si="635"/>
        <v>9.795534288915453E-4</v>
      </c>
      <c r="HO210" s="639">
        <f t="shared" si="636"/>
        <v>3.3583061774515237E-3</v>
      </c>
      <c r="HP210" s="644">
        <f>(FT210*$GD210-HM210)/$JF210*INDEX(Input!$1:$1048576,$JG$93,$C210*2+6)</f>
        <v>115.11036887813025</v>
      </c>
      <c r="HQ210" s="644">
        <f>(FU210*$GD210-HN210)/$JF210*INDEX(Input!$1:$1048576,$JG$93,$C210*2+6)</f>
        <v>-10.289680477688961</v>
      </c>
      <c r="HR210" s="644">
        <f>(FV210*$GD210-HO210)/$JF210*INDEX(Input!$1:$1048576,$JG$93,$C210*2+6)</f>
        <v>-36.455099274115945</v>
      </c>
      <c r="HS210" s="644">
        <f t="shared" si="686"/>
        <v>-33.808840698189556</v>
      </c>
      <c r="HT210" s="644">
        <f t="shared" si="638"/>
        <v>-4.3753324251217514</v>
      </c>
      <c r="HU210" s="644">
        <f t="shared" si="639"/>
        <v>8.3663115220629205</v>
      </c>
      <c r="HV210" s="648">
        <f t="shared" si="640"/>
        <v>0</v>
      </c>
      <c r="HW210" s="648">
        <f t="shared" si="641"/>
        <v>0</v>
      </c>
      <c r="HX210" s="648">
        <f t="shared" si="642"/>
        <v>0</v>
      </c>
      <c r="HY210" s="644">
        <f>INDEX(Input!$1:$1048576,HY$93,$C210*2+6)*INDEX(Input!$1:$1048576,$JG$93,$C210*2+6)</f>
        <v>451</v>
      </c>
      <c r="HZ210" s="644">
        <f>INDEX(Input!$1:$1048576,HZ$93,$C210*2+6)*INDEX(Input!$1:$1048576,$JG$93,$C210*2+6)</f>
        <v>577</v>
      </c>
      <c r="IA210" s="644">
        <f>INDEX(Input!$1:$1048576,IA$93,$C210*2+6)*INDEX(Input!$1:$1048576,$JG$93,$C210*2+6)</f>
        <v>215</v>
      </c>
      <c r="IB210" s="644">
        <f t="shared" si="666"/>
        <v>532.30152817994065</v>
      </c>
      <c r="IC210" s="644">
        <f t="shared" si="667"/>
        <v>562.33498709718924</v>
      </c>
      <c r="ID210" s="644">
        <f>IF(AND(INDEX(Input!$1:$1048576,IA$93,$C210*2+7)="TOS",Y210&lt;=INDEX(Y:Y,MATCH(C210*1000+2,A:A))),0,1)*MAX(IA210+HR210+HU210+HX210,0%)</f>
        <v>186.91121224794696</v>
      </c>
      <c r="IE210" s="128">
        <f t="shared" si="700"/>
        <v>0.41535833332397271</v>
      </c>
      <c r="IF210" s="128">
        <f t="shared" si="643"/>
        <v>0.43879363602256916</v>
      </c>
      <c r="IG210" s="128">
        <f t="shared" si="644"/>
        <v>0.14584803065345808</v>
      </c>
      <c r="IH210" s="21"/>
      <c r="II210" s="19">
        <f t="shared" si="645"/>
        <v>1252</v>
      </c>
      <c r="IJ210" s="19">
        <f t="shared" si="646"/>
        <v>2011.9658773055378</v>
      </c>
      <c r="IK210" s="19">
        <f t="shared" si="647"/>
        <v>919</v>
      </c>
      <c r="IL210" s="19">
        <f t="shared" si="669"/>
        <v>542.00000000000045</v>
      </c>
      <c r="IM210" s="19">
        <f t="shared" si="648"/>
        <v>42.072597455596451</v>
      </c>
      <c r="IN210" s="19">
        <f t="shared" si="649"/>
        <v>27</v>
      </c>
      <c r="IO210" s="39">
        <f t="shared" si="650"/>
        <v>0</v>
      </c>
      <c r="IP210" s="39">
        <f t="shared" si="651"/>
        <v>0</v>
      </c>
      <c r="IQ210" s="39">
        <f t="shared" si="652"/>
        <v>0</v>
      </c>
      <c r="IR210" s="39">
        <v>0</v>
      </c>
      <c r="IS210" s="39">
        <v>0</v>
      </c>
      <c r="IT210" s="39">
        <v>0</v>
      </c>
      <c r="IU210" s="39">
        <v>0</v>
      </c>
      <c r="IV210" s="39">
        <v>0</v>
      </c>
      <c r="IW210" s="39">
        <v>0</v>
      </c>
      <c r="IX210" s="39">
        <f>INDEX(Input!$1:$1048576,IX$93,$C210*2+6)+INDEX(Input!$1:$1048576,IX$94,$C210*2+6)</f>
        <v>1294</v>
      </c>
      <c r="IY210" s="39">
        <f>INDEX(Input!$1:$1048576,IY$93,$C210*2+6)+INDEX(Input!$1:$1048576,IY$94,$C210*2+6)</f>
        <v>2154.0624533823611</v>
      </c>
      <c r="IZ210" s="39">
        <f>INDEX(Input!$1:$1048576,IZ$93,$C210*2+6)+INDEX(Input!$1:$1048576,IZ$94,$C210*2+6)</f>
        <v>3677.7164157747848</v>
      </c>
      <c r="JA210" s="19">
        <f t="shared" si="670"/>
        <v>1836.0000000000005</v>
      </c>
      <c r="JB210" s="19">
        <f t="shared" si="671"/>
        <v>2196.1350508379574</v>
      </c>
      <c r="JC210" s="19">
        <f t="shared" si="672"/>
        <v>3704.7164157747848</v>
      </c>
      <c r="JD210" s="19">
        <f t="shared" si="673"/>
        <v>2266.5735775069015</v>
      </c>
      <c r="JE210" s="21"/>
      <c r="JF210" s="1">
        <f t="shared" si="653"/>
        <v>1.7106565950787935E-2</v>
      </c>
      <c r="JG210" s="15">
        <f>INDEX(Input!$1:$1048576,JG$93,$C210*2+6)/(1+VLOOKUP(C210*1000+INDEX(Input!$1:$1048576,JG$93+1,$C210*2+6),$A:$KK,$JK$92,FALSE))</f>
        <v>1243</v>
      </c>
      <c r="JH210" s="1">
        <f t="shared" si="674"/>
        <v>5.5000473955209447E-2</v>
      </c>
      <c r="JI210" s="1">
        <f t="shared" si="675"/>
        <v>-2.3988625584270628E-2</v>
      </c>
      <c r="JJ210" s="1">
        <f t="shared" si="676"/>
        <v>0</v>
      </c>
      <c r="JK210" s="1">
        <f t="shared" si="701"/>
        <v>3.1011848370938819E-2</v>
      </c>
      <c r="JL210" s="15">
        <f t="shared" si="678"/>
        <v>38.547727525076951</v>
      </c>
      <c r="JM210" s="15">
        <f t="shared" si="702"/>
        <v>1281.5477275250769</v>
      </c>
      <c r="JN210" s="21"/>
      <c r="JO210" s="19">
        <f>INDEX(Input!$1:$1048576,JO$93,$C210*2+6)</f>
        <v>5995.5</v>
      </c>
      <c r="JP210" s="19">
        <f>INDEX(Input!$1:$1048576,JP$93,$C210*2+6)</f>
        <v>2105.548724853742</v>
      </c>
      <c r="JQ210" s="39">
        <f t="shared" si="688"/>
        <v>3728.9264224930985</v>
      </c>
      <c r="JR210" s="39">
        <f t="shared" si="705"/>
        <v>161.02485265315954</v>
      </c>
      <c r="JS210" s="39">
        <f t="shared" si="690"/>
        <v>2.9047222175223535</v>
      </c>
      <c r="JT210" s="39">
        <f t="shared" si="680"/>
        <v>0.28752515252915212</v>
      </c>
      <c r="JU210" s="385">
        <f>(JQ210*JM210-INDEX(Input!$1:$1048576,Input!A$18,$C210*2+6)*JL210*INDEX(Input!$1:$1048576,Input!A$19,$C210*2+6))/1000000</f>
        <v>4.7787971828542455</v>
      </c>
      <c r="JV210" s="39">
        <f t="shared" si="656"/>
        <v>-5.6412252152552966E-2</v>
      </c>
      <c r="JW210" s="1">
        <f t="shared" si="703"/>
        <v>-1.1666971805632583E-2</v>
      </c>
      <c r="JX210" s="19">
        <f t="shared" si="694"/>
        <v>7458.9391123537616</v>
      </c>
      <c r="JZ210" s="341"/>
      <c r="KA210" s="342"/>
      <c r="KB210" s="469">
        <f t="shared" si="691"/>
        <v>2.5660492421988774</v>
      </c>
      <c r="KI210" s="473">
        <f t="shared" si="692"/>
        <v>81.301528179940647</v>
      </c>
      <c r="KJ210" s="473">
        <f t="shared" si="681"/>
        <v>-14.665012902810759</v>
      </c>
      <c r="KK210" s="473">
        <f t="shared" si="682"/>
        <v>-28.088787752053037</v>
      </c>
      <c r="KN210" s="544">
        <f t="shared" si="695"/>
        <v>2002</v>
      </c>
      <c r="KO210" s="541">
        <f t="shared" si="657"/>
        <v>2.4937388141111461E-2</v>
      </c>
      <c r="KP210" s="546">
        <f t="shared" si="658"/>
        <v>207.71052322223511</v>
      </c>
      <c r="KQ210" s="546">
        <f t="shared" si="659"/>
        <v>122.89323807342862</v>
      </c>
      <c r="KR210" s="548">
        <f t="shared" si="660"/>
        <v>2.1419998680045831</v>
      </c>
      <c r="KS210" s="548">
        <f t="shared" si="661"/>
        <v>3.6203449457435046</v>
      </c>
      <c r="KT210" s="473">
        <f t="shared" si="693"/>
        <v>843.26993010479111</v>
      </c>
      <c r="KU210" s="663">
        <f t="shared" si="683"/>
        <v>4.58266525310649</v>
      </c>
      <c r="KV210" s="117" t="e">
        <f t="shared" ref="KV210:KV211" si="706">RANK(KU210,$KU$109:$KU$200)</f>
        <v>#N/A</v>
      </c>
    </row>
    <row r="211" spans="1:308" s="26" customFormat="1" ht="15">
      <c r="A211" s="561">
        <f t="shared" si="662"/>
        <v>2011</v>
      </c>
      <c r="B211" s="561">
        <f t="shared" si="684"/>
        <v>11</v>
      </c>
      <c r="C211" s="561">
        <f t="shared" si="105"/>
        <v>2</v>
      </c>
      <c r="D211" s="561" t="str">
        <f t="shared" si="704"/>
        <v xml:space="preserve">750 CC, </v>
      </c>
      <c r="E211" s="475">
        <f>INDEX(Input!$1:$1048576,E$93,$C211*2+MIN($B211,2)+5)+IF(OR(BX211&gt;50000,INDEX(Input!$1:$1048576,E$93,$C211*2+MIN($B211,2)+5)&gt;0),0,250)+IF(BX211&gt;50000,500,250)*3</f>
        <v>2019.7618664521319</v>
      </c>
      <c r="F211" s="475">
        <f>INDEX(Input!$1:$1048576,F$93,$C211*2+MIN($B211,2)+5)</f>
        <v>0</v>
      </c>
      <c r="G211" s="475">
        <f>INDEX(Input!$1:$1048576,G$93,$C211*2+MIN($B211,2)+5)</f>
        <v>0</v>
      </c>
      <c r="H211" s="115">
        <f>INDEX(Input!$1:$1048576,H$93,$C211*2+MIN($B211,2)+5)</f>
        <v>0</v>
      </c>
      <c r="I211" s="118">
        <f>INDEX(Input!$1:$1048576,I$93,$C211*2+MIN($B211,2)+5)</f>
        <v>0.7</v>
      </c>
      <c r="J211" s="118" t="str">
        <f>INDEX(Input!$1:$1048576,J$93,$C211*2+MIN($B211,2)+5)</f>
        <v>Market</v>
      </c>
      <c r="K211" s="118" t="str">
        <f>INDEX(Input!$1:$1048576,K$93,$C211*2+MIN($B211,2)+5)</f>
        <v>Market</v>
      </c>
      <c r="L211" s="118" t="str">
        <f>INDEX(Input!$1:$1048576,L$93,$C211*2+MIN($B211,2)+5)</f>
        <v>Market</v>
      </c>
      <c r="M211" s="118" t="str">
        <f>INDEX(Input!$1:$1048576,M$93,$C211*2+MIN($B211,2)+5)</f>
        <v>Market</v>
      </c>
      <c r="N211" s="118" t="str">
        <f>INDEX(Input!$1:$1048576,N$93,$C211*2+MIN($B211,2)+5)</f>
        <v>Market</v>
      </c>
      <c r="O211" s="118" t="str">
        <f>INDEX(Input!$1:$1048576,O$93,$C211*2+MIN($B211,2)+5)</f>
        <v>Market</v>
      </c>
      <c r="P211" s="118" t="str">
        <f>INDEX(Input!$1:$1048576,P$93,$C211*2+MIN($B211,2)+5)</f>
        <v>N</v>
      </c>
      <c r="Q211" s="30">
        <f>INDEX(Input!$1:$1048576,Q$93,$C211*2+MIN($B211,2)+5)</f>
        <v>0</v>
      </c>
      <c r="R211" s="383">
        <f>INDEX(Input!$1:$1048576,R$93,$C211*2+MIN($B211,2)+5)</f>
        <v>0</v>
      </c>
      <c r="S211" s="383">
        <f>INDEX(Input!$1:$1048576,S$93,$C211*2+MIN($B211,2)+5)</f>
        <v>0</v>
      </c>
      <c r="T211" s="383">
        <f>INDEX(Input!$1:$1048576,T$93,$C211*2+MIN($B211,2)+5)</f>
        <v>0</v>
      </c>
      <c r="U211" s="383">
        <f>INDEX(Input!$1:$1048576,U$93,$C211*2+MIN($B211,2)+5)</f>
        <v>0</v>
      </c>
      <c r="V211" s="383">
        <f>INDEX(Input!$1:$1048576,V$93,$C211*2+MIN($B211,2)+5)</f>
        <v>1.9E-2</v>
      </c>
      <c r="W211" s="884">
        <f>INDEX(Input!$1:$1048576,W$93,$C211*2+MIN($B211,2)+5)</f>
        <v>3.9E-2</v>
      </c>
      <c r="X211" s="118" t="str">
        <f>INDEX(Input!$1:$1048576,X$93,$C211*2+MIN($B211,2)+5)</f>
        <v>Y</v>
      </c>
      <c r="Y211" s="150">
        <f>INDEX(Input!$1:$1048576,Y$93,$C211*2+MIN($B211,2)+5)</f>
        <v>56</v>
      </c>
      <c r="Z211" s="30">
        <f>INDEX(Input!$1:$1048576,Z$93,$C211*2+MIN($B211,2)+5)</f>
        <v>0</v>
      </c>
      <c r="AA211" s="115">
        <f>INDEX(Input!$1:$1048576,AA$93,$C211*2+MIN($B211,2)+5)</f>
        <v>0</v>
      </c>
      <c r="AB211" s="118">
        <f>INDEX(Input!$1:$1048576,AB$93,$C211*2+MIN($B211,2)+5)</f>
        <v>0.27</v>
      </c>
      <c r="AC211" s="115">
        <f>INDEX(Input!$1:$1048576,AC$93,$C211*2+MIN($B211,2)+5)</f>
        <v>0</v>
      </c>
      <c r="AD211" s="118">
        <f>INDEX(Input!$1:$1048576,AD$93,$C211*2+MIN($B211,2)+5)</f>
        <v>0.27</v>
      </c>
      <c r="AE211" s="115">
        <f>INDEX(Input!$1:$1048576,AE$93,$C211*2+MIN($B211,2)+5)</f>
        <v>0</v>
      </c>
      <c r="AF211" s="118">
        <f>INDEX(Input!$1:$1048576,AF$93,$C211*2+MIN($B211,2)+5)</f>
        <v>4.8000000000000001E-2</v>
      </c>
      <c r="AG211" s="115">
        <f>INDEX(Input!$1:$1048576,AG$93,$C211*2+MIN($B211,2)+5)</f>
        <v>500</v>
      </c>
      <c r="AH211" s="118">
        <f>INDEX(Input!$1:$1048576,AH$93,$C211*2+MIN($B211,2)+5)</f>
        <v>0.94599999999999995</v>
      </c>
      <c r="AI211" s="115">
        <f>INDEX(Input!$1:$1048576,AI$93,$C211*2+MIN($B211,2)+5)</f>
        <v>0</v>
      </c>
      <c r="AJ211" s="118">
        <f>INDEX(Input!$1:$1048576,AJ$93,$C211*2+MIN($B211,2)+5)</f>
        <v>0.27</v>
      </c>
      <c r="AK211" s="150">
        <f>ROUND(INDEX(Input!$1:$1048576,AK$93,$C210*2+MIN($B211,1)+5)+(Y211-VLOOKUP($C211*1000+1,$A:$HH,Y$92,FALSE)),0)</f>
        <v>2977</v>
      </c>
      <c r="AL211" s="150">
        <f>ROUND(INDEX(Input!$1:$1048576,AL$93,$C210*2+MIN($B211,1)+5)-(Y211-VLOOKUP($C211*1000+1,$A:$HH,Y$92,FALSE))/36,0)</f>
        <v>3395</v>
      </c>
      <c r="AM211" s="32" t="str">
        <f t="shared" si="663"/>
        <v>std/std/std/std</v>
      </c>
      <c r="AN211" s="32" t="str">
        <f t="shared" si="664"/>
        <v>$0 + 0/0/0/1.9/3.9</v>
      </c>
      <c r="AO211" s="32" t="str">
        <f t="shared" si="665"/>
        <v>0/0/0/1.9/3.9</v>
      </c>
      <c r="AP211" s="32" t="str">
        <f t="shared" si="498"/>
        <v>0/0.9/1.9/3.9</v>
      </c>
      <c r="AQ211" s="536">
        <f t="shared" si="497"/>
        <v>0.44010625034316958</v>
      </c>
      <c r="AR211" s="32"/>
      <c r="AS211" s="302"/>
      <c r="AT211" s="3">
        <f t="shared" si="106"/>
        <v>11</v>
      </c>
      <c r="AU211" s="41" t="s">
        <v>121</v>
      </c>
      <c r="AV211" s="41" t="s">
        <v>116</v>
      </c>
      <c r="AW211" s="41" t="str">
        <f>INDEX(Input!$1:$1048576,AW$93,$C211*2+6)</f>
        <v>Kia</v>
      </c>
      <c r="AX211" s="41" t="str">
        <f>INDEX(Input!$1:$1048576,AX$93,$C211*2+6)</f>
        <v>Kia-LR - L2</v>
      </c>
      <c r="AY211" s="41" t="str">
        <f>IF(LEN(D211)=0,"",INDEX(Input!$1:$1048576,AY$93,$C211*2+6))</f>
        <v>Compact SUV (52)</v>
      </c>
      <c r="AZ211" s="41" t="str">
        <f>INDEX(Input!$1:$1048576,AZ$93,$C211*2+6)</f>
        <v>Kia Soul</v>
      </c>
      <c r="BA211" s="3">
        <f>INDEX(Input!$1:$1048576,BA$93,$C211*2+6)</f>
        <v>2020</v>
      </c>
      <c r="BB211" s="128">
        <f>INDEX(Input!$1:$1048576,BB$93,$C211*2+6)</f>
        <v>1</v>
      </c>
      <c r="BC211" s="128">
        <f>INDEX(Input!$1:$1048576,BC$93,$C211*2+6)</f>
        <v>0.7</v>
      </c>
      <c r="BD211" s="1">
        <f>INDEX(Input!$1:$1048576,BD$93,$C211*2+6)</f>
        <v>4.4999999999999998E-2</v>
      </c>
      <c r="BE211" s="1">
        <f>INDEX(Input!$1:$1048576,BE$93,$C211*2+6)</f>
        <v>4.4999999999999998E-2</v>
      </c>
      <c r="BF211" s="1">
        <f>INDEX(Input!$1:$1048576,BF$93,$C211*2+6)</f>
        <v>0.05</v>
      </c>
      <c r="BG211" s="1">
        <f>INDEX(Input!$1:$1048576,BG$93,$C211*2+6)</f>
        <v>5.45E-2</v>
      </c>
      <c r="BH211" s="1">
        <f>INDEX(Input!$1:$1048576,BH$93,$C211*2+6)</f>
        <v>5.45E-2</v>
      </c>
      <c r="BI211" s="1">
        <f>INDEX(Input!$1:$1048576,BI$93,$C211*2+6)</f>
        <v>0.05</v>
      </c>
      <c r="BJ211" s="1">
        <f>INDEX(Input!$1:$1048576,BJ$93,$C211*2+6)</f>
        <v>0.05</v>
      </c>
      <c r="BK211" s="1">
        <f>INDEX(Input!$1:$1048576,BK$93,$C211*2+6)</f>
        <v>0.05</v>
      </c>
      <c r="BL211" s="1">
        <f>INDEX(Input!$1:$1048576,BL$93,$C211*2+6)</f>
        <v>5.5E-2</v>
      </c>
      <c r="BM211" s="1">
        <f>INDEX(Input!$1:$1048576,BM$93,$C211*2+6)</f>
        <v>0.06</v>
      </c>
      <c r="BN211" s="1">
        <f>INDEX(Input!$1:$1048576,BN$93,$C211*2+6)</f>
        <v>4.4999999999999998E-2</v>
      </c>
      <c r="BO211" s="1">
        <f>INDEX(Input!$1:$1048576,BO$93,$C211*2+6)</f>
        <v>4.4999999999999998E-2</v>
      </c>
      <c r="BP211" s="1">
        <f>INDEX(Input!$1:$1048576,BP$93,$C211*2+6)</f>
        <v>0.05</v>
      </c>
      <c r="BQ211" s="1">
        <f>INDEX(Input!$1:$1048576,BQ$93,$C211*2+6)</f>
        <v>5.45E-2</v>
      </c>
      <c r="BR211" s="1">
        <f>INDEX(Input!$1:$1048576,BR$93,$C211*2+6)</f>
        <v>5.45E-2</v>
      </c>
      <c r="BS211" s="1">
        <f>INDEX(Input!$1:$1048576,BS$93,$C211*2+6)</f>
        <v>0.05</v>
      </c>
      <c r="BT211" s="1">
        <f>INDEX(Input!$1:$1048576,BT$93,$C211*2+6)</f>
        <v>0.05</v>
      </c>
      <c r="BU211" s="1">
        <f>INDEX(Input!$1:$1048576,BU$93,$C211*2+6)</f>
        <v>0.05</v>
      </c>
      <c r="BV211" s="1">
        <f>INDEX(Input!$1:$1048576,BV$93,$C211*2+6)</f>
        <v>5.5E-2</v>
      </c>
      <c r="BW211" s="1">
        <f>INDEX(Input!$1:$1048576,BW$93,$C211*2+6)</f>
        <v>0.06</v>
      </c>
      <c r="BX211" s="127">
        <f>INDEX(Input!$1:$1048576,BX$93,$C211*2+6)</f>
        <v>19985</v>
      </c>
      <c r="BY211" s="20">
        <f>INDEX(Input!$1:$1048576,BY$93,$C211*2+6)</f>
        <v>0.1</v>
      </c>
      <c r="BZ211" s="20">
        <f>INDEX(Input!$1:$1048576,BZ$93,$C211*2+6)</f>
        <v>0.1</v>
      </c>
      <c r="CA211" s="20">
        <f>INDEX(Input!$1:$1048576,CA$93,$C211*2+6)</f>
        <v>0.1</v>
      </c>
      <c r="CB211" s="20">
        <f>INDEX(Input!$1:$1048576,CB$93,$C211*2+6)</f>
        <v>0.1</v>
      </c>
      <c r="CC211" s="20">
        <f>INDEX(Input!$1:$1048576,CC$93,$C211*2+6)</f>
        <v>0.1</v>
      </c>
      <c r="CD211" s="384">
        <f>INDEX(Input!$1:$1048576,CD$93,$C211*2+6)</f>
        <v>0.1</v>
      </c>
      <c r="CE211" s="384">
        <f>INDEX(Input!$1:$1048576,CE$93,$C211*2+6)</f>
        <v>0.1</v>
      </c>
      <c r="CF211" s="384">
        <f>INDEX(Input!$1:$1048576,CF$93,$C211*2+6)</f>
        <v>0.1</v>
      </c>
      <c r="CG211" s="384">
        <f>INDEX(Input!$1:$1048576,CG$93,$C211*2+6)</f>
        <v>0.1</v>
      </c>
      <c r="CH211" s="384">
        <f>INDEX(Input!$1:$1048576,CH$93,$C211*2+6)</f>
        <v>0.1</v>
      </c>
      <c r="CI211" s="304">
        <f t="shared" si="499"/>
        <v>2019.7618664521319</v>
      </c>
      <c r="CJ211" s="16" t="str">
        <f>INDEX(Input!$1:$1048576,CJ$93,$C211*2+6)</f>
        <v>N</v>
      </c>
      <c r="CK211" s="1" t="str">
        <f t="shared" si="500"/>
        <v>Market</v>
      </c>
      <c r="CL211" s="1" t="str">
        <f t="shared" si="501"/>
        <v>Market</v>
      </c>
      <c r="CM211" s="1" t="str">
        <f t="shared" si="502"/>
        <v>Market</v>
      </c>
      <c r="CN211" s="1" t="str">
        <f t="shared" si="503"/>
        <v>Market</v>
      </c>
      <c r="CO211" s="1" t="str">
        <f t="shared" si="504"/>
        <v>Market</v>
      </c>
      <c r="CP211" s="304">
        <f t="shared" si="505"/>
        <v>473</v>
      </c>
      <c r="CQ211" s="1">
        <f t="shared" si="506"/>
        <v>0</v>
      </c>
      <c r="CR211" s="1">
        <f t="shared" si="507"/>
        <v>0</v>
      </c>
      <c r="CS211" s="1">
        <f t="shared" si="508"/>
        <v>0</v>
      </c>
      <c r="CT211" s="1">
        <f t="shared" si="509"/>
        <v>1.9E-2</v>
      </c>
      <c r="CU211" s="1">
        <f t="shared" si="510"/>
        <v>3.9E-2</v>
      </c>
      <c r="CV211" s="304">
        <f t="shared" si="511"/>
        <v>56</v>
      </c>
      <c r="CW211" s="20" t="s">
        <v>122</v>
      </c>
      <c r="CX211" s="20" t="s">
        <v>122</v>
      </c>
      <c r="CY211" s="20" t="s">
        <v>122</v>
      </c>
      <c r="CZ211" s="20" t="s">
        <v>122</v>
      </c>
      <c r="DA211" s="20" t="s">
        <v>122</v>
      </c>
      <c r="DB211" s="503">
        <f t="shared" si="512"/>
        <v>0</v>
      </c>
      <c r="DC211" s="127">
        <v>0</v>
      </c>
      <c r="DD211" s="127">
        <v>0</v>
      </c>
      <c r="DE211" s="127">
        <v>0</v>
      </c>
      <c r="DF211" s="127">
        <v>0</v>
      </c>
      <c r="DG211" s="127">
        <v>0</v>
      </c>
      <c r="DH211" s="127">
        <v>0</v>
      </c>
      <c r="DI211" s="127">
        <v>0</v>
      </c>
      <c r="DJ211" s="127">
        <v>0</v>
      </c>
      <c r="DK211" s="127">
        <v>0</v>
      </c>
      <c r="DL211" s="127">
        <v>0</v>
      </c>
      <c r="DM211" s="304">
        <f>INDEX(Input!$1:$1048576,DM$93,$C211*2+6)</f>
        <v>21036.84210526316</v>
      </c>
      <c r="DN211" s="20">
        <v>0</v>
      </c>
      <c r="DO211" s="20">
        <v>0</v>
      </c>
      <c r="DP211" s="20">
        <v>0</v>
      </c>
      <c r="DQ211" s="20">
        <v>0</v>
      </c>
      <c r="DR211" s="20">
        <v>0</v>
      </c>
      <c r="DS211" s="20">
        <f>INDEX(Input!$1:$1048576,DS$93,$C211*2+6)</f>
        <v>0.6</v>
      </c>
      <c r="DT211" s="20">
        <f>INDEX(Input!$1:$1048576,DT$93,$C211*2+6)</f>
        <v>0.55000000000000004</v>
      </c>
      <c r="DU211" s="20">
        <f>INDEX(Input!$1:$1048576,DU$93,$C211*2+6)</f>
        <v>0.52</v>
      </c>
      <c r="DV211" s="20">
        <f>INDEX(Input!$1:$1048576,DV$93,$C211*2+6)</f>
        <v>0.5</v>
      </c>
      <c r="DW211" s="20">
        <f>INDEX(Input!$1:$1048576,DW$93,$C211*2+6)</f>
        <v>0.45</v>
      </c>
      <c r="DX211" s="20"/>
      <c r="DY211" s="7">
        <v>0.1100694359199838</v>
      </c>
      <c r="DZ211" s="7">
        <v>0</v>
      </c>
      <c r="EA211" s="7">
        <v>0.70638186179184215</v>
      </c>
      <c r="EB211" s="7">
        <v>0</v>
      </c>
      <c r="EC211" s="7">
        <v>0</v>
      </c>
      <c r="ED211" s="7">
        <v>0</v>
      </c>
      <c r="EE211" s="7">
        <v>0</v>
      </c>
      <c r="EF211" s="7">
        <v>0</v>
      </c>
      <c r="EG211" s="7">
        <v>0</v>
      </c>
      <c r="EH211" s="7">
        <v>1.4279532748701579E-2</v>
      </c>
      <c r="EI211" s="7">
        <v>4.0654611209543813E-2</v>
      </c>
      <c r="EJ211" s="7">
        <v>0.30745559434958758</v>
      </c>
      <c r="EK211" s="7">
        <v>0.52648274261579409</v>
      </c>
      <c r="EL211" s="7">
        <v>0.11112751907637318</v>
      </c>
      <c r="EM211" s="7">
        <v>4.1596088136389521E-2</v>
      </c>
      <c r="EN211" s="7">
        <v>6.5515074750154195E-2</v>
      </c>
      <c r="EO211" s="7">
        <v>0.73220302547881644</v>
      </c>
      <c r="EP211" s="7">
        <v>8.7624872667018225E-2</v>
      </c>
      <c r="EQ211" s="7">
        <v>7.4709860102347855E-2</v>
      </c>
      <c r="ER211" s="7">
        <v>3.9947167001663203E-2</v>
      </c>
      <c r="ES211" s="7">
        <v>0.14195261415178459</v>
      </c>
      <c r="ET211" s="7">
        <v>0.18354870228817399</v>
      </c>
      <c r="EU211" s="6">
        <v>2044</v>
      </c>
      <c r="EV211" s="6">
        <v>0</v>
      </c>
      <c r="EW211" s="6">
        <v>2044</v>
      </c>
      <c r="EX211" s="6">
        <v>0</v>
      </c>
      <c r="EY211" s="6">
        <v>2054.0704440938644</v>
      </c>
      <c r="EZ211" s="6">
        <v>946</v>
      </c>
      <c r="FA211" s="6">
        <v>0</v>
      </c>
      <c r="FB211" s="6">
        <v>0</v>
      </c>
      <c r="FC211" s="6">
        <v>0</v>
      </c>
      <c r="FD211" s="6">
        <v>0</v>
      </c>
      <c r="FE211" s="6">
        <v>0</v>
      </c>
      <c r="FF211" s="6">
        <v>0</v>
      </c>
      <c r="FG211" s="6">
        <v>0</v>
      </c>
      <c r="FH211" s="6">
        <v>1173.7360688112062</v>
      </c>
      <c r="FI211" s="6">
        <v>1553.9796069512402</v>
      </c>
      <c r="FJ211" s="6">
        <v>2101.2110117447401</v>
      </c>
      <c r="FK211" s="6">
        <v>1772.7139978623225</v>
      </c>
      <c r="FL211" s="6">
        <v>907.07682140966324</v>
      </c>
      <c r="FM211" s="6">
        <v>1760.0704440938641</v>
      </c>
      <c r="FN211" s="6">
        <v>0</v>
      </c>
      <c r="FO211" s="6">
        <v>0</v>
      </c>
      <c r="FP211" s="6">
        <v>0</v>
      </c>
      <c r="FQ211" s="6">
        <v>0</v>
      </c>
      <c r="FR211" s="6">
        <v>0</v>
      </c>
      <c r="FS211" s="6">
        <v>0</v>
      </c>
      <c r="FT211" s="7">
        <v>0.8164512977118259</v>
      </c>
      <c r="FU211" s="7">
        <v>4.1596088136389521E-2</v>
      </c>
      <c r="FV211" s="7">
        <v>0.14195261415178459</v>
      </c>
      <c r="FW211" s="6">
        <v>2044</v>
      </c>
      <c r="FX211" s="6">
        <v>2054.0704440938644</v>
      </c>
      <c r="FY211" s="6">
        <v>946</v>
      </c>
      <c r="FZ211" s="6">
        <v>1817.4615072224267</v>
      </c>
      <c r="GA211" s="6">
        <v>1888.5549207414417</v>
      </c>
      <c r="GB211" s="6">
        <v>18096.445079258559</v>
      </c>
      <c r="GC211" s="7">
        <v>1.804905384453976E-2</v>
      </c>
      <c r="GD211" s="7">
        <v>1.851119873672755E-2</v>
      </c>
      <c r="GE211" s="7"/>
      <c r="GF211" s="7"/>
      <c r="GG211" s="7">
        <v>2.560493730964181E-2</v>
      </c>
      <c r="GH211" s="42">
        <v>7.1977789053035917</v>
      </c>
      <c r="GI211" s="6">
        <v>4665.1058905516356</v>
      </c>
      <c r="GJ211" s="14">
        <v>0.50394797582841722</v>
      </c>
      <c r="GK211" s="14">
        <v>0.50887573065309744</v>
      </c>
      <c r="GL211" s="14">
        <v>0.49605202417158284</v>
      </c>
      <c r="GM211" s="14">
        <v>0.49112426934690251</v>
      </c>
      <c r="GO211" s="5">
        <v>343.14810671672558</v>
      </c>
      <c r="GP211" s="5">
        <v>304.15248610521212</v>
      </c>
      <c r="GQ211" s="5">
        <v>535.04305713031317</v>
      </c>
      <c r="GR211" s="5">
        <v>410.15490233172511</v>
      </c>
      <c r="GS211" s="5">
        <v>339.42744393800166</v>
      </c>
      <c r="GT211" s="5">
        <v>293.4407446948278</v>
      </c>
      <c r="GU211" s="5">
        <v>258.04012322764959</v>
      </c>
      <c r="GV211" s="39" t="s">
        <v>392</v>
      </c>
      <c r="GW211" s="5">
        <v>491.45833333333331</v>
      </c>
      <c r="GX211" s="5">
        <v>368.59375</v>
      </c>
      <c r="GY211" s="5">
        <v>294.875</v>
      </c>
      <c r="GZ211" s="5">
        <v>260.19607020114813</v>
      </c>
      <c r="HA211" s="5">
        <v>241.02179695997205</v>
      </c>
      <c r="HB211" s="39">
        <v>276.43669434665128</v>
      </c>
      <c r="HC211" s="5">
        <v>245.89687499999999</v>
      </c>
      <c r="HD211" s="5">
        <v>211.55677997076018</v>
      </c>
      <c r="HE211" s="5">
        <v>214.73562331309037</v>
      </c>
      <c r="HF211" s="5">
        <v>199.03250548245612</v>
      </c>
      <c r="HG211" s="5">
        <v>192.49971491228069</v>
      </c>
      <c r="HH211" s="39">
        <v>212.38815705127107</v>
      </c>
      <c r="HI211" s="16"/>
      <c r="HJ211" s="19" t="str">
        <f t="shared" si="685"/>
        <v>On</v>
      </c>
      <c r="HK211" s="1" t="str">
        <f t="shared" si="685"/>
        <v>On</v>
      </c>
      <c r="HL211" s="16"/>
      <c r="HM211" s="639">
        <f t="shared" si="634"/>
        <v>1.2768706344444866E-2</v>
      </c>
      <c r="HN211" s="639">
        <f t="shared" si="635"/>
        <v>9.795534288915453E-4</v>
      </c>
      <c r="HO211" s="639">
        <f t="shared" si="636"/>
        <v>3.3583061774515237E-3</v>
      </c>
      <c r="HP211" s="644">
        <f>(FT211*$GD211-HM211)/$JF211*INDEX(Input!$1:$1048576,$JG$93,$C211*2+6)</f>
        <v>170.3772028312068</v>
      </c>
      <c r="HQ211" s="644">
        <f>(FU211*$GD211-HN211)/$JF211*INDEX(Input!$1:$1048576,$JG$93,$C211*2+6)</f>
        <v>-15.227080019260555</v>
      </c>
      <c r="HR211" s="644">
        <f>(FV211*$GD211-HO211)/$JF211*INDEX(Input!$1:$1048576,$JG$93,$C211*2+6)</f>
        <v>-53.0864732199882</v>
      </c>
      <c r="HS211" s="644">
        <f t="shared" si="686"/>
        <v>-49.381992405382277</v>
      </c>
      <c r="HT211" s="644">
        <f t="shared" si="638"/>
        <v>-7.9691799660005334</v>
      </c>
      <c r="HU211" s="644">
        <f t="shared" si="639"/>
        <v>11.96279432990945</v>
      </c>
      <c r="HV211" s="648">
        <f t="shared" si="640"/>
        <v>0</v>
      </c>
      <c r="HW211" s="648">
        <f t="shared" si="641"/>
        <v>0</v>
      </c>
      <c r="HX211" s="648">
        <f t="shared" si="642"/>
        <v>0</v>
      </c>
      <c r="HY211" s="644">
        <f>INDEX(Input!$1:$1048576,HY$93,$C211*2+6)*INDEX(Input!$1:$1048576,$JG$93,$C211*2+6)</f>
        <v>451</v>
      </c>
      <c r="HZ211" s="644">
        <f>INDEX(Input!$1:$1048576,HZ$93,$C211*2+6)*INDEX(Input!$1:$1048576,$JG$93,$C211*2+6)</f>
        <v>577</v>
      </c>
      <c r="IA211" s="644">
        <f>INDEX(Input!$1:$1048576,IA$93,$C211*2+6)*INDEX(Input!$1:$1048576,$JG$93,$C211*2+6)</f>
        <v>215</v>
      </c>
      <c r="IB211" s="644">
        <f t="shared" si="666"/>
        <v>571.99521042582455</v>
      </c>
      <c r="IC211" s="644">
        <f t="shared" si="667"/>
        <v>553.80374001473888</v>
      </c>
      <c r="ID211" s="644">
        <f>IF(AND(INDEX(Input!$1:$1048576,IA$93,$C211*2+7)="TOS",Y211&lt;=INDEX(Y:Y,MATCH(C211*1000+2,A:A))),0,1)*MAX(IA211+HR211+HU211+HX211,0%)</f>
        <v>173.87632110992126</v>
      </c>
      <c r="IE211" s="128">
        <f t="shared" si="700"/>
        <v>0.44010625034316958</v>
      </c>
      <c r="IF211" s="128">
        <f t="shared" si="643"/>
        <v>0.42610931525538909</v>
      </c>
      <c r="IG211" s="128">
        <f t="shared" si="644"/>
        <v>0.13378443440144133</v>
      </c>
      <c r="IH211" s="21"/>
      <c r="II211" s="19">
        <f t="shared" si="645"/>
        <v>1252</v>
      </c>
      <c r="IJ211" s="19">
        <f t="shared" si="646"/>
        <v>2011.9658773055378</v>
      </c>
      <c r="IK211" s="19">
        <f t="shared" si="647"/>
        <v>919</v>
      </c>
      <c r="IL211" s="19">
        <f t="shared" si="669"/>
        <v>792</v>
      </c>
      <c r="IM211" s="19">
        <f t="shared" si="648"/>
        <v>42.104566788326565</v>
      </c>
      <c r="IN211" s="19">
        <f t="shared" si="649"/>
        <v>27</v>
      </c>
      <c r="IO211" s="39">
        <f t="shared" si="650"/>
        <v>0</v>
      </c>
      <c r="IP211" s="39">
        <f t="shared" si="651"/>
        <v>0</v>
      </c>
      <c r="IQ211" s="39">
        <f t="shared" si="652"/>
        <v>0</v>
      </c>
      <c r="IR211" s="39">
        <v>0</v>
      </c>
      <c r="IS211" s="39">
        <v>0</v>
      </c>
      <c r="IT211" s="39">
        <v>0</v>
      </c>
      <c r="IU211" s="39">
        <v>0</v>
      </c>
      <c r="IV211" s="39">
        <v>0</v>
      </c>
      <c r="IW211" s="39">
        <v>0</v>
      </c>
      <c r="IX211" s="39">
        <f>INDEX(Input!$1:$1048576,IX$93,$C211*2+6)+INDEX(Input!$1:$1048576,IX$94,$C211*2+6)</f>
        <v>1294</v>
      </c>
      <c r="IY211" s="39">
        <f>INDEX(Input!$1:$1048576,IY$93,$C211*2+6)+INDEX(Input!$1:$1048576,IY$94,$C211*2+6)</f>
        <v>2154.0624533823611</v>
      </c>
      <c r="IZ211" s="39">
        <f>INDEX(Input!$1:$1048576,IZ$93,$C211*2+6)+INDEX(Input!$1:$1048576,IZ$94,$C211*2+6)</f>
        <v>3677.7164157747848</v>
      </c>
      <c r="JA211" s="19">
        <f t="shared" si="670"/>
        <v>2086</v>
      </c>
      <c r="JB211" s="19">
        <f t="shared" si="671"/>
        <v>2196.1670201706875</v>
      </c>
      <c r="JC211" s="19">
        <f t="shared" si="672"/>
        <v>3704.7164157747848</v>
      </c>
      <c r="JD211" s="19">
        <f t="shared" si="673"/>
        <v>2349.5022536694164</v>
      </c>
      <c r="JE211" s="21"/>
      <c r="JF211" s="1">
        <f t="shared" si="653"/>
        <v>1.7106565950787935E-2</v>
      </c>
      <c r="JG211" s="15">
        <f>INDEX(Input!$1:$1048576,JG$93,$C211*2+6)/(1+VLOOKUP(C211*1000+INDEX(Input!$1:$1048576,JG$93+1,$C211*2+6),$A:$KK,$JK$92,FALSE))</f>
        <v>1243</v>
      </c>
      <c r="JH211" s="1">
        <f t="shared" si="674"/>
        <v>8.2110739816539047E-2</v>
      </c>
      <c r="JI211" s="1">
        <f t="shared" si="675"/>
        <v>-3.6515187483083959E-2</v>
      </c>
      <c r="JJ211" s="1">
        <f t="shared" si="676"/>
        <v>0</v>
      </c>
      <c r="JK211" s="1">
        <f t="shared" si="701"/>
        <v>4.5595552333455087E-2</v>
      </c>
      <c r="JL211" s="15">
        <f t="shared" si="678"/>
        <v>56.675271550484673</v>
      </c>
      <c r="JM211" s="15">
        <f t="shared" si="702"/>
        <v>1299.6752715504847</v>
      </c>
      <c r="JN211" s="21"/>
      <c r="JO211" s="19">
        <f>INDEX(Input!$1:$1048576,JO$93,$C211*2+6)</f>
        <v>5995.5</v>
      </c>
      <c r="JP211" s="19">
        <f>INDEX(Input!$1:$1048576,JP$93,$C211*2+6)</f>
        <v>2105.548724853742</v>
      </c>
      <c r="JQ211" s="39">
        <f t="shared" si="688"/>
        <v>3645.9977463305836</v>
      </c>
      <c r="JR211" s="39">
        <f t="shared" si="705"/>
        <v>243.95352881567442</v>
      </c>
      <c r="JS211" s="39">
        <f t="shared" si="690"/>
        <v>3.0535899795462744</v>
      </c>
      <c r="JT211" s="39">
        <f t="shared" si="680"/>
        <v>0.43639291455307322</v>
      </c>
      <c r="JU211" s="385">
        <f>(JQ211*JM211-INDEX(Input!$1:$1048576,Input!A$18,$C211*2+6)*JL211*INDEX(Input!$1:$1048576,Input!A$19,$C211*2+6))/1000000</f>
        <v>4.738613111034657</v>
      </c>
      <c r="JV211" s="39">
        <f t="shared" si="656"/>
        <v>-9.6596323972141462E-2</v>
      </c>
      <c r="JW211" s="1">
        <f t="shared" si="703"/>
        <v>-1.9977691818845827E-2</v>
      </c>
      <c r="JX211" s="19">
        <f t="shared" si="694"/>
        <v>7699.8821993176898</v>
      </c>
      <c r="JZ211" s="341"/>
      <c r="KA211" s="342"/>
      <c r="KB211" s="469">
        <f t="shared" si="691"/>
        <v>2.5660492421988774</v>
      </c>
      <c r="KI211" s="473">
        <f t="shared" si="692"/>
        <v>120.99521042582455</v>
      </c>
      <c r="KJ211" s="473">
        <f t="shared" si="681"/>
        <v>-23.196259985261122</v>
      </c>
      <c r="KK211" s="473">
        <f t="shared" si="682"/>
        <v>-41.123678890078736</v>
      </c>
      <c r="KN211" s="544">
        <f t="shared" si="695"/>
        <v>2002</v>
      </c>
      <c r="KO211" s="541">
        <f t="shared" si="657"/>
        <v>3.9435168619951222E-2</v>
      </c>
      <c r="KP211" s="546">
        <f t="shared" si="658"/>
        <v>330.12376031593305</v>
      </c>
      <c r="KQ211" s="546">
        <f t="shared" si="659"/>
        <v>205.8219142359435</v>
      </c>
      <c r="KR211" s="548">
        <f t="shared" si="660"/>
        <v>2.1312475313608461</v>
      </c>
      <c r="KS211" s="548">
        <f t="shared" si="661"/>
        <v>3.4183699623469144</v>
      </c>
      <c r="KT211" s="473">
        <f t="shared" si="693"/>
        <v>843.26993010479111</v>
      </c>
      <c r="KU211" s="663">
        <f t="shared" si="683"/>
        <v>4.6037679858747822</v>
      </c>
      <c r="KV211" s="117" t="e">
        <f t="shared" si="706"/>
        <v>#N/A</v>
      </c>
    </row>
    <row r="212" spans="1:308" s="26" customFormat="1" ht="15">
      <c r="A212" s="561">
        <f t="shared" si="662"/>
        <v>2012</v>
      </c>
      <c r="B212" s="561">
        <f t="shared" si="684"/>
        <v>12</v>
      </c>
      <c r="C212" s="561">
        <f t="shared" si="105"/>
        <v>2</v>
      </c>
      <c r="D212" s="561" t="str">
        <f t="shared" si="704"/>
        <v xml:space="preserve">1000 CC, </v>
      </c>
      <c r="E212" s="475">
        <f>INDEX(Input!$1:$1048576,E$93,$C212*2+MIN($B212,2)+5)+IF(OR(BX212&gt;50000,INDEX(Input!$1:$1048576,E$93,$C212*2+MIN($B212,2)+5)&gt;0),0,250)+IF(BX212&gt;50000,500,250)*4</f>
        <v>2269.7618664521319</v>
      </c>
      <c r="F212" s="475">
        <f>INDEX(Input!$1:$1048576,F$93,$C212*2+MIN($B212,2)+5)</f>
        <v>0</v>
      </c>
      <c r="G212" s="475">
        <f>INDEX(Input!$1:$1048576,G$93,$C212*2+MIN($B212,2)+5)</f>
        <v>0</v>
      </c>
      <c r="H212" s="115">
        <f>INDEX(Input!$1:$1048576,H$93,$C212*2+MIN($B212,2)+5)</f>
        <v>0</v>
      </c>
      <c r="I212" s="118">
        <f>INDEX(Input!$1:$1048576,I$93,$C212*2+MIN($B212,2)+5)</f>
        <v>0.7</v>
      </c>
      <c r="J212" s="118" t="str">
        <f>INDEX(Input!$1:$1048576,J$93,$C212*2+MIN($B212,2)+5)</f>
        <v>Market</v>
      </c>
      <c r="K212" s="118" t="str">
        <f>INDEX(Input!$1:$1048576,K$93,$C212*2+MIN($B212,2)+5)</f>
        <v>Market</v>
      </c>
      <c r="L212" s="118" t="str">
        <f>INDEX(Input!$1:$1048576,L$93,$C212*2+MIN($B212,2)+5)</f>
        <v>Market</v>
      </c>
      <c r="M212" s="118" t="str">
        <f>INDEX(Input!$1:$1048576,M$93,$C212*2+MIN($B212,2)+5)</f>
        <v>Market</v>
      </c>
      <c r="N212" s="118" t="str">
        <f>INDEX(Input!$1:$1048576,N$93,$C212*2+MIN($B212,2)+5)</f>
        <v>Market</v>
      </c>
      <c r="O212" s="118" t="str">
        <f>INDEX(Input!$1:$1048576,O$93,$C212*2+MIN($B212,2)+5)</f>
        <v>Market</v>
      </c>
      <c r="P212" s="118" t="str">
        <f>INDEX(Input!$1:$1048576,P$93,$C212*2+MIN($B212,2)+5)</f>
        <v>N</v>
      </c>
      <c r="Q212" s="30">
        <f>INDEX(Input!$1:$1048576,Q$93,$C212*2+MIN($B212,2)+5)</f>
        <v>0</v>
      </c>
      <c r="R212" s="383">
        <f>INDEX(Input!$1:$1048576,R$93,$C212*2+MIN($B212,2)+5)</f>
        <v>0</v>
      </c>
      <c r="S212" s="383">
        <f>INDEX(Input!$1:$1048576,S$93,$C212*2+MIN($B212,2)+5)</f>
        <v>0</v>
      </c>
      <c r="T212" s="383">
        <f>INDEX(Input!$1:$1048576,T$93,$C212*2+MIN($B212,2)+5)</f>
        <v>0</v>
      </c>
      <c r="U212" s="383">
        <f>INDEX(Input!$1:$1048576,U$93,$C212*2+MIN($B212,2)+5)</f>
        <v>0</v>
      </c>
      <c r="V212" s="383">
        <f>INDEX(Input!$1:$1048576,V$93,$C212*2+MIN($B212,2)+5)</f>
        <v>1.9E-2</v>
      </c>
      <c r="W212" s="884">
        <f>INDEX(Input!$1:$1048576,W$93,$C212*2+MIN($B212,2)+5)</f>
        <v>3.9E-2</v>
      </c>
      <c r="X212" s="118" t="str">
        <f>INDEX(Input!$1:$1048576,X$93,$C212*2+MIN($B212,2)+5)</f>
        <v>Y</v>
      </c>
      <c r="Y212" s="150">
        <f>INDEX(Input!$1:$1048576,Y$93,$C212*2+MIN($B212,2)+5)</f>
        <v>56</v>
      </c>
      <c r="Z212" s="30">
        <f>INDEX(Input!$1:$1048576,Z$93,$C212*2+MIN($B212,2)+5)</f>
        <v>0</v>
      </c>
      <c r="AA212" s="115">
        <f>INDEX(Input!$1:$1048576,AA$93,$C212*2+MIN($B212,2)+5)</f>
        <v>0</v>
      </c>
      <c r="AB212" s="118">
        <f>INDEX(Input!$1:$1048576,AB$93,$C212*2+MIN($B212,2)+5)</f>
        <v>0.27</v>
      </c>
      <c r="AC212" s="115">
        <f>INDEX(Input!$1:$1048576,AC$93,$C212*2+MIN($B212,2)+5)</f>
        <v>0</v>
      </c>
      <c r="AD212" s="118">
        <f>INDEX(Input!$1:$1048576,AD$93,$C212*2+MIN($B212,2)+5)</f>
        <v>0.27</v>
      </c>
      <c r="AE212" s="115">
        <f>INDEX(Input!$1:$1048576,AE$93,$C212*2+MIN($B212,2)+5)</f>
        <v>0</v>
      </c>
      <c r="AF212" s="118">
        <f>INDEX(Input!$1:$1048576,AF$93,$C212*2+MIN($B212,2)+5)</f>
        <v>4.8000000000000001E-2</v>
      </c>
      <c r="AG212" s="115">
        <f>INDEX(Input!$1:$1048576,AG$93,$C212*2+MIN($B212,2)+5)</f>
        <v>500</v>
      </c>
      <c r="AH212" s="118">
        <f>INDEX(Input!$1:$1048576,AH$93,$C212*2+MIN($B212,2)+5)</f>
        <v>0.94599999999999995</v>
      </c>
      <c r="AI212" s="115">
        <f>INDEX(Input!$1:$1048576,AI$93,$C212*2+MIN($B212,2)+5)</f>
        <v>0</v>
      </c>
      <c r="AJ212" s="118">
        <f>INDEX(Input!$1:$1048576,AJ$93,$C212*2+MIN($B212,2)+5)</f>
        <v>0.27</v>
      </c>
      <c r="AK212" s="150">
        <f>ROUND(INDEX(Input!$1:$1048576,AK$93,$C211*2+MIN($B212,1)+5)+(Y212-VLOOKUP($C212*1000+1,$A:$HH,Y$92,FALSE)),0)</f>
        <v>2977</v>
      </c>
      <c r="AL212" s="150">
        <f>ROUND(INDEX(Input!$1:$1048576,AL$93,$C211*2+MIN($B212,1)+5)-(Y212-VLOOKUP($C212*1000+1,$A:$HH,Y$92,FALSE))/36,0)</f>
        <v>3395</v>
      </c>
      <c r="AM212" s="32" t="str">
        <f t="shared" si="663"/>
        <v>std/std/std/std</v>
      </c>
      <c r="AN212" s="32" t="str">
        <f t="shared" si="664"/>
        <v>$0 + 0/0/0/1.9/3.9</v>
      </c>
      <c r="AO212" s="32" t="str">
        <f t="shared" si="665"/>
        <v>0/0/0/1.9/3.9</v>
      </c>
      <c r="AP212" s="32" t="str">
        <f t="shared" si="498"/>
        <v>0/0.9/1.9/3.9</v>
      </c>
      <c r="AQ212" s="536">
        <f t="shared" si="497"/>
        <v>0.46393318899948122</v>
      </c>
      <c r="AR212" s="32"/>
      <c r="AS212" s="302"/>
      <c r="AT212" s="3">
        <f t="shared" si="106"/>
        <v>12</v>
      </c>
      <c r="AU212" s="41" t="s">
        <v>121</v>
      </c>
      <c r="AV212" s="41" t="s">
        <v>116</v>
      </c>
      <c r="AW212" s="41" t="str">
        <f>INDEX(Input!$1:$1048576,AW$93,$C212*2+6)</f>
        <v>Kia</v>
      </c>
      <c r="AX212" s="41" t="str">
        <f>INDEX(Input!$1:$1048576,AX$93,$C212*2+6)</f>
        <v>Kia-LR - L2</v>
      </c>
      <c r="AY212" s="41" t="str">
        <f>IF(LEN(D212)=0,"",INDEX(Input!$1:$1048576,AY$93,$C212*2+6))</f>
        <v>Compact SUV (52)</v>
      </c>
      <c r="AZ212" s="41" t="str">
        <f>INDEX(Input!$1:$1048576,AZ$93,$C212*2+6)</f>
        <v>Kia Soul</v>
      </c>
      <c r="BA212" s="3">
        <f>INDEX(Input!$1:$1048576,BA$93,$C212*2+6)</f>
        <v>2020</v>
      </c>
      <c r="BB212" s="128">
        <f>INDEX(Input!$1:$1048576,BB$93,$C212*2+6)</f>
        <v>1</v>
      </c>
      <c r="BC212" s="128">
        <f>INDEX(Input!$1:$1048576,BC$93,$C212*2+6)</f>
        <v>0.7</v>
      </c>
      <c r="BD212" s="1">
        <f>INDEX(Input!$1:$1048576,BD$93,$C212*2+6)</f>
        <v>4.4999999999999998E-2</v>
      </c>
      <c r="BE212" s="1">
        <f>INDEX(Input!$1:$1048576,BE$93,$C212*2+6)</f>
        <v>4.4999999999999998E-2</v>
      </c>
      <c r="BF212" s="1">
        <f>INDEX(Input!$1:$1048576,BF$93,$C212*2+6)</f>
        <v>0.05</v>
      </c>
      <c r="BG212" s="1">
        <f>INDEX(Input!$1:$1048576,BG$93,$C212*2+6)</f>
        <v>5.45E-2</v>
      </c>
      <c r="BH212" s="1">
        <f>INDEX(Input!$1:$1048576,BH$93,$C212*2+6)</f>
        <v>5.45E-2</v>
      </c>
      <c r="BI212" s="1">
        <f>INDEX(Input!$1:$1048576,BI$93,$C212*2+6)</f>
        <v>0.05</v>
      </c>
      <c r="BJ212" s="1">
        <f>INDEX(Input!$1:$1048576,BJ$93,$C212*2+6)</f>
        <v>0.05</v>
      </c>
      <c r="BK212" s="1">
        <f>INDEX(Input!$1:$1048576,BK$93,$C212*2+6)</f>
        <v>0.05</v>
      </c>
      <c r="BL212" s="1">
        <f>INDEX(Input!$1:$1048576,BL$93,$C212*2+6)</f>
        <v>5.5E-2</v>
      </c>
      <c r="BM212" s="1">
        <f>INDEX(Input!$1:$1048576,BM$93,$C212*2+6)</f>
        <v>0.06</v>
      </c>
      <c r="BN212" s="1">
        <f>INDEX(Input!$1:$1048576,BN$93,$C212*2+6)</f>
        <v>4.4999999999999998E-2</v>
      </c>
      <c r="BO212" s="1">
        <f>INDEX(Input!$1:$1048576,BO$93,$C212*2+6)</f>
        <v>4.4999999999999998E-2</v>
      </c>
      <c r="BP212" s="1">
        <f>INDEX(Input!$1:$1048576,BP$93,$C212*2+6)</f>
        <v>0.05</v>
      </c>
      <c r="BQ212" s="1">
        <f>INDEX(Input!$1:$1048576,BQ$93,$C212*2+6)</f>
        <v>5.45E-2</v>
      </c>
      <c r="BR212" s="1">
        <f>INDEX(Input!$1:$1048576,BR$93,$C212*2+6)</f>
        <v>5.45E-2</v>
      </c>
      <c r="BS212" s="1">
        <f>INDEX(Input!$1:$1048576,BS$93,$C212*2+6)</f>
        <v>0.05</v>
      </c>
      <c r="BT212" s="1">
        <f>INDEX(Input!$1:$1048576,BT$93,$C212*2+6)</f>
        <v>0.05</v>
      </c>
      <c r="BU212" s="1">
        <f>INDEX(Input!$1:$1048576,BU$93,$C212*2+6)</f>
        <v>0.05</v>
      </c>
      <c r="BV212" s="1">
        <f>INDEX(Input!$1:$1048576,BV$93,$C212*2+6)</f>
        <v>5.5E-2</v>
      </c>
      <c r="BW212" s="1">
        <f>INDEX(Input!$1:$1048576,BW$93,$C212*2+6)</f>
        <v>0.06</v>
      </c>
      <c r="BX212" s="127">
        <f>INDEX(Input!$1:$1048576,BX$93,$C212*2+6)</f>
        <v>19985</v>
      </c>
      <c r="BY212" s="20">
        <f>INDEX(Input!$1:$1048576,BY$93,$C212*2+6)</f>
        <v>0.1</v>
      </c>
      <c r="BZ212" s="20">
        <f>INDEX(Input!$1:$1048576,BZ$93,$C212*2+6)</f>
        <v>0.1</v>
      </c>
      <c r="CA212" s="20">
        <f>INDEX(Input!$1:$1048576,CA$93,$C212*2+6)</f>
        <v>0.1</v>
      </c>
      <c r="CB212" s="20">
        <f>INDEX(Input!$1:$1048576,CB$93,$C212*2+6)</f>
        <v>0.1</v>
      </c>
      <c r="CC212" s="20">
        <f>INDEX(Input!$1:$1048576,CC$93,$C212*2+6)</f>
        <v>0.1</v>
      </c>
      <c r="CD212" s="384">
        <f>INDEX(Input!$1:$1048576,CD$93,$C212*2+6)</f>
        <v>0.1</v>
      </c>
      <c r="CE212" s="384">
        <f>INDEX(Input!$1:$1048576,CE$93,$C212*2+6)</f>
        <v>0.1</v>
      </c>
      <c r="CF212" s="384">
        <f>INDEX(Input!$1:$1048576,CF$93,$C212*2+6)</f>
        <v>0.1</v>
      </c>
      <c r="CG212" s="384">
        <f>INDEX(Input!$1:$1048576,CG$93,$C212*2+6)</f>
        <v>0.1</v>
      </c>
      <c r="CH212" s="384">
        <f>INDEX(Input!$1:$1048576,CH$93,$C212*2+6)</f>
        <v>0.1</v>
      </c>
      <c r="CI212" s="304">
        <f t="shared" si="499"/>
        <v>2269.7618664521319</v>
      </c>
      <c r="CJ212" s="16" t="str">
        <f>INDEX(Input!$1:$1048576,CJ$93,$C212*2+6)</f>
        <v>N</v>
      </c>
      <c r="CK212" s="1" t="str">
        <f t="shared" si="500"/>
        <v>Market</v>
      </c>
      <c r="CL212" s="1" t="str">
        <f t="shared" si="501"/>
        <v>Market</v>
      </c>
      <c r="CM212" s="1" t="str">
        <f t="shared" si="502"/>
        <v>Market</v>
      </c>
      <c r="CN212" s="1" t="str">
        <f t="shared" si="503"/>
        <v>Market</v>
      </c>
      <c r="CO212" s="1" t="str">
        <f t="shared" si="504"/>
        <v>Market</v>
      </c>
      <c r="CP212" s="304">
        <f t="shared" si="505"/>
        <v>473</v>
      </c>
      <c r="CQ212" s="1">
        <f t="shared" si="506"/>
        <v>0</v>
      </c>
      <c r="CR212" s="1">
        <f t="shared" si="507"/>
        <v>0</v>
      </c>
      <c r="CS212" s="1">
        <f t="shared" si="508"/>
        <v>0</v>
      </c>
      <c r="CT212" s="1">
        <f t="shared" si="509"/>
        <v>1.9E-2</v>
      </c>
      <c r="CU212" s="1">
        <f t="shared" si="510"/>
        <v>3.9E-2</v>
      </c>
      <c r="CV212" s="304">
        <f t="shared" si="511"/>
        <v>56</v>
      </c>
      <c r="CW212" s="20" t="s">
        <v>122</v>
      </c>
      <c r="CX212" s="20" t="s">
        <v>122</v>
      </c>
      <c r="CY212" s="20" t="s">
        <v>122</v>
      </c>
      <c r="CZ212" s="20" t="s">
        <v>122</v>
      </c>
      <c r="DA212" s="20" t="s">
        <v>122</v>
      </c>
      <c r="DB212" s="503">
        <f t="shared" si="512"/>
        <v>0</v>
      </c>
      <c r="DC212" s="127">
        <v>0</v>
      </c>
      <c r="DD212" s="127">
        <v>0</v>
      </c>
      <c r="DE212" s="127">
        <v>0</v>
      </c>
      <c r="DF212" s="127">
        <v>0</v>
      </c>
      <c r="DG212" s="127">
        <v>0</v>
      </c>
      <c r="DH212" s="127">
        <v>0</v>
      </c>
      <c r="DI212" s="127">
        <v>0</v>
      </c>
      <c r="DJ212" s="127">
        <v>0</v>
      </c>
      <c r="DK212" s="127">
        <v>0</v>
      </c>
      <c r="DL212" s="127">
        <v>0</v>
      </c>
      <c r="DM212" s="304">
        <f>INDEX(Input!$1:$1048576,DM$93,$C212*2+6)</f>
        <v>21036.84210526316</v>
      </c>
      <c r="DN212" s="20">
        <v>0</v>
      </c>
      <c r="DO212" s="20">
        <v>0</v>
      </c>
      <c r="DP212" s="20">
        <v>0</v>
      </c>
      <c r="DQ212" s="20">
        <v>0</v>
      </c>
      <c r="DR212" s="20">
        <v>0</v>
      </c>
      <c r="DS212" s="20">
        <f>INDEX(Input!$1:$1048576,DS$93,$C212*2+6)</f>
        <v>0.6</v>
      </c>
      <c r="DT212" s="20">
        <f>INDEX(Input!$1:$1048576,DT$93,$C212*2+6)</f>
        <v>0.55000000000000004</v>
      </c>
      <c r="DU212" s="20">
        <f>INDEX(Input!$1:$1048576,DU$93,$C212*2+6)</f>
        <v>0.52</v>
      </c>
      <c r="DV212" s="20">
        <f>INDEX(Input!$1:$1048576,DV$93,$C212*2+6)</f>
        <v>0.5</v>
      </c>
      <c r="DW212" s="20">
        <f>INDEX(Input!$1:$1048576,DW$93,$C212*2+6)</f>
        <v>0.45</v>
      </c>
      <c r="DX212" s="20"/>
      <c r="DY212" s="7">
        <v>0.1159590829400718</v>
      </c>
      <c r="DZ212" s="7">
        <v>0</v>
      </c>
      <c r="EA212" s="7">
        <v>0.7199302325655883</v>
      </c>
      <c r="EB212" s="7">
        <v>0</v>
      </c>
      <c r="EC212" s="7">
        <v>0</v>
      </c>
      <c r="ED212" s="7">
        <v>0</v>
      </c>
      <c r="EE212" s="7">
        <v>0</v>
      </c>
      <c r="EF212" s="7">
        <v>0</v>
      </c>
      <c r="EG212" s="7">
        <v>0</v>
      </c>
      <c r="EH212" s="7">
        <v>1.4285020015608425E-2</v>
      </c>
      <c r="EI212" s="7">
        <v>4.0673609466277696E-2</v>
      </c>
      <c r="EJ212" s="7">
        <v>0.3075178798480005</v>
      </c>
      <c r="EK212" s="7">
        <v>0.52641508680524685</v>
      </c>
      <c r="EL212" s="7">
        <v>0.11110840386486673</v>
      </c>
      <c r="EM212" s="7">
        <v>3.7162644886185307E-2</v>
      </c>
      <c r="EN212" s="7">
        <v>6.5508152572927872E-2</v>
      </c>
      <c r="EO212" s="7">
        <v>0.73219675436309695</v>
      </c>
      <c r="EP212" s="7">
        <v>8.763578855952725E-2</v>
      </c>
      <c r="EQ212" s="7">
        <v>7.4708116852633066E-2</v>
      </c>
      <c r="ER212" s="7">
        <v>3.995118765181465E-2</v>
      </c>
      <c r="ES212" s="7">
        <v>0.12694803960815457</v>
      </c>
      <c r="ET212" s="7">
        <v>0.16411068449433996</v>
      </c>
      <c r="EU212" s="6">
        <v>2294</v>
      </c>
      <c r="EV212" s="6">
        <v>0</v>
      </c>
      <c r="EW212" s="6">
        <v>2294</v>
      </c>
      <c r="EX212" s="6">
        <v>0</v>
      </c>
      <c r="EY212" s="6">
        <v>2054.1000331067244</v>
      </c>
      <c r="EZ212" s="6">
        <v>946</v>
      </c>
      <c r="FA212" s="6">
        <v>0</v>
      </c>
      <c r="FB212" s="6">
        <v>0</v>
      </c>
      <c r="FC212" s="6">
        <v>0</v>
      </c>
      <c r="FD212" s="6">
        <v>0</v>
      </c>
      <c r="FE212" s="6">
        <v>0</v>
      </c>
      <c r="FF212" s="6">
        <v>0</v>
      </c>
      <c r="FG212" s="6">
        <v>0</v>
      </c>
      <c r="FH212" s="6">
        <v>1173.7377418077976</v>
      </c>
      <c r="FI212" s="6">
        <v>1553.9796069512399</v>
      </c>
      <c r="FJ212" s="6">
        <v>2101.2110117447414</v>
      </c>
      <c r="FK212" s="6">
        <v>1772.7139978623231</v>
      </c>
      <c r="FL212" s="6">
        <v>907.07682140966313</v>
      </c>
      <c r="FM212" s="6">
        <v>1760.1000331067241</v>
      </c>
      <c r="FN212" s="6">
        <v>0</v>
      </c>
      <c r="FO212" s="6">
        <v>0</v>
      </c>
      <c r="FP212" s="6">
        <v>0</v>
      </c>
      <c r="FQ212" s="6">
        <v>0</v>
      </c>
      <c r="FR212" s="6">
        <v>0</v>
      </c>
      <c r="FS212" s="6">
        <v>0</v>
      </c>
      <c r="FT212" s="7">
        <v>0.83588931550566015</v>
      </c>
      <c r="FU212" s="7">
        <v>3.7162644886185307E-2</v>
      </c>
      <c r="FV212" s="7">
        <v>0.12694803960815457</v>
      </c>
      <c r="FW212" s="6">
        <v>2294</v>
      </c>
      <c r="FX212" s="6">
        <v>2054.1000331067244</v>
      </c>
      <c r="FY212" s="6">
        <v>946</v>
      </c>
      <c r="FZ212" s="6">
        <v>1817.4615072224267</v>
      </c>
      <c r="GA212" s="6">
        <v>2113.9587253303453</v>
      </c>
      <c r="GB212" s="6">
        <v>17871.041274669653</v>
      </c>
      <c r="GC212" s="7">
        <v>1.804905384453976E-2</v>
      </c>
      <c r="GD212" s="7">
        <v>1.899853458640801E-2</v>
      </c>
      <c r="GE212" s="7"/>
      <c r="GF212" s="7"/>
      <c r="GG212" s="7">
        <v>5.2605568693313468E-2</v>
      </c>
      <c r="GH212" s="42">
        <v>3.5458082778814171</v>
      </c>
      <c r="GI212" s="6">
        <v>7750.1912663465873</v>
      </c>
      <c r="GJ212" s="14">
        <v>0.50394797582841733</v>
      </c>
      <c r="GK212" s="14">
        <v>0.50887573065309755</v>
      </c>
      <c r="GL212" s="14">
        <v>0.49605202417158273</v>
      </c>
      <c r="GM212" s="14">
        <v>0.49112426934690245</v>
      </c>
      <c r="GO212" s="5">
        <v>343.14810671672558</v>
      </c>
      <c r="GP212" s="5">
        <v>299.3829630362892</v>
      </c>
      <c r="GQ212" s="5">
        <v>535.04305713031317</v>
      </c>
      <c r="GR212" s="5">
        <v>410.15490233172511</v>
      </c>
      <c r="GS212" s="5">
        <v>339.42744393800166</v>
      </c>
      <c r="GT212" s="5">
        <v>293.4407446948278</v>
      </c>
      <c r="GU212" s="5">
        <v>258.04012322764959</v>
      </c>
      <c r="GV212" s="39" t="s">
        <v>392</v>
      </c>
      <c r="GW212" s="5">
        <v>491.45833333333331</v>
      </c>
      <c r="GX212" s="5">
        <v>368.59375</v>
      </c>
      <c r="GY212" s="5">
        <v>294.875</v>
      </c>
      <c r="GZ212" s="5">
        <v>260.19607020114813</v>
      </c>
      <c r="HA212" s="5">
        <v>241.02179695997205</v>
      </c>
      <c r="HB212" s="39">
        <v>276.44254922608013</v>
      </c>
      <c r="HC212" s="5">
        <v>245.89687499999999</v>
      </c>
      <c r="HD212" s="5">
        <v>211.55677997076018</v>
      </c>
      <c r="HE212" s="5">
        <v>214.73562331309037</v>
      </c>
      <c r="HF212" s="5">
        <v>199.03250548245612</v>
      </c>
      <c r="HG212" s="5">
        <v>192.49971491228069</v>
      </c>
      <c r="HH212" s="39">
        <v>212.38789925410589</v>
      </c>
      <c r="HI212" s="16"/>
      <c r="HJ212" s="19" t="str">
        <f t="shared" si="685"/>
        <v>On</v>
      </c>
      <c r="HK212" s="1" t="str">
        <f t="shared" si="685"/>
        <v>On</v>
      </c>
      <c r="HL212" s="16"/>
      <c r="HM212" s="639">
        <f t="shared" si="634"/>
        <v>1.2768706344444866E-2</v>
      </c>
      <c r="HN212" s="639">
        <f t="shared" si="635"/>
        <v>9.795534288915453E-4</v>
      </c>
      <c r="HO212" s="639">
        <f t="shared" si="636"/>
        <v>3.3583061774515237E-3</v>
      </c>
      <c r="HP212" s="644">
        <f>(FT212*$GD212-HM212)/$JF212*INDEX(Input!$1:$1048576,$JG$93,$C212*2+6)</f>
        <v>226.12214568895169</v>
      </c>
      <c r="HQ212" s="644">
        <f>(FU212*$GD212-HN212)/$JF212*INDEX(Input!$1:$1048576,$JG$93,$C212*2+6)</f>
        <v>-19.874381621002158</v>
      </c>
      <c r="HR212" s="644">
        <f>(FV212*$GD212-HO212)/$JF212*INDEX(Input!$1:$1048576,$JG$93,$C212*2+6)</f>
        <v>-68.773239909146554</v>
      </c>
      <c r="HS212" s="644">
        <f t="shared" si="686"/>
        <v>-64.955141491719488</v>
      </c>
      <c r="HT212" s="644">
        <f t="shared" si="638"/>
        <v>-11.563221098387018</v>
      </c>
      <c r="HU212" s="644">
        <f t="shared" si="639"/>
        <v>15.559274516900439</v>
      </c>
      <c r="HV212" s="648">
        <f t="shared" si="640"/>
        <v>0</v>
      </c>
      <c r="HW212" s="648">
        <f t="shared" si="641"/>
        <v>0</v>
      </c>
      <c r="HX212" s="648">
        <f t="shared" si="642"/>
        <v>0</v>
      </c>
      <c r="HY212" s="644">
        <f>INDEX(Input!$1:$1048576,HY$93,$C212*2+6)*INDEX(Input!$1:$1048576,$JG$93,$C212*2+6)</f>
        <v>451</v>
      </c>
      <c r="HZ212" s="644">
        <f>INDEX(Input!$1:$1048576,HZ$93,$C212*2+6)*INDEX(Input!$1:$1048576,$JG$93,$C212*2+6)</f>
        <v>577</v>
      </c>
      <c r="IA212" s="644">
        <f>INDEX(Input!$1:$1048576,IA$93,$C212*2+6)*INDEX(Input!$1:$1048576,$JG$93,$C212*2+6)</f>
        <v>215</v>
      </c>
      <c r="IB212" s="644">
        <f t="shared" si="666"/>
        <v>612.16700419723202</v>
      </c>
      <c r="IC212" s="644">
        <f t="shared" si="667"/>
        <v>545.56239728061087</v>
      </c>
      <c r="ID212" s="644">
        <f>IF(AND(INDEX(Input!$1:$1048576,IA$93,$C212*2+7)="TOS",Y212&lt;=INDEX(Y:Y,MATCH(C212*1000+2,A:A))),0,1)*MAX(IA212+HR212+HU212+HX212,0%)</f>
        <v>161.78603460775389</v>
      </c>
      <c r="IE212" s="128">
        <f t="shared" ref="IE212" si="707">IB212/SUM($IB212:$ID212)</f>
        <v>0.46393318899948122</v>
      </c>
      <c r="IF212" s="128">
        <f t="shared" si="643"/>
        <v>0.4134566238187003</v>
      </c>
      <c r="IG212" s="128">
        <f t="shared" si="644"/>
        <v>0.1226101871818185</v>
      </c>
      <c r="IH212" s="21"/>
      <c r="II212" s="19">
        <f t="shared" si="645"/>
        <v>1252</v>
      </c>
      <c r="IJ212" s="19">
        <f t="shared" si="646"/>
        <v>2011.9658773055378</v>
      </c>
      <c r="IK212" s="19">
        <f t="shared" si="647"/>
        <v>919</v>
      </c>
      <c r="IL212" s="19">
        <f t="shared" si="669"/>
        <v>1042</v>
      </c>
      <c r="IM212" s="19">
        <f t="shared" si="648"/>
        <v>42.13415580118658</v>
      </c>
      <c r="IN212" s="19">
        <f t="shared" si="649"/>
        <v>27</v>
      </c>
      <c r="IO212" s="39">
        <f t="shared" si="650"/>
        <v>0</v>
      </c>
      <c r="IP212" s="39">
        <f t="shared" si="651"/>
        <v>0</v>
      </c>
      <c r="IQ212" s="39">
        <f t="shared" si="652"/>
        <v>0</v>
      </c>
      <c r="IR212" s="39">
        <v>0</v>
      </c>
      <c r="IS212" s="39">
        <v>0</v>
      </c>
      <c r="IT212" s="39">
        <v>0</v>
      </c>
      <c r="IU212" s="39">
        <v>0</v>
      </c>
      <c r="IV212" s="39">
        <v>0</v>
      </c>
      <c r="IW212" s="39">
        <v>0</v>
      </c>
      <c r="IX212" s="39">
        <f>INDEX(Input!$1:$1048576,IX$93,$C212*2+6)+INDEX(Input!$1:$1048576,IX$94,$C212*2+6)</f>
        <v>1294</v>
      </c>
      <c r="IY212" s="39">
        <f>INDEX(Input!$1:$1048576,IY$93,$C212*2+6)+INDEX(Input!$1:$1048576,IY$94,$C212*2+6)</f>
        <v>2154.0624533823611</v>
      </c>
      <c r="IZ212" s="39">
        <f>INDEX(Input!$1:$1048576,IZ$93,$C212*2+6)+INDEX(Input!$1:$1048576,IZ$94,$C212*2+6)</f>
        <v>3677.7164157747848</v>
      </c>
      <c r="JA212" s="19">
        <f t="shared" si="670"/>
        <v>2336</v>
      </c>
      <c r="JB212" s="19">
        <f t="shared" si="671"/>
        <v>2196.1966091835475</v>
      </c>
      <c r="JC212" s="19">
        <f t="shared" si="672"/>
        <v>3704.7164157747848</v>
      </c>
      <c r="JD212" s="19">
        <f t="shared" si="673"/>
        <v>2446.0159379715974</v>
      </c>
      <c r="JE212" s="21"/>
      <c r="JF212" s="1">
        <f t="shared" si="653"/>
        <v>1.7106565950787935E-2</v>
      </c>
      <c r="JG212" s="15">
        <f>INDEX(Input!$1:$1048576,JG$93,$C212*2+6)/(1+VLOOKUP(C212*1000+INDEX(Input!$1:$1048576,JG$93+1,$C212*2+6),$A:$KK,$JK$92,FALSE))</f>
        <v>1243</v>
      </c>
      <c r="JH212" s="1">
        <f t="shared" si="674"/>
        <v>0.11059897357908526</v>
      </c>
      <c r="JI212" s="1">
        <f t="shared" si="675"/>
        <v>-4.9041905127277609E-2</v>
      </c>
      <c r="JJ212" s="1">
        <f t="shared" si="676"/>
        <v>0</v>
      </c>
      <c r="JK212" s="1">
        <f t="shared" ref="JK212" si="708">SUM(JH212:JJ212)</f>
        <v>6.1557068451807646E-2</v>
      </c>
      <c r="JL212" s="15">
        <f t="shared" si="678"/>
        <v>76.515436085596903</v>
      </c>
      <c r="JM212" s="15">
        <f t="shared" si="702"/>
        <v>1319.515436085597</v>
      </c>
      <c r="JN212" s="21"/>
      <c r="JO212" s="19">
        <f>INDEX(Input!$1:$1048576,JO$93,$C212*2+6)</f>
        <v>5995.5</v>
      </c>
      <c r="JP212" s="19">
        <f>INDEX(Input!$1:$1048576,JP$93,$C212*2+6)</f>
        <v>2105.548724853742</v>
      </c>
      <c r="JQ212" s="39">
        <f t="shared" si="688"/>
        <v>3549.4840620284026</v>
      </c>
      <c r="JR212" s="39">
        <f t="shared" si="705"/>
        <v>340.46721311785541</v>
      </c>
      <c r="JS212" s="39">
        <f t="shared" si="690"/>
        <v>3.2275557870649125</v>
      </c>
      <c r="JT212" s="39">
        <f t="shared" si="680"/>
        <v>0.61035872207171149</v>
      </c>
      <c r="JU212" s="385">
        <f>(JQ212*JM212-INDEX(Input!$1:$1048576,Input!A$18,$C212*2+6)*JL212*INDEX(Input!$1:$1048576,Input!A$19,$C212*2+6))/1000000</f>
        <v>4.6835990099862839</v>
      </c>
      <c r="JV212" s="39">
        <f t="shared" si="656"/>
        <v>-0.15161042502051458</v>
      </c>
      <c r="JW212" s="1">
        <f t="shared" si="703"/>
        <v>-3.1355503222437235E-2</v>
      </c>
      <c r="JX212" s="19">
        <f t="shared" si="694"/>
        <v>7976.9358092517496</v>
      </c>
      <c r="JZ212" s="341"/>
      <c r="KA212" s="342"/>
      <c r="KB212" s="469">
        <f t="shared" si="691"/>
        <v>2.5660492421988774</v>
      </c>
      <c r="KI212" s="473">
        <f t="shared" si="692"/>
        <v>161.16700419723213</v>
      </c>
      <c r="KJ212" s="473">
        <f t="shared" si="681"/>
        <v>-31.43760271938902</v>
      </c>
      <c r="KK212" s="473">
        <f t="shared" si="682"/>
        <v>-53.213965392246081</v>
      </c>
      <c r="KN212" s="544">
        <f t="shared" si="695"/>
        <v>2002</v>
      </c>
      <c r="KO212" s="541">
        <f t="shared" si="657"/>
        <v>5.5302643534973495E-2</v>
      </c>
      <c r="KP212" s="546">
        <f t="shared" si="658"/>
        <v>463.98818666138072</v>
      </c>
      <c r="KQ212" s="546">
        <f t="shared" si="659"/>
        <v>302.33559853812449</v>
      </c>
      <c r="KR212" s="548">
        <f t="shared" si="660"/>
        <v>2.1265027208589253</v>
      </c>
      <c r="KS212" s="548">
        <f t="shared" si="661"/>
        <v>3.2634997206834235</v>
      </c>
      <c r="KT212" s="473">
        <f t="shared" si="693"/>
        <v>843.26993010479111</v>
      </c>
      <c r="KU212" s="663">
        <f t="shared" si="683"/>
        <v>4.6143472692847913</v>
      </c>
      <c r="KV212" s="117" t="e">
        <f>RANK(KU212,$KU$109:$KU$200)</f>
        <v>#N/A</v>
      </c>
    </row>
    <row r="213" spans="1:308" s="26" customFormat="1" ht="15">
      <c r="A213" s="561">
        <f t="shared" si="662"/>
        <v>2013</v>
      </c>
      <c r="B213" s="561">
        <f t="shared" si="684"/>
        <v>13</v>
      </c>
      <c r="C213" s="561">
        <f t="shared" si="105"/>
        <v>2</v>
      </c>
      <c r="D213" s="561" t="str">
        <f t="shared" si="704"/>
        <v xml:space="preserve">0/0/0.9/3.9, </v>
      </c>
      <c r="E213" s="115">
        <f>INDEX(Input!$1:$1048576,E$93,$C213*2+MIN($B213,2)+5)</f>
        <v>1269.7618664521319</v>
      </c>
      <c r="F213" s="115">
        <f>INDEX(Input!$1:$1048576,F$93,$C213*2+MIN($B213,2)+5)</f>
        <v>0</v>
      </c>
      <c r="G213" s="115">
        <f>INDEX(Input!$1:$1048576,G$93,$C213*2+MIN($B213,2)+5)</f>
        <v>0</v>
      </c>
      <c r="H213" s="115">
        <f>INDEX(Input!$1:$1048576,H$93,$C213*2+MIN($B213,2)+5)</f>
        <v>0</v>
      </c>
      <c r="I213" s="118">
        <f>INDEX(Input!$1:$1048576,I$93,$C213*2+MIN($B213,2)+5)</f>
        <v>0.7</v>
      </c>
      <c r="J213" s="476" t="str">
        <f>INDEX(Input!$1:$1048576,J$93,$C213*2+MIN($B213,2)+5)</f>
        <v>Market</v>
      </c>
      <c r="K213" s="476" t="str">
        <f>INDEX(Input!$1:$1048576,K$93,$C213*2+MIN($B213,2)+5)</f>
        <v>Market</v>
      </c>
      <c r="L213" s="476" t="str">
        <f>INDEX(Input!$1:$1048576,L$93,$C213*2+MIN($B213,2)+5)</f>
        <v>Market</v>
      </c>
      <c r="M213" s="476" t="str">
        <f>INDEX(Input!$1:$1048576,M$93,$C213*2+MIN($B213,2)+5)</f>
        <v>Market</v>
      </c>
      <c r="N213" s="476" t="str">
        <f>INDEX(Input!$1:$1048576,N$93,$C213*2+MIN($B213,2)+5)</f>
        <v>Market</v>
      </c>
      <c r="O213" s="476" t="str">
        <f>INDEX(Input!$1:$1048576,O$93,$C213*2+MIN($B213,2)+5)</f>
        <v>Market</v>
      </c>
      <c r="P213" s="476" t="str">
        <f>INDEX(Input!$1:$1048576,P$93,$C213*2+MIN($B213,2)+5)</f>
        <v>N</v>
      </c>
      <c r="Q213" s="477">
        <f>INDEX(Input!$1:$1048576,Q$93,$C213*2+MIN($B213,2)+5)</f>
        <v>0</v>
      </c>
      <c r="R213" s="478">
        <f>IFERROR(MAX(0,INDEX(Input!$1:$1048576,R$93,$C213*2+MIN($B213,2)+5)-1%,),"Market")</f>
        <v>0</v>
      </c>
      <c r="S213" s="478">
        <f>IFERROR(MAX(0,INDEX(Input!$1:$1048576,S$93,$C213*2+MIN($B213,2)+5)-1%,),"Market")</f>
        <v>0</v>
      </c>
      <c r="T213" s="478">
        <f>IFERROR(MAX(0,INDEX(Input!$1:$1048576,T$93,$C213*2+MIN($B213,2)+5)-1%,),"Market")</f>
        <v>0</v>
      </c>
      <c r="U213" s="478">
        <f>IFERROR(MAX(0,INDEX(Input!$1:$1048576,U$93,$C213*2+MIN($B213,2)+5)-1%,),"Market")</f>
        <v>0</v>
      </c>
      <c r="V213" s="478">
        <f>IFERROR(MAX(0,INDEX(Input!$1:$1048576,V$93,$C213*2+MIN($B213,2)+5)-1%,),"Market")</f>
        <v>8.9999999999999993E-3</v>
      </c>
      <c r="W213" s="885">
        <f>IFERROR(MAX(0,INDEX(Input!$1:$1048576,W$93,$C213*2+MIN($B213,2)+5)-0%,),"Market")</f>
        <v>3.9E-2</v>
      </c>
      <c r="X213" s="476" t="str">
        <f>INDEX(Input!$1:$1048576,X$93,$C213*2+MIN($B213,2)+5)</f>
        <v>Y</v>
      </c>
      <c r="Y213" s="150">
        <f>INDEX(Input!$1:$1048576,Y$93,$C213*2+MIN($B213,2)+5)</f>
        <v>56</v>
      </c>
      <c r="Z213" s="30">
        <f>INDEX(Input!$1:$1048576,Z$93,$C213*2+MIN($B213,2)+5)</f>
        <v>0</v>
      </c>
      <c r="AA213" s="475">
        <f>INDEX(Input!$1:$1048576,AA$93,$C213*2+MIN($B213,2)+5)</f>
        <v>0</v>
      </c>
      <c r="AB213" s="118">
        <f>INDEX(Input!$1:$1048576,AB$93,$C213*2+MIN($B213,2)+5)</f>
        <v>0.27</v>
      </c>
      <c r="AC213" s="115">
        <f>INDEX(Input!$1:$1048576,AC$93,$C213*2+MIN($B213,2)+5)</f>
        <v>0</v>
      </c>
      <c r="AD213" s="118">
        <f>INDEX(Input!$1:$1048576,AD$93,$C213*2+MIN($B213,2)+5)</f>
        <v>0.27</v>
      </c>
      <c r="AE213" s="115">
        <f>INDEX(Input!$1:$1048576,AE$93,$C213*2+MIN($B213,2)+5)</f>
        <v>0</v>
      </c>
      <c r="AF213" s="118">
        <f>INDEX(Input!$1:$1048576,AF$93,$C213*2+MIN($B213,2)+5)</f>
        <v>4.8000000000000001E-2</v>
      </c>
      <c r="AG213" s="115">
        <f>INDEX(Input!$1:$1048576,AG$93,$C213*2+MIN($B213,2)+5)</f>
        <v>500</v>
      </c>
      <c r="AH213" s="118">
        <f>INDEX(Input!$1:$1048576,AH$93,$C213*2+MIN($B213,2)+5)</f>
        <v>0.94599999999999995</v>
      </c>
      <c r="AI213" s="115">
        <f>INDEX(Input!$1:$1048576,AI$93,$C213*2+MIN($B213,2)+5)</f>
        <v>0</v>
      </c>
      <c r="AJ213" s="118">
        <f>INDEX(Input!$1:$1048576,AJ$93,$C213*2+MIN($B213,2)+5)</f>
        <v>0.27</v>
      </c>
      <c r="AK213" s="150">
        <f>ROUND(INDEX(Input!$1:$1048576,AK$93,$C212*2+MIN($B213,1)+5)+(Y213-VLOOKUP($C213*1000+1,$A:$HH,Y$92,FALSE)),0)</f>
        <v>2977</v>
      </c>
      <c r="AL213" s="150">
        <f>ROUND(INDEX(Input!$1:$1048576,AL$93,$C212*2+MIN($B213,1)+5)-(Y213-VLOOKUP($C213*1000+1,$A:$HH,Y$92,FALSE))/36,0)</f>
        <v>3395</v>
      </c>
      <c r="AM213" s="32" t="str">
        <f t="shared" si="663"/>
        <v>std/std/std/std</v>
      </c>
      <c r="AN213" s="32" t="str">
        <f t="shared" si="664"/>
        <v>$0 + 0/0/0/0.9/3.9</v>
      </c>
      <c r="AO213" s="32" t="str">
        <f t="shared" si="665"/>
        <v>0/0/0/0.9/3.9</v>
      </c>
      <c r="AP213" s="32" t="str">
        <f t="shared" si="498"/>
        <v>0/0/0.9/3.9</v>
      </c>
      <c r="AQ213" s="536">
        <f t="shared" si="497"/>
        <v>0.34636575357982596</v>
      </c>
      <c r="AR213" s="32"/>
      <c r="AS213" s="302"/>
      <c r="AT213" s="3">
        <f t="shared" si="106"/>
        <v>13</v>
      </c>
      <c r="AU213" s="41" t="s">
        <v>121</v>
      </c>
      <c r="AV213" s="41" t="s">
        <v>116</v>
      </c>
      <c r="AW213" s="41" t="str">
        <f>INDEX(Input!$1:$1048576,AW$93,$C213*2+6)</f>
        <v>Kia</v>
      </c>
      <c r="AX213" s="41" t="str">
        <f>INDEX(Input!$1:$1048576,AX$93,$C213*2+6)</f>
        <v>Kia-LR - L2</v>
      </c>
      <c r="AY213" s="41" t="str">
        <f>IF(LEN(D213)=0,"",INDEX(Input!$1:$1048576,AY$93,$C213*2+6))</f>
        <v>Compact SUV (52)</v>
      </c>
      <c r="AZ213" s="41" t="str">
        <f>INDEX(Input!$1:$1048576,AZ$93,$C213*2+6)</f>
        <v>Kia Soul</v>
      </c>
      <c r="BA213" s="3">
        <f>INDEX(Input!$1:$1048576,BA$93,$C213*2+6)</f>
        <v>2020</v>
      </c>
      <c r="BB213" s="128">
        <f>INDEX(Input!$1:$1048576,BB$93,$C213*2+6)</f>
        <v>1</v>
      </c>
      <c r="BC213" s="128">
        <f>INDEX(Input!$1:$1048576,BC$93,$C213*2+6)</f>
        <v>0.7</v>
      </c>
      <c r="BD213" s="1">
        <f>INDEX(Input!$1:$1048576,BD$93,$C213*2+6)</f>
        <v>4.4999999999999998E-2</v>
      </c>
      <c r="BE213" s="1">
        <f>INDEX(Input!$1:$1048576,BE$93,$C213*2+6)</f>
        <v>4.4999999999999998E-2</v>
      </c>
      <c r="BF213" s="1">
        <f>INDEX(Input!$1:$1048576,BF$93,$C213*2+6)</f>
        <v>0.05</v>
      </c>
      <c r="BG213" s="1">
        <f>INDEX(Input!$1:$1048576,BG$93,$C213*2+6)</f>
        <v>5.45E-2</v>
      </c>
      <c r="BH213" s="1">
        <f>INDEX(Input!$1:$1048576,BH$93,$C213*2+6)</f>
        <v>5.45E-2</v>
      </c>
      <c r="BI213" s="1">
        <f>INDEX(Input!$1:$1048576,BI$93,$C213*2+6)</f>
        <v>0.05</v>
      </c>
      <c r="BJ213" s="1">
        <f>INDEX(Input!$1:$1048576,BJ$93,$C213*2+6)</f>
        <v>0.05</v>
      </c>
      <c r="BK213" s="1">
        <f>INDEX(Input!$1:$1048576,BK$93,$C213*2+6)</f>
        <v>0.05</v>
      </c>
      <c r="BL213" s="1">
        <f>INDEX(Input!$1:$1048576,BL$93,$C213*2+6)</f>
        <v>5.5E-2</v>
      </c>
      <c r="BM213" s="1">
        <f>INDEX(Input!$1:$1048576,BM$93,$C213*2+6)</f>
        <v>0.06</v>
      </c>
      <c r="BN213" s="1">
        <f>INDEX(Input!$1:$1048576,BN$93,$C213*2+6)</f>
        <v>4.4999999999999998E-2</v>
      </c>
      <c r="BO213" s="1">
        <f>INDEX(Input!$1:$1048576,BO$93,$C213*2+6)</f>
        <v>4.4999999999999998E-2</v>
      </c>
      <c r="BP213" s="1">
        <f>INDEX(Input!$1:$1048576,BP$93,$C213*2+6)</f>
        <v>0.05</v>
      </c>
      <c r="BQ213" s="1">
        <f>INDEX(Input!$1:$1048576,BQ$93,$C213*2+6)</f>
        <v>5.45E-2</v>
      </c>
      <c r="BR213" s="1">
        <f>INDEX(Input!$1:$1048576,BR$93,$C213*2+6)</f>
        <v>5.45E-2</v>
      </c>
      <c r="BS213" s="1">
        <f>INDEX(Input!$1:$1048576,BS$93,$C213*2+6)</f>
        <v>0.05</v>
      </c>
      <c r="BT213" s="1">
        <f>INDEX(Input!$1:$1048576,BT$93,$C213*2+6)</f>
        <v>0.05</v>
      </c>
      <c r="BU213" s="1">
        <f>INDEX(Input!$1:$1048576,BU$93,$C213*2+6)</f>
        <v>0.05</v>
      </c>
      <c r="BV213" s="1">
        <f>INDEX(Input!$1:$1048576,BV$93,$C213*2+6)</f>
        <v>5.5E-2</v>
      </c>
      <c r="BW213" s="1">
        <f>INDEX(Input!$1:$1048576,BW$93,$C213*2+6)</f>
        <v>0.06</v>
      </c>
      <c r="BX213" s="127">
        <f>INDEX(Input!$1:$1048576,BX$93,$C213*2+6)</f>
        <v>19985</v>
      </c>
      <c r="BY213" s="20">
        <f>INDEX(Input!$1:$1048576,BY$93,$C213*2+6)</f>
        <v>0.1</v>
      </c>
      <c r="BZ213" s="20">
        <f>INDEX(Input!$1:$1048576,BZ$93,$C213*2+6)</f>
        <v>0.1</v>
      </c>
      <c r="CA213" s="20">
        <f>INDEX(Input!$1:$1048576,CA$93,$C213*2+6)</f>
        <v>0.1</v>
      </c>
      <c r="CB213" s="20">
        <f>INDEX(Input!$1:$1048576,CB$93,$C213*2+6)</f>
        <v>0.1</v>
      </c>
      <c r="CC213" s="20">
        <f>INDEX(Input!$1:$1048576,CC$93,$C213*2+6)</f>
        <v>0.1</v>
      </c>
      <c r="CD213" s="384">
        <f>INDEX(Input!$1:$1048576,CD$93,$C213*2+6)</f>
        <v>0.1</v>
      </c>
      <c r="CE213" s="384">
        <f>INDEX(Input!$1:$1048576,CE$93,$C213*2+6)</f>
        <v>0.1</v>
      </c>
      <c r="CF213" s="384">
        <f>INDEX(Input!$1:$1048576,CF$93,$C213*2+6)</f>
        <v>0.1</v>
      </c>
      <c r="CG213" s="384">
        <f>INDEX(Input!$1:$1048576,CG$93,$C213*2+6)</f>
        <v>0.1</v>
      </c>
      <c r="CH213" s="384">
        <f>INDEX(Input!$1:$1048576,CH$93,$C213*2+6)</f>
        <v>0.1</v>
      </c>
      <c r="CI213" s="304">
        <f t="shared" si="499"/>
        <v>1269.7618664521319</v>
      </c>
      <c r="CJ213" s="16" t="str">
        <f>INDEX(Input!$1:$1048576,CJ$93,$C213*2+6)</f>
        <v>N</v>
      </c>
      <c r="CK213" s="1" t="str">
        <f t="shared" si="500"/>
        <v>Market</v>
      </c>
      <c r="CL213" s="1" t="str">
        <f t="shared" si="501"/>
        <v>Market</v>
      </c>
      <c r="CM213" s="1" t="str">
        <f t="shared" si="502"/>
        <v>Market</v>
      </c>
      <c r="CN213" s="1" t="str">
        <f t="shared" si="503"/>
        <v>Market</v>
      </c>
      <c r="CO213" s="1" t="str">
        <f t="shared" si="504"/>
        <v>Market</v>
      </c>
      <c r="CP213" s="304">
        <f t="shared" si="505"/>
        <v>473</v>
      </c>
      <c r="CQ213" s="1">
        <f t="shared" si="506"/>
        <v>0</v>
      </c>
      <c r="CR213" s="1">
        <f t="shared" si="507"/>
        <v>0</v>
      </c>
      <c r="CS213" s="1">
        <f t="shared" si="508"/>
        <v>0</v>
      </c>
      <c r="CT213" s="1">
        <f t="shared" si="509"/>
        <v>8.9999999999999993E-3</v>
      </c>
      <c r="CU213" s="1">
        <f t="shared" si="510"/>
        <v>3.9E-2</v>
      </c>
      <c r="CV213" s="304">
        <f t="shared" si="511"/>
        <v>56</v>
      </c>
      <c r="CW213" s="20" t="s">
        <v>122</v>
      </c>
      <c r="CX213" s="20" t="s">
        <v>122</v>
      </c>
      <c r="CY213" s="20" t="s">
        <v>122</v>
      </c>
      <c r="CZ213" s="20" t="s">
        <v>122</v>
      </c>
      <c r="DA213" s="20" t="s">
        <v>122</v>
      </c>
      <c r="DB213" s="503">
        <f t="shared" si="512"/>
        <v>0</v>
      </c>
      <c r="DC213" s="127">
        <v>0</v>
      </c>
      <c r="DD213" s="127">
        <v>0</v>
      </c>
      <c r="DE213" s="127">
        <v>0</v>
      </c>
      <c r="DF213" s="127">
        <v>0</v>
      </c>
      <c r="DG213" s="127">
        <v>0</v>
      </c>
      <c r="DH213" s="127">
        <v>0</v>
      </c>
      <c r="DI213" s="127">
        <v>0</v>
      </c>
      <c r="DJ213" s="127">
        <v>0</v>
      </c>
      <c r="DK213" s="127">
        <v>0</v>
      </c>
      <c r="DL213" s="127">
        <v>0</v>
      </c>
      <c r="DM213" s="304">
        <f>INDEX(Input!$1:$1048576,DM$93,$C213*2+6)</f>
        <v>21036.84210526316</v>
      </c>
      <c r="DN213" s="20">
        <v>0</v>
      </c>
      <c r="DO213" s="20">
        <v>0</v>
      </c>
      <c r="DP213" s="20">
        <v>0</v>
      </c>
      <c r="DQ213" s="20">
        <v>0</v>
      </c>
      <c r="DR213" s="20">
        <v>0</v>
      </c>
      <c r="DS213" s="20">
        <f>INDEX(Input!$1:$1048576,DS$93,$C213*2+6)</f>
        <v>0.6</v>
      </c>
      <c r="DT213" s="20">
        <f>INDEX(Input!$1:$1048576,DT$93,$C213*2+6)</f>
        <v>0.55000000000000004</v>
      </c>
      <c r="DU213" s="20">
        <f>INDEX(Input!$1:$1048576,DU$93,$C213*2+6)</f>
        <v>0.52</v>
      </c>
      <c r="DV213" s="20">
        <f>INDEX(Input!$1:$1048576,DV$93,$C213*2+6)</f>
        <v>0.5</v>
      </c>
      <c r="DW213" s="20">
        <f>INDEX(Input!$1:$1048576,DW$93,$C213*2+6)</f>
        <v>0.45</v>
      </c>
      <c r="DX213" s="20"/>
      <c r="DY213" s="7">
        <v>9.1074983818813168E-2</v>
      </c>
      <c r="DZ213" s="7">
        <v>0</v>
      </c>
      <c r="EA213" s="7">
        <v>0.64521916325877604</v>
      </c>
      <c r="EB213" s="7">
        <v>0</v>
      </c>
      <c r="EC213" s="7">
        <v>0</v>
      </c>
      <c r="ED213" s="7">
        <v>0</v>
      </c>
      <c r="EE213" s="7">
        <v>0</v>
      </c>
      <c r="EF213" s="7">
        <v>0</v>
      </c>
      <c r="EG213" s="7">
        <v>0</v>
      </c>
      <c r="EH213" s="7">
        <v>1.1222720115848107E-2</v>
      </c>
      <c r="EI213" s="7">
        <v>3.1942413016361568E-2</v>
      </c>
      <c r="EJ213" s="7">
        <v>0.24175979131990857</v>
      </c>
      <c r="EK213" s="7">
        <v>0.62758560497533356</v>
      </c>
      <c r="EL213" s="7">
        <v>8.7489470572548259E-2</v>
      </c>
      <c r="EM213" s="7">
        <v>7.1711127586630563E-2</v>
      </c>
      <c r="EN213" s="7">
        <v>6.5539478071954274E-2</v>
      </c>
      <c r="EO213" s="7">
        <v>0.73221852506155161</v>
      </c>
      <c r="EP213" s="7">
        <v>8.759235776705375E-2</v>
      </c>
      <c r="EQ213" s="7">
        <v>7.4716654925312972E-2</v>
      </c>
      <c r="ER213" s="7">
        <v>3.993298417412755E-2</v>
      </c>
      <c r="ES213" s="7">
        <v>0.19199472533578016</v>
      </c>
      <c r="ET213" s="7">
        <v>0.26370585292241083</v>
      </c>
      <c r="EU213" s="6">
        <v>1294</v>
      </c>
      <c r="EV213" s="6">
        <v>0</v>
      </c>
      <c r="EW213" s="6">
        <v>1294</v>
      </c>
      <c r="EX213" s="6">
        <v>0</v>
      </c>
      <c r="EY213" s="6">
        <v>2357.0467057334108</v>
      </c>
      <c r="EZ213" s="6">
        <v>946</v>
      </c>
      <c r="FA213" s="6">
        <v>0</v>
      </c>
      <c r="FB213" s="6">
        <v>0</v>
      </c>
      <c r="FC213" s="6">
        <v>0</v>
      </c>
      <c r="FD213" s="6">
        <v>0</v>
      </c>
      <c r="FE213" s="6">
        <v>0</v>
      </c>
      <c r="FF213" s="6">
        <v>0</v>
      </c>
      <c r="FG213" s="6">
        <v>0</v>
      </c>
      <c r="FH213" s="6">
        <v>1173.7307078935639</v>
      </c>
      <c r="FI213" s="6">
        <v>1553.9796069512402</v>
      </c>
      <c r="FJ213" s="6">
        <v>2101.2110117447405</v>
      </c>
      <c r="FK213" s="6">
        <v>2251.3078348034664</v>
      </c>
      <c r="FL213" s="6">
        <v>907.0768214096629</v>
      </c>
      <c r="FM213" s="6">
        <v>2063.0467057334108</v>
      </c>
      <c r="FN213" s="6">
        <v>0</v>
      </c>
      <c r="FO213" s="6">
        <v>0</v>
      </c>
      <c r="FP213" s="6">
        <v>0</v>
      </c>
      <c r="FQ213" s="6">
        <v>0</v>
      </c>
      <c r="FR213" s="6">
        <v>0</v>
      </c>
      <c r="FS213" s="6">
        <v>0</v>
      </c>
      <c r="FT213" s="7">
        <v>0.73629414707758922</v>
      </c>
      <c r="FU213" s="7">
        <v>7.1711127586630563E-2</v>
      </c>
      <c r="FV213" s="7">
        <v>0.19199472533578016</v>
      </c>
      <c r="FW213" s="6">
        <v>1293.9999999999998</v>
      </c>
      <c r="FX213" s="6">
        <v>2357.0467057334108</v>
      </c>
      <c r="FY213" s="6">
        <v>946</v>
      </c>
      <c r="FZ213" s="6">
        <v>1817.4615072224267</v>
      </c>
      <c r="GA213" s="6">
        <v>1303.4181135285442</v>
      </c>
      <c r="GB213" s="6">
        <v>18681.581886471457</v>
      </c>
      <c r="GC213" s="7">
        <v>1.804905384453976E-2</v>
      </c>
      <c r="GD213" s="7">
        <v>1.7251726090343165E-2</v>
      </c>
      <c r="GE213" s="7"/>
      <c r="GF213" s="7"/>
      <c r="GG213" s="7">
        <v>-4.417559840333702E-2</v>
      </c>
      <c r="GH213" s="42">
        <v>1.7174607142533089</v>
      </c>
      <c r="GI213" s="6">
        <v>12939.783262462253</v>
      </c>
      <c r="GJ213" s="14">
        <v>0.50394797582841755</v>
      </c>
      <c r="GK213" s="14">
        <v>0.50887573065309777</v>
      </c>
      <c r="GL213" s="14">
        <v>0.49605202417158306</v>
      </c>
      <c r="GM213" s="14">
        <v>0.49112426934690279</v>
      </c>
      <c r="GO213" s="5">
        <v>343.14810671672558</v>
      </c>
      <c r="GP213" s="5">
        <v>318.46105531198077</v>
      </c>
      <c r="GQ213" s="5">
        <v>535.04305713031317</v>
      </c>
      <c r="GR213" s="5">
        <v>410.15490233172511</v>
      </c>
      <c r="GS213" s="5">
        <v>339.42744393800166</v>
      </c>
      <c r="GT213" s="5">
        <v>293.4407446948278</v>
      </c>
      <c r="GU213" s="5">
        <v>258.04012322764959</v>
      </c>
      <c r="GV213" s="39" t="s">
        <v>392</v>
      </c>
      <c r="GW213" s="5">
        <v>491.45833333333331</v>
      </c>
      <c r="GX213" s="5">
        <v>368.59375</v>
      </c>
      <c r="GY213" s="5">
        <v>294.875</v>
      </c>
      <c r="GZ213" s="5">
        <v>252.51567799800796</v>
      </c>
      <c r="HA213" s="5">
        <v>241.02179695997205</v>
      </c>
      <c r="HB213" s="39">
        <v>268.14026554141725</v>
      </c>
      <c r="HC213" s="5">
        <v>245.89687499999999</v>
      </c>
      <c r="HD213" s="5">
        <v>211.55677997076018</v>
      </c>
      <c r="HE213" s="5">
        <v>214.73562331309037</v>
      </c>
      <c r="HF213" s="5">
        <v>199.03250548245612</v>
      </c>
      <c r="HG213" s="5">
        <v>192.49971491228069</v>
      </c>
      <c r="HH213" s="39">
        <v>212.3890768867266</v>
      </c>
      <c r="HI213" s="16"/>
      <c r="HJ213" s="19" t="str">
        <f t="shared" si="685"/>
        <v>On</v>
      </c>
      <c r="HK213" s="1" t="str">
        <f t="shared" si="685"/>
        <v>On</v>
      </c>
      <c r="HL213" s="16"/>
      <c r="HM213" s="639">
        <f t="shared" si="634"/>
        <v>1.2768706344444866E-2</v>
      </c>
      <c r="HN213" s="639">
        <f t="shared" si="635"/>
        <v>9.795534288915453E-4</v>
      </c>
      <c r="HO213" s="639">
        <f t="shared" si="636"/>
        <v>3.3583061774515237E-3</v>
      </c>
      <c r="HP213" s="644">
        <f>(FT213*$GD213-HM213)/$JF213*INDEX(Input!$1:$1048576,$JG$93,$C213*2+6)</f>
        <v>-4.821962331986331</v>
      </c>
      <c r="HQ213" s="644">
        <f>(FU213*$GD213-HN213)/$JF213*INDEX(Input!$1:$1048576,$JG$93,$C213*2+6)</f>
        <v>18.716849257552749</v>
      </c>
      <c r="HR213" s="644">
        <f>(FV213*$GD213-HO213)/$JF213*INDEX(Input!$1:$1048576,$JG$93,$C213*2+6)</f>
        <v>-3.347237912537063</v>
      </c>
      <c r="HS213" s="644">
        <f t="shared" si="686"/>
        <v>-2.9962354503786486</v>
      </c>
      <c r="HT213" s="644">
        <f t="shared" si="638"/>
        <v>27.461234011679782</v>
      </c>
      <c r="HU213" s="644">
        <f t="shared" si="639"/>
        <v>1.5070440729444894</v>
      </c>
      <c r="HV213" s="648">
        <f t="shared" si="640"/>
        <v>0</v>
      </c>
      <c r="HW213" s="648">
        <f t="shared" si="641"/>
        <v>0</v>
      </c>
      <c r="HX213" s="648">
        <f t="shared" si="642"/>
        <v>0</v>
      </c>
      <c r="HY213" s="644">
        <f>INDEX(Input!$1:$1048576,HY$93,$C213*2+6)*INDEX(Input!$1:$1048576,$JG$93,$C213*2+6)</f>
        <v>451</v>
      </c>
      <c r="HZ213" s="644">
        <f>INDEX(Input!$1:$1048576,HZ$93,$C213*2+6)*INDEX(Input!$1:$1048576,$JG$93,$C213*2+6)</f>
        <v>577</v>
      </c>
      <c r="IA213" s="644">
        <f>INDEX(Input!$1:$1048576,IA$93,$C213*2+6)*INDEX(Input!$1:$1048576,$JG$93,$C213*2+6)</f>
        <v>215</v>
      </c>
      <c r="IB213" s="644">
        <f t="shared" si="666"/>
        <v>443.18180221763498</v>
      </c>
      <c r="IC213" s="644">
        <f t="shared" si="667"/>
        <v>623.17808326923262</v>
      </c>
      <c r="ID213" s="644">
        <f>IF(AND(INDEX(Input!$1:$1048576,IA$93,$C213*2+7)="TOS",Y213&lt;=INDEX(Y:Y,MATCH(C213*1000+2,A:A))),0,1)*MAX(IA213+HR213+HU213+HX213,0%)</f>
        <v>213.15980616040744</v>
      </c>
      <c r="IE213" s="128">
        <f t="shared" ref="IE213:IE214" si="709">IB213/SUM($IB213:$ID213)</f>
        <v>0.34636575357982596</v>
      </c>
      <c r="IF213" s="128">
        <f t="shared" si="643"/>
        <v>0.48704063512062307</v>
      </c>
      <c r="IG213" s="128">
        <f t="shared" si="644"/>
        <v>0.16659361129955097</v>
      </c>
      <c r="IH213" s="21"/>
      <c r="II213" s="19">
        <f t="shared" si="645"/>
        <v>1252</v>
      </c>
      <c r="IJ213" s="19">
        <f t="shared" si="646"/>
        <v>2011.9658773055378</v>
      </c>
      <c r="IK213" s="19">
        <f t="shared" si="647"/>
        <v>919</v>
      </c>
      <c r="IL213" s="19">
        <f t="shared" si="669"/>
        <v>41.999999999999773</v>
      </c>
      <c r="IM213" s="19">
        <f t="shared" si="648"/>
        <v>345.08082842787303</v>
      </c>
      <c r="IN213" s="19">
        <f t="shared" si="649"/>
        <v>27</v>
      </c>
      <c r="IO213" s="39">
        <f t="shared" si="650"/>
        <v>0</v>
      </c>
      <c r="IP213" s="39">
        <f t="shared" si="651"/>
        <v>0</v>
      </c>
      <c r="IQ213" s="39">
        <f t="shared" si="652"/>
        <v>0</v>
      </c>
      <c r="IR213" s="39">
        <v>0</v>
      </c>
      <c r="IS213" s="39">
        <v>0</v>
      </c>
      <c r="IT213" s="39">
        <v>0</v>
      </c>
      <c r="IU213" s="39">
        <v>0</v>
      </c>
      <c r="IV213" s="39">
        <v>0</v>
      </c>
      <c r="IW213" s="39">
        <v>0</v>
      </c>
      <c r="IX213" s="39">
        <f>INDEX(Input!$1:$1048576,IX$93,$C213*2+6)+INDEX(Input!$1:$1048576,IX$94,$C213*2+6)</f>
        <v>1294</v>
      </c>
      <c r="IY213" s="39">
        <f>INDEX(Input!$1:$1048576,IY$93,$C213*2+6)+INDEX(Input!$1:$1048576,IY$94,$C213*2+6)</f>
        <v>2154.0624533823611</v>
      </c>
      <c r="IZ213" s="39">
        <f>INDEX(Input!$1:$1048576,IZ$93,$C213*2+6)+INDEX(Input!$1:$1048576,IZ$94,$C213*2+6)</f>
        <v>3677.7164157747848</v>
      </c>
      <c r="JA213" s="19">
        <f t="shared" si="670"/>
        <v>1335.9999999999998</v>
      </c>
      <c r="JB213" s="19">
        <f t="shared" si="671"/>
        <v>2499.1432818102339</v>
      </c>
      <c r="JC213" s="19">
        <f t="shared" si="672"/>
        <v>3704.7164157747848</v>
      </c>
      <c r="JD213" s="19">
        <f t="shared" si="673"/>
        <v>2297.1110645575923</v>
      </c>
      <c r="JE213" s="21"/>
      <c r="JF213" s="1">
        <f t="shared" si="653"/>
        <v>1.7106565950787935E-2</v>
      </c>
      <c r="JG213" s="15">
        <f>INDEX(Input!$1:$1048576,JG$93,$C213*2+6)/(1+VLOOKUP(C213*1000+INDEX(Input!$1:$1048576,JG$93+1,$C213*2+6),$A:$KK,$JK$92,FALSE))</f>
        <v>1243</v>
      </c>
      <c r="JH213" s="1">
        <f t="shared" si="674"/>
        <v>8.4856387876342358E-3</v>
      </c>
      <c r="JI213" s="1">
        <f t="shared" si="675"/>
        <v>2.0894644114437345E-2</v>
      </c>
      <c r="JJ213" s="1">
        <f>SUM(HV213:HX213)/SUM(HY213:IA213)</f>
        <v>0</v>
      </c>
      <c r="JK213" s="1">
        <f t="shared" ref="JK213:JK214" si="710">SUM(JH213:JJ213)</f>
        <v>2.9380282902071581E-2</v>
      </c>
      <c r="JL213" s="15">
        <f t="shared" si="678"/>
        <v>36.519691647274975</v>
      </c>
      <c r="JM213" s="15">
        <f t="shared" si="702"/>
        <v>1279.5196916472751</v>
      </c>
      <c r="JN213" s="21"/>
      <c r="JO213" s="19">
        <f>INDEX(Input!$1:$1048576,JO$93,$C213*2+6)</f>
        <v>5995.5</v>
      </c>
      <c r="JP213" s="19">
        <f>INDEX(Input!$1:$1048576,JP$93,$C213*2+6)</f>
        <v>2105.548724853742</v>
      </c>
      <c r="JQ213" s="39">
        <f t="shared" si="688"/>
        <v>3698.3889354424077</v>
      </c>
      <c r="JR213" s="39">
        <f t="shared" si="705"/>
        <v>191.56233970385028</v>
      </c>
      <c r="JS213" s="39">
        <f t="shared" si="690"/>
        <v>2.9391988410022742</v>
      </c>
      <c r="JT213" s="39">
        <f t="shared" si="680"/>
        <v>0.32200177600907304</v>
      </c>
      <c r="JU213" s="385">
        <f>(JQ213*JM213-INDEX(Input!$1:$1048576,Input!A$18,$C213*2+6)*JL213*INDEX(Input!$1:$1048576,Input!A$19,$C213*2+6))/1000000</f>
        <v>4.7321614702689638</v>
      </c>
      <c r="JV213" s="39">
        <f>JU213-(JO213-JP213)*JG213/1000000</f>
        <v>-0.10304796473783462</v>
      </c>
      <c r="JW213" s="1">
        <f t="shared" si="703"/>
        <v>-2.1311996124049947E-2</v>
      </c>
      <c r="JX213" s="19">
        <f t="shared" si="694"/>
        <v>8817.2096062344535</v>
      </c>
      <c r="JZ213" s="341"/>
      <c r="KA213" s="342"/>
      <c r="KB213" s="469">
        <f t="shared" si="691"/>
        <v>2.5660492421988774</v>
      </c>
      <c r="KI213" s="473">
        <f t="shared" si="692"/>
        <v>-7.8181977823650186</v>
      </c>
      <c r="KJ213" s="473">
        <f t="shared" si="681"/>
        <v>46.178083269232616</v>
      </c>
      <c r="KK213" s="473">
        <f t="shared" si="682"/>
        <v>-1.8401938395925299</v>
      </c>
      <c r="KN213" s="544">
        <f t="shared" si="695"/>
        <v>2002</v>
      </c>
      <c r="KO213" s="541">
        <f t="shared" si="657"/>
        <v>2.3315435442037957E-2</v>
      </c>
      <c r="KP213" s="546">
        <f t="shared" si="658"/>
        <v>147.61212559067312</v>
      </c>
      <c r="KQ213" s="546">
        <f t="shared" si="659"/>
        <v>153.43072512411936</v>
      </c>
      <c r="KR213" s="548">
        <f t="shared" si="660"/>
        <v>2.8180485517849969</v>
      </c>
      <c r="KS213" s="548">
        <f t="shared" si="661"/>
        <v>2.7111788490225259</v>
      </c>
      <c r="KT213" s="473">
        <f t="shared" si="693"/>
        <v>843.26993010479111</v>
      </c>
      <c r="KU213" s="663">
        <f t="shared" si="683"/>
        <v>4.500823699501832</v>
      </c>
      <c r="KV213" s="117" t="e">
        <f>RANK(KU213,$KU$109:$KU$200)</f>
        <v>#N/A</v>
      </c>
    </row>
    <row r="214" spans="1:308" s="26" customFormat="1" ht="15">
      <c r="A214" s="561">
        <f t="shared" si="662"/>
        <v>2014</v>
      </c>
      <c r="B214" s="561">
        <f t="shared" si="684"/>
        <v>14</v>
      </c>
      <c r="C214" s="561">
        <f t="shared" si="105"/>
        <v>2</v>
      </c>
      <c r="D214" s="561" t="str">
        <f t="shared" si="704"/>
        <v xml:space="preserve">0/0/0/3.9, </v>
      </c>
      <c r="E214" s="115">
        <f>INDEX(Input!$1:$1048576,E$93,$C214*2+MIN($B214,2)+5)</f>
        <v>1269.7618664521319</v>
      </c>
      <c r="F214" s="115">
        <f>INDEX(Input!$1:$1048576,F$93,$C214*2+MIN($B214,2)+5)</f>
        <v>0</v>
      </c>
      <c r="G214" s="115">
        <f>INDEX(Input!$1:$1048576,G$93,$C214*2+MIN($B214,2)+5)</f>
        <v>0</v>
      </c>
      <c r="H214" s="115">
        <f>INDEX(Input!$1:$1048576,H$93,$C214*2+MIN($B214,2)+5)</f>
        <v>0</v>
      </c>
      <c r="I214" s="118">
        <f>INDEX(Input!$1:$1048576,I$93,$C214*2+MIN($B214,2)+5)</f>
        <v>0.7</v>
      </c>
      <c r="J214" s="476" t="str">
        <f>INDEX(Input!$1:$1048576,J$93,$C214*2+MIN($B214,2)+5)</f>
        <v>Market</v>
      </c>
      <c r="K214" s="476" t="str">
        <f>INDEX(Input!$1:$1048576,K$93,$C214*2+MIN($B214,2)+5)</f>
        <v>Market</v>
      </c>
      <c r="L214" s="476" t="str">
        <f>INDEX(Input!$1:$1048576,L$93,$C214*2+MIN($B214,2)+5)</f>
        <v>Market</v>
      </c>
      <c r="M214" s="476" t="str">
        <f>INDEX(Input!$1:$1048576,M$93,$C214*2+MIN($B214,2)+5)</f>
        <v>Market</v>
      </c>
      <c r="N214" s="476" t="str">
        <f>INDEX(Input!$1:$1048576,N$93,$C214*2+MIN($B214,2)+5)</f>
        <v>Market</v>
      </c>
      <c r="O214" s="476" t="str">
        <f>INDEX(Input!$1:$1048576,O$93,$C214*2+MIN($B214,2)+5)</f>
        <v>Market</v>
      </c>
      <c r="P214" s="476" t="str">
        <f>INDEX(Input!$1:$1048576,P$93,$C214*2+MIN($B214,2)+5)</f>
        <v>N</v>
      </c>
      <c r="Q214" s="477">
        <f>INDEX(Input!$1:$1048576,Q$93,$C214*2+MIN($B214,2)+5)</f>
        <v>0</v>
      </c>
      <c r="R214" s="478">
        <f>IFERROR(MAX(0,INDEX(Input!$1:$1048576,R$93,$C214*2+MIN($B214,2)+5)-2%,),"Market")</f>
        <v>0</v>
      </c>
      <c r="S214" s="478">
        <f>IFERROR(MAX(0,INDEX(Input!$1:$1048576,S$93,$C214*2+MIN($B214,2)+5)-2%,),"Market")</f>
        <v>0</v>
      </c>
      <c r="T214" s="478">
        <f>IFERROR(MAX(0,INDEX(Input!$1:$1048576,T$93,$C214*2+MIN($B214,2)+5)-2%,),"Market")</f>
        <v>0</v>
      </c>
      <c r="U214" s="478">
        <f>IFERROR(MAX(0,INDEX(Input!$1:$1048576,U$93,$C214*2+MIN($B214,2)+5)-2%,),"Market")</f>
        <v>0</v>
      </c>
      <c r="V214" s="478">
        <f>IFERROR(MAX(0,INDEX(Input!$1:$1048576,V$93,$C214*2+MIN($B214,2)+5)-2%,),"Market")</f>
        <v>0</v>
      </c>
      <c r="W214" s="885">
        <f>IFERROR(MAX(0,INDEX(Input!$1:$1048576,W$93,$C214*2+MIN($B214,2)+5)-0%,),"Market")</f>
        <v>3.9E-2</v>
      </c>
      <c r="X214" s="476" t="str">
        <f>INDEX(Input!$1:$1048576,X$93,$C214*2+MIN($B214,2)+5)</f>
        <v>Y</v>
      </c>
      <c r="Y214" s="150">
        <f>INDEX(Input!$1:$1048576,Y$93,$C214*2+MIN($B214,2)+5)</f>
        <v>56</v>
      </c>
      <c r="Z214" s="30">
        <f>INDEX(Input!$1:$1048576,Z$93,$C214*2+MIN($B214,2)+5)</f>
        <v>0</v>
      </c>
      <c r="AA214" s="475">
        <f>INDEX(Input!$1:$1048576,AA$93,$C214*2+MIN($B214,2)+5)</f>
        <v>0</v>
      </c>
      <c r="AB214" s="118">
        <f>INDEX(Input!$1:$1048576,AB$93,$C214*2+MIN($B214,2)+5)</f>
        <v>0.27</v>
      </c>
      <c r="AC214" s="115">
        <f>INDEX(Input!$1:$1048576,AC$93,$C214*2+MIN($B214,2)+5)</f>
        <v>0</v>
      </c>
      <c r="AD214" s="118">
        <f>INDEX(Input!$1:$1048576,AD$93,$C214*2+MIN($B214,2)+5)</f>
        <v>0.27</v>
      </c>
      <c r="AE214" s="115">
        <f>INDEX(Input!$1:$1048576,AE$93,$C214*2+MIN($B214,2)+5)</f>
        <v>0</v>
      </c>
      <c r="AF214" s="118">
        <f>INDEX(Input!$1:$1048576,AF$93,$C214*2+MIN($B214,2)+5)</f>
        <v>4.8000000000000001E-2</v>
      </c>
      <c r="AG214" s="115">
        <f>INDEX(Input!$1:$1048576,AG$93,$C214*2+MIN($B214,2)+5)</f>
        <v>500</v>
      </c>
      <c r="AH214" s="118">
        <f>INDEX(Input!$1:$1048576,AH$93,$C214*2+MIN($B214,2)+5)</f>
        <v>0.94599999999999995</v>
      </c>
      <c r="AI214" s="115">
        <f>INDEX(Input!$1:$1048576,AI$93,$C214*2+MIN($B214,2)+5)</f>
        <v>0</v>
      </c>
      <c r="AJ214" s="118">
        <f>INDEX(Input!$1:$1048576,AJ$93,$C214*2+MIN($B214,2)+5)</f>
        <v>0.27</v>
      </c>
      <c r="AK214" s="150">
        <f>ROUND(INDEX(Input!$1:$1048576,AK$93,$C213*2+MIN($B214,1)+5)+(Y214-VLOOKUP($C214*1000+1,$A:$HH,Y$92,FALSE)),0)</f>
        <v>2977</v>
      </c>
      <c r="AL214" s="150">
        <f>ROUND(INDEX(Input!$1:$1048576,AL$93,$C213*2+MIN($B214,1)+5)-(Y214-VLOOKUP($C214*1000+1,$A:$HH,Y$92,FALSE))/36,0)</f>
        <v>3395</v>
      </c>
      <c r="AM214" s="32" t="str">
        <f t="shared" si="663"/>
        <v>std/std/std/std</v>
      </c>
      <c r="AN214" s="32" t="str">
        <f t="shared" si="664"/>
        <v>$0 + 0/0/0/0/3.9</v>
      </c>
      <c r="AO214" s="32" t="str">
        <f t="shared" si="665"/>
        <v>0/0/0/0/3.9</v>
      </c>
      <c r="AP214" s="32" t="str">
        <f t="shared" si="498"/>
        <v>0/0/0/3.9</v>
      </c>
      <c r="AQ214" s="536">
        <f t="shared" si="497"/>
        <v>0.32653401583521152</v>
      </c>
      <c r="AR214" s="32"/>
      <c r="AS214" s="302"/>
      <c r="AT214" s="3">
        <f t="shared" si="106"/>
        <v>14</v>
      </c>
      <c r="AU214" s="41" t="s">
        <v>121</v>
      </c>
      <c r="AV214" s="41" t="s">
        <v>116</v>
      </c>
      <c r="AW214" s="41" t="str">
        <f>INDEX(Input!$1:$1048576,AW$93,$C214*2+6)</f>
        <v>Kia</v>
      </c>
      <c r="AX214" s="41" t="str">
        <f>INDEX(Input!$1:$1048576,AX$93,$C214*2+6)</f>
        <v>Kia-LR - L2</v>
      </c>
      <c r="AY214" s="41" t="str">
        <f>IF(LEN(D214)=0,"",INDEX(Input!$1:$1048576,AY$93,$C214*2+6))</f>
        <v>Compact SUV (52)</v>
      </c>
      <c r="AZ214" s="41" t="str">
        <f>INDEX(Input!$1:$1048576,AZ$93,$C214*2+6)</f>
        <v>Kia Soul</v>
      </c>
      <c r="BA214" s="3">
        <f>INDEX(Input!$1:$1048576,BA$93,$C214*2+6)</f>
        <v>2020</v>
      </c>
      <c r="BB214" s="128">
        <f>INDEX(Input!$1:$1048576,BB$93,$C214*2+6)</f>
        <v>1</v>
      </c>
      <c r="BC214" s="128">
        <f>INDEX(Input!$1:$1048576,BC$93,$C214*2+6)</f>
        <v>0.7</v>
      </c>
      <c r="BD214" s="1">
        <f>INDEX(Input!$1:$1048576,BD$93,$C214*2+6)</f>
        <v>4.4999999999999998E-2</v>
      </c>
      <c r="BE214" s="1">
        <f>INDEX(Input!$1:$1048576,BE$93,$C214*2+6)</f>
        <v>4.4999999999999998E-2</v>
      </c>
      <c r="BF214" s="1">
        <f>INDEX(Input!$1:$1048576,BF$93,$C214*2+6)</f>
        <v>0.05</v>
      </c>
      <c r="BG214" s="1">
        <f>INDEX(Input!$1:$1048576,BG$93,$C214*2+6)</f>
        <v>5.45E-2</v>
      </c>
      <c r="BH214" s="1">
        <f>INDEX(Input!$1:$1048576,BH$93,$C214*2+6)</f>
        <v>5.45E-2</v>
      </c>
      <c r="BI214" s="1">
        <f>INDEX(Input!$1:$1048576,BI$93,$C214*2+6)</f>
        <v>0.05</v>
      </c>
      <c r="BJ214" s="1">
        <f>INDEX(Input!$1:$1048576,BJ$93,$C214*2+6)</f>
        <v>0.05</v>
      </c>
      <c r="BK214" s="1">
        <f>INDEX(Input!$1:$1048576,BK$93,$C214*2+6)</f>
        <v>0.05</v>
      </c>
      <c r="BL214" s="1">
        <f>INDEX(Input!$1:$1048576,BL$93,$C214*2+6)</f>
        <v>5.5E-2</v>
      </c>
      <c r="BM214" s="1">
        <f>INDEX(Input!$1:$1048576,BM$93,$C214*2+6)</f>
        <v>0.06</v>
      </c>
      <c r="BN214" s="1">
        <f>INDEX(Input!$1:$1048576,BN$93,$C214*2+6)</f>
        <v>4.4999999999999998E-2</v>
      </c>
      <c r="BO214" s="1">
        <f>INDEX(Input!$1:$1048576,BO$93,$C214*2+6)</f>
        <v>4.4999999999999998E-2</v>
      </c>
      <c r="BP214" s="1">
        <f>INDEX(Input!$1:$1048576,BP$93,$C214*2+6)</f>
        <v>0.05</v>
      </c>
      <c r="BQ214" s="1">
        <f>INDEX(Input!$1:$1048576,BQ$93,$C214*2+6)</f>
        <v>5.45E-2</v>
      </c>
      <c r="BR214" s="1">
        <f>INDEX(Input!$1:$1048576,BR$93,$C214*2+6)</f>
        <v>5.45E-2</v>
      </c>
      <c r="BS214" s="1">
        <f>INDEX(Input!$1:$1048576,BS$93,$C214*2+6)</f>
        <v>0.05</v>
      </c>
      <c r="BT214" s="1">
        <f>INDEX(Input!$1:$1048576,BT$93,$C214*2+6)</f>
        <v>0.05</v>
      </c>
      <c r="BU214" s="1">
        <f>INDEX(Input!$1:$1048576,BU$93,$C214*2+6)</f>
        <v>0.05</v>
      </c>
      <c r="BV214" s="1">
        <f>INDEX(Input!$1:$1048576,BV$93,$C214*2+6)</f>
        <v>5.5E-2</v>
      </c>
      <c r="BW214" s="1">
        <f>INDEX(Input!$1:$1048576,BW$93,$C214*2+6)</f>
        <v>0.06</v>
      </c>
      <c r="BX214" s="127">
        <f>INDEX(Input!$1:$1048576,BX$93,$C214*2+6)</f>
        <v>19985</v>
      </c>
      <c r="BY214" s="20">
        <f>INDEX(Input!$1:$1048576,BY$93,$C214*2+6)</f>
        <v>0.1</v>
      </c>
      <c r="BZ214" s="20">
        <f>INDEX(Input!$1:$1048576,BZ$93,$C214*2+6)</f>
        <v>0.1</v>
      </c>
      <c r="CA214" s="20">
        <f>INDEX(Input!$1:$1048576,CA$93,$C214*2+6)</f>
        <v>0.1</v>
      </c>
      <c r="CB214" s="20">
        <f>INDEX(Input!$1:$1048576,CB$93,$C214*2+6)</f>
        <v>0.1</v>
      </c>
      <c r="CC214" s="20">
        <f>INDEX(Input!$1:$1048576,CC$93,$C214*2+6)</f>
        <v>0.1</v>
      </c>
      <c r="CD214" s="384">
        <f>INDEX(Input!$1:$1048576,CD$93,$C214*2+6)</f>
        <v>0.1</v>
      </c>
      <c r="CE214" s="384">
        <f>INDEX(Input!$1:$1048576,CE$93,$C214*2+6)</f>
        <v>0.1</v>
      </c>
      <c r="CF214" s="384">
        <f>INDEX(Input!$1:$1048576,CF$93,$C214*2+6)</f>
        <v>0.1</v>
      </c>
      <c r="CG214" s="384">
        <f>INDEX(Input!$1:$1048576,CG$93,$C214*2+6)</f>
        <v>0.1</v>
      </c>
      <c r="CH214" s="384">
        <f>INDEX(Input!$1:$1048576,CH$93,$C214*2+6)</f>
        <v>0.1</v>
      </c>
      <c r="CI214" s="304">
        <f t="shared" si="499"/>
        <v>1269.7618664521319</v>
      </c>
      <c r="CJ214" s="16" t="str">
        <f>INDEX(Input!$1:$1048576,CJ$93,$C214*2+6)</f>
        <v>N</v>
      </c>
      <c r="CK214" s="1" t="str">
        <f t="shared" si="500"/>
        <v>Market</v>
      </c>
      <c r="CL214" s="1" t="str">
        <f t="shared" si="501"/>
        <v>Market</v>
      </c>
      <c r="CM214" s="1" t="str">
        <f t="shared" si="502"/>
        <v>Market</v>
      </c>
      <c r="CN214" s="1" t="str">
        <f t="shared" si="503"/>
        <v>Market</v>
      </c>
      <c r="CO214" s="1" t="str">
        <f t="shared" si="504"/>
        <v>Market</v>
      </c>
      <c r="CP214" s="304">
        <f t="shared" si="505"/>
        <v>473</v>
      </c>
      <c r="CQ214" s="1">
        <f t="shared" si="506"/>
        <v>0</v>
      </c>
      <c r="CR214" s="1">
        <f t="shared" si="507"/>
        <v>0</v>
      </c>
      <c r="CS214" s="1">
        <f t="shared" si="508"/>
        <v>0</v>
      </c>
      <c r="CT214" s="1">
        <f t="shared" si="509"/>
        <v>0</v>
      </c>
      <c r="CU214" s="1">
        <f t="shared" si="510"/>
        <v>3.9E-2</v>
      </c>
      <c r="CV214" s="304">
        <f t="shared" si="511"/>
        <v>56</v>
      </c>
      <c r="CW214" s="20" t="s">
        <v>122</v>
      </c>
      <c r="CX214" s="20" t="s">
        <v>122</v>
      </c>
      <c r="CY214" s="20" t="s">
        <v>122</v>
      </c>
      <c r="CZ214" s="20" t="s">
        <v>122</v>
      </c>
      <c r="DA214" s="20" t="s">
        <v>122</v>
      </c>
      <c r="DB214" s="503">
        <f t="shared" si="512"/>
        <v>0</v>
      </c>
      <c r="DC214" s="127">
        <v>0</v>
      </c>
      <c r="DD214" s="127">
        <v>0</v>
      </c>
      <c r="DE214" s="127">
        <v>0</v>
      </c>
      <c r="DF214" s="127">
        <v>0</v>
      </c>
      <c r="DG214" s="127">
        <v>0</v>
      </c>
      <c r="DH214" s="127">
        <v>0</v>
      </c>
      <c r="DI214" s="127">
        <v>0</v>
      </c>
      <c r="DJ214" s="127">
        <v>0</v>
      </c>
      <c r="DK214" s="127">
        <v>0</v>
      </c>
      <c r="DL214" s="127">
        <v>0</v>
      </c>
      <c r="DM214" s="304">
        <f>INDEX(Input!$1:$1048576,DM$93,$C214*2+6)</f>
        <v>21036.84210526316</v>
      </c>
      <c r="DN214" s="20">
        <v>0</v>
      </c>
      <c r="DO214" s="20">
        <v>0</v>
      </c>
      <c r="DP214" s="20">
        <v>0</v>
      </c>
      <c r="DQ214" s="20">
        <v>0</v>
      </c>
      <c r="DR214" s="20">
        <v>0</v>
      </c>
      <c r="DS214" s="20">
        <f>INDEX(Input!$1:$1048576,DS$93,$C214*2+6)</f>
        <v>0.6</v>
      </c>
      <c r="DT214" s="20">
        <f>INDEX(Input!$1:$1048576,DT$93,$C214*2+6)</f>
        <v>0.55000000000000004</v>
      </c>
      <c r="DU214" s="20">
        <f>INDEX(Input!$1:$1048576,DU$93,$C214*2+6)</f>
        <v>0.52</v>
      </c>
      <c r="DV214" s="20">
        <f>INDEX(Input!$1:$1048576,DV$93,$C214*2+6)</f>
        <v>0.5</v>
      </c>
      <c r="DW214" s="20">
        <f>INDEX(Input!$1:$1048576,DW$93,$C214*2+6)</f>
        <v>0.45</v>
      </c>
      <c r="DX214" s="20"/>
      <c r="DY214" s="7">
        <v>8.9278922540123831E-2</v>
      </c>
      <c r="DZ214" s="7">
        <v>0</v>
      </c>
      <c r="EA214" s="7">
        <v>0.63248042593193499</v>
      </c>
      <c r="EB214" s="7">
        <v>0</v>
      </c>
      <c r="EC214" s="7">
        <v>0</v>
      </c>
      <c r="ED214" s="7">
        <v>0</v>
      </c>
      <c r="EE214" s="7">
        <v>0</v>
      </c>
      <c r="EF214" s="7">
        <v>0</v>
      </c>
      <c r="EG214" s="7">
        <v>0</v>
      </c>
      <c r="EH214" s="7">
        <v>8.7696485018434779E-3</v>
      </c>
      <c r="EI214" s="7">
        <v>2.4960667308072046E-2</v>
      </c>
      <c r="EJ214" s="7">
        <v>0.18889505752786168</v>
      </c>
      <c r="EK214" s="7">
        <v>0.70902261372595299</v>
      </c>
      <c r="EL214" s="7">
        <v>6.8352012936269066E-2</v>
      </c>
      <c r="EM214" s="7">
        <v>8.9965034989533302E-2</v>
      </c>
      <c r="EN214" s="7">
        <v>6.5539268114932089E-2</v>
      </c>
      <c r="EO214" s="7">
        <v>0.73221341107955351</v>
      </c>
      <c r="EP214" s="7">
        <v>8.7597341225358005E-2</v>
      </c>
      <c r="EQ214" s="7">
        <v>7.4716897618910177E-2</v>
      </c>
      <c r="ER214" s="7">
        <v>3.9933081961246113E-2</v>
      </c>
      <c r="ES214" s="7">
        <v>0.18827561653840796</v>
      </c>
      <c r="ET214" s="7">
        <v>0.27824065152794109</v>
      </c>
      <c r="EU214" s="6">
        <v>1294</v>
      </c>
      <c r="EV214" s="6">
        <v>0</v>
      </c>
      <c r="EW214" s="6">
        <v>1294</v>
      </c>
      <c r="EX214" s="6">
        <v>0</v>
      </c>
      <c r="EY214" s="6">
        <v>2698.0591985876367</v>
      </c>
      <c r="EZ214" s="6">
        <v>946</v>
      </c>
      <c r="FA214" s="6">
        <v>0</v>
      </c>
      <c r="FB214" s="6">
        <v>0</v>
      </c>
      <c r="FC214" s="6">
        <v>0</v>
      </c>
      <c r="FD214" s="6">
        <v>0</v>
      </c>
      <c r="FE214" s="6">
        <v>0</v>
      </c>
      <c r="FF214" s="6">
        <v>0</v>
      </c>
      <c r="FG214" s="6">
        <v>0</v>
      </c>
      <c r="FH214" s="6">
        <v>1173.7313591253376</v>
      </c>
      <c r="FI214" s="6">
        <v>1553.9796069512399</v>
      </c>
      <c r="FJ214" s="6">
        <v>2101.211011744741</v>
      </c>
      <c r="FK214" s="6">
        <v>2674.2006261592273</v>
      </c>
      <c r="FL214" s="6">
        <v>907.07682140966313</v>
      </c>
      <c r="FM214" s="6">
        <v>2404.0591985876367</v>
      </c>
      <c r="FN214" s="6">
        <v>0</v>
      </c>
      <c r="FO214" s="6">
        <v>0</v>
      </c>
      <c r="FP214" s="6">
        <v>0</v>
      </c>
      <c r="FQ214" s="6">
        <v>0</v>
      </c>
      <c r="FR214" s="6">
        <v>0</v>
      </c>
      <c r="FS214" s="6">
        <v>0</v>
      </c>
      <c r="FT214" s="7">
        <v>0.7217593484720588</v>
      </c>
      <c r="FU214" s="7">
        <v>8.9965034989533302E-2</v>
      </c>
      <c r="FV214" s="7">
        <v>0.18827561653840796</v>
      </c>
      <c r="FW214" s="6">
        <v>1294</v>
      </c>
      <c r="FX214" s="6">
        <v>2698.0591985876367</v>
      </c>
      <c r="FY214" s="6">
        <v>946</v>
      </c>
      <c r="FZ214" s="6">
        <v>1817.4615072224267</v>
      </c>
      <c r="GA214" s="6">
        <v>1354.7963203729471</v>
      </c>
      <c r="GB214" s="6">
        <v>18630.203679627051</v>
      </c>
      <c r="GC214" s="7">
        <v>1.804905384453976E-2</v>
      </c>
      <c r="GD214" s="7">
        <v>1.733100455733504E-2</v>
      </c>
      <c r="GE214" s="7"/>
      <c r="GF214" s="7"/>
      <c r="GG214" s="7">
        <v>-3.9783209324401568E-2</v>
      </c>
      <c r="GH214" s="42">
        <v>1.7184509683172406</v>
      </c>
      <c r="GI214" s="6">
        <v>12984.456036279715</v>
      </c>
      <c r="GJ214" s="14">
        <v>0.50394797582841711</v>
      </c>
      <c r="GK214" s="14">
        <v>0.50887573065309721</v>
      </c>
      <c r="GL214" s="14">
        <v>0.49605202417158245</v>
      </c>
      <c r="GM214" s="14">
        <v>0.49112426934690234</v>
      </c>
      <c r="GO214" s="5">
        <v>343.14810671672558</v>
      </c>
      <c r="GP214" s="5">
        <v>318.46105531198077</v>
      </c>
      <c r="GQ214" s="5">
        <v>535.04305713031317</v>
      </c>
      <c r="GR214" s="5">
        <v>410.15490233172511</v>
      </c>
      <c r="GS214" s="5">
        <v>339.42744393800166</v>
      </c>
      <c r="GT214" s="5">
        <v>293.4407446948278</v>
      </c>
      <c r="GU214" s="5">
        <v>258.04012322764959</v>
      </c>
      <c r="GV214" s="39" t="s">
        <v>392</v>
      </c>
      <c r="GW214" s="5">
        <v>491.45833333333331</v>
      </c>
      <c r="GX214" s="5">
        <v>368.59375</v>
      </c>
      <c r="GY214" s="5">
        <v>294.875</v>
      </c>
      <c r="GZ214" s="5">
        <v>245.72916666666666</v>
      </c>
      <c r="HA214" s="5">
        <v>241.02179695997205</v>
      </c>
      <c r="HB214" s="39">
        <v>259.91255389317917</v>
      </c>
      <c r="HC214" s="5">
        <v>245.89687499999999</v>
      </c>
      <c r="HD214" s="5">
        <v>211.55677997076018</v>
      </c>
      <c r="HE214" s="5">
        <v>214.73562331309037</v>
      </c>
      <c r="HF214" s="5">
        <v>199.03250548245612</v>
      </c>
      <c r="HG214" s="5">
        <v>192.49971491228069</v>
      </c>
      <c r="HH214" s="39">
        <v>212.38908061531899</v>
      </c>
      <c r="HI214" s="16"/>
      <c r="HJ214" s="19" t="str">
        <f t="shared" si="685"/>
        <v>On</v>
      </c>
      <c r="HK214" s="1" t="str">
        <f t="shared" si="685"/>
        <v>On</v>
      </c>
      <c r="HL214" s="16"/>
      <c r="HM214" s="639">
        <f t="shared" si="634"/>
        <v>1.2768706344444866E-2</v>
      </c>
      <c r="HN214" s="639">
        <f t="shared" si="635"/>
        <v>9.795534288915453E-4</v>
      </c>
      <c r="HO214" s="639">
        <f t="shared" si="636"/>
        <v>3.3583061774515237E-3</v>
      </c>
      <c r="HP214" s="644">
        <f>(FT214*$GD214-HM214)/$JF214*INDEX(Input!$1:$1048576,$JG$93,$C214*2+6)</f>
        <v>-18.884298104742804</v>
      </c>
      <c r="HQ214" s="644">
        <f>(FU214*$GD214-HN214)/$JF214*INDEX(Input!$1:$1048576,$JG$93,$C214*2+6)</f>
        <v>42.11723955562821</v>
      </c>
      <c r="HR214" s="644">
        <f>(FV214*$GD214-HO214)/$JF214*INDEX(Input!$1:$1048576,$JG$93,$C214*2+6)</f>
        <v>-6.9247479338106004</v>
      </c>
      <c r="HS214" s="644">
        <f t="shared" si="686"/>
        <v>-3.3717078792081572</v>
      </c>
      <c r="HT214" s="644">
        <f t="shared" si="638"/>
        <v>55.195793330913446</v>
      </c>
      <c r="HU214" s="644">
        <f t="shared" si="639"/>
        <v>1.8825165017739875</v>
      </c>
      <c r="HV214" s="648">
        <f t="shared" si="640"/>
        <v>0</v>
      </c>
      <c r="HW214" s="648">
        <f t="shared" si="641"/>
        <v>0</v>
      </c>
      <c r="HX214" s="648">
        <f t="shared" si="642"/>
        <v>0</v>
      </c>
      <c r="HY214" s="644">
        <f>INDEX(Input!$1:$1048576,HY$93,$C214*2+6)*INDEX(Input!$1:$1048576,$JG$93,$C214*2+6)</f>
        <v>451</v>
      </c>
      <c r="HZ214" s="644">
        <f>INDEX(Input!$1:$1048576,HZ$93,$C214*2+6)*INDEX(Input!$1:$1048576,$JG$93,$C214*2+6)</f>
        <v>577</v>
      </c>
      <c r="IA214" s="644">
        <f>INDEX(Input!$1:$1048576,IA$93,$C214*2+6)*INDEX(Input!$1:$1048576,$JG$93,$C214*2+6)</f>
        <v>215</v>
      </c>
      <c r="IB214" s="644">
        <f t="shared" si="666"/>
        <v>428.74399401604887</v>
      </c>
      <c r="IC214" s="644">
        <f t="shared" si="667"/>
        <v>674.31303288654169</v>
      </c>
      <c r="ID214" s="644">
        <f>IF(AND(INDEX(Input!$1:$1048576,IA$93,$C214*2+7)="TOS",Y214&lt;=INDEX(Y:Y,MATCH(C214*1000+2,A:A))),0,1)*MAX(IA214+HR214+HU214+HX214,0%)</f>
        <v>209.95776856796337</v>
      </c>
      <c r="IE214" s="128">
        <f t="shared" si="709"/>
        <v>0.32653401583521152</v>
      </c>
      <c r="IF214" s="128">
        <f t="shared" si="643"/>
        <v>0.51356087929297367</v>
      </c>
      <c r="IG214" s="128">
        <f t="shared" si="644"/>
        <v>0.15990510487181478</v>
      </c>
      <c r="IH214" s="21"/>
      <c r="II214" s="19">
        <f t="shared" si="645"/>
        <v>1252</v>
      </c>
      <c r="IJ214" s="19">
        <f t="shared" si="646"/>
        <v>2011.9658773055378</v>
      </c>
      <c r="IK214" s="19">
        <f t="shared" si="647"/>
        <v>919</v>
      </c>
      <c r="IL214" s="19">
        <f t="shared" si="669"/>
        <v>42</v>
      </c>
      <c r="IM214" s="19">
        <f t="shared" si="648"/>
        <v>686.09332128209894</v>
      </c>
      <c r="IN214" s="19">
        <f t="shared" si="649"/>
        <v>27</v>
      </c>
      <c r="IO214" s="39">
        <f t="shared" si="650"/>
        <v>0</v>
      </c>
      <c r="IP214" s="39">
        <f t="shared" si="651"/>
        <v>0</v>
      </c>
      <c r="IQ214" s="39">
        <f t="shared" si="652"/>
        <v>0</v>
      </c>
      <c r="IR214" s="39">
        <v>0</v>
      </c>
      <c r="IS214" s="39">
        <v>0</v>
      </c>
      <c r="IT214" s="39">
        <v>0</v>
      </c>
      <c r="IU214" s="39">
        <v>0</v>
      </c>
      <c r="IV214" s="39">
        <v>0</v>
      </c>
      <c r="IW214" s="39">
        <v>0</v>
      </c>
      <c r="IX214" s="39">
        <f>INDEX(Input!$1:$1048576,IX$93,$C214*2+6)+INDEX(Input!$1:$1048576,IX$94,$C214*2+6)</f>
        <v>1294</v>
      </c>
      <c r="IY214" s="39">
        <f>INDEX(Input!$1:$1048576,IY$93,$C214*2+6)+INDEX(Input!$1:$1048576,IY$94,$C214*2+6)</f>
        <v>2154.0624533823611</v>
      </c>
      <c r="IZ214" s="39">
        <f>INDEX(Input!$1:$1048576,IZ$93,$C214*2+6)+INDEX(Input!$1:$1048576,IZ$94,$C214*2+6)</f>
        <v>3677.7164157747848</v>
      </c>
      <c r="JA214" s="19">
        <f t="shared" si="670"/>
        <v>1336</v>
      </c>
      <c r="JB214" s="19">
        <f t="shared" si="671"/>
        <v>2840.1557746644603</v>
      </c>
      <c r="JC214" s="19">
        <f t="shared" si="672"/>
        <v>3704.7164157747848</v>
      </c>
      <c r="JD214" s="19">
        <f t="shared" si="673"/>
        <v>2487.24540910634</v>
      </c>
      <c r="JE214" s="21"/>
      <c r="JF214" s="1">
        <f t="shared" si="653"/>
        <v>1.7106565950787935E-2</v>
      </c>
      <c r="JG214" s="15">
        <f>INDEX(Input!$1:$1048576,JG$93,$C214*2+6)/(1+VLOOKUP(C214*1000+INDEX(Input!$1:$1048576,JG$93+1,$C214*2+6),$A:$KK,$JK$92,FALSE))</f>
        <v>1243</v>
      </c>
      <c r="JH214" s="1">
        <f t="shared" si="674"/>
        <v>1.3120026964661951E-2</v>
      </c>
      <c r="JI214" s="1">
        <f t="shared" si="675"/>
        <v>4.3207242118647848E-2</v>
      </c>
      <c r="JJ214" s="1">
        <f t="shared" ref="JJ214:JJ220" si="711">SUM(HV214:HX214)/SUM(HY214:IA214)</f>
        <v>0</v>
      </c>
      <c r="JK214" s="1">
        <f t="shared" si="710"/>
        <v>5.6327269083309803E-2</v>
      </c>
      <c r="JL214" s="15">
        <f t="shared" si="678"/>
        <v>70.014795470554091</v>
      </c>
      <c r="JM214" s="15">
        <f t="shared" si="702"/>
        <v>1313.0147954705542</v>
      </c>
      <c r="JN214" s="21"/>
      <c r="JO214" s="19">
        <f>INDEX(Input!$1:$1048576,JO$93,$C214*2+6)</f>
        <v>5995.5</v>
      </c>
      <c r="JP214" s="19">
        <f>INDEX(Input!$1:$1048576,JP$93,$C214*2+6)</f>
        <v>2105.548724853742</v>
      </c>
      <c r="JQ214" s="39">
        <f t="shared" si="688"/>
        <v>3508.25459089366</v>
      </c>
      <c r="JR214" s="39">
        <f t="shared" si="705"/>
        <v>381.69668425259806</v>
      </c>
      <c r="JS214" s="39">
        <f t="shared" si="690"/>
        <v>3.2657900221228355</v>
      </c>
      <c r="JT214" s="39">
        <f t="shared" si="680"/>
        <v>0.6485929571296345</v>
      </c>
      <c r="JU214" s="385">
        <f>(JQ214*JM214-INDEX(Input!$1:$1048576,Input!A$18,$C214*2+6)*JL214*INDEX(Input!$1:$1048576,Input!A$19,$C214*2+6))/1000000</f>
        <v>4.6063901841208716</v>
      </c>
      <c r="JV214" s="39">
        <f t="shared" ref="JV214:JV277" si="712">JU214-(JO214-JP214)*JG214/1000000</f>
        <v>-0.22881925088592681</v>
      </c>
      <c r="JW214" s="1">
        <f t="shared" si="703"/>
        <v>-4.732354491809207E-2</v>
      </c>
      <c r="JX214" s="19">
        <f t="shared" si="694"/>
        <v>9263.6556712132551</v>
      </c>
      <c r="JZ214" s="341"/>
      <c r="KA214" s="342"/>
      <c r="KB214" s="469">
        <f t="shared" si="691"/>
        <v>2.5660492421988774</v>
      </c>
      <c r="KI214" s="473">
        <f t="shared" si="692"/>
        <v>-22.256005983951013</v>
      </c>
      <c r="KJ214" s="473">
        <f t="shared" si="681"/>
        <v>97.313032886541805</v>
      </c>
      <c r="KK214" s="473">
        <f t="shared" si="682"/>
        <v>-5.0422314320366013</v>
      </c>
      <c r="KN214" s="544">
        <f t="shared" si="695"/>
        <v>2002</v>
      </c>
      <c r="KO214" s="541">
        <f t="shared" si="657"/>
        <v>5.0103656817488407E-2</v>
      </c>
      <c r="KP214" s="546">
        <f t="shared" si="658"/>
        <v>330.78054870122594</v>
      </c>
      <c r="KQ214" s="546">
        <f t="shared" si="659"/>
        <v>343.56506967286714</v>
      </c>
      <c r="KR214" s="548">
        <f t="shared" si="660"/>
        <v>2.7024423320959956</v>
      </c>
      <c r="KS214" s="548">
        <f t="shared" si="661"/>
        <v>2.6018807974142852</v>
      </c>
      <c r="KT214" s="473">
        <f t="shared" si="693"/>
        <v>843.26993010479111</v>
      </c>
      <c r="KU214" s="663">
        <f t="shared" si="683"/>
        <v>4.4759198444435269</v>
      </c>
      <c r="KV214" s="117" t="e">
        <f t="shared" ref="KV214:KV218" si="713">RANK(KU214,$KU$109:$KU$200)</f>
        <v>#N/A</v>
      </c>
    </row>
    <row r="215" spans="1:308" s="26" customFormat="1" ht="15">
      <c r="A215" s="561">
        <f t="shared" si="662"/>
        <v>2015</v>
      </c>
      <c r="B215" s="561">
        <f t="shared" si="684"/>
        <v>15</v>
      </c>
      <c r="C215" s="561">
        <f t="shared" si="105"/>
        <v>2</v>
      </c>
      <c r="D215" s="561" t="str">
        <f t="shared" si="704"/>
        <v xml:space="preserve">500 Combo, </v>
      </c>
      <c r="E215" s="115">
        <f>INDEX(Input!$1:$1048576,E$93,$C215*2+MIN($B215,2)+5)</f>
        <v>1269.7618664521319</v>
      </c>
      <c r="F215" s="115">
        <f>INDEX(Input!$1:$1048576,F$93,$C215*2+MIN($B215,2)+5)</f>
        <v>0</v>
      </c>
      <c r="G215" s="115">
        <f>INDEX(Input!$1:$1048576,G$93,$C215*2+MIN($B215,2)+5)</f>
        <v>0</v>
      </c>
      <c r="H215" s="115">
        <f>INDEX(Input!$1:$1048576,H$93,$C215*2+MIN($B215,2)+5)</f>
        <v>0</v>
      </c>
      <c r="I215" s="118">
        <f>INDEX(Input!$1:$1048576,I$93,$C215*2+MIN($B215,2)+5)</f>
        <v>0.7</v>
      </c>
      <c r="J215" s="476" t="str">
        <f>INDEX(Input!$1:$1048576,J$93,$C215*2+MIN($B215,2)+5)</f>
        <v>Market</v>
      </c>
      <c r="K215" s="476" t="str">
        <f>INDEX(Input!$1:$1048576,K$93,$C215*2+MIN($B215,2)+5)</f>
        <v>Market</v>
      </c>
      <c r="L215" s="476" t="str">
        <f>INDEX(Input!$1:$1048576,L$93,$C215*2+MIN($B215,2)+5)</f>
        <v>Market</v>
      </c>
      <c r="M215" s="476" t="str">
        <f>INDEX(Input!$1:$1048576,M$93,$C215*2+MIN($B215,2)+5)</f>
        <v>Market</v>
      </c>
      <c r="N215" s="476" t="str">
        <f>INDEX(Input!$1:$1048576,N$93,$C215*2+MIN($B215,2)+5)</f>
        <v>Market</v>
      </c>
      <c r="O215" s="476" t="str">
        <f>INDEX(Input!$1:$1048576,O$93,$C215*2+MIN($B215,2)+5)</f>
        <v>Market</v>
      </c>
      <c r="P215" s="476" t="str">
        <f>INDEX(Input!$1:$1048576,P$93,$C215*2+MIN($B215,2)+5)</f>
        <v>N</v>
      </c>
      <c r="Q215" s="477">
        <f>INDEX(Input!$1:$1048576,Q$93,$C215*2+MIN($B215,2)+5)+500</f>
        <v>500</v>
      </c>
      <c r="R215" s="478">
        <f>IFERROR(MAX(0,INDEX(Input!$1:$1048576,R$93,$C215*2+MIN($B215,2)+5)-0%,),"Market")</f>
        <v>0</v>
      </c>
      <c r="S215" s="478">
        <f>IFERROR(MAX(0,INDEX(Input!$1:$1048576,S$93,$C215*2+MIN($B215,2)+5)-0%,),"Market")</f>
        <v>0</v>
      </c>
      <c r="T215" s="478">
        <f>IFERROR(MAX(0,INDEX(Input!$1:$1048576,T$93,$C215*2+MIN($B215,2)+5)-0%,),"Market")</f>
        <v>0</v>
      </c>
      <c r="U215" s="478">
        <f>IFERROR(MAX(0,INDEX(Input!$1:$1048576,U$93,$C215*2+MIN($B215,2)+5)-0%,),"Market")</f>
        <v>0</v>
      </c>
      <c r="V215" s="478">
        <f>IFERROR(MAX(0,INDEX(Input!$1:$1048576,V$93,$C215*2+MIN($B215,2)+5)-0%,),"Market")</f>
        <v>1.9E-2</v>
      </c>
      <c r="W215" s="885">
        <f>IFERROR(MAX(0,INDEX(Input!$1:$1048576,W$93,$C215*2+MIN($B215,2)+5)-0%,),"Market")</f>
        <v>3.9E-2</v>
      </c>
      <c r="X215" s="476" t="str">
        <f>INDEX(Input!$1:$1048576,X$93,$C215*2+MIN($B215,2)+5)</f>
        <v>Y</v>
      </c>
      <c r="Y215" s="150">
        <f>INDEX(Input!$1:$1048576,Y$93,$C215*2+MIN($B215,2)+5)</f>
        <v>56</v>
      </c>
      <c r="Z215" s="30">
        <f>INDEX(Input!$1:$1048576,Z$93,$C215*2+MIN($B215,2)+5)</f>
        <v>0</v>
      </c>
      <c r="AA215" s="475">
        <f>INDEX(Input!$1:$1048576,AA$93,$C215*2+MIN($B215,2)+5)</f>
        <v>0</v>
      </c>
      <c r="AB215" s="118">
        <f>INDEX(Input!$1:$1048576,AB$93,$C215*2+MIN($B215,2)+5)</f>
        <v>0.27</v>
      </c>
      <c r="AC215" s="115">
        <f>INDEX(Input!$1:$1048576,AC$93,$C215*2+MIN($B215,2)+5)</f>
        <v>0</v>
      </c>
      <c r="AD215" s="118">
        <f>INDEX(Input!$1:$1048576,AD$93,$C215*2+MIN($B215,2)+5)</f>
        <v>0.27</v>
      </c>
      <c r="AE215" s="115">
        <f>INDEX(Input!$1:$1048576,AE$93,$C215*2+MIN($B215,2)+5)</f>
        <v>0</v>
      </c>
      <c r="AF215" s="118">
        <f>INDEX(Input!$1:$1048576,AF$93,$C215*2+MIN($B215,2)+5)</f>
        <v>4.8000000000000001E-2</v>
      </c>
      <c r="AG215" s="115">
        <f>INDEX(Input!$1:$1048576,AG$93,$C215*2+MIN($B215,2)+5)</f>
        <v>500</v>
      </c>
      <c r="AH215" s="118">
        <f>INDEX(Input!$1:$1048576,AH$93,$C215*2+MIN($B215,2)+5)</f>
        <v>0.94599999999999995</v>
      </c>
      <c r="AI215" s="115">
        <f>INDEX(Input!$1:$1048576,AI$93,$C215*2+MIN($B215,2)+5)</f>
        <v>0</v>
      </c>
      <c r="AJ215" s="118">
        <f>INDEX(Input!$1:$1048576,AJ$93,$C215*2+MIN($B215,2)+5)</f>
        <v>0.27</v>
      </c>
      <c r="AK215" s="150">
        <f>ROUND(INDEX(Input!$1:$1048576,AK$93,$C214*2+MIN($B215,1)+5)+(Y215-VLOOKUP($C215*1000+1,$A:$HH,Y$92,FALSE)),0)</f>
        <v>2977</v>
      </c>
      <c r="AL215" s="150">
        <f>ROUND(INDEX(Input!$1:$1048576,AL$93,$C214*2+MIN($B215,1)+5)-(Y215-VLOOKUP($C215*1000+1,$A:$HH,Y$92,FALSE))/36,0)</f>
        <v>3395</v>
      </c>
      <c r="AM215" s="32" t="str">
        <f t="shared" si="663"/>
        <v>std/std/std/std</v>
      </c>
      <c r="AN215" s="32" t="str">
        <f t="shared" si="664"/>
        <v>$500 + 0/0/0/1.9/3.9</v>
      </c>
      <c r="AO215" s="32" t="str">
        <f t="shared" si="665"/>
        <v>0/0/0/1.9/3.9</v>
      </c>
      <c r="AP215" s="32" t="str">
        <f t="shared" si="498"/>
        <v>0/0.9/1.9/3.9</v>
      </c>
      <c r="AQ215" s="536">
        <f t="shared" si="497"/>
        <v>0.34016437429871799</v>
      </c>
      <c r="AR215" s="32"/>
      <c r="AS215" s="302"/>
      <c r="AT215" s="3">
        <f t="shared" si="106"/>
        <v>15</v>
      </c>
      <c r="AU215" s="41" t="s">
        <v>121</v>
      </c>
      <c r="AV215" s="41" t="s">
        <v>116</v>
      </c>
      <c r="AW215" s="41" t="str">
        <f>INDEX(Input!$1:$1048576,AW$93,$C215*2+6)</f>
        <v>Kia</v>
      </c>
      <c r="AX215" s="41" t="str">
        <f>INDEX(Input!$1:$1048576,AX$93,$C215*2+6)</f>
        <v>Kia-LR - L2</v>
      </c>
      <c r="AY215" s="41" t="str">
        <f>IF(LEN(D215)=0,"",INDEX(Input!$1:$1048576,AY$93,$C215*2+6))</f>
        <v>Compact SUV (52)</v>
      </c>
      <c r="AZ215" s="41" t="str">
        <f>INDEX(Input!$1:$1048576,AZ$93,$C215*2+6)</f>
        <v>Kia Soul</v>
      </c>
      <c r="BA215" s="3">
        <f>INDEX(Input!$1:$1048576,BA$93,$C215*2+6)</f>
        <v>2020</v>
      </c>
      <c r="BB215" s="128">
        <f>INDEX(Input!$1:$1048576,BB$93,$C215*2+6)</f>
        <v>1</v>
      </c>
      <c r="BC215" s="128">
        <f>INDEX(Input!$1:$1048576,BC$93,$C215*2+6)</f>
        <v>0.7</v>
      </c>
      <c r="BD215" s="1">
        <f>INDEX(Input!$1:$1048576,BD$93,$C215*2+6)</f>
        <v>4.4999999999999998E-2</v>
      </c>
      <c r="BE215" s="1">
        <f>INDEX(Input!$1:$1048576,BE$93,$C215*2+6)</f>
        <v>4.4999999999999998E-2</v>
      </c>
      <c r="BF215" s="1">
        <f>INDEX(Input!$1:$1048576,BF$93,$C215*2+6)</f>
        <v>0.05</v>
      </c>
      <c r="BG215" s="1">
        <f>INDEX(Input!$1:$1048576,BG$93,$C215*2+6)</f>
        <v>5.45E-2</v>
      </c>
      <c r="BH215" s="1">
        <f>INDEX(Input!$1:$1048576,BH$93,$C215*2+6)</f>
        <v>5.45E-2</v>
      </c>
      <c r="BI215" s="1">
        <f>INDEX(Input!$1:$1048576,BI$93,$C215*2+6)</f>
        <v>0.05</v>
      </c>
      <c r="BJ215" s="1">
        <f>INDEX(Input!$1:$1048576,BJ$93,$C215*2+6)</f>
        <v>0.05</v>
      </c>
      <c r="BK215" s="1">
        <f>INDEX(Input!$1:$1048576,BK$93,$C215*2+6)</f>
        <v>0.05</v>
      </c>
      <c r="BL215" s="1">
        <f>INDEX(Input!$1:$1048576,BL$93,$C215*2+6)</f>
        <v>5.5E-2</v>
      </c>
      <c r="BM215" s="1">
        <f>INDEX(Input!$1:$1048576,BM$93,$C215*2+6)</f>
        <v>0.06</v>
      </c>
      <c r="BN215" s="1">
        <f>INDEX(Input!$1:$1048576,BN$93,$C215*2+6)</f>
        <v>4.4999999999999998E-2</v>
      </c>
      <c r="BO215" s="1">
        <f>INDEX(Input!$1:$1048576,BO$93,$C215*2+6)</f>
        <v>4.4999999999999998E-2</v>
      </c>
      <c r="BP215" s="1">
        <f>INDEX(Input!$1:$1048576,BP$93,$C215*2+6)</f>
        <v>0.05</v>
      </c>
      <c r="BQ215" s="1">
        <f>INDEX(Input!$1:$1048576,BQ$93,$C215*2+6)</f>
        <v>5.45E-2</v>
      </c>
      <c r="BR215" s="1">
        <f>INDEX(Input!$1:$1048576,BR$93,$C215*2+6)</f>
        <v>5.45E-2</v>
      </c>
      <c r="BS215" s="1">
        <f>INDEX(Input!$1:$1048576,BS$93,$C215*2+6)</f>
        <v>0.05</v>
      </c>
      <c r="BT215" s="1">
        <f>INDEX(Input!$1:$1048576,BT$93,$C215*2+6)</f>
        <v>0.05</v>
      </c>
      <c r="BU215" s="1">
        <f>INDEX(Input!$1:$1048576,BU$93,$C215*2+6)</f>
        <v>0.05</v>
      </c>
      <c r="BV215" s="1">
        <f>INDEX(Input!$1:$1048576,BV$93,$C215*2+6)</f>
        <v>5.5E-2</v>
      </c>
      <c r="BW215" s="1">
        <f>INDEX(Input!$1:$1048576,BW$93,$C215*2+6)</f>
        <v>0.06</v>
      </c>
      <c r="BX215" s="127">
        <f>INDEX(Input!$1:$1048576,BX$93,$C215*2+6)</f>
        <v>19985</v>
      </c>
      <c r="BY215" s="20">
        <f>INDEX(Input!$1:$1048576,BY$93,$C215*2+6)</f>
        <v>0.1</v>
      </c>
      <c r="BZ215" s="20">
        <f>INDEX(Input!$1:$1048576,BZ$93,$C215*2+6)</f>
        <v>0.1</v>
      </c>
      <c r="CA215" s="20">
        <f>INDEX(Input!$1:$1048576,CA$93,$C215*2+6)</f>
        <v>0.1</v>
      </c>
      <c r="CB215" s="20">
        <f>INDEX(Input!$1:$1048576,CB$93,$C215*2+6)</f>
        <v>0.1</v>
      </c>
      <c r="CC215" s="20">
        <f>INDEX(Input!$1:$1048576,CC$93,$C215*2+6)</f>
        <v>0.1</v>
      </c>
      <c r="CD215" s="384">
        <f>INDEX(Input!$1:$1048576,CD$93,$C215*2+6)</f>
        <v>0.1</v>
      </c>
      <c r="CE215" s="384">
        <f>INDEX(Input!$1:$1048576,CE$93,$C215*2+6)</f>
        <v>0.1</v>
      </c>
      <c r="CF215" s="384">
        <f>INDEX(Input!$1:$1048576,CF$93,$C215*2+6)</f>
        <v>0.1</v>
      </c>
      <c r="CG215" s="384">
        <f>INDEX(Input!$1:$1048576,CG$93,$C215*2+6)</f>
        <v>0.1</v>
      </c>
      <c r="CH215" s="384">
        <f>INDEX(Input!$1:$1048576,CH$93,$C215*2+6)</f>
        <v>0.1</v>
      </c>
      <c r="CI215" s="304">
        <f t="shared" si="499"/>
        <v>1269.7618664521319</v>
      </c>
      <c r="CJ215" s="16" t="str">
        <f>INDEX(Input!$1:$1048576,CJ$93,$C215*2+6)</f>
        <v>N</v>
      </c>
      <c r="CK215" s="1" t="str">
        <f t="shared" si="500"/>
        <v>Market</v>
      </c>
      <c r="CL215" s="1" t="str">
        <f t="shared" si="501"/>
        <v>Market</v>
      </c>
      <c r="CM215" s="1" t="str">
        <f t="shared" si="502"/>
        <v>Market</v>
      </c>
      <c r="CN215" s="1" t="str">
        <f t="shared" si="503"/>
        <v>Market</v>
      </c>
      <c r="CO215" s="1" t="str">
        <f t="shared" si="504"/>
        <v>Market</v>
      </c>
      <c r="CP215" s="304">
        <f t="shared" si="505"/>
        <v>973</v>
      </c>
      <c r="CQ215" s="1">
        <f t="shared" si="506"/>
        <v>0</v>
      </c>
      <c r="CR215" s="1">
        <f t="shared" si="507"/>
        <v>0</v>
      </c>
      <c r="CS215" s="1">
        <f t="shared" si="508"/>
        <v>0</v>
      </c>
      <c r="CT215" s="1">
        <f t="shared" si="509"/>
        <v>1.9E-2</v>
      </c>
      <c r="CU215" s="1">
        <f t="shared" si="510"/>
        <v>3.9E-2</v>
      </c>
      <c r="CV215" s="304">
        <f t="shared" si="511"/>
        <v>56</v>
      </c>
      <c r="CW215" s="20" t="s">
        <v>122</v>
      </c>
      <c r="CX215" s="20" t="s">
        <v>122</v>
      </c>
      <c r="CY215" s="20" t="s">
        <v>122</v>
      </c>
      <c r="CZ215" s="20" t="s">
        <v>122</v>
      </c>
      <c r="DA215" s="20" t="s">
        <v>122</v>
      </c>
      <c r="DB215" s="503">
        <f t="shared" si="512"/>
        <v>0</v>
      </c>
      <c r="DC215" s="127">
        <v>0</v>
      </c>
      <c r="DD215" s="127">
        <v>0</v>
      </c>
      <c r="DE215" s="127">
        <v>0</v>
      </c>
      <c r="DF215" s="127">
        <v>0</v>
      </c>
      <c r="DG215" s="127">
        <v>0</v>
      </c>
      <c r="DH215" s="127">
        <v>0</v>
      </c>
      <c r="DI215" s="127">
        <v>0</v>
      </c>
      <c r="DJ215" s="127">
        <v>0</v>
      </c>
      <c r="DK215" s="127">
        <v>0</v>
      </c>
      <c r="DL215" s="127">
        <v>0</v>
      </c>
      <c r="DM215" s="304">
        <f>INDEX(Input!$1:$1048576,DM$93,$C215*2+6)</f>
        <v>21036.84210526316</v>
      </c>
      <c r="DN215" s="20">
        <v>0</v>
      </c>
      <c r="DO215" s="20">
        <v>0</v>
      </c>
      <c r="DP215" s="20">
        <v>0</v>
      </c>
      <c r="DQ215" s="20">
        <v>0</v>
      </c>
      <c r="DR215" s="20">
        <v>0</v>
      </c>
      <c r="DS215" s="20">
        <f>INDEX(Input!$1:$1048576,DS$93,$C215*2+6)</f>
        <v>0.6</v>
      </c>
      <c r="DT215" s="20">
        <f>INDEX(Input!$1:$1048576,DT$93,$C215*2+6)</f>
        <v>0.55000000000000004</v>
      </c>
      <c r="DU215" s="20">
        <f>INDEX(Input!$1:$1048576,DU$93,$C215*2+6)</f>
        <v>0.52</v>
      </c>
      <c r="DV215" s="20">
        <f>INDEX(Input!$1:$1048576,DV$93,$C215*2+6)</f>
        <v>0.5</v>
      </c>
      <c r="DW215" s="20">
        <f>INDEX(Input!$1:$1048576,DW$93,$C215*2+6)</f>
        <v>0.45</v>
      </c>
      <c r="DX215" s="20"/>
      <c r="DY215" s="7">
        <v>9.1119524494112716E-2</v>
      </c>
      <c r="DZ215" s="7">
        <v>0</v>
      </c>
      <c r="EA215" s="7">
        <v>0.64341405675183827</v>
      </c>
      <c r="EB215" s="7">
        <v>0</v>
      </c>
      <c r="EC215" s="7">
        <v>0</v>
      </c>
      <c r="ED215" s="7">
        <v>0</v>
      </c>
      <c r="EE215" s="7">
        <v>0</v>
      </c>
      <c r="EF215" s="7">
        <v>0</v>
      </c>
      <c r="EG215" s="7">
        <v>0</v>
      </c>
      <c r="EH215" s="7">
        <v>1.4256955055780368E-2</v>
      </c>
      <c r="EI215" s="7">
        <v>4.0576235111163206E-2</v>
      </c>
      <c r="EJ215" s="7">
        <v>0.30719658792680976</v>
      </c>
      <c r="EK215" s="7">
        <v>0.52676138115641191</v>
      </c>
      <c r="EL215" s="7">
        <v>0.11120884074983522</v>
      </c>
      <c r="EM215" s="7">
        <v>7.3372362012908574E-2</v>
      </c>
      <c r="EN215" s="7">
        <v>6.5543296442866814E-2</v>
      </c>
      <c r="EO215" s="7">
        <v>0.7322177467728026</v>
      </c>
      <c r="EP215" s="7">
        <v>8.7591069097402663E-2</v>
      </c>
      <c r="EQ215" s="7">
        <v>7.4716857575831602E-2</v>
      </c>
      <c r="ER215" s="7">
        <v>3.993103011109627E-2</v>
      </c>
      <c r="ES215" s="7">
        <v>0.19209405674114047</v>
      </c>
      <c r="ET215" s="7">
        <v>0.26546641875404903</v>
      </c>
      <c r="EU215" s="6">
        <v>1294</v>
      </c>
      <c r="EV215" s="6">
        <v>0</v>
      </c>
      <c r="EW215" s="6">
        <v>1294</v>
      </c>
      <c r="EX215" s="6">
        <v>0</v>
      </c>
      <c r="EY215" s="6">
        <v>2553.9455207595411</v>
      </c>
      <c r="EZ215" s="6">
        <v>946</v>
      </c>
      <c r="FA215" s="6">
        <v>0</v>
      </c>
      <c r="FB215" s="6">
        <v>0</v>
      </c>
      <c r="FC215" s="6">
        <v>0</v>
      </c>
      <c r="FD215" s="6">
        <v>0</v>
      </c>
      <c r="FE215" s="6">
        <v>0</v>
      </c>
      <c r="FF215" s="6">
        <v>0</v>
      </c>
      <c r="FG215" s="6">
        <v>0</v>
      </c>
      <c r="FH215" s="6">
        <v>1173.7281763857472</v>
      </c>
      <c r="FI215" s="6">
        <v>1553.9796069512388</v>
      </c>
      <c r="FJ215" s="6">
        <v>2101.2110117447401</v>
      </c>
      <c r="FK215" s="6">
        <v>1772.7139978623229</v>
      </c>
      <c r="FL215" s="6">
        <v>907.07682140966347</v>
      </c>
      <c r="FM215" s="6">
        <v>1759.9455207595411</v>
      </c>
      <c r="FN215" s="6">
        <v>0</v>
      </c>
      <c r="FO215" s="6">
        <v>0</v>
      </c>
      <c r="FP215" s="6">
        <v>0</v>
      </c>
      <c r="FQ215" s="6">
        <v>0</v>
      </c>
      <c r="FR215" s="6">
        <v>0</v>
      </c>
      <c r="FS215" s="6">
        <v>0</v>
      </c>
      <c r="FT215" s="7">
        <v>0.73453358124595103</v>
      </c>
      <c r="FU215" s="7">
        <v>7.3372362012908574E-2</v>
      </c>
      <c r="FV215" s="7">
        <v>0.19209405674114047</v>
      </c>
      <c r="FW215" s="6">
        <v>1293.9999999999998</v>
      </c>
      <c r="FX215" s="6">
        <v>2553.9455207595411</v>
      </c>
      <c r="FY215" s="6">
        <v>946</v>
      </c>
      <c r="FZ215" s="6">
        <v>1817.4615072224267</v>
      </c>
      <c r="GA215" s="6">
        <v>1319.5964471197949</v>
      </c>
      <c r="GB215" s="6">
        <v>18665.403552880205</v>
      </c>
      <c r="GC215" s="7">
        <v>1.804905384453976E-2</v>
      </c>
      <c r="GD215" s="7">
        <v>1.7249502531592031E-2</v>
      </c>
      <c r="GE215" s="7"/>
      <c r="GF215" s="7"/>
      <c r="GG215" s="7">
        <v>-4.4298793711539143E-2</v>
      </c>
      <c r="GH215" s="42">
        <v>1.7782155513034161</v>
      </c>
      <c r="GI215" s="6">
        <v>12558.39142073881</v>
      </c>
      <c r="GJ215" s="14">
        <v>0.50394797582841733</v>
      </c>
      <c r="GK215" s="14">
        <v>0.50887573065309744</v>
      </c>
      <c r="GL215" s="14">
        <v>0.49605202417158278</v>
      </c>
      <c r="GM215" s="14">
        <v>0.49112426934690251</v>
      </c>
      <c r="GO215" s="5">
        <v>343.14810671672558</v>
      </c>
      <c r="GP215" s="5">
        <v>318.46105531198077</v>
      </c>
      <c r="GQ215" s="5">
        <v>535.04305713031317</v>
      </c>
      <c r="GR215" s="5">
        <v>410.15490233172511</v>
      </c>
      <c r="GS215" s="5">
        <v>339.42744393800166</v>
      </c>
      <c r="GT215" s="5">
        <v>293.4407446948278</v>
      </c>
      <c r="GU215" s="5">
        <v>258.04012322764959</v>
      </c>
      <c r="GV215" s="39" t="s">
        <v>392</v>
      </c>
      <c r="GW215" s="5">
        <v>477.56944444444446</v>
      </c>
      <c r="GX215" s="5">
        <v>358.17708333333331</v>
      </c>
      <c r="GY215" s="5">
        <v>286.54166666666669</v>
      </c>
      <c r="GZ215" s="5">
        <v>252.84278292684692</v>
      </c>
      <c r="HA215" s="5">
        <v>234.21038543079382</v>
      </c>
      <c r="HB215" s="39">
        <v>268.60086495439117</v>
      </c>
      <c r="HC215" s="5">
        <v>245.89687499999999</v>
      </c>
      <c r="HD215" s="5">
        <v>211.55677997076018</v>
      </c>
      <c r="HE215" s="5">
        <v>214.73562331309037</v>
      </c>
      <c r="HF215" s="5">
        <v>199.03250548245612</v>
      </c>
      <c r="HG215" s="5">
        <v>192.49971491228069</v>
      </c>
      <c r="HH215" s="39">
        <v>212.3892386141232</v>
      </c>
      <c r="HI215" s="16"/>
      <c r="HJ215" s="19" t="str">
        <f t="shared" si="685"/>
        <v>On</v>
      </c>
      <c r="HK215" s="1" t="str">
        <f t="shared" si="685"/>
        <v>On</v>
      </c>
      <c r="HL215" s="16"/>
      <c r="HM215" s="639">
        <f t="shared" si="634"/>
        <v>1.2768706344444866E-2</v>
      </c>
      <c r="HN215" s="639">
        <f t="shared" si="635"/>
        <v>9.795534288915453E-4</v>
      </c>
      <c r="HO215" s="639">
        <f t="shared" si="636"/>
        <v>3.3583061774515237E-3</v>
      </c>
      <c r="HP215" s="644">
        <f>(FT215*$GD215-HM215)/$JF215*INDEX(Input!$1:$1048576,$JG$93,$C215*2+6)</f>
        <v>-7.147593037063432</v>
      </c>
      <c r="HQ215" s="644">
        <f>(FU215*$GD215-HN215)/$JF215*INDEX(Input!$1:$1048576,$JG$93,$C215*2+6)</f>
        <v>20.787431098910172</v>
      </c>
      <c r="HR215" s="644">
        <f>(FV215*$GD215-HO215)/$JF215*INDEX(Input!$1:$1048576,$JG$93,$C215*2+6)</f>
        <v>-3.253757626380513</v>
      </c>
      <c r="HS215" s="644">
        <f t="shared" si="686"/>
        <v>-3.213031250710555</v>
      </c>
      <c r="HT215" s="644">
        <f t="shared" si="638"/>
        <v>43.475022302900591</v>
      </c>
      <c r="HU215" s="644">
        <f t="shared" si="639"/>
        <v>1.723839873276396</v>
      </c>
      <c r="HV215" s="648">
        <f t="shared" si="640"/>
        <v>0</v>
      </c>
      <c r="HW215" s="648">
        <f t="shared" si="641"/>
        <v>0</v>
      </c>
      <c r="HX215" s="648">
        <f t="shared" si="642"/>
        <v>0</v>
      </c>
      <c r="HY215" s="644">
        <f>INDEX(Input!$1:$1048576,HY$93,$C215*2+6)*INDEX(Input!$1:$1048576,$JG$93,$C215*2+6)</f>
        <v>451</v>
      </c>
      <c r="HZ215" s="644">
        <f>INDEX(Input!$1:$1048576,HZ$93,$C215*2+6)*INDEX(Input!$1:$1048576,$JG$93,$C215*2+6)</f>
        <v>577</v>
      </c>
      <c r="IA215" s="644">
        <f>INDEX(Input!$1:$1048576,IA$93,$C215*2+6)*INDEX(Input!$1:$1048576,$JG$93,$C215*2+6)</f>
        <v>215</v>
      </c>
      <c r="IB215" s="644">
        <f t="shared" si="666"/>
        <v>440.63937571222607</v>
      </c>
      <c r="IC215" s="644">
        <f t="shared" si="667"/>
        <v>641.26245340181072</v>
      </c>
      <c r="ID215" s="644">
        <f>IF(AND(INDEX(Input!$1:$1048576,IA$93,$C215*2+7)="TOS",Y215&lt;=INDEX(Y:Y,MATCH(C215*1000+2,A:A))),0,1)*MAX(IA215+HR215+HU215+HX215,0%)</f>
        <v>213.47008224689588</v>
      </c>
      <c r="IE215" s="128">
        <f t="shared" ref="IE215" si="714">IB215/SUM($IB215:$ID215)</f>
        <v>0.34016437429871799</v>
      </c>
      <c r="IF215" s="128">
        <f t="shared" si="643"/>
        <v>0.49504119070182168</v>
      </c>
      <c r="IG215" s="128">
        <f t="shared" si="644"/>
        <v>0.16479443499946031</v>
      </c>
      <c r="IH215" s="21"/>
      <c r="II215" s="19">
        <f t="shared" si="645"/>
        <v>1252</v>
      </c>
      <c r="IJ215" s="19">
        <f t="shared" si="646"/>
        <v>2011.9658773055378</v>
      </c>
      <c r="IK215" s="19">
        <f t="shared" si="647"/>
        <v>919</v>
      </c>
      <c r="IL215" s="19">
        <f t="shared" si="669"/>
        <v>41.999999999999773</v>
      </c>
      <c r="IM215" s="19">
        <f t="shared" si="648"/>
        <v>541.97964345400328</v>
      </c>
      <c r="IN215" s="19">
        <f t="shared" si="649"/>
        <v>27</v>
      </c>
      <c r="IO215" s="39">
        <f t="shared" si="650"/>
        <v>0</v>
      </c>
      <c r="IP215" s="39">
        <f t="shared" si="651"/>
        <v>0</v>
      </c>
      <c r="IQ215" s="39">
        <f t="shared" si="652"/>
        <v>0</v>
      </c>
      <c r="IR215" s="39">
        <v>0</v>
      </c>
      <c r="IS215" s="39">
        <v>0</v>
      </c>
      <c r="IT215" s="39">
        <v>0</v>
      </c>
      <c r="IU215" s="39">
        <v>0</v>
      </c>
      <c r="IV215" s="39">
        <v>0</v>
      </c>
      <c r="IW215" s="39">
        <v>0</v>
      </c>
      <c r="IX215" s="39">
        <f>INDEX(Input!$1:$1048576,IX$93,$C215*2+6)+INDEX(Input!$1:$1048576,IX$94,$C215*2+6)</f>
        <v>1294</v>
      </c>
      <c r="IY215" s="39">
        <f>INDEX(Input!$1:$1048576,IY$93,$C215*2+6)+INDEX(Input!$1:$1048576,IY$94,$C215*2+6)</f>
        <v>2154.0624533823611</v>
      </c>
      <c r="IZ215" s="39">
        <f>INDEX(Input!$1:$1048576,IZ$93,$C215*2+6)+INDEX(Input!$1:$1048576,IZ$94,$C215*2+6)</f>
        <v>3677.7164157747848</v>
      </c>
      <c r="JA215" s="19">
        <f t="shared" si="670"/>
        <v>1335.9999999999998</v>
      </c>
      <c r="JB215" s="19">
        <f t="shared" si="671"/>
        <v>2696.0420968363642</v>
      </c>
      <c r="JC215" s="19">
        <f t="shared" si="672"/>
        <v>3704.7164157747848</v>
      </c>
      <c r="JD215" s="19">
        <f t="shared" si="673"/>
        <v>2399.6281424340282</v>
      </c>
      <c r="JE215" s="21"/>
      <c r="JF215" s="1">
        <f t="shared" si="653"/>
        <v>1.7106565950787935E-2</v>
      </c>
      <c r="JG215" s="15">
        <f>INDEX(Input!$1:$1048576,JG$93,$C215*2+6)/(1+VLOOKUP(C215*1000+INDEX(Input!$1:$1048576,JG$93+1,$C215*2+6),$A:$KK,$JK$92,FALSE))</f>
        <v>1243</v>
      </c>
      <c r="JH215" s="1">
        <f t="shared" si="674"/>
        <v>8.3556560220967233E-3</v>
      </c>
      <c r="JI215" s="1">
        <f t="shared" si="675"/>
        <v>3.3777820535371227E-2</v>
      </c>
      <c r="JJ215" s="1">
        <f t="shared" si="711"/>
        <v>0</v>
      </c>
      <c r="JK215" s="1">
        <f t="shared" ref="JK215:JK220" si="715">SUM(JH215:JJ215)</f>
        <v>4.213347655746795E-2</v>
      </c>
      <c r="JL215" s="15">
        <f t="shared" si="678"/>
        <v>52.371911360932664</v>
      </c>
      <c r="JM215" s="15">
        <f t="shared" si="702"/>
        <v>1295.3719113609327</v>
      </c>
      <c r="JN215" s="21"/>
      <c r="JO215" s="19">
        <f>INDEX(Input!$1:$1048576,JO$93,$C215*2+6)</f>
        <v>5995.5</v>
      </c>
      <c r="JP215" s="19">
        <f>INDEX(Input!$1:$1048576,JP$93,$C215*2+6)</f>
        <v>2105.548724853742</v>
      </c>
      <c r="JQ215" s="39">
        <f t="shared" si="688"/>
        <v>3595.8718575659718</v>
      </c>
      <c r="JR215" s="39">
        <f t="shared" si="705"/>
        <v>294.07941758028619</v>
      </c>
      <c r="JS215" s="39">
        <f t="shared" si="690"/>
        <v>3.1084108934202517</v>
      </c>
      <c r="JT215" s="39">
        <f t="shared" si="680"/>
        <v>0.49121382842705025</v>
      </c>
      <c r="JU215" s="385">
        <f>(JQ215*JM215-INDEX(Input!$1:$1048576,Input!A$18,$C215*2+6)*JL215*INDEX(Input!$1:$1048576,Input!A$19,$C215*2+6))/1000000</f>
        <v>4.6579914011442201</v>
      </c>
      <c r="JV215" s="39">
        <f t="shared" si="712"/>
        <v>-0.17721803386257839</v>
      </c>
      <c r="JW215" s="1">
        <f t="shared" si="703"/>
        <v>-3.665157347260372E-2</v>
      </c>
      <c r="JX215" s="19">
        <f t="shared" si="694"/>
        <v>9379.3374284497841</v>
      </c>
      <c r="JZ215" s="341"/>
      <c r="KA215" s="342"/>
      <c r="KB215" s="469">
        <f t="shared" si="691"/>
        <v>2.5660492421988774</v>
      </c>
      <c r="KI215" s="473">
        <f t="shared" ref="KI215" si="716">$JM215*IE215-$JG215*HY215/SUM($HY215:$IA215)</f>
        <v>-10.360624287773931</v>
      </c>
      <c r="KJ215" s="473">
        <f t="shared" si="681"/>
        <v>64.262453401810717</v>
      </c>
      <c r="KK215" s="473">
        <f t="shared" si="682"/>
        <v>-1.5299177531041153</v>
      </c>
      <c r="KN215" s="544">
        <f t="shared" si="695"/>
        <v>2002</v>
      </c>
      <c r="KO215" s="541">
        <f t="shared" si="657"/>
        <v>3.5993490516063709E-2</v>
      </c>
      <c r="KP215" s="546">
        <f t="shared" si="658"/>
        <v>247.50995534883444</v>
      </c>
      <c r="KQ215" s="546">
        <f t="shared" si="659"/>
        <v>255.94780300055527</v>
      </c>
      <c r="KR215" s="548">
        <f t="shared" si="660"/>
        <v>2.5945274366503837</v>
      </c>
      <c r="KS215" s="548">
        <f t="shared" si="661"/>
        <v>2.5089934840943688</v>
      </c>
      <c r="KT215" s="473">
        <f t="shared" si="693"/>
        <v>843.26993010479111</v>
      </c>
      <c r="KU215" s="663">
        <f t="shared" si="683"/>
        <v>4.4651027882825032</v>
      </c>
      <c r="KV215" s="117" t="e">
        <f t="shared" si="713"/>
        <v>#N/A</v>
      </c>
    </row>
    <row r="216" spans="1:308" s="26" customFormat="1" ht="15">
      <c r="A216" s="561">
        <f t="shared" si="662"/>
        <v>2016</v>
      </c>
      <c r="B216" s="561">
        <f t="shared" si="684"/>
        <v>16</v>
      </c>
      <c r="C216" s="561">
        <f t="shared" si="105"/>
        <v>2</v>
      </c>
      <c r="D216" s="561" t="str">
        <f t="shared" si="704"/>
        <v xml:space="preserve">-360 Lease, </v>
      </c>
      <c r="E216" s="115">
        <f>INDEX(Input!$1:$1048576,E$93,$C216*2+MIN($B216,2)+5)</f>
        <v>1269.7618664521319</v>
      </c>
      <c r="F216" s="115">
        <f>INDEX(Input!$1:$1048576,F$93,$C216*2+MIN($B216,2)+5)</f>
        <v>0</v>
      </c>
      <c r="G216" s="115">
        <f>INDEX(Input!$1:$1048576,G$93,$C216*2+MIN($B216,2)+5)</f>
        <v>0</v>
      </c>
      <c r="H216" s="115">
        <f>INDEX(Input!$1:$1048576,H$93,$C216*2+MIN($B216,2)+5)</f>
        <v>0</v>
      </c>
      <c r="I216" s="118">
        <f>INDEX(Input!$1:$1048576,I$93,$C216*2+MIN($B216,2)+5)</f>
        <v>0.7</v>
      </c>
      <c r="J216" s="118" t="str">
        <f>INDEX(Input!$1:$1048576,J$93,$C216*2+MIN($B216,2)+5)</f>
        <v>Market</v>
      </c>
      <c r="K216" s="118" t="str">
        <f>INDEX(Input!$1:$1048576,K$93,$C216*2+MIN($B216,2)+5)</f>
        <v>Market</v>
      </c>
      <c r="L216" s="118" t="str">
        <f>INDEX(Input!$1:$1048576,L$93,$C216*2+MIN($B216,2)+5)</f>
        <v>Market</v>
      </c>
      <c r="M216" s="118" t="str">
        <f>INDEX(Input!$1:$1048576,M$93,$C216*2+MIN($B216,2)+5)</f>
        <v>Market</v>
      </c>
      <c r="N216" s="118" t="str">
        <f>INDEX(Input!$1:$1048576,N$93,$C216*2+MIN($B216,2)+5)</f>
        <v>Market</v>
      </c>
      <c r="O216" s="118" t="str">
        <f>INDEX(Input!$1:$1048576,O$93,$C216*2+MIN($B216,2)+5)</f>
        <v>Market</v>
      </c>
      <c r="P216" s="118" t="str">
        <f>INDEX(Input!$1:$1048576,P$93,$C216*2+MIN($B216,2)+5)</f>
        <v>N</v>
      </c>
      <c r="Q216" s="30">
        <f>INDEX(Input!$1:$1048576,Q$93,$C216*2+MIN($B216,2)+5)</f>
        <v>0</v>
      </c>
      <c r="R216" s="383">
        <f>INDEX(Input!$1:$1048576,R$93,$C216*2+MIN($B216,2)+5)</f>
        <v>0</v>
      </c>
      <c r="S216" s="383">
        <f>INDEX(Input!$1:$1048576,S$93,$C216*2+MIN($B216,2)+5)</f>
        <v>0</v>
      </c>
      <c r="T216" s="383">
        <f>INDEX(Input!$1:$1048576,T$93,$C216*2+MIN($B216,2)+5)</f>
        <v>0</v>
      </c>
      <c r="U216" s="383">
        <f>INDEX(Input!$1:$1048576,U$93,$C216*2+MIN($B216,2)+5)</f>
        <v>0</v>
      </c>
      <c r="V216" s="383">
        <f>INDEX(Input!$1:$1048576,V$93,$C216*2+MIN($B216,2)+5)</f>
        <v>1.9E-2</v>
      </c>
      <c r="W216" s="884">
        <f>INDEX(Input!$1:$1048576,W$93,$C216*2+MIN($B216,2)+5)</f>
        <v>3.9E-2</v>
      </c>
      <c r="X216" s="118" t="str">
        <f>INDEX(Input!$1:$1048576,X$93,$C216*2+MIN($B216,2)+5)</f>
        <v>Y</v>
      </c>
      <c r="Y216" s="475">
        <f>INDEX(Input!$1:$1048576,Y$93,$C216*2+MIN($B216,2)+5)-360</f>
        <v>-304</v>
      </c>
      <c r="Z216" s="30">
        <f>INDEX(Input!$1:$1048576,Z$93,$C216*2+MIN($B216,2)+5)</f>
        <v>0</v>
      </c>
      <c r="AA216" s="115">
        <f>INDEX(Input!$1:$1048576,AA$93,$C216*2+MIN($B216,2)+5)</f>
        <v>0</v>
      </c>
      <c r="AB216" s="118">
        <f>INDEX(Input!$1:$1048576,AB$93,$C216*2+MIN($B216,2)+5)</f>
        <v>0.27</v>
      </c>
      <c r="AC216" s="115">
        <f>INDEX(Input!$1:$1048576,AC$93,$C216*2+MIN($B216,2)+5)</f>
        <v>0</v>
      </c>
      <c r="AD216" s="118">
        <f>INDEX(Input!$1:$1048576,AD$93,$C216*2+MIN($B216,2)+5)</f>
        <v>0.27</v>
      </c>
      <c r="AE216" s="115">
        <f>INDEX(Input!$1:$1048576,AE$93,$C216*2+MIN($B216,2)+5)</f>
        <v>0</v>
      </c>
      <c r="AF216" s="118">
        <f>INDEX(Input!$1:$1048576,AF$93,$C216*2+MIN($B216,2)+5)</f>
        <v>4.8000000000000001E-2</v>
      </c>
      <c r="AG216" s="115">
        <f>INDEX(Input!$1:$1048576,AG$93,$C216*2+MIN($B216,2)+5)</f>
        <v>500</v>
      </c>
      <c r="AH216" s="118">
        <f>INDEX(Input!$1:$1048576,AH$93,$C216*2+MIN($B216,2)+5)</f>
        <v>0.94599999999999995</v>
      </c>
      <c r="AI216" s="115">
        <f>INDEX(Input!$1:$1048576,AI$93,$C216*2+MIN($B216,2)+5)</f>
        <v>0</v>
      </c>
      <c r="AJ216" s="118">
        <f>INDEX(Input!$1:$1048576,AJ$93,$C216*2+MIN($B216,2)+5)</f>
        <v>0.27</v>
      </c>
      <c r="AK216" s="150">
        <f>ROUND(INDEX(Input!$1:$1048576,AK$93,$C215*2+MIN($B216,1)+5)+(Y216-VLOOKUP($C216*1000+1,$A:$HH,Y$92,FALSE)),0)</f>
        <v>2617</v>
      </c>
      <c r="AL216" s="150">
        <f>ROUND(INDEX(Input!$1:$1048576,AL$93,$C215*2+MIN($B216,1)+5)-(Y216-VLOOKUP($C216*1000+1,$A:$HH,Y$92,FALSE))/36,0)</f>
        <v>3405</v>
      </c>
      <c r="AM216" s="32" t="str">
        <f t="shared" si="663"/>
        <v>std/std/std/std</v>
      </c>
      <c r="AN216" s="32" t="str">
        <f t="shared" si="664"/>
        <v>$0 + 0/0/0/1.9/3.9</v>
      </c>
      <c r="AO216" s="32" t="str">
        <f t="shared" si="665"/>
        <v>0/0/0/1.9/3.9</v>
      </c>
      <c r="AP216" s="32" t="str">
        <f t="shared" si="498"/>
        <v>0/0.9/1.9/3.9</v>
      </c>
      <c r="AQ216" s="536">
        <f t="shared" si="497"/>
        <v>0.38757392621310927</v>
      </c>
      <c r="AR216" s="32"/>
      <c r="AS216" s="302"/>
      <c r="AT216" s="3">
        <f t="shared" ref="AT216:AT279" si="717">AT215+1</f>
        <v>16</v>
      </c>
      <c r="AU216" s="41" t="s">
        <v>121</v>
      </c>
      <c r="AV216" s="41" t="s">
        <v>116</v>
      </c>
      <c r="AW216" s="41" t="str">
        <f>INDEX(Input!$1:$1048576,AW$93,$C216*2+6)</f>
        <v>Kia</v>
      </c>
      <c r="AX216" s="41" t="str">
        <f>INDEX(Input!$1:$1048576,AX$93,$C216*2+6)</f>
        <v>Kia-LR - L2</v>
      </c>
      <c r="AY216" s="41" t="str">
        <f>IF(LEN(D216)=0,"",INDEX(Input!$1:$1048576,AY$93,$C216*2+6))</f>
        <v>Compact SUV (52)</v>
      </c>
      <c r="AZ216" s="41" t="str">
        <f>INDEX(Input!$1:$1048576,AZ$93,$C216*2+6)</f>
        <v>Kia Soul</v>
      </c>
      <c r="BA216" s="3">
        <f>INDEX(Input!$1:$1048576,BA$93,$C216*2+6)</f>
        <v>2020</v>
      </c>
      <c r="BB216" s="128">
        <f>INDEX(Input!$1:$1048576,BB$93,$C216*2+6)</f>
        <v>1</v>
      </c>
      <c r="BC216" s="128">
        <f>INDEX(Input!$1:$1048576,BC$93,$C216*2+6)</f>
        <v>0.7</v>
      </c>
      <c r="BD216" s="1">
        <f>INDEX(Input!$1:$1048576,BD$93,$C216*2+6)</f>
        <v>4.4999999999999998E-2</v>
      </c>
      <c r="BE216" s="1">
        <f>INDEX(Input!$1:$1048576,BE$93,$C216*2+6)</f>
        <v>4.4999999999999998E-2</v>
      </c>
      <c r="BF216" s="1">
        <f>INDEX(Input!$1:$1048576,BF$93,$C216*2+6)</f>
        <v>0.05</v>
      </c>
      <c r="BG216" s="1">
        <f>INDEX(Input!$1:$1048576,BG$93,$C216*2+6)</f>
        <v>5.45E-2</v>
      </c>
      <c r="BH216" s="1">
        <f>INDEX(Input!$1:$1048576,BH$93,$C216*2+6)</f>
        <v>5.45E-2</v>
      </c>
      <c r="BI216" s="1">
        <f>INDEX(Input!$1:$1048576,BI$93,$C216*2+6)</f>
        <v>0.05</v>
      </c>
      <c r="BJ216" s="1">
        <f>INDEX(Input!$1:$1048576,BJ$93,$C216*2+6)</f>
        <v>0.05</v>
      </c>
      <c r="BK216" s="1">
        <f>INDEX(Input!$1:$1048576,BK$93,$C216*2+6)</f>
        <v>0.05</v>
      </c>
      <c r="BL216" s="1">
        <f>INDEX(Input!$1:$1048576,BL$93,$C216*2+6)</f>
        <v>5.5E-2</v>
      </c>
      <c r="BM216" s="1">
        <f>INDEX(Input!$1:$1048576,BM$93,$C216*2+6)</f>
        <v>0.06</v>
      </c>
      <c r="BN216" s="1">
        <f>INDEX(Input!$1:$1048576,BN$93,$C216*2+6)</f>
        <v>4.4999999999999998E-2</v>
      </c>
      <c r="BO216" s="1">
        <f>INDEX(Input!$1:$1048576,BO$93,$C216*2+6)</f>
        <v>4.4999999999999998E-2</v>
      </c>
      <c r="BP216" s="1">
        <f>INDEX(Input!$1:$1048576,BP$93,$C216*2+6)</f>
        <v>0.05</v>
      </c>
      <c r="BQ216" s="1">
        <f>INDEX(Input!$1:$1048576,BQ$93,$C216*2+6)</f>
        <v>5.45E-2</v>
      </c>
      <c r="BR216" s="1">
        <f>INDEX(Input!$1:$1048576,BR$93,$C216*2+6)</f>
        <v>5.45E-2</v>
      </c>
      <c r="BS216" s="1">
        <f>INDEX(Input!$1:$1048576,BS$93,$C216*2+6)</f>
        <v>0.05</v>
      </c>
      <c r="BT216" s="1">
        <f>INDEX(Input!$1:$1048576,BT$93,$C216*2+6)</f>
        <v>0.05</v>
      </c>
      <c r="BU216" s="1">
        <f>INDEX(Input!$1:$1048576,BU$93,$C216*2+6)</f>
        <v>0.05</v>
      </c>
      <c r="BV216" s="1">
        <f>INDEX(Input!$1:$1048576,BV$93,$C216*2+6)</f>
        <v>5.5E-2</v>
      </c>
      <c r="BW216" s="1">
        <f>INDEX(Input!$1:$1048576,BW$93,$C216*2+6)</f>
        <v>0.06</v>
      </c>
      <c r="BX216" s="127">
        <f>INDEX(Input!$1:$1048576,BX$93,$C216*2+6)</f>
        <v>19985</v>
      </c>
      <c r="BY216" s="20">
        <f>INDEX(Input!$1:$1048576,BY$93,$C216*2+6)</f>
        <v>0.1</v>
      </c>
      <c r="BZ216" s="20">
        <f>INDEX(Input!$1:$1048576,BZ$93,$C216*2+6)</f>
        <v>0.1</v>
      </c>
      <c r="CA216" s="20">
        <f>INDEX(Input!$1:$1048576,CA$93,$C216*2+6)</f>
        <v>0.1</v>
      </c>
      <c r="CB216" s="20">
        <f>INDEX(Input!$1:$1048576,CB$93,$C216*2+6)</f>
        <v>0.1</v>
      </c>
      <c r="CC216" s="20">
        <f>INDEX(Input!$1:$1048576,CC$93,$C216*2+6)</f>
        <v>0.1</v>
      </c>
      <c r="CD216" s="384">
        <f>INDEX(Input!$1:$1048576,CD$93,$C216*2+6)</f>
        <v>0.1</v>
      </c>
      <c r="CE216" s="384">
        <f>INDEX(Input!$1:$1048576,CE$93,$C216*2+6)</f>
        <v>0.1</v>
      </c>
      <c r="CF216" s="384">
        <f>INDEX(Input!$1:$1048576,CF$93,$C216*2+6)</f>
        <v>0.1</v>
      </c>
      <c r="CG216" s="384">
        <f>INDEX(Input!$1:$1048576,CG$93,$C216*2+6)</f>
        <v>0.1</v>
      </c>
      <c r="CH216" s="384">
        <f>INDEX(Input!$1:$1048576,CH$93,$C216*2+6)</f>
        <v>0.1</v>
      </c>
      <c r="CI216" s="304">
        <f t="shared" si="499"/>
        <v>1269.7618664521319</v>
      </c>
      <c r="CJ216" s="16" t="str">
        <f>INDEX(Input!$1:$1048576,CJ$93,$C216*2+6)</f>
        <v>N</v>
      </c>
      <c r="CK216" s="1" t="str">
        <f t="shared" si="500"/>
        <v>Market</v>
      </c>
      <c r="CL216" s="1" t="str">
        <f t="shared" si="501"/>
        <v>Market</v>
      </c>
      <c r="CM216" s="1" t="str">
        <f t="shared" si="502"/>
        <v>Market</v>
      </c>
      <c r="CN216" s="1" t="str">
        <f t="shared" si="503"/>
        <v>Market</v>
      </c>
      <c r="CO216" s="1" t="str">
        <f t="shared" si="504"/>
        <v>Market</v>
      </c>
      <c r="CP216" s="304">
        <f t="shared" si="505"/>
        <v>473</v>
      </c>
      <c r="CQ216" s="1">
        <f t="shared" si="506"/>
        <v>0</v>
      </c>
      <c r="CR216" s="1">
        <f t="shared" si="507"/>
        <v>0</v>
      </c>
      <c r="CS216" s="1">
        <f t="shared" si="508"/>
        <v>0</v>
      </c>
      <c r="CT216" s="1">
        <f t="shared" si="509"/>
        <v>1.9E-2</v>
      </c>
      <c r="CU216" s="1">
        <f t="shared" si="510"/>
        <v>3.9E-2</v>
      </c>
      <c r="CV216" s="304">
        <f t="shared" si="511"/>
        <v>-304</v>
      </c>
      <c r="CW216" s="20" t="s">
        <v>122</v>
      </c>
      <c r="CX216" s="20" t="s">
        <v>122</v>
      </c>
      <c r="CY216" s="20" t="s">
        <v>122</v>
      </c>
      <c r="CZ216" s="20" t="s">
        <v>122</v>
      </c>
      <c r="DA216" s="20" t="s">
        <v>122</v>
      </c>
      <c r="DB216" s="503">
        <f t="shared" si="512"/>
        <v>0</v>
      </c>
      <c r="DC216" s="127">
        <v>0</v>
      </c>
      <c r="DD216" s="127">
        <v>0</v>
      </c>
      <c r="DE216" s="127">
        <v>0</v>
      </c>
      <c r="DF216" s="127">
        <v>0</v>
      </c>
      <c r="DG216" s="127">
        <v>0</v>
      </c>
      <c r="DH216" s="127">
        <v>0</v>
      </c>
      <c r="DI216" s="127">
        <v>0</v>
      </c>
      <c r="DJ216" s="127">
        <v>0</v>
      </c>
      <c r="DK216" s="127">
        <v>0</v>
      </c>
      <c r="DL216" s="127">
        <v>0</v>
      </c>
      <c r="DM216" s="304">
        <f>INDEX(Input!$1:$1048576,DM$93,$C216*2+6)</f>
        <v>21036.84210526316</v>
      </c>
      <c r="DN216" s="20">
        <v>0</v>
      </c>
      <c r="DO216" s="20">
        <v>0</v>
      </c>
      <c r="DP216" s="20">
        <v>0</v>
      </c>
      <c r="DQ216" s="20">
        <v>0</v>
      </c>
      <c r="DR216" s="20">
        <v>0</v>
      </c>
      <c r="DS216" s="20">
        <f>INDEX(Input!$1:$1048576,DS$93,$C216*2+6)</f>
        <v>0.6</v>
      </c>
      <c r="DT216" s="20">
        <f>INDEX(Input!$1:$1048576,DT$93,$C216*2+6)</f>
        <v>0.55000000000000004</v>
      </c>
      <c r="DU216" s="20">
        <f>INDEX(Input!$1:$1048576,DU$93,$C216*2+6)</f>
        <v>0.52</v>
      </c>
      <c r="DV216" s="20">
        <f>INDEX(Input!$1:$1048576,DV$93,$C216*2+6)</f>
        <v>0.5</v>
      </c>
      <c r="DW216" s="20">
        <f>INDEX(Input!$1:$1048576,DW$93,$C216*2+6)</f>
        <v>0.45</v>
      </c>
      <c r="DX216" s="20"/>
      <c r="DY216" s="7">
        <v>9.561817819077624E-2</v>
      </c>
      <c r="DZ216" s="7">
        <v>0</v>
      </c>
      <c r="EA216" s="7">
        <v>0.67700525417842083</v>
      </c>
      <c r="EB216" s="7">
        <v>0</v>
      </c>
      <c r="EC216" s="7">
        <v>0</v>
      </c>
      <c r="ED216" s="7">
        <v>0</v>
      </c>
      <c r="EE216" s="7">
        <v>0</v>
      </c>
      <c r="EF216" s="7">
        <v>0</v>
      </c>
      <c r="EG216" s="7">
        <v>0</v>
      </c>
      <c r="EH216" s="7">
        <v>1.4268780759929907E-2</v>
      </c>
      <c r="EI216" s="7">
        <v>4.0617112498644373E-2</v>
      </c>
      <c r="EJ216" s="7">
        <v>0.3073308714448576</v>
      </c>
      <c r="EK216" s="7">
        <v>0.52661553982195175</v>
      </c>
      <c r="EL216" s="7">
        <v>0.1111676954746165</v>
      </c>
      <c r="EM216" s="7">
        <v>5.9237249128775663E-2</v>
      </c>
      <c r="EN216" s="7">
        <v>6.4369739193095618E-2</v>
      </c>
      <c r="EO216" s="7">
        <v>0.72184373967073556</v>
      </c>
      <c r="EP216" s="7">
        <v>9.287120958227138E-2</v>
      </c>
      <c r="EQ216" s="7">
        <v>7.9202008546487873E-2</v>
      </c>
      <c r="ER216" s="7">
        <v>4.1713303007409122E-2</v>
      </c>
      <c r="ES216" s="7">
        <v>0.16813931850202732</v>
      </c>
      <c r="ET216" s="7">
        <v>0.22737656763080302</v>
      </c>
      <c r="EU216" s="6">
        <v>1294</v>
      </c>
      <c r="EV216" s="6">
        <v>0</v>
      </c>
      <c r="EW216" s="6">
        <v>1294</v>
      </c>
      <c r="EX216" s="6">
        <v>0</v>
      </c>
      <c r="EY216" s="6">
        <v>2054.0092726946741</v>
      </c>
      <c r="EZ216" s="6">
        <v>586</v>
      </c>
      <c r="FA216" s="6">
        <v>0</v>
      </c>
      <c r="FB216" s="6">
        <v>0</v>
      </c>
      <c r="FC216" s="6">
        <v>0</v>
      </c>
      <c r="FD216" s="6">
        <v>0</v>
      </c>
      <c r="FE216" s="6">
        <v>0</v>
      </c>
      <c r="FF216" s="6">
        <v>0</v>
      </c>
      <c r="FG216" s="6">
        <v>0</v>
      </c>
      <c r="FH216" s="6">
        <v>1173.7315431866684</v>
      </c>
      <c r="FI216" s="6">
        <v>1553.9796069512397</v>
      </c>
      <c r="FJ216" s="6">
        <v>2101.2110117447401</v>
      </c>
      <c r="FK216" s="6">
        <v>1772.7139978623227</v>
      </c>
      <c r="FL216" s="6">
        <v>907.07682140966324</v>
      </c>
      <c r="FM216" s="6">
        <v>1760.0092726946741</v>
      </c>
      <c r="FN216" s="6">
        <v>0</v>
      </c>
      <c r="FO216" s="6">
        <v>0</v>
      </c>
      <c r="FP216" s="6">
        <v>0</v>
      </c>
      <c r="FQ216" s="6">
        <v>0</v>
      </c>
      <c r="FR216" s="6">
        <v>0</v>
      </c>
      <c r="FS216" s="6">
        <v>0</v>
      </c>
      <c r="FT216" s="7">
        <v>0.77262343236919706</v>
      </c>
      <c r="FU216" s="7">
        <v>5.9237249128775663E-2</v>
      </c>
      <c r="FV216" s="7">
        <v>0.16813931850202732</v>
      </c>
      <c r="FW216" s="6">
        <v>1294</v>
      </c>
      <c r="FX216" s="6">
        <v>2054.0092726946741</v>
      </c>
      <c r="FY216" s="6">
        <v>586</v>
      </c>
      <c r="FZ216" s="6">
        <v>1817.4615072224267</v>
      </c>
      <c r="GA216" s="6">
        <v>1219.9782211273587</v>
      </c>
      <c r="GB216" s="6">
        <v>18765.02177887264</v>
      </c>
      <c r="GC216" s="7">
        <v>1.804905384453976E-2</v>
      </c>
      <c r="GD216" s="7">
        <v>1.7058658206796456E-2</v>
      </c>
      <c r="GE216" s="7"/>
      <c r="GF216" s="7"/>
      <c r="GG216" s="7">
        <v>-5.4872440753614402E-2</v>
      </c>
      <c r="GH216" s="42">
        <v>1.8354082097059619</v>
      </c>
      <c r="GI216" s="6">
        <v>12108.564146762754</v>
      </c>
      <c r="GJ216" s="14">
        <v>0.50394797582841744</v>
      </c>
      <c r="GK216" s="14">
        <v>0.50887573065309732</v>
      </c>
      <c r="GL216" s="14">
        <v>0.49605202417158278</v>
      </c>
      <c r="GM216" s="14">
        <v>0.49112426934690234</v>
      </c>
      <c r="GO216" s="5">
        <v>343.14810671672558</v>
      </c>
      <c r="GP216" s="5">
        <v>318.46105531198077</v>
      </c>
      <c r="GQ216" s="5">
        <v>535.04305713031317</v>
      </c>
      <c r="GR216" s="5">
        <v>410.15490233172511</v>
      </c>
      <c r="GS216" s="5">
        <v>339.42744393800166</v>
      </c>
      <c r="GT216" s="5">
        <v>293.4407446948278</v>
      </c>
      <c r="GU216" s="5">
        <v>258.04012322764959</v>
      </c>
      <c r="GV216" s="39" t="s">
        <v>392</v>
      </c>
      <c r="GW216" s="5">
        <v>491.45833333333331</v>
      </c>
      <c r="GX216" s="5">
        <v>368.59375</v>
      </c>
      <c r="GY216" s="5">
        <v>294.875</v>
      </c>
      <c r="GZ216" s="5">
        <v>260.19607020114813</v>
      </c>
      <c r="HA216" s="5">
        <v>241.02179695997205</v>
      </c>
      <c r="HB216" s="39">
        <v>276.42504743404254</v>
      </c>
      <c r="HC216" s="5">
        <v>261.64687500000002</v>
      </c>
      <c r="HD216" s="5">
        <v>222.30677997076018</v>
      </c>
      <c r="HE216" s="5">
        <v>224.71639254385963</v>
      </c>
      <c r="HF216" s="5">
        <v>207.35750548245613</v>
      </c>
      <c r="HG216" s="5">
        <v>199.39971491228067</v>
      </c>
      <c r="HH216" s="39">
        <v>222.92333335033098</v>
      </c>
      <c r="HI216" s="16"/>
      <c r="HJ216" s="19" t="str">
        <f t="shared" si="685"/>
        <v>On</v>
      </c>
      <c r="HK216" s="1" t="str">
        <f t="shared" si="685"/>
        <v>On</v>
      </c>
      <c r="HL216" s="16"/>
      <c r="HM216" s="639">
        <f t="shared" si="634"/>
        <v>1.2768706344444866E-2</v>
      </c>
      <c r="HN216" s="639">
        <f t="shared" si="635"/>
        <v>9.795534288915453E-4</v>
      </c>
      <c r="HO216" s="639">
        <f t="shared" si="636"/>
        <v>3.3583061774515237E-3</v>
      </c>
      <c r="HP216" s="644">
        <f>(FT216*$GD216-HM216)/$JF216*INDEX(Input!$1:$1048576,$JG$93,$C216*2+6)</f>
        <v>29.879603020448013</v>
      </c>
      <c r="HQ216" s="644">
        <f>(FU216*$GD216-HN216)/$JF216*INDEX(Input!$1:$1048576,$JG$93,$C216*2+6)</f>
        <v>2.2492249230384158</v>
      </c>
      <c r="HR216" s="644">
        <f>(FV216*$GD216-HO216)/$JF216*INDEX(Input!$1:$1048576,$JG$93,$C216*2+6)</f>
        <v>-35.609908012549965</v>
      </c>
      <c r="HS216" s="644">
        <f t="shared" si="686"/>
        <v>-2.6625755305998622</v>
      </c>
      <c r="HT216" s="644">
        <f t="shared" si="638"/>
        <v>2.8151877855847824</v>
      </c>
      <c r="HU216" s="644">
        <f t="shared" si="639"/>
        <v>-5.7984691489142364</v>
      </c>
      <c r="HV216" s="648">
        <f t="shared" si="640"/>
        <v>0</v>
      </c>
      <c r="HW216" s="648">
        <f t="shared" si="641"/>
        <v>0</v>
      </c>
      <c r="HX216" s="648">
        <f t="shared" si="642"/>
        <v>0</v>
      </c>
      <c r="HY216" s="644">
        <f>INDEX(Input!$1:$1048576,HY$93,$C216*2+6)*INDEX(Input!$1:$1048576,$JG$93,$C216*2+6)</f>
        <v>451</v>
      </c>
      <c r="HZ216" s="644">
        <f>INDEX(Input!$1:$1048576,HZ$93,$C216*2+6)*INDEX(Input!$1:$1048576,$JG$93,$C216*2+6)</f>
        <v>577</v>
      </c>
      <c r="IA216" s="644">
        <f>INDEX(Input!$1:$1048576,IA$93,$C216*2+6)*INDEX(Input!$1:$1048576,$JG$93,$C216*2+6)</f>
        <v>215</v>
      </c>
      <c r="IB216" s="644">
        <f t="shared" si="666"/>
        <v>478.21702748984814</v>
      </c>
      <c r="IC216" s="644">
        <f t="shared" si="667"/>
        <v>582.06441270862319</v>
      </c>
      <c r="ID216" s="644">
        <f>IF(AND(INDEX(Input!$1:$1048576,IA$93,$C216*2+7)="TOS",Y216&lt;=INDEX(Y:Y,MATCH(C216*1000+2,A:A))),0,1)*MAX(IA216+HR216+HU216+HX216,0%)</f>
        <v>173.59162283853578</v>
      </c>
      <c r="IE216" s="128">
        <f t="shared" ref="IE216:IE218" si="718">IB216/SUM($IB216:$ID216)</f>
        <v>0.38757392621310927</v>
      </c>
      <c r="IF216" s="128">
        <f t="shared" si="643"/>
        <v>0.47173767719343229</v>
      </c>
      <c r="IG216" s="128">
        <f t="shared" si="644"/>
        <v>0.14068839659345841</v>
      </c>
      <c r="IH216" s="21"/>
      <c r="II216" s="19">
        <f t="shared" si="645"/>
        <v>1252</v>
      </c>
      <c r="IJ216" s="19">
        <f t="shared" si="646"/>
        <v>2011.9658773055378</v>
      </c>
      <c r="IK216" s="19">
        <f t="shared" si="647"/>
        <v>919</v>
      </c>
      <c r="IL216" s="19">
        <f t="shared" si="669"/>
        <v>42</v>
      </c>
      <c r="IM216" s="19">
        <f t="shared" si="648"/>
        <v>42.043395389136322</v>
      </c>
      <c r="IN216" s="19">
        <f t="shared" si="649"/>
        <v>-333</v>
      </c>
      <c r="IO216" s="39">
        <f t="shared" si="650"/>
        <v>0</v>
      </c>
      <c r="IP216" s="39">
        <f t="shared" si="651"/>
        <v>0</v>
      </c>
      <c r="IQ216" s="39">
        <f t="shared" si="652"/>
        <v>0</v>
      </c>
      <c r="IR216" s="39">
        <v>0</v>
      </c>
      <c r="IS216" s="39">
        <v>0</v>
      </c>
      <c r="IT216" s="39">
        <v>0</v>
      </c>
      <c r="IU216" s="39">
        <v>0</v>
      </c>
      <c r="IV216" s="39">
        <v>0</v>
      </c>
      <c r="IW216" s="39">
        <v>0</v>
      </c>
      <c r="IX216" s="39">
        <f>INDEX(Input!$1:$1048576,IX$93,$C216*2+6)+INDEX(Input!$1:$1048576,IX$94,$C216*2+6)</f>
        <v>1294</v>
      </c>
      <c r="IY216" s="39">
        <f>INDEX(Input!$1:$1048576,IY$93,$C216*2+6)+INDEX(Input!$1:$1048576,IY$94,$C216*2+6)</f>
        <v>2154.0624533823611</v>
      </c>
      <c r="IZ216" s="39">
        <f>INDEX(Input!$1:$1048576,IZ$93,$C216*2+6)+INDEX(Input!$1:$1048576,IZ$94,$C216*2+6)</f>
        <v>3677.7164157747848</v>
      </c>
      <c r="JA216" s="19">
        <f t="shared" si="670"/>
        <v>1336</v>
      </c>
      <c r="JB216" s="19">
        <f t="shared" si="671"/>
        <v>2196.1058487714972</v>
      </c>
      <c r="JC216" s="19">
        <f t="shared" si="672"/>
        <v>3344.7164157747848</v>
      </c>
      <c r="JD216" s="19">
        <f t="shared" si="673"/>
        <v>2024.3474269862647</v>
      </c>
      <c r="JE216" s="21"/>
      <c r="JF216" s="1">
        <f t="shared" si="653"/>
        <v>1.7106565950787935E-2</v>
      </c>
      <c r="JG216" s="15">
        <f>INDEX(Input!$1:$1048576,JG$93,$C216*2+6)/(1+VLOOKUP(C216*1000+INDEX(Input!$1:$1048576,JG$93+1,$C216*2+6),$A:$KK,$JK$92,FALSE))</f>
        <v>1243</v>
      </c>
      <c r="JH216" s="1">
        <f t="shared" si="674"/>
        <v>-2.80054711911789E-3</v>
      </c>
      <c r="JI216" s="1">
        <f t="shared" si="675"/>
        <v>-4.5421213949552027E-3</v>
      </c>
      <c r="JJ216" s="1">
        <f t="shared" si="711"/>
        <v>0</v>
      </c>
      <c r="JK216" s="1">
        <f t="shared" si="715"/>
        <v>-7.3426685140730932E-3</v>
      </c>
      <c r="JL216" s="15">
        <f t="shared" si="678"/>
        <v>-9.1269369629928541</v>
      </c>
      <c r="JM216" s="15">
        <f t="shared" si="702"/>
        <v>1233.8730630370071</v>
      </c>
      <c r="JN216" s="21"/>
      <c r="JO216" s="19">
        <f>INDEX(Input!$1:$1048576,JO$93,$C216*2+6)</f>
        <v>5995.5</v>
      </c>
      <c r="JP216" s="19">
        <f>INDEX(Input!$1:$1048576,JP$93,$C216*2+6)</f>
        <v>2105.548724853742</v>
      </c>
      <c r="JQ216" s="39">
        <f t="shared" si="688"/>
        <v>3971.1525730137355</v>
      </c>
      <c r="JR216" s="39">
        <f t="shared" si="705"/>
        <v>-81.201297867477251</v>
      </c>
      <c r="JS216" s="39">
        <f t="shared" si="690"/>
        <v>2.4977877603866268</v>
      </c>
      <c r="JT216" s="39">
        <f t="shared" si="680"/>
        <v>-0.11940930460657459</v>
      </c>
      <c r="JU216" s="385">
        <f>(JQ216*JM216-INDEX(Input!$1:$1048576,Input!A$18,$C216*2+6)*JL216*INDEX(Input!$1:$1048576,Input!A$19,$C216*2+6))/1000000</f>
        <v>4.8998981890517497</v>
      </c>
      <c r="JV216" s="39">
        <f t="shared" si="712"/>
        <v>6.4688754044951224E-2</v>
      </c>
      <c r="JW216" s="1">
        <f t="shared" si="703"/>
        <v>1.3378687089871687E-2</v>
      </c>
      <c r="JX216" s="19">
        <f t="shared" si="694"/>
        <v>13083.174025496781</v>
      </c>
      <c r="JZ216" s="341"/>
      <c r="KA216" s="342"/>
      <c r="KB216" s="469">
        <f t="shared" si="691"/>
        <v>2.5660492421988774</v>
      </c>
      <c r="KI216" s="473">
        <f t="shared" ref="KI216:KI232" si="719">$JM216*IE216-$JG216*HY216/SUM($HY216:$IA216)</f>
        <v>27.217027489848135</v>
      </c>
      <c r="KJ216" s="473">
        <f t="shared" ref="KJ216:KJ232" si="720">$JM216*IF216-$JG216*HZ216/SUM($HY216:$IA216)</f>
        <v>5.0644127086231947</v>
      </c>
      <c r="KK216" s="473">
        <f t="shared" si="682"/>
        <v>-41.408377161464216</v>
      </c>
      <c r="KN216" s="544">
        <f t="shared" si="695"/>
        <v>2002</v>
      </c>
      <c r="KO216" s="541">
        <f t="shared" si="657"/>
        <v>-1.319115366144108E-2</v>
      </c>
      <c r="KP216" s="546">
        <f t="shared" si="658"/>
        <v>-50.627887719660272</v>
      </c>
      <c r="KQ216" s="546">
        <f t="shared" si="659"/>
        <v>-119.33291244720817</v>
      </c>
      <c r="KR216" s="548">
        <f t="shared" si="660"/>
        <v>4.6485761062875746</v>
      </c>
      <c r="KS216" s="548">
        <f t="shared" si="661"/>
        <v>1.9721934572705462</v>
      </c>
      <c r="KT216" s="473">
        <f t="shared" si="693"/>
        <v>843.26993010479111</v>
      </c>
      <c r="KU216" s="663">
        <f t="shared" si="683"/>
        <v>4.572879213740773</v>
      </c>
      <c r="KV216" s="117" t="e">
        <f t="shared" si="713"/>
        <v>#N/A</v>
      </c>
    </row>
    <row r="217" spans="1:308" s="26" customFormat="1" ht="15">
      <c r="A217" s="561">
        <f t="shared" si="662"/>
        <v>2017</v>
      </c>
      <c r="B217" s="561">
        <f t="shared" si="684"/>
        <v>17</v>
      </c>
      <c r="C217" s="561">
        <f t="shared" si="105"/>
        <v>2</v>
      </c>
      <c r="D217" s="561" t="str">
        <f t="shared" si="704"/>
        <v xml:space="preserve">360 Lease, </v>
      </c>
      <c r="E217" s="115">
        <f>INDEX(Input!$1:$1048576,E$93,$C217*2+MIN($B217,2)+5)</f>
        <v>1269.7618664521319</v>
      </c>
      <c r="F217" s="115">
        <f>INDEX(Input!$1:$1048576,F$93,$C217*2+MIN($B217,2)+5)</f>
        <v>0</v>
      </c>
      <c r="G217" s="115">
        <f>INDEX(Input!$1:$1048576,G$93,$C217*2+MIN($B217,2)+5)</f>
        <v>0</v>
      </c>
      <c r="H217" s="115">
        <f>INDEX(Input!$1:$1048576,H$93,$C217*2+MIN($B217,2)+5)</f>
        <v>0</v>
      </c>
      <c r="I217" s="118">
        <f>INDEX(Input!$1:$1048576,I$93,$C217*2+MIN($B217,2)+5)</f>
        <v>0.7</v>
      </c>
      <c r="J217" s="118" t="str">
        <f>INDEX(Input!$1:$1048576,J$93,$C217*2+MIN($B217,2)+5)</f>
        <v>Market</v>
      </c>
      <c r="K217" s="118" t="str">
        <f>INDEX(Input!$1:$1048576,K$93,$C217*2+MIN($B217,2)+5)</f>
        <v>Market</v>
      </c>
      <c r="L217" s="118" t="str">
        <f>INDEX(Input!$1:$1048576,L$93,$C217*2+MIN($B217,2)+5)</f>
        <v>Market</v>
      </c>
      <c r="M217" s="118" t="str">
        <f>INDEX(Input!$1:$1048576,M$93,$C217*2+MIN($B217,2)+5)</f>
        <v>Market</v>
      </c>
      <c r="N217" s="118" t="str">
        <f>INDEX(Input!$1:$1048576,N$93,$C217*2+MIN($B217,2)+5)</f>
        <v>Market</v>
      </c>
      <c r="O217" s="118" t="str">
        <f>INDEX(Input!$1:$1048576,O$93,$C217*2+MIN($B217,2)+5)</f>
        <v>Market</v>
      </c>
      <c r="P217" s="118" t="str">
        <f>INDEX(Input!$1:$1048576,P$93,$C217*2+MIN($B217,2)+5)</f>
        <v>N</v>
      </c>
      <c r="Q217" s="30">
        <f>INDEX(Input!$1:$1048576,Q$93,$C217*2+MIN($B217,2)+5)</f>
        <v>0</v>
      </c>
      <c r="R217" s="383">
        <f>INDEX(Input!$1:$1048576,R$93,$C217*2+MIN($B217,2)+5)</f>
        <v>0</v>
      </c>
      <c r="S217" s="383">
        <f>INDEX(Input!$1:$1048576,S$93,$C217*2+MIN($B217,2)+5)</f>
        <v>0</v>
      </c>
      <c r="T217" s="383">
        <f>INDEX(Input!$1:$1048576,T$93,$C217*2+MIN($B217,2)+5)</f>
        <v>0</v>
      </c>
      <c r="U217" s="383">
        <f>INDEX(Input!$1:$1048576,U$93,$C217*2+MIN($B217,2)+5)</f>
        <v>0</v>
      </c>
      <c r="V217" s="383">
        <f>INDEX(Input!$1:$1048576,V$93,$C217*2+MIN($B217,2)+5)</f>
        <v>1.9E-2</v>
      </c>
      <c r="W217" s="884">
        <f>INDEX(Input!$1:$1048576,W$93,$C217*2+MIN($B217,2)+5)</f>
        <v>3.9E-2</v>
      </c>
      <c r="X217" s="118" t="str">
        <f>INDEX(Input!$1:$1048576,X$93,$C217*2+MIN($B217,2)+5)</f>
        <v>Y</v>
      </c>
      <c r="Y217" s="475">
        <f>INDEX(Input!$1:$1048576,Y$93,$C217*2+MIN($B217,2)+5)+360</f>
        <v>416</v>
      </c>
      <c r="Z217" s="30">
        <f>INDEX(Input!$1:$1048576,Z$93,$C217*2+MIN($B217,2)+5)</f>
        <v>0</v>
      </c>
      <c r="AA217" s="115">
        <f>INDEX(Input!$1:$1048576,AA$93,$C217*2+MIN($B217,2)+5)</f>
        <v>0</v>
      </c>
      <c r="AB217" s="118">
        <f>INDEX(Input!$1:$1048576,AB$93,$C217*2+MIN($B217,2)+5)</f>
        <v>0.27</v>
      </c>
      <c r="AC217" s="115">
        <f>INDEX(Input!$1:$1048576,AC$93,$C217*2+MIN($B217,2)+5)</f>
        <v>0</v>
      </c>
      <c r="AD217" s="118">
        <f>INDEX(Input!$1:$1048576,AD$93,$C217*2+MIN($B217,2)+5)</f>
        <v>0.27</v>
      </c>
      <c r="AE217" s="115">
        <f>INDEX(Input!$1:$1048576,AE$93,$C217*2+MIN($B217,2)+5)</f>
        <v>0</v>
      </c>
      <c r="AF217" s="118">
        <f>INDEX(Input!$1:$1048576,AF$93,$C217*2+MIN($B217,2)+5)</f>
        <v>4.8000000000000001E-2</v>
      </c>
      <c r="AG217" s="115">
        <f>INDEX(Input!$1:$1048576,AG$93,$C217*2+MIN($B217,2)+5)</f>
        <v>500</v>
      </c>
      <c r="AH217" s="118">
        <f>INDEX(Input!$1:$1048576,AH$93,$C217*2+MIN($B217,2)+5)</f>
        <v>0.94599999999999995</v>
      </c>
      <c r="AI217" s="115">
        <f>INDEX(Input!$1:$1048576,AI$93,$C217*2+MIN($B217,2)+5)</f>
        <v>0</v>
      </c>
      <c r="AJ217" s="118">
        <f>INDEX(Input!$1:$1048576,AJ$93,$C217*2+MIN($B217,2)+5)</f>
        <v>0.27</v>
      </c>
      <c r="AK217" s="150">
        <f>ROUND(INDEX(Input!$1:$1048576,AK$93,$C216*2+MIN($B217,1)+5)+(Y217-VLOOKUP($C217*1000+1,$A:$HH,Y$92,FALSE)),0)</f>
        <v>3337</v>
      </c>
      <c r="AL217" s="150">
        <f>ROUND(INDEX(Input!$1:$1048576,AL$93,$C216*2+MIN($B217,1)+5)-(Y217-VLOOKUP($C217*1000+1,$A:$HH,Y$92,FALSE))/36,0)</f>
        <v>3385</v>
      </c>
      <c r="AM217" s="32" t="str">
        <f t="shared" si="663"/>
        <v>std/std/std/std</v>
      </c>
      <c r="AN217" s="32" t="str">
        <f t="shared" si="664"/>
        <v>$0 + 0/0/0/1.9/3.9</v>
      </c>
      <c r="AO217" s="32" t="str">
        <f t="shared" si="665"/>
        <v>0/0/0/1.9/3.9</v>
      </c>
      <c r="AP217" s="32" t="str">
        <f t="shared" si="498"/>
        <v>0/0.9/1.9/3.9</v>
      </c>
      <c r="AQ217" s="536">
        <f t="shared" si="497"/>
        <v>0.33614596080074888</v>
      </c>
      <c r="AR217" s="32"/>
      <c r="AS217" s="302"/>
      <c r="AT217" s="3">
        <f t="shared" si="717"/>
        <v>17</v>
      </c>
      <c r="AU217" s="41" t="s">
        <v>121</v>
      </c>
      <c r="AV217" s="41" t="s">
        <v>116</v>
      </c>
      <c r="AW217" s="41" t="str">
        <f>INDEX(Input!$1:$1048576,AW$93,$C217*2+6)</f>
        <v>Kia</v>
      </c>
      <c r="AX217" s="41" t="str">
        <f>INDEX(Input!$1:$1048576,AX$93,$C217*2+6)</f>
        <v>Kia-LR - L2</v>
      </c>
      <c r="AY217" s="41" t="str">
        <f>IF(LEN(D217)=0,"",INDEX(Input!$1:$1048576,AY$93,$C217*2+6))</f>
        <v>Compact SUV (52)</v>
      </c>
      <c r="AZ217" s="41" t="str">
        <f>INDEX(Input!$1:$1048576,AZ$93,$C217*2+6)</f>
        <v>Kia Soul</v>
      </c>
      <c r="BA217" s="3">
        <f>INDEX(Input!$1:$1048576,BA$93,$C217*2+6)</f>
        <v>2020</v>
      </c>
      <c r="BB217" s="128">
        <f>INDEX(Input!$1:$1048576,BB$93,$C217*2+6)</f>
        <v>1</v>
      </c>
      <c r="BC217" s="128">
        <f>INDEX(Input!$1:$1048576,BC$93,$C217*2+6)</f>
        <v>0.7</v>
      </c>
      <c r="BD217" s="1">
        <f>INDEX(Input!$1:$1048576,BD$93,$C217*2+6)</f>
        <v>4.4999999999999998E-2</v>
      </c>
      <c r="BE217" s="1">
        <f>INDEX(Input!$1:$1048576,BE$93,$C217*2+6)</f>
        <v>4.4999999999999998E-2</v>
      </c>
      <c r="BF217" s="1">
        <f>INDEX(Input!$1:$1048576,BF$93,$C217*2+6)</f>
        <v>0.05</v>
      </c>
      <c r="BG217" s="1">
        <f>INDEX(Input!$1:$1048576,BG$93,$C217*2+6)</f>
        <v>5.45E-2</v>
      </c>
      <c r="BH217" s="1">
        <f>INDEX(Input!$1:$1048576,BH$93,$C217*2+6)</f>
        <v>5.45E-2</v>
      </c>
      <c r="BI217" s="1">
        <f>INDEX(Input!$1:$1048576,BI$93,$C217*2+6)</f>
        <v>0.05</v>
      </c>
      <c r="BJ217" s="1">
        <f>INDEX(Input!$1:$1048576,BJ$93,$C217*2+6)</f>
        <v>0.05</v>
      </c>
      <c r="BK217" s="1">
        <f>INDEX(Input!$1:$1048576,BK$93,$C217*2+6)</f>
        <v>0.05</v>
      </c>
      <c r="BL217" s="1">
        <f>INDEX(Input!$1:$1048576,BL$93,$C217*2+6)</f>
        <v>5.5E-2</v>
      </c>
      <c r="BM217" s="1">
        <f>INDEX(Input!$1:$1048576,BM$93,$C217*2+6)</f>
        <v>0.06</v>
      </c>
      <c r="BN217" s="1">
        <f>INDEX(Input!$1:$1048576,BN$93,$C217*2+6)</f>
        <v>4.4999999999999998E-2</v>
      </c>
      <c r="BO217" s="1">
        <f>INDEX(Input!$1:$1048576,BO$93,$C217*2+6)</f>
        <v>4.4999999999999998E-2</v>
      </c>
      <c r="BP217" s="1">
        <f>INDEX(Input!$1:$1048576,BP$93,$C217*2+6)</f>
        <v>0.05</v>
      </c>
      <c r="BQ217" s="1">
        <f>INDEX(Input!$1:$1048576,BQ$93,$C217*2+6)</f>
        <v>5.45E-2</v>
      </c>
      <c r="BR217" s="1">
        <f>INDEX(Input!$1:$1048576,BR$93,$C217*2+6)</f>
        <v>5.45E-2</v>
      </c>
      <c r="BS217" s="1">
        <f>INDEX(Input!$1:$1048576,BS$93,$C217*2+6)</f>
        <v>0.05</v>
      </c>
      <c r="BT217" s="1">
        <f>INDEX(Input!$1:$1048576,BT$93,$C217*2+6)</f>
        <v>0.05</v>
      </c>
      <c r="BU217" s="1">
        <f>INDEX(Input!$1:$1048576,BU$93,$C217*2+6)</f>
        <v>0.05</v>
      </c>
      <c r="BV217" s="1">
        <f>INDEX(Input!$1:$1048576,BV$93,$C217*2+6)</f>
        <v>5.5E-2</v>
      </c>
      <c r="BW217" s="1">
        <f>INDEX(Input!$1:$1048576,BW$93,$C217*2+6)</f>
        <v>0.06</v>
      </c>
      <c r="BX217" s="127">
        <f>INDEX(Input!$1:$1048576,BX$93,$C217*2+6)</f>
        <v>19985</v>
      </c>
      <c r="BY217" s="20">
        <f>INDEX(Input!$1:$1048576,BY$93,$C217*2+6)</f>
        <v>0.1</v>
      </c>
      <c r="BZ217" s="20">
        <f>INDEX(Input!$1:$1048576,BZ$93,$C217*2+6)</f>
        <v>0.1</v>
      </c>
      <c r="CA217" s="20">
        <f>INDEX(Input!$1:$1048576,CA$93,$C217*2+6)</f>
        <v>0.1</v>
      </c>
      <c r="CB217" s="20">
        <f>INDEX(Input!$1:$1048576,CB$93,$C217*2+6)</f>
        <v>0.1</v>
      </c>
      <c r="CC217" s="20">
        <f>INDEX(Input!$1:$1048576,CC$93,$C217*2+6)</f>
        <v>0.1</v>
      </c>
      <c r="CD217" s="384">
        <f>INDEX(Input!$1:$1048576,CD$93,$C217*2+6)</f>
        <v>0.1</v>
      </c>
      <c r="CE217" s="384">
        <f>INDEX(Input!$1:$1048576,CE$93,$C217*2+6)</f>
        <v>0.1</v>
      </c>
      <c r="CF217" s="384">
        <f>INDEX(Input!$1:$1048576,CF$93,$C217*2+6)</f>
        <v>0.1</v>
      </c>
      <c r="CG217" s="384">
        <f>INDEX(Input!$1:$1048576,CG$93,$C217*2+6)</f>
        <v>0.1</v>
      </c>
      <c r="CH217" s="384">
        <f>INDEX(Input!$1:$1048576,CH$93,$C217*2+6)</f>
        <v>0.1</v>
      </c>
      <c r="CI217" s="304">
        <f t="shared" si="499"/>
        <v>1269.7618664521319</v>
      </c>
      <c r="CJ217" s="16" t="str">
        <f>INDEX(Input!$1:$1048576,CJ$93,$C217*2+6)</f>
        <v>N</v>
      </c>
      <c r="CK217" s="1" t="str">
        <f t="shared" si="500"/>
        <v>Market</v>
      </c>
      <c r="CL217" s="1" t="str">
        <f t="shared" si="501"/>
        <v>Market</v>
      </c>
      <c r="CM217" s="1" t="str">
        <f t="shared" si="502"/>
        <v>Market</v>
      </c>
      <c r="CN217" s="1" t="str">
        <f t="shared" si="503"/>
        <v>Market</v>
      </c>
      <c r="CO217" s="1" t="str">
        <f t="shared" si="504"/>
        <v>Market</v>
      </c>
      <c r="CP217" s="304">
        <f t="shared" si="505"/>
        <v>473</v>
      </c>
      <c r="CQ217" s="1">
        <f t="shared" si="506"/>
        <v>0</v>
      </c>
      <c r="CR217" s="1">
        <f t="shared" si="507"/>
        <v>0</v>
      </c>
      <c r="CS217" s="1">
        <f t="shared" si="508"/>
        <v>0</v>
      </c>
      <c r="CT217" s="1">
        <f t="shared" si="509"/>
        <v>1.9E-2</v>
      </c>
      <c r="CU217" s="1">
        <f t="shared" si="510"/>
        <v>3.9E-2</v>
      </c>
      <c r="CV217" s="304">
        <f t="shared" si="511"/>
        <v>416</v>
      </c>
      <c r="CW217" s="20" t="s">
        <v>122</v>
      </c>
      <c r="CX217" s="20" t="s">
        <v>122</v>
      </c>
      <c r="CY217" s="20" t="s">
        <v>122</v>
      </c>
      <c r="CZ217" s="20" t="s">
        <v>122</v>
      </c>
      <c r="DA217" s="20" t="s">
        <v>122</v>
      </c>
      <c r="DB217" s="503">
        <f t="shared" si="512"/>
        <v>0</v>
      </c>
      <c r="DC217" s="127">
        <v>0</v>
      </c>
      <c r="DD217" s="127">
        <v>0</v>
      </c>
      <c r="DE217" s="127">
        <v>0</v>
      </c>
      <c r="DF217" s="127">
        <v>0</v>
      </c>
      <c r="DG217" s="127">
        <v>0</v>
      </c>
      <c r="DH217" s="127">
        <v>0</v>
      </c>
      <c r="DI217" s="127">
        <v>0</v>
      </c>
      <c r="DJ217" s="127">
        <v>0</v>
      </c>
      <c r="DK217" s="127">
        <v>0</v>
      </c>
      <c r="DL217" s="127">
        <v>0</v>
      </c>
      <c r="DM217" s="304">
        <f>INDEX(Input!$1:$1048576,DM$93,$C217*2+6)</f>
        <v>21036.84210526316</v>
      </c>
      <c r="DN217" s="20">
        <v>0</v>
      </c>
      <c r="DO217" s="20">
        <v>0</v>
      </c>
      <c r="DP217" s="20">
        <v>0</v>
      </c>
      <c r="DQ217" s="20">
        <v>0</v>
      </c>
      <c r="DR217" s="20">
        <v>0</v>
      </c>
      <c r="DS217" s="20">
        <f>INDEX(Input!$1:$1048576,DS$93,$C217*2+6)</f>
        <v>0.6</v>
      </c>
      <c r="DT217" s="20">
        <f>INDEX(Input!$1:$1048576,DT$93,$C217*2+6)</f>
        <v>0.55000000000000004</v>
      </c>
      <c r="DU217" s="20">
        <f>INDEX(Input!$1:$1048576,DU$93,$C217*2+6)</f>
        <v>0.52</v>
      </c>
      <c r="DV217" s="20">
        <f>INDEX(Input!$1:$1048576,DV$93,$C217*2+6)</f>
        <v>0.5</v>
      </c>
      <c r="DW217" s="20">
        <f>INDEX(Input!$1:$1048576,DW$93,$C217*2+6)</f>
        <v>0.45</v>
      </c>
      <c r="DX217" s="20"/>
      <c r="DY217" s="7">
        <v>8.8889382525030425E-2</v>
      </c>
      <c r="DZ217" s="7">
        <v>0</v>
      </c>
      <c r="EA217" s="7">
        <v>0.62979449125457554</v>
      </c>
      <c r="EB217" s="7">
        <v>0</v>
      </c>
      <c r="EC217" s="7">
        <v>0</v>
      </c>
      <c r="ED217" s="7">
        <v>0</v>
      </c>
      <c r="EE217" s="7">
        <v>0</v>
      </c>
      <c r="EF217" s="7">
        <v>0</v>
      </c>
      <c r="EG217" s="7">
        <v>0</v>
      </c>
      <c r="EH217" s="7">
        <v>1.4251111483829664E-2</v>
      </c>
      <c r="EI217" s="7">
        <v>4.0555154355591885E-2</v>
      </c>
      <c r="EJ217" s="7">
        <v>0.30710940035774109</v>
      </c>
      <c r="EK217" s="7">
        <v>0.52686576735157253</v>
      </c>
      <c r="EL217" s="7">
        <v>0.11121856645126502</v>
      </c>
      <c r="EM217" s="7">
        <v>5.5088249651188831E-2</v>
      </c>
      <c r="EN217" s="7">
        <v>6.6807037548530845E-2</v>
      </c>
      <c r="EO217" s="7">
        <v>0.74267092858828798</v>
      </c>
      <c r="EP217" s="7">
        <v>8.2279361412936625E-2</v>
      </c>
      <c r="EQ217" s="7">
        <v>7.0177061906210758E-2</v>
      </c>
      <c r="ER217" s="7">
        <v>3.806561054403379E-2</v>
      </c>
      <c r="ES217" s="7">
        <v>0.22622787656920523</v>
      </c>
      <c r="ET217" s="7">
        <v>0.28131612622039404</v>
      </c>
      <c r="EU217" s="6">
        <v>1294</v>
      </c>
      <c r="EV217" s="6">
        <v>0</v>
      </c>
      <c r="EW217" s="6">
        <v>1294</v>
      </c>
      <c r="EX217" s="6">
        <v>0</v>
      </c>
      <c r="EY217" s="6">
        <v>2053.9165752493132</v>
      </c>
      <c r="EZ217" s="6">
        <v>1306</v>
      </c>
      <c r="FA217" s="6">
        <v>0</v>
      </c>
      <c r="FB217" s="6">
        <v>0</v>
      </c>
      <c r="FC217" s="6">
        <v>0</v>
      </c>
      <c r="FD217" s="6">
        <v>0</v>
      </c>
      <c r="FE217" s="6">
        <v>0</v>
      </c>
      <c r="FF217" s="6">
        <v>0</v>
      </c>
      <c r="FG217" s="6">
        <v>0</v>
      </c>
      <c r="FH217" s="6">
        <v>1173.7283849034197</v>
      </c>
      <c r="FI217" s="6">
        <v>1553.9796069512399</v>
      </c>
      <c r="FJ217" s="6">
        <v>2101.2110117447419</v>
      </c>
      <c r="FK217" s="6">
        <v>1772.7139978623229</v>
      </c>
      <c r="FL217" s="6">
        <v>907.07682140966301</v>
      </c>
      <c r="FM217" s="6">
        <v>1759.9165752493132</v>
      </c>
      <c r="FN217" s="6">
        <v>0</v>
      </c>
      <c r="FO217" s="6">
        <v>0</v>
      </c>
      <c r="FP217" s="6">
        <v>0</v>
      </c>
      <c r="FQ217" s="6">
        <v>0</v>
      </c>
      <c r="FR217" s="6">
        <v>0</v>
      </c>
      <c r="FS217" s="6">
        <v>0</v>
      </c>
      <c r="FT217" s="7">
        <v>0.71868387377960596</v>
      </c>
      <c r="FU217" s="7">
        <v>5.5088249651188831E-2</v>
      </c>
      <c r="FV217" s="7">
        <v>0.22622787656920523</v>
      </c>
      <c r="FW217" s="6">
        <v>1293.9999999999998</v>
      </c>
      <c r="FX217" s="6">
        <v>2053.9165752493132</v>
      </c>
      <c r="FY217" s="6">
        <v>1306</v>
      </c>
      <c r="FZ217" s="6">
        <v>1817.4615072224267</v>
      </c>
      <c r="GA217" s="6">
        <v>1338.577208530241</v>
      </c>
      <c r="GB217" s="6">
        <v>18646.422791469759</v>
      </c>
      <c r="GC217" s="7">
        <v>1.804905384453976E-2</v>
      </c>
      <c r="GD217" s="7">
        <v>1.7349635244082222E-2</v>
      </c>
      <c r="GE217" s="7"/>
      <c r="GF217" s="7"/>
      <c r="GG217" s="7">
        <v>-3.8750984205697177E-2</v>
      </c>
      <c r="GH217" s="42">
        <v>1.6171722929021042</v>
      </c>
      <c r="GI217" s="6">
        <v>13696.567812076768</v>
      </c>
      <c r="GJ217" s="14">
        <v>0.50394797582841733</v>
      </c>
      <c r="GK217" s="14">
        <v>0.5088757306530971</v>
      </c>
      <c r="GL217" s="14">
        <v>0.49605202417158267</v>
      </c>
      <c r="GM217" s="14">
        <v>0.49112426934690218</v>
      </c>
      <c r="GO217" s="5">
        <v>343.14810671672558</v>
      </c>
      <c r="GP217" s="5">
        <v>318.46105531198077</v>
      </c>
      <c r="GQ217" s="5">
        <v>535.04305713031317</v>
      </c>
      <c r="GR217" s="5">
        <v>410.15490233172511</v>
      </c>
      <c r="GS217" s="5">
        <v>339.42744393800166</v>
      </c>
      <c r="GT217" s="5">
        <v>293.4407446948278</v>
      </c>
      <c r="GU217" s="5">
        <v>258.04012322764959</v>
      </c>
      <c r="GV217" s="39" t="s">
        <v>392</v>
      </c>
      <c r="GW217" s="5">
        <v>491.45833333333331</v>
      </c>
      <c r="GX217" s="5">
        <v>368.59375</v>
      </c>
      <c r="GY217" s="5">
        <v>294.875</v>
      </c>
      <c r="GZ217" s="5">
        <v>260.19607020114813</v>
      </c>
      <c r="HA217" s="5">
        <v>241.02179695997205</v>
      </c>
      <c r="HB217" s="39">
        <v>276.40558928402328</v>
      </c>
      <c r="HC217" s="5">
        <v>230.14687499999999</v>
      </c>
      <c r="HD217" s="5">
        <v>200.80677997076018</v>
      </c>
      <c r="HE217" s="5">
        <v>204.75485408232115</v>
      </c>
      <c r="HF217" s="5">
        <v>190.70750548245613</v>
      </c>
      <c r="HG217" s="5">
        <v>185.59971491228069</v>
      </c>
      <c r="HH217" s="39">
        <v>201.80414619075884</v>
      </c>
      <c r="HI217" s="16"/>
      <c r="HJ217" s="19" t="str">
        <f t="shared" si="685"/>
        <v>On</v>
      </c>
      <c r="HK217" s="1" t="str">
        <f t="shared" si="685"/>
        <v>On</v>
      </c>
      <c r="HL217" s="16"/>
      <c r="HM217" s="639">
        <f t="shared" si="634"/>
        <v>1.2768706344444866E-2</v>
      </c>
      <c r="HN217" s="639">
        <f t="shared" si="635"/>
        <v>9.795534288915453E-4</v>
      </c>
      <c r="HO217" s="639">
        <f t="shared" si="636"/>
        <v>3.3583061774515237E-3</v>
      </c>
      <c r="HP217" s="644">
        <f>(FT217*$GD217-HM217)/$JF217*INDEX(Input!$1:$1048576,$JG$93,$C217*2+6)</f>
        <v>-21.784353231849416</v>
      </c>
      <c r="HQ217" s="644">
        <f>(FU217*$GD217-HN217)/$JF217*INDEX(Input!$1:$1048576,$JG$93,$C217*2+6)</f>
        <v>-1.7288064920345785</v>
      </c>
      <c r="HR217" s="644">
        <f>(FV217*$GD217-HO217)/$JF217*INDEX(Input!$1:$1048576,$JG$93,$C217*2+6)</f>
        <v>41.175099147259715</v>
      </c>
      <c r="HS217" s="644">
        <f t="shared" si="686"/>
        <v>-2.6624734659081275</v>
      </c>
      <c r="HT217" s="644">
        <f t="shared" si="638"/>
        <v>2.8076486987449263</v>
      </c>
      <c r="HU217" s="644">
        <f t="shared" si="639"/>
        <v>8.1451353905538983</v>
      </c>
      <c r="HV217" s="648">
        <f t="shared" si="640"/>
        <v>0</v>
      </c>
      <c r="HW217" s="648">
        <f t="shared" si="641"/>
        <v>0</v>
      </c>
      <c r="HX217" s="648">
        <f t="shared" si="642"/>
        <v>0</v>
      </c>
      <c r="HY217" s="644">
        <f>INDEX(Input!$1:$1048576,HY$93,$C217*2+6)*INDEX(Input!$1:$1048576,$JG$93,$C217*2+6)</f>
        <v>451</v>
      </c>
      <c r="HZ217" s="644">
        <f>INDEX(Input!$1:$1048576,HZ$93,$C217*2+6)*INDEX(Input!$1:$1048576,$JG$93,$C217*2+6)</f>
        <v>577</v>
      </c>
      <c r="IA217" s="644">
        <f>INDEX(Input!$1:$1048576,IA$93,$C217*2+6)*INDEX(Input!$1:$1048576,$JG$93,$C217*2+6)</f>
        <v>215</v>
      </c>
      <c r="IB217" s="644">
        <f t="shared" si="666"/>
        <v>426.55317330224244</v>
      </c>
      <c r="IC217" s="644">
        <f t="shared" si="667"/>
        <v>578.07884220671042</v>
      </c>
      <c r="ID217" s="644">
        <f>IF(AND(INDEX(Input!$1:$1048576,IA$93,$C217*2+7)="TOS",Y217&lt;=INDEX(Y:Y,MATCH(C217*1000+2,A:A))),0,1)*MAX(IA217+HR217+HU217+HX217,0%)</f>
        <v>264.32023453781363</v>
      </c>
      <c r="IE217" s="128">
        <f t="shared" si="718"/>
        <v>0.33614596080074888</v>
      </c>
      <c r="IF217" s="128">
        <f t="shared" si="643"/>
        <v>0.45555602441731408</v>
      </c>
      <c r="IG217" s="128">
        <f t="shared" si="644"/>
        <v>0.20829801478193705</v>
      </c>
      <c r="IH217" s="21"/>
      <c r="II217" s="19">
        <f t="shared" si="645"/>
        <v>1252</v>
      </c>
      <c r="IJ217" s="19">
        <f t="shared" si="646"/>
        <v>2011.9658773055378</v>
      </c>
      <c r="IK217" s="19">
        <f t="shared" si="647"/>
        <v>919</v>
      </c>
      <c r="IL217" s="19">
        <f t="shared" si="669"/>
        <v>41.999999999999773</v>
      </c>
      <c r="IM217" s="19">
        <f t="shared" si="648"/>
        <v>41.950697943775367</v>
      </c>
      <c r="IN217" s="19">
        <f t="shared" si="649"/>
        <v>387</v>
      </c>
      <c r="IO217" s="39">
        <f t="shared" si="650"/>
        <v>0</v>
      </c>
      <c r="IP217" s="39">
        <f t="shared" si="651"/>
        <v>0</v>
      </c>
      <c r="IQ217" s="39">
        <f t="shared" si="652"/>
        <v>0</v>
      </c>
      <c r="IR217" s="39">
        <v>0</v>
      </c>
      <c r="IS217" s="39">
        <v>0</v>
      </c>
      <c r="IT217" s="39">
        <v>0</v>
      </c>
      <c r="IU217" s="39">
        <v>0</v>
      </c>
      <c r="IV217" s="39">
        <v>0</v>
      </c>
      <c r="IW217" s="39">
        <v>0</v>
      </c>
      <c r="IX217" s="39">
        <f>INDEX(Input!$1:$1048576,IX$93,$C217*2+6)+INDEX(Input!$1:$1048576,IX$94,$C217*2+6)</f>
        <v>1294</v>
      </c>
      <c r="IY217" s="39">
        <f>INDEX(Input!$1:$1048576,IY$93,$C217*2+6)+INDEX(Input!$1:$1048576,IY$94,$C217*2+6)</f>
        <v>2154.0624533823611</v>
      </c>
      <c r="IZ217" s="39">
        <f>INDEX(Input!$1:$1048576,IZ$93,$C217*2+6)+INDEX(Input!$1:$1048576,IZ$94,$C217*2+6)</f>
        <v>3677.7164157747848</v>
      </c>
      <c r="JA217" s="19">
        <f t="shared" si="670"/>
        <v>1335.9999999999998</v>
      </c>
      <c r="JB217" s="19">
        <f t="shared" si="671"/>
        <v>2196.0131513261367</v>
      </c>
      <c r="JC217" s="19">
        <f t="shared" si="672"/>
        <v>4064.7164157747848</v>
      </c>
      <c r="JD217" s="19">
        <f t="shared" si="673"/>
        <v>2296.1703844735111</v>
      </c>
      <c r="JE217" s="21"/>
      <c r="JF217" s="1">
        <f t="shared" si="653"/>
        <v>1.7106565950787935E-2</v>
      </c>
      <c r="JG217" s="15">
        <f>INDEX(Input!$1:$1048576,JG$93,$C217*2+6)/(1+VLOOKUP(C217*1000+INDEX(Input!$1:$1048576,JG$93+1,$C217*2+6),$A:$KK,$JK$92,FALSE))</f>
        <v>1243</v>
      </c>
      <c r="JH217" s="1">
        <f t="shared" si="674"/>
        <v>1.4209122625402833E-2</v>
      </c>
      <c r="JI217" s="1">
        <f t="shared" si="675"/>
        <v>6.6695982489064333E-3</v>
      </c>
      <c r="JJ217" s="1">
        <f t="shared" si="711"/>
        <v>0</v>
      </c>
      <c r="JK217" s="1">
        <f t="shared" si="715"/>
        <v>2.0878720874309267E-2</v>
      </c>
      <c r="JL217" s="15">
        <f t="shared" si="678"/>
        <v>25.952250046766419</v>
      </c>
      <c r="JM217" s="15">
        <f t="shared" si="702"/>
        <v>1268.9522500467665</v>
      </c>
      <c r="JN217" s="21"/>
      <c r="JO217" s="19">
        <f>INDEX(Input!$1:$1048576,JO$93,$C217*2+6)</f>
        <v>5995.5</v>
      </c>
      <c r="JP217" s="19">
        <f>INDEX(Input!$1:$1048576,JP$93,$C217*2+6)</f>
        <v>2105.548724853742</v>
      </c>
      <c r="JQ217" s="39">
        <f t="shared" si="688"/>
        <v>3699.3296155264889</v>
      </c>
      <c r="JR217" s="39">
        <f t="shared" si="705"/>
        <v>190.62165961976916</v>
      </c>
      <c r="JS217" s="39">
        <f t="shared" si="690"/>
        <v>2.9137305758684109</v>
      </c>
      <c r="JT217" s="39">
        <f t="shared" si="680"/>
        <v>0.29653351087520968</v>
      </c>
      <c r="JU217" s="385">
        <f>(JQ217*JM217-INDEX(Input!$1:$1048576,Input!A$18,$C217*2+6)*JL217*INDEX(Input!$1:$1048576,Input!A$19,$C217*2+6))/1000000</f>
        <v>4.6942726392869769</v>
      </c>
      <c r="JV217" s="39">
        <f t="shared" si="712"/>
        <v>-0.14093679571982154</v>
      </c>
      <c r="JW217" s="1">
        <f t="shared" si="703"/>
        <v>-2.9148022978992921E-2</v>
      </c>
      <c r="JX217" s="19">
        <f t="shared" si="694"/>
        <v>11426.119521076245</v>
      </c>
      <c r="JZ217" s="341"/>
      <c r="KA217" s="342"/>
      <c r="KB217" s="469">
        <f t="shared" si="691"/>
        <v>2.5660492421988774</v>
      </c>
      <c r="KI217" s="473">
        <f t="shared" si="719"/>
        <v>-24.446826697757558</v>
      </c>
      <c r="KJ217" s="473">
        <f t="shared" si="720"/>
        <v>1.0788422067104193</v>
      </c>
      <c r="KK217" s="473">
        <f t="shared" si="682"/>
        <v>49.320234537813633</v>
      </c>
      <c r="KN217" s="544">
        <f t="shared" si="695"/>
        <v>2002</v>
      </c>
      <c r="KO217" s="541">
        <f t="shared" si="657"/>
        <v>1.4863962460789137E-2</v>
      </c>
      <c r="KP217" s="546">
        <f t="shared" si="658"/>
        <v>74.964307679057413</v>
      </c>
      <c r="KQ217" s="546">
        <f t="shared" si="659"/>
        <v>152.49004504003824</v>
      </c>
      <c r="KR217" s="548">
        <f t="shared" si="660"/>
        <v>3.5375862713354489</v>
      </c>
      <c r="KS217" s="548">
        <f t="shared" si="661"/>
        <v>1.7390820864140364</v>
      </c>
      <c r="KT217" s="473">
        <f t="shared" si="693"/>
        <v>843.26993010479111</v>
      </c>
      <c r="KU217" s="663">
        <f t="shared" si="683"/>
        <v>4.3936020719320537</v>
      </c>
      <c r="KV217" s="117" t="e">
        <f t="shared" si="713"/>
        <v>#N/A</v>
      </c>
    </row>
    <row r="218" spans="1:308" s="26" customFormat="1" ht="15">
      <c r="A218" s="561">
        <f t="shared" si="662"/>
        <v>2018</v>
      </c>
      <c r="B218" s="561">
        <f t="shared" si="684"/>
        <v>18</v>
      </c>
      <c r="C218" s="561">
        <f t="shared" si="105"/>
        <v>2</v>
      </c>
      <c r="D218" s="561" t="str">
        <f t="shared" si="704"/>
        <v xml:space="preserve">720 Lease, </v>
      </c>
      <c r="E218" s="115">
        <f>INDEX(Input!$1:$1048576,E$93,$C218*2+MIN($B218,2)+5)</f>
        <v>1269.7618664521319</v>
      </c>
      <c r="F218" s="115">
        <f>INDEX(Input!$1:$1048576,F$93,$C218*2+MIN($B218,2)+5)</f>
        <v>0</v>
      </c>
      <c r="G218" s="115">
        <f>INDEX(Input!$1:$1048576,G$93,$C218*2+MIN($B218,2)+5)</f>
        <v>0</v>
      </c>
      <c r="H218" s="115">
        <f>INDEX(Input!$1:$1048576,H$93,$C218*2+MIN($B218,2)+5)</f>
        <v>0</v>
      </c>
      <c r="I218" s="118">
        <f>INDEX(Input!$1:$1048576,I$93,$C218*2+MIN($B218,2)+5)</f>
        <v>0.7</v>
      </c>
      <c r="J218" s="118" t="str">
        <f>INDEX(Input!$1:$1048576,J$93,$C218*2+MIN($B218,2)+5)</f>
        <v>Market</v>
      </c>
      <c r="K218" s="118" t="str">
        <f>INDEX(Input!$1:$1048576,K$93,$C218*2+MIN($B218,2)+5)</f>
        <v>Market</v>
      </c>
      <c r="L218" s="118" t="str">
        <f>INDEX(Input!$1:$1048576,L$93,$C218*2+MIN($B218,2)+5)</f>
        <v>Market</v>
      </c>
      <c r="M218" s="118" t="str">
        <f>INDEX(Input!$1:$1048576,M$93,$C218*2+MIN($B218,2)+5)</f>
        <v>Market</v>
      </c>
      <c r="N218" s="118" t="str">
        <f>INDEX(Input!$1:$1048576,N$93,$C218*2+MIN($B218,2)+5)</f>
        <v>Market</v>
      </c>
      <c r="O218" s="118" t="str">
        <f>INDEX(Input!$1:$1048576,O$93,$C218*2+MIN($B218,2)+5)</f>
        <v>Market</v>
      </c>
      <c r="P218" s="118" t="str">
        <f>INDEX(Input!$1:$1048576,P$93,$C218*2+MIN($B218,2)+5)</f>
        <v>N</v>
      </c>
      <c r="Q218" s="30">
        <f>INDEX(Input!$1:$1048576,Q$93,$C218*2+MIN($B218,2)+5)</f>
        <v>0</v>
      </c>
      <c r="R218" s="383">
        <f>INDEX(Input!$1:$1048576,R$93,$C218*2+MIN($B218,2)+5)</f>
        <v>0</v>
      </c>
      <c r="S218" s="383">
        <f>INDEX(Input!$1:$1048576,S$93,$C218*2+MIN($B218,2)+5)</f>
        <v>0</v>
      </c>
      <c r="T218" s="383">
        <f>INDEX(Input!$1:$1048576,T$93,$C218*2+MIN($B218,2)+5)</f>
        <v>0</v>
      </c>
      <c r="U218" s="383">
        <f>INDEX(Input!$1:$1048576,U$93,$C218*2+MIN($B218,2)+5)</f>
        <v>0</v>
      </c>
      <c r="V218" s="383">
        <f>INDEX(Input!$1:$1048576,V$93,$C218*2+MIN($B218,2)+5)</f>
        <v>1.9E-2</v>
      </c>
      <c r="W218" s="884">
        <f>INDEX(Input!$1:$1048576,W$93,$C218*2+MIN($B218,2)+5)</f>
        <v>3.9E-2</v>
      </c>
      <c r="X218" s="118" t="str">
        <f>INDEX(Input!$1:$1048576,X$93,$C218*2+MIN($B218,2)+5)</f>
        <v>Y</v>
      </c>
      <c r="Y218" s="475">
        <f>INDEX(Input!$1:$1048576,Y$93,$C218*2+MIN($B218,2)+5)+720</f>
        <v>776</v>
      </c>
      <c r="Z218" s="30">
        <f>INDEX(Input!$1:$1048576,Z$93,$C218*2+MIN($B218,2)+5)</f>
        <v>0</v>
      </c>
      <c r="AA218" s="115">
        <f>INDEX(Input!$1:$1048576,AA$93,$C218*2+MIN($B218,2)+5)</f>
        <v>0</v>
      </c>
      <c r="AB218" s="118">
        <f>INDEX(Input!$1:$1048576,AB$93,$C218*2+MIN($B218,2)+5)</f>
        <v>0.27</v>
      </c>
      <c r="AC218" s="115">
        <f>INDEX(Input!$1:$1048576,AC$93,$C218*2+MIN($B218,2)+5)</f>
        <v>0</v>
      </c>
      <c r="AD218" s="118">
        <f>INDEX(Input!$1:$1048576,AD$93,$C218*2+MIN($B218,2)+5)</f>
        <v>0.27</v>
      </c>
      <c r="AE218" s="115">
        <f>INDEX(Input!$1:$1048576,AE$93,$C218*2+MIN($B218,2)+5)</f>
        <v>0</v>
      </c>
      <c r="AF218" s="118">
        <f>INDEX(Input!$1:$1048576,AF$93,$C218*2+MIN($B218,2)+5)</f>
        <v>4.8000000000000001E-2</v>
      </c>
      <c r="AG218" s="115">
        <f>INDEX(Input!$1:$1048576,AG$93,$C218*2+MIN($B218,2)+5)</f>
        <v>500</v>
      </c>
      <c r="AH218" s="118">
        <f>INDEX(Input!$1:$1048576,AH$93,$C218*2+MIN($B218,2)+5)</f>
        <v>0.94599999999999995</v>
      </c>
      <c r="AI218" s="115">
        <f>INDEX(Input!$1:$1048576,AI$93,$C218*2+MIN($B218,2)+5)</f>
        <v>0</v>
      </c>
      <c r="AJ218" s="118">
        <f>INDEX(Input!$1:$1048576,AJ$93,$C218*2+MIN($B218,2)+5)</f>
        <v>0.27</v>
      </c>
      <c r="AK218" s="150">
        <f>ROUND(INDEX(Input!$1:$1048576,AK$93,$C217*2+MIN($B218,1)+5)+(Y218-VLOOKUP($C218*1000+1,$A:$HH,Y$92,FALSE)),0)</f>
        <v>3697</v>
      </c>
      <c r="AL218" s="150">
        <f>ROUND(INDEX(Input!$1:$1048576,AL$93,$C217*2+MIN($B218,1)+5)-(Y218-VLOOKUP($C218*1000+1,$A:$HH,Y$92,FALSE))/36,0)</f>
        <v>3375</v>
      </c>
      <c r="AM218" s="32" t="str">
        <f t="shared" si="663"/>
        <v>std/std/std/std</v>
      </c>
      <c r="AN218" s="32" t="str">
        <f t="shared" si="664"/>
        <v>$0 + 0/0/0/1.9/3.9</v>
      </c>
      <c r="AO218" s="32" t="str">
        <f t="shared" si="665"/>
        <v>0/0/0/1.9/3.9</v>
      </c>
      <c r="AP218" s="32" t="str">
        <f t="shared" si="498"/>
        <v>0/0.9/1.9/3.9</v>
      </c>
      <c r="AQ218" s="536">
        <f t="shared" si="497"/>
        <v>0.30530254291837067</v>
      </c>
      <c r="AR218" s="32"/>
      <c r="AS218" s="302"/>
      <c r="AT218" s="3">
        <f t="shared" si="717"/>
        <v>18</v>
      </c>
      <c r="AU218" s="41" t="s">
        <v>121</v>
      </c>
      <c r="AV218" s="41" t="s">
        <v>116</v>
      </c>
      <c r="AW218" s="41" t="str">
        <f>INDEX(Input!$1:$1048576,AW$93,$C218*2+6)</f>
        <v>Kia</v>
      </c>
      <c r="AX218" s="41" t="str">
        <f>INDEX(Input!$1:$1048576,AX$93,$C218*2+6)</f>
        <v>Kia-LR - L2</v>
      </c>
      <c r="AY218" s="41" t="str">
        <f>IF(LEN(D218)=0,"",INDEX(Input!$1:$1048576,AY$93,$C218*2+6))</f>
        <v>Compact SUV (52)</v>
      </c>
      <c r="AZ218" s="41" t="str">
        <f>INDEX(Input!$1:$1048576,AZ$93,$C218*2+6)</f>
        <v>Kia Soul</v>
      </c>
      <c r="BA218" s="3">
        <f>INDEX(Input!$1:$1048576,BA$93,$C218*2+6)</f>
        <v>2020</v>
      </c>
      <c r="BB218" s="128">
        <f>INDEX(Input!$1:$1048576,BB$93,$C218*2+6)</f>
        <v>1</v>
      </c>
      <c r="BC218" s="128">
        <f>INDEX(Input!$1:$1048576,BC$93,$C218*2+6)</f>
        <v>0.7</v>
      </c>
      <c r="BD218" s="1">
        <f>INDEX(Input!$1:$1048576,BD$93,$C218*2+6)</f>
        <v>4.4999999999999998E-2</v>
      </c>
      <c r="BE218" s="1">
        <f>INDEX(Input!$1:$1048576,BE$93,$C218*2+6)</f>
        <v>4.4999999999999998E-2</v>
      </c>
      <c r="BF218" s="1">
        <f>INDEX(Input!$1:$1048576,BF$93,$C218*2+6)</f>
        <v>0.05</v>
      </c>
      <c r="BG218" s="1">
        <f>INDEX(Input!$1:$1048576,BG$93,$C218*2+6)</f>
        <v>5.45E-2</v>
      </c>
      <c r="BH218" s="1">
        <f>INDEX(Input!$1:$1048576,BH$93,$C218*2+6)</f>
        <v>5.45E-2</v>
      </c>
      <c r="BI218" s="1">
        <f>INDEX(Input!$1:$1048576,BI$93,$C218*2+6)</f>
        <v>0.05</v>
      </c>
      <c r="BJ218" s="1">
        <f>INDEX(Input!$1:$1048576,BJ$93,$C218*2+6)</f>
        <v>0.05</v>
      </c>
      <c r="BK218" s="1">
        <f>INDEX(Input!$1:$1048576,BK$93,$C218*2+6)</f>
        <v>0.05</v>
      </c>
      <c r="BL218" s="1">
        <f>INDEX(Input!$1:$1048576,BL$93,$C218*2+6)</f>
        <v>5.5E-2</v>
      </c>
      <c r="BM218" s="1">
        <f>INDEX(Input!$1:$1048576,BM$93,$C218*2+6)</f>
        <v>0.06</v>
      </c>
      <c r="BN218" s="1">
        <f>INDEX(Input!$1:$1048576,BN$93,$C218*2+6)</f>
        <v>4.4999999999999998E-2</v>
      </c>
      <c r="BO218" s="1">
        <f>INDEX(Input!$1:$1048576,BO$93,$C218*2+6)</f>
        <v>4.4999999999999998E-2</v>
      </c>
      <c r="BP218" s="1">
        <f>INDEX(Input!$1:$1048576,BP$93,$C218*2+6)</f>
        <v>0.05</v>
      </c>
      <c r="BQ218" s="1">
        <f>INDEX(Input!$1:$1048576,BQ$93,$C218*2+6)</f>
        <v>5.45E-2</v>
      </c>
      <c r="BR218" s="1">
        <f>INDEX(Input!$1:$1048576,BR$93,$C218*2+6)</f>
        <v>5.45E-2</v>
      </c>
      <c r="BS218" s="1">
        <f>INDEX(Input!$1:$1048576,BS$93,$C218*2+6)</f>
        <v>0.05</v>
      </c>
      <c r="BT218" s="1">
        <f>INDEX(Input!$1:$1048576,BT$93,$C218*2+6)</f>
        <v>0.05</v>
      </c>
      <c r="BU218" s="1">
        <f>INDEX(Input!$1:$1048576,BU$93,$C218*2+6)</f>
        <v>0.05</v>
      </c>
      <c r="BV218" s="1">
        <f>INDEX(Input!$1:$1048576,BV$93,$C218*2+6)</f>
        <v>5.5E-2</v>
      </c>
      <c r="BW218" s="1">
        <f>INDEX(Input!$1:$1048576,BW$93,$C218*2+6)</f>
        <v>0.06</v>
      </c>
      <c r="BX218" s="127">
        <f>INDEX(Input!$1:$1048576,BX$93,$C218*2+6)</f>
        <v>19985</v>
      </c>
      <c r="BY218" s="20">
        <f>INDEX(Input!$1:$1048576,BY$93,$C218*2+6)</f>
        <v>0.1</v>
      </c>
      <c r="BZ218" s="20">
        <f>INDEX(Input!$1:$1048576,BZ$93,$C218*2+6)</f>
        <v>0.1</v>
      </c>
      <c r="CA218" s="20">
        <f>INDEX(Input!$1:$1048576,CA$93,$C218*2+6)</f>
        <v>0.1</v>
      </c>
      <c r="CB218" s="20">
        <f>INDEX(Input!$1:$1048576,CB$93,$C218*2+6)</f>
        <v>0.1</v>
      </c>
      <c r="CC218" s="20">
        <f>INDEX(Input!$1:$1048576,CC$93,$C218*2+6)</f>
        <v>0.1</v>
      </c>
      <c r="CD218" s="384">
        <f>INDEX(Input!$1:$1048576,CD$93,$C218*2+6)</f>
        <v>0.1</v>
      </c>
      <c r="CE218" s="384">
        <f>INDEX(Input!$1:$1048576,CE$93,$C218*2+6)</f>
        <v>0.1</v>
      </c>
      <c r="CF218" s="384">
        <f>INDEX(Input!$1:$1048576,CF$93,$C218*2+6)</f>
        <v>0.1</v>
      </c>
      <c r="CG218" s="384">
        <f>INDEX(Input!$1:$1048576,CG$93,$C218*2+6)</f>
        <v>0.1</v>
      </c>
      <c r="CH218" s="384">
        <f>INDEX(Input!$1:$1048576,CH$93,$C218*2+6)</f>
        <v>0.1</v>
      </c>
      <c r="CI218" s="304">
        <f t="shared" si="499"/>
        <v>1269.7618664521319</v>
      </c>
      <c r="CJ218" s="16" t="str">
        <f>INDEX(Input!$1:$1048576,CJ$93,$C218*2+6)</f>
        <v>N</v>
      </c>
      <c r="CK218" s="1" t="str">
        <f t="shared" si="500"/>
        <v>Market</v>
      </c>
      <c r="CL218" s="1" t="str">
        <f t="shared" si="501"/>
        <v>Market</v>
      </c>
      <c r="CM218" s="1" t="str">
        <f t="shared" si="502"/>
        <v>Market</v>
      </c>
      <c r="CN218" s="1" t="str">
        <f t="shared" si="503"/>
        <v>Market</v>
      </c>
      <c r="CO218" s="1" t="str">
        <f t="shared" si="504"/>
        <v>Market</v>
      </c>
      <c r="CP218" s="304">
        <f t="shared" si="505"/>
        <v>473</v>
      </c>
      <c r="CQ218" s="1">
        <f t="shared" si="506"/>
        <v>0</v>
      </c>
      <c r="CR218" s="1">
        <f t="shared" si="507"/>
        <v>0</v>
      </c>
      <c r="CS218" s="1">
        <f t="shared" si="508"/>
        <v>0</v>
      </c>
      <c r="CT218" s="1">
        <f t="shared" si="509"/>
        <v>1.9E-2</v>
      </c>
      <c r="CU218" s="1">
        <f t="shared" si="510"/>
        <v>3.9E-2</v>
      </c>
      <c r="CV218" s="304">
        <f t="shared" si="511"/>
        <v>776</v>
      </c>
      <c r="CW218" s="20" t="s">
        <v>122</v>
      </c>
      <c r="CX218" s="20" t="s">
        <v>122</v>
      </c>
      <c r="CY218" s="20" t="s">
        <v>122</v>
      </c>
      <c r="CZ218" s="20" t="s">
        <v>122</v>
      </c>
      <c r="DA218" s="20" t="s">
        <v>122</v>
      </c>
      <c r="DB218" s="503">
        <f t="shared" si="512"/>
        <v>0</v>
      </c>
      <c r="DC218" s="127">
        <v>0</v>
      </c>
      <c r="DD218" s="127">
        <v>0</v>
      </c>
      <c r="DE218" s="127">
        <v>0</v>
      </c>
      <c r="DF218" s="127">
        <v>0</v>
      </c>
      <c r="DG218" s="127">
        <v>0</v>
      </c>
      <c r="DH218" s="127">
        <v>0</v>
      </c>
      <c r="DI218" s="127">
        <v>0</v>
      </c>
      <c r="DJ218" s="127">
        <v>0</v>
      </c>
      <c r="DK218" s="127">
        <v>0</v>
      </c>
      <c r="DL218" s="127">
        <v>0</v>
      </c>
      <c r="DM218" s="304">
        <f>INDEX(Input!$1:$1048576,DM$93,$C218*2+6)</f>
        <v>21036.84210526316</v>
      </c>
      <c r="DN218" s="20">
        <v>0</v>
      </c>
      <c r="DO218" s="20">
        <v>0</v>
      </c>
      <c r="DP218" s="20">
        <v>0</v>
      </c>
      <c r="DQ218" s="20">
        <v>0</v>
      </c>
      <c r="DR218" s="20">
        <v>0</v>
      </c>
      <c r="DS218" s="20">
        <f>INDEX(Input!$1:$1048576,DS$93,$C218*2+6)</f>
        <v>0.6</v>
      </c>
      <c r="DT218" s="20">
        <f>INDEX(Input!$1:$1048576,DT$93,$C218*2+6)</f>
        <v>0.55000000000000004</v>
      </c>
      <c r="DU218" s="20">
        <f>INDEX(Input!$1:$1048576,DU$93,$C218*2+6)</f>
        <v>0.52</v>
      </c>
      <c r="DV218" s="20">
        <f>INDEX(Input!$1:$1048576,DV$93,$C218*2+6)</f>
        <v>0.5</v>
      </c>
      <c r="DW218" s="20">
        <f>INDEX(Input!$1:$1048576,DW$93,$C218*2+6)</f>
        <v>0.45</v>
      </c>
      <c r="DX218" s="20"/>
      <c r="DY218" s="7">
        <v>8.469357773296618E-2</v>
      </c>
      <c r="DZ218" s="7">
        <v>0</v>
      </c>
      <c r="EA218" s="7">
        <v>0.60034731085944293</v>
      </c>
      <c r="EB218" s="7">
        <v>0</v>
      </c>
      <c r="EC218" s="7">
        <v>0</v>
      </c>
      <c r="ED218" s="7">
        <v>0</v>
      </c>
      <c r="EE218" s="7">
        <v>0</v>
      </c>
      <c r="EF218" s="7">
        <v>0</v>
      </c>
      <c r="EG218" s="7">
        <v>0</v>
      </c>
      <c r="EH218" s="7">
        <v>1.4239711689542446E-2</v>
      </c>
      <c r="EI218" s="7">
        <v>4.0515017360900185E-2</v>
      </c>
      <c r="EJ218" s="7">
        <v>0.30696345053914603</v>
      </c>
      <c r="EK218" s="7">
        <v>0.52703123076082659</v>
      </c>
      <c r="EL218" s="7">
        <v>0.11125058964958492</v>
      </c>
      <c r="EM218" s="7">
        <v>5.2499726120962209E-2</v>
      </c>
      <c r="EN218" s="7">
        <v>6.8188785553976741E-2</v>
      </c>
      <c r="EO218" s="7">
        <v>0.75315133885628505</v>
      </c>
      <c r="EP218" s="7">
        <v>7.6953082804702103E-2</v>
      </c>
      <c r="EQ218" s="7">
        <v>6.5593999052247484E-2</v>
      </c>
      <c r="ER218" s="7">
        <v>3.6112793732788667E-2</v>
      </c>
      <c r="ES218" s="7">
        <v>0.26245938528662865</v>
      </c>
      <c r="ET218" s="7">
        <v>0.31495911140759086</v>
      </c>
      <c r="EU218" s="6">
        <v>1294</v>
      </c>
      <c r="EV218" s="6">
        <v>0</v>
      </c>
      <c r="EW218" s="6">
        <v>1294</v>
      </c>
      <c r="EX218" s="6">
        <v>0</v>
      </c>
      <c r="EY218" s="6">
        <v>2053.856489065508</v>
      </c>
      <c r="EZ218" s="6">
        <v>1666</v>
      </c>
      <c r="FA218" s="6">
        <v>0</v>
      </c>
      <c r="FB218" s="6">
        <v>0</v>
      </c>
      <c r="FC218" s="6">
        <v>0</v>
      </c>
      <c r="FD218" s="6">
        <v>0</v>
      </c>
      <c r="FE218" s="6">
        <v>0</v>
      </c>
      <c r="FF218" s="6">
        <v>0</v>
      </c>
      <c r="FG218" s="6">
        <v>0</v>
      </c>
      <c r="FH218" s="6">
        <v>1173.7263281833361</v>
      </c>
      <c r="FI218" s="6">
        <v>1553.9796069512402</v>
      </c>
      <c r="FJ218" s="6">
        <v>2101.2110117447414</v>
      </c>
      <c r="FK218" s="6">
        <v>1772.7139978623231</v>
      </c>
      <c r="FL218" s="6">
        <v>907.07682140966335</v>
      </c>
      <c r="FM218" s="6">
        <v>1759.856489065508</v>
      </c>
      <c r="FN218" s="6">
        <v>0</v>
      </c>
      <c r="FO218" s="6">
        <v>0</v>
      </c>
      <c r="FP218" s="6">
        <v>0</v>
      </c>
      <c r="FQ218" s="6">
        <v>0</v>
      </c>
      <c r="FR218" s="6">
        <v>0</v>
      </c>
      <c r="FS218" s="6">
        <v>0</v>
      </c>
      <c r="FT218" s="7">
        <v>0.68504088859240908</v>
      </c>
      <c r="FU218" s="7">
        <v>5.2499726120962209E-2</v>
      </c>
      <c r="FV218" s="7">
        <v>0.26245938528662865</v>
      </c>
      <c r="FW218" s="6">
        <v>1294</v>
      </c>
      <c r="FX218" s="6">
        <v>2053.856489065508</v>
      </c>
      <c r="FY218" s="6">
        <v>1666</v>
      </c>
      <c r="FZ218" s="6">
        <v>1817.4615072224267</v>
      </c>
      <c r="GA218" s="6">
        <v>1431.5271488938008</v>
      </c>
      <c r="GB218" s="6">
        <v>18553.472851106199</v>
      </c>
      <c r="GC218" s="7">
        <v>1.804905384453976E-2</v>
      </c>
      <c r="GD218" s="7">
        <v>1.7545360596189417E-2</v>
      </c>
      <c r="GE218" s="7"/>
      <c r="GF218" s="7"/>
      <c r="GG218" s="7">
        <v>-2.7906905962426481E-2</v>
      </c>
      <c r="GH218" s="42">
        <v>1.4451149622293826</v>
      </c>
      <c r="GI218" s="6">
        <v>15260.876731690374</v>
      </c>
      <c r="GJ218" s="14">
        <v>0.50394797582841722</v>
      </c>
      <c r="GK218" s="14">
        <v>0.50887573065309744</v>
      </c>
      <c r="GL218" s="14">
        <v>0.49605202417158295</v>
      </c>
      <c r="GM218" s="14">
        <v>0.49112426934690262</v>
      </c>
      <c r="GO218" s="5">
        <v>343.14810671672558</v>
      </c>
      <c r="GP218" s="5">
        <v>318.46105531198077</v>
      </c>
      <c r="GQ218" s="5">
        <v>535.04305713031317</v>
      </c>
      <c r="GR218" s="5">
        <v>410.15490233172511</v>
      </c>
      <c r="GS218" s="5">
        <v>339.42744393800166</v>
      </c>
      <c r="GT218" s="5">
        <v>293.4407446948278</v>
      </c>
      <c r="GU218" s="5">
        <v>258.04012322764959</v>
      </c>
      <c r="GV218" s="39" t="s">
        <v>392</v>
      </c>
      <c r="GW218" s="5">
        <v>491.45833333333331</v>
      </c>
      <c r="GX218" s="5">
        <v>368.59375</v>
      </c>
      <c r="GY218" s="5">
        <v>294.875</v>
      </c>
      <c r="GZ218" s="5">
        <v>260.19607020114813</v>
      </c>
      <c r="HA218" s="5">
        <v>241.02179695997205</v>
      </c>
      <c r="HB218" s="39">
        <v>276.39292677963067</v>
      </c>
      <c r="HC218" s="5">
        <v>214.39687499999999</v>
      </c>
      <c r="HD218" s="5">
        <v>190.05677997076018</v>
      </c>
      <c r="HE218" s="5">
        <v>194.77408485155192</v>
      </c>
      <c r="HF218" s="5">
        <v>182.38250548245611</v>
      </c>
      <c r="HG218" s="5">
        <v>178.69971491228068</v>
      </c>
      <c r="HH218" s="39">
        <v>191.16599094279977</v>
      </c>
      <c r="HI218" s="16"/>
      <c r="HJ218" s="19" t="str">
        <f t="shared" si="685"/>
        <v>On</v>
      </c>
      <c r="HK218" s="1" t="str">
        <f t="shared" si="685"/>
        <v>On</v>
      </c>
      <c r="HL218" s="16"/>
      <c r="HM218" s="639">
        <f t="shared" si="634"/>
        <v>1.2768706344444866E-2</v>
      </c>
      <c r="HN218" s="639">
        <f t="shared" si="635"/>
        <v>9.795534288915453E-4</v>
      </c>
      <c r="HO218" s="639">
        <f t="shared" si="636"/>
        <v>3.3583061774515237E-3</v>
      </c>
      <c r="HP218" s="644">
        <f>(FT218*$GD218-HM218)/$JF218*INDEX(Input!$1:$1048576,$JG$93,$C218*2+6)</f>
        <v>-54.454251534726005</v>
      </c>
      <c r="HQ218" s="644">
        <f>(FU218*$GD218-HN218)/$JF218*INDEX(Input!$1:$1048576,$JG$93,$C218*2+6)</f>
        <v>-4.2454175906045455</v>
      </c>
      <c r="HR218" s="644">
        <f>(FV218*$GD218-HO218)/$JF218*INDEX(Input!$1:$1048576,$JG$93,$C218*2+6)</f>
        <v>90.583435031539096</v>
      </c>
      <c r="HS218" s="644">
        <f t="shared" si="686"/>
        <v>-2.6624073079055899</v>
      </c>
      <c r="HT218" s="644">
        <f t="shared" si="638"/>
        <v>2.8027618870769291</v>
      </c>
      <c r="HU218" s="644">
        <f t="shared" si="639"/>
        <v>15.116922534631279</v>
      </c>
      <c r="HV218" s="648">
        <f t="shared" si="640"/>
        <v>0</v>
      </c>
      <c r="HW218" s="648">
        <f t="shared" si="641"/>
        <v>0</v>
      </c>
      <c r="HX218" s="648">
        <f t="shared" si="642"/>
        <v>0</v>
      </c>
      <c r="HY218" s="644">
        <f>INDEX(Input!$1:$1048576,HY$93,$C218*2+6)*INDEX(Input!$1:$1048576,$JG$93,$C218*2+6)</f>
        <v>451</v>
      </c>
      <c r="HZ218" s="644">
        <f>INDEX(Input!$1:$1048576,HZ$93,$C218*2+6)*INDEX(Input!$1:$1048576,$JG$93,$C218*2+6)</f>
        <v>577</v>
      </c>
      <c r="IA218" s="644">
        <f>INDEX(Input!$1:$1048576,IA$93,$C218*2+6)*INDEX(Input!$1:$1048576,$JG$93,$C218*2+6)</f>
        <v>215</v>
      </c>
      <c r="IB218" s="644">
        <f t="shared" si="666"/>
        <v>393.88334115736848</v>
      </c>
      <c r="IC218" s="644">
        <f t="shared" si="667"/>
        <v>575.55734429647237</v>
      </c>
      <c r="ID218" s="644">
        <f>IF(AND(INDEX(Input!$1:$1048576,IA$93,$C218*2+7)="TOS",Y218&lt;=INDEX(Y:Y,MATCH(C218*1000+2,A:A))),0,1)*MAX(IA218+HR218+HU218+HX218,0%)</f>
        <v>320.7003575661704</v>
      </c>
      <c r="IE218" s="128">
        <f t="shared" si="718"/>
        <v>0.30530254291837067</v>
      </c>
      <c r="IF218" s="128">
        <f t="shared" si="643"/>
        <v>0.44611970715169702</v>
      </c>
      <c r="IG218" s="128">
        <f t="shared" si="644"/>
        <v>0.24857774992993231</v>
      </c>
      <c r="IH218" s="21"/>
      <c r="II218" s="19">
        <f t="shared" si="645"/>
        <v>1252</v>
      </c>
      <c r="IJ218" s="19">
        <f t="shared" si="646"/>
        <v>2011.9658773055378</v>
      </c>
      <c r="IK218" s="19">
        <f t="shared" si="647"/>
        <v>919</v>
      </c>
      <c r="IL218" s="19">
        <f t="shared" si="669"/>
        <v>42</v>
      </c>
      <c r="IM218" s="19">
        <f t="shared" si="648"/>
        <v>41.89061175997017</v>
      </c>
      <c r="IN218" s="19">
        <f t="shared" si="649"/>
        <v>747</v>
      </c>
      <c r="IO218" s="39">
        <f t="shared" si="650"/>
        <v>0</v>
      </c>
      <c r="IP218" s="39">
        <f t="shared" si="651"/>
        <v>0</v>
      </c>
      <c r="IQ218" s="39">
        <f t="shared" si="652"/>
        <v>0</v>
      </c>
      <c r="IR218" s="39">
        <v>0</v>
      </c>
      <c r="IS218" s="39">
        <v>0</v>
      </c>
      <c r="IT218" s="39">
        <v>0</v>
      </c>
      <c r="IU218" s="39">
        <v>0</v>
      </c>
      <c r="IV218" s="39">
        <v>0</v>
      </c>
      <c r="IW218" s="39">
        <v>0</v>
      </c>
      <c r="IX218" s="39">
        <f>INDEX(Input!$1:$1048576,IX$93,$C218*2+6)+INDEX(Input!$1:$1048576,IX$94,$C218*2+6)</f>
        <v>1294</v>
      </c>
      <c r="IY218" s="39">
        <f>INDEX(Input!$1:$1048576,IY$93,$C218*2+6)+INDEX(Input!$1:$1048576,IY$94,$C218*2+6)</f>
        <v>2154.0624533823611</v>
      </c>
      <c r="IZ218" s="39">
        <f>INDEX(Input!$1:$1048576,IZ$93,$C218*2+6)+INDEX(Input!$1:$1048576,IZ$94,$C218*2+6)</f>
        <v>3677.7164157747848</v>
      </c>
      <c r="JA218" s="19">
        <f t="shared" si="670"/>
        <v>1336</v>
      </c>
      <c r="JB218" s="19">
        <f t="shared" si="671"/>
        <v>2195.9530651423311</v>
      </c>
      <c r="JC218" s="19">
        <f t="shared" si="672"/>
        <v>4424.7164157747848</v>
      </c>
      <c r="JD218" s="19">
        <f t="shared" si="673"/>
        <v>2487.4281863904425</v>
      </c>
      <c r="JE218" s="21"/>
      <c r="JF218" s="1">
        <f t="shared" si="653"/>
        <v>1.7106565950787935E-2</v>
      </c>
      <c r="JG218" s="15">
        <f>INDEX(Input!$1:$1048576,JG$93,$C218*2+6)/(1+VLOOKUP(C218*1000+INDEX(Input!$1:$1048576,JG$93+1,$C218*2+6),$A:$KK,$JK$92,FALSE))</f>
        <v>1243</v>
      </c>
      <c r="JH218" s="1">
        <f t="shared" si="674"/>
        <v>2.5650656400811381E-2</v>
      </c>
      <c r="JI218" s="1">
        <f t="shared" si="675"/>
        <v>1.2274559222689153E-2</v>
      </c>
      <c r="JJ218" s="1">
        <f t="shared" si="711"/>
        <v>0</v>
      </c>
      <c r="JK218" s="1">
        <f t="shared" si="715"/>
        <v>3.7925215623500534E-2</v>
      </c>
      <c r="JL218" s="15">
        <f t="shared" si="678"/>
        <v>47.141043020011161</v>
      </c>
      <c r="JM218" s="15">
        <f t="shared" si="702"/>
        <v>1290.1410430200112</v>
      </c>
      <c r="JN218" s="21"/>
      <c r="JO218" s="19">
        <f>INDEX(Input!$1:$1048576,JO$93,$C218*2+6)</f>
        <v>5995.5</v>
      </c>
      <c r="JP218" s="19">
        <f>INDEX(Input!$1:$1048576,JP$93,$C218*2+6)</f>
        <v>2105.548724853742</v>
      </c>
      <c r="JQ218" s="39">
        <f t="shared" si="688"/>
        <v>3508.0718136095575</v>
      </c>
      <c r="JR218" s="39">
        <f t="shared" si="705"/>
        <v>381.87946153670055</v>
      </c>
      <c r="JS218" s="39">
        <f t="shared" si="690"/>
        <v>3.2091331948271402</v>
      </c>
      <c r="JT218" s="39">
        <f t="shared" si="680"/>
        <v>0.59193612983393906</v>
      </c>
      <c r="JU218" s="385">
        <f>(JQ218*JM218-INDEX(Input!$1:$1048576,Input!A$18,$C218*2+6)*JL218*INDEX(Input!$1:$1048576,Input!A$19,$C218*2+6))/1000000</f>
        <v>4.5259074285993375</v>
      </c>
      <c r="JV218" s="39">
        <f t="shared" si="712"/>
        <v>-0.30930200640746097</v>
      </c>
      <c r="JW218" s="1">
        <f t="shared" si="703"/>
        <v>-6.3968688546999011E-2</v>
      </c>
      <c r="JX218" s="19">
        <f t="shared" si="694"/>
        <v>12556.704135346874</v>
      </c>
      <c r="JZ218" s="341"/>
      <c r="KA218" s="342"/>
      <c r="KB218" s="469">
        <f t="shared" si="691"/>
        <v>2.5660492421988774</v>
      </c>
      <c r="KI218" s="473">
        <f t="shared" si="719"/>
        <v>-57.116658842631523</v>
      </c>
      <c r="KJ218" s="473">
        <f t="shared" si="720"/>
        <v>-1.4426557035276346</v>
      </c>
      <c r="KK218" s="473">
        <f t="shared" si="682"/>
        <v>105.7003575661704</v>
      </c>
      <c r="KN218" s="544">
        <f t="shared" si="695"/>
        <v>2002</v>
      </c>
      <c r="KO218" s="541">
        <f t="shared" si="657"/>
        <v>3.1810023587830027E-2</v>
      </c>
      <c r="KP218" s="546">
        <f t="shared" si="658"/>
        <v>178.92667263173186</v>
      </c>
      <c r="KQ218" s="546">
        <f t="shared" si="659"/>
        <v>343.74784695696962</v>
      </c>
      <c r="KR218" s="548">
        <f t="shared" si="660"/>
        <v>3.1718736558005354</v>
      </c>
      <c r="KS218" s="548">
        <f t="shared" si="661"/>
        <v>1.6510148478447946</v>
      </c>
      <c r="KT218" s="473">
        <f t="shared" si="693"/>
        <v>843.26993010479111</v>
      </c>
      <c r="KU218" s="663">
        <f t="shared" si="683"/>
        <v>4.2576612471602413</v>
      </c>
      <c r="KV218" s="117" t="e">
        <f t="shared" si="713"/>
        <v>#N/A</v>
      </c>
    </row>
    <row r="219" spans="1:308" s="26" customFormat="1" ht="15">
      <c r="A219" s="561">
        <f t="shared" si="662"/>
        <v>2019</v>
      </c>
      <c r="B219" s="561">
        <f t="shared" si="684"/>
        <v>19</v>
      </c>
      <c r="C219" s="561">
        <f t="shared" si="105"/>
        <v>2</v>
      </c>
      <c r="D219" s="765" t="str">
        <f>"Plan A: "&amp;IF(E219=INDEX(E:E,MATCH(C219*1000+2,A:A,0)),"",E219-INDEX(E:E,MATCH(C219*1000+2,A:A,0))&amp;E$100&amp;", ")
&amp;IF(F219=INDEX(F:F,MATCH(C219*1000+2,A:A,0)),"",F219-INDEX(F:F,MATCH(C219*1000+2,A:A,0))&amp;F$100&amp;", ")
&amp;IF(AM219=INDEX(AM:AM,MATCH(C219*1000+2,A:A,0)),"",AM219&amp;AM$100&amp;", ")
&amp;IF(AP219=INDEX(AP:AP,MATCH(C219*1000+2,A:A,0)),"",AP219&amp;AP$100&amp;", ")
&amp;IF(Q219=INDEX(Q:Q,MATCH(C219*1000+2,A:A,0)),"",Q219-INDEX(Q:Q,MATCH(C219*1000+2,A:A,0))&amp;Q$100&amp;", ")
&amp;IF(Y219=INDEX(Y:Y,MATCH(C219*1000+2,A:A,0)),"",Y219-INDEX(Y:Y,MATCH(C219*1000+2,A:A,0))&amp;Y$100&amp;", ")
&amp;IF(Z219=INDEX(Z:Z,MATCH(C219*1000+2,A:A,0)),"",Z219-INDEX(Z:Z,MATCH(C219*1000+2,A:A,0))&amp;Z$100&amp;", ")
&amp;IF(AA219=INDEX(AA:AA,MATCH(C219*1000+2,A:A,0)),"",AA219-INDEX(AA:AA,MATCH(C219*1000+2,A:A,0))&amp;AA$100&amp;", ")
&amp;IF(AC219=INDEX(AC:AC,MATCH(C219*1000+2,A:A,0)),"",AC219-INDEX(AC:AC,MATCH(C219*1000+2,A:A,0))&amp;AC$100&amp;", ")
&amp;IF(AE219=INDEX(AE:AE,MATCH(C219*1000+2,A:A,0)),"",AE219-INDEX(AE:AE,MATCH(C219*1000+2,A:A,0))&amp;AE$100&amp;", ")
&amp;IF(AG219=INDEX(AG:AG,MATCH(C219*1000+2,A:A,0)),"",AG219-INDEX(AG:AG,MATCH(C219*1000+2,A:A,0))&amp;AG$100&amp;", ")
&amp;IF(AI219=INDEX(AI:AI,MATCH(C219*1000+2,A:A,0)),"",AI219-INDEX(AI:AI,MATCH(C219*1000+2,A:A,0))&amp;AI$100&amp;", ")</f>
        <v xml:space="preserve">Plan A: </v>
      </c>
      <c r="E219" s="475">
        <f>INDEX(Input!$1:$1048576,E$93,$C219*2+MIN($B219,2)+5)</f>
        <v>1269.7618664521319</v>
      </c>
      <c r="F219" s="475">
        <f>INDEX(Input!$1:$1048576,F$93,$C219*2+MIN($B219,2)+5)</f>
        <v>0</v>
      </c>
      <c r="G219" s="475">
        <f>INDEX(Input!$1:$1048576,G$93,$C219*2+MIN($B219,2)+5)</f>
        <v>0</v>
      </c>
      <c r="H219" s="475">
        <f>INDEX(Input!$1:$1048576,H$93,$C219*2+MIN($B219,2)+5)</f>
        <v>0</v>
      </c>
      <c r="I219" s="476">
        <f>INDEX(Input!$1:$1048576,I$93,$C219*2+MIN($B219,2)+5)</f>
        <v>0.7</v>
      </c>
      <c r="J219" s="476" t="str">
        <f>INDEX(Input!$1:$1048576,J$93,$C219*2+MIN($B219,2)+5)</f>
        <v>Market</v>
      </c>
      <c r="K219" s="476" t="str">
        <f>INDEX(Input!$1:$1048576,K$93,$C219*2+MIN($B219,2)+5)</f>
        <v>Market</v>
      </c>
      <c r="L219" s="476" t="str">
        <f>INDEX(Input!$1:$1048576,L$93,$C219*2+MIN($B219,2)+5)</f>
        <v>Market</v>
      </c>
      <c r="M219" s="476" t="str">
        <f>INDEX(Input!$1:$1048576,M$93,$C219*2+MIN($B219,2)+5)</f>
        <v>Market</v>
      </c>
      <c r="N219" s="476" t="str">
        <f>INDEX(Input!$1:$1048576,N$93,$C219*2+MIN($B219,2)+5)</f>
        <v>Market</v>
      </c>
      <c r="O219" s="476" t="str">
        <f>INDEX(Input!$1:$1048576,O$93,$C219*2+MIN($B219,2)+5)</f>
        <v>Market</v>
      </c>
      <c r="P219" s="476" t="str">
        <f>INDEX(Input!$1:$1048576,P$93,$C219*2+MIN($B219,2)+5)</f>
        <v>N</v>
      </c>
      <c r="Q219" s="477">
        <f>INDEX(Input!$1:$1048576,Q$93,$C219*2+MIN($B219,2)+5)</f>
        <v>0</v>
      </c>
      <c r="R219" s="478">
        <f>IFERROR(MAX(0,INDEX(Input!$1:$1048576,R$93,$C219*2+MIN($B219,2)+5)-0%,),"Market")</f>
        <v>0</v>
      </c>
      <c r="S219" s="478">
        <f>IFERROR(MAX(0,INDEX(Input!$1:$1048576,S$93,$C219*2+MIN($B219,2)+5)-0%,),"Market")</f>
        <v>0</v>
      </c>
      <c r="T219" s="478">
        <f>IFERROR(MAX(0,INDEX(Input!$1:$1048576,T$93,$C219*2+MIN($B219,2)+5)-0%,),"Market")</f>
        <v>0</v>
      </c>
      <c r="U219" s="478">
        <f>IFERROR(MAX(0,INDEX(Input!$1:$1048576,U$93,$C219*2+MIN($B219,2)+5)-0%,),"Market")</f>
        <v>0</v>
      </c>
      <c r="V219" s="478">
        <f>IFERROR(MAX(0,INDEX(Input!$1:$1048576,V$93,$C219*2+MIN($B219,2)+5)-0%,),"Market")</f>
        <v>1.9E-2</v>
      </c>
      <c r="W219" s="885">
        <f>IFERROR(MAX(0,INDEX(Input!$1:$1048576,W$93,$C219*2+MIN($B219,2)+5)-0%,),"Market")</f>
        <v>3.9E-2</v>
      </c>
      <c r="X219" s="476" t="str">
        <f>INDEX(Input!$1:$1048576,X$93,$C219*2+MIN($B219,2)+5)</f>
        <v>Y</v>
      </c>
      <c r="Y219" s="475">
        <f>INDEX(Input!$1:$1048576,Y$93,$C219*2+MIN($B219,2)+5)</f>
        <v>56</v>
      </c>
      <c r="Z219" s="477">
        <f>INDEX(Input!$1:$1048576,Z$93,$C219*2+MIN($B219,2)+5)</f>
        <v>0</v>
      </c>
      <c r="AA219" s="475">
        <f>INDEX(Input!$1:$1048576,AA$93,$C219*2+MIN($B219,2)+5)-AA$102</f>
        <v>0</v>
      </c>
      <c r="AB219" s="476">
        <f>INDEX(Input!$1:$1048576,AB$93,$C219*2+MIN($B219,2)+5)</f>
        <v>0.27</v>
      </c>
      <c r="AC219" s="475">
        <f>INDEX(Input!$1:$1048576,AC$93,$C219*2+MIN($B219,2)+5)-AC$102</f>
        <v>0</v>
      </c>
      <c r="AD219" s="476">
        <f>INDEX(Input!$1:$1048576,AD$93,$C219*2+MIN($B219,2)+5)</f>
        <v>0.27</v>
      </c>
      <c r="AE219" s="475">
        <f>INDEX(Input!$1:$1048576,AE$93,$C219*2+MIN($B219,2)+5)</f>
        <v>0</v>
      </c>
      <c r="AF219" s="476">
        <f>INDEX(Input!$1:$1048576,AF$93,$C219*2+MIN($B219,2)+5)</f>
        <v>4.8000000000000001E-2</v>
      </c>
      <c r="AG219" s="475">
        <f>INDEX(Input!$1:$1048576,AG$93,$C219*2+MIN($B219,2)+5)</f>
        <v>500</v>
      </c>
      <c r="AH219" s="476">
        <f>INDEX(Input!$1:$1048576,AH$93,$C219*2+MIN($B219,2)+5)</f>
        <v>0.94599999999999995</v>
      </c>
      <c r="AI219" s="475">
        <f>INDEX(Input!$1:$1048576,AI$93,$C219*2+MIN($B219,2)+5)</f>
        <v>0</v>
      </c>
      <c r="AJ219" s="476">
        <f>INDEX(Input!$1:$1048576,AJ$93,$C219*2+MIN($B219,2)+5)</f>
        <v>0.27</v>
      </c>
      <c r="AK219" s="150">
        <f>ROUND(INDEX(Input!$1:$1048576,AK$93,$C218*2+MIN($B219,1)+5)+(Y219-VLOOKUP($C219*1000+1,$A:$HH,Y$92,FALSE)),0)</f>
        <v>2977</v>
      </c>
      <c r="AL219" s="150">
        <f>ROUND(INDEX(Input!$1:$1048576,AL$93,$C218*2+MIN($B219,1)+5)-(Y219-VLOOKUP($C219*1000+1,$A:$HH,Y$92,FALSE))/36,0)</f>
        <v>3395</v>
      </c>
      <c r="AM219" s="32" t="str">
        <f t="shared" si="663"/>
        <v>std/std/std/std</v>
      </c>
      <c r="AN219" s="32" t="str">
        <f t="shared" si="664"/>
        <v>$0 + 0/0/0/1.9/3.9</v>
      </c>
      <c r="AO219" s="32" t="str">
        <f t="shared" si="665"/>
        <v>0/0/0/1.9/3.9</v>
      </c>
      <c r="AP219" s="32" t="str">
        <f t="shared" si="498"/>
        <v>0/0.9/1.9/3.9</v>
      </c>
      <c r="AQ219" s="536">
        <f t="shared" si="497"/>
        <v>0.35663639051066892</v>
      </c>
      <c r="AR219" s="32"/>
      <c r="AS219" s="302"/>
      <c r="AT219" s="3">
        <f t="shared" si="717"/>
        <v>19</v>
      </c>
      <c r="AU219" s="41" t="s">
        <v>121</v>
      </c>
      <c r="AV219" s="41" t="s">
        <v>116</v>
      </c>
      <c r="AW219" s="41" t="str">
        <f>INDEX(Input!$1:$1048576,AW$93,$C219*2+6)</f>
        <v>Kia</v>
      </c>
      <c r="AX219" s="41" t="str">
        <f>INDEX(Input!$1:$1048576,AX$93,$C219*2+6)</f>
        <v>Kia-LR - L2</v>
      </c>
      <c r="AY219" s="41" t="str">
        <f>IF(LEN(D219)=0,"",INDEX(Input!$1:$1048576,AY$93,$C219*2+6))</f>
        <v>Compact SUV (52)</v>
      </c>
      <c r="AZ219" s="41" t="str">
        <f>INDEX(Input!$1:$1048576,AZ$93,$C219*2+6)</f>
        <v>Kia Soul</v>
      </c>
      <c r="BA219" s="3">
        <f>INDEX(Input!$1:$1048576,BA$93,$C219*2+6)</f>
        <v>2020</v>
      </c>
      <c r="BB219" s="128">
        <f>INDEX(Input!$1:$1048576,BB$93,$C219*2+6)</f>
        <v>1</v>
      </c>
      <c r="BC219" s="128">
        <f>INDEX(Input!$1:$1048576,BC$93,$C219*2+6)</f>
        <v>0.7</v>
      </c>
      <c r="BD219" s="1">
        <f>INDEX(Input!$1:$1048576,BD$93,$C219*2+6)</f>
        <v>4.4999999999999998E-2</v>
      </c>
      <c r="BE219" s="1">
        <f>INDEX(Input!$1:$1048576,BE$93,$C219*2+6)</f>
        <v>4.4999999999999998E-2</v>
      </c>
      <c r="BF219" s="1">
        <f>INDEX(Input!$1:$1048576,BF$93,$C219*2+6)</f>
        <v>0.05</v>
      </c>
      <c r="BG219" s="1">
        <f>INDEX(Input!$1:$1048576,BG$93,$C219*2+6)</f>
        <v>5.45E-2</v>
      </c>
      <c r="BH219" s="1">
        <f>INDEX(Input!$1:$1048576,BH$93,$C219*2+6)</f>
        <v>5.45E-2</v>
      </c>
      <c r="BI219" s="1">
        <f>INDEX(Input!$1:$1048576,BI$93,$C219*2+6)</f>
        <v>0.05</v>
      </c>
      <c r="BJ219" s="1">
        <f>INDEX(Input!$1:$1048576,BJ$93,$C219*2+6)</f>
        <v>0.05</v>
      </c>
      <c r="BK219" s="1">
        <f>INDEX(Input!$1:$1048576,BK$93,$C219*2+6)</f>
        <v>0.05</v>
      </c>
      <c r="BL219" s="1">
        <f>INDEX(Input!$1:$1048576,BL$93,$C219*2+6)</f>
        <v>5.5E-2</v>
      </c>
      <c r="BM219" s="1">
        <f>INDEX(Input!$1:$1048576,BM$93,$C219*2+6)</f>
        <v>0.06</v>
      </c>
      <c r="BN219" s="1">
        <f>INDEX(Input!$1:$1048576,BN$93,$C219*2+6)</f>
        <v>4.4999999999999998E-2</v>
      </c>
      <c r="BO219" s="1">
        <f>INDEX(Input!$1:$1048576,BO$93,$C219*2+6)</f>
        <v>4.4999999999999998E-2</v>
      </c>
      <c r="BP219" s="1">
        <f>INDEX(Input!$1:$1048576,BP$93,$C219*2+6)</f>
        <v>0.05</v>
      </c>
      <c r="BQ219" s="1">
        <f>INDEX(Input!$1:$1048576,BQ$93,$C219*2+6)</f>
        <v>5.45E-2</v>
      </c>
      <c r="BR219" s="1">
        <f>INDEX(Input!$1:$1048576,BR$93,$C219*2+6)</f>
        <v>5.45E-2</v>
      </c>
      <c r="BS219" s="1">
        <f>INDEX(Input!$1:$1048576,BS$93,$C219*2+6)</f>
        <v>0.05</v>
      </c>
      <c r="BT219" s="1">
        <f>INDEX(Input!$1:$1048576,BT$93,$C219*2+6)</f>
        <v>0.05</v>
      </c>
      <c r="BU219" s="1">
        <f>INDEX(Input!$1:$1048576,BU$93,$C219*2+6)</f>
        <v>0.05</v>
      </c>
      <c r="BV219" s="1">
        <f>INDEX(Input!$1:$1048576,BV$93,$C219*2+6)</f>
        <v>5.5E-2</v>
      </c>
      <c r="BW219" s="1">
        <f>INDEX(Input!$1:$1048576,BW$93,$C219*2+6)</f>
        <v>0.06</v>
      </c>
      <c r="BX219" s="127">
        <f>INDEX(Input!$1:$1048576,BX$93,$C219*2+6)</f>
        <v>19985</v>
      </c>
      <c r="BY219" s="20">
        <f>INDEX(Input!$1:$1048576,BY$93,$C219*2+6)</f>
        <v>0.1</v>
      </c>
      <c r="BZ219" s="20">
        <f>INDEX(Input!$1:$1048576,BZ$93,$C219*2+6)</f>
        <v>0.1</v>
      </c>
      <c r="CA219" s="20">
        <f>INDEX(Input!$1:$1048576,CA$93,$C219*2+6)</f>
        <v>0.1</v>
      </c>
      <c r="CB219" s="20">
        <f>INDEX(Input!$1:$1048576,CB$93,$C219*2+6)</f>
        <v>0.1</v>
      </c>
      <c r="CC219" s="20">
        <f>INDEX(Input!$1:$1048576,CC$93,$C219*2+6)</f>
        <v>0.1</v>
      </c>
      <c r="CD219" s="384">
        <f>INDEX(Input!$1:$1048576,CD$93,$C219*2+6)</f>
        <v>0.1</v>
      </c>
      <c r="CE219" s="384">
        <f>INDEX(Input!$1:$1048576,CE$93,$C219*2+6)</f>
        <v>0.1</v>
      </c>
      <c r="CF219" s="384">
        <f>INDEX(Input!$1:$1048576,CF$93,$C219*2+6)</f>
        <v>0.1</v>
      </c>
      <c r="CG219" s="384">
        <f>INDEX(Input!$1:$1048576,CG$93,$C219*2+6)</f>
        <v>0.1</v>
      </c>
      <c r="CH219" s="384">
        <f>INDEX(Input!$1:$1048576,CH$93,$C219*2+6)</f>
        <v>0.1</v>
      </c>
      <c r="CI219" s="304">
        <f t="shared" si="499"/>
        <v>1269.7618664521319</v>
      </c>
      <c r="CJ219" s="16" t="str">
        <f>INDEX(Input!$1:$1048576,CJ$93,$C219*2+6)</f>
        <v>N</v>
      </c>
      <c r="CK219" s="1" t="str">
        <f t="shared" si="500"/>
        <v>Market</v>
      </c>
      <c r="CL219" s="1" t="str">
        <f t="shared" si="501"/>
        <v>Market</v>
      </c>
      <c r="CM219" s="1" t="str">
        <f t="shared" si="502"/>
        <v>Market</v>
      </c>
      <c r="CN219" s="1" t="str">
        <f t="shared" si="503"/>
        <v>Market</v>
      </c>
      <c r="CO219" s="1" t="str">
        <f t="shared" si="504"/>
        <v>Market</v>
      </c>
      <c r="CP219" s="304">
        <f t="shared" si="505"/>
        <v>473</v>
      </c>
      <c r="CQ219" s="1">
        <f t="shared" si="506"/>
        <v>0</v>
      </c>
      <c r="CR219" s="1">
        <f t="shared" si="507"/>
        <v>0</v>
      </c>
      <c r="CS219" s="1">
        <f t="shared" si="508"/>
        <v>0</v>
      </c>
      <c r="CT219" s="1">
        <f t="shared" si="509"/>
        <v>1.9E-2</v>
      </c>
      <c r="CU219" s="1">
        <f t="shared" si="510"/>
        <v>3.9E-2</v>
      </c>
      <c r="CV219" s="304">
        <f t="shared" si="511"/>
        <v>56</v>
      </c>
      <c r="CW219" s="20" t="s">
        <v>122</v>
      </c>
      <c r="CX219" s="20" t="s">
        <v>122</v>
      </c>
      <c r="CY219" s="20" t="s">
        <v>122</v>
      </c>
      <c r="CZ219" s="20" t="s">
        <v>122</v>
      </c>
      <c r="DA219" s="20" t="s">
        <v>122</v>
      </c>
      <c r="DB219" s="503">
        <f t="shared" si="512"/>
        <v>0</v>
      </c>
      <c r="DC219" s="127">
        <v>0</v>
      </c>
      <c r="DD219" s="127">
        <v>0</v>
      </c>
      <c r="DE219" s="127">
        <v>0</v>
      </c>
      <c r="DF219" s="127">
        <v>0</v>
      </c>
      <c r="DG219" s="127">
        <v>0</v>
      </c>
      <c r="DH219" s="127">
        <v>0</v>
      </c>
      <c r="DI219" s="127">
        <v>0</v>
      </c>
      <c r="DJ219" s="127">
        <v>0</v>
      </c>
      <c r="DK219" s="127">
        <v>0</v>
      </c>
      <c r="DL219" s="127">
        <v>0</v>
      </c>
      <c r="DM219" s="304">
        <f>INDEX(Input!$1:$1048576,DM$93,$C219*2+6)</f>
        <v>21036.84210526316</v>
      </c>
      <c r="DN219" s="20">
        <v>0</v>
      </c>
      <c r="DO219" s="20">
        <v>0</v>
      </c>
      <c r="DP219" s="20">
        <v>0</v>
      </c>
      <c r="DQ219" s="20">
        <v>0</v>
      </c>
      <c r="DR219" s="20">
        <v>0</v>
      </c>
      <c r="DS219" s="20">
        <f>INDEX(Input!$1:$1048576,DS$93,$C219*2+6)</f>
        <v>0.6</v>
      </c>
      <c r="DT219" s="20">
        <f>INDEX(Input!$1:$1048576,DT$93,$C219*2+6)</f>
        <v>0.55000000000000004</v>
      </c>
      <c r="DU219" s="20">
        <f>INDEX(Input!$1:$1048576,DU$93,$C219*2+6)</f>
        <v>0.52</v>
      </c>
      <c r="DV219" s="20">
        <f>INDEX(Input!$1:$1048576,DV$93,$C219*2+6)</f>
        <v>0.5</v>
      </c>
      <c r="DW219" s="20">
        <f>INDEX(Input!$1:$1048576,DW$93,$C219*2+6)</f>
        <v>0.45</v>
      </c>
      <c r="DX219" s="20"/>
      <c r="DY219" s="7">
        <v>8.8217241225598403E-2</v>
      </c>
      <c r="DZ219" s="7">
        <v>0</v>
      </c>
      <c r="EA219" s="7">
        <v>0.64802702008103164</v>
      </c>
      <c r="EB219" s="7">
        <v>0</v>
      </c>
      <c r="EC219" s="7">
        <v>0</v>
      </c>
      <c r="ED219" s="7">
        <v>0</v>
      </c>
      <c r="EE219" s="7">
        <v>0</v>
      </c>
      <c r="EF219" s="7">
        <v>0</v>
      </c>
      <c r="EG219" s="7">
        <v>0</v>
      </c>
      <c r="EH219" s="7">
        <v>1.4258609221373017E-2</v>
      </c>
      <c r="EI219" s="7">
        <v>4.0581028820364504E-2</v>
      </c>
      <c r="EJ219" s="7">
        <v>0.30719631878302384</v>
      </c>
      <c r="EK219" s="7">
        <v>0.52676768908737159</v>
      </c>
      <c r="EL219" s="7">
        <v>0.11119635408786666</v>
      </c>
      <c r="EM219" s="7">
        <v>5.6688722883750299E-2</v>
      </c>
      <c r="EN219" s="7">
        <v>6.5097392965654838E-2</v>
      </c>
      <c r="EO219" s="7">
        <v>0.72833031211774835</v>
      </c>
      <c r="EP219" s="7">
        <v>8.9557680538018339E-2</v>
      </c>
      <c r="EQ219" s="7">
        <v>7.6408210020641965E-2</v>
      </c>
      <c r="ER219" s="7">
        <v>4.0606404357936693E-2</v>
      </c>
      <c r="ES219" s="7">
        <v>0.2070670158096197</v>
      </c>
      <c r="ET219" s="7">
        <v>0.26375573869336999</v>
      </c>
      <c r="EU219" s="6">
        <v>1024</v>
      </c>
      <c r="EV219" s="6">
        <v>0</v>
      </c>
      <c r="EW219" s="6">
        <v>1024</v>
      </c>
      <c r="EX219" s="6">
        <v>0</v>
      </c>
      <c r="EY219" s="6">
        <v>1783.9542175438191</v>
      </c>
      <c r="EZ219" s="6">
        <v>811</v>
      </c>
      <c r="FA219" s="6">
        <v>0</v>
      </c>
      <c r="FB219" s="6">
        <v>0</v>
      </c>
      <c r="FC219" s="6">
        <v>0</v>
      </c>
      <c r="FD219" s="6">
        <v>0</v>
      </c>
      <c r="FE219" s="6">
        <v>0</v>
      </c>
      <c r="FF219" s="6">
        <v>0</v>
      </c>
      <c r="FG219" s="6">
        <v>0</v>
      </c>
      <c r="FH219" s="6">
        <v>1173.7292739120087</v>
      </c>
      <c r="FI219" s="6">
        <v>1553.9796069512395</v>
      </c>
      <c r="FJ219" s="6">
        <v>2101.2110117447419</v>
      </c>
      <c r="FK219" s="6">
        <v>1772.7139978623229</v>
      </c>
      <c r="FL219" s="6">
        <v>907.07682140966301</v>
      </c>
      <c r="FM219" s="6">
        <v>1759.9542175438191</v>
      </c>
      <c r="FN219" s="6">
        <v>0</v>
      </c>
      <c r="FO219" s="6">
        <v>0</v>
      </c>
      <c r="FP219" s="6">
        <v>0</v>
      </c>
      <c r="FQ219" s="6">
        <v>0</v>
      </c>
      <c r="FR219" s="6">
        <v>0</v>
      </c>
      <c r="FS219" s="6">
        <v>0</v>
      </c>
      <c r="FT219" s="7">
        <v>0.73624426130663001</v>
      </c>
      <c r="FU219" s="7">
        <v>5.6688722883750299E-2</v>
      </c>
      <c r="FV219" s="7">
        <v>0.2070670158096197</v>
      </c>
      <c r="FW219" s="6">
        <v>1024</v>
      </c>
      <c r="FX219" s="6">
        <v>1783.9542175438191</v>
      </c>
      <c r="FY219" s="6">
        <v>811</v>
      </c>
      <c r="FZ219" s="6">
        <v>1817.4615072224267</v>
      </c>
      <c r="GA219" s="6">
        <v>1022.9755596752299</v>
      </c>
      <c r="GB219" s="6">
        <v>18962.024440324771</v>
      </c>
      <c r="GC219" s="7">
        <v>1.804905384453976E-2</v>
      </c>
      <c r="GD219" s="7">
        <v>1.6678810749007913E-2</v>
      </c>
      <c r="GE219" s="7"/>
      <c r="GF219" s="7"/>
      <c r="GG219" s="7">
        <v>-7.591772440450531E-2</v>
      </c>
      <c r="GH219" s="42">
        <v>1.9096822629879273</v>
      </c>
      <c r="GI219" s="6">
        <v>11488.067259658379</v>
      </c>
      <c r="GJ219" s="14">
        <v>0.50394797582841711</v>
      </c>
      <c r="GK219" s="14">
        <v>0.50887573065309766</v>
      </c>
      <c r="GL219" s="14">
        <v>0.49605202417158278</v>
      </c>
      <c r="GM219" s="14">
        <v>0.49112426934690234</v>
      </c>
      <c r="GO219" s="5">
        <v>343.14810671672558</v>
      </c>
      <c r="GP219" s="5">
        <v>323.61214022641747</v>
      </c>
      <c r="GQ219" s="5">
        <v>535.04305713031317</v>
      </c>
      <c r="GR219" s="5">
        <v>410.15490233172511</v>
      </c>
      <c r="GS219" s="5">
        <v>339.42744393800166</v>
      </c>
      <c r="GT219" s="5">
        <v>293.4407446948278</v>
      </c>
      <c r="GU219" s="5">
        <v>258.04012322764959</v>
      </c>
      <c r="GV219" s="39" t="s">
        <v>392</v>
      </c>
      <c r="GW219" s="5">
        <v>498.95833333333331</v>
      </c>
      <c r="GX219" s="5">
        <v>374.21875</v>
      </c>
      <c r="GY219" s="5">
        <v>299.375</v>
      </c>
      <c r="GZ219" s="5">
        <v>264.16684532927076</v>
      </c>
      <c r="HA219" s="5">
        <v>244.69995918572829</v>
      </c>
      <c r="HB219" s="39">
        <v>280.63183366178993</v>
      </c>
      <c r="HC219" s="5">
        <v>251.80312499999999</v>
      </c>
      <c r="HD219" s="5">
        <v>215.58802997076018</v>
      </c>
      <c r="HE219" s="5">
        <v>218.47841177462885</v>
      </c>
      <c r="HF219" s="5">
        <v>202.15438048245613</v>
      </c>
      <c r="HG219" s="5">
        <v>195.08721491228067</v>
      </c>
      <c r="HH219" s="39">
        <v>216.34548863601304</v>
      </c>
      <c r="HI219" s="16"/>
      <c r="HJ219" s="19" t="str">
        <f t="shared" ref="HJ219:HK219" si="721">HJ218</f>
        <v>On</v>
      </c>
      <c r="HK219" s="1" t="str">
        <f t="shared" si="721"/>
        <v>On</v>
      </c>
      <c r="HL219" s="16"/>
      <c r="HM219" s="639">
        <f t="shared" si="634"/>
        <v>1.2768706344444866E-2</v>
      </c>
      <c r="HN219" s="639">
        <f t="shared" si="635"/>
        <v>9.795534288915453E-4</v>
      </c>
      <c r="HO219" s="639">
        <f t="shared" si="636"/>
        <v>3.3583061774515237E-3</v>
      </c>
      <c r="HP219" s="644">
        <f>(FT219*$GD219-HM219)/$JF219*INDEX(Input!$1:$1048576,$JG$93,$C219*2+6)</f>
        <v>-35.533804070833455</v>
      </c>
      <c r="HQ219" s="644">
        <f>(FU219*$GD219-HN219)/$JF219*INDEX(Input!$1:$1048576,$JG$93,$C219*2+6)</f>
        <v>-2.4743607145785265</v>
      </c>
      <c r="HR219" s="644">
        <f>(FV219*$GD219-HO219)/$JF219*INDEX(Input!$1:$1048576,$JG$93,$C219*2+6)</f>
        <v>6.9265486771785776</v>
      </c>
      <c r="HS219" s="644">
        <f t="shared" ref="HS219" si="722">IF(AND(HJ219="On",HK219="On"),IL219/1000*INDEX(KG:KG,MATCH(C219*1000+3,$KF:$KF,0))*SUM(HY219:IA219)*1.1
+INDEX(HR:HR,MATCH(C219*1000+4,$KF:$KF,0))/INDEX(IM:IM,MATCH(C219*1000+4,$KF:$KF,0))*IM219*20%,0)</f>
        <v>14.45373490957874</v>
      </c>
      <c r="HT219" s="644">
        <f t="shared" si="638"/>
        <v>-15.264236946315181</v>
      </c>
      <c r="HU219" s="644">
        <f t="shared" si="639"/>
        <v>-5.6225688639989677</v>
      </c>
      <c r="HV219" s="648">
        <f t="shared" si="640"/>
        <v>0</v>
      </c>
      <c r="HW219" s="648">
        <f t="shared" si="641"/>
        <v>0</v>
      </c>
      <c r="HX219" s="648">
        <f t="shared" si="642"/>
        <v>0</v>
      </c>
      <c r="HY219" s="644">
        <f>INDEX(Input!$1:$1048576,HY$93,$C219*2+6)*INDEX(Input!$1:$1048576,$JG$93,$C219*2+6)</f>
        <v>451</v>
      </c>
      <c r="HZ219" s="644">
        <f>INDEX(Input!$1:$1048576,HZ$93,$C219*2+6)*INDEX(Input!$1:$1048576,$JG$93,$C219*2+6)</f>
        <v>577</v>
      </c>
      <c r="IA219" s="644">
        <f>INDEX(Input!$1:$1048576,IA$93,$C219*2+6)*INDEX(Input!$1:$1048576,$JG$93,$C219*2+6)</f>
        <v>215</v>
      </c>
      <c r="IB219" s="644">
        <f t="shared" si="666"/>
        <v>429.91993083874536</v>
      </c>
      <c r="IC219" s="644">
        <f t="shared" si="667"/>
        <v>559.26140233910621</v>
      </c>
      <c r="ID219" s="644">
        <f>IF(AND(INDEX(Input!$1:$1048576,IA$93,$C219*2+7)="TOS",Y219&lt;=INDEX(Y:Y,MATCH(C219*1000+2,A:A))),0,1)*MAX(IA219+HR219+HU219+HX219,0%)</f>
        <v>216.30397981317961</v>
      </c>
      <c r="IE219" s="128">
        <f t="shared" ref="IE219" si="723">IB219/SUM($IB219:$ID219)</f>
        <v>0.35663639051066892</v>
      </c>
      <c r="IF219" s="128">
        <f t="shared" si="643"/>
        <v>0.46393049862339314</v>
      </c>
      <c r="IG219" s="128">
        <f t="shared" si="644"/>
        <v>0.17943311086593797</v>
      </c>
      <c r="IH219" s="21"/>
      <c r="II219" s="19">
        <f t="shared" si="645"/>
        <v>1252</v>
      </c>
      <c r="IJ219" s="19">
        <f t="shared" si="646"/>
        <v>2011.9658773055378</v>
      </c>
      <c r="IK219" s="19">
        <f t="shared" si="647"/>
        <v>919</v>
      </c>
      <c r="IL219" s="19">
        <f t="shared" si="669"/>
        <v>-228</v>
      </c>
      <c r="IM219" s="19">
        <f t="shared" si="648"/>
        <v>-228.01165976171865</v>
      </c>
      <c r="IN219" s="19">
        <f t="shared" si="649"/>
        <v>-108</v>
      </c>
      <c r="IO219" s="39">
        <f t="shared" si="650"/>
        <v>0</v>
      </c>
      <c r="IP219" s="39">
        <f t="shared" si="651"/>
        <v>0</v>
      </c>
      <c r="IQ219" s="39">
        <f t="shared" si="652"/>
        <v>0</v>
      </c>
      <c r="IR219" s="39">
        <v>0</v>
      </c>
      <c r="IS219" s="39">
        <v>0</v>
      </c>
      <c r="IT219" s="39">
        <v>0</v>
      </c>
      <c r="IU219" s="39">
        <v>0</v>
      </c>
      <c r="IV219" s="39">
        <v>0</v>
      </c>
      <c r="IW219" s="39">
        <v>0</v>
      </c>
      <c r="IX219" s="39">
        <f>INDEX(Input!$1:$1048576,IX$93,$C219*2+6)+INDEX(Input!$1:$1048576,IX$94,$C219*2+6)</f>
        <v>1294</v>
      </c>
      <c r="IY219" s="39">
        <f>INDEX(Input!$1:$1048576,IY$93,$C219*2+6)+INDEX(Input!$1:$1048576,IY$94,$C219*2+6)</f>
        <v>2154.0624533823611</v>
      </c>
      <c r="IZ219" s="39">
        <f>INDEX(Input!$1:$1048576,IZ$93,$C219*2+6)+INDEX(Input!$1:$1048576,IZ$94,$C219*2+6)</f>
        <v>3677.7164157747848</v>
      </c>
      <c r="JA219" s="19">
        <f t="shared" si="670"/>
        <v>1066</v>
      </c>
      <c r="JB219" s="19">
        <f t="shared" si="671"/>
        <v>1926.0507936206425</v>
      </c>
      <c r="JC219" s="19">
        <f t="shared" si="672"/>
        <v>3569.7164157747848</v>
      </c>
      <c r="JD219" s="19">
        <f t="shared" si="673"/>
        <v>1914.2534187344554</v>
      </c>
      <c r="JE219" s="21"/>
      <c r="JF219" s="1">
        <f t="shared" si="653"/>
        <v>1.7106565950787935E-2</v>
      </c>
      <c r="JG219" s="15">
        <f>INDEX(Input!$1:$1048576,JG$93,$C219*2+6)/(1+VLOOKUP(C219*1000+INDEX(Input!$1:$1048576,JG$93+1,$C219*2+6),$A:$KK,$JK$92,FALSE))</f>
        <v>1243</v>
      </c>
      <c r="JH219" s="1">
        <f t="shared" si="674"/>
        <v>-2.500532269367128E-2</v>
      </c>
      <c r="JI219" s="1">
        <f t="shared" si="675"/>
        <v>-5.1754391799963065E-3</v>
      </c>
      <c r="JJ219" s="1">
        <f t="shared" ref="JJ219" si="724">SUM(HV219:HX219)/SUM(HY219:IA219)</f>
        <v>0</v>
      </c>
      <c r="JK219" s="1">
        <f t="shared" ref="JK219" si="725">SUM(JH219:JJ219)</f>
        <v>-3.0180761873667587E-2</v>
      </c>
      <c r="JL219" s="15">
        <f t="shared" si="678"/>
        <v>-37.514687008968814</v>
      </c>
      <c r="JM219" s="15">
        <f t="shared" si="702"/>
        <v>1205.4853129910312</v>
      </c>
      <c r="JN219" s="21"/>
      <c r="JO219" s="19">
        <f>INDEX(Input!$1:$1048576,JO$93,$C219*2+6)</f>
        <v>5995.5</v>
      </c>
      <c r="JP219" s="19">
        <f>INDEX(Input!$1:$1048576,JP$93,$C219*2+6)</f>
        <v>2105.548724853742</v>
      </c>
      <c r="JQ219" s="39">
        <f t="shared" si="688"/>
        <v>4081.2465812655446</v>
      </c>
      <c r="JR219" s="39">
        <f t="shared" si="705"/>
        <v>-191.29530611928658</v>
      </c>
      <c r="JS219" s="39">
        <f t="shared" si="690"/>
        <v>2.3076043816272565</v>
      </c>
      <c r="JT219" s="39">
        <f t="shared" si="680"/>
        <v>-0.30959268336594475</v>
      </c>
      <c r="JU219" s="385">
        <f>(JQ219*JM219-INDEX(Input!$1:$1048576,Input!A$18,$C219*2+6)*JL219*INDEX(Input!$1:$1048576,Input!A$19,$C219*2+6))/1000000</f>
        <v>4.9198828124104708</v>
      </c>
      <c r="JV219" s="39">
        <f t="shared" si="712"/>
        <v>8.4673377403672312E-2</v>
      </c>
      <c r="JW219" s="1">
        <f t="shared" si="703"/>
        <v>1.7511832432870255E-2</v>
      </c>
      <c r="JX219" s="19">
        <f t="shared" si="694"/>
        <v>8252.5727401625118</v>
      </c>
      <c r="JZ219" s="341"/>
      <c r="KA219" s="342"/>
      <c r="KB219" s="469">
        <f t="shared" si="691"/>
        <v>2.5660492421988774</v>
      </c>
      <c r="KI219" s="473">
        <f t="shared" si="719"/>
        <v>-21.080069161254642</v>
      </c>
      <c r="KJ219" s="473">
        <f t="shared" si="720"/>
        <v>-17.738597660893788</v>
      </c>
      <c r="KK219" s="473">
        <f t="shared" si="682"/>
        <v>1.303979813179609</v>
      </c>
      <c r="KN219" s="544">
        <f t="shared" si="695"/>
        <v>2002</v>
      </c>
      <c r="KO219" s="541">
        <f t="shared" si="657"/>
        <v>-3.5894690769274651E-2</v>
      </c>
      <c r="KP219" s="546">
        <f t="shared" si="658"/>
        <v>-245.78246666446483</v>
      </c>
      <c r="KQ219" s="546">
        <f t="shared" si="659"/>
        <v>-229.4269206990175</v>
      </c>
      <c r="KR219" s="548">
        <f t="shared" si="660"/>
        <v>2.6055912808706703</v>
      </c>
      <c r="KS219" s="548">
        <f t="shared" si="661"/>
        <v>2.791340485155883</v>
      </c>
      <c r="KT219" s="473">
        <f t="shared" si="693"/>
        <v>843.26993010479111</v>
      </c>
      <c r="KU219" s="663">
        <f t="shared" si="683"/>
        <v>4.4844257473576592</v>
      </c>
      <c r="KV219" s="117"/>
    </row>
    <row r="220" spans="1:308" s="26" customFormat="1" ht="15">
      <c r="A220" s="561">
        <f t="shared" si="662"/>
        <v>2020</v>
      </c>
      <c r="B220" s="561">
        <f t="shared" si="684"/>
        <v>20</v>
      </c>
      <c r="C220" s="561">
        <f t="shared" si="105"/>
        <v>2</v>
      </c>
      <c r="D220" s="765" t="str">
        <f>"Plan B: "&amp;IF(E220=INDEX(E:E,MATCH(C220*1000+2,A:A,0)),"",E220-INDEX(E:E,MATCH(C220*1000+2,A:A,0))&amp;E$100&amp;", ")
&amp;IF(F220=INDEX(F:F,MATCH(C220*1000+2,A:A,0)),"",F220-INDEX(F:F,MATCH(C220*1000+2,A:A,0))&amp;F$100&amp;", ")
&amp;IF(AM220=INDEX(AM:AM,MATCH(C220*1000+2,A:A,0)),"",AM220&amp;AM$100&amp;", ")
&amp;IF(AP220=INDEX(AP:AP,MATCH(C220*1000+2,A:A,0)),"",AP220&amp;AP$100&amp;", ")
&amp;IF(Q220=INDEX(Q:Q,MATCH(C220*1000+2,A:A,0)),"",Q220-INDEX(Q:Q,MATCH(C220*1000+2,A:A,0))&amp;Q$100&amp;", ")
&amp;IF(Y220=INDEX(Y:Y,MATCH(C220*1000+2,A:A,0)),"",Y220-INDEX(Y:Y,MATCH(C220*1000+2,A:A,0))&amp;Y$100&amp;", ")
&amp;IF(Z220=INDEX(Z:Z,MATCH(C220*1000+2,A:A,0)),"",Z220-INDEX(Z:Z,MATCH(C220*1000+2,A:A,0))&amp;Z$100&amp;", ")
&amp;IF(AA220=INDEX(AA:AA,MATCH(C220*1000+2,A:A,0)),"",AA220-INDEX(AA:AA,MATCH(C220*1000+2,A:A,0))&amp;AA$100&amp;", ")
&amp;IF(AC220=INDEX(AC:AC,MATCH(C220*1000+2,A:A,0)),"",AC220-INDEX(AC:AC,MATCH(C220*1000+2,A:A,0))&amp;AC$100&amp;", ")
&amp;IF(AE220=INDEX(AE:AE,MATCH(C220*1000+2,A:A,0)),"",AE220-INDEX(AE:AE,MATCH(C220*1000+2,A:A,0))&amp;AE$100&amp;", ")
&amp;IF(AG220=INDEX(AG:AG,MATCH(C220*1000+2,A:A,0)),"",AG220-INDEX(AG:AG,MATCH(C220*1000+2,A:A,0))&amp;AG$100&amp;", ")
&amp;IF(AI220=INDEX(AI:AI,MATCH(C220*1000+2,A:A,0)),"",AI220-INDEX(AI:AI,MATCH(C220*1000+2,A:A,0))&amp;AI$100&amp;", ")</f>
        <v xml:space="preserve">Plan B: </v>
      </c>
      <c r="E220" s="475">
        <f>INDEX(Input!$1:$1048576,E$93,$C220*2+MIN($B220,2)+5)</f>
        <v>1269.7618664521319</v>
      </c>
      <c r="F220" s="475">
        <f>INDEX(Input!$1:$1048576,F$93,$C220*2+MIN($B220,2)+5)</f>
        <v>0</v>
      </c>
      <c r="G220" s="475">
        <f>INDEX(Input!$1:$1048576,G$93,$C220*2+MIN($B220,2)+5)</f>
        <v>0</v>
      </c>
      <c r="H220" s="475">
        <f>INDEX(Input!$1:$1048576,H$93,$C220*2+MIN($B220,2)+5)</f>
        <v>0</v>
      </c>
      <c r="I220" s="476">
        <f>INDEX(Input!$1:$1048576,I$93,$C220*2+MIN($B220,2)+5)</f>
        <v>0.7</v>
      </c>
      <c r="J220" s="476" t="str">
        <f>INDEX(Input!$1:$1048576,J$93,$C220*2+MIN($B220,2)+5)</f>
        <v>Market</v>
      </c>
      <c r="K220" s="476" t="str">
        <f>INDEX(Input!$1:$1048576,K$93,$C220*2+MIN($B220,2)+5)</f>
        <v>Market</v>
      </c>
      <c r="L220" s="476" t="str">
        <f>INDEX(Input!$1:$1048576,L$93,$C220*2+MIN($B220,2)+5)</f>
        <v>Market</v>
      </c>
      <c r="M220" s="476" t="str">
        <f>INDEX(Input!$1:$1048576,M$93,$C220*2+MIN($B220,2)+5)</f>
        <v>Market</v>
      </c>
      <c r="N220" s="476" t="str">
        <f>INDEX(Input!$1:$1048576,N$93,$C220*2+MIN($B220,2)+5)</f>
        <v>Market</v>
      </c>
      <c r="O220" s="476" t="str">
        <f>INDEX(Input!$1:$1048576,O$93,$C220*2+MIN($B220,2)+5)</f>
        <v>Market</v>
      </c>
      <c r="P220" s="476" t="str">
        <f>INDEX(Input!$1:$1048576,P$93,$C220*2+MIN($B220,2)+5)</f>
        <v>N</v>
      </c>
      <c r="Q220" s="477">
        <f>INDEX(Input!$1:$1048576,Q$93,$C220*2+MIN($B220,2)+5)</f>
        <v>0</v>
      </c>
      <c r="R220" s="478">
        <f>IFERROR(MAX(0,INDEX(Input!$1:$1048576,R$93,$C220*2+MIN($B220,2)+5)-0%,),"Market")</f>
        <v>0</v>
      </c>
      <c r="S220" s="478">
        <f>IFERROR(MAX(0,INDEX(Input!$1:$1048576,S$93,$C220*2+MIN($B220,2)+5)-0%,),"Market")</f>
        <v>0</v>
      </c>
      <c r="T220" s="478">
        <f>IFERROR(MAX(0,INDEX(Input!$1:$1048576,T$93,$C220*2+MIN($B220,2)+5)-0%,),"Market")</f>
        <v>0</v>
      </c>
      <c r="U220" s="478">
        <f>IFERROR(MAX(0,INDEX(Input!$1:$1048576,U$93,$C220*2+MIN($B220,2)+5)-0%,),"Market")</f>
        <v>0</v>
      </c>
      <c r="V220" s="478">
        <f>IFERROR(MAX(0,INDEX(Input!$1:$1048576,V$93,$C220*2+MIN($B220,2)+5)-0%,),"Market")</f>
        <v>1.9E-2</v>
      </c>
      <c r="W220" s="885">
        <f>IFERROR(MAX(0,INDEX(Input!$1:$1048576,W$93,$C220*2+MIN($B220,2)+5)-0%,),"Market")</f>
        <v>3.9E-2</v>
      </c>
      <c r="X220" s="476" t="str">
        <f>INDEX(Input!$1:$1048576,X$93,$C220*2+MIN($B220,2)+5)</f>
        <v>Y</v>
      </c>
      <c r="Y220" s="475">
        <f>INDEX(Input!$1:$1048576,Y$93,$C220*2+MIN($B220,2)+5)</f>
        <v>56</v>
      </c>
      <c r="Z220" s="477">
        <f>INDEX(Input!$1:$1048576,Z$93,$C220*2+MIN($B220,2)+5)</f>
        <v>0</v>
      </c>
      <c r="AA220" s="475">
        <f>INDEX(Input!$1:$1048576,AA$93,$C220*2+MIN($B220,2)+5)</f>
        <v>0</v>
      </c>
      <c r="AB220" s="476">
        <f>INDEX(Input!$1:$1048576,AB$93,$C220*2+MIN($B220,2)+5)</f>
        <v>0.27</v>
      </c>
      <c r="AC220" s="475">
        <f>INDEX(Input!$1:$1048576,AC$93,$C220*2+MIN($B220,2)+5)</f>
        <v>0</v>
      </c>
      <c r="AD220" s="476">
        <f>INDEX(Input!$1:$1048576,AD$93,$C220*2+MIN($B220,2)+5)</f>
        <v>0.27</v>
      </c>
      <c r="AE220" s="475">
        <f>INDEX(Input!$1:$1048576,AE$93,$C220*2+MIN($B220,2)+5)</f>
        <v>0</v>
      </c>
      <c r="AF220" s="476">
        <f>INDEX(Input!$1:$1048576,AF$93,$C220*2+MIN($B220,2)+5)</f>
        <v>4.8000000000000001E-2</v>
      </c>
      <c r="AG220" s="475">
        <f>INDEX(Input!$1:$1048576,AG$93,$C220*2+MIN($B220,2)+5)</f>
        <v>500</v>
      </c>
      <c r="AH220" s="476">
        <f>INDEX(Input!$1:$1048576,AH$93,$C220*2+MIN($B220,2)+5)</f>
        <v>0.94599999999999995</v>
      </c>
      <c r="AI220" s="475">
        <f>INDEX(Input!$1:$1048576,AI$93,$C220*2+MIN($B220,2)+5)</f>
        <v>0</v>
      </c>
      <c r="AJ220" s="476">
        <f>INDEX(Input!$1:$1048576,AJ$93,$C220*2+MIN($B220,2)+5)</f>
        <v>0.27</v>
      </c>
      <c r="AK220" s="150">
        <f>ROUND(INDEX(Input!$1:$1048576,AK$93,$C219*2+MIN($B220,1)+5)+(Y220-VLOOKUP($C220*1000+1,$A:$HH,Y$92,FALSE)),0)</f>
        <v>2977</v>
      </c>
      <c r="AL220" s="150">
        <f>ROUND(INDEX(Input!$1:$1048576,AL$93,$C219*2+MIN($B220,1)+5)-(Y220-VLOOKUP($C220*1000+1,$A:$HH,Y$92,FALSE))/36,0)</f>
        <v>3395</v>
      </c>
      <c r="AM220" s="32" t="str">
        <f t="shared" si="663"/>
        <v>std/std/std/std</v>
      </c>
      <c r="AN220" s="32" t="str">
        <f t="shared" si="664"/>
        <v>$0 + 0/0/0/1.9/3.9</v>
      </c>
      <c r="AO220" s="32" t="str">
        <f t="shared" si="665"/>
        <v>0/0/0/1.9/3.9</v>
      </c>
      <c r="AP220" s="32" t="str">
        <f t="shared" si="498"/>
        <v>0/0.9/1.9/3.9</v>
      </c>
      <c r="AQ220" s="536">
        <f t="shared" si="497"/>
        <v>0.36346525724366952</v>
      </c>
      <c r="AR220" s="32"/>
      <c r="AS220" s="302"/>
      <c r="AT220" s="3">
        <f t="shared" si="717"/>
        <v>20</v>
      </c>
      <c r="AU220" s="41" t="s">
        <v>121</v>
      </c>
      <c r="AV220" s="41" t="s">
        <v>116</v>
      </c>
      <c r="AW220" s="41" t="str">
        <f>INDEX(Input!$1:$1048576,AW$93,$C220*2+6)</f>
        <v>Kia</v>
      </c>
      <c r="AX220" s="41" t="str">
        <f>INDEX(Input!$1:$1048576,AX$93,$C220*2+6)</f>
        <v>Kia-LR - L2</v>
      </c>
      <c r="AY220" s="41" t="str">
        <f>IF(LEN(D220)=0,"",INDEX(Input!$1:$1048576,AY$93,$C220*2+6))</f>
        <v>Compact SUV (52)</v>
      </c>
      <c r="AZ220" s="41" t="str">
        <f>INDEX(Input!$1:$1048576,AZ$93,$C220*2+6)</f>
        <v>Kia Soul</v>
      </c>
      <c r="BA220" s="3">
        <f>INDEX(Input!$1:$1048576,BA$93,$C220*2+6)</f>
        <v>2020</v>
      </c>
      <c r="BB220" s="128">
        <f>INDEX(Input!$1:$1048576,BB$93,$C220*2+6)</f>
        <v>1</v>
      </c>
      <c r="BC220" s="128">
        <f>INDEX(Input!$1:$1048576,BC$93,$C220*2+6)</f>
        <v>0.7</v>
      </c>
      <c r="BD220" s="1">
        <f>INDEX(Input!$1:$1048576,BD$93,$C220*2+6)</f>
        <v>4.4999999999999998E-2</v>
      </c>
      <c r="BE220" s="1">
        <f>INDEX(Input!$1:$1048576,BE$93,$C220*2+6)</f>
        <v>4.4999999999999998E-2</v>
      </c>
      <c r="BF220" s="1">
        <f>INDEX(Input!$1:$1048576,BF$93,$C220*2+6)</f>
        <v>0.05</v>
      </c>
      <c r="BG220" s="1">
        <f>INDEX(Input!$1:$1048576,BG$93,$C220*2+6)</f>
        <v>5.45E-2</v>
      </c>
      <c r="BH220" s="1">
        <f>INDEX(Input!$1:$1048576,BH$93,$C220*2+6)</f>
        <v>5.45E-2</v>
      </c>
      <c r="BI220" s="1">
        <f>INDEX(Input!$1:$1048576,BI$93,$C220*2+6)</f>
        <v>0.05</v>
      </c>
      <c r="BJ220" s="1">
        <f>INDEX(Input!$1:$1048576,BJ$93,$C220*2+6)</f>
        <v>0.05</v>
      </c>
      <c r="BK220" s="1">
        <f>INDEX(Input!$1:$1048576,BK$93,$C220*2+6)</f>
        <v>0.05</v>
      </c>
      <c r="BL220" s="1">
        <f>INDEX(Input!$1:$1048576,BL$93,$C220*2+6)</f>
        <v>5.5E-2</v>
      </c>
      <c r="BM220" s="1">
        <f>INDEX(Input!$1:$1048576,BM$93,$C220*2+6)</f>
        <v>0.06</v>
      </c>
      <c r="BN220" s="1">
        <f>INDEX(Input!$1:$1048576,BN$93,$C220*2+6)</f>
        <v>4.4999999999999998E-2</v>
      </c>
      <c r="BO220" s="1">
        <f>INDEX(Input!$1:$1048576,BO$93,$C220*2+6)</f>
        <v>4.4999999999999998E-2</v>
      </c>
      <c r="BP220" s="1">
        <f>INDEX(Input!$1:$1048576,BP$93,$C220*2+6)</f>
        <v>0.05</v>
      </c>
      <c r="BQ220" s="1">
        <f>INDEX(Input!$1:$1048576,BQ$93,$C220*2+6)</f>
        <v>5.45E-2</v>
      </c>
      <c r="BR220" s="1">
        <f>INDEX(Input!$1:$1048576,BR$93,$C220*2+6)</f>
        <v>5.45E-2</v>
      </c>
      <c r="BS220" s="1">
        <f>INDEX(Input!$1:$1048576,BS$93,$C220*2+6)</f>
        <v>0.05</v>
      </c>
      <c r="BT220" s="1">
        <f>INDEX(Input!$1:$1048576,BT$93,$C220*2+6)</f>
        <v>0.05</v>
      </c>
      <c r="BU220" s="1">
        <f>INDEX(Input!$1:$1048576,BU$93,$C220*2+6)</f>
        <v>0.05</v>
      </c>
      <c r="BV220" s="1">
        <f>INDEX(Input!$1:$1048576,BV$93,$C220*2+6)</f>
        <v>5.5E-2</v>
      </c>
      <c r="BW220" s="1">
        <f>INDEX(Input!$1:$1048576,BW$93,$C220*2+6)</f>
        <v>0.06</v>
      </c>
      <c r="BX220" s="127">
        <f>INDEX(Input!$1:$1048576,BX$93,$C220*2+6)</f>
        <v>19985</v>
      </c>
      <c r="BY220" s="20">
        <f>INDEX(Input!$1:$1048576,BY$93,$C220*2+6)</f>
        <v>0.1</v>
      </c>
      <c r="BZ220" s="20">
        <f>INDEX(Input!$1:$1048576,BZ$93,$C220*2+6)</f>
        <v>0.1</v>
      </c>
      <c r="CA220" s="20">
        <f>INDEX(Input!$1:$1048576,CA$93,$C220*2+6)</f>
        <v>0.1</v>
      </c>
      <c r="CB220" s="20">
        <f>INDEX(Input!$1:$1048576,CB$93,$C220*2+6)</f>
        <v>0.1</v>
      </c>
      <c r="CC220" s="20">
        <f>INDEX(Input!$1:$1048576,CC$93,$C220*2+6)</f>
        <v>0.1</v>
      </c>
      <c r="CD220" s="384">
        <f>INDEX(Input!$1:$1048576,CD$93,$C220*2+6)</f>
        <v>0.1</v>
      </c>
      <c r="CE220" s="384">
        <f>INDEX(Input!$1:$1048576,CE$93,$C220*2+6)</f>
        <v>0.1</v>
      </c>
      <c r="CF220" s="384">
        <f>INDEX(Input!$1:$1048576,CF$93,$C220*2+6)</f>
        <v>0.1</v>
      </c>
      <c r="CG220" s="384">
        <f>INDEX(Input!$1:$1048576,CG$93,$C220*2+6)</f>
        <v>0.1</v>
      </c>
      <c r="CH220" s="384">
        <f>INDEX(Input!$1:$1048576,CH$93,$C220*2+6)</f>
        <v>0.1</v>
      </c>
      <c r="CI220" s="304">
        <f t="shared" si="499"/>
        <v>1269.7618664521319</v>
      </c>
      <c r="CJ220" s="16" t="str">
        <f>INDEX(Input!$1:$1048576,CJ$93,$C220*2+6)</f>
        <v>N</v>
      </c>
      <c r="CK220" s="1" t="str">
        <f t="shared" si="500"/>
        <v>Market</v>
      </c>
      <c r="CL220" s="1" t="str">
        <f t="shared" si="501"/>
        <v>Market</v>
      </c>
      <c r="CM220" s="1" t="str">
        <f t="shared" si="502"/>
        <v>Market</v>
      </c>
      <c r="CN220" s="1" t="str">
        <f t="shared" si="503"/>
        <v>Market</v>
      </c>
      <c r="CO220" s="1" t="str">
        <f t="shared" si="504"/>
        <v>Market</v>
      </c>
      <c r="CP220" s="304">
        <f t="shared" si="505"/>
        <v>473</v>
      </c>
      <c r="CQ220" s="1">
        <f t="shared" si="506"/>
        <v>0</v>
      </c>
      <c r="CR220" s="1">
        <f t="shared" si="507"/>
        <v>0</v>
      </c>
      <c r="CS220" s="1">
        <f t="shared" si="508"/>
        <v>0</v>
      </c>
      <c r="CT220" s="1">
        <f t="shared" si="509"/>
        <v>1.9E-2</v>
      </c>
      <c r="CU220" s="1">
        <f t="shared" si="510"/>
        <v>3.9E-2</v>
      </c>
      <c r="CV220" s="304">
        <f t="shared" si="511"/>
        <v>56</v>
      </c>
      <c r="CW220" s="20" t="s">
        <v>122</v>
      </c>
      <c r="CX220" s="20" t="s">
        <v>122</v>
      </c>
      <c r="CY220" s="20" t="s">
        <v>122</v>
      </c>
      <c r="CZ220" s="20" t="s">
        <v>122</v>
      </c>
      <c r="DA220" s="20" t="s">
        <v>122</v>
      </c>
      <c r="DB220" s="503">
        <f t="shared" si="512"/>
        <v>0</v>
      </c>
      <c r="DC220" s="127">
        <v>0</v>
      </c>
      <c r="DD220" s="127">
        <v>0</v>
      </c>
      <c r="DE220" s="127">
        <v>0</v>
      </c>
      <c r="DF220" s="127">
        <v>0</v>
      </c>
      <c r="DG220" s="127">
        <v>0</v>
      </c>
      <c r="DH220" s="127">
        <v>0</v>
      </c>
      <c r="DI220" s="127">
        <v>0</v>
      </c>
      <c r="DJ220" s="127">
        <v>0</v>
      </c>
      <c r="DK220" s="127">
        <v>0</v>
      </c>
      <c r="DL220" s="127">
        <v>0</v>
      </c>
      <c r="DM220" s="304">
        <f>INDEX(Input!$1:$1048576,DM$93,$C220*2+6)</f>
        <v>21036.84210526316</v>
      </c>
      <c r="DN220" s="20">
        <v>0</v>
      </c>
      <c r="DO220" s="20">
        <v>0</v>
      </c>
      <c r="DP220" s="20">
        <v>0</v>
      </c>
      <c r="DQ220" s="20">
        <v>0</v>
      </c>
      <c r="DR220" s="20">
        <v>0</v>
      </c>
      <c r="DS220" s="20">
        <f>INDEX(Input!$1:$1048576,DS$93,$C220*2+6)</f>
        <v>0.6</v>
      </c>
      <c r="DT220" s="20">
        <f>INDEX(Input!$1:$1048576,DT$93,$C220*2+6)</f>
        <v>0.55000000000000004</v>
      </c>
      <c r="DU220" s="20">
        <f>INDEX(Input!$1:$1048576,DU$93,$C220*2+6)</f>
        <v>0.52</v>
      </c>
      <c r="DV220" s="20">
        <f>INDEX(Input!$1:$1048576,DV$93,$C220*2+6)</f>
        <v>0.5</v>
      </c>
      <c r="DW220" s="20">
        <f>INDEX(Input!$1:$1048576,DW$93,$C220*2+6)</f>
        <v>0.45</v>
      </c>
      <c r="DX220" s="20"/>
      <c r="DY220" s="7">
        <v>9.2510794042928127E-2</v>
      </c>
      <c r="DZ220" s="7">
        <v>0</v>
      </c>
      <c r="EA220" s="7">
        <v>0.65520424416402745</v>
      </c>
      <c r="EB220" s="7">
        <v>0</v>
      </c>
      <c r="EC220" s="7">
        <v>0</v>
      </c>
      <c r="ED220" s="7">
        <v>0</v>
      </c>
      <c r="EE220" s="7">
        <v>0</v>
      </c>
      <c r="EF220" s="7">
        <v>0</v>
      </c>
      <c r="EG220" s="7">
        <v>0</v>
      </c>
      <c r="EH220" s="7">
        <v>1.4260719306967309E-2</v>
      </c>
      <c r="EI220" s="7">
        <v>4.0588879620914835E-2</v>
      </c>
      <c r="EJ220" s="7">
        <v>0.30723050061456508</v>
      </c>
      <c r="EK220" s="7">
        <v>0.52672878779884957</v>
      </c>
      <c r="EL220" s="7">
        <v>0.11119111265870334</v>
      </c>
      <c r="EM220" s="7">
        <v>5.732152807487742E-2</v>
      </c>
      <c r="EN220" s="7">
        <v>6.5539324161884543E-2</v>
      </c>
      <c r="EO220" s="7">
        <v>0.73222258348117619</v>
      </c>
      <c r="EP220" s="7">
        <v>8.75885066949912E-2</v>
      </c>
      <c r="EQ220" s="7">
        <v>7.4716518219428138E-2</v>
      </c>
      <c r="ER220" s="7">
        <v>3.993306744251978E-2</v>
      </c>
      <c r="ES220" s="7">
        <v>0.19496343371816702</v>
      </c>
      <c r="ET220" s="7">
        <v>0.25228496179304444</v>
      </c>
      <c r="EU220" s="6">
        <v>1294</v>
      </c>
      <c r="EV220" s="6">
        <v>0</v>
      </c>
      <c r="EW220" s="6">
        <v>1294</v>
      </c>
      <c r="EX220" s="6">
        <v>0</v>
      </c>
      <c r="EY220" s="6">
        <v>2053.9670139247082</v>
      </c>
      <c r="EZ220" s="6">
        <v>946</v>
      </c>
      <c r="FA220" s="6">
        <v>0</v>
      </c>
      <c r="FB220" s="6">
        <v>0</v>
      </c>
      <c r="FC220" s="6">
        <v>0</v>
      </c>
      <c r="FD220" s="6">
        <v>0</v>
      </c>
      <c r="FE220" s="6">
        <v>0</v>
      </c>
      <c r="FF220" s="6">
        <v>0</v>
      </c>
      <c r="FG220" s="6">
        <v>0</v>
      </c>
      <c r="FH220" s="6">
        <v>1173.7300960633979</v>
      </c>
      <c r="FI220" s="6">
        <v>1553.9796069512397</v>
      </c>
      <c r="FJ220" s="6">
        <v>2101.2110117447405</v>
      </c>
      <c r="FK220" s="6">
        <v>1772.713997862324</v>
      </c>
      <c r="FL220" s="6">
        <v>907.07682140966256</v>
      </c>
      <c r="FM220" s="6">
        <v>1759.9670139247085</v>
      </c>
      <c r="FN220" s="6">
        <v>0</v>
      </c>
      <c r="FO220" s="6">
        <v>0</v>
      </c>
      <c r="FP220" s="6">
        <v>0</v>
      </c>
      <c r="FQ220" s="6">
        <v>0</v>
      </c>
      <c r="FR220" s="6">
        <v>0</v>
      </c>
      <c r="FS220" s="6">
        <v>0</v>
      </c>
      <c r="FT220" s="7">
        <v>0.74771503820695562</v>
      </c>
      <c r="FU220" s="7">
        <v>5.732152807487742E-2</v>
      </c>
      <c r="FV220" s="7">
        <v>0.19496343371816702</v>
      </c>
      <c r="FW220" s="6">
        <v>1294</v>
      </c>
      <c r="FX220" s="6">
        <v>2053.9670139247082</v>
      </c>
      <c r="FY220" s="6">
        <v>946</v>
      </c>
      <c r="FZ220" s="6">
        <v>1817.4615072224267</v>
      </c>
      <c r="GA220" s="6">
        <v>1269.7151955907439</v>
      </c>
      <c r="GB220" s="6">
        <v>18715.284804409257</v>
      </c>
      <c r="GC220" s="7">
        <v>1.804905384453976E-2</v>
      </c>
      <c r="GD220" s="7">
        <v>1.7189749341810889E-2</v>
      </c>
      <c r="GE220" s="7"/>
      <c r="GF220" s="7"/>
      <c r="GG220" s="7">
        <v>-4.760939327513998E-2</v>
      </c>
      <c r="GH220" s="42">
        <v>1.737070071306049</v>
      </c>
      <c r="GI220" s="6">
        <v>12774.720278646433</v>
      </c>
      <c r="GJ220" s="14">
        <v>0.50394797582841755</v>
      </c>
      <c r="GK220" s="14">
        <v>0.50887573065309732</v>
      </c>
      <c r="GL220" s="14">
        <v>0.49605202417158284</v>
      </c>
      <c r="GM220" s="14">
        <v>0.4911242693469024</v>
      </c>
      <c r="GO220" s="5">
        <v>343.14810671672558</v>
      </c>
      <c r="GP220" s="5">
        <v>318.46105531198077</v>
      </c>
      <c r="GQ220" s="5">
        <v>535.04305713031317</v>
      </c>
      <c r="GR220" s="5">
        <v>410.15490233172511</v>
      </c>
      <c r="GS220" s="5">
        <v>339.42744393800166</v>
      </c>
      <c r="GT220" s="5">
        <v>293.4407446948278</v>
      </c>
      <c r="GU220" s="5">
        <v>258.04012322764959</v>
      </c>
      <c r="GV220" s="39" t="s">
        <v>392</v>
      </c>
      <c r="GW220" s="5">
        <v>491.45833333333331</v>
      </c>
      <c r="GX220" s="5">
        <v>368.59375</v>
      </c>
      <c r="GY220" s="5">
        <v>294.875</v>
      </c>
      <c r="GZ220" s="5">
        <v>260.19607020114813</v>
      </c>
      <c r="HA220" s="5">
        <v>241.02179695997205</v>
      </c>
      <c r="HB220" s="39">
        <v>276.41619298528263</v>
      </c>
      <c r="HC220" s="5">
        <v>245.89687499999999</v>
      </c>
      <c r="HD220" s="5">
        <v>211.55677997076018</v>
      </c>
      <c r="HE220" s="5">
        <v>214.73562331309037</v>
      </c>
      <c r="HF220" s="5">
        <v>199.03250548245612</v>
      </c>
      <c r="HG220" s="5">
        <v>192.49971491228069</v>
      </c>
      <c r="HH220" s="39">
        <v>212.3890594847762</v>
      </c>
      <c r="HI220" s="16"/>
      <c r="HJ220" s="19" t="str">
        <f t="shared" ref="HJ220:HK234" si="726">HJ219</f>
        <v>On</v>
      </c>
      <c r="HK220" s="1" t="str">
        <f t="shared" si="726"/>
        <v>On</v>
      </c>
      <c r="HL220" s="16"/>
      <c r="HM220" s="639">
        <f t="shared" si="634"/>
        <v>1.2768706344444866E-2</v>
      </c>
      <c r="HN220" s="639">
        <f t="shared" si="635"/>
        <v>9.795534288915453E-4</v>
      </c>
      <c r="HO220" s="639">
        <f t="shared" si="636"/>
        <v>3.3583061774515237E-3</v>
      </c>
      <c r="HP220" s="644">
        <f>(FT220*$GD220-HM220)/$JF220*INDEX(Input!$1:$1048576,$JG$93,$C220*2+6)</f>
        <v>6.1274356820395317</v>
      </c>
      <c r="HQ220" s="644">
        <f>(FU220*$GD220-HN220)/$JF220*INDEX(Input!$1:$1048576,$JG$93,$C220*2+6)</f>
        <v>0.42066089611041185</v>
      </c>
      <c r="HR220" s="644">
        <f>(FV220*$GD220-HO220)/$JF220*INDEX(Input!$1:$1048576,$JG$93,$C220*2+6)</f>
        <v>-0.50381186671306599</v>
      </c>
      <c r="HS220" s="644">
        <f t="shared" si="686"/>
        <v>-2.6625290015039171</v>
      </c>
      <c r="HT220" s="644">
        <f t="shared" si="638"/>
        <v>2.8117508781783496</v>
      </c>
      <c r="HU220" s="644">
        <f t="shared" si="639"/>
        <v>1.1733376240697475</v>
      </c>
      <c r="HV220" s="648">
        <f t="shared" si="640"/>
        <v>0</v>
      </c>
      <c r="HW220" s="648">
        <f t="shared" si="641"/>
        <v>0</v>
      </c>
      <c r="HX220" s="648">
        <f t="shared" si="642"/>
        <v>0</v>
      </c>
      <c r="HY220" s="644">
        <f>INDEX(Input!$1:$1048576,HY$93,$C220*2+6)*INDEX(Input!$1:$1048576,$JG$93,$C220*2+6)</f>
        <v>451</v>
      </c>
      <c r="HZ220" s="644">
        <f>INDEX(Input!$1:$1048576,HZ$93,$C220*2+6)*INDEX(Input!$1:$1048576,$JG$93,$C220*2+6)</f>
        <v>577</v>
      </c>
      <c r="IA220" s="644">
        <f>INDEX(Input!$1:$1048576,IA$93,$C220*2+6)*INDEX(Input!$1:$1048576,$JG$93,$C220*2+6)</f>
        <v>215</v>
      </c>
      <c r="IB220" s="644">
        <f t="shared" si="666"/>
        <v>454.46490668053565</v>
      </c>
      <c r="IC220" s="644">
        <f t="shared" si="667"/>
        <v>580.23241177428883</v>
      </c>
      <c r="ID220" s="644">
        <f>IF(AND(INDEX(Input!$1:$1048576,IA$93,$C220*2+7)="TOS",Y220&lt;=INDEX(Y:Y,MATCH(C220*1000+2,A:A))),0,1)*MAX(IA220+HR220+HU220+HX220,0%)</f>
        <v>215.66952575735667</v>
      </c>
      <c r="IE220" s="128">
        <f t="shared" ref="IE220" si="727">IB220/SUM($IB220:$ID220)</f>
        <v>0.36346525724366952</v>
      </c>
      <c r="IF220" s="128">
        <f t="shared" si="643"/>
        <v>0.46404974224974427</v>
      </c>
      <c r="IG220" s="128">
        <f t="shared" si="644"/>
        <v>0.17248500050658622</v>
      </c>
      <c r="IH220" s="21"/>
      <c r="II220" s="19">
        <f t="shared" si="645"/>
        <v>1252</v>
      </c>
      <c r="IJ220" s="19">
        <f t="shared" si="646"/>
        <v>2011.9658773055378</v>
      </c>
      <c r="IK220" s="19">
        <f t="shared" si="647"/>
        <v>919</v>
      </c>
      <c r="IL220" s="19">
        <f t="shared" si="669"/>
        <v>42</v>
      </c>
      <c r="IM220" s="19">
        <f t="shared" si="648"/>
        <v>42.001136619170438</v>
      </c>
      <c r="IN220" s="19">
        <f t="shared" si="649"/>
        <v>27</v>
      </c>
      <c r="IO220" s="39">
        <f t="shared" si="650"/>
        <v>0</v>
      </c>
      <c r="IP220" s="39">
        <f t="shared" si="651"/>
        <v>0</v>
      </c>
      <c r="IQ220" s="39">
        <f t="shared" si="652"/>
        <v>0</v>
      </c>
      <c r="IR220" s="39">
        <v>0</v>
      </c>
      <c r="IS220" s="39">
        <v>0</v>
      </c>
      <c r="IT220" s="39">
        <v>0</v>
      </c>
      <c r="IU220" s="39">
        <v>0</v>
      </c>
      <c r="IV220" s="39">
        <v>0</v>
      </c>
      <c r="IW220" s="39">
        <v>0</v>
      </c>
      <c r="IX220" s="39">
        <f>INDEX(Input!$1:$1048576,IX$93,$C220*2+6)+INDEX(Input!$1:$1048576,IX$94,$C220*2+6)</f>
        <v>1294</v>
      </c>
      <c r="IY220" s="39">
        <f>INDEX(Input!$1:$1048576,IY$93,$C220*2+6)+INDEX(Input!$1:$1048576,IY$94,$C220*2+6)</f>
        <v>2154.0624533823611</v>
      </c>
      <c r="IZ220" s="39">
        <f>INDEX(Input!$1:$1048576,IZ$93,$C220*2+6)+INDEX(Input!$1:$1048576,IZ$94,$C220*2+6)</f>
        <v>3677.7164157747848</v>
      </c>
      <c r="JA220" s="19">
        <f t="shared" si="670"/>
        <v>1336</v>
      </c>
      <c r="JB220" s="19">
        <f t="shared" si="671"/>
        <v>2196.0635900015313</v>
      </c>
      <c r="JC220" s="19">
        <f t="shared" si="672"/>
        <v>3704.7164157747848</v>
      </c>
      <c r="JD220" s="19">
        <f t="shared" si="673"/>
        <v>2143.6803394334729</v>
      </c>
      <c r="JE220" s="21"/>
      <c r="JF220" s="1">
        <f t="shared" si="653"/>
        <v>1.7106565950787935E-2</v>
      </c>
      <c r="JG220" s="15">
        <f>INDEX(Input!$1:$1048576,JG$93,$C220*2+6)/(1+VLOOKUP(C220*1000+INDEX(Input!$1:$1048576,JG$93+1,$C220*2+6),$A:$KK,$JK$92,FALSE))</f>
        <v>1243</v>
      </c>
      <c r="JH220" s="1">
        <f t="shared" si="674"/>
        <v>4.8626586576322418E-3</v>
      </c>
      <c r="JI220" s="1">
        <f t="shared" si="675"/>
        <v>1.0640060343879163E-3</v>
      </c>
      <c r="JJ220" s="1">
        <f t="shared" si="711"/>
        <v>0</v>
      </c>
      <c r="JK220" s="1">
        <f t="shared" si="715"/>
        <v>5.9266646920201581E-3</v>
      </c>
      <c r="JL220" s="15">
        <f t="shared" si="678"/>
        <v>7.3668442121810562</v>
      </c>
      <c r="JM220" s="15">
        <f t="shared" si="702"/>
        <v>1250.3668442121811</v>
      </c>
      <c r="JN220" s="21"/>
      <c r="JO220" s="19">
        <f>INDEX(Input!$1:$1048576,JO$93,$C220*2+6)</f>
        <v>5995.5</v>
      </c>
      <c r="JP220" s="19">
        <f>INDEX(Input!$1:$1048576,JP$93,$C220*2+6)</f>
        <v>2105.548724853742</v>
      </c>
      <c r="JQ220" s="39">
        <f t="shared" si="688"/>
        <v>3851.8196605665271</v>
      </c>
      <c r="JR220" s="39">
        <f t="shared" si="705"/>
        <v>38.131614579730922</v>
      </c>
      <c r="JS220" s="39">
        <f t="shared" si="690"/>
        <v>2.6803868210171289</v>
      </c>
      <c r="JT220" s="39">
        <f t="shared" si="680"/>
        <v>6.3189756023927596E-2</v>
      </c>
      <c r="JU220" s="385">
        <f>(JQ220*JM220-INDEX(Input!$1:$1048576,Input!A$18,$C220*2+6)*JL220*INDEX(Input!$1:$1048576,Input!A$19,$C220*2+6))/1000000</f>
        <v>4.8161875934570029</v>
      </c>
      <c r="JV220" s="39">
        <f t="shared" si="712"/>
        <v>-1.9021841549795582E-2</v>
      </c>
      <c r="JW220" s="1">
        <f t="shared" si="703"/>
        <v>-3.9340263964737316E-3</v>
      </c>
      <c r="JX220" s="19">
        <f t="shared" si="694"/>
        <v>8577.5882051969438</v>
      </c>
      <c r="JZ220" s="341"/>
      <c r="KA220" s="342"/>
      <c r="KB220" s="469">
        <f t="shared" si="691"/>
        <v>2.5660492421988774</v>
      </c>
      <c r="KI220" s="473">
        <f t="shared" si="719"/>
        <v>3.4649066805356483</v>
      </c>
      <c r="KJ220" s="473">
        <f t="shared" si="720"/>
        <v>3.2324117742888347</v>
      </c>
      <c r="KK220" s="473">
        <f t="shared" si="682"/>
        <v>0.66952575735666642</v>
      </c>
      <c r="KN220" s="544">
        <f t="shared" si="695"/>
        <v>2002</v>
      </c>
      <c r="KO220" s="541">
        <f t="shared" si="657"/>
        <v>0</v>
      </c>
      <c r="KP220" s="546">
        <f t="shared" si="658"/>
        <v>0</v>
      </c>
      <c r="KQ220" s="546">
        <f t="shared" si="659"/>
        <v>0</v>
      </c>
      <c r="KR220" s="548" t="e">
        <f t="shared" si="660"/>
        <v>#DIV/0!</v>
      </c>
      <c r="KS220" s="548" t="e">
        <f t="shared" si="661"/>
        <v>#DIV/0!</v>
      </c>
      <c r="KT220" s="473">
        <f t="shared" si="693"/>
        <v>843.26993010479111</v>
      </c>
      <c r="KU220" s="663">
        <f t="shared" si="683"/>
        <v>4.5006708616860225</v>
      </c>
      <c r="KV220" s="117"/>
    </row>
    <row r="221" spans="1:308" s="26" customFormat="1" ht="15">
      <c r="A221" s="561">
        <f t="shared" si="662"/>
        <v>2021</v>
      </c>
      <c r="B221" s="561">
        <f t="shared" si="684"/>
        <v>21</v>
      </c>
      <c r="C221" s="561">
        <f t="shared" si="105"/>
        <v>2</v>
      </c>
      <c r="D221" s="561" t="str">
        <f t="shared" ref="D221:D284" si="728">IF(E221=INDEX(E:E,MATCH(C221*1000+2,A:A,0)),"",E221-INDEX(E:E,MATCH(C221*1000+2,A:A,0))&amp;E$100&amp;", ")
&amp;IF(F221=INDEX(F:F,MATCH(C221*1000+2,A:A,0)),"",F221-INDEX(F:F,MATCH(C221*1000+2,A:A,0))&amp;F$100&amp;", ")
&amp;IF(AM221=INDEX(AM:AM,MATCH(C221*1000+2,A:A,0)),"",AM221&amp;AM$100&amp;", ")
&amp;IF(AP221=INDEX(AP:AP,MATCH(C221*1000+2,A:A,0)),"",AP221&amp;AP$100&amp;", ")
&amp;IF(Q221=INDEX(Q:Q,MATCH(C221*1000+2,A:A,0)),"",Q221-INDEX(Q:Q,MATCH(C221*1000+2,A:A,0))&amp;Q$100&amp;", ")
&amp;IF(Y221=INDEX(Y:Y,MATCH(C221*1000+2,A:A,0)),"",Y221-INDEX(Y:Y,MATCH(C221*1000+2,A:A,0))&amp;Y$100&amp;", ")
&amp;IF(Z221=INDEX(Z:Z,MATCH(C221*1000+2,A:A,0)),"",Z221-INDEX(Z:Z,MATCH(C221*1000+2,A:A,0))&amp;Z$100&amp;", ")
&amp;IF(AA221=INDEX(AA:AA,MATCH(C221*1000+2,A:A,0)),"",AA221-INDEX(AA:AA,MATCH(C221*1000+2,A:A,0))&amp;AA$100&amp;", ")
&amp;IF(AC221=INDEX(AC:AC,MATCH(C221*1000+2,A:A,0)),"",AC221-INDEX(AC:AC,MATCH(C221*1000+2,A:A,0))&amp;AC$100&amp;", ")
&amp;IF(AE221=INDEX(AE:AE,MATCH(C221*1000+2,A:A,0)),"",AE221-INDEX(AE:AE,MATCH(C221*1000+2,A:A,0))&amp;AE$100&amp;", ")
&amp;IF(AG221=INDEX(AG:AG,MATCH(C221*1000+2,A:A,0)),"",AG221-INDEX(AG:AG,MATCH(C221*1000+2,A:A,0))&amp;AG$100&amp;", ")
&amp;IF(AI221=INDEX(AI:AI,MATCH(C221*1000+2,A:A,0)),"",AI221-INDEX(AI:AI,MATCH(C221*1000+2,A:A,0))&amp;AI$100&amp;", ")</f>
        <v xml:space="preserve">0/0/0.9/3.9, </v>
      </c>
      <c r="E221" s="475">
        <f>INDEX(Input!$1:$1048576,E$93,$C221*2+MIN($B221,2)+5)
+INDEX(Scenarios!E$121:E$200,MATCH($B221,Scenarios!$B$121:$B$200,0))</f>
        <v>1269.7618664521319</v>
      </c>
      <c r="F221" s="475">
        <f>INDEX(Input!$1:$1048576,F$93,$C221*2+MIN($B221,2)+5)
+INDEX(Scenarios!F$121:F$200,MATCH($B221,Scenarios!$B$121:$B$200,0))</f>
        <v>0</v>
      </c>
      <c r="G221" s="475">
        <f>INDEX(Input!$1:$1048576,G$93,$C221*2+MIN($B221,2)+5)
+INDEX(Scenarios!G$121:G$200,MATCH($B221,Scenarios!$B$121:$B$200,0))</f>
        <v>0</v>
      </c>
      <c r="H221" s="475">
        <f>INDEX(Input!$1:$1048576,H$93,$C221*2+MIN($B221,2)+5)
+INDEX(Scenarios!H$121:H$200,MATCH($B221,Scenarios!$B$121:$B$200,0))</f>
        <v>0</v>
      </c>
      <c r="I221" s="476">
        <f>INDEX(Input!$1:$1048576,I$93,$C221*2+MIN($B221,2)+5)</f>
        <v>0.7</v>
      </c>
      <c r="J221" s="476" t="str">
        <f>INDEX(Input!$1:$1048576,J$93,$C221*2+MIN($B221,2)+5)</f>
        <v>Market</v>
      </c>
      <c r="K221" s="476" t="str">
        <f>INDEX(Input!$1:$1048576,K$93,$C221*2+MIN($B221,2)+5)</f>
        <v>Market</v>
      </c>
      <c r="L221" s="476" t="str">
        <f>INDEX(Input!$1:$1048576,L$93,$C221*2+MIN($B221,2)+5)</f>
        <v>Market</v>
      </c>
      <c r="M221" s="476" t="str">
        <f>INDEX(Input!$1:$1048576,M$93,$C221*2+MIN($B221,2)+5)</f>
        <v>Market</v>
      </c>
      <c r="N221" s="476" t="str">
        <f>INDEX(Input!$1:$1048576,N$93,$C221*2+MIN($B221,2)+5)</f>
        <v>Market</v>
      </c>
      <c r="O221" s="476" t="str">
        <f>INDEX(Input!$1:$1048576,O$93,$C221*2+MIN($B221,2)+5)</f>
        <v>Market</v>
      </c>
      <c r="P221" s="476" t="str">
        <f>INDEX(Input!$1:$1048576,P$93,$C221*2+MIN($B221,2)+5)</f>
        <v>N</v>
      </c>
      <c r="Q221" s="477">
        <f>INDEX(Input!$1:$1048576,Q$93,$C221*2+MIN($B221,2)+5)
+INDEX(Scenarios!Q$121:Q$200,MATCH($B221,Scenarios!$B$121:$B$200,0))</f>
        <v>0</v>
      </c>
      <c r="R221" s="478">
        <f>IFERROR(MAX(0,INDEX(Input!$1:$1048576,R$93,$C221*2+MIN($B221,2)+5)
+INDEX(Scenarios!R$121:R$200,MATCH($B221,Scenarios!$B$121:$B$200,0)),),"Market")</f>
        <v>0</v>
      </c>
      <c r="S221" s="478">
        <f>IFERROR(MAX(0,INDEX(Input!$1:$1048576,S$93,$C221*2+MIN($B221,2)+5)
+INDEX(Scenarios!S$121:S$200,MATCH($B221,Scenarios!$B$121:$B$200,0)),),"Market")</f>
        <v>0</v>
      </c>
      <c r="T221" s="478">
        <f>IFERROR(MAX(0,INDEX(Input!$1:$1048576,T$93,$C221*2+MIN($B221,2)+5)
+INDEX(Scenarios!T$121:T$200,MATCH($B221,Scenarios!$B$121:$B$200,0)),),"Market")</f>
        <v>0</v>
      </c>
      <c r="U221" s="478">
        <f>IFERROR(MAX(0,INDEX(Input!$1:$1048576,U$93,$C221*2+MIN($B221,2)+5)
+INDEX(Scenarios!U$121:U$200,MATCH($B221,Scenarios!$B$121:$B$200,0)),),"Market")</f>
        <v>0</v>
      </c>
      <c r="V221" s="478">
        <f>IFERROR(MAX(0,INDEX(Input!$1:$1048576,V$93,$C221*2+MIN($B221,2)+5)
+INDEX(Scenarios!V$121:V$200,MATCH($B221,Scenarios!$B$121:$B$200,0)),),"Market")</f>
        <v>8.9999999999999993E-3</v>
      </c>
      <c r="W221" s="885">
        <f>IFERROR(MAX(0,INDEX(Input!$1:$1048576,W$93,$C221*2+MIN($B221,2)+5)-0%,),"Market")</f>
        <v>3.9E-2</v>
      </c>
      <c r="X221" s="476" t="str">
        <f>INDEX(Input!$1:$1048576,X$93,$C221*2+MIN($B221,2)+5)</f>
        <v>Y</v>
      </c>
      <c r="Y221" s="475">
        <f>INDEX(Input!$1:$1048576,Y$93,$C221*2+MIN($B221,2)+5)
++INDEX(Scenarios!Y$121:Y$200,MATCH($B221,Scenarios!$B$121:$B$200,0))</f>
        <v>56</v>
      </c>
      <c r="Z221" s="477">
        <f>INDEX(Input!$1:$1048576,Z$93,$C221*2+MIN($B221,2)+5)
+INDEX(Scenarios!Z$121:Z$200,MATCH($B221,Scenarios!$B$121:$B$200,0))</f>
        <v>0</v>
      </c>
      <c r="AA221" s="475">
        <f>INDEX(Input!$1:$1048576,AA$93,$C221*2+MIN($B221,2)+5)
+INDEX(Scenarios!AA$121:AA$200,MATCH($B221,Scenarios!$B$121:$B$200,0))</f>
        <v>0</v>
      </c>
      <c r="AB221" s="476">
        <f>INDEX(Input!$1:$1048576,AB$93,$C221*2+MIN($B221,2)+5)</f>
        <v>0.27</v>
      </c>
      <c r="AC221" s="475">
        <f>INDEX(Input!$1:$1048576,AC$93,$C221*2+MIN($B221,2)+5)
+INDEX(Scenarios!AC$121:AC$200,MATCH($B221,Scenarios!$B$121:$B$200,0))</f>
        <v>0</v>
      </c>
      <c r="AD221" s="476">
        <f>INDEX(Input!$1:$1048576,AD$93,$C221*2+MIN($B221,2)+5)</f>
        <v>0.27</v>
      </c>
      <c r="AE221" s="475">
        <f>INDEX(Input!$1:$1048576,AE$93,$C221*2+MIN($B221,2)+5)
+INDEX(Scenarios!AE$121:AE$200,MATCH($B221,Scenarios!$B$121:$B$200,0))</f>
        <v>0</v>
      </c>
      <c r="AF221" s="476">
        <f>INDEX(Input!$1:$1048576,AF$93,$C221*2+MIN($B221,2)+5)</f>
        <v>4.8000000000000001E-2</v>
      </c>
      <c r="AG221" s="475">
        <f>INDEX(Input!$1:$1048576,AG$93,$C221*2+MIN($B221,2)+5)
+INDEX(Scenarios!AG$121:AG$200,MATCH($B221,Scenarios!$B$121:$B$200,0))</f>
        <v>500</v>
      </c>
      <c r="AH221" s="476">
        <f>INDEX(Input!$1:$1048576,AH$93,$C221*2+MIN($B221,2)+5)</f>
        <v>0.94599999999999995</v>
      </c>
      <c r="AI221" s="475">
        <f>INDEX(Input!$1:$1048576,AI$93,$C221*2+MIN($B221,2)+5)
+INDEX(Scenarios!AI$121:AI$200,MATCH($B221,Scenarios!$B$121:$B$200,0))</f>
        <v>0</v>
      </c>
      <c r="AJ221" s="476">
        <f>INDEX(Input!$1:$1048576,AJ$93,$C221*2+MIN($B221,2)+5)</f>
        <v>0.27</v>
      </c>
      <c r="AK221" s="150">
        <f>ROUND(INDEX(Input!$1:$1048576,AK$93,$C220*2+MIN($B221,1)+5)+(Y221-VLOOKUP($C221*1000+1,$A:$HH,Y$92,FALSE)),0)</f>
        <v>2977</v>
      </c>
      <c r="AL221" s="150">
        <f>ROUND(INDEX(Input!$1:$1048576,AL$93,$C220*2+MIN($B221,1)+5)-(Y221-VLOOKUP($C221*1000+1,$A:$HH,Y$92,FALSE))/36,0)</f>
        <v>3395</v>
      </c>
      <c r="AM221" s="32" t="str">
        <f t="shared" si="663"/>
        <v>std/std/std/std</v>
      </c>
      <c r="AN221" s="32" t="str">
        <f t="shared" si="664"/>
        <v>$0 + 0/0/0/0.9/3.9</v>
      </c>
      <c r="AO221" s="32" t="str">
        <f t="shared" si="665"/>
        <v>0/0/0/0.9/3.9</v>
      </c>
      <c r="AP221" s="32" t="str">
        <f t="shared" si="498"/>
        <v>0/0/0.9/3.9</v>
      </c>
      <c r="AQ221" s="536">
        <f t="shared" si="497"/>
        <v>0.34636575357982596</v>
      </c>
      <c r="AR221" s="32"/>
      <c r="AS221" s="302"/>
      <c r="AT221" s="3">
        <f t="shared" si="717"/>
        <v>21</v>
      </c>
      <c r="AU221" s="41" t="s">
        <v>121</v>
      </c>
      <c r="AV221" s="41" t="s">
        <v>116</v>
      </c>
      <c r="AW221" s="41" t="str">
        <f>INDEX(Input!$1:$1048576,AW$93,$C221*2+6)</f>
        <v>Kia</v>
      </c>
      <c r="AX221" s="41" t="str">
        <f>INDEX(Input!$1:$1048576,AX$93,$C221*2+6)</f>
        <v>Kia-LR - L2</v>
      </c>
      <c r="AY221" s="41" t="str">
        <f>IF(LEN(D221)=0,"",INDEX(Input!$1:$1048576,AY$93,$C221*2+6))</f>
        <v>Compact SUV (52)</v>
      </c>
      <c r="AZ221" s="41" t="str">
        <f>INDEX(Input!$1:$1048576,AZ$93,$C221*2+6)</f>
        <v>Kia Soul</v>
      </c>
      <c r="BA221" s="3">
        <f>INDEX(Input!$1:$1048576,BA$93,$C221*2+6)</f>
        <v>2020</v>
      </c>
      <c r="BB221" s="128">
        <f>INDEX(Input!$1:$1048576,BB$93,$C221*2+6)</f>
        <v>1</v>
      </c>
      <c r="BC221" s="128">
        <f>INDEX(Input!$1:$1048576,BC$93,$C221*2+6)</f>
        <v>0.7</v>
      </c>
      <c r="BD221" s="1">
        <f>INDEX(Input!$1:$1048576,BD$93,$C221*2+6)</f>
        <v>4.4999999999999998E-2</v>
      </c>
      <c r="BE221" s="1">
        <f>INDEX(Input!$1:$1048576,BE$93,$C221*2+6)</f>
        <v>4.4999999999999998E-2</v>
      </c>
      <c r="BF221" s="1">
        <f>INDEX(Input!$1:$1048576,BF$93,$C221*2+6)</f>
        <v>0.05</v>
      </c>
      <c r="BG221" s="1">
        <f>INDEX(Input!$1:$1048576,BG$93,$C221*2+6)</f>
        <v>5.45E-2</v>
      </c>
      <c r="BH221" s="1">
        <f>INDEX(Input!$1:$1048576,BH$93,$C221*2+6)</f>
        <v>5.45E-2</v>
      </c>
      <c r="BI221" s="1">
        <f>INDEX(Input!$1:$1048576,BI$93,$C221*2+6)</f>
        <v>0.05</v>
      </c>
      <c r="BJ221" s="1">
        <f>INDEX(Input!$1:$1048576,BJ$93,$C221*2+6)</f>
        <v>0.05</v>
      </c>
      <c r="BK221" s="1">
        <f>INDEX(Input!$1:$1048576,BK$93,$C221*2+6)</f>
        <v>0.05</v>
      </c>
      <c r="BL221" s="1">
        <f>INDEX(Input!$1:$1048576,BL$93,$C221*2+6)</f>
        <v>5.5E-2</v>
      </c>
      <c r="BM221" s="1">
        <f>INDEX(Input!$1:$1048576,BM$93,$C221*2+6)</f>
        <v>0.06</v>
      </c>
      <c r="BN221" s="1">
        <f>INDEX(Input!$1:$1048576,BN$93,$C221*2+6)</f>
        <v>4.4999999999999998E-2</v>
      </c>
      <c r="BO221" s="1">
        <f>INDEX(Input!$1:$1048576,BO$93,$C221*2+6)</f>
        <v>4.4999999999999998E-2</v>
      </c>
      <c r="BP221" s="1">
        <f>INDEX(Input!$1:$1048576,BP$93,$C221*2+6)</f>
        <v>0.05</v>
      </c>
      <c r="BQ221" s="1">
        <f>INDEX(Input!$1:$1048576,BQ$93,$C221*2+6)</f>
        <v>5.45E-2</v>
      </c>
      <c r="BR221" s="1">
        <f>INDEX(Input!$1:$1048576,BR$93,$C221*2+6)</f>
        <v>5.45E-2</v>
      </c>
      <c r="BS221" s="1">
        <f>INDEX(Input!$1:$1048576,BS$93,$C221*2+6)</f>
        <v>0.05</v>
      </c>
      <c r="BT221" s="1">
        <f>INDEX(Input!$1:$1048576,BT$93,$C221*2+6)</f>
        <v>0.05</v>
      </c>
      <c r="BU221" s="1">
        <f>INDEX(Input!$1:$1048576,BU$93,$C221*2+6)</f>
        <v>0.05</v>
      </c>
      <c r="BV221" s="1">
        <f>INDEX(Input!$1:$1048576,BV$93,$C221*2+6)</f>
        <v>5.5E-2</v>
      </c>
      <c r="BW221" s="1">
        <f>INDEX(Input!$1:$1048576,BW$93,$C221*2+6)</f>
        <v>0.06</v>
      </c>
      <c r="BX221" s="127">
        <f>INDEX(Input!$1:$1048576,BX$93,$C221*2+6)</f>
        <v>19985</v>
      </c>
      <c r="BY221" s="20">
        <f>INDEX(Input!$1:$1048576,BY$93,$C221*2+6)</f>
        <v>0.1</v>
      </c>
      <c r="BZ221" s="20">
        <f>INDEX(Input!$1:$1048576,BZ$93,$C221*2+6)</f>
        <v>0.1</v>
      </c>
      <c r="CA221" s="20">
        <f>INDEX(Input!$1:$1048576,CA$93,$C221*2+6)</f>
        <v>0.1</v>
      </c>
      <c r="CB221" s="20">
        <f>INDEX(Input!$1:$1048576,CB$93,$C221*2+6)</f>
        <v>0.1</v>
      </c>
      <c r="CC221" s="20">
        <f>INDEX(Input!$1:$1048576,CC$93,$C221*2+6)</f>
        <v>0.1</v>
      </c>
      <c r="CD221" s="384">
        <f>INDEX(Input!$1:$1048576,CD$93,$C221*2+6)</f>
        <v>0.1</v>
      </c>
      <c r="CE221" s="384">
        <f>INDEX(Input!$1:$1048576,CE$93,$C221*2+6)</f>
        <v>0.1</v>
      </c>
      <c r="CF221" s="384">
        <f>INDEX(Input!$1:$1048576,CF$93,$C221*2+6)</f>
        <v>0.1</v>
      </c>
      <c r="CG221" s="384">
        <f>INDEX(Input!$1:$1048576,CG$93,$C221*2+6)</f>
        <v>0.1</v>
      </c>
      <c r="CH221" s="384">
        <f>INDEX(Input!$1:$1048576,CH$93,$C221*2+6)</f>
        <v>0.1</v>
      </c>
      <c r="CI221" s="304">
        <f t="shared" si="499"/>
        <v>1269.7618664521319</v>
      </c>
      <c r="CJ221" s="16" t="str">
        <f>INDEX(Input!$1:$1048576,CJ$93,$C221*2+6)</f>
        <v>N</v>
      </c>
      <c r="CK221" s="1" t="str">
        <f t="shared" si="500"/>
        <v>Market</v>
      </c>
      <c r="CL221" s="1" t="str">
        <f t="shared" si="501"/>
        <v>Market</v>
      </c>
      <c r="CM221" s="1" t="str">
        <f t="shared" si="502"/>
        <v>Market</v>
      </c>
      <c r="CN221" s="1" t="str">
        <f t="shared" si="503"/>
        <v>Market</v>
      </c>
      <c r="CO221" s="1" t="str">
        <f t="shared" si="504"/>
        <v>Market</v>
      </c>
      <c r="CP221" s="304">
        <f t="shared" si="505"/>
        <v>473</v>
      </c>
      <c r="CQ221" s="1">
        <f t="shared" si="506"/>
        <v>0</v>
      </c>
      <c r="CR221" s="1">
        <f t="shared" si="507"/>
        <v>0</v>
      </c>
      <c r="CS221" s="1">
        <f t="shared" si="508"/>
        <v>0</v>
      </c>
      <c r="CT221" s="1">
        <f t="shared" si="509"/>
        <v>8.9999999999999993E-3</v>
      </c>
      <c r="CU221" s="1">
        <f t="shared" si="510"/>
        <v>3.9E-2</v>
      </c>
      <c r="CV221" s="304">
        <f t="shared" si="511"/>
        <v>56</v>
      </c>
      <c r="CW221" s="20" t="s">
        <v>122</v>
      </c>
      <c r="CX221" s="20" t="s">
        <v>122</v>
      </c>
      <c r="CY221" s="20" t="s">
        <v>122</v>
      </c>
      <c r="CZ221" s="20" t="s">
        <v>122</v>
      </c>
      <c r="DA221" s="20" t="s">
        <v>122</v>
      </c>
      <c r="DB221" s="503">
        <f t="shared" si="512"/>
        <v>0</v>
      </c>
      <c r="DC221" s="127">
        <v>0</v>
      </c>
      <c r="DD221" s="127">
        <v>0</v>
      </c>
      <c r="DE221" s="127">
        <v>0</v>
      </c>
      <c r="DF221" s="127">
        <v>0</v>
      </c>
      <c r="DG221" s="127">
        <v>0</v>
      </c>
      <c r="DH221" s="127">
        <v>0</v>
      </c>
      <c r="DI221" s="127">
        <v>0</v>
      </c>
      <c r="DJ221" s="127">
        <v>0</v>
      </c>
      <c r="DK221" s="127">
        <v>0</v>
      </c>
      <c r="DL221" s="127">
        <v>0</v>
      </c>
      <c r="DM221" s="304">
        <f>INDEX(Input!$1:$1048576,DM$93,$C221*2+6)</f>
        <v>21036.84210526316</v>
      </c>
      <c r="DN221" s="20">
        <v>0</v>
      </c>
      <c r="DO221" s="20">
        <v>0</v>
      </c>
      <c r="DP221" s="20">
        <v>0</v>
      </c>
      <c r="DQ221" s="20">
        <v>0</v>
      </c>
      <c r="DR221" s="20">
        <v>0</v>
      </c>
      <c r="DS221" s="20">
        <f>INDEX(Input!$1:$1048576,DS$93,$C221*2+6)</f>
        <v>0.6</v>
      </c>
      <c r="DT221" s="20">
        <f>INDEX(Input!$1:$1048576,DT$93,$C221*2+6)</f>
        <v>0.55000000000000004</v>
      </c>
      <c r="DU221" s="20">
        <f>INDEX(Input!$1:$1048576,DU$93,$C221*2+6)</f>
        <v>0.52</v>
      </c>
      <c r="DV221" s="20">
        <f>INDEX(Input!$1:$1048576,DV$93,$C221*2+6)</f>
        <v>0.5</v>
      </c>
      <c r="DW221" s="20">
        <f>INDEX(Input!$1:$1048576,DW$93,$C221*2+6)</f>
        <v>0.45</v>
      </c>
      <c r="DX221" s="20"/>
      <c r="DY221" s="7">
        <v>9.1074983818813168E-2</v>
      </c>
      <c r="DZ221" s="7">
        <v>0</v>
      </c>
      <c r="EA221" s="7">
        <v>0.64521916325877604</v>
      </c>
      <c r="EB221" s="7">
        <v>0</v>
      </c>
      <c r="EC221" s="7">
        <v>0</v>
      </c>
      <c r="ED221" s="7">
        <v>0</v>
      </c>
      <c r="EE221" s="7">
        <v>0</v>
      </c>
      <c r="EF221" s="7">
        <v>0</v>
      </c>
      <c r="EG221" s="7">
        <v>0</v>
      </c>
      <c r="EH221" s="7">
        <v>1.1222720115848107E-2</v>
      </c>
      <c r="EI221" s="7">
        <v>3.1942413016361568E-2</v>
      </c>
      <c r="EJ221" s="7">
        <v>0.24175979131990857</v>
      </c>
      <c r="EK221" s="7">
        <v>0.62758560497533356</v>
      </c>
      <c r="EL221" s="7">
        <v>8.7489470572548259E-2</v>
      </c>
      <c r="EM221" s="7">
        <v>7.1711127586630563E-2</v>
      </c>
      <c r="EN221" s="7">
        <v>6.5539478071954274E-2</v>
      </c>
      <c r="EO221" s="7">
        <v>0.73221852506155161</v>
      </c>
      <c r="EP221" s="7">
        <v>8.759235776705375E-2</v>
      </c>
      <c r="EQ221" s="7">
        <v>7.4716654925312972E-2</v>
      </c>
      <c r="ER221" s="7">
        <v>3.993298417412755E-2</v>
      </c>
      <c r="ES221" s="7">
        <v>0.19199472533578016</v>
      </c>
      <c r="ET221" s="7">
        <v>0.26370585292241083</v>
      </c>
      <c r="EU221" s="6">
        <v>1294</v>
      </c>
      <c r="EV221" s="6">
        <v>0</v>
      </c>
      <c r="EW221" s="6">
        <v>1294</v>
      </c>
      <c r="EX221" s="6">
        <v>0</v>
      </c>
      <c r="EY221" s="6">
        <v>2357.0467057334108</v>
      </c>
      <c r="EZ221" s="6">
        <v>946</v>
      </c>
      <c r="FA221" s="6">
        <v>0</v>
      </c>
      <c r="FB221" s="6">
        <v>0</v>
      </c>
      <c r="FC221" s="6">
        <v>0</v>
      </c>
      <c r="FD221" s="6">
        <v>0</v>
      </c>
      <c r="FE221" s="6">
        <v>0</v>
      </c>
      <c r="FF221" s="6">
        <v>0</v>
      </c>
      <c r="FG221" s="6">
        <v>0</v>
      </c>
      <c r="FH221" s="6">
        <v>1173.7307078935639</v>
      </c>
      <c r="FI221" s="6">
        <v>1553.9796069512402</v>
      </c>
      <c r="FJ221" s="6">
        <v>2101.2110117447405</v>
      </c>
      <c r="FK221" s="6">
        <v>2251.3078348034664</v>
      </c>
      <c r="FL221" s="6">
        <v>907.0768214096629</v>
      </c>
      <c r="FM221" s="6">
        <v>2063.0467057334108</v>
      </c>
      <c r="FN221" s="6">
        <v>0</v>
      </c>
      <c r="FO221" s="6">
        <v>0</v>
      </c>
      <c r="FP221" s="6">
        <v>0</v>
      </c>
      <c r="FQ221" s="6">
        <v>0</v>
      </c>
      <c r="FR221" s="6">
        <v>0</v>
      </c>
      <c r="FS221" s="6">
        <v>0</v>
      </c>
      <c r="FT221" s="7">
        <v>0.73629414707758922</v>
      </c>
      <c r="FU221" s="7">
        <v>7.1711127586630563E-2</v>
      </c>
      <c r="FV221" s="7">
        <v>0.19199472533578016</v>
      </c>
      <c r="FW221" s="6">
        <v>1293.9999999999998</v>
      </c>
      <c r="FX221" s="6">
        <v>2357.0467057334108</v>
      </c>
      <c r="FY221" s="6">
        <v>946</v>
      </c>
      <c r="FZ221" s="6">
        <v>1817.4615072224267</v>
      </c>
      <c r="GA221" s="6">
        <v>1303.4181135285442</v>
      </c>
      <c r="GB221" s="6">
        <v>18681.581886471457</v>
      </c>
      <c r="GC221" s="7">
        <v>1.804905384453976E-2</v>
      </c>
      <c r="GD221" s="7">
        <v>1.7251726090343165E-2</v>
      </c>
      <c r="GE221" s="7"/>
      <c r="GF221" s="7"/>
      <c r="GG221" s="7">
        <v>-4.417559840333702E-2</v>
      </c>
      <c r="GH221" s="42">
        <v>1.7174607142533089</v>
      </c>
      <c r="GI221" s="6">
        <v>12939.783262462253</v>
      </c>
      <c r="GJ221" s="14">
        <v>0.50394797582841755</v>
      </c>
      <c r="GK221" s="14">
        <v>0.50887573065309777</v>
      </c>
      <c r="GL221" s="14">
        <v>0.49605202417158306</v>
      </c>
      <c r="GM221" s="14">
        <v>0.49112426934690279</v>
      </c>
      <c r="GO221" s="5">
        <v>343.14810671672558</v>
      </c>
      <c r="GP221" s="5">
        <v>318.46105531198077</v>
      </c>
      <c r="GQ221" s="5">
        <v>535.04305713031317</v>
      </c>
      <c r="GR221" s="5">
        <v>410.15490233172511</v>
      </c>
      <c r="GS221" s="5">
        <v>339.42744393800166</v>
      </c>
      <c r="GT221" s="5">
        <v>293.4407446948278</v>
      </c>
      <c r="GU221" s="5">
        <v>258.04012322764959</v>
      </c>
      <c r="GV221" s="39" t="s">
        <v>392</v>
      </c>
      <c r="GW221" s="5">
        <v>491.45833333333331</v>
      </c>
      <c r="GX221" s="5">
        <v>368.59375</v>
      </c>
      <c r="GY221" s="5">
        <v>294.875</v>
      </c>
      <c r="GZ221" s="5">
        <v>252.51567799800796</v>
      </c>
      <c r="HA221" s="5">
        <v>241.02179695997205</v>
      </c>
      <c r="HB221" s="39">
        <v>268.14026554141725</v>
      </c>
      <c r="HC221" s="5">
        <v>245.89687499999999</v>
      </c>
      <c r="HD221" s="5">
        <v>211.55677997076018</v>
      </c>
      <c r="HE221" s="5">
        <v>214.73562331309037</v>
      </c>
      <c r="HF221" s="5">
        <v>199.03250548245612</v>
      </c>
      <c r="HG221" s="5">
        <v>192.49971491228069</v>
      </c>
      <c r="HH221" s="39">
        <v>212.3890768867266</v>
      </c>
      <c r="HI221" s="16"/>
      <c r="HJ221" s="19" t="str">
        <f t="shared" si="726"/>
        <v>On</v>
      </c>
      <c r="HK221" s="1" t="str">
        <f t="shared" si="726"/>
        <v>On</v>
      </c>
      <c r="HL221" s="16"/>
      <c r="HM221" s="639">
        <f t="shared" si="634"/>
        <v>1.2768706344444866E-2</v>
      </c>
      <c r="HN221" s="639">
        <f t="shared" si="635"/>
        <v>9.795534288915453E-4</v>
      </c>
      <c r="HO221" s="639">
        <f t="shared" si="636"/>
        <v>3.3583061774515237E-3</v>
      </c>
      <c r="HP221" s="644">
        <f>(FT221*$GD221-HM221)/$JF221*INDEX(Input!$1:$1048576,$JG$93,$C221*2+6)</f>
        <v>-4.821962331986331</v>
      </c>
      <c r="HQ221" s="644">
        <f>(FU221*$GD221-HN221)/$JF221*INDEX(Input!$1:$1048576,$JG$93,$C221*2+6)</f>
        <v>18.716849257552749</v>
      </c>
      <c r="HR221" s="644">
        <f>(FV221*$GD221-HO221)/$JF221*INDEX(Input!$1:$1048576,$JG$93,$C221*2+6)</f>
        <v>-3.347237912537063</v>
      </c>
      <c r="HS221" s="644">
        <f t="shared" ref="HS221:HS232" si="729">IF(AND(HJ221="On",HK221="On"),IL221/1000*INDEX(KG:KG,MATCH(C221*1000+3,$KF:$KF,0))*SUM(HY221:IA221)*1.1
+INDEX(HR:HR,MATCH(C221*1000+4,$KF:$KF,0))/INDEX(IM:IM,MATCH(C221*1000+4,$KF:$KF,0))*IM221*20%,0)</f>
        <v>-2.9962354503786486</v>
      </c>
      <c r="HT221" s="644">
        <f t="shared" si="638"/>
        <v>27.461234011679782</v>
      </c>
      <c r="HU221" s="644">
        <f t="shared" si="639"/>
        <v>1.5070440729444894</v>
      </c>
      <c r="HV221" s="648">
        <f t="shared" si="640"/>
        <v>0</v>
      </c>
      <c r="HW221" s="648">
        <f t="shared" si="641"/>
        <v>0</v>
      </c>
      <c r="HX221" s="648">
        <f t="shared" si="642"/>
        <v>0</v>
      </c>
      <c r="HY221" s="644">
        <f>INDEX(Input!$1:$1048576,HY$93,$C221*2+6)*INDEX(Input!$1:$1048576,$JG$93,$C221*2+6)</f>
        <v>451</v>
      </c>
      <c r="HZ221" s="644">
        <f>INDEX(Input!$1:$1048576,HZ$93,$C221*2+6)*INDEX(Input!$1:$1048576,$JG$93,$C221*2+6)</f>
        <v>577</v>
      </c>
      <c r="IA221" s="644">
        <f>INDEX(Input!$1:$1048576,IA$93,$C221*2+6)*INDEX(Input!$1:$1048576,$JG$93,$C221*2+6)</f>
        <v>215</v>
      </c>
      <c r="IB221" s="644">
        <f t="shared" si="666"/>
        <v>443.18180221763498</v>
      </c>
      <c r="IC221" s="644">
        <f t="shared" si="667"/>
        <v>623.17808326923262</v>
      </c>
      <c r="ID221" s="644">
        <f>IF(AND(INDEX(Input!$1:$1048576,IA$93,$C221*2+7)="TOS",Y221&lt;=INDEX(Y:Y,MATCH(C221*1000+2,A:A))),0,1)*MAX(IA221+HR221+HU221+HX221,0%)</f>
        <v>213.15980616040744</v>
      </c>
      <c r="IE221" s="128">
        <f t="shared" ref="IE221:IE232" si="730">IB221/SUM($IB221:$ID221)</f>
        <v>0.34636575357982596</v>
      </c>
      <c r="IF221" s="128">
        <f t="shared" si="643"/>
        <v>0.48704063512062307</v>
      </c>
      <c r="IG221" s="128">
        <f t="shared" si="644"/>
        <v>0.16659361129955097</v>
      </c>
      <c r="IH221" s="21"/>
      <c r="II221" s="19">
        <f t="shared" si="645"/>
        <v>1252</v>
      </c>
      <c r="IJ221" s="19">
        <f t="shared" si="646"/>
        <v>2011.9658773055378</v>
      </c>
      <c r="IK221" s="19">
        <f t="shared" si="647"/>
        <v>919</v>
      </c>
      <c r="IL221" s="19">
        <f t="shared" si="669"/>
        <v>41.999999999999773</v>
      </c>
      <c r="IM221" s="19">
        <f t="shared" si="648"/>
        <v>345.08082842787303</v>
      </c>
      <c r="IN221" s="19">
        <f t="shared" si="649"/>
        <v>27</v>
      </c>
      <c r="IO221" s="39">
        <f t="shared" si="650"/>
        <v>0</v>
      </c>
      <c r="IP221" s="39">
        <f t="shared" si="651"/>
        <v>0</v>
      </c>
      <c r="IQ221" s="39">
        <f t="shared" si="652"/>
        <v>0</v>
      </c>
      <c r="IR221" s="39">
        <v>0</v>
      </c>
      <c r="IS221" s="39">
        <v>0</v>
      </c>
      <c r="IT221" s="39">
        <v>0</v>
      </c>
      <c r="IU221" s="39">
        <v>0</v>
      </c>
      <c r="IV221" s="39">
        <v>0</v>
      </c>
      <c r="IW221" s="39">
        <v>0</v>
      </c>
      <c r="IX221" s="39">
        <f>INDEX(Input!$1:$1048576,IX$93,$C221*2+6)+INDEX(Input!$1:$1048576,IX$94,$C221*2+6)</f>
        <v>1294</v>
      </c>
      <c r="IY221" s="39">
        <f>INDEX(Input!$1:$1048576,IY$93,$C221*2+6)+INDEX(Input!$1:$1048576,IY$94,$C221*2+6)</f>
        <v>2154.0624533823611</v>
      </c>
      <c r="IZ221" s="39">
        <f>INDEX(Input!$1:$1048576,IZ$93,$C221*2+6)+INDEX(Input!$1:$1048576,IZ$94,$C221*2+6)</f>
        <v>3677.7164157747848</v>
      </c>
      <c r="JA221" s="19">
        <f t="shared" si="670"/>
        <v>1335.9999999999998</v>
      </c>
      <c r="JB221" s="19">
        <f t="shared" si="671"/>
        <v>2499.1432818102339</v>
      </c>
      <c r="JC221" s="19">
        <f t="shared" si="672"/>
        <v>3704.7164157747848</v>
      </c>
      <c r="JD221" s="19">
        <f t="shared" si="673"/>
        <v>2297.1110645575923</v>
      </c>
      <c r="JE221" s="21"/>
      <c r="JF221" s="1">
        <f t="shared" si="653"/>
        <v>1.7106565950787935E-2</v>
      </c>
      <c r="JG221" s="15">
        <f>INDEX(Input!$1:$1048576,JG$93,$C221*2+6)/(1+VLOOKUP(C221*1000+INDEX(Input!$1:$1048576,JG$93+1,$C221*2+6),$A:$KK,$JK$92,FALSE))</f>
        <v>1243</v>
      </c>
      <c r="JH221" s="1">
        <f t="shared" si="674"/>
        <v>8.4856387876342358E-3</v>
      </c>
      <c r="JI221" s="1">
        <f t="shared" si="675"/>
        <v>2.0894644114437345E-2</v>
      </c>
      <c r="JJ221" s="1">
        <f t="shared" ref="JJ221:JJ261" si="731">SUM(HV221:HX221)/SUM(HY221:IA221)</f>
        <v>0</v>
      </c>
      <c r="JK221" s="1">
        <f t="shared" ref="JK221:JK261" si="732">SUM(JH221:JJ221)</f>
        <v>2.9380282902071581E-2</v>
      </c>
      <c r="JL221" s="15">
        <f t="shared" si="678"/>
        <v>36.519691647274975</v>
      </c>
      <c r="JM221" s="15">
        <f t="shared" si="702"/>
        <v>1279.5196916472751</v>
      </c>
      <c r="JN221" s="21"/>
      <c r="JO221" s="19">
        <f>INDEX(Input!$1:$1048576,JO$93,$C221*2+6)</f>
        <v>5995.5</v>
      </c>
      <c r="JP221" s="19">
        <f>INDEX(Input!$1:$1048576,JP$93,$C221*2+6)</f>
        <v>2105.548724853742</v>
      </c>
      <c r="JQ221" s="39">
        <f t="shared" si="688"/>
        <v>3698.3889354424077</v>
      </c>
      <c r="JR221" s="39">
        <f t="shared" si="705"/>
        <v>191.56233970385028</v>
      </c>
      <c r="JS221" s="39">
        <f t="shared" si="690"/>
        <v>2.9391988410022742</v>
      </c>
      <c r="JT221" s="39">
        <f t="shared" si="680"/>
        <v>0.32200177600907304</v>
      </c>
      <c r="JU221" s="385">
        <f>(JQ221*JM221-INDEX(Input!$1:$1048576,Input!A$18,$C221*2+6)*JL221*INDEX(Input!$1:$1048576,Input!A$19,$C221*2+6))/1000000</f>
        <v>4.7321614702689638</v>
      </c>
      <c r="JV221" s="39">
        <f t="shared" si="712"/>
        <v>-0.10304796473783462</v>
      </c>
      <c r="JW221" s="1">
        <f t="shared" si="703"/>
        <v>-2.1311996124049947E-2</v>
      </c>
      <c r="JX221" s="19">
        <f t="shared" si="694"/>
        <v>8817.2096062344535</v>
      </c>
      <c r="JZ221" s="341"/>
      <c r="KA221" s="342"/>
      <c r="KB221" s="469">
        <f t="shared" si="691"/>
        <v>2.5660492421988774</v>
      </c>
      <c r="KI221" s="473">
        <f t="shared" si="719"/>
        <v>-7.8181977823650186</v>
      </c>
      <c r="KJ221" s="473">
        <f t="shared" si="720"/>
        <v>46.178083269232616</v>
      </c>
      <c r="KK221" s="473">
        <f t="shared" si="682"/>
        <v>-1.8401938395925299</v>
      </c>
      <c r="KN221" s="544">
        <f t="shared" si="695"/>
        <v>2002</v>
      </c>
      <c r="KO221" s="541">
        <f t="shared" si="657"/>
        <v>2.3315435442037957E-2</v>
      </c>
      <c r="KP221" s="546">
        <f t="shared" si="658"/>
        <v>147.61212559067312</v>
      </c>
      <c r="KQ221" s="546">
        <f t="shared" si="659"/>
        <v>153.43072512411936</v>
      </c>
      <c r="KR221" s="548">
        <f t="shared" si="660"/>
        <v>2.8180485517849969</v>
      </c>
      <c r="KS221" s="548">
        <f t="shared" si="661"/>
        <v>2.7111788490225259</v>
      </c>
      <c r="KT221" s="473">
        <f t="shared" si="693"/>
        <v>843.26993010479111</v>
      </c>
      <c r="KU221" s="663">
        <f t="shared" si="683"/>
        <v>4.5008316995018323</v>
      </c>
      <c r="KV221" s="117"/>
    </row>
    <row r="222" spans="1:308" s="26" customFormat="1" ht="15">
      <c r="A222" s="561">
        <f t="shared" si="662"/>
        <v>2022</v>
      </c>
      <c r="B222" s="561">
        <f t="shared" si="684"/>
        <v>22</v>
      </c>
      <c r="C222" s="561">
        <f t="shared" si="105"/>
        <v>2</v>
      </c>
      <c r="D222" s="561" t="str">
        <f t="shared" si="728"/>
        <v xml:space="preserve">0/1.9/2.9/3.9, </v>
      </c>
      <c r="E222" s="475">
        <f>INDEX(Input!$1:$1048576,E$93,$C222*2+MIN($B222,2)+5)
+INDEX(Scenarios!E$121:E$200,MATCH($B222,Scenarios!$B$121:$B$200,0))</f>
        <v>1269.7618664521319</v>
      </c>
      <c r="F222" s="475">
        <f>INDEX(Input!$1:$1048576,F$93,$C222*2+MIN($B222,2)+5)
+INDEX(Scenarios!F$121:F$200,MATCH($B222,Scenarios!$B$121:$B$200,0))</f>
        <v>0</v>
      </c>
      <c r="G222" s="475">
        <f>INDEX(Input!$1:$1048576,G$93,$C222*2+MIN($B222,2)+5)
+INDEX(Scenarios!G$121:G$200,MATCH($B222,Scenarios!$B$121:$B$200,0))</f>
        <v>0</v>
      </c>
      <c r="H222" s="475">
        <f>INDEX(Input!$1:$1048576,H$93,$C222*2+MIN($B222,2)+5)
+INDEX(Scenarios!H$121:H$200,MATCH($B222,Scenarios!$B$121:$B$200,0))</f>
        <v>0</v>
      </c>
      <c r="I222" s="476">
        <f>INDEX(Input!$1:$1048576,I$93,$C222*2+MIN($B222,2)+5)</f>
        <v>0.7</v>
      </c>
      <c r="J222" s="476" t="str">
        <f>INDEX(Input!$1:$1048576,J$93,$C222*2+MIN($B222,2)+5)</f>
        <v>Market</v>
      </c>
      <c r="K222" s="476" t="str">
        <f>INDEX(Input!$1:$1048576,K$93,$C222*2+MIN($B222,2)+5)</f>
        <v>Market</v>
      </c>
      <c r="L222" s="476" t="str">
        <f>INDEX(Input!$1:$1048576,L$93,$C222*2+MIN($B222,2)+5)</f>
        <v>Market</v>
      </c>
      <c r="M222" s="476" t="str">
        <f>INDEX(Input!$1:$1048576,M$93,$C222*2+MIN($B222,2)+5)</f>
        <v>Market</v>
      </c>
      <c r="N222" s="476" t="str">
        <f>INDEX(Input!$1:$1048576,N$93,$C222*2+MIN($B222,2)+5)</f>
        <v>Market</v>
      </c>
      <c r="O222" s="476" t="str">
        <f>INDEX(Input!$1:$1048576,O$93,$C222*2+MIN($B222,2)+5)</f>
        <v>Market</v>
      </c>
      <c r="P222" s="476" t="str">
        <f>INDEX(Input!$1:$1048576,P$93,$C222*2+MIN($B222,2)+5)</f>
        <v>N</v>
      </c>
      <c r="Q222" s="477">
        <f>INDEX(Input!$1:$1048576,Q$93,$C222*2+MIN($B222,2)+5)
+INDEX(Scenarios!Q$121:Q$200,MATCH($B222,Scenarios!$B$121:$B$200,0))</f>
        <v>0</v>
      </c>
      <c r="R222" s="478">
        <f>IFERROR(MAX(0,INDEX(Input!$1:$1048576,R$93,$C222*2+MIN($B222,2)+5)
+INDEX(Scenarios!R$121:R$200,MATCH($B222,Scenarios!$B$121:$B$200,0)),),"Market")</f>
        <v>0</v>
      </c>
      <c r="S222" s="478">
        <f>IFERROR(MAX(0,INDEX(Input!$1:$1048576,S$93,$C222*2+MIN($B222,2)+5)
+INDEX(Scenarios!S$121:S$200,MATCH($B222,Scenarios!$B$121:$B$200,0)),),"Market")</f>
        <v>0</v>
      </c>
      <c r="T222" s="478">
        <f>IFERROR(MAX(0,INDEX(Input!$1:$1048576,T$93,$C222*2+MIN($B222,2)+5)
+INDEX(Scenarios!T$121:T$200,MATCH($B222,Scenarios!$B$121:$B$200,0)),),"Market")</f>
        <v>0</v>
      </c>
      <c r="U222" s="478">
        <f>IFERROR(MAX(0,INDEX(Input!$1:$1048576,U$93,$C222*2+MIN($B222,2)+5)
+INDEX(Scenarios!U$121:U$200,MATCH($B222,Scenarios!$B$121:$B$200,0)),),"Market")</f>
        <v>0</v>
      </c>
      <c r="V222" s="478">
        <f>IFERROR(MAX(0,INDEX(Input!$1:$1048576,V$93,$C222*2+MIN($B222,2)+5)
+INDEX(Scenarios!V$121:V$200,MATCH($B222,Scenarios!$B$121:$B$200,0)),),"Market")</f>
        <v>2.8999999999999998E-2</v>
      </c>
      <c r="W222" s="885">
        <f>IFERROR(MAX(0,INDEX(Input!$1:$1048576,W$93,$C222*2+MIN($B222,2)+5)-0%,),"Market")</f>
        <v>3.9E-2</v>
      </c>
      <c r="X222" s="476" t="str">
        <f>INDEX(Input!$1:$1048576,X$93,$C222*2+MIN($B222,2)+5)</f>
        <v>Y</v>
      </c>
      <c r="Y222" s="475">
        <f>INDEX(Input!$1:$1048576,Y$93,$C222*2+MIN($B222,2)+5)
++INDEX(Scenarios!Y$121:Y$200,MATCH($B222,Scenarios!$B$121:$B$200,0))</f>
        <v>56</v>
      </c>
      <c r="Z222" s="477">
        <f>INDEX(Input!$1:$1048576,Z$93,$C222*2+MIN($B222,2)+5)
+INDEX(Scenarios!Z$121:Z$200,MATCH($B222,Scenarios!$B$121:$B$200,0))</f>
        <v>0</v>
      </c>
      <c r="AA222" s="475">
        <f>INDEX(Input!$1:$1048576,AA$93,$C222*2+MIN($B222,2)+5)
+INDEX(Scenarios!AA$121:AA$200,MATCH($B222,Scenarios!$B$121:$B$200,0))</f>
        <v>0</v>
      </c>
      <c r="AB222" s="476">
        <f>INDEX(Input!$1:$1048576,AB$93,$C222*2+MIN($B222,2)+5)</f>
        <v>0.27</v>
      </c>
      <c r="AC222" s="475">
        <f>INDEX(Input!$1:$1048576,AC$93,$C222*2+MIN($B222,2)+5)
+INDEX(Scenarios!AC$121:AC$200,MATCH($B222,Scenarios!$B$121:$B$200,0))</f>
        <v>0</v>
      </c>
      <c r="AD222" s="476">
        <f>INDEX(Input!$1:$1048576,AD$93,$C222*2+MIN($B222,2)+5)</f>
        <v>0.27</v>
      </c>
      <c r="AE222" s="475">
        <f>INDEX(Input!$1:$1048576,AE$93,$C222*2+MIN($B222,2)+5)
+INDEX(Scenarios!AE$121:AE$200,MATCH($B222,Scenarios!$B$121:$B$200,0))</f>
        <v>0</v>
      </c>
      <c r="AF222" s="476">
        <f>INDEX(Input!$1:$1048576,AF$93,$C222*2+MIN($B222,2)+5)</f>
        <v>4.8000000000000001E-2</v>
      </c>
      <c r="AG222" s="475">
        <f>INDEX(Input!$1:$1048576,AG$93,$C222*2+MIN($B222,2)+5)
+INDEX(Scenarios!AG$121:AG$200,MATCH($B222,Scenarios!$B$121:$B$200,0))</f>
        <v>500</v>
      </c>
      <c r="AH222" s="476">
        <f>INDEX(Input!$1:$1048576,AH$93,$C222*2+MIN($B222,2)+5)</f>
        <v>0.94599999999999995</v>
      </c>
      <c r="AI222" s="475">
        <f>INDEX(Input!$1:$1048576,AI$93,$C222*2+MIN($B222,2)+5)
+INDEX(Scenarios!AI$121:AI$200,MATCH($B222,Scenarios!$B$121:$B$200,0))</f>
        <v>0</v>
      </c>
      <c r="AJ222" s="476">
        <f>INDEX(Input!$1:$1048576,AJ$93,$C222*2+MIN($B222,2)+5)</f>
        <v>0.27</v>
      </c>
      <c r="AK222" s="150">
        <f>ROUND(INDEX(Input!$1:$1048576,AK$93,$C221*2+MIN($B222,1)+5)+(Y222-VLOOKUP($C222*1000+1,$A:$HH,Y$92,FALSE)),0)</f>
        <v>2977</v>
      </c>
      <c r="AL222" s="150">
        <f>ROUND(INDEX(Input!$1:$1048576,AL$93,$C221*2+MIN($B222,1)+5)-(Y222-VLOOKUP($C222*1000+1,$A:$HH,Y$92,FALSE))/36,0)</f>
        <v>3395</v>
      </c>
      <c r="AM222" s="32" t="str">
        <f t="shared" si="663"/>
        <v>std/std/std/std</v>
      </c>
      <c r="AN222" s="32" t="str">
        <f t="shared" si="664"/>
        <v>$0 + 0/0/0/2.9/3.9</v>
      </c>
      <c r="AO222" s="32" t="str">
        <f t="shared" si="665"/>
        <v>0/0/0/2.9/3.9</v>
      </c>
      <c r="AP222" s="32" t="str">
        <f t="shared" si="498"/>
        <v>0/1.9/2.9/3.9</v>
      </c>
      <c r="AQ222" s="536">
        <f t="shared" si="497"/>
        <v>0.37570148000139958</v>
      </c>
      <c r="AR222" s="32"/>
      <c r="AS222" s="302"/>
      <c r="AT222" s="3">
        <f t="shared" si="717"/>
        <v>22</v>
      </c>
      <c r="AU222" s="41" t="s">
        <v>121</v>
      </c>
      <c r="AV222" s="41" t="s">
        <v>116</v>
      </c>
      <c r="AW222" s="41" t="str">
        <f>INDEX(Input!$1:$1048576,AW$93,$C222*2+6)</f>
        <v>Kia</v>
      </c>
      <c r="AX222" s="41" t="str">
        <f>INDEX(Input!$1:$1048576,AX$93,$C222*2+6)</f>
        <v>Kia-LR - L2</v>
      </c>
      <c r="AY222" s="41" t="str">
        <f>IF(LEN(D222)=0,"",INDEX(Input!$1:$1048576,AY$93,$C222*2+6))</f>
        <v>Compact SUV (52)</v>
      </c>
      <c r="AZ222" s="41" t="str">
        <f>INDEX(Input!$1:$1048576,AZ$93,$C222*2+6)</f>
        <v>Kia Soul</v>
      </c>
      <c r="BA222" s="3">
        <f>INDEX(Input!$1:$1048576,BA$93,$C222*2+6)</f>
        <v>2020</v>
      </c>
      <c r="BB222" s="128">
        <f>INDEX(Input!$1:$1048576,BB$93,$C222*2+6)</f>
        <v>1</v>
      </c>
      <c r="BC222" s="128">
        <f>INDEX(Input!$1:$1048576,BC$93,$C222*2+6)</f>
        <v>0.7</v>
      </c>
      <c r="BD222" s="1">
        <f>INDEX(Input!$1:$1048576,BD$93,$C222*2+6)</f>
        <v>4.4999999999999998E-2</v>
      </c>
      <c r="BE222" s="1">
        <f>INDEX(Input!$1:$1048576,BE$93,$C222*2+6)</f>
        <v>4.4999999999999998E-2</v>
      </c>
      <c r="BF222" s="1">
        <f>INDEX(Input!$1:$1048576,BF$93,$C222*2+6)</f>
        <v>0.05</v>
      </c>
      <c r="BG222" s="1">
        <f>INDEX(Input!$1:$1048576,BG$93,$C222*2+6)</f>
        <v>5.45E-2</v>
      </c>
      <c r="BH222" s="1">
        <f>INDEX(Input!$1:$1048576,BH$93,$C222*2+6)</f>
        <v>5.45E-2</v>
      </c>
      <c r="BI222" s="1">
        <f>INDEX(Input!$1:$1048576,BI$93,$C222*2+6)</f>
        <v>0.05</v>
      </c>
      <c r="BJ222" s="1">
        <f>INDEX(Input!$1:$1048576,BJ$93,$C222*2+6)</f>
        <v>0.05</v>
      </c>
      <c r="BK222" s="1">
        <f>INDEX(Input!$1:$1048576,BK$93,$C222*2+6)</f>
        <v>0.05</v>
      </c>
      <c r="BL222" s="1">
        <f>INDEX(Input!$1:$1048576,BL$93,$C222*2+6)</f>
        <v>5.5E-2</v>
      </c>
      <c r="BM222" s="1">
        <f>INDEX(Input!$1:$1048576,BM$93,$C222*2+6)</f>
        <v>0.06</v>
      </c>
      <c r="BN222" s="1">
        <f>INDEX(Input!$1:$1048576,BN$93,$C222*2+6)</f>
        <v>4.4999999999999998E-2</v>
      </c>
      <c r="BO222" s="1">
        <f>INDEX(Input!$1:$1048576,BO$93,$C222*2+6)</f>
        <v>4.4999999999999998E-2</v>
      </c>
      <c r="BP222" s="1">
        <f>INDEX(Input!$1:$1048576,BP$93,$C222*2+6)</f>
        <v>0.05</v>
      </c>
      <c r="BQ222" s="1">
        <f>INDEX(Input!$1:$1048576,BQ$93,$C222*2+6)</f>
        <v>5.45E-2</v>
      </c>
      <c r="BR222" s="1">
        <f>INDEX(Input!$1:$1048576,BR$93,$C222*2+6)</f>
        <v>5.45E-2</v>
      </c>
      <c r="BS222" s="1">
        <f>INDEX(Input!$1:$1048576,BS$93,$C222*2+6)</f>
        <v>0.05</v>
      </c>
      <c r="BT222" s="1">
        <f>INDEX(Input!$1:$1048576,BT$93,$C222*2+6)</f>
        <v>0.05</v>
      </c>
      <c r="BU222" s="1">
        <f>INDEX(Input!$1:$1048576,BU$93,$C222*2+6)</f>
        <v>0.05</v>
      </c>
      <c r="BV222" s="1">
        <f>INDEX(Input!$1:$1048576,BV$93,$C222*2+6)</f>
        <v>5.5E-2</v>
      </c>
      <c r="BW222" s="1">
        <f>INDEX(Input!$1:$1048576,BW$93,$C222*2+6)</f>
        <v>0.06</v>
      </c>
      <c r="BX222" s="127">
        <f>INDEX(Input!$1:$1048576,BX$93,$C222*2+6)</f>
        <v>19985</v>
      </c>
      <c r="BY222" s="20">
        <f>INDEX(Input!$1:$1048576,BY$93,$C222*2+6)</f>
        <v>0.1</v>
      </c>
      <c r="BZ222" s="20">
        <f>INDEX(Input!$1:$1048576,BZ$93,$C222*2+6)</f>
        <v>0.1</v>
      </c>
      <c r="CA222" s="20">
        <f>INDEX(Input!$1:$1048576,CA$93,$C222*2+6)</f>
        <v>0.1</v>
      </c>
      <c r="CB222" s="20">
        <f>INDEX(Input!$1:$1048576,CB$93,$C222*2+6)</f>
        <v>0.1</v>
      </c>
      <c r="CC222" s="20">
        <f>INDEX(Input!$1:$1048576,CC$93,$C222*2+6)</f>
        <v>0.1</v>
      </c>
      <c r="CD222" s="384">
        <f>INDEX(Input!$1:$1048576,CD$93,$C222*2+6)</f>
        <v>0.1</v>
      </c>
      <c r="CE222" s="384">
        <f>INDEX(Input!$1:$1048576,CE$93,$C222*2+6)</f>
        <v>0.1</v>
      </c>
      <c r="CF222" s="384">
        <f>INDEX(Input!$1:$1048576,CF$93,$C222*2+6)</f>
        <v>0.1</v>
      </c>
      <c r="CG222" s="384">
        <f>INDEX(Input!$1:$1048576,CG$93,$C222*2+6)</f>
        <v>0.1</v>
      </c>
      <c r="CH222" s="384">
        <f>INDEX(Input!$1:$1048576,CH$93,$C222*2+6)</f>
        <v>0.1</v>
      </c>
      <c r="CI222" s="304">
        <f t="shared" si="499"/>
        <v>1269.7618664521319</v>
      </c>
      <c r="CJ222" s="16" t="str">
        <f>INDEX(Input!$1:$1048576,CJ$93,$C222*2+6)</f>
        <v>N</v>
      </c>
      <c r="CK222" s="1" t="str">
        <f t="shared" si="500"/>
        <v>Market</v>
      </c>
      <c r="CL222" s="1" t="str">
        <f t="shared" si="501"/>
        <v>Market</v>
      </c>
      <c r="CM222" s="1" t="str">
        <f t="shared" si="502"/>
        <v>Market</v>
      </c>
      <c r="CN222" s="1" t="str">
        <f t="shared" si="503"/>
        <v>Market</v>
      </c>
      <c r="CO222" s="1" t="str">
        <f t="shared" si="504"/>
        <v>Market</v>
      </c>
      <c r="CP222" s="304">
        <f t="shared" si="505"/>
        <v>473</v>
      </c>
      <c r="CQ222" s="1">
        <f t="shared" si="506"/>
        <v>0</v>
      </c>
      <c r="CR222" s="1">
        <f t="shared" si="507"/>
        <v>0</v>
      </c>
      <c r="CS222" s="1">
        <f t="shared" si="508"/>
        <v>0</v>
      </c>
      <c r="CT222" s="1">
        <f t="shared" si="509"/>
        <v>2.8999999999999998E-2</v>
      </c>
      <c r="CU222" s="1">
        <f t="shared" si="510"/>
        <v>3.9E-2</v>
      </c>
      <c r="CV222" s="304">
        <f t="shared" si="511"/>
        <v>56</v>
      </c>
      <c r="CW222" s="20" t="s">
        <v>122</v>
      </c>
      <c r="CX222" s="20" t="s">
        <v>122</v>
      </c>
      <c r="CY222" s="20" t="s">
        <v>122</v>
      </c>
      <c r="CZ222" s="20" t="s">
        <v>122</v>
      </c>
      <c r="DA222" s="20" t="s">
        <v>122</v>
      </c>
      <c r="DB222" s="503">
        <f t="shared" si="512"/>
        <v>0</v>
      </c>
      <c r="DC222" s="127">
        <v>0</v>
      </c>
      <c r="DD222" s="127">
        <v>0</v>
      </c>
      <c r="DE222" s="127">
        <v>0</v>
      </c>
      <c r="DF222" s="127">
        <v>0</v>
      </c>
      <c r="DG222" s="127">
        <v>0</v>
      </c>
      <c r="DH222" s="127">
        <v>0</v>
      </c>
      <c r="DI222" s="127">
        <v>0</v>
      </c>
      <c r="DJ222" s="127">
        <v>0</v>
      </c>
      <c r="DK222" s="127">
        <v>0</v>
      </c>
      <c r="DL222" s="127">
        <v>0</v>
      </c>
      <c r="DM222" s="304">
        <f>INDEX(Input!$1:$1048576,DM$93,$C222*2+6)</f>
        <v>21036.84210526316</v>
      </c>
      <c r="DN222" s="20">
        <v>0</v>
      </c>
      <c r="DO222" s="20">
        <v>0</v>
      </c>
      <c r="DP222" s="20">
        <v>0</v>
      </c>
      <c r="DQ222" s="20">
        <v>0</v>
      </c>
      <c r="DR222" s="20">
        <v>0</v>
      </c>
      <c r="DS222" s="20">
        <f>INDEX(Input!$1:$1048576,DS$93,$C222*2+6)</f>
        <v>0.6</v>
      </c>
      <c r="DT222" s="20">
        <f>INDEX(Input!$1:$1048576,DT$93,$C222*2+6)</f>
        <v>0.55000000000000004</v>
      </c>
      <c r="DU222" s="20">
        <f>INDEX(Input!$1:$1048576,DU$93,$C222*2+6)</f>
        <v>0.52</v>
      </c>
      <c r="DV222" s="20">
        <f>INDEX(Input!$1:$1048576,DV$93,$C222*2+6)</f>
        <v>0.5</v>
      </c>
      <c r="DW222" s="20">
        <f>INDEX(Input!$1:$1048576,DW$93,$C222*2+6)</f>
        <v>0.45</v>
      </c>
      <c r="DX222" s="20"/>
      <c r="DY222" s="7">
        <v>9.3561071419234226E-2</v>
      </c>
      <c r="DZ222" s="7">
        <v>0</v>
      </c>
      <c r="EA222" s="7">
        <v>0.66214397053919616</v>
      </c>
      <c r="EB222" s="7">
        <v>0</v>
      </c>
      <c r="EC222" s="7">
        <v>0</v>
      </c>
      <c r="ED222" s="7">
        <v>0</v>
      </c>
      <c r="EE222" s="7">
        <v>0</v>
      </c>
      <c r="EF222" s="7">
        <v>0</v>
      </c>
      <c r="EG222" s="7">
        <v>0</v>
      </c>
      <c r="EH222" s="7">
        <v>1.7528496581976881E-2</v>
      </c>
      <c r="EI222" s="7">
        <v>4.9889255563066393E-2</v>
      </c>
      <c r="EJ222" s="7">
        <v>0.37765355472716416</v>
      </c>
      <c r="EK222" s="7">
        <v>0.41824233078344897</v>
      </c>
      <c r="EL222" s="7">
        <v>0.13668636234434409</v>
      </c>
      <c r="EM222" s="7">
        <v>4.7163082085870195E-2</v>
      </c>
      <c r="EN222" s="7">
        <v>6.5538939192822152E-2</v>
      </c>
      <c r="EO222" s="7">
        <v>0.73222550954609833</v>
      </c>
      <c r="EP222" s="7">
        <v>8.7585816037890729E-2</v>
      </c>
      <c r="EQ222" s="7">
        <v>7.4716469056257548E-2</v>
      </c>
      <c r="ER222" s="7">
        <v>3.9933266166930832E-2</v>
      </c>
      <c r="ES222" s="7">
        <v>0.19713187595569945</v>
      </c>
      <c r="ET222" s="7">
        <v>0.24429495804156967</v>
      </c>
      <c r="EU222" s="6">
        <v>1294</v>
      </c>
      <c r="EV222" s="6">
        <v>0</v>
      </c>
      <c r="EW222" s="6">
        <v>1294</v>
      </c>
      <c r="EX222" s="6">
        <v>0</v>
      </c>
      <c r="EY222" s="6">
        <v>1847.043763180068</v>
      </c>
      <c r="EZ222" s="6">
        <v>946</v>
      </c>
      <c r="FA222" s="6">
        <v>0</v>
      </c>
      <c r="FB222" s="6">
        <v>0</v>
      </c>
      <c r="FC222" s="6">
        <v>0</v>
      </c>
      <c r="FD222" s="6">
        <v>0</v>
      </c>
      <c r="FE222" s="6">
        <v>0</v>
      </c>
      <c r="FF222" s="6">
        <v>0</v>
      </c>
      <c r="FG222" s="6">
        <v>0</v>
      </c>
      <c r="FH222" s="6">
        <v>1173.7295709608622</v>
      </c>
      <c r="FI222" s="6">
        <v>1553.9796069512406</v>
      </c>
      <c r="FJ222" s="6">
        <v>2101.2110117447387</v>
      </c>
      <c r="FK222" s="6">
        <v>1284.9687470586853</v>
      </c>
      <c r="FL222" s="6">
        <v>907.07682140966358</v>
      </c>
      <c r="FM222" s="6">
        <v>1553.043763180068</v>
      </c>
      <c r="FN222" s="6">
        <v>0</v>
      </c>
      <c r="FO222" s="6">
        <v>0</v>
      </c>
      <c r="FP222" s="6">
        <v>0</v>
      </c>
      <c r="FQ222" s="6">
        <v>0</v>
      </c>
      <c r="FR222" s="6">
        <v>0</v>
      </c>
      <c r="FS222" s="6">
        <v>0</v>
      </c>
      <c r="FT222" s="7">
        <v>0.75570504195843036</v>
      </c>
      <c r="FU222" s="7">
        <v>4.7163082085870195E-2</v>
      </c>
      <c r="FV222" s="7">
        <v>0.19713187595569945</v>
      </c>
      <c r="FW222" s="6">
        <v>1294</v>
      </c>
      <c r="FX222" s="6">
        <v>1847.043763180068</v>
      </c>
      <c r="FY222" s="6">
        <v>946</v>
      </c>
      <c r="FZ222" s="6">
        <v>1817.4615072224267</v>
      </c>
      <c r="GA222" s="6">
        <v>1251.4813555673568</v>
      </c>
      <c r="GB222" s="6">
        <v>18733.518644432643</v>
      </c>
      <c r="GC222" s="7">
        <v>1.804905384453976E-2</v>
      </c>
      <c r="GD222" s="7">
        <v>1.7145179999445898E-2</v>
      </c>
      <c r="GE222" s="7"/>
      <c r="GF222" s="7"/>
      <c r="GG222" s="7">
        <v>-5.0078738358205095E-2</v>
      </c>
      <c r="GH222" s="42">
        <v>1.7683015617457012</v>
      </c>
      <c r="GI222" s="6">
        <v>12553.286676753878</v>
      </c>
      <c r="GJ222" s="14">
        <v>0.50394797582841744</v>
      </c>
      <c r="GK222" s="14">
        <v>0.50887573065309744</v>
      </c>
      <c r="GL222" s="14">
        <v>0.49605202417158295</v>
      </c>
      <c r="GM222" s="14">
        <v>0.49112426934690256</v>
      </c>
      <c r="GO222" s="5">
        <v>343.14810671672558</v>
      </c>
      <c r="GP222" s="5">
        <v>318.46105531198077</v>
      </c>
      <c r="GQ222" s="5">
        <v>535.04305713031317</v>
      </c>
      <c r="GR222" s="5">
        <v>410.15490233172511</v>
      </c>
      <c r="GS222" s="5">
        <v>339.42744393800166</v>
      </c>
      <c r="GT222" s="5">
        <v>293.4407446948278</v>
      </c>
      <c r="GU222" s="5">
        <v>258.04012322764959</v>
      </c>
      <c r="GV222" s="39" t="s">
        <v>392</v>
      </c>
      <c r="GW222" s="5">
        <v>491.45833333333331</v>
      </c>
      <c r="GX222" s="5">
        <v>368.59375</v>
      </c>
      <c r="GY222" s="5">
        <v>294.875</v>
      </c>
      <c r="GZ222" s="5">
        <v>268.02332273190535</v>
      </c>
      <c r="HA222" s="5">
        <v>241.02179695997205</v>
      </c>
      <c r="HB222" s="39">
        <v>283.40707733476125</v>
      </c>
      <c r="HC222" s="5">
        <v>245.89687499999999</v>
      </c>
      <c r="HD222" s="5">
        <v>211.55677997076018</v>
      </c>
      <c r="HE222" s="5">
        <v>214.73562331309037</v>
      </c>
      <c r="HF222" s="5">
        <v>199.03250548245612</v>
      </c>
      <c r="HG222" s="5">
        <v>192.49971491228069</v>
      </c>
      <c r="HH222" s="39">
        <v>212.38903454035355</v>
      </c>
      <c r="HI222" s="16"/>
      <c r="HJ222" s="19" t="str">
        <f t="shared" si="726"/>
        <v>On</v>
      </c>
      <c r="HK222" s="1" t="str">
        <f t="shared" si="726"/>
        <v>On</v>
      </c>
      <c r="HL222" s="16"/>
      <c r="HM222" s="639">
        <f t="shared" si="634"/>
        <v>1.2768706344444866E-2</v>
      </c>
      <c r="HN222" s="639">
        <f t="shared" si="635"/>
        <v>9.795534288915453E-4</v>
      </c>
      <c r="HO222" s="639">
        <f t="shared" si="636"/>
        <v>3.3583061774515237E-3</v>
      </c>
      <c r="HP222" s="644">
        <f>(FT222*$GD222-HM222)/$JF222*INDEX(Input!$1:$1048576,$JG$93,$C222*2+6)</f>
        <v>13.659949946344142</v>
      </c>
      <c r="HQ222" s="644">
        <f>(FU222*$GD222-HN222)/$JF222*INDEX(Input!$1:$1048576,$JG$93,$C222*2+6)</f>
        <v>-12.420425866398515</v>
      </c>
      <c r="HR222" s="644">
        <f>(FV222*$GD222-HO222)/$JF222*INDEX(Input!$1:$1048576,$JG$93,$C222*2+6)</f>
        <v>1.5662560292782919</v>
      </c>
      <c r="HS222" s="644">
        <f t="shared" si="729"/>
        <v>-2.4346957778935532</v>
      </c>
      <c r="HT222" s="644">
        <f t="shared" si="638"/>
        <v>-14.017325160273785</v>
      </c>
      <c r="HU222" s="644">
        <f t="shared" si="639"/>
        <v>0.94550440045938333</v>
      </c>
      <c r="HV222" s="648">
        <f t="shared" si="640"/>
        <v>0</v>
      </c>
      <c r="HW222" s="648">
        <f t="shared" si="641"/>
        <v>0</v>
      </c>
      <c r="HX222" s="648">
        <f t="shared" si="642"/>
        <v>0</v>
      </c>
      <c r="HY222" s="644">
        <f>INDEX(Input!$1:$1048576,HY$93,$C222*2+6)*INDEX(Input!$1:$1048576,$JG$93,$C222*2+6)</f>
        <v>451</v>
      </c>
      <c r="HZ222" s="644">
        <f>INDEX(Input!$1:$1048576,HZ$93,$C222*2+6)*INDEX(Input!$1:$1048576,$JG$93,$C222*2+6)</f>
        <v>577</v>
      </c>
      <c r="IA222" s="644">
        <f>INDEX(Input!$1:$1048576,IA$93,$C222*2+6)*INDEX(Input!$1:$1048576,$JG$93,$C222*2+6)</f>
        <v>215</v>
      </c>
      <c r="IB222" s="644">
        <f t="shared" si="666"/>
        <v>462.22525416845053</v>
      </c>
      <c r="IC222" s="644">
        <f t="shared" si="667"/>
        <v>550.56224897332766</v>
      </c>
      <c r="ID222" s="644">
        <f>IF(AND(INDEX(Input!$1:$1048576,IA$93,$C222*2+7)="TOS",Y222&lt;=INDEX(Y:Y,MATCH(C222*1000+2,A:A))),0,1)*MAX(IA222+HR222+HU222+HX222,0%)</f>
        <v>217.51176042973768</v>
      </c>
      <c r="IE222" s="128">
        <f t="shared" si="730"/>
        <v>0.37570148000139958</v>
      </c>
      <c r="IF222" s="128">
        <f t="shared" si="643"/>
        <v>0.44750270545969817</v>
      </c>
      <c r="IG222" s="128">
        <f t="shared" si="644"/>
        <v>0.1767958145389022</v>
      </c>
      <c r="IH222" s="21"/>
      <c r="II222" s="19">
        <f t="shared" si="645"/>
        <v>1252</v>
      </c>
      <c r="IJ222" s="19">
        <f t="shared" si="646"/>
        <v>2011.9658773055378</v>
      </c>
      <c r="IK222" s="19">
        <f t="shared" si="647"/>
        <v>919</v>
      </c>
      <c r="IL222" s="19">
        <f t="shared" si="669"/>
        <v>42</v>
      </c>
      <c r="IM222" s="19">
        <f t="shared" si="648"/>
        <v>-164.92211412546976</v>
      </c>
      <c r="IN222" s="19">
        <f t="shared" si="649"/>
        <v>27</v>
      </c>
      <c r="IO222" s="39">
        <f t="shared" si="650"/>
        <v>0</v>
      </c>
      <c r="IP222" s="39">
        <f t="shared" si="651"/>
        <v>0</v>
      </c>
      <c r="IQ222" s="39">
        <f t="shared" si="652"/>
        <v>0</v>
      </c>
      <c r="IR222" s="39">
        <v>0</v>
      </c>
      <c r="IS222" s="39">
        <v>0</v>
      </c>
      <c r="IT222" s="39">
        <v>0</v>
      </c>
      <c r="IU222" s="39">
        <v>0</v>
      </c>
      <c r="IV222" s="39">
        <v>0</v>
      </c>
      <c r="IW222" s="39">
        <v>0</v>
      </c>
      <c r="IX222" s="39">
        <f>INDEX(Input!$1:$1048576,IX$93,$C222*2+6)+INDEX(Input!$1:$1048576,IX$94,$C222*2+6)</f>
        <v>1294</v>
      </c>
      <c r="IY222" s="39">
        <f>INDEX(Input!$1:$1048576,IY$93,$C222*2+6)+INDEX(Input!$1:$1048576,IY$94,$C222*2+6)</f>
        <v>2154.0624533823611</v>
      </c>
      <c r="IZ222" s="39">
        <f>INDEX(Input!$1:$1048576,IZ$93,$C222*2+6)+INDEX(Input!$1:$1048576,IZ$94,$C222*2+6)</f>
        <v>3677.7164157747848</v>
      </c>
      <c r="JA222" s="19">
        <f t="shared" si="670"/>
        <v>1336</v>
      </c>
      <c r="JB222" s="19">
        <f t="shared" si="671"/>
        <v>1989.1403392568914</v>
      </c>
      <c r="JC222" s="19">
        <f t="shared" si="672"/>
        <v>3704.7164157747848</v>
      </c>
      <c r="JD222" s="19">
        <f t="shared" si="673"/>
        <v>2047.061217000896</v>
      </c>
      <c r="JE222" s="21"/>
      <c r="JF222" s="1">
        <f t="shared" si="653"/>
        <v>1.7106565950787935E-2</v>
      </c>
      <c r="JG222" s="15">
        <f>INDEX(Input!$1:$1048576,JG$93,$C222*2+6)/(1+VLOOKUP(C222*1000+INDEX(Input!$1:$1048576,JG$93+1,$C222*2+6),$A:$KK,$JK$92,FALSE))</f>
        <v>1243</v>
      </c>
      <c r="JH222" s="1">
        <f t="shared" si="674"/>
        <v>2.2572647700916477E-3</v>
      </c>
      <c r="JI222" s="1">
        <f t="shared" si="675"/>
        <v>-1.2475073642564725E-2</v>
      </c>
      <c r="JJ222" s="1">
        <f t="shared" si="731"/>
        <v>0</v>
      </c>
      <c r="JK222" s="1">
        <f t="shared" si="732"/>
        <v>-1.0217808872473078E-2</v>
      </c>
      <c r="JL222" s="15">
        <f t="shared" si="678"/>
        <v>-12.700736428484037</v>
      </c>
      <c r="JM222" s="15">
        <f t="shared" si="702"/>
        <v>1230.2992635715159</v>
      </c>
      <c r="JN222" s="21"/>
      <c r="JO222" s="19">
        <f>INDEX(Input!$1:$1048576,JO$93,$C222*2+6)</f>
        <v>5995.5</v>
      </c>
      <c r="JP222" s="19">
        <f>INDEX(Input!$1:$1048576,JP$93,$C222*2+6)</f>
        <v>2105.548724853742</v>
      </c>
      <c r="JQ222" s="39">
        <f t="shared" si="688"/>
        <v>3948.4387829991038</v>
      </c>
      <c r="JR222" s="39">
        <f t="shared" si="705"/>
        <v>-58.487507852845965</v>
      </c>
      <c r="JS222" s="39">
        <f t="shared" si="690"/>
        <v>2.5184979077620135</v>
      </c>
      <c r="JT222" s="39">
        <f t="shared" si="680"/>
        <v>-9.8699157231187912E-2</v>
      </c>
      <c r="JU222" s="385">
        <f>(JQ222*JM222-INDEX(Input!$1:$1048576,Input!A$18,$C222*2+6)*JL222*INDEX(Input!$1:$1048576,Input!A$19,$C222*2+6))/1000000</f>
        <v>4.8577613269810103</v>
      </c>
      <c r="JV222" s="39">
        <f t="shared" si="712"/>
        <v>2.2551891974211813E-2</v>
      </c>
      <c r="JW222" s="1">
        <f t="shared" si="703"/>
        <v>4.6640982727525031E-3</v>
      </c>
      <c r="JX222" s="19">
        <f t="shared" si="694"/>
        <v>7771.1365625881799</v>
      </c>
      <c r="JZ222" s="341"/>
      <c r="KA222" s="342"/>
      <c r="KB222" s="469">
        <f t="shared" si="691"/>
        <v>2.5660492421988774</v>
      </c>
      <c r="KI222" s="473">
        <f t="shared" si="719"/>
        <v>11.225254168450533</v>
      </c>
      <c r="KJ222" s="473">
        <f t="shared" si="720"/>
        <v>-26.437751026672345</v>
      </c>
      <c r="KK222" s="473">
        <f t="shared" si="682"/>
        <v>2.5117604297376772</v>
      </c>
      <c r="KN222" s="544">
        <f t="shared" si="695"/>
        <v>2002</v>
      </c>
      <c r="KO222" s="541">
        <f t="shared" si="657"/>
        <v>-1.6049354422308926E-2</v>
      </c>
      <c r="KP222" s="546">
        <f t="shared" si="658"/>
        <v>-92.598714530741987</v>
      </c>
      <c r="KQ222" s="546">
        <f t="shared" si="659"/>
        <v>-96.619122432576887</v>
      </c>
      <c r="KR222" s="548">
        <f t="shared" si="660"/>
        <v>3.0922855035863113</v>
      </c>
      <c r="KS222" s="548">
        <f t="shared" si="661"/>
        <v>2.9636127444021922</v>
      </c>
      <c r="KT222" s="473">
        <f t="shared" si="693"/>
        <v>843.26993010479111</v>
      </c>
      <c r="KU222" s="663">
        <f t="shared" si="683"/>
        <v>4.4807707264873944</v>
      </c>
      <c r="KV222" s="117"/>
    </row>
    <row r="223" spans="1:308" s="26" customFormat="1" ht="15">
      <c r="A223" s="561">
        <f t="shared" si="662"/>
        <v>2023</v>
      </c>
      <c r="B223" s="561">
        <f t="shared" si="684"/>
        <v>23</v>
      </c>
      <c r="C223" s="561">
        <f t="shared" si="105"/>
        <v>2</v>
      </c>
      <c r="D223" s="561" t="str">
        <f t="shared" si="728"/>
        <v xml:space="preserve">0/0/0.9/3.9, </v>
      </c>
      <c r="E223" s="475">
        <f>INDEX(Input!$1:$1048576,E$93,$C223*2+MIN($B223,2)+5)
+INDEX(Scenarios!E$121:E$200,MATCH($B223,Scenarios!$B$121:$B$200,0))</f>
        <v>1269.7618664521319</v>
      </c>
      <c r="F223" s="475">
        <f>INDEX(Input!$1:$1048576,F$93,$C223*2+MIN($B223,2)+5)
+INDEX(Scenarios!F$121:F$200,MATCH($B223,Scenarios!$B$121:$B$200,0))</f>
        <v>0</v>
      </c>
      <c r="G223" s="475">
        <f>INDEX(Input!$1:$1048576,G$93,$C223*2+MIN($B223,2)+5)
+INDEX(Scenarios!G$121:G$200,MATCH($B223,Scenarios!$B$121:$B$200,0))</f>
        <v>0</v>
      </c>
      <c r="H223" s="475">
        <f>INDEX(Input!$1:$1048576,H$93,$C223*2+MIN($B223,2)+5)
+INDEX(Scenarios!H$121:H$200,MATCH($B223,Scenarios!$B$121:$B$200,0))</f>
        <v>0</v>
      </c>
      <c r="I223" s="476">
        <f>INDEX(Input!$1:$1048576,I$93,$C223*2+MIN($B223,2)+5)</f>
        <v>0.7</v>
      </c>
      <c r="J223" s="476" t="str">
        <f>INDEX(Input!$1:$1048576,J$93,$C223*2+MIN($B223,2)+5)</f>
        <v>Market</v>
      </c>
      <c r="K223" s="476" t="str">
        <f>INDEX(Input!$1:$1048576,K$93,$C223*2+MIN($B223,2)+5)</f>
        <v>Market</v>
      </c>
      <c r="L223" s="476" t="str">
        <f>INDEX(Input!$1:$1048576,L$93,$C223*2+MIN($B223,2)+5)</f>
        <v>Market</v>
      </c>
      <c r="M223" s="476" t="str">
        <f>INDEX(Input!$1:$1048576,M$93,$C223*2+MIN($B223,2)+5)</f>
        <v>Market</v>
      </c>
      <c r="N223" s="476" t="str">
        <f>INDEX(Input!$1:$1048576,N$93,$C223*2+MIN($B223,2)+5)</f>
        <v>Market</v>
      </c>
      <c r="O223" s="476" t="str">
        <f>INDEX(Input!$1:$1048576,O$93,$C223*2+MIN($B223,2)+5)</f>
        <v>Market</v>
      </c>
      <c r="P223" s="476" t="str">
        <f>INDEX(Input!$1:$1048576,P$93,$C223*2+MIN($B223,2)+5)</f>
        <v>N</v>
      </c>
      <c r="Q223" s="477">
        <f>INDEX(Input!$1:$1048576,Q$93,$C223*2+MIN($B223,2)+5)
+INDEX(Scenarios!Q$121:Q$200,MATCH($B223,Scenarios!$B$121:$B$200,0))</f>
        <v>0</v>
      </c>
      <c r="R223" s="478">
        <f>IFERROR(MAX(0,INDEX(Input!$1:$1048576,R$93,$C223*2+MIN($B223,2)+5)
+INDEX(Scenarios!R$121:R$200,MATCH($B223,Scenarios!$B$121:$B$200,0)),),"Market")</f>
        <v>0</v>
      </c>
      <c r="S223" s="478">
        <f>IFERROR(MAX(0,INDEX(Input!$1:$1048576,S$93,$C223*2+MIN($B223,2)+5)
+INDEX(Scenarios!S$121:S$200,MATCH($B223,Scenarios!$B$121:$B$200,0)),),"Market")</f>
        <v>0</v>
      </c>
      <c r="T223" s="478">
        <f>IFERROR(MAX(0,INDEX(Input!$1:$1048576,T$93,$C223*2+MIN($B223,2)+5)
+INDEX(Scenarios!T$121:T$200,MATCH($B223,Scenarios!$B$121:$B$200,0)),),"Market")</f>
        <v>0</v>
      </c>
      <c r="U223" s="478">
        <f>IFERROR(MAX(0,INDEX(Input!$1:$1048576,U$93,$C223*2+MIN($B223,2)+5)
+INDEX(Scenarios!U$121:U$200,MATCH($B223,Scenarios!$B$121:$B$200,0)),),"Market")</f>
        <v>0</v>
      </c>
      <c r="V223" s="478">
        <f>IFERROR(MAX(0,INDEX(Input!$1:$1048576,V$93,$C223*2+MIN($B223,2)+5)
+INDEX(Scenarios!V$121:V$200,MATCH($B223,Scenarios!$B$121:$B$200,0)),),"Market")</f>
        <v>8.9999999999999993E-3</v>
      </c>
      <c r="W223" s="885">
        <f>IFERROR(MAX(0,INDEX(Input!$1:$1048576,W$93,$C223*2+MIN($B223,2)+5)-0%,),"Market")</f>
        <v>3.9E-2</v>
      </c>
      <c r="X223" s="476" t="str">
        <f>INDEX(Input!$1:$1048576,X$93,$C223*2+MIN($B223,2)+5)</f>
        <v>Y</v>
      </c>
      <c r="Y223" s="475">
        <f>INDEX(Input!$1:$1048576,Y$93,$C223*2+MIN($B223,2)+5)
++INDEX(Scenarios!Y$121:Y$200,MATCH($B223,Scenarios!$B$121:$B$200,0))</f>
        <v>56</v>
      </c>
      <c r="Z223" s="477">
        <f>INDEX(Input!$1:$1048576,Z$93,$C223*2+MIN($B223,2)+5)
+INDEX(Scenarios!Z$121:Z$200,MATCH($B223,Scenarios!$B$121:$B$200,0))</f>
        <v>0</v>
      </c>
      <c r="AA223" s="475">
        <f>INDEX(Input!$1:$1048576,AA$93,$C223*2+MIN($B223,2)+5)
+INDEX(Scenarios!AA$121:AA$200,MATCH($B223,Scenarios!$B$121:$B$200,0))</f>
        <v>0</v>
      </c>
      <c r="AB223" s="476">
        <f>INDEX(Input!$1:$1048576,AB$93,$C223*2+MIN($B223,2)+5)</f>
        <v>0.27</v>
      </c>
      <c r="AC223" s="475">
        <f>INDEX(Input!$1:$1048576,AC$93,$C223*2+MIN($B223,2)+5)
+INDEX(Scenarios!AC$121:AC$200,MATCH($B223,Scenarios!$B$121:$B$200,0))</f>
        <v>0</v>
      </c>
      <c r="AD223" s="476">
        <f>INDEX(Input!$1:$1048576,AD$93,$C223*2+MIN($B223,2)+5)</f>
        <v>0.27</v>
      </c>
      <c r="AE223" s="475">
        <f>INDEX(Input!$1:$1048576,AE$93,$C223*2+MIN($B223,2)+5)
+INDEX(Scenarios!AE$121:AE$200,MATCH($B223,Scenarios!$B$121:$B$200,0))</f>
        <v>0</v>
      </c>
      <c r="AF223" s="476">
        <f>INDEX(Input!$1:$1048576,AF$93,$C223*2+MIN($B223,2)+5)</f>
        <v>4.8000000000000001E-2</v>
      </c>
      <c r="AG223" s="475">
        <f>INDEX(Input!$1:$1048576,AG$93,$C223*2+MIN($B223,2)+5)
+INDEX(Scenarios!AG$121:AG$200,MATCH($B223,Scenarios!$B$121:$B$200,0))</f>
        <v>500</v>
      </c>
      <c r="AH223" s="476">
        <f>INDEX(Input!$1:$1048576,AH$93,$C223*2+MIN($B223,2)+5)</f>
        <v>0.94599999999999995</v>
      </c>
      <c r="AI223" s="475">
        <f>INDEX(Input!$1:$1048576,AI$93,$C223*2+MIN($B223,2)+5)
+INDEX(Scenarios!AI$121:AI$200,MATCH($B223,Scenarios!$B$121:$B$200,0))</f>
        <v>0</v>
      </c>
      <c r="AJ223" s="476">
        <f>INDEX(Input!$1:$1048576,AJ$93,$C223*2+MIN($B223,2)+5)</f>
        <v>0.27</v>
      </c>
      <c r="AK223" s="150">
        <f>ROUND(INDEX(Input!$1:$1048576,AK$93,$C222*2+MIN($B223,1)+5)+(Y223-VLOOKUP($C223*1000+1,$A:$HH,Y$92,FALSE)),0)</f>
        <v>2977</v>
      </c>
      <c r="AL223" s="150">
        <f>ROUND(INDEX(Input!$1:$1048576,AL$93,$C222*2+MIN($B223,1)+5)-(Y223-VLOOKUP($C223*1000+1,$A:$HH,Y$92,FALSE))/36,0)</f>
        <v>3395</v>
      </c>
      <c r="AM223" s="32" t="str">
        <f t="shared" si="663"/>
        <v>std/std/std/std</v>
      </c>
      <c r="AN223" s="32" t="str">
        <f t="shared" si="664"/>
        <v>$0 + 0/0/0/0.9/3.9</v>
      </c>
      <c r="AO223" s="32" t="str">
        <f t="shared" si="665"/>
        <v>0/0/0/0.9/3.9</v>
      </c>
      <c r="AP223" s="32" t="str">
        <f t="shared" si="498"/>
        <v>0/0/0.9/3.9</v>
      </c>
      <c r="AQ223" s="536">
        <f t="shared" si="497"/>
        <v>0.34636575357982596</v>
      </c>
      <c r="AR223" s="32"/>
      <c r="AS223" s="302"/>
      <c r="AT223" s="3">
        <f t="shared" si="717"/>
        <v>23</v>
      </c>
      <c r="AU223" s="41" t="s">
        <v>121</v>
      </c>
      <c r="AV223" s="41" t="s">
        <v>116</v>
      </c>
      <c r="AW223" s="41" t="str">
        <f>INDEX(Input!$1:$1048576,AW$93,$C223*2+6)</f>
        <v>Kia</v>
      </c>
      <c r="AX223" s="41" t="str">
        <f>INDEX(Input!$1:$1048576,AX$93,$C223*2+6)</f>
        <v>Kia-LR - L2</v>
      </c>
      <c r="AY223" s="41" t="str">
        <f>IF(LEN(D223)=0,"",INDEX(Input!$1:$1048576,AY$93,$C223*2+6))</f>
        <v>Compact SUV (52)</v>
      </c>
      <c r="AZ223" s="41" t="str">
        <f>INDEX(Input!$1:$1048576,AZ$93,$C223*2+6)</f>
        <v>Kia Soul</v>
      </c>
      <c r="BA223" s="3">
        <f>INDEX(Input!$1:$1048576,BA$93,$C223*2+6)</f>
        <v>2020</v>
      </c>
      <c r="BB223" s="128">
        <f>INDEX(Input!$1:$1048576,BB$93,$C223*2+6)</f>
        <v>1</v>
      </c>
      <c r="BC223" s="128">
        <f>INDEX(Input!$1:$1048576,BC$93,$C223*2+6)</f>
        <v>0.7</v>
      </c>
      <c r="BD223" s="1">
        <f>INDEX(Input!$1:$1048576,BD$93,$C223*2+6)</f>
        <v>4.4999999999999998E-2</v>
      </c>
      <c r="BE223" s="1">
        <f>INDEX(Input!$1:$1048576,BE$93,$C223*2+6)</f>
        <v>4.4999999999999998E-2</v>
      </c>
      <c r="BF223" s="1">
        <f>INDEX(Input!$1:$1048576,BF$93,$C223*2+6)</f>
        <v>0.05</v>
      </c>
      <c r="BG223" s="1">
        <f>INDEX(Input!$1:$1048576,BG$93,$C223*2+6)</f>
        <v>5.45E-2</v>
      </c>
      <c r="BH223" s="1">
        <f>INDEX(Input!$1:$1048576,BH$93,$C223*2+6)</f>
        <v>5.45E-2</v>
      </c>
      <c r="BI223" s="1">
        <f>INDEX(Input!$1:$1048576,BI$93,$C223*2+6)</f>
        <v>0.05</v>
      </c>
      <c r="BJ223" s="1">
        <f>INDEX(Input!$1:$1048576,BJ$93,$C223*2+6)</f>
        <v>0.05</v>
      </c>
      <c r="BK223" s="1">
        <f>INDEX(Input!$1:$1048576,BK$93,$C223*2+6)</f>
        <v>0.05</v>
      </c>
      <c r="BL223" s="1">
        <f>INDEX(Input!$1:$1048576,BL$93,$C223*2+6)</f>
        <v>5.5E-2</v>
      </c>
      <c r="BM223" s="1">
        <f>INDEX(Input!$1:$1048576,BM$93,$C223*2+6)</f>
        <v>0.06</v>
      </c>
      <c r="BN223" s="1">
        <f>INDEX(Input!$1:$1048576,BN$93,$C223*2+6)</f>
        <v>4.4999999999999998E-2</v>
      </c>
      <c r="BO223" s="1">
        <f>INDEX(Input!$1:$1048576,BO$93,$C223*2+6)</f>
        <v>4.4999999999999998E-2</v>
      </c>
      <c r="BP223" s="1">
        <f>INDEX(Input!$1:$1048576,BP$93,$C223*2+6)</f>
        <v>0.05</v>
      </c>
      <c r="BQ223" s="1">
        <f>INDEX(Input!$1:$1048576,BQ$93,$C223*2+6)</f>
        <v>5.45E-2</v>
      </c>
      <c r="BR223" s="1">
        <f>INDEX(Input!$1:$1048576,BR$93,$C223*2+6)</f>
        <v>5.45E-2</v>
      </c>
      <c r="BS223" s="1">
        <f>INDEX(Input!$1:$1048576,BS$93,$C223*2+6)</f>
        <v>0.05</v>
      </c>
      <c r="BT223" s="1">
        <f>INDEX(Input!$1:$1048576,BT$93,$C223*2+6)</f>
        <v>0.05</v>
      </c>
      <c r="BU223" s="1">
        <f>INDEX(Input!$1:$1048576,BU$93,$C223*2+6)</f>
        <v>0.05</v>
      </c>
      <c r="BV223" s="1">
        <f>INDEX(Input!$1:$1048576,BV$93,$C223*2+6)</f>
        <v>5.5E-2</v>
      </c>
      <c r="BW223" s="1">
        <f>INDEX(Input!$1:$1048576,BW$93,$C223*2+6)</f>
        <v>0.06</v>
      </c>
      <c r="BX223" s="127">
        <f>INDEX(Input!$1:$1048576,BX$93,$C223*2+6)</f>
        <v>19985</v>
      </c>
      <c r="BY223" s="20">
        <f>INDEX(Input!$1:$1048576,BY$93,$C223*2+6)</f>
        <v>0.1</v>
      </c>
      <c r="BZ223" s="20">
        <f>INDEX(Input!$1:$1048576,BZ$93,$C223*2+6)</f>
        <v>0.1</v>
      </c>
      <c r="CA223" s="20">
        <f>INDEX(Input!$1:$1048576,CA$93,$C223*2+6)</f>
        <v>0.1</v>
      </c>
      <c r="CB223" s="20">
        <f>INDEX(Input!$1:$1048576,CB$93,$C223*2+6)</f>
        <v>0.1</v>
      </c>
      <c r="CC223" s="20">
        <f>INDEX(Input!$1:$1048576,CC$93,$C223*2+6)</f>
        <v>0.1</v>
      </c>
      <c r="CD223" s="384">
        <f>INDEX(Input!$1:$1048576,CD$93,$C223*2+6)</f>
        <v>0.1</v>
      </c>
      <c r="CE223" s="384">
        <f>INDEX(Input!$1:$1048576,CE$93,$C223*2+6)</f>
        <v>0.1</v>
      </c>
      <c r="CF223" s="384">
        <f>INDEX(Input!$1:$1048576,CF$93,$C223*2+6)</f>
        <v>0.1</v>
      </c>
      <c r="CG223" s="384">
        <f>INDEX(Input!$1:$1048576,CG$93,$C223*2+6)</f>
        <v>0.1</v>
      </c>
      <c r="CH223" s="384">
        <f>INDEX(Input!$1:$1048576,CH$93,$C223*2+6)</f>
        <v>0.1</v>
      </c>
      <c r="CI223" s="304">
        <f t="shared" si="499"/>
        <v>1269.7618664521319</v>
      </c>
      <c r="CJ223" s="16" t="str">
        <f>INDEX(Input!$1:$1048576,CJ$93,$C223*2+6)</f>
        <v>N</v>
      </c>
      <c r="CK223" s="1" t="str">
        <f t="shared" si="500"/>
        <v>Market</v>
      </c>
      <c r="CL223" s="1" t="str">
        <f t="shared" si="501"/>
        <v>Market</v>
      </c>
      <c r="CM223" s="1" t="str">
        <f t="shared" si="502"/>
        <v>Market</v>
      </c>
      <c r="CN223" s="1" t="str">
        <f t="shared" si="503"/>
        <v>Market</v>
      </c>
      <c r="CO223" s="1" t="str">
        <f t="shared" si="504"/>
        <v>Market</v>
      </c>
      <c r="CP223" s="304">
        <f t="shared" si="505"/>
        <v>473</v>
      </c>
      <c r="CQ223" s="1">
        <f t="shared" si="506"/>
        <v>0</v>
      </c>
      <c r="CR223" s="1">
        <f t="shared" si="507"/>
        <v>0</v>
      </c>
      <c r="CS223" s="1">
        <f t="shared" si="508"/>
        <v>0</v>
      </c>
      <c r="CT223" s="1">
        <f t="shared" si="509"/>
        <v>8.9999999999999993E-3</v>
      </c>
      <c r="CU223" s="1">
        <f t="shared" si="510"/>
        <v>3.9E-2</v>
      </c>
      <c r="CV223" s="304">
        <f t="shared" si="511"/>
        <v>56</v>
      </c>
      <c r="CW223" s="20" t="s">
        <v>122</v>
      </c>
      <c r="CX223" s="20" t="s">
        <v>122</v>
      </c>
      <c r="CY223" s="20" t="s">
        <v>122</v>
      </c>
      <c r="CZ223" s="20" t="s">
        <v>122</v>
      </c>
      <c r="DA223" s="20" t="s">
        <v>122</v>
      </c>
      <c r="DB223" s="503">
        <f t="shared" si="512"/>
        <v>0</v>
      </c>
      <c r="DC223" s="127">
        <v>0</v>
      </c>
      <c r="DD223" s="127">
        <v>0</v>
      </c>
      <c r="DE223" s="127">
        <v>0</v>
      </c>
      <c r="DF223" s="127">
        <v>0</v>
      </c>
      <c r="DG223" s="127">
        <v>0</v>
      </c>
      <c r="DH223" s="127">
        <v>0</v>
      </c>
      <c r="DI223" s="127">
        <v>0</v>
      </c>
      <c r="DJ223" s="127">
        <v>0</v>
      </c>
      <c r="DK223" s="127">
        <v>0</v>
      </c>
      <c r="DL223" s="127">
        <v>0</v>
      </c>
      <c r="DM223" s="304">
        <f>INDEX(Input!$1:$1048576,DM$93,$C223*2+6)</f>
        <v>21036.84210526316</v>
      </c>
      <c r="DN223" s="20">
        <v>0</v>
      </c>
      <c r="DO223" s="20">
        <v>0</v>
      </c>
      <c r="DP223" s="20">
        <v>0</v>
      </c>
      <c r="DQ223" s="20">
        <v>0</v>
      </c>
      <c r="DR223" s="20">
        <v>0</v>
      </c>
      <c r="DS223" s="20">
        <f>INDEX(Input!$1:$1048576,DS$93,$C223*2+6)</f>
        <v>0.6</v>
      </c>
      <c r="DT223" s="20">
        <f>INDEX(Input!$1:$1048576,DT$93,$C223*2+6)</f>
        <v>0.55000000000000004</v>
      </c>
      <c r="DU223" s="20">
        <f>INDEX(Input!$1:$1048576,DU$93,$C223*2+6)</f>
        <v>0.52</v>
      </c>
      <c r="DV223" s="20">
        <f>INDEX(Input!$1:$1048576,DV$93,$C223*2+6)</f>
        <v>0.5</v>
      </c>
      <c r="DW223" s="20">
        <f>INDEX(Input!$1:$1048576,DW$93,$C223*2+6)</f>
        <v>0.45</v>
      </c>
      <c r="DX223" s="20"/>
      <c r="DY223" s="7">
        <v>9.1074983818813168E-2</v>
      </c>
      <c r="DZ223" s="7">
        <v>0</v>
      </c>
      <c r="EA223" s="7">
        <v>0.64521916325877604</v>
      </c>
      <c r="EB223" s="7">
        <v>0</v>
      </c>
      <c r="EC223" s="7">
        <v>0</v>
      </c>
      <c r="ED223" s="7">
        <v>0</v>
      </c>
      <c r="EE223" s="7">
        <v>0</v>
      </c>
      <c r="EF223" s="7">
        <v>0</v>
      </c>
      <c r="EG223" s="7">
        <v>0</v>
      </c>
      <c r="EH223" s="7">
        <v>1.1222720115848107E-2</v>
      </c>
      <c r="EI223" s="7">
        <v>3.1942413016361568E-2</v>
      </c>
      <c r="EJ223" s="7">
        <v>0.24175979131990857</v>
      </c>
      <c r="EK223" s="7">
        <v>0.62758560497533356</v>
      </c>
      <c r="EL223" s="7">
        <v>8.7489470572548259E-2</v>
      </c>
      <c r="EM223" s="7">
        <v>7.1711127586630563E-2</v>
      </c>
      <c r="EN223" s="7">
        <v>6.5539478071954274E-2</v>
      </c>
      <c r="EO223" s="7">
        <v>0.73221852506155161</v>
      </c>
      <c r="EP223" s="7">
        <v>8.759235776705375E-2</v>
      </c>
      <c r="EQ223" s="7">
        <v>7.4716654925312972E-2</v>
      </c>
      <c r="ER223" s="7">
        <v>3.993298417412755E-2</v>
      </c>
      <c r="ES223" s="7">
        <v>0.19199472533578016</v>
      </c>
      <c r="ET223" s="7">
        <v>0.26370585292241083</v>
      </c>
      <c r="EU223" s="6">
        <v>1294</v>
      </c>
      <c r="EV223" s="6">
        <v>0</v>
      </c>
      <c r="EW223" s="6">
        <v>1294</v>
      </c>
      <c r="EX223" s="6">
        <v>0</v>
      </c>
      <c r="EY223" s="6">
        <v>2357.0467057334108</v>
      </c>
      <c r="EZ223" s="6">
        <v>946</v>
      </c>
      <c r="FA223" s="6">
        <v>0</v>
      </c>
      <c r="FB223" s="6">
        <v>0</v>
      </c>
      <c r="FC223" s="6">
        <v>0</v>
      </c>
      <c r="FD223" s="6">
        <v>0</v>
      </c>
      <c r="FE223" s="6">
        <v>0</v>
      </c>
      <c r="FF223" s="6">
        <v>0</v>
      </c>
      <c r="FG223" s="6">
        <v>0</v>
      </c>
      <c r="FH223" s="6">
        <v>1173.7307078935639</v>
      </c>
      <c r="FI223" s="6">
        <v>1553.9796069512402</v>
      </c>
      <c r="FJ223" s="6">
        <v>2101.2110117447405</v>
      </c>
      <c r="FK223" s="6">
        <v>2251.3078348034664</v>
      </c>
      <c r="FL223" s="6">
        <v>907.0768214096629</v>
      </c>
      <c r="FM223" s="6">
        <v>2063.0467057334108</v>
      </c>
      <c r="FN223" s="6">
        <v>0</v>
      </c>
      <c r="FO223" s="6">
        <v>0</v>
      </c>
      <c r="FP223" s="6">
        <v>0</v>
      </c>
      <c r="FQ223" s="6">
        <v>0</v>
      </c>
      <c r="FR223" s="6">
        <v>0</v>
      </c>
      <c r="FS223" s="6">
        <v>0</v>
      </c>
      <c r="FT223" s="7">
        <v>0.73629414707758922</v>
      </c>
      <c r="FU223" s="7">
        <v>7.1711127586630563E-2</v>
      </c>
      <c r="FV223" s="7">
        <v>0.19199472533578016</v>
      </c>
      <c r="FW223" s="6">
        <v>1293.9999999999998</v>
      </c>
      <c r="FX223" s="6">
        <v>2357.0467057334108</v>
      </c>
      <c r="FY223" s="6">
        <v>946</v>
      </c>
      <c r="FZ223" s="6">
        <v>1817.4615072224267</v>
      </c>
      <c r="GA223" s="6">
        <v>1303.4181135285442</v>
      </c>
      <c r="GB223" s="6">
        <v>18681.581886471457</v>
      </c>
      <c r="GC223" s="7">
        <v>1.804905384453976E-2</v>
      </c>
      <c r="GD223" s="7">
        <v>1.7251726090343165E-2</v>
      </c>
      <c r="GE223" s="7"/>
      <c r="GF223" s="7"/>
      <c r="GG223" s="7">
        <v>-4.417559840333702E-2</v>
      </c>
      <c r="GH223" s="42">
        <v>1.7174607142533089</v>
      </c>
      <c r="GI223" s="6">
        <v>12939.783262462253</v>
      </c>
      <c r="GJ223" s="14">
        <v>0.50394797582841755</v>
      </c>
      <c r="GK223" s="14">
        <v>0.50887573065309777</v>
      </c>
      <c r="GL223" s="14">
        <v>0.49605202417158306</v>
      </c>
      <c r="GM223" s="14">
        <v>0.49112426934690279</v>
      </c>
      <c r="GO223" s="5">
        <v>343.14810671672558</v>
      </c>
      <c r="GP223" s="5">
        <v>318.46105531198077</v>
      </c>
      <c r="GQ223" s="5">
        <v>535.04305713031317</v>
      </c>
      <c r="GR223" s="5">
        <v>410.15490233172511</v>
      </c>
      <c r="GS223" s="5">
        <v>339.42744393800166</v>
      </c>
      <c r="GT223" s="5">
        <v>293.4407446948278</v>
      </c>
      <c r="GU223" s="5">
        <v>258.04012322764959</v>
      </c>
      <c r="GV223" s="39" t="s">
        <v>392</v>
      </c>
      <c r="GW223" s="5">
        <v>491.45833333333331</v>
      </c>
      <c r="GX223" s="5">
        <v>368.59375</v>
      </c>
      <c r="GY223" s="5">
        <v>294.875</v>
      </c>
      <c r="GZ223" s="5">
        <v>252.51567799800796</v>
      </c>
      <c r="HA223" s="5">
        <v>241.02179695997205</v>
      </c>
      <c r="HB223" s="39">
        <v>268.14026554141725</v>
      </c>
      <c r="HC223" s="5">
        <v>245.89687499999999</v>
      </c>
      <c r="HD223" s="5">
        <v>211.55677997076018</v>
      </c>
      <c r="HE223" s="5">
        <v>214.73562331309037</v>
      </c>
      <c r="HF223" s="5">
        <v>199.03250548245612</v>
      </c>
      <c r="HG223" s="5">
        <v>192.49971491228069</v>
      </c>
      <c r="HH223" s="39">
        <v>212.3890768867266</v>
      </c>
      <c r="HI223" s="16"/>
      <c r="HJ223" s="19" t="str">
        <f t="shared" si="726"/>
        <v>On</v>
      </c>
      <c r="HK223" s="1" t="str">
        <f t="shared" si="726"/>
        <v>On</v>
      </c>
      <c r="HL223" s="16"/>
      <c r="HM223" s="639">
        <f t="shared" si="634"/>
        <v>1.2768706344444866E-2</v>
      </c>
      <c r="HN223" s="639">
        <f t="shared" si="635"/>
        <v>9.795534288915453E-4</v>
      </c>
      <c r="HO223" s="639">
        <f t="shared" si="636"/>
        <v>3.3583061774515237E-3</v>
      </c>
      <c r="HP223" s="644">
        <f>(FT223*$GD223-HM223)/$JF223*INDEX(Input!$1:$1048576,$JG$93,$C223*2+6)</f>
        <v>-4.821962331986331</v>
      </c>
      <c r="HQ223" s="644">
        <f>(FU223*$GD223-HN223)/$JF223*INDEX(Input!$1:$1048576,$JG$93,$C223*2+6)</f>
        <v>18.716849257552749</v>
      </c>
      <c r="HR223" s="644">
        <f>(FV223*$GD223-HO223)/$JF223*INDEX(Input!$1:$1048576,$JG$93,$C223*2+6)</f>
        <v>-3.347237912537063</v>
      </c>
      <c r="HS223" s="644">
        <f t="shared" si="729"/>
        <v>-2.9962354503786486</v>
      </c>
      <c r="HT223" s="644">
        <f t="shared" si="638"/>
        <v>27.461234011679782</v>
      </c>
      <c r="HU223" s="644">
        <f t="shared" si="639"/>
        <v>1.5070440729444894</v>
      </c>
      <c r="HV223" s="648">
        <f t="shared" si="640"/>
        <v>0</v>
      </c>
      <c r="HW223" s="648">
        <f t="shared" si="641"/>
        <v>0</v>
      </c>
      <c r="HX223" s="648">
        <f t="shared" si="642"/>
        <v>0</v>
      </c>
      <c r="HY223" s="644">
        <f>INDEX(Input!$1:$1048576,HY$93,$C223*2+6)*INDEX(Input!$1:$1048576,$JG$93,$C223*2+6)</f>
        <v>451</v>
      </c>
      <c r="HZ223" s="644">
        <f>INDEX(Input!$1:$1048576,HZ$93,$C223*2+6)*INDEX(Input!$1:$1048576,$JG$93,$C223*2+6)</f>
        <v>577</v>
      </c>
      <c r="IA223" s="644">
        <f>INDEX(Input!$1:$1048576,IA$93,$C223*2+6)*INDEX(Input!$1:$1048576,$JG$93,$C223*2+6)</f>
        <v>215</v>
      </c>
      <c r="IB223" s="644">
        <f t="shared" si="666"/>
        <v>443.18180221763498</v>
      </c>
      <c r="IC223" s="644">
        <f t="shared" si="667"/>
        <v>623.17808326923262</v>
      </c>
      <c r="ID223" s="644">
        <f>IF(AND(INDEX(Input!$1:$1048576,IA$93,$C223*2+7)="TOS",Y223&lt;=INDEX(Y:Y,MATCH(C223*1000+2,A:A))),0,1)*MAX(IA223+HR223+HU223+HX223,0%)</f>
        <v>213.15980616040744</v>
      </c>
      <c r="IE223" s="128">
        <f t="shared" si="730"/>
        <v>0.34636575357982596</v>
      </c>
      <c r="IF223" s="128">
        <f t="shared" si="643"/>
        <v>0.48704063512062307</v>
      </c>
      <c r="IG223" s="128">
        <f t="shared" si="644"/>
        <v>0.16659361129955097</v>
      </c>
      <c r="IH223" s="21"/>
      <c r="II223" s="19">
        <f t="shared" si="645"/>
        <v>1252</v>
      </c>
      <c r="IJ223" s="19">
        <f t="shared" si="646"/>
        <v>2011.9658773055378</v>
      </c>
      <c r="IK223" s="19">
        <f t="shared" si="647"/>
        <v>919</v>
      </c>
      <c r="IL223" s="19">
        <f t="shared" si="669"/>
        <v>41.999999999999773</v>
      </c>
      <c r="IM223" s="19">
        <f t="shared" si="648"/>
        <v>345.08082842787303</v>
      </c>
      <c r="IN223" s="19">
        <f t="shared" si="649"/>
        <v>27</v>
      </c>
      <c r="IO223" s="39">
        <f t="shared" si="650"/>
        <v>0</v>
      </c>
      <c r="IP223" s="39">
        <f t="shared" si="651"/>
        <v>0</v>
      </c>
      <c r="IQ223" s="39">
        <f t="shared" si="652"/>
        <v>0</v>
      </c>
      <c r="IR223" s="39">
        <v>0</v>
      </c>
      <c r="IS223" s="39">
        <v>0</v>
      </c>
      <c r="IT223" s="39">
        <v>0</v>
      </c>
      <c r="IU223" s="39">
        <v>0</v>
      </c>
      <c r="IV223" s="39">
        <v>0</v>
      </c>
      <c r="IW223" s="39">
        <v>0</v>
      </c>
      <c r="IX223" s="39">
        <f>INDEX(Input!$1:$1048576,IX$93,$C223*2+6)+INDEX(Input!$1:$1048576,IX$94,$C223*2+6)</f>
        <v>1294</v>
      </c>
      <c r="IY223" s="39">
        <f>INDEX(Input!$1:$1048576,IY$93,$C223*2+6)+INDEX(Input!$1:$1048576,IY$94,$C223*2+6)</f>
        <v>2154.0624533823611</v>
      </c>
      <c r="IZ223" s="39">
        <f>INDEX(Input!$1:$1048576,IZ$93,$C223*2+6)+INDEX(Input!$1:$1048576,IZ$94,$C223*2+6)</f>
        <v>3677.7164157747848</v>
      </c>
      <c r="JA223" s="19">
        <f t="shared" si="670"/>
        <v>1335.9999999999998</v>
      </c>
      <c r="JB223" s="19">
        <f t="shared" si="671"/>
        <v>2499.1432818102339</v>
      </c>
      <c r="JC223" s="19">
        <f t="shared" si="672"/>
        <v>3704.7164157747848</v>
      </c>
      <c r="JD223" s="19">
        <f t="shared" si="673"/>
        <v>2297.1110645575923</v>
      </c>
      <c r="JE223" s="21"/>
      <c r="JF223" s="1">
        <f t="shared" si="653"/>
        <v>1.7106565950787935E-2</v>
      </c>
      <c r="JG223" s="15">
        <f>INDEX(Input!$1:$1048576,JG$93,$C223*2+6)/(1+VLOOKUP(C223*1000+INDEX(Input!$1:$1048576,JG$93+1,$C223*2+6),$A:$KK,$JK$92,FALSE))</f>
        <v>1243</v>
      </c>
      <c r="JH223" s="1">
        <f t="shared" si="674"/>
        <v>8.4856387876342358E-3</v>
      </c>
      <c r="JI223" s="1">
        <f t="shared" si="675"/>
        <v>2.0894644114437345E-2</v>
      </c>
      <c r="JJ223" s="1">
        <f t="shared" si="731"/>
        <v>0</v>
      </c>
      <c r="JK223" s="1">
        <f t="shared" si="732"/>
        <v>2.9380282902071581E-2</v>
      </c>
      <c r="JL223" s="15">
        <f t="shared" si="678"/>
        <v>36.519691647274975</v>
      </c>
      <c r="JM223" s="15">
        <f t="shared" si="702"/>
        <v>1279.5196916472751</v>
      </c>
      <c r="JN223" s="21"/>
      <c r="JO223" s="19">
        <f>INDEX(Input!$1:$1048576,JO$93,$C223*2+6)</f>
        <v>5995.5</v>
      </c>
      <c r="JP223" s="19">
        <f>INDEX(Input!$1:$1048576,JP$93,$C223*2+6)</f>
        <v>2105.548724853742</v>
      </c>
      <c r="JQ223" s="39">
        <f t="shared" si="688"/>
        <v>3698.3889354424077</v>
      </c>
      <c r="JR223" s="39">
        <f t="shared" si="705"/>
        <v>191.56233970385028</v>
      </c>
      <c r="JS223" s="39">
        <f t="shared" si="690"/>
        <v>2.9391988410022742</v>
      </c>
      <c r="JT223" s="39">
        <f t="shared" si="680"/>
        <v>0.32200177600907304</v>
      </c>
      <c r="JU223" s="385">
        <f>(JQ223*JM223-INDEX(Input!$1:$1048576,Input!A$18,$C223*2+6)*JL223*INDEX(Input!$1:$1048576,Input!A$19,$C223*2+6))/1000000</f>
        <v>4.7321614702689638</v>
      </c>
      <c r="JV223" s="39">
        <f t="shared" si="712"/>
        <v>-0.10304796473783462</v>
      </c>
      <c r="JW223" s="1">
        <f t="shared" si="703"/>
        <v>-2.1311996124049947E-2</v>
      </c>
      <c r="JX223" s="19">
        <f t="shared" si="694"/>
        <v>8817.2096062344535</v>
      </c>
      <c r="JZ223" s="341"/>
      <c r="KA223" s="342"/>
      <c r="KB223" s="469">
        <f t="shared" si="691"/>
        <v>2.5660492421988774</v>
      </c>
      <c r="KI223" s="473">
        <f t="shared" si="719"/>
        <v>-7.8181977823650186</v>
      </c>
      <c r="KJ223" s="473">
        <f t="shared" si="720"/>
        <v>46.178083269232616</v>
      </c>
      <c r="KK223" s="473">
        <f t="shared" si="682"/>
        <v>-1.8401938395925299</v>
      </c>
      <c r="KN223" s="544">
        <f t="shared" si="695"/>
        <v>2002</v>
      </c>
      <c r="KO223" s="541">
        <f t="shared" si="657"/>
        <v>2.3315435442037957E-2</v>
      </c>
      <c r="KP223" s="546">
        <f t="shared" si="658"/>
        <v>147.61212559067312</v>
      </c>
      <c r="KQ223" s="546">
        <f t="shared" si="659"/>
        <v>153.43072512411936</v>
      </c>
      <c r="KR223" s="548">
        <f t="shared" si="660"/>
        <v>2.8180485517849969</v>
      </c>
      <c r="KS223" s="548">
        <f t="shared" si="661"/>
        <v>2.7111788490225259</v>
      </c>
      <c r="KT223" s="473">
        <f t="shared" si="693"/>
        <v>843.26993010479111</v>
      </c>
      <c r="KU223" s="663">
        <f t="shared" si="683"/>
        <v>4.5008336995018317</v>
      </c>
      <c r="KV223" s="117"/>
    </row>
    <row r="224" spans="1:308" s="26" customFormat="1" ht="15">
      <c r="A224" s="561">
        <f t="shared" si="662"/>
        <v>2024</v>
      </c>
      <c r="B224" s="561">
        <f t="shared" si="684"/>
        <v>24</v>
      </c>
      <c r="C224" s="561">
        <f t="shared" si="105"/>
        <v>2</v>
      </c>
      <c r="D224" s="561" t="str">
        <f t="shared" si="728"/>
        <v xml:space="preserve">0/0/0/3.9, </v>
      </c>
      <c r="E224" s="475">
        <f>INDEX(Input!$1:$1048576,E$93,$C224*2+MIN($B224,2)+5)
+INDEX(Scenarios!E$121:E$200,MATCH($B224,Scenarios!$B$121:$B$200,0))</f>
        <v>1269.7618664521319</v>
      </c>
      <c r="F224" s="475">
        <f>INDEX(Input!$1:$1048576,F$93,$C224*2+MIN($B224,2)+5)
+INDEX(Scenarios!F$121:F$200,MATCH($B224,Scenarios!$B$121:$B$200,0))</f>
        <v>0</v>
      </c>
      <c r="G224" s="475">
        <f>INDEX(Input!$1:$1048576,G$93,$C224*2+MIN($B224,2)+5)
+INDEX(Scenarios!G$121:G$200,MATCH($B224,Scenarios!$B$121:$B$200,0))</f>
        <v>0</v>
      </c>
      <c r="H224" s="475">
        <f>INDEX(Input!$1:$1048576,H$93,$C224*2+MIN($B224,2)+5)
+INDEX(Scenarios!H$121:H$200,MATCH($B224,Scenarios!$B$121:$B$200,0))</f>
        <v>0</v>
      </c>
      <c r="I224" s="476">
        <f>INDEX(Input!$1:$1048576,I$93,$C224*2+MIN($B224,2)+5)</f>
        <v>0.7</v>
      </c>
      <c r="J224" s="476" t="str">
        <f>INDEX(Input!$1:$1048576,J$93,$C224*2+MIN($B224,2)+5)</f>
        <v>Market</v>
      </c>
      <c r="K224" s="476" t="str">
        <f>INDEX(Input!$1:$1048576,K$93,$C224*2+MIN($B224,2)+5)</f>
        <v>Market</v>
      </c>
      <c r="L224" s="476" t="str">
        <f>INDEX(Input!$1:$1048576,L$93,$C224*2+MIN($B224,2)+5)</f>
        <v>Market</v>
      </c>
      <c r="M224" s="476" t="str">
        <f>INDEX(Input!$1:$1048576,M$93,$C224*2+MIN($B224,2)+5)</f>
        <v>Market</v>
      </c>
      <c r="N224" s="476" t="str">
        <f>INDEX(Input!$1:$1048576,N$93,$C224*2+MIN($B224,2)+5)</f>
        <v>Market</v>
      </c>
      <c r="O224" s="476" t="str">
        <f>INDEX(Input!$1:$1048576,O$93,$C224*2+MIN($B224,2)+5)</f>
        <v>Market</v>
      </c>
      <c r="P224" s="476" t="str">
        <f>INDEX(Input!$1:$1048576,P$93,$C224*2+MIN($B224,2)+5)</f>
        <v>N</v>
      </c>
      <c r="Q224" s="477">
        <f>INDEX(Input!$1:$1048576,Q$93,$C224*2+MIN($B224,2)+5)
+INDEX(Scenarios!Q$121:Q$200,MATCH($B224,Scenarios!$B$121:$B$200,0))</f>
        <v>0</v>
      </c>
      <c r="R224" s="478">
        <f>IFERROR(MAX(0,INDEX(Input!$1:$1048576,R$93,$C224*2+MIN($B224,2)+5)
+INDEX(Scenarios!R$121:R$200,MATCH($B224,Scenarios!$B$121:$B$200,0)),),"Market")</f>
        <v>0</v>
      </c>
      <c r="S224" s="478">
        <f>IFERROR(MAX(0,INDEX(Input!$1:$1048576,S$93,$C224*2+MIN($B224,2)+5)
+INDEX(Scenarios!S$121:S$200,MATCH($B224,Scenarios!$B$121:$B$200,0)),),"Market")</f>
        <v>0</v>
      </c>
      <c r="T224" s="478">
        <f>IFERROR(MAX(0,INDEX(Input!$1:$1048576,T$93,$C224*2+MIN($B224,2)+5)
+INDEX(Scenarios!T$121:T$200,MATCH($B224,Scenarios!$B$121:$B$200,0)),),"Market")</f>
        <v>0</v>
      </c>
      <c r="U224" s="478">
        <f>IFERROR(MAX(0,INDEX(Input!$1:$1048576,U$93,$C224*2+MIN($B224,2)+5)
+INDEX(Scenarios!U$121:U$200,MATCH($B224,Scenarios!$B$121:$B$200,0)),),"Market")</f>
        <v>0</v>
      </c>
      <c r="V224" s="478">
        <f>IFERROR(MAX(0,INDEX(Input!$1:$1048576,V$93,$C224*2+MIN($B224,2)+5)
+INDEX(Scenarios!V$121:V$200,MATCH($B224,Scenarios!$B$121:$B$200,0)),),"Market")</f>
        <v>0</v>
      </c>
      <c r="W224" s="885">
        <f>IFERROR(MAX(0,INDEX(Input!$1:$1048576,W$93,$C224*2+MIN($B224,2)+5)-0%,),"Market")</f>
        <v>3.9E-2</v>
      </c>
      <c r="X224" s="476" t="str">
        <f>INDEX(Input!$1:$1048576,X$93,$C224*2+MIN($B224,2)+5)</f>
        <v>Y</v>
      </c>
      <c r="Y224" s="475">
        <f>INDEX(Input!$1:$1048576,Y$93,$C224*2+MIN($B224,2)+5)
++INDEX(Scenarios!Y$121:Y$200,MATCH($B224,Scenarios!$B$121:$B$200,0))</f>
        <v>56</v>
      </c>
      <c r="Z224" s="477">
        <f>INDEX(Input!$1:$1048576,Z$93,$C224*2+MIN($B224,2)+5)
+INDEX(Scenarios!Z$121:Z$200,MATCH($B224,Scenarios!$B$121:$B$200,0))</f>
        <v>0</v>
      </c>
      <c r="AA224" s="475">
        <f>INDEX(Input!$1:$1048576,AA$93,$C224*2+MIN($B224,2)+5)
+INDEX(Scenarios!AA$121:AA$200,MATCH($B224,Scenarios!$B$121:$B$200,0))</f>
        <v>0</v>
      </c>
      <c r="AB224" s="476">
        <f>INDEX(Input!$1:$1048576,AB$93,$C224*2+MIN($B224,2)+5)</f>
        <v>0.27</v>
      </c>
      <c r="AC224" s="475">
        <f>INDEX(Input!$1:$1048576,AC$93,$C224*2+MIN($B224,2)+5)
+INDEX(Scenarios!AC$121:AC$200,MATCH($B224,Scenarios!$B$121:$B$200,0))</f>
        <v>0</v>
      </c>
      <c r="AD224" s="476">
        <f>INDEX(Input!$1:$1048576,AD$93,$C224*2+MIN($B224,2)+5)</f>
        <v>0.27</v>
      </c>
      <c r="AE224" s="475">
        <f>INDEX(Input!$1:$1048576,AE$93,$C224*2+MIN($B224,2)+5)
+INDEX(Scenarios!AE$121:AE$200,MATCH($B224,Scenarios!$B$121:$B$200,0))</f>
        <v>0</v>
      </c>
      <c r="AF224" s="476">
        <f>INDEX(Input!$1:$1048576,AF$93,$C224*2+MIN($B224,2)+5)</f>
        <v>4.8000000000000001E-2</v>
      </c>
      <c r="AG224" s="475">
        <f>INDEX(Input!$1:$1048576,AG$93,$C224*2+MIN($B224,2)+5)
+INDEX(Scenarios!AG$121:AG$200,MATCH($B224,Scenarios!$B$121:$B$200,0))</f>
        <v>500</v>
      </c>
      <c r="AH224" s="476">
        <f>INDEX(Input!$1:$1048576,AH$93,$C224*2+MIN($B224,2)+5)</f>
        <v>0.94599999999999995</v>
      </c>
      <c r="AI224" s="475">
        <f>INDEX(Input!$1:$1048576,AI$93,$C224*2+MIN($B224,2)+5)
+INDEX(Scenarios!AI$121:AI$200,MATCH($B224,Scenarios!$B$121:$B$200,0))</f>
        <v>0</v>
      </c>
      <c r="AJ224" s="476">
        <f>INDEX(Input!$1:$1048576,AJ$93,$C224*2+MIN($B224,2)+5)</f>
        <v>0.27</v>
      </c>
      <c r="AK224" s="150">
        <f>ROUND(INDEX(Input!$1:$1048576,AK$93,$C223*2+MIN($B224,1)+5)+(Y224-VLOOKUP($C224*1000+1,$A:$HH,Y$92,FALSE)),0)</f>
        <v>2977</v>
      </c>
      <c r="AL224" s="150">
        <f>ROUND(INDEX(Input!$1:$1048576,AL$93,$C223*2+MIN($B224,1)+5)-(Y224-VLOOKUP($C224*1000+1,$A:$HH,Y$92,FALSE))/36,0)</f>
        <v>3395</v>
      </c>
      <c r="AM224" s="32" t="str">
        <f t="shared" si="663"/>
        <v>std/std/std/std</v>
      </c>
      <c r="AN224" s="32" t="str">
        <f t="shared" si="664"/>
        <v>$0 + 0/0/0/0/3.9</v>
      </c>
      <c r="AO224" s="32" t="str">
        <f t="shared" si="665"/>
        <v>0/0/0/0/3.9</v>
      </c>
      <c r="AP224" s="32" t="str">
        <f t="shared" si="498"/>
        <v>0/0/0/3.9</v>
      </c>
      <c r="AQ224" s="536">
        <f t="shared" si="497"/>
        <v>0.32653401583521152</v>
      </c>
      <c r="AR224" s="32"/>
      <c r="AS224" s="302"/>
      <c r="AT224" s="3">
        <f t="shared" si="717"/>
        <v>24</v>
      </c>
      <c r="AU224" s="41" t="s">
        <v>121</v>
      </c>
      <c r="AV224" s="41" t="s">
        <v>116</v>
      </c>
      <c r="AW224" s="41" t="str">
        <f>INDEX(Input!$1:$1048576,AW$93,$C224*2+6)</f>
        <v>Kia</v>
      </c>
      <c r="AX224" s="41" t="str">
        <f>INDEX(Input!$1:$1048576,AX$93,$C224*2+6)</f>
        <v>Kia-LR - L2</v>
      </c>
      <c r="AY224" s="41" t="str">
        <f>IF(LEN(D224)=0,"",INDEX(Input!$1:$1048576,AY$93,$C224*2+6))</f>
        <v>Compact SUV (52)</v>
      </c>
      <c r="AZ224" s="41" t="str">
        <f>INDEX(Input!$1:$1048576,AZ$93,$C224*2+6)</f>
        <v>Kia Soul</v>
      </c>
      <c r="BA224" s="3">
        <f>INDEX(Input!$1:$1048576,BA$93,$C224*2+6)</f>
        <v>2020</v>
      </c>
      <c r="BB224" s="128">
        <f>INDEX(Input!$1:$1048576,BB$93,$C224*2+6)</f>
        <v>1</v>
      </c>
      <c r="BC224" s="128">
        <f>INDEX(Input!$1:$1048576,BC$93,$C224*2+6)</f>
        <v>0.7</v>
      </c>
      <c r="BD224" s="1">
        <f>INDEX(Input!$1:$1048576,BD$93,$C224*2+6)</f>
        <v>4.4999999999999998E-2</v>
      </c>
      <c r="BE224" s="1">
        <f>INDEX(Input!$1:$1048576,BE$93,$C224*2+6)</f>
        <v>4.4999999999999998E-2</v>
      </c>
      <c r="BF224" s="1">
        <f>INDEX(Input!$1:$1048576,BF$93,$C224*2+6)</f>
        <v>0.05</v>
      </c>
      <c r="BG224" s="1">
        <f>INDEX(Input!$1:$1048576,BG$93,$C224*2+6)</f>
        <v>5.45E-2</v>
      </c>
      <c r="BH224" s="1">
        <f>INDEX(Input!$1:$1048576,BH$93,$C224*2+6)</f>
        <v>5.45E-2</v>
      </c>
      <c r="BI224" s="1">
        <f>INDEX(Input!$1:$1048576,BI$93,$C224*2+6)</f>
        <v>0.05</v>
      </c>
      <c r="BJ224" s="1">
        <f>INDEX(Input!$1:$1048576,BJ$93,$C224*2+6)</f>
        <v>0.05</v>
      </c>
      <c r="BK224" s="1">
        <f>INDEX(Input!$1:$1048576,BK$93,$C224*2+6)</f>
        <v>0.05</v>
      </c>
      <c r="BL224" s="1">
        <f>INDEX(Input!$1:$1048576,BL$93,$C224*2+6)</f>
        <v>5.5E-2</v>
      </c>
      <c r="BM224" s="1">
        <f>INDEX(Input!$1:$1048576,BM$93,$C224*2+6)</f>
        <v>0.06</v>
      </c>
      <c r="BN224" s="1">
        <f>INDEX(Input!$1:$1048576,BN$93,$C224*2+6)</f>
        <v>4.4999999999999998E-2</v>
      </c>
      <c r="BO224" s="1">
        <f>INDEX(Input!$1:$1048576,BO$93,$C224*2+6)</f>
        <v>4.4999999999999998E-2</v>
      </c>
      <c r="BP224" s="1">
        <f>INDEX(Input!$1:$1048576,BP$93,$C224*2+6)</f>
        <v>0.05</v>
      </c>
      <c r="BQ224" s="1">
        <f>INDEX(Input!$1:$1048576,BQ$93,$C224*2+6)</f>
        <v>5.45E-2</v>
      </c>
      <c r="BR224" s="1">
        <f>INDEX(Input!$1:$1048576,BR$93,$C224*2+6)</f>
        <v>5.45E-2</v>
      </c>
      <c r="BS224" s="1">
        <f>INDEX(Input!$1:$1048576,BS$93,$C224*2+6)</f>
        <v>0.05</v>
      </c>
      <c r="BT224" s="1">
        <f>INDEX(Input!$1:$1048576,BT$93,$C224*2+6)</f>
        <v>0.05</v>
      </c>
      <c r="BU224" s="1">
        <f>INDEX(Input!$1:$1048576,BU$93,$C224*2+6)</f>
        <v>0.05</v>
      </c>
      <c r="BV224" s="1">
        <f>INDEX(Input!$1:$1048576,BV$93,$C224*2+6)</f>
        <v>5.5E-2</v>
      </c>
      <c r="BW224" s="1">
        <f>INDEX(Input!$1:$1048576,BW$93,$C224*2+6)</f>
        <v>0.06</v>
      </c>
      <c r="BX224" s="127">
        <f>INDEX(Input!$1:$1048576,BX$93,$C224*2+6)</f>
        <v>19985</v>
      </c>
      <c r="BY224" s="20">
        <f>INDEX(Input!$1:$1048576,BY$93,$C224*2+6)</f>
        <v>0.1</v>
      </c>
      <c r="BZ224" s="20">
        <f>INDEX(Input!$1:$1048576,BZ$93,$C224*2+6)</f>
        <v>0.1</v>
      </c>
      <c r="CA224" s="20">
        <f>INDEX(Input!$1:$1048576,CA$93,$C224*2+6)</f>
        <v>0.1</v>
      </c>
      <c r="CB224" s="20">
        <f>INDEX(Input!$1:$1048576,CB$93,$C224*2+6)</f>
        <v>0.1</v>
      </c>
      <c r="CC224" s="20">
        <f>INDEX(Input!$1:$1048576,CC$93,$C224*2+6)</f>
        <v>0.1</v>
      </c>
      <c r="CD224" s="384">
        <f>INDEX(Input!$1:$1048576,CD$93,$C224*2+6)</f>
        <v>0.1</v>
      </c>
      <c r="CE224" s="384">
        <f>INDEX(Input!$1:$1048576,CE$93,$C224*2+6)</f>
        <v>0.1</v>
      </c>
      <c r="CF224" s="384">
        <f>INDEX(Input!$1:$1048576,CF$93,$C224*2+6)</f>
        <v>0.1</v>
      </c>
      <c r="CG224" s="384">
        <f>INDEX(Input!$1:$1048576,CG$93,$C224*2+6)</f>
        <v>0.1</v>
      </c>
      <c r="CH224" s="384">
        <f>INDEX(Input!$1:$1048576,CH$93,$C224*2+6)</f>
        <v>0.1</v>
      </c>
      <c r="CI224" s="304">
        <f t="shared" si="499"/>
        <v>1269.7618664521319</v>
      </c>
      <c r="CJ224" s="16" t="str">
        <f>INDEX(Input!$1:$1048576,CJ$93,$C224*2+6)</f>
        <v>N</v>
      </c>
      <c r="CK224" s="1" t="str">
        <f t="shared" si="500"/>
        <v>Market</v>
      </c>
      <c r="CL224" s="1" t="str">
        <f t="shared" si="501"/>
        <v>Market</v>
      </c>
      <c r="CM224" s="1" t="str">
        <f t="shared" si="502"/>
        <v>Market</v>
      </c>
      <c r="CN224" s="1" t="str">
        <f t="shared" si="503"/>
        <v>Market</v>
      </c>
      <c r="CO224" s="1" t="str">
        <f t="shared" si="504"/>
        <v>Market</v>
      </c>
      <c r="CP224" s="304">
        <f t="shared" si="505"/>
        <v>473</v>
      </c>
      <c r="CQ224" s="1">
        <f t="shared" si="506"/>
        <v>0</v>
      </c>
      <c r="CR224" s="1">
        <f t="shared" si="507"/>
        <v>0</v>
      </c>
      <c r="CS224" s="1">
        <f t="shared" si="508"/>
        <v>0</v>
      </c>
      <c r="CT224" s="1">
        <f t="shared" si="509"/>
        <v>0</v>
      </c>
      <c r="CU224" s="1">
        <f t="shared" si="510"/>
        <v>3.9E-2</v>
      </c>
      <c r="CV224" s="304">
        <f t="shared" si="511"/>
        <v>56</v>
      </c>
      <c r="CW224" s="20" t="s">
        <v>122</v>
      </c>
      <c r="CX224" s="20" t="s">
        <v>122</v>
      </c>
      <c r="CY224" s="20" t="s">
        <v>122</v>
      </c>
      <c r="CZ224" s="20" t="s">
        <v>122</v>
      </c>
      <c r="DA224" s="20" t="s">
        <v>122</v>
      </c>
      <c r="DB224" s="503">
        <f t="shared" si="512"/>
        <v>0</v>
      </c>
      <c r="DC224" s="127">
        <v>0</v>
      </c>
      <c r="DD224" s="127">
        <v>0</v>
      </c>
      <c r="DE224" s="127">
        <v>0</v>
      </c>
      <c r="DF224" s="127">
        <v>0</v>
      </c>
      <c r="DG224" s="127">
        <v>0</v>
      </c>
      <c r="DH224" s="127">
        <v>0</v>
      </c>
      <c r="DI224" s="127">
        <v>0</v>
      </c>
      <c r="DJ224" s="127">
        <v>0</v>
      </c>
      <c r="DK224" s="127">
        <v>0</v>
      </c>
      <c r="DL224" s="127">
        <v>0</v>
      </c>
      <c r="DM224" s="304">
        <f>INDEX(Input!$1:$1048576,DM$93,$C224*2+6)</f>
        <v>21036.84210526316</v>
      </c>
      <c r="DN224" s="20">
        <v>0</v>
      </c>
      <c r="DO224" s="20">
        <v>0</v>
      </c>
      <c r="DP224" s="20">
        <v>0</v>
      </c>
      <c r="DQ224" s="20">
        <v>0</v>
      </c>
      <c r="DR224" s="20">
        <v>0</v>
      </c>
      <c r="DS224" s="20">
        <f>INDEX(Input!$1:$1048576,DS$93,$C224*2+6)</f>
        <v>0.6</v>
      </c>
      <c r="DT224" s="20">
        <f>INDEX(Input!$1:$1048576,DT$93,$C224*2+6)</f>
        <v>0.55000000000000004</v>
      </c>
      <c r="DU224" s="20">
        <f>INDEX(Input!$1:$1048576,DU$93,$C224*2+6)</f>
        <v>0.52</v>
      </c>
      <c r="DV224" s="20">
        <f>INDEX(Input!$1:$1048576,DV$93,$C224*2+6)</f>
        <v>0.5</v>
      </c>
      <c r="DW224" s="20">
        <f>INDEX(Input!$1:$1048576,DW$93,$C224*2+6)</f>
        <v>0.45</v>
      </c>
      <c r="DX224" s="20"/>
      <c r="DY224" s="7">
        <v>8.9278922540123831E-2</v>
      </c>
      <c r="DZ224" s="7">
        <v>0</v>
      </c>
      <c r="EA224" s="7">
        <v>0.63248042593193499</v>
      </c>
      <c r="EB224" s="7">
        <v>0</v>
      </c>
      <c r="EC224" s="7">
        <v>0</v>
      </c>
      <c r="ED224" s="7">
        <v>0</v>
      </c>
      <c r="EE224" s="7">
        <v>0</v>
      </c>
      <c r="EF224" s="7">
        <v>0</v>
      </c>
      <c r="EG224" s="7">
        <v>0</v>
      </c>
      <c r="EH224" s="7">
        <v>8.7696485018434779E-3</v>
      </c>
      <c r="EI224" s="7">
        <v>2.4960667308072046E-2</v>
      </c>
      <c r="EJ224" s="7">
        <v>0.18889505752786168</v>
      </c>
      <c r="EK224" s="7">
        <v>0.70902261372595299</v>
      </c>
      <c r="EL224" s="7">
        <v>6.8352012936269066E-2</v>
      </c>
      <c r="EM224" s="7">
        <v>8.9965034989533302E-2</v>
      </c>
      <c r="EN224" s="7">
        <v>6.5539268114932089E-2</v>
      </c>
      <c r="EO224" s="7">
        <v>0.73221341107955351</v>
      </c>
      <c r="EP224" s="7">
        <v>8.7597341225358005E-2</v>
      </c>
      <c r="EQ224" s="7">
        <v>7.4716897618910177E-2</v>
      </c>
      <c r="ER224" s="7">
        <v>3.9933081961246113E-2</v>
      </c>
      <c r="ES224" s="7">
        <v>0.18827561653840796</v>
      </c>
      <c r="ET224" s="7">
        <v>0.27824065152794109</v>
      </c>
      <c r="EU224" s="6">
        <v>1294</v>
      </c>
      <c r="EV224" s="6">
        <v>0</v>
      </c>
      <c r="EW224" s="6">
        <v>1294</v>
      </c>
      <c r="EX224" s="6">
        <v>0</v>
      </c>
      <c r="EY224" s="6">
        <v>2698.0591985876367</v>
      </c>
      <c r="EZ224" s="6">
        <v>946</v>
      </c>
      <c r="FA224" s="6">
        <v>0</v>
      </c>
      <c r="FB224" s="6">
        <v>0</v>
      </c>
      <c r="FC224" s="6">
        <v>0</v>
      </c>
      <c r="FD224" s="6">
        <v>0</v>
      </c>
      <c r="FE224" s="6">
        <v>0</v>
      </c>
      <c r="FF224" s="6">
        <v>0</v>
      </c>
      <c r="FG224" s="6">
        <v>0</v>
      </c>
      <c r="FH224" s="6">
        <v>1173.7313591253376</v>
      </c>
      <c r="FI224" s="6">
        <v>1553.9796069512399</v>
      </c>
      <c r="FJ224" s="6">
        <v>2101.211011744741</v>
      </c>
      <c r="FK224" s="6">
        <v>2674.2006261592273</v>
      </c>
      <c r="FL224" s="6">
        <v>907.07682140966313</v>
      </c>
      <c r="FM224" s="6">
        <v>2404.0591985876367</v>
      </c>
      <c r="FN224" s="6">
        <v>0</v>
      </c>
      <c r="FO224" s="6">
        <v>0</v>
      </c>
      <c r="FP224" s="6">
        <v>0</v>
      </c>
      <c r="FQ224" s="6">
        <v>0</v>
      </c>
      <c r="FR224" s="6">
        <v>0</v>
      </c>
      <c r="FS224" s="6">
        <v>0</v>
      </c>
      <c r="FT224" s="7">
        <v>0.7217593484720588</v>
      </c>
      <c r="FU224" s="7">
        <v>8.9965034989533302E-2</v>
      </c>
      <c r="FV224" s="7">
        <v>0.18827561653840796</v>
      </c>
      <c r="FW224" s="6">
        <v>1294</v>
      </c>
      <c r="FX224" s="6">
        <v>2698.0591985876367</v>
      </c>
      <c r="FY224" s="6">
        <v>946</v>
      </c>
      <c r="FZ224" s="6">
        <v>1817.4615072224267</v>
      </c>
      <c r="GA224" s="6">
        <v>1354.7963203729471</v>
      </c>
      <c r="GB224" s="6">
        <v>18630.203679627051</v>
      </c>
      <c r="GC224" s="7">
        <v>1.804905384453976E-2</v>
      </c>
      <c r="GD224" s="7">
        <v>1.733100455733504E-2</v>
      </c>
      <c r="GE224" s="7"/>
      <c r="GF224" s="7"/>
      <c r="GG224" s="7">
        <v>-3.9783209324401568E-2</v>
      </c>
      <c r="GH224" s="42">
        <v>1.7184509683172406</v>
      </c>
      <c r="GI224" s="6">
        <v>12984.456036279715</v>
      </c>
      <c r="GJ224" s="14">
        <v>0.50394797582841711</v>
      </c>
      <c r="GK224" s="14">
        <v>0.50887573065309721</v>
      </c>
      <c r="GL224" s="14">
        <v>0.49605202417158245</v>
      </c>
      <c r="GM224" s="14">
        <v>0.49112426934690234</v>
      </c>
      <c r="GO224" s="5">
        <v>343.14810671672558</v>
      </c>
      <c r="GP224" s="5">
        <v>318.46105531198077</v>
      </c>
      <c r="GQ224" s="5">
        <v>535.04305713031317</v>
      </c>
      <c r="GR224" s="5">
        <v>410.15490233172511</v>
      </c>
      <c r="GS224" s="5">
        <v>339.42744393800166</v>
      </c>
      <c r="GT224" s="5">
        <v>293.4407446948278</v>
      </c>
      <c r="GU224" s="5">
        <v>258.04012322764959</v>
      </c>
      <c r="GV224" s="39" t="s">
        <v>392</v>
      </c>
      <c r="GW224" s="5">
        <v>491.45833333333331</v>
      </c>
      <c r="GX224" s="5">
        <v>368.59375</v>
      </c>
      <c r="GY224" s="5">
        <v>294.875</v>
      </c>
      <c r="GZ224" s="5">
        <v>245.72916666666666</v>
      </c>
      <c r="HA224" s="5">
        <v>241.02179695997205</v>
      </c>
      <c r="HB224" s="39">
        <v>259.91255389317917</v>
      </c>
      <c r="HC224" s="5">
        <v>245.89687499999999</v>
      </c>
      <c r="HD224" s="5">
        <v>211.55677997076018</v>
      </c>
      <c r="HE224" s="5">
        <v>214.73562331309037</v>
      </c>
      <c r="HF224" s="5">
        <v>199.03250548245612</v>
      </c>
      <c r="HG224" s="5">
        <v>192.49971491228069</v>
      </c>
      <c r="HH224" s="39">
        <v>212.38908061531899</v>
      </c>
      <c r="HI224" s="16"/>
      <c r="HJ224" s="19" t="str">
        <f t="shared" si="726"/>
        <v>On</v>
      </c>
      <c r="HK224" s="1" t="str">
        <f t="shared" si="726"/>
        <v>On</v>
      </c>
      <c r="HL224" s="16"/>
      <c r="HM224" s="639">
        <f t="shared" si="634"/>
        <v>1.2768706344444866E-2</v>
      </c>
      <c r="HN224" s="639">
        <f t="shared" si="635"/>
        <v>9.795534288915453E-4</v>
      </c>
      <c r="HO224" s="639">
        <f t="shared" si="636"/>
        <v>3.3583061774515237E-3</v>
      </c>
      <c r="HP224" s="644">
        <f>(FT224*$GD224-HM224)/$JF224*INDEX(Input!$1:$1048576,$JG$93,$C224*2+6)</f>
        <v>-18.884298104742804</v>
      </c>
      <c r="HQ224" s="644">
        <f>(FU224*$GD224-HN224)/$JF224*INDEX(Input!$1:$1048576,$JG$93,$C224*2+6)</f>
        <v>42.11723955562821</v>
      </c>
      <c r="HR224" s="644">
        <f>(FV224*$GD224-HO224)/$JF224*INDEX(Input!$1:$1048576,$JG$93,$C224*2+6)</f>
        <v>-6.9247479338106004</v>
      </c>
      <c r="HS224" s="644">
        <f t="shared" si="729"/>
        <v>-3.3717078792081572</v>
      </c>
      <c r="HT224" s="644">
        <f t="shared" si="638"/>
        <v>55.195793330913446</v>
      </c>
      <c r="HU224" s="644">
        <f t="shared" si="639"/>
        <v>1.8825165017739875</v>
      </c>
      <c r="HV224" s="648">
        <f t="shared" si="640"/>
        <v>0</v>
      </c>
      <c r="HW224" s="648">
        <f t="shared" si="641"/>
        <v>0</v>
      </c>
      <c r="HX224" s="648">
        <f t="shared" si="642"/>
        <v>0</v>
      </c>
      <c r="HY224" s="644">
        <f>INDEX(Input!$1:$1048576,HY$93,$C224*2+6)*INDEX(Input!$1:$1048576,$JG$93,$C224*2+6)</f>
        <v>451</v>
      </c>
      <c r="HZ224" s="644">
        <f>INDEX(Input!$1:$1048576,HZ$93,$C224*2+6)*INDEX(Input!$1:$1048576,$JG$93,$C224*2+6)</f>
        <v>577</v>
      </c>
      <c r="IA224" s="644">
        <f>INDEX(Input!$1:$1048576,IA$93,$C224*2+6)*INDEX(Input!$1:$1048576,$JG$93,$C224*2+6)</f>
        <v>215</v>
      </c>
      <c r="IB224" s="644">
        <f t="shared" si="666"/>
        <v>428.74399401604887</v>
      </c>
      <c r="IC224" s="644">
        <f t="shared" si="667"/>
        <v>674.31303288654169</v>
      </c>
      <c r="ID224" s="644">
        <f>IF(AND(INDEX(Input!$1:$1048576,IA$93,$C224*2+7)="TOS",Y224&lt;=INDEX(Y:Y,MATCH(C224*1000+2,A:A))),0,1)*MAX(IA224+HR224+HU224+HX224,0%)</f>
        <v>209.95776856796337</v>
      </c>
      <c r="IE224" s="128">
        <f t="shared" si="730"/>
        <v>0.32653401583521152</v>
      </c>
      <c r="IF224" s="128">
        <f t="shared" si="643"/>
        <v>0.51356087929297367</v>
      </c>
      <c r="IG224" s="128">
        <f t="shared" si="644"/>
        <v>0.15990510487181478</v>
      </c>
      <c r="IH224" s="21"/>
      <c r="II224" s="19">
        <f t="shared" si="645"/>
        <v>1252</v>
      </c>
      <c r="IJ224" s="19">
        <f t="shared" si="646"/>
        <v>2011.9658773055378</v>
      </c>
      <c r="IK224" s="19">
        <f t="shared" si="647"/>
        <v>919</v>
      </c>
      <c r="IL224" s="19">
        <f t="shared" si="669"/>
        <v>42</v>
      </c>
      <c r="IM224" s="19">
        <f t="shared" si="648"/>
        <v>686.09332128209894</v>
      </c>
      <c r="IN224" s="19">
        <f t="shared" si="649"/>
        <v>27</v>
      </c>
      <c r="IO224" s="39">
        <f t="shared" si="650"/>
        <v>0</v>
      </c>
      <c r="IP224" s="39">
        <f t="shared" si="651"/>
        <v>0</v>
      </c>
      <c r="IQ224" s="39">
        <f t="shared" si="652"/>
        <v>0</v>
      </c>
      <c r="IR224" s="39">
        <v>0</v>
      </c>
      <c r="IS224" s="39">
        <v>0</v>
      </c>
      <c r="IT224" s="39">
        <v>0</v>
      </c>
      <c r="IU224" s="39">
        <v>0</v>
      </c>
      <c r="IV224" s="39">
        <v>0</v>
      </c>
      <c r="IW224" s="39">
        <v>0</v>
      </c>
      <c r="IX224" s="39">
        <f>INDEX(Input!$1:$1048576,IX$93,$C224*2+6)+INDEX(Input!$1:$1048576,IX$94,$C224*2+6)</f>
        <v>1294</v>
      </c>
      <c r="IY224" s="39">
        <f>INDEX(Input!$1:$1048576,IY$93,$C224*2+6)+INDEX(Input!$1:$1048576,IY$94,$C224*2+6)</f>
        <v>2154.0624533823611</v>
      </c>
      <c r="IZ224" s="39">
        <f>INDEX(Input!$1:$1048576,IZ$93,$C224*2+6)+INDEX(Input!$1:$1048576,IZ$94,$C224*2+6)</f>
        <v>3677.7164157747848</v>
      </c>
      <c r="JA224" s="19">
        <f t="shared" si="670"/>
        <v>1336</v>
      </c>
      <c r="JB224" s="19">
        <f t="shared" si="671"/>
        <v>2840.1557746644603</v>
      </c>
      <c r="JC224" s="19">
        <f t="shared" si="672"/>
        <v>3704.7164157747848</v>
      </c>
      <c r="JD224" s="19">
        <f t="shared" si="673"/>
        <v>2487.24540910634</v>
      </c>
      <c r="JE224" s="21"/>
      <c r="JF224" s="1">
        <f t="shared" si="653"/>
        <v>1.7106565950787935E-2</v>
      </c>
      <c r="JG224" s="15">
        <f>INDEX(Input!$1:$1048576,JG$93,$C224*2+6)/(1+VLOOKUP(C224*1000+INDEX(Input!$1:$1048576,JG$93+1,$C224*2+6),$A:$KK,$JK$92,FALSE))</f>
        <v>1243</v>
      </c>
      <c r="JH224" s="1">
        <f t="shared" si="674"/>
        <v>1.3120026964661951E-2</v>
      </c>
      <c r="JI224" s="1">
        <f t="shared" si="675"/>
        <v>4.3207242118647848E-2</v>
      </c>
      <c r="JJ224" s="1">
        <f t="shared" si="731"/>
        <v>0</v>
      </c>
      <c r="JK224" s="1">
        <f t="shared" si="732"/>
        <v>5.6327269083309803E-2</v>
      </c>
      <c r="JL224" s="15">
        <f t="shared" si="678"/>
        <v>70.014795470554091</v>
      </c>
      <c r="JM224" s="15">
        <f t="shared" si="702"/>
        <v>1313.0147954705542</v>
      </c>
      <c r="JN224" s="21"/>
      <c r="JO224" s="19">
        <f>INDEX(Input!$1:$1048576,JO$93,$C224*2+6)</f>
        <v>5995.5</v>
      </c>
      <c r="JP224" s="19">
        <f>INDEX(Input!$1:$1048576,JP$93,$C224*2+6)</f>
        <v>2105.548724853742</v>
      </c>
      <c r="JQ224" s="39">
        <f t="shared" si="688"/>
        <v>3508.25459089366</v>
      </c>
      <c r="JR224" s="39">
        <f t="shared" si="705"/>
        <v>381.69668425259806</v>
      </c>
      <c r="JS224" s="39">
        <f t="shared" si="690"/>
        <v>3.2657900221228355</v>
      </c>
      <c r="JT224" s="39">
        <f t="shared" si="680"/>
        <v>0.6485929571296345</v>
      </c>
      <c r="JU224" s="385">
        <f>(JQ224*JM224-INDEX(Input!$1:$1048576,Input!A$18,$C224*2+6)*JL224*INDEX(Input!$1:$1048576,Input!A$19,$C224*2+6))/1000000</f>
        <v>4.6063901841208716</v>
      </c>
      <c r="JV224" s="39">
        <f t="shared" si="712"/>
        <v>-0.22881925088592681</v>
      </c>
      <c r="JW224" s="1">
        <f t="shared" si="703"/>
        <v>-4.732354491809207E-2</v>
      </c>
      <c r="JX224" s="19">
        <f t="shared" si="694"/>
        <v>9263.6556712132551</v>
      </c>
      <c r="JZ224" s="341"/>
      <c r="KA224" s="342"/>
      <c r="KB224" s="469">
        <f t="shared" si="691"/>
        <v>2.5660492421988774</v>
      </c>
      <c r="KI224" s="473">
        <f t="shared" si="719"/>
        <v>-22.256005983951013</v>
      </c>
      <c r="KJ224" s="473">
        <f t="shared" si="720"/>
        <v>97.313032886541805</v>
      </c>
      <c r="KK224" s="473">
        <f t="shared" si="682"/>
        <v>-5.0422314320366013</v>
      </c>
      <c r="KN224" s="544">
        <f t="shared" si="695"/>
        <v>2002</v>
      </c>
      <c r="KO224" s="541">
        <f t="shared" si="657"/>
        <v>5.0103656817488407E-2</v>
      </c>
      <c r="KP224" s="546">
        <f t="shared" si="658"/>
        <v>330.78054870122594</v>
      </c>
      <c r="KQ224" s="546">
        <f t="shared" si="659"/>
        <v>343.56506967286714</v>
      </c>
      <c r="KR224" s="548">
        <f t="shared" si="660"/>
        <v>2.7024423320959956</v>
      </c>
      <c r="KS224" s="548">
        <f t="shared" si="661"/>
        <v>2.6018807974142852</v>
      </c>
      <c r="KT224" s="473">
        <f t="shared" si="693"/>
        <v>843.26993010479111</v>
      </c>
      <c r="KU224" s="663">
        <f t="shared" si="683"/>
        <v>4.4759298444435265</v>
      </c>
      <c r="KV224" s="117"/>
    </row>
    <row r="225" spans="1:308" s="26" customFormat="1" ht="15">
      <c r="A225" s="561">
        <f t="shared" si="662"/>
        <v>2025</v>
      </c>
      <c r="B225" s="561">
        <f t="shared" si="684"/>
        <v>25</v>
      </c>
      <c r="C225" s="561">
        <f t="shared" si="105"/>
        <v>2</v>
      </c>
      <c r="D225" s="561" t="str">
        <f t="shared" si="728"/>
        <v xml:space="preserve">0.9/1.9/2.9/3.9, </v>
      </c>
      <c r="E225" s="475">
        <f>INDEX(Input!$1:$1048576,E$93,$C225*2+MIN($B225,2)+5)
+INDEX(Scenarios!E$121:E$200,MATCH($B225,Scenarios!$B$121:$B$200,0))</f>
        <v>1269.7618664521319</v>
      </c>
      <c r="F225" s="475">
        <f>INDEX(Input!$1:$1048576,F$93,$C225*2+MIN($B225,2)+5)
+INDEX(Scenarios!F$121:F$200,MATCH($B225,Scenarios!$B$121:$B$200,0))</f>
        <v>0</v>
      </c>
      <c r="G225" s="475">
        <f>INDEX(Input!$1:$1048576,G$93,$C225*2+MIN($B225,2)+5)
+INDEX(Scenarios!G$121:G$200,MATCH($B225,Scenarios!$B$121:$B$200,0))</f>
        <v>0</v>
      </c>
      <c r="H225" s="475">
        <f>INDEX(Input!$1:$1048576,H$93,$C225*2+MIN($B225,2)+5)
+INDEX(Scenarios!H$121:H$200,MATCH($B225,Scenarios!$B$121:$B$200,0))</f>
        <v>0</v>
      </c>
      <c r="I225" s="476">
        <f>INDEX(Input!$1:$1048576,I$93,$C225*2+MIN($B225,2)+5)</f>
        <v>0.7</v>
      </c>
      <c r="J225" s="476" t="str">
        <f>INDEX(Input!$1:$1048576,J$93,$C225*2+MIN($B225,2)+5)</f>
        <v>Market</v>
      </c>
      <c r="K225" s="476" t="str">
        <f>INDEX(Input!$1:$1048576,K$93,$C225*2+MIN($B225,2)+5)</f>
        <v>Market</v>
      </c>
      <c r="L225" s="476" t="str">
        <f>INDEX(Input!$1:$1048576,L$93,$C225*2+MIN($B225,2)+5)</f>
        <v>Market</v>
      </c>
      <c r="M225" s="476" t="str">
        <f>INDEX(Input!$1:$1048576,M$93,$C225*2+MIN($B225,2)+5)</f>
        <v>Market</v>
      </c>
      <c r="N225" s="476" t="str">
        <f>INDEX(Input!$1:$1048576,N$93,$C225*2+MIN($B225,2)+5)</f>
        <v>Market</v>
      </c>
      <c r="O225" s="476" t="str">
        <f>INDEX(Input!$1:$1048576,O$93,$C225*2+MIN($B225,2)+5)</f>
        <v>Market</v>
      </c>
      <c r="P225" s="476" t="str">
        <f>INDEX(Input!$1:$1048576,P$93,$C225*2+MIN($B225,2)+5)</f>
        <v>N</v>
      </c>
      <c r="Q225" s="477">
        <f>INDEX(Input!$1:$1048576,Q$93,$C225*2+MIN($B225,2)+5)
+INDEX(Scenarios!Q$121:Q$200,MATCH($B225,Scenarios!$B$121:$B$200,0))</f>
        <v>0</v>
      </c>
      <c r="R225" s="478">
        <f>IFERROR(MAX(0,INDEX(Input!$1:$1048576,R$93,$C225*2+MIN($B225,2)+5)
+INDEX(Scenarios!R$121:R$200,MATCH($B225,Scenarios!$B$121:$B$200,0)),),"Market")</f>
        <v>9.0000000000000011E-3</v>
      </c>
      <c r="S225" s="478">
        <f>IFERROR(MAX(0,INDEX(Input!$1:$1048576,S$93,$C225*2+MIN($B225,2)+5)
+INDEX(Scenarios!S$121:S$200,MATCH($B225,Scenarios!$B$121:$B$200,0)),),"Market")</f>
        <v>9.0000000000000011E-3</v>
      </c>
      <c r="T225" s="478">
        <f>IFERROR(MAX(0,INDEX(Input!$1:$1048576,T$93,$C225*2+MIN($B225,2)+5)
+INDEX(Scenarios!T$121:T$200,MATCH($B225,Scenarios!$B$121:$B$200,0)),),"Market")</f>
        <v>9.0000000000000011E-3</v>
      </c>
      <c r="U225" s="478">
        <f>IFERROR(MAX(0,INDEX(Input!$1:$1048576,U$93,$C225*2+MIN($B225,2)+5)
+INDEX(Scenarios!U$121:U$200,MATCH($B225,Scenarios!$B$121:$B$200,0)),),"Market")</f>
        <v>9.0000000000000011E-3</v>
      </c>
      <c r="V225" s="478">
        <f>IFERROR(MAX(0,INDEX(Input!$1:$1048576,V$93,$C225*2+MIN($B225,2)+5)
+INDEX(Scenarios!V$121:V$200,MATCH($B225,Scenarios!$B$121:$B$200,0)),),"Market")</f>
        <v>2.8999999999999998E-2</v>
      </c>
      <c r="W225" s="885">
        <f>IFERROR(MAX(0,INDEX(Input!$1:$1048576,W$93,$C225*2+MIN($B225,2)+5)-0%,),"Market")</f>
        <v>3.9E-2</v>
      </c>
      <c r="X225" s="476" t="str">
        <f>INDEX(Input!$1:$1048576,X$93,$C225*2+MIN($B225,2)+5)</f>
        <v>Y</v>
      </c>
      <c r="Y225" s="475">
        <f>INDEX(Input!$1:$1048576,Y$93,$C225*2+MIN($B225,2)+5)
++INDEX(Scenarios!Y$121:Y$200,MATCH($B225,Scenarios!$B$121:$B$200,0))</f>
        <v>56</v>
      </c>
      <c r="Z225" s="477">
        <f>INDEX(Input!$1:$1048576,Z$93,$C225*2+MIN($B225,2)+5)
+INDEX(Scenarios!Z$121:Z$200,MATCH($B225,Scenarios!$B$121:$B$200,0))</f>
        <v>0</v>
      </c>
      <c r="AA225" s="475">
        <f>INDEX(Input!$1:$1048576,AA$93,$C225*2+MIN($B225,2)+5)
+INDEX(Scenarios!AA$121:AA$200,MATCH($B225,Scenarios!$B$121:$B$200,0))</f>
        <v>0</v>
      </c>
      <c r="AB225" s="476">
        <f>INDEX(Input!$1:$1048576,AB$93,$C225*2+MIN($B225,2)+5)</f>
        <v>0.27</v>
      </c>
      <c r="AC225" s="475">
        <f>INDEX(Input!$1:$1048576,AC$93,$C225*2+MIN($B225,2)+5)
+INDEX(Scenarios!AC$121:AC$200,MATCH($B225,Scenarios!$B$121:$B$200,0))</f>
        <v>0</v>
      </c>
      <c r="AD225" s="476">
        <f>INDEX(Input!$1:$1048576,AD$93,$C225*2+MIN($B225,2)+5)</f>
        <v>0.27</v>
      </c>
      <c r="AE225" s="475">
        <f>INDEX(Input!$1:$1048576,AE$93,$C225*2+MIN($B225,2)+5)
+INDEX(Scenarios!AE$121:AE$200,MATCH($B225,Scenarios!$B$121:$B$200,0))</f>
        <v>0</v>
      </c>
      <c r="AF225" s="476">
        <f>INDEX(Input!$1:$1048576,AF$93,$C225*2+MIN($B225,2)+5)</f>
        <v>4.8000000000000001E-2</v>
      </c>
      <c r="AG225" s="475">
        <f>INDEX(Input!$1:$1048576,AG$93,$C225*2+MIN($B225,2)+5)
+INDEX(Scenarios!AG$121:AG$200,MATCH($B225,Scenarios!$B$121:$B$200,0))</f>
        <v>500</v>
      </c>
      <c r="AH225" s="476">
        <f>INDEX(Input!$1:$1048576,AH$93,$C225*2+MIN($B225,2)+5)</f>
        <v>0.94599999999999995</v>
      </c>
      <c r="AI225" s="475">
        <f>INDEX(Input!$1:$1048576,AI$93,$C225*2+MIN($B225,2)+5)
+INDEX(Scenarios!AI$121:AI$200,MATCH($B225,Scenarios!$B$121:$B$200,0))</f>
        <v>0</v>
      </c>
      <c r="AJ225" s="476">
        <f>INDEX(Input!$1:$1048576,AJ$93,$C225*2+MIN($B225,2)+5)</f>
        <v>0.27</v>
      </c>
      <c r="AK225" s="150">
        <f>ROUND(INDEX(Input!$1:$1048576,AK$93,$C224*2+MIN($B225,1)+5)+(Y225-VLOOKUP($C225*1000+1,$A:$HH,Y$92,FALSE)),0)</f>
        <v>2977</v>
      </c>
      <c r="AL225" s="150">
        <f>ROUND(INDEX(Input!$1:$1048576,AL$93,$C224*2+MIN($B225,1)+5)-(Y225-VLOOKUP($C225*1000+1,$A:$HH,Y$92,FALSE))/36,0)</f>
        <v>3395</v>
      </c>
      <c r="AM225" s="32" t="str">
        <f t="shared" si="663"/>
        <v>std/std/std/std</v>
      </c>
      <c r="AN225" s="32" t="str">
        <f t="shared" si="664"/>
        <v>$0 + 0.9/0.9/0.9/2.9/3.9</v>
      </c>
      <c r="AO225" s="32" t="str">
        <f t="shared" si="665"/>
        <v>0.9/0.9/0.9/2.9/3.9</v>
      </c>
      <c r="AP225" s="32" t="str">
        <f t="shared" si="498"/>
        <v>0.9/1.9/2.9/3.9</v>
      </c>
      <c r="AQ225" s="536">
        <f t="shared" si="497"/>
        <v>0.38455739891835439</v>
      </c>
      <c r="AR225" s="32"/>
      <c r="AS225" s="302"/>
      <c r="AT225" s="3">
        <f t="shared" si="717"/>
        <v>25</v>
      </c>
      <c r="AU225" s="41" t="s">
        <v>121</v>
      </c>
      <c r="AV225" s="41" t="s">
        <v>116</v>
      </c>
      <c r="AW225" s="41" t="str">
        <f>INDEX(Input!$1:$1048576,AW$93,$C225*2+6)</f>
        <v>Kia</v>
      </c>
      <c r="AX225" s="41" t="str">
        <f>INDEX(Input!$1:$1048576,AX$93,$C225*2+6)</f>
        <v>Kia-LR - L2</v>
      </c>
      <c r="AY225" s="41" t="str">
        <f>IF(LEN(D225)=0,"",INDEX(Input!$1:$1048576,AY$93,$C225*2+6))</f>
        <v>Compact SUV (52)</v>
      </c>
      <c r="AZ225" s="41" t="str">
        <f>INDEX(Input!$1:$1048576,AZ$93,$C225*2+6)</f>
        <v>Kia Soul</v>
      </c>
      <c r="BA225" s="3">
        <f>INDEX(Input!$1:$1048576,BA$93,$C225*2+6)</f>
        <v>2020</v>
      </c>
      <c r="BB225" s="128">
        <f>INDEX(Input!$1:$1048576,BB$93,$C225*2+6)</f>
        <v>1</v>
      </c>
      <c r="BC225" s="128">
        <f>INDEX(Input!$1:$1048576,BC$93,$C225*2+6)</f>
        <v>0.7</v>
      </c>
      <c r="BD225" s="1">
        <f>INDEX(Input!$1:$1048576,BD$93,$C225*2+6)</f>
        <v>4.4999999999999998E-2</v>
      </c>
      <c r="BE225" s="1">
        <f>INDEX(Input!$1:$1048576,BE$93,$C225*2+6)</f>
        <v>4.4999999999999998E-2</v>
      </c>
      <c r="BF225" s="1">
        <f>INDEX(Input!$1:$1048576,BF$93,$C225*2+6)</f>
        <v>0.05</v>
      </c>
      <c r="BG225" s="1">
        <f>INDEX(Input!$1:$1048576,BG$93,$C225*2+6)</f>
        <v>5.45E-2</v>
      </c>
      <c r="BH225" s="1">
        <f>INDEX(Input!$1:$1048576,BH$93,$C225*2+6)</f>
        <v>5.45E-2</v>
      </c>
      <c r="BI225" s="1">
        <f>INDEX(Input!$1:$1048576,BI$93,$C225*2+6)</f>
        <v>0.05</v>
      </c>
      <c r="BJ225" s="1">
        <f>INDEX(Input!$1:$1048576,BJ$93,$C225*2+6)</f>
        <v>0.05</v>
      </c>
      <c r="BK225" s="1">
        <f>INDEX(Input!$1:$1048576,BK$93,$C225*2+6)</f>
        <v>0.05</v>
      </c>
      <c r="BL225" s="1">
        <f>INDEX(Input!$1:$1048576,BL$93,$C225*2+6)</f>
        <v>5.5E-2</v>
      </c>
      <c r="BM225" s="1">
        <f>INDEX(Input!$1:$1048576,BM$93,$C225*2+6)</f>
        <v>0.06</v>
      </c>
      <c r="BN225" s="1">
        <f>INDEX(Input!$1:$1048576,BN$93,$C225*2+6)</f>
        <v>4.4999999999999998E-2</v>
      </c>
      <c r="BO225" s="1">
        <f>INDEX(Input!$1:$1048576,BO$93,$C225*2+6)</f>
        <v>4.4999999999999998E-2</v>
      </c>
      <c r="BP225" s="1">
        <f>INDEX(Input!$1:$1048576,BP$93,$C225*2+6)</f>
        <v>0.05</v>
      </c>
      <c r="BQ225" s="1">
        <f>INDEX(Input!$1:$1048576,BQ$93,$C225*2+6)</f>
        <v>5.45E-2</v>
      </c>
      <c r="BR225" s="1">
        <f>INDEX(Input!$1:$1048576,BR$93,$C225*2+6)</f>
        <v>5.45E-2</v>
      </c>
      <c r="BS225" s="1">
        <f>INDEX(Input!$1:$1048576,BS$93,$C225*2+6)</f>
        <v>0.05</v>
      </c>
      <c r="BT225" s="1">
        <f>INDEX(Input!$1:$1048576,BT$93,$C225*2+6)</f>
        <v>0.05</v>
      </c>
      <c r="BU225" s="1">
        <f>INDEX(Input!$1:$1048576,BU$93,$C225*2+6)</f>
        <v>0.05</v>
      </c>
      <c r="BV225" s="1">
        <f>INDEX(Input!$1:$1048576,BV$93,$C225*2+6)</f>
        <v>5.5E-2</v>
      </c>
      <c r="BW225" s="1">
        <f>INDEX(Input!$1:$1048576,BW$93,$C225*2+6)</f>
        <v>0.06</v>
      </c>
      <c r="BX225" s="127">
        <f>INDEX(Input!$1:$1048576,BX$93,$C225*2+6)</f>
        <v>19985</v>
      </c>
      <c r="BY225" s="20">
        <f>INDEX(Input!$1:$1048576,BY$93,$C225*2+6)</f>
        <v>0.1</v>
      </c>
      <c r="BZ225" s="20">
        <f>INDEX(Input!$1:$1048576,BZ$93,$C225*2+6)</f>
        <v>0.1</v>
      </c>
      <c r="CA225" s="20">
        <f>INDEX(Input!$1:$1048576,CA$93,$C225*2+6)</f>
        <v>0.1</v>
      </c>
      <c r="CB225" s="20">
        <f>INDEX(Input!$1:$1048576,CB$93,$C225*2+6)</f>
        <v>0.1</v>
      </c>
      <c r="CC225" s="20">
        <f>INDEX(Input!$1:$1048576,CC$93,$C225*2+6)</f>
        <v>0.1</v>
      </c>
      <c r="CD225" s="384">
        <f>INDEX(Input!$1:$1048576,CD$93,$C225*2+6)</f>
        <v>0.1</v>
      </c>
      <c r="CE225" s="384">
        <f>INDEX(Input!$1:$1048576,CE$93,$C225*2+6)</f>
        <v>0.1</v>
      </c>
      <c r="CF225" s="384">
        <f>INDEX(Input!$1:$1048576,CF$93,$C225*2+6)</f>
        <v>0.1</v>
      </c>
      <c r="CG225" s="384">
        <f>INDEX(Input!$1:$1048576,CG$93,$C225*2+6)</f>
        <v>0.1</v>
      </c>
      <c r="CH225" s="384">
        <f>INDEX(Input!$1:$1048576,CH$93,$C225*2+6)</f>
        <v>0.1</v>
      </c>
      <c r="CI225" s="304">
        <f t="shared" si="499"/>
        <v>1269.7618664521319</v>
      </c>
      <c r="CJ225" s="16" t="str">
        <f>INDEX(Input!$1:$1048576,CJ$93,$C225*2+6)</f>
        <v>N</v>
      </c>
      <c r="CK225" s="1" t="str">
        <f t="shared" si="500"/>
        <v>Market</v>
      </c>
      <c r="CL225" s="1" t="str">
        <f t="shared" si="501"/>
        <v>Market</v>
      </c>
      <c r="CM225" s="1" t="str">
        <f t="shared" si="502"/>
        <v>Market</v>
      </c>
      <c r="CN225" s="1" t="str">
        <f t="shared" si="503"/>
        <v>Market</v>
      </c>
      <c r="CO225" s="1" t="str">
        <f t="shared" si="504"/>
        <v>Market</v>
      </c>
      <c r="CP225" s="304">
        <f t="shared" si="505"/>
        <v>473</v>
      </c>
      <c r="CQ225" s="1">
        <f t="shared" si="506"/>
        <v>9.0000000000000011E-3</v>
      </c>
      <c r="CR225" s="1">
        <f t="shared" si="507"/>
        <v>9.0000000000000011E-3</v>
      </c>
      <c r="CS225" s="1">
        <f t="shared" si="508"/>
        <v>9.0000000000000011E-3</v>
      </c>
      <c r="CT225" s="1">
        <f t="shared" si="509"/>
        <v>2.8999999999999998E-2</v>
      </c>
      <c r="CU225" s="1">
        <f t="shared" si="510"/>
        <v>3.9E-2</v>
      </c>
      <c r="CV225" s="304">
        <f t="shared" si="511"/>
        <v>56</v>
      </c>
      <c r="CW225" s="20" t="s">
        <v>122</v>
      </c>
      <c r="CX225" s="20" t="s">
        <v>122</v>
      </c>
      <c r="CY225" s="20" t="s">
        <v>122</v>
      </c>
      <c r="CZ225" s="20" t="s">
        <v>122</v>
      </c>
      <c r="DA225" s="20" t="s">
        <v>122</v>
      </c>
      <c r="DB225" s="503">
        <f t="shared" si="512"/>
        <v>0</v>
      </c>
      <c r="DC225" s="127">
        <v>0</v>
      </c>
      <c r="DD225" s="127">
        <v>0</v>
      </c>
      <c r="DE225" s="127">
        <v>0</v>
      </c>
      <c r="DF225" s="127">
        <v>0</v>
      </c>
      <c r="DG225" s="127">
        <v>0</v>
      </c>
      <c r="DH225" s="127">
        <v>0</v>
      </c>
      <c r="DI225" s="127">
        <v>0</v>
      </c>
      <c r="DJ225" s="127">
        <v>0</v>
      </c>
      <c r="DK225" s="127">
        <v>0</v>
      </c>
      <c r="DL225" s="127">
        <v>0</v>
      </c>
      <c r="DM225" s="304">
        <f>INDEX(Input!$1:$1048576,DM$93,$C225*2+6)</f>
        <v>21036.84210526316</v>
      </c>
      <c r="DN225" s="20">
        <v>0</v>
      </c>
      <c r="DO225" s="20">
        <v>0</v>
      </c>
      <c r="DP225" s="20">
        <v>0</v>
      </c>
      <c r="DQ225" s="20">
        <v>0</v>
      </c>
      <c r="DR225" s="20">
        <v>0</v>
      </c>
      <c r="DS225" s="20">
        <f>INDEX(Input!$1:$1048576,DS$93,$C225*2+6)</f>
        <v>0.6</v>
      </c>
      <c r="DT225" s="20">
        <f>INDEX(Input!$1:$1048576,DT$93,$C225*2+6)</f>
        <v>0.55000000000000004</v>
      </c>
      <c r="DU225" s="20">
        <f>INDEX(Input!$1:$1048576,DU$93,$C225*2+6)</f>
        <v>0.52</v>
      </c>
      <c r="DV225" s="20">
        <f>INDEX(Input!$1:$1048576,DV$93,$C225*2+6)</f>
        <v>0.5</v>
      </c>
      <c r="DW225" s="20">
        <f>INDEX(Input!$1:$1048576,DW$93,$C225*2+6)</f>
        <v>0.45</v>
      </c>
      <c r="DX225" s="20"/>
      <c r="DY225" s="7">
        <v>9.4101809630930081E-2</v>
      </c>
      <c r="DZ225" s="7">
        <v>0</v>
      </c>
      <c r="EA225" s="7">
        <v>0.6658063451727424</v>
      </c>
      <c r="EB225" s="7">
        <v>0</v>
      </c>
      <c r="EC225" s="7">
        <v>0</v>
      </c>
      <c r="ED225" s="7">
        <v>0</v>
      </c>
      <c r="EE225" s="7">
        <v>0</v>
      </c>
      <c r="EF225" s="7">
        <v>0</v>
      </c>
      <c r="EG225" s="7">
        <v>0</v>
      </c>
      <c r="EH225" s="7">
        <v>1.637316875677516E-2</v>
      </c>
      <c r="EI225" s="7">
        <v>4.3484725310430544E-2</v>
      </c>
      <c r="EJ225" s="7">
        <v>0.31089221038343667</v>
      </c>
      <c r="EK225" s="7">
        <v>0.47425220413577596</v>
      </c>
      <c r="EL225" s="7">
        <v>0.15499769141358197</v>
      </c>
      <c r="EM225" s="7">
        <v>4.1832277439201267E-2</v>
      </c>
      <c r="EN225" s="7">
        <v>6.5536071569629817E-2</v>
      </c>
      <c r="EO225" s="7">
        <v>0.73222710318239115</v>
      </c>
      <c r="EP225" s="7">
        <v>8.758592949494387E-2</v>
      </c>
      <c r="EQ225" s="7">
        <v>7.4716124168561368E-2</v>
      </c>
      <c r="ER225" s="7">
        <v>3.993477158447338E-2</v>
      </c>
      <c r="ES225" s="7">
        <v>0.19825956775712636</v>
      </c>
      <c r="ET225" s="7">
        <v>0.24009184519632754</v>
      </c>
      <c r="EU225" s="6">
        <v>1294</v>
      </c>
      <c r="EV225" s="6">
        <v>0</v>
      </c>
      <c r="EW225" s="6">
        <v>1294</v>
      </c>
      <c r="EX225" s="6">
        <v>0</v>
      </c>
      <c r="EY225" s="6">
        <v>1653.2324212826056</v>
      </c>
      <c r="EZ225" s="6">
        <v>946</v>
      </c>
      <c r="FA225" s="6">
        <v>0</v>
      </c>
      <c r="FB225" s="6">
        <v>0</v>
      </c>
      <c r="FC225" s="6">
        <v>0</v>
      </c>
      <c r="FD225" s="6">
        <v>0</v>
      </c>
      <c r="FE225" s="6">
        <v>0</v>
      </c>
      <c r="FF225" s="6">
        <v>0</v>
      </c>
      <c r="FG225" s="6">
        <v>0</v>
      </c>
      <c r="FH225" s="6">
        <v>942.06768549967933</v>
      </c>
      <c r="FI225" s="6">
        <v>1250.2588059868272</v>
      </c>
      <c r="FJ225" s="6">
        <v>1735.1562230702798</v>
      </c>
      <c r="FK225" s="6">
        <v>1284.9687470586859</v>
      </c>
      <c r="FL225" s="6">
        <v>907.07682140966301</v>
      </c>
      <c r="FM225" s="6">
        <v>1359.2324212826056</v>
      </c>
      <c r="FN225" s="6">
        <v>0</v>
      </c>
      <c r="FO225" s="6">
        <v>0</v>
      </c>
      <c r="FP225" s="6">
        <v>0</v>
      </c>
      <c r="FQ225" s="6">
        <v>0</v>
      </c>
      <c r="FR225" s="6">
        <v>0</v>
      </c>
      <c r="FS225" s="6">
        <v>0</v>
      </c>
      <c r="FT225" s="7">
        <v>0.75990815480367246</v>
      </c>
      <c r="FU225" s="7">
        <v>4.1832277439201267E-2</v>
      </c>
      <c r="FV225" s="7">
        <v>0.19825956775712636</v>
      </c>
      <c r="FW225" s="6">
        <v>1294</v>
      </c>
      <c r="FX225" s="6">
        <v>1653.2324212826056</v>
      </c>
      <c r="FY225" s="6">
        <v>946</v>
      </c>
      <c r="FZ225" s="6">
        <v>1817.4615072224267</v>
      </c>
      <c r="GA225" s="6">
        <v>1240.0331807327702</v>
      </c>
      <c r="GB225" s="6">
        <v>18744.966819267229</v>
      </c>
      <c r="GC225" s="7">
        <v>1.804905384453976E-2</v>
      </c>
      <c r="GD225" s="7">
        <v>1.7122598440203571E-2</v>
      </c>
      <c r="GE225" s="7"/>
      <c r="GF225" s="7"/>
      <c r="GG225" s="7">
        <v>-5.1329859853925942E-2</v>
      </c>
      <c r="GH225" s="42">
        <v>1.7765447279266542</v>
      </c>
      <c r="GI225" s="6">
        <v>12489.398133859404</v>
      </c>
      <c r="GJ225" s="14">
        <v>0.50394797582841733</v>
      </c>
      <c r="GK225" s="14">
        <v>0.50887573065309732</v>
      </c>
      <c r="GL225" s="14">
        <v>0.49605202417158278</v>
      </c>
      <c r="GM225" s="14">
        <v>0.49112426934690234</v>
      </c>
      <c r="GO225" s="5">
        <v>343.14810671672558</v>
      </c>
      <c r="GP225" s="5">
        <v>318.46105531198077</v>
      </c>
      <c r="GQ225" s="5">
        <v>535.04305713031317</v>
      </c>
      <c r="GR225" s="5">
        <v>410.15490233172511</v>
      </c>
      <c r="GS225" s="5">
        <v>339.42744393800166</v>
      </c>
      <c r="GT225" s="5">
        <v>293.4407446948278</v>
      </c>
      <c r="GU225" s="5">
        <v>258.04012322764959</v>
      </c>
      <c r="GV225" s="39" t="s">
        <v>392</v>
      </c>
      <c r="GW225" s="5">
        <v>498.30713922084982</v>
      </c>
      <c r="GX225" s="5">
        <v>375.40643523046037</v>
      </c>
      <c r="GY225" s="5">
        <v>301.66999163600519</v>
      </c>
      <c r="GZ225" s="5">
        <v>268.02332273190535</v>
      </c>
      <c r="HA225" s="5">
        <v>241.02179695997205</v>
      </c>
      <c r="HB225" s="39">
        <v>282.73863677955313</v>
      </c>
      <c r="HC225" s="5">
        <v>245.89687499999999</v>
      </c>
      <c r="HD225" s="5">
        <v>211.55677997076018</v>
      </c>
      <c r="HE225" s="5">
        <v>214.73562331309037</v>
      </c>
      <c r="HF225" s="5">
        <v>199.03250548245612</v>
      </c>
      <c r="HG225" s="5">
        <v>192.49971491228069</v>
      </c>
      <c r="HH225" s="39">
        <v>212.38891205719096</v>
      </c>
      <c r="HI225" s="16"/>
      <c r="HJ225" s="19" t="str">
        <f t="shared" si="726"/>
        <v>On</v>
      </c>
      <c r="HK225" s="1" t="str">
        <f t="shared" si="726"/>
        <v>On</v>
      </c>
      <c r="HL225" s="16"/>
      <c r="HM225" s="639">
        <f t="shared" si="634"/>
        <v>1.2768706344444866E-2</v>
      </c>
      <c r="HN225" s="639">
        <f t="shared" si="635"/>
        <v>9.795534288915453E-4</v>
      </c>
      <c r="HO225" s="639">
        <f t="shared" si="636"/>
        <v>3.3583061774515237E-3</v>
      </c>
      <c r="HP225" s="644">
        <f>(FT225*$GD225-HM225)/$JF225*INDEX(Input!$1:$1048576,$JG$93,$C225*2+6)</f>
        <v>17.64933605580369</v>
      </c>
      <c r="HQ225" s="644">
        <f>(FU225*$GD225-HN225)/$JF225*INDEX(Input!$1:$1048576,$JG$93,$C225*2+6)</f>
        <v>-19.130212547296416</v>
      </c>
      <c r="HR225" s="644">
        <f>(FV225*$GD225-HO225)/$JF225*INDEX(Input!$1:$1048576,$JG$93,$C225*2+6)</f>
        <v>2.6458317724629761</v>
      </c>
      <c r="HS225" s="644">
        <f t="shared" si="729"/>
        <v>-2.2212994454956916</v>
      </c>
      <c r="HT225" s="644">
        <f t="shared" si="638"/>
        <v>-29.780009141746678</v>
      </c>
      <c r="HU225" s="644">
        <f t="shared" si="639"/>
        <v>0.73210806806152184</v>
      </c>
      <c r="HV225" s="648">
        <f t="shared" si="640"/>
        <v>0</v>
      </c>
      <c r="HW225" s="648">
        <f t="shared" si="641"/>
        <v>0</v>
      </c>
      <c r="HX225" s="648">
        <f t="shared" si="642"/>
        <v>0</v>
      </c>
      <c r="HY225" s="644">
        <f>INDEX(Input!$1:$1048576,HY$93,$C225*2+6)*INDEX(Input!$1:$1048576,$JG$93,$C225*2+6)</f>
        <v>451</v>
      </c>
      <c r="HZ225" s="644">
        <f>INDEX(Input!$1:$1048576,HZ$93,$C225*2+6)*INDEX(Input!$1:$1048576,$JG$93,$C225*2+6)</f>
        <v>577</v>
      </c>
      <c r="IA225" s="644">
        <f>INDEX(Input!$1:$1048576,IA$93,$C225*2+6)*INDEX(Input!$1:$1048576,$JG$93,$C225*2+6)</f>
        <v>215</v>
      </c>
      <c r="IB225" s="644">
        <f t="shared" si="666"/>
        <v>466.42803661030803</v>
      </c>
      <c r="IC225" s="644">
        <f t="shared" si="667"/>
        <v>528.08977831095694</v>
      </c>
      <c r="ID225" s="644">
        <f>IF(AND(INDEX(Input!$1:$1048576,IA$93,$C225*2+7)="TOS",Y225&lt;=INDEX(Y:Y,MATCH(C225*1000+2,A:A))),0,1)*MAX(IA225+HR225+HU225+HX225,0%)</f>
        <v>218.3779398405245</v>
      </c>
      <c r="IE225" s="128">
        <f t="shared" si="730"/>
        <v>0.38455739891835439</v>
      </c>
      <c r="IF225" s="128">
        <f t="shared" si="643"/>
        <v>0.43539585016906324</v>
      </c>
      <c r="IG225" s="128">
        <f t="shared" si="644"/>
        <v>0.18004675091258238</v>
      </c>
      <c r="IH225" s="21"/>
      <c r="II225" s="19">
        <f t="shared" si="645"/>
        <v>1252</v>
      </c>
      <c r="IJ225" s="19">
        <f t="shared" si="646"/>
        <v>2011.9658773055378</v>
      </c>
      <c r="IK225" s="19">
        <f t="shared" si="647"/>
        <v>919</v>
      </c>
      <c r="IL225" s="19">
        <f t="shared" si="669"/>
        <v>42</v>
      </c>
      <c r="IM225" s="19">
        <f t="shared" si="648"/>
        <v>-358.73345602293216</v>
      </c>
      <c r="IN225" s="19">
        <f t="shared" si="649"/>
        <v>27</v>
      </c>
      <c r="IO225" s="39">
        <f t="shared" si="650"/>
        <v>0</v>
      </c>
      <c r="IP225" s="39">
        <f t="shared" si="651"/>
        <v>0</v>
      </c>
      <c r="IQ225" s="39">
        <f t="shared" si="652"/>
        <v>0</v>
      </c>
      <c r="IR225" s="39">
        <v>0</v>
      </c>
      <c r="IS225" s="39">
        <v>0</v>
      </c>
      <c r="IT225" s="39">
        <v>0</v>
      </c>
      <c r="IU225" s="39">
        <v>0</v>
      </c>
      <c r="IV225" s="39">
        <v>0</v>
      </c>
      <c r="IW225" s="39">
        <v>0</v>
      </c>
      <c r="IX225" s="39">
        <f>INDEX(Input!$1:$1048576,IX$93,$C225*2+6)+INDEX(Input!$1:$1048576,IX$94,$C225*2+6)</f>
        <v>1294</v>
      </c>
      <c r="IY225" s="39">
        <f>INDEX(Input!$1:$1048576,IY$93,$C225*2+6)+INDEX(Input!$1:$1048576,IY$94,$C225*2+6)</f>
        <v>2154.0624533823611</v>
      </c>
      <c r="IZ225" s="39">
        <f>INDEX(Input!$1:$1048576,IZ$93,$C225*2+6)+INDEX(Input!$1:$1048576,IZ$94,$C225*2+6)</f>
        <v>3677.7164157747848</v>
      </c>
      <c r="JA225" s="19">
        <f t="shared" si="670"/>
        <v>1336</v>
      </c>
      <c r="JB225" s="19">
        <f t="shared" si="671"/>
        <v>1795.328997359429</v>
      </c>
      <c r="JC225" s="19">
        <f t="shared" si="672"/>
        <v>3704.7164157747848</v>
      </c>
      <c r="JD225" s="19">
        <f t="shared" si="673"/>
        <v>1962.4696338061594</v>
      </c>
      <c r="JE225" s="21"/>
      <c r="JF225" s="1">
        <f t="shared" si="653"/>
        <v>1.7106565950787935E-2</v>
      </c>
      <c r="JG225" s="15">
        <f>INDEX(Input!$1:$1048576,JG$93,$C225*2+6)/(1+VLOOKUP(C225*1000+INDEX(Input!$1:$1048576,JG$93+1,$C225*2+6),$A:$KK,$JK$92,FALSE))</f>
        <v>1243</v>
      </c>
      <c r="JH225" s="1">
        <f t="shared" si="674"/>
        <v>9.3721261542256652E-4</v>
      </c>
      <c r="JI225" s="1">
        <f t="shared" si="675"/>
        <v>-2.5156235333210659E-2</v>
      </c>
      <c r="JJ225" s="1">
        <f t="shared" si="731"/>
        <v>0</v>
      </c>
      <c r="JK225" s="1">
        <f t="shared" si="732"/>
        <v>-2.4219022717788093E-2</v>
      </c>
      <c r="JL225" s="15">
        <f t="shared" si="678"/>
        <v>-30.104245238210599</v>
      </c>
      <c r="JM225" s="15">
        <f t="shared" si="702"/>
        <v>1212.8957547617895</v>
      </c>
      <c r="JN225" s="21"/>
      <c r="JO225" s="19">
        <f>INDEX(Input!$1:$1048576,JO$93,$C225*2+6)</f>
        <v>5995.5</v>
      </c>
      <c r="JP225" s="19">
        <f>INDEX(Input!$1:$1048576,JP$93,$C225*2+6)</f>
        <v>2105.548724853742</v>
      </c>
      <c r="JQ225" s="39">
        <f t="shared" si="688"/>
        <v>4033.0303661938406</v>
      </c>
      <c r="JR225" s="39">
        <f t="shared" si="705"/>
        <v>-143.07909104758255</v>
      </c>
      <c r="JS225" s="39">
        <f t="shared" si="690"/>
        <v>2.3802710876924142</v>
      </c>
      <c r="JT225" s="39">
        <f t="shared" si="680"/>
        <v>-0.23692597730078688</v>
      </c>
      <c r="JU225" s="385">
        <f>(JQ225*JM225-INDEX(Input!$1:$1048576,Input!A$18,$C225*2+6)*JL225*INDEX(Input!$1:$1048576,Input!A$19,$C225*2+6))/1000000</f>
        <v>4.8916454099818942</v>
      </c>
      <c r="JV225" s="39">
        <f t="shared" si="712"/>
        <v>5.6435974975095782E-2</v>
      </c>
      <c r="JW225" s="1">
        <f t="shared" si="703"/>
        <v>1.1671878071402802E-2</v>
      </c>
      <c r="JX225" s="19">
        <f t="shared" si="694"/>
        <v>7870.1849332552738</v>
      </c>
      <c r="JZ225" s="341"/>
      <c r="KA225" s="342"/>
      <c r="KB225" s="469">
        <f t="shared" si="691"/>
        <v>2.5660492421988774</v>
      </c>
      <c r="KI225" s="473">
        <f t="shared" si="719"/>
        <v>15.428036610308027</v>
      </c>
      <c r="KJ225" s="473">
        <f t="shared" si="720"/>
        <v>-48.910221689043055</v>
      </c>
      <c r="KK225" s="473">
        <f t="shared" si="682"/>
        <v>3.3779398405245047</v>
      </c>
      <c r="KN225" s="544">
        <f t="shared" si="695"/>
        <v>2002</v>
      </c>
      <c r="KO225" s="541">
        <f t="shared" si="657"/>
        <v>-2.9968076667932664E-2</v>
      </c>
      <c r="KP225" s="546">
        <f t="shared" si="658"/>
        <v>-174.47817865556149</v>
      </c>
      <c r="KQ225" s="546">
        <f t="shared" si="659"/>
        <v>-181.21070562731347</v>
      </c>
      <c r="KR225" s="548">
        <f t="shared" si="660"/>
        <v>3.0643948691168292</v>
      </c>
      <c r="KS225" s="548">
        <f t="shared" si="661"/>
        <v>2.9505433114121846</v>
      </c>
      <c r="KT225" s="473">
        <f t="shared" si="693"/>
        <v>843.26993010479111</v>
      </c>
      <c r="KU225" s="663">
        <f t="shared" si="683"/>
        <v>4.4637445377003111</v>
      </c>
      <c r="KV225" s="117"/>
    </row>
    <row r="226" spans="1:308" s="26" customFormat="1" ht="15">
      <c r="A226" s="561">
        <f t="shared" si="662"/>
        <v>2026</v>
      </c>
      <c r="B226" s="561">
        <f t="shared" si="684"/>
        <v>26</v>
      </c>
      <c r="C226" s="561">
        <f t="shared" si="105"/>
        <v>2</v>
      </c>
      <c r="D226" s="561" t="str">
        <f t="shared" si="728"/>
        <v xml:space="preserve">1.9/2.9/3.9/3.9, </v>
      </c>
      <c r="E226" s="475">
        <f>INDEX(Input!$1:$1048576,E$93,$C226*2+MIN($B226,2)+5)
+INDEX(Scenarios!E$121:E$200,MATCH($B226,Scenarios!$B$121:$B$200,0))</f>
        <v>1269.7618664521319</v>
      </c>
      <c r="F226" s="475">
        <f>INDEX(Input!$1:$1048576,F$93,$C226*2+MIN($B226,2)+5)
+INDEX(Scenarios!F$121:F$200,MATCH($B226,Scenarios!$B$121:$B$200,0))</f>
        <v>0</v>
      </c>
      <c r="G226" s="475">
        <f>INDEX(Input!$1:$1048576,G$93,$C226*2+MIN($B226,2)+5)
+INDEX(Scenarios!G$121:G$200,MATCH($B226,Scenarios!$B$121:$B$200,0))</f>
        <v>0</v>
      </c>
      <c r="H226" s="475">
        <f>INDEX(Input!$1:$1048576,H$93,$C226*2+MIN($B226,2)+5)
+INDEX(Scenarios!H$121:H$200,MATCH($B226,Scenarios!$B$121:$B$200,0))</f>
        <v>0</v>
      </c>
      <c r="I226" s="476">
        <f>INDEX(Input!$1:$1048576,I$93,$C226*2+MIN($B226,2)+5)</f>
        <v>0.7</v>
      </c>
      <c r="J226" s="476" t="str">
        <f>INDEX(Input!$1:$1048576,J$93,$C226*2+MIN($B226,2)+5)</f>
        <v>Market</v>
      </c>
      <c r="K226" s="476" t="str">
        <f>INDEX(Input!$1:$1048576,K$93,$C226*2+MIN($B226,2)+5)</f>
        <v>Market</v>
      </c>
      <c r="L226" s="476" t="str">
        <f>INDEX(Input!$1:$1048576,L$93,$C226*2+MIN($B226,2)+5)</f>
        <v>Market</v>
      </c>
      <c r="M226" s="476" t="str">
        <f>INDEX(Input!$1:$1048576,M$93,$C226*2+MIN($B226,2)+5)</f>
        <v>Market</v>
      </c>
      <c r="N226" s="476" t="str">
        <f>INDEX(Input!$1:$1048576,N$93,$C226*2+MIN($B226,2)+5)</f>
        <v>Market</v>
      </c>
      <c r="O226" s="476" t="str">
        <f>INDEX(Input!$1:$1048576,O$93,$C226*2+MIN($B226,2)+5)</f>
        <v>Market</v>
      </c>
      <c r="P226" s="476" t="str">
        <f>INDEX(Input!$1:$1048576,P$93,$C226*2+MIN($B226,2)+5)</f>
        <v>N</v>
      </c>
      <c r="Q226" s="477">
        <f>INDEX(Input!$1:$1048576,Q$93,$C226*2+MIN($B226,2)+5)
+INDEX(Scenarios!Q$121:Q$200,MATCH($B226,Scenarios!$B$121:$B$200,0))</f>
        <v>0</v>
      </c>
      <c r="R226" s="478">
        <f>IFERROR(MAX(0,INDEX(Input!$1:$1048576,R$93,$C226*2+MIN($B226,2)+5)
+INDEX(Scenarios!R$121:R$200,MATCH($B226,Scenarios!$B$121:$B$200,0)),),"Market")</f>
        <v>1.9E-2</v>
      </c>
      <c r="S226" s="478">
        <f>IFERROR(MAX(0,INDEX(Input!$1:$1048576,S$93,$C226*2+MIN($B226,2)+5)
+INDEX(Scenarios!S$121:S$200,MATCH($B226,Scenarios!$B$121:$B$200,0)),),"Market")</f>
        <v>1.9E-2</v>
      </c>
      <c r="T226" s="478">
        <f>IFERROR(MAX(0,INDEX(Input!$1:$1048576,T$93,$C226*2+MIN($B226,2)+5)
+INDEX(Scenarios!T$121:T$200,MATCH($B226,Scenarios!$B$121:$B$200,0)),),"Market")</f>
        <v>1.9E-2</v>
      </c>
      <c r="U226" s="478">
        <f>IFERROR(MAX(0,INDEX(Input!$1:$1048576,U$93,$C226*2+MIN($B226,2)+5)
+INDEX(Scenarios!U$121:U$200,MATCH($B226,Scenarios!$B$121:$B$200,0)),),"Market")</f>
        <v>1.9E-2</v>
      </c>
      <c r="V226" s="478">
        <f>IFERROR(MAX(0,INDEX(Input!$1:$1048576,V$93,$C226*2+MIN($B226,2)+5)
+INDEX(Scenarios!V$121:V$200,MATCH($B226,Scenarios!$B$121:$B$200,0)),),"Market")</f>
        <v>3.9E-2</v>
      </c>
      <c r="W226" s="885">
        <f>IFERROR(MAX(0,INDEX(Input!$1:$1048576,W$93,$C226*2+MIN($B226,2)+5)-0%,),"Market")</f>
        <v>3.9E-2</v>
      </c>
      <c r="X226" s="476" t="str">
        <f>INDEX(Input!$1:$1048576,X$93,$C226*2+MIN($B226,2)+5)</f>
        <v>Y</v>
      </c>
      <c r="Y226" s="475">
        <f>INDEX(Input!$1:$1048576,Y$93,$C226*2+MIN($B226,2)+5)
++INDEX(Scenarios!Y$121:Y$200,MATCH($B226,Scenarios!$B$121:$B$200,0))</f>
        <v>56</v>
      </c>
      <c r="Z226" s="477">
        <f>INDEX(Input!$1:$1048576,Z$93,$C226*2+MIN($B226,2)+5)
+INDEX(Scenarios!Z$121:Z$200,MATCH($B226,Scenarios!$B$121:$B$200,0))</f>
        <v>0</v>
      </c>
      <c r="AA226" s="475">
        <f>INDEX(Input!$1:$1048576,AA$93,$C226*2+MIN($B226,2)+5)
+INDEX(Scenarios!AA$121:AA$200,MATCH($B226,Scenarios!$B$121:$B$200,0))</f>
        <v>0</v>
      </c>
      <c r="AB226" s="476">
        <f>INDEX(Input!$1:$1048576,AB$93,$C226*2+MIN($B226,2)+5)</f>
        <v>0.27</v>
      </c>
      <c r="AC226" s="475">
        <f>INDEX(Input!$1:$1048576,AC$93,$C226*2+MIN($B226,2)+5)
+INDEX(Scenarios!AC$121:AC$200,MATCH($B226,Scenarios!$B$121:$B$200,0))</f>
        <v>0</v>
      </c>
      <c r="AD226" s="476">
        <f>INDEX(Input!$1:$1048576,AD$93,$C226*2+MIN($B226,2)+5)</f>
        <v>0.27</v>
      </c>
      <c r="AE226" s="475">
        <f>INDEX(Input!$1:$1048576,AE$93,$C226*2+MIN($B226,2)+5)
+INDEX(Scenarios!AE$121:AE$200,MATCH($B226,Scenarios!$B$121:$B$200,0))</f>
        <v>0</v>
      </c>
      <c r="AF226" s="476">
        <f>INDEX(Input!$1:$1048576,AF$93,$C226*2+MIN($B226,2)+5)</f>
        <v>4.8000000000000001E-2</v>
      </c>
      <c r="AG226" s="475">
        <f>INDEX(Input!$1:$1048576,AG$93,$C226*2+MIN($B226,2)+5)
+INDEX(Scenarios!AG$121:AG$200,MATCH($B226,Scenarios!$B$121:$B$200,0))</f>
        <v>500</v>
      </c>
      <c r="AH226" s="476">
        <f>INDEX(Input!$1:$1048576,AH$93,$C226*2+MIN($B226,2)+5)</f>
        <v>0.94599999999999995</v>
      </c>
      <c r="AI226" s="475">
        <f>INDEX(Input!$1:$1048576,AI$93,$C226*2+MIN($B226,2)+5)
+INDEX(Scenarios!AI$121:AI$200,MATCH($B226,Scenarios!$B$121:$B$200,0))</f>
        <v>0</v>
      </c>
      <c r="AJ226" s="476">
        <f>INDEX(Input!$1:$1048576,AJ$93,$C226*2+MIN($B226,2)+5)</f>
        <v>0.27</v>
      </c>
      <c r="AK226" s="150">
        <f>ROUND(INDEX(Input!$1:$1048576,AK$93,$C225*2+MIN($B226,1)+5)+(Y226-VLOOKUP($C226*1000+1,$A:$HH,Y$92,FALSE)),0)</f>
        <v>2977</v>
      </c>
      <c r="AL226" s="150">
        <f>ROUND(INDEX(Input!$1:$1048576,AL$93,$C225*2+MIN($B226,1)+5)-(Y226-VLOOKUP($C226*1000+1,$A:$HH,Y$92,FALSE))/36,0)</f>
        <v>3395</v>
      </c>
      <c r="AM226" s="32" t="str">
        <f t="shared" si="663"/>
        <v>std/std/std/std</v>
      </c>
      <c r="AN226" s="32" t="str">
        <f t="shared" si="664"/>
        <v>$0 + 1.9/1.9/1.9/3.9/3.9</v>
      </c>
      <c r="AO226" s="32" t="str">
        <f t="shared" si="665"/>
        <v>1.9/1.9/1.9/3.9/3.9</v>
      </c>
      <c r="AP226" s="32" t="str">
        <f t="shared" si="498"/>
        <v>1.9/2.9/3.9/3.9</v>
      </c>
      <c r="AQ226" s="536">
        <f t="shared" si="497"/>
        <v>0.4038144427061649</v>
      </c>
      <c r="AR226" s="32"/>
      <c r="AS226" s="302"/>
      <c r="AT226" s="3">
        <f t="shared" si="717"/>
        <v>26</v>
      </c>
      <c r="AU226" s="41" t="s">
        <v>121</v>
      </c>
      <c r="AV226" s="41" t="s">
        <v>116</v>
      </c>
      <c r="AW226" s="41" t="str">
        <f>INDEX(Input!$1:$1048576,AW$93,$C226*2+6)</f>
        <v>Kia</v>
      </c>
      <c r="AX226" s="41" t="str">
        <f>INDEX(Input!$1:$1048576,AX$93,$C226*2+6)</f>
        <v>Kia-LR - L2</v>
      </c>
      <c r="AY226" s="41" t="str">
        <f>IF(LEN(D226)=0,"",INDEX(Input!$1:$1048576,AY$93,$C226*2+6))</f>
        <v>Compact SUV (52)</v>
      </c>
      <c r="AZ226" s="41" t="str">
        <f>INDEX(Input!$1:$1048576,AZ$93,$C226*2+6)</f>
        <v>Kia Soul</v>
      </c>
      <c r="BA226" s="3">
        <f>INDEX(Input!$1:$1048576,BA$93,$C226*2+6)</f>
        <v>2020</v>
      </c>
      <c r="BB226" s="128">
        <f>INDEX(Input!$1:$1048576,BB$93,$C226*2+6)</f>
        <v>1</v>
      </c>
      <c r="BC226" s="128">
        <f>INDEX(Input!$1:$1048576,BC$93,$C226*2+6)</f>
        <v>0.7</v>
      </c>
      <c r="BD226" s="1">
        <f>INDEX(Input!$1:$1048576,BD$93,$C226*2+6)</f>
        <v>4.4999999999999998E-2</v>
      </c>
      <c r="BE226" s="1">
        <f>INDEX(Input!$1:$1048576,BE$93,$C226*2+6)</f>
        <v>4.4999999999999998E-2</v>
      </c>
      <c r="BF226" s="1">
        <f>INDEX(Input!$1:$1048576,BF$93,$C226*2+6)</f>
        <v>0.05</v>
      </c>
      <c r="BG226" s="1">
        <f>INDEX(Input!$1:$1048576,BG$93,$C226*2+6)</f>
        <v>5.45E-2</v>
      </c>
      <c r="BH226" s="1">
        <f>INDEX(Input!$1:$1048576,BH$93,$C226*2+6)</f>
        <v>5.45E-2</v>
      </c>
      <c r="BI226" s="1">
        <f>INDEX(Input!$1:$1048576,BI$93,$C226*2+6)</f>
        <v>0.05</v>
      </c>
      <c r="BJ226" s="1">
        <f>INDEX(Input!$1:$1048576,BJ$93,$C226*2+6)</f>
        <v>0.05</v>
      </c>
      <c r="BK226" s="1">
        <f>INDEX(Input!$1:$1048576,BK$93,$C226*2+6)</f>
        <v>0.05</v>
      </c>
      <c r="BL226" s="1">
        <f>INDEX(Input!$1:$1048576,BL$93,$C226*2+6)</f>
        <v>5.5E-2</v>
      </c>
      <c r="BM226" s="1">
        <f>INDEX(Input!$1:$1048576,BM$93,$C226*2+6)</f>
        <v>0.06</v>
      </c>
      <c r="BN226" s="1">
        <f>INDEX(Input!$1:$1048576,BN$93,$C226*2+6)</f>
        <v>4.4999999999999998E-2</v>
      </c>
      <c r="BO226" s="1">
        <f>INDEX(Input!$1:$1048576,BO$93,$C226*2+6)</f>
        <v>4.4999999999999998E-2</v>
      </c>
      <c r="BP226" s="1">
        <f>INDEX(Input!$1:$1048576,BP$93,$C226*2+6)</f>
        <v>0.05</v>
      </c>
      <c r="BQ226" s="1">
        <f>INDEX(Input!$1:$1048576,BQ$93,$C226*2+6)</f>
        <v>5.45E-2</v>
      </c>
      <c r="BR226" s="1">
        <f>INDEX(Input!$1:$1048576,BR$93,$C226*2+6)</f>
        <v>5.45E-2</v>
      </c>
      <c r="BS226" s="1">
        <f>INDEX(Input!$1:$1048576,BS$93,$C226*2+6)</f>
        <v>0.05</v>
      </c>
      <c r="BT226" s="1">
        <f>INDEX(Input!$1:$1048576,BT$93,$C226*2+6)</f>
        <v>0.05</v>
      </c>
      <c r="BU226" s="1">
        <f>INDEX(Input!$1:$1048576,BU$93,$C226*2+6)</f>
        <v>0.05</v>
      </c>
      <c r="BV226" s="1">
        <f>INDEX(Input!$1:$1048576,BV$93,$C226*2+6)</f>
        <v>5.5E-2</v>
      </c>
      <c r="BW226" s="1">
        <f>INDEX(Input!$1:$1048576,BW$93,$C226*2+6)</f>
        <v>0.06</v>
      </c>
      <c r="BX226" s="127">
        <f>INDEX(Input!$1:$1048576,BX$93,$C226*2+6)</f>
        <v>19985</v>
      </c>
      <c r="BY226" s="20">
        <f>INDEX(Input!$1:$1048576,BY$93,$C226*2+6)</f>
        <v>0.1</v>
      </c>
      <c r="BZ226" s="20">
        <f>INDEX(Input!$1:$1048576,BZ$93,$C226*2+6)</f>
        <v>0.1</v>
      </c>
      <c r="CA226" s="20">
        <f>INDEX(Input!$1:$1048576,CA$93,$C226*2+6)</f>
        <v>0.1</v>
      </c>
      <c r="CB226" s="20">
        <f>INDEX(Input!$1:$1048576,CB$93,$C226*2+6)</f>
        <v>0.1</v>
      </c>
      <c r="CC226" s="20">
        <f>INDEX(Input!$1:$1048576,CC$93,$C226*2+6)</f>
        <v>0.1</v>
      </c>
      <c r="CD226" s="384">
        <f>INDEX(Input!$1:$1048576,CD$93,$C226*2+6)</f>
        <v>0.1</v>
      </c>
      <c r="CE226" s="384">
        <f>INDEX(Input!$1:$1048576,CE$93,$C226*2+6)</f>
        <v>0.1</v>
      </c>
      <c r="CF226" s="384">
        <f>INDEX(Input!$1:$1048576,CF$93,$C226*2+6)</f>
        <v>0.1</v>
      </c>
      <c r="CG226" s="384">
        <f>INDEX(Input!$1:$1048576,CG$93,$C226*2+6)</f>
        <v>0.1</v>
      </c>
      <c r="CH226" s="384">
        <f>INDEX(Input!$1:$1048576,CH$93,$C226*2+6)</f>
        <v>0.1</v>
      </c>
      <c r="CI226" s="304">
        <f t="shared" si="499"/>
        <v>1269.7618664521319</v>
      </c>
      <c r="CJ226" s="16" t="str">
        <f>INDEX(Input!$1:$1048576,CJ$93,$C226*2+6)</f>
        <v>N</v>
      </c>
      <c r="CK226" s="1" t="str">
        <f t="shared" si="500"/>
        <v>Market</v>
      </c>
      <c r="CL226" s="1" t="str">
        <f t="shared" si="501"/>
        <v>Market</v>
      </c>
      <c r="CM226" s="1" t="str">
        <f t="shared" si="502"/>
        <v>Market</v>
      </c>
      <c r="CN226" s="1" t="str">
        <f t="shared" si="503"/>
        <v>Market</v>
      </c>
      <c r="CO226" s="1" t="str">
        <f t="shared" si="504"/>
        <v>Market</v>
      </c>
      <c r="CP226" s="304">
        <f t="shared" si="505"/>
        <v>473</v>
      </c>
      <c r="CQ226" s="1">
        <f t="shared" si="506"/>
        <v>1.9E-2</v>
      </c>
      <c r="CR226" s="1">
        <f t="shared" si="507"/>
        <v>1.9E-2</v>
      </c>
      <c r="CS226" s="1">
        <f t="shared" si="508"/>
        <v>1.9E-2</v>
      </c>
      <c r="CT226" s="1">
        <f t="shared" si="509"/>
        <v>3.9E-2</v>
      </c>
      <c r="CU226" s="1">
        <f t="shared" si="510"/>
        <v>3.9E-2</v>
      </c>
      <c r="CV226" s="304">
        <f t="shared" si="511"/>
        <v>56</v>
      </c>
      <c r="CW226" s="20" t="s">
        <v>122</v>
      </c>
      <c r="CX226" s="20" t="s">
        <v>122</v>
      </c>
      <c r="CY226" s="20" t="s">
        <v>122</v>
      </c>
      <c r="CZ226" s="20" t="s">
        <v>122</v>
      </c>
      <c r="DA226" s="20" t="s">
        <v>122</v>
      </c>
      <c r="DB226" s="503">
        <f t="shared" si="512"/>
        <v>0</v>
      </c>
      <c r="DC226" s="127">
        <v>0</v>
      </c>
      <c r="DD226" s="127">
        <v>0</v>
      </c>
      <c r="DE226" s="127">
        <v>0</v>
      </c>
      <c r="DF226" s="127">
        <v>0</v>
      </c>
      <c r="DG226" s="127">
        <v>0</v>
      </c>
      <c r="DH226" s="127">
        <v>0</v>
      </c>
      <c r="DI226" s="127">
        <v>0</v>
      </c>
      <c r="DJ226" s="127">
        <v>0</v>
      </c>
      <c r="DK226" s="127">
        <v>0</v>
      </c>
      <c r="DL226" s="127">
        <v>0</v>
      </c>
      <c r="DM226" s="304">
        <f>INDEX(Input!$1:$1048576,DM$93,$C226*2+6)</f>
        <v>21036.84210526316</v>
      </c>
      <c r="DN226" s="20">
        <v>0</v>
      </c>
      <c r="DO226" s="20">
        <v>0</v>
      </c>
      <c r="DP226" s="20">
        <v>0</v>
      </c>
      <c r="DQ226" s="20">
        <v>0</v>
      </c>
      <c r="DR226" s="20">
        <v>0</v>
      </c>
      <c r="DS226" s="20">
        <f>INDEX(Input!$1:$1048576,DS$93,$C226*2+6)</f>
        <v>0.6</v>
      </c>
      <c r="DT226" s="20">
        <f>INDEX(Input!$1:$1048576,DT$93,$C226*2+6)</f>
        <v>0.55000000000000004</v>
      </c>
      <c r="DU226" s="20">
        <f>INDEX(Input!$1:$1048576,DU$93,$C226*2+6)</f>
        <v>0.52</v>
      </c>
      <c r="DV226" s="20">
        <f>INDEX(Input!$1:$1048576,DV$93,$C226*2+6)</f>
        <v>0.5</v>
      </c>
      <c r="DW226" s="20">
        <f>INDEX(Input!$1:$1048576,DW$93,$C226*2+6)</f>
        <v>0.45</v>
      </c>
      <c r="DX226" s="20"/>
      <c r="DY226" s="7">
        <v>9.5438668733074855E-2</v>
      </c>
      <c r="DZ226" s="7">
        <v>0</v>
      </c>
      <c r="EA226" s="7">
        <v>0.67420782380808164</v>
      </c>
      <c r="EB226" s="7">
        <v>0</v>
      </c>
      <c r="EC226" s="7">
        <v>0</v>
      </c>
      <c r="ED226" s="7">
        <v>0</v>
      </c>
      <c r="EE226" s="7">
        <v>0</v>
      </c>
      <c r="EF226" s="7">
        <v>0</v>
      </c>
      <c r="EG226" s="7">
        <v>0</v>
      </c>
      <c r="EH226" s="7">
        <v>1.865945074839076E-2</v>
      </c>
      <c r="EI226" s="7">
        <v>4.5917145586666805E-2</v>
      </c>
      <c r="EJ226" s="7">
        <v>0.31158340030971587</v>
      </c>
      <c r="EK226" s="7">
        <v>0.39959726866118395</v>
      </c>
      <c r="EL226" s="7">
        <v>0.22424273469404246</v>
      </c>
      <c r="EM226" s="7">
        <v>2.9327742073005928E-2</v>
      </c>
      <c r="EN226" s="7">
        <v>6.5532853716065625E-2</v>
      </c>
      <c r="EO226" s="7">
        <v>0.73223084364291902</v>
      </c>
      <c r="EP226" s="7">
        <v>8.7584009070994936E-2</v>
      </c>
      <c r="EQ226" s="7">
        <v>7.4715842617936123E-2</v>
      </c>
      <c r="ER226" s="7">
        <v>3.9936450952084188E-2</v>
      </c>
      <c r="ES226" s="7">
        <v>0.20102576538583763</v>
      </c>
      <c r="ET226" s="7">
        <v>0.23035350745884353</v>
      </c>
      <c r="EU226" s="6">
        <v>1294</v>
      </c>
      <c r="EV226" s="6">
        <v>0</v>
      </c>
      <c r="EW226" s="6">
        <v>1294</v>
      </c>
      <c r="EX226" s="6">
        <v>0</v>
      </c>
      <c r="EY226" s="6">
        <v>1278.7507960856769</v>
      </c>
      <c r="EZ226" s="6">
        <v>946</v>
      </c>
      <c r="FA226" s="6">
        <v>0</v>
      </c>
      <c r="FB226" s="6">
        <v>0</v>
      </c>
      <c r="FC226" s="6">
        <v>0</v>
      </c>
      <c r="FD226" s="6">
        <v>0</v>
      </c>
      <c r="FE226" s="6">
        <v>0</v>
      </c>
      <c r="FF226" s="6">
        <v>0</v>
      </c>
      <c r="FG226" s="6">
        <v>0</v>
      </c>
      <c r="FH226" s="6">
        <v>682.80266512706407</v>
      </c>
      <c r="FI226" s="6">
        <v>908.635678405872</v>
      </c>
      <c r="FJ226" s="6">
        <v>1322.1514264406358</v>
      </c>
      <c r="FK226" s="6">
        <v>788.09921179939283</v>
      </c>
      <c r="FL226" s="6">
        <v>907.07682140966347</v>
      </c>
      <c r="FM226" s="6">
        <v>984.75079608567682</v>
      </c>
      <c r="FN226" s="6">
        <v>0</v>
      </c>
      <c r="FO226" s="6">
        <v>0</v>
      </c>
      <c r="FP226" s="6">
        <v>0</v>
      </c>
      <c r="FQ226" s="6">
        <v>0</v>
      </c>
      <c r="FR226" s="6">
        <v>0</v>
      </c>
      <c r="FS226" s="6">
        <v>0</v>
      </c>
      <c r="FT226" s="7">
        <v>0.76964649254115647</v>
      </c>
      <c r="FU226" s="7">
        <v>2.9327742073005928E-2</v>
      </c>
      <c r="FV226" s="7">
        <v>0.20102576538583763</v>
      </c>
      <c r="FW226" s="6">
        <v>1294</v>
      </c>
      <c r="FX226" s="6">
        <v>1278.7507960856769</v>
      </c>
      <c r="FY226" s="6">
        <v>946</v>
      </c>
      <c r="FZ226" s="6">
        <v>1817.4615072224267</v>
      </c>
      <c r="GA226" s="6">
        <v>1223.5958089265107</v>
      </c>
      <c r="GB226" s="6">
        <v>18761.404191073489</v>
      </c>
      <c r="GC226" s="7">
        <v>1.804905384453976E-2</v>
      </c>
      <c r="GD226" s="7">
        <v>1.7067281138953748E-2</v>
      </c>
      <c r="GE226" s="7"/>
      <c r="GF226" s="7"/>
      <c r="GG226" s="7">
        <v>-5.4394690937387843E-2</v>
      </c>
      <c r="GH226" s="42">
        <v>1.830511345415371</v>
      </c>
      <c r="GI226" s="6">
        <v>12141.310167842486</v>
      </c>
      <c r="GJ226" s="14">
        <v>0.50394797582841733</v>
      </c>
      <c r="GK226" s="14">
        <v>0.50887573065309755</v>
      </c>
      <c r="GL226" s="14">
        <v>0.49605202417158278</v>
      </c>
      <c r="GM226" s="14">
        <v>0.49112426934690229</v>
      </c>
      <c r="GO226" s="5">
        <v>343.14810671672558</v>
      </c>
      <c r="GP226" s="5">
        <v>318.46105531198077</v>
      </c>
      <c r="GQ226" s="5">
        <v>535.04305713031317</v>
      </c>
      <c r="GR226" s="5">
        <v>410.15490233172511</v>
      </c>
      <c r="GS226" s="5">
        <v>339.42744393800166</v>
      </c>
      <c r="GT226" s="5">
        <v>293.4407446948278</v>
      </c>
      <c r="GU226" s="5">
        <v>258.04012322764959</v>
      </c>
      <c r="GV226" s="39" t="s">
        <v>392</v>
      </c>
      <c r="GW226" s="5">
        <v>505.98681434963481</v>
      </c>
      <c r="GX226" s="5">
        <v>383.06929805790827</v>
      </c>
      <c r="GY226" s="5">
        <v>309.33650557199712</v>
      </c>
      <c r="GZ226" s="5">
        <v>275.99700022217098</v>
      </c>
      <c r="HA226" s="5">
        <v>241.02179695997205</v>
      </c>
      <c r="HB226" s="39">
        <v>287.75003933508373</v>
      </c>
      <c r="HC226" s="5">
        <v>245.89687499999999</v>
      </c>
      <c r="HD226" s="5">
        <v>211.55677997076018</v>
      </c>
      <c r="HE226" s="5">
        <v>214.73562331309037</v>
      </c>
      <c r="HF226" s="5">
        <v>199.03250548245612</v>
      </c>
      <c r="HG226" s="5">
        <v>192.49971491228069</v>
      </c>
      <c r="HH226" s="39">
        <v>212.38876697346643</v>
      </c>
      <c r="HI226" s="16"/>
      <c r="HJ226" s="19" t="str">
        <f t="shared" si="726"/>
        <v>On</v>
      </c>
      <c r="HK226" s="1" t="str">
        <f t="shared" si="726"/>
        <v>On</v>
      </c>
      <c r="HL226" s="16"/>
      <c r="HM226" s="639">
        <f t="shared" si="634"/>
        <v>1.2768706344444866E-2</v>
      </c>
      <c r="HN226" s="639">
        <f t="shared" si="635"/>
        <v>9.795534288915453E-4</v>
      </c>
      <c r="HO226" s="639">
        <f t="shared" si="636"/>
        <v>3.3583061774515237E-3</v>
      </c>
      <c r="HP226" s="644">
        <f>(FT226*$GD226-HM226)/$JF226*INDEX(Input!$1:$1048576,$JG$93,$C226*2+6)</f>
        <v>26.671860148256822</v>
      </c>
      <c r="HQ226" s="644">
        <f>(FU226*$GD226-HN226)/$JF226*INDEX(Input!$1:$1048576,$JG$93,$C226*2+6)</f>
        <v>-34.805799343104752</v>
      </c>
      <c r="HR226" s="644">
        <f>(FV226*$GD226-HO226)/$JF226*INDEX(Input!$1:$1048576,$JG$93,$C226*2+6)</f>
        <v>5.2794199856524626</v>
      </c>
      <c r="HS226" s="644">
        <f t="shared" si="729"/>
        <v>-1.8089757672989124</v>
      </c>
      <c r="HT226" s="644">
        <f t="shared" si="638"/>
        <v>-60.236614297344396</v>
      </c>
      <c r="HU226" s="644">
        <f t="shared" si="639"/>
        <v>0.31978438986474278</v>
      </c>
      <c r="HV226" s="648">
        <f t="shared" si="640"/>
        <v>0</v>
      </c>
      <c r="HW226" s="648">
        <f t="shared" si="641"/>
        <v>0</v>
      </c>
      <c r="HX226" s="648">
        <f t="shared" si="642"/>
        <v>0</v>
      </c>
      <c r="HY226" s="644">
        <f>INDEX(Input!$1:$1048576,HY$93,$C226*2+6)*INDEX(Input!$1:$1048576,$JG$93,$C226*2+6)</f>
        <v>451</v>
      </c>
      <c r="HZ226" s="644">
        <f>INDEX(Input!$1:$1048576,HZ$93,$C226*2+6)*INDEX(Input!$1:$1048576,$JG$93,$C226*2+6)</f>
        <v>577</v>
      </c>
      <c r="IA226" s="644">
        <f>INDEX(Input!$1:$1048576,IA$93,$C226*2+6)*INDEX(Input!$1:$1048576,$JG$93,$C226*2+6)</f>
        <v>215</v>
      </c>
      <c r="IB226" s="644">
        <f t="shared" si="666"/>
        <v>475.86288438095801</v>
      </c>
      <c r="IC226" s="644">
        <f t="shared" si="667"/>
        <v>481.95758635955082</v>
      </c>
      <c r="ID226" s="644">
        <f>IF(AND(INDEX(Input!$1:$1048576,IA$93,$C226*2+7)="TOS",Y226&lt;=INDEX(Y:Y,MATCH(C226*1000+2,A:A))),0,1)*MAX(IA226+HR226+HU226+HX226,0%)</f>
        <v>220.59920437551719</v>
      </c>
      <c r="IE226" s="128">
        <f t="shared" si="730"/>
        <v>0.4038144427061649</v>
      </c>
      <c r="IF226" s="128">
        <f t="shared" si="643"/>
        <v>0.4089863709311351</v>
      </c>
      <c r="IG226" s="128">
        <f t="shared" si="644"/>
        <v>0.18719918636269986</v>
      </c>
      <c r="IH226" s="21"/>
      <c r="II226" s="19">
        <f t="shared" si="645"/>
        <v>1252</v>
      </c>
      <c r="IJ226" s="19">
        <f t="shared" si="646"/>
        <v>2011.9658773055378</v>
      </c>
      <c r="IK226" s="19">
        <f t="shared" si="647"/>
        <v>919</v>
      </c>
      <c r="IL226" s="19">
        <f t="shared" si="669"/>
        <v>42</v>
      </c>
      <c r="IM226" s="19">
        <f t="shared" si="648"/>
        <v>-733.21508121986085</v>
      </c>
      <c r="IN226" s="19">
        <f t="shared" si="649"/>
        <v>27</v>
      </c>
      <c r="IO226" s="39">
        <f t="shared" si="650"/>
        <v>0</v>
      </c>
      <c r="IP226" s="39">
        <f t="shared" si="651"/>
        <v>0</v>
      </c>
      <c r="IQ226" s="39">
        <f t="shared" si="652"/>
        <v>0</v>
      </c>
      <c r="IR226" s="39">
        <v>0</v>
      </c>
      <c r="IS226" s="39">
        <v>0</v>
      </c>
      <c r="IT226" s="39">
        <v>0</v>
      </c>
      <c r="IU226" s="39">
        <v>0</v>
      </c>
      <c r="IV226" s="39">
        <v>0</v>
      </c>
      <c r="IW226" s="39">
        <v>0</v>
      </c>
      <c r="IX226" s="39">
        <f>INDEX(Input!$1:$1048576,IX$93,$C226*2+6)+INDEX(Input!$1:$1048576,IX$94,$C226*2+6)</f>
        <v>1294</v>
      </c>
      <c r="IY226" s="39">
        <f>INDEX(Input!$1:$1048576,IY$93,$C226*2+6)+INDEX(Input!$1:$1048576,IY$94,$C226*2+6)</f>
        <v>2154.0624533823611</v>
      </c>
      <c r="IZ226" s="39">
        <f>INDEX(Input!$1:$1048576,IZ$93,$C226*2+6)+INDEX(Input!$1:$1048576,IZ$94,$C226*2+6)</f>
        <v>3677.7164157747848</v>
      </c>
      <c r="JA226" s="19">
        <f t="shared" si="670"/>
        <v>1336</v>
      </c>
      <c r="JB226" s="19">
        <f t="shared" si="671"/>
        <v>1420.8473721625003</v>
      </c>
      <c r="JC226" s="19">
        <f t="shared" si="672"/>
        <v>3704.7164157747848</v>
      </c>
      <c r="JD226" s="19">
        <f t="shared" si="673"/>
        <v>1814.1232045807947</v>
      </c>
      <c r="JE226" s="21"/>
      <c r="JF226" s="1">
        <f t="shared" si="653"/>
        <v>1.7106565950787935E-2</v>
      </c>
      <c r="JG226" s="15">
        <f>INDEX(Input!$1:$1048576,JG$93,$C226*2+6)/(1+VLOOKUP(C226*1000+INDEX(Input!$1:$1048576,JG$93+1,$C226*2+6),$A:$KK,$JK$92,FALSE))</f>
        <v>1243</v>
      </c>
      <c r="JH226" s="1">
        <f t="shared" si="674"/>
        <v>-2.2964756308893539E-3</v>
      </c>
      <c r="JI226" s="1">
        <f t="shared" si="675"/>
        <v>-4.9658733447126763E-2</v>
      </c>
      <c r="JJ226" s="1">
        <f t="shared" si="731"/>
        <v>0</v>
      </c>
      <c r="JK226" s="1">
        <f t="shared" si="732"/>
        <v>-5.1955209078016117E-2</v>
      </c>
      <c r="JL226" s="15">
        <f t="shared" si="678"/>
        <v>-64.580324883974029</v>
      </c>
      <c r="JM226" s="15">
        <f t="shared" si="702"/>
        <v>1178.4196751160259</v>
      </c>
      <c r="JN226" s="21"/>
      <c r="JO226" s="19">
        <f>INDEX(Input!$1:$1048576,JO$93,$C226*2+6)</f>
        <v>5995.5</v>
      </c>
      <c r="JP226" s="19">
        <f>INDEX(Input!$1:$1048576,JP$93,$C226*2+6)</f>
        <v>2105.548724853742</v>
      </c>
      <c r="JQ226" s="39">
        <f t="shared" si="688"/>
        <v>4181.3767954192053</v>
      </c>
      <c r="JR226" s="39">
        <f t="shared" si="705"/>
        <v>-291.42552027294732</v>
      </c>
      <c r="JS226" s="39">
        <f t="shared" si="690"/>
        <v>2.1377984773625438</v>
      </c>
      <c r="JT226" s="39">
        <f t="shared" si="680"/>
        <v>-0.47939858763065746</v>
      </c>
      <c r="JU226" s="385">
        <f>(JQ226*JM226-INDEX(Input!$1:$1048576,Input!A$18,$C226*2+6)*JL226*INDEX(Input!$1:$1048576,Input!A$19,$C226*2+6))/1000000</f>
        <v>4.9274166847955891</v>
      </c>
      <c r="JV226" s="39">
        <f t="shared" si="712"/>
        <v>9.2207249788790691E-2</v>
      </c>
      <c r="JW226" s="1">
        <f t="shared" si="703"/>
        <v>1.9069959849352638E-2</v>
      </c>
      <c r="JX226" s="19">
        <f t="shared" si="694"/>
        <v>7423.2916680421176</v>
      </c>
      <c r="JZ226" s="341"/>
      <c r="KA226" s="342"/>
      <c r="KB226" s="469">
        <f t="shared" si="691"/>
        <v>2.5660492421988774</v>
      </c>
      <c r="KI226" s="473">
        <f t="shared" si="719"/>
        <v>24.862884380957894</v>
      </c>
      <c r="KJ226" s="473">
        <f t="shared" si="720"/>
        <v>-95.042413640449297</v>
      </c>
      <c r="KK226" s="473">
        <f t="shared" si="682"/>
        <v>5.5992043755171608</v>
      </c>
      <c r="KN226" s="544">
        <f t="shared" si="695"/>
        <v>2002</v>
      </c>
      <c r="KO226" s="541">
        <f t="shared" si="657"/>
        <v>-5.7540848455148397E-2</v>
      </c>
      <c r="KP226" s="546">
        <f t="shared" si="658"/>
        <v>-317.05286762094568</v>
      </c>
      <c r="KQ226" s="546">
        <f t="shared" si="659"/>
        <v>-329.55713485267825</v>
      </c>
      <c r="KR226" s="548">
        <f t="shared" si="660"/>
        <v>3.237960528576203</v>
      </c>
      <c r="KS226" s="548">
        <f t="shared" si="661"/>
        <v>3.1151037627737628</v>
      </c>
      <c r="KT226" s="473">
        <f t="shared" si="693"/>
        <v>843.26993010479111</v>
      </c>
      <c r="KU226" s="663">
        <f t="shared" si="683"/>
        <v>4.3783677092042286</v>
      </c>
      <c r="KV226" s="117"/>
    </row>
    <row r="227" spans="1:308" s="26" customFormat="1" ht="15">
      <c r="A227" s="561">
        <f t="shared" si="662"/>
        <v>2027</v>
      </c>
      <c r="B227" s="561">
        <f t="shared" si="684"/>
        <v>27</v>
      </c>
      <c r="C227" s="561">
        <f t="shared" si="105"/>
        <v>2</v>
      </c>
      <c r="D227" s="561" t="str">
        <f t="shared" si="728"/>
        <v xml:space="preserve">750 Combo, </v>
      </c>
      <c r="E227" s="475">
        <f>INDEX(Input!$1:$1048576,E$93,$C227*2+MIN($B227,2)+5)
+INDEX(Scenarios!E$121:E$200,MATCH($B227,Scenarios!$B$121:$B$200,0))</f>
        <v>1269.7618664521319</v>
      </c>
      <c r="F227" s="475">
        <f>INDEX(Input!$1:$1048576,F$93,$C227*2+MIN($B227,2)+5)
+INDEX(Scenarios!F$121:F$200,MATCH($B227,Scenarios!$B$121:$B$200,0))</f>
        <v>0</v>
      </c>
      <c r="G227" s="475">
        <f>INDEX(Input!$1:$1048576,G$93,$C227*2+MIN($B227,2)+5)
+INDEX(Scenarios!G$121:G$200,MATCH($B227,Scenarios!$B$121:$B$200,0))</f>
        <v>0</v>
      </c>
      <c r="H227" s="475">
        <f>INDEX(Input!$1:$1048576,H$93,$C227*2+MIN($B227,2)+5)
+INDEX(Scenarios!H$121:H$200,MATCH($B227,Scenarios!$B$121:$B$200,0))</f>
        <v>0</v>
      </c>
      <c r="I227" s="476">
        <f>INDEX(Input!$1:$1048576,I$93,$C227*2+MIN($B227,2)+5)</f>
        <v>0.7</v>
      </c>
      <c r="J227" s="476" t="str">
        <f>INDEX(Input!$1:$1048576,J$93,$C227*2+MIN($B227,2)+5)</f>
        <v>Market</v>
      </c>
      <c r="K227" s="476" t="str">
        <f>INDEX(Input!$1:$1048576,K$93,$C227*2+MIN($B227,2)+5)</f>
        <v>Market</v>
      </c>
      <c r="L227" s="476" t="str">
        <f>INDEX(Input!$1:$1048576,L$93,$C227*2+MIN($B227,2)+5)</f>
        <v>Market</v>
      </c>
      <c r="M227" s="476" t="str">
        <f>INDEX(Input!$1:$1048576,M$93,$C227*2+MIN($B227,2)+5)</f>
        <v>Market</v>
      </c>
      <c r="N227" s="476" t="str">
        <f>INDEX(Input!$1:$1048576,N$93,$C227*2+MIN($B227,2)+5)</f>
        <v>Market</v>
      </c>
      <c r="O227" s="476" t="str">
        <f>INDEX(Input!$1:$1048576,O$93,$C227*2+MIN($B227,2)+5)</f>
        <v>Market</v>
      </c>
      <c r="P227" s="476" t="str">
        <f>INDEX(Input!$1:$1048576,P$93,$C227*2+MIN($B227,2)+5)</f>
        <v>N</v>
      </c>
      <c r="Q227" s="477">
        <f>INDEX(Input!$1:$1048576,Q$93,$C227*2+MIN($B227,2)+5)
+INDEX(Scenarios!Q$121:Q$200,MATCH($B227,Scenarios!$B$121:$B$200,0))</f>
        <v>750</v>
      </c>
      <c r="R227" s="478">
        <f>IFERROR(MAX(0,INDEX(Input!$1:$1048576,R$93,$C227*2+MIN($B227,2)+5)
+INDEX(Scenarios!R$121:R$200,MATCH($B227,Scenarios!$B$121:$B$200,0)),),"Market")</f>
        <v>0</v>
      </c>
      <c r="S227" s="478">
        <f>IFERROR(MAX(0,INDEX(Input!$1:$1048576,S$93,$C227*2+MIN($B227,2)+5)
+INDEX(Scenarios!S$121:S$200,MATCH($B227,Scenarios!$B$121:$B$200,0)),),"Market")</f>
        <v>0</v>
      </c>
      <c r="T227" s="478">
        <f>IFERROR(MAX(0,INDEX(Input!$1:$1048576,T$93,$C227*2+MIN($B227,2)+5)
+INDEX(Scenarios!T$121:T$200,MATCH($B227,Scenarios!$B$121:$B$200,0)),),"Market")</f>
        <v>0</v>
      </c>
      <c r="U227" s="478">
        <f>IFERROR(MAX(0,INDEX(Input!$1:$1048576,U$93,$C227*2+MIN($B227,2)+5)
+INDEX(Scenarios!U$121:U$200,MATCH($B227,Scenarios!$B$121:$B$200,0)),),"Market")</f>
        <v>0</v>
      </c>
      <c r="V227" s="478">
        <f>IFERROR(MAX(0,INDEX(Input!$1:$1048576,V$93,$C227*2+MIN($B227,2)+5)
+INDEX(Scenarios!V$121:V$200,MATCH($B227,Scenarios!$B$121:$B$200,0)),),"Market")</f>
        <v>1.9E-2</v>
      </c>
      <c r="W227" s="885">
        <f>IFERROR(MAX(0,INDEX(Input!$1:$1048576,W$93,$C227*2+MIN($B227,2)+5)-0%,),"Market")</f>
        <v>3.9E-2</v>
      </c>
      <c r="X227" s="476" t="str">
        <f>INDEX(Input!$1:$1048576,X$93,$C227*2+MIN($B227,2)+5)</f>
        <v>Y</v>
      </c>
      <c r="Y227" s="475">
        <f>INDEX(Input!$1:$1048576,Y$93,$C227*2+MIN($B227,2)+5)
++INDEX(Scenarios!Y$121:Y$200,MATCH($B227,Scenarios!$B$121:$B$200,0))</f>
        <v>56</v>
      </c>
      <c r="Z227" s="477">
        <f>INDEX(Input!$1:$1048576,Z$93,$C227*2+MIN($B227,2)+5)
+INDEX(Scenarios!Z$121:Z$200,MATCH($B227,Scenarios!$B$121:$B$200,0))</f>
        <v>0</v>
      </c>
      <c r="AA227" s="475">
        <f>INDEX(Input!$1:$1048576,AA$93,$C227*2+MIN($B227,2)+5)
+INDEX(Scenarios!AA$121:AA$200,MATCH($B227,Scenarios!$B$121:$B$200,0))</f>
        <v>0</v>
      </c>
      <c r="AB227" s="476">
        <f>INDEX(Input!$1:$1048576,AB$93,$C227*2+MIN($B227,2)+5)</f>
        <v>0.27</v>
      </c>
      <c r="AC227" s="475">
        <f>INDEX(Input!$1:$1048576,AC$93,$C227*2+MIN($B227,2)+5)
+INDEX(Scenarios!AC$121:AC$200,MATCH($B227,Scenarios!$B$121:$B$200,0))</f>
        <v>0</v>
      </c>
      <c r="AD227" s="476">
        <f>INDEX(Input!$1:$1048576,AD$93,$C227*2+MIN($B227,2)+5)</f>
        <v>0.27</v>
      </c>
      <c r="AE227" s="475">
        <f>INDEX(Input!$1:$1048576,AE$93,$C227*2+MIN($B227,2)+5)
+INDEX(Scenarios!AE$121:AE$200,MATCH($B227,Scenarios!$B$121:$B$200,0))</f>
        <v>0</v>
      </c>
      <c r="AF227" s="476">
        <f>INDEX(Input!$1:$1048576,AF$93,$C227*2+MIN($B227,2)+5)</f>
        <v>4.8000000000000001E-2</v>
      </c>
      <c r="AG227" s="475">
        <f>INDEX(Input!$1:$1048576,AG$93,$C227*2+MIN($B227,2)+5)
+INDEX(Scenarios!AG$121:AG$200,MATCH($B227,Scenarios!$B$121:$B$200,0))</f>
        <v>500</v>
      </c>
      <c r="AH227" s="476">
        <f>INDEX(Input!$1:$1048576,AH$93,$C227*2+MIN($B227,2)+5)</f>
        <v>0.94599999999999995</v>
      </c>
      <c r="AI227" s="475">
        <f>INDEX(Input!$1:$1048576,AI$93,$C227*2+MIN($B227,2)+5)
+INDEX(Scenarios!AI$121:AI$200,MATCH($B227,Scenarios!$B$121:$B$200,0))</f>
        <v>0</v>
      </c>
      <c r="AJ227" s="476">
        <f>INDEX(Input!$1:$1048576,AJ$93,$C227*2+MIN($B227,2)+5)</f>
        <v>0.27</v>
      </c>
      <c r="AK227" s="150">
        <f>ROUND(INDEX(Input!$1:$1048576,AK$93,$C226*2+MIN($B227,1)+5)+(Y227-VLOOKUP($C227*1000+1,$A:$HH,Y$92,FALSE)),0)</f>
        <v>2977</v>
      </c>
      <c r="AL227" s="150">
        <f>ROUND(INDEX(Input!$1:$1048576,AL$93,$C226*2+MIN($B227,1)+5)-(Y227-VLOOKUP($C227*1000+1,$A:$HH,Y$92,FALSE))/36,0)</f>
        <v>3395</v>
      </c>
      <c r="AM227" s="32" t="str">
        <f t="shared" si="663"/>
        <v>std/std/std/std</v>
      </c>
      <c r="AN227" s="32" t="str">
        <f t="shared" si="664"/>
        <v>$750 + 0/0/0/1.9/3.9</v>
      </c>
      <c r="AO227" s="32" t="str">
        <f t="shared" si="665"/>
        <v>0/0/0/1.9/3.9</v>
      </c>
      <c r="AP227" s="32" t="str">
        <f t="shared" si="498"/>
        <v>0/0.9/1.9/3.9</v>
      </c>
      <c r="AQ227" s="536">
        <f t="shared" si="497"/>
        <v>0.32804806811706244</v>
      </c>
      <c r="AR227" s="32"/>
      <c r="AS227" s="302"/>
      <c r="AT227" s="3">
        <f t="shared" si="717"/>
        <v>27</v>
      </c>
      <c r="AU227" s="41" t="s">
        <v>121</v>
      </c>
      <c r="AV227" s="41" t="s">
        <v>116</v>
      </c>
      <c r="AW227" s="41" t="str">
        <f>INDEX(Input!$1:$1048576,AW$93,$C227*2+6)</f>
        <v>Kia</v>
      </c>
      <c r="AX227" s="41" t="str">
        <f>INDEX(Input!$1:$1048576,AX$93,$C227*2+6)</f>
        <v>Kia-LR - L2</v>
      </c>
      <c r="AY227" s="41" t="str">
        <f>IF(LEN(D227)=0,"",INDEX(Input!$1:$1048576,AY$93,$C227*2+6))</f>
        <v>Compact SUV (52)</v>
      </c>
      <c r="AZ227" s="41" t="str">
        <f>INDEX(Input!$1:$1048576,AZ$93,$C227*2+6)</f>
        <v>Kia Soul</v>
      </c>
      <c r="BA227" s="3">
        <f>INDEX(Input!$1:$1048576,BA$93,$C227*2+6)</f>
        <v>2020</v>
      </c>
      <c r="BB227" s="128">
        <f>INDEX(Input!$1:$1048576,BB$93,$C227*2+6)</f>
        <v>1</v>
      </c>
      <c r="BC227" s="128">
        <f>INDEX(Input!$1:$1048576,BC$93,$C227*2+6)</f>
        <v>0.7</v>
      </c>
      <c r="BD227" s="1">
        <f>INDEX(Input!$1:$1048576,BD$93,$C227*2+6)</f>
        <v>4.4999999999999998E-2</v>
      </c>
      <c r="BE227" s="1">
        <f>INDEX(Input!$1:$1048576,BE$93,$C227*2+6)</f>
        <v>4.4999999999999998E-2</v>
      </c>
      <c r="BF227" s="1">
        <f>INDEX(Input!$1:$1048576,BF$93,$C227*2+6)</f>
        <v>0.05</v>
      </c>
      <c r="BG227" s="1">
        <f>INDEX(Input!$1:$1048576,BG$93,$C227*2+6)</f>
        <v>5.45E-2</v>
      </c>
      <c r="BH227" s="1">
        <f>INDEX(Input!$1:$1048576,BH$93,$C227*2+6)</f>
        <v>5.45E-2</v>
      </c>
      <c r="BI227" s="1">
        <f>INDEX(Input!$1:$1048576,BI$93,$C227*2+6)</f>
        <v>0.05</v>
      </c>
      <c r="BJ227" s="1">
        <f>INDEX(Input!$1:$1048576,BJ$93,$C227*2+6)</f>
        <v>0.05</v>
      </c>
      <c r="BK227" s="1">
        <f>INDEX(Input!$1:$1048576,BK$93,$C227*2+6)</f>
        <v>0.05</v>
      </c>
      <c r="BL227" s="1">
        <f>INDEX(Input!$1:$1048576,BL$93,$C227*2+6)</f>
        <v>5.5E-2</v>
      </c>
      <c r="BM227" s="1">
        <f>INDEX(Input!$1:$1048576,BM$93,$C227*2+6)</f>
        <v>0.06</v>
      </c>
      <c r="BN227" s="1">
        <f>INDEX(Input!$1:$1048576,BN$93,$C227*2+6)</f>
        <v>4.4999999999999998E-2</v>
      </c>
      <c r="BO227" s="1">
        <f>INDEX(Input!$1:$1048576,BO$93,$C227*2+6)</f>
        <v>4.4999999999999998E-2</v>
      </c>
      <c r="BP227" s="1">
        <f>INDEX(Input!$1:$1048576,BP$93,$C227*2+6)</f>
        <v>0.05</v>
      </c>
      <c r="BQ227" s="1">
        <f>INDEX(Input!$1:$1048576,BQ$93,$C227*2+6)</f>
        <v>5.45E-2</v>
      </c>
      <c r="BR227" s="1">
        <f>INDEX(Input!$1:$1048576,BR$93,$C227*2+6)</f>
        <v>5.45E-2</v>
      </c>
      <c r="BS227" s="1">
        <f>INDEX(Input!$1:$1048576,BS$93,$C227*2+6)</f>
        <v>0.05</v>
      </c>
      <c r="BT227" s="1">
        <f>INDEX(Input!$1:$1048576,BT$93,$C227*2+6)</f>
        <v>0.05</v>
      </c>
      <c r="BU227" s="1">
        <f>INDEX(Input!$1:$1048576,BU$93,$C227*2+6)</f>
        <v>0.05</v>
      </c>
      <c r="BV227" s="1">
        <f>INDEX(Input!$1:$1048576,BV$93,$C227*2+6)</f>
        <v>5.5E-2</v>
      </c>
      <c r="BW227" s="1">
        <f>INDEX(Input!$1:$1048576,BW$93,$C227*2+6)</f>
        <v>0.06</v>
      </c>
      <c r="BX227" s="127">
        <f>INDEX(Input!$1:$1048576,BX$93,$C227*2+6)</f>
        <v>19985</v>
      </c>
      <c r="BY227" s="20">
        <f>INDEX(Input!$1:$1048576,BY$93,$C227*2+6)</f>
        <v>0.1</v>
      </c>
      <c r="BZ227" s="20">
        <f>INDEX(Input!$1:$1048576,BZ$93,$C227*2+6)</f>
        <v>0.1</v>
      </c>
      <c r="CA227" s="20">
        <f>INDEX(Input!$1:$1048576,CA$93,$C227*2+6)</f>
        <v>0.1</v>
      </c>
      <c r="CB227" s="20">
        <f>INDEX(Input!$1:$1048576,CB$93,$C227*2+6)</f>
        <v>0.1</v>
      </c>
      <c r="CC227" s="20">
        <f>INDEX(Input!$1:$1048576,CC$93,$C227*2+6)</f>
        <v>0.1</v>
      </c>
      <c r="CD227" s="384">
        <f>INDEX(Input!$1:$1048576,CD$93,$C227*2+6)</f>
        <v>0.1</v>
      </c>
      <c r="CE227" s="384">
        <f>INDEX(Input!$1:$1048576,CE$93,$C227*2+6)</f>
        <v>0.1</v>
      </c>
      <c r="CF227" s="384">
        <f>INDEX(Input!$1:$1048576,CF$93,$C227*2+6)</f>
        <v>0.1</v>
      </c>
      <c r="CG227" s="384">
        <f>INDEX(Input!$1:$1048576,CG$93,$C227*2+6)</f>
        <v>0.1</v>
      </c>
      <c r="CH227" s="384">
        <f>INDEX(Input!$1:$1048576,CH$93,$C227*2+6)</f>
        <v>0.1</v>
      </c>
      <c r="CI227" s="304">
        <f t="shared" si="499"/>
        <v>1269.7618664521319</v>
      </c>
      <c r="CJ227" s="16" t="str">
        <f>INDEX(Input!$1:$1048576,CJ$93,$C227*2+6)</f>
        <v>N</v>
      </c>
      <c r="CK227" s="1" t="str">
        <f t="shared" si="500"/>
        <v>Market</v>
      </c>
      <c r="CL227" s="1" t="str">
        <f t="shared" si="501"/>
        <v>Market</v>
      </c>
      <c r="CM227" s="1" t="str">
        <f t="shared" si="502"/>
        <v>Market</v>
      </c>
      <c r="CN227" s="1" t="str">
        <f t="shared" si="503"/>
        <v>Market</v>
      </c>
      <c r="CO227" s="1" t="str">
        <f t="shared" si="504"/>
        <v>Market</v>
      </c>
      <c r="CP227" s="304">
        <f t="shared" si="505"/>
        <v>1223</v>
      </c>
      <c r="CQ227" s="1">
        <f t="shared" si="506"/>
        <v>0</v>
      </c>
      <c r="CR227" s="1">
        <f t="shared" si="507"/>
        <v>0</v>
      </c>
      <c r="CS227" s="1">
        <f t="shared" si="508"/>
        <v>0</v>
      </c>
      <c r="CT227" s="1">
        <f t="shared" si="509"/>
        <v>1.9E-2</v>
      </c>
      <c r="CU227" s="1">
        <f t="shared" si="510"/>
        <v>3.9E-2</v>
      </c>
      <c r="CV227" s="304">
        <f t="shared" si="511"/>
        <v>56</v>
      </c>
      <c r="CW227" s="20" t="s">
        <v>122</v>
      </c>
      <c r="CX227" s="20" t="s">
        <v>122</v>
      </c>
      <c r="CY227" s="20" t="s">
        <v>122</v>
      </c>
      <c r="CZ227" s="20" t="s">
        <v>122</v>
      </c>
      <c r="DA227" s="20" t="s">
        <v>122</v>
      </c>
      <c r="DB227" s="503">
        <f t="shared" si="512"/>
        <v>0</v>
      </c>
      <c r="DC227" s="127">
        <v>0</v>
      </c>
      <c r="DD227" s="127">
        <v>0</v>
      </c>
      <c r="DE227" s="127">
        <v>0</v>
      </c>
      <c r="DF227" s="127">
        <v>0</v>
      </c>
      <c r="DG227" s="127">
        <v>0</v>
      </c>
      <c r="DH227" s="127">
        <v>0</v>
      </c>
      <c r="DI227" s="127">
        <v>0</v>
      </c>
      <c r="DJ227" s="127">
        <v>0</v>
      </c>
      <c r="DK227" s="127">
        <v>0</v>
      </c>
      <c r="DL227" s="127">
        <v>0</v>
      </c>
      <c r="DM227" s="304">
        <f>INDEX(Input!$1:$1048576,DM$93,$C227*2+6)</f>
        <v>21036.84210526316</v>
      </c>
      <c r="DN227" s="20">
        <v>0</v>
      </c>
      <c r="DO227" s="20">
        <v>0</v>
      </c>
      <c r="DP227" s="20">
        <v>0</v>
      </c>
      <c r="DQ227" s="20">
        <v>0</v>
      </c>
      <c r="DR227" s="20">
        <v>0</v>
      </c>
      <c r="DS227" s="20">
        <f>INDEX(Input!$1:$1048576,DS$93,$C227*2+6)</f>
        <v>0.6</v>
      </c>
      <c r="DT227" s="20">
        <f>INDEX(Input!$1:$1048576,DT$93,$C227*2+6)</f>
        <v>0.55000000000000004</v>
      </c>
      <c r="DU227" s="20">
        <f>INDEX(Input!$1:$1048576,DU$93,$C227*2+6)</f>
        <v>0.52</v>
      </c>
      <c r="DV227" s="20">
        <f>INDEX(Input!$1:$1048576,DV$93,$C227*2+6)</f>
        <v>0.5</v>
      </c>
      <c r="DW227" s="20">
        <f>INDEX(Input!$1:$1048576,DW$93,$C227*2+6)</f>
        <v>0.45</v>
      </c>
      <c r="DX227" s="20"/>
      <c r="DY227" s="7">
        <v>9.0294633768994798E-2</v>
      </c>
      <c r="DZ227" s="7">
        <v>0</v>
      </c>
      <c r="EA227" s="7">
        <v>0.63642663790788701</v>
      </c>
      <c r="EB227" s="7">
        <v>0</v>
      </c>
      <c r="EC227" s="7">
        <v>0</v>
      </c>
      <c r="ED227" s="7">
        <v>0</v>
      </c>
      <c r="EE227" s="7">
        <v>0</v>
      </c>
      <c r="EF227" s="7">
        <v>0</v>
      </c>
      <c r="EG227" s="7">
        <v>0</v>
      </c>
      <c r="EH227" s="7">
        <v>1.4255170986971193E-2</v>
      </c>
      <c r="EI227" s="7">
        <v>4.0570183579454577E-2</v>
      </c>
      <c r="EJ227" s="7">
        <v>0.30717916692345421</v>
      </c>
      <c r="EK227" s="7">
        <v>0.52677865358717901</v>
      </c>
      <c r="EL227" s="7">
        <v>0.11121682492294054</v>
      </c>
      <c r="EM227" s="7">
        <v>8.2885780336888176E-2</v>
      </c>
      <c r="EN227" s="7">
        <v>6.5545666376739795E-2</v>
      </c>
      <c r="EO227" s="7">
        <v>0.73221481816040579</v>
      </c>
      <c r="EP227" s="7">
        <v>8.7592643223761771E-2</v>
      </c>
      <c r="EQ227" s="7">
        <v>7.4717056635470264E-2</v>
      </c>
      <c r="ER227" s="7">
        <v>3.9929815603623069E-2</v>
      </c>
      <c r="ES227" s="7">
        <v>0.19039294798623002</v>
      </c>
      <c r="ET227" s="7">
        <v>0.27327872832311817</v>
      </c>
      <c r="EU227" s="6">
        <v>1294</v>
      </c>
      <c r="EV227" s="6">
        <v>0</v>
      </c>
      <c r="EW227" s="6">
        <v>1294</v>
      </c>
      <c r="EX227" s="6">
        <v>0</v>
      </c>
      <c r="EY227" s="6">
        <v>2803.9352667303401</v>
      </c>
      <c r="EZ227" s="6">
        <v>946</v>
      </c>
      <c r="FA227" s="6">
        <v>0</v>
      </c>
      <c r="FB227" s="6">
        <v>0</v>
      </c>
      <c r="FC227" s="6">
        <v>0</v>
      </c>
      <c r="FD227" s="6">
        <v>0</v>
      </c>
      <c r="FE227" s="6">
        <v>0</v>
      </c>
      <c r="FF227" s="6">
        <v>0</v>
      </c>
      <c r="FG227" s="6">
        <v>0</v>
      </c>
      <c r="FH227" s="6">
        <v>1173.7273209362063</v>
      </c>
      <c r="FI227" s="6">
        <v>1553.9796069512402</v>
      </c>
      <c r="FJ227" s="6">
        <v>2101.2110117447414</v>
      </c>
      <c r="FK227" s="6">
        <v>1772.7139978623236</v>
      </c>
      <c r="FL227" s="6">
        <v>907.07682140966358</v>
      </c>
      <c r="FM227" s="6">
        <v>1759.9352667303399</v>
      </c>
      <c r="FN227" s="6">
        <v>0</v>
      </c>
      <c r="FO227" s="6">
        <v>0</v>
      </c>
      <c r="FP227" s="6">
        <v>0</v>
      </c>
      <c r="FQ227" s="6">
        <v>0</v>
      </c>
      <c r="FR227" s="6">
        <v>0</v>
      </c>
      <c r="FS227" s="6">
        <v>0</v>
      </c>
      <c r="FT227" s="7">
        <v>0.72672127167688183</v>
      </c>
      <c r="FU227" s="7">
        <v>8.2885780336888176E-2</v>
      </c>
      <c r="FV227" s="7">
        <v>0.19039294798623002</v>
      </c>
      <c r="FW227" s="6">
        <v>1294</v>
      </c>
      <c r="FX227" s="6">
        <v>2803.9352667303401</v>
      </c>
      <c r="FY227" s="6">
        <v>946</v>
      </c>
      <c r="FZ227" s="6">
        <v>1817.4615072224267</v>
      </c>
      <c r="GA227" s="6">
        <v>1352.8954169419235</v>
      </c>
      <c r="GB227" s="6">
        <v>18632.104583058077</v>
      </c>
      <c r="GC227" s="7">
        <v>1.804905384453976E-2</v>
      </c>
      <c r="GD227" s="7">
        <v>1.7285463579063232E-2</v>
      </c>
      <c r="GE227" s="7"/>
      <c r="GF227" s="7"/>
      <c r="GG227" s="7">
        <v>-4.2306387473464747E-2</v>
      </c>
      <c r="GH227" s="42">
        <v>1.8199631254762643</v>
      </c>
      <c r="GI227" s="6">
        <v>12333.887130590045</v>
      </c>
      <c r="GJ227" s="14">
        <v>0.50394797582841699</v>
      </c>
      <c r="GK227" s="14">
        <v>0.50887573065309732</v>
      </c>
      <c r="GL227" s="14">
        <v>0.49605202417158278</v>
      </c>
      <c r="GM227" s="14">
        <v>0.49112426934690223</v>
      </c>
      <c r="GO227" s="5">
        <v>343.14810671672558</v>
      </c>
      <c r="GP227" s="5">
        <v>318.46105531198077</v>
      </c>
      <c r="GQ227" s="5">
        <v>535.04305713031317</v>
      </c>
      <c r="GR227" s="5">
        <v>410.15490233172511</v>
      </c>
      <c r="GS227" s="5">
        <v>339.42744393800166</v>
      </c>
      <c r="GT227" s="5">
        <v>293.4407446948278</v>
      </c>
      <c r="GU227" s="5">
        <v>258.04012322764959</v>
      </c>
      <c r="GV227" s="39" t="s">
        <v>392</v>
      </c>
      <c r="GW227" s="5">
        <v>470.625</v>
      </c>
      <c r="GX227" s="5">
        <v>352.96875</v>
      </c>
      <c r="GY227" s="5">
        <v>282.375</v>
      </c>
      <c r="GZ227" s="5">
        <v>249.1661392896963</v>
      </c>
      <c r="HA227" s="5">
        <v>230.80467966620469</v>
      </c>
      <c r="HB227" s="39">
        <v>264.69333111543767</v>
      </c>
      <c r="HC227" s="5">
        <v>245.89687499999999</v>
      </c>
      <c r="HD227" s="5">
        <v>211.55677997076018</v>
      </c>
      <c r="HE227" s="5">
        <v>214.73562331309037</v>
      </c>
      <c r="HF227" s="5">
        <v>199.03250548245612</v>
      </c>
      <c r="HG227" s="5">
        <v>192.49971491228069</v>
      </c>
      <c r="HH227" s="39">
        <v>212.38934565364923</v>
      </c>
      <c r="HI227" s="16"/>
      <c r="HJ227" s="19" t="str">
        <f t="shared" si="726"/>
        <v>On</v>
      </c>
      <c r="HK227" s="1" t="str">
        <f t="shared" si="726"/>
        <v>On</v>
      </c>
      <c r="HL227" s="16"/>
      <c r="HM227" s="639">
        <f t="shared" si="634"/>
        <v>1.2768706344444866E-2</v>
      </c>
      <c r="HN227" s="639">
        <f t="shared" si="635"/>
        <v>9.795534288915453E-4</v>
      </c>
      <c r="HO227" s="639">
        <f t="shared" si="636"/>
        <v>3.3583061774515237E-3</v>
      </c>
      <c r="HP227" s="644">
        <f>(FT227*$GD227-HM227)/$JF227*INDEX(Input!$1:$1048576,$JG$93,$C227*2+6)</f>
        <v>-15.040505106313027</v>
      </c>
      <c r="HQ227" s="644">
        <f>(FU227*$GD227-HN227)/$JF227*INDEX(Input!$1:$1048576,$JG$93,$C227*2+6)</f>
        <v>32.927998354082888</v>
      </c>
      <c r="HR227" s="644">
        <f>(FV227*$GD227-HO227)/$JF227*INDEX(Input!$1:$1048576,$JG$93,$C227*2+6)</f>
        <v>-4.8884054948037781</v>
      </c>
      <c r="HS227" s="644">
        <f t="shared" si="729"/>
        <v>-3.488282917640698</v>
      </c>
      <c r="HT227" s="644">
        <f t="shared" si="638"/>
        <v>63.8066980746475</v>
      </c>
      <c r="HU227" s="644">
        <f t="shared" si="639"/>
        <v>1.9990915402065284</v>
      </c>
      <c r="HV227" s="648">
        <f t="shared" si="640"/>
        <v>0</v>
      </c>
      <c r="HW227" s="648">
        <f t="shared" si="641"/>
        <v>0</v>
      </c>
      <c r="HX227" s="648">
        <f t="shared" si="642"/>
        <v>0</v>
      </c>
      <c r="HY227" s="644">
        <f>INDEX(Input!$1:$1048576,HY$93,$C227*2+6)*INDEX(Input!$1:$1048576,$JG$93,$C227*2+6)</f>
        <v>451</v>
      </c>
      <c r="HZ227" s="644">
        <f>INDEX(Input!$1:$1048576,HZ$93,$C227*2+6)*INDEX(Input!$1:$1048576,$JG$93,$C227*2+6)</f>
        <v>577</v>
      </c>
      <c r="IA227" s="644">
        <f>INDEX(Input!$1:$1048576,IA$93,$C227*2+6)*INDEX(Input!$1:$1048576,$JG$93,$C227*2+6)</f>
        <v>215</v>
      </c>
      <c r="IB227" s="644">
        <f t="shared" si="666"/>
        <v>432.47121197604622</v>
      </c>
      <c r="IC227" s="644">
        <f t="shared" si="667"/>
        <v>673.73469642873033</v>
      </c>
      <c r="ID227" s="644">
        <f>IF(AND(INDEX(Input!$1:$1048576,IA$93,$C227*2+7)="TOS",Y227&lt;=INDEX(Y:Y,MATCH(C227*1000+2,A:A))),0,1)*MAX(IA227+HR227+HU227+HX227,0%)</f>
        <v>212.11068604540276</v>
      </c>
      <c r="IE227" s="128">
        <f t="shared" si="730"/>
        <v>0.32804806811706244</v>
      </c>
      <c r="IF227" s="128">
        <f t="shared" si="643"/>
        <v>0.51105682752155601</v>
      </c>
      <c r="IG227" s="128">
        <f t="shared" si="644"/>
        <v>0.16089510436138157</v>
      </c>
      <c r="IH227" s="21"/>
      <c r="II227" s="19">
        <f t="shared" si="645"/>
        <v>1252</v>
      </c>
      <c r="IJ227" s="19">
        <f t="shared" si="646"/>
        <v>2011.9658773055378</v>
      </c>
      <c r="IK227" s="19">
        <f t="shared" si="647"/>
        <v>919</v>
      </c>
      <c r="IL227" s="19">
        <f t="shared" si="669"/>
        <v>42</v>
      </c>
      <c r="IM227" s="19">
        <f t="shared" si="648"/>
        <v>791.96938942480233</v>
      </c>
      <c r="IN227" s="19">
        <f t="shared" si="649"/>
        <v>27</v>
      </c>
      <c r="IO227" s="39">
        <f t="shared" si="650"/>
        <v>0</v>
      </c>
      <c r="IP227" s="39">
        <f t="shared" si="651"/>
        <v>0</v>
      </c>
      <c r="IQ227" s="39">
        <f t="shared" si="652"/>
        <v>0</v>
      </c>
      <c r="IR227" s="39">
        <v>0</v>
      </c>
      <c r="IS227" s="39">
        <v>0</v>
      </c>
      <c r="IT227" s="39">
        <v>0</v>
      </c>
      <c r="IU227" s="39">
        <v>0</v>
      </c>
      <c r="IV227" s="39">
        <v>0</v>
      </c>
      <c r="IW227" s="39">
        <v>0</v>
      </c>
      <c r="IX227" s="39">
        <f>INDEX(Input!$1:$1048576,IX$93,$C227*2+6)+INDEX(Input!$1:$1048576,IX$94,$C227*2+6)</f>
        <v>1294</v>
      </c>
      <c r="IY227" s="39">
        <f>INDEX(Input!$1:$1048576,IY$93,$C227*2+6)+INDEX(Input!$1:$1048576,IY$94,$C227*2+6)</f>
        <v>2154.0624533823611</v>
      </c>
      <c r="IZ227" s="39">
        <f>INDEX(Input!$1:$1048576,IZ$93,$C227*2+6)+INDEX(Input!$1:$1048576,IZ$94,$C227*2+6)</f>
        <v>3677.7164157747848</v>
      </c>
      <c r="JA227" s="19">
        <f t="shared" si="670"/>
        <v>1336</v>
      </c>
      <c r="JB227" s="19">
        <f t="shared" si="671"/>
        <v>2946.0318428071632</v>
      </c>
      <c r="JC227" s="19">
        <f t="shared" si="672"/>
        <v>3704.7164157747848</v>
      </c>
      <c r="JD227" s="19">
        <f t="shared" si="673"/>
        <v>2539.9326407123149</v>
      </c>
      <c r="JE227" s="21"/>
      <c r="JF227" s="1">
        <f t="shared" si="653"/>
        <v>1.7106565950787935E-2</v>
      </c>
      <c r="JG227" s="15">
        <f>INDEX(Input!$1:$1048576,JG$93,$C227*2+6)/(1+VLOOKUP(C227*1000+INDEX(Input!$1:$1048576,JG$93+1,$C227*2+6),$A:$KK,$JK$92,FALSE))</f>
        <v>1243</v>
      </c>
      <c r="JH227" s="1">
        <f t="shared" si="674"/>
        <v>1.045783407318269E-2</v>
      </c>
      <c r="JI227" s="1">
        <f t="shared" si="675"/>
        <v>5.0134760013848215E-2</v>
      </c>
      <c r="JJ227" s="1">
        <f t="shared" si="731"/>
        <v>0</v>
      </c>
      <c r="JK227" s="1">
        <f t="shared" si="732"/>
        <v>6.0592594087030903E-2</v>
      </c>
      <c r="JL227" s="15">
        <f t="shared" si="678"/>
        <v>75.316594450179409</v>
      </c>
      <c r="JM227" s="15">
        <f t="shared" si="702"/>
        <v>1318.3165944501793</v>
      </c>
      <c r="JN227" s="21"/>
      <c r="JO227" s="19">
        <f>INDEX(Input!$1:$1048576,JO$93,$C227*2+6)</f>
        <v>5995.5</v>
      </c>
      <c r="JP227" s="19">
        <f>INDEX(Input!$1:$1048576,JP$93,$C227*2+6)</f>
        <v>2105.548724853742</v>
      </c>
      <c r="JQ227" s="39">
        <f t="shared" si="688"/>
        <v>3455.5673592876851</v>
      </c>
      <c r="JR227" s="39">
        <f t="shared" si="705"/>
        <v>434.38391585857289</v>
      </c>
      <c r="JS227" s="39">
        <f t="shared" si="690"/>
        <v>3.34843534903671</v>
      </c>
      <c r="JT227" s="39">
        <f t="shared" si="680"/>
        <v>0.73123828404350855</v>
      </c>
      <c r="JU227" s="385">
        <f>(JQ227*JM227-INDEX(Input!$1:$1048576,Input!A$18,$C227*2+6)*JL227*INDEX(Input!$1:$1048576,Input!A$19,$C227*2+6))/1000000</f>
        <v>4.5555317929893402</v>
      </c>
      <c r="JV227" s="39">
        <f t="shared" si="712"/>
        <v>-0.27967764201745826</v>
      </c>
      <c r="JW227" s="1">
        <f t="shared" si="703"/>
        <v>-5.7841887880305441E-2</v>
      </c>
      <c r="JX227" s="19">
        <f t="shared" si="694"/>
        <v>9708.86017061233</v>
      </c>
      <c r="JZ227" s="341"/>
      <c r="KA227" s="342"/>
      <c r="KB227" s="469">
        <f t="shared" si="691"/>
        <v>2.5660492421988774</v>
      </c>
      <c r="KI227" s="473">
        <f t="shared" si="719"/>
        <v>-18.52878802395378</v>
      </c>
      <c r="KJ227" s="473">
        <f t="shared" si="720"/>
        <v>96.734696428730444</v>
      </c>
      <c r="KK227" s="473">
        <f t="shared" si="682"/>
        <v>-2.8893139545972417</v>
      </c>
      <c r="KN227" s="544">
        <f t="shared" si="695"/>
        <v>2002</v>
      </c>
      <c r="KO227" s="541">
        <f t="shared" si="657"/>
        <v>5.4343851608454452E-2</v>
      </c>
      <c r="KP227" s="546">
        <f t="shared" si="658"/>
        <v>383.27639602073054</v>
      </c>
      <c r="KQ227" s="546">
        <f t="shared" si="659"/>
        <v>396.25230127884197</v>
      </c>
      <c r="KR227" s="548">
        <f t="shared" si="660"/>
        <v>2.5296784205839455</v>
      </c>
      <c r="KS227" s="548">
        <f t="shared" si="661"/>
        <v>2.4468401192969895</v>
      </c>
      <c r="KT227" s="473">
        <f t="shared" si="693"/>
        <v>843.26993010479111</v>
      </c>
      <c r="KU227" s="663">
        <f t="shared" si="683"/>
        <v>4.4325562693395062</v>
      </c>
      <c r="KV227" s="117"/>
    </row>
    <row r="228" spans="1:308" s="26" customFormat="1" ht="15">
      <c r="A228" s="561">
        <f t="shared" si="662"/>
        <v>2028</v>
      </c>
      <c r="B228" s="561">
        <f t="shared" si="684"/>
        <v>28</v>
      </c>
      <c r="C228" s="561">
        <f t="shared" si="105"/>
        <v>2</v>
      </c>
      <c r="D228" s="561" t="str">
        <f t="shared" si="728"/>
        <v xml:space="preserve">1000 Combo, </v>
      </c>
      <c r="E228" s="475">
        <f>INDEX(Input!$1:$1048576,E$93,$C228*2+MIN($B228,2)+5)
+INDEX(Scenarios!E$121:E$200,MATCH($B228,Scenarios!$B$121:$B$200,0))</f>
        <v>1269.7618664521319</v>
      </c>
      <c r="F228" s="475">
        <f>INDEX(Input!$1:$1048576,F$93,$C228*2+MIN($B228,2)+5)
+INDEX(Scenarios!F$121:F$200,MATCH($B228,Scenarios!$B$121:$B$200,0))</f>
        <v>0</v>
      </c>
      <c r="G228" s="475">
        <f>INDEX(Input!$1:$1048576,G$93,$C228*2+MIN($B228,2)+5)
+INDEX(Scenarios!G$121:G$200,MATCH($B228,Scenarios!$B$121:$B$200,0))</f>
        <v>0</v>
      </c>
      <c r="H228" s="475">
        <f>INDEX(Input!$1:$1048576,H$93,$C228*2+MIN($B228,2)+5)
+INDEX(Scenarios!H$121:H$200,MATCH($B228,Scenarios!$B$121:$B$200,0))</f>
        <v>0</v>
      </c>
      <c r="I228" s="476">
        <f>INDEX(Input!$1:$1048576,I$93,$C228*2+MIN($B228,2)+5)</f>
        <v>0.7</v>
      </c>
      <c r="J228" s="476" t="str">
        <f>INDEX(Input!$1:$1048576,J$93,$C228*2+MIN($B228,2)+5)</f>
        <v>Market</v>
      </c>
      <c r="K228" s="476" t="str">
        <f>INDEX(Input!$1:$1048576,K$93,$C228*2+MIN($B228,2)+5)</f>
        <v>Market</v>
      </c>
      <c r="L228" s="476" t="str">
        <f>INDEX(Input!$1:$1048576,L$93,$C228*2+MIN($B228,2)+5)</f>
        <v>Market</v>
      </c>
      <c r="M228" s="476" t="str">
        <f>INDEX(Input!$1:$1048576,M$93,$C228*2+MIN($B228,2)+5)</f>
        <v>Market</v>
      </c>
      <c r="N228" s="476" t="str">
        <f>INDEX(Input!$1:$1048576,N$93,$C228*2+MIN($B228,2)+5)</f>
        <v>Market</v>
      </c>
      <c r="O228" s="476" t="str">
        <f>INDEX(Input!$1:$1048576,O$93,$C228*2+MIN($B228,2)+5)</f>
        <v>Market</v>
      </c>
      <c r="P228" s="476" t="str">
        <f>INDEX(Input!$1:$1048576,P$93,$C228*2+MIN($B228,2)+5)</f>
        <v>N</v>
      </c>
      <c r="Q228" s="477">
        <f>INDEX(Input!$1:$1048576,Q$93,$C228*2+MIN($B228,2)+5)
+INDEX(Scenarios!Q$121:Q$200,MATCH($B228,Scenarios!$B$121:$B$200,0))</f>
        <v>1000</v>
      </c>
      <c r="R228" s="478">
        <f>IFERROR(MAX(0,INDEX(Input!$1:$1048576,R$93,$C228*2+MIN($B228,2)+5)
+INDEX(Scenarios!R$121:R$200,MATCH($B228,Scenarios!$B$121:$B$200,0)),),"Market")</f>
        <v>0</v>
      </c>
      <c r="S228" s="478">
        <f>IFERROR(MAX(0,INDEX(Input!$1:$1048576,S$93,$C228*2+MIN($B228,2)+5)
+INDEX(Scenarios!S$121:S$200,MATCH($B228,Scenarios!$B$121:$B$200,0)),),"Market")</f>
        <v>0</v>
      </c>
      <c r="T228" s="478">
        <f>IFERROR(MAX(0,INDEX(Input!$1:$1048576,T$93,$C228*2+MIN($B228,2)+5)
+INDEX(Scenarios!T$121:T$200,MATCH($B228,Scenarios!$B$121:$B$200,0)),),"Market")</f>
        <v>0</v>
      </c>
      <c r="U228" s="478">
        <f>IFERROR(MAX(0,INDEX(Input!$1:$1048576,U$93,$C228*2+MIN($B228,2)+5)
+INDEX(Scenarios!U$121:U$200,MATCH($B228,Scenarios!$B$121:$B$200,0)),),"Market")</f>
        <v>0</v>
      </c>
      <c r="V228" s="478">
        <f>IFERROR(MAX(0,INDEX(Input!$1:$1048576,V$93,$C228*2+MIN($B228,2)+5)
+INDEX(Scenarios!V$121:V$200,MATCH($B228,Scenarios!$B$121:$B$200,0)),),"Market")</f>
        <v>1.9E-2</v>
      </c>
      <c r="W228" s="885">
        <f>IFERROR(MAX(0,INDEX(Input!$1:$1048576,W$93,$C228*2+MIN($B228,2)+5)-0%,),"Market")</f>
        <v>3.9E-2</v>
      </c>
      <c r="X228" s="476" t="str">
        <f>INDEX(Input!$1:$1048576,X$93,$C228*2+MIN($B228,2)+5)</f>
        <v>Y</v>
      </c>
      <c r="Y228" s="475">
        <f>INDEX(Input!$1:$1048576,Y$93,$C228*2+MIN($B228,2)+5)
++INDEX(Scenarios!Y$121:Y$200,MATCH($B228,Scenarios!$B$121:$B$200,0))</f>
        <v>56</v>
      </c>
      <c r="Z228" s="477">
        <f>INDEX(Input!$1:$1048576,Z$93,$C228*2+MIN($B228,2)+5)
+INDEX(Scenarios!Z$121:Z$200,MATCH($B228,Scenarios!$B$121:$B$200,0))</f>
        <v>0</v>
      </c>
      <c r="AA228" s="475">
        <f>INDEX(Input!$1:$1048576,AA$93,$C228*2+MIN($B228,2)+5)
+INDEX(Scenarios!AA$121:AA$200,MATCH($B228,Scenarios!$B$121:$B$200,0))</f>
        <v>0</v>
      </c>
      <c r="AB228" s="476">
        <f>INDEX(Input!$1:$1048576,AB$93,$C228*2+MIN($B228,2)+5)</f>
        <v>0.27</v>
      </c>
      <c r="AC228" s="475">
        <f>INDEX(Input!$1:$1048576,AC$93,$C228*2+MIN($B228,2)+5)
+INDEX(Scenarios!AC$121:AC$200,MATCH($B228,Scenarios!$B$121:$B$200,0))</f>
        <v>0</v>
      </c>
      <c r="AD228" s="476">
        <f>INDEX(Input!$1:$1048576,AD$93,$C228*2+MIN($B228,2)+5)</f>
        <v>0.27</v>
      </c>
      <c r="AE228" s="475">
        <f>INDEX(Input!$1:$1048576,AE$93,$C228*2+MIN($B228,2)+5)
+INDEX(Scenarios!AE$121:AE$200,MATCH($B228,Scenarios!$B$121:$B$200,0))</f>
        <v>0</v>
      </c>
      <c r="AF228" s="476">
        <f>INDEX(Input!$1:$1048576,AF$93,$C228*2+MIN($B228,2)+5)</f>
        <v>4.8000000000000001E-2</v>
      </c>
      <c r="AG228" s="475">
        <f>INDEX(Input!$1:$1048576,AG$93,$C228*2+MIN($B228,2)+5)
+INDEX(Scenarios!AG$121:AG$200,MATCH($B228,Scenarios!$B$121:$B$200,0))</f>
        <v>500</v>
      </c>
      <c r="AH228" s="476">
        <f>INDEX(Input!$1:$1048576,AH$93,$C228*2+MIN($B228,2)+5)</f>
        <v>0.94599999999999995</v>
      </c>
      <c r="AI228" s="475">
        <f>INDEX(Input!$1:$1048576,AI$93,$C228*2+MIN($B228,2)+5)
+INDEX(Scenarios!AI$121:AI$200,MATCH($B228,Scenarios!$B$121:$B$200,0))</f>
        <v>0</v>
      </c>
      <c r="AJ228" s="476">
        <f>INDEX(Input!$1:$1048576,AJ$93,$C228*2+MIN($B228,2)+5)</f>
        <v>0.27</v>
      </c>
      <c r="AK228" s="150">
        <f>ROUND(INDEX(Input!$1:$1048576,AK$93,$C227*2+MIN($B228,1)+5)+(Y228-VLOOKUP($C228*1000+1,$A:$HH,Y$92,FALSE)),0)</f>
        <v>2977</v>
      </c>
      <c r="AL228" s="150">
        <f>ROUND(INDEX(Input!$1:$1048576,AL$93,$C227*2+MIN($B228,1)+5)-(Y228-VLOOKUP($C228*1000+1,$A:$HH,Y$92,FALSE))/36,0)</f>
        <v>3395</v>
      </c>
      <c r="AM228" s="32" t="str">
        <f t="shared" si="663"/>
        <v>std/std/std/std</v>
      </c>
      <c r="AN228" s="32" t="str">
        <f t="shared" si="664"/>
        <v>$1000 + 0/0/0/1.9/3.9</v>
      </c>
      <c r="AO228" s="32" t="str">
        <f t="shared" si="665"/>
        <v>0/0/0/1.9/3.9</v>
      </c>
      <c r="AP228" s="32" t="str">
        <f t="shared" si="498"/>
        <v>0/0.9/1.9/3.9</v>
      </c>
      <c r="AQ228" s="536">
        <f t="shared" si="497"/>
        <v>0.31555409219384117</v>
      </c>
      <c r="AR228" s="32"/>
      <c r="AS228" s="302"/>
      <c r="AT228" s="3">
        <f t="shared" si="717"/>
        <v>28</v>
      </c>
      <c r="AU228" s="41" t="s">
        <v>121</v>
      </c>
      <c r="AV228" s="41" t="s">
        <v>116</v>
      </c>
      <c r="AW228" s="41" t="str">
        <f>INDEX(Input!$1:$1048576,AW$93,$C228*2+6)</f>
        <v>Kia</v>
      </c>
      <c r="AX228" s="41" t="str">
        <f>INDEX(Input!$1:$1048576,AX$93,$C228*2+6)</f>
        <v>Kia-LR - L2</v>
      </c>
      <c r="AY228" s="41" t="str">
        <f>IF(LEN(D228)=0,"",INDEX(Input!$1:$1048576,AY$93,$C228*2+6))</f>
        <v>Compact SUV (52)</v>
      </c>
      <c r="AZ228" s="41" t="str">
        <f>INDEX(Input!$1:$1048576,AZ$93,$C228*2+6)</f>
        <v>Kia Soul</v>
      </c>
      <c r="BA228" s="3">
        <f>INDEX(Input!$1:$1048576,BA$93,$C228*2+6)</f>
        <v>2020</v>
      </c>
      <c r="BB228" s="128">
        <f>INDEX(Input!$1:$1048576,BB$93,$C228*2+6)</f>
        <v>1</v>
      </c>
      <c r="BC228" s="128">
        <f>INDEX(Input!$1:$1048576,BC$93,$C228*2+6)</f>
        <v>0.7</v>
      </c>
      <c r="BD228" s="1">
        <f>INDEX(Input!$1:$1048576,BD$93,$C228*2+6)</f>
        <v>4.4999999999999998E-2</v>
      </c>
      <c r="BE228" s="1">
        <f>INDEX(Input!$1:$1048576,BE$93,$C228*2+6)</f>
        <v>4.4999999999999998E-2</v>
      </c>
      <c r="BF228" s="1">
        <f>INDEX(Input!$1:$1048576,BF$93,$C228*2+6)</f>
        <v>0.05</v>
      </c>
      <c r="BG228" s="1">
        <f>INDEX(Input!$1:$1048576,BG$93,$C228*2+6)</f>
        <v>5.45E-2</v>
      </c>
      <c r="BH228" s="1">
        <f>INDEX(Input!$1:$1048576,BH$93,$C228*2+6)</f>
        <v>5.45E-2</v>
      </c>
      <c r="BI228" s="1">
        <f>INDEX(Input!$1:$1048576,BI$93,$C228*2+6)</f>
        <v>0.05</v>
      </c>
      <c r="BJ228" s="1">
        <f>INDEX(Input!$1:$1048576,BJ$93,$C228*2+6)</f>
        <v>0.05</v>
      </c>
      <c r="BK228" s="1">
        <f>INDEX(Input!$1:$1048576,BK$93,$C228*2+6)</f>
        <v>0.05</v>
      </c>
      <c r="BL228" s="1">
        <f>INDEX(Input!$1:$1048576,BL$93,$C228*2+6)</f>
        <v>5.5E-2</v>
      </c>
      <c r="BM228" s="1">
        <f>INDEX(Input!$1:$1048576,BM$93,$C228*2+6)</f>
        <v>0.06</v>
      </c>
      <c r="BN228" s="1">
        <f>INDEX(Input!$1:$1048576,BN$93,$C228*2+6)</f>
        <v>4.4999999999999998E-2</v>
      </c>
      <c r="BO228" s="1">
        <f>INDEX(Input!$1:$1048576,BO$93,$C228*2+6)</f>
        <v>4.4999999999999998E-2</v>
      </c>
      <c r="BP228" s="1">
        <f>INDEX(Input!$1:$1048576,BP$93,$C228*2+6)</f>
        <v>0.05</v>
      </c>
      <c r="BQ228" s="1">
        <f>INDEX(Input!$1:$1048576,BQ$93,$C228*2+6)</f>
        <v>5.45E-2</v>
      </c>
      <c r="BR228" s="1">
        <f>INDEX(Input!$1:$1048576,BR$93,$C228*2+6)</f>
        <v>5.45E-2</v>
      </c>
      <c r="BS228" s="1">
        <f>INDEX(Input!$1:$1048576,BS$93,$C228*2+6)</f>
        <v>0.05</v>
      </c>
      <c r="BT228" s="1">
        <f>INDEX(Input!$1:$1048576,BT$93,$C228*2+6)</f>
        <v>0.05</v>
      </c>
      <c r="BU228" s="1">
        <f>INDEX(Input!$1:$1048576,BU$93,$C228*2+6)</f>
        <v>0.05</v>
      </c>
      <c r="BV228" s="1">
        <f>INDEX(Input!$1:$1048576,BV$93,$C228*2+6)</f>
        <v>5.5E-2</v>
      </c>
      <c r="BW228" s="1">
        <f>INDEX(Input!$1:$1048576,BW$93,$C228*2+6)</f>
        <v>0.06</v>
      </c>
      <c r="BX228" s="127">
        <f>INDEX(Input!$1:$1048576,BX$93,$C228*2+6)</f>
        <v>19985</v>
      </c>
      <c r="BY228" s="20">
        <f>INDEX(Input!$1:$1048576,BY$93,$C228*2+6)</f>
        <v>0.1</v>
      </c>
      <c r="BZ228" s="20">
        <f>INDEX(Input!$1:$1048576,BZ$93,$C228*2+6)</f>
        <v>0.1</v>
      </c>
      <c r="CA228" s="20">
        <f>INDEX(Input!$1:$1048576,CA$93,$C228*2+6)</f>
        <v>0.1</v>
      </c>
      <c r="CB228" s="20">
        <f>INDEX(Input!$1:$1048576,CB$93,$C228*2+6)</f>
        <v>0.1</v>
      </c>
      <c r="CC228" s="20">
        <f>INDEX(Input!$1:$1048576,CC$93,$C228*2+6)</f>
        <v>0.1</v>
      </c>
      <c r="CD228" s="384">
        <f>INDEX(Input!$1:$1048576,CD$93,$C228*2+6)</f>
        <v>0.1</v>
      </c>
      <c r="CE228" s="384">
        <f>INDEX(Input!$1:$1048576,CE$93,$C228*2+6)</f>
        <v>0.1</v>
      </c>
      <c r="CF228" s="384">
        <f>INDEX(Input!$1:$1048576,CF$93,$C228*2+6)</f>
        <v>0.1</v>
      </c>
      <c r="CG228" s="384">
        <f>INDEX(Input!$1:$1048576,CG$93,$C228*2+6)</f>
        <v>0.1</v>
      </c>
      <c r="CH228" s="384">
        <f>INDEX(Input!$1:$1048576,CH$93,$C228*2+6)</f>
        <v>0.1</v>
      </c>
      <c r="CI228" s="304">
        <f t="shared" si="499"/>
        <v>1269.7618664521319</v>
      </c>
      <c r="CJ228" s="16" t="str">
        <f>INDEX(Input!$1:$1048576,CJ$93,$C228*2+6)</f>
        <v>N</v>
      </c>
      <c r="CK228" s="1" t="str">
        <f t="shared" si="500"/>
        <v>Market</v>
      </c>
      <c r="CL228" s="1" t="str">
        <f t="shared" si="501"/>
        <v>Market</v>
      </c>
      <c r="CM228" s="1" t="str">
        <f t="shared" si="502"/>
        <v>Market</v>
      </c>
      <c r="CN228" s="1" t="str">
        <f t="shared" si="503"/>
        <v>Market</v>
      </c>
      <c r="CO228" s="1" t="str">
        <f t="shared" si="504"/>
        <v>Market</v>
      </c>
      <c r="CP228" s="304">
        <f t="shared" si="505"/>
        <v>1473</v>
      </c>
      <c r="CQ228" s="1">
        <f t="shared" si="506"/>
        <v>0</v>
      </c>
      <c r="CR228" s="1">
        <f t="shared" si="507"/>
        <v>0</v>
      </c>
      <c r="CS228" s="1">
        <f t="shared" si="508"/>
        <v>0</v>
      </c>
      <c r="CT228" s="1">
        <f t="shared" si="509"/>
        <v>1.9E-2</v>
      </c>
      <c r="CU228" s="1">
        <f t="shared" si="510"/>
        <v>3.9E-2</v>
      </c>
      <c r="CV228" s="304">
        <f t="shared" si="511"/>
        <v>56</v>
      </c>
      <c r="CW228" s="20" t="s">
        <v>122</v>
      </c>
      <c r="CX228" s="20" t="s">
        <v>122</v>
      </c>
      <c r="CY228" s="20" t="s">
        <v>122</v>
      </c>
      <c r="CZ228" s="20" t="s">
        <v>122</v>
      </c>
      <c r="DA228" s="20" t="s">
        <v>122</v>
      </c>
      <c r="DB228" s="503">
        <f t="shared" si="512"/>
        <v>0</v>
      </c>
      <c r="DC228" s="127">
        <v>0</v>
      </c>
      <c r="DD228" s="127">
        <v>0</v>
      </c>
      <c r="DE228" s="127">
        <v>0</v>
      </c>
      <c r="DF228" s="127">
        <v>0</v>
      </c>
      <c r="DG228" s="127">
        <v>0</v>
      </c>
      <c r="DH228" s="127">
        <v>0</v>
      </c>
      <c r="DI228" s="127">
        <v>0</v>
      </c>
      <c r="DJ228" s="127">
        <v>0</v>
      </c>
      <c r="DK228" s="127">
        <v>0</v>
      </c>
      <c r="DL228" s="127">
        <v>0</v>
      </c>
      <c r="DM228" s="304">
        <f>INDEX(Input!$1:$1048576,DM$93,$C228*2+6)</f>
        <v>21036.84210526316</v>
      </c>
      <c r="DN228" s="20">
        <v>0</v>
      </c>
      <c r="DO228" s="20">
        <v>0</v>
      </c>
      <c r="DP228" s="20">
        <v>0</v>
      </c>
      <c r="DQ228" s="20">
        <v>0</v>
      </c>
      <c r="DR228" s="20">
        <v>0</v>
      </c>
      <c r="DS228" s="20">
        <f>INDEX(Input!$1:$1048576,DS$93,$C228*2+6)</f>
        <v>0.6</v>
      </c>
      <c r="DT228" s="20">
        <f>INDEX(Input!$1:$1048576,DT$93,$C228*2+6)</f>
        <v>0.55000000000000004</v>
      </c>
      <c r="DU228" s="20">
        <f>INDEX(Input!$1:$1048576,DU$93,$C228*2+6)</f>
        <v>0.52</v>
      </c>
      <c r="DV228" s="20">
        <f>INDEX(Input!$1:$1048576,DV$93,$C228*2+6)</f>
        <v>0.5</v>
      </c>
      <c r="DW228" s="20">
        <f>INDEX(Input!$1:$1048576,DW$93,$C228*2+6)</f>
        <v>0.45</v>
      </c>
      <c r="DX228" s="20"/>
      <c r="DY228" s="7">
        <v>8.9372133160110709E-2</v>
      </c>
      <c r="DZ228" s="7">
        <v>0</v>
      </c>
      <c r="EA228" s="7">
        <v>0.62861493422731318</v>
      </c>
      <c r="EB228" s="7">
        <v>0</v>
      </c>
      <c r="EC228" s="7">
        <v>0</v>
      </c>
      <c r="ED228" s="7">
        <v>0</v>
      </c>
      <c r="EE228" s="7">
        <v>0</v>
      </c>
      <c r="EF228" s="7">
        <v>0</v>
      </c>
      <c r="EG228" s="7">
        <v>0</v>
      </c>
      <c r="EH228" s="7">
        <v>1.425346617534399E-2</v>
      </c>
      <c r="EI228" s="7">
        <v>4.0564352726089485E-2</v>
      </c>
      <c r="EJ228" s="7">
        <v>0.30716141427544674</v>
      </c>
      <c r="EK228" s="7">
        <v>0.5267966521664269</v>
      </c>
      <c r="EL228" s="7">
        <v>0.11122411465669255</v>
      </c>
      <c r="EM228" s="7">
        <v>9.3522446053976693E-2</v>
      </c>
      <c r="EN228" s="7">
        <v>6.554832747404786E-2</v>
      </c>
      <c r="EO228" s="7">
        <v>0.73221150048298722</v>
      </c>
      <c r="EP228" s="7">
        <v>8.7594442292340841E-2</v>
      </c>
      <c r="EQ228" s="7">
        <v>7.4717277382113853E-2</v>
      </c>
      <c r="ER228" s="7">
        <v>3.9928452368509879E-2</v>
      </c>
      <c r="ES228" s="7">
        <v>0.18849048655859937</v>
      </c>
      <c r="ET228" s="7">
        <v>0.28201293261257621</v>
      </c>
      <c r="EU228" s="6">
        <v>1294</v>
      </c>
      <c r="EV228" s="6">
        <v>0</v>
      </c>
      <c r="EW228" s="6">
        <v>1294</v>
      </c>
      <c r="EX228" s="6">
        <v>0</v>
      </c>
      <c r="EY228" s="6">
        <v>3053.9254103144463</v>
      </c>
      <c r="EZ228" s="6">
        <v>946</v>
      </c>
      <c r="FA228" s="6">
        <v>0</v>
      </c>
      <c r="FB228" s="6">
        <v>0</v>
      </c>
      <c r="FC228" s="6">
        <v>0</v>
      </c>
      <c r="FD228" s="6">
        <v>0</v>
      </c>
      <c r="FE228" s="6">
        <v>0</v>
      </c>
      <c r="FF228" s="6">
        <v>0</v>
      </c>
      <c r="FG228" s="6">
        <v>0</v>
      </c>
      <c r="FH228" s="6">
        <v>1173.7265472925899</v>
      </c>
      <c r="FI228" s="6">
        <v>1553.9796069512408</v>
      </c>
      <c r="FJ228" s="6">
        <v>2101.2110117447396</v>
      </c>
      <c r="FK228" s="6">
        <v>1772.713997862324</v>
      </c>
      <c r="FL228" s="6">
        <v>907.07682140966313</v>
      </c>
      <c r="FM228" s="6">
        <v>1759.9254103144463</v>
      </c>
      <c r="FN228" s="6">
        <v>0</v>
      </c>
      <c r="FO228" s="6">
        <v>0</v>
      </c>
      <c r="FP228" s="6">
        <v>0</v>
      </c>
      <c r="FQ228" s="6">
        <v>0</v>
      </c>
      <c r="FR228" s="6">
        <v>0</v>
      </c>
      <c r="FS228" s="6">
        <v>0</v>
      </c>
      <c r="FT228" s="7">
        <v>0.71798706738742391</v>
      </c>
      <c r="FU228" s="7">
        <v>9.3522446053976693E-2</v>
      </c>
      <c r="FV228" s="7">
        <v>0.18849048655859937</v>
      </c>
      <c r="FW228" s="6">
        <v>1294</v>
      </c>
      <c r="FX228" s="6">
        <v>3053.9254103144463</v>
      </c>
      <c r="FY228" s="6">
        <v>946</v>
      </c>
      <c r="FZ228" s="6">
        <v>1817.4615072224267</v>
      </c>
      <c r="GA228" s="6">
        <v>1392.997839922763</v>
      </c>
      <c r="GB228" s="6">
        <v>18592.002160077238</v>
      </c>
      <c r="GC228" s="7">
        <v>1.804905384453976E-2</v>
      </c>
      <c r="GD228" s="7">
        <v>1.7326163836798431E-2</v>
      </c>
      <c r="GE228" s="7"/>
      <c r="GF228" s="7"/>
      <c r="GG228" s="7">
        <v>-4.0051407346209399E-2</v>
      </c>
      <c r="GH228" s="42">
        <v>1.8857382562472831</v>
      </c>
      <c r="GI228" s="6">
        <v>11990.969182865756</v>
      </c>
      <c r="GJ228" s="14">
        <v>0.50394797582841744</v>
      </c>
      <c r="GK228" s="14">
        <v>0.50887573065309744</v>
      </c>
      <c r="GL228" s="14">
        <v>0.49605202417158284</v>
      </c>
      <c r="GM228" s="14">
        <v>0.49112426934690256</v>
      </c>
      <c r="GO228" s="5">
        <v>343.14810671672558</v>
      </c>
      <c r="GP228" s="5">
        <v>318.46105531198077</v>
      </c>
      <c r="GQ228" s="5">
        <v>535.04305713031317</v>
      </c>
      <c r="GR228" s="5">
        <v>410.15490233172511</v>
      </c>
      <c r="GS228" s="5">
        <v>339.42744393800166</v>
      </c>
      <c r="GT228" s="5">
        <v>293.4407446948278</v>
      </c>
      <c r="GU228" s="5">
        <v>258.04012322764959</v>
      </c>
      <c r="GV228" s="39" t="s">
        <v>392</v>
      </c>
      <c r="GW228" s="5">
        <v>463.68055555555554</v>
      </c>
      <c r="GX228" s="5">
        <v>347.76041666666669</v>
      </c>
      <c r="GY228" s="5">
        <v>278.20833333333331</v>
      </c>
      <c r="GZ228" s="5">
        <v>245.48949565254571</v>
      </c>
      <c r="HA228" s="5">
        <v>227.39897390161556</v>
      </c>
      <c r="HB228" s="39">
        <v>260.78589044832916</v>
      </c>
      <c r="HC228" s="5">
        <v>245.89687499999999</v>
      </c>
      <c r="HD228" s="5">
        <v>211.55677997076018</v>
      </c>
      <c r="HE228" s="5">
        <v>214.73562331309037</v>
      </c>
      <c r="HF228" s="5">
        <v>199.03250548245612</v>
      </c>
      <c r="HG228" s="5">
        <v>192.49971491228069</v>
      </c>
      <c r="HH228" s="39">
        <v>212.38946596950936</v>
      </c>
      <c r="HI228" s="16"/>
      <c r="HJ228" s="19" t="str">
        <f t="shared" si="726"/>
        <v>On</v>
      </c>
      <c r="HK228" s="1" t="str">
        <f t="shared" si="726"/>
        <v>On</v>
      </c>
      <c r="HL228" s="16"/>
      <c r="HM228" s="639">
        <f t="shared" si="634"/>
        <v>1.2768706344444866E-2</v>
      </c>
      <c r="HN228" s="639">
        <f t="shared" si="635"/>
        <v>9.795534288915453E-4</v>
      </c>
      <c r="HO228" s="639">
        <f t="shared" si="636"/>
        <v>3.3583061774515237E-3</v>
      </c>
      <c r="HP228" s="644">
        <f>(FT228*$GD228-HM228)/$JF228*INDEX(Input!$1:$1048576,$JG$93,$C228*2+6)</f>
        <v>-23.88730534434168</v>
      </c>
      <c r="HQ228" s="644">
        <f>(FU228*$GD228-HN228)/$JF228*INDEX(Input!$1:$1048576,$JG$93,$C228*2+6)</f>
        <v>46.564221133380251</v>
      </c>
      <c r="HR228" s="644">
        <f>(FV228*$GD228-HO228)/$JF228*INDEX(Input!$1:$1048576,$JG$93,$C228*2+6)</f>
        <v>-6.7204594730079243</v>
      </c>
      <c r="HS228" s="644">
        <f t="shared" si="729"/>
        <v>-3.7635350223636852</v>
      </c>
      <c r="HT228" s="644">
        <f t="shared" si="638"/>
        <v>84.138406184300138</v>
      </c>
      <c r="HU228" s="644">
        <f t="shared" si="639"/>
        <v>2.274343644929516</v>
      </c>
      <c r="HV228" s="648">
        <f t="shared" si="640"/>
        <v>0</v>
      </c>
      <c r="HW228" s="648">
        <f t="shared" si="641"/>
        <v>0</v>
      </c>
      <c r="HX228" s="648">
        <f t="shared" si="642"/>
        <v>0</v>
      </c>
      <c r="HY228" s="644">
        <f>INDEX(Input!$1:$1048576,HY$93,$C228*2+6)*INDEX(Input!$1:$1048576,$JG$93,$C228*2+6)</f>
        <v>451</v>
      </c>
      <c r="HZ228" s="644">
        <f>INDEX(Input!$1:$1048576,HZ$93,$C228*2+6)*INDEX(Input!$1:$1048576,$JG$93,$C228*2+6)</f>
        <v>577</v>
      </c>
      <c r="IA228" s="644">
        <f>INDEX(Input!$1:$1048576,IA$93,$C228*2+6)*INDEX(Input!$1:$1048576,$JG$93,$C228*2+6)</f>
        <v>215</v>
      </c>
      <c r="IB228" s="644">
        <f t="shared" si="666"/>
        <v>423.34915963329468</v>
      </c>
      <c r="IC228" s="644">
        <f t="shared" si="667"/>
        <v>707.70262731768037</v>
      </c>
      <c r="ID228" s="644">
        <f>IF(AND(INDEX(Input!$1:$1048576,IA$93,$C228*2+7)="TOS",Y228&lt;=INDEX(Y:Y,MATCH(C228*1000+2,A:A))),0,1)*MAX(IA228+HR228+HU228+HX228,0%)</f>
        <v>210.5538841719216</v>
      </c>
      <c r="IE228" s="128">
        <f t="shared" si="730"/>
        <v>0.31555409219384117</v>
      </c>
      <c r="IF228" s="128">
        <f t="shared" si="643"/>
        <v>0.52750420078751437</v>
      </c>
      <c r="IG228" s="128">
        <f t="shared" si="644"/>
        <v>0.15694170701864452</v>
      </c>
      <c r="IH228" s="21"/>
      <c r="II228" s="19">
        <f t="shared" si="645"/>
        <v>1252</v>
      </c>
      <c r="IJ228" s="19">
        <f t="shared" si="646"/>
        <v>2011.9658773055378</v>
      </c>
      <c r="IK228" s="19">
        <f t="shared" si="647"/>
        <v>919</v>
      </c>
      <c r="IL228" s="19">
        <f t="shared" si="669"/>
        <v>42</v>
      </c>
      <c r="IM228" s="19">
        <f t="shared" si="648"/>
        <v>1041.9595330089085</v>
      </c>
      <c r="IN228" s="19">
        <f t="shared" si="649"/>
        <v>27</v>
      </c>
      <c r="IO228" s="39">
        <f t="shared" si="650"/>
        <v>0</v>
      </c>
      <c r="IP228" s="39">
        <f t="shared" si="651"/>
        <v>0</v>
      </c>
      <c r="IQ228" s="39">
        <f t="shared" si="652"/>
        <v>0</v>
      </c>
      <c r="IR228" s="39">
        <v>0</v>
      </c>
      <c r="IS228" s="39">
        <v>0</v>
      </c>
      <c r="IT228" s="39">
        <v>0</v>
      </c>
      <c r="IU228" s="39">
        <v>0</v>
      </c>
      <c r="IV228" s="39">
        <v>0</v>
      </c>
      <c r="IW228" s="39">
        <v>0</v>
      </c>
      <c r="IX228" s="39">
        <f>INDEX(Input!$1:$1048576,IX$93,$C228*2+6)+INDEX(Input!$1:$1048576,IX$94,$C228*2+6)</f>
        <v>1294</v>
      </c>
      <c r="IY228" s="39">
        <f>INDEX(Input!$1:$1048576,IY$93,$C228*2+6)+INDEX(Input!$1:$1048576,IY$94,$C228*2+6)</f>
        <v>2154.0624533823611</v>
      </c>
      <c r="IZ228" s="39">
        <f>INDEX(Input!$1:$1048576,IZ$93,$C228*2+6)+INDEX(Input!$1:$1048576,IZ$94,$C228*2+6)</f>
        <v>3677.7164157747848</v>
      </c>
      <c r="JA228" s="19">
        <f t="shared" si="670"/>
        <v>1336</v>
      </c>
      <c r="JB228" s="19">
        <f t="shared" si="671"/>
        <v>3196.0219863912698</v>
      </c>
      <c r="JC228" s="19">
        <f t="shared" si="672"/>
        <v>3704.7164157747848</v>
      </c>
      <c r="JD228" s="19">
        <f t="shared" si="673"/>
        <v>2688.9198091133117</v>
      </c>
      <c r="JE228" s="21"/>
      <c r="JF228" s="1">
        <f t="shared" si="653"/>
        <v>1.7106565950787935E-2</v>
      </c>
      <c r="JG228" s="15">
        <f>INDEX(Input!$1:$1048576,JG$93,$C228*2+6)/(1+VLOOKUP(C228*1000+INDEX(Input!$1:$1048576,JG$93+1,$C228*2+6),$A:$KK,$JK$92,FALSE))</f>
        <v>1243</v>
      </c>
      <c r="JH228" s="1">
        <f t="shared" si="674"/>
        <v>1.2837052547088211E-2</v>
      </c>
      <c r="JI228" s="1">
        <f t="shared" si="675"/>
        <v>6.6491725508339483E-2</v>
      </c>
      <c r="JJ228" s="1">
        <f t="shared" si="731"/>
        <v>0</v>
      </c>
      <c r="JK228" s="1">
        <f t="shared" si="732"/>
        <v>7.9328778055427693E-2</v>
      </c>
      <c r="JL228" s="15">
        <f t="shared" si="678"/>
        <v>98.605671122896624</v>
      </c>
      <c r="JM228" s="15">
        <f t="shared" si="702"/>
        <v>1341.6056711228966</v>
      </c>
      <c r="JN228" s="21"/>
      <c r="JO228" s="19">
        <f>INDEX(Input!$1:$1048576,JO$93,$C228*2+6)</f>
        <v>5995.5</v>
      </c>
      <c r="JP228" s="19">
        <f>INDEX(Input!$1:$1048576,JP$93,$C228*2+6)</f>
        <v>2105.548724853742</v>
      </c>
      <c r="JQ228" s="39">
        <f t="shared" si="688"/>
        <v>3306.5801908866883</v>
      </c>
      <c r="JR228" s="39">
        <f t="shared" si="705"/>
        <v>583.37108425956967</v>
      </c>
      <c r="JS228" s="39">
        <f t="shared" si="690"/>
        <v>3.6074700651011153</v>
      </c>
      <c r="JT228" s="39">
        <f t="shared" si="680"/>
        <v>0.99027300010791419</v>
      </c>
      <c r="JU228" s="385">
        <f>(JQ228*JM228-INDEX(Input!$1:$1048576,Input!A$18,$C228*2+6)*JL228*INDEX(Input!$1:$1048576,Input!A$19,$C228*2+6))/1000000</f>
        <v>4.4361267361162113</v>
      </c>
      <c r="JV228" s="39">
        <f t="shared" si="712"/>
        <v>-0.39908269889058712</v>
      </c>
      <c r="JW228" s="1">
        <f t="shared" si="703"/>
        <v>-8.2536796855424324E-2</v>
      </c>
      <c r="JX228" s="19">
        <f t="shared" si="694"/>
        <v>10042.759091144901</v>
      </c>
      <c r="JZ228" s="341"/>
      <c r="KA228" s="342"/>
      <c r="KB228" s="469">
        <f t="shared" si="691"/>
        <v>2.5660492421988774</v>
      </c>
      <c r="KI228" s="473">
        <f t="shared" si="719"/>
        <v>-27.650840366705324</v>
      </c>
      <c r="KJ228" s="473">
        <f t="shared" si="720"/>
        <v>130.70262731768048</v>
      </c>
      <c r="KK228" s="473">
        <f t="shared" si="682"/>
        <v>-4.4461158280784048</v>
      </c>
      <c r="KN228" s="544">
        <f t="shared" si="695"/>
        <v>2002</v>
      </c>
      <c r="KO228" s="541">
        <f t="shared" si="657"/>
        <v>7.2969646734516891E-2</v>
      </c>
      <c r="KP228" s="546">
        <f t="shared" si="658"/>
        <v>527.48225470833324</v>
      </c>
      <c r="KQ228" s="546">
        <f t="shared" si="659"/>
        <v>545.23946967983875</v>
      </c>
      <c r="KR228" s="548">
        <f t="shared" si="660"/>
        <v>2.4680921135991407</v>
      </c>
      <c r="KS228" s="548">
        <f t="shared" si="661"/>
        <v>2.3877119418254575</v>
      </c>
      <c r="KT228" s="473">
        <f t="shared" si="693"/>
        <v>843.26993010479111</v>
      </c>
      <c r="KU228" s="663">
        <f t="shared" si="683"/>
        <v>4.3922241204642454</v>
      </c>
      <c r="KV228" s="117"/>
    </row>
    <row r="229" spans="1:308" s="26" customFormat="1" ht="15">
      <c r="A229" s="561">
        <f t="shared" si="662"/>
        <v>2029</v>
      </c>
      <c r="B229" s="561">
        <f t="shared" si="684"/>
        <v>29</v>
      </c>
      <c r="C229" s="561">
        <f t="shared" si="105"/>
        <v>2</v>
      </c>
      <c r="D229" s="561" t="str">
        <f t="shared" si="728"/>
        <v xml:space="preserve">-720 Lease, </v>
      </c>
      <c r="E229" s="475">
        <f>INDEX(Input!$1:$1048576,E$93,$C229*2+MIN($B229,2)+5)
+INDEX(Scenarios!E$121:E$200,MATCH($B229,Scenarios!$B$121:$B$200,0))</f>
        <v>1269.7618664521319</v>
      </c>
      <c r="F229" s="475">
        <f>INDEX(Input!$1:$1048576,F$93,$C229*2+MIN($B229,2)+5)
+INDEX(Scenarios!F$121:F$200,MATCH($B229,Scenarios!$B$121:$B$200,0))</f>
        <v>0</v>
      </c>
      <c r="G229" s="475">
        <f>INDEX(Input!$1:$1048576,G$93,$C229*2+MIN($B229,2)+5)
+INDEX(Scenarios!G$121:G$200,MATCH($B229,Scenarios!$B$121:$B$200,0))</f>
        <v>0</v>
      </c>
      <c r="H229" s="475">
        <f>INDEX(Input!$1:$1048576,H$93,$C229*2+MIN($B229,2)+5)
+INDEX(Scenarios!H$121:H$200,MATCH($B229,Scenarios!$B$121:$B$200,0))</f>
        <v>0</v>
      </c>
      <c r="I229" s="476">
        <f>INDEX(Input!$1:$1048576,I$93,$C229*2+MIN($B229,2)+5)</f>
        <v>0.7</v>
      </c>
      <c r="J229" s="476" t="str">
        <f>INDEX(Input!$1:$1048576,J$93,$C229*2+MIN($B229,2)+5)</f>
        <v>Market</v>
      </c>
      <c r="K229" s="476" t="str">
        <f>INDEX(Input!$1:$1048576,K$93,$C229*2+MIN($B229,2)+5)</f>
        <v>Market</v>
      </c>
      <c r="L229" s="476" t="str">
        <f>INDEX(Input!$1:$1048576,L$93,$C229*2+MIN($B229,2)+5)</f>
        <v>Market</v>
      </c>
      <c r="M229" s="476" t="str">
        <f>INDEX(Input!$1:$1048576,M$93,$C229*2+MIN($B229,2)+5)</f>
        <v>Market</v>
      </c>
      <c r="N229" s="476" t="str">
        <f>INDEX(Input!$1:$1048576,N$93,$C229*2+MIN($B229,2)+5)</f>
        <v>Market</v>
      </c>
      <c r="O229" s="476" t="str">
        <f>INDEX(Input!$1:$1048576,O$93,$C229*2+MIN($B229,2)+5)</f>
        <v>Market</v>
      </c>
      <c r="P229" s="476" t="str">
        <f>INDEX(Input!$1:$1048576,P$93,$C229*2+MIN($B229,2)+5)</f>
        <v>N</v>
      </c>
      <c r="Q229" s="477">
        <f>INDEX(Input!$1:$1048576,Q$93,$C229*2+MIN($B229,2)+5)
+INDEX(Scenarios!Q$121:Q$200,MATCH($B229,Scenarios!$B$121:$B$200,0))</f>
        <v>0</v>
      </c>
      <c r="R229" s="478">
        <f>IFERROR(MAX(0,INDEX(Input!$1:$1048576,R$93,$C229*2+MIN($B229,2)+5)
+INDEX(Scenarios!R$121:R$200,MATCH($B229,Scenarios!$B$121:$B$200,0)),),"Market")</f>
        <v>0</v>
      </c>
      <c r="S229" s="478">
        <f>IFERROR(MAX(0,INDEX(Input!$1:$1048576,S$93,$C229*2+MIN($B229,2)+5)
+INDEX(Scenarios!S$121:S$200,MATCH($B229,Scenarios!$B$121:$B$200,0)),),"Market")</f>
        <v>0</v>
      </c>
      <c r="T229" s="478">
        <f>IFERROR(MAX(0,INDEX(Input!$1:$1048576,T$93,$C229*2+MIN($B229,2)+5)
+INDEX(Scenarios!T$121:T$200,MATCH($B229,Scenarios!$B$121:$B$200,0)),),"Market")</f>
        <v>0</v>
      </c>
      <c r="U229" s="478">
        <f>IFERROR(MAX(0,INDEX(Input!$1:$1048576,U$93,$C229*2+MIN($B229,2)+5)
+INDEX(Scenarios!U$121:U$200,MATCH($B229,Scenarios!$B$121:$B$200,0)),),"Market")</f>
        <v>0</v>
      </c>
      <c r="V229" s="478">
        <f>IFERROR(MAX(0,INDEX(Input!$1:$1048576,V$93,$C229*2+MIN($B229,2)+5)
+INDEX(Scenarios!V$121:V$200,MATCH($B229,Scenarios!$B$121:$B$200,0)),),"Market")</f>
        <v>1.9E-2</v>
      </c>
      <c r="W229" s="885">
        <f>IFERROR(MAX(0,INDEX(Input!$1:$1048576,W$93,$C229*2+MIN($B229,2)+5)-0%,),"Market")</f>
        <v>3.9E-2</v>
      </c>
      <c r="X229" s="476" t="str">
        <f>INDEX(Input!$1:$1048576,X$93,$C229*2+MIN($B229,2)+5)</f>
        <v>Y</v>
      </c>
      <c r="Y229" s="475">
        <f>INDEX(Input!$1:$1048576,Y$93,$C229*2+MIN($B229,2)+5)
++INDEX(Scenarios!Y$121:Y$200,MATCH($B229,Scenarios!$B$121:$B$200,0))</f>
        <v>-664</v>
      </c>
      <c r="Z229" s="477">
        <f>INDEX(Input!$1:$1048576,Z$93,$C229*2+MIN($B229,2)+5)
+INDEX(Scenarios!Z$121:Z$200,MATCH($B229,Scenarios!$B$121:$B$200,0))</f>
        <v>0</v>
      </c>
      <c r="AA229" s="475">
        <f>INDEX(Input!$1:$1048576,AA$93,$C229*2+MIN($B229,2)+5)
+INDEX(Scenarios!AA$121:AA$200,MATCH($B229,Scenarios!$B$121:$B$200,0))</f>
        <v>0</v>
      </c>
      <c r="AB229" s="476">
        <f>INDEX(Input!$1:$1048576,AB$93,$C229*2+MIN($B229,2)+5)</f>
        <v>0.27</v>
      </c>
      <c r="AC229" s="475">
        <f>INDEX(Input!$1:$1048576,AC$93,$C229*2+MIN($B229,2)+5)
+INDEX(Scenarios!AC$121:AC$200,MATCH($B229,Scenarios!$B$121:$B$200,0))</f>
        <v>0</v>
      </c>
      <c r="AD229" s="476">
        <f>INDEX(Input!$1:$1048576,AD$93,$C229*2+MIN($B229,2)+5)</f>
        <v>0.27</v>
      </c>
      <c r="AE229" s="475">
        <f>INDEX(Input!$1:$1048576,AE$93,$C229*2+MIN($B229,2)+5)
+INDEX(Scenarios!AE$121:AE$200,MATCH($B229,Scenarios!$B$121:$B$200,0))</f>
        <v>0</v>
      </c>
      <c r="AF229" s="476">
        <f>INDEX(Input!$1:$1048576,AF$93,$C229*2+MIN($B229,2)+5)</f>
        <v>4.8000000000000001E-2</v>
      </c>
      <c r="AG229" s="475">
        <f>INDEX(Input!$1:$1048576,AG$93,$C229*2+MIN($B229,2)+5)
+INDEX(Scenarios!AG$121:AG$200,MATCH($B229,Scenarios!$B$121:$B$200,0))</f>
        <v>500</v>
      </c>
      <c r="AH229" s="476">
        <f>INDEX(Input!$1:$1048576,AH$93,$C229*2+MIN($B229,2)+5)</f>
        <v>0.94599999999999995</v>
      </c>
      <c r="AI229" s="475">
        <f>INDEX(Input!$1:$1048576,AI$93,$C229*2+MIN($B229,2)+5)
+INDEX(Scenarios!AI$121:AI$200,MATCH($B229,Scenarios!$B$121:$B$200,0))</f>
        <v>0</v>
      </c>
      <c r="AJ229" s="476">
        <f>INDEX(Input!$1:$1048576,AJ$93,$C229*2+MIN($B229,2)+5)</f>
        <v>0.27</v>
      </c>
      <c r="AK229" s="150">
        <f>ROUND(INDEX(Input!$1:$1048576,AK$93,$C228*2+MIN($B229,1)+5)+(Y229-VLOOKUP($C229*1000+1,$A:$HH,Y$92,FALSE)),0)</f>
        <v>2257</v>
      </c>
      <c r="AL229" s="150">
        <f>ROUND(INDEX(Input!$1:$1048576,AL$93,$C228*2+MIN($B229,1)+5)-(Y229-VLOOKUP($C229*1000+1,$A:$HH,Y$92,FALSE))/36,0)</f>
        <v>3415</v>
      </c>
      <c r="AM229" s="32" t="str">
        <f t="shared" si="663"/>
        <v>std/std/std/std</v>
      </c>
      <c r="AN229" s="32" t="str">
        <f t="shared" si="664"/>
        <v>$0 + 0/0/0/1.9/3.9</v>
      </c>
      <c r="AO229" s="32" t="str">
        <f t="shared" si="665"/>
        <v>0/0/0/1.9/3.9</v>
      </c>
      <c r="AP229" s="32" t="str">
        <f t="shared" si="498"/>
        <v>0/0.9/1.9/3.9</v>
      </c>
      <c r="AQ229" s="536">
        <f t="shared" ref="AQ229:AQ292" si="733">SUM(IE229,G229*IF229,H229*IG229,AC229*AD229,AE229*AF229,AI229)</f>
        <v>0.40882559274286789</v>
      </c>
      <c r="AR229" s="32"/>
      <c r="AS229" s="302"/>
      <c r="AT229" s="3">
        <f t="shared" si="717"/>
        <v>29</v>
      </c>
      <c r="AU229" s="41" t="s">
        <v>121</v>
      </c>
      <c r="AV229" s="41" t="s">
        <v>116</v>
      </c>
      <c r="AW229" s="41" t="str">
        <f>INDEX(Input!$1:$1048576,AW$93,$C229*2+6)</f>
        <v>Kia</v>
      </c>
      <c r="AX229" s="41" t="str">
        <f>INDEX(Input!$1:$1048576,AX$93,$C229*2+6)</f>
        <v>Kia-LR - L2</v>
      </c>
      <c r="AY229" s="41" t="str">
        <f>IF(LEN(D229)=0,"",INDEX(Input!$1:$1048576,AY$93,$C229*2+6))</f>
        <v>Compact SUV (52)</v>
      </c>
      <c r="AZ229" s="41" t="str">
        <f>INDEX(Input!$1:$1048576,AZ$93,$C229*2+6)</f>
        <v>Kia Soul</v>
      </c>
      <c r="BA229" s="3">
        <f>INDEX(Input!$1:$1048576,BA$93,$C229*2+6)</f>
        <v>2020</v>
      </c>
      <c r="BB229" s="128">
        <f>INDEX(Input!$1:$1048576,BB$93,$C229*2+6)</f>
        <v>1</v>
      </c>
      <c r="BC229" s="128">
        <f>INDEX(Input!$1:$1048576,BC$93,$C229*2+6)</f>
        <v>0.7</v>
      </c>
      <c r="BD229" s="1">
        <f>INDEX(Input!$1:$1048576,BD$93,$C229*2+6)</f>
        <v>4.4999999999999998E-2</v>
      </c>
      <c r="BE229" s="1">
        <f>INDEX(Input!$1:$1048576,BE$93,$C229*2+6)</f>
        <v>4.4999999999999998E-2</v>
      </c>
      <c r="BF229" s="1">
        <f>INDEX(Input!$1:$1048576,BF$93,$C229*2+6)</f>
        <v>0.05</v>
      </c>
      <c r="BG229" s="1">
        <f>INDEX(Input!$1:$1048576,BG$93,$C229*2+6)</f>
        <v>5.45E-2</v>
      </c>
      <c r="BH229" s="1">
        <f>INDEX(Input!$1:$1048576,BH$93,$C229*2+6)</f>
        <v>5.45E-2</v>
      </c>
      <c r="BI229" s="1">
        <f>INDEX(Input!$1:$1048576,BI$93,$C229*2+6)</f>
        <v>0.05</v>
      </c>
      <c r="BJ229" s="1">
        <f>INDEX(Input!$1:$1048576,BJ$93,$C229*2+6)</f>
        <v>0.05</v>
      </c>
      <c r="BK229" s="1">
        <f>INDEX(Input!$1:$1048576,BK$93,$C229*2+6)</f>
        <v>0.05</v>
      </c>
      <c r="BL229" s="1">
        <f>INDEX(Input!$1:$1048576,BL$93,$C229*2+6)</f>
        <v>5.5E-2</v>
      </c>
      <c r="BM229" s="1">
        <f>INDEX(Input!$1:$1048576,BM$93,$C229*2+6)</f>
        <v>0.06</v>
      </c>
      <c r="BN229" s="1">
        <f>INDEX(Input!$1:$1048576,BN$93,$C229*2+6)</f>
        <v>4.4999999999999998E-2</v>
      </c>
      <c r="BO229" s="1">
        <f>INDEX(Input!$1:$1048576,BO$93,$C229*2+6)</f>
        <v>4.4999999999999998E-2</v>
      </c>
      <c r="BP229" s="1">
        <f>INDEX(Input!$1:$1048576,BP$93,$C229*2+6)</f>
        <v>0.05</v>
      </c>
      <c r="BQ229" s="1">
        <f>INDEX(Input!$1:$1048576,BQ$93,$C229*2+6)</f>
        <v>5.45E-2</v>
      </c>
      <c r="BR229" s="1">
        <f>INDEX(Input!$1:$1048576,BR$93,$C229*2+6)</f>
        <v>5.45E-2</v>
      </c>
      <c r="BS229" s="1">
        <f>INDEX(Input!$1:$1048576,BS$93,$C229*2+6)</f>
        <v>0.05</v>
      </c>
      <c r="BT229" s="1">
        <f>INDEX(Input!$1:$1048576,BT$93,$C229*2+6)</f>
        <v>0.05</v>
      </c>
      <c r="BU229" s="1">
        <f>INDEX(Input!$1:$1048576,BU$93,$C229*2+6)</f>
        <v>0.05</v>
      </c>
      <c r="BV229" s="1">
        <f>INDEX(Input!$1:$1048576,BV$93,$C229*2+6)</f>
        <v>5.5E-2</v>
      </c>
      <c r="BW229" s="1">
        <f>INDEX(Input!$1:$1048576,BW$93,$C229*2+6)</f>
        <v>0.06</v>
      </c>
      <c r="BX229" s="127">
        <f>INDEX(Input!$1:$1048576,BX$93,$C229*2+6)</f>
        <v>19985</v>
      </c>
      <c r="BY229" s="20">
        <f>INDEX(Input!$1:$1048576,BY$93,$C229*2+6)</f>
        <v>0.1</v>
      </c>
      <c r="BZ229" s="20">
        <f>INDEX(Input!$1:$1048576,BZ$93,$C229*2+6)</f>
        <v>0.1</v>
      </c>
      <c r="CA229" s="20">
        <f>INDEX(Input!$1:$1048576,CA$93,$C229*2+6)</f>
        <v>0.1</v>
      </c>
      <c r="CB229" s="20">
        <f>INDEX(Input!$1:$1048576,CB$93,$C229*2+6)</f>
        <v>0.1</v>
      </c>
      <c r="CC229" s="20">
        <f>INDEX(Input!$1:$1048576,CC$93,$C229*2+6)</f>
        <v>0.1</v>
      </c>
      <c r="CD229" s="384">
        <f>INDEX(Input!$1:$1048576,CD$93,$C229*2+6)</f>
        <v>0.1</v>
      </c>
      <c r="CE229" s="384">
        <f>INDEX(Input!$1:$1048576,CE$93,$C229*2+6)</f>
        <v>0.1</v>
      </c>
      <c r="CF229" s="384">
        <f>INDEX(Input!$1:$1048576,CF$93,$C229*2+6)</f>
        <v>0.1</v>
      </c>
      <c r="CG229" s="384">
        <f>INDEX(Input!$1:$1048576,CG$93,$C229*2+6)</f>
        <v>0.1</v>
      </c>
      <c r="CH229" s="384">
        <f>INDEX(Input!$1:$1048576,CH$93,$C229*2+6)</f>
        <v>0.1</v>
      </c>
      <c r="CI229" s="304">
        <f t="shared" si="499"/>
        <v>1269.7618664521319</v>
      </c>
      <c r="CJ229" s="16" t="str">
        <f>INDEX(Input!$1:$1048576,CJ$93,$C229*2+6)</f>
        <v>N</v>
      </c>
      <c r="CK229" s="1" t="str">
        <f t="shared" si="500"/>
        <v>Market</v>
      </c>
      <c r="CL229" s="1" t="str">
        <f t="shared" si="501"/>
        <v>Market</v>
      </c>
      <c r="CM229" s="1" t="str">
        <f t="shared" si="502"/>
        <v>Market</v>
      </c>
      <c r="CN229" s="1" t="str">
        <f t="shared" si="503"/>
        <v>Market</v>
      </c>
      <c r="CO229" s="1" t="str">
        <f t="shared" si="504"/>
        <v>Market</v>
      </c>
      <c r="CP229" s="304">
        <f t="shared" si="505"/>
        <v>473</v>
      </c>
      <c r="CQ229" s="1">
        <f t="shared" si="506"/>
        <v>0</v>
      </c>
      <c r="CR229" s="1">
        <f t="shared" si="507"/>
        <v>0</v>
      </c>
      <c r="CS229" s="1">
        <f t="shared" si="508"/>
        <v>0</v>
      </c>
      <c r="CT229" s="1">
        <f t="shared" si="509"/>
        <v>1.9E-2</v>
      </c>
      <c r="CU229" s="1">
        <f t="shared" si="510"/>
        <v>3.9E-2</v>
      </c>
      <c r="CV229" s="304">
        <f t="shared" si="511"/>
        <v>-664</v>
      </c>
      <c r="CW229" s="20" t="s">
        <v>122</v>
      </c>
      <c r="CX229" s="20" t="s">
        <v>122</v>
      </c>
      <c r="CY229" s="20" t="s">
        <v>122</v>
      </c>
      <c r="CZ229" s="20" t="s">
        <v>122</v>
      </c>
      <c r="DA229" s="20" t="s">
        <v>122</v>
      </c>
      <c r="DB229" s="503">
        <f t="shared" si="512"/>
        <v>0</v>
      </c>
      <c r="DC229" s="127">
        <v>0</v>
      </c>
      <c r="DD229" s="127">
        <v>0</v>
      </c>
      <c r="DE229" s="127">
        <v>0</v>
      </c>
      <c r="DF229" s="127">
        <v>0</v>
      </c>
      <c r="DG229" s="127">
        <v>0</v>
      </c>
      <c r="DH229" s="127">
        <v>0</v>
      </c>
      <c r="DI229" s="127">
        <v>0</v>
      </c>
      <c r="DJ229" s="127">
        <v>0</v>
      </c>
      <c r="DK229" s="127">
        <v>0</v>
      </c>
      <c r="DL229" s="127">
        <v>0</v>
      </c>
      <c r="DM229" s="304">
        <f>INDEX(Input!$1:$1048576,DM$93,$C229*2+6)</f>
        <v>21036.84210526316</v>
      </c>
      <c r="DN229" s="20">
        <v>0</v>
      </c>
      <c r="DO229" s="20">
        <v>0</v>
      </c>
      <c r="DP229" s="20">
        <v>0</v>
      </c>
      <c r="DQ229" s="20">
        <v>0</v>
      </c>
      <c r="DR229" s="20">
        <v>0</v>
      </c>
      <c r="DS229" s="20">
        <f>INDEX(Input!$1:$1048576,DS$93,$C229*2+6)</f>
        <v>0.6</v>
      </c>
      <c r="DT229" s="20">
        <f>INDEX(Input!$1:$1048576,DT$93,$C229*2+6)</f>
        <v>0.55000000000000004</v>
      </c>
      <c r="DU229" s="20">
        <f>INDEX(Input!$1:$1048576,DU$93,$C229*2+6)</f>
        <v>0.52</v>
      </c>
      <c r="DV229" s="20">
        <f>INDEX(Input!$1:$1048576,DV$93,$C229*2+6)</f>
        <v>0.5</v>
      </c>
      <c r="DW229" s="20">
        <f>INDEX(Input!$1:$1048576,DW$93,$C229*2+6)</f>
        <v>0.45</v>
      </c>
      <c r="DX229" s="20"/>
      <c r="DY229" s="7">
        <v>9.8274406605962109E-2</v>
      </c>
      <c r="DZ229" s="7">
        <v>0</v>
      </c>
      <c r="EA229" s="7">
        <v>0.69564156085029505</v>
      </c>
      <c r="EB229" s="7">
        <v>0</v>
      </c>
      <c r="EC229" s="7">
        <v>0</v>
      </c>
      <c r="ED229" s="7">
        <v>0</v>
      </c>
      <c r="EE229" s="7">
        <v>0</v>
      </c>
      <c r="EF229" s="7">
        <v>0</v>
      </c>
      <c r="EG229" s="7">
        <v>0</v>
      </c>
      <c r="EH229" s="7">
        <v>1.427552776226259E-2</v>
      </c>
      <c r="EI229" s="7">
        <v>4.0640702588422617E-2</v>
      </c>
      <c r="EJ229" s="7">
        <v>0.3074140813410593</v>
      </c>
      <c r="EK229" s="7">
        <v>0.5265219090856802</v>
      </c>
      <c r="EL229" s="7">
        <v>0.11114777922257556</v>
      </c>
      <c r="EM229" s="7">
        <v>6.0874493368116955E-2</v>
      </c>
      <c r="EN229" s="7">
        <v>6.3285247058986097E-2</v>
      </c>
      <c r="EO229" s="7">
        <v>0.71156454340296982</v>
      </c>
      <c r="EP229" s="7">
        <v>9.8119692661641764E-2</v>
      </c>
      <c r="EQ229" s="7">
        <v>8.3624922838452992E-2</v>
      </c>
      <c r="ER229" s="7">
        <v>4.3405594037949267E-2</v>
      </c>
      <c r="ES229" s="7">
        <v>0.14520953917562587</v>
      </c>
      <c r="ET229" s="7">
        <v>0.20608403254374283</v>
      </c>
      <c r="EU229" s="6">
        <v>1294</v>
      </c>
      <c r="EV229" s="6">
        <v>0</v>
      </c>
      <c r="EW229" s="6">
        <v>1294</v>
      </c>
      <c r="EX229" s="6">
        <v>0</v>
      </c>
      <c r="EY229" s="6">
        <v>2054.0446635706649</v>
      </c>
      <c r="EZ229" s="6">
        <v>226</v>
      </c>
      <c r="FA229" s="6">
        <v>0</v>
      </c>
      <c r="FB229" s="6">
        <v>0</v>
      </c>
      <c r="FC229" s="6">
        <v>0</v>
      </c>
      <c r="FD229" s="6">
        <v>0</v>
      </c>
      <c r="FE229" s="6">
        <v>0</v>
      </c>
      <c r="FF229" s="6">
        <v>0</v>
      </c>
      <c r="FG229" s="6">
        <v>0</v>
      </c>
      <c r="FH229" s="6">
        <v>1173.7327848443219</v>
      </c>
      <c r="FI229" s="6">
        <v>1553.9796069512411</v>
      </c>
      <c r="FJ229" s="6">
        <v>2101.211011744741</v>
      </c>
      <c r="FK229" s="6">
        <v>1772.7139978623225</v>
      </c>
      <c r="FL229" s="6">
        <v>907.07682140966267</v>
      </c>
      <c r="FM229" s="6">
        <v>1760.0446635706649</v>
      </c>
      <c r="FN229" s="6">
        <v>0</v>
      </c>
      <c r="FO229" s="6">
        <v>0</v>
      </c>
      <c r="FP229" s="6">
        <v>0</v>
      </c>
      <c r="FQ229" s="6">
        <v>0</v>
      </c>
      <c r="FR229" s="6">
        <v>0</v>
      </c>
      <c r="FS229" s="6">
        <v>0</v>
      </c>
      <c r="FT229" s="7">
        <v>0.79391596745625714</v>
      </c>
      <c r="FU229" s="7">
        <v>6.0874493368116955E-2</v>
      </c>
      <c r="FV229" s="7">
        <v>0.14520953917562587</v>
      </c>
      <c r="FW229" s="6">
        <v>1294</v>
      </c>
      <c r="FX229" s="6">
        <v>2054.0446635706649</v>
      </c>
      <c r="FY229" s="6">
        <v>226</v>
      </c>
      <c r="FZ229" s="6">
        <v>1817.4615072224267</v>
      </c>
      <c r="GA229" s="6">
        <v>1185.1835459924366</v>
      </c>
      <c r="GB229" s="6">
        <v>18799.816454007563</v>
      </c>
      <c r="GC229" s="7">
        <v>1.804905384453976E-2</v>
      </c>
      <c r="GD229" s="7">
        <v>1.6950740553404238E-2</v>
      </c>
      <c r="GE229" s="7"/>
      <c r="GF229" s="7"/>
      <c r="GG229" s="7">
        <v>-6.0851571533639487E-2</v>
      </c>
      <c r="GH229" s="42">
        <v>1.9233924502667017</v>
      </c>
      <c r="GI229" s="6">
        <v>11575.678734443882</v>
      </c>
      <c r="GJ229" s="14">
        <v>0.50394797582841699</v>
      </c>
      <c r="GK229" s="14">
        <v>0.50887573065309721</v>
      </c>
      <c r="GL229" s="14">
        <v>0.49605202417158262</v>
      </c>
      <c r="GM229" s="14">
        <v>0.49112426934690245</v>
      </c>
      <c r="GO229" s="5">
        <v>343.14810671672558</v>
      </c>
      <c r="GP229" s="5">
        <v>318.46105531198077</v>
      </c>
      <c r="GQ229" s="5">
        <v>535.04305713031317</v>
      </c>
      <c r="GR229" s="5">
        <v>410.15490233172511</v>
      </c>
      <c r="GS229" s="5">
        <v>339.42744393800166</v>
      </c>
      <c r="GT229" s="5">
        <v>293.4407446948278</v>
      </c>
      <c r="GU229" s="5">
        <v>258.04012322764959</v>
      </c>
      <c r="GV229" s="39" t="s">
        <v>392</v>
      </c>
      <c r="GW229" s="5">
        <v>491.45833333333331</v>
      </c>
      <c r="GX229" s="5">
        <v>368.59375</v>
      </c>
      <c r="GY229" s="5">
        <v>294.875</v>
      </c>
      <c r="GZ229" s="5">
        <v>260.19607020114813</v>
      </c>
      <c r="HA229" s="5">
        <v>241.02179695997205</v>
      </c>
      <c r="HB229" s="39">
        <v>276.43243238187716</v>
      </c>
      <c r="HC229" s="5">
        <v>277.39687500000002</v>
      </c>
      <c r="HD229" s="5">
        <v>233.05677997076018</v>
      </c>
      <c r="HE229" s="5">
        <v>234.69716177462885</v>
      </c>
      <c r="HF229" s="5">
        <v>215.68250548245612</v>
      </c>
      <c r="HG229" s="5">
        <v>206.29971491228068</v>
      </c>
      <c r="HH229" s="39">
        <v>233.40947893071399</v>
      </c>
      <c r="HI229" s="16"/>
      <c r="HJ229" s="19" t="str">
        <f t="shared" si="726"/>
        <v>On</v>
      </c>
      <c r="HK229" s="1" t="str">
        <f t="shared" si="726"/>
        <v>On</v>
      </c>
      <c r="HL229" s="16"/>
      <c r="HM229" s="639">
        <f t="shared" si="634"/>
        <v>1.2768706344444866E-2</v>
      </c>
      <c r="HN229" s="639">
        <f t="shared" si="635"/>
        <v>9.795534288915453E-4</v>
      </c>
      <c r="HO229" s="639">
        <f t="shared" si="636"/>
        <v>3.3583061774515237E-3</v>
      </c>
      <c r="HP229" s="644">
        <f>(FT229*$GD229-HM229)/$JF229*INDEX(Input!$1:$1048576,$JG$93,$C229*2+6)</f>
        <v>50.046587559651435</v>
      </c>
      <c r="HQ229" s="644">
        <f>(FU229*$GD229-HN229)/$JF229*INDEX(Input!$1:$1048576,$JG$93,$C229*2+6)</f>
        <v>3.8012709929423663</v>
      </c>
      <c r="HR229" s="644">
        <f>(FV229*$GD229-HO229)/$JF229*INDEX(Input!$1:$1048576,$JG$93,$C229*2+6)</f>
        <v>-65.170468216341987</v>
      </c>
      <c r="HS229" s="644">
        <f t="shared" si="729"/>
        <v>-2.6626144977885873</v>
      </c>
      <c r="HT229" s="644">
        <f t="shared" si="638"/>
        <v>2.8180661269068539</v>
      </c>
      <c r="HU229" s="644">
        <f t="shared" si="639"/>
        <v>-12.770283483805439</v>
      </c>
      <c r="HV229" s="648">
        <f t="shared" si="640"/>
        <v>0</v>
      </c>
      <c r="HW229" s="648">
        <f t="shared" si="641"/>
        <v>0</v>
      </c>
      <c r="HX229" s="648">
        <f t="shared" si="642"/>
        <v>0</v>
      </c>
      <c r="HY229" s="644">
        <f>INDEX(Input!$1:$1048576,HY$93,$C229*2+6)*INDEX(Input!$1:$1048576,$JG$93,$C229*2+6)</f>
        <v>451</v>
      </c>
      <c r="HZ229" s="644">
        <f>INDEX(Input!$1:$1048576,HZ$93,$C229*2+6)*INDEX(Input!$1:$1048576,$JG$93,$C229*2+6)</f>
        <v>577</v>
      </c>
      <c r="IA229" s="644">
        <f>INDEX(Input!$1:$1048576,IA$93,$C229*2+6)*INDEX(Input!$1:$1048576,$JG$93,$C229*2+6)</f>
        <v>215</v>
      </c>
      <c r="IB229" s="644">
        <f t="shared" si="666"/>
        <v>498.38397306186278</v>
      </c>
      <c r="IC229" s="644">
        <f t="shared" si="667"/>
        <v>583.61933711984921</v>
      </c>
      <c r="ID229" s="644">
        <f>IF(AND(INDEX(Input!$1:$1048576,IA$93,$C229*2+7)="TOS",Y229&lt;=INDEX(Y:Y,MATCH(C229*1000+2,A:A))),0,1)*MAX(IA229+HR229+HU229+HX229,0%)</f>
        <v>137.05924829985258</v>
      </c>
      <c r="IE229" s="128">
        <f t="shared" si="730"/>
        <v>0.40882559274286789</v>
      </c>
      <c r="IF229" s="128">
        <f t="shared" si="643"/>
        <v>0.47874437046675561</v>
      </c>
      <c r="IG229" s="128">
        <f t="shared" si="644"/>
        <v>0.11243003679037629</v>
      </c>
      <c r="IH229" s="21"/>
      <c r="II229" s="19">
        <f t="shared" si="645"/>
        <v>1252</v>
      </c>
      <c r="IJ229" s="19">
        <f t="shared" si="646"/>
        <v>2011.9658773055378</v>
      </c>
      <c r="IK229" s="19">
        <f t="shared" si="647"/>
        <v>919</v>
      </c>
      <c r="IL229" s="19">
        <f t="shared" si="669"/>
        <v>42</v>
      </c>
      <c r="IM229" s="19">
        <f t="shared" si="648"/>
        <v>42.078786265127064</v>
      </c>
      <c r="IN229" s="19">
        <f t="shared" si="649"/>
        <v>-693</v>
      </c>
      <c r="IO229" s="39">
        <f t="shared" si="650"/>
        <v>0</v>
      </c>
      <c r="IP229" s="39">
        <f t="shared" si="651"/>
        <v>0</v>
      </c>
      <c r="IQ229" s="39">
        <f t="shared" si="652"/>
        <v>0</v>
      </c>
      <c r="IR229" s="39">
        <v>0</v>
      </c>
      <c r="IS229" s="39">
        <v>0</v>
      </c>
      <c r="IT229" s="39">
        <v>0</v>
      </c>
      <c r="IU229" s="39">
        <v>0</v>
      </c>
      <c r="IV229" s="39">
        <v>0</v>
      </c>
      <c r="IW229" s="39">
        <v>0</v>
      </c>
      <c r="IX229" s="39">
        <f>INDEX(Input!$1:$1048576,IX$93,$C229*2+6)+INDEX(Input!$1:$1048576,IX$94,$C229*2+6)</f>
        <v>1294</v>
      </c>
      <c r="IY229" s="39">
        <f>INDEX(Input!$1:$1048576,IY$93,$C229*2+6)+INDEX(Input!$1:$1048576,IY$94,$C229*2+6)</f>
        <v>2154.0624533823611</v>
      </c>
      <c r="IZ229" s="39">
        <f>INDEX(Input!$1:$1048576,IZ$93,$C229*2+6)+INDEX(Input!$1:$1048576,IZ$94,$C229*2+6)</f>
        <v>3677.7164157747848</v>
      </c>
      <c r="JA229" s="19">
        <f t="shared" si="670"/>
        <v>1336</v>
      </c>
      <c r="JB229" s="19">
        <f t="shared" si="671"/>
        <v>2196.141239647488</v>
      </c>
      <c r="JC229" s="19">
        <f t="shared" si="672"/>
        <v>2984.7164157747848</v>
      </c>
      <c r="JD229" s="19">
        <f t="shared" si="673"/>
        <v>1933.1530235699875</v>
      </c>
      <c r="JE229" s="21"/>
      <c r="JF229" s="1">
        <f t="shared" si="653"/>
        <v>1.7106565950787935E-2</v>
      </c>
      <c r="JG229" s="15">
        <f>INDEX(Input!$1:$1048576,JG$93,$C229*2+6)/(1+VLOOKUP(C229*1000+INDEX(Input!$1:$1048576,JG$93+1,$C229*2+6),$A:$KK,$JK$92,FALSE))</f>
        <v>1243</v>
      </c>
      <c r="JH229" s="1">
        <f t="shared" si="674"/>
        <v>-9.1090986836268612E-3</v>
      </c>
      <c r="JI229" s="1">
        <f t="shared" si="675"/>
        <v>-1.0148698193634089E-2</v>
      </c>
      <c r="JJ229" s="1">
        <f t="shared" si="731"/>
        <v>0</v>
      </c>
      <c r="JK229" s="1">
        <f t="shared" si="732"/>
        <v>-1.9257796877260952E-2</v>
      </c>
      <c r="JL229" s="15">
        <f t="shared" si="678"/>
        <v>-23.937441518435364</v>
      </c>
      <c r="JM229" s="15">
        <f t="shared" si="702"/>
        <v>1219.0625584815646</v>
      </c>
      <c r="JN229" s="21"/>
      <c r="JO229" s="19">
        <f>INDEX(Input!$1:$1048576,JO$93,$C229*2+6)</f>
        <v>5995.5</v>
      </c>
      <c r="JP229" s="19">
        <f>INDEX(Input!$1:$1048576,JP$93,$C229*2+6)</f>
        <v>2105.548724853742</v>
      </c>
      <c r="JQ229" s="39">
        <f t="shared" si="688"/>
        <v>4062.3469764300125</v>
      </c>
      <c r="JR229" s="39">
        <f t="shared" si="705"/>
        <v>-172.39570128375453</v>
      </c>
      <c r="JS229" s="39">
        <f t="shared" si="690"/>
        <v>2.3566344708496012</v>
      </c>
      <c r="JT229" s="39">
        <f t="shared" si="680"/>
        <v>-0.26056259414360022</v>
      </c>
      <c r="JU229" s="385">
        <f>(JQ229*JM229-INDEX(Input!$1:$1048576,Input!A$18,$C229*2+6)*JL229*INDEX(Input!$1:$1048576,Input!A$19,$C229*2+6))/1000000</f>
        <v>4.9522550985266189</v>
      </c>
      <c r="JV229" s="39">
        <f t="shared" si="712"/>
        <v>0.11704566351982049</v>
      </c>
      <c r="JW229" s="1">
        <f t="shared" si="703"/>
        <v>2.420694803257388E-2</v>
      </c>
      <c r="JX229" s="19">
        <f t="shared" si="694"/>
        <v>10885.14801980523</v>
      </c>
      <c r="JZ229" s="341"/>
      <c r="KA229" s="342"/>
      <c r="KB229" s="469">
        <f t="shared" si="691"/>
        <v>2.5660492421988774</v>
      </c>
      <c r="KI229" s="473">
        <f t="shared" si="719"/>
        <v>47.383973061862662</v>
      </c>
      <c r="KJ229" s="473">
        <f t="shared" si="720"/>
        <v>6.6193371198490922</v>
      </c>
      <c r="KK229" s="473">
        <f t="shared" si="682"/>
        <v>-77.940751700147445</v>
      </c>
      <c r="KN229" s="544">
        <f t="shared" si="695"/>
        <v>2002</v>
      </c>
      <c r="KO229" s="541">
        <f t="shared" si="657"/>
        <v>-2.5036081111332154E-2</v>
      </c>
      <c r="KP229" s="546">
        <f t="shared" si="658"/>
        <v>-80.912452158200452</v>
      </c>
      <c r="KQ229" s="546">
        <f t="shared" si="659"/>
        <v>-210.52731586348546</v>
      </c>
      <c r="KR229" s="548">
        <f t="shared" si="660"/>
        <v>5.5204942408840116</v>
      </c>
      <c r="KS229" s="548">
        <f t="shared" si="661"/>
        <v>2.1217043703952991</v>
      </c>
      <c r="KT229" s="473">
        <f t="shared" si="693"/>
        <v>843.26993010479111</v>
      </c>
      <c r="KU229" s="663">
        <f t="shared" si="683"/>
        <v>4.6070433175837104</v>
      </c>
      <c r="KV229" s="117"/>
    </row>
    <row r="230" spans="1:308" s="26" customFormat="1" ht="15">
      <c r="A230" s="561">
        <f t="shared" si="662"/>
        <v>2030</v>
      </c>
      <c r="B230" s="561">
        <f t="shared" si="684"/>
        <v>30</v>
      </c>
      <c r="C230" s="561">
        <f t="shared" si="105"/>
        <v>2</v>
      </c>
      <c r="D230" s="561" t="str">
        <f t="shared" si="728"/>
        <v xml:space="preserve">1080 Lease, </v>
      </c>
      <c r="E230" s="475">
        <f>INDEX(Input!$1:$1048576,E$93,$C230*2+MIN($B230,2)+5)
+INDEX(Scenarios!E$121:E$200,MATCH($B230,Scenarios!$B$121:$B$200,0))</f>
        <v>1269.7618664521319</v>
      </c>
      <c r="F230" s="475">
        <f>INDEX(Input!$1:$1048576,F$93,$C230*2+MIN($B230,2)+5)
+INDEX(Scenarios!F$121:F$200,MATCH($B230,Scenarios!$B$121:$B$200,0))</f>
        <v>0</v>
      </c>
      <c r="G230" s="475">
        <f>INDEX(Input!$1:$1048576,G$93,$C230*2+MIN($B230,2)+5)
+INDEX(Scenarios!G$121:G$200,MATCH($B230,Scenarios!$B$121:$B$200,0))</f>
        <v>0</v>
      </c>
      <c r="H230" s="475">
        <f>INDEX(Input!$1:$1048576,H$93,$C230*2+MIN($B230,2)+5)
+INDEX(Scenarios!H$121:H$200,MATCH($B230,Scenarios!$B$121:$B$200,0))</f>
        <v>0</v>
      </c>
      <c r="I230" s="476">
        <f>INDEX(Input!$1:$1048576,I$93,$C230*2+MIN($B230,2)+5)</f>
        <v>0.7</v>
      </c>
      <c r="J230" s="476" t="str">
        <f>INDEX(Input!$1:$1048576,J$93,$C230*2+MIN($B230,2)+5)</f>
        <v>Market</v>
      </c>
      <c r="K230" s="476" t="str">
        <f>INDEX(Input!$1:$1048576,K$93,$C230*2+MIN($B230,2)+5)</f>
        <v>Market</v>
      </c>
      <c r="L230" s="476" t="str">
        <f>INDEX(Input!$1:$1048576,L$93,$C230*2+MIN($B230,2)+5)</f>
        <v>Market</v>
      </c>
      <c r="M230" s="476" t="str">
        <f>INDEX(Input!$1:$1048576,M$93,$C230*2+MIN($B230,2)+5)</f>
        <v>Market</v>
      </c>
      <c r="N230" s="476" t="str">
        <f>INDEX(Input!$1:$1048576,N$93,$C230*2+MIN($B230,2)+5)</f>
        <v>Market</v>
      </c>
      <c r="O230" s="476" t="str">
        <f>INDEX(Input!$1:$1048576,O$93,$C230*2+MIN($B230,2)+5)</f>
        <v>Market</v>
      </c>
      <c r="P230" s="476" t="str">
        <f>INDEX(Input!$1:$1048576,P$93,$C230*2+MIN($B230,2)+5)</f>
        <v>N</v>
      </c>
      <c r="Q230" s="477">
        <f>INDEX(Input!$1:$1048576,Q$93,$C230*2+MIN($B230,2)+5)
+INDEX(Scenarios!Q$121:Q$200,MATCH($B230,Scenarios!$B$121:$B$200,0))</f>
        <v>0</v>
      </c>
      <c r="R230" s="478">
        <f>IFERROR(MAX(0,INDEX(Input!$1:$1048576,R$93,$C230*2+MIN($B230,2)+5)
+INDEX(Scenarios!R$121:R$200,MATCH($B230,Scenarios!$B$121:$B$200,0)),),"Market")</f>
        <v>0</v>
      </c>
      <c r="S230" s="478">
        <f>IFERROR(MAX(0,INDEX(Input!$1:$1048576,S$93,$C230*2+MIN($B230,2)+5)
+INDEX(Scenarios!S$121:S$200,MATCH($B230,Scenarios!$B$121:$B$200,0)),),"Market")</f>
        <v>0</v>
      </c>
      <c r="T230" s="478">
        <f>IFERROR(MAX(0,INDEX(Input!$1:$1048576,T$93,$C230*2+MIN($B230,2)+5)
+INDEX(Scenarios!T$121:T$200,MATCH($B230,Scenarios!$B$121:$B$200,0)),),"Market")</f>
        <v>0</v>
      </c>
      <c r="U230" s="478">
        <f>IFERROR(MAX(0,INDEX(Input!$1:$1048576,U$93,$C230*2+MIN($B230,2)+5)
+INDEX(Scenarios!U$121:U$200,MATCH($B230,Scenarios!$B$121:$B$200,0)),),"Market")</f>
        <v>0</v>
      </c>
      <c r="V230" s="478">
        <f>IFERROR(MAX(0,INDEX(Input!$1:$1048576,V$93,$C230*2+MIN($B230,2)+5)
+INDEX(Scenarios!V$121:V$200,MATCH($B230,Scenarios!$B$121:$B$200,0)),),"Market")</f>
        <v>1.9E-2</v>
      </c>
      <c r="W230" s="885">
        <f>IFERROR(MAX(0,INDEX(Input!$1:$1048576,W$93,$C230*2+MIN($B230,2)+5)-0%,),"Market")</f>
        <v>3.9E-2</v>
      </c>
      <c r="X230" s="476" t="str">
        <f>INDEX(Input!$1:$1048576,X$93,$C230*2+MIN($B230,2)+5)</f>
        <v>Y</v>
      </c>
      <c r="Y230" s="475">
        <f>INDEX(Input!$1:$1048576,Y$93,$C230*2+MIN($B230,2)+5)
++INDEX(Scenarios!Y$121:Y$200,MATCH($B230,Scenarios!$B$121:$B$200,0))</f>
        <v>1136</v>
      </c>
      <c r="Z230" s="477">
        <f>INDEX(Input!$1:$1048576,Z$93,$C230*2+MIN($B230,2)+5)
+INDEX(Scenarios!Z$121:Z$200,MATCH($B230,Scenarios!$B$121:$B$200,0))</f>
        <v>0</v>
      </c>
      <c r="AA230" s="475">
        <f>INDEX(Input!$1:$1048576,AA$93,$C230*2+MIN($B230,2)+5)
+INDEX(Scenarios!AA$121:AA$200,MATCH($B230,Scenarios!$B$121:$B$200,0))</f>
        <v>0</v>
      </c>
      <c r="AB230" s="476">
        <f>INDEX(Input!$1:$1048576,AB$93,$C230*2+MIN($B230,2)+5)</f>
        <v>0.27</v>
      </c>
      <c r="AC230" s="475">
        <f>INDEX(Input!$1:$1048576,AC$93,$C230*2+MIN($B230,2)+5)
+INDEX(Scenarios!AC$121:AC$200,MATCH($B230,Scenarios!$B$121:$B$200,0))</f>
        <v>0</v>
      </c>
      <c r="AD230" s="476">
        <f>INDEX(Input!$1:$1048576,AD$93,$C230*2+MIN($B230,2)+5)</f>
        <v>0.27</v>
      </c>
      <c r="AE230" s="475">
        <f>INDEX(Input!$1:$1048576,AE$93,$C230*2+MIN($B230,2)+5)
+INDEX(Scenarios!AE$121:AE$200,MATCH($B230,Scenarios!$B$121:$B$200,0))</f>
        <v>0</v>
      </c>
      <c r="AF230" s="476">
        <f>INDEX(Input!$1:$1048576,AF$93,$C230*2+MIN($B230,2)+5)</f>
        <v>4.8000000000000001E-2</v>
      </c>
      <c r="AG230" s="475">
        <f>INDEX(Input!$1:$1048576,AG$93,$C230*2+MIN($B230,2)+5)
+INDEX(Scenarios!AG$121:AG$200,MATCH($B230,Scenarios!$B$121:$B$200,0))</f>
        <v>500</v>
      </c>
      <c r="AH230" s="476">
        <f>INDEX(Input!$1:$1048576,AH$93,$C230*2+MIN($B230,2)+5)</f>
        <v>0.94599999999999995</v>
      </c>
      <c r="AI230" s="475">
        <f>INDEX(Input!$1:$1048576,AI$93,$C230*2+MIN($B230,2)+5)
+INDEX(Scenarios!AI$121:AI$200,MATCH($B230,Scenarios!$B$121:$B$200,0))</f>
        <v>0</v>
      </c>
      <c r="AJ230" s="476">
        <f>INDEX(Input!$1:$1048576,AJ$93,$C230*2+MIN($B230,2)+5)</f>
        <v>0.27</v>
      </c>
      <c r="AK230" s="150">
        <f>ROUND(INDEX(Input!$1:$1048576,AK$93,$C229*2+MIN($B230,1)+5)+(Y230-VLOOKUP($C230*1000+1,$A:$HH,Y$92,FALSE)),0)</f>
        <v>4057</v>
      </c>
      <c r="AL230" s="150">
        <f>ROUND(INDEX(Input!$1:$1048576,AL$93,$C229*2+MIN($B230,1)+5)-(Y230-VLOOKUP($C230*1000+1,$A:$HH,Y$92,FALSE))/36,0)</f>
        <v>3365</v>
      </c>
      <c r="AM230" s="32" t="str">
        <f t="shared" si="663"/>
        <v>std/std/std/std</v>
      </c>
      <c r="AN230" s="32" t="str">
        <f t="shared" si="664"/>
        <v>$0 + 0/0/0/1.9/3.9</v>
      </c>
      <c r="AO230" s="32" t="str">
        <f t="shared" si="665"/>
        <v>0/0/0/1.9/3.9</v>
      </c>
      <c r="AP230" s="32" t="str">
        <f t="shared" ref="AP230:AP293" si="734">IF(X230="Y",
IF(U230="market","std",ROUND(U230*1000,0)/10)&amp;"/"
&amp;MAX(IF(V230="market","std",ROUND(V230*1000,0)/10-1),0)&amp;"/"
&amp;IF(V230="market","std",ROUND(V230*1000,0)/10)&amp;"/"
&amp;IF(W230="market","std",ROUND(W230*1000,0)/10),
IF(U230="market","std",ROUND(U230*1000,0)/10)&amp;"/"
&amp;MAX(IF(V230="market","std",ROUND(V230*1000,0)/10-1),0)&amp;"/"
&amp;IF(V230="market","std",ROUND(V230*1000,0)/10)&amp;"/"
&amp;IF(W230="market","std",ROUND(W230*1000,0)/10))</f>
        <v>0/0.9/1.9/3.9</v>
      </c>
      <c r="AQ230" s="536">
        <f t="shared" si="733"/>
        <v>0.27071627046627855</v>
      </c>
      <c r="AR230" s="32"/>
      <c r="AS230" s="302"/>
      <c r="AT230" s="3">
        <f t="shared" si="717"/>
        <v>30</v>
      </c>
      <c r="AU230" s="41" t="s">
        <v>121</v>
      </c>
      <c r="AV230" s="41" t="s">
        <v>116</v>
      </c>
      <c r="AW230" s="41" t="str">
        <f>INDEX(Input!$1:$1048576,AW$93,$C230*2+6)</f>
        <v>Kia</v>
      </c>
      <c r="AX230" s="41" t="str">
        <f>INDEX(Input!$1:$1048576,AX$93,$C230*2+6)</f>
        <v>Kia-LR - L2</v>
      </c>
      <c r="AY230" s="41" t="str">
        <f>IF(LEN(D230)=0,"",INDEX(Input!$1:$1048576,AY$93,$C230*2+6))</f>
        <v>Compact SUV (52)</v>
      </c>
      <c r="AZ230" s="41" t="str">
        <f>INDEX(Input!$1:$1048576,AZ$93,$C230*2+6)</f>
        <v>Kia Soul</v>
      </c>
      <c r="BA230" s="3">
        <f>INDEX(Input!$1:$1048576,BA$93,$C230*2+6)</f>
        <v>2020</v>
      </c>
      <c r="BB230" s="128">
        <f>INDEX(Input!$1:$1048576,BB$93,$C230*2+6)</f>
        <v>1</v>
      </c>
      <c r="BC230" s="128">
        <f>INDEX(Input!$1:$1048576,BC$93,$C230*2+6)</f>
        <v>0.7</v>
      </c>
      <c r="BD230" s="1">
        <f>INDEX(Input!$1:$1048576,BD$93,$C230*2+6)</f>
        <v>4.4999999999999998E-2</v>
      </c>
      <c r="BE230" s="1">
        <f>INDEX(Input!$1:$1048576,BE$93,$C230*2+6)</f>
        <v>4.4999999999999998E-2</v>
      </c>
      <c r="BF230" s="1">
        <f>INDEX(Input!$1:$1048576,BF$93,$C230*2+6)</f>
        <v>0.05</v>
      </c>
      <c r="BG230" s="1">
        <f>INDEX(Input!$1:$1048576,BG$93,$C230*2+6)</f>
        <v>5.45E-2</v>
      </c>
      <c r="BH230" s="1">
        <f>INDEX(Input!$1:$1048576,BH$93,$C230*2+6)</f>
        <v>5.45E-2</v>
      </c>
      <c r="BI230" s="1">
        <f>INDEX(Input!$1:$1048576,BI$93,$C230*2+6)</f>
        <v>0.05</v>
      </c>
      <c r="BJ230" s="1">
        <f>INDEX(Input!$1:$1048576,BJ$93,$C230*2+6)</f>
        <v>0.05</v>
      </c>
      <c r="BK230" s="1">
        <f>INDEX(Input!$1:$1048576,BK$93,$C230*2+6)</f>
        <v>0.05</v>
      </c>
      <c r="BL230" s="1">
        <f>INDEX(Input!$1:$1048576,BL$93,$C230*2+6)</f>
        <v>5.5E-2</v>
      </c>
      <c r="BM230" s="1">
        <f>INDEX(Input!$1:$1048576,BM$93,$C230*2+6)</f>
        <v>0.06</v>
      </c>
      <c r="BN230" s="1">
        <f>INDEX(Input!$1:$1048576,BN$93,$C230*2+6)</f>
        <v>4.4999999999999998E-2</v>
      </c>
      <c r="BO230" s="1">
        <f>INDEX(Input!$1:$1048576,BO$93,$C230*2+6)</f>
        <v>4.4999999999999998E-2</v>
      </c>
      <c r="BP230" s="1">
        <f>INDEX(Input!$1:$1048576,BP$93,$C230*2+6)</f>
        <v>0.05</v>
      </c>
      <c r="BQ230" s="1">
        <f>INDEX(Input!$1:$1048576,BQ$93,$C230*2+6)</f>
        <v>5.45E-2</v>
      </c>
      <c r="BR230" s="1">
        <f>INDEX(Input!$1:$1048576,BR$93,$C230*2+6)</f>
        <v>5.45E-2</v>
      </c>
      <c r="BS230" s="1">
        <f>INDEX(Input!$1:$1048576,BS$93,$C230*2+6)</f>
        <v>0.05</v>
      </c>
      <c r="BT230" s="1">
        <f>INDEX(Input!$1:$1048576,BT$93,$C230*2+6)</f>
        <v>0.05</v>
      </c>
      <c r="BU230" s="1">
        <f>INDEX(Input!$1:$1048576,BU$93,$C230*2+6)</f>
        <v>0.05</v>
      </c>
      <c r="BV230" s="1">
        <f>INDEX(Input!$1:$1048576,BV$93,$C230*2+6)</f>
        <v>5.5E-2</v>
      </c>
      <c r="BW230" s="1">
        <f>INDEX(Input!$1:$1048576,BW$93,$C230*2+6)</f>
        <v>0.06</v>
      </c>
      <c r="BX230" s="127">
        <f>INDEX(Input!$1:$1048576,BX$93,$C230*2+6)</f>
        <v>19985</v>
      </c>
      <c r="BY230" s="20">
        <f>INDEX(Input!$1:$1048576,BY$93,$C230*2+6)</f>
        <v>0.1</v>
      </c>
      <c r="BZ230" s="20">
        <f>INDEX(Input!$1:$1048576,BZ$93,$C230*2+6)</f>
        <v>0.1</v>
      </c>
      <c r="CA230" s="20">
        <f>INDEX(Input!$1:$1048576,CA$93,$C230*2+6)</f>
        <v>0.1</v>
      </c>
      <c r="CB230" s="20">
        <f>INDEX(Input!$1:$1048576,CB$93,$C230*2+6)</f>
        <v>0.1</v>
      </c>
      <c r="CC230" s="20">
        <f>INDEX(Input!$1:$1048576,CC$93,$C230*2+6)</f>
        <v>0.1</v>
      </c>
      <c r="CD230" s="384">
        <f>INDEX(Input!$1:$1048576,CD$93,$C230*2+6)</f>
        <v>0.1</v>
      </c>
      <c r="CE230" s="384">
        <f>INDEX(Input!$1:$1048576,CE$93,$C230*2+6)</f>
        <v>0.1</v>
      </c>
      <c r="CF230" s="384">
        <f>INDEX(Input!$1:$1048576,CF$93,$C230*2+6)</f>
        <v>0.1</v>
      </c>
      <c r="CG230" s="384">
        <f>INDEX(Input!$1:$1048576,CG$93,$C230*2+6)</f>
        <v>0.1</v>
      </c>
      <c r="CH230" s="384">
        <f>INDEX(Input!$1:$1048576,CH$93,$C230*2+6)</f>
        <v>0.1</v>
      </c>
      <c r="CI230" s="304">
        <f t="shared" ref="CI230:CI293" si="735">E230+F230*I230+AA230*AB230</f>
        <v>1269.7618664521319</v>
      </c>
      <c r="CJ230" s="16" t="str">
        <f>INDEX(Input!$1:$1048576,CJ$93,$C230*2+6)</f>
        <v>N</v>
      </c>
      <c r="CK230" s="1" t="str">
        <f t="shared" ref="CK230:CK293" si="736">K230</f>
        <v>Market</v>
      </c>
      <c r="CL230" s="1" t="str">
        <f t="shared" ref="CL230:CL293" si="737">L230</f>
        <v>Market</v>
      </c>
      <c r="CM230" s="1" t="str">
        <f t="shared" ref="CM230:CM293" si="738">M230</f>
        <v>Market</v>
      </c>
      <c r="CN230" s="1" t="str">
        <f t="shared" ref="CN230:CN293" si="739">N230</f>
        <v>Market</v>
      </c>
      <c r="CO230" s="1" t="str">
        <f t="shared" ref="CO230:CO293" si="740">O230</f>
        <v>Market</v>
      </c>
      <c r="CP230" s="304">
        <f t="shared" ref="CP230:CP293" si="741">Q230+G230*I230+AG230*AH230</f>
        <v>473</v>
      </c>
      <c r="CQ230" s="1">
        <f t="shared" ref="CQ230:CQ293" si="742">S230</f>
        <v>0</v>
      </c>
      <c r="CR230" s="1">
        <f t="shared" ref="CR230:CR293" si="743">T230</f>
        <v>0</v>
      </c>
      <c r="CS230" s="1">
        <f t="shared" ref="CS230:CS293" si="744">U230</f>
        <v>0</v>
      </c>
      <c r="CT230" s="1">
        <f t="shared" ref="CT230:CT293" si="745">V230</f>
        <v>1.9E-2</v>
      </c>
      <c r="CU230" s="1">
        <f t="shared" ref="CU230:CU293" si="746">W230</f>
        <v>3.9E-2</v>
      </c>
      <c r="CV230" s="304">
        <f t="shared" ref="CV230:CV293" si="747">Y230+H230*I230+AC230*AD230</f>
        <v>1136</v>
      </c>
      <c r="CW230" s="20" t="s">
        <v>122</v>
      </c>
      <c r="CX230" s="20" t="s">
        <v>122</v>
      </c>
      <c r="CY230" s="20" t="s">
        <v>122</v>
      </c>
      <c r="CZ230" s="20" t="s">
        <v>122</v>
      </c>
      <c r="DA230" s="20" t="s">
        <v>122</v>
      </c>
      <c r="DB230" s="503">
        <f t="shared" ref="DB230:DB293" si="748">Z230+AE230*AF230</f>
        <v>0</v>
      </c>
      <c r="DC230" s="127">
        <v>0</v>
      </c>
      <c r="DD230" s="127">
        <v>0</v>
      </c>
      <c r="DE230" s="127">
        <v>0</v>
      </c>
      <c r="DF230" s="127">
        <v>0</v>
      </c>
      <c r="DG230" s="127">
        <v>0</v>
      </c>
      <c r="DH230" s="127">
        <v>0</v>
      </c>
      <c r="DI230" s="127">
        <v>0</v>
      </c>
      <c r="DJ230" s="127">
        <v>0</v>
      </c>
      <c r="DK230" s="127">
        <v>0</v>
      </c>
      <c r="DL230" s="127">
        <v>0</v>
      </c>
      <c r="DM230" s="304">
        <f>INDEX(Input!$1:$1048576,DM$93,$C230*2+6)</f>
        <v>21036.84210526316</v>
      </c>
      <c r="DN230" s="20">
        <v>0</v>
      </c>
      <c r="DO230" s="20">
        <v>0</v>
      </c>
      <c r="DP230" s="20">
        <v>0</v>
      </c>
      <c r="DQ230" s="20">
        <v>0</v>
      </c>
      <c r="DR230" s="20">
        <v>0</v>
      </c>
      <c r="DS230" s="20">
        <f>INDEX(Input!$1:$1048576,DS$93,$C230*2+6)</f>
        <v>0.6</v>
      </c>
      <c r="DT230" s="20">
        <f>INDEX(Input!$1:$1048576,DT$93,$C230*2+6)</f>
        <v>0.55000000000000004</v>
      </c>
      <c r="DU230" s="20">
        <f>INDEX(Input!$1:$1048576,DU$93,$C230*2+6)</f>
        <v>0.52</v>
      </c>
      <c r="DV230" s="20">
        <f>INDEX(Input!$1:$1048576,DV$93,$C230*2+6)</f>
        <v>0.5</v>
      </c>
      <c r="DW230" s="20">
        <f>INDEX(Input!$1:$1048576,DW$93,$C230*2+6)</f>
        <v>0.45</v>
      </c>
      <c r="DX230" s="20"/>
      <c r="DY230" s="7">
        <v>7.9872922975242538E-2</v>
      </c>
      <c r="DZ230" s="7">
        <v>0</v>
      </c>
      <c r="EA230" s="7">
        <v>0.56650055846265457</v>
      </c>
      <c r="EB230" s="7">
        <v>0</v>
      </c>
      <c r="EC230" s="7">
        <v>0</v>
      </c>
      <c r="ED230" s="7">
        <v>0</v>
      </c>
      <c r="EE230" s="7">
        <v>0</v>
      </c>
      <c r="EF230" s="7">
        <v>0</v>
      </c>
      <c r="EG230" s="7">
        <v>0</v>
      </c>
      <c r="EH230" s="7">
        <v>1.4226278310837441E-2</v>
      </c>
      <c r="EI230" s="7">
        <v>4.0467532562567007E-2</v>
      </c>
      <c r="EJ230" s="7">
        <v>0.30678804603753301</v>
      </c>
      <c r="EK230" s="7">
        <v>0.52723049312135062</v>
      </c>
      <c r="EL230" s="7">
        <v>0.11128764996771195</v>
      </c>
      <c r="EM230" s="7">
        <v>4.9524201044167299E-2</v>
      </c>
      <c r="EN230" s="7">
        <v>6.9704140647183679E-2</v>
      </c>
      <c r="EO230" s="7">
        <v>0.76361760433426651</v>
      </c>
      <c r="EP230" s="7">
        <v>7.1620742483165398E-2</v>
      </c>
      <c r="EQ230" s="7">
        <v>6.0979651527419833E-2</v>
      </c>
      <c r="ER230" s="7">
        <v>3.4077861007964741E-2</v>
      </c>
      <c r="ES230" s="7">
        <v>0.30410231751793548</v>
      </c>
      <c r="ET230" s="7">
        <v>0.35362651856210298</v>
      </c>
      <c r="EU230" s="6">
        <v>1294</v>
      </c>
      <c r="EV230" s="6">
        <v>0</v>
      </c>
      <c r="EW230" s="6">
        <v>1294</v>
      </c>
      <c r="EX230" s="6">
        <v>0</v>
      </c>
      <c r="EY230" s="6">
        <v>2053.7851856483685</v>
      </c>
      <c r="EZ230" s="6">
        <v>2026</v>
      </c>
      <c r="FA230" s="6">
        <v>0</v>
      </c>
      <c r="FB230" s="6">
        <v>0</v>
      </c>
      <c r="FC230" s="6">
        <v>0</v>
      </c>
      <c r="FD230" s="6">
        <v>0</v>
      </c>
      <c r="FE230" s="6">
        <v>0</v>
      </c>
      <c r="FF230" s="6">
        <v>0</v>
      </c>
      <c r="FG230" s="6">
        <v>0</v>
      </c>
      <c r="FH230" s="6">
        <v>1173.7238145502959</v>
      </c>
      <c r="FI230" s="6">
        <v>1553.9796069512395</v>
      </c>
      <c r="FJ230" s="6">
        <v>2101.211011744741</v>
      </c>
      <c r="FK230" s="6">
        <v>1772.7139978623229</v>
      </c>
      <c r="FL230" s="6">
        <v>907.07682140966301</v>
      </c>
      <c r="FM230" s="6">
        <v>1759.7851856483683</v>
      </c>
      <c r="FN230" s="6">
        <v>0</v>
      </c>
      <c r="FO230" s="6">
        <v>0</v>
      </c>
      <c r="FP230" s="6">
        <v>0</v>
      </c>
      <c r="FQ230" s="6">
        <v>0</v>
      </c>
      <c r="FR230" s="6">
        <v>0</v>
      </c>
      <c r="FS230" s="6">
        <v>0</v>
      </c>
      <c r="FT230" s="7">
        <v>0.64637348143789708</v>
      </c>
      <c r="FU230" s="7">
        <v>4.9524201044167299E-2</v>
      </c>
      <c r="FV230" s="7">
        <v>0.30410231751793548</v>
      </c>
      <c r="FW230" s="6">
        <v>1294.0000000000002</v>
      </c>
      <c r="FX230" s="6">
        <v>2053.7851856483685</v>
      </c>
      <c r="FY230" s="6">
        <v>2026</v>
      </c>
      <c r="FZ230" s="6">
        <v>1817.4615072224267</v>
      </c>
      <c r="GA230" s="6">
        <v>1554.2306507075587</v>
      </c>
      <c r="GB230" s="6">
        <v>18430.769349292441</v>
      </c>
      <c r="GC230" s="7">
        <v>1.804905384453976E-2</v>
      </c>
      <c r="GD230" s="7">
        <v>1.7785725867119163E-2</v>
      </c>
      <c r="GE230" s="7"/>
      <c r="GF230" s="7"/>
      <c r="GG230" s="7">
        <v>-1.4589572378070062E-2</v>
      </c>
      <c r="GH230" s="42">
        <v>1.1076687886674916</v>
      </c>
      <c r="GI230" s="6">
        <v>19596.627623941436</v>
      </c>
      <c r="GJ230" s="14">
        <v>0.50394797582841711</v>
      </c>
      <c r="GK230" s="14">
        <v>0.50887573065309755</v>
      </c>
      <c r="GL230" s="14">
        <v>0.49605202417158273</v>
      </c>
      <c r="GM230" s="14">
        <v>0.49112426934690245</v>
      </c>
      <c r="GO230" s="5">
        <v>343.14810671672558</v>
      </c>
      <c r="GP230" s="5">
        <v>318.46105531198077</v>
      </c>
      <c r="GQ230" s="5">
        <v>535.04305713031317</v>
      </c>
      <c r="GR230" s="5">
        <v>410.15490233172511</v>
      </c>
      <c r="GS230" s="5">
        <v>339.42744393800166</v>
      </c>
      <c r="GT230" s="5">
        <v>293.4407446948278</v>
      </c>
      <c r="GU230" s="5">
        <v>258.04012322764959</v>
      </c>
      <c r="GV230" s="39" t="s">
        <v>392</v>
      </c>
      <c r="GW230" s="5">
        <v>491.45833333333331</v>
      </c>
      <c r="GX230" s="5">
        <v>368.59375</v>
      </c>
      <c r="GY230" s="5">
        <v>294.875</v>
      </c>
      <c r="GZ230" s="5">
        <v>260.19607020114813</v>
      </c>
      <c r="HA230" s="5">
        <v>241.02179695997205</v>
      </c>
      <c r="HB230" s="39">
        <v>276.37787945904074</v>
      </c>
      <c r="HC230" s="5">
        <v>198.64687499999999</v>
      </c>
      <c r="HD230" s="5">
        <v>179.3067799707602</v>
      </c>
      <c r="HE230" s="5">
        <v>184.79331562078269</v>
      </c>
      <c r="HF230" s="5">
        <v>174.05750548245612</v>
      </c>
      <c r="HG230" s="5">
        <v>171.79971491228071</v>
      </c>
      <c r="HH230" s="39">
        <v>180.47189078301406</v>
      </c>
      <c r="HI230" s="16"/>
      <c r="HJ230" s="19" t="str">
        <f t="shared" si="726"/>
        <v>On</v>
      </c>
      <c r="HK230" s="1" t="str">
        <f t="shared" si="726"/>
        <v>On</v>
      </c>
      <c r="HL230" s="16"/>
      <c r="HM230" s="639">
        <f t="shared" si="634"/>
        <v>1.2768706344444866E-2</v>
      </c>
      <c r="HN230" s="639">
        <f t="shared" si="635"/>
        <v>9.795534288915453E-4</v>
      </c>
      <c r="HO230" s="639">
        <f t="shared" si="636"/>
        <v>3.3583061774515237E-3</v>
      </c>
      <c r="HP230" s="644">
        <f>(FT230*$GD230-HM230)/$JF230*INDEX(Input!$1:$1048576,$JG$93,$C230*2+6)</f>
        <v>-92.46149143833162</v>
      </c>
      <c r="HQ230" s="644">
        <f>(FU230*$GD230-HN230)/$JF230*INDEX(Input!$1:$1048576,$JG$93,$C230*2+6)</f>
        <v>-7.1739032872278861</v>
      </c>
      <c r="HR230" s="644">
        <f>(FV230*$GD230-HO230)/$JF230*INDEX(Input!$1:$1048576,$JG$93,$C230*2+6)</f>
        <v>148.98461995453252</v>
      </c>
      <c r="HS230" s="644">
        <f t="shared" si="729"/>
        <v>-2.6623287991477782</v>
      </c>
      <c r="HT230" s="644">
        <f t="shared" si="638"/>
        <v>2.7969627773851773</v>
      </c>
      <c r="HU230" s="644">
        <f t="shared" si="639"/>
        <v>22.088697327953383</v>
      </c>
      <c r="HV230" s="648">
        <f t="shared" si="640"/>
        <v>0</v>
      </c>
      <c r="HW230" s="648">
        <f t="shared" si="641"/>
        <v>0</v>
      </c>
      <c r="HX230" s="648">
        <f t="shared" si="642"/>
        <v>0</v>
      </c>
      <c r="HY230" s="644">
        <f>INDEX(Input!$1:$1048576,HY$93,$C230*2+6)*INDEX(Input!$1:$1048576,$JG$93,$C230*2+6)</f>
        <v>451</v>
      </c>
      <c r="HZ230" s="644">
        <f>INDEX(Input!$1:$1048576,HZ$93,$C230*2+6)*INDEX(Input!$1:$1048576,$JG$93,$C230*2+6)</f>
        <v>577</v>
      </c>
      <c r="IA230" s="644">
        <f>INDEX(Input!$1:$1048576,IA$93,$C230*2+6)*INDEX(Input!$1:$1048576,$JG$93,$C230*2+6)</f>
        <v>215</v>
      </c>
      <c r="IB230" s="644">
        <f t="shared" si="666"/>
        <v>355.87617976252068</v>
      </c>
      <c r="IC230" s="644">
        <f t="shared" si="667"/>
        <v>572.62305949015729</v>
      </c>
      <c r="ID230" s="644">
        <f>IF(AND(INDEX(Input!$1:$1048576,IA$93,$C230*2+7)="TOS",Y230&lt;=INDEX(Y:Y,MATCH(C230*1000+2,A:A))),0,1)*MAX(IA230+HR230+HU230+HX230,0%)</f>
        <v>386.07331728248585</v>
      </c>
      <c r="IE230" s="128">
        <f t="shared" si="730"/>
        <v>0.27071627046627855</v>
      </c>
      <c r="IF230" s="128">
        <f t="shared" si="643"/>
        <v>0.43559638959710784</v>
      </c>
      <c r="IG230" s="128">
        <f t="shared" si="644"/>
        <v>0.29368733993661361</v>
      </c>
      <c r="IH230" s="21"/>
      <c r="II230" s="19">
        <f t="shared" si="645"/>
        <v>1252</v>
      </c>
      <c r="IJ230" s="19">
        <f t="shared" si="646"/>
        <v>2011.9658773055378</v>
      </c>
      <c r="IK230" s="19">
        <f t="shared" si="647"/>
        <v>919</v>
      </c>
      <c r="IL230" s="19">
        <f t="shared" si="669"/>
        <v>42.000000000000227</v>
      </c>
      <c r="IM230" s="19">
        <f t="shared" si="648"/>
        <v>41.819308342830709</v>
      </c>
      <c r="IN230" s="19">
        <f t="shared" si="649"/>
        <v>1107</v>
      </c>
      <c r="IO230" s="39">
        <f t="shared" si="650"/>
        <v>0</v>
      </c>
      <c r="IP230" s="39">
        <f t="shared" si="651"/>
        <v>0</v>
      </c>
      <c r="IQ230" s="39">
        <f t="shared" si="652"/>
        <v>0</v>
      </c>
      <c r="IR230" s="39">
        <v>0</v>
      </c>
      <c r="IS230" s="39">
        <v>0</v>
      </c>
      <c r="IT230" s="39">
        <v>0</v>
      </c>
      <c r="IU230" s="39">
        <v>0</v>
      </c>
      <c r="IV230" s="39">
        <v>0</v>
      </c>
      <c r="IW230" s="39">
        <v>0</v>
      </c>
      <c r="IX230" s="39">
        <f>INDEX(Input!$1:$1048576,IX$93,$C230*2+6)+INDEX(Input!$1:$1048576,IX$94,$C230*2+6)</f>
        <v>1294</v>
      </c>
      <c r="IY230" s="39">
        <f>INDEX(Input!$1:$1048576,IY$93,$C230*2+6)+INDEX(Input!$1:$1048576,IY$94,$C230*2+6)</f>
        <v>2154.0624533823611</v>
      </c>
      <c r="IZ230" s="39">
        <f>INDEX(Input!$1:$1048576,IZ$93,$C230*2+6)+INDEX(Input!$1:$1048576,IZ$94,$C230*2+6)</f>
        <v>3677.7164157747848</v>
      </c>
      <c r="JA230" s="19">
        <f t="shared" si="670"/>
        <v>1336.0000000000002</v>
      </c>
      <c r="JB230" s="19">
        <f t="shared" si="671"/>
        <v>2195.8817617251916</v>
      </c>
      <c r="JC230" s="19">
        <f t="shared" si="672"/>
        <v>4784.7164157747848</v>
      </c>
      <c r="JD230" s="19">
        <f t="shared" si="673"/>
        <v>2723.4057412325228</v>
      </c>
      <c r="JE230" s="21"/>
      <c r="JF230" s="1">
        <f t="shared" si="653"/>
        <v>1.7106565950787935E-2</v>
      </c>
      <c r="JG230" s="15">
        <f>INDEX(Input!$1:$1048576,JG$93,$C230*2+6)/(1+VLOOKUP(C230*1000+INDEX(Input!$1:$1048576,JG$93+1,$C230*2+6),$A:$KK,$JK$92,FALSE))</f>
        <v>1243</v>
      </c>
      <c r="JH230" s="1">
        <f t="shared" si="674"/>
        <v>3.9701709757822216E-2</v>
      </c>
      <c r="JI230" s="1">
        <f t="shared" si="675"/>
        <v>1.7878786247941095E-2</v>
      </c>
      <c r="JJ230" s="1">
        <f t="shared" si="731"/>
        <v>0</v>
      </c>
      <c r="JK230" s="1">
        <f t="shared" si="732"/>
        <v>5.7580496005763315E-2</v>
      </c>
      <c r="JL230" s="15">
        <f t="shared" si="678"/>
        <v>71.572556535163798</v>
      </c>
      <c r="JM230" s="15">
        <f t="shared" si="702"/>
        <v>1314.5725565351638</v>
      </c>
      <c r="JN230" s="21"/>
      <c r="JO230" s="19">
        <f>INDEX(Input!$1:$1048576,JO$93,$C230*2+6)</f>
        <v>5995.5</v>
      </c>
      <c r="JP230" s="19">
        <f>INDEX(Input!$1:$1048576,JP$93,$C230*2+6)</f>
        <v>2105.548724853742</v>
      </c>
      <c r="JQ230" s="39">
        <f t="shared" si="688"/>
        <v>3272.0942587674772</v>
      </c>
      <c r="JR230" s="39">
        <f t="shared" si="705"/>
        <v>617.85701637878083</v>
      </c>
      <c r="JS230" s="39">
        <f t="shared" si="690"/>
        <v>3.5801144477345805</v>
      </c>
      <c r="JT230" s="39">
        <f t="shared" si="680"/>
        <v>0.96291738274137906</v>
      </c>
      <c r="JU230" s="385">
        <f>(JQ230*JM230-INDEX(Input!$1:$1048576,Input!A$18,$C230*2+6)*JL230*INDEX(Input!$1:$1048576,Input!A$19,$C230*2+6))/1000000</f>
        <v>4.3014053149719942</v>
      </c>
      <c r="JV230" s="39">
        <f t="shared" si="712"/>
        <v>-0.53380412003480426</v>
      </c>
      <c r="JW230" s="1">
        <f t="shared" si="703"/>
        <v>-0.11039937922235084</v>
      </c>
      <c r="JX230" s="19">
        <f t="shared" si="694"/>
        <v>13453.723457094829</v>
      </c>
      <c r="JZ230" s="341"/>
      <c r="KA230" s="342"/>
      <c r="KB230" s="469">
        <f t="shared" si="691"/>
        <v>2.5660492421988774</v>
      </c>
      <c r="KI230" s="473">
        <f t="shared" si="719"/>
        <v>-95.123820237479322</v>
      </c>
      <c r="KJ230" s="473">
        <f t="shared" si="720"/>
        <v>-4.3769405098427114</v>
      </c>
      <c r="KK230" s="473">
        <f t="shared" si="682"/>
        <v>171.07331728248585</v>
      </c>
      <c r="KN230" s="544">
        <f t="shared" si="695"/>
        <v>2002</v>
      </c>
      <c r="KO230" s="541">
        <f t="shared" si="657"/>
        <v>5.1349500044874263E-2</v>
      </c>
      <c r="KP230" s="546">
        <f t="shared" si="658"/>
        <v>317.10312339084254</v>
      </c>
      <c r="KQ230" s="546">
        <f t="shared" si="659"/>
        <v>579.72540179904991</v>
      </c>
      <c r="KR230" s="548">
        <f t="shared" si="660"/>
        <v>2.8891006651539461</v>
      </c>
      <c r="KS230" s="548">
        <f t="shared" si="661"/>
        <v>1.58030481650076</v>
      </c>
      <c r="KT230" s="473">
        <f t="shared" si="693"/>
        <v>843.26993010479111</v>
      </c>
      <c r="KU230" s="663">
        <f t="shared" si="683"/>
        <v>4.1013631625807658</v>
      </c>
      <c r="KV230" s="117"/>
    </row>
    <row r="231" spans="1:308" s="26" customFormat="1" ht="15">
      <c r="A231" s="561">
        <f t="shared" si="662"/>
        <v>2031</v>
      </c>
      <c r="B231" s="561">
        <f t="shared" si="684"/>
        <v>31</v>
      </c>
      <c r="C231" s="561">
        <f t="shared" si="105"/>
        <v>2</v>
      </c>
      <c r="D231" s="561" t="str">
        <f t="shared" si="728"/>
        <v xml:space="preserve">250 CC, 250 Combo, </v>
      </c>
      <c r="E231" s="475">
        <f>INDEX(Input!$1:$1048576,E$93,$C231*2+MIN($B231,2)+5)
+INDEX(Scenarios!E$121:E$200,MATCH($B231,Scenarios!$B$121:$B$200,0))</f>
        <v>1519.7618664521319</v>
      </c>
      <c r="F231" s="475">
        <f>INDEX(Input!$1:$1048576,F$93,$C231*2+MIN($B231,2)+5)
+INDEX(Scenarios!F$121:F$200,MATCH($B231,Scenarios!$B$121:$B$200,0))</f>
        <v>0</v>
      </c>
      <c r="G231" s="475">
        <f>INDEX(Input!$1:$1048576,G$93,$C231*2+MIN($B231,2)+5)
+INDEX(Scenarios!G$121:G$200,MATCH($B231,Scenarios!$B$121:$B$200,0))</f>
        <v>0</v>
      </c>
      <c r="H231" s="475">
        <f>INDEX(Input!$1:$1048576,H$93,$C231*2+MIN($B231,2)+5)
+INDEX(Scenarios!H$121:H$200,MATCH($B231,Scenarios!$B$121:$B$200,0))</f>
        <v>0</v>
      </c>
      <c r="I231" s="476">
        <f>INDEX(Input!$1:$1048576,I$93,$C231*2+MIN($B231,2)+5)</f>
        <v>0.7</v>
      </c>
      <c r="J231" s="476" t="str">
        <f>INDEX(Input!$1:$1048576,J$93,$C231*2+MIN($B231,2)+5)</f>
        <v>Market</v>
      </c>
      <c r="K231" s="476" t="str">
        <f>INDEX(Input!$1:$1048576,K$93,$C231*2+MIN($B231,2)+5)</f>
        <v>Market</v>
      </c>
      <c r="L231" s="476" t="str">
        <f>INDEX(Input!$1:$1048576,L$93,$C231*2+MIN($B231,2)+5)</f>
        <v>Market</v>
      </c>
      <c r="M231" s="476" t="str">
        <f>INDEX(Input!$1:$1048576,M$93,$C231*2+MIN($B231,2)+5)</f>
        <v>Market</v>
      </c>
      <c r="N231" s="476" t="str">
        <f>INDEX(Input!$1:$1048576,N$93,$C231*2+MIN($B231,2)+5)</f>
        <v>Market</v>
      </c>
      <c r="O231" s="476" t="str">
        <f>INDEX(Input!$1:$1048576,O$93,$C231*2+MIN($B231,2)+5)</f>
        <v>Market</v>
      </c>
      <c r="P231" s="476" t="str">
        <f>INDEX(Input!$1:$1048576,P$93,$C231*2+MIN($B231,2)+5)</f>
        <v>N</v>
      </c>
      <c r="Q231" s="477">
        <f>INDEX(Input!$1:$1048576,Q$93,$C231*2+MIN($B231,2)+5)
+INDEX(Scenarios!Q$121:Q$200,MATCH($B231,Scenarios!$B$121:$B$200,0))</f>
        <v>250</v>
      </c>
      <c r="R231" s="478">
        <f>IFERROR(MAX(0,INDEX(Input!$1:$1048576,R$93,$C231*2+MIN($B231,2)+5)
+INDEX(Scenarios!R$121:R$200,MATCH($B231,Scenarios!$B$121:$B$200,0)),),"Market")</f>
        <v>0</v>
      </c>
      <c r="S231" s="478">
        <f>IFERROR(MAX(0,INDEX(Input!$1:$1048576,S$93,$C231*2+MIN($B231,2)+5)
+INDEX(Scenarios!S$121:S$200,MATCH($B231,Scenarios!$B$121:$B$200,0)),),"Market")</f>
        <v>0</v>
      </c>
      <c r="T231" s="478">
        <f>IFERROR(MAX(0,INDEX(Input!$1:$1048576,T$93,$C231*2+MIN($B231,2)+5)
+INDEX(Scenarios!T$121:T$200,MATCH($B231,Scenarios!$B$121:$B$200,0)),),"Market")</f>
        <v>0</v>
      </c>
      <c r="U231" s="478">
        <f>IFERROR(MAX(0,INDEX(Input!$1:$1048576,U$93,$C231*2+MIN($B231,2)+5)
+INDEX(Scenarios!U$121:U$200,MATCH($B231,Scenarios!$B$121:$B$200,0)),),"Market")</f>
        <v>0</v>
      </c>
      <c r="V231" s="478">
        <f>IFERROR(MAX(0,INDEX(Input!$1:$1048576,V$93,$C231*2+MIN($B231,2)+5)
+INDEX(Scenarios!V$121:V$200,MATCH($B231,Scenarios!$B$121:$B$200,0)),),"Market")</f>
        <v>1.9E-2</v>
      </c>
      <c r="W231" s="885">
        <f>IFERROR(MAX(0,INDEX(Input!$1:$1048576,W$93,$C231*2+MIN($B231,2)+5)-0%,),"Market")</f>
        <v>3.9E-2</v>
      </c>
      <c r="X231" s="476" t="str">
        <f>INDEX(Input!$1:$1048576,X$93,$C231*2+MIN($B231,2)+5)</f>
        <v>Y</v>
      </c>
      <c r="Y231" s="475">
        <f>INDEX(Input!$1:$1048576,Y$93,$C231*2+MIN($B231,2)+5)
++INDEX(Scenarios!Y$121:Y$200,MATCH($B231,Scenarios!$B$121:$B$200,0))</f>
        <v>56</v>
      </c>
      <c r="Z231" s="477">
        <f>INDEX(Input!$1:$1048576,Z$93,$C231*2+MIN($B231,2)+5)
+INDEX(Scenarios!Z$121:Z$200,MATCH($B231,Scenarios!$B$121:$B$200,0))</f>
        <v>0</v>
      </c>
      <c r="AA231" s="475">
        <f>INDEX(Input!$1:$1048576,AA$93,$C231*2+MIN($B231,2)+5)
+INDEX(Scenarios!AA$121:AA$200,MATCH($B231,Scenarios!$B$121:$B$200,0))</f>
        <v>0</v>
      </c>
      <c r="AB231" s="476">
        <f>INDEX(Input!$1:$1048576,AB$93,$C231*2+MIN($B231,2)+5)</f>
        <v>0.27</v>
      </c>
      <c r="AC231" s="475">
        <f>INDEX(Input!$1:$1048576,AC$93,$C231*2+MIN($B231,2)+5)
+INDEX(Scenarios!AC$121:AC$200,MATCH($B231,Scenarios!$B$121:$B$200,0))</f>
        <v>0</v>
      </c>
      <c r="AD231" s="476">
        <f>INDEX(Input!$1:$1048576,AD$93,$C231*2+MIN($B231,2)+5)</f>
        <v>0.27</v>
      </c>
      <c r="AE231" s="475">
        <f>INDEX(Input!$1:$1048576,AE$93,$C231*2+MIN($B231,2)+5)
+INDEX(Scenarios!AE$121:AE$200,MATCH($B231,Scenarios!$B$121:$B$200,0))</f>
        <v>0</v>
      </c>
      <c r="AF231" s="476">
        <f>INDEX(Input!$1:$1048576,AF$93,$C231*2+MIN($B231,2)+5)</f>
        <v>4.8000000000000001E-2</v>
      </c>
      <c r="AG231" s="475">
        <f>INDEX(Input!$1:$1048576,AG$93,$C231*2+MIN($B231,2)+5)
+INDEX(Scenarios!AG$121:AG$200,MATCH($B231,Scenarios!$B$121:$B$200,0))</f>
        <v>500</v>
      </c>
      <c r="AH231" s="476">
        <f>INDEX(Input!$1:$1048576,AH$93,$C231*2+MIN($B231,2)+5)</f>
        <v>0.94599999999999995</v>
      </c>
      <c r="AI231" s="475">
        <f>INDEX(Input!$1:$1048576,AI$93,$C231*2+MIN($B231,2)+5)
+INDEX(Scenarios!AI$121:AI$200,MATCH($B231,Scenarios!$B$121:$B$200,0))</f>
        <v>0</v>
      </c>
      <c r="AJ231" s="476">
        <f>INDEX(Input!$1:$1048576,AJ$93,$C231*2+MIN($B231,2)+5)</f>
        <v>0.27</v>
      </c>
      <c r="AK231" s="150">
        <f>ROUND(INDEX(Input!$1:$1048576,AK$93,$C230*2+MIN($B231,1)+5)+(Y231-VLOOKUP($C231*1000+1,$A:$HH,Y$92,FALSE)),0)</f>
        <v>2977</v>
      </c>
      <c r="AL231" s="150">
        <f>ROUND(INDEX(Input!$1:$1048576,AL$93,$C230*2+MIN($B231,1)+5)-(Y231-VLOOKUP($C231*1000+1,$A:$HH,Y$92,FALSE))/36,0)</f>
        <v>3395</v>
      </c>
      <c r="AM231" s="32" t="str">
        <f t="shared" si="663"/>
        <v>std/std/std/std</v>
      </c>
      <c r="AN231" s="32" t="str">
        <f t="shared" si="664"/>
        <v>$250 + 0/0/0/1.9/3.9</v>
      </c>
      <c r="AO231" s="32" t="str">
        <f t="shared" si="665"/>
        <v>0/0/0/1.9/3.9</v>
      </c>
      <c r="AP231" s="32" t="str">
        <f t="shared" si="734"/>
        <v>0/0.9/1.9/3.9</v>
      </c>
      <c r="AQ231" s="536">
        <f t="shared" si="733"/>
        <v>0.37823338828462061</v>
      </c>
      <c r="AR231" s="32"/>
      <c r="AS231" s="302"/>
      <c r="AT231" s="3">
        <f t="shared" si="717"/>
        <v>31</v>
      </c>
      <c r="AU231" s="41" t="s">
        <v>121</v>
      </c>
      <c r="AV231" s="41" t="s">
        <v>116</v>
      </c>
      <c r="AW231" s="41" t="str">
        <f>INDEX(Input!$1:$1048576,AW$93,$C231*2+6)</f>
        <v>Kia</v>
      </c>
      <c r="AX231" s="41" t="str">
        <f>INDEX(Input!$1:$1048576,AX$93,$C231*2+6)</f>
        <v>Kia-LR - L2</v>
      </c>
      <c r="AY231" s="41" t="str">
        <f>IF(LEN(D231)=0,"",INDEX(Input!$1:$1048576,AY$93,$C231*2+6))</f>
        <v>Compact SUV (52)</v>
      </c>
      <c r="AZ231" s="41" t="str">
        <f>INDEX(Input!$1:$1048576,AZ$93,$C231*2+6)</f>
        <v>Kia Soul</v>
      </c>
      <c r="BA231" s="3">
        <f>INDEX(Input!$1:$1048576,BA$93,$C231*2+6)</f>
        <v>2020</v>
      </c>
      <c r="BB231" s="128">
        <f>INDEX(Input!$1:$1048576,BB$93,$C231*2+6)</f>
        <v>1</v>
      </c>
      <c r="BC231" s="128">
        <f>INDEX(Input!$1:$1048576,BC$93,$C231*2+6)</f>
        <v>0.7</v>
      </c>
      <c r="BD231" s="1">
        <f>INDEX(Input!$1:$1048576,BD$93,$C231*2+6)</f>
        <v>4.4999999999999998E-2</v>
      </c>
      <c r="BE231" s="1">
        <f>INDEX(Input!$1:$1048576,BE$93,$C231*2+6)</f>
        <v>4.4999999999999998E-2</v>
      </c>
      <c r="BF231" s="1">
        <f>INDEX(Input!$1:$1048576,BF$93,$C231*2+6)</f>
        <v>0.05</v>
      </c>
      <c r="BG231" s="1">
        <f>INDEX(Input!$1:$1048576,BG$93,$C231*2+6)</f>
        <v>5.45E-2</v>
      </c>
      <c r="BH231" s="1">
        <f>INDEX(Input!$1:$1048576,BH$93,$C231*2+6)</f>
        <v>5.45E-2</v>
      </c>
      <c r="BI231" s="1">
        <f>INDEX(Input!$1:$1048576,BI$93,$C231*2+6)</f>
        <v>0.05</v>
      </c>
      <c r="BJ231" s="1">
        <f>INDEX(Input!$1:$1048576,BJ$93,$C231*2+6)</f>
        <v>0.05</v>
      </c>
      <c r="BK231" s="1">
        <f>INDEX(Input!$1:$1048576,BK$93,$C231*2+6)</f>
        <v>0.05</v>
      </c>
      <c r="BL231" s="1">
        <f>INDEX(Input!$1:$1048576,BL$93,$C231*2+6)</f>
        <v>5.5E-2</v>
      </c>
      <c r="BM231" s="1">
        <f>INDEX(Input!$1:$1048576,BM$93,$C231*2+6)</f>
        <v>0.06</v>
      </c>
      <c r="BN231" s="1">
        <f>INDEX(Input!$1:$1048576,BN$93,$C231*2+6)</f>
        <v>4.4999999999999998E-2</v>
      </c>
      <c r="BO231" s="1">
        <f>INDEX(Input!$1:$1048576,BO$93,$C231*2+6)</f>
        <v>4.4999999999999998E-2</v>
      </c>
      <c r="BP231" s="1">
        <f>INDEX(Input!$1:$1048576,BP$93,$C231*2+6)</f>
        <v>0.05</v>
      </c>
      <c r="BQ231" s="1">
        <f>INDEX(Input!$1:$1048576,BQ$93,$C231*2+6)</f>
        <v>5.45E-2</v>
      </c>
      <c r="BR231" s="1">
        <f>INDEX(Input!$1:$1048576,BR$93,$C231*2+6)</f>
        <v>5.45E-2</v>
      </c>
      <c r="BS231" s="1">
        <f>INDEX(Input!$1:$1048576,BS$93,$C231*2+6)</f>
        <v>0.05</v>
      </c>
      <c r="BT231" s="1">
        <f>INDEX(Input!$1:$1048576,BT$93,$C231*2+6)</f>
        <v>0.05</v>
      </c>
      <c r="BU231" s="1">
        <f>INDEX(Input!$1:$1048576,BU$93,$C231*2+6)</f>
        <v>0.05</v>
      </c>
      <c r="BV231" s="1">
        <f>INDEX(Input!$1:$1048576,BV$93,$C231*2+6)</f>
        <v>5.5E-2</v>
      </c>
      <c r="BW231" s="1">
        <f>INDEX(Input!$1:$1048576,BW$93,$C231*2+6)</f>
        <v>0.06</v>
      </c>
      <c r="BX231" s="127">
        <f>INDEX(Input!$1:$1048576,BX$93,$C231*2+6)</f>
        <v>19985</v>
      </c>
      <c r="BY231" s="20">
        <f>INDEX(Input!$1:$1048576,BY$93,$C231*2+6)</f>
        <v>0.1</v>
      </c>
      <c r="BZ231" s="20">
        <f>INDEX(Input!$1:$1048576,BZ$93,$C231*2+6)</f>
        <v>0.1</v>
      </c>
      <c r="CA231" s="20">
        <f>INDEX(Input!$1:$1048576,CA$93,$C231*2+6)</f>
        <v>0.1</v>
      </c>
      <c r="CB231" s="20">
        <f>INDEX(Input!$1:$1048576,CB$93,$C231*2+6)</f>
        <v>0.1</v>
      </c>
      <c r="CC231" s="20">
        <f>INDEX(Input!$1:$1048576,CC$93,$C231*2+6)</f>
        <v>0.1</v>
      </c>
      <c r="CD231" s="384">
        <f>INDEX(Input!$1:$1048576,CD$93,$C231*2+6)</f>
        <v>0.1</v>
      </c>
      <c r="CE231" s="384">
        <f>INDEX(Input!$1:$1048576,CE$93,$C231*2+6)</f>
        <v>0.1</v>
      </c>
      <c r="CF231" s="384">
        <f>INDEX(Input!$1:$1048576,CF$93,$C231*2+6)</f>
        <v>0.1</v>
      </c>
      <c r="CG231" s="384">
        <f>INDEX(Input!$1:$1048576,CG$93,$C231*2+6)</f>
        <v>0.1</v>
      </c>
      <c r="CH231" s="384">
        <f>INDEX(Input!$1:$1048576,CH$93,$C231*2+6)</f>
        <v>0.1</v>
      </c>
      <c r="CI231" s="304">
        <f t="shared" si="735"/>
        <v>1519.7618664521319</v>
      </c>
      <c r="CJ231" s="16" t="str">
        <f>INDEX(Input!$1:$1048576,CJ$93,$C231*2+6)</f>
        <v>N</v>
      </c>
      <c r="CK231" s="1" t="str">
        <f t="shared" si="736"/>
        <v>Market</v>
      </c>
      <c r="CL231" s="1" t="str">
        <f t="shared" si="737"/>
        <v>Market</v>
      </c>
      <c r="CM231" s="1" t="str">
        <f t="shared" si="738"/>
        <v>Market</v>
      </c>
      <c r="CN231" s="1" t="str">
        <f t="shared" si="739"/>
        <v>Market</v>
      </c>
      <c r="CO231" s="1" t="str">
        <f t="shared" si="740"/>
        <v>Market</v>
      </c>
      <c r="CP231" s="304">
        <f t="shared" si="741"/>
        <v>723</v>
      </c>
      <c r="CQ231" s="1">
        <f t="shared" si="742"/>
        <v>0</v>
      </c>
      <c r="CR231" s="1">
        <f t="shared" si="743"/>
        <v>0</v>
      </c>
      <c r="CS231" s="1">
        <f t="shared" si="744"/>
        <v>0</v>
      </c>
      <c r="CT231" s="1">
        <f t="shared" si="745"/>
        <v>1.9E-2</v>
      </c>
      <c r="CU231" s="1">
        <f t="shared" si="746"/>
        <v>3.9E-2</v>
      </c>
      <c r="CV231" s="304">
        <f t="shared" si="747"/>
        <v>56</v>
      </c>
      <c r="CW231" s="20" t="s">
        <v>122</v>
      </c>
      <c r="CX231" s="20" t="s">
        <v>122</v>
      </c>
      <c r="CY231" s="20" t="s">
        <v>122</v>
      </c>
      <c r="CZ231" s="20" t="s">
        <v>122</v>
      </c>
      <c r="DA231" s="20" t="s">
        <v>122</v>
      </c>
      <c r="DB231" s="503">
        <f t="shared" si="748"/>
        <v>0</v>
      </c>
      <c r="DC231" s="127">
        <v>0</v>
      </c>
      <c r="DD231" s="127">
        <v>0</v>
      </c>
      <c r="DE231" s="127">
        <v>0</v>
      </c>
      <c r="DF231" s="127">
        <v>0</v>
      </c>
      <c r="DG231" s="127">
        <v>0</v>
      </c>
      <c r="DH231" s="127">
        <v>0</v>
      </c>
      <c r="DI231" s="127">
        <v>0</v>
      </c>
      <c r="DJ231" s="127">
        <v>0</v>
      </c>
      <c r="DK231" s="127">
        <v>0</v>
      </c>
      <c r="DL231" s="127">
        <v>0</v>
      </c>
      <c r="DM231" s="304">
        <f>INDEX(Input!$1:$1048576,DM$93,$C231*2+6)</f>
        <v>21036.84210526316</v>
      </c>
      <c r="DN231" s="20">
        <v>0</v>
      </c>
      <c r="DO231" s="20">
        <v>0</v>
      </c>
      <c r="DP231" s="20">
        <v>0</v>
      </c>
      <c r="DQ231" s="20">
        <v>0</v>
      </c>
      <c r="DR231" s="20">
        <v>0</v>
      </c>
      <c r="DS231" s="20">
        <f>INDEX(Input!$1:$1048576,DS$93,$C231*2+6)</f>
        <v>0.6</v>
      </c>
      <c r="DT231" s="20">
        <f>INDEX(Input!$1:$1048576,DT$93,$C231*2+6)</f>
        <v>0.55000000000000004</v>
      </c>
      <c r="DU231" s="20">
        <f>INDEX(Input!$1:$1048576,DU$93,$C231*2+6)</f>
        <v>0.52</v>
      </c>
      <c r="DV231" s="20">
        <f>INDEX(Input!$1:$1048576,DV$93,$C231*2+6)</f>
        <v>0.5</v>
      </c>
      <c r="DW231" s="20">
        <f>INDEX(Input!$1:$1048576,DW$93,$C231*2+6)</f>
        <v>0.45</v>
      </c>
      <c r="DX231" s="20"/>
      <c r="DY231" s="7">
        <v>9.7706351577297762E-2</v>
      </c>
      <c r="DZ231" s="7">
        <v>0</v>
      </c>
      <c r="EA231" s="7">
        <v>0.66891113703397065</v>
      </c>
      <c r="EB231" s="7">
        <v>0</v>
      </c>
      <c r="EC231" s="7">
        <v>0</v>
      </c>
      <c r="ED231" s="7">
        <v>0</v>
      </c>
      <c r="EE231" s="7">
        <v>0</v>
      </c>
      <c r="EF231" s="7">
        <v>0</v>
      </c>
      <c r="EG231" s="7">
        <v>0</v>
      </c>
      <c r="EH231" s="7">
        <v>1.4265400783277649E-2</v>
      </c>
      <c r="EI231" s="7">
        <v>4.0605652294760097E-2</v>
      </c>
      <c r="EJ231" s="7">
        <v>0.30729536902954585</v>
      </c>
      <c r="EK231" s="7">
        <v>0.52665507078078388</v>
      </c>
      <c r="EL231" s="7">
        <v>0.11117850711163209</v>
      </c>
      <c r="EM231" s="7">
        <v>5.8528277439619358E-2</v>
      </c>
      <c r="EN231" s="7">
        <v>6.5532421578463729E-2</v>
      </c>
      <c r="EO231" s="7">
        <v>0.73221402501348676</v>
      </c>
      <c r="EP231" s="7">
        <v>8.7602158416269602E-2</v>
      </c>
      <c r="EQ231" s="7">
        <v>7.4714194069782983E-2</v>
      </c>
      <c r="ER231" s="7">
        <v>3.993720092199686E-2</v>
      </c>
      <c r="ES231" s="7">
        <v>0.17485423394911223</v>
      </c>
      <c r="ET231" s="7">
        <v>0.23338251138873156</v>
      </c>
      <c r="EU231" s="6">
        <v>1544</v>
      </c>
      <c r="EV231" s="6">
        <v>0</v>
      </c>
      <c r="EW231" s="6">
        <v>1544</v>
      </c>
      <c r="EX231" s="6">
        <v>0</v>
      </c>
      <c r="EY231" s="6">
        <v>2303.9927780584972</v>
      </c>
      <c r="EZ231" s="6">
        <v>946</v>
      </c>
      <c r="FA231" s="6">
        <v>0</v>
      </c>
      <c r="FB231" s="6">
        <v>0</v>
      </c>
      <c r="FC231" s="6">
        <v>0</v>
      </c>
      <c r="FD231" s="6">
        <v>0</v>
      </c>
      <c r="FE231" s="6">
        <v>0</v>
      </c>
      <c r="FF231" s="6">
        <v>0</v>
      </c>
      <c r="FG231" s="6">
        <v>0</v>
      </c>
      <c r="FH231" s="6">
        <v>1173.7312255474828</v>
      </c>
      <c r="FI231" s="6">
        <v>1553.9796069512402</v>
      </c>
      <c r="FJ231" s="6">
        <v>2101.211011744741</v>
      </c>
      <c r="FK231" s="6">
        <v>1772.7139978623234</v>
      </c>
      <c r="FL231" s="6">
        <v>907.07682140966369</v>
      </c>
      <c r="FM231" s="6">
        <v>1759.9927780584972</v>
      </c>
      <c r="FN231" s="6">
        <v>0</v>
      </c>
      <c r="FO231" s="6">
        <v>0</v>
      </c>
      <c r="FP231" s="6">
        <v>0</v>
      </c>
      <c r="FQ231" s="6">
        <v>0</v>
      </c>
      <c r="FR231" s="6">
        <v>0</v>
      </c>
      <c r="FS231" s="6">
        <v>0</v>
      </c>
      <c r="FT231" s="7">
        <v>0.76661748861126844</v>
      </c>
      <c r="FU231" s="7">
        <v>5.8528277439619358E-2</v>
      </c>
      <c r="FV231" s="7">
        <v>0.17485423394911223</v>
      </c>
      <c r="FW231" s="6">
        <v>1543.9999999999998</v>
      </c>
      <c r="FX231" s="6">
        <v>2303.9927780584972</v>
      </c>
      <c r="FY231" s="6">
        <v>946</v>
      </c>
      <c r="FZ231" s="6">
        <v>1817.4615072224267</v>
      </c>
      <c r="GA231" s="6">
        <v>1483.9182362647455</v>
      </c>
      <c r="GB231" s="6">
        <v>18501.081763735256</v>
      </c>
      <c r="GC231" s="7">
        <v>1.804905384453976E-2</v>
      </c>
      <c r="GD231" s="7">
        <v>1.7632859871760664E-2</v>
      </c>
      <c r="GE231" s="7"/>
      <c r="GF231" s="7"/>
      <c r="GG231" s="7">
        <v>-2.3059046549689557E-2</v>
      </c>
      <c r="GH231" s="42">
        <v>1.3816349644002108</v>
      </c>
      <c r="GI231" s="6">
        <v>15948.6650868743</v>
      </c>
      <c r="GJ231" s="14">
        <v>0.50394797582841733</v>
      </c>
      <c r="GK231" s="14">
        <v>0.50887573065309744</v>
      </c>
      <c r="GL231" s="14">
        <v>0.49605202417158262</v>
      </c>
      <c r="GM231" s="14">
        <v>0.49112426934690256</v>
      </c>
      <c r="GO231" s="5">
        <v>343.14810671672558</v>
      </c>
      <c r="GP231" s="5">
        <v>313.69153224305785</v>
      </c>
      <c r="GQ231" s="5">
        <v>535.04305713031317</v>
      </c>
      <c r="GR231" s="5">
        <v>410.15490233172511</v>
      </c>
      <c r="GS231" s="5">
        <v>339.42744393800166</v>
      </c>
      <c r="GT231" s="5">
        <v>293.4407446948278</v>
      </c>
      <c r="GU231" s="5">
        <v>258.04012322764959</v>
      </c>
      <c r="GV231" s="39" t="s">
        <v>392</v>
      </c>
      <c r="GW231" s="5">
        <v>484.51388888888891</v>
      </c>
      <c r="GX231" s="5">
        <v>363.38541666666669</v>
      </c>
      <c r="GY231" s="5">
        <v>290.70833333333331</v>
      </c>
      <c r="GZ231" s="5">
        <v>256.51942656399751</v>
      </c>
      <c r="HA231" s="5">
        <v>237.61609119538292</v>
      </c>
      <c r="HB231" s="39">
        <v>272.51567029836082</v>
      </c>
      <c r="HC231" s="5">
        <v>245.89687499999999</v>
      </c>
      <c r="HD231" s="5">
        <v>211.55677997076018</v>
      </c>
      <c r="HE231" s="5">
        <v>214.73562331309037</v>
      </c>
      <c r="HF231" s="5">
        <v>199.03250548245612</v>
      </c>
      <c r="HG231" s="5">
        <v>192.49971491228069</v>
      </c>
      <c r="HH231" s="39">
        <v>212.38881618238966</v>
      </c>
      <c r="HI231" s="16"/>
      <c r="HJ231" s="19" t="str">
        <f t="shared" si="726"/>
        <v>On</v>
      </c>
      <c r="HK231" s="1" t="str">
        <f t="shared" si="726"/>
        <v>On</v>
      </c>
      <c r="HL231" s="16"/>
      <c r="HM231" s="639">
        <f t="shared" si="634"/>
        <v>1.2768706344444866E-2</v>
      </c>
      <c r="HN231" s="639">
        <f t="shared" si="635"/>
        <v>9.795534288915453E-4</v>
      </c>
      <c r="HO231" s="639">
        <f t="shared" si="636"/>
        <v>3.3583061774515237E-3</v>
      </c>
      <c r="HP231" s="644">
        <f>(FT231*$GD231-HM231)/$JF231*INDEX(Input!$1:$1048576,$JG$93,$C231*2+6)</f>
        <v>54.420498256294032</v>
      </c>
      <c r="HQ231" s="644">
        <f>(FU231*$GD231-HN231)/$JF231*INDEX(Input!$1:$1048576,$JG$93,$C231*2+6)</f>
        <v>3.812400744746256</v>
      </c>
      <c r="HR231" s="644">
        <f>(FV231*$GD231-HO231)/$JF231*INDEX(Input!$1:$1048576,$JG$93,$C231*2+6)</f>
        <v>-19.991246897920675</v>
      </c>
      <c r="HS231" s="644">
        <f t="shared" si="729"/>
        <v>-18.510936833598745</v>
      </c>
      <c r="HT231" s="644">
        <f t="shared" si="638"/>
        <v>19.549908400569109</v>
      </c>
      <c r="HU231" s="644">
        <f t="shared" si="639"/>
        <v>5.0450765568183691</v>
      </c>
      <c r="HV231" s="648">
        <f t="shared" si="640"/>
        <v>0</v>
      </c>
      <c r="HW231" s="648">
        <f t="shared" si="641"/>
        <v>0</v>
      </c>
      <c r="HX231" s="648">
        <f t="shared" si="642"/>
        <v>0</v>
      </c>
      <c r="HY231" s="644">
        <f>INDEX(Input!$1:$1048576,HY$93,$C231*2+6)*INDEX(Input!$1:$1048576,$JG$93,$C231*2+6)</f>
        <v>451</v>
      </c>
      <c r="HZ231" s="644">
        <f>INDEX(Input!$1:$1048576,HZ$93,$C231*2+6)*INDEX(Input!$1:$1048576,$JG$93,$C231*2+6)</f>
        <v>577</v>
      </c>
      <c r="IA231" s="644">
        <f>INDEX(Input!$1:$1048576,IA$93,$C231*2+6)*INDEX(Input!$1:$1048576,$JG$93,$C231*2+6)</f>
        <v>215</v>
      </c>
      <c r="IB231" s="644">
        <f t="shared" si="666"/>
        <v>486.90956142269533</v>
      </c>
      <c r="IC231" s="644">
        <f t="shared" si="667"/>
        <v>600.36230914531529</v>
      </c>
      <c r="ID231" s="644">
        <f>IF(AND(INDEX(Input!$1:$1048576,IA$93,$C231*2+7)="TOS",Y231&lt;=INDEX(Y:Y,MATCH(C231*1000+2,A:A))),0,1)*MAX(IA231+HR231+HU231+HX231,0%)</f>
        <v>200.05382965889768</v>
      </c>
      <c r="IE231" s="128">
        <f t="shared" si="730"/>
        <v>0.37823338828462061</v>
      </c>
      <c r="IF231" s="128">
        <f t="shared" si="643"/>
        <v>0.46636395827372468</v>
      </c>
      <c r="IG231" s="128">
        <f t="shared" si="644"/>
        <v>0.15540265344165469</v>
      </c>
      <c r="IH231" s="21"/>
      <c r="II231" s="19">
        <f t="shared" si="645"/>
        <v>1252</v>
      </c>
      <c r="IJ231" s="19">
        <f t="shared" si="646"/>
        <v>2011.9658773055378</v>
      </c>
      <c r="IK231" s="19">
        <f t="shared" si="647"/>
        <v>919</v>
      </c>
      <c r="IL231" s="19">
        <f t="shared" si="669"/>
        <v>291.99999999999977</v>
      </c>
      <c r="IM231" s="19">
        <f t="shared" si="648"/>
        <v>292.02690075295936</v>
      </c>
      <c r="IN231" s="19">
        <f t="shared" si="649"/>
        <v>27</v>
      </c>
      <c r="IO231" s="39">
        <f t="shared" si="650"/>
        <v>0</v>
      </c>
      <c r="IP231" s="39">
        <f t="shared" si="651"/>
        <v>0</v>
      </c>
      <c r="IQ231" s="39">
        <f t="shared" si="652"/>
        <v>0</v>
      </c>
      <c r="IR231" s="39">
        <v>0</v>
      </c>
      <c r="IS231" s="39">
        <v>0</v>
      </c>
      <c r="IT231" s="39">
        <v>0</v>
      </c>
      <c r="IU231" s="39">
        <v>0</v>
      </c>
      <c r="IV231" s="39">
        <v>0</v>
      </c>
      <c r="IW231" s="39">
        <v>0</v>
      </c>
      <c r="IX231" s="39">
        <f>INDEX(Input!$1:$1048576,IX$93,$C231*2+6)+INDEX(Input!$1:$1048576,IX$94,$C231*2+6)</f>
        <v>1294</v>
      </c>
      <c r="IY231" s="39">
        <f>INDEX(Input!$1:$1048576,IY$93,$C231*2+6)+INDEX(Input!$1:$1048576,IY$94,$C231*2+6)</f>
        <v>2154.0624533823611</v>
      </c>
      <c r="IZ231" s="39">
        <f>INDEX(Input!$1:$1048576,IZ$93,$C231*2+6)+INDEX(Input!$1:$1048576,IZ$94,$C231*2+6)</f>
        <v>3677.7164157747848</v>
      </c>
      <c r="JA231" s="19">
        <f t="shared" si="670"/>
        <v>1585.9999999999998</v>
      </c>
      <c r="JB231" s="19">
        <f t="shared" si="671"/>
        <v>2446.0893541353207</v>
      </c>
      <c r="JC231" s="19">
        <f t="shared" si="672"/>
        <v>3704.7164157747848</v>
      </c>
      <c r="JD231" s="19">
        <f t="shared" si="673"/>
        <v>2316.368828565433</v>
      </c>
      <c r="JE231" s="21"/>
      <c r="JF231" s="1">
        <f t="shared" si="653"/>
        <v>1.7106565950787935E-2</v>
      </c>
      <c r="JG231" s="15">
        <f>INDEX(Input!$1:$1048576,JG$93,$C231*2+6)/(1+VLOOKUP(C231*1000+INDEX(Input!$1:$1048576,JG$93+1,$C231*2+6),$A:$KK,$JK$92,FALSE))</f>
        <v>1243</v>
      </c>
      <c r="JH231" s="1">
        <f t="shared" si="674"/>
        <v>3.0765609093418834E-2</v>
      </c>
      <c r="JI231" s="1">
        <f t="shared" si="675"/>
        <v>4.8946485308034859E-3</v>
      </c>
      <c r="JJ231" s="1">
        <f t="shared" si="731"/>
        <v>0</v>
      </c>
      <c r="JK231" s="1">
        <f t="shared" si="732"/>
        <v>3.566025762422232E-2</v>
      </c>
      <c r="JL231" s="15">
        <f t="shared" si="678"/>
        <v>44.325700226908346</v>
      </c>
      <c r="JM231" s="15">
        <f t="shared" si="702"/>
        <v>1287.3257002269083</v>
      </c>
      <c r="JN231" s="21"/>
      <c r="JO231" s="19">
        <f>INDEX(Input!$1:$1048576,JO$93,$C231*2+6)</f>
        <v>5995.5</v>
      </c>
      <c r="JP231" s="19">
        <f>INDEX(Input!$1:$1048576,JP$93,$C231*2+6)</f>
        <v>2105.548724853742</v>
      </c>
      <c r="JQ231" s="39">
        <f t="shared" si="688"/>
        <v>3679.131171434567</v>
      </c>
      <c r="JR231" s="39">
        <f t="shared" si="705"/>
        <v>210.82010371169099</v>
      </c>
      <c r="JS231" s="39">
        <f t="shared" si="690"/>
        <v>2.9819211242167798</v>
      </c>
      <c r="JT231" s="39">
        <f t="shared" si="680"/>
        <v>0.36472405922357831</v>
      </c>
      <c r="JU231" s="385">
        <f>(JQ231*JM231-INDEX(Input!$1:$1048576,Input!A$18,$C231*2+6)*JL231*INDEX(Input!$1:$1048576,Input!A$19,$C231*2+6))/1000000</f>
        <v>4.7362401114936503</v>
      </c>
      <c r="JV231" s="39">
        <f t="shared" si="712"/>
        <v>-9.8969323513148133E-2</v>
      </c>
      <c r="JW231" s="1">
        <f t="shared" si="703"/>
        <v>-2.0468466742435736E-2</v>
      </c>
      <c r="JX231" s="19">
        <f t="shared" si="694"/>
        <v>8228.2751847464115</v>
      </c>
      <c r="JZ231" s="341"/>
      <c r="KA231" s="342"/>
      <c r="KB231" s="469">
        <f t="shared" si="691"/>
        <v>2.5660492421988774</v>
      </c>
      <c r="KI231" s="473">
        <f t="shared" si="719"/>
        <v>35.909561422695333</v>
      </c>
      <c r="KJ231" s="473">
        <f t="shared" si="720"/>
        <v>23.362309145315294</v>
      </c>
      <c r="KK231" s="473">
        <f t="shared" si="682"/>
        <v>-14.946170341102317</v>
      </c>
      <c r="KN231" s="544">
        <f t="shared" si="695"/>
        <v>2002</v>
      </c>
      <c r="KO231" s="541">
        <f t="shared" si="657"/>
        <v>2.955841014643501E-2</v>
      </c>
      <c r="KP231" s="546">
        <f t="shared" si="658"/>
        <v>211.16135210300155</v>
      </c>
      <c r="KQ231" s="546">
        <f t="shared" si="659"/>
        <v>172.68848913196007</v>
      </c>
      <c r="KR231" s="548">
        <f t="shared" si="660"/>
        <v>2.4974316503876182</v>
      </c>
      <c r="KS231" s="548">
        <f t="shared" si="661"/>
        <v>3.0538285830834777</v>
      </c>
      <c r="KT231" s="473">
        <f t="shared" si="693"/>
        <v>843.26993010479111</v>
      </c>
      <c r="KU231" s="663">
        <f t="shared" si="683"/>
        <v>4.5432884152426309</v>
      </c>
      <c r="KV231" s="117"/>
    </row>
    <row r="232" spans="1:308" s="26" customFormat="1" ht="15">
      <c r="A232" s="561">
        <f t="shared" si="662"/>
        <v>2032</v>
      </c>
      <c r="B232" s="561">
        <f t="shared" si="684"/>
        <v>32</v>
      </c>
      <c r="C232" s="561">
        <f t="shared" si="105"/>
        <v>2</v>
      </c>
      <c r="D232" s="561" t="str">
        <f t="shared" si="728"/>
        <v xml:space="preserve">500 CC, 500 Combo, </v>
      </c>
      <c r="E232" s="475">
        <f>INDEX(Input!$1:$1048576,E$93,$C232*2+MIN($B232,2)+5)
+INDEX(Scenarios!E$121:E$200,MATCH($B232,Scenarios!$B$121:$B$200,0))</f>
        <v>1769.7618664521319</v>
      </c>
      <c r="F232" s="475">
        <f>INDEX(Input!$1:$1048576,F$93,$C232*2+MIN($B232,2)+5)
+INDEX(Scenarios!F$121:F$200,MATCH($B232,Scenarios!$B$121:$B$200,0))</f>
        <v>0</v>
      </c>
      <c r="G232" s="475">
        <f>INDEX(Input!$1:$1048576,G$93,$C232*2+MIN($B232,2)+5)
+INDEX(Scenarios!G$121:G$200,MATCH($B232,Scenarios!$B$121:$B$200,0))</f>
        <v>0</v>
      </c>
      <c r="H232" s="475">
        <f>INDEX(Input!$1:$1048576,H$93,$C232*2+MIN($B232,2)+5)
+INDEX(Scenarios!H$121:H$200,MATCH($B232,Scenarios!$B$121:$B$200,0))</f>
        <v>0</v>
      </c>
      <c r="I232" s="476">
        <f>INDEX(Input!$1:$1048576,I$93,$C232*2+MIN($B232,2)+5)</f>
        <v>0.7</v>
      </c>
      <c r="J232" s="476" t="str">
        <f>INDEX(Input!$1:$1048576,J$93,$C232*2+MIN($B232,2)+5)</f>
        <v>Market</v>
      </c>
      <c r="K232" s="476" t="str">
        <f>INDEX(Input!$1:$1048576,K$93,$C232*2+MIN($B232,2)+5)</f>
        <v>Market</v>
      </c>
      <c r="L232" s="476" t="str">
        <f>INDEX(Input!$1:$1048576,L$93,$C232*2+MIN($B232,2)+5)</f>
        <v>Market</v>
      </c>
      <c r="M232" s="476" t="str">
        <f>INDEX(Input!$1:$1048576,M$93,$C232*2+MIN($B232,2)+5)</f>
        <v>Market</v>
      </c>
      <c r="N232" s="476" t="str">
        <f>INDEX(Input!$1:$1048576,N$93,$C232*2+MIN($B232,2)+5)</f>
        <v>Market</v>
      </c>
      <c r="O232" s="476" t="str">
        <f>INDEX(Input!$1:$1048576,O$93,$C232*2+MIN($B232,2)+5)</f>
        <v>Market</v>
      </c>
      <c r="P232" s="476" t="str">
        <f>INDEX(Input!$1:$1048576,P$93,$C232*2+MIN($B232,2)+5)</f>
        <v>N</v>
      </c>
      <c r="Q232" s="477">
        <f>INDEX(Input!$1:$1048576,Q$93,$C232*2+MIN($B232,2)+5)
+INDEX(Scenarios!Q$121:Q$200,MATCH($B232,Scenarios!$B$121:$B$200,0))</f>
        <v>500</v>
      </c>
      <c r="R232" s="478">
        <f>IFERROR(MAX(0,INDEX(Input!$1:$1048576,R$93,$C232*2+MIN($B232,2)+5)
+INDEX(Scenarios!R$121:R$200,MATCH($B232,Scenarios!$B$121:$B$200,0)),),"Market")</f>
        <v>0</v>
      </c>
      <c r="S232" s="478">
        <f>IFERROR(MAX(0,INDEX(Input!$1:$1048576,S$93,$C232*2+MIN($B232,2)+5)
+INDEX(Scenarios!S$121:S$200,MATCH($B232,Scenarios!$B$121:$B$200,0)),),"Market")</f>
        <v>0</v>
      </c>
      <c r="T232" s="478">
        <f>IFERROR(MAX(0,INDEX(Input!$1:$1048576,T$93,$C232*2+MIN($B232,2)+5)
+INDEX(Scenarios!T$121:T$200,MATCH($B232,Scenarios!$B$121:$B$200,0)),),"Market")</f>
        <v>0</v>
      </c>
      <c r="U232" s="478">
        <f>IFERROR(MAX(0,INDEX(Input!$1:$1048576,U$93,$C232*2+MIN($B232,2)+5)
+INDEX(Scenarios!U$121:U$200,MATCH($B232,Scenarios!$B$121:$B$200,0)),),"Market")</f>
        <v>0</v>
      </c>
      <c r="V232" s="478">
        <f>IFERROR(MAX(0,INDEX(Input!$1:$1048576,V$93,$C232*2+MIN($B232,2)+5)
+INDEX(Scenarios!V$121:V$200,MATCH($B232,Scenarios!$B$121:$B$200,0)),),"Market")</f>
        <v>1.9E-2</v>
      </c>
      <c r="W232" s="885">
        <f>IFERROR(MAX(0,INDEX(Input!$1:$1048576,W$93,$C232*2+MIN($B232,2)+5)-0%,),"Market")</f>
        <v>3.9E-2</v>
      </c>
      <c r="X232" s="476" t="str">
        <f>INDEX(Input!$1:$1048576,X$93,$C232*2+MIN($B232,2)+5)</f>
        <v>Y</v>
      </c>
      <c r="Y232" s="475">
        <f>INDEX(Input!$1:$1048576,Y$93,$C232*2+MIN($B232,2)+5)
++INDEX(Scenarios!Y$121:Y$200,MATCH($B232,Scenarios!$B$121:$B$200,0))</f>
        <v>56</v>
      </c>
      <c r="Z232" s="477">
        <f>INDEX(Input!$1:$1048576,Z$93,$C232*2+MIN($B232,2)+5)
+INDEX(Scenarios!Z$121:Z$200,MATCH($B232,Scenarios!$B$121:$B$200,0))</f>
        <v>0</v>
      </c>
      <c r="AA232" s="475">
        <f>INDEX(Input!$1:$1048576,AA$93,$C232*2+MIN($B232,2)+5)
+INDEX(Scenarios!AA$121:AA$200,MATCH($B232,Scenarios!$B$121:$B$200,0))</f>
        <v>0</v>
      </c>
      <c r="AB232" s="476">
        <f>INDEX(Input!$1:$1048576,AB$93,$C232*2+MIN($B232,2)+5)</f>
        <v>0.27</v>
      </c>
      <c r="AC232" s="475">
        <f>INDEX(Input!$1:$1048576,AC$93,$C232*2+MIN($B232,2)+5)
+INDEX(Scenarios!AC$121:AC$200,MATCH($B232,Scenarios!$B$121:$B$200,0))</f>
        <v>0</v>
      </c>
      <c r="AD232" s="476">
        <f>INDEX(Input!$1:$1048576,AD$93,$C232*2+MIN($B232,2)+5)</f>
        <v>0.27</v>
      </c>
      <c r="AE232" s="475">
        <f>INDEX(Input!$1:$1048576,AE$93,$C232*2+MIN($B232,2)+5)
+INDEX(Scenarios!AE$121:AE$200,MATCH($B232,Scenarios!$B$121:$B$200,0))</f>
        <v>0</v>
      </c>
      <c r="AF232" s="476">
        <f>INDEX(Input!$1:$1048576,AF$93,$C232*2+MIN($B232,2)+5)</f>
        <v>4.8000000000000001E-2</v>
      </c>
      <c r="AG232" s="475">
        <f>INDEX(Input!$1:$1048576,AG$93,$C232*2+MIN($B232,2)+5)
+INDEX(Scenarios!AG$121:AG$200,MATCH($B232,Scenarios!$B$121:$B$200,0))</f>
        <v>500</v>
      </c>
      <c r="AH232" s="476">
        <f>INDEX(Input!$1:$1048576,AH$93,$C232*2+MIN($B232,2)+5)</f>
        <v>0.94599999999999995</v>
      </c>
      <c r="AI232" s="475">
        <f>INDEX(Input!$1:$1048576,AI$93,$C232*2+MIN($B232,2)+5)
+INDEX(Scenarios!AI$121:AI$200,MATCH($B232,Scenarios!$B$121:$B$200,0))</f>
        <v>0</v>
      </c>
      <c r="AJ232" s="476">
        <f>INDEX(Input!$1:$1048576,AJ$93,$C232*2+MIN($B232,2)+5)</f>
        <v>0.27</v>
      </c>
      <c r="AK232" s="150">
        <f>ROUND(INDEX(Input!$1:$1048576,AK$93,$C231*2+MIN($B232,1)+5)+(Y232-VLOOKUP($C232*1000+1,$A:$HH,Y$92,FALSE)),0)</f>
        <v>2977</v>
      </c>
      <c r="AL232" s="150">
        <f>ROUND(INDEX(Input!$1:$1048576,AL$93,$C231*2+MIN($B232,1)+5)-(Y232-VLOOKUP($C232*1000+1,$A:$HH,Y$92,FALSE))/36,0)</f>
        <v>3395</v>
      </c>
      <c r="AM232" s="32" t="str">
        <f t="shared" si="663"/>
        <v>std/std/std/std</v>
      </c>
      <c r="AN232" s="32" t="str">
        <f t="shared" si="664"/>
        <v>$500 + 0/0/0/1.9/3.9</v>
      </c>
      <c r="AO232" s="32" t="str">
        <f t="shared" si="665"/>
        <v>0/0/0/1.9/3.9</v>
      </c>
      <c r="AP232" s="32" t="str">
        <f t="shared" si="734"/>
        <v>0/0.9/1.9/3.9</v>
      </c>
      <c r="AQ232" s="536">
        <f t="shared" si="733"/>
        <v>0.39207676225222754</v>
      </c>
      <c r="AR232" s="32"/>
      <c r="AS232" s="302"/>
      <c r="AT232" s="3">
        <f t="shared" si="717"/>
        <v>32</v>
      </c>
      <c r="AU232" s="41" t="s">
        <v>121</v>
      </c>
      <c r="AV232" s="41" t="s">
        <v>116</v>
      </c>
      <c r="AW232" s="41" t="str">
        <f>INDEX(Input!$1:$1048576,AW$93,$C232*2+6)</f>
        <v>Kia</v>
      </c>
      <c r="AX232" s="41" t="str">
        <f>INDEX(Input!$1:$1048576,AX$93,$C232*2+6)</f>
        <v>Kia-LR - L2</v>
      </c>
      <c r="AY232" s="41" t="str">
        <f>IF(LEN(D232)=0,"",INDEX(Input!$1:$1048576,AY$93,$C232*2+6))</f>
        <v>Compact SUV (52)</v>
      </c>
      <c r="AZ232" s="41" t="str">
        <f>INDEX(Input!$1:$1048576,AZ$93,$C232*2+6)</f>
        <v>Kia Soul</v>
      </c>
      <c r="BA232" s="3">
        <f>INDEX(Input!$1:$1048576,BA$93,$C232*2+6)</f>
        <v>2020</v>
      </c>
      <c r="BB232" s="128">
        <f>INDEX(Input!$1:$1048576,BB$93,$C232*2+6)</f>
        <v>1</v>
      </c>
      <c r="BC232" s="128">
        <f>INDEX(Input!$1:$1048576,BC$93,$C232*2+6)</f>
        <v>0.7</v>
      </c>
      <c r="BD232" s="1">
        <f>INDEX(Input!$1:$1048576,BD$93,$C232*2+6)</f>
        <v>4.4999999999999998E-2</v>
      </c>
      <c r="BE232" s="1">
        <f>INDEX(Input!$1:$1048576,BE$93,$C232*2+6)</f>
        <v>4.4999999999999998E-2</v>
      </c>
      <c r="BF232" s="1">
        <f>INDEX(Input!$1:$1048576,BF$93,$C232*2+6)</f>
        <v>0.05</v>
      </c>
      <c r="BG232" s="1">
        <f>INDEX(Input!$1:$1048576,BG$93,$C232*2+6)</f>
        <v>5.45E-2</v>
      </c>
      <c r="BH232" s="1">
        <f>INDEX(Input!$1:$1048576,BH$93,$C232*2+6)</f>
        <v>5.45E-2</v>
      </c>
      <c r="BI232" s="1">
        <f>INDEX(Input!$1:$1048576,BI$93,$C232*2+6)</f>
        <v>0.05</v>
      </c>
      <c r="BJ232" s="1">
        <f>INDEX(Input!$1:$1048576,BJ$93,$C232*2+6)</f>
        <v>0.05</v>
      </c>
      <c r="BK232" s="1">
        <f>INDEX(Input!$1:$1048576,BK$93,$C232*2+6)</f>
        <v>0.05</v>
      </c>
      <c r="BL232" s="1">
        <f>INDEX(Input!$1:$1048576,BL$93,$C232*2+6)</f>
        <v>5.5E-2</v>
      </c>
      <c r="BM232" s="1">
        <f>INDEX(Input!$1:$1048576,BM$93,$C232*2+6)</f>
        <v>0.06</v>
      </c>
      <c r="BN232" s="1">
        <f>INDEX(Input!$1:$1048576,BN$93,$C232*2+6)</f>
        <v>4.4999999999999998E-2</v>
      </c>
      <c r="BO232" s="1">
        <f>INDEX(Input!$1:$1048576,BO$93,$C232*2+6)</f>
        <v>4.4999999999999998E-2</v>
      </c>
      <c r="BP232" s="1">
        <f>INDEX(Input!$1:$1048576,BP$93,$C232*2+6)</f>
        <v>0.05</v>
      </c>
      <c r="BQ232" s="1">
        <f>INDEX(Input!$1:$1048576,BQ$93,$C232*2+6)</f>
        <v>5.45E-2</v>
      </c>
      <c r="BR232" s="1">
        <f>INDEX(Input!$1:$1048576,BR$93,$C232*2+6)</f>
        <v>5.45E-2</v>
      </c>
      <c r="BS232" s="1">
        <f>INDEX(Input!$1:$1048576,BS$93,$C232*2+6)</f>
        <v>0.05</v>
      </c>
      <c r="BT232" s="1">
        <f>INDEX(Input!$1:$1048576,BT$93,$C232*2+6)</f>
        <v>0.05</v>
      </c>
      <c r="BU232" s="1">
        <f>INDEX(Input!$1:$1048576,BU$93,$C232*2+6)</f>
        <v>0.05</v>
      </c>
      <c r="BV232" s="1">
        <f>INDEX(Input!$1:$1048576,BV$93,$C232*2+6)</f>
        <v>5.5E-2</v>
      </c>
      <c r="BW232" s="1">
        <f>INDEX(Input!$1:$1048576,BW$93,$C232*2+6)</f>
        <v>0.06</v>
      </c>
      <c r="BX232" s="127">
        <f>INDEX(Input!$1:$1048576,BX$93,$C232*2+6)</f>
        <v>19985</v>
      </c>
      <c r="BY232" s="20">
        <f>INDEX(Input!$1:$1048576,BY$93,$C232*2+6)</f>
        <v>0.1</v>
      </c>
      <c r="BZ232" s="20">
        <f>INDEX(Input!$1:$1048576,BZ$93,$C232*2+6)</f>
        <v>0.1</v>
      </c>
      <c r="CA232" s="20">
        <f>INDEX(Input!$1:$1048576,CA$93,$C232*2+6)</f>
        <v>0.1</v>
      </c>
      <c r="CB232" s="20">
        <f>INDEX(Input!$1:$1048576,CB$93,$C232*2+6)</f>
        <v>0.1</v>
      </c>
      <c r="CC232" s="20">
        <f>INDEX(Input!$1:$1048576,CC$93,$C232*2+6)</f>
        <v>0.1</v>
      </c>
      <c r="CD232" s="384">
        <f>INDEX(Input!$1:$1048576,CD$93,$C232*2+6)</f>
        <v>0.1</v>
      </c>
      <c r="CE232" s="384">
        <f>INDEX(Input!$1:$1048576,CE$93,$C232*2+6)</f>
        <v>0.1</v>
      </c>
      <c r="CF232" s="384">
        <f>INDEX(Input!$1:$1048576,CF$93,$C232*2+6)</f>
        <v>0.1</v>
      </c>
      <c r="CG232" s="384">
        <f>INDEX(Input!$1:$1048576,CG$93,$C232*2+6)</f>
        <v>0.1</v>
      </c>
      <c r="CH232" s="384">
        <f>INDEX(Input!$1:$1048576,CH$93,$C232*2+6)</f>
        <v>0.1</v>
      </c>
      <c r="CI232" s="304">
        <f t="shared" si="735"/>
        <v>1769.7618664521319</v>
      </c>
      <c r="CJ232" s="16" t="str">
        <f>INDEX(Input!$1:$1048576,CJ$93,$C232*2+6)</f>
        <v>N</v>
      </c>
      <c r="CK232" s="1" t="str">
        <f t="shared" si="736"/>
        <v>Market</v>
      </c>
      <c r="CL232" s="1" t="str">
        <f t="shared" si="737"/>
        <v>Market</v>
      </c>
      <c r="CM232" s="1" t="str">
        <f t="shared" si="738"/>
        <v>Market</v>
      </c>
      <c r="CN232" s="1" t="str">
        <f t="shared" si="739"/>
        <v>Market</v>
      </c>
      <c r="CO232" s="1" t="str">
        <f t="shared" si="740"/>
        <v>Market</v>
      </c>
      <c r="CP232" s="304">
        <f t="shared" si="741"/>
        <v>973</v>
      </c>
      <c r="CQ232" s="1">
        <f t="shared" si="742"/>
        <v>0</v>
      </c>
      <c r="CR232" s="1">
        <f t="shared" si="743"/>
        <v>0</v>
      </c>
      <c r="CS232" s="1">
        <f t="shared" si="744"/>
        <v>0</v>
      </c>
      <c r="CT232" s="1">
        <f t="shared" si="745"/>
        <v>1.9E-2</v>
      </c>
      <c r="CU232" s="1">
        <f t="shared" si="746"/>
        <v>3.9E-2</v>
      </c>
      <c r="CV232" s="304">
        <f t="shared" si="747"/>
        <v>56</v>
      </c>
      <c r="CW232" s="20" t="s">
        <v>122</v>
      </c>
      <c r="CX232" s="20" t="s">
        <v>122</v>
      </c>
      <c r="CY232" s="20" t="s">
        <v>122</v>
      </c>
      <c r="CZ232" s="20" t="s">
        <v>122</v>
      </c>
      <c r="DA232" s="20" t="s">
        <v>122</v>
      </c>
      <c r="DB232" s="503">
        <f t="shared" si="748"/>
        <v>0</v>
      </c>
      <c r="DC232" s="127">
        <v>0</v>
      </c>
      <c r="DD232" s="127">
        <v>0</v>
      </c>
      <c r="DE232" s="127">
        <v>0</v>
      </c>
      <c r="DF232" s="127">
        <v>0</v>
      </c>
      <c r="DG232" s="127">
        <v>0</v>
      </c>
      <c r="DH232" s="127">
        <v>0</v>
      </c>
      <c r="DI232" s="127">
        <v>0</v>
      </c>
      <c r="DJ232" s="127">
        <v>0</v>
      </c>
      <c r="DK232" s="127">
        <v>0</v>
      </c>
      <c r="DL232" s="127">
        <v>0</v>
      </c>
      <c r="DM232" s="304">
        <f>INDEX(Input!$1:$1048576,DM$93,$C232*2+6)</f>
        <v>21036.84210526316</v>
      </c>
      <c r="DN232" s="20">
        <v>0</v>
      </c>
      <c r="DO232" s="20">
        <v>0</v>
      </c>
      <c r="DP232" s="20">
        <v>0</v>
      </c>
      <c r="DQ232" s="20">
        <v>0</v>
      </c>
      <c r="DR232" s="20">
        <v>0</v>
      </c>
      <c r="DS232" s="20">
        <f>INDEX(Input!$1:$1048576,DS$93,$C232*2+6)</f>
        <v>0.6</v>
      </c>
      <c r="DT232" s="20">
        <f>INDEX(Input!$1:$1048576,DT$93,$C232*2+6)</f>
        <v>0.55000000000000004</v>
      </c>
      <c r="DU232" s="20">
        <f>INDEX(Input!$1:$1048576,DU$93,$C232*2+6)</f>
        <v>0.52</v>
      </c>
      <c r="DV232" s="20">
        <f>INDEX(Input!$1:$1048576,DV$93,$C232*2+6)</f>
        <v>0.5</v>
      </c>
      <c r="DW232" s="20">
        <f>INDEX(Input!$1:$1048576,DW$93,$C232*2+6)</f>
        <v>0.45</v>
      </c>
      <c r="DX232" s="20"/>
      <c r="DY232" s="7">
        <v>0.10292043548668987</v>
      </c>
      <c r="DZ232" s="7">
        <v>0</v>
      </c>
      <c r="EA232" s="7">
        <v>0.68109005973251202</v>
      </c>
      <c r="EB232" s="7">
        <v>0</v>
      </c>
      <c r="EC232" s="7">
        <v>0</v>
      </c>
      <c r="ED232" s="7">
        <v>0</v>
      </c>
      <c r="EE232" s="7">
        <v>0</v>
      </c>
      <c r="EF232" s="7">
        <v>0</v>
      </c>
      <c r="EG232" s="7">
        <v>0</v>
      </c>
      <c r="EH232" s="7">
        <v>1.4269605719412293E-2</v>
      </c>
      <c r="EI232" s="7">
        <v>4.0620686101780989E-2</v>
      </c>
      <c r="EJ232" s="7">
        <v>0.30735318713537418</v>
      </c>
      <c r="EK232" s="7">
        <v>0.52658914526922185</v>
      </c>
      <c r="EL232" s="7">
        <v>0.1111673757742109</v>
      </c>
      <c r="EM232" s="7">
        <v>5.960100974778796E-2</v>
      </c>
      <c r="EN232" s="7">
        <v>6.5526002185522222E-2</v>
      </c>
      <c r="EO232" s="7">
        <v>0.73220585444108677</v>
      </c>
      <c r="EP232" s="7">
        <v>8.7614969052473055E-2</v>
      </c>
      <c r="EQ232" s="7">
        <v>7.4712136740925694E-2</v>
      </c>
      <c r="ER232" s="7">
        <v>3.9941037579992102E-2</v>
      </c>
      <c r="ES232" s="7">
        <v>0.15638849503301008</v>
      </c>
      <c r="ET232" s="7">
        <v>0.21598950478079809</v>
      </c>
      <c r="EU232" s="6">
        <v>1794</v>
      </c>
      <c r="EV232" s="6">
        <v>0</v>
      </c>
      <c r="EW232" s="6">
        <v>1794</v>
      </c>
      <c r="EX232" s="6">
        <v>0</v>
      </c>
      <c r="EY232" s="6">
        <v>2554.0156127945652</v>
      </c>
      <c r="EZ232" s="6">
        <v>946</v>
      </c>
      <c r="FA232" s="6">
        <v>0</v>
      </c>
      <c r="FB232" s="6">
        <v>0</v>
      </c>
      <c r="FC232" s="6">
        <v>0</v>
      </c>
      <c r="FD232" s="6">
        <v>0</v>
      </c>
      <c r="FE232" s="6">
        <v>0</v>
      </c>
      <c r="FF232" s="6">
        <v>0</v>
      </c>
      <c r="FG232" s="6">
        <v>0</v>
      </c>
      <c r="FH232" s="6">
        <v>1173.7321405260957</v>
      </c>
      <c r="FI232" s="6">
        <v>1553.9796069512399</v>
      </c>
      <c r="FJ232" s="6">
        <v>2101.2110117447414</v>
      </c>
      <c r="FK232" s="6">
        <v>1772.7139978623227</v>
      </c>
      <c r="FL232" s="6">
        <v>907.0768214096629</v>
      </c>
      <c r="FM232" s="6">
        <v>1760.0156127945652</v>
      </c>
      <c r="FN232" s="6">
        <v>0</v>
      </c>
      <c r="FO232" s="6">
        <v>0</v>
      </c>
      <c r="FP232" s="6">
        <v>0</v>
      </c>
      <c r="FQ232" s="6">
        <v>0</v>
      </c>
      <c r="FR232" s="6">
        <v>0</v>
      </c>
      <c r="FS232" s="6">
        <v>0</v>
      </c>
      <c r="FT232" s="7">
        <v>0.78401049521920185</v>
      </c>
      <c r="FU232" s="7">
        <v>5.960100974778796E-2</v>
      </c>
      <c r="FV232" s="7">
        <v>0.15638849503301008</v>
      </c>
      <c r="FW232" s="6">
        <v>1794.0000000000002</v>
      </c>
      <c r="FX232" s="6">
        <v>2554.0156127945652</v>
      </c>
      <c r="FY232" s="6">
        <v>946</v>
      </c>
      <c r="FZ232" s="6">
        <v>1817.4615072224267</v>
      </c>
      <c r="GA232" s="6">
        <v>1706.6802541586471</v>
      </c>
      <c r="GB232" s="6">
        <v>18278.319745841352</v>
      </c>
      <c r="GC232" s="7">
        <v>1.804905384453976E-2</v>
      </c>
      <c r="GD232" s="7">
        <v>1.8098170547079899E-2</v>
      </c>
      <c r="GE232" s="7"/>
      <c r="GF232" s="7"/>
      <c r="GG232" s="7">
        <v>2.7212896012827783E-3</v>
      </c>
      <c r="GH232" s="42">
        <v>-0.49092216577768377</v>
      </c>
      <c r="GI232" s="6">
        <v>-39002.420685174926</v>
      </c>
      <c r="GJ232" s="14">
        <v>0.50394797582841744</v>
      </c>
      <c r="GK232" s="14">
        <v>0.50887573065309766</v>
      </c>
      <c r="GL232" s="14">
        <v>0.49605202417158273</v>
      </c>
      <c r="GM232" s="14">
        <v>0.49112426934690245</v>
      </c>
      <c r="GO232" s="5">
        <v>343.14810671672558</v>
      </c>
      <c r="GP232" s="5">
        <v>308.92200917413498</v>
      </c>
      <c r="GQ232" s="5">
        <v>535.04305713031317</v>
      </c>
      <c r="GR232" s="5">
        <v>410.15490233172511</v>
      </c>
      <c r="GS232" s="5">
        <v>339.42744393800166</v>
      </c>
      <c r="GT232" s="5">
        <v>293.4407446948278</v>
      </c>
      <c r="GU232" s="5">
        <v>258.04012322764959</v>
      </c>
      <c r="GV232" s="39" t="s">
        <v>392</v>
      </c>
      <c r="GW232" s="5">
        <v>477.56944444444446</v>
      </c>
      <c r="GX232" s="5">
        <v>358.17708333333331</v>
      </c>
      <c r="GY232" s="5">
        <v>286.54166666666669</v>
      </c>
      <c r="GZ232" s="5">
        <v>252.84278292684692</v>
      </c>
      <c r="HA232" s="5">
        <v>234.21038543079382</v>
      </c>
      <c r="HB232" s="39">
        <v>268.61443992022532</v>
      </c>
      <c r="HC232" s="5">
        <v>245.89687499999999</v>
      </c>
      <c r="HD232" s="5">
        <v>211.55677997076018</v>
      </c>
      <c r="HE232" s="5">
        <v>214.73562331309037</v>
      </c>
      <c r="HF232" s="5">
        <v>199.03250548245612</v>
      </c>
      <c r="HG232" s="5">
        <v>192.49971491228069</v>
      </c>
      <c r="HH232" s="39">
        <v>212.38858911394195</v>
      </c>
      <c r="HI232" s="16"/>
      <c r="HJ232" s="19" t="str">
        <f t="shared" si="726"/>
        <v>On</v>
      </c>
      <c r="HK232" s="1" t="str">
        <f t="shared" si="726"/>
        <v>On</v>
      </c>
      <c r="HL232" s="16"/>
      <c r="HM232" s="639">
        <f t="shared" si="634"/>
        <v>1.2768706344444866E-2</v>
      </c>
      <c r="HN232" s="639">
        <f t="shared" si="635"/>
        <v>9.795534288915453E-4</v>
      </c>
      <c r="HO232" s="639">
        <f t="shared" si="636"/>
        <v>3.3583061774515237E-3</v>
      </c>
      <c r="HP232" s="644">
        <f>(FT232*$GD232-HM232)/$JF232*INDEX(Input!$1:$1048576,$JG$93,$C232*2+6)</f>
        <v>103.21291227206063</v>
      </c>
      <c r="HQ232" s="644">
        <f>(FU232*$GD232-HN232)/$JF232*INDEX(Input!$1:$1048576,$JG$93,$C232*2+6)</f>
        <v>7.2019686803257255</v>
      </c>
      <c r="HR232" s="644">
        <f>(FV232*$GD232-HO232)/$JF232*INDEX(Input!$1:$1048576,$JG$93,$C232*2+6)</f>
        <v>-38.362750984469741</v>
      </c>
      <c r="HS232" s="644">
        <f t="shared" si="729"/>
        <v>-34.359341440274896</v>
      </c>
      <c r="HT232" s="644">
        <f t="shared" si="638"/>
        <v>36.28782767492919</v>
      </c>
      <c r="HU232" s="644">
        <f t="shared" si="639"/>
        <v>8.9168122641482821</v>
      </c>
      <c r="HV232" s="648">
        <f t="shared" si="640"/>
        <v>0</v>
      </c>
      <c r="HW232" s="648">
        <f t="shared" si="641"/>
        <v>0</v>
      </c>
      <c r="HX232" s="648">
        <f t="shared" si="642"/>
        <v>0</v>
      </c>
      <c r="HY232" s="644">
        <f>INDEX(Input!$1:$1048576,HY$93,$C232*2+6)*INDEX(Input!$1:$1048576,$JG$93,$C232*2+6)</f>
        <v>451</v>
      </c>
      <c r="HZ232" s="644">
        <f>INDEX(Input!$1:$1048576,HZ$93,$C232*2+6)*INDEX(Input!$1:$1048576,$JG$93,$C232*2+6)</f>
        <v>577</v>
      </c>
      <c r="IA232" s="644">
        <f>INDEX(Input!$1:$1048576,IA$93,$C232*2+6)*INDEX(Input!$1:$1048576,$JG$93,$C232*2+6)</f>
        <v>215</v>
      </c>
      <c r="IB232" s="644">
        <f t="shared" si="666"/>
        <v>519.85357083178576</v>
      </c>
      <c r="IC232" s="644">
        <f t="shared" si="667"/>
        <v>620.48979635525495</v>
      </c>
      <c r="ID232" s="644">
        <f>IF(AND(INDEX(Input!$1:$1048576,IA$93,$C232*2+7)="TOS",Y232&lt;=INDEX(Y:Y,MATCH(C232*1000+2,A:A))),0,1)*MAX(IA232+HR232+HU232+HX232,0%)</f>
        <v>185.55406127967854</v>
      </c>
      <c r="IE232" s="128">
        <f t="shared" si="730"/>
        <v>0.39207676225222754</v>
      </c>
      <c r="IF232" s="128">
        <f t="shared" si="643"/>
        <v>0.46797722284807158</v>
      </c>
      <c r="IG232" s="128">
        <f t="shared" si="644"/>
        <v>0.13994601489970085</v>
      </c>
      <c r="IH232" s="21"/>
      <c r="II232" s="19">
        <f t="shared" si="645"/>
        <v>1252</v>
      </c>
      <c r="IJ232" s="19">
        <f t="shared" si="646"/>
        <v>2011.9658773055378</v>
      </c>
      <c r="IK232" s="19">
        <f t="shared" si="647"/>
        <v>919</v>
      </c>
      <c r="IL232" s="19">
        <f t="shared" si="669"/>
        <v>542.00000000000023</v>
      </c>
      <c r="IM232" s="19">
        <f t="shared" si="648"/>
        <v>542.0497354890274</v>
      </c>
      <c r="IN232" s="19">
        <f t="shared" si="649"/>
        <v>27</v>
      </c>
      <c r="IO232" s="39">
        <f t="shared" si="650"/>
        <v>0</v>
      </c>
      <c r="IP232" s="39">
        <f t="shared" si="651"/>
        <v>0</v>
      </c>
      <c r="IQ232" s="39">
        <f t="shared" si="652"/>
        <v>0</v>
      </c>
      <c r="IR232" s="39">
        <v>0</v>
      </c>
      <c r="IS232" s="39">
        <v>0</v>
      </c>
      <c r="IT232" s="39">
        <v>0</v>
      </c>
      <c r="IU232" s="39">
        <v>0</v>
      </c>
      <c r="IV232" s="39">
        <v>0</v>
      </c>
      <c r="IW232" s="39">
        <v>0</v>
      </c>
      <c r="IX232" s="39">
        <f>INDEX(Input!$1:$1048576,IX$93,$C232*2+6)+INDEX(Input!$1:$1048576,IX$94,$C232*2+6)</f>
        <v>1294</v>
      </c>
      <c r="IY232" s="39">
        <f>INDEX(Input!$1:$1048576,IY$93,$C232*2+6)+INDEX(Input!$1:$1048576,IY$94,$C232*2+6)</f>
        <v>2154.0624533823611</v>
      </c>
      <c r="IZ232" s="39">
        <f>INDEX(Input!$1:$1048576,IZ$93,$C232*2+6)+INDEX(Input!$1:$1048576,IZ$94,$C232*2+6)</f>
        <v>3677.7164157747848</v>
      </c>
      <c r="JA232" s="19">
        <f t="shared" si="670"/>
        <v>1836.0000000000002</v>
      </c>
      <c r="JB232" s="19">
        <f t="shared" si="671"/>
        <v>2696.1121888713888</v>
      </c>
      <c r="JC232" s="19">
        <f t="shared" si="672"/>
        <v>3704.7164157747848</v>
      </c>
      <c r="JD232" s="19">
        <f t="shared" si="673"/>
        <v>2500.0323288511422</v>
      </c>
      <c r="JE232" s="21"/>
      <c r="JF232" s="1">
        <f t="shared" si="653"/>
        <v>1.7106565950787935E-2</v>
      </c>
      <c r="JG232" s="15">
        <f>INDEX(Input!$1:$1048576,JG$93,$C232*2+6)/(1+VLOOKUP(C232*1000+INDEX(Input!$1:$1048576,JG$93+1,$C232*2+6),$A:$KK,$JK$92,FALSE))</f>
        <v>1243</v>
      </c>
      <c r="JH232" s="1">
        <f t="shared" si="674"/>
        <v>5.7966315340238626E-2</v>
      </c>
      <c r="JI232" s="1">
        <f t="shared" si="675"/>
        <v>8.7250993554324821E-3</v>
      </c>
      <c r="JJ232" s="1">
        <f t="shared" si="731"/>
        <v>0</v>
      </c>
      <c r="JK232" s="1">
        <f t="shared" si="732"/>
        <v>6.6691414695671108E-2</v>
      </c>
      <c r="JL232" s="15">
        <f t="shared" si="678"/>
        <v>82.897428466719191</v>
      </c>
      <c r="JM232" s="15">
        <f t="shared" si="702"/>
        <v>1325.8974284667192</v>
      </c>
      <c r="JN232" s="21"/>
      <c r="JO232" s="19">
        <f>INDEX(Input!$1:$1048576,JO$93,$C232*2+6)</f>
        <v>5995.5</v>
      </c>
      <c r="JP232" s="19">
        <f>INDEX(Input!$1:$1048576,JP$93,$C232*2+6)</f>
        <v>2105.548724853742</v>
      </c>
      <c r="JQ232" s="39">
        <f t="shared" si="688"/>
        <v>3495.4676711488578</v>
      </c>
      <c r="JR232" s="39">
        <f t="shared" si="705"/>
        <v>394.48360399740022</v>
      </c>
      <c r="JS232" s="39">
        <f t="shared" si="690"/>
        <v>3.3147864359073926</v>
      </c>
      <c r="JT232" s="39">
        <f t="shared" si="680"/>
        <v>0.69758937091419149</v>
      </c>
      <c r="JU232" s="385">
        <f>(JQ232*JM232-INDEX(Input!$1:$1048576,Input!A$18,$C232*2+6)*JL232*INDEX(Input!$1:$1048576,Input!A$19,$C232*2+6))/1000000</f>
        <v>4.6346315964648221</v>
      </c>
      <c r="JV232" s="39">
        <f t="shared" si="712"/>
        <v>-0.20057783854197631</v>
      </c>
      <c r="JW232" s="1">
        <f t="shared" si="703"/>
        <v>-4.1482761240867382E-2</v>
      </c>
      <c r="JX232" s="19">
        <f t="shared" si="694"/>
        <v>8415.0905983079138</v>
      </c>
      <c r="JZ232" s="341"/>
      <c r="KA232" s="342"/>
      <c r="KB232" s="469">
        <f t="shared" si="691"/>
        <v>2.5660492421988774</v>
      </c>
      <c r="KI232" s="473">
        <f t="shared" si="719"/>
        <v>68.85357083178576</v>
      </c>
      <c r="KJ232" s="473">
        <f t="shared" si="720"/>
        <v>43.489796355254953</v>
      </c>
      <c r="KK232" s="473">
        <f t="shared" si="682"/>
        <v>-29.445938720321465</v>
      </c>
      <c r="KN232" s="544">
        <f t="shared" si="695"/>
        <v>2002</v>
      </c>
      <c r="KO232" s="541">
        <f t="shared" si="657"/>
        <v>6.0406739513416685E-2</v>
      </c>
      <c r="KP232" s="546">
        <f t="shared" si="658"/>
        <v>430.04973571429889</v>
      </c>
      <c r="KQ232" s="546">
        <f t="shared" si="659"/>
        <v>356.3519894176693</v>
      </c>
      <c r="KR232" s="548">
        <f t="shared" si="660"/>
        <v>2.5060728092795062</v>
      </c>
      <c r="KS232" s="548">
        <f t="shared" si="661"/>
        <v>3.0243578857876412</v>
      </c>
      <c r="KT232" s="473">
        <f t="shared" si="693"/>
        <v>843.26993010479111</v>
      </c>
      <c r="KU232" s="663">
        <f t="shared" si="683"/>
        <v>4.5751676633593252</v>
      </c>
      <c r="KV232" s="117"/>
    </row>
    <row r="233" spans="1:308" s="26" customFormat="1" ht="15">
      <c r="A233" s="561">
        <f t="shared" si="662"/>
        <v>2033</v>
      </c>
      <c r="B233" s="561">
        <f t="shared" si="684"/>
        <v>33</v>
      </c>
      <c r="C233" s="561">
        <f t="shared" si="105"/>
        <v>2</v>
      </c>
      <c r="D233" s="561" t="str">
        <f t="shared" si="728"/>
        <v xml:space="preserve">750 CC, 750 Combo, </v>
      </c>
      <c r="E233" s="475">
        <f>INDEX(Input!$1:$1048576,E$93,$C233*2+MIN($B233,2)+5)
+INDEX(Scenarios!E$121:E$200,MATCH($B233,Scenarios!$B$121:$B$200,0))</f>
        <v>2019.7618664521319</v>
      </c>
      <c r="F233" s="475">
        <f>INDEX(Input!$1:$1048576,F$93,$C233*2+MIN($B233,2)+5)
+INDEX(Scenarios!F$121:F$200,MATCH($B233,Scenarios!$B$121:$B$200,0))</f>
        <v>0</v>
      </c>
      <c r="G233" s="475">
        <f>INDEX(Input!$1:$1048576,G$93,$C233*2+MIN($B233,2)+5)
+INDEX(Scenarios!G$121:G$200,MATCH($B233,Scenarios!$B$121:$B$200,0))</f>
        <v>0</v>
      </c>
      <c r="H233" s="475">
        <f>INDEX(Input!$1:$1048576,H$93,$C233*2+MIN($B233,2)+5)
+INDEX(Scenarios!H$121:H$200,MATCH($B233,Scenarios!$B$121:$B$200,0))</f>
        <v>0</v>
      </c>
      <c r="I233" s="476">
        <f>INDEX(Input!$1:$1048576,I$93,$C233*2+MIN($B233,2)+5)</f>
        <v>0.7</v>
      </c>
      <c r="J233" s="476" t="str">
        <f>INDEX(Input!$1:$1048576,J$93,$C233*2+MIN($B233,2)+5)</f>
        <v>Market</v>
      </c>
      <c r="K233" s="476" t="str">
        <f>INDEX(Input!$1:$1048576,K$93,$C233*2+MIN($B233,2)+5)</f>
        <v>Market</v>
      </c>
      <c r="L233" s="476" t="str">
        <f>INDEX(Input!$1:$1048576,L$93,$C233*2+MIN($B233,2)+5)</f>
        <v>Market</v>
      </c>
      <c r="M233" s="476" t="str">
        <f>INDEX(Input!$1:$1048576,M$93,$C233*2+MIN($B233,2)+5)</f>
        <v>Market</v>
      </c>
      <c r="N233" s="476" t="str">
        <f>INDEX(Input!$1:$1048576,N$93,$C233*2+MIN($B233,2)+5)</f>
        <v>Market</v>
      </c>
      <c r="O233" s="476" t="str">
        <f>INDEX(Input!$1:$1048576,O$93,$C233*2+MIN($B233,2)+5)</f>
        <v>Market</v>
      </c>
      <c r="P233" s="476" t="str">
        <f>INDEX(Input!$1:$1048576,P$93,$C233*2+MIN($B233,2)+5)</f>
        <v>N</v>
      </c>
      <c r="Q233" s="477">
        <f>INDEX(Input!$1:$1048576,Q$93,$C233*2+MIN($B233,2)+5)
+INDEX(Scenarios!Q$121:Q$200,MATCH($B233,Scenarios!$B$121:$B$200,0))</f>
        <v>750</v>
      </c>
      <c r="R233" s="478">
        <f>IFERROR(MAX(0,INDEX(Input!$1:$1048576,R$93,$C233*2+MIN($B233,2)+5)
+INDEX(Scenarios!R$121:R$200,MATCH($B233,Scenarios!$B$121:$B$200,0)),),"Market")</f>
        <v>0</v>
      </c>
      <c r="S233" s="478">
        <f>IFERROR(MAX(0,INDEX(Input!$1:$1048576,S$93,$C233*2+MIN($B233,2)+5)
+INDEX(Scenarios!S$121:S$200,MATCH($B233,Scenarios!$B$121:$B$200,0)),),"Market")</f>
        <v>0</v>
      </c>
      <c r="T233" s="478">
        <f>IFERROR(MAX(0,INDEX(Input!$1:$1048576,T$93,$C233*2+MIN($B233,2)+5)
+INDEX(Scenarios!T$121:T$200,MATCH($B233,Scenarios!$B$121:$B$200,0)),),"Market")</f>
        <v>0</v>
      </c>
      <c r="U233" s="478">
        <f>IFERROR(MAX(0,INDEX(Input!$1:$1048576,U$93,$C233*2+MIN($B233,2)+5)
+INDEX(Scenarios!U$121:U$200,MATCH($B233,Scenarios!$B$121:$B$200,0)),),"Market")</f>
        <v>0</v>
      </c>
      <c r="V233" s="478">
        <f>IFERROR(MAX(0,INDEX(Input!$1:$1048576,V$93,$C233*2+MIN($B233,2)+5)
+INDEX(Scenarios!V$121:V$200,MATCH($B233,Scenarios!$B$121:$B$200,0)),),"Market")</f>
        <v>1.9E-2</v>
      </c>
      <c r="W233" s="885">
        <f>IFERROR(MAX(0,INDEX(Input!$1:$1048576,W$93,$C233*2+MIN($B233,2)+5)-0%,),"Market")</f>
        <v>3.9E-2</v>
      </c>
      <c r="X233" s="476" t="str">
        <f>INDEX(Input!$1:$1048576,X$93,$C233*2+MIN($B233,2)+5)</f>
        <v>Y</v>
      </c>
      <c r="Y233" s="475">
        <f>INDEX(Input!$1:$1048576,Y$93,$C233*2+MIN($B233,2)+5)
++INDEX(Scenarios!Y$121:Y$200,MATCH($B233,Scenarios!$B$121:$B$200,0))</f>
        <v>56</v>
      </c>
      <c r="Z233" s="477">
        <f>INDEX(Input!$1:$1048576,Z$93,$C233*2+MIN($B233,2)+5)
+INDEX(Scenarios!Z$121:Z$200,MATCH($B233,Scenarios!$B$121:$B$200,0))</f>
        <v>0</v>
      </c>
      <c r="AA233" s="475">
        <f>INDEX(Input!$1:$1048576,AA$93,$C233*2+MIN($B233,2)+5)
+INDEX(Scenarios!AA$121:AA$200,MATCH($B233,Scenarios!$B$121:$B$200,0))</f>
        <v>0</v>
      </c>
      <c r="AB233" s="476">
        <f>INDEX(Input!$1:$1048576,AB$93,$C233*2+MIN($B233,2)+5)</f>
        <v>0.27</v>
      </c>
      <c r="AC233" s="475">
        <f>INDEX(Input!$1:$1048576,AC$93,$C233*2+MIN($B233,2)+5)
+INDEX(Scenarios!AC$121:AC$200,MATCH($B233,Scenarios!$B$121:$B$200,0))</f>
        <v>0</v>
      </c>
      <c r="AD233" s="476">
        <f>INDEX(Input!$1:$1048576,AD$93,$C233*2+MIN($B233,2)+5)</f>
        <v>0.27</v>
      </c>
      <c r="AE233" s="475">
        <f>INDEX(Input!$1:$1048576,AE$93,$C233*2+MIN($B233,2)+5)
+INDEX(Scenarios!AE$121:AE$200,MATCH($B233,Scenarios!$B$121:$B$200,0))</f>
        <v>0</v>
      </c>
      <c r="AF233" s="476">
        <f>INDEX(Input!$1:$1048576,AF$93,$C233*2+MIN($B233,2)+5)</f>
        <v>4.8000000000000001E-2</v>
      </c>
      <c r="AG233" s="475">
        <f>INDEX(Input!$1:$1048576,AG$93,$C233*2+MIN($B233,2)+5)
+INDEX(Scenarios!AG$121:AG$200,MATCH($B233,Scenarios!$B$121:$B$200,0))</f>
        <v>500</v>
      </c>
      <c r="AH233" s="476">
        <f>INDEX(Input!$1:$1048576,AH$93,$C233*2+MIN($B233,2)+5)</f>
        <v>0.94599999999999995</v>
      </c>
      <c r="AI233" s="475">
        <f>INDEX(Input!$1:$1048576,AI$93,$C233*2+MIN($B233,2)+5)
+INDEX(Scenarios!AI$121:AI$200,MATCH($B233,Scenarios!$B$121:$B$200,0))</f>
        <v>0</v>
      </c>
      <c r="AJ233" s="476">
        <f>INDEX(Input!$1:$1048576,AJ$93,$C233*2+MIN($B233,2)+5)</f>
        <v>0.27</v>
      </c>
      <c r="AK233" s="150">
        <f>ROUND(INDEX(Input!$1:$1048576,AK$93,$C232*2+MIN($B233,1)+5)+(Y233-VLOOKUP($C233*1000+1,$A:$HH,Y$92,FALSE)),0)</f>
        <v>2977</v>
      </c>
      <c r="AL233" s="150">
        <f>ROUND(INDEX(Input!$1:$1048576,AL$93,$C232*2+MIN($B233,1)+5)-(Y233-VLOOKUP($C233*1000+1,$A:$HH,Y$92,FALSE))/36,0)</f>
        <v>3395</v>
      </c>
      <c r="AM233" s="32" t="str">
        <f t="shared" si="663"/>
        <v>std/std/std/std</v>
      </c>
      <c r="AN233" s="32" t="str">
        <f t="shared" si="664"/>
        <v>$750 + 0/0/0/1.9/3.9</v>
      </c>
      <c r="AO233" s="32" t="str">
        <f t="shared" si="665"/>
        <v>0/0/0/1.9/3.9</v>
      </c>
      <c r="AP233" s="32" t="str">
        <f t="shared" si="734"/>
        <v>0/0.9/1.9/3.9</v>
      </c>
      <c r="AQ233" s="536">
        <f t="shared" si="733"/>
        <v>0.40502175305427279</v>
      </c>
      <c r="AR233" s="32"/>
      <c r="AS233" s="302"/>
      <c r="AT233" s="3">
        <f t="shared" si="717"/>
        <v>33</v>
      </c>
      <c r="AU233" s="41" t="s">
        <v>121</v>
      </c>
      <c r="AV233" s="41" t="s">
        <v>116</v>
      </c>
      <c r="AW233" s="41" t="str">
        <f>INDEX(Input!$1:$1048576,AW$93,$C233*2+6)</f>
        <v>Kia</v>
      </c>
      <c r="AX233" s="41" t="str">
        <f>INDEX(Input!$1:$1048576,AX$93,$C233*2+6)</f>
        <v>Kia-LR - L2</v>
      </c>
      <c r="AY233" s="41" t="str">
        <f>IF(LEN(D233)=0,"",INDEX(Input!$1:$1048576,AY$93,$C233*2+6))</f>
        <v>Compact SUV (52)</v>
      </c>
      <c r="AZ233" s="41" t="str">
        <f>INDEX(Input!$1:$1048576,AZ$93,$C233*2+6)</f>
        <v>Kia Soul</v>
      </c>
      <c r="BA233" s="3">
        <f>INDEX(Input!$1:$1048576,BA$93,$C233*2+6)</f>
        <v>2020</v>
      </c>
      <c r="BB233" s="128">
        <f>INDEX(Input!$1:$1048576,BB$93,$C233*2+6)</f>
        <v>1</v>
      </c>
      <c r="BC233" s="128">
        <f>INDEX(Input!$1:$1048576,BC$93,$C233*2+6)</f>
        <v>0.7</v>
      </c>
      <c r="BD233" s="1">
        <f>INDEX(Input!$1:$1048576,BD$93,$C233*2+6)</f>
        <v>4.4999999999999998E-2</v>
      </c>
      <c r="BE233" s="1">
        <f>INDEX(Input!$1:$1048576,BE$93,$C233*2+6)</f>
        <v>4.4999999999999998E-2</v>
      </c>
      <c r="BF233" s="1">
        <f>INDEX(Input!$1:$1048576,BF$93,$C233*2+6)</f>
        <v>0.05</v>
      </c>
      <c r="BG233" s="1">
        <f>INDEX(Input!$1:$1048576,BG$93,$C233*2+6)</f>
        <v>5.45E-2</v>
      </c>
      <c r="BH233" s="1">
        <f>INDEX(Input!$1:$1048576,BH$93,$C233*2+6)</f>
        <v>5.45E-2</v>
      </c>
      <c r="BI233" s="1">
        <f>INDEX(Input!$1:$1048576,BI$93,$C233*2+6)</f>
        <v>0.05</v>
      </c>
      <c r="BJ233" s="1">
        <f>INDEX(Input!$1:$1048576,BJ$93,$C233*2+6)</f>
        <v>0.05</v>
      </c>
      <c r="BK233" s="1">
        <f>INDEX(Input!$1:$1048576,BK$93,$C233*2+6)</f>
        <v>0.05</v>
      </c>
      <c r="BL233" s="1">
        <f>INDEX(Input!$1:$1048576,BL$93,$C233*2+6)</f>
        <v>5.5E-2</v>
      </c>
      <c r="BM233" s="1">
        <f>INDEX(Input!$1:$1048576,BM$93,$C233*2+6)</f>
        <v>0.06</v>
      </c>
      <c r="BN233" s="1">
        <f>INDEX(Input!$1:$1048576,BN$93,$C233*2+6)</f>
        <v>4.4999999999999998E-2</v>
      </c>
      <c r="BO233" s="1">
        <f>INDEX(Input!$1:$1048576,BO$93,$C233*2+6)</f>
        <v>4.4999999999999998E-2</v>
      </c>
      <c r="BP233" s="1">
        <f>INDEX(Input!$1:$1048576,BP$93,$C233*2+6)</f>
        <v>0.05</v>
      </c>
      <c r="BQ233" s="1">
        <f>INDEX(Input!$1:$1048576,BQ$93,$C233*2+6)</f>
        <v>5.45E-2</v>
      </c>
      <c r="BR233" s="1">
        <f>INDEX(Input!$1:$1048576,BR$93,$C233*2+6)</f>
        <v>5.45E-2</v>
      </c>
      <c r="BS233" s="1">
        <f>INDEX(Input!$1:$1048576,BS$93,$C233*2+6)</f>
        <v>0.05</v>
      </c>
      <c r="BT233" s="1">
        <f>INDEX(Input!$1:$1048576,BT$93,$C233*2+6)</f>
        <v>0.05</v>
      </c>
      <c r="BU233" s="1">
        <f>INDEX(Input!$1:$1048576,BU$93,$C233*2+6)</f>
        <v>0.05</v>
      </c>
      <c r="BV233" s="1">
        <f>INDEX(Input!$1:$1048576,BV$93,$C233*2+6)</f>
        <v>5.5E-2</v>
      </c>
      <c r="BW233" s="1">
        <f>INDEX(Input!$1:$1048576,BW$93,$C233*2+6)</f>
        <v>0.06</v>
      </c>
      <c r="BX233" s="127">
        <f>INDEX(Input!$1:$1048576,BX$93,$C233*2+6)</f>
        <v>19985</v>
      </c>
      <c r="BY233" s="20">
        <f>INDEX(Input!$1:$1048576,BY$93,$C233*2+6)</f>
        <v>0.1</v>
      </c>
      <c r="BZ233" s="20">
        <f>INDEX(Input!$1:$1048576,BZ$93,$C233*2+6)</f>
        <v>0.1</v>
      </c>
      <c r="CA233" s="20">
        <f>INDEX(Input!$1:$1048576,CA$93,$C233*2+6)</f>
        <v>0.1</v>
      </c>
      <c r="CB233" s="20">
        <f>INDEX(Input!$1:$1048576,CB$93,$C233*2+6)</f>
        <v>0.1</v>
      </c>
      <c r="CC233" s="20">
        <f>INDEX(Input!$1:$1048576,CC$93,$C233*2+6)</f>
        <v>0.1</v>
      </c>
      <c r="CD233" s="384">
        <f>INDEX(Input!$1:$1048576,CD$93,$C233*2+6)</f>
        <v>0.1</v>
      </c>
      <c r="CE233" s="384">
        <f>INDEX(Input!$1:$1048576,CE$93,$C233*2+6)</f>
        <v>0.1</v>
      </c>
      <c r="CF233" s="384">
        <f>INDEX(Input!$1:$1048576,CF$93,$C233*2+6)</f>
        <v>0.1</v>
      </c>
      <c r="CG233" s="384">
        <f>INDEX(Input!$1:$1048576,CG$93,$C233*2+6)</f>
        <v>0.1</v>
      </c>
      <c r="CH233" s="384">
        <f>INDEX(Input!$1:$1048576,CH$93,$C233*2+6)</f>
        <v>0.1</v>
      </c>
      <c r="CI233" s="304">
        <f t="shared" si="735"/>
        <v>2019.7618664521319</v>
      </c>
      <c r="CJ233" s="16" t="str">
        <f>INDEX(Input!$1:$1048576,CJ$93,$C233*2+6)</f>
        <v>N</v>
      </c>
      <c r="CK233" s="1" t="str">
        <f t="shared" si="736"/>
        <v>Market</v>
      </c>
      <c r="CL233" s="1" t="str">
        <f t="shared" si="737"/>
        <v>Market</v>
      </c>
      <c r="CM233" s="1" t="str">
        <f t="shared" si="738"/>
        <v>Market</v>
      </c>
      <c r="CN233" s="1" t="str">
        <f t="shared" si="739"/>
        <v>Market</v>
      </c>
      <c r="CO233" s="1" t="str">
        <f t="shared" si="740"/>
        <v>Market</v>
      </c>
      <c r="CP233" s="304">
        <f t="shared" si="741"/>
        <v>1223</v>
      </c>
      <c r="CQ233" s="1">
        <f t="shared" si="742"/>
        <v>0</v>
      </c>
      <c r="CR233" s="1">
        <f t="shared" si="743"/>
        <v>0</v>
      </c>
      <c r="CS233" s="1">
        <f t="shared" si="744"/>
        <v>0</v>
      </c>
      <c r="CT233" s="1">
        <f t="shared" si="745"/>
        <v>1.9E-2</v>
      </c>
      <c r="CU233" s="1">
        <f t="shared" si="746"/>
        <v>3.9E-2</v>
      </c>
      <c r="CV233" s="304">
        <f t="shared" si="747"/>
        <v>56</v>
      </c>
      <c r="CW233" s="20" t="s">
        <v>122</v>
      </c>
      <c r="CX233" s="20" t="s">
        <v>122</v>
      </c>
      <c r="CY233" s="20" t="s">
        <v>122</v>
      </c>
      <c r="CZ233" s="20" t="s">
        <v>122</v>
      </c>
      <c r="DA233" s="20" t="s">
        <v>122</v>
      </c>
      <c r="DB233" s="503">
        <f t="shared" si="748"/>
        <v>0</v>
      </c>
      <c r="DC233" s="127">
        <v>0</v>
      </c>
      <c r="DD233" s="127">
        <v>0</v>
      </c>
      <c r="DE233" s="127">
        <v>0</v>
      </c>
      <c r="DF233" s="127">
        <v>0</v>
      </c>
      <c r="DG233" s="127">
        <v>0</v>
      </c>
      <c r="DH233" s="127">
        <v>0</v>
      </c>
      <c r="DI233" s="127">
        <v>0</v>
      </c>
      <c r="DJ233" s="127">
        <v>0</v>
      </c>
      <c r="DK233" s="127">
        <v>0</v>
      </c>
      <c r="DL233" s="127">
        <v>0</v>
      </c>
      <c r="DM233" s="304">
        <f>INDEX(Input!$1:$1048576,DM$93,$C233*2+6)</f>
        <v>21036.84210526316</v>
      </c>
      <c r="DN233" s="20">
        <v>0</v>
      </c>
      <c r="DO233" s="20">
        <v>0</v>
      </c>
      <c r="DP233" s="20">
        <v>0</v>
      </c>
      <c r="DQ233" s="20">
        <v>0</v>
      </c>
      <c r="DR233" s="20">
        <v>0</v>
      </c>
      <c r="DS233" s="20">
        <f>INDEX(Input!$1:$1048576,DS$93,$C233*2+6)</f>
        <v>0.6</v>
      </c>
      <c r="DT233" s="20">
        <f>INDEX(Input!$1:$1048576,DT$93,$C233*2+6)</f>
        <v>0.55000000000000004</v>
      </c>
      <c r="DU233" s="20">
        <f>INDEX(Input!$1:$1048576,DU$93,$C233*2+6)</f>
        <v>0.52</v>
      </c>
      <c r="DV233" s="20">
        <f>INDEX(Input!$1:$1048576,DV$93,$C233*2+6)</f>
        <v>0.5</v>
      </c>
      <c r="DW233" s="20">
        <f>INDEX(Input!$1:$1048576,DW$93,$C233*2+6)</f>
        <v>0.45</v>
      </c>
      <c r="DX233" s="20"/>
      <c r="DY233" s="7">
        <v>0.10814772914314734</v>
      </c>
      <c r="DZ233" s="7">
        <v>0</v>
      </c>
      <c r="EA233" s="7">
        <v>0.69179014227384772</v>
      </c>
      <c r="EB233" s="7">
        <v>0</v>
      </c>
      <c r="EC233" s="7">
        <v>0</v>
      </c>
      <c r="ED233" s="7">
        <v>0</v>
      </c>
      <c r="EE233" s="7">
        <v>0</v>
      </c>
      <c r="EF233" s="7">
        <v>0</v>
      </c>
      <c r="EG233" s="7">
        <v>0</v>
      </c>
      <c r="EH233" s="7">
        <v>1.4273353292667327E-2</v>
      </c>
      <c r="EI233" s="7">
        <v>4.0634062453215734E-2</v>
      </c>
      <c r="EJ233" s="7">
        <v>0.30740442994712003</v>
      </c>
      <c r="EK233" s="7">
        <v>0.52653048612070141</v>
      </c>
      <c r="EL233" s="7">
        <v>0.11115766818629591</v>
      </c>
      <c r="EM233" s="7">
        <v>6.0544022889873761E-2</v>
      </c>
      <c r="EN233" s="7">
        <v>6.5520085589252042E-2</v>
      </c>
      <c r="EO233" s="7">
        <v>0.73219807144232218</v>
      </c>
      <c r="EP233" s="7">
        <v>8.7626953457322132E-2</v>
      </c>
      <c r="EQ233" s="7">
        <v>7.4710319818868262E-2</v>
      </c>
      <c r="ER233" s="7">
        <v>3.9944569692235934E-2</v>
      </c>
      <c r="ES233" s="7">
        <v>0.13951810569313114</v>
      </c>
      <c r="ET233" s="7">
        <v>0.2000621285830049</v>
      </c>
      <c r="EU233" s="6">
        <v>2044</v>
      </c>
      <c r="EV233" s="6">
        <v>0</v>
      </c>
      <c r="EW233" s="6">
        <v>2044</v>
      </c>
      <c r="EX233" s="6">
        <v>0</v>
      </c>
      <c r="EY233" s="6">
        <v>2804.0356888906254</v>
      </c>
      <c r="EZ233" s="6">
        <v>946</v>
      </c>
      <c r="FA233" s="6">
        <v>0</v>
      </c>
      <c r="FB233" s="6">
        <v>0</v>
      </c>
      <c r="FC233" s="6">
        <v>0</v>
      </c>
      <c r="FD233" s="6">
        <v>0</v>
      </c>
      <c r="FE233" s="6">
        <v>0</v>
      </c>
      <c r="FF233" s="6">
        <v>0</v>
      </c>
      <c r="FG233" s="6">
        <v>0</v>
      </c>
      <c r="FH233" s="6">
        <v>1173.7328644553645</v>
      </c>
      <c r="FI233" s="6">
        <v>1553.9796069512388</v>
      </c>
      <c r="FJ233" s="6">
        <v>2101.2110117447405</v>
      </c>
      <c r="FK233" s="6">
        <v>1772.7139978623225</v>
      </c>
      <c r="FL233" s="6">
        <v>907.07682140966313</v>
      </c>
      <c r="FM233" s="6">
        <v>1760.0356888906256</v>
      </c>
      <c r="FN233" s="6">
        <v>0</v>
      </c>
      <c r="FO233" s="6">
        <v>0</v>
      </c>
      <c r="FP233" s="6">
        <v>0</v>
      </c>
      <c r="FQ233" s="6">
        <v>0</v>
      </c>
      <c r="FR233" s="6">
        <v>0</v>
      </c>
      <c r="FS233" s="6">
        <v>0</v>
      </c>
      <c r="FT233" s="7">
        <v>0.79993787141699502</v>
      </c>
      <c r="FU233" s="7">
        <v>6.0544022889873761E-2</v>
      </c>
      <c r="FV233" s="7">
        <v>0.13951810569313114</v>
      </c>
      <c r="FW233" s="6">
        <v>2044</v>
      </c>
      <c r="FX233" s="6">
        <v>2804.0356888906254</v>
      </c>
      <c r="FY233" s="6">
        <v>946</v>
      </c>
      <c r="FZ233" s="6">
        <v>1817.4615072224267</v>
      </c>
      <c r="GA233" s="6">
        <v>1936.8247380942569</v>
      </c>
      <c r="GB233" s="6">
        <v>18048.175261905744</v>
      </c>
      <c r="GC233" s="7">
        <v>1.804905384453976E-2</v>
      </c>
      <c r="GD233" s="7">
        <v>1.8585882608312045E-2</v>
      </c>
      <c r="GE233" s="7"/>
      <c r="GF233" s="7"/>
      <c r="GG233" s="7">
        <v>2.9742764822804673E-2</v>
      </c>
      <c r="GH233" s="42">
        <v>4.9798346663556377</v>
      </c>
      <c r="GI233" s="6">
        <v>5950.0101827880499</v>
      </c>
      <c r="GJ233" s="14">
        <v>0.50394797582841711</v>
      </c>
      <c r="GK233" s="14">
        <v>0.50887573065309732</v>
      </c>
      <c r="GL233" s="14">
        <v>0.49605202417158256</v>
      </c>
      <c r="GM233" s="14">
        <v>0.4911242693469024</v>
      </c>
      <c r="GO233" s="5">
        <v>343.14810671672558</v>
      </c>
      <c r="GP233" s="5">
        <v>304.15248610521212</v>
      </c>
      <c r="GQ233" s="5">
        <v>535.04305713031317</v>
      </c>
      <c r="GR233" s="5">
        <v>410.15490233172511</v>
      </c>
      <c r="GS233" s="5">
        <v>339.42744393800166</v>
      </c>
      <c r="GT233" s="5">
        <v>293.4407446948278</v>
      </c>
      <c r="GU233" s="5">
        <v>258.04012322764959</v>
      </c>
      <c r="GV233" s="39" t="s">
        <v>392</v>
      </c>
      <c r="GW233" s="5">
        <v>470.625</v>
      </c>
      <c r="GX233" s="5">
        <v>352.96875</v>
      </c>
      <c r="GY233" s="5">
        <v>282.375</v>
      </c>
      <c r="GZ233" s="5">
        <v>249.1661392896963</v>
      </c>
      <c r="HA233" s="5">
        <v>230.80467966620469</v>
      </c>
      <c r="HB233" s="39">
        <v>264.71255547441558</v>
      </c>
      <c r="HC233" s="5">
        <v>245.89687499999999</v>
      </c>
      <c r="HD233" s="5">
        <v>211.55677997076018</v>
      </c>
      <c r="HE233" s="5">
        <v>214.73562331309037</v>
      </c>
      <c r="HF233" s="5">
        <v>199.03250548245612</v>
      </c>
      <c r="HG233" s="5">
        <v>192.49971491228069</v>
      </c>
      <c r="HH233" s="39">
        <v>212.38837947794721</v>
      </c>
      <c r="HI233" s="16"/>
      <c r="HJ233" s="19" t="str">
        <f t="shared" si="726"/>
        <v>On</v>
      </c>
      <c r="HK233" s="1" t="str">
        <f t="shared" si="726"/>
        <v>On</v>
      </c>
      <c r="HL233" s="16"/>
      <c r="HM233" s="639">
        <f t="shared" si="634"/>
        <v>1.2768706344444866E-2</v>
      </c>
      <c r="HN233" s="639">
        <f t="shared" si="635"/>
        <v>9.795534288915453E-4</v>
      </c>
      <c r="HO233" s="639">
        <f t="shared" si="636"/>
        <v>3.3583061774515237E-3</v>
      </c>
      <c r="HP233" s="644">
        <f>(FT233*$GD233-HM233)/$JF233*INDEX(Input!$1:$1048576,$JG$93,$C233*2+6)</f>
        <v>152.5066092680207</v>
      </c>
      <c r="HQ233" s="644">
        <f>(FU233*$GD233-HN233)/$JF233*INDEX(Input!$1:$1048576,$JG$93,$C233*2+6)</f>
        <v>10.587651973930663</v>
      </c>
      <c r="HR233" s="644">
        <f>(FV233*$GD233-HO233)/$JF233*INDEX(Input!$1:$1048576,$JG$93,$C233*2+6)</f>
        <v>-55.603920363934783</v>
      </c>
      <c r="HS233" s="644">
        <f t="shared" ref="HS233:HS236" si="749">IF(AND(HJ233="On",HK233="On"),IL233/1000*INDEX(KG:KG,MATCH(C233*1000+3,$KF:$KF,0))*SUM(HY233:IA233)*1.1
+INDEX(HR:HR,MATCH(C233*1000+4,$KF:$KF,0))/INDEX(IM:IM,MATCH(C233*1000+4,$KF:$KF,0))*IM233*20%,0)</f>
        <v>-50.207743009545389</v>
      </c>
      <c r="HT233" s="644">
        <f t="shared" si="638"/>
        <v>53.025522588990043</v>
      </c>
      <c r="HU233" s="644">
        <f t="shared" si="639"/>
        <v>12.788544934072563</v>
      </c>
      <c r="HV233" s="648">
        <f t="shared" si="640"/>
        <v>0</v>
      </c>
      <c r="HW233" s="648">
        <f t="shared" si="641"/>
        <v>0</v>
      </c>
      <c r="HX233" s="648">
        <f t="shared" si="642"/>
        <v>0</v>
      </c>
      <c r="HY233" s="644">
        <f>INDEX(Input!$1:$1048576,HY$93,$C233*2+6)*INDEX(Input!$1:$1048576,$JG$93,$C233*2+6)</f>
        <v>451</v>
      </c>
      <c r="HZ233" s="644">
        <f>INDEX(Input!$1:$1048576,HZ$93,$C233*2+6)*INDEX(Input!$1:$1048576,$JG$93,$C233*2+6)</f>
        <v>577</v>
      </c>
      <c r="IA233" s="644">
        <f>INDEX(Input!$1:$1048576,IA$93,$C233*2+6)*INDEX(Input!$1:$1048576,$JG$93,$C233*2+6)</f>
        <v>215</v>
      </c>
      <c r="IB233" s="644">
        <f t="shared" si="666"/>
        <v>553.29886625847541</v>
      </c>
      <c r="IC233" s="644">
        <f t="shared" si="667"/>
        <v>640.61317456292068</v>
      </c>
      <c r="ID233" s="644">
        <f>IF(AND(INDEX(Input!$1:$1048576,IA$93,$C233*2+7)="TOS",Y233&lt;=INDEX(Y:Y,MATCH(C233*1000+2,A:A))),0,1)*MAX(IA233+HR233+HU233+HX233,0%)</f>
        <v>172.1846245701378</v>
      </c>
      <c r="IE233" s="128">
        <f t="shared" ref="IE233:IE236" si="750">IB233/SUM($IB233:$ID233)</f>
        <v>0.40502175305427279</v>
      </c>
      <c r="IF233" s="128">
        <f t="shared" si="643"/>
        <v>0.46893692869041292</v>
      </c>
      <c r="IG233" s="128">
        <f t="shared" si="644"/>
        <v>0.12604131825531417</v>
      </c>
      <c r="IH233" s="21"/>
      <c r="II233" s="19">
        <f t="shared" si="645"/>
        <v>1252</v>
      </c>
      <c r="IJ233" s="19">
        <f t="shared" si="646"/>
        <v>2011.9658773055378</v>
      </c>
      <c r="IK233" s="19">
        <f t="shared" si="647"/>
        <v>919</v>
      </c>
      <c r="IL233" s="19">
        <f t="shared" si="669"/>
        <v>792</v>
      </c>
      <c r="IM233" s="19">
        <f t="shared" si="648"/>
        <v>792.06981158508756</v>
      </c>
      <c r="IN233" s="19">
        <f t="shared" si="649"/>
        <v>27</v>
      </c>
      <c r="IO233" s="39">
        <f t="shared" si="650"/>
        <v>0</v>
      </c>
      <c r="IP233" s="39">
        <f t="shared" si="651"/>
        <v>0</v>
      </c>
      <c r="IQ233" s="39">
        <f t="shared" si="652"/>
        <v>0</v>
      </c>
      <c r="IR233" s="39">
        <v>0</v>
      </c>
      <c r="IS233" s="39">
        <v>0</v>
      </c>
      <c r="IT233" s="39">
        <v>0</v>
      </c>
      <c r="IU233" s="39">
        <v>0</v>
      </c>
      <c r="IV233" s="39">
        <v>0</v>
      </c>
      <c r="IW233" s="39">
        <v>0</v>
      </c>
      <c r="IX233" s="39">
        <f>INDEX(Input!$1:$1048576,IX$93,$C233*2+6)+INDEX(Input!$1:$1048576,IX$94,$C233*2+6)</f>
        <v>1294</v>
      </c>
      <c r="IY233" s="39">
        <f>INDEX(Input!$1:$1048576,IY$93,$C233*2+6)+INDEX(Input!$1:$1048576,IY$94,$C233*2+6)</f>
        <v>2154.0624533823611</v>
      </c>
      <c r="IZ233" s="39">
        <f>INDEX(Input!$1:$1048576,IZ$93,$C233*2+6)+INDEX(Input!$1:$1048576,IZ$94,$C233*2+6)</f>
        <v>3677.7164157747848</v>
      </c>
      <c r="JA233" s="19">
        <f t="shared" si="670"/>
        <v>2086</v>
      </c>
      <c r="JB233" s="19">
        <f t="shared" si="671"/>
        <v>2946.1322649674485</v>
      </c>
      <c r="JC233" s="19">
        <f t="shared" si="672"/>
        <v>3704.7164157747848</v>
      </c>
      <c r="JD233" s="19">
        <f t="shared" si="673"/>
        <v>2693.3729335271346</v>
      </c>
      <c r="JE233" s="21"/>
      <c r="JF233" s="1">
        <f t="shared" si="653"/>
        <v>1.7106565950787935E-2</v>
      </c>
      <c r="JG233" s="15">
        <f>INDEX(Input!$1:$1048576,JG$93,$C233*2+6)/(1+VLOOKUP(C233*1000+INDEX(Input!$1:$1048576,JG$93+1,$C233*2+6),$A:$KK,$JK$92,FALSE))</f>
        <v>1243</v>
      </c>
      <c r="JH233" s="1">
        <f t="shared" si="674"/>
        <v>8.6476541333883009E-2</v>
      </c>
      <c r="JI233" s="1">
        <f t="shared" si="675"/>
        <v>1.2555369681027528E-2</v>
      </c>
      <c r="JJ233" s="1">
        <f t="shared" si="731"/>
        <v>0</v>
      </c>
      <c r="JK233" s="1">
        <f t="shared" si="732"/>
        <v>9.9031911014910531E-2</v>
      </c>
      <c r="JL233" s="15">
        <f t="shared" si="678"/>
        <v>123.09666539153379</v>
      </c>
      <c r="JM233" s="15">
        <f t="shared" si="702"/>
        <v>1366.0966653915339</v>
      </c>
      <c r="JN233" s="21"/>
      <c r="JO233" s="19">
        <f>INDEX(Input!$1:$1048576,JO$93,$C233*2+6)</f>
        <v>5995.5</v>
      </c>
      <c r="JP233" s="19">
        <f>INDEX(Input!$1:$1048576,JP$93,$C233*2+6)</f>
        <v>2105.548724853742</v>
      </c>
      <c r="JQ233" s="39">
        <f t="shared" si="688"/>
        <v>3302.1270664728654</v>
      </c>
      <c r="JR233" s="39">
        <f t="shared" si="705"/>
        <v>587.8242086733926</v>
      </c>
      <c r="JS233" s="39">
        <f t="shared" si="690"/>
        <v>3.6794077831472323</v>
      </c>
      <c r="JT233" s="39">
        <f t="shared" si="680"/>
        <v>1.0622107181540308</v>
      </c>
      <c r="JU233" s="385">
        <f>(JQ233*JM233-INDEX(Input!$1:$1048576,Input!A$18,$C233*2+6)*JL233*INDEX(Input!$1:$1048576,Input!A$19,$C233*2+6))/1000000</f>
        <v>4.5110247742077094</v>
      </c>
      <c r="JV233" s="39">
        <f t="shared" si="712"/>
        <v>-0.32418466079908903</v>
      </c>
      <c r="JW233" s="1">
        <f t="shared" si="703"/>
        <v>-6.7046663677482091E-2</v>
      </c>
      <c r="JX233" s="19">
        <f t="shared" si="694"/>
        <v>8629.0779264852972</v>
      </c>
      <c r="JZ233" s="341"/>
      <c r="KA233" s="342"/>
      <c r="KB233" s="469">
        <f t="shared" si="691"/>
        <v>2.5660492421988774</v>
      </c>
      <c r="KI233" s="473">
        <f t="shared" ref="KI233:KI236" si="751">$JM233*IE233-$JG233*HY233/SUM($HY233:$IA233)</f>
        <v>102.29886625847541</v>
      </c>
      <c r="KJ233" s="473">
        <f t="shared" ref="KJ233:KJ236" si="752">$JM233*IF233-$JG233*HZ233/SUM($HY233:$IA233)</f>
        <v>63.613174562920562</v>
      </c>
      <c r="KK233" s="473">
        <f t="shared" si="682"/>
        <v>-42.815375429862257</v>
      </c>
      <c r="KN233" s="544">
        <f t="shared" si="695"/>
        <v>2002</v>
      </c>
      <c r="KO233" s="541">
        <f t="shared" si="657"/>
        <v>9.2556693833536929E-2</v>
      </c>
      <c r="KP233" s="546">
        <f t="shared" si="658"/>
        <v>655.50121553610938</v>
      </c>
      <c r="KQ233" s="546">
        <f t="shared" si="659"/>
        <v>549.69259409366168</v>
      </c>
      <c r="KR233" s="548">
        <f t="shared" si="660"/>
        <v>2.5191922185205358</v>
      </c>
      <c r="KS233" s="548">
        <f t="shared" si="661"/>
        <v>3.0041037102420005</v>
      </c>
      <c r="KT233" s="473">
        <f t="shared" si="693"/>
        <v>843.26993010479111</v>
      </c>
      <c r="KU233" s="663">
        <f t="shared" si="683"/>
        <v>4.6004673176776967</v>
      </c>
      <c r="KV233" s="117"/>
    </row>
    <row r="234" spans="1:308" s="26" customFormat="1" ht="15">
      <c r="A234" s="561">
        <f t="shared" si="662"/>
        <v>2034</v>
      </c>
      <c r="B234" s="561">
        <f t="shared" si="684"/>
        <v>34</v>
      </c>
      <c r="C234" s="561">
        <f t="shared" si="105"/>
        <v>2</v>
      </c>
      <c r="D234" s="561" t="str">
        <f t="shared" si="728"/>
        <v xml:space="preserve">1000 CC, 1000 Combo, </v>
      </c>
      <c r="E234" s="475">
        <f>INDEX(Input!$1:$1048576,E$93,$C234*2+MIN($B234,2)+5)
+INDEX(Scenarios!E$121:E$200,MATCH($B234,Scenarios!$B$121:$B$200,0))</f>
        <v>2269.7618664521319</v>
      </c>
      <c r="F234" s="475">
        <f>INDEX(Input!$1:$1048576,F$93,$C234*2+MIN($B234,2)+5)
+INDEX(Scenarios!F$121:F$200,MATCH($B234,Scenarios!$B$121:$B$200,0))</f>
        <v>0</v>
      </c>
      <c r="G234" s="475">
        <f>INDEX(Input!$1:$1048576,G$93,$C234*2+MIN($B234,2)+5)
+INDEX(Scenarios!G$121:G$200,MATCH($B234,Scenarios!$B$121:$B$200,0))</f>
        <v>0</v>
      </c>
      <c r="H234" s="475">
        <f>INDEX(Input!$1:$1048576,H$93,$C234*2+MIN($B234,2)+5)
+INDEX(Scenarios!H$121:H$200,MATCH($B234,Scenarios!$B$121:$B$200,0))</f>
        <v>0</v>
      </c>
      <c r="I234" s="476">
        <f>INDEX(Input!$1:$1048576,I$93,$C234*2+MIN($B234,2)+5)</f>
        <v>0.7</v>
      </c>
      <c r="J234" s="476" t="str">
        <f>INDEX(Input!$1:$1048576,J$93,$C234*2+MIN($B234,2)+5)</f>
        <v>Market</v>
      </c>
      <c r="K234" s="476" t="str">
        <f>INDEX(Input!$1:$1048576,K$93,$C234*2+MIN($B234,2)+5)</f>
        <v>Market</v>
      </c>
      <c r="L234" s="476" t="str">
        <f>INDEX(Input!$1:$1048576,L$93,$C234*2+MIN($B234,2)+5)</f>
        <v>Market</v>
      </c>
      <c r="M234" s="476" t="str">
        <f>INDEX(Input!$1:$1048576,M$93,$C234*2+MIN($B234,2)+5)</f>
        <v>Market</v>
      </c>
      <c r="N234" s="476" t="str">
        <f>INDEX(Input!$1:$1048576,N$93,$C234*2+MIN($B234,2)+5)</f>
        <v>Market</v>
      </c>
      <c r="O234" s="476" t="str">
        <f>INDEX(Input!$1:$1048576,O$93,$C234*2+MIN($B234,2)+5)</f>
        <v>Market</v>
      </c>
      <c r="P234" s="476" t="str">
        <f>INDEX(Input!$1:$1048576,P$93,$C234*2+MIN($B234,2)+5)</f>
        <v>N</v>
      </c>
      <c r="Q234" s="477">
        <f>INDEX(Input!$1:$1048576,Q$93,$C234*2+MIN($B234,2)+5)
+INDEX(Scenarios!Q$121:Q$200,MATCH($B234,Scenarios!$B$121:$B$200,0))</f>
        <v>1000</v>
      </c>
      <c r="R234" s="478">
        <f>IFERROR(MAX(0,INDEX(Input!$1:$1048576,R$93,$C234*2+MIN($B234,2)+5)
+INDEX(Scenarios!R$121:R$200,MATCH($B234,Scenarios!$B$121:$B$200,0)),),"Market")</f>
        <v>0</v>
      </c>
      <c r="S234" s="478">
        <f>IFERROR(MAX(0,INDEX(Input!$1:$1048576,S$93,$C234*2+MIN($B234,2)+5)
+INDEX(Scenarios!S$121:S$200,MATCH($B234,Scenarios!$B$121:$B$200,0)),),"Market")</f>
        <v>0</v>
      </c>
      <c r="T234" s="478">
        <f>IFERROR(MAX(0,INDEX(Input!$1:$1048576,T$93,$C234*2+MIN($B234,2)+5)
+INDEX(Scenarios!T$121:T$200,MATCH($B234,Scenarios!$B$121:$B$200,0)),),"Market")</f>
        <v>0</v>
      </c>
      <c r="U234" s="478">
        <f>IFERROR(MAX(0,INDEX(Input!$1:$1048576,U$93,$C234*2+MIN($B234,2)+5)
+INDEX(Scenarios!U$121:U$200,MATCH($B234,Scenarios!$B$121:$B$200,0)),),"Market")</f>
        <v>0</v>
      </c>
      <c r="V234" s="478">
        <f>IFERROR(MAX(0,INDEX(Input!$1:$1048576,V$93,$C234*2+MIN($B234,2)+5)
+INDEX(Scenarios!V$121:V$200,MATCH($B234,Scenarios!$B$121:$B$200,0)),),"Market")</f>
        <v>1.9E-2</v>
      </c>
      <c r="W234" s="885">
        <f>IFERROR(MAX(0,INDEX(Input!$1:$1048576,W$93,$C234*2+MIN($B234,2)+5)-0%,),"Market")</f>
        <v>3.9E-2</v>
      </c>
      <c r="X234" s="476" t="str">
        <f>INDEX(Input!$1:$1048576,X$93,$C234*2+MIN($B234,2)+5)</f>
        <v>Y</v>
      </c>
      <c r="Y234" s="475">
        <f>INDEX(Input!$1:$1048576,Y$93,$C234*2+MIN($B234,2)+5)
++INDEX(Scenarios!Y$121:Y$200,MATCH($B234,Scenarios!$B$121:$B$200,0))</f>
        <v>56</v>
      </c>
      <c r="Z234" s="477">
        <f>INDEX(Input!$1:$1048576,Z$93,$C234*2+MIN($B234,2)+5)
+INDEX(Scenarios!Z$121:Z$200,MATCH($B234,Scenarios!$B$121:$B$200,0))</f>
        <v>0</v>
      </c>
      <c r="AA234" s="475">
        <f>INDEX(Input!$1:$1048576,AA$93,$C234*2+MIN($B234,2)+5)
+INDEX(Scenarios!AA$121:AA$200,MATCH($B234,Scenarios!$B$121:$B$200,0))</f>
        <v>0</v>
      </c>
      <c r="AB234" s="476">
        <f>INDEX(Input!$1:$1048576,AB$93,$C234*2+MIN($B234,2)+5)</f>
        <v>0.27</v>
      </c>
      <c r="AC234" s="475">
        <f>INDEX(Input!$1:$1048576,AC$93,$C234*2+MIN($B234,2)+5)
+INDEX(Scenarios!AC$121:AC$200,MATCH($B234,Scenarios!$B$121:$B$200,0))</f>
        <v>0</v>
      </c>
      <c r="AD234" s="476">
        <f>INDEX(Input!$1:$1048576,AD$93,$C234*2+MIN($B234,2)+5)</f>
        <v>0.27</v>
      </c>
      <c r="AE234" s="475">
        <f>INDEX(Input!$1:$1048576,AE$93,$C234*2+MIN($B234,2)+5)
+INDEX(Scenarios!AE$121:AE$200,MATCH($B234,Scenarios!$B$121:$B$200,0))</f>
        <v>0</v>
      </c>
      <c r="AF234" s="476">
        <f>INDEX(Input!$1:$1048576,AF$93,$C234*2+MIN($B234,2)+5)</f>
        <v>4.8000000000000001E-2</v>
      </c>
      <c r="AG234" s="475">
        <f>INDEX(Input!$1:$1048576,AG$93,$C234*2+MIN($B234,2)+5)
+INDEX(Scenarios!AG$121:AG$200,MATCH($B234,Scenarios!$B$121:$B$200,0))</f>
        <v>500</v>
      </c>
      <c r="AH234" s="476">
        <f>INDEX(Input!$1:$1048576,AH$93,$C234*2+MIN($B234,2)+5)</f>
        <v>0.94599999999999995</v>
      </c>
      <c r="AI234" s="475">
        <f>INDEX(Input!$1:$1048576,AI$93,$C234*2+MIN($B234,2)+5)
+INDEX(Scenarios!AI$121:AI$200,MATCH($B234,Scenarios!$B$121:$B$200,0))</f>
        <v>0</v>
      </c>
      <c r="AJ234" s="476">
        <f>INDEX(Input!$1:$1048576,AJ$93,$C234*2+MIN($B234,2)+5)</f>
        <v>0.27</v>
      </c>
      <c r="AK234" s="150">
        <f>ROUND(INDEX(Input!$1:$1048576,AK$93,$C233*2+MIN($B234,1)+5)+(Y234-VLOOKUP($C234*1000+1,$A:$HH,Y$92,FALSE)),0)</f>
        <v>2977</v>
      </c>
      <c r="AL234" s="150">
        <f>ROUND(INDEX(Input!$1:$1048576,AL$93,$C233*2+MIN($B234,1)+5)-(Y234-VLOOKUP($C234*1000+1,$A:$HH,Y$92,FALSE))/36,0)</f>
        <v>3395</v>
      </c>
      <c r="AM234" s="32" t="str">
        <f t="shared" si="663"/>
        <v>std/std/std/std</v>
      </c>
      <c r="AN234" s="32" t="str">
        <f t="shared" si="664"/>
        <v>$1000 + 0/0/0/1.9/3.9</v>
      </c>
      <c r="AO234" s="32" t="str">
        <f t="shared" si="665"/>
        <v>0/0/0/1.9/3.9</v>
      </c>
      <c r="AP234" s="32" t="str">
        <f t="shared" si="734"/>
        <v>0/0.9/1.9/3.9</v>
      </c>
      <c r="AQ234" s="536">
        <f t="shared" si="733"/>
        <v>0.41710856742491009</v>
      </c>
      <c r="AR234" s="32"/>
      <c r="AS234" s="302"/>
      <c r="AT234" s="3">
        <f t="shared" si="717"/>
        <v>34</v>
      </c>
      <c r="AU234" s="41" t="s">
        <v>121</v>
      </c>
      <c r="AV234" s="41" t="s">
        <v>116</v>
      </c>
      <c r="AW234" s="41" t="str">
        <f>INDEX(Input!$1:$1048576,AW$93,$C234*2+6)</f>
        <v>Kia</v>
      </c>
      <c r="AX234" s="41" t="str">
        <f>INDEX(Input!$1:$1048576,AX$93,$C234*2+6)</f>
        <v>Kia-LR - L2</v>
      </c>
      <c r="AY234" s="41" t="str">
        <f>IF(LEN(D234)=0,"",INDEX(Input!$1:$1048576,AY$93,$C234*2+6))</f>
        <v>Compact SUV (52)</v>
      </c>
      <c r="AZ234" s="41" t="str">
        <f>INDEX(Input!$1:$1048576,AZ$93,$C234*2+6)</f>
        <v>Kia Soul</v>
      </c>
      <c r="BA234" s="3">
        <f>INDEX(Input!$1:$1048576,BA$93,$C234*2+6)</f>
        <v>2020</v>
      </c>
      <c r="BB234" s="128">
        <f>INDEX(Input!$1:$1048576,BB$93,$C234*2+6)</f>
        <v>1</v>
      </c>
      <c r="BC234" s="128">
        <f>INDEX(Input!$1:$1048576,BC$93,$C234*2+6)</f>
        <v>0.7</v>
      </c>
      <c r="BD234" s="1">
        <f>INDEX(Input!$1:$1048576,BD$93,$C234*2+6)</f>
        <v>4.4999999999999998E-2</v>
      </c>
      <c r="BE234" s="1">
        <f>INDEX(Input!$1:$1048576,BE$93,$C234*2+6)</f>
        <v>4.4999999999999998E-2</v>
      </c>
      <c r="BF234" s="1">
        <f>INDEX(Input!$1:$1048576,BF$93,$C234*2+6)</f>
        <v>0.05</v>
      </c>
      <c r="BG234" s="1">
        <f>INDEX(Input!$1:$1048576,BG$93,$C234*2+6)</f>
        <v>5.45E-2</v>
      </c>
      <c r="BH234" s="1">
        <f>INDEX(Input!$1:$1048576,BH$93,$C234*2+6)</f>
        <v>5.45E-2</v>
      </c>
      <c r="BI234" s="1">
        <f>INDEX(Input!$1:$1048576,BI$93,$C234*2+6)</f>
        <v>0.05</v>
      </c>
      <c r="BJ234" s="1">
        <f>INDEX(Input!$1:$1048576,BJ$93,$C234*2+6)</f>
        <v>0.05</v>
      </c>
      <c r="BK234" s="1">
        <f>INDEX(Input!$1:$1048576,BK$93,$C234*2+6)</f>
        <v>0.05</v>
      </c>
      <c r="BL234" s="1">
        <f>INDEX(Input!$1:$1048576,BL$93,$C234*2+6)</f>
        <v>5.5E-2</v>
      </c>
      <c r="BM234" s="1">
        <f>INDEX(Input!$1:$1048576,BM$93,$C234*2+6)</f>
        <v>0.06</v>
      </c>
      <c r="BN234" s="1">
        <f>INDEX(Input!$1:$1048576,BN$93,$C234*2+6)</f>
        <v>4.4999999999999998E-2</v>
      </c>
      <c r="BO234" s="1">
        <f>INDEX(Input!$1:$1048576,BO$93,$C234*2+6)</f>
        <v>4.4999999999999998E-2</v>
      </c>
      <c r="BP234" s="1">
        <f>INDEX(Input!$1:$1048576,BP$93,$C234*2+6)</f>
        <v>0.05</v>
      </c>
      <c r="BQ234" s="1">
        <f>INDEX(Input!$1:$1048576,BQ$93,$C234*2+6)</f>
        <v>5.45E-2</v>
      </c>
      <c r="BR234" s="1">
        <f>INDEX(Input!$1:$1048576,BR$93,$C234*2+6)</f>
        <v>5.45E-2</v>
      </c>
      <c r="BS234" s="1">
        <f>INDEX(Input!$1:$1048576,BS$93,$C234*2+6)</f>
        <v>0.05</v>
      </c>
      <c r="BT234" s="1">
        <f>INDEX(Input!$1:$1048576,BT$93,$C234*2+6)</f>
        <v>0.05</v>
      </c>
      <c r="BU234" s="1">
        <f>INDEX(Input!$1:$1048576,BU$93,$C234*2+6)</f>
        <v>0.05</v>
      </c>
      <c r="BV234" s="1">
        <f>INDEX(Input!$1:$1048576,BV$93,$C234*2+6)</f>
        <v>5.5E-2</v>
      </c>
      <c r="BW234" s="1">
        <f>INDEX(Input!$1:$1048576,BW$93,$C234*2+6)</f>
        <v>0.06</v>
      </c>
      <c r="BX234" s="127">
        <f>INDEX(Input!$1:$1048576,BX$93,$C234*2+6)</f>
        <v>19985</v>
      </c>
      <c r="BY234" s="20">
        <f>INDEX(Input!$1:$1048576,BY$93,$C234*2+6)</f>
        <v>0.1</v>
      </c>
      <c r="BZ234" s="20">
        <f>INDEX(Input!$1:$1048576,BZ$93,$C234*2+6)</f>
        <v>0.1</v>
      </c>
      <c r="CA234" s="20">
        <f>INDEX(Input!$1:$1048576,CA$93,$C234*2+6)</f>
        <v>0.1</v>
      </c>
      <c r="CB234" s="20">
        <f>INDEX(Input!$1:$1048576,CB$93,$C234*2+6)</f>
        <v>0.1</v>
      </c>
      <c r="CC234" s="20">
        <f>INDEX(Input!$1:$1048576,CC$93,$C234*2+6)</f>
        <v>0.1</v>
      </c>
      <c r="CD234" s="384">
        <f>INDEX(Input!$1:$1048576,CD$93,$C234*2+6)</f>
        <v>0.1</v>
      </c>
      <c r="CE234" s="384">
        <f>INDEX(Input!$1:$1048576,CE$93,$C234*2+6)</f>
        <v>0.1</v>
      </c>
      <c r="CF234" s="384">
        <f>INDEX(Input!$1:$1048576,CF$93,$C234*2+6)</f>
        <v>0.1</v>
      </c>
      <c r="CG234" s="384">
        <f>INDEX(Input!$1:$1048576,CG$93,$C234*2+6)</f>
        <v>0.1</v>
      </c>
      <c r="CH234" s="384">
        <f>INDEX(Input!$1:$1048576,CH$93,$C234*2+6)</f>
        <v>0.1</v>
      </c>
      <c r="CI234" s="304">
        <f t="shared" si="735"/>
        <v>2269.7618664521319</v>
      </c>
      <c r="CJ234" s="16" t="str">
        <f>INDEX(Input!$1:$1048576,CJ$93,$C234*2+6)</f>
        <v>N</v>
      </c>
      <c r="CK234" s="1" t="str">
        <f t="shared" si="736"/>
        <v>Market</v>
      </c>
      <c r="CL234" s="1" t="str">
        <f t="shared" si="737"/>
        <v>Market</v>
      </c>
      <c r="CM234" s="1" t="str">
        <f t="shared" si="738"/>
        <v>Market</v>
      </c>
      <c r="CN234" s="1" t="str">
        <f t="shared" si="739"/>
        <v>Market</v>
      </c>
      <c r="CO234" s="1" t="str">
        <f t="shared" si="740"/>
        <v>Market</v>
      </c>
      <c r="CP234" s="304">
        <f t="shared" si="741"/>
        <v>1473</v>
      </c>
      <c r="CQ234" s="1">
        <f t="shared" si="742"/>
        <v>0</v>
      </c>
      <c r="CR234" s="1">
        <f t="shared" si="743"/>
        <v>0</v>
      </c>
      <c r="CS234" s="1">
        <f t="shared" si="744"/>
        <v>0</v>
      </c>
      <c r="CT234" s="1">
        <f t="shared" si="745"/>
        <v>1.9E-2</v>
      </c>
      <c r="CU234" s="1">
        <f t="shared" si="746"/>
        <v>3.9E-2</v>
      </c>
      <c r="CV234" s="304">
        <f t="shared" si="747"/>
        <v>56</v>
      </c>
      <c r="CW234" s="20" t="s">
        <v>122</v>
      </c>
      <c r="CX234" s="20" t="s">
        <v>122</v>
      </c>
      <c r="CY234" s="20" t="s">
        <v>122</v>
      </c>
      <c r="CZ234" s="20" t="s">
        <v>122</v>
      </c>
      <c r="DA234" s="20" t="s">
        <v>122</v>
      </c>
      <c r="DB234" s="503">
        <f t="shared" si="748"/>
        <v>0</v>
      </c>
      <c r="DC234" s="127">
        <v>0</v>
      </c>
      <c r="DD234" s="127">
        <v>0</v>
      </c>
      <c r="DE234" s="127">
        <v>0</v>
      </c>
      <c r="DF234" s="127">
        <v>0</v>
      </c>
      <c r="DG234" s="127">
        <v>0</v>
      </c>
      <c r="DH234" s="127">
        <v>0</v>
      </c>
      <c r="DI234" s="127">
        <v>0</v>
      </c>
      <c r="DJ234" s="127">
        <v>0</v>
      </c>
      <c r="DK234" s="127">
        <v>0</v>
      </c>
      <c r="DL234" s="127">
        <v>0</v>
      </c>
      <c r="DM234" s="304">
        <f>INDEX(Input!$1:$1048576,DM$93,$C234*2+6)</f>
        <v>21036.84210526316</v>
      </c>
      <c r="DN234" s="20">
        <v>0</v>
      </c>
      <c r="DO234" s="20">
        <v>0</v>
      </c>
      <c r="DP234" s="20">
        <v>0</v>
      </c>
      <c r="DQ234" s="20">
        <v>0</v>
      </c>
      <c r="DR234" s="20">
        <v>0</v>
      </c>
      <c r="DS234" s="20">
        <f>INDEX(Input!$1:$1048576,DS$93,$C234*2+6)</f>
        <v>0.6</v>
      </c>
      <c r="DT234" s="20">
        <f>INDEX(Input!$1:$1048576,DT$93,$C234*2+6)</f>
        <v>0.55000000000000004</v>
      </c>
      <c r="DU234" s="20">
        <f>INDEX(Input!$1:$1048576,DU$93,$C234*2+6)</f>
        <v>0.52</v>
      </c>
      <c r="DV234" s="20">
        <f>INDEX(Input!$1:$1048576,DV$93,$C234*2+6)</f>
        <v>0.5</v>
      </c>
      <c r="DW234" s="20">
        <f>INDEX(Input!$1:$1048576,DW$93,$C234*2+6)</f>
        <v>0.45</v>
      </c>
      <c r="DX234" s="20"/>
      <c r="DY234" s="7">
        <v>0.11338509398438899</v>
      </c>
      <c r="DZ234" s="7">
        <v>0</v>
      </c>
      <c r="EA234" s="7">
        <v>0.7010747562228381</v>
      </c>
      <c r="EB234" s="7">
        <v>0</v>
      </c>
      <c r="EC234" s="7">
        <v>0</v>
      </c>
      <c r="ED234" s="7">
        <v>0</v>
      </c>
      <c r="EE234" s="7">
        <v>0</v>
      </c>
      <c r="EF234" s="7">
        <v>0</v>
      </c>
      <c r="EG234" s="7">
        <v>0</v>
      </c>
      <c r="EH234" s="7">
        <v>1.4276666232787503E-2</v>
      </c>
      <c r="EI234" s="7">
        <v>4.0645872875365537E-2</v>
      </c>
      <c r="EJ234" s="7">
        <v>0.30744957760755209</v>
      </c>
      <c r="EK234" s="7">
        <v>0.52647856184493425</v>
      </c>
      <c r="EL234" s="7">
        <v>0.11114932143936093</v>
      </c>
      <c r="EM234" s="7">
        <v>6.1362867693131255E-2</v>
      </c>
      <c r="EN234" s="7">
        <v>6.5514677223626014E-2</v>
      </c>
      <c r="EO234" s="7">
        <v>0.73219066880704176</v>
      </c>
      <c r="EP234" s="7">
        <v>8.7638138067366672E-2</v>
      </c>
      <c r="EQ234" s="7">
        <v>7.4708718827646931E-2</v>
      </c>
      <c r="ER234" s="7">
        <v>3.9947797074318905E-2</v>
      </c>
      <c r="ES234" s="7">
        <v>0.12417728209964161</v>
      </c>
      <c r="ET234" s="7">
        <v>0.18554014979277283</v>
      </c>
      <c r="EU234" s="6">
        <v>2294</v>
      </c>
      <c r="EV234" s="6">
        <v>0</v>
      </c>
      <c r="EW234" s="6">
        <v>2294</v>
      </c>
      <c r="EX234" s="6">
        <v>0</v>
      </c>
      <c r="EY234" s="6">
        <v>3054.053185192387</v>
      </c>
      <c r="EZ234" s="6">
        <v>946</v>
      </c>
      <c r="FA234" s="6">
        <v>0</v>
      </c>
      <c r="FB234" s="6">
        <v>0</v>
      </c>
      <c r="FC234" s="6">
        <v>0</v>
      </c>
      <c r="FD234" s="6">
        <v>0</v>
      </c>
      <c r="FE234" s="6">
        <v>0</v>
      </c>
      <c r="FF234" s="6">
        <v>0</v>
      </c>
      <c r="FG234" s="6">
        <v>0</v>
      </c>
      <c r="FH234" s="6">
        <v>1173.7334184922461</v>
      </c>
      <c r="FI234" s="6">
        <v>1553.9796069512406</v>
      </c>
      <c r="FJ234" s="6">
        <v>2101.211011744741</v>
      </c>
      <c r="FK234" s="6">
        <v>1772.7139978623227</v>
      </c>
      <c r="FL234" s="6">
        <v>907.07682140966369</v>
      </c>
      <c r="FM234" s="6">
        <v>1760.053185192387</v>
      </c>
      <c r="FN234" s="6">
        <v>0</v>
      </c>
      <c r="FO234" s="6">
        <v>0</v>
      </c>
      <c r="FP234" s="6">
        <v>0</v>
      </c>
      <c r="FQ234" s="6">
        <v>0</v>
      </c>
      <c r="FR234" s="6">
        <v>0</v>
      </c>
      <c r="FS234" s="6">
        <v>0</v>
      </c>
      <c r="FT234" s="7">
        <v>0.81445985020722711</v>
      </c>
      <c r="FU234" s="7">
        <v>6.1362867693131255E-2</v>
      </c>
      <c r="FV234" s="7">
        <v>0.12417728209964161</v>
      </c>
      <c r="FW234" s="6">
        <v>2294</v>
      </c>
      <c r="FX234" s="6">
        <v>3054.053185192387</v>
      </c>
      <c r="FY234" s="6">
        <v>946</v>
      </c>
      <c r="FZ234" s="6">
        <v>1817.4615072224267</v>
      </c>
      <c r="GA234" s="6">
        <v>2173.2480667723862</v>
      </c>
      <c r="GB234" s="6">
        <v>17811.751933227613</v>
      </c>
      <c r="GC234" s="7">
        <v>1.804905384453976E-2</v>
      </c>
      <c r="GD234" s="7">
        <v>1.9096201798499971E-2</v>
      </c>
      <c r="GE234" s="7"/>
      <c r="GF234" s="7"/>
      <c r="GG234" s="7">
        <v>5.8016778218931225E-2</v>
      </c>
      <c r="GH234" s="42">
        <v>3.2588789024857148</v>
      </c>
      <c r="GI234" s="6">
        <v>8305.7250927694022</v>
      </c>
      <c r="GJ234" s="14">
        <v>0.50394797582841755</v>
      </c>
      <c r="GK234" s="14">
        <v>0.50887573065309755</v>
      </c>
      <c r="GL234" s="14">
        <v>0.49605202417158267</v>
      </c>
      <c r="GM234" s="14">
        <v>0.49112426934690262</v>
      </c>
      <c r="GO234" s="5">
        <v>343.14810671672558</v>
      </c>
      <c r="GP234" s="5">
        <v>299.3829630362892</v>
      </c>
      <c r="GQ234" s="5">
        <v>535.04305713031317</v>
      </c>
      <c r="GR234" s="5">
        <v>410.15490233172511</v>
      </c>
      <c r="GS234" s="5">
        <v>339.42744393800166</v>
      </c>
      <c r="GT234" s="5">
        <v>293.4407446948278</v>
      </c>
      <c r="GU234" s="5">
        <v>258.04012322764959</v>
      </c>
      <c r="GV234" s="39" t="s">
        <v>392</v>
      </c>
      <c r="GW234" s="5">
        <v>463.68055555555554</v>
      </c>
      <c r="GX234" s="5">
        <v>347.76041666666669</v>
      </c>
      <c r="GY234" s="5">
        <v>278.20833333333331</v>
      </c>
      <c r="GZ234" s="5">
        <v>245.48949565254571</v>
      </c>
      <c r="HA234" s="5">
        <v>227.39897390161556</v>
      </c>
      <c r="HB234" s="39">
        <v>260.81007105181402</v>
      </c>
      <c r="HC234" s="5">
        <v>245.89687499999999</v>
      </c>
      <c r="HD234" s="5">
        <v>211.55677997076018</v>
      </c>
      <c r="HE234" s="5">
        <v>214.73562331309037</v>
      </c>
      <c r="HF234" s="5">
        <v>199.03250548245612</v>
      </c>
      <c r="HG234" s="5">
        <v>192.49971491228069</v>
      </c>
      <c r="HH234" s="39">
        <v>212.38818785510401</v>
      </c>
      <c r="HI234" s="16"/>
      <c r="HJ234" s="19" t="str">
        <f t="shared" si="726"/>
        <v>On</v>
      </c>
      <c r="HK234" s="1" t="str">
        <f t="shared" si="726"/>
        <v>On</v>
      </c>
      <c r="HL234" s="16"/>
      <c r="HM234" s="639">
        <f t="shared" si="634"/>
        <v>1.2768706344444866E-2</v>
      </c>
      <c r="HN234" s="639">
        <f t="shared" si="635"/>
        <v>9.795534288915453E-4</v>
      </c>
      <c r="HO234" s="639">
        <f t="shared" si="636"/>
        <v>3.3583061774515237E-3</v>
      </c>
      <c r="HP234" s="644">
        <f>(FT234*$GD234-HM234)/$JF234*INDEX(Input!$1:$1048576,$JG$93,$C234*2+6)</f>
        <v>202.31930047408895</v>
      </c>
      <c r="HQ234" s="644">
        <f>(FU234*$GD234-HN234)/$JF234*INDEX(Input!$1:$1048576,$JG$93,$C234*2+6)</f>
        <v>13.968883944784064</v>
      </c>
      <c r="HR234" s="644">
        <f>(FV234*$GD234-HO234)/$JF234*INDEX(Input!$1:$1048576,$JG$93,$C234*2+6)</f>
        <v>-71.716949851940655</v>
      </c>
      <c r="HS234" s="644">
        <f t="shared" si="749"/>
        <v>-66.056141738328662</v>
      </c>
      <c r="HT234" s="644">
        <f t="shared" si="638"/>
        <v>69.763007688280169</v>
      </c>
      <c r="HU234" s="644">
        <f t="shared" si="639"/>
        <v>16.660274763509616</v>
      </c>
      <c r="HV234" s="648">
        <f t="shared" si="640"/>
        <v>0</v>
      </c>
      <c r="HW234" s="648">
        <f t="shared" si="641"/>
        <v>0</v>
      </c>
      <c r="HX234" s="648">
        <f t="shared" si="642"/>
        <v>0</v>
      </c>
      <c r="HY234" s="644">
        <f>INDEX(Input!$1:$1048576,HY$93,$C234*2+6)*INDEX(Input!$1:$1048576,$JG$93,$C234*2+6)</f>
        <v>451</v>
      </c>
      <c r="HZ234" s="644">
        <f>INDEX(Input!$1:$1048576,HZ$93,$C234*2+6)*INDEX(Input!$1:$1048576,$JG$93,$C234*2+6)</f>
        <v>577</v>
      </c>
      <c r="IA234" s="644">
        <f>INDEX(Input!$1:$1048576,IA$93,$C234*2+6)*INDEX(Input!$1:$1048576,$JG$93,$C234*2+6)</f>
        <v>215</v>
      </c>
      <c r="IB234" s="644">
        <f t="shared" si="666"/>
        <v>587.26315873576038</v>
      </c>
      <c r="IC234" s="644">
        <f t="shared" si="667"/>
        <v>660.73189163306415</v>
      </c>
      <c r="ID234" s="644">
        <f>IF(AND(INDEX(Input!$1:$1048576,IA$93,$C234*2+7)="TOS",Y234&lt;=INDEX(Y:Y,MATCH(C234*1000+2,A:A))),0,1)*MAX(IA234+HR234+HU234+HX234,0%)</f>
        <v>159.94332491156896</v>
      </c>
      <c r="IE234" s="128">
        <f t="shared" si="750"/>
        <v>0.41710856742491009</v>
      </c>
      <c r="IF234" s="128">
        <f t="shared" si="643"/>
        <v>0.46929034909036993</v>
      </c>
      <c r="IG234" s="128">
        <f t="shared" si="644"/>
        <v>0.11360108348471996</v>
      </c>
      <c r="IH234" s="21"/>
      <c r="II234" s="19">
        <f t="shared" si="645"/>
        <v>1252</v>
      </c>
      <c r="IJ234" s="19">
        <f t="shared" si="646"/>
        <v>2011.9658773055378</v>
      </c>
      <c r="IK234" s="19">
        <f t="shared" si="647"/>
        <v>919</v>
      </c>
      <c r="IL234" s="19">
        <f t="shared" si="669"/>
        <v>1042</v>
      </c>
      <c r="IM234" s="19">
        <f t="shared" si="648"/>
        <v>1042.0873078868492</v>
      </c>
      <c r="IN234" s="19">
        <f t="shared" si="649"/>
        <v>27</v>
      </c>
      <c r="IO234" s="39">
        <f t="shared" si="650"/>
        <v>0</v>
      </c>
      <c r="IP234" s="39">
        <f t="shared" si="651"/>
        <v>0</v>
      </c>
      <c r="IQ234" s="39">
        <f t="shared" si="652"/>
        <v>0</v>
      </c>
      <c r="IR234" s="39">
        <v>0</v>
      </c>
      <c r="IS234" s="39">
        <v>0</v>
      </c>
      <c r="IT234" s="39">
        <v>0</v>
      </c>
      <c r="IU234" s="39">
        <v>0</v>
      </c>
      <c r="IV234" s="39">
        <v>0</v>
      </c>
      <c r="IW234" s="39">
        <v>0</v>
      </c>
      <c r="IX234" s="39">
        <f>INDEX(Input!$1:$1048576,IX$93,$C234*2+6)+INDEX(Input!$1:$1048576,IX$94,$C234*2+6)</f>
        <v>1294</v>
      </c>
      <c r="IY234" s="39">
        <f>INDEX(Input!$1:$1048576,IY$93,$C234*2+6)+INDEX(Input!$1:$1048576,IY$94,$C234*2+6)</f>
        <v>2154.0624533823611</v>
      </c>
      <c r="IZ234" s="39">
        <f>INDEX(Input!$1:$1048576,IZ$93,$C234*2+6)+INDEX(Input!$1:$1048576,IZ$94,$C234*2+6)</f>
        <v>3677.7164157747848</v>
      </c>
      <c r="JA234" s="19">
        <f t="shared" si="670"/>
        <v>2336</v>
      </c>
      <c r="JB234" s="19">
        <f t="shared" si="671"/>
        <v>3196.1497612692101</v>
      </c>
      <c r="JC234" s="19">
        <f t="shared" si="672"/>
        <v>3704.7164157747848</v>
      </c>
      <c r="JD234" s="19">
        <f t="shared" si="673"/>
        <v>2895.1476495513639</v>
      </c>
      <c r="JE234" s="21"/>
      <c r="JF234" s="1">
        <f t="shared" si="653"/>
        <v>1.7106565950787935E-2</v>
      </c>
      <c r="JG234" s="15">
        <f>INDEX(Input!$1:$1048576,JG$93,$C234*2+6)/(1+VLOOKUP(C234*1000+INDEX(Input!$1:$1048576,JG$93+1,$C234*2+6),$A:$KK,$JK$92,FALSE))</f>
        <v>1243</v>
      </c>
      <c r="JH234" s="1">
        <f t="shared" si="674"/>
        <v>0.11630831421313947</v>
      </c>
      <c r="JI234" s="1">
        <f t="shared" si="675"/>
        <v>1.6385471209542334E-2</v>
      </c>
      <c r="JJ234" s="1">
        <f t="shared" si="731"/>
        <v>0</v>
      </c>
      <c r="JK234" s="1">
        <f t="shared" si="732"/>
        <v>0.13269378542268181</v>
      </c>
      <c r="JL234" s="15">
        <f t="shared" si="678"/>
        <v>164.9383752803935</v>
      </c>
      <c r="JM234" s="15">
        <f t="shared" si="702"/>
        <v>1407.9383752803935</v>
      </c>
      <c r="JN234" s="21"/>
      <c r="JO234" s="19">
        <f>INDEX(Input!$1:$1048576,JO$93,$C234*2+6)</f>
        <v>5995.5</v>
      </c>
      <c r="JP234" s="19">
        <f>INDEX(Input!$1:$1048576,JP$93,$C234*2+6)</f>
        <v>2105.548724853742</v>
      </c>
      <c r="JQ234" s="39">
        <f t="shared" si="688"/>
        <v>3100.3523504486361</v>
      </c>
      <c r="JR234" s="39">
        <f t="shared" si="705"/>
        <v>789.5989246976219</v>
      </c>
      <c r="JS234" s="39">
        <f t="shared" si="690"/>
        <v>4.0761894779061976</v>
      </c>
      <c r="JT234" s="39">
        <f t="shared" si="680"/>
        <v>1.4589924129129961</v>
      </c>
      <c r="JU234" s="385">
        <f>(JQ234*JM234-INDEX(Input!$1:$1048576,Input!A$18,$C234*2+6)*JL234*INDEX(Input!$1:$1048576,Input!A$19,$C234*2+6))/1000000</f>
        <v>4.3651050510874017</v>
      </c>
      <c r="JV234" s="39">
        <f t="shared" si="712"/>
        <v>-0.4701043839193968</v>
      </c>
      <c r="JW234" s="1">
        <f t="shared" si="703"/>
        <v>-9.7225237135717957E-2</v>
      </c>
      <c r="JX234" s="19">
        <f t="shared" si="694"/>
        <v>8845.6819732383356</v>
      </c>
      <c r="JZ234" s="341"/>
      <c r="KA234" s="342"/>
      <c r="KB234" s="469">
        <f t="shared" si="691"/>
        <v>2.5660492421988774</v>
      </c>
      <c r="KI234" s="473">
        <f t="shared" si="751"/>
        <v>136.26315873576038</v>
      </c>
      <c r="KJ234" s="473">
        <f t="shared" si="752"/>
        <v>83.731891633064151</v>
      </c>
      <c r="KK234" s="473">
        <f t="shared" si="682"/>
        <v>-55.056675088431035</v>
      </c>
      <c r="KN234" s="544">
        <f t="shared" si="695"/>
        <v>2002</v>
      </c>
      <c r="KO234" s="541">
        <f t="shared" si="657"/>
        <v>0.12602024101774179</v>
      </c>
      <c r="KP234" s="546">
        <f t="shared" si="658"/>
        <v>886.43935585957058</v>
      </c>
      <c r="KQ234" s="546">
        <f t="shared" si="659"/>
        <v>751.46731011789097</v>
      </c>
      <c r="KR234" s="548">
        <f t="shared" si="660"/>
        <v>2.5364029573336708</v>
      </c>
      <c r="KS234" s="548">
        <f t="shared" si="661"/>
        <v>2.9919696750966356</v>
      </c>
      <c r="KT234" s="473">
        <f t="shared" si="693"/>
        <v>843.26993010479111</v>
      </c>
      <c r="KU234" s="663">
        <f t="shared" si="683"/>
        <v>4.6223575359865787</v>
      </c>
      <c r="KV234" s="117"/>
    </row>
    <row r="235" spans="1:308" s="26" customFormat="1" ht="15">
      <c r="A235" s="561">
        <f t="shared" si="662"/>
        <v>2035</v>
      </c>
      <c r="B235" s="561">
        <f t="shared" si="684"/>
        <v>35</v>
      </c>
      <c r="C235" s="561">
        <f t="shared" si="105"/>
        <v>2</v>
      </c>
      <c r="D235" s="561" t="str">
        <f t="shared" si="728"/>
        <v xml:space="preserve">250 CC, 0/0/0.9/3.9, </v>
      </c>
      <c r="E235" s="475">
        <f>INDEX(Input!$1:$1048576,E$93,$C235*2+MIN($B235,2)+5)
+INDEX(Scenarios!E$121:E$200,MATCH($B235,Scenarios!$B$121:$B$200,0))</f>
        <v>1519.7618664521319</v>
      </c>
      <c r="F235" s="475">
        <f>INDEX(Input!$1:$1048576,F$93,$C235*2+MIN($B235,2)+5)
+INDEX(Scenarios!F$121:F$200,MATCH($B235,Scenarios!$B$121:$B$200,0))</f>
        <v>0</v>
      </c>
      <c r="G235" s="475">
        <f>INDEX(Input!$1:$1048576,G$93,$C235*2+MIN($B235,2)+5)
+INDEX(Scenarios!G$121:G$200,MATCH($B235,Scenarios!$B$121:$B$200,0))</f>
        <v>0</v>
      </c>
      <c r="H235" s="475">
        <f>INDEX(Input!$1:$1048576,H$93,$C235*2+MIN($B235,2)+5)
+INDEX(Scenarios!H$121:H$200,MATCH($B235,Scenarios!$B$121:$B$200,0))</f>
        <v>0</v>
      </c>
      <c r="I235" s="476">
        <f>INDEX(Input!$1:$1048576,I$93,$C235*2+MIN($B235,2)+5)</f>
        <v>0.7</v>
      </c>
      <c r="J235" s="476" t="str">
        <f>INDEX(Input!$1:$1048576,J$93,$C235*2+MIN($B235,2)+5)</f>
        <v>Market</v>
      </c>
      <c r="K235" s="476" t="str">
        <f>INDEX(Input!$1:$1048576,K$93,$C235*2+MIN($B235,2)+5)</f>
        <v>Market</v>
      </c>
      <c r="L235" s="476" t="str">
        <f>INDEX(Input!$1:$1048576,L$93,$C235*2+MIN($B235,2)+5)</f>
        <v>Market</v>
      </c>
      <c r="M235" s="476" t="str">
        <f>INDEX(Input!$1:$1048576,M$93,$C235*2+MIN($B235,2)+5)</f>
        <v>Market</v>
      </c>
      <c r="N235" s="476" t="str">
        <f>INDEX(Input!$1:$1048576,N$93,$C235*2+MIN($B235,2)+5)</f>
        <v>Market</v>
      </c>
      <c r="O235" s="476" t="str">
        <f>INDEX(Input!$1:$1048576,O$93,$C235*2+MIN($B235,2)+5)</f>
        <v>Market</v>
      </c>
      <c r="P235" s="476" t="str">
        <f>INDEX(Input!$1:$1048576,P$93,$C235*2+MIN($B235,2)+5)</f>
        <v>N</v>
      </c>
      <c r="Q235" s="477">
        <f>INDEX(Input!$1:$1048576,Q$93,$C235*2+MIN($B235,2)+5)
+INDEX(Scenarios!Q$121:Q$200,MATCH($B235,Scenarios!$B$121:$B$200,0))</f>
        <v>0</v>
      </c>
      <c r="R235" s="478">
        <f>IFERROR(MAX(0,INDEX(Input!$1:$1048576,R$93,$C235*2+MIN($B235,2)+5)
+INDEX(Scenarios!R$121:R$200,MATCH($B235,Scenarios!$B$121:$B$200,0)),),"Market")</f>
        <v>0</v>
      </c>
      <c r="S235" s="478">
        <f>IFERROR(MAX(0,INDEX(Input!$1:$1048576,S$93,$C235*2+MIN($B235,2)+5)
+INDEX(Scenarios!S$121:S$200,MATCH($B235,Scenarios!$B$121:$B$200,0)),),"Market")</f>
        <v>0</v>
      </c>
      <c r="T235" s="478">
        <f>IFERROR(MAX(0,INDEX(Input!$1:$1048576,T$93,$C235*2+MIN($B235,2)+5)
+INDEX(Scenarios!T$121:T$200,MATCH($B235,Scenarios!$B$121:$B$200,0)),),"Market")</f>
        <v>0</v>
      </c>
      <c r="U235" s="478">
        <f>IFERROR(MAX(0,INDEX(Input!$1:$1048576,U$93,$C235*2+MIN($B235,2)+5)
+INDEX(Scenarios!U$121:U$200,MATCH($B235,Scenarios!$B$121:$B$200,0)),),"Market")</f>
        <v>0</v>
      </c>
      <c r="V235" s="478">
        <f>IFERROR(MAX(0,INDEX(Input!$1:$1048576,V$93,$C235*2+MIN($B235,2)+5)
+INDEX(Scenarios!V$121:V$200,MATCH($B235,Scenarios!$B$121:$B$200,0)),),"Market")</f>
        <v>8.9999999999999993E-3</v>
      </c>
      <c r="W235" s="885">
        <f>IFERROR(MAX(0,INDEX(Input!$1:$1048576,W$93,$C235*2+MIN($B235,2)+5)-0%,),"Market")</f>
        <v>3.9E-2</v>
      </c>
      <c r="X235" s="476" t="str">
        <f>INDEX(Input!$1:$1048576,X$93,$C235*2+MIN($B235,2)+5)</f>
        <v>Y</v>
      </c>
      <c r="Y235" s="475">
        <f>INDEX(Input!$1:$1048576,Y$93,$C235*2+MIN($B235,2)+5)
++INDEX(Scenarios!Y$121:Y$200,MATCH($B235,Scenarios!$B$121:$B$200,0))</f>
        <v>56</v>
      </c>
      <c r="Z235" s="477">
        <f>INDEX(Input!$1:$1048576,Z$93,$C235*2+MIN($B235,2)+5)
+INDEX(Scenarios!Z$121:Z$200,MATCH($B235,Scenarios!$B$121:$B$200,0))</f>
        <v>0</v>
      </c>
      <c r="AA235" s="475">
        <f>INDEX(Input!$1:$1048576,AA$93,$C235*2+MIN($B235,2)+5)
+INDEX(Scenarios!AA$121:AA$200,MATCH($B235,Scenarios!$B$121:$B$200,0))</f>
        <v>0</v>
      </c>
      <c r="AB235" s="476">
        <f>INDEX(Input!$1:$1048576,AB$93,$C235*2+MIN($B235,2)+5)</f>
        <v>0.27</v>
      </c>
      <c r="AC235" s="475">
        <f>INDEX(Input!$1:$1048576,AC$93,$C235*2+MIN($B235,2)+5)
+INDEX(Scenarios!AC$121:AC$200,MATCH($B235,Scenarios!$B$121:$B$200,0))</f>
        <v>0</v>
      </c>
      <c r="AD235" s="476">
        <f>INDEX(Input!$1:$1048576,AD$93,$C235*2+MIN($B235,2)+5)</f>
        <v>0.27</v>
      </c>
      <c r="AE235" s="475">
        <f>INDEX(Input!$1:$1048576,AE$93,$C235*2+MIN($B235,2)+5)
+INDEX(Scenarios!AE$121:AE$200,MATCH($B235,Scenarios!$B$121:$B$200,0))</f>
        <v>0</v>
      </c>
      <c r="AF235" s="476">
        <f>INDEX(Input!$1:$1048576,AF$93,$C235*2+MIN($B235,2)+5)</f>
        <v>4.8000000000000001E-2</v>
      </c>
      <c r="AG235" s="475">
        <f>INDEX(Input!$1:$1048576,AG$93,$C235*2+MIN($B235,2)+5)
+INDEX(Scenarios!AG$121:AG$200,MATCH($B235,Scenarios!$B$121:$B$200,0))</f>
        <v>500</v>
      </c>
      <c r="AH235" s="476">
        <f>INDEX(Input!$1:$1048576,AH$93,$C235*2+MIN($B235,2)+5)</f>
        <v>0.94599999999999995</v>
      </c>
      <c r="AI235" s="475">
        <f>INDEX(Input!$1:$1048576,AI$93,$C235*2+MIN($B235,2)+5)
+INDEX(Scenarios!AI$121:AI$200,MATCH($B235,Scenarios!$B$121:$B$200,0))</f>
        <v>0</v>
      </c>
      <c r="AJ235" s="476">
        <f>INDEX(Input!$1:$1048576,AJ$93,$C235*2+MIN($B235,2)+5)</f>
        <v>0.27</v>
      </c>
      <c r="AK235" s="150">
        <f>ROUND(INDEX(Input!$1:$1048576,AK$93,$C234*2+MIN($B235,1)+5)+(Y235-VLOOKUP($C235*1000+1,$A:$HH,Y$92,FALSE)),0)</f>
        <v>2977</v>
      </c>
      <c r="AL235" s="150">
        <f>ROUND(INDEX(Input!$1:$1048576,AL$93,$C234*2+MIN($B235,1)+5)-(Y235-VLOOKUP($C235*1000+1,$A:$HH,Y$92,FALSE))/36,0)</f>
        <v>3395</v>
      </c>
      <c r="AM235" s="32" t="str">
        <f t="shared" si="663"/>
        <v>std/std/std/std</v>
      </c>
      <c r="AN235" s="32" t="str">
        <f t="shared" si="664"/>
        <v>$0 + 0/0/0/0.9/3.9</v>
      </c>
      <c r="AO235" s="32" t="str">
        <f t="shared" si="665"/>
        <v>0/0/0/0.9/3.9</v>
      </c>
      <c r="AP235" s="32" t="str">
        <f t="shared" si="734"/>
        <v>0/0/0.9/3.9</v>
      </c>
      <c r="AQ235" s="536">
        <f t="shared" si="733"/>
        <v>0.3727570328281396</v>
      </c>
      <c r="AR235" s="32"/>
      <c r="AS235" s="302"/>
      <c r="AT235" s="3">
        <f t="shared" si="717"/>
        <v>35</v>
      </c>
      <c r="AU235" s="41" t="s">
        <v>121</v>
      </c>
      <c r="AV235" s="41" t="s">
        <v>116</v>
      </c>
      <c r="AW235" s="41" t="str">
        <f>INDEX(Input!$1:$1048576,AW$93,$C235*2+6)</f>
        <v>Kia</v>
      </c>
      <c r="AX235" s="41" t="str">
        <f>INDEX(Input!$1:$1048576,AX$93,$C235*2+6)</f>
        <v>Kia-LR - L2</v>
      </c>
      <c r="AY235" s="41" t="str">
        <f>IF(LEN(D235)=0,"",INDEX(Input!$1:$1048576,AY$93,$C235*2+6))</f>
        <v>Compact SUV (52)</v>
      </c>
      <c r="AZ235" s="41" t="str">
        <f>INDEX(Input!$1:$1048576,AZ$93,$C235*2+6)</f>
        <v>Kia Soul</v>
      </c>
      <c r="BA235" s="3">
        <f>INDEX(Input!$1:$1048576,BA$93,$C235*2+6)</f>
        <v>2020</v>
      </c>
      <c r="BB235" s="128">
        <f>INDEX(Input!$1:$1048576,BB$93,$C235*2+6)</f>
        <v>1</v>
      </c>
      <c r="BC235" s="128">
        <f>INDEX(Input!$1:$1048576,BC$93,$C235*2+6)</f>
        <v>0.7</v>
      </c>
      <c r="BD235" s="1">
        <f>INDEX(Input!$1:$1048576,BD$93,$C235*2+6)</f>
        <v>4.4999999999999998E-2</v>
      </c>
      <c r="BE235" s="1">
        <f>INDEX(Input!$1:$1048576,BE$93,$C235*2+6)</f>
        <v>4.4999999999999998E-2</v>
      </c>
      <c r="BF235" s="1">
        <f>INDEX(Input!$1:$1048576,BF$93,$C235*2+6)</f>
        <v>0.05</v>
      </c>
      <c r="BG235" s="1">
        <f>INDEX(Input!$1:$1048576,BG$93,$C235*2+6)</f>
        <v>5.45E-2</v>
      </c>
      <c r="BH235" s="1">
        <f>INDEX(Input!$1:$1048576,BH$93,$C235*2+6)</f>
        <v>5.45E-2</v>
      </c>
      <c r="BI235" s="1">
        <f>INDEX(Input!$1:$1048576,BI$93,$C235*2+6)</f>
        <v>0.05</v>
      </c>
      <c r="BJ235" s="1">
        <f>INDEX(Input!$1:$1048576,BJ$93,$C235*2+6)</f>
        <v>0.05</v>
      </c>
      <c r="BK235" s="1">
        <f>INDEX(Input!$1:$1048576,BK$93,$C235*2+6)</f>
        <v>0.05</v>
      </c>
      <c r="BL235" s="1">
        <f>INDEX(Input!$1:$1048576,BL$93,$C235*2+6)</f>
        <v>5.5E-2</v>
      </c>
      <c r="BM235" s="1">
        <f>INDEX(Input!$1:$1048576,BM$93,$C235*2+6)</f>
        <v>0.06</v>
      </c>
      <c r="BN235" s="1">
        <f>INDEX(Input!$1:$1048576,BN$93,$C235*2+6)</f>
        <v>4.4999999999999998E-2</v>
      </c>
      <c r="BO235" s="1">
        <f>INDEX(Input!$1:$1048576,BO$93,$C235*2+6)</f>
        <v>4.4999999999999998E-2</v>
      </c>
      <c r="BP235" s="1">
        <f>INDEX(Input!$1:$1048576,BP$93,$C235*2+6)</f>
        <v>0.05</v>
      </c>
      <c r="BQ235" s="1">
        <f>INDEX(Input!$1:$1048576,BQ$93,$C235*2+6)</f>
        <v>5.45E-2</v>
      </c>
      <c r="BR235" s="1">
        <f>INDEX(Input!$1:$1048576,BR$93,$C235*2+6)</f>
        <v>5.45E-2</v>
      </c>
      <c r="BS235" s="1">
        <f>INDEX(Input!$1:$1048576,BS$93,$C235*2+6)</f>
        <v>0.05</v>
      </c>
      <c r="BT235" s="1">
        <f>INDEX(Input!$1:$1048576,BT$93,$C235*2+6)</f>
        <v>0.05</v>
      </c>
      <c r="BU235" s="1">
        <f>INDEX(Input!$1:$1048576,BU$93,$C235*2+6)</f>
        <v>0.05</v>
      </c>
      <c r="BV235" s="1">
        <f>INDEX(Input!$1:$1048576,BV$93,$C235*2+6)</f>
        <v>5.5E-2</v>
      </c>
      <c r="BW235" s="1">
        <f>INDEX(Input!$1:$1048576,BW$93,$C235*2+6)</f>
        <v>0.06</v>
      </c>
      <c r="BX235" s="127">
        <f>INDEX(Input!$1:$1048576,BX$93,$C235*2+6)</f>
        <v>19985</v>
      </c>
      <c r="BY235" s="20">
        <f>INDEX(Input!$1:$1048576,BY$93,$C235*2+6)</f>
        <v>0.1</v>
      </c>
      <c r="BZ235" s="20">
        <f>INDEX(Input!$1:$1048576,BZ$93,$C235*2+6)</f>
        <v>0.1</v>
      </c>
      <c r="CA235" s="20">
        <f>INDEX(Input!$1:$1048576,CA$93,$C235*2+6)</f>
        <v>0.1</v>
      </c>
      <c r="CB235" s="20">
        <f>INDEX(Input!$1:$1048576,CB$93,$C235*2+6)</f>
        <v>0.1</v>
      </c>
      <c r="CC235" s="20">
        <f>INDEX(Input!$1:$1048576,CC$93,$C235*2+6)</f>
        <v>0.1</v>
      </c>
      <c r="CD235" s="384">
        <f>INDEX(Input!$1:$1048576,CD$93,$C235*2+6)</f>
        <v>0.1</v>
      </c>
      <c r="CE235" s="384">
        <f>INDEX(Input!$1:$1048576,CE$93,$C235*2+6)</f>
        <v>0.1</v>
      </c>
      <c r="CF235" s="384">
        <f>INDEX(Input!$1:$1048576,CF$93,$C235*2+6)</f>
        <v>0.1</v>
      </c>
      <c r="CG235" s="384">
        <f>INDEX(Input!$1:$1048576,CG$93,$C235*2+6)</f>
        <v>0.1</v>
      </c>
      <c r="CH235" s="384">
        <f>INDEX(Input!$1:$1048576,CH$93,$C235*2+6)</f>
        <v>0.1</v>
      </c>
      <c r="CI235" s="304">
        <f t="shared" si="735"/>
        <v>1519.7618664521319</v>
      </c>
      <c r="CJ235" s="16" t="str">
        <f>INDEX(Input!$1:$1048576,CJ$93,$C235*2+6)</f>
        <v>N</v>
      </c>
      <c r="CK235" s="1" t="str">
        <f t="shared" si="736"/>
        <v>Market</v>
      </c>
      <c r="CL235" s="1" t="str">
        <f t="shared" si="737"/>
        <v>Market</v>
      </c>
      <c r="CM235" s="1" t="str">
        <f t="shared" si="738"/>
        <v>Market</v>
      </c>
      <c r="CN235" s="1" t="str">
        <f t="shared" si="739"/>
        <v>Market</v>
      </c>
      <c r="CO235" s="1" t="str">
        <f t="shared" si="740"/>
        <v>Market</v>
      </c>
      <c r="CP235" s="304">
        <f t="shared" si="741"/>
        <v>473</v>
      </c>
      <c r="CQ235" s="1">
        <f t="shared" si="742"/>
        <v>0</v>
      </c>
      <c r="CR235" s="1">
        <f t="shared" si="743"/>
        <v>0</v>
      </c>
      <c r="CS235" s="1">
        <f t="shared" si="744"/>
        <v>0</v>
      </c>
      <c r="CT235" s="1">
        <f t="shared" si="745"/>
        <v>8.9999999999999993E-3</v>
      </c>
      <c r="CU235" s="1">
        <f t="shared" si="746"/>
        <v>3.9E-2</v>
      </c>
      <c r="CV235" s="304">
        <f t="shared" si="747"/>
        <v>56</v>
      </c>
      <c r="CW235" s="20" t="s">
        <v>122</v>
      </c>
      <c r="CX235" s="20" t="s">
        <v>122</v>
      </c>
      <c r="CY235" s="20" t="s">
        <v>122</v>
      </c>
      <c r="CZ235" s="20" t="s">
        <v>122</v>
      </c>
      <c r="DA235" s="20" t="s">
        <v>122</v>
      </c>
      <c r="DB235" s="503">
        <f t="shared" si="748"/>
        <v>0</v>
      </c>
      <c r="DC235" s="127">
        <v>0</v>
      </c>
      <c r="DD235" s="127">
        <v>0</v>
      </c>
      <c r="DE235" s="127">
        <v>0</v>
      </c>
      <c r="DF235" s="127">
        <v>0</v>
      </c>
      <c r="DG235" s="127">
        <v>0</v>
      </c>
      <c r="DH235" s="127">
        <v>0</v>
      </c>
      <c r="DI235" s="127">
        <v>0</v>
      </c>
      <c r="DJ235" s="127">
        <v>0</v>
      </c>
      <c r="DK235" s="127">
        <v>0</v>
      </c>
      <c r="DL235" s="127">
        <v>0</v>
      </c>
      <c r="DM235" s="304">
        <f>INDEX(Input!$1:$1048576,DM$93,$C235*2+6)</f>
        <v>21036.84210526316</v>
      </c>
      <c r="DN235" s="20">
        <v>0</v>
      </c>
      <c r="DO235" s="20">
        <v>0</v>
      </c>
      <c r="DP235" s="20">
        <v>0</v>
      </c>
      <c r="DQ235" s="20">
        <v>0</v>
      </c>
      <c r="DR235" s="20">
        <v>0</v>
      </c>
      <c r="DS235" s="20">
        <f>INDEX(Input!$1:$1048576,DS$93,$C235*2+6)</f>
        <v>0.6</v>
      </c>
      <c r="DT235" s="20">
        <f>INDEX(Input!$1:$1048576,DT$93,$C235*2+6)</f>
        <v>0.55000000000000004</v>
      </c>
      <c r="DU235" s="20">
        <f>INDEX(Input!$1:$1048576,DU$93,$C235*2+6)</f>
        <v>0.52</v>
      </c>
      <c r="DV235" s="20">
        <f>INDEX(Input!$1:$1048576,DV$93,$C235*2+6)</f>
        <v>0.5</v>
      </c>
      <c r="DW235" s="20">
        <f>INDEX(Input!$1:$1048576,DW$93,$C235*2+6)</f>
        <v>0.45</v>
      </c>
      <c r="DX235" s="20"/>
      <c r="DY235" s="7">
        <v>9.6957258743058064E-2</v>
      </c>
      <c r="DZ235" s="7">
        <v>0</v>
      </c>
      <c r="EA235" s="7">
        <v>0.66476676390090794</v>
      </c>
      <c r="EB235" s="7">
        <v>0</v>
      </c>
      <c r="EC235" s="7">
        <v>0</v>
      </c>
      <c r="ED235" s="7">
        <v>0</v>
      </c>
      <c r="EE235" s="7">
        <v>0</v>
      </c>
      <c r="EF235" s="7">
        <v>0</v>
      </c>
      <c r="EG235" s="7">
        <v>0</v>
      </c>
      <c r="EH235" s="7">
        <v>1.1228107061294706E-2</v>
      </c>
      <c r="EI235" s="7">
        <v>3.1961144934949413E-2</v>
      </c>
      <c r="EJ235" s="7">
        <v>0.24183010039155478</v>
      </c>
      <c r="EK235" s="7">
        <v>0.6275051874048535</v>
      </c>
      <c r="EL235" s="7">
        <v>8.7475460207347366E-2</v>
      </c>
      <c r="EM235" s="7">
        <v>6.4741279783526284E-2</v>
      </c>
      <c r="EN235" s="7">
        <v>6.5530898598531617E-2</v>
      </c>
      <c r="EO235" s="7">
        <v>0.73221247543226198</v>
      </c>
      <c r="EP235" s="7">
        <v>8.76044552705222E-2</v>
      </c>
      <c r="EQ235" s="7">
        <v>7.4714195269818845E-2</v>
      </c>
      <c r="ER235" s="7">
        <v>3.9937975428865666E-2</v>
      </c>
      <c r="ES235" s="7">
        <v>0.17353469757250781</v>
      </c>
      <c r="ET235" s="7">
        <v>0.23827597735603406</v>
      </c>
      <c r="EU235" s="6">
        <v>1544</v>
      </c>
      <c r="EV235" s="6">
        <v>0</v>
      </c>
      <c r="EW235" s="6">
        <v>1544</v>
      </c>
      <c r="EX235" s="6">
        <v>0</v>
      </c>
      <c r="EY235" s="6">
        <v>2357.0361417229915</v>
      </c>
      <c r="EZ235" s="6">
        <v>946</v>
      </c>
      <c r="FA235" s="6">
        <v>0</v>
      </c>
      <c r="FB235" s="6">
        <v>0</v>
      </c>
      <c r="FC235" s="6">
        <v>0</v>
      </c>
      <c r="FD235" s="6">
        <v>0</v>
      </c>
      <c r="FE235" s="6">
        <v>0</v>
      </c>
      <c r="FF235" s="6">
        <v>0</v>
      </c>
      <c r="FG235" s="6">
        <v>0</v>
      </c>
      <c r="FH235" s="6">
        <v>1173.732768369478</v>
      </c>
      <c r="FI235" s="6">
        <v>1553.9796069512395</v>
      </c>
      <c r="FJ235" s="6">
        <v>2101.211011744741</v>
      </c>
      <c r="FK235" s="6">
        <v>2251.3078348034683</v>
      </c>
      <c r="FL235" s="6">
        <v>907.07682140966267</v>
      </c>
      <c r="FM235" s="6">
        <v>2063.0361417229915</v>
      </c>
      <c r="FN235" s="6">
        <v>0</v>
      </c>
      <c r="FO235" s="6">
        <v>0</v>
      </c>
      <c r="FP235" s="6">
        <v>0</v>
      </c>
      <c r="FQ235" s="6">
        <v>0</v>
      </c>
      <c r="FR235" s="6">
        <v>0</v>
      </c>
      <c r="FS235" s="6">
        <v>0</v>
      </c>
      <c r="FT235" s="7">
        <v>0.76172402264396599</v>
      </c>
      <c r="FU235" s="7">
        <v>6.4741279783526284E-2</v>
      </c>
      <c r="FV235" s="7">
        <v>0.17353469757250781</v>
      </c>
      <c r="FW235" s="6">
        <v>1544</v>
      </c>
      <c r="FX235" s="6">
        <v>2357.0361417229915</v>
      </c>
      <c r="FY235" s="6">
        <v>946</v>
      </c>
      <c r="FZ235" s="6">
        <v>1817.4615072224267</v>
      </c>
      <c r="GA235" s="6">
        <v>1492.8632511770475</v>
      </c>
      <c r="GB235" s="6">
        <v>18492.136748822952</v>
      </c>
      <c r="GC235" s="7">
        <v>1.804905384453976E-2</v>
      </c>
      <c r="GD235" s="7">
        <v>1.766422023605228E-2</v>
      </c>
      <c r="GE235" s="7"/>
      <c r="GF235" s="7"/>
      <c r="GG235" s="7">
        <v>-2.1321539167766457E-2</v>
      </c>
      <c r="GH235" s="42">
        <v>1.3127333629551043</v>
      </c>
      <c r="GI235" s="6">
        <v>16716.823092505074</v>
      </c>
      <c r="GJ235" s="14">
        <v>0.50394797582841755</v>
      </c>
      <c r="GK235" s="14">
        <v>0.50887573065309755</v>
      </c>
      <c r="GL235" s="14">
        <v>0.49605202417158262</v>
      </c>
      <c r="GM235" s="14">
        <v>0.4911242693469024</v>
      </c>
      <c r="GO235" s="5">
        <v>343.14810671672558</v>
      </c>
      <c r="GP235" s="5">
        <v>313.69153224305785</v>
      </c>
      <c r="GQ235" s="5">
        <v>535.04305713031317</v>
      </c>
      <c r="GR235" s="5">
        <v>410.15490233172511</v>
      </c>
      <c r="GS235" s="5">
        <v>339.42744393800166</v>
      </c>
      <c r="GT235" s="5">
        <v>293.4407446948278</v>
      </c>
      <c r="GU235" s="5">
        <v>258.04012322764959</v>
      </c>
      <c r="GV235" s="39" t="s">
        <v>392</v>
      </c>
      <c r="GW235" s="5">
        <v>491.45833333333331</v>
      </c>
      <c r="GX235" s="5">
        <v>368.59375</v>
      </c>
      <c r="GY235" s="5">
        <v>294.875</v>
      </c>
      <c r="GZ235" s="5">
        <v>252.51567799800796</v>
      </c>
      <c r="HA235" s="5">
        <v>241.02179695997205</v>
      </c>
      <c r="HB235" s="39">
        <v>268.14686635553738</v>
      </c>
      <c r="HC235" s="5">
        <v>245.89687499999999</v>
      </c>
      <c r="HD235" s="5">
        <v>211.55677997076018</v>
      </c>
      <c r="HE235" s="5">
        <v>214.73562331309037</v>
      </c>
      <c r="HF235" s="5">
        <v>199.03250548245612</v>
      </c>
      <c r="HG235" s="5">
        <v>192.49971491228069</v>
      </c>
      <c r="HH235" s="39">
        <v>212.38875640959665</v>
      </c>
      <c r="HI235" s="16"/>
      <c r="HJ235" s="19" t="str">
        <f t="shared" ref="HJ235:HK250" si="753">HJ234</f>
        <v>On</v>
      </c>
      <c r="HK235" s="1" t="str">
        <f t="shared" si="753"/>
        <v>On</v>
      </c>
      <c r="HL235" s="16"/>
      <c r="HM235" s="639">
        <f t="shared" si="634"/>
        <v>1.2768706344444866E-2</v>
      </c>
      <c r="HN235" s="639">
        <f t="shared" si="635"/>
        <v>9.795534288915453E-4</v>
      </c>
      <c r="HO235" s="639">
        <f t="shared" si="636"/>
        <v>3.3583061774515237E-3</v>
      </c>
      <c r="HP235" s="644">
        <f>(FT235*$GD235-HM235)/$JF235*INDEX(Input!$1:$1048576,$JG$93,$C235*2+6)</f>
        <v>49.886535315614502</v>
      </c>
      <c r="HQ235" s="644">
        <f>(FU235*$GD235-HN235)/$JF235*INDEX(Input!$1:$1048576,$JG$93,$C235*2+6)</f>
        <v>11.920284847252194</v>
      </c>
      <c r="HR235" s="644">
        <f>(FV235*$GD235-HO235)/$JF235*INDEX(Input!$1:$1048576,$JG$93,$C235*2+6)</f>
        <v>-21.286456310900491</v>
      </c>
      <c r="HS235" s="644">
        <f t="shared" si="749"/>
        <v>-18.569340326156162</v>
      </c>
      <c r="HT235" s="644">
        <f t="shared" si="638"/>
        <v>23.863927232346846</v>
      </c>
      <c r="HU235" s="644">
        <f t="shared" si="639"/>
        <v>5.1034800493757775</v>
      </c>
      <c r="HV235" s="648">
        <f t="shared" si="640"/>
        <v>0</v>
      </c>
      <c r="HW235" s="648">
        <f t="shared" si="641"/>
        <v>0</v>
      </c>
      <c r="HX235" s="648">
        <f t="shared" si="642"/>
        <v>0</v>
      </c>
      <c r="HY235" s="644">
        <f>INDEX(Input!$1:$1048576,HY$93,$C235*2+6)*INDEX(Input!$1:$1048576,$JG$93,$C235*2+6)</f>
        <v>451</v>
      </c>
      <c r="HZ235" s="644">
        <f>INDEX(Input!$1:$1048576,HZ$93,$C235*2+6)*INDEX(Input!$1:$1048576,$JG$93,$C235*2+6)</f>
        <v>577</v>
      </c>
      <c r="IA235" s="644">
        <f>INDEX(Input!$1:$1048576,IA$93,$C235*2+6)*INDEX(Input!$1:$1048576,$JG$93,$C235*2+6)</f>
        <v>215</v>
      </c>
      <c r="IB235" s="644">
        <f t="shared" si="666"/>
        <v>482.31719498945836</v>
      </c>
      <c r="IC235" s="644">
        <f t="shared" si="667"/>
        <v>612.78421207959911</v>
      </c>
      <c r="ID235" s="644">
        <f>IF(AND(INDEX(Input!$1:$1048576,IA$93,$C235*2+7)="TOS",Y235&lt;=INDEX(Y:Y,MATCH(C235*1000+2,A:A))),0,1)*MAX(IA235+HR235+HU235+HX235,0%)</f>
        <v>198.81702373847529</v>
      </c>
      <c r="IE235" s="128">
        <f t="shared" si="750"/>
        <v>0.3727570328281396</v>
      </c>
      <c r="IF235" s="128">
        <f t="shared" si="643"/>
        <v>0.47358797702352945</v>
      </c>
      <c r="IG235" s="128">
        <f t="shared" si="644"/>
        <v>0.15365499014833095</v>
      </c>
      <c r="IH235" s="21"/>
      <c r="II235" s="19">
        <f t="shared" si="645"/>
        <v>1252</v>
      </c>
      <c r="IJ235" s="19">
        <f t="shared" si="646"/>
        <v>2011.9658773055378</v>
      </c>
      <c r="IK235" s="19">
        <f t="shared" si="647"/>
        <v>919</v>
      </c>
      <c r="IL235" s="19">
        <f t="shared" si="669"/>
        <v>292</v>
      </c>
      <c r="IM235" s="19">
        <f t="shared" si="648"/>
        <v>345.0702644174537</v>
      </c>
      <c r="IN235" s="19">
        <f t="shared" si="649"/>
        <v>27</v>
      </c>
      <c r="IO235" s="39">
        <f t="shared" si="650"/>
        <v>0</v>
      </c>
      <c r="IP235" s="39">
        <f t="shared" si="651"/>
        <v>0</v>
      </c>
      <c r="IQ235" s="39">
        <f t="shared" si="652"/>
        <v>0</v>
      </c>
      <c r="IR235" s="39">
        <v>0</v>
      </c>
      <c r="IS235" s="39">
        <v>0</v>
      </c>
      <c r="IT235" s="39">
        <v>0</v>
      </c>
      <c r="IU235" s="39">
        <v>0</v>
      </c>
      <c r="IV235" s="39">
        <v>0</v>
      </c>
      <c r="IW235" s="39">
        <v>0</v>
      </c>
      <c r="IX235" s="39">
        <f>INDEX(Input!$1:$1048576,IX$93,$C235*2+6)+INDEX(Input!$1:$1048576,IX$94,$C235*2+6)</f>
        <v>1294</v>
      </c>
      <c r="IY235" s="39">
        <f>INDEX(Input!$1:$1048576,IY$93,$C235*2+6)+INDEX(Input!$1:$1048576,IY$94,$C235*2+6)</f>
        <v>2154.0624533823611</v>
      </c>
      <c r="IZ235" s="39">
        <f>INDEX(Input!$1:$1048576,IZ$93,$C235*2+6)+INDEX(Input!$1:$1048576,IZ$94,$C235*2+6)</f>
        <v>3677.7164157747848</v>
      </c>
      <c r="JA235" s="19">
        <f t="shared" si="670"/>
        <v>1586</v>
      </c>
      <c r="JB235" s="19">
        <f t="shared" si="671"/>
        <v>2499.1327177998146</v>
      </c>
      <c r="JC235" s="19">
        <f t="shared" si="672"/>
        <v>3704.7164157747848</v>
      </c>
      <c r="JD235" s="19">
        <f t="shared" si="673"/>
        <v>2344.0000265697931</v>
      </c>
      <c r="JE235" s="21"/>
      <c r="JF235" s="1">
        <f t="shared" si="653"/>
        <v>1.7106565950787935E-2</v>
      </c>
      <c r="JG235" s="15">
        <f>INDEX(Input!$1:$1048576,JG$93,$C235*2+6)/(1+VLOOKUP(C235*1000+INDEX(Input!$1:$1048576,JG$93+1,$C235*2+6),$A:$KK,$JK$92,FALSE))</f>
        <v>1243</v>
      </c>
      <c r="JH235" s="1">
        <f t="shared" si="674"/>
        <v>3.2598844611396789E-2</v>
      </c>
      <c r="JI235" s="1">
        <f t="shared" si="675"/>
        <v>8.3652992401982793E-3</v>
      </c>
      <c r="JJ235" s="1">
        <f t="shared" si="731"/>
        <v>0</v>
      </c>
      <c r="JK235" s="1">
        <f t="shared" si="732"/>
        <v>4.0964143851595067E-2</v>
      </c>
      <c r="JL235" s="15">
        <f t="shared" si="678"/>
        <v>50.918430807532665</v>
      </c>
      <c r="JM235" s="15">
        <f t="shared" si="702"/>
        <v>1293.9184308075326</v>
      </c>
      <c r="JN235" s="21"/>
      <c r="JO235" s="19">
        <f>INDEX(Input!$1:$1048576,JO$93,$C235*2+6)</f>
        <v>5995.5</v>
      </c>
      <c r="JP235" s="19">
        <f>INDEX(Input!$1:$1048576,JP$93,$C235*2+6)</f>
        <v>2105.548724853742</v>
      </c>
      <c r="JQ235" s="39">
        <f t="shared" si="688"/>
        <v>3651.4999734302069</v>
      </c>
      <c r="JR235" s="39">
        <f t="shared" si="705"/>
        <v>238.45130171605115</v>
      </c>
      <c r="JS235" s="39">
        <f t="shared" si="690"/>
        <v>3.0329448361920015</v>
      </c>
      <c r="JT235" s="39">
        <f t="shared" si="680"/>
        <v>0.4157477711988003</v>
      </c>
      <c r="JU235" s="385">
        <f>(JQ235*JM235-INDEX(Input!$1:$1048576,Input!A$18,$C235*2+6)*JL235*INDEX(Input!$1:$1048576,Input!A$19,$C235*2+6))/1000000</f>
        <v>4.7247431157145598</v>
      </c>
      <c r="JV235" s="39">
        <f t="shared" si="712"/>
        <v>-0.1104663192922386</v>
      </c>
      <c r="JW235" s="1">
        <f t="shared" si="703"/>
        <v>-2.2846232573188071E-2</v>
      </c>
      <c r="JX235" s="19">
        <f t="shared" si="694"/>
        <v>8164.9761118973101</v>
      </c>
      <c r="JZ235" s="341"/>
      <c r="KA235" s="342"/>
      <c r="KB235" s="469">
        <f t="shared" si="691"/>
        <v>2.5660492421988774</v>
      </c>
      <c r="KI235" s="473">
        <f t="shared" si="751"/>
        <v>31.317194989458301</v>
      </c>
      <c r="KJ235" s="473">
        <f t="shared" si="752"/>
        <v>35.784212079599001</v>
      </c>
      <c r="KK235" s="473">
        <f t="shared" si="682"/>
        <v>-16.182976261524743</v>
      </c>
      <c r="KN235" s="544">
        <f t="shared" si="695"/>
        <v>2002</v>
      </c>
      <c r="KO235" s="541">
        <f t="shared" si="657"/>
        <v>3.4831047221819178E-2</v>
      </c>
      <c r="KP235" s="546">
        <f t="shared" si="658"/>
        <v>236.71915333930937</v>
      </c>
      <c r="KQ235" s="546">
        <f t="shared" si="659"/>
        <v>200.31968713632023</v>
      </c>
      <c r="KR235" s="548">
        <f t="shared" si="660"/>
        <v>2.6251861703223205</v>
      </c>
      <c r="KS235" s="548">
        <f t="shared" si="661"/>
        <v>3.102200569901405</v>
      </c>
      <c r="KT235" s="473">
        <f t="shared" si="693"/>
        <v>843.26993010479111</v>
      </c>
      <c r="KU235" s="663">
        <f t="shared" si="683"/>
        <v>4.5563931750245077</v>
      </c>
      <c r="KV235" s="117"/>
    </row>
    <row r="236" spans="1:308" s="26" customFormat="1" ht="15">
      <c r="A236" s="561">
        <f t="shared" si="662"/>
        <v>2036</v>
      </c>
      <c r="B236" s="561">
        <f t="shared" si="684"/>
        <v>36</v>
      </c>
      <c r="C236" s="561">
        <f t="shared" si="105"/>
        <v>2</v>
      </c>
      <c r="D236" s="561" t="str">
        <f t="shared" si="728"/>
        <v xml:space="preserve">500 CC, 0/0/0.9/3.9, </v>
      </c>
      <c r="E236" s="475">
        <f>INDEX(Input!$1:$1048576,E$93,$C236*2+MIN($B236,2)+5)
+INDEX(Scenarios!E$121:E$200,MATCH($B236,Scenarios!$B$121:$B$200,0))</f>
        <v>1769.7618664521319</v>
      </c>
      <c r="F236" s="475">
        <f>INDEX(Input!$1:$1048576,F$93,$C236*2+MIN($B236,2)+5)
+INDEX(Scenarios!F$121:F$200,MATCH($B236,Scenarios!$B$121:$B$200,0))</f>
        <v>0</v>
      </c>
      <c r="G236" s="475">
        <f>INDEX(Input!$1:$1048576,G$93,$C236*2+MIN($B236,2)+5)
+INDEX(Scenarios!G$121:G$200,MATCH($B236,Scenarios!$B$121:$B$200,0))</f>
        <v>0</v>
      </c>
      <c r="H236" s="475">
        <f>INDEX(Input!$1:$1048576,H$93,$C236*2+MIN($B236,2)+5)
+INDEX(Scenarios!H$121:H$200,MATCH($B236,Scenarios!$B$121:$B$200,0))</f>
        <v>0</v>
      </c>
      <c r="I236" s="476">
        <f>INDEX(Input!$1:$1048576,I$93,$C236*2+MIN($B236,2)+5)</f>
        <v>0.7</v>
      </c>
      <c r="J236" s="476" t="str">
        <f>INDEX(Input!$1:$1048576,J$93,$C236*2+MIN($B236,2)+5)</f>
        <v>Market</v>
      </c>
      <c r="K236" s="476" t="str">
        <f>INDEX(Input!$1:$1048576,K$93,$C236*2+MIN($B236,2)+5)</f>
        <v>Market</v>
      </c>
      <c r="L236" s="476" t="str">
        <f>INDEX(Input!$1:$1048576,L$93,$C236*2+MIN($B236,2)+5)</f>
        <v>Market</v>
      </c>
      <c r="M236" s="476" t="str">
        <f>INDEX(Input!$1:$1048576,M$93,$C236*2+MIN($B236,2)+5)</f>
        <v>Market</v>
      </c>
      <c r="N236" s="476" t="str">
        <f>INDEX(Input!$1:$1048576,N$93,$C236*2+MIN($B236,2)+5)</f>
        <v>Market</v>
      </c>
      <c r="O236" s="476" t="str">
        <f>INDEX(Input!$1:$1048576,O$93,$C236*2+MIN($B236,2)+5)</f>
        <v>Market</v>
      </c>
      <c r="P236" s="476" t="str">
        <f>INDEX(Input!$1:$1048576,P$93,$C236*2+MIN($B236,2)+5)</f>
        <v>N</v>
      </c>
      <c r="Q236" s="477">
        <f>INDEX(Input!$1:$1048576,Q$93,$C236*2+MIN($B236,2)+5)
+INDEX(Scenarios!Q$121:Q$200,MATCH($B236,Scenarios!$B$121:$B$200,0))</f>
        <v>0</v>
      </c>
      <c r="R236" s="478">
        <f>IFERROR(MAX(0,INDEX(Input!$1:$1048576,R$93,$C236*2+MIN($B236,2)+5)
+INDEX(Scenarios!R$121:R$200,MATCH($B236,Scenarios!$B$121:$B$200,0)),),"Market")</f>
        <v>0</v>
      </c>
      <c r="S236" s="478">
        <f>IFERROR(MAX(0,INDEX(Input!$1:$1048576,S$93,$C236*2+MIN($B236,2)+5)
+INDEX(Scenarios!S$121:S$200,MATCH($B236,Scenarios!$B$121:$B$200,0)),),"Market")</f>
        <v>0</v>
      </c>
      <c r="T236" s="478">
        <f>IFERROR(MAX(0,INDEX(Input!$1:$1048576,T$93,$C236*2+MIN($B236,2)+5)
+INDEX(Scenarios!T$121:T$200,MATCH($B236,Scenarios!$B$121:$B$200,0)),),"Market")</f>
        <v>0</v>
      </c>
      <c r="U236" s="478">
        <f>IFERROR(MAX(0,INDEX(Input!$1:$1048576,U$93,$C236*2+MIN($B236,2)+5)
+INDEX(Scenarios!U$121:U$200,MATCH($B236,Scenarios!$B$121:$B$200,0)),),"Market")</f>
        <v>0</v>
      </c>
      <c r="V236" s="478">
        <f>IFERROR(MAX(0,INDEX(Input!$1:$1048576,V$93,$C236*2+MIN($B236,2)+5)
+INDEX(Scenarios!V$121:V$200,MATCH($B236,Scenarios!$B$121:$B$200,0)),),"Market")</f>
        <v>8.9999999999999993E-3</v>
      </c>
      <c r="W236" s="885">
        <f>IFERROR(MAX(0,INDEX(Input!$1:$1048576,W$93,$C236*2+MIN($B236,2)+5)-0%,),"Market")</f>
        <v>3.9E-2</v>
      </c>
      <c r="X236" s="476" t="str">
        <f>INDEX(Input!$1:$1048576,X$93,$C236*2+MIN($B236,2)+5)</f>
        <v>Y</v>
      </c>
      <c r="Y236" s="475">
        <f>INDEX(Input!$1:$1048576,Y$93,$C236*2+MIN($B236,2)+5)
++INDEX(Scenarios!Y$121:Y$200,MATCH($B236,Scenarios!$B$121:$B$200,0))</f>
        <v>56</v>
      </c>
      <c r="Z236" s="477">
        <f>INDEX(Input!$1:$1048576,Z$93,$C236*2+MIN($B236,2)+5)
+INDEX(Scenarios!Z$121:Z$200,MATCH($B236,Scenarios!$B$121:$B$200,0))</f>
        <v>0</v>
      </c>
      <c r="AA236" s="475">
        <f>INDEX(Input!$1:$1048576,AA$93,$C236*2+MIN($B236,2)+5)
+INDEX(Scenarios!AA$121:AA$200,MATCH($B236,Scenarios!$B$121:$B$200,0))</f>
        <v>0</v>
      </c>
      <c r="AB236" s="476">
        <f>INDEX(Input!$1:$1048576,AB$93,$C236*2+MIN($B236,2)+5)</f>
        <v>0.27</v>
      </c>
      <c r="AC236" s="475">
        <f>INDEX(Input!$1:$1048576,AC$93,$C236*2+MIN($B236,2)+5)
+INDEX(Scenarios!AC$121:AC$200,MATCH($B236,Scenarios!$B$121:$B$200,0))</f>
        <v>0</v>
      </c>
      <c r="AD236" s="476">
        <f>INDEX(Input!$1:$1048576,AD$93,$C236*2+MIN($B236,2)+5)</f>
        <v>0.27</v>
      </c>
      <c r="AE236" s="475">
        <f>INDEX(Input!$1:$1048576,AE$93,$C236*2+MIN($B236,2)+5)
+INDEX(Scenarios!AE$121:AE$200,MATCH($B236,Scenarios!$B$121:$B$200,0))</f>
        <v>0</v>
      </c>
      <c r="AF236" s="476">
        <f>INDEX(Input!$1:$1048576,AF$93,$C236*2+MIN($B236,2)+5)</f>
        <v>4.8000000000000001E-2</v>
      </c>
      <c r="AG236" s="475">
        <f>INDEX(Input!$1:$1048576,AG$93,$C236*2+MIN($B236,2)+5)
+INDEX(Scenarios!AG$121:AG$200,MATCH($B236,Scenarios!$B$121:$B$200,0))</f>
        <v>500</v>
      </c>
      <c r="AH236" s="476">
        <f>INDEX(Input!$1:$1048576,AH$93,$C236*2+MIN($B236,2)+5)</f>
        <v>0.94599999999999995</v>
      </c>
      <c r="AI236" s="475">
        <f>INDEX(Input!$1:$1048576,AI$93,$C236*2+MIN($B236,2)+5)
+INDEX(Scenarios!AI$121:AI$200,MATCH($B236,Scenarios!$B$121:$B$200,0))</f>
        <v>0</v>
      </c>
      <c r="AJ236" s="476">
        <f>INDEX(Input!$1:$1048576,AJ$93,$C236*2+MIN($B236,2)+5)</f>
        <v>0.27</v>
      </c>
      <c r="AK236" s="150">
        <f>ROUND(INDEX(Input!$1:$1048576,AK$93,$C235*2+MIN($B236,1)+5)+(Y236-VLOOKUP($C236*1000+1,$A:$HH,Y$92,FALSE)),0)</f>
        <v>2977</v>
      </c>
      <c r="AL236" s="150">
        <f>ROUND(INDEX(Input!$1:$1048576,AL$93,$C235*2+MIN($B236,1)+5)-(Y236-VLOOKUP($C236*1000+1,$A:$HH,Y$92,FALSE))/36,0)</f>
        <v>3395</v>
      </c>
      <c r="AM236" s="32" t="str">
        <f t="shared" si="663"/>
        <v>std/std/std/std</v>
      </c>
      <c r="AN236" s="32" t="str">
        <f t="shared" si="664"/>
        <v>$0 + 0/0/0/0.9/3.9</v>
      </c>
      <c r="AO236" s="32" t="str">
        <f t="shared" si="665"/>
        <v>0/0/0/0.9/3.9</v>
      </c>
      <c r="AP236" s="32" t="str">
        <f t="shared" si="734"/>
        <v>0/0/0.9/3.9</v>
      </c>
      <c r="AQ236" s="536">
        <f t="shared" si="733"/>
        <v>0.39849569375834781</v>
      </c>
      <c r="AR236" s="32"/>
      <c r="AS236" s="302"/>
      <c r="AT236" s="3">
        <f t="shared" si="717"/>
        <v>36</v>
      </c>
      <c r="AU236" s="41" t="s">
        <v>121</v>
      </c>
      <c r="AV236" s="41" t="s">
        <v>116</v>
      </c>
      <c r="AW236" s="41" t="str">
        <f>INDEX(Input!$1:$1048576,AW$93,$C236*2+6)</f>
        <v>Kia</v>
      </c>
      <c r="AX236" s="41" t="str">
        <f>INDEX(Input!$1:$1048576,AX$93,$C236*2+6)</f>
        <v>Kia-LR - L2</v>
      </c>
      <c r="AY236" s="41" t="str">
        <f>IF(LEN(D236)=0,"",INDEX(Input!$1:$1048576,AY$93,$C236*2+6))</f>
        <v>Compact SUV (52)</v>
      </c>
      <c r="AZ236" s="41" t="str">
        <f>INDEX(Input!$1:$1048576,AZ$93,$C236*2+6)</f>
        <v>Kia Soul</v>
      </c>
      <c r="BA236" s="3">
        <f>INDEX(Input!$1:$1048576,BA$93,$C236*2+6)</f>
        <v>2020</v>
      </c>
      <c r="BB236" s="128">
        <f>INDEX(Input!$1:$1048576,BB$93,$C236*2+6)</f>
        <v>1</v>
      </c>
      <c r="BC236" s="128">
        <f>INDEX(Input!$1:$1048576,BC$93,$C236*2+6)</f>
        <v>0.7</v>
      </c>
      <c r="BD236" s="1">
        <f>INDEX(Input!$1:$1048576,BD$93,$C236*2+6)</f>
        <v>4.4999999999999998E-2</v>
      </c>
      <c r="BE236" s="1">
        <f>INDEX(Input!$1:$1048576,BE$93,$C236*2+6)</f>
        <v>4.4999999999999998E-2</v>
      </c>
      <c r="BF236" s="1">
        <f>INDEX(Input!$1:$1048576,BF$93,$C236*2+6)</f>
        <v>0.05</v>
      </c>
      <c r="BG236" s="1">
        <f>INDEX(Input!$1:$1048576,BG$93,$C236*2+6)</f>
        <v>5.45E-2</v>
      </c>
      <c r="BH236" s="1">
        <f>INDEX(Input!$1:$1048576,BH$93,$C236*2+6)</f>
        <v>5.45E-2</v>
      </c>
      <c r="BI236" s="1">
        <f>INDEX(Input!$1:$1048576,BI$93,$C236*2+6)</f>
        <v>0.05</v>
      </c>
      <c r="BJ236" s="1">
        <f>INDEX(Input!$1:$1048576,BJ$93,$C236*2+6)</f>
        <v>0.05</v>
      </c>
      <c r="BK236" s="1">
        <f>INDEX(Input!$1:$1048576,BK$93,$C236*2+6)</f>
        <v>0.05</v>
      </c>
      <c r="BL236" s="1">
        <f>INDEX(Input!$1:$1048576,BL$93,$C236*2+6)</f>
        <v>5.5E-2</v>
      </c>
      <c r="BM236" s="1">
        <f>INDEX(Input!$1:$1048576,BM$93,$C236*2+6)</f>
        <v>0.06</v>
      </c>
      <c r="BN236" s="1">
        <f>INDEX(Input!$1:$1048576,BN$93,$C236*2+6)</f>
        <v>4.4999999999999998E-2</v>
      </c>
      <c r="BO236" s="1">
        <f>INDEX(Input!$1:$1048576,BO$93,$C236*2+6)</f>
        <v>4.4999999999999998E-2</v>
      </c>
      <c r="BP236" s="1">
        <f>INDEX(Input!$1:$1048576,BP$93,$C236*2+6)</f>
        <v>0.05</v>
      </c>
      <c r="BQ236" s="1">
        <f>INDEX(Input!$1:$1048576,BQ$93,$C236*2+6)</f>
        <v>5.45E-2</v>
      </c>
      <c r="BR236" s="1">
        <f>INDEX(Input!$1:$1048576,BR$93,$C236*2+6)</f>
        <v>5.45E-2</v>
      </c>
      <c r="BS236" s="1">
        <f>INDEX(Input!$1:$1048576,BS$93,$C236*2+6)</f>
        <v>0.05</v>
      </c>
      <c r="BT236" s="1">
        <f>INDEX(Input!$1:$1048576,BT$93,$C236*2+6)</f>
        <v>0.05</v>
      </c>
      <c r="BU236" s="1">
        <f>INDEX(Input!$1:$1048576,BU$93,$C236*2+6)</f>
        <v>0.05</v>
      </c>
      <c r="BV236" s="1">
        <f>INDEX(Input!$1:$1048576,BV$93,$C236*2+6)</f>
        <v>5.5E-2</v>
      </c>
      <c r="BW236" s="1">
        <f>INDEX(Input!$1:$1048576,BW$93,$C236*2+6)</f>
        <v>0.06</v>
      </c>
      <c r="BX236" s="127">
        <f>INDEX(Input!$1:$1048576,BX$93,$C236*2+6)</f>
        <v>19985</v>
      </c>
      <c r="BY236" s="20">
        <f>INDEX(Input!$1:$1048576,BY$93,$C236*2+6)</f>
        <v>0.1</v>
      </c>
      <c r="BZ236" s="20">
        <f>INDEX(Input!$1:$1048576,BZ$93,$C236*2+6)</f>
        <v>0.1</v>
      </c>
      <c r="CA236" s="20">
        <f>INDEX(Input!$1:$1048576,CA$93,$C236*2+6)</f>
        <v>0.1</v>
      </c>
      <c r="CB236" s="20">
        <f>INDEX(Input!$1:$1048576,CB$93,$C236*2+6)</f>
        <v>0.1</v>
      </c>
      <c r="CC236" s="20">
        <f>INDEX(Input!$1:$1048576,CC$93,$C236*2+6)</f>
        <v>0.1</v>
      </c>
      <c r="CD236" s="384">
        <f>INDEX(Input!$1:$1048576,CD$93,$C236*2+6)</f>
        <v>0.1</v>
      </c>
      <c r="CE236" s="384">
        <f>INDEX(Input!$1:$1048576,CE$93,$C236*2+6)</f>
        <v>0.1</v>
      </c>
      <c r="CF236" s="384">
        <f>INDEX(Input!$1:$1048576,CF$93,$C236*2+6)</f>
        <v>0.1</v>
      </c>
      <c r="CG236" s="384">
        <f>INDEX(Input!$1:$1048576,CG$93,$C236*2+6)</f>
        <v>0.1</v>
      </c>
      <c r="CH236" s="384">
        <f>INDEX(Input!$1:$1048576,CH$93,$C236*2+6)</f>
        <v>0.1</v>
      </c>
      <c r="CI236" s="304">
        <f t="shared" si="735"/>
        <v>1769.7618664521319</v>
      </c>
      <c r="CJ236" s="16" t="str">
        <f>INDEX(Input!$1:$1048576,CJ$93,$C236*2+6)</f>
        <v>N</v>
      </c>
      <c r="CK236" s="1" t="str">
        <f t="shared" si="736"/>
        <v>Market</v>
      </c>
      <c r="CL236" s="1" t="str">
        <f t="shared" si="737"/>
        <v>Market</v>
      </c>
      <c r="CM236" s="1" t="str">
        <f t="shared" si="738"/>
        <v>Market</v>
      </c>
      <c r="CN236" s="1" t="str">
        <f t="shared" si="739"/>
        <v>Market</v>
      </c>
      <c r="CO236" s="1" t="str">
        <f t="shared" si="740"/>
        <v>Market</v>
      </c>
      <c r="CP236" s="304">
        <f t="shared" si="741"/>
        <v>473</v>
      </c>
      <c r="CQ236" s="1">
        <f t="shared" si="742"/>
        <v>0</v>
      </c>
      <c r="CR236" s="1">
        <f t="shared" si="743"/>
        <v>0</v>
      </c>
      <c r="CS236" s="1">
        <f t="shared" si="744"/>
        <v>0</v>
      </c>
      <c r="CT236" s="1">
        <f t="shared" si="745"/>
        <v>8.9999999999999993E-3</v>
      </c>
      <c r="CU236" s="1">
        <f t="shared" si="746"/>
        <v>3.9E-2</v>
      </c>
      <c r="CV236" s="304">
        <f t="shared" si="747"/>
        <v>56</v>
      </c>
      <c r="CW236" s="20" t="s">
        <v>122</v>
      </c>
      <c r="CX236" s="20" t="s">
        <v>122</v>
      </c>
      <c r="CY236" s="20" t="s">
        <v>122</v>
      </c>
      <c r="CZ236" s="20" t="s">
        <v>122</v>
      </c>
      <c r="DA236" s="20" t="s">
        <v>122</v>
      </c>
      <c r="DB236" s="503">
        <f t="shared" si="748"/>
        <v>0</v>
      </c>
      <c r="DC236" s="127">
        <v>0</v>
      </c>
      <c r="DD236" s="127">
        <v>0</v>
      </c>
      <c r="DE236" s="127">
        <v>0</v>
      </c>
      <c r="DF236" s="127">
        <v>0</v>
      </c>
      <c r="DG236" s="127">
        <v>0</v>
      </c>
      <c r="DH236" s="127">
        <v>0</v>
      </c>
      <c r="DI236" s="127">
        <v>0</v>
      </c>
      <c r="DJ236" s="127">
        <v>0</v>
      </c>
      <c r="DK236" s="127">
        <v>0</v>
      </c>
      <c r="DL236" s="127">
        <v>0</v>
      </c>
      <c r="DM236" s="304">
        <f>INDEX(Input!$1:$1048576,DM$93,$C236*2+6)</f>
        <v>21036.84210526316</v>
      </c>
      <c r="DN236" s="20">
        <v>0</v>
      </c>
      <c r="DO236" s="20">
        <v>0</v>
      </c>
      <c r="DP236" s="20">
        <v>0</v>
      </c>
      <c r="DQ236" s="20">
        <v>0</v>
      </c>
      <c r="DR236" s="20">
        <v>0</v>
      </c>
      <c r="DS236" s="20">
        <f>INDEX(Input!$1:$1048576,DS$93,$C236*2+6)</f>
        <v>0.6</v>
      </c>
      <c r="DT236" s="20">
        <f>INDEX(Input!$1:$1048576,DT$93,$C236*2+6)</f>
        <v>0.55000000000000004</v>
      </c>
      <c r="DU236" s="20">
        <f>INDEX(Input!$1:$1048576,DU$93,$C236*2+6)</f>
        <v>0.52</v>
      </c>
      <c r="DV236" s="20">
        <f>INDEX(Input!$1:$1048576,DV$93,$C236*2+6)</f>
        <v>0.5</v>
      </c>
      <c r="DW236" s="20">
        <f>INDEX(Input!$1:$1048576,DW$93,$C236*2+6)</f>
        <v>0.45</v>
      </c>
      <c r="DX236" s="20"/>
      <c r="DY236" s="7">
        <v>0.10287927268798987</v>
      </c>
      <c r="DZ236" s="7">
        <v>0</v>
      </c>
      <c r="EA236" s="7">
        <v>0.68254257555596032</v>
      </c>
      <c r="EB236" s="7">
        <v>0</v>
      </c>
      <c r="EC236" s="7">
        <v>0</v>
      </c>
      <c r="ED236" s="7">
        <v>0</v>
      </c>
      <c r="EE236" s="7">
        <v>0</v>
      </c>
      <c r="EF236" s="7">
        <v>0</v>
      </c>
      <c r="EG236" s="7">
        <v>0</v>
      </c>
      <c r="EH236" s="7">
        <v>1.1233186014023327E-2</v>
      </c>
      <c r="EI236" s="7">
        <v>3.1978730428650452E-2</v>
      </c>
      <c r="EJ236" s="7">
        <v>0.24189477407550664</v>
      </c>
      <c r="EK236" s="7">
        <v>0.62743137682396766</v>
      </c>
      <c r="EL236" s="7">
        <v>8.7461932657851696E-2</v>
      </c>
      <c r="EM236" s="7">
        <v>5.8255914057456122E-2</v>
      </c>
      <c r="EN236" s="7">
        <v>6.552284289565756E-2</v>
      </c>
      <c r="EO236" s="7">
        <v>0.73220644131193946</v>
      </c>
      <c r="EP236" s="7">
        <v>8.7616067767412778E-2</v>
      </c>
      <c r="EQ236" s="7">
        <v>7.4711991854979273E-2</v>
      </c>
      <c r="ER236" s="7">
        <v>3.9942656170011054E-2</v>
      </c>
      <c r="ES236" s="7">
        <v>0.15632223769859374</v>
      </c>
      <c r="ET236" s="7">
        <v>0.21457815175604988</v>
      </c>
      <c r="EU236" s="6">
        <v>1794</v>
      </c>
      <c r="EV236" s="6">
        <v>0</v>
      </c>
      <c r="EW236" s="6">
        <v>1794</v>
      </c>
      <c r="EX236" s="6">
        <v>0</v>
      </c>
      <c r="EY236" s="6">
        <v>2357.0269040375465</v>
      </c>
      <c r="EZ236" s="6">
        <v>946</v>
      </c>
      <c r="FA236" s="6">
        <v>0</v>
      </c>
      <c r="FB236" s="6">
        <v>0</v>
      </c>
      <c r="FC236" s="6">
        <v>0</v>
      </c>
      <c r="FD236" s="6">
        <v>0</v>
      </c>
      <c r="FE236" s="6">
        <v>0</v>
      </c>
      <c r="FF236" s="6">
        <v>0</v>
      </c>
      <c r="FG236" s="6">
        <v>0</v>
      </c>
      <c r="FH236" s="6">
        <v>1173.7346637772669</v>
      </c>
      <c r="FI236" s="6">
        <v>1553.979606951239</v>
      </c>
      <c r="FJ236" s="6">
        <v>2101.211011744741</v>
      </c>
      <c r="FK236" s="6">
        <v>2251.3078348034664</v>
      </c>
      <c r="FL236" s="6">
        <v>907.07682140966313</v>
      </c>
      <c r="FM236" s="6">
        <v>2063.0269040375465</v>
      </c>
      <c r="FN236" s="6">
        <v>0</v>
      </c>
      <c r="FO236" s="6">
        <v>0</v>
      </c>
      <c r="FP236" s="6">
        <v>0</v>
      </c>
      <c r="FQ236" s="6">
        <v>0</v>
      </c>
      <c r="FR236" s="6">
        <v>0</v>
      </c>
      <c r="FS236" s="6">
        <v>0</v>
      </c>
      <c r="FT236" s="7">
        <v>0.78542184824395023</v>
      </c>
      <c r="FU236" s="7">
        <v>5.8255914057456122E-2</v>
      </c>
      <c r="FV236" s="7">
        <v>0.15632223769859374</v>
      </c>
      <c r="FW236" s="6">
        <v>1794</v>
      </c>
      <c r="FX236" s="6">
        <v>2357.0269040375465</v>
      </c>
      <c r="FY236" s="6">
        <v>946</v>
      </c>
      <c r="FZ236" s="6">
        <v>1817.4615072224267</v>
      </c>
      <c r="GA236" s="6">
        <v>1694.2383893652395</v>
      </c>
      <c r="GB236" s="6">
        <v>18290.76161063476</v>
      </c>
      <c r="GC236" s="7">
        <v>1.804905384453976E-2</v>
      </c>
      <c r="GD236" s="7">
        <v>1.8100077298209644E-2</v>
      </c>
      <c r="GE236" s="7"/>
      <c r="GF236" s="7"/>
      <c r="GG236" s="7">
        <v>2.826932320627952E-3</v>
      </c>
      <c r="GH236" s="42">
        <v>-0.45848736349316777</v>
      </c>
      <c r="GI236" s="6">
        <v>-41894.749206140848</v>
      </c>
      <c r="GJ236" s="14">
        <v>0.50394797582841722</v>
      </c>
      <c r="GK236" s="14">
        <v>0.50887573065309699</v>
      </c>
      <c r="GL236" s="14">
        <v>0.49605202417158262</v>
      </c>
      <c r="GM236" s="14">
        <v>0.49112426934690212</v>
      </c>
      <c r="GO236" s="5">
        <v>343.14810671672558</v>
      </c>
      <c r="GP236" s="5">
        <v>308.92200917413498</v>
      </c>
      <c r="GQ236" s="5">
        <v>535.04305713031317</v>
      </c>
      <c r="GR236" s="5">
        <v>410.15490233172511</v>
      </c>
      <c r="GS236" s="5">
        <v>339.42744393800166</v>
      </c>
      <c r="GT236" s="5">
        <v>293.4407446948278</v>
      </c>
      <c r="GU236" s="5">
        <v>258.04012322764959</v>
      </c>
      <c r="GV236" s="39" t="s">
        <v>392</v>
      </c>
      <c r="GW236" s="5">
        <v>491.45833333333331</v>
      </c>
      <c r="GX236" s="5">
        <v>368.59375</v>
      </c>
      <c r="GY236" s="5">
        <v>294.875</v>
      </c>
      <c r="GZ236" s="5">
        <v>252.51567799800796</v>
      </c>
      <c r="HA236" s="5">
        <v>241.02179695997205</v>
      </c>
      <c r="HB236" s="39">
        <v>268.1530162416409</v>
      </c>
      <c r="HC236" s="5">
        <v>245.89687499999999</v>
      </c>
      <c r="HD236" s="5">
        <v>211.55677997076018</v>
      </c>
      <c r="HE236" s="5">
        <v>214.73562331309037</v>
      </c>
      <c r="HF236" s="5">
        <v>199.03250548245612</v>
      </c>
      <c r="HG236" s="5">
        <v>192.49971491228069</v>
      </c>
      <c r="HH236" s="39">
        <v>212.38845508528655</v>
      </c>
      <c r="HI236" s="16"/>
      <c r="HJ236" s="19" t="str">
        <f t="shared" si="753"/>
        <v>On</v>
      </c>
      <c r="HK236" s="1" t="str">
        <f t="shared" si="753"/>
        <v>On</v>
      </c>
      <c r="HL236" s="16"/>
      <c r="HM236" s="639">
        <f t="shared" si="634"/>
        <v>1.2768706344444866E-2</v>
      </c>
      <c r="HN236" s="639">
        <f t="shared" si="635"/>
        <v>9.795534288915453E-4</v>
      </c>
      <c r="HO236" s="639">
        <f t="shared" si="636"/>
        <v>3.3583061774515237E-3</v>
      </c>
      <c r="HP236" s="644">
        <f>(FT236*$GD236-HM236)/$JF236*INDEX(Input!$1:$1048576,$JG$93,$C236*2+6)</f>
        <v>105.17773421178435</v>
      </c>
      <c r="HQ236" s="644">
        <f>(FU236*$GD236-HN236)/$JF236*INDEX(Input!$1:$1048576,$JG$93,$C236*2+6)</f>
        <v>5.4411690061127782</v>
      </c>
      <c r="HR236" s="644">
        <f>(FV236*$GD236-HO236)/$JF236*INDEX(Input!$1:$1048576,$JG$93,$C236*2+6)</f>
        <v>-38.428224597895998</v>
      </c>
      <c r="HS236" s="644">
        <f t="shared" si="749"/>
        <v>-34.142446662286204</v>
      </c>
      <c r="HT236" s="644">
        <f t="shared" si="638"/>
        <v>20.266728323075718</v>
      </c>
      <c r="HU236" s="644">
        <f t="shared" si="639"/>
        <v>8.6999174861595989</v>
      </c>
      <c r="HV236" s="648">
        <f t="shared" si="640"/>
        <v>0</v>
      </c>
      <c r="HW236" s="648">
        <f t="shared" si="641"/>
        <v>0</v>
      </c>
      <c r="HX236" s="648">
        <f t="shared" si="642"/>
        <v>0</v>
      </c>
      <c r="HY236" s="644">
        <f>INDEX(Input!$1:$1048576,HY$93,$C236*2+6)*INDEX(Input!$1:$1048576,$JG$93,$C236*2+6)</f>
        <v>451</v>
      </c>
      <c r="HZ236" s="644">
        <f>INDEX(Input!$1:$1048576,HZ$93,$C236*2+6)*INDEX(Input!$1:$1048576,$JG$93,$C236*2+6)</f>
        <v>577</v>
      </c>
      <c r="IA236" s="644">
        <f>INDEX(Input!$1:$1048576,IA$93,$C236*2+6)*INDEX(Input!$1:$1048576,$JG$93,$C236*2+6)</f>
        <v>215</v>
      </c>
      <c r="IB236" s="644">
        <f t="shared" si="666"/>
        <v>522.03528754949798</v>
      </c>
      <c r="IC236" s="644">
        <f t="shared" si="667"/>
        <v>602.70789732918854</v>
      </c>
      <c r="ID236" s="644">
        <f>IF(AND(INDEX(Input!$1:$1048576,IA$93,$C236*2+7)="TOS",Y236&lt;=INDEX(Y:Y,MATCH(C236*1000+2,A:A))),0,1)*MAX(IA236+HR236+HU236+HX236,0%)</f>
        <v>185.2716928882636</v>
      </c>
      <c r="IE236" s="128">
        <f t="shared" si="750"/>
        <v>0.39849569375834781</v>
      </c>
      <c r="IF236" s="128">
        <f t="shared" si="643"/>
        <v>0.46007713924330673</v>
      </c>
      <c r="IG236" s="128">
        <f t="shared" si="644"/>
        <v>0.14142716699834548</v>
      </c>
      <c r="IH236" s="21"/>
      <c r="II236" s="19">
        <f t="shared" si="645"/>
        <v>1252</v>
      </c>
      <c r="IJ236" s="19">
        <f t="shared" si="646"/>
        <v>2011.9658773055378</v>
      </c>
      <c r="IK236" s="19">
        <f t="shared" si="647"/>
        <v>919</v>
      </c>
      <c r="IL236" s="19">
        <f t="shared" si="669"/>
        <v>542</v>
      </c>
      <c r="IM236" s="19">
        <f t="shared" si="648"/>
        <v>345.06102673200871</v>
      </c>
      <c r="IN236" s="19">
        <f t="shared" si="649"/>
        <v>27</v>
      </c>
      <c r="IO236" s="39">
        <f t="shared" si="650"/>
        <v>0</v>
      </c>
      <c r="IP236" s="39">
        <f t="shared" si="651"/>
        <v>0</v>
      </c>
      <c r="IQ236" s="39">
        <f t="shared" si="652"/>
        <v>0</v>
      </c>
      <c r="IR236" s="39">
        <v>0</v>
      </c>
      <c r="IS236" s="39">
        <v>0</v>
      </c>
      <c r="IT236" s="39">
        <v>0</v>
      </c>
      <c r="IU236" s="39">
        <v>0</v>
      </c>
      <c r="IV236" s="39">
        <v>0</v>
      </c>
      <c r="IW236" s="39">
        <v>0</v>
      </c>
      <c r="IX236" s="39">
        <f>INDEX(Input!$1:$1048576,IX$93,$C236*2+6)+INDEX(Input!$1:$1048576,IX$94,$C236*2+6)</f>
        <v>1294</v>
      </c>
      <c r="IY236" s="39">
        <f>INDEX(Input!$1:$1048576,IY$93,$C236*2+6)+INDEX(Input!$1:$1048576,IY$94,$C236*2+6)</f>
        <v>2154.0624533823611</v>
      </c>
      <c r="IZ236" s="39">
        <f>INDEX(Input!$1:$1048576,IZ$93,$C236*2+6)+INDEX(Input!$1:$1048576,IZ$94,$C236*2+6)</f>
        <v>3677.7164157747848</v>
      </c>
      <c r="JA236" s="19">
        <f t="shared" si="670"/>
        <v>1836</v>
      </c>
      <c r="JB236" s="19">
        <f t="shared" si="671"/>
        <v>2499.1234801143701</v>
      </c>
      <c r="JC236" s="19">
        <f t="shared" si="672"/>
        <v>3704.7164157747848</v>
      </c>
      <c r="JD236" s="19">
        <f t="shared" si="673"/>
        <v>2405.3752223024148</v>
      </c>
      <c r="JE236" s="21"/>
      <c r="JF236" s="1">
        <f t="shared" si="653"/>
        <v>1.7106565950787935E-2</v>
      </c>
      <c r="JG236" s="15">
        <f>INDEX(Input!$1:$1048576,JG$93,$C236*2+6)/(1+VLOOKUP(C236*1000+INDEX(Input!$1:$1048576,JG$93+1,$C236*2+6),$A:$KK,$JK$92,FALSE))</f>
        <v>1243</v>
      </c>
      <c r="JH236" s="1">
        <f t="shared" si="674"/>
        <v>5.8077778455350872E-2</v>
      </c>
      <c r="JI236" s="1">
        <f t="shared" si="675"/>
        <v>-4.1639588520119772E-3</v>
      </c>
      <c r="JJ236" s="1">
        <f t="shared" si="731"/>
        <v>0</v>
      </c>
      <c r="JK236" s="1">
        <f t="shared" si="732"/>
        <v>5.3913819603338894E-2</v>
      </c>
      <c r="JL236" s="15">
        <f t="shared" si="678"/>
        <v>67.014877766950249</v>
      </c>
      <c r="JM236" s="15">
        <f t="shared" si="702"/>
        <v>1310.0148777669503</v>
      </c>
      <c r="JN236" s="21"/>
      <c r="JO236" s="19">
        <f>INDEX(Input!$1:$1048576,JO$93,$C236*2+6)</f>
        <v>5995.5</v>
      </c>
      <c r="JP236" s="19">
        <f>INDEX(Input!$1:$1048576,JP$93,$C236*2+6)</f>
        <v>2105.548724853742</v>
      </c>
      <c r="JQ236" s="39">
        <f t="shared" si="688"/>
        <v>3590.1247776975852</v>
      </c>
      <c r="JR236" s="39">
        <f t="shared" si="705"/>
        <v>299.82649744867285</v>
      </c>
      <c r="JS236" s="39">
        <f t="shared" si="690"/>
        <v>3.151077327828149</v>
      </c>
      <c r="JT236" s="39">
        <f t="shared" si="680"/>
        <v>0.53388026283494761</v>
      </c>
      <c r="JU236" s="385">
        <f>(JQ236*JM236-INDEX(Input!$1:$1048576,Input!A$18,$C236*2+6)*JL236*INDEX(Input!$1:$1048576,Input!A$19,$C236*2+6))/1000000</f>
        <v>4.7031168718236014</v>
      </c>
      <c r="JV236" s="39">
        <f t="shared" si="712"/>
        <v>-0.13209256318319706</v>
      </c>
      <c r="JW236" s="1">
        <f t="shared" si="703"/>
        <v>-2.7318891758203921E-2</v>
      </c>
      <c r="JX236" s="19">
        <f t="shared" si="694"/>
        <v>7966.5931002897614</v>
      </c>
      <c r="JZ236" s="341"/>
      <c r="KA236" s="342"/>
      <c r="KB236" s="469">
        <f t="shared" si="691"/>
        <v>2.5660492421988774</v>
      </c>
      <c r="KI236" s="473">
        <f t="shared" si="751"/>
        <v>71.035287549498094</v>
      </c>
      <c r="KJ236" s="473">
        <f t="shared" si="752"/>
        <v>25.707897329188654</v>
      </c>
      <c r="KK236" s="473">
        <f t="shared" si="682"/>
        <v>-29.72830711173637</v>
      </c>
      <c r="KN236" s="544">
        <f t="shared" si="695"/>
        <v>2002</v>
      </c>
      <c r="KO236" s="541">
        <f t="shared" si="657"/>
        <v>4.7704426769530794E-2</v>
      </c>
      <c r="KP236" s="546">
        <f t="shared" si="658"/>
        <v>338.67877414167947</v>
      </c>
      <c r="KQ236" s="546">
        <f t="shared" si="659"/>
        <v>261.69488286894193</v>
      </c>
      <c r="KR236" s="548">
        <f t="shared" si="660"/>
        <v>2.513030021961876</v>
      </c>
      <c r="KS236" s="548">
        <f t="shared" si="661"/>
        <v>3.2522986994954959</v>
      </c>
      <c r="KT236" s="473">
        <f t="shared" si="693"/>
        <v>843.26993010479111</v>
      </c>
      <c r="KU236" s="663">
        <f t="shared" si="683"/>
        <v>4.5987280794467322</v>
      </c>
      <c r="KV236" s="117"/>
    </row>
    <row r="237" spans="1:308" s="26" customFormat="1" ht="15">
      <c r="A237" s="561">
        <f t="shared" si="662"/>
        <v>2037</v>
      </c>
      <c r="B237" s="561">
        <f t="shared" si="684"/>
        <v>37</v>
      </c>
      <c r="C237" s="561">
        <f t="shared" si="105"/>
        <v>2</v>
      </c>
      <c r="D237" s="561" t="str">
        <f t="shared" si="728"/>
        <v xml:space="preserve">750 CC, 0/0/0.9/3.9, </v>
      </c>
      <c r="E237" s="475">
        <f>INDEX(Input!$1:$1048576,E$93,$C237*2+MIN($B237,2)+5)
+INDEX(Scenarios!E$121:E$200,MATCH($B237,Scenarios!$B$121:$B$200,0))</f>
        <v>2019.7618664521319</v>
      </c>
      <c r="F237" s="475">
        <f>INDEX(Input!$1:$1048576,F$93,$C237*2+MIN($B237,2)+5)
+INDEX(Scenarios!F$121:F$200,MATCH($B237,Scenarios!$B$121:$B$200,0))</f>
        <v>0</v>
      </c>
      <c r="G237" s="475">
        <f>INDEX(Input!$1:$1048576,G$93,$C237*2+MIN($B237,2)+5)
+INDEX(Scenarios!G$121:G$200,MATCH($B237,Scenarios!$B$121:$B$200,0))</f>
        <v>0</v>
      </c>
      <c r="H237" s="475">
        <f>INDEX(Input!$1:$1048576,H$93,$C237*2+MIN($B237,2)+5)
+INDEX(Scenarios!H$121:H$200,MATCH($B237,Scenarios!$B$121:$B$200,0))</f>
        <v>0</v>
      </c>
      <c r="I237" s="476">
        <f>INDEX(Input!$1:$1048576,I$93,$C237*2+MIN($B237,2)+5)</f>
        <v>0.7</v>
      </c>
      <c r="J237" s="476" t="str">
        <f>INDEX(Input!$1:$1048576,J$93,$C237*2+MIN($B237,2)+5)</f>
        <v>Market</v>
      </c>
      <c r="K237" s="476" t="str">
        <f>INDEX(Input!$1:$1048576,K$93,$C237*2+MIN($B237,2)+5)</f>
        <v>Market</v>
      </c>
      <c r="L237" s="476" t="str">
        <f>INDEX(Input!$1:$1048576,L$93,$C237*2+MIN($B237,2)+5)</f>
        <v>Market</v>
      </c>
      <c r="M237" s="476" t="str">
        <f>INDEX(Input!$1:$1048576,M$93,$C237*2+MIN($B237,2)+5)</f>
        <v>Market</v>
      </c>
      <c r="N237" s="476" t="str">
        <f>INDEX(Input!$1:$1048576,N$93,$C237*2+MIN($B237,2)+5)</f>
        <v>Market</v>
      </c>
      <c r="O237" s="476" t="str">
        <f>INDEX(Input!$1:$1048576,O$93,$C237*2+MIN($B237,2)+5)</f>
        <v>Market</v>
      </c>
      <c r="P237" s="476" t="str">
        <f>INDEX(Input!$1:$1048576,P$93,$C237*2+MIN($B237,2)+5)</f>
        <v>N</v>
      </c>
      <c r="Q237" s="477">
        <f>INDEX(Input!$1:$1048576,Q$93,$C237*2+MIN($B237,2)+5)
+INDEX(Scenarios!Q$121:Q$200,MATCH($B237,Scenarios!$B$121:$B$200,0))</f>
        <v>0</v>
      </c>
      <c r="R237" s="478">
        <f>IFERROR(MAX(0,INDEX(Input!$1:$1048576,R$93,$C237*2+MIN($B237,2)+5)
+INDEX(Scenarios!R$121:R$200,MATCH($B237,Scenarios!$B$121:$B$200,0)),),"Market")</f>
        <v>0</v>
      </c>
      <c r="S237" s="478">
        <f>IFERROR(MAX(0,INDEX(Input!$1:$1048576,S$93,$C237*2+MIN($B237,2)+5)
+INDEX(Scenarios!S$121:S$200,MATCH($B237,Scenarios!$B$121:$B$200,0)),),"Market")</f>
        <v>0</v>
      </c>
      <c r="T237" s="478">
        <f>IFERROR(MAX(0,INDEX(Input!$1:$1048576,T$93,$C237*2+MIN($B237,2)+5)
+INDEX(Scenarios!T$121:T$200,MATCH($B237,Scenarios!$B$121:$B$200,0)),),"Market")</f>
        <v>0</v>
      </c>
      <c r="U237" s="478">
        <f>IFERROR(MAX(0,INDEX(Input!$1:$1048576,U$93,$C237*2+MIN($B237,2)+5)
+INDEX(Scenarios!U$121:U$200,MATCH($B237,Scenarios!$B$121:$B$200,0)),),"Market")</f>
        <v>0</v>
      </c>
      <c r="V237" s="478">
        <f>IFERROR(MAX(0,INDEX(Input!$1:$1048576,V$93,$C237*2+MIN($B237,2)+5)
+INDEX(Scenarios!V$121:V$200,MATCH($B237,Scenarios!$B$121:$B$200,0)),),"Market")</f>
        <v>8.9999999999999993E-3</v>
      </c>
      <c r="W237" s="885">
        <f>IFERROR(MAX(0,INDEX(Input!$1:$1048576,W$93,$C237*2+MIN($B237,2)+5)-0%,),"Market")</f>
        <v>3.9E-2</v>
      </c>
      <c r="X237" s="476" t="str">
        <f>INDEX(Input!$1:$1048576,X$93,$C237*2+MIN($B237,2)+5)</f>
        <v>Y</v>
      </c>
      <c r="Y237" s="475">
        <f>INDEX(Input!$1:$1048576,Y$93,$C237*2+MIN($B237,2)+5)
++INDEX(Scenarios!Y$121:Y$200,MATCH($B237,Scenarios!$B$121:$B$200,0))</f>
        <v>56</v>
      </c>
      <c r="Z237" s="477">
        <f>INDEX(Input!$1:$1048576,Z$93,$C237*2+MIN($B237,2)+5)
+INDEX(Scenarios!Z$121:Z$200,MATCH($B237,Scenarios!$B$121:$B$200,0))</f>
        <v>0</v>
      </c>
      <c r="AA237" s="475">
        <f>INDEX(Input!$1:$1048576,AA$93,$C237*2+MIN($B237,2)+5)
+INDEX(Scenarios!AA$121:AA$200,MATCH($B237,Scenarios!$B$121:$B$200,0))</f>
        <v>0</v>
      </c>
      <c r="AB237" s="476">
        <f>INDEX(Input!$1:$1048576,AB$93,$C237*2+MIN($B237,2)+5)</f>
        <v>0.27</v>
      </c>
      <c r="AC237" s="475">
        <f>INDEX(Input!$1:$1048576,AC$93,$C237*2+MIN($B237,2)+5)
+INDEX(Scenarios!AC$121:AC$200,MATCH($B237,Scenarios!$B$121:$B$200,0))</f>
        <v>0</v>
      </c>
      <c r="AD237" s="476">
        <f>INDEX(Input!$1:$1048576,AD$93,$C237*2+MIN($B237,2)+5)</f>
        <v>0.27</v>
      </c>
      <c r="AE237" s="475">
        <f>INDEX(Input!$1:$1048576,AE$93,$C237*2+MIN($B237,2)+5)
+INDEX(Scenarios!AE$121:AE$200,MATCH($B237,Scenarios!$B$121:$B$200,0))</f>
        <v>0</v>
      </c>
      <c r="AF237" s="476">
        <f>INDEX(Input!$1:$1048576,AF$93,$C237*2+MIN($B237,2)+5)</f>
        <v>4.8000000000000001E-2</v>
      </c>
      <c r="AG237" s="475">
        <f>INDEX(Input!$1:$1048576,AG$93,$C237*2+MIN($B237,2)+5)
+INDEX(Scenarios!AG$121:AG$200,MATCH($B237,Scenarios!$B$121:$B$200,0))</f>
        <v>500</v>
      </c>
      <c r="AH237" s="476">
        <f>INDEX(Input!$1:$1048576,AH$93,$C237*2+MIN($B237,2)+5)</f>
        <v>0.94599999999999995</v>
      </c>
      <c r="AI237" s="475">
        <f>INDEX(Input!$1:$1048576,AI$93,$C237*2+MIN($B237,2)+5)
+INDEX(Scenarios!AI$121:AI$200,MATCH($B237,Scenarios!$B$121:$B$200,0))</f>
        <v>0</v>
      </c>
      <c r="AJ237" s="476">
        <f>INDEX(Input!$1:$1048576,AJ$93,$C237*2+MIN($B237,2)+5)</f>
        <v>0.27</v>
      </c>
      <c r="AK237" s="150">
        <f>ROUND(INDEX(Input!$1:$1048576,AK$93,$C236*2+MIN($B237,1)+5)+(Y237-VLOOKUP($C237*1000+1,$A:$HH,Y$92,FALSE)),0)</f>
        <v>2977</v>
      </c>
      <c r="AL237" s="150">
        <f>ROUND(INDEX(Input!$1:$1048576,AL$93,$C236*2+MIN($B237,1)+5)-(Y237-VLOOKUP($C237*1000+1,$A:$HH,Y$92,FALSE))/36,0)</f>
        <v>3395</v>
      </c>
      <c r="AM237" s="32" t="str">
        <f t="shared" si="663"/>
        <v>std/std/std/std</v>
      </c>
      <c r="AN237" s="32" t="str">
        <f t="shared" si="664"/>
        <v>$0 + 0/0/0/0.9/3.9</v>
      </c>
      <c r="AO237" s="32" t="str">
        <f t="shared" si="665"/>
        <v>0/0/0/0.9/3.9</v>
      </c>
      <c r="AP237" s="32" t="str">
        <f t="shared" si="734"/>
        <v>0/0/0.9/3.9</v>
      </c>
      <c r="AQ237" s="536">
        <f t="shared" si="733"/>
        <v>0.42345796954995585</v>
      </c>
      <c r="AR237" s="32"/>
      <c r="AS237" s="302"/>
      <c r="AT237" s="3">
        <f t="shared" si="717"/>
        <v>37</v>
      </c>
      <c r="AU237" s="41" t="s">
        <v>121</v>
      </c>
      <c r="AV237" s="41" t="s">
        <v>116</v>
      </c>
      <c r="AW237" s="41" t="str">
        <f>INDEX(Input!$1:$1048576,AW$93,$C237*2+6)</f>
        <v>Kia</v>
      </c>
      <c r="AX237" s="41" t="str">
        <f>INDEX(Input!$1:$1048576,AX$93,$C237*2+6)</f>
        <v>Kia-LR - L2</v>
      </c>
      <c r="AY237" s="41" t="str">
        <f>IF(LEN(D237)=0,"",INDEX(Input!$1:$1048576,AY$93,$C237*2+6))</f>
        <v>Compact SUV (52)</v>
      </c>
      <c r="AZ237" s="41" t="str">
        <f>INDEX(Input!$1:$1048576,AZ$93,$C237*2+6)</f>
        <v>Kia Soul</v>
      </c>
      <c r="BA237" s="3">
        <f>INDEX(Input!$1:$1048576,BA$93,$C237*2+6)</f>
        <v>2020</v>
      </c>
      <c r="BB237" s="128">
        <f>INDEX(Input!$1:$1048576,BB$93,$C237*2+6)</f>
        <v>1</v>
      </c>
      <c r="BC237" s="128">
        <f>INDEX(Input!$1:$1048576,BC$93,$C237*2+6)</f>
        <v>0.7</v>
      </c>
      <c r="BD237" s="1">
        <f>INDEX(Input!$1:$1048576,BD$93,$C237*2+6)</f>
        <v>4.4999999999999998E-2</v>
      </c>
      <c r="BE237" s="1">
        <f>INDEX(Input!$1:$1048576,BE$93,$C237*2+6)</f>
        <v>4.4999999999999998E-2</v>
      </c>
      <c r="BF237" s="1">
        <f>INDEX(Input!$1:$1048576,BF$93,$C237*2+6)</f>
        <v>0.05</v>
      </c>
      <c r="BG237" s="1">
        <f>INDEX(Input!$1:$1048576,BG$93,$C237*2+6)</f>
        <v>5.45E-2</v>
      </c>
      <c r="BH237" s="1">
        <f>INDEX(Input!$1:$1048576,BH$93,$C237*2+6)</f>
        <v>5.45E-2</v>
      </c>
      <c r="BI237" s="1">
        <f>INDEX(Input!$1:$1048576,BI$93,$C237*2+6)</f>
        <v>0.05</v>
      </c>
      <c r="BJ237" s="1">
        <f>INDEX(Input!$1:$1048576,BJ$93,$C237*2+6)</f>
        <v>0.05</v>
      </c>
      <c r="BK237" s="1">
        <f>INDEX(Input!$1:$1048576,BK$93,$C237*2+6)</f>
        <v>0.05</v>
      </c>
      <c r="BL237" s="1">
        <f>INDEX(Input!$1:$1048576,BL$93,$C237*2+6)</f>
        <v>5.5E-2</v>
      </c>
      <c r="BM237" s="1">
        <f>INDEX(Input!$1:$1048576,BM$93,$C237*2+6)</f>
        <v>0.06</v>
      </c>
      <c r="BN237" s="1">
        <f>INDEX(Input!$1:$1048576,BN$93,$C237*2+6)</f>
        <v>4.4999999999999998E-2</v>
      </c>
      <c r="BO237" s="1">
        <f>INDEX(Input!$1:$1048576,BO$93,$C237*2+6)</f>
        <v>4.4999999999999998E-2</v>
      </c>
      <c r="BP237" s="1">
        <f>INDEX(Input!$1:$1048576,BP$93,$C237*2+6)</f>
        <v>0.05</v>
      </c>
      <c r="BQ237" s="1">
        <f>INDEX(Input!$1:$1048576,BQ$93,$C237*2+6)</f>
        <v>5.45E-2</v>
      </c>
      <c r="BR237" s="1">
        <f>INDEX(Input!$1:$1048576,BR$93,$C237*2+6)</f>
        <v>5.45E-2</v>
      </c>
      <c r="BS237" s="1">
        <f>INDEX(Input!$1:$1048576,BS$93,$C237*2+6)</f>
        <v>0.05</v>
      </c>
      <c r="BT237" s="1">
        <f>INDEX(Input!$1:$1048576,BT$93,$C237*2+6)</f>
        <v>0.05</v>
      </c>
      <c r="BU237" s="1">
        <f>INDEX(Input!$1:$1048576,BU$93,$C237*2+6)</f>
        <v>0.05</v>
      </c>
      <c r="BV237" s="1">
        <f>INDEX(Input!$1:$1048576,BV$93,$C237*2+6)</f>
        <v>5.5E-2</v>
      </c>
      <c r="BW237" s="1">
        <f>INDEX(Input!$1:$1048576,BW$93,$C237*2+6)</f>
        <v>0.06</v>
      </c>
      <c r="BX237" s="127">
        <f>INDEX(Input!$1:$1048576,BX$93,$C237*2+6)</f>
        <v>19985</v>
      </c>
      <c r="BY237" s="20">
        <f>INDEX(Input!$1:$1048576,BY$93,$C237*2+6)</f>
        <v>0.1</v>
      </c>
      <c r="BZ237" s="20">
        <f>INDEX(Input!$1:$1048576,BZ$93,$C237*2+6)</f>
        <v>0.1</v>
      </c>
      <c r="CA237" s="20">
        <f>INDEX(Input!$1:$1048576,CA$93,$C237*2+6)</f>
        <v>0.1</v>
      </c>
      <c r="CB237" s="20">
        <f>INDEX(Input!$1:$1048576,CB$93,$C237*2+6)</f>
        <v>0.1</v>
      </c>
      <c r="CC237" s="20">
        <f>INDEX(Input!$1:$1048576,CC$93,$C237*2+6)</f>
        <v>0.1</v>
      </c>
      <c r="CD237" s="384">
        <f>INDEX(Input!$1:$1048576,CD$93,$C237*2+6)</f>
        <v>0.1</v>
      </c>
      <c r="CE237" s="384">
        <f>INDEX(Input!$1:$1048576,CE$93,$C237*2+6)</f>
        <v>0.1</v>
      </c>
      <c r="CF237" s="384">
        <f>INDEX(Input!$1:$1048576,CF$93,$C237*2+6)</f>
        <v>0.1</v>
      </c>
      <c r="CG237" s="384">
        <f>INDEX(Input!$1:$1048576,CG$93,$C237*2+6)</f>
        <v>0.1</v>
      </c>
      <c r="CH237" s="384">
        <f>INDEX(Input!$1:$1048576,CH$93,$C237*2+6)</f>
        <v>0.1</v>
      </c>
      <c r="CI237" s="304">
        <f t="shared" si="735"/>
        <v>2019.7618664521319</v>
      </c>
      <c r="CJ237" s="16" t="str">
        <f>INDEX(Input!$1:$1048576,CJ$93,$C237*2+6)</f>
        <v>N</v>
      </c>
      <c r="CK237" s="1" t="str">
        <f t="shared" si="736"/>
        <v>Market</v>
      </c>
      <c r="CL237" s="1" t="str">
        <f t="shared" si="737"/>
        <v>Market</v>
      </c>
      <c r="CM237" s="1" t="str">
        <f t="shared" si="738"/>
        <v>Market</v>
      </c>
      <c r="CN237" s="1" t="str">
        <f t="shared" si="739"/>
        <v>Market</v>
      </c>
      <c r="CO237" s="1" t="str">
        <f t="shared" si="740"/>
        <v>Market</v>
      </c>
      <c r="CP237" s="304">
        <f t="shared" si="741"/>
        <v>473</v>
      </c>
      <c r="CQ237" s="1">
        <f t="shared" si="742"/>
        <v>0</v>
      </c>
      <c r="CR237" s="1">
        <f t="shared" si="743"/>
        <v>0</v>
      </c>
      <c r="CS237" s="1">
        <f t="shared" si="744"/>
        <v>0</v>
      </c>
      <c r="CT237" s="1">
        <f t="shared" si="745"/>
        <v>8.9999999999999993E-3</v>
      </c>
      <c r="CU237" s="1">
        <f t="shared" si="746"/>
        <v>3.9E-2</v>
      </c>
      <c r="CV237" s="304">
        <f t="shared" si="747"/>
        <v>56</v>
      </c>
      <c r="CW237" s="20" t="s">
        <v>122</v>
      </c>
      <c r="CX237" s="20" t="s">
        <v>122</v>
      </c>
      <c r="CY237" s="20" t="s">
        <v>122</v>
      </c>
      <c r="CZ237" s="20" t="s">
        <v>122</v>
      </c>
      <c r="DA237" s="20" t="s">
        <v>122</v>
      </c>
      <c r="DB237" s="503">
        <f t="shared" si="748"/>
        <v>0</v>
      </c>
      <c r="DC237" s="127">
        <v>0</v>
      </c>
      <c r="DD237" s="127">
        <v>0</v>
      </c>
      <c r="DE237" s="127">
        <v>0</v>
      </c>
      <c r="DF237" s="127">
        <v>0</v>
      </c>
      <c r="DG237" s="127">
        <v>0</v>
      </c>
      <c r="DH237" s="127">
        <v>0</v>
      </c>
      <c r="DI237" s="127">
        <v>0</v>
      </c>
      <c r="DJ237" s="127">
        <v>0</v>
      </c>
      <c r="DK237" s="127">
        <v>0</v>
      </c>
      <c r="DL237" s="127">
        <v>0</v>
      </c>
      <c r="DM237" s="304">
        <f>INDEX(Input!$1:$1048576,DM$93,$C237*2+6)</f>
        <v>21036.84210526316</v>
      </c>
      <c r="DN237" s="20">
        <v>0</v>
      </c>
      <c r="DO237" s="20">
        <v>0</v>
      </c>
      <c r="DP237" s="20">
        <v>0</v>
      </c>
      <c r="DQ237" s="20">
        <v>0</v>
      </c>
      <c r="DR237" s="20">
        <v>0</v>
      </c>
      <c r="DS237" s="20">
        <f>INDEX(Input!$1:$1048576,DS$93,$C237*2+6)</f>
        <v>0.6</v>
      </c>
      <c r="DT237" s="20">
        <f>INDEX(Input!$1:$1048576,DT$93,$C237*2+6)</f>
        <v>0.55000000000000004</v>
      </c>
      <c r="DU237" s="20">
        <f>INDEX(Input!$1:$1048576,DU$93,$C237*2+6)</f>
        <v>0.52</v>
      </c>
      <c r="DV237" s="20">
        <f>INDEX(Input!$1:$1048576,DV$93,$C237*2+6)</f>
        <v>0.5</v>
      </c>
      <c r="DW237" s="20">
        <f>INDEX(Input!$1:$1048576,DW$93,$C237*2+6)</f>
        <v>0.45</v>
      </c>
      <c r="DX237" s="20"/>
      <c r="DY237" s="7">
        <v>0.10882679697081506</v>
      </c>
      <c r="DZ237" s="7">
        <v>0</v>
      </c>
      <c r="EA237" s="7">
        <v>0.69854035674137471</v>
      </c>
      <c r="EB237" s="7">
        <v>0</v>
      </c>
      <c r="EC237" s="7">
        <v>0</v>
      </c>
      <c r="ED237" s="7">
        <v>0</v>
      </c>
      <c r="EE237" s="7">
        <v>0</v>
      </c>
      <c r="EF237" s="7">
        <v>0</v>
      </c>
      <c r="EG237" s="7">
        <v>0</v>
      </c>
      <c r="EH237" s="7">
        <v>1.1237954576951956E-2</v>
      </c>
      <c r="EI237" s="7">
        <v>3.1995173171661923E-2</v>
      </c>
      <c r="EJ237" s="7">
        <v>0.24195401326623256</v>
      </c>
      <c r="EK237" s="7">
        <v>0.62736393957120817</v>
      </c>
      <c r="EL237" s="7">
        <v>8.7448919413945225E-2</v>
      </c>
      <c r="EM237" s="7">
        <v>5.2258575326233535E-2</v>
      </c>
      <c r="EN237" s="7">
        <v>6.5515349124902394E-2</v>
      </c>
      <c r="EO237" s="7">
        <v>0.7322004628590385</v>
      </c>
      <c r="EP237" s="7">
        <v>8.7627154264227722E-2</v>
      </c>
      <c r="EQ237" s="7">
        <v>7.4710026151148662E-2</v>
      </c>
      <c r="ER237" s="7">
        <v>3.9947007600682566E-2</v>
      </c>
      <c r="ES237" s="7">
        <v>0.14037427096157665</v>
      </c>
      <c r="ET237" s="7">
        <v>0.19263284628781019</v>
      </c>
      <c r="EU237" s="6">
        <v>2044</v>
      </c>
      <c r="EV237" s="6">
        <v>0</v>
      </c>
      <c r="EW237" s="6">
        <v>2044</v>
      </c>
      <c r="EX237" s="6">
        <v>0</v>
      </c>
      <c r="EY237" s="6">
        <v>2357.0189203869795</v>
      </c>
      <c r="EZ237" s="6">
        <v>946</v>
      </c>
      <c r="FA237" s="6">
        <v>0</v>
      </c>
      <c r="FB237" s="6">
        <v>0</v>
      </c>
      <c r="FC237" s="6">
        <v>0</v>
      </c>
      <c r="FD237" s="6">
        <v>0</v>
      </c>
      <c r="FE237" s="6">
        <v>0</v>
      </c>
      <c r="FF237" s="6">
        <v>0</v>
      </c>
      <c r="FG237" s="6">
        <v>0</v>
      </c>
      <c r="FH237" s="6">
        <v>1173.7364098279775</v>
      </c>
      <c r="FI237" s="6">
        <v>1553.9796069512392</v>
      </c>
      <c r="FJ237" s="6">
        <v>2101.2110117447405</v>
      </c>
      <c r="FK237" s="6">
        <v>2251.3078348034674</v>
      </c>
      <c r="FL237" s="6">
        <v>907.07682140966347</v>
      </c>
      <c r="FM237" s="6">
        <v>2063.0189203869795</v>
      </c>
      <c r="FN237" s="6">
        <v>0</v>
      </c>
      <c r="FO237" s="6">
        <v>0</v>
      </c>
      <c r="FP237" s="6">
        <v>0</v>
      </c>
      <c r="FQ237" s="6">
        <v>0</v>
      </c>
      <c r="FR237" s="6">
        <v>0</v>
      </c>
      <c r="FS237" s="6">
        <v>0</v>
      </c>
      <c r="FT237" s="7">
        <v>0.80736715371218981</v>
      </c>
      <c r="FU237" s="7">
        <v>5.2258575326233535E-2</v>
      </c>
      <c r="FV237" s="7">
        <v>0.14037427096157665</v>
      </c>
      <c r="FW237" s="6">
        <v>2043.9999999999998</v>
      </c>
      <c r="FX237" s="6">
        <v>2357.0189203869795</v>
      </c>
      <c r="FY237" s="6">
        <v>946</v>
      </c>
      <c r="FZ237" s="6">
        <v>1817.4615072224267</v>
      </c>
      <c r="GA237" s="6">
        <v>1906.226973313768</v>
      </c>
      <c r="GB237" s="6">
        <v>18078.773026686231</v>
      </c>
      <c r="GC237" s="7">
        <v>1.804905384453976E-2</v>
      </c>
      <c r="GD237" s="7">
        <v>1.8559537996449705E-2</v>
      </c>
      <c r="GE237" s="7"/>
      <c r="GF237" s="7"/>
      <c r="GG237" s="7">
        <v>2.8283153028787589E-2</v>
      </c>
      <c r="GH237" s="42">
        <v>6.3677783508586421</v>
      </c>
      <c r="GI237" s="6">
        <v>5044.6842026401009</v>
      </c>
      <c r="GJ237" s="14">
        <v>0.50394797582841733</v>
      </c>
      <c r="GK237" s="14">
        <v>0.50887573065309744</v>
      </c>
      <c r="GL237" s="14">
        <v>0.49605202417158284</v>
      </c>
      <c r="GM237" s="14">
        <v>0.4911242693469024</v>
      </c>
      <c r="GO237" s="5">
        <v>343.14810671672558</v>
      </c>
      <c r="GP237" s="5">
        <v>304.15248610521212</v>
      </c>
      <c r="GQ237" s="5">
        <v>535.04305713031317</v>
      </c>
      <c r="GR237" s="5">
        <v>410.15490233172511</v>
      </c>
      <c r="GS237" s="5">
        <v>339.42744393800166</v>
      </c>
      <c r="GT237" s="5">
        <v>293.4407446948278</v>
      </c>
      <c r="GU237" s="5">
        <v>258.04012322764959</v>
      </c>
      <c r="GV237" s="39" t="s">
        <v>392</v>
      </c>
      <c r="GW237" s="5">
        <v>491.45833333333331</v>
      </c>
      <c r="GX237" s="5">
        <v>368.59375</v>
      </c>
      <c r="GY237" s="5">
        <v>294.875</v>
      </c>
      <c r="GZ237" s="5">
        <v>252.51567799800796</v>
      </c>
      <c r="HA237" s="5">
        <v>241.02179695997205</v>
      </c>
      <c r="HB237" s="39">
        <v>268.15872320126891</v>
      </c>
      <c r="HC237" s="5">
        <v>245.89687499999999</v>
      </c>
      <c r="HD237" s="5">
        <v>211.55677997076018</v>
      </c>
      <c r="HE237" s="5">
        <v>214.73562331309037</v>
      </c>
      <c r="HF237" s="5">
        <v>199.03250548245612</v>
      </c>
      <c r="HG237" s="5">
        <v>192.49971491228069</v>
      </c>
      <c r="HH237" s="39">
        <v>212.38817468424017</v>
      </c>
      <c r="HI237" s="16"/>
      <c r="HJ237" s="19" t="str">
        <f t="shared" si="753"/>
        <v>On</v>
      </c>
      <c r="HK237" s="1" t="str">
        <f t="shared" si="753"/>
        <v>On</v>
      </c>
      <c r="HL237" s="16"/>
      <c r="HM237" s="639">
        <f t="shared" si="634"/>
        <v>1.2768706344444866E-2</v>
      </c>
      <c r="HN237" s="639">
        <f t="shared" si="635"/>
        <v>9.795534288915453E-4</v>
      </c>
      <c r="HO237" s="639">
        <f t="shared" si="636"/>
        <v>3.3583061774515237E-3</v>
      </c>
      <c r="HP237" s="644">
        <f>(FT237*$GD237-HM237)/$JF237*INDEX(Input!$1:$1048576,$JG$93,$C237*2+6)</f>
        <v>160.99427554434891</v>
      </c>
      <c r="HQ237" s="644">
        <f>(FU237*$GD237-HN237)/$JF237*INDEX(Input!$1:$1048576,$JG$93,$C237*2+6)</f>
        <v>-0.70180124042022163</v>
      </c>
      <c r="HR237" s="644">
        <f>(FV237*$GD237-HO237)/$JF237*INDEX(Input!$1:$1048576,$JG$93,$C237*2+6)</f>
        <v>-54.716389778653536</v>
      </c>
      <c r="HS237" s="644">
        <f t="shared" ref="HS237:HS261" si="754">IF(AND(HJ237="On",HK237="On"),IL237/1000*INDEX(KG:KG,MATCH(C237*1000+3,$KF:$KF,0))*SUM(HY237:IA237)*1.1
+INDEX(HR:HR,MATCH(C237*1000+4,$KF:$KF,0))/INDEX(IM:IM,MATCH(C237*1000+4,$KF:$KF,0))*IM237*20%,0)</f>
        <v>-49.715554379173632</v>
      </c>
      <c r="HT237" s="644">
        <f t="shared" si="638"/>
        <v>16.669631404510039</v>
      </c>
      <c r="HU237" s="644">
        <f t="shared" si="639"/>
        <v>12.296356303700815</v>
      </c>
      <c r="HV237" s="648">
        <f t="shared" si="640"/>
        <v>0</v>
      </c>
      <c r="HW237" s="648">
        <f t="shared" si="641"/>
        <v>0</v>
      </c>
      <c r="HX237" s="648">
        <f t="shared" si="642"/>
        <v>0</v>
      </c>
      <c r="HY237" s="644">
        <f>INDEX(Input!$1:$1048576,HY$93,$C237*2+6)*INDEX(Input!$1:$1048576,$JG$93,$C237*2+6)</f>
        <v>451</v>
      </c>
      <c r="HZ237" s="644">
        <f>INDEX(Input!$1:$1048576,HZ$93,$C237*2+6)*INDEX(Input!$1:$1048576,$JG$93,$C237*2+6)</f>
        <v>577</v>
      </c>
      <c r="IA237" s="644">
        <f>INDEX(Input!$1:$1048576,IA$93,$C237*2+6)*INDEX(Input!$1:$1048576,$JG$93,$C237*2+6)</f>
        <v>215</v>
      </c>
      <c r="IB237" s="644">
        <f t="shared" si="666"/>
        <v>562.27872116517528</v>
      </c>
      <c r="IC237" s="644">
        <f t="shared" si="667"/>
        <v>592.96783016408983</v>
      </c>
      <c r="ID237" s="644">
        <f>IF(AND(INDEX(Input!$1:$1048576,IA$93,$C237*2+7)="TOS",Y237&lt;=INDEX(Y:Y,MATCH(C237*1000+2,A:A))),0,1)*MAX(IA237+HR237+HU237+HX237,0%)</f>
        <v>172.57996652504727</v>
      </c>
      <c r="IE237" s="128">
        <f t="shared" ref="IE237:IE240" si="755">IB237/SUM($IB237:$ID237)</f>
        <v>0.42345796954995585</v>
      </c>
      <c r="IF237" s="128">
        <f t="shared" si="643"/>
        <v>0.44657025762845148</v>
      </c>
      <c r="IG237" s="128">
        <f t="shared" si="644"/>
        <v>0.12997177282159278</v>
      </c>
      <c r="IH237" s="21"/>
      <c r="II237" s="19">
        <f t="shared" si="645"/>
        <v>1252</v>
      </c>
      <c r="IJ237" s="19">
        <f t="shared" si="646"/>
        <v>2011.9658773055378</v>
      </c>
      <c r="IK237" s="19">
        <f t="shared" si="647"/>
        <v>919</v>
      </c>
      <c r="IL237" s="19">
        <f t="shared" si="669"/>
        <v>791.99999999999977</v>
      </c>
      <c r="IM237" s="19">
        <f t="shared" si="648"/>
        <v>345.05304308144173</v>
      </c>
      <c r="IN237" s="19">
        <f t="shared" si="649"/>
        <v>27</v>
      </c>
      <c r="IO237" s="39">
        <f t="shared" si="650"/>
        <v>0</v>
      </c>
      <c r="IP237" s="39">
        <f t="shared" si="651"/>
        <v>0</v>
      </c>
      <c r="IQ237" s="39">
        <f t="shared" si="652"/>
        <v>0</v>
      </c>
      <c r="IR237" s="39">
        <v>0</v>
      </c>
      <c r="IS237" s="39">
        <v>0</v>
      </c>
      <c r="IT237" s="39">
        <v>0</v>
      </c>
      <c r="IU237" s="39">
        <v>0</v>
      </c>
      <c r="IV237" s="39">
        <v>0</v>
      </c>
      <c r="IW237" s="39">
        <v>0</v>
      </c>
      <c r="IX237" s="39">
        <f>INDEX(Input!$1:$1048576,IX$93,$C237*2+6)+INDEX(Input!$1:$1048576,IX$94,$C237*2+6)</f>
        <v>1294</v>
      </c>
      <c r="IY237" s="39">
        <f>INDEX(Input!$1:$1048576,IY$93,$C237*2+6)+INDEX(Input!$1:$1048576,IY$94,$C237*2+6)</f>
        <v>2154.0624533823611</v>
      </c>
      <c r="IZ237" s="39">
        <f>INDEX(Input!$1:$1048576,IZ$93,$C237*2+6)+INDEX(Input!$1:$1048576,IZ$94,$C237*2+6)</f>
        <v>3677.7164157747848</v>
      </c>
      <c r="JA237" s="19">
        <f t="shared" si="670"/>
        <v>2086</v>
      </c>
      <c r="JB237" s="19">
        <f t="shared" si="671"/>
        <v>2499.1154964638026</v>
      </c>
      <c r="JC237" s="19">
        <f t="shared" si="672"/>
        <v>3704.7164157747848</v>
      </c>
      <c r="JD237" s="19">
        <f t="shared" si="673"/>
        <v>2480.8725359398095</v>
      </c>
      <c r="JE237" s="21"/>
      <c r="JF237" s="1">
        <f t="shared" si="653"/>
        <v>1.7106565950787935E-2</v>
      </c>
      <c r="JG237" s="15">
        <f>INDEX(Input!$1:$1048576,JG$93,$C237*2+6)/(1+VLOOKUP(C237*1000+INDEX(Input!$1:$1048576,JG$93+1,$C237*2+6),$A:$KK,$JK$92,FALSE))</f>
        <v>1243</v>
      </c>
      <c r="JH237" s="1">
        <f t="shared" si="674"/>
        <v>8.4936512087912433E-2</v>
      </c>
      <c r="JI237" s="1">
        <f t="shared" si="675"/>
        <v>-1.6693134892166357E-2</v>
      </c>
      <c r="JJ237" s="1">
        <f t="shared" si="731"/>
        <v>0</v>
      </c>
      <c r="JK237" s="1">
        <f t="shared" si="732"/>
        <v>6.824337719574608E-2</v>
      </c>
      <c r="JL237" s="15">
        <f t="shared" si="678"/>
        <v>84.826517854312371</v>
      </c>
      <c r="JM237" s="15">
        <f t="shared" si="702"/>
        <v>1327.8265178543124</v>
      </c>
      <c r="JN237" s="21"/>
      <c r="JO237" s="19">
        <f>INDEX(Input!$1:$1048576,JO$93,$C237*2+6)</f>
        <v>5995.5</v>
      </c>
      <c r="JP237" s="19">
        <f>INDEX(Input!$1:$1048576,JP$93,$C237*2+6)</f>
        <v>2105.548724853742</v>
      </c>
      <c r="JQ237" s="39">
        <f t="shared" si="688"/>
        <v>3514.6274640601905</v>
      </c>
      <c r="JR237" s="39">
        <f t="shared" si="705"/>
        <v>375.32381108606751</v>
      </c>
      <c r="JS237" s="39">
        <f t="shared" si="690"/>
        <v>3.2941683406373548</v>
      </c>
      <c r="JT237" s="39">
        <f t="shared" si="680"/>
        <v>0.67697127564415338</v>
      </c>
      <c r="JU237" s="385">
        <f>(JQ237*JM237-INDEX(Input!$1:$1048576,Input!A$18,$C237*2+6)*JL237*INDEX(Input!$1:$1048576,Input!A$19,$C237*2+6))/1000000</f>
        <v>4.6668155471581754</v>
      </c>
      <c r="JV237" s="39">
        <f t="shared" si="712"/>
        <v>-0.16839388784862308</v>
      </c>
      <c r="JW237" s="1">
        <f t="shared" si="703"/>
        <v>-3.4826596471593439E-2</v>
      </c>
      <c r="JX237" s="19">
        <f t="shared" si="694"/>
        <v>7980.6562000674858</v>
      </c>
      <c r="JZ237" s="341"/>
      <c r="KA237" s="342"/>
      <c r="KB237" s="469">
        <f t="shared" si="691"/>
        <v>2.5660492421988774</v>
      </c>
      <c r="KI237" s="473">
        <f t="shared" ref="KI237:KI262" si="756">$JM237*IE237-$JG237*HY237/SUM($HY237:$IA237)</f>
        <v>111.2787211651754</v>
      </c>
      <c r="KJ237" s="473">
        <f t="shared" ref="KJ237:KJ262" si="757">$JM237*IF237-$JG237*HZ237/SUM($HY237:$IA237)</f>
        <v>15.967830164089946</v>
      </c>
      <c r="KK237" s="473">
        <f t="shared" si="682"/>
        <v>-42.420033474952703</v>
      </c>
      <c r="KN237" s="544">
        <f t="shared" si="695"/>
        <v>2002</v>
      </c>
      <c r="KO237" s="541">
        <f t="shared" si="657"/>
        <v>6.1949558244193792E-2</v>
      </c>
      <c r="KP237" s="546">
        <f t="shared" si="658"/>
        <v>452.92744510611669</v>
      </c>
      <c r="KQ237" s="546">
        <f t="shared" si="659"/>
        <v>337.19219650633659</v>
      </c>
      <c r="KR237" s="548">
        <f t="shared" si="660"/>
        <v>2.4402625263889526</v>
      </c>
      <c r="KS237" s="548">
        <f t="shared" si="661"/>
        <v>3.2778394130030697</v>
      </c>
      <c r="KT237" s="473">
        <f t="shared" si="693"/>
        <v>843.26993010479111</v>
      </c>
      <c r="KU237" s="663">
        <f t="shared" si="683"/>
        <v>4.6289347695002991</v>
      </c>
      <c r="KV237" s="117"/>
    </row>
    <row r="238" spans="1:308" s="26" customFormat="1" ht="15">
      <c r="A238" s="561">
        <f t="shared" si="662"/>
        <v>2038</v>
      </c>
      <c r="B238" s="561">
        <f t="shared" si="684"/>
        <v>38</v>
      </c>
      <c r="C238" s="561">
        <f t="shared" si="105"/>
        <v>2</v>
      </c>
      <c r="D238" s="561" t="str">
        <f t="shared" si="728"/>
        <v xml:space="preserve">1000 CC, 0/0/0.9/3.9, </v>
      </c>
      <c r="E238" s="475">
        <f>INDEX(Input!$1:$1048576,E$93,$C238*2+MIN($B238,2)+5)
+INDEX(Scenarios!E$121:E$200,MATCH($B238,Scenarios!$B$121:$B$200,0))</f>
        <v>2269.7618664521319</v>
      </c>
      <c r="F238" s="475">
        <f>INDEX(Input!$1:$1048576,F$93,$C238*2+MIN($B238,2)+5)
+INDEX(Scenarios!F$121:F$200,MATCH($B238,Scenarios!$B$121:$B$200,0))</f>
        <v>0</v>
      </c>
      <c r="G238" s="475">
        <f>INDEX(Input!$1:$1048576,G$93,$C238*2+MIN($B238,2)+5)
+INDEX(Scenarios!G$121:G$200,MATCH($B238,Scenarios!$B$121:$B$200,0))</f>
        <v>0</v>
      </c>
      <c r="H238" s="475">
        <f>INDEX(Input!$1:$1048576,H$93,$C238*2+MIN($B238,2)+5)
+INDEX(Scenarios!H$121:H$200,MATCH($B238,Scenarios!$B$121:$B$200,0))</f>
        <v>0</v>
      </c>
      <c r="I238" s="476">
        <f>INDEX(Input!$1:$1048576,I$93,$C238*2+MIN($B238,2)+5)</f>
        <v>0.7</v>
      </c>
      <c r="J238" s="476" t="str">
        <f>INDEX(Input!$1:$1048576,J$93,$C238*2+MIN($B238,2)+5)</f>
        <v>Market</v>
      </c>
      <c r="K238" s="476" t="str">
        <f>INDEX(Input!$1:$1048576,K$93,$C238*2+MIN($B238,2)+5)</f>
        <v>Market</v>
      </c>
      <c r="L238" s="476" t="str">
        <f>INDEX(Input!$1:$1048576,L$93,$C238*2+MIN($B238,2)+5)</f>
        <v>Market</v>
      </c>
      <c r="M238" s="476" t="str">
        <f>INDEX(Input!$1:$1048576,M$93,$C238*2+MIN($B238,2)+5)</f>
        <v>Market</v>
      </c>
      <c r="N238" s="476" t="str">
        <f>INDEX(Input!$1:$1048576,N$93,$C238*2+MIN($B238,2)+5)</f>
        <v>Market</v>
      </c>
      <c r="O238" s="476" t="str">
        <f>INDEX(Input!$1:$1048576,O$93,$C238*2+MIN($B238,2)+5)</f>
        <v>Market</v>
      </c>
      <c r="P238" s="476" t="str">
        <f>INDEX(Input!$1:$1048576,P$93,$C238*2+MIN($B238,2)+5)</f>
        <v>N</v>
      </c>
      <c r="Q238" s="477">
        <f>INDEX(Input!$1:$1048576,Q$93,$C238*2+MIN($B238,2)+5)
+INDEX(Scenarios!Q$121:Q$200,MATCH($B238,Scenarios!$B$121:$B$200,0))</f>
        <v>0</v>
      </c>
      <c r="R238" s="478">
        <f>IFERROR(MAX(0,INDEX(Input!$1:$1048576,R$93,$C238*2+MIN($B238,2)+5)
+INDEX(Scenarios!R$121:R$200,MATCH($B238,Scenarios!$B$121:$B$200,0)),),"Market")</f>
        <v>0</v>
      </c>
      <c r="S238" s="478">
        <f>IFERROR(MAX(0,INDEX(Input!$1:$1048576,S$93,$C238*2+MIN($B238,2)+5)
+INDEX(Scenarios!S$121:S$200,MATCH($B238,Scenarios!$B$121:$B$200,0)),),"Market")</f>
        <v>0</v>
      </c>
      <c r="T238" s="478">
        <f>IFERROR(MAX(0,INDEX(Input!$1:$1048576,T$93,$C238*2+MIN($B238,2)+5)
+INDEX(Scenarios!T$121:T$200,MATCH($B238,Scenarios!$B$121:$B$200,0)),),"Market")</f>
        <v>0</v>
      </c>
      <c r="U238" s="478">
        <f>IFERROR(MAX(0,INDEX(Input!$1:$1048576,U$93,$C238*2+MIN($B238,2)+5)
+INDEX(Scenarios!U$121:U$200,MATCH($B238,Scenarios!$B$121:$B$200,0)),),"Market")</f>
        <v>0</v>
      </c>
      <c r="V238" s="478">
        <f>IFERROR(MAX(0,INDEX(Input!$1:$1048576,V$93,$C238*2+MIN($B238,2)+5)
+INDEX(Scenarios!V$121:V$200,MATCH($B238,Scenarios!$B$121:$B$200,0)),),"Market")</f>
        <v>8.9999999999999993E-3</v>
      </c>
      <c r="W238" s="885">
        <f>IFERROR(MAX(0,INDEX(Input!$1:$1048576,W$93,$C238*2+MIN($B238,2)+5)-0%,),"Market")</f>
        <v>3.9E-2</v>
      </c>
      <c r="X238" s="476" t="str">
        <f>INDEX(Input!$1:$1048576,X$93,$C238*2+MIN($B238,2)+5)</f>
        <v>Y</v>
      </c>
      <c r="Y238" s="475">
        <f>INDEX(Input!$1:$1048576,Y$93,$C238*2+MIN($B238,2)+5)
++INDEX(Scenarios!Y$121:Y$200,MATCH($B238,Scenarios!$B$121:$B$200,0))</f>
        <v>56</v>
      </c>
      <c r="Z238" s="477">
        <f>INDEX(Input!$1:$1048576,Z$93,$C238*2+MIN($B238,2)+5)
+INDEX(Scenarios!Z$121:Z$200,MATCH($B238,Scenarios!$B$121:$B$200,0))</f>
        <v>0</v>
      </c>
      <c r="AA238" s="475">
        <f>INDEX(Input!$1:$1048576,AA$93,$C238*2+MIN($B238,2)+5)
+INDEX(Scenarios!AA$121:AA$200,MATCH($B238,Scenarios!$B$121:$B$200,0))</f>
        <v>0</v>
      </c>
      <c r="AB238" s="476">
        <f>INDEX(Input!$1:$1048576,AB$93,$C238*2+MIN($B238,2)+5)</f>
        <v>0.27</v>
      </c>
      <c r="AC238" s="475">
        <f>INDEX(Input!$1:$1048576,AC$93,$C238*2+MIN($B238,2)+5)
+INDEX(Scenarios!AC$121:AC$200,MATCH($B238,Scenarios!$B$121:$B$200,0))</f>
        <v>0</v>
      </c>
      <c r="AD238" s="476">
        <f>INDEX(Input!$1:$1048576,AD$93,$C238*2+MIN($B238,2)+5)</f>
        <v>0.27</v>
      </c>
      <c r="AE238" s="475">
        <f>INDEX(Input!$1:$1048576,AE$93,$C238*2+MIN($B238,2)+5)
+INDEX(Scenarios!AE$121:AE$200,MATCH($B238,Scenarios!$B$121:$B$200,0))</f>
        <v>0</v>
      </c>
      <c r="AF238" s="476">
        <f>INDEX(Input!$1:$1048576,AF$93,$C238*2+MIN($B238,2)+5)</f>
        <v>4.8000000000000001E-2</v>
      </c>
      <c r="AG238" s="475">
        <f>INDEX(Input!$1:$1048576,AG$93,$C238*2+MIN($B238,2)+5)
+INDEX(Scenarios!AG$121:AG$200,MATCH($B238,Scenarios!$B$121:$B$200,0))</f>
        <v>500</v>
      </c>
      <c r="AH238" s="476">
        <f>INDEX(Input!$1:$1048576,AH$93,$C238*2+MIN($B238,2)+5)</f>
        <v>0.94599999999999995</v>
      </c>
      <c r="AI238" s="475">
        <f>INDEX(Input!$1:$1048576,AI$93,$C238*2+MIN($B238,2)+5)
+INDEX(Scenarios!AI$121:AI$200,MATCH($B238,Scenarios!$B$121:$B$200,0))</f>
        <v>0</v>
      </c>
      <c r="AJ238" s="476">
        <f>INDEX(Input!$1:$1048576,AJ$93,$C238*2+MIN($B238,2)+5)</f>
        <v>0.27</v>
      </c>
      <c r="AK238" s="150">
        <f>ROUND(INDEX(Input!$1:$1048576,AK$93,$C237*2+MIN($B238,1)+5)+(Y238-VLOOKUP($C238*1000+1,$A:$HH,Y$92,FALSE)),0)</f>
        <v>2977</v>
      </c>
      <c r="AL238" s="150">
        <f>ROUND(INDEX(Input!$1:$1048576,AL$93,$C237*2+MIN($B238,1)+5)-(Y238-VLOOKUP($C238*1000+1,$A:$HH,Y$92,FALSE))/36,0)</f>
        <v>3395</v>
      </c>
      <c r="AM238" s="32" t="str">
        <f t="shared" si="663"/>
        <v>std/std/std/std</v>
      </c>
      <c r="AN238" s="32" t="str">
        <f t="shared" si="664"/>
        <v>$0 + 0/0/0/0.9/3.9</v>
      </c>
      <c r="AO238" s="32" t="str">
        <f t="shared" si="665"/>
        <v>0/0/0/0.9/3.9</v>
      </c>
      <c r="AP238" s="32" t="str">
        <f t="shared" si="734"/>
        <v>0/0/0.9/3.9</v>
      </c>
      <c r="AQ238" s="536">
        <f t="shared" si="733"/>
        <v>0.44754874084044199</v>
      </c>
      <c r="AR238" s="32"/>
      <c r="AS238" s="302"/>
      <c r="AT238" s="3">
        <f t="shared" si="717"/>
        <v>38</v>
      </c>
      <c r="AU238" s="41" t="s">
        <v>121</v>
      </c>
      <c r="AV238" s="41" t="s">
        <v>116</v>
      </c>
      <c r="AW238" s="41" t="str">
        <f>INDEX(Input!$1:$1048576,AW$93,$C238*2+6)</f>
        <v>Kia</v>
      </c>
      <c r="AX238" s="41" t="str">
        <f>INDEX(Input!$1:$1048576,AX$93,$C238*2+6)</f>
        <v>Kia-LR - L2</v>
      </c>
      <c r="AY238" s="41" t="str">
        <f>IF(LEN(D238)=0,"",INDEX(Input!$1:$1048576,AY$93,$C238*2+6))</f>
        <v>Compact SUV (52)</v>
      </c>
      <c r="AZ238" s="41" t="str">
        <f>INDEX(Input!$1:$1048576,AZ$93,$C238*2+6)</f>
        <v>Kia Soul</v>
      </c>
      <c r="BA238" s="3">
        <f>INDEX(Input!$1:$1048576,BA$93,$C238*2+6)</f>
        <v>2020</v>
      </c>
      <c r="BB238" s="128">
        <f>INDEX(Input!$1:$1048576,BB$93,$C238*2+6)</f>
        <v>1</v>
      </c>
      <c r="BC238" s="128">
        <f>INDEX(Input!$1:$1048576,BC$93,$C238*2+6)</f>
        <v>0.7</v>
      </c>
      <c r="BD238" s="1">
        <f>INDEX(Input!$1:$1048576,BD$93,$C238*2+6)</f>
        <v>4.4999999999999998E-2</v>
      </c>
      <c r="BE238" s="1">
        <f>INDEX(Input!$1:$1048576,BE$93,$C238*2+6)</f>
        <v>4.4999999999999998E-2</v>
      </c>
      <c r="BF238" s="1">
        <f>INDEX(Input!$1:$1048576,BF$93,$C238*2+6)</f>
        <v>0.05</v>
      </c>
      <c r="BG238" s="1">
        <f>INDEX(Input!$1:$1048576,BG$93,$C238*2+6)</f>
        <v>5.45E-2</v>
      </c>
      <c r="BH238" s="1">
        <f>INDEX(Input!$1:$1048576,BH$93,$C238*2+6)</f>
        <v>5.45E-2</v>
      </c>
      <c r="BI238" s="1">
        <f>INDEX(Input!$1:$1048576,BI$93,$C238*2+6)</f>
        <v>0.05</v>
      </c>
      <c r="BJ238" s="1">
        <f>INDEX(Input!$1:$1048576,BJ$93,$C238*2+6)</f>
        <v>0.05</v>
      </c>
      <c r="BK238" s="1">
        <f>INDEX(Input!$1:$1048576,BK$93,$C238*2+6)</f>
        <v>0.05</v>
      </c>
      <c r="BL238" s="1">
        <f>INDEX(Input!$1:$1048576,BL$93,$C238*2+6)</f>
        <v>5.5E-2</v>
      </c>
      <c r="BM238" s="1">
        <f>INDEX(Input!$1:$1048576,BM$93,$C238*2+6)</f>
        <v>0.06</v>
      </c>
      <c r="BN238" s="1">
        <f>INDEX(Input!$1:$1048576,BN$93,$C238*2+6)</f>
        <v>4.4999999999999998E-2</v>
      </c>
      <c r="BO238" s="1">
        <f>INDEX(Input!$1:$1048576,BO$93,$C238*2+6)</f>
        <v>4.4999999999999998E-2</v>
      </c>
      <c r="BP238" s="1">
        <f>INDEX(Input!$1:$1048576,BP$93,$C238*2+6)</f>
        <v>0.05</v>
      </c>
      <c r="BQ238" s="1">
        <f>INDEX(Input!$1:$1048576,BQ$93,$C238*2+6)</f>
        <v>5.45E-2</v>
      </c>
      <c r="BR238" s="1">
        <f>INDEX(Input!$1:$1048576,BR$93,$C238*2+6)</f>
        <v>5.45E-2</v>
      </c>
      <c r="BS238" s="1">
        <f>INDEX(Input!$1:$1048576,BS$93,$C238*2+6)</f>
        <v>0.05</v>
      </c>
      <c r="BT238" s="1">
        <f>INDEX(Input!$1:$1048576,BT$93,$C238*2+6)</f>
        <v>0.05</v>
      </c>
      <c r="BU238" s="1">
        <f>INDEX(Input!$1:$1048576,BU$93,$C238*2+6)</f>
        <v>0.05</v>
      </c>
      <c r="BV238" s="1">
        <f>INDEX(Input!$1:$1048576,BV$93,$C238*2+6)</f>
        <v>5.5E-2</v>
      </c>
      <c r="BW238" s="1">
        <f>INDEX(Input!$1:$1048576,BW$93,$C238*2+6)</f>
        <v>0.06</v>
      </c>
      <c r="BX238" s="127">
        <f>INDEX(Input!$1:$1048576,BX$93,$C238*2+6)</f>
        <v>19985</v>
      </c>
      <c r="BY238" s="20">
        <f>INDEX(Input!$1:$1048576,BY$93,$C238*2+6)</f>
        <v>0.1</v>
      </c>
      <c r="BZ238" s="20">
        <f>INDEX(Input!$1:$1048576,BZ$93,$C238*2+6)</f>
        <v>0.1</v>
      </c>
      <c r="CA238" s="20">
        <f>INDEX(Input!$1:$1048576,CA$93,$C238*2+6)</f>
        <v>0.1</v>
      </c>
      <c r="CB238" s="20">
        <f>INDEX(Input!$1:$1048576,CB$93,$C238*2+6)</f>
        <v>0.1</v>
      </c>
      <c r="CC238" s="20">
        <f>INDEX(Input!$1:$1048576,CC$93,$C238*2+6)</f>
        <v>0.1</v>
      </c>
      <c r="CD238" s="384">
        <f>INDEX(Input!$1:$1048576,CD$93,$C238*2+6)</f>
        <v>0.1</v>
      </c>
      <c r="CE238" s="384">
        <f>INDEX(Input!$1:$1048576,CE$93,$C238*2+6)</f>
        <v>0.1</v>
      </c>
      <c r="CF238" s="384">
        <f>INDEX(Input!$1:$1048576,CF$93,$C238*2+6)</f>
        <v>0.1</v>
      </c>
      <c r="CG238" s="384">
        <f>INDEX(Input!$1:$1048576,CG$93,$C238*2+6)</f>
        <v>0.1</v>
      </c>
      <c r="CH238" s="384">
        <f>INDEX(Input!$1:$1048576,CH$93,$C238*2+6)</f>
        <v>0.1</v>
      </c>
      <c r="CI238" s="304">
        <f t="shared" si="735"/>
        <v>2269.7618664521319</v>
      </c>
      <c r="CJ238" s="16" t="str">
        <f>INDEX(Input!$1:$1048576,CJ$93,$C238*2+6)</f>
        <v>N</v>
      </c>
      <c r="CK238" s="1" t="str">
        <f t="shared" si="736"/>
        <v>Market</v>
      </c>
      <c r="CL238" s="1" t="str">
        <f t="shared" si="737"/>
        <v>Market</v>
      </c>
      <c r="CM238" s="1" t="str">
        <f t="shared" si="738"/>
        <v>Market</v>
      </c>
      <c r="CN238" s="1" t="str">
        <f t="shared" si="739"/>
        <v>Market</v>
      </c>
      <c r="CO238" s="1" t="str">
        <f t="shared" si="740"/>
        <v>Market</v>
      </c>
      <c r="CP238" s="304">
        <f t="shared" si="741"/>
        <v>473</v>
      </c>
      <c r="CQ238" s="1">
        <f t="shared" si="742"/>
        <v>0</v>
      </c>
      <c r="CR238" s="1">
        <f t="shared" si="743"/>
        <v>0</v>
      </c>
      <c r="CS238" s="1">
        <f t="shared" si="744"/>
        <v>0</v>
      </c>
      <c r="CT238" s="1">
        <f t="shared" si="745"/>
        <v>8.9999999999999993E-3</v>
      </c>
      <c r="CU238" s="1">
        <f t="shared" si="746"/>
        <v>3.9E-2</v>
      </c>
      <c r="CV238" s="304">
        <f t="shared" si="747"/>
        <v>56</v>
      </c>
      <c r="CW238" s="20" t="s">
        <v>122</v>
      </c>
      <c r="CX238" s="20" t="s">
        <v>122</v>
      </c>
      <c r="CY238" s="20" t="s">
        <v>122</v>
      </c>
      <c r="CZ238" s="20" t="s">
        <v>122</v>
      </c>
      <c r="DA238" s="20" t="s">
        <v>122</v>
      </c>
      <c r="DB238" s="503">
        <f t="shared" si="748"/>
        <v>0</v>
      </c>
      <c r="DC238" s="127">
        <v>0</v>
      </c>
      <c r="DD238" s="127">
        <v>0</v>
      </c>
      <c r="DE238" s="127">
        <v>0</v>
      </c>
      <c r="DF238" s="127">
        <v>0</v>
      </c>
      <c r="DG238" s="127">
        <v>0</v>
      </c>
      <c r="DH238" s="127">
        <v>0</v>
      </c>
      <c r="DI238" s="127">
        <v>0</v>
      </c>
      <c r="DJ238" s="127">
        <v>0</v>
      </c>
      <c r="DK238" s="127">
        <v>0</v>
      </c>
      <c r="DL238" s="127">
        <v>0</v>
      </c>
      <c r="DM238" s="304">
        <f>INDEX(Input!$1:$1048576,DM$93,$C238*2+6)</f>
        <v>21036.84210526316</v>
      </c>
      <c r="DN238" s="20">
        <v>0</v>
      </c>
      <c r="DO238" s="20">
        <v>0</v>
      </c>
      <c r="DP238" s="20">
        <v>0</v>
      </c>
      <c r="DQ238" s="20">
        <v>0</v>
      </c>
      <c r="DR238" s="20">
        <v>0</v>
      </c>
      <c r="DS238" s="20">
        <f>INDEX(Input!$1:$1048576,DS$93,$C238*2+6)</f>
        <v>0.6</v>
      </c>
      <c r="DT238" s="20">
        <f>INDEX(Input!$1:$1048576,DT$93,$C238*2+6)</f>
        <v>0.55000000000000004</v>
      </c>
      <c r="DU238" s="20">
        <f>INDEX(Input!$1:$1048576,DU$93,$C238*2+6)</f>
        <v>0.52</v>
      </c>
      <c r="DV238" s="20">
        <f>INDEX(Input!$1:$1048576,DV$93,$C238*2+6)</f>
        <v>0.5</v>
      </c>
      <c r="DW238" s="20">
        <f>INDEX(Input!$1:$1048576,DW$93,$C238*2+6)</f>
        <v>0.45</v>
      </c>
      <c r="DX238" s="20"/>
      <c r="DY238" s="7">
        <v>0.11478864366232669</v>
      </c>
      <c r="DZ238" s="7">
        <v>0</v>
      </c>
      <c r="EA238" s="7">
        <v>0.71278233104309152</v>
      </c>
      <c r="EB238" s="7">
        <v>0</v>
      </c>
      <c r="EC238" s="7">
        <v>0</v>
      </c>
      <c r="ED238" s="7">
        <v>0</v>
      </c>
      <c r="EE238" s="7">
        <v>0</v>
      </c>
      <c r="EF238" s="7">
        <v>0</v>
      </c>
      <c r="EG238" s="7">
        <v>0</v>
      </c>
      <c r="EH238" s="7">
        <v>1.1242415444497628E-2</v>
      </c>
      <c r="EI238" s="7">
        <v>3.2010493410946819E-2</v>
      </c>
      <c r="EJ238" s="7">
        <v>0.24200806564124286</v>
      </c>
      <c r="EK238" s="7">
        <v>0.62730258574801012</v>
      </c>
      <c r="EL238" s="7">
        <v>8.743643975530227E-2</v>
      </c>
      <c r="EM238" s="7">
        <v>4.6744355415639684E-2</v>
      </c>
      <c r="EN238" s="7">
        <v>6.5508439119900314E-2</v>
      </c>
      <c r="EO238" s="7">
        <v>0.73219457256480858</v>
      </c>
      <c r="EP238" s="7">
        <v>8.7637689210111724E-2</v>
      </c>
      <c r="EQ238" s="7">
        <v>7.470827938415929E-2</v>
      </c>
      <c r="ER238" s="7">
        <v>3.9951019721020192E-2</v>
      </c>
      <c r="ES238" s="7">
        <v>0.12568466987894208</v>
      </c>
      <c r="ET238" s="7">
        <v>0.17242902529458182</v>
      </c>
      <c r="EU238" s="6">
        <v>2294</v>
      </c>
      <c r="EV238" s="6">
        <v>0</v>
      </c>
      <c r="EW238" s="6">
        <v>2294</v>
      </c>
      <c r="EX238" s="6">
        <v>0</v>
      </c>
      <c r="EY238" s="6">
        <v>2357.0121108220524</v>
      </c>
      <c r="EZ238" s="6">
        <v>946</v>
      </c>
      <c r="FA238" s="6">
        <v>0</v>
      </c>
      <c r="FB238" s="6">
        <v>0</v>
      </c>
      <c r="FC238" s="6">
        <v>0</v>
      </c>
      <c r="FD238" s="6">
        <v>0</v>
      </c>
      <c r="FE238" s="6">
        <v>0</v>
      </c>
      <c r="FF238" s="6">
        <v>0</v>
      </c>
      <c r="FG238" s="6">
        <v>0</v>
      </c>
      <c r="FH238" s="6">
        <v>1173.7380215248136</v>
      </c>
      <c r="FI238" s="6">
        <v>1553.9796069512386</v>
      </c>
      <c r="FJ238" s="6">
        <v>2101.2110117447419</v>
      </c>
      <c r="FK238" s="6">
        <v>2251.3078348034664</v>
      </c>
      <c r="FL238" s="6">
        <v>907.07682140966347</v>
      </c>
      <c r="FM238" s="6">
        <v>2063.0121108220524</v>
      </c>
      <c r="FN238" s="6">
        <v>0</v>
      </c>
      <c r="FO238" s="6">
        <v>0</v>
      </c>
      <c r="FP238" s="6">
        <v>0</v>
      </c>
      <c r="FQ238" s="6">
        <v>0</v>
      </c>
      <c r="FR238" s="6">
        <v>0</v>
      </c>
      <c r="FS238" s="6">
        <v>0</v>
      </c>
      <c r="FT238" s="7">
        <v>0.82757097470541818</v>
      </c>
      <c r="FU238" s="7">
        <v>4.6744355415639684E-2</v>
      </c>
      <c r="FV238" s="7">
        <v>0.12568466987894208</v>
      </c>
      <c r="FW238" s="6">
        <v>2294</v>
      </c>
      <c r="FX238" s="6">
        <v>2357.0121108220524</v>
      </c>
      <c r="FY238" s="6">
        <v>946</v>
      </c>
      <c r="FZ238" s="6">
        <v>1817.4615072224267</v>
      </c>
      <c r="GA238" s="6">
        <v>2127.5225255069417</v>
      </c>
      <c r="GB238" s="6">
        <v>17857.477474493058</v>
      </c>
      <c r="GC238" s="7">
        <v>1.804905384453976E-2</v>
      </c>
      <c r="GD238" s="7">
        <v>1.9042824626890831E-2</v>
      </c>
      <c r="GE238" s="7"/>
      <c r="GF238" s="7"/>
      <c r="GG238" s="7">
        <v>5.5059439176736044E-2</v>
      </c>
      <c r="GH238" s="42">
        <v>3.5488591827346898</v>
      </c>
      <c r="GI238" s="6">
        <v>7758.9096758417991</v>
      </c>
      <c r="GJ238" s="14">
        <v>0.50394797582841766</v>
      </c>
      <c r="GK238" s="14">
        <v>0.50887573065309755</v>
      </c>
      <c r="GL238" s="14">
        <v>0.49605202417158273</v>
      </c>
      <c r="GM238" s="14">
        <v>0.49112426934690251</v>
      </c>
      <c r="GO238" s="5">
        <v>343.14810671672558</v>
      </c>
      <c r="GP238" s="5">
        <v>299.3829630362892</v>
      </c>
      <c r="GQ238" s="5">
        <v>535.04305713031317</v>
      </c>
      <c r="GR238" s="5">
        <v>410.15490233172511</v>
      </c>
      <c r="GS238" s="5">
        <v>339.42744393800166</v>
      </c>
      <c r="GT238" s="5">
        <v>293.4407446948278</v>
      </c>
      <c r="GU238" s="5">
        <v>258.04012322764959</v>
      </c>
      <c r="GV238" s="39" t="s">
        <v>392</v>
      </c>
      <c r="GW238" s="5">
        <v>491.45833333333331</v>
      </c>
      <c r="GX238" s="5">
        <v>368.59375</v>
      </c>
      <c r="GY238" s="5">
        <v>294.875</v>
      </c>
      <c r="GZ238" s="5">
        <v>252.51567799800796</v>
      </c>
      <c r="HA238" s="5">
        <v>241.02179695997205</v>
      </c>
      <c r="HB238" s="39">
        <v>268.16400049831401</v>
      </c>
      <c r="HC238" s="5">
        <v>245.89687499999999</v>
      </c>
      <c r="HD238" s="5">
        <v>211.55677997076018</v>
      </c>
      <c r="HE238" s="5">
        <v>214.73562331309037</v>
      </c>
      <c r="HF238" s="5">
        <v>199.03250548245612</v>
      </c>
      <c r="HG238" s="5">
        <v>192.49971491228069</v>
      </c>
      <c r="HH238" s="39">
        <v>212.38791630070534</v>
      </c>
      <c r="HI238" s="16"/>
      <c r="HJ238" s="19" t="str">
        <f t="shared" si="753"/>
        <v>On</v>
      </c>
      <c r="HK238" s="1" t="str">
        <f t="shared" si="753"/>
        <v>On</v>
      </c>
      <c r="HL238" s="16"/>
      <c r="HM238" s="639">
        <f t="shared" si="634"/>
        <v>1.2768706344444866E-2</v>
      </c>
      <c r="HN238" s="639">
        <f t="shared" si="635"/>
        <v>9.795534288915453E-4</v>
      </c>
      <c r="HO238" s="639">
        <f t="shared" si="636"/>
        <v>3.3583061774515237E-3</v>
      </c>
      <c r="HP238" s="644">
        <f>(FT238*$GD238-HM238)/$JF238*INDEX(Input!$1:$1048576,$JG$93,$C238*2+6)</f>
        <v>217.30218525512731</v>
      </c>
      <c r="HQ238" s="644">
        <f>(FU238*$GD238-HN238)/$JF238*INDEX(Input!$1:$1048576,$JG$93,$C238*2+6)</f>
        <v>-6.4966411887045066</v>
      </c>
      <c r="HR238" s="644">
        <f>(FV238*$GD238-HO238)/$JF238*INDEX(Input!$1:$1048576,$JG$93,$C238*2+6)</f>
        <v>-70.112809982932305</v>
      </c>
      <c r="HS238" s="644">
        <f t="shared" si="754"/>
        <v>-65.288663388790226</v>
      </c>
      <c r="HT238" s="644">
        <f t="shared" si="638"/>
        <v>13.072629974375142</v>
      </c>
      <c r="HU238" s="644">
        <f t="shared" si="639"/>
        <v>15.892796413971176</v>
      </c>
      <c r="HV238" s="648">
        <f t="shared" si="640"/>
        <v>0</v>
      </c>
      <c r="HW238" s="648">
        <f t="shared" si="641"/>
        <v>0</v>
      </c>
      <c r="HX238" s="648">
        <f t="shared" si="642"/>
        <v>0</v>
      </c>
      <c r="HY238" s="644">
        <f>INDEX(Input!$1:$1048576,HY$93,$C238*2+6)*INDEX(Input!$1:$1048576,$JG$93,$C238*2+6)</f>
        <v>451</v>
      </c>
      <c r="HZ238" s="644">
        <f>INDEX(Input!$1:$1048576,HZ$93,$C238*2+6)*INDEX(Input!$1:$1048576,$JG$93,$C238*2+6)</f>
        <v>577</v>
      </c>
      <c r="IA238" s="644">
        <f>INDEX(Input!$1:$1048576,IA$93,$C238*2+6)*INDEX(Input!$1:$1048576,$JG$93,$C238*2+6)</f>
        <v>215</v>
      </c>
      <c r="IB238" s="644">
        <f t="shared" si="666"/>
        <v>603.0135218663371</v>
      </c>
      <c r="IC238" s="644">
        <f t="shared" si="667"/>
        <v>583.57598878567057</v>
      </c>
      <c r="ID238" s="644">
        <f>IF(AND(INDEX(Input!$1:$1048576,IA$93,$C238*2+7)="TOS",Y238&lt;=INDEX(Y:Y,MATCH(C238*1000+2,A:A))),0,1)*MAX(IA238+HR238+HU238+HX238,0%)</f>
        <v>160.77998643103888</v>
      </c>
      <c r="IE238" s="128">
        <f t="shared" si="755"/>
        <v>0.44754874084044199</v>
      </c>
      <c r="IF238" s="128">
        <f t="shared" si="643"/>
        <v>0.43312245827819956</v>
      </c>
      <c r="IG238" s="128">
        <f t="shared" si="644"/>
        <v>0.1193288008813584</v>
      </c>
      <c r="IH238" s="21"/>
      <c r="II238" s="19">
        <f t="shared" si="645"/>
        <v>1252</v>
      </c>
      <c r="IJ238" s="19">
        <f t="shared" si="646"/>
        <v>2011.9658773055378</v>
      </c>
      <c r="IK238" s="19">
        <f t="shared" si="647"/>
        <v>919</v>
      </c>
      <c r="IL238" s="19">
        <f t="shared" si="669"/>
        <v>1042</v>
      </c>
      <c r="IM238" s="19">
        <f t="shared" si="648"/>
        <v>345.04623351651458</v>
      </c>
      <c r="IN238" s="19">
        <f t="shared" si="649"/>
        <v>27</v>
      </c>
      <c r="IO238" s="39">
        <f t="shared" si="650"/>
        <v>0</v>
      </c>
      <c r="IP238" s="39">
        <f t="shared" si="651"/>
        <v>0</v>
      </c>
      <c r="IQ238" s="39">
        <f t="shared" si="652"/>
        <v>0</v>
      </c>
      <c r="IR238" s="39">
        <v>0</v>
      </c>
      <c r="IS238" s="39">
        <v>0</v>
      </c>
      <c r="IT238" s="39">
        <v>0</v>
      </c>
      <c r="IU238" s="39">
        <v>0</v>
      </c>
      <c r="IV238" s="39">
        <v>0</v>
      </c>
      <c r="IW238" s="39">
        <v>0</v>
      </c>
      <c r="IX238" s="39">
        <f>INDEX(Input!$1:$1048576,IX$93,$C238*2+6)+INDEX(Input!$1:$1048576,IX$94,$C238*2+6)</f>
        <v>1294</v>
      </c>
      <c r="IY238" s="39">
        <f>INDEX(Input!$1:$1048576,IY$93,$C238*2+6)+INDEX(Input!$1:$1048576,IY$94,$C238*2+6)</f>
        <v>2154.0624533823611</v>
      </c>
      <c r="IZ238" s="39">
        <f>INDEX(Input!$1:$1048576,IZ$93,$C238*2+6)+INDEX(Input!$1:$1048576,IZ$94,$C238*2+6)</f>
        <v>3677.7164157747848</v>
      </c>
      <c r="JA238" s="19">
        <f t="shared" si="670"/>
        <v>2336</v>
      </c>
      <c r="JB238" s="19">
        <f t="shared" si="671"/>
        <v>2499.1086868988759</v>
      </c>
      <c r="JC238" s="19">
        <f t="shared" si="672"/>
        <v>3704.7164157747848</v>
      </c>
      <c r="JD238" s="19">
        <f t="shared" si="673"/>
        <v>2569.9733240772061</v>
      </c>
      <c r="JE238" s="21"/>
      <c r="JF238" s="1">
        <f t="shared" si="653"/>
        <v>1.7106565950787935E-2</v>
      </c>
      <c r="JG238" s="15">
        <f>INDEX(Input!$1:$1048576,JG$93,$C238*2+6)/(1+VLOOKUP(C238*1000+INDEX(Input!$1:$1048576,JG$93+1,$C238*2+6),$A:$KK,$JK$92,FALSE))</f>
        <v>1243</v>
      </c>
      <c r="JH238" s="1">
        <f t="shared" si="674"/>
        <v>0.11318804029243001</v>
      </c>
      <c r="JI238" s="1">
        <f t="shared" si="675"/>
        <v>-2.922223411137885E-2</v>
      </c>
      <c r="JJ238" s="1">
        <f t="shared" si="731"/>
        <v>0</v>
      </c>
      <c r="JK238" s="1">
        <f t="shared" si="732"/>
        <v>8.3965806181051164E-2</v>
      </c>
      <c r="JL238" s="15">
        <f t="shared" si="678"/>
        <v>104.3694970830466</v>
      </c>
      <c r="JM238" s="15">
        <f t="shared" si="702"/>
        <v>1347.3694970830466</v>
      </c>
      <c r="JN238" s="21"/>
      <c r="JO238" s="19">
        <f>INDEX(Input!$1:$1048576,JO$93,$C238*2+6)</f>
        <v>5995.5</v>
      </c>
      <c r="JP238" s="19">
        <f>INDEX(Input!$1:$1048576,JP$93,$C238*2+6)</f>
        <v>2105.548724853742</v>
      </c>
      <c r="JQ238" s="39">
        <f t="shared" si="688"/>
        <v>3425.5266759227939</v>
      </c>
      <c r="JR238" s="39">
        <f t="shared" si="705"/>
        <v>464.42459922346416</v>
      </c>
      <c r="JS238" s="39">
        <f t="shared" si="690"/>
        <v>3.4627036651787506</v>
      </c>
      <c r="JT238" s="39">
        <f t="shared" si="680"/>
        <v>0.84550660018554935</v>
      </c>
      <c r="JU238" s="385">
        <f>(JQ238*JM238-INDEX(Input!$1:$1048576,Input!A$18,$C238*2+6)*JL238*INDEX(Input!$1:$1048576,Input!A$19,$C238*2+6))/1000000</f>
        <v>4.6154501545826552</v>
      </c>
      <c r="JV238" s="39">
        <f t="shared" si="712"/>
        <v>-0.21975928042414328</v>
      </c>
      <c r="JW238" s="1">
        <f t="shared" si="703"/>
        <v>-4.5449795583432526E-2</v>
      </c>
      <c r="JX238" s="19">
        <f t="shared" si="694"/>
        <v>8101.0891478453859</v>
      </c>
      <c r="JZ238" s="341"/>
      <c r="KA238" s="342"/>
      <c r="KB238" s="469">
        <f t="shared" si="691"/>
        <v>2.5660492421988774</v>
      </c>
      <c r="KI238" s="473">
        <f t="shared" si="756"/>
        <v>152.0135218663371</v>
      </c>
      <c r="KJ238" s="473">
        <f t="shared" si="757"/>
        <v>6.5759887856705745</v>
      </c>
      <c r="KK238" s="473">
        <f t="shared" si="682"/>
        <v>-54.220013568961122</v>
      </c>
      <c r="KN238" s="544">
        <f t="shared" si="695"/>
        <v>2002</v>
      </c>
      <c r="KO238" s="541">
        <f t="shared" si="657"/>
        <v>7.7579354666896805E-2</v>
      </c>
      <c r="KP238" s="546">
        <f t="shared" si="658"/>
        <v>578.80437817777488</v>
      </c>
      <c r="KQ238" s="546">
        <f t="shared" si="659"/>
        <v>426.29298464373323</v>
      </c>
      <c r="KR238" s="548">
        <f t="shared" si="660"/>
        <v>2.3913400068432957</v>
      </c>
      <c r="KS238" s="548">
        <f t="shared" si="661"/>
        <v>3.2468703814802904</v>
      </c>
      <c r="KT238" s="473">
        <f t="shared" si="693"/>
        <v>843.26993010479111</v>
      </c>
      <c r="KU238" s="663">
        <f t="shared" si="683"/>
        <v>4.6486708545782491</v>
      </c>
      <c r="KV238" s="117"/>
    </row>
    <row r="239" spans="1:308" s="26" customFormat="1" ht="15">
      <c r="A239" s="561">
        <f t="shared" si="662"/>
        <v>2039</v>
      </c>
      <c r="B239" s="561">
        <f t="shared" si="684"/>
        <v>39</v>
      </c>
      <c r="C239" s="561">
        <f t="shared" si="105"/>
        <v>2</v>
      </c>
      <c r="D239" s="561" t="str">
        <f t="shared" si="728"/>
        <v xml:space="preserve">250 CC, 360 Lease, </v>
      </c>
      <c r="E239" s="475">
        <f>INDEX(Input!$1:$1048576,E$93,$C239*2+MIN($B239,2)+5)
+INDEX(Scenarios!E$121:E$200,MATCH($B239,Scenarios!$B$121:$B$200,0))</f>
        <v>1519.7618664521319</v>
      </c>
      <c r="F239" s="475">
        <f>INDEX(Input!$1:$1048576,F$93,$C239*2+MIN($B239,2)+5)
+INDEX(Scenarios!F$121:F$200,MATCH($B239,Scenarios!$B$121:$B$200,0))</f>
        <v>0</v>
      </c>
      <c r="G239" s="475">
        <f>INDEX(Input!$1:$1048576,G$93,$C239*2+MIN($B239,2)+5)
+INDEX(Scenarios!G$121:G$200,MATCH($B239,Scenarios!$B$121:$B$200,0))</f>
        <v>0</v>
      </c>
      <c r="H239" s="475">
        <f>INDEX(Input!$1:$1048576,H$93,$C239*2+MIN($B239,2)+5)
+INDEX(Scenarios!H$121:H$200,MATCH($B239,Scenarios!$B$121:$B$200,0))</f>
        <v>0</v>
      </c>
      <c r="I239" s="476">
        <f>INDEX(Input!$1:$1048576,I$93,$C239*2+MIN($B239,2)+5)</f>
        <v>0.7</v>
      </c>
      <c r="J239" s="476" t="str">
        <f>INDEX(Input!$1:$1048576,J$93,$C239*2+MIN($B239,2)+5)</f>
        <v>Market</v>
      </c>
      <c r="K239" s="476" t="str">
        <f>INDEX(Input!$1:$1048576,K$93,$C239*2+MIN($B239,2)+5)</f>
        <v>Market</v>
      </c>
      <c r="L239" s="476" t="str">
        <f>INDEX(Input!$1:$1048576,L$93,$C239*2+MIN($B239,2)+5)</f>
        <v>Market</v>
      </c>
      <c r="M239" s="476" t="str">
        <f>INDEX(Input!$1:$1048576,M$93,$C239*2+MIN($B239,2)+5)</f>
        <v>Market</v>
      </c>
      <c r="N239" s="476" t="str">
        <f>INDEX(Input!$1:$1048576,N$93,$C239*2+MIN($B239,2)+5)</f>
        <v>Market</v>
      </c>
      <c r="O239" s="476" t="str">
        <f>INDEX(Input!$1:$1048576,O$93,$C239*2+MIN($B239,2)+5)</f>
        <v>Market</v>
      </c>
      <c r="P239" s="476" t="str">
        <f>INDEX(Input!$1:$1048576,P$93,$C239*2+MIN($B239,2)+5)</f>
        <v>N</v>
      </c>
      <c r="Q239" s="477">
        <f>INDEX(Input!$1:$1048576,Q$93,$C239*2+MIN($B239,2)+5)
+INDEX(Scenarios!Q$121:Q$200,MATCH($B239,Scenarios!$B$121:$B$200,0))</f>
        <v>0</v>
      </c>
      <c r="R239" s="478">
        <f>IFERROR(MAX(0,INDEX(Input!$1:$1048576,R$93,$C239*2+MIN($B239,2)+5)
+INDEX(Scenarios!R$121:R$200,MATCH($B239,Scenarios!$B$121:$B$200,0)),),"Market")</f>
        <v>0</v>
      </c>
      <c r="S239" s="478">
        <f>IFERROR(MAX(0,INDEX(Input!$1:$1048576,S$93,$C239*2+MIN($B239,2)+5)
+INDEX(Scenarios!S$121:S$200,MATCH($B239,Scenarios!$B$121:$B$200,0)),),"Market")</f>
        <v>0</v>
      </c>
      <c r="T239" s="478">
        <f>IFERROR(MAX(0,INDEX(Input!$1:$1048576,T$93,$C239*2+MIN($B239,2)+5)
+INDEX(Scenarios!T$121:T$200,MATCH($B239,Scenarios!$B$121:$B$200,0)),),"Market")</f>
        <v>0</v>
      </c>
      <c r="U239" s="478">
        <f>IFERROR(MAX(0,INDEX(Input!$1:$1048576,U$93,$C239*2+MIN($B239,2)+5)
+INDEX(Scenarios!U$121:U$200,MATCH($B239,Scenarios!$B$121:$B$200,0)),),"Market")</f>
        <v>0</v>
      </c>
      <c r="V239" s="478">
        <f>IFERROR(MAX(0,INDEX(Input!$1:$1048576,V$93,$C239*2+MIN($B239,2)+5)
+INDEX(Scenarios!V$121:V$200,MATCH($B239,Scenarios!$B$121:$B$200,0)),),"Market")</f>
        <v>1.9E-2</v>
      </c>
      <c r="W239" s="885">
        <f>IFERROR(MAX(0,INDEX(Input!$1:$1048576,W$93,$C239*2+MIN($B239,2)+5)-0%,),"Market")</f>
        <v>3.9E-2</v>
      </c>
      <c r="X239" s="476" t="str">
        <f>INDEX(Input!$1:$1048576,X$93,$C239*2+MIN($B239,2)+5)</f>
        <v>Y</v>
      </c>
      <c r="Y239" s="475">
        <f>INDEX(Input!$1:$1048576,Y$93,$C239*2+MIN($B239,2)+5)
++INDEX(Scenarios!Y$121:Y$200,MATCH($B239,Scenarios!$B$121:$B$200,0))</f>
        <v>416</v>
      </c>
      <c r="Z239" s="477">
        <f>INDEX(Input!$1:$1048576,Z$93,$C239*2+MIN($B239,2)+5)
+INDEX(Scenarios!Z$121:Z$200,MATCH($B239,Scenarios!$B$121:$B$200,0))</f>
        <v>0</v>
      </c>
      <c r="AA239" s="475">
        <f>INDEX(Input!$1:$1048576,AA$93,$C239*2+MIN($B239,2)+5)
+INDEX(Scenarios!AA$121:AA$200,MATCH($B239,Scenarios!$B$121:$B$200,0))</f>
        <v>0</v>
      </c>
      <c r="AB239" s="476">
        <f>INDEX(Input!$1:$1048576,AB$93,$C239*2+MIN($B239,2)+5)</f>
        <v>0.27</v>
      </c>
      <c r="AC239" s="475">
        <f>INDEX(Input!$1:$1048576,AC$93,$C239*2+MIN($B239,2)+5)
+INDEX(Scenarios!AC$121:AC$200,MATCH($B239,Scenarios!$B$121:$B$200,0))</f>
        <v>0</v>
      </c>
      <c r="AD239" s="476">
        <f>INDEX(Input!$1:$1048576,AD$93,$C239*2+MIN($B239,2)+5)</f>
        <v>0.27</v>
      </c>
      <c r="AE239" s="475">
        <f>INDEX(Input!$1:$1048576,AE$93,$C239*2+MIN($B239,2)+5)
+INDEX(Scenarios!AE$121:AE$200,MATCH($B239,Scenarios!$B$121:$B$200,0))</f>
        <v>0</v>
      </c>
      <c r="AF239" s="476">
        <f>INDEX(Input!$1:$1048576,AF$93,$C239*2+MIN($B239,2)+5)</f>
        <v>4.8000000000000001E-2</v>
      </c>
      <c r="AG239" s="475">
        <f>INDEX(Input!$1:$1048576,AG$93,$C239*2+MIN($B239,2)+5)
+INDEX(Scenarios!AG$121:AG$200,MATCH($B239,Scenarios!$B$121:$B$200,0))</f>
        <v>500</v>
      </c>
      <c r="AH239" s="476">
        <f>INDEX(Input!$1:$1048576,AH$93,$C239*2+MIN($B239,2)+5)</f>
        <v>0.94599999999999995</v>
      </c>
      <c r="AI239" s="475">
        <f>INDEX(Input!$1:$1048576,AI$93,$C239*2+MIN($B239,2)+5)
+INDEX(Scenarios!AI$121:AI$200,MATCH($B239,Scenarios!$B$121:$B$200,0))</f>
        <v>0</v>
      </c>
      <c r="AJ239" s="476">
        <f>INDEX(Input!$1:$1048576,AJ$93,$C239*2+MIN($B239,2)+5)</f>
        <v>0.27</v>
      </c>
      <c r="AK239" s="150">
        <f>ROUND(INDEX(Input!$1:$1048576,AK$93,$C238*2+MIN($B239,1)+5)+(Y239-VLOOKUP($C239*1000+1,$A:$HH,Y$92,FALSE)),0)</f>
        <v>3337</v>
      </c>
      <c r="AL239" s="150">
        <f>ROUND(INDEX(Input!$1:$1048576,AL$93,$C238*2+MIN($B239,1)+5)-(Y239-VLOOKUP($C239*1000+1,$A:$HH,Y$92,FALSE))/36,0)</f>
        <v>3385</v>
      </c>
      <c r="AM239" s="32" t="str">
        <f t="shared" si="663"/>
        <v>std/std/std/std</v>
      </c>
      <c r="AN239" s="32" t="str">
        <f t="shared" si="664"/>
        <v>$0 + 0/0/0/1.9/3.9</v>
      </c>
      <c r="AO239" s="32" t="str">
        <f t="shared" si="665"/>
        <v>0/0/0/1.9/3.9</v>
      </c>
      <c r="AP239" s="32" t="str">
        <f t="shared" si="734"/>
        <v>0/0.9/1.9/3.9</v>
      </c>
      <c r="AQ239" s="536">
        <f t="shared" si="733"/>
        <v>0.36351865657279175</v>
      </c>
      <c r="AR239" s="32"/>
      <c r="AS239" s="302"/>
      <c r="AT239" s="3">
        <f t="shared" si="717"/>
        <v>39</v>
      </c>
      <c r="AU239" s="41" t="s">
        <v>121</v>
      </c>
      <c r="AV239" s="41" t="s">
        <v>116</v>
      </c>
      <c r="AW239" s="41" t="str">
        <f>INDEX(Input!$1:$1048576,AW$93,$C239*2+6)</f>
        <v>Kia</v>
      </c>
      <c r="AX239" s="41" t="str">
        <f>INDEX(Input!$1:$1048576,AX$93,$C239*2+6)</f>
        <v>Kia-LR - L2</v>
      </c>
      <c r="AY239" s="41" t="str">
        <f>IF(LEN(D239)=0,"",INDEX(Input!$1:$1048576,AY$93,$C239*2+6))</f>
        <v>Compact SUV (52)</v>
      </c>
      <c r="AZ239" s="41" t="str">
        <f>INDEX(Input!$1:$1048576,AZ$93,$C239*2+6)</f>
        <v>Kia Soul</v>
      </c>
      <c r="BA239" s="3">
        <f>INDEX(Input!$1:$1048576,BA$93,$C239*2+6)</f>
        <v>2020</v>
      </c>
      <c r="BB239" s="128">
        <f>INDEX(Input!$1:$1048576,BB$93,$C239*2+6)</f>
        <v>1</v>
      </c>
      <c r="BC239" s="128">
        <f>INDEX(Input!$1:$1048576,BC$93,$C239*2+6)</f>
        <v>0.7</v>
      </c>
      <c r="BD239" s="1">
        <f>INDEX(Input!$1:$1048576,BD$93,$C239*2+6)</f>
        <v>4.4999999999999998E-2</v>
      </c>
      <c r="BE239" s="1">
        <f>INDEX(Input!$1:$1048576,BE$93,$C239*2+6)</f>
        <v>4.4999999999999998E-2</v>
      </c>
      <c r="BF239" s="1">
        <f>INDEX(Input!$1:$1048576,BF$93,$C239*2+6)</f>
        <v>0.05</v>
      </c>
      <c r="BG239" s="1">
        <f>INDEX(Input!$1:$1048576,BG$93,$C239*2+6)</f>
        <v>5.45E-2</v>
      </c>
      <c r="BH239" s="1">
        <f>INDEX(Input!$1:$1048576,BH$93,$C239*2+6)</f>
        <v>5.45E-2</v>
      </c>
      <c r="BI239" s="1">
        <f>INDEX(Input!$1:$1048576,BI$93,$C239*2+6)</f>
        <v>0.05</v>
      </c>
      <c r="BJ239" s="1">
        <f>INDEX(Input!$1:$1048576,BJ$93,$C239*2+6)</f>
        <v>0.05</v>
      </c>
      <c r="BK239" s="1">
        <f>INDEX(Input!$1:$1048576,BK$93,$C239*2+6)</f>
        <v>0.05</v>
      </c>
      <c r="BL239" s="1">
        <f>INDEX(Input!$1:$1048576,BL$93,$C239*2+6)</f>
        <v>5.5E-2</v>
      </c>
      <c r="BM239" s="1">
        <f>INDEX(Input!$1:$1048576,BM$93,$C239*2+6)</f>
        <v>0.06</v>
      </c>
      <c r="BN239" s="1">
        <f>INDEX(Input!$1:$1048576,BN$93,$C239*2+6)</f>
        <v>4.4999999999999998E-2</v>
      </c>
      <c r="BO239" s="1">
        <f>INDEX(Input!$1:$1048576,BO$93,$C239*2+6)</f>
        <v>4.4999999999999998E-2</v>
      </c>
      <c r="BP239" s="1">
        <f>INDEX(Input!$1:$1048576,BP$93,$C239*2+6)</f>
        <v>0.05</v>
      </c>
      <c r="BQ239" s="1">
        <f>INDEX(Input!$1:$1048576,BQ$93,$C239*2+6)</f>
        <v>5.45E-2</v>
      </c>
      <c r="BR239" s="1">
        <f>INDEX(Input!$1:$1048576,BR$93,$C239*2+6)</f>
        <v>5.45E-2</v>
      </c>
      <c r="BS239" s="1">
        <f>INDEX(Input!$1:$1048576,BS$93,$C239*2+6)</f>
        <v>0.05</v>
      </c>
      <c r="BT239" s="1">
        <f>INDEX(Input!$1:$1048576,BT$93,$C239*2+6)</f>
        <v>0.05</v>
      </c>
      <c r="BU239" s="1">
        <f>INDEX(Input!$1:$1048576,BU$93,$C239*2+6)</f>
        <v>0.05</v>
      </c>
      <c r="BV239" s="1">
        <f>INDEX(Input!$1:$1048576,BV$93,$C239*2+6)</f>
        <v>5.5E-2</v>
      </c>
      <c r="BW239" s="1">
        <f>INDEX(Input!$1:$1048576,BW$93,$C239*2+6)</f>
        <v>0.06</v>
      </c>
      <c r="BX239" s="127">
        <f>INDEX(Input!$1:$1048576,BX$93,$C239*2+6)</f>
        <v>19985</v>
      </c>
      <c r="BY239" s="20">
        <f>INDEX(Input!$1:$1048576,BY$93,$C239*2+6)</f>
        <v>0.1</v>
      </c>
      <c r="BZ239" s="20">
        <f>INDEX(Input!$1:$1048576,BZ$93,$C239*2+6)</f>
        <v>0.1</v>
      </c>
      <c r="CA239" s="20">
        <f>INDEX(Input!$1:$1048576,CA$93,$C239*2+6)</f>
        <v>0.1</v>
      </c>
      <c r="CB239" s="20">
        <f>INDEX(Input!$1:$1048576,CB$93,$C239*2+6)</f>
        <v>0.1</v>
      </c>
      <c r="CC239" s="20">
        <f>INDEX(Input!$1:$1048576,CC$93,$C239*2+6)</f>
        <v>0.1</v>
      </c>
      <c r="CD239" s="384">
        <f>INDEX(Input!$1:$1048576,CD$93,$C239*2+6)</f>
        <v>0.1</v>
      </c>
      <c r="CE239" s="384">
        <f>INDEX(Input!$1:$1048576,CE$93,$C239*2+6)</f>
        <v>0.1</v>
      </c>
      <c r="CF239" s="384">
        <f>INDEX(Input!$1:$1048576,CF$93,$C239*2+6)</f>
        <v>0.1</v>
      </c>
      <c r="CG239" s="384">
        <f>INDEX(Input!$1:$1048576,CG$93,$C239*2+6)</f>
        <v>0.1</v>
      </c>
      <c r="CH239" s="384">
        <f>INDEX(Input!$1:$1048576,CH$93,$C239*2+6)</f>
        <v>0.1</v>
      </c>
      <c r="CI239" s="304">
        <f t="shared" si="735"/>
        <v>1519.7618664521319</v>
      </c>
      <c r="CJ239" s="16" t="str">
        <f>INDEX(Input!$1:$1048576,CJ$93,$C239*2+6)</f>
        <v>N</v>
      </c>
      <c r="CK239" s="1" t="str">
        <f t="shared" si="736"/>
        <v>Market</v>
      </c>
      <c r="CL239" s="1" t="str">
        <f t="shared" si="737"/>
        <v>Market</v>
      </c>
      <c r="CM239" s="1" t="str">
        <f t="shared" si="738"/>
        <v>Market</v>
      </c>
      <c r="CN239" s="1" t="str">
        <f t="shared" si="739"/>
        <v>Market</v>
      </c>
      <c r="CO239" s="1" t="str">
        <f t="shared" si="740"/>
        <v>Market</v>
      </c>
      <c r="CP239" s="304">
        <f t="shared" si="741"/>
        <v>473</v>
      </c>
      <c r="CQ239" s="1">
        <f t="shared" si="742"/>
        <v>0</v>
      </c>
      <c r="CR239" s="1">
        <f t="shared" si="743"/>
        <v>0</v>
      </c>
      <c r="CS239" s="1">
        <f t="shared" si="744"/>
        <v>0</v>
      </c>
      <c r="CT239" s="1">
        <f t="shared" si="745"/>
        <v>1.9E-2</v>
      </c>
      <c r="CU239" s="1">
        <f t="shared" si="746"/>
        <v>3.9E-2</v>
      </c>
      <c r="CV239" s="304">
        <f t="shared" si="747"/>
        <v>416</v>
      </c>
      <c r="CW239" s="20" t="s">
        <v>122</v>
      </c>
      <c r="CX239" s="20" t="s">
        <v>122</v>
      </c>
      <c r="CY239" s="20" t="s">
        <v>122</v>
      </c>
      <c r="CZ239" s="20" t="s">
        <v>122</v>
      </c>
      <c r="DA239" s="20" t="s">
        <v>122</v>
      </c>
      <c r="DB239" s="503">
        <f t="shared" si="748"/>
        <v>0</v>
      </c>
      <c r="DC239" s="127">
        <v>0</v>
      </c>
      <c r="DD239" s="127">
        <v>0</v>
      </c>
      <c r="DE239" s="127">
        <v>0</v>
      </c>
      <c r="DF239" s="127">
        <v>0</v>
      </c>
      <c r="DG239" s="127">
        <v>0</v>
      </c>
      <c r="DH239" s="127">
        <v>0</v>
      </c>
      <c r="DI239" s="127">
        <v>0</v>
      </c>
      <c r="DJ239" s="127">
        <v>0</v>
      </c>
      <c r="DK239" s="127">
        <v>0</v>
      </c>
      <c r="DL239" s="127">
        <v>0</v>
      </c>
      <c r="DM239" s="304">
        <f>INDEX(Input!$1:$1048576,DM$93,$C239*2+6)</f>
        <v>21036.84210526316</v>
      </c>
      <c r="DN239" s="20">
        <v>0</v>
      </c>
      <c r="DO239" s="20">
        <v>0</v>
      </c>
      <c r="DP239" s="20">
        <v>0</v>
      </c>
      <c r="DQ239" s="20">
        <v>0</v>
      </c>
      <c r="DR239" s="20">
        <v>0</v>
      </c>
      <c r="DS239" s="20">
        <f>INDEX(Input!$1:$1048576,DS$93,$C239*2+6)</f>
        <v>0.6</v>
      </c>
      <c r="DT239" s="20">
        <f>INDEX(Input!$1:$1048576,DT$93,$C239*2+6)</f>
        <v>0.55000000000000004</v>
      </c>
      <c r="DU239" s="20">
        <f>INDEX(Input!$1:$1048576,DU$93,$C239*2+6)</f>
        <v>0.52</v>
      </c>
      <c r="DV239" s="20">
        <f>INDEX(Input!$1:$1048576,DV$93,$C239*2+6)</f>
        <v>0.5</v>
      </c>
      <c r="DW239" s="20">
        <f>INDEX(Input!$1:$1048576,DW$93,$C239*2+6)</f>
        <v>0.45</v>
      </c>
      <c r="DX239" s="20"/>
      <c r="DY239" s="7">
        <v>9.4842862198725425E-2</v>
      </c>
      <c r="DZ239" s="7">
        <v>0</v>
      </c>
      <c r="EA239" s="7">
        <v>0.65034195933881644</v>
      </c>
      <c r="EB239" s="7">
        <v>0</v>
      </c>
      <c r="EC239" s="7">
        <v>0</v>
      </c>
      <c r="ED239" s="7">
        <v>0</v>
      </c>
      <c r="EE239" s="7">
        <v>0</v>
      </c>
      <c r="EF239" s="7">
        <v>0</v>
      </c>
      <c r="EG239" s="7">
        <v>0</v>
      </c>
      <c r="EH239" s="7">
        <v>1.425852101673405E-2</v>
      </c>
      <c r="EI239" s="7">
        <v>4.0581242451617178E-2</v>
      </c>
      <c r="EJ239" s="7">
        <v>0.30720186723223897</v>
      </c>
      <c r="EK239" s="7">
        <v>0.52676416607278553</v>
      </c>
      <c r="EL239" s="7">
        <v>0.11119420322662429</v>
      </c>
      <c r="EM239" s="7">
        <v>4.9846238219464462E-2</v>
      </c>
      <c r="EN239" s="7">
        <v>6.6797110721962386E-2</v>
      </c>
      <c r="EO239" s="7">
        <v>0.7426646398750173</v>
      </c>
      <c r="EP239" s="7">
        <v>8.229268698958056E-2</v>
      </c>
      <c r="EQ239" s="7">
        <v>7.017448559916574E-2</v>
      </c>
      <c r="ER239" s="7">
        <v>3.8071076814274053E-2</v>
      </c>
      <c r="ES239" s="7">
        <v>0.20496894024299359</v>
      </c>
      <c r="ET239" s="7">
        <v>0.25481517846245816</v>
      </c>
      <c r="EU239" s="6">
        <v>1544</v>
      </c>
      <c r="EV239" s="6">
        <v>0</v>
      </c>
      <c r="EW239" s="6">
        <v>1544</v>
      </c>
      <c r="EX239" s="6">
        <v>0</v>
      </c>
      <c r="EY239" s="6">
        <v>2053.957930209951</v>
      </c>
      <c r="EZ239" s="6">
        <v>1306</v>
      </c>
      <c r="FA239" s="6">
        <v>0</v>
      </c>
      <c r="FB239" s="6">
        <v>0</v>
      </c>
      <c r="FC239" s="6">
        <v>0</v>
      </c>
      <c r="FD239" s="6">
        <v>0</v>
      </c>
      <c r="FE239" s="6">
        <v>0</v>
      </c>
      <c r="FF239" s="6">
        <v>0</v>
      </c>
      <c r="FG239" s="6">
        <v>0</v>
      </c>
      <c r="FH239" s="6">
        <v>1173.7308201418764</v>
      </c>
      <c r="FI239" s="6">
        <v>1553.9796069512397</v>
      </c>
      <c r="FJ239" s="6">
        <v>2101.2110117447401</v>
      </c>
      <c r="FK239" s="6">
        <v>1772.7139978623222</v>
      </c>
      <c r="FL239" s="6">
        <v>907.07682140966335</v>
      </c>
      <c r="FM239" s="6">
        <v>1759.957930209951</v>
      </c>
      <c r="FN239" s="6">
        <v>0</v>
      </c>
      <c r="FO239" s="6">
        <v>0</v>
      </c>
      <c r="FP239" s="6">
        <v>0</v>
      </c>
      <c r="FQ239" s="6">
        <v>0</v>
      </c>
      <c r="FR239" s="6">
        <v>0</v>
      </c>
      <c r="FS239" s="6">
        <v>0</v>
      </c>
      <c r="FT239" s="7">
        <v>0.74518482153754184</v>
      </c>
      <c r="FU239" s="7">
        <v>4.9846238219464462E-2</v>
      </c>
      <c r="FV239" s="7">
        <v>0.20496894024299359</v>
      </c>
      <c r="FW239" s="6">
        <v>1544.0000000000002</v>
      </c>
      <c r="FX239" s="6">
        <v>2053.957930209951</v>
      </c>
      <c r="FY239" s="6">
        <v>1306</v>
      </c>
      <c r="FZ239" s="6">
        <v>1817.4615072224267</v>
      </c>
      <c r="GA239" s="6">
        <v>1520.6368766933178</v>
      </c>
      <c r="GB239" s="6">
        <v>18464.363123306681</v>
      </c>
      <c r="GC239" s="7">
        <v>1.804905384453976E-2</v>
      </c>
      <c r="GD239" s="7">
        <v>1.7754903363583003E-2</v>
      </c>
      <c r="GE239" s="7"/>
      <c r="GF239" s="7"/>
      <c r="GG239" s="7">
        <v>-1.6297279818118782E-2</v>
      </c>
      <c r="GH239" s="42">
        <v>1.0972847387513658</v>
      </c>
      <c r="GI239" s="6">
        <v>19733.776360198339</v>
      </c>
      <c r="GJ239" s="14">
        <v>0.50394797582841755</v>
      </c>
      <c r="GK239" s="14">
        <v>0.50887573065309766</v>
      </c>
      <c r="GL239" s="14">
        <v>0.49605202417158284</v>
      </c>
      <c r="GM239" s="14">
        <v>0.49112426934690268</v>
      </c>
      <c r="GO239" s="5">
        <v>343.14810671672558</v>
      </c>
      <c r="GP239" s="5">
        <v>313.69153224305785</v>
      </c>
      <c r="GQ239" s="5">
        <v>535.04305713031317</v>
      </c>
      <c r="GR239" s="5">
        <v>410.15490233172511</v>
      </c>
      <c r="GS239" s="5">
        <v>339.42744393800166</v>
      </c>
      <c r="GT239" s="5">
        <v>293.4407446948278</v>
      </c>
      <c r="GU239" s="5">
        <v>258.04012322764959</v>
      </c>
      <c r="GV239" s="39" t="s">
        <v>392</v>
      </c>
      <c r="GW239" s="5">
        <v>491.45833333333331</v>
      </c>
      <c r="GX239" s="5">
        <v>368.59375</v>
      </c>
      <c r="GY239" s="5">
        <v>294.875</v>
      </c>
      <c r="GZ239" s="5">
        <v>260.19607020114813</v>
      </c>
      <c r="HA239" s="5">
        <v>241.02179695997205</v>
      </c>
      <c r="HB239" s="39">
        <v>276.41380451782675</v>
      </c>
      <c r="HC239" s="5">
        <v>230.14687499999999</v>
      </c>
      <c r="HD239" s="5">
        <v>200.80677997076018</v>
      </c>
      <c r="HE239" s="5">
        <v>204.75485408232115</v>
      </c>
      <c r="HF239" s="5">
        <v>190.70750548245613</v>
      </c>
      <c r="HG239" s="5">
        <v>185.59971491228069</v>
      </c>
      <c r="HH239" s="39">
        <v>201.80385043999303</v>
      </c>
      <c r="HI239" s="16"/>
      <c r="HJ239" s="19" t="str">
        <f t="shared" si="753"/>
        <v>On</v>
      </c>
      <c r="HK239" s="1" t="str">
        <f t="shared" si="753"/>
        <v>On</v>
      </c>
      <c r="HL239" s="16"/>
      <c r="HM239" s="639">
        <f t="shared" si="634"/>
        <v>1.2768706344444866E-2</v>
      </c>
      <c r="HN239" s="639">
        <f t="shared" si="635"/>
        <v>9.795534288915453E-4</v>
      </c>
      <c r="HO239" s="639">
        <f t="shared" si="636"/>
        <v>3.3583061774515237E-3</v>
      </c>
      <c r="HP239" s="644">
        <f>(FT239*$GD239-HM239)/$JF239*INDEX(Input!$1:$1048576,$JG$93,$C239*2+6)</f>
        <v>33.568329380427336</v>
      </c>
      <c r="HQ239" s="644">
        <f>(FU239*$GD239-HN239)/$JF239*INDEX(Input!$1:$1048576,$JG$93,$C239*2+6)</f>
        <v>-6.8693559050780575</v>
      </c>
      <c r="HR239" s="644">
        <f>(FV239*$GD239-HO239)/$JF239*INDEX(Input!$1:$1048576,$JG$93,$C239*2+6)</f>
        <v>20.410622128036412</v>
      </c>
      <c r="HS239" s="644">
        <f t="shared" si="754"/>
        <v>-18.235635507163682</v>
      </c>
      <c r="HT239" s="644">
        <f t="shared" si="638"/>
        <v>-0.78543550865075806</v>
      </c>
      <c r="HU239" s="644">
        <f t="shared" si="639"/>
        <v>11.74162853246321</v>
      </c>
      <c r="HV239" s="648">
        <f t="shared" si="640"/>
        <v>0</v>
      </c>
      <c r="HW239" s="648">
        <f t="shared" si="641"/>
        <v>0</v>
      </c>
      <c r="HX239" s="648">
        <f t="shared" si="642"/>
        <v>0</v>
      </c>
      <c r="HY239" s="644">
        <f>INDEX(Input!$1:$1048576,HY$93,$C239*2+6)*INDEX(Input!$1:$1048576,$JG$93,$C239*2+6)</f>
        <v>451</v>
      </c>
      <c r="HZ239" s="644">
        <f>INDEX(Input!$1:$1048576,HZ$93,$C239*2+6)*INDEX(Input!$1:$1048576,$JG$93,$C239*2+6)</f>
        <v>577</v>
      </c>
      <c r="IA239" s="644">
        <f>INDEX(Input!$1:$1048576,IA$93,$C239*2+6)*INDEX(Input!$1:$1048576,$JG$93,$C239*2+6)</f>
        <v>215</v>
      </c>
      <c r="IB239" s="644">
        <f t="shared" si="666"/>
        <v>466.33269387326368</v>
      </c>
      <c r="IC239" s="644">
        <f t="shared" si="667"/>
        <v>569.34520858627127</v>
      </c>
      <c r="ID239" s="644">
        <f>IF(AND(INDEX(Input!$1:$1048576,IA$93,$C239*2+7)="TOS",Y239&lt;=INDEX(Y:Y,MATCH(C239*1000+2,A:A))),0,1)*MAX(IA239+HR239+HU239+HX239,0%)</f>
        <v>247.15225066049962</v>
      </c>
      <c r="IE239" s="128">
        <f t="shared" si="755"/>
        <v>0.36351865657279175</v>
      </c>
      <c r="IF239" s="128">
        <f t="shared" si="643"/>
        <v>0.44381963364482718</v>
      </c>
      <c r="IG239" s="128">
        <f t="shared" si="644"/>
        <v>0.19266170978238112</v>
      </c>
      <c r="IH239" s="21"/>
      <c r="II239" s="19">
        <f t="shared" si="645"/>
        <v>1252</v>
      </c>
      <c r="IJ239" s="19">
        <f t="shared" si="646"/>
        <v>2011.9658773055378</v>
      </c>
      <c r="IK239" s="19">
        <f t="shared" si="647"/>
        <v>919</v>
      </c>
      <c r="IL239" s="19">
        <f t="shared" si="669"/>
        <v>292.00000000000023</v>
      </c>
      <c r="IM239" s="19">
        <f t="shared" si="648"/>
        <v>41.992052904413185</v>
      </c>
      <c r="IN239" s="19">
        <f t="shared" si="649"/>
        <v>387</v>
      </c>
      <c r="IO239" s="39">
        <f t="shared" si="650"/>
        <v>0</v>
      </c>
      <c r="IP239" s="39">
        <f t="shared" si="651"/>
        <v>0</v>
      </c>
      <c r="IQ239" s="39">
        <f t="shared" si="652"/>
        <v>0</v>
      </c>
      <c r="IR239" s="39">
        <v>0</v>
      </c>
      <c r="IS239" s="39">
        <v>0</v>
      </c>
      <c r="IT239" s="39">
        <v>0</v>
      </c>
      <c r="IU239" s="39">
        <v>0</v>
      </c>
      <c r="IV239" s="39">
        <v>0</v>
      </c>
      <c r="IW239" s="39">
        <v>0</v>
      </c>
      <c r="IX239" s="39">
        <f>INDEX(Input!$1:$1048576,IX$93,$C239*2+6)+INDEX(Input!$1:$1048576,IX$94,$C239*2+6)</f>
        <v>1294</v>
      </c>
      <c r="IY239" s="39">
        <f>INDEX(Input!$1:$1048576,IY$93,$C239*2+6)+INDEX(Input!$1:$1048576,IY$94,$C239*2+6)</f>
        <v>2154.0624533823611</v>
      </c>
      <c r="IZ239" s="39">
        <f>INDEX(Input!$1:$1048576,IZ$93,$C239*2+6)+INDEX(Input!$1:$1048576,IZ$94,$C239*2+6)</f>
        <v>3677.7164157747848</v>
      </c>
      <c r="JA239" s="19">
        <f t="shared" si="670"/>
        <v>1586.0000000000002</v>
      </c>
      <c r="JB239" s="19">
        <f t="shared" si="671"/>
        <v>2196.0545062867741</v>
      </c>
      <c r="JC239" s="19">
        <f t="shared" si="672"/>
        <v>4064.7164157747848</v>
      </c>
      <c r="JD239" s="19">
        <f t="shared" si="673"/>
        <v>2334.3079102123975</v>
      </c>
      <c r="JE239" s="21"/>
      <c r="JF239" s="1">
        <f t="shared" si="653"/>
        <v>1.7106565950787935E-2</v>
      </c>
      <c r="JG239" s="15">
        <f>INDEX(Input!$1:$1048576,JG$93,$C239*2+6)/(1+VLOOKUP(C239*1000+INDEX(Input!$1:$1048576,JG$93+1,$C239*2+6),$A:$KK,$JK$92,FALSE))</f>
        <v>1243</v>
      </c>
      <c r="JH239" s="1">
        <f t="shared" si="674"/>
        <v>3.7899916012377861E-2</v>
      </c>
      <c r="JI239" s="1">
        <f t="shared" si="675"/>
        <v>-5.8563495441281005E-3</v>
      </c>
      <c r="JJ239" s="1">
        <f t="shared" si="731"/>
        <v>0</v>
      </c>
      <c r="JK239" s="1">
        <f t="shared" si="732"/>
        <v>3.2043566468249761E-2</v>
      </c>
      <c r="JL239" s="15">
        <f t="shared" si="678"/>
        <v>39.830153120034453</v>
      </c>
      <c r="JM239" s="15">
        <f t="shared" si="702"/>
        <v>1282.8301531200345</v>
      </c>
      <c r="JN239" s="21"/>
      <c r="JO239" s="19">
        <f>INDEX(Input!$1:$1048576,JO$93,$C239*2+6)</f>
        <v>5995.5</v>
      </c>
      <c r="JP239" s="19">
        <f>INDEX(Input!$1:$1048576,JP$93,$C239*2+6)</f>
        <v>2105.548724853742</v>
      </c>
      <c r="JQ239" s="39">
        <f t="shared" si="688"/>
        <v>3661.1920897876025</v>
      </c>
      <c r="JR239" s="39">
        <f t="shared" si="705"/>
        <v>228.75918535865549</v>
      </c>
      <c r="JS239" s="39">
        <f t="shared" si="690"/>
        <v>2.9945205738870775</v>
      </c>
      <c r="JT239" s="39">
        <f t="shared" si="680"/>
        <v>0.37732350889387634</v>
      </c>
      <c r="JU239" s="385">
        <f>(JQ239*JM239-INDEX(Input!$1:$1048576,Input!A$18,$C239*2+6)*JL239*INDEX(Input!$1:$1048576,Input!A$19,$C239*2+6))/1000000</f>
        <v>4.6966876091440897</v>
      </c>
      <c r="JV239" s="39">
        <f t="shared" si="712"/>
        <v>-0.13852182586270878</v>
      </c>
      <c r="JW239" s="1">
        <f t="shared" si="703"/>
        <v>-2.8648567911001774E-2</v>
      </c>
      <c r="JX239" s="19">
        <f t="shared" si="694"/>
        <v>9473.3130389118123</v>
      </c>
      <c r="JZ239" s="341"/>
      <c r="KA239" s="342"/>
      <c r="KB239" s="469">
        <f t="shared" si="691"/>
        <v>2.5660492421988774</v>
      </c>
      <c r="KI239" s="473">
        <f t="shared" si="756"/>
        <v>15.332693873263679</v>
      </c>
      <c r="KJ239" s="473">
        <f t="shared" si="757"/>
        <v>-7.6547914137287307</v>
      </c>
      <c r="KK239" s="473">
        <f t="shared" si="682"/>
        <v>32.152250660499618</v>
      </c>
      <c r="KN239" s="544">
        <f t="shared" si="695"/>
        <v>2002</v>
      </c>
      <c r="KO239" s="541">
        <f t="shared" si="657"/>
        <v>2.5963027617152967E-2</v>
      </c>
      <c r="KP239" s="546">
        <f t="shared" si="658"/>
        <v>160.23384813389953</v>
      </c>
      <c r="KQ239" s="546">
        <f t="shared" si="659"/>
        <v>190.62757077892456</v>
      </c>
      <c r="KR239" s="548">
        <f t="shared" si="660"/>
        <v>2.8908665707551209</v>
      </c>
      <c r="KS239" s="548">
        <f t="shared" si="661"/>
        <v>2.4299458529581974</v>
      </c>
      <c r="KT239" s="473">
        <f t="shared" si="693"/>
        <v>843.26993010479111</v>
      </c>
      <c r="KU239" s="663">
        <f t="shared" si="683"/>
        <v>4.462739912845052</v>
      </c>
      <c r="KV239" s="117"/>
    </row>
    <row r="240" spans="1:308" s="26" customFormat="1" ht="15">
      <c r="A240" s="561">
        <f t="shared" si="662"/>
        <v>2040</v>
      </c>
      <c r="B240" s="561">
        <f t="shared" si="684"/>
        <v>40</v>
      </c>
      <c r="C240" s="561">
        <f t="shared" si="105"/>
        <v>2</v>
      </c>
      <c r="D240" s="561" t="str">
        <f t="shared" si="728"/>
        <v xml:space="preserve">500 CC, 360 Lease, </v>
      </c>
      <c r="E240" s="475">
        <f>INDEX(Input!$1:$1048576,E$93,$C240*2+MIN($B240,2)+5)
+INDEX(Scenarios!E$121:E$200,MATCH($B240,Scenarios!$B$121:$B$200,0))</f>
        <v>1769.7618664521319</v>
      </c>
      <c r="F240" s="475">
        <f>INDEX(Input!$1:$1048576,F$93,$C240*2+MIN($B240,2)+5)
+INDEX(Scenarios!F$121:F$200,MATCH($B240,Scenarios!$B$121:$B$200,0))</f>
        <v>0</v>
      </c>
      <c r="G240" s="475">
        <f>INDEX(Input!$1:$1048576,G$93,$C240*2+MIN($B240,2)+5)
+INDEX(Scenarios!G$121:G$200,MATCH($B240,Scenarios!$B$121:$B$200,0))</f>
        <v>0</v>
      </c>
      <c r="H240" s="475">
        <f>INDEX(Input!$1:$1048576,H$93,$C240*2+MIN($B240,2)+5)
+INDEX(Scenarios!H$121:H$200,MATCH($B240,Scenarios!$B$121:$B$200,0))</f>
        <v>0</v>
      </c>
      <c r="I240" s="476">
        <f>INDEX(Input!$1:$1048576,I$93,$C240*2+MIN($B240,2)+5)</f>
        <v>0.7</v>
      </c>
      <c r="J240" s="476" t="str">
        <f>INDEX(Input!$1:$1048576,J$93,$C240*2+MIN($B240,2)+5)</f>
        <v>Market</v>
      </c>
      <c r="K240" s="476" t="str">
        <f>INDEX(Input!$1:$1048576,K$93,$C240*2+MIN($B240,2)+5)</f>
        <v>Market</v>
      </c>
      <c r="L240" s="476" t="str">
        <f>INDEX(Input!$1:$1048576,L$93,$C240*2+MIN($B240,2)+5)</f>
        <v>Market</v>
      </c>
      <c r="M240" s="476" t="str">
        <f>INDEX(Input!$1:$1048576,M$93,$C240*2+MIN($B240,2)+5)</f>
        <v>Market</v>
      </c>
      <c r="N240" s="476" t="str">
        <f>INDEX(Input!$1:$1048576,N$93,$C240*2+MIN($B240,2)+5)</f>
        <v>Market</v>
      </c>
      <c r="O240" s="476" t="str">
        <f>INDEX(Input!$1:$1048576,O$93,$C240*2+MIN($B240,2)+5)</f>
        <v>Market</v>
      </c>
      <c r="P240" s="476" t="str">
        <f>INDEX(Input!$1:$1048576,P$93,$C240*2+MIN($B240,2)+5)</f>
        <v>N</v>
      </c>
      <c r="Q240" s="477">
        <f>INDEX(Input!$1:$1048576,Q$93,$C240*2+MIN($B240,2)+5)
+INDEX(Scenarios!Q$121:Q$200,MATCH($B240,Scenarios!$B$121:$B$200,0))</f>
        <v>0</v>
      </c>
      <c r="R240" s="478">
        <f>IFERROR(MAX(0,INDEX(Input!$1:$1048576,R$93,$C240*2+MIN($B240,2)+5)
+INDEX(Scenarios!R$121:R$200,MATCH($B240,Scenarios!$B$121:$B$200,0)),),"Market")</f>
        <v>0</v>
      </c>
      <c r="S240" s="478">
        <f>IFERROR(MAX(0,INDEX(Input!$1:$1048576,S$93,$C240*2+MIN($B240,2)+5)
+INDEX(Scenarios!S$121:S$200,MATCH($B240,Scenarios!$B$121:$B$200,0)),),"Market")</f>
        <v>0</v>
      </c>
      <c r="T240" s="478">
        <f>IFERROR(MAX(0,INDEX(Input!$1:$1048576,T$93,$C240*2+MIN($B240,2)+5)
+INDEX(Scenarios!T$121:T$200,MATCH($B240,Scenarios!$B$121:$B$200,0)),),"Market")</f>
        <v>0</v>
      </c>
      <c r="U240" s="478">
        <f>IFERROR(MAX(0,INDEX(Input!$1:$1048576,U$93,$C240*2+MIN($B240,2)+5)
+INDEX(Scenarios!U$121:U$200,MATCH($B240,Scenarios!$B$121:$B$200,0)),),"Market")</f>
        <v>0</v>
      </c>
      <c r="V240" s="478">
        <f>IFERROR(MAX(0,INDEX(Input!$1:$1048576,V$93,$C240*2+MIN($B240,2)+5)
+INDEX(Scenarios!V$121:V$200,MATCH($B240,Scenarios!$B$121:$B$200,0)),),"Market")</f>
        <v>1.9E-2</v>
      </c>
      <c r="W240" s="885">
        <f>IFERROR(MAX(0,INDEX(Input!$1:$1048576,W$93,$C240*2+MIN($B240,2)+5)-0%,),"Market")</f>
        <v>3.9E-2</v>
      </c>
      <c r="X240" s="476" t="str">
        <f>INDEX(Input!$1:$1048576,X$93,$C240*2+MIN($B240,2)+5)</f>
        <v>Y</v>
      </c>
      <c r="Y240" s="475">
        <f>INDEX(Input!$1:$1048576,Y$93,$C240*2+MIN($B240,2)+5)
++INDEX(Scenarios!Y$121:Y$200,MATCH($B240,Scenarios!$B$121:$B$200,0))</f>
        <v>416</v>
      </c>
      <c r="Z240" s="477">
        <f>INDEX(Input!$1:$1048576,Z$93,$C240*2+MIN($B240,2)+5)
+INDEX(Scenarios!Z$121:Z$200,MATCH($B240,Scenarios!$B$121:$B$200,0))</f>
        <v>0</v>
      </c>
      <c r="AA240" s="475">
        <f>INDEX(Input!$1:$1048576,AA$93,$C240*2+MIN($B240,2)+5)
+INDEX(Scenarios!AA$121:AA$200,MATCH($B240,Scenarios!$B$121:$B$200,0))</f>
        <v>0</v>
      </c>
      <c r="AB240" s="476">
        <f>INDEX(Input!$1:$1048576,AB$93,$C240*2+MIN($B240,2)+5)</f>
        <v>0.27</v>
      </c>
      <c r="AC240" s="475">
        <f>INDEX(Input!$1:$1048576,AC$93,$C240*2+MIN($B240,2)+5)
+INDEX(Scenarios!AC$121:AC$200,MATCH($B240,Scenarios!$B$121:$B$200,0))</f>
        <v>0</v>
      </c>
      <c r="AD240" s="476">
        <f>INDEX(Input!$1:$1048576,AD$93,$C240*2+MIN($B240,2)+5)</f>
        <v>0.27</v>
      </c>
      <c r="AE240" s="475">
        <f>INDEX(Input!$1:$1048576,AE$93,$C240*2+MIN($B240,2)+5)
+INDEX(Scenarios!AE$121:AE$200,MATCH($B240,Scenarios!$B$121:$B$200,0))</f>
        <v>0</v>
      </c>
      <c r="AF240" s="476">
        <f>INDEX(Input!$1:$1048576,AF$93,$C240*2+MIN($B240,2)+5)</f>
        <v>4.8000000000000001E-2</v>
      </c>
      <c r="AG240" s="475">
        <f>INDEX(Input!$1:$1048576,AG$93,$C240*2+MIN($B240,2)+5)
+INDEX(Scenarios!AG$121:AG$200,MATCH($B240,Scenarios!$B$121:$B$200,0))</f>
        <v>500</v>
      </c>
      <c r="AH240" s="476">
        <f>INDEX(Input!$1:$1048576,AH$93,$C240*2+MIN($B240,2)+5)</f>
        <v>0.94599999999999995</v>
      </c>
      <c r="AI240" s="475">
        <f>INDEX(Input!$1:$1048576,AI$93,$C240*2+MIN($B240,2)+5)
+INDEX(Scenarios!AI$121:AI$200,MATCH($B240,Scenarios!$B$121:$B$200,0))</f>
        <v>0</v>
      </c>
      <c r="AJ240" s="476">
        <f>INDEX(Input!$1:$1048576,AJ$93,$C240*2+MIN($B240,2)+5)</f>
        <v>0.27</v>
      </c>
      <c r="AK240" s="150">
        <f>ROUND(INDEX(Input!$1:$1048576,AK$93,$C239*2+MIN($B240,1)+5)+(Y240-VLOOKUP($C240*1000+1,$A:$HH,Y$92,FALSE)),0)</f>
        <v>3337</v>
      </c>
      <c r="AL240" s="150">
        <f>ROUND(INDEX(Input!$1:$1048576,AL$93,$C239*2+MIN($B240,1)+5)-(Y240-VLOOKUP($C240*1000+1,$A:$HH,Y$92,FALSE))/36,0)</f>
        <v>3385</v>
      </c>
      <c r="AM240" s="32" t="str">
        <f t="shared" si="663"/>
        <v>std/std/std/std</v>
      </c>
      <c r="AN240" s="32" t="str">
        <f t="shared" si="664"/>
        <v>$0 + 0/0/0/1.9/3.9</v>
      </c>
      <c r="AO240" s="32" t="str">
        <f t="shared" si="665"/>
        <v>0/0/0/1.9/3.9</v>
      </c>
      <c r="AP240" s="32" t="str">
        <f t="shared" si="734"/>
        <v>0/0.9/1.9/3.9</v>
      </c>
      <c r="AQ240" s="536">
        <f t="shared" si="733"/>
        <v>0.3902932380762551</v>
      </c>
      <c r="AR240" s="32"/>
      <c r="AS240" s="302"/>
      <c r="AT240" s="3">
        <f t="shared" si="717"/>
        <v>40</v>
      </c>
      <c r="AU240" s="41" t="s">
        <v>121</v>
      </c>
      <c r="AV240" s="41" t="s">
        <v>116</v>
      </c>
      <c r="AW240" s="41" t="str">
        <f>INDEX(Input!$1:$1048576,AW$93,$C240*2+6)</f>
        <v>Kia</v>
      </c>
      <c r="AX240" s="41" t="str">
        <f>INDEX(Input!$1:$1048576,AX$93,$C240*2+6)</f>
        <v>Kia-LR - L2</v>
      </c>
      <c r="AY240" s="41" t="str">
        <f>IF(LEN(D240)=0,"",INDEX(Input!$1:$1048576,AY$93,$C240*2+6))</f>
        <v>Compact SUV (52)</v>
      </c>
      <c r="AZ240" s="41" t="str">
        <f>INDEX(Input!$1:$1048576,AZ$93,$C240*2+6)</f>
        <v>Kia Soul</v>
      </c>
      <c r="BA240" s="3">
        <f>INDEX(Input!$1:$1048576,BA$93,$C240*2+6)</f>
        <v>2020</v>
      </c>
      <c r="BB240" s="128">
        <f>INDEX(Input!$1:$1048576,BB$93,$C240*2+6)</f>
        <v>1</v>
      </c>
      <c r="BC240" s="128">
        <f>INDEX(Input!$1:$1048576,BC$93,$C240*2+6)</f>
        <v>0.7</v>
      </c>
      <c r="BD240" s="1">
        <f>INDEX(Input!$1:$1048576,BD$93,$C240*2+6)</f>
        <v>4.4999999999999998E-2</v>
      </c>
      <c r="BE240" s="1">
        <f>INDEX(Input!$1:$1048576,BE$93,$C240*2+6)</f>
        <v>4.4999999999999998E-2</v>
      </c>
      <c r="BF240" s="1">
        <f>INDEX(Input!$1:$1048576,BF$93,$C240*2+6)</f>
        <v>0.05</v>
      </c>
      <c r="BG240" s="1">
        <f>INDEX(Input!$1:$1048576,BG$93,$C240*2+6)</f>
        <v>5.45E-2</v>
      </c>
      <c r="BH240" s="1">
        <f>INDEX(Input!$1:$1048576,BH$93,$C240*2+6)</f>
        <v>5.45E-2</v>
      </c>
      <c r="BI240" s="1">
        <f>INDEX(Input!$1:$1048576,BI$93,$C240*2+6)</f>
        <v>0.05</v>
      </c>
      <c r="BJ240" s="1">
        <f>INDEX(Input!$1:$1048576,BJ$93,$C240*2+6)</f>
        <v>0.05</v>
      </c>
      <c r="BK240" s="1">
        <f>INDEX(Input!$1:$1048576,BK$93,$C240*2+6)</f>
        <v>0.05</v>
      </c>
      <c r="BL240" s="1">
        <f>INDEX(Input!$1:$1048576,BL$93,$C240*2+6)</f>
        <v>5.5E-2</v>
      </c>
      <c r="BM240" s="1">
        <f>INDEX(Input!$1:$1048576,BM$93,$C240*2+6)</f>
        <v>0.06</v>
      </c>
      <c r="BN240" s="1">
        <f>INDEX(Input!$1:$1048576,BN$93,$C240*2+6)</f>
        <v>4.4999999999999998E-2</v>
      </c>
      <c r="BO240" s="1">
        <f>INDEX(Input!$1:$1048576,BO$93,$C240*2+6)</f>
        <v>4.4999999999999998E-2</v>
      </c>
      <c r="BP240" s="1">
        <f>INDEX(Input!$1:$1048576,BP$93,$C240*2+6)</f>
        <v>0.05</v>
      </c>
      <c r="BQ240" s="1">
        <f>INDEX(Input!$1:$1048576,BQ$93,$C240*2+6)</f>
        <v>5.45E-2</v>
      </c>
      <c r="BR240" s="1">
        <f>INDEX(Input!$1:$1048576,BR$93,$C240*2+6)</f>
        <v>5.45E-2</v>
      </c>
      <c r="BS240" s="1">
        <f>INDEX(Input!$1:$1048576,BS$93,$C240*2+6)</f>
        <v>0.05</v>
      </c>
      <c r="BT240" s="1">
        <f>INDEX(Input!$1:$1048576,BT$93,$C240*2+6)</f>
        <v>0.05</v>
      </c>
      <c r="BU240" s="1">
        <f>INDEX(Input!$1:$1048576,BU$93,$C240*2+6)</f>
        <v>0.05</v>
      </c>
      <c r="BV240" s="1">
        <f>INDEX(Input!$1:$1048576,BV$93,$C240*2+6)</f>
        <v>5.5E-2</v>
      </c>
      <c r="BW240" s="1">
        <f>INDEX(Input!$1:$1048576,BW$93,$C240*2+6)</f>
        <v>0.06</v>
      </c>
      <c r="BX240" s="127">
        <f>INDEX(Input!$1:$1048576,BX$93,$C240*2+6)</f>
        <v>19985</v>
      </c>
      <c r="BY240" s="20">
        <f>INDEX(Input!$1:$1048576,BY$93,$C240*2+6)</f>
        <v>0.1</v>
      </c>
      <c r="BZ240" s="20">
        <f>INDEX(Input!$1:$1048576,BZ$93,$C240*2+6)</f>
        <v>0.1</v>
      </c>
      <c r="CA240" s="20">
        <f>INDEX(Input!$1:$1048576,CA$93,$C240*2+6)</f>
        <v>0.1</v>
      </c>
      <c r="CB240" s="20">
        <f>INDEX(Input!$1:$1048576,CB$93,$C240*2+6)</f>
        <v>0.1</v>
      </c>
      <c r="CC240" s="20">
        <f>INDEX(Input!$1:$1048576,CC$93,$C240*2+6)</f>
        <v>0.1</v>
      </c>
      <c r="CD240" s="384">
        <f>INDEX(Input!$1:$1048576,CD$93,$C240*2+6)</f>
        <v>0.1</v>
      </c>
      <c r="CE240" s="384">
        <f>INDEX(Input!$1:$1048576,CE$93,$C240*2+6)</f>
        <v>0.1</v>
      </c>
      <c r="CF240" s="384">
        <f>INDEX(Input!$1:$1048576,CF$93,$C240*2+6)</f>
        <v>0.1</v>
      </c>
      <c r="CG240" s="384">
        <f>INDEX(Input!$1:$1048576,CG$93,$C240*2+6)</f>
        <v>0.1</v>
      </c>
      <c r="CH240" s="384">
        <f>INDEX(Input!$1:$1048576,CH$93,$C240*2+6)</f>
        <v>0.1</v>
      </c>
      <c r="CI240" s="304">
        <f t="shared" si="735"/>
        <v>1769.7618664521319</v>
      </c>
      <c r="CJ240" s="16" t="str">
        <f>INDEX(Input!$1:$1048576,CJ$93,$C240*2+6)</f>
        <v>N</v>
      </c>
      <c r="CK240" s="1" t="str">
        <f t="shared" si="736"/>
        <v>Market</v>
      </c>
      <c r="CL240" s="1" t="str">
        <f t="shared" si="737"/>
        <v>Market</v>
      </c>
      <c r="CM240" s="1" t="str">
        <f t="shared" si="738"/>
        <v>Market</v>
      </c>
      <c r="CN240" s="1" t="str">
        <f t="shared" si="739"/>
        <v>Market</v>
      </c>
      <c r="CO240" s="1" t="str">
        <f t="shared" si="740"/>
        <v>Market</v>
      </c>
      <c r="CP240" s="304">
        <f t="shared" si="741"/>
        <v>473</v>
      </c>
      <c r="CQ240" s="1">
        <f t="shared" si="742"/>
        <v>0</v>
      </c>
      <c r="CR240" s="1">
        <f t="shared" si="743"/>
        <v>0</v>
      </c>
      <c r="CS240" s="1">
        <f t="shared" si="744"/>
        <v>0</v>
      </c>
      <c r="CT240" s="1">
        <f t="shared" si="745"/>
        <v>1.9E-2</v>
      </c>
      <c r="CU240" s="1">
        <f t="shared" si="746"/>
        <v>3.9E-2</v>
      </c>
      <c r="CV240" s="304">
        <f t="shared" si="747"/>
        <v>416</v>
      </c>
      <c r="CW240" s="20" t="s">
        <v>122</v>
      </c>
      <c r="CX240" s="20" t="s">
        <v>122</v>
      </c>
      <c r="CY240" s="20" t="s">
        <v>122</v>
      </c>
      <c r="CZ240" s="20" t="s">
        <v>122</v>
      </c>
      <c r="DA240" s="20" t="s">
        <v>122</v>
      </c>
      <c r="DB240" s="503">
        <f t="shared" si="748"/>
        <v>0</v>
      </c>
      <c r="DC240" s="127">
        <v>0</v>
      </c>
      <c r="DD240" s="127">
        <v>0</v>
      </c>
      <c r="DE240" s="127">
        <v>0</v>
      </c>
      <c r="DF240" s="127">
        <v>0</v>
      </c>
      <c r="DG240" s="127">
        <v>0</v>
      </c>
      <c r="DH240" s="127">
        <v>0</v>
      </c>
      <c r="DI240" s="127">
        <v>0</v>
      </c>
      <c r="DJ240" s="127">
        <v>0</v>
      </c>
      <c r="DK240" s="127">
        <v>0</v>
      </c>
      <c r="DL240" s="127">
        <v>0</v>
      </c>
      <c r="DM240" s="304">
        <f>INDEX(Input!$1:$1048576,DM$93,$C240*2+6)</f>
        <v>21036.84210526316</v>
      </c>
      <c r="DN240" s="20">
        <v>0</v>
      </c>
      <c r="DO240" s="20">
        <v>0</v>
      </c>
      <c r="DP240" s="20">
        <v>0</v>
      </c>
      <c r="DQ240" s="20">
        <v>0</v>
      </c>
      <c r="DR240" s="20">
        <v>0</v>
      </c>
      <c r="DS240" s="20">
        <f>INDEX(Input!$1:$1048576,DS$93,$C240*2+6)</f>
        <v>0.6</v>
      </c>
      <c r="DT240" s="20">
        <f>INDEX(Input!$1:$1048576,DT$93,$C240*2+6)</f>
        <v>0.55000000000000004</v>
      </c>
      <c r="DU240" s="20">
        <f>INDEX(Input!$1:$1048576,DU$93,$C240*2+6)</f>
        <v>0.52</v>
      </c>
      <c r="DV240" s="20">
        <f>INDEX(Input!$1:$1048576,DV$93,$C240*2+6)</f>
        <v>0.5</v>
      </c>
      <c r="DW240" s="20">
        <f>INDEX(Input!$1:$1048576,DW$93,$C240*2+6)</f>
        <v>0.45</v>
      </c>
      <c r="DX240" s="20"/>
      <c r="DY240" s="7">
        <v>0.10084804458742132</v>
      </c>
      <c r="DZ240" s="7">
        <v>0</v>
      </c>
      <c r="EA240" s="7">
        <v>0.6691480723386255</v>
      </c>
      <c r="EB240" s="7">
        <v>0</v>
      </c>
      <c r="EC240" s="7">
        <v>0</v>
      </c>
      <c r="ED240" s="7">
        <v>0</v>
      </c>
      <c r="EE240" s="7">
        <v>0</v>
      </c>
      <c r="EF240" s="7">
        <v>0</v>
      </c>
      <c r="EG240" s="7">
        <v>0</v>
      </c>
      <c r="EH240" s="7">
        <v>1.4265518282671434E-2</v>
      </c>
      <c r="EI240" s="7">
        <v>4.0605760742840155E-2</v>
      </c>
      <c r="EJ240" s="7">
        <v>0.30728699282217997</v>
      </c>
      <c r="EK240" s="7">
        <v>0.52667081156442641</v>
      </c>
      <c r="EL240" s="7">
        <v>0.11117091658788214</v>
      </c>
      <c r="EM240" s="7">
        <v>4.4947997773542574E-2</v>
      </c>
      <c r="EN240" s="7">
        <v>6.6787678325507596E-2</v>
      </c>
      <c r="EO240" s="7">
        <v>0.74265838571195164</v>
      </c>
      <c r="EP240" s="7">
        <v>8.2305485882053525E-2</v>
      </c>
      <c r="EQ240" s="7">
        <v>7.0172188577519543E-2</v>
      </c>
      <c r="ER240" s="7">
        <v>3.8076261502967439E-2</v>
      </c>
      <c r="ES240" s="7">
        <v>0.18505588530041076</v>
      </c>
      <c r="ET240" s="7">
        <v>0.23000388307395322</v>
      </c>
      <c r="EU240" s="6">
        <v>1794</v>
      </c>
      <c r="EV240" s="6">
        <v>0</v>
      </c>
      <c r="EW240" s="6">
        <v>1794</v>
      </c>
      <c r="EX240" s="6">
        <v>0</v>
      </c>
      <c r="EY240" s="6">
        <v>2053.9965288640788</v>
      </c>
      <c r="EZ240" s="6">
        <v>1306</v>
      </c>
      <c r="FA240" s="6">
        <v>0</v>
      </c>
      <c r="FB240" s="6">
        <v>0</v>
      </c>
      <c r="FC240" s="6">
        <v>0</v>
      </c>
      <c r="FD240" s="6">
        <v>0</v>
      </c>
      <c r="FE240" s="6">
        <v>0</v>
      </c>
      <c r="FF240" s="6">
        <v>0</v>
      </c>
      <c r="FG240" s="6">
        <v>0</v>
      </c>
      <c r="FH240" s="6">
        <v>1173.7330359673842</v>
      </c>
      <c r="FI240" s="6">
        <v>1553.9796069512404</v>
      </c>
      <c r="FJ240" s="6">
        <v>2101.211011744741</v>
      </c>
      <c r="FK240" s="6">
        <v>1772.713997862324</v>
      </c>
      <c r="FL240" s="6">
        <v>907.07682140966313</v>
      </c>
      <c r="FM240" s="6">
        <v>1759.996528864079</v>
      </c>
      <c r="FN240" s="6">
        <v>0</v>
      </c>
      <c r="FO240" s="6">
        <v>0</v>
      </c>
      <c r="FP240" s="6">
        <v>0</v>
      </c>
      <c r="FQ240" s="6">
        <v>0</v>
      </c>
      <c r="FR240" s="6">
        <v>0</v>
      </c>
      <c r="FS240" s="6">
        <v>0</v>
      </c>
      <c r="FT240" s="7">
        <v>0.76999611692604686</v>
      </c>
      <c r="FU240" s="7">
        <v>4.4947997773542574E-2</v>
      </c>
      <c r="FV240" s="7">
        <v>0.18505588530041076</v>
      </c>
      <c r="FW240" s="6">
        <v>1794</v>
      </c>
      <c r="FX240" s="6">
        <v>2053.9965288640788</v>
      </c>
      <c r="FY240" s="6">
        <v>1306</v>
      </c>
      <c r="FZ240" s="6">
        <v>1817.4615072224267</v>
      </c>
      <c r="GA240" s="6">
        <v>1715.3790513739114</v>
      </c>
      <c r="GB240" s="6">
        <v>18269.620948626089</v>
      </c>
      <c r="GC240" s="7">
        <v>1.804905384453976E-2</v>
      </c>
      <c r="GD240" s="7">
        <v>1.8183835558339304E-2</v>
      </c>
      <c r="GE240" s="7"/>
      <c r="GF240" s="7"/>
      <c r="GG240" s="7">
        <v>7.4675223953813361E-3</v>
      </c>
      <c r="GH240" s="42">
        <v>-1.4619400937332219</v>
      </c>
      <c r="GI240" s="6">
        <v>-11954.811735285575</v>
      </c>
      <c r="GJ240" s="14">
        <v>0.50394797582841699</v>
      </c>
      <c r="GK240" s="14">
        <v>0.50887573065309721</v>
      </c>
      <c r="GL240" s="14">
        <v>0.49605202417158262</v>
      </c>
      <c r="GM240" s="14">
        <v>0.49112426934690229</v>
      </c>
      <c r="GO240" s="5">
        <v>343.14810671672558</v>
      </c>
      <c r="GP240" s="5">
        <v>308.92200917413498</v>
      </c>
      <c r="GQ240" s="5">
        <v>535.04305713031317</v>
      </c>
      <c r="GR240" s="5">
        <v>410.15490233172511</v>
      </c>
      <c r="GS240" s="5">
        <v>339.42744393800166</v>
      </c>
      <c r="GT240" s="5">
        <v>293.4407446948278</v>
      </c>
      <c r="GU240" s="5">
        <v>258.04012322764959</v>
      </c>
      <c r="GV240" s="39" t="s">
        <v>392</v>
      </c>
      <c r="GW240" s="5">
        <v>491.45833333333331</v>
      </c>
      <c r="GX240" s="5">
        <v>368.59375</v>
      </c>
      <c r="GY240" s="5">
        <v>294.875</v>
      </c>
      <c r="GZ240" s="5">
        <v>260.19607020114813</v>
      </c>
      <c r="HA240" s="5">
        <v>241.02179695997205</v>
      </c>
      <c r="HB240" s="39">
        <v>276.42147901599611</v>
      </c>
      <c r="HC240" s="5">
        <v>230.14687499999999</v>
      </c>
      <c r="HD240" s="5">
        <v>200.80677997076018</v>
      </c>
      <c r="HE240" s="5">
        <v>204.75485408232115</v>
      </c>
      <c r="HF240" s="5">
        <v>190.70750548245613</v>
      </c>
      <c r="HG240" s="5">
        <v>185.59971491228069</v>
      </c>
      <c r="HH240" s="39">
        <v>201.80356857791446</v>
      </c>
      <c r="HI240" s="16"/>
      <c r="HJ240" s="19" t="str">
        <f t="shared" si="753"/>
        <v>On</v>
      </c>
      <c r="HK240" s="1" t="str">
        <f t="shared" si="753"/>
        <v>On</v>
      </c>
      <c r="HL240" s="16"/>
      <c r="HM240" s="639">
        <f t="shared" si="634"/>
        <v>1.2768706344444866E-2</v>
      </c>
      <c r="HN240" s="639">
        <f t="shared" si="635"/>
        <v>9.795534288915453E-4</v>
      </c>
      <c r="HO240" s="639">
        <f t="shared" si="636"/>
        <v>3.3583061774515237E-3</v>
      </c>
      <c r="HP240" s="644">
        <f>(FT240*$GD240-HM240)/$JF240*INDEX(Input!$1:$1048576,$JG$93,$C240*2+6)</f>
        <v>89.576195613828006</v>
      </c>
      <c r="HQ240" s="644">
        <f>(FU240*$GD240-HN240)/$JF240*INDEX(Input!$1:$1048576,$JG$93,$C240*2+6)</f>
        <v>-11.787722413443452</v>
      </c>
      <c r="HR240" s="644">
        <f>(FV240*$GD240-HO240)/$JF240*INDEX(Input!$1:$1048576,$JG$93,$C240*2+6)</f>
        <v>0.4882613609830635</v>
      </c>
      <c r="HS240" s="644">
        <f t="shared" si="754"/>
        <v>-33.80879451358286</v>
      </c>
      <c r="HT240" s="644">
        <f t="shared" si="638"/>
        <v>-4.3787438865621944</v>
      </c>
      <c r="HU240" s="644">
        <f t="shared" si="639"/>
        <v>15.338118639536189</v>
      </c>
      <c r="HV240" s="648">
        <f t="shared" si="640"/>
        <v>0</v>
      </c>
      <c r="HW240" s="648">
        <f t="shared" si="641"/>
        <v>0</v>
      </c>
      <c r="HX240" s="648">
        <f t="shared" si="642"/>
        <v>0</v>
      </c>
      <c r="HY240" s="644">
        <f>INDEX(Input!$1:$1048576,HY$93,$C240*2+6)*INDEX(Input!$1:$1048576,$JG$93,$C240*2+6)</f>
        <v>451</v>
      </c>
      <c r="HZ240" s="644">
        <f>INDEX(Input!$1:$1048576,HZ$93,$C240*2+6)*INDEX(Input!$1:$1048576,$JG$93,$C240*2+6)</f>
        <v>577</v>
      </c>
      <c r="IA240" s="644">
        <f>INDEX(Input!$1:$1048576,IA$93,$C240*2+6)*INDEX(Input!$1:$1048576,$JG$93,$C240*2+6)</f>
        <v>215</v>
      </c>
      <c r="IB240" s="644">
        <f t="shared" si="666"/>
        <v>506.76740110024514</v>
      </c>
      <c r="IC240" s="644">
        <f t="shared" si="667"/>
        <v>560.83353369999429</v>
      </c>
      <c r="ID240" s="644">
        <f>IF(AND(INDEX(Input!$1:$1048576,IA$93,$C240*2+7)="TOS",Y240&lt;=INDEX(Y:Y,MATCH(C240*1000+2,A:A))),0,1)*MAX(IA240+HR240+HU240+HX240,0%)</f>
        <v>230.82638000051926</v>
      </c>
      <c r="IE240" s="128">
        <f t="shared" si="755"/>
        <v>0.3902932380762551</v>
      </c>
      <c r="IF240" s="128">
        <f t="shared" si="643"/>
        <v>0.4319329448071979</v>
      </c>
      <c r="IG240" s="128">
        <f t="shared" si="644"/>
        <v>0.17777381711654699</v>
      </c>
      <c r="IH240" s="21"/>
      <c r="II240" s="19">
        <f t="shared" si="645"/>
        <v>1252</v>
      </c>
      <c r="IJ240" s="19">
        <f t="shared" si="646"/>
        <v>2011.9658773055378</v>
      </c>
      <c r="IK240" s="19">
        <f t="shared" si="647"/>
        <v>919</v>
      </c>
      <c r="IL240" s="19">
        <f t="shared" si="669"/>
        <v>542</v>
      </c>
      <c r="IM240" s="19">
        <f t="shared" si="648"/>
        <v>42.030651558540967</v>
      </c>
      <c r="IN240" s="19">
        <f t="shared" si="649"/>
        <v>387</v>
      </c>
      <c r="IO240" s="39">
        <f t="shared" si="650"/>
        <v>0</v>
      </c>
      <c r="IP240" s="39">
        <f t="shared" si="651"/>
        <v>0</v>
      </c>
      <c r="IQ240" s="39">
        <f t="shared" si="652"/>
        <v>0</v>
      </c>
      <c r="IR240" s="39">
        <v>0</v>
      </c>
      <c r="IS240" s="39">
        <v>0</v>
      </c>
      <c r="IT240" s="39">
        <v>0</v>
      </c>
      <c r="IU240" s="39">
        <v>0</v>
      </c>
      <c r="IV240" s="39">
        <v>0</v>
      </c>
      <c r="IW240" s="39">
        <v>0</v>
      </c>
      <c r="IX240" s="39">
        <f>INDEX(Input!$1:$1048576,IX$93,$C240*2+6)+INDEX(Input!$1:$1048576,IX$94,$C240*2+6)</f>
        <v>1294</v>
      </c>
      <c r="IY240" s="39">
        <f>INDEX(Input!$1:$1048576,IY$93,$C240*2+6)+INDEX(Input!$1:$1048576,IY$94,$C240*2+6)</f>
        <v>2154.0624533823611</v>
      </c>
      <c r="IZ240" s="39">
        <f>INDEX(Input!$1:$1048576,IZ$93,$C240*2+6)+INDEX(Input!$1:$1048576,IZ$94,$C240*2+6)</f>
        <v>3677.7164157747848</v>
      </c>
      <c r="JA240" s="19">
        <f t="shared" si="670"/>
        <v>1836</v>
      </c>
      <c r="JB240" s="19">
        <f t="shared" si="671"/>
        <v>2196.0931049409019</v>
      </c>
      <c r="JC240" s="19">
        <f t="shared" si="672"/>
        <v>4064.7164157747848</v>
      </c>
      <c r="JD240" s="19">
        <f t="shared" si="673"/>
        <v>2387.7434997244836</v>
      </c>
      <c r="JE240" s="21"/>
      <c r="JF240" s="1">
        <f t="shared" si="653"/>
        <v>1.7106565950787935E-2</v>
      </c>
      <c r="JG240" s="15">
        <f>INDEX(Input!$1:$1048576,JG$93,$C240*2+6)/(1+VLOOKUP(C240*1000+INDEX(Input!$1:$1048576,JG$93+1,$C240*2+6),$A:$KK,$JK$92,FALSE))</f>
        <v>1243</v>
      </c>
      <c r="JH240" s="1">
        <f t="shared" si="674"/>
        <v>6.2974042285895107E-2</v>
      </c>
      <c r="JI240" s="1">
        <f t="shared" si="675"/>
        <v>-1.8382477683514777E-2</v>
      </c>
      <c r="JJ240" s="1">
        <f t="shared" si="731"/>
        <v>0</v>
      </c>
      <c r="JK240" s="1">
        <f t="shared" si="732"/>
        <v>4.4591564602380326E-2</v>
      </c>
      <c r="JL240" s="15">
        <f t="shared" si="678"/>
        <v>55.427314800758744</v>
      </c>
      <c r="JM240" s="15">
        <f t="shared" si="702"/>
        <v>1298.4273148007587</v>
      </c>
      <c r="JN240" s="21"/>
      <c r="JO240" s="19">
        <f>INDEX(Input!$1:$1048576,JO$93,$C240*2+6)</f>
        <v>5995.5</v>
      </c>
      <c r="JP240" s="19">
        <f>INDEX(Input!$1:$1048576,JP$93,$C240*2+6)</f>
        <v>2105.548724853742</v>
      </c>
      <c r="JQ240" s="39">
        <f t="shared" si="688"/>
        <v>3607.7565002755164</v>
      </c>
      <c r="JR240" s="39">
        <f t="shared" si="705"/>
        <v>282.19477487074164</v>
      </c>
      <c r="JS240" s="39">
        <f t="shared" si="690"/>
        <v>3.1003113807802274</v>
      </c>
      <c r="JT240" s="39">
        <f t="shared" si="680"/>
        <v>0.48311431578702618</v>
      </c>
      <c r="JU240" s="385">
        <f>(JQ240*JM240-INDEX(Input!$1:$1048576,Input!A$18,$C240*2+6)*JL240*INDEX(Input!$1:$1048576,Input!A$19,$C240*2+6))/1000000</f>
        <v>4.684409585107721</v>
      </c>
      <c r="JV240" s="39">
        <f t="shared" si="712"/>
        <v>-0.15079984989907746</v>
      </c>
      <c r="JW240" s="1">
        <f t="shared" si="703"/>
        <v>-3.1187863095916844E-2</v>
      </c>
      <c r="JX240" s="19">
        <f t="shared" si="694"/>
        <v>8716.1775295023472</v>
      </c>
      <c r="JZ240" s="341"/>
      <c r="KA240" s="342"/>
      <c r="KB240" s="469">
        <f t="shared" si="691"/>
        <v>2.5660492421988774</v>
      </c>
      <c r="KI240" s="473">
        <f t="shared" si="756"/>
        <v>55.767401100245138</v>
      </c>
      <c r="KJ240" s="473">
        <f t="shared" si="757"/>
        <v>-16.166466300005709</v>
      </c>
      <c r="KK240" s="473">
        <f t="shared" si="682"/>
        <v>15.826380000519265</v>
      </c>
      <c r="KN240" s="544">
        <f t="shared" si="695"/>
        <v>2002</v>
      </c>
      <c r="KO240" s="541">
        <f t="shared" si="657"/>
        <v>3.8437096129863457E-2</v>
      </c>
      <c r="KP240" s="546">
        <f t="shared" si="658"/>
        <v>259.15794167476258</v>
      </c>
      <c r="KQ240" s="546">
        <f t="shared" si="659"/>
        <v>244.06316029101072</v>
      </c>
      <c r="KR240" s="548">
        <f t="shared" si="660"/>
        <v>2.6461412467052337</v>
      </c>
      <c r="KS240" s="548">
        <f t="shared" si="661"/>
        <v>2.8097993898757059</v>
      </c>
      <c r="KT240" s="473">
        <f t="shared" si="693"/>
        <v>843.26993010479111</v>
      </c>
      <c r="KU240" s="663">
        <f t="shared" si="683"/>
        <v>4.517678337599853</v>
      </c>
      <c r="KV240" s="117"/>
    </row>
    <row r="241" spans="1:308" s="26" customFormat="1" ht="15">
      <c r="A241" s="561">
        <f t="shared" si="662"/>
        <v>2041</v>
      </c>
      <c r="B241" s="561">
        <f t="shared" si="684"/>
        <v>41</v>
      </c>
      <c r="C241" s="561">
        <f t="shared" si="105"/>
        <v>2</v>
      </c>
      <c r="D241" s="561" t="str">
        <f t="shared" si="728"/>
        <v xml:space="preserve">750 CC, 360 Lease, </v>
      </c>
      <c r="E241" s="475">
        <f>INDEX(Input!$1:$1048576,E$93,$C241*2+MIN($B241,2)+5)
+INDEX(Scenarios!E$121:E$200,MATCH($B241,Scenarios!$B$121:$B$200,0))</f>
        <v>2019.7618664521319</v>
      </c>
      <c r="F241" s="475">
        <f>INDEX(Input!$1:$1048576,F$93,$C241*2+MIN($B241,2)+5)
+INDEX(Scenarios!F$121:F$200,MATCH($B241,Scenarios!$B$121:$B$200,0))</f>
        <v>0</v>
      </c>
      <c r="G241" s="475">
        <f>INDEX(Input!$1:$1048576,G$93,$C241*2+MIN($B241,2)+5)
+INDEX(Scenarios!G$121:G$200,MATCH($B241,Scenarios!$B$121:$B$200,0))</f>
        <v>0</v>
      </c>
      <c r="H241" s="475">
        <f>INDEX(Input!$1:$1048576,H$93,$C241*2+MIN($B241,2)+5)
+INDEX(Scenarios!H$121:H$200,MATCH($B241,Scenarios!$B$121:$B$200,0))</f>
        <v>0</v>
      </c>
      <c r="I241" s="476">
        <f>INDEX(Input!$1:$1048576,I$93,$C241*2+MIN($B241,2)+5)</f>
        <v>0.7</v>
      </c>
      <c r="J241" s="476" t="str">
        <f>INDEX(Input!$1:$1048576,J$93,$C241*2+MIN($B241,2)+5)</f>
        <v>Market</v>
      </c>
      <c r="K241" s="476" t="str">
        <f>INDEX(Input!$1:$1048576,K$93,$C241*2+MIN($B241,2)+5)</f>
        <v>Market</v>
      </c>
      <c r="L241" s="476" t="str">
        <f>INDEX(Input!$1:$1048576,L$93,$C241*2+MIN($B241,2)+5)</f>
        <v>Market</v>
      </c>
      <c r="M241" s="476" t="str">
        <f>INDEX(Input!$1:$1048576,M$93,$C241*2+MIN($B241,2)+5)</f>
        <v>Market</v>
      </c>
      <c r="N241" s="476" t="str">
        <f>INDEX(Input!$1:$1048576,N$93,$C241*2+MIN($B241,2)+5)</f>
        <v>Market</v>
      </c>
      <c r="O241" s="476" t="str">
        <f>INDEX(Input!$1:$1048576,O$93,$C241*2+MIN($B241,2)+5)</f>
        <v>Market</v>
      </c>
      <c r="P241" s="476" t="str">
        <f>INDEX(Input!$1:$1048576,P$93,$C241*2+MIN($B241,2)+5)</f>
        <v>N</v>
      </c>
      <c r="Q241" s="477">
        <f>INDEX(Input!$1:$1048576,Q$93,$C241*2+MIN($B241,2)+5)
+INDEX(Scenarios!Q$121:Q$200,MATCH($B241,Scenarios!$B$121:$B$200,0))</f>
        <v>0</v>
      </c>
      <c r="R241" s="478">
        <f>IFERROR(MAX(0,INDEX(Input!$1:$1048576,R$93,$C241*2+MIN($B241,2)+5)
+INDEX(Scenarios!R$121:R$200,MATCH($B241,Scenarios!$B$121:$B$200,0)),),"Market")</f>
        <v>0</v>
      </c>
      <c r="S241" s="478">
        <f>IFERROR(MAX(0,INDEX(Input!$1:$1048576,S$93,$C241*2+MIN($B241,2)+5)
+INDEX(Scenarios!S$121:S$200,MATCH($B241,Scenarios!$B$121:$B$200,0)),),"Market")</f>
        <v>0</v>
      </c>
      <c r="T241" s="478">
        <f>IFERROR(MAX(0,INDEX(Input!$1:$1048576,T$93,$C241*2+MIN($B241,2)+5)
+INDEX(Scenarios!T$121:T$200,MATCH($B241,Scenarios!$B$121:$B$200,0)),),"Market")</f>
        <v>0</v>
      </c>
      <c r="U241" s="478">
        <f>IFERROR(MAX(0,INDEX(Input!$1:$1048576,U$93,$C241*2+MIN($B241,2)+5)
+INDEX(Scenarios!U$121:U$200,MATCH($B241,Scenarios!$B$121:$B$200,0)),),"Market")</f>
        <v>0</v>
      </c>
      <c r="V241" s="478">
        <f>IFERROR(MAX(0,INDEX(Input!$1:$1048576,V$93,$C241*2+MIN($B241,2)+5)
+INDEX(Scenarios!V$121:V$200,MATCH($B241,Scenarios!$B$121:$B$200,0)),),"Market")</f>
        <v>1.9E-2</v>
      </c>
      <c r="W241" s="885">
        <f>IFERROR(MAX(0,INDEX(Input!$1:$1048576,W$93,$C241*2+MIN($B241,2)+5)-0%,),"Market")</f>
        <v>3.9E-2</v>
      </c>
      <c r="X241" s="476" t="str">
        <f>INDEX(Input!$1:$1048576,X$93,$C241*2+MIN($B241,2)+5)</f>
        <v>Y</v>
      </c>
      <c r="Y241" s="475">
        <f>INDEX(Input!$1:$1048576,Y$93,$C241*2+MIN($B241,2)+5)
++INDEX(Scenarios!Y$121:Y$200,MATCH($B241,Scenarios!$B$121:$B$200,0))</f>
        <v>416</v>
      </c>
      <c r="Z241" s="477">
        <f>INDEX(Input!$1:$1048576,Z$93,$C241*2+MIN($B241,2)+5)
+INDEX(Scenarios!Z$121:Z$200,MATCH($B241,Scenarios!$B$121:$B$200,0))</f>
        <v>0</v>
      </c>
      <c r="AA241" s="475">
        <f>INDEX(Input!$1:$1048576,AA$93,$C241*2+MIN($B241,2)+5)
+INDEX(Scenarios!AA$121:AA$200,MATCH($B241,Scenarios!$B$121:$B$200,0))</f>
        <v>0</v>
      </c>
      <c r="AB241" s="476">
        <f>INDEX(Input!$1:$1048576,AB$93,$C241*2+MIN($B241,2)+5)</f>
        <v>0.27</v>
      </c>
      <c r="AC241" s="475">
        <f>INDEX(Input!$1:$1048576,AC$93,$C241*2+MIN($B241,2)+5)
+INDEX(Scenarios!AC$121:AC$200,MATCH($B241,Scenarios!$B$121:$B$200,0))</f>
        <v>0</v>
      </c>
      <c r="AD241" s="476">
        <f>INDEX(Input!$1:$1048576,AD$93,$C241*2+MIN($B241,2)+5)</f>
        <v>0.27</v>
      </c>
      <c r="AE241" s="475">
        <f>INDEX(Input!$1:$1048576,AE$93,$C241*2+MIN($B241,2)+5)
+INDEX(Scenarios!AE$121:AE$200,MATCH($B241,Scenarios!$B$121:$B$200,0))</f>
        <v>0</v>
      </c>
      <c r="AF241" s="476">
        <f>INDEX(Input!$1:$1048576,AF$93,$C241*2+MIN($B241,2)+5)</f>
        <v>4.8000000000000001E-2</v>
      </c>
      <c r="AG241" s="475">
        <f>INDEX(Input!$1:$1048576,AG$93,$C241*2+MIN($B241,2)+5)
+INDEX(Scenarios!AG$121:AG$200,MATCH($B241,Scenarios!$B$121:$B$200,0))</f>
        <v>500</v>
      </c>
      <c r="AH241" s="476">
        <f>INDEX(Input!$1:$1048576,AH$93,$C241*2+MIN($B241,2)+5)</f>
        <v>0.94599999999999995</v>
      </c>
      <c r="AI241" s="475">
        <f>INDEX(Input!$1:$1048576,AI$93,$C241*2+MIN($B241,2)+5)
+INDEX(Scenarios!AI$121:AI$200,MATCH($B241,Scenarios!$B$121:$B$200,0))</f>
        <v>0</v>
      </c>
      <c r="AJ241" s="476">
        <f>INDEX(Input!$1:$1048576,AJ$93,$C241*2+MIN($B241,2)+5)</f>
        <v>0.27</v>
      </c>
      <c r="AK241" s="150">
        <f>ROUND(INDEX(Input!$1:$1048576,AK$93,$C240*2+MIN($B241,1)+5)+(Y241-VLOOKUP($C241*1000+1,$A:$HH,Y$92,FALSE)),0)</f>
        <v>3337</v>
      </c>
      <c r="AL241" s="150">
        <f>ROUND(INDEX(Input!$1:$1048576,AL$93,$C240*2+MIN($B241,1)+5)-(Y241-VLOOKUP($C241*1000+1,$A:$HH,Y$92,FALSE))/36,0)</f>
        <v>3385</v>
      </c>
      <c r="AM241" s="32" t="str">
        <f t="shared" si="663"/>
        <v>std/std/std/std</v>
      </c>
      <c r="AN241" s="32" t="str">
        <f t="shared" si="664"/>
        <v>$0 + 0/0/0/1.9/3.9</v>
      </c>
      <c r="AO241" s="32" t="str">
        <f t="shared" si="665"/>
        <v>0/0/0/1.9/3.9</v>
      </c>
      <c r="AP241" s="32" t="str">
        <f t="shared" si="734"/>
        <v>0/0.9/1.9/3.9</v>
      </c>
      <c r="AQ241" s="536">
        <f t="shared" si="733"/>
        <v>0.41632284078095233</v>
      </c>
      <c r="AR241" s="32"/>
      <c r="AS241" s="302"/>
      <c r="AT241" s="3">
        <f t="shared" si="717"/>
        <v>41</v>
      </c>
      <c r="AU241" s="41" t="s">
        <v>121</v>
      </c>
      <c r="AV241" s="41" t="s">
        <v>116</v>
      </c>
      <c r="AW241" s="41" t="str">
        <f>INDEX(Input!$1:$1048576,AW$93,$C241*2+6)</f>
        <v>Kia</v>
      </c>
      <c r="AX241" s="41" t="str">
        <f>INDEX(Input!$1:$1048576,AX$93,$C241*2+6)</f>
        <v>Kia-LR - L2</v>
      </c>
      <c r="AY241" s="41" t="str">
        <f>IF(LEN(D241)=0,"",INDEX(Input!$1:$1048576,AY$93,$C241*2+6))</f>
        <v>Compact SUV (52)</v>
      </c>
      <c r="AZ241" s="41" t="str">
        <f>INDEX(Input!$1:$1048576,AZ$93,$C241*2+6)</f>
        <v>Kia Soul</v>
      </c>
      <c r="BA241" s="3">
        <f>INDEX(Input!$1:$1048576,BA$93,$C241*2+6)</f>
        <v>2020</v>
      </c>
      <c r="BB241" s="128">
        <f>INDEX(Input!$1:$1048576,BB$93,$C241*2+6)</f>
        <v>1</v>
      </c>
      <c r="BC241" s="128">
        <f>INDEX(Input!$1:$1048576,BC$93,$C241*2+6)</f>
        <v>0.7</v>
      </c>
      <c r="BD241" s="1">
        <f>INDEX(Input!$1:$1048576,BD$93,$C241*2+6)</f>
        <v>4.4999999999999998E-2</v>
      </c>
      <c r="BE241" s="1">
        <f>INDEX(Input!$1:$1048576,BE$93,$C241*2+6)</f>
        <v>4.4999999999999998E-2</v>
      </c>
      <c r="BF241" s="1">
        <f>INDEX(Input!$1:$1048576,BF$93,$C241*2+6)</f>
        <v>0.05</v>
      </c>
      <c r="BG241" s="1">
        <f>INDEX(Input!$1:$1048576,BG$93,$C241*2+6)</f>
        <v>5.45E-2</v>
      </c>
      <c r="BH241" s="1">
        <f>INDEX(Input!$1:$1048576,BH$93,$C241*2+6)</f>
        <v>5.45E-2</v>
      </c>
      <c r="BI241" s="1">
        <f>INDEX(Input!$1:$1048576,BI$93,$C241*2+6)</f>
        <v>0.05</v>
      </c>
      <c r="BJ241" s="1">
        <f>INDEX(Input!$1:$1048576,BJ$93,$C241*2+6)</f>
        <v>0.05</v>
      </c>
      <c r="BK241" s="1">
        <f>INDEX(Input!$1:$1048576,BK$93,$C241*2+6)</f>
        <v>0.05</v>
      </c>
      <c r="BL241" s="1">
        <f>INDEX(Input!$1:$1048576,BL$93,$C241*2+6)</f>
        <v>5.5E-2</v>
      </c>
      <c r="BM241" s="1">
        <f>INDEX(Input!$1:$1048576,BM$93,$C241*2+6)</f>
        <v>0.06</v>
      </c>
      <c r="BN241" s="1">
        <f>INDEX(Input!$1:$1048576,BN$93,$C241*2+6)</f>
        <v>4.4999999999999998E-2</v>
      </c>
      <c r="BO241" s="1">
        <f>INDEX(Input!$1:$1048576,BO$93,$C241*2+6)</f>
        <v>4.4999999999999998E-2</v>
      </c>
      <c r="BP241" s="1">
        <f>INDEX(Input!$1:$1048576,BP$93,$C241*2+6)</f>
        <v>0.05</v>
      </c>
      <c r="BQ241" s="1">
        <f>INDEX(Input!$1:$1048576,BQ$93,$C241*2+6)</f>
        <v>5.45E-2</v>
      </c>
      <c r="BR241" s="1">
        <f>INDEX(Input!$1:$1048576,BR$93,$C241*2+6)</f>
        <v>5.45E-2</v>
      </c>
      <c r="BS241" s="1">
        <f>INDEX(Input!$1:$1048576,BS$93,$C241*2+6)</f>
        <v>0.05</v>
      </c>
      <c r="BT241" s="1">
        <f>INDEX(Input!$1:$1048576,BT$93,$C241*2+6)</f>
        <v>0.05</v>
      </c>
      <c r="BU241" s="1">
        <f>INDEX(Input!$1:$1048576,BU$93,$C241*2+6)</f>
        <v>0.05</v>
      </c>
      <c r="BV241" s="1">
        <f>INDEX(Input!$1:$1048576,BV$93,$C241*2+6)</f>
        <v>5.5E-2</v>
      </c>
      <c r="BW241" s="1">
        <f>INDEX(Input!$1:$1048576,BW$93,$C241*2+6)</f>
        <v>0.06</v>
      </c>
      <c r="BX241" s="127">
        <f>INDEX(Input!$1:$1048576,BX$93,$C241*2+6)</f>
        <v>19985</v>
      </c>
      <c r="BY241" s="20">
        <f>INDEX(Input!$1:$1048576,BY$93,$C241*2+6)</f>
        <v>0.1</v>
      </c>
      <c r="BZ241" s="20">
        <f>INDEX(Input!$1:$1048576,BZ$93,$C241*2+6)</f>
        <v>0.1</v>
      </c>
      <c r="CA241" s="20">
        <f>INDEX(Input!$1:$1048576,CA$93,$C241*2+6)</f>
        <v>0.1</v>
      </c>
      <c r="CB241" s="20">
        <f>INDEX(Input!$1:$1048576,CB$93,$C241*2+6)</f>
        <v>0.1</v>
      </c>
      <c r="CC241" s="20">
        <f>INDEX(Input!$1:$1048576,CC$93,$C241*2+6)</f>
        <v>0.1</v>
      </c>
      <c r="CD241" s="384">
        <f>INDEX(Input!$1:$1048576,CD$93,$C241*2+6)</f>
        <v>0.1</v>
      </c>
      <c r="CE241" s="384">
        <f>INDEX(Input!$1:$1048576,CE$93,$C241*2+6)</f>
        <v>0.1</v>
      </c>
      <c r="CF241" s="384">
        <f>INDEX(Input!$1:$1048576,CF$93,$C241*2+6)</f>
        <v>0.1</v>
      </c>
      <c r="CG241" s="384">
        <f>INDEX(Input!$1:$1048576,CG$93,$C241*2+6)</f>
        <v>0.1</v>
      </c>
      <c r="CH241" s="384">
        <f>INDEX(Input!$1:$1048576,CH$93,$C241*2+6)</f>
        <v>0.1</v>
      </c>
      <c r="CI241" s="304">
        <f t="shared" si="735"/>
        <v>2019.7618664521319</v>
      </c>
      <c r="CJ241" s="16" t="str">
        <f>INDEX(Input!$1:$1048576,CJ$93,$C241*2+6)</f>
        <v>N</v>
      </c>
      <c r="CK241" s="1" t="str">
        <f t="shared" si="736"/>
        <v>Market</v>
      </c>
      <c r="CL241" s="1" t="str">
        <f t="shared" si="737"/>
        <v>Market</v>
      </c>
      <c r="CM241" s="1" t="str">
        <f t="shared" si="738"/>
        <v>Market</v>
      </c>
      <c r="CN241" s="1" t="str">
        <f t="shared" si="739"/>
        <v>Market</v>
      </c>
      <c r="CO241" s="1" t="str">
        <f t="shared" si="740"/>
        <v>Market</v>
      </c>
      <c r="CP241" s="304">
        <f t="shared" si="741"/>
        <v>473</v>
      </c>
      <c r="CQ241" s="1">
        <f t="shared" si="742"/>
        <v>0</v>
      </c>
      <c r="CR241" s="1">
        <f t="shared" si="743"/>
        <v>0</v>
      </c>
      <c r="CS241" s="1">
        <f t="shared" si="744"/>
        <v>0</v>
      </c>
      <c r="CT241" s="1">
        <f t="shared" si="745"/>
        <v>1.9E-2</v>
      </c>
      <c r="CU241" s="1">
        <f t="shared" si="746"/>
        <v>3.9E-2</v>
      </c>
      <c r="CV241" s="304">
        <f t="shared" si="747"/>
        <v>416</v>
      </c>
      <c r="CW241" s="20" t="s">
        <v>122</v>
      </c>
      <c r="CX241" s="20" t="s">
        <v>122</v>
      </c>
      <c r="CY241" s="20" t="s">
        <v>122</v>
      </c>
      <c r="CZ241" s="20" t="s">
        <v>122</v>
      </c>
      <c r="DA241" s="20" t="s">
        <v>122</v>
      </c>
      <c r="DB241" s="503">
        <f t="shared" si="748"/>
        <v>0</v>
      </c>
      <c r="DC241" s="127">
        <v>0</v>
      </c>
      <c r="DD241" s="127">
        <v>0</v>
      </c>
      <c r="DE241" s="127">
        <v>0</v>
      </c>
      <c r="DF241" s="127">
        <v>0</v>
      </c>
      <c r="DG241" s="127">
        <v>0</v>
      </c>
      <c r="DH241" s="127">
        <v>0</v>
      </c>
      <c r="DI241" s="127">
        <v>0</v>
      </c>
      <c r="DJ241" s="127">
        <v>0</v>
      </c>
      <c r="DK241" s="127">
        <v>0</v>
      </c>
      <c r="DL241" s="127">
        <v>0</v>
      </c>
      <c r="DM241" s="304">
        <f>INDEX(Input!$1:$1048576,DM$93,$C241*2+6)</f>
        <v>21036.84210526316</v>
      </c>
      <c r="DN241" s="20">
        <v>0</v>
      </c>
      <c r="DO241" s="20">
        <v>0</v>
      </c>
      <c r="DP241" s="20">
        <v>0</v>
      </c>
      <c r="DQ241" s="20">
        <v>0</v>
      </c>
      <c r="DR241" s="20">
        <v>0</v>
      </c>
      <c r="DS241" s="20">
        <f>INDEX(Input!$1:$1048576,DS$93,$C241*2+6)</f>
        <v>0.6</v>
      </c>
      <c r="DT241" s="20">
        <f>INDEX(Input!$1:$1048576,DT$93,$C241*2+6)</f>
        <v>0.55000000000000004</v>
      </c>
      <c r="DU241" s="20">
        <f>INDEX(Input!$1:$1048576,DU$93,$C241*2+6)</f>
        <v>0.52</v>
      </c>
      <c r="DV241" s="20">
        <f>INDEX(Input!$1:$1048576,DV$93,$C241*2+6)</f>
        <v>0.5</v>
      </c>
      <c r="DW241" s="20">
        <f>INDEX(Input!$1:$1048576,DW$93,$C241*2+6)</f>
        <v>0.45</v>
      </c>
      <c r="DX241" s="20"/>
      <c r="DY241" s="7">
        <v>0.10688825635648586</v>
      </c>
      <c r="DZ241" s="7">
        <v>0</v>
      </c>
      <c r="EA241" s="7">
        <v>0.68618486796742295</v>
      </c>
      <c r="EB241" s="7">
        <v>0</v>
      </c>
      <c r="EC241" s="7">
        <v>0</v>
      </c>
      <c r="ED241" s="7">
        <v>0</v>
      </c>
      <c r="EE241" s="7">
        <v>0</v>
      </c>
      <c r="EF241" s="7">
        <v>0</v>
      </c>
      <c r="EG241" s="7">
        <v>0</v>
      </c>
      <c r="EH241" s="7">
        <v>1.4272096276735216E-2</v>
      </c>
      <c r="EI241" s="7">
        <v>4.0628704197763016E-2</v>
      </c>
      <c r="EJ241" s="7">
        <v>0.30736502765362089</v>
      </c>
      <c r="EK241" s="7">
        <v>0.52658542469652092</v>
      </c>
      <c r="EL241" s="7">
        <v>0.1111487471753598</v>
      </c>
      <c r="EM241" s="7">
        <v>4.0400376060452908E-2</v>
      </c>
      <c r="EN241" s="7">
        <v>6.6778803576979143E-2</v>
      </c>
      <c r="EO241" s="7">
        <v>0.74265220585563507</v>
      </c>
      <c r="EP241" s="7">
        <v>8.2317706306928848E-2</v>
      </c>
      <c r="EQ241" s="7">
        <v>7.0170149969110002E-2</v>
      </c>
      <c r="ER241" s="7">
        <v>3.8081134291347095E-2</v>
      </c>
      <c r="ES241" s="7">
        <v>0.16652649961563837</v>
      </c>
      <c r="ET241" s="7">
        <v>0.20692687567609125</v>
      </c>
      <c r="EU241" s="6">
        <v>2044</v>
      </c>
      <c r="EV241" s="6">
        <v>0</v>
      </c>
      <c r="EW241" s="6">
        <v>2044</v>
      </c>
      <c r="EX241" s="6">
        <v>0</v>
      </c>
      <c r="EY241" s="6">
        <v>2054.0324239253523</v>
      </c>
      <c r="EZ241" s="6">
        <v>1306</v>
      </c>
      <c r="FA241" s="6">
        <v>0</v>
      </c>
      <c r="FB241" s="6">
        <v>0</v>
      </c>
      <c r="FC241" s="6">
        <v>0</v>
      </c>
      <c r="FD241" s="6">
        <v>0</v>
      </c>
      <c r="FE241" s="6">
        <v>0</v>
      </c>
      <c r="FF241" s="6">
        <v>0</v>
      </c>
      <c r="FG241" s="6">
        <v>0</v>
      </c>
      <c r="FH241" s="6">
        <v>1173.7350539160234</v>
      </c>
      <c r="FI241" s="6">
        <v>1553.9796069512399</v>
      </c>
      <c r="FJ241" s="6">
        <v>2101.211011744741</v>
      </c>
      <c r="FK241" s="6">
        <v>1772.7139978623236</v>
      </c>
      <c r="FL241" s="6">
        <v>907.07682140966347</v>
      </c>
      <c r="FM241" s="6">
        <v>1760.0324239253523</v>
      </c>
      <c r="FN241" s="6">
        <v>0</v>
      </c>
      <c r="FO241" s="6">
        <v>0</v>
      </c>
      <c r="FP241" s="6">
        <v>0</v>
      </c>
      <c r="FQ241" s="6">
        <v>0</v>
      </c>
      <c r="FR241" s="6">
        <v>0</v>
      </c>
      <c r="FS241" s="6">
        <v>0</v>
      </c>
      <c r="FT241" s="7">
        <v>0.79307312432390886</v>
      </c>
      <c r="FU241" s="7">
        <v>4.0400376060452908E-2</v>
      </c>
      <c r="FV241" s="7">
        <v>0.16652649961563837</v>
      </c>
      <c r="FW241" s="6">
        <v>2043.9999999999998</v>
      </c>
      <c r="FX241" s="6">
        <v>2054.0324239253523</v>
      </c>
      <c r="FY241" s="6">
        <v>1306</v>
      </c>
      <c r="FZ241" s="6">
        <v>1817.4615072224267</v>
      </c>
      <c r="GA241" s="6">
        <v>1921.5087569830412</v>
      </c>
      <c r="GB241" s="6">
        <v>18063.491243016957</v>
      </c>
      <c r="GC241" s="7">
        <v>1.804905384453976E-2</v>
      </c>
      <c r="GD241" s="7">
        <v>1.8636699126575725E-2</v>
      </c>
      <c r="GE241" s="7"/>
      <c r="GF241" s="7"/>
      <c r="GG241" s="7">
        <v>3.2558231977004214E-2</v>
      </c>
      <c r="GH241" s="42">
        <v>6.2536613659415812</v>
      </c>
      <c r="GI241" s="6">
        <v>5117.2366403061524</v>
      </c>
      <c r="GJ241" s="14">
        <v>0.50394797582841755</v>
      </c>
      <c r="GK241" s="14">
        <v>0.50887573065309766</v>
      </c>
      <c r="GL241" s="14">
        <v>0.49605202417158273</v>
      </c>
      <c r="GM241" s="14">
        <v>0.49112426934690251</v>
      </c>
      <c r="GO241" s="5">
        <v>343.14810671672558</v>
      </c>
      <c r="GP241" s="5">
        <v>304.15248610521212</v>
      </c>
      <c r="GQ241" s="5">
        <v>535.04305713031317</v>
      </c>
      <c r="GR241" s="5">
        <v>410.15490233172511</v>
      </c>
      <c r="GS241" s="5">
        <v>339.42744393800166</v>
      </c>
      <c r="GT241" s="5">
        <v>293.4407446948278</v>
      </c>
      <c r="GU241" s="5">
        <v>258.04012322764959</v>
      </c>
      <c r="GV241" s="39" t="s">
        <v>392</v>
      </c>
      <c r="GW241" s="5">
        <v>491.45833333333331</v>
      </c>
      <c r="GX241" s="5">
        <v>368.59375</v>
      </c>
      <c r="GY241" s="5">
        <v>294.875</v>
      </c>
      <c r="GZ241" s="5">
        <v>260.19607020114813</v>
      </c>
      <c r="HA241" s="5">
        <v>241.02179695997205</v>
      </c>
      <c r="HB241" s="39">
        <v>276.42861852188503</v>
      </c>
      <c r="HC241" s="5">
        <v>230.14687499999999</v>
      </c>
      <c r="HD241" s="5">
        <v>200.80677997076018</v>
      </c>
      <c r="HE241" s="5">
        <v>204.75485408232115</v>
      </c>
      <c r="HF241" s="5">
        <v>190.70750548245613</v>
      </c>
      <c r="HG241" s="5">
        <v>185.59971491228069</v>
      </c>
      <c r="HH241" s="39">
        <v>201.80330292674847</v>
      </c>
      <c r="HI241" s="16"/>
      <c r="HJ241" s="19" t="str">
        <f t="shared" si="753"/>
        <v>On</v>
      </c>
      <c r="HK241" s="1" t="str">
        <f t="shared" si="753"/>
        <v>On</v>
      </c>
      <c r="HL241" s="16"/>
      <c r="HM241" s="639">
        <f t="shared" si="634"/>
        <v>1.2768706344444866E-2</v>
      </c>
      <c r="HN241" s="639">
        <f t="shared" si="635"/>
        <v>9.795534288915453E-4</v>
      </c>
      <c r="HO241" s="639">
        <f t="shared" si="636"/>
        <v>3.3583061774515237E-3</v>
      </c>
      <c r="HP241" s="644">
        <f>(FT241*$GD241-HM241)/$JF241*INDEX(Input!$1:$1048576,$JG$93,$C241*2+6)</f>
        <v>146.16420787619674</v>
      </c>
      <c r="HQ241" s="644">
        <f>(FU241*$GD241-HN241)/$JF241*INDEX(Input!$1:$1048576,$JG$93,$C241*2+6)</f>
        <v>-16.466972620119773</v>
      </c>
      <c r="HR241" s="644">
        <f>(FV241*$GD241-HO241)/$JF241*INDEX(Input!$1:$1048576,$JG$93,$C241*2+6)</f>
        <v>-18.514456492895615</v>
      </c>
      <c r="HS241" s="644">
        <f t="shared" si="754"/>
        <v>-49.381950543206202</v>
      </c>
      <c r="HT241" s="644">
        <f t="shared" si="638"/>
        <v>-7.9722721477857146</v>
      </c>
      <c r="HU241" s="644">
        <f t="shared" si="639"/>
        <v>18.934605769813313</v>
      </c>
      <c r="HV241" s="648">
        <f t="shared" si="640"/>
        <v>0</v>
      </c>
      <c r="HW241" s="648">
        <f t="shared" si="641"/>
        <v>0</v>
      </c>
      <c r="HX241" s="648">
        <f t="shared" si="642"/>
        <v>0</v>
      </c>
      <c r="HY241" s="644">
        <f>INDEX(Input!$1:$1048576,HY$93,$C241*2+6)*INDEX(Input!$1:$1048576,$JG$93,$C241*2+6)</f>
        <v>451</v>
      </c>
      <c r="HZ241" s="644">
        <f>INDEX(Input!$1:$1048576,HZ$93,$C241*2+6)*INDEX(Input!$1:$1048576,$JG$93,$C241*2+6)</f>
        <v>577</v>
      </c>
      <c r="IA241" s="644">
        <f>INDEX(Input!$1:$1048576,IA$93,$C241*2+6)*INDEX(Input!$1:$1048576,$JG$93,$C241*2+6)</f>
        <v>215</v>
      </c>
      <c r="IB241" s="644">
        <f t="shared" si="666"/>
        <v>547.78225733299064</v>
      </c>
      <c r="IC241" s="644">
        <f t="shared" si="667"/>
        <v>552.56075523209449</v>
      </c>
      <c r="ID241" s="644">
        <f>IF(AND(INDEX(Input!$1:$1048576,IA$93,$C241*2+7)="TOS",Y241&lt;=INDEX(Y:Y,MATCH(C241*1000+2,A:A))),0,1)*MAX(IA241+HR241+HU241+HX241,0%)</f>
        <v>215.4201492769177</v>
      </c>
      <c r="IE241" s="128">
        <f t="shared" ref="IE241:IE242" si="758">IB241/SUM($IB241:$ID241)</f>
        <v>0.41632284078095233</v>
      </c>
      <c r="IF241" s="128">
        <f t="shared" si="643"/>
        <v>0.41995457180799689</v>
      </c>
      <c r="IG241" s="128">
        <f t="shared" si="644"/>
        <v>0.16372258741105064</v>
      </c>
      <c r="IH241" s="21"/>
      <c r="II241" s="19">
        <f t="shared" si="645"/>
        <v>1252</v>
      </c>
      <c r="IJ241" s="19">
        <f t="shared" si="646"/>
        <v>2011.9658773055378</v>
      </c>
      <c r="IK241" s="19">
        <f t="shared" si="647"/>
        <v>919</v>
      </c>
      <c r="IL241" s="19">
        <f t="shared" si="669"/>
        <v>791.99999999999977</v>
      </c>
      <c r="IM241" s="19">
        <f t="shared" si="648"/>
        <v>42.066546619814517</v>
      </c>
      <c r="IN241" s="19">
        <f t="shared" si="649"/>
        <v>387</v>
      </c>
      <c r="IO241" s="39">
        <f t="shared" si="650"/>
        <v>0</v>
      </c>
      <c r="IP241" s="39">
        <f t="shared" si="651"/>
        <v>0</v>
      </c>
      <c r="IQ241" s="39">
        <f t="shared" si="652"/>
        <v>0</v>
      </c>
      <c r="IR241" s="39">
        <v>0</v>
      </c>
      <c r="IS241" s="39">
        <v>0</v>
      </c>
      <c r="IT241" s="39">
        <v>0</v>
      </c>
      <c r="IU241" s="39">
        <v>0</v>
      </c>
      <c r="IV241" s="39">
        <v>0</v>
      </c>
      <c r="IW241" s="39">
        <v>0</v>
      </c>
      <c r="IX241" s="39">
        <f>INDEX(Input!$1:$1048576,IX$93,$C241*2+6)+INDEX(Input!$1:$1048576,IX$94,$C241*2+6)</f>
        <v>1294</v>
      </c>
      <c r="IY241" s="39">
        <f>INDEX(Input!$1:$1048576,IY$93,$C241*2+6)+INDEX(Input!$1:$1048576,IY$94,$C241*2+6)</f>
        <v>2154.0624533823611</v>
      </c>
      <c r="IZ241" s="39">
        <f>INDEX(Input!$1:$1048576,IZ$93,$C241*2+6)+INDEX(Input!$1:$1048576,IZ$94,$C241*2+6)</f>
        <v>3677.7164157747848</v>
      </c>
      <c r="JA241" s="19">
        <f t="shared" si="670"/>
        <v>2086</v>
      </c>
      <c r="JB241" s="19">
        <f t="shared" si="671"/>
        <v>2196.1290000021754</v>
      </c>
      <c r="JC241" s="19">
        <f t="shared" si="672"/>
        <v>4064.7164157747848</v>
      </c>
      <c r="JD241" s="19">
        <f t="shared" si="673"/>
        <v>2456.2097483829243</v>
      </c>
      <c r="JE241" s="21"/>
      <c r="JF241" s="1">
        <f t="shared" si="653"/>
        <v>1.7106565950787935E-2</v>
      </c>
      <c r="JG241" s="15">
        <f>INDEX(Input!$1:$1048576,JG$93,$C241*2+6)/(1+VLOOKUP(C241*1000+INDEX(Input!$1:$1048576,JG$93+1,$C241*2+6),$A:$KK,$JK$92,FALSE))</f>
        <v>1243</v>
      </c>
      <c r="JH241" s="1">
        <f t="shared" si="674"/>
        <v>8.9447126921304382E-2</v>
      </c>
      <c r="JI241" s="1">
        <f t="shared" si="675"/>
        <v>-3.0908782720175866E-2</v>
      </c>
      <c r="JJ241" s="1">
        <f t="shared" si="731"/>
        <v>0</v>
      </c>
      <c r="JK241" s="1">
        <f t="shared" si="732"/>
        <v>5.8538344201128516E-2</v>
      </c>
      <c r="JL241" s="15">
        <f t="shared" si="678"/>
        <v>72.763161842002745</v>
      </c>
      <c r="JM241" s="15">
        <f t="shared" si="702"/>
        <v>1315.7631618420028</v>
      </c>
      <c r="JN241" s="21"/>
      <c r="JO241" s="19">
        <f>INDEX(Input!$1:$1048576,JO$93,$C241*2+6)</f>
        <v>5995.5</v>
      </c>
      <c r="JP241" s="19">
        <f>INDEX(Input!$1:$1048576,JP$93,$C241*2+6)</f>
        <v>2105.548724853742</v>
      </c>
      <c r="JQ241" s="39">
        <f t="shared" si="688"/>
        <v>3539.2902516170757</v>
      </c>
      <c r="JR241" s="39">
        <f t="shared" si="705"/>
        <v>350.66102352918233</v>
      </c>
      <c r="JS241" s="39">
        <f t="shared" si="690"/>
        <v>3.2317903046794663</v>
      </c>
      <c r="JT241" s="39">
        <f t="shared" si="680"/>
        <v>0.61459323968626511</v>
      </c>
      <c r="JU241" s="385">
        <f>(JQ241*JM241-INDEX(Input!$1:$1048576,Input!A$18,$C241*2+6)*JL241*INDEX(Input!$1:$1048576,Input!A$19,$C241*2+6))/1000000</f>
        <v>4.6568677321442609</v>
      </c>
      <c r="JV241" s="39">
        <f t="shared" si="712"/>
        <v>-0.17834170286253759</v>
      </c>
      <c r="JW241" s="1">
        <f t="shared" si="703"/>
        <v>-3.6883966508533837E-2</v>
      </c>
      <c r="JX241" s="19">
        <f t="shared" si="694"/>
        <v>8446.48891180385</v>
      </c>
      <c r="JZ241" s="341"/>
      <c r="KA241" s="342"/>
      <c r="KB241" s="469">
        <f t="shared" si="691"/>
        <v>2.5660492421988774</v>
      </c>
      <c r="KI241" s="473">
        <f t="shared" si="756"/>
        <v>96.782257332990525</v>
      </c>
      <c r="KJ241" s="473">
        <f t="shared" si="757"/>
        <v>-24.43924476790562</v>
      </c>
      <c r="KK241" s="473">
        <f t="shared" si="682"/>
        <v>0.42014927691766957</v>
      </c>
      <c r="KN241" s="544">
        <f t="shared" si="695"/>
        <v>2002</v>
      </c>
      <c r="KO241" s="541">
        <f t="shared" si="657"/>
        <v>5.2301704841690499E-2</v>
      </c>
      <c r="KP241" s="546">
        <f t="shared" si="658"/>
        <v>371.20973128250483</v>
      </c>
      <c r="KQ241" s="546">
        <f t="shared" si="659"/>
        <v>312.52940894945141</v>
      </c>
      <c r="KR241" s="548">
        <f t="shared" si="660"/>
        <v>2.513758008577236</v>
      </c>
      <c r="KS241" s="548">
        <f t="shared" si="661"/>
        <v>2.9857396077056073</v>
      </c>
      <c r="KT241" s="473">
        <f t="shared" si="693"/>
        <v>843.26993010479111</v>
      </c>
      <c r="KU241" s="663">
        <f t="shared" si="683"/>
        <v>4.5590209212503172</v>
      </c>
      <c r="KV241" s="117"/>
    </row>
    <row r="242" spans="1:308" s="26" customFormat="1" ht="15">
      <c r="A242" s="561">
        <f t="shared" si="662"/>
        <v>2042</v>
      </c>
      <c r="B242" s="561">
        <f t="shared" si="684"/>
        <v>42</v>
      </c>
      <c r="C242" s="561">
        <f t="shared" si="105"/>
        <v>2</v>
      </c>
      <c r="D242" s="561" t="str">
        <f t="shared" si="728"/>
        <v xml:space="preserve">1000 CC, 360 Lease, </v>
      </c>
      <c r="E242" s="475">
        <f>INDEX(Input!$1:$1048576,E$93,$C242*2+MIN($B242,2)+5)
+INDEX(Scenarios!E$121:E$200,MATCH($B242,Scenarios!$B$121:$B$200,0))</f>
        <v>2269.7618664521319</v>
      </c>
      <c r="F242" s="475">
        <f>INDEX(Input!$1:$1048576,F$93,$C242*2+MIN($B242,2)+5)
+INDEX(Scenarios!F$121:F$200,MATCH($B242,Scenarios!$B$121:$B$200,0))</f>
        <v>0</v>
      </c>
      <c r="G242" s="475">
        <f>INDEX(Input!$1:$1048576,G$93,$C242*2+MIN($B242,2)+5)
+INDEX(Scenarios!G$121:G$200,MATCH($B242,Scenarios!$B$121:$B$200,0))</f>
        <v>0</v>
      </c>
      <c r="H242" s="475">
        <f>INDEX(Input!$1:$1048576,H$93,$C242*2+MIN($B242,2)+5)
+INDEX(Scenarios!H$121:H$200,MATCH($B242,Scenarios!$B$121:$B$200,0))</f>
        <v>0</v>
      </c>
      <c r="I242" s="476">
        <f>INDEX(Input!$1:$1048576,I$93,$C242*2+MIN($B242,2)+5)</f>
        <v>0.7</v>
      </c>
      <c r="J242" s="476" t="str">
        <f>INDEX(Input!$1:$1048576,J$93,$C242*2+MIN($B242,2)+5)</f>
        <v>Market</v>
      </c>
      <c r="K242" s="476" t="str">
        <f>INDEX(Input!$1:$1048576,K$93,$C242*2+MIN($B242,2)+5)</f>
        <v>Market</v>
      </c>
      <c r="L242" s="476" t="str">
        <f>INDEX(Input!$1:$1048576,L$93,$C242*2+MIN($B242,2)+5)</f>
        <v>Market</v>
      </c>
      <c r="M242" s="476" t="str">
        <f>INDEX(Input!$1:$1048576,M$93,$C242*2+MIN($B242,2)+5)</f>
        <v>Market</v>
      </c>
      <c r="N242" s="476" t="str">
        <f>INDEX(Input!$1:$1048576,N$93,$C242*2+MIN($B242,2)+5)</f>
        <v>Market</v>
      </c>
      <c r="O242" s="476" t="str">
        <f>INDEX(Input!$1:$1048576,O$93,$C242*2+MIN($B242,2)+5)</f>
        <v>Market</v>
      </c>
      <c r="P242" s="476" t="str">
        <f>INDEX(Input!$1:$1048576,P$93,$C242*2+MIN($B242,2)+5)</f>
        <v>N</v>
      </c>
      <c r="Q242" s="477">
        <f>INDEX(Input!$1:$1048576,Q$93,$C242*2+MIN($B242,2)+5)
+INDEX(Scenarios!Q$121:Q$200,MATCH($B242,Scenarios!$B$121:$B$200,0))</f>
        <v>0</v>
      </c>
      <c r="R242" s="478">
        <f>IFERROR(MAX(0,INDEX(Input!$1:$1048576,R$93,$C242*2+MIN($B242,2)+5)
+INDEX(Scenarios!R$121:R$200,MATCH($B242,Scenarios!$B$121:$B$200,0)),),"Market")</f>
        <v>0</v>
      </c>
      <c r="S242" s="478">
        <f>IFERROR(MAX(0,INDEX(Input!$1:$1048576,S$93,$C242*2+MIN($B242,2)+5)
+INDEX(Scenarios!S$121:S$200,MATCH($B242,Scenarios!$B$121:$B$200,0)),),"Market")</f>
        <v>0</v>
      </c>
      <c r="T242" s="478">
        <f>IFERROR(MAX(0,INDEX(Input!$1:$1048576,T$93,$C242*2+MIN($B242,2)+5)
+INDEX(Scenarios!T$121:T$200,MATCH($B242,Scenarios!$B$121:$B$200,0)),),"Market")</f>
        <v>0</v>
      </c>
      <c r="U242" s="478">
        <f>IFERROR(MAX(0,INDEX(Input!$1:$1048576,U$93,$C242*2+MIN($B242,2)+5)
+INDEX(Scenarios!U$121:U$200,MATCH($B242,Scenarios!$B$121:$B$200,0)),),"Market")</f>
        <v>0</v>
      </c>
      <c r="V242" s="478">
        <f>IFERROR(MAX(0,INDEX(Input!$1:$1048576,V$93,$C242*2+MIN($B242,2)+5)
+INDEX(Scenarios!V$121:V$200,MATCH($B242,Scenarios!$B$121:$B$200,0)),),"Market")</f>
        <v>1.9E-2</v>
      </c>
      <c r="W242" s="885">
        <f>IFERROR(MAX(0,INDEX(Input!$1:$1048576,W$93,$C242*2+MIN($B242,2)+5)-0%,),"Market")</f>
        <v>3.9E-2</v>
      </c>
      <c r="X242" s="476" t="str">
        <f>INDEX(Input!$1:$1048576,X$93,$C242*2+MIN($B242,2)+5)</f>
        <v>Y</v>
      </c>
      <c r="Y242" s="475">
        <f>INDEX(Input!$1:$1048576,Y$93,$C242*2+MIN($B242,2)+5)
++INDEX(Scenarios!Y$121:Y$200,MATCH($B242,Scenarios!$B$121:$B$200,0))</f>
        <v>416</v>
      </c>
      <c r="Z242" s="477">
        <f>INDEX(Input!$1:$1048576,Z$93,$C242*2+MIN($B242,2)+5)
+INDEX(Scenarios!Z$121:Z$200,MATCH($B242,Scenarios!$B$121:$B$200,0))</f>
        <v>0</v>
      </c>
      <c r="AA242" s="475">
        <f>INDEX(Input!$1:$1048576,AA$93,$C242*2+MIN($B242,2)+5)
+INDEX(Scenarios!AA$121:AA$200,MATCH($B242,Scenarios!$B$121:$B$200,0))</f>
        <v>0</v>
      </c>
      <c r="AB242" s="476">
        <f>INDEX(Input!$1:$1048576,AB$93,$C242*2+MIN($B242,2)+5)</f>
        <v>0.27</v>
      </c>
      <c r="AC242" s="475">
        <f>INDEX(Input!$1:$1048576,AC$93,$C242*2+MIN($B242,2)+5)
+INDEX(Scenarios!AC$121:AC$200,MATCH($B242,Scenarios!$B$121:$B$200,0))</f>
        <v>0</v>
      </c>
      <c r="AD242" s="476">
        <f>INDEX(Input!$1:$1048576,AD$93,$C242*2+MIN($B242,2)+5)</f>
        <v>0.27</v>
      </c>
      <c r="AE242" s="475">
        <f>INDEX(Input!$1:$1048576,AE$93,$C242*2+MIN($B242,2)+5)
+INDEX(Scenarios!AE$121:AE$200,MATCH($B242,Scenarios!$B$121:$B$200,0))</f>
        <v>0</v>
      </c>
      <c r="AF242" s="476">
        <f>INDEX(Input!$1:$1048576,AF$93,$C242*2+MIN($B242,2)+5)</f>
        <v>4.8000000000000001E-2</v>
      </c>
      <c r="AG242" s="475">
        <f>INDEX(Input!$1:$1048576,AG$93,$C242*2+MIN($B242,2)+5)
+INDEX(Scenarios!AG$121:AG$200,MATCH($B242,Scenarios!$B$121:$B$200,0))</f>
        <v>500</v>
      </c>
      <c r="AH242" s="476">
        <f>INDEX(Input!$1:$1048576,AH$93,$C242*2+MIN($B242,2)+5)</f>
        <v>0.94599999999999995</v>
      </c>
      <c r="AI242" s="475">
        <f>INDEX(Input!$1:$1048576,AI$93,$C242*2+MIN($B242,2)+5)
+INDEX(Scenarios!AI$121:AI$200,MATCH($B242,Scenarios!$B$121:$B$200,0))</f>
        <v>0</v>
      </c>
      <c r="AJ242" s="476">
        <f>INDEX(Input!$1:$1048576,AJ$93,$C242*2+MIN($B242,2)+5)</f>
        <v>0.27</v>
      </c>
      <c r="AK242" s="150">
        <f>ROUND(INDEX(Input!$1:$1048576,AK$93,$C241*2+MIN($B242,1)+5)+(Y242-VLOOKUP($C242*1000+1,$A:$HH,Y$92,FALSE)),0)</f>
        <v>3337</v>
      </c>
      <c r="AL242" s="150">
        <f>ROUND(INDEX(Input!$1:$1048576,AL$93,$C241*2+MIN($B242,1)+5)-(Y242-VLOOKUP($C242*1000+1,$A:$HH,Y$92,FALSE))/36,0)</f>
        <v>3385</v>
      </c>
      <c r="AM242" s="32" t="str">
        <f t="shared" si="663"/>
        <v>std/std/std/std</v>
      </c>
      <c r="AN242" s="32" t="str">
        <f t="shared" si="664"/>
        <v>$0 + 0/0/0/1.9/3.9</v>
      </c>
      <c r="AO242" s="32" t="str">
        <f t="shared" si="665"/>
        <v>0/0/0/1.9/3.9</v>
      </c>
      <c r="AP242" s="32" t="str">
        <f t="shared" si="734"/>
        <v>0/0.9/1.9/3.9</v>
      </c>
      <c r="AQ242" s="536">
        <f t="shared" si="733"/>
        <v>0.44149076350236599</v>
      </c>
      <c r="AR242" s="32"/>
      <c r="AS242" s="302"/>
      <c r="AT242" s="3">
        <f t="shared" si="717"/>
        <v>42</v>
      </c>
      <c r="AU242" s="41" t="s">
        <v>121</v>
      </c>
      <c r="AV242" s="41" t="s">
        <v>116</v>
      </c>
      <c r="AW242" s="41" t="str">
        <f>INDEX(Input!$1:$1048576,AW$93,$C242*2+6)</f>
        <v>Kia</v>
      </c>
      <c r="AX242" s="41" t="str">
        <f>INDEX(Input!$1:$1048576,AX$93,$C242*2+6)</f>
        <v>Kia-LR - L2</v>
      </c>
      <c r="AY242" s="41" t="str">
        <f>IF(LEN(D242)=0,"",INDEX(Input!$1:$1048576,AY$93,$C242*2+6))</f>
        <v>Compact SUV (52)</v>
      </c>
      <c r="AZ242" s="41" t="str">
        <f>INDEX(Input!$1:$1048576,AZ$93,$C242*2+6)</f>
        <v>Kia Soul</v>
      </c>
      <c r="BA242" s="3">
        <f>INDEX(Input!$1:$1048576,BA$93,$C242*2+6)</f>
        <v>2020</v>
      </c>
      <c r="BB242" s="128">
        <f>INDEX(Input!$1:$1048576,BB$93,$C242*2+6)</f>
        <v>1</v>
      </c>
      <c r="BC242" s="128">
        <f>INDEX(Input!$1:$1048576,BC$93,$C242*2+6)</f>
        <v>0.7</v>
      </c>
      <c r="BD242" s="1">
        <f>INDEX(Input!$1:$1048576,BD$93,$C242*2+6)</f>
        <v>4.4999999999999998E-2</v>
      </c>
      <c r="BE242" s="1">
        <f>INDEX(Input!$1:$1048576,BE$93,$C242*2+6)</f>
        <v>4.4999999999999998E-2</v>
      </c>
      <c r="BF242" s="1">
        <f>INDEX(Input!$1:$1048576,BF$93,$C242*2+6)</f>
        <v>0.05</v>
      </c>
      <c r="BG242" s="1">
        <f>INDEX(Input!$1:$1048576,BG$93,$C242*2+6)</f>
        <v>5.45E-2</v>
      </c>
      <c r="BH242" s="1">
        <f>INDEX(Input!$1:$1048576,BH$93,$C242*2+6)</f>
        <v>5.45E-2</v>
      </c>
      <c r="BI242" s="1">
        <f>INDEX(Input!$1:$1048576,BI$93,$C242*2+6)</f>
        <v>0.05</v>
      </c>
      <c r="BJ242" s="1">
        <f>INDEX(Input!$1:$1048576,BJ$93,$C242*2+6)</f>
        <v>0.05</v>
      </c>
      <c r="BK242" s="1">
        <f>INDEX(Input!$1:$1048576,BK$93,$C242*2+6)</f>
        <v>0.05</v>
      </c>
      <c r="BL242" s="1">
        <f>INDEX(Input!$1:$1048576,BL$93,$C242*2+6)</f>
        <v>5.5E-2</v>
      </c>
      <c r="BM242" s="1">
        <f>INDEX(Input!$1:$1048576,BM$93,$C242*2+6)</f>
        <v>0.06</v>
      </c>
      <c r="BN242" s="1">
        <f>INDEX(Input!$1:$1048576,BN$93,$C242*2+6)</f>
        <v>4.4999999999999998E-2</v>
      </c>
      <c r="BO242" s="1">
        <f>INDEX(Input!$1:$1048576,BO$93,$C242*2+6)</f>
        <v>4.4999999999999998E-2</v>
      </c>
      <c r="BP242" s="1">
        <f>INDEX(Input!$1:$1048576,BP$93,$C242*2+6)</f>
        <v>0.05</v>
      </c>
      <c r="BQ242" s="1">
        <f>INDEX(Input!$1:$1048576,BQ$93,$C242*2+6)</f>
        <v>5.45E-2</v>
      </c>
      <c r="BR242" s="1">
        <f>INDEX(Input!$1:$1048576,BR$93,$C242*2+6)</f>
        <v>5.45E-2</v>
      </c>
      <c r="BS242" s="1">
        <f>INDEX(Input!$1:$1048576,BS$93,$C242*2+6)</f>
        <v>0.05</v>
      </c>
      <c r="BT242" s="1">
        <f>INDEX(Input!$1:$1048576,BT$93,$C242*2+6)</f>
        <v>0.05</v>
      </c>
      <c r="BU242" s="1">
        <f>INDEX(Input!$1:$1048576,BU$93,$C242*2+6)</f>
        <v>0.05</v>
      </c>
      <c r="BV242" s="1">
        <f>INDEX(Input!$1:$1048576,BV$93,$C242*2+6)</f>
        <v>5.5E-2</v>
      </c>
      <c r="BW242" s="1">
        <f>INDEX(Input!$1:$1048576,BW$93,$C242*2+6)</f>
        <v>0.06</v>
      </c>
      <c r="BX242" s="127">
        <f>INDEX(Input!$1:$1048576,BX$93,$C242*2+6)</f>
        <v>19985</v>
      </c>
      <c r="BY242" s="20">
        <f>INDEX(Input!$1:$1048576,BY$93,$C242*2+6)</f>
        <v>0.1</v>
      </c>
      <c r="BZ242" s="20">
        <f>INDEX(Input!$1:$1048576,BZ$93,$C242*2+6)</f>
        <v>0.1</v>
      </c>
      <c r="CA242" s="20">
        <f>INDEX(Input!$1:$1048576,CA$93,$C242*2+6)</f>
        <v>0.1</v>
      </c>
      <c r="CB242" s="20">
        <f>INDEX(Input!$1:$1048576,CB$93,$C242*2+6)</f>
        <v>0.1</v>
      </c>
      <c r="CC242" s="20">
        <f>INDEX(Input!$1:$1048576,CC$93,$C242*2+6)</f>
        <v>0.1</v>
      </c>
      <c r="CD242" s="384">
        <f>INDEX(Input!$1:$1048576,CD$93,$C242*2+6)</f>
        <v>0.1</v>
      </c>
      <c r="CE242" s="384">
        <f>INDEX(Input!$1:$1048576,CE$93,$C242*2+6)</f>
        <v>0.1</v>
      </c>
      <c r="CF242" s="384">
        <f>INDEX(Input!$1:$1048576,CF$93,$C242*2+6)</f>
        <v>0.1</v>
      </c>
      <c r="CG242" s="384">
        <f>INDEX(Input!$1:$1048576,CG$93,$C242*2+6)</f>
        <v>0.1</v>
      </c>
      <c r="CH242" s="384">
        <f>INDEX(Input!$1:$1048576,CH$93,$C242*2+6)</f>
        <v>0.1</v>
      </c>
      <c r="CI242" s="304">
        <f t="shared" si="735"/>
        <v>2269.7618664521319</v>
      </c>
      <c r="CJ242" s="16" t="str">
        <f>INDEX(Input!$1:$1048576,CJ$93,$C242*2+6)</f>
        <v>N</v>
      </c>
      <c r="CK242" s="1" t="str">
        <f t="shared" si="736"/>
        <v>Market</v>
      </c>
      <c r="CL242" s="1" t="str">
        <f t="shared" si="737"/>
        <v>Market</v>
      </c>
      <c r="CM242" s="1" t="str">
        <f t="shared" si="738"/>
        <v>Market</v>
      </c>
      <c r="CN242" s="1" t="str">
        <f t="shared" si="739"/>
        <v>Market</v>
      </c>
      <c r="CO242" s="1" t="str">
        <f t="shared" si="740"/>
        <v>Market</v>
      </c>
      <c r="CP242" s="304">
        <f t="shared" si="741"/>
        <v>473</v>
      </c>
      <c r="CQ242" s="1">
        <f t="shared" si="742"/>
        <v>0</v>
      </c>
      <c r="CR242" s="1">
        <f t="shared" si="743"/>
        <v>0</v>
      </c>
      <c r="CS242" s="1">
        <f t="shared" si="744"/>
        <v>0</v>
      </c>
      <c r="CT242" s="1">
        <f t="shared" si="745"/>
        <v>1.9E-2</v>
      </c>
      <c r="CU242" s="1">
        <f t="shared" si="746"/>
        <v>3.9E-2</v>
      </c>
      <c r="CV242" s="304">
        <f t="shared" si="747"/>
        <v>416</v>
      </c>
      <c r="CW242" s="20" t="s">
        <v>122</v>
      </c>
      <c r="CX242" s="20" t="s">
        <v>122</v>
      </c>
      <c r="CY242" s="20" t="s">
        <v>122</v>
      </c>
      <c r="CZ242" s="20" t="s">
        <v>122</v>
      </c>
      <c r="DA242" s="20" t="s">
        <v>122</v>
      </c>
      <c r="DB242" s="503">
        <f t="shared" si="748"/>
        <v>0</v>
      </c>
      <c r="DC242" s="127">
        <v>0</v>
      </c>
      <c r="DD242" s="127">
        <v>0</v>
      </c>
      <c r="DE242" s="127">
        <v>0</v>
      </c>
      <c r="DF242" s="127">
        <v>0</v>
      </c>
      <c r="DG242" s="127">
        <v>0</v>
      </c>
      <c r="DH242" s="127">
        <v>0</v>
      </c>
      <c r="DI242" s="127">
        <v>0</v>
      </c>
      <c r="DJ242" s="127">
        <v>0</v>
      </c>
      <c r="DK242" s="127">
        <v>0</v>
      </c>
      <c r="DL242" s="127">
        <v>0</v>
      </c>
      <c r="DM242" s="304">
        <f>INDEX(Input!$1:$1048576,DM$93,$C242*2+6)</f>
        <v>21036.84210526316</v>
      </c>
      <c r="DN242" s="20">
        <v>0</v>
      </c>
      <c r="DO242" s="20">
        <v>0</v>
      </c>
      <c r="DP242" s="20">
        <v>0</v>
      </c>
      <c r="DQ242" s="20">
        <v>0</v>
      </c>
      <c r="DR242" s="20">
        <v>0</v>
      </c>
      <c r="DS242" s="20">
        <f>INDEX(Input!$1:$1048576,DS$93,$C242*2+6)</f>
        <v>0.6</v>
      </c>
      <c r="DT242" s="20">
        <f>INDEX(Input!$1:$1048576,DT$93,$C242*2+6)</f>
        <v>0.55000000000000004</v>
      </c>
      <c r="DU242" s="20">
        <f>INDEX(Input!$1:$1048576,DU$93,$C242*2+6)</f>
        <v>0.52</v>
      </c>
      <c r="DV242" s="20">
        <f>INDEX(Input!$1:$1048576,DV$93,$C242*2+6)</f>
        <v>0.5</v>
      </c>
      <c r="DW242" s="20">
        <f>INDEX(Input!$1:$1048576,DW$93,$C242*2+6)</f>
        <v>0.45</v>
      </c>
      <c r="DX242" s="20"/>
      <c r="DY242" s="7">
        <v>0.11294987860194246</v>
      </c>
      <c r="DZ242" s="7">
        <v>0</v>
      </c>
      <c r="EA242" s="7">
        <v>0.70145554701095747</v>
      </c>
      <c r="EB242" s="7">
        <v>0</v>
      </c>
      <c r="EC242" s="7">
        <v>0</v>
      </c>
      <c r="ED242" s="7">
        <v>0</v>
      </c>
      <c r="EE242" s="7">
        <v>0</v>
      </c>
      <c r="EF242" s="7">
        <v>0</v>
      </c>
      <c r="EG242" s="7">
        <v>0</v>
      </c>
      <c r="EH242" s="7">
        <v>1.4278255318493057E-2</v>
      </c>
      <c r="EI242" s="7">
        <v>4.0650091725481424E-2</v>
      </c>
      <c r="EJ242" s="7">
        <v>0.3074362835586455</v>
      </c>
      <c r="EK242" s="7">
        <v>0.52650765660410381</v>
      </c>
      <c r="EL242" s="7">
        <v>0.11112771279327635</v>
      </c>
      <c r="EM242" s="7">
        <v>3.6203610857652467E-2</v>
      </c>
      <c r="EN242" s="7">
        <v>6.6770530513206347E-2</v>
      </c>
      <c r="EO242" s="7">
        <v>0.74264613208598951</v>
      </c>
      <c r="EP242" s="7">
        <v>8.2329314025605907E-2</v>
      </c>
      <c r="EQ242" s="7">
        <v>7.0168348702961222E-2</v>
      </c>
      <c r="ER242" s="7">
        <v>3.8085674672236863E-2</v>
      </c>
      <c r="ES242" s="7">
        <v>0.14939096352944772</v>
      </c>
      <c r="ET242" s="7">
        <v>0.18559457438710011</v>
      </c>
      <c r="EU242" s="6">
        <v>2294</v>
      </c>
      <c r="EV242" s="6">
        <v>0</v>
      </c>
      <c r="EW242" s="6">
        <v>2294</v>
      </c>
      <c r="EX242" s="6">
        <v>0</v>
      </c>
      <c r="EY242" s="6">
        <v>2054.0656983807776</v>
      </c>
      <c r="EZ242" s="6">
        <v>1306</v>
      </c>
      <c r="FA242" s="6">
        <v>0</v>
      </c>
      <c r="FB242" s="6">
        <v>0</v>
      </c>
      <c r="FC242" s="6">
        <v>0</v>
      </c>
      <c r="FD242" s="6">
        <v>0</v>
      </c>
      <c r="FE242" s="6">
        <v>0</v>
      </c>
      <c r="FF242" s="6">
        <v>0</v>
      </c>
      <c r="FG242" s="6">
        <v>0</v>
      </c>
      <c r="FH242" s="6">
        <v>1173.7368947897035</v>
      </c>
      <c r="FI242" s="6">
        <v>1553.9796069512392</v>
      </c>
      <c r="FJ242" s="6">
        <v>2101.2110117447419</v>
      </c>
      <c r="FK242" s="6">
        <v>1772.713997862322</v>
      </c>
      <c r="FL242" s="6">
        <v>907.07682140966267</v>
      </c>
      <c r="FM242" s="6">
        <v>1760.0656983807776</v>
      </c>
      <c r="FN242" s="6">
        <v>0</v>
      </c>
      <c r="FO242" s="6">
        <v>0</v>
      </c>
      <c r="FP242" s="6">
        <v>0</v>
      </c>
      <c r="FQ242" s="6">
        <v>0</v>
      </c>
      <c r="FR242" s="6">
        <v>0</v>
      </c>
      <c r="FS242" s="6">
        <v>0</v>
      </c>
      <c r="FT242" s="7">
        <v>0.81440542561289997</v>
      </c>
      <c r="FU242" s="7">
        <v>3.6203610857652467E-2</v>
      </c>
      <c r="FV242" s="7">
        <v>0.14939096352944772</v>
      </c>
      <c r="FW242" s="6">
        <v>2294</v>
      </c>
      <c r="FX242" s="6">
        <v>2054.0656983807776</v>
      </c>
      <c r="FY242" s="6">
        <v>1306</v>
      </c>
      <c r="FZ242" s="6">
        <v>1817.4615072224267</v>
      </c>
      <c r="GA242" s="6">
        <v>2137.7152399456809</v>
      </c>
      <c r="GB242" s="6">
        <v>17847.284760054317</v>
      </c>
      <c r="GC242" s="7">
        <v>1.804905384453976E-2</v>
      </c>
      <c r="GD242" s="7">
        <v>1.9113735489517947E-2</v>
      </c>
      <c r="GE242" s="7"/>
      <c r="GF242" s="7"/>
      <c r="GG242" s="7">
        <v>5.8988224765049203E-2</v>
      </c>
      <c r="GH242" s="42">
        <v>3.6810801919621396</v>
      </c>
      <c r="GI242" s="6">
        <v>7566.8281518671492</v>
      </c>
      <c r="GJ242" s="14">
        <v>0.50394797582841755</v>
      </c>
      <c r="GK242" s="14">
        <v>0.50887573065309755</v>
      </c>
      <c r="GL242" s="14">
        <v>0.49605202417158262</v>
      </c>
      <c r="GM242" s="14">
        <v>0.49112426934690245</v>
      </c>
      <c r="GO242" s="5">
        <v>343.14810671672558</v>
      </c>
      <c r="GP242" s="5">
        <v>299.3829630362892</v>
      </c>
      <c r="GQ242" s="5">
        <v>535.04305713031317</v>
      </c>
      <c r="GR242" s="5">
        <v>410.15490233172511</v>
      </c>
      <c r="GS242" s="5">
        <v>339.42744393800166</v>
      </c>
      <c r="GT242" s="5">
        <v>293.4407446948278</v>
      </c>
      <c r="GU242" s="5">
        <v>258.04012322764959</v>
      </c>
      <c r="GV242" s="39" t="s">
        <v>392</v>
      </c>
      <c r="GW242" s="5">
        <v>491.45833333333331</v>
      </c>
      <c r="GX242" s="5">
        <v>368.59375</v>
      </c>
      <c r="GY242" s="5">
        <v>294.875</v>
      </c>
      <c r="GZ242" s="5">
        <v>260.19607020114813</v>
      </c>
      <c r="HA242" s="5">
        <v>241.02179695997205</v>
      </c>
      <c r="HB242" s="39">
        <v>276.43523563171965</v>
      </c>
      <c r="HC242" s="5">
        <v>230.14687499999999</v>
      </c>
      <c r="HD242" s="5">
        <v>200.80677997076018</v>
      </c>
      <c r="HE242" s="5">
        <v>204.75485408232115</v>
      </c>
      <c r="HF242" s="5">
        <v>190.70750548245613</v>
      </c>
      <c r="HG242" s="5">
        <v>185.59971491228069</v>
      </c>
      <c r="HH242" s="39">
        <v>201.80305516801843</v>
      </c>
      <c r="HI242" s="16"/>
      <c r="HJ242" s="19" t="str">
        <f t="shared" si="753"/>
        <v>On</v>
      </c>
      <c r="HK242" s="1" t="str">
        <f t="shared" si="753"/>
        <v>On</v>
      </c>
      <c r="HL242" s="16"/>
      <c r="HM242" s="639">
        <f t="shared" si="634"/>
        <v>1.2768706344444866E-2</v>
      </c>
      <c r="HN242" s="639">
        <f t="shared" si="635"/>
        <v>9.795534288915453E-4</v>
      </c>
      <c r="HO242" s="639">
        <f t="shared" si="636"/>
        <v>3.3583061774515237E-3</v>
      </c>
      <c r="HP242" s="644">
        <f>(FT242*$GD242-HM242)/$JF242*INDEX(Input!$1:$1048576,$JG$93,$C242*2+6)</f>
        <v>203.28136416424795</v>
      </c>
      <c r="HQ242" s="644">
        <f>(FU242*$GD242-HN242)/$JF242*INDEX(Input!$1:$1048576,$JG$93,$C242*2+6)</f>
        <v>-20.895252425829824</v>
      </c>
      <c r="HR242" s="644">
        <f>(FV242*$GD242-HO242)/$JF242*INDEX(Input!$1:$1048576,$JG$93,$C242*2+6)</f>
        <v>-36.540841342316689</v>
      </c>
      <c r="HS242" s="644">
        <f t="shared" si="754"/>
        <v>-64.955103687406705</v>
      </c>
      <c r="HT242" s="644">
        <f t="shared" si="638"/>
        <v>-11.566013542984901</v>
      </c>
      <c r="HU242" s="644">
        <f t="shared" si="639"/>
        <v>22.53109001466758</v>
      </c>
      <c r="HV242" s="648">
        <f t="shared" si="640"/>
        <v>0</v>
      </c>
      <c r="HW242" s="648">
        <f t="shared" si="641"/>
        <v>0</v>
      </c>
      <c r="HX242" s="648">
        <f t="shared" si="642"/>
        <v>0</v>
      </c>
      <c r="HY242" s="644">
        <f>INDEX(Input!$1:$1048576,HY$93,$C242*2+6)*INDEX(Input!$1:$1048576,$JG$93,$C242*2+6)</f>
        <v>451</v>
      </c>
      <c r="HZ242" s="644">
        <f>INDEX(Input!$1:$1048576,HZ$93,$C242*2+6)*INDEX(Input!$1:$1048576,$JG$93,$C242*2+6)</f>
        <v>577</v>
      </c>
      <c r="IA242" s="644">
        <f>INDEX(Input!$1:$1048576,IA$93,$C242*2+6)*INDEX(Input!$1:$1048576,$JG$93,$C242*2+6)</f>
        <v>215</v>
      </c>
      <c r="IB242" s="644">
        <f t="shared" si="666"/>
        <v>589.32626047684118</v>
      </c>
      <c r="IC242" s="644">
        <f t="shared" si="667"/>
        <v>544.5387340311853</v>
      </c>
      <c r="ID242" s="644">
        <f>IF(AND(INDEX(Input!$1:$1048576,IA$93,$C242*2+7)="TOS",Y242&lt;=INDEX(Y:Y,MATCH(C242*1000+2,A:A))),0,1)*MAX(IA242+HR242+HU242+HX242,0%)</f>
        <v>200.99024867235087</v>
      </c>
      <c r="IE242" s="128">
        <f t="shared" si="758"/>
        <v>0.44149076350236599</v>
      </c>
      <c r="IF242" s="128">
        <f t="shared" si="643"/>
        <v>0.40793841640370471</v>
      </c>
      <c r="IG242" s="128">
        <f t="shared" si="644"/>
        <v>0.15057082009392933</v>
      </c>
      <c r="IH242" s="21"/>
      <c r="II242" s="19">
        <f t="shared" si="645"/>
        <v>1252</v>
      </c>
      <c r="IJ242" s="19">
        <f t="shared" si="646"/>
        <v>2011.9658773055378</v>
      </c>
      <c r="IK242" s="19">
        <f t="shared" si="647"/>
        <v>919</v>
      </c>
      <c r="IL242" s="19">
        <f t="shared" si="669"/>
        <v>1042</v>
      </c>
      <c r="IM242" s="19">
        <f t="shared" si="648"/>
        <v>42.099821075239788</v>
      </c>
      <c r="IN242" s="19">
        <f t="shared" si="649"/>
        <v>387</v>
      </c>
      <c r="IO242" s="39">
        <f t="shared" si="650"/>
        <v>0</v>
      </c>
      <c r="IP242" s="39">
        <f t="shared" si="651"/>
        <v>0</v>
      </c>
      <c r="IQ242" s="39">
        <f t="shared" si="652"/>
        <v>0</v>
      </c>
      <c r="IR242" s="39">
        <v>0</v>
      </c>
      <c r="IS242" s="39">
        <v>0</v>
      </c>
      <c r="IT242" s="39">
        <v>0</v>
      </c>
      <c r="IU242" s="39">
        <v>0</v>
      </c>
      <c r="IV242" s="39">
        <v>0</v>
      </c>
      <c r="IW242" s="39">
        <v>0</v>
      </c>
      <c r="IX242" s="39">
        <f>INDEX(Input!$1:$1048576,IX$93,$C242*2+6)+INDEX(Input!$1:$1048576,IX$94,$C242*2+6)</f>
        <v>1294</v>
      </c>
      <c r="IY242" s="39">
        <f>INDEX(Input!$1:$1048576,IY$93,$C242*2+6)+INDEX(Input!$1:$1048576,IY$94,$C242*2+6)</f>
        <v>2154.0624533823611</v>
      </c>
      <c r="IZ242" s="39">
        <f>INDEX(Input!$1:$1048576,IZ$93,$C242*2+6)+INDEX(Input!$1:$1048576,IZ$94,$C242*2+6)</f>
        <v>3677.7164157747848</v>
      </c>
      <c r="JA242" s="19">
        <f t="shared" si="670"/>
        <v>2336</v>
      </c>
      <c r="JB242" s="19">
        <f t="shared" si="671"/>
        <v>2196.1622744576007</v>
      </c>
      <c r="JC242" s="19">
        <f t="shared" si="672"/>
        <v>4064.7164157747848</v>
      </c>
      <c r="JD242" s="19">
        <f t="shared" si="673"/>
        <v>2539.2490681217851</v>
      </c>
      <c r="JE242" s="21"/>
      <c r="JF242" s="1">
        <f t="shared" si="653"/>
        <v>1.7106565950787935E-2</v>
      </c>
      <c r="JG242" s="15">
        <f>INDEX(Input!$1:$1048576,JG$93,$C242*2+6)/(1+VLOOKUP(C242*1000+INDEX(Input!$1:$1048576,JG$93+1,$C242*2+6),$A:$KK,$JK$92,FALSE))</f>
        <v>1243</v>
      </c>
      <c r="JH242" s="1">
        <f t="shared" si="674"/>
        <v>0.11733328270000115</v>
      </c>
      <c r="JI242" s="1">
        <f t="shared" si="675"/>
        <v>-4.343525922423494E-2</v>
      </c>
      <c r="JJ242" s="1">
        <f t="shared" si="731"/>
        <v>0</v>
      </c>
      <c r="JK242" s="1">
        <f t="shared" si="732"/>
        <v>7.3898023475766211E-2</v>
      </c>
      <c r="JL242" s="15">
        <f t="shared" si="678"/>
        <v>91.8552431803774</v>
      </c>
      <c r="JM242" s="15">
        <f t="shared" si="702"/>
        <v>1334.8552431803773</v>
      </c>
      <c r="JN242" s="21"/>
      <c r="JO242" s="19">
        <f>INDEX(Input!$1:$1048576,JO$93,$C242*2+6)</f>
        <v>5995.5</v>
      </c>
      <c r="JP242" s="19">
        <f>INDEX(Input!$1:$1048576,JP$93,$C242*2+6)</f>
        <v>2105.548724853742</v>
      </c>
      <c r="JQ242" s="39">
        <f t="shared" si="688"/>
        <v>3456.2509318782149</v>
      </c>
      <c r="JR242" s="39">
        <f t="shared" si="705"/>
        <v>433.70034326804307</v>
      </c>
      <c r="JS242" s="39">
        <f t="shared" si="690"/>
        <v>3.3895299323232519</v>
      </c>
      <c r="JT242" s="39">
        <f t="shared" si="680"/>
        <v>0.77233286733005058</v>
      </c>
      <c r="JU242" s="385">
        <f>(JQ242*JM242-INDEX(Input!$1:$1048576,Input!A$18,$C242*2+6)*JL242*INDEX(Input!$1:$1048576,Input!A$19,$C242*2+6))/1000000</f>
        <v>4.6135946781647004</v>
      </c>
      <c r="JV242" s="39">
        <f t="shared" si="712"/>
        <v>-0.22161475684209808</v>
      </c>
      <c r="JW242" s="1">
        <f t="shared" si="703"/>
        <v>-4.5833538302935267E-2</v>
      </c>
      <c r="JX242" s="19">
        <f t="shared" si="694"/>
        <v>8408.1522250549151</v>
      </c>
      <c r="JZ242" s="341"/>
      <c r="KA242" s="342"/>
      <c r="KB242" s="469">
        <f t="shared" si="691"/>
        <v>2.5660492421988774</v>
      </c>
      <c r="KI242" s="473">
        <f t="shared" si="756"/>
        <v>138.32626047684118</v>
      </c>
      <c r="KJ242" s="473">
        <f t="shared" si="757"/>
        <v>-32.4612659688147</v>
      </c>
      <c r="KK242" s="473">
        <f t="shared" si="682"/>
        <v>-14.009751327649127</v>
      </c>
      <c r="KN242" s="544">
        <f t="shared" si="695"/>
        <v>2002</v>
      </c>
      <c r="KO242" s="541">
        <f t="shared" si="657"/>
        <v>6.7570888782987337E-2</v>
      </c>
      <c r="KP242" s="546">
        <f t="shared" si="658"/>
        <v>495.73651591691316</v>
      </c>
      <c r="KQ242" s="546">
        <f t="shared" si="659"/>
        <v>395.56872868831215</v>
      </c>
      <c r="KR242" s="548">
        <f t="shared" si="660"/>
        <v>2.4318439086458592</v>
      </c>
      <c r="KS242" s="548">
        <f t="shared" si="661"/>
        <v>3.0476469424755281</v>
      </c>
      <c r="KT242" s="473">
        <f t="shared" si="693"/>
        <v>843.26993010479111</v>
      </c>
      <c r="KU242" s="663">
        <f t="shared" si="683"/>
        <v>4.588123625829633</v>
      </c>
      <c r="KV242" s="117"/>
    </row>
    <row r="243" spans="1:308" s="26" customFormat="1" ht="15">
      <c r="A243" s="561">
        <f t="shared" si="662"/>
        <v>2043</v>
      </c>
      <c r="B243" s="561">
        <f t="shared" si="684"/>
        <v>43</v>
      </c>
      <c r="C243" s="561">
        <f t="shared" si="105"/>
        <v>2</v>
      </c>
      <c r="D243" s="561" t="str">
        <f t="shared" si="728"/>
        <v xml:space="preserve">0/0/0.9/3.9, 360 Lease, </v>
      </c>
      <c r="E243" s="475">
        <f>INDEX(Input!$1:$1048576,E$93,$C243*2+MIN($B243,2)+5)
+INDEX(Scenarios!E$121:E$200,MATCH($B243,Scenarios!$B$121:$B$200,0))</f>
        <v>1269.7618664521319</v>
      </c>
      <c r="F243" s="475">
        <f>INDEX(Input!$1:$1048576,F$93,$C243*2+MIN($B243,2)+5)
+INDEX(Scenarios!F$121:F$200,MATCH($B243,Scenarios!$B$121:$B$200,0))</f>
        <v>0</v>
      </c>
      <c r="G243" s="475">
        <f>INDEX(Input!$1:$1048576,G$93,$C243*2+MIN($B243,2)+5)
+INDEX(Scenarios!G$121:G$200,MATCH($B243,Scenarios!$B$121:$B$200,0))</f>
        <v>0</v>
      </c>
      <c r="H243" s="475">
        <f>INDEX(Input!$1:$1048576,H$93,$C243*2+MIN($B243,2)+5)
+INDEX(Scenarios!H$121:H$200,MATCH($B243,Scenarios!$B$121:$B$200,0))</f>
        <v>0</v>
      </c>
      <c r="I243" s="476">
        <f>INDEX(Input!$1:$1048576,I$93,$C243*2+MIN($B243,2)+5)</f>
        <v>0.7</v>
      </c>
      <c r="J243" s="476" t="str">
        <f>INDEX(Input!$1:$1048576,J$93,$C243*2+MIN($B243,2)+5)</f>
        <v>Market</v>
      </c>
      <c r="K243" s="476" t="str">
        <f>INDEX(Input!$1:$1048576,K$93,$C243*2+MIN($B243,2)+5)</f>
        <v>Market</v>
      </c>
      <c r="L243" s="476" t="str">
        <f>INDEX(Input!$1:$1048576,L$93,$C243*2+MIN($B243,2)+5)</f>
        <v>Market</v>
      </c>
      <c r="M243" s="476" t="str">
        <f>INDEX(Input!$1:$1048576,M$93,$C243*2+MIN($B243,2)+5)</f>
        <v>Market</v>
      </c>
      <c r="N243" s="476" t="str">
        <f>INDEX(Input!$1:$1048576,N$93,$C243*2+MIN($B243,2)+5)</f>
        <v>Market</v>
      </c>
      <c r="O243" s="476" t="str">
        <f>INDEX(Input!$1:$1048576,O$93,$C243*2+MIN($B243,2)+5)</f>
        <v>Market</v>
      </c>
      <c r="P243" s="476" t="str">
        <f>INDEX(Input!$1:$1048576,P$93,$C243*2+MIN($B243,2)+5)</f>
        <v>N</v>
      </c>
      <c r="Q243" s="477">
        <f>INDEX(Input!$1:$1048576,Q$93,$C243*2+MIN($B243,2)+5)
+INDEX(Scenarios!Q$121:Q$200,MATCH($B243,Scenarios!$B$121:$B$200,0))</f>
        <v>0</v>
      </c>
      <c r="R243" s="478">
        <f>IFERROR(MAX(0,INDEX(Input!$1:$1048576,R$93,$C243*2+MIN($B243,2)+5)
+INDEX(Scenarios!R$121:R$200,MATCH($B243,Scenarios!$B$121:$B$200,0)),),"Market")</f>
        <v>0</v>
      </c>
      <c r="S243" s="478">
        <f>IFERROR(MAX(0,INDEX(Input!$1:$1048576,S$93,$C243*2+MIN($B243,2)+5)
+INDEX(Scenarios!S$121:S$200,MATCH($B243,Scenarios!$B$121:$B$200,0)),),"Market")</f>
        <v>0</v>
      </c>
      <c r="T243" s="478">
        <f>IFERROR(MAX(0,INDEX(Input!$1:$1048576,T$93,$C243*2+MIN($B243,2)+5)
+INDEX(Scenarios!T$121:T$200,MATCH($B243,Scenarios!$B$121:$B$200,0)),),"Market")</f>
        <v>0</v>
      </c>
      <c r="U243" s="478">
        <f>IFERROR(MAX(0,INDEX(Input!$1:$1048576,U$93,$C243*2+MIN($B243,2)+5)
+INDEX(Scenarios!U$121:U$200,MATCH($B243,Scenarios!$B$121:$B$200,0)),),"Market")</f>
        <v>0</v>
      </c>
      <c r="V243" s="478">
        <f>IFERROR(MAX(0,INDEX(Input!$1:$1048576,V$93,$C243*2+MIN($B243,2)+5)
+INDEX(Scenarios!V$121:V$200,MATCH($B243,Scenarios!$B$121:$B$200,0)),),"Market")</f>
        <v>8.9999999999999993E-3</v>
      </c>
      <c r="W243" s="885">
        <f>IFERROR(MAX(0,INDEX(Input!$1:$1048576,W$93,$C243*2+MIN($B243,2)+5)-0%,),"Market")</f>
        <v>3.9E-2</v>
      </c>
      <c r="X243" s="476" t="str">
        <f>INDEX(Input!$1:$1048576,X$93,$C243*2+MIN($B243,2)+5)</f>
        <v>Y</v>
      </c>
      <c r="Y243" s="475">
        <f>INDEX(Input!$1:$1048576,Y$93,$C243*2+MIN($B243,2)+5)
++INDEX(Scenarios!Y$121:Y$200,MATCH($B243,Scenarios!$B$121:$B$200,0))</f>
        <v>416</v>
      </c>
      <c r="Z243" s="477">
        <f>INDEX(Input!$1:$1048576,Z$93,$C243*2+MIN($B243,2)+5)
+INDEX(Scenarios!Z$121:Z$200,MATCH($B243,Scenarios!$B$121:$B$200,0))</f>
        <v>0</v>
      </c>
      <c r="AA243" s="475">
        <f>INDEX(Input!$1:$1048576,AA$93,$C243*2+MIN($B243,2)+5)
+INDEX(Scenarios!AA$121:AA$200,MATCH($B243,Scenarios!$B$121:$B$200,0))</f>
        <v>0</v>
      </c>
      <c r="AB243" s="476">
        <f>INDEX(Input!$1:$1048576,AB$93,$C243*2+MIN($B243,2)+5)</f>
        <v>0.27</v>
      </c>
      <c r="AC243" s="475">
        <f>INDEX(Input!$1:$1048576,AC$93,$C243*2+MIN($B243,2)+5)
+INDEX(Scenarios!AC$121:AC$200,MATCH($B243,Scenarios!$B$121:$B$200,0))</f>
        <v>0</v>
      </c>
      <c r="AD243" s="476">
        <f>INDEX(Input!$1:$1048576,AD$93,$C243*2+MIN($B243,2)+5)</f>
        <v>0.27</v>
      </c>
      <c r="AE243" s="475">
        <f>INDEX(Input!$1:$1048576,AE$93,$C243*2+MIN($B243,2)+5)
+INDEX(Scenarios!AE$121:AE$200,MATCH($B243,Scenarios!$B$121:$B$200,0))</f>
        <v>0</v>
      </c>
      <c r="AF243" s="476">
        <f>INDEX(Input!$1:$1048576,AF$93,$C243*2+MIN($B243,2)+5)</f>
        <v>4.8000000000000001E-2</v>
      </c>
      <c r="AG243" s="475">
        <f>INDEX(Input!$1:$1048576,AG$93,$C243*2+MIN($B243,2)+5)
+INDEX(Scenarios!AG$121:AG$200,MATCH($B243,Scenarios!$B$121:$B$200,0))</f>
        <v>500</v>
      </c>
      <c r="AH243" s="476">
        <f>INDEX(Input!$1:$1048576,AH$93,$C243*2+MIN($B243,2)+5)</f>
        <v>0.94599999999999995</v>
      </c>
      <c r="AI243" s="475">
        <f>INDEX(Input!$1:$1048576,AI$93,$C243*2+MIN($B243,2)+5)
+INDEX(Scenarios!AI$121:AI$200,MATCH($B243,Scenarios!$B$121:$B$200,0))</f>
        <v>0</v>
      </c>
      <c r="AJ243" s="476">
        <f>INDEX(Input!$1:$1048576,AJ$93,$C243*2+MIN($B243,2)+5)</f>
        <v>0.27</v>
      </c>
      <c r="AK243" s="150">
        <f>ROUND(INDEX(Input!$1:$1048576,AK$93,$C242*2+MIN($B243,1)+5)+(Y243-VLOOKUP($C243*1000+1,$A:$HH,Y$92,FALSE)),0)</f>
        <v>3337</v>
      </c>
      <c r="AL243" s="150">
        <f>ROUND(INDEX(Input!$1:$1048576,AL$93,$C242*2+MIN($B243,1)+5)-(Y243-VLOOKUP($C243*1000+1,$A:$HH,Y$92,FALSE))/36,0)</f>
        <v>3385</v>
      </c>
      <c r="AM243" s="32" t="str">
        <f t="shared" si="663"/>
        <v>std/std/std/std</v>
      </c>
      <c r="AN243" s="32" t="str">
        <f t="shared" si="664"/>
        <v>$0 + 0/0/0/0.9/3.9</v>
      </c>
      <c r="AO243" s="32" t="str">
        <f t="shared" si="665"/>
        <v>0/0/0/0.9/3.9</v>
      </c>
      <c r="AP243" s="32" t="str">
        <f t="shared" si="734"/>
        <v>0/0/0.9/3.9</v>
      </c>
      <c r="AQ243" s="536">
        <f t="shared" si="733"/>
        <v>0.32049667167667883</v>
      </c>
      <c r="AR243" s="32"/>
      <c r="AS243" s="302"/>
      <c r="AT243" s="3">
        <f t="shared" si="717"/>
        <v>43</v>
      </c>
      <c r="AU243" s="41" t="s">
        <v>121</v>
      </c>
      <c r="AV243" s="41" t="s">
        <v>116</v>
      </c>
      <c r="AW243" s="41" t="str">
        <f>INDEX(Input!$1:$1048576,AW$93,$C243*2+6)</f>
        <v>Kia</v>
      </c>
      <c r="AX243" s="41" t="str">
        <f>INDEX(Input!$1:$1048576,AX$93,$C243*2+6)</f>
        <v>Kia-LR - L2</v>
      </c>
      <c r="AY243" s="41" t="str">
        <f>IF(LEN(D243)=0,"",INDEX(Input!$1:$1048576,AY$93,$C243*2+6))</f>
        <v>Compact SUV (52)</v>
      </c>
      <c r="AZ243" s="41" t="str">
        <f>INDEX(Input!$1:$1048576,AZ$93,$C243*2+6)</f>
        <v>Kia Soul</v>
      </c>
      <c r="BA243" s="3">
        <f>INDEX(Input!$1:$1048576,BA$93,$C243*2+6)</f>
        <v>2020</v>
      </c>
      <c r="BB243" s="128">
        <f>INDEX(Input!$1:$1048576,BB$93,$C243*2+6)</f>
        <v>1</v>
      </c>
      <c r="BC243" s="128">
        <f>INDEX(Input!$1:$1048576,BC$93,$C243*2+6)</f>
        <v>0.7</v>
      </c>
      <c r="BD243" s="1">
        <f>INDEX(Input!$1:$1048576,BD$93,$C243*2+6)</f>
        <v>4.4999999999999998E-2</v>
      </c>
      <c r="BE243" s="1">
        <f>INDEX(Input!$1:$1048576,BE$93,$C243*2+6)</f>
        <v>4.4999999999999998E-2</v>
      </c>
      <c r="BF243" s="1">
        <f>INDEX(Input!$1:$1048576,BF$93,$C243*2+6)</f>
        <v>0.05</v>
      </c>
      <c r="BG243" s="1">
        <f>INDEX(Input!$1:$1048576,BG$93,$C243*2+6)</f>
        <v>5.45E-2</v>
      </c>
      <c r="BH243" s="1">
        <f>INDEX(Input!$1:$1048576,BH$93,$C243*2+6)</f>
        <v>5.45E-2</v>
      </c>
      <c r="BI243" s="1">
        <f>INDEX(Input!$1:$1048576,BI$93,$C243*2+6)</f>
        <v>0.05</v>
      </c>
      <c r="BJ243" s="1">
        <f>INDEX(Input!$1:$1048576,BJ$93,$C243*2+6)</f>
        <v>0.05</v>
      </c>
      <c r="BK243" s="1">
        <f>INDEX(Input!$1:$1048576,BK$93,$C243*2+6)</f>
        <v>0.05</v>
      </c>
      <c r="BL243" s="1">
        <f>INDEX(Input!$1:$1048576,BL$93,$C243*2+6)</f>
        <v>5.5E-2</v>
      </c>
      <c r="BM243" s="1">
        <f>INDEX(Input!$1:$1048576,BM$93,$C243*2+6)</f>
        <v>0.06</v>
      </c>
      <c r="BN243" s="1">
        <f>INDEX(Input!$1:$1048576,BN$93,$C243*2+6)</f>
        <v>4.4999999999999998E-2</v>
      </c>
      <c r="BO243" s="1">
        <f>INDEX(Input!$1:$1048576,BO$93,$C243*2+6)</f>
        <v>4.4999999999999998E-2</v>
      </c>
      <c r="BP243" s="1">
        <f>INDEX(Input!$1:$1048576,BP$93,$C243*2+6)</f>
        <v>0.05</v>
      </c>
      <c r="BQ243" s="1">
        <f>INDEX(Input!$1:$1048576,BQ$93,$C243*2+6)</f>
        <v>5.45E-2</v>
      </c>
      <c r="BR243" s="1">
        <f>INDEX(Input!$1:$1048576,BR$93,$C243*2+6)</f>
        <v>5.45E-2</v>
      </c>
      <c r="BS243" s="1">
        <f>INDEX(Input!$1:$1048576,BS$93,$C243*2+6)</f>
        <v>0.05</v>
      </c>
      <c r="BT243" s="1">
        <f>INDEX(Input!$1:$1048576,BT$93,$C243*2+6)</f>
        <v>0.05</v>
      </c>
      <c r="BU243" s="1">
        <f>INDEX(Input!$1:$1048576,BU$93,$C243*2+6)</f>
        <v>0.05</v>
      </c>
      <c r="BV243" s="1">
        <f>INDEX(Input!$1:$1048576,BV$93,$C243*2+6)</f>
        <v>5.5E-2</v>
      </c>
      <c r="BW243" s="1">
        <f>INDEX(Input!$1:$1048576,BW$93,$C243*2+6)</f>
        <v>0.06</v>
      </c>
      <c r="BX243" s="127">
        <f>INDEX(Input!$1:$1048576,BX$93,$C243*2+6)</f>
        <v>19985</v>
      </c>
      <c r="BY243" s="20">
        <f>INDEX(Input!$1:$1048576,BY$93,$C243*2+6)</f>
        <v>0.1</v>
      </c>
      <c r="BZ243" s="20">
        <f>INDEX(Input!$1:$1048576,BZ$93,$C243*2+6)</f>
        <v>0.1</v>
      </c>
      <c r="CA243" s="20">
        <f>INDEX(Input!$1:$1048576,CA$93,$C243*2+6)</f>
        <v>0.1</v>
      </c>
      <c r="CB243" s="20">
        <f>INDEX(Input!$1:$1048576,CB$93,$C243*2+6)</f>
        <v>0.1</v>
      </c>
      <c r="CC243" s="20">
        <f>INDEX(Input!$1:$1048576,CC$93,$C243*2+6)</f>
        <v>0.1</v>
      </c>
      <c r="CD243" s="384">
        <f>INDEX(Input!$1:$1048576,CD$93,$C243*2+6)</f>
        <v>0.1</v>
      </c>
      <c r="CE243" s="384">
        <f>INDEX(Input!$1:$1048576,CE$93,$C243*2+6)</f>
        <v>0.1</v>
      </c>
      <c r="CF243" s="384">
        <f>INDEX(Input!$1:$1048576,CF$93,$C243*2+6)</f>
        <v>0.1</v>
      </c>
      <c r="CG243" s="384">
        <f>INDEX(Input!$1:$1048576,CG$93,$C243*2+6)</f>
        <v>0.1</v>
      </c>
      <c r="CH243" s="384">
        <f>INDEX(Input!$1:$1048576,CH$93,$C243*2+6)</f>
        <v>0.1</v>
      </c>
      <c r="CI243" s="304">
        <f t="shared" si="735"/>
        <v>1269.7618664521319</v>
      </c>
      <c r="CJ243" s="16" t="str">
        <f>INDEX(Input!$1:$1048576,CJ$93,$C243*2+6)</f>
        <v>N</v>
      </c>
      <c r="CK243" s="1" t="str">
        <f t="shared" si="736"/>
        <v>Market</v>
      </c>
      <c r="CL243" s="1" t="str">
        <f t="shared" si="737"/>
        <v>Market</v>
      </c>
      <c r="CM243" s="1" t="str">
        <f t="shared" si="738"/>
        <v>Market</v>
      </c>
      <c r="CN243" s="1" t="str">
        <f t="shared" si="739"/>
        <v>Market</v>
      </c>
      <c r="CO243" s="1" t="str">
        <f t="shared" si="740"/>
        <v>Market</v>
      </c>
      <c r="CP243" s="304">
        <f t="shared" si="741"/>
        <v>473</v>
      </c>
      <c r="CQ243" s="1">
        <f t="shared" si="742"/>
        <v>0</v>
      </c>
      <c r="CR243" s="1">
        <f t="shared" si="743"/>
        <v>0</v>
      </c>
      <c r="CS243" s="1">
        <f t="shared" si="744"/>
        <v>0</v>
      </c>
      <c r="CT243" s="1">
        <f t="shared" si="745"/>
        <v>8.9999999999999993E-3</v>
      </c>
      <c r="CU243" s="1">
        <f t="shared" si="746"/>
        <v>3.9E-2</v>
      </c>
      <c r="CV243" s="304">
        <f t="shared" si="747"/>
        <v>416</v>
      </c>
      <c r="CW243" s="20" t="s">
        <v>122</v>
      </c>
      <c r="CX243" s="20" t="s">
        <v>122</v>
      </c>
      <c r="CY243" s="20" t="s">
        <v>122</v>
      </c>
      <c r="CZ243" s="20" t="s">
        <v>122</v>
      </c>
      <c r="DA243" s="20" t="s">
        <v>122</v>
      </c>
      <c r="DB243" s="503">
        <f t="shared" si="748"/>
        <v>0</v>
      </c>
      <c r="DC243" s="127">
        <v>0</v>
      </c>
      <c r="DD243" s="127">
        <v>0</v>
      </c>
      <c r="DE243" s="127">
        <v>0</v>
      </c>
      <c r="DF243" s="127">
        <v>0</v>
      </c>
      <c r="DG243" s="127">
        <v>0</v>
      </c>
      <c r="DH243" s="127">
        <v>0</v>
      </c>
      <c r="DI243" s="127">
        <v>0</v>
      </c>
      <c r="DJ243" s="127">
        <v>0</v>
      </c>
      <c r="DK243" s="127">
        <v>0</v>
      </c>
      <c r="DL243" s="127">
        <v>0</v>
      </c>
      <c r="DM243" s="304">
        <f>INDEX(Input!$1:$1048576,DM$93,$C243*2+6)</f>
        <v>21036.84210526316</v>
      </c>
      <c r="DN243" s="20">
        <v>0</v>
      </c>
      <c r="DO243" s="20">
        <v>0</v>
      </c>
      <c r="DP243" s="20">
        <v>0</v>
      </c>
      <c r="DQ243" s="20">
        <v>0</v>
      </c>
      <c r="DR243" s="20">
        <v>0</v>
      </c>
      <c r="DS243" s="20">
        <f>INDEX(Input!$1:$1048576,DS$93,$C243*2+6)</f>
        <v>0.6</v>
      </c>
      <c r="DT243" s="20">
        <f>INDEX(Input!$1:$1048576,DT$93,$C243*2+6)</f>
        <v>0.55000000000000004</v>
      </c>
      <c r="DU243" s="20">
        <f>INDEX(Input!$1:$1048576,DU$93,$C243*2+6)</f>
        <v>0.52</v>
      </c>
      <c r="DV243" s="20">
        <f>INDEX(Input!$1:$1048576,DV$93,$C243*2+6)</f>
        <v>0.5</v>
      </c>
      <c r="DW243" s="20">
        <f>INDEX(Input!$1:$1048576,DW$93,$C243*2+6)</f>
        <v>0.45</v>
      </c>
      <c r="DX243" s="20"/>
      <c r="DY243" s="7">
        <v>8.7561593499753898E-2</v>
      </c>
      <c r="DZ243" s="7">
        <v>0</v>
      </c>
      <c r="EA243" s="7">
        <v>0.62055973484119875</v>
      </c>
      <c r="EB243" s="7">
        <v>0</v>
      </c>
      <c r="EC243" s="7">
        <v>0</v>
      </c>
      <c r="ED243" s="7">
        <v>0</v>
      </c>
      <c r="EE243" s="7">
        <v>0</v>
      </c>
      <c r="EF243" s="7">
        <v>0</v>
      </c>
      <c r="EG243" s="7">
        <v>0</v>
      </c>
      <c r="EH243" s="7">
        <v>1.1214714373360263E-2</v>
      </c>
      <c r="EI243" s="7">
        <v>3.1914678485741796E-2</v>
      </c>
      <c r="EJ243" s="7">
        <v>0.24165439089039933</v>
      </c>
      <c r="EK243" s="7">
        <v>0.62770946192552657</v>
      </c>
      <c r="EL243" s="7">
        <v>8.7506754324971847E-2</v>
      </c>
      <c r="EM243" s="7">
        <v>6.8961180869574895E-2</v>
      </c>
      <c r="EN243" s="7">
        <v>6.6806931701600236E-2</v>
      </c>
      <c r="EO243" s="7">
        <v>0.74266689251984586</v>
      </c>
      <c r="EP243" s="7">
        <v>8.2283253844587914E-2</v>
      </c>
      <c r="EQ243" s="7">
        <v>7.0177214672074842E-2</v>
      </c>
      <c r="ER243" s="7">
        <v>3.8065707261891041E-2</v>
      </c>
      <c r="ES243" s="7">
        <v>0.22291749078947251</v>
      </c>
      <c r="ET243" s="7">
        <v>0.29187867165904741</v>
      </c>
      <c r="EU243" s="6">
        <v>1294</v>
      </c>
      <c r="EV243" s="6">
        <v>0</v>
      </c>
      <c r="EW243" s="6">
        <v>1294</v>
      </c>
      <c r="EX243" s="6">
        <v>0</v>
      </c>
      <c r="EY243" s="6">
        <v>2357.067240611254</v>
      </c>
      <c r="EZ243" s="6">
        <v>1306</v>
      </c>
      <c r="FA243" s="6">
        <v>0</v>
      </c>
      <c r="FB243" s="6">
        <v>0</v>
      </c>
      <c r="FC243" s="6">
        <v>0</v>
      </c>
      <c r="FD243" s="6">
        <v>0</v>
      </c>
      <c r="FE243" s="6">
        <v>0</v>
      </c>
      <c r="FF243" s="6">
        <v>0</v>
      </c>
      <c r="FG243" s="6">
        <v>0</v>
      </c>
      <c r="FH243" s="6">
        <v>1173.7290215539711</v>
      </c>
      <c r="FI243" s="6">
        <v>1553.9796069512392</v>
      </c>
      <c r="FJ243" s="6">
        <v>2101.2110117447401</v>
      </c>
      <c r="FK243" s="6">
        <v>2251.3078348034692</v>
      </c>
      <c r="FL243" s="6">
        <v>907.07682140966335</v>
      </c>
      <c r="FM243" s="6">
        <v>2063.067240611254</v>
      </c>
      <c r="FN243" s="6">
        <v>0</v>
      </c>
      <c r="FO243" s="6">
        <v>0</v>
      </c>
      <c r="FP243" s="6">
        <v>0</v>
      </c>
      <c r="FQ243" s="6">
        <v>0</v>
      </c>
      <c r="FR243" s="6">
        <v>0</v>
      </c>
      <c r="FS243" s="6">
        <v>0</v>
      </c>
      <c r="FT243" s="7">
        <v>0.70812132834095265</v>
      </c>
      <c r="FU243" s="7">
        <v>6.8961180869574895E-2</v>
      </c>
      <c r="FV243" s="7">
        <v>0.22291749078947251</v>
      </c>
      <c r="FW243" s="6">
        <v>1294</v>
      </c>
      <c r="FX243" s="6">
        <v>2357.067240611254</v>
      </c>
      <c r="FY243" s="6">
        <v>1306</v>
      </c>
      <c r="FZ243" s="6">
        <v>1817.4615072224267</v>
      </c>
      <c r="GA243" s="6">
        <v>1369.9853821457864</v>
      </c>
      <c r="GB243" s="6">
        <v>18615.014617854213</v>
      </c>
      <c r="GC243" s="7">
        <v>1.804905384453976E-2</v>
      </c>
      <c r="GD243" s="7">
        <v>1.7409754950952223E-2</v>
      </c>
      <c r="GE243" s="7"/>
      <c r="GF243" s="7"/>
      <c r="GG243" s="7">
        <v>-3.5420077921754299E-2</v>
      </c>
      <c r="GH243" s="42">
        <v>1.581917375245486</v>
      </c>
      <c r="GI243" s="6">
        <v>14003.388562826236</v>
      </c>
      <c r="GJ243" s="14">
        <v>0.50394797582841744</v>
      </c>
      <c r="GK243" s="14">
        <v>0.50887573065309755</v>
      </c>
      <c r="GL243" s="14">
        <v>0.49605202417158273</v>
      </c>
      <c r="GM243" s="14">
        <v>0.49112426934690256</v>
      </c>
      <c r="GO243" s="5">
        <v>343.14810671672558</v>
      </c>
      <c r="GP243" s="5">
        <v>318.46105531198077</v>
      </c>
      <c r="GQ243" s="5">
        <v>535.04305713031317</v>
      </c>
      <c r="GR243" s="5">
        <v>410.15490233172511</v>
      </c>
      <c r="GS243" s="5">
        <v>339.42744393800166</v>
      </c>
      <c r="GT243" s="5">
        <v>293.4407446948278</v>
      </c>
      <c r="GU243" s="5">
        <v>258.04012322764959</v>
      </c>
      <c r="GV243" s="39" t="s">
        <v>392</v>
      </c>
      <c r="GW243" s="5">
        <v>491.45833333333331</v>
      </c>
      <c r="GX243" s="5">
        <v>368.59375</v>
      </c>
      <c r="GY243" s="5">
        <v>294.875</v>
      </c>
      <c r="GZ243" s="5">
        <v>252.51567799800796</v>
      </c>
      <c r="HA243" s="5">
        <v>241.02179695997205</v>
      </c>
      <c r="HB243" s="39">
        <v>268.13046990908003</v>
      </c>
      <c r="HC243" s="5">
        <v>230.14687499999999</v>
      </c>
      <c r="HD243" s="5">
        <v>200.80677997076018</v>
      </c>
      <c r="HE243" s="5">
        <v>204.75485408232115</v>
      </c>
      <c r="HF243" s="5">
        <v>190.70750548245613</v>
      </c>
      <c r="HG243" s="5">
        <v>185.59971491228069</v>
      </c>
      <c r="HH243" s="39">
        <v>201.80415543918934</v>
      </c>
      <c r="HI243" s="16"/>
      <c r="HJ243" s="19" t="str">
        <f t="shared" si="753"/>
        <v>On</v>
      </c>
      <c r="HK243" s="1" t="str">
        <f t="shared" si="753"/>
        <v>On</v>
      </c>
      <c r="HL243" s="16"/>
      <c r="HM243" s="639">
        <f t="shared" si="634"/>
        <v>1.2768706344444866E-2</v>
      </c>
      <c r="HN243" s="639">
        <f t="shared" si="635"/>
        <v>9.795534288915453E-4</v>
      </c>
      <c r="HO243" s="639">
        <f t="shared" si="636"/>
        <v>3.3583061774515237E-3</v>
      </c>
      <c r="HP243" s="644">
        <f>(FT243*$GD243-HM243)/$JF243*INDEX(Input!$1:$1048576,$JG$93,$C243*2+6)</f>
        <v>-32.006775461851497</v>
      </c>
      <c r="HQ243" s="644">
        <f>(FU243*$GD243-HN243)/$JF243*INDEX(Input!$1:$1048576,$JG$93,$C243*2+6)</f>
        <v>16.061521812282383</v>
      </c>
      <c r="HR243" s="644">
        <f>(FV243*$GD243-HO243)/$JF243*INDEX(Input!$1:$1048576,$JG$93,$C243*2+6)</f>
        <v>37.975620719638634</v>
      </c>
      <c r="HS243" s="644">
        <f t="shared" si="754"/>
        <v>-2.9962580603434619</v>
      </c>
      <c r="HT243" s="644">
        <f t="shared" si="638"/>
        <v>27.462904114094169</v>
      </c>
      <c r="HU243" s="644">
        <f t="shared" si="639"/>
        <v>8.4789199849892203</v>
      </c>
      <c r="HV243" s="648">
        <f t="shared" si="640"/>
        <v>0</v>
      </c>
      <c r="HW243" s="648">
        <f t="shared" si="641"/>
        <v>0</v>
      </c>
      <c r="HX243" s="648">
        <f t="shared" si="642"/>
        <v>0</v>
      </c>
      <c r="HY243" s="644">
        <f>INDEX(Input!$1:$1048576,HY$93,$C243*2+6)*INDEX(Input!$1:$1048576,$JG$93,$C243*2+6)</f>
        <v>451</v>
      </c>
      <c r="HZ243" s="644">
        <f>INDEX(Input!$1:$1048576,HZ$93,$C243*2+6)*INDEX(Input!$1:$1048576,$JG$93,$C243*2+6)</f>
        <v>577</v>
      </c>
      <c r="IA243" s="644">
        <f>INDEX(Input!$1:$1048576,IA$93,$C243*2+6)*INDEX(Input!$1:$1048576,$JG$93,$C243*2+6)</f>
        <v>215</v>
      </c>
      <c r="IB243" s="644">
        <f t="shared" si="666"/>
        <v>415.99696647780496</v>
      </c>
      <c r="IC243" s="644">
        <f t="shared" si="667"/>
        <v>620.52442592637658</v>
      </c>
      <c r="ID243" s="644">
        <f>IF(AND(INDEX(Input!$1:$1048576,IA$93,$C243*2+7)="TOS",Y243&lt;=INDEX(Y:Y,MATCH(C243*1000+2,A:A))),0,1)*MAX(IA243+HR243+HU243+HX243,0%)</f>
        <v>261.45454070462785</v>
      </c>
      <c r="IE243" s="128">
        <f t="shared" ref="IE243:IE261" si="759">IB243/SUM($IB243:$ID243)</f>
        <v>0.32049667167667883</v>
      </c>
      <c r="IF243" s="128">
        <f t="shared" si="643"/>
        <v>0.47807082558160036</v>
      </c>
      <c r="IG243" s="128">
        <f t="shared" si="644"/>
        <v>0.20143250274172078</v>
      </c>
      <c r="IH243" s="21"/>
      <c r="II243" s="19">
        <f t="shared" si="645"/>
        <v>1252</v>
      </c>
      <c r="IJ243" s="19">
        <f t="shared" si="646"/>
        <v>2011.9658773055378</v>
      </c>
      <c r="IK243" s="19">
        <f t="shared" si="647"/>
        <v>919</v>
      </c>
      <c r="IL243" s="19">
        <f t="shared" si="669"/>
        <v>42</v>
      </c>
      <c r="IM243" s="19">
        <f t="shared" si="648"/>
        <v>345.10136330571618</v>
      </c>
      <c r="IN243" s="19">
        <f t="shared" si="649"/>
        <v>387</v>
      </c>
      <c r="IO243" s="39">
        <f t="shared" si="650"/>
        <v>0</v>
      </c>
      <c r="IP243" s="39">
        <f t="shared" si="651"/>
        <v>0</v>
      </c>
      <c r="IQ243" s="39">
        <f t="shared" si="652"/>
        <v>0</v>
      </c>
      <c r="IR243" s="39">
        <v>0</v>
      </c>
      <c r="IS243" s="39">
        <v>0</v>
      </c>
      <c r="IT243" s="39">
        <v>0</v>
      </c>
      <c r="IU243" s="39">
        <v>0</v>
      </c>
      <c r="IV243" s="39">
        <v>0</v>
      </c>
      <c r="IW243" s="39">
        <v>0</v>
      </c>
      <c r="IX243" s="39">
        <f>INDEX(Input!$1:$1048576,IX$93,$C243*2+6)+INDEX(Input!$1:$1048576,IX$94,$C243*2+6)</f>
        <v>1294</v>
      </c>
      <c r="IY243" s="39">
        <f>INDEX(Input!$1:$1048576,IY$93,$C243*2+6)+INDEX(Input!$1:$1048576,IY$94,$C243*2+6)</f>
        <v>2154.0624533823611</v>
      </c>
      <c r="IZ243" s="39">
        <f>INDEX(Input!$1:$1048576,IZ$93,$C243*2+6)+INDEX(Input!$1:$1048576,IZ$94,$C243*2+6)</f>
        <v>3677.7164157747848</v>
      </c>
      <c r="JA243" s="19">
        <f t="shared" si="670"/>
        <v>1336</v>
      </c>
      <c r="JB243" s="19">
        <f t="shared" si="671"/>
        <v>2499.1638166880775</v>
      </c>
      <c r="JC243" s="19">
        <f t="shared" si="672"/>
        <v>4064.7164157747848</v>
      </c>
      <c r="JD243" s="19">
        <f t="shared" si="673"/>
        <v>2441.7268630326471</v>
      </c>
      <c r="JE243" s="21"/>
      <c r="JF243" s="1">
        <f t="shared" si="653"/>
        <v>1.7106565950787935E-2</v>
      </c>
      <c r="JG243" s="15">
        <f>INDEX(Input!$1:$1048576,JG$93,$C243*2+6)/(1+VLOOKUP(C243*1000+INDEX(Input!$1:$1048576,JG$93+1,$C243*2+6),$A:$KK,$JK$92,FALSE))</f>
        <v>1243</v>
      </c>
      <c r="JH243" s="1">
        <f t="shared" si="674"/>
        <v>1.772354551091675E-2</v>
      </c>
      <c r="JI243" s="1">
        <f t="shared" si="675"/>
        <v>2.650488015988731E-2</v>
      </c>
      <c r="JJ243" s="1">
        <f t="shared" si="731"/>
        <v>0</v>
      </c>
      <c r="JK243" s="1">
        <f t="shared" si="732"/>
        <v>4.422842567080406E-2</v>
      </c>
      <c r="JL243" s="15">
        <f t="shared" si="678"/>
        <v>54.97593310880945</v>
      </c>
      <c r="JM243" s="15">
        <f t="shared" si="702"/>
        <v>1297.9759331088094</v>
      </c>
      <c r="JN243" s="21"/>
      <c r="JO243" s="19">
        <f>INDEX(Input!$1:$1048576,JO$93,$C243*2+6)</f>
        <v>5995.5</v>
      </c>
      <c r="JP243" s="19">
        <f>INDEX(Input!$1:$1048576,JP$93,$C243*2+6)</f>
        <v>2105.548724853742</v>
      </c>
      <c r="JQ243" s="39">
        <f t="shared" si="688"/>
        <v>3553.7731369673529</v>
      </c>
      <c r="JR243" s="39">
        <f t="shared" si="705"/>
        <v>336.1781381789051</v>
      </c>
      <c r="JS243" s="39">
        <f t="shared" si="690"/>
        <v>3.1693027034416459</v>
      </c>
      <c r="JT243" s="39">
        <f t="shared" si="680"/>
        <v>0.55210563844844462</v>
      </c>
      <c r="JU243" s="385">
        <f>(JQ243*JM243-INDEX(Input!$1:$1048576,Input!A$18,$C243*2+6)*JL243*INDEX(Input!$1:$1048576,Input!A$19,$C243*2+6))/1000000</f>
        <v>4.6127120035122209</v>
      </c>
      <c r="JV243" s="39">
        <f t="shared" si="712"/>
        <v>-0.22249743149457757</v>
      </c>
      <c r="JW243" s="1">
        <f t="shared" si="703"/>
        <v>-4.6016089785832562E-2</v>
      </c>
      <c r="JX243" s="19">
        <f t="shared" si="694"/>
        <v>10042.678809211047</v>
      </c>
      <c r="JZ243" s="341"/>
      <c r="KA243" s="342"/>
      <c r="KB243" s="469">
        <f t="shared" si="691"/>
        <v>2.5660492421988774</v>
      </c>
      <c r="KI243" s="473">
        <f t="shared" si="756"/>
        <v>-35.003033522195096</v>
      </c>
      <c r="KJ243" s="473">
        <f t="shared" si="757"/>
        <v>43.52442592637658</v>
      </c>
      <c r="KK243" s="473">
        <f t="shared" si="682"/>
        <v>46.454540704627846</v>
      </c>
      <c r="KN243" s="544">
        <f t="shared" si="695"/>
        <v>2002</v>
      </c>
      <c r="KO243" s="541">
        <f t="shared" si="657"/>
        <v>3.8076096720738972E-2</v>
      </c>
      <c r="KP243" s="546">
        <f t="shared" si="658"/>
        <v>217.4190765930266</v>
      </c>
      <c r="KQ243" s="546">
        <f t="shared" si="659"/>
        <v>298.04652359917418</v>
      </c>
      <c r="KR243" s="548">
        <f t="shared" si="660"/>
        <v>3.1245087766283954</v>
      </c>
      <c r="KS243" s="548">
        <f t="shared" si="661"/>
        <v>2.2792676955861508</v>
      </c>
      <c r="KT243" s="473">
        <f t="shared" si="693"/>
        <v>843.26993010479111</v>
      </c>
      <c r="KU243" s="663">
        <f t="shared" si="683"/>
        <v>4.4134211947430879</v>
      </c>
      <c r="KV243" s="117"/>
    </row>
    <row r="244" spans="1:308" s="26" customFormat="1" ht="15">
      <c r="A244" s="561">
        <f t="shared" si="662"/>
        <v>2044</v>
      </c>
      <c r="B244" s="561">
        <f t="shared" si="684"/>
        <v>44</v>
      </c>
      <c r="C244" s="561">
        <f t="shared" si="105"/>
        <v>2</v>
      </c>
      <c r="D244" s="561" t="str">
        <f t="shared" si="728"/>
        <v xml:space="preserve">0/0/0/3.9, 360 Lease, </v>
      </c>
      <c r="E244" s="475">
        <f>INDEX(Input!$1:$1048576,E$93,$C244*2+MIN($B244,2)+5)
+INDEX(Scenarios!E$121:E$200,MATCH($B244,Scenarios!$B$121:$B$200,0))</f>
        <v>1269.7618664521319</v>
      </c>
      <c r="F244" s="475">
        <f>INDEX(Input!$1:$1048576,F$93,$C244*2+MIN($B244,2)+5)
+INDEX(Scenarios!F$121:F$200,MATCH($B244,Scenarios!$B$121:$B$200,0))</f>
        <v>0</v>
      </c>
      <c r="G244" s="475">
        <f>INDEX(Input!$1:$1048576,G$93,$C244*2+MIN($B244,2)+5)
+INDEX(Scenarios!G$121:G$200,MATCH($B244,Scenarios!$B$121:$B$200,0))</f>
        <v>0</v>
      </c>
      <c r="H244" s="475">
        <f>INDEX(Input!$1:$1048576,H$93,$C244*2+MIN($B244,2)+5)
+INDEX(Scenarios!H$121:H$200,MATCH($B244,Scenarios!$B$121:$B$200,0))</f>
        <v>0</v>
      </c>
      <c r="I244" s="476">
        <f>INDEX(Input!$1:$1048576,I$93,$C244*2+MIN($B244,2)+5)</f>
        <v>0.7</v>
      </c>
      <c r="J244" s="476" t="str">
        <f>INDEX(Input!$1:$1048576,J$93,$C244*2+MIN($B244,2)+5)</f>
        <v>Market</v>
      </c>
      <c r="K244" s="476" t="str">
        <f>INDEX(Input!$1:$1048576,K$93,$C244*2+MIN($B244,2)+5)</f>
        <v>Market</v>
      </c>
      <c r="L244" s="476" t="str">
        <f>INDEX(Input!$1:$1048576,L$93,$C244*2+MIN($B244,2)+5)</f>
        <v>Market</v>
      </c>
      <c r="M244" s="476" t="str">
        <f>INDEX(Input!$1:$1048576,M$93,$C244*2+MIN($B244,2)+5)</f>
        <v>Market</v>
      </c>
      <c r="N244" s="476" t="str">
        <f>INDEX(Input!$1:$1048576,N$93,$C244*2+MIN($B244,2)+5)</f>
        <v>Market</v>
      </c>
      <c r="O244" s="476" t="str">
        <f>INDEX(Input!$1:$1048576,O$93,$C244*2+MIN($B244,2)+5)</f>
        <v>Market</v>
      </c>
      <c r="P244" s="476" t="str">
        <f>INDEX(Input!$1:$1048576,P$93,$C244*2+MIN($B244,2)+5)</f>
        <v>N</v>
      </c>
      <c r="Q244" s="477">
        <f>INDEX(Input!$1:$1048576,Q$93,$C244*2+MIN($B244,2)+5)
+INDEX(Scenarios!Q$121:Q$200,MATCH($B244,Scenarios!$B$121:$B$200,0))</f>
        <v>0</v>
      </c>
      <c r="R244" s="478">
        <f>IFERROR(MAX(0,INDEX(Input!$1:$1048576,R$93,$C244*2+MIN($B244,2)+5)
+INDEX(Scenarios!R$121:R$200,MATCH($B244,Scenarios!$B$121:$B$200,0)),),"Market")</f>
        <v>0</v>
      </c>
      <c r="S244" s="478">
        <f>IFERROR(MAX(0,INDEX(Input!$1:$1048576,S$93,$C244*2+MIN($B244,2)+5)
+INDEX(Scenarios!S$121:S$200,MATCH($B244,Scenarios!$B$121:$B$200,0)),),"Market")</f>
        <v>0</v>
      </c>
      <c r="T244" s="478">
        <f>IFERROR(MAX(0,INDEX(Input!$1:$1048576,T$93,$C244*2+MIN($B244,2)+5)
+INDEX(Scenarios!T$121:T$200,MATCH($B244,Scenarios!$B$121:$B$200,0)),),"Market")</f>
        <v>0</v>
      </c>
      <c r="U244" s="478">
        <f>IFERROR(MAX(0,INDEX(Input!$1:$1048576,U$93,$C244*2+MIN($B244,2)+5)
+INDEX(Scenarios!U$121:U$200,MATCH($B244,Scenarios!$B$121:$B$200,0)),),"Market")</f>
        <v>0</v>
      </c>
      <c r="V244" s="478">
        <f>IFERROR(MAX(0,INDEX(Input!$1:$1048576,V$93,$C244*2+MIN($B244,2)+5)
+INDEX(Scenarios!V$121:V$200,MATCH($B244,Scenarios!$B$121:$B$200,0)),),"Market")</f>
        <v>0</v>
      </c>
      <c r="W244" s="885">
        <f>IFERROR(MAX(0,INDEX(Input!$1:$1048576,W$93,$C244*2+MIN($B244,2)+5)-0%,),"Market")</f>
        <v>3.9E-2</v>
      </c>
      <c r="X244" s="476" t="str">
        <f>INDEX(Input!$1:$1048576,X$93,$C244*2+MIN($B244,2)+5)</f>
        <v>Y</v>
      </c>
      <c r="Y244" s="475">
        <f>INDEX(Input!$1:$1048576,Y$93,$C244*2+MIN($B244,2)+5)
++INDEX(Scenarios!Y$121:Y$200,MATCH($B244,Scenarios!$B$121:$B$200,0))</f>
        <v>416</v>
      </c>
      <c r="Z244" s="477">
        <f>INDEX(Input!$1:$1048576,Z$93,$C244*2+MIN($B244,2)+5)
+INDEX(Scenarios!Z$121:Z$200,MATCH($B244,Scenarios!$B$121:$B$200,0))</f>
        <v>0</v>
      </c>
      <c r="AA244" s="475">
        <f>INDEX(Input!$1:$1048576,AA$93,$C244*2+MIN($B244,2)+5)
+INDEX(Scenarios!AA$121:AA$200,MATCH($B244,Scenarios!$B$121:$B$200,0))</f>
        <v>0</v>
      </c>
      <c r="AB244" s="476">
        <f>INDEX(Input!$1:$1048576,AB$93,$C244*2+MIN($B244,2)+5)</f>
        <v>0.27</v>
      </c>
      <c r="AC244" s="475">
        <f>INDEX(Input!$1:$1048576,AC$93,$C244*2+MIN($B244,2)+5)
+INDEX(Scenarios!AC$121:AC$200,MATCH($B244,Scenarios!$B$121:$B$200,0))</f>
        <v>0</v>
      </c>
      <c r="AD244" s="476">
        <f>INDEX(Input!$1:$1048576,AD$93,$C244*2+MIN($B244,2)+5)</f>
        <v>0.27</v>
      </c>
      <c r="AE244" s="475">
        <f>INDEX(Input!$1:$1048576,AE$93,$C244*2+MIN($B244,2)+5)
+INDEX(Scenarios!AE$121:AE$200,MATCH($B244,Scenarios!$B$121:$B$200,0))</f>
        <v>0</v>
      </c>
      <c r="AF244" s="476">
        <f>INDEX(Input!$1:$1048576,AF$93,$C244*2+MIN($B244,2)+5)</f>
        <v>4.8000000000000001E-2</v>
      </c>
      <c r="AG244" s="475">
        <f>INDEX(Input!$1:$1048576,AG$93,$C244*2+MIN($B244,2)+5)
+INDEX(Scenarios!AG$121:AG$200,MATCH($B244,Scenarios!$B$121:$B$200,0))</f>
        <v>500</v>
      </c>
      <c r="AH244" s="476">
        <f>INDEX(Input!$1:$1048576,AH$93,$C244*2+MIN($B244,2)+5)</f>
        <v>0.94599999999999995</v>
      </c>
      <c r="AI244" s="475">
        <f>INDEX(Input!$1:$1048576,AI$93,$C244*2+MIN($B244,2)+5)
+INDEX(Scenarios!AI$121:AI$200,MATCH($B244,Scenarios!$B$121:$B$200,0))</f>
        <v>0</v>
      </c>
      <c r="AJ244" s="476">
        <f>INDEX(Input!$1:$1048576,AJ$93,$C244*2+MIN($B244,2)+5)</f>
        <v>0.27</v>
      </c>
      <c r="AK244" s="150">
        <f>ROUND(INDEX(Input!$1:$1048576,AK$93,$C243*2+MIN($B244,1)+5)+(Y244-VLOOKUP($C244*1000+1,$A:$HH,Y$92,FALSE)),0)</f>
        <v>3337</v>
      </c>
      <c r="AL244" s="150">
        <f>ROUND(INDEX(Input!$1:$1048576,AL$93,$C243*2+MIN($B244,1)+5)-(Y244-VLOOKUP($C244*1000+1,$A:$HH,Y$92,FALSE))/36,0)</f>
        <v>3385</v>
      </c>
      <c r="AM244" s="32" t="str">
        <f t="shared" si="663"/>
        <v>std/std/std/std</v>
      </c>
      <c r="AN244" s="32" t="str">
        <f t="shared" si="664"/>
        <v>$0 + 0/0/0/0/3.9</v>
      </c>
      <c r="AO244" s="32" t="str">
        <f t="shared" si="665"/>
        <v>0/0/0/0/3.9</v>
      </c>
      <c r="AP244" s="32" t="str">
        <f t="shared" si="734"/>
        <v>0/0/0/3.9</v>
      </c>
      <c r="AQ244" s="536">
        <f t="shared" si="733"/>
        <v>0.3023103834250348</v>
      </c>
      <c r="AR244" s="32"/>
      <c r="AS244" s="302"/>
      <c r="AT244" s="3">
        <f t="shared" si="717"/>
        <v>44</v>
      </c>
      <c r="AU244" s="41" t="s">
        <v>121</v>
      </c>
      <c r="AV244" s="41" t="s">
        <v>116</v>
      </c>
      <c r="AW244" s="41" t="str">
        <f>INDEX(Input!$1:$1048576,AW$93,$C244*2+6)</f>
        <v>Kia</v>
      </c>
      <c r="AX244" s="41" t="str">
        <f>INDEX(Input!$1:$1048576,AX$93,$C244*2+6)</f>
        <v>Kia-LR - L2</v>
      </c>
      <c r="AY244" s="41" t="str">
        <f>IF(LEN(D244)=0,"",INDEX(Input!$1:$1048576,AY$93,$C244*2+6))</f>
        <v>Compact SUV (52)</v>
      </c>
      <c r="AZ244" s="41" t="str">
        <f>INDEX(Input!$1:$1048576,AZ$93,$C244*2+6)</f>
        <v>Kia Soul</v>
      </c>
      <c r="BA244" s="3">
        <f>INDEX(Input!$1:$1048576,BA$93,$C244*2+6)</f>
        <v>2020</v>
      </c>
      <c r="BB244" s="128">
        <f>INDEX(Input!$1:$1048576,BB$93,$C244*2+6)</f>
        <v>1</v>
      </c>
      <c r="BC244" s="128">
        <f>INDEX(Input!$1:$1048576,BC$93,$C244*2+6)</f>
        <v>0.7</v>
      </c>
      <c r="BD244" s="1">
        <f>INDEX(Input!$1:$1048576,BD$93,$C244*2+6)</f>
        <v>4.4999999999999998E-2</v>
      </c>
      <c r="BE244" s="1">
        <f>INDEX(Input!$1:$1048576,BE$93,$C244*2+6)</f>
        <v>4.4999999999999998E-2</v>
      </c>
      <c r="BF244" s="1">
        <f>INDEX(Input!$1:$1048576,BF$93,$C244*2+6)</f>
        <v>0.05</v>
      </c>
      <c r="BG244" s="1">
        <f>INDEX(Input!$1:$1048576,BG$93,$C244*2+6)</f>
        <v>5.45E-2</v>
      </c>
      <c r="BH244" s="1">
        <f>INDEX(Input!$1:$1048576,BH$93,$C244*2+6)</f>
        <v>5.45E-2</v>
      </c>
      <c r="BI244" s="1">
        <f>INDEX(Input!$1:$1048576,BI$93,$C244*2+6)</f>
        <v>0.05</v>
      </c>
      <c r="BJ244" s="1">
        <f>INDEX(Input!$1:$1048576,BJ$93,$C244*2+6)</f>
        <v>0.05</v>
      </c>
      <c r="BK244" s="1">
        <f>INDEX(Input!$1:$1048576,BK$93,$C244*2+6)</f>
        <v>0.05</v>
      </c>
      <c r="BL244" s="1">
        <f>INDEX(Input!$1:$1048576,BL$93,$C244*2+6)</f>
        <v>5.5E-2</v>
      </c>
      <c r="BM244" s="1">
        <f>INDEX(Input!$1:$1048576,BM$93,$C244*2+6)</f>
        <v>0.06</v>
      </c>
      <c r="BN244" s="1">
        <f>INDEX(Input!$1:$1048576,BN$93,$C244*2+6)</f>
        <v>4.4999999999999998E-2</v>
      </c>
      <c r="BO244" s="1">
        <f>INDEX(Input!$1:$1048576,BO$93,$C244*2+6)</f>
        <v>4.4999999999999998E-2</v>
      </c>
      <c r="BP244" s="1">
        <f>INDEX(Input!$1:$1048576,BP$93,$C244*2+6)</f>
        <v>0.05</v>
      </c>
      <c r="BQ244" s="1">
        <f>INDEX(Input!$1:$1048576,BQ$93,$C244*2+6)</f>
        <v>5.45E-2</v>
      </c>
      <c r="BR244" s="1">
        <f>INDEX(Input!$1:$1048576,BR$93,$C244*2+6)</f>
        <v>5.45E-2</v>
      </c>
      <c r="BS244" s="1">
        <f>INDEX(Input!$1:$1048576,BS$93,$C244*2+6)</f>
        <v>0.05</v>
      </c>
      <c r="BT244" s="1">
        <f>INDEX(Input!$1:$1048576,BT$93,$C244*2+6)</f>
        <v>0.05</v>
      </c>
      <c r="BU244" s="1">
        <f>INDEX(Input!$1:$1048576,BU$93,$C244*2+6)</f>
        <v>0.05</v>
      </c>
      <c r="BV244" s="1">
        <f>INDEX(Input!$1:$1048576,BV$93,$C244*2+6)</f>
        <v>5.5E-2</v>
      </c>
      <c r="BW244" s="1">
        <f>INDEX(Input!$1:$1048576,BW$93,$C244*2+6)</f>
        <v>0.06</v>
      </c>
      <c r="BX244" s="127">
        <f>INDEX(Input!$1:$1048576,BX$93,$C244*2+6)</f>
        <v>19985</v>
      </c>
      <c r="BY244" s="20">
        <f>INDEX(Input!$1:$1048576,BY$93,$C244*2+6)</f>
        <v>0.1</v>
      </c>
      <c r="BZ244" s="20">
        <f>INDEX(Input!$1:$1048576,BZ$93,$C244*2+6)</f>
        <v>0.1</v>
      </c>
      <c r="CA244" s="20">
        <f>INDEX(Input!$1:$1048576,CA$93,$C244*2+6)</f>
        <v>0.1</v>
      </c>
      <c r="CB244" s="20">
        <f>INDEX(Input!$1:$1048576,CB$93,$C244*2+6)</f>
        <v>0.1</v>
      </c>
      <c r="CC244" s="20">
        <f>INDEX(Input!$1:$1048576,CC$93,$C244*2+6)</f>
        <v>0.1</v>
      </c>
      <c r="CD244" s="384">
        <f>INDEX(Input!$1:$1048576,CD$93,$C244*2+6)</f>
        <v>0.1</v>
      </c>
      <c r="CE244" s="384">
        <f>INDEX(Input!$1:$1048576,CE$93,$C244*2+6)</f>
        <v>0.1</v>
      </c>
      <c r="CF244" s="384">
        <f>INDEX(Input!$1:$1048576,CF$93,$C244*2+6)</f>
        <v>0.1</v>
      </c>
      <c r="CG244" s="384">
        <f>INDEX(Input!$1:$1048576,CG$93,$C244*2+6)</f>
        <v>0.1</v>
      </c>
      <c r="CH244" s="384">
        <f>INDEX(Input!$1:$1048576,CH$93,$C244*2+6)</f>
        <v>0.1</v>
      </c>
      <c r="CI244" s="304">
        <f t="shared" si="735"/>
        <v>1269.7618664521319</v>
      </c>
      <c r="CJ244" s="16" t="str">
        <f>INDEX(Input!$1:$1048576,CJ$93,$C244*2+6)</f>
        <v>N</v>
      </c>
      <c r="CK244" s="1" t="str">
        <f t="shared" si="736"/>
        <v>Market</v>
      </c>
      <c r="CL244" s="1" t="str">
        <f t="shared" si="737"/>
        <v>Market</v>
      </c>
      <c r="CM244" s="1" t="str">
        <f t="shared" si="738"/>
        <v>Market</v>
      </c>
      <c r="CN244" s="1" t="str">
        <f t="shared" si="739"/>
        <v>Market</v>
      </c>
      <c r="CO244" s="1" t="str">
        <f t="shared" si="740"/>
        <v>Market</v>
      </c>
      <c r="CP244" s="304">
        <f t="shared" si="741"/>
        <v>473</v>
      </c>
      <c r="CQ244" s="1">
        <f t="shared" si="742"/>
        <v>0</v>
      </c>
      <c r="CR244" s="1">
        <f t="shared" si="743"/>
        <v>0</v>
      </c>
      <c r="CS244" s="1">
        <f t="shared" si="744"/>
        <v>0</v>
      </c>
      <c r="CT244" s="1">
        <f t="shared" si="745"/>
        <v>0</v>
      </c>
      <c r="CU244" s="1">
        <f t="shared" si="746"/>
        <v>3.9E-2</v>
      </c>
      <c r="CV244" s="304">
        <f t="shared" si="747"/>
        <v>416</v>
      </c>
      <c r="CW244" s="20" t="s">
        <v>122</v>
      </c>
      <c r="CX244" s="20" t="s">
        <v>122</v>
      </c>
      <c r="CY244" s="20" t="s">
        <v>122</v>
      </c>
      <c r="CZ244" s="20" t="s">
        <v>122</v>
      </c>
      <c r="DA244" s="20" t="s">
        <v>122</v>
      </c>
      <c r="DB244" s="503">
        <f t="shared" si="748"/>
        <v>0</v>
      </c>
      <c r="DC244" s="127">
        <v>0</v>
      </c>
      <c r="DD244" s="127">
        <v>0</v>
      </c>
      <c r="DE244" s="127">
        <v>0</v>
      </c>
      <c r="DF244" s="127">
        <v>0</v>
      </c>
      <c r="DG244" s="127">
        <v>0</v>
      </c>
      <c r="DH244" s="127">
        <v>0</v>
      </c>
      <c r="DI244" s="127">
        <v>0</v>
      </c>
      <c r="DJ244" s="127">
        <v>0</v>
      </c>
      <c r="DK244" s="127">
        <v>0</v>
      </c>
      <c r="DL244" s="127">
        <v>0</v>
      </c>
      <c r="DM244" s="304">
        <f>INDEX(Input!$1:$1048576,DM$93,$C244*2+6)</f>
        <v>21036.84210526316</v>
      </c>
      <c r="DN244" s="20">
        <v>0</v>
      </c>
      <c r="DO244" s="20">
        <v>0</v>
      </c>
      <c r="DP244" s="20">
        <v>0</v>
      </c>
      <c r="DQ244" s="20">
        <v>0</v>
      </c>
      <c r="DR244" s="20">
        <v>0</v>
      </c>
      <c r="DS244" s="20">
        <f>INDEX(Input!$1:$1048576,DS$93,$C244*2+6)</f>
        <v>0.6</v>
      </c>
      <c r="DT244" s="20">
        <f>INDEX(Input!$1:$1048576,DT$93,$C244*2+6)</f>
        <v>0.55000000000000004</v>
      </c>
      <c r="DU244" s="20">
        <f>INDEX(Input!$1:$1048576,DU$93,$C244*2+6)</f>
        <v>0.52</v>
      </c>
      <c r="DV244" s="20">
        <f>INDEX(Input!$1:$1048576,DV$93,$C244*2+6)</f>
        <v>0.5</v>
      </c>
      <c r="DW244" s="20">
        <f>INDEX(Input!$1:$1048576,DW$93,$C244*2+6)</f>
        <v>0.45</v>
      </c>
      <c r="DX244" s="20"/>
      <c r="DY244" s="7">
        <v>8.5898528583224054E-2</v>
      </c>
      <c r="DZ244" s="7">
        <v>0</v>
      </c>
      <c r="EA244" s="7">
        <v>0.60875452493625459</v>
      </c>
      <c r="EB244" s="7">
        <v>0</v>
      </c>
      <c r="EC244" s="7">
        <v>0</v>
      </c>
      <c r="ED244" s="7">
        <v>0</v>
      </c>
      <c r="EE244" s="7">
        <v>0</v>
      </c>
      <c r="EF244" s="7">
        <v>0</v>
      </c>
      <c r="EG244" s="7">
        <v>0</v>
      </c>
      <c r="EH244" s="7">
        <v>8.7631754919373188E-3</v>
      </c>
      <c r="EI244" s="7">
        <v>2.4938446614942919E-2</v>
      </c>
      <c r="EJ244" s="7">
        <v>0.18880751019271103</v>
      </c>
      <c r="EK244" s="7">
        <v>0.7091278791571356</v>
      </c>
      <c r="EL244" s="7">
        <v>6.8362988543273398E-2</v>
      </c>
      <c r="EM244" s="7">
        <v>8.658211692872958E-2</v>
      </c>
      <c r="EN244" s="7">
        <v>6.6806408336268969E-2</v>
      </c>
      <c r="EO244" s="7">
        <v>0.74266183419665577</v>
      </c>
      <c r="EP244" s="7">
        <v>8.2288275422082863E-2</v>
      </c>
      <c r="EQ244" s="7">
        <v>7.017747036437777E-2</v>
      </c>
      <c r="ER244" s="7">
        <v>3.8066011680614908E-2</v>
      </c>
      <c r="ES244" s="7">
        <v>0.2187648295517918</v>
      </c>
      <c r="ET244" s="7">
        <v>0.30534694648052146</v>
      </c>
      <c r="EU244" s="6">
        <v>1294</v>
      </c>
      <c r="EV244" s="6">
        <v>0</v>
      </c>
      <c r="EW244" s="6">
        <v>1294</v>
      </c>
      <c r="EX244" s="6">
        <v>0</v>
      </c>
      <c r="EY244" s="6">
        <v>2698.1245572039279</v>
      </c>
      <c r="EZ244" s="6">
        <v>1306</v>
      </c>
      <c r="FA244" s="6">
        <v>0</v>
      </c>
      <c r="FB244" s="6">
        <v>0</v>
      </c>
      <c r="FC244" s="6">
        <v>0</v>
      </c>
      <c r="FD244" s="6">
        <v>0</v>
      </c>
      <c r="FE244" s="6">
        <v>0</v>
      </c>
      <c r="FF244" s="6">
        <v>0</v>
      </c>
      <c r="FG244" s="6">
        <v>0</v>
      </c>
      <c r="FH244" s="6">
        <v>1173.7297066369165</v>
      </c>
      <c r="FI244" s="6">
        <v>1553.9796069512392</v>
      </c>
      <c r="FJ244" s="6">
        <v>2101.2110117447401</v>
      </c>
      <c r="FK244" s="6">
        <v>2674.2006261592255</v>
      </c>
      <c r="FL244" s="6">
        <v>907.07682140966324</v>
      </c>
      <c r="FM244" s="6">
        <v>2404.1245572039279</v>
      </c>
      <c r="FN244" s="6">
        <v>0</v>
      </c>
      <c r="FO244" s="6">
        <v>0</v>
      </c>
      <c r="FP244" s="6">
        <v>0</v>
      </c>
      <c r="FQ244" s="6">
        <v>0</v>
      </c>
      <c r="FR244" s="6">
        <v>0</v>
      </c>
      <c r="FS244" s="6">
        <v>0</v>
      </c>
      <c r="FT244" s="7">
        <v>0.69465305351947859</v>
      </c>
      <c r="FU244" s="7">
        <v>8.658211692872958E-2</v>
      </c>
      <c r="FV244" s="7">
        <v>0.2187648295517918</v>
      </c>
      <c r="FW244" s="6">
        <v>1294</v>
      </c>
      <c r="FX244" s="6">
        <v>2698.1245572039279</v>
      </c>
      <c r="FY244" s="6">
        <v>1306</v>
      </c>
      <c r="FZ244" s="6">
        <v>1817.4615072224267</v>
      </c>
      <c r="GA244" s="6">
        <v>1418.1972545489525</v>
      </c>
      <c r="GB244" s="6">
        <v>18566.802745451048</v>
      </c>
      <c r="GC244" s="7">
        <v>1.804905384453976E-2</v>
      </c>
      <c r="GD244" s="7">
        <v>1.7486696353772375E-2</v>
      </c>
      <c r="GE244" s="7"/>
      <c r="GF244" s="7"/>
      <c r="GG244" s="7">
        <v>-3.1157172869618877E-2</v>
      </c>
      <c r="GH244" s="42">
        <v>1.5595588526393058</v>
      </c>
      <c r="GI244" s="6">
        <v>14232.718467505139</v>
      </c>
      <c r="GJ244" s="14">
        <v>0.50394797582841733</v>
      </c>
      <c r="GK244" s="14">
        <v>0.50887573065309766</v>
      </c>
      <c r="GL244" s="14">
        <v>0.49605202417158301</v>
      </c>
      <c r="GM244" s="14">
        <v>0.49112426934690229</v>
      </c>
      <c r="GO244" s="5">
        <v>343.14810671672558</v>
      </c>
      <c r="GP244" s="5">
        <v>318.46105531198077</v>
      </c>
      <c r="GQ244" s="5">
        <v>535.04305713031317</v>
      </c>
      <c r="GR244" s="5">
        <v>410.15490233172511</v>
      </c>
      <c r="GS244" s="5">
        <v>339.42744393800166</v>
      </c>
      <c r="GT244" s="5">
        <v>293.4407446948278</v>
      </c>
      <c r="GU244" s="5">
        <v>258.04012322764959</v>
      </c>
      <c r="GV244" s="39" t="s">
        <v>392</v>
      </c>
      <c r="GW244" s="5">
        <v>491.45833333333331</v>
      </c>
      <c r="GX244" s="5">
        <v>368.59375</v>
      </c>
      <c r="GY244" s="5">
        <v>294.875</v>
      </c>
      <c r="GZ244" s="5">
        <v>245.72916666666666</v>
      </c>
      <c r="HA244" s="5">
        <v>241.02179695997205</v>
      </c>
      <c r="HB244" s="39">
        <v>259.90387889666465</v>
      </c>
      <c r="HC244" s="5">
        <v>230.14687499999999</v>
      </c>
      <c r="HD244" s="5">
        <v>200.80677997076018</v>
      </c>
      <c r="HE244" s="5">
        <v>204.75485408232115</v>
      </c>
      <c r="HF244" s="5">
        <v>190.70750548245613</v>
      </c>
      <c r="HG244" s="5">
        <v>185.59971491228069</v>
      </c>
      <c r="HH244" s="39">
        <v>201.80415269753888</v>
      </c>
      <c r="HI244" s="16"/>
      <c r="HJ244" s="19" t="str">
        <f t="shared" si="753"/>
        <v>On</v>
      </c>
      <c r="HK244" s="1" t="str">
        <f t="shared" si="753"/>
        <v>On</v>
      </c>
      <c r="HL244" s="16"/>
      <c r="HM244" s="639">
        <f t="shared" si="634"/>
        <v>1.2768706344444866E-2</v>
      </c>
      <c r="HN244" s="639">
        <f t="shared" si="635"/>
        <v>9.795534288915453E-4</v>
      </c>
      <c r="HO244" s="639">
        <f t="shared" si="636"/>
        <v>3.3583061774515237E-3</v>
      </c>
      <c r="HP244" s="644">
        <f>(FT244*$GD244-HM244)/$JF244*INDEX(Input!$1:$1048576,$JG$93,$C244*2+6)</f>
        <v>-45.160935564119129</v>
      </c>
      <c r="HQ244" s="644">
        <f>(FU244*$GD244-HN244)/$JF244*INDEX(Input!$1:$1048576,$JG$93,$C244*2+6)</f>
        <v>38.836598121424728</v>
      </c>
      <c r="HR244" s="644">
        <f>(FV244*$GD244-HO244)/$JF244*INDEX(Input!$1:$1048576,$JG$93,$C244*2+6)</f>
        <v>33.945432890427767</v>
      </c>
      <c r="HS244" s="644">
        <f t="shared" si="754"/>
        <v>-3.3717798424321388</v>
      </c>
      <c r="HT244" s="644">
        <f t="shared" si="638"/>
        <v>55.201108949720762</v>
      </c>
      <c r="HU244" s="644">
        <f t="shared" si="639"/>
        <v>8.8544417670778977</v>
      </c>
      <c r="HV244" s="648">
        <f t="shared" si="640"/>
        <v>0</v>
      </c>
      <c r="HW244" s="648">
        <f t="shared" si="641"/>
        <v>0</v>
      </c>
      <c r="HX244" s="648">
        <f t="shared" si="642"/>
        <v>0</v>
      </c>
      <c r="HY244" s="644">
        <f>INDEX(Input!$1:$1048576,HY$93,$C244*2+6)*INDEX(Input!$1:$1048576,$JG$93,$C244*2+6)</f>
        <v>451</v>
      </c>
      <c r="HZ244" s="644">
        <f>INDEX(Input!$1:$1048576,HZ$93,$C244*2+6)*INDEX(Input!$1:$1048576,$JG$93,$C244*2+6)</f>
        <v>577</v>
      </c>
      <c r="IA244" s="644">
        <f>INDEX(Input!$1:$1048576,IA$93,$C244*2+6)*INDEX(Input!$1:$1048576,$JG$93,$C244*2+6)</f>
        <v>215</v>
      </c>
      <c r="IB244" s="644">
        <f t="shared" si="666"/>
        <v>402.46728459344871</v>
      </c>
      <c r="IC244" s="644">
        <f t="shared" si="667"/>
        <v>671.03770707114541</v>
      </c>
      <c r="ID244" s="644">
        <f>IF(AND(INDEX(Input!$1:$1048576,IA$93,$C244*2+7)="TOS",Y244&lt;=INDEX(Y:Y,MATCH(C244*1000+2,A:A))),0,1)*MAX(IA244+HR244+HU244+HX244,0%)</f>
        <v>257.79987465750565</v>
      </c>
      <c r="IE244" s="128">
        <f t="shared" si="759"/>
        <v>0.3023103834250348</v>
      </c>
      <c r="IF244" s="128">
        <f t="shared" si="643"/>
        <v>0.50404510946089531</v>
      </c>
      <c r="IG244" s="128">
        <f t="shared" si="644"/>
        <v>0.19364450711406986</v>
      </c>
      <c r="IH244" s="21"/>
      <c r="II244" s="19">
        <f t="shared" si="645"/>
        <v>1252</v>
      </c>
      <c r="IJ244" s="19">
        <f t="shared" si="646"/>
        <v>2011.9658773055378</v>
      </c>
      <c r="IK244" s="19">
        <f t="shared" si="647"/>
        <v>919</v>
      </c>
      <c r="IL244" s="19">
        <f t="shared" si="669"/>
        <v>42</v>
      </c>
      <c r="IM244" s="19">
        <f t="shared" si="648"/>
        <v>686.15867989839012</v>
      </c>
      <c r="IN244" s="19">
        <f t="shared" si="649"/>
        <v>387</v>
      </c>
      <c r="IO244" s="39">
        <f t="shared" si="650"/>
        <v>0</v>
      </c>
      <c r="IP244" s="39">
        <f t="shared" si="651"/>
        <v>0</v>
      </c>
      <c r="IQ244" s="39">
        <f t="shared" si="652"/>
        <v>0</v>
      </c>
      <c r="IR244" s="39">
        <v>0</v>
      </c>
      <c r="IS244" s="39">
        <v>0</v>
      </c>
      <c r="IT244" s="39">
        <v>0</v>
      </c>
      <c r="IU244" s="39">
        <v>0</v>
      </c>
      <c r="IV244" s="39">
        <v>0</v>
      </c>
      <c r="IW244" s="39">
        <v>0</v>
      </c>
      <c r="IX244" s="39">
        <f>INDEX(Input!$1:$1048576,IX$93,$C244*2+6)+INDEX(Input!$1:$1048576,IX$94,$C244*2+6)</f>
        <v>1294</v>
      </c>
      <c r="IY244" s="39">
        <f>INDEX(Input!$1:$1048576,IY$93,$C244*2+6)+INDEX(Input!$1:$1048576,IY$94,$C244*2+6)</f>
        <v>2154.0624533823611</v>
      </c>
      <c r="IZ244" s="39">
        <f>INDEX(Input!$1:$1048576,IZ$93,$C244*2+6)+INDEX(Input!$1:$1048576,IZ$94,$C244*2+6)</f>
        <v>3677.7164157747848</v>
      </c>
      <c r="JA244" s="19">
        <f t="shared" si="670"/>
        <v>1336</v>
      </c>
      <c r="JB244" s="19">
        <f t="shared" si="671"/>
        <v>2840.221133280751</v>
      </c>
      <c r="JC244" s="19">
        <f t="shared" si="672"/>
        <v>4064.7164157747848</v>
      </c>
      <c r="JD244" s="19">
        <f t="shared" si="673"/>
        <v>2622.5962511646676</v>
      </c>
      <c r="JE244" s="21"/>
      <c r="JF244" s="1">
        <f t="shared" si="653"/>
        <v>1.7106565950787935E-2</v>
      </c>
      <c r="JG244" s="15">
        <f>INDEX(Input!$1:$1048576,JG$93,$C244*2+6)/(1+VLOOKUP(C244*1000+INDEX(Input!$1:$1048576,JG$93+1,$C244*2+6),$A:$KK,$JK$92,FALSE))</f>
        <v>1243</v>
      </c>
      <c r="JH244" s="1">
        <f t="shared" si="674"/>
        <v>2.2221315726253715E-2</v>
      </c>
      <c r="JI244" s="1">
        <f t="shared" si="675"/>
        <v>4.8820411001099372E-2</v>
      </c>
      <c r="JJ244" s="1">
        <f t="shared" si="731"/>
        <v>0</v>
      </c>
      <c r="JK244" s="1">
        <f t="shared" si="732"/>
        <v>7.1041726727353094E-2</v>
      </c>
      <c r="JL244" s="15">
        <f t="shared" si="678"/>
        <v>88.304866322099898</v>
      </c>
      <c r="JM244" s="15">
        <f t="shared" si="702"/>
        <v>1331.3048663221</v>
      </c>
      <c r="JN244" s="21"/>
      <c r="JO244" s="19">
        <f>INDEX(Input!$1:$1048576,JO$93,$C244*2+6)</f>
        <v>5995.5</v>
      </c>
      <c r="JP244" s="19">
        <f>INDEX(Input!$1:$1048576,JP$93,$C244*2+6)</f>
        <v>2105.548724853742</v>
      </c>
      <c r="JQ244" s="39">
        <f t="shared" si="688"/>
        <v>3372.9037488353324</v>
      </c>
      <c r="JR244" s="39">
        <f t="shared" si="705"/>
        <v>517.0475263109256</v>
      </c>
      <c r="JS244" s="39">
        <f t="shared" si="690"/>
        <v>3.4914751515736184</v>
      </c>
      <c r="JT244" s="39">
        <f t="shared" si="680"/>
        <v>0.87427808658041717</v>
      </c>
      <c r="JU244" s="385">
        <f>(JQ244*JM244-INDEX(Input!$1:$1048576,Input!A$18,$C244*2+6)*JL244*INDEX(Input!$1:$1048576,Input!A$19,$C244*2+6))/1000000</f>
        <v>4.4903631744605326</v>
      </c>
      <c r="JV244" s="39">
        <f t="shared" si="712"/>
        <v>-0.34484626054626588</v>
      </c>
      <c r="JW244" s="1">
        <f t="shared" si="703"/>
        <v>-7.131981875481698E-2</v>
      </c>
      <c r="JX244" s="19">
        <f t="shared" si="694"/>
        <v>9900.6784449614552</v>
      </c>
      <c r="JZ244" s="341"/>
      <c r="KA244" s="342"/>
      <c r="KB244" s="469">
        <f t="shared" si="691"/>
        <v>2.5660492421988774</v>
      </c>
      <c r="KI244" s="473">
        <f t="shared" si="756"/>
        <v>-48.532715406551233</v>
      </c>
      <c r="KJ244" s="473">
        <f t="shared" si="757"/>
        <v>94.037707071145519</v>
      </c>
      <c r="KK244" s="473">
        <f t="shared" si="682"/>
        <v>42.799874657505711</v>
      </c>
      <c r="KN244" s="544">
        <f t="shared" si="695"/>
        <v>2002</v>
      </c>
      <c r="KO244" s="541">
        <f t="shared" si="657"/>
        <v>6.473142061033732E-2</v>
      </c>
      <c r="KP244" s="546">
        <f t="shared" si="658"/>
        <v>394.39648197330087</v>
      </c>
      <c r="KQ244" s="546">
        <f t="shared" si="659"/>
        <v>478.91591173119468</v>
      </c>
      <c r="KR244" s="548">
        <f t="shared" si="660"/>
        <v>2.9282562598258539</v>
      </c>
      <c r="KS244" s="548">
        <f t="shared" si="661"/>
        <v>2.4114754571776058</v>
      </c>
      <c r="KT244" s="473">
        <f t="shared" si="693"/>
        <v>843.26993010479111</v>
      </c>
      <c r="KU244" s="663">
        <f t="shared" si="683"/>
        <v>4.4102310999461674</v>
      </c>
      <c r="KV244" s="117"/>
    </row>
    <row r="245" spans="1:308" s="26" customFormat="1" ht="15">
      <c r="A245" s="561">
        <f t="shared" si="662"/>
        <v>2045</v>
      </c>
      <c r="B245" s="561">
        <f t="shared" si="684"/>
        <v>45</v>
      </c>
      <c r="C245" s="561">
        <f t="shared" si="105"/>
        <v>2</v>
      </c>
      <c r="D245" s="561" t="str">
        <f t="shared" si="728"/>
        <v xml:space="preserve">0/0/0/3.9, 360 Lease, </v>
      </c>
      <c r="E245" s="475">
        <f>INDEX(Input!$1:$1048576,E$93,$C245*2+MIN($B245,2)+5)
+INDEX(Scenarios!E$121:E$200,MATCH($B245,Scenarios!$B$121:$B$200,0))</f>
        <v>1269.7618664521319</v>
      </c>
      <c r="F245" s="475">
        <f>INDEX(Input!$1:$1048576,F$93,$C245*2+MIN($B245,2)+5)
+INDEX(Scenarios!F$121:F$200,MATCH($B245,Scenarios!$B$121:$B$200,0))</f>
        <v>0</v>
      </c>
      <c r="G245" s="475">
        <f>INDEX(Input!$1:$1048576,G$93,$C245*2+MIN($B245,2)+5)
+INDEX(Scenarios!G$121:G$200,MATCH($B245,Scenarios!$B$121:$B$200,0))</f>
        <v>0</v>
      </c>
      <c r="H245" s="475">
        <f>INDEX(Input!$1:$1048576,H$93,$C245*2+MIN($B245,2)+5)
+INDEX(Scenarios!H$121:H$200,MATCH($B245,Scenarios!$B$121:$B$200,0))</f>
        <v>0</v>
      </c>
      <c r="I245" s="476">
        <f>INDEX(Input!$1:$1048576,I$93,$C245*2+MIN($B245,2)+5)</f>
        <v>0.7</v>
      </c>
      <c r="J245" s="476" t="str">
        <f>INDEX(Input!$1:$1048576,J$93,$C245*2+MIN($B245,2)+5)</f>
        <v>Market</v>
      </c>
      <c r="K245" s="476" t="str">
        <f>INDEX(Input!$1:$1048576,K$93,$C245*2+MIN($B245,2)+5)</f>
        <v>Market</v>
      </c>
      <c r="L245" s="476" t="str">
        <f>INDEX(Input!$1:$1048576,L$93,$C245*2+MIN($B245,2)+5)</f>
        <v>Market</v>
      </c>
      <c r="M245" s="476" t="str">
        <f>INDEX(Input!$1:$1048576,M$93,$C245*2+MIN($B245,2)+5)</f>
        <v>Market</v>
      </c>
      <c r="N245" s="476" t="str">
        <f>INDEX(Input!$1:$1048576,N$93,$C245*2+MIN($B245,2)+5)</f>
        <v>Market</v>
      </c>
      <c r="O245" s="476" t="str">
        <f>INDEX(Input!$1:$1048576,O$93,$C245*2+MIN($B245,2)+5)</f>
        <v>Market</v>
      </c>
      <c r="P245" s="476" t="str">
        <f>INDEX(Input!$1:$1048576,P$93,$C245*2+MIN($B245,2)+5)</f>
        <v>N</v>
      </c>
      <c r="Q245" s="477">
        <f>INDEX(Input!$1:$1048576,Q$93,$C245*2+MIN($B245,2)+5)
+INDEX(Scenarios!Q$121:Q$200,MATCH($B245,Scenarios!$B$121:$B$200,0))</f>
        <v>0</v>
      </c>
      <c r="R245" s="478">
        <f>IFERROR(MAX(0,INDEX(Input!$1:$1048576,R$93,$C245*2+MIN($B245,2)+5)
+INDEX(Scenarios!R$121:R$200,MATCH($B245,Scenarios!$B$121:$B$200,0)),),"Market")</f>
        <v>0</v>
      </c>
      <c r="S245" s="478">
        <f>IFERROR(MAX(0,INDEX(Input!$1:$1048576,S$93,$C245*2+MIN($B245,2)+5)
+INDEX(Scenarios!S$121:S$200,MATCH($B245,Scenarios!$B$121:$B$200,0)),),"Market")</f>
        <v>0</v>
      </c>
      <c r="T245" s="478">
        <f>IFERROR(MAX(0,INDEX(Input!$1:$1048576,T$93,$C245*2+MIN($B245,2)+5)
+INDEX(Scenarios!T$121:T$200,MATCH($B245,Scenarios!$B$121:$B$200,0)),),"Market")</f>
        <v>0</v>
      </c>
      <c r="U245" s="478">
        <f>IFERROR(MAX(0,INDEX(Input!$1:$1048576,U$93,$C245*2+MIN($B245,2)+5)
+INDEX(Scenarios!U$121:U$200,MATCH($B245,Scenarios!$B$121:$B$200,0)),),"Market")</f>
        <v>0</v>
      </c>
      <c r="V245" s="478">
        <f>IFERROR(MAX(0,INDEX(Input!$1:$1048576,V$93,$C245*2+MIN($B245,2)+5)
+INDEX(Scenarios!V$121:V$200,MATCH($B245,Scenarios!$B$121:$B$200,0)),),"Market")</f>
        <v>0</v>
      </c>
      <c r="W245" s="885">
        <f>IFERROR(MAX(0,INDEX(Input!$1:$1048576,W$93,$C245*2+MIN($B245,2)+5)-0%,),"Market")</f>
        <v>3.9E-2</v>
      </c>
      <c r="X245" s="476" t="str">
        <f>INDEX(Input!$1:$1048576,X$93,$C245*2+MIN($B245,2)+5)</f>
        <v>Y</v>
      </c>
      <c r="Y245" s="475">
        <f>INDEX(Input!$1:$1048576,Y$93,$C245*2+MIN($B245,2)+5)
++INDEX(Scenarios!Y$121:Y$200,MATCH($B245,Scenarios!$B$121:$B$200,0))</f>
        <v>416</v>
      </c>
      <c r="Z245" s="477">
        <f>INDEX(Input!$1:$1048576,Z$93,$C245*2+MIN($B245,2)+5)
+INDEX(Scenarios!Z$121:Z$200,MATCH($B245,Scenarios!$B$121:$B$200,0))</f>
        <v>0</v>
      </c>
      <c r="AA245" s="475">
        <f>INDEX(Input!$1:$1048576,AA$93,$C245*2+MIN($B245,2)+5)
+INDEX(Scenarios!AA$121:AA$200,MATCH($B245,Scenarios!$B$121:$B$200,0))</f>
        <v>0</v>
      </c>
      <c r="AB245" s="476">
        <f>INDEX(Input!$1:$1048576,AB$93,$C245*2+MIN($B245,2)+5)</f>
        <v>0.27</v>
      </c>
      <c r="AC245" s="475">
        <f>INDEX(Input!$1:$1048576,AC$93,$C245*2+MIN($B245,2)+5)
+INDEX(Scenarios!AC$121:AC$200,MATCH($B245,Scenarios!$B$121:$B$200,0))</f>
        <v>0</v>
      </c>
      <c r="AD245" s="476">
        <f>INDEX(Input!$1:$1048576,AD$93,$C245*2+MIN($B245,2)+5)</f>
        <v>0.27</v>
      </c>
      <c r="AE245" s="475">
        <f>INDEX(Input!$1:$1048576,AE$93,$C245*2+MIN($B245,2)+5)
+INDEX(Scenarios!AE$121:AE$200,MATCH($B245,Scenarios!$B$121:$B$200,0))</f>
        <v>0</v>
      </c>
      <c r="AF245" s="476">
        <f>INDEX(Input!$1:$1048576,AF$93,$C245*2+MIN($B245,2)+5)</f>
        <v>4.8000000000000001E-2</v>
      </c>
      <c r="AG245" s="475">
        <f>INDEX(Input!$1:$1048576,AG$93,$C245*2+MIN($B245,2)+5)
+INDEX(Scenarios!AG$121:AG$200,MATCH($B245,Scenarios!$B$121:$B$200,0))</f>
        <v>500</v>
      </c>
      <c r="AH245" s="476">
        <f>INDEX(Input!$1:$1048576,AH$93,$C245*2+MIN($B245,2)+5)</f>
        <v>0.94599999999999995</v>
      </c>
      <c r="AI245" s="475">
        <f>INDEX(Input!$1:$1048576,AI$93,$C245*2+MIN($B245,2)+5)
+INDEX(Scenarios!AI$121:AI$200,MATCH($B245,Scenarios!$B$121:$B$200,0))</f>
        <v>0</v>
      </c>
      <c r="AJ245" s="476">
        <f>INDEX(Input!$1:$1048576,AJ$93,$C245*2+MIN($B245,2)+5)</f>
        <v>0.27</v>
      </c>
      <c r="AK245" s="150">
        <f>ROUND(INDEX(Input!$1:$1048576,AK$93,$C244*2+MIN($B245,1)+5)+(Y245-VLOOKUP($C245*1000+1,$A:$HH,Y$92,FALSE)),0)</f>
        <v>3337</v>
      </c>
      <c r="AL245" s="150">
        <f>ROUND(INDEX(Input!$1:$1048576,AL$93,$C244*2+MIN($B245,1)+5)-(Y245-VLOOKUP($C245*1000+1,$A:$HH,Y$92,FALSE))/36,0)</f>
        <v>3385</v>
      </c>
      <c r="AM245" s="32" t="str">
        <f t="shared" si="663"/>
        <v>std/std/std/std</v>
      </c>
      <c r="AN245" s="32" t="str">
        <f t="shared" si="664"/>
        <v>$0 + 0/0/0/0/3.9</v>
      </c>
      <c r="AO245" s="32" t="str">
        <f t="shared" si="665"/>
        <v>0/0/0/0/3.9</v>
      </c>
      <c r="AP245" s="32" t="str">
        <f t="shared" si="734"/>
        <v>0/0/0/3.9</v>
      </c>
      <c r="AQ245" s="536">
        <f t="shared" si="733"/>
        <v>0.3023103834250348</v>
      </c>
      <c r="AR245" s="32"/>
      <c r="AS245" s="302"/>
      <c r="AT245" s="3">
        <f t="shared" si="717"/>
        <v>45</v>
      </c>
      <c r="AU245" s="41" t="s">
        <v>121</v>
      </c>
      <c r="AV245" s="41" t="s">
        <v>116</v>
      </c>
      <c r="AW245" s="41" t="str">
        <f>INDEX(Input!$1:$1048576,AW$93,$C245*2+6)</f>
        <v>Kia</v>
      </c>
      <c r="AX245" s="41" t="str">
        <f>INDEX(Input!$1:$1048576,AX$93,$C245*2+6)</f>
        <v>Kia-LR - L2</v>
      </c>
      <c r="AY245" s="41" t="str">
        <f>IF(LEN(D245)=0,"",INDEX(Input!$1:$1048576,AY$93,$C245*2+6))</f>
        <v>Compact SUV (52)</v>
      </c>
      <c r="AZ245" s="41" t="str">
        <f>INDEX(Input!$1:$1048576,AZ$93,$C245*2+6)</f>
        <v>Kia Soul</v>
      </c>
      <c r="BA245" s="3">
        <f>INDEX(Input!$1:$1048576,BA$93,$C245*2+6)</f>
        <v>2020</v>
      </c>
      <c r="BB245" s="128">
        <f>INDEX(Input!$1:$1048576,BB$93,$C245*2+6)</f>
        <v>1</v>
      </c>
      <c r="BC245" s="128">
        <f>INDEX(Input!$1:$1048576,BC$93,$C245*2+6)</f>
        <v>0.7</v>
      </c>
      <c r="BD245" s="1">
        <f>INDEX(Input!$1:$1048576,BD$93,$C245*2+6)</f>
        <v>4.4999999999999998E-2</v>
      </c>
      <c r="BE245" s="1">
        <f>INDEX(Input!$1:$1048576,BE$93,$C245*2+6)</f>
        <v>4.4999999999999998E-2</v>
      </c>
      <c r="BF245" s="1">
        <f>INDEX(Input!$1:$1048576,BF$93,$C245*2+6)</f>
        <v>0.05</v>
      </c>
      <c r="BG245" s="1">
        <f>INDEX(Input!$1:$1048576,BG$93,$C245*2+6)</f>
        <v>5.45E-2</v>
      </c>
      <c r="BH245" s="1">
        <f>INDEX(Input!$1:$1048576,BH$93,$C245*2+6)</f>
        <v>5.45E-2</v>
      </c>
      <c r="BI245" s="1">
        <f>INDEX(Input!$1:$1048576,BI$93,$C245*2+6)</f>
        <v>0.05</v>
      </c>
      <c r="BJ245" s="1">
        <f>INDEX(Input!$1:$1048576,BJ$93,$C245*2+6)</f>
        <v>0.05</v>
      </c>
      <c r="BK245" s="1">
        <f>INDEX(Input!$1:$1048576,BK$93,$C245*2+6)</f>
        <v>0.05</v>
      </c>
      <c r="BL245" s="1">
        <f>INDEX(Input!$1:$1048576,BL$93,$C245*2+6)</f>
        <v>5.5E-2</v>
      </c>
      <c r="BM245" s="1">
        <f>INDEX(Input!$1:$1048576,BM$93,$C245*2+6)</f>
        <v>0.06</v>
      </c>
      <c r="BN245" s="1">
        <f>INDEX(Input!$1:$1048576,BN$93,$C245*2+6)</f>
        <v>4.4999999999999998E-2</v>
      </c>
      <c r="BO245" s="1">
        <f>INDEX(Input!$1:$1048576,BO$93,$C245*2+6)</f>
        <v>4.4999999999999998E-2</v>
      </c>
      <c r="BP245" s="1">
        <f>INDEX(Input!$1:$1048576,BP$93,$C245*2+6)</f>
        <v>0.05</v>
      </c>
      <c r="BQ245" s="1">
        <f>INDEX(Input!$1:$1048576,BQ$93,$C245*2+6)</f>
        <v>5.45E-2</v>
      </c>
      <c r="BR245" s="1">
        <f>INDEX(Input!$1:$1048576,BR$93,$C245*2+6)</f>
        <v>5.45E-2</v>
      </c>
      <c r="BS245" s="1">
        <f>INDEX(Input!$1:$1048576,BS$93,$C245*2+6)</f>
        <v>0.05</v>
      </c>
      <c r="BT245" s="1">
        <f>INDEX(Input!$1:$1048576,BT$93,$C245*2+6)</f>
        <v>0.05</v>
      </c>
      <c r="BU245" s="1">
        <f>INDEX(Input!$1:$1048576,BU$93,$C245*2+6)</f>
        <v>0.05</v>
      </c>
      <c r="BV245" s="1">
        <f>INDEX(Input!$1:$1048576,BV$93,$C245*2+6)</f>
        <v>5.5E-2</v>
      </c>
      <c r="BW245" s="1">
        <f>INDEX(Input!$1:$1048576,BW$93,$C245*2+6)</f>
        <v>0.06</v>
      </c>
      <c r="BX245" s="127">
        <f>INDEX(Input!$1:$1048576,BX$93,$C245*2+6)</f>
        <v>19985</v>
      </c>
      <c r="BY245" s="20">
        <f>INDEX(Input!$1:$1048576,BY$93,$C245*2+6)</f>
        <v>0.1</v>
      </c>
      <c r="BZ245" s="20">
        <f>INDEX(Input!$1:$1048576,BZ$93,$C245*2+6)</f>
        <v>0.1</v>
      </c>
      <c r="CA245" s="20">
        <f>INDEX(Input!$1:$1048576,CA$93,$C245*2+6)</f>
        <v>0.1</v>
      </c>
      <c r="CB245" s="20">
        <f>INDEX(Input!$1:$1048576,CB$93,$C245*2+6)</f>
        <v>0.1</v>
      </c>
      <c r="CC245" s="20">
        <f>INDEX(Input!$1:$1048576,CC$93,$C245*2+6)</f>
        <v>0.1</v>
      </c>
      <c r="CD245" s="384">
        <f>INDEX(Input!$1:$1048576,CD$93,$C245*2+6)</f>
        <v>0.1</v>
      </c>
      <c r="CE245" s="384">
        <f>INDEX(Input!$1:$1048576,CE$93,$C245*2+6)</f>
        <v>0.1</v>
      </c>
      <c r="CF245" s="384">
        <f>INDEX(Input!$1:$1048576,CF$93,$C245*2+6)</f>
        <v>0.1</v>
      </c>
      <c r="CG245" s="384">
        <f>INDEX(Input!$1:$1048576,CG$93,$C245*2+6)</f>
        <v>0.1</v>
      </c>
      <c r="CH245" s="384">
        <f>INDEX(Input!$1:$1048576,CH$93,$C245*2+6)</f>
        <v>0.1</v>
      </c>
      <c r="CI245" s="304">
        <f t="shared" si="735"/>
        <v>1269.7618664521319</v>
      </c>
      <c r="CJ245" s="16" t="str">
        <f>INDEX(Input!$1:$1048576,CJ$93,$C245*2+6)</f>
        <v>N</v>
      </c>
      <c r="CK245" s="1" t="str">
        <f t="shared" si="736"/>
        <v>Market</v>
      </c>
      <c r="CL245" s="1" t="str">
        <f t="shared" si="737"/>
        <v>Market</v>
      </c>
      <c r="CM245" s="1" t="str">
        <f t="shared" si="738"/>
        <v>Market</v>
      </c>
      <c r="CN245" s="1" t="str">
        <f t="shared" si="739"/>
        <v>Market</v>
      </c>
      <c r="CO245" s="1" t="str">
        <f t="shared" si="740"/>
        <v>Market</v>
      </c>
      <c r="CP245" s="304">
        <f t="shared" si="741"/>
        <v>473</v>
      </c>
      <c r="CQ245" s="1">
        <f t="shared" si="742"/>
        <v>0</v>
      </c>
      <c r="CR245" s="1">
        <f t="shared" si="743"/>
        <v>0</v>
      </c>
      <c r="CS245" s="1">
        <f t="shared" si="744"/>
        <v>0</v>
      </c>
      <c r="CT245" s="1">
        <f t="shared" si="745"/>
        <v>0</v>
      </c>
      <c r="CU245" s="1">
        <f t="shared" si="746"/>
        <v>3.9E-2</v>
      </c>
      <c r="CV245" s="304">
        <f t="shared" si="747"/>
        <v>416</v>
      </c>
      <c r="CW245" s="20" t="s">
        <v>122</v>
      </c>
      <c r="CX245" s="20" t="s">
        <v>122</v>
      </c>
      <c r="CY245" s="20" t="s">
        <v>122</v>
      </c>
      <c r="CZ245" s="20" t="s">
        <v>122</v>
      </c>
      <c r="DA245" s="20" t="s">
        <v>122</v>
      </c>
      <c r="DB245" s="503">
        <f t="shared" si="748"/>
        <v>0</v>
      </c>
      <c r="DC245" s="127">
        <v>0</v>
      </c>
      <c r="DD245" s="127">
        <v>0</v>
      </c>
      <c r="DE245" s="127">
        <v>0</v>
      </c>
      <c r="DF245" s="127">
        <v>0</v>
      </c>
      <c r="DG245" s="127">
        <v>0</v>
      </c>
      <c r="DH245" s="127">
        <v>0</v>
      </c>
      <c r="DI245" s="127">
        <v>0</v>
      </c>
      <c r="DJ245" s="127">
        <v>0</v>
      </c>
      <c r="DK245" s="127">
        <v>0</v>
      </c>
      <c r="DL245" s="127">
        <v>0</v>
      </c>
      <c r="DM245" s="304">
        <f>INDEX(Input!$1:$1048576,DM$93,$C245*2+6)</f>
        <v>21036.84210526316</v>
      </c>
      <c r="DN245" s="20">
        <v>0</v>
      </c>
      <c r="DO245" s="20">
        <v>0</v>
      </c>
      <c r="DP245" s="20">
        <v>0</v>
      </c>
      <c r="DQ245" s="20">
        <v>0</v>
      </c>
      <c r="DR245" s="20">
        <v>0</v>
      </c>
      <c r="DS245" s="20">
        <f>INDEX(Input!$1:$1048576,DS$93,$C245*2+6)</f>
        <v>0.6</v>
      </c>
      <c r="DT245" s="20">
        <f>INDEX(Input!$1:$1048576,DT$93,$C245*2+6)</f>
        <v>0.55000000000000004</v>
      </c>
      <c r="DU245" s="20">
        <f>INDEX(Input!$1:$1048576,DU$93,$C245*2+6)</f>
        <v>0.52</v>
      </c>
      <c r="DV245" s="20">
        <f>INDEX(Input!$1:$1048576,DV$93,$C245*2+6)</f>
        <v>0.5</v>
      </c>
      <c r="DW245" s="20">
        <f>INDEX(Input!$1:$1048576,DW$93,$C245*2+6)</f>
        <v>0.45</v>
      </c>
      <c r="DX245" s="20"/>
      <c r="DY245" s="7">
        <v>8.5898528583224054E-2</v>
      </c>
      <c r="DZ245" s="7">
        <v>0</v>
      </c>
      <c r="EA245" s="7">
        <v>0.60875452493625459</v>
      </c>
      <c r="EB245" s="7">
        <v>0</v>
      </c>
      <c r="EC245" s="7">
        <v>0</v>
      </c>
      <c r="ED245" s="7">
        <v>0</v>
      </c>
      <c r="EE245" s="7">
        <v>0</v>
      </c>
      <c r="EF245" s="7">
        <v>0</v>
      </c>
      <c r="EG245" s="7">
        <v>0</v>
      </c>
      <c r="EH245" s="7">
        <v>8.7631754919373188E-3</v>
      </c>
      <c r="EI245" s="7">
        <v>2.4938446614942919E-2</v>
      </c>
      <c r="EJ245" s="7">
        <v>0.18880751019271103</v>
      </c>
      <c r="EK245" s="7">
        <v>0.7091278791571356</v>
      </c>
      <c r="EL245" s="7">
        <v>6.8362988543273398E-2</v>
      </c>
      <c r="EM245" s="7">
        <v>8.658211692872958E-2</v>
      </c>
      <c r="EN245" s="7">
        <v>6.6806408336268969E-2</v>
      </c>
      <c r="EO245" s="7">
        <v>0.74266183419665577</v>
      </c>
      <c r="EP245" s="7">
        <v>8.2288275422082863E-2</v>
      </c>
      <c r="EQ245" s="7">
        <v>7.017747036437777E-2</v>
      </c>
      <c r="ER245" s="7">
        <v>3.8066011680614908E-2</v>
      </c>
      <c r="ES245" s="7">
        <v>0.2187648295517918</v>
      </c>
      <c r="ET245" s="7">
        <v>0.30534694648052146</v>
      </c>
      <c r="EU245" s="6">
        <v>1294</v>
      </c>
      <c r="EV245" s="6">
        <v>0</v>
      </c>
      <c r="EW245" s="6">
        <v>1294</v>
      </c>
      <c r="EX245" s="6">
        <v>0</v>
      </c>
      <c r="EY245" s="6">
        <v>2698.1245572039279</v>
      </c>
      <c r="EZ245" s="6">
        <v>1306</v>
      </c>
      <c r="FA245" s="6">
        <v>0</v>
      </c>
      <c r="FB245" s="6">
        <v>0</v>
      </c>
      <c r="FC245" s="6">
        <v>0</v>
      </c>
      <c r="FD245" s="6">
        <v>0</v>
      </c>
      <c r="FE245" s="6">
        <v>0</v>
      </c>
      <c r="FF245" s="6">
        <v>0</v>
      </c>
      <c r="FG245" s="6">
        <v>0</v>
      </c>
      <c r="FH245" s="6">
        <v>1173.7297066369165</v>
      </c>
      <c r="FI245" s="6">
        <v>1553.9796069512392</v>
      </c>
      <c r="FJ245" s="6">
        <v>2101.2110117447401</v>
      </c>
      <c r="FK245" s="6">
        <v>2674.2006261592255</v>
      </c>
      <c r="FL245" s="6">
        <v>907.07682140966324</v>
      </c>
      <c r="FM245" s="6">
        <v>2404.1245572039279</v>
      </c>
      <c r="FN245" s="6">
        <v>0</v>
      </c>
      <c r="FO245" s="6">
        <v>0</v>
      </c>
      <c r="FP245" s="6">
        <v>0</v>
      </c>
      <c r="FQ245" s="6">
        <v>0</v>
      </c>
      <c r="FR245" s="6">
        <v>0</v>
      </c>
      <c r="FS245" s="6">
        <v>0</v>
      </c>
      <c r="FT245" s="7">
        <v>0.69465305351947859</v>
      </c>
      <c r="FU245" s="7">
        <v>8.658211692872958E-2</v>
      </c>
      <c r="FV245" s="7">
        <v>0.2187648295517918</v>
      </c>
      <c r="FW245" s="6">
        <v>1294</v>
      </c>
      <c r="FX245" s="6">
        <v>2698.1245572039279</v>
      </c>
      <c r="FY245" s="6">
        <v>1306</v>
      </c>
      <c r="FZ245" s="6">
        <v>1817.4615072224267</v>
      </c>
      <c r="GA245" s="6">
        <v>1418.1972545489525</v>
      </c>
      <c r="GB245" s="6">
        <v>18566.802745451048</v>
      </c>
      <c r="GC245" s="7">
        <v>1.804905384453976E-2</v>
      </c>
      <c r="GD245" s="7">
        <v>1.7486696353772375E-2</v>
      </c>
      <c r="GE245" s="7"/>
      <c r="GF245" s="7"/>
      <c r="GG245" s="7">
        <v>-3.1157172869618877E-2</v>
      </c>
      <c r="GH245" s="42">
        <v>1.5595588526393058</v>
      </c>
      <c r="GI245" s="6">
        <v>14232.718467505139</v>
      </c>
      <c r="GJ245" s="14">
        <v>0.50394797582841733</v>
      </c>
      <c r="GK245" s="14">
        <v>0.50887573065309766</v>
      </c>
      <c r="GL245" s="14">
        <v>0.49605202417158301</v>
      </c>
      <c r="GM245" s="14">
        <v>0.49112426934690229</v>
      </c>
      <c r="GO245" s="5">
        <v>343.14810671672558</v>
      </c>
      <c r="GP245" s="5">
        <v>318.46105531198077</v>
      </c>
      <c r="GQ245" s="5">
        <v>535.04305713031317</v>
      </c>
      <c r="GR245" s="5">
        <v>410.15490233172511</v>
      </c>
      <c r="GS245" s="5">
        <v>339.42744393800166</v>
      </c>
      <c r="GT245" s="5">
        <v>293.4407446948278</v>
      </c>
      <c r="GU245" s="5">
        <v>258.04012322764959</v>
      </c>
      <c r="GV245" s="39" t="s">
        <v>392</v>
      </c>
      <c r="GW245" s="5">
        <v>491.45833333333331</v>
      </c>
      <c r="GX245" s="5">
        <v>368.59375</v>
      </c>
      <c r="GY245" s="5">
        <v>294.875</v>
      </c>
      <c r="GZ245" s="5">
        <v>245.72916666666666</v>
      </c>
      <c r="HA245" s="5">
        <v>241.02179695997205</v>
      </c>
      <c r="HB245" s="39">
        <v>259.90387889666465</v>
      </c>
      <c r="HC245" s="5">
        <v>230.14687499999999</v>
      </c>
      <c r="HD245" s="5">
        <v>200.80677997076018</v>
      </c>
      <c r="HE245" s="5">
        <v>204.75485408232115</v>
      </c>
      <c r="HF245" s="5">
        <v>190.70750548245613</v>
      </c>
      <c r="HG245" s="5">
        <v>185.59971491228069</v>
      </c>
      <c r="HH245" s="39">
        <v>201.80415269753888</v>
      </c>
      <c r="HI245" s="16"/>
      <c r="HJ245" s="19" t="str">
        <f t="shared" si="753"/>
        <v>On</v>
      </c>
      <c r="HK245" s="1" t="str">
        <f t="shared" si="753"/>
        <v>On</v>
      </c>
      <c r="HL245" s="16"/>
      <c r="HM245" s="639">
        <f t="shared" si="634"/>
        <v>1.2768706344444866E-2</v>
      </c>
      <c r="HN245" s="639">
        <f t="shared" si="635"/>
        <v>9.795534288915453E-4</v>
      </c>
      <c r="HO245" s="639">
        <f t="shared" si="636"/>
        <v>3.3583061774515237E-3</v>
      </c>
      <c r="HP245" s="644">
        <f>(FT245*$GD245-HM245)/$JF245*INDEX(Input!$1:$1048576,$JG$93,$C245*2+6)</f>
        <v>-45.160935564119129</v>
      </c>
      <c r="HQ245" s="644">
        <f>(FU245*$GD245-HN245)/$JF245*INDEX(Input!$1:$1048576,$JG$93,$C245*2+6)</f>
        <v>38.836598121424728</v>
      </c>
      <c r="HR245" s="644">
        <f>(FV245*$GD245-HO245)/$JF245*INDEX(Input!$1:$1048576,$JG$93,$C245*2+6)</f>
        <v>33.945432890427767</v>
      </c>
      <c r="HS245" s="644">
        <f t="shared" si="754"/>
        <v>-3.3717798424321388</v>
      </c>
      <c r="HT245" s="644">
        <f t="shared" si="638"/>
        <v>55.201108949720762</v>
      </c>
      <c r="HU245" s="644">
        <f t="shared" si="639"/>
        <v>8.8544417670778977</v>
      </c>
      <c r="HV245" s="648">
        <f t="shared" si="640"/>
        <v>0</v>
      </c>
      <c r="HW245" s="648">
        <f t="shared" si="641"/>
        <v>0</v>
      </c>
      <c r="HX245" s="648">
        <f t="shared" si="642"/>
        <v>0</v>
      </c>
      <c r="HY245" s="644">
        <f>INDEX(Input!$1:$1048576,HY$93,$C245*2+6)*INDEX(Input!$1:$1048576,$JG$93,$C245*2+6)</f>
        <v>451</v>
      </c>
      <c r="HZ245" s="644">
        <f>INDEX(Input!$1:$1048576,HZ$93,$C245*2+6)*INDEX(Input!$1:$1048576,$JG$93,$C245*2+6)</f>
        <v>577</v>
      </c>
      <c r="IA245" s="644">
        <f>INDEX(Input!$1:$1048576,IA$93,$C245*2+6)*INDEX(Input!$1:$1048576,$JG$93,$C245*2+6)</f>
        <v>215</v>
      </c>
      <c r="IB245" s="644">
        <f t="shared" si="666"/>
        <v>402.46728459344871</v>
      </c>
      <c r="IC245" s="644">
        <f t="shared" si="667"/>
        <v>671.03770707114541</v>
      </c>
      <c r="ID245" s="644">
        <f>IF(AND(INDEX(Input!$1:$1048576,IA$93,$C245*2+7)="TOS",Y245&lt;=INDEX(Y:Y,MATCH(C245*1000+2,A:A))),0,1)*MAX(IA245+HR245+HU245+HX245,0%)</f>
        <v>257.79987465750565</v>
      </c>
      <c r="IE245" s="128">
        <f t="shared" si="759"/>
        <v>0.3023103834250348</v>
      </c>
      <c r="IF245" s="128">
        <f t="shared" si="643"/>
        <v>0.50404510946089531</v>
      </c>
      <c r="IG245" s="128">
        <f t="shared" si="644"/>
        <v>0.19364450711406986</v>
      </c>
      <c r="IH245" s="21"/>
      <c r="II245" s="19">
        <f t="shared" si="645"/>
        <v>1252</v>
      </c>
      <c r="IJ245" s="19">
        <f t="shared" si="646"/>
        <v>2011.9658773055378</v>
      </c>
      <c r="IK245" s="19">
        <f t="shared" si="647"/>
        <v>919</v>
      </c>
      <c r="IL245" s="19">
        <f t="shared" si="669"/>
        <v>42</v>
      </c>
      <c r="IM245" s="19">
        <f t="shared" si="648"/>
        <v>686.15867989839012</v>
      </c>
      <c r="IN245" s="19">
        <f t="shared" si="649"/>
        <v>387</v>
      </c>
      <c r="IO245" s="39">
        <f t="shared" si="650"/>
        <v>0</v>
      </c>
      <c r="IP245" s="39">
        <f t="shared" si="651"/>
        <v>0</v>
      </c>
      <c r="IQ245" s="39">
        <f t="shared" si="652"/>
        <v>0</v>
      </c>
      <c r="IR245" s="39">
        <v>0</v>
      </c>
      <c r="IS245" s="39">
        <v>0</v>
      </c>
      <c r="IT245" s="39">
        <v>0</v>
      </c>
      <c r="IU245" s="39">
        <v>0</v>
      </c>
      <c r="IV245" s="39">
        <v>0</v>
      </c>
      <c r="IW245" s="39">
        <v>0</v>
      </c>
      <c r="IX245" s="39">
        <f>INDEX(Input!$1:$1048576,IX$93,$C245*2+6)+INDEX(Input!$1:$1048576,IX$94,$C245*2+6)</f>
        <v>1294</v>
      </c>
      <c r="IY245" s="39">
        <f>INDEX(Input!$1:$1048576,IY$93,$C245*2+6)+INDEX(Input!$1:$1048576,IY$94,$C245*2+6)</f>
        <v>2154.0624533823611</v>
      </c>
      <c r="IZ245" s="39">
        <f>INDEX(Input!$1:$1048576,IZ$93,$C245*2+6)+INDEX(Input!$1:$1048576,IZ$94,$C245*2+6)</f>
        <v>3677.7164157747848</v>
      </c>
      <c r="JA245" s="19">
        <f t="shared" si="670"/>
        <v>1336</v>
      </c>
      <c r="JB245" s="19">
        <f t="shared" si="671"/>
        <v>2840.221133280751</v>
      </c>
      <c r="JC245" s="19">
        <f t="shared" si="672"/>
        <v>4064.7164157747848</v>
      </c>
      <c r="JD245" s="19">
        <f t="shared" si="673"/>
        <v>2622.5962511646676</v>
      </c>
      <c r="JE245" s="21"/>
      <c r="JF245" s="1">
        <f t="shared" si="653"/>
        <v>1.7106565950787935E-2</v>
      </c>
      <c r="JG245" s="15">
        <f>INDEX(Input!$1:$1048576,JG$93,$C245*2+6)/(1+VLOOKUP(C245*1000+INDEX(Input!$1:$1048576,JG$93+1,$C245*2+6),$A:$KK,$JK$92,FALSE))</f>
        <v>1243</v>
      </c>
      <c r="JH245" s="1">
        <f t="shared" si="674"/>
        <v>2.2221315726253715E-2</v>
      </c>
      <c r="JI245" s="1">
        <f t="shared" si="675"/>
        <v>4.8820411001099372E-2</v>
      </c>
      <c r="JJ245" s="1">
        <f t="shared" si="731"/>
        <v>0</v>
      </c>
      <c r="JK245" s="1">
        <f t="shared" si="732"/>
        <v>7.1041726727353094E-2</v>
      </c>
      <c r="JL245" s="15">
        <f t="shared" si="678"/>
        <v>88.304866322099898</v>
      </c>
      <c r="JM245" s="15">
        <f t="shared" si="702"/>
        <v>1331.3048663221</v>
      </c>
      <c r="JN245" s="21"/>
      <c r="JO245" s="19">
        <f>INDEX(Input!$1:$1048576,JO$93,$C245*2+6)</f>
        <v>5995.5</v>
      </c>
      <c r="JP245" s="19">
        <f>INDEX(Input!$1:$1048576,JP$93,$C245*2+6)</f>
        <v>2105.548724853742</v>
      </c>
      <c r="JQ245" s="39">
        <f t="shared" si="688"/>
        <v>3372.9037488353324</v>
      </c>
      <c r="JR245" s="39">
        <f t="shared" si="705"/>
        <v>517.0475263109256</v>
      </c>
      <c r="JS245" s="39">
        <f t="shared" si="690"/>
        <v>3.4914751515736184</v>
      </c>
      <c r="JT245" s="39">
        <f t="shared" si="680"/>
        <v>0.87427808658041717</v>
      </c>
      <c r="JU245" s="385">
        <f>(JQ245*JM245-INDEX(Input!$1:$1048576,Input!A$18,$C245*2+6)*JL245*INDEX(Input!$1:$1048576,Input!A$19,$C245*2+6))/1000000</f>
        <v>4.4903631744605326</v>
      </c>
      <c r="JV245" s="39">
        <f t="shared" si="712"/>
        <v>-0.34484626054626588</v>
      </c>
      <c r="JW245" s="1">
        <f t="shared" si="703"/>
        <v>-7.131981875481698E-2</v>
      </c>
      <c r="JX245" s="19">
        <f t="shared" si="694"/>
        <v>9900.6784449614552</v>
      </c>
      <c r="JZ245" s="341"/>
      <c r="KA245" s="342"/>
      <c r="KB245" s="469">
        <f t="shared" si="691"/>
        <v>2.5660492421988774</v>
      </c>
      <c r="KI245" s="473">
        <f t="shared" si="756"/>
        <v>-48.532715406551233</v>
      </c>
      <c r="KJ245" s="473">
        <f t="shared" si="757"/>
        <v>94.037707071145519</v>
      </c>
      <c r="KK245" s="473">
        <f t="shared" si="682"/>
        <v>42.799874657505711</v>
      </c>
      <c r="KN245" s="544">
        <f t="shared" si="695"/>
        <v>2002</v>
      </c>
      <c r="KO245" s="541">
        <f t="shared" si="657"/>
        <v>6.473142061033732E-2</v>
      </c>
      <c r="KP245" s="546">
        <f t="shared" si="658"/>
        <v>394.39648197330087</v>
      </c>
      <c r="KQ245" s="546">
        <f t="shared" si="659"/>
        <v>478.91591173119468</v>
      </c>
      <c r="KR245" s="548">
        <f t="shared" si="660"/>
        <v>2.9282562598258539</v>
      </c>
      <c r="KS245" s="548">
        <f t="shared" si="661"/>
        <v>2.4114754571776058</v>
      </c>
      <c r="KT245" s="473">
        <f t="shared" si="693"/>
        <v>843.26993010479111</v>
      </c>
      <c r="KU245" s="663">
        <f t="shared" si="683"/>
        <v>4.4102320999461675</v>
      </c>
      <c r="KV245" s="117"/>
    </row>
    <row r="246" spans="1:308" s="26" customFormat="1" ht="15">
      <c r="A246" s="561">
        <f t="shared" si="662"/>
        <v>2046</v>
      </c>
      <c r="B246" s="561">
        <f t="shared" si="684"/>
        <v>46</v>
      </c>
      <c r="C246" s="561">
        <f t="shared" si="105"/>
        <v>2</v>
      </c>
      <c r="D246" s="561" t="str">
        <f t="shared" si="728"/>
        <v xml:space="preserve">0/0/0/3.9, 360 Lease, </v>
      </c>
      <c r="E246" s="475">
        <f>INDEX(Input!$1:$1048576,E$93,$C246*2+MIN($B246,2)+5)
+INDEX(Scenarios!E$121:E$200,MATCH($B246,Scenarios!$B$121:$B$200,0))</f>
        <v>1269.7618664521319</v>
      </c>
      <c r="F246" s="475">
        <f>INDEX(Input!$1:$1048576,F$93,$C246*2+MIN($B246,2)+5)
+INDEX(Scenarios!F$121:F$200,MATCH($B246,Scenarios!$B$121:$B$200,0))</f>
        <v>0</v>
      </c>
      <c r="G246" s="475">
        <f>INDEX(Input!$1:$1048576,G$93,$C246*2+MIN($B246,2)+5)
+INDEX(Scenarios!G$121:G$200,MATCH($B246,Scenarios!$B$121:$B$200,0))</f>
        <v>0</v>
      </c>
      <c r="H246" s="475">
        <f>INDEX(Input!$1:$1048576,H$93,$C246*2+MIN($B246,2)+5)
+INDEX(Scenarios!H$121:H$200,MATCH($B246,Scenarios!$B$121:$B$200,0))</f>
        <v>0</v>
      </c>
      <c r="I246" s="476">
        <f>INDEX(Input!$1:$1048576,I$93,$C246*2+MIN($B246,2)+5)</f>
        <v>0.7</v>
      </c>
      <c r="J246" s="476" t="str">
        <f>INDEX(Input!$1:$1048576,J$93,$C246*2+MIN($B246,2)+5)</f>
        <v>Market</v>
      </c>
      <c r="K246" s="476" t="str">
        <f>INDEX(Input!$1:$1048576,K$93,$C246*2+MIN($B246,2)+5)</f>
        <v>Market</v>
      </c>
      <c r="L246" s="476" t="str">
        <f>INDEX(Input!$1:$1048576,L$93,$C246*2+MIN($B246,2)+5)</f>
        <v>Market</v>
      </c>
      <c r="M246" s="476" t="str">
        <f>INDEX(Input!$1:$1048576,M$93,$C246*2+MIN($B246,2)+5)</f>
        <v>Market</v>
      </c>
      <c r="N246" s="476" t="str">
        <f>INDEX(Input!$1:$1048576,N$93,$C246*2+MIN($B246,2)+5)</f>
        <v>Market</v>
      </c>
      <c r="O246" s="476" t="str">
        <f>INDEX(Input!$1:$1048576,O$93,$C246*2+MIN($B246,2)+5)</f>
        <v>Market</v>
      </c>
      <c r="P246" s="476" t="str">
        <f>INDEX(Input!$1:$1048576,P$93,$C246*2+MIN($B246,2)+5)</f>
        <v>N</v>
      </c>
      <c r="Q246" s="477">
        <f>INDEX(Input!$1:$1048576,Q$93,$C246*2+MIN($B246,2)+5)
+INDEX(Scenarios!Q$121:Q$200,MATCH($B246,Scenarios!$B$121:$B$200,0))</f>
        <v>0</v>
      </c>
      <c r="R246" s="478">
        <f>IFERROR(MAX(0,INDEX(Input!$1:$1048576,R$93,$C246*2+MIN($B246,2)+5)
+INDEX(Scenarios!R$121:R$200,MATCH($B246,Scenarios!$B$121:$B$200,0)),),"Market")</f>
        <v>0</v>
      </c>
      <c r="S246" s="478">
        <f>IFERROR(MAX(0,INDEX(Input!$1:$1048576,S$93,$C246*2+MIN($B246,2)+5)
+INDEX(Scenarios!S$121:S$200,MATCH($B246,Scenarios!$B$121:$B$200,0)),),"Market")</f>
        <v>0</v>
      </c>
      <c r="T246" s="478">
        <f>IFERROR(MAX(0,INDEX(Input!$1:$1048576,T$93,$C246*2+MIN($B246,2)+5)
+INDEX(Scenarios!T$121:T$200,MATCH($B246,Scenarios!$B$121:$B$200,0)),),"Market")</f>
        <v>0</v>
      </c>
      <c r="U246" s="478">
        <f>IFERROR(MAX(0,INDEX(Input!$1:$1048576,U$93,$C246*2+MIN($B246,2)+5)
+INDEX(Scenarios!U$121:U$200,MATCH($B246,Scenarios!$B$121:$B$200,0)),),"Market")</f>
        <v>0</v>
      </c>
      <c r="V246" s="478">
        <f>IFERROR(MAX(0,INDEX(Input!$1:$1048576,V$93,$C246*2+MIN($B246,2)+5)
+INDEX(Scenarios!V$121:V$200,MATCH($B246,Scenarios!$B$121:$B$200,0)),),"Market")</f>
        <v>0</v>
      </c>
      <c r="W246" s="885">
        <f>IFERROR(MAX(0,INDEX(Input!$1:$1048576,W$93,$C246*2+MIN($B246,2)+5)-0%,),"Market")</f>
        <v>3.9E-2</v>
      </c>
      <c r="X246" s="476" t="str">
        <f>INDEX(Input!$1:$1048576,X$93,$C246*2+MIN($B246,2)+5)</f>
        <v>Y</v>
      </c>
      <c r="Y246" s="475">
        <f>INDEX(Input!$1:$1048576,Y$93,$C246*2+MIN($B246,2)+5)
++INDEX(Scenarios!Y$121:Y$200,MATCH($B246,Scenarios!$B$121:$B$200,0))</f>
        <v>416</v>
      </c>
      <c r="Z246" s="477">
        <f>INDEX(Input!$1:$1048576,Z$93,$C246*2+MIN($B246,2)+5)
+INDEX(Scenarios!Z$121:Z$200,MATCH($B246,Scenarios!$B$121:$B$200,0))</f>
        <v>0</v>
      </c>
      <c r="AA246" s="475">
        <f>INDEX(Input!$1:$1048576,AA$93,$C246*2+MIN($B246,2)+5)
+INDEX(Scenarios!AA$121:AA$200,MATCH($B246,Scenarios!$B$121:$B$200,0))</f>
        <v>0</v>
      </c>
      <c r="AB246" s="476">
        <f>INDEX(Input!$1:$1048576,AB$93,$C246*2+MIN($B246,2)+5)</f>
        <v>0.27</v>
      </c>
      <c r="AC246" s="475">
        <f>INDEX(Input!$1:$1048576,AC$93,$C246*2+MIN($B246,2)+5)
+INDEX(Scenarios!AC$121:AC$200,MATCH($B246,Scenarios!$B$121:$B$200,0))</f>
        <v>0</v>
      </c>
      <c r="AD246" s="476">
        <f>INDEX(Input!$1:$1048576,AD$93,$C246*2+MIN($B246,2)+5)</f>
        <v>0.27</v>
      </c>
      <c r="AE246" s="475">
        <f>INDEX(Input!$1:$1048576,AE$93,$C246*2+MIN($B246,2)+5)
+INDEX(Scenarios!AE$121:AE$200,MATCH($B246,Scenarios!$B$121:$B$200,0))</f>
        <v>0</v>
      </c>
      <c r="AF246" s="476">
        <f>INDEX(Input!$1:$1048576,AF$93,$C246*2+MIN($B246,2)+5)</f>
        <v>4.8000000000000001E-2</v>
      </c>
      <c r="AG246" s="475">
        <f>INDEX(Input!$1:$1048576,AG$93,$C246*2+MIN($B246,2)+5)
+INDEX(Scenarios!AG$121:AG$200,MATCH($B246,Scenarios!$B$121:$B$200,0))</f>
        <v>500</v>
      </c>
      <c r="AH246" s="476">
        <f>INDEX(Input!$1:$1048576,AH$93,$C246*2+MIN($B246,2)+5)</f>
        <v>0.94599999999999995</v>
      </c>
      <c r="AI246" s="475">
        <f>INDEX(Input!$1:$1048576,AI$93,$C246*2+MIN($B246,2)+5)
+INDEX(Scenarios!AI$121:AI$200,MATCH($B246,Scenarios!$B$121:$B$200,0))</f>
        <v>0</v>
      </c>
      <c r="AJ246" s="476">
        <f>INDEX(Input!$1:$1048576,AJ$93,$C246*2+MIN($B246,2)+5)</f>
        <v>0.27</v>
      </c>
      <c r="AK246" s="150">
        <f>ROUND(INDEX(Input!$1:$1048576,AK$93,$C245*2+MIN($B246,1)+5)+(Y246-VLOOKUP($C246*1000+1,$A:$HH,Y$92,FALSE)),0)</f>
        <v>3337</v>
      </c>
      <c r="AL246" s="150">
        <f>ROUND(INDEX(Input!$1:$1048576,AL$93,$C245*2+MIN($B246,1)+5)-(Y246-VLOOKUP($C246*1000+1,$A:$HH,Y$92,FALSE))/36,0)</f>
        <v>3385</v>
      </c>
      <c r="AM246" s="32" t="str">
        <f t="shared" si="663"/>
        <v>std/std/std/std</v>
      </c>
      <c r="AN246" s="32" t="str">
        <f t="shared" si="664"/>
        <v>$0 + 0/0/0/0/3.9</v>
      </c>
      <c r="AO246" s="32" t="str">
        <f t="shared" si="665"/>
        <v>0/0/0/0/3.9</v>
      </c>
      <c r="AP246" s="32" t="str">
        <f t="shared" si="734"/>
        <v>0/0/0/3.9</v>
      </c>
      <c r="AQ246" s="536">
        <f t="shared" si="733"/>
        <v>0.3023103834250348</v>
      </c>
      <c r="AR246" s="32"/>
      <c r="AS246" s="302"/>
      <c r="AT246" s="3">
        <f t="shared" si="717"/>
        <v>46</v>
      </c>
      <c r="AU246" s="41" t="s">
        <v>121</v>
      </c>
      <c r="AV246" s="41" t="s">
        <v>116</v>
      </c>
      <c r="AW246" s="41" t="str">
        <f>INDEX(Input!$1:$1048576,AW$93,$C246*2+6)</f>
        <v>Kia</v>
      </c>
      <c r="AX246" s="41" t="str">
        <f>INDEX(Input!$1:$1048576,AX$93,$C246*2+6)</f>
        <v>Kia-LR - L2</v>
      </c>
      <c r="AY246" s="41" t="str">
        <f>IF(LEN(D246)=0,"",INDEX(Input!$1:$1048576,AY$93,$C246*2+6))</f>
        <v>Compact SUV (52)</v>
      </c>
      <c r="AZ246" s="41" t="str">
        <f>INDEX(Input!$1:$1048576,AZ$93,$C246*2+6)</f>
        <v>Kia Soul</v>
      </c>
      <c r="BA246" s="3">
        <f>INDEX(Input!$1:$1048576,BA$93,$C246*2+6)</f>
        <v>2020</v>
      </c>
      <c r="BB246" s="128">
        <f>INDEX(Input!$1:$1048576,BB$93,$C246*2+6)</f>
        <v>1</v>
      </c>
      <c r="BC246" s="128">
        <f>INDEX(Input!$1:$1048576,BC$93,$C246*2+6)</f>
        <v>0.7</v>
      </c>
      <c r="BD246" s="1">
        <f>INDEX(Input!$1:$1048576,BD$93,$C246*2+6)</f>
        <v>4.4999999999999998E-2</v>
      </c>
      <c r="BE246" s="1">
        <f>INDEX(Input!$1:$1048576,BE$93,$C246*2+6)</f>
        <v>4.4999999999999998E-2</v>
      </c>
      <c r="BF246" s="1">
        <f>INDEX(Input!$1:$1048576,BF$93,$C246*2+6)</f>
        <v>0.05</v>
      </c>
      <c r="BG246" s="1">
        <f>INDEX(Input!$1:$1048576,BG$93,$C246*2+6)</f>
        <v>5.45E-2</v>
      </c>
      <c r="BH246" s="1">
        <f>INDEX(Input!$1:$1048576,BH$93,$C246*2+6)</f>
        <v>5.45E-2</v>
      </c>
      <c r="BI246" s="1">
        <f>INDEX(Input!$1:$1048576,BI$93,$C246*2+6)</f>
        <v>0.05</v>
      </c>
      <c r="BJ246" s="1">
        <f>INDEX(Input!$1:$1048576,BJ$93,$C246*2+6)</f>
        <v>0.05</v>
      </c>
      <c r="BK246" s="1">
        <f>INDEX(Input!$1:$1048576,BK$93,$C246*2+6)</f>
        <v>0.05</v>
      </c>
      <c r="BL246" s="1">
        <f>INDEX(Input!$1:$1048576,BL$93,$C246*2+6)</f>
        <v>5.5E-2</v>
      </c>
      <c r="BM246" s="1">
        <f>INDEX(Input!$1:$1048576,BM$93,$C246*2+6)</f>
        <v>0.06</v>
      </c>
      <c r="BN246" s="1">
        <f>INDEX(Input!$1:$1048576,BN$93,$C246*2+6)</f>
        <v>4.4999999999999998E-2</v>
      </c>
      <c r="BO246" s="1">
        <f>INDEX(Input!$1:$1048576,BO$93,$C246*2+6)</f>
        <v>4.4999999999999998E-2</v>
      </c>
      <c r="BP246" s="1">
        <f>INDEX(Input!$1:$1048576,BP$93,$C246*2+6)</f>
        <v>0.05</v>
      </c>
      <c r="BQ246" s="1">
        <f>INDEX(Input!$1:$1048576,BQ$93,$C246*2+6)</f>
        <v>5.45E-2</v>
      </c>
      <c r="BR246" s="1">
        <f>INDEX(Input!$1:$1048576,BR$93,$C246*2+6)</f>
        <v>5.45E-2</v>
      </c>
      <c r="BS246" s="1">
        <f>INDEX(Input!$1:$1048576,BS$93,$C246*2+6)</f>
        <v>0.05</v>
      </c>
      <c r="BT246" s="1">
        <f>INDEX(Input!$1:$1048576,BT$93,$C246*2+6)</f>
        <v>0.05</v>
      </c>
      <c r="BU246" s="1">
        <f>INDEX(Input!$1:$1048576,BU$93,$C246*2+6)</f>
        <v>0.05</v>
      </c>
      <c r="BV246" s="1">
        <f>INDEX(Input!$1:$1048576,BV$93,$C246*2+6)</f>
        <v>5.5E-2</v>
      </c>
      <c r="BW246" s="1">
        <f>INDEX(Input!$1:$1048576,BW$93,$C246*2+6)</f>
        <v>0.06</v>
      </c>
      <c r="BX246" s="127">
        <f>INDEX(Input!$1:$1048576,BX$93,$C246*2+6)</f>
        <v>19985</v>
      </c>
      <c r="BY246" s="20">
        <f>INDEX(Input!$1:$1048576,BY$93,$C246*2+6)</f>
        <v>0.1</v>
      </c>
      <c r="BZ246" s="20">
        <f>INDEX(Input!$1:$1048576,BZ$93,$C246*2+6)</f>
        <v>0.1</v>
      </c>
      <c r="CA246" s="20">
        <f>INDEX(Input!$1:$1048576,CA$93,$C246*2+6)</f>
        <v>0.1</v>
      </c>
      <c r="CB246" s="20">
        <f>INDEX(Input!$1:$1048576,CB$93,$C246*2+6)</f>
        <v>0.1</v>
      </c>
      <c r="CC246" s="20">
        <f>INDEX(Input!$1:$1048576,CC$93,$C246*2+6)</f>
        <v>0.1</v>
      </c>
      <c r="CD246" s="384">
        <f>INDEX(Input!$1:$1048576,CD$93,$C246*2+6)</f>
        <v>0.1</v>
      </c>
      <c r="CE246" s="384">
        <f>INDEX(Input!$1:$1048576,CE$93,$C246*2+6)</f>
        <v>0.1</v>
      </c>
      <c r="CF246" s="384">
        <f>INDEX(Input!$1:$1048576,CF$93,$C246*2+6)</f>
        <v>0.1</v>
      </c>
      <c r="CG246" s="384">
        <f>INDEX(Input!$1:$1048576,CG$93,$C246*2+6)</f>
        <v>0.1</v>
      </c>
      <c r="CH246" s="384">
        <f>INDEX(Input!$1:$1048576,CH$93,$C246*2+6)</f>
        <v>0.1</v>
      </c>
      <c r="CI246" s="304">
        <f t="shared" si="735"/>
        <v>1269.7618664521319</v>
      </c>
      <c r="CJ246" s="16" t="str">
        <f>INDEX(Input!$1:$1048576,CJ$93,$C246*2+6)</f>
        <v>N</v>
      </c>
      <c r="CK246" s="1" t="str">
        <f t="shared" si="736"/>
        <v>Market</v>
      </c>
      <c r="CL246" s="1" t="str">
        <f t="shared" si="737"/>
        <v>Market</v>
      </c>
      <c r="CM246" s="1" t="str">
        <f t="shared" si="738"/>
        <v>Market</v>
      </c>
      <c r="CN246" s="1" t="str">
        <f t="shared" si="739"/>
        <v>Market</v>
      </c>
      <c r="CO246" s="1" t="str">
        <f t="shared" si="740"/>
        <v>Market</v>
      </c>
      <c r="CP246" s="304">
        <f t="shared" si="741"/>
        <v>473</v>
      </c>
      <c r="CQ246" s="1">
        <f t="shared" si="742"/>
        <v>0</v>
      </c>
      <c r="CR246" s="1">
        <f t="shared" si="743"/>
        <v>0</v>
      </c>
      <c r="CS246" s="1">
        <f t="shared" si="744"/>
        <v>0</v>
      </c>
      <c r="CT246" s="1">
        <f t="shared" si="745"/>
        <v>0</v>
      </c>
      <c r="CU246" s="1">
        <f t="shared" si="746"/>
        <v>3.9E-2</v>
      </c>
      <c r="CV246" s="304">
        <f t="shared" si="747"/>
        <v>416</v>
      </c>
      <c r="CW246" s="20" t="s">
        <v>122</v>
      </c>
      <c r="CX246" s="20" t="s">
        <v>122</v>
      </c>
      <c r="CY246" s="20" t="s">
        <v>122</v>
      </c>
      <c r="CZ246" s="20" t="s">
        <v>122</v>
      </c>
      <c r="DA246" s="20" t="s">
        <v>122</v>
      </c>
      <c r="DB246" s="503">
        <f t="shared" si="748"/>
        <v>0</v>
      </c>
      <c r="DC246" s="127">
        <v>0</v>
      </c>
      <c r="DD246" s="127">
        <v>0</v>
      </c>
      <c r="DE246" s="127">
        <v>0</v>
      </c>
      <c r="DF246" s="127">
        <v>0</v>
      </c>
      <c r="DG246" s="127">
        <v>0</v>
      </c>
      <c r="DH246" s="127">
        <v>0</v>
      </c>
      <c r="DI246" s="127">
        <v>0</v>
      </c>
      <c r="DJ246" s="127">
        <v>0</v>
      </c>
      <c r="DK246" s="127">
        <v>0</v>
      </c>
      <c r="DL246" s="127">
        <v>0</v>
      </c>
      <c r="DM246" s="304">
        <f>INDEX(Input!$1:$1048576,DM$93,$C246*2+6)</f>
        <v>21036.84210526316</v>
      </c>
      <c r="DN246" s="20">
        <v>0</v>
      </c>
      <c r="DO246" s="20">
        <v>0</v>
      </c>
      <c r="DP246" s="20">
        <v>0</v>
      </c>
      <c r="DQ246" s="20">
        <v>0</v>
      </c>
      <c r="DR246" s="20">
        <v>0</v>
      </c>
      <c r="DS246" s="20">
        <f>INDEX(Input!$1:$1048576,DS$93,$C246*2+6)</f>
        <v>0.6</v>
      </c>
      <c r="DT246" s="20">
        <f>INDEX(Input!$1:$1048576,DT$93,$C246*2+6)</f>
        <v>0.55000000000000004</v>
      </c>
      <c r="DU246" s="20">
        <f>INDEX(Input!$1:$1048576,DU$93,$C246*2+6)</f>
        <v>0.52</v>
      </c>
      <c r="DV246" s="20">
        <f>INDEX(Input!$1:$1048576,DV$93,$C246*2+6)</f>
        <v>0.5</v>
      </c>
      <c r="DW246" s="20">
        <f>INDEX(Input!$1:$1048576,DW$93,$C246*2+6)</f>
        <v>0.45</v>
      </c>
      <c r="DX246" s="20"/>
      <c r="DY246" s="7">
        <v>8.5898528583224054E-2</v>
      </c>
      <c r="DZ246" s="7">
        <v>0</v>
      </c>
      <c r="EA246" s="7">
        <v>0.60875452493625459</v>
      </c>
      <c r="EB246" s="7">
        <v>0</v>
      </c>
      <c r="EC246" s="7">
        <v>0</v>
      </c>
      <c r="ED246" s="7">
        <v>0</v>
      </c>
      <c r="EE246" s="7">
        <v>0</v>
      </c>
      <c r="EF246" s="7">
        <v>0</v>
      </c>
      <c r="EG246" s="7">
        <v>0</v>
      </c>
      <c r="EH246" s="7">
        <v>8.7631754919373188E-3</v>
      </c>
      <c r="EI246" s="7">
        <v>2.4938446614942919E-2</v>
      </c>
      <c r="EJ246" s="7">
        <v>0.18880751019271103</v>
      </c>
      <c r="EK246" s="7">
        <v>0.7091278791571356</v>
      </c>
      <c r="EL246" s="7">
        <v>6.8362988543273398E-2</v>
      </c>
      <c r="EM246" s="7">
        <v>8.658211692872958E-2</v>
      </c>
      <c r="EN246" s="7">
        <v>6.6806408336268969E-2</v>
      </c>
      <c r="EO246" s="7">
        <v>0.74266183419665577</v>
      </c>
      <c r="EP246" s="7">
        <v>8.2288275422082863E-2</v>
      </c>
      <c r="EQ246" s="7">
        <v>7.017747036437777E-2</v>
      </c>
      <c r="ER246" s="7">
        <v>3.8066011680614908E-2</v>
      </c>
      <c r="ES246" s="7">
        <v>0.2187648295517918</v>
      </c>
      <c r="ET246" s="7">
        <v>0.30534694648052146</v>
      </c>
      <c r="EU246" s="6">
        <v>1294</v>
      </c>
      <c r="EV246" s="6">
        <v>0</v>
      </c>
      <c r="EW246" s="6">
        <v>1294</v>
      </c>
      <c r="EX246" s="6">
        <v>0</v>
      </c>
      <c r="EY246" s="6">
        <v>2698.1245572039279</v>
      </c>
      <c r="EZ246" s="6">
        <v>1306</v>
      </c>
      <c r="FA246" s="6">
        <v>0</v>
      </c>
      <c r="FB246" s="6">
        <v>0</v>
      </c>
      <c r="FC246" s="6">
        <v>0</v>
      </c>
      <c r="FD246" s="6">
        <v>0</v>
      </c>
      <c r="FE246" s="6">
        <v>0</v>
      </c>
      <c r="FF246" s="6">
        <v>0</v>
      </c>
      <c r="FG246" s="6">
        <v>0</v>
      </c>
      <c r="FH246" s="6">
        <v>1173.7297066369165</v>
      </c>
      <c r="FI246" s="6">
        <v>1553.9796069512392</v>
      </c>
      <c r="FJ246" s="6">
        <v>2101.2110117447401</v>
      </c>
      <c r="FK246" s="6">
        <v>2674.2006261592255</v>
      </c>
      <c r="FL246" s="6">
        <v>907.07682140966324</v>
      </c>
      <c r="FM246" s="6">
        <v>2404.1245572039279</v>
      </c>
      <c r="FN246" s="6">
        <v>0</v>
      </c>
      <c r="FO246" s="6">
        <v>0</v>
      </c>
      <c r="FP246" s="6">
        <v>0</v>
      </c>
      <c r="FQ246" s="6">
        <v>0</v>
      </c>
      <c r="FR246" s="6">
        <v>0</v>
      </c>
      <c r="FS246" s="6">
        <v>0</v>
      </c>
      <c r="FT246" s="7">
        <v>0.69465305351947859</v>
      </c>
      <c r="FU246" s="7">
        <v>8.658211692872958E-2</v>
      </c>
      <c r="FV246" s="7">
        <v>0.2187648295517918</v>
      </c>
      <c r="FW246" s="6">
        <v>1294</v>
      </c>
      <c r="FX246" s="6">
        <v>2698.1245572039279</v>
      </c>
      <c r="FY246" s="6">
        <v>1306</v>
      </c>
      <c r="FZ246" s="6">
        <v>1817.4615072224267</v>
      </c>
      <c r="GA246" s="6">
        <v>1418.1972545489525</v>
      </c>
      <c r="GB246" s="6">
        <v>18566.802745451048</v>
      </c>
      <c r="GC246" s="7">
        <v>1.804905384453976E-2</v>
      </c>
      <c r="GD246" s="7">
        <v>1.7486696353772375E-2</v>
      </c>
      <c r="GE246" s="7"/>
      <c r="GF246" s="7"/>
      <c r="GG246" s="7">
        <v>-3.1157172869618877E-2</v>
      </c>
      <c r="GH246" s="42">
        <v>1.5595588526393058</v>
      </c>
      <c r="GI246" s="6">
        <v>14232.718467505139</v>
      </c>
      <c r="GJ246" s="14">
        <v>0.50394797582841733</v>
      </c>
      <c r="GK246" s="14">
        <v>0.50887573065309766</v>
      </c>
      <c r="GL246" s="14">
        <v>0.49605202417158301</v>
      </c>
      <c r="GM246" s="14">
        <v>0.49112426934690229</v>
      </c>
      <c r="GO246" s="5">
        <v>343.14810671672558</v>
      </c>
      <c r="GP246" s="5">
        <v>318.46105531198077</v>
      </c>
      <c r="GQ246" s="5">
        <v>535.04305713031317</v>
      </c>
      <c r="GR246" s="5">
        <v>410.15490233172511</v>
      </c>
      <c r="GS246" s="5">
        <v>339.42744393800166</v>
      </c>
      <c r="GT246" s="5">
        <v>293.4407446948278</v>
      </c>
      <c r="GU246" s="5">
        <v>258.04012322764959</v>
      </c>
      <c r="GV246" s="39" t="s">
        <v>392</v>
      </c>
      <c r="GW246" s="5">
        <v>491.45833333333331</v>
      </c>
      <c r="GX246" s="5">
        <v>368.59375</v>
      </c>
      <c r="GY246" s="5">
        <v>294.875</v>
      </c>
      <c r="GZ246" s="5">
        <v>245.72916666666666</v>
      </c>
      <c r="HA246" s="5">
        <v>241.02179695997205</v>
      </c>
      <c r="HB246" s="39">
        <v>259.90387889666465</v>
      </c>
      <c r="HC246" s="5">
        <v>230.14687499999999</v>
      </c>
      <c r="HD246" s="5">
        <v>200.80677997076018</v>
      </c>
      <c r="HE246" s="5">
        <v>204.75485408232115</v>
      </c>
      <c r="HF246" s="5">
        <v>190.70750548245613</v>
      </c>
      <c r="HG246" s="5">
        <v>185.59971491228069</v>
      </c>
      <c r="HH246" s="39">
        <v>201.80415269753888</v>
      </c>
      <c r="HI246" s="16"/>
      <c r="HJ246" s="19" t="str">
        <f t="shared" si="753"/>
        <v>On</v>
      </c>
      <c r="HK246" s="1" t="str">
        <f t="shared" si="753"/>
        <v>On</v>
      </c>
      <c r="HL246" s="16"/>
      <c r="HM246" s="639">
        <f t="shared" si="634"/>
        <v>1.2768706344444866E-2</v>
      </c>
      <c r="HN246" s="639">
        <f t="shared" si="635"/>
        <v>9.795534288915453E-4</v>
      </c>
      <c r="HO246" s="639">
        <f t="shared" si="636"/>
        <v>3.3583061774515237E-3</v>
      </c>
      <c r="HP246" s="644">
        <f>(FT246*$GD246-HM246)/$JF246*INDEX(Input!$1:$1048576,$JG$93,$C246*2+6)</f>
        <v>-45.160935564119129</v>
      </c>
      <c r="HQ246" s="644">
        <f>(FU246*$GD246-HN246)/$JF246*INDEX(Input!$1:$1048576,$JG$93,$C246*2+6)</f>
        <v>38.836598121424728</v>
      </c>
      <c r="HR246" s="644">
        <f>(FV246*$GD246-HO246)/$JF246*INDEX(Input!$1:$1048576,$JG$93,$C246*2+6)</f>
        <v>33.945432890427767</v>
      </c>
      <c r="HS246" s="644">
        <f t="shared" si="754"/>
        <v>-3.3717798424321388</v>
      </c>
      <c r="HT246" s="644">
        <f t="shared" si="638"/>
        <v>55.201108949720762</v>
      </c>
      <c r="HU246" s="644">
        <f t="shared" si="639"/>
        <v>8.8544417670778977</v>
      </c>
      <c r="HV246" s="648">
        <f t="shared" si="640"/>
        <v>0</v>
      </c>
      <c r="HW246" s="648">
        <f t="shared" si="641"/>
        <v>0</v>
      </c>
      <c r="HX246" s="648">
        <f t="shared" si="642"/>
        <v>0</v>
      </c>
      <c r="HY246" s="644">
        <f>INDEX(Input!$1:$1048576,HY$93,$C246*2+6)*INDEX(Input!$1:$1048576,$JG$93,$C246*2+6)</f>
        <v>451</v>
      </c>
      <c r="HZ246" s="644">
        <f>INDEX(Input!$1:$1048576,HZ$93,$C246*2+6)*INDEX(Input!$1:$1048576,$JG$93,$C246*2+6)</f>
        <v>577</v>
      </c>
      <c r="IA246" s="644">
        <f>INDEX(Input!$1:$1048576,IA$93,$C246*2+6)*INDEX(Input!$1:$1048576,$JG$93,$C246*2+6)</f>
        <v>215</v>
      </c>
      <c r="IB246" s="644">
        <f t="shared" si="666"/>
        <v>402.46728459344871</v>
      </c>
      <c r="IC246" s="644">
        <f t="shared" si="667"/>
        <v>671.03770707114541</v>
      </c>
      <c r="ID246" s="644">
        <f>IF(AND(INDEX(Input!$1:$1048576,IA$93,$C246*2+7)="TOS",Y246&lt;=INDEX(Y:Y,MATCH(C246*1000+2,A:A))),0,1)*MAX(IA246+HR246+HU246+HX246,0%)</f>
        <v>257.79987465750565</v>
      </c>
      <c r="IE246" s="128">
        <f t="shared" si="759"/>
        <v>0.3023103834250348</v>
      </c>
      <c r="IF246" s="128">
        <f t="shared" si="643"/>
        <v>0.50404510946089531</v>
      </c>
      <c r="IG246" s="128">
        <f t="shared" si="644"/>
        <v>0.19364450711406986</v>
      </c>
      <c r="IH246" s="21"/>
      <c r="II246" s="19">
        <f t="shared" si="645"/>
        <v>1252</v>
      </c>
      <c r="IJ246" s="19">
        <f t="shared" si="646"/>
        <v>2011.9658773055378</v>
      </c>
      <c r="IK246" s="19">
        <f t="shared" si="647"/>
        <v>919</v>
      </c>
      <c r="IL246" s="19">
        <f t="shared" si="669"/>
        <v>42</v>
      </c>
      <c r="IM246" s="19">
        <f t="shared" si="648"/>
        <v>686.15867989839012</v>
      </c>
      <c r="IN246" s="19">
        <f t="shared" si="649"/>
        <v>387</v>
      </c>
      <c r="IO246" s="39">
        <f t="shared" si="650"/>
        <v>0</v>
      </c>
      <c r="IP246" s="39">
        <f t="shared" si="651"/>
        <v>0</v>
      </c>
      <c r="IQ246" s="39">
        <f t="shared" si="652"/>
        <v>0</v>
      </c>
      <c r="IR246" s="39">
        <v>0</v>
      </c>
      <c r="IS246" s="39">
        <v>0</v>
      </c>
      <c r="IT246" s="39">
        <v>0</v>
      </c>
      <c r="IU246" s="39">
        <v>0</v>
      </c>
      <c r="IV246" s="39">
        <v>0</v>
      </c>
      <c r="IW246" s="39">
        <v>0</v>
      </c>
      <c r="IX246" s="39">
        <f>INDEX(Input!$1:$1048576,IX$93,$C246*2+6)+INDEX(Input!$1:$1048576,IX$94,$C246*2+6)</f>
        <v>1294</v>
      </c>
      <c r="IY246" s="39">
        <f>INDEX(Input!$1:$1048576,IY$93,$C246*2+6)+INDEX(Input!$1:$1048576,IY$94,$C246*2+6)</f>
        <v>2154.0624533823611</v>
      </c>
      <c r="IZ246" s="39">
        <f>INDEX(Input!$1:$1048576,IZ$93,$C246*2+6)+INDEX(Input!$1:$1048576,IZ$94,$C246*2+6)</f>
        <v>3677.7164157747848</v>
      </c>
      <c r="JA246" s="19">
        <f t="shared" si="670"/>
        <v>1336</v>
      </c>
      <c r="JB246" s="19">
        <f t="shared" si="671"/>
        <v>2840.221133280751</v>
      </c>
      <c r="JC246" s="19">
        <f t="shared" si="672"/>
        <v>4064.7164157747848</v>
      </c>
      <c r="JD246" s="19">
        <f t="shared" si="673"/>
        <v>2622.5962511646676</v>
      </c>
      <c r="JE246" s="21"/>
      <c r="JF246" s="1">
        <f t="shared" si="653"/>
        <v>1.7106565950787935E-2</v>
      </c>
      <c r="JG246" s="15">
        <f>INDEX(Input!$1:$1048576,JG$93,$C246*2+6)/(1+VLOOKUP(C246*1000+INDEX(Input!$1:$1048576,JG$93+1,$C246*2+6),$A:$KK,$JK$92,FALSE))</f>
        <v>1243</v>
      </c>
      <c r="JH246" s="1">
        <f t="shared" si="674"/>
        <v>2.2221315726253715E-2</v>
      </c>
      <c r="JI246" s="1">
        <f t="shared" si="675"/>
        <v>4.8820411001099372E-2</v>
      </c>
      <c r="JJ246" s="1">
        <f t="shared" si="731"/>
        <v>0</v>
      </c>
      <c r="JK246" s="1">
        <f t="shared" si="732"/>
        <v>7.1041726727353094E-2</v>
      </c>
      <c r="JL246" s="15">
        <f t="shared" si="678"/>
        <v>88.304866322099898</v>
      </c>
      <c r="JM246" s="15">
        <f t="shared" si="702"/>
        <v>1331.3048663221</v>
      </c>
      <c r="JN246" s="21"/>
      <c r="JO246" s="19">
        <f>INDEX(Input!$1:$1048576,JO$93,$C246*2+6)</f>
        <v>5995.5</v>
      </c>
      <c r="JP246" s="19">
        <f>INDEX(Input!$1:$1048576,JP$93,$C246*2+6)</f>
        <v>2105.548724853742</v>
      </c>
      <c r="JQ246" s="39">
        <f t="shared" si="688"/>
        <v>3372.9037488353324</v>
      </c>
      <c r="JR246" s="39">
        <f t="shared" si="705"/>
        <v>517.0475263109256</v>
      </c>
      <c r="JS246" s="39">
        <f t="shared" si="690"/>
        <v>3.4914751515736184</v>
      </c>
      <c r="JT246" s="39">
        <f t="shared" si="680"/>
        <v>0.87427808658041717</v>
      </c>
      <c r="JU246" s="385">
        <f>(JQ246*JM246-INDEX(Input!$1:$1048576,Input!A$18,$C246*2+6)*JL246*INDEX(Input!$1:$1048576,Input!A$19,$C246*2+6))/1000000</f>
        <v>4.4903631744605326</v>
      </c>
      <c r="JV246" s="39">
        <f t="shared" si="712"/>
        <v>-0.34484626054626588</v>
      </c>
      <c r="JW246" s="1">
        <f t="shared" si="703"/>
        <v>-7.131981875481698E-2</v>
      </c>
      <c r="JX246" s="19">
        <f t="shared" si="694"/>
        <v>9900.6784449614552</v>
      </c>
      <c r="JZ246" s="341"/>
      <c r="KA246" s="342"/>
      <c r="KB246" s="469">
        <f t="shared" si="691"/>
        <v>2.5660492421988774</v>
      </c>
      <c r="KI246" s="473">
        <f t="shared" si="756"/>
        <v>-48.532715406551233</v>
      </c>
      <c r="KJ246" s="473">
        <f t="shared" si="757"/>
        <v>94.037707071145519</v>
      </c>
      <c r="KK246" s="473">
        <f t="shared" si="682"/>
        <v>42.799874657505711</v>
      </c>
      <c r="KN246" s="544">
        <f t="shared" si="695"/>
        <v>2002</v>
      </c>
      <c r="KO246" s="541">
        <f t="shared" si="657"/>
        <v>6.473142061033732E-2</v>
      </c>
      <c r="KP246" s="546">
        <f t="shared" si="658"/>
        <v>394.39648197330087</v>
      </c>
      <c r="KQ246" s="546">
        <f t="shared" si="659"/>
        <v>478.91591173119468</v>
      </c>
      <c r="KR246" s="548">
        <f t="shared" si="660"/>
        <v>2.9282562598258539</v>
      </c>
      <c r="KS246" s="548">
        <f t="shared" si="661"/>
        <v>2.4114754571776058</v>
      </c>
      <c r="KT246" s="473">
        <f t="shared" si="693"/>
        <v>843.26993010479111</v>
      </c>
      <c r="KU246" s="663">
        <f t="shared" si="683"/>
        <v>4.4102330999461676</v>
      </c>
      <c r="KV246" s="117"/>
    </row>
    <row r="247" spans="1:308" s="26" customFormat="1" ht="15">
      <c r="A247" s="561">
        <f t="shared" si="662"/>
        <v>2047</v>
      </c>
      <c r="B247" s="561">
        <f t="shared" si="684"/>
        <v>47</v>
      </c>
      <c r="C247" s="561">
        <f t="shared" si="105"/>
        <v>2</v>
      </c>
      <c r="D247" s="561" t="str">
        <f t="shared" si="728"/>
        <v xml:space="preserve">250 CC, -360 Lease, </v>
      </c>
      <c r="E247" s="475">
        <f>INDEX(Input!$1:$1048576,E$93,$C247*2+MIN($B247,2)+5)
+INDEX(Scenarios!E$121:E$200,MATCH($B247,Scenarios!$B$121:$B$200,0))</f>
        <v>1519.7618664521319</v>
      </c>
      <c r="F247" s="475">
        <f>INDEX(Input!$1:$1048576,F$93,$C247*2+MIN($B247,2)+5)
+INDEX(Scenarios!F$121:F$200,MATCH($B247,Scenarios!$B$121:$B$200,0))</f>
        <v>0</v>
      </c>
      <c r="G247" s="475">
        <f>INDEX(Input!$1:$1048576,G$93,$C247*2+MIN($B247,2)+5)
+INDEX(Scenarios!G$121:G$200,MATCH($B247,Scenarios!$B$121:$B$200,0))</f>
        <v>0</v>
      </c>
      <c r="H247" s="475">
        <f>INDEX(Input!$1:$1048576,H$93,$C247*2+MIN($B247,2)+5)
+INDEX(Scenarios!H$121:H$200,MATCH($B247,Scenarios!$B$121:$B$200,0))</f>
        <v>0</v>
      </c>
      <c r="I247" s="476">
        <f>INDEX(Input!$1:$1048576,I$93,$C247*2+MIN($B247,2)+5)</f>
        <v>0.7</v>
      </c>
      <c r="J247" s="476" t="str">
        <f>INDEX(Input!$1:$1048576,J$93,$C247*2+MIN($B247,2)+5)</f>
        <v>Market</v>
      </c>
      <c r="K247" s="476" t="str">
        <f>INDEX(Input!$1:$1048576,K$93,$C247*2+MIN($B247,2)+5)</f>
        <v>Market</v>
      </c>
      <c r="L247" s="476" t="str">
        <f>INDEX(Input!$1:$1048576,L$93,$C247*2+MIN($B247,2)+5)</f>
        <v>Market</v>
      </c>
      <c r="M247" s="476" t="str">
        <f>INDEX(Input!$1:$1048576,M$93,$C247*2+MIN($B247,2)+5)</f>
        <v>Market</v>
      </c>
      <c r="N247" s="476" t="str">
        <f>INDEX(Input!$1:$1048576,N$93,$C247*2+MIN($B247,2)+5)</f>
        <v>Market</v>
      </c>
      <c r="O247" s="476" t="str">
        <f>INDEX(Input!$1:$1048576,O$93,$C247*2+MIN($B247,2)+5)</f>
        <v>Market</v>
      </c>
      <c r="P247" s="476" t="str">
        <f>INDEX(Input!$1:$1048576,P$93,$C247*2+MIN($B247,2)+5)</f>
        <v>N</v>
      </c>
      <c r="Q247" s="477">
        <f>INDEX(Input!$1:$1048576,Q$93,$C247*2+MIN($B247,2)+5)
+INDEX(Scenarios!Q$121:Q$200,MATCH($B247,Scenarios!$B$121:$B$200,0))</f>
        <v>0</v>
      </c>
      <c r="R247" s="478">
        <f>IFERROR(MAX(0,INDEX(Input!$1:$1048576,R$93,$C247*2+MIN($B247,2)+5)
+INDEX(Scenarios!R$121:R$200,MATCH($B247,Scenarios!$B$121:$B$200,0)),),"Market")</f>
        <v>0</v>
      </c>
      <c r="S247" s="478">
        <f>IFERROR(MAX(0,INDEX(Input!$1:$1048576,S$93,$C247*2+MIN($B247,2)+5)
+INDEX(Scenarios!S$121:S$200,MATCH($B247,Scenarios!$B$121:$B$200,0)),),"Market")</f>
        <v>0</v>
      </c>
      <c r="T247" s="478">
        <f>IFERROR(MAX(0,INDEX(Input!$1:$1048576,T$93,$C247*2+MIN($B247,2)+5)
+INDEX(Scenarios!T$121:T$200,MATCH($B247,Scenarios!$B$121:$B$200,0)),),"Market")</f>
        <v>0</v>
      </c>
      <c r="U247" s="478">
        <f>IFERROR(MAX(0,INDEX(Input!$1:$1048576,U$93,$C247*2+MIN($B247,2)+5)
+INDEX(Scenarios!U$121:U$200,MATCH($B247,Scenarios!$B$121:$B$200,0)),),"Market")</f>
        <v>0</v>
      </c>
      <c r="V247" s="478">
        <f>IFERROR(MAX(0,INDEX(Input!$1:$1048576,V$93,$C247*2+MIN($B247,2)+5)
+INDEX(Scenarios!V$121:V$200,MATCH($B247,Scenarios!$B$121:$B$200,0)),),"Market")</f>
        <v>1.9E-2</v>
      </c>
      <c r="W247" s="885">
        <f>IFERROR(MAX(0,INDEX(Input!$1:$1048576,W$93,$C247*2+MIN($B247,2)+5)-0%,),"Market")</f>
        <v>3.9E-2</v>
      </c>
      <c r="X247" s="476" t="str">
        <f>INDEX(Input!$1:$1048576,X$93,$C247*2+MIN($B247,2)+5)</f>
        <v>Y</v>
      </c>
      <c r="Y247" s="475">
        <f>INDEX(Input!$1:$1048576,Y$93,$C247*2+MIN($B247,2)+5)
++INDEX(Scenarios!Y$121:Y$200,MATCH($B247,Scenarios!$B$121:$B$200,0))</f>
        <v>-304</v>
      </c>
      <c r="Z247" s="477">
        <f>INDEX(Input!$1:$1048576,Z$93,$C247*2+MIN($B247,2)+5)
+INDEX(Scenarios!Z$121:Z$200,MATCH($B247,Scenarios!$B$121:$B$200,0))</f>
        <v>0</v>
      </c>
      <c r="AA247" s="475">
        <f>INDEX(Input!$1:$1048576,AA$93,$C247*2+MIN($B247,2)+5)
+INDEX(Scenarios!AA$121:AA$200,MATCH($B247,Scenarios!$B$121:$B$200,0))</f>
        <v>0</v>
      </c>
      <c r="AB247" s="476">
        <f>INDEX(Input!$1:$1048576,AB$93,$C247*2+MIN($B247,2)+5)</f>
        <v>0.27</v>
      </c>
      <c r="AC247" s="475">
        <f>INDEX(Input!$1:$1048576,AC$93,$C247*2+MIN($B247,2)+5)
+INDEX(Scenarios!AC$121:AC$200,MATCH($B247,Scenarios!$B$121:$B$200,0))</f>
        <v>0</v>
      </c>
      <c r="AD247" s="476">
        <f>INDEX(Input!$1:$1048576,AD$93,$C247*2+MIN($B247,2)+5)</f>
        <v>0.27</v>
      </c>
      <c r="AE247" s="475">
        <f>INDEX(Input!$1:$1048576,AE$93,$C247*2+MIN($B247,2)+5)
+INDEX(Scenarios!AE$121:AE$200,MATCH($B247,Scenarios!$B$121:$B$200,0))</f>
        <v>0</v>
      </c>
      <c r="AF247" s="476">
        <f>INDEX(Input!$1:$1048576,AF$93,$C247*2+MIN($B247,2)+5)</f>
        <v>4.8000000000000001E-2</v>
      </c>
      <c r="AG247" s="475">
        <f>INDEX(Input!$1:$1048576,AG$93,$C247*2+MIN($B247,2)+5)
+INDEX(Scenarios!AG$121:AG$200,MATCH($B247,Scenarios!$B$121:$B$200,0))</f>
        <v>500</v>
      </c>
      <c r="AH247" s="476">
        <f>INDEX(Input!$1:$1048576,AH$93,$C247*2+MIN($B247,2)+5)</f>
        <v>0.94599999999999995</v>
      </c>
      <c r="AI247" s="475">
        <f>INDEX(Input!$1:$1048576,AI$93,$C247*2+MIN($B247,2)+5)
+INDEX(Scenarios!AI$121:AI$200,MATCH($B247,Scenarios!$B$121:$B$200,0))</f>
        <v>0</v>
      </c>
      <c r="AJ247" s="476">
        <f>INDEX(Input!$1:$1048576,AJ$93,$C247*2+MIN($B247,2)+5)</f>
        <v>0.27</v>
      </c>
      <c r="AK247" s="150">
        <f>ROUND(INDEX(Input!$1:$1048576,AK$93,$C246*2+MIN($B247,1)+5)+(Y247-VLOOKUP($C247*1000+1,$A:$HH,Y$92,FALSE)),0)</f>
        <v>2617</v>
      </c>
      <c r="AL247" s="150">
        <f>ROUND(INDEX(Input!$1:$1048576,AL$93,$C246*2+MIN($B247,1)+5)-(Y247-VLOOKUP($C247*1000+1,$A:$HH,Y$92,FALSE))/36,0)</f>
        <v>3405</v>
      </c>
      <c r="AM247" s="32" t="str">
        <f t="shared" si="663"/>
        <v>std/std/std/std</v>
      </c>
      <c r="AN247" s="32" t="str">
        <f t="shared" si="664"/>
        <v>$0 + 0/0/0/1.9/3.9</v>
      </c>
      <c r="AO247" s="32" t="str">
        <f t="shared" si="665"/>
        <v>0/0/0/1.9/3.9</v>
      </c>
      <c r="AP247" s="32" t="str">
        <f t="shared" si="734"/>
        <v>0/0.9/1.9/3.9</v>
      </c>
      <c r="AQ247" s="536">
        <f t="shared" si="733"/>
        <v>0.41281128747404888</v>
      </c>
      <c r="AR247" s="32"/>
      <c r="AS247" s="302"/>
      <c r="AT247" s="3">
        <f t="shared" si="717"/>
        <v>47</v>
      </c>
      <c r="AU247" s="41" t="s">
        <v>121</v>
      </c>
      <c r="AV247" s="41" t="s">
        <v>116</v>
      </c>
      <c r="AW247" s="41" t="str">
        <f>INDEX(Input!$1:$1048576,AW$93,$C247*2+6)</f>
        <v>Kia</v>
      </c>
      <c r="AX247" s="41" t="str">
        <f>INDEX(Input!$1:$1048576,AX$93,$C247*2+6)</f>
        <v>Kia-LR - L2</v>
      </c>
      <c r="AY247" s="41" t="str">
        <f>IF(LEN(D247)=0,"",INDEX(Input!$1:$1048576,AY$93,$C247*2+6))</f>
        <v>Compact SUV (52)</v>
      </c>
      <c r="AZ247" s="41" t="str">
        <f>INDEX(Input!$1:$1048576,AZ$93,$C247*2+6)</f>
        <v>Kia Soul</v>
      </c>
      <c r="BA247" s="3">
        <f>INDEX(Input!$1:$1048576,BA$93,$C247*2+6)</f>
        <v>2020</v>
      </c>
      <c r="BB247" s="128">
        <f>INDEX(Input!$1:$1048576,BB$93,$C247*2+6)</f>
        <v>1</v>
      </c>
      <c r="BC247" s="128">
        <f>INDEX(Input!$1:$1048576,BC$93,$C247*2+6)</f>
        <v>0.7</v>
      </c>
      <c r="BD247" s="1">
        <f>INDEX(Input!$1:$1048576,BD$93,$C247*2+6)</f>
        <v>4.4999999999999998E-2</v>
      </c>
      <c r="BE247" s="1">
        <f>INDEX(Input!$1:$1048576,BE$93,$C247*2+6)</f>
        <v>4.4999999999999998E-2</v>
      </c>
      <c r="BF247" s="1">
        <f>INDEX(Input!$1:$1048576,BF$93,$C247*2+6)</f>
        <v>0.05</v>
      </c>
      <c r="BG247" s="1">
        <f>INDEX(Input!$1:$1048576,BG$93,$C247*2+6)</f>
        <v>5.45E-2</v>
      </c>
      <c r="BH247" s="1">
        <f>INDEX(Input!$1:$1048576,BH$93,$C247*2+6)</f>
        <v>5.45E-2</v>
      </c>
      <c r="BI247" s="1">
        <f>INDEX(Input!$1:$1048576,BI$93,$C247*2+6)</f>
        <v>0.05</v>
      </c>
      <c r="BJ247" s="1">
        <f>INDEX(Input!$1:$1048576,BJ$93,$C247*2+6)</f>
        <v>0.05</v>
      </c>
      <c r="BK247" s="1">
        <f>INDEX(Input!$1:$1048576,BK$93,$C247*2+6)</f>
        <v>0.05</v>
      </c>
      <c r="BL247" s="1">
        <f>INDEX(Input!$1:$1048576,BL$93,$C247*2+6)</f>
        <v>5.5E-2</v>
      </c>
      <c r="BM247" s="1">
        <f>INDEX(Input!$1:$1048576,BM$93,$C247*2+6)</f>
        <v>0.06</v>
      </c>
      <c r="BN247" s="1">
        <f>INDEX(Input!$1:$1048576,BN$93,$C247*2+6)</f>
        <v>4.4999999999999998E-2</v>
      </c>
      <c r="BO247" s="1">
        <f>INDEX(Input!$1:$1048576,BO$93,$C247*2+6)</f>
        <v>4.4999999999999998E-2</v>
      </c>
      <c r="BP247" s="1">
        <f>INDEX(Input!$1:$1048576,BP$93,$C247*2+6)</f>
        <v>0.05</v>
      </c>
      <c r="BQ247" s="1">
        <f>INDEX(Input!$1:$1048576,BQ$93,$C247*2+6)</f>
        <v>5.45E-2</v>
      </c>
      <c r="BR247" s="1">
        <f>INDEX(Input!$1:$1048576,BR$93,$C247*2+6)</f>
        <v>5.45E-2</v>
      </c>
      <c r="BS247" s="1">
        <f>INDEX(Input!$1:$1048576,BS$93,$C247*2+6)</f>
        <v>0.05</v>
      </c>
      <c r="BT247" s="1">
        <f>INDEX(Input!$1:$1048576,BT$93,$C247*2+6)</f>
        <v>0.05</v>
      </c>
      <c r="BU247" s="1">
        <f>INDEX(Input!$1:$1048576,BU$93,$C247*2+6)</f>
        <v>0.05</v>
      </c>
      <c r="BV247" s="1">
        <f>INDEX(Input!$1:$1048576,BV$93,$C247*2+6)</f>
        <v>5.5E-2</v>
      </c>
      <c r="BW247" s="1">
        <f>INDEX(Input!$1:$1048576,BW$93,$C247*2+6)</f>
        <v>0.06</v>
      </c>
      <c r="BX247" s="127">
        <f>INDEX(Input!$1:$1048576,BX$93,$C247*2+6)</f>
        <v>19985</v>
      </c>
      <c r="BY247" s="20">
        <f>INDEX(Input!$1:$1048576,BY$93,$C247*2+6)</f>
        <v>0.1</v>
      </c>
      <c r="BZ247" s="20">
        <f>INDEX(Input!$1:$1048576,BZ$93,$C247*2+6)</f>
        <v>0.1</v>
      </c>
      <c r="CA247" s="20">
        <f>INDEX(Input!$1:$1048576,CA$93,$C247*2+6)</f>
        <v>0.1</v>
      </c>
      <c r="CB247" s="20">
        <f>INDEX(Input!$1:$1048576,CB$93,$C247*2+6)</f>
        <v>0.1</v>
      </c>
      <c r="CC247" s="20">
        <f>INDEX(Input!$1:$1048576,CC$93,$C247*2+6)</f>
        <v>0.1</v>
      </c>
      <c r="CD247" s="384">
        <f>INDEX(Input!$1:$1048576,CD$93,$C247*2+6)</f>
        <v>0.1</v>
      </c>
      <c r="CE247" s="384">
        <f>INDEX(Input!$1:$1048576,CE$93,$C247*2+6)</f>
        <v>0.1</v>
      </c>
      <c r="CF247" s="384">
        <f>INDEX(Input!$1:$1048576,CF$93,$C247*2+6)</f>
        <v>0.1</v>
      </c>
      <c r="CG247" s="384">
        <f>INDEX(Input!$1:$1048576,CG$93,$C247*2+6)</f>
        <v>0.1</v>
      </c>
      <c r="CH247" s="384">
        <f>INDEX(Input!$1:$1048576,CH$93,$C247*2+6)</f>
        <v>0.1</v>
      </c>
      <c r="CI247" s="304">
        <f t="shared" si="735"/>
        <v>1519.7618664521319</v>
      </c>
      <c r="CJ247" s="16" t="str">
        <f>INDEX(Input!$1:$1048576,CJ$93,$C247*2+6)</f>
        <v>N</v>
      </c>
      <c r="CK247" s="1" t="str">
        <f t="shared" si="736"/>
        <v>Market</v>
      </c>
      <c r="CL247" s="1" t="str">
        <f t="shared" si="737"/>
        <v>Market</v>
      </c>
      <c r="CM247" s="1" t="str">
        <f t="shared" si="738"/>
        <v>Market</v>
      </c>
      <c r="CN247" s="1" t="str">
        <f t="shared" si="739"/>
        <v>Market</v>
      </c>
      <c r="CO247" s="1" t="str">
        <f t="shared" si="740"/>
        <v>Market</v>
      </c>
      <c r="CP247" s="304">
        <f t="shared" si="741"/>
        <v>473</v>
      </c>
      <c r="CQ247" s="1">
        <f t="shared" si="742"/>
        <v>0</v>
      </c>
      <c r="CR247" s="1">
        <f t="shared" si="743"/>
        <v>0</v>
      </c>
      <c r="CS247" s="1">
        <f t="shared" si="744"/>
        <v>0</v>
      </c>
      <c r="CT247" s="1">
        <f t="shared" si="745"/>
        <v>1.9E-2</v>
      </c>
      <c r="CU247" s="1">
        <f t="shared" si="746"/>
        <v>3.9E-2</v>
      </c>
      <c r="CV247" s="304">
        <f t="shared" si="747"/>
        <v>-304</v>
      </c>
      <c r="CW247" s="20" t="s">
        <v>122</v>
      </c>
      <c r="CX247" s="20" t="s">
        <v>122</v>
      </c>
      <c r="CY247" s="20" t="s">
        <v>122</v>
      </c>
      <c r="CZ247" s="20" t="s">
        <v>122</v>
      </c>
      <c r="DA247" s="20" t="s">
        <v>122</v>
      </c>
      <c r="DB247" s="503">
        <f t="shared" si="748"/>
        <v>0</v>
      </c>
      <c r="DC247" s="127">
        <v>0</v>
      </c>
      <c r="DD247" s="127">
        <v>0</v>
      </c>
      <c r="DE247" s="127">
        <v>0</v>
      </c>
      <c r="DF247" s="127">
        <v>0</v>
      </c>
      <c r="DG247" s="127">
        <v>0</v>
      </c>
      <c r="DH247" s="127">
        <v>0</v>
      </c>
      <c r="DI247" s="127">
        <v>0</v>
      </c>
      <c r="DJ247" s="127">
        <v>0</v>
      </c>
      <c r="DK247" s="127">
        <v>0</v>
      </c>
      <c r="DL247" s="127">
        <v>0</v>
      </c>
      <c r="DM247" s="304">
        <f>INDEX(Input!$1:$1048576,DM$93,$C247*2+6)</f>
        <v>21036.84210526316</v>
      </c>
      <c r="DN247" s="20">
        <v>0</v>
      </c>
      <c r="DO247" s="20">
        <v>0</v>
      </c>
      <c r="DP247" s="20">
        <v>0</v>
      </c>
      <c r="DQ247" s="20">
        <v>0</v>
      </c>
      <c r="DR247" s="20">
        <v>0</v>
      </c>
      <c r="DS247" s="20">
        <f>INDEX(Input!$1:$1048576,DS$93,$C247*2+6)</f>
        <v>0.6</v>
      </c>
      <c r="DT247" s="20">
        <f>INDEX(Input!$1:$1048576,DT$93,$C247*2+6)</f>
        <v>0.55000000000000004</v>
      </c>
      <c r="DU247" s="20">
        <f>INDEX(Input!$1:$1048576,DU$93,$C247*2+6)</f>
        <v>0.52</v>
      </c>
      <c r="DV247" s="20">
        <f>INDEX(Input!$1:$1048576,DV$93,$C247*2+6)</f>
        <v>0.5</v>
      </c>
      <c r="DW247" s="20">
        <f>INDEX(Input!$1:$1048576,DW$93,$C247*2+6)</f>
        <v>0.45</v>
      </c>
      <c r="DX247" s="20"/>
      <c r="DY247" s="7">
        <v>0.10130837227127114</v>
      </c>
      <c r="DZ247" s="7">
        <v>0</v>
      </c>
      <c r="EA247" s="7">
        <v>0.69422517665885186</v>
      </c>
      <c r="EB247" s="7">
        <v>0</v>
      </c>
      <c r="EC247" s="7">
        <v>0</v>
      </c>
      <c r="ED247" s="7">
        <v>0</v>
      </c>
      <c r="EE247" s="7">
        <v>0</v>
      </c>
      <c r="EF247" s="7">
        <v>0</v>
      </c>
      <c r="EG247" s="7">
        <v>0</v>
      </c>
      <c r="EH247" s="7">
        <v>1.427477607514141E-2</v>
      </c>
      <c r="EI247" s="7">
        <v>4.0638094682095283E-2</v>
      </c>
      <c r="EJ247" s="7">
        <v>0.30740324889202275</v>
      </c>
      <c r="EK247" s="7">
        <v>0.52653645311154329</v>
      </c>
      <c r="EL247" s="7">
        <v>0.11114742723919697</v>
      </c>
      <c r="EM247" s="7">
        <v>5.3226364276993773E-2</v>
      </c>
      <c r="EN247" s="7">
        <v>6.4362274895332749E-2</v>
      </c>
      <c r="EO247" s="7">
        <v>0.72183701161425395</v>
      </c>
      <c r="EP247" s="7">
        <v>9.2883228949388302E-2</v>
      </c>
      <c r="EQ247" s="7">
        <v>7.9199614459986648E-2</v>
      </c>
      <c r="ER247" s="7">
        <v>4.1717870081037917E-2</v>
      </c>
      <c r="ES247" s="7">
        <v>0.15124008679288325</v>
      </c>
      <c r="ET247" s="7">
        <v>0.20446645106987707</v>
      </c>
      <c r="EU247" s="6">
        <v>1544</v>
      </c>
      <c r="EV247" s="6">
        <v>0</v>
      </c>
      <c r="EW247" s="6">
        <v>1544</v>
      </c>
      <c r="EX247" s="6">
        <v>0</v>
      </c>
      <c r="EY247" s="6">
        <v>2054.042440609905</v>
      </c>
      <c r="EZ247" s="6">
        <v>586</v>
      </c>
      <c r="FA247" s="6">
        <v>0</v>
      </c>
      <c r="FB247" s="6">
        <v>0</v>
      </c>
      <c r="FC247" s="6">
        <v>0</v>
      </c>
      <c r="FD247" s="6">
        <v>0</v>
      </c>
      <c r="FE247" s="6">
        <v>0</v>
      </c>
      <c r="FF247" s="6">
        <v>0</v>
      </c>
      <c r="FG247" s="6">
        <v>0</v>
      </c>
      <c r="FH247" s="6">
        <v>1173.7334917723524</v>
      </c>
      <c r="FI247" s="6">
        <v>1553.9796069512395</v>
      </c>
      <c r="FJ247" s="6">
        <v>2101.2110117447405</v>
      </c>
      <c r="FK247" s="6">
        <v>1772.7139978623225</v>
      </c>
      <c r="FL247" s="6">
        <v>907.07682140966335</v>
      </c>
      <c r="FM247" s="6">
        <v>1760.042440609905</v>
      </c>
      <c r="FN247" s="6">
        <v>0</v>
      </c>
      <c r="FO247" s="6">
        <v>0</v>
      </c>
      <c r="FP247" s="6">
        <v>0</v>
      </c>
      <c r="FQ247" s="6">
        <v>0</v>
      </c>
      <c r="FR247" s="6">
        <v>0</v>
      </c>
      <c r="FS247" s="6">
        <v>0</v>
      </c>
      <c r="FT247" s="7">
        <v>0.79553354893012296</v>
      </c>
      <c r="FU247" s="7">
        <v>5.3226364276993773E-2</v>
      </c>
      <c r="FV247" s="7">
        <v>0.15124008679288325</v>
      </c>
      <c r="FW247" s="6">
        <v>1544.0000000000002</v>
      </c>
      <c r="FX247" s="6">
        <v>2054.042440609905</v>
      </c>
      <c r="FY247" s="6">
        <v>586</v>
      </c>
      <c r="FZ247" s="6">
        <v>1817.4615072224267</v>
      </c>
      <c r="GA247" s="6">
        <v>1426.2597015930478</v>
      </c>
      <c r="GB247" s="6">
        <v>18558.740298406952</v>
      </c>
      <c r="GC247" s="7">
        <v>1.804905384453976E-2</v>
      </c>
      <c r="GD247" s="7">
        <v>1.7486127866179535E-2</v>
      </c>
      <c r="GE247" s="7"/>
      <c r="GF247" s="7"/>
      <c r="GG247" s="7">
        <v>-3.1188669678135102E-2</v>
      </c>
      <c r="GH247" s="42">
        <v>1.5933095260507162</v>
      </c>
      <c r="GI247" s="6">
        <v>13969.334147106565</v>
      </c>
      <c r="GJ247" s="14">
        <v>0.50394797582841733</v>
      </c>
      <c r="GK247" s="14">
        <v>0.50887573065309744</v>
      </c>
      <c r="GL247" s="14">
        <v>0.49605202417158284</v>
      </c>
      <c r="GM247" s="14">
        <v>0.49112426934690245</v>
      </c>
      <c r="GO247" s="5">
        <v>343.14810671672558</v>
      </c>
      <c r="GP247" s="5">
        <v>313.69153224305785</v>
      </c>
      <c r="GQ247" s="5">
        <v>535.04305713031317</v>
      </c>
      <c r="GR247" s="5">
        <v>410.15490233172511</v>
      </c>
      <c r="GS247" s="5">
        <v>339.42744393800166</v>
      </c>
      <c r="GT247" s="5">
        <v>293.4407446948278</v>
      </c>
      <c r="GU247" s="5">
        <v>258.04012322764959</v>
      </c>
      <c r="GV247" s="39" t="s">
        <v>392</v>
      </c>
      <c r="GW247" s="5">
        <v>491.45833333333331</v>
      </c>
      <c r="GX247" s="5">
        <v>368.59375</v>
      </c>
      <c r="GY247" s="5">
        <v>294.875</v>
      </c>
      <c r="GZ247" s="5">
        <v>260.19607020114813</v>
      </c>
      <c r="HA247" s="5">
        <v>241.02179695997205</v>
      </c>
      <c r="HB247" s="39">
        <v>276.43160694530297</v>
      </c>
      <c r="HC247" s="5">
        <v>261.64687500000002</v>
      </c>
      <c r="HD247" s="5">
        <v>222.30677997076018</v>
      </c>
      <c r="HE247" s="5">
        <v>224.71639254385963</v>
      </c>
      <c r="HF247" s="5">
        <v>207.35750548245613</v>
      </c>
      <c r="HG247" s="5">
        <v>199.39971491228067</v>
      </c>
      <c r="HH247" s="39">
        <v>222.92299983776928</v>
      </c>
      <c r="HI247" s="16"/>
      <c r="HJ247" s="19" t="str">
        <f t="shared" si="753"/>
        <v>On</v>
      </c>
      <c r="HK247" s="1" t="str">
        <f t="shared" si="753"/>
        <v>On</v>
      </c>
      <c r="HL247" s="16"/>
      <c r="HM247" s="639">
        <f t="shared" si="634"/>
        <v>1.2768706344444866E-2</v>
      </c>
      <c r="HN247" s="639">
        <f t="shared" si="635"/>
        <v>9.795534288915453E-4</v>
      </c>
      <c r="HO247" s="639">
        <f t="shared" si="636"/>
        <v>3.3583061774515237E-3</v>
      </c>
      <c r="HP247" s="644">
        <f>(FT247*$GD247-HM247)/$JF247*INDEX(Input!$1:$1048576,$JG$93,$C247*2+6)</f>
        <v>82.987088493661318</v>
      </c>
      <c r="HQ247" s="644">
        <f>(FU247*$GD247-HN247)/$JF247*INDEX(Input!$1:$1048576,$JG$93,$C247*2+6)</f>
        <v>-3.5481235023319191</v>
      </c>
      <c r="HR247" s="644">
        <f>(FV247*$GD247-HO247)/$JF247*INDEX(Input!$1:$1048576,$JG$93,$C247*2+6)</f>
        <v>-51.859177078956051</v>
      </c>
      <c r="HS247" s="644">
        <f t="shared" si="754"/>
        <v>-18.235728557494085</v>
      </c>
      <c r="HT247" s="644">
        <f t="shared" si="638"/>
        <v>-0.77856227453255755</v>
      </c>
      <c r="HU247" s="644">
        <f t="shared" si="639"/>
        <v>-2.2019850213662435</v>
      </c>
      <c r="HV247" s="648">
        <f t="shared" si="640"/>
        <v>0</v>
      </c>
      <c r="HW247" s="648">
        <f t="shared" si="641"/>
        <v>0</v>
      </c>
      <c r="HX247" s="648">
        <f t="shared" si="642"/>
        <v>0</v>
      </c>
      <c r="HY247" s="644">
        <f>INDEX(Input!$1:$1048576,HY$93,$C247*2+6)*INDEX(Input!$1:$1048576,$JG$93,$C247*2+6)</f>
        <v>451</v>
      </c>
      <c r="HZ247" s="644">
        <f>INDEX(Input!$1:$1048576,HZ$93,$C247*2+6)*INDEX(Input!$1:$1048576,$JG$93,$C247*2+6)</f>
        <v>577</v>
      </c>
      <c r="IA247" s="644">
        <f>INDEX(Input!$1:$1048576,IA$93,$C247*2+6)*INDEX(Input!$1:$1048576,$JG$93,$C247*2+6)</f>
        <v>215</v>
      </c>
      <c r="IB247" s="644">
        <f t="shared" si="666"/>
        <v>515.7513599361672</v>
      </c>
      <c r="IC247" s="644">
        <f t="shared" si="667"/>
        <v>572.67331422313555</v>
      </c>
      <c r="ID247" s="644">
        <f>IF(AND(INDEX(Input!$1:$1048576,IA$93,$C247*2+7)="TOS",Y247&lt;=INDEX(Y:Y,MATCH(C247*1000+2,A:A))),0,1)*MAX(IA247+HR247+HU247+HX247,0%)</f>
        <v>160.93883789967768</v>
      </c>
      <c r="IE247" s="128">
        <f t="shared" si="759"/>
        <v>0.41281128747404888</v>
      </c>
      <c r="IF247" s="128">
        <f t="shared" si="643"/>
        <v>0.45837205000437092</v>
      </c>
      <c r="IG247" s="128">
        <f t="shared" si="644"/>
        <v>0.12881666252158003</v>
      </c>
      <c r="IH247" s="21"/>
      <c r="II247" s="19">
        <f t="shared" si="645"/>
        <v>1252</v>
      </c>
      <c r="IJ247" s="19">
        <f t="shared" si="646"/>
        <v>2011.9658773055378</v>
      </c>
      <c r="IK247" s="19">
        <f t="shared" si="647"/>
        <v>919</v>
      </c>
      <c r="IL247" s="19">
        <f t="shared" si="669"/>
        <v>292.00000000000023</v>
      </c>
      <c r="IM247" s="19">
        <f t="shared" si="648"/>
        <v>42.076563304367255</v>
      </c>
      <c r="IN247" s="19">
        <f t="shared" si="649"/>
        <v>-333</v>
      </c>
      <c r="IO247" s="39">
        <f t="shared" si="650"/>
        <v>0</v>
      </c>
      <c r="IP247" s="39">
        <f t="shared" si="651"/>
        <v>0</v>
      </c>
      <c r="IQ247" s="39">
        <f t="shared" si="652"/>
        <v>0</v>
      </c>
      <c r="IR247" s="39">
        <v>0</v>
      </c>
      <c r="IS247" s="39">
        <v>0</v>
      </c>
      <c r="IT247" s="39">
        <v>0</v>
      </c>
      <c r="IU247" s="39">
        <v>0</v>
      </c>
      <c r="IV247" s="39">
        <v>0</v>
      </c>
      <c r="IW247" s="39">
        <v>0</v>
      </c>
      <c r="IX247" s="39">
        <f>INDEX(Input!$1:$1048576,IX$93,$C247*2+6)+INDEX(Input!$1:$1048576,IX$94,$C247*2+6)</f>
        <v>1294</v>
      </c>
      <c r="IY247" s="39">
        <f>INDEX(Input!$1:$1048576,IY$93,$C247*2+6)+INDEX(Input!$1:$1048576,IY$94,$C247*2+6)</f>
        <v>2154.0624533823611</v>
      </c>
      <c r="IZ247" s="39">
        <f>INDEX(Input!$1:$1048576,IZ$93,$C247*2+6)+INDEX(Input!$1:$1048576,IZ$94,$C247*2+6)</f>
        <v>3677.7164157747848</v>
      </c>
      <c r="JA247" s="19">
        <f t="shared" si="670"/>
        <v>1586.0000000000002</v>
      </c>
      <c r="JB247" s="19">
        <f t="shared" si="671"/>
        <v>2196.1390166867286</v>
      </c>
      <c r="JC247" s="19">
        <f t="shared" si="672"/>
        <v>3344.7164157747848</v>
      </c>
      <c r="JD247" s="19">
        <f t="shared" si="673"/>
        <v>2092.2226508683698</v>
      </c>
      <c r="JE247" s="21"/>
      <c r="JF247" s="1">
        <f t="shared" si="653"/>
        <v>1.7106565950787935E-2</v>
      </c>
      <c r="JG247" s="15">
        <f>INDEX(Input!$1:$1048576,JG$93,$C247*2+6)/(1+VLOOKUP(C247*1000+INDEX(Input!$1:$1048576,JG$93+1,$C247*2+6),$A:$KK,$JK$92,FALSE))</f>
        <v>1243</v>
      </c>
      <c r="JH247" s="1">
        <f t="shared" si="674"/>
        <v>2.2188083598047744E-2</v>
      </c>
      <c r="JI247" s="1">
        <f t="shared" si="675"/>
        <v>-1.7068604869986233E-2</v>
      </c>
      <c r="JJ247" s="1">
        <f t="shared" si="731"/>
        <v>0</v>
      </c>
      <c r="JK247" s="1">
        <f t="shared" si="732"/>
        <v>5.1194787280615106E-3</v>
      </c>
      <c r="JL247" s="15">
        <f t="shared" si="678"/>
        <v>6.3635120589804579</v>
      </c>
      <c r="JM247" s="15">
        <f t="shared" si="702"/>
        <v>1249.3635120589804</v>
      </c>
      <c r="JN247" s="21"/>
      <c r="JO247" s="19">
        <f>INDEX(Input!$1:$1048576,JO$93,$C247*2+6)</f>
        <v>5995.5</v>
      </c>
      <c r="JP247" s="19">
        <f>INDEX(Input!$1:$1048576,JP$93,$C247*2+6)</f>
        <v>2105.548724853742</v>
      </c>
      <c r="JQ247" s="39">
        <f t="shared" si="688"/>
        <v>3903.2773491316302</v>
      </c>
      <c r="JR247" s="39">
        <f t="shared" si="705"/>
        <v>-13.326073985372204</v>
      </c>
      <c r="JS247" s="39">
        <f t="shared" si="690"/>
        <v>2.6139466390982564</v>
      </c>
      <c r="JT247" s="39">
        <f t="shared" si="680"/>
        <v>-3.2504258949449284E-3</v>
      </c>
      <c r="JU247" s="385">
        <f>(JQ247*JM247-INDEX(Input!$1:$1048576,Input!A$18,$C247*2+6)*JL247*INDEX(Input!$1:$1048576,Input!A$19,$C247*2+6))/1000000</f>
        <v>4.8766122974513602</v>
      </c>
      <c r="JV247" s="39">
        <f t="shared" si="712"/>
        <v>4.1402862444561706E-2</v>
      </c>
      <c r="JW247" s="1">
        <f t="shared" si="703"/>
        <v>8.562785749218222E-3</v>
      </c>
      <c r="JX247" s="19">
        <f t="shared" si="694"/>
        <v>-510.79118964782816</v>
      </c>
      <c r="JZ247" s="341"/>
      <c r="KA247" s="342"/>
      <c r="KB247" s="469">
        <f t="shared" si="691"/>
        <v>2.5660492421988774</v>
      </c>
      <c r="KI247" s="473">
        <f t="shared" si="756"/>
        <v>64.751359936167091</v>
      </c>
      <c r="KJ247" s="473">
        <f t="shared" si="757"/>
        <v>-4.326685776864565</v>
      </c>
      <c r="KK247" s="473">
        <f t="shared" si="682"/>
        <v>-54.061162100322349</v>
      </c>
      <c r="KN247" s="544">
        <f t="shared" si="695"/>
        <v>2002</v>
      </c>
      <c r="KO247" s="541">
        <f t="shared" si="657"/>
        <v>-8.0243022905246431E-4</v>
      </c>
      <c r="KP247" s="546">
        <f t="shared" si="658"/>
        <v>56.863396845062205</v>
      </c>
      <c r="KQ247" s="546">
        <f t="shared" si="659"/>
        <v>-51.457688565103126</v>
      </c>
      <c r="KR247" s="548">
        <f t="shared" si="660"/>
        <v>-0.25176853681174016</v>
      </c>
      <c r="KS247" s="548">
        <f t="shared" si="661"/>
        <v>0.27821720370734926</v>
      </c>
      <c r="KT247" s="473">
        <f t="shared" si="693"/>
        <v>843.26993010479111</v>
      </c>
      <c r="KU247" s="663">
        <f t="shared" si="683"/>
        <v>4.6000251058532378</v>
      </c>
      <c r="KV247" s="117"/>
    </row>
    <row r="248" spans="1:308" s="26" customFormat="1" ht="15">
      <c r="A248" s="561">
        <f t="shared" si="662"/>
        <v>2048</v>
      </c>
      <c r="B248" s="561">
        <f t="shared" si="684"/>
        <v>48</v>
      </c>
      <c r="C248" s="561">
        <f t="shared" ref="C248:C300" si="760">C247</f>
        <v>2</v>
      </c>
      <c r="D248" s="561" t="str">
        <f t="shared" si="728"/>
        <v xml:space="preserve">500 CC, -360 Lease, </v>
      </c>
      <c r="E248" s="475">
        <f>INDEX(Input!$1:$1048576,E$93,$C248*2+MIN($B248,2)+5)
+INDEX(Scenarios!E$121:E$200,MATCH($B248,Scenarios!$B$121:$B$200,0))</f>
        <v>1769.7618664521319</v>
      </c>
      <c r="F248" s="475">
        <f>INDEX(Input!$1:$1048576,F$93,$C248*2+MIN($B248,2)+5)
+INDEX(Scenarios!F$121:F$200,MATCH($B248,Scenarios!$B$121:$B$200,0))</f>
        <v>0</v>
      </c>
      <c r="G248" s="475">
        <f>INDEX(Input!$1:$1048576,G$93,$C248*2+MIN($B248,2)+5)
+INDEX(Scenarios!G$121:G$200,MATCH($B248,Scenarios!$B$121:$B$200,0))</f>
        <v>0</v>
      </c>
      <c r="H248" s="475">
        <f>INDEX(Input!$1:$1048576,H$93,$C248*2+MIN($B248,2)+5)
+INDEX(Scenarios!H$121:H$200,MATCH($B248,Scenarios!$B$121:$B$200,0))</f>
        <v>0</v>
      </c>
      <c r="I248" s="476">
        <f>INDEX(Input!$1:$1048576,I$93,$C248*2+MIN($B248,2)+5)</f>
        <v>0.7</v>
      </c>
      <c r="J248" s="476" t="str">
        <f>INDEX(Input!$1:$1048576,J$93,$C248*2+MIN($B248,2)+5)</f>
        <v>Market</v>
      </c>
      <c r="K248" s="476" t="str">
        <f>INDEX(Input!$1:$1048576,K$93,$C248*2+MIN($B248,2)+5)</f>
        <v>Market</v>
      </c>
      <c r="L248" s="476" t="str">
        <f>INDEX(Input!$1:$1048576,L$93,$C248*2+MIN($B248,2)+5)</f>
        <v>Market</v>
      </c>
      <c r="M248" s="476" t="str">
        <f>INDEX(Input!$1:$1048576,M$93,$C248*2+MIN($B248,2)+5)</f>
        <v>Market</v>
      </c>
      <c r="N248" s="476" t="str">
        <f>INDEX(Input!$1:$1048576,N$93,$C248*2+MIN($B248,2)+5)</f>
        <v>Market</v>
      </c>
      <c r="O248" s="476" t="str">
        <f>INDEX(Input!$1:$1048576,O$93,$C248*2+MIN($B248,2)+5)</f>
        <v>Market</v>
      </c>
      <c r="P248" s="476" t="str">
        <f>INDEX(Input!$1:$1048576,P$93,$C248*2+MIN($B248,2)+5)</f>
        <v>N</v>
      </c>
      <c r="Q248" s="477">
        <f>INDEX(Input!$1:$1048576,Q$93,$C248*2+MIN($B248,2)+5)
+INDEX(Scenarios!Q$121:Q$200,MATCH($B248,Scenarios!$B$121:$B$200,0))</f>
        <v>0</v>
      </c>
      <c r="R248" s="478">
        <f>IFERROR(MAX(0,INDEX(Input!$1:$1048576,R$93,$C248*2+MIN($B248,2)+5)
+INDEX(Scenarios!R$121:R$200,MATCH($B248,Scenarios!$B$121:$B$200,0)),),"Market")</f>
        <v>0</v>
      </c>
      <c r="S248" s="478">
        <f>IFERROR(MAX(0,INDEX(Input!$1:$1048576,S$93,$C248*2+MIN($B248,2)+5)
+INDEX(Scenarios!S$121:S$200,MATCH($B248,Scenarios!$B$121:$B$200,0)),),"Market")</f>
        <v>0</v>
      </c>
      <c r="T248" s="478">
        <f>IFERROR(MAX(0,INDEX(Input!$1:$1048576,T$93,$C248*2+MIN($B248,2)+5)
+INDEX(Scenarios!T$121:T$200,MATCH($B248,Scenarios!$B$121:$B$200,0)),),"Market")</f>
        <v>0</v>
      </c>
      <c r="U248" s="478">
        <f>IFERROR(MAX(0,INDEX(Input!$1:$1048576,U$93,$C248*2+MIN($B248,2)+5)
+INDEX(Scenarios!U$121:U$200,MATCH($B248,Scenarios!$B$121:$B$200,0)),),"Market")</f>
        <v>0</v>
      </c>
      <c r="V248" s="478">
        <f>IFERROR(MAX(0,INDEX(Input!$1:$1048576,V$93,$C248*2+MIN($B248,2)+5)
+INDEX(Scenarios!V$121:V$200,MATCH($B248,Scenarios!$B$121:$B$200,0)),),"Market")</f>
        <v>1.9E-2</v>
      </c>
      <c r="W248" s="885">
        <f>IFERROR(MAX(0,INDEX(Input!$1:$1048576,W$93,$C248*2+MIN($B248,2)+5)-0%,),"Market")</f>
        <v>3.9E-2</v>
      </c>
      <c r="X248" s="476" t="str">
        <f>INDEX(Input!$1:$1048576,X$93,$C248*2+MIN($B248,2)+5)</f>
        <v>Y</v>
      </c>
      <c r="Y248" s="475">
        <f>INDEX(Input!$1:$1048576,Y$93,$C248*2+MIN($B248,2)+5)
++INDEX(Scenarios!Y$121:Y$200,MATCH($B248,Scenarios!$B$121:$B$200,0))</f>
        <v>-304</v>
      </c>
      <c r="Z248" s="477">
        <f>INDEX(Input!$1:$1048576,Z$93,$C248*2+MIN($B248,2)+5)
+INDEX(Scenarios!Z$121:Z$200,MATCH($B248,Scenarios!$B$121:$B$200,0))</f>
        <v>0</v>
      </c>
      <c r="AA248" s="475">
        <f>INDEX(Input!$1:$1048576,AA$93,$C248*2+MIN($B248,2)+5)
+INDEX(Scenarios!AA$121:AA$200,MATCH($B248,Scenarios!$B$121:$B$200,0))</f>
        <v>0</v>
      </c>
      <c r="AB248" s="476">
        <f>INDEX(Input!$1:$1048576,AB$93,$C248*2+MIN($B248,2)+5)</f>
        <v>0.27</v>
      </c>
      <c r="AC248" s="475">
        <f>INDEX(Input!$1:$1048576,AC$93,$C248*2+MIN($B248,2)+5)
+INDEX(Scenarios!AC$121:AC$200,MATCH($B248,Scenarios!$B$121:$B$200,0))</f>
        <v>0</v>
      </c>
      <c r="AD248" s="476">
        <f>INDEX(Input!$1:$1048576,AD$93,$C248*2+MIN($B248,2)+5)</f>
        <v>0.27</v>
      </c>
      <c r="AE248" s="475">
        <f>INDEX(Input!$1:$1048576,AE$93,$C248*2+MIN($B248,2)+5)
+INDEX(Scenarios!AE$121:AE$200,MATCH($B248,Scenarios!$B$121:$B$200,0))</f>
        <v>0</v>
      </c>
      <c r="AF248" s="476">
        <f>INDEX(Input!$1:$1048576,AF$93,$C248*2+MIN($B248,2)+5)</f>
        <v>4.8000000000000001E-2</v>
      </c>
      <c r="AG248" s="475">
        <f>INDEX(Input!$1:$1048576,AG$93,$C248*2+MIN($B248,2)+5)
+INDEX(Scenarios!AG$121:AG$200,MATCH($B248,Scenarios!$B$121:$B$200,0))</f>
        <v>500</v>
      </c>
      <c r="AH248" s="476">
        <f>INDEX(Input!$1:$1048576,AH$93,$C248*2+MIN($B248,2)+5)</f>
        <v>0.94599999999999995</v>
      </c>
      <c r="AI248" s="475">
        <f>INDEX(Input!$1:$1048576,AI$93,$C248*2+MIN($B248,2)+5)
+INDEX(Scenarios!AI$121:AI$200,MATCH($B248,Scenarios!$B$121:$B$200,0))</f>
        <v>0</v>
      </c>
      <c r="AJ248" s="476">
        <f>INDEX(Input!$1:$1048576,AJ$93,$C248*2+MIN($B248,2)+5)</f>
        <v>0.27</v>
      </c>
      <c r="AK248" s="150">
        <f>ROUND(INDEX(Input!$1:$1048576,AK$93,$C247*2+MIN($B248,1)+5)+(Y248-VLOOKUP($C248*1000+1,$A:$HH,Y$92,FALSE)),0)</f>
        <v>2617</v>
      </c>
      <c r="AL248" s="150">
        <f>ROUND(INDEX(Input!$1:$1048576,AL$93,$C247*2+MIN($B248,1)+5)-(Y248-VLOOKUP($C248*1000+1,$A:$HH,Y$92,FALSE))/36,0)</f>
        <v>3405</v>
      </c>
      <c r="AM248" s="32" t="str">
        <f t="shared" si="663"/>
        <v>std/std/std/std</v>
      </c>
      <c r="AN248" s="32" t="str">
        <f t="shared" si="664"/>
        <v>$0 + 0/0/0/1.9/3.9</v>
      </c>
      <c r="AO248" s="32" t="str">
        <f t="shared" si="665"/>
        <v>0/0/0/1.9/3.9</v>
      </c>
      <c r="AP248" s="32" t="str">
        <f t="shared" si="734"/>
        <v>0/0.9/1.9/3.9</v>
      </c>
      <c r="AQ248" s="536">
        <f t="shared" si="733"/>
        <v>0.43724151049249088</v>
      </c>
      <c r="AR248" s="32"/>
      <c r="AS248" s="302"/>
      <c r="AT248" s="3">
        <f t="shared" si="717"/>
        <v>48</v>
      </c>
      <c r="AU248" s="41" t="s">
        <v>121</v>
      </c>
      <c r="AV248" s="41" t="s">
        <v>116</v>
      </c>
      <c r="AW248" s="41" t="str">
        <f>INDEX(Input!$1:$1048576,AW$93,$C248*2+6)</f>
        <v>Kia</v>
      </c>
      <c r="AX248" s="41" t="str">
        <f>INDEX(Input!$1:$1048576,AX$93,$C248*2+6)</f>
        <v>Kia-LR - L2</v>
      </c>
      <c r="AY248" s="41" t="str">
        <f>IF(LEN(D248)=0,"",INDEX(Input!$1:$1048576,AY$93,$C248*2+6))</f>
        <v>Compact SUV (52)</v>
      </c>
      <c r="AZ248" s="41" t="str">
        <f>INDEX(Input!$1:$1048576,AZ$93,$C248*2+6)</f>
        <v>Kia Soul</v>
      </c>
      <c r="BA248" s="3">
        <f>INDEX(Input!$1:$1048576,BA$93,$C248*2+6)</f>
        <v>2020</v>
      </c>
      <c r="BB248" s="128">
        <f>INDEX(Input!$1:$1048576,BB$93,$C248*2+6)</f>
        <v>1</v>
      </c>
      <c r="BC248" s="128">
        <f>INDEX(Input!$1:$1048576,BC$93,$C248*2+6)</f>
        <v>0.7</v>
      </c>
      <c r="BD248" s="1">
        <f>INDEX(Input!$1:$1048576,BD$93,$C248*2+6)</f>
        <v>4.4999999999999998E-2</v>
      </c>
      <c r="BE248" s="1">
        <f>INDEX(Input!$1:$1048576,BE$93,$C248*2+6)</f>
        <v>4.4999999999999998E-2</v>
      </c>
      <c r="BF248" s="1">
        <f>INDEX(Input!$1:$1048576,BF$93,$C248*2+6)</f>
        <v>0.05</v>
      </c>
      <c r="BG248" s="1">
        <f>INDEX(Input!$1:$1048576,BG$93,$C248*2+6)</f>
        <v>5.45E-2</v>
      </c>
      <c r="BH248" s="1">
        <f>INDEX(Input!$1:$1048576,BH$93,$C248*2+6)</f>
        <v>5.45E-2</v>
      </c>
      <c r="BI248" s="1">
        <f>INDEX(Input!$1:$1048576,BI$93,$C248*2+6)</f>
        <v>0.05</v>
      </c>
      <c r="BJ248" s="1">
        <f>INDEX(Input!$1:$1048576,BJ$93,$C248*2+6)</f>
        <v>0.05</v>
      </c>
      <c r="BK248" s="1">
        <f>INDEX(Input!$1:$1048576,BK$93,$C248*2+6)</f>
        <v>0.05</v>
      </c>
      <c r="BL248" s="1">
        <f>INDEX(Input!$1:$1048576,BL$93,$C248*2+6)</f>
        <v>5.5E-2</v>
      </c>
      <c r="BM248" s="1">
        <f>INDEX(Input!$1:$1048576,BM$93,$C248*2+6)</f>
        <v>0.06</v>
      </c>
      <c r="BN248" s="1">
        <f>INDEX(Input!$1:$1048576,BN$93,$C248*2+6)</f>
        <v>4.4999999999999998E-2</v>
      </c>
      <c r="BO248" s="1">
        <f>INDEX(Input!$1:$1048576,BO$93,$C248*2+6)</f>
        <v>4.4999999999999998E-2</v>
      </c>
      <c r="BP248" s="1">
        <f>INDEX(Input!$1:$1048576,BP$93,$C248*2+6)</f>
        <v>0.05</v>
      </c>
      <c r="BQ248" s="1">
        <f>INDEX(Input!$1:$1048576,BQ$93,$C248*2+6)</f>
        <v>5.45E-2</v>
      </c>
      <c r="BR248" s="1">
        <f>INDEX(Input!$1:$1048576,BR$93,$C248*2+6)</f>
        <v>5.45E-2</v>
      </c>
      <c r="BS248" s="1">
        <f>INDEX(Input!$1:$1048576,BS$93,$C248*2+6)</f>
        <v>0.05</v>
      </c>
      <c r="BT248" s="1">
        <f>INDEX(Input!$1:$1048576,BT$93,$C248*2+6)</f>
        <v>0.05</v>
      </c>
      <c r="BU248" s="1">
        <f>INDEX(Input!$1:$1048576,BU$93,$C248*2+6)</f>
        <v>0.05</v>
      </c>
      <c r="BV248" s="1">
        <f>INDEX(Input!$1:$1048576,BV$93,$C248*2+6)</f>
        <v>5.5E-2</v>
      </c>
      <c r="BW248" s="1">
        <f>INDEX(Input!$1:$1048576,BW$93,$C248*2+6)</f>
        <v>0.06</v>
      </c>
      <c r="BX248" s="127">
        <f>INDEX(Input!$1:$1048576,BX$93,$C248*2+6)</f>
        <v>19985</v>
      </c>
      <c r="BY248" s="20">
        <f>INDEX(Input!$1:$1048576,BY$93,$C248*2+6)</f>
        <v>0.1</v>
      </c>
      <c r="BZ248" s="20">
        <f>INDEX(Input!$1:$1048576,BZ$93,$C248*2+6)</f>
        <v>0.1</v>
      </c>
      <c r="CA248" s="20">
        <f>INDEX(Input!$1:$1048576,CA$93,$C248*2+6)</f>
        <v>0.1</v>
      </c>
      <c r="CB248" s="20">
        <f>INDEX(Input!$1:$1048576,CB$93,$C248*2+6)</f>
        <v>0.1</v>
      </c>
      <c r="CC248" s="20">
        <f>INDEX(Input!$1:$1048576,CC$93,$C248*2+6)</f>
        <v>0.1</v>
      </c>
      <c r="CD248" s="384">
        <f>INDEX(Input!$1:$1048576,CD$93,$C248*2+6)</f>
        <v>0.1</v>
      </c>
      <c r="CE248" s="384">
        <f>INDEX(Input!$1:$1048576,CE$93,$C248*2+6)</f>
        <v>0.1</v>
      </c>
      <c r="CF248" s="384">
        <f>INDEX(Input!$1:$1048576,CF$93,$C248*2+6)</f>
        <v>0.1</v>
      </c>
      <c r="CG248" s="384">
        <f>INDEX(Input!$1:$1048576,CG$93,$C248*2+6)</f>
        <v>0.1</v>
      </c>
      <c r="CH248" s="384">
        <f>INDEX(Input!$1:$1048576,CH$93,$C248*2+6)</f>
        <v>0.1</v>
      </c>
      <c r="CI248" s="304">
        <f t="shared" si="735"/>
        <v>1769.7618664521319</v>
      </c>
      <c r="CJ248" s="16" t="str">
        <f>INDEX(Input!$1:$1048576,CJ$93,$C248*2+6)</f>
        <v>N</v>
      </c>
      <c r="CK248" s="1" t="str">
        <f t="shared" si="736"/>
        <v>Market</v>
      </c>
      <c r="CL248" s="1" t="str">
        <f t="shared" si="737"/>
        <v>Market</v>
      </c>
      <c r="CM248" s="1" t="str">
        <f t="shared" si="738"/>
        <v>Market</v>
      </c>
      <c r="CN248" s="1" t="str">
        <f t="shared" si="739"/>
        <v>Market</v>
      </c>
      <c r="CO248" s="1" t="str">
        <f t="shared" si="740"/>
        <v>Market</v>
      </c>
      <c r="CP248" s="304">
        <f t="shared" si="741"/>
        <v>473</v>
      </c>
      <c r="CQ248" s="1">
        <f t="shared" si="742"/>
        <v>0</v>
      </c>
      <c r="CR248" s="1">
        <f t="shared" si="743"/>
        <v>0</v>
      </c>
      <c r="CS248" s="1">
        <f t="shared" si="744"/>
        <v>0</v>
      </c>
      <c r="CT248" s="1">
        <f t="shared" si="745"/>
        <v>1.9E-2</v>
      </c>
      <c r="CU248" s="1">
        <f t="shared" si="746"/>
        <v>3.9E-2</v>
      </c>
      <c r="CV248" s="304">
        <f t="shared" si="747"/>
        <v>-304</v>
      </c>
      <c r="CW248" s="20" t="s">
        <v>122</v>
      </c>
      <c r="CX248" s="20" t="s">
        <v>122</v>
      </c>
      <c r="CY248" s="20" t="s">
        <v>122</v>
      </c>
      <c r="CZ248" s="20" t="s">
        <v>122</v>
      </c>
      <c r="DA248" s="20" t="s">
        <v>122</v>
      </c>
      <c r="DB248" s="503">
        <f t="shared" si="748"/>
        <v>0</v>
      </c>
      <c r="DC248" s="127">
        <v>0</v>
      </c>
      <c r="DD248" s="127">
        <v>0</v>
      </c>
      <c r="DE248" s="127">
        <v>0</v>
      </c>
      <c r="DF248" s="127">
        <v>0</v>
      </c>
      <c r="DG248" s="127">
        <v>0</v>
      </c>
      <c r="DH248" s="127">
        <v>0</v>
      </c>
      <c r="DI248" s="127">
        <v>0</v>
      </c>
      <c r="DJ248" s="127">
        <v>0</v>
      </c>
      <c r="DK248" s="127">
        <v>0</v>
      </c>
      <c r="DL248" s="127">
        <v>0</v>
      </c>
      <c r="DM248" s="304">
        <f>INDEX(Input!$1:$1048576,DM$93,$C248*2+6)</f>
        <v>21036.84210526316</v>
      </c>
      <c r="DN248" s="20">
        <v>0</v>
      </c>
      <c r="DO248" s="20">
        <v>0</v>
      </c>
      <c r="DP248" s="20">
        <v>0</v>
      </c>
      <c r="DQ248" s="20">
        <v>0</v>
      </c>
      <c r="DR248" s="20">
        <v>0</v>
      </c>
      <c r="DS248" s="20">
        <f>INDEX(Input!$1:$1048576,DS$93,$C248*2+6)</f>
        <v>0.6</v>
      </c>
      <c r="DT248" s="20">
        <f>INDEX(Input!$1:$1048576,DT$93,$C248*2+6)</f>
        <v>0.55000000000000004</v>
      </c>
      <c r="DU248" s="20">
        <f>INDEX(Input!$1:$1048576,DU$93,$C248*2+6)</f>
        <v>0.52</v>
      </c>
      <c r="DV248" s="20">
        <f>INDEX(Input!$1:$1048576,DV$93,$C248*2+6)</f>
        <v>0.5</v>
      </c>
      <c r="DW248" s="20">
        <f>INDEX(Input!$1:$1048576,DW$93,$C248*2+6)</f>
        <v>0.45</v>
      </c>
      <c r="DX248" s="20"/>
      <c r="DY248" s="7">
        <v>0.10702017748971238</v>
      </c>
      <c r="DZ248" s="7">
        <v>0</v>
      </c>
      <c r="EA248" s="7">
        <v>0.70966739764837927</v>
      </c>
      <c r="EB248" s="7">
        <v>0</v>
      </c>
      <c r="EC248" s="7">
        <v>0</v>
      </c>
      <c r="ED248" s="7">
        <v>0</v>
      </c>
      <c r="EE248" s="7">
        <v>0</v>
      </c>
      <c r="EF248" s="7">
        <v>0</v>
      </c>
      <c r="EG248" s="7">
        <v>0</v>
      </c>
      <c r="EH248" s="7">
        <v>1.4280400594370465E-2</v>
      </c>
      <c r="EI248" s="7">
        <v>4.0657689015485568E-2</v>
      </c>
      <c r="EJ248" s="7">
        <v>0.30746939245139721</v>
      </c>
      <c r="EK248" s="7">
        <v>0.52646441138871858</v>
      </c>
      <c r="EL248" s="7">
        <v>0.11112810655002818</v>
      </c>
      <c r="EM248" s="7">
        <v>4.7683885381210482E-2</v>
      </c>
      <c r="EN248" s="7">
        <v>6.4355364017935457E-2</v>
      </c>
      <c r="EO248" s="7">
        <v>0.72183040015086397</v>
      </c>
      <c r="EP248" s="7">
        <v>9.2894669827075005E-2</v>
      </c>
      <c r="EQ248" s="7">
        <v>7.9197472128258797E-2</v>
      </c>
      <c r="ER248" s="7">
        <v>4.1722093875866867E-2</v>
      </c>
      <c r="ES248" s="7">
        <v>0.13562853948069786</v>
      </c>
      <c r="ET248" s="7">
        <v>0.18331242486190841</v>
      </c>
      <c r="EU248" s="6">
        <v>1794</v>
      </c>
      <c r="EV248" s="6">
        <v>0</v>
      </c>
      <c r="EW248" s="6">
        <v>1794</v>
      </c>
      <c r="EX248" s="6">
        <v>0</v>
      </c>
      <c r="EY248" s="6">
        <v>2054.0732639910489</v>
      </c>
      <c r="EZ248" s="6">
        <v>586</v>
      </c>
      <c r="FA248" s="6">
        <v>0</v>
      </c>
      <c r="FB248" s="6">
        <v>0</v>
      </c>
      <c r="FC248" s="6">
        <v>0</v>
      </c>
      <c r="FD248" s="6">
        <v>0</v>
      </c>
      <c r="FE248" s="6">
        <v>0</v>
      </c>
      <c r="FF248" s="6">
        <v>0</v>
      </c>
      <c r="FG248" s="6">
        <v>0</v>
      </c>
      <c r="FH248" s="6">
        <v>1173.7352875577928</v>
      </c>
      <c r="FI248" s="6">
        <v>1553.9796069512411</v>
      </c>
      <c r="FJ248" s="6">
        <v>2101.211011744741</v>
      </c>
      <c r="FK248" s="6">
        <v>1772.7139978623227</v>
      </c>
      <c r="FL248" s="6">
        <v>907.07682140966324</v>
      </c>
      <c r="FM248" s="6">
        <v>1760.0732639910489</v>
      </c>
      <c r="FN248" s="6">
        <v>0</v>
      </c>
      <c r="FO248" s="6">
        <v>0</v>
      </c>
      <c r="FP248" s="6">
        <v>0</v>
      </c>
      <c r="FQ248" s="6">
        <v>0</v>
      </c>
      <c r="FR248" s="6">
        <v>0</v>
      </c>
      <c r="FS248" s="6">
        <v>0</v>
      </c>
      <c r="FT248" s="7">
        <v>0.81668757513809165</v>
      </c>
      <c r="FU248" s="7">
        <v>4.7683885381210482E-2</v>
      </c>
      <c r="FV248" s="7">
        <v>0.13562853948069786</v>
      </c>
      <c r="FW248" s="6">
        <v>1794.0000000000002</v>
      </c>
      <c r="FX248" s="6">
        <v>2054.0732639910489</v>
      </c>
      <c r="FY248" s="6">
        <v>586</v>
      </c>
      <c r="FZ248" s="6">
        <v>1817.4615072224267</v>
      </c>
      <c r="GA248" s="6">
        <v>1642.5620280181838</v>
      </c>
      <c r="GB248" s="6">
        <v>18342.437971981817</v>
      </c>
      <c r="GC248" s="7">
        <v>1.804905384453976E-2</v>
      </c>
      <c r="GD248" s="7">
        <v>1.7936210132262518E-2</v>
      </c>
      <c r="GE248" s="7"/>
      <c r="GF248" s="7"/>
      <c r="GG248" s="7">
        <v>-6.2520569360138374E-3</v>
      </c>
      <c r="GH248" s="42">
        <v>0.71439525397514991</v>
      </c>
      <c r="GI248" s="6">
        <v>29617.271950566414</v>
      </c>
      <c r="GJ248" s="14">
        <v>0.50394797582841733</v>
      </c>
      <c r="GK248" s="14">
        <v>0.50887573065309777</v>
      </c>
      <c r="GL248" s="14">
        <v>0.49605202417158289</v>
      </c>
      <c r="GM248" s="14">
        <v>0.49112426934690245</v>
      </c>
      <c r="GO248" s="5">
        <v>343.14810671672558</v>
      </c>
      <c r="GP248" s="5">
        <v>308.92200917413498</v>
      </c>
      <c r="GQ248" s="5">
        <v>535.04305713031317</v>
      </c>
      <c r="GR248" s="5">
        <v>410.15490233172511</v>
      </c>
      <c r="GS248" s="5">
        <v>339.42744393800166</v>
      </c>
      <c r="GT248" s="5">
        <v>293.4407446948278</v>
      </c>
      <c r="GU248" s="5">
        <v>258.04012322764959</v>
      </c>
      <c r="GV248" s="39" t="s">
        <v>392</v>
      </c>
      <c r="GW248" s="5">
        <v>491.45833333333331</v>
      </c>
      <c r="GX248" s="5">
        <v>368.59375</v>
      </c>
      <c r="GY248" s="5">
        <v>294.875</v>
      </c>
      <c r="GZ248" s="5">
        <v>260.19607020114813</v>
      </c>
      <c r="HA248" s="5">
        <v>241.02179695997205</v>
      </c>
      <c r="HB248" s="39">
        <v>276.43769591265124</v>
      </c>
      <c r="HC248" s="5">
        <v>261.64687500000002</v>
      </c>
      <c r="HD248" s="5">
        <v>222.30677997076018</v>
      </c>
      <c r="HE248" s="5">
        <v>224.71639254385963</v>
      </c>
      <c r="HF248" s="5">
        <v>207.35750548245613</v>
      </c>
      <c r="HG248" s="5">
        <v>199.39971491228067</v>
      </c>
      <c r="HH248" s="39">
        <v>222.92269080284072</v>
      </c>
      <c r="HI248" s="16"/>
      <c r="HJ248" s="19" t="str">
        <f t="shared" si="753"/>
        <v>On</v>
      </c>
      <c r="HK248" s="1" t="str">
        <f t="shared" si="753"/>
        <v>On</v>
      </c>
      <c r="HL248" s="16"/>
      <c r="HM248" s="639">
        <f t="shared" si="634"/>
        <v>1.2768706344444866E-2</v>
      </c>
      <c r="HN248" s="639">
        <f t="shared" si="635"/>
        <v>9.795534288915453E-4</v>
      </c>
      <c r="HO248" s="639">
        <f t="shared" si="636"/>
        <v>3.3583061774515237E-3</v>
      </c>
      <c r="HP248" s="644">
        <f>(FT248*$GD248-HM248)/$JF248*INDEX(Input!$1:$1048576,$JG$93,$C248*2+6)</f>
        <v>136.57387525710615</v>
      </c>
      <c r="HQ248" s="644">
        <f>(FU248*$GD248-HN248)/$JF248*INDEX(Input!$1:$1048576,$JG$93,$C248*2+6)</f>
        <v>-9.0308338168699418</v>
      </c>
      <c r="HR248" s="644">
        <f>(FV248*$GD248-HO248)/$JF248*INDEX(Input!$1:$1048576,$JG$93,$C248*2+6)</f>
        <v>-67.259304742900582</v>
      </c>
      <c r="HS248" s="644">
        <f t="shared" si="754"/>
        <v>-33.808879002934745</v>
      </c>
      <c r="HT248" s="644">
        <f t="shared" si="638"/>
        <v>-4.3725030156984683</v>
      </c>
      <c r="HU248" s="644">
        <f t="shared" si="639"/>
        <v>1.3944965247282006</v>
      </c>
      <c r="HV248" s="648">
        <f t="shared" si="640"/>
        <v>0</v>
      </c>
      <c r="HW248" s="648">
        <f t="shared" si="641"/>
        <v>0</v>
      </c>
      <c r="HX248" s="648">
        <f t="shared" si="642"/>
        <v>0</v>
      </c>
      <c r="HY248" s="644">
        <f>INDEX(Input!$1:$1048576,HY$93,$C248*2+6)*INDEX(Input!$1:$1048576,$JG$93,$C248*2+6)</f>
        <v>451</v>
      </c>
      <c r="HZ248" s="644">
        <f>INDEX(Input!$1:$1048576,HZ$93,$C248*2+6)*INDEX(Input!$1:$1048576,$JG$93,$C248*2+6)</f>
        <v>577</v>
      </c>
      <c r="IA248" s="644">
        <f>INDEX(Input!$1:$1048576,IA$93,$C248*2+6)*INDEX(Input!$1:$1048576,$JG$93,$C248*2+6)</f>
        <v>215</v>
      </c>
      <c r="IB248" s="644">
        <f t="shared" si="666"/>
        <v>553.76499625417148</v>
      </c>
      <c r="IC248" s="644">
        <f t="shared" si="667"/>
        <v>563.59666316743153</v>
      </c>
      <c r="ID248" s="644">
        <f>IF(AND(INDEX(Input!$1:$1048576,IA$93,$C248*2+7)="TOS",Y248&lt;=INDEX(Y:Y,MATCH(C248*1000+2,A:A))),0,1)*MAX(IA248+HR248+HU248+HX248,0%)</f>
        <v>149.13519178182761</v>
      </c>
      <c r="IE248" s="128">
        <f t="shared" si="759"/>
        <v>0.43724151049249088</v>
      </c>
      <c r="IF248" s="128">
        <f t="shared" si="643"/>
        <v>0.44500439352209964</v>
      </c>
      <c r="IG248" s="128">
        <f t="shared" si="644"/>
        <v>0.11775409598540947</v>
      </c>
      <c r="IH248" s="21"/>
      <c r="II248" s="19">
        <f t="shared" si="645"/>
        <v>1252</v>
      </c>
      <c r="IJ248" s="19">
        <f t="shared" si="646"/>
        <v>2011.9658773055378</v>
      </c>
      <c r="IK248" s="19">
        <f t="shared" si="647"/>
        <v>919</v>
      </c>
      <c r="IL248" s="19">
        <f t="shared" si="669"/>
        <v>542.00000000000023</v>
      </c>
      <c r="IM248" s="19">
        <f t="shared" si="648"/>
        <v>42.107386685511074</v>
      </c>
      <c r="IN248" s="19">
        <f t="shared" si="649"/>
        <v>-333</v>
      </c>
      <c r="IO248" s="39">
        <f t="shared" si="650"/>
        <v>0</v>
      </c>
      <c r="IP248" s="39">
        <f t="shared" si="651"/>
        <v>0</v>
      </c>
      <c r="IQ248" s="39">
        <f t="shared" si="652"/>
        <v>0</v>
      </c>
      <c r="IR248" s="39">
        <v>0</v>
      </c>
      <c r="IS248" s="39">
        <v>0</v>
      </c>
      <c r="IT248" s="39">
        <v>0</v>
      </c>
      <c r="IU248" s="39">
        <v>0</v>
      </c>
      <c r="IV248" s="39">
        <v>0</v>
      </c>
      <c r="IW248" s="39">
        <v>0</v>
      </c>
      <c r="IX248" s="39">
        <f>INDEX(Input!$1:$1048576,IX$93,$C248*2+6)+INDEX(Input!$1:$1048576,IX$94,$C248*2+6)</f>
        <v>1294</v>
      </c>
      <c r="IY248" s="39">
        <f>INDEX(Input!$1:$1048576,IY$93,$C248*2+6)+INDEX(Input!$1:$1048576,IY$94,$C248*2+6)</f>
        <v>2154.0624533823611</v>
      </c>
      <c r="IZ248" s="39">
        <f>INDEX(Input!$1:$1048576,IZ$93,$C248*2+6)+INDEX(Input!$1:$1048576,IZ$94,$C248*2+6)</f>
        <v>3677.7164157747848</v>
      </c>
      <c r="JA248" s="19">
        <f t="shared" si="670"/>
        <v>1836.0000000000002</v>
      </c>
      <c r="JB248" s="19">
        <f t="shared" si="671"/>
        <v>2196.1698400678724</v>
      </c>
      <c r="JC248" s="19">
        <f t="shared" si="672"/>
        <v>3344.7164157747848</v>
      </c>
      <c r="JD248" s="19">
        <f t="shared" si="673"/>
        <v>2173.9346988822622</v>
      </c>
      <c r="JE248" s="21"/>
      <c r="JF248" s="1">
        <f t="shared" si="653"/>
        <v>1.7106565950787935E-2</v>
      </c>
      <c r="JG248" s="15">
        <f>INDEX(Input!$1:$1048576,JG$93,$C248*2+6)/(1+VLOOKUP(C248*1000+INDEX(Input!$1:$1048576,JG$93+1,$C248*2+6),$A:$KK,$JK$92,FALSE))</f>
        <v>1243</v>
      </c>
      <c r="JH248" s="1">
        <f t="shared" si="674"/>
        <v>4.8498581413785699E-2</v>
      </c>
      <c r="JI248" s="1">
        <f t="shared" si="675"/>
        <v>-2.9595241748917953E-2</v>
      </c>
      <c r="JJ248" s="1">
        <f t="shared" si="731"/>
        <v>0</v>
      </c>
      <c r="JK248" s="1">
        <f t="shared" si="732"/>
        <v>1.8903339664867746E-2</v>
      </c>
      <c r="JL248" s="15">
        <f t="shared" si="678"/>
        <v>23.496851203430609</v>
      </c>
      <c r="JM248" s="15">
        <f t="shared" si="702"/>
        <v>1266.4968512034307</v>
      </c>
      <c r="JN248" s="21"/>
      <c r="JO248" s="19">
        <f>INDEX(Input!$1:$1048576,JO$93,$C248*2+6)</f>
        <v>5995.5</v>
      </c>
      <c r="JP248" s="19">
        <f>INDEX(Input!$1:$1048576,JP$93,$C248*2+6)</f>
        <v>2105.548724853742</v>
      </c>
      <c r="JQ248" s="39">
        <f t="shared" si="688"/>
        <v>3821.5653011177378</v>
      </c>
      <c r="JR248" s="39">
        <f t="shared" si="705"/>
        <v>68.385974028520195</v>
      </c>
      <c r="JS248" s="39">
        <f t="shared" si="690"/>
        <v>2.7532814508562633</v>
      </c>
      <c r="JT248" s="39">
        <f t="shared" si="680"/>
        <v>0.13608438586306199</v>
      </c>
      <c r="JU248" s="385">
        <f>(JQ248*JM248-INDEX(Input!$1:$1048576,Input!A$18,$C248*2+6)*JL248*INDEX(Input!$1:$1048576,Input!A$19,$C248*2+6))/1000000</f>
        <v>4.8400004205339044</v>
      </c>
      <c r="JV248" s="39">
        <f t="shared" si="712"/>
        <v>4.7909855271059953E-3</v>
      </c>
      <c r="JW248" s="1">
        <f t="shared" si="703"/>
        <v>9.9085377614036257E-4</v>
      </c>
      <c r="JX248" s="19">
        <f t="shared" si="694"/>
        <v>5791.6009547352996</v>
      </c>
      <c r="JZ248" s="341"/>
      <c r="KA248" s="342"/>
      <c r="KB248" s="469">
        <f t="shared" si="691"/>
        <v>2.5660492421988774</v>
      </c>
      <c r="KI248" s="473">
        <f t="shared" si="756"/>
        <v>102.76499625417148</v>
      </c>
      <c r="KJ248" s="473">
        <f t="shared" si="757"/>
        <v>-13.403336832568471</v>
      </c>
      <c r="KK248" s="473">
        <f t="shared" si="682"/>
        <v>-65.864808218172385</v>
      </c>
      <c r="KN248" s="544">
        <f t="shared" si="695"/>
        <v>2002</v>
      </c>
      <c r="KO248" s="541">
        <f t="shared" si="657"/>
        <v>1.2900219696254434E-2</v>
      </c>
      <c r="KP248" s="546">
        <f t="shared" si="658"/>
        <v>176.27656243783173</v>
      </c>
      <c r="KQ248" s="546">
        <f t="shared" si="659"/>
        <v>30.254359448789273</v>
      </c>
      <c r="KR248" s="548">
        <f t="shared" si="660"/>
        <v>1.305658223132087</v>
      </c>
      <c r="KS248" s="548">
        <f t="shared" si="661"/>
        <v>7.6073976605583793</v>
      </c>
      <c r="KT248" s="473">
        <f t="shared" si="693"/>
        <v>843.26993010479111</v>
      </c>
      <c r="KU248" s="663">
        <f t="shared" si="683"/>
        <v>4.613907112028393</v>
      </c>
      <c r="KV248" s="117"/>
    </row>
    <row r="249" spans="1:308" s="26" customFormat="1" ht="15">
      <c r="A249" s="561">
        <f t="shared" si="662"/>
        <v>2049</v>
      </c>
      <c r="B249" s="561">
        <f t="shared" si="684"/>
        <v>49</v>
      </c>
      <c r="C249" s="561">
        <f t="shared" si="760"/>
        <v>2</v>
      </c>
      <c r="D249" s="561" t="str">
        <f t="shared" si="728"/>
        <v xml:space="preserve">750 CC, -360 Lease, </v>
      </c>
      <c r="E249" s="475">
        <f>INDEX(Input!$1:$1048576,E$93,$C249*2+MIN($B249,2)+5)
+INDEX(Scenarios!E$121:E$200,MATCH($B249,Scenarios!$B$121:$B$200,0))</f>
        <v>2019.7618664521319</v>
      </c>
      <c r="F249" s="475">
        <f>INDEX(Input!$1:$1048576,F$93,$C249*2+MIN($B249,2)+5)
+INDEX(Scenarios!F$121:F$200,MATCH($B249,Scenarios!$B$121:$B$200,0))</f>
        <v>0</v>
      </c>
      <c r="G249" s="475">
        <f>INDEX(Input!$1:$1048576,G$93,$C249*2+MIN($B249,2)+5)
+INDEX(Scenarios!G$121:G$200,MATCH($B249,Scenarios!$B$121:$B$200,0))</f>
        <v>0</v>
      </c>
      <c r="H249" s="475">
        <f>INDEX(Input!$1:$1048576,H$93,$C249*2+MIN($B249,2)+5)
+INDEX(Scenarios!H$121:H$200,MATCH($B249,Scenarios!$B$121:$B$200,0))</f>
        <v>0</v>
      </c>
      <c r="I249" s="476">
        <f>INDEX(Input!$1:$1048576,I$93,$C249*2+MIN($B249,2)+5)</f>
        <v>0.7</v>
      </c>
      <c r="J249" s="476" t="str">
        <f>INDEX(Input!$1:$1048576,J$93,$C249*2+MIN($B249,2)+5)</f>
        <v>Market</v>
      </c>
      <c r="K249" s="476" t="str">
        <f>INDEX(Input!$1:$1048576,K$93,$C249*2+MIN($B249,2)+5)</f>
        <v>Market</v>
      </c>
      <c r="L249" s="476" t="str">
        <f>INDEX(Input!$1:$1048576,L$93,$C249*2+MIN($B249,2)+5)</f>
        <v>Market</v>
      </c>
      <c r="M249" s="476" t="str">
        <f>INDEX(Input!$1:$1048576,M$93,$C249*2+MIN($B249,2)+5)</f>
        <v>Market</v>
      </c>
      <c r="N249" s="476" t="str">
        <f>INDEX(Input!$1:$1048576,N$93,$C249*2+MIN($B249,2)+5)</f>
        <v>Market</v>
      </c>
      <c r="O249" s="476" t="str">
        <f>INDEX(Input!$1:$1048576,O$93,$C249*2+MIN($B249,2)+5)</f>
        <v>Market</v>
      </c>
      <c r="P249" s="476" t="str">
        <f>INDEX(Input!$1:$1048576,P$93,$C249*2+MIN($B249,2)+5)</f>
        <v>N</v>
      </c>
      <c r="Q249" s="477">
        <f>INDEX(Input!$1:$1048576,Q$93,$C249*2+MIN($B249,2)+5)
+INDEX(Scenarios!Q$121:Q$200,MATCH($B249,Scenarios!$B$121:$B$200,0))</f>
        <v>0</v>
      </c>
      <c r="R249" s="478">
        <f>IFERROR(MAX(0,INDEX(Input!$1:$1048576,R$93,$C249*2+MIN($B249,2)+5)
+INDEX(Scenarios!R$121:R$200,MATCH($B249,Scenarios!$B$121:$B$200,0)),),"Market")</f>
        <v>0</v>
      </c>
      <c r="S249" s="478">
        <f>IFERROR(MAX(0,INDEX(Input!$1:$1048576,S$93,$C249*2+MIN($B249,2)+5)
+INDEX(Scenarios!S$121:S$200,MATCH($B249,Scenarios!$B$121:$B$200,0)),),"Market")</f>
        <v>0</v>
      </c>
      <c r="T249" s="478">
        <f>IFERROR(MAX(0,INDEX(Input!$1:$1048576,T$93,$C249*2+MIN($B249,2)+5)
+INDEX(Scenarios!T$121:T$200,MATCH($B249,Scenarios!$B$121:$B$200,0)),),"Market")</f>
        <v>0</v>
      </c>
      <c r="U249" s="478">
        <f>IFERROR(MAX(0,INDEX(Input!$1:$1048576,U$93,$C249*2+MIN($B249,2)+5)
+INDEX(Scenarios!U$121:U$200,MATCH($B249,Scenarios!$B$121:$B$200,0)),),"Market")</f>
        <v>0</v>
      </c>
      <c r="V249" s="478">
        <f>IFERROR(MAX(0,INDEX(Input!$1:$1048576,V$93,$C249*2+MIN($B249,2)+5)
+INDEX(Scenarios!V$121:V$200,MATCH($B249,Scenarios!$B$121:$B$200,0)),),"Market")</f>
        <v>1.9E-2</v>
      </c>
      <c r="W249" s="885">
        <f>IFERROR(MAX(0,INDEX(Input!$1:$1048576,W$93,$C249*2+MIN($B249,2)+5)-0%,),"Market")</f>
        <v>3.9E-2</v>
      </c>
      <c r="X249" s="476" t="str">
        <f>INDEX(Input!$1:$1048576,X$93,$C249*2+MIN($B249,2)+5)</f>
        <v>Y</v>
      </c>
      <c r="Y249" s="475">
        <f>INDEX(Input!$1:$1048576,Y$93,$C249*2+MIN($B249,2)+5)
++INDEX(Scenarios!Y$121:Y$200,MATCH($B249,Scenarios!$B$121:$B$200,0))</f>
        <v>-304</v>
      </c>
      <c r="Z249" s="477">
        <f>INDEX(Input!$1:$1048576,Z$93,$C249*2+MIN($B249,2)+5)
+INDEX(Scenarios!Z$121:Z$200,MATCH($B249,Scenarios!$B$121:$B$200,0))</f>
        <v>0</v>
      </c>
      <c r="AA249" s="475">
        <f>INDEX(Input!$1:$1048576,AA$93,$C249*2+MIN($B249,2)+5)
+INDEX(Scenarios!AA$121:AA$200,MATCH($B249,Scenarios!$B$121:$B$200,0))</f>
        <v>0</v>
      </c>
      <c r="AB249" s="476">
        <f>INDEX(Input!$1:$1048576,AB$93,$C249*2+MIN($B249,2)+5)</f>
        <v>0.27</v>
      </c>
      <c r="AC249" s="475">
        <f>INDEX(Input!$1:$1048576,AC$93,$C249*2+MIN($B249,2)+5)
+INDEX(Scenarios!AC$121:AC$200,MATCH($B249,Scenarios!$B$121:$B$200,0))</f>
        <v>0</v>
      </c>
      <c r="AD249" s="476">
        <f>INDEX(Input!$1:$1048576,AD$93,$C249*2+MIN($B249,2)+5)</f>
        <v>0.27</v>
      </c>
      <c r="AE249" s="475">
        <f>INDEX(Input!$1:$1048576,AE$93,$C249*2+MIN($B249,2)+5)
+INDEX(Scenarios!AE$121:AE$200,MATCH($B249,Scenarios!$B$121:$B$200,0))</f>
        <v>0</v>
      </c>
      <c r="AF249" s="476">
        <f>INDEX(Input!$1:$1048576,AF$93,$C249*2+MIN($B249,2)+5)</f>
        <v>4.8000000000000001E-2</v>
      </c>
      <c r="AG249" s="475">
        <f>INDEX(Input!$1:$1048576,AG$93,$C249*2+MIN($B249,2)+5)
+INDEX(Scenarios!AG$121:AG$200,MATCH($B249,Scenarios!$B$121:$B$200,0))</f>
        <v>500</v>
      </c>
      <c r="AH249" s="476">
        <f>INDEX(Input!$1:$1048576,AH$93,$C249*2+MIN($B249,2)+5)</f>
        <v>0.94599999999999995</v>
      </c>
      <c r="AI249" s="475">
        <f>INDEX(Input!$1:$1048576,AI$93,$C249*2+MIN($B249,2)+5)
+INDEX(Scenarios!AI$121:AI$200,MATCH($B249,Scenarios!$B$121:$B$200,0))</f>
        <v>0</v>
      </c>
      <c r="AJ249" s="476">
        <f>INDEX(Input!$1:$1048576,AJ$93,$C249*2+MIN($B249,2)+5)</f>
        <v>0.27</v>
      </c>
      <c r="AK249" s="150">
        <f>ROUND(INDEX(Input!$1:$1048576,AK$93,$C248*2+MIN($B249,1)+5)+(Y249-VLOOKUP($C249*1000+1,$A:$HH,Y$92,FALSE)),0)</f>
        <v>2617</v>
      </c>
      <c r="AL249" s="150">
        <f>ROUND(INDEX(Input!$1:$1048576,AL$93,$C248*2+MIN($B249,1)+5)-(Y249-VLOOKUP($C249*1000+1,$A:$HH,Y$92,FALSE))/36,0)</f>
        <v>3405</v>
      </c>
      <c r="AM249" s="32" t="str">
        <f t="shared" si="663"/>
        <v>std/std/std/std</v>
      </c>
      <c r="AN249" s="32" t="str">
        <f t="shared" si="664"/>
        <v>$0 + 0/0/0/1.9/3.9</v>
      </c>
      <c r="AO249" s="32" t="str">
        <f t="shared" si="665"/>
        <v>0/0/0/1.9/3.9</v>
      </c>
      <c r="AP249" s="32" t="str">
        <f t="shared" si="734"/>
        <v>0/0.9/1.9/3.9</v>
      </c>
      <c r="AQ249" s="536">
        <f t="shared" si="733"/>
        <v>0.46078101991693238</v>
      </c>
      <c r="AR249" s="32"/>
      <c r="AS249" s="302"/>
      <c r="AT249" s="3">
        <f t="shared" si="717"/>
        <v>49</v>
      </c>
      <c r="AU249" s="41" t="s">
        <v>121</v>
      </c>
      <c r="AV249" s="41" t="s">
        <v>116</v>
      </c>
      <c r="AW249" s="41" t="str">
        <f>INDEX(Input!$1:$1048576,AW$93,$C249*2+6)</f>
        <v>Kia</v>
      </c>
      <c r="AX249" s="41" t="str">
        <f>INDEX(Input!$1:$1048576,AX$93,$C249*2+6)</f>
        <v>Kia-LR - L2</v>
      </c>
      <c r="AY249" s="41" t="str">
        <f>IF(LEN(D249)=0,"",INDEX(Input!$1:$1048576,AY$93,$C249*2+6))</f>
        <v>Compact SUV (52)</v>
      </c>
      <c r="AZ249" s="41" t="str">
        <f>INDEX(Input!$1:$1048576,AZ$93,$C249*2+6)</f>
        <v>Kia Soul</v>
      </c>
      <c r="BA249" s="3">
        <f>INDEX(Input!$1:$1048576,BA$93,$C249*2+6)</f>
        <v>2020</v>
      </c>
      <c r="BB249" s="128">
        <f>INDEX(Input!$1:$1048576,BB$93,$C249*2+6)</f>
        <v>1</v>
      </c>
      <c r="BC249" s="128">
        <f>INDEX(Input!$1:$1048576,BC$93,$C249*2+6)</f>
        <v>0.7</v>
      </c>
      <c r="BD249" s="1">
        <f>INDEX(Input!$1:$1048576,BD$93,$C249*2+6)</f>
        <v>4.4999999999999998E-2</v>
      </c>
      <c r="BE249" s="1">
        <f>INDEX(Input!$1:$1048576,BE$93,$C249*2+6)</f>
        <v>4.4999999999999998E-2</v>
      </c>
      <c r="BF249" s="1">
        <f>INDEX(Input!$1:$1048576,BF$93,$C249*2+6)</f>
        <v>0.05</v>
      </c>
      <c r="BG249" s="1">
        <f>INDEX(Input!$1:$1048576,BG$93,$C249*2+6)</f>
        <v>5.45E-2</v>
      </c>
      <c r="BH249" s="1">
        <f>INDEX(Input!$1:$1048576,BH$93,$C249*2+6)</f>
        <v>5.45E-2</v>
      </c>
      <c r="BI249" s="1">
        <f>INDEX(Input!$1:$1048576,BI$93,$C249*2+6)</f>
        <v>0.05</v>
      </c>
      <c r="BJ249" s="1">
        <f>INDEX(Input!$1:$1048576,BJ$93,$C249*2+6)</f>
        <v>0.05</v>
      </c>
      <c r="BK249" s="1">
        <f>INDEX(Input!$1:$1048576,BK$93,$C249*2+6)</f>
        <v>0.05</v>
      </c>
      <c r="BL249" s="1">
        <f>INDEX(Input!$1:$1048576,BL$93,$C249*2+6)</f>
        <v>5.5E-2</v>
      </c>
      <c r="BM249" s="1">
        <f>INDEX(Input!$1:$1048576,BM$93,$C249*2+6)</f>
        <v>0.06</v>
      </c>
      <c r="BN249" s="1">
        <f>INDEX(Input!$1:$1048576,BN$93,$C249*2+6)</f>
        <v>4.4999999999999998E-2</v>
      </c>
      <c r="BO249" s="1">
        <f>INDEX(Input!$1:$1048576,BO$93,$C249*2+6)</f>
        <v>4.4999999999999998E-2</v>
      </c>
      <c r="BP249" s="1">
        <f>INDEX(Input!$1:$1048576,BP$93,$C249*2+6)</f>
        <v>0.05</v>
      </c>
      <c r="BQ249" s="1">
        <f>INDEX(Input!$1:$1048576,BQ$93,$C249*2+6)</f>
        <v>5.45E-2</v>
      </c>
      <c r="BR249" s="1">
        <f>INDEX(Input!$1:$1048576,BR$93,$C249*2+6)</f>
        <v>5.45E-2</v>
      </c>
      <c r="BS249" s="1">
        <f>INDEX(Input!$1:$1048576,BS$93,$C249*2+6)</f>
        <v>0.05</v>
      </c>
      <c r="BT249" s="1">
        <f>INDEX(Input!$1:$1048576,BT$93,$C249*2+6)</f>
        <v>0.05</v>
      </c>
      <c r="BU249" s="1">
        <f>INDEX(Input!$1:$1048576,BU$93,$C249*2+6)</f>
        <v>0.05</v>
      </c>
      <c r="BV249" s="1">
        <f>INDEX(Input!$1:$1048576,BV$93,$C249*2+6)</f>
        <v>5.5E-2</v>
      </c>
      <c r="BW249" s="1">
        <f>INDEX(Input!$1:$1048576,BW$93,$C249*2+6)</f>
        <v>0.06</v>
      </c>
      <c r="BX249" s="127">
        <f>INDEX(Input!$1:$1048576,BX$93,$C249*2+6)</f>
        <v>19985</v>
      </c>
      <c r="BY249" s="20">
        <f>INDEX(Input!$1:$1048576,BY$93,$C249*2+6)</f>
        <v>0.1</v>
      </c>
      <c r="BZ249" s="20">
        <f>INDEX(Input!$1:$1048576,BZ$93,$C249*2+6)</f>
        <v>0.1</v>
      </c>
      <c r="CA249" s="20">
        <f>INDEX(Input!$1:$1048576,CA$93,$C249*2+6)</f>
        <v>0.1</v>
      </c>
      <c r="CB249" s="20">
        <f>INDEX(Input!$1:$1048576,CB$93,$C249*2+6)</f>
        <v>0.1</v>
      </c>
      <c r="CC249" s="20">
        <f>INDEX(Input!$1:$1048576,CC$93,$C249*2+6)</f>
        <v>0.1</v>
      </c>
      <c r="CD249" s="384">
        <f>INDEX(Input!$1:$1048576,CD$93,$C249*2+6)</f>
        <v>0.1</v>
      </c>
      <c r="CE249" s="384">
        <f>INDEX(Input!$1:$1048576,CE$93,$C249*2+6)</f>
        <v>0.1</v>
      </c>
      <c r="CF249" s="384">
        <f>INDEX(Input!$1:$1048576,CF$93,$C249*2+6)</f>
        <v>0.1</v>
      </c>
      <c r="CG249" s="384">
        <f>INDEX(Input!$1:$1048576,CG$93,$C249*2+6)</f>
        <v>0.1</v>
      </c>
      <c r="CH249" s="384">
        <f>INDEX(Input!$1:$1048576,CH$93,$C249*2+6)</f>
        <v>0.1</v>
      </c>
      <c r="CI249" s="304">
        <f t="shared" si="735"/>
        <v>2019.7618664521319</v>
      </c>
      <c r="CJ249" s="16" t="str">
        <f>INDEX(Input!$1:$1048576,CJ$93,$C249*2+6)</f>
        <v>N</v>
      </c>
      <c r="CK249" s="1" t="str">
        <f t="shared" si="736"/>
        <v>Market</v>
      </c>
      <c r="CL249" s="1" t="str">
        <f t="shared" si="737"/>
        <v>Market</v>
      </c>
      <c r="CM249" s="1" t="str">
        <f t="shared" si="738"/>
        <v>Market</v>
      </c>
      <c r="CN249" s="1" t="str">
        <f t="shared" si="739"/>
        <v>Market</v>
      </c>
      <c r="CO249" s="1" t="str">
        <f t="shared" si="740"/>
        <v>Market</v>
      </c>
      <c r="CP249" s="304">
        <f t="shared" si="741"/>
        <v>473</v>
      </c>
      <c r="CQ249" s="1">
        <f t="shared" si="742"/>
        <v>0</v>
      </c>
      <c r="CR249" s="1">
        <f t="shared" si="743"/>
        <v>0</v>
      </c>
      <c r="CS249" s="1">
        <f t="shared" si="744"/>
        <v>0</v>
      </c>
      <c r="CT249" s="1">
        <f t="shared" si="745"/>
        <v>1.9E-2</v>
      </c>
      <c r="CU249" s="1">
        <f t="shared" si="746"/>
        <v>3.9E-2</v>
      </c>
      <c r="CV249" s="304">
        <f t="shared" si="747"/>
        <v>-304</v>
      </c>
      <c r="CW249" s="20" t="s">
        <v>122</v>
      </c>
      <c r="CX249" s="20" t="s">
        <v>122</v>
      </c>
      <c r="CY249" s="20" t="s">
        <v>122</v>
      </c>
      <c r="CZ249" s="20" t="s">
        <v>122</v>
      </c>
      <c r="DA249" s="20" t="s">
        <v>122</v>
      </c>
      <c r="DB249" s="503">
        <f t="shared" si="748"/>
        <v>0</v>
      </c>
      <c r="DC249" s="127">
        <v>0</v>
      </c>
      <c r="DD249" s="127">
        <v>0</v>
      </c>
      <c r="DE249" s="127">
        <v>0</v>
      </c>
      <c r="DF249" s="127">
        <v>0</v>
      </c>
      <c r="DG249" s="127">
        <v>0</v>
      </c>
      <c r="DH249" s="127">
        <v>0</v>
      </c>
      <c r="DI249" s="127">
        <v>0</v>
      </c>
      <c r="DJ249" s="127">
        <v>0</v>
      </c>
      <c r="DK249" s="127">
        <v>0</v>
      </c>
      <c r="DL249" s="127">
        <v>0</v>
      </c>
      <c r="DM249" s="304">
        <f>INDEX(Input!$1:$1048576,DM$93,$C249*2+6)</f>
        <v>21036.84210526316</v>
      </c>
      <c r="DN249" s="20">
        <v>0</v>
      </c>
      <c r="DO249" s="20">
        <v>0</v>
      </c>
      <c r="DP249" s="20">
        <v>0</v>
      </c>
      <c r="DQ249" s="20">
        <v>0</v>
      </c>
      <c r="DR249" s="20">
        <v>0</v>
      </c>
      <c r="DS249" s="20">
        <f>INDEX(Input!$1:$1048576,DS$93,$C249*2+6)</f>
        <v>0.6</v>
      </c>
      <c r="DT249" s="20">
        <f>INDEX(Input!$1:$1048576,DT$93,$C249*2+6)</f>
        <v>0.55000000000000004</v>
      </c>
      <c r="DU249" s="20">
        <f>INDEX(Input!$1:$1048576,DU$93,$C249*2+6)</f>
        <v>0.52</v>
      </c>
      <c r="DV249" s="20">
        <f>INDEX(Input!$1:$1048576,DV$93,$C249*2+6)</f>
        <v>0.5</v>
      </c>
      <c r="DW249" s="20">
        <f>INDEX(Input!$1:$1048576,DW$93,$C249*2+6)</f>
        <v>0.45</v>
      </c>
      <c r="DX249" s="20"/>
      <c r="DY249" s="7">
        <v>0.11274450939624434</v>
      </c>
      <c r="DZ249" s="7">
        <v>0</v>
      </c>
      <c r="EA249" s="7">
        <v>0.72336633000422845</v>
      </c>
      <c r="EB249" s="7">
        <v>0</v>
      </c>
      <c r="EC249" s="7">
        <v>0</v>
      </c>
      <c r="ED249" s="7">
        <v>0</v>
      </c>
      <c r="EE249" s="7">
        <v>0</v>
      </c>
      <c r="EF249" s="7">
        <v>0</v>
      </c>
      <c r="EG249" s="7">
        <v>0</v>
      </c>
      <c r="EH249" s="7">
        <v>1.4285660010686213E-2</v>
      </c>
      <c r="EI249" s="7">
        <v>4.0675929947418941E-2</v>
      </c>
      <c r="EJ249" s="7">
        <v>0.30752963042084552</v>
      </c>
      <c r="EK249" s="7">
        <v>0.52639904123205195</v>
      </c>
      <c r="EL249" s="7">
        <v>0.11110973838899726</v>
      </c>
      <c r="EM249" s="7">
        <v>4.2601401636093397E-2</v>
      </c>
      <c r="EN249" s="7">
        <v>6.4349022091998012E-2</v>
      </c>
      <c r="EO249" s="7">
        <v>0.72182393638987408</v>
      </c>
      <c r="EP249" s="7">
        <v>9.2905513131426129E-2</v>
      </c>
      <c r="EQ249" s="7">
        <v>7.9195560800818993E-2</v>
      </c>
      <c r="ER249" s="7">
        <v>4.1725967585882803E-2</v>
      </c>
      <c r="ES249" s="7">
        <v>0.1212877589634339</v>
      </c>
      <c r="ET249" s="7">
        <v>0.16388916059952721</v>
      </c>
      <c r="EU249" s="6">
        <v>2044</v>
      </c>
      <c r="EV249" s="6">
        <v>0</v>
      </c>
      <c r="EW249" s="6">
        <v>2044</v>
      </c>
      <c r="EX249" s="6">
        <v>0</v>
      </c>
      <c r="EY249" s="6">
        <v>2054.1018356449877</v>
      </c>
      <c r="EZ249" s="6">
        <v>586</v>
      </c>
      <c r="FA249" s="6">
        <v>0</v>
      </c>
      <c r="FB249" s="6">
        <v>0</v>
      </c>
      <c r="FC249" s="6">
        <v>0</v>
      </c>
      <c r="FD249" s="6">
        <v>0</v>
      </c>
      <c r="FE249" s="6">
        <v>0</v>
      </c>
      <c r="FF249" s="6">
        <v>0</v>
      </c>
      <c r="FG249" s="6">
        <v>0</v>
      </c>
      <c r="FH249" s="6">
        <v>1173.736946237786</v>
      </c>
      <c r="FI249" s="6">
        <v>1553.9796069512404</v>
      </c>
      <c r="FJ249" s="6">
        <v>2101.2110117447405</v>
      </c>
      <c r="FK249" s="6">
        <v>1772.7139978623243</v>
      </c>
      <c r="FL249" s="6">
        <v>907.0768214096629</v>
      </c>
      <c r="FM249" s="6">
        <v>1760.1018356449874</v>
      </c>
      <c r="FN249" s="6">
        <v>0</v>
      </c>
      <c r="FO249" s="6">
        <v>0</v>
      </c>
      <c r="FP249" s="6">
        <v>0</v>
      </c>
      <c r="FQ249" s="6">
        <v>0</v>
      </c>
      <c r="FR249" s="6">
        <v>0</v>
      </c>
      <c r="FS249" s="6">
        <v>0</v>
      </c>
      <c r="FT249" s="7">
        <v>0.83611083940047282</v>
      </c>
      <c r="FU249" s="7">
        <v>4.2601401636093397E-2</v>
      </c>
      <c r="FV249" s="7">
        <v>0.1212877589634339</v>
      </c>
      <c r="FW249" s="6">
        <v>2044</v>
      </c>
      <c r="FX249" s="6">
        <v>2054.1018356449877</v>
      </c>
      <c r="FY249" s="6">
        <v>586</v>
      </c>
      <c r="FZ249" s="6">
        <v>1817.4615072224267</v>
      </c>
      <c r="GA249" s="6">
        <v>1867.5927997888873</v>
      </c>
      <c r="GB249" s="6">
        <v>18117.407200211113</v>
      </c>
      <c r="GC249" s="7">
        <v>1.804905384453976E-2</v>
      </c>
      <c r="GD249" s="7">
        <v>1.8409112098662053E-2</v>
      </c>
      <c r="GE249" s="7"/>
      <c r="GF249" s="7"/>
      <c r="GG249" s="7">
        <v>1.9948871404758879E-2</v>
      </c>
      <c r="GH249" s="42">
        <v>7.9526813416104538</v>
      </c>
      <c r="GI249" s="6">
        <v>4380.5817077479478</v>
      </c>
      <c r="GJ249" s="14">
        <v>0.50394797582841733</v>
      </c>
      <c r="GK249" s="14">
        <v>0.50887573065309755</v>
      </c>
      <c r="GL249" s="14">
        <v>0.49605202417158306</v>
      </c>
      <c r="GM249" s="14">
        <v>0.4911242693469024</v>
      </c>
      <c r="GO249" s="5">
        <v>343.14810671672558</v>
      </c>
      <c r="GP249" s="5">
        <v>304.15248610521212</v>
      </c>
      <c r="GQ249" s="5">
        <v>535.04305713031317</v>
      </c>
      <c r="GR249" s="5">
        <v>410.15490233172511</v>
      </c>
      <c r="GS249" s="5">
        <v>339.42744393800166</v>
      </c>
      <c r="GT249" s="5">
        <v>293.4407446948278</v>
      </c>
      <c r="GU249" s="5">
        <v>258.04012322764959</v>
      </c>
      <c r="GV249" s="39" t="s">
        <v>392</v>
      </c>
      <c r="GW249" s="5">
        <v>491.45833333333331</v>
      </c>
      <c r="GX249" s="5">
        <v>368.59375</v>
      </c>
      <c r="GY249" s="5">
        <v>294.875</v>
      </c>
      <c r="GZ249" s="5">
        <v>260.19607020114813</v>
      </c>
      <c r="HA249" s="5">
        <v>241.02179695997205</v>
      </c>
      <c r="HB249" s="39">
        <v>276.44333067632232</v>
      </c>
      <c r="HC249" s="5">
        <v>261.64687500000002</v>
      </c>
      <c r="HD249" s="5">
        <v>222.30677997076018</v>
      </c>
      <c r="HE249" s="5">
        <v>224.71639254385963</v>
      </c>
      <c r="HF249" s="5">
        <v>207.35750548245613</v>
      </c>
      <c r="HG249" s="5">
        <v>199.39971491228067</v>
      </c>
      <c r="HH249" s="39">
        <v>222.92240727666535</v>
      </c>
      <c r="HI249" s="16"/>
      <c r="HJ249" s="19" t="str">
        <f t="shared" si="753"/>
        <v>On</v>
      </c>
      <c r="HK249" s="1" t="str">
        <f t="shared" si="753"/>
        <v>On</v>
      </c>
      <c r="HL249" s="16"/>
      <c r="HM249" s="639">
        <f t="shared" si="634"/>
        <v>1.2768706344444866E-2</v>
      </c>
      <c r="HN249" s="639">
        <f t="shared" si="635"/>
        <v>9.795534288915453E-4</v>
      </c>
      <c r="HO249" s="639">
        <f t="shared" si="636"/>
        <v>3.3583061774515237E-3</v>
      </c>
      <c r="HP249" s="644">
        <f>(FT249*$GD249-HM249)/$JF249*INDEX(Input!$1:$1048576,$JG$93,$C249*2+6)</f>
        <v>190.6184051104652</v>
      </c>
      <c r="HQ249" s="644">
        <f>(FU249*$GD249-HN249)/$JF249*INDEX(Input!$1:$1048576,$JG$93,$C249*2+6)</f>
        <v>-14.190879561087579</v>
      </c>
      <c r="HR249" s="644">
        <f>(FV249*$GD249-HO249)/$JF249*INDEX(Input!$1:$1048576,$JG$93,$C249*2+6)</f>
        <v>-81.781711394435746</v>
      </c>
      <c r="HS249" s="644">
        <f t="shared" si="754"/>
        <v>-49.382026969107045</v>
      </c>
      <c r="HT249" s="644">
        <f t="shared" si="638"/>
        <v>-7.966626889925621</v>
      </c>
      <c r="HU249" s="644">
        <f t="shared" si="639"/>
        <v>4.990975591554287</v>
      </c>
      <c r="HV249" s="648">
        <f t="shared" si="640"/>
        <v>0</v>
      </c>
      <c r="HW249" s="648">
        <f t="shared" si="641"/>
        <v>0</v>
      </c>
      <c r="HX249" s="648">
        <f t="shared" si="642"/>
        <v>0</v>
      </c>
      <c r="HY249" s="644">
        <f>INDEX(Input!$1:$1048576,HY$93,$C249*2+6)*INDEX(Input!$1:$1048576,$JG$93,$C249*2+6)</f>
        <v>451</v>
      </c>
      <c r="HZ249" s="644">
        <f>INDEX(Input!$1:$1048576,HZ$93,$C249*2+6)*INDEX(Input!$1:$1048576,$JG$93,$C249*2+6)</f>
        <v>577</v>
      </c>
      <c r="IA249" s="644">
        <f>INDEX(Input!$1:$1048576,IA$93,$C249*2+6)*INDEX(Input!$1:$1048576,$JG$93,$C249*2+6)</f>
        <v>215</v>
      </c>
      <c r="IB249" s="644">
        <f t="shared" si="666"/>
        <v>592.23637814135827</v>
      </c>
      <c r="IC249" s="644">
        <f t="shared" si="667"/>
        <v>554.84249354898679</v>
      </c>
      <c r="ID249" s="644">
        <f>IF(AND(INDEX(Input!$1:$1048576,IA$93,$C249*2+7)="TOS",Y249&lt;=INDEX(Y:Y,MATCH(C249*1000+2,A:A))),0,1)*MAX(IA249+HR249+HU249+HX249,0%)</f>
        <v>138.20926419711853</v>
      </c>
      <c r="IE249" s="128">
        <f t="shared" si="759"/>
        <v>0.46078101991693238</v>
      </c>
      <c r="IF249" s="128">
        <f t="shared" si="643"/>
        <v>0.43168724432819888</v>
      </c>
      <c r="IG249" s="128">
        <f t="shared" si="644"/>
        <v>0.10753173575486871</v>
      </c>
      <c r="IH249" s="21"/>
      <c r="II249" s="19">
        <f t="shared" si="645"/>
        <v>1252</v>
      </c>
      <c r="IJ249" s="19">
        <f t="shared" si="646"/>
        <v>2011.9658773055378</v>
      </c>
      <c r="IK249" s="19">
        <f t="shared" si="647"/>
        <v>919</v>
      </c>
      <c r="IL249" s="19">
        <f t="shared" si="669"/>
        <v>792</v>
      </c>
      <c r="IM249" s="19">
        <f t="shared" si="648"/>
        <v>42.135958339449871</v>
      </c>
      <c r="IN249" s="19">
        <f t="shared" si="649"/>
        <v>-333</v>
      </c>
      <c r="IO249" s="39">
        <f t="shared" si="650"/>
        <v>0</v>
      </c>
      <c r="IP249" s="39">
        <f t="shared" si="651"/>
        <v>0</v>
      </c>
      <c r="IQ249" s="39">
        <f t="shared" si="652"/>
        <v>0</v>
      </c>
      <c r="IR249" s="39">
        <v>0</v>
      </c>
      <c r="IS249" s="39">
        <v>0</v>
      </c>
      <c r="IT249" s="39">
        <v>0</v>
      </c>
      <c r="IU249" s="39">
        <v>0</v>
      </c>
      <c r="IV249" s="39">
        <v>0</v>
      </c>
      <c r="IW249" s="39">
        <v>0</v>
      </c>
      <c r="IX249" s="39">
        <f>INDEX(Input!$1:$1048576,IX$93,$C249*2+6)+INDEX(Input!$1:$1048576,IX$94,$C249*2+6)</f>
        <v>1294</v>
      </c>
      <c r="IY249" s="39">
        <f>INDEX(Input!$1:$1048576,IY$93,$C249*2+6)+INDEX(Input!$1:$1048576,IY$94,$C249*2+6)</f>
        <v>2154.0624533823611</v>
      </c>
      <c r="IZ249" s="39">
        <f>INDEX(Input!$1:$1048576,IZ$93,$C249*2+6)+INDEX(Input!$1:$1048576,IZ$94,$C249*2+6)</f>
        <v>3677.7164157747848</v>
      </c>
      <c r="JA249" s="19">
        <f t="shared" si="670"/>
        <v>2086</v>
      </c>
      <c r="JB249" s="19">
        <f t="shared" si="671"/>
        <v>2196.1984117218108</v>
      </c>
      <c r="JC249" s="19">
        <f t="shared" si="672"/>
        <v>3344.7164157747848</v>
      </c>
      <c r="JD249" s="19">
        <f t="shared" si="673"/>
        <v>2268.9232096969422</v>
      </c>
      <c r="JE249" s="21"/>
      <c r="JF249" s="1">
        <f t="shared" si="653"/>
        <v>1.7106565950787935E-2</v>
      </c>
      <c r="JG249" s="15">
        <f>INDEX(Input!$1:$1048576,JG$93,$C249*2+6)/(1+VLOOKUP(C249*1000+INDEX(Input!$1:$1048576,JG$93+1,$C249*2+6),$A:$KK,$JK$92,FALSE))</f>
        <v>1243</v>
      </c>
      <c r="JH249" s="1">
        <f t="shared" si="674"/>
        <v>7.6143052417491461E-2</v>
      </c>
      <c r="JI249" s="1">
        <f t="shared" si="675"/>
        <v>-4.2122025959355089E-2</v>
      </c>
      <c r="JJ249" s="1">
        <f t="shared" si="731"/>
        <v>0</v>
      </c>
      <c r="JK249" s="1">
        <f t="shared" si="732"/>
        <v>3.4021026458136372E-2</v>
      </c>
      <c r="JL249" s="15">
        <f t="shared" si="678"/>
        <v>42.288135887463511</v>
      </c>
      <c r="JM249" s="15">
        <f t="shared" si="702"/>
        <v>1285.2881358874636</v>
      </c>
      <c r="JN249" s="21"/>
      <c r="JO249" s="19">
        <f>INDEX(Input!$1:$1048576,JO$93,$C249*2+6)</f>
        <v>5995.5</v>
      </c>
      <c r="JP249" s="19">
        <f>INDEX(Input!$1:$1048576,JP$93,$C249*2+6)</f>
        <v>2105.548724853742</v>
      </c>
      <c r="JQ249" s="39">
        <f t="shared" si="688"/>
        <v>3726.5767903030578</v>
      </c>
      <c r="JR249" s="39">
        <f t="shared" si="705"/>
        <v>163.37448484320021</v>
      </c>
      <c r="JS249" s="39">
        <f t="shared" si="690"/>
        <v>2.9162200826631834</v>
      </c>
      <c r="JT249" s="39">
        <f t="shared" si="680"/>
        <v>0.29902301766998229</v>
      </c>
      <c r="JU249" s="385">
        <f>(JQ249*JM249-INDEX(Input!$1:$1048576,Input!A$18,$C249*2+6)*JL249*INDEX(Input!$1:$1048576,Input!A$19,$C249*2+6))/1000000</f>
        <v>4.7897249360501037</v>
      </c>
      <c r="JV249" s="39">
        <f t="shared" si="712"/>
        <v>-4.5484498956694708E-2</v>
      </c>
      <c r="JW249" s="1">
        <f t="shared" si="703"/>
        <v>-9.4069346050220798E-3</v>
      </c>
      <c r="JX249" s="19">
        <f t="shared" si="694"/>
        <v>7071.0853385861565</v>
      </c>
      <c r="JZ249" s="341"/>
      <c r="KA249" s="342"/>
      <c r="KB249" s="469">
        <f t="shared" si="691"/>
        <v>2.5660492421988774</v>
      </c>
      <c r="KI249" s="473">
        <f t="shared" si="756"/>
        <v>141.23637814135827</v>
      </c>
      <c r="KJ249" s="473">
        <f t="shared" si="757"/>
        <v>-22.157506451013205</v>
      </c>
      <c r="KK249" s="473">
        <f t="shared" si="682"/>
        <v>-76.790735802881471</v>
      </c>
      <c r="KN249" s="544">
        <f t="shared" si="695"/>
        <v>2002</v>
      </c>
      <c r="KO249" s="541">
        <f t="shared" si="657"/>
        <v>2.7928836914485888E-2</v>
      </c>
      <c r="KP249" s="546">
        <f t="shared" si="658"/>
        <v>306.93254088284959</v>
      </c>
      <c r="KQ249" s="546">
        <f t="shared" si="659"/>
        <v>125.24287026346929</v>
      </c>
      <c r="KR249" s="548">
        <f t="shared" si="660"/>
        <v>1.6234424206241469</v>
      </c>
      <c r="KS249" s="548">
        <f t="shared" si="661"/>
        <v>3.9785682497609867</v>
      </c>
      <c r="KT249" s="473">
        <f t="shared" si="693"/>
        <v>843.26993010479111</v>
      </c>
      <c r="KU249" s="663">
        <f t="shared" si="683"/>
        <v>4.6170279876164377</v>
      </c>
      <c r="KV249" s="117"/>
    </row>
    <row r="250" spans="1:308" s="26" customFormat="1" ht="15">
      <c r="A250" s="561">
        <f t="shared" si="662"/>
        <v>2050</v>
      </c>
      <c r="B250" s="561">
        <f t="shared" si="684"/>
        <v>50</v>
      </c>
      <c r="C250" s="561">
        <f t="shared" si="760"/>
        <v>2</v>
      </c>
      <c r="D250" s="561" t="str">
        <f t="shared" si="728"/>
        <v xml:space="preserve">1000 CC, -360 Lease, </v>
      </c>
      <c r="E250" s="475">
        <f>INDEX(Input!$1:$1048576,E$93,$C250*2+MIN($B250,2)+5)
+INDEX(Scenarios!E$121:E$200,MATCH($B250,Scenarios!$B$121:$B$200,0))</f>
        <v>2269.7618664521319</v>
      </c>
      <c r="F250" s="475">
        <f>INDEX(Input!$1:$1048576,F$93,$C250*2+MIN($B250,2)+5)
+INDEX(Scenarios!F$121:F$200,MATCH($B250,Scenarios!$B$121:$B$200,0))</f>
        <v>0</v>
      </c>
      <c r="G250" s="475">
        <f>INDEX(Input!$1:$1048576,G$93,$C250*2+MIN($B250,2)+5)
+INDEX(Scenarios!G$121:G$200,MATCH($B250,Scenarios!$B$121:$B$200,0))</f>
        <v>0</v>
      </c>
      <c r="H250" s="475">
        <f>INDEX(Input!$1:$1048576,H$93,$C250*2+MIN($B250,2)+5)
+INDEX(Scenarios!H$121:H$200,MATCH($B250,Scenarios!$B$121:$B$200,0))</f>
        <v>0</v>
      </c>
      <c r="I250" s="476">
        <f>INDEX(Input!$1:$1048576,I$93,$C250*2+MIN($B250,2)+5)</f>
        <v>0.7</v>
      </c>
      <c r="J250" s="476" t="str">
        <f>INDEX(Input!$1:$1048576,J$93,$C250*2+MIN($B250,2)+5)</f>
        <v>Market</v>
      </c>
      <c r="K250" s="476" t="str">
        <f>INDEX(Input!$1:$1048576,K$93,$C250*2+MIN($B250,2)+5)</f>
        <v>Market</v>
      </c>
      <c r="L250" s="476" t="str">
        <f>INDEX(Input!$1:$1048576,L$93,$C250*2+MIN($B250,2)+5)</f>
        <v>Market</v>
      </c>
      <c r="M250" s="476" t="str">
        <f>INDEX(Input!$1:$1048576,M$93,$C250*2+MIN($B250,2)+5)</f>
        <v>Market</v>
      </c>
      <c r="N250" s="476" t="str">
        <f>INDEX(Input!$1:$1048576,N$93,$C250*2+MIN($B250,2)+5)</f>
        <v>Market</v>
      </c>
      <c r="O250" s="476" t="str">
        <f>INDEX(Input!$1:$1048576,O$93,$C250*2+MIN($B250,2)+5)</f>
        <v>Market</v>
      </c>
      <c r="P250" s="476" t="str">
        <f>INDEX(Input!$1:$1048576,P$93,$C250*2+MIN($B250,2)+5)</f>
        <v>N</v>
      </c>
      <c r="Q250" s="477">
        <f>INDEX(Input!$1:$1048576,Q$93,$C250*2+MIN($B250,2)+5)
+INDEX(Scenarios!Q$121:Q$200,MATCH($B250,Scenarios!$B$121:$B$200,0))</f>
        <v>0</v>
      </c>
      <c r="R250" s="478">
        <f>IFERROR(MAX(0,INDEX(Input!$1:$1048576,R$93,$C250*2+MIN($B250,2)+5)
+INDEX(Scenarios!R$121:R$200,MATCH($B250,Scenarios!$B$121:$B$200,0)),),"Market")</f>
        <v>0</v>
      </c>
      <c r="S250" s="478">
        <f>IFERROR(MAX(0,INDEX(Input!$1:$1048576,S$93,$C250*2+MIN($B250,2)+5)
+INDEX(Scenarios!S$121:S$200,MATCH($B250,Scenarios!$B$121:$B$200,0)),),"Market")</f>
        <v>0</v>
      </c>
      <c r="T250" s="478">
        <f>IFERROR(MAX(0,INDEX(Input!$1:$1048576,T$93,$C250*2+MIN($B250,2)+5)
+INDEX(Scenarios!T$121:T$200,MATCH($B250,Scenarios!$B$121:$B$200,0)),),"Market")</f>
        <v>0</v>
      </c>
      <c r="U250" s="478">
        <f>IFERROR(MAX(0,INDEX(Input!$1:$1048576,U$93,$C250*2+MIN($B250,2)+5)
+INDEX(Scenarios!U$121:U$200,MATCH($B250,Scenarios!$B$121:$B$200,0)),),"Market")</f>
        <v>0</v>
      </c>
      <c r="V250" s="478">
        <f>IFERROR(MAX(0,INDEX(Input!$1:$1048576,V$93,$C250*2+MIN($B250,2)+5)
+INDEX(Scenarios!V$121:V$200,MATCH($B250,Scenarios!$B$121:$B$200,0)),),"Market")</f>
        <v>1.9E-2</v>
      </c>
      <c r="W250" s="885">
        <f>IFERROR(MAX(0,INDEX(Input!$1:$1048576,W$93,$C250*2+MIN($B250,2)+5)-0%,),"Market")</f>
        <v>3.9E-2</v>
      </c>
      <c r="X250" s="476" t="str">
        <f>INDEX(Input!$1:$1048576,X$93,$C250*2+MIN($B250,2)+5)</f>
        <v>Y</v>
      </c>
      <c r="Y250" s="475">
        <f>INDEX(Input!$1:$1048576,Y$93,$C250*2+MIN($B250,2)+5)
++INDEX(Scenarios!Y$121:Y$200,MATCH($B250,Scenarios!$B$121:$B$200,0))</f>
        <v>-304</v>
      </c>
      <c r="Z250" s="477">
        <f>INDEX(Input!$1:$1048576,Z$93,$C250*2+MIN($B250,2)+5)
+INDEX(Scenarios!Z$121:Z$200,MATCH($B250,Scenarios!$B$121:$B$200,0))</f>
        <v>0</v>
      </c>
      <c r="AA250" s="475">
        <f>INDEX(Input!$1:$1048576,AA$93,$C250*2+MIN($B250,2)+5)
+INDEX(Scenarios!AA$121:AA$200,MATCH($B250,Scenarios!$B$121:$B$200,0))</f>
        <v>0</v>
      </c>
      <c r="AB250" s="476">
        <f>INDEX(Input!$1:$1048576,AB$93,$C250*2+MIN($B250,2)+5)</f>
        <v>0.27</v>
      </c>
      <c r="AC250" s="475">
        <f>INDEX(Input!$1:$1048576,AC$93,$C250*2+MIN($B250,2)+5)
+INDEX(Scenarios!AC$121:AC$200,MATCH($B250,Scenarios!$B$121:$B$200,0))</f>
        <v>0</v>
      </c>
      <c r="AD250" s="476">
        <f>INDEX(Input!$1:$1048576,AD$93,$C250*2+MIN($B250,2)+5)</f>
        <v>0.27</v>
      </c>
      <c r="AE250" s="475">
        <f>INDEX(Input!$1:$1048576,AE$93,$C250*2+MIN($B250,2)+5)
+INDEX(Scenarios!AE$121:AE$200,MATCH($B250,Scenarios!$B$121:$B$200,0))</f>
        <v>0</v>
      </c>
      <c r="AF250" s="476">
        <f>INDEX(Input!$1:$1048576,AF$93,$C250*2+MIN($B250,2)+5)</f>
        <v>4.8000000000000001E-2</v>
      </c>
      <c r="AG250" s="475">
        <f>INDEX(Input!$1:$1048576,AG$93,$C250*2+MIN($B250,2)+5)
+INDEX(Scenarios!AG$121:AG$200,MATCH($B250,Scenarios!$B$121:$B$200,0))</f>
        <v>500</v>
      </c>
      <c r="AH250" s="476">
        <f>INDEX(Input!$1:$1048576,AH$93,$C250*2+MIN($B250,2)+5)</f>
        <v>0.94599999999999995</v>
      </c>
      <c r="AI250" s="475">
        <f>INDEX(Input!$1:$1048576,AI$93,$C250*2+MIN($B250,2)+5)
+INDEX(Scenarios!AI$121:AI$200,MATCH($B250,Scenarios!$B$121:$B$200,0))</f>
        <v>0</v>
      </c>
      <c r="AJ250" s="476">
        <f>INDEX(Input!$1:$1048576,AJ$93,$C250*2+MIN($B250,2)+5)</f>
        <v>0.27</v>
      </c>
      <c r="AK250" s="150">
        <f>ROUND(INDEX(Input!$1:$1048576,AK$93,$C249*2+MIN($B250,1)+5)+(Y250-VLOOKUP($C250*1000+1,$A:$HH,Y$92,FALSE)),0)</f>
        <v>2617</v>
      </c>
      <c r="AL250" s="150">
        <f>ROUND(INDEX(Input!$1:$1048576,AL$93,$C249*2+MIN($B250,1)+5)-(Y250-VLOOKUP($C250*1000+1,$A:$HH,Y$92,FALSE))/36,0)</f>
        <v>3405</v>
      </c>
      <c r="AM250" s="32" t="str">
        <f t="shared" si="663"/>
        <v>std/std/std/std</v>
      </c>
      <c r="AN250" s="32" t="str">
        <f t="shared" si="664"/>
        <v>$0 + 0/0/0/1.9/3.9</v>
      </c>
      <c r="AO250" s="32" t="str">
        <f t="shared" si="665"/>
        <v>0/0/0/1.9/3.9</v>
      </c>
      <c r="AP250" s="32" t="str">
        <f t="shared" si="734"/>
        <v>0/0.9/1.9/3.9</v>
      </c>
      <c r="AQ250" s="536">
        <f t="shared" si="733"/>
        <v>0.48337223056982009</v>
      </c>
      <c r="AR250" s="32"/>
      <c r="AS250" s="302"/>
      <c r="AT250" s="3">
        <f t="shared" si="717"/>
        <v>50</v>
      </c>
      <c r="AU250" s="41" t="s">
        <v>121</v>
      </c>
      <c r="AV250" s="41" t="s">
        <v>116</v>
      </c>
      <c r="AW250" s="41" t="str">
        <f>INDEX(Input!$1:$1048576,AW$93,$C250*2+6)</f>
        <v>Kia</v>
      </c>
      <c r="AX250" s="41" t="str">
        <f>INDEX(Input!$1:$1048576,AX$93,$C250*2+6)</f>
        <v>Kia-LR - L2</v>
      </c>
      <c r="AY250" s="41" t="str">
        <f>IF(LEN(D250)=0,"",INDEX(Input!$1:$1048576,AY$93,$C250*2+6))</f>
        <v>Compact SUV (52)</v>
      </c>
      <c r="AZ250" s="41" t="str">
        <f>INDEX(Input!$1:$1048576,AZ$93,$C250*2+6)</f>
        <v>Kia Soul</v>
      </c>
      <c r="BA250" s="3">
        <f>INDEX(Input!$1:$1048576,BA$93,$C250*2+6)</f>
        <v>2020</v>
      </c>
      <c r="BB250" s="128">
        <f>INDEX(Input!$1:$1048576,BB$93,$C250*2+6)</f>
        <v>1</v>
      </c>
      <c r="BC250" s="128">
        <f>INDEX(Input!$1:$1048576,BC$93,$C250*2+6)</f>
        <v>0.7</v>
      </c>
      <c r="BD250" s="1">
        <f>INDEX(Input!$1:$1048576,BD$93,$C250*2+6)</f>
        <v>4.4999999999999998E-2</v>
      </c>
      <c r="BE250" s="1">
        <f>INDEX(Input!$1:$1048576,BE$93,$C250*2+6)</f>
        <v>4.4999999999999998E-2</v>
      </c>
      <c r="BF250" s="1">
        <f>INDEX(Input!$1:$1048576,BF$93,$C250*2+6)</f>
        <v>0.05</v>
      </c>
      <c r="BG250" s="1">
        <f>INDEX(Input!$1:$1048576,BG$93,$C250*2+6)</f>
        <v>5.45E-2</v>
      </c>
      <c r="BH250" s="1">
        <f>INDEX(Input!$1:$1048576,BH$93,$C250*2+6)</f>
        <v>5.45E-2</v>
      </c>
      <c r="BI250" s="1">
        <f>INDEX(Input!$1:$1048576,BI$93,$C250*2+6)</f>
        <v>0.05</v>
      </c>
      <c r="BJ250" s="1">
        <f>INDEX(Input!$1:$1048576,BJ$93,$C250*2+6)</f>
        <v>0.05</v>
      </c>
      <c r="BK250" s="1">
        <f>INDEX(Input!$1:$1048576,BK$93,$C250*2+6)</f>
        <v>0.05</v>
      </c>
      <c r="BL250" s="1">
        <f>INDEX(Input!$1:$1048576,BL$93,$C250*2+6)</f>
        <v>5.5E-2</v>
      </c>
      <c r="BM250" s="1">
        <f>INDEX(Input!$1:$1048576,BM$93,$C250*2+6)</f>
        <v>0.06</v>
      </c>
      <c r="BN250" s="1">
        <f>INDEX(Input!$1:$1048576,BN$93,$C250*2+6)</f>
        <v>4.4999999999999998E-2</v>
      </c>
      <c r="BO250" s="1">
        <f>INDEX(Input!$1:$1048576,BO$93,$C250*2+6)</f>
        <v>4.4999999999999998E-2</v>
      </c>
      <c r="BP250" s="1">
        <f>INDEX(Input!$1:$1048576,BP$93,$C250*2+6)</f>
        <v>0.05</v>
      </c>
      <c r="BQ250" s="1">
        <f>INDEX(Input!$1:$1048576,BQ$93,$C250*2+6)</f>
        <v>5.45E-2</v>
      </c>
      <c r="BR250" s="1">
        <f>INDEX(Input!$1:$1048576,BR$93,$C250*2+6)</f>
        <v>5.45E-2</v>
      </c>
      <c r="BS250" s="1">
        <f>INDEX(Input!$1:$1048576,BS$93,$C250*2+6)</f>
        <v>0.05</v>
      </c>
      <c r="BT250" s="1">
        <f>INDEX(Input!$1:$1048576,BT$93,$C250*2+6)</f>
        <v>0.05</v>
      </c>
      <c r="BU250" s="1">
        <f>INDEX(Input!$1:$1048576,BU$93,$C250*2+6)</f>
        <v>0.05</v>
      </c>
      <c r="BV250" s="1">
        <f>INDEX(Input!$1:$1048576,BV$93,$C250*2+6)</f>
        <v>5.5E-2</v>
      </c>
      <c r="BW250" s="1">
        <f>INDEX(Input!$1:$1048576,BW$93,$C250*2+6)</f>
        <v>0.06</v>
      </c>
      <c r="BX250" s="127">
        <f>INDEX(Input!$1:$1048576,BX$93,$C250*2+6)</f>
        <v>19985</v>
      </c>
      <c r="BY250" s="20">
        <f>INDEX(Input!$1:$1048576,BY$93,$C250*2+6)</f>
        <v>0.1</v>
      </c>
      <c r="BZ250" s="20">
        <f>INDEX(Input!$1:$1048576,BZ$93,$C250*2+6)</f>
        <v>0.1</v>
      </c>
      <c r="CA250" s="20">
        <f>INDEX(Input!$1:$1048576,CA$93,$C250*2+6)</f>
        <v>0.1</v>
      </c>
      <c r="CB250" s="20">
        <f>INDEX(Input!$1:$1048576,CB$93,$C250*2+6)</f>
        <v>0.1</v>
      </c>
      <c r="CC250" s="20">
        <f>INDEX(Input!$1:$1048576,CC$93,$C250*2+6)</f>
        <v>0.1</v>
      </c>
      <c r="CD250" s="384">
        <f>INDEX(Input!$1:$1048576,CD$93,$C250*2+6)</f>
        <v>0.1</v>
      </c>
      <c r="CE250" s="384">
        <f>INDEX(Input!$1:$1048576,CE$93,$C250*2+6)</f>
        <v>0.1</v>
      </c>
      <c r="CF250" s="384">
        <f>INDEX(Input!$1:$1048576,CF$93,$C250*2+6)</f>
        <v>0.1</v>
      </c>
      <c r="CG250" s="384">
        <f>INDEX(Input!$1:$1048576,CG$93,$C250*2+6)</f>
        <v>0.1</v>
      </c>
      <c r="CH250" s="384">
        <f>INDEX(Input!$1:$1048576,CH$93,$C250*2+6)</f>
        <v>0.1</v>
      </c>
      <c r="CI250" s="304">
        <f t="shared" si="735"/>
        <v>2269.7618664521319</v>
      </c>
      <c r="CJ250" s="16" t="str">
        <f>INDEX(Input!$1:$1048576,CJ$93,$C250*2+6)</f>
        <v>N</v>
      </c>
      <c r="CK250" s="1" t="str">
        <f t="shared" si="736"/>
        <v>Market</v>
      </c>
      <c r="CL250" s="1" t="str">
        <f t="shared" si="737"/>
        <v>Market</v>
      </c>
      <c r="CM250" s="1" t="str">
        <f t="shared" si="738"/>
        <v>Market</v>
      </c>
      <c r="CN250" s="1" t="str">
        <f t="shared" si="739"/>
        <v>Market</v>
      </c>
      <c r="CO250" s="1" t="str">
        <f t="shared" si="740"/>
        <v>Market</v>
      </c>
      <c r="CP250" s="304">
        <f t="shared" si="741"/>
        <v>473</v>
      </c>
      <c r="CQ250" s="1">
        <f t="shared" si="742"/>
        <v>0</v>
      </c>
      <c r="CR250" s="1">
        <f t="shared" si="743"/>
        <v>0</v>
      </c>
      <c r="CS250" s="1">
        <f t="shared" si="744"/>
        <v>0</v>
      </c>
      <c r="CT250" s="1">
        <f t="shared" si="745"/>
        <v>1.9E-2</v>
      </c>
      <c r="CU250" s="1">
        <f t="shared" si="746"/>
        <v>3.9E-2</v>
      </c>
      <c r="CV250" s="304">
        <f t="shared" si="747"/>
        <v>-304</v>
      </c>
      <c r="CW250" s="20" t="s">
        <v>122</v>
      </c>
      <c r="CX250" s="20" t="s">
        <v>122</v>
      </c>
      <c r="CY250" s="20" t="s">
        <v>122</v>
      </c>
      <c r="CZ250" s="20" t="s">
        <v>122</v>
      </c>
      <c r="DA250" s="20" t="s">
        <v>122</v>
      </c>
      <c r="DB250" s="503">
        <f t="shared" si="748"/>
        <v>0</v>
      </c>
      <c r="DC250" s="127">
        <v>0</v>
      </c>
      <c r="DD250" s="127">
        <v>0</v>
      </c>
      <c r="DE250" s="127">
        <v>0</v>
      </c>
      <c r="DF250" s="127">
        <v>0</v>
      </c>
      <c r="DG250" s="127">
        <v>0</v>
      </c>
      <c r="DH250" s="127">
        <v>0</v>
      </c>
      <c r="DI250" s="127">
        <v>0</v>
      </c>
      <c r="DJ250" s="127">
        <v>0</v>
      </c>
      <c r="DK250" s="127">
        <v>0</v>
      </c>
      <c r="DL250" s="127">
        <v>0</v>
      </c>
      <c r="DM250" s="304">
        <f>INDEX(Input!$1:$1048576,DM$93,$C250*2+6)</f>
        <v>21036.84210526316</v>
      </c>
      <c r="DN250" s="20">
        <v>0</v>
      </c>
      <c r="DO250" s="20">
        <v>0</v>
      </c>
      <c r="DP250" s="20">
        <v>0</v>
      </c>
      <c r="DQ250" s="20">
        <v>0</v>
      </c>
      <c r="DR250" s="20">
        <v>0</v>
      </c>
      <c r="DS250" s="20">
        <f>INDEX(Input!$1:$1048576,DS$93,$C250*2+6)</f>
        <v>0.6</v>
      </c>
      <c r="DT250" s="20">
        <f>INDEX(Input!$1:$1048576,DT$93,$C250*2+6)</f>
        <v>0.55000000000000004</v>
      </c>
      <c r="DU250" s="20">
        <f>INDEX(Input!$1:$1048576,DU$93,$C250*2+6)</f>
        <v>0.52</v>
      </c>
      <c r="DV250" s="20">
        <f>INDEX(Input!$1:$1048576,DV$93,$C250*2+6)</f>
        <v>0.5</v>
      </c>
      <c r="DW250" s="20">
        <f>INDEX(Input!$1:$1048576,DW$93,$C250*2+6)</f>
        <v>0.45</v>
      </c>
      <c r="DX250" s="20"/>
      <c r="DY250" s="7">
        <v>0.11847501090679255</v>
      </c>
      <c r="DZ250" s="7">
        <v>0</v>
      </c>
      <c r="EA250" s="7">
        <v>0.73537783771736798</v>
      </c>
      <c r="EB250" s="7">
        <v>0</v>
      </c>
      <c r="EC250" s="7">
        <v>0</v>
      </c>
      <c r="ED250" s="7">
        <v>0</v>
      </c>
      <c r="EE250" s="7">
        <v>0</v>
      </c>
      <c r="EF250" s="7">
        <v>0</v>
      </c>
      <c r="EG250" s="7">
        <v>0</v>
      </c>
      <c r="EH250" s="7">
        <v>1.4290564713727113E-2</v>
      </c>
      <c r="EI250" s="7">
        <v>4.0692866667079254E-2</v>
      </c>
      <c r="EJ250" s="7">
        <v>0.30758431980868683</v>
      </c>
      <c r="EK250" s="7">
        <v>0.52633993590382377</v>
      </c>
      <c r="EL250" s="7">
        <v>0.11109231290668298</v>
      </c>
      <c r="EM250" s="7">
        <v>3.7964369410401419E-2</v>
      </c>
      <c r="EN250" s="7">
        <v>6.4343250845534744E-2</v>
      </c>
      <c r="EO250" s="7">
        <v>0.72181764306428331</v>
      </c>
      <c r="EP250" s="7">
        <v>9.291575358261496E-2</v>
      </c>
      <c r="EQ250" s="7">
        <v>7.9193860318342704E-2</v>
      </c>
      <c r="ER250" s="7">
        <v>4.1729492189224358E-2</v>
      </c>
      <c r="ES250" s="7">
        <v>0.10818278196543811</v>
      </c>
      <c r="ET250" s="7">
        <v>0.14614715137583945</v>
      </c>
      <c r="EU250" s="6">
        <v>2294</v>
      </c>
      <c r="EV250" s="6">
        <v>0</v>
      </c>
      <c r="EW250" s="6">
        <v>2294</v>
      </c>
      <c r="EX250" s="6">
        <v>0</v>
      </c>
      <c r="EY250" s="6">
        <v>2054.1282645936076</v>
      </c>
      <c r="EZ250" s="6">
        <v>586</v>
      </c>
      <c r="FA250" s="6">
        <v>0</v>
      </c>
      <c r="FB250" s="6">
        <v>0</v>
      </c>
      <c r="FC250" s="6">
        <v>0</v>
      </c>
      <c r="FD250" s="6">
        <v>0</v>
      </c>
      <c r="FE250" s="6">
        <v>0</v>
      </c>
      <c r="FF250" s="6">
        <v>0</v>
      </c>
      <c r="FG250" s="6">
        <v>0</v>
      </c>
      <c r="FH250" s="6">
        <v>1173.7384822401275</v>
      </c>
      <c r="FI250" s="6">
        <v>1553.9796069512404</v>
      </c>
      <c r="FJ250" s="6">
        <v>2101.2110117447396</v>
      </c>
      <c r="FK250" s="6">
        <v>1772.7139978623227</v>
      </c>
      <c r="FL250" s="6">
        <v>907.07682140966347</v>
      </c>
      <c r="FM250" s="6">
        <v>1760.1282645936076</v>
      </c>
      <c r="FN250" s="6">
        <v>0</v>
      </c>
      <c r="FO250" s="6">
        <v>0</v>
      </c>
      <c r="FP250" s="6">
        <v>0</v>
      </c>
      <c r="FQ250" s="6">
        <v>0</v>
      </c>
      <c r="FR250" s="6">
        <v>0</v>
      </c>
      <c r="FS250" s="6">
        <v>0</v>
      </c>
      <c r="FT250" s="7">
        <v>0.85385284862416055</v>
      </c>
      <c r="FU250" s="7">
        <v>3.7964369410401419E-2</v>
      </c>
      <c r="FV250" s="7">
        <v>0.10818278196543811</v>
      </c>
      <c r="FW250" s="6">
        <v>2294</v>
      </c>
      <c r="FX250" s="6">
        <v>2054.1282645936076</v>
      </c>
      <c r="FY250" s="6">
        <v>586</v>
      </c>
      <c r="FZ250" s="6">
        <v>1817.4615072224267</v>
      </c>
      <c r="GA250" s="6">
        <v>2100.1172292289493</v>
      </c>
      <c r="GB250" s="6">
        <v>17884.882770771052</v>
      </c>
      <c r="GC250" s="7">
        <v>1.804905384453976E-2</v>
      </c>
      <c r="GD250" s="7">
        <v>1.8905037144943886E-2</v>
      </c>
      <c r="GE250" s="7"/>
      <c r="GF250" s="7"/>
      <c r="GG250" s="7">
        <v>4.7425383500813274E-2</v>
      </c>
      <c r="GH250" s="42">
        <v>3.3531827430752728</v>
      </c>
      <c r="GI250" s="6">
        <v>8060.1264298224605</v>
      </c>
      <c r="GJ250" s="14">
        <v>0.50394797582841733</v>
      </c>
      <c r="GK250" s="14">
        <v>0.50887573065309721</v>
      </c>
      <c r="GL250" s="14">
        <v>0.49605202417158273</v>
      </c>
      <c r="GM250" s="14">
        <v>0.49112426934690262</v>
      </c>
      <c r="GO250" s="5">
        <v>343.14810671672558</v>
      </c>
      <c r="GP250" s="5">
        <v>299.3829630362892</v>
      </c>
      <c r="GQ250" s="5">
        <v>535.04305713031317</v>
      </c>
      <c r="GR250" s="5">
        <v>410.15490233172511</v>
      </c>
      <c r="GS250" s="5">
        <v>339.42744393800166</v>
      </c>
      <c r="GT250" s="5">
        <v>293.4407446948278</v>
      </c>
      <c r="GU250" s="5">
        <v>258.04012322764959</v>
      </c>
      <c r="GV250" s="39" t="s">
        <v>392</v>
      </c>
      <c r="GW250" s="5">
        <v>491.45833333333331</v>
      </c>
      <c r="GX250" s="5">
        <v>368.59375</v>
      </c>
      <c r="GY250" s="5">
        <v>294.875</v>
      </c>
      <c r="GZ250" s="5">
        <v>260.19607020114813</v>
      </c>
      <c r="HA250" s="5">
        <v>241.02179695997205</v>
      </c>
      <c r="HB250" s="39">
        <v>276.44853154056312</v>
      </c>
      <c r="HC250" s="5">
        <v>261.64687500000002</v>
      </c>
      <c r="HD250" s="5">
        <v>222.30677997076018</v>
      </c>
      <c r="HE250" s="5">
        <v>224.71639254385963</v>
      </c>
      <c r="HF250" s="5">
        <v>207.35750548245613</v>
      </c>
      <c r="HG250" s="5">
        <v>199.39971491228067</v>
      </c>
      <c r="HH250" s="39">
        <v>222.92214959346222</v>
      </c>
      <c r="HI250" s="16"/>
      <c r="HJ250" s="19" t="str">
        <f t="shared" si="753"/>
        <v>On</v>
      </c>
      <c r="HK250" s="1" t="str">
        <f t="shared" si="753"/>
        <v>On</v>
      </c>
      <c r="HL250" s="16"/>
      <c r="HM250" s="639">
        <f t="shared" si="634"/>
        <v>1.2768706344444866E-2</v>
      </c>
      <c r="HN250" s="639">
        <f t="shared" si="635"/>
        <v>9.795534288915453E-4</v>
      </c>
      <c r="HO250" s="639">
        <f t="shared" si="636"/>
        <v>3.3583061774515237E-3</v>
      </c>
      <c r="HP250" s="644">
        <f>(FT250*$GD250-HM250)/$JF250*INDEX(Input!$1:$1048576,$JG$93,$C250*2+6)</f>
        <v>245.11950333140263</v>
      </c>
      <c r="HQ250" s="644">
        <f>(FU250*$GD250-HN250)/$JF250*INDEX(Input!$1:$1048576,$JG$93,$C250*2+6)</f>
        <v>-19.025540858736946</v>
      </c>
      <c r="HR250" s="644">
        <f>(FV250*$GD250-HO250)/$JF250*INDEX(Input!$1:$1048576,$JG$93,$C250*2+6)</f>
        <v>-95.413164189309299</v>
      </c>
      <c r="HS250" s="644">
        <f t="shared" si="754"/>
        <v>-64.955172576049748</v>
      </c>
      <c r="HT250" s="644">
        <f t="shared" si="638"/>
        <v>-11.560925030459774</v>
      </c>
      <c r="HU250" s="644">
        <f t="shared" si="639"/>
        <v>8.5874522991507671</v>
      </c>
      <c r="HV250" s="648">
        <f t="shared" si="640"/>
        <v>0</v>
      </c>
      <c r="HW250" s="648">
        <f t="shared" si="641"/>
        <v>0</v>
      </c>
      <c r="HX250" s="648">
        <f t="shared" si="642"/>
        <v>0</v>
      </c>
      <c r="HY250" s="644">
        <f>INDEX(Input!$1:$1048576,HY$93,$C250*2+6)*INDEX(Input!$1:$1048576,$JG$93,$C250*2+6)</f>
        <v>451</v>
      </c>
      <c r="HZ250" s="644">
        <f>INDEX(Input!$1:$1048576,HZ$93,$C250*2+6)*INDEX(Input!$1:$1048576,$JG$93,$C250*2+6)</f>
        <v>577</v>
      </c>
      <c r="IA250" s="644">
        <f>INDEX(Input!$1:$1048576,IA$93,$C250*2+6)*INDEX(Input!$1:$1048576,$JG$93,$C250*2+6)</f>
        <v>215</v>
      </c>
      <c r="IB250" s="644">
        <f t="shared" si="666"/>
        <v>631.16433075535292</v>
      </c>
      <c r="IC250" s="644">
        <f t="shared" si="667"/>
        <v>546.41353411080331</v>
      </c>
      <c r="ID250" s="644">
        <f>IF(AND(INDEX(Input!$1:$1048576,IA$93,$C250*2+7)="TOS",Y250&lt;=INDEX(Y:Y,MATCH(C250*1000+2,A:A))),0,1)*MAX(IA250+HR250+HU250+HX250,0%)</f>
        <v>128.17428810984146</v>
      </c>
      <c r="IE250" s="128">
        <f t="shared" si="759"/>
        <v>0.48337223056982009</v>
      </c>
      <c r="IF250" s="128">
        <f t="shared" si="643"/>
        <v>0.41846650060307999</v>
      </c>
      <c r="IG250" s="128">
        <f t="shared" si="644"/>
        <v>9.8161268827099954E-2</v>
      </c>
      <c r="IH250" s="21"/>
      <c r="II250" s="19">
        <f t="shared" si="645"/>
        <v>1252</v>
      </c>
      <c r="IJ250" s="19">
        <f t="shared" si="646"/>
        <v>2011.9658773055378</v>
      </c>
      <c r="IK250" s="19">
        <f t="shared" si="647"/>
        <v>919</v>
      </c>
      <c r="IL250" s="19">
        <f t="shared" si="669"/>
        <v>1042</v>
      </c>
      <c r="IM250" s="19">
        <f t="shared" si="648"/>
        <v>42.162387288069795</v>
      </c>
      <c r="IN250" s="19">
        <f t="shared" si="649"/>
        <v>-333</v>
      </c>
      <c r="IO250" s="39">
        <f t="shared" si="650"/>
        <v>0</v>
      </c>
      <c r="IP250" s="39">
        <f t="shared" si="651"/>
        <v>0</v>
      </c>
      <c r="IQ250" s="39">
        <f t="shared" si="652"/>
        <v>0</v>
      </c>
      <c r="IR250" s="39">
        <v>0</v>
      </c>
      <c r="IS250" s="39">
        <v>0</v>
      </c>
      <c r="IT250" s="39">
        <v>0</v>
      </c>
      <c r="IU250" s="39">
        <v>0</v>
      </c>
      <c r="IV250" s="39">
        <v>0</v>
      </c>
      <c r="IW250" s="39">
        <v>0</v>
      </c>
      <c r="IX250" s="39">
        <f>INDEX(Input!$1:$1048576,IX$93,$C250*2+6)+INDEX(Input!$1:$1048576,IX$94,$C250*2+6)</f>
        <v>1294</v>
      </c>
      <c r="IY250" s="39">
        <f>INDEX(Input!$1:$1048576,IY$93,$C250*2+6)+INDEX(Input!$1:$1048576,IY$94,$C250*2+6)</f>
        <v>2154.0624533823611</v>
      </c>
      <c r="IZ250" s="39">
        <f>INDEX(Input!$1:$1048576,IZ$93,$C250*2+6)+INDEX(Input!$1:$1048576,IZ$94,$C250*2+6)</f>
        <v>3677.7164157747848</v>
      </c>
      <c r="JA250" s="19">
        <f t="shared" si="670"/>
        <v>2336</v>
      </c>
      <c r="JB250" s="19">
        <f t="shared" si="671"/>
        <v>2196.2248406704311</v>
      </c>
      <c r="JC250" s="19">
        <f t="shared" si="672"/>
        <v>3344.7164157747848</v>
      </c>
      <c r="JD250" s="19">
        <f t="shared" si="673"/>
        <v>2376.5256614632949</v>
      </c>
      <c r="JE250" s="21"/>
      <c r="JF250" s="1">
        <f t="shared" si="653"/>
        <v>1.7106565950787935E-2</v>
      </c>
      <c r="JG250" s="15">
        <f>INDEX(Input!$1:$1048576,JG$93,$C250*2+6)/(1+VLOOKUP(C250*1000+INDEX(Input!$1:$1048576,JG$93+1,$C250*2+6),$A:$KK,$JK$92,FALSE))</f>
        <v>1243</v>
      </c>
      <c r="JH250" s="1">
        <f t="shared" si="674"/>
        <v>0.10513338558596652</v>
      </c>
      <c r="JI250" s="1">
        <f t="shared" si="675"/>
        <v>-5.4648950367947507E-2</v>
      </c>
      <c r="JJ250" s="1">
        <f t="shared" si="731"/>
        <v>0</v>
      </c>
      <c r="JK250" s="1">
        <f t="shared" si="732"/>
        <v>5.0484435218019014E-2</v>
      </c>
      <c r="JL250" s="15">
        <f t="shared" si="678"/>
        <v>62.752152975997632</v>
      </c>
      <c r="JM250" s="15">
        <f t="shared" si="702"/>
        <v>1305.7521529759977</v>
      </c>
      <c r="JN250" s="21"/>
      <c r="JO250" s="19">
        <f>INDEX(Input!$1:$1048576,JO$93,$C250*2+6)</f>
        <v>5995.5</v>
      </c>
      <c r="JP250" s="19">
        <f>INDEX(Input!$1:$1048576,JP$93,$C250*2+6)</f>
        <v>2105.548724853742</v>
      </c>
      <c r="JQ250" s="39">
        <f t="shared" si="688"/>
        <v>3618.9743385367051</v>
      </c>
      <c r="JR250" s="39">
        <f t="shared" si="705"/>
        <v>270.97693660955292</v>
      </c>
      <c r="JS250" s="39">
        <f t="shared" si="690"/>
        <v>3.1031534990584047</v>
      </c>
      <c r="JT250" s="39">
        <f t="shared" si="680"/>
        <v>0.48595643406520317</v>
      </c>
      <c r="JU250" s="385">
        <f>(JQ250*JM250-INDEX(Input!$1:$1048576,Input!A$18,$C250*2+6)*JL250*INDEX(Input!$1:$1048576,Input!A$19,$C250*2+6))/1000000</f>
        <v>4.7254835341091903</v>
      </c>
      <c r="JV250" s="39">
        <f t="shared" si="712"/>
        <v>-0.10972590089760814</v>
      </c>
      <c r="JW250" s="1">
        <f t="shared" si="703"/>
        <v>-2.2693101999511189E-2</v>
      </c>
      <c r="JX250" s="19">
        <f t="shared" si="694"/>
        <v>7744.0599408769122</v>
      </c>
      <c r="JZ250" s="341"/>
      <c r="KA250" s="342"/>
      <c r="KB250" s="469">
        <f t="shared" si="691"/>
        <v>2.5660492421988774</v>
      </c>
      <c r="KI250" s="473">
        <f t="shared" si="756"/>
        <v>180.16433075535292</v>
      </c>
      <c r="KJ250" s="473">
        <f t="shared" si="757"/>
        <v>-30.586465889196688</v>
      </c>
      <c r="KK250" s="473">
        <f t="shared" si="682"/>
        <v>-86.825711890158544</v>
      </c>
      <c r="KN250" s="544">
        <f t="shared" si="695"/>
        <v>2002</v>
      </c>
      <c r="KO250" s="541">
        <f t="shared" si="657"/>
        <v>4.4295247446930697E-2</v>
      </c>
      <c r="KP250" s="546">
        <f t="shared" si="658"/>
        <v>448.10165179519834</v>
      </c>
      <c r="KQ250" s="546">
        <f t="shared" si="659"/>
        <v>232.845322029822</v>
      </c>
      <c r="KR250" s="548">
        <f t="shared" si="660"/>
        <v>1.7636303414158769</v>
      </c>
      <c r="KS250" s="548">
        <f t="shared" si="661"/>
        <v>3.3940371326994794</v>
      </c>
      <c r="KT250" s="473">
        <f t="shared" si="693"/>
        <v>843.26993010479111</v>
      </c>
      <c r="KU250" s="663">
        <f t="shared" si="683"/>
        <v>4.6120582341857679</v>
      </c>
      <c r="KV250" s="117"/>
    </row>
    <row r="251" spans="1:308" s="26" customFormat="1" ht="15" outlineLevel="1">
      <c r="A251" s="561">
        <f t="shared" si="662"/>
        <v>2051</v>
      </c>
      <c r="B251" s="561">
        <f t="shared" si="684"/>
        <v>51</v>
      </c>
      <c r="C251" s="561">
        <f t="shared" si="760"/>
        <v>2</v>
      </c>
      <c r="D251" s="561" t="str">
        <f t="shared" si="728"/>
        <v xml:space="preserve">0/0/0.9/3.9, -360 Lease, </v>
      </c>
      <c r="E251" s="475">
        <f>INDEX(Input!$1:$1048576,E$93,$C251*2+MIN($B251,2)+5)
+INDEX(Scenarios!E$121:E$200,MATCH($B251,Scenarios!$B$121:$B$200,0))</f>
        <v>1269.7618664521319</v>
      </c>
      <c r="F251" s="475">
        <f>INDEX(Input!$1:$1048576,F$93,$C251*2+MIN($B251,2)+5)
+INDEX(Scenarios!F$121:F$200,MATCH($B251,Scenarios!$B$121:$B$200,0))</f>
        <v>0</v>
      </c>
      <c r="G251" s="475">
        <f>INDEX(Input!$1:$1048576,G$93,$C251*2+MIN($B251,2)+5)
+INDEX(Scenarios!G$121:G$200,MATCH($B251,Scenarios!$B$121:$B$200,0))</f>
        <v>0</v>
      </c>
      <c r="H251" s="475">
        <f>INDEX(Input!$1:$1048576,H$93,$C251*2+MIN($B251,2)+5)
+INDEX(Scenarios!H$121:H$200,MATCH($B251,Scenarios!$B$121:$B$200,0))</f>
        <v>0</v>
      </c>
      <c r="I251" s="476">
        <f>INDEX(Input!$1:$1048576,I$93,$C251*2+MIN($B251,2)+5)</f>
        <v>0.7</v>
      </c>
      <c r="J251" s="476" t="str">
        <f>INDEX(Input!$1:$1048576,J$93,$C251*2+MIN($B251,2)+5)</f>
        <v>Market</v>
      </c>
      <c r="K251" s="476" t="str">
        <f>INDEX(Input!$1:$1048576,K$93,$C251*2+MIN($B251,2)+5)</f>
        <v>Market</v>
      </c>
      <c r="L251" s="476" t="str">
        <f>INDEX(Input!$1:$1048576,L$93,$C251*2+MIN($B251,2)+5)</f>
        <v>Market</v>
      </c>
      <c r="M251" s="476" t="str">
        <f>INDEX(Input!$1:$1048576,M$93,$C251*2+MIN($B251,2)+5)</f>
        <v>Market</v>
      </c>
      <c r="N251" s="476" t="str">
        <f>INDEX(Input!$1:$1048576,N$93,$C251*2+MIN($B251,2)+5)</f>
        <v>Market</v>
      </c>
      <c r="O251" s="476" t="str">
        <f>INDEX(Input!$1:$1048576,O$93,$C251*2+MIN($B251,2)+5)</f>
        <v>Market</v>
      </c>
      <c r="P251" s="476" t="str">
        <f>INDEX(Input!$1:$1048576,P$93,$C251*2+MIN($B251,2)+5)</f>
        <v>N</v>
      </c>
      <c r="Q251" s="477">
        <f>INDEX(Input!$1:$1048576,Q$93,$C251*2+MIN($B251,2)+5)
+INDEX(Scenarios!Q$121:Q$200,MATCH($B251,Scenarios!$B$121:$B$200,0))</f>
        <v>0</v>
      </c>
      <c r="R251" s="478">
        <f>IFERROR(MAX(0,INDEX(Input!$1:$1048576,R$93,$C251*2+MIN($B251,2)+5)
+INDEX(Scenarios!R$121:R$200,MATCH($B251,Scenarios!$B$121:$B$200,0)),),"Market")</f>
        <v>0</v>
      </c>
      <c r="S251" s="478">
        <f>IFERROR(MAX(0,INDEX(Input!$1:$1048576,S$93,$C251*2+MIN($B251,2)+5)
+INDEX(Scenarios!S$121:S$200,MATCH($B251,Scenarios!$B$121:$B$200,0)),),"Market")</f>
        <v>0</v>
      </c>
      <c r="T251" s="478">
        <f>IFERROR(MAX(0,INDEX(Input!$1:$1048576,T$93,$C251*2+MIN($B251,2)+5)
+INDEX(Scenarios!T$121:T$200,MATCH($B251,Scenarios!$B$121:$B$200,0)),),"Market")</f>
        <v>0</v>
      </c>
      <c r="U251" s="478">
        <f>IFERROR(MAX(0,INDEX(Input!$1:$1048576,U$93,$C251*2+MIN($B251,2)+5)
+INDEX(Scenarios!U$121:U$200,MATCH($B251,Scenarios!$B$121:$B$200,0)),),"Market")</f>
        <v>0</v>
      </c>
      <c r="V251" s="478">
        <f>IFERROR(MAX(0,INDEX(Input!$1:$1048576,V$93,$C251*2+MIN($B251,2)+5)
+INDEX(Scenarios!V$121:V$200,MATCH($B251,Scenarios!$B$121:$B$200,0)),),"Market")</f>
        <v>8.9999999999999993E-3</v>
      </c>
      <c r="W251" s="885">
        <f>IFERROR(MAX(0,INDEX(Input!$1:$1048576,W$93,$C251*2+MIN($B251,2)+5)-0%,),"Market")</f>
        <v>3.9E-2</v>
      </c>
      <c r="X251" s="476" t="str">
        <f>INDEX(Input!$1:$1048576,X$93,$C251*2+MIN($B251,2)+5)</f>
        <v>Y</v>
      </c>
      <c r="Y251" s="475">
        <f>INDEX(Input!$1:$1048576,Y$93,$C251*2+MIN($B251,2)+5)
++INDEX(Scenarios!Y$121:Y$200,MATCH($B251,Scenarios!$B$121:$B$200,0))</f>
        <v>-304</v>
      </c>
      <c r="Z251" s="477">
        <f>INDEX(Input!$1:$1048576,Z$93,$C251*2+MIN($B251,2)+5)
+INDEX(Scenarios!Z$121:Z$200,MATCH($B251,Scenarios!$B$121:$B$200,0))</f>
        <v>0</v>
      </c>
      <c r="AA251" s="475">
        <f>INDEX(Input!$1:$1048576,AA$93,$C251*2+MIN($B251,2)+5)
+INDEX(Scenarios!AA$121:AA$200,MATCH($B251,Scenarios!$B$121:$B$200,0))</f>
        <v>0</v>
      </c>
      <c r="AB251" s="476">
        <f>INDEX(Input!$1:$1048576,AB$93,$C251*2+MIN($B251,2)+5)</f>
        <v>0.27</v>
      </c>
      <c r="AC251" s="475">
        <f>INDEX(Input!$1:$1048576,AC$93,$C251*2+MIN($B251,2)+5)
+INDEX(Scenarios!AC$121:AC$200,MATCH($B251,Scenarios!$B$121:$B$200,0))</f>
        <v>0</v>
      </c>
      <c r="AD251" s="476">
        <f>INDEX(Input!$1:$1048576,AD$93,$C251*2+MIN($B251,2)+5)</f>
        <v>0.27</v>
      </c>
      <c r="AE251" s="475">
        <f>INDEX(Input!$1:$1048576,AE$93,$C251*2+MIN($B251,2)+5)
+INDEX(Scenarios!AE$121:AE$200,MATCH($B251,Scenarios!$B$121:$B$200,0))</f>
        <v>0</v>
      </c>
      <c r="AF251" s="476">
        <f>INDEX(Input!$1:$1048576,AF$93,$C251*2+MIN($B251,2)+5)</f>
        <v>4.8000000000000001E-2</v>
      </c>
      <c r="AG251" s="475">
        <f>INDEX(Input!$1:$1048576,AG$93,$C251*2+MIN($B251,2)+5)
+INDEX(Scenarios!AG$121:AG$200,MATCH($B251,Scenarios!$B$121:$B$200,0))</f>
        <v>500</v>
      </c>
      <c r="AH251" s="476">
        <f>INDEX(Input!$1:$1048576,AH$93,$C251*2+MIN($B251,2)+5)</f>
        <v>0.94599999999999995</v>
      </c>
      <c r="AI251" s="475">
        <f>INDEX(Input!$1:$1048576,AI$93,$C251*2+MIN($B251,2)+5)
+INDEX(Scenarios!AI$121:AI$200,MATCH($B251,Scenarios!$B$121:$B$200,0))</f>
        <v>0</v>
      </c>
      <c r="AJ251" s="476">
        <f>INDEX(Input!$1:$1048576,AJ$93,$C251*2+MIN($B251,2)+5)</f>
        <v>0.27</v>
      </c>
      <c r="AK251" s="150">
        <f>ROUND(INDEX(Input!$1:$1048576,AK$93,$C250*2+MIN($B251,1)+5)+(Y251-VLOOKUP($C251*1000+1,$A:$HH,Y$92,FALSE)),0)</f>
        <v>2617</v>
      </c>
      <c r="AL251" s="150">
        <f>ROUND(INDEX(Input!$1:$1048576,AL$93,$C250*2+MIN($B251,1)+5)-(Y251-VLOOKUP($C251*1000+1,$A:$HH,Y$92,FALSE))/36,0)</f>
        <v>3405</v>
      </c>
      <c r="AM251" s="32" t="str">
        <f t="shared" si="663"/>
        <v>std/std/std/std</v>
      </c>
      <c r="AN251" s="32" t="str">
        <f t="shared" si="664"/>
        <v>$0 + 0/0/0/0.9/3.9</v>
      </c>
      <c r="AO251" s="32" t="str">
        <f t="shared" si="665"/>
        <v>0/0/0/0.9/3.9</v>
      </c>
      <c r="AP251" s="32" t="str">
        <f t="shared" si="734"/>
        <v>0/0/0.9/3.9</v>
      </c>
      <c r="AQ251" s="536">
        <f t="shared" si="733"/>
        <v>0.36915488310806066</v>
      </c>
      <c r="AR251" s="32"/>
      <c r="AS251" s="302"/>
      <c r="AT251" s="3">
        <f t="shared" si="717"/>
        <v>51</v>
      </c>
      <c r="AU251" s="41" t="s">
        <v>121</v>
      </c>
      <c r="AV251" s="41" t="s">
        <v>116</v>
      </c>
      <c r="AW251" s="41" t="str">
        <f>INDEX(Input!$1:$1048576,AW$93,$C251*2+6)</f>
        <v>Kia</v>
      </c>
      <c r="AX251" s="41" t="str">
        <f>INDEX(Input!$1:$1048576,AX$93,$C251*2+6)</f>
        <v>Kia-LR - L2</v>
      </c>
      <c r="AY251" s="41" t="str">
        <f>IF(LEN(D251)=0,"",INDEX(Input!$1:$1048576,AY$93,$C251*2+6))</f>
        <v>Compact SUV (52)</v>
      </c>
      <c r="AZ251" s="41" t="str">
        <f>INDEX(Input!$1:$1048576,AZ$93,$C251*2+6)</f>
        <v>Kia Soul</v>
      </c>
      <c r="BA251" s="3">
        <f>INDEX(Input!$1:$1048576,BA$93,$C251*2+6)</f>
        <v>2020</v>
      </c>
      <c r="BB251" s="128">
        <f>INDEX(Input!$1:$1048576,BB$93,$C251*2+6)</f>
        <v>1</v>
      </c>
      <c r="BC251" s="128">
        <f>INDEX(Input!$1:$1048576,BC$93,$C251*2+6)</f>
        <v>0.7</v>
      </c>
      <c r="BD251" s="1">
        <f>INDEX(Input!$1:$1048576,BD$93,$C251*2+6)</f>
        <v>4.4999999999999998E-2</v>
      </c>
      <c r="BE251" s="1">
        <f>INDEX(Input!$1:$1048576,BE$93,$C251*2+6)</f>
        <v>4.4999999999999998E-2</v>
      </c>
      <c r="BF251" s="1">
        <f>INDEX(Input!$1:$1048576,BF$93,$C251*2+6)</f>
        <v>0.05</v>
      </c>
      <c r="BG251" s="1">
        <f>INDEX(Input!$1:$1048576,BG$93,$C251*2+6)</f>
        <v>5.45E-2</v>
      </c>
      <c r="BH251" s="1">
        <f>INDEX(Input!$1:$1048576,BH$93,$C251*2+6)</f>
        <v>5.45E-2</v>
      </c>
      <c r="BI251" s="1">
        <f>INDEX(Input!$1:$1048576,BI$93,$C251*2+6)</f>
        <v>0.05</v>
      </c>
      <c r="BJ251" s="1">
        <f>INDEX(Input!$1:$1048576,BJ$93,$C251*2+6)</f>
        <v>0.05</v>
      </c>
      <c r="BK251" s="1">
        <f>INDEX(Input!$1:$1048576,BK$93,$C251*2+6)</f>
        <v>0.05</v>
      </c>
      <c r="BL251" s="1">
        <f>INDEX(Input!$1:$1048576,BL$93,$C251*2+6)</f>
        <v>5.5E-2</v>
      </c>
      <c r="BM251" s="1">
        <f>INDEX(Input!$1:$1048576,BM$93,$C251*2+6)</f>
        <v>0.06</v>
      </c>
      <c r="BN251" s="1">
        <f>INDEX(Input!$1:$1048576,BN$93,$C251*2+6)</f>
        <v>4.4999999999999998E-2</v>
      </c>
      <c r="BO251" s="1">
        <f>INDEX(Input!$1:$1048576,BO$93,$C251*2+6)</f>
        <v>4.4999999999999998E-2</v>
      </c>
      <c r="BP251" s="1">
        <f>INDEX(Input!$1:$1048576,BP$93,$C251*2+6)</f>
        <v>0.05</v>
      </c>
      <c r="BQ251" s="1">
        <f>INDEX(Input!$1:$1048576,BQ$93,$C251*2+6)</f>
        <v>5.45E-2</v>
      </c>
      <c r="BR251" s="1">
        <f>INDEX(Input!$1:$1048576,BR$93,$C251*2+6)</f>
        <v>5.45E-2</v>
      </c>
      <c r="BS251" s="1">
        <f>INDEX(Input!$1:$1048576,BS$93,$C251*2+6)</f>
        <v>0.05</v>
      </c>
      <c r="BT251" s="1">
        <f>INDEX(Input!$1:$1048576,BT$93,$C251*2+6)</f>
        <v>0.05</v>
      </c>
      <c r="BU251" s="1">
        <f>INDEX(Input!$1:$1048576,BU$93,$C251*2+6)</f>
        <v>0.05</v>
      </c>
      <c r="BV251" s="1">
        <f>INDEX(Input!$1:$1048576,BV$93,$C251*2+6)</f>
        <v>5.5E-2</v>
      </c>
      <c r="BW251" s="1">
        <f>INDEX(Input!$1:$1048576,BW$93,$C251*2+6)</f>
        <v>0.06</v>
      </c>
      <c r="BX251" s="127">
        <f>INDEX(Input!$1:$1048576,BX$93,$C251*2+6)</f>
        <v>19985</v>
      </c>
      <c r="BY251" s="20">
        <f>INDEX(Input!$1:$1048576,BY$93,$C251*2+6)</f>
        <v>0.1</v>
      </c>
      <c r="BZ251" s="20">
        <f>INDEX(Input!$1:$1048576,BZ$93,$C251*2+6)</f>
        <v>0.1</v>
      </c>
      <c r="CA251" s="20">
        <f>INDEX(Input!$1:$1048576,CA$93,$C251*2+6)</f>
        <v>0.1</v>
      </c>
      <c r="CB251" s="20">
        <f>INDEX(Input!$1:$1048576,CB$93,$C251*2+6)</f>
        <v>0.1</v>
      </c>
      <c r="CC251" s="20">
        <f>INDEX(Input!$1:$1048576,CC$93,$C251*2+6)</f>
        <v>0.1</v>
      </c>
      <c r="CD251" s="384">
        <f>INDEX(Input!$1:$1048576,CD$93,$C251*2+6)</f>
        <v>0.1</v>
      </c>
      <c r="CE251" s="384">
        <f>INDEX(Input!$1:$1048576,CE$93,$C251*2+6)</f>
        <v>0.1</v>
      </c>
      <c r="CF251" s="384">
        <f>INDEX(Input!$1:$1048576,CF$93,$C251*2+6)</f>
        <v>0.1</v>
      </c>
      <c r="CG251" s="384">
        <f>INDEX(Input!$1:$1048576,CG$93,$C251*2+6)</f>
        <v>0.1</v>
      </c>
      <c r="CH251" s="384">
        <f>INDEX(Input!$1:$1048576,CH$93,$C251*2+6)</f>
        <v>0.1</v>
      </c>
      <c r="CI251" s="304">
        <f t="shared" si="735"/>
        <v>1269.7618664521319</v>
      </c>
      <c r="CJ251" s="16" t="str">
        <f>INDEX(Input!$1:$1048576,CJ$93,$C251*2+6)</f>
        <v>N</v>
      </c>
      <c r="CK251" s="1" t="str">
        <f t="shared" si="736"/>
        <v>Market</v>
      </c>
      <c r="CL251" s="1" t="str">
        <f t="shared" si="737"/>
        <v>Market</v>
      </c>
      <c r="CM251" s="1" t="str">
        <f t="shared" si="738"/>
        <v>Market</v>
      </c>
      <c r="CN251" s="1" t="str">
        <f t="shared" si="739"/>
        <v>Market</v>
      </c>
      <c r="CO251" s="1" t="str">
        <f t="shared" si="740"/>
        <v>Market</v>
      </c>
      <c r="CP251" s="304">
        <f t="shared" si="741"/>
        <v>473</v>
      </c>
      <c r="CQ251" s="1">
        <f t="shared" si="742"/>
        <v>0</v>
      </c>
      <c r="CR251" s="1">
        <f t="shared" si="743"/>
        <v>0</v>
      </c>
      <c r="CS251" s="1">
        <f t="shared" si="744"/>
        <v>0</v>
      </c>
      <c r="CT251" s="1">
        <f t="shared" si="745"/>
        <v>8.9999999999999993E-3</v>
      </c>
      <c r="CU251" s="1">
        <f t="shared" si="746"/>
        <v>3.9E-2</v>
      </c>
      <c r="CV251" s="304">
        <f t="shared" si="747"/>
        <v>-304</v>
      </c>
      <c r="CW251" s="20" t="s">
        <v>122</v>
      </c>
      <c r="CX251" s="20" t="s">
        <v>122</v>
      </c>
      <c r="CY251" s="20" t="s">
        <v>122</v>
      </c>
      <c r="CZ251" s="20" t="s">
        <v>122</v>
      </c>
      <c r="DA251" s="20" t="s">
        <v>122</v>
      </c>
      <c r="DB251" s="503">
        <f t="shared" si="748"/>
        <v>0</v>
      </c>
      <c r="DC251" s="127">
        <v>0</v>
      </c>
      <c r="DD251" s="127">
        <v>0</v>
      </c>
      <c r="DE251" s="127">
        <v>0</v>
      </c>
      <c r="DF251" s="127">
        <v>0</v>
      </c>
      <c r="DG251" s="127">
        <v>0</v>
      </c>
      <c r="DH251" s="127">
        <v>0</v>
      </c>
      <c r="DI251" s="127">
        <v>0</v>
      </c>
      <c r="DJ251" s="127">
        <v>0</v>
      </c>
      <c r="DK251" s="127">
        <v>0</v>
      </c>
      <c r="DL251" s="127">
        <v>0</v>
      </c>
      <c r="DM251" s="304">
        <f>INDEX(Input!$1:$1048576,DM$93,$C251*2+6)</f>
        <v>21036.84210526316</v>
      </c>
      <c r="DN251" s="20">
        <v>0</v>
      </c>
      <c r="DO251" s="20">
        <v>0</v>
      </c>
      <c r="DP251" s="20">
        <v>0</v>
      </c>
      <c r="DQ251" s="20">
        <v>0</v>
      </c>
      <c r="DR251" s="20">
        <v>0</v>
      </c>
      <c r="DS251" s="20">
        <f>INDEX(Input!$1:$1048576,DS$93,$C251*2+6)</f>
        <v>0.6</v>
      </c>
      <c r="DT251" s="20">
        <f>INDEX(Input!$1:$1048576,DT$93,$C251*2+6)</f>
        <v>0.55000000000000004</v>
      </c>
      <c r="DU251" s="20">
        <f>INDEX(Input!$1:$1048576,DU$93,$C251*2+6)</f>
        <v>0.52</v>
      </c>
      <c r="DV251" s="20">
        <f>INDEX(Input!$1:$1048576,DV$93,$C251*2+6)</f>
        <v>0.5</v>
      </c>
      <c r="DW251" s="20">
        <f>INDEX(Input!$1:$1048576,DW$93,$C251*2+6)</f>
        <v>0.45</v>
      </c>
      <c r="DX251" s="20"/>
      <c r="DY251" s="7">
        <v>9.4086316542195125E-2</v>
      </c>
      <c r="DZ251" s="7">
        <v>0</v>
      </c>
      <c r="EA251" s="7">
        <v>0.66635303071653895</v>
      </c>
      <c r="EB251" s="7">
        <v>0</v>
      </c>
      <c r="EC251" s="7">
        <v>0</v>
      </c>
      <c r="ED251" s="7">
        <v>0</v>
      </c>
      <c r="EE251" s="7">
        <v>0</v>
      </c>
      <c r="EF251" s="7">
        <v>0</v>
      </c>
      <c r="EG251" s="7">
        <v>0</v>
      </c>
      <c r="EH251" s="7">
        <v>1.1229424129563913E-2</v>
      </c>
      <c r="EI251" s="7">
        <v>3.1965593613327167E-2</v>
      </c>
      <c r="EJ251" s="7">
        <v>0.24184707158392335</v>
      </c>
      <c r="EK251" s="7">
        <v>0.62748326995562786</v>
      </c>
      <c r="EL251" s="7">
        <v>8.7474640717557881E-2</v>
      </c>
      <c r="EM251" s="7">
        <v>7.4067338179073225E-2</v>
      </c>
      <c r="EN251" s="7">
        <v>6.4370124210232152E-2</v>
      </c>
      <c r="EO251" s="7">
        <v>0.72183971477229159</v>
      </c>
      <c r="EP251" s="7">
        <v>9.2875000544004799E-2</v>
      </c>
      <c r="EQ251" s="7">
        <v>7.9202122266908329E-2</v>
      </c>
      <c r="ER251" s="7">
        <v>4.1713038206562858E-2</v>
      </c>
      <c r="ES251" s="7">
        <v>0.16549331456219279</v>
      </c>
      <c r="ET251" s="7">
        <v>0.23956065274126589</v>
      </c>
      <c r="EU251" s="6">
        <v>1294</v>
      </c>
      <c r="EV251" s="6">
        <v>0</v>
      </c>
      <c r="EW251" s="6">
        <v>1294</v>
      </c>
      <c r="EX251" s="6">
        <v>0</v>
      </c>
      <c r="EY251" s="6">
        <v>2357.0301674441034</v>
      </c>
      <c r="EZ251" s="6">
        <v>586</v>
      </c>
      <c r="FA251" s="6">
        <v>0</v>
      </c>
      <c r="FB251" s="6">
        <v>0</v>
      </c>
      <c r="FC251" s="6">
        <v>0</v>
      </c>
      <c r="FD251" s="6">
        <v>0</v>
      </c>
      <c r="FE251" s="6">
        <v>0</v>
      </c>
      <c r="FF251" s="6">
        <v>0</v>
      </c>
      <c r="FG251" s="6">
        <v>0</v>
      </c>
      <c r="FH251" s="6">
        <v>1173.7321350794375</v>
      </c>
      <c r="FI251" s="6">
        <v>1553.9796069512397</v>
      </c>
      <c r="FJ251" s="6">
        <v>2101.211011744741</v>
      </c>
      <c r="FK251" s="6">
        <v>2251.3078348034664</v>
      </c>
      <c r="FL251" s="6">
        <v>907.07682140966313</v>
      </c>
      <c r="FM251" s="6">
        <v>2063.0301674441034</v>
      </c>
      <c r="FN251" s="6">
        <v>0</v>
      </c>
      <c r="FO251" s="6">
        <v>0</v>
      </c>
      <c r="FP251" s="6">
        <v>0</v>
      </c>
      <c r="FQ251" s="6">
        <v>0</v>
      </c>
      <c r="FR251" s="6">
        <v>0</v>
      </c>
      <c r="FS251" s="6">
        <v>0</v>
      </c>
      <c r="FT251" s="7">
        <v>0.76043934725873408</v>
      </c>
      <c r="FU251" s="7">
        <v>7.4067338179073225E-2</v>
      </c>
      <c r="FV251" s="7">
        <v>0.16549331456219279</v>
      </c>
      <c r="FW251" s="6">
        <v>1294</v>
      </c>
      <c r="FX251" s="6">
        <v>2357.0301674441034</v>
      </c>
      <c r="FY251" s="6">
        <v>586</v>
      </c>
      <c r="FZ251" s="6">
        <v>1817.4615072224267</v>
      </c>
      <c r="GA251" s="6">
        <v>1255.5665481966068</v>
      </c>
      <c r="GB251" s="6">
        <v>18729.433451803394</v>
      </c>
      <c r="GC251" s="7">
        <v>1.804905384453976E-2</v>
      </c>
      <c r="GD251" s="7">
        <v>1.7122214181431589E-2</v>
      </c>
      <c r="GE251" s="7"/>
      <c r="GF251" s="7"/>
      <c r="GG251" s="7">
        <v>-5.135114954452645E-2</v>
      </c>
      <c r="GH251" s="42">
        <v>1.826413829066232</v>
      </c>
      <c r="GI251" s="6">
        <v>12197.77454178012</v>
      </c>
      <c r="GJ251" s="14">
        <v>0.50394797582841755</v>
      </c>
      <c r="GK251" s="14">
        <v>0.50887573065309755</v>
      </c>
      <c r="GL251" s="14">
        <v>0.49605202417158295</v>
      </c>
      <c r="GM251" s="14">
        <v>0.4911242693469024</v>
      </c>
      <c r="GO251" s="5">
        <v>343.14810671672558</v>
      </c>
      <c r="GP251" s="5">
        <v>318.46105531198077</v>
      </c>
      <c r="GQ251" s="5">
        <v>535.04305713031317</v>
      </c>
      <c r="GR251" s="5">
        <v>410.15490233172511</v>
      </c>
      <c r="GS251" s="5">
        <v>339.42744393800166</v>
      </c>
      <c r="GT251" s="5">
        <v>293.4407446948278</v>
      </c>
      <c r="GU251" s="5">
        <v>258.04012322764959</v>
      </c>
      <c r="GV251" s="39" t="s">
        <v>392</v>
      </c>
      <c r="GW251" s="5">
        <v>491.45833333333331</v>
      </c>
      <c r="GX251" s="5">
        <v>368.59375</v>
      </c>
      <c r="GY251" s="5">
        <v>294.875</v>
      </c>
      <c r="GZ251" s="5">
        <v>252.51567799800796</v>
      </c>
      <c r="HA251" s="5">
        <v>241.02179695997205</v>
      </c>
      <c r="HB251" s="39">
        <v>268.14842576065649</v>
      </c>
      <c r="HC251" s="5">
        <v>261.64687500000002</v>
      </c>
      <c r="HD251" s="5">
        <v>222.30677997076018</v>
      </c>
      <c r="HE251" s="5">
        <v>224.71639254385963</v>
      </c>
      <c r="HF251" s="5">
        <v>207.35750548245613</v>
      </c>
      <c r="HG251" s="5">
        <v>199.39971491228067</v>
      </c>
      <c r="HH251" s="39">
        <v>222.92336199746325</v>
      </c>
      <c r="HI251" s="16"/>
      <c r="HJ251" s="19" t="str">
        <f t="shared" ref="HJ251:HK266" si="761">HJ250</f>
        <v>On</v>
      </c>
      <c r="HK251" s="1" t="str">
        <f t="shared" si="761"/>
        <v>On</v>
      </c>
      <c r="HL251" s="16"/>
      <c r="HM251" s="639">
        <f t="shared" si="634"/>
        <v>1.2768706344444866E-2</v>
      </c>
      <c r="HN251" s="639">
        <f t="shared" si="635"/>
        <v>9.795534288915453E-4</v>
      </c>
      <c r="HO251" s="639">
        <f t="shared" si="636"/>
        <v>3.3583061774515237E-3</v>
      </c>
      <c r="HP251" s="644">
        <f>(FT251*$GD251-HM251)/$JF251*INDEX(Input!$1:$1048576,$JG$93,$C251*2+6)</f>
        <v>18.288994811401828</v>
      </c>
      <c r="HQ251" s="644">
        <f>(FU251*$GD251-HN251)/$JF251*INDEX(Input!$1:$1048576,$JG$93,$C251*2+6)</f>
        <v>20.973452317149622</v>
      </c>
      <c r="HR251" s="644">
        <f>(FV251*$GD251-HO251)/$JF251*INDEX(Input!$1:$1048576,$JG$93,$C251*2+6)</f>
        <v>-38.125412919229746</v>
      </c>
      <c r="HS251" s="644">
        <f t="shared" si="754"/>
        <v>-2.9962172408649792</v>
      </c>
      <c r="HT251" s="644">
        <f t="shared" si="638"/>
        <v>27.45988895196658</v>
      </c>
      <c r="HU251" s="644">
        <f t="shared" si="639"/>
        <v>-5.4648274386491194</v>
      </c>
      <c r="HV251" s="648">
        <f t="shared" si="640"/>
        <v>0</v>
      </c>
      <c r="HW251" s="648">
        <f t="shared" si="641"/>
        <v>0</v>
      </c>
      <c r="HX251" s="648">
        <f t="shared" si="642"/>
        <v>0</v>
      </c>
      <c r="HY251" s="644">
        <f>INDEX(Input!$1:$1048576,HY$93,$C251*2+6)*INDEX(Input!$1:$1048576,$JG$93,$C251*2+6)</f>
        <v>451</v>
      </c>
      <c r="HZ251" s="644">
        <f>INDEX(Input!$1:$1048576,HZ$93,$C251*2+6)*INDEX(Input!$1:$1048576,$JG$93,$C251*2+6)</f>
        <v>577</v>
      </c>
      <c r="IA251" s="644">
        <f>INDEX(Input!$1:$1048576,IA$93,$C251*2+6)*INDEX(Input!$1:$1048576,$JG$93,$C251*2+6)</f>
        <v>215</v>
      </c>
      <c r="IB251" s="644">
        <f t="shared" si="666"/>
        <v>466.29277757053683</v>
      </c>
      <c r="IC251" s="644">
        <f t="shared" si="667"/>
        <v>625.43334126911623</v>
      </c>
      <c r="ID251" s="644">
        <f>IF(AND(INDEX(Input!$1:$1048576,IA$93,$C251*2+7)="TOS",Y251&lt;=INDEX(Y:Y,MATCH(C251*1000+2,A:A))),0,1)*MAX(IA251+HR251+HU251+HX251,0%)</f>
        <v>171.40975964212114</v>
      </c>
      <c r="IE251" s="128">
        <f t="shared" si="759"/>
        <v>0.36915488310806066</v>
      </c>
      <c r="IF251" s="128">
        <f t="shared" si="643"/>
        <v>0.49514335862334596</v>
      </c>
      <c r="IG251" s="128">
        <f t="shared" si="644"/>
        <v>0.13570175826859346</v>
      </c>
      <c r="IH251" s="21"/>
      <c r="II251" s="19">
        <f t="shared" si="645"/>
        <v>1252</v>
      </c>
      <c r="IJ251" s="19">
        <f t="shared" si="646"/>
        <v>2011.9658773055378</v>
      </c>
      <c r="IK251" s="19">
        <f t="shared" si="647"/>
        <v>919</v>
      </c>
      <c r="IL251" s="19">
        <f t="shared" si="669"/>
        <v>42</v>
      </c>
      <c r="IM251" s="19">
        <f t="shared" si="648"/>
        <v>345.06429013856564</v>
      </c>
      <c r="IN251" s="19">
        <f t="shared" si="649"/>
        <v>-333</v>
      </c>
      <c r="IO251" s="39">
        <f t="shared" si="650"/>
        <v>0</v>
      </c>
      <c r="IP251" s="39">
        <f t="shared" si="651"/>
        <v>0</v>
      </c>
      <c r="IQ251" s="39">
        <f t="shared" si="652"/>
        <v>0</v>
      </c>
      <c r="IR251" s="39">
        <v>0</v>
      </c>
      <c r="IS251" s="39">
        <v>0</v>
      </c>
      <c r="IT251" s="39">
        <v>0</v>
      </c>
      <c r="IU251" s="39">
        <v>0</v>
      </c>
      <c r="IV251" s="39">
        <v>0</v>
      </c>
      <c r="IW251" s="39">
        <v>0</v>
      </c>
      <c r="IX251" s="39">
        <f>INDEX(Input!$1:$1048576,IX$93,$C251*2+6)+INDEX(Input!$1:$1048576,IX$94,$C251*2+6)</f>
        <v>1294</v>
      </c>
      <c r="IY251" s="39">
        <f>INDEX(Input!$1:$1048576,IY$93,$C251*2+6)+INDEX(Input!$1:$1048576,IY$94,$C251*2+6)</f>
        <v>2154.0624533823611</v>
      </c>
      <c r="IZ251" s="39">
        <f>INDEX(Input!$1:$1048576,IZ$93,$C251*2+6)+INDEX(Input!$1:$1048576,IZ$94,$C251*2+6)</f>
        <v>3677.7164157747848</v>
      </c>
      <c r="JA251" s="19">
        <f t="shared" si="670"/>
        <v>1336</v>
      </c>
      <c r="JB251" s="19">
        <f t="shared" si="671"/>
        <v>2499.1267435209265</v>
      </c>
      <c r="JC251" s="19">
        <f t="shared" si="672"/>
        <v>3344.7164157747848</v>
      </c>
      <c r="JD251" s="19">
        <f t="shared" si="673"/>
        <v>2184.5008317752122</v>
      </c>
      <c r="JE251" s="21"/>
      <c r="JF251" s="1">
        <f t="shared" si="653"/>
        <v>1.7106565950787935E-2</v>
      </c>
      <c r="JG251" s="15">
        <f>INDEX(Input!$1:$1048576,JG$93,$C251*2+6)/(1+VLOOKUP(C251*1000+INDEX(Input!$1:$1048576,JG$93+1,$C251*2+6),$A:$KK,$JK$92,FALSE))</f>
        <v>1243</v>
      </c>
      <c r="JH251" s="1">
        <f t="shared" si="674"/>
        <v>9.1474996727409878E-4</v>
      </c>
      <c r="JI251" s="1">
        <f t="shared" si="675"/>
        <v>1.528466956754021E-2</v>
      </c>
      <c r="JJ251" s="1">
        <f t="shared" si="731"/>
        <v>0</v>
      </c>
      <c r="JK251" s="1">
        <f t="shared" si="732"/>
        <v>1.6199419534814311E-2</v>
      </c>
      <c r="JL251" s="15">
        <f t="shared" si="678"/>
        <v>20.135878481774188</v>
      </c>
      <c r="JM251" s="15">
        <f t="shared" si="702"/>
        <v>1263.1358784817742</v>
      </c>
      <c r="JN251" s="21"/>
      <c r="JO251" s="19">
        <f>INDEX(Input!$1:$1048576,JO$93,$C251*2+6)</f>
        <v>5995.5</v>
      </c>
      <c r="JP251" s="19">
        <f>INDEX(Input!$1:$1048576,JP$93,$C251*2+6)</f>
        <v>2105.548724853742</v>
      </c>
      <c r="JQ251" s="39">
        <f t="shared" si="688"/>
        <v>3810.9991682247878</v>
      </c>
      <c r="JR251" s="39">
        <f t="shared" si="705"/>
        <v>78.952106921470204</v>
      </c>
      <c r="JS251" s="39">
        <f t="shared" si="690"/>
        <v>2.7593213771885488</v>
      </c>
      <c r="JT251" s="39">
        <f t="shared" si="680"/>
        <v>0.14212431219534763</v>
      </c>
      <c r="JU251" s="385">
        <f>(JQ251*JM251-INDEX(Input!$1:$1048576,Input!A$18,$C251*2+6)*JL251*INDEX(Input!$1:$1048576,Input!A$19,$C251*2+6))/1000000</f>
        <v>4.8138097822489279</v>
      </c>
      <c r="JV251" s="39">
        <f t="shared" si="712"/>
        <v>-2.1399652757870591E-2</v>
      </c>
      <c r="JW251" s="1">
        <f t="shared" si="703"/>
        <v>-4.4257964511190823E-3</v>
      </c>
      <c r="JX251" s="19">
        <f t="shared" si="694"/>
        <v>7058.2623114253583</v>
      </c>
      <c r="JZ251" s="341"/>
      <c r="KA251" s="342"/>
      <c r="KB251" s="469">
        <f t="shared" si="691"/>
        <v>2.5660492421988774</v>
      </c>
      <c r="KI251" s="473">
        <f t="shared" si="756"/>
        <v>15.292777570536884</v>
      </c>
      <c r="KJ251" s="473">
        <f t="shared" si="757"/>
        <v>48.433341269116227</v>
      </c>
      <c r="KK251" s="473">
        <f t="shared" si="682"/>
        <v>-43.590240357878827</v>
      </c>
      <c r="KN251" s="544">
        <f t="shared" si="695"/>
        <v>2002</v>
      </c>
      <c r="KO251" s="541">
        <f t="shared" si="657"/>
        <v>1.0212230377588449E-2</v>
      </c>
      <c r="KP251" s="546">
        <f t="shared" si="658"/>
        <v>101.20707473188239</v>
      </c>
      <c r="KQ251" s="546">
        <f t="shared" si="659"/>
        <v>40.820492341739282</v>
      </c>
      <c r="KR251" s="548">
        <f t="shared" si="660"/>
        <v>1.8002661088326739</v>
      </c>
      <c r="KS251" s="548">
        <f t="shared" si="661"/>
        <v>4.463436283143575</v>
      </c>
      <c r="KT251" s="473">
        <f t="shared" si="693"/>
        <v>843.26993010479111</v>
      </c>
      <c r="KU251" s="663">
        <f t="shared" si="683"/>
        <v>4.5551306792494737</v>
      </c>
      <c r="KV251" s="117"/>
    </row>
    <row r="252" spans="1:308" s="26" customFormat="1" ht="15" outlineLevel="1">
      <c r="A252" s="561">
        <f t="shared" si="662"/>
        <v>2052</v>
      </c>
      <c r="B252" s="561">
        <f t="shared" si="684"/>
        <v>52</v>
      </c>
      <c r="C252" s="561">
        <f t="shared" si="760"/>
        <v>2</v>
      </c>
      <c r="D252" s="561" t="str">
        <f t="shared" si="728"/>
        <v xml:space="preserve">0/0/0/3.9, -360 Lease, </v>
      </c>
      <c r="E252" s="475">
        <f>INDEX(Input!$1:$1048576,E$93,$C252*2+MIN($B252,2)+5)
+INDEX(Scenarios!E$121:E$200,MATCH($B252,Scenarios!$B$121:$B$200,0))</f>
        <v>1269.7618664521319</v>
      </c>
      <c r="F252" s="475">
        <f>INDEX(Input!$1:$1048576,F$93,$C252*2+MIN($B252,2)+5)
+INDEX(Scenarios!F$121:F$200,MATCH($B252,Scenarios!$B$121:$B$200,0))</f>
        <v>0</v>
      </c>
      <c r="G252" s="475">
        <f>INDEX(Input!$1:$1048576,G$93,$C252*2+MIN($B252,2)+5)
+INDEX(Scenarios!G$121:G$200,MATCH($B252,Scenarios!$B$121:$B$200,0))</f>
        <v>0</v>
      </c>
      <c r="H252" s="475">
        <f>INDEX(Input!$1:$1048576,H$93,$C252*2+MIN($B252,2)+5)
+INDEX(Scenarios!H$121:H$200,MATCH($B252,Scenarios!$B$121:$B$200,0))</f>
        <v>0</v>
      </c>
      <c r="I252" s="476">
        <f>INDEX(Input!$1:$1048576,I$93,$C252*2+MIN($B252,2)+5)</f>
        <v>0.7</v>
      </c>
      <c r="J252" s="476" t="str">
        <f>INDEX(Input!$1:$1048576,J$93,$C252*2+MIN($B252,2)+5)</f>
        <v>Market</v>
      </c>
      <c r="K252" s="476" t="str">
        <f>INDEX(Input!$1:$1048576,K$93,$C252*2+MIN($B252,2)+5)</f>
        <v>Market</v>
      </c>
      <c r="L252" s="476" t="str">
        <f>INDEX(Input!$1:$1048576,L$93,$C252*2+MIN($B252,2)+5)</f>
        <v>Market</v>
      </c>
      <c r="M252" s="476" t="str">
        <f>INDEX(Input!$1:$1048576,M$93,$C252*2+MIN($B252,2)+5)</f>
        <v>Market</v>
      </c>
      <c r="N252" s="476" t="str">
        <f>INDEX(Input!$1:$1048576,N$93,$C252*2+MIN($B252,2)+5)</f>
        <v>Market</v>
      </c>
      <c r="O252" s="476" t="str">
        <f>INDEX(Input!$1:$1048576,O$93,$C252*2+MIN($B252,2)+5)</f>
        <v>Market</v>
      </c>
      <c r="P252" s="476" t="str">
        <f>INDEX(Input!$1:$1048576,P$93,$C252*2+MIN($B252,2)+5)</f>
        <v>N</v>
      </c>
      <c r="Q252" s="477">
        <f>INDEX(Input!$1:$1048576,Q$93,$C252*2+MIN($B252,2)+5)
+INDEX(Scenarios!Q$121:Q$200,MATCH($B252,Scenarios!$B$121:$B$200,0))</f>
        <v>0</v>
      </c>
      <c r="R252" s="478">
        <f>IFERROR(MAX(0,INDEX(Input!$1:$1048576,R$93,$C252*2+MIN($B252,2)+5)
+INDEX(Scenarios!R$121:R$200,MATCH($B252,Scenarios!$B$121:$B$200,0)),),"Market")</f>
        <v>0</v>
      </c>
      <c r="S252" s="478">
        <f>IFERROR(MAX(0,INDEX(Input!$1:$1048576,S$93,$C252*2+MIN($B252,2)+5)
+INDEX(Scenarios!S$121:S$200,MATCH($B252,Scenarios!$B$121:$B$200,0)),),"Market")</f>
        <v>0</v>
      </c>
      <c r="T252" s="478">
        <f>IFERROR(MAX(0,INDEX(Input!$1:$1048576,T$93,$C252*2+MIN($B252,2)+5)
+INDEX(Scenarios!T$121:T$200,MATCH($B252,Scenarios!$B$121:$B$200,0)),),"Market")</f>
        <v>0</v>
      </c>
      <c r="U252" s="478">
        <f>IFERROR(MAX(0,INDEX(Input!$1:$1048576,U$93,$C252*2+MIN($B252,2)+5)
+INDEX(Scenarios!U$121:U$200,MATCH($B252,Scenarios!$B$121:$B$200,0)),),"Market")</f>
        <v>0</v>
      </c>
      <c r="V252" s="478">
        <f>IFERROR(MAX(0,INDEX(Input!$1:$1048576,V$93,$C252*2+MIN($B252,2)+5)
+INDEX(Scenarios!V$121:V$200,MATCH($B252,Scenarios!$B$121:$B$200,0)),),"Market")</f>
        <v>0</v>
      </c>
      <c r="W252" s="885">
        <f>IFERROR(MAX(0,INDEX(Input!$1:$1048576,W$93,$C252*2+MIN($B252,2)+5)-0%,),"Market")</f>
        <v>3.9E-2</v>
      </c>
      <c r="X252" s="476" t="str">
        <f>INDEX(Input!$1:$1048576,X$93,$C252*2+MIN($B252,2)+5)</f>
        <v>Y</v>
      </c>
      <c r="Y252" s="475">
        <f>INDEX(Input!$1:$1048576,Y$93,$C252*2+MIN($B252,2)+5)
++INDEX(Scenarios!Y$121:Y$200,MATCH($B252,Scenarios!$B$121:$B$200,0))</f>
        <v>-304</v>
      </c>
      <c r="Z252" s="477">
        <f>INDEX(Input!$1:$1048576,Z$93,$C252*2+MIN($B252,2)+5)
+INDEX(Scenarios!Z$121:Z$200,MATCH($B252,Scenarios!$B$121:$B$200,0))</f>
        <v>0</v>
      </c>
      <c r="AA252" s="475">
        <f>INDEX(Input!$1:$1048576,AA$93,$C252*2+MIN($B252,2)+5)
+INDEX(Scenarios!AA$121:AA$200,MATCH($B252,Scenarios!$B$121:$B$200,0))</f>
        <v>0</v>
      </c>
      <c r="AB252" s="476">
        <f>INDEX(Input!$1:$1048576,AB$93,$C252*2+MIN($B252,2)+5)</f>
        <v>0.27</v>
      </c>
      <c r="AC252" s="475">
        <f>INDEX(Input!$1:$1048576,AC$93,$C252*2+MIN($B252,2)+5)
+INDEX(Scenarios!AC$121:AC$200,MATCH($B252,Scenarios!$B$121:$B$200,0))</f>
        <v>0</v>
      </c>
      <c r="AD252" s="476">
        <f>INDEX(Input!$1:$1048576,AD$93,$C252*2+MIN($B252,2)+5)</f>
        <v>0.27</v>
      </c>
      <c r="AE252" s="475">
        <f>INDEX(Input!$1:$1048576,AE$93,$C252*2+MIN($B252,2)+5)
+INDEX(Scenarios!AE$121:AE$200,MATCH($B252,Scenarios!$B$121:$B$200,0))</f>
        <v>0</v>
      </c>
      <c r="AF252" s="476">
        <f>INDEX(Input!$1:$1048576,AF$93,$C252*2+MIN($B252,2)+5)</f>
        <v>4.8000000000000001E-2</v>
      </c>
      <c r="AG252" s="475">
        <f>INDEX(Input!$1:$1048576,AG$93,$C252*2+MIN($B252,2)+5)
+INDEX(Scenarios!AG$121:AG$200,MATCH($B252,Scenarios!$B$121:$B$200,0))</f>
        <v>500</v>
      </c>
      <c r="AH252" s="476">
        <f>INDEX(Input!$1:$1048576,AH$93,$C252*2+MIN($B252,2)+5)</f>
        <v>0.94599999999999995</v>
      </c>
      <c r="AI252" s="475">
        <f>INDEX(Input!$1:$1048576,AI$93,$C252*2+MIN($B252,2)+5)
+INDEX(Scenarios!AI$121:AI$200,MATCH($B252,Scenarios!$B$121:$B$200,0))</f>
        <v>0</v>
      </c>
      <c r="AJ252" s="476">
        <f>INDEX(Input!$1:$1048576,AJ$93,$C252*2+MIN($B252,2)+5)</f>
        <v>0.27</v>
      </c>
      <c r="AK252" s="150">
        <f>ROUND(INDEX(Input!$1:$1048576,AK$93,$C251*2+MIN($B252,1)+5)+(Y252-VLOOKUP($C252*1000+1,$A:$HH,Y$92,FALSE)),0)</f>
        <v>2617</v>
      </c>
      <c r="AL252" s="150">
        <f>ROUND(INDEX(Input!$1:$1048576,AL$93,$C251*2+MIN($B252,1)+5)-(Y252-VLOOKUP($C252*1000+1,$A:$HH,Y$92,FALSE))/36,0)</f>
        <v>3405</v>
      </c>
      <c r="AM252" s="32" t="str">
        <f t="shared" si="663"/>
        <v>std/std/std/std</v>
      </c>
      <c r="AN252" s="32" t="str">
        <f t="shared" si="664"/>
        <v>$0 + 0/0/0/0/3.9</v>
      </c>
      <c r="AO252" s="32" t="str">
        <f t="shared" si="665"/>
        <v>0/0/0/0/3.9</v>
      </c>
      <c r="AP252" s="32" t="str">
        <f t="shared" si="734"/>
        <v>0/0/0/3.9</v>
      </c>
      <c r="AQ252" s="536">
        <f t="shared" si="733"/>
        <v>0.34782946528534825</v>
      </c>
      <c r="AR252" s="32"/>
      <c r="AS252" s="302"/>
      <c r="AT252" s="3">
        <f t="shared" si="717"/>
        <v>52</v>
      </c>
      <c r="AU252" s="41" t="s">
        <v>121</v>
      </c>
      <c r="AV252" s="41" t="s">
        <v>116</v>
      </c>
      <c r="AW252" s="41" t="str">
        <f>INDEX(Input!$1:$1048576,AW$93,$C252*2+6)</f>
        <v>Kia</v>
      </c>
      <c r="AX252" s="41" t="str">
        <f>INDEX(Input!$1:$1048576,AX$93,$C252*2+6)</f>
        <v>Kia-LR - L2</v>
      </c>
      <c r="AY252" s="41" t="str">
        <f>IF(LEN(D252)=0,"",INDEX(Input!$1:$1048576,AY$93,$C252*2+6))</f>
        <v>Compact SUV (52)</v>
      </c>
      <c r="AZ252" s="41" t="str">
        <f>INDEX(Input!$1:$1048576,AZ$93,$C252*2+6)</f>
        <v>Kia Soul</v>
      </c>
      <c r="BA252" s="3">
        <f>INDEX(Input!$1:$1048576,BA$93,$C252*2+6)</f>
        <v>2020</v>
      </c>
      <c r="BB252" s="128">
        <f>INDEX(Input!$1:$1048576,BB$93,$C252*2+6)</f>
        <v>1</v>
      </c>
      <c r="BC252" s="128">
        <f>INDEX(Input!$1:$1048576,BC$93,$C252*2+6)</f>
        <v>0.7</v>
      </c>
      <c r="BD252" s="1">
        <f>INDEX(Input!$1:$1048576,BD$93,$C252*2+6)</f>
        <v>4.4999999999999998E-2</v>
      </c>
      <c r="BE252" s="1">
        <f>INDEX(Input!$1:$1048576,BE$93,$C252*2+6)</f>
        <v>4.4999999999999998E-2</v>
      </c>
      <c r="BF252" s="1">
        <f>INDEX(Input!$1:$1048576,BF$93,$C252*2+6)</f>
        <v>0.05</v>
      </c>
      <c r="BG252" s="1">
        <f>INDEX(Input!$1:$1048576,BG$93,$C252*2+6)</f>
        <v>5.45E-2</v>
      </c>
      <c r="BH252" s="1">
        <f>INDEX(Input!$1:$1048576,BH$93,$C252*2+6)</f>
        <v>5.45E-2</v>
      </c>
      <c r="BI252" s="1">
        <f>INDEX(Input!$1:$1048576,BI$93,$C252*2+6)</f>
        <v>0.05</v>
      </c>
      <c r="BJ252" s="1">
        <f>INDEX(Input!$1:$1048576,BJ$93,$C252*2+6)</f>
        <v>0.05</v>
      </c>
      <c r="BK252" s="1">
        <f>INDEX(Input!$1:$1048576,BK$93,$C252*2+6)</f>
        <v>0.05</v>
      </c>
      <c r="BL252" s="1">
        <f>INDEX(Input!$1:$1048576,BL$93,$C252*2+6)</f>
        <v>5.5E-2</v>
      </c>
      <c r="BM252" s="1">
        <f>INDEX(Input!$1:$1048576,BM$93,$C252*2+6)</f>
        <v>0.06</v>
      </c>
      <c r="BN252" s="1">
        <f>INDEX(Input!$1:$1048576,BN$93,$C252*2+6)</f>
        <v>4.4999999999999998E-2</v>
      </c>
      <c r="BO252" s="1">
        <f>INDEX(Input!$1:$1048576,BO$93,$C252*2+6)</f>
        <v>4.4999999999999998E-2</v>
      </c>
      <c r="BP252" s="1">
        <f>INDEX(Input!$1:$1048576,BP$93,$C252*2+6)</f>
        <v>0.05</v>
      </c>
      <c r="BQ252" s="1">
        <f>INDEX(Input!$1:$1048576,BQ$93,$C252*2+6)</f>
        <v>5.45E-2</v>
      </c>
      <c r="BR252" s="1">
        <f>INDEX(Input!$1:$1048576,BR$93,$C252*2+6)</f>
        <v>5.45E-2</v>
      </c>
      <c r="BS252" s="1">
        <f>INDEX(Input!$1:$1048576,BS$93,$C252*2+6)</f>
        <v>0.05</v>
      </c>
      <c r="BT252" s="1">
        <f>INDEX(Input!$1:$1048576,BT$93,$C252*2+6)</f>
        <v>0.05</v>
      </c>
      <c r="BU252" s="1">
        <f>INDEX(Input!$1:$1048576,BU$93,$C252*2+6)</f>
        <v>0.05</v>
      </c>
      <c r="BV252" s="1">
        <f>INDEX(Input!$1:$1048576,BV$93,$C252*2+6)</f>
        <v>5.5E-2</v>
      </c>
      <c r="BW252" s="1">
        <f>INDEX(Input!$1:$1048576,BW$93,$C252*2+6)</f>
        <v>0.06</v>
      </c>
      <c r="BX252" s="127">
        <f>INDEX(Input!$1:$1048576,BX$93,$C252*2+6)</f>
        <v>19985</v>
      </c>
      <c r="BY252" s="20">
        <f>INDEX(Input!$1:$1048576,BY$93,$C252*2+6)</f>
        <v>0.1</v>
      </c>
      <c r="BZ252" s="20">
        <f>INDEX(Input!$1:$1048576,BZ$93,$C252*2+6)</f>
        <v>0.1</v>
      </c>
      <c r="CA252" s="20">
        <f>INDEX(Input!$1:$1048576,CA$93,$C252*2+6)</f>
        <v>0.1</v>
      </c>
      <c r="CB252" s="20">
        <f>INDEX(Input!$1:$1048576,CB$93,$C252*2+6)</f>
        <v>0.1</v>
      </c>
      <c r="CC252" s="20">
        <f>INDEX(Input!$1:$1048576,CC$93,$C252*2+6)</f>
        <v>0.1</v>
      </c>
      <c r="CD252" s="384">
        <f>INDEX(Input!$1:$1048576,CD$93,$C252*2+6)</f>
        <v>0.1</v>
      </c>
      <c r="CE252" s="384">
        <f>INDEX(Input!$1:$1048576,CE$93,$C252*2+6)</f>
        <v>0.1</v>
      </c>
      <c r="CF252" s="384">
        <f>INDEX(Input!$1:$1048576,CF$93,$C252*2+6)</f>
        <v>0.1</v>
      </c>
      <c r="CG252" s="384">
        <f>INDEX(Input!$1:$1048576,CG$93,$C252*2+6)</f>
        <v>0.1</v>
      </c>
      <c r="CH252" s="384">
        <f>INDEX(Input!$1:$1048576,CH$93,$C252*2+6)</f>
        <v>0.1</v>
      </c>
      <c r="CI252" s="304">
        <f t="shared" si="735"/>
        <v>1269.7618664521319</v>
      </c>
      <c r="CJ252" s="16" t="str">
        <f>INDEX(Input!$1:$1048576,CJ$93,$C252*2+6)</f>
        <v>N</v>
      </c>
      <c r="CK252" s="1" t="str">
        <f t="shared" si="736"/>
        <v>Market</v>
      </c>
      <c r="CL252" s="1" t="str">
        <f t="shared" si="737"/>
        <v>Market</v>
      </c>
      <c r="CM252" s="1" t="str">
        <f t="shared" si="738"/>
        <v>Market</v>
      </c>
      <c r="CN252" s="1" t="str">
        <f t="shared" si="739"/>
        <v>Market</v>
      </c>
      <c r="CO252" s="1" t="str">
        <f t="shared" si="740"/>
        <v>Market</v>
      </c>
      <c r="CP252" s="304">
        <f t="shared" si="741"/>
        <v>473</v>
      </c>
      <c r="CQ252" s="1">
        <f t="shared" si="742"/>
        <v>0</v>
      </c>
      <c r="CR252" s="1">
        <f t="shared" si="743"/>
        <v>0</v>
      </c>
      <c r="CS252" s="1">
        <f t="shared" si="744"/>
        <v>0</v>
      </c>
      <c r="CT252" s="1">
        <f t="shared" si="745"/>
        <v>0</v>
      </c>
      <c r="CU252" s="1">
        <f t="shared" si="746"/>
        <v>3.9E-2</v>
      </c>
      <c r="CV252" s="304">
        <f t="shared" si="747"/>
        <v>-304</v>
      </c>
      <c r="CW252" s="20" t="s">
        <v>122</v>
      </c>
      <c r="CX252" s="20" t="s">
        <v>122</v>
      </c>
      <c r="CY252" s="20" t="s">
        <v>122</v>
      </c>
      <c r="CZ252" s="20" t="s">
        <v>122</v>
      </c>
      <c r="DA252" s="20" t="s">
        <v>122</v>
      </c>
      <c r="DB252" s="503">
        <f t="shared" si="748"/>
        <v>0</v>
      </c>
      <c r="DC252" s="127">
        <v>0</v>
      </c>
      <c r="DD252" s="127">
        <v>0</v>
      </c>
      <c r="DE252" s="127">
        <v>0</v>
      </c>
      <c r="DF252" s="127">
        <v>0</v>
      </c>
      <c r="DG252" s="127">
        <v>0</v>
      </c>
      <c r="DH252" s="127">
        <v>0</v>
      </c>
      <c r="DI252" s="127">
        <v>0</v>
      </c>
      <c r="DJ252" s="127">
        <v>0</v>
      </c>
      <c r="DK252" s="127">
        <v>0</v>
      </c>
      <c r="DL252" s="127">
        <v>0</v>
      </c>
      <c r="DM252" s="304">
        <f>INDEX(Input!$1:$1048576,DM$93,$C252*2+6)</f>
        <v>21036.84210526316</v>
      </c>
      <c r="DN252" s="20">
        <v>0</v>
      </c>
      <c r="DO252" s="20">
        <v>0</v>
      </c>
      <c r="DP252" s="20">
        <v>0</v>
      </c>
      <c r="DQ252" s="20">
        <v>0</v>
      </c>
      <c r="DR252" s="20">
        <v>0</v>
      </c>
      <c r="DS252" s="20">
        <f>INDEX(Input!$1:$1048576,DS$93,$C252*2+6)</f>
        <v>0.6</v>
      </c>
      <c r="DT252" s="20">
        <f>INDEX(Input!$1:$1048576,DT$93,$C252*2+6)</f>
        <v>0.55000000000000004</v>
      </c>
      <c r="DU252" s="20">
        <f>INDEX(Input!$1:$1048576,DU$93,$C252*2+6)</f>
        <v>0.52</v>
      </c>
      <c r="DV252" s="20">
        <f>INDEX(Input!$1:$1048576,DV$93,$C252*2+6)</f>
        <v>0.5</v>
      </c>
      <c r="DW252" s="20">
        <f>INDEX(Input!$1:$1048576,DW$93,$C252*2+6)</f>
        <v>0.45</v>
      </c>
      <c r="DX252" s="20"/>
      <c r="DY252" s="7">
        <v>9.2172212685915106E-2</v>
      </c>
      <c r="DZ252" s="7">
        <v>0</v>
      </c>
      <c r="EA252" s="7">
        <v>0.65278605317768623</v>
      </c>
      <c r="EB252" s="7">
        <v>0</v>
      </c>
      <c r="EC252" s="7">
        <v>0</v>
      </c>
      <c r="ED252" s="7">
        <v>0</v>
      </c>
      <c r="EE252" s="7">
        <v>0</v>
      </c>
      <c r="EF252" s="7">
        <v>0</v>
      </c>
      <c r="EG252" s="7">
        <v>0</v>
      </c>
      <c r="EH252" s="7">
        <v>8.7750586516303093E-3</v>
      </c>
      <c r="EI252" s="7">
        <v>2.497920888506645E-2</v>
      </c>
      <c r="EJ252" s="7">
        <v>0.18896747984679954</v>
      </c>
      <c r="EK252" s="7">
        <v>0.70893571470956851</v>
      </c>
      <c r="EL252" s="7">
        <v>6.8342537906935577E-2</v>
      </c>
      <c r="EM252" s="7">
        <v>9.2859477740110788E-2</v>
      </c>
      <c r="EN252" s="7">
        <v>6.4370193054645794E-2</v>
      </c>
      <c r="EO252" s="7">
        <v>0.7218346128155555</v>
      </c>
      <c r="EP252" s="7">
        <v>9.2879923447893253E-2</v>
      </c>
      <c r="EQ252" s="7">
        <v>7.9202343443675355E-2</v>
      </c>
      <c r="ER252" s="7">
        <v>4.1712927238229759E-2</v>
      </c>
      <c r="ES252" s="7">
        <v>0.16218225639628792</v>
      </c>
      <c r="ET252" s="7">
        <v>0.25504173413639863</v>
      </c>
      <c r="EU252" s="6">
        <v>1294</v>
      </c>
      <c r="EV252" s="6">
        <v>0</v>
      </c>
      <c r="EW252" s="6">
        <v>1294</v>
      </c>
      <c r="EX252" s="6">
        <v>0</v>
      </c>
      <c r="EY252" s="6">
        <v>2698.0055687567415</v>
      </c>
      <c r="EZ252" s="6">
        <v>586</v>
      </c>
      <c r="FA252" s="6">
        <v>0</v>
      </c>
      <c r="FB252" s="6">
        <v>0</v>
      </c>
      <c r="FC252" s="6">
        <v>0</v>
      </c>
      <c r="FD252" s="6">
        <v>0</v>
      </c>
      <c r="FE252" s="6">
        <v>0</v>
      </c>
      <c r="FF252" s="6">
        <v>0</v>
      </c>
      <c r="FG252" s="6">
        <v>0</v>
      </c>
      <c r="FH252" s="6">
        <v>1173.7327589544716</v>
      </c>
      <c r="FI252" s="6">
        <v>1553.9796069512411</v>
      </c>
      <c r="FJ252" s="6">
        <v>2101.2110117447405</v>
      </c>
      <c r="FK252" s="6">
        <v>2674.2006261592273</v>
      </c>
      <c r="FL252" s="6">
        <v>907.07682140966347</v>
      </c>
      <c r="FM252" s="6">
        <v>2404.0055687567415</v>
      </c>
      <c r="FN252" s="6">
        <v>0</v>
      </c>
      <c r="FO252" s="6">
        <v>0</v>
      </c>
      <c r="FP252" s="6">
        <v>0</v>
      </c>
      <c r="FQ252" s="6">
        <v>0</v>
      </c>
      <c r="FR252" s="6">
        <v>0</v>
      </c>
      <c r="FS252" s="6">
        <v>0</v>
      </c>
      <c r="FT252" s="7">
        <v>0.74495826586360137</v>
      </c>
      <c r="FU252" s="7">
        <v>9.2859477740110788E-2</v>
      </c>
      <c r="FV252" s="7">
        <v>0.16218225639628792</v>
      </c>
      <c r="FW252" s="6">
        <v>1293.9999999999998</v>
      </c>
      <c r="FX252" s="6">
        <v>2698.0055687567415</v>
      </c>
      <c r="FY252" s="6">
        <v>586</v>
      </c>
      <c r="FZ252" s="6">
        <v>1817.4615072224267</v>
      </c>
      <c r="GA252" s="6">
        <v>1309.5501863303864</v>
      </c>
      <c r="GB252" s="6">
        <v>18675.449813669613</v>
      </c>
      <c r="GC252" s="7">
        <v>1.804905384453976E-2</v>
      </c>
      <c r="GD252" s="7">
        <v>1.720347791891623E-2</v>
      </c>
      <c r="GE252" s="7"/>
      <c r="GF252" s="7"/>
      <c r="GG252" s="7">
        <v>-4.6848767414993109E-2</v>
      </c>
      <c r="GH252" s="42">
        <v>1.8433781218821226</v>
      </c>
      <c r="GI252" s="6">
        <v>12151.058915746653</v>
      </c>
      <c r="GJ252" s="14">
        <v>0.50394797582841733</v>
      </c>
      <c r="GK252" s="14">
        <v>0.50887573065309732</v>
      </c>
      <c r="GL252" s="14">
        <v>0.49605202417158301</v>
      </c>
      <c r="GM252" s="14">
        <v>0.49112426934690251</v>
      </c>
      <c r="GO252" s="5">
        <v>343.14810671672558</v>
      </c>
      <c r="GP252" s="5">
        <v>318.46105531198077</v>
      </c>
      <c r="GQ252" s="5">
        <v>535.04305713031317</v>
      </c>
      <c r="GR252" s="5">
        <v>410.15490233172511</v>
      </c>
      <c r="GS252" s="5">
        <v>339.42744393800166</v>
      </c>
      <c r="GT252" s="5">
        <v>293.4407446948278</v>
      </c>
      <c r="GU252" s="5">
        <v>258.04012322764959</v>
      </c>
      <c r="GV252" s="39" t="s">
        <v>392</v>
      </c>
      <c r="GW252" s="5">
        <v>491.45833333333331</v>
      </c>
      <c r="GX252" s="5">
        <v>368.59375</v>
      </c>
      <c r="GY252" s="5">
        <v>294.875</v>
      </c>
      <c r="GZ252" s="5">
        <v>245.72916666666666</v>
      </c>
      <c r="HA252" s="5">
        <v>241.02179695997205</v>
      </c>
      <c r="HB252" s="39">
        <v>259.91976528559206</v>
      </c>
      <c r="HC252" s="5">
        <v>261.64687500000002</v>
      </c>
      <c r="HD252" s="5">
        <v>222.30677997076018</v>
      </c>
      <c r="HE252" s="5">
        <v>224.71639254385963</v>
      </c>
      <c r="HF252" s="5">
        <v>207.35750548245613</v>
      </c>
      <c r="HG252" s="5">
        <v>199.39971491228067</v>
      </c>
      <c r="HH252" s="39">
        <v>222.92337580362675</v>
      </c>
      <c r="HI252" s="16"/>
      <c r="HJ252" s="19" t="str">
        <f t="shared" si="761"/>
        <v>On</v>
      </c>
      <c r="HK252" s="1" t="str">
        <f t="shared" si="761"/>
        <v>On</v>
      </c>
      <c r="HL252" s="16"/>
      <c r="HM252" s="639">
        <f t="shared" si="634"/>
        <v>1.2768706344444866E-2</v>
      </c>
      <c r="HN252" s="639">
        <f t="shared" si="635"/>
        <v>9.795534288915453E-4</v>
      </c>
      <c r="HO252" s="639">
        <f t="shared" si="636"/>
        <v>3.3583061774515237E-3</v>
      </c>
      <c r="HP252" s="644">
        <f>(FT252*$GD252-HM252)/$JF252*INDEX(Input!$1:$1048576,$JG$93,$C252*2+6)</f>
        <v>3.4272366006036363</v>
      </c>
      <c r="HQ252" s="644">
        <f>(FU252*$GD252-HN252)/$JF252*INDEX(Input!$1:$1048576,$JG$93,$C252*2+6)</f>
        <v>44.90176560588376</v>
      </c>
      <c r="HR252" s="644">
        <f>(FV252*$GD252-HO252)/$JF252*INDEX(Input!$1:$1048576,$JG$93,$C252*2+6)</f>
        <v>-41.287169454664877</v>
      </c>
      <c r="HS252" s="644">
        <f t="shared" si="754"/>
        <v>-3.3716488299847689</v>
      </c>
      <c r="HT252" s="644">
        <f t="shared" si="638"/>
        <v>55.191431614678947</v>
      </c>
      <c r="HU252" s="644">
        <f t="shared" si="639"/>
        <v>-5.0893958495293194</v>
      </c>
      <c r="HV252" s="648">
        <f t="shared" si="640"/>
        <v>0</v>
      </c>
      <c r="HW252" s="648">
        <f t="shared" si="641"/>
        <v>0</v>
      </c>
      <c r="HX252" s="648">
        <f t="shared" si="642"/>
        <v>0</v>
      </c>
      <c r="HY252" s="644">
        <f>INDEX(Input!$1:$1048576,HY$93,$C252*2+6)*INDEX(Input!$1:$1048576,$JG$93,$C252*2+6)</f>
        <v>451</v>
      </c>
      <c r="HZ252" s="644">
        <f>INDEX(Input!$1:$1048576,HZ$93,$C252*2+6)*INDEX(Input!$1:$1048576,$JG$93,$C252*2+6)</f>
        <v>577</v>
      </c>
      <c r="IA252" s="644">
        <f>INDEX(Input!$1:$1048576,IA$93,$C252*2+6)*INDEX(Input!$1:$1048576,$JG$93,$C252*2+6)</f>
        <v>215</v>
      </c>
      <c r="IB252" s="644">
        <f t="shared" si="666"/>
        <v>451.05558777061901</v>
      </c>
      <c r="IC252" s="644">
        <f t="shared" si="667"/>
        <v>677.09319722056262</v>
      </c>
      <c r="ID252" s="644">
        <f>IF(AND(INDEX(Input!$1:$1048576,IA$93,$C252*2+7)="TOS",Y252&lt;=INDEX(Y:Y,MATCH(C252*1000+2,A:A))),0,1)*MAX(IA252+HR252+HU252+HX252,0%)</f>
        <v>168.6234346958058</v>
      </c>
      <c r="IE252" s="128">
        <f t="shared" si="759"/>
        <v>0.34782946528534825</v>
      </c>
      <c r="IF252" s="128">
        <f t="shared" si="643"/>
        <v>0.52213733988224864</v>
      </c>
      <c r="IG252" s="128">
        <f t="shared" si="644"/>
        <v>0.13003319483240305</v>
      </c>
      <c r="IH252" s="21"/>
      <c r="II252" s="19">
        <f t="shared" si="645"/>
        <v>1252</v>
      </c>
      <c r="IJ252" s="19">
        <f t="shared" si="646"/>
        <v>2011.9658773055378</v>
      </c>
      <c r="IK252" s="19">
        <f t="shared" si="647"/>
        <v>919</v>
      </c>
      <c r="IL252" s="19">
        <f t="shared" si="669"/>
        <v>41.999999999999773</v>
      </c>
      <c r="IM252" s="19">
        <f t="shared" si="648"/>
        <v>686.03969145120368</v>
      </c>
      <c r="IN252" s="19">
        <f t="shared" si="649"/>
        <v>-333</v>
      </c>
      <c r="IO252" s="39">
        <f t="shared" si="650"/>
        <v>0</v>
      </c>
      <c r="IP252" s="39">
        <f t="shared" si="651"/>
        <v>0</v>
      </c>
      <c r="IQ252" s="39">
        <f t="shared" si="652"/>
        <v>0</v>
      </c>
      <c r="IR252" s="39">
        <v>0</v>
      </c>
      <c r="IS252" s="39">
        <v>0</v>
      </c>
      <c r="IT252" s="39">
        <v>0</v>
      </c>
      <c r="IU252" s="39">
        <v>0</v>
      </c>
      <c r="IV252" s="39">
        <v>0</v>
      </c>
      <c r="IW252" s="39">
        <v>0</v>
      </c>
      <c r="IX252" s="39">
        <f>INDEX(Input!$1:$1048576,IX$93,$C252*2+6)+INDEX(Input!$1:$1048576,IX$94,$C252*2+6)</f>
        <v>1294</v>
      </c>
      <c r="IY252" s="39">
        <f>INDEX(Input!$1:$1048576,IY$93,$C252*2+6)+INDEX(Input!$1:$1048576,IY$94,$C252*2+6)</f>
        <v>2154.0624533823611</v>
      </c>
      <c r="IZ252" s="39">
        <f>INDEX(Input!$1:$1048576,IZ$93,$C252*2+6)+INDEX(Input!$1:$1048576,IZ$94,$C252*2+6)</f>
        <v>3677.7164157747848</v>
      </c>
      <c r="JA252" s="19">
        <f t="shared" si="670"/>
        <v>1335.9999999999998</v>
      </c>
      <c r="JB252" s="19">
        <f t="shared" si="671"/>
        <v>2840.102144833565</v>
      </c>
      <c r="JC252" s="19">
        <f t="shared" si="672"/>
        <v>3344.7164157747848</v>
      </c>
      <c r="JD252" s="19">
        <f t="shared" si="673"/>
        <v>2382.5477058700708</v>
      </c>
      <c r="JE252" s="21"/>
      <c r="JF252" s="1">
        <f t="shared" si="653"/>
        <v>1.7106565950787935E-2</v>
      </c>
      <c r="JG252" s="15">
        <f>INDEX(Input!$1:$1048576,JG$93,$C252*2+6)/(1+VLOOKUP(C252*1000+INDEX(Input!$1:$1048576,JG$93+1,$C252*2+6),$A:$KK,$JK$92,FALSE))</f>
        <v>1243</v>
      </c>
      <c r="JH252" s="1">
        <f t="shared" si="674"/>
        <v>5.6651912725844879E-3</v>
      </c>
      <c r="JI252" s="1">
        <f t="shared" si="675"/>
        <v>3.7594840655804394E-2</v>
      </c>
      <c r="JJ252" s="1">
        <f t="shared" si="731"/>
        <v>0</v>
      </c>
      <c r="JK252" s="1">
        <f t="shared" si="732"/>
        <v>4.3260031928388884E-2</v>
      </c>
      <c r="JL252" s="15">
        <f t="shared" si="678"/>
        <v>53.772219686987384</v>
      </c>
      <c r="JM252" s="15">
        <f t="shared" si="702"/>
        <v>1296.7722196869875</v>
      </c>
      <c r="JN252" s="21"/>
      <c r="JO252" s="19">
        <f>INDEX(Input!$1:$1048576,JO$93,$C252*2+6)</f>
        <v>5995.5</v>
      </c>
      <c r="JP252" s="19">
        <f>INDEX(Input!$1:$1048576,JP$93,$C252*2+6)</f>
        <v>2105.548724853742</v>
      </c>
      <c r="JQ252" s="39">
        <f t="shared" si="688"/>
        <v>3612.9522941299292</v>
      </c>
      <c r="JR252" s="39">
        <f t="shared" si="705"/>
        <v>276.9989810163288</v>
      </c>
      <c r="JS252" s="39">
        <f t="shared" si="690"/>
        <v>3.0896216770512712</v>
      </c>
      <c r="JT252" s="39">
        <f t="shared" si="680"/>
        <v>0.47242461205807001</v>
      </c>
      <c r="JU252" s="385">
        <f>(JQ252*JM252-INDEX(Input!$1:$1048576,Input!A$18,$C252*2+6)*JL252*INDEX(Input!$1:$1048576,Input!A$19,$C252*2+6))/1000000</f>
        <v>4.6851761660820621</v>
      </c>
      <c r="JV252" s="39">
        <f t="shared" si="712"/>
        <v>-0.15003326892473634</v>
      </c>
      <c r="JW252" s="1">
        <f t="shared" si="703"/>
        <v>-3.1029321674982499E-2</v>
      </c>
      <c r="JX252" s="19">
        <f t="shared" si="694"/>
        <v>8785.6632069141542</v>
      </c>
      <c r="JZ252" s="341"/>
      <c r="KA252" s="342"/>
      <c r="KB252" s="469">
        <f t="shared" si="691"/>
        <v>2.5660492421988774</v>
      </c>
      <c r="KI252" s="473">
        <f t="shared" si="756"/>
        <v>5.5587770619013099E-2</v>
      </c>
      <c r="KJ252" s="473">
        <f t="shared" si="757"/>
        <v>100.09319722056262</v>
      </c>
      <c r="KK252" s="473">
        <f t="shared" si="682"/>
        <v>-46.376565304194173</v>
      </c>
      <c r="KN252" s="544">
        <f t="shared" si="695"/>
        <v>2002</v>
      </c>
      <c r="KO252" s="541">
        <f t="shared" si="657"/>
        <v>3.7113408508560486E-2</v>
      </c>
      <c r="KP252" s="546">
        <f t="shared" si="658"/>
        <v>289.46462766194043</v>
      </c>
      <c r="KQ252" s="546">
        <f t="shared" si="659"/>
        <v>238.86736643659788</v>
      </c>
      <c r="KR252" s="548">
        <f t="shared" si="660"/>
        <v>2.2875063880611028</v>
      </c>
      <c r="KS252" s="548">
        <f t="shared" si="661"/>
        <v>2.7720495887418388</v>
      </c>
      <c r="KT252" s="473">
        <f t="shared" si="693"/>
        <v>843.26993010479111</v>
      </c>
      <c r="KU252" s="663">
        <f t="shared" si="683"/>
        <v>4.5110789020742965</v>
      </c>
      <c r="KV252" s="117"/>
    </row>
    <row r="253" spans="1:308" s="26" customFormat="1" ht="15" outlineLevel="1">
      <c r="A253" s="561">
        <f t="shared" si="662"/>
        <v>2053</v>
      </c>
      <c r="B253" s="561">
        <f t="shared" si="684"/>
        <v>53</v>
      </c>
      <c r="C253" s="561">
        <f t="shared" si="760"/>
        <v>2</v>
      </c>
      <c r="D253" s="561" t="str">
        <f t="shared" si="728"/>
        <v xml:space="preserve">0/0/0/3.9, -360 Lease, </v>
      </c>
      <c r="E253" s="475">
        <f>INDEX(Input!$1:$1048576,E$93,$C253*2+MIN($B253,2)+5)
+INDEX(Scenarios!E$121:E$200,MATCH($B253,Scenarios!$B$121:$B$200,0))</f>
        <v>1269.7618664521319</v>
      </c>
      <c r="F253" s="475">
        <f>INDEX(Input!$1:$1048576,F$93,$C253*2+MIN($B253,2)+5)
+INDEX(Scenarios!F$121:F$200,MATCH($B253,Scenarios!$B$121:$B$200,0))</f>
        <v>0</v>
      </c>
      <c r="G253" s="475">
        <f>INDEX(Input!$1:$1048576,G$93,$C253*2+MIN($B253,2)+5)
+INDEX(Scenarios!G$121:G$200,MATCH($B253,Scenarios!$B$121:$B$200,0))</f>
        <v>0</v>
      </c>
      <c r="H253" s="475">
        <f>INDEX(Input!$1:$1048576,H$93,$C253*2+MIN($B253,2)+5)
+INDEX(Scenarios!H$121:H$200,MATCH($B253,Scenarios!$B$121:$B$200,0))</f>
        <v>0</v>
      </c>
      <c r="I253" s="476">
        <f>INDEX(Input!$1:$1048576,I$93,$C253*2+MIN($B253,2)+5)</f>
        <v>0.7</v>
      </c>
      <c r="J253" s="476" t="str">
        <f>INDEX(Input!$1:$1048576,J$93,$C253*2+MIN($B253,2)+5)</f>
        <v>Market</v>
      </c>
      <c r="K253" s="476" t="str">
        <f>INDEX(Input!$1:$1048576,K$93,$C253*2+MIN($B253,2)+5)</f>
        <v>Market</v>
      </c>
      <c r="L253" s="476" t="str">
        <f>INDEX(Input!$1:$1048576,L$93,$C253*2+MIN($B253,2)+5)</f>
        <v>Market</v>
      </c>
      <c r="M253" s="476" t="str">
        <f>INDEX(Input!$1:$1048576,M$93,$C253*2+MIN($B253,2)+5)</f>
        <v>Market</v>
      </c>
      <c r="N253" s="476" t="str">
        <f>INDEX(Input!$1:$1048576,N$93,$C253*2+MIN($B253,2)+5)</f>
        <v>Market</v>
      </c>
      <c r="O253" s="476" t="str">
        <f>INDEX(Input!$1:$1048576,O$93,$C253*2+MIN($B253,2)+5)</f>
        <v>Market</v>
      </c>
      <c r="P253" s="476" t="str">
        <f>INDEX(Input!$1:$1048576,P$93,$C253*2+MIN($B253,2)+5)</f>
        <v>N</v>
      </c>
      <c r="Q253" s="477">
        <f>INDEX(Input!$1:$1048576,Q$93,$C253*2+MIN($B253,2)+5)
+INDEX(Scenarios!Q$121:Q$200,MATCH($B253,Scenarios!$B$121:$B$200,0))</f>
        <v>0</v>
      </c>
      <c r="R253" s="478">
        <f>IFERROR(MAX(0,INDEX(Input!$1:$1048576,R$93,$C253*2+MIN($B253,2)+5)
+INDEX(Scenarios!R$121:R$200,MATCH($B253,Scenarios!$B$121:$B$200,0)),),"Market")</f>
        <v>0</v>
      </c>
      <c r="S253" s="478">
        <f>IFERROR(MAX(0,INDEX(Input!$1:$1048576,S$93,$C253*2+MIN($B253,2)+5)
+INDEX(Scenarios!S$121:S$200,MATCH($B253,Scenarios!$B$121:$B$200,0)),),"Market")</f>
        <v>0</v>
      </c>
      <c r="T253" s="478">
        <f>IFERROR(MAX(0,INDEX(Input!$1:$1048576,T$93,$C253*2+MIN($B253,2)+5)
+INDEX(Scenarios!T$121:T$200,MATCH($B253,Scenarios!$B$121:$B$200,0)),),"Market")</f>
        <v>0</v>
      </c>
      <c r="U253" s="478">
        <f>IFERROR(MAX(0,INDEX(Input!$1:$1048576,U$93,$C253*2+MIN($B253,2)+5)
+INDEX(Scenarios!U$121:U$200,MATCH($B253,Scenarios!$B$121:$B$200,0)),),"Market")</f>
        <v>0</v>
      </c>
      <c r="V253" s="478">
        <f>IFERROR(MAX(0,INDEX(Input!$1:$1048576,V$93,$C253*2+MIN($B253,2)+5)
+INDEX(Scenarios!V$121:V$200,MATCH($B253,Scenarios!$B$121:$B$200,0)),),"Market")</f>
        <v>0</v>
      </c>
      <c r="W253" s="885">
        <f>IFERROR(MAX(0,INDEX(Input!$1:$1048576,W$93,$C253*2+MIN($B253,2)+5)-0%,),"Market")</f>
        <v>3.9E-2</v>
      </c>
      <c r="X253" s="476" t="str">
        <f>INDEX(Input!$1:$1048576,X$93,$C253*2+MIN($B253,2)+5)</f>
        <v>Y</v>
      </c>
      <c r="Y253" s="475">
        <f>INDEX(Input!$1:$1048576,Y$93,$C253*2+MIN($B253,2)+5)
++INDEX(Scenarios!Y$121:Y$200,MATCH($B253,Scenarios!$B$121:$B$200,0))</f>
        <v>-304</v>
      </c>
      <c r="Z253" s="477">
        <f>INDEX(Input!$1:$1048576,Z$93,$C253*2+MIN($B253,2)+5)
+INDEX(Scenarios!Z$121:Z$200,MATCH($B253,Scenarios!$B$121:$B$200,0))</f>
        <v>0</v>
      </c>
      <c r="AA253" s="475">
        <f>INDEX(Input!$1:$1048576,AA$93,$C253*2+MIN($B253,2)+5)
+INDEX(Scenarios!AA$121:AA$200,MATCH($B253,Scenarios!$B$121:$B$200,0))</f>
        <v>0</v>
      </c>
      <c r="AB253" s="476">
        <f>INDEX(Input!$1:$1048576,AB$93,$C253*2+MIN($B253,2)+5)</f>
        <v>0.27</v>
      </c>
      <c r="AC253" s="475">
        <f>INDEX(Input!$1:$1048576,AC$93,$C253*2+MIN($B253,2)+5)
+INDEX(Scenarios!AC$121:AC$200,MATCH($B253,Scenarios!$B$121:$B$200,0))</f>
        <v>0</v>
      </c>
      <c r="AD253" s="476">
        <f>INDEX(Input!$1:$1048576,AD$93,$C253*2+MIN($B253,2)+5)</f>
        <v>0.27</v>
      </c>
      <c r="AE253" s="475">
        <f>INDEX(Input!$1:$1048576,AE$93,$C253*2+MIN($B253,2)+5)
+INDEX(Scenarios!AE$121:AE$200,MATCH($B253,Scenarios!$B$121:$B$200,0))</f>
        <v>0</v>
      </c>
      <c r="AF253" s="476">
        <f>INDEX(Input!$1:$1048576,AF$93,$C253*2+MIN($B253,2)+5)</f>
        <v>4.8000000000000001E-2</v>
      </c>
      <c r="AG253" s="475">
        <f>INDEX(Input!$1:$1048576,AG$93,$C253*2+MIN($B253,2)+5)
+INDEX(Scenarios!AG$121:AG$200,MATCH($B253,Scenarios!$B$121:$B$200,0))</f>
        <v>500</v>
      </c>
      <c r="AH253" s="476">
        <f>INDEX(Input!$1:$1048576,AH$93,$C253*2+MIN($B253,2)+5)</f>
        <v>0.94599999999999995</v>
      </c>
      <c r="AI253" s="475">
        <f>INDEX(Input!$1:$1048576,AI$93,$C253*2+MIN($B253,2)+5)
+INDEX(Scenarios!AI$121:AI$200,MATCH($B253,Scenarios!$B$121:$B$200,0))</f>
        <v>0</v>
      </c>
      <c r="AJ253" s="476">
        <f>INDEX(Input!$1:$1048576,AJ$93,$C253*2+MIN($B253,2)+5)</f>
        <v>0.27</v>
      </c>
      <c r="AK253" s="150">
        <f>ROUND(INDEX(Input!$1:$1048576,AK$93,$C252*2+MIN($B253,1)+5)+(Y253-VLOOKUP($C253*1000+1,$A:$HH,Y$92,FALSE)),0)</f>
        <v>2617</v>
      </c>
      <c r="AL253" s="150">
        <f>ROUND(INDEX(Input!$1:$1048576,AL$93,$C252*2+MIN($B253,1)+5)-(Y253-VLOOKUP($C253*1000+1,$A:$HH,Y$92,FALSE))/36,0)</f>
        <v>3405</v>
      </c>
      <c r="AM253" s="32" t="str">
        <f t="shared" si="663"/>
        <v>std/std/std/std</v>
      </c>
      <c r="AN253" s="32" t="str">
        <f t="shared" si="664"/>
        <v>$0 + 0/0/0/0/3.9</v>
      </c>
      <c r="AO253" s="32" t="str">
        <f t="shared" si="665"/>
        <v>0/0/0/0/3.9</v>
      </c>
      <c r="AP253" s="32" t="str">
        <f t="shared" si="734"/>
        <v>0/0/0/3.9</v>
      </c>
      <c r="AQ253" s="536">
        <f t="shared" si="733"/>
        <v>0.34782946528534825</v>
      </c>
      <c r="AR253" s="32"/>
      <c r="AS253" s="302"/>
      <c r="AT253" s="3">
        <f t="shared" si="717"/>
        <v>53</v>
      </c>
      <c r="AU253" s="41" t="s">
        <v>121</v>
      </c>
      <c r="AV253" s="41" t="s">
        <v>116</v>
      </c>
      <c r="AW253" s="41" t="str">
        <f>INDEX(Input!$1:$1048576,AW$93,$C253*2+6)</f>
        <v>Kia</v>
      </c>
      <c r="AX253" s="41" t="str">
        <f>INDEX(Input!$1:$1048576,AX$93,$C253*2+6)</f>
        <v>Kia-LR - L2</v>
      </c>
      <c r="AY253" s="41" t="str">
        <f>IF(LEN(D253)=0,"",INDEX(Input!$1:$1048576,AY$93,$C253*2+6))</f>
        <v>Compact SUV (52)</v>
      </c>
      <c r="AZ253" s="41" t="str">
        <f>INDEX(Input!$1:$1048576,AZ$93,$C253*2+6)</f>
        <v>Kia Soul</v>
      </c>
      <c r="BA253" s="3">
        <f>INDEX(Input!$1:$1048576,BA$93,$C253*2+6)</f>
        <v>2020</v>
      </c>
      <c r="BB253" s="128">
        <f>INDEX(Input!$1:$1048576,BB$93,$C253*2+6)</f>
        <v>1</v>
      </c>
      <c r="BC253" s="128">
        <f>INDEX(Input!$1:$1048576,BC$93,$C253*2+6)</f>
        <v>0.7</v>
      </c>
      <c r="BD253" s="1">
        <f>INDEX(Input!$1:$1048576,BD$93,$C253*2+6)</f>
        <v>4.4999999999999998E-2</v>
      </c>
      <c r="BE253" s="1">
        <f>INDEX(Input!$1:$1048576,BE$93,$C253*2+6)</f>
        <v>4.4999999999999998E-2</v>
      </c>
      <c r="BF253" s="1">
        <f>INDEX(Input!$1:$1048576,BF$93,$C253*2+6)</f>
        <v>0.05</v>
      </c>
      <c r="BG253" s="1">
        <f>INDEX(Input!$1:$1048576,BG$93,$C253*2+6)</f>
        <v>5.45E-2</v>
      </c>
      <c r="BH253" s="1">
        <f>INDEX(Input!$1:$1048576,BH$93,$C253*2+6)</f>
        <v>5.45E-2</v>
      </c>
      <c r="BI253" s="1">
        <f>INDEX(Input!$1:$1048576,BI$93,$C253*2+6)</f>
        <v>0.05</v>
      </c>
      <c r="BJ253" s="1">
        <f>INDEX(Input!$1:$1048576,BJ$93,$C253*2+6)</f>
        <v>0.05</v>
      </c>
      <c r="BK253" s="1">
        <f>INDEX(Input!$1:$1048576,BK$93,$C253*2+6)</f>
        <v>0.05</v>
      </c>
      <c r="BL253" s="1">
        <f>INDEX(Input!$1:$1048576,BL$93,$C253*2+6)</f>
        <v>5.5E-2</v>
      </c>
      <c r="BM253" s="1">
        <f>INDEX(Input!$1:$1048576,BM$93,$C253*2+6)</f>
        <v>0.06</v>
      </c>
      <c r="BN253" s="1">
        <f>INDEX(Input!$1:$1048576,BN$93,$C253*2+6)</f>
        <v>4.4999999999999998E-2</v>
      </c>
      <c r="BO253" s="1">
        <f>INDEX(Input!$1:$1048576,BO$93,$C253*2+6)</f>
        <v>4.4999999999999998E-2</v>
      </c>
      <c r="BP253" s="1">
        <f>INDEX(Input!$1:$1048576,BP$93,$C253*2+6)</f>
        <v>0.05</v>
      </c>
      <c r="BQ253" s="1">
        <f>INDEX(Input!$1:$1048576,BQ$93,$C253*2+6)</f>
        <v>5.45E-2</v>
      </c>
      <c r="BR253" s="1">
        <f>INDEX(Input!$1:$1048576,BR$93,$C253*2+6)</f>
        <v>5.45E-2</v>
      </c>
      <c r="BS253" s="1">
        <f>INDEX(Input!$1:$1048576,BS$93,$C253*2+6)</f>
        <v>0.05</v>
      </c>
      <c r="BT253" s="1">
        <f>INDEX(Input!$1:$1048576,BT$93,$C253*2+6)</f>
        <v>0.05</v>
      </c>
      <c r="BU253" s="1">
        <f>INDEX(Input!$1:$1048576,BU$93,$C253*2+6)</f>
        <v>0.05</v>
      </c>
      <c r="BV253" s="1">
        <f>INDEX(Input!$1:$1048576,BV$93,$C253*2+6)</f>
        <v>5.5E-2</v>
      </c>
      <c r="BW253" s="1">
        <f>INDEX(Input!$1:$1048576,BW$93,$C253*2+6)</f>
        <v>0.06</v>
      </c>
      <c r="BX253" s="127">
        <f>INDEX(Input!$1:$1048576,BX$93,$C253*2+6)</f>
        <v>19985</v>
      </c>
      <c r="BY253" s="20">
        <f>INDEX(Input!$1:$1048576,BY$93,$C253*2+6)</f>
        <v>0.1</v>
      </c>
      <c r="BZ253" s="20">
        <f>INDEX(Input!$1:$1048576,BZ$93,$C253*2+6)</f>
        <v>0.1</v>
      </c>
      <c r="CA253" s="20">
        <f>INDEX(Input!$1:$1048576,CA$93,$C253*2+6)</f>
        <v>0.1</v>
      </c>
      <c r="CB253" s="20">
        <f>INDEX(Input!$1:$1048576,CB$93,$C253*2+6)</f>
        <v>0.1</v>
      </c>
      <c r="CC253" s="20">
        <f>INDEX(Input!$1:$1048576,CC$93,$C253*2+6)</f>
        <v>0.1</v>
      </c>
      <c r="CD253" s="384">
        <f>INDEX(Input!$1:$1048576,CD$93,$C253*2+6)</f>
        <v>0.1</v>
      </c>
      <c r="CE253" s="384">
        <f>INDEX(Input!$1:$1048576,CE$93,$C253*2+6)</f>
        <v>0.1</v>
      </c>
      <c r="CF253" s="384">
        <f>INDEX(Input!$1:$1048576,CF$93,$C253*2+6)</f>
        <v>0.1</v>
      </c>
      <c r="CG253" s="384">
        <f>INDEX(Input!$1:$1048576,CG$93,$C253*2+6)</f>
        <v>0.1</v>
      </c>
      <c r="CH253" s="384">
        <f>INDEX(Input!$1:$1048576,CH$93,$C253*2+6)</f>
        <v>0.1</v>
      </c>
      <c r="CI253" s="304">
        <f t="shared" si="735"/>
        <v>1269.7618664521319</v>
      </c>
      <c r="CJ253" s="16" t="str">
        <f>INDEX(Input!$1:$1048576,CJ$93,$C253*2+6)</f>
        <v>N</v>
      </c>
      <c r="CK253" s="1" t="str">
        <f t="shared" si="736"/>
        <v>Market</v>
      </c>
      <c r="CL253" s="1" t="str">
        <f t="shared" si="737"/>
        <v>Market</v>
      </c>
      <c r="CM253" s="1" t="str">
        <f t="shared" si="738"/>
        <v>Market</v>
      </c>
      <c r="CN253" s="1" t="str">
        <f t="shared" si="739"/>
        <v>Market</v>
      </c>
      <c r="CO253" s="1" t="str">
        <f t="shared" si="740"/>
        <v>Market</v>
      </c>
      <c r="CP253" s="304">
        <f t="shared" si="741"/>
        <v>473</v>
      </c>
      <c r="CQ253" s="1">
        <f t="shared" si="742"/>
        <v>0</v>
      </c>
      <c r="CR253" s="1">
        <f t="shared" si="743"/>
        <v>0</v>
      </c>
      <c r="CS253" s="1">
        <f t="shared" si="744"/>
        <v>0</v>
      </c>
      <c r="CT253" s="1">
        <f t="shared" si="745"/>
        <v>0</v>
      </c>
      <c r="CU253" s="1">
        <f t="shared" si="746"/>
        <v>3.9E-2</v>
      </c>
      <c r="CV253" s="304">
        <f t="shared" si="747"/>
        <v>-304</v>
      </c>
      <c r="CW253" s="20" t="s">
        <v>122</v>
      </c>
      <c r="CX253" s="20" t="s">
        <v>122</v>
      </c>
      <c r="CY253" s="20" t="s">
        <v>122</v>
      </c>
      <c r="CZ253" s="20" t="s">
        <v>122</v>
      </c>
      <c r="DA253" s="20" t="s">
        <v>122</v>
      </c>
      <c r="DB253" s="503">
        <f t="shared" si="748"/>
        <v>0</v>
      </c>
      <c r="DC253" s="127">
        <v>0</v>
      </c>
      <c r="DD253" s="127">
        <v>0</v>
      </c>
      <c r="DE253" s="127">
        <v>0</v>
      </c>
      <c r="DF253" s="127">
        <v>0</v>
      </c>
      <c r="DG253" s="127">
        <v>0</v>
      </c>
      <c r="DH253" s="127">
        <v>0</v>
      </c>
      <c r="DI253" s="127">
        <v>0</v>
      </c>
      <c r="DJ253" s="127">
        <v>0</v>
      </c>
      <c r="DK253" s="127">
        <v>0</v>
      </c>
      <c r="DL253" s="127">
        <v>0</v>
      </c>
      <c r="DM253" s="304">
        <f>INDEX(Input!$1:$1048576,DM$93,$C253*2+6)</f>
        <v>21036.84210526316</v>
      </c>
      <c r="DN253" s="20">
        <v>0</v>
      </c>
      <c r="DO253" s="20">
        <v>0</v>
      </c>
      <c r="DP253" s="20">
        <v>0</v>
      </c>
      <c r="DQ253" s="20">
        <v>0</v>
      </c>
      <c r="DR253" s="20">
        <v>0</v>
      </c>
      <c r="DS253" s="20">
        <f>INDEX(Input!$1:$1048576,DS$93,$C253*2+6)</f>
        <v>0.6</v>
      </c>
      <c r="DT253" s="20">
        <f>INDEX(Input!$1:$1048576,DT$93,$C253*2+6)</f>
        <v>0.55000000000000004</v>
      </c>
      <c r="DU253" s="20">
        <f>INDEX(Input!$1:$1048576,DU$93,$C253*2+6)</f>
        <v>0.52</v>
      </c>
      <c r="DV253" s="20">
        <f>INDEX(Input!$1:$1048576,DV$93,$C253*2+6)</f>
        <v>0.5</v>
      </c>
      <c r="DW253" s="20">
        <f>INDEX(Input!$1:$1048576,DW$93,$C253*2+6)</f>
        <v>0.45</v>
      </c>
      <c r="DX253" s="20"/>
      <c r="DY253" s="7">
        <v>9.2172212685915106E-2</v>
      </c>
      <c r="DZ253" s="7">
        <v>0</v>
      </c>
      <c r="EA253" s="7">
        <v>0.65278605317768623</v>
      </c>
      <c r="EB253" s="7">
        <v>0</v>
      </c>
      <c r="EC253" s="7">
        <v>0</v>
      </c>
      <c r="ED253" s="7">
        <v>0</v>
      </c>
      <c r="EE253" s="7">
        <v>0</v>
      </c>
      <c r="EF253" s="7">
        <v>0</v>
      </c>
      <c r="EG253" s="7">
        <v>0</v>
      </c>
      <c r="EH253" s="7">
        <v>8.7750586516303093E-3</v>
      </c>
      <c r="EI253" s="7">
        <v>2.497920888506645E-2</v>
      </c>
      <c r="EJ253" s="7">
        <v>0.18896747984679954</v>
      </c>
      <c r="EK253" s="7">
        <v>0.70893571470956851</v>
      </c>
      <c r="EL253" s="7">
        <v>6.8342537906935577E-2</v>
      </c>
      <c r="EM253" s="7">
        <v>9.2859477740110788E-2</v>
      </c>
      <c r="EN253" s="7">
        <v>6.4370193054645794E-2</v>
      </c>
      <c r="EO253" s="7">
        <v>0.7218346128155555</v>
      </c>
      <c r="EP253" s="7">
        <v>9.2879923447893253E-2</v>
      </c>
      <c r="EQ253" s="7">
        <v>7.9202343443675355E-2</v>
      </c>
      <c r="ER253" s="7">
        <v>4.1712927238229759E-2</v>
      </c>
      <c r="ES253" s="7">
        <v>0.16218225639628792</v>
      </c>
      <c r="ET253" s="7">
        <v>0.25504173413639863</v>
      </c>
      <c r="EU253" s="6">
        <v>1294</v>
      </c>
      <c r="EV253" s="6">
        <v>0</v>
      </c>
      <c r="EW253" s="6">
        <v>1294</v>
      </c>
      <c r="EX253" s="6">
        <v>0</v>
      </c>
      <c r="EY253" s="6">
        <v>2698.0055687567415</v>
      </c>
      <c r="EZ253" s="6">
        <v>586</v>
      </c>
      <c r="FA253" s="6">
        <v>0</v>
      </c>
      <c r="FB253" s="6">
        <v>0</v>
      </c>
      <c r="FC253" s="6">
        <v>0</v>
      </c>
      <c r="FD253" s="6">
        <v>0</v>
      </c>
      <c r="FE253" s="6">
        <v>0</v>
      </c>
      <c r="FF253" s="6">
        <v>0</v>
      </c>
      <c r="FG253" s="6">
        <v>0</v>
      </c>
      <c r="FH253" s="6">
        <v>1173.7327589544716</v>
      </c>
      <c r="FI253" s="6">
        <v>1553.9796069512411</v>
      </c>
      <c r="FJ253" s="6">
        <v>2101.2110117447405</v>
      </c>
      <c r="FK253" s="6">
        <v>2674.2006261592273</v>
      </c>
      <c r="FL253" s="6">
        <v>907.07682140966347</v>
      </c>
      <c r="FM253" s="6">
        <v>2404.0055687567415</v>
      </c>
      <c r="FN253" s="6">
        <v>0</v>
      </c>
      <c r="FO253" s="6">
        <v>0</v>
      </c>
      <c r="FP253" s="6">
        <v>0</v>
      </c>
      <c r="FQ253" s="6">
        <v>0</v>
      </c>
      <c r="FR253" s="6">
        <v>0</v>
      </c>
      <c r="FS253" s="6">
        <v>0</v>
      </c>
      <c r="FT253" s="7">
        <v>0.74495826586360137</v>
      </c>
      <c r="FU253" s="7">
        <v>9.2859477740110788E-2</v>
      </c>
      <c r="FV253" s="7">
        <v>0.16218225639628792</v>
      </c>
      <c r="FW253" s="6">
        <v>1293.9999999999998</v>
      </c>
      <c r="FX253" s="6">
        <v>2698.0055687567415</v>
      </c>
      <c r="FY253" s="6">
        <v>586</v>
      </c>
      <c r="FZ253" s="6">
        <v>1817.4615072224267</v>
      </c>
      <c r="GA253" s="6">
        <v>1309.5501863303864</v>
      </c>
      <c r="GB253" s="6">
        <v>18675.449813669613</v>
      </c>
      <c r="GC253" s="7">
        <v>1.804905384453976E-2</v>
      </c>
      <c r="GD253" s="7">
        <v>1.720347791891623E-2</v>
      </c>
      <c r="GE253" s="7"/>
      <c r="GF253" s="7"/>
      <c r="GG253" s="7">
        <v>-4.6848767414993109E-2</v>
      </c>
      <c r="GH253" s="42">
        <v>1.8433781218821226</v>
      </c>
      <c r="GI253" s="6">
        <v>12151.058915746653</v>
      </c>
      <c r="GJ253" s="14">
        <v>0.50394797582841733</v>
      </c>
      <c r="GK253" s="14">
        <v>0.50887573065309732</v>
      </c>
      <c r="GL253" s="14">
        <v>0.49605202417158301</v>
      </c>
      <c r="GM253" s="14">
        <v>0.49112426934690251</v>
      </c>
      <c r="GO253" s="5">
        <v>343.14810671672558</v>
      </c>
      <c r="GP253" s="5">
        <v>318.46105531198077</v>
      </c>
      <c r="GQ253" s="5">
        <v>535.04305713031317</v>
      </c>
      <c r="GR253" s="5">
        <v>410.15490233172511</v>
      </c>
      <c r="GS253" s="5">
        <v>339.42744393800166</v>
      </c>
      <c r="GT253" s="5">
        <v>293.4407446948278</v>
      </c>
      <c r="GU253" s="5">
        <v>258.04012322764959</v>
      </c>
      <c r="GV253" s="39" t="s">
        <v>392</v>
      </c>
      <c r="GW253" s="5">
        <v>491.45833333333331</v>
      </c>
      <c r="GX253" s="5">
        <v>368.59375</v>
      </c>
      <c r="GY253" s="5">
        <v>294.875</v>
      </c>
      <c r="GZ253" s="5">
        <v>245.72916666666666</v>
      </c>
      <c r="HA253" s="5">
        <v>241.02179695997205</v>
      </c>
      <c r="HB253" s="39">
        <v>259.91976528559206</v>
      </c>
      <c r="HC253" s="5">
        <v>261.64687500000002</v>
      </c>
      <c r="HD253" s="5">
        <v>222.30677997076018</v>
      </c>
      <c r="HE253" s="5">
        <v>224.71639254385963</v>
      </c>
      <c r="HF253" s="5">
        <v>207.35750548245613</v>
      </c>
      <c r="HG253" s="5">
        <v>199.39971491228067</v>
      </c>
      <c r="HH253" s="39">
        <v>222.92337580362675</v>
      </c>
      <c r="HI253" s="16"/>
      <c r="HJ253" s="19" t="str">
        <f t="shared" si="761"/>
        <v>On</v>
      </c>
      <c r="HK253" s="1" t="str">
        <f t="shared" si="761"/>
        <v>On</v>
      </c>
      <c r="HL253" s="16"/>
      <c r="HM253" s="639">
        <f t="shared" si="634"/>
        <v>1.2768706344444866E-2</v>
      </c>
      <c r="HN253" s="639">
        <f t="shared" si="635"/>
        <v>9.795534288915453E-4</v>
      </c>
      <c r="HO253" s="639">
        <f t="shared" si="636"/>
        <v>3.3583061774515237E-3</v>
      </c>
      <c r="HP253" s="644">
        <f>(FT253*$GD253-HM253)/$JF253*INDEX(Input!$1:$1048576,$JG$93,$C253*2+6)</f>
        <v>3.4272366006036363</v>
      </c>
      <c r="HQ253" s="644">
        <f>(FU253*$GD253-HN253)/$JF253*INDEX(Input!$1:$1048576,$JG$93,$C253*2+6)</f>
        <v>44.90176560588376</v>
      </c>
      <c r="HR253" s="644">
        <f>(FV253*$GD253-HO253)/$JF253*INDEX(Input!$1:$1048576,$JG$93,$C253*2+6)</f>
        <v>-41.287169454664877</v>
      </c>
      <c r="HS253" s="644">
        <f t="shared" si="754"/>
        <v>-3.3716488299847689</v>
      </c>
      <c r="HT253" s="644">
        <f t="shared" si="638"/>
        <v>55.191431614678947</v>
      </c>
      <c r="HU253" s="644">
        <f t="shared" si="639"/>
        <v>-5.0893958495293194</v>
      </c>
      <c r="HV253" s="648">
        <f t="shared" si="640"/>
        <v>0</v>
      </c>
      <c r="HW253" s="648">
        <f t="shared" si="641"/>
        <v>0</v>
      </c>
      <c r="HX253" s="648">
        <f t="shared" si="642"/>
        <v>0</v>
      </c>
      <c r="HY253" s="644">
        <f>INDEX(Input!$1:$1048576,HY$93,$C253*2+6)*INDEX(Input!$1:$1048576,$JG$93,$C253*2+6)</f>
        <v>451</v>
      </c>
      <c r="HZ253" s="644">
        <f>INDEX(Input!$1:$1048576,HZ$93,$C253*2+6)*INDEX(Input!$1:$1048576,$JG$93,$C253*2+6)</f>
        <v>577</v>
      </c>
      <c r="IA253" s="644">
        <f>INDEX(Input!$1:$1048576,IA$93,$C253*2+6)*INDEX(Input!$1:$1048576,$JG$93,$C253*2+6)</f>
        <v>215</v>
      </c>
      <c r="IB253" s="644">
        <f t="shared" si="666"/>
        <v>451.05558777061901</v>
      </c>
      <c r="IC253" s="644">
        <f t="shared" si="667"/>
        <v>677.09319722056262</v>
      </c>
      <c r="ID253" s="644">
        <f>IF(AND(INDEX(Input!$1:$1048576,IA$93,$C253*2+7)="TOS",Y253&lt;=INDEX(Y:Y,MATCH(C253*1000+2,A:A))),0,1)*MAX(IA253+HR253+HU253+HX253,0%)</f>
        <v>168.6234346958058</v>
      </c>
      <c r="IE253" s="128">
        <f t="shared" si="759"/>
        <v>0.34782946528534825</v>
      </c>
      <c r="IF253" s="128">
        <f t="shared" si="643"/>
        <v>0.52213733988224864</v>
      </c>
      <c r="IG253" s="128">
        <f t="shared" si="644"/>
        <v>0.13003319483240305</v>
      </c>
      <c r="IH253" s="21"/>
      <c r="II253" s="19">
        <f t="shared" si="645"/>
        <v>1252</v>
      </c>
      <c r="IJ253" s="19">
        <f t="shared" si="646"/>
        <v>2011.9658773055378</v>
      </c>
      <c r="IK253" s="19">
        <f t="shared" si="647"/>
        <v>919</v>
      </c>
      <c r="IL253" s="19">
        <f t="shared" si="669"/>
        <v>41.999999999999773</v>
      </c>
      <c r="IM253" s="19">
        <f t="shared" si="648"/>
        <v>686.03969145120368</v>
      </c>
      <c r="IN253" s="19">
        <f t="shared" si="649"/>
        <v>-333</v>
      </c>
      <c r="IO253" s="39">
        <f t="shared" si="650"/>
        <v>0</v>
      </c>
      <c r="IP253" s="39">
        <f t="shared" si="651"/>
        <v>0</v>
      </c>
      <c r="IQ253" s="39">
        <f t="shared" si="652"/>
        <v>0</v>
      </c>
      <c r="IR253" s="39">
        <v>0</v>
      </c>
      <c r="IS253" s="39">
        <v>0</v>
      </c>
      <c r="IT253" s="39">
        <v>0</v>
      </c>
      <c r="IU253" s="39">
        <v>0</v>
      </c>
      <c r="IV253" s="39">
        <v>0</v>
      </c>
      <c r="IW253" s="39">
        <v>0</v>
      </c>
      <c r="IX253" s="39">
        <f>INDEX(Input!$1:$1048576,IX$93,$C253*2+6)+INDEX(Input!$1:$1048576,IX$94,$C253*2+6)</f>
        <v>1294</v>
      </c>
      <c r="IY253" s="39">
        <f>INDEX(Input!$1:$1048576,IY$93,$C253*2+6)+INDEX(Input!$1:$1048576,IY$94,$C253*2+6)</f>
        <v>2154.0624533823611</v>
      </c>
      <c r="IZ253" s="39">
        <f>INDEX(Input!$1:$1048576,IZ$93,$C253*2+6)+INDEX(Input!$1:$1048576,IZ$94,$C253*2+6)</f>
        <v>3677.7164157747848</v>
      </c>
      <c r="JA253" s="19">
        <f t="shared" si="670"/>
        <v>1335.9999999999998</v>
      </c>
      <c r="JB253" s="19">
        <f t="shared" si="671"/>
        <v>2840.102144833565</v>
      </c>
      <c r="JC253" s="19">
        <f t="shared" si="672"/>
        <v>3344.7164157747848</v>
      </c>
      <c r="JD253" s="19">
        <f t="shared" si="673"/>
        <v>2382.5477058700708</v>
      </c>
      <c r="JE253" s="21"/>
      <c r="JF253" s="1">
        <f t="shared" si="653"/>
        <v>1.7106565950787935E-2</v>
      </c>
      <c r="JG253" s="15">
        <f>INDEX(Input!$1:$1048576,JG$93,$C253*2+6)/(1+VLOOKUP(C253*1000+INDEX(Input!$1:$1048576,JG$93+1,$C253*2+6),$A:$KK,$JK$92,FALSE))</f>
        <v>1243</v>
      </c>
      <c r="JH253" s="1">
        <f t="shared" si="674"/>
        <v>5.6651912725844879E-3</v>
      </c>
      <c r="JI253" s="1">
        <f t="shared" si="675"/>
        <v>3.7594840655804394E-2</v>
      </c>
      <c r="JJ253" s="1">
        <f t="shared" si="731"/>
        <v>0</v>
      </c>
      <c r="JK253" s="1">
        <f t="shared" si="732"/>
        <v>4.3260031928388884E-2</v>
      </c>
      <c r="JL253" s="15">
        <f t="shared" si="678"/>
        <v>53.772219686987384</v>
      </c>
      <c r="JM253" s="15">
        <f t="shared" si="702"/>
        <v>1296.7722196869875</v>
      </c>
      <c r="JN253" s="21"/>
      <c r="JO253" s="19">
        <f>INDEX(Input!$1:$1048576,JO$93,$C253*2+6)</f>
        <v>5995.5</v>
      </c>
      <c r="JP253" s="19">
        <f>INDEX(Input!$1:$1048576,JP$93,$C253*2+6)</f>
        <v>2105.548724853742</v>
      </c>
      <c r="JQ253" s="39">
        <f t="shared" si="688"/>
        <v>3612.9522941299292</v>
      </c>
      <c r="JR253" s="39">
        <f t="shared" si="705"/>
        <v>276.9989810163288</v>
      </c>
      <c r="JS253" s="39">
        <f t="shared" si="690"/>
        <v>3.0896216770512712</v>
      </c>
      <c r="JT253" s="39">
        <f t="shared" si="680"/>
        <v>0.47242461205807001</v>
      </c>
      <c r="JU253" s="385">
        <f>(JQ253*JM253-INDEX(Input!$1:$1048576,Input!A$18,$C253*2+6)*JL253*INDEX(Input!$1:$1048576,Input!A$19,$C253*2+6))/1000000</f>
        <v>4.6851761660820621</v>
      </c>
      <c r="JV253" s="39">
        <f t="shared" si="712"/>
        <v>-0.15003326892473634</v>
      </c>
      <c r="JW253" s="1">
        <f t="shared" si="703"/>
        <v>-3.1029321674982499E-2</v>
      </c>
      <c r="JX253" s="19">
        <f t="shared" si="694"/>
        <v>8785.6632069141542</v>
      </c>
      <c r="JZ253" s="341"/>
      <c r="KA253" s="342"/>
      <c r="KB253" s="469">
        <f t="shared" si="691"/>
        <v>2.5660492421988774</v>
      </c>
      <c r="KI253" s="473">
        <f t="shared" si="756"/>
        <v>5.5587770619013099E-2</v>
      </c>
      <c r="KJ253" s="473">
        <f t="shared" si="757"/>
        <v>100.09319722056262</v>
      </c>
      <c r="KK253" s="473">
        <f t="shared" si="682"/>
        <v>-46.376565304194173</v>
      </c>
      <c r="KN253" s="544">
        <f t="shared" si="695"/>
        <v>2002</v>
      </c>
      <c r="KO253" s="541">
        <f t="shared" si="657"/>
        <v>3.7113408508560486E-2</v>
      </c>
      <c r="KP253" s="546">
        <f t="shared" si="658"/>
        <v>289.46462766194043</v>
      </c>
      <c r="KQ253" s="546">
        <f t="shared" si="659"/>
        <v>238.86736643659788</v>
      </c>
      <c r="KR253" s="548">
        <f t="shared" si="660"/>
        <v>2.2875063880611028</v>
      </c>
      <c r="KS253" s="548">
        <f t="shared" si="661"/>
        <v>2.7720495887418388</v>
      </c>
      <c r="KT253" s="473">
        <f t="shared" si="693"/>
        <v>843.26993010479111</v>
      </c>
      <c r="KU253" s="663">
        <f t="shared" si="683"/>
        <v>4.5110799020742967</v>
      </c>
      <c r="KV253" s="117"/>
    </row>
    <row r="254" spans="1:308" s="26" customFormat="1" ht="15" outlineLevel="1">
      <c r="A254" s="561">
        <f t="shared" si="662"/>
        <v>2054</v>
      </c>
      <c r="B254" s="561">
        <f t="shared" si="684"/>
        <v>54</v>
      </c>
      <c r="C254" s="561">
        <f t="shared" si="760"/>
        <v>2</v>
      </c>
      <c r="D254" s="561" t="str">
        <f t="shared" si="728"/>
        <v xml:space="preserve">0/0/0/3.9, -360 Lease, </v>
      </c>
      <c r="E254" s="475">
        <f>INDEX(Input!$1:$1048576,E$93,$C254*2+MIN($B254,2)+5)
+INDEX(Scenarios!E$121:E$200,MATCH($B254,Scenarios!$B$121:$B$200,0))</f>
        <v>1269.7618664521319</v>
      </c>
      <c r="F254" s="475">
        <f>INDEX(Input!$1:$1048576,F$93,$C254*2+MIN($B254,2)+5)
+INDEX(Scenarios!F$121:F$200,MATCH($B254,Scenarios!$B$121:$B$200,0))</f>
        <v>0</v>
      </c>
      <c r="G254" s="475">
        <f>INDEX(Input!$1:$1048576,G$93,$C254*2+MIN($B254,2)+5)
+INDEX(Scenarios!G$121:G$200,MATCH($B254,Scenarios!$B$121:$B$200,0))</f>
        <v>0</v>
      </c>
      <c r="H254" s="475">
        <f>INDEX(Input!$1:$1048576,H$93,$C254*2+MIN($B254,2)+5)
+INDEX(Scenarios!H$121:H$200,MATCH($B254,Scenarios!$B$121:$B$200,0))</f>
        <v>0</v>
      </c>
      <c r="I254" s="476">
        <f>INDEX(Input!$1:$1048576,I$93,$C254*2+MIN($B254,2)+5)</f>
        <v>0.7</v>
      </c>
      <c r="J254" s="476" t="str">
        <f>INDEX(Input!$1:$1048576,J$93,$C254*2+MIN($B254,2)+5)</f>
        <v>Market</v>
      </c>
      <c r="K254" s="476" t="str">
        <f>INDEX(Input!$1:$1048576,K$93,$C254*2+MIN($B254,2)+5)</f>
        <v>Market</v>
      </c>
      <c r="L254" s="476" t="str">
        <f>INDEX(Input!$1:$1048576,L$93,$C254*2+MIN($B254,2)+5)</f>
        <v>Market</v>
      </c>
      <c r="M254" s="476" t="str">
        <f>INDEX(Input!$1:$1048576,M$93,$C254*2+MIN($B254,2)+5)</f>
        <v>Market</v>
      </c>
      <c r="N254" s="476" t="str">
        <f>INDEX(Input!$1:$1048576,N$93,$C254*2+MIN($B254,2)+5)</f>
        <v>Market</v>
      </c>
      <c r="O254" s="476" t="str">
        <f>INDEX(Input!$1:$1048576,O$93,$C254*2+MIN($B254,2)+5)</f>
        <v>Market</v>
      </c>
      <c r="P254" s="476" t="str">
        <f>INDEX(Input!$1:$1048576,P$93,$C254*2+MIN($B254,2)+5)</f>
        <v>N</v>
      </c>
      <c r="Q254" s="477">
        <f>INDEX(Input!$1:$1048576,Q$93,$C254*2+MIN($B254,2)+5)
+INDEX(Scenarios!Q$121:Q$200,MATCH($B254,Scenarios!$B$121:$B$200,0))</f>
        <v>0</v>
      </c>
      <c r="R254" s="478">
        <f>IFERROR(MAX(0,INDEX(Input!$1:$1048576,R$93,$C254*2+MIN($B254,2)+5)
+INDEX(Scenarios!R$121:R$200,MATCH($B254,Scenarios!$B$121:$B$200,0)),),"Market")</f>
        <v>0</v>
      </c>
      <c r="S254" s="478">
        <f>IFERROR(MAX(0,INDEX(Input!$1:$1048576,S$93,$C254*2+MIN($B254,2)+5)
+INDEX(Scenarios!S$121:S$200,MATCH($B254,Scenarios!$B$121:$B$200,0)),),"Market")</f>
        <v>0</v>
      </c>
      <c r="T254" s="478">
        <f>IFERROR(MAX(0,INDEX(Input!$1:$1048576,T$93,$C254*2+MIN($B254,2)+5)
+INDEX(Scenarios!T$121:T$200,MATCH($B254,Scenarios!$B$121:$B$200,0)),),"Market")</f>
        <v>0</v>
      </c>
      <c r="U254" s="478">
        <f>IFERROR(MAX(0,INDEX(Input!$1:$1048576,U$93,$C254*2+MIN($B254,2)+5)
+INDEX(Scenarios!U$121:U$200,MATCH($B254,Scenarios!$B$121:$B$200,0)),),"Market")</f>
        <v>0</v>
      </c>
      <c r="V254" s="478">
        <f>IFERROR(MAX(0,INDEX(Input!$1:$1048576,V$93,$C254*2+MIN($B254,2)+5)
+INDEX(Scenarios!V$121:V$200,MATCH($B254,Scenarios!$B$121:$B$200,0)),),"Market")</f>
        <v>0</v>
      </c>
      <c r="W254" s="885">
        <f>IFERROR(MAX(0,INDEX(Input!$1:$1048576,W$93,$C254*2+MIN($B254,2)+5)-0%,),"Market")</f>
        <v>3.9E-2</v>
      </c>
      <c r="X254" s="476" t="str">
        <f>INDEX(Input!$1:$1048576,X$93,$C254*2+MIN($B254,2)+5)</f>
        <v>Y</v>
      </c>
      <c r="Y254" s="475">
        <f>INDEX(Input!$1:$1048576,Y$93,$C254*2+MIN($B254,2)+5)
++INDEX(Scenarios!Y$121:Y$200,MATCH($B254,Scenarios!$B$121:$B$200,0))</f>
        <v>-304</v>
      </c>
      <c r="Z254" s="477">
        <f>INDEX(Input!$1:$1048576,Z$93,$C254*2+MIN($B254,2)+5)
+INDEX(Scenarios!Z$121:Z$200,MATCH($B254,Scenarios!$B$121:$B$200,0))</f>
        <v>0</v>
      </c>
      <c r="AA254" s="475">
        <f>INDEX(Input!$1:$1048576,AA$93,$C254*2+MIN($B254,2)+5)
+INDEX(Scenarios!AA$121:AA$200,MATCH($B254,Scenarios!$B$121:$B$200,0))</f>
        <v>0</v>
      </c>
      <c r="AB254" s="476">
        <f>INDEX(Input!$1:$1048576,AB$93,$C254*2+MIN($B254,2)+5)</f>
        <v>0.27</v>
      </c>
      <c r="AC254" s="475">
        <f>INDEX(Input!$1:$1048576,AC$93,$C254*2+MIN($B254,2)+5)
+INDEX(Scenarios!AC$121:AC$200,MATCH($B254,Scenarios!$B$121:$B$200,0))</f>
        <v>0</v>
      </c>
      <c r="AD254" s="476">
        <f>INDEX(Input!$1:$1048576,AD$93,$C254*2+MIN($B254,2)+5)</f>
        <v>0.27</v>
      </c>
      <c r="AE254" s="475">
        <f>INDEX(Input!$1:$1048576,AE$93,$C254*2+MIN($B254,2)+5)
+INDEX(Scenarios!AE$121:AE$200,MATCH($B254,Scenarios!$B$121:$B$200,0))</f>
        <v>0</v>
      </c>
      <c r="AF254" s="476">
        <f>INDEX(Input!$1:$1048576,AF$93,$C254*2+MIN($B254,2)+5)</f>
        <v>4.8000000000000001E-2</v>
      </c>
      <c r="AG254" s="475">
        <f>INDEX(Input!$1:$1048576,AG$93,$C254*2+MIN($B254,2)+5)
+INDEX(Scenarios!AG$121:AG$200,MATCH($B254,Scenarios!$B$121:$B$200,0))</f>
        <v>500</v>
      </c>
      <c r="AH254" s="476">
        <f>INDEX(Input!$1:$1048576,AH$93,$C254*2+MIN($B254,2)+5)</f>
        <v>0.94599999999999995</v>
      </c>
      <c r="AI254" s="475">
        <f>INDEX(Input!$1:$1048576,AI$93,$C254*2+MIN($B254,2)+5)
+INDEX(Scenarios!AI$121:AI$200,MATCH($B254,Scenarios!$B$121:$B$200,0))</f>
        <v>0</v>
      </c>
      <c r="AJ254" s="476">
        <f>INDEX(Input!$1:$1048576,AJ$93,$C254*2+MIN($B254,2)+5)</f>
        <v>0.27</v>
      </c>
      <c r="AK254" s="150">
        <f>ROUND(INDEX(Input!$1:$1048576,AK$93,$C253*2+MIN($B254,1)+5)+(Y254-VLOOKUP($C254*1000+1,$A:$HH,Y$92,FALSE)),0)</f>
        <v>2617</v>
      </c>
      <c r="AL254" s="150">
        <f>ROUND(INDEX(Input!$1:$1048576,AL$93,$C253*2+MIN($B254,1)+5)-(Y254-VLOOKUP($C254*1000+1,$A:$HH,Y$92,FALSE))/36,0)</f>
        <v>3405</v>
      </c>
      <c r="AM254" s="32" t="str">
        <f t="shared" si="663"/>
        <v>std/std/std/std</v>
      </c>
      <c r="AN254" s="32" t="str">
        <f t="shared" si="664"/>
        <v>$0 + 0/0/0/0/3.9</v>
      </c>
      <c r="AO254" s="32" t="str">
        <f t="shared" si="665"/>
        <v>0/0/0/0/3.9</v>
      </c>
      <c r="AP254" s="32" t="str">
        <f t="shared" si="734"/>
        <v>0/0/0/3.9</v>
      </c>
      <c r="AQ254" s="536">
        <f t="shared" si="733"/>
        <v>0.34782946528534825</v>
      </c>
      <c r="AR254" s="32"/>
      <c r="AS254" s="302"/>
      <c r="AT254" s="3">
        <f t="shared" si="717"/>
        <v>54</v>
      </c>
      <c r="AU254" s="41" t="s">
        <v>121</v>
      </c>
      <c r="AV254" s="41" t="s">
        <v>116</v>
      </c>
      <c r="AW254" s="41" t="str">
        <f>INDEX(Input!$1:$1048576,AW$93,$C254*2+6)</f>
        <v>Kia</v>
      </c>
      <c r="AX254" s="41" t="str">
        <f>INDEX(Input!$1:$1048576,AX$93,$C254*2+6)</f>
        <v>Kia-LR - L2</v>
      </c>
      <c r="AY254" s="41" t="str">
        <f>IF(LEN(D254)=0,"",INDEX(Input!$1:$1048576,AY$93,$C254*2+6))</f>
        <v>Compact SUV (52)</v>
      </c>
      <c r="AZ254" s="41" t="str">
        <f>INDEX(Input!$1:$1048576,AZ$93,$C254*2+6)</f>
        <v>Kia Soul</v>
      </c>
      <c r="BA254" s="3">
        <f>INDEX(Input!$1:$1048576,BA$93,$C254*2+6)</f>
        <v>2020</v>
      </c>
      <c r="BB254" s="128">
        <f>INDEX(Input!$1:$1048576,BB$93,$C254*2+6)</f>
        <v>1</v>
      </c>
      <c r="BC254" s="128">
        <f>INDEX(Input!$1:$1048576,BC$93,$C254*2+6)</f>
        <v>0.7</v>
      </c>
      <c r="BD254" s="1">
        <f>INDEX(Input!$1:$1048576,BD$93,$C254*2+6)</f>
        <v>4.4999999999999998E-2</v>
      </c>
      <c r="BE254" s="1">
        <f>INDEX(Input!$1:$1048576,BE$93,$C254*2+6)</f>
        <v>4.4999999999999998E-2</v>
      </c>
      <c r="BF254" s="1">
        <f>INDEX(Input!$1:$1048576,BF$93,$C254*2+6)</f>
        <v>0.05</v>
      </c>
      <c r="BG254" s="1">
        <f>INDEX(Input!$1:$1048576,BG$93,$C254*2+6)</f>
        <v>5.45E-2</v>
      </c>
      <c r="BH254" s="1">
        <f>INDEX(Input!$1:$1048576,BH$93,$C254*2+6)</f>
        <v>5.45E-2</v>
      </c>
      <c r="BI254" s="1">
        <f>INDEX(Input!$1:$1048576,BI$93,$C254*2+6)</f>
        <v>0.05</v>
      </c>
      <c r="BJ254" s="1">
        <f>INDEX(Input!$1:$1048576,BJ$93,$C254*2+6)</f>
        <v>0.05</v>
      </c>
      <c r="BK254" s="1">
        <f>INDEX(Input!$1:$1048576,BK$93,$C254*2+6)</f>
        <v>0.05</v>
      </c>
      <c r="BL254" s="1">
        <f>INDEX(Input!$1:$1048576,BL$93,$C254*2+6)</f>
        <v>5.5E-2</v>
      </c>
      <c r="BM254" s="1">
        <f>INDEX(Input!$1:$1048576,BM$93,$C254*2+6)</f>
        <v>0.06</v>
      </c>
      <c r="BN254" s="1">
        <f>INDEX(Input!$1:$1048576,BN$93,$C254*2+6)</f>
        <v>4.4999999999999998E-2</v>
      </c>
      <c r="BO254" s="1">
        <f>INDEX(Input!$1:$1048576,BO$93,$C254*2+6)</f>
        <v>4.4999999999999998E-2</v>
      </c>
      <c r="BP254" s="1">
        <f>INDEX(Input!$1:$1048576,BP$93,$C254*2+6)</f>
        <v>0.05</v>
      </c>
      <c r="BQ254" s="1">
        <f>INDEX(Input!$1:$1048576,BQ$93,$C254*2+6)</f>
        <v>5.45E-2</v>
      </c>
      <c r="BR254" s="1">
        <f>INDEX(Input!$1:$1048576,BR$93,$C254*2+6)</f>
        <v>5.45E-2</v>
      </c>
      <c r="BS254" s="1">
        <f>INDEX(Input!$1:$1048576,BS$93,$C254*2+6)</f>
        <v>0.05</v>
      </c>
      <c r="BT254" s="1">
        <f>INDEX(Input!$1:$1048576,BT$93,$C254*2+6)</f>
        <v>0.05</v>
      </c>
      <c r="BU254" s="1">
        <f>INDEX(Input!$1:$1048576,BU$93,$C254*2+6)</f>
        <v>0.05</v>
      </c>
      <c r="BV254" s="1">
        <f>INDEX(Input!$1:$1048576,BV$93,$C254*2+6)</f>
        <v>5.5E-2</v>
      </c>
      <c r="BW254" s="1">
        <f>INDEX(Input!$1:$1048576,BW$93,$C254*2+6)</f>
        <v>0.06</v>
      </c>
      <c r="BX254" s="127">
        <f>INDEX(Input!$1:$1048576,BX$93,$C254*2+6)</f>
        <v>19985</v>
      </c>
      <c r="BY254" s="20">
        <f>INDEX(Input!$1:$1048576,BY$93,$C254*2+6)</f>
        <v>0.1</v>
      </c>
      <c r="BZ254" s="20">
        <f>INDEX(Input!$1:$1048576,BZ$93,$C254*2+6)</f>
        <v>0.1</v>
      </c>
      <c r="CA254" s="20">
        <f>INDEX(Input!$1:$1048576,CA$93,$C254*2+6)</f>
        <v>0.1</v>
      </c>
      <c r="CB254" s="20">
        <f>INDEX(Input!$1:$1048576,CB$93,$C254*2+6)</f>
        <v>0.1</v>
      </c>
      <c r="CC254" s="20">
        <f>INDEX(Input!$1:$1048576,CC$93,$C254*2+6)</f>
        <v>0.1</v>
      </c>
      <c r="CD254" s="384">
        <f>INDEX(Input!$1:$1048576,CD$93,$C254*2+6)</f>
        <v>0.1</v>
      </c>
      <c r="CE254" s="384">
        <f>INDEX(Input!$1:$1048576,CE$93,$C254*2+6)</f>
        <v>0.1</v>
      </c>
      <c r="CF254" s="384">
        <f>INDEX(Input!$1:$1048576,CF$93,$C254*2+6)</f>
        <v>0.1</v>
      </c>
      <c r="CG254" s="384">
        <f>INDEX(Input!$1:$1048576,CG$93,$C254*2+6)</f>
        <v>0.1</v>
      </c>
      <c r="CH254" s="384">
        <f>INDEX(Input!$1:$1048576,CH$93,$C254*2+6)</f>
        <v>0.1</v>
      </c>
      <c r="CI254" s="304">
        <f t="shared" si="735"/>
        <v>1269.7618664521319</v>
      </c>
      <c r="CJ254" s="16" t="str">
        <f>INDEX(Input!$1:$1048576,CJ$93,$C254*2+6)</f>
        <v>N</v>
      </c>
      <c r="CK254" s="1" t="str">
        <f t="shared" si="736"/>
        <v>Market</v>
      </c>
      <c r="CL254" s="1" t="str">
        <f t="shared" si="737"/>
        <v>Market</v>
      </c>
      <c r="CM254" s="1" t="str">
        <f t="shared" si="738"/>
        <v>Market</v>
      </c>
      <c r="CN254" s="1" t="str">
        <f t="shared" si="739"/>
        <v>Market</v>
      </c>
      <c r="CO254" s="1" t="str">
        <f t="shared" si="740"/>
        <v>Market</v>
      </c>
      <c r="CP254" s="304">
        <f t="shared" si="741"/>
        <v>473</v>
      </c>
      <c r="CQ254" s="1">
        <f t="shared" si="742"/>
        <v>0</v>
      </c>
      <c r="CR254" s="1">
        <f t="shared" si="743"/>
        <v>0</v>
      </c>
      <c r="CS254" s="1">
        <f t="shared" si="744"/>
        <v>0</v>
      </c>
      <c r="CT254" s="1">
        <f t="shared" si="745"/>
        <v>0</v>
      </c>
      <c r="CU254" s="1">
        <f t="shared" si="746"/>
        <v>3.9E-2</v>
      </c>
      <c r="CV254" s="304">
        <f t="shared" si="747"/>
        <v>-304</v>
      </c>
      <c r="CW254" s="20" t="s">
        <v>122</v>
      </c>
      <c r="CX254" s="20" t="s">
        <v>122</v>
      </c>
      <c r="CY254" s="20" t="s">
        <v>122</v>
      </c>
      <c r="CZ254" s="20" t="s">
        <v>122</v>
      </c>
      <c r="DA254" s="20" t="s">
        <v>122</v>
      </c>
      <c r="DB254" s="503">
        <f t="shared" si="748"/>
        <v>0</v>
      </c>
      <c r="DC254" s="127">
        <v>0</v>
      </c>
      <c r="DD254" s="127">
        <v>0</v>
      </c>
      <c r="DE254" s="127">
        <v>0</v>
      </c>
      <c r="DF254" s="127">
        <v>0</v>
      </c>
      <c r="DG254" s="127">
        <v>0</v>
      </c>
      <c r="DH254" s="127">
        <v>0</v>
      </c>
      <c r="DI254" s="127">
        <v>0</v>
      </c>
      <c r="DJ254" s="127">
        <v>0</v>
      </c>
      <c r="DK254" s="127">
        <v>0</v>
      </c>
      <c r="DL254" s="127">
        <v>0</v>
      </c>
      <c r="DM254" s="304">
        <f>INDEX(Input!$1:$1048576,DM$93,$C254*2+6)</f>
        <v>21036.84210526316</v>
      </c>
      <c r="DN254" s="20">
        <v>0</v>
      </c>
      <c r="DO254" s="20">
        <v>0</v>
      </c>
      <c r="DP254" s="20">
        <v>0</v>
      </c>
      <c r="DQ254" s="20">
        <v>0</v>
      </c>
      <c r="DR254" s="20">
        <v>0</v>
      </c>
      <c r="DS254" s="20">
        <f>INDEX(Input!$1:$1048576,DS$93,$C254*2+6)</f>
        <v>0.6</v>
      </c>
      <c r="DT254" s="20">
        <f>INDEX(Input!$1:$1048576,DT$93,$C254*2+6)</f>
        <v>0.55000000000000004</v>
      </c>
      <c r="DU254" s="20">
        <f>INDEX(Input!$1:$1048576,DU$93,$C254*2+6)</f>
        <v>0.52</v>
      </c>
      <c r="DV254" s="20">
        <f>INDEX(Input!$1:$1048576,DV$93,$C254*2+6)</f>
        <v>0.5</v>
      </c>
      <c r="DW254" s="20">
        <f>INDEX(Input!$1:$1048576,DW$93,$C254*2+6)</f>
        <v>0.45</v>
      </c>
      <c r="DX254" s="20"/>
      <c r="DY254" s="7">
        <v>9.2172212685915106E-2</v>
      </c>
      <c r="DZ254" s="7">
        <v>0</v>
      </c>
      <c r="EA254" s="7">
        <v>0.65278605317768623</v>
      </c>
      <c r="EB254" s="7">
        <v>0</v>
      </c>
      <c r="EC254" s="7">
        <v>0</v>
      </c>
      <c r="ED254" s="7">
        <v>0</v>
      </c>
      <c r="EE254" s="7">
        <v>0</v>
      </c>
      <c r="EF254" s="7">
        <v>0</v>
      </c>
      <c r="EG254" s="7">
        <v>0</v>
      </c>
      <c r="EH254" s="7">
        <v>8.7750586516303093E-3</v>
      </c>
      <c r="EI254" s="7">
        <v>2.497920888506645E-2</v>
      </c>
      <c r="EJ254" s="7">
        <v>0.18896747984679954</v>
      </c>
      <c r="EK254" s="7">
        <v>0.70893571470956851</v>
      </c>
      <c r="EL254" s="7">
        <v>6.8342537906935577E-2</v>
      </c>
      <c r="EM254" s="7">
        <v>9.2859477740110788E-2</v>
      </c>
      <c r="EN254" s="7">
        <v>6.4370193054645794E-2</v>
      </c>
      <c r="EO254" s="7">
        <v>0.7218346128155555</v>
      </c>
      <c r="EP254" s="7">
        <v>9.2879923447893253E-2</v>
      </c>
      <c r="EQ254" s="7">
        <v>7.9202343443675355E-2</v>
      </c>
      <c r="ER254" s="7">
        <v>4.1712927238229759E-2</v>
      </c>
      <c r="ES254" s="7">
        <v>0.16218225639628792</v>
      </c>
      <c r="ET254" s="7">
        <v>0.25504173413639863</v>
      </c>
      <c r="EU254" s="6">
        <v>1294</v>
      </c>
      <c r="EV254" s="6">
        <v>0</v>
      </c>
      <c r="EW254" s="6">
        <v>1294</v>
      </c>
      <c r="EX254" s="6">
        <v>0</v>
      </c>
      <c r="EY254" s="6">
        <v>2698.0055687567415</v>
      </c>
      <c r="EZ254" s="6">
        <v>586</v>
      </c>
      <c r="FA254" s="6">
        <v>0</v>
      </c>
      <c r="FB254" s="6">
        <v>0</v>
      </c>
      <c r="FC254" s="6">
        <v>0</v>
      </c>
      <c r="FD254" s="6">
        <v>0</v>
      </c>
      <c r="FE254" s="6">
        <v>0</v>
      </c>
      <c r="FF254" s="6">
        <v>0</v>
      </c>
      <c r="FG254" s="6">
        <v>0</v>
      </c>
      <c r="FH254" s="6">
        <v>1173.7327589544716</v>
      </c>
      <c r="FI254" s="6">
        <v>1553.9796069512411</v>
      </c>
      <c r="FJ254" s="6">
        <v>2101.2110117447405</v>
      </c>
      <c r="FK254" s="6">
        <v>2674.2006261592273</v>
      </c>
      <c r="FL254" s="6">
        <v>907.07682140966347</v>
      </c>
      <c r="FM254" s="6">
        <v>2404.0055687567415</v>
      </c>
      <c r="FN254" s="6">
        <v>0</v>
      </c>
      <c r="FO254" s="6">
        <v>0</v>
      </c>
      <c r="FP254" s="6">
        <v>0</v>
      </c>
      <c r="FQ254" s="6">
        <v>0</v>
      </c>
      <c r="FR254" s="6">
        <v>0</v>
      </c>
      <c r="FS254" s="6">
        <v>0</v>
      </c>
      <c r="FT254" s="7">
        <v>0.74495826586360137</v>
      </c>
      <c r="FU254" s="7">
        <v>9.2859477740110788E-2</v>
      </c>
      <c r="FV254" s="7">
        <v>0.16218225639628792</v>
      </c>
      <c r="FW254" s="6">
        <v>1293.9999999999998</v>
      </c>
      <c r="FX254" s="6">
        <v>2698.0055687567415</v>
      </c>
      <c r="FY254" s="6">
        <v>586</v>
      </c>
      <c r="FZ254" s="6">
        <v>1817.4615072224267</v>
      </c>
      <c r="GA254" s="6">
        <v>1309.5501863303864</v>
      </c>
      <c r="GB254" s="6">
        <v>18675.449813669613</v>
      </c>
      <c r="GC254" s="7">
        <v>1.804905384453976E-2</v>
      </c>
      <c r="GD254" s="7">
        <v>1.720347791891623E-2</v>
      </c>
      <c r="GE254" s="7"/>
      <c r="GF254" s="7"/>
      <c r="GG254" s="7">
        <v>-4.6848767414993109E-2</v>
      </c>
      <c r="GH254" s="42">
        <v>1.8433781218821226</v>
      </c>
      <c r="GI254" s="6">
        <v>12151.058915746653</v>
      </c>
      <c r="GJ254" s="14">
        <v>0.50394797582841733</v>
      </c>
      <c r="GK254" s="14">
        <v>0.50887573065309732</v>
      </c>
      <c r="GL254" s="14">
        <v>0.49605202417158301</v>
      </c>
      <c r="GM254" s="14">
        <v>0.49112426934690251</v>
      </c>
      <c r="GO254" s="5">
        <v>343.14810671672558</v>
      </c>
      <c r="GP254" s="5">
        <v>318.46105531198077</v>
      </c>
      <c r="GQ254" s="5">
        <v>535.04305713031317</v>
      </c>
      <c r="GR254" s="5">
        <v>410.15490233172511</v>
      </c>
      <c r="GS254" s="5">
        <v>339.42744393800166</v>
      </c>
      <c r="GT254" s="5">
        <v>293.4407446948278</v>
      </c>
      <c r="GU254" s="5">
        <v>258.04012322764959</v>
      </c>
      <c r="GV254" s="39" t="s">
        <v>392</v>
      </c>
      <c r="GW254" s="5">
        <v>491.45833333333331</v>
      </c>
      <c r="GX254" s="5">
        <v>368.59375</v>
      </c>
      <c r="GY254" s="5">
        <v>294.875</v>
      </c>
      <c r="GZ254" s="5">
        <v>245.72916666666666</v>
      </c>
      <c r="HA254" s="5">
        <v>241.02179695997205</v>
      </c>
      <c r="HB254" s="39">
        <v>259.91976528559206</v>
      </c>
      <c r="HC254" s="5">
        <v>261.64687500000002</v>
      </c>
      <c r="HD254" s="5">
        <v>222.30677997076018</v>
      </c>
      <c r="HE254" s="5">
        <v>224.71639254385963</v>
      </c>
      <c r="HF254" s="5">
        <v>207.35750548245613</v>
      </c>
      <c r="HG254" s="5">
        <v>199.39971491228067</v>
      </c>
      <c r="HH254" s="39">
        <v>222.92337580362675</v>
      </c>
      <c r="HI254" s="16"/>
      <c r="HJ254" s="19" t="str">
        <f t="shared" si="761"/>
        <v>On</v>
      </c>
      <c r="HK254" s="1" t="str">
        <f t="shared" si="761"/>
        <v>On</v>
      </c>
      <c r="HL254" s="16"/>
      <c r="HM254" s="639">
        <f t="shared" si="634"/>
        <v>1.2768706344444866E-2</v>
      </c>
      <c r="HN254" s="639">
        <f t="shared" si="635"/>
        <v>9.795534288915453E-4</v>
      </c>
      <c r="HO254" s="639">
        <f t="shared" si="636"/>
        <v>3.3583061774515237E-3</v>
      </c>
      <c r="HP254" s="644">
        <f>(FT254*$GD254-HM254)/$JF254*INDEX(Input!$1:$1048576,$JG$93,$C254*2+6)</f>
        <v>3.4272366006036363</v>
      </c>
      <c r="HQ254" s="644">
        <f>(FU254*$GD254-HN254)/$JF254*INDEX(Input!$1:$1048576,$JG$93,$C254*2+6)</f>
        <v>44.90176560588376</v>
      </c>
      <c r="HR254" s="644">
        <f>(FV254*$GD254-HO254)/$JF254*INDEX(Input!$1:$1048576,$JG$93,$C254*2+6)</f>
        <v>-41.287169454664877</v>
      </c>
      <c r="HS254" s="644">
        <f t="shared" si="754"/>
        <v>-3.3716488299847689</v>
      </c>
      <c r="HT254" s="644">
        <f t="shared" si="638"/>
        <v>55.191431614678947</v>
      </c>
      <c r="HU254" s="644">
        <f t="shared" si="639"/>
        <v>-5.0893958495293194</v>
      </c>
      <c r="HV254" s="648">
        <f t="shared" si="640"/>
        <v>0</v>
      </c>
      <c r="HW254" s="648">
        <f t="shared" si="641"/>
        <v>0</v>
      </c>
      <c r="HX254" s="648">
        <f t="shared" si="642"/>
        <v>0</v>
      </c>
      <c r="HY254" s="644">
        <f>INDEX(Input!$1:$1048576,HY$93,$C254*2+6)*INDEX(Input!$1:$1048576,$JG$93,$C254*2+6)</f>
        <v>451</v>
      </c>
      <c r="HZ254" s="644">
        <f>INDEX(Input!$1:$1048576,HZ$93,$C254*2+6)*INDEX(Input!$1:$1048576,$JG$93,$C254*2+6)</f>
        <v>577</v>
      </c>
      <c r="IA254" s="644">
        <f>INDEX(Input!$1:$1048576,IA$93,$C254*2+6)*INDEX(Input!$1:$1048576,$JG$93,$C254*2+6)</f>
        <v>215</v>
      </c>
      <c r="IB254" s="644">
        <f t="shared" si="666"/>
        <v>451.05558777061901</v>
      </c>
      <c r="IC254" s="644">
        <f t="shared" si="667"/>
        <v>677.09319722056262</v>
      </c>
      <c r="ID254" s="644">
        <f>IF(AND(INDEX(Input!$1:$1048576,IA$93,$C254*2+7)="TOS",Y254&lt;=INDEX(Y:Y,MATCH(C254*1000+2,A:A))),0,1)*MAX(IA254+HR254+HU254+HX254,0%)</f>
        <v>168.6234346958058</v>
      </c>
      <c r="IE254" s="128">
        <f t="shared" si="759"/>
        <v>0.34782946528534825</v>
      </c>
      <c r="IF254" s="128">
        <f t="shared" si="643"/>
        <v>0.52213733988224864</v>
      </c>
      <c r="IG254" s="128">
        <f t="shared" si="644"/>
        <v>0.13003319483240305</v>
      </c>
      <c r="IH254" s="21"/>
      <c r="II254" s="19">
        <f t="shared" si="645"/>
        <v>1252</v>
      </c>
      <c r="IJ254" s="19">
        <f t="shared" si="646"/>
        <v>2011.9658773055378</v>
      </c>
      <c r="IK254" s="19">
        <f t="shared" si="647"/>
        <v>919</v>
      </c>
      <c r="IL254" s="19">
        <f t="shared" si="669"/>
        <v>41.999999999999773</v>
      </c>
      <c r="IM254" s="19">
        <f t="shared" si="648"/>
        <v>686.03969145120368</v>
      </c>
      <c r="IN254" s="19">
        <f t="shared" si="649"/>
        <v>-333</v>
      </c>
      <c r="IO254" s="39">
        <f t="shared" si="650"/>
        <v>0</v>
      </c>
      <c r="IP254" s="39">
        <f t="shared" si="651"/>
        <v>0</v>
      </c>
      <c r="IQ254" s="39">
        <f t="shared" si="652"/>
        <v>0</v>
      </c>
      <c r="IR254" s="39">
        <v>0</v>
      </c>
      <c r="IS254" s="39">
        <v>0</v>
      </c>
      <c r="IT254" s="39">
        <v>0</v>
      </c>
      <c r="IU254" s="39">
        <v>0</v>
      </c>
      <c r="IV254" s="39">
        <v>0</v>
      </c>
      <c r="IW254" s="39">
        <v>0</v>
      </c>
      <c r="IX254" s="39">
        <f>INDEX(Input!$1:$1048576,IX$93,$C254*2+6)+INDEX(Input!$1:$1048576,IX$94,$C254*2+6)</f>
        <v>1294</v>
      </c>
      <c r="IY254" s="39">
        <f>INDEX(Input!$1:$1048576,IY$93,$C254*2+6)+INDEX(Input!$1:$1048576,IY$94,$C254*2+6)</f>
        <v>2154.0624533823611</v>
      </c>
      <c r="IZ254" s="39">
        <f>INDEX(Input!$1:$1048576,IZ$93,$C254*2+6)+INDEX(Input!$1:$1048576,IZ$94,$C254*2+6)</f>
        <v>3677.7164157747848</v>
      </c>
      <c r="JA254" s="19">
        <f t="shared" si="670"/>
        <v>1335.9999999999998</v>
      </c>
      <c r="JB254" s="19">
        <f t="shared" si="671"/>
        <v>2840.102144833565</v>
      </c>
      <c r="JC254" s="19">
        <f t="shared" si="672"/>
        <v>3344.7164157747848</v>
      </c>
      <c r="JD254" s="19">
        <f t="shared" si="673"/>
        <v>2382.5477058700708</v>
      </c>
      <c r="JE254" s="21"/>
      <c r="JF254" s="1">
        <f t="shared" si="653"/>
        <v>1.7106565950787935E-2</v>
      </c>
      <c r="JG254" s="15">
        <f>INDEX(Input!$1:$1048576,JG$93,$C254*2+6)/(1+VLOOKUP(C254*1000+INDEX(Input!$1:$1048576,JG$93+1,$C254*2+6),$A:$KK,$JK$92,FALSE))</f>
        <v>1243</v>
      </c>
      <c r="JH254" s="1">
        <f t="shared" si="674"/>
        <v>5.6651912725844879E-3</v>
      </c>
      <c r="JI254" s="1">
        <f t="shared" si="675"/>
        <v>3.7594840655804394E-2</v>
      </c>
      <c r="JJ254" s="1">
        <f t="shared" si="731"/>
        <v>0</v>
      </c>
      <c r="JK254" s="1">
        <f t="shared" si="732"/>
        <v>4.3260031928388884E-2</v>
      </c>
      <c r="JL254" s="15">
        <f t="shared" si="678"/>
        <v>53.772219686987384</v>
      </c>
      <c r="JM254" s="15">
        <f t="shared" si="702"/>
        <v>1296.7722196869875</v>
      </c>
      <c r="JN254" s="21"/>
      <c r="JO254" s="19">
        <f>INDEX(Input!$1:$1048576,JO$93,$C254*2+6)</f>
        <v>5995.5</v>
      </c>
      <c r="JP254" s="19">
        <f>INDEX(Input!$1:$1048576,JP$93,$C254*2+6)</f>
        <v>2105.548724853742</v>
      </c>
      <c r="JQ254" s="39">
        <f t="shared" si="688"/>
        <v>3612.9522941299292</v>
      </c>
      <c r="JR254" s="39">
        <f t="shared" si="705"/>
        <v>276.9989810163288</v>
      </c>
      <c r="JS254" s="39">
        <f t="shared" si="690"/>
        <v>3.0896216770512712</v>
      </c>
      <c r="JT254" s="39">
        <f t="shared" si="680"/>
        <v>0.47242461205807001</v>
      </c>
      <c r="JU254" s="385">
        <f>(JQ254*JM254-INDEX(Input!$1:$1048576,Input!A$18,$C254*2+6)*JL254*INDEX(Input!$1:$1048576,Input!A$19,$C254*2+6))/1000000</f>
        <v>4.6851761660820621</v>
      </c>
      <c r="JV254" s="39">
        <f t="shared" si="712"/>
        <v>-0.15003326892473634</v>
      </c>
      <c r="JW254" s="1">
        <f t="shared" si="703"/>
        <v>-3.1029321674982499E-2</v>
      </c>
      <c r="JX254" s="19">
        <f t="shared" si="694"/>
        <v>8785.6632069141542</v>
      </c>
      <c r="JZ254" s="341"/>
      <c r="KA254" s="342"/>
      <c r="KB254" s="469">
        <f t="shared" si="691"/>
        <v>2.5660492421988774</v>
      </c>
      <c r="KI254" s="473">
        <f t="shared" si="756"/>
        <v>5.5587770619013099E-2</v>
      </c>
      <c r="KJ254" s="473">
        <f t="shared" si="757"/>
        <v>100.09319722056262</v>
      </c>
      <c r="KK254" s="473">
        <f t="shared" si="682"/>
        <v>-46.376565304194173</v>
      </c>
      <c r="KN254" s="544">
        <f t="shared" si="695"/>
        <v>2002</v>
      </c>
      <c r="KO254" s="541">
        <f t="shared" si="657"/>
        <v>3.7113408508560486E-2</v>
      </c>
      <c r="KP254" s="546">
        <f t="shared" si="658"/>
        <v>289.46462766194043</v>
      </c>
      <c r="KQ254" s="546">
        <f t="shared" si="659"/>
        <v>238.86736643659788</v>
      </c>
      <c r="KR254" s="548">
        <f t="shared" si="660"/>
        <v>2.2875063880611028</v>
      </c>
      <c r="KS254" s="548">
        <f t="shared" si="661"/>
        <v>2.7720495887418388</v>
      </c>
      <c r="KT254" s="473">
        <f t="shared" si="693"/>
        <v>843.26993010479111</v>
      </c>
      <c r="KU254" s="663">
        <f t="shared" si="683"/>
        <v>4.5110809020742968</v>
      </c>
      <c r="KV254" s="117"/>
    </row>
    <row r="255" spans="1:308" s="26" customFormat="1" ht="15" outlineLevel="1">
      <c r="A255" s="561">
        <f t="shared" si="662"/>
        <v>2055</v>
      </c>
      <c r="B255" s="561">
        <f t="shared" si="684"/>
        <v>55</v>
      </c>
      <c r="C255" s="561">
        <f t="shared" si="760"/>
        <v>2</v>
      </c>
      <c r="D255" s="561" t="str">
        <f t="shared" si="728"/>
        <v xml:space="preserve">500 CC, 500 Combo, 360 Lease, </v>
      </c>
      <c r="E255" s="475">
        <f>INDEX(Input!$1:$1048576,E$93,$C255*2+MIN($B255,2)+5)
+INDEX(Scenarios!E$121:E$200,MATCH($B255,Scenarios!$B$121:$B$200,0))</f>
        <v>1769.7618664521319</v>
      </c>
      <c r="F255" s="475">
        <f>INDEX(Input!$1:$1048576,F$93,$C255*2+MIN($B255,2)+5)
+INDEX(Scenarios!F$121:F$200,MATCH($B255,Scenarios!$B$121:$B$200,0))</f>
        <v>0</v>
      </c>
      <c r="G255" s="475">
        <f>INDEX(Input!$1:$1048576,G$93,$C255*2+MIN($B255,2)+5)
+INDEX(Scenarios!G$121:G$200,MATCH($B255,Scenarios!$B$121:$B$200,0))</f>
        <v>0</v>
      </c>
      <c r="H255" s="475">
        <f>INDEX(Input!$1:$1048576,H$93,$C255*2+MIN($B255,2)+5)
+INDEX(Scenarios!H$121:H$200,MATCH($B255,Scenarios!$B$121:$B$200,0))</f>
        <v>0</v>
      </c>
      <c r="I255" s="476">
        <f>INDEX(Input!$1:$1048576,I$93,$C255*2+MIN($B255,2)+5)</f>
        <v>0.7</v>
      </c>
      <c r="J255" s="476" t="str">
        <f>INDEX(Input!$1:$1048576,J$93,$C255*2+MIN($B255,2)+5)</f>
        <v>Market</v>
      </c>
      <c r="K255" s="476" t="str">
        <f>INDEX(Input!$1:$1048576,K$93,$C255*2+MIN($B255,2)+5)</f>
        <v>Market</v>
      </c>
      <c r="L255" s="476" t="str">
        <f>INDEX(Input!$1:$1048576,L$93,$C255*2+MIN($B255,2)+5)</f>
        <v>Market</v>
      </c>
      <c r="M255" s="476" t="str">
        <f>INDEX(Input!$1:$1048576,M$93,$C255*2+MIN($B255,2)+5)</f>
        <v>Market</v>
      </c>
      <c r="N255" s="476" t="str">
        <f>INDEX(Input!$1:$1048576,N$93,$C255*2+MIN($B255,2)+5)</f>
        <v>Market</v>
      </c>
      <c r="O255" s="476" t="str">
        <f>INDEX(Input!$1:$1048576,O$93,$C255*2+MIN($B255,2)+5)</f>
        <v>Market</v>
      </c>
      <c r="P255" s="476" t="str">
        <f>INDEX(Input!$1:$1048576,P$93,$C255*2+MIN($B255,2)+5)</f>
        <v>N</v>
      </c>
      <c r="Q255" s="477">
        <f>INDEX(Input!$1:$1048576,Q$93,$C255*2+MIN($B255,2)+5)
+INDEX(Scenarios!Q$121:Q$200,MATCH($B255,Scenarios!$B$121:$B$200,0))</f>
        <v>500</v>
      </c>
      <c r="R255" s="478">
        <f>IFERROR(MAX(0,INDEX(Input!$1:$1048576,R$93,$C255*2+MIN($B255,2)+5)
+INDEX(Scenarios!R$121:R$200,MATCH($B255,Scenarios!$B$121:$B$200,0)),),"Market")</f>
        <v>0</v>
      </c>
      <c r="S255" s="478">
        <f>IFERROR(MAX(0,INDEX(Input!$1:$1048576,S$93,$C255*2+MIN($B255,2)+5)
+INDEX(Scenarios!S$121:S$200,MATCH($B255,Scenarios!$B$121:$B$200,0)),),"Market")</f>
        <v>0</v>
      </c>
      <c r="T255" s="478">
        <f>IFERROR(MAX(0,INDEX(Input!$1:$1048576,T$93,$C255*2+MIN($B255,2)+5)
+INDEX(Scenarios!T$121:T$200,MATCH($B255,Scenarios!$B$121:$B$200,0)),),"Market")</f>
        <v>0</v>
      </c>
      <c r="U255" s="478">
        <f>IFERROR(MAX(0,INDEX(Input!$1:$1048576,U$93,$C255*2+MIN($B255,2)+5)
+INDEX(Scenarios!U$121:U$200,MATCH($B255,Scenarios!$B$121:$B$200,0)),),"Market")</f>
        <v>0</v>
      </c>
      <c r="V255" s="478">
        <f>IFERROR(MAX(0,INDEX(Input!$1:$1048576,V$93,$C255*2+MIN($B255,2)+5)
+INDEX(Scenarios!V$121:V$200,MATCH($B255,Scenarios!$B$121:$B$200,0)),),"Market")</f>
        <v>1.9E-2</v>
      </c>
      <c r="W255" s="885">
        <f>IFERROR(MAX(0,INDEX(Input!$1:$1048576,W$93,$C255*2+MIN($B255,2)+5)-0%,),"Market")</f>
        <v>3.9E-2</v>
      </c>
      <c r="X255" s="476" t="str">
        <f>INDEX(Input!$1:$1048576,X$93,$C255*2+MIN($B255,2)+5)</f>
        <v>Y</v>
      </c>
      <c r="Y255" s="475">
        <f>INDEX(Input!$1:$1048576,Y$93,$C255*2+MIN($B255,2)+5)
++INDEX(Scenarios!Y$121:Y$200,MATCH($B255,Scenarios!$B$121:$B$200,0))</f>
        <v>416</v>
      </c>
      <c r="Z255" s="477">
        <f>INDEX(Input!$1:$1048576,Z$93,$C255*2+MIN($B255,2)+5)
+INDEX(Scenarios!Z$121:Z$200,MATCH($B255,Scenarios!$B$121:$B$200,0))</f>
        <v>0</v>
      </c>
      <c r="AA255" s="475">
        <f>INDEX(Input!$1:$1048576,AA$93,$C255*2+MIN($B255,2)+5)
+INDEX(Scenarios!AA$121:AA$200,MATCH($B255,Scenarios!$B$121:$B$200,0))</f>
        <v>0</v>
      </c>
      <c r="AB255" s="476">
        <f>INDEX(Input!$1:$1048576,AB$93,$C255*2+MIN($B255,2)+5)</f>
        <v>0.27</v>
      </c>
      <c r="AC255" s="475">
        <f>INDEX(Input!$1:$1048576,AC$93,$C255*2+MIN($B255,2)+5)
+INDEX(Scenarios!AC$121:AC$200,MATCH($B255,Scenarios!$B$121:$B$200,0))</f>
        <v>0</v>
      </c>
      <c r="AD255" s="476">
        <f>INDEX(Input!$1:$1048576,AD$93,$C255*2+MIN($B255,2)+5)</f>
        <v>0.27</v>
      </c>
      <c r="AE255" s="475">
        <f>INDEX(Input!$1:$1048576,AE$93,$C255*2+MIN($B255,2)+5)
+INDEX(Scenarios!AE$121:AE$200,MATCH($B255,Scenarios!$B$121:$B$200,0))</f>
        <v>0</v>
      </c>
      <c r="AF255" s="476">
        <f>INDEX(Input!$1:$1048576,AF$93,$C255*2+MIN($B255,2)+5)</f>
        <v>4.8000000000000001E-2</v>
      </c>
      <c r="AG255" s="475">
        <f>INDEX(Input!$1:$1048576,AG$93,$C255*2+MIN($B255,2)+5)
+INDEX(Scenarios!AG$121:AG$200,MATCH($B255,Scenarios!$B$121:$B$200,0))</f>
        <v>500</v>
      </c>
      <c r="AH255" s="476">
        <f>INDEX(Input!$1:$1048576,AH$93,$C255*2+MIN($B255,2)+5)</f>
        <v>0.94599999999999995</v>
      </c>
      <c r="AI255" s="475">
        <f>INDEX(Input!$1:$1048576,AI$93,$C255*2+MIN($B255,2)+5)
+INDEX(Scenarios!AI$121:AI$200,MATCH($B255,Scenarios!$B$121:$B$200,0))</f>
        <v>0</v>
      </c>
      <c r="AJ255" s="476">
        <f>INDEX(Input!$1:$1048576,AJ$93,$C255*2+MIN($B255,2)+5)</f>
        <v>0.27</v>
      </c>
      <c r="AK255" s="150">
        <f>ROUND(INDEX(Input!$1:$1048576,AK$93,$C254*2+MIN($B255,1)+5)+(Y255-VLOOKUP($C255*1000+1,$A:$HH,Y$92,FALSE)),0)</f>
        <v>3337</v>
      </c>
      <c r="AL255" s="150">
        <f>ROUND(INDEX(Input!$1:$1048576,AL$93,$C254*2+MIN($B255,1)+5)-(Y255-VLOOKUP($C255*1000+1,$A:$HH,Y$92,FALSE))/36,0)</f>
        <v>3385</v>
      </c>
      <c r="AM255" s="32" t="str">
        <f t="shared" si="663"/>
        <v>std/std/std/std</v>
      </c>
      <c r="AN255" s="32" t="str">
        <f t="shared" si="664"/>
        <v>$500 + 0/0/0/1.9/3.9</v>
      </c>
      <c r="AO255" s="32" t="str">
        <f t="shared" si="665"/>
        <v>0/0/0/1.9/3.9</v>
      </c>
      <c r="AP255" s="32" t="str">
        <f t="shared" si="734"/>
        <v>0/0.9/1.9/3.9</v>
      </c>
      <c r="AQ255" s="536">
        <f t="shared" si="733"/>
        <v>0.36859080098166019</v>
      </c>
      <c r="AR255" s="32"/>
      <c r="AS255" s="302"/>
      <c r="AT255" s="3">
        <f t="shared" si="717"/>
        <v>55</v>
      </c>
      <c r="AU255" s="41" t="s">
        <v>121</v>
      </c>
      <c r="AV255" s="41" t="s">
        <v>116</v>
      </c>
      <c r="AW255" s="41" t="str">
        <f>INDEX(Input!$1:$1048576,AW$93,$C255*2+6)</f>
        <v>Kia</v>
      </c>
      <c r="AX255" s="41" t="str">
        <f>INDEX(Input!$1:$1048576,AX$93,$C255*2+6)</f>
        <v>Kia-LR - L2</v>
      </c>
      <c r="AY255" s="41" t="str">
        <f>IF(LEN(D255)=0,"",INDEX(Input!$1:$1048576,AY$93,$C255*2+6))</f>
        <v>Compact SUV (52)</v>
      </c>
      <c r="AZ255" s="41" t="str">
        <f>INDEX(Input!$1:$1048576,AZ$93,$C255*2+6)</f>
        <v>Kia Soul</v>
      </c>
      <c r="BA255" s="3">
        <f>INDEX(Input!$1:$1048576,BA$93,$C255*2+6)</f>
        <v>2020</v>
      </c>
      <c r="BB255" s="128">
        <f>INDEX(Input!$1:$1048576,BB$93,$C255*2+6)</f>
        <v>1</v>
      </c>
      <c r="BC255" s="128">
        <f>INDEX(Input!$1:$1048576,BC$93,$C255*2+6)</f>
        <v>0.7</v>
      </c>
      <c r="BD255" s="1">
        <f>INDEX(Input!$1:$1048576,BD$93,$C255*2+6)</f>
        <v>4.4999999999999998E-2</v>
      </c>
      <c r="BE255" s="1">
        <f>INDEX(Input!$1:$1048576,BE$93,$C255*2+6)</f>
        <v>4.4999999999999998E-2</v>
      </c>
      <c r="BF255" s="1">
        <f>INDEX(Input!$1:$1048576,BF$93,$C255*2+6)</f>
        <v>0.05</v>
      </c>
      <c r="BG255" s="1">
        <f>INDEX(Input!$1:$1048576,BG$93,$C255*2+6)</f>
        <v>5.45E-2</v>
      </c>
      <c r="BH255" s="1">
        <f>INDEX(Input!$1:$1048576,BH$93,$C255*2+6)</f>
        <v>5.45E-2</v>
      </c>
      <c r="BI255" s="1">
        <f>INDEX(Input!$1:$1048576,BI$93,$C255*2+6)</f>
        <v>0.05</v>
      </c>
      <c r="BJ255" s="1">
        <f>INDEX(Input!$1:$1048576,BJ$93,$C255*2+6)</f>
        <v>0.05</v>
      </c>
      <c r="BK255" s="1">
        <f>INDEX(Input!$1:$1048576,BK$93,$C255*2+6)</f>
        <v>0.05</v>
      </c>
      <c r="BL255" s="1">
        <f>INDEX(Input!$1:$1048576,BL$93,$C255*2+6)</f>
        <v>5.5E-2</v>
      </c>
      <c r="BM255" s="1">
        <f>INDEX(Input!$1:$1048576,BM$93,$C255*2+6)</f>
        <v>0.06</v>
      </c>
      <c r="BN255" s="1">
        <f>INDEX(Input!$1:$1048576,BN$93,$C255*2+6)</f>
        <v>4.4999999999999998E-2</v>
      </c>
      <c r="BO255" s="1">
        <f>INDEX(Input!$1:$1048576,BO$93,$C255*2+6)</f>
        <v>4.4999999999999998E-2</v>
      </c>
      <c r="BP255" s="1">
        <f>INDEX(Input!$1:$1048576,BP$93,$C255*2+6)</f>
        <v>0.05</v>
      </c>
      <c r="BQ255" s="1">
        <f>INDEX(Input!$1:$1048576,BQ$93,$C255*2+6)</f>
        <v>5.45E-2</v>
      </c>
      <c r="BR255" s="1">
        <f>INDEX(Input!$1:$1048576,BR$93,$C255*2+6)</f>
        <v>5.45E-2</v>
      </c>
      <c r="BS255" s="1">
        <f>INDEX(Input!$1:$1048576,BS$93,$C255*2+6)</f>
        <v>0.05</v>
      </c>
      <c r="BT255" s="1">
        <f>INDEX(Input!$1:$1048576,BT$93,$C255*2+6)</f>
        <v>0.05</v>
      </c>
      <c r="BU255" s="1">
        <f>INDEX(Input!$1:$1048576,BU$93,$C255*2+6)</f>
        <v>0.05</v>
      </c>
      <c r="BV255" s="1">
        <f>INDEX(Input!$1:$1048576,BV$93,$C255*2+6)</f>
        <v>5.5E-2</v>
      </c>
      <c r="BW255" s="1">
        <f>INDEX(Input!$1:$1048576,BW$93,$C255*2+6)</f>
        <v>0.06</v>
      </c>
      <c r="BX255" s="127">
        <f>INDEX(Input!$1:$1048576,BX$93,$C255*2+6)</f>
        <v>19985</v>
      </c>
      <c r="BY255" s="20">
        <f>INDEX(Input!$1:$1048576,BY$93,$C255*2+6)</f>
        <v>0.1</v>
      </c>
      <c r="BZ255" s="20">
        <f>INDEX(Input!$1:$1048576,BZ$93,$C255*2+6)</f>
        <v>0.1</v>
      </c>
      <c r="CA255" s="20">
        <f>INDEX(Input!$1:$1048576,CA$93,$C255*2+6)</f>
        <v>0.1</v>
      </c>
      <c r="CB255" s="20">
        <f>INDEX(Input!$1:$1048576,CB$93,$C255*2+6)</f>
        <v>0.1</v>
      </c>
      <c r="CC255" s="20">
        <f>INDEX(Input!$1:$1048576,CC$93,$C255*2+6)</f>
        <v>0.1</v>
      </c>
      <c r="CD255" s="384">
        <f>INDEX(Input!$1:$1048576,CD$93,$C255*2+6)</f>
        <v>0.1</v>
      </c>
      <c r="CE255" s="384">
        <f>INDEX(Input!$1:$1048576,CE$93,$C255*2+6)</f>
        <v>0.1</v>
      </c>
      <c r="CF255" s="384">
        <f>INDEX(Input!$1:$1048576,CF$93,$C255*2+6)</f>
        <v>0.1</v>
      </c>
      <c r="CG255" s="384">
        <f>INDEX(Input!$1:$1048576,CG$93,$C255*2+6)</f>
        <v>0.1</v>
      </c>
      <c r="CH255" s="384">
        <f>INDEX(Input!$1:$1048576,CH$93,$C255*2+6)</f>
        <v>0.1</v>
      </c>
      <c r="CI255" s="304">
        <f t="shared" si="735"/>
        <v>1769.7618664521319</v>
      </c>
      <c r="CJ255" s="16" t="str">
        <f>INDEX(Input!$1:$1048576,CJ$93,$C255*2+6)</f>
        <v>N</v>
      </c>
      <c r="CK255" s="1" t="str">
        <f t="shared" si="736"/>
        <v>Market</v>
      </c>
      <c r="CL255" s="1" t="str">
        <f t="shared" si="737"/>
        <v>Market</v>
      </c>
      <c r="CM255" s="1" t="str">
        <f t="shared" si="738"/>
        <v>Market</v>
      </c>
      <c r="CN255" s="1" t="str">
        <f t="shared" si="739"/>
        <v>Market</v>
      </c>
      <c r="CO255" s="1" t="str">
        <f t="shared" si="740"/>
        <v>Market</v>
      </c>
      <c r="CP255" s="304">
        <f t="shared" si="741"/>
        <v>973</v>
      </c>
      <c r="CQ255" s="1">
        <f t="shared" si="742"/>
        <v>0</v>
      </c>
      <c r="CR255" s="1">
        <f t="shared" si="743"/>
        <v>0</v>
      </c>
      <c r="CS255" s="1">
        <f t="shared" si="744"/>
        <v>0</v>
      </c>
      <c r="CT255" s="1">
        <f t="shared" si="745"/>
        <v>1.9E-2</v>
      </c>
      <c r="CU255" s="1">
        <f t="shared" si="746"/>
        <v>3.9E-2</v>
      </c>
      <c r="CV255" s="304">
        <f t="shared" si="747"/>
        <v>416</v>
      </c>
      <c r="CW255" s="20" t="s">
        <v>122</v>
      </c>
      <c r="CX255" s="20" t="s">
        <v>122</v>
      </c>
      <c r="CY255" s="20" t="s">
        <v>122</v>
      </c>
      <c r="CZ255" s="20" t="s">
        <v>122</v>
      </c>
      <c r="DA255" s="20" t="s">
        <v>122</v>
      </c>
      <c r="DB255" s="503">
        <f t="shared" si="748"/>
        <v>0</v>
      </c>
      <c r="DC255" s="127">
        <v>0</v>
      </c>
      <c r="DD255" s="127">
        <v>0</v>
      </c>
      <c r="DE255" s="127">
        <v>0</v>
      </c>
      <c r="DF255" s="127">
        <v>0</v>
      </c>
      <c r="DG255" s="127">
        <v>0</v>
      </c>
      <c r="DH255" s="127">
        <v>0</v>
      </c>
      <c r="DI255" s="127">
        <v>0</v>
      </c>
      <c r="DJ255" s="127">
        <v>0</v>
      </c>
      <c r="DK255" s="127">
        <v>0</v>
      </c>
      <c r="DL255" s="127">
        <v>0</v>
      </c>
      <c r="DM255" s="304">
        <f>INDEX(Input!$1:$1048576,DM$93,$C255*2+6)</f>
        <v>21036.84210526316</v>
      </c>
      <c r="DN255" s="20">
        <v>0</v>
      </c>
      <c r="DO255" s="20">
        <v>0</v>
      </c>
      <c r="DP255" s="20">
        <v>0</v>
      </c>
      <c r="DQ255" s="20">
        <v>0</v>
      </c>
      <c r="DR255" s="20">
        <v>0</v>
      </c>
      <c r="DS255" s="20">
        <f>INDEX(Input!$1:$1048576,DS$93,$C255*2+6)</f>
        <v>0.6</v>
      </c>
      <c r="DT255" s="20">
        <f>INDEX(Input!$1:$1048576,DT$93,$C255*2+6)</f>
        <v>0.55000000000000004</v>
      </c>
      <c r="DU255" s="20">
        <f>INDEX(Input!$1:$1048576,DU$93,$C255*2+6)</f>
        <v>0.52</v>
      </c>
      <c r="DV255" s="20">
        <f>INDEX(Input!$1:$1048576,DV$93,$C255*2+6)</f>
        <v>0.5</v>
      </c>
      <c r="DW255" s="20">
        <f>INDEX(Input!$1:$1048576,DW$93,$C255*2+6)</f>
        <v>0.45</v>
      </c>
      <c r="DX255" s="20"/>
      <c r="DY255" s="7">
        <v>9.9656441352131725E-2</v>
      </c>
      <c r="DZ255" s="7">
        <v>0</v>
      </c>
      <c r="EA255" s="7">
        <v>0.65970944290995559</v>
      </c>
      <c r="EB255" s="7">
        <v>0</v>
      </c>
      <c r="EC255" s="7">
        <v>0</v>
      </c>
      <c r="ED255" s="7">
        <v>0</v>
      </c>
      <c r="EE255" s="7">
        <v>0</v>
      </c>
      <c r="EF255" s="7">
        <v>0</v>
      </c>
      <c r="EG255" s="7">
        <v>0</v>
      </c>
      <c r="EH255" s="7">
        <v>1.4261537219315742E-2</v>
      </c>
      <c r="EI255" s="7">
        <v>4.0592513964716151E-2</v>
      </c>
      <c r="EJ255" s="7">
        <v>0.30725403503945897</v>
      </c>
      <c r="EK255" s="7">
        <v>0.52670131131490672</v>
      </c>
      <c r="EL255" s="7">
        <v>0.11119060246160194</v>
      </c>
      <c r="EM255" s="7">
        <v>5.7721774242624986E-2</v>
      </c>
      <c r="EN255" s="7">
        <v>6.6790783606878415E-2</v>
      </c>
      <c r="EO255" s="7">
        <v>0.74265456515860273</v>
      </c>
      <c r="EP255" s="7">
        <v>8.2307308961675693E-2</v>
      </c>
      <c r="EQ255" s="7">
        <v>7.0172538439722001E-2</v>
      </c>
      <c r="ER255" s="7">
        <v>3.8074803833121111E-2</v>
      </c>
      <c r="ES255" s="7">
        <v>0.18291234149528762</v>
      </c>
      <c r="ET255" s="7">
        <v>0.24063411573791263</v>
      </c>
      <c r="EU255" s="6">
        <v>1794</v>
      </c>
      <c r="EV255" s="6">
        <v>0</v>
      </c>
      <c r="EW255" s="6">
        <v>1794</v>
      </c>
      <c r="EX255" s="6">
        <v>0</v>
      </c>
      <c r="EY255" s="6">
        <v>2553.9739128585352</v>
      </c>
      <c r="EZ255" s="6">
        <v>1306</v>
      </c>
      <c r="FA255" s="6">
        <v>0</v>
      </c>
      <c r="FB255" s="6">
        <v>0</v>
      </c>
      <c r="FC255" s="6">
        <v>0</v>
      </c>
      <c r="FD255" s="6">
        <v>0</v>
      </c>
      <c r="FE255" s="6">
        <v>0</v>
      </c>
      <c r="FF255" s="6">
        <v>0</v>
      </c>
      <c r="FG255" s="6">
        <v>0</v>
      </c>
      <c r="FH255" s="6">
        <v>1173.7308794470875</v>
      </c>
      <c r="FI255" s="6">
        <v>1553.9796069512392</v>
      </c>
      <c r="FJ255" s="6">
        <v>2101.211011744741</v>
      </c>
      <c r="FK255" s="6">
        <v>1772.713997862324</v>
      </c>
      <c r="FL255" s="6">
        <v>907.07682140966369</v>
      </c>
      <c r="FM255" s="6">
        <v>1759.973912858535</v>
      </c>
      <c r="FN255" s="6">
        <v>0</v>
      </c>
      <c r="FO255" s="6">
        <v>0</v>
      </c>
      <c r="FP255" s="6">
        <v>0</v>
      </c>
      <c r="FQ255" s="6">
        <v>0</v>
      </c>
      <c r="FR255" s="6">
        <v>0</v>
      </c>
      <c r="FS255" s="6">
        <v>0</v>
      </c>
      <c r="FT255" s="7">
        <v>0.75936588426208729</v>
      </c>
      <c r="FU255" s="7">
        <v>5.7721774242624986E-2</v>
      </c>
      <c r="FV255" s="7">
        <v>0.18291234149528762</v>
      </c>
      <c r="FW255" s="6">
        <v>1794</v>
      </c>
      <c r="FX255" s="6">
        <v>2553.9739128585352</v>
      </c>
      <c r="FY255" s="6">
        <v>1306</v>
      </c>
      <c r="FZ255" s="6">
        <v>1817.4615072224267</v>
      </c>
      <c r="GA255" s="6">
        <v>1748.6058199786041</v>
      </c>
      <c r="GB255" s="6">
        <v>18236.394180021394</v>
      </c>
      <c r="GC255" s="7">
        <v>1.804905384453976E-2</v>
      </c>
      <c r="GD255" s="7">
        <v>1.823331746875995E-2</v>
      </c>
      <c r="GE255" s="7"/>
      <c r="GF255" s="7"/>
      <c r="GG255" s="7">
        <v>1.0209046180885197E-2</v>
      </c>
      <c r="GH255" s="42">
        <v>-2.9631217999831256</v>
      </c>
      <c r="GI255" s="6">
        <v>-4995.9701202050883</v>
      </c>
      <c r="GJ255" s="14">
        <v>0.50394797582841711</v>
      </c>
      <c r="GK255" s="14">
        <v>0.50887573065309732</v>
      </c>
      <c r="GL255" s="14">
        <v>0.49605202417158262</v>
      </c>
      <c r="GM255" s="14">
        <v>0.49112426934690223</v>
      </c>
      <c r="GO255" s="5">
        <v>343.14810671672558</v>
      </c>
      <c r="GP255" s="5">
        <v>308.92200917413498</v>
      </c>
      <c r="GQ255" s="5">
        <v>535.04305713031317</v>
      </c>
      <c r="GR255" s="5">
        <v>410.15490233172511</v>
      </c>
      <c r="GS255" s="5">
        <v>339.42744393800166</v>
      </c>
      <c r="GT255" s="5">
        <v>293.4407446948278</v>
      </c>
      <c r="GU255" s="5">
        <v>258.04012322764959</v>
      </c>
      <c r="GV255" s="39" t="s">
        <v>392</v>
      </c>
      <c r="GW255" s="5">
        <v>477.56944444444446</v>
      </c>
      <c r="GX255" s="5">
        <v>358.17708333333331</v>
      </c>
      <c r="GY255" s="5">
        <v>286.54166666666669</v>
      </c>
      <c r="GZ255" s="5">
        <v>252.84278292684692</v>
      </c>
      <c r="HA255" s="5">
        <v>234.21038543079382</v>
      </c>
      <c r="HB255" s="39">
        <v>268.60588513696155</v>
      </c>
      <c r="HC255" s="5">
        <v>230.14687499999999</v>
      </c>
      <c r="HD255" s="5">
        <v>200.80677997076018</v>
      </c>
      <c r="HE255" s="5">
        <v>204.75485408232115</v>
      </c>
      <c r="HF255" s="5">
        <v>190.70750548245613</v>
      </c>
      <c r="HG255" s="5">
        <v>185.59971491228069</v>
      </c>
      <c r="HH255" s="39">
        <v>201.80368551834425</v>
      </c>
      <c r="HI255" s="16"/>
      <c r="HJ255" s="19" t="str">
        <f t="shared" si="761"/>
        <v>On</v>
      </c>
      <c r="HK255" s="1" t="str">
        <f t="shared" si="761"/>
        <v>On</v>
      </c>
      <c r="HL255" s="16"/>
      <c r="HM255" s="639">
        <f t="shared" si="634"/>
        <v>1.2768706344444866E-2</v>
      </c>
      <c r="HN255" s="639">
        <f t="shared" si="635"/>
        <v>9.795534288915453E-4</v>
      </c>
      <c r="HO255" s="639">
        <f t="shared" si="636"/>
        <v>3.3583061774515237E-3</v>
      </c>
      <c r="HP255" s="644">
        <f>(FT255*$GD255-HM255)/$JF255*INDEX(Input!$1:$1048576,$JG$93,$C255*2+6)</f>
        <v>78.260987995946778</v>
      </c>
      <c r="HQ255" s="644">
        <f>(FU255*$GD255-HN255)/$JF255*INDEX(Input!$1:$1048576,$JG$93,$C255*2+6)</f>
        <v>5.2975077165381883</v>
      </c>
      <c r="HR255" s="644">
        <f>(FV255*$GD255-HO255)/$JF255*INDEX(Input!$1:$1048576,$JG$93,$C255*2+6)</f>
        <v>-1.6862987520714789</v>
      </c>
      <c r="HS255" s="644">
        <f t="shared" si="754"/>
        <v>-34.359295526484061</v>
      </c>
      <c r="HT255" s="644">
        <f t="shared" si="638"/>
        <v>36.284436217508528</v>
      </c>
      <c r="HU255" s="644">
        <f t="shared" si="639"/>
        <v>15.888619652437391</v>
      </c>
      <c r="HV255" s="648">
        <f t="shared" si="640"/>
        <v>0</v>
      </c>
      <c r="HW255" s="648">
        <f t="shared" si="641"/>
        <v>0</v>
      </c>
      <c r="HX255" s="648">
        <f t="shared" si="642"/>
        <v>0</v>
      </c>
      <c r="HY255" s="644">
        <f>INDEX(Input!$1:$1048576,HY$93,$C255*2+6)*INDEX(Input!$1:$1048576,$JG$93,$C255*2+6)</f>
        <v>451</v>
      </c>
      <c r="HZ255" s="644">
        <f>INDEX(Input!$1:$1048576,HZ$93,$C255*2+6)*INDEX(Input!$1:$1048576,$JG$93,$C255*2+6)</f>
        <v>577</v>
      </c>
      <c r="IA255" s="644">
        <f>INDEX(Input!$1:$1048576,IA$93,$C255*2+6)*INDEX(Input!$1:$1048576,$JG$93,$C255*2+6)</f>
        <v>215</v>
      </c>
      <c r="IB255" s="644">
        <f t="shared" si="666"/>
        <v>494.9016924694626</v>
      </c>
      <c r="IC255" s="644">
        <f t="shared" si="667"/>
        <v>618.58194393404676</v>
      </c>
      <c r="ID255" s="644">
        <f>IF(AND(INDEX(Input!$1:$1048576,IA$93,$C255*2+7)="TOS",Y255&lt;=INDEX(Y:Y,MATCH(C255*1000+2,A:A))),0,1)*MAX(IA255+HR255+HU255+HX255,0%)</f>
        <v>229.20232090036592</v>
      </c>
      <c r="IE255" s="128">
        <f t="shared" si="759"/>
        <v>0.36859080098166019</v>
      </c>
      <c r="IF255" s="128">
        <f t="shared" si="643"/>
        <v>0.46070485847350673</v>
      </c>
      <c r="IG255" s="128">
        <f t="shared" si="644"/>
        <v>0.17070434054483308</v>
      </c>
      <c r="IH255" s="21"/>
      <c r="II255" s="19">
        <f t="shared" si="645"/>
        <v>1252</v>
      </c>
      <c r="IJ255" s="19">
        <f t="shared" si="646"/>
        <v>2011.9658773055378</v>
      </c>
      <c r="IK255" s="19">
        <f t="shared" si="647"/>
        <v>919</v>
      </c>
      <c r="IL255" s="19">
        <f t="shared" si="669"/>
        <v>542</v>
      </c>
      <c r="IM255" s="19">
        <f t="shared" si="648"/>
        <v>542.0080355529974</v>
      </c>
      <c r="IN255" s="19">
        <f t="shared" si="649"/>
        <v>387</v>
      </c>
      <c r="IO255" s="39">
        <f t="shared" si="650"/>
        <v>0</v>
      </c>
      <c r="IP255" s="39">
        <f t="shared" si="651"/>
        <v>0</v>
      </c>
      <c r="IQ255" s="39">
        <f t="shared" si="652"/>
        <v>0</v>
      </c>
      <c r="IR255" s="39">
        <v>0</v>
      </c>
      <c r="IS255" s="39">
        <v>0</v>
      </c>
      <c r="IT255" s="39">
        <v>0</v>
      </c>
      <c r="IU255" s="39">
        <v>0</v>
      </c>
      <c r="IV255" s="39">
        <v>0</v>
      </c>
      <c r="IW255" s="39">
        <v>0</v>
      </c>
      <c r="IX255" s="39">
        <f>INDEX(Input!$1:$1048576,IX$93,$C255*2+6)+INDEX(Input!$1:$1048576,IX$94,$C255*2+6)</f>
        <v>1294</v>
      </c>
      <c r="IY255" s="39">
        <f>INDEX(Input!$1:$1048576,IY$93,$C255*2+6)+INDEX(Input!$1:$1048576,IY$94,$C255*2+6)</f>
        <v>2154.0624533823611</v>
      </c>
      <c r="IZ255" s="39">
        <f>INDEX(Input!$1:$1048576,IZ$93,$C255*2+6)+INDEX(Input!$1:$1048576,IZ$94,$C255*2+6)</f>
        <v>3677.7164157747848</v>
      </c>
      <c r="JA255" s="19">
        <f t="shared" si="670"/>
        <v>1836</v>
      </c>
      <c r="JB255" s="19">
        <f t="shared" si="671"/>
        <v>2696.0704889353583</v>
      </c>
      <c r="JC255" s="19">
        <f t="shared" si="672"/>
        <v>4064.7164157747848</v>
      </c>
      <c r="JD255" s="19">
        <f t="shared" si="673"/>
        <v>2612.6902188984827</v>
      </c>
      <c r="JE255" s="21"/>
      <c r="JF255" s="1">
        <f t="shared" si="653"/>
        <v>1.7106565950787935E-2</v>
      </c>
      <c r="JG255" s="15">
        <f>INDEX(Input!$1:$1048576,JG$93,$C255*2+6)/(1+VLOOKUP(C255*1000+INDEX(Input!$1:$1048576,JG$93+1,$C255*2+6),$A:$KK,$JK$92,FALSE))</f>
        <v>1243</v>
      </c>
      <c r="JH255" s="1">
        <f t="shared" si="674"/>
        <v>6.5866610587621471E-2</v>
      </c>
      <c r="JI255" s="1">
        <f t="shared" si="675"/>
        <v>1.4331263349526837E-2</v>
      </c>
      <c r="JJ255" s="1">
        <f t="shared" si="731"/>
        <v>0</v>
      </c>
      <c r="JK255" s="1">
        <f t="shared" si="732"/>
        <v>8.0197873937148306E-2</v>
      </c>
      <c r="JL255" s="15">
        <f t="shared" si="678"/>
        <v>99.685957303875341</v>
      </c>
      <c r="JM255" s="15">
        <f t="shared" si="702"/>
        <v>1342.6859573038753</v>
      </c>
      <c r="JN255" s="21"/>
      <c r="JO255" s="19">
        <f>INDEX(Input!$1:$1048576,JO$93,$C255*2+6)</f>
        <v>5995.5</v>
      </c>
      <c r="JP255" s="19">
        <f>INDEX(Input!$1:$1048576,JP$93,$C255*2+6)</f>
        <v>2105.548724853742</v>
      </c>
      <c r="JQ255" s="39">
        <f t="shared" si="688"/>
        <v>3382.8097811015173</v>
      </c>
      <c r="JR255" s="39">
        <f t="shared" si="705"/>
        <v>507.14149404474074</v>
      </c>
      <c r="JS255" s="39">
        <f t="shared" si="690"/>
        <v>3.5080224677001808</v>
      </c>
      <c r="JT255" s="39">
        <f t="shared" si="680"/>
        <v>0.8908254027069793</v>
      </c>
      <c r="JU255" s="385">
        <f>(JQ255*JM255-INDEX(Input!$1:$1048576,Input!A$18,$C255*2+6)*JL255*INDEX(Input!$1:$1048576,Input!A$19,$C255*2+6))/1000000</f>
        <v>4.5420511893152034</v>
      </c>
      <c r="JV255" s="39">
        <f t="shared" si="712"/>
        <v>-0.2931582456915951</v>
      </c>
      <c r="JW255" s="1">
        <f t="shared" si="703"/>
        <v>-6.0629896105251727E-2</v>
      </c>
      <c r="JX255" s="19">
        <f t="shared" si="694"/>
        <v>8936.3178806765391</v>
      </c>
      <c r="JZ255" s="341"/>
      <c r="KA255" s="342"/>
      <c r="KB255" s="469">
        <f t="shared" si="691"/>
        <v>2.5660492421988774</v>
      </c>
      <c r="KI255" s="473">
        <f t="shared" si="756"/>
        <v>43.901692469462603</v>
      </c>
      <c r="KJ255" s="473">
        <f t="shared" si="757"/>
        <v>41.581943934046762</v>
      </c>
      <c r="KK255" s="473">
        <f t="shared" si="682"/>
        <v>14.202320900365919</v>
      </c>
      <c r="KN255" s="544">
        <f t="shared" si="695"/>
        <v>2002</v>
      </c>
      <c r="KO255" s="541">
        <f t="shared" si="657"/>
        <v>7.3833622123802956E-2</v>
      </c>
      <c r="KP255" s="546">
        <f t="shared" si="658"/>
        <v>476.10457069605576</v>
      </c>
      <c r="KQ255" s="546">
        <f t="shared" si="659"/>
        <v>469.00987946500982</v>
      </c>
      <c r="KR255" s="548">
        <f t="shared" si="660"/>
        <v>2.7668065695785988</v>
      </c>
      <c r="KS255" s="548">
        <f t="shared" si="661"/>
        <v>2.8086599274003587</v>
      </c>
      <c r="KT255" s="473">
        <f t="shared" si="693"/>
        <v>843.26993010479111</v>
      </c>
      <c r="KU255" s="663">
        <f t="shared" si="683"/>
        <v>4.5301999110087436</v>
      </c>
      <c r="KV255" s="117"/>
    </row>
    <row r="256" spans="1:308" s="26" customFormat="1" ht="15" outlineLevel="1">
      <c r="A256" s="561">
        <f t="shared" si="662"/>
        <v>2056</v>
      </c>
      <c r="B256" s="561">
        <f t="shared" si="684"/>
        <v>56</v>
      </c>
      <c r="C256" s="561">
        <f t="shared" si="760"/>
        <v>2</v>
      </c>
      <c r="D256" s="561" t="str">
        <f t="shared" si="728"/>
        <v xml:space="preserve">1000 CC, 1000 Combo, 720 Lease, </v>
      </c>
      <c r="E256" s="475">
        <f>INDEX(Input!$1:$1048576,E$93,$C256*2+MIN($B256,2)+5)
+INDEX(Scenarios!E$121:E$200,MATCH($B256,Scenarios!$B$121:$B$200,0))</f>
        <v>2269.7618664521319</v>
      </c>
      <c r="F256" s="475">
        <f>INDEX(Input!$1:$1048576,F$93,$C256*2+MIN($B256,2)+5)
+INDEX(Scenarios!F$121:F$200,MATCH($B256,Scenarios!$B$121:$B$200,0))</f>
        <v>0</v>
      </c>
      <c r="G256" s="475">
        <f>INDEX(Input!$1:$1048576,G$93,$C256*2+MIN($B256,2)+5)
+INDEX(Scenarios!G$121:G$200,MATCH($B256,Scenarios!$B$121:$B$200,0))</f>
        <v>0</v>
      </c>
      <c r="H256" s="475">
        <f>INDEX(Input!$1:$1048576,H$93,$C256*2+MIN($B256,2)+5)
+INDEX(Scenarios!H$121:H$200,MATCH($B256,Scenarios!$B$121:$B$200,0))</f>
        <v>0</v>
      </c>
      <c r="I256" s="476">
        <f>INDEX(Input!$1:$1048576,I$93,$C256*2+MIN($B256,2)+5)</f>
        <v>0.7</v>
      </c>
      <c r="J256" s="476" t="str">
        <f>INDEX(Input!$1:$1048576,J$93,$C256*2+MIN($B256,2)+5)</f>
        <v>Market</v>
      </c>
      <c r="K256" s="476" t="str">
        <f>INDEX(Input!$1:$1048576,K$93,$C256*2+MIN($B256,2)+5)</f>
        <v>Market</v>
      </c>
      <c r="L256" s="476" t="str">
        <f>INDEX(Input!$1:$1048576,L$93,$C256*2+MIN($B256,2)+5)</f>
        <v>Market</v>
      </c>
      <c r="M256" s="476" t="str">
        <f>INDEX(Input!$1:$1048576,M$93,$C256*2+MIN($B256,2)+5)</f>
        <v>Market</v>
      </c>
      <c r="N256" s="476" t="str">
        <f>INDEX(Input!$1:$1048576,N$93,$C256*2+MIN($B256,2)+5)</f>
        <v>Market</v>
      </c>
      <c r="O256" s="476" t="str">
        <f>INDEX(Input!$1:$1048576,O$93,$C256*2+MIN($B256,2)+5)</f>
        <v>Market</v>
      </c>
      <c r="P256" s="476" t="str">
        <f>INDEX(Input!$1:$1048576,P$93,$C256*2+MIN($B256,2)+5)</f>
        <v>N</v>
      </c>
      <c r="Q256" s="477">
        <f>INDEX(Input!$1:$1048576,Q$93,$C256*2+MIN($B256,2)+5)
+INDEX(Scenarios!Q$121:Q$200,MATCH($B256,Scenarios!$B$121:$B$200,0))</f>
        <v>1000</v>
      </c>
      <c r="R256" s="478">
        <f>IFERROR(MAX(0,INDEX(Input!$1:$1048576,R$93,$C256*2+MIN($B256,2)+5)
+INDEX(Scenarios!R$121:R$200,MATCH($B256,Scenarios!$B$121:$B$200,0)),),"Market")</f>
        <v>0</v>
      </c>
      <c r="S256" s="478">
        <f>IFERROR(MAX(0,INDEX(Input!$1:$1048576,S$93,$C256*2+MIN($B256,2)+5)
+INDEX(Scenarios!S$121:S$200,MATCH($B256,Scenarios!$B$121:$B$200,0)),),"Market")</f>
        <v>0</v>
      </c>
      <c r="T256" s="478">
        <f>IFERROR(MAX(0,INDEX(Input!$1:$1048576,T$93,$C256*2+MIN($B256,2)+5)
+INDEX(Scenarios!T$121:T$200,MATCH($B256,Scenarios!$B$121:$B$200,0)),),"Market")</f>
        <v>0</v>
      </c>
      <c r="U256" s="478">
        <f>IFERROR(MAX(0,INDEX(Input!$1:$1048576,U$93,$C256*2+MIN($B256,2)+5)
+INDEX(Scenarios!U$121:U$200,MATCH($B256,Scenarios!$B$121:$B$200,0)),),"Market")</f>
        <v>0</v>
      </c>
      <c r="V256" s="478">
        <f>IFERROR(MAX(0,INDEX(Input!$1:$1048576,V$93,$C256*2+MIN($B256,2)+5)
+INDEX(Scenarios!V$121:V$200,MATCH($B256,Scenarios!$B$121:$B$200,0)),),"Market")</f>
        <v>1.9E-2</v>
      </c>
      <c r="W256" s="885">
        <f>IFERROR(MAX(0,INDEX(Input!$1:$1048576,W$93,$C256*2+MIN($B256,2)+5)-0%,),"Market")</f>
        <v>3.9E-2</v>
      </c>
      <c r="X256" s="476" t="str">
        <f>INDEX(Input!$1:$1048576,X$93,$C256*2+MIN($B256,2)+5)</f>
        <v>Y</v>
      </c>
      <c r="Y256" s="475">
        <f>INDEX(Input!$1:$1048576,Y$93,$C256*2+MIN($B256,2)+5)
++INDEX(Scenarios!Y$121:Y$200,MATCH($B256,Scenarios!$B$121:$B$200,0))</f>
        <v>776</v>
      </c>
      <c r="Z256" s="477">
        <f>INDEX(Input!$1:$1048576,Z$93,$C256*2+MIN($B256,2)+5)
+INDEX(Scenarios!Z$121:Z$200,MATCH($B256,Scenarios!$B$121:$B$200,0))</f>
        <v>0</v>
      </c>
      <c r="AA256" s="475">
        <f>INDEX(Input!$1:$1048576,AA$93,$C256*2+MIN($B256,2)+5)
+INDEX(Scenarios!AA$121:AA$200,MATCH($B256,Scenarios!$B$121:$B$200,0))</f>
        <v>0</v>
      </c>
      <c r="AB256" s="476">
        <f>INDEX(Input!$1:$1048576,AB$93,$C256*2+MIN($B256,2)+5)</f>
        <v>0.27</v>
      </c>
      <c r="AC256" s="475">
        <f>INDEX(Input!$1:$1048576,AC$93,$C256*2+MIN($B256,2)+5)
+INDEX(Scenarios!AC$121:AC$200,MATCH($B256,Scenarios!$B$121:$B$200,0))</f>
        <v>0</v>
      </c>
      <c r="AD256" s="476">
        <f>INDEX(Input!$1:$1048576,AD$93,$C256*2+MIN($B256,2)+5)</f>
        <v>0.27</v>
      </c>
      <c r="AE256" s="475">
        <f>INDEX(Input!$1:$1048576,AE$93,$C256*2+MIN($B256,2)+5)
+INDEX(Scenarios!AE$121:AE$200,MATCH($B256,Scenarios!$B$121:$B$200,0))</f>
        <v>0</v>
      </c>
      <c r="AF256" s="476">
        <f>INDEX(Input!$1:$1048576,AF$93,$C256*2+MIN($B256,2)+5)</f>
        <v>4.8000000000000001E-2</v>
      </c>
      <c r="AG256" s="475">
        <f>INDEX(Input!$1:$1048576,AG$93,$C256*2+MIN($B256,2)+5)
+INDEX(Scenarios!AG$121:AG$200,MATCH($B256,Scenarios!$B$121:$B$200,0))</f>
        <v>500</v>
      </c>
      <c r="AH256" s="476">
        <f>INDEX(Input!$1:$1048576,AH$93,$C256*2+MIN($B256,2)+5)</f>
        <v>0.94599999999999995</v>
      </c>
      <c r="AI256" s="475">
        <f>INDEX(Input!$1:$1048576,AI$93,$C256*2+MIN($B256,2)+5)
+INDEX(Scenarios!AI$121:AI$200,MATCH($B256,Scenarios!$B$121:$B$200,0))</f>
        <v>0</v>
      </c>
      <c r="AJ256" s="476">
        <f>INDEX(Input!$1:$1048576,AJ$93,$C256*2+MIN($B256,2)+5)</f>
        <v>0.27</v>
      </c>
      <c r="AK256" s="150">
        <f>ROUND(INDEX(Input!$1:$1048576,AK$93,$C255*2+MIN($B256,1)+5)+(Y256-VLOOKUP($C256*1000+1,$A:$HH,Y$92,FALSE)),0)</f>
        <v>3697</v>
      </c>
      <c r="AL256" s="150">
        <f>ROUND(INDEX(Input!$1:$1048576,AL$93,$C255*2+MIN($B256,1)+5)-(Y256-VLOOKUP($C256*1000+1,$A:$HH,Y$92,FALSE))/36,0)</f>
        <v>3375</v>
      </c>
      <c r="AM256" s="32" t="str">
        <f t="shared" si="663"/>
        <v>std/std/std/std</v>
      </c>
      <c r="AN256" s="32" t="str">
        <f t="shared" si="664"/>
        <v>$1000 + 0/0/0/1.9/3.9</v>
      </c>
      <c r="AO256" s="32" t="str">
        <f t="shared" si="665"/>
        <v>0/0/0/1.9/3.9</v>
      </c>
      <c r="AP256" s="32" t="str">
        <f t="shared" si="734"/>
        <v>0/0.9/1.9/3.9</v>
      </c>
      <c r="AQ256" s="536">
        <f t="shared" si="733"/>
        <v>0.3742349199040535</v>
      </c>
      <c r="AR256" s="32"/>
      <c r="AS256" s="302"/>
      <c r="AT256" s="3">
        <f t="shared" si="717"/>
        <v>56</v>
      </c>
      <c r="AU256" s="41" t="s">
        <v>121</v>
      </c>
      <c r="AV256" s="41" t="s">
        <v>116</v>
      </c>
      <c r="AW256" s="41" t="str">
        <f>INDEX(Input!$1:$1048576,AW$93,$C256*2+6)</f>
        <v>Kia</v>
      </c>
      <c r="AX256" s="41" t="str">
        <f>INDEX(Input!$1:$1048576,AX$93,$C256*2+6)</f>
        <v>Kia-LR - L2</v>
      </c>
      <c r="AY256" s="41" t="str">
        <f>IF(LEN(D256)=0,"",INDEX(Input!$1:$1048576,AY$93,$C256*2+6))</f>
        <v>Compact SUV (52)</v>
      </c>
      <c r="AZ256" s="41" t="str">
        <f>INDEX(Input!$1:$1048576,AZ$93,$C256*2+6)</f>
        <v>Kia Soul</v>
      </c>
      <c r="BA256" s="3">
        <f>INDEX(Input!$1:$1048576,BA$93,$C256*2+6)</f>
        <v>2020</v>
      </c>
      <c r="BB256" s="128">
        <f>INDEX(Input!$1:$1048576,BB$93,$C256*2+6)</f>
        <v>1</v>
      </c>
      <c r="BC256" s="128">
        <f>INDEX(Input!$1:$1048576,BC$93,$C256*2+6)</f>
        <v>0.7</v>
      </c>
      <c r="BD256" s="1">
        <f>INDEX(Input!$1:$1048576,BD$93,$C256*2+6)</f>
        <v>4.4999999999999998E-2</v>
      </c>
      <c r="BE256" s="1">
        <f>INDEX(Input!$1:$1048576,BE$93,$C256*2+6)</f>
        <v>4.4999999999999998E-2</v>
      </c>
      <c r="BF256" s="1">
        <f>INDEX(Input!$1:$1048576,BF$93,$C256*2+6)</f>
        <v>0.05</v>
      </c>
      <c r="BG256" s="1">
        <f>INDEX(Input!$1:$1048576,BG$93,$C256*2+6)</f>
        <v>5.45E-2</v>
      </c>
      <c r="BH256" s="1">
        <f>INDEX(Input!$1:$1048576,BH$93,$C256*2+6)</f>
        <v>5.45E-2</v>
      </c>
      <c r="BI256" s="1">
        <f>INDEX(Input!$1:$1048576,BI$93,$C256*2+6)</f>
        <v>0.05</v>
      </c>
      <c r="BJ256" s="1">
        <f>INDEX(Input!$1:$1048576,BJ$93,$C256*2+6)</f>
        <v>0.05</v>
      </c>
      <c r="BK256" s="1">
        <f>INDEX(Input!$1:$1048576,BK$93,$C256*2+6)</f>
        <v>0.05</v>
      </c>
      <c r="BL256" s="1">
        <f>INDEX(Input!$1:$1048576,BL$93,$C256*2+6)</f>
        <v>5.5E-2</v>
      </c>
      <c r="BM256" s="1">
        <f>INDEX(Input!$1:$1048576,BM$93,$C256*2+6)</f>
        <v>0.06</v>
      </c>
      <c r="BN256" s="1">
        <f>INDEX(Input!$1:$1048576,BN$93,$C256*2+6)</f>
        <v>4.4999999999999998E-2</v>
      </c>
      <c r="BO256" s="1">
        <f>INDEX(Input!$1:$1048576,BO$93,$C256*2+6)</f>
        <v>4.4999999999999998E-2</v>
      </c>
      <c r="BP256" s="1">
        <f>INDEX(Input!$1:$1048576,BP$93,$C256*2+6)</f>
        <v>0.05</v>
      </c>
      <c r="BQ256" s="1">
        <f>INDEX(Input!$1:$1048576,BQ$93,$C256*2+6)</f>
        <v>5.45E-2</v>
      </c>
      <c r="BR256" s="1">
        <f>INDEX(Input!$1:$1048576,BR$93,$C256*2+6)</f>
        <v>5.45E-2</v>
      </c>
      <c r="BS256" s="1">
        <f>INDEX(Input!$1:$1048576,BS$93,$C256*2+6)</f>
        <v>0.05</v>
      </c>
      <c r="BT256" s="1">
        <f>INDEX(Input!$1:$1048576,BT$93,$C256*2+6)</f>
        <v>0.05</v>
      </c>
      <c r="BU256" s="1">
        <f>INDEX(Input!$1:$1048576,BU$93,$C256*2+6)</f>
        <v>0.05</v>
      </c>
      <c r="BV256" s="1">
        <f>INDEX(Input!$1:$1048576,BV$93,$C256*2+6)</f>
        <v>5.5E-2</v>
      </c>
      <c r="BW256" s="1">
        <f>INDEX(Input!$1:$1048576,BW$93,$C256*2+6)</f>
        <v>0.06</v>
      </c>
      <c r="BX256" s="127">
        <f>INDEX(Input!$1:$1048576,BX$93,$C256*2+6)</f>
        <v>19985</v>
      </c>
      <c r="BY256" s="20">
        <f>INDEX(Input!$1:$1048576,BY$93,$C256*2+6)</f>
        <v>0.1</v>
      </c>
      <c r="BZ256" s="20">
        <f>INDEX(Input!$1:$1048576,BZ$93,$C256*2+6)</f>
        <v>0.1</v>
      </c>
      <c r="CA256" s="20">
        <f>INDEX(Input!$1:$1048576,CA$93,$C256*2+6)</f>
        <v>0.1</v>
      </c>
      <c r="CB256" s="20">
        <f>INDEX(Input!$1:$1048576,CB$93,$C256*2+6)</f>
        <v>0.1</v>
      </c>
      <c r="CC256" s="20">
        <f>INDEX(Input!$1:$1048576,CC$93,$C256*2+6)</f>
        <v>0.1</v>
      </c>
      <c r="CD256" s="384">
        <f>INDEX(Input!$1:$1048576,CD$93,$C256*2+6)</f>
        <v>0.1</v>
      </c>
      <c r="CE256" s="384">
        <f>INDEX(Input!$1:$1048576,CE$93,$C256*2+6)</f>
        <v>0.1</v>
      </c>
      <c r="CF256" s="384">
        <f>INDEX(Input!$1:$1048576,CF$93,$C256*2+6)</f>
        <v>0.1</v>
      </c>
      <c r="CG256" s="384">
        <f>INDEX(Input!$1:$1048576,CG$93,$C256*2+6)</f>
        <v>0.1</v>
      </c>
      <c r="CH256" s="384">
        <f>INDEX(Input!$1:$1048576,CH$93,$C256*2+6)</f>
        <v>0.1</v>
      </c>
      <c r="CI256" s="304">
        <f t="shared" si="735"/>
        <v>2269.7618664521319</v>
      </c>
      <c r="CJ256" s="16" t="str">
        <f>INDEX(Input!$1:$1048576,CJ$93,$C256*2+6)</f>
        <v>N</v>
      </c>
      <c r="CK256" s="1" t="str">
        <f t="shared" si="736"/>
        <v>Market</v>
      </c>
      <c r="CL256" s="1" t="str">
        <f t="shared" si="737"/>
        <v>Market</v>
      </c>
      <c r="CM256" s="1" t="str">
        <f t="shared" si="738"/>
        <v>Market</v>
      </c>
      <c r="CN256" s="1" t="str">
        <f t="shared" si="739"/>
        <v>Market</v>
      </c>
      <c r="CO256" s="1" t="str">
        <f t="shared" si="740"/>
        <v>Market</v>
      </c>
      <c r="CP256" s="304">
        <f t="shared" si="741"/>
        <v>1473</v>
      </c>
      <c r="CQ256" s="1">
        <f t="shared" si="742"/>
        <v>0</v>
      </c>
      <c r="CR256" s="1">
        <f t="shared" si="743"/>
        <v>0</v>
      </c>
      <c r="CS256" s="1">
        <f t="shared" si="744"/>
        <v>0</v>
      </c>
      <c r="CT256" s="1">
        <f t="shared" si="745"/>
        <v>1.9E-2</v>
      </c>
      <c r="CU256" s="1">
        <f t="shared" si="746"/>
        <v>3.9E-2</v>
      </c>
      <c r="CV256" s="304">
        <f t="shared" si="747"/>
        <v>776</v>
      </c>
      <c r="CW256" s="20" t="s">
        <v>122</v>
      </c>
      <c r="CX256" s="20" t="s">
        <v>122</v>
      </c>
      <c r="CY256" s="20" t="s">
        <v>122</v>
      </c>
      <c r="CZ256" s="20" t="s">
        <v>122</v>
      </c>
      <c r="DA256" s="20" t="s">
        <v>122</v>
      </c>
      <c r="DB256" s="503">
        <f t="shared" si="748"/>
        <v>0</v>
      </c>
      <c r="DC256" s="127">
        <v>0</v>
      </c>
      <c r="DD256" s="127">
        <v>0</v>
      </c>
      <c r="DE256" s="127">
        <v>0</v>
      </c>
      <c r="DF256" s="127">
        <v>0</v>
      </c>
      <c r="DG256" s="127">
        <v>0</v>
      </c>
      <c r="DH256" s="127">
        <v>0</v>
      </c>
      <c r="DI256" s="127">
        <v>0</v>
      </c>
      <c r="DJ256" s="127">
        <v>0</v>
      </c>
      <c r="DK256" s="127">
        <v>0</v>
      </c>
      <c r="DL256" s="127">
        <v>0</v>
      </c>
      <c r="DM256" s="304">
        <f>INDEX(Input!$1:$1048576,DM$93,$C256*2+6)</f>
        <v>21036.84210526316</v>
      </c>
      <c r="DN256" s="20">
        <v>0</v>
      </c>
      <c r="DO256" s="20">
        <v>0</v>
      </c>
      <c r="DP256" s="20">
        <v>0</v>
      </c>
      <c r="DQ256" s="20">
        <v>0</v>
      </c>
      <c r="DR256" s="20">
        <v>0</v>
      </c>
      <c r="DS256" s="20">
        <f>INDEX(Input!$1:$1048576,DS$93,$C256*2+6)</f>
        <v>0.6</v>
      </c>
      <c r="DT256" s="20">
        <f>INDEX(Input!$1:$1048576,DT$93,$C256*2+6)</f>
        <v>0.55000000000000004</v>
      </c>
      <c r="DU256" s="20">
        <f>INDEX(Input!$1:$1048576,DU$93,$C256*2+6)</f>
        <v>0.52</v>
      </c>
      <c r="DV256" s="20">
        <f>INDEX(Input!$1:$1048576,DV$93,$C256*2+6)</f>
        <v>0.5</v>
      </c>
      <c r="DW256" s="20">
        <f>INDEX(Input!$1:$1048576,DW$93,$C256*2+6)</f>
        <v>0.45</v>
      </c>
      <c r="DX256" s="20"/>
      <c r="DY256" s="7">
        <v>0.10706181860330034</v>
      </c>
      <c r="DZ256" s="7">
        <v>0</v>
      </c>
      <c r="EA256" s="7">
        <v>0.66240441353057145</v>
      </c>
      <c r="EB256" s="7">
        <v>0</v>
      </c>
      <c r="EC256" s="7">
        <v>0</v>
      </c>
      <c r="ED256" s="7">
        <v>0</v>
      </c>
      <c r="EE256" s="7">
        <v>0</v>
      </c>
      <c r="EF256" s="7">
        <v>0</v>
      </c>
      <c r="EG256" s="7">
        <v>0</v>
      </c>
      <c r="EH256" s="7">
        <v>1.4261882724238215E-2</v>
      </c>
      <c r="EI256" s="7">
        <v>4.0594434364822532E-2</v>
      </c>
      <c r="EJ256" s="7">
        <v>0.30727082084796969</v>
      </c>
      <c r="EK256" s="7">
        <v>0.52668108554134396</v>
      </c>
      <c r="EL256" s="7">
        <v>0.11119177652162573</v>
      </c>
      <c r="EM256" s="7">
        <v>5.7963448921646586E-2</v>
      </c>
      <c r="EN256" s="7">
        <v>6.8151877433158634E-2</v>
      </c>
      <c r="EO256" s="7">
        <v>0.75312165735441383</v>
      </c>
      <c r="EP256" s="7">
        <v>7.7008458101048907E-2</v>
      </c>
      <c r="EQ256" s="7">
        <v>6.5585654366692933E-2</v>
      </c>
      <c r="ER256" s="7">
        <v>3.6132352744685202E-2</v>
      </c>
      <c r="ES256" s="7">
        <v>0.1725703189444816</v>
      </c>
      <c r="ET256" s="7">
        <v>0.23053376786612823</v>
      </c>
      <c r="EU256" s="6">
        <v>2294</v>
      </c>
      <c r="EV256" s="6">
        <v>0</v>
      </c>
      <c r="EW256" s="6">
        <v>2294</v>
      </c>
      <c r="EX256" s="6">
        <v>0</v>
      </c>
      <c r="EY256" s="6">
        <v>3053.9777911246247</v>
      </c>
      <c r="EZ256" s="6">
        <v>1666</v>
      </c>
      <c r="FA256" s="6">
        <v>0</v>
      </c>
      <c r="FB256" s="6">
        <v>0</v>
      </c>
      <c r="FC256" s="6">
        <v>0</v>
      </c>
      <c r="FD256" s="6">
        <v>0</v>
      </c>
      <c r="FE256" s="6">
        <v>0</v>
      </c>
      <c r="FF256" s="6">
        <v>0</v>
      </c>
      <c r="FG256" s="6">
        <v>0</v>
      </c>
      <c r="FH256" s="6">
        <v>1173.7314051339649</v>
      </c>
      <c r="FI256" s="6">
        <v>1553.9796069512402</v>
      </c>
      <c r="FJ256" s="6">
        <v>2101.2110117447414</v>
      </c>
      <c r="FK256" s="6">
        <v>1772.713997862324</v>
      </c>
      <c r="FL256" s="6">
        <v>907.07682140966324</v>
      </c>
      <c r="FM256" s="6">
        <v>1759.9777911246247</v>
      </c>
      <c r="FN256" s="6">
        <v>0</v>
      </c>
      <c r="FO256" s="6">
        <v>0</v>
      </c>
      <c r="FP256" s="6">
        <v>0</v>
      </c>
      <c r="FQ256" s="6">
        <v>0</v>
      </c>
      <c r="FR256" s="6">
        <v>0</v>
      </c>
      <c r="FS256" s="6">
        <v>0</v>
      </c>
      <c r="FT256" s="7">
        <v>0.76946623213387177</v>
      </c>
      <c r="FU256" s="7">
        <v>5.7963448921646586E-2</v>
      </c>
      <c r="FV256" s="7">
        <v>0.1725703189444816</v>
      </c>
      <c r="FW256" s="6">
        <v>2294</v>
      </c>
      <c r="FX256" s="6">
        <v>3053.9777911246247</v>
      </c>
      <c r="FY256" s="6">
        <v>1666</v>
      </c>
      <c r="FZ256" s="6">
        <v>1817.4615072224267</v>
      </c>
      <c r="GA256" s="6">
        <v>2229.6767735803037</v>
      </c>
      <c r="GB256" s="6">
        <v>17755.323226419696</v>
      </c>
      <c r="GC256" s="7">
        <v>1.804905384453976E-2</v>
      </c>
      <c r="GD256" s="7">
        <v>1.934984583302941E-2</v>
      </c>
      <c r="GE256" s="7"/>
      <c r="GF256" s="7"/>
      <c r="GG256" s="7">
        <v>7.2069815941247728E-2</v>
      </c>
      <c r="GH256" s="42">
        <v>3.4940852247218404</v>
      </c>
      <c r="GI256" s="6">
        <v>7949.3426416591183</v>
      </c>
      <c r="GJ256" s="14">
        <v>0.50394797582841722</v>
      </c>
      <c r="GK256" s="14">
        <v>0.50887573065309732</v>
      </c>
      <c r="GL256" s="14">
        <v>0.49605202417158251</v>
      </c>
      <c r="GM256" s="14">
        <v>0.49112426934690229</v>
      </c>
      <c r="GO256" s="5">
        <v>343.14810671672558</v>
      </c>
      <c r="GP256" s="5">
        <v>299.3829630362892</v>
      </c>
      <c r="GQ256" s="5">
        <v>535.04305713031317</v>
      </c>
      <c r="GR256" s="5">
        <v>410.15490233172511</v>
      </c>
      <c r="GS256" s="5">
        <v>339.42744393800166</v>
      </c>
      <c r="GT256" s="5">
        <v>293.4407446948278</v>
      </c>
      <c r="GU256" s="5">
        <v>258.04012322764959</v>
      </c>
      <c r="GV256" s="39" t="s">
        <v>392</v>
      </c>
      <c r="GW256" s="5">
        <v>463.68055555555554</v>
      </c>
      <c r="GX256" s="5">
        <v>347.76041666666669</v>
      </c>
      <c r="GY256" s="5">
        <v>278.20833333333331</v>
      </c>
      <c r="GZ256" s="5">
        <v>245.48949565254571</v>
      </c>
      <c r="HA256" s="5">
        <v>227.39897390161556</v>
      </c>
      <c r="HB256" s="39">
        <v>260.79496801057547</v>
      </c>
      <c r="HC256" s="5">
        <v>214.39687499999999</v>
      </c>
      <c r="HD256" s="5">
        <v>190.05677997076018</v>
      </c>
      <c r="HE256" s="5">
        <v>194.77408485155192</v>
      </c>
      <c r="HF256" s="5">
        <v>182.38250548245611</v>
      </c>
      <c r="HG256" s="5">
        <v>178.69971491228068</v>
      </c>
      <c r="HH256" s="39">
        <v>191.16519572422422</v>
      </c>
      <c r="HI256" s="16"/>
      <c r="HJ256" s="19" t="str">
        <f t="shared" si="761"/>
        <v>On</v>
      </c>
      <c r="HK256" s="1" t="str">
        <f t="shared" si="761"/>
        <v>On</v>
      </c>
      <c r="HL256" s="16"/>
      <c r="HM256" s="639">
        <f t="shared" si="634"/>
        <v>1.2768706344444866E-2</v>
      </c>
      <c r="HN256" s="639">
        <f t="shared" si="635"/>
        <v>9.795534288915453E-4</v>
      </c>
      <c r="HO256" s="639">
        <f t="shared" si="636"/>
        <v>3.3583061774515237E-3</v>
      </c>
      <c r="HP256" s="644">
        <f>(FT256*$GD256-HM256)/$JF256*INDEX(Input!$1:$1048576,$JG$93,$C256*2+6)</f>
        <v>154.06896144843122</v>
      </c>
      <c r="HQ256" s="644">
        <f>(FU256*$GD256-HN256)/$JF256*INDEX(Input!$1:$1048576,$JG$93,$C256*2+6)</f>
        <v>10.320233325745662</v>
      </c>
      <c r="HR256" s="644">
        <f>(FV256*$GD256-HO256)/$JF256*INDEX(Input!$1:$1048576,$JG$93,$C256*2+6)</f>
        <v>-1.3876372641661323</v>
      </c>
      <c r="HS256" s="644">
        <f t="shared" si="754"/>
        <v>-66.056058725552489</v>
      </c>
      <c r="HT256" s="644">
        <f t="shared" si="638"/>
        <v>69.756875885813997</v>
      </c>
      <c r="HU256" s="644">
        <f t="shared" si="639"/>
        <v>30.603898354893296</v>
      </c>
      <c r="HV256" s="648">
        <f t="shared" si="640"/>
        <v>0</v>
      </c>
      <c r="HW256" s="648">
        <f t="shared" si="641"/>
        <v>0</v>
      </c>
      <c r="HX256" s="648">
        <f t="shared" si="642"/>
        <v>0</v>
      </c>
      <c r="HY256" s="644">
        <f>INDEX(Input!$1:$1048576,HY$93,$C256*2+6)*INDEX(Input!$1:$1048576,$JG$93,$C256*2+6)</f>
        <v>451</v>
      </c>
      <c r="HZ256" s="644">
        <f>INDEX(Input!$1:$1048576,HZ$93,$C256*2+6)*INDEX(Input!$1:$1048576,$JG$93,$C256*2+6)</f>
        <v>577</v>
      </c>
      <c r="IA256" s="644">
        <f>INDEX(Input!$1:$1048576,IA$93,$C256*2+6)*INDEX(Input!$1:$1048576,$JG$93,$C256*2+6)</f>
        <v>215</v>
      </c>
      <c r="IB256" s="644">
        <f t="shared" si="666"/>
        <v>539.01290272287861</v>
      </c>
      <c r="IC256" s="644">
        <f t="shared" si="667"/>
        <v>657.07710921155967</v>
      </c>
      <c r="ID256" s="644">
        <f>IF(AND(INDEX(Input!$1:$1048576,IA$93,$C256*2+7)="TOS",Y256&lt;=INDEX(Y:Y,MATCH(C256*1000+2,A:A))),0,1)*MAX(IA256+HR256+HU256+HX256,0%)</f>
        <v>244.21626109072716</v>
      </c>
      <c r="IE256" s="128">
        <f t="shared" si="759"/>
        <v>0.3742349199040535</v>
      </c>
      <c r="IF256" s="128">
        <f t="shared" si="643"/>
        <v>0.45620651768145082</v>
      </c>
      <c r="IG256" s="128">
        <f t="shared" si="644"/>
        <v>0.16955856241449568</v>
      </c>
      <c r="IH256" s="21"/>
      <c r="II256" s="19">
        <f t="shared" si="645"/>
        <v>1252</v>
      </c>
      <c r="IJ256" s="19">
        <f t="shared" si="646"/>
        <v>2011.9658773055378</v>
      </c>
      <c r="IK256" s="19">
        <f t="shared" si="647"/>
        <v>919</v>
      </c>
      <c r="IL256" s="19">
        <f t="shared" si="669"/>
        <v>1042</v>
      </c>
      <c r="IM256" s="19">
        <f t="shared" si="648"/>
        <v>1042.0119138190869</v>
      </c>
      <c r="IN256" s="19">
        <f t="shared" si="649"/>
        <v>747</v>
      </c>
      <c r="IO256" s="39">
        <f t="shared" si="650"/>
        <v>0</v>
      </c>
      <c r="IP256" s="39">
        <f t="shared" si="651"/>
        <v>0</v>
      </c>
      <c r="IQ256" s="39">
        <f t="shared" si="652"/>
        <v>0</v>
      </c>
      <c r="IR256" s="39">
        <v>0</v>
      </c>
      <c r="IS256" s="39">
        <v>0</v>
      </c>
      <c r="IT256" s="39">
        <v>0</v>
      </c>
      <c r="IU256" s="39">
        <v>0</v>
      </c>
      <c r="IV256" s="39">
        <v>0</v>
      </c>
      <c r="IW256" s="39">
        <v>0</v>
      </c>
      <c r="IX256" s="39">
        <f>INDEX(Input!$1:$1048576,IX$93,$C256*2+6)+INDEX(Input!$1:$1048576,IX$94,$C256*2+6)</f>
        <v>1294</v>
      </c>
      <c r="IY256" s="39">
        <f>INDEX(Input!$1:$1048576,IY$93,$C256*2+6)+INDEX(Input!$1:$1048576,IY$94,$C256*2+6)</f>
        <v>2154.0624533823611</v>
      </c>
      <c r="IZ256" s="39">
        <f>INDEX(Input!$1:$1048576,IZ$93,$C256*2+6)+INDEX(Input!$1:$1048576,IZ$94,$C256*2+6)</f>
        <v>3677.7164157747848</v>
      </c>
      <c r="JA256" s="19">
        <f t="shared" si="670"/>
        <v>2336</v>
      </c>
      <c r="JB256" s="19">
        <f t="shared" si="671"/>
        <v>3196.0743672014478</v>
      </c>
      <c r="JC256" s="19">
        <f t="shared" si="672"/>
        <v>4424.7164157747848</v>
      </c>
      <c r="JD256" s="19">
        <f t="shared" si="673"/>
        <v>3082.5312847583805</v>
      </c>
      <c r="JE256" s="21"/>
      <c r="JF256" s="1">
        <f t="shared" si="653"/>
        <v>1.7106565950787935E-2</v>
      </c>
      <c r="JG256" s="15">
        <f>INDEX(Input!$1:$1048576,JG$93,$C256*2+6)/(1+VLOOKUP(C256*1000+INDEX(Input!$1:$1048576,JG$93+1,$C256*2+6),$A:$KK,$JK$92,FALSE))</f>
        <v>1243</v>
      </c>
      <c r="JH256" s="1">
        <f t="shared" si="674"/>
        <v>0.13113560539823874</v>
      </c>
      <c r="JI256" s="1">
        <f t="shared" si="675"/>
        <v>2.7598323021041676E-2</v>
      </c>
      <c r="JJ256" s="1">
        <f t="shared" si="731"/>
        <v>0</v>
      </c>
      <c r="JK256" s="1">
        <f t="shared" si="732"/>
        <v>0.15873392841928041</v>
      </c>
      <c r="JL256" s="15">
        <f t="shared" si="678"/>
        <v>197.30627302516555</v>
      </c>
      <c r="JM256" s="15">
        <f t="shared" si="702"/>
        <v>1440.3062730251656</v>
      </c>
      <c r="JN256" s="21"/>
      <c r="JO256" s="19">
        <f>INDEX(Input!$1:$1048576,JO$93,$C256*2+6)</f>
        <v>5995.5</v>
      </c>
      <c r="JP256" s="19">
        <f>INDEX(Input!$1:$1048576,JP$93,$C256*2+6)</f>
        <v>2105.548724853742</v>
      </c>
      <c r="JQ256" s="39">
        <f t="shared" si="688"/>
        <v>2912.9687152416195</v>
      </c>
      <c r="JR256" s="39">
        <f t="shared" si="705"/>
        <v>976.98255990463849</v>
      </c>
      <c r="JS256" s="39">
        <f t="shared" si="690"/>
        <v>4.4397891462338182</v>
      </c>
      <c r="JT256" s="39">
        <f t="shared" si="680"/>
        <v>1.8225920812406171</v>
      </c>
      <c r="JU256" s="385">
        <f>(JQ256*JM256-INDEX(Input!$1:$1048576,Input!A$18,$C256*2+6)*JL256*INDEX(Input!$1:$1048576,Input!A$19,$C256*2+6))/1000000</f>
        <v>4.1955671136885622</v>
      </c>
      <c r="JV256" s="39">
        <f t="shared" si="712"/>
        <v>-0.63964232131823628</v>
      </c>
      <c r="JW256" s="1">
        <f t="shared" si="703"/>
        <v>-0.13228844167271048</v>
      </c>
      <c r="JX256" s="19">
        <f t="shared" si="694"/>
        <v>9237.3752405132782</v>
      </c>
      <c r="JZ256" s="341"/>
      <c r="KA256" s="342"/>
      <c r="KB256" s="469">
        <f t="shared" si="691"/>
        <v>2.5660492421988774</v>
      </c>
      <c r="KI256" s="473">
        <f t="shared" si="756"/>
        <v>88.012902722878721</v>
      </c>
      <c r="KJ256" s="473">
        <f t="shared" si="757"/>
        <v>80.077109211559787</v>
      </c>
      <c r="KK256" s="473">
        <f t="shared" si="682"/>
        <v>29.216261090727215</v>
      </c>
      <c r="KN256" s="544">
        <f t="shared" si="695"/>
        <v>2002</v>
      </c>
      <c r="KO256" s="541">
        <f t="shared" si="657"/>
        <v>0.15190696209851895</v>
      </c>
      <c r="KP256" s="546">
        <f t="shared" si="658"/>
        <v>952.52851915278541</v>
      </c>
      <c r="KQ256" s="546">
        <f t="shared" si="659"/>
        <v>938.85094532490757</v>
      </c>
      <c r="KR256" s="548">
        <f t="shared" si="660"/>
        <v>2.845290839035258</v>
      </c>
      <c r="KS256" s="548">
        <f t="shared" si="661"/>
        <v>2.886742227784961</v>
      </c>
      <c r="KT256" s="473">
        <f t="shared" si="693"/>
        <v>843.26993010479111</v>
      </c>
      <c r="KU256" s="663">
        <f t="shared" si="683"/>
        <v>4.5902475991125966</v>
      </c>
      <c r="KV256" s="117"/>
    </row>
    <row r="257" spans="1:308" s="26" customFormat="1" ht="15" outlineLevel="1">
      <c r="A257" s="561">
        <f t="shared" si="662"/>
        <v>2057</v>
      </c>
      <c r="B257" s="561">
        <f t="shared" si="684"/>
        <v>57</v>
      </c>
      <c r="C257" s="561">
        <f t="shared" si="760"/>
        <v>2</v>
      </c>
      <c r="D257" s="561" t="str">
        <f t="shared" si="728"/>
        <v xml:space="preserve">500 CC, 0/0/0.9/3.9, 360 Lease, </v>
      </c>
      <c r="E257" s="475">
        <f>INDEX(Input!$1:$1048576,E$93,$C257*2+MIN($B257,2)+5)
+INDEX(Scenarios!E$121:E$200,MATCH($B257,Scenarios!$B$121:$B$200,0))</f>
        <v>1769.7618664521319</v>
      </c>
      <c r="F257" s="475">
        <f>INDEX(Input!$1:$1048576,F$93,$C257*2+MIN($B257,2)+5)
+INDEX(Scenarios!F$121:F$200,MATCH($B257,Scenarios!$B$121:$B$200,0))</f>
        <v>0</v>
      </c>
      <c r="G257" s="475">
        <f>INDEX(Input!$1:$1048576,G$93,$C257*2+MIN($B257,2)+5)
+INDEX(Scenarios!G$121:G$200,MATCH($B257,Scenarios!$B$121:$B$200,0))</f>
        <v>0</v>
      </c>
      <c r="H257" s="475">
        <f>INDEX(Input!$1:$1048576,H$93,$C257*2+MIN($B257,2)+5)
+INDEX(Scenarios!H$121:H$200,MATCH($B257,Scenarios!$B$121:$B$200,0))</f>
        <v>0</v>
      </c>
      <c r="I257" s="476">
        <f>INDEX(Input!$1:$1048576,I$93,$C257*2+MIN($B257,2)+5)</f>
        <v>0.7</v>
      </c>
      <c r="J257" s="476" t="str">
        <f>INDEX(Input!$1:$1048576,J$93,$C257*2+MIN($B257,2)+5)</f>
        <v>Market</v>
      </c>
      <c r="K257" s="476" t="str">
        <f>INDEX(Input!$1:$1048576,K$93,$C257*2+MIN($B257,2)+5)</f>
        <v>Market</v>
      </c>
      <c r="L257" s="476" t="str">
        <f>INDEX(Input!$1:$1048576,L$93,$C257*2+MIN($B257,2)+5)</f>
        <v>Market</v>
      </c>
      <c r="M257" s="476" t="str">
        <f>INDEX(Input!$1:$1048576,M$93,$C257*2+MIN($B257,2)+5)</f>
        <v>Market</v>
      </c>
      <c r="N257" s="476" t="str">
        <f>INDEX(Input!$1:$1048576,N$93,$C257*2+MIN($B257,2)+5)</f>
        <v>Market</v>
      </c>
      <c r="O257" s="476" t="str">
        <f>INDEX(Input!$1:$1048576,O$93,$C257*2+MIN($B257,2)+5)</f>
        <v>Market</v>
      </c>
      <c r="P257" s="476" t="str">
        <f>INDEX(Input!$1:$1048576,P$93,$C257*2+MIN($B257,2)+5)</f>
        <v>N</v>
      </c>
      <c r="Q257" s="477">
        <f>INDEX(Input!$1:$1048576,Q$93,$C257*2+MIN($B257,2)+5)
+INDEX(Scenarios!Q$121:Q$200,MATCH($B257,Scenarios!$B$121:$B$200,0))</f>
        <v>0</v>
      </c>
      <c r="R257" s="478">
        <f>IFERROR(MAX(0,INDEX(Input!$1:$1048576,R$93,$C257*2+MIN($B257,2)+5)
+INDEX(Scenarios!R$121:R$200,MATCH($B257,Scenarios!$B$121:$B$200,0)),),"Market")</f>
        <v>0</v>
      </c>
      <c r="S257" s="478">
        <f>IFERROR(MAX(0,INDEX(Input!$1:$1048576,S$93,$C257*2+MIN($B257,2)+5)
+INDEX(Scenarios!S$121:S$200,MATCH($B257,Scenarios!$B$121:$B$200,0)),),"Market")</f>
        <v>0</v>
      </c>
      <c r="T257" s="478">
        <f>IFERROR(MAX(0,INDEX(Input!$1:$1048576,T$93,$C257*2+MIN($B257,2)+5)
+INDEX(Scenarios!T$121:T$200,MATCH($B257,Scenarios!$B$121:$B$200,0)),),"Market")</f>
        <v>0</v>
      </c>
      <c r="U257" s="478">
        <f>IFERROR(MAX(0,INDEX(Input!$1:$1048576,U$93,$C257*2+MIN($B257,2)+5)
+INDEX(Scenarios!U$121:U$200,MATCH($B257,Scenarios!$B$121:$B$200,0)),),"Market")</f>
        <v>0</v>
      </c>
      <c r="V257" s="478">
        <f>IFERROR(MAX(0,INDEX(Input!$1:$1048576,V$93,$C257*2+MIN($B257,2)+5)
+INDEX(Scenarios!V$121:V$200,MATCH($B257,Scenarios!$B$121:$B$200,0)),),"Market")</f>
        <v>8.9999999999999993E-3</v>
      </c>
      <c r="W257" s="885">
        <f>IFERROR(MAX(0,INDEX(Input!$1:$1048576,W$93,$C257*2+MIN($B257,2)+5)-0%,),"Market")</f>
        <v>3.9E-2</v>
      </c>
      <c r="X257" s="476" t="str">
        <f>INDEX(Input!$1:$1048576,X$93,$C257*2+MIN($B257,2)+5)</f>
        <v>Y</v>
      </c>
      <c r="Y257" s="475">
        <f>INDEX(Input!$1:$1048576,Y$93,$C257*2+MIN($B257,2)+5)
++INDEX(Scenarios!Y$121:Y$200,MATCH($B257,Scenarios!$B$121:$B$200,0))</f>
        <v>416</v>
      </c>
      <c r="Z257" s="477">
        <f>INDEX(Input!$1:$1048576,Z$93,$C257*2+MIN($B257,2)+5)
+INDEX(Scenarios!Z$121:Z$200,MATCH($B257,Scenarios!$B$121:$B$200,0))</f>
        <v>0</v>
      </c>
      <c r="AA257" s="475">
        <f>INDEX(Input!$1:$1048576,AA$93,$C257*2+MIN($B257,2)+5)
+INDEX(Scenarios!AA$121:AA$200,MATCH($B257,Scenarios!$B$121:$B$200,0))</f>
        <v>0</v>
      </c>
      <c r="AB257" s="476">
        <f>INDEX(Input!$1:$1048576,AB$93,$C257*2+MIN($B257,2)+5)</f>
        <v>0.27</v>
      </c>
      <c r="AC257" s="475">
        <f>INDEX(Input!$1:$1048576,AC$93,$C257*2+MIN($B257,2)+5)
+INDEX(Scenarios!AC$121:AC$200,MATCH($B257,Scenarios!$B$121:$B$200,0))</f>
        <v>0</v>
      </c>
      <c r="AD257" s="476">
        <f>INDEX(Input!$1:$1048576,AD$93,$C257*2+MIN($B257,2)+5)</f>
        <v>0.27</v>
      </c>
      <c r="AE257" s="475">
        <f>INDEX(Input!$1:$1048576,AE$93,$C257*2+MIN($B257,2)+5)
+INDEX(Scenarios!AE$121:AE$200,MATCH($B257,Scenarios!$B$121:$B$200,0))</f>
        <v>0</v>
      </c>
      <c r="AF257" s="476">
        <f>INDEX(Input!$1:$1048576,AF$93,$C257*2+MIN($B257,2)+5)</f>
        <v>4.8000000000000001E-2</v>
      </c>
      <c r="AG257" s="475">
        <f>INDEX(Input!$1:$1048576,AG$93,$C257*2+MIN($B257,2)+5)
+INDEX(Scenarios!AG$121:AG$200,MATCH($B257,Scenarios!$B$121:$B$200,0))</f>
        <v>500</v>
      </c>
      <c r="AH257" s="476">
        <f>INDEX(Input!$1:$1048576,AH$93,$C257*2+MIN($B257,2)+5)</f>
        <v>0.94599999999999995</v>
      </c>
      <c r="AI257" s="475">
        <f>INDEX(Input!$1:$1048576,AI$93,$C257*2+MIN($B257,2)+5)
+INDEX(Scenarios!AI$121:AI$200,MATCH($B257,Scenarios!$B$121:$B$200,0))</f>
        <v>0</v>
      </c>
      <c r="AJ257" s="476">
        <f>INDEX(Input!$1:$1048576,AJ$93,$C257*2+MIN($B257,2)+5)</f>
        <v>0.27</v>
      </c>
      <c r="AK257" s="150">
        <f>ROUND(INDEX(Input!$1:$1048576,AK$93,$C256*2+MIN($B257,1)+5)+(Y257-VLOOKUP($C257*1000+1,$A:$HH,Y$92,FALSE)),0)</f>
        <v>3337</v>
      </c>
      <c r="AL257" s="150">
        <f>ROUND(INDEX(Input!$1:$1048576,AL$93,$C256*2+MIN($B257,1)+5)-(Y257-VLOOKUP($C257*1000+1,$A:$HH,Y$92,FALSE))/36,0)</f>
        <v>3385</v>
      </c>
      <c r="AM257" s="32" t="str">
        <f t="shared" si="663"/>
        <v>std/std/std/std</v>
      </c>
      <c r="AN257" s="32" t="str">
        <f t="shared" si="664"/>
        <v>$0 + 0/0/0/0.9/3.9</v>
      </c>
      <c r="AO257" s="32" t="str">
        <f t="shared" si="665"/>
        <v>0/0/0/0.9/3.9</v>
      </c>
      <c r="AP257" s="32" t="str">
        <f t="shared" si="734"/>
        <v>0/0/0.9/3.9</v>
      </c>
      <c r="AQ257" s="536">
        <f t="shared" si="733"/>
        <v>0.37461772195282783</v>
      </c>
      <c r="AR257" s="32"/>
      <c r="AS257" s="302"/>
      <c r="AT257" s="3">
        <f t="shared" si="717"/>
        <v>57</v>
      </c>
      <c r="AU257" s="41" t="s">
        <v>121</v>
      </c>
      <c r="AV257" s="41" t="s">
        <v>116</v>
      </c>
      <c r="AW257" s="41" t="str">
        <f>INDEX(Input!$1:$1048576,AW$93,$C257*2+6)</f>
        <v>Kia</v>
      </c>
      <c r="AX257" s="41" t="str">
        <f>INDEX(Input!$1:$1048576,AX$93,$C257*2+6)</f>
        <v>Kia-LR - L2</v>
      </c>
      <c r="AY257" s="41" t="str">
        <f>IF(LEN(D257)=0,"",INDEX(Input!$1:$1048576,AY$93,$C257*2+6))</f>
        <v>Compact SUV (52)</v>
      </c>
      <c r="AZ257" s="41" t="str">
        <f>INDEX(Input!$1:$1048576,AZ$93,$C257*2+6)</f>
        <v>Kia Soul</v>
      </c>
      <c r="BA257" s="3">
        <f>INDEX(Input!$1:$1048576,BA$93,$C257*2+6)</f>
        <v>2020</v>
      </c>
      <c r="BB257" s="128">
        <f>INDEX(Input!$1:$1048576,BB$93,$C257*2+6)</f>
        <v>1</v>
      </c>
      <c r="BC257" s="128">
        <f>INDEX(Input!$1:$1048576,BC$93,$C257*2+6)</f>
        <v>0.7</v>
      </c>
      <c r="BD257" s="1">
        <f>INDEX(Input!$1:$1048576,BD$93,$C257*2+6)</f>
        <v>4.4999999999999998E-2</v>
      </c>
      <c r="BE257" s="1">
        <f>INDEX(Input!$1:$1048576,BE$93,$C257*2+6)</f>
        <v>4.4999999999999998E-2</v>
      </c>
      <c r="BF257" s="1">
        <f>INDEX(Input!$1:$1048576,BF$93,$C257*2+6)</f>
        <v>0.05</v>
      </c>
      <c r="BG257" s="1">
        <f>INDEX(Input!$1:$1048576,BG$93,$C257*2+6)</f>
        <v>5.45E-2</v>
      </c>
      <c r="BH257" s="1">
        <f>INDEX(Input!$1:$1048576,BH$93,$C257*2+6)</f>
        <v>5.45E-2</v>
      </c>
      <c r="BI257" s="1">
        <f>INDEX(Input!$1:$1048576,BI$93,$C257*2+6)</f>
        <v>0.05</v>
      </c>
      <c r="BJ257" s="1">
        <f>INDEX(Input!$1:$1048576,BJ$93,$C257*2+6)</f>
        <v>0.05</v>
      </c>
      <c r="BK257" s="1">
        <f>INDEX(Input!$1:$1048576,BK$93,$C257*2+6)</f>
        <v>0.05</v>
      </c>
      <c r="BL257" s="1">
        <f>INDEX(Input!$1:$1048576,BL$93,$C257*2+6)</f>
        <v>5.5E-2</v>
      </c>
      <c r="BM257" s="1">
        <f>INDEX(Input!$1:$1048576,BM$93,$C257*2+6)</f>
        <v>0.06</v>
      </c>
      <c r="BN257" s="1">
        <f>INDEX(Input!$1:$1048576,BN$93,$C257*2+6)</f>
        <v>4.4999999999999998E-2</v>
      </c>
      <c r="BO257" s="1">
        <f>INDEX(Input!$1:$1048576,BO$93,$C257*2+6)</f>
        <v>4.4999999999999998E-2</v>
      </c>
      <c r="BP257" s="1">
        <f>INDEX(Input!$1:$1048576,BP$93,$C257*2+6)</f>
        <v>0.05</v>
      </c>
      <c r="BQ257" s="1">
        <f>INDEX(Input!$1:$1048576,BQ$93,$C257*2+6)</f>
        <v>5.45E-2</v>
      </c>
      <c r="BR257" s="1">
        <f>INDEX(Input!$1:$1048576,BR$93,$C257*2+6)</f>
        <v>5.45E-2</v>
      </c>
      <c r="BS257" s="1">
        <f>INDEX(Input!$1:$1048576,BS$93,$C257*2+6)</f>
        <v>0.05</v>
      </c>
      <c r="BT257" s="1">
        <f>INDEX(Input!$1:$1048576,BT$93,$C257*2+6)</f>
        <v>0.05</v>
      </c>
      <c r="BU257" s="1">
        <f>INDEX(Input!$1:$1048576,BU$93,$C257*2+6)</f>
        <v>0.05</v>
      </c>
      <c r="BV257" s="1">
        <f>INDEX(Input!$1:$1048576,BV$93,$C257*2+6)</f>
        <v>5.5E-2</v>
      </c>
      <c r="BW257" s="1">
        <f>INDEX(Input!$1:$1048576,BW$93,$C257*2+6)</f>
        <v>0.06</v>
      </c>
      <c r="BX257" s="127">
        <f>INDEX(Input!$1:$1048576,BX$93,$C257*2+6)</f>
        <v>19985</v>
      </c>
      <c r="BY257" s="20">
        <f>INDEX(Input!$1:$1048576,BY$93,$C257*2+6)</f>
        <v>0.1</v>
      </c>
      <c r="BZ257" s="20">
        <f>INDEX(Input!$1:$1048576,BZ$93,$C257*2+6)</f>
        <v>0.1</v>
      </c>
      <c r="CA257" s="20">
        <f>INDEX(Input!$1:$1048576,CA$93,$C257*2+6)</f>
        <v>0.1</v>
      </c>
      <c r="CB257" s="20">
        <f>INDEX(Input!$1:$1048576,CB$93,$C257*2+6)</f>
        <v>0.1</v>
      </c>
      <c r="CC257" s="20">
        <f>INDEX(Input!$1:$1048576,CC$93,$C257*2+6)</f>
        <v>0.1</v>
      </c>
      <c r="CD257" s="384">
        <f>INDEX(Input!$1:$1048576,CD$93,$C257*2+6)</f>
        <v>0.1</v>
      </c>
      <c r="CE257" s="384">
        <f>INDEX(Input!$1:$1048576,CE$93,$C257*2+6)</f>
        <v>0.1</v>
      </c>
      <c r="CF257" s="384">
        <f>INDEX(Input!$1:$1048576,CF$93,$C257*2+6)</f>
        <v>0.1</v>
      </c>
      <c r="CG257" s="384">
        <f>INDEX(Input!$1:$1048576,CG$93,$C257*2+6)</f>
        <v>0.1</v>
      </c>
      <c r="CH257" s="384">
        <f>INDEX(Input!$1:$1048576,CH$93,$C257*2+6)</f>
        <v>0.1</v>
      </c>
      <c r="CI257" s="304">
        <f t="shared" si="735"/>
        <v>1769.7618664521319</v>
      </c>
      <c r="CJ257" s="16" t="str">
        <f>INDEX(Input!$1:$1048576,CJ$93,$C257*2+6)</f>
        <v>N</v>
      </c>
      <c r="CK257" s="1" t="str">
        <f t="shared" si="736"/>
        <v>Market</v>
      </c>
      <c r="CL257" s="1" t="str">
        <f t="shared" si="737"/>
        <v>Market</v>
      </c>
      <c r="CM257" s="1" t="str">
        <f t="shared" si="738"/>
        <v>Market</v>
      </c>
      <c r="CN257" s="1" t="str">
        <f t="shared" si="739"/>
        <v>Market</v>
      </c>
      <c r="CO257" s="1" t="str">
        <f t="shared" si="740"/>
        <v>Market</v>
      </c>
      <c r="CP257" s="304">
        <f t="shared" si="741"/>
        <v>473</v>
      </c>
      <c r="CQ257" s="1">
        <f t="shared" si="742"/>
        <v>0</v>
      </c>
      <c r="CR257" s="1">
        <f t="shared" si="743"/>
        <v>0</v>
      </c>
      <c r="CS257" s="1">
        <f t="shared" si="744"/>
        <v>0</v>
      </c>
      <c r="CT257" s="1">
        <f t="shared" si="745"/>
        <v>8.9999999999999993E-3</v>
      </c>
      <c r="CU257" s="1">
        <f t="shared" si="746"/>
        <v>3.9E-2</v>
      </c>
      <c r="CV257" s="304">
        <f t="shared" si="747"/>
        <v>416</v>
      </c>
      <c r="CW257" s="20" t="s">
        <v>122</v>
      </c>
      <c r="CX257" s="20" t="s">
        <v>122</v>
      </c>
      <c r="CY257" s="20" t="s">
        <v>122</v>
      </c>
      <c r="CZ257" s="20" t="s">
        <v>122</v>
      </c>
      <c r="DA257" s="20" t="s">
        <v>122</v>
      </c>
      <c r="DB257" s="503">
        <f t="shared" si="748"/>
        <v>0</v>
      </c>
      <c r="DC257" s="127">
        <v>0</v>
      </c>
      <c r="DD257" s="127">
        <v>0</v>
      </c>
      <c r="DE257" s="127">
        <v>0</v>
      </c>
      <c r="DF257" s="127">
        <v>0</v>
      </c>
      <c r="DG257" s="127">
        <v>0</v>
      </c>
      <c r="DH257" s="127">
        <v>0</v>
      </c>
      <c r="DI257" s="127">
        <v>0</v>
      </c>
      <c r="DJ257" s="127">
        <v>0</v>
      </c>
      <c r="DK257" s="127">
        <v>0</v>
      </c>
      <c r="DL257" s="127">
        <v>0</v>
      </c>
      <c r="DM257" s="304">
        <f>INDEX(Input!$1:$1048576,DM$93,$C257*2+6)</f>
        <v>21036.84210526316</v>
      </c>
      <c r="DN257" s="20">
        <v>0</v>
      </c>
      <c r="DO257" s="20">
        <v>0</v>
      </c>
      <c r="DP257" s="20">
        <v>0</v>
      </c>
      <c r="DQ257" s="20">
        <v>0</v>
      </c>
      <c r="DR257" s="20">
        <v>0</v>
      </c>
      <c r="DS257" s="20">
        <f>INDEX(Input!$1:$1048576,DS$93,$C257*2+6)</f>
        <v>0.6</v>
      </c>
      <c r="DT257" s="20">
        <f>INDEX(Input!$1:$1048576,DT$93,$C257*2+6)</f>
        <v>0.55000000000000004</v>
      </c>
      <c r="DU257" s="20">
        <f>INDEX(Input!$1:$1048576,DU$93,$C257*2+6)</f>
        <v>0.52</v>
      </c>
      <c r="DV257" s="20">
        <f>INDEX(Input!$1:$1048576,DV$93,$C257*2+6)</f>
        <v>0.5</v>
      </c>
      <c r="DW257" s="20">
        <f>INDEX(Input!$1:$1048576,DW$93,$C257*2+6)</f>
        <v>0.45</v>
      </c>
      <c r="DX257" s="20"/>
      <c r="DY257" s="7">
        <v>9.9617516834855716E-2</v>
      </c>
      <c r="DZ257" s="7">
        <v>0</v>
      </c>
      <c r="EA257" s="7">
        <v>0.66112441210769279</v>
      </c>
      <c r="EB257" s="7">
        <v>0</v>
      </c>
      <c r="EC257" s="7">
        <v>0</v>
      </c>
      <c r="ED257" s="7">
        <v>0</v>
      </c>
      <c r="EE257" s="7">
        <v>0</v>
      </c>
      <c r="EF257" s="7">
        <v>0</v>
      </c>
      <c r="EG257" s="7">
        <v>0</v>
      </c>
      <c r="EH257" s="7">
        <v>1.1226399848264073E-2</v>
      </c>
      <c r="EI257" s="7">
        <v>3.1955329389566647E-2</v>
      </c>
      <c r="EJ257" s="7">
        <v>0.24180727308043989</v>
      </c>
      <c r="EK257" s="7">
        <v>0.62753438947808338</v>
      </c>
      <c r="EL257" s="7">
        <v>8.7476608203645986E-2</v>
      </c>
      <c r="EM257" s="7">
        <v>5.6420800753838735E-2</v>
      </c>
      <c r="EN257" s="7">
        <v>6.6787729322653422E-2</v>
      </c>
      <c r="EO257" s="7">
        <v>0.74265538159277589</v>
      </c>
      <c r="EP257" s="7">
        <v>8.2308262165171245E-2</v>
      </c>
      <c r="EQ257" s="7">
        <v>7.0172367305696537E-2</v>
      </c>
      <c r="ER257" s="7">
        <v>3.8076259613702937E-2</v>
      </c>
      <c r="ES257" s="7">
        <v>0.1828372703036128</v>
      </c>
      <c r="ET257" s="7">
        <v>0.23925807105745148</v>
      </c>
      <c r="EU257" s="6">
        <v>1794</v>
      </c>
      <c r="EV257" s="6">
        <v>0</v>
      </c>
      <c r="EW257" s="6">
        <v>1794</v>
      </c>
      <c r="EX257" s="6">
        <v>0</v>
      </c>
      <c r="EY257" s="6">
        <v>2357.0439276624375</v>
      </c>
      <c r="EZ257" s="6">
        <v>1306</v>
      </c>
      <c r="FA257" s="6">
        <v>0</v>
      </c>
      <c r="FB257" s="6">
        <v>0</v>
      </c>
      <c r="FC257" s="6">
        <v>0</v>
      </c>
      <c r="FD257" s="6">
        <v>0</v>
      </c>
      <c r="FE257" s="6">
        <v>0</v>
      </c>
      <c r="FF257" s="6">
        <v>0</v>
      </c>
      <c r="FG257" s="6">
        <v>0</v>
      </c>
      <c r="FH257" s="6">
        <v>1173.7334641085586</v>
      </c>
      <c r="FI257" s="6">
        <v>1553.9796069512415</v>
      </c>
      <c r="FJ257" s="6">
        <v>2101.2110117447414</v>
      </c>
      <c r="FK257" s="6">
        <v>2251.3078348034687</v>
      </c>
      <c r="FL257" s="6">
        <v>907.0768214096629</v>
      </c>
      <c r="FM257" s="6">
        <v>2063.0439276624375</v>
      </c>
      <c r="FN257" s="6">
        <v>0</v>
      </c>
      <c r="FO257" s="6">
        <v>0</v>
      </c>
      <c r="FP257" s="6">
        <v>0</v>
      </c>
      <c r="FQ257" s="6">
        <v>0</v>
      </c>
      <c r="FR257" s="6">
        <v>0</v>
      </c>
      <c r="FS257" s="6">
        <v>0</v>
      </c>
      <c r="FT257" s="7">
        <v>0.76074192894254855</v>
      </c>
      <c r="FU257" s="7">
        <v>5.6420800753838735E-2</v>
      </c>
      <c r="FV257" s="7">
        <v>0.1828372703036128</v>
      </c>
      <c r="FW257" s="6">
        <v>1794</v>
      </c>
      <c r="FX257" s="6">
        <v>2357.0439276624375</v>
      </c>
      <c r="FY257" s="6">
        <v>1306</v>
      </c>
      <c r="FZ257" s="6">
        <v>1817.4615072224267</v>
      </c>
      <c r="GA257" s="6">
        <v>1736.5428013501382</v>
      </c>
      <c r="GB257" s="6">
        <v>18248.457198649863</v>
      </c>
      <c r="GC257" s="7">
        <v>1.804905384453976E-2</v>
      </c>
      <c r="GD257" s="7">
        <v>1.8235183343048075E-2</v>
      </c>
      <c r="GE257" s="7"/>
      <c r="GF257" s="7"/>
      <c r="GG257" s="7">
        <v>1.0312424136549571E-2</v>
      </c>
      <c r="GH257" s="42">
        <v>-2.5469240288421662</v>
      </c>
      <c r="GI257" s="6">
        <v>-6110.177310315371</v>
      </c>
      <c r="GJ257" s="14">
        <v>0.50394797582841755</v>
      </c>
      <c r="GK257" s="14">
        <v>0.50887573065309766</v>
      </c>
      <c r="GL257" s="14">
        <v>0.49605202417158278</v>
      </c>
      <c r="GM257" s="14">
        <v>0.49112426934690273</v>
      </c>
      <c r="GO257" s="5">
        <v>343.14810671672558</v>
      </c>
      <c r="GP257" s="5">
        <v>308.92200917413498</v>
      </c>
      <c r="GQ257" s="5">
        <v>535.04305713031317</v>
      </c>
      <c r="GR257" s="5">
        <v>410.15490233172511</v>
      </c>
      <c r="GS257" s="5">
        <v>339.42744393800166</v>
      </c>
      <c r="GT257" s="5">
        <v>293.4407446948278</v>
      </c>
      <c r="GU257" s="5">
        <v>258.04012322764959</v>
      </c>
      <c r="GV257" s="39" t="s">
        <v>392</v>
      </c>
      <c r="GW257" s="5">
        <v>491.45833333333331</v>
      </c>
      <c r="GX257" s="5">
        <v>368.59375</v>
      </c>
      <c r="GY257" s="5">
        <v>294.875</v>
      </c>
      <c r="GZ257" s="5">
        <v>252.51567799800796</v>
      </c>
      <c r="HA257" s="5">
        <v>241.02179695997205</v>
      </c>
      <c r="HB257" s="39">
        <v>268.1448032278721</v>
      </c>
      <c r="HC257" s="5">
        <v>230.14687499999999</v>
      </c>
      <c r="HD257" s="5">
        <v>200.80677997076018</v>
      </c>
      <c r="HE257" s="5">
        <v>204.75485408232115</v>
      </c>
      <c r="HF257" s="5">
        <v>190.70750548245613</v>
      </c>
      <c r="HG257" s="5">
        <v>185.59971491228069</v>
      </c>
      <c r="HH257" s="39">
        <v>201.80357925885238</v>
      </c>
      <c r="HI257" s="16"/>
      <c r="HJ257" s="19" t="str">
        <f t="shared" si="761"/>
        <v>On</v>
      </c>
      <c r="HK257" s="1" t="str">
        <f t="shared" si="761"/>
        <v>On</v>
      </c>
      <c r="HL257" s="16"/>
      <c r="HM257" s="639">
        <f t="shared" si="634"/>
        <v>1.2768706344444866E-2</v>
      </c>
      <c r="HN257" s="639">
        <f t="shared" si="635"/>
        <v>9.795534288915453E-4</v>
      </c>
      <c r="HO257" s="639">
        <f t="shared" si="636"/>
        <v>3.3583061774515237E-3</v>
      </c>
      <c r="HP257" s="644">
        <f>(FT257*$GD257-HM257)/$JF257*INDEX(Input!$1:$1048576,$JG$93,$C257*2+6)</f>
        <v>80.187211548384965</v>
      </c>
      <c r="HQ257" s="644">
        <f>(FU257*$GD257-HN257)/$JF257*INDEX(Input!$1:$1048576,$JG$93,$C257*2+6)</f>
        <v>3.5815335571208102</v>
      </c>
      <c r="HR257" s="644">
        <f>(FV257*$GD257-HO257)/$JF257*INDEX(Input!$1:$1048576,$JG$93,$C257*2+6)</f>
        <v>-1.7609696925369687</v>
      </c>
      <c r="HS257" s="644">
        <f t="shared" si="754"/>
        <v>-34.142465406179518</v>
      </c>
      <c r="HT257" s="644">
        <f t="shared" si="638"/>
        <v>20.268112855150818</v>
      </c>
      <c r="HU257" s="644">
        <f t="shared" si="639"/>
        <v>15.671789532132845</v>
      </c>
      <c r="HV257" s="648">
        <f t="shared" si="640"/>
        <v>0</v>
      </c>
      <c r="HW257" s="648">
        <f t="shared" si="641"/>
        <v>0</v>
      </c>
      <c r="HX257" s="648">
        <f t="shared" si="642"/>
        <v>0</v>
      </c>
      <c r="HY257" s="644">
        <f>INDEX(Input!$1:$1048576,HY$93,$C257*2+6)*INDEX(Input!$1:$1048576,$JG$93,$C257*2+6)</f>
        <v>451</v>
      </c>
      <c r="HZ257" s="644">
        <f>INDEX(Input!$1:$1048576,HZ$93,$C257*2+6)*INDEX(Input!$1:$1048576,$JG$93,$C257*2+6)</f>
        <v>577</v>
      </c>
      <c r="IA257" s="644">
        <f>INDEX(Input!$1:$1048576,IA$93,$C257*2+6)*INDEX(Input!$1:$1048576,$JG$93,$C257*2+6)</f>
        <v>215</v>
      </c>
      <c r="IB257" s="644">
        <f t="shared" si="666"/>
        <v>497.04474614220544</v>
      </c>
      <c r="IC257" s="644">
        <f t="shared" si="667"/>
        <v>600.84964641227157</v>
      </c>
      <c r="ID257" s="644">
        <f>IF(AND(INDEX(Input!$1:$1048576,IA$93,$C257*2+7)="TOS",Y257&lt;=INDEX(Y:Y,MATCH(C257*1000+2,A:A))),0,1)*MAX(IA257+HR257+HU257+HX257,0%)</f>
        <v>228.91081983959586</v>
      </c>
      <c r="IE257" s="128">
        <f t="shared" si="759"/>
        <v>0.37461772195282783</v>
      </c>
      <c r="IF257" s="128">
        <f t="shared" si="643"/>
        <v>0.45285445127857538</v>
      </c>
      <c r="IG257" s="128">
        <f t="shared" si="644"/>
        <v>0.17252782676859676</v>
      </c>
      <c r="IH257" s="21"/>
      <c r="II257" s="19">
        <f t="shared" si="645"/>
        <v>1252</v>
      </c>
      <c r="IJ257" s="19">
        <f t="shared" si="646"/>
        <v>2011.9658773055378</v>
      </c>
      <c r="IK257" s="19">
        <f t="shared" si="647"/>
        <v>919</v>
      </c>
      <c r="IL257" s="19">
        <f t="shared" si="669"/>
        <v>542</v>
      </c>
      <c r="IM257" s="19">
        <f t="shared" si="648"/>
        <v>345.07805035689967</v>
      </c>
      <c r="IN257" s="19">
        <f t="shared" si="649"/>
        <v>387</v>
      </c>
      <c r="IO257" s="39">
        <f t="shared" si="650"/>
        <v>0</v>
      </c>
      <c r="IP257" s="39">
        <f t="shared" si="651"/>
        <v>0</v>
      </c>
      <c r="IQ257" s="39">
        <f t="shared" si="652"/>
        <v>0</v>
      </c>
      <c r="IR257" s="39">
        <v>0</v>
      </c>
      <c r="IS257" s="39">
        <v>0</v>
      </c>
      <c r="IT257" s="39">
        <v>0</v>
      </c>
      <c r="IU257" s="39">
        <v>0</v>
      </c>
      <c r="IV257" s="39">
        <v>0</v>
      </c>
      <c r="IW257" s="39">
        <v>0</v>
      </c>
      <c r="IX257" s="39">
        <f>INDEX(Input!$1:$1048576,IX$93,$C257*2+6)+INDEX(Input!$1:$1048576,IX$94,$C257*2+6)</f>
        <v>1294</v>
      </c>
      <c r="IY257" s="39">
        <f>INDEX(Input!$1:$1048576,IY$93,$C257*2+6)+INDEX(Input!$1:$1048576,IY$94,$C257*2+6)</f>
        <v>2154.0624533823611</v>
      </c>
      <c r="IZ257" s="39">
        <f>INDEX(Input!$1:$1048576,IZ$93,$C257*2+6)+INDEX(Input!$1:$1048576,IZ$94,$C257*2+6)</f>
        <v>3677.7164157747848</v>
      </c>
      <c r="JA257" s="19">
        <f t="shared" si="670"/>
        <v>1836</v>
      </c>
      <c r="JB257" s="19">
        <f t="shared" si="671"/>
        <v>2499.1405037392606</v>
      </c>
      <c r="JC257" s="19">
        <f t="shared" si="672"/>
        <v>4064.7164157747848</v>
      </c>
      <c r="JD257" s="19">
        <f t="shared" si="673"/>
        <v>2520.8217286385607</v>
      </c>
      <c r="JE257" s="21"/>
      <c r="JF257" s="1">
        <f t="shared" si="653"/>
        <v>1.7106565950787935E-2</v>
      </c>
      <c r="JG257" s="15">
        <f>INDEX(Input!$1:$1048576,JG$93,$C257*2+6)/(1+VLOOKUP(C257*1000+INDEX(Input!$1:$1048576,JG$93+1,$C257*2+6),$A:$KK,$JK$92,FALSE))</f>
        <v>1243</v>
      </c>
      <c r="JH257" s="1">
        <f t="shared" si="674"/>
        <v>6.5975684161680453E-2</v>
      </c>
      <c r="JI257" s="1">
        <f t="shared" si="675"/>
        <v>1.4460474506067134E-3</v>
      </c>
      <c r="JJ257" s="1">
        <f t="shared" si="731"/>
        <v>0</v>
      </c>
      <c r="JK257" s="1">
        <f t="shared" si="732"/>
        <v>6.7421731612287164E-2</v>
      </c>
      <c r="JL257" s="15">
        <f t="shared" si="678"/>
        <v>83.805212394072939</v>
      </c>
      <c r="JM257" s="15">
        <f t="shared" si="702"/>
        <v>1326.8052123940729</v>
      </c>
      <c r="JN257" s="21"/>
      <c r="JO257" s="19">
        <f>INDEX(Input!$1:$1048576,JO$93,$C257*2+6)</f>
        <v>5995.5</v>
      </c>
      <c r="JP257" s="19">
        <f>INDEX(Input!$1:$1048576,JP$93,$C257*2+6)</f>
        <v>2105.548724853742</v>
      </c>
      <c r="JQ257" s="39">
        <f t="shared" si="688"/>
        <v>3474.6782713614393</v>
      </c>
      <c r="JR257" s="39">
        <f t="shared" si="705"/>
        <v>415.27300378481868</v>
      </c>
      <c r="JS257" s="39">
        <f t="shared" si="690"/>
        <v>3.3446394090738796</v>
      </c>
      <c r="JT257" s="39">
        <f t="shared" si="680"/>
        <v>0.7274423440806782</v>
      </c>
      <c r="JU257" s="385">
        <f>(JQ257*JM257-INDEX(Input!$1:$1048576,Input!A$18,$C257*2+6)*JL257*INDEX(Input!$1:$1048576,Input!A$19,$C257*2+6))/1000000</f>
        <v>4.6102212418347852</v>
      </c>
      <c r="JV257" s="39">
        <f t="shared" si="712"/>
        <v>-0.22498819317201324</v>
      </c>
      <c r="JW257" s="1">
        <f t="shared" si="703"/>
        <v>-4.6531219835712637E-2</v>
      </c>
      <c r="JX257" s="19">
        <f t="shared" si="694"/>
        <v>8680.1563208272</v>
      </c>
      <c r="JZ257" s="341"/>
      <c r="KA257" s="342"/>
      <c r="KB257" s="469">
        <f t="shared" si="691"/>
        <v>2.5660492421988774</v>
      </c>
      <c r="KI257" s="473">
        <f t="shared" si="756"/>
        <v>46.044746142205497</v>
      </c>
      <c r="KJ257" s="473">
        <f t="shared" si="757"/>
        <v>23.849646412271568</v>
      </c>
      <c r="KK257" s="473">
        <f t="shared" si="682"/>
        <v>13.91081983959586</v>
      </c>
      <c r="KN257" s="544">
        <f t="shared" si="695"/>
        <v>2002</v>
      </c>
      <c r="KO257" s="541">
        <f t="shared" si="657"/>
        <v>6.1132753588050592E-2</v>
      </c>
      <c r="KP257" s="546">
        <f t="shared" si="658"/>
        <v>386.66860807901219</v>
      </c>
      <c r="KQ257" s="546">
        <f t="shared" si="659"/>
        <v>377.14138920508776</v>
      </c>
      <c r="KR257" s="548">
        <f t="shared" si="660"/>
        <v>2.8207332472983788</v>
      </c>
      <c r="KS257" s="548">
        <f t="shared" si="661"/>
        <v>2.8919896614740006</v>
      </c>
      <c r="KT257" s="473">
        <f t="shared" si="693"/>
        <v>843.26993010479111</v>
      </c>
      <c r="KU257" s="663">
        <f t="shared" si="683"/>
        <v>4.5459956837136257</v>
      </c>
      <c r="KV257" s="117"/>
    </row>
    <row r="258" spans="1:308" s="26" customFormat="1" ht="15" outlineLevel="1">
      <c r="A258" s="561">
        <f t="shared" si="662"/>
        <v>2058</v>
      </c>
      <c r="B258" s="561">
        <f t="shared" si="684"/>
        <v>58</v>
      </c>
      <c r="C258" s="561">
        <f t="shared" si="760"/>
        <v>2</v>
      </c>
      <c r="D258" s="561" t="str">
        <f t="shared" si="728"/>
        <v xml:space="preserve">1000 CC, 0/0/0.9/3.9, 360 Lease, </v>
      </c>
      <c r="E258" s="475">
        <f>INDEX(Input!$1:$1048576,E$93,$C258*2+MIN($B258,2)+5)
+INDEX(Scenarios!E$121:E$200,MATCH($B258,Scenarios!$B$121:$B$200,0))</f>
        <v>2269.7618664521319</v>
      </c>
      <c r="F258" s="475">
        <f>INDEX(Input!$1:$1048576,F$93,$C258*2+MIN($B258,2)+5)
+INDEX(Scenarios!F$121:F$200,MATCH($B258,Scenarios!$B$121:$B$200,0))</f>
        <v>0</v>
      </c>
      <c r="G258" s="475">
        <f>INDEX(Input!$1:$1048576,G$93,$C258*2+MIN($B258,2)+5)
+INDEX(Scenarios!G$121:G$200,MATCH($B258,Scenarios!$B$121:$B$200,0))</f>
        <v>0</v>
      </c>
      <c r="H258" s="475">
        <f>INDEX(Input!$1:$1048576,H$93,$C258*2+MIN($B258,2)+5)
+INDEX(Scenarios!H$121:H$200,MATCH($B258,Scenarios!$B$121:$B$200,0))</f>
        <v>0</v>
      </c>
      <c r="I258" s="476">
        <f>INDEX(Input!$1:$1048576,I$93,$C258*2+MIN($B258,2)+5)</f>
        <v>0.7</v>
      </c>
      <c r="J258" s="476" t="str">
        <f>INDEX(Input!$1:$1048576,J$93,$C258*2+MIN($B258,2)+5)</f>
        <v>Market</v>
      </c>
      <c r="K258" s="476" t="str">
        <f>INDEX(Input!$1:$1048576,K$93,$C258*2+MIN($B258,2)+5)</f>
        <v>Market</v>
      </c>
      <c r="L258" s="476" t="str">
        <f>INDEX(Input!$1:$1048576,L$93,$C258*2+MIN($B258,2)+5)</f>
        <v>Market</v>
      </c>
      <c r="M258" s="476" t="str">
        <f>INDEX(Input!$1:$1048576,M$93,$C258*2+MIN($B258,2)+5)</f>
        <v>Market</v>
      </c>
      <c r="N258" s="476" t="str">
        <f>INDEX(Input!$1:$1048576,N$93,$C258*2+MIN($B258,2)+5)</f>
        <v>Market</v>
      </c>
      <c r="O258" s="476" t="str">
        <f>INDEX(Input!$1:$1048576,O$93,$C258*2+MIN($B258,2)+5)</f>
        <v>Market</v>
      </c>
      <c r="P258" s="476" t="str">
        <f>INDEX(Input!$1:$1048576,P$93,$C258*2+MIN($B258,2)+5)</f>
        <v>N</v>
      </c>
      <c r="Q258" s="477">
        <f>INDEX(Input!$1:$1048576,Q$93,$C258*2+MIN($B258,2)+5)
+INDEX(Scenarios!Q$121:Q$200,MATCH($B258,Scenarios!$B$121:$B$200,0))</f>
        <v>0</v>
      </c>
      <c r="R258" s="478">
        <f>IFERROR(MAX(0,INDEX(Input!$1:$1048576,R$93,$C258*2+MIN($B258,2)+5)
+INDEX(Scenarios!R$121:R$200,MATCH($B258,Scenarios!$B$121:$B$200,0)),),"Market")</f>
        <v>0</v>
      </c>
      <c r="S258" s="478">
        <f>IFERROR(MAX(0,INDEX(Input!$1:$1048576,S$93,$C258*2+MIN($B258,2)+5)
+INDEX(Scenarios!S$121:S$200,MATCH($B258,Scenarios!$B$121:$B$200,0)),),"Market")</f>
        <v>0</v>
      </c>
      <c r="T258" s="478">
        <f>IFERROR(MAX(0,INDEX(Input!$1:$1048576,T$93,$C258*2+MIN($B258,2)+5)
+INDEX(Scenarios!T$121:T$200,MATCH($B258,Scenarios!$B$121:$B$200,0)),),"Market")</f>
        <v>0</v>
      </c>
      <c r="U258" s="478">
        <f>IFERROR(MAX(0,INDEX(Input!$1:$1048576,U$93,$C258*2+MIN($B258,2)+5)
+INDEX(Scenarios!U$121:U$200,MATCH($B258,Scenarios!$B$121:$B$200,0)),),"Market")</f>
        <v>0</v>
      </c>
      <c r="V258" s="478">
        <f>IFERROR(MAX(0,INDEX(Input!$1:$1048576,V$93,$C258*2+MIN($B258,2)+5)
+INDEX(Scenarios!V$121:V$200,MATCH($B258,Scenarios!$B$121:$B$200,0)),),"Market")</f>
        <v>8.9999999999999993E-3</v>
      </c>
      <c r="W258" s="885">
        <f>IFERROR(MAX(0,INDEX(Input!$1:$1048576,W$93,$C258*2+MIN($B258,2)+5)-0%,),"Market")</f>
        <v>3.9E-2</v>
      </c>
      <c r="X258" s="476" t="str">
        <f>INDEX(Input!$1:$1048576,X$93,$C258*2+MIN($B258,2)+5)</f>
        <v>Y</v>
      </c>
      <c r="Y258" s="475">
        <f>INDEX(Input!$1:$1048576,Y$93,$C258*2+MIN($B258,2)+5)
++INDEX(Scenarios!Y$121:Y$200,MATCH($B258,Scenarios!$B$121:$B$200,0))</f>
        <v>416</v>
      </c>
      <c r="Z258" s="477">
        <f>INDEX(Input!$1:$1048576,Z$93,$C258*2+MIN($B258,2)+5)
+INDEX(Scenarios!Z$121:Z$200,MATCH($B258,Scenarios!$B$121:$B$200,0))</f>
        <v>0</v>
      </c>
      <c r="AA258" s="475">
        <f>INDEX(Input!$1:$1048576,AA$93,$C258*2+MIN($B258,2)+5)
+INDEX(Scenarios!AA$121:AA$200,MATCH($B258,Scenarios!$B$121:$B$200,0))</f>
        <v>0</v>
      </c>
      <c r="AB258" s="476">
        <f>INDEX(Input!$1:$1048576,AB$93,$C258*2+MIN($B258,2)+5)</f>
        <v>0.27</v>
      </c>
      <c r="AC258" s="475">
        <f>INDEX(Input!$1:$1048576,AC$93,$C258*2+MIN($B258,2)+5)
+INDEX(Scenarios!AC$121:AC$200,MATCH($B258,Scenarios!$B$121:$B$200,0))</f>
        <v>0</v>
      </c>
      <c r="AD258" s="476">
        <f>INDEX(Input!$1:$1048576,AD$93,$C258*2+MIN($B258,2)+5)</f>
        <v>0.27</v>
      </c>
      <c r="AE258" s="475">
        <f>INDEX(Input!$1:$1048576,AE$93,$C258*2+MIN($B258,2)+5)
+INDEX(Scenarios!AE$121:AE$200,MATCH($B258,Scenarios!$B$121:$B$200,0))</f>
        <v>0</v>
      </c>
      <c r="AF258" s="476">
        <f>INDEX(Input!$1:$1048576,AF$93,$C258*2+MIN($B258,2)+5)</f>
        <v>4.8000000000000001E-2</v>
      </c>
      <c r="AG258" s="475">
        <f>INDEX(Input!$1:$1048576,AG$93,$C258*2+MIN($B258,2)+5)
+INDEX(Scenarios!AG$121:AG$200,MATCH($B258,Scenarios!$B$121:$B$200,0))</f>
        <v>500</v>
      </c>
      <c r="AH258" s="476">
        <f>INDEX(Input!$1:$1048576,AH$93,$C258*2+MIN($B258,2)+5)</f>
        <v>0.94599999999999995</v>
      </c>
      <c r="AI258" s="475">
        <f>INDEX(Input!$1:$1048576,AI$93,$C258*2+MIN($B258,2)+5)
+INDEX(Scenarios!AI$121:AI$200,MATCH($B258,Scenarios!$B$121:$B$200,0))</f>
        <v>0</v>
      </c>
      <c r="AJ258" s="476">
        <f>INDEX(Input!$1:$1048576,AJ$93,$C258*2+MIN($B258,2)+5)</f>
        <v>0.27</v>
      </c>
      <c r="AK258" s="150">
        <f>ROUND(INDEX(Input!$1:$1048576,AK$93,$C257*2+MIN($B258,1)+5)+(Y258-VLOOKUP($C258*1000+1,$A:$HH,Y$92,FALSE)),0)</f>
        <v>3337</v>
      </c>
      <c r="AL258" s="150">
        <f>ROUND(INDEX(Input!$1:$1048576,AL$93,$C257*2+MIN($B258,1)+5)-(Y258-VLOOKUP($C258*1000+1,$A:$HH,Y$92,FALSE))/36,0)</f>
        <v>3385</v>
      </c>
      <c r="AM258" s="32" t="str">
        <f t="shared" si="663"/>
        <v>std/std/std/std</v>
      </c>
      <c r="AN258" s="32" t="str">
        <f t="shared" si="664"/>
        <v>$0 + 0/0/0/0.9/3.9</v>
      </c>
      <c r="AO258" s="32" t="str">
        <f t="shared" si="665"/>
        <v>0/0/0/0.9/3.9</v>
      </c>
      <c r="AP258" s="32" t="str">
        <f t="shared" si="734"/>
        <v>0/0/0.9/3.9</v>
      </c>
      <c r="AQ258" s="536">
        <f t="shared" si="733"/>
        <v>0.42605623414105465</v>
      </c>
      <c r="AR258" s="32"/>
      <c r="AS258" s="302"/>
      <c r="AT258" s="3">
        <f t="shared" si="717"/>
        <v>58</v>
      </c>
      <c r="AU258" s="41" t="s">
        <v>121</v>
      </c>
      <c r="AV258" s="41" t="s">
        <v>116</v>
      </c>
      <c r="AW258" s="41" t="str">
        <f>INDEX(Input!$1:$1048576,AW$93,$C258*2+6)</f>
        <v>Kia</v>
      </c>
      <c r="AX258" s="41" t="str">
        <f>INDEX(Input!$1:$1048576,AX$93,$C258*2+6)</f>
        <v>Kia-LR - L2</v>
      </c>
      <c r="AY258" s="41" t="str">
        <f>IF(LEN(D258)=0,"",INDEX(Input!$1:$1048576,AY$93,$C258*2+6))</f>
        <v>Compact SUV (52)</v>
      </c>
      <c r="AZ258" s="41" t="str">
        <f>INDEX(Input!$1:$1048576,AZ$93,$C258*2+6)</f>
        <v>Kia Soul</v>
      </c>
      <c r="BA258" s="3">
        <f>INDEX(Input!$1:$1048576,BA$93,$C258*2+6)</f>
        <v>2020</v>
      </c>
      <c r="BB258" s="128">
        <f>INDEX(Input!$1:$1048576,BB$93,$C258*2+6)</f>
        <v>1</v>
      </c>
      <c r="BC258" s="128">
        <f>INDEX(Input!$1:$1048576,BC$93,$C258*2+6)</f>
        <v>0.7</v>
      </c>
      <c r="BD258" s="1">
        <f>INDEX(Input!$1:$1048576,BD$93,$C258*2+6)</f>
        <v>4.4999999999999998E-2</v>
      </c>
      <c r="BE258" s="1">
        <f>INDEX(Input!$1:$1048576,BE$93,$C258*2+6)</f>
        <v>4.4999999999999998E-2</v>
      </c>
      <c r="BF258" s="1">
        <f>INDEX(Input!$1:$1048576,BF$93,$C258*2+6)</f>
        <v>0.05</v>
      </c>
      <c r="BG258" s="1">
        <f>INDEX(Input!$1:$1048576,BG$93,$C258*2+6)</f>
        <v>5.45E-2</v>
      </c>
      <c r="BH258" s="1">
        <f>INDEX(Input!$1:$1048576,BH$93,$C258*2+6)</f>
        <v>5.45E-2</v>
      </c>
      <c r="BI258" s="1">
        <f>INDEX(Input!$1:$1048576,BI$93,$C258*2+6)</f>
        <v>0.05</v>
      </c>
      <c r="BJ258" s="1">
        <f>INDEX(Input!$1:$1048576,BJ$93,$C258*2+6)</f>
        <v>0.05</v>
      </c>
      <c r="BK258" s="1">
        <f>INDEX(Input!$1:$1048576,BK$93,$C258*2+6)</f>
        <v>0.05</v>
      </c>
      <c r="BL258" s="1">
        <f>INDEX(Input!$1:$1048576,BL$93,$C258*2+6)</f>
        <v>5.5E-2</v>
      </c>
      <c r="BM258" s="1">
        <f>INDEX(Input!$1:$1048576,BM$93,$C258*2+6)</f>
        <v>0.06</v>
      </c>
      <c r="BN258" s="1">
        <f>INDEX(Input!$1:$1048576,BN$93,$C258*2+6)</f>
        <v>4.4999999999999998E-2</v>
      </c>
      <c r="BO258" s="1">
        <f>INDEX(Input!$1:$1048576,BO$93,$C258*2+6)</f>
        <v>4.4999999999999998E-2</v>
      </c>
      <c r="BP258" s="1">
        <f>INDEX(Input!$1:$1048576,BP$93,$C258*2+6)</f>
        <v>0.05</v>
      </c>
      <c r="BQ258" s="1">
        <f>INDEX(Input!$1:$1048576,BQ$93,$C258*2+6)</f>
        <v>5.45E-2</v>
      </c>
      <c r="BR258" s="1">
        <f>INDEX(Input!$1:$1048576,BR$93,$C258*2+6)</f>
        <v>5.45E-2</v>
      </c>
      <c r="BS258" s="1">
        <f>INDEX(Input!$1:$1048576,BS$93,$C258*2+6)</f>
        <v>0.05</v>
      </c>
      <c r="BT258" s="1">
        <f>INDEX(Input!$1:$1048576,BT$93,$C258*2+6)</f>
        <v>0.05</v>
      </c>
      <c r="BU258" s="1">
        <f>INDEX(Input!$1:$1048576,BU$93,$C258*2+6)</f>
        <v>0.05</v>
      </c>
      <c r="BV258" s="1">
        <f>INDEX(Input!$1:$1048576,BV$93,$C258*2+6)</f>
        <v>5.5E-2</v>
      </c>
      <c r="BW258" s="1">
        <f>INDEX(Input!$1:$1048576,BW$93,$C258*2+6)</f>
        <v>0.06</v>
      </c>
      <c r="BX258" s="127">
        <f>INDEX(Input!$1:$1048576,BX$93,$C258*2+6)</f>
        <v>19985</v>
      </c>
      <c r="BY258" s="20">
        <f>INDEX(Input!$1:$1048576,BY$93,$C258*2+6)</f>
        <v>0.1</v>
      </c>
      <c r="BZ258" s="20">
        <f>INDEX(Input!$1:$1048576,BZ$93,$C258*2+6)</f>
        <v>0.1</v>
      </c>
      <c r="CA258" s="20">
        <f>INDEX(Input!$1:$1048576,CA$93,$C258*2+6)</f>
        <v>0.1</v>
      </c>
      <c r="CB258" s="20">
        <f>INDEX(Input!$1:$1048576,CB$93,$C258*2+6)</f>
        <v>0.1</v>
      </c>
      <c r="CC258" s="20">
        <f>INDEX(Input!$1:$1048576,CC$93,$C258*2+6)</f>
        <v>0.1</v>
      </c>
      <c r="CD258" s="384">
        <f>INDEX(Input!$1:$1048576,CD$93,$C258*2+6)</f>
        <v>0.1</v>
      </c>
      <c r="CE258" s="384">
        <f>INDEX(Input!$1:$1048576,CE$93,$C258*2+6)</f>
        <v>0.1</v>
      </c>
      <c r="CF258" s="384">
        <f>INDEX(Input!$1:$1048576,CF$93,$C258*2+6)</f>
        <v>0.1</v>
      </c>
      <c r="CG258" s="384">
        <f>INDEX(Input!$1:$1048576,CG$93,$C258*2+6)</f>
        <v>0.1</v>
      </c>
      <c r="CH258" s="384">
        <f>INDEX(Input!$1:$1048576,CH$93,$C258*2+6)</f>
        <v>0.1</v>
      </c>
      <c r="CI258" s="304">
        <f t="shared" si="735"/>
        <v>2269.7618664521319</v>
      </c>
      <c r="CJ258" s="16" t="str">
        <f>INDEX(Input!$1:$1048576,CJ$93,$C258*2+6)</f>
        <v>N</v>
      </c>
      <c r="CK258" s="1" t="str">
        <f t="shared" si="736"/>
        <v>Market</v>
      </c>
      <c r="CL258" s="1" t="str">
        <f t="shared" si="737"/>
        <v>Market</v>
      </c>
      <c r="CM258" s="1" t="str">
        <f t="shared" si="738"/>
        <v>Market</v>
      </c>
      <c r="CN258" s="1" t="str">
        <f t="shared" si="739"/>
        <v>Market</v>
      </c>
      <c r="CO258" s="1" t="str">
        <f t="shared" si="740"/>
        <v>Market</v>
      </c>
      <c r="CP258" s="304">
        <f t="shared" si="741"/>
        <v>473</v>
      </c>
      <c r="CQ258" s="1">
        <f t="shared" si="742"/>
        <v>0</v>
      </c>
      <c r="CR258" s="1">
        <f t="shared" si="743"/>
        <v>0</v>
      </c>
      <c r="CS258" s="1">
        <f t="shared" si="744"/>
        <v>0</v>
      </c>
      <c r="CT258" s="1">
        <f t="shared" si="745"/>
        <v>8.9999999999999993E-3</v>
      </c>
      <c r="CU258" s="1">
        <f t="shared" si="746"/>
        <v>3.9E-2</v>
      </c>
      <c r="CV258" s="304">
        <f t="shared" si="747"/>
        <v>416</v>
      </c>
      <c r="CW258" s="20" t="s">
        <v>122</v>
      </c>
      <c r="CX258" s="20" t="s">
        <v>122</v>
      </c>
      <c r="CY258" s="20" t="s">
        <v>122</v>
      </c>
      <c r="CZ258" s="20" t="s">
        <v>122</v>
      </c>
      <c r="DA258" s="20" t="s">
        <v>122</v>
      </c>
      <c r="DB258" s="503">
        <f t="shared" si="748"/>
        <v>0</v>
      </c>
      <c r="DC258" s="127">
        <v>0</v>
      </c>
      <c r="DD258" s="127">
        <v>0</v>
      </c>
      <c r="DE258" s="127">
        <v>0</v>
      </c>
      <c r="DF258" s="127">
        <v>0</v>
      </c>
      <c r="DG258" s="127">
        <v>0</v>
      </c>
      <c r="DH258" s="127">
        <v>0</v>
      </c>
      <c r="DI258" s="127">
        <v>0</v>
      </c>
      <c r="DJ258" s="127">
        <v>0</v>
      </c>
      <c r="DK258" s="127">
        <v>0</v>
      </c>
      <c r="DL258" s="127">
        <v>0</v>
      </c>
      <c r="DM258" s="304">
        <f>INDEX(Input!$1:$1048576,DM$93,$C258*2+6)</f>
        <v>21036.84210526316</v>
      </c>
      <c r="DN258" s="20">
        <v>0</v>
      </c>
      <c r="DO258" s="20">
        <v>0</v>
      </c>
      <c r="DP258" s="20">
        <v>0</v>
      </c>
      <c r="DQ258" s="20">
        <v>0</v>
      </c>
      <c r="DR258" s="20">
        <v>0</v>
      </c>
      <c r="DS258" s="20">
        <f>INDEX(Input!$1:$1048576,DS$93,$C258*2+6)</f>
        <v>0.6</v>
      </c>
      <c r="DT258" s="20">
        <f>INDEX(Input!$1:$1048576,DT$93,$C258*2+6)</f>
        <v>0.55000000000000004</v>
      </c>
      <c r="DU258" s="20">
        <f>INDEX(Input!$1:$1048576,DU$93,$C258*2+6)</f>
        <v>0.52</v>
      </c>
      <c r="DV258" s="20">
        <f>INDEX(Input!$1:$1048576,DV$93,$C258*2+6)</f>
        <v>0.5</v>
      </c>
      <c r="DW258" s="20">
        <f>INDEX(Input!$1:$1048576,DW$93,$C258*2+6)</f>
        <v>0.45</v>
      </c>
      <c r="DX258" s="20"/>
      <c r="DY258" s="7">
        <v>0.11183854791877695</v>
      </c>
      <c r="DZ258" s="7">
        <v>0</v>
      </c>
      <c r="EA258" s="7">
        <v>0.69466725726064027</v>
      </c>
      <c r="EB258" s="7">
        <v>0</v>
      </c>
      <c r="EC258" s="7">
        <v>0</v>
      </c>
      <c r="ED258" s="7">
        <v>0</v>
      </c>
      <c r="EE258" s="7">
        <v>0</v>
      </c>
      <c r="EF258" s="7">
        <v>0</v>
      </c>
      <c r="EG258" s="7">
        <v>0</v>
      </c>
      <c r="EH258" s="7">
        <v>1.1236769851872807E-2</v>
      </c>
      <c r="EI258" s="7">
        <v>3.1991100923305468E-2</v>
      </c>
      <c r="EJ258" s="7">
        <v>0.24193655599295294</v>
      </c>
      <c r="EK258" s="7">
        <v>0.62738689946786974</v>
      </c>
      <c r="EL258" s="7">
        <v>8.7448673763999715E-2</v>
      </c>
      <c r="EM258" s="7">
        <v>4.5551187729479727E-2</v>
      </c>
      <c r="EN258" s="7">
        <v>6.6770673953964618E-2</v>
      </c>
      <c r="EO258" s="7">
        <v>0.74264393382185556</v>
      </c>
      <c r="EP258" s="7">
        <v>8.2331256148257509E-2</v>
      </c>
      <c r="EQ258" s="7">
        <v>7.0168523218989462E-2</v>
      </c>
      <c r="ER258" s="7">
        <v>3.8085612856932356E-2</v>
      </c>
      <c r="ES258" s="7">
        <v>0.14794300709110311</v>
      </c>
      <c r="ET258" s="7">
        <v>0.19349419482058278</v>
      </c>
      <c r="EU258" s="6">
        <v>2294</v>
      </c>
      <c r="EV258" s="6">
        <v>0</v>
      </c>
      <c r="EW258" s="6">
        <v>2294</v>
      </c>
      <c r="EX258" s="6">
        <v>0</v>
      </c>
      <c r="EY258" s="6">
        <v>2357.0259958630468</v>
      </c>
      <c r="EZ258" s="6">
        <v>1306</v>
      </c>
      <c r="FA258" s="6">
        <v>0</v>
      </c>
      <c r="FB258" s="6">
        <v>0</v>
      </c>
      <c r="FC258" s="6">
        <v>0</v>
      </c>
      <c r="FD258" s="6">
        <v>0</v>
      </c>
      <c r="FE258" s="6">
        <v>0</v>
      </c>
      <c r="FF258" s="6">
        <v>0</v>
      </c>
      <c r="FG258" s="6">
        <v>0</v>
      </c>
      <c r="FH258" s="6">
        <v>1173.7371809490462</v>
      </c>
      <c r="FI258" s="6">
        <v>1553.9796069512404</v>
      </c>
      <c r="FJ258" s="6">
        <v>2101.2110117447414</v>
      </c>
      <c r="FK258" s="6">
        <v>2251.3078348034669</v>
      </c>
      <c r="FL258" s="6">
        <v>907.07682140966369</v>
      </c>
      <c r="FM258" s="6">
        <v>2063.0259958630468</v>
      </c>
      <c r="FN258" s="6">
        <v>0</v>
      </c>
      <c r="FO258" s="6">
        <v>0</v>
      </c>
      <c r="FP258" s="6">
        <v>0</v>
      </c>
      <c r="FQ258" s="6">
        <v>0</v>
      </c>
      <c r="FR258" s="6">
        <v>0</v>
      </c>
      <c r="FS258" s="6">
        <v>0</v>
      </c>
      <c r="FT258" s="7">
        <v>0.80650580517941717</v>
      </c>
      <c r="FU258" s="7">
        <v>4.5551187729479727E-2</v>
      </c>
      <c r="FV258" s="7">
        <v>0.14794300709110311</v>
      </c>
      <c r="FW258" s="6">
        <v>2294.0000000000005</v>
      </c>
      <c r="FX258" s="6">
        <v>2357.0259958630468</v>
      </c>
      <c r="FY258" s="6">
        <v>1306</v>
      </c>
      <c r="FZ258" s="6">
        <v>1817.4615072224267</v>
      </c>
      <c r="GA258" s="6">
        <v>2150.7032179633852</v>
      </c>
      <c r="GB258" s="6">
        <v>17834.296782036614</v>
      </c>
      <c r="GC258" s="7">
        <v>1.804905384453976E-2</v>
      </c>
      <c r="GD258" s="7">
        <v>1.9157143801394123E-2</v>
      </c>
      <c r="GE258" s="7"/>
      <c r="GF258" s="7"/>
      <c r="GG258" s="7">
        <v>6.1393243457444978E-2</v>
      </c>
      <c r="GH258" s="42">
        <v>3.6818439317483529</v>
      </c>
      <c r="GI258" s="6">
        <v>7578.6899470233475</v>
      </c>
      <c r="GJ258" s="14">
        <v>0.50394797582841733</v>
      </c>
      <c r="GK258" s="14">
        <v>0.50887573065309755</v>
      </c>
      <c r="GL258" s="14">
        <v>0.49605202417158273</v>
      </c>
      <c r="GM258" s="14">
        <v>0.4911242693469024</v>
      </c>
      <c r="GO258" s="5">
        <v>343.14810671672558</v>
      </c>
      <c r="GP258" s="5">
        <v>299.3829630362892</v>
      </c>
      <c r="GQ258" s="5">
        <v>535.04305713031317</v>
      </c>
      <c r="GR258" s="5">
        <v>410.15490233172511</v>
      </c>
      <c r="GS258" s="5">
        <v>339.42744393800166</v>
      </c>
      <c r="GT258" s="5">
        <v>293.4407446948278</v>
      </c>
      <c r="GU258" s="5">
        <v>258.04012322764959</v>
      </c>
      <c r="GV258" s="39" t="s">
        <v>392</v>
      </c>
      <c r="GW258" s="5">
        <v>491.45833333333331</v>
      </c>
      <c r="GX258" s="5">
        <v>368.59375</v>
      </c>
      <c r="GY258" s="5">
        <v>294.875</v>
      </c>
      <c r="GZ258" s="5">
        <v>252.51567799800796</v>
      </c>
      <c r="HA258" s="5">
        <v>241.02179695997205</v>
      </c>
      <c r="HB258" s="39">
        <v>268.15723076638602</v>
      </c>
      <c r="HC258" s="5">
        <v>230.14687499999999</v>
      </c>
      <c r="HD258" s="5">
        <v>200.80677997076018</v>
      </c>
      <c r="HE258" s="5">
        <v>204.75485408232115</v>
      </c>
      <c r="HF258" s="5">
        <v>190.70750548245613</v>
      </c>
      <c r="HG258" s="5">
        <v>185.59971491228069</v>
      </c>
      <c r="HH258" s="39">
        <v>201.80306622177204</v>
      </c>
      <c r="HI258" s="16"/>
      <c r="HJ258" s="19" t="str">
        <f t="shared" si="761"/>
        <v>On</v>
      </c>
      <c r="HK258" s="1" t="str">
        <f t="shared" si="761"/>
        <v>On</v>
      </c>
      <c r="HL258" s="16"/>
      <c r="HM258" s="639">
        <f t="shared" si="634"/>
        <v>1.2768706344444866E-2</v>
      </c>
      <c r="HN258" s="639">
        <f t="shared" si="635"/>
        <v>9.795534288915453E-4</v>
      </c>
      <c r="HO258" s="639">
        <f t="shared" si="636"/>
        <v>3.3583061774515237E-3</v>
      </c>
      <c r="HP258" s="644">
        <f>(FT258*$GD258-HM258)/$JF258*INDEX(Input!$1:$1048576,$JG$93,$C258*2+6)</f>
        <v>194.85384721517943</v>
      </c>
      <c r="HQ258" s="644">
        <f>(FU258*$GD258-HN258)/$JF258*INDEX(Input!$1:$1048576,$JG$93,$C258*2+6)</f>
        <v>-7.7692396006135036</v>
      </c>
      <c r="HR258" s="644">
        <f>(FV258*$GD258-HO258)/$JF258*INDEX(Input!$1:$1048576,$JG$93,$C258*2+6)</f>
        <v>-38.085195597211836</v>
      </c>
      <c r="HS258" s="644">
        <f t="shared" si="754"/>
        <v>-65.288678676940023</v>
      </c>
      <c r="HT258" s="644">
        <f t="shared" si="638"/>
        <v>13.073759245299748</v>
      </c>
      <c r="HU258" s="644">
        <f t="shared" si="639"/>
        <v>22.864665004200887</v>
      </c>
      <c r="HV258" s="648">
        <f t="shared" si="640"/>
        <v>0</v>
      </c>
      <c r="HW258" s="648">
        <f t="shared" si="641"/>
        <v>0</v>
      </c>
      <c r="HX258" s="648">
        <f t="shared" si="642"/>
        <v>0</v>
      </c>
      <c r="HY258" s="644">
        <f>INDEX(Input!$1:$1048576,HY$93,$C258*2+6)*INDEX(Input!$1:$1048576,$JG$93,$C258*2+6)</f>
        <v>451</v>
      </c>
      <c r="HZ258" s="644">
        <f>INDEX(Input!$1:$1048576,HZ$93,$C258*2+6)*INDEX(Input!$1:$1048576,$JG$93,$C258*2+6)</f>
        <v>577</v>
      </c>
      <c r="IA258" s="644">
        <f>INDEX(Input!$1:$1048576,IA$93,$C258*2+6)*INDEX(Input!$1:$1048576,$JG$93,$C258*2+6)</f>
        <v>215</v>
      </c>
      <c r="IB258" s="644">
        <f t="shared" si="666"/>
        <v>580.5651685382395</v>
      </c>
      <c r="IC258" s="644">
        <f t="shared" si="667"/>
        <v>582.30451964468614</v>
      </c>
      <c r="ID258" s="644">
        <f>IF(AND(INDEX(Input!$1:$1048576,IA$93,$C258*2+7)="TOS",Y258&lt;=INDEX(Y:Y,MATCH(C258*1000+2,A:A))),0,1)*MAX(IA258+HR258+HU258+HX258,0%)</f>
        <v>199.77946940698905</v>
      </c>
      <c r="IE258" s="128">
        <f t="shared" si="759"/>
        <v>0.42605623414105465</v>
      </c>
      <c r="IF258" s="128">
        <f t="shared" si="643"/>
        <v>0.42733268237188393</v>
      </c>
      <c r="IG258" s="128">
        <f t="shared" si="644"/>
        <v>0.14661108348706156</v>
      </c>
      <c r="IH258" s="21"/>
      <c r="II258" s="19">
        <f t="shared" si="645"/>
        <v>1252</v>
      </c>
      <c r="IJ258" s="19">
        <f t="shared" si="646"/>
        <v>2011.9658773055378</v>
      </c>
      <c r="IK258" s="19">
        <f t="shared" si="647"/>
        <v>919</v>
      </c>
      <c r="IL258" s="19">
        <f t="shared" si="669"/>
        <v>1042.0000000000005</v>
      </c>
      <c r="IM258" s="19">
        <f t="shared" si="648"/>
        <v>345.06011855750899</v>
      </c>
      <c r="IN258" s="19">
        <f t="shared" si="649"/>
        <v>387</v>
      </c>
      <c r="IO258" s="39">
        <f t="shared" si="650"/>
        <v>0</v>
      </c>
      <c r="IP258" s="39">
        <f t="shared" si="651"/>
        <v>0</v>
      </c>
      <c r="IQ258" s="39">
        <f t="shared" si="652"/>
        <v>0</v>
      </c>
      <c r="IR258" s="39">
        <v>0</v>
      </c>
      <c r="IS258" s="39">
        <v>0</v>
      </c>
      <c r="IT258" s="39">
        <v>0</v>
      </c>
      <c r="IU258" s="39">
        <v>0</v>
      </c>
      <c r="IV258" s="39">
        <v>0</v>
      </c>
      <c r="IW258" s="39">
        <v>0</v>
      </c>
      <c r="IX258" s="39">
        <f>INDEX(Input!$1:$1048576,IX$93,$C258*2+6)+INDEX(Input!$1:$1048576,IX$94,$C258*2+6)</f>
        <v>1294</v>
      </c>
      <c r="IY258" s="39">
        <f>INDEX(Input!$1:$1048576,IY$93,$C258*2+6)+INDEX(Input!$1:$1048576,IY$94,$C258*2+6)</f>
        <v>2154.0624533823611</v>
      </c>
      <c r="IZ258" s="39">
        <f>INDEX(Input!$1:$1048576,IZ$93,$C258*2+6)+INDEX(Input!$1:$1048576,IZ$94,$C258*2+6)</f>
        <v>3677.7164157747848</v>
      </c>
      <c r="JA258" s="19">
        <f t="shared" si="670"/>
        <v>2336.0000000000005</v>
      </c>
      <c r="JB258" s="19">
        <f t="shared" si="671"/>
        <v>2499.1225719398699</v>
      </c>
      <c r="JC258" s="19">
        <f t="shared" si="672"/>
        <v>4064.7164157747848</v>
      </c>
      <c r="JD258" s="19">
        <f t="shared" si="673"/>
        <v>2659.1565929810768</v>
      </c>
      <c r="JE258" s="21"/>
      <c r="JF258" s="1">
        <f t="shared" si="653"/>
        <v>1.7106565950787935E-2</v>
      </c>
      <c r="JG258" s="15">
        <f>INDEX(Input!$1:$1048576,JG$93,$C258*2+6)/(1+VLOOKUP(C258*1000+INDEX(Input!$1:$1048576,JG$93+1,$C258*2+6),$A:$KK,$JK$92,FALSE))</f>
        <v>1243</v>
      </c>
      <c r="JH258" s="1">
        <f t="shared" si="674"/>
        <v>0.11987080612820118</v>
      </c>
      <c r="JI258" s="1">
        <f t="shared" si="675"/>
        <v>-2.3612433167690579E-2</v>
      </c>
      <c r="JJ258" s="1">
        <f t="shared" si="731"/>
        <v>0</v>
      </c>
      <c r="JK258" s="1">
        <f t="shared" si="732"/>
        <v>9.6258372960510596E-2</v>
      </c>
      <c r="JL258" s="15">
        <f t="shared" si="678"/>
        <v>119.64915758991467</v>
      </c>
      <c r="JM258" s="15">
        <f t="shared" si="702"/>
        <v>1362.6491575899147</v>
      </c>
      <c r="JN258" s="21"/>
      <c r="JO258" s="19">
        <f>INDEX(Input!$1:$1048576,JO$93,$C258*2+6)</f>
        <v>5995.5</v>
      </c>
      <c r="JP258" s="19">
        <f>INDEX(Input!$1:$1048576,JP$93,$C258*2+6)</f>
        <v>2105.548724853742</v>
      </c>
      <c r="JQ258" s="39">
        <f t="shared" si="688"/>
        <v>3336.3434070189232</v>
      </c>
      <c r="JR258" s="39">
        <f t="shared" si="705"/>
        <v>553.60786812733477</v>
      </c>
      <c r="JS258" s="39">
        <f t="shared" si="690"/>
        <v>3.6234974913253319</v>
      </c>
      <c r="JT258" s="39">
        <f t="shared" si="680"/>
        <v>1.0063004263321305</v>
      </c>
      <c r="JU258" s="385">
        <f>(JQ258*JM258-INDEX(Input!$1:$1048576,Input!A$18,$C258*2+6)*JL258*INDEX(Input!$1:$1048576,Input!A$19,$C258*2+6))/1000000</f>
        <v>4.5462655330050019</v>
      </c>
      <c r="JV258" s="39">
        <f t="shared" si="712"/>
        <v>-0.28894390200179654</v>
      </c>
      <c r="JW258" s="1">
        <f t="shared" si="703"/>
        <v>-5.9758301245412399E-2</v>
      </c>
      <c r="JX258" s="19">
        <f t="shared" si="694"/>
        <v>8410.4263381537803</v>
      </c>
      <c r="JZ258" s="341"/>
      <c r="KA258" s="342"/>
      <c r="KB258" s="469">
        <f t="shared" si="691"/>
        <v>2.5660492421988774</v>
      </c>
      <c r="KI258" s="473">
        <f t="shared" si="756"/>
        <v>129.56516853823962</v>
      </c>
      <c r="KJ258" s="473">
        <f t="shared" si="757"/>
        <v>5.3045196446862519</v>
      </c>
      <c r="KK258" s="473">
        <f t="shared" si="682"/>
        <v>-15.22053059301092</v>
      </c>
      <c r="KN258" s="544">
        <f t="shared" si="695"/>
        <v>2002</v>
      </c>
      <c r="KO258" s="541">
        <f t="shared" si="657"/>
        <v>8.979949676167176E-2</v>
      </c>
      <c r="KP258" s="546">
        <f t="shared" si="658"/>
        <v>608.34323186499955</v>
      </c>
      <c r="KQ258" s="546">
        <f t="shared" si="659"/>
        <v>515.47625354760385</v>
      </c>
      <c r="KR258" s="548">
        <f t="shared" si="660"/>
        <v>2.6336144517812832</v>
      </c>
      <c r="KS258" s="548">
        <f t="shared" si="661"/>
        <v>3.1080801803317955</v>
      </c>
      <c r="KT258" s="473">
        <f t="shared" si="693"/>
        <v>843.26993010479111</v>
      </c>
      <c r="KU258" s="663">
        <f t="shared" si="683"/>
        <v>4.6289622941525641</v>
      </c>
      <c r="KV258" s="117"/>
    </row>
    <row r="259" spans="1:308" s="26" customFormat="1" ht="15" outlineLevel="1">
      <c r="A259" s="561">
        <f t="shared" si="662"/>
        <v>2059</v>
      </c>
      <c r="B259" s="561">
        <f t="shared" si="684"/>
        <v>59</v>
      </c>
      <c r="C259" s="561">
        <f t="shared" si="760"/>
        <v>2</v>
      </c>
      <c r="D259" s="561" t="str">
        <f t="shared" si="728"/>
        <v xml:space="preserve">250 CC, 0/0/0.9/3.9, -360 Lease, </v>
      </c>
      <c r="E259" s="475">
        <f>INDEX(Input!$1:$1048576,E$93,$C259*2+MIN($B259,2)+5)
+INDEX(Scenarios!E$121:E$200,MATCH($B259,Scenarios!$B$121:$B$200,0))</f>
        <v>1519.7618664521319</v>
      </c>
      <c r="F259" s="475">
        <f>INDEX(Input!$1:$1048576,F$93,$C259*2+MIN($B259,2)+5)
+INDEX(Scenarios!F$121:F$200,MATCH($B259,Scenarios!$B$121:$B$200,0))</f>
        <v>0</v>
      </c>
      <c r="G259" s="475">
        <f>INDEX(Input!$1:$1048576,G$93,$C259*2+MIN($B259,2)+5)
+INDEX(Scenarios!G$121:G$200,MATCH($B259,Scenarios!$B$121:$B$200,0))</f>
        <v>0</v>
      </c>
      <c r="H259" s="475">
        <f>INDEX(Input!$1:$1048576,H$93,$C259*2+MIN($B259,2)+5)
+INDEX(Scenarios!H$121:H$200,MATCH($B259,Scenarios!$B$121:$B$200,0))</f>
        <v>0</v>
      </c>
      <c r="I259" s="476">
        <f>INDEX(Input!$1:$1048576,I$93,$C259*2+MIN($B259,2)+5)</f>
        <v>0.7</v>
      </c>
      <c r="J259" s="476" t="str">
        <f>INDEX(Input!$1:$1048576,J$93,$C259*2+MIN($B259,2)+5)</f>
        <v>Market</v>
      </c>
      <c r="K259" s="476" t="str">
        <f>INDEX(Input!$1:$1048576,K$93,$C259*2+MIN($B259,2)+5)</f>
        <v>Market</v>
      </c>
      <c r="L259" s="476" t="str">
        <f>INDEX(Input!$1:$1048576,L$93,$C259*2+MIN($B259,2)+5)</f>
        <v>Market</v>
      </c>
      <c r="M259" s="476" t="str">
        <f>INDEX(Input!$1:$1048576,M$93,$C259*2+MIN($B259,2)+5)</f>
        <v>Market</v>
      </c>
      <c r="N259" s="476" t="str">
        <f>INDEX(Input!$1:$1048576,N$93,$C259*2+MIN($B259,2)+5)</f>
        <v>Market</v>
      </c>
      <c r="O259" s="476" t="str">
        <f>INDEX(Input!$1:$1048576,O$93,$C259*2+MIN($B259,2)+5)</f>
        <v>Market</v>
      </c>
      <c r="P259" s="476" t="str">
        <f>INDEX(Input!$1:$1048576,P$93,$C259*2+MIN($B259,2)+5)</f>
        <v>N</v>
      </c>
      <c r="Q259" s="477">
        <f>INDEX(Input!$1:$1048576,Q$93,$C259*2+MIN($B259,2)+5)
+INDEX(Scenarios!Q$121:Q$200,MATCH($B259,Scenarios!$B$121:$B$200,0))</f>
        <v>0</v>
      </c>
      <c r="R259" s="478">
        <f>IFERROR(MAX(0,INDEX(Input!$1:$1048576,R$93,$C259*2+MIN($B259,2)+5)
+INDEX(Scenarios!R$121:R$200,MATCH($B259,Scenarios!$B$121:$B$200,0)),),"Market")</f>
        <v>0</v>
      </c>
      <c r="S259" s="478">
        <f>IFERROR(MAX(0,INDEX(Input!$1:$1048576,S$93,$C259*2+MIN($B259,2)+5)
+INDEX(Scenarios!S$121:S$200,MATCH($B259,Scenarios!$B$121:$B$200,0)),),"Market")</f>
        <v>0</v>
      </c>
      <c r="T259" s="478">
        <f>IFERROR(MAX(0,INDEX(Input!$1:$1048576,T$93,$C259*2+MIN($B259,2)+5)
+INDEX(Scenarios!T$121:T$200,MATCH($B259,Scenarios!$B$121:$B$200,0)),),"Market")</f>
        <v>0</v>
      </c>
      <c r="U259" s="478">
        <f>IFERROR(MAX(0,INDEX(Input!$1:$1048576,U$93,$C259*2+MIN($B259,2)+5)
+INDEX(Scenarios!U$121:U$200,MATCH($B259,Scenarios!$B$121:$B$200,0)),),"Market")</f>
        <v>0</v>
      </c>
      <c r="V259" s="478">
        <f>IFERROR(MAX(0,INDEX(Input!$1:$1048576,V$93,$C259*2+MIN($B259,2)+5)
+INDEX(Scenarios!V$121:V$200,MATCH($B259,Scenarios!$B$121:$B$200,0)),),"Market")</f>
        <v>8.9999999999999993E-3</v>
      </c>
      <c r="W259" s="885">
        <f>IFERROR(MAX(0,INDEX(Input!$1:$1048576,W$93,$C259*2+MIN($B259,2)+5)-0%,),"Market")</f>
        <v>3.9E-2</v>
      </c>
      <c r="X259" s="476" t="str">
        <f>INDEX(Input!$1:$1048576,X$93,$C259*2+MIN($B259,2)+5)</f>
        <v>Y</v>
      </c>
      <c r="Y259" s="475">
        <f>INDEX(Input!$1:$1048576,Y$93,$C259*2+MIN($B259,2)+5)
++INDEX(Scenarios!Y$121:Y$200,MATCH($B259,Scenarios!$B$121:$B$200,0))</f>
        <v>-304</v>
      </c>
      <c r="Z259" s="477">
        <f>INDEX(Input!$1:$1048576,Z$93,$C259*2+MIN($B259,2)+5)
+INDEX(Scenarios!Z$121:Z$200,MATCH($B259,Scenarios!$B$121:$B$200,0))</f>
        <v>0</v>
      </c>
      <c r="AA259" s="475">
        <f>INDEX(Input!$1:$1048576,AA$93,$C259*2+MIN($B259,2)+5)
+INDEX(Scenarios!AA$121:AA$200,MATCH($B259,Scenarios!$B$121:$B$200,0))</f>
        <v>0</v>
      </c>
      <c r="AB259" s="476">
        <f>INDEX(Input!$1:$1048576,AB$93,$C259*2+MIN($B259,2)+5)</f>
        <v>0.27</v>
      </c>
      <c r="AC259" s="475">
        <f>INDEX(Input!$1:$1048576,AC$93,$C259*2+MIN($B259,2)+5)
+INDEX(Scenarios!AC$121:AC$200,MATCH($B259,Scenarios!$B$121:$B$200,0))</f>
        <v>0</v>
      </c>
      <c r="AD259" s="476">
        <f>INDEX(Input!$1:$1048576,AD$93,$C259*2+MIN($B259,2)+5)</f>
        <v>0.27</v>
      </c>
      <c r="AE259" s="475">
        <f>INDEX(Input!$1:$1048576,AE$93,$C259*2+MIN($B259,2)+5)
+INDEX(Scenarios!AE$121:AE$200,MATCH($B259,Scenarios!$B$121:$B$200,0))</f>
        <v>0</v>
      </c>
      <c r="AF259" s="476">
        <f>INDEX(Input!$1:$1048576,AF$93,$C259*2+MIN($B259,2)+5)</f>
        <v>4.8000000000000001E-2</v>
      </c>
      <c r="AG259" s="475">
        <f>INDEX(Input!$1:$1048576,AG$93,$C259*2+MIN($B259,2)+5)
+INDEX(Scenarios!AG$121:AG$200,MATCH($B259,Scenarios!$B$121:$B$200,0))</f>
        <v>500</v>
      </c>
      <c r="AH259" s="476">
        <f>INDEX(Input!$1:$1048576,AH$93,$C259*2+MIN($B259,2)+5)</f>
        <v>0.94599999999999995</v>
      </c>
      <c r="AI259" s="475">
        <f>INDEX(Input!$1:$1048576,AI$93,$C259*2+MIN($B259,2)+5)
+INDEX(Scenarios!AI$121:AI$200,MATCH($B259,Scenarios!$B$121:$B$200,0))</f>
        <v>0</v>
      </c>
      <c r="AJ259" s="476">
        <f>INDEX(Input!$1:$1048576,AJ$93,$C259*2+MIN($B259,2)+5)</f>
        <v>0.27</v>
      </c>
      <c r="AK259" s="150">
        <f>ROUND(INDEX(Input!$1:$1048576,AK$93,$C258*2+MIN($B259,1)+5)+(Y259-VLOOKUP($C259*1000+1,$A:$HH,Y$92,FALSE)),0)</f>
        <v>2617</v>
      </c>
      <c r="AL259" s="150">
        <f>ROUND(INDEX(Input!$1:$1048576,AL$93,$C258*2+MIN($B259,1)+5)-(Y259-VLOOKUP($C259*1000+1,$A:$HH,Y$92,FALSE))/36,0)</f>
        <v>3405</v>
      </c>
      <c r="AM259" s="32" t="str">
        <f t="shared" si="663"/>
        <v>std/std/std/std</v>
      </c>
      <c r="AN259" s="32" t="str">
        <f t="shared" si="664"/>
        <v>$0 + 0/0/0/0.9/3.9</v>
      </c>
      <c r="AO259" s="32" t="str">
        <f t="shared" si="665"/>
        <v>0/0/0/0.9/3.9</v>
      </c>
      <c r="AP259" s="32" t="str">
        <f t="shared" si="734"/>
        <v>0/0/0.9/3.9</v>
      </c>
      <c r="AQ259" s="536">
        <f t="shared" si="733"/>
        <v>0.39460596038249102</v>
      </c>
      <c r="AR259" s="32"/>
      <c r="AS259" s="302"/>
      <c r="AT259" s="3">
        <f t="shared" si="717"/>
        <v>59</v>
      </c>
      <c r="AU259" s="41" t="s">
        <v>121</v>
      </c>
      <c r="AV259" s="41" t="s">
        <v>116</v>
      </c>
      <c r="AW259" s="41" t="str">
        <f>INDEX(Input!$1:$1048576,AW$93,$C259*2+6)</f>
        <v>Kia</v>
      </c>
      <c r="AX259" s="41" t="str">
        <f>INDEX(Input!$1:$1048576,AX$93,$C259*2+6)</f>
        <v>Kia-LR - L2</v>
      </c>
      <c r="AY259" s="41" t="str">
        <f>IF(LEN(D259)=0,"",INDEX(Input!$1:$1048576,AY$93,$C259*2+6))</f>
        <v>Compact SUV (52)</v>
      </c>
      <c r="AZ259" s="41" t="str">
        <f>INDEX(Input!$1:$1048576,AZ$93,$C259*2+6)</f>
        <v>Kia Soul</v>
      </c>
      <c r="BA259" s="3">
        <f>INDEX(Input!$1:$1048576,BA$93,$C259*2+6)</f>
        <v>2020</v>
      </c>
      <c r="BB259" s="128">
        <f>INDEX(Input!$1:$1048576,BB$93,$C259*2+6)</f>
        <v>1</v>
      </c>
      <c r="BC259" s="128">
        <f>INDEX(Input!$1:$1048576,BC$93,$C259*2+6)</f>
        <v>0.7</v>
      </c>
      <c r="BD259" s="1">
        <f>INDEX(Input!$1:$1048576,BD$93,$C259*2+6)</f>
        <v>4.4999999999999998E-2</v>
      </c>
      <c r="BE259" s="1">
        <f>INDEX(Input!$1:$1048576,BE$93,$C259*2+6)</f>
        <v>4.4999999999999998E-2</v>
      </c>
      <c r="BF259" s="1">
        <f>INDEX(Input!$1:$1048576,BF$93,$C259*2+6)</f>
        <v>0.05</v>
      </c>
      <c r="BG259" s="1">
        <f>INDEX(Input!$1:$1048576,BG$93,$C259*2+6)</f>
        <v>5.45E-2</v>
      </c>
      <c r="BH259" s="1">
        <f>INDEX(Input!$1:$1048576,BH$93,$C259*2+6)</f>
        <v>5.45E-2</v>
      </c>
      <c r="BI259" s="1">
        <f>INDEX(Input!$1:$1048576,BI$93,$C259*2+6)</f>
        <v>0.05</v>
      </c>
      <c r="BJ259" s="1">
        <f>INDEX(Input!$1:$1048576,BJ$93,$C259*2+6)</f>
        <v>0.05</v>
      </c>
      <c r="BK259" s="1">
        <f>INDEX(Input!$1:$1048576,BK$93,$C259*2+6)</f>
        <v>0.05</v>
      </c>
      <c r="BL259" s="1">
        <f>INDEX(Input!$1:$1048576,BL$93,$C259*2+6)</f>
        <v>5.5E-2</v>
      </c>
      <c r="BM259" s="1">
        <f>INDEX(Input!$1:$1048576,BM$93,$C259*2+6)</f>
        <v>0.06</v>
      </c>
      <c r="BN259" s="1">
        <f>INDEX(Input!$1:$1048576,BN$93,$C259*2+6)</f>
        <v>4.4999999999999998E-2</v>
      </c>
      <c r="BO259" s="1">
        <f>INDEX(Input!$1:$1048576,BO$93,$C259*2+6)</f>
        <v>4.4999999999999998E-2</v>
      </c>
      <c r="BP259" s="1">
        <f>INDEX(Input!$1:$1048576,BP$93,$C259*2+6)</f>
        <v>0.05</v>
      </c>
      <c r="BQ259" s="1">
        <f>INDEX(Input!$1:$1048576,BQ$93,$C259*2+6)</f>
        <v>5.45E-2</v>
      </c>
      <c r="BR259" s="1">
        <f>INDEX(Input!$1:$1048576,BR$93,$C259*2+6)</f>
        <v>5.45E-2</v>
      </c>
      <c r="BS259" s="1">
        <f>INDEX(Input!$1:$1048576,BS$93,$C259*2+6)</f>
        <v>0.05</v>
      </c>
      <c r="BT259" s="1">
        <f>INDEX(Input!$1:$1048576,BT$93,$C259*2+6)</f>
        <v>0.05</v>
      </c>
      <c r="BU259" s="1">
        <f>INDEX(Input!$1:$1048576,BU$93,$C259*2+6)</f>
        <v>0.05</v>
      </c>
      <c r="BV259" s="1">
        <f>INDEX(Input!$1:$1048576,BV$93,$C259*2+6)</f>
        <v>5.5E-2</v>
      </c>
      <c r="BW259" s="1">
        <f>INDEX(Input!$1:$1048576,BW$93,$C259*2+6)</f>
        <v>0.06</v>
      </c>
      <c r="BX259" s="127">
        <f>INDEX(Input!$1:$1048576,BX$93,$C259*2+6)</f>
        <v>19985</v>
      </c>
      <c r="BY259" s="20">
        <f>INDEX(Input!$1:$1048576,BY$93,$C259*2+6)</f>
        <v>0.1</v>
      </c>
      <c r="BZ259" s="20">
        <f>INDEX(Input!$1:$1048576,BZ$93,$C259*2+6)</f>
        <v>0.1</v>
      </c>
      <c r="CA259" s="20">
        <f>INDEX(Input!$1:$1048576,CA$93,$C259*2+6)</f>
        <v>0.1</v>
      </c>
      <c r="CB259" s="20">
        <f>INDEX(Input!$1:$1048576,CB$93,$C259*2+6)</f>
        <v>0.1</v>
      </c>
      <c r="CC259" s="20">
        <f>INDEX(Input!$1:$1048576,CC$93,$C259*2+6)</f>
        <v>0.1</v>
      </c>
      <c r="CD259" s="384">
        <f>INDEX(Input!$1:$1048576,CD$93,$C259*2+6)</f>
        <v>0.1</v>
      </c>
      <c r="CE259" s="384">
        <f>INDEX(Input!$1:$1048576,CE$93,$C259*2+6)</f>
        <v>0.1</v>
      </c>
      <c r="CF259" s="384">
        <f>INDEX(Input!$1:$1048576,CF$93,$C259*2+6)</f>
        <v>0.1</v>
      </c>
      <c r="CG259" s="384">
        <f>INDEX(Input!$1:$1048576,CG$93,$C259*2+6)</f>
        <v>0.1</v>
      </c>
      <c r="CH259" s="384">
        <f>INDEX(Input!$1:$1048576,CH$93,$C259*2+6)</f>
        <v>0.1</v>
      </c>
      <c r="CI259" s="304">
        <f t="shared" si="735"/>
        <v>1519.7618664521319</v>
      </c>
      <c r="CJ259" s="16" t="str">
        <f>INDEX(Input!$1:$1048576,CJ$93,$C259*2+6)</f>
        <v>N</v>
      </c>
      <c r="CK259" s="1" t="str">
        <f t="shared" si="736"/>
        <v>Market</v>
      </c>
      <c r="CL259" s="1" t="str">
        <f t="shared" si="737"/>
        <v>Market</v>
      </c>
      <c r="CM259" s="1" t="str">
        <f t="shared" si="738"/>
        <v>Market</v>
      </c>
      <c r="CN259" s="1" t="str">
        <f t="shared" si="739"/>
        <v>Market</v>
      </c>
      <c r="CO259" s="1" t="str">
        <f t="shared" si="740"/>
        <v>Market</v>
      </c>
      <c r="CP259" s="304">
        <f t="shared" si="741"/>
        <v>473</v>
      </c>
      <c r="CQ259" s="1">
        <f t="shared" si="742"/>
        <v>0</v>
      </c>
      <c r="CR259" s="1">
        <f t="shared" si="743"/>
        <v>0</v>
      </c>
      <c r="CS259" s="1">
        <f t="shared" si="744"/>
        <v>0</v>
      </c>
      <c r="CT259" s="1">
        <f t="shared" si="745"/>
        <v>8.9999999999999993E-3</v>
      </c>
      <c r="CU259" s="1">
        <f t="shared" si="746"/>
        <v>3.9E-2</v>
      </c>
      <c r="CV259" s="304">
        <f t="shared" si="747"/>
        <v>-304</v>
      </c>
      <c r="CW259" s="20" t="s">
        <v>122</v>
      </c>
      <c r="CX259" s="20" t="s">
        <v>122</v>
      </c>
      <c r="CY259" s="20" t="s">
        <v>122</v>
      </c>
      <c r="CZ259" s="20" t="s">
        <v>122</v>
      </c>
      <c r="DA259" s="20" t="s">
        <v>122</v>
      </c>
      <c r="DB259" s="503">
        <f t="shared" si="748"/>
        <v>0</v>
      </c>
      <c r="DC259" s="127">
        <v>0</v>
      </c>
      <c r="DD259" s="127">
        <v>0</v>
      </c>
      <c r="DE259" s="127">
        <v>0</v>
      </c>
      <c r="DF259" s="127">
        <v>0</v>
      </c>
      <c r="DG259" s="127">
        <v>0</v>
      </c>
      <c r="DH259" s="127">
        <v>0</v>
      </c>
      <c r="DI259" s="127">
        <v>0</v>
      </c>
      <c r="DJ259" s="127">
        <v>0</v>
      </c>
      <c r="DK259" s="127">
        <v>0</v>
      </c>
      <c r="DL259" s="127">
        <v>0</v>
      </c>
      <c r="DM259" s="304">
        <f>INDEX(Input!$1:$1048576,DM$93,$C259*2+6)</f>
        <v>21036.84210526316</v>
      </c>
      <c r="DN259" s="20">
        <v>0</v>
      </c>
      <c r="DO259" s="20">
        <v>0</v>
      </c>
      <c r="DP259" s="20">
        <v>0</v>
      </c>
      <c r="DQ259" s="20">
        <v>0</v>
      </c>
      <c r="DR259" s="20">
        <v>0</v>
      </c>
      <c r="DS259" s="20">
        <f>INDEX(Input!$1:$1048576,DS$93,$C259*2+6)</f>
        <v>0.6</v>
      </c>
      <c r="DT259" s="20">
        <f>INDEX(Input!$1:$1048576,DT$93,$C259*2+6)</f>
        <v>0.55000000000000004</v>
      </c>
      <c r="DU259" s="20">
        <f>INDEX(Input!$1:$1048576,DU$93,$C259*2+6)</f>
        <v>0.52</v>
      </c>
      <c r="DV259" s="20">
        <f>INDEX(Input!$1:$1048576,DV$93,$C259*2+6)</f>
        <v>0.5</v>
      </c>
      <c r="DW259" s="20">
        <f>INDEX(Input!$1:$1048576,DW$93,$C259*2+6)</f>
        <v>0.45</v>
      </c>
      <c r="DX259" s="20"/>
      <c r="DY259" s="7">
        <v>9.9848514041660216E-2</v>
      </c>
      <c r="DZ259" s="7">
        <v>0</v>
      </c>
      <c r="EA259" s="7">
        <v>0.68439546237735804</v>
      </c>
      <c r="EB259" s="7">
        <v>0</v>
      </c>
      <c r="EC259" s="7">
        <v>0</v>
      </c>
      <c r="ED259" s="7">
        <v>0</v>
      </c>
      <c r="EE259" s="7">
        <v>0</v>
      </c>
      <c r="EF259" s="7">
        <v>0</v>
      </c>
      <c r="EG259" s="7">
        <v>0</v>
      </c>
      <c r="EH259" s="7">
        <v>1.1234256305601672E-2</v>
      </c>
      <c r="EI259" s="7">
        <v>3.1982362726181213E-2</v>
      </c>
      <c r="EJ259" s="7">
        <v>0.24190940463155847</v>
      </c>
      <c r="EK259" s="7">
        <v>0.62741212484350728</v>
      </c>
      <c r="EL259" s="7">
        <v>8.7461851493151416E-2</v>
      </c>
      <c r="EM259" s="7">
        <v>6.6659349890250824E-2</v>
      </c>
      <c r="EN259" s="7">
        <v>6.4362684584282473E-2</v>
      </c>
      <c r="EO259" s="7">
        <v>0.72183355439457619</v>
      </c>
      <c r="EP259" s="7">
        <v>9.2886419819660213E-2</v>
      </c>
      <c r="EQ259" s="7">
        <v>7.9199748781203227E-2</v>
      </c>
      <c r="ER259" s="7">
        <v>4.1717592420278109E-2</v>
      </c>
      <c r="ES259" s="7">
        <v>0.14909667369073099</v>
      </c>
      <c r="ET259" s="7">
        <v>0.21575602358098181</v>
      </c>
      <c r="EU259" s="6">
        <v>1544</v>
      </c>
      <c r="EV259" s="6">
        <v>0</v>
      </c>
      <c r="EW259" s="6">
        <v>1544</v>
      </c>
      <c r="EX259" s="6">
        <v>0</v>
      </c>
      <c r="EY259" s="6">
        <v>2357.0211232566458</v>
      </c>
      <c r="EZ259" s="6">
        <v>586</v>
      </c>
      <c r="FA259" s="6">
        <v>0</v>
      </c>
      <c r="FB259" s="6">
        <v>0</v>
      </c>
      <c r="FC259" s="6">
        <v>0</v>
      </c>
      <c r="FD259" s="6">
        <v>0</v>
      </c>
      <c r="FE259" s="6">
        <v>0</v>
      </c>
      <c r="FF259" s="6">
        <v>0</v>
      </c>
      <c r="FG259" s="6">
        <v>0</v>
      </c>
      <c r="FH259" s="6">
        <v>1173.7339815838129</v>
      </c>
      <c r="FI259" s="6">
        <v>1553.979606951239</v>
      </c>
      <c r="FJ259" s="6">
        <v>2101.211011744741</v>
      </c>
      <c r="FK259" s="6">
        <v>2251.3078348034674</v>
      </c>
      <c r="FL259" s="6">
        <v>907.07682140966347</v>
      </c>
      <c r="FM259" s="6">
        <v>2063.0211232566458</v>
      </c>
      <c r="FN259" s="6">
        <v>0</v>
      </c>
      <c r="FO259" s="6">
        <v>0</v>
      </c>
      <c r="FP259" s="6">
        <v>0</v>
      </c>
      <c r="FQ259" s="6">
        <v>0</v>
      </c>
      <c r="FR259" s="6">
        <v>0</v>
      </c>
      <c r="FS259" s="6">
        <v>0</v>
      </c>
      <c r="FT259" s="7">
        <v>0.78424397641901822</v>
      </c>
      <c r="FU259" s="7">
        <v>6.6659349890250824E-2</v>
      </c>
      <c r="FV259" s="7">
        <v>0.14909667369073099</v>
      </c>
      <c r="FW259" s="6">
        <v>1544</v>
      </c>
      <c r="FX259" s="6">
        <v>2357.0211232566458</v>
      </c>
      <c r="FY259" s="6">
        <v>586</v>
      </c>
      <c r="FZ259" s="6">
        <v>1817.4615072224267</v>
      </c>
      <c r="GA259" s="6">
        <v>1455.3608461276092</v>
      </c>
      <c r="GB259" s="6">
        <v>18529.639153872391</v>
      </c>
      <c r="GC259" s="7">
        <v>1.804905384453976E-2</v>
      </c>
      <c r="GD259" s="7">
        <v>1.7544633845726069E-2</v>
      </c>
      <c r="GE259" s="7"/>
      <c r="GF259" s="7"/>
      <c r="GG259" s="7">
        <v>-2.7947171256641177E-2</v>
      </c>
      <c r="GH259" s="42">
        <v>1.5424556693027471</v>
      </c>
      <c r="GI259" s="6">
        <v>14411.97308318077</v>
      </c>
      <c r="GJ259" s="14">
        <v>0.50394797582841699</v>
      </c>
      <c r="GK259" s="14">
        <v>0.50887573065309721</v>
      </c>
      <c r="GL259" s="14">
        <v>0.49605202417158273</v>
      </c>
      <c r="GM259" s="14">
        <v>0.49112426934690223</v>
      </c>
      <c r="GO259" s="5">
        <v>343.14810671672558</v>
      </c>
      <c r="GP259" s="5">
        <v>313.69153224305785</v>
      </c>
      <c r="GQ259" s="5">
        <v>535.04305713031317</v>
      </c>
      <c r="GR259" s="5">
        <v>410.15490233172511</v>
      </c>
      <c r="GS259" s="5">
        <v>339.42744393800166</v>
      </c>
      <c r="GT259" s="5">
        <v>293.4407446948278</v>
      </c>
      <c r="GU259" s="5">
        <v>258.04012322764959</v>
      </c>
      <c r="GV259" s="39" t="s">
        <v>392</v>
      </c>
      <c r="GW259" s="5">
        <v>491.45833333333331</v>
      </c>
      <c r="GX259" s="5">
        <v>368.59375</v>
      </c>
      <c r="GY259" s="5">
        <v>294.875</v>
      </c>
      <c r="GZ259" s="5">
        <v>252.51567799800796</v>
      </c>
      <c r="HA259" s="5">
        <v>241.02179695997205</v>
      </c>
      <c r="HB259" s="39">
        <v>268.15431428337922</v>
      </c>
      <c r="HC259" s="5">
        <v>261.64687500000002</v>
      </c>
      <c r="HD259" s="5">
        <v>222.30677997076018</v>
      </c>
      <c r="HE259" s="5">
        <v>224.71639254385963</v>
      </c>
      <c r="HF259" s="5">
        <v>207.35750548245613</v>
      </c>
      <c r="HG259" s="5">
        <v>199.39971491228067</v>
      </c>
      <c r="HH259" s="39">
        <v>222.92302799612114</v>
      </c>
      <c r="HI259" s="16"/>
      <c r="HJ259" s="19" t="str">
        <f t="shared" si="761"/>
        <v>On</v>
      </c>
      <c r="HK259" s="1" t="str">
        <f t="shared" si="761"/>
        <v>On</v>
      </c>
      <c r="HL259" s="16"/>
      <c r="HM259" s="639">
        <f t="shared" si="634"/>
        <v>1.2768706344444866E-2</v>
      </c>
      <c r="HN259" s="639">
        <f t="shared" si="635"/>
        <v>9.795534288915453E-4</v>
      </c>
      <c r="HO259" s="639">
        <f t="shared" si="636"/>
        <v>3.3583061774515237E-3</v>
      </c>
      <c r="HP259" s="644">
        <f>(FT259*$GD259-HM259)/$JF259*INDEX(Input!$1:$1048576,$JG$93,$C259*2+6)</f>
        <v>71.976740889908626</v>
      </c>
      <c r="HQ259" s="644">
        <f>(FU259*$GD259-HN259)/$JF259*INDEX(Input!$1:$1048576,$JG$93,$C259*2+6)</f>
        <v>13.802936786774668</v>
      </c>
      <c r="HR259" s="644">
        <f>(FV259*$GD259-HO259)/$JF259*INDEX(Input!$1:$1048576,$JG$93,$C259*2+6)</f>
        <v>-53.948719027555882</v>
      </c>
      <c r="HS259" s="644">
        <f t="shared" si="754"/>
        <v>-18.569323790046329</v>
      </c>
      <c r="HT259" s="644">
        <f t="shared" si="638"/>
        <v>23.862705779894295</v>
      </c>
      <c r="HU259" s="644">
        <f t="shared" si="639"/>
        <v>-1.868389788813984</v>
      </c>
      <c r="HV259" s="648">
        <f t="shared" si="640"/>
        <v>0</v>
      </c>
      <c r="HW259" s="648">
        <f t="shared" si="641"/>
        <v>0</v>
      </c>
      <c r="HX259" s="648">
        <f t="shared" si="642"/>
        <v>0</v>
      </c>
      <c r="HY259" s="644">
        <f>INDEX(Input!$1:$1048576,HY$93,$C259*2+6)*INDEX(Input!$1:$1048576,$JG$93,$C259*2+6)</f>
        <v>451</v>
      </c>
      <c r="HZ259" s="644">
        <f>INDEX(Input!$1:$1048576,HZ$93,$C259*2+6)*INDEX(Input!$1:$1048576,$JG$93,$C259*2+6)</f>
        <v>577</v>
      </c>
      <c r="IA259" s="644">
        <f>INDEX(Input!$1:$1048576,IA$93,$C259*2+6)*INDEX(Input!$1:$1048576,$JG$93,$C259*2+6)</f>
        <v>215</v>
      </c>
      <c r="IB259" s="644">
        <f t="shared" si="666"/>
        <v>504.40741709986213</v>
      </c>
      <c r="IC259" s="644">
        <f t="shared" si="667"/>
        <v>614.66564256666902</v>
      </c>
      <c r="ID259" s="644">
        <f>IF(AND(INDEX(Input!$1:$1048576,IA$93,$C259*2+7)="TOS",Y259&lt;=INDEX(Y:Y,MATCH(C259*1000+2,A:A))),0,1)*MAX(IA259+HR259+HU259+HX259,0%)</f>
        <v>159.18289118363015</v>
      </c>
      <c r="IE259" s="128">
        <f t="shared" si="759"/>
        <v>0.39460596038249102</v>
      </c>
      <c r="IF259" s="128">
        <f t="shared" si="643"/>
        <v>0.48086272718531697</v>
      </c>
      <c r="IG259" s="128">
        <f t="shared" si="644"/>
        <v>0.12453131243219204</v>
      </c>
      <c r="IH259" s="21"/>
      <c r="II259" s="19">
        <f t="shared" si="645"/>
        <v>1252</v>
      </c>
      <c r="IJ259" s="19">
        <f t="shared" si="646"/>
        <v>2011.9658773055378</v>
      </c>
      <c r="IK259" s="19">
        <f t="shared" si="647"/>
        <v>919</v>
      </c>
      <c r="IL259" s="19">
        <f t="shared" si="669"/>
        <v>292</v>
      </c>
      <c r="IM259" s="19">
        <f t="shared" si="648"/>
        <v>345.05524595110796</v>
      </c>
      <c r="IN259" s="19">
        <f t="shared" si="649"/>
        <v>-333</v>
      </c>
      <c r="IO259" s="39">
        <f t="shared" si="650"/>
        <v>0</v>
      </c>
      <c r="IP259" s="39">
        <f t="shared" si="651"/>
        <v>0</v>
      </c>
      <c r="IQ259" s="39">
        <f t="shared" si="652"/>
        <v>0</v>
      </c>
      <c r="IR259" s="39">
        <v>0</v>
      </c>
      <c r="IS259" s="39">
        <v>0</v>
      </c>
      <c r="IT259" s="39">
        <v>0</v>
      </c>
      <c r="IU259" s="39">
        <v>0</v>
      </c>
      <c r="IV259" s="39">
        <v>0</v>
      </c>
      <c r="IW259" s="39">
        <v>0</v>
      </c>
      <c r="IX259" s="39">
        <f>INDEX(Input!$1:$1048576,IX$93,$C259*2+6)+INDEX(Input!$1:$1048576,IX$94,$C259*2+6)</f>
        <v>1294</v>
      </c>
      <c r="IY259" s="39">
        <f>INDEX(Input!$1:$1048576,IY$93,$C259*2+6)+INDEX(Input!$1:$1048576,IY$94,$C259*2+6)</f>
        <v>2154.0624533823611</v>
      </c>
      <c r="IZ259" s="39">
        <f>INDEX(Input!$1:$1048576,IZ$93,$C259*2+6)+INDEX(Input!$1:$1048576,IZ$94,$C259*2+6)</f>
        <v>3677.7164157747848</v>
      </c>
      <c r="JA259" s="19">
        <f t="shared" si="670"/>
        <v>1586</v>
      </c>
      <c r="JB259" s="19">
        <f t="shared" si="671"/>
        <v>2499.1176993334693</v>
      </c>
      <c r="JC259" s="19">
        <f t="shared" si="672"/>
        <v>3344.7164157747848</v>
      </c>
      <c r="JD259" s="19">
        <f t="shared" si="673"/>
        <v>2244.0995305951492</v>
      </c>
      <c r="JE259" s="21"/>
      <c r="JF259" s="1">
        <f t="shared" si="653"/>
        <v>1.7106565950787935E-2</v>
      </c>
      <c r="JG259" s="15">
        <f>INDEX(Input!$1:$1048576,JG$93,$C259*2+6)/(1+VLOOKUP(C259*1000+INDEX(Input!$1:$1048576,JG$93+1,$C259*2+6),$A:$KK,$JK$92,FALSE))</f>
        <v>1243</v>
      </c>
      <c r="JH259" s="1">
        <f t="shared" si="674"/>
        <v>2.5608172686345462E-2</v>
      </c>
      <c r="JI259" s="1">
        <f t="shared" si="675"/>
        <v>2.7554241359887218E-3</v>
      </c>
      <c r="JJ259" s="1">
        <f t="shared" si="731"/>
        <v>0</v>
      </c>
      <c r="JK259" s="1">
        <f t="shared" si="732"/>
        <v>2.8363596822334185E-2</v>
      </c>
      <c r="JL259" s="15">
        <f t="shared" si="678"/>
        <v>35.255950850161391</v>
      </c>
      <c r="JM259" s="15">
        <f t="shared" si="702"/>
        <v>1278.2559508501613</v>
      </c>
      <c r="JN259" s="21"/>
      <c r="JO259" s="19">
        <f>INDEX(Input!$1:$1048576,JO$93,$C259*2+6)</f>
        <v>5995.5</v>
      </c>
      <c r="JP259" s="19">
        <f>INDEX(Input!$1:$1048576,JP$93,$C259*2+6)</f>
        <v>2105.548724853742</v>
      </c>
      <c r="JQ259" s="39">
        <f t="shared" si="688"/>
        <v>3751.4004694048508</v>
      </c>
      <c r="JR259" s="39">
        <f t="shared" si="705"/>
        <v>138.5508057414072</v>
      </c>
      <c r="JS259" s="39">
        <f t="shared" si="690"/>
        <v>2.8685335792833033</v>
      </c>
      <c r="JT259" s="39">
        <f t="shared" si="680"/>
        <v>0.25133651429010184</v>
      </c>
      <c r="JU259" s="385">
        <f>(JQ259*JM259-INDEX(Input!$1:$1048576,Input!A$18,$C259*2+6)*JL259*INDEX(Input!$1:$1048576,Input!A$19,$C259*2+6))/1000000</f>
        <v>4.795249974038839</v>
      </c>
      <c r="JV259" s="39">
        <f t="shared" si="712"/>
        <v>-3.9959460967959437E-2</v>
      </c>
      <c r="JW259" s="1">
        <f t="shared" si="703"/>
        <v>-8.2642668337495201E-3</v>
      </c>
      <c r="JX259" s="19">
        <f t="shared" si="694"/>
        <v>7128.9103890088763</v>
      </c>
      <c r="JZ259" s="341"/>
      <c r="KA259" s="342"/>
      <c r="KB259" s="469">
        <f t="shared" si="691"/>
        <v>2.5660492421988774</v>
      </c>
      <c r="KI259" s="473">
        <f t="shared" si="756"/>
        <v>53.40741709986213</v>
      </c>
      <c r="KJ259" s="473">
        <f t="shared" si="757"/>
        <v>37.665642566669021</v>
      </c>
      <c r="KK259" s="473">
        <f t="shared" si="682"/>
        <v>-55.817108816369853</v>
      </c>
      <c r="KN259" s="544">
        <f t="shared" si="695"/>
        <v>2002</v>
      </c>
      <c r="KO259" s="541">
        <f t="shared" si="657"/>
        <v>2.2304739418736119E-2</v>
      </c>
      <c r="KP259" s="546">
        <f t="shared" si="658"/>
        <v>199.54764311810635</v>
      </c>
      <c r="KQ259" s="546">
        <f t="shared" si="659"/>
        <v>100.41919116167628</v>
      </c>
      <c r="KR259" s="548">
        <f t="shared" si="660"/>
        <v>1.9942404715839088</v>
      </c>
      <c r="KS259" s="548">
        <f t="shared" si="661"/>
        <v>3.9628479507927068</v>
      </c>
      <c r="KT259" s="473">
        <f t="shared" si="693"/>
        <v>843.26993010479111</v>
      </c>
      <c r="KU259" s="663">
        <f t="shared" si="683"/>
        <v>4.5938446165443505</v>
      </c>
      <c r="KV259" s="117"/>
    </row>
    <row r="260" spans="1:308" s="26" customFormat="1" ht="15" outlineLevel="1">
      <c r="A260" s="561">
        <f t="shared" si="662"/>
        <v>2060</v>
      </c>
      <c r="B260" s="561">
        <f t="shared" si="684"/>
        <v>60</v>
      </c>
      <c r="C260" s="561">
        <f t="shared" si="760"/>
        <v>2</v>
      </c>
      <c r="D260" s="561" t="str">
        <f t="shared" si="728"/>
        <v xml:space="preserve">500 CC, 0/0/0.9/3.9, -360 Lease, </v>
      </c>
      <c r="E260" s="475">
        <f>INDEX(Input!$1:$1048576,E$93,$C260*2+MIN($B260,2)+5)
+INDEX(Scenarios!E$121:E$200,MATCH($B260,Scenarios!$B$121:$B$200,0))</f>
        <v>1769.7618664521319</v>
      </c>
      <c r="F260" s="475">
        <f>INDEX(Input!$1:$1048576,F$93,$C260*2+MIN($B260,2)+5)
+INDEX(Scenarios!F$121:F$200,MATCH($B260,Scenarios!$B$121:$B$200,0))</f>
        <v>0</v>
      </c>
      <c r="G260" s="475">
        <f>INDEX(Input!$1:$1048576,G$93,$C260*2+MIN($B260,2)+5)
+INDEX(Scenarios!G$121:G$200,MATCH($B260,Scenarios!$B$121:$B$200,0))</f>
        <v>0</v>
      </c>
      <c r="H260" s="475">
        <f>INDEX(Input!$1:$1048576,H$93,$C260*2+MIN($B260,2)+5)
+INDEX(Scenarios!H$121:H$200,MATCH($B260,Scenarios!$B$121:$B$200,0))</f>
        <v>0</v>
      </c>
      <c r="I260" s="476">
        <f>INDEX(Input!$1:$1048576,I$93,$C260*2+MIN($B260,2)+5)</f>
        <v>0.7</v>
      </c>
      <c r="J260" s="476" t="str">
        <f>INDEX(Input!$1:$1048576,J$93,$C260*2+MIN($B260,2)+5)</f>
        <v>Market</v>
      </c>
      <c r="K260" s="476" t="str">
        <f>INDEX(Input!$1:$1048576,K$93,$C260*2+MIN($B260,2)+5)</f>
        <v>Market</v>
      </c>
      <c r="L260" s="476" t="str">
        <f>INDEX(Input!$1:$1048576,L$93,$C260*2+MIN($B260,2)+5)</f>
        <v>Market</v>
      </c>
      <c r="M260" s="476" t="str">
        <f>INDEX(Input!$1:$1048576,M$93,$C260*2+MIN($B260,2)+5)</f>
        <v>Market</v>
      </c>
      <c r="N260" s="476" t="str">
        <f>INDEX(Input!$1:$1048576,N$93,$C260*2+MIN($B260,2)+5)</f>
        <v>Market</v>
      </c>
      <c r="O260" s="476" t="str">
        <f>INDEX(Input!$1:$1048576,O$93,$C260*2+MIN($B260,2)+5)</f>
        <v>Market</v>
      </c>
      <c r="P260" s="476" t="str">
        <f>INDEX(Input!$1:$1048576,P$93,$C260*2+MIN($B260,2)+5)</f>
        <v>N</v>
      </c>
      <c r="Q260" s="477">
        <f>INDEX(Input!$1:$1048576,Q$93,$C260*2+MIN($B260,2)+5)
+INDEX(Scenarios!Q$121:Q$200,MATCH($B260,Scenarios!$B$121:$B$200,0))</f>
        <v>0</v>
      </c>
      <c r="R260" s="478">
        <f>IFERROR(MAX(0,INDEX(Input!$1:$1048576,R$93,$C260*2+MIN($B260,2)+5)
+INDEX(Scenarios!R$121:R$200,MATCH($B260,Scenarios!$B$121:$B$200,0)),),"Market")</f>
        <v>0</v>
      </c>
      <c r="S260" s="478">
        <f>IFERROR(MAX(0,INDEX(Input!$1:$1048576,S$93,$C260*2+MIN($B260,2)+5)
+INDEX(Scenarios!S$121:S$200,MATCH($B260,Scenarios!$B$121:$B$200,0)),),"Market")</f>
        <v>0</v>
      </c>
      <c r="T260" s="478">
        <f>IFERROR(MAX(0,INDEX(Input!$1:$1048576,T$93,$C260*2+MIN($B260,2)+5)
+INDEX(Scenarios!T$121:T$200,MATCH($B260,Scenarios!$B$121:$B$200,0)),),"Market")</f>
        <v>0</v>
      </c>
      <c r="U260" s="478">
        <f>IFERROR(MAX(0,INDEX(Input!$1:$1048576,U$93,$C260*2+MIN($B260,2)+5)
+INDEX(Scenarios!U$121:U$200,MATCH($B260,Scenarios!$B$121:$B$200,0)),),"Market")</f>
        <v>0</v>
      </c>
      <c r="V260" s="478">
        <f>IFERROR(MAX(0,INDEX(Input!$1:$1048576,V$93,$C260*2+MIN($B260,2)+5)
+INDEX(Scenarios!V$121:V$200,MATCH($B260,Scenarios!$B$121:$B$200,0)),),"Market")</f>
        <v>8.9999999999999993E-3</v>
      </c>
      <c r="W260" s="885">
        <f>IFERROR(MAX(0,INDEX(Input!$1:$1048576,W$93,$C260*2+MIN($B260,2)+5)-0%,),"Market")</f>
        <v>3.9E-2</v>
      </c>
      <c r="X260" s="476" t="str">
        <f>INDEX(Input!$1:$1048576,X$93,$C260*2+MIN($B260,2)+5)</f>
        <v>Y</v>
      </c>
      <c r="Y260" s="475">
        <f>INDEX(Input!$1:$1048576,Y$93,$C260*2+MIN($B260,2)+5)
++INDEX(Scenarios!Y$121:Y$200,MATCH($B260,Scenarios!$B$121:$B$200,0))</f>
        <v>-304</v>
      </c>
      <c r="Z260" s="477">
        <f>INDEX(Input!$1:$1048576,Z$93,$C260*2+MIN($B260,2)+5)
+INDEX(Scenarios!Z$121:Z$200,MATCH($B260,Scenarios!$B$121:$B$200,0))</f>
        <v>0</v>
      </c>
      <c r="AA260" s="475">
        <f>INDEX(Input!$1:$1048576,AA$93,$C260*2+MIN($B260,2)+5)
+INDEX(Scenarios!AA$121:AA$200,MATCH($B260,Scenarios!$B$121:$B$200,0))</f>
        <v>0</v>
      </c>
      <c r="AB260" s="476">
        <f>INDEX(Input!$1:$1048576,AB$93,$C260*2+MIN($B260,2)+5)</f>
        <v>0.27</v>
      </c>
      <c r="AC260" s="475">
        <f>INDEX(Input!$1:$1048576,AC$93,$C260*2+MIN($B260,2)+5)
+INDEX(Scenarios!AC$121:AC$200,MATCH($B260,Scenarios!$B$121:$B$200,0))</f>
        <v>0</v>
      </c>
      <c r="AD260" s="476">
        <f>INDEX(Input!$1:$1048576,AD$93,$C260*2+MIN($B260,2)+5)</f>
        <v>0.27</v>
      </c>
      <c r="AE260" s="475">
        <f>INDEX(Input!$1:$1048576,AE$93,$C260*2+MIN($B260,2)+5)
+INDEX(Scenarios!AE$121:AE$200,MATCH($B260,Scenarios!$B$121:$B$200,0))</f>
        <v>0</v>
      </c>
      <c r="AF260" s="476">
        <f>INDEX(Input!$1:$1048576,AF$93,$C260*2+MIN($B260,2)+5)</f>
        <v>4.8000000000000001E-2</v>
      </c>
      <c r="AG260" s="475">
        <f>INDEX(Input!$1:$1048576,AG$93,$C260*2+MIN($B260,2)+5)
+INDEX(Scenarios!AG$121:AG$200,MATCH($B260,Scenarios!$B$121:$B$200,0))</f>
        <v>500</v>
      </c>
      <c r="AH260" s="476">
        <f>INDEX(Input!$1:$1048576,AH$93,$C260*2+MIN($B260,2)+5)</f>
        <v>0.94599999999999995</v>
      </c>
      <c r="AI260" s="475">
        <f>INDEX(Input!$1:$1048576,AI$93,$C260*2+MIN($B260,2)+5)
+INDEX(Scenarios!AI$121:AI$200,MATCH($B260,Scenarios!$B$121:$B$200,0))</f>
        <v>0</v>
      </c>
      <c r="AJ260" s="476">
        <f>INDEX(Input!$1:$1048576,AJ$93,$C260*2+MIN($B260,2)+5)</f>
        <v>0.27</v>
      </c>
      <c r="AK260" s="150">
        <f>ROUND(INDEX(Input!$1:$1048576,AK$93,$C259*2+MIN($B260,1)+5)+(Y260-VLOOKUP($C260*1000+1,$A:$HH,Y$92,FALSE)),0)</f>
        <v>2617</v>
      </c>
      <c r="AL260" s="150">
        <f>ROUND(INDEX(Input!$1:$1048576,AL$93,$C259*2+MIN($B260,1)+5)-(Y260-VLOOKUP($C260*1000+1,$A:$HH,Y$92,FALSE))/36,0)</f>
        <v>3405</v>
      </c>
      <c r="AM260" s="32" t="str">
        <f t="shared" si="663"/>
        <v>std/std/std/std</v>
      </c>
      <c r="AN260" s="32" t="str">
        <f t="shared" si="664"/>
        <v>$0 + 0/0/0/0.9/3.9</v>
      </c>
      <c r="AO260" s="32" t="str">
        <f t="shared" si="665"/>
        <v>0/0/0/0.9/3.9</v>
      </c>
      <c r="AP260" s="32" t="str">
        <f t="shared" si="734"/>
        <v>0/0/0.9/3.9</v>
      </c>
      <c r="AQ260" s="536">
        <f t="shared" si="733"/>
        <v>0.41931412044411631</v>
      </c>
      <c r="AR260" s="32"/>
      <c r="AS260" s="302"/>
      <c r="AT260" s="3">
        <f t="shared" si="717"/>
        <v>60</v>
      </c>
      <c r="AU260" s="41" t="s">
        <v>121</v>
      </c>
      <c r="AV260" s="41" t="s">
        <v>116</v>
      </c>
      <c r="AW260" s="41" t="str">
        <f>INDEX(Input!$1:$1048576,AW$93,$C260*2+6)</f>
        <v>Kia</v>
      </c>
      <c r="AX260" s="41" t="str">
        <f>INDEX(Input!$1:$1048576,AX$93,$C260*2+6)</f>
        <v>Kia-LR - L2</v>
      </c>
      <c r="AY260" s="41" t="str">
        <f>IF(LEN(D260)=0,"",INDEX(Input!$1:$1048576,AY$93,$C260*2+6))</f>
        <v>Compact SUV (52)</v>
      </c>
      <c r="AZ260" s="41" t="str">
        <f>INDEX(Input!$1:$1048576,AZ$93,$C260*2+6)</f>
        <v>Kia Soul</v>
      </c>
      <c r="BA260" s="3">
        <f>INDEX(Input!$1:$1048576,BA$93,$C260*2+6)</f>
        <v>2020</v>
      </c>
      <c r="BB260" s="128">
        <f>INDEX(Input!$1:$1048576,BB$93,$C260*2+6)</f>
        <v>1</v>
      </c>
      <c r="BC260" s="128">
        <f>INDEX(Input!$1:$1048576,BC$93,$C260*2+6)</f>
        <v>0.7</v>
      </c>
      <c r="BD260" s="1">
        <f>INDEX(Input!$1:$1048576,BD$93,$C260*2+6)</f>
        <v>4.4999999999999998E-2</v>
      </c>
      <c r="BE260" s="1">
        <f>INDEX(Input!$1:$1048576,BE$93,$C260*2+6)</f>
        <v>4.4999999999999998E-2</v>
      </c>
      <c r="BF260" s="1">
        <f>INDEX(Input!$1:$1048576,BF$93,$C260*2+6)</f>
        <v>0.05</v>
      </c>
      <c r="BG260" s="1">
        <f>INDEX(Input!$1:$1048576,BG$93,$C260*2+6)</f>
        <v>5.45E-2</v>
      </c>
      <c r="BH260" s="1">
        <f>INDEX(Input!$1:$1048576,BH$93,$C260*2+6)</f>
        <v>5.45E-2</v>
      </c>
      <c r="BI260" s="1">
        <f>INDEX(Input!$1:$1048576,BI$93,$C260*2+6)</f>
        <v>0.05</v>
      </c>
      <c r="BJ260" s="1">
        <f>INDEX(Input!$1:$1048576,BJ$93,$C260*2+6)</f>
        <v>0.05</v>
      </c>
      <c r="BK260" s="1">
        <f>INDEX(Input!$1:$1048576,BK$93,$C260*2+6)</f>
        <v>0.05</v>
      </c>
      <c r="BL260" s="1">
        <f>INDEX(Input!$1:$1048576,BL$93,$C260*2+6)</f>
        <v>5.5E-2</v>
      </c>
      <c r="BM260" s="1">
        <f>INDEX(Input!$1:$1048576,BM$93,$C260*2+6)</f>
        <v>0.06</v>
      </c>
      <c r="BN260" s="1">
        <f>INDEX(Input!$1:$1048576,BN$93,$C260*2+6)</f>
        <v>4.4999999999999998E-2</v>
      </c>
      <c r="BO260" s="1">
        <f>INDEX(Input!$1:$1048576,BO$93,$C260*2+6)</f>
        <v>4.4999999999999998E-2</v>
      </c>
      <c r="BP260" s="1">
        <f>INDEX(Input!$1:$1048576,BP$93,$C260*2+6)</f>
        <v>0.05</v>
      </c>
      <c r="BQ260" s="1">
        <f>INDEX(Input!$1:$1048576,BQ$93,$C260*2+6)</f>
        <v>5.45E-2</v>
      </c>
      <c r="BR260" s="1">
        <f>INDEX(Input!$1:$1048576,BR$93,$C260*2+6)</f>
        <v>5.45E-2</v>
      </c>
      <c r="BS260" s="1">
        <f>INDEX(Input!$1:$1048576,BS$93,$C260*2+6)</f>
        <v>0.05</v>
      </c>
      <c r="BT260" s="1">
        <f>INDEX(Input!$1:$1048576,BT$93,$C260*2+6)</f>
        <v>0.05</v>
      </c>
      <c r="BU260" s="1">
        <f>INDEX(Input!$1:$1048576,BU$93,$C260*2+6)</f>
        <v>0.05</v>
      </c>
      <c r="BV260" s="1">
        <f>INDEX(Input!$1:$1048576,BV$93,$C260*2+6)</f>
        <v>5.5E-2</v>
      </c>
      <c r="BW260" s="1">
        <f>INDEX(Input!$1:$1048576,BW$93,$C260*2+6)</f>
        <v>0.06</v>
      </c>
      <c r="BX260" s="127">
        <f>INDEX(Input!$1:$1048576,BX$93,$C260*2+6)</f>
        <v>19985</v>
      </c>
      <c r="BY260" s="20">
        <f>INDEX(Input!$1:$1048576,BY$93,$C260*2+6)</f>
        <v>0.1</v>
      </c>
      <c r="BZ260" s="20">
        <f>INDEX(Input!$1:$1048576,BZ$93,$C260*2+6)</f>
        <v>0.1</v>
      </c>
      <c r="CA260" s="20">
        <f>INDEX(Input!$1:$1048576,CA$93,$C260*2+6)</f>
        <v>0.1</v>
      </c>
      <c r="CB260" s="20">
        <f>INDEX(Input!$1:$1048576,CB$93,$C260*2+6)</f>
        <v>0.1</v>
      </c>
      <c r="CC260" s="20">
        <f>INDEX(Input!$1:$1048576,CC$93,$C260*2+6)</f>
        <v>0.1</v>
      </c>
      <c r="CD260" s="384">
        <f>INDEX(Input!$1:$1048576,CD$93,$C260*2+6)</f>
        <v>0.1</v>
      </c>
      <c r="CE260" s="384">
        <f>INDEX(Input!$1:$1048576,CE$93,$C260*2+6)</f>
        <v>0.1</v>
      </c>
      <c r="CF260" s="384">
        <f>INDEX(Input!$1:$1048576,CF$93,$C260*2+6)</f>
        <v>0.1</v>
      </c>
      <c r="CG260" s="384">
        <f>INDEX(Input!$1:$1048576,CG$93,$C260*2+6)</f>
        <v>0.1</v>
      </c>
      <c r="CH260" s="384">
        <f>INDEX(Input!$1:$1048576,CH$93,$C260*2+6)</f>
        <v>0.1</v>
      </c>
      <c r="CI260" s="304">
        <f t="shared" si="735"/>
        <v>1769.7618664521319</v>
      </c>
      <c r="CJ260" s="16" t="str">
        <f>INDEX(Input!$1:$1048576,CJ$93,$C260*2+6)</f>
        <v>N</v>
      </c>
      <c r="CK260" s="1" t="str">
        <f t="shared" si="736"/>
        <v>Market</v>
      </c>
      <c r="CL260" s="1" t="str">
        <f t="shared" si="737"/>
        <v>Market</v>
      </c>
      <c r="CM260" s="1" t="str">
        <f t="shared" si="738"/>
        <v>Market</v>
      </c>
      <c r="CN260" s="1" t="str">
        <f t="shared" si="739"/>
        <v>Market</v>
      </c>
      <c r="CO260" s="1" t="str">
        <f t="shared" si="740"/>
        <v>Market</v>
      </c>
      <c r="CP260" s="304">
        <f t="shared" si="741"/>
        <v>473</v>
      </c>
      <c r="CQ260" s="1">
        <f t="shared" si="742"/>
        <v>0</v>
      </c>
      <c r="CR260" s="1">
        <f t="shared" si="743"/>
        <v>0</v>
      </c>
      <c r="CS260" s="1">
        <f t="shared" si="744"/>
        <v>0</v>
      </c>
      <c r="CT260" s="1">
        <f t="shared" si="745"/>
        <v>8.9999999999999993E-3</v>
      </c>
      <c r="CU260" s="1">
        <f t="shared" si="746"/>
        <v>3.9E-2</v>
      </c>
      <c r="CV260" s="304">
        <f t="shared" si="747"/>
        <v>-304</v>
      </c>
      <c r="CW260" s="20" t="s">
        <v>122</v>
      </c>
      <c r="CX260" s="20" t="s">
        <v>122</v>
      </c>
      <c r="CY260" s="20" t="s">
        <v>122</v>
      </c>
      <c r="CZ260" s="20" t="s">
        <v>122</v>
      </c>
      <c r="DA260" s="20" t="s">
        <v>122</v>
      </c>
      <c r="DB260" s="503">
        <f t="shared" si="748"/>
        <v>0</v>
      </c>
      <c r="DC260" s="127">
        <v>0</v>
      </c>
      <c r="DD260" s="127">
        <v>0</v>
      </c>
      <c r="DE260" s="127">
        <v>0</v>
      </c>
      <c r="DF260" s="127">
        <v>0</v>
      </c>
      <c r="DG260" s="127">
        <v>0</v>
      </c>
      <c r="DH260" s="127">
        <v>0</v>
      </c>
      <c r="DI260" s="127">
        <v>0</v>
      </c>
      <c r="DJ260" s="127">
        <v>0</v>
      </c>
      <c r="DK260" s="127">
        <v>0</v>
      </c>
      <c r="DL260" s="127">
        <v>0</v>
      </c>
      <c r="DM260" s="304">
        <f>INDEX(Input!$1:$1048576,DM$93,$C260*2+6)</f>
        <v>21036.84210526316</v>
      </c>
      <c r="DN260" s="20">
        <v>0</v>
      </c>
      <c r="DO260" s="20">
        <v>0</v>
      </c>
      <c r="DP260" s="20">
        <v>0</v>
      </c>
      <c r="DQ260" s="20">
        <v>0</v>
      </c>
      <c r="DR260" s="20">
        <v>0</v>
      </c>
      <c r="DS260" s="20">
        <f>INDEX(Input!$1:$1048576,DS$93,$C260*2+6)</f>
        <v>0.6</v>
      </c>
      <c r="DT260" s="20">
        <f>INDEX(Input!$1:$1048576,DT$93,$C260*2+6)</f>
        <v>0.55000000000000004</v>
      </c>
      <c r="DU260" s="20">
        <f>INDEX(Input!$1:$1048576,DU$93,$C260*2+6)</f>
        <v>0.52</v>
      </c>
      <c r="DV260" s="20">
        <f>INDEX(Input!$1:$1048576,DV$93,$C260*2+6)</f>
        <v>0.5</v>
      </c>
      <c r="DW260" s="20">
        <f>INDEX(Input!$1:$1048576,DW$93,$C260*2+6)</f>
        <v>0.45</v>
      </c>
      <c r="DX260" s="20"/>
      <c r="DY260" s="7">
        <v>0.10563723870376644</v>
      </c>
      <c r="DZ260" s="7">
        <v>0</v>
      </c>
      <c r="EA260" s="7">
        <v>0.70065266955685512</v>
      </c>
      <c r="EB260" s="7">
        <v>0</v>
      </c>
      <c r="EC260" s="7">
        <v>0</v>
      </c>
      <c r="ED260" s="7">
        <v>0</v>
      </c>
      <c r="EE260" s="7">
        <v>0</v>
      </c>
      <c r="EF260" s="7">
        <v>0</v>
      </c>
      <c r="EG260" s="7">
        <v>0</v>
      </c>
      <c r="EH260" s="7">
        <v>1.1238800730210458E-2</v>
      </c>
      <c r="EI260" s="7">
        <v>3.1998066553629835E-2</v>
      </c>
      <c r="EJ260" s="7">
        <v>0.2419665530990886</v>
      </c>
      <c r="EK260" s="7">
        <v>0.62734708062933808</v>
      </c>
      <c r="EL260" s="7">
        <v>8.7449498987733007E-2</v>
      </c>
      <c r="EM260" s="7">
        <v>5.980722511154897E-2</v>
      </c>
      <c r="EN260" s="7">
        <v>6.4355783696505561E-2</v>
      </c>
      <c r="EO260" s="7">
        <v>0.72182744267148646</v>
      </c>
      <c r="EP260" s="7">
        <v>9.2897344228990167E-2</v>
      </c>
      <c r="EQ260" s="7">
        <v>7.9197617286231717E-2</v>
      </c>
      <c r="ER260" s="7">
        <v>4.1721812116785724E-2</v>
      </c>
      <c r="ES260" s="7">
        <v>0.13390286662782949</v>
      </c>
      <c r="ET260" s="7">
        <v>0.19371009173937842</v>
      </c>
      <c r="EU260" s="6">
        <v>1794</v>
      </c>
      <c r="EV260" s="6">
        <v>0</v>
      </c>
      <c r="EW260" s="6">
        <v>1794</v>
      </c>
      <c r="EX260" s="6">
        <v>0</v>
      </c>
      <c r="EY260" s="6">
        <v>2357.0133216238282</v>
      </c>
      <c r="EZ260" s="6">
        <v>586</v>
      </c>
      <c r="FA260" s="6">
        <v>0</v>
      </c>
      <c r="FB260" s="6">
        <v>0</v>
      </c>
      <c r="FC260" s="6">
        <v>0</v>
      </c>
      <c r="FD260" s="6">
        <v>0</v>
      </c>
      <c r="FE260" s="6">
        <v>0</v>
      </c>
      <c r="FF260" s="6">
        <v>0</v>
      </c>
      <c r="FG260" s="6">
        <v>0</v>
      </c>
      <c r="FH260" s="6">
        <v>1173.7356921778846</v>
      </c>
      <c r="FI260" s="6">
        <v>1553.9796069512395</v>
      </c>
      <c r="FJ260" s="6">
        <v>2101.211011744741</v>
      </c>
      <c r="FK260" s="6">
        <v>2251.3078348034683</v>
      </c>
      <c r="FL260" s="6">
        <v>907.07682140966426</v>
      </c>
      <c r="FM260" s="6">
        <v>2063.0133216238282</v>
      </c>
      <c r="FN260" s="6">
        <v>0</v>
      </c>
      <c r="FO260" s="6">
        <v>0</v>
      </c>
      <c r="FP260" s="6">
        <v>0</v>
      </c>
      <c r="FQ260" s="6">
        <v>0</v>
      </c>
      <c r="FR260" s="6">
        <v>0</v>
      </c>
      <c r="FS260" s="6">
        <v>0</v>
      </c>
      <c r="FT260" s="7">
        <v>0.80628990826062152</v>
      </c>
      <c r="FU260" s="7">
        <v>5.980722511154897E-2</v>
      </c>
      <c r="FV260" s="7">
        <v>0.13390286662782949</v>
      </c>
      <c r="FW260" s="6">
        <v>1794</v>
      </c>
      <c r="FX260" s="6">
        <v>2357.0133216238282</v>
      </c>
      <c r="FY260" s="6">
        <v>586</v>
      </c>
      <c r="FZ260" s="6">
        <v>1817.4615072224267</v>
      </c>
      <c r="GA260" s="6">
        <v>1665.9176015807391</v>
      </c>
      <c r="GB260" s="6">
        <v>18319.082398419261</v>
      </c>
      <c r="GC260" s="7">
        <v>1.804905384453976E-2</v>
      </c>
      <c r="GD260" s="7">
        <v>1.7989939685350606E-2</v>
      </c>
      <c r="GE260" s="7"/>
      <c r="GF260" s="7"/>
      <c r="GG260" s="7">
        <v>-3.2751943508128687E-3</v>
      </c>
      <c r="GH260" s="42">
        <v>0.43191944158914097</v>
      </c>
      <c r="GI260" s="6">
        <v>47936.12004134617</v>
      </c>
      <c r="GJ260" s="14">
        <v>0.50394797582841733</v>
      </c>
      <c r="GK260" s="14">
        <v>0.50887573065309777</v>
      </c>
      <c r="GL260" s="14">
        <v>0.49605202417158267</v>
      </c>
      <c r="GM260" s="14">
        <v>0.49112426934690273</v>
      </c>
      <c r="GO260" s="5">
        <v>343.14810671672558</v>
      </c>
      <c r="GP260" s="5">
        <v>308.92200917413498</v>
      </c>
      <c r="GQ260" s="5">
        <v>535.04305713031317</v>
      </c>
      <c r="GR260" s="5">
        <v>410.15490233172511</v>
      </c>
      <c r="GS260" s="5">
        <v>339.42744393800166</v>
      </c>
      <c r="GT260" s="5">
        <v>293.4407446948278</v>
      </c>
      <c r="GU260" s="5">
        <v>258.04012322764959</v>
      </c>
      <c r="GV260" s="39" t="s">
        <v>392</v>
      </c>
      <c r="GW260" s="5">
        <v>491.45833333333331</v>
      </c>
      <c r="GX260" s="5">
        <v>368.59375</v>
      </c>
      <c r="GY260" s="5">
        <v>294.875</v>
      </c>
      <c r="GZ260" s="5">
        <v>252.51567799800796</v>
      </c>
      <c r="HA260" s="5">
        <v>241.02179695997205</v>
      </c>
      <c r="HB260" s="39">
        <v>268.15978575884139</v>
      </c>
      <c r="HC260" s="5">
        <v>261.64687500000002</v>
      </c>
      <c r="HD260" s="5">
        <v>222.30677997076018</v>
      </c>
      <c r="HE260" s="5">
        <v>224.71639254385963</v>
      </c>
      <c r="HF260" s="5">
        <v>207.35750548245613</v>
      </c>
      <c r="HG260" s="5">
        <v>199.39971491228067</v>
      </c>
      <c r="HH260" s="39">
        <v>222.92271804157517</v>
      </c>
      <c r="HI260" s="16"/>
      <c r="HJ260" s="19" t="str">
        <f t="shared" si="761"/>
        <v>On</v>
      </c>
      <c r="HK260" s="1" t="str">
        <f t="shared" si="761"/>
        <v>On</v>
      </c>
      <c r="HL260" s="16"/>
      <c r="HM260" s="639">
        <f t="shared" si="634"/>
        <v>1.2768706344444866E-2</v>
      </c>
      <c r="HN260" s="639">
        <f t="shared" si="635"/>
        <v>9.795534288915453E-4</v>
      </c>
      <c r="HO260" s="639">
        <f t="shared" si="636"/>
        <v>3.3583061774515237E-3</v>
      </c>
      <c r="HP260" s="644">
        <f>(FT260*$GD260-HM260)/$JF260*INDEX(Input!$1:$1048576,$JG$93,$C260*2+6)</f>
        <v>126.17060580591442</v>
      </c>
      <c r="HQ260" s="644">
        <f>(FU260*$GD260-HN260)/$JF260*INDEX(Input!$1:$1048576,$JG$93,$C260*2+6)</f>
        <v>7.0028113916076116</v>
      </c>
      <c r="HR260" s="644">
        <f>(FV260*$GD260-HO260)/$JF260*INDEX(Input!$1:$1048576,$JG$93,$C260*2+6)</f>
        <v>-68.985575218002793</v>
      </c>
      <c r="HS260" s="644">
        <f t="shared" si="754"/>
        <v>-34.142431707344741</v>
      </c>
      <c r="HT260" s="644">
        <f t="shared" si="638"/>
        <v>20.265623664839257</v>
      </c>
      <c r="HU260" s="644">
        <f t="shared" si="639"/>
        <v>1.7280492291382092</v>
      </c>
      <c r="HV260" s="648">
        <f t="shared" si="640"/>
        <v>0</v>
      </c>
      <c r="HW260" s="648">
        <f t="shared" si="641"/>
        <v>0</v>
      </c>
      <c r="HX260" s="648">
        <f t="shared" si="642"/>
        <v>0</v>
      </c>
      <c r="HY260" s="644">
        <f>INDEX(Input!$1:$1048576,HY$93,$C260*2+6)*INDEX(Input!$1:$1048576,$JG$93,$C260*2+6)</f>
        <v>451</v>
      </c>
      <c r="HZ260" s="644">
        <f>INDEX(Input!$1:$1048576,HZ$93,$C260*2+6)*INDEX(Input!$1:$1048576,$JG$93,$C260*2+6)</f>
        <v>577</v>
      </c>
      <c r="IA260" s="644">
        <f>INDEX(Input!$1:$1048576,IA$93,$C260*2+6)*INDEX(Input!$1:$1048576,$JG$93,$C260*2+6)</f>
        <v>215</v>
      </c>
      <c r="IB260" s="644">
        <f t="shared" si="666"/>
        <v>543.02817409856982</v>
      </c>
      <c r="IC260" s="644">
        <f t="shared" si="667"/>
        <v>604.26843505644683</v>
      </c>
      <c r="ID260" s="644">
        <f>IF(AND(INDEX(Input!$1:$1048576,IA$93,$C260*2+7)="TOS",Y260&lt;=INDEX(Y:Y,MATCH(C260*1000+2,A:A))),0,1)*MAX(IA260+HR260+HU260+HX260,0%)</f>
        <v>147.74247401113541</v>
      </c>
      <c r="IE260" s="128">
        <f t="shared" si="759"/>
        <v>0.41931412044411631</v>
      </c>
      <c r="IF260" s="128">
        <f t="shared" si="643"/>
        <v>0.46660247008075806</v>
      </c>
      <c r="IG260" s="128">
        <f t="shared" si="644"/>
        <v>0.11408340947512564</v>
      </c>
      <c r="IH260" s="21"/>
      <c r="II260" s="19">
        <f t="shared" si="645"/>
        <v>1252</v>
      </c>
      <c r="IJ260" s="19">
        <f t="shared" si="646"/>
        <v>2011.9658773055378</v>
      </c>
      <c r="IK260" s="19">
        <f t="shared" si="647"/>
        <v>919</v>
      </c>
      <c r="IL260" s="19">
        <f t="shared" si="669"/>
        <v>542</v>
      </c>
      <c r="IM260" s="19">
        <f t="shared" si="648"/>
        <v>345.04744431829045</v>
      </c>
      <c r="IN260" s="19">
        <f t="shared" si="649"/>
        <v>-333</v>
      </c>
      <c r="IO260" s="39">
        <f t="shared" si="650"/>
        <v>0</v>
      </c>
      <c r="IP260" s="39">
        <f t="shared" si="651"/>
        <v>0</v>
      </c>
      <c r="IQ260" s="39">
        <f t="shared" si="652"/>
        <v>0</v>
      </c>
      <c r="IR260" s="39">
        <v>0</v>
      </c>
      <c r="IS260" s="39">
        <v>0</v>
      </c>
      <c r="IT260" s="39">
        <v>0</v>
      </c>
      <c r="IU260" s="39">
        <v>0</v>
      </c>
      <c r="IV260" s="39">
        <v>0</v>
      </c>
      <c r="IW260" s="39">
        <v>0</v>
      </c>
      <c r="IX260" s="39">
        <f>INDEX(Input!$1:$1048576,IX$93,$C260*2+6)+INDEX(Input!$1:$1048576,IX$94,$C260*2+6)</f>
        <v>1294</v>
      </c>
      <c r="IY260" s="39">
        <f>INDEX(Input!$1:$1048576,IY$93,$C260*2+6)+INDEX(Input!$1:$1048576,IY$94,$C260*2+6)</f>
        <v>2154.0624533823611</v>
      </c>
      <c r="IZ260" s="39">
        <f>INDEX(Input!$1:$1048576,IZ$93,$C260*2+6)+INDEX(Input!$1:$1048576,IZ$94,$C260*2+6)</f>
        <v>3677.7164157747848</v>
      </c>
      <c r="JA260" s="19">
        <f t="shared" si="670"/>
        <v>1836</v>
      </c>
      <c r="JB260" s="19">
        <f t="shared" si="671"/>
        <v>2499.1098977006513</v>
      </c>
      <c r="JC260" s="19">
        <f t="shared" si="672"/>
        <v>3344.7164157747848</v>
      </c>
      <c r="JD260" s="19">
        <f t="shared" si="673"/>
        <v>2317.5282288448011</v>
      </c>
      <c r="JE260" s="21"/>
      <c r="JF260" s="1">
        <f t="shared" si="653"/>
        <v>1.7106565950787935E-2</v>
      </c>
      <c r="JG260" s="15">
        <f>INDEX(Input!$1:$1048576,JG$93,$C260*2+6)/(1+VLOOKUP(C260*1000+INDEX(Input!$1:$1048576,JG$93+1,$C260*2+6),$A:$KK,$JK$92,FALSE))</f>
        <v>1243</v>
      </c>
      <c r="JH260" s="1">
        <f t="shared" si="674"/>
        <v>5.1639454528977675E-2</v>
      </c>
      <c r="JI260" s="1">
        <f t="shared" si="675"/>
        <v>-9.7737399946639381E-3</v>
      </c>
      <c r="JJ260" s="1">
        <f t="shared" si="731"/>
        <v>0</v>
      </c>
      <c r="JK260" s="1">
        <f t="shared" si="732"/>
        <v>4.1865714534313737E-2</v>
      </c>
      <c r="JL260" s="15">
        <f t="shared" si="678"/>
        <v>52.039083166151975</v>
      </c>
      <c r="JM260" s="15">
        <f t="shared" si="702"/>
        <v>1295.0390831661521</v>
      </c>
      <c r="JN260" s="21"/>
      <c r="JO260" s="19">
        <f>INDEX(Input!$1:$1048576,JO$93,$C260*2+6)</f>
        <v>5995.5</v>
      </c>
      <c r="JP260" s="19">
        <f>INDEX(Input!$1:$1048576,JP$93,$C260*2+6)</f>
        <v>2105.548724853742</v>
      </c>
      <c r="JQ260" s="39">
        <f t="shared" si="688"/>
        <v>3677.9717711551989</v>
      </c>
      <c r="JR260" s="39">
        <f t="shared" si="705"/>
        <v>211.97950399105912</v>
      </c>
      <c r="JS260" s="39">
        <f t="shared" si="690"/>
        <v>3.0012896326948475</v>
      </c>
      <c r="JT260" s="39">
        <f t="shared" si="680"/>
        <v>0.38409256770164613</v>
      </c>
      <c r="JU260" s="385">
        <f>(JQ260*JM260-INDEX(Input!$1:$1048576,Input!A$18,$C260*2+6)*JL260*INDEX(Input!$1:$1048576,Input!A$19,$C260*2+6))/1000000</f>
        <v>4.7631171904278178</v>
      </c>
      <c r="JV260" s="39">
        <f t="shared" si="712"/>
        <v>-7.2092244578980669E-2</v>
      </c>
      <c r="JW260" s="1">
        <f t="shared" si="703"/>
        <v>-1.4909849417697314E-2</v>
      </c>
      <c r="JX260" s="19">
        <f t="shared" si="694"/>
        <v>7380.8480921023074</v>
      </c>
      <c r="JZ260" s="341"/>
      <c r="KA260" s="342"/>
      <c r="KB260" s="469">
        <f t="shared" si="691"/>
        <v>2.5660492421988774</v>
      </c>
      <c r="KI260" s="473">
        <f t="shared" si="756"/>
        <v>92.028174098569821</v>
      </c>
      <c r="KJ260" s="473">
        <f t="shared" si="757"/>
        <v>27.268435056446833</v>
      </c>
      <c r="KK260" s="473">
        <f t="shared" si="682"/>
        <v>-67.257525988864586</v>
      </c>
      <c r="KN260" s="544">
        <f t="shared" si="695"/>
        <v>2002</v>
      </c>
      <c r="KO260" s="541">
        <f t="shared" si="657"/>
        <v>3.5727306078815246E-2</v>
      </c>
      <c r="KP260" s="546">
        <f t="shared" si="658"/>
        <v>309.98918853227576</v>
      </c>
      <c r="KQ260" s="546">
        <f t="shared" si="659"/>
        <v>173.8478894113282</v>
      </c>
      <c r="KR260" s="548">
        <f t="shared" si="660"/>
        <v>2.0562726441560293</v>
      </c>
      <c r="KS260" s="548">
        <f t="shared" si="661"/>
        <v>3.6665517799579859</v>
      </c>
      <c r="KT260" s="473">
        <f t="shared" si="693"/>
        <v>843.26993010479111</v>
      </c>
      <c r="KU260" s="663">
        <f t="shared" si="683"/>
        <v>4.6199228133289578</v>
      </c>
      <c r="KV260" s="117"/>
    </row>
    <row r="261" spans="1:308" s="26" customFormat="1" ht="15" outlineLevel="1">
      <c r="A261" s="561">
        <f t="shared" si="662"/>
        <v>2061</v>
      </c>
      <c r="B261" s="561">
        <f t="shared" si="684"/>
        <v>61</v>
      </c>
      <c r="C261" s="561">
        <f t="shared" si="760"/>
        <v>2</v>
      </c>
      <c r="D261" s="561" t="str">
        <f t="shared" si="728"/>
        <v xml:space="preserve">750 CC, 0/0/0.9/3.9, -360 Lease, </v>
      </c>
      <c r="E261" s="475">
        <f>INDEX(Input!$1:$1048576,E$93,$C261*2+MIN($B261,2)+5)
+INDEX(Scenarios!E$121:E$200,MATCH($B261,Scenarios!$B$121:$B$200,0))</f>
        <v>2019.7618664521319</v>
      </c>
      <c r="F261" s="475">
        <f>INDEX(Input!$1:$1048576,F$93,$C261*2+MIN($B261,2)+5)
+INDEX(Scenarios!F$121:F$200,MATCH($B261,Scenarios!$B$121:$B$200,0))</f>
        <v>0</v>
      </c>
      <c r="G261" s="475">
        <f>INDEX(Input!$1:$1048576,G$93,$C261*2+MIN($B261,2)+5)
+INDEX(Scenarios!G$121:G$200,MATCH($B261,Scenarios!$B$121:$B$200,0))</f>
        <v>0</v>
      </c>
      <c r="H261" s="475">
        <f>INDEX(Input!$1:$1048576,H$93,$C261*2+MIN($B261,2)+5)
+INDEX(Scenarios!H$121:H$200,MATCH($B261,Scenarios!$B$121:$B$200,0))</f>
        <v>0</v>
      </c>
      <c r="I261" s="476">
        <f>INDEX(Input!$1:$1048576,I$93,$C261*2+MIN($B261,2)+5)</f>
        <v>0.7</v>
      </c>
      <c r="J261" s="476" t="str">
        <f>INDEX(Input!$1:$1048576,J$93,$C261*2+MIN($B261,2)+5)</f>
        <v>Market</v>
      </c>
      <c r="K261" s="476" t="str">
        <f>INDEX(Input!$1:$1048576,K$93,$C261*2+MIN($B261,2)+5)</f>
        <v>Market</v>
      </c>
      <c r="L261" s="476" t="str">
        <f>INDEX(Input!$1:$1048576,L$93,$C261*2+MIN($B261,2)+5)</f>
        <v>Market</v>
      </c>
      <c r="M261" s="476" t="str">
        <f>INDEX(Input!$1:$1048576,M$93,$C261*2+MIN($B261,2)+5)</f>
        <v>Market</v>
      </c>
      <c r="N261" s="476" t="str">
        <f>INDEX(Input!$1:$1048576,N$93,$C261*2+MIN($B261,2)+5)</f>
        <v>Market</v>
      </c>
      <c r="O261" s="476" t="str">
        <f>INDEX(Input!$1:$1048576,O$93,$C261*2+MIN($B261,2)+5)</f>
        <v>Market</v>
      </c>
      <c r="P261" s="476" t="str">
        <f>INDEX(Input!$1:$1048576,P$93,$C261*2+MIN($B261,2)+5)</f>
        <v>N</v>
      </c>
      <c r="Q261" s="477">
        <f>INDEX(Input!$1:$1048576,Q$93,$C261*2+MIN($B261,2)+5)
+INDEX(Scenarios!Q$121:Q$200,MATCH($B261,Scenarios!$B$121:$B$200,0))</f>
        <v>0</v>
      </c>
      <c r="R261" s="478">
        <f>IFERROR(MAX(0,INDEX(Input!$1:$1048576,R$93,$C261*2+MIN($B261,2)+5)
+INDEX(Scenarios!R$121:R$200,MATCH($B261,Scenarios!$B$121:$B$200,0)),),"Market")</f>
        <v>0</v>
      </c>
      <c r="S261" s="478">
        <f>IFERROR(MAX(0,INDEX(Input!$1:$1048576,S$93,$C261*2+MIN($B261,2)+5)
+INDEX(Scenarios!S$121:S$200,MATCH($B261,Scenarios!$B$121:$B$200,0)),),"Market")</f>
        <v>0</v>
      </c>
      <c r="T261" s="478">
        <f>IFERROR(MAX(0,INDEX(Input!$1:$1048576,T$93,$C261*2+MIN($B261,2)+5)
+INDEX(Scenarios!T$121:T$200,MATCH($B261,Scenarios!$B$121:$B$200,0)),),"Market")</f>
        <v>0</v>
      </c>
      <c r="U261" s="478">
        <f>IFERROR(MAX(0,INDEX(Input!$1:$1048576,U$93,$C261*2+MIN($B261,2)+5)
+INDEX(Scenarios!U$121:U$200,MATCH($B261,Scenarios!$B$121:$B$200,0)),),"Market")</f>
        <v>0</v>
      </c>
      <c r="V261" s="478">
        <f>IFERROR(MAX(0,INDEX(Input!$1:$1048576,V$93,$C261*2+MIN($B261,2)+5)
+INDEX(Scenarios!V$121:V$200,MATCH($B261,Scenarios!$B$121:$B$200,0)),),"Market")</f>
        <v>8.9999999999999993E-3</v>
      </c>
      <c r="W261" s="885">
        <f>IFERROR(MAX(0,INDEX(Input!$1:$1048576,W$93,$C261*2+MIN($B261,2)+5)-0%,),"Market")</f>
        <v>3.9E-2</v>
      </c>
      <c r="X261" s="476" t="str">
        <f>INDEX(Input!$1:$1048576,X$93,$C261*2+MIN($B261,2)+5)</f>
        <v>Y</v>
      </c>
      <c r="Y261" s="475">
        <f>INDEX(Input!$1:$1048576,Y$93,$C261*2+MIN($B261,2)+5)
++INDEX(Scenarios!Y$121:Y$200,MATCH($B261,Scenarios!$B$121:$B$200,0))</f>
        <v>-304</v>
      </c>
      <c r="Z261" s="477">
        <f>INDEX(Input!$1:$1048576,Z$93,$C261*2+MIN($B261,2)+5)
+INDEX(Scenarios!Z$121:Z$200,MATCH($B261,Scenarios!$B$121:$B$200,0))</f>
        <v>0</v>
      </c>
      <c r="AA261" s="475">
        <f>INDEX(Input!$1:$1048576,AA$93,$C261*2+MIN($B261,2)+5)
+INDEX(Scenarios!AA$121:AA$200,MATCH($B261,Scenarios!$B$121:$B$200,0))</f>
        <v>0</v>
      </c>
      <c r="AB261" s="476">
        <f>INDEX(Input!$1:$1048576,AB$93,$C261*2+MIN($B261,2)+5)</f>
        <v>0.27</v>
      </c>
      <c r="AC261" s="475">
        <f>INDEX(Input!$1:$1048576,AC$93,$C261*2+MIN($B261,2)+5)
+INDEX(Scenarios!AC$121:AC$200,MATCH($B261,Scenarios!$B$121:$B$200,0))</f>
        <v>0</v>
      </c>
      <c r="AD261" s="476">
        <f>INDEX(Input!$1:$1048576,AD$93,$C261*2+MIN($B261,2)+5)</f>
        <v>0.27</v>
      </c>
      <c r="AE261" s="475">
        <f>INDEX(Input!$1:$1048576,AE$93,$C261*2+MIN($B261,2)+5)
+INDEX(Scenarios!AE$121:AE$200,MATCH($B261,Scenarios!$B$121:$B$200,0))</f>
        <v>0</v>
      </c>
      <c r="AF261" s="476">
        <f>INDEX(Input!$1:$1048576,AF$93,$C261*2+MIN($B261,2)+5)</f>
        <v>4.8000000000000001E-2</v>
      </c>
      <c r="AG261" s="475">
        <f>INDEX(Input!$1:$1048576,AG$93,$C261*2+MIN($B261,2)+5)
+INDEX(Scenarios!AG$121:AG$200,MATCH($B261,Scenarios!$B$121:$B$200,0))</f>
        <v>500</v>
      </c>
      <c r="AH261" s="476">
        <f>INDEX(Input!$1:$1048576,AH$93,$C261*2+MIN($B261,2)+5)</f>
        <v>0.94599999999999995</v>
      </c>
      <c r="AI261" s="475">
        <f>INDEX(Input!$1:$1048576,AI$93,$C261*2+MIN($B261,2)+5)
+INDEX(Scenarios!AI$121:AI$200,MATCH($B261,Scenarios!$B$121:$B$200,0))</f>
        <v>0</v>
      </c>
      <c r="AJ261" s="476">
        <f>INDEX(Input!$1:$1048576,AJ$93,$C261*2+MIN($B261,2)+5)</f>
        <v>0.27</v>
      </c>
      <c r="AK261" s="150">
        <f>ROUND(INDEX(Input!$1:$1048576,AK$93,$C260*2+MIN($B261,1)+5)+(Y261-VLOOKUP($C261*1000+1,$A:$HH,Y$92,FALSE)),0)</f>
        <v>2617</v>
      </c>
      <c r="AL261" s="150">
        <f>ROUND(INDEX(Input!$1:$1048576,AL$93,$C260*2+MIN($B261,1)+5)-(Y261-VLOOKUP($C261*1000+1,$A:$HH,Y$92,FALSE))/36,0)</f>
        <v>3405</v>
      </c>
      <c r="AM261" s="32" t="str">
        <f t="shared" si="663"/>
        <v>std/std/std/std</v>
      </c>
      <c r="AN261" s="32" t="str">
        <f t="shared" si="664"/>
        <v>$0 + 0/0/0/0.9/3.9</v>
      </c>
      <c r="AO261" s="32" t="str">
        <f t="shared" si="665"/>
        <v>0/0/0/0.9/3.9</v>
      </c>
      <c r="AP261" s="32" t="str">
        <f t="shared" si="734"/>
        <v>0/0/0.9/3.9</v>
      </c>
      <c r="AQ261" s="536">
        <f t="shared" si="733"/>
        <v>0.44318340202684614</v>
      </c>
      <c r="AR261" s="32"/>
      <c r="AS261" s="302"/>
      <c r="AT261" s="3">
        <f t="shared" si="717"/>
        <v>61</v>
      </c>
      <c r="AU261" s="41" t="s">
        <v>121</v>
      </c>
      <c r="AV261" s="41" t="s">
        <v>116</v>
      </c>
      <c r="AW261" s="41" t="str">
        <f>INDEX(Input!$1:$1048576,AW$93,$C261*2+6)</f>
        <v>Kia</v>
      </c>
      <c r="AX261" s="41" t="str">
        <f>INDEX(Input!$1:$1048576,AX$93,$C261*2+6)</f>
        <v>Kia-LR - L2</v>
      </c>
      <c r="AY261" s="41" t="str">
        <f>IF(LEN(D261)=0,"",INDEX(Input!$1:$1048576,AY$93,$C261*2+6))</f>
        <v>Compact SUV (52)</v>
      </c>
      <c r="AZ261" s="41" t="str">
        <f>INDEX(Input!$1:$1048576,AZ$93,$C261*2+6)</f>
        <v>Kia Soul</v>
      </c>
      <c r="BA261" s="3">
        <f>INDEX(Input!$1:$1048576,BA$93,$C261*2+6)</f>
        <v>2020</v>
      </c>
      <c r="BB261" s="128">
        <f>INDEX(Input!$1:$1048576,BB$93,$C261*2+6)</f>
        <v>1</v>
      </c>
      <c r="BC261" s="128">
        <f>INDEX(Input!$1:$1048576,BC$93,$C261*2+6)</f>
        <v>0.7</v>
      </c>
      <c r="BD261" s="1">
        <f>INDEX(Input!$1:$1048576,BD$93,$C261*2+6)</f>
        <v>4.4999999999999998E-2</v>
      </c>
      <c r="BE261" s="1">
        <f>INDEX(Input!$1:$1048576,BE$93,$C261*2+6)</f>
        <v>4.4999999999999998E-2</v>
      </c>
      <c r="BF261" s="1">
        <f>INDEX(Input!$1:$1048576,BF$93,$C261*2+6)</f>
        <v>0.05</v>
      </c>
      <c r="BG261" s="1">
        <f>INDEX(Input!$1:$1048576,BG$93,$C261*2+6)</f>
        <v>5.45E-2</v>
      </c>
      <c r="BH261" s="1">
        <f>INDEX(Input!$1:$1048576,BH$93,$C261*2+6)</f>
        <v>5.45E-2</v>
      </c>
      <c r="BI261" s="1">
        <f>INDEX(Input!$1:$1048576,BI$93,$C261*2+6)</f>
        <v>0.05</v>
      </c>
      <c r="BJ261" s="1">
        <f>INDEX(Input!$1:$1048576,BJ$93,$C261*2+6)</f>
        <v>0.05</v>
      </c>
      <c r="BK261" s="1">
        <f>INDEX(Input!$1:$1048576,BK$93,$C261*2+6)</f>
        <v>0.05</v>
      </c>
      <c r="BL261" s="1">
        <f>INDEX(Input!$1:$1048576,BL$93,$C261*2+6)</f>
        <v>5.5E-2</v>
      </c>
      <c r="BM261" s="1">
        <f>INDEX(Input!$1:$1048576,BM$93,$C261*2+6)</f>
        <v>0.06</v>
      </c>
      <c r="BN261" s="1">
        <f>INDEX(Input!$1:$1048576,BN$93,$C261*2+6)</f>
        <v>4.4999999999999998E-2</v>
      </c>
      <c r="BO261" s="1">
        <f>INDEX(Input!$1:$1048576,BO$93,$C261*2+6)</f>
        <v>4.4999999999999998E-2</v>
      </c>
      <c r="BP261" s="1">
        <f>INDEX(Input!$1:$1048576,BP$93,$C261*2+6)</f>
        <v>0.05</v>
      </c>
      <c r="BQ261" s="1">
        <f>INDEX(Input!$1:$1048576,BQ$93,$C261*2+6)</f>
        <v>5.45E-2</v>
      </c>
      <c r="BR261" s="1">
        <f>INDEX(Input!$1:$1048576,BR$93,$C261*2+6)</f>
        <v>5.45E-2</v>
      </c>
      <c r="BS261" s="1">
        <f>INDEX(Input!$1:$1048576,BS$93,$C261*2+6)</f>
        <v>0.05</v>
      </c>
      <c r="BT261" s="1">
        <f>INDEX(Input!$1:$1048576,BT$93,$C261*2+6)</f>
        <v>0.05</v>
      </c>
      <c r="BU261" s="1">
        <f>INDEX(Input!$1:$1048576,BU$93,$C261*2+6)</f>
        <v>0.05</v>
      </c>
      <c r="BV261" s="1">
        <f>INDEX(Input!$1:$1048576,BV$93,$C261*2+6)</f>
        <v>5.5E-2</v>
      </c>
      <c r="BW261" s="1">
        <f>INDEX(Input!$1:$1048576,BW$93,$C261*2+6)</f>
        <v>0.06</v>
      </c>
      <c r="BX261" s="127">
        <f>INDEX(Input!$1:$1048576,BX$93,$C261*2+6)</f>
        <v>19985</v>
      </c>
      <c r="BY261" s="20">
        <f>INDEX(Input!$1:$1048576,BY$93,$C261*2+6)</f>
        <v>0.1</v>
      </c>
      <c r="BZ261" s="20">
        <f>INDEX(Input!$1:$1048576,BZ$93,$C261*2+6)</f>
        <v>0.1</v>
      </c>
      <c r="CA261" s="20">
        <f>INDEX(Input!$1:$1048576,CA$93,$C261*2+6)</f>
        <v>0.1</v>
      </c>
      <c r="CB261" s="20">
        <f>INDEX(Input!$1:$1048576,CB$93,$C261*2+6)</f>
        <v>0.1</v>
      </c>
      <c r="CC261" s="20">
        <f>INDEX(Input!$1:$1048576,CC$93,$C261*2+6)</f>
        <v>0.1</v>
      </c>
      <c r="CD261" s="384">
        <f>INDEX(Input!$1:$1048576,CD$93,$C261*2+6)</f>
        <v>0.1</v>
      </c>
      <c r="CE261" s="384">
        <f>INDEX(Input!$1:$1048576,CE$93,$C261*2+6)</f>
        <v>0.1</v>
      </c>
      <c r="CF261" s="384">
        <f>INDEX(Input!$1:$1048576,CF$93,$C261*2+6)</f>
        <v>0.1</v>
      </c>
      <c r="CG261" s="384">
        <f>INDEX(Input!$1:$1048576,CG$93,$C261*2+6)</f>
        <v>0.1</v>
      </c>
      <c r="CH261" s="384">
        <f>INDEX(Input!$1:$1048576,CH$93,$C261*2+6)</f>
        <v>0.1</v>
      </c>
      <c r="CI261" s="304">
        <f t="shared" si="735"/>
        <v>2019.7618664521319</v>
      </c>
      <c r="CJ261" s="16" t="str">
        <f>INDEX(Input!$1:$1048576,CJ$93,$C261*2+6)</f>
        <v>N</v>
      </c>
      <c r="CK261" s="1" t="str">
        <f t="shared" si="736"/>
        <v>Market</v>
      </c>
      <c r="CL261" s="1" t="str">
        <f t="shared" si="737"/>
        <v>Market</v>
      </c>
      <c r="CM261" s="1" t="str">
        <f t="shared" si="738"/>
        <v>Market</v>
      </c>
      <c r="CN261" s="1" t="str">
        <f t="shared" si="739"/>
        <v>Market</v>
      </c>
      <c r="CO261" s="1" t="str">
        <f t="shared" si="740"/>
        <v>Market</v>
      </c>
      <c r="CP261" s="304">
        <f t="shared" si="741"/>
        <v>473</v>
      </c>
      <c r="CQ261" s="1">
        <f t="shared" si="742"/>
        <v>0</v>
      </c>
      <c r="CR261" s="1">
        <f t="shared" si="743"/>
        <v>0</v>
      </c>
      <c r="CS261" s="1">
        <f t="shared" si="744"/>
        <v>0</v>
      </c>
      <c r="CT261" s="1">
        <f t="shared" si="745"/>
        <v>8.9999999999999993E-3</v>
      </c>
      <c r="CU261" s="1">
        <f t="shared" si="746"/>
        <v>3.9E-2</v>
      </c>
      <c r="CV261" s="304">
        <f t="shared" si="747"/>
        <v>-304</v>
      </c>
      <c r="CW261" s="20" t="s">
        <v>122</v>
      </c>
      <c r="CX261" s="20" t="s">
        <v>122</v>
      </c>
      <c r="CY261" s="20" t="s">
        <v>122</v>
      </c>
      <c r="CZ261" s="20" t="s">
        <v>122</v>
      </c>
      <c r="DA261" s="20" t="s">
        <v>122</v>
      </c>
      <c r="DB261" s="503">
        <f t="shared" si="748"/>
        <v>0</v>
      </c>
      <c r="DC261" s="127">
        <v>0</v>
      </c>
      <c r="DD261" s="127">
        <v>0</v>
      </c>
      <c r="DE261" s="127">
        <v>0</v>
      </c>
      <c r="DF261" s="127">
        <v>0</v>
      </c>
      <c r="DG261" s="127">
        <v>0</v>
      </c>
      <c r="DH261" s="127">
        <v>0</v>
      </c>
      <c r="DI261" s="127">
        <v>0</v>
      </c>
      <c r="DJ261" s="127">
        <v>0</v>
      </c>
      <c r="DK261" s="127">
        <v>0</v>
      </c>
      <c r="DL261" s="127">
        <v>0</v>
      </c>
      <c r="DM261" s="304">
        <f>INDEX(Input!$1:$1048576,DM$93,$C261*2+6)</f>
        <v>21036.84210526316</v>
      </c>
      <c r="DN261" s="20">
        <v>0</v>
      </c>
      <c r="DO261" s="20">
        <v>0</v>
      </c>
      <c r="DP261" s="20">
        <v>0</v>
      </c>
      <c r="DQ261" s="20">
        <v>0</v>
      </c>
      <c r="DR261" s="20">
        <v>0</v>
      </c>
      <c r="DS261" s="20">
        <f>INDEX(Input!$1:$1048576,DS$93,$C261*2+6)</f>
        <v>0.6</v>
      </c>
      <c r="DT261" s="20">
        <f>INDEX(Input!$1:$1048576,DT$93,$C261*2+6)</f>
        <v>0.55000000000000004</v>
      </c>
      <c r="DU261" s="20">
        <f>INDEX(Input!$1:$1048576,DU$93,$C261*2+6)</f>
        <v>0.52</v>
      </c>
      <c r="DV261" s="20">
        <f>INDEX(Input!$1:$1048576,DV$93,$C261*2+6)</f>
        <v>0.5</v>
      </c>
      <c r="DW261" s="20">
        <f>INDEX(Input!$1:$1048576,DW$93,$C261*2+6)</f>
        <v>0.45</v>
      </c>
      <c r="DX261" s="20"/>
      <c r="DY261" s="7">
        <v>0.11144169567397608</v>
      </c>
      <c r="DZ261" s="7">
        <v>0</v>
      </c>
      <c r="EA261" s="7">
        <v>0.71514631289389896</v>
      </c>
      <c r="EB261" s="7">
        <v>0</v>
      </c>
      <c r="EC261" s="7">
        <v>0</v>
      </c>
      <c r="ED261" s="7">
        <v>0</v>
      </c>
      <c r="EE261" s="7">
        <v>0</v>
      </c>
      <c r="EF261" s="7">
        <v>0</v>
      </c>
      <c r="EG261" s="7">
        <v>0</v>
      </c>
      <c r="EH261" s="7">
        <v>1.1243059183905339E-2</v>
      </c>
      <c r="EI261" s="7">
        <v>3.2012721654243625E-2</v>
      </c>
      <c r="EJ261" s="7">
        <v>0.24201874625929129</v>
      </c>
      <c r="EK261" s="7">
        <v>0.62728786697415428</v>
      </c>
      <c r="EL261" s="7">
        <v>8.743760592840541E-2</v>
      </c>
      <c r="EM261" s="7">
        <v>5.3505690268466577E-2</v>
      </c>
      <c r="EN261" s="7">
        <v>6.4349439473540174E-2</v>
      </c>
      <c r="EO261" s="7">
        <v>0.72182141564135638</v>
      </c>
      <c r="EP261" s="7">
        <v>9.2907746284286385E-2</v>
      </c>
      <c r="EQ261" s="7">
        <v>7.9195709575251114E-2</v>
      </c>
      <c r="ER261" s="7">
        <v>4.1725689025565886E-2</v>
      </c>
      <c r="ES261" s="7">
        <v>0.11990630116365839</v>
      </c>
      <c r="ET261" s="7">
        <v>0.17341199143212505</v>
      </c>
      <c r="EU261" s="6">
        <v>2044</v>
      </c>
      <c r="EV261" s="6">
        <v>0</v>
      </c>
      <c r="EW261" s="6">
        <v>2044</v>
      </c>
      <c r="EX261" s="6">
        <v>0</v>
      </c>
      <c r="EY261" s="6">
        <v>2357.0066842595525</v>
      </c>
      <c r="EZ261" s="6">
        <v>586</v>
      </c>
      <c r="FA261" s="6">
        <v>0</v>
      </c>
      <c r="FB261" s="6">
        <v>0</v>
      </c>
      <c r="FC261" s="6">
        <v>0</v>
      </c>
      <c r="FD261" s="6">
        <v>0</v>
      </c>
      <c r="FE261" s="6">
        <v>0</v>
      </c>
      <c r="FF261" s="6">
        <v>0</v>
      </c>
      <c r="FG261" s="6">
        <v>0</v>
      </c>
      <c r="FH261" s="6">
        <v>1173.7372798664994</v>
      </c>
      <c r="FI261" s="6">
        <v>1553.9796069512395</v>
      </c>
      <c r="FJ261" s="6">
        <v>2101.2110117447405</v>
      </c>
      <c r="FK261" s="6">
        <v>2251.3078348034669</v>
      </c>
      <c r="FL261" s="6">
        <v>907.07682140966369</v>
      </c>
      <c r="FM261" s="6">
        <v>2063.0066842595525</v>
      </c>
      <c r="FN261" s="6">
        <v>0</v>
      </c>
      <c r="FO261" s="6">
        <v>0</v>
      </c>
      <c r="FP261" s="6">
        <v>0</v>
      </c>
      <c r="FQ261" s="6">
        <v>0</v>
      </c>
      <c r="FR261" s="6">
        <v>0</v>
      </c>
      <c r="FS261" s="6">
        <v>0</v>
      </c>
      <c r="FT261" s="7">
        <v>0.82658800856787507</v>
      </c>
      <c r="FU261" s="7">
        <v>5.3505690268466577E-2</v>
      </c>
      <c r="FV261" s="7">
        <v>0.11990630116365839</v>
      </c>
      <c r="FW261" s="6">
        <v>2043.9999999999998</v>
      </c>
      <c r="FX261" s="6">
        <v>2357.0066842595525</v>
      </c>
      <c r="FY261" s="6">
        <v>586</v>
      </c>
      <c r="FZ261" s="6">
        <v>1817.4615072224267</v>
      </c>
      <c r="GA261" s="6">
        <v>1885.9242516033373</v>
      </c>
      <c r="GB261" s="6">
        <v>18099.075748396663</v>
      </c>
      <c r="GC261" s="7">
        <v>1.804905384453976E-2</v>
      </c>
      <c r="GD261" s="7">
        <v>1.8458346409539039E-2</v>
      </c>
      <c r="GE261" s="7"/>
      <c r="GF261" s="7"/>
      <c r="GG261" s="7">
        <v>2.2676677044935444E-2</v>
      </c>
      <c r="GH261" s="42">
        <v>6.6195621405647023</v>
      </c>
      <c r="GI261" s="6">
        <v>4905.0061146667404</v>
      </c>
      <c r="GJ261" s="14">
        <v>0.50394797582841755</v>
      </c>
      <c r="GK261" s="14">
        <v>0.50887573065309721</v>
      </c>
      <c r="GL261" s="14">
        <v>0.49605202417158289</v>
      </c>
      <c r="GM261" s="14">
        <v>0.4911242693469024</v>
      </c>
      <c r="GO261" s="5">
        <v>343.14810671672558</v>
      </c>
      <c r="GP261" s="5">
        <v>304.15248610521212</v>
      </c>
      <c r="GQ261" s="5">
        <v>535.04305713031317</v>
      </c>
      <c r="GR261" s="5">
        <v>410.15490233172511</v>
      </c>
      <c r="GS261" s="5">
        <v>339.42744393800166</v>
      </c>
      <c r="GT261" s="5">
        <v>293.4407446948278</v>
      </c>
      <c r="GU261" s="5">
        <v>258.04012322764959</v>
      </c>
      <c r="GV261" s="39" t="s">
        <v>392</v>
      </c>
      <c r="GW261" s="5">
        <v>491.45833333333331</v>
      </c>
      <c r="GX261" s="5">
        <v>368.59375</v>
      </c>
      <c r="GY261" s="5">
        <v>294.875</v>
      </c>
      <c r="GZ261" s="5">
        <v>252.51567799800796</v>
      </c>
      <c r="HA261" s="5">
        <v>241.02179695997205</v>
      </c>
      <c r="HB261" s="39">
        <v>268.16485198518745</v>
      </c>
      <c r="HC261" s="5">
        <v>261.64687500000002</v>
      </c>
      <c r="HD261" s="5">
        <v>222.30677997076018</v>
      </c>
      <c r="HE261" s="5">
        <v>224.71639254385963</v>
      </c>
      <c r="HF261" s="5">
        <v>207.35750548245613</v>
      </c>
      <c r="HG261" s="5">
        <v>199.39971491228067</v>
      </c>
      <c r="HH261" s="39">
        <v>222.92243323445757</v>
      </c>
      <c r="HI261" s="16"/>
      <c r="HJ261" s="19" t="str">
        <f t="shared" si="761"/>
        <v>On</v>
      </c>
      <c r="HK261" s="1" t="str">
        <f t="shared" si="761"/>
        <v>On</v>
      </c>
      <c r="HL261" s="16"/>
      <c r="HM261" s="639">
        <f t="shared" si="634"/>
        <v>1.2768706344444866E-2</v>
      </c>
      <c r="HN261" s="639">
        <f t="shared" si="635"/>
        <v>9.795534288915453E-4</v>
      </c>
      <c r="HO261" s="639">
        <f t="shared" si="636"/>
        <v>3.3583061774515237E-3</v>
      </c>
      <c r="HP261" s="644">
        <f>(FT261*$GD261-HM261)/$JF261*INDEX(Input!$1:$1048576,$JG$93,$C261*2+6)</f>
        <v>180.83732517091198</v>
      </c>
      <c r="HQ261" s="644">
        <f>(FU261*$GD261-HN261)/$JF261*INDEX(Input!$1:$1048576,$JG$93,$C261*2+6)</f>
        <v>0.5866115546949523</v>
      </c>
      <c r="HR261" s="644">
        <f>(FV261*$GD261-HO261)/$JF261*INDEX(Input!$1:$1048576,$JG$93,$C261*2+6)</f>
        <v>-83.200651288810789</v>
      </c>
      <c r="HS261" s="644">
        <f t="shared" si="754"/>
        <v>-49.715540906563149</v>
      </c>
      <c r="HT261" s="644">
        <f t="shared" si="638"/>
        <v>16.668636239790047</v>
      </c>
      <c r="HU261" s="644">
        <f t="shared" si="639"/>
        <v>5.3244895290104068</v>
      </c>
      <c r="HV261" s="648">
        <f t="shared" si="640"/>
        <v>0</v>
      </c>
      <c r="HW261" s="648">
        <f t="shared" si="641"/>
        <v>0</v>
      </c>
      <c r="HX261" s="648">
        <f t="shared" si="642"/>
        <v>0</v>
      </c>
      <c r="HY261" s="644">
        <f>INDEX(Input!$1:$1048576,HY$93,$C261*2+6)*INDEX(Input!$1:$1048576,$JG$93,$C261*2+6)</f>
        <v>451</v>
      </c>
      <c r="HZ261" s="644">
        <f>INDEX(Input!$1:$1048576,HZ$93,$C261*2+6)*INDEX(Input!$1:$1048576,$JG$93,$C261*2+6)</f>
        <v>577</v>
      </c>
      <c r="IA261" s="644">
        <f>INDEX(Input!$1:$1048576,IA$93,$C261*2+6)*INDEX(Input!$1:$1048576,$JG$93,$C261*2+6)</f>
        <v>215</v>
      </c>
      <c r="IB261" s="644">
        <f t="shared" si="666"/>
        <v>582.12178426434889</v>
      </c>
      <c r="IC261" s="644">
        <f t="shared" si="667"/>
        <v>594.25524779448506</v>
      </c>
      <c r="ID261" s="644">
        <f>IF(AND(INDEX(Input!$1:$1048576,IA$93,$C261*2+7)="TOS",Y261&lt;=INDEX(Y:Y,MATCH(C261*1000+2,A:A))),0,1)*MAX(IA261+HR261+HU261+HX261,0%)</f>
        <v>137.12383824019963</v>
      </c>
      <c r="IE261" s="128">
        <f t="shared" si="759"/>
        <v>0.44318340202684614</v>
      </c>
      <c r="IF261" s="128">
        <f t="shared" si="643"/>
        <v>0.45242090144880986</v>
      </c>
      <c r="IG261" s="128">
        <f t="shared" si="644"/>
        <v>0.10439569652434399</v>
      </c>
      <c r="IH261" s="21"/>
      <c r="II261" s="19">
        <f t="shared" si="645"/>
        <v>1252</v>
      </c>
      <c r="IJ261" s="19">
        <f t="shared" si="646"/>
        <v>2011.9658773055378</v>
      </c>
      <c r="IK261" s="19">
        <f t="shared" si="647"/>
        <v>919</v>
      </c>
      <c r="IL261" s="19">
        <f t="shared" si="669"/>
        <v>791.99999999999977</v>
      </c>
      <c r="IM261" s="19">
        <f t="shared" si="648"/>
        <v>345.04080695401467</v>
      </c>
      <c r="IN261" s="19">
        <f t="shared" si="649"/>
        <v>-333</v>
      </c>
      <c r="IO261" s="39">
        <f t="shared" si="650"/>
        <v>0</v>
      </c>
      <c r="IP261" s="39">
        <f t="shared" si="651"/>
        <v>0</v>
      </c>
      <c r="IQ261" s="39">
        <f t="shared" si="652"/>
        <v>0</v>
      </c>
      <c r="IR261" s="39">
        <v>0</v>
      </c>
      <c r="IS261" s="39">
        <v>0</v>
      </c>
      <c r="IT261" s="39">
        <v>0</v>
      </c>
      <c r="IU261" s="39">
        <v>0</v>
      </c>
      <c r="IV261" s="39">
        <v>0</v>
      </c>
      <c r="IW261" s="39">
        <v>0</v>
      </c>
      <c r="IX261" s="39">
        <f>INDEX(Input!$1:$1048576,IX$93,$C261*2+6)+INDEX(Input!$1:$1048576,IX$94,$C261*2+6)</f>
        <v>1294</v>
      </c>
      <c r="IY261" s="39">
        <f>INDEX(Input!$1:$1048576,IY$93,$C261*2+6)+INDEX(Input!$1:$1048576,IY$94,$C261*2+6)</f>
        <v>2154.0624533823611</v>
      </c>
      <c r="IZ261" s="39">
        <f>INDEX(Input!$1:$1048576,IZ$93,$C261*2+6)+INDEX(Input!$1:$1048576,IZ$94,$C261*2+6)</f>
        <v>3677.7164157747848</v>
      </c>
      <c r="JA261" s="19">
        <f t="shared" si="670"/>
        <v>2086</v>
      </c>
      <c r="JB261" s="19">
        <f t="shared" si="671"/>
        <v>2499.1032603363756</v>
      </c>
      <c r="JC261" s="19">
        <f t="shared" si="672"/>
        <v>3344.7164157747848</v>
      </c>
      <c r="JD261" s="19">
        <f t="shared" si="673"/>
        <v>2404.30112638426</v>
      </c>
      <c r="JE261" s="21"/>
      <c r="JF261" s="1">
        <f t="shared" si="653"/>
        <v>1.7106565950787935E-2</v>
      </c>
      <c r="JG261" s="15">
        <f>INDEX(Input!$1:$1048576,JG$93,$C261*2+6)/(1+VLOOKUP(C261*1000+INDEX(Input!$1:$1048576,JG$93+1,$C261*2+6),$A:$KK,$JK$92,FALSE))</f>
        <v>1243</v>
      </c>
      <c r="JH261" s="1">
        <f t="shared" si="674"/>
        <v>7.9021146771356507E-2</v>
      </c>
      <c r="JI261" s="1">
        <f t="shared" si="675"/>
        <v>-2.2302827946711741E-2</v>
      </c>
      <c r="JJ261" s="1">
        <f t="shared" si="731"/>
        <v>0</v>
      </c>
      <c r="JK261" s="1">
        <f t="shared" si="732"/>
        <v>5.6718318824644766E-2</v>
      </c>
      <c r="JL261" s="15">
        <f t="shared" si="678"/>
        <v>70.500870299033437</v>
      </c>
      <c r="JM261" s="15">
        <f t="shared" si="702"/>
        <v>1313.5008702990335</v>
      </c>
      <c r="JN261" s="21"/>
      <c r="JO261" s="19">
        <f>INDEX(Input!$1:$1048576,JO$93,$C261*2+6)</f>
        <v>5995.5</v>
      </c>
      <c r="JP261" s="19">
        <f>INDEX(Input!$1:$1048576,JP$93,$C261*2+6)</f>
        <v>2105.548724853742</v>
      </c>
      <c r="JQ261" s="39">
        <f t="shared" si="688"/>
        <v>3591.19887361574</v>
      </c>
      <c r="JR261" s="39">
        <f t="shared" si="705"/>
        <v>298.752401530518</v>
      </c>
      <c r="JS261" s="39">
        <f t="shared" si="690"/>
        <v>3.1580516219666723</v>
      </c>
      <c r="JT261" s="39">
        <f t="shared" si="680"/>
        <v>0.54085455697347085</v>
      </c>
      <c r="JU261" s="385">
        <f>(JQ261*JM261-INDEX(Input!$1:$1048576,Input!A$18,$C261*2+6)*JL261*INDEX(Input!$1:$1048576,Input!A$19,$C261*2+6))/1000000</f>
        <v>4.7170428459111831</v>
      </c>
      <c r="JV261" s="39">
        <f t="shared" si="712"/>
        <v>-0.11816658909561539</v>
      </c>
      <c r="JW261" s="1">
        <f t="shared" si="703"/>
        <v>-2.4438773683739978E-2</v>
      </c>
      <c r="JX261" s="19">
        <f t="shared" si="694"/>
        <v>7671.6011402328168</v>
      </c>
      <c r="JZ261" s="341"/>
      <c r="KA261" s="342"/>
      <c r="KB261" s="469">
        <f t="shared" si="691"/>
        <v>2.5660492421988774</v>
      </c>
      <c r="KI261" s="473">
        <f t="shared" si="756"/>
        <v>131.12178426434889</v>
      </c>
      <c r="KJ261" s="473">
        <f t="shared" si="757"/>
        <v>17.255247794485058</v>
      </c>
      <c r="KK261" s="473">
        <f t="shared" si="682"/>
        <v>-77.876161759800368</v>
      </c>
      <c r="KN261" s="544">
        <f t="shared" si="695"/>
        <v>2002</v>
      </c>
      <c r="KO261" s="541">
        <f t="shared" si="657"/>
        <v>5.0492402592961616E-2</v>
      </c>
      <c r="KP261" s="546">
        <f t="shared" si="658"/>
        <v>431.90658159901102</v>
      </c>
      <c r="KQ261" s="546">
        <f t="shared" si="659"/>
        <v>260.62078695078708</v>
      </c>
      <c r="KR261" s="548">
        <f t="shared" si="660"/>
        <v>2.085754497548757</v>
      </c>
      <c r="KS261" s="548">
        <f t="shared" si="661"/>
        <v>3.4565588786329382</v>
      </c>
      <c r="KT261" s="473">
        <f t="shared" si="693"/>
        <v>843.26993010479111</v>
      </c>
      <c r="KU261" s="663">
        <f t="shared" si="683"/>
        <v>4.6351692348414639</v>
      </c>
      <c r="KV261" s="117"/>
    </row>
    <row r="262" spans="1:308" s="26" customFormat="1" ht="15" outlineLevel="1">
      <c r="A262" s="561">
        <f t="shared" si="662"/>
        <v>2062</v>
      </c>
      <c r="B262" s="561">
        <f t="shared" si="684"/>
        <v>62</v>
      </c>
      <c r="C262" s="561">
        <f t="shared" si="760"/>
        <v>2</v>
      </c>
      <c r="D262" s="561" t="str">
        <f t="shared" si="728"/>
        <v xml:space="preserve">1000 CC, 0/0/0.9/3.9, -360 Lease, </v>
      </c>
      <c r="E262" s="475">
        <f>INDEX(Input!$1:$1048576,E$93,$C262*2+MIN($B262,2)+5)
+INDEX(Scenarios!E$121:E$200,MATCH($B262,Scenarios!$B$121:$B$200,0))</f>
        <v>2269.7618664521319</v>
      </c>
      <c r="F262" s="475">
        <f>INDEX(Input!$1:$1048576,F$93,$C262*2+MIN($B262,2)+5)
+INDEX(Scenarios!F$121:F$200,MATCH($B262,Scenarios!$B$121:$B$200,0))</f>
        <v>0</v>
      </c>
      <c r="G262" s="475">
        <f>INDEX(Input!$1:$1048576,G$93,$C262*2+MIN($B262,2)+5)
+INDEX(Scenarios!G$121:G$200,MATCH($B262,Scenarios!$B$121:$B$200,0))</f>
        <v>0</v>
      </c>
      <c r="H262" s="475">
        <f>INDEX(Input!$1:$1048576,H$93,$C262*2+MIN($B262,2)+5)
+INDEX(Scenarios!H$121:H$200,MATCH($B262,Scenarios!$B$121:$B$200,0))</f>
        <v>0</v>
      </c>
      <c r="I262" s="476">
        <f>INDEX(Input!$1:$1048576,I$93,$C262*2+MIN($B262,2)+5)</f>
        <v>0.7</v>
      </c>
      <c r="J262" s="476" t="str">
        <f>INDEX(Input!$1:$1048576,J$93,$C262*2+MIN($B262,2)+5)</f>
        <v>Market</v>
      </c>
      <c r="K262" s="476" t="str">
        <f>INDEX(Input!$1:$1048576,K$93,$C262*2+MIN($B262,2)+5)</f>
        <v>Market</v>
      </c>
      <c r="L262" s="476" t="str">
        <f>INDEX(Input!$1:$1048576,L$93,$C262*2+MIN($B262,2)+5)</f>
        <v>Market</v>
      </c>
      <c r="M262" s="476" t="str">
        <f>INDEX(Input!$1:$1048576,M$93,$C262*2+MIN($B262,2)+5)</f>
        <v>Market</v>
      </c>
      <c r="N262" s="476" t="str">
        <f>INDEX(Input!$1:$1048576,N$93,$C262*2+MIN($B262,2)+5)</f>
        <v>Market</v>
      </c>
      <c r="O262" s="476" t="str">
        <f>INDEX(Input!$1:$1048576,O$93,$C262*2+MIN($B262,2)+5)</f>
        <v>Market</v>
      </c>
      <c r="P262" s="476" t="str">
        <f>INDEX(Input!$1:$1048576,P$93,$C262*2+MIN($B262,2)+5)</f>
        <v>N</v>
      </c>
      <c r="Q262" s="477">
        <f>INDEX(Input!$1:$1048576,Q$93,$C262*2+MIN($B262,2)+5)
+INDEX(Scenarios!Q$121:Q$200,MATCH($B262,Scenarios!$B$121:$B$200,0))</f>
        <v>0</v>
      </c>
      <c r="R262" s="478">
        <f>IFERROR(MAX(0,INDEX(Input!$1:$1048576,R$93,$C262*2+MIN($B262,2)+5)
+INDEX(Scenarios!R$121:R$200,MATCH($B262,Scenarios!$B$121:$B$200,0)),),"Market")</f>
        <v>0</v>
      </c>
      <c r="S262" s="478">
        <f>IFERROR(MAX(0,INDEX(Input!$1:$1048576,S$93,$C262*2+MIN($B262,2)+5)
+INDEX(Scenarios!S$121:S$200,MATCH($B262,Scenarios!$B$121:$B$200,0)),),"Market")</f>
        <v>0</v>
      </c>
      <c r="T262" s="478">
        <f>IFERROR(MAX(0,INDEX(Input!$1:$1048576,T$93,$C262*2+MIN($B262,2)+5)
+INDEX(Scenarios!T$121:T$200,MATCH($B262,Scenarios!$B$121:$B$200,0)),),"Market")</f>
        <v>0</v>
      </c>
      <c r="U262" s="478">
        <f>IFERROR(MAX(0,INDEX(Input!$1:$1048576,U$93,$C262*2+MIN($B262,2)+5)
+INDEX(Scenarios!U$121:U$200,MATCH($B262,Scenarios!$B$121:$B$200,0)),),"Market")</f>
        <v>0</v>
      </c>
      <c r="V262" s="478">
        <f>IFERROR(MAX(0,INDEX(Input!$1:$1048576,V$93,$C262*2+MIN($B262,2)+5)
+INDEX(Scenarios!V$121:V$200,MATCH($B262,Scenarios!$B$121:$B$200,0)),),"Market")</f>
        <v>8.9999999999999993E-3</v>
      </c>
      <c r="W262" s="885">
        <f>IFERROR(MAX(0,INDEX(Input!$1:$1048576,W$93,$C262*2+MIN($B262,2)+5)-0%,),"Market")</f>
        <v>3.9E-2</v>
      </c>
      <c r="X262" s="476" t="str">
        <f>INDEX(Input!$1:$1048576,X$93,$C262*2+MIN($B262,2)+5)</f>
        <v>Y</v>
      </c>
      <c r="Y262" s="475">
        <f>INDEX(Input!$1:$1048576,Y$93,$C262*2+MIN($B262,2)+5)
++INDEX(Scenarios!Y$121:Y$200,MATCH($B262,Scenarios!$B$121:$B$200,0))</f>
        <v>-304</v>
      </c>
      <c r="Z262" s="477">
        <f>INDEX(Input!$1:$1048576,Z$93,$C262*2+MIN($B262,2)+5)
+INDEX(Scenarios!Z$121:Z$200,MATCH($B262,Scenarios!$B$121:$B$200,0))</f>
        <v>0</v>
      </c>
      <c r="AA262" s="475">
        <f>INDEX(Input!$1:$1048576,AA$93,$C262*2+MIN($B262,2)+5)
+INDEX(Scenarios!AA$121:AA$200,MATCH($B262,Scenarios!$B$121:$B$200,0))</f>
        <v>0</v>
      </c>
      <c r="AB262" s="476">
        <f>INDEX(Input!$1:$1048576,AB$93,$C262*2+MIN($B262,2)+5)</f>
        <v>0.27</v>
      </c>
      <c r="AC262" s="475">
        <f>INDEX(Input!$1:$1048576,AC$93,$C262*2+MIN($B262,2)+5)
+INDEX(Scenarios!AC$121:AC$200,MATCH($B262,Scenarios!$B$121:$B$200,0))</f>
        <v>0</v>
      </c>
      <c r="AD262" s="476">
        <f>INDEX(Input!$1:$1048576,AD$93,$C262*2+MIN($B262,2)+5)</f>
        <v>0.27</v>
      </c>
      <c r="AE262" s="475">
        <f>INDEX(Input!$1:$1048576,AE$93,$C262*2+MIN($B262,2)+5)
+INDEX(Scenarios!AE$121:AE$200,MATCH($B262,Scenarios!$B$121:$B$200,0))</f>
        <v>0</v>
      </c>
      <c r="AF262" s="476">
        <f>INDEX(Input!$1:$1048576,AF$93,$C262*2+MIN($B262,2)+5)</f>
        <v>4.8000000000000001E-2</v>
      </c>
      <c r="AG262" s="475">
        <f>INDEX(Input!$1:$1048576,AG$93,$C262*2+MIN($B262,2)+5)
+INDEX(Scenarios!AG$121:AG$200,MATCH($B262,Scenarios!$B$121:$B$200,0))</f>
        <v>500</v>
      </c>
      <c r="AH262" s="476">
        <f>INDEX(Input!$1:$1048576,AH$93,$C262*2+MIN($B262,2)+5)</f>
        <v>0.94599999999999995</v>
      </c>
      <c r="AI262" s="475">
        <f>INDEX(Input!$1:$1048576,AI$93,$C262*2+MIN($B262,2)+5)
+INDEX(Scenarios!AI$121:AI$200,MATCH($B262,Scenarios!$B$121:$B$200,0))</f>
        <v>0</v>
      </c>
      <c r="AJ262" s="476">
        <f>INDEX(Input!$1:$1048576,AJ$93,$C262*2+MIN($B262,2)+5)</f>
        <v>0.27</v>
      </c>
      <c r="AK262" s="150">
        <f>ROUND(INDEX(Input!$1:$1048576,AK$93,$C261*2+MIN($B262,1)+5)+(Y262-VLOOKUP($C262*1000+1,$A:$HH,Y$92,FALSE)),0)</f>
        <v>2617</v>
      </c>
      <c r="AL262" s="150">
        <f>ROUND(INDEX(Input!$1:$1048576,AL$93,$C261*2+MIN($B262,1)+5)-(Y262-VLOOKUP($C262*1000+1,$A:$HH,Y$92,FALSE))/36,0)</f>
        <v>3405</v>
      </c>
      <c r="AM262" s="32" t="str">
        <f t="shared" si="663"/>
        <v>std/std/std/std</v>
      </c>
      <c r="AN262" s="32" t="str">
        <f t="shared" si="664"/>
        <v>$0 + 0/0/0/0.9/3.9</v>
      </c>
      <c r="AO262" s="32" t="str">
        <f t="shared" si="665"/>
        <v>0/0/0/0.9/3.9</v>
      </c>
      <c r="AP262" s="32" t="str">
        <f t="shared" si="734"/>
        <v>0/0/0.9/3.9</v>
      </c>
      <c r="AQ262" s="536">
        <f t="shared" si="733"/>
        <v>0.46614454602674654</v>
      </c>
      <c r="AR262" s="32"/>
      <c r="AS262" s="302"/>
      <c r="AT262" s="3">
        <f t="shared" si="717"/>
        <v>62</v>
      </c>
      <c r="AU262" s="41" t="s">
        <v>121</v>
      </c>
      <c r="AV262" s="41" t="s">
        <v>116</v>
      </c>
      <c r="AW262" s="41" t="str">
        <f>INDEX(Input!$1:$1048576,AW$93,$C262*2+6)</f>
        <v>Kia</v>
      </c>
      <c r="AX262" s="41" t="str">
        <f>INDEX(Input!$1:$1048576,AX$93,$C262*2+6)</f>
        <v>Kia-LR - L2</v>
      </c>
      <c r="AY262" s="41" t="str">
        <f>IF(LEN(D262)=0,"",INDEX(Input!$1:$1048576,AY$93,$C262*2+6))</f>
        <v>Compact SUV (52)</v>
      </c>
      <c r="AZ262" s="41" t="str">
        <f>INDEX(Input!$1:$1048576,AZ$93,$C262*2+6)</f>
        <v>Kia Soul</v>
      </c>
      <c r="BA262" s="3">
        <f>INDEX(Input!$1:$1048576,BA$93,$C262*2+6)</f>
        <v>2020</v>
      </c>
      <c r="BB262" s="128">
        <f>INDEX(Input!$1:$1048576,BB$93,$C262*2+6)</f>
        <v>1</v>
      </c>
      <c r="BC262" s="128">
        <f>INDEX(Input!$1:$1048576,BC$93,$C262*2+6)</f>
        <v>0.7</v>
      </c>
      <c r="BD262" s="1">
        <f>INDEX(Input!$1:$1048576,BD$93,$C262*2+6)</f>
        <v>4.4999999999999998E-2</v>
      </c>
      <c r="BE262" s="1">
        <f>INDEX(Input!$1:$1048576,BE$93,$C262*2+6)</f>
        <v>4.4999999999999998E-2</v>
      </c>
      <c r="BF262" s="1">
        <f>INDEX(Input!$1:$1048576,BF$93,$C262*2+6)</f>
        <v>0.05</v>
      </c>
      <c r="BG262" s="1">
        <f>INDEX(Input!$1:$1048576,BG$93,$C262*2+6)</f>
        <v>5.45E-2</v>
      </c>
      <c r="BH262" s="1">
        <f>INDEX(Input!$1:$1048576,BH$93,$C262*2+6)</f>
        <v>5.45E-2</v>
      </c>
      <c r="BI262" s="1">
        <f>INDEX(Input!$1:$1048576,BI$93,$C262*2+6)</f>
        <v>0.05</v>
      </c>
      <c r="BJ262" s="1">
        <f>INDEX(Input!$1:$1048576,BJ$93,$C262*2+6)</f>
        <v>0.05</v>
      </c>
      <c r="BK262" s="1">
        <f>INDEX(Input!$1:$1048576,BK$93,$C262*2+6)</f>
        <v>0.05</v>
      </c>
      <c r="BL262" s="1">
        <f>INDEX(Input!$1:$1048576,BL$93,$C262*2+6)</f>
        <v>5.5E-2</v>
      </c>
      <c r="BM262" s="1">
        <f>INDEX(Input!$1:$1048576,BM$93,$C262*2+6)</f>
        <v>0.06</v>
      </c>
      <c r="BN262" s="1">
        <f>INDEX(Input!$1:$1048576,BN$93,$C262*2+6)</f>
        <v>4.4999999999999998E-2</v>
      </c>
      <c r="BO262" s="1">
        <f>INDEX(Input!$1:$1048576,BO$93,$C262*2+6)</f>
        <v>4.4999999999999998E-2</v>
      </c>
      <c r="BP262" s="1">
        <f>INDEX(Input!$1:$1048576,BP$93,$C262*2+6)</f>
        <v>0.05</v>
      </c>
      <c r="BQ262" s="1">
        <f>INDEX(Input!$1:$1048576,BQ$93,$C262*2+6)</f>
        <v>5.45E-2</v>
      </c>
      <c r="BR262" s="1">
        <f>INDEX(Input!$1:$1048576,BR$93,$C262*2+6)</f>
        <v>5.45E-2</v>
      </c>
      <c r="BS262" s="1">
        <f>INDEX(Input!$1:$1048576,BS$93,$C262*2+6)</f>
        <v>0.05</v>
      </c>
      <c r="BT262" s="1">
        <f>INDEX(Input!$1:$1048576,BT$93,$C262*2+6)</f>
        <v>0.05</v>
      </c>
      <c r="BU262" s="1">
        <f>INDEX(Input!$1:$1048576,BU$93,$C262*2+6)</f>
        <v>0.05</v>
      </c>
      <c r="BV262" s="1">
        <f>INDEX(Input!$1:$1048576,BV$93,$C262*2+6)</f>
        <v>5.5E-2</v>
      </c>
      <c r="BW262" s="1">
        <f>INDEX(Input!$1:$1048576,BW$93,$C262*2+6)</f>
        <v>0.06</v>
      </c>
      <c r="BX262" s="127">
        <f>INDEX(Input!$1:$1048576,BX$93,$C262*2+6)</f>
        <v>19985</v>
      </c>
      <c r="BY262" s="20">
        <f>INDEX(Input!$1:$1048576,BY$93,$C262*2+6)</f>
        <v>0.1</v>
      </c>
      <c r="BZ262" s="20">
        <f>INDEX(Input!$1:$1048576,BZ$93,$C262*2+6)</f>
        <v>0.1</v>
      </c>
      <c r="CA262" s="20">
        <f>INDEX(Input!$1:$1048576,CA$93,$C262*2+6)</f>
        <v>0.1</v>
      </c>
      <c r="CB262" s="20">
        <f>INDEX(Input!$1:$1048576,CB$93,$C262*2+6)</f>
        <v>0.1</v>
      </c>
      <c r="CC262" s="20">
        <f>INDEX(Input!$1:$1048576,CC$93,$C262*2+6)</f>
        <v>0.1</v>
      </c>
      <c r="CD262" s="384">
        <f>INDEX(Input!$1:$1048576,CD$93,$C262*2+6)</f>
        <v>0.1</v>
      </c>
      <c r="CE262" s="384">
        <f>INDEX(Input!$1:$1048576,CE$93,$C262*2+6)</f>
        <v>0.1</v>
      </c>
      <c r="CF262" s="384">
        <f>INDEX(Input!$1:$1048576,CF$93,$C262*2+6)</f>
        <v>0.1</v>
      </c>
      <c r="CG262" s="384">
        <f>INDEX(Input!$1:$1048576,CG$93,$C262*2+6)</f>
        <v>0.1</v>
      </c>
      <c r="CH262" s="384">
        <f>INDEX(Input!$1:$1048576,CH$93,$C262*2+6)</f>
        <v>0.1</v>
      </c>
      <c r="CI262" s="304">
        <f t="shared" si="735"/>
        <v>2269.7618664521319</v>
      </c>
      <c r="CJ262" s="16" t="str">
        <f>INDEX(Input!$1:$1048576,CJ$93,$C262*2+6)</f>
        <v>N</v>
      </c>
      <c r="CK262" s="1" t="str">
        <f t="shared" si="736"/>
        <v>Market</v>
      </c>
      <c r="CL262" s="1" t="str">
        <f t="shared" si="737"/>
        <v>Market</v>
      </c>
      <c r="CM262" s="1" t="str">
        <f t="shared" si="738"/>
        <v>Market</v>
      </c>
      <c r="CN262" s="1" t="str">
        <f t="shared" si="739"/>
        <v>Market</v>
      </c>
      <c r="CO262" s="1" t="str">
        <f t="shared" si="740"/>
        <v>Market</v>
      </c>
      <c r="CP262" s="304">
        <f t="shared" si="741"/>
        <v>473</v>
      </c>
      <c r="CQ262" s="1">
        <f t="shared" si="742"/>
        <v>0</v>
      </c>
      <c r="CR262" s="1">
        <f t="shared" si="743"/>
        <v>0</v>
      </c>
      <c r="CS262" s="1">
        <f t="shared" si="744"/>
        <v>0</v>
      </c>
      <c r="CT262" s="1">
        <f t="shared" si="745"/>
        <v>8.9999999999999993E-3</v>
      </c>
      <c r="CU262" s="1">
        <f t="shared" si="746"/>
        <v>3.9E-2</v>
      </c>
      <c r="CV262" s="304">
        <f t="shared" si="747"/>
        <v>-304</v>
      </c>
      <c r="CW262" s="20" t="s">
        <v>122</v>
      </c>
      <c r="CX262" s="20" t="s">
        <v>122</v>
      </c>
      <c r="CY262" s="20" t="s">
        <v>122</v>
      </c>
      <c r="CZ262" s="20" t="s">
        <v>122</v>
      </c>
      <c r="DA262" s="20" t="s">
        <v>122</v>
      </c>
      <c r="DB262" s="503">
        <f t="shared" si="748"/>
        <v>0</v>
      </c>
      <c r="DC262" s="127">
        <v>0</v>
      </c>
      <c r="DD262" s="127">
        <v>0</v>
      </c>
      <c r="DE262" s="127">
        <v>0</v>
      </c>
      <c r="DF262" s="127">
        <v>0</v>
      </c>
      <c r="DG262" s="127">
        <v>0</v>
      </c>
      <c r="DH262" s="127">
        <v>0</v>
      </c>
      <c r="DI262" s="127">
        <v>0</v>
      </c>
      <c r="DJ262" s="127">
        <v>0</v>
      </c>
      <c r="DK262" s="127">
        <v>0</v>
      </c>
      <c r="DL262" s="127">
        <v>0</v>
      </c>
      <c r="DM262" s="304">
        <f>INDEX(Input!$1:$1048576,DM$93,$C262*2+6)</f>
        <v>21036.84210526316</v>
      </c>
      <c r="DN262" s="20">
        <v>0</v>
      </c>
      <c r="DO262" s="20">
        <v>0</v>
      </c>
      <c r="DP262" s="20">
        <v>0</v>
      </c>
      <c r="DQ262" s="20">
        <v>0</v>
      </c>
      <c r="DR262" s="20">
        <v>0</v>
      </c>
      <c r="DS262" s="20">
        <f>INDEX(Input!$1:$1048576,DS$93,$C262*2+6)</f>
        <v>0.6</v>
      </c>
      <c r="DT262" s="20">
        <f>INDEX(Input!$1:$1048576,DT$93,$C262*2+6)</f>
        <v>0.55000000000000004</v>
      </c>
      <c r="DU262" s="20">
        <f>INDEX(Input!$1:$1048576,DU$93,$C262*2+6)</f>
        <v>0.52</v>
      </c>
      <c r="DV262" s="20">
        <f>INDEX(Input!$1:$1048576,DV$93,$C262*2+6)</f>
        <v>0.5</v>
      </c>
      <c r="DW262" s="20">
        <f>INDEX(Input!$1:$1048576,DW$93,$C262*2+6)</f>
        <v>0.45</v>
      </c>
      <c r="DX262" s="20"/>
      <c r="DY262" s="7">
        <v>0.11725396447481166</v>
      </c>
      <c r="DZ262" s="7">
        <v>0</v>
      </c>
      <c r="EA262" s="7">
        <v>0.7279220363006782</v>
      </c>
      <c r="EB262" s="7">
        <v>0</v>
      </c>
      <c r="EC262" s="7">
        <v>0</v>
      </c>
      <c r="ED262" s="7">
        <v>0</v>
      </c>
      <c r="EE262" s="7">
        <v>0</v>
      </c>
      <c r="EF262" s="7">
        <v>0</v>
      </c>
      <c r="EG262" s="7">
        <v>0</v>
      </c>
      <c r="EH262" s="7">
        <v>1.1247037561309927E-2</v>
      </c>
      <c r="EI262" s="7">
        <v>3.2026357792082592E-2</v>
      </c>
      <c r="EJ262" s="7">
        <v>0.24206624759202611</v>
      </c>
      <c r="EK262" s="7">
        <v>0.62723417206308696</v>
      </c>
      <c r="EL262" s="7">
        <v>8.7426184991494349E-2</v>
      </c>
      <c r="EM262" s="7">
        <v>4.7741312505812643E-2</v>
      </c>
      <c r="EN262" s="7">
        <v>6.4343656134937227E-2</v>
      </c>
      <c r="EO262" s="7">
        <v>0.72181550153145047</v>
      </c>
      <c r="EP262" s="7">
        <v>9.2917612193648885E-2</v>
      </c>
      <c r="EQ262" s="7">
        <v>7.9194007521157517E-2</v>
      </c>
      <c r="ER262" s="7">
        <v>4.1729222618806121E-2</v>
      </c>
      <c r="ES262" s="7">
        <v>0.10708268671869746</v>
      </c>
      <c r="ET262" s="7">
        <v>0.15482399922451009</v>
      </c>
      <c r="EU262" s="6">
        <v>2294</v>
      </c>
      <c r="EV262" s="6">
        <v>0</v>
      </c>
      <c r="EW262" s="6">
        <v>2294</v>
      </c>
      <c r="EX262" s="6">
        <v>0</v>
      </c>
      <c r="EY262" s="6">
        <v>2357.0011276027844</v>
      </c>
      <c r="EZ262" s="6">
        <v>586</v>
      </c>
      <c r="FA262" s="6">
        <v>0</v>
      </c>
      <c r="FB262" s="6">
        <v>0</v>
      </c>
      <c r="FC262" s="6">
        <v>0</v>
      </c>
      <c r="FD262" s="6">
        <v>0</v>
      </c>
      <c r="FE262" s="6">
        <v>0</v>
      </c>
      <c r="FF262" s="6">
        <v>0</v>
      </c>
      <c r="FG262" s="6">
        <v>0</v>
      </c>
      <c r="FH262" s="6">
        <v>1173.7387567842661</v>
      </c>
      <c r="FI262" s="6">
        <v>1553.9796069512395</v>
      </c>
      <c r="FJ262" s="6">
        <v>2101.2110117447419</v>
      </c>
      <c r="FK262" s="6">
        <v>2251.3078348034678</v>
      </c>
      <c r="FL262" s="6">
        <v>907.07682140966347</v>
      </c>
      <c r="FM262" s="6">
        <v>2063.0011276027844</v>
      </c>
      <c r="FN262" s="6">
        <v>0</v>
      </c>
      <c r="FO262" s="6">
        <v>0</v>
      </c>
      <c r="FP262" s="6">
        <v>0</v>
      </c>
      <c r="FQ262" s="6">
        <v>0</v>
      </c>
      <c r="FR262" s="6">
        <v>0</v>
      </c>
      <c r="FS262" s="6">
        <v>0</v>
      </c>
      <c r="FT262" s="7">
        <v>0.84517600077548982</v>
      </c>
      <c r="FU262" s="7">
        <v>4.7741312505812643E-2</v>
      </c>
      <c r="FV262" s="7">
        <v>0.10708268671869746</v>
      </c>
      <c r="FW262" s="6">
        <v>2294.0000000000005</v>
      </c>
      <c r="FX262" s="6">
        <v>2357.0011276027844</v>
      </c>
      <c r="FY262" s="6">
        <v>586</v>
      </c>
      <c r="FZ262" s="6">
        <v>1817.4615072224267</v>
      </c>
      <c r="GA262" s="6">
        <v>2114.1105276055678</v>
      </c>
      <c r="GB262" s="6">
        <v>17870.889472394432</v>
      </c>
      <c r="GC262" s="7">
        <v>1.804905384453976E-2</v>
      </c>
      <c r="GD262" s="7">
        <v>1.8950060265996788E-2</v>
      </c>
      <c r="GE262" s="7"/>
      <c r="GF262" s="7"/>
      <c r="GG262" s="7">
        <v>4.991986999526863E-2</v>
      </c>
      <c r="GH262" s="42">
        <v>3.363060496767921</v>
      </c>
      <c r="GI262" s="6">
        <v>8056.614392524637</v>
      </c>
      <c r="GJ262" s="14">
        <v>0.50394797582841688</v>
      </c>
      <c r="GK262" s="14">
        <v>0.50887573065309721</v>
      </c>
      <c r="GL262" s="14">
        <v>0.49605202417158245</v>
      </c>
      <c r="GM262" s="14">
        <v>0.49112426934690206</v>
      </c>
      <c r="GO262" s="5">
        <v>343.14810671672558</v>
      </c>
      <c r="GP262" s="5">
        <v>299.3829630362892</v>
      </c>
      <c r="GQ262" s="5">
        <v>535.04305713031317</v>
      </c>
      <c r="GR262" s="5">
        <v>410.15490233172511</v>
      </c>
      <c r="GS262" s="5">
        <v>339.42744393800166</v>
      </c>
      <c r="GT262" s="5">
        <v>293.4407446948278</v>
      </c>
      <c r="GU262" s="5">
        <v>258.04012322764959</v>
      </c>
      <c r="GV262" s="39" t="s">
        <v>392</v>
      </c>
      <c r="GW262" s="5">
        <v>491.45833333333331</v>
      </c>
      <c r="GX262" s="5">
        <v>368.59375</v>
      </c>
      <c r="GY262" s="5">
        <v>294.875</v>
      </c>
      <c r="GZ262" s="5">
        <v>252.51567799800796</v>
      </c>
      <c r="HA262" s="5">
        <v>241.02179695997205</v>
      </c>
      <c r="HB262" s="39">
        <v>268.16952884097742</v>
      </c>
      <c r="HC262" s="5">
        <v>261.64687500000002</v>
      </c>
      <c r="HD262" s="5">
        <v>222.30677997076018</v>
      </c>
      <c r="HE262" s="5">
        <v>224.71639254385963</v>
      </c>
      <c r="HF262" s="5">
        <v>207.35750548245613</v>
      </c>
      <c r="HG262" s="5">
        <v>199.39971491228067</v>
      </c>
      <c r="HH262" s="39">
        <v>222.92217399061019</v>
      </c>
      <c r="HI262" s="16"/>
      <c r="HJ262" s="19" t="str">
        <f t="shared" si="761"/>
        <v>On</v>
      </c>
      <c r="HK262" s="1" t="str">
        <f t="shared" si="761"/>
        <v>On</v>
      </c>
      <c r="HL262" s="16"/>
      <c r="HM262" s="639">
        <f t="shared" si="634"/>
        <v>1.2768706344444866E-2</v>
      </c>
      <c r="HN262" s="639">
        <f t="shared" si="635"/>
        <v>9.795534288915453E-4</v>
      </c>
      <c r="HO262" s="639">
        <f t="shared" si="636"/>
        <v>3.3583061774515237E-3</v>
      </c>
      <c r="HP262" s="644">
        <f>(FT262*$GD262-HM262)/$JF262*INDEX(Input!$1:$1048576,$JG$93,$C262*2+6)</f>
        <v>235.96525801870348</v>
      </c>
      <c r="HQ262" s="644">
        <f>(FU262*$GD262-HN262)/$JF262*INDEX(Input!$1:$1048576,$JG$93,$C262*2+6)</f>
        <v>-5.4389572501181149</v>
      </c>
      <c r="HR262" s="644">
        <f>(FV262*$GD262-HO262)/$JF262*INDEX(Input!$1:$1048576,$JG$93,$C262*2+6)</f>
        <v>-96.574025344244234</v>
      </c>
      <c r="HS262" s="644">
        <f t="shared" ref="HS262" si="762">IF(AND(HJ262="On",HK262="On"),IL262/1000*INDEX(KG:KG,MATCH(C262*1000+3,$KF:$KF,0))*SUM(HY262:IA262)*1.1
+INDEX(HR:HR,MATCH(C262*1000+4,$KF:$KF,0))/INDEX(IM:IM,MATCH(C262*1000+4,$KF:$KF,0))*IM262*20%,0)</f>
        <v>-65.288651295696582</v>
      </c>
      <c r="HT262" s="644">
        <f t="shared" si="638"/>
        <v>13.071736708724501</v>
      </c>
      <c r="HU262" s="644">
        <f t="shared" si="639"/>
        <v>8.9209310187975923</v>
      </c>
      <c r="HV262" s="648">
        <f t="shared" si="640"/>
        <v>0</v>
      </c>
      <c r="HW262" s="648">
        <f t="shared" si="641"/>
        <v>0</v>
      </c>
      <c r="HX262" s="648">
        <f t="shared" si="642"/>
        <v>0</v>
      </c>
      <c r="HY262" s="644">
        <f>INDEX(Input!$1:$1048576,HY$93,$C262*2+6)*INDEX(Input!$1:$1048576,$JG$93,$C262*2+6)</f>
        <v>451</v>
      </c>
      <c r="HZ262" s="644">
        <f>INDEX(Input!$1:$1048576,HZ$93,$C262*2+6)*INDEX(Input!$1:$1048576,$JG$93,$C262*2+6)</f>
        <v>577</v>
      </c>
      <c r="IA262" s="644">
        <f>INDEX(Input!$1:$1048576,IA$93,$C262*2+6)*INDEX(Input!$1:$1048576,$JG$93,$C262*2+6)</f>
        <v>215</v>
      </c>
      <c r="IB262" s="644">
        <f t="shared" si="666"/>
        <v>621.67660672300701</v>
      </c>
      <c r="IC262" s="644">
        <f t="shared" si="667"/>
        <v>584.63277945860636</v>
      </c>
      <c r="ID262" s="644">
        <f>IF(AND(INDEX(Input!$1:$1048576,IA$93,$C262*2+7)="TOS",Y262&lt;=INDEX(Y:Y,MATCH(C262*1000+2,A:A))),0,1)*MAX(IA262+HR262+HU262+HX262,0%)</f>
        <v>127.34690567455335</v>
      </c>
      <c r="IE262" s="128">
        <f t="shared" ref="IE262" si="763">IB262/SUM($IB262:$ID262)</f>
        <v>0.46614454602674654</v>
      </c>
      <c r="IF262" s="128">
        <f t="shared" si="643"/>
        <v>0.43836840348492001</v>
      </c>
      <c r="IG262" s="128">
        <f t="shared" si="644"/>
        <v>9.5487050488333447E-2</v>
      </c>
      <c r="IH262" s="21"/>
      <c r="II262" s="19">
        <f t="shared" si="645"/>
        <v>1252</v>
      </c>
      <c r="IJ262" s="19">
        <f t="shared" si="646"/>
        <v>2011.9658773055378</v>
      </c>
      <c r="IK262" s="19">
        <f t="shared" si="647"/>
        <v>919</v>
      </c>
      <c r="IL262" s="19">
        <f t="shared" si="669"/>
        <v>1042.0000000000005</v>
      </c>
      <c r="IM262" s="19">
        <f t="shared" si="648"/>
        <v>345.03525029724665</v>
      </c>
      <c r="IN262" s="19">
        <f t="shared" si="649"/>
        <v>-333</v>
      </c>
      <c r="IO262" s="39">
        <f t="shared" si="650"/>
        <v>0</v>
      </c>
      <c r="IP262" s="39">
        <f t="shared" si="651"/>
        <v>0</v>
      </c>
      <c r="IQ262" s="39">
        <f t="shared" si="652"/>
        <v>0</v>
      </c>
      <c r="IR262" s="39">
        <v>0</v>
      </c>
      <c r="IS262" s="39">
        <v>0</v>
      </c>
      <c r="IT262" s="39">
        <v>0</v>
      </c>
      <c r="IU262" s="39">
        <v>0</v>
      </c>
      <c r="IV262" s="39">
        <v>0</v>
      </c>
      <c r="IW262" s="39">
        <v>0</v>
      </c>
      <c r="IX262" s="39">
        <f>INDEX(Input!$1:$1048576,IX$93,$C262*2+6)+INDEX(Input!$1:$1048576,IX$94,$C262*2+6)</f>
        <v>1294</v>
      </c>
      <c r="IY262" s="39">
        <f>INDEX(Input!$1:$1048576,IY$93,$C262*2+6)+INDEX(Input!$1:$1048576,IY$94,$C262*2+6)</f>
        <v>2154.0624533823611</v>
      </c>
      <c r="IZ262" s="39">
        <f>INDEX(Input!$1:$1048576,IZ$93,$C262*2+6)+INDEX(Input!$1:$1048576,IZ$94,$C262*2+6)</f>
        <v>3677.7164157747848</v>
      </c>
      <c r="JA262" s="19">
        <f t="shared" si="670"/>
        <v>2336.0000000000005</v>
      </c>
      <c r="JB262" s="19">
        <f t="shared" si="671"/>
        <v>2499.0977036796075</v>
      </c>
      <c r="JC262" s="19">
        <f t="shared" si="672"/>
        <v>3344.7164157747848</v>
      </c>
      <c r="JD262" s="19">
        <f t="shared" si="673"/>
        <v>2503.8162352955842</v>
      </c>
      <c r="JE262" s="21"/>
      <c r="JF262" s="1">
        <f t="shared" si="653"/>
        <v>1.7106565950787935E-2</v>
      </c>
      <c r="JG262" s="15">
        <f>INDEX(Input!$1:$1048576,JG$93,$C262*2+6)/(1+VLOOKUP(C262*1000+INDEX(Input!$1:$1048576,JG$93+1,$C262*2+6),$A:$KK,$JK$92,FALSE))</f>
        <v>1243</v>
      </c>
      <c r="JH262" s="1">
        <f t="shared" si="674"/>
        <v>0.1077653060533718</v>
      </c>
      <c r="JI262" s="1">
        <f t="shared" si="675"/>
        <v>-3.4831845187590096E-2</v>
      </c>
      <c r="JJ262" s="1">
        <f t="shared" ref="JJ262" si="764">SUM(HV262:HX262)/SUM(HY262:IA262)</f>
        <v>0</v>
      </c>
      <c r="JK262" s="1">
        <f t="shared" ref="JK262" si="765">SUM(JH262:JJ262)</f>
        <v>7.2933460865781702E-2</v>
      </c>
      <c r="JL262" s="15">
        <f t="shared" si="678"/>
        <v>90.656291856166661</v>
      </c>
      <c r="JM262" s="15">
        <f t="shared" si="702"/>
        <v>1333.6562918561667</v>
      </c>
      <c r="JN262" s="21"/>
      <c r="JO262" s="19">
        <f>INDEX(Input!$1:$1048576,JO$93,$C262*2+6)</f>
        <v>5995.5</v>
      </c>
      <c r="JP262" s="19">
        <f>INDEX(Input!$1:$1048576,JP$93,$C262*2+6)</f>
        <v>2105.548724853742</v>
      </c>
      <c r="JQ262" s="39">
        <f t="shared" si="688"/>
        <v>3491.6837647044158</v>
      </c>
      <c r="JR262" s="39">
        <f t="shared" si="705"/>
        <v>398.26751044184221</v>
      </c>
      <c r="JS262" s="39">
        <f t="shared" si="690"/>
        <v>3.3392302758535761</v>
      </c>
      <c r="JT262" s="39">
        <f t="shared" si="680"/>
        <v>0.72203321086037486</v>
      </c>
      <c r="JU262" s="385">
        <f>(JQ262*JM262-INDEX(Input!$1:$1048576,Input!A$18,$C262*2+6)*JL262*INDEX(Input!$1:$1048576,Input!A$19,$C262*2+6))/1000000</f>
        <v>4.6567060219700709</v>
      </c>
      <c r="JV262" s="39">
        <f t="shared" si="712"/>
        <v>-0.17850341303672757</v>
      </c>
      <c r="JW262" s="1">
        <f t="shared" si="703"/>
        <v>-3.6917410804249179E-2</v>
      </c>
      <c r="JX262" s="19">
        <f t="shared" si="694"/>
        <v>7964.5129541139559</v>
      </c>
      <c r="JZ262" s="341"/>
      <c r="KA262" s="342"/>
      <c r="KB262" s="469">
        <f t="shared" si="691"/>
        <v>2.5660492421988774</v>
      </c>
      <c r="KI262" s="473">
        <f t="shared" si="756"/>
        <v>170.67660672300701</v>
      </c>
      <c r="KJ262" s="473">
        <f t="shared" si="757"/>
        <v>7.6327794586063646</v>
      </c>
      <c r="KK262" s="473">
        <f t="shared" si="682"/>
        <v>-87.653094325446645</v>
      </c>
      <c r="KN262" s="544">
        <f t="shared" si="695"/>
        <v>2002</v>
      </c>
      <c r="KO262" s="541">
        <f t="shared" si="657"/>
        <v>6.6612009131179262E-2</v>
      </c>
      <c r="KP262" s="546">
        <f t="shared" si="658"/>
        <v>564.60978846547277</v>
      </c>
      <c r="KQ262" s="546">
        <f t="shared" si="659"/>
        <v>360.13589586211128</v>
      </c>
      <c r="KR262" s="548">
        <f t="shared" si="660"/>
        <v>2.1048982366599938</v>
      </c>
      <c r="KS262" s="548">
        <f t="shared" si="661"/>
        <v>3.2999935907443603</v>
      </c>
      <c r="KT262" s="473">
        <f t="shared" si="693"/>
        <v>843.26993010479111</v>
      </c>
      <c r="KU262" s="663">
        <f t="shared" si="683"/>
        <v>4.641723552376642</v>
      </c>
    </row>
    <row r="263" spans="1:308" s="26" customFormat="1" ht="15" outlineLevel="1">
      <c r="A263" s="561">
        <f t="shared" si="662"/>
        <v>2063</v>
      </c>
      <c r="B263" s="561">
        <f t="shared" si="684"/>
        <v>63</v>
      </c>
      <c r="C263" s="561">
        <f t="shared" si="760"/>
        <v>2</v>
      </c>
      <c r="D263" s="561" t="str">
        <f t="shared" si="728"/>
        <v xml:space="preserve">500 CC, 500 Combo, -180 Lease, </v>
      </c>
      <c r="E263" s="475">
        <f>INDEX(Input!$1:$1048576,E$93,$C263*2+MIN($B263,2)+5)
+INDEX(Scenarios!E$121:E$200,MATCH($B263,Scenarios!$B$121:$B$200,0))</f>
        <v>1769.7618664521319</v>
      </c>
      <c r="F263" s="475">
        <f>INDEX(Input!$1:$1048576,F$93,$C263*2+MIN($B263,2)+5)
+INDEX(Scenarios!F$121:F$200,MATCH($B263,Scenarios!$B$121:$B$200,0))</f>
        <v>0</v>
      </c>
      <c r="G263" s="475">
        <f>INDEX(Input!$1:$1048576,G$93,$C263*2+MIN($B263,2)+5)
+INDEX(Scenarios!G$121:G$200,MATCH($B263,Scenarios!$B$121:$B$200,0))</f>
        <v>0</v>
      </c>
      <c r="H263" s="475">
        <f>INDEX(Input!$1:$1048576,H$93,$C263*2+MIN($B263,2)+5)
+INDEX(Scenarios!H$121:H$200,MATCH($B263,Scenarios!$B$121:$B$200,0))</f>
        <v>0</v>
      </c>
      <c r="I263" s="476">
        <f>INDEX(Input!$1:$1048576,I$93,$C263*2+MIN($B263,2)+5)</f>
        <v>0.7</v>
      </c>
      <c r="J263" s="476" t="str">
        <f>INDEX(Input!$1:$1048576,J$93,$C263*2+MIN($B263,2)+5)</f>
        <v>Market</v>
      </c>
      <c r="K263" s="476" t="str">
        <f>INDEX(Input!$1:$1048576,K$93,$C263*2+MIN($B263,2)+5)</f>
        <v>Market</v>
      </c>
      <c r="L263" s="476" t="str">
        <f>INDEX(Input!$1:$1048576,L$93,$C263*2+MIN($B263,2)+5)</f>
        <v>Market</v>
      </c>
      <c r="M263" s="476" t="str">
        <f>INDEX(Input!$1:$1048576,M$93,$C263*2+MIN($B263,2)+5)</f>
        <v>Market</v>
      </c>
      <c r="N263" s="476" t="str">
        <f>INDEX(Input!$1:$1048576,N$93,$C263*2+MIN($B263,2)+5)</f>
        <v>Market</v>
      </c>
      <c r="O263" s="476" t="str">
        <f>INDEX(Input!$1:$1048576,O$93,$C263*2+MIN($B263,2)+5)</f>
        <v>Market</v>
      </c>
      <c r="P263" s="476" t="str">
        <f>INDEX(Input!$1:$1048576,P$93,$C263*2+MIN($B263,2)+5)</f>
        <v>N</v>
      </c>
      <c r="Q263" s="477">
        <f>INDEX(Input!$1:$1048576,Q$93,$C263*2+MIN($B263,2)+5)
+INDEX(Scenarios!Q$121:Q$200,MATCH($B263,Scenarios!$B$121:$B$200,0))</f>
        <v>500</v>
      </c>
      <c r="R263" s="478">
        <f>IFERROR(MAX(0,INDEX(Input!$1:$1048576,R$93,$C263*2+MIN($B263,2)+5)
+INDEX(Scenarios!R$121:R$200,MATCH($B263,Scenarios!$B$121:$B$200,0)),),"Market")</f>
        <v>0</v>
      </c>
      <c r="S263" s="478">
        <f>IFERROR(MAX(0,INDEX(Input!$1:$1048576,S$93,$C263*2+MIN($B263,2)+5)
+INDEX(Scenarios!S$121:S$200,MATCH($B263,Scenarios!$B$121:$B$200,0)),),"Market")</f>
        <v>0</v>
      </c>
      <c r="T263" s="478">
        <f>IFERROR(MAX(0,INDEX(Input!$1:$1048576,T$93,$C263*2+MIN($B263,2)+5)
+INDEX(Scenarios!T$121:T$200,MATCH($B263,Scenarios!$B$121:$B$200,0)),),"Market")</f>
        <v>0</v>
      </c>
      <c r="U263" s="478">
        <f>IFERROR(MAX(0,INDEX(Input!$1:$1048576,U$93,$C263*2+MIN($B263,2)+5)
+INDEX(Scenarios!U$121:U$200,MATCH($B263,Scenarios!$B$121:$B$200,0)),),"Market")</f>
        <v>0</v>
      </c>
      <c r="V263" s="478">
        <f>IFERROR(MAX(0,INDEX(Input!$1:$1048576,V$93,$C263*2+MIN($B263,2)+5)
+INDEX(Scenarios!V$121:V$200,MATCH($B263,Scenarios!$B$121:$B$200,0)),),"Market")</f>
        <v>1.9E-2</v>
      </c>
      <c r="W263" s="885">
        <f>IFERROR(MAX(0,INDEX(Input!$1:$1048576,W$93,$C263*2+MIN($B263,2)+5)-0%,),"Market")</f>
        <v>3.9E-2</v>
      </c>
      <c r="X263" s="476" t="str">
        <f>INDEX(Input!$1:$1048576,X$93,$C263*2+MIN($B263,2)+5)</f>
        <v>Y</v>
      </c>
      <c r="Y263" s="475">
        <f>INDEX(Input!$1:$1048576,Y$93,$C263*2+MIN($B263,2)+5)
++INDEX(Scenarios!Y$121:Y$200,MATCH($B263,Scenarios!$B$121:$B$200,0))</f>
        <v>-124</v>
      </c>
      <c r="Z263" s="477">
        <f>INDEX(Input!$1:$1048576,Z$93,$C263*2+MIN($B263,2)+5)
+INDEX(Scenarios!Z$121:Z$200,MATCH($B263,Scenarios!$B$121:$B$200,0))</f>
        <v>0</v>
      </c>
      <c r="AA263" s="475">
        <f>INDEX(Input!$1:$1048576,AA$93,$C263*2+MIN($B263,2)+5)
+INDEX(Scenarios!AA$121:AA$200,MATCH($B263,Scenarios!$B$121:$B$200,0))</f>
        <v>0</v>
      </c>
      <c r="AB263" s="476">
        <f>INDEX(Input!$1:$1048576,AB$93,$C263*2+MIN($B263,2)+5)</f>
        <v>0.27</v>
      </c>
      <c r="AC263" s="475">
        <f>INDEX(Input!$1:$1048576,AC$93,$C263*2+MIN($B263,2)+5)
+INDEX(Scenarios!AC$121:AC$200,MATCH($B263,Scenarios!$B$121:$B$200,0))</f>
        <v>0</v>
      </c>
      <c r="AD263" s="476">
        <f>INDEX(Input!$1:$1048576,AD$93,$C263*2+MIN($B263,2)+5)</f>
        <v>0.27</v>
      </c>
      <c r="AE263" s="475">
        <f>INDEX(Input!$1:$1048576,AE$93,$C263*2+MIN($B263,2)+5)
+INDEX(Scenarios!AE$121:AE$200,MATCH($B263,Scenarios!$B$121:$B$200,0))</f>
        <v>0</v>
      </c>
      <c r="AF263" s="476">
        <f>INDEX(Input!$1:$1048576,AF$93,$C263*2+MIN($B263,2)+5)</f>
        <v>4.8000000000000001E-2</v>
      </c>
      <c r="AG263" s="475">
        <f>INDEX(Input!$1:$1048576,AG$93,$C263*2+MIN($B263,2)+5)
+INDEX(Scenarios!AG$121:AG$200,MATCH($B263,Scenarios!$B$121:$B$200,0))</f>
        <v>500</v>
      </c>
      <c r="AH263" s="476">
        <f>INDEX(Input!$1:$1048576,AH$93,$C263*2+MIN($B263,2)+5)</f>
        <v>0.94599999999999995</v>
      </c>
      <c r="AI263" s="475">
        <f>INDEX(Input!$1:$1048576,AI$93,$C263*2+MIN($B263,2)+5)
+INDEX(Scenarios!AI$121:AI$200,MATCH($B263,Scenarios!$B$121:$B$200,0))</f>
        <v>0</v>
      </c>
      <c r="AJ263" s="476">
        <f>INDEX(Input!$1:$1048576,AJ$93,$C263*2+MIN($B263,2)+5)</f>
        <v>0.27</v>
      </c>
      <c r="AK263" s="150">
        <f>ROUND(INDEX(Input!$1:$1048576,AK$93,$C262*2+MIN($B263,1)+5)+(Y263-VLOOKUP($C263*1000+1,$A:$HH,Y$92,FALSE)),0)</f>
        <v>2797</v>
      </c>
      <c r="AL263" s="150">
        <f>ROUND(INDEX(Input!$1:$1048576,AL$93,$C262*2+MIN($B263,1)+5)-(Y263-VLOOKUP($C263*1000+1,$A:$HH,Y$92,FALSE))/36,0)</f>
        <v>3400</v>
      </c>
      <c r="AM263" s="32" t="str">
        <f t="shared" si="663"/>
        <v>std/std/std/std</v>
      </c>
      <c r="AN263" s="32" t="str">
        <f t="shared" si="664"/>
        <v>$500 + 0/0/0/1.9/3.9</v>
      </c>
      <c r="AO263" s="32" t="str">
        <f t="shared" si="665"/>
        <v>0/0/0/1.9/3.9</v>
      </c>
      <c r="AP263" s="32" t="str">
        <f t="shared" si="734"/>
        <v>0/0.9/1.9/3.9</v>
      </c>
      <c r="AQ263" s="536">
        <f t="shared" si="733"/>
        <v>0.40266126341786368</v>
      </c>
      <c r="AR263" s="32"/>
      <c r="AS263" s="302"/>
      <c r="AT263" s="3">
        <f t="shared" si="717"/>
        <v>63</v>
      </c>
      <c r="AU263" s="41" t="s">
        <v>121</v>
      </c>
      <c r="AV263" s="41" t="s">
        <v>116</v>
      </c>
      <c r="AW263" s="41" t="str">
        <f>INDEX(Input!$1:$1048576,AW$93,$C263*2+6)</f>
        <v>Kia</v>
      </c>
      <c r="AX263" s="41" t="str">
        <f>INDEX(Input!$1:$1048576,AX$93,$C263*2+6)</f>
        <v>Kia-LR - L2</v>
      </c>
      <c r="AY263" s="41" t="str">
        <f>IF(LEN(D263)=0,"",INDEX(Input!$1:$1048576,AY$93,$C263*2+6))</f>
        <v>Compact SUV (52)</v>
      </c>
      <c r="AZ263" s="41" t="str">
        <f>INDEX(Input!$1:$1048576,AZ$93,$C263*2+6)</f>
        <v>Kia Soul</v>
      </c>
      <c r="BA263" s="3">
        <f>INDEX(Input!$1:$1048576,BA$93,$C263*2+6)</f>
        <v>2020</v>
      </c>
      <c r="BB263" s="128">
        <f>INDEX(Input!$1:$1048576,BB$93,$C263*2+6)</f>
        <v>1</v>
      </c>
      <c r="BC263" s="128">
        <f>INDEX(Input!$1:$1048576,BC$93,$C263*2+6)</f>
        <v>0.7</v>
      </c>
      <c r="BD263" s="1">
        <f>INDEX(Input!$1:$1048576,BD$93,$C263*2+6)</f>
        <v>4.4999999999999998E-2</v>
      </c>
      <c r="BE263" s="1">
        <f>INDEX(Input!$1:$1048576,BE$93,$C263*2+6)</f>
        <v>4.4999999999999998E-2</v>
      </c>
      <c r="BF263" s="1">
        <f>INDEX(Input!$1:$1048576,BF$93,$C263*2+6)</f>
        <v>0.05</v>
      </c>
      <c r="BG263" s="1">
        <f>INDEX(Input!$1:$1048576,BG$93,$C263*2+6)</f>
        <v>5.45E-2</v>
      </c>
      <c r="BH263" s="1">
        <f>INDEX(Input!$1:$1048576,BH$93,$C263*2+6)</f>
        <v>5.45E-2</v>
      </c>
      <c r="BI263" s="1">
        <f>INDEX(Input!$1:$1048576,BI$93,$C263*2+6)</f>
        <v>0.05</v>
      </c>
      <c r="BJ263" s="1">
        <f>INDEX(Input!$1:$1048576,BJ$93,$C263*2+6)</f>
        <v>0.05</v>
      </c>
      <c r="BK263" s="1">
        <f>INDEX(Input!$1:$1048576,BK$93,$C263*2+6)</f>
        <v>0.05</v>
      </c>
      <c r="BL263" s="1">
        <f>INDEX(Input!$1:$1048576,BL$93,$C263*2+6)</f>
        <v>5.5E-2</v>
      </c>
      <c r="BM263" s="1">
        <f>INDEX(Input!$1:$1048576,BM$93,$C263*2+6)</f>
        <v>0.06</v>
      </c>
      <c r="BN263" s="1">
        <f>INDEX(Input!$1:$1048576,BN$93,$C263*2+6)</f>
        <v>4.4999999999999998E-2</v>
      </c>
      <c r="BO263" s="1">
        <f>INDEX(Input!$1:$1048576,BO$93,$C263*2+6)</f>
        <v>4.4999999999999998E-2</v>
      </c>
      <c r="BP263" s="1">
        <f>INDEX(Input!$1:$1048576,BP$93,$C263*2+6)</f>
        <v>0.05</v>
      </c>
      <c r="BQ263" s="1">
        <f>INDEX(Input!$1:$1048576,BQ$93,$C263*2+6)</f>
        <v>5.45E-2</v>
      </c>
      <c r="BR263" s="1">
        <f>INDEX(Input!$1:$1048576,BR$93,$C263*2+6)</f>
        <v>5.45E-2</v>
      </c>
      <c r="BS263" s="1">
        <f>INDEX(Input!$1:$1048576,BS$93,$C263*2+6)</f>
        <v>0.05</v>
      </c>
      <c r="BT263" s="1">
        <f>INDEX(Input!$1:$1048576,BT$93,$C263*2+6)</f>
        <v>0.05</v>
      </c>
      <c r="BU263" s="1">
        <f>INDEX(Input!$1:$1048576,BU$93,$C263*2+6)</f>
        <v>0.05</v>
      </c>
      <c r="BV263" s="1">
        <f>INDEX(Input!$1:$1048576,BV$93,$C263*2+6)</f>
        <v>5.5E-2</v>
      </c>
      <c r="BW263" s="1">
        <f>INDEX(Input!$1:$1048576,BW$93,$C263*2+6)</f>
        <v>0.06</v>
      </c>
      <c r="BX263" s="127">
        <f>INDEX(Input!$1:$1048576,BX$93,$C263*2+6)</f>
        <v>19985</v>
      </c>
      <c r="BY263" s="20">
        <f>INDEX(Input!$1:$1048576,BY$93,$C263*2+6)</f>
        <v>0.1</v>
      </c>
      <c r="BZ263" s="20">
        <f>INDEX(Input!$1:$1048576,BZ$93,$C263*2+6)</f>
        <v>0.1</v>
      </c>
      <c r="CA263" s="20">
        <f>INDEX(Input!$1:$1048576,CA$93,$C263*2+6)</f>
        <v>0.1</v>
      </c>
      <c r="CB263" s="20">
        <f>INDEX(Input!$1:$1048576,CB$93,$C263*2+6)</f>
        <v>0.1</v>
      </c>
      <c r="CC263" s="20">
        <f>INDEX(Input!$1:$1048576,CC$93,$C263*2+6)</f>
        <v>0.1</v>
      </c>
      <c r="CD263" s="384">
        <f>INDEX(Input!$1:$1048576,CD$93,$C263*2+6)</f>
        <v>0.1</v>
      </c>
      <c r="CE263" s="384">
        <f>INDEX(Input!$1:$1048576,CE$93,$C263*2+6)</f>
        <v>0.1</v>
      </c>
      <c r="CF263" s="384">
        <f>INDEX(Input!$1:$1048576,CF$93,$C263*2+6)</f>
        <v>0.1</v>
      </c>
      <c r="CG263" s="384">
        <f>INDEX(Input!$1:$1048576,CG$93,$C263*2+6)</f>
        <v>0.1</v>
      </c>
      <c r="CH263" s="384">
        <f>INDEX(Input!$1:$1048576,CH$93,$C263*2+6)</f>
        <v>0.1</v>
      </c>
      <c r="CI263" s="304">
        <f t="shared" si="735"/>
        <v>1769.7618664521319</v>
      </c>
      <c r="CJ263" s="16" t="str">
        <f>INDEX(Input!$1:$1048576,CJ$93,$C263*2+6)</f>
        <v>N</v>
      </c>
      <c r="CK263" s="1" t="str">
        <f t="shared" si="736"/>
        <v>Market</v>
      </c>
      <c r="CL263" s="1" t="str">
        <f t="shared" si="737"/>
        <v>Market</v>
      </c>
      <c r="CM263" s="1" t="str">
        <f t="shared" si="738"/>
        <v>Market</v>
      </c>
      <c r="CN263" s="1" t="str">
        <f t="shared" si="739"/>
        <v>Market</v>
      </c>
      <c r="CO263" s="1" t="str">
        <f t="shared" si="740"/>
        <v>Market</v>
      </c>
      <c r="CP263" s="304">
        <f t="shared" si="741"/>
        <v>973</v>
      </c>
      <c r="CQ263" s="1">
        <f t="shared" si="742"/>
        <v>0</v>
      </c>
      <c r="CR263" s="1">
        <f t="shared" si="743"/>
        <v>0</v>
      </c>
      <c r="CS263" s="1">
        <f t="shared" si="744"/>
        <v>0</v>
      </c>
      <c r="CT263" s="1">
        <f t="shared" si="745"/>
        <v>1.9E-2</v>
      </c>
      <c r="CU263" s="1">
        <f t="shared" si="746"/>
        <v>3.9E-2</v>
      </c>
      <c r="CV263" s="304">
        <f t="shared" si="747"/>
        <v>-124</v>
      </c>
      <c r="CW263" s="20" t="s">
        <v>122</v>
      </c>
      <c r="CX263" s="20" t="s">
        <v>122</v>
      </c>
      <c r="CY263" s="20" t="s">
        <v>122</v>
      </c>
      <c r="CZ263" s="20" t="s">
        <v>122</v>
      </c>
      <c r="DA263" s="20" t="s">
        <v>122</v>
      </c>
      <c r="DB263" s="503">
        <f t="shared" si="748"/>
        <v>0</v>
      </c>
      <c r="DC263" s="127">
        <v>0</v>
      </c>
      <c r="DD263" s="127">
        <v>0</v>
      </c>
      <c r="DE263" s="127">
        <v>0</v>
      </c>
      <c r="DF263" s="127">
        <v>0</v>
      </c>
      <c r="DG263" s="127">
        <v>0</v>
      </c>
      <c r="DH263" s="127">
        <v>0</v>
      </c>
      <c r="DI263" s="127">
        <v>0</v>
      </c>
      <c r="DJ263" s="127">
        <v>0</v>
      </c>
      <c r="DK263" s="127">
        <v>0</v>
      </c>
      <c r="DL263" s="127">
        <v>0</v>
      </c>
      <c r="DM263" s="304">
        <f>INDEX(Input!$1:$1048576,DM$93,$C263*2+6)</f>
        <v>21036.84210526316</v>
      </c>
      <c r="DN263" s="20">
        <v>0</v>
      </c>
      <c r="DO263" s="20">
        <v>0</v>
      </c>
      <c r="DP263" s="20">
        <v>0</v>
      </c>
      <c r="DQ263" s="20">
        <v>0</v>
      </c>
      <c r="DR263" s="20">
        <v>0</v>
      </c>
      <c r="DS263" s="20">
        <f>INDEX(Input!$1:$1048576,DS$93,$C263*2+6)</f>
        <v>0.6</v>
      </c>
      <c r="DT263" s="20">
        <f>INDEX(Input!$1:$1048576,DT$93,$C263*2+6)</f>
        <v>0.55000000000000004</v>
      </c>
      <c r="DU263" s="20">
        <f>INDEX(Input!$1:$1048576,DU$93,$C263*2+6)</f>
        <v>0.52</v>
      </c>
      <c r="DV263" s="20">
        <f>INDEX(Input!$1:$1048576,DV$93,$C263*2+6)</f>
        <v>0.5</v>
      </c>
      <c r="DW263" s="20">
        <f>INDEX(Input!$1:$1048576,DW$93,$C263*2+6)</f>
        <v>0.45</v>
      </c>
      <c r="DX263" s="20"/>
      <c r="DY263" s="7">
        <v>0.10435861903444037</v>
      </c>
      <c r="DZ263" s="7">
        <v>0</v>
      </c>
      <c r="EA263" s="7">
        <v>0.69051072919398748</v>
      </c>
      <c r="EB263" s="7">
        <v>0</v>
      </c>
      <c r="EC263" s="7">
        <v>0</v>
      </c>
      <c r="ED263" s="7">
        <v>0</v>
      </c>
      <c r="EE263" s="7">
        <v>0</v>
      </c>
      <c r="EF263" s="7">
        <v>0</v>
      </c>
      <c r="EG263" s="7">
        <v>0</v>
      </c>
      <c r="EH263" s="7">
        <v>1.4273104092798129E-2</v>
      </c>
      <c r="EI263" s="7">
        <v>4.0632885952666516E-2</v>
      </c>
      <c r="EJ263" s="7">
        <v>0.30739586928358387</v>
      </c>
      <c r="EK263" s="7">
        <v>0.52654096209147194</v>
      </c>
      <c r="EL263" s="7">
        <v>0.11115717857947971</v>
      </c>
      <c r="EM263" s="7">
        <v>6.0428882587497686E-2</v>
      </c>
      <c r="EN263" s="7">
        <v>6.4931165275273248E-2</v>
      </c>
      <c r="EO263" s="7">
        <v>0.72700570057396119</v>
      </c>
      <c r="EP263" s="7">
        <v>9.0259364646361806E-2</v>
      </c>
      <c r="EQ263" s="7">
        <v>7.6962262117443669E-2</v>
      </c>
      <c r="ER263" s="7">
        <v>4.0841507386960144E-2</v>
      </c>
      <c r="ES263" s="7">
        <v>0.14470176918407443</v>
      </c>
      <c r="ET263" s="7">
        <v>0.20513065177157219</v>
      </c>
      <c r="EU263" s="6">
        <v>1794</v>
      </c>
      <c r="EV263" s="6">
        <v>0</v>
      </c>
      <c r="EW263" s="6">
        <v>1794</v>
      </c>
      <c r="EX263" s="6">
        <v>0</v>
      </c>
      <c r="EY263" s="6">
        <v>2554.0337048250185</v>
      </c>
      <c r="EZ263" s="6">
        <v>766</v>
      </c>
      <c r="FA263" s="6">
        <v>0</v>
      </c>
      <c r="FB263" s="6">
        <v>0</v>
      </c>
      <c r="FC263" s="6">
        <v>0</v>
      </c>
      <c r="FD263" s="6">
        <v>0</v>
      </c>
      <c r="FE263" s="6">
        <v>0</v>
      </c>
      <c r="FF263" s="6">
        <v>0</v>
      </c>
      <c r="FG263" s="6">
        <v>0</v>
      </c>
      <c r="FH263" s="6">
        <v>1173.7327003556891</v>
      </c>
      <c r="FI263" s="6">
        <v>1553.9796069512399</v>
      </c>
      <c r="FJ263" s="6">
        <v>2101.2110117447414</v>
      </c>
      <c r="FK263" s="6">
        <v>1772.7139978623229</v>
      </c>
      <c r="FL263" s="6">
        <v>907.07682140966392</v>
      </c>
      <c r="FM263" s="6">
        <v>1760.0337048250185</v>
      </c>
      <c r="FN263" s="6">
        <v>0</v>
      </c>
      <c r="FO263" s="6">
        <v>0</v>
      </c>
      <c r="FP263" s="6">
        <v>0</v>
      </c>
      <c r="FQ263" s="6">
        <v>0</v>
      </c>
      <c r="FR263" s="6">
        <v>0</v>
      </c>
      <c r="FS263" s="6">
        <v>0</v>
      </c>
      <c r="FT263" s="7">
        <v>0.79486934822842781</v>
      </c>
      <c r="FU263" s="7">
        <v>6.0428882587497686E-2</v>
      </c>
      <c r="FV263" s="7">
        <v>0.14470176918407443</v>
      </c>
      <c r="FW263" s="6">
        <v>1794</v>
      </c>
      <c r="FX263" s="6">
        <v>2554.0337048250185</v>
      </c>
      <c r="FY263" s="6">
        <v>766</v>
      </c>
      <c r="FZ263" s="6">
        <v>1817.4615072224267</v>
      </c>
      <c r="GA263" s="6">
        <v>1691.1745687901835</v>
      </c>
      <c r="GB263" s="6">
        <v>18293.825431209818</v>
      </c>
      <c r="GC263" s="7">
        <v>1.804905384453976E-2</v>
      </c>
      <c r="GD263" s="7">
        <v>1.8040307172884205E-2</v>
      </c>
      <c r="GE263" s="7"/>
      <c r="GF263" s="7"/>
      <c r="GG263" s="7">
        <v>-4.8460554945934747E-4</v>
      </c>
      <c r="GH263" s="42">
        <v>7.6689181210464377E-2</v>
      </c>
      <c r="GI263" s="6">
        <v>262288.55850947305</v>
      </c>
      <c r="GJ263" s="14">
        <v>0.50394797582841733</v>
      </c>
      <c r="GK263" s="14">
        <v>0.50887573065309744</v>
      </c>
      <c r="GL263" s="14">
        <v>0.49605202417158295</v>
      </c>
      <c r="GM263" s="14">
        <v>0.4911242693469024</v>
      </c>
      <c r="GO263" s="5">
        <v>343.14810671672558</v>
      </c>
      <c r="GP263" s="5">
        <v>308.92200917413498</v>
      </c>
      <c r="GQ263" s="5">
        <v>535.04305713031317</v>
      </c>
      <c r="GR263" s="5">
        <v>410.15490233172511</v>
      </c>
      <c r="GS263" s="5">
        <v>339.42744393800166</v>
      </c>
      <c r="GT263" s="5">
        <v>293.4407446948278</v>
      </c>
      <c r="GU263" s="5">
        <v>258.04012322764959</v>
      </c>
      <c r="GV263" s="39" t="s">
        <v>392</v>
      </c>
      <c r="GW263" s="5">
        <v>477.56944444444446</v>
      </c>
      <c r="GX263" s="5">
        <v>358.17708333333331</v>
      </c>
      <c r="GY263" s="5">
        <v>286.54166666666669</v>
      </c>
      <c r="GZ263" s="5">
        <v>252.84278292684692</v>
      </c>
      <c r="HA263" s="5">
        <v>234.21038543079382</v>
      </c>
      <c r="HB263" s="39">
        <v>268.61813949969104</v>
      </c>
      <c r="HC263" s="5">
        <v>253.77187499999999</v>
      </c>
      <c r="HD263" s="5">
        <v>216.93177997076018</v>
      </c>
      <c r="HE263" s="5">
        <v>219.72600792847501</v>
      </c>
      <c r="HF263" s="5">
        <v>203.19500548245611</v>
      </c>
      <c r="HG263" s="5">
        <v>195.94971491228068</v>
      </c>
      <c r="HH263" s="39">
        <v>217.66190310610435</v>
      </c>
      <c r="HI263" s="16"/>
      <c r="HJ263" s="19" t="str">
        <f t="shared" ref="HJ263" si="766">HJ262</f>
        <v>On</v>
      </c>
      <c r="HK263" s="1" t="str">
        <f t="shared" si="761"/>
        <v>On</v>
      </c>
      <c r="HL263" s="16"/>
      <c r="HM263" s="639">
        <f t="shared" si="634"/>
        <v>1.2768706344444866E-2</v>
      </c>
      <c r="HN263" s="639">
        <f t="shared" si="635"/>
        <v>9.795534288915453E-4</v>
      </c>
      <c r="HO263" s="639">
        <f t="shared" si="636"/>
        <v>3.3583061774515237E-3</v>
      </c>
      <c r="HP263" s="644">
        <f>(FT263*$GD263-HM263)/$JF263*INDEX(Input!$1:$1048576,$JG$93,$C263*2+6)</f>
        <v>114.15085964541608</v>
      </c>
      <c r="HQ263" s="644">
        <f>(FU263*$GD263-HN263)/$JF263*INDEX(Input!$1:$1048576,$JG$93,$C263*2+6)</f>
        <v>8.0365927355685081</v>
      </c>
      <c r="HR263" s="644">
        <f>(FV263*$GD263-HO263)/$JF263*INDEX(Input!$1:$1048576,$JG$93,$C263*2+6)</f>
        <v>-54.339800058210699</v>
      </c>
      <c r="HS263" s="644">
        <f t="shared" ref="HS263:HS283" si="767">IF(AND(HJ263="On",HK263="On"),IL263/1000*INDEX(KG:KG,MATCH(C263*1000+3,$KF:$KF,0))*SUM(HY263:IA263)*1.1
+INDEX(HR:HR,MATCH(C263*1000+4,$KF:$KF,0))/INDEX(IM:IM,MATCH(C263*1000+4,$KF:$KF,0))*IM263*20%,0)</f>
        <v>-34.359361360538095</v>
      </c>
      <c r="HT263" s="644">
        <f t="shared" si="638"/>
        <v>36.289299100470267</v>
      </c>
      <c r="HU263" s="644">
        <f t="shared" si="639"/>
        <v>5.4309055333715284</v>
      </c>
      <c r="HV263" s="648">
        <f t="shared" si="640"/>
        <v>0</v>
      </c>
      <c r="HW263" s="648">
        <f t="shared" si="641"/>
        <v>0</v>
      </c>
      <c r="HX263" s="648">
        <f t="shared" si="642"/>
        <v>0</v>
      </c>
      <c r="HY263" s="644">
        <f>INDEX(Input!$1:$1048576,HY$93,$C263*2+6)*INDEX(Input!$1:$1048576,$JG$93,$C263*2+6)</f>
        <v>451</v>
      </c>
      <c r="HZ263" s="644">
        <f>INDEX(Input!$1:$1048576,HZ$93,$C263*2+6)*INDEX(Input!$1:$1048576,$JG$93,$C263*2+6)</f>
        <v>577</v>
      </c>
      <c r="IA263" s="644">
        <f>INDEX(Input!$1:$1048576,IA$93,$C263*2+6)*INDEX(Input!$1:$1048576,$JG$93,$C263*2+6)</f>
        <v>215</v>
      </c>
      <c r="IB263" s="644">
        <f t="shared" si="666"/>
        <v>530.791498284878</v>
      </c>
      <c r="IC263" s="644">
        <f t="shared" si="667"/>
        <v>621.32589183603886</v>
      </c>
      <c r="ID263" s="644">
        <f>IF(AND(INDEX(Input!$1:$1048576,IA$93,$C263*2+7)="TOS",Y263&lt;=INDEX(Y:Y,MATCH(C263*1000+2,A:A))),0,1)*MAX(IA263+HR263+HU263+HX263,0%)</f>
        <v>166.09110547516082</v>
      </c>
      <c r="IE263" s="128">
        <f t="shared" ref="IE263:IE274" si="768">IB263/SUM($IB263:$ID263)</f>
        <v>0.40266126341786368</v>
      </c>
      <c r="IF263" s="128">
        <f t="shared" si="643"/>
        <v>0.47134113754522794</v>
      </c>
      <c r="IG263" s="128">
        <f t="shared" si="644"/>
        <v>0.12599759903690838</v>
      </c>
      <c r="IH263" s="21"/>
      <c r="II263" s="19">
        <f t="shared" si="645"/>
        <v>1252</v>
      </c>
      <c r="IJ263" s="19">
        <f t="shared" si="646"/>
        <v>2011.9658773055378</v>
      </c>
      <c r="IK263" s="19">
        <f t="shared" si="647"/>
        <v>919</v>
      </c>
      <c r="IL263" s="19">
        <f t="shared" si="669"/>
        <v>542</v>
      </c>
      <c r="IM263" s="19">
        <f t="shared" si="648"/>
        <v>542.06782751948072</v>
      </c>
      <c r="IN263" s="19">
        <f t="shared" si="649"/>
        <v>-153</v>
      </c>
      <c r="IO263" s="39">
        <f t="shared" si="650"/>
        <v>0</v>
      </c>
      <c r="IP263" s="39">
        <f t="shared" si="651"/>
        <v>0</v>
      </c>
      <c r="IQ263" s="39">
        <f t="shared" si="652"/>
        <v>0</v>
      </c>
      <c r="IR263" s="39">
        <v>0</v>
      </c>
      <c r="IS263" s="39">
        <v>0</v>
      </c>
      <c r="IT263" s="39">
        <v>0</v>
      </c>
      <c r="IU263" s="39">
        <v>0</v>
      </c>
      <c r="IV263" s="39">
        <v>0</v>
      </c>
      <c r="IW263" s="39">
        <v>0</v>
      </c>
      <c r="IX263" s="39">
        <f>INDEX(Input!$1:$1048576,IX$93,$C263*2+6)+INDEX(Input!$1:$1048576,IX$94,$C263*2+6)</f>
        <v>1294</v>
      </c>
      <c r="IY263" s="39">
        <f>INDEX(Input!$1:$1048576,IY$93,$C263*2+6)+INDEX(Input!$1:$1048576,IY$94,$C263*2+6)</f>
        <v>2154.0624533823611</v>
      </c>
      <c r="IZ263" s="39">
        <f>INDEX(Input!$1:$1048576,IZ$93,$C263*2+6)+INDEX(Input!$1:$1048576,IZ$94,$C263*2+6)</f>
        <v>3677.7164157747848</v>
      </c>
      <c r="JA263" s="19">
        <f t="shared" si="670"/>
        <v>1836</v>
      </c>
      <c r="JB263" s="19">
        <f t="shared" si="671"/>
        <v>2696.1302809018416</v>
      </c>
      <c r="JC263" s="19">
        <f t="shared" si="672"/>
        <v>3524.7164157747848</v>
      </c>
      <c r="JD263" s="19">
        <f t="shared" si="673"/>
        <v>2454.1889988792068</v>
      </c>
      <c r="JE263" s="21"/>
      <c r="JF263" s="1">
        <f t="shared" si="653"/>
        <v>1.7106565950787935E-2</v>
      </c>
      <c r="JG263" s="15">
        <f>INDEX(Input!$1:$1048576,JG$93,$C263*2+6)/(1+VLOOKUP(C263*1000+INDEX(Input!$1:$1048576,JG$93+1,$C263*2+6),$A:$KK,$JK$92,FALSE))</f>
        <v>1243</v>
      </c>
      <c r="JH263" s="1">
        <f t="shared" si="674"/>
        <v>5.4583791088313661E-2</v>
      </c>
      <c r="JI263" s="1">
        <f t="shared" si="675"/>
        <v>5.9218369053127108E-3</v>
      </c>
      <c r="JJ263" s="1">
        <f t="shared" ref="JJ263:JJ274" si="769">SUM(HV263:HX263)/SUM(HY263:IA263)</f>
        <v>0</v>
      </c>
      <c r="JK263" s="1">
        <f t="shared" ref="JK263:JK274" si="770">SUM(JH263:JJ263)</f>
        <v>6.0505627993626375E-2</v>
      </c>
      <c r="JL263" s="15">
        <f t="shared" si="678"/>
        <v>75.208495596077583</v>
      </c>
      <c r="JM263" s="15">
        <f t="shared" si="702"/>
        <v>1318.2084955960777</v>
      </c>
      <c r="JN263" s="21"/>
      <c r="JO263" s="19">
        <f>INDEX(Input!$1:$1048576,JO$93,$C263*2+6)</f>
        <v>5995.5</v>
      </c>
      <c r="JP263" s="19">
        <f>INDEX(Input!$1:$1048576,JP$93,$C263*2+6)</f>
        <v>2105.548724853742</v>
      </c>
      <c r="JQ263" s="39">
        <f t="shared" si="688"/>
        <v>3541.3110011207932</v>
      </c>
      <c r="JR263" s="39">
        <f t="shared" si="705"/>
        <v>348.64027402546481</v>
      </c>
      <c r="JS263" s="39">
        <f t="shared" si="690"/>
        <v>3.2351327881210032</v>
      </c>
      <c r="JT263" s="39">
        <f t="shared" si="680"/>
        <v>0.61793572312780187</v>
      </c>
      <c r="JU263" s="385">
        <f>(JQ263*JM263-INDEX(Input!$1:$1048576,Input!A$18,$C263*2+6)*JL263*INDEX(Input!$1:$1048576,Input!A$19,$C263*2+6))/1000000</f>
        <v>4.6681862472252806</v>
      </c>
      <c r="JV263" s="39">
        <f t="shared" si="712"/>
        <v>-0.16702318778151781</v>
      </c>
      <c r="JW263" s="1">
        <f t="shared" si="703"/>
        <v>-3.4543113390761111E-2</v>
      </c>
      <c r="JX263" s="19">
        <f t="shared" si="694"/>
        <v>8216.3021375477365</v>
      </c>
      <c r="JZ263" s="341"/>
      <c r="KA263" s="342"/>
      <c r="KB263" s="469">
        <f t="shared" si="691"/>
        <v>2.5660492421988774</v>
      </c>
      <c r="KI263" s="473">
        <f t="shared" ref="KI263:KI274" si="771">$JM263*IE263-$JG263*HY263/SUM($HY263:$IA263)</f>
        <v>79.791498284878003</v>
      </c>
      <c r="KJ263" s="473">
        <f t="shared" ref="KJ263:KJ274" si="772">$JM263*IF263-$JG263*HZ263/SUM($HY263:$IA263)</f>
        <v>44.325891836038863</v>
      </c>
      <c r="KK263" s="473">
        <f t="shared" si="682"/>
        <v>-48.908894524839184</v>
      </c>
      <c r="KN263" s="544">
        <f t="shared" si="695"/>
        <v>2002</v>
      </c>
      <c r="KO263" s="541">
        <f t="shared" si="657"/>
        <v>5.4257397897207849E-2</v>
      </c>
      <c r="KP263" s="546">
        <f t="shared" si="658"/>
        <v>414.35306681971849</v>
      </c>
      <c r="KQ263" s="546">
        <f t="shared" si="659"/>
        <v>310.50865944573388</v>
      </c>
      <c r="KR263" s="548">
        <f t="shared" si="660"/>
        <v>2.3362288283866239</v>
      </c>
      <c r="KS263" s="548">
        <f t="shared" si="661"/>
        <v>3.1175413322210819</v>
      </c>
      <c r="KT263" s="473">
        <f t="shared" si="693"/>
        <v>843.26993010479111</v>
      </c>
      <c r="KU263" s="663">
        <f t="shared" si="683"/>
        <v>4.5864106277339554</v>
      </c>
    </row>
    <row r="264" spans="1:308" s="26" customFormat="1" ht="15" outlineLevel="1">
      <c r="A264" s="561">
        <f t="shared" si="662"/>
        <v>2064</v>
      </c>
      <c r="B264" s="561">
        <f t="shared" si="684"/>
        <v>64</v>
      </c>
      <c r="C264" s="561">
        <f t="shared" si="760"/>
        <v>2</v>
      </c>
      <c r="D264" s="561" t="str">
        <f t="shared" si="728"/>
        <v xml:space="preserve">1000 CC, 1000 Combo, -180 Lease, </v>
      </c>
      <c r="E264" s="475">
        <f>INDEX(Input!$1:$1048576,E$93,$C264*2+MIN($B264,2)+5)
+INDEX(Scenarios!E$121:E$200,MATCH($B264,Scenarios!$B$121:$B$200,0))</f>
        <v>2269.7618664521319</v>
      </c>
      <c r="F264" s="475">
        <f>INDEX(Input!$1:$1048576,F$93,$C264*2+MIN($B264,2)+5)
+INDEX(Scenarios!F$121:F$200,MATCH($B264,Scenarios!$B$121:$B$200,0))</f>
        <v>0</v>
      </c>
      <c r="G264" s="475">
        <f>INDEX(Input!$1:$1048576,G$93,$C264*2+MIN($B264,2)+5)
+INDEX(Scenarios!G$121:G$200,MATCH($B264,Scenarios!$B$121:$B$200,0))</f>
        <v>0</v>
      </c>
      <c r="H264" s="475">
        <f>INDEX(Input!$1:$1048576,H$93,$C264*2+MIN($B264,2)+5)
+INDEX(Scenarios!H$121:H$200,MATCH($B264,Scenarios!$B$121:$B$200,0))</f>
        <v>0</v>
      </c>
      <c r="I264" s="476">
        <f>INDEX(Input!$1:$1048576,I$93,$C264*2+MIN($B264,2)+5)</f>
        <v>0.7</v>
      </c>
      <c r="J264" s="476" t="str">
        <f>INDEX(Input!$1:$1048576,J$93,$C264*2+MIN($B264,2)+5)</f>
        <v>Market</v>
      </c>
      <c r="K264" s="476" t="str">
        <f>INDEX(Input!$1:$1048576,K$93,$C264*2+MIN($B264,2)+5)</f>
        <v>Market</v>
      </c>
      <c r="L264" s="476" t="str">
        <f>INDEX(Input!$1:$1048576,L$93,$C264*2+MIN($B264,2)+5)</f>
        <v>Market</v>
      </c>
      <c r="M264" s="476" t="str">
        <f>INDEX(Input!$1:$1048576,M$93,$C264*2+MIN($B264,2)+5)</f>
        <v>Market</v>
      </c>
      <c r="N264" s="476" t="str">
        <f>INDEX(Input!$1:$1048576,N$93,$C264*2+MIN($B264,2)+5)</f>
        <v>Market</v>
      </c>
      <c r="O264" s="476" t="str">
        <f>INDEX(Input!$1:$1048576,O$93,$C264*2+MIN($B264,2)+5)</f>
        <v>Market</v>
      </c>
      <c r="P264" s="476" t="str">
        <f>INDEX(Input!$1:$1048576,P$93,$C264*2+MIN($B264,2)+5)</f>
        <v>N</v>
      </c>
      <c r="Q264" s="477">
        <f>INDEX(Input!$1:$1048576,Q$93,$C264*2+MIN($B264,2)+5)
+INDEX(Scenarios!Q$121:Q$200,MATCH($B264,Scenarios!$B$121:$B$200,0))</f>
        <v>1000</v>
      </c>
      <c r="R264" s="478">
        <f>IFERROR(MAX(0,INDEX(Input!$1:$1048576,R$93,$C264*2+MIN($B264,2)+5)
+INDEX(Scenarios!R$121:R$200,MATCH($B264,Scenarios!$B$121:$B$200,0)),),"Market")</f>
        <v>0</v>
      </c>
      <c r="S264" s="478">
        <f>IFERROR(MAX(0,INDEX(Input!$1:$1048576,S$93,$C264*2+MIN($B264,2)+5)
+INDEX(Scenarios!S$121:S$200,MATCH($B264,Scenarios!$B$121:$B$200,0)),),"Market")</f>
        <v>0</v>
      </c>
      <c r="T264" s="478">
        <f>IFERROR(MAX(0,INDEX(Input!$1:$1048576,T$93,$C264*2+MIN($B264,2)+5)
+INDEX(Scenarios!T$121:T$200,MATCH($B264,Scenarios!$B$121:$B$200,0)),),"Market")</f>
        <v>0</v>
      </c>
      <c r="U264" s="478">
        <f>IFERROR(MAX(0,INDEX(Input!$1:$1048576,U$93,$C264*2+MIN($B264,2)+5)
+INDEX(Scenarios!U$121:U$200,MATCH($B264,Scenarios!$B$121:$B$200,0)),),"Market")</f>
        <v>0</v>
      </c>
      <c r="V264" s="478">
        <f>IFERROR(MAX(0,INDEX(Input!$1:$1048576,V$93,$C264*2+MIN($B264,2)+5)
+INDEX(Scenarios!V$121:V$200,MATCH($B264,Scenarios!$B$121:$B$200,0)),),"Market")</f>
        <v>1.9E-2</v>
      </c>
      <c r="W264" s="885">
        <f>IFERROR(MAX(0,INDEX(Input!$1:$1048576,W$93,$C264*2+MIN($B264,2)+5)-0%,),"Market")</f>
        <v>3.9E-2</v>
      </c>
      <c r="X264" s="476" t="str">
        <f>INDEX(Input!$1:$1048576,X$93,$C264*2+MIN($B264,2)+5)</f>
        <v>Y</v>
      </c>
      <c r="Y264" s="475">
        <f>INDEX(Input!$1:$1048576,Y$93,$C264*2+MIN($B264,2)+5)
++INDEX(Scenarios!Y$121:Y$200,MATCH($B264,Scenarios!$B$121:$B$200,0))</f>
        <v>-124</v>
      </c>
      <c r="Z264" s="477">
        <f>INDEX(Input!$1:$1048576,Z$93,$C264*2+MIN($B264,2)+5)
+INDEX(Scenarios!Z$121:Z$200,MATCH($B264,Scenarios!$B$121:$B$200,0))</f>
        <v>0</v>
      </c>
      <c r="AA264" s="475">
        <f>INDEX(Input!$1:$1048576,AA$93,$C264*2+MIN($B264,2)+5)
+INDEX(Scenarios!AA$121:AA$200,MATCH($B264,Scenarios!$B$121:$B$200,0))</f>
        <v>0</v>
      </c>
      <c r="AB264" s="476">
        <f>INDEX(Input!$1:$1048576,AB$93,$C264*2+MIN($B264,2)+5)</f>
        <v>0.27</v>
      </c>
      <c r="AC264" s="475">
        <f>INDEX(Input!$1:$1048576,AC$93,$C264*2+MIN($B264,2)+5)
+INDEX(Scenarios!AC$121:AC$200,MATCH($B264,Scenarios!$B$121:$B$200,0))</f>
        <v>0</v>
      </c>
      <c r="AD264" s="476">
        <f>INDEX(Input!$1:$1048576,AD$93,$C264*2+MIN($B264,2)+5)</f>
        <v>0.27</v>
      </c>
      <c r="AE264" s="475">
        <f>INDEX(Input!$1:$1048576,AE$93,$C264*2+MIN($B264,2)+5)
+INDEX(Scenarios!AE$121:AE$200,MATCH($B264,Scenarios!$B$121:$B$200,0))</f>
        <v>0</v>
      </c>
      <c r="AF264" s="476">
        <f>INDEX(Input!$1:$1048576,AF$93,$C264*2+MIN($B264,2)+5)</f>
        <v>4.8000000000000001E-2</v>
      </c>
      <c r="AG264" s="475">
        <f>INDEX(Input!$1:$1048576,AG$93,$C264*2+MIN($B264,2)+5)
+INDEX(Scenarios!AG$121:AG$200,MATCH($B264,Scenarios!$B$121:$B$200,0))</f>
        <v>500</v>
      </c>
      <c r="AH264" s="476">
        <f>INDEX(Input!$1:$1048576,AH$93,$C264*2+MIN($B264,2)+5)</f>
        <v>0.94599999999999995</v>
      </c>
      <c r="AI264" s="475">
        <f>INDEX(Input!$1:$1048576,AI$93,$C264*2+MIN($B264,2)+5)
+INDEX(Scenarios!AI$121:AI$200,MATCH($B264,Scenarios!$B$121:$B$200,0))</f>
        <v>0</v>
      </c>
      <c r="AJ264" s="476">
        <f>INDEX(Input!$1:$1048576,AJ$93,$C264*2+MIN($B264,2)+5)</f>
        <v>0.27</v>
      </c>
      <c r="AK264" s="150">
        <f>ROUND(INDEX(Input!$1:$1048576,AK$93,$C263*2+MIN($B264,1)+5)+(Y264-VLOOKUP($C264*1000+1,$A:$HH,Y$92,FALSE)),0)</f>
        <v>2797</v>
      </c>
      <c r="AL264" s="150">
        <f>ROUND(INDEX(Input!$1:$1048576,AL$93,$C263*2+MIN($B264,1)+5)-(Y264-VLOOKUP($C264*1000+1,$A:$HH,Y$92,FALSE))/36,0)</f>
        <v>3400</v>
      </c>
      <c r="AM264" s="32" t="str">
        <f t="shared" si="663"/>
        <v>std/std/std/std</v>
      </c>
      <c r="AN264" s="32" t="str">
        <f t="shared" si="664"/>
        <v>$1000 + 0/0/0/1.9/3.9</v>
      </c>
      <c r="AO264" s="32" t="str">
        <f t="shared" si="665"/>
        <v>0/0/0/1.9/3.9</v>
      </c>
      <c r="AP264" s="32" t="str">
        <f t="shared" si="734"/>
        <v>0/0.9/1.9/3.9</v>
      </c>
      <c r="AQ264" s="536">
        <f t="shared" si="733"/>
        <v>0.42598458021851399</v>
      </c>
      <c r="AR264" s="32"/>
      <c r="AS264" s="302"/>
      <c r="AT264" s="3">
        <f t="shared" si="717"/>
        <v>64</v>
      </c>
      <c r="AU264" s="41" t="s">
        <v>121</v>
      </c>
      <c r="AV264" s="41" t="s">
        <v>116</v>
      </c>
      <c r="AW264" s="41" t="str">
        <f>INDEX(Input!$1:$1048576,AW$93,$C264*2+6)</f>
        <v>Kia</v>
      </c>
      <c r="AX264" s="41" t="str">
        <f>INDEX(Input!$1:$1048576,AX$93,$C264*2+6)</f>
        <v>Kia-LR - L2</v>
      </c>
      <c r="AY264" s="41" t="str">
        <f>IF(LEN(D264)=0,"",INDEX(Input!$1:$1048576,AY$93,$C264*2+6))</f>
        <v>Compact SUV (52)</v>
      </c>
      <c r="AZ264" s="41" t="str">
        <f>INDEX(Input!$1:$1048576,AZ$93,$C264*2+6)</f>
        <v>Kia Soul</v>
      </c>
      <c r="BA264" s="3">
        <f>INDEX(Input!$1:$1048576,BA$93,$C264*2+6)</f>
        <v>2020</v>
      </c>
      <c r="BB264" s="128">
        <f>INDEX(Input!$1:$1048576,BB$93,$C264*2+6)</f>
        <v>1</v>
      </c>
      <c r="BC264" s="128">
        <f>INDEX(Input!$1:$1048576,BC$93,$C264*2+6)</f>
        <v>0.7</v>
      </c>
      <c r="BD264" s="1">
        <f>INDEX(Input!$1:$1048576,BD$93,$C264*2+6)</f>
        <v>4.4999999999999998E-2</v>
      </c>
      <c r="BE264" s="1">
        <f>INDEX(Input!$1:$1048576,BE$93,$C264*2+6)</f>
        <v>4.4999999999999998E-2</v>
      </c>
      <c r="BF264" s="1">
        <f>INDEX(Input!$1:$1048576,BF$93,$C264*2+6)</f>
        <v>0.05</v>
      </c>
      <c r="BG264" s="1">
        <f>INDEX(Input!$1:$1048576,BG$93,$C264*2+6)</f>
        <v>5.45E-2</v>
      </c>
      <c r="BH264" s="1">
        <f>INDEX(Input!$1:$1048576,BH$93,$C264*2+6)</f>
        <v>5.45E-2</v>
      </c>
      <c r="BI264" s="1">
        <f>INDEX(Input!$1:$1048576,BI$93,$C264*2+6)</f>
        <v>0.05</v>
      </c>
      <c r="BJ264" s="1">
        <f>INDEX(Input!$1:$1048576,BJ$93,$C264*2+6)</f>
        <v>0.05</v>
      </c>
      <c r="BK264" s="1">
        <f>INDEX(Input!$1:$1048576,BK$93,$C264*2+6)</f>
        <v>0.05</v>
      </c>
      <c r="BL264" s="1">
        <f>INDEX(Input!$1:$1048576,BL$93,$C264*2+6)</f>
        <v>5.5E-2</v>
      </c>
      <c r="BM264" s="1">
        <f>INDEX(Input!$1:$1048576,BM$93,$C264*2+6)</f>
        <v>0.06</v>
      </c>
      <c r="BN264" s="1">
        <f>INDEX(Input!$1:$1048576,BN$93,$C264*2+6)</f>
        <v>4.4999999999999998E-2</v>
      </c>
      <c r="BO264" s="1">
        <f>INDEX(Input!$1:$1048576,BO$93,$C264*2+6)</f>
        <v>4.4999999999999998E-2</v>
      </c>
      <c r="BP264" s="1">
        <f>INDEX(Input!$1:$1048576,BP$93,$C264*2+6)</f>
        <v>0.05</v>
      </c>
      <c r="BQ264" s="1">
        <f>INDEX(Input!$1:$1048576,BQ$93,$C264*2+6)</f>
        <v>5.45E-2</v>
      </c>
      <c r="BR264" s="1">
        <f>INDEX(Input!$1:$1048576,BR$93,$C264*2+6)</f>
        <v>5.45E-2</v>
      </c>
      <c r="BS264" s="1">
        <f>INDEX(Input!$1:$1048576,BS$93,$C264*2+6)</f>
        <v>0.05</v>
      </c>
      <c r="BT264" s="1">
        <f>INDEX(Input!$1:$1048576,BT$93,$C264*2+6)</f>
        <v>0.05</v>
      </c>
      <c r="BU264" s="1">
        <f>INDEX(Input!$1:$1048576,BU$93,$C264*2+6)</f>
        <v>0.05</v>
      </c>
      <c r="BV264" s="1">
        <f>INDEX(Input!$1:$1048576,BV$93,$C264*2+6)</f>
        <v>5.5E-2</v>
      </c>
      <c r="BW264" s="1">
        <f>INDEX(Input!$1:$1048576,BW$93,$C264*2+6)</f>
        <v>0.06</v>
      </c>
      <c r="BX264" s="127">
        <f>INDEX(Input!$1:$1048576,BX$93,$C264*2+6)</f>
        <v>19985</v>
      </c>
      <c r="BY264" s="20">
        <f>INDEX(Input!$1:$1048576,BY$93,$C264*2+6)</f>
        <v>0.1</v>
      </c>
      <c r="BZ264" s="20">
        <f>INDEX(Input!$1:$1048576,BZ$93,$C264*2+6)</f>
        <v>0.1</v>
      </c>
      <c r="CA264" s="20">
        <f>INDEX(Input!$1:$1048576,CA$93,$C264*2+6)</f>
        <v>0.1</v>
      </c>
      <c r="CB264" s="20">
        <f>INDEX(Input!$1:$1048576,CB$93,$C264*2+6)</f>
        <v>0.1</v>
      </c>
      <c r="CC264" s="20">
        <f>INDEX(Input!$1:$1048576,CC$93,$C264*2+6)</f>
        <v>0.1</v>
      </c>
      <c r="CD264" s="384">
        <f>INDEX(Input!$1:$1048576,CD$93,$C264*2+6)</f>
        <v>0.1</v>
      </c>
      <c r="CE264" s="384">
        <f>INDEX(Input!$1:$1048576,CE$93,$C264*2+6)</f>
        <v>0.1</v>
      </c>
      <c r="CF264" s="384">
        <f>INDEX(Input!$1:$1048576,CF$93,$C264*2+6)</f>
        <v>0.1</v>
      </c>
      <c r="CG264" s="384">
        <f>INDEX(Input!$1:$1048576,CG$93,$C264*2+6)</f>
        <v>0.1</v>
      </c>
      <c r="CH264" s="384">
        <f>INDEX(Input!$1:$1048576,CH$93,$C264*2+6)</f>
        <v>0.1</v>
      </c>
      <c r="CI264" s="304">
        <f t="shared" si="735"/>
        <v>2269.7618664521319</v>
      </c>
      <c r="CJ264" s="16" t="str">
        <f>INDEX(Input!$1:$1048576,CJ$93,$C264*2+6)</f>
        <v>N</v>
      </c>
      <c r="CK264" s="1" t="str">
        <f t="shared" si="736"/>
        <v>Market</v>
      </c>
      <c r="CL264" s="1" t="str">
        <f t="shared" si="737"/>
        <v>Market</v>
      </c>
      <c r="CM264" s="1" t="str">
        <f t="shared" si="738"/>
        <v>Market</v>
      </c>
      <c r="CN264" s="1" t="str">
        <f t="shared" si="739"/>
        <v>Market</v>
      </c>
      <c r="CO264" s="1" t="str">
        <f t="shared" si="740"/>
        <v>Market</v>
      </c>
      <c r="CP264" s="304">
        <f t="shared" si="741"/>
        <v>1473</v>
      </c>
      <c r="CQ264" s="1">
        <f t="shared" si="742"/>
        <v>0</v>
      </c>
      <c r="CR264" s="1">
        <f t="shared" si="743"/>
        <v>0</v>
      </c>
      <c r="CS264" s="1">
        <f t="shared" si="744"/>
        <v>0</v>
      </c>
      <c r="CT264" s="1">
        <f t="shared" si="745"/>
        <v>1.9E-2</v>
      </c>
      <c r="CU264" s="1">
        <f t="shared" si="746"/>
        <v>3.9E-2</v>
      </c>
      <c r="CV264" s="304">
        <f t="shared" si="747"/>
        <v>-124</v>
      </c>
      <c r="CW264" s="20" t="s">
        <v>122</v>
      </c>
      <c r="CX264" s="20" t="s">
        <v>122</v>
      </c>
      <c r="CY264" s="20" t="s">
        <v>122</v>
      </c>
      <c r="CZ264" s="20" t="s">
        <v>122</v>
      </c>
      <c r="DA264" s="20" t="s">
        <v>122</v>
      </c>
      <c r="DB264" s="503">
        <f t="shared" si="748"/>
        <v>0</v>
      </c>
      <c r="DC264" s="127">
        <v>0</v>
      </c>
      <c r="DD264" s="127">
        <v>0</v>
      </c>
      <c r="DE264" s="127">
        <v>0</v>
      </c>
      <c r="DF264" s="127">
        <v>0</v>
      </c>
      <c r="DG264" s="127">
        <v>0</v>
      </c>
      <c r="DH264" s="127">
        <v>0</v>
      </c>
      <c r="DI264" s="127">
        <v>0</v>
      </c>
      <c r="DJ264" s="127">
        <v>0</v>
      </c>
      <c r="DK264" s="127">
        <v>0</v>
      </c>
      <c r="DL264" s="127">
        <v>0</v>
      </c>
      <c r="DM264" s="304">
        <f>INDEX(Input!$1:$1048576,DM$93,$C264*2+6)</f>
        <v>21036.84210526316</v>
      </c>
      <c r="DN264" s="20">
        <v>0</v>
      </c>
      <c r="DO264" s="20">
        <v>0</v>
      </c>
      <c r="DP264" s="20">
        <v>0</v>
      </c>
      <c r="DQ264" s="20">
        <v>0</v>
      </c>
      <c r="DR264" s="20">
        <v>0</v>
      </c>
      <c r="DS264" s="20">
        <f>INDEX(Input!$1:$1048576,DS$93,$C264*2+6)</f>
        <v>0.6</v>
      </c>
      <c r="DT264" s="20">
        <f>INDEX(Input!$1:$1048576,DT$93,$C264*2+6)</f>
        <v>0.55000000000000004</v>
      </c>
      <c r="DU264" s="20">
        <f>INDEX(Input!$1:$1048576,DU$93,$C264*2+6)</f>
        <v>0.52</v>
      </c>
      <c r="DV264" s="20">
        <f>INDEX(Input!$1:$1048576,DV$93,$C264*2+6)</f>
        <v>0.5</v>
      </c>
      <c r="DW264" s="20">
        <f>INDEX(Input!$1:$1048576,DW$93,$C264*2+6)</f>
        <v>0.45</v>
      </c>
      <c r="DX264" s="20"/>
      <c r="DY264" s="7">
        <v>0.11464169095894353</v>
      </c>
      <c r="DZ264" s="7">
        <v>0</v>
      </c>
      <c r="EA264" s="7">
        <v>0.70876002883734368</v>
      </c>
      <c r="EB264" s="7">
        <v>0</v>
      </c>
      <c r="EC264" s="7">
        <v>0</v>
      </c>
      <c r="ED264" s="7">
        <v>0</v>
      </c>
      <c r="EE264" s="7">
        <v>0</v>
      </c>
      <c r="EF264" s="7">
        <v>0</v>
      </c>
      <c r="EG264" s="7">
        <v>0</v>
      </c>
      <c r="EH264" s="7">
        <v>1.4279526960396133E-2</v>
      </c>
      <c r="EI264" s="7">
        <v>4.0655811152540314E-2</v>
      </c>
      <c r="EJ264" s="7">
        <v>0.30748382826102783</v>
      </c>
      <c r="EK264" s="7">
        <v>0.52643990864187173</v>
      </c>
      <c r="EL264" s="7">
        <v>0.111140924984164</v>
      </c>
      <c r="EM264" s="7">
        <v>6.2038224682510419E-2</v>
      </c>
      <c r="EN264" s="7">
        <v>6.4921117793718314E-2</v>
      </c>
      <c r="EO264" s="7">
        <v>0.7269905669818908</v>
      </c>
      <c r="EP264" s="7">
        <v>9.0281774886461205E-2</v>
      </c>
      <c r="EQ264" s="7">
        <v>7.6958877287660751E-2</v>
      </c>
      <c r="ER264" s="7">
        <v>4.0847663050268712E-2</v>
      </c>
      <c r="ES264" s="7">
        <v>0.11456005552120227</v>
      </c>
      <c r="ET264" s="7">
        <v>0.17659828020371279</v>
      </c>
      <c r="EU264" s="6">
        <v>2294</v>
      </c>
      <c r="EV264" s="6">
        <v>0</v>
      </c>
      <c r="EW264" s="6">
        <v>2294</v>
      </c>
      <c r="EX264" s="6">
        <v>0</v>
      </c>
      <c r="EY264" s="6">
        <v>3054.0678233137023</v>
      </c>
      <c r="EZ264" s="6">
        <v>766</v>
      </c>
      <c r="FA264" s="6">
        <v>0</v>
      </c>
      <c r="FB264" s="6">
        <v>0</v>
      </c>
      <c r="FC264" s="6">
        <v>0</v>
      </c>
      <c r="FD264" s="6">
        <v>0</v>
      </c>
      <c r="FE264" s="6">
        <v>0</v>
      </c>
      <c r="FF264" s="6">
        <v>0</v>
      </c>
      <c r="FG264" s="6">
        <v>0</v>
      </c>
      <c r="FH264" s="6">
        <v>1173.7338361140351</v>
      </c>
      <c r="FI264" s="6">
        <v>1553.9796069512397</v>
      </c>
      <c r="FJ264" s="6">
        <v>2101.2110117447401</v>
      </c>
      <c r="FK264" s="6">
        <v>1772.7139978623231</v>
      </c>
      <c r="FL264" s="6">
        <v>907.07682140966313</v>
      </c>
      <c r="FM264" s="6">
        <v>1760.0678233137021</v>
      </c>
      <c r="FN264" s="6">
        <v>0</v>
      </c>
      <c r="FO264" s="6">
        <v>0</v>
      </c>
      <c r="FP264" s="6">
        <v>0</v>
      </c>
      <c r="FQ264" s="6">
        <v>0</v>
      </c>
      <c r="FR264" s="6">
        <v>0</v>
      </c>
      <c r="FS264" s="6">
        <v>0</v>
      </c>
      <c r="FT264" s="7">
        <v>0.82340171979628718</v>
      </c>
      <c r="FU264" s="7">
        <v>6.2038224682510419E-2</v>
      </c>
      <c r="FV264" s="7">
        <v>0.11456005552120227</v>
      </c>
      <c r="FW264" s="6">
        <v>2294</v>
      </c>
      <c r="FX264" s="6">
        <v>3054.0678233137023</v>
      </c>
      <c r="FY264" s="6">
        <v>766</v>
      </c>
      <c r="FZ264" s="6">
        <v>1817.4615072224267</v>
      </c>
      <c r="GA264" s="6">
        <v>2166.1054935602847</v>
      </c>
      <c r="GB264" s="6">
        <v>17818.894506439716</v>
      </c>
      <c r="GC264" s="7">
        <v>1.804905384453976E-2</v>
      </c>
      <c r="GD264" s="7">
        <v>1.9047892739422288E-2</v>
      </c>
      <c r="GE264" s="7"/>
      <c r="GF264" s="7"/>
      <c r="GG264" s="7">
        <v>5.5340235753393724E-2</v>
      </c>
      <c r="GH264" s="42">
        <v>3.1722176629193726</v>
      </c>
      <c r="GI264" s="6">
        <v>8466.1145483008477</v>
      </c>
      <c r="GJ264" s="14">
        <v>0.50394797582841755</v>
      </c>
      <c r="GK264" s="14">
        <v>0.50887573065309744</v>
      </c>
      <c r="GL264" s="14">
        <v>0.49605202417158262</v>
      </c>
      <c r="GM264" s="14">
        <v>0.4911242693469024</v>
      </c>
      <c r="GO264" s="5">
        <v>343.14810671672558</v>
      </c>
      <c r="GP264" s="5">
        <v>299.3829630362892</v>
      </c>
      <c r="GQ264" s="5">
        <v>535.04305713031317</v>
      </c>
      <c r="GR264" s="5">
        <v>410.15490233172511</v>
      </c>
      <c r="GS264" s="5">
        <v>339.42744393800166</v>
      </c>
      <c r="GT264" s="5">
        <v>293.4407446948278</v>
      </c>
      <c r="GU264" s="5">
        <v>258.04012322764959</v>
      </c>
      <c r="GV264" s="39" t="s">
        <v>392</v>
      </c>
      <c r="GW264" s="5">
        <v>463.68055555555554</v>
      </c>
      <c r="GX264" s="5">
        <v>347.76041666666669</v>
      </c>
      <c r="GY264" s="5">
        <v>278.20833333333331</v>
      </c>
      <c r="GZ264" s="5">
        <v>245.48949565254571</v>
      </c>
      <c r="HA264" s="5">
        <v>227.39897390161556</v>
      </c>
      <c r="HB264" s="39">
        <v>260.81298417158985</v>
      </c>
      <c r="HC264" s="5">
        <v>253.77187499999999</v>
      </c>
      <c r="HD264" s="5">
        <v>216.93177997076018</v>
      </c>
      <c r="HE264" s="5">
        <v>219.72600792847501</v>
      </c>
      <c r="HF264" s="5">
        <v>203.19500548245611</v>
      </c>
      <c r="HG264" s="5">
        <v>195.94971491228068</v>
      </c>
      <c r="HH264" s="39">
        <v>217.66151291336379</v>
      </c>
      <c r="HI264" s="16"/>
      <c r="HJ264" s="19" t="str">
        <f t="shared" ref="HJ264" si="773">HJ263</f>
        <v>On</v>
      </c>
      <c r="HK264" s="1" t="str">
        <f t="shared" si="761"/>
        <v>On</v>
      </c>
      <c r="HL264" s="16"/>
      <c r="HM264" s="639">
        <f t="shared" si="634"/>
        <v>1.2768706344444866E-2</v>
      </c>
      <c r="HN264" s="639">
        <f t="shared" si="635"/>
        <v>9.795534288915453E-4</v>
      </c>
      <c r="HO264" s="639">
        <f t="shared" si="636"/>
        <v>3.3583061774515237E-3</v>
      </c>
      <c r="HP264" s="644">
        <f>(FT264*$GD264-HM264)/$JF264*INDEX(Input!$1:$1048576,$JG$93,$C264*2+6)</f>
        <v>211.83644344331856</v>
      </c>
      <c r="HQ264" s="644">
        <f>(FU264*$GD264-HN264)/$JF264*INDEX(Input!$1:$1048576,$JG$93,$C264*2+6)</f>
        <v>14.688220788144667</v>
      </c>
      <c r="HR264" s="644">
        <f>(FV264*$GD264-HO264)/$JF264*INDEX(Input!$1:$1048576,$JG$93,$C264*2+6)</f>
        <v>-85.46367015384412</v>
      </c>
      <c r="HS264" s="644">
        <f t="shared" si="767"/>
        <v>-66.05615785565891</v>
      </c>
      <c r="HT264" s="644">
        <f t="shared" si="638"/>
        <v>69.764198207256598</v>
      </c>
      <c r="HU264" s="644">
        <f t="shared" si="639"/>
        <v>13.174364229799892</v>
      </c>
      <c r="HV264" s="648">
        <f t="shared" si="640"/>
        <v>0</v>
      </c>
      <c r="HW264" s="648">
        <f t="shared" si="641"/>
        <v>0</v>
      </c>
      <c r="HX264" s="648">
        <f t="shared" si="642"/>
        <v>0</v>
      </c>
      <c r="HY264" s="644">
        <f>INDEX(Input!$1:$1048576,HY$93,$C264*2+6)*INDEX(Input!$1:$1048576,$JG$93,$C264*2+6)</f>
        <v>451</v>
      </c>
      <c r="HZ264" s="644">
        <f>INDEX(Input!$1:$1048576,HZ$93,$C264*2+6)*INDEX(Input!$1:$1048576,$JG$93,$C264*2+6)</f>
        <v>577</v>
      </c>
      <c r="IA264" s="644">
        <f>INDEX(Input!$1:$1048576,IA$93,$C264*2+6)*INDEX(Input!$1:$1048576,$JG$93,$C264*2+6)</f>
        <v>215</v>
      </c>
      <c r="IB264" s="644">
        <f t="shared" si="666"/>
        <v>596.78028558765948</v>
      </c>
      <c r="IC264" s="644">
        <f t="shared" si="667"/>
        <v>661.45241899540133</v>
      </c>
      <c r="ID264" s="644">
        <f>IF(AND(INDEX(Input!$1:$1048576,IA$93,$C264*2+7)="TOS",Y264&lt;=INDEX(Y:Y,MATCH(C264*1000+2,A:A))),0,1)*MAX(IA264+HR264+HU264+HX264,0%)</f>
        <v>142.71069407595576</v>
      </c>
      <c r="IE264" s="128">
        <f t="shared" si="768"/>
        <v>0.42598458021851399</v>
      </c>
      <c r="IF264" s="128">
        <f t="shared" si="643"/>
        <v>0.4721478538166094</v>
      </c>
      <c r="IG264" s="128">
        <f t="shared" si="644"/>
        <v>0.10186756596487657</v>
      </c>
      <c r="IH264" s="21"/>
      <c r="II264" s="19">
        <f t="shared" si="645"/>
        <v>1252</v>
      </c>
      <c r="IJ264" s="19">
        <f t="shared" si="646"/>
        <v>2011.9658773055378</v>
      </c>
      <c r="IK264" s="19">
        <f t="shared" si="647"/>
        <v>919</v>
      </c>
      <c r="IL264" s="19">
        <f t="shared" si="669"/>
        <v>1042</v>
      </c>
      <c r="IM264" s="19">
        <f t="shared" si="648"/>
        <v>1042.1019460081645</v>
      </c>
      <c r="IN264" s="19">
        <f t="shared" si="649"/>
        <v>-153</v>
      </c>
      <c r="IO264" s="39">
        <f t="shared" si="650"/>
        <v>0</v>
      </c>
      <c r="IP264" s="39">
        <f t="shared" si="651"/>
        <v>0</v>
      </c>
      <c r="IQ264" s="39">
        <f t="shared" si="652"/>
        <v>0</v>
      </c>
      <c r="IR264" s="39">
        <v>0</v>
      </c>
      <c r="IS264" s="39">
        <v>0</v>
      </c>
      <c r="IT264" s="39">
        <v>0</v>
      </c>
      <c r="IU264" s="39">
        <v>0</v>
      </c>
      <c r="IV264" s="39">
        <v>0</v>
      </c>
      <c r="IW264" s="39">
        <v>0</v>
      </c>
      <c r="IX264" s="39">
        <f>INDEX(Input!$1:$1048576,IX$93,$C264*2+6)+INDEX(Input!$1:$1048576,IX$94,$C264*2+6)</f>
        <v>1294</v>
      </c>
      <c r="IY264" s="39">
        <f>INDEX(Input!$1:$1048576,IY$93,$C264*2+6)+INDEX(Input!$1:$1048576,IY$94,$C264*2+6)</f>
        <v>2154.0624533823611</v>
      </c>
      <c r="IZ264" s="39">
        <f>INDEX(Input!$1:$1048576,IZ$93,$C264*2+6)+INDEX(Input!$1:$1048576,IZ$94,$C264*2+6)</f>
        <v>3677.7164157747848</v>
      </c>
      <c r="JA264" s="19">
        <f t="shared" si="670"/>
        <v>2336</v>
      </c>
      <c r="JB264" s="19">
        <f t="shared" si="671"/>
        <v>3196.1643993905254</v>
      </c>
      <c r="JC264" s="19">
        <f t="shared" si="672"/>
        <v>3524.7164157747848</v>
      </c>
      <c r="JD264" s="19">
        <f t="shared" si="673"/>
        <v>2863.216422999159</v>
      </c>
      <c r="JE264" s="21"/>
      <c r="JF264" s="1">
        <f t="shared" si="653"/>
        <v>1.7106565950787935E-2</v>
      </c>
      <c r="JG264" s="15">
        <f>INDEX(Input!$1:$1048576,JG$93,$C264*2+6)/(1+VLOOKUP(C264*1000+INDEX(Input!$1:$1048576,JG$93+1,$C264*2+6),$A:$KK,$JK$92,FALSE))</f>
        <v>1243</v>
      </c>
      <c r="JH264" s="1">
        <f t="shared" si="674"/>
        <v>0.11348430738344258</v>
      </c>
      <c r="JI264" s="1">
        <f t="shared" si="675"/>
        <v>1.3581982768622349E-2</v>
      </c>
      <c r="JJ264" s="1">
        <f t="shared" si="769"/>
        <v>0</v>
      </c>
      <c r="JK264" s="1">
        <f t="shared" si="770"/>
        <v>0.12706629015206491</v>
      </c>
      <c r="JL264" s="15">
        <f t="shared" si="678"/>
        <v>157.94339865901668</v>
      </c>
      <c r="JM264" s="15">
        <f t="shared" si="702"/>
        <v>1400.9433986590166</v>
      </c>
      <c r="JN264" s="21"/>
      <c r="JO264" s="19">
        <f>INDEX(Input!$1:$1048576,JO$93,$C264*2+6)</f>
        <v>5995.5</v>
      </c>
      <c r="JP264" s="19">
        <f>INDEX(Input!$1:$1048576,JP$93,$C264*2+6)</f>
        <v>2105.548724853742</v>
      </c>
      <c r="JQ264" s="39">
        <f t="shared" si="688"/>
        <v>3132.283577000841</v>
      </c>
      <c r="JR264" s="39">
        <f t="shared" si="705"/>
        <v>757.66769814541703</v>
      </c>
      <c r="JS264" s="39">
        <f t="shared" si="690"/>
        <v>4.0112041467327542</v>
      </c>
      <c r="JT264" s="39">
        <f t="shared" si="680"/>
        <v>1.3940070817395527</v>
      </c>
      <c r="JU264" s="385">
        <f>(JQ264*JM264-INDEX(Input!$1:$1048576,Input!A$18,$C264*2+6)*JL264*INDEX(Input!$1:$1048576,Input!A$19,$C264*2+6))/1000000</f>
        <v>4.3881519999273788</v>
      </c>
      <c r="JV264" s="39">
        <f t="shared" si="712"/>
        <v>-0.44705743507941964</v>
      </c>
      <c r="JW264" s="1">
        <f t="shared" si="703"/>
        <v>-9.2458753046503986E-2</v>
      </c>
      <c r="JX264" s="19">
        <f t="shared" si="694"/>
        <v>8825.991422085759</v>
      </c>
      <c r="JZ264" s="341"/>
      <c r="KA264" s="342"/>
      <c r="KB264" s="469">
        <f t="shared" si="691"/>
        <v>2.5660492421988774</v>
      </c>
      <c r="KI264" s="473">
        <f t="shared" si="771"/>
        <v>145.78028558765948</v>
      </c>
      <c r="KJ264" s="473">
        <f t="shared" si="772"/>
        <v>84.452418995401331</v>
      </c>
      <c r="KK264" s="473">
        <f t="shared" si="682"/>
        <v>-72.289305924044243</v>
      </c>
      <c r="KN264" s="544">
        <f t="shared" si="695"/>
        <v>2002</v>
      </c>
      <c r="KO264" s="541">
        <f t="shared" si="657"/>
        <v>0.12042590152149235</v>
      </c>
      <c r="KP264" s="546">
        <f t="shared" si="658"/>
        <v>879.84386909810371</v>
      </c>
      <c r="KQ264" s="546">
        <f t="shared" si="659"/>
        <v>719.53608356568611</v>
      </c>
      <c r="KR264" s="548">
        <f t="shared" si="660"/>
        <v>2.4419753093912657</v>
      </c>
      <c r="KS264" s="548">
        <f t="shared" si="661"/>
        <v>2.9860309351125256</v>
      </c>
      <c r="KT264" s="473">
        <f t="shared" si="693"/>
        <v>843.26993010479111</v>
      </c>
      <c r="KU264" s="663">
        <f t="shared" si="683"/>
        <v>4.6160379075546381</v>
      </c>
    </row>
    <row r="265" spans="1:308" s="26" customFormat="1" ht="15" outlineLevel="1">
      <c r="A265" s="561">
        <f t="shared" si="662"/>
        <v>2065</v>
      </c>
      <c r="B265" s="561">
        <f t="shared" si="684"/>
        <v>65</v>
      </c>
      <c r="C265" s="561">
        <f t="shared" si="760"/>
        <v>2</v>
      </c>
      <c r="D265" s="561" t="str">
        <f t="shared" si="728"/>
        <v xml:space="preserve">500 CC, 500 Combo, -360 Lease, </v>
      </c>
      <c r="E265" s="475">
        <f>INDEX(Input!$1:$1048576,E$93,$C265*2+MIN($B265,2)+5)
+INDEX(Scenarios!E$121:E$200,MATCH($B265,Scenarios!$B$121:$B$200,0))</f>
        <v>1769.7618664521319</v>
      </c>
      <c r="F265" s="475">
        <f>INDEX(Input!$1:$1048576,F$93,$C265*2+MIN($B265,2)+5)
+INDEX(Scenarios!F$121:F$200,MATCH($B265,Scenarios!$B$121:$B$200,0))</f>
        <v>0</v>
      </c>
      <c r="G265" s="475">
        <f>INDEX(Input!$1:$1048576,G$93,$C265*2+MIN($B265,2)+5)
+INDEX(Scenarios!G$121:G$200,MATCH($B265,Scenarios!$B$121:$B$200,0))</f>
        <v>0</v>
      </c>
      <c r="H265" s="475">
        <f>INDEX(Input!$1:$1048576,H$93,$C265*2+MIN($B265,2)+5)
+INDEX(Scenarios!H$121:H$200,MATCH($B265,Scenarios!$B$121:$B$200,0))</f>
        <v>0</v>
      </c>
      <c r="I265" s="476">
        <f>INDEX(Input!$1:$1048576,I$93,$C265*2+MIN($B265,2)+5)</f>
        <v>0.7</v>
      </c>
      <c r="J265" s="476" t="str">
        <f>INDEX(Input!$1:$1048576,J$93,$C265*2+MIN($B265,2)+5)</f>
        <v>Market</v>
      </c>
      <c r="K265" s="476" t="str">
        <f>INDEX(Input!$1:$1048576,K$93,$C265*2+MIN($B265,2)+5)</f>
        <v>Market</v>
      </c>
      <c r="L265" s="476" t="str">
        <f>INDEX(Input!$1:$1048576,L$93,$C265*2+MIN($B265,2)+5)</f>
        <v>Market</v>
      </c>
      <c r="M265" s="476" t="str">
        <f>INDEX(Input!$1:$1048576,M$93,$C265*2+MIN($B265,2)+5)</f>
        <v>Market</v>
      </c>
      <c r="N265" s="476" t="str">
        <f>INDEX(Input!$1:$1048576,N$93,$C265*2+MIN($B265,2)+5)</f>
        <v>Market</v>
      </c>
      <c r="O265" s="476" t="str">
        <f>INDEX(Input!$1:$1048576,O$93,$C265*2+MIN($B265,2)+5)</f>
        <v>Market</v>
      </c>
      <c r="P265" s="476" t="str">
        <f>INDEX(Input!$1:$1048576,P$93,$C265*2+MIN($B265,2)+5)</f>
        <v>N</v>
      </c>
      <c r="Q265" s="477">
        <f>INDEX(Input!$1:$1048576,Q$93,$C265*2+MIN($B265,2)+5)
+INDEX(Scenarios!Q$121:Q$200,MATCH($B265,Scenarios!$B$121:$B$200,0))</f>
        <v>500</v>
      </c>
      <c r="R265" s="478">
        <f>IFERROR(MAX(0,INDEX(Input!$1:$1048576,R$93,$C265*2+MIN($B265,2)+5)
+INDEX(Scenarios!R$121:R$200,MATCH($B265,Scenarios!$B$121:$B$200,0)),),"Market")</f>
        <v>0</v>
      </c>
      <c r="S265" s="478">
        <f>IFERROR(MAX(0,INDEX(Input!$1:$1048576,S$93,$C265*2+MIN($B265,2)+5)
+INDEX(Scenarios!S$121:S$200,MATCH($B265,Scenarios!$B$121:$B$200,0)),),"Market")</f>
        <v>0</v>
      </c>
      <c r="T265" s="478">
        <f>IFERROR(MAX(0,INDEX(Input!$1:$1048576,T$93,$C265*2+MIN($B265,2)+5)
+INDEX(Scenarios!T$121:T$200,MATCH($B265,Scenarios!$B$121:$B$200,0)),),"Market")</f>
        <v>0</v>
      </c>
      <c r="U265" s="478">
        <f>IFERROR(MAX(0,INDEX(Input!$1:$1048576,U$93,$C265*2+MIN($B265,2)+5)
+INDEX(Scenarios!U$121:U$200,MATCH($B265,Scenarios!$B$121:$B$200,0)),),"Market")</f>
        <v>0</v>
      </c>
      <c r="V265" s="478">
        <f>IFERROR(MAX(0,INDEX(Input!$1:$1048576,V$93,$C265*2+MIN($B265,2)+5)
+INDEX(Scenarios!V$121:V$200,MATCH($B265,Scenarios!$B$121:$B$200,0)),),"Market")</f>
        <v>1.9E-2</v>
      </c>
      <c r="W265" s="885">
        <f>IFERROR(MAX(0,INDEX(Input!$1:$1048576,W$93,$C265*2+MIN($B265,2)+5)-0%,),"Market")</f>
        <v>3.9E-2</v>
      </c>
      <c r="X265" s="476" t="str">
        <f>INDEX(Input!$1:$1048576,X$93,$C265*2+MIN($B265,2)+5)</f>
        <v>Y</v>
      </c>
      <c r="Y265" s="475">
        <f>INDEX(Input!$1:$1048576,Y$93,$C265*2+MIN($B265,2)+5)
++INDEX(Scenarios!Y$121:Y$200,MATCH($B265,Scenarios!$B$121:$B$200,0))</f>
        <v>-304</v>
      </c>
      <c r="Z265" s="477">
        <f>INDEX(Input!$1:$1048576,Z$93,$C265*2+MIN($B265,2)+5)
+INDEX(Scenarios!Z$121:Z$200,MATCH($B265,Scenarios!$B$121:$B$200,0))</f>
        <v>0</v>
      </c>
      <c r="AA265" s="475">
        <f>INDEX(Input!$1:$1048576,AA$93,$C265*2+MIN($B265,2)+5)
+INDEX(Scenarios!AA$121:AA$200,MATCH($B265,Scenarios!$B$121:$B$200,0))</f>
        <v>0</v>
      </c>
      <c r="AB265" s="476">
        <f>INDEX(Input!$1:$1048576,AB$93,$C265*2+MIN($B265,2)+5)</f>
        <v>0.27</v>
      </c>
      <c r="AC265" s="475">
        <f>INDEX(Input!$1:$1048576,AC$93,$C265*2+MIN($B265,2)+5)
+INDEX(Scenarios!AC$121:AC$200,MATCH($B265,Scenarios!$B$121:$B$200,0))</f>
        <v>0</v>
      </c>
      <c r="AD265" s="476">
        <f>INDEX(Input!$1:$1048576,AD$93,$C265*2+MIN($B265,2)+5)</f>
        <v>0.27</v>
      </c>
      <c r="AE265" s="475">
        <f>INDEX(Input!$1:$1048576,AE$93,$C265*2+MIN($B265,2)+5)
+INDEX(Scenarios!AE$121:AE$200,MATCH($B265,Scenarios!$B$121:$B$200,0))</f>
        <v>0</v>
      </c>
      <c r="AF265" s="476">
        <f>INDEX(Input!$1:$1048576,AF$93,$C265*2+MIN($B265,2)+5)</f>
        <v>4.8000000000000001E-2</v>
      </c>
      <c r="AG265" s="475">
        <f>INDEX(Input!$1:$1048576,AG$93,$C265*2+MIN($B265,2)+5)
+INDEX(Scenarios!AG$121:AG$200,MATCH($B265,Scenarios!$B$121:$B$200,0))</f>
        <v>500</v>
      </c>
      <c r="AH265" s="476">
        <f>INDEX(Input!$1:$1048576,AH$93,$C265*2+MIN($B265,2)+5)</f>
        <v>0.94599999999999995</v>
      </c>
      <c r="AI265" s="475">
        <f>INDEX(Input!$1:$1048576,AI$93,$C265*2+MIN($B265,2)+5)
+INDEX(Scenarios!AI$121:AI$200,MATCH($B265,Scenarios!$B$121:$B$200,0))</f>
        <v>0</v>
      </c>
      <c r="AJ265" s="476">
        <f>INDEX(Input!$1:$1048576,AJ$93,$C265*2+MIN($B265,2)+5)</f>
        <v>0.27</v>
      </c>
      <c r="AK265" s="150">
        <f>ROUND(INDEX(Input!$1:$1048576,AK$93,$C264*2+MIN($B265,1)+5)+(Y265-VLOOKUP($C265*1000+1,$A:$HH,Y$92,FALSE)),0)</f>
        <v>2617</v>
      </c>
      <c r="AL265" s="150">
        <f>ROUND(INDEX(Input!$1:$1048576,AL$93,$C264*2+MIN($B265,1)+5)-(Y265-VLOOKUP($C265*1000+1,$A:$HH,Y$92,FALSE))/36,0)</f>
        <v>3405</v>
      </c>
      <c r="AM265" s="32" t="str">
        <f t="shared" si="663"/>
        <v>std/std/std/std</v>
      </c>
      <c r="AN265" s="32" t="str">
        <f t="shared" si="664"/>
        <v>$500 + 0/0/0/1.9/3.9</v>
      </c>
      <c r="AO265" s="32" t="str">
        <f t="shared" si="665"/>
        <v>0/0/0/1.9/3.9</v>
      </c>
      <c r="AP265" s="32" t="str">
        <f t="shared" si="734"/>
        <v>0/0.9/1.9/3.9</v>
      </c>
      <c r="AQ265" s="536">
        <f t="shared" si="733"/>
        <v>0.4125447421211374</v>
      </c>
      <c r="AR265" s="32"/>
      <c r="AS265" s="302"/>
      <c r="AT265" s="3">
        <f t="shared" si="717"/>
        <v>65</v>
      </c>
      <c r="AU265" s="41" t="s">
        <v>121</v>
      </c>
      <c r="AV265" s="41" t="s">
        <v>116</v>
      </c>
      <c r="AW265" s="41" t="str">
        <f>INDEX(Input!$1:$1048576,AW$93,$C265*2+6)</f>
        <v>Kia</v>
      </c>
      <c r="AX265" s="41" t="str">
        <f>INDEX(Input!$1:$1048576,AX$93,$C265*2+6)</f>
        <v>Kia-LR - L2</v>
      </c>
      <c r="AY265" s="41" t="str">
        <f>IF(LEN(D265)=0,"",INDEX(Input!$1:$1048576,AY$93,$C265*2+6))</f>
        <v>Compact SUV (52)</v>
      </c>
      <c r="AZ265" s="41" t="str">
        <f>INDEX(Input!$1:$1048576,AZ$93,$C265*2+6)</f>
        <v>Kia Soul</v>
      </c>
      <c r="BA265" s="3">
        <f>INDEX(Input!$1:$1048576,BA$93,$C265*2+6)</f>
        <v>2020</v>
      </c>
      <c r="BB265" s="128">
        <f>INDEX(Input!$1:$1048576,BB$93,$C265*2+6)</f>
        <v>1</v>
      </c>
      <c r="BC265" s="128">
        <f>INDEX(Input!$1:$1048576,BC$93,$C265*2+6)</f>
        <v>0.7</v>
      </c>
      <c r="BD265" s="1">
        <f>INDEX(Input!$1:$1048576,BD$93,$C265*2+6)</f>
        <v>4.4999999999999998E-2</v>
      </c>
      <c r="BE265" s="1">
        <f>INDEX(Input!$1:$1048576,BE$93,$C265*2+6)</f>
        <v>4.4999999999999998E-2</v>
      </c>
      <c r="BF265" s="1">
        <f>INDEX(Input!$1:$1048576,BF$93,$C265*2+6)</f>
        <v>0.05</v>
      </c>
      <c r="BG265" s="1">
        <f>INDEX(Input!$1:$1048576,BG$93,$C265*2+6)</f>
        <v>5.45E-2</v>
      </c>
      <c r="BH265" s="1">
        <f>INDEX(Input!$1:$1048576,BH$93,$C265*2+6)</f>
        <v>5.45E-2</v>
      </c>
      <c r="BI265" s="1">
        <f>INDEX(Input!$1:$1048576,BI$93,$C265*2+6)</f>
        <v>0.05</v>
      </c>
      <c r="BJ265" s="1">
        <f>INDEX(Input!$1:$1048576,BJ$93,$C265*2+6)</f>
        <v>0.05</v>
      </c>
      <c r="BK265" s="1">
        <f>INDEX(Input!$1:$1048576,BK$93,$C265*2+6)</f>
        <v>0.05</v>
      </c>
      <c r="BL265" s="1">
        <f>INDEX(Input!$1:$1048576,BL$93,$C265*2+6)</f>
        <v>5.5E-2</v>
      </c>
      <c r="BM265" s="1">
        <f>INDEX(Input!$1:$1048576,BM$93,$C265*2+6)</f>
        <v>0.06</v>
      </c>
      <c r="BN265" s="1">
        <f>INDEX(Input!$1:$1048576,BN$93,$C265*2+6)</f>
        <v>4.4999999999999998E-2</v>
      </c>
      <c r="BO265" s="1">
        <f>INDEX(Input!$1:$1048576,BO$93,$C265*2+6)</f>
        <v>4.4999999999999998E-2</v>
      </c>
      <c r="BP265" s="1">
        <f>INDEX(Input!$1:$1048576,BP$93,$C265*2+6)</f>
        <v>0.05</v>
      </c>
      <c r="BQ265" s="1">
        <f>INDEX(Input!$1:$1048576,BQ$93,$C265*2+6)</f>
        <v>5.45E-2</v>
      </c>
      <c r="BR265" s="1">
        <f>INDEX(Input!$1:$1048576,BR$93,$C265*2+6)</f>
        <v>5.45E-2</v>
      </c>
      <c r="BS265" s="1">
        <f>INDEX(Input!$1:$1048576,BS$93,$C265*2+6)</f>
        <v>0.05</v>
      </c>
      <c r="BT265" s="1">
        <f>INDEX(Input!$1:$1048576,BT$93,$C265*2+6)</f>
        <v>0.05</v>
      </c>
      <c r="BU265" s="1">
        <f>INDEX(Input!$1:$1048576,BU$93,$C265*2+6)</f>
        <v>0.05</v>
      </c>
      <c r="BV265" s="1">
        <f>INDEX(Input!$1:$1048576,BV$93,$C265*2+6)</f>
        <v>5.5E-2</v>
      </c>
      <c r="BW265" s="1">
        <f>INDEX(Input!$1:$1048576,BW$93,$C265*2+6)</f>
        <v>0.06</v>
      </c>
      <c r="BX265" s="127">
        <f>INDEX(Input!$1:$1048576,BX$93,$C265*2+6)</f>
        <v>19985</v>
      </c>
      <c r="BY265" s="20">
        <f>INDEX(Input!$1:$1048576,BY$93,$C265*2+6)</f>
        <v>0.1</v>
      </c>
      <c r="BZ265" s="20">
        <f>INDEX(Input!$1:$1048576,BZ$93,$C265*2+6)</f>
        <v>0.1</v>
      </c>
      <c r="CA265" s="20">
        <f>INDEX(Input!$1:$1048576,CA$93,$C265*2+6)</f>
        <v>0.1</v>
      </c>
      <c r="CB265" s="20">
        <f>INDEX(Input!$1:$1048576,CB$93,$C265*2+6)</f>
        <v>0.1</v>
      </c>
      <c r="CC265" s="20">
        <f>INDEX(Input!$1:$1048576,CC$93,$C265*2+6)</f>
        <v>0.1</v>
      </c>
      <c r="CD265" s="384">
        <f>INDEX(Input!$1:$1048576,CD$93,$C265*2+6)</f>
        <v>0.1</v>
      </c>
      <c r="CE265" s="384">
        <f>INDEX(Input!$1:$1048576,CE$93,$C265*2+6)</f>
        <v>0.1</v>
      </c>
      <c r="CF265" s="384">
        <f>INDEX(Input!$1:$1048576,CF$93,$C265*2+6)</f>
        <v>0.1</v>
      </c>
      <c r="CG265" s="384">
        <f>INDEX(Input!$1:$1048576,CG$93,$C265*2+6)</f>
        <v>0.1</v>
      </c>
      <c r="CH265" s="384">
        <f>INDEX(Input!$1:$1048576,CH$93,$C265*2+6)</f>
        <v>0.1</v>
      </c>
      <c r="CI265" s="304">
        <f t="shared" si="735"/>
        <v>1769.7618664521319</v>
      </c>
      <c r="CJ265" s="16" t="str">
        <f>INDEX(Input!$1:$1048576,CJ$93,$C265*2+6)</f>
        <v>N</v>
      </c>
      <c r="CK265" s="1" t="str">
        <f t="shared" si="736"/>
        <v>Market</v>
      </c>
      <c r="CL265" s="1" t="str">
        <f t="shared" si="737"/>
        <v>Market</v>
      </c>
      <c r="CM265" s="1" t="str">
        <f t="shared" si="738"/>
        <v>Market</v>
      </c>
      <c r="CN265" s="1" t="str">
        <f t="shared" si="739"/>
        <v>Market</v>
      </c>
      <c r="CO265" s="1" t="str">
        <f t="shared" si="740"/>
        <v>Market</v>
      </c>
      <c r="CP265" s="304">
        <f t="shared" si="741"/>
        <v>973</v>
      </c>
      <c r="CQ265" s="1">
        <f t="shared" si="742"/>
        <v>0</v>
      </c>
      <c r="CR265" s="1">
        <f t="shared" si="743"/>
        <v>0</v>
      </c>
      <c r="CS265" s="1">
        <f t="shared" si="744"/>
        <v>0</v>
      </c>
      <c r="CT265" s="1">
        <f t="shared" si="745"/>
        <v>1.9E-2</v>
      </c>
      <c r="CU265" s="1">
        <f t="shared" si="746"/>
        <v>3.9E-2</v>
      </c>
      <c r="CV265" s="304">
        <f t="shared" si="747"/>
        <v>-304</v>
      </c>
      <c r="CW265" s="20" t="s">
        <v>122</v>
      </c>
      <c r="CX265" s="20" t="s">
        <v>122</v>
      </c>
      <c r="CY265" s="20" t="s">
        <v>122</v>
      </c>
      <c r="CZ265" s="20" t="s">
        <v>122</v>
      </c>
      <c r="DA265" s="20" t="s">
        <v>122</v>
      </c>
      <c r="DB265" s="503">
        <f t="shared" si="748"/>
        <v>0</v>
      </c>
      <c r="DC265" s="127">
        <v>0</v>
      </c>
      <c r="DD265" s="127">
        <v>0</v>
      </c>
      <c r="DE265" s="127">
        <v>0</v>
      </c>
      <c r="DF265" s="127">
        <v>0</v>
      </c>
      <c r="DG265" s="127">
        <v>0</v>
      </c>
      <c r="DH265" s="127">
        <v>0</v>
      </c>
      <c r="DI265" s="127">
        <v>0</v>
      </c>
      <c r="DJ265" s="127">
        <v>0</v>
      </c>
      <c r="DK265" s="127">
        <v>0</v>
      </c>
      <c r="DL265" s="127">
        <v>0</v>
      </c>
      <c r="DM265" s="304">
        <f>INDEX(Input!$1:$1048576,DM$93,$C265*2+6)</f>
        <v>21036.84210526316</v>
      </c>
      <c r="DN265" s="20">
        <v>0</v>
      </c>
      <c r="DO265" s="20">
        <v>0</v>
      </c>
      <c r="DP265" s="20">
        <v>0</v>
      </c>
      <c r="DQ265" s="20">
        <v>0</v>
      </c>
      <c r="DR265" s="20">
        <v>0</v>
      </c>
      <c r="DS265" s="20">
        <f>INDEX(Input!$1:$1048576,DS$93,$C265*2+6)</f>
        <v>0.6</v>
      </c>
      <c r="DT265" s="20">
        <f>INDEX(Input!$1:$1048576,DT$93,$C265*2+6)</f>
        <v>0.55000000000000004</v>
      </c>
      <c r="DU265" s="20">
        <f>INDEX(Input!$1:$1048576,DU$93,$C265*2+6)</f>
        <v>0.52</v>
      </c>
      <c r="DV265" s="20">
        <f>INDEX(Input!$1:$1048576,DV$93,$C265*2+6)</f>
        <v>0.5</v>
      </c>
      <c r="DW265" s="20">
        <f>INDEX(Input!$1:$1048576,DW$93,$C265*2+6)</f>
        <v>0.45</v>
      </c>
      <c r="DX265" s="20"/>
      <c r="DY265" s="7">
        <v>0.10568034274227957</v>
      </c>
      <c r="DZ265" s="7">
        <v>0</v>
      </c>
      <c r="EA265" s="7">
        <v>0.69916884427317672</v>
      </c>
      <c r="EB265" s="7">
        <v>0</v>
      </c>
      <c r="EC265" s="7">
        <v>0</v>
      </c>
      <c r="ED265" s="7">
        <v>0</v>
      </c>
      <c r="EE265" s="7">
        <v>0</v>
      </c>
      <c r="EF265" s="7">
        <v>0</v>
      </c>
      <c r="EG265" s="7">
        <v>0</v>
      </c>
      <c r="EH265" s="7">
        <v>1.4276286614935869E-2</v>
      </c>
      <c r="EI265" s="7">
        <v>4.0643977311468987E-2</v>
      </c>
      <c r="EJ265" s="7">
        <v>0.30743454679641208</v>
      </c>
      <c r="EK265" s="7">
        <v>0.5264973628792744</v>
      </c>
      <c r="EL265" s="7">
        <v>0.11114782639790829</v>
      </c>
      <c r="EM265" s="7">
        <v>6.1189644436109858E-2</v>
      </c>
      <c r="EN265" s="7">
        <v>6.4359026581048126E-2</v>
      </c>
      <c r="EO265" s="7">
        <v>0.72182709784259125</v>
      </c>
      <c r="EP265" s="7">
        <v>9.2896102686558998E-2</v>
      </c>
      <c r="EQ265" s="7">
        <v>7.9197734524600397E-2</v>
      </c>
      <c r="ER265" s="7">
        <v>4.1720038365201162E-2</v>
      </c>
      <c r="ES265" s="7">
        <v>0.13396116854843393</v>
      </c>
      <c r="ET265" s="7">
        <v>0.19515081298454368</v>
      </c>
      <c r="EU265" s="6">
        <v>1794</v>
      </c>
      <c r="EV265" s="6">
        <v>0</v>
      </c>
      <c r="EW265" s="6">
        <v>1794</v>
      </c>
      <c r="EX265" s="6">
        <v>0</v>
      </c>
      <c r="EY265" s="6">
        <v>2554.05018096087</v>
      </c>
      <c r="EZ265" s="6">
        <v>586</v>
      </c>
      <c r="FA265" s="6">
        <v>0</v>
      </c>
      <c r="FB265" s="6">
        <v>0</v>
      </c>
      <c r="FC265" s="6">
        <v>0</v>
      </c>
      <c r="FD265" s="6">
        <v>0</v>
      </c>
      <c r="FE265" s="6">
        <v>0</v>
      </c>
      <c r="FF265" s="6">
        <v>0</v>
      </c>
      <c r="FG265" s="6">
        <v>0</v>
      </c>
      <c r="FH265" s="6">
        <v>1173.7332204619665</v>
      </c>
      <c r="FI265" s="6">
        <v>1553.9796069512397</v>
      </c>
      <c r="FJ265" s="6">
        <v>2101.2110117447414</v>
      </c>
      <c r="FK265" s="6">
        <v>1772.7139978623227</v>
      </c>
      <c r="FL265" s="6">
        <v>907.07682140966381</v>
      </c>
      <c r="FM265" s="6">
        <v>1760.05018096087</v>
      </c>
      <c r="FN265" s="6">
        <v>0</v>
      </c>
      <c r="FO265" s="6">
        <v>0</v>
      </c>
      <c r="FP265" s="6">
        <v>0</v>
      </c>
      <c r="FQ265" s="6">
        <v>0</v>
      </c>
      <c r="FR265" s="6">
        <v>0</v>
      </c>
      <c r="FS265" s="6">
        <v>0</v>
      </c>
      <c r="FT265" s="7">
        <v>0.80484918701545627</v>
      </c>
      <c r="FU265" s="7">
        <v>6.1189644436109858E-2</v>
      </c>
      <c r="FV265" s="7">
        <v>0.13396116854843393</v>
      </c>
      <c r="FW265" s="6">
        <v>1794.0000000000002</v>
      </c>
      <c r="FX265" s="6">
        <v>2554.05018096087</v>
      </c>
      <c r="FY265" s="6">
        <v>586</v>
      </c>
      <c r="FZ265" s="6">
        <v>1817.4615072224267</v>
      </c>
      <c r="GA265" s="6">
        <v>1678.6821087200885</v>
      </c>
      <c r="GB265" s="6">
        <v>18306.317891279912</v>
      </c>
      <c r="GC265" s="7">
        <v>1.804905384453976E-2</v>
      </c>
      <c r="GD265" s="7">
        <v>1.7987998579920068E-2</v>
      </c>
      <c r="GE265" s="7"/>
      <c r="GF265" s="7"/>
      <c r="GG265" s="7">
        <v>-3.3827404552932922E-3</v>
      </c>
      <c r="GH265" s="42">
        <v>0.48713331177824248</v>
      </c>
      <c r="GI265" s="6">
        <v>42704.412677311862</v>
      </c>
      <c r="GJ265" s="14">
        <v>0.50394797582841744</v>
      </c>
      <c r="GK265" s="14">
        <v>0.50887573065309744</v>
      </c>
      <c r="GL265" s="14">
        <v>0.49605202417158262</v>
      </c>
      <c r="GM265" s="14">
        <v>0.49112426934690262</v>
      </c>
      <c r="GO265" s="5">
        <v>343.14810671672558</v>
      </c>
      <c r="GP265" s="5">
        <v>308.92200917413498</v>
      </c>
      <c r="GQ265" s="5">
        <v>535.04305713031317</v>
      </c>
      <c r="GR265" s="5">
        <v>410.15490233172511</v>
      </c>
      <c r="GS265" s="5">
        <v>339.42744393800166</v>
      </c>
      <c r="GT265" s="5">
        <v>293.4407446948278</v>
      </c>
      <c r="GU265" s="5">
        <v>258.04012322764959</v>
      </c>
      <c r="GV265" s="39" t="s">
        <v>392</v>
      </c>
      <c r="GW265" s="5">
        <v>477.56944444444446</v>
      </c>
      <c r="GX265" s="5">
        <v>358.17708333333331</v>
      </c>
      <c r="GY265" s="5">
        <v>286.54166666666669</v>
      </c>
      <c r="GZ265" s="5">
        <v>252.84278292684692</v>
      </c>
      <c r="HA265" s="5">
        <v>234.21038543079382</v>
      </c>
      <c r="HB265" s="39">
        <v>268.62150064035876</v>
      </c>
      <c r="HC265" s="5">
        <v>261.64687500000002</v>
      </c>
      <c r="HD265" s="5">
        <v>222.30677997076018</v>
      </c>
      <c r="HE265" s="5">
        <v>224.71639254385963</v>
      </c>
      <c r="HF265" s="5">
        <v>207.35750548245613</v>
      </c>
      <c r="HG265" s="5">
        <v>199.39971491228067</v>
      </c>
      <c r="HH265" s="39">
        <v>222.92288150413941</v>
      </c>
      <c r="HI265" s="16"/>
      <c r="HJ265" s="19" t="str">
        <f t="shared" ref="HJ265" si="774">HJ264</f>
        <v>On</v>
      </c>
      <c r="HK265" s="1" t="str">
        <f t="shared" si="761"/>
        <v>On</v>
      </c>
      <c r="HL265" s="16"/>
      <c r="HM265" s="639">
        <f t="shared" ref="HM265:HM283" si="775">VLOOKUP($C265*1000+1,$A:$HH,FT$92,FALSE)*$JF265</f>
        <v>1.2768706344444866E-2</v>
      </c>
      <c r="HN265" s="639">
        <f t="shared" ref="HN265:HN283" si="776">VLOOKUP($C265*1000+1,$A:$HH,FU$92,FALSE)*$JF265</f>
        <v>9.795534288915453E-4</v>
      </c>
      <c r="HO265" s="639">
        <f t="shared" ref="HO265:HO283" si="777">VLOOKUP($C265*1000+1,$A:$HH,FV$92,FALSE)*$JF265</f>
        <v>3.3583061774515237E-3</v>
      </c>
      <c r="HP265" s="644">
        <f>(FT265*$GD265-HM265)/$JF265*INDEX(Input!$1:$1048576,$JG$93,$C265*2+6)</f>
        <v>124.17379262963145</v>
      </c>
      <c r="HQ265" s="644">
        <f>(FU265*$GD265-HN265)/$JF265*INDEX(Input!$1:$1048576,$JG$93,$C265*2+6)</f>
        <v>8.8012626373158191</v>
      </c>
      <c r="HR265" s="644">
        <f>(FV265*$GD265-HO265)/$JF265*INDEX(Input!$1:$1048576,$JG$93,$C265*2+6)</f>
        <v>-68.928258197148594</v>
      </c>
      <c r="HS265" s="644">
        <f t="shared" si="767"/>
        <v>-34.359379501617617</v>
      </c>
      <c r="HT265" s="644">
        <f t="shared" ref="HT265:HT274" si="778">IF(AND(HJ265="On",HK265="On"),IM265/1000*INDEX(KG:KG,MATCH(C265*1000+4,$KF:$KF,0))*SUM(HY265:IA265)*1.1
+INDEX(HR:HR,MATCH(C265*1000+3,$KF:$KF,0))/INDEX(IL:IL,MATCH(C265*1000+3,$KF:$KF,0))*IL265*20%,0)</f>
        <v>36.29063910524048</v>
      </c>
      <c r="HU265" s="644">
        <f t="shared" ref="HU265:HU283" si="779">IF(HJ265="On",IN265/1000*INDEX(KG:KG,MATCH(C265*1000+5,$KF:$KF,0))*SUM(HY265:IA265)*1.1
-INDEX(HR:HR,MATCH(C265*1000+3,$KF:$KF,0))/INDEX(IL:IL,MATCH(C265*1000+3,$KF:$KF,0))*IL265*20%
-INDEX(HR:HR,MATCH(C265*1000+4,$KF:$KF,0))/INDEX(IM:IM,MATCH(C265*1000+4,$KF:$KF,0))*IM265*20%,0)</f>
        <v>1.9449970234110743</v>
      </c>
      <c r="HV265" s="648">
        <f t="shared" ref="HV265:HV283" si="780">IL265/1000*0+IM265/1000*0+IN265/1000*0
+(CP265-INDEX(CP:CP,MATCH(C265*1000+1,A:A,0)))/1000*0+IF(FU265&gt;0,0,0)</f>
        <v>0</v>
      </c>
      <c r="HW265" s="648">
        <f t="shared" ref="HW265:HW283" si="781">IL265/1000*0+IM265/1000*0+IN265/1000*0
+(CP265-INDEX(CP:CP,MATCH(C265*1000+1,A:A,0)))/1000*0+IF(FU265&gt;0,0,0)</f>
        <v>0</v>
      </c>
      <c r="HX265" s="648">
        <f t="shared" ref="HX265:HX283" si="782">IL265/1000*0+IM265/1000*0+IN265/1000*0
+(CP265-INDEX(CP:CP,MATCH(C265*1000+1,A:A,0)))/1000*0+IF(FU265&gt;0,0,0)</f>
        <v>0</v>
      </c>
      <c r="HY265" s="644">
        <f>INDEX(Input!$1:$1048576,HY$93,$C265*2+6)*INDEX(Input!$1:$1048576,$JG$93,$C265*2+6)</f>
        <v>451</v>
      </c>
      <c r="HZ265" s="644">
        <f>INDEX(Input!$1:$1048576,HZ$93,$C265*2+6)*INDEX(Input!$1:$1048576,$JG$93,$C265*2+6)</f>
        <v>577</v>
      </c>
      <c r="IA265" s="644">
        <f>INDEX(Input!$1:$1048576,IA$93,$C265*2+6)*INDEX(Input!$1:$1048576,$JG$93,$C265*2+6)</f>
        <v>215</v>
      </c>
      <c r="IB265" s="644">
        <f t="shared" si="666"/>
        <v>540.81441312801371</v>
      </c>
      <c r="IC265" s="644">
        <f t="shared" si="667"/>
        <v>622.09190174255639</v>
      </c>
      <c r="ID265" s="644">
        <f>IF(AND(INDEX(Input!$1:$1048576,IA$93,$C265*2+7)="TOS",Y265&lt;=INDEX(Y:Y,MATCH(C265*1000+2,A:A))),0,1)*MAX(IA265+HR265+HU265+HX265,0%)</f>
        <v>148.0167388262625</v>
      </c>
      <c r="IE265" s="128">
        <f t="shared" si="768"/>
        <v>0.4125447421211374</v>
      </c>
      <c r="IF265" s="128">
        <f t="shared" ref="IF265:IF274" si="783">IC265/SUM($IB265:$ID265)</f>
        <v>0.47454493990951124</v>
      </c>
      <c r="IG265" s="128">
        <f t="shared" ref="IG265:IG274" si="784">ID265/SUM($IB265:$ID265)</f>
        <v>0.11291031796935141</v>
      </c>
      <c r="IH265" s="21"/>
      <c r="II265" s="19">
        <f t="shared" ref="II265:II283" si="785">VLOOKUP($C265*1000+1,$A:$HH,FW$92,FALSE)-VLOOKUP($C265*1000+1,$A:$HH,FA$92,FALSE)*VLOOKUP($C265*1000+1,$A:$HH,DZ$92,FALSE)/VLOOKUP($C265*1000+1,$A:$HH,FT$92,FALSE)</f>
        <v>1252</v>
      </c>
      <c r="IJ265" s="19">
        <f t="shared" ref="IJ265:IJ283" si="786">VLOOKUP($C265*1000+1,$A:$HH,FX$92,FALSE)</f>
        <v>2011.9658773055378</v>
      </c>
      <c r="IK265" s="19">
        <f t="shared" ref="IK265:IK283" si="787">VLOOKUP($C265*1000+1,$A:$HH,FY$92,FALSE)</f>
        <v>919</v>
      </c>
      <c r="IL265" s="19">
        <f t="shared" si="669"/>
        <v>542.00000000000023</v>
      </c>
      <c r="IM265" s="19">
        <f t="shared" ref="IM265:IM283" si="788">FX265-IJ265</f>
        <v>542.08430365533218</v>
      </c>
      <c r="IN265" s="19">
        <f t="shared" ref="IN265:IN283" si="789">FY265-IK265</f>
        <v>-333</v>
      </c>
      <c r="IO265" s="39">
        <f t="shared" ref="IO265:IO283" si="790">(F265-VLOOKUP($C265*1000+1,$A:$HH,F$92,FALSE))*(1-$I265)</f>
        <v>0</v>
      </c>
      <c r="IP265" s="39">
        <f t="shared" ref="IP265:IP283" si="791">(G265-VLOOKUP($C265*1000+1,$A:$HH,G$92,FALSE))*(1-$I265)</f>
        <v>0</v>
      </c>
      <c r="IQ265" s="39">
        <f t="shared" ref="IQ265:IQ283" si="792">(H265-VLOOKUP($C265*1000+1,$A:$HH,H$92,FALSE))*(1-$I265)</f>
        <v>0</v>
      </c>
      <c r="IR265" s="39">
        <v>0</v>
      </c>
      <c r="IS265" s="39">
        <v>0</v>
      </c>
      <c r="IT265" s="39">
        <v>0</v>
      </c>
      <c r="IU265" s="39">
        <v>0</v>
      </c>
      <c r="IV265" s="39">
        <v>0</v>
      </c>
      <c r="IW265" s="39">
        <v>0</v>
      </c>
      <c r="IX265" s="39">
        <f>INDEX(Input!$1:$1048576,IX$93,$C265*2+6)+INDEX(Input!$1:$1048576,IX$94,$C265*2+6)</f>
        <v>1294</v>
      </c>
      <c r="IY265" s="39">
        <f>INDEX(Input!$1:$1048576,IY$93,$C265*2+6)+INDEX(Input!$1:$1048576,IY$94,$C265*2+6)</f>
        <v>2154.0624533823611</v>
      </c>
      <c r="IZ265" s="39">
        <f>INDEX(Input!$1:$1048576,IZ$93,$C265*2+6)+INDEX(Input!$1:$1048576,IZ$94,$C265*2+6)</f>
        <v>3677.7164157747848</v>
      </c>
      <c r="JA265" s="19">
        <f t="shared" si="670"/>
        <v>1836.0000000000002</v>
      </c>
      <c r="JB265" s="19">
        <f t="shared" si="671"/>
        <v>2696.1467570376935</v>
      </c>
      <c r="JC265" s="19">
        <f t="shared" si="672"/>
        <v>3344.7164157747848</v>
      </c>
      <c r="JD265" s="19">
        <f t="shared" si="673"/>
        <v>2414.5279413625249</v>
      </c>
      <c r="JE265" s="21"/>
      <c r="JF265" s="1">
        <f t="shared" ref="JF265:JF283" si="793">VLOOKUP($C265*1000+1,$A:$HH,GD$92,FALSE)</f>
        <v>1.7106565950787935E-2</v>
      </c>
      <c r="JG265" s="15">
        <f>INDEX(Input!$1:$1048576,JG$93,$C265*2+6)/(1+VLOOKUP(C265*1000+INDEX(Input!$1:$1048576,JG$93+1,$C265*2+6),$A:$KK,$JK$92,FALSE))</f>
        <v>1243</v>
      </c>
      <c r="JH265" s="1">
        <f t="shared" si="674"/>
        <v>5.1525983161543581E-2</v>
      </c>
      <c r="JI265" s="1">
        <f t="shared" si="675"/>
        <v>3.1184687264955244E-3</v>
      </c>
      <c r="JJ265" s="1">
        <f t="shared" si="769"/>
        <v>0</v>
      </c>
      <c r="JK265" s="1">
        <f t="shared" si="770"/>
        <v>5.4644451888039104E-2</v>
      </c>
      <c r="JL265" s="15">
        <f t="shared" si="678"/>
        <v>67.923053696832611</v>
      </c>
      <c r="JM265" s="15">
        <f t="shared" si="702"/>
        <v>1310.9230536968325</v>
      </c>
      <c r="JN265" s="21"/>
      <c r="JO265" s="19">
        <f>INDEX(Input!$1:$1048576,JO$93,$C265*2+6)</f>
        <v>5995.5</v>
      </c>
      <c r="JP265" s="19">
        <f>INDEX(Input!$1:$1048576,JP$93,$C265*2+6)</f>
        <v>2105.548724853742</v>
      </c>
      <c r="JQ265" s="39">
        <f t="shared" si="688"/>
        <v>3580.9720586374751</v>
      </c>
      <c r="JR265" s="39">
        <f t="shared" si="705"/>
        <v>308.97921650878288</v>
      </c>
      <c r="JS265" s="39">
        <f t="shared" si="690"/>
        <v>3.1652603421272878</v>
      </c>
      <c r="JT265" s="39">
        <f t="shared" si="680"/>
        <v>0.54806327713408642</v>
      </c>
      <c r="JU265" s="385">
        <f>(JQ265*JM265-INDEX(Input!$1:$1048576,Input!A$18,$C265*2+6)*JL265*INDEX(Input!$1:$1048576,Input!A$19,$C265*2+6))/1000000</f>
        <v>4.6943788263120716</v>
      </c>
      <c r="JV265" s="39">
        <f t="shared" si="712"/>
        <v>-0.14083060869472686</v>
      </c>
      <c r="JW265" s="1">
        <f t="shared" si="703"/>
        <v>-2.912606177410159E-2</v>
      </c>
      <c r="JX265" s="19">
        <f t="shared" si="694"/>
        <v>8068.8845289599176</v>
      </c>
      <c r="JZ265" s="341"/>
      <c r="KA265" s="342"/>
      <c r="KB265" s="469">
        <f t="shared" si="691"/>
        <v>2.5660492421988774</v>
      </c>
      <c r="KI265" s="473">
        <f t="shared" si="771"/>
        <v>89.814413128013712</v>
      </c>
      <c r="KJ265" s="473">
        <f t="shared" si="772"/>
        <v>45.091901742556388</v>
      </c>
      <c r="KK265" s="473">
        <f t="shared" si="682"/>
        <v>-66.983261173737503</v>
      </c>
      <c r="KN265" s="544">
        <f t="shared" si="695"/>
        <v>2002</v>
      </c>
      <c r="KO265" s="541">
        <f t="shared" ref="KO265:KO283" si="794">JM265/INDEX(JM:JM,MATCH(KN265,A:A,0))-1</f>
        <v>4.8430754354179983E-2</v>
      </c>
      <c r="KP265" s="546">
        <f t="shared" ref="KP265:KP283" si="795">(IL265-INDEX(IL:IL,MATCH(KN265,A:A,0)))*IE265
+(IM265-IF(HN265=0,INDEX(IX:IX,MATCH(KN265,A:A,0)),INDEX(IM:IM,MATCH(KN265,A:A,0))))*IF265
+(IN265-INDEX(IN:IN,MATCH(KN265,A:A,0)))*IG265</f>
        <v>402.93659304253572</v>
      </c>
      <c r="KQ265" s="546">
        <f t="shared" ref="KQ265:KQ283" si="796">JD265-INDEX(JD:JD,MATCH(KN265,A:A,0))</f>
        <v>270.84760192905196</v>
      </c>
      <c r="KR265" s="548">
        <f t="shared" ref="KR265:KR283" si="797">KO265/(KP265/(BX265-INDEX(JD:JD,MATCH(KN265,A:A,0))))</f>
        <v>2.1444281426782319</v>
      </c>
      <c r="KS265" s="548">
        <f t="shared" ref="KS265:KS283" si="798">KO265/(KQ265/(BX265-INDEX(JD:JD,MATCH(KN265,A:A,0))))</f>
        <v>3.1902389523893238</v>
      </c>
      <c r="KT265" s="473">
        <f t="shared" si="693"/>
        <v>843.26993010479111</v>
      </c>
      <c r="KU265" s="663">
        <f t="shared" si="683"/>
        <v>4.5902389329468267</v>
      </c>
    </row>
    <row r="266" spans="1:308" s="26" customFormat="1" ht="15" outlineLevel="1">
      <c r="A266" s="561">
        <f t="shared" ref="A266:A300" si="799">C266*1000+B266</f>
        <v>2066</v>
      </c>
      <c r="B266" s="561">
        <f t="shared" si="684"/>
        <v>66</v>
      </c>
      <c r="C266" s="561">
        <f t="shared" si="760"/>
        <v>2</v>
      </c>
      <c r="D266" s="561" t="str">
        <f t="shared" si="728"/>
        <v xml:space="preserve">1000 CC, 1000 Combo, -360 Lease, </v>
      </c>
      <c r="E266" s="475">
        <f>INDEX(Input!$1:$1048576,E$93,$C266*2+MIN($B266,2)+5)
+INDEX(Scenarios!E$121:E$200,MATCH($B266,Scenarios!$B$121:$B$200,0))</f>
        <v>2269.7618664521319</v>
      </c>
      <c r="F266" s="475">
        <f>INDEX(Input!$1:$1048576,F$93,$C266*2+MIN($B266,2)+5)
+INDEX(Scenarios!F$121:F$200,MATCH($B266,Scenarios!$B$121:$B$200,0))</f>
        <v>0</v>
      </c>
      <c r="G266" s="475">
        <f>INDEX(Input!$1:$1048576,G$93,$C266*2+MIN($B266,2)+5)
+INDEX(Scenarios!G$121:G$200,MATCH($B266,Scenarios!$B$121:$B$200,0))</f>
        <v>0</v>
      </c>
      <c r="H266" s="475">
        <f>INDEX(Input!$1:$1048576,H$93,$C266*2+MIN($B266,2)+5)
+INDEX(Scenarios!H$121:H$200,MATCH($B266,Scenarios!$B$121:$B$200,0))</f>
        <v>0</v>
      </c>
      <c r="I266" s="476">
        <f>INDEX(Input!$1:$1048576,I$93,$C266*2+MIN($B266,2)+5)</f>
        <v>0.7</v>
      </c>
      <c r="J266" s="476" t="str">
        <f>INDEX(Input!$1:$1048576,J$93,$C266*2+MIN($B266,2)+5)</f>
        <v>Market</v>
      </c>
      <c r="K266" s="476" t="str">
        <f>INDEX(Input!$1:$1048576,K$93,$C266*2+MIN($B266,2)+5)</f>
        <v>Market</v>
      </c>
      <c r="L266" s="476" t="str">
        <f>INDEX(Input!$1:$1048576,L$93,$C266*2+MIN($B266,2)+5)</f>
        <v>Market</v>
      </c>
      <c r="M266" s="476" t="str">
        <f>INDEX(Input!$1:$1048576,M$93,$C266*2+MIN($B266,2)+5)</f>
        <v>Market</v>
      </c>
      <c r="N266" s="476" t="str">
        <f>INDEX(Input!$1:$1048576,N$93,$C266*2+MIN($B266,2)+5)</f>
        <v>Market</v>
      </c>
      <c r="O266" s="476" t="str">
        <f>INDEX(Input!$1:$1048576,O$93,$C266*2+MIN($B266,2)+5)</f>
        <v>Market</v>
      </c>
      <c r="P266" s="476" t="str">
        <f>INDEX(Input!$1:$1048576,P$93,$C266*2+MIN($B266,2)+5)</f>
        <v>N</v>
      </c>
      <c r="Q266" s="477">
        <f>INDEX(Input!$1:$1048576,Q$93,$C266*2+MIN($B266,2)+5)
+INDEX(Scenarios!Q$121:Q$200,MATCH($B266,Scenarios!$B$121:$B$200,0))</f>
        <v>1000</v>
      </c>
      <c r="R266" s="478">
        <f>IFERROR(MAX(0,INDEX(Input!$1:$1048576,R$93,$C266*2+MIN($B266,2)+5)
+INDEX(Scenarios!R$121:R$200,MATCH($B266,Scenarios!$B$121:$B$200,0)),),"Market")</f>
        <v>0</v>
      </c>
      <c r="S266" s="478">
        <f>IFERROR(MAX(0,INDEX(Input!$1:$1048576,S$93,$C266*2+MIN($B266,2)+5)
+INDEX(Scenarios!S$121:S$200,MATCH($B266,Scenarios!$B$121:$B$200,0)),),"Market")</f>
        <v>0</v>
      </c>
      <c r="T266" s="478">
        <f>IFERROR(MAX(0,INDEX(Input!$1:$1048576,T$93,$C266*2+MIN($B266,2)+5)
+INDEX(Scenarios!T$121:T$200,MATCH($B266,Scenarios!$B$121:$B$200,0)),),"Market")</f>
        <v>0</v>
      </c>
      <c r="U266" s="478">
        <f>IFERROR(MAX(0,INDEX(Input!$1:$1048576,U$93,$C266*2+MIN($B266,2)+5)
+INDEX(Scenarios!U$121:U$200,MATCH($B266,Scenarios!$B$121:$B$200,0)),),"Market")</f>
        <v>0</v>
      </c>
      <c r="V266" s="478">
        <f>IFERROR(MAX(0,INDEX(Input!$1:$1048576,V$93,$C266*2+MIN($B266,2)+5)
+INDEX(Scenarios!V$121:V$200,MATCH($B266,Scenarios!$B$121:$B$200,0)),),"Market")</f>
        <v>1.9E-2</v>
      </c>
      <c r="W266" s="885">
        <f>IFERROR(MAX(0,INDEX(Input!$1:$1048576,W$93,$C266*2+MIN($B266,2)+5)-0%,),"Market")</f>
        <v>3.9E-2</v>
      </c>
      <c r="X266" s="476" t="str">
        <f>INDEX(Input!$1:$1048576,X$93,$C266*2+MIN($B266,2)+5)</f>
        <v>Y</v>
      </c>
      <c r="Y266" s="475">
        <f>INDEX(Input!$1:$1048576,Y$93,$C266*2+MIN($B266,2)+5)
++INDEX(Scenarios!Y$121:Y$200,MATCH($B266,Scenarios!$B$121:$B$200,0))</f>
        <v>-304</v>
      </c>
      <c r="Z266" s="477">
        <f>INDEX(Input!$1:$1048576,Z$93,$C266*2+MIN($B266,2)+5)
+INDEX(Scenarios!Z$121:Z$200,MATCH($B266,Scenarios!$B$121:$B$200,0))</f>
        <v>0</v>
      </c>
      <c r="AA266" s="475">
        <f>INDEX(Input!$1:$1048576,AA$93,$C266*2+MIN($B266,2)+5)
+INDEX(Scenarios!AA$121:AA$200,MATCH($B266,Scenarios!$B$121:$B$200,0))</f>
        <v>0</v>
      </c>
      <c r="AB266" s="476">
        <f>INDEX(Input!$1:$1048576,AB$93,$C266*2+MIN($B266,2)+5)</f>
        <v>0.27</v>
      </c>
      <c r="AC266" s="475">
        <f>INDEX(Input!$1:$1048576,AC$93,$C266*2+MIN($B266,2)+5)
+INDEX(Scenarios!AC$121:AC$200,MATCH($B266,Scenarios!$B$121:$B$200,0))</f>
        <v>0</v>
      </c>
      <c r="AD266" s="476">
        <f>INDEX(Input!$1:$1048576,AD$93,$C266*2+MIN($B266,2)+5)</f>
        <v>0.27</v>
      </c>
      <c r="AE266" s="475">
        <f>INDEX(Input!$1:$1048576,AE$93,$C266*2+MIN($B266,2)+5)
+INDEX(Scenarios!AE$121:AE$200,MATCH($B266,Scenarios!$B$121:$B$200,0))</f>
        <v>0</v>
      </c>
      <c r="AF266" s="476">
        <f>INDEX(Input!$1:$1048576,AF$93,$C266*2+MIN($B266,2)+5)</f>
        <v>4.8000000000000001E-2</v>
      </c>
      <c r="AG266" s="475">
        <f>INDEX(Input!$1:$1048576,AG$93,$C266*2+MIN($B266,2)+5)
+INDEX(Scenarios!AG$121:AG$200,MATCH($B266,Scenarios!$B$121:$B$200,0))</f>
        <v>500</v>
      </c>
      <c r="AH266" s="476">
        <f>INDEX(Input!$1:$1048576,AH$93,$C266*2+MIN($B266,2)+5)</f>
        <v>0.94599999999999995</v>
      </c>
      <c r="AI266" s="475">
        <f>INDEX(Input!$1:$1048576,AI$93,$C266*2+MIN($B266,2)+5)
+INDEX(Scenarios!AI$121:AI$200,MATCH($B266,Scenarios!$B$121:$B$200,0))</f>
        <v>0</v>
      </c>
      <c r="AJ266" s="476">
        <f>INDEX(Input!$1:$1048576,AJ$93,$C266*2+MIN($B266,2)+5)</f>
        <v>0.27</v>
      </c>
      <c r="AK266" s="150">
        <f>ROUND(INDEX(Input!$1:$1048576,AK$93,$C265*2+MIN($B266,1)+5)+(Y266-VLOOKUP($C266*1000+1,$A:$HH,Y$92,FALSE)),0)</f>
        <v>2617</v>
      </c>
      <c r="AL266" s="150">
        <f>ROUND(INDEX(Input!$1:$1048576,AL$93,$C265*2+MIN($B266,1)+5)-(Y266-VLOOKUP($C266*1000+1,$A:$HH,Y$92,FALSE))/36,0)</f>
        <v>3405</v>
      </c>
      <c r="AM266" s="32" t="str">
        <f t="shared" ref="AM266:AM300" si="800">IF(K266="market","std",ROUND(K266*1000,0)/10)&amp;"/"&amp;IF(L266="market","std",ROUND(L266*1000,0)/10)&amp;"/"&amp;IF(M266="market","std",ROUND(M266*1000,0)/10)&amp;"/"&amp;IF(N266="market","std",ROUND(N266*1000,0)/10)&amp;IF(P266="N","","/"&amp;IF(O266="market","std",ROUND(O266*1000,0)/10))</f>
        <v>std/std/std/std</v>
      </c>
      <c r="AN266" s="32" t="str">
        <f t="shared" ref="AN266:AN300" si="801">"$"&amp;ROUND(Q266,0)&amp;" + "&amp;IF(S266="market","std",ROUND(S266*1000,0)/10)&amp;"/"&amp;IF(T266="market","std",ROUND(T266*1000,0)/10)&amp;"/"&amp;IF(U266="market","std",ROUND(U266*1000,0)/10)&amp;"/"&amp;IF(V266="market","std",ROUND(V266*1000,0)/10)&amp;IF(X266="N","","/"&amp;IF(W266="market","std",ROUND(W266*1000,0)/10))</f>
        <v>$1000 + 0/0/0/1.9/3.9</v>
      </c>
      <c r="AO266" s="32" t="str">
        <f t="shared" ref="AO266:AO300" si="802">IF(S266="market","std",ROUND(S266*1000,0)/10)&amp;"/"&amp;IF(T266="market","std",ROUND(T266*1000,0)/10)&amp;"/"&amp;IF(U266="market","std",ROUND(U266*1000,0)/10)&amp;"/"&amp;IF(V266="market","std",ROUND(V266*1000,0)/10)&amp;IF(X266="N","","/"&amp;IF(W266="market","std",ROUND(W266*1000,0)/10))</f>
        <v>0/0/0/1.9/3.9</v>
      </c>
      <c r="AP266" s="32" t="str">
        <f t="shared" si="734"/>
        <v>0/0.9/1.9/3.9</v>
      </c>
      <c r="AQ266" s="536">
        <f t="shared" si="733"/>
        <v>0.43424033070550999</v>
      </c>
      <c r="AR266" s="32"/>
      <c r="AS266" s="302"/>
      <c r="AT266" s="3">
        <f t="shared" si="717"/>
        <v>66</v>
      </c>
      <c r="AU266" s="41" t="s">
        <v>121</v>
      </c>
      <c r="AV266" s="41" t="s">
        <v>116</v>
      </c>
      <c r="AW266" s="41" t="str">
        <f>INDEX(Input!$1:$1048576,AW$93,$C266*2+6)</f>
        <v>Kia</v>
      </c>
      <c r="AX266" s="41" t="str">
        <f>INDEX(Input!$1:$1048576,AX$93,$C266*2+6)</f>
        <v>Kia-LR - L2</v>
      </c>
      <c r="AY266" s="41" t="str">
        <f>IF(LEN(D266)=0,"",INDEX(Input!$1:$1048576,AY$93,$C266*2+6))</f>
        <v>Compact SUV (52)</v>
      </c>
      <c r="AZ266" s="41" t="str">
        <f>INDEX(Input!$1:$1048576,AZ$93,$C266*2+6)</f>
        <v>Kia Soul</v>
      </c>
      <c r="BA266" s="3">
        <f>INDEX(Input!$1:$1048576,BA$93,$C266*2+6)</f>
        <v>2020</v>
      </c>
      <c r="BB266" s="128">
        <f>INDEX(Input!$1:$1048576,BB$93,$C266*2+6)</f>
        <v>1</v>
      </c>
      <c r="BC266" s="128">
        <f>INDEX(Input!$1:$1048576,BC$93,$C266*2+6)</f>
        <v>0.7</v>
      </c>
      <c r="BD266" s="1">
        <f>INDEX(Input!$1:$1048576,BD$93,$C266*2+6)</f>
        <v>4.4999999999999998E-2</v>
      </c>
      <c r="BE266" s="1">
        <f>INDEX(Input!$1:$1048576,BE$93,$C266*2+6)</f>
        <v>4.4999999999999998E-2</v>
      </c>
      <c r="BF266" s="1">
        <f>INDEX(Input!$1:$1048576,BF$93,$C266*2+6)</f>
        <v>0.05</v>
      </c>
      <c r="BG266" s="1">
        <f>INDEX(Input!$1:$1048576,BG$93,$C266*2+6)</f>
        <v>5.45E-2</v>
      </c>
      <c r="BH266" s="1">
        <f>INDEX(Input!$1:$1048576,BH$93,$C266*2+6)</f>
        <v>5.45E-2</v>
      </c>
      <c r="BI266" s="1">
        <f>INDEX(Input!$1:$1048576,BI$93,$C266*2+6)</f>
        <v>0.05</v>
      </c>
      <c r="BJ266" s="1">
        <f>INDEX(Input!$1:$1048576,BJ$93,$C266*2+6)</f>
        <v>0.05</v>
      </c>
      <c r="BK266" s="1">
        <f>INDEX(Input!$1:$1048576,BK$93,$C266*2+6)</f>
        <v>0.05</v>
      </c>
      <c r="BL266" s="1">
        <f>INDEX(Input!$1:$1048576,BL$93,$C266*2+6)</f>
        <v>5.5E-2</v>
      </c>
      <c r="BM266" s="1">
        <f>INDEX(Input!$1:$1048576,BM$93,$C266*2+6)</f>
        <v>0.06</v>
      </c>
      <c r="BN266" s="1">
        <f>INDEX(Input!$1:$1048576,BN$93,$C266*2+6)</f>
        <v>4.4999999999999998E-2</v>
      </c>
      <c r="BO266" s="1">
        <f>INDEX(Input!$1:$1048576,BO$93,$C266*2+6)</f>
        <v>4.4999999999999998E-2</v>
      </c>
      <c r="BP266" s="1">
        <f>INDEX(Input!$1:$1048576,BP$93,$C266*2+6)</f>
        <v>0.05</v>
      </c>
      <c r="BQ266" s="1">
        <f>INDEX(Input!$1:$1048576,BQ$93,$C266*2+6)</f>
        <v>5.45E-2</v>
      </c>
      <c r="BR266" s="1">
        <f>INDEX(Input!$1:$1048576,BR$93,$C266*2+6)</f>
        <v>5.45E-2</v>
      </c>
      <c r="BS266" s="1">
        <f>INDEX(Input!$1:$1048576,BS$93,$C266*2+6)</f>
        <v>0.05</v>
      </c>
      <c r="BT266" s="1">
        <f>INDEX(Input!$1:$1048576,BT$93,$C266*2+6)</f>
        <v>0.05</v>
      </c>
      <c r="BU266" s="1">
        <f>INDEX(Input!$1:$1048576,BU$93,$C266*2+6)</f>
        <v>0.05</v>
      </c>
      <c r="BV266" s="1">
        <f>INDEX(Input!$1:$1048576,BV$93,$C266*2+6)</f>
        <v>5.5E-2</v>
      </c>
      <c r="BW266" s="1">
        <f>INDEX(Input!$1:$1048576,BW$93,$C266*2+6)</f>
        <v>0.06</v>
      </c>
      <c r="BX266" s="127">
        <f>INDEX(Input!$1:$1048576,BX$93,$C266*2+6)</f>
        <v>19985</v>
      </c>
      <c r="BY266" s="20">
        <f>INDEX(Input!$1:$1048576,BY$93,$C266*2+6)</f>
        <v>0.1</v>
      </c>
      <c r="BZ266" s="20">
        <f>INDEX(Input!$1:$1048576,BZ$93,$C266*2+6)</f>
        <v>0.1</v>
      </c>
      <c r="CA266" s="20">
        <f>INDEX(Input!$1:$1048576,CA$93,$C266*2+6)</f>
        <v>0.1</v>
      </c>
      <c r="CB266" s="20">
        <f>INDEX(Input!$1:$1048576,CB$93,$C266*2+6)</f>
        <v>0.1</v>
      </c>
      <c r="CC266" s="20">
        <f>INDEX(Input!$1:$1048576,CC$93,$C266*2+6)</f>
        <v>0.1</v>
      </c>
      <c r="CD266" s="384">
        <f>INDEX(Input!$1:$1048576,CD$93,$C266*2+6)</f>
        <v>0.1</v>
      </c>
      <c r="CE266" s="384">
        <f>INDEX(Input!$1:$1048576,CE$93,$C266*2+6)</f>
        <v>0.1</v>
      </c>
      <c r="CF266" s="384">
        <f>INDEX(Input!$1:$1048576,CF$93,$C266*2+6)</f>
        <v>0.1</v>
      </c>
      <c r="CG266" s="384">
        <f>INDEX(Input!$1:$1048576,CG$93,$C266*2+6)</f>
        <v>0.1</v>
      </c>
      <c r="CH266" s="384">
        <f>INDEX(Input!$1:$1048576,CH$93,$C266*2+6)</f>
        <v>0.1</v>
      </c>
      <c r="CI266" s="304">
        <f t="shared" si="735"/>
        <v>2269.7618664521319</v>
      </c>
      <c r="CJ266" s="16" t="str">
        <f>INDEX(Input!$1:$1048576,CJ$93,$C266*2+6)</f>
        <v>N</v>
      </c>
      <c r="CK266" s="1" t="str">
        <f t="shared" si="736"/>
        <v>Market</v>
      </c>
      <c r="CL266" s="1" t="str">
        <f t="shared" si="737"/>
        <v>Market</v>
      </c>
      <c r="CM266" s="1" t="str">
        <f t="shared" si="738"/>
        <v>Market</v>
      </c>
      <c r="CN266" s="1" t="str">
        <f t="shared" si="739"/>
        <v>Market</v>
      </c>
      <c r="CO266" s="1" t="str">
        <f t="shared" si="740"/>
        <v>Market</v>
      </c>
      <c r="CP266" s="304">
        <f t="shared" si="741"/>
        <v>1473</v>
      </c>
      <c r="CQ266" s="1">
        <f t="shared" si="742"/>
        <v>0</v>
      </c>
      <c r="CR266" s="1">
        <f t="shared" si="743"/>
        <v>0</v>
      </c>
      <c r="CS266" s="1">
        <f t="shared" si="744"/>
        <v>0</v>
      </c>
      <c r="CT266" s="1">
        <f t="shared" si="745"/>
        <v>1.9E-2</v>
      </c>
      <c r="CU266" s="1">
        <f t="shared" si="746"/>
        <v>3.9E-2</v>
      </c>
      <c r="CV266" s="304">
        <f t="shared" si="747"/>
        <v>-304</v>
      </c>
      <c r="CW266" s="20" t="s">
        <v>122</v>
      </c>
      <c r="CX266" s="20" t="s">
        <v>122</v>
      </c>
      <c r="CY266" s="20" t="s">
        <v>122</v>
      </c>
      <c r="CZ266" s="20" t="s">
        <v>122</v>
      </c>
      <c r="DA266" s="20" t="s">
        <v>122</v>
      </c>
      <c r="DB266" s="503">
        <f t="shared" si="748"/>
        <v>0</v>
      </c>
      <c r="DC266" s="127">
        <v>0</v>
      </c>
      <c r="DD266" s="127">
        <v>0</v>
      </c>
      <c r="DE266" s="127">
        <v>0</v>
      </c>
      <c r="DF266" s="127">
        <v>0</v>
      </c>
      <c r="DG266" s="127">
        <v>0</v>
      </c>
      <c r="DH266" s="127">
        <v>0</v>
      </c>
      <c r="DI266" s="127">
        <v>0</v>
      </c>
      <c r="DJ266" s="127">
        <v>0</v>
      </c>
      <c r="DK266" s="127">
        <v>0</v>
      </c>
      <c r="DL266" s="127">
        <v>0</v>
      </c>
      <c r="DM266" s="304">
        <f>INDEX(Input!$1:$1048576,DM$93,$C266*2+6)</f>
        <v>21036.84210526316</v>
      </c>
      <c r="DN266" s="20">
        <v>0</v>
      </c>
      <c r="DO266" s="20">
        <v>0</v>
      </c>
      <c r="DP266" s="20">
        <v>0</v>
      </c>
      <c r="DQ266" s="20">
        <v>0</v>
      </c>
      <c r="DR266" s="20">
        <v>0</v>
      </c>
      <c r="DS266" s="20">
        <f>INDEX(Input!$1:$1048576,DS$93,$C266*2+6)</f>
        <v>0.6</v>
      </c>
      <c r="DT266" s="20">
        <f>INDEX(Input!$1:$1048576,DT$93,$C266*2+6)</f>
        <v>0.55000000000000004</v>
      </c>
      <c r="DU266" s="20">
        <f>INDEX(Input!$1:$1048576,DU$93,$C266*2+6)</f>
        <v>0.52</v>
      </c>
      <c r="DV266" s="20">
        <f>INDEX(Input!$1:$1048576,DV$93,$C266*2+6)</f>
        <v>0.5</v>
      </c>
      <c r="DW266" s="20">
        <f>INDEX(Input!$1:$1048576,DW$93,$C266*2+6)</f>
        <v>0.45</v>
      </c>
      <c r="DX266" s="20"/>
      <c r="DY266" s="7">
        <v>0.11579003003143215</v>
      </c>
      <c r="DZ266" s="7">
        <v>0</v>
      </c>
      <c r="EA266" s="7">
        <v>0.71578376721964443</v>
      </c>
      <c r="EB266" s="7">
        <v>0</v>
      </c>
      <c r="EC266" s="7">
        <v>0</v>
      </c>
      <c r="ED266" s="7">
        <v>0</v>
      </c>
      <c r="EE266" s="7">
        <v>0</v>
      </c>
      <c r="EF266" s="7">
        <v>0</v>
      </c>
      <c r="EG266" s="7">
        <v>0</v>
      </c>
      <c r="EH266" s="7">
        <v>1.4282116229618065E-2</v>
      </c>
      <c r="EI266" s="7">
        <v>4.0664803149410803E-2</v>
      </c>
      <c r="EJ266" s="7">
        <v>0.30751474623191133</v>
      </c>
      <c r="EK266" s="7">
        <v>0.52640507206172027</v>
      </c>
      <c r="EL266" s="7">
        <v>0.11113326232733943</v>
      </c>
      <c r="EM266" s="7">
        <v>6.2655357121961935E-2</v>
      </c>
      <c r="EN266" s="7">
        <v>6.4350153634659818E-2</v>
      </c>
      <c r="EO266" s="7">
        <v>0.72181209543434832</v>
      </c>
      <c r="EP266" s="7">
        <v>9.2917768088539715E-2</v>
      </c>
      <c r="EQ266" s="7">
        <v>7.9194375189283614E-2</v>
      </c>
      <c r="ER266" s="7">
        <v>4.1725607653168822E-2</v>
      </c>
      <c r="ES266" s="7">
        <v>0.10577084562696151</v>
      </c>
      <c r="ET266" s="7">
        <v>0.16842620274892339</v>
      </c>
      <c r="EU266" s="6">
        <v>2294</v>
      </c>
      <c r="EV266" s="6">
        <v>0</v>
      </c>
      <c r="EW266" s="6">
        <v>2294</v>
      </c>
      <c r="EX266" s="6">
        <v>0</v>
      </c>
      <c r="EY266" s="6">
        <v>3054.0811006591211</v>
      </c>
      <c r="EZ266" s="6">
        <v>586</v>
      </c>
      <c r="FA266" s="6">
        <v>0</v>
      </c>
      <c r="FB266" s="6">
        <v>0</v>
      </c>
      <c r="FC266" s="6">
        <v>0</v>
      </c>
      <c r="FD266" s="6">
        <v>0</v>
      </c>
      <c r="FE266" s="6">
        <v>0</v>
      </c>
      <c r="FF266" s="6">
        <v>0</v>
      </c>
      <c r="FG266" s="6">
        <v>0</v>
      </c>
      <c r="FH266" s="6">
        <v>1173.7342270607708</v>
      </c>
      <c r="FI266" s="6">
        <v>1553.9796069512413</v>
      </c>
      <c r="FJ266" s="6">
        <v>2101.211011744741</v>
      </c>
      <c r="FK266" s="6">
        <v>1772.7139978623225</v>
      </c>
      <c r="FL266" s="6">
        <v>907.07682140966392</v>
      </c>
      <c r="FM266" s="6">
        <v>1760.0811006591209</v>
      </c>
      <c r="FN266" s="6">
        <v>0</v>
      </c>
      <c r="FO266" s="6">
        <v>0</v>
      </c>
      <c r="FP266" s="6">
        <v>0</v>
      </c>
      <c r="FQ266" s="6">
        <v>0</v>
      </c>
      <c r="FR266" s="6">
        <v>0</v>
      </c>
      <c r="FS266" s="6">
        <v>0</v>
      </c>
      <c r="FT266" s="7">
        <v>0.83157379725107661</v>
      </c>
      <c r="FU266" s="7">
        <v>6.2655357121961935E-2</v>
      </c>
      <c r="FV266" s="7">
        <v>0.10577084562696151</v>
      </c>
      <c r="FW266" s="6">
        <v>2294</v>
      </c>
      <c r="FX266" s="6">
        <v>3054.0811006591211</v>
      </c>
      <c r="FY266" s="6">
        <v>586</v>
      </c>
      <c r="FZ266" s="6">
        <v>1817.4615072224267</v>
      </c>
      <c r="GA266" s="6">
        <v>2160.9665484726011</v>
      </c>
      <c r="GB266" s="6">
        <v>17824.033451527401</v>
      </c>
      <c r="GC266" s="7">
        <v>1.804905384453976E-2</v>
      </c>
      <c r="GD266" s="7">
        <v>1.9004317655789291E-2</v>
      </c>
      <c r="GE266" s="7"/>
      <c r="GF266" s="7"/>
      <c r="GG266" s="7">
        <v>5.2925977144143724E-2</v>
      </c>
      <c r="GH266" s="42">
        <v>3.0792143526515869</v>
      </c>
      <c r="GI266" s="6">
        <v>8651.2584577677244</v>
      </c>
      <c r="GJ266" s="14">
        <v>0.50394797582841722</v>
      </c>
      <c r="GK266" s="14">
        <v>0.50887573065309721</v>
      </c>
      <c r="GL266" s="14">
        <v>0.49605202417158295</v>
      </c>
      <c r="GM266" s="14">
        <v>0.49112426934690251</v>
      </c>
      <c r="GO266" s="5">
        <v>343.14810671672558</v>
      </c>
      <c r="GP266" s="5">
        <v>299.3829630362892</v>
      </c>
      <c r="GQ266" s="5">
        <v>535.04305713031317</v>
      </c>
      <c r="GR266" s="5">
        <v>410.15490233172511</v>
      </c>
      <c r="GS266" s="5">
        <v>339.42744393800166</v>
      </c>
      <c r="GT266" s="5">
        <v>293.4407446948278</v>
      </c>
      <c r="GU266" s="5">
        <v>258.04012322764959</v>
      </c>
      <c r="GV266" s="39" t="s">
        <v>392</v>
      </c>
      <c r="GW266" s="5">
        <v>463.68055555555554</v>
      </c>
      <c r="GX266" s="5">
        <v>347.76041666666669</v>
      </c>
      <c r="GY266" s="5">
        <v>278.20833333333331</v>
      </c>
      <c r="GZ266" s="5">
        <v>245.48949565254571</v>
      </c>
      <c r="HA266" s="5">
        <v>227.39897390161556</v>
      </c>
      <c r="HB266" s="39">
        <v>260.81561896831812</v>
      </c>
      <c r="HC266" s="5">
        <v>261.64687500000002</v>
      </c>
      <c r="HD266" s="5">
        <v>222.30677997076018</v>
      </c>
      <c r="HE266" s="5">
        <v>224.71639254385963</v>
      </c>
      <c r="HF266" s="5">
        <v>207.35750548245613</v>
      </c>
      <c r="HG266" s="5">
        <v>199.39971491228067</v>
      </c>
      <c r="HH266" s="39">
        <v>222.92250729039438</v>
      </c>
      <c r="HI266" s="16"/>
      <c r="HJ266" s="19" t="str">
        <f t="shared" ref="HJ266" si="803">HJ265</f>
        <v>On</v>
      </c>
      <c r="HK266" s="1" t="str">
        <f t="shared" si="761"/>
        <v>On</v>
      </c>
      <c r="HL266" s="16"/>
      <c r="HM266" s="639">
        <f t="shared" si="775"/>
        <v>1.2768706344444866E-2</v>
      </c>
      <c r="HN266" s="639">
        <f t="shared" si="776"/>
        <v>9.795534288915453E-4</v>
      </c>
      <c r="HO266" s="639">
        <f t="shared" si="777"/>
        <v>3.3583061774515237E-3</v>
      </c>
      <c r="HP266" s="644">
        <f>(FT266*$GD266-HM266)/$JF266*INDEX(Input!$1:$1048576,$JG$93,$C266*2+6)</f>
        <v>220.51411855626827</v>
      </c>
      <c r="HQ266" s="644">
        <f>(FU266*$GD266-HN266)/$JF266*INDEX(Input!$1:$1048576,$JG$93,$C266*2+6)</f>
        <v>15.343986598724451</v>
      </c>
      <c r="HR266" s="644">
        <f>(FV266*$GD266-HO266)/$JF266*INDEX(Input!$1:$1048576,$JG$93,$C266*2+6)</f>
        <v>-97.963370694390221</v>
      </c>
      <c r="HS266" s="644">
        <f t="shared" si="767"/>
        <v>-66.056172474704354</v>
      </c>
      <c r="HT266" s="644">
        <f t="shared" si="778"/>
        <v>69.765278054276379</v>
      </c>
      <c r="HU266" s="644">
        <f t="shared" si="779"/>
        <v>9.6884521978053808</v>
      </c>
      <c r="HV266" s="648">
        <f t="shared" si="780"/>
        <v>0</v>
      </c>
      <c r="HW266" s="648">
        <f t="shared" si="781"/>
        <v>0</v>
      </c>
      <c r="HX266" s="648">
        <f t="shared" si="782"/>
        <v>0</v>
      </c>
      <c r="HY266" s="644">
        <f>INDEX(Input!$1:$1048576,HY$93,$C266*2+6)*INDEX(Input!$1:$1048576,$JG$93,$C266*2+6)</f>
        <v>451</v>
      </c>
      <c r="HZ266" s="644">
        <f>INDEX(Input!$1:$1048576,HZ$93,$C266*2+6)*INDEX(Input!$1:$1048576,$JG$93,$C266*2+6)</f>
        <v>577</v>
      </c>
      <c r="IA266" s="644">
        <f>INDEX(Input!$1:$1048576,IA$93,$C266*2+6)*INDEX(Input!$1:$1048576,$JG$93,$C266*2+6)</f>
        <v>215</v>
      </c>
      <c r="IB266" s="644">
        <f t="shared" ref="IB266:IB283" si="804">SUM(HP266:IA266)-IC266-ID266</f>
        <v>605.45794608156393</v>
      </c>
      <c r="IC266" s="644">
        <f t="shared" ref="IC266:IC283" si="805">MAX(HZ266+HQ266+HT266+HW266,0%)</f>
        <v>662.10926465300076</v>
      </c>
      <c r="ID266" s="644">
        <f>IF(AND(INDEX(Input!$1:$1048576,IA$93,$C266*2+7)="TOS",Y266&lt;=INDEX(Y:Y,MATCH(C266*1000+2,A:A))),0,1)*MAX(IA266+HR266+HU266+HX266,0%)</f>
        <v>126.72508150341515</v>
      </c>
      <c r="IE266" s="128">
        <f t="shared" si="768"/>
        <v>0.43424033070550999</v>
      </c>
      <c r="IF266" s="128">
        <f t="shared" si="783"/>
        <v>0.47487120766496427</v>
      </c>
      <c r="IG266" s="128">
        <f t="shared" si="784"/>
        <v>9.0888461629525769E-2</v>
      </c>
      <c r="IH266" s="21"/>
      <c r="II266" s="19">
        <f t="shared" si="785"/>
        <v>1252</v>
      </c>
      <c r="IJ266" s="19">
        <f t="shared" si="786"/>
        <v>2011.9658773055378</v>
      </c>
      <c r="IK266" s="19">
        <f t="shared" si="787"/>
        <v>919</v>
      </c>
      <c r="IL266" s="19">
        <f t="shared" ref="IL266:IL283" si="806">(FW266-FA266*DZ266/FT266)-II266</f>
        <v>1042</v>
      </c>
      <c r="IM266" s="19">
        <f t="shared" si="788"/>
        <v>1042.1152233535834</v>
      </c>
      <c r="IN266" s="19">
        <f t="shared" si="789"/>
        <v>-333</v>
      </c>
      <c r="IO266" s="39">
        <f t="shared" si="790"/>
        <v>0</v>
      </c>
      <c r="IP266" s="39">
        <f t="shared" si="791"/>
        <v>0</v>
      </c>
      <c r="IQ266" s="39">
        <f t="shared" si="792"/>
        <v>0</v>
      </c>
      <c r="IR266" s="39">
        <v>0</v>
      </c>
      <c r="IS266" s="39">
        <v>0</v>
      </c>
      <c r="IT266" s="39">
        <v>0</v>
      </c>
      <c r="IU266" s="39">
        <v>0</v>
      </c>
      <c r="IV266" s="39">
        <v>0</v>
      </c>
      <c r="IW266" s="39">
        <v>0</v>
      </c>
      <c r="IX266" s="39">
        <f>INDEX(Input!$1:$1048576,IX$93,$C266*2+6)+INDEX(Input!$1:$1048576,IX$94,$C266*2+6)</f>
        <v>1294</v>
      </c>
      <c r="IY266" s="39">
        <f>INDEX(Input!$1:$1048576,IY$93,$C266*2+6)+INDEX(Input!$1:$1048576,IY$94,$C266*2+6)</f>
        <v>2154.0624533823611</v>
      </c>
      <c r="IZ266" s="39">
        <f>INDEX(Input!$1:$1048576,IZ$93,$C266*2+6)+INDEX(Input!$1:$1048576,IZ$94,$C266*2+6)</f>
        <v>3677.7164157747848</v>
      </c>
      <c r="JA266" s="19">
        <f t="shared" ref="JA266:JA283" si="807">(IL266+IO266+IR266+IU266+IX266)</f>
        <v>2336</v>
      </c>
      <c r="JB266" s="19">
        <f t="shared" ref="JB266:JB283" si="808">(IM266+IP266+IS266+IV266+IY266)</f>
        <v>3196.1776767359443</v>
      </c>
      <c r="JC266" s="19">
        <f t="shared" ref="JC266:JC283" si="809">(IN266+IQ266+IT266+IW266+IZ266)</f>
        <v>3344.7164157747848</v>
      </c>
      <c r="JD266" s="19">
        <f t="shared" ref="JD266:JD283" si="810">SUMPRODUCT(IE266:IG266,JA266:JC266)</f>
        <v>2836.1542954082606</v>
      </c>
      <c r="JE266" s="21"/>
      <c r="JF266" s="1">
        <f t="shared" si="793"/>
        <v>1.7106565950787935E-2</v>
      </c>
      <c r="JG266" s="15">
        <f>INDEX(Input!$1:$1048576,JG$93,$C266*2+6)/(1+VLOOKUP(C266*1000+INDEX(Input!$1:$1048576,JG$93+1,$C266*2+6),$A:$KK,$JK$92,FALSE))</f>
        <v>1243</v>
      </c>
      <c r="JH266" s="1">
        <f t="shared" ref="JH266:JH283" si="811">SUM(HP266:HR266)/SUM(HY266:IA266)</f>
        <v>0.11093703496428199</v>
      </c>
      <c r="JI266" s="1">
        <f t="shared" ref="JI266:JI283" si="812">SUM(HS266:HU266)/SUM(HY266:IA266)</f>
        <v>1.0778405291534518E-2</v>
      </c>
      <c r="JJ266" s="1">
        <f t="shared" si="769"/>
        <v>0</v>
      </c>
      <c r="JK266" s="1">
        <f t="shared" si="770"/>
        <v>0.12171544025581651</v>
      </c>
      <c r="JL266" s="15">
        <f t="shared" ref="JL266:JL283" si="813">JG266*JK266</f>
        <v>151.29229223797992</v>
      </c>
      <c r="JM266" s="15">
        <f t="shared" si="702"/>
        <v>1394.2922922379798</v>
      </c>
      <c r="JN266" s="21"/>
      <c r="JO266" s="19">
        <f>INDEX(Input!$1:$1048576,JO$93,$C266*2+6)</f>
        <v>5995.5</v>
      </c>
      <c r="JP266" s="19">
        <f>INDEX(Input!$1:$1048576,JP$93,$C266*2+6)</f>
        <v>2105.548724853742</v>
      </c>
      <c r="JQ266" s="39">
        <f t="shared" si="688"/>
        <v>3159.3457045917394</v>
      </c>
      <c r="JR266" s="39">
        <f t="shared" si="705"/>
        <v>730.60557055451864</v>
      </c>
      <c r="JS266" s="39">
        <f t="shared" si="690"/>
        <v>3.9544280736853765</v>
      </c>
      <c r="JT266" s="39">
        <f t="shared" ref="JT266:JT283" si="814">(JD266*JM266-JP266*JG266)/1000000</f>
        <v>1.3372310086921753</v>
      </c>
      <c r="JU266" s="385">
        <f>(JQ266*JM266-INDEX(Input!$1:$1048576,Input!A$18,$C266*2+6)*JL266*INDEX(Input!$1:$1048576,Input!A$19,$C266*2+6))/1000000</f>
        <v>4.4050513644274316</v>
      </c>
      <c r="JV266" s="39">
        <f t="shared" si="712"/>
        <v>-0.43015807057936684</v>
      </c>
      <c r="JW266" s="1">
        <f t="shared" si="703"/>
        <v>-8.8963689445390487E-2</v>
      </c>
      <c r="JX266" s="19">
        <f t="shared" si="694"/>
        <v>8838.7252840927031</v>
      </c>
      <c r="JZ266" s="341"/>
      <c r="KA266" s="342"/>
      <c r="KB266" s="469">
        <f t="shared" si="691"/>
        <v>2.5660492421988774</v>
      </c>
      <c r="KI266" s="473">
        <f t="shared" si="771"/>
        <v>154.45794608156393</v>
      </c>
      <c r="KJ266" s="473">
        <f t="shared" si="772"/>
        <v>85.109264653000764</v>
      </c>
      <c r="KK266" s="473">
        <f t="shared" ref="KK266:KK274" si="815">$JM266*IG266-$JG266*IA266/SUM($HY266:$IA266)</f>
        <v>-88.274918496584846</v>
      </c>
      <c r="KN266" s="544">
        <f t="shared" si="695"/>
        <v>2002</v>
      </c>
      <c r="KO266" s="541">
        <f t="shared" si="794"/>
        <v>0.11510657747525443</v>
      </c>
      <c r="KP266" s="546">
        <f t="shared" si="795"/>
        <v>876.44586868919419</v>
      </c>
      <c r="KQ266" s="546">
        <f t="shared" si="796"/>
        <v>692.47395597478771</v>
      </c>
      <c r="KR266" s="548">
        <f t="shared" si="797"/>
        <v>2.3431603903173275</v>
      </c>
      <c r="KS266" s="548">
        <f t="shared" si="798"/>
        <v>2.96567578614401</v>
      </c>
      <c r="KT266" s="473">
        <f t="shared" si="693"/>
        <v>843.26993010479111</v>
      </c>
      <c r="KU266" s="663">
        <f t="shared" ref="KU266:KU283" si="816">IF(D266="",0,IFERROR((JM266/KT266-1)/(JD266/BX266)+B266*10^-6,0))</f>
        <v>4.6045069579187548</v>
      </c>
    </row>
    <row r="267" spans="1:308" s="26" customFormat="1" ht="15" outlineLevel="1">
      <c r="A267" s="561">
        <f t="shared" si="799"/>
        <v>2067</v>
      </c>
      <c r="B267" s="561">
        <f t="shared" ref="B267:B300" si="817">B266+1</f>
        <v>67</v>
      </c>
      <c r="C267" s="561">
        <f t="shared" si="760"/>
        <v>2</v>
      </c>
      <c r="D267" s="561" t="str">
        <f t="shared" si="728"/>
        <v xml:space="preserve">-180 Lease, </v>
      </c>
      <c r="E267" s="475">
        <f>INDEX(Input!$1:$1048576,E$93,$C267*2+MIN($B267,2)+5)
+INDEX(Scenarios!E$121:E$200,MATCH($B267,Scenarios!$B$121:$B$200,0))</f>
        <v>1269.7618664521319</v>
      </c>
      <c r="F267" s="475">
        <f>INDEX(Input!$1:$1048576,F$93,$C267*2+MIN($B267,2)+5)
+INDEX(Scenarios!F$121:F$200,MATCH($B267,Scenarios!$B$121:$B$200,0))</f>
        <v>0</v>
      </c>
      <c r="G267" s="475">
        <f>INDEX(Input!$1:$1048576,G$93,$C267*2+MIN($B267,2)+5)
+INDEX(Scenarios!G$121:G$200,MATCH($B267,Scenarios!$B$121:$B$200,0))</f>
        <v>0</v>
      </c>
      <c r="H267" s="475">
        <f>INDEX(Input!$1:$1048576,H$93,$C267*2+MIN($B267,2)+5)
+INDEX(Scenarios!H$121:H$200,MATCH($B267,Scenarios!$B$121:$B$200,0))</f>
        <v>0</v>
      </c>
      <c r="I267" s="476">
        <f>INDEX(Input!$1:$1048576,I$93,$C267*2+MIN($B267,2)+5)</f>
        <v>0.7</v>
      </c>
      <c r="J267" s="476" t="str">
        <f>INDEX(Input!$1:$1048576,J$93,$C267*2+MIN($B267,2)+5)</f>
        <v>Market</v>
      </c>
      <c r="K267" s="476" t="str">
        <f>INDEX(Input!$1:$1048576,K$93,$C267*2+MIN($B267,2)+5)</f>
        <v>Market</v>
      </c>
      <c r="L267" s="476" t="str">
        <f>INDEX(Input!$1:$1048576,L$93,$C267*2+MIN($B267,2)+5)</f>
        <v>Market</v>
      </c>
      <c r="M267" s="476" t="str">
        <f>INDEX(Input!$1:$1048576,M$93,$C267*2+MIN($B267,2)+5)</f>
        <v>Market</v>
      </c>
      <c r="N267" s="476" t="str">
        <f>INDEX(Input!$1:$1048576,N$93,$C267*2+MIN($B267,2)+5)</f>
        <v>Market</v>
      </c>
      <c r="O267" s="476" t="str">
        <f>INDEX(Input!$1:$1048576,O$93,$C267*2+MIN($B267,2)+5)</f>
        <v>Market</v>
      </c>
      <c r="P267" s="476" t="str">
        <f>INDEX(Input!$1:$1048576,P$93,$C267*2+MIN($B267,2)+5)</f>
        <v>N</v>
      </c>
      <c r="Q267" s="477">
        <f>INDEX(Input!$1:$1048576,Q$93,$C267*2+MIN($B267,2)+5)
+INDEX(Scenarios!Q$121:Q$200,MATCH($B267,Scenarios!$B$121:$B$200,0))</f>
        <v>0</v>
      </c>
      <c r="R267" s="478">
        <f>IFERROR(MAX(0,INDEX(Input!$1:$1048576,R$93,$C267*2+MIN($B267,2)+5)
+INDEX(Scenarios!R$121:R$200,MATCH($B267,Scenarios!$B$121:$B$200,0)),),"Market")</f>
        <v>0</v>
      </c>
      <c r="S267" s="478">
        <f>IFERROR(MAX(0,INDEX(Input!$1:$1048576,S$93,$C267*2+MIN($B267,2)+5)
+INDEX(Scenarios!S$121:S$200,MATCH($B267,Scenarios!$B$121:$B$200,0)),),"Market")</f>
        <v>0</v>
      </c>
      <c r="T267" s="478">
        <f>IFERROR(MAX(0,INDEX(Input!$1:$1048576,T$93,$C267*2+MIN($B267,2)+5)
+INDEX(Scenarios!T$121:T$200,MATCH($B267,Scenarios!$B$121:$B$200,0)),),"Market")</f>
        <v>0</v>
      </c>
      <c r="U267" s="478">
        <f>IFERROR(MAX(0,INDEX(Input!$1:$1048576,U$93,$C267*2+MIN($B267,2)+5)
+INDEX(Scenarios!U$121:U$200,MATCH($B267,Scenarios!$B$121:$B$200,0)),),"Market")</f>
        <v>0</v>
      </c>
      <c r="V267" s="478">
        <f>IFERROR(MAX(0,INDEX(Input!$1:$1048576,V$93,$C267*2+MIN($B267,2)+5)
+INDEX(Scenarios!V$121:V$200,MATCH($B267,Scenarios!$B$121:$B$200,0)),),"Market")</f>
        <v>1.9E-2</v>
      </c>
      <c r="W267" s="885">
        <f>IFERROR(MAX(0,INDEX(Input!$1:$1048576,W$93,$C267*2+MIN($B267,2)+5)-0%,),"Market")</f>
        <v>3.9E-2</v>
      </c>
      <c r="X267" s="476" t="str">
        <f>INDEX(Input!$1:$1048576,X$93,$C267*2+MIN($B267,2)+5)</f>
        <v>Y</v>
      </c>
      <c r="Y267" s="475">
        <f>INDEX(Input!$1:$1048576,Y$93,$C267*2+MIN($B267,2)+5)
++INDEX(Scenarios!Y$121:Y$200,MATCH($B267,Scenarios!$B$121:$B$200,0))</f>
        <v>-124</v>
      </c>
      <c r="Z267" s="477">
        <f>INDEX(Input!$1:$1048576,Z$93,$C267*2+MIN($B267,2)+5)
+INDEX(Scenarios!Z$121:Z$200,MATCH($B267,Scenarios!$B$121:$B$200,0))</f>
        <v>0</v>
      </c>
      <c r="AA267" s="475">
        <f>INDEX(Input!$1:$1048576,AA$93,$C267*2+MIN($B267,2)+5)
+INDEX(Scenarios!AA$121:AA$200,MATCH($B267,Scenarios!$B$121:$B$200,0))</f>
        <v>0</v>
      </c>
      <c r="AB267" s="476">
        <f>INDEX(Input!$1:$1048576,AB$93,$C267*2+MIN($B267,2)+5)</f>
        <v>0.27</v>
      </c>
      <c r="AC267" s="475">
        <f>INDEX(Input!$1:$1048576,AC$93,$C267*2+MIN($B267,2)+5)
+INDEX(Scenarios!AC$121:AC$200,MATCH($B267,Scenarios!$B$121:$B$200,0))</f>
        <v>0</v>
      </c>
      <c r="AD267" s="476">
        <f>INDEX(Input!$1:$1048576,AD$93,$C267*2+MIN($B267,2)+5)</f>
        <v>0.27</v>
      </c>
      <c r="AE267" s="475">
        <f>INDEX(Input!$1:$1048576,AE$93,$C267*2+MIN($B267,2)+5)
+INDEX(Scenarios!AE$121:AE$200,MATCH($B267,Scenarios!$B$121:$B$200,0))</f>
        <v>0</v>
      </c>
      <c r="AF267" s="476">
        <f>INDEX(Input!$1:$1048576,AF$93,$C267*2+MIN($B267,2)+5)</f>
        <v>4.8000000000000001E-2</v>
      </c>
      <c r="AG267" s="475">
        <f>INDEX(Input!$1:$1048576,AG$93,$C267*2+MIN($B267,2)+5)
+INDEX(Scenarios!AG$121:AG$200,MATCH($B267,Scenarios!$B$121:$B$200,0))</f>
        <v>500</v>
      </c>
      <c r="AH267" s="476">
        <f>INDEX(Input!$1:$1048576,AH$93,$C267*2+MIN($B267,2)+5)</f>
        <v>0.94599999999999995</v>
      </c>
      <c r="AI267" s="475">
        <f>INDEX(Input!$1:$1048576,AI$93,$C267*2+MIN($B267,2)+5)
+INDEX(Scenarios!AI$121:AI$200,MATCH($B267,Scenarios!$B$121:$B$200,0))</f>
        <v>0</v>
      </c>
      <c r="AJ267" s="476">
        <f>INDEX(Input!$1:$1048576,AJ$93,$C267*2+MIN($B267,2)+5)</f>
        <v>0.27</v>
      </c>
      <c r="AK267" s="150">
        <f>ROUND(INDEX(Input!$1:$1048576,AK$93,$C266*2+MIN($B267,1)+5)+(Y267-VLOOKUP($C267*1000+1,$A:$HH,Y$92,FALSE)),0)</f>
        <v>2797</v>
      </c>
      <c r="AL267" s="150">
        <f>ROUND(INDEX(Input!$1:$1048576,AL$93,$C266*2+MIN($B267,1)+5)-(Y267-VLOOKUP($C267*1000+1,$A:$HH,Y$92,FALSE))/36,0)</f>
        <v>3400</v>
      </c>
      <c r="AM267" s="32" t="str">
        <f t="shared" si="800"/>
        <v>std/std/std/std</v>
      </c>
      <c r="AN267" s="32" t="str">
        <f t="shared" si="801"/>
        <v>$0 + 0/0/0/1.9/3.9</v>
      </c>
      <c r="AO267" s="32" t="str">
        <f t="shared" si="802"/>
        <v>0/0/0/1.9/3.9</v>
      </c>
      <c r="AP267" s="32" t="str">
        <f t="shared" si="734"/>
        <v>0/0.9/1.9/3.9</v>
      </c>
      <c r="AQ267" s="536">
        <f t="shared" si="733"/>
        <v>0.37589925165031474</v>
      </c>
      <c r="AR267" s="32"/>
      <c r="AS267" s="302"/>
      <c r="AT267" s="3">
        <f t="shared" si="717"/>
        <v>67</v>
      </c>
      <c r="AU267" s="41" t="s">
        <v>121</v>
      </c>
      <c r="AV267" s="41" t="s">
        <v>116</v>
      </c>
      <c r="AW267" s="41" t="str">
        <f>INDEX(Input!$1:$1048576,AW$93,$C267*2+6)</f>
        <v>Kia</v>
      </c>
      <c r="AX267" s="41" t="str">
        <f>INDEX(Input!$1:$1048576,AX$93,$C267*2+6)</f>
        <v>Kia-LR - L2</v>
      </c>
      <c r="AY267" s="41" t="str">
        <f>IF(LEN(D267)=0,"",INDEX(Input!$1:$1048576,AY$93,$C267*2+6))</f>
        <v>Compact SUV (52)</v>
      </c>
      <c r="AZ267" s="41" t="str">
        <f>INDEX(Input!$1:$1048576,AZ$93,$C267*2+6)</f>
        <v>Kia Soul</v>
      </c>
      <c r="BA267" s="3">
        <f>INDEX(Input!$1:$1048576,BA$93,$C267*2+6)</f>
        <v>2020</v>
      </c>
      <c r="BB267" s="128">
        <f>INDEX(Input!$1:$1048576,BB$93,$C267*2+6)</f>
        <v>1</v>
      </c>
      <c r="BC267" s="128">
        <f>INDEX(Input!$1:$1048576,BC$93,$C267*2+6)</f>
        <v>0.7</v>
      </c>
      <c r="BD267" s="1">
        <f>INDEX(Input!$1:$1048576,BD$93,$C267*2+6)</f>
        <v>4.4999999999999998E-2</v>
      </c>
      <c r="BE267" s="1">
        <f>INDEX(Input!$1:$1048576,BE$93,$C267*2+6)</f>
        <v>4.4999999999999998E-2</v>
      </c>
      <c r="BF267" s="1">
        <f>INDEX(Input!$1:$1048576,BF$93,$C267*2+6)</f>
        <v>0.05</v>
      </c>
      <c r="BG267" s="1">
        <f>INDEX(Input!$1:$1048576,BG$93,$C267*2+6)</f>
        <v>5.45E-2</v>
      </c>
      <c r="BH267" s="1">
        <f>INDEX(Input!$1:$1048576,BH$93,$C267*2+6)</f>
        <v>5.45E-2</v>
      </c>
      <c r="BI267" s="1">
        <f>INDEX(Input!$1:$1048576,BI$93,$C267*2+6)</f>
        <v>0.05</v>
      </c>
      <c r="BJ267" s="1">
        <f>INDEX(Input!$1:$1048576,BJ$93,$C267*2+6)</f>
        <v>0.05</v>
      </c>
      <c r="BK267" s="1">
        <f>INDEX(Input!$1:$1048576,BK$93,$C267*2+6)</f>
        <v>0.05</v>
      </c>
      <c r="BL267" s="1">
        <f>INDEX(Input!$1:$1048576,BL$93,$C267*2+6)</f>
        <v>5.5E-2</v>
      </c>
      <c r="BM267" s="1">
        <f>INDEX(Input!$1:$1048576,BM$93,$C267*2+6)</f>
        <v>0.06</v>
      </c>
      <c r="BN267" s="1">
        <f>INDEX(Input!$1:$1048576,BN$93,$C267*2+6)</f>
        <v>4.4999999999999998E-2</v>
      </c>
      <c r="BO267" s="1">
        <f>INDEX(Input!$1:$1048576,BO$93,$C267*2+6)</f>
        <v>4.4999999999999998E-2</v>
      </c>
      <c r="BP267" s="1">
        <f>INDEX(Input!$1:$1048576,BP$93,$C267*2+6)</f>
        <v>0.05</v>
      </c>
      <c r="BQ267" s="1">
        <f>INDEX(Input!$1:$1048576,BQ$93,$C267*2+6)</f>
        <v>5.45E-2</v>
      </c>
      <c r="BR267" s="1">
        <f>INDEX(Input!$1:$1048576,BR$93,$C267*2+6)</f>
        <v>5.45E-2</v>
      </c>
      <c r="BS267" s="1">
        <f>INDEX(Input!$1:$1048576,BS$93,$C267*2+6)</f>
        <v>0.05</v>
      </c>
      <c r="BT267" s="1">
        <f>INDEX(Input!$1:$1048576,BT$93,$C267*2+6)</f>
        <v>0.05</v>
      </c>
      <c r="BU267" s="1">
        <f>INDEX(Input!$1:$1048576,BU$93,$C267*2+6)</f>
        <v>0.05</v>
      </c>
      <c r="BV267" s="1">
        <f>INDEX(Input!$1:$1048576,BV$93,$C267*2+6)</f>
        <v>5.5E-2</v>
      </c>
      <c r="BW267" s="1">
        <f>INDEX(Input!$1:$1048576,BW$93,$C267*2+6)</f>
        <v>0.06</v>
      </c>
      <c r="BX267" s="127">
        <f>INDEX(Input!$1:$1048576,BX$93,$C267*2+6)</f>
        <v>19985</v>
      </c>
      <c r="BY267" s="20">
        <f>INDEX(Input!$1:$1048576,BY$93,$C267*2+6)</f>
        <v>0.1</v>
      </c>
      <c r="BZ267" s="20">
        <f>INDEX(Input!$1:$1048576,BZ$93,$C267*2+6)</f>
        <v>0.1</v>
      </c>
      <c r="CA267" s="20">
        <f>INDEX(Input!$1:$1048576,CA$93,$C267*2+6)</f>
        <v>0.1</v>
      </c>
      <c r="CB267" s="20">
        <f>INDEX(Input!$1:$1048576,CB$93,$C267*2+6)</f>
        <v>0.1</v>
      </c>
      <c r="CC267" s="20">
        <f>INDEX(Input!$1:$1048576,CC$93,$C267*2+6)</f>
        <v>0.1</v>
      </c>
      <c r="CD267" s="384">
        <f>INDEX(Input!$1:$1048576,CD$93,$C267*2+6)</f>
        <v>0.1</v>
      </c>
      <c r="CE267" s="384">
        <f>INDEX(Input!$1:$1048576,CE$93,$C267*2+6)</f>
        <v>0.1</v>
      </c>
      <c r="CF267" s="384">
        <f>INDEX(Input!$1:$1048576,CF$93,$C267*2+6)</f>
        <v>0.1</v>
      </c>
      <c r="CG267" s="384">
        <f>INDEX(Input!$1:$1048576,CG$93,$C267*2+6)</f>
        <v>0.1</v>
      </c>
      <c r="CH267" s="384">
        <f>INDEX(Input!$1:$1048576,CH$93,$C267*2+6)</f>
        <v>0.1</v>
      </c>
      <c r="CI267" s="304">
        <f t="shared" si="735"/>
        <v>1269.7618664521319</v>
      </c>
      <c r="CJ267" s="16" t="str">
        <f>INDEX(Input!$1:$1048576,CJ$93,$C267*2+6)</f>
        <v>N</v>
      </c>
      <c r="CK267" s="1" t="str">
        <f t="shared" si="736"/>
        <v>Market</v>
      </c>
      <c r="CL267" s="1" t="str">
        <f t="shared" si="737"/>
        <v>Market</v>
      </c>
      <c r="CM267" s="1" t="str">
        <f t="shared" si="738"/>
        <v>Market</v>
      </c>
      <c r="CN267" s="1" t="str">
        <f t="shared" si="739"/>
        <v>Market</v>
      </c>
      <c r="CO267" s="1" t="str">
        <f t="shared" si="740"/>
        <v>Market</v>
      </c>
      <c r="CP267" s="304">
        <f t="shared" si="741"/>
        <v>473</v>
      </c>
      <c r="CQ267" s="1">
        <f t="shared" si="742"/>
        <v>0</v>
      </c>
      <c r="CR267" s="1">
        <f t="shared" si="743"/>
        <v>0</v>
      </c>
      <c r="CS267" s="1">
        <f t="shared" si="744"/>
        <v>0</v>
      </c>
      <c r="CT267" s="1">
        <f t="shared" si="745"/>
        <v>1.9E-2</v>
      </c>
      <c r="CU267" s="1">
        <f t="shared" si="746"/>
        <v>3.9E-2</v>
      </c>
      <c r="CV267" s="304">
        <f t="shared" si="747"/>
        <v>-124</v>
      </c>
      <c r="CW267" s="20" t="s">
        <v>122</v>
      </c>
      <c r="CX267" s="20" t="s">
        <v>122</v>
      </c>
      <c r="CY267" s="20" t="s">
        <v>122</v>
      </c>
      <c r="CZ267" s="20" t="s">
        <v>122</v>
      </c>
      <c r="DA267" s="20" t="s">
        <v>122</v>
      </c>
      <c r="DB267" s="503">
        <f t="shared" si="748"/>
        <v>0</v>
      </c>
      <c r="DC267" s="127">
        <v>0</v>
      </c>
      <c r="DD267" s="127">
        <v>0</v>
      </c>
      <c r="DE267" s="127">
        <v>0</v>
      </c>
      <c r="DF267" s="127">
        <v>0</v>
      </c>
      <c r="DG267" s="127">
        <v>0</v>
      </c>
      <c r="DH267" s="127">
        <v>0</v>
      </c>
      <c r="DI267" s="127">
        <v>0</v>
      </c>
      <c r="DJ267" s="127">
        <v>0</v>
      </c>
      <c r="DK267" s="127">
        <v>0</v>
      </c>
      <c r="DL267" s="127">
        <v>0</v>
      </c>
      <c r="DM267" s="304">
        <f>INDEX(Input!$1:$1048576,DM$93,$C267*2+6)</f>
        <v>21036.84210526316</v>
      </c>
      <c r="DN267" s="20">
        <v>0</v>
      </c>
      <c r="DO267" s="20">
        <v>0</v>
      </c>
      <c r="DP267" s="20">
        <v>0</v>
      </c>
      <c r="DQ267" s="20">
        <v>0</v>
      </c>
      <c r="DR267" s="20">
        <v>0</v>
      </c>
      <c r="DS267" s="20">
        <f>INDEX(Input!$1:$1048576,DS$93,$C267*2+6)</f>
        <v>0.6</v>
      </c>
      <c r="DT267" s="20">
        <f>INDEX(Input!$1:$1048576,DT$93,$C267*2+6)</f>
        <v>0.55000000000000004</v>
      </c>
      <c r="DU267" s="20">
        <f>INDEX(Input!$1:$1048576,DU$93,$C267*2+6)</f>
        <v>0.52</v>
      </c>
      <c r="DV267" s="20">
        <f>INDEX(Input!$1:$1048576,DV$93,$C267*2+6)</f>
        <v>0.5</v>
      </c>
      <c r="DW267" s="20">
        <f>INDEX(Input!$1:$1048576,DW$93,$C267*2+6)</f>
        <v>0.45</v>
      </c>
      <c r="DX267" s="20"/>
      <c r="DY267" s="7">
        <v>9.4124801881623865E-2</v>
      </c>
      <c r="DZ267" s="7">
        <v>0</v>
      </c>
      <c r="EA267" s="7">
        <v>0.66652798889465048</v>
      </c>
      <c r="EB267" s="7">
        <v>0</v>
      </c>
      <c r="EC267" s="7">
        <v>0</v>
      </c>
      <c r="ED267" s="7">
        <v>0</v>
      </c>
      <c r="EE267" s="7">
        <v>0</v>
      </c>
      <c r="EF267" s="7">
        <v>0</v>
      </c>
      <c r="EG267" s="7">
        <v>0</v>
      </c>
      <c r="EH267" s="7">
        <v>1.4264928370989747E-2</v>
      </c>
      <c r="EI267" s="7">
        <v>4.0603627464968622E-2</v>
      </c>
      <c r="EJ267" s="7">
        <v>0.30728304105830856</v>
      </c>
      <c r="EK267" s="7">
        <v>0.5266694696742088</v>
      </c>
      <c r="EL267" s="7">
        <v>0.11117893343152434</v>
      </c>
      <c r="EM267" s="7">
        <v>5.8316632537842042E-2</v>
      </c>
      <c r="EN267" s="7">
        <v>6.4943139807104366E-2</v>
      </c>
      <c r="EO267" s="7">
        <v>0.7270224344192795</v>
      </c>
      <c r="EP267" s="7">
        <v>9.0233682851616773E-2</v>
      </c>
      <c r="EQ267" s="7">
        <v>7.6966585823731878E-2</v>
      </c>
      <c r="ER267" s="7">
        <v>4.0834157098267709E-2</v>
      </c>
      <c r="ES267" s="7">
        <v>0.18103057668588349</v>
      </c>
      <c r="ET267" s="7">
        <v>0.2393472092237256</v>
      </c>
      <c r="EU267" s="6">
        <v>1294</v>
      </c>
      <c r="EV267" s="6">
        <v>0</v>
      </c>
      <c r="EW267" s="6">
        <v>1294</v>
      </c>
      <c r="EX267" s="6">
        <v>0</v>
      </c>
      <c r="EY267" s="6">
        <v>2053.9890798067418</v>
      </c>
      <c r="EZ267" s="6">
        <v>766</v>
      </c>
      <c r="FA267" s="6">
        <v>0</v>
      </c>
      <c r="FB267" s="6">
        <v>0</v>
      </c>
      <c r="FC267" s="6">
        <v>0</v>
      </c>
      <c r="FD267" s="6">
        <v>0</v>
      </c>
      <c r="FE267" s="6">
        <v>0</v>
      </c>
      <c r="FF267" s="6">
        <v>0</v>
      </c>
      <c r="FG267" s="6">
        <v>0</v>
      </c>
      <c r="FH267" s="6">
        <v>1173.7308485106371</v>
      </c>
      <c r="FI267" s="6">
        <v>1553.9796069512413</v>
      </c>
      <c r="FJ267" s="6">
        <v>2101.2110117447414</v>
      </c>
      <c r="FK267" s="6">
        <v>1772.7139978623236</v>
      </c>
      <c r="FL267" s="6">
        <v>907.07682140966335</v>
      </c>
      <c r="FM267" s="6">
        <v>1759.9890798067415</v>
      </c>
      <c r="FN267" s="6">
        <v>0</v>
      </c>
      <c r="FO267" s="6">
        <v>0</v>
      </c>
      <c r="FP267" s="6">
        <v>0</v>
      </c>
      <c r="FQ267" s="6">
        <v>0</v>
      </c>
      <c r="FR267" s="6">
        <v>0</v>
      </c>
      <c r="FS267" s="6">
        <v>0</v>
      </c>
      <c r="FT267" s="7">
        <v>0.76065279077627435</v>
      </c>
      <c r="FU267" s="7">
        <v>5.8316632537842042E-2</v>
      </c>
      <c r="FV267" s="7">
        <v>0.18103057668588349</v>
      </c>
      <c r="FW267" s="6">
        <v>1294</v>
      </c>
      <c r="FX267" s="6">
        <v>2053.9890798067418</v>
      </c>
      <c r="FY267" s="6">
        <v>766</v>
      </c>
      <c r="FZ267" s="6">
        <v>1817.4615072224267</v>
      </c>
      <c r="GA267" s="6">
        <v>1242.7358594097159</v>
      </c>
      <c r="GB267" s="6">
        <v>18742.264140590283</v>
      </c>
      <c r="GC267" s="7">
        <v>1.804905384453976E-2</v>
      </c>
      <c r="GD267" s="7">
        <v>1.712098558542267E-2</v>
      </c>
      <c r="GE267" s="7"/>
      <c r="GF267" s="7"/>
      <c r="GG267" s="7">
        <v>-5.1419219373532471E-2</v>
      </c>
      <c r="GH267" s="42">
        <v>1.7880063350068565</v>
      </c>
      <c r="GI267" s="6">
        <v>12419.989322509644</v>
      </c>
      <c r="GJ267" s="14">
        <v>0.50394797582841722</v>
      </c>
      <c r="GK267" s="14">
        <v>0.50887573065309744</v>
      </c>
      <c r="GL267" s="14">
        <v>0.49605202417158284</v>
      </c>
      <c r="GM267" s="14">
        <v>0.49112426934690234</v>
      </c>
      <c r="GO267" s="5">
        <v>343.14810671672558</v>
      </c>
      <c r="GP267" s="5">
        <v>318.46105531198077</v>
      </c>
      <c r="GQ267" s="5">
        <v>535.04305713031317</v>
      </c>
      <c r="GR267" s="5">
        <v>410.15490233172511</v>
      </c>
      <c r="GS267" s="5">
        <v>339.42744393800166</v>
      </c>
      <c r="GT267" s="5">
        <v>293.4407446948278</v>
      </c>
      <c r="GU267" s="5">
        <v>258.04012322764959</v>
      </c>
      <c r="GV267" s="39" t="s">
        <v>392</v>
      </c>
      <c r="GW267" s="5">
        <v>491.45833333333331</v>
      </c>
      <c r="GX267" s="5">
        <v>368.59375</v>
      </c>
      <c r="GY267" s="5">
        <v>294.875</v>
      </c>
      <c r="GZ267" s="5">
        <v>260.19607020114813</v>
      </c>
      <c r="HA267" s="5">
        <v>241.02179695997205</v>
      </c>
      <c r="HB267" s="39">
        <v>276.42082058922153</v>
      </c>
      <c r="HC267" s="5">
        <v>253.77187499999999</v>
      </c>
      <c r="HD267" s="5">
        <v>216.93177997076018</v>
      </c>
      <c r="HE267" s="5">
        <v>219.72600792847501</v>
      </c>
      <c r="HF267" s="5">
        <v>203.19500548245611</v>
      </c>
      <c r="HG267" s="5">
        <v>195.94971491228068</v>
      </c>
      <c r="HH267" s="39">
        <v>217.66236731866337</v>
      </c>
      <c r="HI267" s="16"/>
      <c r="HJ267" s="19" t="str">
        <f t="shared" ref="HJ267:HK274" si="818">HJ266</f>
        <v>On</v>
      </c>
      <c r="HK267" s="1" t="str">
        <f t="shared" si="818"/>
        <v>On</v>
      </c>
      <c r="HL267" s="16"/>
      <c r="HM267" s="639">
        <f t="shared" si="775"/>
        <v>1.2768706344444866E-2</v>
      </c>
      <c r="HN267" s="639">
        <f t="shared" si="776"/>
        <v>9.795534288915453E-4</v>
      </c>
      <c r="HO267" s="639">
        <f t="shared" si="777"/>
        <v>3.3583061774515237E-3</v>
      </c>
      <c r="HP267" s="644">
        <f>(FT267*$GD267-HM267)/$JF267*INDEX(Input!$1:$1048576,$JG$93,$C267*2+6)</f>
        <v>18.486642467588265</v>
      </c>
      <c r="HQ267" s="644">
        <f>(FU267*$GD267-HN267)/$JF267*INDEX(Input!$1:$1048576,$JG$93,$C267*2+6)</f>
        <v>1.3722100460328066</v>
      </c>
      <c r="HR267" s="644">
        <f>(FV267*$GD267-HO267)/$JF267*INDEX(Input!$1:$1048576,$JG$93,$C267*2+6)</f>
        <v>-18.811090741764843</v>
      </c>
      <c r="HS267" s="644">
        <f t="shared" si="767"/>
        <v>-2.6625532971836798</v>
      </c>
      <c r="HT267" s="644">
        <f t="shared" si="778"/>
        <v>2.8135454972231475</v>
      </c>
      <c r="HU267" s="644">
        <f t="shared" si="779"/>
        <v>-2.312564731290454</v>
      </c>
      <c r="HV267" s="648">
        <f t="shared" si="780"/>
        <v>0</v>
      </c>
      <c r="HW267" s="648">
        <f t="shared" si="781"/>
        <v>0</v>
      </c>
      <c r="HX267" s="648">
        <f t="shared" si="782"/>
        <v>0</v>
      </c>
      <c r="HY267" s="644">
        <f>INDEX(Input!$1:$1048576,HY$93,$C267*2+6)*INDEX(Input!$1:$1048576,$JG$93,$C267*2+6)</f>
        <v>451</v>
      </c>
      <c r="HZ267" s="644">
        <f>INDEX(Input!$1:$1048576,HZ$93,$C267*2+6)*INDEX(Input!$1:$1048576,$JG$93,$C267*2+6)</f>
        <v>577</v>
      </c>
      <c r="IA267" s="644">
        <f>INDEX(Input!$1:$1048576,IA$93,$C267*2+6)*INDEX(Input!$1:$1048576,$JG$93,$C267*2+6)</f>
        <v>215</v>
      </c>
      <c r="IB267" s="644">
        <f t="shared" si="804"/>
        <v>466.82408917040465</v>
      </c>
      <c r="IC267" s="644">
        <f t="shared" si="805"/>
        <v>581.18575554325594</v>
      </c>
      <c r="ID267" s="644">
        <f>IF(AND(INDEX(Input!$1:$1048576,IA$93,$C267*2+7)="TOS",Y267&lt;=INDEX(Y:Y,MATCH(C267*1000+2,A:A))),0,1)*MAX(IA267+HR267+HU267+HX267,0%)</f>
        <v>193.87634452694471</v>
      </c>
      <c r="IE267" s="128">
        <f t="shared" si="768"/>
        <v>0.37589925165031474</v>
      </c>
      <c r="IF267" s="128">
        <f t="shared" si="783"/>
        <v>0.46798632642709576</v>
      </c>
      <c r="IG267" s="128">
        <f t="shared" si="784"/>
        <v>0.15611442192258951</v>
      </c>
      <c r="IH267" s="21"/>
      <c r="II267" s="19">
        <f t="shared" si="785"/>
        <v>1252</v>
      </c>
      <c r="IJ267" s="19">
        <f t="shared" si="786"/>
        <v>2011.9658773055378</v>
      </c>
      <c r="IK267" s="19">
        <f t="shared" si="787"/>
        <v>919</v>
      </c>
      <c r="IL267" s="19">
        <f t="shared" si="806"/>
        <v>42</v>
      </c>
      <c r="IM267" s="19">
        <f t="shared" si="788"/>
        <v>42.023202501203968</v>
      </c>
      <c r="IN267" s="19">
        <f t="shared" si="789"/>
        <v>-153</v>
      </c>
      <c r="IO267" s="39">
        <f t="shared" si="790"/>
        <v>0</v>
      </c>
      <c r="IP267" s="39">
        <f t="shared" si="791"/>
        <v>0</v>
      </c>
      <c r="IQ267" s="39">
        <f t="shared" si="792"/>
        <v>0</v>
      </c>
      <c r="IR267" s="39">
        <v>0</v>
      </c>
      <c r="IS267" s="39">
        <v>0</v>
      </c>
      <c r="IT267" s="39">
        <v>0</v>
      </c>
      <c r="IU267" s="39">
        <v>0</v>
      </c>
      <c r="IV267" s="39">
        <v>0</v>
      </c>
      <c r="IW267" s="39">
        <v>0</v>
      </c>
      <c r="IX267" s="39">
        <f>INDEX(Input!$1:$1048576,IX$93,$C267*2+6)+INDEX(Input!$1:$1048576,IX$94,$C267*2+6)</f>
        <v>1294</v>
      </c>
      <c r="IY267" s="39">
        <f>INDEX(Input!$1:$1048576,IY$93,$C267*2+6)+INDEX(Input!$1:$1048576,IY$94,$C267*2+6)</f>
        <v>2154.0624533823611</v>
      </c>
      <c r="IZ267" s="39">
        <f>INDEX(Input!$1:$1048576,IZ$93,$C267*2+6)+INDEX(Input!$1:$1048576,IZ$94,$C267*2+6)</f>
        <v>3677.7164157747848</v>
      </c>
      <c r="JA267" s="19">
        <f t="shared" si="807"/>
        <v>1336</v>
      </c>
      <c r="JB267" s="19">
        <f t="shared" si="808"/>
        <v>2196.0856558835649</v>
      </c>
      <c r="JC267" s="19">
        <f t="shared" si="809"/>
        <v>3524.7164157747848</v>
      </c>
      <c r="JD267" s="19">
        <f t="shared" si="810"/>
        <v>2080.1985245107517</v>
      </c>
      <c r="JE267" s="21"/>
      <c r="JF267" s="1">
        <f t="shared" si="793"/>
        <v>1.7106565950787935E-2</v>
      </c>
      <c r="JG267" s="15">
        <f>INDEX(Input!$1:$1048576,JG$93,$C267*2+6)/(1+VLOOKUP(C267*1000+INDEX(Input!$1:$1048576,JG$93+1,$C267*2+6),$A:$KK,$JK$92,FALSE))</f>
        <v>1243</v>
      </c>
      <c r="JH267" s="1">
        <f t="shared" si="811"/>
        <v>8.4292982450219348E-4</v>
      </c>
      <c r="JI267" s="1">
        <f t="shared" si="812"/>
        <v>-1.7389964048680501E-3</v>
      </c>
      <c r="JJ267" s="1">
        <f t="shared" si="769"/>
        <v>0</v>
      </c>
      <c r="JK267" s="1">
        <f t="shared" si="770"/>
        <v>-8.9606658036585666E-4</v>
      </c>
      <c r="JL267" s="15">
        <f t="shared" si="813"/>
        <v>-1.1138107593947599</v>
      </c>
      <c r="JM267" s="15">
        <f t="shared" si="702"/>
        <v>1241.8861892406053</v>
      </c>
      <c r="JN267" s="21"/>
      <c r="JO267" s="19">
        <f>INDEX(Input!$1:$1048576,JO$93,$C267*2+6)</f>
        <v>5995.5</v>
      </c>
      <c r="JP267" s="19">
        <f>INDEX(Input!$1:$1048576,JP$93,$C267*2+6)</f>
        <v>2105.548724853742</v>
      </c>
      <c r="JQ267" s="39">
        <f t="shared" ref="JQ267:JQ283" si="819">JO267-JD267</f>
        <v>3915.3014754892483</v>
      </c>
      <c r="JR267" s="39">
        <f t="shared" si="705"/>
        <v>-25.35020034299032</v>
      </c>
      <c r="JS267" s="39">
        <f t="shared" ref="JS267:JS283" si="820">JM267*JD267/1000000</f>
        <v>2.5833698184685874</v>
      </c>
      <c r="JT267" s="39">
        <f t="shared" si="814"/>
        <v>-3.3827246524613816E-2</v>
      </c>
      <c r="JU267" s="385">
        <f>(JQ267*JM267-INDEX(Input!$1:$1048576,Input!A$18,$C267*2+6)*JL267*INDEX(Input!$1:$1048576,Input!A$19,$C267*2+6))/1000000</f>
        <v>4.8623588291234618</v>
      </c>
      <c r="JV267" s="39">
        <f t="shared" si="712"/>
        <v>2.7149394116663395E-2</v>
      </c>
      <c r="JW267" s="1">
        <f t="shared" si="703"/>
        <v>5.6149365361720304E-3</v>
      </c>
      <c r="JX267" s="19">
        <f t="shared" si="694"/>
        <v>30370.730610463306</v>
      </c>
      <c r="JZ267" s="341"/>
      <c r="KA267" s="342"/>
      <c r="KB267" s="469">
        <f t="shared" ref="KB267:KB283" si="821">KB266</f>
        <v>2.5660492421988774</v>
      </c>
      <c r="KI267" s="473">
        <f t="shared" si="771"/>
        <v>15.824089170404704</v>
      </c>
      <c r="KJ267" s="473">
        <f t="shared" si="772"/>
        <v>4.1857555432559366</v>
      </c>
      <c r="KK267" s="473">
        <f t="shared" si="815"/>
        <v>-21.123655473055294</v>
      </c>
      <c r="KN267" s="544">
        <f t="shared" si="695"/>
        <v>2002</v>
      </c>
      <c r="KO267" s="541">
        <f t="shared" si="794"/>
        <v>-6.7825334707425355E-3</v>
      </c>
      <c r="KP267" s="546">
        <f t="shared" si="795"/>
        <v>-28.090269414993866</v>
      </c>
      <c r="KQ267" s="546">
        <f t="shared" si="796"/>
        <v>-63.481814922721242</v>
      </c>
      <c r="KR267" s="548">
        <f t="shared" si="797"/>
        <v>4.307874231189027</v>
      </c>
      <c r="KS267" s="548">
        <f t="shared" si="798"/>
        <v>1.9062049172242237</v>
      </c>
      <c r="KT267" s="473">
        <f t="shared" ref="KT267:KT283" si="822">KT266</f>
        <v>843.26993010479111</v>
      </c>
      <c r="KU267" s="663">
        <f t="shared" si="816"/>
        <v>4.5414461685888607</v>
      </c>
    </row>
    <row r="268" spans="1:308" s="26" customFormat="1" ht="15" outlineLevel="1">
      <c r="A268" s="561">
        <f t="shared" si="799"/>
        <v>2068</v>
      </c>
      <c r="B268" s="561">
        <f t="shared" si="817"/>
        <v>68</v>
      </c>
      <c r="C268" s="561">
        <f t="shared" si="760"/>
        <v>2</v>
      </c>
      <c r="D268" s="561" t="str">
        <f t="shared" si="728"/>
        <v xml:space="preserve">180 Lease, </v>
      </c>
      <c r="E268" s="475">
        <f>INDEX(Input!$1:$1048576,E$93,$C268*2+MIN($B268,2)+5)
+INDEX(Scenarios!E$121:E$200,MATCH($B268,Scenarios!$B$121:$B$200,0))</f>
        <v>1269.7618664521319</v>
      </c>
      <c r="F268" s="475">
        <f>INDEX(Input!$1:$1048576,F$93,$C268*2+MIN($B268,2)+5)
+INDEX(Scenarios!F$121:F$200,MATCH($B268,Scenarios!$B$121:$B$200,0))</f>
        <v>0</v>
      </c>
      <c r="G268" s="475">
        <f>INDEX(Input!$1:$1048576,G$93,$C268*2+MIN($B268,2)+5)
+INDEX(Scenarios!G$121:G$200,MATCH($B268,Scenarios!$B$121:$B$200,0))</f>
        <v>0</v>
      </c>
      <c r="H268" s="475">
        <f>INDEX(Input!$1:$1048576,H$93,$C268*2+MIN($B268,2)+5)
+INDEX(Scenarios!H$121:H$200,MATCH($B268,Scenarios!$B$121:$B$200,0))</f>
        <v>0</v>
      </c>
      <c r="I268" s="476">
        <f>INDEX(Input!$1:$1048576,I$93,$C268*2+MIN($B268,2)+5)</f>
        <v>0.7</v>
      </c>
      <c r="J268" s="476" t="str">
        <f>INDEX(Input!$1:$1048576,J$93,$C268*2+MIN($B268,2)+5)</f>
        <v>Market</v>
      </c>
      <c r="K268" s="476" t="str">
        <f>INDEX(Input!$1:$1048576,K$93,$C268*2+MIN($B268,2)+5)</f>
        <v>Market</v>
      </c>
      <c r="L268" s="476" t="str">
        <f>INDEX(Input!$1:$1048576,L$93,$C268*2+MIN($B268,2)+5)</f>
        <v>Market</v>
      </c>
      <c r="M268" s="476" t="str">
        <f>INDEX(Input!$1:$1048576,M$93,$C268*2+MIN($B268,2)+5)</f>
        <v>Market</v>
      </c>
      <c r="N268" s="476" t="str">
        <f>INDEX(Input!$1:$1048576,N$93,$C268*2+MIN($B268,2)+5)</f>
        <v>Market</v>
      </c>
      <c r="O268" s="476" t="str">
        <f>INDEX(Input!$1:$1048576,O$93,$C268*2+MIN($B268,2)+5)</f>
        <v>Market</v>
      </c>
      <c r="P268" s="476" t="str">
        <f>INDEX(Input!$1:$1048576,P$93,$C268*2+MIN($B268,2)+5)</f>
        <v>N</v>
      </c>
      <c r="Q268" s="477">
        <f>INDEX(Input!$1:$1048576,Q$93,$C268*2+MIN($B268,2)+5)
+INDEX(Scenarios!Q$121:Q$200,MATCH($B268,Scenarios!$B$121:$B$200,0))</f>
        <v>0</v>
      </c>
      <c r="R268" s="478">
        <f>IFERROR(MAX(0,INDEX(Input!$1:$1048576,R$93,$C268*2+MIN($B268,2)+5)
+INDEX(Scenarios!R$121:R$200,MATCH($B268,Scenarios!$B$121:$B$200,0)),),"Market")</f>
        <v>0</v>
      </c>
      <c r="S268" s="478">
        <f>IFERROR(MAX(0,INDEX(Input!$1:$1048576,S$93,$C268*2+MIN($B268,2)+5)
+INDEX(Scenarios!S$121:S$200,MATCH($B268,Scenarios!$B$121:$B$200,0)),),"Market")</f>
        <v>0</v>
      </c>
      <c r="T268" s="478">
        <f>IFERROR(MAX(0,INDEX(Input!$1:$1048576,T$93,$C268*2+MIN($B268,2)+5)
+INDEX(Scenarios!T$121:T$200,MATCH($B268,Scenarios!$B$121:$B$200,0)),),"Market")</f>
        <v>0</v>
      </c>
      <c r="U268" s="478">
        <f>IFERROR(MAX(0,INDEX(Input!$1:$1048576,U$93,$C268*2+MIN($B268,2)+5)
+INDEX(Scenarios!U$121:U$200,MATCH($B268,Scenarios!$B$121:$B$200,0)),),"Market")</f>
        <v>0</v>
      </c>
      <c r="V268" s="478">
        <f>IFERROR(MAX(0,INDEX(Input!$1:$1048576,V$93,$C268*2+MIN($B268,2)+5)
+INDEX(Scenarios!V$121:V$200,MATCH($B268,Scenarios!$B$121:$B$200,0)),),"Market")</f>
        <v>1.9E-2</v>
      </c>
      <c r="W268" s="885">
        <f>IFERROR(MAX(0,INDEX(Input!$1:$1048576,W$93,$C268*2+MIN($B268,2)+5)-0%,),"Market")</f>
        <v>3.9E-2</v>
      </c>
      <c r="X268" s="476" t="str">
        <f>INDEX(Input!$1:$1048576,X$93,$C268*2+MIN($B268,2)+5)</f>
        <v>Y</v>
      </c>
      <c r="Y268" s="475">
        <f>INDEX(Input!$1:$1048576,Y$93,$C268*2+MIN($B268,2)+5)
++INDEX(Scenarios!Y$121:Y$200,MATCH($B268,Scenarios!$B$121:$B$200,0))</f>
        <v>236</v>
      </c>
      <c r="Z268" s="477">
        <f>INDEX(Input!$1:$1048576,Z$93,$C268*2+MIN($B268,2)+5)
+INDEX(Scenarios!Z$121:Z$200,MATCH($B268,Scenarios!$B$121:$B$200,0))</f>
        <v>0</v>
      </c>
      <c r="AA268" s="475">
        <f>INDEX(Input!$1:$1048576,AA$93,$C268*2+MIN($B268,2)+5)
+INDEX(Scenarios!AA$121:AA$200,MATCH($B268,Scenarios!$B$121:$B$200,0))</f>
        <v>0</v>
      </c>
      <c r="AB268" s="476">
        <f>INDEX(Input!$1:$1048576,AB$93,$C268*2+MIN($B268,2)+5)</f>
        <v>0.27</v>
      </c>
      <c r="AC268" s="475">
        <f>INDEX(Input!$1:$1048576,AC$93,$C268*2+MIN($B268,2)+5)
+INDEX(Scenarios!AC$121:AC$200,MATCH($B268,Scenarios!$B$121:$B$200,0))</f>
        <v>0</v>
      </c>
      <c r="AD268" s="476">
        <f>INDEX(Input!$1:$1048576,AD$93,$C268*2+MIN($B268,2)+5)</f>
        <v>0.27</v>
      </c>
      <c r="AE268" s="475">
        <f>INDEX(Input!$1:$1048576,AE$93,$C268*2+MIN($B268,2)+5)
+INDEX(Scenarios!AE$121:AE$200,MATCH($B268,Scenarios!$B$121:$B$200,0))</f>
        <v>0</v>
      </c>
      <c r="AF268" s="476">
        <f>INDEX(Input!$1:$1048576,AF$93,$C268*2+MIN($B268,2)+5)</f>
        <v>4.8000000000000001E-2</v>
      </c>
      <c r="AG268" s="475">
        <f>INDEX(Input!$1:$1048576,AG$93,$C268*2+MIN($B268,2)+5)
+INDEX(Scenarios!AG$121:AG$200,MATCH($B268,Scenarios!$B$121:$B$200,0))</f>
        <v>500</v>
      </c>
      <c r="AH268" s="476">
        <f>INDEX(Input!$1:$1048576,AH$93,$C268*2+MIN($B268,2)+5)</f>
        <v>0.94599999999999995</v>
      </c>
      <c r="AI268" s="475">
        <f>INDEX(Input!$1:$1048576,AI$93,$C268*2+MIN($B268,2)+5)
+INDEX(Scenarios!AI$121:AI$200,MATCH($B268,Scenarios!$B$121:$B$200,0))</f>
        <v>0</v>
      </c>
      <c r="AJ268" s="476">
        <f>INDEX(Input!$1:$1048576,AJ$93,$C268*2+MIN($B268,2)+5)</f>
        <v>0.27</v>
      </c>
      <c r="AK268" s="150">
        <f>ROUND(INDEX(Input!$1:$1048576,AK$93,$C267*2+MIN($B268,1)+5)+(Y268-VLOOKUP($C268*1000+1,$A:$HH,Y$92,FALSE)),0)</f>
        <v>3157</v>
      </c>
      <c r="AL268" s="150">
        <f>ROUND(INDEX(Input!$1:$1048576,AL$93,$C267*2+MIN($B268,1)+5)-(Y268-VLOOKUP($C268*1000+1,$A:$HH,Y$92,FALSE))/36,0)</f>
        <v>3390</v>
      </c>
      <c r="AM268" s="32" t="str">
        <f t="shared" si="800"/>
        <v>std/std/std/std</v>
      </c>
      <c r="AN268" s="32" t="str">
        <f t="shared" si="801"/>
        <v>$0 + 0/0/0/1.9/3.9</v>
      </c>
      <c r="AO268" s="32" t="str">
        <f t="shared" si="802"/>
        <v>0/0/0/1.9/3.9</v>
      </c>
      <c r="AP268" s="32" t="str">
        <f t="shared" si="734"/>
        <v>0/0.9/1.9/3.9</v>
      </c>
      <c r="AQ268" s="536">
        <f t="shared" si="733"/>
        <v>0.35022801504499607</v>
      </c>
      <c r="AR268" s="32"/>
      <c r="AS268" s="302"/>
      <c r="AT268" s="3">
        <f t="shared" si="717"/>
        <v>68</v>
      </c>
      <c r="AU268" s="41" t="s">
        <v>121</v>
      </c>
      <c r="AV268" s="41" t="s">
        <v>116</v>
      </c>
      <c r="AW268" s="41" t="str">
        <f>INDEX(Input!$1:$1048576,AW$93,$C268*2+6)</f>
        <v>Kia</v>
      </c>
      <c r="AX268" s="41" t="str">
        <f>INDEX(Input!$1:$1048576,AX$93,$C268*2+6)</f>
        <v>Kia-LR - L2</v>
      </c>
      <c r="AY268" s="41" t="str">
        <f>IF(LEN(D268)=0,"",INDEX(Input!$1:$1048576,AY$93,$C268*2+6))</f>
        <v>Compact SUV (52)</v>
      </c>
      <c r="AZ268" s="41" t="str">
        <f>INDEX(Input!$1:$1048576,AZ$93,$C268*2+6)</f>
        <v>Kia Soul</v>
      </c>
      <c r="BA268" s="3">
        <f>INDEX(Input!$1:$1048576,BA$93,$C268*2+6)</f>
        <v>2020</v>
      </c>
      <c r="BB268" s="128">
        <f>INDEX(Input!$1:$1048576,BB$93,$C268*2+6)</f>
        <v>1</v>
      </c>
      <c r="BC268" s="128">
        <f>INDEX(Input!$1:$1048576,BC$93,$C268*2+6)</f>
        <v>0.7</v>
      </c>
      <c r="BD268" s="1">
        <f>INDEX(Input!$1:$1048576,BD$93,$C268*2+6)</f>
        <v>4.4999999999999998E-2</v>
      </c>
      <c r="BE268" s="1">
        <f>INDEX(Input!$1:$1048576,BE$93,$C268*2+6)</f>
        <v>4.4999999999999998E-2</v>
      </c>
      <c r="BF268" s="1">
        <f>INDEX(Input!$1:$1048576,BF$93,$C268*2+6)</f>
        <v>0.05</v>
      </c>
      <c r="BG268" s="1">
        <f>INDEX(Input!$1:$1048576,BG$93,$C268*2+6)</f>
        <v>5.45E-2</v>
      </c>
      <c r="BH268" s="1">
        <f>INDEX(Input!$1:$1048576,BH$93,$C268*2+6)</f>
        <v>5.45E-2</v>
      </c>
      <c r="BI268" s="1">
        <f>INDEX(Input!$1:$1048576,BI$93,$C268*2+6)</f>
        <v>0.05</v>
      </c>
      <c r="BJ268" s="1">
        <f>INDEX(Input!$1:$1048576,BJ$93,$C268*2+6)</f>
        <v>0.05</v>
      </c>
      <c r="BK268" s="1">
        <f>INDEX(Input!$1:$1048576,BK$93,$C268*2+6)</f>
        <v>0.05</v>
      </c>
      <c r="BL268" s="1">
        <f>INDEX(Input!$1:$1048576,BL$93,$C268*2+6)</f>
        <v>5.5E-2</v>
      </c>
      <c r="BM268" s="1">
        <f>INDEX(Input!$1:$1048576,BM$93,$C268*2+6)</f>
        <v>0.06</v>
      </c>
      <c r="BN268" s="1">
        <f>INDEX(Input!$1:$1048576,BN$93,$C268*2+6)</f>
        <v>4.4999999999999998E-2</v>
      </c>
      <c r="BO268" s="1">
        <f>INDEX(Input!$1:$1048576,BO$93,$C268*2+6)</f>
        <v>4.4999999999999998E-2</v>
      </c>
      <c r="BP268" s="1">
        <f>INDEX(Input!$1:$1048576,BP$93,$C268*2+6)</f>
        <v>0.05</v>
      </c>
      <c r="BQ268" s="1">
        <f>INDEX(Input!$1:$1048576,BQ$93,$C268*2+6)</f>
        <v>5.45E-2</v>
      </c>
      <c r="BR268" s="1">
        <f>INDEX(Input!$1:$1048576,BR$93,$C268*2+6)</f>
        <v>5.45E-2</v>
      </c>
      <c r="BS268" s="1">
        <f>INDEX(Input!$1:$1048576,BS$93,$C268*2+6)</f>
        <v>0.05</v>
      </c>
      <c r="BT268" s="1">
        <f>INDEX(Input!$1:$1048576,BT$93,$C268*2+6)</f>
        <v>0.05</v>
      </c>
      <c r="BU268" s="1">
        <f>INDEX(Input!$1:$1048576,BU$93,$C268*2+6)</f>
        <v>0.05</v>
      </c>
      <c r="BV268" s="1">
        <f>INDEX(Input!$1:$1048576,BV$93,$C268*2+6)</f>
        <v>5.5E-2</v>
      </c>
      <c r="BW268" s="1">
        <f>INDEX(Input!$1:$1048576,BW$93,$C268*2+6)</f>
        <v>0.06</v>
      </c>
      <c r="BX268" s="127">
        <f>INDEX(Input!$1:$1048576,BX$93,$C268*2+6)</f>
        <v>19985</v>
      </c>
      <c r="BY268" s="20">
        <f>INDEX(Input!$1:$1048576,BY$93,$C268*2+6)</f>
        <v>0.1</v>
      </c>
      <c r="BZ268" s="20">
        <f>INDEX(Input!$1:$1048576,BZ$93,$C268*2+6)</f>
        <v>0.1</v>
      </c>
      <c r="CA268" s="20">
        <f>INDEX(Input!$1:$1048576,CA$93,$C268*2+6)</f>
        <v>0.1</v>
      </c>
      <c r="CB268" s="20">
        <f>INDEX(Input!$1:$1048576,CB$93,$C268*2+6)</f>
        <v>0.1</v>
      </c>
      <c r="CC268" s="20">
        <f>INDEX(Input!$1:$1048576,CC$93,$C268*2+6)</f>
        <v>0.1</v>
      </c>
      <c r="CD268" s="384">
        <f>INDEX(Input!$1:$1048576,CD$93,$C268*2+6)</f>
        <v>0.1</v>
      </c>
      <c r="CE268" s="384">
        <f>INDEX(Input!$1:$1048576,CE$93,$C268*2+6)</f>
        <v>0.1</v>
      </c>
      <c r="CF268" s="384">
        <f>INDEX(Input!$1:$1048576,CF$93,$C268*2+6)</f>
        <v>0.1</v>
      </c>
      <c r="CG268" s="384">
        <f>INDEX(Input!$1:$1048576,CG$93,$C268*2+6)</f>
        <v>0.1</v>
      </c>
      <c r="CH268" s="384">
        <f>INDEX(Input!$1:$1048576,CH$93,$C268*2+6)</f>
        <v>0.1</v>
      </c>
      <c r="CI268" s="304">
        <f t="shared" si="735"/>
        <v>1269.7618664521319</v>
      </c>
      <c r="CJ268" s="16" t="str">
        <f>INDEX(Input!$1:$1048576,CJ$93,$C268*2+6)</f>
        <v>N</v>
      </c>
      <c r="CK268" s="1" t="str">
        <f t="shared" si="736"/>
        <v>Market</v>
      </c>
      <c r="CL268" s="1" t="str">
        <f t="shared" si="737"/>
        <v>Market</v>
      </c>
      <c r="CM268" s="1" t="str">
        <f t="shared" si="738"/>
        <v>Market</v>
      </c>
      <c r="CN268" s="1" t="str">
        <f t="shared" si="739"/>
        <v>Market</v>
      </c>
      <c r="CO268" s="1" t="str">
        <f t="shared" si="740"/>
        <v>Market</v>
      </c>
      <c r="CP268" s="304">
        <f t="shared" si="741"/>
        <v>473</v>
      </c>
      <c r="CQ268" s="1">
        <f t="shared" si="742"/>
        <v>0</v>
      </c>
      <c r="CR268" s="1">
        <f t="shared" si="743"/>
        <v>0</v>
      </c>
      <c r="CS268" s="1">
        <f t="shared" si="744"/>
        <v>0</v>
      </c>
      <c r="CT268" s="1">
        <f t="shared" si="745"/>
        <v>1.9E-2</v>
      </c>
      <c r="CU268" s="1">
        <f t="shared" si="746"/>
        <v>3.9E-2</v>
      </c>
      <c r="CV268" s="304">
        <f t="shared" si="747"/>
        <v>236</v>
      </c>
      <c r="CW268" s="20" t="s">
        <v>122</v>
      </c>
      <c r="CX268" s="20" t="s">
        <v>122</v>
      </c>
      <c r="CY268" s="20" t="s">
        <v>122</v>
      </c>
      <c r="CZ268" s="20" t="s">
        <v>122</v>
      </c>
      <c r="DA268" s="20" t="s">
        <v>122</v>
      </c>
      <c r="DB268" s="503">
        <f t="shared" si="748"/>
        <v>0</v>
      </c>
      <c r="DC268" s="127">
        <v>0</v>
      </c>
      <c r="DD268" s="127">
        <v>0</v>
      </c>
      <c r="DE268" s="127">
        <v>0</v>
      </c>
      <c r="DF268" s="127">
        <v>0</v>
      </c>
      <c r="DG268" s="127">
        <v>0</v>
      </c>
      <c r="DH268" s="127">
        <v>0</v>
      </c>
      <c r="DI268" s="127">
        <v>0</v>
      </c>
      <c r="DJ268" s="127">
        <v>0</v>
      </c>
      <c r="DK268" s="127">
        <v>0</v>
      </c>
      <c r="DL268" s="127">
        <v>0</v>
      </c>
      <c r="DM268" s="304">
        <f>INDEX(Input!$1:$1048576,DM$93,$C268*2+6)</f>
        <v>21036.84210526316</v>
      </c>
      <c r="DN268" s="20">
        <v>0</v>
      </c>
      <c r="DO268" s="20">
        <v>0</v>
      </c>
      <c r="DP268" s="20">
        <v>0</v>
      </c>
      <c r="DQ268" s="20">
        <v>0</v>
      </c>
      <c r="DR268" s="20">
        <v>0</v>
      </c>
      <c r="DS268" s="20">
        <f>INDEX(Input!$1:$1048576,DS$93,$C268*2+6)</f>
        <v>0.6</v>
      </c>
      <c r="DT268" s="20">
        <f>INDEX(Input!$1:$1048576,DT$93,$C268*2+6)</f>
        <v>0.55000000000000004</v>
      </c>
      <c r="DU268" s="20">
        <f>INDEX(Input!$1:$1048576,DU$93,$C268*2+6)</f>
        <v>0.52</v>
      </c>
      <c r="DV268" s="20">
        <f>INDEX(Input!$1:$1048576,DV$93,$C268*2+6)</f>
        <v>0.5</v>
      </c>
      <c r="DW268" s="20">
        <f>INDEX(Input!$1:$1048576,DW$93,$C268*2+6)</f>
        <v>0.45</v>
      </c>
      <c r="DX268" s="20"/>
      <c r="DY268" s="7">
        <v>9.0768245534463651E-2</v>
      </c>
      <c r="DZ268" s="7">
        <v>0</v>
      </c>
      <c r="EA268" s="7">
        <v>0.6429781110119781</v>
      </c>
      <c r="EB268" s="7">
        <v>0</v>
      </c>
      <c r="EC268" s="7">
        <v>0</v>
      </c>
      <c r="ED268" s="7">
        <v>0</v>
      </c>
      <c r="EE268" s="7">
        <v>0</v>
      </c>
      <c r="EF268" s="7">
        <v>0</v>
      </c>
      <c r="EG268" s="7">
        <v>0</v>
      </c>
      <c r="EH268" s="7">
        <v>1.4256123880497032E-2</v>
      </c>
      <c r="EI268" s="7">
        <v>4.0572759823046242E-2</v>
      </c>
      <c r="EJ268" s="7">
        <v>0.30717278657035207</v>
      </c>
      <c r="EK268" s="7">
        <v>0.52679402869447745</v>
      </c>
      <c r="EL268" s="7">
        <v>0.11120430103162687</v>
      </c>
      <c r="EM268" s="7">
        <v>5.6247015805138106E-2</v>
      </c>
      <c r="EN268" s="7">
        <v>6.6159996141283386E-2</v>
      </c>
      <c r="EO268" s="7">
        <v>0.73744022127619269</v>
      </c>
      <c r="EP268" s="7">
        <v>8.4936696050550334E-2</v>
      </c>
      <c r="EQ268" s="7">
        <v>7.2452931805111989E-2</v>
      </c>
      <c r="ER268" s="7">
        <v>3.9010154726862055E-2</v>
      </c>
      <c r="ES268" s="7">
        <v>0.21000662764842015</v>
      </c>
      <c r="ET268" s="7">
        <v>0.26625364345355823</v>
      </c>
      <c r="EU268" s="6">
        <v>1294</v>
      </c>
      <c r="EV268" s="6">
        <v>0</v>
      </c>
      <c r="EW268" s="6">
        <v>1294</v>
      </c>
      <c r="EX268" s="6">
        <v>0</v>
      </c>
      <c r="EY268" s="6">
        <v>2053.9429055653454</v>
      </c>
      <c r="EZ268" s="6">
        <v>1126</v>
      </c>
      <c r="FA268" s="6">
        <v>0</v>
      </c>
      <c r="FB268" s="6">
        <v>0</v>
      </c>
      <c r="FC268" s="6">
        <v>0</v>
      </c>
      <c r="FD268" s="6">
        <v>0</v>
      </c>
      <c r="FE268" s="6">
        <v>0</v>
      </c>
      <c r="FF268" s="6">
        <v>0</v>
      </c>
      <c r="FG268" s="6">
        <v>0</v>
      </c>
      <c r="FH268" s="6">
        <v>1173.7292779641002</v>
      </c>
      <c r="FI268" s="6">
        <v>1553.9796069512408</v>
      </c>
      <c r="FJ268" s="6">
        <v>2101.2110117447405</v>
      </c>
      <c r="FK268" s="6">
        <v>1772.7139978623231</v>
      </c>
      <c r="FL268" s="6">
        <v>907.07682140966381</v>
      </c>
      <c r="FM268" s="6">
        <v>1759.9429055653457</v>
      </c>
      <c r="FN268" s="6">
        <v>0</v>
      </c>
      <c r="FO268" s="6">
        <v>0</v>
      </c>
      <c r="FP268" s="6">
        <v>0</v>
      </c>
      <c r="FQ268" s="6">
        <v>0</v>
      </c>
      <c r="FR268" s="6">
        <v>0</v>
      </c>
      <c r="FS268" s="6">
        <v>0</v>
      </c>
      <c r="FT268" s="7">
        <v>0.73374635654644171</v>
      </c>
      <c r="FU268" s="7">
        <v>5.6247015805138106E-2</v>
      </c>
      <c r="FV268" s="7">
        <v>0.21000662764842015</v>
      </c>
      <c r="FW268" s="6">
        <v>1294</v>
      </c>
      <c r="FX268" s="6">
        <v>2053.9429055653454</v>
      </c>
      <c r="FY268" s="6">
        <v>1126</v>
      </c>
      <c r="FZ268" s="6">
        <v>1817.4615072224267</v>
      </c>
      <c r="GA268" s="6">
        <v>1301.4634071754019</v>
      </c>
      <c r="GB268" s="6">
        <v>18683.536592824599</v>
      </c>
      <c r="GC268" s="7">
        <v>1.804905384453976E-2</v>
      </c>
      <c r="GD268" s="7">
        <v>1.7265689652213329E-2</v>
      </c>
      <c r="GE268" s="7"/>
      <c r="GF268" s="7"/>
      <c r="GG268" s="7">
        <v>-4.3401953314212968E-2</v>
      </c>
      <c r="GH268" s="42">
        <v>1.680990757340963</v>
      </c>
      <c r="GI268" s="6">
        <v>13190.285468049082</v>
      </c>
      <c r="GJ268" s="14">
        <v>0.50394797582841722</v>
      </c>
      <c r="GK268" s="14">
        <v>0.50887573065309755</v>
      </c>
      <c r="GL268" s="14">
        <v>0.49605202417158289</v>
      </c>
      <c r="GM268" s="14">
        <v>0.49112426934690262</v>
      </c>
      <c r="GO268" s="5">
        <v>343.14810671672558</v>
      </c>
      <c r="GP268" s="5">
        <v>318.46105531198077</v>
      </c>
      <c r="GQ268" s="5">
        <v>535.04305713031317</v>
      </c>
      <c r="GR268" s="5">
        <v>410.15490233172511</v>
      </c>
      <c r="GS268" s="5">
        <v>339.42744393800166</v>
      </c>
      <c r="GT268" s="5">
        <v>293.4407446948278</v>
      </c>
      <c r="GU268" s="5">
        <v>258.04012322764959</v>
      </c>
      <c r="GV268" s="39" t="s">
        <v>392</v>
      </c>
      <c r="GW268" s="5">
        <v>491.45833333333331</v>
      </c>
      <c r="GX268" s="5">
        <v>368.59375</v>
      </c>
      <c r="GY268" s="5">
        <v>294.875</v>
      </c>
      <c r="GZ268" s="5">
        <v>260.19607020114813</v>
      </c>
      <c r="HA268" s="5">
        <v>241.02179695997205</v>
      </c>
      <c r="HB268" s="39">
        <v>276.4111285491154</v>
      </c>
      <c r="HC268" s="5">
        <v>238.02187499999999</v>
      </c>
      <c r="HD268" s="5">
        <v>206.18177997076018</v>
      </c>
      <c r="HE268" s="5">
        <v>209.74523869770576</v>
      </c>
      <c r="HF268" s="5">
        <v>194.87000548245612</v>
      </c>
      <c r="HG268" s="5">
        <v>189.04971491228071</v>
      </c>
      <c r="HH268" s="39">
        <v>207.10309321149424</v>
      </c>
      <c r="HI268" s="16"/>
      <c r="HJ268" s="19" t="str">
        <f t="shared" ref="HJ268" si="823">HJ267</f>
        <v>On</v>
      </c>
      <c r="HK268" s="1" t="str">
        <f t="shared" si="818"/>
        <v>On</v>
      </c>
      <c r="HL268" s="16"/>
      <c r="HM268" s="639">
        <f t="shared" si="775"/>
        <v>1.2768706344444866E-2</v>
      </c>
      <c r="HN268" s="639">
        <f t="shared" si="776"/>
        <v>9.795534288915453E-4</v>
      </c>
      <c r="HO268" s="639">
        <f t="shared" si="777"/>
        <v>3.3583061774515237E-3</v>
      </c>
      <c r="HP268" s="644">
        <f>(FT268*$GD268-HM268)/$JF268*INDEX(Input!$1:$1048576,$JG$93,$C268*2+6)</f>
        <v>-7.2712635701052939</v>
      </c>
      <c r="HQ268" s="644">
        <f>(FU268*$GD268-HN268)/$JF268*INDEX(Input!$1:$1048576,$JG$93,$C268*2+6)</f>
        <v>-0.61108222013876379</v>
      </c>
      <c r="HR268" s="644">
        <f>(FV268*$GD268-HO268)/$JF268*INDEX(Input!$1:$1048576,$JG$93,$C268*2+6)</f>
        <v>19.444617343796462</v>
      </c>
      <c r="HS268" s="644">
        <f t="shared" si="767"/>
        <v>-2.6625024569507563</v>
      </c>
      <c r="HT268" s="644">
        <f t="shared" si="778"/>
        <v>2.8097901443728506</v>
      </c>
      <c r="HU268" s="644">
        <f t="shared" si="779"/>
        <v>4.6592377305565504</v>
      </c>
      <c r="HV268" s="648">
        <f t="shared" si="780"/>
        <v>0</v>
      </c>
      <c r="HW268" s="648">
        <f t="shared" si="781"/>
        <v>0</v>
      </c>
      <c r="HX268" s="648">
        <f t="shared" si="782"/>
        <v>0</v>
      </c>
      <c r="HY268" s="644">
        <f>INDEX(Input!$1:$1048576,HY$93,$C268*2+6)*INDEX(Input!$1:$1048576,$JG$93,$C268*2+6)</f>
        <v>451</v>
      </c>
      <c r="HZ268" s="644">
        <f>INDEX(Input!$1:$1048576,HZ$93,$C268*2+6)*INDEX(Input!$1:$1048576,$JG$93,$C268*2+6)</f>
        <v>577</v>
      </c>
      <c r="IA268" s="644">
        <f>INDEX(Input!$1:$1048576,IA$93,$C268*2+6)*INDEX(Input!$1:$1048576,$JG$93,$C268*2+6)</f>
        <v>215</v>
      </c>
      <c r="IB268" s="644">
        <f t="shared" si="804"/>
        <v>441.06623397294396</v>
      </c>
      <c r="IC268" s="644">
        <f t="shared" si="805"/>
        <v>579.1987079242341</v>
      </c>
      <c r="ID268" s="644">
        <f>IF(AND(INDEX(Input!$1:$1048576,IA$93,$C268*2+7)="TOS",Y268&lt;=INDEX(Y:Y,MATCH(C268*1000+2,A:A))),0,1)*MAX(IA268+HR268+HU268+HX268,0%)</f>
        <v>239.10385507435302</v>
      </c>
      <c r="IE268" s="128">
        <f t="shared" si="768"/>
        <v>0.35022801504499607</v>
      </c>
      <c r="IF268" s="128">
        <f t="shared" si="783"/>
        <v>0.4599119092969931</v>
      </c>
      <c r="IG268" s="128">
        <f t="shared" si="784"/>
        <v>0.18986007565801086</v>
      </c>
      <c r="IH268" s="21"/>
      <c r="II268" s="19">
        <f t="shared" si="785"/>
        <v>1252</v>
      </c>
      <c r="IJ268" s="19">
        <f t="shared" si="786"/>
        <v>2011.9658773055378</v>
      </c>
      <c r="IK268" s="19">
        <f t="shared" si="787"/>
        <v>919</v>
      </c>
      <c r="IL268" s="19">
        <f t="shared" si="806"/>
        <v>42</v>
      </c>
      <c r="IM268" s="19">
        <f t="shared" si="788"/>
        <v>41.977028259807639</v>
      </c>
      <c r="IN268" s="19">
        <f t="shared" si="789"/>
        <v>207</v>
      </c>
      <c r="IO268" s="39">
        <f t="shared" si="790"/>
        <v>0</v>
      </c>
      <c r="IP268" s="39">
        <f t="shared" si="791"/>
        <v>0</v>
      </c>
      <c r="IQ268" s="39">
        <f t="shared" si="792"/>
        <v>0</v>
      </c>
      <c r="IR268" s="39">
        <v>0</v>
      </c>
      <c r="IS268" s="39">
        <v>0</v>
      </c>
      <c r="IT268" s="39">
        <v>0</v>
      </c>
      <c r="IU268" s="39">
        <v>0</v>
      </c>
      <c r="IV268" s="39">
        <v>0</v>
      </c>
      <c r="IW268" s="39">
        <v>0</v>
      </c>
      <c r="IX268" s="39">
        <f>INDEX(Input!$1:$1048576,IX$93,$C268*2+6)+INDEX(Input!$1:$1048576,IX$94,$C268*2+6)</f>
        <v>1294</v>
      </c>
      <c r="IY268" s="39">
        <f>INDEX(Input!$1:$1048576,IY$93,$C268*2+6)+INDEX(Input!$1:$1048576,IY$94,$C268*2+6)</f>
        <v>2154.0624533823611</v>
      </c>
      <c r="IZ268" s="39">
        <f>INDEX(Input!$1:$1048576,IZ$93,$C268*2+6)+INDEX(Input!$1:$1048576,IZ$94,$C268*2+6)</f>
        <v>3677.7164157747848</v>
      </c>
      <c r="JA268" s="19">
        <f t="shared" si="807"/>
        <v>1336</v>
      </c>
      <c r="JB268" s="19">
        <f t="shared" si="808"/>
        <v>2196.0394816421685</v>
      </c>
      <c r="JC268" s="19">
        <f t="shared" si="809"/>
        <v>3884.7164157747848</v>
      </c>
      <c r="JD268" s="19">
        <f t="shared" si="810"/>
        <v>2215.4418916026607</v>
      </c>
      <c r="JE268" s="21"/>
      <c r="JF268" s="1">
        <f t="shared" si="793"/>
        <v>1.7106565950787935E-2</v>
      </c>
      <c r="JG268" s="15">
        <f>INDEX(Input!$1:$1048576,JG$93,$C268*2+6)/(1+VLOOKUP(C268*1000+INDEX(Input!$1:$1048576,JG$93+1,$C268*2+6),$A:$KK,$JK$92,FALSE))</f>
        <v>1243</v>
      </c>
      <c r="JH268" s="1">
        <f t="shared" si="811"/>
        <v>9.3019079272344367E-3</v>
      </c>
      <c r="JI268" s="1">
        <f t="shared" si="812"/>
        <v>3.866874833450237E-3</v>
      </c>
      <c r="JJ268" s="1">
        <f t="shared" si="769"/>
        <v>0</v>
      </c>
      <c r="JK268" s="1">
        <f t="shared" si="770"/>
        <v>1.3168782760684674E-2</v>
      </c>
      <c r="JL268" s="15">
        <f t="shared" si="813"/>
        <v>16.368796971531051</v>
      </c>
      <c r="JM268" s="15">
        <f t="shared" si="702"/>
        <v>1259.3687969715311</v>
      </c>
      <c r="JN268" s="21"/>
      <c r="JO268" s="19">
        <f>INDEX(Input!$1:$1048576,JO$93,$C268*2+6)</f>
        <v>5995.5</v>
      </c>
      <c r="JP268" s="19">
        <f>INDEX(Input!$1:$1048576,JP$93,$C268*2+6)</f>
        <v>2105.548724853742</v>
      </c>
      <c r="JQ268" s="39">
        <f t="shared" si="819"/>
        <v>3780.0581083973393</v>
      </c>
      <c r="JR268" s="39">
        <f t="shared" si="705"/>
        <v>109.8931667489187</v>
      </c>
      <c r="JS268" s="39">
        <f t="shared" si="820"/>
        <v>2.7900583897879763</v>
      </c>
      <c r="JT268" s="39">
        <f t="shared" si="814"/>
        <v>0.17286132479477487</v>
      </c>
      <c r="JU268" s="385">
        <f>(JQ268*JM268-INDEX(Input!$1:$1048576,Input!A$18,$C268*2+6)*JL268*INDEX(Input!$1:$1048576,Input!A$19,$C268*2+6))/1000000</f>
        <v>4.760487232454838</v>
      </c>
      <c r="JV268" s="39">
        <f t="shared" si="712"/>
        <v>-7.4722202551960493E-2</v>
      </c>
      <c r="JW268" s="1">
        <f t="shared" si="703"/>
        <v>-1.5453767526794924E-2</v>
      </c>
      <c r="JX268" s="19">
        <f t="shared" ref="JX268:JX283" si="824">IF(JL268=0,0,JT268/JL268)*1000000</f>
        <v>10560.417182485608</v>
      </c>
      <c r="JZ268" s="341"/>
      <c r="KA268" s="342"/>
      <c r="KB268" s="469">
        <f t="shared" si="821"/>
        <v>2.5660492421988774</v>
      </c>
      <c r="KI268" s="473">
        <f t="shared" si="771"/>
        <v>-9.9337660270560377</v>
      </c>
      <c r="KJ268" s="473">
        <f t="shared" si="772"/>
        <v>2.1987079242340997</v>
      </c>
      <c r="KK268" s="473">
        <f t="shared" si="815"/>
        <v>24.103855074352992</v>
      </c>
      <c r="KN268" s="544">
        <f t="shared" ref="KN268:KN283" si="825">KM268+(KN267-KM267)</f>
        <v>2002</v>
      </c>
      <c r="KO268" s="541">
        <f t="shared" si="794"/>
        <v>7.1994493464211384E-3</v>
      </c>
      <c r="KP268" s="546">
        <f t="shared" si="795"/>
        <v>34.163725896857386</v>
      </c>
      <c r="KQ268" s="546">
        <f t="shared" si="796"/>
        <v>71.76155216918778</v>
      </c>
      <c r="KR268" s="548">
        <f t="shared" si="797"/>
        <v>3.7597678179876688</v>
      </c>
      <c r="KS268" s="548">
        <f t="shared" si="798"/>
        <v>1.7899233403804189</v>
      </c>
      <c r="KT268" s="473">
        <f t="shared" si="822"/>
        <v>843.26993010479111</v>
      </c>
      <c r="KU268" s="663">
        <f t="shared" si="816"/>
        <v>4.4512331492445885</v>
      </c>
    </row>
    <row r="269" spans="1:308" s="26" customFormat="1" ht="15" outlineLevel="1">
      <c r="A269" s="561">
        <f t="shared" si="799"/>
        <v>2069</v>
      </c>
      <c r="B269" s="561">
        <f t="shared" si="817"/>
        <v>69</v>
      </c>
      <c r="C269" s="561">
        <f t="shared" si="760"/>
        <v>2</v>
      </c>
      <c r="D269" s="561" t="str">
        <f t="shared" si="728"/>
        <v xml:space="preserve">500 CC, 0/1.8/2.8/3.9, 1000 Combo, </v>
      </c>
      <c r="E269" s="475">
        <f>INDEX(Input!$1:$1048576,E$93,$C269*2+MIN($B269,2)+5)
+INDEX(Scenarios!E$121:E$200,MATCH($B269,Scenarios!$B$121:$B$200,0))</f>
        <v>1769.7618664521319</v>
      </c>
      <c r="F269" s="475">
        <f>INDEX(Input!$1:$1048576,F$93,$C269*2+MIN($B269,2)+5)
+INDEX(Scenarios!F$121:F$200,MATCH($B269,Scenarios!$B$121:$B$200,0))</f>
        <v>0</v>
      </c>
      <c r="G269" s="475">
        <f>INDEX(Input!$1:$1048576,G$93,$C269*2+MIN($B269,2)+5)
+INDEX(Scenarios!G$121:G$200,MATCH($B269,Scenarios!$B$121:$B$200,0))</f>
        <v>0</v>
      </c>
      <c r="H269" s="475">
        <f>INDEX(Input!$1:$1048576,H$93,$C269*2+MIN($B269,2)+5)
+INDEX(Scenarios!H$121:H$200,MATCH($B269,Scenarios!$B$121:$B$200,0))</f>
        <v>0</v>
      </c>
      <c r="I269" s="476">
        <f>INDEX(Input!$1:$1048576,I$93,$C269*2+MIN($B269,2)+5)</f>
        <v>0.7</v>
      </c>
      <c r="J269" s="476" t="str">
        <f>INDEX(Input!$1:$1048576,J$93,$C269*2+MIN($B269,2)+5)</f>
        <v>Market</v>
      </c>
      <c r="K269" s="476" t="str">
        <f>INDEX(Input!$1:$1048576,K$93,$C269*2+MIN($B269,2)+5)</f>
        <v>Market</v>
      </c>
      <c r="L269" s="476" t="str">
        <f>INDEX(Input!$1:$1048576,L$93,$C269*2+MIN($B269,2)+5)</f>
        <v>Market</v>
      </c>
      <c r="M269" s="476" t="str">
        <f>INDEX(Input!$1:$1048576,M$93,$C269*2+MIN($B269,2)+5)</f>
        <v>Market</v>
      </c>
      <c r="N269" s="476" t="str">
        <f>INDEX(Input!$1:$1048576,N$93,$C269*2+MIN($B269,2)+5)</f>
        <v>Market</v>
      </c>
      <c r="O269" s="476" t="str">
        <f>INDEX(Input!$1:$1048576,O$93,$C269*2+MIN($B269,2)+5)</f>
        <v>Market</v>
      </c>
      <c r="P269" s="476" t="str">
        <f>INDEX(Input!$1:$1048576,P$93,$C269*2+MIN($B269,2)+5)</f>
        <v>N</v>
      </c>
      <c r="Q269" s="477">
        <f>INDEX(Input!$1:$1048576,Q$93,$C269*2+MIN($B269,2)+5)
+INDEX(Scenarios!Q$121:Q$200,MATCH($B269,Scenarios!$B$121:$B$200,0))</f>
        <v>1000</v>
      </c>
      <c r="R269" s="478">
        <f>IFERROR(MAX(0,INDEX(Input!$1:$1048576,R$93,$C269*2+MIN($B269,2)+5)
+INDEX(Scenarios!R$121:R$200,MATCH($B269,Scenarios!$B$121:$B$200,0)),),"Market")</f>
        <v>0</v>
      </c>
      <c r="S269" s="478">
        <f>IFERROR(MAX(0,INDEX(Input!$1:$1048576,S$93,$C269*2+MIN($B269,2)+5)
+INDEX(Scenarios!S$121:S$200,MATCH($B269,Scenarios!$B$121:$B$200,0)),),"Market")</f>
        <v>0</v>
      </c>
      <c r="T269" s="478">
        <f>IFERROR(MAX(0,INDEX(Input!$1:$1048576,T$93,$C269*2+MIN($B269,2)+5)
+INDEX(Scenarios!T$121:T$200,MATCH($B269,Scenarios!$B$121:$B$200,0)),),"Market")</f>
        <v>0</v>
      </c>
      <c r="U269" s="478">
        <f>IFERROR(MAX(0,INDEX(Input!$1:$1048576,U$93,$C269*2+MIN($B269,2)+5)
+INDEX(Scenarios!U$121:U$200,MATCH($B269,Scenarios!$B$121:$B$200,0)),),"Market")</f>
        <v>0</v>
      </c>
      <c r="V269" s="478">
        <f>IFERROR(MAX(0,INDEX(Input!$1:$1048576,V$93,$C269*2+MIN($B269,2)+5)
+INDEX(Scenarios!V$121:V$200,MATCH($B269,Scenarios!$B$121:$B$200,0)),),"Market")</f>
        <v>2.7999999999999997E-2</v>
      </c>
      <c r="W269" s="885">
        <f>IFERROR(MAX(0,INDEX(Input!$1:$1048576,W$93,$C269*2+MIN($B269,2)+5)-0%,),"Market")</f>
        <v>3.9E-2</v>
      </c>
      <c r="X269" s="476" t="str">
        <f>INDEX(Input!$1:$1048576,X$93,$C269*2+MIN($B269,2)+5)</f>
        <v>Y</v>
      </c>
      <c r="Y269" s="475">
        <f>INDEX(Input!$1:$1048576,Y$93,$C269*2+MIN($B269,2)+5)
++INDEX(Scenarios!Y$121:Y$200,MATCH($B269,Scenarios!$B$121:$B$200,0))</f>
        <v>56</v>
      </c>
      <c r="Z269" s="477">
        <f>INDEX(Input!$1:$1048576,Z$93,$C269*2+MIN($B269,2)+5)
+INDEX(Scenarios!Z$121:Z$200,MATCH($B269,Scenarios!$B$121:$B$200,0))</f>
        <v>0</v>
      </c>
      <c r="AA269" s="475">
        <f>INDEX(Input!$1:$1048576,AA$93,$C269*2+MIN($B269,2)+5)
+INDEX(Scenarios!AA$121:AA$200,MATCH($B269,Scenarios!$B$121:$B$200,0))</f>
        <v>0</v>
      </c>
      <c r="AB269" s="476">
        <f>INDEX(Input!$1:$1048576,AB$93,$C269*2+MIN($B269,2)+5)</f>
        <v>0.27</v>
      </c>
      <c r="AC269" s="475">
        <f>INDEX(Input!$1:$1048576,AC$93,$C269*2+MIN($B269,2)+5)
+INDEX(Scenarios!AC$121:AC$200,MATCH($B269,Scenarios!$B$121:$B$200,0))</f>
        <v>0</v>
      </c>
      <c r="AD269" s="476">
        <f>INDEX(Input!$1:$1048576,AD$93,$C269*2+MIN($B269,2)+5)</f>
        <v>0.27</v>
      </c>
      <c r="AE269" s="475">
        <f>INDEX(Input!$1:$1048576,AE$93,$C269*2+MIN($B269,2)+5)
+INDEX(Scenarios!AE$121:AE$200,MATCH($B269,Scenarios!$B$121:$B$200,0))</f>
        <v>0</v>
      </c>
      <c r="AF269" s="476">
        <f>INDEX(Input!$1:$1048576,AF$93,$C269*2+MIN($B269,2)+5)</f>
        <v>4.8000000000000001E-2</v>
      </c>
      <c r="AG269" s="475">
        <f>INDEX(Input!$1:$1048576,AG$93,$C269*2+MIN($B269,2)+5)
+INDEX(Scenarios!AG$121:AG$200,MATCH($B269,Scenarios!$B$121:$B$200,0))</f>
        <v>500</v>
      </c>
      <c r="AH269" s="476">
        <f>INDEX(Input!$1:$1048576,AH$93,$C269*2+MIN($B269,2)+5)</f>
        <v>0.94599999999999995</v>
      </c>
      <c r="AI269" s="475">
        <f>INDEX(Input!$1:$1048576,AI$93,$C269*2+MIN($B269,2)+5)
+INDEX(Scenarios!AI$121:AI$200,MATCH($B269,Scenarios!$B$121:$B$200,0))</f>
        <v>0</v>
      </c>
      <c r="AJ269" s="476">
        <f>INDEX(Input!$1:$1048576,AJ$93,$C269*2+MIN($B269,2)+5)</f>
        <v>0.27</v>
      </c>
      <c r="AK269" s="150">
        <f>ROUND(INDEX(Input!$1:$1048576,AK$93,$C268*2+MIN($B269,1)+5)+(Y269-VLOOKUP($C269*1000+1,$A:$HH,Y$92,FALSE)),0)</f>
        <v>2977</v>
      </c>
      <c r="AL269" s="150">
        <f>ROUND(INDEX(Input!$1:$1048576,AL$93,$C268*2+MIN($B269,1)+5)-(Y269-VLOOKUP($C269*1000+1,$A:$HH,Y$92,FALSE))/36,0)</f>
        <v>3395</v>
      </c>
      <c r="AM269" s="32" t="str">
        <f t="shared" si="800"/>
        <v>std/std/std/std</v>
      </c>
      <c r="AN269" s="32" t="str">
        <f t="shared" si="801"/>
        <v>$1000 + 0/0/0/2.8/3.9</v>
      </c>
      <c r="AO269" s="32" t="str">
        <f t="shared" si="802"/>
        <v>0/0/0/2.8/3.9</v>
      </c>
      <c r="AP269" s="32" t="str">
        <f t="shared" si="734"/>
        <v>0/1.8/2.8/3.9</v>
      </c>
      <c r="AQ269" s="536">
        <f t="shared" si="733"/>
        <v>0.38060870493678178</v>
      </c>
      <c r="AR269" s="32"/>
      <c r="AS269" s="302"/>
      <c r="AT269" s="3">
        <f t="shared" si="717"/>
        <v>69</v>
      </c>
      <c r="AU269" s="41" t="s">
        <v>121</v>
      </c>
      <c r="AV269" s="41" t="s">
        <v>116</v>
      </c>
      <c r="AW269" s="41" t="str">
        <f>INDEX(Input!$1:$1048576,AW$93,$C269*2+6)</f>
        <v>Kia</v>
      </c>
      <c r="AX269" s="41" t="str">
        <f>INDEX(Input!$1:$1048576,AX$93,$C269*2+6)</f>
        <v>Kia-LR - L2</v>
      </c>
      <c r="AY269" s="41" t="str">
        <f>IF(LEN(D269)=0,"",INDEX(Input!$1:$1048576,AY$93,$C269*2+6))</f>
        <v>Compact SUV (52)</v>
      </c>
      <c r="AZ269" s="41" t="str">
        <f>INDEX(Input!$1:$1048576,AZ$93,$C269*2+6)</f>
        <v>Kia Soul</v>
      </c>
      <c r="BA269" s="3">
        <f>INDEX(Input!$1:$1048576,BA$93,$C269*2+6)</f>
        <v>2020</v>
      </c>
      <c r="BB269" s="128">
        <f>INDEX(Input!$1:$1048576,BB$93,$C269*2+6)</f>
        <v>1</v>
      </c>
      <c r="BC269" s="128">
        <f>INDEX(Input!$1:$1048576,BC$93,$C269*2+6)</f>
        <v>0.7</v>
      </c>
      <c r="BD269" s="1">
        <f>INDEX(Input!$1:$1048576,BD$93,$C269*2+6)</f>
        <v>4.4999999999999998E-2</v>
      </c>
      <c r="BE269" s="1">
        <f>INDEX(Input!$1:$1048576,BE$93,$C269*2+6)</f>
        <v>4.4999999999999998E-2</v>
      </c>
      <c r="BF269" s="1">
        <f>INDEX(Input!$1:$1048576,BF$93,$C269*2+6)</f>
        <v>0.05</v>
      </c>
      <c r="BG269" s="1">
        <f>INDEX(Input!$1:$1048576,BG$93,$C269*2+6)</f>
        <v>5.45E-2</v>
      </c>
      <c r="BH269" s="1">
        <f>INDEX(Input!$1:$1048576,BH$93,$C269*2+6)</f>
        <v>5.45E-2</v>
      </c>
      <c r="BI269" s="1">
        <f>INDEX(Input!$1:$1048576,BI$93,$C269*2+6)</f>
        <v>0.05</v>
      </c>
      <c r="BJ269" s="1">
        <f>INDEX(Input!$1:$1048576,BJ$93,$C269*2+6)</f>
        <v>0.05</v>
      </c>
      <c r="BK269" s="1">
        <f>INDEX(Input!$1:$1048576,BK$93,$C269*2+6)</f>
        <v>0.05</v>
      </c>
      <c r="BL269" s="1">
        <f>INDEX(Input!$1:$1048576,BL$93,$C269*2+6)</f>
        <v>5.5E-2</v>
      </c>
      <c r="BM269" s="1">
        <f>INDEX(Input!$1:$1048576,BM$93,$C269*2+6)</f>
        <v>0.06</v>
      </c>
      <c r="BN269" s="1">
        <f>INDEX(Input!$1:$1048576,BN$93,$C269*2+6)</f>
        <v>4.4999999999999998E-2</v>
      </c>
      <c r="BO269" s="1">
        <f>INDEX(Input!$1:$1048576,BO$93,$C269*2+6)</f>
        <v>4.4999999999999998E-2</v>
      </c>
      <c r="BP269" s="1">
        <f>INDEX(Input!$1:$1048576,BP$93,$C269*2+6)</f>
        <v>0.05</v>
      </c>
      <c r="BQ269" s="1">
        <f>INDEX(Input!$1:$1048576,BQ$93,$C269*2+6)</f>
        <v>5.45E-2</v>
      </c>
      <c r="BR269" s="1">
        <f>INDEX(Input!$1:$1048576,BR$93,$C269*2+6)</f>
        <v>5.45E-2</v>
      </c>
      <c r="BS269" s="1">
        <f>INDEX(Input!$1:$1048576,BS$93,$C269*2+6)</f>
        <v>0.05</v>
      </c>
      <c r="BT269" s="1">
        <f>INDEX(Input!$1:$1048576,BT$93,$C269*2+6)</f>
        <v>0.05</v>
      </c>
      <c r="BU269" s="1">
        <f>INDEX(Input!$1:$1048576,BU$93,$C269*2+6)</f>
        <v>0.05</v>
      </c>
      <c r="BV269" s="1">
        <f>INDEX(Input!$1:$1048576,BV$93,$C269*2+6)</f>
        <v>5.5E-2</v>
      </c>
      <c r="BW269" s="1">
        <f>INDEX(Input!$1:$1048576,BW$93,$C269*2+6)</f>
        <v>0.06</v>
      </c>
      <c r="BX269" s="127">
        <f>INDEX(Input!$1:$1048576,BX$93,$C269*2+6)</f>
        <v>19985</v>
      </c>
      <c r="BY269" s="20">
        <f>INDEX(Input!$1:$1048576,BY$93,$C269*2+6)</f>
        <v>0.1</v>
      </c>
      <c r="BZ269" s="20">
        <f>INDEX(Input!$1:$1048576,BZ$93,$C269*2+6)</f>
        <v>0.1</v>
      </c>
      <c r="CA269" s="20">
        <f>INDEX(Input!$1:$1048576,CA$93,$C269*2+6)</f>
        <v>0.1</v>
      </c>
      <c r="CB269" s="20">
        <f>INDEX(Input!$1:$1048576,CB$93,$C269*2+6)</f>
        <v>0.1</v>
      </c>
      <c r="CC269" s="20">
        <f>INDEX(Input!$1:$1048576,CC$93,$C269*2+6)</f>
        <v>0.1</v>
      </c>
      <c r="CD269" s="384">
        <f>INDEX(Input!$1:$1048576,CD$93,$C269*2+6)</f>
        <v>0.1</v>
      </c>
      <c r="CE269" s="384">
        <f>INDEX(Input!$1:$1048576,CE$93,$C269*2+6)</f>
        <v>0.1</v>
      </c>
      <c r="CF269" s="384">
        <f>INDEX(Input!$1:$1048576,CF$93,$C269*2+6)</f>
        <v>0.1</v>
      </c>
      <c r="CG269" s="384">
        <f>INDEX(Input!$1:$1048576,CG$93,$C269*2+6)</f>
        <v>0.1</v>
      </c>
      <c r="CH269" s="384">
        <f>INDEX(Input!$1:$1048576,CH$93,$C269*2+6)</f>
        <v>0.1</v>
      </c>
      <c r="CI269" s="304">
        <f t="shared" si="735"/>
        <v>1769.7618664521319</v>
      </c>
      <c r="CJ269" s="16" t="str">
        <f>INDEX(Input!$1:$1048576,CJ$93,$C269*2+6)</f>
        <v>N</v>
      </c>
      <c r="CK269" s="1" t="str">
        <f t="shared" si="736"/>
        <v>Market</v>
      </c>
      <c r="CL269" s="1" t="str">
        <f t="shared" si="737"/>
        <v>Market</v>
      </c>
      <c r="CM269" s="1" t="str">
        <f t="shared" si="738"/>
        <v>Market</v>
      </c>
      <c r="CN269" s="1" t="str">
        <f t="shared" si="739"/>
        <v>Market</v>
      </c>
      <c r="CO269" s="1" t="str">
        <f t="shared" si="740"/>
        <v>Market</v>
      </c>
      <c r="CP269" s="304">
        <f t="shared" si="741"/>
        <v>1473</v>
      </c>
      <c r="CQ269" s="1">
        <f t="shared" si="742"/>
        <v>0</v>
      </c>
      <c r="CR269" s="1">
        <f t="shared" si="743"/>
        <v>0</v>
      </c>
      <c r="CS269" s="1">
        <f t="shared" si="744"/>
        <v>0</v>
      </c>
      <c r="CT269" s="1">
        <f t="shared" si="745"/>
        <v>2.7999999999999997E-2</v>
      </c>
      <c r="CU269" s="1">
        <f t="shared" si="746"/>
        <v>3.9E-2</v>
      </c>
      <c r="CV269" s="304">
        <f t="shared" si="747"/>
        <v>56</v>
      </c>
      <c r="CW269" s="20" t="s">
        <v>122</v>
      </c>
      <c r="CX269" s="20" t="s">
        <v>122</v>
      </c>
      <c r="CY269" s="20" t="s">
        <v>122</v>
      </c>
      <c r="CZ269" s="20" t="s">
        <v>122</v>
      </c>
      <c r="DA269" s="20" t="s">
        <v>122</v>
      </c>
      <c r="DB269" s="503">
        <f t="shared" si="748"/>
        <v>0</v>
      </c>
      <c r="DC269" s="127">
        <v>0</v>
      </c>
      <c r="DD269" s="127">
        <v>0</v>
      </c>
      <c r="DE269" s="127">
        <v>0</v>
      </c>
      <c r="DF269" s="127">
        <v>0</v>
      </c>
      <c r="DG269" s="127">
        <v>0</v>
      </c>
      <c r="DH269" s="127">
        <v>0</v>
      </c>
      <c r="DI269" s="127">
        <v>0</v>
      </c>
      <c r="DJ269" s="127">
        <v>0</v>
      </c>
      <c r="DK269" s="127">
        <v>0</v>
      </c>
      <c r="DL269" s="127">
        <v>0</v>
      </c>
      <c r="DM269" s="304">
        <f>INDEX(Input!$1:$1048576,DM$93,$C269*2+6)</f>
        <v>21036.84210526316</v>
      </c>
      <c r="DN269" s="20">
        <v>0</v>
      </c>
      <c r="DO269" s="20">
        <v>0</v>
      </c>
      <c r="DP269" s="20">
        <v>0</v>
      </c>
      <c r="DQ269" s="20">
        <v>0</v>
      </c>
      <c r="DR269" s="20">
        <v>0</v>
      </c>
      <c r="DS269" s="20">
        <f>INDEX(Input!$1:$1048576,DS$93,$C269*2+6)</f>
        <v>0.6</v>
      </c>
      <c r="DT269" s="20">
        <f>INDEX(Input!$1:$1048576,DT$93,$C269*2+6)</f>
        <v>0.55000000000000004</v>
      </c>
      <c r="DU269" s="20">
        <f>INDEX(Input!$1:$1048576,DU$93,$C269*2+6)</f>
        <v>0.52</v>
      </c>
      <c r="DV269" s="20">
        <f>INDEX(Input!$1:$1048576,DV$93,$C269*2+6)</f>
        <v>0.5</v>
      </c>
      <c r="DW269" s="20">
        <f>INDEX(Input!$1:$1048576,DW$93,$C269*2+6)</f>
        <v>0.45</v>
      </c>
      <c r="DX269" s="20"/>
      <c r="DY269" s="7">
        <v>0.10271072268262112</v>
      </c>
      <c r="DZ269" s="7">
        <v>0</v>
      </c>
      <c r="EA269" s="7">
        <v>0.67709007267832022</v>
      </c>
      <c r="EB269" s="7">
        <v>0</v>
      </c>
      <c r="EC269" s="7">
        <v>0</v>
      </c>
      <c r="ED269" s="7">
        <v>0</v>
      </c>
      <c r="EE269" s="7">
        <v>0</v>
      </c>
      <c r="EF269" s="7">
        <v>0</v>
      </c>
      <c r="EG269" s="7">
        <v>0</v>
      </c>
      <c r="EH269" s="7">
        <v>1.7196222389633583E-2</v>
      </c>
      <c r="EI269" s="7">
        <v>4.8948989157262077E-2</v>
      </c>
      <c r="EJ269" s="7">
        <v>0.37047365117620312</v>
      </c>
      <c r="EK269" s="7">
        <v>0.42933769968315849</v>
      </c>
      <c r="EL269" s="7">
        <v>0.13404343759374288</v>
      </c>
      <c r="EM269" s="7">
        <v>6.4121353425998812E-2</v>
      </c>
      <c r="EN269" s="7">
        <v>6.5529789436105115E-2</v>
      </c>
      <c r="EO269" s="7">
        <v>0.73220454366892018</v>
      </c>
      <c r="EP269" s="7">
        <v>8.7614155016777689E-2</v>
      </c>
      <c r="EQ269" s="7">
        <v>7.471242144737987E-2</v>
      </c>
      <c r="ER269" s="7">
        <v>3.9939090430816782E-2</v>
      </c>
      <c r="ES269" s="7">
        <v>0.15607785121305989</v>
      </c>
      <c r="ET269" s="7">
        <v>0.22019920463905868</v>
      </c>
      <c r="EU269" s="6">
        <v>1794</v>
      </c>
      <c r="EV269" s="6">
        <v>0</v>
      </c>
      <c r="EW269" s="6">
        <v>1794</v>
      </c>
      <c r="EX269" s="6">
        <v>0</v>
      </c>
      <c r="EY269" s="6">
        <v>2863.0832231228705</v>
      </c>
      <c r="EZ269" s="6">
        <v>946</v>
      </c>
      <c r="FA269" s="6">
        <v>0</v>
      </c>
      <c r="FB269" s="6">
        <v>0</v>
      </c>
      <c r="FC269" s="6">
        <v>0</v>
      </c>
      <c r="FD269" s="6">
        <v>0</v>
      </c>
      <c r="FE269" s="6">
        <v>0</v>
      </c>
      <c r="FF269" s="6">
        <v>0</v>
      </c>
      <c r="FG269" s="6">
        <v>0</v>
      </c>
      <c r="FH269" s="6">
        <v>1173.7296588893803</v>
      </c>
      <c r="FI269" s="6">
        <v>1553.9796069512397</v>
      </c>
      <c r="FJ269" s="6">
        <v>2101.211011744741</v>
      </c>
      <c r="FK269" s="6">
        <v>1334.1543630076694</v>
      </c>
      <c r="FL269" s="6">
        <v>907.07682140966335</v>
      </c>
      <c r="FM269" s="6">
        <v>1569.0832231228703</v>
      </c>
      <c r="FN269" s="6">
        <v>0</v>
      </c>
      <c r="FO269" s="6">
        <v>0</v>
      </c>
      <c r="FP269" s="6">
        <v>0</v>
      </c>
      <c r="FQ269" s="6">
        <v>0</v>
      </c>
      <c r="FR269" s="6">
        <v>0</v>
      </c>
      <c r="FS269" s="6">
        <v>0</v>
      </c>
      <c r="FT269" s="7">
        <v>0.77980079536094138</v>
      </c>
      <c r="FU269" s="7">
        <v>6.4121353425998812E-2</v>
      </c>
      <c r="FV269" s="7">
        <v>0.15607785121305989</v>
      </c>
      <c r="FW269" s="6">
        <v>1793.9999999999998</v>
      </c>
      <c r="FX269" s="6">
        <v>2863.0832231228705</v>
      </c>
      <c r="FY269" s="6">
        <v>946</v>
      </c>
      <c r="FZ269" s="6">
        <v>1817.4615072224267</v>
      </c>
      <c r="GA269" s="6">
        <v>1730.1970453629926</v>
      </c>
      <c r="GB269" s="6">
        <v>18254.802954637009</v>
      </c>
      <c r="GC269" s="7">
        <v>1.804905384453976E-2</v>
      </c>
      <c r="GD269" s="7">
        <v>1.8106374663886239E-2</v>
      </c>
      <c r="GE269" s="7"/>
      <c r="GF269" s="7"/>
      <c r="GG269" s="7">
        <v>3.1758351346389256E-3</v>
      </c>
      <c r="GH269" s="42">
        <v>-0.72731858781178471</v>
      </c>
      <c r="GI269" s="6">
        <v>-25747.445262840563</v>
      </c>
      <c r="GJ269" s="14">
        <v>0.50394797582841711</v>
      </c>
      <c r="GK269" s="14">
        <v>0.50887573065309721</v>
      </c>
      <c r="GL269" s="14">
        <v>0.49605202417158273</v>
      </c>
      <c r="GM269" s="14">
        <v>0.49112426934690223</v>
      </c>
      <c r="GO269" s="5">
        <v>343.14810671672558</v>
      </c>
      <c r="GP269" s="5">
        <v>308.92200917413498</v>
      </c>
      <c r="GQ269" s="5">
        <v>535.04305713031317</v>
      </c>
      <c r="GR269" s="5">
        <v>410.15490233172511</v>
      </c>
      <c r="GS269" s="5">
        <v>339.42744393800166</v>
      </c>
      <c r="GT269" s="5">
        <v>293.4407446948278</v>
      </c>
      <c r="GU269" s="5">
        <v>258.04012322764959</v>
      </c>
      <c r="GV269" s="39" t="s">
        <v>392</v>
      </c>
      <c r="GW269" s="5">
        <v>463.68055555555554</v>
      </c>
      <c r="GX269" s="5">
        <v>347.76041666666669</v>
      </c>
      <c r="GY269" s="5">
        <v>278.20833333333331</v>
      </c>
      <c r="GZ269" s="5">
        <v>252.12963408535549</v>
      </c>
      <c r="HA269" s="5">
        <v>227.39897390161556</v>
      </c>
      <c r="HB269" s="39">
        <v>266.79502914069531</v>
      </c>
      <c r="HC269" s="5">
        <v>245.89687499999999</v>
      </c>
      <c r="HD269" s="5">
        <v>211.55677997076018</v>
      </c>
      <c r="HE269" s="5">
        <v>214.73562331309037</v>
      </c>
      <c r="HF269" s="5">
        <v>199.03250548245612</v>
      </c>
      <c r="HG269" s="5">
        <v>192.49971491228069</v>
      </c>
      <c r="HH269" s="39">
        <v>212.3887501220016</v>
      </c>
      <c r="HI269" s="16"/>
      <c r="HJ269" s="19" t="str">
        <f t="shared" ref="HJ269" si="826">HJ268</f>
        <v>On</v>
      </c>
      <c r="HK269" s="1" t="str">
        <f t="shared" si="818"/>
        <v>On</v>
      </c>
      <c r="HL269" s="16"/>
      <c r="HM269" s="639">
        <f t="shared" si="775"/>
        <v>1.2768706344444866E-2</v>
      </c>
      <c r="HN269" s="639">
        <f t="shared" si="776"/>
        <v>9.795534288915453E-4</v>
      </c>
      <c r="HO269" s="639">
        <f t="shared" si="777"/>
        <v>3.3583061774515237E-3</v>
      </c>
      <c r="HP269" s="644">
        <f>(FT269*$GD269-HM269)/$JF269*INDEX(Input!$1:$1048576,$JG$93,$C269*2+6)</f>
        <v>98.141799244739616</v>
      </c>
      <c r="HQ269" s="644">
        <f>(FU269*$GD269-HN269)/$JF269*INDEX(Input!$1:$1048576,$JG$93,$C269*2+6)</f>
        <v>13.184680850107398</v>
      </c>
      <c r="HR269" s="644">
        <f>(FV269*$GD269-HO269)/$JF269*INDEX(Input!$1:$1048576,$JG$93,$C269*2+6)</f>
        <v>-38.67822129431601</v>
      </c>
      <c r="HS269" s="644">
        <f t="shared" si="767"/>
        <v>-34.699640897785081</v>
      </c>
      <c r="HT269" s="644">
        <f t="shared" si="778"/>
        <v>61.424308454735787</v>
      </c>
      <c r="HU269" s="644">
        <f t="shared" si="779"/>
        <v>9.2571117216584842</v>
      </c>
      <c r="HV269" s="648">
        <f t="shared" si="780"/>
        <v>0</v>
      </c>
      <c r="HW269" s="648">
        <f t="shared" si="781"/>
        <v>0</v>
      </c>
      <c r="HX269" s="648">
        <f t="shared" si="782"/>
        <v>0</v>
      </c>
      <c r="HY269" s="644">
        <f>INDEX(Input!$1:$1048576,HY$93,$C269*2+6)*INDEX(Input!$1:$1048576,$JG$93,$C269*2+6)</f>
        <v>451</v>
      </c>
      <c r="HZ269" s="644">
        <f>INDEX(Input!$1:$1048576,HZ$93,$C269*2+6)*INDEX(Input!$1:$1048576,$JG$93,$C269*2+6)</f>
        <v>577</v>
      </c>
      <c r="IA269" s="644">
        <f>INDEX(Input!$1:$1048576,IA$93,$C269*2+6)*INDEX(Input!$1:$1048576,$JG$93,$C269*2+6)</f>
        <v>215</v>
      </c>
      <c r="IB269" s="644">
        <f t="shared" si="804"/>
        <v>514.44215834695456</v>
      </c>
      <c r="IC269" s="644">
        <f t="shared" si="805"/>
        <v>651.60898930484313</v>
      </c>
      <c r="ID269" s="644">
        <f>IF(AND(INDEX(Input!$1:$1048576,IA$93,$C269*2+7)="TOS",Y269&lt;=INDEX(Y:Y,MATCH(C269*1000+2,A:A))),0,1)*MAX(IA269+HR269+HU269+HX269,0%)</f>
        <v>185.57889042734246</v>
      </c>
      <c r="IE269" s="128">
        <f t="shared" si="768"/>
        <v>0.38060870493678178</v>
      </c>
      <c r="IF269" s="128">
        <f t="shared" si="783"/>
        <v>0.48209123128905362</v>
      </c>
      <c r="IG269" s="128">
        <f t="shared" si="784"/>
        <v>0.13730006377416459</v>
      </c>
      <c r="IH269" s="21"/>
      <c r="II269" s="19">
        <f t="shared" si="785"/>
        <v>1252</v>
      </c>
      <c r="IJ269" s="19">
        <f t="shared" si="786"/>
        <v>2011.9658773055378</v>
      </c>
      <c r="IK269" s="19">
        <f t="shared" si="787"/>
        <v>919</v>
      </c>
      <c r="IL269" s="19">
        <f t="shared" si="806"/>
        <v>541.99999999999977</v>
      </c>
      <c r="IM269" s="19">
        <f t="shared" si="788"/>
        <v>851.11734581733276</v>
      </c>
      <c r="IN269" s="19">
        <f t="shared" si="789"/>
        <v>27</v>
      </c>
      <c r="IO269" s="39">
        <f t="shared" si="790"/>
        <v>0</v>
      </c>
      <c r="IP269" s="39">
        <f t="shared" si="791"/>
        <v>0</v>
      </c>
      <c r="IQ269" s="39">
        <f t="shared" si="792"/>
        <v>0</v>
      </c>
      <c r="IR269" s="39">
        <v>0</v>
      </c>
      <c r="IS269" s="39">
        <v>0</v>
      </c>
      <c r="IT269" s="39">
        <v>0</v>
      </c>
      <c r="IU269" s="39">
        <v>0</v>
      </c>
      <c r="IV269" s="39">
        <v>0</v>
      </c>
      <c r="IW269" s="39">
        <v>0</v>
      </c>
      <c r="IX269" s="39">
        <f>INDEX(Input!$1:$1048576,IX$93,$C269*2+6)+INDEX(Input!$1:$1048576,IX$94,$C269*2+6)</f>
        <v>1294</v>
      </c>
      <c r="IY269" s="39">
        <f>INDEX(Input!$1:$1048576,IY$93,$C269*2+6)+INDEX(Input!$1:$1048576,IY$94,$C269*2+6)</f>
        <v>2154.0624533823611</v>
      </c>
      <c r="IZ269" s="39">
        <f>INDEX(Input!$1:$1048576,IZ$93,$C269*2+6)+INDEX(Input!$1:$1048576,IZ$94,$C269*2+6)</f>
        <v>3677.7164157747848</v>
      </c>
      <c r="JA269" s="19">
        <f t="shared" si="807"/>
        <v>1835.9999999999998</v>
      </c>
      <c r="JB269" s="19">
        <f t="shared" si="808"/>
        <v>3005.1797991996937</v>
      </c>
      <c r="JC269" s="19">
        <f t="shared" si="809"/>
        <v>3704.7164157747848</v>
      </c>
      <c r="JD269" s="19">
        <f t="shared" si="810"/>
        <v>2656.226212056175</v>
      </c>
      <c r="JE269" s="21"/>
      <c r="JF269" s="1">
        <f t="shared" si="793"/>
        <v>1.7106565950787935E-2</v>
      </c>
      <c r="JG269" s="15">
        <f>INDEX(Input!$1:$1048576,JG$93,$C269*2+6)/(1+VLOOKUP(C269*1000+INDEX(Input!$1:$1048576,JG$93+1,$C269*2+6),$A:$KK,$JK$92,FALSE))</f>
        <v>1243</v>
      </c>
      <c r="JH269" s="1">
        <f t="shared" si="811"/>
        <v>5.8445904103403869E-2</v>
      </c>
      <c r="JI269" s="1">
        <f t="shared" si="812"/>
        <v>2.8947529588583418E-2</v>
      </c>
      <c r="JJ269" s="1">
        <f t="shared" si="769"/>
        <v>0</v>
      </c>
      <c r="JK269" s="1">
        <f t="shared" si="770"/>
        <v>8.7393433691987293E-2</v>
      </c>
      <c r="JL269" s="15">
        <f t="shared" si="813"/>
        <v>108.63003807914021</v>
      </c>
      <c r="JM269" s="15">
        <f t="shared" si="702"/>
        <v>1351.6300380791401</v>
      </c>
      <c r="JN269" s="21"/>
      <c r="JO269" s="19">
        <f>INDEX(Input!$1:$1048576,JO$93,$C269*2+6)</f>
        <v>5995.5</v>
      </c>
      <c r="JP269" s="19">
        <f>INDEX(Input!$1:$1048576,JP$93,$C269*2+6)</f>
        <v>2105.548724853742</v>
      </c>
      <c r="JQ269" s="39">
        <f t="shared" si="819"/>
        <v>3339.273787943825</v>
      </c>
      <c r="JR269" s="39">
        <f t="shared" si="705"/>
        <v>550.67748720243299</v>
      </c>
      <c r="JS269" s="39">
        <f t="shared" si="820"/>
        <v>3.5902351361482983</v>
      </c>
      <c r="JT269" s="39">
        <f t="shared" si="814"/>
        <v>0.97303807115509688</v>
      </c>
      <c r="JU269" s="385">
        <f>(JQ269*JM269-INDEX(Input!$1:$1048576,Input!A$18,$C269*2+6)*JL269*INDEX(Input!$1:$1048576,Input!A$19,$C269*2+6))/1000000</f>
        <v>4.5134627571551862</v>
      </c>
      <c r="JV269" s="39">
        <f t="shared" si="712"/>
        <v>-0.32174667785161226</v>
      </c>
      <c r="JW269" s="1">
        <f t="shared" si="703"/>
        <v>-6.6542449127885581E-2</v>
      </c>
      <c r="JX269" s="19">
        <f t="shared" si="824"/>
        <v>8957.3573604587145</v>
      </c>
      <c r="JZ269" s="341"/>
      <c r="KA269" s="342"/>
      <c r="KB269" s="469">
        <f t="shared" si="821"/>
        <v>2.5660492421988774</v>
      </c>
      <c r="KI269" s="473">
        <f t="shared" si="771"/>
        <v>63.442158346954557</v>
      </c>
      <c r="KJ269" s="473">
        <f t="shared" si="772"/>
        <v>74.608989304843135</v>
      </c>
      <c r="KK269" s="473">
        <f t="shared" si="815"/>
        <v>-29.421109572657542</v>
      </c>
      <c r="KN269" s="544">
        <f t="shared" si="825"/>
        <v>2002</v>
      </c>
      <c r="KO269" s="541">
        <f t="shared" si="794"/>
        <v>8.0986787466171162E-2</v>
      </c>
      <c r="KP269" s="546">
        <f t="shared" si="795"/>
        <v>580.3721820166644</v>
      </c>
      <c r="KQ269" s="546">
        <f t="shared" si="796"/>
        <v>512.54587262270206</v>
      </c>
      <c r="KR269" s="548">
        <f t="shared" si="797"/>
        <v>2.4896285663547433</v>
      </c>
      <c r="KS269" s="548">
        <f t="shared" si="798"/>
        <v>2.8190865259975628</v>
      </c>
      <c r="KT269" s="473">
        <f t="shared" si="822"/>
        <v>843.26993010479111</v>
      </c>
      <c r="KU269" s="663">
        <f t="shared" si="816"/>
        <v>4.535765050222933</v>
      </c>
    </row>
    <row r="270" spans="1:308" s="26" customFormat="1" ht="15" outlineLevel="1">
      <c r="A270" s="561">
        <f t="shared" si="799"/>
        <v>2070</v>
      </c>
      <c r="B270" s="561">
        <f t="shared" si="817"/>
        <v>70</v>
      </c>
      <c r="C270" s="561">
        <f t="shared" si="760"/>
        <v>2</v>
      </c>
      <c r="D270" s="561" t="str">
        <f t="shared" si="728"/>
        <v xml:space="preserve">750 CC, 0/1.8/2.8/3.9, 1500 Combo, </v>
      </c>
      <c r="E270" s="475">
        <f>INDEX(Input!$1:$1048576,E$93,$C270*2+MIN($B270,2)+5)
+INDEX(Scenarios!E$121:E$200,MATCH($B270,Scenarios!$B$121:$B$200,0))</f>
        <v>2019.7618664521319</v>
      </c>
      <c r="F270" s="475">
        <f>INDEX(Input!$1:$1048576,F$93,$C270*2+MIN($B270,2)+5)
+INDEX(Scenarios!F$121:F$200,MATCH($B270,Scenarios!$B$121:$B$200,0))</f>
        <v>0</v>
      </c>
      <c r="G270" s="475">
        <f>INDEX(Input!$1:$1048576,G$93,$C270*2+MIN($B270,2)+5)
+INDEX(Scenarios!G$121:G$200,MATCH($B270,Scenarios!$B$121:$B$200,0))</f>
        <v>0</v>
      </c>
      <c r="H270" s="475">
        <f>INDEX(Input!$1:$1048576,H$93,$C270*2+MIN($B270,2)+5)
+INDEX(Scenarios!H$121:H$200,MATCH($B270,Scenarios!$B$121:$B$200,0))</f>
        <v>0</v>
      </c>
      <c r="I270" s="476">
        <f>INDEX(Input!$1:$1048576,I$93,$C270*2+MIN($B270,2)+5)</f>
        <v>0.7</v>
      </c>
      <c r="J270" s="476" t="str">
        <f>INDEX(Input!$1:$1048576,J$93,$C270*2+MIN($B270,2)+5)</f>
        <v>Market</v>
      </c>
      <c r="K270" s="476" t="str">
        <f>INDEX(Input!$1:$1048576,K$93,$C270*2+MIN($B270,2)+5)</f>
        <v>Market</v>
      </c>
      <c r="L270" s="476" t="str">
        <f>INDEX(Input!$1:$1048576,L$93,$C270*2+MIN($B270,2)+5)</f>
        <v>Market</v>
      </c>
      <c r="M270" s="476" t="str">
        <f>INDEX(Input!$1:$1048576,M$93,$C270*2+MIN($B270,2)+5)</f>
        <v>Market</v>
      </c>
      <c r="N270" s="476" t="str">
        <f>INDEX(Input!$1:$1048576,N$93,$C270*2+MIN($B270,2)+5)</f>
        <v>Market</v>
      </c>
      <c r="O270" s="476" t="str">
        <f>INDEX(Input!$1:$1048576,O$93,$C270*2+MIN($B270,2)+5)</f>
        <v>Market</v>
      </c>
      <c r="P270" s="476" t="str">
        <f>INDEX(Input!$1:$1048576,P$93,$C270*2+MIN($B270,2)+5)</f>
        <v>N</v>
      </c>
      <c r="Q270" s="477">
        <f>INDEX(Input!$1:$1048576,Q$93,$C270*2+MIN($B270,2)+5)
+INDEX(Scenarios!Q$121:Q$200,MATCH($B270,Scenarios!$B$121:$B$200,0))</f>
        <v>1500</v>
      </c>
      <c r="R270" s="478">
        <f>IFERROR(MAX(0,INDEX(Input!$1:$1048576,R$93,$C270*2+MIN($B270,2)+5)
+INDEX(Scenarios!R$121:R$200,MATCH($B270,Scenarios!$B$121:$B$200,0)),),"Market")</f>
        <v>0</v>
      </c>
      <c r="S270" s="478">
        <f>IFERROR(MAX(0,INDEX(Input!$1:$1048576,S$93,$C270*2+MIN($B270,2)+5)
+INDEX(Scenarios!S$121:S$200,MATCH($B270,Scenarios!$B$121:$B$200,0)),),"Market")</f>
        <v>0</v>
      </c>
      <c r="T270" s="478">
        <f>IFERROR(MAX(0,INDEX(Input!$1:$1048576,T$93,$C270*2+MIN($B270,2)+5)
+INDEX(Scenarios!T$121:T$200,MATCH($B270,Scenarios!$B$121:$B$200,0)),),"Market")</f>
        <v>0</v>
      </c>
      <c r="U270" s="478">
        <f>IFERROR(MAX(0,INDEX(Input!$1:$1048576,U$93,$C270*2+MIN($B270,2)+5)
+INDEX(Scenarios!U$121:U$200,MATCH($B270,Scenarios!$B$121:$B$200,0)),),"Market")</f>
        <v>0</v>
      </c>
      <c r="V270" s="478">
        <f>IFERROR(MAX(0,INDEX(Input!$1:$1048576,V$93,$C270*2+MIN($B270,2)+5)
+INDEX(Scenarios!V$121:V$200,MATCH($B270,Scenarios!$B$121:$B$200,0)),),"Market")</f>
        <v>2.7999999999999997E-2</v>
      </c>
      <c r="W270" s="885">
        <f>IFERROR(MAX(0,INDEX(Input!$1:$1048576,W$93,$C270*2+MIN($B270,2)+5)-0%,),"Market")</f>
        <v>3.9E-2</v>
      </c>
      <c r="X270" s="476" t="str">
        <f>INDEX(Input!$1:$1048576,X$93,$C270*2+MIN($B270,2)+5)</f>
        <v>Y</v>
      </c>
      <c r="Y270" s="475">
        <f>INDEX(Input!$1:$1048576,Y$93,$C270*2+MIN($B270,2)+5)
++INDEX(Scenarios!Y$121:Y$200,MATCH($B270,Scenarios!$B$121:$B$200,0))</f>
        <v>56</v>
      </c>
      <c r="Z270" s="477">
        <f>INDEX(Input!$1:$1048576,Z$93,$C270*2+MIN($B270,2)+5)
+INDEX(Scenarios!Z$121:Z$200,MATCH($B270,Scenarios!$B$121:$B$200,0))</f>
        <v>0</v>
      </c>
      <c r="AA270" s="475">
        <f>INDEX(Input!$1:$1048576,AA$93,$C270*2+MIN($B270,2)+5)
+INDEX(Scenarios!AA$121:AA$200,MATCH($B270,Scenarios!$B$121:$B$200,0))</f>
        <v>0</v>
      </c>
      <c r="AB270" s="476">
        <f>INDEX(Input!$1:$1048576,AB$93,$C270*2+MIN($B270,2)+5)</f>
        <v>0.27</v>
      </c>
      <c r="AC270" s="475">
        <f>INDEX(Input!$1:$1048576,AC$93,$C270*2+MIN($B270,2)+5)
+INDEX(Scenarios!AC$121:AC$200,MATCH($B270,Scenarios!$B$121:$B$200,0))</f>
        <v>0</v>
      </c>
      <c r="AD270" s="476">
        <f>INDEX(Input!$1:$1048576,AD$93,$C270*2+MIN($B270,2)+5)</f>
        <v>0.27</v>
      </c>
      <c r="AE270" s="475">
        <f>INDEX(Input!$1:$1048576,AE$93,$C270*2+MIN($B270,2)+5)
+INDEX(Scenarios!AE$121:AE$200,MATCH($B270,Scenarios!$B$121:$B$200,0))</f>
        <v>0</v>
      </c>
      <c r="AF270" s="476">
        <f>INDEX(Input!$1:$1048576,AF$93,$C270*2+MIN($B270,2)+5)</f>
        <v>4.8000000000000001E-2</v>
      </c>
      <c r="AG270" s="475">
        <f>INDEX(Input!$1:$1048576,AG$93,$C270*2+MIN($B270,2)+5)
+INDEX(Scenarios!AG$121:AG$200,MATCH($B270,Scenarios!$B$121:$B$200,0))</f>
        <v>500</v>
      </c>
      <c r="AH270" s="476">
        <f>INDEX(Input!$1:$1048576,AH$93,$C270*2+MIN($B270,2)+5)</f>
        <v>0.94599999999999995</v>
      </c>
      <c r="AI270" s="475">
        <f>INDEX(Input!$1:$1048576,AI$93,$C270*2+MIN($B270,2)+5)
+INDEX(Scenarios!AI$121:AI$200,MATCH($B270,Scenarios!$B$121:$B$200,0))</f>
        <v>0</v>
      </c>
      <c r="AJ270" s="476">
        <f>INDEX(Input!$1:$1048576,AJ$93,$C270*2+MIN($B270,2)+5)</f>
        <v>0.27</v>
      </c>
      <c r="AK270" s="150">
        <f>ROUND(INDEX(Input!$1:$1048576,AK$93,$C269*2+MIN($B270,1)+5)+(Y270-VLOOKUP($C270*1000+1,$A:$HH,Y$92,FALSE)),0)</f>
        <v>2977</v>
      </c>
      <c r="AL270" s="150">
        <f>ROUND(INDEX(Input!$1:$1048576,AL$93,$C269*2+MIN($B270,1)+5)-(Y270-VLOOKUP($C270*1000+1,$A:$HH,Y$92,FALSE))/36,0)</f>
        <v>3395</v>
      </c>
      <c r="AM270" s="32" t="str">
        <f t="shared" si="800"/>
        <v>std/std/std/std</v>
      </c>
      <c r="AN270" s="32" t="str">
        <f t="shared" si="801"/>
        <v>$1500 + 0/0/0/2.8/3.9</v>
      </c>
      <c r="AO270" s="32" t="str">
        <f t="shared" si="802"/>
        <v>0/0/0/2.8/3.9</v>
      </c>
      <c r="AP270" s="32" t="str">
        <f t="shared" si="734"/>
        <v>0/1.8/2.8/3.9</v>
      </c>
      <c r="AQ270" s="536">
        <f t="shared" si="733"/>
        <v>0.38112794165231589</v>
      </c>
      <c r="AR270" s="32"/>
      <c r="AS270" s="302"/>
      <c r="AT270" s="3">
        <f t="shared" si="717"/>
        <v>70</v>
      </c>
      <c r="AU270" s="41" t="s">
        <v>121</v>
      </c>
      <c r="AV270" s="41" t="s">
        <v>116</v>
      </c>
      <c r="AW270" s="41" t="str">
        <f>INDEX(Input!$1:$1048576,AW$93,$C270*2+6)</f>
        <v>Kia</v>
      </c>
      <c r="AX270" s="41" t="str">
        <f>INDEX(Input!$1:$1048576,AX$93,$C270*2+6)</f>
        <v>Kia-LR - L2</v>
      </c>
      <c r="AY270" s="41" t="str">
        <f>IF(LEN(D270)=0,"",INDEX(Input!$1:$1048576,AY$93,$C270*2+6))</f>
        <v>Compact SUV (52)</v>
      </c>
      <c r="AZ270" s="41" t="str">
        <f>INDEX(Input!$1:$1048576,AZ$93,$C270*2+6)</f>
        <v>Kia Soul</v>
      </c>
      <c r="BA270" s="3">
        <f>INDEX(Input!$1:$1048576,BA$93,$C270*2+6)</f>
        <v>2020</v>
      </c>
      <c r="BB270" s="128">
        <f>INDEX(Input!$1:$1048576,BB$93,$C270*2+6)</f>
        <v>1</v>
      </c>
      <c r="BC270" s="128">
        <f>INDEX(Input!$1:$1048576,BC$93,$C270*2+6)</f>
        <v>0.7</v>
      </c>
      <c r="BD270" s="1">
        <f>INDEX(Input!$1:$1048576,BD$93,$C270*2+6)</f>
        <v>4.4999999999999998E-2</v>
      </c>
      <c r="BE270" s="1">
        <f>INDEX(Input!$1:$1048576,BE$93,$C270*2+6)</f>
        <v>4.4999999999999998E-2</v>
      </c>
      <c r="BF270" s="1">
        <f>INDEX(Input!$1:$1048576,BF$93,$C270*2+6)</f>
        <v>0.05</v>
      </c>
      <c r="BG270" s="1">
        <f>INDEX(Input!$1:$1048576,BG$93,$C270*2+6)</f>
        <v>5.45E-2</v>
      </c>
      <c r="BH270" s="1">
        <f>INDEX(Input!$1:$1048576,BH$93,$C270*2+6)</f>
        <v>5.45E-2</v>
      </c>
      <c r="BI270" s="1">
        <f>INDEX(Input!$1:$1048576,BI$93,$C270*2+6)</f>
        <v>0.05</v>
      </c>
      <c r="BJ270" s="1">
        <f>INDEX(Input!$1:$1048576,BJ$93,$C270*2+6)</f>
        <v>0.05</v>
      </c>
      <c r="BK270" s="1">
        <f>INDEX(Input!$1:$1048576,BK$93,$C270*2+6)</f>
        <v>0.05</v>
      </c>
      <c r="BL270" s="1">
        <f>INDEX(Input!$1:$1048576,BL$93,$C270*2+6)</f>
        <v>5.5E-2</v>
      </c>
      <c r="BM270" s="1">
        <f>INDEX(Input!$1:$1048576,BM$93,$C270*2+6)</f>
        <v>0.06</v>
      </c>
      <c r="BN270" s="1">
        <f>INDEX(Input!$1:$1048576,BN$93,$C270*2+6)</f>
        <v>4.4999999999999998E-2</v>
      </c>
      <c r="BO270" s="1">
        <f>INDEX(Input!$1:$1048576,BO$93,$C270*2+6)</f>
        <v>4.4999999999999998E-2</v>
      </c>
      <c r="BP270" s="1">
        <f>INDEX(Input!$1:$1048576,BP$93,$C270*2+6)</f>
        <v>0.05</v>
      </c>
      <c r="BQ270" s="1">
        <f>INDEX(Input!$1:$1048576,BQ$93,$C270*2+6)</f>
        <v>5.45E-2</v>
      </c>
      <c r="BR270" s="1">
        <f>INDEX(Input!$1:$1048576,BR$93,$C270*2+6)</f>
        <v>5.45E-2</v>
      </c>
      <c r="BS270" s="1">
        <f>INDEX(Input!$1:$1048576,BS$93,$C270*2+6)</f>
        <v>0.05</v>
      </c>
      <c r="BT270" s="1">
        <f>INDEX(Input!$1:$1048576,BT$93,$C270*2+6)</f>
        <v>0.05</v>
      </c>
      <c r="BU270" s="1">
        <f>INDEX(Input!$1:$1048576,BU$93,$C270*2+6)</f>
        <v>0.05</v>
      </c>
      <c r="BV270" s="1">
        <f>INDEX(Input!$1:$1048576,BV$93,$C270*2+6)</f>
        <v>5.5E-2</v>
      </c>
      <c r="BW270" s="1">
        <f>INDEX(Input!$1:$1048576,BW$93,$C270*2+6)</f>
        <v>0.06</v>
      </c>
      <c r="BX270" s="127">
        <f>INDEX(Input!$1:$1048576,BX$93,$C270*2+6)</f>
        <v>19985</v>
      </c>
      <c r="BY270" s="20">
        <f>INDEX(Input!$1:$1048576,BY$93,$C270*2+6)</f>
        <v>0.1</v>
      </c>
      <c r="BZ270" s="20">
        <f>INDEX(Input!$1:$1048576,BZ$93,$C270*2+6)</f>
        <v>0.1</v>
      </c>
      <c r="CA270" s="20">
        <f>INDEX(Input!$1:$1048576,CA$93,$C270*2+6)</f>
        <v>0.1</v>
      </c>
      <c r="CB270" s="20">
        <f>INDEX(Input!$1:$1048576,CB$93,$C270*2+6)</f>
        <v>0.1</v>
      </c>
      <c r="CC270" s="20">
        <f>INDEX(Input!$1:$1048576,CC$93,$C270*2+6)</f>
        <v>0.1</v>
      </c>
      <c r="CD270" s="384">
        <f>INDEX(Input!$1:$1048576,CD$93,$C270*2+6)</f>
        <v>0.1</v>
      </c>
      <c r="CE270" s="384">
        <f>INDEX(Input!$1:$1048576,CE$93,$C270*2+6)</f>
        <v>0.1</v>
      </c>
      <c r="CF270" s="384">
        <f>INDEX(Input!$1:$1048576,CF$93,$C270*2+6)</f>
        <v>0.1</v>
      </c>
      <c r="CG270" s="384">
        <f>INDEX(Input!$1:$1048576,CG$93,$C270*2+6)</f>
        <v>0.1</v>
      </c>
      <c r="CH270" s="384">
        <f>INDEX(Input!$1:$1048576,CH$93,$C270*2+6)</f>
        <v>0.1</v>
      </c>
      <c r="CI270" s="304">
        <f t="shared" si="735"/>
        <v>2019.7618664521319</v>
      </c>
      <c r="CJ270" s="16" t="str">
        <f>INDEX(Input!$1:$1048576,CJ$93,$C270*2+6)</f>
        <v>N</v>
      </c>
      <c r="CK270" s="1" t="str">
        <f t="shared" si="736"/>
        <v>Market</v>
      </c>
      <c r="CL270" s="1" t="str">
        <f t="shared" si="737"/>
        <v>Market</v>
      </c>
      <c r="CM270" s="1" t="str">
        <f t="shared" si="738"/>
        <v>Market</v>
      </c>
      <c r="CN270" s="1" t="str">
        <f t="shared" si="739"/>
        <v>Market</v>
      </c>
      <c r="CO270" s="1" t="str">
        <f t="shared" si="740"/>
        <v>Market</v>
      </c>
      <c r="CP270" s="304">
        <f t="shared" si="741"/>
        <v>1973</v>
      </c>
      <c r="CQ270" s="1">
        <f t="shared" si="742"/>
        <v>0</v>
      </c>
      <c r="CR270" s="1">
        <f t="shared" si="743"/>
        <v>0</v>
      </c>
      <c r="CS270" s="1">
        <f t="shared" si="744"/>
        <v>0</v>
      </c>
      <c r="CT270" s="1">
        <f t="shared" si="745"/>
        <v>2.7999999999999997E-2</v>
      </c>
      <c r="CU270" s="1">
        <f t="shared" si="746"/>
        <v>3.9E-2</v>
      </c>
      <c r="CV270" s="304">
        <f t="shared" si="747"/>
        <v>56</v>
      </c>
      <c r="CW270" s="20" t="s">
        <v>122</v>
      </c>
      <c r="CX270" s="20" t="s">
        <v>122</v>
      </c>
      <c r="CY270" s="20" t="s">
        <v>122</v>
      </c>
      <c r="CZ270" s="20" t="s">
        <v>122</v>
      </c>
      <c r="DA270" s="20" t="s">
        <v>122</v>
      </c>
      <c r="DB270" s="503">
        <f t="shared" si="748"/>
        <v>0</v>
      </c>
      <c r="DC270" s="127">
        <v>0</v>
      </c>
      <c r="DD270" s="127">
        <v>0</v>
      </c>
      <c r="DE270" s="127">
        <v>0</v>
      </c>
      <c r="DF270" s="127">
        <v>0</v>
      </c>
      <c r="DG270" s="127">
        <v>0</v>
      </c>
      <c r="DH270" s="127">
        <v>0</v>
      </c>
      <c r="DI270" s="127">
        <v>0</v>
      </c>
      <c r="DJ270" s="127">
        <v>0</v>
      </c>
      <c r="DK270" s="127">
        <v>0</v>
      </c>
      <c r="DL270" s="127">
        <v>0</v>
      </c>
      <c r="DM270" s="304">
        <f>INDEX(Input!$1:$1048576,DM$93,$C270*2+6)</f>
        <v>21036.84210526316</v>
      </c>
      <c r="DN270" s="20">
        <v>0</v>
      </c>
      <c r="DO270" s="20">
        <v>0</v>
      </c>
      <c r="DP270" s="20">
        <v>0</v>
      </c>
      <c r="DQ270" s="20">
        <v>0</v>
      </c>
      <c r="DR270" s="20">
        <v>0</v>
      </c>
      <c r="DS270" s="20">
        <f>INDEX(Input!$1:$1048576,DS$93,$C270*2+6)</f>
        <v>0.6</v>
      </c>
      <c r="DT270" s="20">
        <f>INDEX(Input!$1:$1048576,DT$93,$C270*2+6)</f>
        <v>0.55000000000000004</v>
      </c>
      <c r="DU270" s="20">
        <f>INDEX(Input!$1:$1048576,DU$93,$C270*2+6)</f>
        <v>0.52</v>
      </c>
      <c r="DV270" s="20">
        <f>INDEX(Input!$1:$1048576,DV$93,$C270*2+6)</f>
        <v>0.5</v>
      </c>
      <c r="DW270" s="20">
        <f>INDEX(Input!$1:$1048576,DW$93,$C270*2+6)</f>
        <v>0.45</v>
      </c>
      <c r="DX270" s="20"/>
      <c r="DY270" s="7">
        <v>0.10708831339060064</v>
      </c>
      <c r="DZ270" s="7">
        <v>0</v>
      </c>
      <c r="EA270" s="7">
        <v>0.68105692058812284</v>
      </c>
      <c r="EB270" s="7">
        <v>0</v>
      </c>
      <c r="EC270" s="7">
        <v>0</v>
      </c>
      <c r="ED270" s="7">
        <v>0</v>
      </c>
      <c r="EE270" s="7">
        <v>0</v>
      </c>
      <c r="EF270" s="7">
        <v>0</v>
      </c>
      <c r="EG270" s="7">
        <v>0</v>
      </c>
      <c r="EH270" s="7">
        <v>1.7198000538454373E-2</v>
      </c>
      <c r="EI270" s="7">
        <v>4.8956003727867528E-2</v>
      </c>
      <c r="EJ270" s="7">
        <v>0.37050675316253412</v>
      </c>
      <c r="EK270" s="7">
        <v>0.42929849808234971</v>
      </c>
      <c r="EL270" s="7">
        <v>0.13404074448879436</v>
      </c>
      <c r="EM270" s="7">
        <v>7.3676269176133818E-2</v>
      </c>
      <c r="EN270" s="7">
        <v>6.5526598030930805E-2</v>
      </c>
      <c r="EO270" s="7">
        <v>0.73219444593383065</v>
      </c>
      <c r="EP270" s="7">
        <v>8.7626911721928144E-2</v>
      </c>
      <c r="EQ270" s="7">
        <v>7.4710831722923449E-2</v>
      </c>
      <c r="ER270" s="7">
        <v>3.994121259038718E-2</v>
      </c>
      <c r="ES270" s="7">
        <v>0.13817849684514266</v>
      </c>
      <c r="ET270" s="7">
        <v>0.21185476602127651</v>
      </c>
      <c r="EU270" s="6">
        <v>2044</v>
      </c>
      <c r="EV270" s="6">
        <v>0</v>
      </c>
      <c r="EW270" s="6">
        <v>2044</v>
      </c>
      <c r="EX270" s="6">
        <v>0</v>
      </c>
      <c r="EY270" s="6">
        <v>3363.1110182093971</v>
      </c>
      <c r="EZ270" s="6">
        <v>946</v>
      </c>
      <c r="FA270" s="6">
        <v>0</v>
      </c>
      <c r="FB270" s="6">
        <v>0</v>
      </c>
      <c r="FC270" s="6">
        <v>0</v>
      </c>
      <c r="FD270" s="6">
        <v>0</v>
      </c>
      <c r="FE270" s="6">
        <v>0</v>
      </c>
      <c r="FF270" s="6">
        <v>0</v>
      </c>
      <c r="FG270" s="6">
        <v>0</v>
      </c>
      <c r="FH270" s="6">
        <v>1173.729490409803</v>
      </c>
      <c r="FI270" s="6">
        <v>1553.9796069512408</v>
      </c>
      <c r="FJ270" s="6">
        <v>2101.2110117447419</v>
      </c>
      <c r="FK270" s="6">
        <v>1334.1543630076696</v>
      </c>
      <c r="FL270" s="6">
        <v>907.07682140966335</v>
      </c>
      <c r="FM270" s="6">
        <v>1569.1110182093973</v>
      </c>
      <c r="FN270" s="6">
        <v>0</v>
      </c>
      <c r="FO270" s="6">
        <v>0</v>
      </c>
      <c r="FP270" s="6">
        <v>0</v>
      </c>
      <c r="FQ270" s="6">
        <v>0</v>
      </c>
      <c r="FR270" s="6">
        <v>0</v>
      </c>
      <c r="FS270" s="6">
        <v>0</v>
      </c>
      <c r="FT270" s="7">
        <v>0.78814523397872349</v>
      </c>
      <c r="FU270" s="7">
        <v>7.3676269176133818E-2</v>
      </c>
      <c r="FV270" s="7">
        <v>0.13817849684514266</v>
      </c>
      <c r="FW270" s="6">
        <v>2044.0000000000002</v>
      </c>
      <c r="FX270" s="6">
        <v>3363.1110182093971</v>
      </c>
      <c r="FY270" s="6">
        <v>946</v>
      </c>
      <c r="FZ270" s="6">
        <v>1817.4615072224267</v>
      </c>
      <c r="GA270" s="6">
        <v>1989.4671889148331</v>
      </c>
      <c r="GB270" s="6">
        <v>17995.532811085166</v>
      </c>
      <c r="GC270" s="7">
        <v>1.804905384453976E-2</v>
      </c>
      <c r="GD270" s="7">
        <v>1.8627468745663608E-2</v>
      </c>
      <c r="GE270" s="7"/>
      <c r="GF270" s="7"/>
      <c r="GG270" s="7">
        <v>3.2046826725979978E-2</v>
      </c>
      <c r="GH270" s="42">
        <v>3.7234574219706396</v>
      </c>
      <c r="GI270" s="6">
        <v>7356.790548670876</v>
      </c>
      <c r="GJ270" s="14">
        <v>0.50394797582841744</v>
      </c>
      <c r="GK270" s="14">
        <v>0.50887573065309744</v>
      </c>
      <c r="GL270" s="14">
        <v>0.49605202417158267</v>
      </c>
      <c r="GM270" s="14">
        <v>0.49112426934690256</v>
      </c>
      <c r="GO270" s="5">
        <v>343.14810671672558</v>
      </c>
      <c r="GP270" s="5">
        <v>304.15248610521212</v>
      </c>
      <c r="GQ270" s="5">
        <v>535.04305713031317</v>
      </c>
      <c r="GR270" s="5">
        <v>410.15490233172511</v>
      </c>
      <c r="GS270" s="5">
        <v>339.42744393800166</v>
      </c>
      <c r="GT270" s="5">
        <v>293.4407446948278</v>
      </c>
      <c r="GU270" s="5">
        <v>258.04012322764959</v>
      </c>
      <c r="GV270" s="39" t="s">
        <v>392</v>
      </c>
      <c r="GW270" s="5">
        <v>449.79166666666669</v>
      </c>
      <c r="GX270" s="5">
        <v>337.34375</v>
      </c>
      <c r="GY270" s="5">
        <v>269.875</v>
      </c>
      <c r="GZ270" s="5">
        <v>244.57745094665984</v>
      </c>
      <c r="HA270" s="5">
        <v>220.58756237243733</v>
      </c>
      <c r="HB270" s="39">
        <v>258.80548265941781</v>
      </c>
      <c r="HC270" s="5">
        <v>245.89687499999999</v>
      </c>
      <c r="HD270" s="5">
        <v>211.55677997076018</v>
      </c>
      <c r="HE270" s="5">
        <v>214.73562331309037</v>
      </c>
      <c r="HF270" s="5">
        <v>199.03250548245612</v>
      </c>
      <c r="HG270" s="5">
        <v>192.49971491228069</v>
      </c>
      <c r="HH270" s="39">
        <v>212.38866054842444</v>
      </c>
      <c r="HI270" s="16"/>
      <c r="HJ270" s="19" t="str">
        <f t="shared" ref="HJ270" si="827">HJ269</f>
        <v>On</v>
      </c>
      <c r="HK270" s="1" t="str">
        <f t="shared" si="818"/>
        <v>On</v>
      </c>
      <c r="HL270" s="16"/>
      <c r="HM270" s="639">
        <f t="shared" si="775"/>
        <v>1.2768706344444866E-2</v>
      </c>
      <c r="HN270" s="639">
        <f t="shared" si="776"/>
        <v>9.795534288915453E-4</v>
      </c>
      <c r="HO270" s="639">
        <f t="shared" si="777"/>
        <v>3.3583061774515237E-3</v>
      </c>
      <c r="HP270" s="644">
        <f>(FT270*$GD270-HM270)/$JF270*INDEX(Input!$1:$1048576,$JG$93,$C270*2+6)</f>
        <v>138.96233510166701</v>
      </c>
      <c r="HQ270" s="644">
        <f>(FU270*$GD270-HN270)/$JF270*INDEX(Input!$1:$1048576,$JG$93,$C270*2+6)</f>
        <v>28.545254155764873</v>
      </c>
      <c r="HR270" s="644">
        <f>(FV270*$GD270-HO270)/$JF270*INDEX(Input!$1:$1048576,$JG$93,$C270*2+6)</f>
        <v>-56.995509891591311</v>
      </c>
      <c r="HS270" s="644">
        <f t="shared" si="767"/>
        <v>-50.823313923211913</v>
      </c>
      <c r="HT270" s="644">
        <f t="shared" si="778"/>
        <v>98.495140886932745</v>
      </c>
      <c r="HU270" s="644">
        <f t="shared" si="779"/>
        <v>13.404115847739073</v>
      </c>
      <c r="HV270" s="648">
        <f t="shared" si="780"/>
        <v>0</v>
      </c>
      <c r="HW270" s="648">
        <f t="shared" si="781"/>
        <v>0</v>
      </c>
      <c r="HX270" s="648">
        <f t="shared" si="782"/>
        <v>0</v>
      </c>
      <c r="HY270" s="644">
        <f>INDEX(Input!$1:$1048576,HY$93,$C270*2+6)*INDEX(Input!$1:$1048576,$JG$93,$C270*2+6)</f>
        <v>451</v>
      </c>
      <c r="HZ270" s="644">
        <f>INDEX(Input!$1:$1048576,HZ$93,$C270*2+6)*INDEX(Input!$1:$1048576,$JG$93,$C270*2+6)</f>
        <v>577</v>
      </c>
      <c r="IA270" s="644">
        <f>INDEX(Input!$1:$1048576,IA$93,$C270*2+6)*INDEX(Input!$1:$1048576,$JG$93,$C270*2+6)</f>
        <v>215</v>
      </c>
      <c r="IB270" s="644">
        <f t="shared" si="804"/>
        <v>539.1390211784551</v>
      </c>
      <c r="IC270" s="644">
        <f t="shared" si="805"/>
        <v>704.04039504269758</v>
      </c>
      <c r="ID270" s="644">
        <f>IF(AND(INDEX(Input!$1:$1048576,IA$93,$C270*2+7)="TOS",Y270&lt;=INDEX(Y:Y,MATCH(C270*1000+2,A:A))),0,1)*MAX(IA270+HR270+HU270+HX270,0%)</f>
        <v>171.40860595614774</v>
      </c>
      <c r="IE270" s="128">
        <f t="shared" si="768"/>
        <v>0.38112794165231589</v>
      </c>
      <c r="IF270" s="128">
        <f t="shared" si="783"/>
        <v>0.49769995504348696</v>
      </c>
      <c r="IG270" s="128">
        <f t="shared" si="784"/>
        <v>0.12117210330419712</v>
      </c>
      <c r="IH270" s="21"/>
      <c r="II270" s="19">
        <f t="shared" si="785"/>
        <v>1252</v>
      </c>
      <c r="IJ270" s="19">
        <f t="shared" si="786"/>
        <v>2011.9658773055378</v>
      </c>
      <c r="IK270" s="19">
        <f t="shared" si="787"/>
        <v>919</v>
      </c>
      <c r="IL270" s="19">
        <f t="shared" si="806"/>
        <v>792.00000000000023</v>
      </c>
      <c r="IM270" s="19">
        <f t="shared" si="788"/>
        <v>1351.1451409038593</v>
      </c>
      <c r="IN270" s="19">
        <f t="shared" si="789"/>
        <v>27</v>
      </c>
      <c r="IO270" s="39">
        <f t="shared" si="790"/>
        <v>0</v>
      </c>
      <c r="IP270" s="39">
        <f t="shared" si="791"/>
        <v>0</v>
      </c>
      <c r="IQ270" s="39">
        <f t="shared" si="792"/>
        <v>0</v>
      </c>
      <c r="IR270" s="39">
        <v>0</v>
      </c>
      <c r="IS270" s="39">
        <v>0</v>
      </c>
      <c r="IT270" s="39">
        <v>0</v>
      </c>
      <c r="IU270" s="39">
        <v>0</v>
      </c>
      <c r="IV270" s="39">
        <v>0</v>
      </c>
      <c r="IW270" s="39">
        <v>0</v>
      </c>
      <c r="IX270" s="39">
        <f>INDEX(Input!$1:$1048576,IX$93,$C270*2+6)+INDEX(Input!$1:$1048576,IX$94,$C270*2+6)</f>
        <v>1294</v>
      </c>
      <c r="IY270" s="39">
        <f>INDEX(Input!$1:$1048576,IY$93,$C270*2+6)+INDEX(Input!$1:$1048576,IY$94,$C270*2+6)</f>
        <v>2154.0624533823611</v>
      </c>
      <c r="IZ270" s="39">
        <f>INDEX(Input!$1:$1048576,IZ$93,$C270*2+6)+INDEX(Input!$1:$1048576,IZ$94,$C270*2+6)</f>
        <v>3677.7164157747848</v>
      </c>
      <c r="JA270" s="19">
        <f t="shared" si="807"/>
        <v>2086</v>
      </c>
      <c r="JB270" s="19">
        <f t="shared" si="808"/>
        <v>3505.2075942862202</v>
      </c>
      <c r="JC270" s="19">
        <f t="shared" si="809"/>
        <v>3704.7164157747848</v>
      </c>
      <c r="JD270" s="19">
        <f t="shared" si="810"/>
        <v>2988.4828286260886</v>
      </c>
      <c r="JE270" s="21"/>
      <c r="JF270" s="1">
        <f t="shared" si="793"/>
        <v>1.7106565950787935E-2</v>
      </c>
      <c r="JG270" s="15">
        <f>INDEX(Input!$1:$1048576,JG$93,$C270*2+6)/(1+VLOOKUP(C270*1000+INDEX(Input!$1:$1048576,JG$93+1,$C270*2+6),$A:$KK,$JK$92,FALSE))</f>
        <v>1243</v>
      </c>
      <c r="JH270" s="1">
        <f t="shared" si="811"/>
        <v>8.8907545748866099E-2</v>
      </c>
      <c r="JI270" s="1">
        <f t="shared" si="812"/>
        <v>4.9135915375269429E-2</v>
      </c>
      <c r="JJ270" s="1">
        <f t="shared" si="769"/>
        <v>0</v>
      </c>
      <c r="JK270" s="1">
        <f t="shared" si="770"/>
        <v>0.13804346112413551</v>
      </c>
      <c r="JL270" s="15">
        <f t="shared" si="813"/>
        <v>171.58802217730045</v>
      </c>
      <c r="JM270" s="15">
        <f t="shared" si="702"/>
        <v>1414.5880221773004</v>
      </c>
      <c r="JN270" s="21"/>
      <c r="JO270" s="19">
        <f>INDEX(Input!$1:$1048576,JO$93,$C270*2+6)</f>
        <v>5995.5</v>
      </c>
      <c r="JP270" s="19">
        <f>INDEX(Input!$1:$1048576,JP$93,$C270*2+6)</f>
        <v>2105.548724853742</v>
      </c>
      <c r="JQ270" s="39">
        <f t="shared" si="819"/>
        <v>3007.0171713739114</v>
      </c>
      <c r="JR270" s="39">
        <f t="shared" si="705"/>
        <v>882.93410377234659</v>
      </c>
      <c r="JS270" s="39">
        <f t="shared" si="820"/>
        <v>4.2274720138570032</v>
      </c>
      <c r="JT270" s="39">
        <f t="shared" si="814"/>
        <v>1.610274948863802</v>
      </c>
      <c r="JU270" s="385">
        <f>(JQ270*JM270-INDEX(Input!$1:$1048576,Input!A$18,$C270*2+6)*JL270*INDEX(Input!$1:$1048576,Input!A$19,$C270*2+6))/1000000</f>
        <v>4.2536904731070013</v>
      </c>
      <c r="JV270" s="39">
        <f t="shared" si="712"/>
        <v>-0.58151896189979713</v>
      </c>
      <c r="JW270" s="1">
        <f t="shared" si="703"/>
        <v>-0.12026758503770571</v>
      </c>
      <c r="JX270" s="19">
        <f t="shared" si="824"/>
        <v>9384.5416972049388</v>
      </c>
      <c r="JZ270" s="341"/>
      <c r="KA270" s="342"/>
      <c r="KB270" s="469">
        <f t="shared" si="821"/>
        <v>2.5660492421988774</v>
      </c>
      <c r="KI270" s="473">
        <f t="shared" si="771"/>
        <v>88.139021178455096</v>
      </c>
      <c r="KJ270" s="473">
        <f t="shared" si="772"/>
        <v>127.04039504269758</v>
      </c>
      <c r="KK270" s="473">
        <f t="shared" si="815"/>
        <v>-43.591394043852262</v>
      </c>
      <c r="KN270" s="544">
        <f t="shared" si="825"/>
        <v>2002</v>
      </c>
      <c r="KO270" s="541">
        <f t="shared" si="794"/>
        <v>0.1313383977872431</v>
      </c>
      <c r="KP270" s="546">
        <f t="shared" si="795"/>
        <v>937.40686831717721</v>
      </c>
      <c r="KQ270" s="546">
        <f t="shared" si="796"/>
        <v>844.80248919261567</v>
      </c>
      <c r="KR270" s="548">
        <f t="shared" si="797"/>
        <v>2.4997153507477772</v>
      </c>
      <c r="KS270" s="548">
        <f t="shared" si="798"/>
        <v>2.7737256561214805</v>
      </c>
      <c r="KT270" s="473">
        <f t="shared" si="822"/>
        <v>843.26993010479111</v>
      </c>
      <c r="KU270" s="663">
        <f t="shared" si="816"/>
        <v>4.530764203965771</v>
      </c>
    </row>
    <row r="271" spans="1:308" s="26" customFormat="1" ht="15" outlineLevel="1">
      <c r="A271" s="561">
        <f t="shared" si="799"/>
        <v>2071</v>
      </c>
      <c r="B271" s="561">
        <f t="shared" si="817"/>
        <v>71</v>
      </c>
      <c r="C271" s="561">
        <f t="shared" si="760"/>
        <v>2</v>
      </c>
      <c r="D271" s="561" t="str">
        <f t="shared" si="728"/>
        <v xml:space="preserve">1000 CC, 0/1.8/2.8/3.9, 2000 Combo, </v>
      </c>
      <c r="E271" s="475">
        <f>INDEX(Input!$1:$1048576,E$93,$C271*2+MIN($B271,2)+5)
+INDEX(Scenarios!E$121:E$200,MATCH($B271,Scenarios!$B$121:$B$200,0))</f>
        <v>2269.7618664521319</v>
      </c>
      <c r="F271" s="475">
        <f>INDEX(Input!$1:$1048576,F$93,$C271*2+MIN($B271,2)+5)
+INDEX(Scenarios!F$121:F$200,MATCH($B271,Scenarios!$B$121:$B$200,0))</f>
        <v>0</v>
      </c>
      <c r="G271" s="475">
        <f>INDEX(Input!$1:$1048576,G$93,$C271*2+MIN($B271,2)+5)
+INDEX(Scenarios!G$121:G$200,MATCH($B271,Scenarios!$B$121:$B$200,0))</f>
        <v>0</v>
      </c>
      <c r="H271" s="475">
        <f>INDEX(Input!$1:$1048576,H$93,$C271*2+MIN($B271,2)+5)
+INDEX(Scenarios!H$121:H$200,MATCH($B271,Scenarios!$B$121:$B$200,0))</f>
        <v>0</v>
      </c>
      <c r="I271" s="476">
        <f>INDEX(Input!$1:$1048576,I$93,$C271*2+MIN($B271,2)+5)</f>
        <v>0.7</v>
      </c>
      <c r="J271" s="476" t="str">
        <f>INDEX(Input!$1:$1048576,J$93,$C271*2+MIN($B271,2)+5)</f>
        <v>Market</v>
      </c>
      <c r="K271" s="476" t="str">
        <f>INDEX(Input!$1:$1048576,K$93,$C271*2+MIN($B271,2)+5)</f>
        <v>Market</v>
      </c>
      <c r="L271" s="476" t="str">
        <f>INDEX(Input!$1:$1048576,L$93,$C271*2+MIN($B271,2)+5)</f>
        <v>Market</v>
      </c>
      <c r="M271" s="476" t="str">
        <f>INDEX(Input!$1:$1048576,M$93,$C271*2+MIN($B271,2)+5)</f>
        <v>Market</v>
      </c>
      <c r="N271" s="476" t="str">
        <f>INDEX(Input!$1:$1048576,N$93,$C271*2+MIN($B271,2)+5)</f>
        <v>Market</v>
      </c>
      <c r="O271" s="476" t="str">
        <f>INDEX(Input!$1:$1048576,O$93,$C271*2+MIN($B271,2)+5)</f>
        <v>Market</v>
      </c>
      <c r="P271" s="476" t="str">
        <f>INDEX(Input!$1:$1048576,P$93,$C271*2+MIN($B271,2)+5)</f>
        <v>N</v>
      </c>
      <c r="Q271" s="477">
        <f>INDEX(Input!$1:$1048576,Q$93,$C271*2+MIN($B271,2)+5)
+INDEX(Scenarios!Q$121:Q$200,MATCH($B271,Scenarios!$B$121:$B$200,0))</f>
        <v>2000</v>
      </c>
      <c r="R271" s="478">
        <f>IFERROR(MAX(0,INDEX(Input!$1:$1048576,R$93,$C271*2+MIN($B271,2)+5)
+INDEX(Scenarios!R$121:R$200,MATCH($B271,Scenarios!$B$121:$B$200,0)),),"Market")</f>
        <v>0</v>
      </c>
      <c r="S271" s="478">
        <f>IFERROR(MAX(0,INDEX(Input!$1:$1048576,S$93,$C271*2+MIN($B271,2)+5)
+INDEX(Scenarios!S$121:S$200,MATCH($B271,Scenarios!$B$121:$B$200,0)),),"Market")</f>
        <v>0</v>
      </c>
      <c r="T271" s="478">
        <f>IFERROR(MAX(0,INDEX(Input!$1:$1048576,T$93,$C271*2+MIN($B271,2)+5)
+INDEX(Scenarios!T$121:T$200,MATCH($B271,Scenarios!$B$121:$B$200,0)),),"Market")</f>
        <v>0</v>
      </c>
      <c r="U271" s="478">
        <f>IFERROR(MAX(0,INDEX(Input!$1:$1048576,U$93,$C271*2+MIN($B271,2)+5)
+INDEX(Scenarios!U$121:U$200,MATCH($B271,Scenarios!$B$121:$B$200,0)),),"Market")</f>
        <v>0</v>
      </c>
      <c r="V271" s="478">
        <f>IFERROR(MAX(0,INDEX(Input!$1:$1048576,V$93,$C271*2+MIN($B271,2)+5)
+INDEX(Scenarios!V$121:V$200,MATCH($B271,Scenarios!$B$121:$B$200,0)),),"Market")</f>
        <v>2.7999999999999997E-2</v>
      </c>
      <c r="W271" s="885">
        <f>IFERROR(MAX(0,INDEX(Input!$1:$1048576,W$93,$C271*2+MIN($B271,2)+5)-0%,),"Market")</f>
        <v>3.9E-2</v>
      </c>
      <c r="X271" s="476" t="str">
        <f>INDEX(Input!$1:$1048576,X$93,$C271*2+MIN($B271,2)+5)</f>
        <v>Y</v>
      </c>
      <c r="Y271" s="475">
        <f>INDEX(Input!$1:$1048576,Y$93,$C271*2+MIN($B271,2)+5)
++INDEX(Scenarios!Y$121:Y$200,MATCH($B271,Scenarios!$B$121:$B$200,0))</f>
        <v>56</v>
      </c>
      <c r="Z271" s="477">
        <f>INDEX(Input!$1:$1048576,Z$93,$C271*2+MIN($B271,2)+5)
+INDEX(Scenarios!Z$121:Z$200,MATCH($B271,Scenarios!$B$121:$B$200,0))</f>
        <v>0</v>
      </c>
      <c r="AA271" s="475">
        <f>INDEX(Input!$1:$1048576,AA$93,$C271*2+MIN($B271,2)+5)
+INDEX(Scenarios!AA$121:AA$200,MATCH($B271,Scenarios!$B$121:$B$200,0))</f>
        <v>0</v>
      </c>
      <c r="AB271" s="476">
        <f>INDEX(Input!$1:$1048576,AB$93,$C271*2+MIN($B271,2)+5)</f>
        <v>0.27</v>
      </c>
      <c r="AC271" s="475">
        <f>INDEX(Input!$1:$1048576,AC$93,$C271*2+MIN($B271,2)+5)
+INDEX(Scenarios!AC$121:AC$200,MATCH($B271,Scenarios!$B$121:$B$200,0))</f>
        <v>0</v>
      </c>
      <c r="AD271" s="476">
        <f>INDEX(Input!$1:$1048576,AD$93,$C271*2+MIN($B271,2)+5)</f>
        <v>0.27</v>
      </c>
      <c r="AE271" s="475">
        <f>INDEX(Input!$1:$1048576,AE$93,$C271*2+MIN($B271,2)+5)
+INDEX(Scenarios!AE$121:AE$200,MATCH($B271,Scenarios!$B$121:$B$200,0))</f>
        <v>0</v>
      </c>
      <c r="AF271" s="476">
        <f>INDEX(Input!$1:$1048576,AF$93,$C271*2+MIN($B271,2)+5)</f>
        <v>4.8000000000000001E-2</v>
      </c>
      <c r="AG271" s="475">
        <f>INDEX(Input!$1:$1048576,AG$93,$C271*2+MIN($B271,2)+5)
+INDEX(Scenarios!AG$121:AG$200,MATCH($B271,Scenarios!$B$121:$B$200,0))</f>
        <v>500</v>
      </c>
      <c r="AH271" s="476">
        <f>INDEX(Input!$1:$1048576,AH$93,$C271*2+MIN($B271,2)+5)</f>
        <v>0.94599999999999995</v>
      </c>
      <c r="AI271" s="475">
        <f>INDEX(Input!$1:$1048576,AI$93,$C271*2+MIN($B271,2)+5)
+INDEX(Scenarios!AI$121:AI$200,MATCH($B271,Scenarios!$B$121:$B$200,0))</f>
        <v>0</v>
      </c>
      <c r="AJ271" s="476">
        <f>INDEX(Input!$1:$1048576,AJ$93,$C271*2+MIN($B271,2)+5)</f>
        <v>0.27</v>
      </c>
      <c r="AK271" s="150">
        <f>ROUND(INDEX(Input!$1:$1048576,AK$93,$C270*2+MIN($B271,1)+5)+(Y271-VLOOKUP($C271*1000+1,$A:$HH,Y$92,FALSE)),0)</f>
        <v>2977</v>
      </c>
      <c r="AL271" s="150">
        <f>ROUND(INDEX(Input!$1:$1048576,AL$93,$C270*2+MIN($B271,1)+5)-(Y271-VLOOKUP($C271*1000+1,$A:$HH,Y$92,FALSE))/36,0)</f>
        <v>3395</v>
      </c>
      <c r="AM271" s="32" t="str">
        <f t="shared" si="800"/>
        <v>std/std/std/std</v>
      </c>
      <c r="AN271" s="32" t="str">
        <f t="shared" si="801"/>
        <v>$2000 + 0/0/0/2.8/3.9</v>
      </c>
      <c r="AO271" s="32" t="str">
        <f t="shared" si="802"/>
        <v>0/0/0/2.8/3.9</v>
      </c>
      <c r="AP271" s="32" t="str">
        <f t="shared" si="734"/>
        <v>0/1.8/2.8/3.9</v>
      </c>
      <c r="AQ271" s="536">
        <f t="shared" si="733"/>
        <v>0.38005092924268508</v>
      </c>
      <c r="AR271" s="32"/>
      <c r="AS271" s="302"/>
      <c r="AT271" s="3">
        <f t="shared" si="717"/>
        <v>71</v>
      </c>
      <c r="AU271" s="41" t="s">
        <v>121</v>
      </c>
      <c r="AV271" s="41" t="s">
        <v>116</v>
      </c>
      <c r="AW271" s="41" t="str">
        <f>INDEX(Input!$1:$1048576,AW$93,$C271*2+6)</f>
        <v>Kia</v>
      </c>
      <c r="AX271" s="41" t="str">
        <f>INDEX(Input!$1:$1048576,AX$93,$C271*2+6)</f>
        <v>Kia-LR - L2</v>
      </c>
      <c r="AY271" s="41" t="str">
        <f>IF(LEN(D271)=0,"",INDEX(Input!$1:$1048576,AY$93,$C271*2+6))</f>
        <v>Compact SUV (52)</v>
      </c>
      <c r="AZ271" s="41" t="str">
        <f>INDEX(Input!$1:$1048576,AZ$93,$C271*2+6)</f>
        <v>Kia Soul</v>
      </c>
      <c r="BA271" s="3">
        <f>INDEX(Input!$1:$1048576,BA$93,$C271*2+6)</f>
        <v>2020</v>
      </c>
      <c r="BB271" s="128">
        <f>INDEX(Input!$1:$1048576,BB$93,$C271*2+6)</f>
        <v>1</v>
      </c>
      <c r="BC271" s="128">
        <f>INDEX(Input!$1:$1048576,BC$93,$C271*2+6)</f>
        <v>0.7</v>
      </c>
      <c r="BD271" s="1">
        <f>INDEX(Input!$1:$1048576,BD$93,$C271*2+6)</f>
        <v>4.4999999999999998E-2</v>
      </c>
      <c r="BE271" s="1">
        <f>INDEX(Input!$1:$1048576,BE$93,$C271*2+6)</f>
        <v>4.4999999999999998E-2</v>
      </c>
      <c r="BF271" s="1">
        <f>INDEX(Input!$1:$1048576,BF$93,$C271*2+6)</f>
        <v>0.05</v>
      </c>
      <c r="BG271" s="1">
        <f>INDEX(Input!$1:$1048576,BG$93,$C271*2+6)</f>
        <v>5.45E-2</v>
      </c>
      <c r="BH271" s="1">
        <f>INDEX(Input!$1:$1048576,BH$93,$C271*2+6)</f>
        <v>5.45E-2</v>
      </c>
      <c r="BI271" s="1">
        <f>INDEX(Input!$1:$1048576,BI$93,$C271*2+6)</f>
        <v>0.05</v>
      </c>
      <c r="BJ271" s="1">
        <f>INDEX(Input!$1:$1048576,BJ$93,$C271*2+6)</f>
        <v>0.05</v>
      </c>
      <c r="BK271" s="1">
        <f>INDEX(Input!$1:$1048576,BK$93,$C271*2+6)</f>
        <v>0.05</v>
      </c>
      <c r="BL271" s="1">
        <f>INDEX(Input!$1:$1048576,BL$93,$C271*2+6)</f>
        <v>5.5E-2</v>
      </c>
      <c r="BM271" s="1">
        <f>INDEX(Input!$1:$1048576,BM$93,$C271*2+6)</f>
        <v>0.06</v>
      </c>
      <c r="BN271" s="1">
        <f>INDEX(Input!$1:$1048576,BN$93,$C271*2+6)</f>
        <v>4.4999999999999998E-2</v>
      </c>
      <c r="BO271" s="1">
        <f>INDEX(Input!$1:$1048576,BO$93,$C271*2+6)</f>
        <v>4.4999999999999998E-2</v>
      </c>
      <c r="BP271" s="1">
        <f>INDEX(Input!$1:$1048576,BP$93,$C271*2+6)</f>
        <v>0.05</v>
      </c>
      <c r="BQ271" s="1">
        <f>INDEX(Input!$1:$1048576,BQ$93,$C271*2+6)</f>
        <v>5.45E-2</v>
      </c>
      <c r="BR271" s="1">
        <f>INDEX(Input!$1:$1048576,BR$93,$C271*2+6)</f>
        <v>5.45E-2</v>
      </c>
      <c r="BS271" s="1">
        <f>INDEX(Input!$1:$1048576,BS$93,$C271*2+6)</f>
        <v>0.05</v>
      </c>
      <c r="BT271" s="1">
        <f>INDEX(Input!$1:$1048576,BT$93,$C271*2+6)</f>
        <v>0.05</v>
      </c>
      <c r="BU271" s="1">
        <f>INDEX(Input!$1:$1048576,BU$93,$C271*2+6)</f>
        <v>0.05</v>
      </c>
      <c r="BV271" s="1">
        <f>INDEX(Input!$1:$1048576,BV$93,$C271*2+6)</f>
        <v>5.5E-2</v>
      </c>
      <c r="BW271" s="1">
        <f>INDEX(Input!$1:$1048576,BW$93,$C271*2+6)</f>
        <v>0.06</v>
      </c>
      <c r="BX271" s="127">
        <f>INDEX(Input!$1:$1048576,BX$93,$C271*2+6)</f>
        <v>19985</v>
      </c>
      <c r="BY271" s="20">
        <f>INDEX(Input!$1:$1048576,BY$93,$C271*2+6)</f>
        <v>0.1</v>
      </c>
      <c r="BZ271" s="20">
        <f>INDEX(Input!$1:$1048576,BZ$93,$C271*2+6)</f>
        <v>0.1</v>
      </c>
      <c r="CA271" s="20">
        <f>INDEX(Input!$1:$1048576,CA$93,$C271*2+6)</f>
        <v>0.1</v>
      </c>
      <c r="CB271" s="20">
        <f>INDEX(Input!$1:$1048576,CB$93,$C271*2+6)</f>
        <v>0.1</v>
      </c>
      <c r="CC271" s="20">
        <f>INDEX(Input!$1:$1048576,CC$93,$C271*2+6)</f>
        <v>0.1</v>
      </c>
      <c r="CD271" s="384">
        <f>INDEX(Input!$1:$1048576,CD$93,$C271*2+6)</f>
        <v>0.1</v>
      </c>
      <c r="CE271" s="384">
        <f>INDEX(Input!$1:$1048576,CE$93,$C271*2+6)</f>
        <v>0.1</v>
      </c>
      <c r="CF271" s="384">
        <f>INDEX(Input!$1:$1048576,CF$93,$C271*2+6)</f>
        <v>0.1</v>
      </c>
      <c r="CG271" s="384">
        <f>INDEX(Input!$1:$1048576,CG$93,$C271*2+6)</f>
        <v>0.1</v>
      </c>
      <c r="CH271" s="384">
        <f>INDEX(Input!$1:$1048576,CH$93,$C271*2+6)</f>
        <v>0.1</v>
      </c>
      <c r="CI271" s="304">
        <f t="shared" si="735"/>
        <v>2269.7618664521319</v>
      </c>
      <c r="CJ271" s="16" t="str">
        <f>INDEX(Input!$1:$1048576,CJ$93,$C271*2+6)</f>
        <v>N</v>
      </c>
      <c r="CK271" s="1" t="str">
        <f t="shared" si="736"/>
        <v>Market</v>
      </c>
      <c r="CL271" s="1" t="str">
        <f t="shared" si="737"/>
        <v>Market</v>
      </c>
      <c r="CM271" s="1" t="str">
        <f t="shared" si="738"/>
        <v>Market</v>
      </c>
      <c r="CN271" s="1" t="str">
        <f t="shared" si="739"/>
        <v>Market</v>
      </c>
      <c r="CO271" s="1" t="str">
        <f t="shared" si="740"/>
        <v>Market</v>
      </c>
      <c r="CP271" s="304">
        <f t="shared" si="741"/>
        <v>2473</v>
      </c>
      <c r="CQ271" s="1">
        <f t="shared" si="742"/>
        <v>0</v>
      </c>
      <c r="CR271" s="1">
        <f t="shared" si="743"/>
        <v>0</v>
      </c>
      <c r="CS271" s="1">
        <f t="shared" si="744"/>
        <v>0</v>
      </c>
      <c r="CT271" s="1">
        <f t="shared" si="745"/>
        <v>2.7999999999999997E-2</v>
      </c>
      <c r="CU271" s="1">
        <f t="shared" si="746"/>
        <v>3.9E-2</v>
      </c>
      <c r="CV271" s="304">
        <f t="shared" si="747"/>
        <v>56</v>
      </c>
      <c r="CW271" s="20" t="s">
        <v>122</v>
      </c>
      <c r="CX271" s="20" t="s">
        <v>122</v>
      </c>
      <c r="CY271" s="20" t="s">
        <v>122</v>
      </c>
      <c r="CZ271" s="20" t="s">
        <v>122</v>
      </c>
      <c r="DA271" s="20" t="s">
        <v>122</v>
      </c>
      <c r="DB271" s="503">
        <f t="shared" si="748"/>
        <v>0</v>
      </c>
      <c r="DC271" s="127">
        <v>0</v>
      </c>
      <c r="DD271" s="127">
        <v>0</v>
      </c>
      <c r="DE271" s="127">
        <v>0</v>
      </c>
      <c r="DF271" s="127">
        <v>0</v>
      </c>
      <c r="DG271" s="127">
        <v>0</v>
      </c>
      <c r="DH271" s="127">
        <v>0</v>
      </c>
      <c r="DI271" s="127">
        <v>0</v>
      </c>
      <c r="DJ271" s="127">
        <v>0</v>
      </c>
      <c r="DK271" s="127">
        <v>0</v>
      </c>
      <c r="DL271" s="127">
        <v>0</v>
      </c>
      <c r="DM271" s="304">
        <f>INDEX(Input!$1:$1048576,DM$93,$C271*2+6)</f>
        <v>21036.84210526316</v>
      </c>
      <c r="DN271" s="20">
        <v>0</v>
      </c>
      <c r="DO271" s="20">
        <v>0</v>
      </c>
      <c r="DP271" s="20">
        <v>0</v>
      </c>
      <c r="DQ271" s="20">
        <v>0</v>
      </c>
      <c r="DR271" s="20">
        <v>0</v>
      </c>
      <c r="DS271" s="20">
        <f>INDEX(Input!$1:$1048576,DS$93,$C271*2+6)</f>
        <v>0.6</v>
      </c>
      <c r="DT271" s="20">
        <f>INDEX(Input!$1:$1048576,DT$93,$C271*2+6)</f>
        <v>0.55000000000000004</v>
      </c>
      <c r="DU271" s="20">
        <f>INDEX(Input!$1:$1048576,DU$93,$C271*2+6)</f>
        <v>0.52</v>
      </c>
      <c r="DV271" s="20">
        <f>INDEX(Input!$1:$1048576,DV$93,$C271*2+6)</f>
        <v>0.5</v>
      </c>
      <c r="DW271" s="20">
        <f>INDEX(Input!$1:$1048576,DW$93,$C271*2+6)</f>
        <v>0.45</v>
      </c>
      <c r="DX271" s="20"/>
      <c r="DY271" s="7">
        <v>0.11126480934831749</v>
      </c>
      <c r="DZ271" s="7">
        <v>0</v>
      </c>
      <c r="EA271" s="7">
        <v>0.68247812296245369</v>
      </c>
      <c r="EB271" s="7">
        <v>0</v>
      </c>
      <c r="EC271" s="7">
        <v>0</v>
      </c>
      <c r="ED271" s="7">
        <v>0</v>
      </c>
      <c r="EE271" s="7">
        <v>0</v>
      </c>
      <c r="EF271" s="7">
        <v>0</v>
      </c>
      <c r="EG271" s="7">
        <v>0</v>
      </c>
      <c r="EH271" s="7">
        <v>1.7199289218295118E-2</v>
      </c>
      <c r="EI271" s="7">
        <v>4.8961160572894985E-2</v>
      </c>
      <c r="EJ271" s="7">
        <v>0.37053204561612241</v>
      </c>
      <c r="EK271" s="7">
        <v>0.42926793350597714</v>
      </c>
      <c r="EL271" s="7">
        <v>0.13403957108670997</v>
      </c>
      <c r="EM271" s="7">
        <v>8.435881977032049E-2</v>
      </c>
      <c r="EN271" s="7">
        <v>6.5524403622855137E-2</v>
      </c>
      <c r="EO271" s="7">
        <v>0.732184487464411</v>
      </c>
      <c r="EP271" s="7">
        <v>8.7638836742335052E-2</v>
      </c>
      <c r="EQ271" s="7">
        <v>7.4709499842669072E-2</v>
      </c>
      <c r="ER271" s="7">
        <v>3.994277232772997E-2</v>
      </c>
      <c r="ES271" s="7">
        <v>0.12189824791890838</v>
      </c>
      <c r="ET271" s="7">
        <v>0.20625706768922883</v>
      </c>
      <c r="EU271" s="6">
        <v>2294</v>
      </c>
      <c r="EV271" s="6">
        <v>0</v>
      </c>
      <c r="EW271" s="6">
        <v>2294</v>
      </c>
      <c r="EX271" s="6">
        <v>0</v>
      </c>
      <c r="EY271" s="6">
        <v>3863.1318425094651</v>
      </c>
      <c r="EZ271" s="6">
        <v>946</v>
      </c>
      <c r="FA271" s="6">
        <v>0</v>
      </c>
      <c r="FB271" s="6">
        <v>0</v>
      </c>
      <c r="FC271" s="6">
        <v>0</v>
      </c>
      <c r="FD271" s="6">
        <v>0</v>
      </c>
      <c r="FE271" s="6">
        <v>0</v>
      </c>
      <c r="FF271" s="6">
        <v>0</v>
      </c>
      <c r="FG271" s="6">
        <v>0</v>
      </c>
      <c r="FH271" s="6">
        <v>1173.7292318692946</v>
      </c>
      <c r="FI271" s="6">
        <v>1553.9796069512388</v>
      </c>
      <c r="FJ271" s="6">
        <v>2101.2110117447405</v>
      </c>
      <c r="FK271" s="6">
        <v>1334.1543630076699</v>
      </c>
      <c r="FL271" s="6">
        <v>907.07682140966358</v>
      </c>
      <c r="FM271" s="6">
        <v>1569.1318425094653</v>
      </c>
      <c r="FN271" s="6">
        <v>0</v>
      </c>
      <c r="FO271" s="6">
        <v>0</v>
      </c>
      <c r="FP271" s="6">
        <v>0</v>
      </c>
      <c r="FQ271" s="6">
        <v>0</v>
      </c>
      <c r="FR271" s="6">
        <v>0</v>
      </c>
      <c r="FS271" s="6">
        <v>0</v>
      </c>
      <c r="FT271" s="7">
        <v>0.7937429323107712</v>
      </c>
      <c r="FU271" s="7">
        <v>8.435881977032049E-2</v>
      </c>
      <c r="FV271" s="7">
        <v>0.12189824791890838</v>
      </c>
      <c r="FW271" s="6">
        <v>2294</v>
      </c>
      <c r="FX271" s="6">
        <v>3863.1318425094655</v>
      </c>
      <c r="FY271" s="6">
        <v>946</v>
      </c>
      <c r="FZ271" s="6">
        <v>1817.4615072224267</v>
      </c>
      <c r="GA271" s="6">
        <v>2262.0512721034388</v>
      </c>
      <c r="GB271" s="6">
        <v>17722.948727896561</v>
      </c>
      <c r="GC271" s="7">
        <v>1.804905384453976E-2</v>
      </c>
      <c r="GD271" s="7">
        <v>1.9178385730394609E-2</v>
      </c>
      <c r="GE271" s="7"/>
      <c r="GF271" s="7"/>
      <c r="GG271" s="7">
        <v>6.2570143320642632E-2</v>
      </c>
      <c r="GH271" s="42">
        <v>2.8126250603130987</v>
      </c>
      <c r="GI271" s="6">
        <v>9367.5130992035993</v>
      </c>
      <c r="GJ271" s="14">
        <v>0.50394797582841711</v>
      </c>
      <c r="GK271" s="14">
        <v>0.50887573065309721</v>
      </c>
      <c r="GL271" s="14">
        <v>0.49605202417158256</v>
      </c>
      <c r="GM271" s="14">
        <v>0.49112426934690206</v>
      </c>
      <c r="GO271" s="5">
        <v>343.14810671672558</v>
      </c>
      <c r="GP271" s="5">
        <v>299.3829630362892</v>
      </c>
      <c r="GQ271" s="5">
        <v>535.04305713031317</v>
      </c>
      <c r="GR271" s="5">
        <v>410.15490233172511</v>
      </c>
      <c r="GS271" s="5">
        <v>339.42744393800166</v>
      </c>
      <c r="GT271" s="5">
        <v>293.4407446948278</v>
      </c>
      <c r="GU271" s="5">
        <v>258.04012322764959</v>
      </c>
      <c r="GV271" s="39" t="s">
        <v>392</v>
      </c>
      <c r="GW271" s="5">
        <v>435.90277777777777</v>
      </c>
      <c r="GX271" s="5">
        <v>326.92708333333331</v>
      </c>
      <c r="GY271" s="5">
        <v>261.54166666666669</v>
      </c>
      <c r="GZ271" s="5">
        <v>237.0252678079641</v>
      </c>
      <c r="HA271" s="5">
        <v>213.7761508432591</v>
      </c>
      <c r="HB271" s="39">
        <v>250.8153266008436</v>
      </c>
      <c r="HC271" s="5">
        <v>245.89687499999999</v>
      </c>
      <c r="HD271" s="5">
        <v>211.55677997076018</v>
      </c>
      <c r="HE271" s="5">
        <v>214.73562331309037</v>
      </c>
      <c r="HF271" s="5">
        <v>199.03250548245612</v>
      </c>
      <c r="HG271" s="5">
        <v>192.49971491228069</v>
      </c>
      <c r="HH271" s="39">
        <v>212.38861005683219</v>
      </c>
      <c r="HI271" s="16"/>
      <c r="HJ271" s="19" t="str">
        <f t="shared" ref="HJ271" si="828">HJ270</f>
        <v>On</v>
      </c>
      <c r="HK271" s="1" t="str">
        <f t="shared" si="818"/>
        <v>On</v>
      </c>
      <c r="HL271" s="16"/>
      <c r="HM271" s="639">
        <f t="shared" si="775"/>
        <v>1.2768706344444866E-2</v>
      </c>
      <c r="HN271" s="639">
        <f t="shared" si="776"/>
        <v>9.795534288915453E-4</v>
      </c>
      <c r="HO271" s="639">
        <f t="shared" si="777"/>
        <v>3.3583061774515237E-3</v>
      </c>
      <c r="HP271" s="644">
        <f>(FT271*$GD271-HM271)/$JF271*INDEX(Input!$1:$1048576,$JG$93,$C271*2+6)</f>
        <v>178.31306552301947</v>
      </c>
      <c r="HQ271" s="644">
        <f>(FU271*$GD271-HN271)/$JF271*INDEX(Input!$1:$1048576,$JG$93,$C271*2+6)</f>
        <v>46.381167904661069</v>
      </c>
      <c r="HR271" s="644">
        <f>(FV271*$GD271-HO271)/$JF271*INDEX(Input!$1:$1048576,$JG$93,$C271*2+6)</f>
        <v>-74.151337006527186</v>
      </c>
      <c r="HS271" s="644">
        <f t="shared" si="767"/>
        <v>-66.946979273441528</v>
      </c>
      <c r="HT271" s="644">
        <f t="shared" si="778"/>
        <v>135.56540638479572</v>
      </c>
      <c r="HU271" s="644">
        <f t="shared" si="779"/>
        <v>17.551112298622474</v>
      </c>
      <c r="HV271" s="648">
        <f t="shared" si="780"/>
        <v>0</v>
      </c>
      <c r="HW271" s="648">
        <f t="shared" si="781"/>
        <v>0</v>
      </c>
      <c r="HX271" s="648">
        <f t="shared" si="782"/>
        <v>0</v>
      </c>
      <c r="HY271" s="644">
        <f>INDEX(Input!$1:$1048576,HY$93,$C271*2+6)*INDEX(Input!$1:$1048576,$JG$93,$C271*2+6)</f>
        <v>451</v>
      </c>
      <c r="HZ271" s="644">
        <f>INDEX(Input!$1:$1048576,HZ$93,$C271*2+6)*INDEX(Input!$1:$1048576,$JG$93,$C271*2+6)</f>
        <v>577</v>
      </c>
      <c r="IA271" s="644">
        <f>INDEX(Input!$1:$1048576,IA$93,$C271*2+6)*INDEX(Input!$1:$1048576,$JG$93,$C271*2+6)</f>
        <v>215</v>
      </c>
      <c r="IB271" s="644">
        <f t="shared" si="804"/>
        <v>562.36608624957796</v>
      </c>
      <c r="IC271" s="644">
        <f t="shared" si="805"/>
        <v>758.94657428945675</v>
      </c>
      <c r="ID271" s="644">
        <f>IF(AND(INDEX(Input!$1:$1048576,IA$93,$C271*2+7)="TOS",Y271&lt;=INDEX(Y:Y,MATCH(C271*1000+2,A:A))),0,1)*MAX(IA271+HR271+HU271+HX271,0%)</f>
        <v>158.39977529209531</v>
      </c>
      <c r="IE271" s="128">
        <f t="shared" si="768"/>
        <v>0.38005092924268508</v>
      </c>
      <c r="IF271" s="128">
        <f t="shared" si="783"/>
        <v>0.51290139618456942</v>
      </c>
      <c r="IG271" s="128">
        <f t="shared" si="784"/>
        <v>0.10704767457274546</v>
      </c>
      <c r="IH271" s="21"/>
      <c r="II271" s="19">
        <f t="shared" si="785"/>
        <v>1252</v>
      </c>
      <c r="IJ271" s="19">
        <f t="shared" si="786"/>
        <v>2011.9658773055378</v>
      </c>
      <c r="IK271" s="19">
        <f t="shared" si="787"/>
        <v>919</v>
      </c>
      <c r="IL271" s="19">
        <f t="shared" si="806"/>
        <v>1042</v>
      </c>
      <c r="IM271" s="19">
        <f t="shared" si="788"/>
        <v>1851.1659652039277</v>
      </c>
      <c r="IN271" s="19">
        <f t="shared" si="789"/>
        <v>27</v>
      </c>
      <c r="IO271" s="39">
        <f t="shared" si="790"/>
        <v>0</v>
      </c>
      <c r="IP271" s="39">
        <f t="shared" si="791"/>
        <v>0</v>
      </c>
      <c r="IQ271" s="39">
        <f t="shared" si="792"/>
        <v>0</v>
      </c>
      <c r="IR271" s="39">
        <v>0</v>
      </c>
      <c r="IS271" s="39">
        <v>0</v>
      </c>
      <c r="IT271" s="39">
        <v>0</v>
      </c>
      <c r="IU271" s="39">
        <v>0</v>
      </c>
      <c r="IV271" s="39">
        <v>0</v>
      </c>
      <c r="IW271" s="39">
        <v>0</v>
      </c>
      <c r="IX271" s="39">
        <f>INDEX(Input!$1:$1048576,IX$93,$C271*2+6)+INDEX(Input!$1:$1048576,IX$94,$C271*2+6)</f>
        <v>1294</v>
      </c>
      <c r="IY271" s="39">
        <f>INDEX(Input!$1:$1048576,IY$93,$C271*2+6)+INDEX(Input!$1:$1048576,IY$94,$C271*2+6)</f>
        <v>2154.0624533823611</v>
      </c>
      <c r="IZ271" s="39">
        <f>INDEX(Input!$1:$1048576,IZ$93,$C271*2+6)+INDEX(Input!$1:$1048576,IZ$94,$C271*2+6)</f>
        <v>3677.7164157747848</v>
      </c>
      <c r="JA271" s="19">
        <f t="shared" si="807"/>
        <v>2336</v>
      </c>
      <c r="JB271" s="19">
        <f t="shared" si="808"/>
        <v>4005.2284185862891</v>
      </c>
      <c r="JC271" s="19">
        <f t="shared" si="809"/>
        <v>3704.7164157747848</v>
      </c>
      <c r="JD271" s="19">
        <f t="shared" si="810"/>
        <v>3338.667495902102</v>
      </c>
      <c r="JE271" s="21"/>
      <c r="JF271" s="1">
        <f t="shared" si="793"/>
        <v>1.7106565950787935E-2</v>
      </c>
      <c r="JG271" s="15">
        <f>INDEX(Input!$1:$1048576,JG$93,$C271*2+6)/(1+VLOOKUP(C271*1000+INDEX(Input!$1:$1048576,JG$93+1,$C271*2+6),$A:$KK,$JK$92,FALSE))</f>
        <v>1243</v>
      </c>
      <c r="JH271" s="1">
        <f t="shared" si="811"/>
        <v>0.12111254740237601</v>
      </c>
      <c r="JI271" s="1">
        <f t="shared" si="812"/>
        <v>6.932384506031912E-2</v>
      </c>
      <c r="JJ271" s="1">
        <f t="shared" si="769"/>
        <v>0</v>
      </c>
      <c r="JK271" s="1">
        <f t="shared" si="770"/>
        <v>0.19043639246269511</v>
      </c>
      <c r="JL271" s="15">
        <f t="shared" si="813"/>
        <v>236.71243583113002</v>
      </c>
      <c r="JM271" s="15">
        <f t="shared" si="702"/>
        <v>1479.7124358311301</v>
      </c>
      <c r="JN271" s="21"/>
      <c r="JO271" s="19">
        <f>INDEX(Input!$1:$1048576,JO$93,$C271*2+6)</f>
        <v>5995.5</v>
      </c>
      <c r="JP271" s="19">
        <f>INDEX(Input!$1:$1048576,JP$93,$C271*2+6)</f>
        <v>2105.548724853742</v>
      </c>
      <c r="JQ271" s="39">
        <f t="shared" si="819"/>
        <v>2656.832504097898</v>
      </c>
      <c r="JR271" s="39">
        <f t="shared" si="705"/>
        <v>1233.11877104836</v>
      </c>
      <c r="JS271" s="39">
        <f t="shared" si="820"/>
        <v>4.9402678127915189</v>
      </c>
      <c r="JT271" s="39">
        <f t="shared" si="814"/>
        <v>2.3230707477983175</v>
      </c>
      <c r="JU271" s="385">
        <f>(JQ271*JM271-INDEX(Input!$1:$1048576,Input!A$18,$C271*2+6)*JL271*INDEX(Input!$1:$1048576,Input!A$19,$C271*2+6))/1000000</f>
        <v>3.931348096234021</v>
      </c>
      <c r="JV271" s="39">
        <f t="shared" si="712"/>
        <v>-0.90386133877277741</v>
      </c>
      <c r="JW271" s="1">
        <f t="shared" si="703"/>
        <v>-0.18693323441769519</v>
      </c>
      <c r="JX271" s="19">
        <f t="shared" si="824"/>
        <v>9813.8939749476849</v>
      </c>
      <c r="JZ271" s="341"/>
      <c r="KA271" s="342"/>
      <c r="KB271" s="469">
        <f t="shared" si="821"/>
        <v>2.5660492421988774</v>
      </c>
      <c r="KI271" s="473">
        <f t="shared" si="771"/>
        <v>111.36608624957796</v>
      </c>
      <c r="KJ271" s="473">
        <f t="shared" si="772"/>
        <v>181.94657428945675</v>
      </c>
      <c r="KK271" s="473">
        <f t="shared" si="815"/>
        <v>-56.600224707904687</v>
      </c>
      <c r="KN271" s="544">
        <f t="shared" si="825"/>
        <v>2002</v>
      </c>
      <c r="KO271" s="541">
        <f t="shared" si="794"/>
        <v>0.18342264326710667</v>
      </c>
      <c r="KP271" s="546">
        <f t="shared" si="795"/>
        <v>1307.9740957518243</v>
      </c>
      <c r="KQ271" s="546">
        <f t="shared" si="796"/>
        <v>1194.9871564686291</v>
      </c>
      <c r="KR271" s="548">
        <f t="shared" si="797"/>
        <v>2.501962402881897</v>
      </c>
      <c r="KS271" s="548">
        <f t="shared" si="798"/>
        <v>2.7385248400369906</v>
      </c>
      <c r="KT271" s="473">
        <f t="shared" si="822"/>
        <v>843.26993010479111</v>
      </c>
      <c r="KU271" s="663">
        <f t="shared" si="816"/>
        <v>4.5178350610691611</v>
      </c>
    </row>
    <row r="272" spans="1:308" s="26" customFormat="1" ht="15" outlineLevel="1">
      <c r="A272" s="561">
        <f t="shared" si="799"/>
        <v>2072</v>
      </c>
      <c r="B272" s="561">
        <f t="shared" si="817"/>
        <v>72</v>
      </c>
      <c r="C272" s="561">
        <f t="shared" si="760"/>
        <v>2</v>
      </c>
      <c r="D272" s="561" t="str">
        <f t="shared" si="728"/>
        <v xml:space="preserve">500 CC, 0/2.8/3.8/3.9, 1000 Combo, </v>
      </c>
      <c r="E272" s="475">
        <f>INDEX(Input!$1:$1048576,E$93,$C272*2+MIN($B272,2)+5)
+INDEX(Scenarios!E$121:E$200,MATCH($B272,Scenarios!$B$121:$B$200,0))</f>
        <v>1769.7618664521319</v>
      </c>
      <c r="F272" s="475">
        <f>INDEX(Input!$1:$1048576,F$93,$C272*2+MIN($B272,2)+5)
+INDEX(Scenarios!F$121:F$200,MATCH($B272,Scenarios!$B$121:$B$200,0))</f>
        <v>0</v>
      </c>
      <c r="G272" s="475">
        <f>INDEX(Input!$1:$1048576,G$93,$C272*2+MIN($B272,2)+5)
+INDEX(Scenarios!G$121:G$200,MATCH($B272,Scenarios!$B$121:$B$200,0))</f>
        <v>0</v>
      </c>
      <c r="H272" s="475">
        <f>INDEX(Input!$1:$1048576,H$93,$C272*2+MIN($B272,2)+5)
+INDEX(Scenarios!H$121:H$200,MATCH($B272,Scenarios!$B$121:$B$200,0))</f>
        <v>0</v>
      </c>
      <c r="I272" s="476">
        <f>INDEX(Input!$1:$1048576,I$93,$C272*2+MIN($B272,2)+5)</f>
        <v>0.7</v>
      </c>
      <c r="J272" s="476" t="str">
        <f>INDEX(Input!$1:$1048576,J$93,$C272*2+MIN($B272,2)+5)</f>
        <v>Market</v>
      </c>
      <c r="K272" s="476" t="str">
        <f>INDEX(Input!$1:$1048576,K$93,$C272*2+MIN($B272,2)+5)</f>
        <v>Market</v>
      </c>
      <c r="L272" s="476" t="str">
        <f>INDEX(Input!$1:$1048576,L$93,$C272*2+MIN($B272,2)+5)</f>
        <v>Market</v>
      </c>
      <c r="M272" s="476" t="str">
        <f>INDEX(Input!$1:$1048576,M$93,$C272*2+MIN($B272,2)+5)</f>
        <v>Market</v>
      </c>
      <c r="N272" s="476" t="str">
        <f>INDEX(Input!$1:$1048576,N$93,$C272*2+MIN($B272,2)+5)</f>
        <v>Market</v>
      </c>
      <c r="O272" s="476" t="str">
        <f>INDEX(Input!$1:$1048576,O$93,$C272*2+MIN($B272,2)+5)</f>
        <v>Market</v>
      </c>
      <c r="P272" s="476" t="str">
        <f>INDEX(Input!$1:$1048576,P$93,$C272*2+MIN($B272,2)+5)</f>
        <v>N</v>
      </c>
      <c r="Q272" s="477">
        <f>INDEX(Input!$1:$1048576,Q$93,$C272*2+MIN($B272,2)+5)
+INDEX(Scenarios!Q$121:Q$200,MATCH($B272,Scenarios!$B$121:$B$200,0))</f>
        <v>1000</v>
      </c>
      <c r="R272" s="478">
        <f>IFERROR(MAX(0,INDEX(Input!$1:$1048576,R$93,$C272*2+MIN($B272,2)+5)
+INDEX(Scenarios!R$121:R$200,MATCH($B272,Scenarios!$B$121:$B$200,0)),),"Market")</f>
        <v>0</v>
      </c>
      <c r="S272" s="478">
        <f>IFERROR(MAX(0,INDEX(Input!$1:$1048576,S$93,$C272*2+MIN($B272,2)+5)
+INDEX(Scenarios!S$121:S$200,MATCH($B272,Scenarios!$B$121:$B$200,0)),),"Market")</f>
        <v>0</v>
      </c>
      <c r="T272" s="478">
        <f>IFERROR(MAX(0,INDEX(Input!$1:$1048576,T$93,$C272*2+MIN($B272,2)+5)
+INDEX(Scenarios!T$121:T$200,MATCH($B272,Scenarios!$B$121:$B$200,0)),),"Market")</f>
        <v>0</v>
      </c>
      <c r="U272" s="478">
        <f>IFERROR(MAX(0,INDEX(Input!$1:$1048576,U$93,$C272*2+MIN($B272,2)+5)
+INDEX(Scenarios!U$121:U$200,MATCH($B272,Scenarios!$B$121:$B$200,0)),),"Market")</f>
        <v>0</v>
      </c>
      <c r="V272" s="478">
        <f>IFERROR(MAX(0,INDEX(Input!$1:$1048576,V$93,$C272*2+MIN($B272,2)+5)
+INDEX(Scenarios!V$121:V$200,MATCH($B272,Scenarios!$B$121:$B$200,0)),),"Market")</f>
        <v>3.7999999999999999E-2</v>
      </c>
      <c r="W272" s="885">
        <f>IFERROR(MAX(0,INDEX(Input!$1:$1048576,W$93,$C272*2+MIN($B272,2)+5)-0%,),"Market")</f>
        <v>3.9E-2</v>
      </c>
      <c r="X272" s="476" t="str">
        <f>INDEX(Input!$1:$1048576,X$93,$C272*2+MIN($B272,2)+5)</f>
        <v>Y</v>
      </c>
      <c r="Y272" s="475">
        <f>INDEX(Input!$1:$1048576,Y$93,$C272*2+MIN($B272,2)+5)
++INDEX(Scenarios!Y$121:Y$200,MATCH($B272,Scenarios!$B$121:$B$200,0))</f>
        <v>56</v>
      </c>
      <c r="Z272" s="477">
        <f>INDEX(Input!$1:$1048576,Z$93,$C272*2+MIN($B272,2)+5)
+INDEX(Scenarios!Z$121:Z$200,MATCH($B272,Scenarios!$B$121:$B$200,0))</f>
        <v>0</v>
      </c>
      <c r="AA272" s="475">
        <f>INDEX(Input!$1:$1048576,AA$93,$C272*2+MIN($B272,2)+5)
+INDEX(Scenarios!AA$121:AA$200,MATCH($B272,Scenarios!$B$121:$B$200,0))</f>
        <v>0</v>
      </c>
      <c r="AB272" s="476">
        <f>INDEX(Input!$1:$1048576,AB$93,$C272*2+MIN($B272,2)+5)</f>
        <v>0.27</v>
      </c>
      <c r="AC272" s="475">
        <f>INDEX(Input!$1:$1048576,AC$93,$C272*2+MIN($B272,2)+5)
+INDEX(Scenarios!AC$121:AC$200,MATCH($B272,Scenarios!$B$121:$B$200,0))</f>
        <v>0</v>
      </c>
      <c r="AD272" s="476">
        <f>INDEX(Input!$1:$1048576,AD$93,$C272*2+MIN($B272,2)+5)</f>
        <v>0.27</v>
      </c>
      <c r="AE272" s="475">
        <f>INDEX(Input!$1:$1048576,AE$93,$C272*2+MIN($B272,2)+5)
+INDEX(Scenarios!AE$121:AE$200,MATCH($B272,Scenarios!$B$121:$B$200,0))</f>
        <v>0</v>
      </c>
      <c r="AF272" s="476">
        <f>INDEX(Input!$1:$1048576,AF$93,$C272*2+MIN($B272,2)+5)</f>
        <v>4.8000000000000001E-2</v>
      </c>
      <c r="AG272" s="475">
        <f>INDEX(Input!$1:$1048576,AG$93,$C272*2+MIN($B272,2)+5)
+INDEX(Scenarios!AG$121:AG$200,MATCH($B272,Scenarios!$B$121:$B$200,0))</f>
        <v>500</v>
      </c>
      <c r="AH272" s="476">
        <f>INDEX(Input!$1:$1048576,AH$93,$C272*2+MIN($B272,2)+5)</f>
        <v>0.94599999999999995</v>
      </c>
      <c r="AI272" s="475">
        <f>INDEX(Input!$1:$1048576,AI$93,$C272*2+MIN($B272,2)+5)
+INDEX(Scenarios!AI$121:AI$200,MATCH($B272,Scenarios!$B$121:$B$200,0))</f>
        <v>0</v>
      </c>
      <c r="AJ272" s="476">
        <f>INDEX(Input!$1:$1048576,AJ$93,$C272*2+MIN($B272,2)+5)</f>
        <v>0.27</v>
      </c>
      <c r="AK272" s="150">
        <f>ROUND(INDEX(Input!$1:$1048576,AK$93,$C271*2+MIN($B272,1)+5)+(Y272-VLOOKUP($C272*1000+1,$A:$HH,Y$92,FALSE)),0)</f>
        <v>2977</v>
      </c>
      <c r="AL272" s="150">
        <f>ROUND(INDEX(Input!$1:$1048576,AL$93,$C271*2+MIN($B272,1)+5)-(Y272-VLOOKUP($C272*1000+1,$A:$HH,Y$92,FALSE))/36,0)</f>
        <v>3395</v>
      </c>
      <c r="AM272" s="32" t="str">
        <f t="shared" si="800"/>
        <v>std/std/std/std</v>
      </c>
      <c r="AN272" s="32" t="str">
        <f t="shared" si="801"/>
        <v>$1000 + 0/0/0/3.8/3.9</v>
      </c>
      <c r="AO272" s="32" t="str">
        <f t="shared" si="802"/>
        <v>0/0/0/3.8/3.9</v>
      </c>
      <c r="AP272" s="32" t="str">
        <f t="shared" si="734"/>
        <v>0/2.8/3.8/3.9</v>
      </c>
      <c r="AQ272" s="536">
        <f t="shared" si="733"/>
        <v>0.39043071228295267</v>
      </c>
      <c r="AR272" s="32"/>
      <c r="AS272" s="302"/>
      <c r="AT272" s="3">
        <f t="shared" si="717"/>
        <v>72</v>
      </c>
      <c r="AU272" s="41" t="s">
        <v>121</v>
      </c>
      <c r="AV272" s="41" t="s">
        <v>116</v>
      </c>
      <c r="AW272" s="41" t="str">
        <f>INDEX(Input!$1:$1048576,AW$93,$C272*2+6)</f>
        <v>Kia</v>
      </c>
      <c r="AX272" s="41" t="str">
        <f>INDEX(Input!$1:$1048576,AX$93,$C272*2+6)</f>
        <v>Kia-LR - L2</v>
      </c>
      <c r="AY272" s="41" t="str">
        <f>IF(LEN(D272)=0,"",INDEX(Input!$1:$1048576,AY$93,$C272*2+6))</f>
        <v>Compact SUV (52)</v>
      </c>
      <c r="AZ272" s="41" t="str">
        <f>INDEX(Input!$1:$1048576,AZ$93,$C272*2+6)</f>
        <v>Kia Soul</v>
      </c>
      <c r="BA272" s="3">
        <f>INDEX(Input!$1:$1048576,BA$93,$C272*2+6)</f>
        <v>2020</v>
      </c>
      <c r="BB272" s="128">
        <f>INDEX(Input!$1:$1048576,BB$93,$C272*2+6)</f>
        <v>1</v>
      </c>
      <c r="BC272" s="128">
        <f>INDEX(Input!$1:$1048576,BC$93,$C272*2+6)</f>
        <v>0.7</v>
      </c>
      <c r="BD272" s="1">
        <f>INDEX(Input!$1:$1048576,BD$93,$C272*2+6)</f>
        <v>4.4999999999999998E-2</v>
      </c>
      <c r="BE272" s="1">
        <f>INDEX(Input!$1:$1048576,BE$93,$C272*2+6)</f>
        <v>4.4999999999999998E-2</v>
      </c>
      <c r="BF272" s="1">
        <f>INDEX(Input!$1:$1048576,BF$93,$C272*2+6)</f>
        <v>0.05</v>
      </c>
      <c r="BG272" s="1">
        <f>INDEX(Input!$1:$1048576,BG$93,$C272*2+6)</f>
        <v>5.45E-2</v>
      </c>
      <c r="BH272" s="1">
        <f>INDEX(Input!$1:$1048576,BH$93,$C272*2+6)</f>
        <v>5.45E-2</v>
      </c>
      <c r="BI272" s="1">
        <f>INDEX(Input!$1:$1048576,BI$93,$C272*2+6)</f>
        <v>0.05</v>
      </c>
      <c r="BJ272" s="1">
        <f>INDEX(Input!$1:$1048576,BJ$93,$C272*2+6)</f>
        <v>0.05</v>
      </c>
      <c r="BK272" s="1">
        <f>INDEX(Input!$1:$1048576,BK$93,$C272*2+6)</f>
        <v>0.05</v>
      </c>
      <c r="BL272" s="1">
        <f>INDEX(Input!$1:$1048576,BL$93,$C272*2+6)</f>
        <v>5.5E-2</v>
      </c>
      <c r="BM272" s="1">
        <f>INDEX(Input!$1:$1048576,BM$93,$C272*2+6)</f>
        <v>0.06</v>
      </c>
      <c r="BN272" s="1">
        <f>INDEX(Input!$1:$1048576,BN$93,$C272*2+6)</f>
        <v>4.4999999999999998E-2</v>
      </c>
      <c r="BO272" s="1">
        <f>INDEX(Input!$1:$1048576,BO$93,$C272*2+6)</f>
        <v>4.4999999999999998E-2</v>
      </c>
      <c r="BP272" s="1">
        <f>INDEX(Input!$1:$1048576,BP$93,$C272*2+6)</f>
        <v>0.05</v>
      </c>
      <c r="BQ272" s="1">
        <f>INDEX(Input!$1:$1048576,BQ$93,$C272*2+6)</f>
        <v>5.45E-2</v>
      </c>
      <c r="BR272" s="1">
        <f>INDEX(Input!$1:$1048576,BR$93,$C272*2+6)</f>
        <v>5.45E-2</v>
      </c>
      <c r="BS272" s="1">
        <f>INDEX(Input!$1:$1048576,BS$93,$C272*2+6)</f>
        <v>0.05</v>
      </c>
      <c r="BT272" s="1">
        <f>INDEX(Input!$1:$1048576,BT$93,$C272*2+6)</f>
        <v>0.05</v>
      </c>
      <c r="BU272" s="1">
        <f>INDEX(Input!$1:$1048576,BU$93,$C272*2+6)</f>
        <v>0.05</v>
      </c>
      <c r="BV272" s="1">
        <f>INDEX(Input!$1:$1048576,BV$93,$C272*2+6)</f>
        <v>5.5E-2</v>
      </c>
      <c r="BW272" s="1">
        <f>INDEX(Input!$1:$1048576,BW$93,$C272*2+6)</f>
        <v>0.06</v>
      </c>
      <c r="BX272" s="127">
        <f>INDEX(Input!$1:$1048576,BX$93,$C272*2+6)</f>
        <v>19985</v>
      </c>
      <c r="BY272" s="20">
        <f>INDEX(Input!$1:$1048576,BY$93,$C272*2+6)</f>
        <v>0.1</v>
      </c>
      <c r="BZ272" s="20">
        <f>INDEX(Input!$1:$1048576,BZ$93,$C272*2+6)</f>
        <v>0.1</v>
      </c>
      <c r="CA272" s="20">
        <f>INDEX(Input!$1:$1048576,CA$93,$C272*2+6)</f>
        <v>0.1</v>
      </c>
      <c r="CB272" s="20">
        <f>INDEX(Input!$1:$1048576,CB$93,$C272*2+6)</f>
        <v>0.1</v>
      </c>
      <c r="CC272" s="20">
        <f>INDEX(Input!$1:$1048576,CC$93,$C272*2+6)</f>
        <v>0.1</v>
      </c>
      <c r="CD272" s="384">
        <f>INDEX(Input!$1:$1048576,CD$93,$C272*2+6)</f>
        <v>0.1</v>
      </c>
      <c r="CE272" s="384">
        <f>INDEX(Input!$1:$1048576,CE$93,$C272*2+6)</f>
        <v>0.1</v>
      </c>
      <c r="CF272" s="384">
        <f>INDEX(Input!$1:$1048576,CF$93,$C272*2+6)</f>
        <v>0.1</v>
      </c>
      <c r="CG272" s="384">
        <f>INDEX(Input!$1:$1048576,CG$93,$C272*2+6)</f>
        <v>0.1</v>
      </c>
      <c r="CH272" s="384">
        <f>INDEX(Input!$1:$1048576,CH$93,$C272*2+6)</f>
        <v>0.1</v>
      </c>
      <c r="CI272" s="304">
        <f t="shared" si="735"/>
        <v>1769.7618664521319</v>
      </c>
      <c r="CJ272" s="16" t="str">
        <f>INDEX(Input!$1:$1048576,CJ$93,$C272*2+6)</f>
        <v>N</v>
      </c>
      <c r="CK272" s="1" t="str">
        <f t="shared" si="736"/>
        <v>Market</v>
      </c>
      <c r="CL272" s="1" t="str">
        <f t="shared" si="737"/>
        <v>Market</v>
      </c>
      <c r="CM272" s="1" t="str">
        <f t="shared" si="738"/>
        <v>Market</v>
      </c>
      <c r="CN272" s="1" t="str">
        <f t="shared" si="739"/>
        <v>Market</v>
      </c>
      <c r="CO272" s="1" t="str">
        <f t="shared" si="740"/>
        <v>Market</v>
      </c>
      <c r="CP272" s="304">
        <f t="shared" si="741"/>
        <v>1473</v>
      </c>
      <c r="CQ272" s="1">
        <f t="shared" si="742"/>
        <v>0</v>
      </c>
      <c r="CR272" s="1">
        <f t="shared" si="743"/>
        <v>0</v>
      </c>
      <c r="CS272" s="1">
        <f t="shared" si="744"/>
        <v>0</v>
      </c>
      <c r="CT272" s="1">
        <f t="shared" si="745"/>
        <v>3.7999999999999999E-2</v>
      </c>
      <c r="CU272" s="1">
        <f t="shared" si="746"/>
        <v>3.9E-2</v>
      </c>
      <c r="CV272" s="304">
        <f t="shared" si="747"/>
        <v>56</v>
      </c>
      <c r="CW272" s="20" t="s">
        <v>122</v>
      </c>
      <c r="CX272" s="20" t="s">
        <v>122</v>
      </c>
      <c r="CY272" s="20" t="s">
        <v>122</v>
      </c>
      <c r="CZ272" s="20" t="s">
        <v>122</v>
      </c>
      <c r="DA272" s="20" t="s">
        <v>122</v>
      </c>
      <c r="DB272" s="503">
        <f t="shared" si="748"/>
        <v>0</v>
      </c>
      <c r="DC272" s="127">
        <v>0</v>
      </c>
      <c r="DD272" s="127">
        <v>0</v>
      </c>
      <c r="DE272" s="127">
        <v>0</v>
      </c>
      <c r="DF272" s="127">
        <v>0</v>
      </c>
      <c r="DG272" s="127">
        <v>0</v>
      </c>
      <c r="DH272" s="127">
        <v>0</v>
      </c>
      <c r="DI272" s="127">
        <v>0</v>
      </c>
      <c r="DJ272" s="127">
        <v>0</v>
      </c>
      <c r="DK272" s="127">
        <v>0</v>
      </c>
      <c r="DL272" s="127">
        <v>0</v>
      </c>
      <c r="DM272" s="304">
        <f>INDEX(Input!$1:$1048576,DM$93,$C272*2+6)</f>
        <v>21036.84210526316</v>
      </c>
      <c r="DN272" s="20">
        <v>0</v>
      </c>
      <c r="DO272" s="20">
        <v>0</v>
      </c>
      <c r="DP272" s="20">
        <v>0</v>
      </c>
      <c r="DQ272" s="20">
        <v>0</v>
      </c>
      <c r="DR272" s="20">
        <v>0</v>
      </c>
      <c r="DS272" s="20">
        <f>INDEX(Input!$1:$1048576,DS$93,$C272*2+6)</f>
        <v>0.6</v>
      </c>
      <c r="DT272" s="20">
        <f>INDEX(Input!$1:$1048576,DT$93,$C272*2+6)</f>
        <v>0.55000000000000004</v>
      </c>
      <c r="DU272" s="20">
        <f>INDEX(Input!$1:$1048576,DU$93,$C272*2+6)</f>
        <v>0.52</v>
      </c>
      <c r="DV272" s="20">
        <f>INDEX(Input!$1:$1048576,DV$93,$C272*2+6)</f>
        <v>0.5</v>
      </c>
      <c r="DW272" s="20">
        <f>INDEX(Input!$1:$1048576,DW$93,$C272*2+6)</f>
        <v>0.45</v>
      </c>
      <c r="DX272" s="20"/>
      <c r="DY272" s="7">
        <v>0.10397916181743583</v>
      </c>
      <c r="DZ272" s="7">
        <v>0</v>
      </c>
      <c r="EA272" s="7">
        <v>0.68444201861470322</v>
      </c>
      <c r="EB272" s="7">
        <v>0</v>
      </c>
      <c r="EC272" s="7">
        <v>0</v>
      </c>
      <c r="ED272" s="7">
        <v>0</v>
      </c>
      <c r="EE272" s="7">
        <v>0</v>
      </c>
      <c r="EF272" s="7">
        <v>0</v>
      </c>
      <c r="EG272" s="7">
        <v>0</v>
      </c>
      <c r="EH272" s="7">
        <v>2.0820645272792582E-2</v>
      </c>
      <c r="EI272" s="7">
        <v>5.9265442889510314E-2</v>
      </c>
      <c r="EJ272" s="7">
        <v>0.44858512974528686</v>
      </c>
      <c r="EK272" s="7">
        <v>0.30901324874562658</v>
      </c>
      <c r="EL272" s="7">
        <v>0.16231553334678339</v>
      </c>
      <c r="EM272" s="7">
        <v>5.3611863434004682E-2</v>
      </c>
      <c r="EN272" s="7">
        <v>6.5528947527801293E-2</v>
      </c>
      <c r="EO272" s="7">
        <v>0.732207550160339</v>
      </c>
      <c r="EP272" s="7">
        <v>8.7611582881947064E-2</v>
      </c>
      <c r="EQ272" s="7">
        <v>7.47123906332261E-2</v>
      </c>
      <c r="ER272" s="7">
        <v>3.9939528796686427E-2</v>
      </c>
      <c r="ES272" s="7">
        <v>0.15796695613385617</v>
      </c>
      <c r="ET272" s="7">
        <v>0.21157881956786093</v>
      </c>
      <c r="EU272" s="6">
        <v>1794</v>
      </c>
      <c r="EV272" s="6">
        <v>0</v>
      </c>
      <c r="EW272" s="6">
        <v>1794</v>
      </c>
      <c r="EX272" s="6">
        <v>0</v>
      </c>
      <c r="EY272" s="6">
        <v>2759.3533811074321</v>
      </c>
      <c r="EZ272" s="6">
        <v>946</v>
      </c>
      <c r="FA272" s="6">
        <v>0</v>
      </c>
      <c r="FB272" s="6">
        <v>0</v>
      </c>
      <c r="FC272" s="6">
        <v>0</v>
      </c>
      <c r="FD272" s="6">
        <v>0</v>
      </c>
      <c r="FE272" s="6">
        <v>0</v>
      </c>
      <c r="FF272" s="6">
        <v>0</v>
      </c>
      <c r="FG272" s="6">
        <v>0</v>
      </c>
      <c r="FH272" s="6">
        <v>1173.7290245871261</v>
      </c>
      <c r="FI272" s="6">
        <v>1553.9796069512397</v>
      </c>
      <c r="FJ272" s="6">
        <v>2101.2110117447414</v>
      </c>
      <c r="FK272" s="6">
        <v>838.19585232978295</v>
      </c>
      <c r="FL272" s="6">
        <v>907.07682140966324</v>
      </c>
      <c r="FM272" s="6">
        <v>1465.3533811074321</v>
      </c>
      <c r="FN272" s="6">
        <v>0</v>
      </c>
      <c r="FO272" s="6">
        <v>0</v>
      </c>
      <c r="FP272" s="6">
        <v>0</v>
      </c>
      <c r="FQ272" s="6">
        <v>0</v>
      </c>
      <c r="FR272" s="6">
        <v>0</v>
      </c>
      <c r="FS272" s="6">
        <v>0</v>
      </c>
      <c r="FT272" s="7">
        <v>0.78842118043213905</v>
      </c>
      <c r="FU272" s="7">
        <v>5.3611863434004682E-2</v>
      </c>
      <c r="FV272" s="7">
        <v>0.15796695613385617</v>
      </c>
      <c r="FW272" s="6">
        <v>1794</v>
      </c>
      <c r="FX272" s="6">
        <v>2759.3533811074321</v>
      </c>
      <c r="FY272" s="6">
        <v>946</v>
      </c>
      <c r="FZ272" s="6">
        <v>1817.4615072224267</v>
      </c>
      <c r="GA272" s="6">
        <v>1711.7984148319763</v>
      </c>
      <c r="GB272" s="6">
        <v>18273.201585168023</v>
      </c>
      <c r="GC272" s="7">
        <v>1.804905384453976E-2</v>
      </c>
      <c r="GD272" s="7">
        <v>1.8055414908554085E-2</v>
      </c>
      <c r="GE272" s="7"/>
      <c r="GF272" s="7"/>
      <c r="GG272" s="7">
        <v>3.5243199278555651E-4</v>
      </c>
      <c r="GH272" s="42">
        <v>-6.6658595886939134E-2</v>
      </c>
      <c r="GI272" s="6">
        <v>-298099.49724907469</v>
      </c>
      <c r="GJ272" s="14">
        <v>0.50394797582841722</v>
      </c>
      <c r="GK272" s="14">
        <v>0.50887573065309744</v>
      </c>
      <c r="GL272" s="14">
        <v>0.49605202417158278</v>
      </c>
      <c r="GM272" s="14">
        <v>0.4911242693469024</v>
      </c>
      <c r="GO272" s="5">
        <v>343.14810671672558</v>
      </c>
      <c r="GP272" s="5">
        <v>308.92200917413498</v>
      </c>
      <c r="GQ272" s="5">
        <v>535.04305713031317</v>
      </c>
      <c r="GR272" s="5">
        <v>410.15490233172511</v>
      </c>
      <c r="GS272" s="5">
        <v>339.42744393800166</v>
      </c>
      <c r="GT272" s="5">
        <v>293.4407446948278</v>
      </c>
      <c r="GU272" s="5">
        <v>258.04012322764959</v>
      </c>
      <c r="GV272" s="39" t="s">
        <v>392</v>
      </c>
      <c r="GW272" s="5">
        <v>463.68055555555554</v>
      </c>
      <c r="GX272" s="5">
        <v>347.76041666666669</v>
      </c>
      <c r="GY272" s="5">
        <v>278.20833333333331</v>
      </c>
      <c r="GZ272" s="5">
        <v>259.63883672530909</v>
      </c>
      <c r="HA272" s="5">
        <v>227.39897390161556</v>
      </c>
      <c r="HB272" s="39">
        <v>272.20665095323267</v>
      </c>
      <c r="HC272" s="5">
        <v>245.89687499999999</v>
      </c>
      <c r="HD272" s="5">
        <v>211.55677997076018</v>
      </c>
      <c r="HE272" s="5">
        <v>214.73562331309037</v>
      </c>
      <c r="HF272" s="5">
        <v>199.03250548245612</v>
      </c>
      <c r="HG272" s="5">
        <v>192.49971491228069</v>
      </c>
      <c r="HH272" s="39">
        <v>212.38870506633481</v>
      </c>
      <c r="HI272" s="16"/>
      <c r="HJ272" s="19" t="str">
        <f t="shared" ref="HJ272" si="829">HJ271</f>
        <v>On</v>
      </c>
      <c r="HK272" s="1" t="str">
        <f t="shared" si="818"/>
        <v>On</v>
      </c>
      <c r="HL272" s="16"/>
      <c r="HM272" s="639">
        <f t="shared" si="775"/>
        <v>1.2768706344444866E-2</v>
      </c>
      <c r="HN272" s="639">
        <f t="shared" si="776"/>
        <v>9.795534288915453E-4</v>
      </c>
      <c r="HO272" s="639">
        <f t="shared" si="777"/>
        <v>3.3583061774515237E-3</v>
      </c>
      <c r="HP272" s="644">
        <f>(FT272*$GD272-HM272)/$JF272*INDEX(Input!$1:$1048576,$JG$93,$C272*2+6)</f>
        <v>106.56379179750706</v>
      </c>
      <c r="HQ272" s="644">
        <f>(FU272*$GD272-HN272)/$JF272*INDEX(Input!$1:$1048576,$JG$93,$C272*2+6)</f>
        <v>-0.84062782207104514</v>
      </c>
      <c r="HR272" s="644">
        <f>(FV272*$GD272-HO272)/$JF272*INDEX(Input!$1:$1048576,$JG$93,$C272*2+6)</f>
        <v>-36.777750974587782</v>
      </c>
      <c r="HS272" s="644">
        <f t="shared" si="767"/>
        <v>-34.585428965554541</v>
      </c>
      <c r="HT272" s="644">
        <f t="shared" si="778"/>
        <v>52.987956365483385</v>
      </c>
      <c r="HU272" s="644">
        <f t="shared" si="779"/>
        <v>9.1428997894279398</v>
      </c>
      <c r="HV272" s="648">
        <f t="shared" si="780"/>
        <v>0</v>
      </c>
      <c r="HW272" s="648">
        <f t="shared" si="781"/>
        <v>0</v>
      </c>
      <c r="HX272" s="648">
        <f t="shared" si="782"/>
        <v>0</v>
      </c>
      <c r="HY272" s="644">
        <f>INDEX(Input!$1:$1048576,HY$93,$C272*2+6)*INDEX(Input!$1:$1048576,$JG$93,$C272*2+6)</f>
        <v>451</v>
      </c>
      <c r="HZ272" s="644">
        <f>INDEX(Input!$1:$1048576,HZ$93,$C272*2+6)*INDEX(Input!$1:$1048576,$JG$93,$C272*2+6)</f>
        <v>577</v>
      </c>
      <c r="IA272" s="644">
        <f>INDEX(Input!$1:$1048576,IA$93,$C272*2+6)*INDEX(Input!$1:$1048576,$JG$93,$C272*2+6)</f>
        <v>215</v>
      </c>
      <c r="IB272" s="644">
        <f t="shared" si="804"/>
        <v>522.97836283195261</v>
      </c>
      <c r="IC272" s="644">
        <f t="shared" si="805"/>
        <v>629.1473285434123</v>
      </c>
      <c r="ID272" s="644">
        <f>IF(AND(INDEX(Input!$1:$1048576,IA$93,$C272*2+7)="TOS",Y272&lt;=INDEX(Y:Y,MATCH(C272*1000+2,A:A))),0,1)*MAX(IA272+HR272+HU272+HX272,0%)</f>
        <v>187.36514881484015</v>
      </c>
      <c r="IE272" s="128">
        <f t="shared" si="768"/>
        <v>0.39043071228295267</v>
      </c>
      <c r="IF272" s="128">
        <f t="shared" si="783"/>
        <v>0.46969140039365592</v>
      </c>
      <c r="IG272" s="128">
        <f t="shared" si="784"/>
        <v>0.13987788732339121</v>
      </c>
      <c r="IH272" s="21"/>
      <c r="II272" s="19">
        <f t="shared" si="785"/>
        <v>1252</v>
      </c>
      <c r="IJ272" s="19">
        <f t="shared" si="786"/>
        <v>2011.9658773055378</v>
      </c>
      <c r="IK272" s="19">
        <f t="shared" si="787"/>
        <v>919</v>
      </c>
      <c r="IL272" s="19">
        <f t="shared" si="806"/>
        <v>542</v>
      </c>
      <c r="IM272" s="19">
        <f t="shared" si="788"/>
        <v>747.38750380189435</v>
      </c>
      <c r="IN272" s="19">
        <f t="shared" si="789"/>
        <v>27</v>
      </c>
      <c r="IO272" s="39">
        <f t="shared" si="790"/>
        <v>0</v>
      </c>
      <c r="IP272" s="39">
        <f t="shared" si="791"/>
        <v>0</v>
      </c>
      <c r="IQ272" s="39">
        <f t="shared" si="792"/>
        <v>0</v>
      </c>
      <c r="IR272" s="39">
        <v>0</v>
      </c>
      <c r="IS272" s="39">
        <v>0</v>
      </c>
      <c r="IT272" s="39">
        <v>0</v>
      </c>
      <c r="IU272" s="39">
        <v>0</v>
      </c>
      <c r="IV272" s="39">
        <v>0</v>
      </c>
      <c r="IW272" s="39">
        <v>0</v>
      </c>
      <c r="IX272" s="39">
        <f>INDEX(Input!$1:$1048576,IX$93,$C272*2+6)+INDEX(Input!$1:$1048576,IX$94,$C272*2+6)</f>
        <v>1294</v>
      </c>
      <c r="IY272" s="39">
        <f>INDEX(Input!$1:$1048576,IY$93,$C272*2+6)+INDEX(Input!$1:$1048576,IY$94,$C272*2+6)</f>
        <v>2154.0624533823611</v>
      </c>
      <c r="IZ272" s="39">
        <f>INDEX(Input!$1:$1048576,IZ$93,$C272*2+6)+INDEX(Input!$1:$1048576,IZ$94,$C272*2+6)</f>
        <v>3677.7164157747848</v>
      </c>
      <c r="JA272" s="19">
        <f t="shared" si="807"/>
        <v>1836</v>
      </c>
      <c r="JB272" s="19">
        <f t="shared" si="808"/>
        <v>2901.4499571842553</v>
      </c>
      <c r="JC272" s="19">
        <f t="shared" si="809"/>
        <v>3704.7164157747848</v>
      </c>
      <c r="JD272" s="19">
        <f t="shared" si="810"/>
        <v>2597.8247866843499</v>
      </c>
      <c r="JE272" s="21"/>
      <c r="JF272" s="1">
        <f t="shared" si="793"/>
        <v>1.7106565950787935E-2</v>
      </c>
      <c r="JG272" s="15">
        <f>INDEX(Input!$1:$1048576,JG$93,$C272*2+6)/(1+VLOOKUP(C272*1000+INDEX(Input!$1:$1048576,JG$93+1,$C272*2+6),$A:$KK,$JK$92,FALSE))</f>
        <v>1243</v>
      </c>
      <c r="JH272" s="1">
        <f t="shared" si="811"/>
        <v>5.546694529432683E-2</v>
      </c>
      <c r="JI272" s="1">
        <f t="shared" si="812"/>
        <v>2.216044021669894E-2</v>
      </c>
      <c r="JJ272" s="1">
        <f t="shared" si="769"/>
        <v>0</v>
      </c>
      <c r="JK272" s="1">
        <f t="shared" si="770"/>
        <v>7.762738551102577E-2</v>
      </c>
      <c r="JL272" s="15">
        <f t="shared" si="813"/>
        <v>96.490840190205034</v>
      </c>
      <c r="JM272" s="15">
        <f t="shared" ref="JM272:JM283" si="830">JG272+JL272</f>
        <v>1339.4908401902051</v>
      </c>
      <c r="JN272" s="21"/>
      <c r="JO272" s="19">
        <f>INDEX(Input!$1:$1048576,JO$93,$C272*2+6)</f>
        <v>5995.5</v>
      </c>
      <c r="JP272" s="19">
        <f>INDEX(Input!$1:$1048576,JP$93,$C272*2+6)</f>
        <v>2105.548724853742</v>
      </c>
      <c r="JQ272" s="39">
        <f t="shared" si="819"/>
        <v>3397.6752133156501</v>
      </c>
      <c r="JR272" s="39">
        <f t="shared" si="705"/>
        <v>492.27606183060789</v>
      </c>
      <c r="JS272" s="39">
        <f t="shared" si="820"/>
        <v>3.4797625061827602</v>
      </c>
      <c r="JT272" s="39">
        <f t="shared" si="814"/>
        <v>0.86256544118955869</v>
      </c>
      <c r="JU272" s="385">
        <f>(JQ272*JM272-INDEX(Input!$1:$1048576,Input!A$18,$C272*2+6)*JL272*INDEX(Input!$1:$1048576,Input!A$19,$C272*2+6))/1000000</f>
        <v>4.5511548261776147</v>
      </c>
      <c r="JV272" s="39">
        <f t="shared" si="712"/>
        <v>-0.28405460882918376</v>
      </c>
      <c r="JW272" s="1">
        <f t="shared" ref="JW272:JW283" si="831">JV272/(JU272-JV272)</f>
        <v>-5.874711584830955E-2</v>
      </c>
      <c r="JX272" s="19">
        <f t="shared" si="824"/>
        <v>8939.3505071491691</v>
      </c>
      <c r="JZ272" s="341"/>
      <c r="KA272" s="342"/>
      <c r="KB272" s="469">
        <f t="shared" si="821"/>
        <v>2.5660492421988774</v>
      </c>
      <c r="KI272" s="473">
        <f t="shared" si="771"/>
        <v>71.978362831952495</v>
      </c>
      <c r="KJ272" s="473">
        <f t="shared" si="772"/>
        <v>52.147328543412186</v>
      </c>
      <c r="KK272" s="473">
        <f t="shared" si="815"/>
        <v>-27.634851185159874</v>
      </c>
      <c r="KN272" s="544">
        <f t="shared" si="825"/>
        <v>2002</v>
      </c>
      <c r="KO272" s="541">
        <f t="shared" si="794"/>
        <v>7.1278278363321679E-2</v>
      </c>
      <c r="KP272" s="546">
        <f t="shared" si="795"/>
        <v>526.52926676212348</v>
      </c>
      <c r="KQ272" s="546">
        <f t="shared" si="796"/>
        <v>454.14444725087696</v>
      </c>
      <c r="KR272" s="548">
        <f t="shared" si="797"/>
        <v>2.415247602389015</v>
      </c>
      <c r="KS272" s="548">
        <f t="shared" si="798"/>
        <v>2.8002071958227805</v>
      </c>
      <c r="KT272" s="473">
        <f t="shared" si="822"/>
        <v>843.26993010479111</v>
      </c>
      <c r="KU272" s="663">
        <f t="shared" si="816"/>
        <v>4.526991201127565</v>
      </c>
    </row>
    <row r="273" spans="1:307" s="26" customFormat="1" ht="15" outlineLevel="1">
      <c r="A273" s="561">
        <f t="shared" si="799"/>
        <v>2073</v>
      </c>
      <c r="B273" s="561">
        <f t="shared" si="817"/>
        <v>73</v>
      </c>
      <c r="C273" s="561">
        <f t="shared" si="760"/>
        <v>2</v>
      </c>
      <c r="D273" s="561" t="str">
        <f t="shared" si="728"/>
        <v xml:space="preserve">750 CC, 0/2.8/3.8/3.9, 1500 Combo, </v>
      </c>
      <c r="E273" s="475">
        <f>INDEX(Input!$1:$1048576,E$93,$C273*2+MIN($B273,2)+5)
+INDEX(Scenarios!E$121:E$200,MATCH($B273,Scenarios!$B$121:$B$200,0))</f>
        <v>2019.7618664521319</v>
      </c>
      <c r="F273" s="475">
        <f>INDEX(Input!$1:$1048576,F$93,$C273*2+MIN($B273,2)+5)
+INDEX(Scenarios!F$121:F$200,MATCH($B273,Scenarios!$B$121:$B$200,0))</f>
        <v>0</v>
      </c>
      <c r="G273" s="475">
        <f>INDEX(Input!$1:$1048576,G$93,$C273*2+MIN($B273,2)+5)
+INDEX(Scenarios!G$121:G$200,MATCH($B273,Scenarios!$B$121:$B$200,0))</f>
        <v>0</v>
      </c>
      <c r="H273" s="475">
        <f>INDEX(Input!$1:$1048576,H$93,$C273*2+MIN($B273,2)+5)
+INDEX(Scenarios!H$121:H$200,MATCH($B273,Scenarios!$B$121:$B$200,0))</f>
        <v>0</v>
      </c>
      <c r="I273" s="476">
        <f>INDEX(Input!$1:$1048576,I$93,$C273*2+MIN($B273,2)+5)</f>
        <v>0.7</v>
      </c>
      <c r="J273" s="476" t="str">
        <f>INDEX(Input!$1:$1048576,J$93,$C273*2+MIN($B273,2)+5)</f>
        <v>Market</v>
      </c>
      <c r="K273" s="476" t="str">
        <f>INDEX(Input!$1:$1048576,K$93,$C273*2+MIN($B273,2)+5)</f>
        <v>Market</v>
      </c>
      <c r="L273" s="476" t="str">
        <f>INDEX(Input!$1:$1048576,L$93,$C273*2+MIN($B273,2)+5)</f>
        <v>Market</v>
      </c>
      <c r="M273" s="476" t="str">
        <f>INDEX(Input!$1:$1048576,M$93,$C273*2+MIN($B273,2)+5)</f>
        <v>Market</v>
      </c>
      <c r="N273" s="476" t="str">
        <f>INDEX(Input!$1:$1048576,N$93,$C273*2+MIN($B273,2)+5)</f>
        <v>Market</v>
      </c>
      <c r="O273" s="476" t="str">
        <f>INDEX(Input!$1:$1048576,O$93,$C273*2+MIN($B273,2)+5)</f>
        <v>Market</v>
      </c>
      <c r="P273" s="476" t="str">
        <f>INDEX(Input!$1:$1048576,P$93,$C273*2+MIN($B273,2)+5)</f>
        <v>N</v>
      </c>
      <c r="Q273" s="477">
        <f>INDEX(Input!$1:$1048576,Q$93,$C273*2+MIN($B273,2)+5)
+INDEX(Scenarios!Q$121:Q$200,MATCH($B273,Scenarios!$B$121:$B$200,0))</f>
        <v>1500</v>
      </c>
      <c r="R273" s="478">
        <f>IFERROR(MAX(0,INDEX(Input!$1:$1048576,R$93,$C273*2+MIN($B273,2)+5)
+INDEX(Scenarios!R$121:R$200,MATCH($B273,Scenarios!$B$121:$B$200,0)),),"Market")</f>
        <v>0</v>
      </c>
      <c r="S273" s="478">
        <f>IFERROR(MAX(0,INDEX(Input!$1:$1048576,S$93,$C273*2+MIN($B273,2)+5)
+INDEX(Scenarios!S$121:S$200,MATCH($B273,Scenarios!$B$121:$B$200,0)),),"Market")</f>
        <v>0</v>
      </c>
      <c r="T273" s="478">
        <f>IFERROR(MAX(0,INDEX(Input!$1:$1048576,T$93,$C273*2+MIN($B273,2)+5)
+INDEX(Scenarios!T$121:T$200,MATCH($B273,Scenarios!$B$121:$B$200,0)),),"Market")</f>
        <v>0</v>
      </c>
      <c r="U273" s="478">
        <f>IFERROR(MAX(0,INDEX(Input!$1:$1048576,U$93,$C273*2+MIN($B273,2)+5)
+INDEX(Scenarios!U$121:U$200,MATCH($B273,Scenarios!$B$121:$B$200,0)),),"Market")</f>
        <v>0</v>
      </c>
      <c r="V273" s="478">
        <f>IFERROR(MAX(0,INDEX(Input!$1:$1048576,V$93,$C273*2+MIN($B273,2)+5)
+INDEX(Scenarios!V$121:V$200,MATCH($B273,Scenarios!$B$121:$B$200,0)),),"Market")</f>
        <v>3.7999999999999999E-2</v>
      </c>
      <c r="W273" s="885">
        <f>IFERROR(MAX(0,INDEX(Input!$1:$1048576,W$93,$C273*2+MIN($B273,2)+5)-0%,),"Market")</f>
        <v>3.9E-2</v>
      </c>
      <c r="X273" s="476" t="str">
        <f>INDEX(Input!$1:$1048576,X$93,$C273*2+MIN($B273,2)+5)</f>
        <v>Y</v>
      </c>
      <c r="Y273" s="475">
        <f>INDEX(Input!$1:$1048576,Y$93,$C273*2+MIN($B273,2)+5)
++INDEX(Scenarios!Y$121:Y$200,MATCH($B273,Scenarios!$B$121:$B$200,0))</f>
        <v>56</v>
      </c>
      <c r="Z273" s="477">
        <f>INDEX(Input!$1:$1048576,Z$93,$C273*2+MIN($B273,2)+5)
+INDEX(Scenarios!Z$121:Z$200,MATCH($B273,Scenarios!$B$121:$B$200,0))</f>
        <v>0</v>
      </c>
      <c r="AA273" s="475">
        <f>INDEX(Input!$1:$1048576,AA$93,$C273*2+MIN($B273,2)+5)
+INDEX(Scenarios!AA$121:AA$200,MATCH($B273,Scenarios!$B$121:$B$200,0))</f>
        <v>0</v>
      </c>
      <c r="AB273" s="476">
        <f>INDEX(Input!$1:$1048576,AB$93,$C273*2+MIN($B273,2)+5)</f>
        <v>0.27</v>
      </c>
      <c r="AC273" s="475">
        <f>INDEX(Input!$1:$1048576,AC$93,$C273*2+MIN($B273,2)+5)
+INDEX(Scenarios!AC$121:AC$200,MATCH($B273,Scenarios!$B$121:$B$200,0))</f>
        <v>0</v>
      </c>
      <c r="AD273" s="476">
        <f>INDEX(Input!$1:$1048576,AD$93,$C273*2+MIN($B273,2)+5)</f>
        <v>0.27</v>
      </c>
      <c r="AE273" s="475">
        <f>INDEX(Input!$1:$1048576,AE$93,$C273*2+MIN($B273,2)+5)
+INDEX(Scenarios!AE$121:AE$200,MATCH($B273,Scenarios!$B$121:$B$200,0))</f>
        <v>0</v>
      </c>
      <c r="AF273" s="476">
        <f>INDEX(Input!$1:$1048576,AF$93,$C273*2+MIN($B273,2)+5)</f>
        <v>4.8000000000000001E-2</v>
      </c>
      <c r="AG273" s="475">
        <f>INDEX(Input!$1:$1048576,AG$93,$C273*2+MIN($B273,2)+5)
+INDEX(Scenarios!AG$121:AG$200,MATCH($B273,Scenarios!$B$121:$B$200,0))</f>
        <v>500</v>
      </c>
      <c r="AH273" s="476">
        <f>INDEX(Input!$1:$1048576,AH$93,$C273*2+MIN($B273,2)+5)</f>
        <v>0.94599999999999995</v>
      </c>
      <c r="AI273" s="475">
        <f>INDEX(Input!$1:$1048576,AI$93,$C273*2+MIN($B273,2)+5)
+INDEX(Scenarios!AI$121:AI$200,MATCH($B273,Scenarios!$B$121:$B$200,0))</f>
        <v>0</v>
      </c>
      <c r="AJ273" s="476">
        <f>INDEX(Input!$1:$1048576,AJ$93,$C273*2+MIN($B273,2)+5)</f>
        <v>0.27</v>
      </c>
      <c r="AK273" s="150">
        <f>ROUND(INDEX(Input!$1:$1048576,AK$93,$C272*2+MIN($B273,1)+5)+(Y273-VLOOKUP($C273*1000+1,$A:$HH,Y$92,FALSE)),0)</f>
        <v>2977</v>
      </c>
      <c r="AL273" s="150">
        <f>ROUND(INDEX(Input!$1:$1048576,AL$93,$C272*2+MIN($B273,1)+5)-(Y273-VLOOKUP($C273*1000+1,$A:$HH,Y$92,FALSE))/36,0)</f>
        <v>3395</v>
      </c>
      <c r="AM273" s="32" t="str">
        <f t="shared" si="800"/>
        <v>std/std/std/std</v>
      </c>
      <c r="AN273" s="32" t="str">
        <f t="shared" si="801"/>
        <v>$1500 + 0/0/0/3.8/3.9</v>
      </c>
      <c r="AO273" s="32" t="str">
        <f t="shared" si="802"/>
        <v>0/0/0/3.8/3.9</v>
      </c>
      <c r="AP273" s="32" t="str">
        <f t="shared" si="734"/>
        <v>0/2.8/3.8/3.9</v>
      </c>
      <c r="AQ273" s="536">
        <f t="shared" si="733"/>
        <v>0.39189196204159671</v>
      </c>
      <c r="AR273" s="32"/>
      <c r="AS273" s="302"/>
      <c r="AT273" s="3">
        <f t="shared" si="717"/>
        <v>73</v>
      </c>
      <c r="AU273" s="41" t="s">
        <v>121</v>
      </c>
      <c r="AV273" s="41" t="s">
        <v>116</v>
      </c>
      <c r="AW273" s="41" t="str">
        <f>INDEX(Input!$1:$1048576,AW$93,$C273*2+6)</f>
        <v>Kia</v>
      </c>
      <c r="AX273" s="41" t="str">
        <f>INDEX(Input!$1:$1048576,AX$93,$C273*2+6)</f>
        <v>Kia-LR - L2</v>
      </c>
      <c r="AY273" s="41" t="str">
        <f>IF(LEN(D273)=0,"",INDEX(Input!$1:$1048576,AY$93,$C273*2+6))</f>
        <v>Compact SUV (52)</v>
      </c>
      <c r="AZ273" s="41" t="str">
        <f>INDEX(Input!$1:$1048576,AZ$93,$C273*2+6)</f>
        <v>Kia Soul</v>
      </c>
      <c r="BA273" s="3">
        <f>INDEX(Input!$1:$1048576,BA$93,$C273*2+6)</f>
        <v>2020</v>
      </c>
      <c r="BB273" s="128">
        <f>INDEX(Input!$1:$1048576,BB$93,$C273*2+6)</f>
        <v>1</v>
      </c>
      <c r="BC273" s="128">
        <f>INDEX(Input!$1:$1048576,BC$93,$C273*2+6)</f>
        <v>0.7</v>
      </c>
      <c r="BD273" s="1">
        <f>INDEX(Input!$1:$1048576,BD$93,$C273*2+6)</f>
        <v>4.4999999999999998E-2</v>
      </c>
      <c r="BE273" s="1">
        <f>INDEX(Input!$1:$1048576,BE$93,$C273*2+6)</f>
        <v>4.4999999999999998E-2</v>
      </c>
      <c r="BF273" s="1">
        <f>INDEX(Input!$1:$1048576,BF$93,$C273*2+6)</f>
        <v>0.05</v>
      </c>
      <c r="BG273" s="1">
        <f>INDEX(Input!$1:$1048576,BG$93,$C273*2+6)</f>
        <v>5.45E-2</v>
      </c>
      <c r="BH273" s="1">
        <f>INDEX(Input!$1:$1048576,BH$93,$C273*2+6)</f>
        <v>5.45E-2</v>
      </c>
      <c r="BI273" s="1">
        <f>INDEX(Input!$1:$1048576,BI$93,$C273*2+6)</f>
        <v>0.05</v>
      </c>
      <c r="BJ273" s="1">
        <f>INDEX(Input!$1:$1048576,BJ$93,$C273*2+6)</f>
        <v>0.05</v>
      </c>
      <c r="BK273" s="1">
        <f>INDEX(Input!$1:$1048576,BK$93,$C273*2+6)</f>
        <v>0.05</v>
      </c>
      <c r="BL273" s="1">
        <f>INDEX(Input!$1:$1048576,BL$93,$C273*2+6)</f>
        <v>5.5E-2</v>
      </c>
      <c r="BM273" s="1">
        <f>INDEX(Input!$1:$1048576,BM$93,$C273*2+6)</f>
        <v>0.06</v>
      </c>
      <c r="BN273" s="1">
        <f>INDEX(Input!$1:$1048576,BN$93,$C273*2+6)</f>
        <v>4.4999999999999998E-2</v>
      </c>
      <c r="BO273" s="1">
        <f>INDEX(Input!$1:$1048576,BO$93,$C273*2+6)</f>
        <v>4.4999999999999998E-2</v>
      </c>
      <c r="BP273" s="1">
        <f>INDEX(Input!$1:$1048576,BP$93,$C273*2+6)</f>
        <v>0.05</v>
      </c>
      <c r="BQ273" s="1">
        <f>INDEX(Input!$1:$1048576,BQ$93,$C273*2+6)</f>
        <v>5.45E-2</v>
      </c>
      <c r="BR273" s="1">
        <f>INDEX(Input!$1:$1048576,BR$93,$C273*2+6)</f>
        <v>5.45E-2</v>
      </c>
      <c r="BS273" s="1">
        <f>INDEX(Input!$1:$1048576,BS$93,$C273*2+6)</f>
        <v>0.05</v>
      </c>
      <c r="BT273" s="1">
        <f>INDEX(Input!$1:$1048576,BT$93,$C273*2+6)</f>
        <v>0.05</v>
      </c>
      <c r="BU273" s="1">
        <f>INDEX(Input!$1:$1048576,BU$93,$C273*2+6)</f>
        <v>0.05</v>
      </c>
      <c r="BV273" s="1">
        <f>INDEX(Input!$1:$1048576,BV$93,$C273*2+6)</f>
        <v>5.5E-2</v>
      </c>
      <c r="BW273" s="1">
        <f>INDEX(Input!$1:$1048576,BW$93,$C273*2+6)</f>
        <v>0.06</v>
      </c>
      <c r="BX273" s="127">
        <f>INDEX(Input!$1:$1048576,BX$93,$C273*2+6)</f>
        <v>19985</v>
      </c>
      <c r="BY273" s="20">
        <f>INDEX(Input!$1:$1048576,BY$93,$C273*2+6)</f>
        <v>0.1</v>
      </c>
      <c r="BZ273" s="20">
        <f>INDEX(Input!$1:$1048576,BZ$93,$C273*2+6)</f>
        <v>0.1</v>
      </c>
      <c r="CA273" s="20">
        <f>INDEX(Input!$1:$1048576,CA$93,$C273*2+6)</f>
        <v>0.1</v>
      </c>
      <c r="CB273" s="20">
        <f>INDEX(Input!$1:$1048576,CB$93,$C273*2+6)</f>
        <v>0.1</v>
      </c>
      <c r="CC273" s="20">
        <f>INDEX(Input!$1:$1048576,CC$93,$C273*2+6)</f>
        <v>0.1</v>
      </c>
      <c r="CD273" s="384">
        <f>INDEX(Input!$1:$1048576,CD$93,$C273*2+6)</f>
        <v>0.1</v>
      </c>
      <c r="CE273" s="384">
        <f>INDEX(Input!$1:$1048576,CE$93,$C273*2+6)</f>
        <v>0.1</v>
      </c>
      <c r="CF273" s="384">
        <f>INDEX(Input!$1:$1048576,CF$93,$C273*2+6)</f>
        <v>0.1</v>
      </c>
      <c r="CG273" s="384">
        <f>INDEX(Input!$1:$1048576,CG$93,$C273*2+6)</f>
        <v>0.1</v>
      </c>
      <c r="CH273" s="384">
        <f>INDEX(Input!$1:$1048576,CH$93,$C273*2+6)</f>
        <v>0.1</v>
      </c>
      <c r="CI273" s="304">
        <f t="shared" si="735"/>
        <v>2019.7618664521319</v>
      </c>
      <c r="CJ273" s="16" t="str">
        <f>INDEX(Input!$1:$1048576,CJ$93,$C273*2+6)</f>
        <v>N</v>
      </c>
      <c r="CK273" s="1" t="str">
        <f t="shared" si="736"/>
        <v>Market</v>
      </c>
      <c r="CL273" s="1" t="str">
        <f t="shared" si="737"/>
        <v>Market</v>
      </c>
      <c r="CM273" s="1" t="str">
        <f t="shared" si="738"/>
        <v>Market</v>
      </c>
      <c r="CN273" s="1" t="str">
        <f t="shared" si="739"/>
        <v>Market</v>
      </c>
      <c r="CO273" s="1" t="str">
        <f t="shared" si="740"/>
        <v>Market</v>
      </c>
      <c r="CP273" s="304">
        <f t="shared" si="741"/>
        <v>1973</v>
      </c>
      <c r="CQ273" s="1">
        <f t="shared" si="742"/>
        <v>0</v>
      </c>
      <c r="CR273" s="1">
        <f t="shared" si="743"/>
        <v>0</v>
      </c>
      <c r="CS273" s="1">
        <f t="shared" si="744"/>
        <v>0</v>
      </c>
      <c r="CT273" s="1">
        <f t="shared" si="745"/>
        <v>3.7999999999999999E-2</v>
      </c>
      <c r="CU273" s="1">
        <f t="shared" si="746"/>
        <v>3.9E-2</v>
      </c>
      <c r="CV273" s="304">
        <f t="shared" si="747"/>
        <v>56</v>
      </c>
      <c r="CW273" s="20" t="s">
        <v>122</v>
      </c>
      <c r="CX273" s="20" t="s">
        <v>122</v>
      </c>
      <c r="CY273" s="20" t="s">
        <v>122</v>
      </c>
      <c r="CZ273" s="20" t="s">
        <v>122</v>
      </c>
      <c r="DA273" s="20" t="s">
        <v>122</v>
      </c>
      <c r="DB273" s="503">
        <f t="shared" si="748"/>
        <v>0</v>
      </c>
      <c r="DC273" s="127">
        <v>0</v>
      </c>
      <c r="DD273" s="127">
        <v>0</v>
      </c>
      <c r="DE273" s="127">
        <v>0</v>
      </c>
      <c r="DF273" s="127">
        <v>0</v>
      </c>
      <c r="DG273" s="127">
        <v>0</v>
      </c>
      <c r="DH273" s="127">
        <v>0</v>
      </c>
      <c r="DI273" s="127">
        <v>0</v>
      </c>
      <c r="DJ273" s="127">
        <v>0</v>
      </c>
      <c r="DK273" s="127">
        <v>0</v>
      </c>
      <c r="DL273" s="127">
        <v>0</v>
      </c>
      <c r="DM273" s="304">
        <f>INDEX(Input!$1:$1048576,DM$93,$C273*2+6)</f>
        <v>21036.84210526316</v>
      </c>
      <c r="DN273" s="20">
        <v>0</v>
      </c>
      <c r="DO273" s="20">
        <v>0</v>
      </c>
      <c r="DP273" s="20">
        <v>0</v>
      </c>
      <c r="DQ273" s="20">
        <v>0</v>
      </c>
      <c r="DR273" s="20">
        <v>0</v>
      </c>
      <c r="DS273" s="20">
        <f>INDEX(Input!$1:$1048576,DS$93,$C273*2+6)</f>
        <v>0.6</v>
      </c>
      <c r="DT273" s="20">
        <f>INDEX(Input!$1:$1048576,DT$93,$C273*2+6)</f>
        <v>0.55000000000000004</v>
      </c>
      <c r="DU273" s="20">
        <f>INDEX(Input!$1:$1048576,DU$93,$C273*2+6)</f>
        <v>0.52</v>
      </c>
      <c r="DV273" s="20">
        <f>INDEX(Input!$1:$1048576,DV$93,$C273*2+6)</f>
        <v>0.5</v>
      </c>
      <c r="DW273" s="20">
        <f>INDEX(Input!$1:$1048576,DW$93,$C273*2+6)</f>
        <v>0.45</v>
      </c>
      <c r="DX273" s="20"/>
      <c r="DY273" s="7">
        <v>0.10860939056337603</v>
      </c>
      <c r="DZ273" s="7">
        <v>0</v>
      </c>
      <c r="EA273" s="7">
        <v>0.68957184654984816</v>
      </c>
      <c r="EB273" s="7">
        <v>0</v>
      </c>
      <c r="EC273" s="7">
        <v>0</v>
      </c>
      <c r="ED273" s="7">
        <v>0</v>
      </c>
      <c r="EE273" s="7">
        <v>0</v>
      </c>
      <c r="EF273" s="7">
        <v>0</v>
      </c>
      <c r="EG273" s="7">
        <v>0</v>
      </c>
      <c r="EH273" s="7">
        <v>2.0822240863664979E-2</v>
      </c>
      <c r="EI273" s="7">
        <v>5.9272323830906547E-2</v>
      </c>
      <c r="EJ273" s="7">
        <v>0.44861686782893234</v>
      </c>
      <c r="EK273" s="7">
        <v>0.30897821331450925</v>
      </c>
      <c r="EL273" s="7">
        <v>0.16231035416198686</v>
      </c>
      <c r="EM273" s="7">
        <v>6.1715483723779316E-2</v>
      </c>
      <c r="EN273" s="7">
        <v>6.5525591179577139E-2</v>
      </c>
      <c r="EO273" s="7">
        <v>0.73219782391295285</v>
      </c>
      <c r="EP273" s="7">
        <v>8.7624063712046632E-2</v>
      </c>
      <c r="EQ273" s="7">
        <v>7.4710781279014926E-2</v>
      </c>
      <c r="ER273" s="7">
        <v>3.9941739916408807E-2</v>
      </c>
      <c r="ES273" s="7">
        <v>0.14010327916299642</v>
      </c>
      <c r="ET273" s="7">
        <v>0.20181876288677589</v>
      </c>
      <c r="EU273" s="6">
        <v>2044</v>
      </c>
      <c r="EV273" s="6">
        <v>0</v>
      </c>
      <c r="EW273" s="6">
        <v>2044</v>
      </c>
      <c r="EX273" s="6">
        <v>0</v>
      </c>
      <c r="EY273" s="6">
        <v>3259.3985655042497</v>
      </c>
      <c r="EZ273" s="6">
        <v>946</v>
      </c>
      <c r="FA273" s="6">
        <v>0</v>
      </c>
      <c r="FB273" s="6">
        <v>0</v>
      </c>
      <c r="FC273" s="6">
        <v>0</v>
      </c>
      <c r="FD273" s="6">
        <v>0</v>
      </c>
      <c r="FE273" s="6">
        <v>0</v>
      </c>
      <c r="FF273" s="6">
        <v>0</v>
      </c>
      <c r="FG273" s="6">
        <v>0</v>
      </c>
      <c r="FH273" s="6">
        <v>1173.7287759863698</v>
      </c>
      <c r="FI273" s="6">
        <v>1553.9796069512406</v>
      </c>
      <c r="FJ273" s="6">
        <v>2101.2110117447405</v>
      </c>
      <c r="FK273" s="6">
        <v>838.19585232978272</v>
      </c>
      <c r="FL273" s="6">
        <v>907.07682140966324</v>
      </c>
      <c r="FM273" s="6">
        <v>1465.3985655042495</v>
      </c>
      <c r="FN273" s="6">
        <v>0</v>
      </c>
      <c r="FO273" s="6">
        <v>0</v>
      </c>
      <c r="FP273" s="6">
        <v>0</v>
      </c>
      <c r="FQ273" s="6">
        <v>0</v>
      </c>
      <c r="FR273" s="6">
        <v>0</v>
      </c>
      <c r="FS273" s="6">
        <v>0</v>
      </c>
      <c r="FT273" s="7">
        <v>0.7981812371132242</v>
      </c>
      <c r="FU273" s="7">
        <v>6.1715483723779316E-2</v>
      </c>
      <c r="FV273" s="7">
        <v>0.14010327916299642</v>
      </c>
      <c r="FW273" s="6">
        <v>2044</v>
      </c>
      <c r="FX273" s="6">
        <v>3259.3985655042497</v>
      </c>
      <c r="FY273" s="6">
        <v>946</v>
      </c>
      <c r="FZ273" s="6">
        <v>1817.4615072224267</v>
      </c>
      <c r="GA273" s="6">
        <v>1965.175509866312</v>
      </c>
      <c r="GB273" s="6">
        <v>18019.824490133688</v>
      </c>
      <c r="GC273" s="7">
        <v>1.804905384453976E-2</v>
      </c>
      <c r="GD273" s="7">
        <v>1.8567276923669697E-2</v>
      </c>
      <c r="GE273" s="7"/>
      <c r="GF273" s="7"/>
      <c r="GG273" s="7">
        <v>2.8711924934874684E-2</v>
      </c>
      <c r="GH273" s="42">
        <v>3.8845864952074227</v>
      </c>
      <c r="GI273" s="6">
        <v>7109.8672356539437</v>
      </c>
      <c r="GJ273" s="14">
        <v>0.50394797582841733</v>
      </c>
      <c r="GK273" s="14">
        <v>0.50887573065309721</v>
      </c>
      <c r="GL273" s="14">
        <v>0.49605202417158278</v>
      </c>
      <c r="GM273" s="14">
        <v>0.4911242693469024</v>
      </c>
      <c r="GO273" s="5">
        <v>343.14810671672558</v>
      </c>
      <c r="GP273" s="5">
        <v>304.15248610521212</v>
      </c>
      <c r="GQ273" s="5">
        <v>535.04305713031317</v>
      </c>
      <c r="GR273" s="5">
        <v>410.15490233172511</v>
      </c>
      <c r="GS273" s="5">
        <v>339.42744393800166</v>
      </c>
      <c r="GT273" s="5">
        <v>293.4407446948278</v>
      </c>
      <c r="GU273" s="5">
        <v>258.04012322764959</v>
      </c>
      <c r="GV273" s="39" t="s">
        <v>392</v>
      </c>
      <c r="GW273" s="5">
        <v>449.79166666666669</v>
      </c>
      <c r="GX273" s="5">
        <v>337.34375</v>
      </c>
      <c r="GY273" s="5">
        <v>269.875</v>
      </c>
      <c r="GZ273" s="5">
        <v>251.86172614494933</v>
      </c>
      <c r="HA273" s="5">
        <v>220.58756237243733</v>
      </c>
      <c r="HB273" s="39">
        <v>264.05472713844244</v>
      </c>
      <c r="HC273" s="5">
        <v>245.89687499999999</v>
      </c>
      <c r="HD273" s="5">
        <v>211.55677997076018</v>
      </c>
      <c r="HE273" s="5">
        <v>214.73562331309037</v>
      </c>
      <c r="HF273" s="5">
        <v>199.03250548245612</v>
      </c>
      <c r="HG273" s="5">
        <v>192.49971491228069</v>
      </c>
      <c r="HH273" s="39">
        <v>212.38860750216313</v>
      </c>
      <c r="HI273" s="16"/>
      <c r="HJ273" s="19" t="str">
        <f t="shared" ref="HJ273" si="832">HJ272</f>
        <v>On</v>
      </c>
      <c r="HK273" s="1" t="str">
        <f t="shared" si="818"/>
        <v>On</v>
      </c>
      <c r="HL273" s="16"/>
      <c r="HM273" s="639">
        <f t="shared" si="775"/>
        <v>1.2768706344444866E-2</v>
      </c>
      <c r="HN273" s="639">
        <f t="shared" si="776"/>
        <v>9.795534288915453E-4</v>
      </c>
      <c r="HO273" s="639">
        <f t="shared" si="777"/>
        <v>3.3583061774515237E-3</v>
      </c>
      <c r="HP273" s="644">
        <f>(FT273*$GD273-HM273)/$JF273*INDEX(Input!$1:$1048576,$JG$93,$C273*2+6)</f>
        <v>149.05520708745158</v>
      </c>
      <c r="HQ273" s="644">
        <f>(FU273*$GD273-HN273)/$JF273*INDEX(Input!$1:$1048576,$JG$93,$C273*2+6)</f>
        <v>12.086263550335364</v>
      </c>
      <c r="HR273" s="644">
        <f>(FV273*$GD273-HO273)/$JF273*INDEX(Input!$1:$1048576,$JG$93,$C273*2+6)</f>
        <v>-55.003058959176641</v>
      </c>
      <c r="HS273" s="644">
        <f t="shared" si="767"/>
        <v>-50.709121137513243</v>
      </c>
      <c r="HT273" s="644">
        <f t="shared" si="778"/>
        <v>90.060203070963283</v>
      </c>
      <c r="HU273" s="644">
        <f t="shared" si="779"/>
        <v>13.289923062040417</v>
      </c>
      <c r="HV273" s="648">
        <f t="shared" si="780"/>
        <v>0</v>
      </c>
      <c r="HW273" s="648">
        <f t="shared" si="781"/>
        <v>0</v>
      </c>
      <c r="HX273" s="648">
        <f t="shared" si="782"/>
        <v>0</v>
      </c>
      <c r="HY273" s="644">
        <f>INDEX(Input!$1:$1048576,HY$93,$C273*2+6)*INDEX(Input!$1:$1048576,$JG$93,$C273*2+6)</f>
        <v>451</v>
      </c>
      <c r="HZ273" s="644">
        <f>INDEX(Input!$1:$1048576,HZ$93,$C273*2+6)*INDEX(Input!$1:$1048576,$JG$93,$C273*2+6)</f>
        <v>577</v>
      </c>
      <c r="IA273" s="644">
        <f>INDEX(Input!$1:$1048576,IA$93,$C273*2+6)*INDEX(Input!$1:$1048576,$JG$93,$C273*2+6)</f>
        <v>215</v>
      </c>
      <c r="IB273" s="644">
        <f t="shared" si="804"/>
        <v>549.34608594993824</v>
      </c>
      <c r="IC273" s="644">
        <f t="shared" si="805"/>
        <v>679.14646662129871</v>
      </c>
      <c r="ID273" s="644">
        <f>IF(AND(INDEX(Input!$1:$1048576,IA$93,$C273*2+7)="TOS",Y273&lt;=INDEX(Y:Y,MATCH(C273*1000+2,A:A))),0,1)*MAX(IA273+HR273+HU273+HX273,0%)</f>
        <v>173.28686410286377</v>
      </c>
      <c r="IE273" s="128">
        <f t="shared" si="768"/>
        <v>0.39189196204159671</v>
      </c>
      <c r="IF273" s="128">
        <f t="shared" si="783"/>
        <v>0.48448882794459897</v>
      </c>
      <c r="IG273" s="128">
        <f t="shared" si="784"/>
        <v>0.12361921001380433</v>
      </c>
      <c r="IH273" s="21"/>
      <c r="II273" s="19">
        <f t="shared" si="785"/>
        <v>1252</v>
      </c>
      <c r="IJ273" s="19">
        <f t="shared" si="786"/>
        <v>2011.9658773055378</v>
      </c>
      <c r="IK273" s="19">
        <f t="shared" si="787"/>
        <v>919</v>
      </c>
      <c r="IL273" s="19">
        <f t="shared" si="806"/>
        <v>792</v>
      </c>
      <c r="IM273" s="19">
        <f t="shared" si="788"/>
        <v>1247.432688198712</v>
      </c>
      <c r="IN273" s="19">
        <f t="shared" si="789"/>
        <v>27</v>
      </c>
      <c r="IO273" s="39">
        <f t="shared" si="790"/>
        <v>0</v>
      </c>
      <c r="IP273" s="39">
        <f t="shared" si="791"/>
        <v>0</v>
      </c>
      <c r="IQ273" s="39">
        <f t="shared" si="792"/>
        <v>0</v>
      </c>
      <c r="IR273" s="39">
        <v>0</v>
      </c>
      <c r="IS273" s="39">
        <v>0</v>
      </c>
      <c r="IT273" s="39">
        <v>0</v>
      </c>
      <c r="IU273" s="39">
        <v>0</v>
      </c>
      <c r="IV273" s="39">
        <v>0</v>
      </c>
      <c r="IW273" s="39">
        <v>0</v>
      </c>
      <c r="IX273" s="39">
        <f>INDEX(Input!$1:$1048576,IX$93,$C273*2+6)+INDEX(Input!$1:$1048576,IX$94,$C273*2+6)</f>
        <v>1294</v>
      </c>
      <c r="IY273" s="39">
        <f>INDEX(Input!$1:$1048576,IY$93,$C273*2+6)+INDEX(Input!$1:$1048576,IY$94,$C273*2+6)</f>
        <v>2154.0624533823611</v>
      </c>
      <c r="IZ273" s="39">
        <f>INDEX(Input!$1:$1048576,IZ$93,$C273*2+6)+INDEX(Input!$1:$1048576,IZ$94,$C273*2+6)</f>
        <v>3677.7164157747848</v>
      </c>
      <c r="JA273" s="19">
        <f t="shared" si="807"/>
        <v>2086</v>
      </c>
      <c r="JB273" s="19">
        <f t="shared" si="808"/>
        <v>3401.4951415810729</v>
      </c>
      <c r="JC273" s="19">
        <f t="shared" si="809"/>
        <v>3704.7164157747848</v>
      </c>
      <c r="JD273" s="19">
        <f t="shared" si="810"/>
        <v>2923.4471438658838</v>
      </c>
      <c r="JE273" s="21"/>
      <c r="JF273" s="1">
        <f t="shared" si="793"/>
        <v>1.7106565950787935E-2</v>
      </c>
      <c r="JG273" s="15">
        <f>INDEX(Input!$1:$1048576,JG$93,$C273*2+6)/(1+VLOOKUP(C273*1000+INDEX(Input!$1:$1048576,JG$93+1,$C273*2+6),$A:$KK,$JK$92,FALSE))</f>
        <v>1243</v>
      </c>
      <c r="JH273" s="1">
        <f t="shared" si="811"/>
        <v>8.5388907223338931E-2</v>
      </c>
      <c r="JI273" s="1">
        <f t="shared" si="812"/>
        <v>4.234996379363673E-2</v>
      </c>
      <c r="JJ273" s="1">
        <f t="shared" si="769"/>
        <v>0</v>
      </c>
      <c r="JK273" s="1">
        <f t="shared" si="770"/>
        <v>0.12773887101697567</v>
      </c>
      <c r="JL273" s="15">
        <f t="shared" si="813"/>
        <v>158.77941667410076</v>
      </c>
      <c r="JM273" s="15">
        <f t="shared" si="830"/>
        <v>1401.7794166741007</v>
      </c>
      <c r="JN273" s="21"/>
      <c r="JO273" s="19">
        <f>INDEX(Input!$1:$1048576,JO$93,$C273*2+6)</f>
        <v>5995.5</v>
      </c>
      <c r="JP273" s="19">
        <f>INDEX(Input!$1:$1048576,JP$93,$C273*2+6)</f>
        <v>2105.548724853742</v>
      </c>
      <c r="JQ273" s="39">
        <f t="shared" si="819"/>
        <v>3072.0528561341162</v>
      </c>
      <c r="JR273" s="39">
        <f t="shared" ref="JR273:JR283" si="833">JD273-JP273</f>
        <v>817.89841901214186</v>
      </c>
      <c r="JS273" s="39">
        <f t="shared" si="820"/>
        <v>4.0980280320058844</v>
      </c>
      <c r="JT273" s="39">
        <f t="shared" si="814"/>
        <v>1.4808309670126834</v>
      </c>
      <c r="JU273" s="385">
        <f>(JQ273*JM273-INDEX(Input!$1:$1048576,Input!A$18,$C273*2+6)*JL273*INDEX(Input!$1:$1048576,Input!A$19,$C273*2+6))/1000000</f>
        <v>4.3063404606636864</v>
      </c>
      <c r="JV273" s="39">
        <f t="shared" si="712"/>
        <v>-0.52886897434311209</v>
      </c>
      <c r="JW273" s="1">
        <f t="shared" si="831"/>
        <v>-0.10937871077809239</v>
      </c>
      <c r="JX273" s="19">
        <f t="shared" si="824"/>
        <v>9326.3408950048652</v>
      </c>
      <c r="JZ273" s="341"/>
      <c r="KA273" s="342"/>
      <c r="KB273" s="469">
        <f t="shared" si="821"/>
        <v>2.5660492421988774</v>
      </c>
      <c r="KI273" s="473">
        <f t="shared" si="771"/>
        <v>98.346085949938242</v>
      </c>
      <c r="KJ273" s="473">
        <f t="shared" si="772"/>
        <v>102.14646662129871</v>
      </c>
      <c r="KK273" s="473">
        <f t="shared" si="815"/>
        <v>-41.713135897136226</v>
      </c>
      <c r="KN273" s="544">
        <f t="shared" si="825"/>
        <v>2002</v>
      </c>
      <c r="KO273" s="541">
        <f t="shared" si="794"/>
        <v>0.12109451971058949</v>
      </c>
      <c r="KP273" s="546">
        <f t="shared" si="795"/>
        <v>877.93709112340912</v>
      </c>
      <c r="KQ273" s="546">
        <f t="shared" si="796"/>
        <v>779.76680443241094</v>
      </c>
      <c r="KR273" s="548">
        <f t="shared" si="797"/>
        <v>2.4608665668001808</v>
      </c>
      <c r="KS273" s="548">
        <f t="shared" si="798"/>
        <v>2.7706822386110805</v>
      </c>
      <c r="KT273" s="473">
        <f t="shared" si="822"/>
        <v>843.26993010479111</v>
      </c>
      <c r="KU273" s="663">
        <f t="shared" si="816"/>
        <v>4.5277229908370904</v>
      </c>
    </row>
    <row r="274" spans="1:307" s="26" customFormat="1" ht="15" outlineLevel="1">
      <c r="A274" s="561">
        <f t="shared" si="799"/>
        <v>2074</v>
      </c>
      <c r="B274" s="561">
        <f t="shared" si="817"/>
        <v>74</v>
      </c>
      <c r="C274" s="561">
        <f t="shared" si="760"/>
        <v>2</v>
      </c>
      <c r="D274" s="561" t="str">
        <f t="shared" si="728"/>
        <v xml:space="preserve">1000 CC, 0/2.8/3.8/3.9, 2000 Combo, </v>
      </c>
      <c r="E274" s="475">
        <f>INDEX(Input!$1:$1048576,E$93,$C274*2+MIN($B274,2)+5)
+INDEX(Scenarios!E$121:E$200,MATCH($B274,Scenarios!$B$121:$B$200,0))</f>
        <v>2269.7618664521319</v>
      </c>
      <c r="F274" s="475">
        <f>INDEX(Input!$1:$1048576,F$93,$C274*2+MIN($B274,2)+5)
+INDEX(Scenarios!F$121:F$200,MATCH($B274,Scenarios!$B$121:$B$200,0))</f>
        <v>0</v>
      </c>
      <c r="G274" s="475">
        <f>INDEX(Input!$1:$1048576,G$93,$C274*2+MIN($B274,2)+5)
+INDEX(Scenarios!G$121:G$200,MATCH($B274,Scenarios!$B$121:$B$200,0))</f>
        <v>0</v>
      </c>
      <c r="H274" s="475">
        <f>INDEX(Input!$1:$1048576,H$93,$C274*2+MIN($B274,2)+5)
+INDEX(Scenarios!H$121:H$200,MATCH($B274,Scenarios!$B$121:$B$200,0))</f>
        <v>0</v>
      </c>
      <c r="I274" s="476">
        <f>INDEX(Input!$1:$1048576,I$93,$C274*2+MIN($B274,2)+5)</f>
        <v>0.7</v>
      </c>
      <c r="J274" s="476" t="str">
        <f>INDEX(Input!$1:$1048576,J$93,$C274*2+MIN($B274,2)+5)</f>
        <v>Market</v>
      </c>
      <c r="K274" s="476" t="str">
        <f>INDEX(Input!$1:$1048576,K$93,$C274*2+MIN($B274,2)+5)</f>
        <v>Market</v>
      </c>
      <c r="L274" s="476" t="str">
        <f>INDEX(Input!$1:$1048576,L$93,$C274*2+MIN($B274,2)+5)</f>
        <v>Market</v>
      </c>
      <c r="M274" s="476" t="str">
        <f>INDEX(Input!$1:$1048576,M$93,$C274*2+MIN($B274,2)+5)</f>
        <v>Market</v>
      </c>
      <c r="N274" s="476" t="str">
        <f>INDEX(Input!$1:$1048576,N$93,$C274*2+MIN($B274,2)+5)</f>
        <v>Market</v>
      </c>
      <c r="O274" s="476" t="str">
        <f>INDEX(Input!$1:$1048576,O$93,$C274*2+MIN($B274,2)+5)</f>
        <v>Market</v>
      </c>
      <c r="P274" s="476" t="str">
        <f>INDEX(Input!$1:$1048576,P$93,$C274*2+MIN($B274,2)+5)</f>
        <v>N</v>
      </c>
      <c r="Q274" s="477">
        <f>INDEX(Input!$1:$1048576,Q$93,$C274*2+MIN($B274,2)+5)
+INDEX(Scenarios!Q$121:Q$200,MATCH($B274,Scenarios!$B$121:$B$200,0))</f>
        <v>2000</v>
      </c>
      <c r="R274" s="478">
        <f>IFERROR(MAX(0,INDEX(Input!$1:$1048576,R$93,$C274*2+MIN($B274,2)+5)
+INDEX(Scenarios!R$121:R$200,MATCH($B274,Scenarios!$B$121:$B$200,0)),),"Market")</f>
        <v>0</v>
      </c>
      <c r="S274" s="478">
        <f>IFERROR(MAX(0,INDEX(Input!$1:$1048576,S$93,$C274*2+MIN($B274,2)+5)
+INDEX(Scenarios!S$121:S$200,MATCH($B274,Scenarios!$B$121:$B$200,0)),),"Market")</f>
        <v>0</v>
      </c>
      <c r="T274" s="478">
        <f>IFERROR(MAX(0,INDEX(Input!$1:$1048576,T$93,$C274*2+MIN($B274,2)+5)
+INDEX(Scenarios!T$121:T$200,MATCH($B274,Scenarios!$B$121:$B$200,0)),),"Market")</f>
        <v>0</v>
      </c>
      <c r="U274" s="478">
        <f>IFERROR(MAX(0,INDEX(Input!$1:$1048576,U$93,$C274*2+MIN($B274,2)+5)
+INDEX(Scenarios!U$121:U$200,MATCH($B274,Scenarios!$B$121:$B$200,0)),),"Market")</f>
        <v>0</v>
      </c>
      <c r="V274" s="478">
        <f>IFERROR(MAX(0,INDEX(Input!$1:$1048576,V$93,$C274*2+MIN($B274,2)+5)
+INDEX(Scenarios!V$121:V$200,MATCH($B274,Scenarios!$B$121:$B$200,0)),),"Market")</f>
        <v>3.7999999999999999E-2</v>
      </c>
      <c r="W274" s="885">
        <f>IFERROR(MAX(0,INDEX(Input!$1:$1048576,W$93,$C274*2+MIN($B274,2)+5)-0%,),"Market")</f>
        <v>3.9E-2</v>
      </c>
      <c r="X274" s="476" t="str">
        <f>INDEX(Input!$1:$1048576,X$93,$C274*2+MIN($B274,2)+5)</f>
        <v>Y</v>
      </c>
      <c r="Y274" s="475">
        <f>INDEX(Input!$1:$1048576,Y$93,$C274*2+MIN($B274,2)+5)
++INDEX(Scenarios!Y$121:Y$200,MATCH($B274,Scenarios!$B$121:$B$200,0))</f>
        <v>56</v>
      </c>
      <c r="Z274" s="477">
        <f>INDEX(Input!$1:$1048576,Z$93,$C274*2+MIN($B274,2)+5)
+INDEX(Scenarios!Z$121:Z$200,MATCH($B274,Scenarios!$B$121:$B$200,0))</f>
        <v>0</v>
      </c>
      <c r="AA274" s="475">
        <f>INDEX(Input!$1:$1048576,AA$93,$C274*2+MIN($B274,2)+5)
+INDEX(Scenarios!AA$121:AA$200,MATCH($B274,Scenarios!$B$121:$B$200,0))</f>
        <v>0</v>
      </c>
      <c r="AB274" s="476">
        <f>INDEX(Input!$1:$1048576,AB$93,$C274*2+MIN($B274,2)+5)</f>
        <v>0.27</v>
      </c>
      <c r="AC274" s="475">
        <f>INDEX(Input!$1:$1048576,AC$93,$C274*2+MIN($B274,2)+5)
+INDEX(Scenarios!AC$121:AC$200,MATCH($B274,Scenarios!$B$121:$B$200,0))</f>
        <v>0</v>
      </c>
      <c r="AD274" s="476">
        <f>INDEX(Input!$1:$1048576,AD$93,$C274*2+MIN($B274,2)+5)</f>
        <v>0.27</v>
      </c>
      <c r="AE274" s="475">
        <f>INDEX(Input!$1:$1048576,AE$93,$C274*2+MIN($B274,2)+5)
+INDEX(Scenarios!AE$121:AE$200,MATCH($B274,Scenarios!$B$121:$B$200,0))</f>
        <v>0</v>
      </c>
      <c r="AF274" s="476">
        <f>INDEX(Input!$1:$1048576,AF$93,$C274*2+MIN($B274,2)+5)</f>
        <v>4.8000000000000001E-2</v>
      </c>
      <c r="AG274" s="475">
        <f>INDEX(Input!$1:$1048576,AG$93,$C274*2+MIN($B274,2)+5)
+INDEX(Scenarios!AG$121:AG$200,MATCH($B274,Scenarios!$B$121:$B$200,0))</f>
        <v>500</v>
      </c>
      <c r="AH274" s="476">
        <f>INDEX(Input!$1:$1048576,AH$93,$C274*2+MIN($B274,2)+5)</f>
        <v>0.94599999999999995</v>
      </c>
      <c r="AI274" s="475">
        <f>INDEX(Input!$1:$1048576,AI$93,$C274*2+MIN($B274,2)+5)
+INDEX(Scenarios!AI$121:AI$200,MATCH($B274,Scenarios!$B$121:$B$200,0))</f>
        <v>0</v>
      </c>
      <c r="AJ274" s="476">
        <f>INDEX(Input!$1:$1048576,AJ$93,$C274*2+MIN($B274,2)+5)</f>
        <v>0.27</v>
      </c>
      <c r="AK274" s="150">
        <f>ROUND(INDEX(Input!$1:$1048576,AK$93,$C273*2+MIN($B274,1)+5)+(Y274-VLOOKUP($C274*1000+1,$A:$HH,Y$92,FALSE)),0)</f>
        <v>2977</v>
      </c>
      <c r="AL274" s="150">
        <f>ROUND(INDEX(Input!$1:$1048576,AL$93,$C273*2+MIN($B274,1)+5)-(Y274-VLOOKUP($C274*1000+1,$A:$HH,Y$92,FALSE))/36,0)</f>
        <v>3395</v>
      </c>
      <c r="AM274" s="32" t="str">
        <f t="shared" si="800"/>
        <v>std/std/std/std</v>
      </c>
      <c r="AN274" s="32" t="str">
        <f t="shared" si="801"/>
        <v>$2000 + 0/0/0/3.8/3.9</v>
      </c>
      <c r="AO274" s="32" t="str">
        <f t="shared" si="802"/>
        <v>0/0/0/3.8/3.9</v>
      </c>
      <c r="AP274" s="32" t="str">
        <f t="shared" si="734"/>
        <v>0/2.8/3.8/3.9</v>
      </c>
      <c r="AQ274" s="536">
        <f t="shared" si="733"/>
        <v>0.39184661305430235</v>
      </c>
      <c r="AR274" s="32"/>
      <c r="AS274" s="302"/>
      <c r="AT274" s="3">
        <f t="shared" si="717"/>
        <v>74</v>
      </c>
      <c r="AU274" s="41" t="s">
        <v>121</v>
      </c>
      <c r="AV274" s="41" t="s">
        <v>116</v>
      </c>
      <c r="AW274" s="41" t="str">
        <f>INDEX(Input!$1:$1048576,AW$93,$C274*2+6)</f>
        <v>Kia</v>
      </c>
      <c r="AX274" s="41" t="str">
        <f>INDEX(Input!$1:$1048576,AX$93,$C274*2+6)</f>
        <v>Kia-LR - L2</v>
      </c>
      <c r="AY274" s="41" t="str">
        <f>IF(LEN(D274)=0,"",INDEX(Input!$1:$1048576,AY$93,$C274*2+6))</f>
        <v>Compact SUV (52)</v>
      </c>
      <c r="AZ274" s="41" t="str">
        <f>INDEX(Input!$1:$1048576,AZ$93,$C274*2+6)</f>
        <v>Kia Soul</v>
      </c>
      <c r="BA274" s="3">
        <f>INDEX(Input!$1:$1048576,BA$93,$C274*2+6)</f>
        <v>2020</v>
      </c>
      <c r="BB274" s="128">
        <f>INDEX(Input!$1:$1048576,BB$93,$C274*2+6)</f>
        <v>1</v>
      </c>
      <c r="BC274" s="128">
        <f>INDEX(Input!$1:$1048576,BC$93,$C274*2+6)</f>
        <v>0.7</v>
      </c>
      <c r="BD274" s="1">
        <f>INDEX(Input!$1:$1048576,BD$93,$C274*2+6)</f>
        <v>4.4999999999999998E-2</v>
      </c>
      <c r="BE274" s="1">
        <f>INDEX(Input!$1:$1048576,BE$93,$C274*2+6)</f>
        <v>4.4999999999999998E-2</v>
      </c>
      <c r="BF274" s="1">
        <f>INDEX(Input!$1:$1048576,BF$93,$C274*2+6)</f>
        <v>0.05</v>
      </c>
      <c r="BG274" s="1">
        <f>INDEX(Input!$1:$1048576,BG$93,$C274*2+6)</f>
        <v>5.45E-2</v>
      </c>
      <c r="BH274" s="1">
        <f>INDEX(Input!$1:$1048576,BH$93,$C274*2+6)</f>
        <v>5.45E-2</v>
      </c>
      <c r="BI274" s="1">
        <f>INDEX(Input!$1:$1048576,BI$93,$C274*2+6)</f>
        <v>0.05</v>
      </c>
      <c r="BJ274" s="1">
        <f>INDEX(Input!$1:$1048576,BJ$93,$C274*2+6)</f>
        <v>0.05</v>
      </c>
      <c r="BK274" s="1">
        <f>INDEX(Input!$1:$1048576,BK$93,$C274*2+6)</f>
        <v>0.05</v>
      </c>
      <c r="BL274" s="1">
        <f>INDEX(Input!$1:$1048576,BL$93,$C274*2+6)</f>
        <v>5.5E-2</v>
      </c>
      <c r="BM274" s="1">
        <f>INDEX(Input!$1:$1048576,BM$93,$C274*2+6)</f>
        <v>0.06</v>
      </c>
      <c r="BN274" s="1">
        <f>INDEX(Input!$1:$1048576,BN$93,$C274*2+6)</f>
        <v>4.4999999999999998E-2</v>
      </c>
      <c r="BO274" s="1">
        <f>INDEX(Input!$1:$1048576,BO$93,$C274*2+6)</f>
        <v>4.4999999999999998E-2</v>
      </c>
      <c r="BP274" s="1">
        <f>INDEX(Input!$1:$1048576,BP$93,$C274*2+6)</f>
        <v>0.05</v>
      </c>
      <c r="BQ274" s="1">
        <f>INDEX(Input!$1:$1048576,BQ$93,$C274*2+6)</f>
        <v>5.45E-2</v>
      </c>
      <c r="BR274" s="1">
        <f>INDEX(Input!$1:$1048576,BR$93,$C274*2+6)</f>
        <v>5.45E-2</v>
      </c>
      <c r="BS274" s="1">
        <f>INDEX(Input!$1:$1048576,BS$93,$C274*2+6)</f>
        <v>0.05</v>
      </c>
      <c r="BT274" s="1">
        <f>INDEX(Input!$1:$1048576,BT$93,$C274*2+6)</f>
        <v>0.05</v>
      </c>
      <c r="BU274" s="1">
        <f>INDEX(Input!$1:$1048576,BU$93,$C274*2+6)</f>
        <v>0.05</v>
      </c>
      <c r="BV274" s="1">
        <f>INDEX(Input!$1:$1048576,BV$93,$C274*2+6)</f>
        <v>5.5E-2</v>
      </c>
      <c r="BW274" s="1">
        <f>INDEX(Input!$1:$1048576,BW$93,$C274*2+6)</f>
        <v>0.06</v>
      </c>
      <c r="BX274" s="127">
        <f>INDEX(Input!$1:$1048576,BX$93,$C274*2+6)</f>
        <v>19985</v>
      </c>
      <c r="BY274" s="20">
        <f>INDEX(Input!$1:$1048576,BY$93,$C274*2+6)</f>
        <v>0.1</v>
      </c>
      <c r="BZ274" s="20">
        <f>INDEX(Input!$1:$1048576,BZ$93,$C274*2+6)</f>
        <v>0.1</v>
      </c>
      <c r="CA274" s="20">
        <f>INDEX(Input!$1:$1048576,CA$93,$C274*2+6)</f>
        <v>0.1</v>
      </c>
      <c r="CB274" s="20">
        <f>INDEX(Input!$1:$1048576,CB$93,$C274*2+6)</f>
        <v>0.1</v>
      </c>
      <c r="CC274" s="20">
        <f>INDEX(Input!$1:$1048576,CC$93,$C274*2+6)</f>
        <v>0.1</v>
      </c>
      <c r="CD274" s="384">
        <f>INDEX(Input!$1:$1048576,CD$93,$C274*2+6)</f>
        <v>0.1</v>
      </c>
      <c r="CE274" s="384">
        <f>INDEX(Input!$1:$1048576,CE$93,$C274*2+6)</f>
        <v>0.1</v>
      </c>
      <c r="CF274" s="384">
        <f>INDEX(Input!$1:$1048576,CF$93,$C274*2+6)</f>
        <v>0.1</v>
      </c>
      <c r="CG274" s="384">
        <f>INDEX(Input!$1:$1048576,CG$93,$C274*2+6)</f>
        <v>0.1</v>
      </c>
      <c r="CH274" s="384">
        <f>INDEX(Input!$1:$1048576,CH$93,$C274*2+6)</f>
        <v>0.1</v>
      </c>
      <c r="CI274" s="304">
        <f t="shared" si="735"/>
        <v>2269.7618664521319</v>
      </c>
      <c r="CJ274" s="16" t="str">
        <f>INDEX(Input!$1:$1048576,CJ$93,$C274*2+6)</f>
        <v>N</v>
      </c>
      <c r="CK274" s="1" t="str">
        <f t="shared" si="736"/>
        <v>Market</v>
      </c>
      <c r="CL274" s="1" t="str">
        <f t="shared" si="737"/>
        <v>Market</v>
      </c>
      <c r="CM274" s="1" t="str">
        <f t="shared" si="738"/>
        <v>Market</v>
      </c>
      <c r="CN274" s="1" t="str">
        <f t="shared" si="739"/>
        <v>Market</v>
      </c>
      <c r="CO274" s="1" t="str">
        <f t="shared" si="740"/>
        <v>Market</v>
      </c>
      <c r="CP274" s="304">
        <f t="shared" si="741"/>
        <v>2473</v>
      </c>
      <c r="CQ274" s="1">
        <f t="shared" si="742"/>
        <v>0</v>
      </c>
      <c r="CR274" s="1">
        <f t="shared" si="743"/>
        <v>0</v>
      </c>
      <c r="CS274" s="1">
        <f t="shared" si="744"/>
        <v>0</v>
      </c>
      <c r="CT274" s="1">
        <f t="shared" si="745"/>
        <v>3.7999999999999999E-2</v>
      </c>
      <c r="CU274" s="1">
        <f t="shared" si="746"/>
        <v>3.9E-2</v>
      </c>
      <c r="CV274" s="304">
        <f t="shared" si="747"/>
        <v>56</v>
      </c>
      <c r="CW274" s="20" t="s">
        <v>122</v>
      </c>
      <c r="CX274" s="20" t="s">
        <v>122</v>
      </c>
      <c r="CY274" s="20" t="s">
        <v>122</v>
      </c>
      <c r="CZ274" s="20" t="s">
        <v>122</v>
      </c>
      <c r="DA274" s="20" t="s">
        <v>122</v>
      </c>
      <c r="DB274" s="503">
        <f t="shared" si="748"/>
        <v>0</v>
      </c>
      <c r="DC274" s="127">
        <v>0</v>
      </c>
      <c r="DD274" s="127">
        <v>0</v>
      </c>
      <c r="DE274" s="127">
        <v>0</v>
      </c>
      <c r="DF274" s="127">
        <v>0</v>
      </c>
      <c r="DG274" s="127">
        <v>0</v>
      </c>
      <c r="DH274" s="127">
        <v>0</v>
      </c>
      <c r="DI274" s="127">
        <v>0</v>
      </c>
      <c r="DJ274" s="127">
        <v>0</v>
      </c>
      <c r="DK274" s="127">
        <v>0</v>
      </c>
      <c r="DL274" s="127">
        <v>0</v>
      </c>
      <c r="DM274" s="304">
        <f>INDEX(Input!$1:$1048576,DM$93,$C274*2+6)</f>
        <v>21036.84210526316</v>
      </c>
      <c r="DN274" s="20">
        <v>0</v>
      </c>
      <c r="DO274" s="20">
        <v>0</v>
      </c>
      <c r="DP274" s="20">
        <v>0</v>
      </c>
      <c r="DQ274" s="20">
        <v>0</v>
      </c>
      <c r="DR274" s="20">
        <v>0</v>
      </c>
      <c r="DS274" s="20">
        <f>INDEX(Input!$1:$1048576,DS$93,$C274*2+6)</f>
        <v>0.6</v>
      </c>
      <c r="DT274" s="20">
        <f>INDEX(Input!$1:$1048576,DT$93,$C274*2+6)</f>
        <v>0.55000000000000004</v>
      </c>
      <c r="DU274" s="20">
        <f>INDEX(Input!$1:$1048576,DU$93,$C274*2+6)</f>
        <v>0.52</v>
      </c>
      <c r="DV274" s="20">
        <f>INDEX(Input!$1:$1048576,DV$93,$C274*2+6)</f>
        <v>0.5</v>
      </c>
      <c r="DW274" s="20">
        <f>INDEX(Input!$1:$1048576,DW$93,$C274*2+6)</f>
        <v>0.45</v>
      </c>
      <c r="DX274" s="20"/>
      <c r="DY274" s="7">
        <v>0.11307657646043093</v>
      </c>
      <c r="DZ274" s="7">
        <v>0</v>
      </c>
      <c r="EA274" s="7">
        <v>0.69226675055695774</v>
      </c>
      <c r="EB274" s="7">
        <v>0</v>
      </c>
      <c r="EC274" s="7">
        <v>0</v>
      </c>
      <c r="ED274" s="7">
        <v>0</v>
      </c>
      <c r="EE274" s="7">
        <v>0</v>
      </c>
      <c r="EF274" s="7">
        <v>0</v>
      </c>
      <c r="EG274" s="7">
        <v>0</v>
      </c>
      <c r="EH274" s="7">
        <v>2.0823303992834247E-2</v>
      </c>
      <c r="EI274" s="7">
        <v>5.9277120056176941E-2</v>
      </c>
      <c r="EJ274" s="7">
        <v>0.44864087133350095</v>
      </c>
      <c r="EK274" s="7">
        <v>0.30895091754562942</v>
      </c>
      <c r="EL274" s="7">
        <v>0.16230778707185811</v>
      </c>
      <c r="EM274" s="7">
        <v>7.0810772599326346E-2</v>
      </c>
      <c r="EN274" s="7">
        <v>6.5523220814338076E-2</v>
      </c>
      <c r="EO274" s="7">
        <v>0.73218827010673149</v>
      </c>
      <c r="EP274" s="7">
        <v>8.7635684446391207E-2</v>
      </c>
      <c r="EQ274" s="7">
        <v>7.4709429525553206E-2</v>
      </c>
      <c r="ER274" s="7">
        <v>3.9943395106986655E-2</v>
      </c>
      <c r="ES274" s="7">
        <v>0.12384590038328504</v>
      </c>
      <c r="ET274" s="7">
        <v>0.19465667298261138</v>
      </c>
      <c r="EU274" s="6">
        <v>2294</v>
      </c>
      <c r="EV274" s="6">
        <v>0</v>
      </c>
      <c r="EW274" s="6">
        <v>2294</v>
      </c>
      <c r="EX274" s="6">
        <v>0</v>
      </c>
      <c r="EY274" s="6">
        <v>3759.4324879913333</v>
      </c>
      <c r="EZ274" s="6">
        <v>946</v>
      </c>
      <c r="FA274" s="6">
        <v>0</v>
      </c>
      <c r="FB274" s="6">
        <v>0</v>
      </c>
      <c r="FC274" s="6">
        <v>0</v>
      </c>
      <c r="FD274" s="6">
        <v>0</v>
      </c>
      <c r="FE274" s="6">
        <v>0</v>
      </c>
      <c r="FF274" s="6">
        <v>0</v>
      </c>
      <c r="FG274" s="6">
        <v>0</v>
      </c>
      <c r="FH274" s="6">
        <v>1173.7284276084151</v>
      </c>
      <c r="FI274" s="6">
        <v>1553.9796069512399</v>
      </c>
      <c r="FJ274" s="6">
        <v>2101.2110117447405</v>
      </c>
      <c r="FK274" s="6">
        <v>838.19585232978352</v>
      </c>
      <c r="FL274" s="6">
        <v>907.07682140966324</v>
      </c>
      <c r="FM274" s="6">
        <v>1465.4324879913333</v>
      </c>
      <c r="FN274" s="6">
        <v>0</v>
      </c>
      <c r="FO274" s="6">
        <v>0</v>
      </c>
      <c r="FP274" s="6">
        <v>0</v>
      </c>
      <c r="FQ274" s="6">
        <v>0</v>
      </c>
      <c r="FR274" s="6">
        <v>0</v>
      </c>
      <c r="FS274" s="6">
        <v>0</v>
      </c>
      <c r="FT274" s="7">
        <v>0.80534332701738864</v>
      </c>
      <c r="FU274" s="7">
        <v>7.0810772599326346E-2</v>
      </c>
      <c r="FV274" s="7">
        <v>0.12384590038328504</v>
      </c>
      <c r="FW274" s="6">
        <v>2294</v>
      </c>
      <c r="FX274" s="6">
        <v>3759.4324879913333</v>
      </c>
      <c r="FY274" s="6">
        <v>946</v>
      </c>
      <c r="FZ274" s="6">
        <v>1817.4615072224267</v>
      </c>
      <c r="GA274" s="6">
        <v>2230.8241329501516</v>
      </c>
      <c r="GB274" s="6">
        <v>17754.175867049849</v>
      </c>
      <c r="GC274" s="7">
        <v>1.804905384453976E-2</v>
      </c>
      <c r="GD274" s="7">
        <v>1.9107480408230133E-2</v>
      </c>
      <c r="GE274" s="7"/>
      <c r="GF274" s="7"/>
      <c r="GG274" s="7">
        <v>5.8641664699259063E-2</v>
      </c>
      <c r="GH274" s="42">
        <v>2.8351708550125161</v>
      </c>
      <c r="GI274" s="6">
        <v>9279.7820342586365</v>
      </c>
      <c r="GJ274" s="14">
        <v>0.50394797582841733</v>
      </c>
      <c r="GK274" s="14">
        <v>0.50887573065309732</v>
      </c>
      <c r="GL274" s="14">
        <v>0.49605202417158284</v>
      </c>
      <c r="GM274" s="14">
        <v>0.49112426934690251</v>
      </c>
      <c r="GO274" s="5">
        <v>343.14810671672558</v>
      </c>
      <c r="GP274" s="5">
        <v>299.3829630362892</v>
      </c>
      <c r="GQ274" s="5">
        <v>535.04305713031317</v>
      </c>
      <c r="GR274" s="5">
        <v>410.15490233172511</v>
      </c>
      <c r="GS274" s="5">
        <v>339.42744393800166</v>
      </c>
      <c r="GT274" s="5">
        <v>293.4407446948278</v>
      </c>
      <c r="GU274" s="5">
        <v>258.04012322764959</v>
      </c>
      <c r="GV274" s="39" t="s">
        <v>392</v>
      </c>
      <c r="GW274" s="5">
        <v>435.90277777777777</v>
      </c>
      <c r="GX274" s="5">
        <v>326.92708333333331</v>
      </c>
      <c r="GY274" s="5">
        <v>261.54166666666669</v>
      </c>
      <c r="GZ274" s="5">
        <v>244.08461556458965</v>
      </c>
      <c r="HA274" s="5">
        <v>213.7761508432591</v>
      </c>
      <c r="HB274" s="39">
        <v>255.90221315426402</v>
      </c>
      <c r="HC274" s="5">
        <v>245.89687499999999</v>
      </c>
      <c r="HD274" s="5">
        <v>211.55677997076018</v>
      </c>
      <c r="HE274" s="5">
        <v>214.73562331309037</v>
      </c>
      <c r="HF274" s="5">
        <v>199.03250548245612</v>
      </c>
      <c r="HG274" s="5">
        <v>192.49971491228069</v>
      </c>
      <c r="HH274" s="39">
        <v>212.38854843074645</v>
      </c>
      <c r="HI274" s="16"/>
      <c r="HJ274" s="19" t="str">
        <f t="shared" ref="HJ274:HK275" si="834">HJ273</f>
        <v>On</v>
      </c>
      <c r="HK274" s="1" t="str">
        <f t="shared" si="818"/>
        <v>On</v>
      </c>
      <c r="HL274" s="16"/>
      <c r="HM274" s="639">
        <f t="shared" si="775"/>
        <v>1.2768706344444866E-2</v>
      </c>
      <c r="HN274" s="639">
        <f t="shared" si="776"/>
        <v>9.795534288915453E-4</v>
      </c>
      <c r="HO274" s="639">
        <f t="shared" si="777"/>
        <v>3.3583061774515237E-3</v>
      </c>
      <c r="HP274" s="644">
        <f>(FT274*$GD274-HM274)/$JF274*INDEX(Input!$1:$1048576,$JG$93,$C274*2+6)</f>
        <v>190.32947664223704</v>
      </c>
      <c r="HQ274" s="644">
        <f>(FU274*$GD274-HN274)/$JF274*INDEX(Input!$1:$1048576,$JG$93,$C274*2+6)</f>
        <v>27.136556439141938</v>
      </c>
      <c r="HR274" s="644">
        <f>(FV274*$GD274-HO274)/$JF274*INDEX(Input!$1:$1048576,$JG$93,$C274*2+6)</f>
        <v>-72.075270390863949</v>
      </c>
      <c r="HS274" s="644">
        <f t="shared" si="767"/>
        <v>-66.832800909525631</v>
      </c>
      <c r="HT274" s="644">
        <f t="shared" si="778"/>
        <v>127.13153384488614</v>
      </c>
      <c r="HU274" s="644">
        <f t="shared" si="779"/>
        <v>17.436933934706584</v>
      </c>
      <c r="HV274" s="648">
        <f t="shared" si="780"/>
        <v>0</v>
      </c>
      <c r="HW274" s="648">
        <f t="shared" si="781"/>
        <v>0</v>
      </c>
      <c r="HX274" s="648">
        <f t="shared" si="782"/>
        <v>0</v>
      </c>
      <c r="HY274" s="644">
        <f>INDEX(Input!$1:$1048576,HY$93,$C274*2+6)*INDEX(Input!$1:$1048576,$JG$93,$C274*2+6)</f>
        <v>451</v>
      </c>
      <c r="HZ274" s="644">
        <f>INDEX(Input!$1:$1048576,HZ$93,$C274*2+6)*INDEX(Input!$1:$1048576,$JG$93,$C274*2+6)</f>
        <v>577</v>
      </c>
      <c r="IA274" s="644">
        <f>INDEX(Input!$1:$1048576,IA$93,$C274*2+6)*INDEX(Input!$1:$1048576,$JG$93,$C274*2+6)</f>
        <v>215</v>
      </c>
      <c r="IB274" s="644">
        <f t="shared" si="804"/>
        <v>574.49667573271131</v>
      </c>
      <c r="IC274" s="644">
        <f t="shared" si="805"/>
        <v>731.26809028402806</v>
      </c>
      <c r="ID274" s="644">
        <f>IF(AND(INDEX(Input!$1:$1048576,IA$93,$C274*2+7)="TOS",Y274&lt;=INDEX(Y:Y,MATCH(C274*1000+2,A:A))),0,1)*MAX(IA274+HR274+HU274+HX274,0%)</f>
        <v>160.36166354384264</v>
      </c>
      <c r="IE274" s="128">
        <f t="shared" si="768"/>
        <v>0.39184661305430235</v>
      </c>
      <c r="IF274" s="128">
        <f t="shared" si="783"/>
        <v>0.49877560048023889</v>
      </c>
      <c r="IG274" s="128">
        <f t="shared" si="784"/>
        <v>0.10937778646545863</v>
      </c>
      <c r="IH274" s="21"/>
      <c r="II274" s="19">
        <f t="shared" si="785"/>
        <v>1252</v>
      </c>
      <c r="IJ274" s="19">
        <f t="shared" si="786"/>
        <v>2011.9658773055378</v>
      </c>
      <c r="IK274" s="19">
        <f t="shared" si="787"/>
        <v>919</v>
      </c>
      <c r="IL274" s="19">
        <f t="shared" si="806"/>
        <v>1042</v>
      </c>
      <c r="IM274" s="19">
        <f t="shared" si="788"/>
        <v>1747.4666106857956</v>
      </c>
      <c r="IN274" s="19">
        <f t="shared" si="789"/>
        <v>27</v>
      </c>
      <c r="IO274" s="39">
        <f t="shared" si="790"/>
        <v>0</v>
      </c>
      <c r="IP274" s="39">
        <f t="shared" si="791"/>
        <v>0</v>
      </c>
      <c r="IQ274" s="39">
        <f t="shared" si="792"/>
        <v>0</v>
      </c>
      <c r="IR274" s="39">
        <v>0</v>
      </c>
      <c r="IS274" s="39">
        <v>0</v>
      </c>
      <c r="IT274" s="39">
        <v>0</v>
      </c>
      <c r="IU274" s="39">
        <v>0</v>
      </c>
      <c r="IV274" s="39">
        <v>0</v>
      </c>
      <c r="IW274" s="39">
        <v>0</v>
      </c>
      <c r="IX274" s="39">
        <f>INDEX(Input!$1:$1048576,IX$93,$C274*2+6)+INDEX(Input!$1:$1048576,IX$94,$C274*2+6)</f>
        <v>1294</v>
      </c>
      <c r="IY274" s="39">
        <f>INDEX(Input!$1:$1048576,IY$93,$C274*2+6)+INDEX(Input!$1:$1048576,IY$94,$C274*2+6)</f>
        <v>2154.0624533823611</v>
      </c>
      <c r="IZ274" s="39">
        <f>INDEX(Input!$1:$1048576,IZ$93,$C274*2+6)+INDEX(Input!$1:$1048576,IZ$94,$C274*2+6)</f>
        <v>3677.7164157747848</v>
      </c>
      <c r="JA274" s="19">
        <f t="shared" si="807"/>
        <v>2336</v>
      </c>
      <c r="JB274" s="19">
        <f t="shared" si="808"/>
        <v>3901.5290640681569</v>
      </c>
      <c r="JC274" s="19">
        <f t="shared" si="809"/>
        <v>3704.7164157747848</v>
      </c>
      <c r="JD274" s="19">
        <f t="shared" si="810"/>
        <v>3266.5548708562433</v>
      </c>
      <c r="JE274" s="21"/>
      <c r="JF274" s="1">
        <f t="shared" si="793"/>
        <v>1.7106565950787935E-2</v>
      </c>
      <c r="JG274" s="15">
        <f>INDEX(Input!$1:$1048576,JG$93,$C274*2+6)/(1+VLOOKUP(C274*1000+INDEX(Input!$1:$1048576,JG$93+1,$C274*2+6),$A:$KK,$JK$92,FALSE))</f>
        <v>1243</v>
      </c>
      <c r="JH274" s="1">
        <f t="shared" si="811"/>
        <v>0.11696762887410703</v>
      </c>
      <c r="JI274" s="1">
        <f t="shared" si="812"/>
        <v>6.2538750498847218E-2</v>
      </c>
      <c r="JJ274" s="1">
        <f t="shared" si="769"/>
        <v>0</v>
      </c>
      <c r="JK274" s="1">
        <f t="shared" si="770"/>
        <v>0.17950637937295424</v>
      </c>
      <c r="JL274" s="15">
        <f t="shared" si="813"/>
        <v>223.12642956058212</v>
      </c>
      <c r="JM274" s="15">
        <f t="shared" si="830"/>
        <v>1466.1264295605822</v>
      </c>
      <c r="JN274" s="21"/>
      <c r="JO274" s="19">
        <f>INDEX(Input!$1:$1048576,JO$93,$C274*2+6)</f>
        <v>5995.5</v>
      </c>
      <c r="JP274" s="19">
        <f>INDEX(Input!$1:$1048576,JP$93,$C274*2+6)</f>
        <v>2105.548724853742</v>
      </c>
      <c r="JQ274" s="39">
        <f t="shared" si="819"/>
        <v>2728.9451291437567</v>
      </c>
      <c r="JR274" s="39">
        <f t="shared" si="833"/>
        <v>1161.0061460025013</v>
      </c>
      <c r="JS274" s="39">
        <f t="shared" si="820"/>
        <v>4.7891824297721923</v>
      </c>
      <c r="JT274" s="39">
        <f t="shared" si="814"/>
        <v>2.1719853647789913</v>
      </c>
      <c r="JU274" s="385">
        <f>(JQ274*JM274-INDEX(Input!$1:$1048576,Input!A$18,$C274*2+6)*JL274*INDEX(Input!$1:$1048576,Input!A$19,$C274*2+6))/1000000</f>
        <v>4.0009785786582777</v>
      </c>
      <c r="JV274" s="39">
        <f t="shared" si="712"/>
        <v>-0.83423085634852079</v>
      </c>
      <c r="JW274" s="1">
        <f t="shared" si="831"/>
        <v>-0.17253251747663911</v>
      </c>
      <c r="JX274" s="19">
        <f t="shared" si="824"/>
        <v>9734.3258217165403</v>
      </c>
      <c r="JZ274" s="341"/>
      <c r="KA274" s="342"/>
      <c r="KB274" s="469">
        <f t="shared" si="821"/>
        <v>2.5660492421988774</v>
      </c>
      <c r="KI274" s="473">
        <f t="shared" si="771"/>
        <v>123.49667573271131</v>
      </c>
      <c r="KJ274" s="473">
        <f t="shared" si="772"/>
        <v>154.26809028402806</v>
      </c>
      <c r="KK274" s="473">
        <f t="shared" si="815"/>
        <v>-54.638336456157361</v>
      </c>
      <c r="KN274" s="544">
        <f t="shared" si="825"/>
        <v>2002</v>
      </c>
      <c r="KO274" s="541">
        <f t="shared" si="794"/>
        <v>0.17255702704140785</v>
      </c>
      <c r="KP274" s="546">
        <f t="shared" si="795"/>
        <v>1242.4911789801986</v>
      </c>
      <c r="KQ274" s="546">
        <f t="shared" si="796"/>
        <v>1122.8745314227704</v>
      </c>
      <c r="KR274" s="548">
        <f t="shared" si="797"/>
        <v>2.477800350783693</v>
      </c>
      <c r="KS274" s="548">
        <f t="shared" si="798"/>
        <v>2.7417534131991528</v>
      </c>
      <c r="KT274" s="473">
        <f t="shared" si="822"/>
        <v>843.26993010479111</v>
      </c>
      <c r="KU274" s="663">
        <f t="shared" si="816"/>
        <v>4.5190036590985034</v>
      </c>
    </row>
    <row r="275" spans="1:307" s="26" customFormat="1" ht="15" outlineLevel="1">
      <c r="A275" s="561">
        <f t="shared" si="799"/>
        <v>2075</v>
      </c>
      <c r="B275" s="561">
        <f t="shared" si="817"/>
        <v>75</v>
      </c>
      <c r="C275" s="561">
        <f t="shared" si="760"/>
        <v>2</v>
      </c>
      <c r="D275" s="561" t="str">
        <f t="shared" si="728"/>
        <v xml:space="preserve">-500 OLP/CBP, </v>
      </c>
      <c r="E275" s="475">
        <f>INDEX(Input!$1:$1048576,E$93,$C275*2+MIN($B275,2)+5)
+INDEX(Scenarios!E$121:E$200,MATCH($B275,Scenarios!$B$121:$B$200,0))</f>
        <v>1269.7618664521319</v>
      </c>
      <c r="F275" s="475">
        <f>INDEX(Input!$1:$1048576,F$93,$C275*2+MIN($B275,2)+5)
+INDEX(Scenarios!F$121:F$200,MATCH($B275,Scenarios!$B$121:$B$200,0))</f>
        <v>0</v>
      </c>
      <c r="G275" s="475">
        <f>INDEX(Input!$1:$1048576,G$93,$C275*2+MIN($B275,2)+5)
+INDEX(Scenarios!G$121:G$200,MATCH($B275,Scenarios!$B$121:$B$200,0))</f>
        <v>0</v>
      </c>
      <c r="H275" s="475">
        <f>INDEX(Input!$1:$1048576,H$93,$C275*2+MIN($B275,2)+5)
+INDEX(Scenarios!H$121:H$200,MATCH($B275,Scenarios!$B$121:$B$200,0))</f>
        <v>0</v>
      </c>
      <c r="I275" s="476">
        <f>INDEX(Input!$1:$1048576,I$93,$C275*2+MIN($B275,2)+5)</f>
        <v>0.7</v>
      </c>
      <c r="J275" s="476" t="str">
        <f>INDEX(Input!$1:$1048576,J$93,$C275*2+MIN($B275,2)+5)</f>
        <v>Market</v>
      </c>
      <c r="K275" s="476" t="str">
        <f>INDEX(Input!$1:$1048576,K$93,$C275*2+MIN($B275,2)+5)</f>
        <v>Market</v>
      </c>
      <c r="L275" s="476" t="str">
        <f>INDEX(Input!$1:$1048576,L$93,$C275*2+MIN($B275,2)+5)</f>
        <v>Market</v>
      </c>
      <c r="M275" s="476" t="str">
        <f>INDEX(Input!$1:$1048576,M$93,$C275*2+MIN($B275,2)+5)</f>
        <v>Market</v>
      </c>
      <c r="N275" s="476" t="str">
        <f>INDEX(Input!$1:$1048576,N$93,$C275*2+MIN($B275,2)+5)</f>
        <v>Market</v>
      </c>
      <c r="O275" s="476" t="str">
        <f>INDEX(Input!$1:$1048576,O$93,$C275*2+MIN($B275,2)+5)</f>
        <v>Market</v>
      </c>
      <c r="P275" s="476" t="str">
        <f>INDEX(Input!$1:$1048576,P$93,$C275*2+MIN($B275,2)+5)</f>
        <v>N</v>
      </c>
      <c r="Q275" s="477">
        <f>INDEX(Input!$1:$1048576,Q$93,$C275*2+MIN($B275,2)+5)
+INDEX(Scenarios!Q$121:Q$200,MATCH($B275,Scenarios!$B$121:$B$200,0))</f>
        <v>0</v>
      </c>
      <c r="R275" s="478">
        <f>IFERROR(MAX(0,INDEX(Input!$1:$1048576,R$93,$C275*2+MIN($B275,2)+5)
+INDEX(Scenarios!R$121:R$200,MATCH($B275,Scenarios!$B$121:$B$200,0)),),"Market")</f>
        <v>0</v>
      </c>
      <c r="S275" s="478">
        <f>IFERROR(MAX(0,INDEX(Input!$1:$1048576,S$93,$C275*2+MIN($B275,2)+5)
+INDEX(Scenarios!S$121:S$200,MATCH($B275,Scenarios!$B$121:$B$200,0)),),"Market")</f>
        <v>0</v>
      </c>
      <c r="T275" s="478">
        <f>IFERROR(MAX(0,INDEX(Input!$1:$1048576,T$93,$C275*2+MIN($B275,2)+5)
+INDEX(Scenarios!T$121:T$200,MATCH($B275,Scenarios!$B$121:$B$200,0)),),"Market")</f>
        <v>0</v>
      </c>
      <c r="U275" s="478">
        <f>IFERROR(MAX(0,INDEX(Input!$1:$1048576,U$93,$C275*2+MIN($B275,2)+5)
+INDEX(Scenarios!U$121:U$200,MATCH($B275,Scenarios!$B$121:$B$200,0)),),"Market")</f>
        <v>0</v>
      </c>
      <c r="V275" s="478">
        <f>IFERROR(MAX(0,INDEX(Input!$1:$1048576,V$93,$C275*2+MIN($B275,2)+5)
+INDEX(Scenarios!V$121:V$200,MATCH($B275,Scenarios!$B$121:$B$200,0)),),"Market")</f>
        <v>1.9E-2</v>
      </c>
      <c r="W275" s="885">
        <f>IFERROR(MAX(0,INDEX(Input!$1:$1048576,W$93,$C275*2+MIN($B275,2)+5)-0%,),"Market")</f>
        <v>3.9E-2</v>
      </c>
      <c r="X275" s="476" t="str">
        <f>INDEX(Input!$1:$1048576,X$93,$C275*2+MIN($B275,2)+5)</f>
        <v>Y</v>
      </c>
      <c r="Y275" s="475">
        <f>INDEX(Input!$1:$1048576,Y$93,$C275*2+MIN($B275,2)+5)
++INDEX(Scenarios!Y$121:Y$200,MATCH($B275,Scenarios!$B$121:$B$200,0))</f>
        <v>56</v>
      </c>
      <c r="Z275" s="477">
        <f>INDEX(Input!$1:$1048576,Z$93,$C275*2+MIN($B275,2)+5)
+INDEX(Scenarios!Z$121:Z$200,MATCH($B275,Scenarios!$B$121:$B$200,0))</f>
        <v>0</v>
      </c>
      <c r="AA275" s="475">
        <f>INDEX(Input!$1:$1048576,AA$93,$C275*2+MIN($B275,2)+5)
+INDEX(Scenarios!AA$121:AA$200,MATCH($B275,Scenarios!$B$121:$B$200,0))</f>
        <v>0</v>
      </c>
      <c r="AB275" s="476">
        <f>INDEX(Input!$1:$1048576,AB$93,$C275*2+MIN($B275,2)+5)</f>
        <v>0.27</v>
      </c>
      <c r="AC275" s="475">
        <f>INDEX(Input!$1:$1048576,AC$93,$C275*2+MIN($B275,2)+5)
+INDEX(Scenarios!AC$121:AC$200,MATCH($B275,Scenarios!$B$121:$B$200,0))</f>
        <v>0</v>
      </c>
      <c r="AD275" s="476">
        <f>INDEX(Input!$1:$1048576,AD$93,$C275*2+MIN($B275,2)+5)</f>
        <v>0.27</v>
      </c>
      <c r="AE275" s="475">
        <f>INDEX(Input!$1:$1048576,AE$93,$C275*2+MIN($B275,2)+5)
+INDEX(Scenarios!AE$121:AE$200,MATCH($B275,Scenarios!$B$121:$B$200,0))</f>
        <v>-500</v>
      </c>
      <c r="AF275" s="476">
        <f>INDEX(Input!$1:$1048576,AF$93,$C275*2+MIN($B275,2)+5)</f>
        <v>4.8000000000000001E-2</v>
      </c>
      <c r="AG275" s="475">
        <f>INDEX(Input!$1:$1048576,AG$93,$C275*2+MIN($B275,2)+5)
+INDEX(Scenarios!AG$121:AG$200,MATCH($B275,Scenarios!$B$121:$B$200,0))</f>
        <v>500</v>
      </c>
      <c r="AH275" s="476">
        <f>INDEX(Input!$1:$1048576,AH$93,$C275*2+MIN($B275,2)+5)</f>
        <v>0.94599999999999995</v>
      </c>
      <c r="AI275" s="475">
        <f>INDEX(Input!$1:$1048576,AI$93,$C275*2+MIN($B275,2)+5)
+INDEX(Scenarios!AI$121:AI$200,MATCH($B275,Scenarios!$B$121:$B$200,0))</f>
        <v>0</v>
      </c>
      <c r="AJ275" s="476">
        <f>INDEX(Input!$1:$1048576,AJ$93,$C275*2+MIN($B275,2)+5)</f>
        <v>0.27</v>
      </c>
      <c r="AK275" s="150">
        <f>ROUND(INDEX(Input!$1:$1048576,AK$93,$C274*2+MIN($B275,1)+5)+(Y275-VLOOKUP($C275*1000+1,$A:$HH,Y$92,FALSE)),0)</f>
        <v>2977</v>
      </c>
      <c r="AL275" s="150">
        <f>ROUND(INDEX(Input!$1:$1048576,AL$93,$C274*2+MIN($B275,1)+5)-(Y275-VLOOKUP($C275*1000+1,$A:$HH,Y$92,FALSE))/36,0)</f>
        <v>3395</v>
      </c>
      <c r="AM275" s="32" t="str">
        <f t="shared" si="800"/>
        <v>std/std/std/std</v>
      </c>
      <c r="AN275" s="32" t="str">
        <f t="shared" si="801"/>
        <v>$0 + 0/0/0/1.9/3.9</v>
      </c>
      <c r="AO275" s="32" t="str">
        <f t="shared" si="802"/>
        <v>0/0/0/1.9/3.9</v>
      </c>
      <c r="AP275" s="32" t="str">
        <f t="shared" si="734"/>
        <v>0/0.9/1.9/3.9</v>
      </c>
      <c r="AQ275" s="536">
        <f t="shared" si="733"/>
        <v>-23.636286076102081</v>
      </c>
      <c r="AR275" s="32"/>
      <c r="AS275" s="302"/>
      <c r="AT275" s="3">
        <f t="shared" si="717"/>
        <v>75</v>
      </c>
      <c r="AU275" s="41" t="s">
        <v>121</v>
      </c>
      <c r="AV275" s="41" t="s">
        <v>116</v>
      </c>
      <c r="AW275" s="41" t="str">
        <f>INDEX(Input!$1:$1048576,AW$93,$C275*2+6)</f>
        <v>Kia</v>
      </c>
      <c r="AX275" s="41" t="str">
        <f>INDEX(Input!$1:$1048576,AX$93,$C275*2+6)</f>
        <v>Kia-LR - L2</v>
      </c>
      <c r="AY275" s="41" t="str">
        <f>IF(LEN(D275)=0,"",INDEX(Input!$1:$1048576,AY$93,$C275*2+6))</f>
        <v>Compact SUV (52)</v>
      </c>
      <c r="AZ275" s="41" t="str">
        <f>INDEX(Input!$1:$1048576,AZ$93,$C275*2+6)</f>
        <v>Kia Soul</v>
      </c>
      <c r="BA275" s="3">
        <f>INDEX(Input!$1:$1048576,BA$93,$C275*2+6)</f>
        <v>2020</v>
      </c>
      <c r="BB275" s="128">
        <f>INDEX(Input!$1:$1048576,BB$93,$C275*2+6)</f>
        <v>1</v>
      </c>
      <c r="BC275" s="128">
        <f>INDEX(Input!$1:$1048576,BC$93,$C275*2+6)</f>
        <v>0.7</v>
      </c>
      <c r="BD275" s="1">
        <f>INDEX(Input!$1:$1048576,BD$93,$C275*2+6)</f>
        <v>4.4999999999999998E-2</v>
      </c>
      <c r="BE275" s="1">
        <f>INDEX(Input!$1:$1048576,BE$93,$C275*2+6)</f>
        <v>4.4999999999999998E-2</v>
      </c>
      <c r="BF275" s="1">
        <f>INDEX(Input!$1:$1048576,BF$93,$C275*2+6)</f>
        <v>0.05</v>
      </c>
      <c r="BG275" s="1">
        <f>INDEX(Input!$1:$1048576,BG$93,$C275*2+6)</f>
        <v>5.45E-2</v>
      </c>
      <c r="BH275" s="1">
        <f>INDEX(Input!$1:$1048576,BH$93,$C275*2+6)</f>
        <v>5.45E-2</v>
      </c>
      <c r="BI275" s="1">
        <f>INDEX(Input!$1:$1048576,BI$93,$C275*2+6)</f>
        <v>0.05</v>
      </c>
      <c r="BJ275" s="1">
        <f>INDEX(Input!$1:$1048576,BJ$93,$C275*2+6)</f>
        <v>0.05</v>
      </c>
      <c r="BK275" s="1">
        <f>INDEX(Input!$1:$1048576,BK$93,$C275*2+6)</f>
        <v>0.05</v>
      </c>
      <c r="BL275" s="1">
        <f>INDEX(Input!$1:$1048576,BL$93,$C275*2+6)</f>
        <v>5.5E-2</v>
      </c>
      <c r="BM275" s="1">
        <f>INDEX(Input!$1:$1048576,BM$93,$C275*2+6)</f>
        <v>0.06</v>
      </c>
      <c r="BN275" s="1">
        <f>INDEX(Input!$1:$1048576,BN$93,$C275*2+6)</f>
        <v>4.4999999999999998E-2</v>
      </c>
      <c r="BO275" s="1">
        <f>INDEX(Input!$1:$1048576,BO$93,$C275*2+6)</f>
        <v>4.4999999999999998E-2</v>
      </c>
      <c r="BP275" s="1">
        <f>INDEX(Input!$1:$1048576,BP$93,$C275*2+6)</f>
        <v>0.05</v>
      </c>
      <c r="BQ275" s="1">
        <f>INDEX(Input!$1:$1048576,BQ$93,$C275*2+6)</f>
        <v>5.45E-2</v>
      </c>
      <c r="BR275" s="1">
        <f>INDEX(Input!$1:$1048576,BR$93,$C275*2+6)</f>
        <v>5.45E-2</v>
      </c>
      <c r="BS275" s="1">
        <f>INDEX(Input!$1:$1048576,BS$93,$C275*2+6)</f>
        <v>0.05</v>
      </c>
      <c r="BT275" s="1">
        <f>INDEX(Input!$1:$1048576,BT$93,$C275*2+6)</f>
        <v>0.05</v>
      </c>
      <c r="BU275" s="1">
        <f>INDEX(Input!$1:$1048576,BU$93,$C275*2+6)</f>
        <v>0.05</v>
      </c>
      <c r="BV275" s="1">
        <f>INDEX(Input!$1:$1048576,BV$93,$C275*2+6)</f>
        <v>5.5E-2</v>
      </c>
      <c r="BW275" s="1">
        <f>INDEX(Input!$1:$1048576,BW$93,$C275*2+6)</f>
        <v>0.06</v>
      </c>
      <c r="BX275" s="127">
        <f>INDEX(Input!$1:$1048576,BX$93,$C275*2+6)</f>
        <v>19985</v>
      </c>
      <c r="BY275" s="20">
        <f>INDEX(Input!$1:$1048576,BY$93,$C275*2+6)</f>
        <v>0.1</v>
      </c>
      <c r="BZ275" s="20">
        <f>INDEX(Input!$1:$1048576,BZ$93,$C275*2+6)</f>
        <v>0.1</v>
      </c>
      <c r="CA275" s="20">
        <f>INDEX(Input!$1:$1048576,CA$93,$C275*2+6)</f>
        <v>0.1</v>
      </c>
      <c r="CB275" s="20">
        <f>INDEX(Input!$1:$1048576,CB$93,$C275*2+6)</f>
        <v>0.1</v>
      </c>
      <c r="CC275" s="20">
        <f>INDEX(Input!$1:$1048576,CC$93,$C275*2+6)</f>
        <v>0.1</v>
      </c>
      <c r="CD275" s="384">
        <f>INDEX(Input!$1:$1048576,CD$93,$C275*2+6)</f>
        <v>0.1</v>
      </c>
      <c r="CE275" s="384">
        <f>INDEX(Input!$1:$1048576,CE$93,$C275*2+6)</f>
        <v>0.1</v>
      </c>
      <c r="CF275" s="384">
        <f>INDEX(Input!$1:$1048576,CF$93,$C275*2+6)</f>
        <v>0.1</v>
      </c>
      <c r="CG275" s="384">
        <f>INDEX(Input!$1:$1048576,CG$93,$C275*2+6)</f>
        <v>0.1</v>
      </c>
      <c r="CH275" s="384">
        <f>INDEX(Input!$1:$1048576,CH$93,$C275*2+6)</f>
        <v>0.1</v>
      </c>
      <c r="CI275" s="304">
        <f t="shared" si="735"/>
        <v>1269.7618664521319</v>
      </c>
      <c r="CJ275" s="16" t="str">
        <f>INDEX(Input!$1:$1048576,CJ$93,$C275*2+6)</f>
        <v>N</v>
      </c>
      <c r="CK275" s="1" t="str">
        <f t="shared" si="736"/>
        <v>Market</v>
      </c>
      <c r="CL275" s="1" t="str">
        <f t="shared" si="737"/>
        <v>Market</v>
      </c>
      <c r="CM275" s="1" t="str">
        <f t="shared" si="738"/>
        <v>Market</v>
      </c>
      <c r="CN275" s="1" t="str">
        <f t="shared" si="739"/>
        <v>Market</v>
      </c>
      <c r="CO275" s="1" t="str">
        <f t="shared" si="740"/>
        <v>Market</v>
      </c>
      <c r="CP275" s="304">
        <f t="shared" si="741"/>
        <v>473</v>
      </c>
      <c r="CQ275" s="1">
        <f t="shared" si="742"/>
        <v>0</v>
      </c>
      <c r="CR275" s="1">
        <f t="shared" si="743"/>
        <v>0</v>
      </c>
      <c r="CS275" s="1">
        <f t="shared" si="744"/>
        <v>0</v>
      </c>
      <c r="CT275" s="1">
        <f t="shared" si="745"/>
        <v>1.9E-2</v>
      </c>
      <c r="CU275" s="1">
        <f t="shared" si="746"/>
        <v>3.9E-2</v>
      </c>
      <c r="CV275" s="304">
        <f t="shared" si="747"/>
        <v>56</v>
      </c>
      <c r="CW275" s="20" t="s">
        <v>122</v>
      </c>
      <c r="CX275" s="20" t="s">
        <v>122</v>
      </c>
      <c r="CY275" s="20" t="s">
        <v>122</v>
      </c>
      <c r="CZ275" s="20" t="s">
        <v>122</v>
      </c>
      <c r="DA275" s="20" t="s">
        <v>122</v>
      </c>
      <c r="DB275" s="503">
        <f t="shared" si="748"/>
        <v>-24</v>
      </c>
      <c r="DC275" s="127">
        <v>0</v>
      </c>
      <c r="DD275" s="127">
        <v>0</v>
      </c>
      <c r="DE275" s="127">
        <v>0</v>
      </c>
      <c r="DF275" s="127">
        <v>0</v>
      </c>
      <c r="DG275" s="127">
        <v>0</v>
      </c>
      <c r="DH275" s="127">
        <v>0</v>
      </c>
      <c r="DI275" s="127">
        <v>0</v>
      </c>
      <c r="DJ275" s="127">
        <v>0</v>
      </c>
      <c r="DK275" s="127">
        <v>0</v>
      </c>
      <c r="DL275" s="127">
        <v>0</v>
      </c>
      <c r="DM275" s="304">
        <f>INDEX(Input!$1:$1048576,DM$93,$C275*2+6)</f>
        <v>21036.84210526316</v>
      </c>
      <c r="DN275" s="20">
        <v>0</v>
      </c>
      <c r="DO275" s="20">
        <v>0</v>
      </c>
      <c r="DP275" s="20">
        <v>0</v>
      </c>
      <c r="DQ275" s="20">
        <v>0</v>
      </c>
      <c r="DR275" s="20">
        <v>0</v>
      </c>
      <c r="DS275" s="20">
        <f>INDEX(Input!$1:$1048576,DS$93,$C275*2+6)</f>
        <v>0.6</v>
      </c>
      <c r="DT275" s="20">
        <f>INDEX(Input!$1:$1048576,DT$93,$C275*2+6)</f>
        <v>0.55000000000000004</v>
      </c>
      <c r="DU275" s="20">
        <f>INDEX(Input!$1:$1048576,DU$93,$C275*2+6)</f>
        <v>0.52</v>
      </c>
      <c r="DV275" s="20">
        <f>INDEX(Input!$1:$1048576,DV$93,$C275*2+6)</f>
        <v>0.5</v>
      </c>
      <c r="DW275" s="20">
        <f>INDEX(Input!$1:$1048576,DW$93,$C275*2+6)</f>
        <v>0.45</v>
      </c>
      <c r="DX275" s="20"/>
      <c r="DY275" s="7">
        <v>9.2236789478088763E-2</v>
      </c>
      <c r="DZ275" s="7">
        <v>0</v>
      </c>
      <c r="EA275" s="7">
        <v>0.65538018014415655</v>
      </c>
      <c r="EB275" s="7">
        <v>0</v>
      </c>
      <c r="EC275" s="7">
        <v>0</v>
      </c>
      <c r="ED275" s="7">
        <v>0</v>
      </c>
      <c r="EE275" s="7">
        <v>0</v>
      </c>
      <c r="EF275" s="7">
        <v>0</v>
      </c>
      <c r="EG275" s="7">
        <v>0</v>
      </c>
      <c r="EH275" s="7">
        <v>1.4260831956252015E-2</v>
      </c>
      <c r="EI275" s="7">
        <v>4.0589236088366454E-2</v>
      </c>
      <c r="EJ275" s="7">
        <v>0.30723124891540199</v>
      </c>
      <c r="EK275" s="7">
        <v>0.5267279753404509</v>
      </c>
      <c r="EL275" s="7">
        <v>0.1111907076995282</v>
      </c>
      <c r="EM275" s="7">
        <v>5.7336796115188549E-2</v>
      </c>
      <c r="EN275" s="7">
        <v>6.545913501558262E-2</v>
      </c>
      <c r="EO275" s="7">
        <v>0.73152897123617555</v>
      </c>
      <c r="EP275" s="7">
        <v>8.7940253124476939E-2</v>
      </c>
      <c r="EQ275" s="7">
        <v>7.501757168024753E-2</v>
      </c>
      <c r="ER275" s="7">
        <v>4.0054068943517721E-2</v>
      </c>
      <c r="ES275" s="7">
        <v>0.19504623426256612</v>
      </c>
      <c r="ET275" s="7">
        <v>0.25238303037775472</v>
      </c>
      <c r="EU275" s="6">
        <v>1270</v>
      </c>
      <c r="EV275" s="6">
        <v>0</v>
      </c>
      <c r="EW275" s="6">
        <v>1270</v>
      </c>
      <c r="EX275" s="6">
        <v>0</v>
      </c>
      <c r="EY275" s="6">
        <v>2029.9674646232691</v>
      </c>
      <c r="EZ275" s="6">
        <v>922</v>
      </c>
      <c r="FA275" s="6">
        <v>0</v>
      </c>
      <c r="FB275" s="6">
        <v>0</v>
      </c>
      <c r="FC275" s="6">
        <v>0</v>
      </c>
      <c r="FD275" s="6">
        <v>0</v>
      </c>
      <c r="FE275" s="6">
        <v>0</v>
      </c>
      <c r="FF275" s="6">
        <v>0</v>
      </c>
      <c r="FG275" s="6">
        <v>0</v>
      </c>
      <c r="FH275" s="6">
        <v>1173.7300808506491</v>
      </c>
      <c r="FI275" s="6">
        <v>1553.9796069512404</v>
      </c>
      <c r="FJ275" s="6">
        <v>2101.2110117447405</v>
      </c>
      <c r="FK275" s="6">
        <v>1772.7139978623234</v>
      </c>
      <c r="FL275" s="6">
        <v>907.07682140966313</v>
      </c>
      <c r="FM275" s="6">
        <v>1759.9674646232691</v>
      </c>
      <c r="FN275" s="6">
        <v>0</v>
      </c>
      <c r="FO275" s="6">
        <v>0</v>
      </c>
      <c r="FP275" s="6">
        <v>0</v>
      </c>
      <c r="FQ275" s="6">
        <v>0</v>
      </c>
      <c r="FR275" s="6">
        <v>0</v>
      </c>
      <c r="FS275" s="6">
        <v>0</v>
      </c>
      <c r="FT275" s="7">
        <v>0.74761696962224533</v>
      </c>
      <c r="FU275" s="7">
        <v>5.7336796115188549E-2</v>
      </c>
      <c r="FV275" s="7">
        <v>0.19504623426256612</v>
      </c>
      <c r="FW275" s="6">
        <v>1270</v>
      </c>
      <c r="FX275" s="6">
        <v>2029.9674646232691</v>
      </c>
      <c r="FY275" s="6">
        <v>922</v>
      </c>
      <c r="FZ275" s="6">
        <v>1817.4615072224267</v>
      </c>
      <c r="GA275" s="6">
        <v>1245.6980100499081</v>
      </c>
      <c r="GB275" s="6">
        <v>18739.301989950091</v>
      </c>
      <c r="GC275" s="7">
        <v>1.804905384453976E-2</v>
      </c>
      <c r="GD275" s="7">
        <v>1.7138728196832966E-2</v>
      </c>
      <c r="GE275" s="7"/>
      <c r="GF275" s="7"/>
      <c r="GG275" s="7">
        <v>-5.0436197683691224E-2</v>
      </c>
      <c r="GH275" s="42">
        <v>1.7629096920198011</v>
      </c>
      <c r="GI275" s="6">
        <v>12582.069969695091</v>
      </c>
      <c r="GJ275" s="14">
        <v>0.50394797582841699</v>
      </c>
      <c r="GK275" s="14">
        <v>0.50887573065309699</v>
      </c>
      <c r="GL275" s="14">
        <v>0.49605202417158262</v>
      </c>
      <c r="GM275" s="14">
        <v>0.49112426934690218</v>
      </c>
      <c r="GO275" s="5">
        <v>343.14810671672558</v>
      </c>
      <c r="GP275" s="5">
        <v>318.91892952659737</v>
      </c>
      <c r="GQ275" s="5">
        <v>535.04305713031317</v>
      </c>
      <c r="GR275" s="5">
        <v>410.15490233172511</v>
      </c>
      <c r="GS275" s="5">
        <v>339.42744393800166</v>
      </c>
      <c r="GT275" s="5">
        <v>293.4407446948278</v>
      </c>
      <c r="GU275" s="5">
        <v>258.04012322764959</v>
      </c>
      <c r="GV275" s="39" t="s">
        <v>392</v>
      </c>
      <c r="GW275" s="5">
        <v>492.125</v>
      </c>
      <c r="GX275" s="5">
        <v>369.09375</v>
      </c>
      <c r="GY275" s="5">
        <v>295.27499999999998</v>
      </c>
      <c r="GZ275" s="5">
        <v>260.54902799031458</v>
      </c>
      <c r="HA275" s="5">
        <v>241.34874471337258</v>
      </c>
      <c r="HB275" s="39">
        <v>276.79125202478991</v>
      </c>
      <c r="HC275" s="5">
        <v>246.94687499999998</v>
      </c>
      <c r="HD275" s="5">
        <v>212.27344663742687</v>
      </c>
      <c r="HE275" s="5">
        <v>215.40100792847502</v>
      </c>
      <c r="HF275" s="5">
        <v>199.58750548245612</v>
      </c>
      <c r="HG275" s="5">
        <v>192.95971491228067</v>
      </c>
      <c r="HH275" s="39">
        <v>213.09291575566283</v>
      </c>
      <c r="HI275" s="16"/>
      <c r="HJ275" s="19" t="str">
        <f t="shared" si="834"/>
        <v>On</v>
      </c>
      <c r="HK275" s="1" t="str">
        <f t="shared" si="834"/>
        <v>On</v>
      </c>
      <c r="HL275" s="16"/>
      <c r="HM275" s="639">
        <f t="shared" si="775"/>
        <v>1.2768706344444866E-2</v>
      </c>
      <c r="HN275" s="639">
        <f t="shared" si="776"/>
        <v>9.795534288915453E-4</v>
      </c>
      <c r="HO275" s="639">
        <f t="shared" si="777"/>
        <v>3.3583061774515237E-3</v>
      </c>
      <c r="HP275" s="644">
        <f>(FT275*$GD275-HM275)/$JF275*INDEX(Input!$1:$1048576,$JG$93,$C275*2+6)</f>
        <v>3.2332984229429025</v>
      </c>
      <c r="HQ275" s="644">
        <f>(FU275*$GD275-HN275)/$JF275*INDEX(Input!$1:$1048576,$JG$93,$C275*2+6)</f>
        <v>0.22716627745313911</v>
      </c>
      <c r="HR275" s="644">
        <f>(FV275*$GD275-HO275)/$JF275*INDEX(Input!$1:$1048576,$JG$93,$C275*2+6)</f>
        <v>-1.1234864927895984</v>
      </c>
      <c r="HS275" s="644">
        <f t="shared" si="767"/>
        <v>-1.1410850691593624</v>
      </c>
      <c r="HT275" s="644">
        <f t="shared" ref="HT275" si="835">IF(AND(HJ275="On",HK275="On"),IM275/1000*INDEX(KG:KG,MATCH(C275*1000+4,$KF:$KF,0))*SUM(HY275:IA275)*1.1
+INDEX(HR:HR,MATCH(C275*1000+3,$KF:$KF,0))/INDEX(IL:IL,MATCH(C275*1000+3,$KF:$KF,0))*IL275*20%,0)</f>
        <v>1.2051255695687213</v>
      </c>
      <c r="HU275" s="644">
        <f t="shared" si="779"/>
        <v>0.33686368592376759</v>
      </c>
      <c r="HV275" s="648">
        <f t="shared" si="780"/>
        <v>0</v>
      </c>
      <c r="HW275" s="648">
        <f t="shared" si="781"/>
        <v>0</v>
      </c>
      <c r="HX275" s="648">
        <f t="shared" si="782"/>
        <v>0</v>
      </c>
      <c r="HY275" s="644">
        <f>INDEX(Input!$1:$1048576,HY$93,$C275*2+6)*INDEX(Input!$1:$1048576,$JG$93,$C275*2+6)</f>
        <v>451</v>
      </c>
      <c r="HZ275" s="644">
        <f>INDEX(Input!$1:$1048576,HZ$93,$C275*2+6)*INDEX(Input!$1:$1048576,$JG$93,$C275*2+6)</f>
        <v>577</v>
      </c>
      <c r="IA275" s="644">
        <f>INDEX(Input!$1:$1048576,IA$93,$C275*2+6)*INDEX(Input!$1:$1048576,$JG$93,$C275*2+6)</f>
        <v>215</v>
      </c>
      <c r="IB275" s="644">
        <f t="shared" si="804"/>
        <v>453.09221335378345</v>
      </c>
      <c r="IC275" s="644">
        <f t="shared" si="805"/>
        <v>578.43229184702193</v>
      </c>
      <c r="ID275" s="644">
        <f>IF(AND(INDEX(Input!$1:$1048576,IA$93,$C275*2+7)="TOS",Y275&lt;=INDEX(Y:Y,MATCH(C275*1000+2,A:A))),0,1)*MAX(IA275+HR275+HU275+HX275,0%)</f>
        <v>214.21337719313416</v>
      </c>
      <c r="IE275" s="128">
        <f t="shared" ref="IE275" si="836">IB275/SUM($IB275:$ID275)</f>
        <v>0.36371392389791846</v>
      </c>
      <c r="IF275" s="128">
        <f t="shared" ref="IF275" si="837">IC275/SUM($IB275:$ID275)</f>
        <v>0.46432905350477599</v>
      </c>
      <c r="IG275" s="128">
        <f t="shared" ref="IG275:IG283" si="838">ID275/SUM($IB275:$ID275)</f>
        <v>0.1719570225973055</v>
      </c>
      <c r="IH275" s="21"/>
      <c r="II275" s="19">
        <f t="shared" si="785"/>
        <v>1252</v>
      </c>
      <c r="IJ275" s="19">
        <f t="shared" si="786"/>
        <v>2011.9658773055378</v>
      </c>
      <c r="IK275" s="19">
        <f t="shared" si="787"/>
        <v>919</v>
      </c>
      <c r="IL275" s="19">
        <f t="shared" si="806"/>
        <v>18</v>
      </c>
      <c r="IM275" s="19">
        <f t="shared" si="788"/>
        <v>18.001587317731264</v>
      </c>
      <c r="IN275" s="19">
        <f t="shared" si="789"/>
        <v>3</v>
      </c>
      <c r="IO275" s="39">
        <f t="shared" si="790"/>
        <v>0</v>
      </c>
      <c r="IP275" s="39">
        <f t="shared" si="791"/>
        <v>0</v>
      </c>
      <c r="IQ275" s="39">
        <f t="shared" si="792"/>
        <v>0</v>
      </c>
      <c r="IR275" s="39">
        <v>0</v>
      </c>
      <c r="IS275" s="39">
        <v>0</v>
      </c>
      <c r="IT275" s="39">
        <v>0</v>
      </c>
      <c r="IU275" s="39">
        <v>0</v>
      </c>
      <c r="IV275" s="39">
        <v>0</v>
      </c>
      <c r="IW275" s="39">
        <v>0</v>
      </c>
      <c r="IX275" s="39">
        <f>INDEX(Input!$1:$1048576,IX$93,$C275*2+6)+INDEX(Input!$1:$1048576,IX$94,$C275*2+6)</f>
        <v>1294</v>
      </c>
      <c r="IY275" s="39">
        <f>INDEX(Input!$1:$1048576,IY$93,$C275*2+6)+INDEX(Input!$1:$1048576,IY$94,$C275*2+6)</f>
        <v>2154.0624533823611</v>
      </c>
      <c r="IZ275" s="39">
        <f>INDEX(Input!$1:$1048576,IZ$93,$C275*2+6)+INDEX(Input!$1:$1048576,IZ$94,$C275*2+6)</f>
        <v>3677.7164157747848</v>
      </c>
      <c r="JA275" s="19">
        <f t="shared" si="807"/>
        <v>1312</v>
      </c>
      <c r="JB275" s="19">
        <f t="shared" si="808"/>
        <v>2172.0640407000924</v>
      </c>
      <c r="JC275" s="19">
        <f t="shared" si="809"/>
        <v>3680.7164157747848</v>
      </c>
      <c r="JD275" s="19">
        <f t="shared" si="810"/>
        <v>2118.6701442057602</v>
      </c>
      <c r="JE275" s="21"/>
      <c r="JF275" s="1">
        <f t="shared" si="793"/>
        <v>1.7106565950787935E-2</v>
      </c>
      <c r="JG275" s="15">
        <f>INDEX(Input!$1:$1048576,JG$93,$C275*2+6)/(1+VLOOKUP(C275*1000+INDEX(Input!$1:$1048576,JG$93+1,$C275*2+6),$A:$KK,$JK$92,FALSE))</f>
        <v>1243</v>
      </c>
      <c r="JH275" s="1">
        <f t="shared" si="811"/>
        <v>1.8801111887421105E-3</v>
      </c>
      <c r="JI275" s="1">
        <f t="shared" si="812"/>
        <v>3.2252951434684355E-4</v>
      </c>
      <c r="JJ275" s="1">
        <f t="shared" ref="JJ275" si="839">SUM(HV275:HX275)/SUM(HY275:IA275)</f>
        <v>0</v>
      </c>
      <c r="JK275" s="1">
        <f t="shared" ref="JK275" si="840">SUM(JH275:JJ275)</f>
        <v>2.2026407030889539E-3</v>
      </c>
      <c r="JL275" s="15">
        <f t="shared" si="813"/>
        <v>2.7378823939395698</v>
      </c>
      <c r="JM275" s="15">
        <f t="shared" si="830"/>
        <v>1245.7378823939396</v>
      </c>
      <c r="JN275" s="21"/>
      <c r="JO275" s="19">
        <f>INDEX(Input!$1:$1048576,JO$93,$C275*2+6)</f>
        <v>5995.5</v>
      </c>
      <c r="JP275" s="19">
        <f>INDEX(Input!$1:$1048576,JP$93,$C275*2+6)</f>
        <v>2105.548724853742</v>
      </c>
      <c r="JQ275" s="39">
        <f t="shared" si="819"/>
        <v>3876.8298557942398</v>
      </c>
      <c r="JR275" s="39">
        <f t="shared" si="833"/>
        <v>13.121419352018165</v>
      </c>
      <c r="JS275" s="39">
        <f t="shared" si="820"/>
        <v>2.639307658934146</v>
      </c>
      <c r="JT275" s="39">
        <f t="shared" si="814"/>
        <v>2.2110593940944875E-2</v>
      </c>
      <c r="JU275" s="385">
        <f>(JQ275*JM275-INDEX(Input!$1:$1048576,Input!A$18,$C275*2+6)*JL275*INDEX(Input!$1:$1048576,Input!A$19,$C275*2+6))/1000000</f>
        <v>4.8295138149587187</v>
      </c>
      <c r="JV275" s="39">
        <f t="shared" si="712"/>
        <v>-5.6956200480797747E-3</v>
      </c>
      <c r="JW275" s="1">
        <f t="shared" si="831"/>
        <v>-1.1779469172200948E-3</v>
      </c>
      <c r="JX275" s="19">
        <f t="shared" si="824"/>
        <v>8075.8012067602713</v>
      </c>
      <c r="JZ275" s="341"/>
      <c r="KA275" s="342"/>
      <c r="KB275" s="469">
        <f t="shared" si="821"/>
        <v>2.5660492421988774</v>
      </c>
      <c r="KI275" s="473">
        <f t="shared" ref="KI275" si="841">$JM275*IE275-$JG275*HY275/SUM($HY275:$IA275)</f>
        <v>2.0922133537834497</v>
      </c>
      <c r="KJ275" s="473">
        <f t="shared" ref="KJ275" si="842">$JM275*IF275-$JG275*HZ275/SUM($HY275:$IA275)</f>
        <v>1.4322918470219292</v>
      </c>
      <c r="KK275" s="473">
        <f t="shared" ref="KK275:KK283" si="843">$JM275*IG275-$JG275*IA275/SUM($HY275:$IA275)</f>
        <v>-0.78662280686583586</v>
      </c>
      <c r="KN275" s="544">
        <f t="shared" si="825"/>
        <v>2002</v>
      </c>
      <c r="KO275" s="541">
        <f t="shared" si="794"/>
        <v>-3.7020829844205405E-3</v>
      </c>
      <c r="KP275" s="546">
        <f t="shared" si="795"/>
        <v>-23.999790727563834</v>
      </c>
      <c r="KQ275" s="546">
        <f t="shared" si="796"/>
        <v>-25.010195227712757</v>
      </c>
      <c r="KR275" s="548">
        <f t="shared" si="797"/>
        <v>2.7521092448165523</v>
      </c>
      <c r="KS275" s="548">
        <f t="shared" si="798"/>
        <v>2.6409248441932869</v>
      </c>
      <c r="KT275" s="473">
        <f t="shared" si="822"/>
        <v>843.26993010479111</v>
      </c>
      <c r="KU275" s="663">
        <f t="shared" si="816"/>
        <v>4.502075053152061</v>
      </c>
    </row>
    <row r="276" spans="1:307" s="26" customFormat="1" ht="15" outlineLevel="1">
      <c r="A276" s="561">
        <f t="shared" si="799"/>
        <v>2076</v>
      </c>
      <c r="B276" s="561">
        <f t="shared" si="817"/>
        <v>76</v>
      </c>
      <c r="C276" s="561">
        <f t="shared" si="760"/>
        <v>2</v>
      </c>
      <c r="D276" s="561" t="str">
        <f t="shared" si="728"/>
        <v xml:space="preserve">-1000 Event (RBC), -500 Event (L), </v>
      </c>
      <c r="E276" s="475">
        <f>INDEX(Input!$1:$1048576,E$93,$C276*2+MIN($B276,2)+5)
+INDEX(Scenarios!E$121:E$200,MATCH($B276,Scenarios!$B$121:$B$200,0))</f>
        <v>1269.7618664521319</v>
      </c>
      <c r="F276" s="475">
        <f>INDEX(Input!$1:$1048576,F$93,$C276*2+MIN($B276,2)+5)
+INDEX(Scenarios!F$121:F$200,MATCH($B276,Scenarios!$B$121:$B$200,0))</f>
        <v>0</v>
      </c>
      <c r="G276" s="475">
        <f>INDEX(Input!$1:$1048576,G$93,$C276*2+MIN($B276,2)+5)
+INDEX(Scenarios!G$121:G$200,MATCH($B276,Scenarios!$B$121:$B$200,0))</f>
        <v>0</v>
      </c>
      <c r="H276" s="475">
        <f>INDEX(Input!$1:$1048576,H$93,$C276*2+MIN($B276,2)+5)
+INDEX(Scenarios!H$121:H$200,MATCH($B276,Scenarios!$B$121:$B$200,0))</f>
        <v>0</v>
      </c>
      <c r="I276" s="476">
        <f>INDEX(Input!$1:$1048576,I$93,$C276*2+MIN($B276,2)+5)</f>
        <v>0.7</v>
      </c>
      <c r="J276" s="476" t="str">
        <f>INDEX(Input!$1:$1048576,J$93,$C276*2+MIN($B276,2)+5)</f>
        <v>Market</v>
      </c>
      <c r="K276" s="476" t="str">
        <f>INDEX(Input!$1:$1048576,K$93,$C276*2+MIN($B276,2)+5)</f>
        <v>Market</v>
      </c>
      <c r="L276" s="476" t="str">
        <f>INDEX(Input!$1:$1048576,L$93,$C276*2+MIN($B276,2)+5)</f>
        <v>Market</v>
      </c>
      <c r="M276" s="476" t="str">
        <f>INDEX(Input!$1:$1048576,M$93,$C276*2+MIN($B276,2)+5)</f>
        <v>Market</v>
      </c>
      <c r="N276" s="476" t="str">
        <f>INDEX(Input!$1:$1048576,N$93,$C276*2+MIN($B276,2)+5)</f>
        <v>Market</v>
      </c>
      <c r="O276" s="476" t="str">
        <f>INDEX(Input!$1:$1048576,O$93,$C276*2+MIN($B276,2)+5)</f>
        <v>Market</v>
      </c>
      <c r="P276" s="476" t="str">
        <f>INDEX(Input!$1:$1048576,P$93,$C276*2+MIN($B276,2)+5)</f>
        <v>N</v>
      </c>
      <c r="Q276" s="477">
        <f>INDEX(Input!$1:$1048576,Q$93,$C276*2+MIN($B276,2)+5)
+INDEX(Scenarios!Q$121:Q$200,MATCH($B276,Scenarios!$B$121:$B$200,0))</f>
        <v>0</v>
      </c>
      <c r="R276" s="478">
        <f>IFERROR(MAX(0,INDEX(Input!$1:$1048576,R$93,$C276*2+MIN($B276,2)+5)
+INDEX(Scenarios!R$121:R$200,MATCH($B276,Scenarios!$B$121:$B$200,0)),),"Market")</f>
        <v>0</v>
      </c>
      <c r="S276" s="478">
        <f>IFERROR(MAX(0,INDEX(Input!$1:$1048576,S$93,$C276*2+MIN($B276,2)+5)
+INDEX(Scenarios!S$121:S$200,MATCH($B276,Scenarios!$B$121:$B$200,0)),),"Market")</f>
        <v>0</v>
      </c>
      <c r="T276" s="478">
        <f>IFERROR(MAX(0,INDEX(Input!$1:$1048576,T$93,$C276*2+MIN($B276,2)+5)
+INDEX(Scenarios!T$121:T$200,MATCH($B276,Scenarios!$B$121:$B$200,0)),),"Market")</f>
        <v>0</v>
      </c>
      <c r="U276" s="478">
        <f>IFERROR(MAX(0,INDEX(Input!$1:$1048576,U$93,$C276*2+MIN($B276,2)+5)
+INDEX(Scenarios!U$121:U$200,MATCH($B276,Scenarios!$B$121:$B$200,0)),),"Market")</f>
        <v>0</v>
      </c>
      <c r="V276" s="478">
        <f>IFERROR(MAX(0,INDEX(Input!$1:$1048576,V$93,$C276*2+MIN($B276,2)+5)
+INDEX(Scenarios!V$121:V$200,MATCH($B276,Scenarios!$B$121:$B$200,0)),),"Market")</f>
        <v>1.9E-2</v>
      </c>
      <c r="W276" s="885">
        <f>IFERROR(MAX(0,INDEX(Input!$1:$1048576,W$93,$C276*2+MIN($B276,2)+5)-0%,),"Market")</f>
        <v>3.9E-2</v>
      </c>
      <c r="X276" s="476" t="str">
        <f>INDEX(Input!$1:$1048576,X$93,$C276*2+MIN($B276,2)+5)</f>
        <v>Y</v>
      </c>
      <c r="Y276" s="475">
        <f>INDEX(Input!$1:$1048576,Y$93,$C276*2+MIN($B276,2)+5)
++INDEX(Scenarios!Y$121:Y$200,MATCH($B276,Scenarios!$B$121:$B$200,0))</f>
        <v>56</v>
      </c>
      <c r="Z276" s="477">
        <f>INDEX(Input!$1:$1048576,Z$93,$C276*2+MIN($B276,2)+5)
+INDEX(Scenarios!Z$121:Z$200,MATCH($B276,Scenarios!$B$121:$B$200,0))</f>
        <v>0</v>
      </c>
      <c r="AA276" s="475">
        <f>INDEX(Input!$1:$1048576,AA$93,$C276*2+MIN($B276,2)+5)
+INDEX(Scenarios!AA$121:AA$200,MATCH($B276,Scenarios!$B$121:$B$200,0))</f>
        <v>-1000</v>
      </c>
      <c r="AB276" s="476">
        <f>INDEX(Input!$1:$1048576,AB$93,$C276*2+MIN($B276,2)+5)</f>
        <v>0.27</v>
      </c>
      <c r="AC276" s="475">
        <f>INDEX(Input!$1:$1048576,AC$93,$C276*2+MIN($B276,2)+5)
+INDEX(Scenarios!AC$121:AC$200,MATCH($B276,Scenarios!$B$121:$B$200,0))</f>
        <v>-500</v>
      </c>
      <c r="AD276" s="476">
        <f>INDEX(Input!$1:$1048576,AD$93,$C276*2+MIN($B276,2)+5)</f>
        <v>0.27</v>
      </c>
      <c r="AE276" s="475">
        <f>INDEX(Input!$1:$1048576,AE$93,$C276*2+MIN($B276,2)+5)
+INDEX(Scenarios!AE$121:AE$200,MATCH($B276,Scenarios!$B$121:$B$200,0))</f>
        <v>0</v>
      </c>
      <c r="AF276" s="476">
        <f>INDEX(Input!$1:$1048576,AF$93,$C276*2+MIN($B276,2)+5)</f>
        <v>4.8000000000000001E-2</v>
      </c>
      <c r="AG276" s="475">
        <f>INDEX(Input!$1:$1048576,AG$93,$C276*2+MIN($B276,2)+5)
+INDEX(Scenarios!AG$121:AG$200,MATCH($B276,Scenarios!$B$121:$B$200,0))</f>
        <v>500</v>
      </c>
      <c r="AH276" s="476">
        <f>INDEX(Input!$1:$1048576,AH$93,$C276*2+MIN($B276,2)+5)</f>
        <v>0.94599999999999995</v>
      </c>
      <c r="AI276" s="475">
        <f>INDEX(Input!$1:$1048576,AI$93,$C276*2+MIN($B276,2)+5)
+INDEX(Scenarios!AI$121:AI$200,MATCH($B276,Scenarios!$B$121:$B$200,0))</f>
        <v>0</v>
      </c>
      <c r="AJ276" s="476">
        <f>INDEX(Input!$1:$1048576,AJ$93,$C276*2+MIN($B276,2)+5)</f>
        <v>0.27</v>
      </c>
      <c r="AK276" s="150">
        <f>ROUND(INDEX(Input!$1:$1048576,AK$93,$C275*2+MIN($B276,1)+5)+(Y276-VLOOKUP($C276*1000+1,$A:$HH,Y$92,FALSE)),0)</f>
        <v>2977</v>
      </c>
      <c r="AL276" s="150">
        <f>ROUND(INDEX(Input!$1:$1048576,AL$93,$C275*2+MIN($B276,1)+5)-(Y276-VLOOKUP($C276*1000+1,$A:$HH,Y$92,FALSE))/36,0)</f>
        <v>3395</v>
      </c>
      <c r="AM276" s="32" t="str">
        <f t="shared" si="800"/>
        <v>std/std/std/std</v>
      </c>
      <c r="AN276" s="32" t="str">
        <f t="shared" si="801"/>
        <v>$0 + 0/0/0/1.9/3.9</v>
      </c>
      <c r="AO276" s="32" t="str">
        <f t="shared" si="802"/>
        <v>0/0/0/1.9/3.9</v>
      </c>
      <c r="AP276" s="32" t="str">
        <f t="shared" si="734"/>
        <v>0/0.9/1.9/3.9</v>
      </c>
      <c r="AQ276" s="536">
        <f t="shared" si="733"/>
        <v>-134.64336360948934</v>
      </c>
      <c r="AR276" s="32"/>
      <c r="AS276" s="302"/>
      <c r="AT276" s="3">
        <f t="shared" si="717"/>
        <v>76</v>
      </c>
      <c r="AU276" s="41" t="s">
        <v>121</v>
      </c>
      <c r="AV276" s="41" t="s">
        <v>116</v>
      </c>
      <c r="AW276" s="41" t="str">
        <f>INDEX(Input!$1:$1048576,AW$93,$C276*2+6)</f>
        <v>Kia</v>
      </c>
      <c r="AX276" s="41" t="str">
        <f>INDEX(Input!$1:$1048576,AX$93,$C276*2+6)</f>
        <v>Kia-LR - L2</v>
      </c>
      <c r="AY276" s="41" t="str">
        <f>IF(LEN(D276)=0,"",INDEX(Input!$1:$1048576,AY$93,$C276*2+6))</f>
        <v>Compact SUV (52)</v>
      </c>
      <c r="AZ276" s="41" t="str">
        <f>INDEX(Input!$1:$1048576,AZ$93,$C276*2+6)</f>
        <v>Kia Soul</v>
      </c>
      <c r="BA276" s="3">
        <f>INDEX(Input!$1:$1048576,BA$93,$C276*2+6)</f>
        <v>2020</v>
      </c>
      <c r="BB276" s="128">
        <f>INDEX(Input!$1:$1048576,BB$93,$C276*2+6)</f>
        <v>1</v>
      </c>
      <c r="BC276" s="128">
        <f>INDEX(Input!$1:$1048576,BC$93,$C276*2+6)</f>
        <v>0.7</v>
      </c>
      <c r="BD276" s="1">
        <f>INDEX(Input!$1:$1048576,BD$93,$C276*2+6)</f>
        <v>4.4999999999999998E-2</v>
      </c>
      <c r="BE276" s="1">
        <f>INDEX(Input!$1:$1048576,BE$93,$C276*2+6)</f>
        <v>4.4999999999999998E-2</v>
      </c>
      <c r="BF276" s="1">
        <f>INDEX(Input!$1:$1048576,BF$93,$C276*2+6)</f>
        <v>0.05</v>
      </c>
      <c r="BG276" s="1">
        <f>INDEX(Input!$1:$1048576,BG$93,$C276*2+6)</f>
        <v>5.45E-2</v>
      </c>
      <c r="BH276" s="1">
        <f>INDEX(Input!$1:$1048576,BH$93,$C276*2+6)</f>
        <v>5.45E-2</v>
      </c>
      <c r="BI276" s="1">
        <f>INDEX(Input!$1:$1048576,BI$93,$C276*2+6)</f>
        <v>0.05</v>
      </c>
      <c r="BJ276" s="1">
        <f>INDEX(Input!$1:$1048576,BJ$93,$C276*2+6)</f>
        <v>0.05</v>
      </c>
      <c r="BK276" s="1">
        <f>INDEX(Input!$1:$1048576,BK$93,$C276*2+6)</f>
        <v>0.05</v>
      </c>
      <c r="BL276" s="1">
        <f>INDEX(Input!$1:$1048576,BL$93,$C276*2+6)</f>
        <v>5.5E-2</v>
      </c>
      <c r="BM276" s="1">
        <f>INDEX(Input!$1:$1048576,BM$93,$C276*2+6)</f>
        <v>0.06</v>
      </c>
      <c r="BN276" s="1">
        <f>INDEX(Input!$1:$1048576,BN$93,$C276*2+6)</f>
        <v>4.4999999999999998E-2</v>
      </c>
      <c r="BO276" s="1">
        <f>INDEX(Input!$1:$1048576,BO$93,$C276*2+6)</f>
        <v>4.4999999999999998E-2</v>
      </c>
      <c r="BP276" s="1">
        <f>INDEX(Input!$1:$1048576,BP$93,$C276*2+6)</f>
        <v>0.05</v>
      </c>
      <c r="BQ276" s="1">
        <f>INDEX(Input!$1:$1048576,BQ$93,$C276*2+6)</f>
        <v>5.45E-2</v>
      </c>
      <c r="BR276" s="1">
        <f>INDEX(Input!$1:$1048576,BR$93,$C276*2+6)</f>
        <v>5.45E-2</v>
      </c>
      <c r="BS276" s="1">
        <f>INDEX(Input!$1:$1048576,BS$93,$C276*2+6)</f>
        <v>0.05</v>
      </c>
      <c r="BT276" s="1">
        <f>INDEX(Input!$1:$1048576,BT$93,$C276*2+6)</f>
        <v>0.05</v>
      </c>
      <c r="BU276" s="1">
        <f>INDEX(Input!$1:$1048576,BU$93,$C276*2+6)</f>
        <v>0.05</v>
      </c>
      <c r="BV276" s="1">
        <f>INDEX(Input!$1:$1048576,BV$93,$C276*2+6)</f>
        <v>5.5E-2</v>
      </c>
      <c r="BW276" s="1">
        <f>INDEX(Input!$1:$1048576,BW$93,$C276*2+6)</f>
        <v>0.06</v>
      </c>
      <c r="BX276" s="127">
        <f>INDEX(Input!$1:$1048576,BX$93,$C276*2+6)</f>
        <v>19985</v>
      </c>
      <c r="BY276" s="20">
        <f>INDEX(Input!$1:$1048576,BY$93,$C276*2+6)</f>
        <v>0.1</v>
      </c>
      <c r="BZ276" s="20">
        <f>INDEX(Input!$1:$1048576,BZ$93,$C276*2+6)</f>
        <v>0.1</v>
      </c>
      <c r="CA276" s="20">
        <f>INDEX(Input!$1:$1048576,CA$93,$C276*2+6)</f>
        <v>0.1</v>
      </c>
      <c r="CB276" s="20">
        <f>INDEX(Input!$1:$1048576,CB$93,$C276*2+6)</f>
        <v>0.1</v>
      </c>
      <c r="CC276" s="20">
        <f>INDEX(Input!$1:$1048576,CC$93,$C276*2+6)</f>
        <v>0.1</v>
      </c>
      <c r="CD276" s="384">
        <f>INDEX(Input!$1:$1048576,CD$93,$C276*2+6)</f>
        <v>0.1</v>
      </c>
      <c r="CE276" s="384">
        <f>INDEX(Input!$1:$1048576,CE$93,$C276*2+6)</f>
        <v>0.1</v>
      </c>
      <c r="CF276" s="384">
        <f>INDEX(Input!$1:$1048576,CF$93,$C276*2+6)</f>
        <v>0.1</v>
      </c>
      <c r="CG276" s="384">
        <f>INDEX(Input!$1:$1048576,CG$93,$C276*2+6)</f>
        <v>0.1</v>
      </c>
      <c r="CH276" s="384">
        <f>INDEX(Input!$1:$1048576,CH$93,$C276*2+6)</f>
        <v>0.1</v>
      </c>
      <c r="CI276" s="304">
        <f t="shared" si="735"/>
        <v>999.76186645213193</v>
      </c>
      <c r="CJ276" s="16" t="str">
        <f>INDEX(Input!$1:$1048576,CJ$93,$C276*2+6)</f>
        <v>N</v>
      </c>
      <c r="CK276" s="1" t="str">
        <f t="shared" si="736"/>
        <v>Market</v>
      </c>
      <c r="CL276" s="1" t="str">
        <f t="shared" si="737"/>
        <v>Market</v>
      </c>
      <c r="CM276" s="1" t="str">
        <f t="shared" si="738"/>
        <v>Market</v>
      </c>
      <c r="CN276" s="1" t="str">
        <f t="shared" si="739"/>
        <v>Market</v>
      </c>
      <c r="CO276" s="1" t="str">
        <f t="shared" si="740"/>
        <v>Market</v>
      </c>
      <c r="CP276" s="304">
        <f t="shared" si="741"/>
        <v>473</v>
      </c>
      <c r="CQ276" s="1">
        <f t="shared" si="742"/>
        <v>0</v>
      </c>
      <c r="CR276" s="1">
        <f t="shared" si="743"/>
        <v>0</v>
      </c>
      <c r="CS276" s="1">
        <f t="shared" si="744"/>
        <v>0</v>
      </c>
      <c r="CT276" s="1">
        <f t="shared" si="745"/>
        <v>1.9E-2</v>
      </c>
      <c r="CU276" s="1">
        <f t="shared" si="746"/>
        <v>3.9E-2</v>
      </c>
      <c r="CV276" s="304">
        <f t="shared" si="747"/>
        <v>-79</v>
      </c>
      <c r="CW276" s="20" t="s">
        <v>122</v>
      </c>
      <c r="CX276" s="20" t="s">
        <v>122</v>
      </c>
      <c r="CY276" s="20" t="s">
        <v>122</v>
      </c>
      <c r="CZ276" s="20" t="s">
        <v>122</v>
      </c>
      <c r="DA276" s="20" t="s">
        <v>122</v>
      </c>
      <c r="DB276" s="503">
        <f t="shared" si="748"/>
        <v>0</v>
      </c>
      <c r="DC276" s="127">
        <v>0</v>
      </c>
      <c r="DD276" s="127">
        <v>0</v>
      </c>
      <c r="DE276" s="127">
        <v>0</v>
      </c>
      <c r="DF276" s="127">
        <v>0</v>
      </c>
      <c r="DG276" s="127">
        <v>0</v>
      </c>
      <c r="DH276" s="127">
        <v>0</v>
      </c>
      <c r="DI276" s="127">
        <v>0</v>
      </c>
      <c r="DJ276" s="127">
        <v>0</v>
      </c>
      <c r="DK276" s="127">
        <v>0</v>
      </c>
      <c r="DL276" s="127">
        <v>0</v>
      </c>
      <c r="DM276" s="304">
        <f>INDEX(Input!$1:$1048576,DM$93,$C276*2+6)</f>
        <v>21036.84210526316</v>
      </c>
      <c r="DN276" s="20">
        <v>0</v>
      </c>
      <c r="DO276" s="20">
        <v>0</v>
      </c>
      <c r="DP276" s="20">
        <v>0</v>
      </c>
      <c r="DQ276" s="20">
        <v>0</v>
      </c>
      <c r="DR276" s="20">
        <v>0</v>
      </c>
      <c r="DS276" s="20">
        <f>INDEX(Input!$1:$1048576,DS$93,$C276*2+6)</f>
        <v>0.6</v>
      </c>
      <c r="DT276" s="20">
        <f>INDEX(Input!$1:$1048576,DT$93,$C276*2+6)</f>
        <v>0.55000000000000004</v>
      </c>
      <c r="DU276" s="20">
        <f>INDEX(Input!$1:$1048576,DU$93,$C276*2+6)</f>
        <v>0.52</v>
      </c>
      <c r="DV276" s="20">
        <f>INDEX(Input!$1:$1048576,DV$93,$C276*2+6)</f>
        <v>0.5</v>
      </c>
      <c r="DW276" s="20">
        <f>INDEX(Input!$1:$1048576,DW$93,$C276*2+6)</f>
        <v>0.45</v>
      </c>
      <c r="DX276" s="20"/>
      <c r="DY276" s="7">
        <v>8.8217241225598403E-2</v>
      </c>
      <c r="DZ276" s="7">
        <v>0</v>
      </c>
      <c r="EA276" s="7">
        <v>0.64802702008103164</v>
      </c>
      <c r="EB276" s="7">
        <v>0</v>
      </c>
      <c r="EC276" s="7">
        <v>0</v>
      </c>
      <c r="ED276" s="7">
        <v>0</v>
      </c>
      <c r="EE276" s="7">
        <v>0</v>
      </c>
      <c r="EF276" s="7">
        <v>0</v>
      </c>
      <c r="EG276" s="7">
        <v>0</v>
      </c>
      <c r="EH276" s="7">
        <v>1.4258609221373017E-2</v>
      </c>
      <c r="EI276" s="7">
        <v>4.0581028820364504E-2</v>
      </c>
      <c r="EJ276" s="7">
        <v>0.30719631878302384</v>
      </c>
      <c r="EK276" s="7">
        <v>0.52676768908737159</v>
      </c>
      <c r="EL276" s="7">
        <v>0.11119635408786666</v>
      </c>
      <c r="EM276" s="7">
        <v>5.6688722883750299E-2</v>
      </c>
      <c r="EN276" s="7">
        <v>6.5097392965654838E-2</v>
      </c>
      <c r="EO276" s="7">
        <v>0.72833031211774835</v>
      </c>
      <c r="EP276" s="7">
        <v>8.9557680538018339E-2</v>
      </c>
      <c r="EQ276" s="7">
        <v>7.6408210020641965E-2</v>
      </c>
      <c r="ER276" s="7">
        <v>4.0606404357936693E-2</v>
      </c>
      <c r="ES276" s="7">
        <v>0.2070670158096197</v>
      </c>
      <c r="ET276" s="7">
        <v>0.26375573869336999</v>
      </c>
      <c r="EU276" s="6">
        <v>1024</v>
      </c>
      <c r="EV276" s="6">
        <v>0</v>
      </c>
      <c r="EW276" s="6">
        <v>1024</v>
      </c>
      <c r="EX276" s="6">
        <v>0</v>
      </c>
      <c r="EY276" s="6">
        <v>1783.9542175438191</v>
      </c>
      <c r="EZ276" s="6">
        <v>811</v>
      </c>
      <c r="FA276" s="6">
        <v>0</v>
      </c>
      <c r="FB276" s="6">
        <v>0</v>
      </c>
      <c r="FC276" s="6">
        <v>0</v>
      </c>
      <c r="FD276" s="6">
        <v>0</v>
      </c>
      <c r="FE276" s="6">
        <v>0</v>
      </c>
      <c r="FF276" s="6">
        <v>0</v>
      </c>
      <c r="FG276" s="6">
        <v>0</v>
      </c>
      <c r="FH276" s="6">
        <v>1173.7292739120087</v>
      </c>
      <c r="FI276" s="6">
        <v>1553.9796069512395</v>
      </c>
      <c r="FJ276" s="6">
        <v>2101.2110117447419</v>
      </c>
      <c r="FK276" s="6">
        <v>1772.7139978623229</v>
      </c>
      <c r="FL276" s="6">
        <v>907.07682140966301</v>
      </c>
      <c r="FM276" s="6">
        <v>1759.9542175438191</v>
      </c>
      <c r="FN276" s="6">
        <v>0</v>
      </c>
      <c r="FO276" s="6">
        <v>0</v>
      </c>
      <c r="FP276" s="6">
        <v>0</v>
      </c>
      <c r="FQ276" s="6">
        <v>0</v>
      </c>
      <c r="FR276" s="6">
        <v>0</v>
      </c>
      <c r="FS276" s="6">
        <v>0</v>
      </c>
      <c r="FT276" s="7">
        <v>0.73624426130663001</v>
      </c>
      <c r="FU276" s="7">
        <v>5.6688722883750299E-2</v>
      </c>
      <c r="FV276" s="7">
        <v>0.2070670158096197</v>
      </c>
      <c r="FW276" s="6">
        <v>1024</v>
      </c>
      <c r="FX276" s="6">
        <v>1783.9542175438191</v>
      </c>
      <c r="FY276" s="6">
        <v>811</v>
      </c>
      <c r="FZ276" s="6">
        <v>1817.4615072224267</v>
      </c>
      <c r="GA276" s="6">
        <v>1022.9755596752299</v>
      </c>
      <c r="GB276" s="6">
        <v>18962.024440324771</v>
      </c>
      <c r="GC276" s="7">
        <v>1.804905384453976E-2</v>
      </c>
      <c r="GD276" s="7">
        <v>1.6678810749007913E-2</v>
      </c>
      <c r="GE276" s="7"/>
      <c r="GF276" s="7"/>
      <c r="GG276" s="7">
        <v>-7.591772440450531E-2</v>
      </c>
      <c r="GH276" s="42">
        <v>1.9096822629879273</v>
      </c>
      <c r="GI276" s="6">
        <v>11488.067259658379</v>
      </c>
      <c r="GJ276" s="14">
        <v>0.50394797582841711</v>
      </c>
      <c r="GK276" s="14">
        <v>0.50887573065309766</v>
      </c>
      <c r="GL276" s="14">
        <v>0.49605202417158278</v>
      </c>
      <c r="GM276" s="14">
        <v>0.49112426934690234</v>
      </c>
      <c r="GO276" s="5">
        <v>343.14810671672558</v>
      </c>
      <c r="GP276" s="5">
        <v>323.61214022641747</v>
      </c>
      <c r="GQ276" s="5">
        <v>535.04305713031317</v>
      </c>
      <c r="GR276" s="5">
        <v>410.15490233172511</v>
      </c>
      <c r="GS276" s="5">
        <v>339.42744393800166</v>
      </c>
      <c r="GT276" s="5">
        <v>293.4407446948278</v>
      </c>
      <c r="GU276" s="5">
        <v>258.04012322764959</v>
      </c>
      <c r="GV276" s="39" t="s">
        <v>392</v>
      </c>
      <c r="GW276" s="5">
        <v>498.95833333333331</v>
      </c>
      <c r="GX276" s="5">
        <v>374.21875</v>
      </c>
      <c r="GY276" s="5">
        <v>299.375</v>
      </c>
      <c r="GZ276" s="5">
        <v>264.16684532927076</v>
      </c>
      <c r="HA276" s="5">
        <v>244.69995918572829</v>
      </c>
      <c r="HB276" s="39">
        <v>280.63183366178993</v>
      </c>
      <c r="HC276" s="5">
        <v>251.80312499999999</v>
      </c>
      <c r="HD276" s="5">
        <v>215.58802997076018</v>
      </c>
      <c r="HE276" s="5">
        <v>218.47841177462885</v>
      </c>
      <c r="HF276" s="5">
        <v>202.15438048245613</v>
      </c>
      <c r="HG276" s="5">
        <v>195.08721491228067</v>
      </c>
      <c r="HH276" s="39">
        <v>216.34548863601304</v>
      </c>
      <c r="HI276" s="16"/>
      <c r="HJ276" s="19" t="str">
        <f t="shared" ref="HJ276:HK276" si="844">HJ275</f>
        <v>On</v>
      </c>
      <c r="HK276" s="1" t="str">
        <f t="shared" si="844"/>
        <v>On</v>
      </c>
      <c r="HL276" s="16"/>
      <c r="HM276" s="639">
        <f t="shared" si="775"/>
        <v>1.2768706344444866E-2</v>
      </c>
      <c r="HN276" s="639">
        <f t="shared" si="776"/>
        <v>9.795534288915453E-4</v>
      </c>
      <c r="HO276" s="639">
        <f t="shared" si="777"/>
        <v>3.3583061774515237E-3</v>
      </c>
      <c r="HP276" s="644">
        <f>(FT276*$GD276-HM276)/$JF276*INDEX(Input!$1:$1048576,$JG$93,$C276*2+6)</f>
        <v>-35.533804070833455</v>
      </c>
      <c r="HQ276" s="644">
        <f>(FU276*$GD276-HN276)/$JF276*INDEX(Input!$1:$1048576,$JG$93,$C276*2+6)</f>
        <v>-2.4743607145785265</v>
      </c>
      <c r="HR276" s="644">
        <f>(FV276*$GD276-HO276)/$JF276*INDEX(Input!$1:$1048576,$JG$93,$C276*2+6)</f>
        <v>6.9265486771785776</v>
      </c>
      <c r="HS276" s="644">
        <f t="shared" si="767"/>
        <v>14.45373490957874</v>
      </c>
      <c r="HT276" s="644">
        <f t="shared" ref="HT276:HT283" si="845">IF(AND(HJ276="On",HK276="On"),IM276/1000*INDEX(KG:KG,MATCH(C276*1000+4,$KF:$KF,0))*SUM(HY276:IA276)*1.1
+INDEX(HR:HR,MATCH(C276*1000+3,$KF:$KF,0))/INDEX(IL:IL,MATCH(C276*1000+3,$KF:$KF,0))*IL276*20%,0)</f>
        <v>-15.264236946315181</v>
      </c>
      <c r="HU276" s="644">
        <f t="shared" si="779"/>
        <v>-5.6225688639989677</v>
      </c>
      <c r="HV276" s="648">
        <f t="shared" si="780"/>
        <v>0</v>
      </c>
      <c r="HW276" s="648">
        <f t="shared" si="781"/>
        <v>0</v>
      </c>
      <c r="HX276" s="648">
        <f t="shared" si="782"/>
        <v>0</v>
      </c>
      <c r="HY276" s="644">
        <f>INDEX(Input!$1:$1048576,HY$93,$C276*2+6)*INDEX(Input!$1:$1048576,$JG$93,$C276*2+6)</f>
        <v>451</v>
      </c>
      <c r="HZ276" s="644">
        <f>INDEX(Input!$1:$1048576,HZ$93,$C276*2+6)*INDEX(Input!$1:$1048576,$JG$93,$C276*2+6)</f>
        <v>577</v>
      </c>
      <c r="IA276" s="644">
        <f>INDEX(Input!$1:$1048576,IA$93,$C276*2+6)*INDEX(Input!$1:$1048576,$JG$93,$C276*2+6)</f>
        <v>215</v>
      </c>
      <c r="IB276" s="644">
        <f t="shared" si="804"/>
        <v>429.91993083874536</v>
      </c>
      <c r="IC276" s="644">
        <f t="shared" si="805"/>
        <v>559.26140233910621</v>
      </c>
      <c r="ID276" s="644">
        <f>IF(AND(INDEX(Input!$1:$1048576,IA$93,$C276*2+7)="TOS",Y276&lt;=INDEX(Y:Y,MATCH(C276*1000+2,A:A))),0,1)*MAX(IA276+HR276+HU276+HX276,0%)</f>
        <v>216.30397981317961</v>
      </c>
      <c r="IE276" s="128">
        <f t="shared" ref="IE276:IE283" si="846">IB276/SUM($IB276:$ID276)</f>
        <v>0.35663639051066892</v>
      </c>
      <c r="IF276" s="128">
        <f t="shared" ref="IF276:IF283" si="847">IC276/SUM($IB276:$ID276)</f>
        <v>0.46393049862339314</v>
      </c>
      <c r="IG276" s="128">
        <f t="shared" si="838"/>
        <v>0.17943311086593797</v>
      </c>
      <c r="IH276" s="21"/>
      <c r="II276" s="19">
        <f t="shared" si="785"/>
        <v>1252</v>
      </c>
      <c r="IJ276" s="19">
        <f t="shared" si="786"/>
        <v>2011.9658773055378</v>
      </c>
      <c r="IK276" s="19">
        <f t="shared" si="787"/>
        <v>919</v>
      </c>
      <c r="IL276" s="19">
        <f t="shared" si="806"/>
        <v>-228</v>
      </c>
      <c r="IM276" s="19">
        <f t="shared" si="788"/>
        <v>-228.01165976171865</v>
      </c>
      <c r="IN276" s="19">
        <f t="shared" si="789"/>
        <v>-108</v>
      </c>
      <c r="IO276" s="39">
        <f t="shared" si="790"/>
        <v>0</v>
      </c>
      <c r="IP276" s="39">
        <f t="shared" si="791"/>
        <v>0</v>
      </c>
      <c r="IQ276" s="39">
        <f t="shared" si="792"/>
        <v>0</v>
      </c>
      <c r="IR276" s="39">
        <v>0</v>
      </c>
      <c r="IS276" s="39">
        <v>0</v>
      </c>
      <c r="IT276" s="39">
        <v>0</v>
      </c>
      <c r="IU276" s="39">
        <v>0</v>
      </c>
      <c r="IV276" s="39">
        <v>0</v>
      </c>
      <c r="IW276" s="39">
        <v>0</v>
      </c>
      <c r="IX276" s="39">
        <f>INDEX(Input!$1:$1048576,IX$93,$C276*2+6)+INDEX(Input!$1:$1048576,IX$94,$C276*2+6)</f>
        <v>1294</v>
      </c>
      <c r="IY276" s="39">
        <f>INDEX(Input!$1:$1048576,IY$93,$C276*2+6)+INDEX(Input!$1:$1048576,IY$94,$C276*2+6)</f>
        <v>2154.0624533823611</v>
      </c>
      <c r="IZ276" s="39">
        <f>INDEX(Input!$1:$1048576,IZ$93,$C276*2+6)+INDEX(Input!$1:$1048576,IZ$94,$C276*2+6)</f>
        <v>3677.7164157747848</v>
      </c>
      <c r="JA276" s="19">
        <f t="shared" si="807"/>
        <v>1066</v>
      </c>
      <c r="JB276" s="19">
        <f t="shared" si="808"/>
        <v>1926.0507936206425</v>
      </c>
      <c r="JC276" s="19">
        <f t="shared" si="809"/>
        <v>3569.7164157747848</v>
      </c>
      <c r="JD276" s="19">
        <f t="shared" si="810"/>
        <v>1914.2534187344554</v>
      </c>
      <c r="JE276" s="21"/>
      <c r="JF276" s="1">
        <f t="shared" si="793"/>
        <v>1.7106565950787935E-2</v>
      </c>
      <c r="JG276" s="15">
        <f>INDEX(Input!$1:$1048576,JG$93,$C276*2+6)/(1+VLOOKUP(C276*1000+INDEX(Input!$1:$1048576,JG$93+1,$C276*2+6),$A:$KK,$JK$92,FALSE))</f>
        <v>1243</v>
      </c>
      <c r="JH276" s="1">
        <f t="shared" si="811"/>
        <v>-2.500532269367128E-2</v>
      </c>
      <c r="JI276" s="1">
        <f t="shared" si="812"/>
        <v>-5.1754391799963065E-3</v>
      </c>
      <c r="JJ276" s="1">
        <f t="shared" ref="JJ276:JJ283" si="848">SUM(HV276:HX276)/SUM(HY276:IA276)</f>
        <v>0</v>
      </c>
      <c r="JK276" s="1">
        <f t="shared" ref="JK276:JK283" si="849">SUM(JH276:JJ276)</f>
        <v>-3.0180761873667587E-2</v>
      </c>
      <c r="JL276" s="15">
        <f t="shared" si="813"/>
        <v>-37.514687008968814</v>
      </c>
      <c r="JM276" s="15">
        <f t="shared" si="830"/>
        <v>1205.4853129910312</v>
      </c>
      <c r="JN276" s="21"/>
      <c r="JO276" s="19">
        <f>INDEX(Input!$1:$1048576,JO$93,$C276*2+6)</f>
        <v>5995.5</v>
      </c>
      <c r="JP276" s="19">
        <f>INDEX(Input!$1:$1048576,JP$93,$C276*2+6)</f>
        <v>2105.548724853742</v>
      </c>
      <c r="JQ276" s="39">
        <f t="shared" si="819"/>
        <v>4081.2465812655446</v>
      </c>
      <c r="JR276" s="39">
        <f t="shared" si="833"/>
        <v>-191.29530611928658</v>
      </c>
      <c r="JS276" s="39">
        <f t="shared" si="820"/>
        <v>2.3076043816272565</v>
      </c>
      <c r="JT276" s="39">
        <f t="shared" si="814"/>
        <v>-0.30959268336594475</v>
      </c>
      <c r="JU276" s="385">
        <f>(JQ276*JM276-INDEX(Input!$1:$1048576,Input!A$18,$C276*2+6)*JL276*INDEX(Input!$1:$1048576,Input!A$19,$C276*2+6))/1000000</f>
        <v>4.9198828124104708</v>
      </c>
      <c r="JV276" s="39">
        <f t="shared" si="712"/>
        <v>8.4673377403672312E-2</v>
      </c>
      <c r="JW276" s="1">
        <f t="shared" si="831"/>
        <v>1.7511832432870255E-2</v>
      </c>
      <c r="JX276" s="19">
        <f t="shared" si="824"/>
        <v>8252.5727401625118</v>
      </c>
      <c r="JZ276" s="341"/>
      <c r="KA276" s="342"/>
      <c r="KB276" s="469">
        <f t="shared" si="821"/>
        <v>2.5660492421988774</v>
      </c>
      <c r="KI276" s="473">
        <f t="shared" ref="KI276:KI283" si="850">$JM276*IE276-$JG276*HY276/SUM($HY276:$IA276)</f>
        <v>-21.080069161254642</v>
      </c>
      <c r="KJ276" s="473">
        <f t="shared" ref="KJ276:KJ283" si="851">$JM276*IF276-$JG276*HZ276/SUM($HY276:$IA276)</f>
        <v>-17.738597660893788</v>
      </c>
      <c r="KK276" s="473">
        <f t="shared" si="843"/>
        <v>1.303979813179609</v>
      </c>
      <c r="KN276" s="544">
        <f t="shared" si="825"/>
        <v>2002</v>
      </c>
      <c r="KO276" s="541">
        <f t="shared" si="794"/>
        <v>-3.5894690769274651E-2</v>
      </c>
      <c r="KP276" s="546">
        <f t="shared" si="795"/>
        <v>-245.78246666446483</v>
      </c>
      <c r="KQ276" s="546">
        <f t="shared" si="796"/>
        <v>-229.4269206990175</v>
      </c>
      <c r="KR276" s="548">
        <f t="shared" si="797"/>
        <v>2.6055912808706703</v>
      </c>
      <c r="KS276" s="548">
        <f t="shared" si="798"/>
        <v>2.791340485155883</v>
      </c>
      <c r="KT276" s="473">
        <f t="shared" si="822"/>
        <v>843.26993010479111</v>
      </c>
      <c r="KU276" s="663">
        <f t="shared" si="816"/>
        <v>4.4844827473576592</v>
      </c>
    </row>
    <row r="277" spans="1:307" s="26" customFormat="1" ht="15" outlineLevel="1">
      <c r="A277" s="561">
        <f t="shared" si="799"/>
        <v>2077</v>
      </c>
      <c r="B277" s="561">
        <f t="shared" si="817"/>
        <v>77</v>
      </c>
      <c r="C277" s="561">
        <f t="shared" si="760"/>
        <v>2</v>
      </c>
      <c r="D277" s="561" t="str">
        <f t="shared" si="728"/>
        <v xml:space="preserve">-250 CC, -360 Lease, </v>
      </c>
      <c r="E277" s="475">
        <f>INDEX(Input!$1:$1048576,E$93,$C277*2+MIN($B277,2)+5)
+INDEX(Scenarios!E$121:E$200,MATCH($B277,Scenarios!$B$121:$B$200,0))</f>
        <v>1019.7618664521319</v>
      </c>
      <c r="F277" s="475">
        <f>INDEX(Input!$1:$1048576,F$93,$C277*2+MIN($B277,2)+5)
+INDEX(Scenarios!F$121:F$200,MATCH($B277,Scenarios!$B$121:$B$200,0))</f>
        <v>0</v>
      </c>
      <c r="G277" s="475">
        <f>INDEX(Input!$1:$1048576,G$93,$C277*2+MIN($B277,2)+5)
+INDEX(Scenarios!G$121:G$200,MATCH($B277,Scenarios!$B$121:$B$200,0))</f>
        <v>0</v>
      </c>
      <c r="H277" s="475">
        <f>INDEX(Input!$1:$1048576,H$93,$C277*2+MIN($B277,2)+5)
+INDEX(Scenarios!H$121:H$200,MATCH($B277,Scenarios!$B$121:$B$200,0))</f>
        <v>0</v>
      </c>
      <c r="I277" s="476">
        <f>INDEX(Input!$1:$1048576,I$93,$C277*2+MIN($B277,2)+5)</f>
        <v>0.7</v>
      </c>
      <c r="J277" s="476" t="str">
        <f>INDEX(Input!$1:$1048576,J$93,$C277*2+MIN($B277,2)+5)</f>
        <v>Market</v>
      </c>
      <c r="K277" s="476" t="str">
        <f>INDEX(Input!$1:$1048576,K$93,$C277*2+MIN($B277,2)+5)</f>
        <v>Market</v>
      </c>
      <c r="L277" s="476" t="str">
        <f>INDEX(Input!$1:$1048576,L$93,$C277*2+MIN($B277,2)+5)</f>
        <v>Market</v>
      </c>
      <c r="M277" s="476" t="str">
        <f>INDEX(Input!$1:$1048576,M$93,$C277*2+MIN($B277,2)+5)</f>
        <v>Market</v>
      </c>
      <c r="N277" s="476" t="str">
        <f>INDEX(Input!$1:$1048576,N$93,$C277*2+MIN($B277,2)+5)</f>
        <v>Market</v>
      </c>
      <c r="O277" s="476" t="str">
        <f>INDEX(Input!$1:$1048576,O$93,$C277*2+MIN($B277,2)+5)</f>
        <v>Market</v>
      </c>
      <c r="P277" s="476" t="str">
        <f>INDEX(Input!$1:$1048576,P$93,$C277*2+MIN($B277,2)+5)</f>
        <v>N</v>
      </c>
      <c r="Q277" s="477">
        <f>INDEX(Input!$1:$1048576,Q$93,$C277*2+MIN($B277,2)+5)
+INDEX(Scenarios!Q$121:Q$200,MATCH($B277,Scenarios!$B$121:$B$200,0))</f>
        <v>0</v>
      </c>
      <c r="R277" s="478">
        <f>IFERROR(MAX(0,INDEX(Input!$1:$1048576,R$93,$C277*2+MIN($B277,2)+5)
+INDEX(Scenarios!R$121:R$200,MATCH($B277,Scenarios!$B$121:$B$200,0)),),"Market")</f>
        <v>0</v>
      </c>
      <c r="S277" s="478">
        <f>IFERROR(MAX(0,INDEX(Input!$1:$1048576,S$93,$C277*2+MIN($B277,2)+5)
+INDEX(Scenarios!S$121:S$200,MATCH($B277,Scenarios!$B$121:$B$200,0)),),"Market")</f>
        <v>0</v>
      </c>
      <c r="T277" s="478">
        <f>IFERROR(MAX(0,INDEX(Input!$1:$1048576,T$93,$C277*2+MIN($B277,2)+5)
+INDEX(Scenarios!T$121:T$200,MATCH($B277,Scenarios!$B$121:$B$200,0)),),"Market")</f>
        <v>0</v>
      </c>
      <c r="U277" s="478">
        <f>IFERROR(MAX(0,INDEX(Input!$1:$1048576,U$93,$C277*2+MIN($B277,2)+5)
+INDEX(Scenarios!U$121:U$200,MATCH($B277,Scenarios!$B$121:$B$200,0)),),"Market")</f>
        <v>0</v>
      </c>
      <c r="V277" s="478">
        <f>IFERROR(MAX(0,INDEX(Input!$1:$1048576,V$93,$C277*2+MIN($B277,2)+5)
+INDEX(Scenarios!V$121:V$200,MATCH($B277,Scenarios!$B$121:$B$200,0)),),"Market")</f>
        <v>1.9E-2</v>
      </c>
      <c r="W277" s="885">
        <f>IFERROR(MAX(0,INDEX(Input!$1:$1048576,W$93,$C277*2+MIN($B277,2)+5)-0%,),"Market")</f>
        <v>3.9E-2</v>
      </c>
      <c r="X277" s="476" t="str">
        <f>INDEX(Input!$1:$1048576,X$93,$C277*2+MIN($B277,2)+5)</f>
        <v>Y</v>
      </c>
      <c r="Y277" s="475">
        <f>INDEX(Input!$1:$1048576,Y$93,$C277*2+MIN($B277,2)+5)
++INDEX(Scenarios!Y$121:Y$200,MATCH($B277,Scenarios!$B$121:$B$200,0))</f>
        <v>-304</v>
      </c>
      <c r="Z277" s="477">
        <f>INDEX(Input!$1:$1048576,Z$93,$C277*2+MIN($B277,2)+5)
+INDEX(Scenarios!Z$121:Z$200,MATCH($B277,Scenarios!$B$121:$B$200,0))</f>
        <v>0</v>
      </c>
      <c r="AA277" s="475">
        <f>INDEX(Input!$1:$1048576,AA$93,$C277*2+MIN($B277,2)+5)
+INDEX(Scenarios!AA$121:AA$200,MATCH($B277,Scenarios!$B$121:$B$200,0))</f>
        <v>0</v>
      </c>
      <c r="AB277" s="476">
        <f>INDEX(Input!$1:$1048576,AB$93,$C277*2+MIN($B277,2)+5)</f>
        <v>0.27</v>
      </c>
      <c r="AC277" s="475">
        <f>INDEX(Input!$1:$1048576,AC$93,$C277*2+MIN($B277,2)+5)
+INDEX(Scenarios!AC$121:AC$200,MATCH($B277,Scenarios!$B$121:$B$200,0))</f>
        <v>0</v>
      </c>
      <c r="AD277" s="476">
        <f>INDEX(Input!$1:$1048576,AD$93,$C277*2+MIN($B277,2)+5)</f>
        <v>0.27</v>
      </c>
      <c r="AE277" s="475">
        <f>INDEX(Input!$1:$1048576,AE$93,$C277*2+MIN($B277,2)+5)
+INDEX(Scenarios!AE$121:AE$200,MATCH($B277,Scenarios!$B$121:$B$200,0))</f>
        <v>0</v>
      </c>
      <c r="AF277" s="476">
        <f>INDEX(Input!$1:$1048576,AF$93,$C277*2+MIN($B277,2)+5)</f>
        <v>4.8000000000000001E-2</v>
      </c>
      <c r="AG277" s="475">
        <f>INDEX(Input!$1:$1048576,AG$93,$C277*2+MIN($B277,2)+5)
+INDEX(Scenarios!AG$121:AG$200,MATCH($B277,Scenarios!$B$121:$B$200,0))</f>
        <v>500</v>
      </c>
      <c r="AH277" s="476">
        <f>INDEX(Input!$1:$1048576,AH$93,$C277*2+MIN($B277,2)+5)</f>
        <v>0.94599999999999995</v>
      </c>
      <c r="AI277" s="475">
        <f>INDEX(Input!$1:$1048576,AI$93,$C277*2+MIN($B277,2)+5)
+INDEX(Scenarios!AI$121:AI$200,MATCH($B277,Scenarios!$B$121:$B$200,0))</f>
        <v>0</v>
      </c>
      <c r="AJ277" s="476">
        <f>INDEX(Input!$1:$1048576,AJ$93,$C277*2+MIN($B277,2)+5)</f>
        <v>0.27</v>
      </c>
      <c r="AK277" s="150">
        <f>ROUND(INDEX(Input!$1:$1048576,AK$93,$C276*2+MIN($B277,1)+5)+(Y277-VLOOKUP($C277*1000+1,$A:$HH,Y$92,FALSE)),0)</f>
        <v>2617</v>
      </c>
      <c r="AL277" s="150">
        <f>ROUND(INDEX(Input!$1:$1048576,AL$93,$C276*2+MIN($B277,1)+5)-(Y277-VLOOKUP($C277*1000+1,$A:$HH,Y$92,FALSE))/36,0)</f>
        <v>3405</v>
      </c>
      <c r="AM277" s="32" t="str">
        <f t="shared" si="800"/>
        <v>std/std/std/std</v>
      </c>
      <c r="AN277" s="32" t="str">
        <f t="shared" si="801"/>
        <v>$0 + 0/0/0/1.9/3.9</v>
      </c>
      <c r="AO277" s="32" t="str">
        <f t="shared" si="802"/>
        <v>0/0/0/1.9/3.9</v>
      </c>
      <c r="AP277" s="32" t="str">
        <f t="shared" si="734"/>
        <v>0/0.9/1.9/3.9</v>
      </c>
      <c r="AQ277" s="536">
        <f t="shared" si="733"/>
        <v>0.36164091956168948</v>
      </c>
      <c r="AR277" s="32"/>
      <c r="AS277" s="302"/>
      <c r="AT277" s="3">
        <f t="shared" si="717"/>
        <v>77</v>
      </c>
      <c r="AU277" s="41" t="s">
        <v>121</v>
      </c>
      <c r="AV277" s="41" t="s">
        <v>116</v>
      </c>
      <c r="AW277" s="41" t="str">
        <f>INDEX(Input!$1:$1048576,AW$93,$C277*2+6)</f>
        <v>Kia</v>
      </c>
      <c r="AX277" s="41" t="str">
        <f>INDEX(Input!$1:$1048576,AX$93,$C277*2+6)</f>
        <v>Kia-LR - L2</v>
      </c>
      <c r="AY277" s="41" t="str">
        <f>IF(LEN(D277)=0,"",INDEX(Input!$1:$1048576,AY$93,$C277*2+6))</f>
        <v>Compact SUV (52)</v>
      </c>
      <c r="AZ277" s="41" t="str">
        <f>INDEX(Input!$1:$1048576,AZ$93,$C277*2+6)</f>
        <v>Kia Soul</v>
      </c>
      <c r="BA277" s="3">
        <f>INDEX(Input!$1:$1048576,BA$93,$C277*2+6)</f>
        <v>2020</v>
      </c>
      <c r="BB277" s="128">
        <f>INDEX(Input!$1:$1048576,BB$93,$C277*2+6)</f>
        <v>1</v>
      </c>
      <c r="BC277" s="128">
        <f>INDEX(Input!$1:$1048576,BC$93,$C277*2+6)</f>
        <v>0.7</v>
      </c>
      <c r="BD277" s="1">
        <f>INDEX(Input!$1:$1048576,BD$93,$C277*2+6)</f>
        <v>4.4999999999999998E-2</v>
      </c>
      <c r="BE277" s="1">
        <f>INDEX(Input!$1:$1048576,BE$93,$C277*2+6)</f>
        <v>4.4999999999999998E-2</v>
      </c>
      <c r="BF277" s="1">
        <f>INDEX(Input!$1:$1048576,BF$93,$C277*2+6)</f>
        <v>0.05</v>
      </c>
      <c r="BG277" s="1">
        <f>INDEX(Input!$1:$1048576,BG$93,$C277*2+6)</f>
        <v>5.45E-2</v>
      </c>
      <c r="BH277" s="1">
        <f>INDEX(Input!$1:$1048576,BH$93,$C277*2+6)</f>
        <v>5.45E-2</v>
      </c>
      <c r="BI277" s="1">
        <f>INDEX(Input!$1:$1048576,BI$93,$C277*2+6)</f>
        <v>0.05</v>
      </c>
      <c r="BJ277" s="1">
        <f>INDEX(Input!$1:$1048576,BJ$93,$C277*2+6)</f>
        <v>0.05</v>
      </c>
      <c r="BK277" s="1">
        <f>INDEX(Input!$1:$1048576,BK$93,$C277*2+6)</f>
        <v>0.05</v>
      </c>
      <c r="BL277" s="1">
        <f>INDEX(Input!$1:$1048576,BL$93,$C277*2+6)</f>
        <v>5.5E-2</v>
      </c>
      <c r="BM277" s="1">
        <f>INDEX(Input!$1:$1048576,BM$93,$C277*2+6)</f>
        <v>0.06</v>
      </c>
      <c r="BN277" s="1">
        <f>INDEX(Input!$1:$1048576,BN$93,$C277*2+6)</f>
        <v>4.4999999999999998E-2</v>
      </c>
      <c r="BO277" s="1">
        <f>INDEX(Input!$1:$1048576,BO$93,$C277*2+6)</f>
        <v>4.4999999999999998E-2</v>
      </c>
      <c r="BP277" s="1">
        <f>INDEX(Input!$1:$1048576,BP$93,$C277*2+6)</f>
        <v>0.05</v>
      </c>
      <c r="BQ277" s="1">
        <f>INDEX(Input!$1:$1048576,BQ$93,$C277*2+6)</f>
        <v>5.45E-2</v>
      </c>
      <c r="BR277" s="1">
        <f>INDEX(Input!$1:$1048576,BR$93,$C277*2+6)</f>
        <v>5.45E-2</v>
      </c>
      <c r="BS277" s="1">
        <f>INDEX(Input!$1:$1048576,BS$93,$C277*2+6)</f>
        <v>0.05</v>
      </c>
      <c r="BT277" s="1">
        <f>INDEX(Input!$1:$1048576,BT$93,$C277*2+6)</f>
        <v>0.05</v>
      </c>
      <c r="BU277" s="1">
        <f>INDEX(Input!$1:$1048576,BU$93,$C277*2+6)</f>
        <v>0.05</v>
      </c>
      <c r="BV277" s="1">
        <f>INDEX(Input!$1:$1048576,BV$93,$C277*2+6)</f>
        <v>5.5E-2</v>
      </c>
      <c r="BW277" s="1">
        <f>INDEX(Input!$1:$1048576,BW$93,$C277*2+6)</f>
        <v>0.06</v>
      </c>
      <c r="BX277" s="127">
        <f>INDEX(Input!$1:$1048576,BX$93,$C277*2+6)</f>
        <v>19985</v>
      </c>
      <c r="BY277" s="20">
        <f>INDEX(Input!$1:$1048576,BY$93,$C277*2+6)</f>
        <v>0.1</v>
      </c>
      <c r="BZ277" s="20">
        <f>INDEX(Input!$1:$1048576,BZ$93,$C277*2+6)</f>
        <v>0.1</v>
      </c>
      <c r="CA277" s="20">
        <f>INDEX(Input!$1:$1048576,CA$93,$C277*2+6)</f>
        <v>0.1</v>
      </c>
      <c r="CB277" s="20">
        <f>INDEX(Input!$1:$1048576,CB$93,$C277*2+6)</f>
        <v>0.1</v>
      </c>
      <c r="CC277" s="20">
        <f>INDEX(Input!$1:$1048576,CC$93,$C277*2+6)</f>
        <v>0.1</v>
      </c>
      <c r="CD277" s="384">
        <f>INDEX(Input!$1:$1048576,CD$93,$C277*2+6)</f>
        <v>0.1</v>
      </c>
      <c r="CE277" s="384">
        <f>INDEX(Input!$1:$1048576,CE$93,$C277*2+6)</f>
        <v>0.1</v>
      </c>
      <c r="CF277" s="384">
        <f>INDEX(Input!$1:$1048576,CF$93,$C277*2+6)</f>
        <v>0.1</v>
      </c>
      <c r="CG277" s="384">
        <f>INDEX(Input!$1:$1048576,CG$93,$C277*2+6)</f>
        <v>0.1</v>
      </c>
      <c r="CH277" s="384">
        <f>INDEX(Input!$1:$1048576,CH$93,$C277*2+6)</f>
        <v>0.1</v>
      </c>
      <c r="CI277" s="304">
        <f t="shared" si="735"/>
        <v>1019.7618664521319</v>
      </c>
      <c r="CJ277" s="16" t="str">
        <f>INDEX(Input!$1:$1048576,CJ$93,$C277*2+6)</f>
        <v>N</v>
      </c>
      <c r="CK277" s="1" t="str">
        <f t="shared" si="736"/>
        <v>Market</v>
      </c>
      <c r="CL277" s="1" t="str">
        <f t="shared" si="737"/>
        <v>Market</v>
      </c>
      <c r="CM277" s="1" t="str">
        <f t="shared" si="738"/>
        <v>Market</v>
      </c>
      <c r="CN277" s="1" t="str">
        <f t="shared" si="739"/>
        <v>Market</v>
      </c>
      <c r="CO277" s="1" t="str">
        <f t="shared" si="740"/>
        <v>Market</v>
      </c>
      <c r="CP277" s="304">
        <f t="shared" si="741"/>
        <v>473</v>
      </c>
      <c r="CQ277" s="1">
        <f t="shared" si="742"/>
        <v>0</v>
      </c>
      <c r="CR277" s="1">
        <f t="shared" si="743"/>
        <v>0</v>
      </c>
      <c r="CS277" s="1">
        <f t="shared" si="744"/>
        <v>0</v>
      </c>
      <c r="CT277" s="1">
        <f t="shared" si="745"/>
        <v>1.9E-2</v>
      </c>
      <c r="CU277" s="1">
        <f t="shared" si="746"/>
        <v>3.9E-2</v>
      </c>
      <c r="CV277" s="304">
        <f t="shared" si="747"/>
        <v>-304</v>
      </c>
      <c r="CW277" s="20" t="s">
        <v>122</v>
      </c>
      <c r="CX277" s="20" t="s">
        <v>122</v>
      </c>
      <c r="CY277" s="20" t="s">
        <v>122</v>
      </c>
      <c r="CZ277" s="20" t="s">
        <v>122</v>
      </c>
      <c r="DA277" s="20" t="s">
        <v>122</v>
      </c>
      <c r="DB277" s="503">
        <f t="shared" si="748"/>
        <v>0</v>
      </c>
      <c r="DC277" s="127">
        <v>0</v>
      </c>
      <c r="DD277" s="127">
        <v>0</v>
      </c>
      <c r="DE277" s="127">
        <v>0</v>
      </c>
      <c r="DF277" s="127">
        <v>0</v>
      </c>
      <c r="DG277" s="127">
        <v>0</v>
      </c>
      <c r="DH277" s="127">
        <v>0</v>
      </c>
      <c r="DI277" s="127">
        <v>0</v>
      </c>
      <c r="DJ277" s="127">
        <v>0</v>
      </c>
      <c r="DK277" s="127">
        <v>0</v>
      </c>
      <c r="DL277" s="127">
        <v>0</v>
      </c>
      <c r="DM277" s="304">
        <f>INDEX(Input!$1:$1048576,DM$93,$C277*2+6)</f>
        <v>21036.84210526316</v>
      </c>
      <c r="DN277" s="20">
        <v>0</v>
      </c>
      <c r="DO277" s="20">
        <v>0</v>
      </c>
      <c r="DP277" s="20">
        <v>0</v>
      </c>
      <c r="DQ277" s="20">
        <v>0</v>
      </c>
      <c r="DR277" s="20">
        <v>0</v>
      </c>
      <c r="DS277" s="20">
        <f>INDEX(Input!$1:$1048576,DS$93,$C277*2+6)</f>
        <v>0.6</v>
      </c>
      <c r="DT277" s="20">
        <f>INDEX(Input!$1:$1048576,DT$93,$C277*2+6)</f>
        <v>0.55000000000000004</v>
      </c>
      <c r="DU277" s="20">
        <f>INDEX(Input!$1:$1048576,DU$93,$C277*2+6)</f>
        <v>0.52</v>
      </c>
      <c r="DV277" s="20">
        <f>INDEX(Input!$1:$1048576,DV$93,$C277*2+6)</f>
        <v>0.5</v>
      </c>
      <c r="DW277" s="20">
        <f>INDEX(Input!$1:$1048576,DW$93,$C277*2+6)</f>
        <v>0.45</v>
      </c>
      <c r="DX277" s="20"/>
      <c r="DY277" s="7">
        <v>8.9961536379096638E-2</v>
      </c>
      <c r="DZ277" s="7">
        <v>0</v>
      </c>
      <c r="EA277" s="7">
        <v>0.65799949460063589</v>
      </c>
      <c r="EB277" s="7">
        <v>0</v>
      </c>
      <c r="EC277" s="7">
        <v>0</v>
      </c>
      <c r="ED277" s="7">
        <v>0</v>
      </c>
      <c r="EE277" s="7">
        <v>0</v>
      </c>
      <c r="EF277" s="7">
        <v>0</v>
      </c>
      <c r="EG277" s="7">
        <v>0</v>
      </c>
      <c r="EH277" s="7">
        <v>1.4262414619990208E-2</v>
      </c>
      <c r="EI277" s="7">
        <v>4.0594726265690932E-2</v>
      </c>
      <c r="EJ277" s="7">
        <v>0.30725197449441138</v>
      </c>
      <c r="EK277" s="7">
        <v>0.52670199578675492</v>
      </c>
      <c r="EL277" s="7">
        <v>0.11118888883315238</v>
      </c>
      <c r="EM277" s="7">
        <v>6.5717491138637327E-2</v>
      </c>
      <c r="EN277" s="7">
        <v>6.4377725954879145E-2</v>
      </c>
      <c r="EO277" s="7">
        <v>0.72185054412907257</v>
      </c>
      <c r="EP277" s="7">
        <v>9.2858646461861732E-2</v>
      </c>
      <c r="EQ277" s="7">
        <v>7.9204675243751022E-2</v>
      </c>
      <c r="ER277" s="7">
        <v>4.1708408210435872E-2</v>
      </c>
      <c r="ES277" s="7">
        <v>0.18632147788163012</v>
      </c>
      <c r="ET277" s="7">
        <v>0.25203896902026751</v>
      </c>
      <c r="EU277" s="6">
        <v>1044</v>
      </c>
      <c r="EV277" s="6">
        <v>0</v>
      </c>
      <c r="EW277" s="6">
        <v>1044</v>
      </c>
      <c r="EX277" s="6">
        <v>0</v>
      </c>
      <c r="EY277" s="6">
        <v>2053.9736891597777</v>
      </c>
      <c r="EZ277" s="6">
        <v>586</v>
      </c>
      <c r="FA277" s="6">
        <v>0</v>
      </c>
      <c r="FB277" s="6">
        <v>0</v>
      </c>
      <c r="FC277" s="6">
        <v>0</v>
      </c>
      <c r="FD277" s="6">
        <v>0</v>
      </c>
      <c r="FE277" s="6">
        <v>0</v>
      </c>
      <c r="FF277" s="6">
        <v>0</v>
      </c>
      <c r="FG277" s="6">
        <v>0</v>
      </c>
      <c r="FH277" s="6">
        <v>1173.7294251451913</v>
      </c>
      <c r="FI277" s="6">
        <v>1553.9796069512392</v>
      </c>
      <c r="FJ277" s="6">
        <v>2101.211011744741</v>
      </c>
      <c r="FK277" s="6">
        <v>1772.7139978623234</v>
      </c>
      <c r="FL277" s="6">
        <v>907.07682140966381</v>
      </c>
      <c r="FM277" s="6">
        <v>1759.9736891597779</v>
      </c>
      <c r="FN277" s="6">
        <v>0</v>
      </c>
      <c r="FO277" s="6">
        <v>0</v>
      </c>
      <c r="FP277" s="6">
        <v>0</v>
      </c>
      <c r="FQ277" s="6">
        <v>0</v>
      </c>
      <c r="FR277" s="6">
        <v>0</v>
      </c>
      <c r="FS277" s="6">
        <v>0</v>
      </c>
      <c r="FT277" s="7">
        <v>0.74796103097973254</v>
      </c>
      <c r="FU277" s="7">
        <v>6.5717491138637327E-2</v>
      </c>
      <c r="FV277" s="7">
        <v>0.18632147788163012</v>
      </c>
      <c r="FW277" s="6">
        <v>1044</v>
      </c>
      <c r="FX277" s="6">
        <v>2053.9736891597777</v>
      </c>
      <c r="FY277" s="6">
        <v>586</v>
      </c>
      <c r="FZ277" s="6">
        <v>1817.4615072224267</v>
      </c>
      <c r="GA277" s="6">
        <v>1025.0377000978281</v>
      </c>
      <c r="GB277" s="6">
        <v>18959.96229990217</v>
      </c>
      <c r="GC277" s="7">
        <v>1.804905384453976E-2</v>
      </c>
      <c r="GD277" s="7">
        <v>1.6653581406521709E-2</v>
      </c>
      <c r="GE277" s="7"/>
      <c r="GF277" s="7"/>
      <c r="GG277" s="7">
        <v>-7.7315545182453552E-2</v>
      </c>
      <c r="GH277" s="42">
        <v>1.9499050338708197</v>
      </c>
      <c r="GI277" s="6">
        <v>11274.254791623116</v>
      </c>
      <c r="GJ277" s="14">
        <v>0.50394797582841755</v>
      </c>
      <c r="GK277" s="14">
        <v>0.50887573065309777</v>
      </c>
      <c r="GL277" s="14">
        <v>0.49605202417158278</v>
      </c>
      <c r="GM277" s="14">
        <v>0.49112426934690251</v>
      </c>
      <c r="GO277" s="5">
        <v>343.14810671672558</v>
      </c>
      <c r="GP277" s="5">
        <v>323.23057838090358</v>
      </c>
      <c r="GQ277" s="5">
        <v>535.04305713031317</v>
      </c>
      <c r="GR277" s="5">
        <v>410.15490233172511</v>
      </c>
      <c r="GS277" s="5">
        <v>339.42744393800166</v>
      </c>
      <c r="GT277" s="5">
        <v>293.4407446948278</v>
      </c>
      <c r="GU277" s="5">
        <v>258.04012322764959</v>
      </c>
      <c r="GV277" s="39" t="s">
        <v>392</v>
      </c>
      <c r="GW277" s="5">
        <v>491.45833333333331</v>
      </c>
      <c r="GX277" s="5">
        <v>368.59375</v>
      </c>
      <c r="GY277" s="5">
        <v>294.875</v>
      </c>
      <c r="GZ277" s="5">
        <v>260.19607020114813</v>
      </c>
      <c r="HA277" s="5">
        <v>241.02179695997205</v>
      </c>
      <c r="HB277" s="39">
        <v>276.41800614134769</v>
      </c>
      <c r="HC277" s="5">
        <v>261.64687500000002</v>
      </c>
      <c r="HD277" s="5">
        <v>222.30677997076018</v>
      </c>
      <c r="HE277" s="5">
        <v>224.71639254385963</v>
      </c>
      <c r="HF277" s="5">
        <v>207.35750548245613</v>
      </c>
      <c r="HG277" s="5">
        <v>199.39971491228067</v>
      </c>
      <c r="HH277" s="39">
        <v>222.92368953828912</v>
      </c>
      <c r="HI277" s="16"/>
      <c r="HJ277" s="19" t="str">
        <f t="shared" ref="HJ277:HK277" si="852">HJ276</f>
        <v>On</v>
      </c>
      <c r="HK277" s="1" t="str">
        <f t="shared" si="852"/>
        <v>On</v>
      </c>
      <c r="HL277" s="16"/>
      <c r="HM277" s="639">
        <f t="shared" si="775"/>
        <v>1.2768706344444866E-2</v>
      </c>
      <c r="HN277" s="639">
        <f t="shared" si="776"/>
        <v>9.795534288915453E-4</v>
      </c>
      <c r="HO277" s="639">
        <f t="shared" si="777"/>
        <v>3.3583061774515237E-3</v>
      </c>
      <c r="HP277" s="644">
        <f>(FT277*$GD277-HM277)/$JF277*INDEX(Input!$1:$1048576,$JG$93,$C277*2+6)</f>
        <v>-22.705211483241232</v>
      </c>
      <c r="HQ277" s="644">
        <f>(FU277*$GD277-HN277)/$JF277*INDEX(Input!$1:$1048576,$JG$93,$C277*2+6)</f>
        <v>8.3472949986637524</v>
      </c>
      <c r="HR277" s="644">
        <f>(FV277*$GD277-HO277)/$JF277*INDEX(Input!$1:$1048576,$JG$93,$C277*2+6)</f>
        <v>-18.556918096642718</v>
      </c>
      <c r="HS277" s="644">
        <f t="shared" si="767"/>
        <v>12.910580156016795</v>
      </c>
      <c r="HT277" s="644">
        <f t="shared" si="845"/>
        <v>6.4087413832606845</v>
      </c>
      <c r="HU277" s="644">
        <f t="shared" si="779"/>
        <v>-9.3949559361846759</v>
      </c>
      <c r="HV277" s="648">
        <f t="shared" si="780"/>
        <v>0</v>
      </c>
      <c r="HW277" s="648">
        <f t="shared" si="781"/>
        <v>0</v>
      </c>
      <c r="HX277" s="648">
        <f t="shared" si="782"/>
        <v>0</v>
      </c>
      <c r="HY277" s="644">
        <f>INDEX(Input!$1:$1048576,HY$93,$C277*2+6)*INDEX(Input!$1:$1048576,$JG$93,$C277*2+6)</f>
        <v>451</v>
      </c>
      <c r="HZ277" s="644">
        <f>INDEX(Input!$1:$1048576,HZ$93,$C277*2+6)*INDEX(Input!$1:$1048576,$JG$93,$C277*2+6)</f>
        <v>577</v>
      </c>
      <c r="IA277" s="644">
        <f>INDEX(Input!$1:$1048576,IA$93,$C277*2+6)*INDEX(Input!$1:$1048576,$JG$93,$C277*2+6)</f>
        <v>215</v>
      </c>
      <c r="IB277" s="644">
        <f t="shared" si="804"/>
        <v>441.20536867277553</v>
      </c>
      <c r="IC277" s="644">
        <f t="shared" si="805"/>
        <v>591.75603638192445</v>
      </c>
      <c r="ID277" s="644">
        <f>IF(AND(INDEX(Input!$1:$1048576,IA$93,$C277*2+7)="TOS",Y277&lt;=INDEX(Y:Y,MATCH(C277*1000+2,A:A))),0,1)*MAX(IA277+HR277+HU277+HX277,0%)</f>
        <v>187.04812596717258</v>
      </c>
      <c r="IE277" s="128">
        <f t="shared" si="846"/>
        <v>0.36164091956168948</v>
      </c>
      <c r="IF277" s="128">
        <f t="shared" si="847"/>
        <v>0.48504214215955604</v>
      </c>
      <c r="IG277" s="128">
        <f t="shared" si="838"/>
        <v>0.15331693827875442</v>
      </c>
      <c r="IH277" s="21"/>
      <c r="II277" s="19">
        <f t="shared" si="785"/>
        <v>1252</v>
      </c>
      <c r="IJ277" s="19">
        <f t="shared" si="786"/>
        <v>2011.9658773055378</v>
      </c>
      <c r="IK277" s="19">
        <f t="shared" si="787"/>
        <v>919</v>
      </c>
      <c r="IL277" s="19">
        <f t="shared" si="806"/>
        <v>-208</v>
      </c>
      <c r="IM277" s="19">
        <f t="shared" si="788"/>
        <v>42.00781185423989</v>
      </c>
      <c r="IN277" s="19">
        <f t="shared" si="789"/>
        <v>-333</v>
      </c>
      <c r="IO277" s="39">
        <f t="shared" si="790"/>
        <v>0</v>
      </c>
      <c r="IP277" s="39">
        <f t="shared" si="791"/>
        <v>0</v>
      </c>
      <c r="IQ277" s="39">
        <f t="shared" si="792"/>
        <v>0</v>
      </c>
      <c r="IR277" s="39">
        <v>0</v>
      </c>
      <c r="IS277" s="39">
        <v>0</v>
      </c>
      <c r="IT277" s="39">
        <v>0</v>
      </c>
      <c r="IU277" s="39">
        <v>0</v>
      </c>
      <c r="IV277" s="39">
        <v>0</v>
      </c>
      <c r="IW277" s="39">
        <v>0</v>
      </c>
      <c r="IX277" s="39">
        <f>INDEX(Input!$1:$1048576,IX$93,$C277*2+6)+INDEX(Input!$1:$1048576,IX$94,$C277*2+6)</f>
        <v>1294</v>
      </c>
      <c r="IY277" s="39">
        <f>INDEX(Input!$1:$1048576,IY$93,$C277*2+6)+INDEX(Input!$1:$1048576,IY$94,$C277*2+6)</f>
        <v>2154.0624533823611</v>
      </c>
      <c r="IZ277" s="39">
        <f>INDEX(Input!$1:$1048576,IZ$93,$C277*2+6)+INDEX(Input!$1:$1048576,IZ$94,$C277*2+6)</f>
        <v>3677.7164157747848</v>
      </c>
      <c r="JA277" s="19">
        <f t="shared" si="807"/>
        <v>1086</v>
      </c>
      <c r="JB277" s="19">
        <f t="shared" si="808"/>
        <v>2196.0702652366008</v>
      </c>
      <c r="JC277" s="19">
        <f t="shared" si="809"/>
        <v>3344.7164157747848</v>
      </c>
      <c r="JD277" s="19">
        <f t="shared" si="810"/>
        <v>1970.7303447045397</v>
      </c>
      <c r="JE277" s="21"/>
      <c r="JF277" s="1">
        <f t="shared" si="793"/>
        <v>1.7106565950787935E-2</v>
      </c>
      <c r="JG277" s="15">
        <f>INDEX(Input!$1:$1048576,JG$93,$C277*2+6)/(1+VLOOKUP(C277*1000+INDEX(Input!$1:$1048576,JG$93+1,$C277*2+6),$A:$KK,$JK$92,FALSE))</f>
        <v>1243</v>
      </c>
      <c r="JH277" s="1">
        <f t="shared" si="811"/>
        <v>-2.6480156541609168E-2</v>
      </c>
      <c r="JI277" s="1">
        <f t="shared" si="812"/>
        <v>7.9842040250143256E-3</v>
      </c>
      <c r="JJ277" s="1">
        <f t="shared" si="848"/>
        <v>0</v>
      </c>
      <c r="JK277" s="1">
        <f t="shared" si="849"/>
        <v>-1.8495952516594843E-2</v>
      </c>
      <c r="JL277" s="15">
        <f t="shared" si="813"/>
        <v>-22.990468978127389</v>
      </c>
      <c r="JM277" s="15">
        <f t="shared" si="830"/>
        <v>1220.0095310218726</v>
      </c>
      <c r="JN277" s="21"/>
      <c r="JO277" s="19">
        <f>INDEX(Input!$1:$1048576,JO$93,$C277*2+6)</f>
        <v>5995.5</v>
      </c>
      <c r="JP277" s="19">
        <f>INDEX(Input!$1:$1048576,JP$93,$C277*2+6)</f>
        <v>2105.548724853742</v>
      </c>
      <c r="JQ277" s="39">
        <f t="shared" si="819"/>
        <v>4024.7696552954603</v>
      </c>
      <c r="JR277" s="39">
        <f t="shared" si="833"/>
        <v>-134.81838014920231</v>
      </c>
      <c r="JS277" s="39">
        <f t="shared" si="820"/>
        <v>2.4043098036135588</v>
      </c>
      <c r="JT277" s="39">
        <f t="shared" si="814"/>
        <v>-0.21288726137964242</v>
      </c>
      <c r="JU277" s="385">
        <f>(JQ277*JM277-INDEX(Input!$1:$1048576,Input!A$18,$C277*2+6)*JL277*INDEX(Input!$1:$1048576,Input!A$19,$C277*2+6))/1000000</f>
        <v>4.9102573396280782</v>
      </c>
      <c r="JV277" s="39">
        <f t="shared" si="712"/>
        <v>7.5047904621279748E-2</v>
      </c>
      <c r="JW277" s="1">
        <f t="shared" si="831"/>
        <v>1.5521128015248884E-2</v>
      </c>
      <c r="JX277" s="19">
        <f t="shared" si="824"/>
        <v>9259.8050775814336</v>
      </c>
      <c r="JZ277" s="341"/>
      <c r="KA277" s="342"/>
      <c r="KB277" s="469">
        <f t="shared" si="821"/>
        <v>2.5660492421988774</v>
      </c>
      <c r="KI277" s="473">
        <f t="shared" si="850"/>
        <v>-9.7946313272244652</v>
      </c>
      <c r="KJ277" s="473">
        <f t="shared" si="851"/>
        <v>14.756036381924446</v>
      </c>
      <c r="KK277" s="473">
        <f t="shared" si="843"/>
        <v>-27.951874032827419</v>
      </c>
      <c r="KN277" s="544">
        <f t="shared" si="825"/>
        <v>2002</v>
      </c>
      <c r="KO277" s="541">
        <f t="shared" si="794"/>
        <v>-2.4278725344349494E-2</v>
      </c>
      <c r="KP277" s="546">
        <f t="shared" si="795"/>
        <v>-145.60108990045646</v>
      </c>
      <c r="KQ277" s="546">
        <f t="shared" si="796"/>
        <v>-172.94999472893323</v>
      </c>
      <c r="KR277" s="548">
        <f t="shared" si="797"/>
        <v>2.975008635689337</v>
      </c>
      <c r="KS277" s="548">
        <f t="shared" si="798"/>
        <v>2.5045649784409756</v>
      </c>
      <c r="KT277" s="473">
        <f t="shared" si="822"/>
        <v>843.26993010479111</v>
      </c>
      <c r="KU277" s="663">
        <f t="shared" si="816"/>
        <v>4.5306340964382219</v>
      </c>
    </row>
    <row r="278" spans="1:307" s="26" customFormat="1" ht="15" outlineLevel="1">
      <c r="A278" s="561">
        <f t="shared" si="799"/>
        <v>2078</v>
      </c>
      <c r="B278" s="561">
        <f t="shared" si="817"/>
        <v>78</v>
      </c>
      <c r="C278" s="561">
        <f t="shared" si="760"/>
        <v>2</v>
      </c>
      <c r="D278" s="561" t="str">
        <f t="shared" si="728"/>
        <v xml:space="preserve">-500 CC, -360 Lease, </v>
      </c>
      <c r="E278" s="475">
        <f>INDEX(Input!$1:$1048576,E$93,$C278*2+MIN($B278,2)+5)
+INDEX(Scenarios!E$121:E$200,MATCH($B278,Scenarios!$B$121:$B$200,0))</f>
        <v>769.76186645213193</v>
      </c>
      <c r="F278" s="475">
        <f>INDEX(Input!$1:$1048576,F$93,$C278*2+MIN($B278,2)+5)
+INDEX(Scenarios!F$121:F$200,MATCH($B278,Scenarios!$B$121:$B$200,0))</f>
        <v>0</v>
      </c>
      <c r="G278" s="475">
        <f>INDEX(Input!$1:$1048576,G$93,$C278*2+MIN($B278,2)+5)
+INDEX(Scenarios!G$121:G$200,MATCH($B278,Scenarios!$B$121:$B$200,0))</f>
        <v>0</v>
      </c>
      <c r="H278" s="475">
        <f>INDEX(Input!$1:$1048576,H$93,$C278*2+MIN($B278,2)+5)
+INDEX(Scenarios!H$121:H$200,MATCH($B278,Scenarios!$B$121:$B$200,0))</f>
        <v>0</v>
      </c>
      <c r="I278" s="476">
        <f>INDEX(Input!$1:$1048576,I$93,$C278*2+MIN($B278,2)+5)</f>
        <v>0.7</v>
      </c>
      <c r="J278" s="476" t="str">
        <f>INDEX(Input!$1:$1048576,J$93,$C278*2+MIN($B278,2)+5)</f>
        <v>Market</v>
      </c>
      <c r="K278" s="476" t="str">
        <f>INDEX(Input!$1:$1048576,K$93,$C278*2+MIN($B278,2)+5)</f>
        <v>Market</v>
      </c>
      <c r="L278" s="476" t="str">
        <f>INDEX(Input!$1:$1048576,L$93,$C278*2+MIN($B278,2)+5)</f>
        <v>Market</v>
      </c>
      <c r="M278" s="476" t="str">
        <f>INDEX(Input!$1:$1048576,M$93,$C278*2+MIN($B278,2)+5)</f>
        <v>Market</v>
      </c>
      <c r="N278" s="476" t="str">
        <f>INDEX(Input!$1:$1048576,N$93,$C278*2+MIN($B278,2)+5)</f>
        <v>Market</v>
      </c>
      <c r="O278" s="476" t="str">
        <f>INDEX(Input!$1:$1048576,O$93,$C278*2+MIN($B278,2)+5)</f>
        <v>Market</v>
      </c>
      <c r="P278" s="476" t="str">
        <f>INDEX(Input!$1:$1048576,P$93,$C278*2+MIN($B278,2)+5)</f>
        <v>N</v>
      </c>
      <c r="Q278" s="477">
        <f>INDEX(Input!$1:$1048576,Q$93,$C278*2+MIN($B278,2)+5)
+INDEX(Scenarios!Q$121:Q$200,MATCH($B278,Scenarios!$B$121:$B$200,0))</f>
        <v>0</v>
      </c>
      <c r="R278" s="478">
        <f>IFERROR(MAX(0,INDEX(Input!$1:$1048576,R$93,$C278*2+MIN($B278,2)+5)
+INDEX(Scenarios!R$121:R$200,MATCH($B278,Scenarios!$B$121:$B$200,0)),),"Market")</f>
        <v>0</v>
      </c>
      <c r="S278" s="478">
        <f>IFERROR(MAX(0,INDEX(Input!$1:$1048576,S$93,$C278*2+MIN($B278,2)+5)
+INDEX(Scenarios!S$121:S$200,MATCH($B278,Scenarios!$B$121:$B$200,0)),),"Market")</f>
        <v>0</v>
      </c>
      <c r="T278" s="478">
        <f>IFERROR(MAX(0,INDEX(Input!$1:$1048576,T$93,$C278*2+MIN($B278,2)+5)
+INDEX(Scenarios!T$121:T$200,MATCH($B278,Scenarios!$B$121:$B$200,0)),),"Market")</f>
        <v>0</v>
      </c>
      <c r="U278" s="478">
        <f>IFERROR(MAX(0,INDEX(Input!$1:$1048576,U$93,$C278*2+MIN($B278,2)+5)
+INDEX(Scenarios!U$121:U$200,MATCH($B278,Scenarios!$B$121:$B$200,0)),),"Market")</f>
        <v>0</v>
      </c>
      <c r="V278" s="478">
        <f>IFERROR(MAX(0,INDEX(Input!$1:$1048576,V$93,$C278*2+MIN($B278,2)+5)
+INDEX(Scenarios!V$121:V$200,MATCH($B278,Scenarios!$B$121:$B$200,0)),),"Market")</f>
        <v>1.9E-2</v>
      </c>
      <c r="W278" s="885">
        <f>IFERROR(MAX(0,INDEX(Input!$1:$1048576,W$93,$C278*2+MIN($B278,2)+5)-0%,),"Market")</f>
        <v>3.9E-2</v>
      </c>
      <c r="X278" s="476" t="str">
        <f>INDEX(Input!$1:$1048576,X$93,$C278*2+MIN($B278,2)+5)</f>
        <v>Y</v>
      </c>
      <c r="Y278" s="475">
        <f>INDEX(Input!$1:$1048576,Y$93,$C278*2+MIN($B278,2)+5)
++INDEX(Scenarios!Y$121:Y$200,MATCH($B278,Scenarios!$B$121:$B$200,0))</f>
        <v>-304</v>
      </c>
      <c r="Z278" s="477">
        <f>INDEX(Input!$1:$1048576,Z$93,$C278*2+MIN($B278,2)+5)
+INDEX(Scenarios!Z$121:Z$200,MATCH($B278,Scenarios!$B$121:$B$200,0))</f>
        <v>0</v>
      </c>
      <c r="AA278" s="475">
        <f>INDEX(Input!$1:$1048576,AA$93,$C278*2+MIN($B278,2)+5)
+INDEX(Scenarios!AA$121:AA$200,MATCH($B278,Scenarios!$B$121:$B$200,0))</f>
        <v>0</v>
      </c>
      <c r="AB278" s="476">
        <f>INDEX(Input!$1:$1048576,AB$93,$C278*2+MIN($B278,2)+5)</f>
        <v>0.27</v>
      </c>
      <c r="AC278" s="475">
        <f>INDEX(Input!$1:$1048576,AC$93,$C278*2+MIN($B278,2)+5)
+INDEX(Scenarios!AC$121:AC$200,MATCH($B278,Scenarios!$B$121:$B$200,0))</f>
        <v>0</v>
      </c>
      <c r="AD278" s="476">
        <f>INDEX(Input!$1:$1048576,AD$93,$C278*2+MIN($B278,2)+5)</f>
        <v>0.27</v>
      </c>
      <c r="AE278" s="475">
        <f>INDEX(Input!$1:$1048576,AE$93,$C278*2+MIN($B278,2)+5)
+INDEX(Scenarios!AE$121:AE$200,MATCH($B278,Scenarios!$B$121:$B$200,0))</f>
        <v>0</v>
      </c>
      <c r="AF278" s="476">
        <f>INDEX(Input!$1:$1048576,AF$93,$C278*2+MIN($B278,2)+5)</f>
        <v>4.8000000000000001E-2</v>
      </c>
      <c r="AG278" s="475">
        <f>INDEX(Input!$1:$1048576,AG$93,$C278*2+MIN($B278,2)+5)
+INDEX(Scenarios!AG$121:AG$200,MATCH($B278,Scenarios!$B$121:$B$200,0))</f>
        <v>500</v>
      </c>
      <c r="AH278" s="476">
        <f>INDEX(Input!$1:$1048576,AH$93,$C278*2+MIN($B278,2)+5)</f>
        <v>0.94599999999999995</v>
      </c>
      <c r="AI278" s="475">
        <f>INDEX(Input!$1:$1048576,AI$93,$C278*2+MIN($B278,2)+5)
+INDEX(Scenarios!AI$121:AI$200,MATCH($B278,Scenarios!$B$121:$B$200,0))</f>
        <v>0</v>
      </c>
      <c r="AJ278" s="476">
        <f>INDEX(Input!$1:$1048576,AJ$93,$C278*2+MIN($B278,2)+5)</f>
        <v>0.27</v>
      </c>
      <c r="AK278" s="150">
        <f>ROUND(INDEX(Input!$1:$1048576,AK$93,$C277*2+MIN($B278,1)+5)+(Y278-VLOOKUP($C278*1000+1,$A:$HH,Y$92,FALSE)),0)</f>
        <v>2617</v>
      </c>
      <c r="AL278" s="150">
        <f>ROUND(INDEX(Input!$1:$1048576,AL$93,$C277*2+MIN($B278,1)+5)-(Y278-VLOOKUP($C278*1000+1,$A:$HH,Y$92,FALSE))/36,0)</f>
        <v>3405</v>
      </c>
      <c r="AM278" s="32" t="str">
        <f t="shared" si="800"/>
        <v>std/std/std/std</v>
      </c>
      <c r="AN278" s="32" t="str">
        <f t="shared" si="801"/>
        <v>$0 + 0/0/0/1.9/3.9</v>
      </c>
      <c r="AO278" s="32" t="str">
        <f t="shared" si="802"/>
        <v>0/0/0/1.9/3.9</v>
      </c>
      <c r="AP278" s="32" t="str">
        <f t="shared" si="734"/>
        <v>0/0.9/1.9/3.9</v>
      </c>
      <c r="AQ278" s="536">
        <f t="shared" si="733"/>
        <v>0.33515259244197138</v>
      </c>
      <c r="AR278" s="32"/>
      <c r="AS278" s="302"/>
      <c r="AT278" s="3">
        <f t="shared" si="717"/>
        <v>78</v>
      </c>
      <c r="AU278" s="41" t="s">
        <v>121</v>
      </c>
      <c r="AV278" s="41" t="s">
        <v>116</v>
      </c>
      <c r="AW278" s="41" t="str">
        <f>INDEX(Input!$1:$1048576,AW$93,$C278*2+6)</f>
        <v>Kia</v>
      </c>
      <c r="AX278" s="41" t="str">
        <f>INDEX(Input!$1:$1048576,AX$93,$C278*2+6)</f>
        <v>Kia-LR - L2</v>
      </c>
      <c r="AY278" s="41" t="str">
        <f>IF(LEN(D278)=0,"",INDEX(Input!$1:$1048576,AY$93,$C278*2+6))</f>
        <v>Compact SUV (52)</v>
      </c>
      <c r="AZ278" s="41" t="str">
        <f>INDEX(Input!$1:$1048576,AZ$93,$C278*2+6)</f>
        <v>Kia Soul</v>
      </c>
      <c r="BA278" s="3">
        <f>INDEX(Input!$1:$1048576,BA$93,$C278*2+6)</f>
        <v>2020</v>
      </c>
      <c r="BB278" s="128">
        <f>INDEX(Input!$1:$1048576,BB$93,$C278*2+6)</f>
        <v>1</v>
      </c>
      <c r="BC278" s="128">
        <f>INDEX(Input!$1:$1048576,BC$93,$C278*2+6)</f>
        <v>0.7</v>
      </c>
      <c r="BD278" s="1">
        <f>INDEX(Input!$1:$1048576,BD$93,$C278*2+6)</f>
        <v>4.4999999999999998E-2</v>
      </c>
      <c r="BE278" s="1">
        <f>INDEX(Input!$1:$1048576,BE$93,$C278*2+6)</f>
        <v>4.4999999999999998E-2</v>
      </c>
      <c r="BF278" s="1">
        <f>INDEX(Input!$1:$1048576,BF$93,$C278*2+6)</f>
        <v>0.05</v>
      </c>
      <c r="BG278" s="1">
        <f>INDEX(Input!$1:$1048576,BG$93,$C278*2+6)</f>
        <v>5.45E-2</v>
      </c>
      <c r="BH278" s="1">
        <f>INDEX(Input!$1:$1048576,BH$93,$C278*2+6)</f>
        <v>5.45E-2</v>
      </c>
      <c r="BI278" s="1">
        <f>INDEX(Input!$1:$1048576,BI$93,$C278*2+6)</f>
        <v>0.05</v>
      </c>
      <c r="BJ278" s="1">
        <f>INDEX(Input!$1:$1048576,BJ$93,$C278*2+6)</f>
        <v>0.05</v>
      </c>
      <c r="BK278" s="1">
        <f>INDEX(Input!$1:$1048576,BK$93,$C278*2+6)</f>
        <v>0.05</v>
      </c>
      <c r="BL278" s="1">
        <f>INDEX(Input!$1:$1048576,BL$93,$C278*2+6)</f>
        <v>5.5E-2</v>
      </c>
      <c r="BM278" s="1">
        <f>INDEX(Input!$1:$1048576,BM$93,$C278*2+6)</f>
        <v>0.06</v>
      </c>
      <c r="BN278" s="1">
        <f>INDEX(Input!$1:$1048576,BN$93,$C278*2+6)</f>
        <v>4.4999999999999998E-2</v>
      </c>
      <c r="BO278" s="1">
        <f>INDEX(Input!$1:$1048576,BO$93,$C278*2+6)</f>
        <v>4.4999999999999998E-2</v>
      </c>
      <c r="BP278" s="1">
        <f>INDEX(Input!$1:$1048576,BP$93,$C278*2+6)</f>
        <v>0.05</v>
      </c>
      <c r="BQ278" s="1">
        <f>INDEX(Input!$1:$1048576,BQ$93,$C278*2+6)</f>
        <v>5.45E-2</v>
      </c>
      <c r="BR278" s="1">
        <f>INDEX(Input!$1:$1048576,BR$93,$C278*2+6)</f>
        <v>5.45E-2</v>
      </c>
      <c r="BS278" s="1">
        <f>INDEX(Input!$1:$1048576,BS$93,$C278*2+6)</f>
        <v>0.05</v>
      </c>
      <c r="BT278" s="1">
        <f>INDEX(Input!$1:$1048576,BT$93,$C278*2+6)</f>
        <v>0.05</v>
      </c>
      <c r="BU278" s="1">
        <f>INDEX(Input!$1:$1048576,BU$93,$C278*2+6)</f>
        <v>0.05</v>
      </c>
      <c r="BV278" s="1">
        <f>INDEX(Input!$1:$1048576,BV$93,$C278*2+6)</f>
        <v>5.5E-2</v>
      </c>
      <c r="BW278" s="1">
        <f>INDEX(Input!$1:$1048576,BW$93,$C278*2+6)</f>
        <v>0.06</v>
      </c>
      <c r="BX278" s="127">
        <f>INDEX(Input!$1:$1048576,BX$93,$C278*2+6)</f>
        <v>19985</v>
      </c>
      <c r="BY278" s="20">
        <f>INDEX(Input!$1:$1048576,BY$93,$C278*2+6)</f>
        <v>0.1</v>
      </c>
      <c r="BZ278" s="20">
        <f>INDEX(Input!$1:$1048576,BZ$93,$C278*2+6)</f>
        <v>0.1</v>
      </c>
      <c r="CA278" s="20">
        <f>INDEX(Input!$1:$1048576,CA$93,$C278*2+6)</f>
        <v>0.1</v>
      </c>
      <c r="CB278" s="20">
        <f>INDEX(Input!$1:$1048576,CB$93,$C278*2+6)</f>
        <v>0.1</v>
      </c>
      <c r="CC278" s="20">
        <f>INDEX(Input!$1:$1048576,CC$93,$C278*2+6)</f>
        <v>0.1</v>
      </c>
      <c r="CD278" s="384">
        <f>INDEX(Input!$1:$1048576,CD$93,$C278*2+6)</f>
        <v>0.1</v>
      </c>
      <c r="CE278" s="384">
        <f>INDEX(Input!$1:$1048576,CE$93,$C278*2+6)</f>
        <v>0.1</v>
      </c>
      <c r="CF278" s="384">
        <f>INDEX(Input!$1:$1048576,CF$93,$C278*2+6)</f>
        <v>0.1</v>
      </c>
      <c r="CG278" s="384">
        <f>INDEX(Input!$1:$1048576,CG$93,$C278*2+6)</f>
        <v>0.1</v>
      </c>
      <c r="CH278" s="384">
        <f>INDEX(Input!$1:$1048576,CH$93,$C278*2+6)</f>
        <v>0.1</v>
      </c>
      <c r="CI278" s="304">
        <f t="shared" si="735"/>
        <v>769.76186645213193</v>
      </c>
      <c r="CJ278" s="16" t="str">
        <f>INDEX(Input!$1:$1048576,CJ$93,$C278*2+6)</f>
        <v>N</v>
      </c>
      <c r="CK278" s="1" t="str">
        <f t="shared" si="736"/>
        <v>Market</v>
      </c>
      <c r="CL278" s="1" t="str">
        <f t="shared" si="737"/>
        <v>Market</v>
      </c>
      <c r="CM278" s="1" t="str">
        <f t="shared" si="738"/>
        <v>Market</v>
      </c>
      <c r="CN278" s="1" t="str">
        <f t="shared" si="739"/>
        <v>Market</v>
      </c>
      <c r="CO278" s="1" t="str">
        <f t="shared" si="740"/>
        <v>Market</v>
      </c>
      <c r="CP278" s="304">
        <f t="shared" si="741"/>
        <v>473</v>
      </c>
      <c r="CQ278" s="1">
        <f t="shared" si="742"/>
        <v>0</v>
      </c>
      <c r="CR278" s="1">
        <f t="shared" si="743"/>
        <v>0</v>
      </c>
      <c r="CS278" s="1">
        <f t="shared" si="744"/>
        <v>0</v>
      </c>
      <c r="CT278" s="1">
        <f t="shared" si="745"/>
        <v>1.9E-2</v>
      </c>
      <c r="CU278" s="1">
        <f t="shared" si="746"/>
        <v>3.9E-2</v>
      </c>
      <c r="CV278" s="304">
        <f t="shared" si="747"/>
        <v>-304</v>
      </c>
      <c r="CW278" s="20" t="s">
        <v>122</v>
      </c>
      <c r="CX278" s="20" t="s">
        <v>122</v>
      </c>
      <c r="CY278" s="20" t="s">
        <v>122</v>
      </c>
      <c r="CZ278" s="20" t="s">
        <v>122</v>
      </c>
      <c r="DA278" s="20" t="s">
        <v>122</v>
      </c>
      <c r="DB278" s="503">
        <f t="shared" si="748"/>
        <v>0</v>
      </c>
      <c r="DC278" s="127">
        <v>0</v>
      </c>
      <c r="DD278" s="127">
        <v>0</v>
      </c>
      <c r="DE278" s="127">
        <v>0</v>
      </c>
      <c r="DF278" s="127">
        <v>0</v>
      </c>
      <c r="DG278" s="127">
        <v>0</v>
      </c>
      <c r="DH278" s="127">
        <v>0</v>
      </c>
      <c r="DI278" s="127">
        <v>0</v>
      </c>
      <c r="DJ278" s="127">
        <v>0</v>
      </c>
      <c r="DK278" s="127">
        <v>0</v>
      </c>
      <c r="DL278" s="127">
        <v>0</v>
      </c>
      <c r="DM278" s="304">
        <f>INDEX(Input!$1:$1048576,DM$93,$C278*2+6)</f>
        <v>21036.84210526316</v>
      </c>
      <c r="DN278" s="20">
        <v>0</v>
      </c>
      <c r="DO278" s="20">
        <v>0</v>
      </c>
      <c r="DP278" s="20">
        <v>0</v>
      </c>
      <c r="DQ278" s="20">
        <v>0</v>
      </c>
      <c r="DR278" s="20">
        <v>0</v>
      </c>
      <c r="DS278" s="20">
        <f>INDEX(Input!$1:$1048576,DS$93,$C278*2+6)</f>
        <v>0.6</v>
      </c>
      <c r="DT278" s="20">
        <f>INDEX(Input!$1:$1048576,DT$93,$C278*2+6)</f>
        <v>0.55000000000000004</v>
      </c>
      <c r="DU278" s="20">
        <f>INDEX(Input!$1:$1048576,DU$93,$C278*2+6)</f>
        <v>0.52</v>
      </c>
      <c r="DV278" s="20">
        <f>INDEX(Input!$1:$1048576,DV$93,$C278*2+6)</f>
        <v>0.5</v>
      </c>
      <c r="DW278" s="20">
        <f>INDEX(Input!$1:$1048576,DW$93,$C278*2+6)</f>
        <v>0.45</v>
      </c>
      <c r="DX278" s="20"/>
      <c r="DY278" s="7">
        <v>8.4353256095139828E-2</v>
      </c>
      <c r="DZ278" s="7">
        <v>0</v>
      </c>
      <c r="EA278" s="7">
        <v>0.63723054641369392</v>
      </c>
      <c r="EB278" s="7">
        <v>0</v>
      </c>
      <c r="EC278" s="7">
        <v>0</v>
      </c>
      <c r="ED278" s="7">
        <v>0</v>
      </c>
      <c r="EE278" s="7">
        <v>0</v>
      </c>
      <c r="EF278" s="7">
        <v>0</v>
      </c>
      <c r="EG278" s="7">
        <v>0</v>
      </c>
      <c r="EH278" s="7">
        <v>1.4255684185521266E-2</v>
      </c>
      <c r="EI278" s="7">
        <v>4.0570941421908438E-2</v>
      </c>
      <c r="EJ278" s="7">
        <v>0.30716633046581737</v>
      </c>
      <c r="EK278" s="7">
        <v>0.52679607878229417</v>
      </c>
      <c r="EL278" s="7">
        <v>0.11121096514445894</v>
      </c>
      <c r="EM278" s="7">
        <v>7.265935018991837E-2</v>
      </c>
      <c r="EN278" s="7">
        <v>6.438618773404467E-2</v>
      </c>
      <c r="EO278" s="7">
        <v>0.72185737536083672</v>
      </c>
      <c r="EP278" s="7">
        <v>9.2845591371938402E-2</v>
      </c>
      <c r="EQ278" s="7">
        <v>7.9207634876186594E-2</v>
      </c>
      <c r="ER278" s="7">
        <v>4.1703210656993436E-2</v>
      </c>
      <c r="ES278" s="7">
        <v>0.20575684730124782</v>
      </c>
      <c r="ET278" s="7">
        <v>0.27841619749116631</v>
      </c>
      <c r="EU278" s="6">
        <v>794</v>
      </c>
      <c r="EV278" s="6">
        <v>0</v>
      </c>
      <c r="EW278" s="6">
        <v>794</v>
      </c>
      <c r="EX278" s="6">
        <v>0</v>
      </c>
      <c r="EY278" s="6">
        <v>2053.9356464118164</v>
      </c>
      <c r="EZ278" s="6">
        <v>586</v>
      </c>
      <c r="FA278" s="6">
        <v>0</v>
      </c>
      <c r="FB278" s="6">
        <v>0</v>
      </c>
      <c r="FC278" s="6">
        <v>0</v>
      </c>
      <c r="FD278" s="6">
        <v>0</v>
      </c>
      <c r="FE278" s="6">
        <v>0</v>
      </c>
      <c r="FF278" s="6">
        <v>0</v>
      </c>
      <c r="FG278" s="6">
        <v>0</v>
      </c>
      <c r="FH278" s="6">
        <v>1173.7271205025183</v>
      </c>
      <c r="FI278" s="6">
        <v>1553.9796069512399</v>
      </c>
      <c r="FJ278" s="6">
        <v>2101.2110117447405</v>
      </c>
      <c r="FK278" s="6">
        <v>1772.7139978623231</v>
      </c>
      <c r="FL278" s="6">
        <v>907.07682140966335</v>
      </c>
      <c r="FM278" s="6">
        <v>1759.9356464118164</v>
      </c>
      <c r="FN278" s="6">
        <v>0</v>
      </c>
      <c r="FO278" s="6">
        <v>0</v>
      </c>
      <c r="FP278" s="6">
        <v>0</v>
      </c>
      <c r="FQ278" s="6">
        <v>0</v>
      </c>
      <c r="FR278" s="6">
        <v>0</v>
      </c>
      <c r="FS278" s="6">
        <v>0</v>
      </c>
      <c r="FT278" s="7">
        <v>0.72158380250883369</v>
      </c>
      <c r="FU278" s="7">
        <v>7.265935018991837E-2</v>
      </c>
      <c r="FV278" s="7">
        <v>0.20575684730124782</v>
      </c>
      <c r="FW278" s="6">
        <v>794.00000000000011</v>
      </c>
      <c r="FX278" s="6">
        <v>2053.9356464118164</v>
      </c>
      <c r="FY278" s="6">
        <v>586</v>
      </c>
      <c r="FZ278" s="6">
        <v>1817.4615072224267</v>
      </c>
      <c r="GA278" s="6">
        <v>842.74868111073783</v>
      </c>
      <c r="GB278" s="6">
        <v>19142.251318889263</v>
      </c>
      <c r="GC278" s="7">
        <v>1.804905384453976E-2</v>
      </c>
      <c r="GD278" s="7">
        <v>1.6270655657100484E-2</v>
      </c>
      <c r="GE278" s="7"/>
      <c r="GF278" s="7"/>
      <c r="GG278" s="7">
        <v>-9.8531380246133032E-2</v>
      </c>
      <c r="GH278" s="42">
        <v>2.0202356852882235</v>
      </c>
      <c r="GI278" s="6">
        <v>10735.158831834697</v>
      </c>
      <c r="GJ278" s="14">
        <v>0.50394797582841699</v>
      </c>
      <c r="GK278" s="14">
        <v>0.50887573065309732</v>
      </c>
      <c r="GL278" s="14">
        <v>0.49605202417158262</v>
      </c>
      <c r="GM278" s="14">
        <v>0.49112426934690218</v>
      </c>
      <c r="GO278" s="5">
        <v>343.14810671672558</v>
      </c>
      <c r="GP278" s="5">
        <v>328.0001014498265</v>
      </c>
      <c r="GQ278" s="5">
        <v>535.04305713031317</v>
      </c>
      <c r="GR278" s="5">
        <v>410.15490233172511</v>
      </c>
      <c r="GS278" s="5">
        <v>339.42744393800166</v>
      </c>
      <c r="GT278" s="5">
        <v>293.4407446948278</v>
      </c>
      <c r="GU278" s="5">
        <v>258.04012322764959</v>
      </c>
      <c r="GV278" s="39" t="s">
        <v>392</v>
      </c>
      <c r="GW278" s="5">
        <v>491.45833333333331</v>
      </c>
      <c r="GX278" s="5">
        <v>368.59375</v>
      </c>
      <c r="GY278" s="5">
        <v>294.875</v>
      </c>
      <c r="GZ278" s="5">
        <v>260.19607020114813</v>
      </c>
      <c r="HA278" s="5">
        <v>241.02179695997205</v>
      </c>
      <c r="HB278" s="39">
        <v>276.4104780834798</v>
      </c>
      <c r="HC278" s="5">
        <v>261.64687500000002</v>
      </c>
      <c r="HD278" s="5">
        <v>222.30677997076018</v>
      </c>
      <c r="HE278" s="5">
        <v>224.71639254385963</v>
      </c>
      <c r="HF278" s="5">
        <v>207.35750548245613</v>
      </c>
      <c r="HG278" s="5">
        <v>199.39971491228067</v>
      </c>
      <c r="HH278" s="39">
        <v>222.92406578411391</v>
      </c>
      <c r="HI278" s="16"/>
      <c r="HJ278" s="19" t="str">
        <f t="shared" ref="HJ278:HK278" si="853">HJ277</f>
        <v>On</v>
      </c>
      <c r="HK278" s="1" t="str">
        <f t="shared" si="853"/>
        <v>On</v>
      </c>
      <c r="HL278" s="16"/>
      <c r="HM278" s="639">
        <f t="shared" si="775"/>
        <v>1.2768706344444866E-2</v>
      </c>
      <c r="HN278" s="639">
        <f t="shared" si="776"/>
        <v>9.795534288915453E-4</v>
      </c>
      <c r="HO278" s="639">
        <f t="shared" si="777"/>
        <v>3.3583061774515237E-3</v>
      </c>
      <c r="HP278" s="644">
        <f>(FT278*$GD278-HM278)/$JF278*INDEX(Input!$1:$1048576,$JG$93,$C278*2+6)</f>
        <v>-74.701404590300228</v>
      </c>
      <c r="HQ278" s="644">
        <f>(FU278*$GD278-HN278)/$JF278*INDEX(Input!$1:$1048576,$JG$93,$C278*2+6)</f>
        <v>14.725846540625815</v>
      </c>
      <c r="HR278" s="644">
        <f>(FV278*$GD278-HO278)/$JF278*INDEX(Input!$1:$1048576,$JG$93,$C278*2+6)</f>
        <v>-0.76348788406806889</v>
      </c>
      <c r="HS278" s="644">
        <f t="shared" si="767"/>
        <v>28.483738550354484</v>
      </c>
      <c r="HT278" s="644">
        <f t="shared" si="845"/>
        <v>10.002094973042286</v>
      </c>
      <c r="HU278" s="644">
        <f t="shared" si="779"/>
        <v>-12.991445431176157</v>
      </c>
      <c r="HV278" s="648">
        <f t="shared" si="780"/>
        <v>0</v>
      </c>
      <c r="HW278" s="648">
        <f t="shared" si="781"/>
        <v>0</v>
      </c>
      <c r="HX278" s="648">
        <f t="shared" si="782"/>
        <v>0</v>
      </c>
      <c r="HY278" s="644">
        <f>INDEX(Input!$1:$1048576,HY$93,$C278*2+6)*INDEX(Input!$1:$1048576,$JG$93,$C278*2+6)</f>
        <v>451</v>
      </c>
      <c r="HZ278" s="644">
        <f>INDEX(Input!$1:$1048576,HZ$93,$C278*2+6)*INDEX(Input!$1:$1048576,$JG$93,$C278*2+6)</f>
        <v>577</v>
      </c>
      <c r="IA278" s="644">
        <f>INDEX(Input!$1:$1048576,IA$93,$C278*2+6)*INDEX(Input!$1:$1048576,$JG$93,$C278*2+6)</f>
        <v>215</v>
      </c>
      <c r="IB278" s="644">
        <f t="shared" si="804"/>
        <v>404.78233396005407</v>
      </c>
      <c r="IC278" s="644">
        <f t="shared" si="805"/>
        <v>601.72794151366816</v>
      </c>
      <c r="ID278" s="644">
        <f>IF(AND(INDEX(Input!$1:$1048576,IA$93,$C278*2+7)="TOS",Y278&lt;=INDEX(Y:Y,MATCH(C278*1000+2,A:A))),0,1)*MAX(IA278+HR278+HU278+HX278,0%)</f>
        <v>201.24506668475578</v>
      </c>
      <c r="IE278" s="128">
        <f t="shared" si="846"/>
        <v>0.33515259244197138</v>
      </c>
      <c r="IF278" s="128">
        <f t="shared" si="847"/>
        <v>0.49822006205186481</v>
      </c>
      <c r="IG278" s="128">
        <f t="shared" si="838"/>
        <v>0.16662734550616379</v>
      </c>
      <c r="IH278" s="21"/>
      <c r="II278" s="19">
        <f t="shared" si="785"/>
        <v>1252</v>
      </c>
      <c r="IJ278" s="19">
        <f t="shared" si="786"/>
        <v>2011.9658773055378</v>
      </c>
      <c r="IK278" s="19">
        <f t="shared" si="787"/>
        <v>919</v>
      </c>
      <c r="IL278" s="19">
        <f t="shared" si="806"/>
        <v>-457.99999999999989</v>
      </c>
      <c r="IM278" s="19">
        <f t="shared" si="788"/>
        <v>41.969769106278591</v>
      </c>
      <c r="IN278" s="19">
        <f t="shared" si="789"/>
        <v>-333</v>
      </c>
      <c r="IO278" s="39">
        <f t="shared" si="790"/>
        <v>0</v>
      </c>
      <c r="IP278" s="39">
        <f t="shared" si="791"/>
        <v>0</v>
      </c>
      <c r="IQ278" s="39">
        <f t="shared" si="792"/>
        <v>0</v>
      </c>
      <c r="IR278" s="39">
        <v>0</v>
      </c>
      <c r="IS278" s="39">
        <v>0</v>
      </c>
      <c r="IT278" s="39">
        <v>0</v>
      </c>
      <c r="IU278" s="39">
        <v>0</v>
      </c>
      <c r="IV278" s="39">
        <v>0</v>
      </c>
      <c r="IW278" s="39">
        <v>0</v>
      </c>
      <c r="IX278" s="39">
        <f>INDEX(Input!$1:$1048576,IX$93,$C278*2+6)+INDEX(Input!$1:$1048576,IX$94,$C278*2+6)</f>
        <v>1294</v>
      </c>
      <c r="IY278" s="39">
        <f>INDEX(Input!$1:$1048576,IY$93,$C278*2+6)+INDEX(Input!$1:$1048576,IY$94,$C278*2+6)</f>
        <v>2154.0624533823611</v>
      </c>
      <c r="IZ278" s="39">
        <f>INDEX(Input!$1:$1048576,IZ$93,$C278*2+6)+INDEX(Input!$1:$1048576,IZ$94,$C278*2+6)</f>
        <v>3677.7164157747848</v>
      </c>
      <c r="JA278" s="19">
        <f t="shared" si="807"/>
        <v>836.00000000000011</v>
      </c>
      <c r="JB278" s="19">
        <f t="shared" si="808"/>
        <v>2196.0322224886395</v>
      </c>
      <c r="JC278" s="19">
        <f t="shared" si="809"/>
        <v>3344.7164157747848</v>
      </c>
      <c r="JD278" s="19">
        <f t="shared" si="810"/>
        <v>1931.6160952691157</v>
      </c>
      <c r="JE278" s="21"/>
      <c r="JF278" s="1">
        <f t="shared" si="793"/>
        <v>1.7106565950787935E-2</v>
      </c>
      <c r="JG278" s="15">
        <f>INDEX(Input!$1:$1048576,JG$93,$C278*2+6)/(1+VLOOKUP(C278*1000+INDEX(Input!$1:$1048576,JG$93+1,$C278*2+6),$A:$KK,$JK$92,FALSE))</f>
        <v>1243</v>
      </c>
      <c r="JH278" s="1">
        <f t="shared" si="811"/>
        <v>-4.8864880075416318E-2</v>
      </c>
      <c r="JI278" s="1">
        <f t="shared" si="812"/>
        <v>2.0510368537586979E-2</v>
      </c>
      <c r="JJ278" s="1">
        <f t="shared" si="848"/>
        <v>0</v>
      </c>
      <c r="JK278" s="1">
        <f t="shared" si="849"/>
        <v>-2.8354511537829339E-2</v>
      </c>
      <c r="JL278" s="15">
        <f t="shared" si="813"/>
        <v>-35.244657841521871</v>
      </c>
      <c r="JM278" s="15">
        <f t="shared" si="830"/>
        <v>1207.755342158478</v>
      </c>
      <c r="JN278" s="21"/>
      <c r="JO278" s="19">
        <f>INDEX(Input!$1:$1048576,JO$93,$C278*2+6)</f>
        <v>5995.5</v>
      </c>
      <c r="JP278" s="19">
        <f>INDEX(Input!$1:$1048576,JP$93,$C278*2+6)</f>
        <v>2105.548724853742</v>
      </c>
      <c r="JQ278" s="39">
        <f t="shared" si="819"/>
        <v>4063.8839047308843</v>
      </c>
      <c r="JR278" s="39">
        <f t="shared" si="833"/>
        <v>-173.93262958462628</v>
      </c>
      <c r="JS278" s="39">
        <f t="shared" si="820"/>
        <v>2.332919658060574</v>
      </c>
      <c r="JT278" s="39">
        <f t="shared" si="814"/>
        <v>-0.28427740693262732</v>
      </c>
      <c r="JU278" s="385">
        <f>(JQ278*JM278-INDEX(Input!$1:$1048576,Input!A$18,$C278*2+6)*JL278*INDEX(Input!$1:$1048576,Input!A$19,$C278*2+6))/1000000</f>
        <v>4.9081774958505804</v>
      </c>
      <c r="JV278" s="39">
        <f t="shared" ref="JV278:JV283" si="854">JU278-(JO278-JP278)*JG278/1000000</f>
        <v>7.2968060843781934E-2</v>
      </c>
      <c r="JW278" s="1">
        <f t="shared" si="831"/>
        <v>1.5090982474408441E-2</v>
      </c>
      <c r="JX278" s="19">
        <f t="shared" si="824"/>
        <v>8065.8296701555419</v>
      </c>
      <c r="JZ278" s="341"/>
      <c r="KA278" s="342"/>
      <c r="KB278" s="469">
        <f t="shared" si="821"/>
        <v>2.5660492421988774</v>
      </c>
      <c r="KI278" s="473">
        <f t="shared" si="850"/>
        <v>-46.217666039945925</v>
      </c>
      <c r="KJ278" s="473">
        <f t="shared" si="851"/>
        <v>24.727941513668156</v>
      </c>
      <c r="KK278" s="473">
        <f t="shared" si="843"/>
        <v>-13.754933315244216</v>
      </c>
      <c r="KN278" s="544">
        <f t="shared" si="825"/>
        <v>2002</v>
      </c>
      <c r="KO278" s="541">
        <f t="shared" si="794"/>
        <v>-3.4079200237072338E-2</v>
      </c>
      <c r="KP278" s="546">
        <f t="shared" si="795"/>
        <v>-227.57776852742401</v>
      </c>
      <c r="KQ278" s="546">
        <f t="shared" si="796"/>
        <v>-212.06424416435721</v>
      </c>
      <c r="KR278" s="548">
        <f t="shared" si="797"/>
        <v>2.6716928860860749</v>
      </c>
      <c r="KS278" s="548">
        <f t="shared" si="798"/>
        <v>2.8671401329439918</v>
      </c>
      <c r="KT278" s="473">
        <f t="shared" si="822"/>
        <v>843.26993010479111</v>
      </c>
      <c r="KU278" s="663">
        <f t="shared" si="816"/>
        <v>4.4720273281987604</v>
      </c>
    </row>
    <row r="279" spans="1:307" s="26" customFormat="1" ht="15" outlineLevel="1">
      <c r="A279" s="561">
        <f t="shared" si="799"/>
        <v>2079</v>
      </c>
      <c r="B279" s="561">
        <f t="shared" si="817"/>
        <v>79</v>
      </c>
      <c r="C279" s="561">
        <f t="shared" si="760"/>
        <v>2</v>
      </c>
      <c r="D279" s="561" t="str">
        <f t="shared" si="728"/>
        <v xml:space="preserve">0.9/1.9/2.9/3.9, -360 Lease, </v>
      </c>
      <c r="E279" s="475">
        <f>INDEX(Input!$1:$1048576,E$93,$C279*2+MIN($B279,2)+5)
+INDEX(Scenarios!E$121:E$200,MATCH($B279,Scenarios!$B$121:$B$200,0))</f>
        <v>1269.7618664521319</v>
      </c>
      <c r="F279" s="475">
        <f>INDEX(Input!$1:$1048576,F$93,$C279*2+MIN($B279,2)+5)
+INDEX(Scenarios!F$121:F$200,MATCH($B279,Scenarios!$B$121:$B$200,0))</f>
        <v>0</v>
      </c>
      <c r="G279" s="475">
        <f>INDEX(Input!$1:$1048576,G$93,$C279*2+MIN($B279,2)+5)
+INDEX(Scenarios!G$121:G$200,MATCH($B279,Scenarios!$B$121:$B$200,0))</f>
        <v>0</v>
      </c>
      <c r="H279" s="475">
        <f>INDEX(Input!$1:$1048576,H$93,$C279*2+MIN($B279,2)+5)
+INDEX(Scenarios!H$121:H$200,MATCH($B279,Scenarios!$B$121:$B$200,0))</f>
        <v>0</v>
      </c>
      <c r="I279" s="476">
        <f>INDEX(Input!$1:$1048576,I$93,$C279*2+MIN($B279,2)+5)</f>
        <v>0.7</v>
      </c>
      <c r="J279" s="476" t="str">
        <f>INDEX(Input!$1:$1048576,J$93,$C279*2+MIN($B279,2)+5)</f>
        <v>Market</v>
      </c>
      <c r="K279" s="476" t="str">
        <f>INDEX(Input!$1:$1048576,K$93,$C279*2+MIN($B279,2)+5)</f>
        <v>Market</v>
      </c>
      <c r="L279" s="476" t="str">
        <f>INDEX(Input!$1:$1048576,L$93,$C279*2+MIN($B279,2)+5)</f>
        <v>Market</v>
      </c>
      <c r="M279" s="476" t="str">
        <f>INDEX(Input!$1:$1048576,M$93,$C279*2+MIN($B279,2)+5)</f>
        <v>Market</v>
      </c>
      <c r="N279" s="476" t="str">
        <f>INDEX(Input!$1:$1048576,N$93,$C279*2+MIN($B279,2)+5)</f>
        <v>Market</v>
      </c>
      <c r="O279" s="476" t="str">
        <f>INDEX(Input!$1:$1048576,O$93,$C279*2+MIN($B279,2)+5)</f>
        <v>Market</v>
      </c>
      <c r="P279" s="476" t="str">
        <f>INDEX(Input!$1:$1048576,P$93,$C279*2+MIN($B279,2)+5)</f>
        <v>N</v>
      </c>
      <c r="Q279" s="477">
        <f>INDEX(Input!$1:$1048576,Q$93,$C279*2+MIN($B279,2)+5)
+INDEX(Scenarios!Q$121:Q$200,MATCH($B279,Scenarios!$B$121:$B$200,0))</f>
        <v>0</v>
      </c>
      <c r="R279" s="478">
        <f>IFERROR(MAX(0,INDEX(Input!$1:$1048576,R$93,$C279*2+MIN($B279,2)+5)
+INDEX(Scenarios!R$121:R$200,MATCH($B279,Scenarios!$B$121:$B$200,0)),),"Market")</f>
        <v>0</v>
      </c>
      <c r="S279" s="478">
        <f>IFERROR(MAX(0,INDEX(Input!$1:$1048576,S$93,$C279*2+MIN($B279,2)+5)
+INDEX(Scenarios!S$121:S$200,MATCH($B279,Scenarios!$B$121:$B$200,0)),),"Market")</f>
        <v>0</v>
      </c>
      <c r="T279" s="478">
        <f>IFERROR(MAX(0,INDEX(Input!$1:$1048576,T$93,$C279*2+MIN($B279,2)+5)
+INDEX(Scenarios!T$121:T$200,MATCH($B279,Scenarios!$B$121:$B$200,0)),),"Market")</f>
        <v>0</v>
      </c>
      <c r="U279" s="478">
        <f>IFERROR(MAX(0,INDEX(Input!$1:$1048576,U$93,$C279*2+MIN($B279,2)+5)
+INDEX(Scenarios!U$121:U$200,MATCH($B279,Scenarios!$B$121:$B$200,0)),),"Market")</f>
        <v>9.0000000000000011E-3</v>
      </c>
      <c r="V279" s="478">
        <f>IFERROR(MAX(0,INDEX(Input!$1:$1048576,V$93,$C279*2+MIN($B279,2)+5)
+INDEX(Scenarios!V$121:V$200,MATCH($B279,Scenarios!$B$121:$B$200,0)),),"Market")</f>
        <v>2.8999999999999998E-2</v>
      </c>
      <c r="W279" s="885">
        <f>IFERROR(MAX(0,INDEX(Input!$1:$1048576,W$93,$C279*2+MIN($B279,2)+5)-0%,),"Market")</f>
        <v>3.9E-2</v>
      </c>
      <c r="X279" s="476" t="str">
        <f>INDEX(Input!$1:$1048576,X$93,$C279*2+MIN($B279,2)+5)</f>
        <v>Y</v>
      </c>
      <c r="Y279" s="475">
        <f>INDEX(Input!$1:$1048576,Y$93,$C279*2+MIN($B279,2)+5)
++INDEX(Scenarios!Y$121:Y$200,MATCH($B279,Scenarios!$B$121:$B$200,0))</f>
        <v>-304</v>
      </c>
      <c r="Z279" s="477">
        <f>INDEX(Input!$1:$1048576,Z$93,$C279*2+MIN($B279,2)+5)
+INDEX(Scenarios!Z$121:Z$200,MATCH($B279,Scenarios!$B$121:$B$200,0))</f>
        <v>0</v>
      </c>
      <c r="AA279" s="475">
        <f>INDEX(Input!$1:$1048576,AA$93,$C279*2+MIN($B279,2)+5)
+INDEX(Scenarios!AA$121:AA$200,MATCH($B279,Scenarios!$B$121:$B$200,0))</f>
        <v>0</v>
      </c>
      <c r="AB279" s="476">
        <f>INDEX(Input!$1:$1048576,AB$93,$C279*2+MIN($B279,2)+5)</f>
        <v>0.27</v>
      </c>
      <c r="AC279" s="475">
        <f>INDEX(Input!$1:$1048576,AC$93,$C279*2+MIN($B279,2)+5)
+INDEX(Scenarios!AC$121:AC$200,MATCH($B279,Scenarios!$B$121:$B$200,0))</f>
        <v>0</v>
      </c>
      <c r="AD279" s="476">
        <f>INDEX(Input!$1:$1048576,AD$93,$C279*2+MIN($B279,2)+5)</f>
        <v>0.27</v>
      </c>
      <c r="AE279" s="475">
        <f>INDEX(Input!$1:$1048576,AE$93,$C279*2+MIN($B279,2)+5)
+INDEX(Scenarios!AE$121:AE$200,MATCH($B279,Scenarios!$B$121:$B$200,0))</f>
        <v>0</v>
      </c>
      <c r="AF279" s="476">
        <f>INDEX(Input!$1:$1048576,AF$93,$C279*2+MIN($B279,2)+5)</f>
        <v>4.8000000000000001E-2</v>
      </c>
      <c r="AG279" s="475">
        <f>INDEX(Input!$1:$1048576,AG$93,$C279*2+MIN($B279,2)+5)
+INDEX(Scenarios!AG$121:AG$200,MATCH($B279,Scenarios!$B$121:$B$200,0))</f>
        <v>500</v>
      </c>
      <c r="AH279" s="476">
        <f>INDEX(Input!$1:$1048576,AH$93,$C279*2+MIN($B279,2)+5)</f>
        <v>0.94599999999999995</v>
      </c>
      <c r="AI279" s="475">
        <f>INDEX(Input!$1:$1048576,AI$93,$C279*2+MIN($B279,2)+5)
+INDEX(Scenarios!AI$121:AI$200,MATCH($B279,Scenarios!$B$121:$B$200,0))</f>
        <v>0</v>
      </c>
      <c r="AJ279" s="476">
        <f>INDEX(Input!$1:$1048576,AJ$93,$C279*2+MIN($B279,2)+5)</f>
        <v>0.27</v>
      </c>
      <c r="AK279" s="150">
        <f>ROUND(INDEX(Input!$1:$1048576,AK$93,$C278*2+MIN($B279,1)+5)+(Y279-VLOOKUP($C279*1000+1,$A:$HH,Y$92,FALSE)),0)</f>
        <v>2617</v>
      </c>
      <c r="AL279" s="150">
        <f>ROUND(INDEX(Input!$1:$1048576,AL$93,$C278*2+MIN($B279,1)+5)-(Y279-VLOOKUP($C279*1000+1,$A:$HH,Y$92,FALSE))/36,0)</f>
        <v>3405</v>
      </c>
      <c r="AM279" s="32" t="str">
        <f t="shared" si="800"/>
        <v>std/std/std/std</v>
      </c>
      <c r="AN279" s="32" t="str">
        <f t="shared" si="801"/>
        <v>$0 + 0/0/0.9/2.9/3.9</v>
      </c>
      <c r="AO279" s="32" t="str">
        <f t="shared" si="802"/>
        <v>0/0/0.9/2.9/3.9</v>
      </c>
      <c r="AP279" s="32" t="str">
        <f t="shared" si="734"/>
        <v>0.9/1.9/2.9/3.9</v>
      </c>
      <c r="AQ279" s="536">
        <f t="shared" si="733"/>
        <v>0.40931094382295735</v>
      </c>
      <c r="AR279" s="32"/>
      <c r="AS279" s="302"/>
      <c r="AT279" s="3">
        <f t="shared" si="717"/>
        <v>79</v>
      </c>
      <c r="AU279" s="41" t="s">
        <v>121</v>
      </c>
      <c r="AV279" s="41" t="s">
        <v>116</v>
      </c>
      <c r="AW279" s="41" t="str">
        <f>INDEX(Input!$1:$1048576,AW$93,$C279*2+6)</f>
        <v>Kia</v>
      </c>
      <c r="AX279" s="41" t="str">
        <f>INDEX(Input!$1:$1048576,AX$93,$C279*2+6)</f>
        <v>Kia-LR - L2</v>
      </c>
      <c r="AY279" s="41" t="str">
        <f>IF(LEN(D279)=0,"",INDEX(Input!$1:$1048576,AY$93,$C279*2+6))</f>
        <v>Compact SUV (52)</v>
      </c>
      <c r="AZ279" s="41" t="str">
        <f>INDEX(Input!$1:$1048576,AZ$93,$C279*2+6)</f>
        <v>Kia Soul</v>
      </c>
      <c r="BA279" s="3">
        <f>INDEX(Input!$1:$1048576,BA$93,$C279*2+6)</f>
        <v>2020</v>
      </c>
      <c r="BB279" s="128">
        <f>INDEX(Input!$1:$1048576,BB$93,$C279*2+6)</f>
        <v>1</v>
      </c>
      <c r="BC279" s="128">
        <f>INDEX(Input!$1:$1048576,BC$93,$C279*2+6)</f>
        <v>0.7</v>
      </c>
      <c r="BD279" s="1">
        <f>INDEX(Input!$1:$1048576,BD$93,$C279*2+6)</f>
        <v>4.4999999999999998E-2</v>
      </c>
      <c r="BE279" s="1">
        <f>INDEX(Input!$1:$1048576,BE$93,$C279*2+6)</f>
        <v>4.4999999999999998E-2</v>
      </c>
      <c r="BF279" s="1">
        <f>INDEX(Input!$1:$1048576,BF$93,$C279*2+6)</f>
        <v>0.05</v>
      </c>
      <c r="BG279" s="1">
        <f>INDEX(Input!$1:$1048576,BG$93,$C279*2+6)</f>
        <v>5.45E-2</v>
      </c>
      <c r="BH279" s="1">
        <f>INDEX(Input!$1:$1048576,BH$93,$C279*2+6)</f>
        <v>5.45E-2</v>
      </c>
      <c r="BI279" s="1">
        <f>INDEX(Input!$1:$1048576,BI$93,$C279*2+6)</f>
        <v>0.05</v>
      </c>
      <c r="BJ279" s="1">
        <f>INDEX(Input!$1:$1048576,BJ$93,$C279*2+6)</f>
        <v>0.05</v>
      </c>
      <c r="BK279" s="1">
        <f>INDEX(Input!$1:$1048576,BK$93,$C279*2+6)</f>
        <v>0.05</v>
      </c>
      <c r="BL279" s="1">
        <f>INDEX(Input!$1:$1048576,BL$93,$C279*2+6)</f>
        <v>5.5E-2</v>
      </c>
      <c r="BM279" s="1">
        <f>INDEX(Input!$1:$1048576,BM$93,$C279*2+6)</f>
        <v>0.06</v>
      </c>
      <c r="BN279" s="1">
        <f>INDEX(Input!$1:$1048576,BN$93,$C279*2+6)</f>
        <v>4.4999999999999998E-2</v>
      </c>
      <c r="BO279" s="1">
        <f>INDEX(Input!$1:$1048576,BO$93,$C279*2+6)</f>
        <v>4.4999999999999998E-2</v>
      </c>
      <c r="BP279" s="1">
        <f>INDEX(Input!$1:$1048576,BP$93,$C279*2+6)</f>
        <v>0.05</v>
      </c>
      <c r="BQ279" s="1">
        <f>INDEX(Input!$1:$1048576,BQ$93,$C279*2+6)</f>
        <v>5.45E-2</v>
      </c>
      <c r="BR279" s="1">
        <f>INDEX(Input!$1:$1048576,BR$93,$C279*2+6)</f>
        <v>5.45E-2</v>
      </c>
      <c r="BS279" s="1">
        <f>INDEX(Input!$1:$1048576,BS$93,$C279*2+6)</f>
        <v>0.05</v>
      </c>
      <c r="BT279" s="1">
        <f>INDEX(Input!$1:$1048576,BT$93,$C279*2+6)</f>
        <v>0.05</v>
      </c>
      <c r="BU279" s="1">
        <f>INDEX(Input!$1:$1048576,BU$93,$C279*2+6)</f>
        <v>0.05</v>
      </c>
      <c r="BV279" s="1">
        <f>INDEX(Input!$1:$1048576,BV$93,$C279*2+6)</f>
        <v>5.5E-2</v>
      </c>
      <c r="BW279" s="1">
        <f>INDEX(Input!$1:$1048576,BW$93,$C279*2+6)</f>
        <v>0.06</v>
      </c>
      <c r="BX279" s="127">
        <f>INDEX(Input!$1:$1048576,BX$93,$C279*2+6)</f>
        <v>19985</v>
      </c>
      <c r="BY279" s="20">
        <f>INDEX(Input!$1:$1048576,BY$93,$C279*2+6)</f>
        <v>0.1</v>
      </c>
      <c r="BZ279" s="20">
        <f>INDEX(Input!$1:$1048576,BZ$93,$C279*2+6)</f>
        <v>0.1</v>
      </c>
      <c r="CA279" s="20">
        <f>INDEX(Input!$1:$1048576,CA$93,$C279*2+6)</f>
        <v>0.1</v>
      </c>
      <c r="CB279" s="20">
        <f>INDEX(Input!$1:$1048576,CB$93,$C279*2+6)</f>
        <v>0.1</v>
      </c>
      <c r="CC279" s="20">
        <f>INDEX(Input!$1:$1048576,CC$93,$C279*2+6)</f>
        <v>0.1</v>
      </c>
      <c r="CD279" s="384">
        <f>INDEX(Input!$1:$1048576,CD$93,$C279*2+6)</f>
        <v>0.1</v>
      </c>
      <c r="CE279" s="384">
        <f>INDEX(Input!$1:$1048576,CE$93,$C279*2+6)</f>
        <v>0.1</v>
      </c>
      <c r="CF279" s="384">
        <f>INDEX(Input!$1:$1048576,CF$93,$C279*2+6)</f>
        <v>0.1</v>
      </c>
      <c r="CG279" s="384">
        <f>INDEX(Input!$1:$1048576,CG$93,$C279*2+6)</f>
        <v>0.1</v>
      </c>
      <c r="CH279" s="384">
        <f>INDEX(Input!$1:$1048576,CH$93,$C279*2+6)</f>
        <v>0.1</v>
      </c>
      <c r="CI279" s="304">
        <f t="shared" si="735"/>
        <v>1269.7618664521319</v>
      </c>
      <c r="CJ279" s="16" t="str">
        <f>INDEX(Input!$1:$1048576,CJ$93,$C279*2+6)</f>
        <v>N</v>
      </c>
      <c r="CK279" s="1" t="str">
        <f t="shared" si="736"/>
        <v>Market</v>
      </c>
      <c r="CL279" s="1" t="str">
        <f t="shared" si="737"/>
        <v>Market</v>
      </c>
      <c r="CM279" s="1" t="str">
        <f t="shared" si="738"/>
        <v>Market</v>
      </c>
      <c r="CN279" s="1" t="str">
        <f t="shared" si="739"/>
        <v>Market</v>
      </c>
      <c r="CO279" s="1" t="str">
        <f t="shared" si="740"/>
        <v>Market</v>
      </c>
      <c r="CP279" s="304">
        <f t="shared" si="741"/>
        <v>473</v>
      </c>
      <c r="CQ279" s="1">
        <f t="shared" si="742"/>
        <v>0</v>
      </c>
      <c r="CR279" s="1">
        <f t="shared" si="743"/>
        <v>0</v>
      </c>
      <c r="CS279" s="1">
        <f t="shared" si="744"/>
        <v>9.0000000000000011E-3</v>
      </c>
      <c r="CT279" s="1">
        <f t="shared" si="745"/>
        <v>2.8999999999999998E-2</v>
      </c>
      <c r="CU279" s="1">
        <f t="shared" si="746"/>
        <v>3.9E-2</v>
      </c>
      <c r="CV279" s="304">
        <f t="shared" si="747"/>
        <v>-304</v>
      </c>
      <c r="CW279" s="20" t="s">
        <v>122</v>
      </c>
      <c r="CX279" s="20" t="s">
        <v>122</v>
      </c>
      <c r="CY279" s="20" t="s">
        <v>122</v>
      </c>
      <c r="CZ279" s="20" t="s">
        <v>122</v>
      </c>
      <c r="DA279" s="20" t="s">
        <v>122</v>
      </c>
      <c r="DB279" s="503">
        <f t="shared" si="748"/>
        <v>0</v>
      </c>
      <c r="DC279" s="127">
        <v>0</v>
      </c>
      <c r="DD279" s="127">
        <v>0</v>
      </c>
      <c r="DE279" s="127">
        <v>0</v>
      </c>
      <c r="DF279" s="127">
        <v>0</v>
      </c>
      <c r="DG279" s="127">
        <v>0</v>
      </c>
      <c r="DH279" s="127">
        <v>0</v>
      </c>
      <c r="DI279" s="127">
        <v>0</v>
      </c>
      <c r="DJ279" s="127">
        <v>0</v>
      </c>
      <c r="DK279" s="127">
        <v>0</v>
      </c>
      <c r="DL279" s="127">
        <v>0</v>
      </c>
      <c r="DM279" s="304">
        <f>INDEX(Input!$1:$1048576,DM$93,$C279*2+6)</f>
        <v>21036.84210526316</v>
      </c>
      <c r="DN279" s="20">
        <v>0</v>
      </c>
      <c r="DO279" s="20">
        <v>0</v>
      </c>
      <c r="DP279" s="20">
        <v>0</v>
      </c>
      <c r="DQ279" s="20">
        <v>0</v>
      </c>
      <c r="DR279" s="20">
        <v>0</v>
      </c>
      <c r="DS279" s="20">
        <f>INDEX(Input!$1:$1048576,DS$93,$C279*2+6)</f>
        <v>0.6</v>
      </c>
      <c r="DT279" s="20">
        <f>INDEX(Input!$1:$1048576,DT$93,$C279*2+6)</f>
        <v>0.55000000000000004</v>
      </c>
      <c r="DU279" s="20">
        <f>INDEX(Input!$1:$1048576,DU$93,$C279*2+6)</f>
        <v>0.52</v>
      </c>
      <c r="DV279" s="20">
        <f>INDEX(Input!$1:$1048576,DV$93,$C279*2+6)</f>
        <v>0.5</v>
      </c>
      <c r="DW279" s="20">
        <f>INDEX(Input!$1:$1048576,DW$93,$C279*2+6)</f>
        <v>0.45</v>
      </c>
      <c r="DX279" s="20"/>
      <c r="DY279" s="7">
        <v>9.7242912744747612E-2</v>
      </c>
      <c r="DZ279" s="7">
        <v>0</v>
      </c>
      <c r="EA279" s="7">
        <v>0.68786854595841029</v>
      </c>
      <c r="EB279" s="7">
        <v>0</v>
      </c>
      <c r="EC279" s="7">
        <v>0</v>
      </c>
      <c r="ED279" s="7">
        <v>0</v>
      </c>
      <c r="EE279" s="7">
        <v>0</v>
      </c>
      <c r="EF279" s="7">
        <v>0</v>
      </c>
      <c r="EG279" s="7">
        <v>0</v>
      </c>
      <c r="EH279" s="7">
        <v>1.9563158140553951E-2</v>
      </c>
      <c r="EI279" s="7">
        <v>5.5688176040288639E-2</v>
      </c>
      <c r="EJ279" s="7">
        <v>0.3059134258264104</v>
      </c>
      <c r="EK279" s="7">
        <v>0.4664015835037269</v>
      </c>
      <c r="EL279" s="7">
        <v>0.15243365648902021</v>
      </c>
      <c r="EM279" s="7">
        <v>4.3939294931283943E-2</v>
      </c>
      <c r="EN279" s="7">
        <v>6.4366842771631669E-2</v>
      </c>
      <c r="EO279" s="7">
        <v>0.72184794656969364</v>
      </c>
      <c r="EP279" s="7">
        <v>9.2868569135253654E-2</v>
      </c>
      <c r="EQ279" s="7">
        <v>7.9201675854895681E-2</v>
      </c>
      <c r="ER279" s="7">
        <v>4.1714965668525041E-2</v>
      </c>
      <c r="ES279" s="7">
        <v>0.17094924636555825</v>
      </c>
      <c r="ET279" s="7">
        <v>0.21488854129684218</v>
      </c>
      <c r="EU279" s="6">
        <v>1294</v>
      </c>
      <c r="EV279" s="6">
        <v>0</v>
      </c>
      <c r="EW279" s="6">
        <v>1294</v>
      </c>
      <c r="EX279" s="6">
        <v>0</v>
      </c>
      <c r="EY279" s="6">
        <v>1671.8882503613361</v>
      </c>
      <c r="EZ279" s="6">
        <v>586</v>
      </c>
      <c r="FA279" s="6">
        <v>0</v>
      </c>
      <c r="FB279" s="6">
        <v>0</v>
      </c>
      <c r="FC279" s="6">
        <v>0</v>
      </c>
      <c r="FD279" s="6">
        <v>0</v>
      </c>
      <c r="FE279" s="6">
        <v>0</v>
      </c>
      <c r="FF279" s="6">
        <v>0</v>
      </c>
      <c r="FG279" s="6">
        <v>0</v>
      </c>
      <c r="FH279" s="6">
        <v>1173.7307827864931</v>
      </c>
      <c r="FI279" s="6">
        <v>1553.9796069512395</v>
      </c>
      <c r="FJ279" s="6">
        <v>1735.1562230702818</v>
      </c>
      <c r="FK279" s="6">
        <v>1284.9687470586848</v>
      </c>
      <c r="FL279" s="6">
        <v>907.07682140966324</v>
      </c>
      <c r="FM279" s="6">
        <v>1377.8882503613361</v>
      </c>
      <c r="FN279" s="6">
        <v>0</v>
      </c>
      <c r="FO279" s="6">
        <v>0</v>
      </c>
      <c r="FP279" s="6">
        <v>0</v>
      </c>
      <c r="FQ279" s="6">
        <v>0</v>
      </c>
      <c r="FR279" s="6">
        <v>0</v>
      </c>
      <c r="FS279" s="6">
        <v>0</v>
      </c>
      <c r="FT279" s="7">
        <v>0.78511145870315791</v>
      </c>
      <c r="FU279" s="7">
        <v>4.3939294931283943E-2</v>
      </c>
      <c r="FV279" s="7">
        <v>0.17094924636555825</v>
      </c>
      <c r="FW279" s="6">
        <v>1294</v>
      </c>
      <c r="FX279" s="6">
        <v>1671.8882503613361</v>
      </c>
      <c r="FY279" s="6">
        <v>586</v>
      </c>
      <c r="FZ279" s="6">
        <v>1817.4615072224267</v>
      </c>
      <c r="GA279" s="6">
        <v>1189.5720768568785</v>
      </c>
      <c r="GB279" s="6">
        <v>18795.427923143121</v>
      </c>
      <c r="GC279" s="7">
        <v>1.804905384453976E-2</v>
      </c>
      <c r="GD279" s="7">
        <v>1.6992751085359671E-2</v>
      </c>
      <c r="GE279" s="7"/>
      <c r="GF279" s="7"/>
      <c r="GG279" s="7">
        <v>-5.8523996231505726E-2</v>
      </c>
      <c r="GH279" s="42">
        <v>1.862751637666072</v>
      </c>
      <c r="GI279" s="6">
        <v>11918.323884607336</v>
      </c>
      <c r="GJ279" s="14">
        <v>0.50394797582841744</v>
      </c>
      <c r="GK279" s="14">
        <v>0.50887573065309755</v>
      </c>
      <c r="GL279" s="14">
        <v>0.49605202417158284</v>
      </c>
      <c r="GM279" s="14">
        <v>0.49112426934690234</v>
      </c>
      <c r="GO279" s="5">
        <v>343.14810671672558</v>
      </c>
      <c r="GP279" s="5">
        <v>318.46105531198077</v>
      </c>
      <c r="GQ279" s="5">
        <v>535.04305713031317</v>
      </c>
      <c r="GR279" s="5">
        <v>410.15490233172511</v>
      </c>
      <c r="GS279" s="5">
        <v>339.42744393800166</v>
      </c>
      <c r="GT279" s="5">
        <v>293.4407446948278</v>
      </c>
      <c r="GU279" s="5">
        <v>258.04012322764959</v>
      </c>
      <c r="GV279" s="39" t="s">
        <v>392</v>
      </c>
      <c r="GW279" s="5">
        <v>491.45833333333331</v>
      </c>
      <c r="GX279" s="5">
        <v>368.59375</v>
      </c>
      <c r="GY279" s="5">
        <v>301.66999163600519</v>
      </c>
      <c r="GZ279" s="5">
        <v>268.02332273190535</v>
      </c>
      <c r="HA279" s="5">
        <v>241.02179695997205</v>
      </c>
      <c r="HB279" s="39">
        <v>284.172027284492</v>
      </c>
      <c r="HC279" s="5">
        <v>261.64687500000002</v>
      </c>
      <c r="HD279" s="5">
        <v>222.30677997076018</v>
      </c>
      <c r="HE279" s="5">
        <v>224.71639254385963</v>
      </c>
      <c r="HF279" s="5">
        <v>207.35750548245613</v>
      </c>
      <c r="HG279" s="5">
        <v>199.39971491228067</v>
      </c>
      <c r="HH279" s="39">
        <v>222.92317992919263</v>
      </c>
      <c r="HI279" s="16"/>
      <c r="HJ279" s="19" t="str">
        <f t="shared" ref="HJ279:HK279" si="855">HJ278</f>
        <v>On</v>
      </c>
      <c r="HK279" s="1" t="str">
        <f t="shared" si="855"/>
        <v>On</v>
      </c>
      <c r="HL279" s="16"/>
      <c r="HM279" s="639">
        <f t="shared" si="775"/>
        <v>1.2768706344444866E-2</v>
      </c>
      <c r="HN279" s="639">
        <f t="shared" si="776"/>
        <v>9.795534288915453E-4</v>
      </c>
      <c r="HO279" s="639">
        <f t="shared" si="777"/>
        <v>3.3583061774515237E-3</v>
      </c>
      <c r="HP279" s="644">
        <f>(FT279*$GD279-HM279)/$JF279*INDEX(Input!$1:$1048576,$JG$93,$C279*2+6)</f>
        <v>41.598885525368196</v>
      </c>
      <c r="HQ279" s="644">
        <f>(FU279*$GD279-HN279)/$JF279*INDEX(Input!$1:$1048576,$JG$93,$C279*2+6)</f>
        <v>-16.923301989105454</v>
      </c>
      <c r="HR279" s="644">
        <f>(FV279*$GD279-HO279)/$JF279*INDEX(Input!$1:$1048576,$JG$93,$C279*2+6)</f>
        <v>-32.945617284375317</v>
      </c>
      <c r="HS279" s="644">
        <f t="shared" si="767"/>
        <v>-2.2418404802167071</v>
      </c>
      <c r="HT279" s="644">
        <f t="shared" si="845"/>
        <v>-28.262729836513973</v>
      </c>
      <c r="HU279" s="644">
        <f t="shared" si="779"/>
        <v>-6.2192041992973914</v>
      </c>
      <c r="HV279" s="648">
        <f t="shared" si="780"/>
        <v>0</v>
      </c>
      <c r="HW279" s="648">
        <f t="shared" si="781"/>
        <v>0</v>
      </c>
      <c r="HX279" s="648">
        <f t="shared" si="782"/>
        <v>0</v>
      </c>
      <c r="HY279" s="644">
        <f>INDEX(Input!$1:$1048576,HY$93,$C279*2+6)*INDEX(Input!$1:$1048576,$JG$93,$C279*2+6)</f>
        <v>451</v>
      </c>
      <c r="HZ279" s="644">
        <f>INDEX(Input!$1:$1048576,HZ$93,$C279*2+6)*INDEX(Input!$1:$1048576,$JG$93,$C279*2+6)</f>
        <v>577</v>
      </c>
      <c r="IA279" s="644">
        <f>INDEX(Input!$1:$1048576,IA$93,$C279*2+6)*INDEX(Input!$1:$1048576,$JG$93,$C279*2+6)</f>
        <v>215</v>
      </c>
      <c r="IB279" s="644">
        <f t="shared" si="804"/>
        <v>490.35704504515144</v>
      </c>
      <c r="IC279" s="644">
        <f t="shared" si="805"/>
        <v>531.81396817438065</v>
      </c>
      <c r="ID279" s="644">
        <f>IF(AND(INDEX(Input!$1:$1048576,IA$93,$C279*2+7)="TOS",Y279&lt;=INDEX(Y:Y,MATCH(C279*1000+2,A:A))),0,1)*MAX(IA279+HR279+HU279+HX279,0%)</f>
        <v>175.83517851632729</v>
      </c>
      <c r="IE279" s="128">
        <f t="shared" si="846"/>
        <v>0.40931094382295735</v>
      </c>
      <c r="IF279" s="128">
        <f t="shared" si="847"/>
        <v>0.44391587609727218</v>
      </c>
      <c r="IG279" s="128">
        <f t="shared" si="838"/>
        <v>0.14677318007977044</v>
      </c>
      <c r="IH279" s="21"/>
      <c r="II279" s="19">
        <f t="shared" si="785"/>
        <v>1252</v>
      </c>
      <c r="IJ279" s="19">
        <f t="shared" si="786"/>
        <v>2011.9658773055378</v>
      </c>
      <c r="IK279" s="19">
        <f t="shared" si="787"/>
        <v>919</v>
      </c>
      <c r="IL279" s="19">
        <f t="shared" si="806"/>
        <v>42</v>
      </c>
      <c r="IM279" s="19">
        <f t="shared" si="788"/>
        <v>-340.07762694420171</v>
      </c>
      <c r="IN279" s="19">
        <f t="shared" si="789"/>
        <v>-333</v>
      </c>
      <c r="IO279" s="39">
        <f t="shared" si="790"/>
        <v>0</v>
      </c>
      <c r="IP279" s="39">
        <f t="shared" si="791"/>
        <v>0</v>
      </c>
      <c r="IQ279" s="39">
        <f t="shared" si="792"/>
        <v>0</v>
      </c>
      <c r="IR279" s="39">
        <v>0</v>
      </c>
      <c r="IS279" s="39">
        <v>0</v>
      </c>
      <c r="IT279" s="39">
        <v>0</v>
      </c>
      <c r="IU279" s="39">
        <v>0</v>
      </c>
      <c r="IV279" s="39">
        <v>0</v>
      </c>
      <c r="IW279" s="39">
        <v>0</v>
      </c>
      <c r="IX279" s="39">
        <f>INDEX(Input!$1:$1048576,IX$93,$C279*2+6)+INDEX(Input!$1:$1048576,IX$94,$C279*2+6)</f>
        <v>1294</v>
      </c>
      <c r="IY279" s="39">
        <f>INDEX(Input!$1:$1048576,IY$93,$C279*2+6)+INDEX(Input!$1:$1048576,IY$94,$C279*2+6)</f>
        <v>2154.0624533823611</v>
      </c>
      <c r="IZ279" s="39">
        <f>INDEX(Input!$1:$1048576,IZ$93,$C279*2+6)+INDEX(Input!$1:$1048576,IZ$94,$C279*2+6)</f>
        <v>3677.7164157747848</v>
      </c>
      <c r="JA279" s="19">
        <f t="shared" si="807"/>
        <v>1336</v>
      </c>
      <c r="JB279" s="19">
        <f t="shared" si="808"/>
        <v>1813.9848264381594</v>
      </c>
      <c r="JC279" s="19">
        <f t="shared" si="809"/>
        <v>3344.7164157747848</v>
      </c>
      <c r="JD279" s="19">
        <f t="shared" si="810"/>
        <v>1843.0107492112015</v>
      </c>
      <c r="JE279" s="21"/>
      <c r="JF279" s="1">
        <f t="shared" si="793"/>
        <v>1.7106565950787935E-2</v>
      </c>
      <c r="JG279" s="15">
        <f>INDEX(Input!$1:$1048576,JG$93,$C279*2+6)/(1+VLOOKUP(C279*1000+INDEX(Input!$1:$1048576,JG$93+1,$C279*2+6),$A:$KK,$JK$92,FALSE))</f>
        <v>1243</v>
      </c>
      <c r="JH279" s="1">
        <f t="shared" si="811"/>
        <v>-6.6532853967116445E-3</v>
      </c>
      <c r="JI279" s="1">
        <f t="shared" si="812"/>
        <v>-2.9544468637190725E-2</v>
      </c>
      <c r="JJ279" s="1">
        <f t="shared" si="848"/>
        <v>0</v>
      </c>
      <c r="JK279" s="1">
        <f t="shared" si="849"/>
        <v>-3.6197754033902366E-2</v>
      </c>
      <c r="JL279" s="15">
        <f t="shared" si="813"/>
        <v>-44.99380826414064</v>
      </c>
      <c r="JM279" s="15">
        <f t="shared" si="830"/>
        <v>1198.0061917358594</v>
      </c>
      <c r="JN279" s="21"/>
      <c r="JO279" s="19">
        <f>INDEX(Input!$1:$1048576,JO$93,$C279*2+6)</f>
        <v>5995.5</v>
      </c>
      <c r="JP279" s="19">
        <f>INDEX(Input!$1:$1048576,JP$93,$C279*2+6)</f>
        <v>2105.548724853742</v>
      </c>
      <c r="JQ279" s="39">
        <f t="shared" si="819"/>
        <v>4152.489250788798</v>
      </c>
      <c r="JR279" s="39">
        <f t="shared" si="833"/>
        <v>-262.53797564254046</v>
      </c>
      <c r="JS279" s="39">
        <f t="shared" si="820"/>
        <v>2.2079382889907646</v>
      </c>
      <c r="JT279" s="39">
        <f t="shared" si="814"/>
        <v>-0.40925877600243687</v>
      </c>
      <c r="JU279" s="385">
        <f>(JQ279*JM279-INDEX(Input!$1:$1048576,Input!A$18,$C279*2+6)*JL279*INDEX(Input!$1:$1048576,Input!A$19,$C279*2+6))/1000000</f>
        <v>4.9747078335615793</v>
      </c>
      <c r="JV279" s="39">
        <f t="shared" si="854"/>
        <v>0.13949839855478086</v>
      </c>
      <c r="JW279" s="1">
        <f t="shared" si="831"/>
        <v>2.8850539036595985E-2</v>
      </c>
      <c r="JX279" s="19">
        <f t="shared" si="824"/>
        <v>9095.8910079325233</v>
      </c>
      <c r="JZ279" s="341"/>
      <c r="KA279" s="342"/>
      <c r="KB279" s="469">
        <f t="shared" si="821"/>
        <v>2.5660492421988774</v>
      </c>
      <c r="KI279" s="473">
        <f t="shared" si="850"/>
        <v>39.357045045151438</v>
      </c>
      <c r="KJ279" s="473">
        <f t="shared" si="851"/>
        <v>-45.186031825619352</v>
      </c>
      <c r="KK279" s="473">
        <f t="shared" si="843"/>
        <v>-39.164821483672711</v>
      </c>
      <c r="KN279" s="544">
        <f t="shared" si="825"/>
        <v>2002</v>
      </c>
      <c r="KO279" s="541">
        <f t="shared" si="794"/>
        <v>-4.1876232338288411E-2</v>
      </c>
      <c r="KP279" s="546">
        <f t="shared" si="795"/>
        <v>-222.44917389411424</v>
      </c>
      <c r="KQ279" s="546">
        <f t="shared" si="796"/>
        <v>-300.66959022227138</v>
      </c>
      <c r="KR279" s="548">
        <f t="shared" si="797"/>
        <v>3.3586424900961394</v>
      </c>
      <c r="KS279" s="548">
        <f t="shared" si="798"/>
        <v>2.4848779910706624</v>
      </c>
      <c r="KT279" s="473">
        <f t="shared" si="822"/>
        <v>843.26993010479111</v>
      </c>
      <c r="KU279" s="663">
        <f t="shared" si="816"/>
        <v>4.561658571909561</v>
      </c>
    </row>
    <row r="280" spans="1:307" s="26" customFormat="1" ht="15" outlineLevel="1">
      <c r="A280" s="561">
        <f t="shared" si="799"/>
        <v>2080</v>
      </c>
      <c r="B280" s="561">
        <f t="shared" si="817"/>
        <v>80</v>
      </c>
      <c r="C280" s="561">
        <f t="shared" si="760"/>
        <v>2</v>
      </c>
      <c r="D280" s="561" t="str">
        <f t="shared" si="728"/>
        <v xml:space="preserve">0.9/1.9/2.9/3.9, -360 Lease, </v>
      </c>
      <c r="E280" s="475">
        <f>INDEX(Input!$1:$1048576,E$93,$C280*2+MIN($B280,2)+5)
+INDEX(Scenarios!E$121:E$200,MATCH($B280,Scenarios!$B$121:$B$200,0))</f>
        <v>1269.7618664521319</v>
      </c>
      <c r="F280" s="475">
        <f>INDEX(Input!$1:$1048576,F$93,$C280*2+MIN($B280,2)+5)
+INDEX(Scenarios!F$121:F$200,MATCH($B280,Scenarios!$B$121:$B$200,0))</f>
        <v>0</v>
      </c>
      <c r="G280" s="475">
        <f>INDEX(Input!$1:$1048576,G$93,$C280*2+MIN($B280,2)+5)
+INDEX(Scenarios!G$121:G$200,MATCH($B280,Scenarios!$B$121:$B$200,0))</f>
        <v>0</v>
      </c>
      <c r="H280" s="475">
        <f>INDEX(Input!$1:$1048576,H$93,$C280*2+MIN($B280,2)+5)
+INDEX(Scenarios!H$121:H$200,MATCH($B280,Scenarios!$B$121:$B$200,0))</f>
        <v>0</v>
      </c>
      <c r="I280" s="476">
        <f>INDEX(Input!$1:$1048576,I$93,$C280*2+MIN($B280,2)+5)</f>
        <v>0.7</v>
      </c>
      <c r="J280" s="476" t="str">
        <f>INDEX(Input!$1:$1048576,J$93,$C280*2+MIN($B280,2)+5)</f>
        <v>Market</v>
      </c>
      <c r="K280" s="476" t="str">
        <f>INDEX(Input!$1:$1048576,K$93,$C280*2+MIN($B280,2)+5)</f>
        <v>Market</v>
      </c>
      <c r="L280" s="476" t="str">
        <f>INDEX(Input!$1:$1048576,L$93,$C280*2+MIN($B280,2)+5)</f>
        <v>Market</v>
      </c>
      <c r="M280" s="476" t="str">
        <f>INDEX(Input!$1:$1048576,M$93,$C280*2+MIN($B280,2)+5)</f>
        <v>Market</v>
      </c>
      <c r="N280" s="476" t="str">
        <f>INDEX(Input!$1:$1048576,N$93,$C280*2+MIN($B280,2)+5)</f>
        <v>Market</v>
      </c>
      <c r="O280" s="476" t="str">
        <f>INDEX(Input!$1:$1048576,O$93,$C280*2+MIN($B280,2)+5)</f>
        <v>Market</v>
      </c>
      <c r="P280" s="476" t="str">
        <f>INDEX(Input!$1:$1048576,P$93,$C280*2+MIN($B280,2)+5)</f>
        <v>N</v>
      </c>
      <c r="Q280" s="477">
        <f>INDEX(Input!$1:$1048576,Q$93,$C280*2+MIN($B280,2)+5)
+INDEX(Scenarios!Q$121:Q$200,MATCH($B280,Scenarios!$B$121:$B$200,0))</f>
        <v>0</v>
      </c>
      <c r="R280" s="478">
        <f>IFERROR(MAX(0,INDEX(Input!$1:$1048576,R$93,$C280*2+MIN($B280,2)+5)
+INDEX(Scenarios!R$121:R$200,MATCH($B280,Scenarios!$B$121:$B$200,0)),),"Market")</f>
        <v>0</v>
      </c>
      <c r="S280" s="478">
        <f>IFERROR(MAX(0,INDEX(Input!$1:$1048576,S$93,$C280*2+MIN($B280,2)+5)
+INDEX(Scenarios!S$121:S$200,MATCH($B280,Scenarios!$B$121:$B$200,0)),),"Market")</f>
        <v>0</v>
      </c>
      <c r="T280" s="478">
        <f>IFERROR(MAX(0,INDEX(Input!$1:$1048576,T$93,$C280*2+MIN($B280,2)+5)
+INDEX(Scenarios!T$121:T$200,MATCH($B280,Scenarios!$B$121:$B$200,0)),),"Market")</f>
        <v>0</v>
      </c>
      <c r="U280" s="478">
        <f>IFERROR(MAX(0,INDEX(Input!$1:$1048576,U$93,$C280*2+MIN($B280,2)+5)
+INDEX(Scenarios!U$121:U$200,MATCH($B280,Scenarios!$B$121:$B$200,0)),),"Market")</f>
        <v>9.0000000000000011E-3</v>
      </c>
      <c r="V280" s="478">
        <f>IFERROR(MAX(0,INDEX(Input!$1:$1048576,V$93,$C280*2+MIN($B280,2)+5)
+INDEX(Scenarios!V$121:V$200,MATCH($B280,Scenarios!$B$121:$B$200,0)),),"Market")</f>
        <v>2.8999999999999998E-2</v>
      </c>
      <c r="W280" s="885">
        <f>IFERROR(MAX(0,INDEX(Input!$1:$1048576,W$93,$C280*2+MIN($B280,2)+5)-0%,),"Market")</f>
        <v>3.9E-2</v>
      </c>
      <c r="X280" s="476" t="str">
        <f>INDEX(Input!$1:$1048576,X$93,$C280*2+MIN($B280,2)+5)</f>
        <v>Y</v>
      </c>
      <c r="Y280" s="475">
        <f>INDEX(Input!$1:$1048576,Y$93,$C280*2+MIN($B280,2)+5)
++INDEX(Scenarios!Y$121:Y$200,MATCH($B280,Scenarios!$B$121:$B$200,0))</f>
        <v>-304</v>
      </c>
      <c r="Z280" s="477">
        <f>INDEX(Input!$1:$1048576,Z$93,$C280*2+MIN($B280,2)+5)
+INDEX(Scenarios!Z$121:Z$200,MATCH($B280,Scenarios!$B$121:$B$200,0))</f>
        <v>0</v>
      </c>
      <c r="AA280" s="475">
        <f>INDEX(Input!$1:$1048576,AA$93,$C280*2+MIN($B280,2)+5)
+INDEX(Scenarios!AA$121:AA$200,MATCH($B280,Scenarios!$B$121:$B$200,0))</f>
        <v>0</v>
      </c>
      <c r="AB280" s="476">
        <f>INDEX(Input!$1:$1048576,AB$93,$C280*2+MIN($B280,2)+5)</f>
        <v>0.27</v>
      </c>
      <c r="AC280" s="475">
        <f>INDEX(Input!$1:$1048576,AC$93,$C280*2+MIN($B280,2)+5)
+INDEX(Scenarios!AC$121:AC$200,MATCH($B280,Scenarios!$B$121:$B$200,0))</f>
        <v>0</v>
      </c>
      <c r="AD280" s="476">
        <f>INDEX(Input!$1:$1048576,AD$93,$C280*2+MIN($B280,2)+5)</f>
        <v>0.27</v>
      </c>
      <c r="AE280" s="475">
        <f>INDEX(Input!$1:$1048576,AE$93,$C280*2+MIN($B280,2)+5)
+INDEX(Scenarios!AE$121:AE$200,MATCH($B280,Scenarios!$B$121:$B$200,0))</f>
        <v>0</v>
      </c>
      <c r="AF280" s="476">
        <f>INDEX(Input!$1:$1048576,AF$93,$C280*2+MIN($B280,2)+5)</f>
        <v>4.8000000000000001E-2</v>
      </c>
      <c r="AG280" s="475">
        <f>INDEX(Input!$1:$1048576,AG$93,$C280*2+MIN($B280,2)+5)
+INDEX(Scenarios!AG$121:AG$200,MATCH($B280,Scenarios!$B$121:$B$200,0))</f>
        <v>500</v>
      </c>
      <c r="AH280" s="476">
        <f>INDEX(Input!$1:$1048576,AH$93,$C280*2+MIN($B280,2)+5)</f>
        <v>0.94599999999999995</v>
      </c>
      <c r="AI280" s="475">
        <f>INDEX(Input!$1:$1048576,AI$93,$C280*2+MIN($B280,2)+5)
+INDEX(Scenarios!AI$121:AI$200,MATCH($B280,Scenarios!$B$121:$B$200,0))</f>
        <v>0</v>
      </c>
      <c r="AJ280" s="476">
        <f>INDEX(Input!$1:$1048576,AJ$93,$C280*2+MIN($B280,2)+5)</f>
        <v>0.27</v>
      </c>
      <c r="AK280" s="150">
        <f>ROUND(INDEX(Input!$1:$1048576,AK$93,$C279*2+MIN($B280,1)+5)+(Y280-VLOOKUP($C280*1000+1,$A:$HH,Y$92,FALSE)),0)</f>
        <v>2617</v>
      </c>
      <c r="AL280" s="150">
        <f>ROUND(INDEX(Input!$1:$1048576,AL$93,$C279*2+MIN($B280,1)+5)-(Y280-VLOOKUP($C280*1000+1,$A:$HH,Y$92,FALSE))/36,0)</f>
        <v>3405</v>
      </c>
      <c r="AM280" s="32" t="str">
        <f t="shared" si="800"/>
        <v>std/std/std/std</v>
      </c>
      <c r="AN280" s="32" t="str">
        <f t="shared" si="801"/>
        <v>$0 + 0/0/0.9/2.9/3.9</v>
      </c>
      <c r="AO280" s="32" t="str">
        <f t="shared" si="802"/>
        <v>0/0/0.9/2.9/3.9</v>
      </c>
      <c r="AP280" s="32" t="str">
        <f t="shared" si="734"/>
        <v>0.9/1.9/2.9/3.9</v>
      </c>
      <c r="AQ280" s="536">
        <f t="shared" si="733"/>
        <v>0.40931094382295735</v>
      </c>
      <c r="AR280" s="32"/>
      <c r="AS280" s="302"/>
      <c r="AT280" s="3">
        <f t="shared" ref="AT280:AT300" si="856">AT279+1</f>
        <v>80</v>
      </c>
      <c r="AU280" s="41" t="s">
        <v>121</v>
      </c>
      <c r="AV280" s="41" t="s">
        <v>116</v>
      </c>
      <c r="AW280" s="41" t="str">
        <f>INDEX(Input!$1:$1048576,AW$93,$C280*2+6)</f>
        <v>Kia</v>
      </c>
      <c r="AX280" s="41" t="str">
        <f>INDEX(Input!$1:$1048576,AX$93,$C280*2+6)</f>
        <v>Kia-LR - L2</v>
      </c>
      <c r="AY280" s="41" t="str">
        <f>IF(LEN(D280)=0,"",INDEX(Input!$1:$1048576,AY$93,$C280*2+6))</f>
        <v>Compact SUV (52)</v>
      </c>
      <c r="AZ280" s="41" t="str">
        <f>INDEX(Input!$1:$1048576,AZ$93,$C280*2+6)</f>
        <v>Kia Soul</v>
      </c>
      <c r="BA280" s="3">
        <f>INDEX(Input!$1:$1048576,BA$93,$C280*2+6)</f>
        <v>2020</v>
      </c>
      <c r="BB280" s="128">
        <f>INDEX(Input!$1:$1048576,BB$93,$C280*2+6)</f>
        <v>1</v>
      </c>
      <c r="BC280" s="128">
        <f>INDEX(Input!$1:$1048576,BC$93,$C280*2+6)</f>
        <v>0.7</v>
      </c>
      <c r="BD280" s="1">
        <f>INDEX(Input!$1:$1048576,BD$93,$C280*2+6)</f>
        <v>4.4999999999999998E-2</v>
      </c>
      <c r="BE280" s="1">
        <f>INDEX(Input!$1:$1048576,BE$93,$C280*2+6)</f>
        <v>4.4999999999999998E-2</v>
      </c>
      <c r="BF280" s="1">
        <f>INDEX(Input!$1:$1048576,BF$93,$C280*2+6)</f>
        <v>0.05</v>
      </c>
      <c r="BG280" s="1">
        <f>INDEX(Input!$1:$1048576,BG$93,$C280*2+6)</f>
        <v>5.45E-2</v>
      </c>
      <c r="BH280" s="1">
        <f>INDEX(Input!$1:$1048576,BH$93,$C280*2+6)</f>
        <v>5.45E-2</v>
      </c>
      <c r="BI280" s="1">
        <f>INDEX(Input!$1:$1048576,BI$93,$C280*2+6)</f>
        <v>0.05</v>
      </c>
      <c r="BJ280" s="1">
        <f>INDEX(Input!$1:$1048576,BJ$93,$C280*2+6)</f>
        <v>0.05</v>
      </c>
      <c r="BK280" s="1">
        <f>INDEX(Input!$1:$1048576,BK$93,$C280*2+6)</f>
        <v>0.05</v>
      </c>
      <c r="BL280" s="1">
        <f>INDEX(Input!$1:$1048576,BL$93,$C280*2+6)</f>
        <v>5.5E-2</v>
      </c>
      <c r="BM280" s="1">
        <f>INDEX(Input!$1:$1048576,BM$93,$C280*2+6)</f>
        <v>0.06</v>
      </c>
      <c r="BN280" s="1">
        <f>INDEX(Input!$1:$1048576,BN$93,$C280*2+6)</f>
        <v>4.4999999999999998E-2</v>
      </c>
      <c r="BO280" s="1">
        <f>INDEX(Input!$1:$1048576,BO$93,$C280*2+6)</f>
        <v>4.4999999999999998E-2</v>
      </c>
      <c r="BP280" s="1">
        <f>INDEX(Input!$1:$1048576,BP$93,$C280*2+6)</f>
        <v>0.05</v>
      </c>
      <c r="BQ280" s="1">
        <f>INDEX(Input!$1:$1048576,BQ$93,$C280*2+6)</f>
        <v>5.45E-2</v>
      </c>
      <c r="BR280" s="1">
        <f>INDEX(Input!$1:$1048576,BR$93,$C280*2+6)</f>
        <v>5.45E-2</v>
      </c>
      <c r="BS280" s="1">
        <f>INDEX(Input!$1:$1048576,BS$93,$C280*2+6)</f>
        <v>0.05</v>
      </c>
      <c r="BT280" s="1">
        <f>INDEX(Input!$1:$1048576,BT$93,$C280*2+6)</f>
        <v>0.05</v>
      </c>
      <c r="BU280" s="1">
        <f>INDEX(Input!$1:$1048576,BU$93,$C280*2+6)</f>
        <v>0.05</v>
      </c>
      <c r="BV280" s="1">
        <f>INDEX(Input!$1:$1048576,BV$93,$C280*2+6)</f>
        <v>5.5E-2</v>
      </c>
      <c r="BW280" s="1">
        <f>INDEX(Input!$1:$1048576,BW$93,$C280*2+6)</f>
        <v>0.06</v>
      </c>
      <c r="BX280" s="127">
        <f>INDEX(Input!$1:$1048576,BX$93,$C280*2+6)</f>
        <v>19985</v>
      </c>
      <c r="BY280" s="20">
        <f>INDEX(Input!$1:$1048576,BY$93,$C280*2+6)</f>
        <v>0.1</v>
      </c>
      <c r="BZ280" s="20">
        <f>INDEX(Input!$1:$1048576,BZ$93,$C280*2+6)</f>
        <v>0.1</v>
      </c>
      <c r="CA280" s="20">
        <f>INDEX(Input!$1:$1048576,CA$93,$C280*2+6)</f>
        <v>0.1</v>
      </c>
      <c r="CB280" s="20">
        <f>INDEX(Input!$1:$1048576,CB$93,$C280*2+6)</f>
        <v>0.1</v>
      </c>
      <c r="CC280" s="20">
        <f>INDEX(Input!$1:$1048576,CC$93,$C280*2+6)</f>
        <v>0.1</v>
      </c>
      <c r="CD280" s="384">
        <f>INDEX(Input!$1:$1048576,CD$93,$C280*2+6)</f>
        <v>0.1</v>
      </c>
      <c r="CE280" s="384">
        <f>INDEX(Input!$1:$1048576,CE$93,$C280*2+6)</f>
        <v>0.1</v>
      </c>
      <c r="CF280" s="384">
        <f>INDEX(Input!$1:$1048576,CF$93,$C280*2+6)</f>
        <v>0.1</v>
      </c>
      <c r="CG280" s="384">
        <f>INDEX(Input!$1:$1048576,CG$93,$C280*2+6)</f>
        <v>0.1</v>
      </c>
      <c r="CH280" s="384">
        <f>INDEX(Input!$1:$1048576,CH$93,$C280*2+6)</f>
        <v>0.1</v>
      </c>
      <c r="CI280" s="304">
        <f t="shared" si="735"/>
        <v>1269.7618664521319</v>
      </c>
      <c r="CJ280" s="16" t="str">
        <f>INDEX(Input!$1:$1048576,CJ$93,$C280*2+6)</f>
        <v>N</v>
      </c>
      <c r="CK280" s="1" t="str">
        <f t="shared" si="736"/>
        <v>Market</v>
      </c>
      <c r="CL280" s="1" t="str">
        <f t="shared" si="737"/>
        <v>Market</v>
      </c>
      <c r="CM280" s="1" t="str">
        <f t="shared" si="738"/>
        <v>Market</v>
      </c>
      <c r="CN280" s="1" t="str">
        <f t="shared" si="739"/>
        <v>Market</v>
      </c>
      <c r="CO280" s="1" t="str">
        <f t="shared" si="740"/>
        <v>Market</v>
      </c>
      <c r="CP280" s="304">
        <f t="shared" si="741"/>
        <v>473</v>
      </c>
      <c r="CQ280" s="1">
        <f t="shared" si="742"/>
        <v>0</v>
      </c>
      <c r="CR280" s="1">
        <f t="shared" si="743"/>
        <v>0</v>
      </c>
      <c r="CS280" s="1">
        <f t="shared" si="744"/>
        <v>9.0000000000000011E-3</v>
      </c>
      <c r="CT280" s="1">
        <f t="shared" si="745"/>
        <v>2.8999999999999998E-2</v>
      </c>
      <c r="CU280" s="1">
        <f t="shared" si="746"/>
        <v>3.9E-2</v>
      </c>
      <c r="CV280" s="304">
        <f t="shared" si="747"/>
        <v>-304</v>
      </c>
      <c r="CW280" s="20" t="s">
        <v>122</v>
      </c>
      <c r="CX280" s="20" t="s">
        <v>122</v>
      </c>
      <c r="CY280" s="20" t="s">
        <v>122</v>
      </c>
      <c r="CZ280" s="20" t="s">
        <v>122</v>
      </c>
      <c r="DA280" s="20" t="s">
        <v>122</v>
      </c>
      <c r="DB280" s="503">
        <f t="shared" si="748"/>
        <v>0</v>
      </c>
      <c r="DC280" s="127">
        <v>0</v>
      </c>
      <c r="DD280" s="127">
        <v>0</v>
      </c>
      <c r="DE280" s="127">
        <v>0</v>
      </c>
      <c r="DF280" s="127">
        <v>0</v>
      </c>
      <c r="DG280" s="127">
        <v>0</v>
      </c>
      <c r="DH280" s="127">
        <v>0</v>
      </c>
      <c r="DI280" s="127">
        <v>0</v>
      </c>
      <c r="DJ280" s="127">
        <v>0</v>
      </c>
      <c r="DK280" s="127">
        <v>0</v>
      </c>
      <c r="DL280" s="127">
        <v>0</v>
      </c>
      <c r="DM280" s="304">
        <f>INDEX(Input!$1:$1048576,DM$93,$C280*2+6)</f>
        <v>21036.84210526316</v>
      </c>
      <c r="DN280" s="20">
        <v>0</v>
      </c>
      <c r="DO280" s="20">
        <v>0</v>
      </c>
      <c r="DP280" s="20">
        <v>0</v>
      </c>
      <c r="DQ280" s="20">
        <v>0</v>
      </c>
      <c r="DR280" s="20">
        <v>0</v>
      </c>
      <c r="DS280" s="20">
        <f>INDEX(Input!$1:$1048576,DS$93,$C280*2+6)</f>
        <v>0.6</v>
      </c>
      <c r="DT280" s="20">
        <f>INDEX(Input!$1:$1048576,DT$93,$C280*2+6)</f>
        <v>0.55000000000000004</v>
      </c>
      <c r="DU280" s="20">
        <f>INDEX(Input!$1:$1048576,DU$93,$C280*2+6)</f>
        <v>0.52</v>
      </c>
      <c r="DV280" s="20">
        <f>INDEX(Input!$1:$1048576,DV$93,$C280*2+6)</f>
        <v>0.5</v>
      </c>
      <c r="DW280" s="20">
        <f>INDEX(Input!$1:$1048576,DW$93,$C280*2+6)</f>
        <v>0.45</v>
      </c>
      <c r="DX280" s="20"/>
      <c r="DY280" s="7">
        <v>9.7242912744747612E-2</v>
      </c>
      <c r="DZ280" s="7">
        <v>0</v>
      </c>
      <c r="EA280" s="7">
        <v>0.68786854595841029</v>
      </c>
      <c r="EB280" s="7">
        <v>0</v>
      </c>
      <c r="EC280" s="7">
        <v>0</v>
      </c>
      <c r="ED280" s="7">
        <v>0</v>
      </c>
      <c r="EE280" s="7">
        <v>0</v>
      </c>
      <c r="EF280" s="7">
        <v>0</v>
      </c>
      <c r="EG280" s="7">
        <v>0</v>
      </c>
      <c r="EH280" s="7">
        <v>1.9563158140553951E-2</v>
      </c>
      <c r="EI280" s="7">
        <v>5.5688176040288639E-2</v>
      </c>
      <c r="EJ280" s="7">
        <v>0.3059134258264104</v>
      </c>
      <c r="EK280" s="7">
        <v>0.4664015835037269</v>
      </c>
      <c r="EL280" s="7">
        <v>0.15243365648902021</v>
      </c>
      <c r="EM280" s="7">
        <v>4.3939294931283943E-2</v>
      </c>
      <c r="EN280" s="7">
        <v>6.4366842771631669E-2</v>
      </c>
      <c r="EO280" s="7">
        <v>0.72184794656969364</v>
      </c>
      <c r="EP280" s="7">
        <v>9.2868569135253654E-2</v>
      </c>
      <c r="EQ280" s="7">
        <v>7.9201675854895681E-2</v>
      </c>
      <c r="ER280" s="7">
        <v>4.1714965668525041E-2</v>
      </c>
      <c r="ES280" s="7">
        <v>0.17094924636555825</v>
      </c>
      <c r="ET280" s="7">
        <v>0.21488854129684218</v>
      </c>
      <c r="EU280" s="6">
        <v>1294</v>
      </c>
      <c r="EV280" s="6">
        <v>0</v>
      </c>
      <c r="EW280" s="6">
        <v>1294</v>
      </c>
      <c r="EX280" s="6">
        <v>0</v>
      </c>
      <c r="EY280" s="6">
        <v>1671.8882503613361</v>
      </c>
      <c r="EZ280" s="6">
        <v>586</v>
      </c>
      <c r="FA280" s="6">
        <v>0</v>
      </c>
      <c r="FB280" s="6">
        <v>0</v>
      </c>
      <c r="FC280" s="6">
        <v>0</v>
      </c>
      <c r="FD280" s="6">
        <v>0</v>
      </c>
      <c r="FE280" s="6">
        <v>0</v>
      </c>
      <c r="FF280" s="6">
        <v>0</v>
      </c>
      <c r="FG280" s="6">
        <v>0</v>
      </c>
      <c r="FH280" s="6">
        <v>1173.7307827864931</v>
      </c>
      <c r="FI280" s="6">
        <v>1553.9796069512395</v>
      </c>
      <c r="FJ280" s="6">
        <v>1735.1562230702818</v>
      </c>
      <c r="FK280" s="6">
        <v>1284.9687470586848</v>
      </c>
      <c r="FL280" s="6">
        <v>907.07682140966324</v>
      </c>
      <c r="FM280" s="6">
        <v>1377.8882503613361</v>
      </c>
      <c r="FN280" s="6">
        <v>0</v>
      </c>
      <c r="FO280" s="6">
        <v>0</v>
      </c>
      <c r="FP280" s="6">
        <v>0</v>
      </c>
      <c r="FQ280" s="6">
        <v>0</v>
      </c>
      <c r="FR280" s="6">
        <v>0</v>
      </c>
      <c r="FS280" s="6">
        <v>0</v>
      </c>
      <c r="FT280" s="7">
        <v>0.78511145870315791</v>
      </c>
      <c r="FU280" s="7">
        <v>4.3939294931283943E-2</v>
      </c>
      <c r="FV280" s="7">
        <v>0.17094924636555825</v>
      </c>
      <c r="FW280" s="6">
        <v>1294</v>
      </c>
      <c r="FX280" s="6">
        <v>1671.8882503613361</v>
      </c>
      <c r="FY280" s="6">
        <v>586</v>
      </c>
      <c r="FZ280" s="6">
        <v>1817.4615072224267</v>
      </c>
      <c r="GA280" s="6">
        <v>1189.5720768568785</v>
      </c>
      <c r="GB280" s="6">
        <v>18795.427923143121</v>
      </c>
      <c r="GC280" s="7">
        <v>1.804905384453976E-2</v>
      </c>
      <c r="GD280" s="7">
        <v>1.6992751085359671E-2</v>
      </c>
      <c r="GE280" s="7"/>
      <c r="GF280" s="7"/>
      <c r="GG280" s="7">
        <v>-5.8523996231505726E-2</v>
      </c>
      <c r="GH280" s="42">
        <v>1.862751637666072</v>
      </c>
      <c r="GI280" s="6">
        <v>11918.323884607336</v>
      </c>
      <c r="GJ280" s="14">
        <v>0.50394797582841744</v>
      </c>
      <c r="GK280" s="14">
        <v>0.50887573065309755</v>
      </c>
      <c r="GL280" s="14">
        <v>0.49605202417158284</v>
      </c>
      <c r="GM280" s="14">
        <v>0.49112426934690234</v>
      </c>
      <c r="GO280" s="5">
        <v>343.14810671672558</v>
      </c>
      <c r="GP280" s="5">
        <v>318.46105531198077</v>
      </c>
      <c r="GQ280" s="5">
        <v>535.04305713031317</v>
      </c>
      <c r="GR280" s="5">
        <v>410.15490233172511</v>
      </c>
      <c r="GS280" s="5">
        <v>339.42744393800166</v>
      </c>
      <c r="GT280" s="5">
        <v>293.4407446948278</v>
      </c>
      <c r="GU280" s="5">
        <v>258.04012322764959</v>
      </c>
      <c r="GV280" s="39" t="s">
        <v>392</v>
      </c>
      <c r="GW280" s="5">
        <v>491.45833333333331</v>
      </c>
      <c r="GX280" s="5">
        <v>368.59375</v>
      </c>
      <c r="GY280" s="5">
        <v>301.66999163600519</v>
      </c>
      <c r="GZ280" s="5">
        <v>268.02332273190535</v>
      </c>
      <c r="HA280" s="5">
        <v>241.02179695997205</v>
      </c>
      <c r="HB280" s="39">
        <v>284.172027284492</v>
      </c>
      <c r="HC280" s="5">
        <v>261.64687500000002</v>
      </c>
      <c r="HD280" s="5">
        <v>222.30677997076018</v>
      </c>
      <c r="HE280" s="5">
        <v>224.71639254385963</v>
      </c>
      <c r="HF280" s="5">
        <v>207.35750548245613</v>
      </c>
      <c r="HG280" s="5">
        <v>199.39971491228067</v>
      </c>
      <c r="HH280" s="39">
        <v>222.92317992919263</v>
      </c>
      <c r="HI280" s="16"/>
      <c r="HJ280" s="19" t="str">
        <f t="shared" ref="HJ280:HK280" si="857">HJ279</f>
        <v>On</v>
      </c>
      <c r="HK280" s="1" t="str">
        <f t="shared" si="857"/>
        <v>On</v>
      </c>
      <c r="HL280" s="16"/>
      <c r="HM280" s="639">
        <f t="shared" si="775"/>
        <v>1.2768706344444866E-2</v>
      </c>
      <c r="HN280" s="639">
        <f t="shared" si="776"/>
        <v>9.795534288915453E-4</v>
      </c>
      <c r="HO280" s="639">
        <f t="shared" si="777"/>
        <v>3.3583061774515237E-3</v>
      </c>
      <c r="HP280" s="644">
        <f>(FT280*$GD280-HM280)/$JF280*INDEX(Input!$1:$1048576,$JG$93,$C280*2+6)</f>
        <v>41.598885525368196</v>
      </c>
      <c r="HQ280" s="644">
        <f>(FU280*$GD280-HN280)/$JF280*INDEX(Input!$1:$1048576,$JG$93,$C280*2+6)</f>
        <v>-16.923301989105454</v>
      </c>
      <c r="HR280" s="644">
        <f>(FV280*$GD280-HO280)/$JF280*INDEX(Input!$1:$1048576,$JG$93,$C280*2+6)</f>
        <v>-32.945617284375317</v>
      </c>
      <c r="HS280" s="644">
        <f t="shared" si="767"/>
        <v>-2.2418404802167071</v>
      </c>
      <c r="HT280" s="644">
        <f t="shared" si="845"/>
        <v>-28.262729836513973</v>
      </c>
      <c r="HU280" s="644">
        <f t="shared" si="779"/>
        <v>-6.2192041992973914</v>
      </c>
      <c r="HV280" s="648">
        <f t="shared" si="780"/>
        <v>0</v>
      </c>
      <c r="HW280" s="648">
        <f t="shared" si="781"/>
        <v>0</v>
      </c>
      <c r="HX280" s="648">
        <f t="shared" si="782"/>
        <v>0</v>
      </c>
      <c r="HY280" s="644">
        <f>INDEX(Input!$1:$1048576,HY$93,$C280*2+6)*INDEX(Input!$1:$1048576,$JG$93,$C280*2+6)</f>
        <v>451</v>
      </c>
      <c r="HZ280" s="644">
        <f>INDEX(Input!$1:$1048576,HZ$93,$C280*2+6)*INDEX(Input!$1:$1048576,$JG$93,$C280*2+6)</f>
        <v>577</v>
      </c>
      <c r="IA280" s="644">
        <f>INDEX(Input!$1:$1048576,IA$93,$C280*2+6)*INDEX(Input!$1:$1048576,$JG$93,$C280*2+6)</f>
        <v>215</v>
      </c>
      <c r="IB280" s="644">
        <f t="shared" si="804"/>
        <v>490.35704504515144</v>
      </c>
      <c r="IC280" s="644">
        <f t="shared" si="805"/>
        <v>531.81396817438065</v>
      </c>
      <c r="ID280" s="644">
        <f>IF(AND(INDEX(Input!$1:$1048576,IA$93,$C280*2+7)="TOS",Y280&lt;=INDEX(Y:Y,MATCH(C280*1000+2,A:A))),0,1)*MAX(IA280+HR280+HU280+HX280,0%)</f>
        <v>175.83517851632729</v>
      </c>
      <c r="IE280" s="128">
        <f t="shared" si="846"/>
        <v>0.40931094382295735</v>
      </c>
      <c r="IF280" s="128">
        <f t="shared" si="847"/>
        <v>0.44391587609727218</v>
      </c>
      <c r="IG280" s="128">
        <f t="shared" si="838"/>
        <v>0.14677318007977044</v>
      </c>
      <c r="IH280" s="21"/>
      <c r="II280" s="19">
        <f t="shared" si="785"/>
        <v>1252</v>
      </c>
      <c r="IJ280" s="19">
        <f t="shared" si="786"/>
        <v>2011.9658773055378</v>
      </c>
      <c r="IK280" s="19">
        <f t="shared" si="787"/>
        <v>919</v>
      </c>
      <c r="IL280" s="19">
        <f t="shared" si="806"/>
        <v>42</v>
      </c>
      <c r="IM280" s="19">
        <f t="shared" si="788"/>
        <v>-340.07762694420171</v>
      </c>
      <c r="IN280" s="19">
        <f t="shared" si="789"/>
        <v>-333</v>
      </c>
      <c r="IO280" s="39">
        <f t="shared" si="790"/>
        <v>0</v>
      </c>
      <c r="IP280" s="39">
        <f t="shared" si="791"/>
        <v>0</v>
      </c>
      <c r="IQ280" s="39">
        <f t="shared" si="792"/>
        <v>0</v>
      </c>
      <c r="IR280" s="39">
        <v>0</v>
      </c>
      <c r="IS280" s="39">
        <v>0</v>
      </c>
      <c r="IT280" s="39">
        <v>0</v>
      </c>
      <c r="IU280" s="39">
        <v>0</v>
      </c>
      <c r="IV280" s="39">
        <v>0</v>
      </c>
      <c r="IW280" s="39">
        <v>0</v>
      </c>
      <c r="IX280" s="39">
        <f>INDEX(Input!$1:$1048576,IX$93,$C280*2+6)+INDEX(Input!$1:$1048576,IX$94,$C280*2+6)</f>
        <v>1294</v>
      </c>
      <c r="IY280" s="39">
        <f>INDEX(Input!$1:$1048576,IY$93,$C280*2+6)+INDEX(Input!$1:$1048576,IY$94,$C280*2+6)</f>
        <v>2154.0624533823611</v>
      </c>
      <c r="IZ280" s="39">
        <f>INDEX(Input!$1:$1048576,IZ$93,$C280*2+6)+INDEX(Input!$1:$1048576,IZ$94,$C280*2+6)</f>
        <v>3677.7164157747848</v>
      </c>
      <c r="JA280" s="19">
        <f t="shared" si="807"/>
        <v>1336</v>
      </c>
      <c r="JB280" s="19">
        <f t="shared" si="808"/>
        <v>1813.9848264381594</v>
      </c>
      <c r="JC280" s="19">
        <f t="shared" si="809"/>
        <v>3344.7164157747848</v>
      </c>
      <c r="JD280" s="19">
        <f t="shared" si="810"/>
        <v>1843.0107492112015</v>
      </c>
      <c r="JE280" s="21"/>
      <c r="JF280" s="1">
        <f t="shared" si="793"/>
        <v>1.7106565950787935E-2</v>
      </c>
      <c r="JG280" s="15">
        <f>INDEX(Input!$1:$1048576,JG$93,$C280*2+6)/(1+VLOOKUP(C280*1000+INDEX(Input!$1:$1048576,JG$93+1,$C280*2+6),$A:$KK,$JK$92,FALSE))</f>
        <v>1243</v>
      </c>
      <c r="JH280" s="1">
        <f t="shared" si="811"/>
        <v>-6.6532853967116445E-3</v>
      </c>
      <c r="JI280" s="1">
        <f t="shared" si="812"/>
        <v>-2.9544468637190725E-2</v>
      </c>
      <c r="JJ280" s="1">
        <f t="shared" si="848"/>
        <v>0</v>
      </c>
      <c r="JK280" s="1">
        <f t="shared" si="849"/>
        <v>-3.6197754033902366E-2</v>
      </c>
      <c r="JL280" s="15">
        <f t="shared" si="813"/>
        <v>-44.99380826414064</v>
      </c>
      <c r="JM280" s="15">
        <f t="shared" si="830"/>
        <v>1198.0061917358594</v>
      </c>
      <c r="JN280" s="21"/>
      <c r="JO280" s="19">
        <f>INDEX(Input!$1:$1048576,JO$93,$C280*2+6)</f>
        <v>5995.5</v>
      </c>
      <c r="JP280" s="19">
        <f>INDEX(Input!$1:$1048576,JP$93,$C280*2+6)</f>
        <v>2105.548724853742</v>
      </c>
      <c r="JQ280" s="39">
        <f t="shared" si="819"/>
        <v>4152.489250788798</v>
      </c>
      <c r="JR280" s="39">
        <f t="shared" si="833"/>
        <v>-262.53797564254046</v>
      </c>
      <c r="JS280" s="39">
        <f t="shared" si="820"/>
        <v>2.2079382889907646</v>
      </c>
      <c r="JT280" s="39">
        <f t="shared" si="814"/>
        <v>-0.40925877600243687</v>
      </c>
      <c r="JU280" s="385">
        <f>(JQ280*JM280-INDEX(Input!$1:$1048576,Input!A$18,$C280*2+6)*JL280*INDEX(Input!$1:$1048576,Input!A$19,$C280*2+6))/1000000</f>
        <v>4.9747078335615793</v>
      </c>
      <c r="JV280" s="39">
        <f t="shared" si="854"/>
        <v>0.13949839855478086</v>
      </c>
      <c r="JW280" s="1">
        <f t="shared" si="831"/>
        <v>2.8850539036595985E-2</v>
      </c>
      <c r="JX280" s="19">
        <f t="shared" si="824"/>
        <v>9095.8910079325233</v>
      </c>
      <c r="JZ280" s="341"/>
      <c r="KA280" s="342"/>
      <c r="KB280" s="469">
        <f t="shared" si="821"/>
        <v>2.5660492421988774</v>
      </c>
      <c r="KI280" s="473">
        <f t="shared" si="850"/>
        <v>39.357045045151438</v>
      </c>
      <c r="KJ280" s="473">
        <f t="shared" si="851"/>
        <v>-45.186031825619352</v>
      </c>
      <c r="KK280" s="473">
        <f t="shared" si="843"/>
        <v>-39.164821483672711</v>
      </c>
      <c r="KN280" s="544">
        <f t="shared" si="825"/>
        <v>2002</v>
      </c>
      <c r="KO280" s="541">
        <f t="shared" si="794"/>
        <v>-4.1876232338288411E-2</v>
      </c>
      <c r="KP280" s="546">
        <f t="shared" si="795"/>
        <v>-222.44917389411424</v>
      </c>
      <c r="KQ280" s="546">
        <f t="shared" si="796"/>
        <v>-300.66959022227138</v>
      </c>
      <c r="KR280" s="548">
        <f t="shared" si="797"/>
        <v>3.3586424900961394</v>
      </c>
      <c r="KS280" s="548">
        <f t="shared" si="798"/>
        <v>2.4848779910706624</v>
      </c>
      <c r="KT280" s="473">
        <f t="shared" si="822"/>
        <v>843.26993010479111</v>
      </c>
      <c r="KU280" s="663">
        <f t="shared" si="816"/>
        <v>4.5616595719095603</v>
      </c>
    </row>
    <row r="281" spans="1:307" s="26" customFormat="1" ht="15" outlineLevel="1">
      <c r="A281" s="561">
        <f t="shared" si="799"/>
        <v>2081</v>
      </c>
      <c r="B281" s="561">
        <f t="shared" si="817"/>
        <v>81</v>
      </c>
      <c r="C281" s="561">
        <f t="shared" si="760"/>
        <v>2</v>
      </c>
      <c r="D281" s="561" t="str">
        <f t="shared" si="728"/>
        <v xml:space="preserve">-250 CC, 0.9/1.9/2.9/3.9, -360 Lease, </v>
      </c>
      <c r="E281" s="475">
        <f>INDEX(Input!$1:$1048576,E$93,$C281*2+MIN($B281,2)+5)
+INDEX(Scenarios!E$121:E$200,MATCH($B281,Scenarios!$B$121:$B$200,0))</f>
        <v>1019.7618664521319</v>
      </c>
      <c r="F281" s="475">
        <f>INDEX(Input!$1:$1048576,F$93,$C281*2+MIN($B281,2)+5)
+INDEX(Scenarios!F$121:F$200,MATCH($B281,Scenarios!$B$121:$B$200,0))</f>
        <v>0</v>
      </c>
      <c r="G281" s="475">
        <f>INDEX(Input!$1:$1048576,G$93,$C281*2+MIN($B281,2)+5)
+INDEX(Scenarios!G$121:G$200,MATCH($B281,Scenarios!$B$121:$B$200,0))</f>
        <v>0</v>
      </c>
      <c r="H281" s="475">
        <f>INDEX(Input!$1:$1048576,H$93,$C281*2+MIN($B281,2)+5)
+INDEX(Scenarios!H$121:H$200,MATCH($B281,Scenarios!$B$121:$B$200,0))</f>
        <v>0</v>
      </c>
      <c r="I281" s="476">
        <f>INDEX(Input!$1:$1048576,I$93,$C281*2+MIN($B281,2)+5)</f>
        <v>0.7</v>
      </c>
      <c r="J281" s="476" t="str">
        <f>INDEX(Input!$1:$1048576,J$93,$C281*2+MIN($B281,2)+5)</f>
        <v>Market</v>
      </c>
      <c r="K281" s="476" t="str">
        <f>INDEX(Input!$1:$1048576,K$93,$C281*2+MIN($B281,2)+5)</f>
        <v>Market</v>
      </c>
      <c r="L281" s="476" t="str">
        <f>INDEX(Input!$1:$1048576,L$93,$C281*2+MIN($B281,2)+5)</f>
        <v>Market</v>
      </c>
      <c r="M281" s="476" t="str">
        <f>INDEX(Input!$1:$1048576,M$93,$C281*2+MIN($B281,2)+5)</f>
        <v>Market</v>
      </c>
      <c r="N281" s="476" t="str">
        <f>INDEX(Input!$1:$1048576,N$93,$C281*2+MIN($B281,2)+5)</f>
        <v>Market</v>
      </c>
      <c r="O281" s="476" t="str">
        <f>INDEX(Input!$1:$1048576,O$93,$C281*2+MIN($B281,2)+5)</f>
        <v>Market</v>
      </c>
      <c r="P281" s="476" t="str">
        <f>INDEX(Input!$1:$1048576,P$93,$C281*2+MIN($B281,2)+5)</f>
        <v>N</v>
      </c>
      <c r="Q281" s="477">
        <f>INDEX(Input!$1:$1048576,Q$93,$C281*2+MIN($B281,2)+5)
+INDEX(Scenarios!Q$121:Q$200,MATCH($B281,Scenarios!$B$121:$B$200,0))</f>
        <v>0</v>
      </c>
      <c r="R281" s="478">
        <f>IFERROR(MAX(0,INDEX(Input!$1:$1048576,R$93,$C281*2+MIN($B281,2)+5)
+INDEX(Scenarios!R$121:R$200,MATCH($B281,Scenarios!$B$121:$B$200,0)),),"Market")</f>
        <v>0</v>
      </c>
      <c r="S281" s="478">
        <f>IFERROR(MAX(0,INDEX(Input!$1:$1048576,S$93,$C281*2+MIN($B281,2)+5)
+INDEX(Scenarios!S$121:S$200,MATCH($B281,Scenarios!$B$121:$B$200,0)),),"Market")</f>
        <v>0</v>
      </c>
      <c r="T281" s="478">
        <f>IFERROR(MAX(0,INDEX(Input!$1:$1048576,T$93,$C281*2+MIN($B281,2)+5)
+INDEX(Scenarios!T$121:T$200,MATCH($B281,Scenarios!$B$121:$B$200,0)),),"Market")</f>
        <v>0</v>
      </c>
      <c r="U281" s="478">
        <f>IFERROR(MAX(0,INDEX(Input!$1:$1048576,U$93,$C281*2+MIN($B281,2)+5)
+INDEX(Scenarios!U$121:U$200,MATCH($B281,Scenarios!$B$121:$B$200,0)),),"Market")</f>
        <v>9.0000000000000011E-3</v>
      </c>
      <c r="V281" s="478">
        <f>IFERROR(MAX(0,INDEX(Input!$1:$1048576,V$93,$C281*2+MIN($B281,2)+5)
+INDEX(Scenarios!V$121:V$200,MATCH($B281,Scenarios!$B$121:$B$200,0)),),"Market")</f>
        <v>2.8999999999999998E-2</v>
      </c>
      <c r="W281" s="885">
        <f>IFERROR(MAX(0,INDEX(Input!$1:$1048576,W$93,$C281*2+MIN($B281,2)+5)-0%,),"Market")</f>
        <v>3.9E-2</v>
      </c>
      <c r="X281" s="476" t="str">
        <f>INDEX(Input!$1:$1048576,X$93,$C281*2+MIN($B281,2)+5)</f>
        <v>Y</v>
      </c>
      <c r="Y281" s="475">
        <f>INDEX(Input!$1:$1048576,Y$93,$C281*2+MIN($B281,2)+5)
++INDEX(Scenarios!Y$121:Y$200,MATCH($B281,Scenarios!$B$121:$B$200,0))</f>
        <v>-304</v>
      </c>
      <c r="Z281" s="477">
        <f>INDEX(Input!$1:$1048576,Z$93,$C281*2+MIN($B281,2)+5)
+INDEX(Scenarios!Z$121:Z$200,MATCH($B281,Scenarios!$B$121:$B$200,0))</f>
        <v>0</v>
      </c>
      <c r="AA281" s="475">
        <f>INDEX(Input!$1:$1048576,AA$93,$C281*2+MIN($B281,2)+5)
+INDEX(Scenarios!AA$121:AA$200,MATCH($B281,Scenarios!$B$121:$B$200,0))</f>
        <v>0</v>
      </c>
      <c r="AB281" s="476">
        <f>INDEX(Input!$1:$1048576,AB$93,$C281*2+MIN($B281,2)+5)</f>
        <v>0.27</v>
      </c>
      <c r="AC281" s="475">
        <f>INDEX(Input!$1:$1048576,AC$93,$C281*2+MIN($B281,2)+5)
+INDEX(Scenarios!AC$121:AC$200,MATCH($B281,Scenarios!$B$121:$B$200,0))</f>
        <v>0</v>
      </c>
      <c r="AD281" s="476">
        <f>INDEX(Input!$1:$1048576,AD$93,$C281*2+MIN($B281,2)+5)</f>
        <v>0.27</v>
      </c>
      <c r="AE281" s="475">
        <f>INDEX(Input!$1:$1048576,AE$93,$C281*2+MIN($B281,2)+5)
+INDEX(Scenarios!AE$121:AE$200,MATCH($B281,Scenarios!$B$121:$B$200,0))</f>
        <v>0</v>
      </c>
      <c r="AF281" s="476">
        <f>INDEX(Input!$1:$1048576,AF$93,$C281*2+MIN($B281,2)+5)</f>
        <v>4.8000000000000001E-2</v>
      </c>
      <c r="AG281" s="475">
        <f>INDEX(Input!$1:$1048576,AG$93,$C281*2+MIN($B281,2)+5)
+INDEX(Scenarios!AG$121:AG$200,MATCH($B281,Scenarios!$B$121:$B$200,0))</f>
        <v>500</v>
      </c>
      <c r="AH281" s="476">
        <f>INDEX(Input!$1:$1048576,AH$93,$C281*2+MIN($B281,2)+5)</f>
        <v>0.94599999999999995</v>
      </c>
      <c r="AI281" s="475">
        <f>INDEX(Input!$1:$1048576,AI$93,$C281*2+MIN($B281,2)+5)
+INDEX(Scenarios!AI$121:AI$200,MATCH($B281,Scenarios!$B$121:$B$200,0))</f>
        <v>0</v>
      </c>
      <c r="AJ281" s="476">
        <f>INDEX(Input!$1:$1048576,AJ$93,$C281*2+MIN($B281,2)+5)</f>
        <v>0.27</v>
      </c>
      <c r="AK281" s="150">
        <f>ROUND(INDEX(Input!$1:$1048576,AK$93,$C280*2+MIN($B281,1)+5)+(Y281-VLOOKUP($C281*1000+1,$A:$HH,Y$92,FALSE)),0)</f>
        <v>2617</v>
      </c>
      <c r="AL281" s="150">
        <f>ROUND(INDEX(Input!$1:$1048576,AL$93,$C280*2+MIN($B281,1)+5)-(Y281-VLOOKUP($C281*1000+1,$A:$HH,Y$92,FALSE))/36,0)</f>
        <v>3405</v>
      </c>
      <c r="AM281" s="32" t="str">
        <f t="shared" si="800"/>
        <v>std/std/std/std</v>
      </c>
      <c r="AN281" s="32" t="str">
        <f t="shared" si="801"/>
        <v>$0 + 0/0/0.9/2.9/3.9</v>
      </c>
      <c r="AO281" s="32" t="str">
        <f t="shared" si="802"/>
        <v>0/0/0.9/2.9/3.9</v>
      </c>
      <c r="AP281" s="32" t="str">
        <f t="shared" si="734"/>
        <v>0.9/1.9/2.9/3.9</v>
      </c>
      <c r="AQ281" s="536">
        <f t="shared" si="733"/>
        <v>0.38345798646234197</v>
      </c>
      <c r="AR281" s="32"/>
      <c r="AS281" s="302"/>
      <c r="AT281" s="3">
        <f t="shared" si="856"/>
        <v>81</v>
      </c>
      <c r="AU281" s="41" t="s">
        <v>121</v>
      </c>
      <c r="AV281" s="41" t="s">
        <v>116</v>
      </c>
      <c r="AW281" s="41" t="str">
        <f>INDEX(Input!$1:$1048576,AW$93,$C281*2+6)</f>
        <v>Kia</v>
      </c>
      <c r="AX281" s="41" t="str">
        <f>INDEX(Input!$1:$1048576,AX$93,$C281*2+6)</f>
        <v>Kia-LR - L2</v>
      </c>
      <c r="AY281" s="41" t="str">
        <f>IF(LEN(D281)=0,"",INDEX(Input!$1:$1048576,AY$93,$C281*2+6))</f>
        <v>Compact SUV (52)</v>
      </c>
      <c r="AZ281" s="41" t="str">
        <f>INDEX(Input!$1:$1048576,AZ$93,$C281*2+6)</f>
        <v>Kia Soul</v>
      </c>
      <c r="BA281" s="3">
        <f>INDEX(Input!$1:$1048576,BA$93,$C281*2+6)</f>
        <v>2020</v>
      </c>
      <c r="BB281" s="128">
        <f>INDEX(Input!$1:$1048576,BB$93,$C281*2+6)</f>
        <v>1</v>
      </c>
      <c r="BC281" s="128">
        <f>INDEX(Input!$1:$1048576,BC$93,$C281*2+6)</f>
        <v>0.7</v>
      </c>
      <c r="BD281" s="1">
        <f>INDEX(Input!$1:$1048576,BD$93,$C281*2+6)</f>
        <v>4.4999999999999998E-2</v>
      </c>
      <c r="BE281" s="1">
        <f>INDEX(Input!$1:$1048576,BE$93,$C281*2+6)</f>
        <v>4.4999999999999998E-2</v>
      </c>
      <c r="BF281" s="1">
        <f>INDEX(Input!$1:$1048576,BF$93,$C281*2+6)</f>
        <v>0.05</v>
      </c>
      <c r="BG281" s="1">
        <f>INDEX(Input!$1:$1048576,BG$93,$C281*2+6)</f>
        <v>5.45E-2</v>
      </c>
      <c r="BH281" s="1">
        <f>INDEX(Input!$1:$1048576,BH$93,$C281*2+6)</f>
        <v>5.45E-2</v>
      </c>
      <c r="BI281" s="1">
        <f>INDEX(Input!$1:$1048576,BI$93,$C281*2+6)</f>
        <v>0.05</v>
      </c>
      <c r="BJ281" s="1">
        <f>INDEX(Input!$1:$1048576,BJ$93,$C281*2+6)</f>
        <v>0.05</v>
      </c>
      <c r="BK281" s="1">
        <f>INDEX(Input!$1:$1048576,BK$93,$C281*2+6)</f>
        <v>0.05</v>
      </c>
      <c r="BL281" s="1">
        <f>INDEX(Input!$1:$1048576,BL$93,$C281*2+6)</f>
        <v>5.5E-2</v>
      </c>
      <c r="BM281" s="1">
        <f>INDEX(Input!$1:$1048576,BM$93,$C281*2+6)</f>
        <v>0.06</v>
      </c>
      <c r="BN281" s="1">
        <f>INDEX(Input!$1:$1048576,BN$93,$C281*2+6)</f>
        <v>4.4999999999999998E-2</v>
      </c>
      <c r="BO281" s="1">
        <f>INDEX(Input!$1:$1048576,BO$93,$C281*2+6)</f>
        <v>4.4999999999999998E-2</v>
      </c>
      <c r="BP281" s="1">
        <f>INDEX(Input!$1:$1048576,BP$93,$C281*2+6)</f>
        <v>0.05</v>
      </c>
      <c r="BQ281" s="1">
        <f>INDEX(Input!$1:$1048576,BQ$93,$C281*2+6)</f>
        <v>5.45E-2</v>
      </c>
      <c r="BR281" s="1">
        <f>INDEX(Input!$1:$1048576,BR$93,$C281*2+6)</f>
        <v>5.45E-2</v>
      </c>
      <c r="BS281" s="1">
        <f>INDEX(Input!$1:$1048576,BS$93,$C281*2+6)</f>
        <v>0.05</v>
      </c>
      <c r="BT281" s="1">
        <f>INDEX(Input!$1:$1048576,BT$93,$C281*2+6)</f>
        <v>0.05</v>
      </c>
      <c r="BU281" s="1">
        <f>INDEX(Input!$1:$1048576,BU$93,$C281*2+6)</f>
        <v>0.05</v>
      </c>
      <c r="BV281" s="1">
        <f>INDEX(Input!$1:$1048576,BV$93,$C281*2+6)</f>
        <v>5.5E-2</v>
      </c>
      <c r="BW281" s="1">
        <f>INDEX(Input!$1:$1048576,BW$93,$C281*2+6)</f>
        <v>0.06</v>
      </c>
      <c r="BX281" s="127">
        <f>INDEX(Input!$1:$1048576,BX$93,$C281*2+6)</f>
        <v>19985</v>
      </c>
      <c r="BY281" s="20">
        <f>INDEX(Input!$1:$1048576,BY$93,$C281*2+6)</f>
        <v>0.1</v>
      </c>
      <c r="BZ281" s="20">
        <f>INDEX(Input!$1:$1048576,BZ$93,$C281*2+6)</f>
        <v>0.1</v>
      </c>
      <c r="CA281" s="20">
        <f>INDEX(Input!$1:$1048576,CA$93,$C281*2+6)</f>
        <v>0.1</v>
      </c>
      <c r="CB281" s="20">
        <f>INDEX(Input!$1:$1048576,CB$93,$C281*2+6)</f>
        <v>0.1</v>
      </c>
      <c r="CC281" s="20">
        <f>INDEX(Input!$1:$1048576,CC$93,$C281*2+6)</f>
        <v>0.1</v>
      </c>
      <c r="CD281" s="384">
        <f>INDEX(Input!$1:$1048576,CD$93,$C281*2+6)</f>
        <v>0.1</v>
      </c>
      <c r="CE281" s="384">
        <f>INDEX(Input!$1:$1048576,CE$93,$C281*2+6)</f>
        <v>0.1</v>
      </c>
      <c r="CF281" s="384">
        <f>INDEX(Input!$1:$1048576,CF$93,$C281*2+6)</f>
        <v>0.1</v>
      </c>
      <c r="CG281" s="384">
        <f>INDEX(Input!$1:$1048576,CG$93,$C281*2+6)</f>
        <v>0.1</v>
      </c>
      <c r="CH281" s="384">
        <f>INDEX(Input!$1:$1048576,CH$93,$C281*2+6)</f>
        <v>0.1</v>
      </c>
      <c r="CI281" s="304">
        <f t="shared" si="735"/>
        <v>1019.7618664521319</v>
      </c>
      <c r="CJ281" s="16" t="str">
        <f>INDEX(Input!$1:$1048576,CJ$93,$C281*2+6)</f>
        <v>N</v>
      </c>
      <c r="CK281" s="1" t="str">
        <f t="shared" si="736"/>
        <v>Market</v>
      </c>
      <c r="CL281" s="1" t="str">
        <f t="shared" si="737"/>
        <v>Market</v>
      </c>
      <c r="CM281" s="1" t="str">
        <f t="shared" si="738"/>
        <v>Market</v>
      </c>
      <c r="CN281" s="1" t="str">
        <f t="shared" si="739"/>
        <v>Market</v>
      </c>
      <c r="CO281" s="1" t="str">
        <f t="shared" si="740"/>
        <v>Market</v>
      </c>
      <c r="CP281" s="304">
        <f t="shared" si="741"/>
        <v>473</v>
      </c>
      <c r="CQ281" s="1">
        <f t="shared" si="742"/>
        <v>0</v>
      </c>
      <c r="CR281" s="1">
        <f t="shared" si="743"/>
        <v>0</v>
      </c>
      <c r="CS281" s="1">
        <f t="shared" si="744"/>
        <v>9.0000000000000011E-3</v>
      </c>
      <c r="CT281" s="1">
        <f t="shared" si="745"/>
        <v>2.8999999999999998E-2</v>
      </c>
      <c r="CU281" s="1">
        <f t="shared" si="746"/>
        <v>3.9E-2</v>
      </c>
      <c r="CV281" s="304">
        <f t="shared" si="747"/>
        <v>-304</v>
      </c>
      <c r="CW281" s="20" t="s">
        <v>122</v>
      </c>
      <c r="CX281" s="20" t="s">
        <v>122</v>
      </c>
      <c r="CY281" s="20" t="s">
        <v>122</v>
      </c>
      <c r="CZ281" s="20" t="s">
        <v>122</v>
      </c>
      <c r="DA281" s="20" t="s">
        <v>122</v>
      </c>
      <c r="DB281" s="503">
        <f t="shared" si="748"/>
        <v>0</v>
      </c>
      <c r="DC281" s="127">
        <v>0</v>
      </c>
      <c r="DD281" s="127">
        <v>0</v>
      </c>
      <c r="DE281" s="127">
        <v>0</v>
      </c>
      <c r="DF281" s="127">
        <v>0</v>
      </c>
      <c r="DG281" s="127">
        <v>0</v>
      </c>
      <c r="DH281" s="127">
        <v>0</v>
      </c>
      <c r="DI281" s="127">
        <v>0</v>
      </c>
      <c r="DJ281" s="127">
        <v>0</v>
      </c>
      <c r="DK281" s="127">
        <v>0</v>
      </c>
      <c r="DL281" s="127">
        <v>0</v>
      </c>
      <c r="DM281" s="304">
        <f>INDEX(Input!$1:$1048576,DM$93,$C281*2+6)</f>
        <v>21036.84210526316</v>
      </c>
      <c r="DN281" s="20">
        <v>0</v>
      </c>
      <c r="DO281" s="20">
        <v>0</v>
      </c>
      <c r="DP281" s="20">
        <v>0</v>
      </c>
      <c r="DQ281" s="20">
        <v>0</v>
      </c>
      <c r="DR281" s="20">
        <v>0</v>
      </c>
      <c r="DS281" s="20">
        <f>INDEX(Input!$1:$1048576,DS$93,$C281*2+6)</f>
        <v>0.6</v>
      </c>
      <c r="DT281" s="20">
        <f>INDEX(Input!$1:$1048576,DT$93,$C281*2+6)</f>
        <v>0.55000000000000004</v>
      </c>
      <c r="DU281" s="20">
        <f>INDEX(Input!$1:$1048576,DU$93,$C281*2+6)</f>
        <v>0.52</v>
      </c>
      <c r="DV281" s="20">
        <f>INDEX(Input!$1:$1048576,DV$93,$C281*2+6)</f>
        <v>0.5</v>
      </c>
      <c r="DW281" s="20">
        <f>INDEX(Input!$1:$1048576,DW$93,$C281*2+6)</f>
        <v>0.45</v>
      </c>
      <c r="DX281" s="20"/>
      <c r="DY281" s="7">
        <v>9.1661368869145388E-2</v>
      </c>
      <c r="DZ281" s="7">
        <v>0</v>
      </c>
      <c r="EA281" s="7">
        <v>0.66972204391167822</v>
      </c>
      <c r="EB281" s="7">
        <v>0</v>
      </c>
      <c r="EC281" s="7">
        <v>0</v>
      </c>
      <c r="ED281" s="7">
        <v>0</v>
      </c>
      <c r="EE281" s="7">
        <v>0</v>
      </c>
      <c r="EF281" s="7">
        <v>0</v>
      </c>
      <c r="EG281" s="7">
        <v>0</v>
      </c>
      <c r="EH281" s="7">
        <v>1.9554252823671087E-2</v>
      </c>
      <c r="EI281" s="7">
        <v>5.5656904747433483E-2</v>
      </c>
      <c r="EJ281" s="7">
        <v>0.30583732039786132</v>
      </c>
      <c r="EK281" s="7">
        <v>0.46648592755832424</v>
      </c>
      <c r="EL281" s="7">
        <v>0.15246559447270996</v>
      </c>
      <c r="EM281" s="7">
        <v>4.8837314732667482E-2</v>
      </c>
      <c r="EN281" s="7">
        <v>6.4374631577707023E-2</v>
      </c>
      <c r="EO281" s="7">
        <v>0.72185546962917213</v>
      </c>
      <c r="EP281" s="7">
        <v>9.285537695380669E-2</v>
      </c>
      <c r="EQ281" s="7">
        <v>7.9204341273031609E-2</v>
      </c>
      <c r="ER281" s="7">
        <v>4.1710180566282666E-2</v>
      </c>
      <c r="ES281" s="7">
        <v>0.18977927248650889</v>
      </c>
      <c r="ET281" s="7">
        <v>0.23861658721917636</v>
      </c>
      <c r="EU281" s="6">
        <v>1044</v>
      </c>
      <c r="EV281" s="6">
        <v>0</v>
      </c>
      <c r="EW281" s="6">
        <v>1044</v>
      </c>
      <c r="EX281" s="6">
        <v>0</v>
      </c>
      <c r="EY281" s="6">
        <v>1671.8344538151041</v>
      </c>
      <c r="EZ281" s="6">
        <v>586</v>
      </c>
      <c r="FA281" s="6">
        <v>0</v>
      </c>
      <c r="FB281" s="6">
        <v>0</v>
      </c>
      <c r="FC281" s="6">
        <v>0</v>
      </c>
      <c r="FD281" s="6">
        <v>0</v>
      </c>
      <c r="FE281" s="6">
        <v>0</v>
      </c>
      <c r="FF281" s="6">
        <v>0</v>
      </c>
      <c r="FG281" s="6">
        <v>0</v>
      </c>
      <c r="FH281" s="6">
        <v>1173.7285315511397</v>
      </c>
      <c r="FI281" s="6">
        <v>1553.9796069512399</v>
      </c>
      <c r="FJ281" s="6">
        <v>1735.15622307028</v>
      </c>
      <c r="FK281" s="6">
        <v>1284.9687470586859</v>
      </c>
      <c r="FL281" s="6">
        <v>907.07682140966347</v>
      </c>
      <c r="FM281" s="6">
        <v>1377.8344538151041</v>
      </c>
      <c r="FN281" s="6">
        <v>0</v>
      </c>
      <c r="FO281" s="6">
        <v>0</v>
      </c>
      <c r="FP281" s="6">
        <v>0</v>
      </c>
      <c r="FQ281" s="6">
        <v>0</v>
      </c>
      <c r="FR281" s="6">
        <v>0</v>
      </c>
      <c r="FS281" s="6">
        <v>0</v>
      </c>
      <c r="FT281" s="7">
        <v>0.76138341278082367</v>
      </c>
      <c r="FU281" s="7">
        <v>4.8837314732667482E-2</v>
      </c>
      <c r="FV281" s="7">
        <v>0.18977927248650889</v>
      </c>
      <c r="FW281" s="6">
        <v>1044</v>
      </c>
      <c r="FX281" s="6">
        <v>1671.8344538151041</v>
      </c>
      <c r="FY281" s="6">
        <v>586</v>
      </c>
      <c r="FZ281" s="6">
        <v>1817.4615072224267</v>
      </c>
      <c r="GA281" s="6">
        <v>987.74284202215961</v>
      </c>
      <c r="GB281" s="6">
        <v>18997.257157977841</v>
      </c>
      <c r="GC281" s="7">
        <v>1.804905384453976E-2</v>
      </c>
      <c r="GD281" s="7">
        <v>1.6582076248116515E-2</v>
      </c>
      <c r="GE281" s="7"/>
      <c r="GF281" s="7"/>
      <c r="GG281" s="7">
        <v>-8.1277257470592487E-2</v>
      </c>
      <c r="GH281" s="42">
        <v>1.9576828371791919</v>
      </c>
      <c r="GI281" s="6">
        <v>11196.240163680355</v>
      </c>
      <c r="GJ281" s="14">
        <v>0.50394797582841744</v>
      </c>
      <c r="GK281" s="14">
        <v>0.50887573065309755</v>
      </c>
      <c r="GL281" s="14">
        <v>0.49605202417158295</v>
      </c>
      <c r="GM281" s="14">
        <v>0.4911242693469024</v>
      </c>
      <c r="GO281" s="5">
        <v>343.14810671672558</v>
      </c>
      <c r="GP281" s="5">
        <v>323.23057838090358</v>
      </c>
      <c r="GQ281" s="5">
        <v>535.04305713031317</v>
      </c>
      <c r="GR281" s="5">
        <v>410.15490233172511</v>
      </c>
      <c r="GS281" s="5">
        <v>339.42744393800166</v>
      </c>
      <c r="GT281" s="5">
        <v>293.4407446948278</v>
      </c>
      <c r="GU281" s="5">
        <v>258.04012322764959</v>
      </c>
      <c r="GV281" s="39" t="s">
        <v>392</v>
      </c>
      <c r="GW281" s="5">
        <v>491.45833333333331</v>
      </c>
      <c r="GX281" s="5">
        <v>368.59375</v>
      </c>
      <c r="GY281" s="5">
        <v>301.66999163600519</v>
      </c>
      <c r="GZ281" s="5">
        <v>268.02332273190535</v>
      </c>
      <c r="HA281" s="5">
        <v>241.02179695997205</v>
      </c>
      <c r="HB281" s="39">
        <v>284.16346948919028</v>
      </c>
      <c r="HC281" s="5">
        <v>261.64687500000002</v>
      </c>
      <c r="HD281" s="5">
        <v>222.30677997076018</v>
      </c>
      <c r="HE281" s="5">
        <v>224.71639254385963</v>
      </c>
      <c r="HF281" s="5">
        <v>207.35750548245613</v>
      </c>
      <c r="HG281" s="5">
        <v>199.39971491228067</v>
      </c>
      <c r="HH281" s="39">
        <v>222.92352432009864</v>
      </c>
      <c r="HI281" s="16"/>
      <c r="HJ281" s="19" t="str">
        <f t="shared" ref="HJ281:HK281" si="858">HJ280</f>
        <v>On</v>
      </c>
      <c r="HK281" s="1" t="str">
        <f t="shared" si="858"/>
        <v>On</v>
      </c>
      <c r="HL281" s="16"/>
      <c r="HM281" s="639">
        <f t="shared" si="775"/>
        <v>1.2768706344444866E-2</v>
      </c>
      <c r="HN281" s="639">
        <f t="shared" si="776"/>
        <v>9.795534288915453E-4</v>
      </c>
      <c r="HO281" s="639">
        <f t="shared" si="777"/>
        <v>3.3583061774515237E-3</v>
      </c>
      <c r="HP281" s="644">
        <f>(FT281*$GD281-HM281)/$JF281*INDEX(Input!$1:$1048576,$JG$93,$C281*2+6)</f>
        <v>-10.418920741468515</v>
      </c>
      <c r="HQ281" s="644">
        <f>(FU281*$GD281-HN281)/$JF281*INDEX(Input!$1:$1048576,$JG$93,$C281*2+6)</f>
        <v>-12.332901030091344</v>
      </c>
      <c r="HR281" s="644">
        <f>(FV281*$GD281-HO281)/$JF281*INDEX(Input!$1:$1048576,$JG$93,$C281*2+6)</f>
        <v>-15.358731936067642</v>
      </c>
      <c r="HS281" s="644">
        <f t="shared" si="767"/>
        <v>13.331335259869386</v>
      </c>
      <c r="HT281" s="644">
        <f t="shared" si="845"/>
        <v>-24.670657503759006</v>
      </c>
      <c r="HU281" s="644">
        <f t="shared" si="779"/>
        <v>-9.8157110400372662</v>
      </c>
      <c r="HV281" s="648">
        <f t="shared" si="780"/>
        <v>0</v>
      </c>
      <c r="HW281" s="648">
        <f t="shared" si="781"/>
        <v>0</v>
      </c>
      <c r="HX281" s="648">
        <f t="shared" si="782"/>
        <v>0</v>
      </c>
      <c r="HY281" s="644">
        <f>INDEX(Input!$1:$1048576,HY$93,$C281*2+6)*INDEX(Input!$1:$1048576,$JG$93,$C281*2+6)</f>
        <v>451</v>
      </c>
      <c r="HZ281" s="644">
        <f>INDEX(Input!$1:$1048576,HZ$93,$C281*2+6)*INDEX(Input!$1:$1048576,$JG$93,$C281*2+6)</f>
        <v>577</v>
      </c>
      <c r="IA281" s="644">
        <f>INDEX(Input!$1:$1048576,IA$93,$C281*2+6)*INDEX(Input!$1:$1048576,$JG$93,$C281*2+6)</f>
        <v>215</v>
      </c>
      <c r="IB281" s="644">
        <f t="shared" si="804"/>
        <v>453.91241451840091</v>
      </c>
      <c r="IC281" s="644">
        <f t="shared" si="805"/>
        <v>539.99644146614969</v>
      </c>
      <c r="ID281" s="644">
        <f>IF(AND(INDEX(Input!$1:$1048576,IA$93,$C281*2+7)="TOS",Y281&lt;=INDEX(Y:Y,MATCH(C281*1000+2,A:A))),0,1)*MAX(IA281+HR281+HU281+HX281,0%)</f>
        <v>189.8255570238951</v>
      </c>
      <c r="IE281" s="128">
        <f t="shared" si="846"/>
        <v>0.38345798646234197</v>
      </c>
      <c r="IF281" s="128">
        <f t="shared" si="847"/>
        <v>0.45618040291128792</v>
      </c>
      <c r="IG281" s="128">
        <f t="shared" si="838"/>
        <v>0.16036161062637005</v>
      </c>
      <c r="IH281" s="21"/>
      <c r="II281" s="19">
        <f t="shared" si="785"/>
        <v>1252</v>
      </c>
      <c r="IJ281" s="19">
        <f t="shared" si="786"/>
        <v>2011.9658773055378</v>
      </c>
      <c r="IK281" s="19">
        <f t="shared" si="787"/>
        <v>919</v>
      </c>
      <c r="IL281" s="19">
        <f t="shared" si="806"/>
        <v>-208</v>
      </c>
      <c r="IM281" s="19">
        <f t="shared" si="788"/>
        <v>-340.13142349043369</v>
      </c>
      <c r="IN281" s="19">
        <f t="shared" si="789"/>
        <v>-333</v>
      </c>
      <c r="IO281" s="39">
        <f t="shared" si="790"/>
        <v>0</v>
      </c>
      <c r="IP281" s="39">
        <f t="shared" si="791"/>
        <v>0</v>
      </c>
      <c r="IQ281" s="39">
        <f t="shared" si="792"/>
        <v>0</v>
      </c>
      <c r="IR281" s="39">
        <v>0</v>
      </c>
      <c r="IS281" s="39">
        <v>0</v>
      </c>
      <c r="IT281" s="39">
        <v>0</v>
      </c>
      <c r="IU281" s="39">
        <v>0</v>
      </c>
      <c r="IV281" s="39">
        <v>0</v>
      </c>
      <c r="IW281" s="39">
        <v>0</v>
      </c>
      <c r="IX281" s="39">
        <f>INDEX(Input!$1:$1048576,IX$93,$C281*2+6)+INDEX(Input!$1:$1048576,IX$94,$C281*2+6)</f>
        <v>1294</v>
      </c>
      <c r="IY281" s="39">
        <f>INDEX(Input!$1:$1048576,IY$93,$C281*2+6)+INDEX(Input!$1:$1048576,IY$94,$C281*2+6)</f>
        <v>2154.0624533823611</v>
      </c>
      <c r="IZ281" s="39">
        <f>INDEX(Input!$1:$1048576,IZ$93,$C281*2+6)+INDEX(Input!$1:$1048576,IZ$94,$C281*2+6)</f>
        <v>3677.7164157747848</v>
      </c>
      <c r="JA281" s="19">
        <f t="shared" si="807"/>
        <v>1086</v>
      </c>
      <c r="JB281" s="19">
        <f t="shared" si="808"/>
        <v>1813.9310298919274</v>
      </c>
      <c r="JC281" s="19">
        <f t="shared" si="809"/>
        <v>3344.7164157747848</v>
      </c>
      <c r="JD281" s="19">
        <f t="shared" si="810"/>
        <v>1780.2792728895943</v>
      </c>
      <c r="JE281" s="21"/>
      <c r="JF281" s="1">
        <f t="shared" si="793"/>
        <v>1.7106565950787935E-2</v>
      </c>
      <c r="JG281" s="15">
        <f>INDEX(Input!$1:$1048576,JG$93,$C281*2+6)/(1+VLOOKUP(C281*1000+INDEX(Input!$1:$1048576,JG$93+1,$C281*2+6),$A:$KK,$JK$92,FALSE))</f>
        <v>1243</v>
      </c>
      <c r="JH281" s="1">
        <f t="shared" si="811"/>
        <v>-3.0660139748694692E-2</v>
      </c>
      <c r="JI281" s="1">
        <f t="shared" si="812"/>
        <v>-1.7019334902596047E-2</v>
      </c>
      <c r="JJ281" s="1">
        <f t="shared" si="848"/>
        <v>0</v>
      </c>
      <c r="JK281" s="1">
        <f t="shared" si="849"/>
        <v>-4.7679474651290743E-2</v>
      </c>
      <c r="JL281" s="15">
        <f t="shared" si="813"/>
        <v>-59.265586991554393</v>
      </c>
      <c r="JM281" s="15">
        <f t="shared" si="830"/>
        <v>1183.7344130084457</v>
      </c>
      <c r="JN281" s="21"/>
      <c r="JO281" s="19">
        <f>INDEX(Input!$1:$1048576,JO$93,$C281*2+6)</f>
        <v>5995.5</v>
      </c>
      <c r="JP281" s="19">
        <f>INDEX(Input!$1:$1048576,JP$93,$C281*2+6)</f>
        <v>2105.548724853742</v>
      </c>
      <c r="JQ281" s="39">
        <f t="shared" si="819"/>
        <v>4215.2207271104053</v>
      </c>
      <c r="JR281" s="39">
        <f t="shared" si="833"/>
        <v>-325.26945196414772</v>
      </c>
      <c r="JS281" s="39">
        <f t="shared" si="820"/>
        <v>2.1073778400850665</v>
      </c>
      <c r="JT281" s="39">
        <f t="shared" si="814"/>
        <v>-0.50981922490813492</v>
      </c>
      <c r="JU281" s="385">
        <f>(JQ281*JM281-INDEX(Input!$1:$1048576,Input!A$18,$C281*2+6)*JL281*INDEX(Input!$1:$1048576,Input!A$19,$C281*2+6))/1000000</f>
        <v>4.9897018331070688</v>
      </c>
      <c r="JV281" s="39">
        <f t="shared" si="854"/>
        <v>0.15449239810027038</v>
      </c>
      <c r="JW281" s="1">
        <f t="shared" si="831"/>
        <v>3.1951542156943437E-2</v>
      </c>
      <c r="JX281" s="19">
        <f t="shared" si="824"/>
        <v>8602.280864623619</v>
      </c>
      <c r="JZ281" s="341"/>
      <c r="KA281" s="342"/>
      <c r="KB281" s="469">
        <f t="shared" si="821"/>
        <v>2.5660492421988774</v>
      </c>
      <c r="KI281" s="473">
        <f t="shared" si="850"/>
        <v>2.912414518400908</v>
      </c>
      <c r="KJ281" s="473">
        <f t="shared" si="851"/>
        <v>-37.00355853385031</v>
      </c>
      <c r="KK281" s="473">
        <f t="shared" si="843"/>
        <v>-25.174442976104928</v>
      </c>
      <c r="KN281" s="544">
        <f t="shared" si="825"/>
        <v>2002</v>
      </c>
      <c r="KO281" s="541">
        <f t="shared" si="794"/>
        <v>-5.3290305570857122E-2</v>
      </c>
      <c r="KP281" s="546">
        <f t="shared" si="795"/>
        <v>-327.91606167739985</v>
      </c>
      <c r="KQ281" s="546">
        <f t="shared" si="796"/>
        <v>-363.40106654387864</v>
      </c>
      <c r="KR281" s="548">
        <f t="shared" si="797"/>
        <v>2.899429114985796</v>
      </c>
      <c r="KS281" s="548">
        <f t="shared" si="798"/>
        <v>2.6163087124130144</v>
      </c>
      <c r="KT281" s="473">
        <f t="shared" si="822"/>
        <v>843.26993010479111</v>
      </c>
      <c r="KU281" s="663">
        <f t="shared" si="816"/>
        <v>4.5324077920097672</v>
      </c>
    </row>
    <row r="282" spans="1:307" s="26" customFormat="1" ht="15" outlineLevel="1">
      <c r="A282" s="561">
        <f t="shared" si="799"/>
        <v>2082</v>
      </c>
      <c r="B282" s="561">
        <f t="shared" si="817"/>
        <v>82</v>
      </c>
      <c r="C282" s="561">
        <f t="shared" si="760"/>
        <v>2</v>
      </c>
      <c r="D282" s="561" t="str">
        <f t="shared" si="728"/>
        <v xml:space="preserve">-500 CC, 0.9/1.9/2.9/3.9, -360 Lease, </v>
      </c>
      <c r="E282" s="475">
        <f>INDEX(Input!$1:$1048576,E$93,$C282*2+MIN($B282,2)+5)
+INDEX(Scenarios!E$121:E$200,MATCH($B282,Scenarios!$B$121:$B$200,0))</f>
        <v>769.76186645213193</v>
      </c>
      <c r="F282" s="475">
        <f>INDEX(Input!$1:$1048576,F$93,$C282*2+MIN($B282,2)+5)
+INDEX(Scenarios!F$121:F$200,MATCH($B282,Scenarios!$B$121:$B$200,0))</f>
        <v>0</v>
      </c>
      <c r="G282" s="475">
        <f>INDEX(Input!$1:$1048576,G$93,$C282*2+MIN($B282,2)+5)
+INDEX(Scenarios!G$121:G$200,MATCH($B282,Scenarios!$B$121:$B$200,0))</f>
        <v>0</v>
      </c>
      <c r="H282" s="475">
        <f>INDEX(Input!$1:$1048576,H$93,$C282*2+MIN($B282,2)+5)
+INDEX(Scenarios!H$121:H$200,MATCH($B282,Scenarios!$B$121:$B$200,0))</f>
        <v>0</v>
      </c>
      <c r="I282" s="476">
        <f>INDEX(Input!$1:$1048576,I$93,$C282*2+MIN($B282,2)+5)</f>
        <v>0.7</v>
      </c>
      <c r="J282" s="476" t="str">
        <f>INDEX(Input!$1:$1048576,J$93,$C282*2+MIN($B282,2)+5)</f>
        <v>Market</v>
      </c>
      <c r="K282" s="476" t="str">
        <f>INDEX(Input!$1:$1048576,K$93,$C282*2+MIN($B282,2)+5)</f>
        <v>Market</v>
      </c>
      <c r="L282" s="476" t="str">
        <f>INDEX(Input!$1:$1048576,L$93,$C282*2+MIN($B282,2)+5)</f>
        <v>Market</v>
      </c>
      <c r="M282" s="476" t="str">
        <f>INDEX(Input!$1:$1048576,M$93,$C282*2+MIN($B282,2)+5)</f>
        <v>Market</v>
      </c>
      <c r="N282" s="476" t="str">
        <f>INDEX(Input!$1:$1048576,N$93,$C282*2+MIN($B282,2)+5)</f>
        <v>Market</v>
      </c>
      <c r="O282" s="476" t="str">
        <f>INDEX(Input!$1:$1048576,O$93,$C282*2+MIN($B282,2)+5)</f>
        <v>Market</v>
      </c>
      <c r="P282" s="476" t="str">
        <f>INDEX(Input!$1:$1048576,P$93,$C282*2+MIN($B282,2)+5)</f>
        <v>N</v>
      </c>
      <c r="Q282" s="477">
        <f>INDEX(Input!$1:$1048576,Q$93,$C282*2+MIN($B282,2)+5)
+INDEX(Scenarios!Q$121:Q$200,MATCH($B282,Scenarios!$B$121:$B$200,0))</f>
        <v>0</v>
      </c>
      <c r="R282" s="478">
        <f>IFERROR(MAX(0,INDEX(Input!$1:$1048576,R$93,$C282*2+MIN($B282,2)+5)
+INDEX(Scenarios!R$121:R$200,MATCH($B282,Scenarios!$B$121:$B$200,0)),),"Market")</f>
        <v>0</v>
      </c>
      <c r="S282" s="478">
        <f>IFERROR(MAX(0,INDEX(Input!$1:$1048576,S$93,$C282*2+MIN($B282,2)+5)
+INDEX(Scenarios!S$121:S$200,MATCH($B282,Scenarios!$B$121:$B$200,0)),),"Market")</f>
        <v>0</v>
      </c>
      <c r="T282" s="478">
        <f>IFERROR(MAX(0,INDEX(Input!$1:$1048576,T$93,$C282*2+MIN($B282,2)+5)
+INDEX(Scenarios!T$121:T$200,MATCH($B282,Scenarios!$B$121:$B$200,0)),),"Market")</f>
        <v>0</v>
      </c>
      <c r="U282" s="478">
        <f>IFERROR(MAX(0,INDEX(Input!$1:$1048576,U$93,$C282*2+MIN($B282,2)+5)
+INDEX(Scenarios!U$121:U$200,MATCH($B282,Scenarios!$B$121:$B$200,0)),),"Market")</f>
        <v>9.0000000000000011E-3</v>
      </c>
      <c r="V282" s="478">
        <f>IFERROR(MAX(0,INDEX(Input!$1:$1048576,V$93,$C282*2+MIN($B282,2)+5)
+INDEX(Scenarios!V$121:V$200,MATCH($B282,Scenarios!$B$121:$B$200,0)),),"Market")</f>
        <v>2.8999999999999998E-2</v>
      </c>
      <c r="W282" s="885">
        <f>IFERROR(MAX(0,INDEX(Input!$1:$1048576,W$93,$C282*2+MIN($B282,2)+5)-0%,),"Market")</f>
        <v>3.9E-2</v>
      </c>
      <c r="X282" s="476" t="str">
        <f>INDEX(Input!$1:$1048576,X$93,$C282*2+MIN($B282,2)+5)</f>
        <v>Y</v>
      </c>
      <c r="Y282" s="475">
        <f>INDEX(Input!$1:$1048576,Y$93,$C282*2+MIN($B282,2)+5)
++INDEX(Scenarios!Y$121:Y$200,MATCH($B282,Scenarios!$B$121:$B$200,0))</f>
        <v>-304</v>
      </c>
      <c r="Z282" s="477">
        <f>INDEX(Input!$1:$1048576,Z$93,$C282*2+MIN($B282,2)+5)
+INDEX(Scenarios!Z$121:Z$200,MATCH($B282,Scenarios!$B$121:$B$200,0))</f>
        <v>0</v>
      </c>
      <c r="AA282" s="475">
        <f>INDEX(Input!$1:$1048576,AA$93,$C282*2+MIN($B282,2)+5)
+INDEX(Scenarios!AA$121:AA$200,MATCH($B282,Scenarios!$B$121:$B$200,0))</f>
        <v>0</v>
      </c>
      <c r="AB282" s="476">
        <f>INDEX(Input!$1:$1048576,AB$93,$C282*2+MIN($B282,2)+5)</f>
        <v>0.27</v>
      </c>
      <c r="AC282" s="475">
        <f>INDEX(Input!$1:$1048576,AC$93,$C282*2+MIN($B282,2)+5)
+INDEX(Scenarios!AC$121:AC$200,MATCH($B282,Scenarios!$B$121:$B$200,0))</f>
        <v>0</v>
      </c>
      <c r="AD282" s="476">
        <f>INDEX(Input!$1:$1048576,AD$93,$C282*2+MIN($B282,2)+5)</f>
        <v>0.27</v>
      </c>
      <c r="AE282" s="475">
        <f>INDEX(Input!$1:$1048576,AE$93,$C282*2+MIN($B282,2)+5)
+INDEX(Scenarios!AE$121:AE$200,MATCH($B282,Scenarios!$B$121:$B$200,0))</f>
        <v>0</v>
      </c>
      <c r="AF282" s="476">
        <f>INDEX(Input!$1:$1048576,AF$93,$C282*2+MIN($B282,2)+5)</f>
        <v>4.8000000000000001E-2</v>
      </c>
      <c r="AG282" s="475">
        <f>INDEX(Input!$1:$1048576,AG$93,$C282*2+MIN($B282,2)+5)
+INDEX(Scenarios!AG$121:AG$200,MATCH($B282,Scenarios!$B$121:$B$200,0))</f>
        <v>500</v>
      </c>
      <c r="AH282" s="476">
        <f>INDEX(Input!$1:$1048576,AH$93,$C282*2+MIN($B282,2)+5)</f>
        <v>0.94599999999999995</v>
      </c>
      <c r="AI282" s="475">
        <f>INDEX(Input!$1:$1048576,AI$93,$C282*2+MIN($B282,2)+5)
+INDEX(Scenarios!AI$121:AI$200,MATCH($B282,Scenarios!$B$121:$B$200,0))</f>
        <v>0</v>
      </c>
      <c r="AJ282" s="476">
        <f>INDEX(Input!$1:$1048576,AJ$93,$C282*2+MIN($B282,2)+5)</f>
        <v>0.27</v>
      </c>
      <c r="AK282" s="150">
        <f>ROUND(INDEX(Input!$1:$1048576,AK$93,$C281*2+MIN($B282,1)+5)+(Y282-VLOOKUP($C282*1000+1,$A:$HH,Y$92,FALSE)),0)</f>
        <v>2617</v>
      </c>
      <c r="AL282" s="150">
        <f>ROUND(INDEX(Input!$1:$1048576,AL$93,$C281*2+MIN($B282,1)+5)-(Y282-VLOOKUP($C282*1000+1,$A:$HH,Y$92,FALSE))/36,0)</f>
        <v>3405</v>
      </c>
      <c r="AM282" s="32" t="str">
        <f t="shared" si="800"/>
        <v>std/std/std/std</v>
      </c>
      <c r="AN282" s="32" t="str">
        <f t="shared" si="801"/>
        <v>$0 + 0/0/0.9/2.9/3.9</v>
      </c>
      <c r="AO282" s="32" t="str">
        <f t="shared" si="802"/>
        <v>0/0/0.9/2.9/3.9</v>
      </c>
      <c r="AP282" s="32" t="str">
        <f t="shared" si="734"/>
        <v>0.9/1.9/2.9/3.9</v>
      </c>
      <c r="AQ282" s="536">
        <f t="shared" si="733"/>
        <v>0.35694842059748677</v>
      </c>
      <c r="AR282" s="32"/>
      <c r="AS282" s="302"/>
      <c r="AT282" s="3">
        <f t="shared" si="856"/>
        <v>82</v>
      </c>
      <c r="AU282" s="41" t="s">
        <v>121</v>
      </c>
      <c r="AV282" s="41" t="s">
        <v>116</v>
      </c>
      <c r="AW282" s="41" t="str">
        <f>INDEX(Input!$1:$1048576,AW$93,$C282*2+6)</f>
        <v>Kia</v>
      </c>
      <c r="AX282" s="41" t="str">
        <f>INDEX(Input!$1:$1048576,AX$93,$C282*2+6)</f>
        <v>Kia-LR - L2</v>
      </c>
      <c r="AY282" s="41" t="str">
        <f>IF(LEN(D282)=0,"",INDEX(Input!$1:$1048576,AY$93,$C282*2+6))</f>
        <v>Compact SUV (52)</v>
      </c>
      <c r="AZ282" s="41" t="str">
        <f>INDEX(Input!$1:$1048576,AZ$93,$C282*2+6)</f>
        <v>Kia Soul</v>
      </c>
      <c r="BA282" s="3">
        <f>INDEX(Input!$1:$1048576,BA$93,$C282*2+6)</f>
        <v>2020</v>
      </c>
      <c r="BB282" s="128">
        <f>INDEX(Input!$1:$1048576,BB$93,$C282*2+6)</f>
        <v>1</v>
      </c>
      <c r="BC282" s="128">
        <f>INDEX(Input!$1:$1048576,BC$93,$C282*2+6)</f>
        <v>0.7</v>
      </c>
      <c r="BD282" s="1">
        <f>INDEX(Input!$1:$1048576,BD$93,$C282*2+6)</f>
        <v>4.4999999999999998E-2</v>
      </c>
      <c r="BE282" s="1">
        <f>INDEX(Input!$1:$1048576,BE$93,$C282*2+6)</f>
        <v>4.4999999999999998E-2</v>
      </c>
      <c r="BF282" s="1">
        <f>INDEX(Input!$1:$1048576,BF$93,$C282*2+6)</f>
        <v>0.05</v>
      </c>
      <c r="BG282" s="1">
        <f>INDEX(Input!$1:$1048576,BG$93,$C282*2+6)</f>
        <v>5.45E-2</v>
      </c>
      <c r="BH282" s="1">
        <f>INDEX(Input!$1:$1048576,BH$93,$C282*2+6)</f>
        <v>5.45E-2</v>
      </c>
      <c r="BI282" s="1">
        <f>INDEX(Input!$1:$1048576,BI$93,$C282*2+6)</f>
        <v>0.05</v>
      </c>
      <c r="BJ282" s="1">
        <f>INDEX(Input!$1:$1048576,BJ$93,$C282*2+6)</f>
        <v>0.05</v>
      </c>
      <c r="BK282" s="1">
        <f>INDEX(Input!$1:$1048576,BK$93,$C282*2+6)</f>
        <v>0.05</v>
      </c>
      <c r="BL282" s="1">
        <f>INDEX(Input!$1:$1048576,BL$93,$C282*2+6)</f>
        <v>5.5E-2</v>
      </c>
      <c r="BM282" s="1">
        <f>INDEX(Input!$1:$1048576,BM$93,$C282*2+6)</f>
        <v>0.06</v>
      </c>
      <c r="BN282" s="1">
        <f>INDEX(Input!$1:$1048576,BN$93,$C282*2+6)</f>
        <v>4.4999999999999998E-2</v>
      </c>
      <c r="BO282" s="1">
        <f>INDEX(Input!$1:$1048576,BO$93,$C282*2+6)</f>
        <v>4.4999999999999998E-2</v>
      </c>
      <c r="BP282" s="1">
        <f>INDEX(Input!$1:$1048576,BP$93,$C282*2+6)</f>
        <v>0.05</v>
      </c>
      <c r="BQ282" s="1">
        <f>INDEX(Input!$1:$1048576,BQ$93,$C282*2+6)</f>
        <v>5.45E-2</v>
      </c>
      <c r="BR282" s="1">
        <f>INDEX(Input!$1:$1048576,BR$93,$C282*2+6)</f>
        <v>5.45E-2</v>
      </c>
      <c r="BS282" s="1">
        <f>INDEX(Input!$1:$1048576,BS$93,$C282*2+6)</f>
        <v>0.05</v>
      </c>
      <c r="BT282" s="1">
        <f>INDEX(Input!$1:$1048576,BT$93,$C282*2+6)</f>
        <v>0.05</v>
      </c>
      <c r="BU282" s="1">
        <f>INDEX(Input!$1:$1048576,BU$93,$C282*2+6)</f>
        <v>0.05</v>
      </c>
      <c r="BV282" s="1">
        <f>INDEX(Input!$1:$1048576,BV$93,$C282*2+6)</f>
        <v>5.5E-2</v>
      </c>
      <c r="BW282" s="1">
        <f>INDEX(Input!$1:$1048576,BW$93,$C282*2+6)</f>
        <v>0.06</v>
      </c>
      <c r="BX282" s="127">
        <f>INDEX(Input!$1:$1048576,BX$93,$C282*2+6)</f>
        <v>19985</v>
      </c>
      <c r="BY282" s="20">
        <f>INDEX(Input!$1:$1048576,BY$93,$C282*2+6)</f>
        <v>0.1</v>
      </c>
      <c r="BZ282" s="20">
        <f>INDEX(Input!$1:$1048576,BZ$93,$C282*2+6)</f>
        <v>0.1</v>
      </c>
      <c r="CA282" s="20">
        <f>INDEX(Input!$1:$1048576,CA$93,$C282*2+6)</f>
        <v>0.1</v>
      </c>
      <c r="CB282" s="20">
        <f>INDEX(Input!$1:$1048576,CB$93,$C282*2+6)</f>
        <v>0.1</v>
      </c>
      <c r="CC282" s="20">
        <f>INDEX(Input!$1:$1048576,CC$93,$C282*2+6)</f>
        <v>0.1</v>
      </c>
      <c r="CD282" s="384">
        <f>INDEX(Input!$1:$1048576,CD$93,$C282*2+6)</f>
        <v>0.1</v>
      </c>
      <c r="CE282" s="384">
        <f>INDEX(Input!$1:$1048576,CE$93,$C282*2+6)</f>
        <v>0.1</v>
      </c>
      <c r="CF282" s="384">
        <f>INDEX(Input!$1:$1048576,CF$93,$C282*2+6)</f>
        <v>0.1</v>
      </c>
      <c r="CG282" s="384">
        <f>INDEX(Input!$1:$1048576,CG$93,$C282*2+6)</f>
        <v>0.1</v>
      </c>
      <c r="CH282" s="384">
        <f>INDEX(Input!$1:$1048576,CH$93,$C282*2+6)</f>
        <v>0.1</v>
      </c>
      <c r="CI282" s="304">
        <f t="shared" si="735"/>
        <v>769.76186645213193</v>
      </c>
      <c r="CJ282" s="16" t="str">
        <f>INDEX(Input!$1:$1048576,CJ$93,$C282*2+6)</f>
        <v>N</v>
      </c>
      <c r="CK282" s="1" t="str">
        <f t="shared" si="736"/>
        <v>Market</v>
      </c>
      <c r="CL282" s="1" t="str">
        <f t="shared" si="737"/>
        <v>Market</v>
      </c>
      <c r="CM282" s="1" t="str">
        <f t="shared" si="738"/>
        <v>Market</v>
      </c>
      <c r="CN282" s="1" t="str">
        <f t="shared" si="739"/>
        <v>Market</v>
      </c>
      <c r="CO282" s="1" t="str">
        <f t="shared" si="740"/>
        <v>Market</v>
      </c>
      <c r="CP282" s="304">
        <f t="shared" si="741"/>
        <v>473</v>
      </c>
      <c r="CQ282" s="1">
        <f t="shared" si="742"/>
        <v>0</v>
      </c>
      <c r="CR282" s="1">
        <f t="shared" si="743"/>
        <v>0</v>
      </c>
      <c r="CS282" s="1">
        <f t="shared" si="744"/>
        <v>9.0000000000000011E-3</v>
      </c>
      <c r="CT282" s="1">
        <f t="shared" si="745"/>
        <v>2.8999999999999998E-2</v>
      </c>
      <c r="CU282" s="1">
        <f t="shared" si="746"/>
        <v>3.9E-2</v>
      </c>
      <c r="CV282" s="304">
        <f t="shared" si="747"/>
        <v>-304</v>
      </c>
      <c r="CW282" s="20" t="s">
        <v>122</v>
      </c>
      <c r="CX282" s="20" t="s">
        <v>122</v>
      </c>
      <c r="CY282" s="20" t="s">
        <v>122</v>
      </c>
      <c r="CZ282" s="20" t="s">
        <v>122</v>
      </c>
      <c r="DA282" s="20" t="s">
        <v>122</v>
      </c>
      <c r="DB282" s="503">
        <f t="shared" si="748"/>
        <v>0</v>
      </c>
      <c r="DC282" s="127">
        <v>0</v>
      </c>
      <c r="DD282" s="127">
        <v>0</v>
      </c>
      <c r="DE282" s="127">
        <v>0</v>
      </c>
      <c r="DF282" s="127">
        <v>0</v>
      </c>
      <c r="DG282" s="127">
        <v>0</v>
      </c>
      <c r="DH282" s="127">
        <v>0</v>
      </c>
      <c r="DI282" s="127">
        <v>0</v>
      </c>
      <c r="DJ282" s="127">
        <v>0</v>
      </c>
      <c r="DK282" s="127">
        <v>0</v>
      </c>
      <c r="DL282" s="127">
        <v>0</v>
      </c>
      <c r="DM282" s="304">
        <f>INDEX(Input!$1:$1048576,DM$93,$C282*2+6)</f>
        <v>21036.84210526316</v>
      </c>
      <c r="DN282" s="20">
        <v>0</v>
      </c>
      <c r="DO282" s="20">
        <v>0</v>
      </c>
      <c r="DP282" s="20">
        <v>0</v>
      </c>
      <c r="DQ282" s="20">
        <v>0</v>
      </c>
      <c r="DR282" s="20">
        <v>0</v>
      </c>
      <c r="DS282" s="20">
        <f>INDEX(Input!$1:$1048576,DS$93,$C282*2+6)</f>
        <v>0.6</v>
      </c>
      <c r="DT282" s="20">
        <f>INDEX(Input!$1:$1048576,DT$93,$C282*2+6)</f>
        <v>0.55000000000000004</v>
      </c>
      <c r="DU282" s="20">
        <f>INDEX(Input!$1:$1048576,DU$93,$C282*2+6)</f>
        <v>0.52</v>
      </c>
      <c r="DV282" s="20">
        <f>INDEX(Input!$1:$1048576,DV$93,$C282*2+6)</f>
        <v>0.5</v>
      </c>
      <c r="DW282" s="20">
        <f>INDEX(Input!$1:$1048576,DW$93,$C282*2+6)</f>
        <v>0.45</v>
      </c>
      <c r="DX282" s="20"/>
      <c r="DY282" s="7">
        <v>8.6119998771946704E-2</v>
      </c>
      <c r="DZ282" s="7">
        <v>0</v>
      </c>
      <c r="EA282" s="7">
        <v>0.64979192962427301</v>
      </c>
      <c r="EB282" s="7">
        <v>0</v>
      </c>
      <c r="EC282" s="7">
        <v>0</v>
      </c>
      <c r="ED282" s="7">
        <v>0</v>
      </c>
      <c r="EE282" s="7">
        <v>0</v>
      </c>
      <c r="EF282" s="7">
        <v>0</v>
      </c>
      <c r="EG282" s="7">
        <v>0</v>
      </c>
      <c r="EH282" s="7">
        <v>1.9544795380622849E-2</v>
      </c>
      <c r="EI282" s="7">
        <v>5.5623533440063322E-2</v>
      </c>
      <c r="EJ282" s="7">
        <v>0.30575440960002709</v>
      </c>
      <c r="EK282" s="7">
        <v>0.46657814650627005</v>
      </c>
      <c r="EL282" s="7">
        <v>0.15249911507301586</v>
      </c>
      <c r="EM282" s="7">
        <v>5.4104818595499191E-2</v>
      </c>
      <c r="EN282" s="7">
        <v>6.4382904537248153E-2</v>
      </c>
      <c r="EO282" s="7">
        <v>0.72186311517957147</v>
      </c>
      <c r="EP282" s="7">
        <v>9.2841582129144881E-2</v>
      </c>
      <c r="EQ282" s="7">
        <v>7.9207311598764582E-2</v>
      </c>
      <c r="ER282" s="7">
        <v>4.1705086555271234E-2</v>
      </c>
      <c r="ES282" s="7">
        <v>0.209983253008281</v>
      </c>
      <c r="ET282" s="7">
        <v>0.26408807160378023</v>
      </c>
      <c r="EU282" s="6">
        <v>794</v>
      </c>
      <c r="EV282" s="6">
        <v>0</v>
      </c>
      <c r="EW282" s="6">
        <v>794</v>
      </c>
      <c r="EX282" s="6">
        <v>0</v>
      </c>
      <c r="EY282" s="6">
        <v>1671.7764879497247</v>
      </c>
      <c r="EZ282" s="6">
        <v>586</v>
      </c>
      <c r="FA282" s="6">
        <v>0</v>
      </c>
      <c r="FB282" s="6">
        <v>0</v>
      </c>
      <c r="FC282" s="6">
        <v>0</v>
      </c>
      <c r="FD282" s="6">
        <v>0</v>
      </c>
      <c r="FE282" s="6">
        <v>0</v>
      </c>
      <c r="FF282" s="6">
        <v>0</v>
      </c>
      <c r="FG282" s="6">
        <v>0</v>
      </c>
      <c r="FH282" s="6">
        <v>1173.7260704212317</v>
      </c>
      <c r="FI282" s="6">
        <v>1553.979606951242</v>
      </c>
      <c r="FJ282" s="6">
        <v>1735.1562230702807</v>
      </c>
      <c r="FK282" s="6">
        <v>1284.9687470586862</v>
      </c>
      <c r="FL282" s="6">
        <v>907.07682140966347</v>
      </c>
      <c r="FM282" s="6">
        <v>1377.7764879497247</v>
      </c>
      <c r="FN282" s="6">
        <v>0</v>
      </c>
      <c r="FO282" s="6">
        <v>0</v>
      </c>
      <c r="FP282" s="6">
        <v>0</v>
      </c>
      <c r="FQ282" s="6">
        <v>0</v>
      </c>
      <c r="FR282" s="6">
        <v>0</v>
      </c>
      <c r="FS282" s="6">
        <v>0</v>
      </c>
      <c r="FT282" s="7">
        <v>0.73591192839621966</v>
      </c>
      <c r="FU282" s="7">
        <v>5.4104818595499191E-2</v>
      </c>
      <c r="FV282" s="7">
        <v>0.209983253008281</v>
      </c>
      <c r="FW282" s="6">
        <v>794.00000000000011</v>
      </c>
      <c r="FX282" s="6">
        <v>1671.7764879497245</v>
      </c>
      <c r="FY282" s="6">
        <v>586</v>
      </c>
      <c r="FZ282" s="6">
        <v>1817.4615072224267</v>
      </c>
      <c r="GA282" s="6">
        <v>797.8154210221918</v>
      </c>
      <c r="GB282" s="6">
        <v>19187.184578977809</v>
      </c>
      <c r="GC282" s="7">
        <v>1.804905384453976E-2</v>
      </c>
      <c r="GD282" s="7">
        <v>1.6193279496639734E-2</v>
      </c>
      <c r="GE282" s="7"/>
      <c r="GF282" s="7"/>
      <c r="GG282" s="7">
        <v>-0.10281837285678212</v>
      </c>
      <c r="GH282" s="42">
        <v>2.0152337260472457</v>
      </c>
      <c r="GI282" s="6">
        <v>10714.779265806248</v>
      </c>
      <c r="GJ282" s="14">
        <v>0.50394797582841744</v>
      </c>
      <c r="GK282" s="14">
        <v>0.50887573065309788</v>
      </c>
      <c r="GL282" s="14">
        <v>0.49605202417158284</v>
      </c>
      <c r="GM282" s="14">
        <v>0.49112426934690262</v>
      </c>
      <c r="GO282" s="5">
        <v>343.14810671672558</v>
      </c>
      <c r="GP282" s="5">
        <v>328.0001014498265</v>
      </c>
      <c r="GQ282" s="5">
        <v>535.04305713031317</v>
      </c>
      <c r="GR282" s="5">
        <v>410.15490233172511</v>
      </c>
      <c r="GS282" s="5">
        <v>339.42744393800166</v>
      </c>
      <c r="GT282" s="5">
        <v>293.4407446948278</v>
      </c>
      <c r="GU282" s="5">
        <v>258.04012322764959</v>
      </c>
      <c r="GV282" s="39" t="s">
        <v>392</v>
      </c>
      <c r="GW282" s="5">
        <v>491.45833333333331</v>
      </c>
      <c r="GX282" s="5">
        <v>368.59375</v>
      </c>
      <c r="GY282" s="5">
        <v>301.66999163600519</v>
      </c>
      <c r="GZ282" s="5">
        <v>268.02332273190535</v>
      </c>
      <c r="HA282" s="5">
        <v>241.02179695997205</v>
      </c>
      <c r="HB282" s="39">
        <v>284.15430541914526</v>
      </c>
      <c r="HC282" s="5">
        <v>261.64687500000002</v>
      </c>
      <c r="HD282" s="5">
        <v>222.30677997076018</v>
      </c>
      <c r="HE282" s="5">
        <v>224.71639254385963</v>
      </c>
      <c r="HF282" s="5">
        <v>207.35750548245613</v>
      </c>
      <c r="HG282" s="5">
        <v>199.39971491228067</v>
      </c>
      <c r="HH282" s="39">
        <v>222.92388882355721</v>
      </c>
      <c r="HI282" s="16"/>
      <c r="HJ282" s="19" t="str">
        <f t="shared" ref="HJ282:HK282" si="859">HJ281</f>
        <v>On</v>
      </c>
      <c r="HK282" s="1" t="str">
        <f t="shared" si="859"/>
        <v>On</v>
      </c>
      <c r="HL282" s="16"/>
      <c r="HM282" s="639">
        <f t="shared" si="775"/>
        <v>1.2768706344444866E-2</v>
      </c>
      <c r="HN282" s="639">
        <f t="shared" si="776"/>
        <v>9.795534288915453E-4</v>
      </c>
      <c r="HO282" s="639">
        <f t="shared" si="777"/>
        <v>3.3583061774515237E-3</v>
      </c>
      <c r="HP282" s="644">
        <f>(FT282*$GD282-HM282)/$JF282*INDEX(Input!$1:$1048576,$JG$93,$C282*2+6)</f>
        <v>-61.89935228334501</v>
      </c>
      <c r="HQ282" s="644">
        <f>(FU282*$GD282-HN282)/$JF282*INDEX(Input!$1:$1048576,$JG$93,$C282*2+6)</f>
        <v>-7.5146462235342177</v>
      </c>
      <c r="HR282" s="644">
        <f>(FV282*$GD282-HO282)/$JF282*INDEX(Input!$1:$1048576,$JG$93,$C282*2+6)</f>
        <v>3.052633767047916</v>
      </c>
      <c r="HS282" s="644">
        <f t="shared" si="767"/>
        <v>28.904515590591938</v>
      </c>
      <c r="HT282" s="644">
        <f t="shared" si="845"/>
        <v>-21.078924261892638</v>
      </c>
      <c r="HU282" s="644">
        <f t="shared" si="779"/>
        <v>-13.41222247141361</v>
      </c>
      <c r="HV282" s="648">
        <f t="shared" si="780"/>
        <v>0</v>
      </c>
      <c r="HW282" s="648">
        <f t="shared" si="781"/>
        <v>0</v>
      </c>
      <c r="HX282" s="648">
        <f t="shared" si="782"/>
        <v>0</v>
      </c>
      <c r="HY282" s="644">
        <f>INDEX(Input!$1:$1048576,HY$93,$C282*2+6)*INDEX(Input!$1:$1048576,$JG$93,$C282*2+6)</f>
        <v>451</v>
      </c>
      <c r="HZ282" s="644">
        <f>INDEX(Input!$1:$1048576,HZ$93,$C282*2+6)*INDEX(Input!$1:$1048576,$JG$93,$C282*2+6)</f>
        <v>577</v>
      </c>
      <c r="IA282" s="644">
        <f>INDEX(Input!$1:$1048576,IA$93,$C282*2+6)*INDEX(Input!$1:$1048576,$JG$93,$C282*2+6)</f>
        <v>215</v>
      </c>
      <c r="IB282" s="644">
        <f t="shared" si="804"/>
        <v>418.0051633072469</v>
      </c>
      <c r="IC282" s="644">
        <f t="shared" si="805"/>
        <v>548.40642951457312</v>
      </c>
      <c r="ID282" s="644">
        <f>IF(AND(INDEX(Input!$1:$1048576,IA$93,$C282*2+7)="TOS",Y282&lt;=INDEX(Y:Y,MATCH(C282*1000+2,A:A))),0,1)*MAX(IA282+HR282+HU282+HX282,0%)</f>
        <v>204.64041129563432</v>
      </c>
      <c r="IE282" s="128">
        <f t="shared" si="846"/>
        <v>0.35694842059748677</v>
      </c>
      <c r="IF282" s="128">
        <f t="shared" si="847"/>
        <v>0.46830237050648432</v>
      </c>
      <c r="IG282" s="128">
        <f t="shared" si="838"/>
        <v>0.17474920889602891</v>
      </c>
      <c r="IH282" s="21"/>
      <c r="II282" s="19">
        <f t="shared" si="785"/>
        <v>1252</v>
      </c>
      <c r="IJ282" s="19">
        <f t="shared" si="786"/>
        <v>2011.9658773055378</v>
      </c>
      <c r="IK282" s="19">
        <f t="shared" si="787"/>
        <v>919</v>
      </c>
      <c r="IL282" s="19">
        <f t="shared" si="806"/>
        <v>-457.99999999999989</v>
      </c>
      <c r="IM282" s="19">
        <f t="shared" si="788"/>
        <v>-340.18938935581332</v>
      </c>
      <c r="IN282" s="19">
        <f t="shared" si="789"/>
        <v>-333</v>
      </c>
      <c r="IO282" s="39">
        <f t="shared" si="790"/>
        <v>0</v>
      </c>
      <c r="IP282" s="39">
        <f t="shared" si="791"/>
        <v>0</v>
      </c>
      <c r="IQ282" s="39">
        <f t="shared" si="792"/>
        <v>0</v>
      </c>
      <c r="IR282" s="39">
        <v>0</v>
      </c>
      <c r="IS282" s="39">
        <v>0</v>
      </c>
      <c r="IT282" s="39">
        <v>0</v>
      </c>
      <c r="IU282" s="39">
        <v>0</v>
      </c>
      <c r="IV282" s="39">
        <v>0</v>
      </c>
      <c r="IW282" s="39">
        <v>0</v>
      </c>
      <c r="IX282" s="39">
        <f>INDEX(Input!$1:$1048576,IX$93,$C282*2+6)+INDEX(Input!$1:$1048576,IX$94,$C282*2+6)</f>
        <v>1294</v>
      </c>
      <c r="IY282" s="39">
        <f>INDEX(Input!$1:$1048576,IY$93,$C282*2+6)+INDEX(Input!$1:$1048576,IY$94,$C282*2+6)</f>
        <v>2154.0624533823611</v>
      </c>
      <c r="IZ282" s="39">
        <f>INDEX(Input!$1:$1048576,IZ$93,$C282*2+6)+INDEX(Input!$1:$1048576,IZ$94,$C282*2+6)</f>
        <v>3677.7164157747848</v>
      </c>
      <c r="JA282" s="19">
        <f t="shared" si="807"/>
        <v>836.00000000000011</v>
      </c>
      <c r="JB282" s="19">
        <f t="shared" si="808"/>
        <v>1813.8730640265478</v>
      </c>
      <c r="JC282" s="19">
        <f t="shared" si="809"/>
        <v>3344.7164157747848</v>
      </c>
      <c r="JD282" s="19">
        <f t="shared" si="810"/>
        <v>1732.3364829391962</v>
      </c>
      <c r="JE282" s="21"/>
      <c r="JF282" s="1">
        <f t="shared" si="793"/>
        <v>1.7106565950787935E-2</v>
      </c>
      <c r="JG282" s="15">
        <f>INDEX(Input!$1:$1048576,JG$93,$C282*2+6)/(1+VLOOKUP(C282*1000+INDEX(Input!$1:$1048576,JG$93+1,$C282*2+6),$A:$KK,$JK$92,FALSE))</f>
        <v>1243</v>
      </c>
      <c r="JH282" s="1">
        <f t="shared" si="811"/>
        <v>-5.3388064955616495E-2</v>
      </c>
      <c r="JI282" s="1">
        <f t="shared" si="812"/>
        <v>-4.4944739683944572E-3</v>
      </c>
      <c r="JJ282" s="1">
        <f t="shared" si="848"/>
        <v>0</v>
      </c>
      <c r="JK282" s="1">
        <f t="shared" si="849"/>
        <v>-5.7882538924010948E-2</v>
      </c>
      <c r="JL282" s="15">
        <f t="shared" si="813"/>
        <v>-71.947995882545612</v>
      </c>
      <c r="JM282" s="15">
        <f t="shared" si="830"/>
        <v>1171.0520041174543</v>
      </c>
      <c r="JN282" s="21"/>
      <c r="JO282" s="19">
        <f>INDEX(Input!$1:$1048576,JO$93,$C282*2+6)</f>
        <v>5995.5</v>
      </c>
      <c r="JP282" s="19">
        <f>INDEX(Input!$1:$1048576,JP$93,$C282*2+6)</f>
        <v>2105.548724853742</v>
      </c>
      <c r="JQ282" s="39">
        <f t="shared" si="819"/>
        <v>4263.1635170608042</v>
      </c>
      <c r="JR282" s="39">
        <f t="shared" si="833"/>
        <v>-373.21224191454576</v>
      </c>
      <c r="JS282" s="39">
        <f t="shared" si="820"/>
        <v>2.028656110151728</v>
      </c>
      <c r="JT282" s="39">
        <f t="shared" si="814"/>
        <v>-0.5885409548414734</v>
      </c>
      <c r="JU282" s="385">
        <f>(JQ282*JM282-INDEX(Input!$1:$1048576,Input!A$18,$C282*2+6)*JL282*INDEX(Input!$1:$1048576,Input!A$19,$C282*2+6))/1000000</f>
        <v>4.9923861805344698</v>
      </c>
      <c r="JV282" s="39">
        <f t="shared" si="854"/>
        <v>0.15717674552767136</v>
      </c>
      <c r="JW282" s="1">
        <f t="shared" si="831"/>
        <v>3.2506708890356548E-2</v>
      </c>
      <c r="JX282" s="19">
        <f t="shared" si="824"/>
        <v>8180.0882376523823</v>
      </c>
      <c r="JZ282" s="341"/>
      <c r="KA282" s="342"/>
      <c r="KB282" s="469">
        <f t="shared" si="821"/>
        <v>2.5660492421988774</v>
      </c>
      <c r="KI282" s="473">
        <f t="shared" si="850"/>
        <v>-32.994836692753097</v>
      </c>
      <c r="KJ282" s="473">
        <f t="shared" si="851"/>
        <v>-28.593570485426881</v>
      </c>
      <c r="KK282" s="473">
        <f t="shared" si="843"/>
        <v>-10.359588704365677</v>
      </c>
      <c r="KN282" s="544">
        <f t="shared" si="825"/>
        <v>2002</v>
      </c>
      <c r="KO282" s="541">
        <f t="shared" si="794"/>
        <v>-6.3433255977529357E-2</v>
      </c>
      <c r="KP282" s="546">
        <f t="shared" si="795"/>
        <v>-420.36465480051868</v>
      </c>
      <c r="KQ282" s="546">
        <f t="shared" si="796"/>
        <v>-411.34385649427668</v>
      </c>
      <c r="KR282" s="548">
        <f t="shared" si="797"/>
        <v>2.6922648802209603</v>
      </c>
      <c r="KS282" s="548">
        <f t="shared" si="798"/>
        <v>2.7513064292510965</v>
      </c>
      <c r="KT282" s="473">
        <f t="shared" si="822"/>
        <v>843.26993010479111</v>
      </c>
      <c r="KU282" s="663">
        <f t="shared" si="816"/>
        <v>4.4843389047023923</v>
      </c>
    </row>
    <row r="283" spans="1:307" s="26" customFormat="1" ht="15" outlineLevel="1">
      <c r="A283" s="561">
        <f t="shared" si="799"/>
        <v>2083</v>
      </c>
      <c r="B283" s="561">
        <f t="shared" si="817"/>
        <v>83</v>
      </c>
      <c r="C283" s="561">
        <f t="shared" si="760"/>
        <v>2</v>
      </c>
      <c r="D283" s="561" t="str">
        <f t="shared" si="728"/>
        <v xml:space="preserve">250 CC, 0.9/1.9/2.9/3.9, -360 Lease, </v>
      </c>
      <c r="E283" s="475">
        <f>INDEX(Input!$1:$1048576,E$93,$C283*2+MIN($B283,2)+5)
+INDEX(Scenarios!E$121:E$200,MATCH($B283,Scenarios!$B$121:$B$200,0))</f>
        <v>1519.7618664521319</v>
      </c>
      <c r="F283" s="475">
        <f>INDEX(Input!$1:$1048576,F$93,$C283*2+MIN($B283,2)+5)
+INDEX(Scenarios!F$121:F$200,MATCH($B283,Scenarios!$B$121:$B$200,0))</f>
        <v>0</v>
      </c>
      <c r="G283" s="475">
        <f>INDEX(Input!$1:$1048576,G$93,$C283*2+MIN($B283,2)+5)
+INDEX(Scenarios!G$121:G$200,MATCH($B283,Scenarios!$B$121:$B$200,0))</f>
        <v>0</v>
      </c>
      <c r="H283" s="475">
        <f>INDEX(Input!$1:$1048576,H$93,$C283*2+MIN($B283,2)+5)
+INDEX(Scenarios!H$121:H$200,MATCH($B283,Scenarios!$B$121:$B$200,0))</f>
        <v>0</v>
      </c>
      <c r="I283" s="476">
        <f>INDEX(Input!$1:$1048576,I$93,$C283*2+MIN($B283,2)+5)</f>
        <v>0.7</v>
      </c>
      <c r="J283" s="476" t="str">
        <f>INDEX(Input!$1:$1048576,J$93,$C283*2+MIN($B283,2)+5)</f>
        <v>Market</v>
      </c>
      <c r="K283" s="476" t="str">
        <f>INDEX(Input!$1:$1048576,K$93,$C283*2+MIN($B283,2)+5)</f>
        <v>Market</v>
      </c>
      <c r="L283" s="476" t="str">
        <f>INDEX(Input!$1:$1048576,L$93,$C283*2+MIN($B283,2)+5)</f>
        <v>Market</v>
      </c>
      <c r="M283" s="476" t="str">
        <f>INDEX(Input!$1:$1048576,M$93,$C283*2+MIN($B283,2)+5)</f>
        <v>Market</v>
      </c>
      <c r="N283" s="476" t="str">
        <f>INDEX(Input!$1:$1048576,N$93,$C283*2+MIN($B283,2)+5)</f>
        <v>Market</v>
      </c>
      <c r="O283" s="476" t="str">
        <f>INDEX(Input!$1:$1048576,O$93,$C283*2+MIN($B283,2)+5)</f>
        <v>Market</v>
      </c>
      <c r="P283" s="476" t="str">
        <f>INDEX(Input!$1:$1048576,P$93,$C283*2+MIN($B283,2)+5)</f>
        <v>N</v>
      </c>
      <c r="Q283" s="477">
        <f>INDEX(Input!$1:$1048576,Q$93,$C283*2+MIN($B283,2)+5)
+INDEX(Scenarios!Q$121:Q$200,MATCH($B283,Scenarios!$B$121:$B$200,0))</f>
        <v>0</v>
      </c>
      <c r="R283" s="478">
        <f>IFERROR(MAX(0,INDEX(Input!$1:$1048576,R$93,$C283*2+MIN($B283,2)+5)
+INDEX(Scenarios!R$121:R$200,MATCH($B283,Scenarios!$B$121:$B$200,0)),),"Market")</f>
        <v>0</v>
      </c>
      <c r="S283" s="478">
        <f>IFERROR(MAX(0,INDEX(Input!$1:$1048576,S$93,$C283*2+MIN($B283,2)+5)
+INDEX(Scenarios!S$121:S$200,MATCH($B283,Scenarios!$B$121:$B$200,0)),),"Market")</f>
        <v>0</v>
      </c>
      <c r="T283" s="478">
        <f>IFERROR(MAX(0,INDEX(Input!$1:$1048576,T$93,$C283*2+MIN($B283,2)+5)
+INDEX(Scenarios!T$121:T$200,MATCH($B283,Scenarios!$B$121:$B$200,0)),),"Market")</f>
        <v>0</v>
      </c>
      <c r="U283" s="478">
        <f>IFERROR(MAX(0,INDEX(Input!$1:$1048576,U$93,$C283*2+MIN($B283,2)+5)
+INDEX(Scenarios!U$121:U$200,MATCH($B283,Scenarios!$B$121:$B$200,0)),),"Market")</f>
        <v>9.0000000000000011E-3</v>
      </c>
      <c r="V283" s="478">
        <f>IFERROR(MAX(0,INDEX(Input!$1:$1048576,V$93,$C283*2+MIN($B283,2)+5)
+INDEX(Scenarios!V$121:V$200,MATCH($B283,Scenarios!$B$121:$B$200,0)),),"Market")</f>
        <v>2.8999999999999998E-2</v>
      </c>
      <c r="W283" s="885">
        <f>IFERROR(MAX(0,INDEX(Input!$1:$1048576,W$93,$C283*2+MIN($B283,2)+5)-0%,),"Market")</f>
        <v>3.9E-2</v>
      </c>
      <c r="X283" s="476" t="str">
        <f>INDEX(Input!$1:$1048576,X$93,$C283*2+MIN($B283,2)+5)</f>
        <v>Y</v>
      </c>
      <c r="Y283" s="475">
        <f>INDEX(Input!$1:$1048576,Y$93,$C283*2+MIN($B283,2)+5)
++INDEX(Scenarios!Y$121:Y$200,MATCH($B283,Scenarios!$B$121:$B$200,0))</f>
        <v>-304</v>
      </c>
      <c r="Z283" s="477">
        <f>INDEX(Input!$1:$1048576,Z$93,$C283*2+MIN($B283,2)+5)
+INDEX(Scenarios!Z$121:Z$200,MATCH($B283,Scenarios!$B$121:$B$200,0))</f>
        <v>0</v>
      </c>
      <c r="AA283" s="475">
        <f>INDEX(Input!$1:$1048576,AA$93,$C283*2+MIN($B283,2)+5)
+INDEX(Scenarios!AA$121:AA$200,MATCH($B283,Scenarios!$B$121:$B$200,0))</f>
        <v>0</v>
      </c>
      <c r="AB283" s="476">
        <f>INDEX(Input!$1:$1048576,AB$93,$C283*2+MIN($B283,2)+5)</f>
        <v>0.27</v>
      </c>
      <c r="AC283" s="475">
        <f>INDEX(Input!$1:$1048576,AC$93,$C283*2+MIN($B283,2)+5)
+INDEX(Scenarios!AC$121:AC$200,MATCH($B283,Scenarios!$B$121:$B$200,0))</f>
        <v>0</v>
      </c>
      <c r="AD283" s="476">
        <f>INDEX(Input!$1:$1048576,AD$93,$C283*2+MIN($B283,2)+5)</f>
        <v>0.27</v>
      </c>
      <c r="AE283" s="475">
        <f>INDEX(Input!$1:$1048576,AE$93,$C283*2+MIN($B283,2)+5)
+INDEX(Scenarios!AE$121:AE$200,MATCH($B283,Scenarios!$B$121:$B$200,0))</f>
        <v>0</v>
      </c>
      <c r="AF283" s="476">
        <f>INDEX(Input!$1:$1048576,AF$93,$C283*2+MIN($B283,2)+5)</f>
        <v>4.8000000000000001E-2</v>
      </c>
      <c r="AG283" s="475">
        <f>INDEX(Input!$1:$1048576,AG$93,$C283*2+MIN($B283,2)+5)
+INDEX(Scenarios!AG$121:AG$200,MATCH($B283,Scenarios!$B$121:$B$200,0))</f>
        <v>500</v>
      </c>
      <c r="AH283" s="476">
        <f>INDEX(Input!$1:$1048576,AH$93,$C283*2+MIN($B283,2)+5)</f>
        <v>0.94599999999999995</v>
      </c>
      <c r="AI283" s="475">
        <f>INDEX(Input!$1:$1048576,AI$93,$C283*2+MIN($B283,2)+5)
+INDEX(Scenarios!AI$121:AI$200,MATCH($B283,Scenarios!$B$121:$B$200,0))</f>
        <v>0</v>
      </c>
      <c r="AJ283" s="476">
        <f>INDEX(Input!$1:$1048576,AJ$93,$C283*2+MIN($B283,2)+5)</f>
        <v>0.27</v>
      </c>
      <c r="AK283" s="150">
        <f>ROUND(INDEX(Input!$1:$1048576,AK$93,$C282*2+MIN($B283,1)+5)+(Y283-VLOOKUP($C283*1000+1,$A:$HH,Y$92,FALSE)),0)</f>
        <v>2617</v>
      </c>
      <c r="AL283" s="150">
        <f>ROUND(INDEX(Input!$1:$1048576,AL$93,$C282*2+MIN($B283,1)+5)-(Y283-VLOOKUP($C283*1000+1,$A:$HH,Y$92,FALSE))/36,0)</f>
        <v>3405</v>
      </c>
      <c r="AM283" s="32" t="str">
        <f t="shared" si="800"/>
        <v>std/std/std/std</v>
      </c>
      <c r="AN283" s="32" t="str">
        <f t="shared" si="801"/>
        <v>$0 + 0/0/0.9/2.9/3.9</v>
      </c>
      <c r="AO283" s="32" t="str">
        <f t="shared" si="802"/>
        <v>0/0/0.9/2.9/3.9</v>
      </c>
      <c r="AP283" s="32" t="str">
        <f t="shared" si="734"/>
        <v>0.9/1.9/2.9/3.9</v>
      </c>
      <c r="AQ283" s="536" t="e">
        <f t="shared" si="733"/>
        <v>#DIV/0!</v>
      </c>
      <c r="AR283" s="32"/>
      <c r="AS283" s="302"/>
      <c r="AT283" s="3">
        <f t="shared" si="856"/>
        <v>83</v>
      </c>
      <c r="AU283" s="41" t="s">
        <v>121</v>
      </c>
      <c r="AV283" s="41" t="s">
        <v>116</v>
      </c>
      <c r="AW283" s="41" t="str">
        <f>INDEX(Input!$1:$1048576,AW$93,$C283*2+6)</f>
        <v>Kia</v>
      </c>
      <c r="AX283" s="41" t="str">
        <f>INDEX(Input!$1:$1048576,AX$93,$C283*2+6)</f>
        <v>Kia-LR - L2</v>
      </c>
      <c r="AY283" s="41" t="str">
        <f>IF(LEN(D283)=0,"",INDEX(Input!$1:$1048576,AY$93,$C283*2+6))</f>
        <v>Compact SUV (52)</v>
      </c>
      <c r="AZ283" s="41" t="str">
        <f>INDEX(Input!$1:$1048576,AZ$93,$C283*2+6)</f>
        <v>Kia Soul</v>
      </c>
      <c r="BA283" s="3">
        <f>INDEX(Input!$1:$1048576,BA$93,$C283*2+6)</f>
        <v>2020</v>
      </c>
      <c r="BB283" s="128">
        <f>INDEX(Input!$1:$1048576,BB$93,$C283*2+6)</f>
        <v>1</v>
      </c>
      <c r="BC283" s="128">
        <f>INDEX(Input!$1:$1048576,BC$93,$C283*2+6)</f>
        <v>0.7</v>
      </c>
      <c r="BD283" s="1">
        <f>INDEX(Input!$1:$1048576,BD$93,$C283*2+6)</f>
        <v>4.4999999999999998E-2</v>
      </c>
      <c r="BE283" s="1">
        <f>INDEX(Input!$1:$1048576,BE$93,$C283*2+6)</f>
        <v>4.4999999999999998E-2</v>
      </c>
      <c r="BF283" s="1">
        <f>INDEX(Input!$1:$1048576,BF$93,$C283*2+6)</f>
        <v>0.05</v>
      </c>
      <c r="BG283" s="1">
        <f>INDEX(Input!$1:$1048576,BG$93,$C283*2+6)</f>
        <v>5.45E-2</v>
      </c>
      <c r="BH283" s="1">
        <f>INDEX(Input!$1:$1048576,BH$93,$C283*2+6)</f>
        <v>5.45E-2</v>
      </c>
      <c r="BI283" s="1">
        <f>INDEX(Input!$1:$1048576,BI$93,$C283*2+6)</f>
        <v>0.05</v>
      </c>
      <c r="BJ283" s="1">
        <f>INDEX(Input!$1:$1048576,BJ$93,$C283*2+6)</f>
        <v>0.05</v>
      </c>
      <c r="BK283" s="1">
        <f>INDEX(Input!$1:$1048576,BK$93,$C283*2+6)</f>
        <v>0.05</v>
      </c>
      <c r="BL283" s="1">
        <f>INDEX(Input!$1:$1048576,BL$93,$C283*2+6)</f>
        <v>5.5E-2</v>
      </c>
      <c r="BM283" s="1">
        <f>INDEX(Input!$1:$1048576,BM$93,$C283*2+6)</f>
        <v>0.06</v>
      </c>
      <c r="BN283" s="1">
        <f>INDEX(Input!$1:$1048576,BN$93,$C283*2+6)</f>
        <v>4.4999999999999998E-2</v>
      </c>
      <c r="BO283" s="1">
        <f>INDEX(Input!$1:$1048576,BO$93,$C283*2+6)</f>
        <v>4.4999999999999998E-2</v>
      </c>
      <c r="BP283" s="1">
        <f>INDEX(Input!$1:$1048576,BP$93,$C283*2+6)</f>
        <v>0.05</v>
      </c>
      <c r="BQ283" s="1">
        <f>INDEX(Input!$1:$1048576,BQ$93,$C283*2+6)</f>
        <v>5.45E-2</v>
      </c>
      <c r="BR283" s="1">
        <f>INDEX(Input!$1:$1048576,BR$93,$C283*2+6)</f>
        <v>5.45E-2</v>
      </c>
      <c r="BS283" s="1">
        <f>INDEX(Input!$1:$1048576,BS$93,$C283*2+6)</f>
        <v>0.05</v>
      </c>
      <c r="BT283" s="1">
        <f>INDEX(Input!$1:$1048576,BT$93,$C283*2+6)</f>
        <v>0.05</v>
      </c>
      <c r="BU283" s="1">
        <f>INDEX(Input!$1:$1048576,BU$93,$C283*2+6)</f>
        <v>0.05</v>
      </c>
      <c r="BV283" s="1">
        <f>INDEX(Input!$1:$1048576,BV$93,$C283*2+6)</f>
        <v>5.5E-2</v>
      </c>
      <c r="BW283" s="1">
        <f>INDEX(Input!$1:$1048576,BW$93,$C283*2+6)</f>
        <v>0.06</v>
      </c>
      <c r="BX283" s="127">
        <f>INDEX(Input!$1:$1048576,BX$93,$C283*2+6)</f>
        <v>19985</v>
      </c>
      <c r="BY283" s="20">
        <f>INDEX(Input!$1:$1048576,BY$93,$C283*2+6)</f>
        <v>0.1</v>
      </c>
      <c r="BZ283" s="20">
        <f>INDEX(Input!$1:$1048576,BZ$93,$C283*2+6)</f>
        <v>0.1</v>
      </c>
      <c r="CA283" s="20">
        <f>INDEX(Input!$1:$1048576,CA$93,$C283*2+6)</f>
        <v>0.1</v>
      </c>
      <c r="CB283" s="20">
        <f>INDEX(Input!$1:$1048576,CB$93,$C283*2+6)</f>
        <v>0.1</v>
      </c>
      <c r="CC283" s="20">
        <f>INDEX(Input!$1:$1048576,CC$93,$C283*2+6)</f>
        <v>0.1</v>
      </c>
      <c r="CD283" s="384">
        <f>INDEX(Input!$1:$1048576,CD$93,$C283*2+6)</f>
        <v>0.1</v>
      </c>
      <c r="CE283" s="384">
        <f>INDEX(Input!$1:$1048576,CE$93,$C283*2+6)</f>
        <v>0.1</v>
      </c>
      <c r="CF283" s="384">
        <f>INDEX(Input!$1:$1048576,CF$93,$C283*2+6)</f>
        <v>0.1</v>
      </c>
      <c r="CG283" s="384">
        <f>INDEX(Input!$1:$1048576,CG$93,$C283*2+6)</f>
        <v>0.1</v>
      </c>
      <c r="CH283" s="384">
        <f>INDEX(Input!$1:$1048576,CH$93,$C283*2+6)</f>
        <v>0.1</v>
      </c>
      <c r="CI283" s="304">
        <f t="shared" si="735"/>
        <v>1519.7618664521319</v>
      </c>
      <c r="CJ283" s="16" t="str">
        <f>INDEX(Input!$1:$1048576,CJ$93,$C283*2+6)</f>
        <v>N</v>
      </c>
      <c r="CK283" s="1" t="str">
        <f t="shared" si="736"/>
        <v>Market</v>
      </c>
      <c r="CL283" s="1" t="str">
        <f t="shared" si="737"/>
        <v>Market</v>
      </c>
      <c r="CM283" s="1" t="str">
        <f t="shared" si="738"/>
        <v>Market</v>
      </c>
      <c r="CN283" s="1" t="str">
        <f t="shared" si="739"/>
        <v>Market</v>
      </c>
      <c r="CO283" s="1" t="str">
        <f t="shared" si="740"/>
        <v>Market</v>
      </c>
      <c r="CP283" s="304">
        <f t="shared" si="741"/>
        <v>473</v>
      </c>
      <c r="CQ283" s="1">
        <f t="shared" si="742"/>
        <v>0</v>
      </c>
      <c r="CR283" s="1">
        <f t="shared" si="743"/>
        <v>0</v>
      </c>
      <c r="CS283" s="1">
        <f t="shared" si="744"/>
        <v>9.0000000000000011E-3</v>
      </c>
      <c r="CT283" s="1">
        <f t="shared" si="745"/>
        <v>2.8999999999999998E-2</v>
      </c>
      <c r="CU283" s="1">
        <f t="shared" si="746"/>
        <v>3.9E-2</v>
      </c>
      <c r="CV283" s="304">
        <f t="shared" si="747"/>
        <v>-304</v>
      </c>
      <c r="CW283" s="20" t="s">
        <v>122</v>
      </c>
      <c r="CX283" s="20" t="s">
        <v>122</v>
      </c>
      <c r="CY283" s="20" t="s">
        <v>122</v>
      </c>
      <c r="CZ283" s="20" t="s">
        <v>122</v>
      </c>
      <c r="DA283" s="20" t="s">
        <v>122</v>
      </c>
      <c r="DB283" s="503">
        <f t="shared" si="748"/>
        <v>0</v>
      </c>
      <c r="DC283" s="127">
        <v>0</v>
      </c>
      <c r="DD283" s="127">
        <v>0</v>
      </c>
      <c r="DE283" s="127">
        <v>0</v>
      </c>
      <c r="DF283" s="127">
        <v>0</v>
      </c>
      <c r="DG283" s="127">
        <v>0</v>
      </c>
      <c r="DH283" s="127">
        <v>0</v>
      </c>
      <c r="DI283" s="127">
        <v>0</v>
      </c>
      <c r="DJ283" s="127">
        <v>0</v>
      </c>
      <c r="DK283" s="127">
        <v>0</v>
      </c>
      <c r="DL283" s="127">
        <v>0</v>
      </c>
      <c r="DM283" s="304">
        <f>INDEX(Input!$1:$1048576,DM$93,$C283*2+6)</f>
        <v>21036.84210526316</v>
      </c>
      <c r="DN283" s="20">
        <v>0</v>
      </c>
      <c r="DO283" s="20">
        <v>0</v>
      </c>
      <c r="DP283" s="20">
        <v>0</v>
      </c>
      <c r="DQ283" s="20">
        <v>0</v>
      </c>
      <c r="DR283" s="20">
        <v>0</v>
      </c>
      <c r="DS283" s="20">
        <f>INDEX(Input!$1:$1048576,DS$93,$C283*2+6)</f>
        <v>0.6</v>
      </c>
      <c r="DT283" s="20">
        <f>INDEX(Input!$1:$1048576,DT$93,$C283*2+6)</f>
        <v>0.55000000000000004</v>
      </c>
      <c r="DU283" s="20">
        <f>INDEX(Input!$1:$1048576,DU$93,$C283*2+6)</f>
        <v>0.52</v>
      </c>
      <c r="DV283" s="20">
        <f>INDEX(Input!$1:$1048576,DV$93,$C283*2+6)</f>
        <v>0.5</v>
      </c>
      <c r="DW283" s="20">
        <f>INDEX(Input!$1:$1048576,DW$93,$C283*2+6)</f>
        <v>0.45</v>
      </c>
      <c r="DX283" s="20"/>
      <c r="DY283" s="7"/>
      <c r="DZ283" s="7"/>
      <c r="EA283" s="7"/>
      <c r="EB283" s="7"/>
      <c r="EC283" s="7"/>
      <c r="ED283" s="7"/>
      <c r="EE283" s="7"/>
      <c r="EF283" s="7"/>
      <c r="EG283" s="7"/>
      <c r="EH283" s="7"/>
      <c r="EI283" s="7"/>
      <c r="EJ283" s="7"/>
      <c r="EK283" s="7"/>
      <c r="EL283" s="7"/>
      <c r="EM283" s="7"/>
      <c r="EN283" s="7"/>
      <c r="EO283" s="7"/>
      <c r="EP283" s="7"/>
      <c r="EQ283" s="7"/>
      <c r="ER283" s="7"/>
      <c r="ES283" s="7"/>
      <c r="ET283" s="7"/>
      <c r="EU283" s="6"/>
      <c r="EV283" s="6"/>
      <c r="EW283" s="6"/>
      <c r="EX283" s="6"/>
      <c r="EY283" s="6"/>
      <c r="EZ283" s="6"/>
      <c r="FA283" s="6"/>
      <c r="FB283" s="6"/>
      <c r="FC283" s="6"/>
      <c r="FD283" s="6"/>
      <c r="FE283" s="6"/>
      <c r="FF283" s="6"/>
      <c r="FG283" s="6"/>
      <c r="FH283" s="6"/>
      <c r="FI283" s="6"/>
      <c r="FJ283" s="6"/>
      <c r="FK283" s="6"/>
      <c r="FL283" s="6"/>
      <c r="FM283" s="6"/>
      <c r="FN283" s="6"/>
      <c r="FO283" s="6"/>
      <c r="FP283" s="6"/>
      <c r="FQ283" s="6"/>
      <c r="FR283" s="6"/>
      <c r="FS283" s="6"/>
      <c r="FT283" s="7"/>
      <c r="FU283" s="7"/>
      <c r="FV283" s="7"/>
      <c r="FW283" s="6"/>
      <c r="FX283" s="6"/>
      <c r="FY283" s="6"/>
      <c r="FZ283" s="6"/>
      <c r="GA283" s="6"/>
      <c r="GB283" s="6"/>
      <c r="GC283" s="7"/>
      <c r="GD283" s="7"/>
      <c r="GE283" s="7"/>
      <c r="GF283" s="7"/>
      <c r="GG283" s="7"/>
      <c r="GH283" s="42"/>
      <c r="GI283" s="6"/>
      <c r="GJ283" s="14"/>
      <c r="GK283" s="14"/>
      <c r="GL283" s="14"/>
      <c r="GM283" s="14"/>
      <c r="GO283" s="5"/>
      <c r="GP283" s="5"/>
      <c r="GQ283" s="5"/>
      <c r="GR283" s="5"/>
      <c r="GS283" s="5"/>
      <c r="GT283" s="5"/>
      <c r="GU283" s="5"/>
      <c r="GV283" s="39"/>
      <c r="GW283" s="5"/>
      <c r="GX283" s="5"/>
      <c r="GY283" s="5"/>
      <c r="GZ283" s="5"/>
      <c r="HA283" s="5"/>
      <c r="HB283" s="39"/>
      <c r="HC283" s="5"/>
      <c r="HD283" s="5"/>
      <c r="HE283" s="5"/>
      <c r="HF283" s="5"/>
      <c r="HG283" s="5"/>
      <c r="HH283" s="39"/>
      <c r="HI283" s="16"/>
      <c r="HJ283" s="19" t="str">
        <f t="shared" ref="HJ283:HK283" si="860">HJ282</f>
        <v>On</v>
      </c>
      <c r="HK283" s="1" t="str">
        <f t="shared" si="860"/>
        <v>On</v>
      </c>
      <c r="HL283" s="16"/>
      <c r="HM283" s="639">
        <f t="shared" si="775"/>
        <v>1.2768706344444866E-2</v>
      </c>
      <c r="HN283" s="639">
        <f t="shared" si="776"/>
        <v>9.795534288915453E-4</v>
      </c>
      <c r="HO283" s="639">
        <f t="shared" si="777"/>
        <v>3.3583061774515237E-3</v>
      </c>
      <c r="HP283" s="644">
        <f>(FT283*$GD283-HM283)/$JF283*INDEX(Input!$1:$1048576,$JG$93,$C283*2+6)</f>
        <v>-927.80175938315199</v>
      </c>
      <c r="HQ283" s="644">
        <f>(FU283*$GD283-HN283)/$JF283*INDEX(Input!$1:$1048576,$JG$93,$C283*2+6)</f>
        <v>-71.176466136741396</v>
      </c>
      <c r="HR283" s="644">
        <f>(FV283*$GD283-HO283)/$JF283*INDEX(Input!$1:$1048576,$JG$93,$C283*2+6)</f>
        <v>-244.02177448010661</v>
      </c>
      <c r="HS283" s="644" t="e">
        <f t="shared" si="767"/>
        <v>#DIV/0!</v>
      </c>
      <c r="HT283" s="644" t="e">
        <f t="shared" si="845"/>
        <v>#DIV/0!</v>
      </c>
      <c r="HU283" s="644" t="e">
        <f t="shared" si="779"/>
        <v>#DIV/0!</v>
      </c>
      <c r="HV283" s="648" t="e">
        <f t="shared" si="780"/>
        <v>#DIV/0!</v>
      </c>
      <c r="HW283" s="648" t="e">
        <f t="shared" si="781"/>
        <v>#DIV/0!</v>
      </c>
      <c r="HX283" s="648" t="e">
        <f t="shared" si="782"/>
        <v>#DIV/0!</v>
      </c>
      <c r="HY283" s="644">
        <f>INDEX(Input!$1:$1048576,HY$93,$C283*2+6)*INDEX(Input!$1:$1048576,$JG$93,$C283*2+6)</f>
        <v>451</v>
      </c>
      <c r="HZ283" s="644">
        <f>INDEX(Input!$1:$1048576,HZ$93,$C283*2+6)*INDEX(Input!$1:$1048576,$JG$93,$C283*2+6)</f>
        <v>577</v>
      </c>
      <c r="IA283" s="644">
        <f>INDEX(Input!$1:$1048576,IA$93,$C283*2+6)*INDEX(Input!$1:$1048576,$JG$93,$C283*2+6)</f>
        <v>215</v>
      </c>
      <c r="IB283" s="644" t="e">
        <f t="shared" si="804"/>
        <v>#DIV/0!</v>
      </c>
      <c r="IC283" s="644" t="e">
        <f t="shared" si="805"/>
        <v>#DIV/0!</v>
      </c>
      <c r="ID283" s="644" t="e">
        <f>IF(AND(INDEX(Input!$1:$1048576,IA$93,$C283*2+7)="TOS",Y283&lt;=INDEX(Y:Y,MATCH(C283*1000+2,A:A))),0,1)*MAX(IA283+HR283+HU283+HX283,0%)</f>
        <v>#DIV/0!</v>
      </c>
      <c r="IE283" s="128" t="e">
        <f t="shared" si="846"/>
        <v>#DIV/0!</v>
      </c>
      <c r="IF283" s="128" t="e">
        <f t="shared" si="847"/>
        <v>#DIV/0!</v>
      </c>
      <c r="IG283" s="128" t="e">
        <f t="shared" si="838"/>
        <v>#DIV/0!</v>
      </c>
      <c r="IH283" s="21"/>
      <c r="II283" s="19">
        <f t="shared" si="785"/>
        <v>1252</v>
      </c>
      <c r="IJ283" s="19">
        <f t="shared" si="786"/>
        <v>2011.9658773055378</v>
      </c>
      <c r="IK283" s="19">
        <f t="shared" si="787"/>
        <v>919</v>
      </c>
      <c r="IL283" s="19" t="e">
        <f t="shared" si="806"/>
        <v>#DIV/0!</v>
      </c>
      <c r="IM283" s="19">
        <f t="shared" si="788"/>
        <v>-2011.9658773055378</v>
      </c>
      <c r="IN283" s="19">
        <f t="shared" si="789"/>
        <v>-919</v>
      </c>
      <c r="IO283" s="39">
        <f t="shared" si="790"/>
        <v>0</v>
      </c>
      <c r="IP283" s="39">
        <f t="shared" si="791"/>
        <v>0</v>
      </c>
      <c r="IQ283" s="39">
        <f t="shared" si="792"/>
        <v>0</v>
      </c>
      <c r="IR283" s="39">
        <v>0</v>
      </c>
      <c r="IS283" s="39">
        <v>0</v>
      </c>
      <c r="IT283" s="39">
        <v>0</v>
      </c>
      <c r="IU283" s="39">
        <v>0</v>
      </c>
      <c r="IV283" s="39">
        <v>0</v>
      </c>
      <c r="IW283" s="39">
        <v>0</v>
      </c>
      <c r="IX283" s="39">
        <f>INDEX(Input!$1:$1048576,IX$93,$C283*2+6)+INDEX(Input!$1:$1048576,IX$94,$C283*2+6)</f>
        <v>1294</v>
      </c>
      <c r="IY283" s="39">
        <f>INDEX(Input!$1:$1048576,IY$93,$C283*2+6)+INDEX(Input!$1:$1048576,IY$94,$C283*2+6)</f>
        <v>2154.0624533823611</v>
      </c>
      <c r="IZ283" s="39">
        <f>INDEX(Input!$1:$1048576,IZ$93,$C283*2+6)+INDEX(Input!$1:$1048576,IZ$94,$C283*2+6)</f>
        <v>3677.7164157747848</v>
      </c>
      <c r="JA283" s="19" t="e">
        <f t="shared" si="807"/>
        <v>#DIV/0!</v>
      </c>
      <c r="JB283" s="19">
        <f t="shared" si="808"/>
        <v>142.09657607682334</v>
      </c>
      <c r="JC283" s="19">
        <f t="shared" si="809"/>
        <v>2758.7164157747848</v>
      </c>
      <c r="JD283" s="19" t="e">
        <f t="shared" si="810"/>
        <v>#DIV/0!</v>
      </c>
      <c r="JE283" s="21"/>
      <c r="JF283" s="1">
        <f t="shared" si="793"/>
        <v>1.7106565950787935E-2</v>
      </c>
      <c r="JG283" s="15">
        <f>INDEX(Input!$1:$1048576,JG$93,$C283*2+6)/(1+VLOOKUP(C283*1000+INDEX(Input!$1:$1048576,JG$93+1,$C283*2+6),$A:$KK,$JK$92,FALSE))</f>
        <v>1243</v>
      </c>
      <c r="JH283" s="1">
        <f t="shared" si="811"/>
        <v>-1</v>
      </c>
      <c r="JI283" s="1" t="e">
        <f t="shared" si="812"/>
        <v>#DIV/0!</v>
      </c>
      <c r="JJ283" s="1" t="e">
        <f t="shared" si="848"/>
        <v>#DIV/0!</v>
      </c>
      <c r="JK283" s="1" t="e">
        <f t="shared" si="849"/>
        <v>#DIV/0!</v>
      </c>
      <c r="JL283" s="15" t="e">
        <f t="shared" si="813"/>
        <v>#DIV/0!</v>
      </c>
      <c r="JM283" s="15" t="e">
        <f t="shared" si="830"/>
        <v>#DIV/0!</v>
      </c>
      <c r="JN283" s="21"/>
      <c r="JO283" s="19">
        <f>INDEX(Input!$1:$1048576,JO$93,$C283*2+6)</f>
        <v>5995.5</v>
      </c>
      <c r="JP283" s="19">
        <f>INDEX(Input!$1:$1048576,JP$93,$C283*2+6)</f>
        <v>2105.548724853742</v>
      </c>
      <c r="JQ283" s="39" t="e">
        <f t="shared" si="819"/>
        <v>#DIV/0!</v>
      </c>
      <c r="JR283" s="39" t="e">
        <f t="shared" si="833"/>
        <v>#DIV/0!</v>
      </c>
      <c r="JS283" s="39" t="e">
        <f t="shared" si="820"/>
        <v>#DIV/0!</v>
      </c>
      <c r="JT283" s="39" t="e">
        <f t="shared" si="814"/>
        <v>#DIV/0!</v>
      </c>
      <c r="JU283" s="385" t="e">
        <f>(JQ283*JM283-INDEX(Input!$1:$1048576,Input!A$18,$C283*2+6)*JL283*INDEX(Input!$1:$1048576,Input!A$19,$C283*2+6))/1000000</f>
        <v>#DIV/0!</v>
      </c>
      <c r="JV283" s="39" t="e">
        <f t="shared" si="854"/>
        <v>#DIV/0!</v>
      </c>
      <c r="JW283" s="1" t="e">
        <f t="shared" si="831"/>
        <v>#DIV/0!</v>
      </c>
      <c r="JX283" s="19" t="e">
        <f t="shared" si="824"/>
        <v>#DIV/0!</v>
      </c>
      <c r="JZ283" s="341"/>
      <c r="KA283" s="342"/>
      <c r="KB283" s="469">
        <f t="shared" si="821"/>
        <v>2.5660492421988774</v>
      </c>
      <c r="KI283" s="473" t="e">
        <f t="shared" si="850"/>
        <v>#DIV/0!</v>
      </c>
      <c r="KJ283" s="473" t="e">
        <f t="shared" si="851"/>
        <v>#DIV/0!</v>
      </c>
      <c r="KK283" s="473" t="e">
        <f t="shared" si="843"/>
        <v>#DIV/0!</v>
      </c>
      <c r="KN283" s="544">
        <f t="shared" si="825"/>
        <v>2002</v>
      </c>
      <c r="KO283" s="541" t="e">
        <f t="shared" si="794"/>
        <v>#DIV/0!</v>
      </c>
      <c r="KP283" s="546" t="e">
        <f t="shared" si="795"/>
        <v>#DIV/0!</v>
      </c>
      <c r="KQ283" s="546" t="e">
        <f t="shared" si="796"/>
        <v>#DIV/0!</v>
      </c>
      <c r="KR283" s="548" t="e">
        <f t="shared" si="797"/>
        <v>#DIV/0!</v>
      </c>
      <c r="KS283" s="548" t="e">
        <f t="shared" si="798"/>
        <v>#DIV/0!</v>
      </c>
      <c r="KT283" s="473">
        <f t="shared" si="822"/>
        <v>843.26993010479111</v>
      </c>
      <c r="KU283" s="663">
        <f t="shared" si="816"/>
        <v>0</v>
      </c>
    </row>
    <row r="284" spans="1:307" s="26" customFormat="1" ht="15" outlineLevel="1">
      <c r="A284" s="561">
        <f t="shared" si="799"/>
        <v>2084</v>
      </c>
      <c r="B284" s="561">
        <f t="shared" si="817"/>
        <v>84</v>
      </c>
      <c r="C284" s="561">
        <f t="shared" si="760"/>
        <v>2</v>
      </c>
      <c r="D284" s="561" t="str">
        <f t="shared" si="728"/>
        <v xml:space="preserve">250 CC, 0.9/1.9/2.9/3.9, </v>
      </c>
      <c r="E284" s="475">
        <f>INDEX(Input!$1:$1048576,E$93,$C284*2+MIN($B284,2)+5)
+INDEX(Scenarios!E$121:E$200,MATCH($B284,Scenarios!$B$121:$B$200,0))</f>
        <v>1519.7618664521319</v>
      </c>
      <c r="F284" s="475">
        <f>INDEX(Input!$1:$1048576,F$93,$C284*2+MIN($B284,2)+5)
+INDEX(Scenarios!F$121:F$200,MATCH($B284,Scenarios!$B$121:$B$200,0))</f>
        <v>0</v>
      </c>
      <c r="G284" s="475">
        <f>INDEX(Input!$1:$1048576,G$93,$C284*2+MIN($B284,2)+5)
+INDEX(Scenarios!G$121:G$200,MATCH($B284,Scenarios!$B$121:$B$200,0))</f>
        <v>0</v>
      </c>
      <c r="H284" s="475">
        <f>INDEX(Input!$1:$1048576,H$93,$C284*2+MIN($B284,2)+5)
+INDEX(Scenarios!H$121:H$200,MATCH($B284,Scenarios!$B$121:$B$200,0))</f>
        <v>0</v>
      </c>
      <c r="I284" s="476">
        <f>INDEX(Input!$1:$1048576,I$93,$C284*2+MIN($B284,2)+5)</f>
        <v>0.7</v>
      </c>
      <c r="J284" s="476" t="str">
        <f>INDEX(Input!$1:$1048576,J$93,$C284*2+MIN($B284,2)+5)</f>
        <v>Market</v>
      </c>
      <c r="K284" s="476" t="str">
        <f>INDEX(Input!$1:$1048576,K$93,$C284*2+MIN($B284,2)+5)</f>
        <v>Market</v>
      </c>
      <c r="L284" s="476" t="str">
        <f>INDEX(Input!$1:$1048576,L$93,$C284*2+MIN($B284,2)+5)</f>
        <v>Market</v>
      </c>
      <c r="M284" s="476" t="str">
        <f>INDEX(Input!$1:$1048576,M$93,$C284*2+MIN($B284,2)+5)</f>
        <v>Market</v>
      </c>
      <c r="N284" s="476" t="str">
        <f>INDEX(Input!$1:$1048576,N$93,$C284*2+MIN($B284,2)+5)</f>
        <v>Market</v>
      </c>
      <c r="O284" s="476" t="str">
        <f>INDEX(Input!$1:$1048576,O$93,$C284*2+MIN($B284,2)+5)</f>
        <v>Market</v>
      </c>
      <c r="P284" s="476" t="str">
        <f>INDEX(Input!$1:$1048576,P$93,$C284*2+MIN($B284,2)+5)</f>
        <v>N</v>
      </c>
      <c r="Q284" s="477">
        <f>INDEX(Input!$1:$1048576,Q$93,$C284*2+MIN($B284,2)+5)
+INDEX(Scenarios!Q$121:Q$200,MATCH($B284,Scenarios!$B$121:$B$200,0))</f>
        <v>0</v>
      </c>
      <c r="R284" s="478">
        <f>IFERROR(MAX(0,INDEX(Input!$1:$1048576,R$93,$C284*2+MIN($B284,2)+5)
+INDEX(Scenarios!R$121:R$200,MATCH($B284,Scenarios!$B$121:$B$200,0)),),"Market")</f>
        <v>9.0000000000000011E-3</v>
      </c>
      <c r="S284" s="478">
        <f>IFERROR(MAX(0,INDEX(Input!$1:$1048576,S$93,$C284*2+MIN($B284,2)+5)
+INDEX(Scenarios!S$121:S$200,MATCH($B284,Scenarios!$B$121:$B$200,0)),),"Market")</f>
        <v>9.0000000000000011E-3</v>
      </c>
      <c r="T284" s="478">
        <f>IFERROR(MAX(0,INDEX(Input!$1:$1048576,T$93,$C284*2+MIN($B284,2)+5)
+INDEX(Scenarios!T$121:T$200,MATCH($B284,Scenarios!$B$121:$B$200,0)),),"Market")</f>
        <v>9.0000000000000011E-3</v>
      </c>
      <c r="U284" s="478">
        <f>IFERROR(MAX(0,INDEX(Input!$1:$1048576,U$93,$C284*2+MIN($B284,2)+5)
+INDEX(Scenarios!U$121:U$200,MATCH($B284,Scenarios!$B$121:$B$200,0)),),"Market")</f>
        <v>9.0000000000000011E-3</v>
      </c>
      <c r="V284" s="478">
        <f>IFERROR(MAX(0,INDEX(Input!$1:$1048576,V$93,$C284*2+MIN($B284,2)+5)
+INDEX(Scenarios!V$121:V$200,MATCH($B284,Scenarios!$B$121:$B$200,0)),),"Market")</f>
        <v>2.8999999999999998E-2</v>
      </c>
      <c r="W284" s="885">
        <f>IFERROR(MAX(0,INDEX(Input!$1:$1048576,W$93,$C284*2+MIN($B284,2)+5)-0%,),"Market")</f>
        <v>3.9E-2</v>
      </c>
      <c r="X284" s="476" t="str">
        <f>INDEX(Input!$1:$1048576,X$93,$C284*2+MIN($B284,2)+5)</f>
        <v>Y</v>
      </c>
      <c r="Y284" s="475">
        <f>INDEX(Input!$1:$1048576,Y$93,$C284*2+MIN($B284,2)+5)
++INDEX(Scenarios!Y$121:Y$200,MATCH($B284,Scenarios!$B$121:$B$200,0))</f>
        <v>56</v>
      </c>
      <c r="Z284" s="477">
        <f>INDEX(Input!$1:$1048576,Z$93,$C284*2+MIN($B284,2)+5)
+INDEX(Scenarios!Z$121:Z$200,MATCH($B284,Scenarios!$B$121:$B$200,0))</f>
        <v>0</v>
      </c>
      <c r="AA284" s="475">
        <f>INDEX(Input!$1:$1048576,AA$93,$C284*2+MIN($B284,2)+5)
+INDEX(Scenarios!AA$121:AA$200,MATCH($B284,Scenarios!$B$121:$B$200,0))</f>
        <v>0</v>
      </c>
      <c r="AB284" s="476">
        <f>INDEX(Input!$1:$1048576,AB$93,$C284*2+MIN($B284,2)+5)</f>
        <v>0.27</v>
      </c>
      <c r="AC284" s="475">
        <f>INDEX(Input!$1:$1048576,AC$93,$C284*2+MIN($B284,2)+5)
+INDEX(Scenarios!AC$121:AC$200,MATCH($B284,Scenarios!$B$121:$B$200,0))</f>
        <v>0</v>
      </c>
      <c r="AD284" s="476">
        <f>INDEX(Input!$1:$1048576,AD$93,$C284*2+MIN($B284,2)+5)</f>
        <v>0.27</v>
      </c>
      <c r="AE284" s="475">
        <f>INDEX(Input!$1:$1048576,AE$93,$C284*2+MIN($B284,2)+5)
+INDEX(Scenarios!AE$121:AE$200,MATCH($B284,Scenarios!$B$121:$B$200,0))</f>
        <v>0</v>
      </c>
      <c r="AF284" s="476">
        <f>INDEX(Input!$1:$1048576,AF$93,$C284*2+MIN($B284,2)+5)</f>
        <v>4.8000000000000001E-2</v>
      </c>
      <c r="AG284" s="475">
        <f>INDEX(Input!$1:$1048576,AG$93,$C284*2+MIN($B284,2)+5)
+INDEX(Scenarios!AG$121:AG$200,MATCH($B284,Scenarios!$B$121:$B$200,0))</f>
        <v>500</v>
      </c>
      <c r="AH284" s="476">
        <f>INDEX(Input!$1:$1048576,AH$93,$C284*2+MIN($B284,2)+5)</f>
        <v>0.94599999999999995</v>
      </c>
      <c r="AI284" s="475">
        <f>INDEX(Input!$1:$1048576,AI$93,$C284*2+MIN($B284,2)+5)
+INDEX(Scenarios!AI$121:AI$200,MATCH($B284,Scenarios!$B$121:$B$200,0))</f>
        <v>0</v>
      </c>
      <c r="AJ284" s="476">
        <f>INDEX(Input!$1:$1048576,AJ$93,$C284*2+MIN($B284,2)+5)</f>
        <v>0.27</v>
      </c>
      <c r="AK284" s="150">
        <f>ROUND(INDEX(Input!$1:$1048576,AK$93,$C283*2+MIN($B284,1)+5)+(Y284-VLOOKUP($C284*1000+1,$A:$HH,Y$92,FALSE)),0)</f>
        <v>2977</v>
      </c>
      <c r="AL284" s="150">
        <f>ROUND(INDEX(Input!$1:$1048576,AL$93,$C283*2+MIN($B284,1)+5)-(Y284-VLOOKUP($C284*1000+1,$A:$HH,Y$92,FALSE))/36,0)</f>
        <v>3395</v>
      </c>
      <c r="AM284" s="32" t="str">
        <f t="shared" si="800"/>
        <v>std/std/std/std</v>
      </c>
      <c r="AN284" s="32" t="str">
        <f t="shared" si="801"/>
        <v>$0 + 0.9/0.9/0.9/2.9/3.9</v>
      </c>
      <c r="AO284" s="32" t="str">
        <f t="shared" si="802"/>
        <v>0.9/0.9/0.9/2.9/3.9</v>
      </c>
      <c r="AP284" s="32" t="str">
        <f t="shared" si="734"/>
        <v>0.9/1.9/2.9/3.9</v>
      </c>
      <c r="AQ284" s="536">
        <f t="shared" si="733"/>
        <v>0</v>
      </c>
      <c r="AR284" s="32"/>
      <c r="AS284" s="302"/>
      <c r="AT284" s="3">
        <f t="shared" si="856"/>
        <v>84</v>
      </c>
      <c r="AU284" s="41" t="s">
        <v>121</v>
      </c>
      <c r="AV284" s="41" t="s">
        <v>116</v>
      </c>
      <c r="AW284" s="41" t="str">
        <f>INDEX(Input!$1:$1048576,AW$93,$C284*2+6)</f>
        <v>Kia</v>
      </c>
      <c r="AX284" s="41" t="str">
        <f>INDEX(Input!$1:$1048576,AX$93,$C284*2+6)</f>
        <v>Kia-LR - L2</v>
      </c>
      <c r="AY284" s="41" t="str">
        <f>IF(LEN(D284)=0,"",INDEX(Input!$1:$1048576,AY$93,$C284*2+6))</f>
        <v>Compact SUV (52)</v>
      </c>
      <c r="AZ284" s="41" t="str">
        <f>INDEX(Input!$1:$1048576,AZ$93,$C284*2+6)</f>
        <v>Kia Soul</v>
      </c>
      <c r="BA284" s="3">
        <f>INDEX(Input!$1:$1048576,BA$93,$C284*2+6)</f>
        <v>2020</v>
      </c>
      <c r="BB284" s="128">
        <f>INDEX(Input!$1:$1048576,BB$93,$C284*2+6)</f>
        <v>1</v>
      </c>
      <c r="BC284" s="128">
        <f>INDEX(Input!$1:$1048576,BC$93,$C284*2+6)</f>
        <v>0.7</v>
      </c>
      <c r="BD284" s="1">
        <f>INDEX(Input!$1:$1048576,BD$93,$C284*2+6)</f>
        <v>4.4999999999999998E-2</v>
      </c>
      <c r="BE284" s="1">
        <f>INDEX(Input!$1:$1048576,BE$93,$C284*2+6)</f>
        <v>4.4999999999999998E-2</v>
      </c>
      <c r="BF284" s="1">
        <f>INDEX(Input!$1:$1048576,BF$93,$C284*2+6)</f>
        <v>0.05</v>
      </c>
      <c r="BG284" s="1">
        <f>INDEX(Input!$1:$1048576,BG$93,$C284*2+6)</f>
        <v>5.45E-2</v>
      </c>
      <c r="BH284" s="1">
        <f>INDEX(Input!$1:$1048576,BH$93,$C284*2+6)</f>
        <v>5.45E-2</v>
      </c>
      <c r="BI284" s="1">
        <f>INDEX(Input!$1:$1048576,BI$93,$C284*2+6)</f>
        <v>0.05</v>
      </c>
      <c r="BJ284" s="1">
        <f>INDEX(Input!$1:$1048576,BJ$93,$C284*2+6)</f>
        <v>0.05</v>
      </c>
      <c r="BK284" s="1">
        <f>INDEX(Input!$1:$1048576,BK$93,$C284*2+6)</f>
        <v>0.05</v>
      </c>
      <c r="BL284" s="1">
        <f>INDEX(Input!$1:$1048576,BL$93,$C284*2+6)</f>
        <v>5.5E-2</v>
      </c>
      <c r="BM284" s="1">
        <f>INDEX(Input!$1:$1048576,BM$93,$C284*2+6)</f>
        <v>0.06</v>
      </c>
      <c r="BN284" s="1">
        <f>INDEX(Input!$1:$1048576,BN$93,$C284*2+6)</f>
        <v>4.4999999999999998E-2</v>
      </c>
      <c r="BO284" s="1">
        <f>INDEX(Input!$1:$1048576,BO$93,$C284*2+6)</f>
        <v>4.4999999999999998E-2</v>
      </c>
      <c r="BP284" s="1">
        <f>INDEX(Input!$1:$1048576,BP$93,$C284*2+6)</f>
        <v>0.05</v>
      </c>
      <c r="BQ284" s="1">
        <f>INDEX(Input!$1:$1048576,BQ$93,$C284*2+6)</f>
        <v>5.45E-2</v>
      </c>
      <c r="BR284" s="1">
        <f>INDEX(Input!$1:$1048576,BR$93,$C284*2+6)</f>
        <v>5.45E-2</v>
      </c>
      <c r="BS284" s="1">
        <f>INDEX(Input!$1:$1048576,BS$93,$C284*2+6)</f>
        <v>0.05</v>
      </c>
      <c r="BT284" s="1">
        <f>INDEX(Input!$1:$1048576,BT$93,$C284*2+6)</f>
        <v>0.05</v>
      </c>
      <c r="BU284" s="1">
        <f>INDEX(Input!$1:$1048576,BU$93,$C284*2+6)</f>
        <v>0.05</v>
      </c>
      <c r="BV284" s="1">
        <f>INDEX(Input!$1:$1048576,BV$93,$C284*2+6)</f>
        <v>5.5E-2</v>
      </c>
      <c r="BW284" s="1">
        <f>INDEX(Input!$1:$1048576,BW$93,$C284*2+6)</f>
        <v>0.06</v>
      </c>
      <c r="BX284" s="127">
        <f>INDEX(Input!$1:$1048576,BX$93,$C284*2+6)</f>
        <v>19985</v>
      </c>
      <c r="BY284" s="20">
        <f>INDEX(Input!$1:$1048576,BY$93,$C284*2+6)</f>
        <v>0.1</v>
      </c>
      <c r="BZ284" s="20">
        <f>INDEX(Input!$1:$1048576,BZ$93,$C284*2+6)</f>
        <v>0.1</v>
      </c>
      <c r="CA284" s="20">
        <f>INDEX(Input!$1:$1048576,CA$93,$C284*2+6)</f>
        <v>0.1</v>
      </c>
      <c r="CB284" s="20">
        <f>INDEX(Input!$1:$1048576,CB$93,$C284*2+6)</f>
        <v>0.1</v>
      </c>
      <c r="CC284" s="20">
        <f>INDEX(Input!$1:$1048576,CC$93,$C284*2+6)</f>
        <v>0.1</v>
      </c>
      <c r="CD284" s="384">
        <f>INDEX(Input!$1:$1048576,CD$93,$C284*2+6)</f>
        <v>0.1</v>
      </c>
      <c r="CE284" s="384">
        <f>INDEX(Input!$1:$1048576,CE$93,$C284*2+6)</f>
        <v>0.1</v>
      </c>
      <c r="CF284" s="384">
        <f>INDEX(Input!$1:$1048576,CF$93,$C284*2+6)</f>
        <v>0.1</v>
      </c>
      <c r="CG284" s="384">
        <f>INDEX(Input!$1:$1048576,CG$93,$C284*2+6)</f>
        <v>0.1</v>
      </c>
      <c r="CH284" s="384">
        <f>INDEX(Input!$1:$1048576,CH$93,$C284*2+6)</f>
        <v>0.1</v>
      </c>
      <c r="CI284" s="304">
        <f t="shared" si="735"/>
        <v>1519.7618664521319</v>
      </c>
      <c r="CJ284" s="16" t="str">
        <f>INDEX(Input!$1:$1048576,CJ$93,$C284*2+6)</f>
        <v>N</v>
      </c>
      <c r="CK284" s="1" t="str">
        <f t="shared" si="736"/>
        <v>Market</v>
      </c>
      <c r="CL284" s="1" t="str">
        <f t="shared" si="737"/>
        <v>Market</v>
      </c>
      <c r="CM284" s="1" t="str">
        <f t="shared" si="738"/>
        <v>Market</v>
      </c>
      <c r="CN284" s="1" t="str">
        <f t="shared" si="739"/>
        <v>Market</v>
      </c>
      <c r="CO284" s="1" t="str">
        <f t="shared" si="740"/>
        <v>Market</v>
      </c>
      <c r="CP284" s="304">
        <f t="shared" si="741"/>
        <v>473</v>
      </c>
      <c r="CQ284" s="1">
        <f t="shared" si="742"/>
        <v>9.0000000000000011E-3</v>
      </c>
      <c r="CR284" s="1">
        <f t="shared" si="743"/>
        <v>9.0000000000000011E-3</v>
      </c>
      <c r="CS284" s="1">
        <f t="shared" si="744"/>
        <v>9.0000000000000011E-3</v>
      </c>
      <c r="CT284" s="1">
        <f t="shared" si="745"/>
        <v>2.8999999999999998E-2</v>
      </c>
      <c r="CU284" s="1">
        <f t="shared" si="746"/>
        <v>3.9E-2</v>
      </c>
      <c r="CV284" s="304">
        <f t="shared" si="747"/>
        <v>56</v>
      </c>
      <c r="CW284" s="20" t="s">
        <v>122</v>
      </c>
      <c r="CX284" s="20" t="s">
        <v>122</v>
      </c>
      <c r="CY284" s="20" t="s">
        <v>122</v>
      </c>
      <c r="CZ284" s="20" t="s">
        <v>122</v>
      </c>
      <c r="DA284" s="20" t="s">
        <v>122</v>
      </c>
      <c r="DB284" s="503">
        <f t="shared" si="748"/>
        <v>0</v>
      </c>
      <c r="DC284" s="127">
        <v>0</v>
      </c>
      <c r="DD284" s="127">
        <v>0</v>
      </c>
      <c r="DE284" s="127">
        <v>0</v>
      </c>
      <c r="DF284" s="127">
        <v>0</v>
      </c>
      <c r="DG284" s="127">
        <v>0</v>
      </c>
      <c r="DH284" s="127">
        <v>0</v>
      </c>
      <c r="DI284" s="127">
        <v>0</v>
      </c>
      <c r="DJ284" s="127">
        <v>0</v>
      </c>
      <c r="DK284" s="127">
        <v>0</v>
      </c>
      <c r="DL284" s="127">
        <v>0</v>
      </c>
      <c r="DM284" s="304">
        <f>INDEX(Input!$1:$1048576,DM$93,$C284*2+6)</f>
        <v>21036.84210526316</v>
      </c>
      <c r="DN284" s="20">
        <v>0</v>
      </c>
      <c r="DO284" s="20">
        <v>0</v>
      </c>
      <c r="DP284" s="20">
        <v>0</v>
      </c>
      <c r="DQ284" s="20">
        <v>0</v>
      </c>
      <c r="DR284" s="20">
        <v>0</v>
      </c>
      <c r="DS284" s="20">
        <f>INDEX(Input!$1:$1048576,DS$93,$C284*2+6)</f>
        <v>0.6</v>
      </c>
      <c r="DT284" s="20">
        <f>INDEX(Input!$1:$1048576,DT$93,$C284*2+6)</f>
        <v>0.55000000000000004</v>
      </c>
      <c r="DU284" s="20">
        <f>INDEX(Input!$1:$1048576,DU$93,$C284*2+6)</f>
        <v>0.52</v>
      </c>
      <c r="DV284" s="20">
        <f>INDEX(Input!$1:$1048576,DV$93,$C284*2+6)</f>
        <v>0.5</v>
      </c>
      <c r="DW284" s="20">
        <f>INDEX(Input!$1:$1048576,DW$93,$C284*2+6)</f>
        <v>0.45</v>
      </c>
      <c r="DX284" s="20"/>
      <c r="DY284" s="7"/>
      <c r="DZ284" s="7"/>
      <c r="EA284" s="7"/>
      <c r="EB284" s="7"/>
      <c r="EC284" s="7"/>
      <c r="ED284" s="7"/>
      <c r="EE284" s="7"/>
      <c r="EF284" s="7"/>
      <c r="EG284" s="7"/>
      <c r="EH284" s="7"/>
      <c r="EI284" s="7"/>
      <c r="EJ284" s="7"/>
      <c r="EK284" s="7"/>
      <c r="EL284" s="7"/>
      <c r="EM284" s="7"/>
      <c r="EN284" s="7"/>
      <c r="EO284" s="7"/>
      <c r="EP284" s="7"/>
      <c r="EQ284" s="7"/>
      <c r="ER284" s="7"/>
      <c r="ES284" s="7"/>
      <c r="ET284" s="7"/>
      <c r="EU284" s="6"/>
      <c r="EV284" s="6"/>
      <c r="EW284" s="6"/>
      <c r="EX284" s="6"/>
      <c r="EY284" s="6"/>
      <c r="EZ284" s="6"/>
      <c r="FA284" s="6"/>
      <c r="FB284" s="6"/>
      <c r="FC284" s="6"/>
      <c r="FD284" s="6"/>
      <c r="FE284" s="6"/>
      <c r="FF284" s="6"/>
      <c r="FG284" s="6"/>
      <c r="FH284" s="6"/>
      <c r="FI284" s="6"/>
      <c r="FJ284" s="6"/>
      <c r="FK284" s="6"/>
      <c r="FL284" s="6"/>
      <c r="FM284" s="6"/>
      <c r="FN284" s="6"/>
      <c r="FO284" s="6"/>
      <c r="FP284" s="6"/>
      <c r="FQ284" s="6"/>
      <c r="FR284" s="6"/>
      <c r="FS284" s="6"/>
      <c r="FT284" s="7"/>
      <c r="FU284" s="7"/>
      <c r="FV284" s="7"/>
      <c r="FW284" s="6"/>
      <c r="FX284" s="6"/>
      <c r="FY284" s="6"/>
      <c r="FZ284" s="6"/>
      <c r="GA284" s="6"/>
      <c r="GB284" s="6"/>
      <c r="GC284" s="7"/>
      <c r="GD284" s="7"/>
      <c r="GE284" s="7"/>
      <c r="GF284" s="7"/>
      <c r="GG284" s="7"/>
      <c r="GH284" s="42"/>
      <c r="GI284" s="6"/>
      <c r="GJ284" s="14"/>
      <c r="GK284" s="14"/>
      <c r="GL284" s="14"/>
      <c r="GM284" s="14"/>
      <c r="GO284" s="5"/>
      <c r="GP284" s="5"/>
      <c r="GQ284" s="5"/>
      <c r="GR284" s="5"/>
      <c r="GS284" s="5"/>
      <c r="GT284" s="5"/>
      <c r="GU284" s="5"/>
      <c r="GV284" s="39"/>
      <c r="GW284" s="5"/>
      <c r="GX284" s="5"/>
      <c r="GY284" s="5"/>
      <c r="GZ284" s="5"/>
      <c r="HA284" s="5"/>
      <c r="HB284" s="39"/>
      <c r="HC284" s="5"/>
      <c r="HD284" s="5"/>
      <c r="HE284" s="5"/>
      <c r="HF284" s="5"/>
      <c r="HG284" s="5"/>
      <c r="HH284" s="39"/>
      <c r="HI284" s="16"/>
      <c r="HJ284" s="19"/>
      <c r="HK284" s="1"/>
      <c r="HL284" s="16"/>
      <c r="HM284" s="1"/>
      <c r="HN284" s="1"/>
      <c r="HO284" s="1"/>
      <c r="HP284" s="1"/>
      <c r="HQ284" s="1"/>
      <c r="HR284" s="1"/>
      <c r="HS284" s="1"/>
      <c r="HT284" s="1"/>
      <c r="HU284" s="1"/>
      <c r="HV284" s="1"/>
      <c r="HW284" s="1"/>
      <c r="HX284" s="1"/>
      <c r="HY284" s="1"/>
      <c r="HZ284" s="1"/>
      <c r="IA284" s="1"/>
      <c r="IB284" s="1"/>
      <c r="IC284" s="1"/>
      <c r="ID284" s="1"/>
      <c r="IE284" s="1"/>
      <c r="IF284" s="1"/>
      <c r="IG284" s="1"/>
      <c r="IH284" s="21"/>
      <c r="II284" s="19"/>
      <c r="IJ284" s="19"/>
      <c r="IK284" s="19"/>
      <c r="IL284" s="19"/>
      <c r="IM284" s="19"/>
      <c r="IN284" s="19"/>
      <c r="IO284" s="39"/>
      <c r="IP284" s="39"/>
      <c r="IQ284" s="39"/>
      <c r="IR284" s="39"/>
      <c r="IS284" s="39"/>
      <c r="IT284" s="39"/>
      <c r="IU284" s="39"/>
      <c r="IV284" s="39"/>
      <c r="IW284" s="39"/>
      <c r="IX284" s="39"/>
      <c r="IY284" s="39"/>
      <c r="IZ284" s="39"/>
      <c r="JA284" s="19"/>
      <c r="JB284" s="19"/>
      <c r="JC284" s="19"/>
      <c r="JD284" s="19"/>
      <c r="JE284" s="21"/>
      <c r="JF284" s="1"/>
      <c r="JG284" s="15"/>
      <c r="JH284" s="1"/>
      <c r="JI284" s="1"/>
      <c r="JJ284" s="1"/>
      <c r="JK284" s="1"/>
      <c r="JL284" s="15"/>
      <c r="JM284" s="15"/>
      <c r="JN284" s="21"/>
      <c r="JO284" s="19"/>
      <c r="JP284" s="19"/>
      <c r="JQ284" s="39"/>
      <c r="JR284" s="39"/>
      <c r="JS284" s="39"/>
      <c r="JT284" s="39"/>
      <c r="JU284" s="385"/>
      <c r="JV284" s="39"/>
      <c r="JW284" s="1"/>
      <c r="JX284" s="19"/>
      <c r="JZ284" s="341"/>
      <c r="KA284" s="342"/>
      <c r="KB284" s="469"/>
      <c r="KI284" s="473"/>
      <c r="KJ284" s="473"/>
      <c r="KK284" s="473"/>
    </row>
    <row r="285" spans="1:307" s="26" customFormat="1" ht="15" outlineLevel="1">
      <c r="A285" s="561">
        <f t="shared" si="799"/>
        <v>2085</v>
      </c>
      <c r="B285" s="561">
        <f t="shared" si="817"/>
        <v>85</v>
      </c>
      <c r="C285" s="561">
        <f t="shared" si="760"/>
        <v>2</v>
      </c>
      <c r="D285" s="561" t="str">
        <f t="shared" ref="D285:D300" si="861">IF(E285=INDEX(E:E,MATCH(C285*1000+2,A:A,0)),"",E285-INDEX(E:E,MATCH(C285*1000+2,A:A,0))&amp;E$100&amp;", ")
&amp;IF(F285=INDEX(F:F,MATCH(C285*1000+2,A:A,0)),"",F285-INDEX(F:F,MATCH(C285*1000+2,A:A,0))&amp;F$100&amp;", ")
&amp;IF(AM285=INDEX(AM:AM,MATCH(C285*1000+2,A:A,0)),"",AM285&amp;AM$100&amp;", ")
&amp;IF(AP285=INDEX(AP:AP,MATCH(C285*1000+2,A:A,0)),"",AP285&amp;AP$100&amp;", ")
&amp;IF(Q285=INDEX(Q:Q,MATCH(C285*1000+2,A:A,0)),"",Q285-INDEX(Q:Q,MATCH(C285*1000+2,A:A,0))&amp;Q$100&amp;", ")
&amp;IF(Y285=INDEX(Y:Y,MATCH(C285*1000+2,A:A,0)),"",Y285-INDEX(Y:Y,MATCH(C285*1000+2,A:A,0))&amp;Y$100&amp;", ")
&amp;IF(Z285=INDEX(Z:Z,MATCH(C285*1000+2,A:A,0)),"",Z285-INDEX(Z:Z,MATCH(C285*1000+2,A:A,0))&amp;Z$100&amp;", ")
&amp;IF(AA285=INDEX(AA:AA,MATCH(C285*1000+2,A:A,0)),"",AA285-INDEX(AA:AA,MATCH(C285*1000+2,A:A,0))&amp;AA$100&amp;", ")
&amp;IF(AC285=INDEX(AC:AC,MATCH(C285*1000+2,A:A,0)),"",AC285-INDEX(AC:AC,MATCH(C285*1000+2,A:A,0))&amp;AC$100&amp;", ")
&amp;IF(AE285=INDEX(AE:AE,MATCH(C285*1000+2,A:A,0)),"",AE285-INDEX(AE:AE,MATCH(C285*1000+2,A:A,0))&amp;AE$100&amp;", ")
&amp;IF(AG285=INDEX(AG:AG,MATCH(C285*1000+2,A:A,0)),"",AG285-INDEX(AG:AG,MATCH(C285*1000+2,A:A,0))&amp;AG$100&amp;", ")
&amp;IF(AI285=INDEX(AI:AI,MATCH(C285*1000+2,A:A,0)),"",AI285-INDEX(AI:AI,MATCH(C285*1000+2,A:A,0))&amp;AI$100&amp;", ")</f>
        <v xml:space="preserve">500 CC, 1.9/2.9/3.9/3.9, </v>
      </c>
      <c r="E285" s="475">
        <f>INDEX(Input!$1:$1048576,E$93,$C285*2+MIN($B285,2)+5)
+INDEX(Scenarios!E$121:E$200,MATCH($B285,Scenarios!$B$121:$B$200,0))</f>
        <v>1769.7618664521319</v>
      </c>
      <c r="F285" s="475">
        <f>INDEX(Input!$1:$1048576,F$93,$C285*2+MIN($B285,2)+5)
+INDEX(Scenarios!F$121:F$200,MATCH($B285,Scenarios!$B$121:$B$200,0))</f>
        <v>0</v>
      </c>
      <c r="G285" s="475">
        <f>INDEX(Input!$1:$1048576,G$93,$C285*2+MIN($B285,2)+5)
+INDEX(Scenarios!G$121:G$200,MATCH($B285,Scenarios!$B$121:$B$200,0))</f>
        <v>0</v>
      </c>
      <c r="H285" s="475">
        <f>INDEX(Input!$1:$1048576,H$93,$C285*2+MIN($B285,2)+5)
+INDEX(Scenarios!H$121:H$200,MATCH($B285,Scenarios!$B$121:$B$200,0))</f>
        <v>0</v>
      </c>
      <c r="I285" s="476">
        <f>INDEX(Input!$1:$1048576,I$93,$C285*2+MIN($B285,2)+5)</f>
        <v>0.7</v>
      </c>
      <c r="J285" s="476" t="str">
        <f>INDEX(Input!$1:$1048576,J$93,$C285*2+MIN($B285,2)+5)</f>
        <v>Market</v>
      </c>
      <c r="K285" s="476" t="str">
        <f>INDEX(Input!$1:$1048576,K$93,$C285*2+MIN($B285,2)+5)</f>
        <v>Market</v>
      </c>
      <c r="L285" s="476" t="str">
        <f>INDEX(Input!$1:$1048576,L$93,$C285*2+MIN($B285,2)+5)</f>
        <v>Market</v>
      </c>
      <c r="M285" s="476" t="str">
        <f>INDEX(Input!$1:$1048576,M$93,$C285*2+MIN($B285,2)+5)</f>
        <v>Market</v>
      </c>
      <c r="N285" s="476" t="str">
        <f>INDEX(Input!$1:$1048576,N$93,$C285*2+MIN($B285,2)+5)</f>
        <v>Market</v>
      </c>
      <c r="O285" s="476" t="str">
        <f>INDEX(Input!$1:$1048576,O$93,$C285*2+MIN($B285,2)+5)</f>
        <v>Market</v>
      </c>
      <c r="P285" s="476" t="str">
        <f>INDEX(Input!$1:$1048576,P$93,$C285*2+MIN($B285,2)+5)</f>
        <v>N</v>
      </c>
      <c r="Q285" s="477">
        <f>INDEX(Input!$1:$1048576,Q$93,$C285*2+MIN($B285,2)+5)
+INDEX(Scenarios!Q$121:Q$200,MATCH($B285,Scenarios!$B$121:$B$200,0))</f>
        <v>0</v>
      </c>
      <c r="R285" s="478">
        <f>IFERROR(MAX(0,INDEX(Input!$1:$1048576,R$93,$C285*2+MIN($B285,2)+5)
+INDEX(Scenarios!R$121:R$200,MATCH($B285,Scenarios!$B$121:$B$200,0)),),"Market")</f>
        <v>1.9E-2</v>
      </c>
      <c r="S285" s="478">
        <f>IFERROR(MAX(0,INDEX(Input!$1:$1048576,S$93,$C285*2+MIN($B285,2)+5)
+INDEX(Scenarios!S$121:S$200,MATCH($B285,Scenarios!$B$121:$B$200,0)),),"Market")</f>
        <v>1.9E-2</v>
      </c>
      <c r="T285" s="478">
        <f>IFERROR(MAX(0,INDEX(Input!$1:$1048576,T$93,$C285*2+MIN($B285,2)+5)
+INDEX(Scenarios!T$121:T$200,MATCH($B285,Scenarios!$B$121:$B$200,0)),),"Market")</f>
        <v>1.9E-2</v>
      </c>
      <c r="U285" s="478">
        <f>IFERROR(MAX(0,INDEX(Input!$1:$1048576,U$93,$C285*2+MIN($B285,2)+5)
+INDEX(Scenarios!U$121:U$200,MATCH($B285,Scenarios!$B$121:$B$200,0)),),"Market")</f>
        <v>1.9E-2</v>
      </c>
      <c r="V285" s="478">
        <f>IFERROR(MAX(0,INDEX(Input!$1:$1048576,V$93,$C285*2+MIN($B285,2)+5)
+INDEX(Scenarios!V$121:V$200,MATCH($B285,Scenarios!$B$121:$B$200,0)),),"Market")</f>
        <v>3.9E-2</v>
      </c>
      <c r="W285" s="885">
        <f>IFERROR(MAX(0,INDEX(Input!$1:$1048576,W$93,$C285*2+MIN($B285,2)+5)-0%,),"Market")</f>
        <v>3.9E-2</v>
      </c>
      <c r="X285" s="476" t="str">
        <f>INDEX(Input!$1:$1048576,X$93,$C285*2+MIN($B285,2)+5)</f>
        <v>Y</v>
      </c>
      <c r="Y285" s="475">
        <f>INDEX(Input!$1:$1048576,Y$93,$C285*2+MIN($B285,2)+5)
++INDEX(Scenarios!Y$121:Y$200,MATCH($B285,Scenarios!$B$121:$B$200,0))</f>
        <v>56</v>
      </c>
      <c r="Z285" s="477">
        <f>INDEX(Input!$1:$1048576,Z$93,$C285*2+MIN($B285,2)+5)
+INDEX(Scenarios!Z$121:Z$200,MATCH($B285,Scenarios!$B$121:$B$200,0))</f>
        <v>0</v>
      </c>
      <c r="AA285" s="475">
        <f>INDEX(Input!$1:$1048576,AA$93,$C285*2+MIN($B285,2)+5)
+INDEX(Scenarios!AA$121:AA$200,MATCH($B285,Scenarios!$B$121:$B$200,0))</f>
        <v>0</v>
      </c>
      <c r="AB285" s="476">
        <f>INDEX(Input!$1:$1048576,AB$93,$C285*2+MIN($B285,2)+5)</f>
        <v>0.27</v>
      </c>
      <c r="AC285" s="475">
        <f>INDEX(Input!$1:$1048576,AC$93,$C285*2+MIN($B285,2)+5)
+INDEX(Scenarios!AC$121:AC$200,MATCH($B285,Scenarios!$B$121:$B$200,0))</f>
        <v>0</v>
      </c>
      <c r="AD285" s="476">
        <f>INDEX(Input!$1:$1048576,AD$93,$C285*2+MIN($B285,2)+5)</f>
        <v>0.27</v>
      </c>
      <c r="AE285" s="475">
        <f>INDEX(Input!$1:$1048576,AE$93,$C285*2+MIN($B285,2)+5)
+INDEX(Scenarios!AE$121:AE$200,MATCH($B285,Scenarios!$B$121:$B$200,0))</f>
        <v>0</v>
      </c>
      <c r="AF285" s="476">
        <f>INDEX(Input!$1:$1048576,AF$93,$C285*2+MIN($B285,2)+5)</f>
        <v>4.8000000000000001E-2</v>
      </c>
      <c r="AG285" s="475">
        <f>INDEX(Input!$1:$1048576,AG$93,$C285*2+MIN($B285,2)+5)
+INDEX(Scenarios!AG$121:AG$200,MATCH($B285,Scenarios!$B$121:$B$200,0))</f>
        <v>500</v>
      </c>
      <c r="AH285" s="476">
        <f>INDEX(Input!$1:$1048576,AH$93,$C285*2+MIN($B285,2)+5)</f>
        <v>0.94599999999999995</v>
      </c>
      <c r="AI285" s="475">
        <f>INDEX(Input!$1:$1048576,AI$93,$C285*2+MIN($B285,2)+5)
+INDEX(Scenarios!AI$121:AI$200,MATCH($B285,Scenarios!$B$121:$B$200,0))</f>
        <v>0</v>
      </c>
      <c r="AJ285" s="476">
        <f>INDEX(Input!$1:$1048576,AJ$93,$C285*2+MIN($B285,2)+5)</f>
        <v>0.27</v>
      </c>
      <c r="AK285" s="150">
        <f>ROUND(INDEX(Input!$1:$1048576,AK$93,$C284*2+MIN($B285,1)+5)+(Y285-VLOOKUP($C285*1000+1,$A:$HH,Y$92,FALSE)),0)</f>
        <v>2977</v>
      </c>
      <c r="AL285" s="150">
        <f>ROUND(INDEX(Input!$1:$1048576,AL$93,$C284*2+MIN($B285,1)+5)-(Y285-VLOOKUP($C285*1000+1,$A:$HH,Y$92,FALSE))/36,0)</f>
        <v>3395</v>
      </c>
      <c r="AM285" s="32" t="str">
        <f t="shared" si="800"/>
        <v>std/std/std/std</v>
      </c>
      <c r="AN285" s="32" t="str">
        <f t="shared" si="801"/>
        <v>$0 + 1.9/1.9/1.9/3.9/3.9</v>
      </c>
      <c r="AO285" s="32" t="str">
        <f t="shared" si="802"/>
        <v>1.9/1.9/1.9/3.9/3.9</v>
      </c>
      <c r="AP285" s="32" t="str">
        <f t="shared" si="734"/>
        <v>1.9/2.9/3.9/3.9</v>
      </c>
      <c r="AQ285" s="536">
        <f t="shared" si="733"/>
        <v>0</v>
      </c>
      <c r="AR285" s="32"/>
      <c r="AS285" s="302"/>
      <c r="AT285" s="3">
        <f t="shared" si="856"/>
        <v>85</v>
      </c>
      <c r="AU285" s="41" t="s">
        <v>121</v>
      </c>
      <c r="AV285" s="41" t="s">
        <v>116</v>
      </c>
      <c r="AW285" s="41" t="str">
        <f>INDEX(Input!$1:$1048576,AW$93,$C285*2+6)</f>
        <v>Kia</v>
      </c>
      <c r="AX285" s="41" t="str">
        <f>INDEX(Input!$1:$1048576,AX$93,$C285*2+6)</f>
        <v>Kia-LR - L2</v>
      </c>
      <c r="AY285" s="41" t="str">
        <f>IF(LEN(D285)=0,"",INDEX(Input!$1:$1048576,AY$93,$C285*2+6))</f>
        <v>Compact SUV (52)</v>
      </c>
      <c r="AZ285" s="41" t="str">
        <f>INDEX(Input!$1:$1048576,AZ$93,$C285*2+6)</f>
        <v>Kia Soul</v>
      </c>
      <c r="BA285" s="3">
        <f>INDEX(Input!$1:$1048576,BA$93,$C285*2+6)</f>
        <v>2020</v>
      </c>
      <c r="BB285" s="128">
        <f>INDEX(Input!$1:$1048576,BB$93,$C285*2+6)</f>
        <v>1</v>
      </c>
      <c r="BC285" s="128">
        <f>INDEX(Input!$1:$1048576,BC$93,$C285*2+6)</f>
        <v>0.7</v>
      </c>
      <c r="BD285" s="1">
        <f>INDEX(Input!$1:$1048576,BD$93,$C285*2+6)</f>
        <v>4.4999999999999998E-2</v>
      </c>
      <c r="BE285" s="1">
        <f>INDEX(Input!$1:$1048576,BE$93,$C285*2+6)</f>
        <v>4.4999999999999998E-2</v>
      </c>
      <c r="BF285" s="1">
        <f>INDEX(Input!$1:$1048576,BF$93,$C285*2+6)</f>
        <v>0.05</v>
      </c>
      <c r="BG285" s="1">
        <f>INDEX(Input!$1:$1048576,BG$93,$C285*2+6)</f>
        <v>5.45E-2</v>
      </c>
      <c r="BH285" s="1">
        <f>INDEX(Input!$1:$1048576,BH$93,$C285*2+6)</f>
        <v>5.45E-2</v>
      </c>
      <c r="BI285" s="1">
        <f>INDEX(Input!$1:$1048576,BI$93,$C285*2+6)</f>
        <v>0.05</v>
      </c>
      <c r="BJ285" s="1">
        <f>INDEX(Input!$1:$1048576,BJ$93,$C285*2+6)</f>
        <v>0.05</v>
      </c>
      <c r="BK285" s="1">
        <f>INDEX(Input!$1:$1048576,BK$93,$C285*2+6)</f>
        <v>0.05</v>
      </c>
      <c r="BL285" s="1">
        <f>INDEX(Input!$1:$1048576,BL$93,$C285*2+6)</f>
        <v>5.5E-2</v>
      </c>
      <c r="BM285" s="1">
        <f>INDEX(Input!$1:$1048576,BM$93,$C285*2+6)</f>
        <v>0.06</v>
      </c>
      <c r="BN285" s="1">
        <f>INDEX(Input!$1:$1048576,BN$93,$C285*2+6)</f>
        <v>4.4999999999999998E-2</v>
      </c>
      <c r="BO285" s="1">
        <f>INDEX(Input!$1:$1048576,BO$93,$C285*2+6)</f>
        <v>4.4999999999999998E-2</v>
      </c>
      <c r="BP285" s="1">
        <f>INDEX(Input!$1:$1048576,BP$93,$C285*2+6)</f>
        <v>0.05</v>
      </c>
      <c r="BQ285" s="1">
        <f>INDEX(Input!$1:$1048576,BQ$93,$C285*2+6)</f>
        <v>5.45E-2</v>
      </c>
      <c r="BR285" s="1">
        <f>INDEX(Input!$1:$1048576,BR$93,$C285*2+6)</f>
        <v>5.45E-2</v>
      </c>
      <c r="BS285" s="1">
        <f>INDEX(Input!$1:$1048576,BS$93,$C285*2+6)</f>
        <v>0.05</v>
      </c>
      <c r="BT285" s="1">
        <f>INDEX(Input!$1:$1048576,BT$93,$C285*2+6)</f>
        <v>0.05</v>
      </c>
      <c r="BU285" s="1">
        <f>INDEX(Input!$1:$1048576,BU$93,$C285*2+6)</f>
        <v>0.05</v>
      </c>
      <c r="BV285" s="1">
        <f>INDEX(Input!$1:$1048576,BV$93,$C285*2+6)</f>
        <v>5.5E-2</v>
      </c>
      <c r="BW285" s="1">
        <f>INDEX(Input!$1:$1048576,BW$93,$C285*2+6)</f>
        <v>0.06</v>
      </c>
      <c r="BX285" s="127">
        <f>INDEX(Input!$1:$1048576,BX$93,$C285*2+6)</f>
        <v>19985</v>
      </c>
      <c r="BY285" s="20">
        <f>INDEX(Input!$1:$1048576,BY$93,$C285*2+6)</f>
        <v>0.1</v>
      </c>
      <c r="BZ285" s="20">
        <f>INDEX(Input!$1:$1048576,BZ$93,$C285*2+6)</f>
        <v>0.1</v>
      </c>
      <c r="CA285" s="20">
        <f>INDEX(Input!$1:$1048576,CA$93,$C285*2+6)</f>
        <v>0.1</v>
      </c>
      <c r="CB285" s="20">
        <f>INDEX(Input!$1:$1048576,CB$93,$C285*2+6)</f>
        <v>0.1</v>
      </c>
      <c r="CC285" s="20">
        <f>INDEX(Input!$1:$1048576,CC$93,$C285*2+6)</f>
        <v>0.1</v>
      </c>
      <c r="CD285" s="384">
        <f>INDEX(Input!$1:$1048576,CD$93,$C285*2+6)</f>
        <v>0.1</v>
      </c>
      <c r="CE285" s="384">
        <f>INDEX(Input!$1:$1048576,CE$93,$C285*2+6)</f>
        <v>0.1</v>
      </c>
      <c r="CF285" s="384">
        <f>INDEX(Input!$1:$1048576,CF$93,$C285*2+6)</f>
        <v>0.1</v>
      </c>
      <c r="CG285" s="384">
        <f>INDEX(Input!$1:$1048576,CG$93,$C285*2+6)</f>
        <v>0.1</v>
      </c>
      <c r="CH285" s="384">
        <f>INDEX(Input!$1:$1048576,CH$93,$C285*2+6)</f>
        <v>0.1</v>
      </c>
      <c r="CI285" s="304">
        <f t="shared" si="735"/>
        <v>1769.7618664521319</v>
      </c>
      <c r="CJ285" s="16" t="str">
        <f>INDEX(Input!$1:$1048576,CJ$93,$C285*2+6)</f>
        <v>N</v>
      </c>
      <c r="CK285" s="1" t="str">
        <f t="shared" si="736"/>
        <v>Market</v>
      </c>
      <c r="CL285" s="1" t="str">
        <f t="shared" si="737"/>
        <v>Market</v>
      </c>
      <c r="CM285" s="1" t="str">
        <f t="shared" si="738"/>
        <v>Market</v>
      </c>
      <c r="CN285" s="1" t="str">
        <f t="shared" si="739"/>
        <v>Market</v>
      </c>
      <c r="CO285" s="1" t="str">
        <f t="shared" si="740"/>
        <v>Market</v>
      </c>
      <c r="CP285" s="304">
        <f t="shared" si="741"/>
        <v>473</v>
      </c>
      <c r="CQ285" s="1">
        <f t="shared" si="742"/>
        <v>1.9E-2</v>
      </c>
      <c r="CR285" s="1">
        <f t="shared" si="743"/>
        <v>1.9E-2</v>
      </c>
      <c r="CS285" s="1">
        <f t="shared" si="744"/>
        <v>1.9E-2</v>
      </c>
      <c r="CT285" s="1">
        <f t="shared" si="745"/>
        <v>3.9E-2</v>
      </c>
      <c r="CU285" s="1">
        <f t="shared" si="746"/>
        <v>3.9E-2</v>
      </c>
      <c r="CV285" s="304">
        <f t="shared" si="747"/>
        <v>56</v>
      </c>
      <c r="CW285" s="20" t="s">
        <v>122</v>
      </c>
      <c r="CX285" s="20" t="s">
        <v>122</v>
      </c>
      <c r="CY285" s="20" t="s">
        <v>122</v>
      </c>
      <c r="CZ285" s="20" t="s">
        <v>122</v>
      </c>
      <c r="DA285" s="20" t="s">
        <v>122</v>
      </c>
      <c r="DB285" s="503">
        <f t="shared" si="748"/>
        <v>0</v>
      </c>
      <c r="DC285" s="127">
        <v>0</v>
      </c>
      <c r="DD285" s="127">
        <v>0</v>
      </c>
      <c r="DE285" s="127">
        <v>0</v>
      </c>
      <c r="DF285" s="127">
        <v>0</v>
      </c>
      <c r="DG285" s="127">
        <v>0</v>
      </c>
      <c r="DH285" s="127">
        <v>0</v>
      </c>
      <c r="DI285" s="127">
        <v>0</v>
      </c>
      <c r="DJ285" s="127">
        <v>0</v>
      </c>
      <c r="DK285" s="127">
        <v>0</v>
      </c>
      <c r="DL285" s="127">
        <v>0</v>
      </c>
      <c r="DM285" s="304">
        <f>INDEX(Input!$1:$1048576,DM$93,$C285*2+6)</f>
        <v>21036.84210526316</v>
      </c>
      <c r="DN285" s="20">
        <v>0</v>
      </c>
      <c r="DO285" s="20">
        <v>0</v>
      </c>
      <c r="DP285" s="20">
        <v>0</v>
      </c>
      <c r="DQ285" s="20">
        <v>0</v>
      </c>
      <c r="DR285" s="20">
        <v>0</v>
      </c>
      <c r="DS285" s="20">
        <f>INDEX(Input!$1:$1048576,DS$93,$C285*2+6)</f>
        <v>0.6</v>
      </c>
      <c r="DT285" s="20">
        <f>INDEX(Input!$1:$1048576,DT$93,$C285*2+6)</f>
        <v>0.55000000000000004</v>
      </c>
      <c r="DU285" s="20">
        <f>INDEX(Input!$1:$1048576,DU$93,$C285*2+6)</f>
        <v>0.52</v>
      </c>
      <c r="DV285" s="20">
        <f>INDEX(Input!$1:$1048576,DV$93,$C285*2+6)</f>
        <v>0.5</v>
      </c>
      <c r="DW285" s="20">
        <f>INDEX(Input!$1:$1048576,DW$93,$C285*2+6)</f>
        <v>0.45</v>
      </c>
      <c r="DX285" s="20"/>
      <c r="DY285" s="7"/>
      <c r="DZ285" s="7"/>
      <c r="EA285" s="7"/>
      <c r="EB285" s="7"/>
      <c r="EC285" s="7"/>
      <c r="ED285" s="7"/>
      <c r="EE285" s="7"/>
      <c r="EF285" s="7"/>
      <c r="EG285" s="7"/>
      <c r="EH285" s="7"/>
      <c r="EI285" s="7"/>
      <c r="EJ285" s="7"/>
      <c r="EK285" s="7"/>
      <c r="EL285" s="7"/>
      <c r="EM285" s="7"/>
      <c r="EN285" s="7"/>
      <c r="EO285" s="7"/>
      <c r="EP285" s="7"/>
      <c r="EQ285" s="7"/>
      <c r="ER285" s="7"/>
      <c r="ES285" s="7"/>
      <c r="ET285" s="7"/>
      <c r="EU285" s="6"/>
      <c r="EV285" s="6"/>
      <c r="EW285" s="6"/>
      <c r="EX285" s="6"/>
      <c r="EY285" s="6"/>
      <c r="EZ285" s="6"/>
      <c r="FA285" s="6"/>
      <c r="FB285" s="6"/>
      <c r="FC285" s="6"/>
      <c r="FD285" s="6"/>
      <c r="FE285" s="6"/>
      <c r="FF285" s="6"/>
      <c r="FG285" s="6"/>
      <c r="FH285" s="6"/>
      <c r="FI285" s="6"/>
      <c r="FJ285" s="6"/>
      <c r="FK285" s="6"/>
      <c r="FL285" s="6"/>
      <c r="FM285" s="6"/>
      <c r="FN285" s="6"/>
      <c r="FO285" s="6"/>
      <c r="FP285" s="6"/>
      <c r="FQ285" s="6"/>
      <c r="FR285" s="6"/>
      <c r="FS285" s="6"/>
      <c r="FT285" s="7"/>
      <c r="FU285" s="7"/>
      <c r="FV285" s="7"/>
      <c r="FW285" s="6"/>
      <c r="FX285" s="6"/>
      <c r="FY285" s="6"/>
      <c r="FZ285" s="6"/>
      <c r="GA285" s="6"/>
      <c r="GB285" s="6"/>
      <c r="GC285" s="7"/>
      <c r="GD285" s="7"/>
      <c r="GE285" s="7"/>
      <c r="GF285" s="7"/>
      <c r="GG285" s="7"/>
      <c r="GH285" s="42"/>
      <c r="GI285" s="6"/>
      <c r="GJ285" s="14"/>
      <c r="GK285" s="14"/>
      <c r="GL285" s="14"/>
      <c r="GM285" s="14"/>
      <c r="GO285" s="5"/>
      <c r="GP285" s="5"/>
      <c r="GQ285" s="5"/>
      <c r="GR285" s="5"/>
      <c r="GS285" s="5"/>
      <c r="GT285" s="5"/>
      <c r="GU285" s="5"/>
      <c r="GV285" s="39"/>
      <c r="GW285" s="5"/>
      <c r="GX285" s="5"/>
      <c r="GY285" s="5"/>
      <c r="GZ285" s="5"/>
      <c r="HA285" s="5"/>
      <c r="HB285" s="39"/>
      <c r="HC285" s="5"/>
      <c r="HD285" s="5"/>
      <c r="HE285" s="5"/>
      <c r="HF285" s="5"/>
      <c r="HG285" s="5"/>
      <c r="HH285" s="39"/>
      <c r="HI285" s="16"/>
      <c r="HJ285" s="19"/>
      <c r="HK285" s="1"/>
      <c r="HL285" s="16"/>
      <c r="HM285" s="1"/>
      <c r="HN285" s="1"/>
      <c r="HO285" s="1"/>
      <c r="HP285" s="1"/>
      <c r="HQ285" s="1"/>
      <c r="HR285" s="1"/>
      <c r="HS285" s="1"/>
      <c r="HT285" s="1"/>
      <c r="HU285" s="1"/>
      <c r="HV285" s="1"/>
      <c r="HW285" s="1"/>
      <c r="HX285" s="1"/>
      <c r="HY285" s="1"/>
      <c r="HZ285" s="1"/>
      <c r="IA285" s="1"/>
      <c r="IB285" s="1"/>
      <c r="IC285" s="1"/>
      <c r="ID285" s="1"/>
      <c r="IE285" s="1"/>
      <c r="IF285" s="1"/>
      <c r="IG285" s="1"/>
      <c r="IH285" s="21"/>
      <c r="II285" s="19"/>
      <c r="IJ285" s="19"/>
      <c r="IK285" s="19"/>
      <c r="IL285" s="19"/>
      <c r="IM285" s="19"/>
      <c r="IN285" s="19"/>
      <c r="IO285" s="39"/>
      <c r="IP285" s="39"/>
      <c r="IQ285" s="39"/>
      <c r="IR285" s="39"/>
      <c r="IS285" s="39"/>
      <c r="IT285" s="39"/>
      <c r="IU285" s="39"/>
      <c r="IV285" s="39"/>
      <c r="IW285" s="39"/>
      <c r="IX285" s="39"/>
      <c r="IY285" s="39"/>
      <c r="IZ285" s="39"/>
      <c r="JA285" s="19"/>
      <c r="JB285" s="19"/>
      <c r="JC285" s="19"/>
      <c r="JD285" s="19"/>
      <c r="JE285" s="21"/>
      <c r="JF285" s="1"/>
      <c r="JG285" s="15"/>
      <c r="JH285" s="1"/>
      <c r="JI285" s="1"/>
      <c r="JJ285" s="1"/>
      <c r="JK285" s="1"/>
      <c r="JL285" s="15"/>
      <c r="JM285" s="15"/>
      <c r="JN285" s="21"/>
      <c r="JO285" s="19"/>
      <c r="JP285" s="19"/>
      <c r="JQ285" s="39"/>
      <c r="JR285" s="39"/>
      <c r="JS285" s="39"/>
      <c r="JT285" s="39"/>
      <c r="JU285" s="385"/>
      <c r="JV285" s="39"/>
      <c r="JW285" s="1"/>
      <c r="JX285" s="19"/>
      <c r="JZ285" s="341"/>
      <c r="KA285" s="342"/>
      <c r="KB285" s="469"/>
      <c r="KI285" s="473"/>
      <c r="KJ285" s="473"/>
      <c r="KK285" s="473"/>
    </row>
    <row r="286" spans="1:307" s="26" customFormat="1" ht="15" outlineLevel="1">
      <c r="A286" s="561">
        <f t="shared" si="799"/>
        <v>2086</v>
      </c>
      <c r="B286" s="561">
        <f t="shared" si="817"/>
        <v>86</v>
      </c>
      <c r="C286" s="561">
        <f t="shared" si="760"/>
        <v>2</v>
      </c>
      <c r="D286" s="561" t="str">
        <f t="shared" si="861"/>
        <v xml:space="preserve">-250 CC, 0/0/0.9/3.9, </v>
      </c>
      <c r="E286" s="475">
        <f>INDEX(Input!$1:$1048576,E$93,$C286*2+MIN($B286,2)+5)
+INDEX(Scenarios!E$121:E$200,MATCH($B286,Scenarios!$B$121:$B$200,0))</f>
        <v>1019.7618664521319</v>
      </c>
      <c r="F286" s="475">
        <f>INDEX(Input!$1:$1048576,F$93,$C286*2+MIN($B286,2)+5)
+INDEX(Scenarios!F$121:F$200,MATCH($B286,Scenarios!$B$121:$B$200,0))</f>
        <v>0</v>
      </c>
      <c r="G286" s="475">
        <f>INDEX(Input!$1:$1048576,G$93,$C286*2+MIN($B286,2)+5)
+INDEX(Scenarios!G$121:G$200,MATCH($B286,Scenarios!$B$121:$B$200,0))</f>
        <v>0</v>
      </c>
      <c r="H286" s="475">
        <f>INDEX(Input!$1:$1048576,H$93,$C286*2+MIN($B286,2)+5)
+INDEX(Scenarios!H$121:H$200,MATCH($B286,Scenarios!$B$121:$B$200,0))</f>
        <v>0</v>
      </c>
      <c r="I286" s="476">
        <f>INDEX(Input!$1:$1048576,I$93,$C286*2+MIN($B286,2)+5)</f>
        <v>0.7</v>
      </c>
      <c r="J286" s="476" t="str">
        <f>INDEX(Input!$1:$1048576,J$93,$C286*2+MIN($B286,2)+5)</f>
        <v>Market</v>
      </c>
      <c r="K286" s="476" t="str">
        <f>INDEX(Input!$1:$1048576,K$93,$C286*2+MIN($B286,2)+5)</f>
        <v>Market</v>
      </c>
      <c r="L286" s="476" t="str">
        <f>INDEX(Input!$1:$1048576,L$93,$C286*2+MIN($B286,2)+5)</f>
        <v>Market</v>
      </c>
      <c r="M286" s="476" t="str">
        <f>INDEX(Input!$1:$1048576,M$93,$C286*2+MIN($B286,2)+5)</f>
        <v>Market</v>
      </c>
      <c r="N286" s="476" t="str">
        <f>INDEX(Input!$1:$1048576,N$93,$C286*2+MIN($B286,2)+5)</f>
        <v>Market</v>
      </c>
      <c r="O286" s="476" t="str">
        <f>INDEX(Input!$1:$1048576,O$93,$C286*2+MIN($B286,2)+5)</f>
        <v>Market</v>
      </c>
      <c r="P286" s="476" t="str">
        <f>INDEX(Input!$1:$1048576,P$93,$C286*2+MIN($B286,2)+5)</f>
        <v>N</v>
      </c>
      <c r="Q286" s="477">
        <f>INDEX(Input!$1:$1048576,Q$93,$C286*2+MIN($B286,2)+5)
+INDEX(Scenarios!Q$121:Q$200,MATCH($B286,Scenarios!$B$121:$B$200,0))</f>
        <v>0</v>
      </c>
      <c r="R286" s="478">
        <f>IFERROR(MAX(0,INDEX(Input!$1:$1048576,R$93,$C286*2+MIN($B286,2)+5)
+INDEX(Scenarios!R$121:R$200,MATCH($B286,Scenarios!$B$121:$B$200,0)),),"Market")</f>
        <v>0</v>
      </c>
      <c r="S286" s="478">
        <f>IFERROR(MAX(0,INDEX(Input!$1:$1048576,S$93,$C286*2+MIN($B286,2)+5)
+INDEX(Scenarios!S$121:S$200,MATCH($B286,Scenarios!$B$121:$B$200,0)),),"Market")</f>
        <v>0</v>
      </c>
      <c r="T286" s="478">
        <f>IFERROR(MAX(0,INDEX(Input!$1:$1048576,T$93,$C286*2+MIN($B286,2)+5)
+INDEX(Scenarios!T$121:T$200,MATCH($B286,Scenarios!$B$121:$B$200,0)),),"Market")</f>
        <v>0</v>
      </c>
      <c r="U286" s="478">
        <f>IFERROR(MAX(0,INDEX(Input!$1:$1048576,U$93,$C286*2+MIN($B286,2)+5)
+INDEX(Scenarios!U$121:U$200,MATCH($B286,Scenarios!$B$121:$B$200,0)),),"Market")</f>
        <v>0</v>
      </c>
      <c r="V286" s="478">
        <f>IFERROR(MAX(0,INDEX(Input!$1:$1048576,V$93,$C286*2+MIN($B286,2)+5)
+INDEX(Scenarios!V$121:V$200,MATCH($B286,Scenarios!$B$121:$B$200,0)),),"Market")</f>
        <v>8.9999999999999993E-3</v>
      </c>
      <c r="W286" s="885">
        <f>IFERROR(MAX(0,INDEX(Input!$1:$1048576,W$93,$C286*2+MIN($B286,2)+5)-0%,),"Market")</f>
        <v>3.9E-2</v>
      </c>
      <c r="X286" s="476" t="str">
        <f>INDEX(Input!$1:$1048576,X$93,$C286*2+MIN($B286,2)+5)</f>
        <v>Y</v>
      </c>
      <c r="Y286" s="475">
        <f>INDEX(Input!$1:$1048576,Y$93,$C286*2+MIN($B286,2)+5)
++INDEX(Scenarios!Y$121:Y$200,MATCH($B286,Scenarios!$B$121:$B$200,0))</f>
        <v>56</v>
      </c>
      <c r="Z286" s="477">
        <f>INDEX(Input!$1:$1048576,Z$93,$C286*2+MIN($B286,2)+5)
+INDEX(Scenarios!Z$121:Z$200,MATCH($B286,Scenarios!$B$121:$B$200,0))</f>
        <v>0</v>
      </c>
      <c r="AA286" s="475">
        <f>INDEX(Input!$1:$1048576,AA$93,$C286*2+MIN($B286,2)+5)
+INDEX(Scenarios!AA$121:AA$200,MATCH($B286,Scenarios!$B$121:$B$200,0))</f>
        <v>0</v>
      </c>
      <c r="AB286" s="476">
        <f>INDEX(Input!$1:$1048576,AB$93,$C286*2+MIN($B286,2)+5)</f>
        <v>0.27</v>
      </c>
      <c r="AC286" s="475">
        <f>INDEX(Input!$1:$1048576,AC$93,$C286*2+MIN($B286,2)+5)
+INDEX(Scenarios!AC$121:AC$200,MATCH($B286,Scenarios!$B$121:$B$200,0))</f>
        <v>0</v>
      </c>
      <c r="AD286" s="476">
        <f>INDEX(Input!$1:$1048576,AD$93,$C286*2+MIN($B286,2)+5)</f>
        <v>0.27</v>
      </c>
      <c r="AE286" s="475">
        <f>INDEX(Input!$1:$1048576,AE$93,$C286*2+MIN($B286,2)+5)
+INDEX(Scenarios!AE$121:AE$200,MATCH($B286,Scenarios!$B$121:$B$200,0))</f>
        <v>0</v>
      </c>
      <c r="AF286" s="476">
        <f>INDEX(Input!$1:$1048576,AF$93,$C286*2+MIN($B286,2)+5)</f>
        <v>4.8000000000000001E-2</v>
      </c>
      <c r="AG286" s="475">
        <f>INDEX(Input!$1:$1048576,AG$93,$C286*2+MIN($B286,2)+5)
+INDEX(Scenarios!AG$121:AG$200,MATCH($B286,Scenarios!$B$121:$B$200,0))</f>
        <v>500</v>
      </c>
      <c r="AH286" s="476">
        <f>INDEX(Input!$1:$1048576,AH$93,$C286*2+MIN($B286,2)+5)</f>
        <v>0.94599999999999995</v>
      </c>
      <c r="AI286" s="475">
        <f>INDEX(Input!$1:$1048576,AI$93,$C286*2+MIN($B286,2)+5)
+INDEX(Scenarios!AI$121:AI$200,MATCH($B286,Scenarios!$B$121:$B$200,0))</f>
        <v>0</v>
      </c>
      <c r="AJ286" s="476">
        <f>INDEX(Input!$1:$1048576,AJ$93,$C286*2+MIN($B286,2)+5)</f>
        <v>0.27</v>
      </c>
      <c r="AK286" s="150">
        <f>ROUND(INDEX(Input!$1:$1048576,AK$93,$C285*2+MIN($B286,1)+5)+(Y286-VLOOKUP($C286*1000+1,$A:$HH,Y$92,FALSE)),0)</f>
        <v>2977</v>
      </c>
      <c r="AL286" s="150">
        <f>ROUND(INDEX(Input!$1:$1048576,AL$93,$C285*2+MIN($B286,1)+5)-(Y286-VLOOKUP($C286*1000+1,$A:$HH,Y$92,FALSE))/36,0)</f>
        <v>3395</v>
      </c>
      <c r="AM286" s="32" t="str">
        <f t="shared" si="800"/>
        <v>std/std/std/std</v>
      </c>
      <c r="AN286" s="32" t="str">
        <f t="shared" si="801"/>
        <v>$0 + 0/0/0/0.9/3.9</v>
      </c>
      <c r="AO286" s="32" t="str">
        <f t="shared" si="802"/>
        <v>0/0/0/0.9/3.9</v>
      </c>
      <c r="AP286" s="32" t="str">
        <f t="shared" si="734"/>
        <v>0/0/0.9/3.9</v>
      </c>
      <c r="AQ286" s="536">
        <f t="shared" si="733"/>
        <v>0</v>
      </c>
      <c r="AR286" s="32"/>
      <c r="AS286" s="302"/>
      <c r="AT286" s="3">
        <f t="shared" si="856"/>
        <v>86</v>
      </c>
      <c r="AU286" s="41" t="s">
        <v>121</v>
      </c>
      <c r="AV286" s="41" t="s">
        <v>116</v>
      </c>
      <c r="AW286" s="41" t="str">
        <f>INDEX(Input!$1:$1048576,AW$93,$C286*2+6)</f>
        <v>Kia</v>
      </c>
      <c r="AX286" s="41" t="str">
        <f>INDEX(Input!$1:$1048576,AX$93,$C286*2+6)</f>
        <v>Kia-LR - L2</v>
      </c>
      <c r="AY286" s="41" t="str">
        <f>IF(LEN(D286)=0,"",INDEX(Input!$1:$1048576,AY$93,$C286*2+6))</f>
        <v>Compact SUV (52)</v>
      </c>
      <c r="AZ286" s="41" t="str">
        <f>INDEX(Input!$1:$1048576,AZ$93,$C286*2+6)</f>
        <v>Kia Soul</v>
      </c>
      <c r="BA286" s="3">
        <f>INDEX(Input!$1:$1048576,BA$93,$C286*2+6)</f>
        <v>2020</v>
      </c>
      <c r="BB286" s="128">
        <f>INDEX(Input!$1:$1048576,BB$93,$C286*2+6)</f>
        <v>1</v>
      </c>
      <c r="BC286" s="128">
        <f>INDEX(Input!$1:$1048576,BC$93,$C286*2+6)</f>
        <v>0.7</v>
      </c>
      <c r="BD286" s="1">
        <f>INDEX(Input!$1:$1048576,BD$93,$C286*2+6)</f>
        <v>4.4999999999999998E-2</v>
      </c>
      <c r="BE286" s="1">
        <f>INDEX(Input!$1:$1048576,BE$93,$C286*2+6)</f>
        <v>4.4999999999999998E-2</v>
      </c>
      <c r="BF286" s="1">
        <f>INDEX(Input!$1:$1048576,BF$93,$C286*2+6)</f>
        <v>0.05</v>
      </c>
      <c r="BG286" s="1">
        <f>INDEX(Input!$1:$1048576,BG$93,$C286*2+6)</f>
        <v>5.45E-2</v>
      </c>
      <c r="BH286" s="1">
        <f>INDEX(Input!$1:$1048576,BH$93,$C286*2+6)</f>
        <v>5.45E-2</v>
      </c>
      <c r="BI286" s="1">
        <f>INDEX(Input!$1:$1048576,BI$93,$C286*2+6)</f>
        <v>0.05</v>
      </c>
      <c r="BJ286" s="1">
        <f>INDEX(Input!$1:$1048576,BJ$93,$C286*2+6)</f>
        <v>0.05</v>
      </c>
      <c r="BK286" s="1">
        <f>INDEX(Input!$1:$1048576,BK$93,$C286*2+6)</f>
        <v>0.05</v>
      </c>
      <c r="BL286" s="1">
        <f>INDEX(Input!$1:$1048576,BL$93,$C286*2+6)</f>
        <v>5.5E-2</v>
      </c>
      <c r="BM286" s="1">
        <f>INDEX(Input!$1:$1048576,BM$93,$C286*2+6)</f>
        <v>0.06</v>
      </c>
      <c r="BN286" s="1">
        <f>INDEX(Input!$1:$1048576,BN$93,$C286*2+6)</f>
        <v>4.4999999999999998E-2</v>
      </c>
      <c r="BO286" s="1">
        <f>INDEX(Input!$1:$1048576,BO$93,$C286*2+6)</f>
        <v>4.4999999999999998E-2</v>
      </c>
      <c r="BP286" s="1">
        <f>INDEX(Input!$1:$1048576,BP$93,$C286*2+6)</f>
        <v>0.05</v>
      </c>
      <c r="BQ286" s="1">
        <f>INDEX(Input!$1:$1048576,BQ$93,$C286*2+6)</f>
        <v>5.45E-2</v>
      </c>
      <c r="BR286" s="1">
        <f>INDEX(Input!$1:$1048576,BR$93,$C286*2+6)</f>
        <v>5.45E-2</v>
      </c>
      <c r="BS286" s="1">
        <f>INDEX(Input!$1:$1048576,BS$93,$C286*2+6)</f>
        <v>0.05</v>
      </c>
      <c r="BT286" s="1">
        <f>INDEX(Input!$1:$1048576,BT$93,$C286*2+6)</f>
        <v>0.05</v>
      </c>
      <c r="BU286" s="1">
        <f>INDEX(Input!$1:$1048576,BU$93,$C286*2+6)</f>
        <v>0.05</v>
      </c>
      <c r="BV286" s="1">
        <f>INDEX(Input!$1:$1048576,BV$93,$C286*2+6)</f>
        <v>5.5E-2</v>
      </c>
      <c r="BW286" s="1">
        <f>INDEX(Input!$1:$1048576,BW$93,$C286*2+6)</f>
        <v>0.06</v>
      </c>
      <c r="BX286" s="127">
        <f>INDEX(Input!$1:$1048576,BX$93,$C286*2+6)</f>
        <v>19985</v>
      </c>
      <c r="BY286" s="20">
        <f>INDEX(Input!$1:$1048576,BY$93,$C286*2+6)</f>
        <v>0.1</v>
      </c>
      <c r="BZ286" s="20">
        <f>INDEX(Input!$1:$1048576,BZ$93,$C286*2+6)</f>
        <v>0.1</v>
      </c>
      <c r="CA286" s="20">
        <f>INDEX(Input!$1:$1048576,CA$93,$C286*2+6)</f>
        <v>0.1</v>
      </c>
      <c r="CB286" s="20">
        <f>INDEX(Input!$1:$1048576,CB$93,$C286*2+6)</f>
        <v>0.1</v>
      </c>
      <c r="CC286" s="20">
        <f>INDEX(Input!$1:$1048576,CC$93,$C286*2+6)</f>
        <v>0.1</v>
      </c>
      <c r="CD286" s="384">
        <f>INDEX(Input!$1:$1048576,CD$93,$C286*2+6)</f>
        <v>0.1</v>
      </c>
      <c r="CE286" s="384">
        <f>INDEX(Input!$1:$1048576,CE$93,$C286*2+6)</f>
        <v>0.1</v>
      </c>
      <c r="CF286" s="384">
        <f>INDEX(Input!$1:$1048576,CF$93,$C286*2+6)</f>
        <v>0.1</v>
      </c>
      <c r="CG286" s="384">
        <f>INDEX(Input!$1:$1048576,CG$93,$C286*2+6)</f>
        <v>0.1</v>
      </c>
      <c r="CH286" s="384">
        <f>INDEX(Input!$1:$1048576,CH$93,$C286*2+6)</f>
        <v>0.1</v>
      </c>
      <c r="CI286" s="304">
        <f t="shared" si="735"/>
        <v>1019.7618664521319</v>
      </c>
      <c r="CJ286" s="16" t="str">
        <f>INDEX(Input!$1:$1048576,CJ$93,$C286*2+6)</f>
        <v>N</v>
      </c>
      <c r="CK286" s="1" t="str">
        <f t="shared" si="736"/>
        <v>Market</v>
      </c>
      <c r="CL286" s="1" t="str">
        <f t="shared" si="737"/>
        <v>Market</v>
      </c>
      <c r="CM286" s="1" t="str">
        <f t="shared" si="738"/>
        <v>Market</v>
      </c>
      <c r="CN286" s="1" t="str">
        <f t="shared" si="739"/>
        <v>Market</v>
      </c>
      <c r="CO286" s="1" t="str">
        <f t="shared" si="740"/>
        <v>Market</v>
      </c>
      <c r="CP286" s="304">
        <f t="shared" si="741"/>
        <v>473</v>
      </c>
      <c r="CQ286" s="1">
        <f t="shared" si="742"/>
        <v>0</v>
      </c>
      <c r="CR286" s="1">
        <f t="shared" si="743"/>
        <v>0</v>
      </c>
      <c r="CS286" s="1">
        <f t="shared" si="744"/>
        <v>0</v>
      </c>
      <c r="CT286" s="1">
        <f t="shared" si="745"/>
        <v>8.9999999999999993E-3</v>
      </c>
      <c r="CU286" s="1">
        <f t="shared" si="746"/>
        <v>3.9E-2</v>
      </c>
      <c r="CV286" s="304">
        <f t="shared" si="747"/>
        <v>56</v>
      </c>
      <c r="CW286" s="20" t="s">
        <v>122</v>
      </c>
      <c r="CX286" s="20" t="s">
        <v>122</v>
      </c>
      <c r="CY286" s="20" t="s">
        <v>122</v>
      </c>
      <c r="CZ286" s="20" t="s">
        <v>122</v>
      </c>
      <c r="DA286" s="20" t="s">
        <v>122</v>
      </c>
      <c r="DB286" s="503">
        <f t="shared" si="748"/>
        <v>0</v>
      </c>
      <c r="DC286" s="127">
        <v>0</v>
      </c>
      <c r="DD286" s="127">
        <v>0</v>
      </c>
      <c r="DE286" s="127">
        <v>0</v>
      </c>
      <c r="DF286" s="127">
        <v>0</v>
      </c>
      <c r="DG286" s="127">
        <v>0</v>
      </c>
      <c r="DH286" s="127">
        <v>0</v>
      </c>
      <c r="DI286" s="127">
        <v>0</v>
      </c>
      <c r="DJ286" s="127">
        <v>0</v>
      </c>
      <c r="DK286" s="127">
        <v>0</v>
      </c>
      <c r="DL286" s="127">
        <v>0</v>
      </c>
      <c r="DM286" s="304">
        <f>INDEX(Input!$1:$1048576,DM$93,$C286*2+6)</f>
        <v>21036.84210526316</v>
      </c>
      <c r="DN286" s="20">
        <v>0</v>
      </c>
      <c r="DO286" s="20">
        <v>0</v>
      </c>
      <c r="DP286" s="20">
        <v>0</v>
      </c>
      <c r="DQ286" s="20">
        <v>0</v>
      </c>
      <c r="DR286" s="20">
        <v>0</v>
      </c>
      <c r="DS286" s="20">
        <f>INDEX(Input!$1:$1048576,DS$93,$C286*2+6)</f>
        <v>0.6</v>
      </c>
      <c r="DT286" s="20">
        <f>INDEX(Input!$1:$1048576,DT$93,$C286*2+6)</f>
        <v>0.55000000000000004</v>
      </c>
      <c r="DU286" s="20">
        <f>INDEX(Input!$1:$1048576,DU$93,$C286*2+6)</f>
        <v>0.52</v>
      </c>
      <c r="DV286" s="20">
        <f>INDEX(Input!$1:$1048576,DV$93,$C286*2+6)</f>
        <v>0.5</v>
      </c>
      <c r="DW286" s="20">
        <f>INDEX(Input!$1:$1048576,DW$93,$C286*2+6)</f>
        <v>0.45</v>
      </c>
      <c r="DX286" s="20"/>
      <c r="DY286" s="7"/>
      <c r="DZ286" s="7"/>
      <c r="EA286" s="7"/>
      <c r="EB286" s="7"/>
      <c r="EC286" s="7"/>
      <c r="ED286" s="7"/>
      <c r="EE286" s="7"/>
      <c r="EF286" s="7"/>
      <c r="EG286" s="7"/>
      <c r="EH286" s="7"/>
      <c r="EI286" s="7"/>
      <c r="EJ286" s="7"/>
      <c r="EK286" s="7"/>
      <c r="EL286" s="7"/>
      <c r="EM286" s="7"/>
      <c r="EN286" s="7"/>
      <c r="EO286" s="7"/>
      <c r="EP286" s="7"/>
      <c r="EQ286" s="7"/>
      <c r="ER286" s="7"/>
      <c r="ES286" s="7"/>
      <c r="ET286" s="7"/>
      <c r="EU286" s="6"/>
      <c r="EV286" s="6"/>
      <c r="EW286" s="6"/>
      <c r="EX286" s="6"/>
      <c r="EY286" s="6"/>
      <c r="EZ286" s="6"/>
      <c r="FA286" s="6"/>
      <c r="FB286" s="6"/>
      <c r="FC286" s="6"/>
      <c r="FD286" s="6"/>
      <c r="FE286" s="6"/>
      <c r="FF286" s="6"/>
      <c r="FG286" s="6"/>
      <c r="FH286" s="6"/>
      <c r="FI286" s="6"/>
      <c r="FJ286" s="6"/>
      <c r="FK286" s="6"/>
      <c r="FL286" s="6"/>
      <c r="FM286" s="6"/>
      <c r="FN286" s="6"/>
      <c r="FO286" s="6"/>
      <c r="FP286" s="6"/>
      <c r="FQ286" s="6"/>
      <c r="FR286" s="6"/>
      <c r="FS286" s="6"/>
      <c r="FT286" s="7"/>
      <c r="FU286" s="7"/>
      <c r="FV286" s="7"/>
      <c r="FW286" s="6"/>
      <c r="FX286" s="6"/>
      <c r="FY286" s="6"/>
      <c r="FZ286" s="6"/>
      <c r="GA286" s="6"/>
      <c r="GB286" s="6"/>
      <c r="GC286" s="7"/>
      <c r="GD286" s="7"/>
      <c r="GE286" s="7"/>
      <c r="GF286" s="7"/>
      <c r="GG286" s="7"/>
      <c r="GH286" s="42"/>
      <c r="GI286" s="6"/>
      <c r="GJ286" s="14"/>
      <c r="GK286" s="14"/>
      <c r="GL286" s="14"/>
      <c r="GM286" s="14"/>
      <c r="GO286" s="5"/>
      <c r="GP286" s="5"/>
      <c r="GQ286" s="5"/>
      <c r="GR286" s="5"/>
      <c r="GS286" s="5"/>
      <c r="GT286" s="5"/>
      <c r="GU286" s="5"/>
      <c r="GV286" s="39"/>
      <c r="GW286" s="5"/>
      <c r="GX286" s="5"/>
      <c r="GY286" s="5"/>
      <c r="GZ286" s="5"/>
      <c r="HA286" s="5"/>
      <c r="HB286" s="39"/>
      <c r="HC286" s="5"/>
      <c r="HD286" s="5"/>
      <c r="HE286" s="5"/>
      <c r="HF286" s="5"/>
      <c r="HG286" s="5"/>
      <c r="HH286" s="39"/>
      <c r="HI286" s="16"/>
      <c r="HJ286" s="19"/>
      <c r="HK286" s="1"/>
      <c r="HL286" s="16"/>
      <c r="HM286" s="1"/>
      <c r="HN286" s="1"/>
      <c r="HO286" s="1"/>
      <c r="HP286" s="1"/>
      <c r="HQ286" s="1"/>
      <c r="HR286" s="1"/>
      <c r="HS286" s="1"/>
      <c r="HT286" s="1"/>
      <c r="HU286" s="1"/>
      <c r="HV286" s="1"/>
      <c r="HW286" s="1"/>
      <c r="HX286" s="1"/>
      <c r="HY286" s="1"/>
      <c r="HZ286" s="1"/>
      <c r="IA286" s="1"/>
      <c r="IB286" s="1"/>
      <c r="IC286" s="1"/>
      <c r="ID286" s="1"/>
      <c r="IE286" s="1"/>
      <c r="IF286" s="1"/>
      <c r="IG286" s="1"/>
      <c r="IH286" s="21"/>
      <c r="II286" s="19"/>
      <c r="IJ286" s="19"/>
      <c r="IK286" s="19"/>
      <c r="IL286" s="19"/>
      <c r="IM286" s="19"/>
      <c r="IN286" s="19"/>
      <c r="IO286" s="39"/>
      <c r="IP286" s="39"/>
      <c r="IQ286" s="39"/>
      <c r="IR286" s="39"/>
      <c r="IS286" s="39"/>
      <c r="IT286" s="39"/>
      <c r="IU286" s="39"/>
      <c r="IV286" s="39"/>
      <c r="IW286" s="39"/>
      <c r="IX286" s="39"/>
      <c r="IY286" s="39"/>
      <c r="IZ286" s="39"/>
      <c r="JA286" s="19"/>
      <c r="JB286" s="19"/>
      <c r="JC286" s="19"/>
      <c r="JD286" s="19"/>
      <c r="JE286" s="21"/>
      <c r="JF286" s="1"/>
      <c r="JG286" s="15"/>
      <c r="JH286" s="1"/>
      <c r="JI286" s="1"/>
      <c r="JJ286" s="1"/>
      <c r="JK286" s="1"/>
      <c r="JL286" s="15"/>
      <c r="JM286" s="15"/>
      <c r="JN286" s="21"/>
      <c r="JO286" s="19"/>
      <c r="JP286" s="19"/>
      <c r="JQ286" s="39"/>
      <c r="JR286" s="39"/>
      <c r="JS286" s="39"/>
      <c r="JT286" s="39"/>
      <c r="JU286" s="385"/>
      <c r="JV286" s="39"/>
      <c r="JW286" s="1"/>
      <c r="JX286" s="19"/>
      <c r="JZ286" s="341"/>
      <c r="KA286" s="342"/>
      <c r="KB286" s="469"/>
      <c r="KI286" s="473"/>
      <c r="KJ286" s="473"/>
      <c r="KK286" s="473"/>
    </row>
    <row r="287" spans="1:307" s="26" customFormat="1" ht="15" outlineLevel="1">
      <c r="A287" s="561">
        <f t="shared" si="799"/>
        <v>2087</v>
      </c>
      <c r="B287" s="561">
        <f t="shared" si="817"/>
        <v>87</v>
      </c>
      <c r="C287" s="561">
        <f t="shared" si="760"/>
        <v>2</v>
      </c>
      <c r="D287" s="561" t="str">
        <f t="shared" si="861"/>
        <v xml:space="preserve">-500 CC, 0/0/0.9/3.9, </v>
      </c>
      <c r="E287" s="475">
        <f>INDEX(Input!$1:$1048576,E$93,$C287*2+MIN($B287,2)+5)
+INDEX(Scenarios!E$121:E$200,MATCH($B287,Scenarios!$B$121:$B$200,0))</f>
        <v>769.76186645213193</v>
      </c>
      <c r="F287" s="475">
        <f>INDEX(Input!$1:$1048576,F$93,$C287*2+MIN($B287,2)+5)
+INDEX(Scenarios!F$121:F$200,MATCH($B287,Scenarios!$B$121:$B$200,0))</f>
        <v>0</v>
      </c>
      <c r="G287" s="475">
        <f>INDEX(Input!$1:$1048576,G$93,$C287*2+MIN($B287,2)+5)
+INDEX(Scenarios!G$121:G$200,MATCH($B287,Scenarios!$B$121:$B$200,0))</f>
        <v>0</v>
      </c>
      <c r="H287" s="475">
        <f>INDEX(Input!$1:$1048576,H$93,$C287*2+MIN($B287,2)+5)
+INDEX(Scenarios!H$121:H$200,MATCH($B287,Scenarios!$B$121:$B$200,0))</f>
        <v>0</v>
      </c>
      <c r="I287" s="476">
        <f>INDEX(Input!$1:$1048576,I$93,$C287*2+MIN($B287,2)+5)</f>
        <v>0.7</v>
      </c>
      <c r="J287" s="476" t="str">
        <f>INDEX(Input!$1:$1048576,J$93,$C287*2+MIN($B287,2)+5)</f>
        <v>Market</v>
      </c>
      <c r="K287" s="476" t="str">
        <f>INDEX(Input!$1:$1048576,K$93,$C287*2+MIN($B287,2)+5)</f>
        <v>Market</v>
      </c>
      <c r="L287" s="476" t="str">
        <f>INDEX(Input!$1:$1048576,L$93,$C287*2+MIN($B287,2)+5)</f>
        <v>Market</v>
      </c>
      <c r="M287" s="476" t="str">
        <f>INDEX(Input!$1:$1048576,M$93,$C287*2+MIN($B287,2)+5)</f>
        <v>Market</v>
      </c>
      <c r="N287" s="476" t="str">
        <f>INDEX(Input!$1:$1048576,N$93,$C287*2+MIN($B287,2)+5)</f>
        <v>Market</v>
      </c>
      <c r="O287" s="476" t="str">
        <f>INDEX(Input!$1:$1048576,O$93,$C287*2+MIN($B287,2)+5)</f>
        <v>Market</v>
      </c>
      <c r="P287" s="476" t="str">
        <f>INDEX(Input!$1:$1048576,P$93,$C287*2+MIN($B287,2)+5)</f>
        <v>N</v>
      </c>
      <c r="Q287" s="477">
        <f>INDEX(Input!$1:$1048576,Q$93,$C287*2+MIN($B287,2)+5)
+INDEX(Scenarios!Q$121:Q$200,MATCH($B287,Scenarios!$B$121:$B$200,0))</f>
        <v>0</v>
      </c>
      <c r="R287" s="478">
        <f>IFERROR(MAX(0,INDEX(Input!$1:$1048576,R$93,$C287*2+MIN($B287,2)+5)
+INDEX(Scenarios!R$121:R$200,MATCH($B287,Scenarios!$B$121:$B$200,0)),),"Market")</f>
        <v>0</v>
      </c>
      <c r="S287" s="478">
        <f>IFERROR(MAX(0,INDEX(Input!$1:$1048576,S$93,$C287*2+MIN($B287,2)+5)
+INDEX(Scenarios!S$121:S$200,MATCH($B287,Scenarios!$B$121:$B$200,0)),),"Market")</f>
        <v>0</v>
      </c>
      <c r="T287" s="478">
        <f>IFERROR(MAX(0,INDEX(Input!$1:$1048576,T$93,$C287*2+MIN($B287,2)+5)
+INDEX(Scenarios!T$121:T$200,MATCH($B287,Scenarios!$B$121:$B$200,0)),),"Market")</f>
        <v>0</v>
      </c>
      <c r="U287" s="478">
        <f>IFERROR(MAX(0,INDEX(Input!$1:$1048576,U$93,$C287*2+MIN($B287,2)+5)
+INDEX(Scenarios!U$121:U$200,MATCH($B287,Scenarios!$B$121:$B$200,0)),),"Market")</f>
        <v>0</v>
      </c>
      <c r="V287" s="478">
        <f>IFERROR(MAX(0,INDEX(Input!$1:$1048576,V$93,$C287*2+MIN($B287,2)+5)
+INDEX(Scenarios!V$121:V$200,MATCH($B287,Scenarios!$B$121:$B$200,0)),),"Market")</f>
        <v>8.9999999999999993E-3</v>
      </c>
      <c r="W287" s="885">
        <f>IFERROR(MAX(0,INDEX(Input!$1:$1048576,W$93,$C287*2+MIN($B287,2)+5)-0%,),"Market")</f>
        <v>3.9E-2</v>
      </c>
      <c r="X287" s="476" t="str">
        <f>INDEX(Input!$1:$1048576,X$93,$C287*2+MIN($B287,2)+5)</f>
        <v>Y</v>
      </c>
      <c r="Y287" s="475">
        <f>INDEX(Input!$1:$1048576,Y$93,$C287*2+MIN($B287,2)+5)
++INDEX(Scenarios!Y$121:Y$200,MATCH($B287,Scenarios!$B$121:$B$200,0))</f>
        <v>56</v>
      </c>
      <c r="Z287" s="477">
        <f>INDEX(Input!$1:$1048576,Z$93,$C287*2+MIN($B287,2)+5)
+INDEX(Scenarios!Z$121:Z$200,MATCH($B287,Scenarios!$B$121:$B$200,0))</f>
        <v>0</v>
      </c>
      <c r="AA287" s="475">
        <f>INDEX(Input!$1:$1048576,AA$93,$C287*2+MIN($B287,2)+5)
+INDEX(Scenarios!AA$121:AA$200,MATCH($B287,Scenarios!$B$121:$B$200,0))</f>
        <v>0</v>
      </c>
      <c r="AB287" s="476">
        <f>INDEX(Input!$1:$1048576,AB$93,$C287*2+MIN($B287,2)+5)</f>
        <v>0.27</v>
      </c>
      <c r="AC287" s="475">
        <f>INDEX(Input!$1:$1048576,AC$93,$C287*2+MIN($B287,2)+5)
+INDEX(Scenarios!AC$121:AC$200,MATCH($B287,Scenarios!$B$121:$B$200,0))</f>
        <v>0</v>
      </c>
      <c r="AD287" s="476">
        <f>INDEX(Input!$1:$1048576,AD$93,$C287*2+MIN($B287,2)+5)</f>
        <v>0.27</v>
      </c>
      <c r="AE287" s="475">
        <f>INDEX(Input!$1:$1048576,AE$93,$C287*2+MIN($B287,2)+5)
+INDEX(Scenarios!AE$121:AE$200,MATCH($B287,Scenarios!$B$121:$B$200,0))</f>
        <v>0</v>
      </c>
      <c r="AF287" s="476">
        <f>INDEX(Input!$1:$1048576,AF$93,$C287*2+MIN($B287,2)+5)</f>
        <v>4.8000000000000001E-2</v>
      </c>
      <c r="AG287" s="475">
        <f>INDEX(Input!$1:$1048576,AG$93,$C287*2+MIN($B287,2)+5)
+INDEX(Scenarios!AG$121:AG$200,MATCH($B287,Scenarios!$B$121:$B$200,0))</f>
        <v>500</v>
      </c>
      <c r="AH287" s="476">
        <f>INDEX(Input!$1:$1048576,AH$93,$C287*2+MIN($B287,2)+5)</f>
        <v>0.94599999999999995</v>
      </c>
      <c r="AI287" s="475">
        <f>INDEX(Input!$1:$1048576,AI$93,$C287*2+MIN($B287,2)+5)
+INDEX(Scenarios!AI$121:AI$200,MATCH($B287,Scenarios!$B$121:$B$200,0))</f>
        <v>0</v>
      </c>
      <c r="AJ287" s="476">
        <f>INDEX(Input!$1:$1048576,AJ$93,$C287*2+MIN($B287,2)+5)</f>
        <v>0.27</v>
      </c>
      <c r="AK287" s="150">
        <f>ROUND(INDEX(Input!$1:$1048576,AK$93,$C286*2+MIN($B287,1)+5)+(Y287-VLOOKUP($C287*1000+1,$A:$HH,Y$92,FALSE)),0)</f>
        <v>2977</v>
      </c>
      <c r="AL287" s="150">
        <f>ROUND(INDEX(Input!$1:$1048576,AL$93,$C286*2+MIN($B287,1)+5)-(Y287-VLOOKUP($C287*1000+1,$A:$HH,Y$92,FALSE))/36,0)</f>
        <v>3395</v>
      </c>
      <c r="AM287" s="32" t="str">
        <f t="shared" si="800"/>
        <v>std/std/std/std</v>
      </c>
      <c r="AN287" s="32" t="str">
        <f t="shared" si="801"/>
        <v>$0 + 0/0/0/0.9/3.9</v>
      </c>
      <c r="AO287" s="32" t="str">
        <f t="shared" si="802"/>
        <v>0/0/0/0.9/3.9</v>
      </c>
      <c r="AP287" s="32" t="str">
        <f t="shared" si="734"/>
        <v>0/0/0.9/3.9</v>
      </c>
      <c r="AQ287" s="536">
        <f t="shared" si="733"/>
        <v>0</v>
      </c>
      <c r="AR287" s="32"/>
      <c r="AS287" s="302"/>
      <c r="AT287" s="3">
        <f t="shared" si="856"/>
        <v>87</v>
      </c>
      <c r="AU287" s="41" t="s">
        <v>121</v>
      </c>
      <c r="AV287" s="41" t="s">
        <v>116</v>
      </c>
      <c r="AW287" s="41" t="str">
        <f>INDEX(Input!$1:$1048576,AW$93,$C287*2+6)</f>
        <v>Kia</v>
      </c>
      <c r="AX287" s="41" t="str">
        <f>INDEX(Input!$1:$1048576,AX$93,$C287*2+6)</f>
        <v>Kia-LR - L2</v>
      </c>
      <c r="AY287" s="41" t="str">
        <f>IF(LEN(D287)=0,"",INDEX(Input!$1:$1048576,AY$93,$C287*2+6))</f>
        <v>Compact SUV (52)</v>
      </c>
      <c r="AZ287" s="41" t="str">
        <f>INDEX(Input!$1:$1048576,AZ$93,$C287*2+6)</f>
        <v>Kia Soul</v>
      </c>
      <c r="BA287" s="3">
        <f>INDEX(Input!$1:$1048576,BA$93,$C287*2+6)</f>
        <v>2020</v>
      </c>
      <c r="BB287" s="128">
        <f>INDEX(Input!$1:$1048576,BB$93,$C287*2+6)</f>
        <v>1</v>
      </c>
      <c r="BC287" s="128">
        <f>INDEX(Input!$1:$1048576,BC$93,$C287*2+6)</f>
        <v>0.7</v>
      </c>
      <c r="BD287" s="1">
        <f>INDEX(Input!$1:$1048576,BD$93,$C287*2+6)</f>
        <v>4.4999999999999998E-2</v>
      </c>
      <c r="BE287" s="1">
        <f>INDEX(Input!$1:$1048576,BE$93,$C287*2+6)</f>
        <v>4.4999999999999998E-2</v>
      </c>
      <c r="BF287" s="1">
        <f>INDEX(Input!$1:$1048576,BF$93,$C287*2+6)</f>
        <v>0.05</v>
      </c>
      <c r="BG287" s="1">
        <f>INDEX(Input!$1:$1048576,BG$93,$C287*2+6)</f>
        <v>5.45E-2</v>
      </c>
      <c r="BH287" s="1">
        <f>INDEX(Input!$1:$1048576,BH$93,$C287*2+6)</f>
        <v>5.45E-2</v>
      </c>
      <c r="BI287" s="1">
        <f>INDEX(Input!$1:$1048576,BI$93,$C287*2+6)</f>
        <v>0.05</v>
      </c>
      <c r="BJ287" s="1">
        <f>INDEX(Input!$1:$1048576,BJ$93,$C287*2+6)</f>
        <v>0.05</v>
      </c>
      <c r="BK287" s="1">
        <f>INDEX(Input!$1:$1048576,BK$93,$C287*2+6)</f>
        <v>0.05</v>
      </c>
      <c r="BL287" s="1">
        <f>INDEX(Input!$1:$1048576,BL$93,$C287*2+6)</f>
        <v>5.5E-2</v>
      </c>
      <c r="BM287" s="1">
        <f>INDEX(Input!$1:$1048576,BM$93,$C287*2+6)</f>
        <v>0.06</v>
      </c>
      <c r="BN287" s="1">
        <f>INDEX(Input!$1:$1048576,BN$93,$C287*2+6)</f>
        <v>4.4999999999999998E-2</v>
      </c>
      <c r="BO287" s="1">
        <f>INDEX(Input!$1:$1048576,BO$93,$C287*2+6)</f>
        <v>4.4999999999999998E-2</v>
      </c>
      <c r="BP287" s="1">
        <f>INDEX(Input!$1:$1048576,BP$93,$C287*2+6)</f>
        <v>0.05</v>
      </c>
      <c r="BQ287" s="1">
        <f>INDEX(Input!$1:$1048576,BQ$93,$C287*2+6)</f>
        <v>5.45E-2</v>
      </c>
      <c r="BR287" s="1">
        <f>INDEX(Input!$1:$1048576,BR$93,$C287*2+6)</f>
        <v>5.45E-2</v>
      </c>
      <c r="BS287" s="1">
        <f>INDEX(Input!$1:$1048576,BS$93,$C287*2+6)</f>
        <v>0.05</v>
      </c>
      <c r="BT287" s="1">
        <f>INDEX(Input!$1:$1048576,BT$93,$C287*2+6)</f>
        <v>0.05</v>
      </c>
      <c r="BU287" s="1">
        <f>INDEX(Input!$1:$1048576,BU$93,$C287*2+6)</f>
        <v>0.05</v>
      </c>
      <c r="BV287" s="1">
        <f>INDEX(Input!$1:$1048576,BV$93,$C287*2+6)</f>
        <v>5.5E-2</v>
      </c>
      <c r="BW287" s="1">
        <f>INDEX(Input!$1:$1048576,BW$93,$C287*2+6)</f>
        <v>0.06</v>
      </c>
      <c r="BX287" s="127">
        <f>INDEX(Input!$1:$1048576,BX$93,$C287*2+6)</f>
        <v>19985</v>
      </c>
      <c r="BY287" s="20">
        <f>INDEX(Input!$1:$1048576,BY$93,$C287*2+6)</f>
        <v>0.1</v>
      </c>
      <c r="BZ287" s="20">
        <f>INDEX(Input!$1:$1048576,BZ$93,$C287*2+6)</f>
        <v>0.1</v>
      </c>
      <c r="CA287" s="20">
        <f>INDEX(Input!$1:$1048576,CA$93,$C287*2+6)</f>
        <v>0.1</v>
      </c>
      <c r="CB287" s="20">
        <f>INDEX(Input!$1:$1048576,CB$93,$C287*2+6)</f>
        <v>0.1</v>
      </c>
      <c r="CC287" s="20">
        <f>INDEX(Input!$1:$1048576,CC$93,$C287*2+6)</f>
        <v>0.1</v>
      </c>
      <c r="CD287" s="384">
        <f>INDEX(Input!$1:$1048576,CD$93,$C287*2+6)</f>
        <v>0.1</v>
      </c>
      <c r="CE287" s="384">
        <f>INDEX(Input!$1:$1048576,CE$93,$C287*2+6)</f>
        <v>0.1</v>
      </c>
      <c r="CF287" s="384">
        <f>INDEX(Input!$1:$1048576,CF$93,$C287*2+6)</f>
        <v>0.1</v>
      </c>
      <c r="CG287" s="384">
        <f>INDEX(Input!$1:$1048576,CG$93,$C287*2+6)</f>
        <v>0.1</v>
      </c>
      <c r="CH287" s="384">
        <f>INDEX(Input!$1:$1048576,CH$93,$C287*2+6)</f>
        <v>0.1</v>
      </c>
      <c r="CI287" s="304">
        <f t="shared" si="735"/>
        <v>769.76186645213193</v>
      </c>
      <c r="CJ287" s="16" t="str">
        <f>INDEX(Input!$1:$1048576,CJ$93,$C287*2+6)</f>
        <v>N</v>
      </c>
      <c r="CK287" s="1" t="str">
        <f t="shared" si="736"/>
        <v>Market</v>
      </c>
      <c r="CL287" s="1" t="str">
        <f t="shared" si="737"/>
        <v>Market</v>
      </c>
      <c r="CM287" s="1" t="str">
        <f t="shared" si="738"/>
        <v>Market</v>
      </c>
      <c r="CN287" s="1" t="str">
        <f t="shared" si="739"/>
        <v>Market</v>
      </c>
      <c r="CO287" s="1" t="str">
        <f t="shared" si="740"/>
        <v>Market</v>
      </c>
      <c r="CP287" s="304">
        <f t="shared" si="741"/>
        <v>473</v>
      </c>
      <c r="CQ287" s="1">
        <f t="shared" si="742"/>
        <v>0</v>
      </c>
      <c r="CR287" s="1">
        <f t="shared" si="743"/>
        <v>0</v>
      </c>
      <c r="CS287" s="1">
        <f t="shared" si="744"/>
        <v>0</v>
      </c>
      <c r="CT287" s="1">
        <f t="shared" si="745"/>
        <v>8.9999999999999993E-3</v>
      </c>
      <c r="CU287" s="1">
        <f t="shared" si="746"/>
        <v>3.9E-2</v>
      </c>
      <c r="CV287" s="304">
        <f t="shared" si="747"/>
        <v>56</v>
      </c>
      <c r="CW287" s="20" t="s">
        <v>122</v>
      </c>
      <c r="CX287" s="20" t="s">
        <v>122</v>
      </c>
      <c r="CY287" s="20" t="s">
        <v>122</v>
      </c>
      <c r="CZ287" s="20" t="s">
        <v>122</v>
      </c>
      <c r="DA287" s="20" t="s">
        <v>122</v>
      </c>
      <c r="DB287" s="503">
        <f t="shared" si="748"/>
        <v>0</v>
      </c>
      <c r="DC287" s="127">
        <v>0</v>
      </c>
      <c r="DD287" s="127">
        <v>0</v>
      </c>
      <c r="DE287" s="127">
        <v>0</v>
      </c>
      <c r="DF287" s="127">
        <v>0</v>
      </c>
      <c r="DG287" s="127">
        <v>0</v>
      </c>
      <c r="DH287" s="127">
        <v>0</v>
      </c>
      <c r="DI287" s="127">
        <v>0</v>
      </c>
      <c r="DJ287" s="127">
        <v>0</v>
      </c>
      <c r="DK287" s="127">
        <v>0</v>
      </c>
      <c r="DL287" s="127">
        <v>0</v>
      </c>
      <c r="DM287" s="304">
        <f>INDEX(Input!$1:$1048576,DM$93,$C287*2+6)</f>
        <v>21036.84210526316</v>
      </c>
      <c r="DN287" s="20">
        <v>0</v>
      </c>
      <c r="DO287" s="20">
        <v>0</v>
      </c>
      <c r="DP287" s="20">
        <v>0</v>
      </c>
      <c r="DQ287" s="20">
        <v>0</v>
      </c>
      <c r="DR287" s="20">
        <v>0</v>
      </c>
      <c r="DS287" s="20">
        <f>INDEX(Input!$1:$1048576,DS$93,$C287*2+6)</f>
        <v>0.6</v>
      </c>
      <c r="DT287" s="20">
        <f>INDEX(Input!$1:$1048576,DT$93,$C287*2+6)</f>
        <v>0.55000000000000004</v>
      </c>
      <c r="DU287" s="20">
        <f>INDEX(Input!$1:$1048576,DU$93,$C287*2+6)</f>
        <v>0.52</v>
      </c>
      <c r="DV287" s="20">
        <f>INDEX(Input!$1:$1048576,DV$93,$C287*2+6)</f>
        <v>0.5</v>
      </c>
      <c r="DW287" s="20">
        <f>INDEX(Input!$1:$1048576,DW$93,$C287*2+6)</f>
        <v>0.45</v>
      </c>
      <c r="DX287" s="20"/>
      <c r="DY287" s="7"/>
      <c r="DZ287" s="7"/>
      <c r="EA287" s="7"/>
      <c r="EB287" s="7"/>
      <c r="EC287" s="7"/>
      <c r="ED287" s="7"/>
      <c r="EE287" s="7"/>
      <c r="EF287" s="7"/>
      <c r="EG287" s="7"/>
      <c r="EH287" s="7"/>
      <c r="EI287" s="7"/>
      <c r="EJ287" s="7"/>
      <c r="EK287" s="7"/>
      <c r="EL287" s="7"/>
      <c r="EM287" s="7"/>
      <c r="EN287" s="7"/>
      <c r="EO287" s="7"/>
      <c r="EP287" s="7"/>
      <c r="EQ287" s="7"/>
      <c r="ER287" s="7"/>
      <c r="ES287" s="7"/>
      <c r="ET287" s="7"/>
      <c r="EU287" s="6"/>
      <c r="EV287" s="6"/>
      <c r="EW287" s="6"/>
      <c r="EX287" s="6"/>
      <c r="EY287" s="6"/>
      <c r="EZ287" s="6"/>
      <c r="FA287" s="6"/>
      <c r="FB287" s="6"/>
      <c r="FC287" s="6"/>
      <c r="FD287" s="6"/>
      <c r="FE287" s="6"/>
      <c r="FF287" s="6"/>
      <c r="FG287" s="6"/>
      <c r="FH287" s="6"/>
      <c r="FI287" s="6"/>
      <c r="FJ287" s="6"/>
      <c r="FK287" s="6"/>
      <c r="FL287" s="6"/>
      <c r="FM287" s="6"/>
      <c r="FN287" s="6"/>
      <c r="FO287" s="6"/>
      <c r="FP287" s="6"/>
      <c r="FQ287" s="6"/>
      <c r="FR287" s="6"/>
      <c r="FS287" s="6"/>
      <c r="FT287" s="7"/>
      <c r="FU287" s="7"/>
      <c r="FV287" s="7"/>
      <c r="FW287" s="6"/>
      <c r="FX287" s="6"/>
      <c r="FY287" s="6"/>
      <c r="FZ287" s="6"/>
      <c r="GA287" s="6"/>
      <c r="GB287" s="6"/>
      <c r="GC287" s="7"/>
      <c r="GD287" s="7"/>
      <c r="GE287" s="7"/>
      <c r="GF287" s="7"/>
      <c r="GG287" s="7"/>
      <c r="GH287" s="42"/>
      <c r="GI287" s="6"/>
      <c r="GJ287" s="14"/>
      <c r="GK287" s="14"/>
      <c r="GL287" s="14"/>
      <c r="GM287" s="14"/>
      <c r="GO287" s="5"/>
      <c r="GP287" s="5"/>
      <c r="GQ287" s="5"/>
      <c r="GR287" s="5"/>
      <c r="GS287" s="5"/>
      <c r="GT287" s="5"/>
      <c r="GU287" s="5"/>
      <c r="GV287" s="39"/>
      <c r="GW287" s="5"/>
      <c r="GX287" s="5"/>
      <c r="GY287" s="5"/>
      <c r="GZ287" s="5"/>
      <c r="HA287" s="5"/>
      <c r="HB287" s="39"/>
      <c r="HC287" s="5"/>
      <c r="HD287" s="5"/>
      <c r="HE287" s="5"/>
      <c r="HF287" s="5"/>
      <c r="HG287" s="5"/>
      <c r="HH287" s="39"/>
      <c r="HI287" s="16"/>
      <c r="HJ287" s="19"/>
      <c r="HK287" s="1"/>
      <c r="HL287" s="16"/>
      <c r="HM287" s="1"/>
      <c r="HN287" s="1"/>
      <c r="HO287" s="1"/>
      <c r="HP287" s="1"/>
      <c r="HQ287" s="1"/>
      <c r="HR287" s="1"/>
      <c r="HS287" s="1"/>
      <c r="HT287" s="1"/>
      <c r="HU287" s="1"/>
      <c r="HV287" s="1"/>
      <c r="HW287" s="1"/>
      <c r="HX287" s="1"/>
      <c r="HY287" s="1"/>
      <c r="HZ287" s="1"/>
      <c r="IA287" s="1"/>
      <c r="IB287" s="1"/>
      <c r="IC287" s="1"/>
      <c r="ID287" s="1"/>
      <c r="IE287" s="1"/>
      <c r="IF287" s="1"/>
      <c r="IG287" s="1"/>
      <c r="IH287" s="21"/>
      <c r="II287" s="19"/>
      <c r="IJ287" s="19"/>
      <c r="IK287" s="19"/>
      <c r="IL287" s="19"/>
      <c r="IM287" s="19"/>
      <c r="IN287" s="19"/>
      <c r="IO287" s="39"/>
      <c r="IP287" s="39"/>
      <c r="IQ287" s="39"/>
      <c r="IR287" s="39"/>
      <c r="IS287" s="39"/>
      <c r="IT287" s="39"/>
      <c r="IU287" s="39"/>
      <c r="IV287" s="39"/>
      <c r="IW287" s="39"/>
      <c r="IX287" s="39"/>
      <c r="IY287" s="39"/>
      <c r="IZ287" s="39"/>
      <c r="JA287" s="19"/>
      <c r="JB287" s="19"/>
      <c r="JC287" s="19"/>
      <c r="JD287" s="19"/>
      <c r="JE287" s="21"/>
      <c r="JF287" s="1"/>
      <c r="JG287" s="15"/>
      <c r="JH287" s="1"/>
      <c r="JI287" s="1"/>
      <c r="JJ287" s="1"/>
      <c r="JK287" s="1"/>
      <c r="JL287" s="15"/>
      <c r="JM287" s="15"/>
      <c r="JN287" s="21"/>
      <c r="JO287" s="19"/>
      <c r="JP287" s="19"/>
      <c r="JQ287" s="39"/>
      <c r="JR287" s="39"/>
      <c r="JS287" s="39"/>
      <c r="JT287" s="39"/>
      <c r="JU287" s="385"/>
      <c r="JV287" s="39"/>
      <c r="JW287" s="1"/>
      <c r="JX287" s="19"/>
      <c r="JZ287" s="341"/>
      <c r="KA287" s="342"/>
      <c r="KB287" s="469"/>
      <c r="KI287" s="473"/>
      <c r="KJ287" s="473"/>
      <c r="KK287" s="473"/>
    </row>
    <row r="288" spans="1:307" s="26" customFormat="1" ht="15" outlineLevel="1">
      <c r="A288" s="561">
        <f t="shared" si="799"/>
        <v>2088</v>
      </c>
      <c r="B288" s="561">
        <f t="shared" si="817"/>
        <v>88</v>
      </c>
      <c r="C288" s="561">
        <f t="shared" si="760"/>
        <v>2</v>
      </c>
      <c r="D288" s="561" t="str">
        <f t="shared" si="861"/>
        <v/>
      </c>
      <c r="E288" s="475">
        <f>INDEX(Input!$1:$1048576,E$93,$C288*2+MIN($B288,2)+5)
+INDEX(Scenarios!E$121:E$200,MATCH($B288,Scenarios!$B$121:$B$200,0))</f>
        <v>1269.7618664521319</v>
      </c>
      <c r="F288" s="475">
        <f>INDEX(Input!$1:$1048576,F$93,$C288*2+MIN($B288,2)+5)
+INDEX(Scenarios!F$121:F$200,MATCH($B288,Scenarios!$B$121:$B$200,0))</f>
        <v>0</v>
      </c>
      <c r="G288" s="475">
        <f>INDEX(Input!$1:$1048576,G$93,$C288*2+MIN($B288,2)+5)
+INDEX(Scenarios!G$121:G$200,MATCH($B288,Scenarios!$B$121:$B$200,0))</f>
        <v>0</v>
      </c>
      <c r="H288" s="475">
        <f>INDEX(Input!$1:$1048576,H$93,$C288*2+MIN($B288,2)+5)
+INDEX(Scenarios!H$121:H$200,MATCH($B288,Scenarios!$B$121:$B$200,0))</f>
        <v>0</v>
      </c>
      <c r="I288" s="476">
        <f>INDEX(Input!$1:$1048576,I$93,$C288*2+MIN($B288,2)+5)</f>
        <v>0.7</v>
      </c>
      <c r="J288" s="476" t="str">
        <f>INDEX(Input!$1:$1048576,J$93,$C288*2+MIN($B288,2)+5)</f>
        <v>Market</v>
      </c>
      <c r="K288" s="476" t="str">
        <f>INDEX(Input!$1:$1048576,K$93,$C288*2+MIN($B288,2)+5)</f>
        <v>Market</v>
      </c>
      <c r="L288" s="476" t="str">
        <f>INDEX(Input!$1:$1048576,L$93,$C288*2+MIN($B288,2)+5)</f>
        <v>Market</v>
      </c>
      <c r="M288" s="476" t="str">
        <f>INDEX(Input!$1:$1048576,M$93,$C288*2+MIN($B288,2)+5)</f>
        <v>Market</v>
      </c>
      <c r="N288" s="476" t="str">
        <f>INDEX(Input!$1:$1048576,N$93,$C288*2+MIN($B288,2)+5)</f>
        <v>Market</v>
      </c>
      <c r="O288" s="476" t="str">
        <f>INDEX(Input!$1:$1048576,O$93,$C288*2+MIN($B288,2)+5)</f>
        <v>Market</v>
      </c>
      <c r="P288" s="476" t="str">
        <f>INDEX(Input!$1:$1048576,P$93,$C288*2+MIN($B288,2)+5)</f>
        <v>N</v>
      </c>
      <c r="Q288" s="477">
        <f>INDEX(Input!$1:$1048576,Q$93,$C288*2+MIN($B288,2)+5)
+INDEX(Scenarios!Q$121:Q$200,MATCH($B288,Scenarios!$B$121:$B$200,0))</f>
        <v>0</v>
      </c>
      <c r="R288" s="478">
        <f>IFERROR(MAX(0,INDEX(Input!$1:$1048576,R$93,$C288*2+MIN($B288,2)+5)
+INDEX(Scenarios!R$121:R$200,MATCH($B288,Scenarios!$B$121:$B$200,0)),),"Market")</f>
        <v>0</v>
      </c>
      <c r="S288" s="478">
        <f>IFERROR(MAX(0,INDEX(Input!$1:$1048576,S$93,$C288*2+MIN($B288,2)+5)
+INDEX(Scenarios!S$121:S$200,MATCH($B288,Scenarios!$B$121:$B$200,0)),),"Market")</f>
        <v>0</v>
      </c>
      <c r="T288" s="478">
        <f>IFERROR(MAX(0,INDEX(Input!$1:$1048576,T$93,$C288*2+MIN($B288,2)+5)
+INDEX(Scenarios!T$121:T$200,MATCH($B288,Scenarios!$B$121:$B$200,0)),),"Market")</f>
        <v>0</v>
      </c>
      <c r="U288" s="478">
        <f>IFERROR(MAX(0,INDEX(Input!$1:$1048576,U$93,$C288*2+MIN($B288,2)+5)
+INDEX(Scenarios!U$121:U$200,MATCH($B288,Scenarios!$B$121:$B$200,0)),),"Market")</f>
        <v>0</v>
      </c>
      <c r="V288" s="478">
        <f>IFERROR(MAX(0,INDEX(Input!$1:$1048576,V$93,$C288*2+MIN($B288,2)+5)
+INDEX(Scenarios!V$121:V$200,MATCH($B288,Scenarios!$B$121:$B$200,0)),),"Market")</f>
        <v>1.9E-2</v>
      </c>
      <c r="W288" s="885">
        <f>IFERROR(MAX(0,INDEX(Input!$1:$1048576,W$93,$C288*2+MIN($B288,2)+5)-0%,),"Market")</f>
        <v>3.9E-2</v>
      </c>
      <c r="X288" s="476" t="str">
        <f>INDEX(Input!$1:$1048576,X$93,$C288*2+MIN($B288,2)+5)</f>
        <v>Y</v>
      </c>
      <c r="Y288" s="475">
        <f>INDEX(Input!$1:$1048576,Y$93,$C288*2+MIN($B288,2)+5)
++INDEX(Scenarios!Y$121:Y$200,MATCH($B288,Scenarios!$B$121:$B$200,0))</f>
        <v>56</v>
      </c>
      <c r="Z288" s="477">
        <f>INDEX(Input!$1:$1048576,Z$93,$C288*2+MIN($B288,2)+5)
+INDEX(Scenarios!Z$121:Z$200,MATCH($B288,Scenarios!$B$121:$B$200,0))</f>
        <v>0</v>
      </c>
      <c r="AA288" s="475">
        <f>INDEX(Input!$1:$1048576,AA$93,$C288*2+MIN($B288,2)+5)
+INDEX(Scenarios!AA$121:AA$200,MATCH($B288,Scenarios!$B$121:$B$200,0))</f>
        <v>0</v>
      </c>
      <c r="AB288" s="476">
        <f>INDEX(Input!$1:$1048576,AB$93,$C288*2+MIN($B288,2)+5)</f>
        <v>0.27</v>
      </c>
      <c r="AC288" s="475">
        <f>INDEX(Input!$1:$1048576,AC$93,$C288*2+MIN($B288,2)+5)
+INDEX(Scenarios!AC$121:AC$200,MATCH($B288,Scenarios!$B$121:$B$200,0))</f>
        <v>0</v>
      </c>
      <c r="AD288" s="476">
        <f>INDEX(Input!$1:$1048576,AD$93,$C288*2+MIN($B288,2)+5)</f>
        <v>0.27</v>
      </c>
      <c r="AE288" s="475">
        <f>INDEX(Input!$1:$1048576,AE$93,$C288*2+MIN($B288,2)+5)
+INDEX(Scenarios!AE$121:AE$200,MATCH($B288,Scenarios!$B$121:$B$200,0))</f>
        <v>0</v>
      </c>
      <c r="AF288" s="476">
        <f>INDEX(Input!$1:$1048576,AF$93,$C288*2+MIN($B288,2)+5)</f>
        <v>4.8000000000000001E-2</v>
      </c>
      <c r="AG288" s="475">
        <f>INDEX(Input!$1:$1048576,AG$93,$C288*2+MIN($B288,2)+5)
+INDEX(Scenarios!AG$121:AG$200,MATCH($B288,Scenarios!$B$121:$B$200,0))</f>
        <v>500</v>
      </c>
      <c r="AH288" s="476">
        <f>INDEX(Input!$1:$1048576,AH$93,$C288*2+MIN($B288,2)+5)</f>
        <v>0.94599999999999995</v>
      </c>
      <c r="AI288" s="475">
        <f>INDEX(Input!$1:$1048576,AI$93,$C288*2+MIN($B288,2)+5)
+INDEX(Scenarios!AI$121:AI$200,MATCH($B288,Scenarios!$B$121:$B$200,0))</f>
        <v>0</v>
      </c>
      <c r="AJ288" s="476">
        <f>INDEX(Input!$1:$1048576,AJ$93,$C288*2+MIN($B288,2)+5)</f>
        <v>0.27</v>
      </c>
      <c r="AK288" s="150">
        <f>ROUND(INDEX(Input!$1:$1048576,AK$93,$C287*2+MIN($B288,1)+5)+(Y288-VLOOKUP($C288*1000+1,$A:$HH,Y$92,FALSE)),0)</f>
        <v>2977</v>
      </c>
      <c r="AL288" s="150">
        <f>ROUND(INDEX(Input!$1:$1048576,AL$93,$C287*2+MIN($B288,1)+5)-(Y288-VLOOKUP($C288*1000+1,$A:$HH,Y$92,FALSE))/36,0)</f>
        <v>3395</v>
      </c>
      <c r="AM288" s="32" t="str">
        <f t="shared" si="800"/>
        <v>std/std/std/std</v>
      </c>
      <c r="AN288" s="32" t="str">
        <f t="shared" si="801"/>
        <v>$0 + 0/0/0/1.9/3.9</v>
      </c>
      <c r="AO288" s="32" t="str">
        <f t="shared" si="802"/>
        <v>0/0/0/1.9/3.9</v>
      </c>
      <c r="AP288" s="32" t="str">
        <f t="shared" si="734"/>
        <v>0/0.9/1.9/3.9</v>
      </c>
      <c r="AQ288" s="536">
        <f t="shared" si="733"/>
        <v>0</v>
      </c>
      <c r="AR288" s="32"/>
      <c r="AS288" s="302"/>
      <c r="AT288" s="3">
        <f t="shared" si="856"/>
        <v>88</v>
      </c>
      <c r="AU288" s="41" t="s">
        <v>121</v>
      </c>
      <c r="AV288" s="41" t="s">
        <v>116</v>
      </c>
      <c r="AW288" s="41" t="str">
        <f>INDEX(Input!$1:$1048576,AW$93,$C288*2+6)</f>
        <v>Kia</v>
      </c>
      <c r="AX288" s="41" t="str">
        <f>INDEX(Input!$1:$1048576,AX$93,$C288*2+6)</f>
        <v>Kia-LR - L2</v>
      </c>
      <c r="AY288" s="41" t="str">
        <f>IF(LEN(D288)=0,"",INDEX(Input!$1:$1048576,AY$93,$C288*2+6))</f>
        <v/>
      </c>
      <c r="AZ288" s="41" t="str">
        <f>INDEX(Input!$1:$1048576,AZ$93,$C288*2+6)</f>
        <v>Kia Soul</v>
      </c>
      <c r="BA288" s="3">
        <f>INDEX(Input!$1:$1048576,BA$93,$C288*2+6)</f>
        <v>2020</v>
      </c>
      <c r="BB288" s="128">
        <f>INDEX(Input!$1:$1048576,BB$93,$C288*2+6)</f>
        <v>1</v>
      </c>
      <c r="BC288" s="128">
        <f>INDEX(Input!$1:$1048576,BC$93,$C288*2+6)</f>
        <v>0.7</v>
      </c>
      <c r="BD288" s="1">
        <f>INDEX(Input!$1:$1048576,BD$93,$C288*2+6)</f>
        <v>4.4999999999999998E-2</v>
      </c>
      <c r="BE288" s="1">
        <f>INDEX(Input!$1:$1048576,BE$93,$C288*2+6)</f>
        <v>4.4999999999999998E-2</v>
      </c>
      <c r="BF288" s="1">
        <f>INDEX(Input!$1:$1048576,BF$93,$C288*2+6)</f>
        <v>0.05</v>
      </c>
      <c r="BG288" s="1">
        <f>INDEX(Input!$1:$1048576,BG$93,$C288*2+6)</f>
        <v>5.45E-2</v>
      </c>
      <c r="BH288" s="1">
        <f>INDEX(Input!$1:$1048576,BH$93,$C288*2+6)</f>
        <v>5.45E-2</v>
      </c>
      <c r="BI288" s="1">
        <f>INDEX(Input!$1:$1048576,BI$93,$C288*2+6)</f>
        <v>0.05</v>
      </c>
      <c r="BJ288" s="1">
        <f>INDEX(Input!$1:$1048576,BJ$93,$C288*2+6)</f>
        <v>0.05</v>
      </c>
      <c r="BK288" s="1">
        <f>INDEX(Input!$1:$1048576,BK$93,$C288*2+6)</f>
        <v>0.05</v>
      </c>
      <c r="BL288" s="1">
        <f>INDEX(Input!$1:$1048576,BL$93,$C288*2+6)</f>
        <v>5.5E-2</v>
      </c>
      <c r="BM288" s="1">
        <f>INDEX(Input!$1:$1048576,BM$93,$C288*2+6)</f>
        <v>0.06</v>
      </c>
      <c r="BN288" s="1">
        <f>INDEX(Input!$1:$1048576,BN$93,$C288*2+6)</f>
        <v>4.4999999999999998E-2</v>
      </c>
      <c r="BO288" s="1">
        <f>INDEX(Input!$1:$1048576,BO$93,$C288*2+6)</f>
        <v>4.4999999999999998E-2</v>
      </c>
      <c r="BP288" s="1">
        <f>INDEX(Input!$1:$1048576,BP$93,$C288*2+6)</f>
        <v>0.05</v>
      </c>
      <c r="BQ288" s="1">
        <f>INDEX(Input!$1:$1048576,BQ$93,$C288*2+6)</f>
        <v>5.45E-2</v>
      </c>
      <c r="BR288" s="1">
        <f>INDEX(Input!$1:$1048576,BR$93,$C288*2+6)</f>
        <v>5.45E-2</v>
      </c>
      <c r="BS288" s="1">
        <f>INDEX(Input!$1:$1048576,BS$93,$C288*2+6)</f>
        <v>0.05</v>
      </c>
      <c r="BT288" s="1">
        <f>INDEX(Input!$1:$1048576,BT$93,$C288*2+6)</f>
        <v>0.05</v>
      </c>
      <c r="BU288" s="1">
        <f>INDEX(Input!$1:$1048576,BU$93,$C288*2+6)</f>
        <v>0.05</v>
      </c>
      <c r="BV288" s="1">
        <f>INDEX(Input!$1:$1048576,BV$93,$C288*2+6)</f>
        <v>5.5E-2</v>
      </c>
      <c r="BW288" s="1">
        <f>INDEX(Input!$1:$1048576,BW$93,$C288*2+6)</f>
        <v>0.06</v>
      </c>
      <c r="BX288" s="127">
        <f>INDEX(Input!$1:$1048576,BX$93,$C288*2+6)</f>
        <v>19985</v>
      </c>
      <c r="BY288" s="20">
        <f>INDEX(Input!$1:$1048576,BY$93,$C288*2+6)</f>
        <v>0.1</v>
      </c>
      <c r="BZ288" s="20">
        <f>INDEX(Input!$1:$1048576,BZ$93,$C288*2+6)</f>
        <v>0.1</v>
      </c>
      <c r="CA288" s="20">
        <f>INDEX(Input!$1:$1048576,CA$93,$C288*2+6)</f>
        <v>0.1</v>
      </c>
      <c r="CB288" s="20">
        <f>INDEX(Input!$1:$1048576,CB$93,$C288*2+6)</f>
        <v>0.1</v>
      </c>
      <c r="CC288" s="20">
        <f>INDEX(Input!$1:$1048576,CC$93,$C288*2+6)</f>
        <v>0.1</v>
      </c>
      <c r="CD288" s="384">
        <f>INDEX(Input!$1:$1048576,CD$93,$C288*2+6)</f>
        <v>0.1</v>
      </c>
      <c r="CE288" s="384">
        <f>INDEX(Input!$1:$1048576,CE$93,$C288*2+6)</f>
        <v>0.1</v>
      </c>
      <c r="CF288" s="384">
        <f>INDEX(Input!$1:$1048576,CF$93,$C288*2+6)</f>
        <v>0.1</v>
      </c>
      <c r="CG288" s="384">
        <f>INDEX(Input!$1:$1048576,CG$93,$C288*2+6)</f>
        <v>0.1</v>
      </c>
      <c r="CH288" s="384">
        <f>INDEX(Input!$1:$1048576,CH$93,$C288*2+6)</f>
        <v>0.1</v>
      </c>
      <c r="CI288" s="304">
        <f t="shared" si="735"/>
        <v>1269.7618664521319</v>
      </c>
      <c r="CJ288" s="16" t="str">
        <f>INDEX(Input!$1:$1048576,CJ$93,$C288*2+6)</f>
        <v>N</v>
      </c>
      <c r="CK288" s="1" t="str">
        <f t="shared" si="736"/>
        <v>Market</v>
      </c>
      <c r="CL288" s="1" t="str">
        <f t="shared" si="737"/>
        <v>Market</v>
      </c>
      <c r="CM288" s="1" t="str">
        <f t="shared" si="738"/>
        <v>Market</v>
      </c>
      <c r="CN288" s="1" t="str">
        <f t="shared" si="739"/>
        <v>Market</v>
      </c>
      <c r="CO288" s="1" t="str">
        <f t="shared" si="740"/>
        <v>Market</v>
      </c>
      <c r="CP288" s="304">
        <f t="shared" si="741"/>
        <v>473</v>
      </c>
      <c r="CQ288" s="1">
        <f t="shared" si="742"/>
        <v>0</v>
      </c>
      <c r="CR288" s="1">
        <f t="shared" si="743"/>
        <v>0</v>
      </c>
      <c r="CS288" s="1">
        <f t="shared" si="744"/>
        <v>0</v>
      </c>
      <c r="CT288" s="1">
        <f t="shared" si="745"/>
        <v>1.9E-2</v>
      </c>
      <c r="CU288" s="1">
        <f t="shared" si="746"/>
        <v>3.9E-2</v>
      </c>
      <c r="CV288" s="304">
        <f t="shared" si="747"/>
        <v>56</v>
      </c>
      <c r="CW288" s="20" t="s">
        <v>122</v>
      </c>
      <c r="CX288" s="20" t="s">
        <v>122</v>
      </c>
      <c r="CY288" s="20" t="s">
        <v>122</v>
      </c>
      <c r="CZ288" s="20" t="s">
        <v>122</v>
      </c>
      <c r="DA288" s="20" t="s">
        <v>122</v>
      </c>
      <c r="DB288" s="503">
        <f t="shared" si="748"/>
        <v>0</v>
      </c>
      <c r="DC288" s="127">
        <v>0</v>
      </c>
      <c r="DD288" s="127">
        <v>0</v>
      </c>
      <c r="DE288" s="127">
        <v>0</v>
      </c>
      <c r="DF288" s="127">
        <v>0</v>
      </c>
      <c r="DG288" s="127">
        <v>0</v>
      </c>
      <c r="DH288" s="127">
        <v>0</v>
      </c>
      <c r="DI288" s="127">
        <v>0</v>
      </c>
      <c r="DJ288" s="127">
        <v>0</v>
      </c>
      <c r="DK288" s="127">
        <v>0</v>
      </c>
      <c r="DL288" s="127">
        <v>0</v>
      </c>
      <c r="DM288" s="304">
        <f>INDEX(Input!$1:$1048576,DM$93,$C288*2+6)</f>
        <v>21036.84210526316</v>
      </c>
      <c r="DN288" s="20">
        <v>0</v>
      </c>
      <c r="DO288" s="20">
        <v>0</v>
      </c>
      <c r="DP288" s="20">
        <v>0</v>
      </c>
      <c r="DQ288" s="20">
        <v>0</v>
      </c>
      <c r="DR288" s="20">
        <v>0</v>
      </c>
      <c r="DS288" s="20">
        <f>INDEX(Input!$1:$1048576,DS$93,$C288*2+6)</f>
        <v>0.6</v>
      </c>
      <c r="DT288" s="20">
        <f>INDEX(Input!$1:$1048576,DT$93,$C288*2+6)</f>
        <v>0.55000000000000004</v>
      </c>
      <c r="DU288" s="20">
        <f>INDEX(Input!$1:$1048576,DU$93,$C288*2+6)</f>
        <v>0.52</v>
      </c>
      <c r="DV288" s="20">
        <f>INDEX(Input!$1:$1048576,DV$93,$C288*2+6)</f>
        <v>0.5</v>
      </c>
      <c r="DW288" s="20">
        <f>INDEX(Input!$1:$1048576,DW$93,$C288*2+6)</f>
        <v>0.45</v>
      </c>
      <c r="DX288" s="20"/>
      <c r="DY288" s="7"/>
      <c r="DZ288" s="7"/>
      <c r="EA288" s="7"/>
      <c r="EB288" s="7"/>
      <c r="EC288" s="7"/>
      <c r="ED288" s="7"/>
      <c r="EE288" s="7"/>
      <c r="EF288" s="7"/>
      <c r="EG288" s="7"/>
      <c r="EH288" s="7"/>
      <c r="EI288" s="7"/>
      <c r="EJ288" s="7"/>
      <c r="EK288" s="7"/>
      <c r="EL288" s="7"/>
      <c r="EM288" s="7"/>
      <c r="EN288" s="7"/>
      <c r="EO288" s="7"/>
      <c r="EP288" s="7"/>
      <c r="EQ288" s="7"/>
      <c r="ER288" s="7"/>
      <c r="ES288" s="7"/>
      <c r="ET288" s="7"/>
      <c r="EU288" s="6"/>
      <c r="EV288" s="6"/>
      <c r="EW288" s="6"/>
      <c r="EX288" s="6"/>
      <c r="EY288" s="6"/>
      <c r="EZ288" s="6"/>
      <c r="FA288" s="6"/>
      <c r="FB288" s="6"/>
      <c r="FC288" s="6"/>
      <c r="FD288" s="6"/>
      <c r="FE288" s="6"/>
      <c r="FF288" s="6"/>
      <c r="FG288" s="6"/>
      <c r="FH288" s="6"/>
      <c r="FI288" s="6"/>
      <c r="FJ288" s="6"/>
      <c r="FK288" s="6"/>
      <c r="FL288" s="6"/>
      <c r="FM288" s="6"/>
      <c r="FN288" s="6"/>
      <c r="FO288" s="6"/>
      <c r="FP288" s="6"/>
      <c r="FQ288" s="6"/>
      <c r="FR288" s="6"/>
      <c r="FS288" s="6"/>
      <c r="FT288" s="7"/>
      <c r="FU288" s="7"/>
      <c r="FV288" s="7"/>
      <c r="FW288" s="6"/>
      <c r="FX288" s="6"/>
      <c r="FY288" s="6"/>
      <c r="FZ288" s="6"/>
      <c r="GA288" s="6"/>
      <c r="GB288" s="6"/>
      <c r="GC288" s="7"/>
      <c r="GD288" s="7"/>
      <c r="GE288" s="7"/>
      <c r="GF288" s="7"/>
      <c r="GG288" s="7"/>
      <c r="GH288" s="42"/>
      <c r="GI288" s="6"/>
      <c r="GJ288" s="14"/>
      <c r="GK288" s="14"/>
      <c r="GL288" s="14"/>
      <c r="GM288" s="14"/>
      <c r="GO288" s="5"/>
      <c r="GP288" s="5"/>
      <c r="GQ288" s="5"/>
      <c r="GR288" s="5"/>
      <c r="GS288" s="5"/>
      <c r="GT288" s="5"/>
      <c r="GU288" s="5"/>
      <c r="GV288" s="39"/>
      <c r="GW288" s="5"/>
      <c r="GX288" s="5"/>
      <c r="GY288" s="5"/>
      <c r="GZ288" s="5"/>
      <c r="HA288" s="5"/>
      <c r="HB288" s="39"/>
      <c r="HC288" s="5"/>
      <c r="HD288" s="5"/>
      <c r="HE288" s="5"/>
      <c r="HF288" s="5"/>
      <c r="HG288" s="5"/>
      <c r="HH288" s="39"/>
      <c r="HI288" s="16"/>
      <c r="HJ288" s="19"/>
      <c r="HK288" s="1"/>
      <c r="HL288" s="16"/>
      <c r="HM288" s="1"/>
      <c r="HN288" s="1"/>
      <c r="HO288" s="1"/>
      <c r="HP288" s="1"/>
      <c r="HQ288" s="1"/>
      <c r="HR288" s="1"/>
      <c r="HS288" s="1"/>
      <c r="HT288" s="1"/>
      <c r="HU288" s="1"/>
      <c r="HV288" s="1"/>
      <c r="HW288" s="1"/>
      <c r="HX288" s="1"/>
      <c r="HY288" s="1"/>
      <c r="HZ288" s="1"/>
      <c r="IA288" s="1"/>
      <c r="IB288" s="1"/>
      <c r="IC288" s="1"/>
      <c r="ID288" s="1"/>
      <c r="IE288" s="1"/>
      <c r="IF288" s="1"/>
      <c r="IG288" s="1"/>
      <c r="IH288" s="21"/>
      <c r="II288" s="19"/>
      <c r="IJ288" s="19"/>
      <c r="IK288" s="19"/>
      <c r="IL288" s="19"/>
      <c r="IM288" s="19"/>
      <c r="IN288" s="19"/>
      <c r="IO288" s="39"/>
      <c r="IP288" s="39"/>
      <c r="IQ288" s="39"/>
      <c r="IR288" s="39"/>
      <c r="IS288" s="39"/>
      <c r="IT288" s="39"/>
      <c r="IU288" s="39"/>
      <c r="IV288" s="39"/>
      <c r="IW288" s="39"/>
      <c r="IX288" s="39"/>
      <c r="IY288" s="39"/>
      <c r="IZ288" s="39"/>
      <c r="JA288" s="19"/>
      <c r="JB288" s="19"/>
      <c r="JC288" s="19"/>
      <c r="JD288" s="19"/>
      <c r="JE288" s="21"/>
      <c r="JF288" s="1"/>
      <c r="JG288" s="15"/>
      <c r="JH288" s="1"/>
      <c r="JI288" s="1"/>
      <c r="JJ288" s="1"/>
      <c r="JK288" s="1"/>
      <c r="JL288" s="15"/>
      <c r="JM288" s="15"/>
      <c r="JN288" s="21"/>
      <c r="JO288" s="19"/>
      <c r="JP288" s="19"/>
      <c r="JQ288" s="39"/>
      <c r="JR288" s="39"/>
      <c r="JS288" s="39"/>
      <c r="JT288" s="39"/>
      <c r="JU288" s="385"/>
      <c r="JV288" s="39"/>
      <c r="JW288" s="1"/>
      <c r="JX288" s="19"/>
      <c r="JZ288" s="341"/>
      <c r="KA288" s="342"/>
      <c r="KB288" s="469"/>
      <c r="KI288" s="473"/>
      <c r="KJ288" s="473"/>
      <c r="KK288" s="473"/>
    </row>
    <row r="289" spans="1:310" s="26" customFormat="1" ht="15" outlineLevel="1">
      <c r="A289" s="561">
        <f t="shared" si="799"/>
        <v>2089</v>
      </c>
      <c r="B289" s="561">
        <f t="shared" si="817"/>
        <v>89</v>
      </c>
      <c r="C289" s="561">
        <f t="shared" si="760"/>
        <v>2</v>
      </c>
      <c r="D289" s="561" t="str">
        <f t="shared" si="861"/>
        <v/>
      </c>
      <c r="E289" s="475">
        <f>INDEX(Input!$1:$1048576,E$93,$C289*2+MIN($B289,2)+5)
+INDEX(Scenarios!E$121:E$200,MATCH($B289,Scenarios!$B$121:$B$200,0))</f>
        <v>1269.7618664521319</v>
      </c>
      <c r="F289" s="475">
        <f>INDEX(Input!$1:$1048576,F$93,$C289*2+MIN($B289,2)+5)
+INDEX(Scenarios!F$121:F$200,MATCH($B289,Scenarios!$B$121:$B$200,0))</f>
        <v>0</v>
      </c>
      <c r="G289" s="475">
        <f>INDEX(Input!$1:$1048576,G$93,$C289*2+MIN($B289,2)+5)
+INDEX(Scenarios!G$121:G$200,MATCH($B289,Scenarios!$B$121:$B$200,0))</f>
        <v>0</v>
      </c>
      <c r="H289" s="475">
        <f>INDEX(Input!$1:$1048576,H$93,$C289*2+MIN($B289,2)+5)
+INDEX(Scenarios!H$121:H$200,MATCH($B289,Scenarios!$B$121:$B$200,0))</f>
        <v>0</v>
      </c>
      <c r="I289" s="476">
        <f>INDEX(Input!$1:$1048576,I$93,$C289*2+MIN($B289,2)+5)</f>
        <v>0.7</v>
      </c>
      <c r="J289" s="476" t="str">
        <f>INDEX(Input!$1:$1048576,J$93,$C289*2+MIN($B289,2)+5)</f>
        <v>Market</v>
      </c>
      <c r="K289" s="476" t="str">
        <f>INDEX(Input!$1:$1048576,K$93,$C289*2+MIN($B289,2)+5)</f>
        <v>Market</v>
      </c>
      <c r="L289" s="476" t="str">
        <f>INDEX(Input!$1:$1048576,L$93,$C289*2+MIN($B289,2)+5)</f>
        <v>Market</v>
      </c>
      <c r="M289" s="476" t="str">
        <f>INDEX(Input!$1:$1048576,M$93,$C289*2+MIN($B289,2)+5)</f>
        <v>Market</v>
      </c>
      <c r="N289" s="476" t="str">
        <f>INDEX(Input!$1:$1048576,N$93,$C289*2+MIN($B289,2)+5)</f>
        <v>Market</v>
      </c>
      <c r="O289" s="476" t="str">
        <f>INDEX(Input!$1:$1048576,O$93,$C289*2+MIN($B289,2)+5)</f>
        <v>Market</v>
      </c>
      <c r="P289" s="476" t="str">
        <f>INDEX(Input!$1:$1048576,P$93,$C289*2+MIN($B289,2)+5)</f>
        <v>N</v>
      </c>
      <c r="Q289" s="477">
        <f>INDEX(Input!$1:$1048576,Q$93,$C289*2+MIN($B289,2)+5)
+INDEX(Scenarios!Q$121:Q$200,MATCH($B289,Scenarios!$B$121:$B$200,0))</f>
        <v>0</v>
      </c>
      <c r="R289" s="478">
        <f>IFERROR(MAX(0,INDEX(Input!$1:$1048576,R$93,$C289*2+MIN($B289,2)+5)
+INDEX(Scenarios!R$121:R$200,MATCH($B289,Scenarios!$B$121:$B$200,0)),),"Market")</f>
        <v>0</v>
      </c>
      <c r="S289" s="478">
        <f>IFERROR(MAX(0,INDEX(Input!$1:$1048576,S$93,$C289*2+MIN($B289,2)+5)
+INDEX(Scenarios!S$121:S$200,MATCH($B289,Scenarios!$B$121:$B$200,0)),),"Market")</f>
        <v>0</v>
      </c>
      <c r="T289" s="478">
        <f>IFERROR(MAX(0,INDEX(Input!$1:$1048576,T$93,$C289*2+MIN($B289,2)+5)
+INDEX(Scenarios!T$121:T$200,MATCH($B289,Scenarios!$B$121:$B$200,0)),),"Market")</f>
        <v>0</v>
      </c>
      <c r="U289" s="478">
        <f>IFERROR(MAX(0,INDEX(Input!$1:$1048576,U$93,$C289*2+MIN($B289,2)+5)
+INDEX(Scenarios!U$121:U$200,MATCH($B289,Scenarios!$B$121:$B$200,0)),),"Market")</f>
        <v>0</v>
      </c>
      <c r="V289" s="478">
        <f>IFERROR(MAX(0,INDEX(Input!$1:$1048576,V$93,$C289*2+MIN($B289,2)+5)
+INDEX(Scenarios!V$121:V$200,MATCH($B289,Scenarios!$B$121:$B$200,0)),),"Market")</f>
        <v>1.9E-2</v>
      </c>
      <c r="W289" s="885">
        <f>IFERROR(MAX(0,INDEX(Input!$1:$1048576,W$93,$C289*2+MIN($B289,2)+5)-0%,),"Market")</f>
        <v>3.9E-2</v>
      </c>
      <c r="X289" s="476" t="str">
        <f>INDEX(Input!$1:$1048576,X$93,$C289*2+MIN($B289,2)+5)</f>
        <v>Y</v>
      </c>
      <c r="Y289" s="475">
        <f>INDEX(Input!$1:$1048576,Y$93,$C289*2+MIN($B289,2)+5)
++INDEX(Scenarios!Y$121:Y$200,MATCH($B289,Scenarios!$B$121:$B$200,0))</f>
        <v>56</v>
      </c>
      <c r="Z289" s="477">
        <f>INDEX(Input!$1:$1048576,Z$93,$C289*2+MIN($B289,2)+5)
+INDEX(Scenarios!Z$121:Z$200,MATCH($B289,Scenarios!$B$121:$B$200,0))</f>
        <v>0</v>
      </c>
      <c r="AA289" s="475">
        <f>INDEX(Input!$1:$1048576,AA$93,$C289*2+MIN($B289,2)+5)
+INDEX(Scenarios!AA$121:AA$200,MATCH($B289,Scenarios!$B$121:$B$200,0))</f>
        <v>0</v>
      </c>
      <c r="AB289" s="476">
        <f>INDEX(Input!$1:$1048576,AB$93,$C289*2+MIN($B289,2)+5)</f>
        <v>0.27</v>
      </c>
      <c r="AC289" s="475">
        <f>INDEX(Input!$1:$1048576,AC$93,$C289*2+MIN($B289,2)+5)
+INDEX(Scenarios!AC$121:AC$200,MATCH($B289,Scenarios!$B$121:$B$200,0))</f>
        <v>0</v>
      </c>
      <c r="AD289" s="476">
        <f>INDEX(Input!$1:$1048576,AD$93,$C289*2+MIN($B289,2)+5)</f>
        <v>0.27</v>
      </c>
      <c r="AE289" s="475">
        <f>INDEX(Input!$1:$1048576,AE$93,$C289*2+MIN($B289,2)+5)
+INDEX(Scenarios!AE$121:AE$200,MATCH($B289,Scenarios!$B$121:$B$200,0))</f>
        <v>0</v>
      </c>
      <c r="AF289" s="476">
        <f>INDEX(Input!$1:$1048576,AF$93,$C289*2+MIN($B289,2)+5)</f>
        <v>4.8000000000000001E-2</v>
      </c>
      <c r="AG289" s="475">
        <f>INDEX(Input!$1:$1048576,AG$93,$C289*2+MIN($B289,2)+5)
+INDEX(Scenarios!AG$121:AG$200,MATCH($B289,Scenarios!$B$121:$B$200,0))</f>
        <v>500</v>
      </c>
      <c r="AH289" s="476">
        <f>INDEX(Input!$1:$1048576,AH$93,$C289*2+MIN($B289,2)+5)</f>
        <v>0.94599999999999995</v>
      </c>
      <c r="AI289" s="475">
        <f>INDEX(Input!$1:$1048576,AI$93,$C289*2+MIN($B289,2)+5)
+INDEX(Scenarios!AI$121:AI$200,MATCH($B289,Scenarios!$B$121:$B$200,0))</f>
        <v>0</v>
      </c>
      <c r="AJ289" s="476">
        <f>INDEX(Input!$1:$1048576,AJ$93,$C289*2+MIN($B289,2)+5)</f>
        <v>0.27</v>
      </c>
      <c r="AK289" s="150">
        <f>ROUND(INDEX(Input!$1:$1048576,AK$93,$C288*2+MIN($B289,1)+5)+(Y289-VLOOKUP($C289*1000+1,$A:$HH,Y$92,FALSE)),0)</f>
        <v>2977</v>
      </c>
      <c r="AL289" s="150">
        <f>ROUND(INDEX(Input!$1:$1048576,AL$93,$C288*2+MIN($B289,1)+5)-(Y289-VLOOKUP($C289*1000+1,$A:$HH,Y$92,FALSE))/36,0)</f>
        <v>3395</v>
      </c>
      <c r="AM289" s="32" t="str">
        <f t="shared" si="800"/>
        <v>std/std/std/std</v>
      </c>
      <c r="AN289" s="32" t="str">
        <f t="shared" si="801"/>
        <v>$0 + 0/0/0/1.9/3.9</v>
      </c>
      <c r="AO289" s="32" t="str">
        <f t="shared" si="802"/>
        <v>0/0/0/1.9/3.9</v>
      </c>
      <c r="AP289" s="32" t="str">
        <f t="shared" si="734"/>
        <v>0/0.9/1.9/3.9</v>
      </c>
      <c r="AQ289" s="536">
        <f t="shared" si="733"/>
        <v>0</v>
      </c>
      <c r="AR289" s="32"/>
      <c r="AS289" s="302"/>
      <c r="AT289" s="3">
        <f t="shared" si="856"/>
        <v>89</v>
      </c>
      <c r="AU289" s="41" t="s">
        <v>121</v>
      </c>
      <c r="AV289" s="41" t="s">
        <v>116</v>
      </c>
      <c r="AW289" s="41" t="str">
        <f>INDEX(Input!$1:$1048576,AW$93,$C289*2+6)</f>
        <v>Kia</v>
      </c>
      <c r="AX289" s="41" t="str">
        <f>INDEX(Input!$1:$1048576,AX$93,$C289*2+6)</f>
        <v>Kia-LR - L2</v>
      </c>
      <c r="AY289" s="41" t="str">
        <f>IF(LEN(D289)=0,"",INDEX(Input!$1:$1048576,AY$93,$C289*2+6))</f>
        <v/>
      </c>
      <c r="AZ289" s="41" t="str">
        <f>INDEX(Input!$1:$1048576,AZ$93,$C289*2+6)</f>
        <v>Kia Soul</v>
      </c>
      <c r="BA289" s="3">
        <f>INDEX(Input!$1:$1048576,BA$93,$C289*2+6)</f>
        <v>2020</v>
      </c>
      <c r="BB289" s="128">
        <f>INDEX(Input!$1:$1048576,BB$93,$C289*2+6)</f>
        <v>1</v>
      </c>
      <c r="BC289" s="128">
        <f>INDEX(Input!$1:$1048576,BC$93,$C289*2+6)</f>
        <v>0.7</v>
      </c>
      <c r="BD289" s="1">
        <f>INDEX(Input!$1:$1048576,BD$93,$C289*2+6)</f>
        <v>4.4999999999999998E-2</v>
      </c>
      <c r="BE289" s="1">
        <f>INDEX(Input!$1:$1048576,BE$93,$C289*2+6)</f>
        <v>4.4999999999999998E-2</v>
      </c>
      <c r="BF289" s="1">
        <f>INDEX(Input!$1:$1048576,BF$93,$C289*2+6)</f>
        <v>0.05</v>
      </c>
      <c r="BG289" s="1">
        <f>INDEX(Input!$1:$1048576,BG$93,$C289*2+6)</f>
        <v>5.45E-2</v>
      </c>
      <c r="BH289" s="1">
        <f>INDEX(Input!$1:$1048576,BH$93,$C289*2+6)</f>
        <v>5.45E-2</v>
      </c>
      <c r="BI289" s="1">
        <f>INDEX(Input!$1:$1048576,BI$93,$C289*2+6)</f>
        <v>0.05</v>
      </c>
      <c r="BJ289" s="1">
        <f>INDEX(Input!$1:$1048576,BJ$93,$C289*2+6)</f>
        <v>0.05</v>
      </c>
      <c r="BK289" s="1">
        <f>INDEX(Input!$1:$1048576,BK$93,$C289*2+6)</f>
        <v>0.05</v>
      </c>
      <c r="BL289" s="1">
        <f>INDEX(Input!$1:$1048576,BL$93,$C289*2+6)</f>
        <v>5.5E-2</v>
      </c>
      <c r="BM289" s="1">
        <f>INDEX(Input!$1:$1048576,BM$93,$C289*2+6)</f>
        <v>0.06</v>
      </c>
      <c r="BN289" s="1">
        <f>INDEX(Input!$1:$1048576,BN$93,$C289*2+6)</f>
        <v>4.4999999999999998E-2</v>
      </c>
      <c r="BO289" s="1">
        <f>INDEX(Input!$1:$1048576,BO$93,$C289*2+6)</f>
        <v>4.4999999999999998E-2</v>
      </c>
      <c r="BP289" s="1">
        <f>INDEX(Input!$1:$1048576,BP$93,$C289*2+6)</f>
        <v>0.05</v>
      </c>
      <c r="BQ289" s="1">
        <f>INDEX(Input!$1:$1048576,BQ$93,$C289*2+6)</f>
        <v>5.45E-2</v>
      </c>
      <c r="BR289" s="1">
        <f>INDEX(Input!$1:$1048576,BR$93,$C289*2+6)</f>
        <v>5.45E-2</v>
      </c>
      <c r="BS289" s="1">
        <f>INDEX(Input!$1:$1048576,BS$93,$C289*2+6)</f>
        <v>0.05</v>
      </c>
      <c r="BT289" s="1">
        <f>INDEX(Input!$1:$1048576,BT$93,$C289*2+6)</f>
        <v>0.05</v>
      </c>
      <c r="BU289" s="1">
        <f>INDEX(Input!$1:$1048576,BU$93,$C289*2+6)</f>
        <v>0.05</v>
      </c>
      <c r="BV289" s="1">
        <f>INDEX(Input!$1:$1048576,BV$93,$C289*2+6)</f>
        <v>5.5E-2</v>
      </c>
      <c r="BW289" s="1">
        <f>INDEX(Input!$1:$1048576,BW$93,$C289*2+6)</f>
        <v>0.06</v>
      </c>
      <c r="BX289" s="127">
        <f>INDEX(Input!$1:$1048576,BX$93,$C289*2+6)</f>
        <v>19985</v>
      </c>
      <c r="BY289" s="20">
        <f>INDEX(Input!$1:$1048576,BY$93,$C289*2+6)</f>
        <v>0.1</v>
      </c>
      <c r="BZ289" s="20">
        <f>INDEX(Input!$1:$1048576,BZ$93,$C289*2+6)</f>
        <v>0.1</v>
      </c>
      <c r="CA289" s="20">
        <f>INDEX(Input!$1:$1048576,CA$93,$C289*2+6)</f>
        <v>0.1</v>
      </c>
      <c r="CB289" s="20">
        <f>INDEX(Input!$1:$1048576,CB$93,$C289*2+6)</f>
        <v>0.1</v>
      </c>
      <c r="CC289" s="20">
        <f>INDEX(Input!$1:$1048576,CC$93,$C289*2+6)</f>
        <v>0.1</v>
      </c>
      <c r="CD289" s="384">
        <f>INDEX(Input!$1:$1048576,CD$93,$C289*2+6)</f>
        <v>0.1</v>
      </c>
      <c r="CE289" s="384">
        <f>INDEX(Input!$1:$1048576,CE$93,$C289*2+6)</f>
        <v>0.1</v>
      </c>
      <c r="CF289" s="384">
        <f>INDEX(Input!$1:$1048576,CF$93,$C289*2+6)</f>
        <v>0.1</v>
      </c>
      <c r="CG289" s="384">
        <f>INDEX(Input!$1:$1048576,CG$93,$C289*2+6)</f>
        <v>0.1</v>
      </c>
      <c r="CH289" s="384">
        <f>INDEX(Input!$1:$1048576,CH$93,$C289*2+6)</f>
        <v>0.1</v>
      </c>
      <c r="CI289" s="304">
        <f t="shared" si="735"/>
        <v>1269.7618664521319</v>
      </c>
      <c r="CJ289" s="16" t="str">
        <f>INDEX(Input!$1:$1048576,CJ$93,$C289*2+6)</f>
        <v>N</v>
      </c>
      <c r="CK289" s="1" t="str">
        <f t="shared" si="736"/>
        <v>Market</v>
      </c>
      <c r="CL289" s="1" t="str">
        <f t="shared" si="737"/>
        <v>Market</v>
      </c>
      <c r="CM289" s="1" t="str">
        <f t="shared" si="738"/>
        <v>Market</v>
      </c>
      <c r="CN289" s="1" t="str">
        <f t="shared" si="739"/>
        <v>Market</v>
      </c>
      <c r="CO289" s="1" t="str">
        <f t="shared" si="740"/>
        <v>Market</v>
      </c>
      <c r="CP289" s="304">
        <f t="shared" si="741"/>
        <v>473</v>
      </c>
      <c r="CQ289" s="1">
        <f t="shared" si="742"/>
        <v>0</v>
      </c>
      <c r="CR289" s="1">
        <f t="shared" si="743"/>
        <v>0</v>
      </c>
      <c r="CS289" s="1">
        <f t="shared" si="744"/>
        <v>0</v>
      </c>
      <c r="CT289" s="1">
        <f t="shared" si="745"/>
        <v>1.9E-2</v>
      </c>
      <c r="CU289" s="1">
        <f t="shared" si="746"/>
        <v>3.9E-2</v>
      </c>
      <c r="CV289" s="304">
        <f t="shared" si="747"/>
        <v>56</v>
      </c>
      <c r="CW289" s="20" t="s">
        <v>122</v>
      </c>
      <c r="CX289" s="20" t="s">
        <v>122</v>
      </c>
      <c r="CY289" s="20" t="s">
        <v>122</v>
      </c>
      <c r="CZ289" s="20" t="s">
        <v>122</v>
      </c>
      <c r="DA289" s="20" t="s">
        <v>122</v>
      </c>
      <c r="DB289" s="503">
        <f t="shared" si="748"/>
        <v>0</v>
      </c>
      <c r="DC289" s="127">
        <v>0</v>
      </c>
      <c r="DD289" s="127">
        <v>0</v>
      </c>
      <c r="DE289" s="127">
        <v>0</v>
      </c>
      <c r="DF289" s="127">
        <v>0</v>
      </c>
      <c r="DG289" s="127">
        <v>0</v>
      </c>
      <c r="DH289" s="127">
        <v>0</v>
      </c>
      <c r="DI289" s="127">
        <v>0</v>
      </c>
      <c r="DJ289" s="127">
        <v>0</v>
      </c>
      <c r="DK289" s="127">
        <v>0</v>
      </c>
      <c r="DL289" s="127">
        <v>0</v>
      </c>
      <c r="DM289" s="304">
        <f>INDEX(Input!$1:$1048576,DM$93,$C289*2+6)</f>
        <v>21036.84210526316</v>
      </c>
      <c r="DN289" s="20">
        <v>0</v>
      </c>
      <c r="DO289" s="20">
        <v>0</v>
      </c>
      <c r="DP289" s="20">
        <v>0</v>
      </c>
      <c r="DQ289" s="20">
        <v>0</v>
      </c>
      <c r="DR289" s="20">
        <v>0</v>
      </c>
      <c r="DS289" s="20">
        <f>INDEX(Input!$1:$1048576,DS$93,$C289*2+6)</f>
        <v>0.6</v>
      </c>
      <c r="DT289" s="20">
        <f>INDEX(Input!$1:$1048576,DT$93,$C289*2+6)</f>
        <v>0.55000000000000004</v>
      </c>
      <c r="DU289" s="20">
        <f>INDEX(Input!$1:$1048576,DU$93,$C289*2+6)</f>
        <v>0.52</v>
      </c>
      <c r="DV289" s="20">
        <f>INDEX(Input!$1:$1048576,DV$93,$C289*2+6)</f>
        <v>0.5</v>
      </c>
      <c r="DW289" s="20">
        <f>INDEX(Input!$1:$1048576,DW$93,$C289*2+6)</f>
        <v>0.45</v>
      </c>
      <c r="DX289" s="20"/>
      <c r="DY289" s="7"/>
      <c r="DZ289" s="7"/>
      <c r="EA289" s="7"/>
      <c r="EB289" s="7"/>
      <c r="EC289" s="7"/>
      <c r="ED289" s="7"/>
      <c r="EE289" s="7"/>
      <c r="EF289" s="7"/>
      <c r="EG289" s="7"/>
      <c r="EH289" s="7"/>
      <c r="EI289" s="7"/>
      <c r="EJ289" s="7"/>
      <c r="EK289" s="7"/>
      <c r="EL289" s="7"/>
      <c r="EM289" s="7"/>
      <c r="EN289" s="7"/>
      <c r="EO289" s="7"/>
      <c r="EP289" s="7"/>
      <c r="EQ289" s="7"/>
      <c r="ER289" s="7"/>
      <c r="ES289" s="7"/>
      <c r="ET289" s="7"/>
      <c r="EU289" s="6"/>
      <c r="EV289" s="6"/>
      <c r="EW289" s="6"/>
      <c r="EX289" s="6"/>
      <c r="EY289" s="6"/>
      <c r="EZ289" s="6"/>
      <c r="FA289" s="6"/>
      <c r="FB289" s="6"/>
      <c r="FC289" s="6"/>
      <c r="FD289" s="6"/>
      <c r="FE289" s="6"/>
      <c r="FF289" s="6"/>
      <c r="FG289" s="6"/>
      <c r="FH289" s="6"/>
      <c r="FI289" s="6"/>
      <c r="FJ289" s="6"/>
      <c r="FK289" s="6"/>
      <c r="FL289" s="6"/>
      <c r="FM289" s="6"/>
      <c r="FN289" s="6"/>
      <c r="FO289" s="6"/>
      <c r="FP289" s="6"/>
      <c r="FQ289" s="6"/>
      <c r="FR289" s="6"/>
      <c r="FS289" s="6"/>
      <c r="FT289" s="7"/>
      <c r="FU289" s="7"/>
      <c r="FV289" s="7"/>
      <c r="FW289" s="6"/>
      <c r="FX289" s="6"/>
      <c r="FY289" s="6"/>
      <c r="FZ289" s="6"/>
      <c r="GA289" s="6"/>
      <c r="GB289" s="6"/>
      <c r="GC289" s="7"/>
      <c r="GD289" s="7"/>
      <c r="GE289" s="7"/>
      <c r="GF289" s="7"/>
      <c r="GG289" s="7"/>
      <c r="GH289" s="42"/>
      <c r="GI289" s="6"/>
      <c r="GJ289" s="14"/>
      <c r="GK289" s="14"/>
      <c r="GL289" s="14"/>
      <c r="GM289" s="14"/>
      <c r="GO289" s="5"/>
      <c r="GP289" s="5"/>
      <c r="GQ289" s="5"/>
      <c r="GR289" s="5"/>
      <c r="GS289" s="5"/>
      <c r="GT289" s="5"/>
      <c r="GU289" s="5"/>
      <c r="GV289" s="39"/>
      <c r="GW289" s="5"/>
      <c r="GX289" s="5"/>
      <c r="GY289" s="5"/>
      <c r="GZ289" s="5"/>
      <c r="HA289" s="5"/>
      <c r="HB289" s="39"/>
      <c r="HC289" s="5"/>
      <c r="HD289" s="5"/>
      <c r="HE289" s="5"/>
      <c r="HF289" s="5"/>
      <c r="HG289" s="5"/>
      <c r="HH289" s="39"/>
      <c r="HI289" s="16"/>
      <c r="HJ289" s="19"/>
      <c r="HK289" s="1"/>
      <c r="HL289" s="16"/>
      <c r="HM289" s="1"/>
      <c r="HN289" s="1"/>
      <c r="HO289" s="1"/>
      <c r="HP289" s="1"/>
      <c r="HQ289" s="1"/>
      <c r="HR289" s="1"/>
      <c r="HS289" s="1"/>
      <c r="HT289" s="1"/>
      <c r="HU289" s="1"/>
      <c r="HV289" s="1"/>
      <c r="HW289" s="1"/>
      <c r="HX289" s="1"/>
      <c r="HY289" s="1"/>
      <c r="HZ289" s="1"/>
      <c r="IA289" s="1"/>
      <c r="IB289" s="1"/>
      <c r="IC289" s="1"/>
      <c r="ID289" s="1"/>
      <c r="IE289" s="1"/>
      <c r="IF289" s="1"/>
      <c r="IG289" s="1"/>
      <c r="IH289" s="21"/>
      <c r="II289" s="19"/>
      <c r="IJ289" s="19"/>
      <c r="IK289" s="19"/>
      <c r="IL289" s="19"/>
      <c r="IM289" s="19"/>
      <c r="IN289" s="19"/>
      <c r="IO289" s="39"/>
      <c r="IP289" s="39"/>
      <c r="IQ289" s="39"/>
      <c r="IR289" s="39"/>
      <c r="IS289" s="39"/>
      <c r="IT289" s="39"/>
      <c r="IU289" s="39"/>
      <c r="IV289" s="39"/>
      <c r="IW289" s="39"/>
      <c r="IX289" s="39"/>
      <c r="IY289" s="39"/>
      <c r="IZ289" s="39"/>
      <c r="JA289" s="19"/>
      <c r="JB289" s="19"/>
      <c r="JC289" s="19"/>
      <c r="JD289" s="19"/>
      <c r="JE289" s="21"/>
      <c r="JF289" s="1"/>
      <c r="JG289" s="15"/>
      <c r="JH289" s="1"/>
      <c r="JI289" s="1"/>
      <c r="JJ289" s="1"/>
      <c r="JK289" s="1"/>
      <c r="JL289" s="15"/>
      <c r="JM289" s="15"/>
      <c r="JN289" s="21"/>
      <c r="JO289" s="19"/>
      <c r="JP289" s="19"/>
      <c r="JQ289" s="39"/>
      <c r="JR289" s="39"/>
      <c r="JS289" s="39"/>
      <c r="JT289" s="39"/>
      <c r="JU289" s="385"/>
      <c r="JV289" s="39"/>
      <c r="JW289" s="1"/>
      <c r="JX289" s="19"/>
      <c r="JZ289" s="341"/>
      <c r="KA289" s="342"/>
      <c r="KB289" s="469"/>
      <c r="KI289" s="473"/>
      <c r="KJ289" s="473"/>
      <c r="KK289" s="473"/>
    </row>
    <row r="290" spans="1:310" s="26" customFormat="1" ht="15" outlineLevel="1">
      <c r="A290" s="561">
        <f t="shared" si="799"/>
        <v>2090</v>
      </c>
      <c r="B290" s="561">
        <f t="shared" si="817"/>
        <v>90</v>
      </c>
      <c r="C290" s="561">
        <f t="shared" si="760"/>
        <v>2</v>
      </c>
      <c r="D290" s="561" t="str">
        <f t="shared" si="861"/>
        <v/>
      </c>
      <c r="E290" s="475">
        <f>INDEX(Input!$1:$1048576,E$93,$C290*2+MIN($B290,2)+5)
+INDEX(Scenarios!E$121:E$200,MATCH($B290,Scenarios!$B$121:$B$200,0))</f>
        <v>1269.7618664521319</v>
      </c>
      <c r="F290" s="475">
        <f>INDEX(Input!$1:$1048576,F$93,$C290*2+MIN($B290,2)+5)
+INDEX(Scenarios!F$121:F$200,MATCH($B290,Scenarios!$B$121:$B$200,0))</f>
        <v>0</v>
      </c>
      <c r="G290" s="475">
        <f>INDEX(Input!$1:$1048576,G$93,$C290*2+MIN($B290,2)+5)
+INDEX(Scenarios!G$121:G$200,MATCH($B290,Scenarios!$B$121:$B$200,0))</f>
        <v>0</v>
      </c>
      <c r="H290" s="475">
        <f>INDEX(Input!$1:$1048576,H$93,$C290*2+MIN($B290,2)+5)
+INDEX(Scenarios!H$121:H$200,MATCH($B290,Scenarios!$B$121:$B$200,0))</f>
        <v>0</v>
      </c>
      <c r="I290" s="476">
        <f>INDEX(Input!$1:$1048576,I$93,$C290*2+MIN($B290,2)+5)</f>
        <v>0.7</v>
      </c>
      <c r="J290" s="476" t="str">
        <f>INDEX(Input!$1:$1048576,J$93,$C290*2+MIN($B290,2)+5)</f>
        <v>Market</v>
      </c>
      <c r="K290" s="476" t="str">
        <f>INDEX(Input!$1:$1048576,K$93,$C290*2+MIN($B290,2)+5)</f>
        <v>Market</v>
      </c>
      <c r="L290" s="476" t="str">
        <f>INDEX(Input!$1:$1048576,L$93,$C290*2+MIN($B290,2)+5)</f>
        <v>Market</v>
      </c>
      <c r="M290" s="476" t="str">
        <f>INDEX(Input!$1:$1048576,M$93,$C290*2+MIN($B290,2)+5)</f>
        <v>Market</v>
      </c>
      <c r="N290" s="476" t="str">
        <f>INDEX(Input!$1:$1048576,N$93,$C290*2+MIN($B290,2)+5)</f>
        <v>Market</v>
      </c>
      <c r="O290" s="476" t="str">
        <f>INDEX(Input!$1:$1048576,O$93,$C290*2+MIN($B290,2)+5)</f>
        <v>Market</v>
      </c>
      <c r="P290" s="476" t="str">
        <f>INDEX(Input!$1:$1048576,P$93,$C290*2+MIN($B290,2)+5)</f>
        <v>N</v>
      </c>
      <c r="Q290" s="477">
        <f>INDEX(Input!$1:$1048576,Q$93,$C290*2+MIN($B290,2)+5)
+INDEX(Scenarios!Q$121:Q$200,MATCH($B290,Scenarios!$B$121:$B$200,0))</f>
        <v>0</v>
      </c>
      <c r="R290" s="478">
        <f>IFERROR(MAX(0,INDEX(Input!$1:$1048576,R$93,$C290*2+MIN($B290,2)+5)
+INDEX(Scenarios!R$121:R$200,MATCH($B290,Scenarios!$B$121:$B$200,0)),),"Market")</f>
        <v>0</v>
      </c>
      <c r="S290" s="478">
        <f>IFERROR(MAX(0,INDEX(Input!$1:$1048576,S$93,$C290*2+MIN($B290,2)+5)
+INDEX(Scenarios!S$121:S$200,MATCH($B290,Scenarios!$B$121:$B$200,0)),),"Market")</f>
        <v>0</v>
      </c>
      <c r="T290" s="478">
        <f>IFERROR(MAX(0,INDEX(Input!$1:$1048576,T$93,$C290*2+MIN($B290,2)+5)
+INDEX(Scenarios!T$121:T$200,MATCH($B290,Scenarios!$B$121:$B$200,0)),),"Market")</f>
        <v>0</v>
      </c>
      <c r="U290" s="478">
        <f>IFERROR(MAX(0,INDEX(Input!$1:$1048576,U$93,$C290*2+MIN($B290,2)+5)
+INDEX(Scenarios!U$121:U$200,MATCH($B290,Scenarios!$B$121:$B$200,0)),),"Market")</f>
        <v>0</v>
      </c>
      <c r="V290" s="478">
        <f>IFERROR(MAX(0,INDEX(Input!$1:$1048576,V$93,$C290*2+MIN($B290,2)+5)
+INDEX(Scenarios!V$121:V$200,MATCH($B290,Scenarios!$B$121:$B$200,0)),),"Market")</f>
        <v>1.9E-2</v>
      </c>
      <c r="W290" s="885">
        <f>IFERROR(MAX(0,INDEX(Input!$1:$1048576,W$93,$C290*2+MIN($B290,2)+5)-0%,),"Market")</f>
        <v>3.9E-2</v>
      </c>
      <c r="X290" s="476" t="str">
        <f>INDEX(Input!$1:$1048576,X$93,$C290*2+MIN($B290,2)+5)</f>
        <v>Y</v>
      </c>
      <c r="Y290" s="475">
        <f>INDEX(Input!$1:$1048576,Y$93,$C290*2+MIN($B290,2)+5)
++INDEX(Scenarios!Y$121:Y$200,MATCH($B290,Scenarios!$B$121:$B$200,0))</f>
        <v>56</v>
      </c>
      <c r="Z290" s="477">
        <f>INDEX(Input!$1:$1048576,Z$93,$C290*2+MIN($B290,2)+5)
+INDEX(Scenarios!Z$121:Z$200,MATCH($B290,Scenarios!$B$121:$B$200,0))</f>
        <v>0</v>
      </c>
      <c r="AA290" s="475">
        <f>INDEX(Input!$1:$1048576,AA$93,$C290*2+MIN($B290,2)+5)
+INDEX(Scenarios!AA$121:AA$200,MATCH($B290,Scenarios!$B$121:$B$200,0))</f>
        <v>0</v>
      </c>
      <c r="AB290" s="476">
        <f>INDEX(Input!$1:$1048576,AB$93,$C290*2+MIN($B290,2)+5)</f>
        <v>0.27</v>
      </c>
      <c r="AC290" s="475">
        <f>INDEX(Input!$1:$1048576,AC$93,$C290*2+MIN($B290,2)+5)
+INDEX(Scenarios!AC$121:AC$200,MATCH($B290,Scenarios!$B$121:$B$200,0))</f>
        <v>0</v>
      </c>
      <c r="AD290" s="476">
        <f>INDEX(Input!$1:$1048576,AD$93,$C290*2+MIN($B290,2)+5)</f>
        <v>0.27</v>
      </c>
      <c r="AE290" s="475">
        <f>INDEX(Input!$1:$1048576,AE$93,$C290*2+MIN($B290,2)+5)
+INDEX(Scenarios!AE$121:AE$200,MATCH($B290,Scenarios!$B$121:$B$200,0))</f>
        <v>0</v>
      </c>
      <c r="AF290" s="476">
        <f>INDEX(Input!$1:$1048576,AF$93,$C290*2+MIN($B290,2)+5)</f>
        <v>4.8000000000000001E-2</v>
      </c>
      <c r="AG290" s="475">
        <f>INDEX(Input!$1:$1048576,AG$93,$C290*2+MIN($B290,2)+5)
+INDEX(Scenarios!AG$121:AG$200,MATCH($B290,Scenarios!$B$121:$B$200,0))</f>
        <v>500</v>
      </c>
      <c r="AH290" s="476">
        <f>INDEX(Input!$1:$1048576,AH$93,$C290*2+MIN($B290,2)+5)</f>
        <v>0.94599999999999995</v>
      </c>
      <c r="AI290" s="475">
        <f>INDEX(Input!$1:$1048576,AI$93,$C290*2+MIN($B290,2)+5)
+INDEX(Scenarios!AI$121:AI$200,MATCH($B290,Scenarios!$B$121:$B$200,0))</f>
        <v>0</v>
      </c>
      <c r="AJ290" s="476">
        <f>INDEX(Input!$1:$1048576,AJ$93,$C290*2+MIN($B290,2)+5)</f>
        <v>0.27</v>
      </c>
      <c r="AK290" s="150">
        <f>ROUND(INDEX(Input!$1:$1048576,AK$93,$C289*2+MIN($B290,1)+5)+(Y290-VLOOKUP($C290*1000+1,$A:$HH,Y$92,FALSE)),0)</f>
        <v>2977</v>
      </c>
      <c r="AL290" s="150">
        <f>ROUND(INDEX(Input!$1:$1048576,AL$93,$C289*2+MIN($B290,1)+5)-(Y290-VLOOKUP($C290*1000+1,$A:$HH,Y$92,FALSE))/36,0)</f>
        <v>3395</v>
      </c>
      <c r="AM290" s="32" t="str">
        <f t="shared" si="800"/>
        <v>std/std/std/std</v>
      </c>
      <c r="AN290" s="32" t="str">
        <f t="shared" si="801"/>
        <v>$0 + 0/0/0/1.9/3.9</v>
      </c>
      <c r="AO290" s="32" t="str">
        <f t="shared" si="802"/>
        <v>0/0/0/1.9/3.9</v>
      </c>
      <c r="AP290" s="32" t="str">
        <f t="shared" si="734"/>
        <v>0/0.9/1.9/3.9</v>
      </c>
      <c r="AQ290" s="536">
        <f t="shared" si="733"/>
        <v>0</v>
      </c>
      <c r="AR290" s="32"/>
      <c r="AS290" s="302"/>
      <c r="AT290" s="3">
        <f t="shared" si="856"/>
        <v>90</v>
      </c>
      <c r="AU290" s="41" t="s">
        <v>121</v>
      </c>
      <c r="AV290" s="41" t="s">
        <v>116</v>
      </c>
      <c r="AW290" s="41" t="str">
        <f>INDEX(Input!$1:$1048576,AW$93,$C290*2+6)</f>
        <v>Kia</v>
      </c>
      <c r="AX290" s="41" t="str">
        <f>INDEX(Input!$1:$1048576,AX$93,$C290*2+6)</f>
        <v>Kia-LR - L2</v>
      </c>
      <c r="AY290" s="41" t="str">
        <f>IF(LEN(D290)=0,"",INDEX(Input!$1:$1048576,AY$93,$C290*2+6))</f>
        <v/>
      </c>
      <c r="AZ290" s="41" t="str">
        <f>INDEX(Input!$1:$1048576,AZ$93,$C290*2+6)</f>
        <v>Kia Soul</v>
      </c>
      <c r="BA290" s="3">
        <f>INDEX(Input!$1:$1048576,BA$93,$C290*2+6)</f>
        <v>2020</v>
      </c>
      <c r="BB290" s="128">
        <f>INDEX(Input!$1:$1048576,BB$93,$C290*2+6)</f>
        <v>1</v>
      </c>
      <c r="BC290" s="128">
        <f>INDEX(Input!$1:$1048576,BC$93,$C290*2+6)</f>
        <v>0.7</v>
      </c>
      <c r="BD290" s="1">
        <f>INDEX(Input!$1:$1048576,BD$93,$C290*2+6)</f>
        <v>4.4999999999999998E-2</v>
      </c>
      <c r="BE290" s="1">
        <f>INDEX(Input!$1:$1048576,BE$93,$C290*2+6)</f>
        <v>4.4999999999999998E-2</v>
      </c>
      <c r="BF290" s="1">
        <f>INDEX(Input!$1:$1048576,BF$93,$C290*2+6)</f>
        <v>0.05</v>
      </c>
      <c r="BG290" s="1">
        <f>INDEX(Input!$1:$1048576,BG$93,$C290*2+6)</f>
        <v>5.45E-2</v>
      </c>
      <c r="BH290" s="1">
        <f>INDEX(Input!$1:$1048576,BH$93,$C290*2+6)</f>
        <v>5.45E-2</v>
      </c>
      <c r="BI290" s="1">
        <f>INDEX(Input!$1:$1048576,BI$93,$C290*2+6)</f>
        <v>0.05</v>
      </c>
      <c r="BJ290" s="1">
        <f>INDEX(Input!$1:$1048576,BJ$93,$C290*2+6)</f>
        <v>0.05</v>
      </c>
      <c r="BK290" s="1">
        <f>INDEX(Input!$1:$1048576,BK$93,$C290*2+6)</f>
        <v>0.05</v>
      </c>
      <c r="BL290" s="1">
        <f>INDEX(Input!$1:$1048576,BL$93,$C290*2+6)</f>
        <v>5.5E-2</v>
      </c>
      <c r="BM290" s="1">
        <f>INDEX(Input!$1:$1048576,BM$93,$C290*2+6)</f>
        <v>0.06</v>
      </c>
      <c r="BN290" s="1">
        <f>INDEX(Input!$1:$1048576,BN$93,$C290*2+6)</f>
        <v>4.4999999999999998E-2</v>
      </c>
      <c r="BO290" s="1">
        <f>INDEX(Input!$1:$1048576,BO$93,$C290*2+6)</f>
        <v>4.4999999999999998E-2</v>
      </c>
      <c r="BP290" s="1">
        <f>INDEX(Input!$1:$1048576,BP$93,$C290*2+6)</f>
        <v>0.05</v>
      </c>
      <c r="BQ290" s="1">
        <f>INDEX(Input!$1:$1048576,BQ$93,$C290*2+6)</f>
        <v>5.45E-2</v>
      </c>
      <c r="BR290" s="1">
        <f>INDEX(Input!$1:$1048576,BR$93,$C290*2+6)</f>
        <v>5.45E-2</v>
      </c>
      <c r="BS290" s="1">
        <f>INDEX(Input!$1:$1048576,BS$93,$C290*2+6)</f>
        <v>0.05</v>
      </c>
      <c r="BT290" s="1">
        <f>INDEX(Input!$1:$1048576,BT$93,$C290*2+6)</f>
        <v>0.05</v>
      </c>
      <c r="BU290" s="1">
        <f>INDEX(Input!$1:$1048576,BU$93,$C290*2+6)</f>
        <v>0.05</v>
      </c>
      <c r="BV290" s="1">
        <f>INDEX(Input!$1:$1048576,BV$93,$C290*2+6)</f>
        <v>5.5E-2</v>
      </c>
      <c r="BW290" s="1">
        <f>INDEX(Input!$1:$1048576,BW$93,$C290*2+6)</f>
        <v>0.06</v>
      </c>
      <c r="BX290" s="127">
        <f>INDEX(Input!$1:$1048576,BX$93,$C290*2+6)</f>
        <v>19985</v>
      </c>
      <c r="BY290" s="20">
        <f>INDEX(Input!$1:$1048576,BY$93,$C290*2+6)</f>
        <v>0.1</v>
      </c>
      <c r="BZ290" s="20">
        <f>INDEX(Input!$1:$1048576,BZ$93,$C290*2+6)</f>
        <v>0.1</v>
      </c>
      <c r="CA290" s="20">
        <f>INDEX(Input!$1:$1048576,CA$93,$C290*2+6)</f>
        <v>0.1</v>
      </c>
      <c r="CB290" s="20">
        <f>INDEX(Input!$1:$1048576,CB$93,$C290*2+6)</f>
        <v>0.1</v>
      </c>
      <c r="CC290" s="20">
        <f>INDEX(Input!$1:$1048576,CC$93,$C290*2+6)</f>
        <v>0.1</v>
      </c>
      <c r="CD290" s="384">
        <f>INDEX(Input!$1:$1048576,CD$93,$C290*2+6)</f>
        <v>0.1</v>
      </c>
      <c r="CE290" s="384">
        <f>INDEX(Input!$1:$1048576,CE$93,$C290*2+6)</f>
        <v>0.1</v>
      </c>
      <c r="CF290" s="384">
        <f>INDEX(Input!$1:$1048576,CF$93,$C290*2+6)</f>
        <v>0.1</v>
      </c>
      <c r="CG290" s="384">
        <f>INDEX(Input!$1:$1048576,CG$93,$C290*2+6)</f>
        <v>0.1</v>
      </c>
      <c r="CH290" s="384">
        <f>INDEX(Input!$1:$1048576,CH$93,$C290*2+6)</f>
        <v>0.1</v>
      </c>
      <c r="CI290" s="304">
        <f t="shared" si="735"/>
        <v>1269.7618664521319</v>
      </c>
      <c r="CJ290" s="16" t="str">
        <f>INDEX(Input!$1:$1048576,CJ$93,$C290*2+6)</f>
        <v>N</v>
      </c>
      <c r="CK290" s="1" t="str">
        <f t="shared" si="736"/>
        <v>Market</v>
      </c>
      <c r="CL290" s="1" t="str">
        <f t="shared" si="737"/>
        <v>Market</v>
      </c>
      <c r="CM290" s="1" t="str">
        <f t="shared" si="738"/>
        <v>Market</v>
      </c>
      <c r="CN290" s="1" t="str">
        <f t="shared" si="739"/>
        <v>Market</v>
      </c>
      <c r="CO290" s="1" t="str">
        <f t="shared" si="740"/>
        <v>Market</v>
      </c>
      <c r="CP290" s="304">
        <f t="shared" si="741"/>
        <v>473</v>
      </c>
      <c r="CQ290" s="1">
        <f t="shared" si="742"/>
        <v>0</v>
      </c>
      <c r="CR290" s="1">
        <f t="shared" si="743"/>
        <v>0</v>
      </c>
      <c r="CS290" s="1">
        <f t="shared" si="744"/>
        <v>0</v>
      </c>
      <c r="CT290" s="1">
        <f t="shared" si="745"/>
        <v>1.9E-2</v>
      </c>
      <c r="CU290" s="1">
        <f t="shared" si="746"/>
        <v>3.9E-2</v>
      </c>
      <c r="CV290" s="304">
        <f t="shared" si="747"/>
        <v>56</v>
      </c>
      <c r="CW290" s="20" t="s">
        <v>122</v>
      </c>
      <c r="CX290" s="20" t="s">
        <v>122</v>
      </c>
      <c r="CY290" s="20" t="s">
        <v>122</v>
      </c>
      <c r="CZ290" s="20" t="s">
        <v>122</v>
      </c>
      <c r="DA290" s="20" t="s">
        <v>122</v>
      </c>
      <c r="DB290" s="503">
        <f t="shared" si="748"/>
        <v>0</v>
      </c>
      <c r="DC290" s="127">
        <v>0</v>
      </c>
      <c r="DD290" s="127">
        <v>0</v>
      </c>
      <c r="DE290" s="127">
        <v>0</v>
      </c>
      <c r="DF290" s="127">
        <v>0</v>
      </c>
      <c r="DG290" s="127">
        <v>0</v>
      </c>
      <c r="DH290" s="127">
        <v>0</v>
      </c>
      <c r="DI290" s="127">
        <v>0</v>
      </c>
      <c r="DJ290" s="127">
        <v>0</v>
      </c>
      <c r="DK290" s="127">
        <v>0</v>
      </c>
      <c r="DL290" s="127">
        <v>0</v>
      </c>
      <c r="DM290" s="304">
        <f>INDEX(Input!$1:$1048576,DM$93,$C290*2+6)</f>
        <v>21036.84210526316</v>
      </c>
      <c r="DN290" s="20">
        <v>0</v>
      </c>
      <c r="DO290" s="20">
        <v>0</v>
      </c>
      <c r="DP290" s="20">
        <v>0</v>
      </c>
      <c r="DQ290" s="20">
        <v>0</v>
      </c>
      <c r="DR290" s="20">
        <v>0</v>
      </c>
      <c r="DS290" s="20">
        <f>INDEX(Input!$1:$1048576,DS$93,$C290*2+6)</f>
        <v>0.6</v>
      </c>
      <c r="DT290" s="20">
        <f>INDEX(Input!$1:$1048576,DT$93,$C290*2+6)</f>
        <v>0.55000000000000004</v>
      </c>
      <c r="DU290" s="20">
        <f>INDEX(Input!$1:$1048576,DU$93,$C290*2+6)</f>
        <v>0.52</v>
      </c>
      <c r="DV290" s="20">
        <f>INDEX(Input!$1:$1048576,DV$93,$C290*2+6)</f>
        <v>0.5</v>
      </c>
      <c r="DW290" s="20">
        <f>INDEX(Input!$1:$1048576,DW$93,$C290*2+6)</f>
        <v>0.45</v>
      </c>
      <c r="DX290" s="20"/>
      <c r="DY290" s="7"/>
      <c r="DZ290" s="7"/>
      <c r="EA290" s="7"/>
      <c r="EB290" s="7"/>
      <c r="EC290" s="7"/>
      <c r="ED290" s="7"/>
      <c r="EE290" s="7"/>
      <c r="EF290" s="7"/>
      <c r="EG290" s="7"/>
      <c r="EH290" s="7"/>
      <c r="EI290" s="7"/>
      <c r="EJ290" s="7"/>
      <c r="EK290" s="7"/>
      <c r="EL290" s="7"/>
      <c r="EM290" s="7"/>
      <c r="EN290" s="7"/>
      <c r="EO290" s="7"/>
      <c r="EP290" s="7"/>
      <c r="EQ290" s="7"/>
      <c r="ER290" s="7"/>
      <c r="ES290" s="7"/>
      <c r="ET290" s="7"/>
      <c r="EU290" s="6"/>
      <c r="EV290" s="6"/>
      <c r="EW290" s="6"/>
      <c r="EX290" s="6"/>
      <c r="EY290" s="6"/>
      <c r="EZ290" s="6"/>
      <c r="FA290" s="6"/>
      <c r="FB290" s="6"/>
      <c r="FC290" s="6"/>
      <c r="FD290" s="6"/>
      <c r="FE290" s="6"/>
      <c r="FF290" s="6"/>
      <c r="FG290" s="6"/>
      <c r="FH290" s="6"/>
      <c r="FI290" s="6"/>
      <c r="FJ290" s="6"/>
      <c r="FK290" s="6"/>
      <c r="FL290" s="6"/>
      <c r="FM290" s="6"/>
      <c r="FN290" s="6"/>
      <c r="FO290" s="6"/>
      <c r="FP290" s="6"/>
      <c r="FQ290" s="6"/>
      <c r="FR290" s="6"/>
      <c r="FS290" s="6"/>
      <c r="FT290" s="7"/>
      <c r="FU290" s="7"/>
      <c r="FV290" s="7"/>
      <c r="FW290" s="6"/>
      <c r="FX290" s="6"/>
      <c r="FY290" s="6"/>
      <c r="FZ290" s="6"/>
      <c r="GA290" s="6"/>
      <c r="GB290" s="6"/>
      <c r="GC290" s="7"/>
      <c r="GD290" s="7"/>
      <c r="GE290" s="7"/>
      <c r="GF290" s="7"/>
      <c r="GG290" s="7"/>
      <c r="GH290" s="42"/>
      <c r="GI290" s="6"/>
      <c r="GJ290" s="14"/>
      <c r="GK290" s="14"/>
      <c r="GL290" s="14"/>
      <c r="GM290" s="14"/>
      <c r="GO290" s="5"/>
      <c r="GP290" s="5"/>
      <c r="GQ290" s="5"/>
      <c r="GR290" s="5"/>
      <c r="GS290" s="5"/>
      <c r="GT290" s="5"/>
      <c r="GU290" s="5"/>
      <c r="GV290" s="39"/>
      <c r="GW290" s="5"/>
      <c r="GX290" s="5"/>
      <c r="GY290" s="5"/>
      <c r="GZ290" s="5"/>
      <c r="HA290" s="5"/>
      <c r="HB290" s="39"/>
      <c r="HC290" s="5"/>
      <c r="HD290" s="5"/>
      <c r="HE290" s="5"/>
      <c r="HF290" s="5"/>
      <c r="HG290" s="5"/>
      <c r="HH290" s="39"/>
      <c r="HI290" s="16"/>
      <c r="HJ290" s="19"/>
      <c r="HK290" s="1"/>
      <c r="HL290" s="16"/>
      <c r="HM290" s="1"/>
      <c r="HN290" s="1"/>
      <c r="HO290" s="1"/>
      <c r="HP290" s="1"/>
      <c r="HQ290" s="1"/>
      <c r="HR290" s="1"/>
      <c r="HS290" s="1"/>
      <c r="HT290" s="1"/>
      <c r="HU290" s="1"/>
      <c r="HV290" s="1"/>
      <c r="HW290" s="1"/>
      <c r="HX290" s="1"/>
      <c r="HY290" s="1"/>
      <c r="HZ290" s="1"/>
      <c r="IA290" s="1"/>
      <c r="IB290" s="1"/>
      <c r="IC290" s="1"/>
      <c r="ID290" s="1"/>
      <c r="IE290" s="1"/>
      <c r="IF290" s="1"/>
      <c r="IG290" s="1"/>
      <c r="IH290" s="21"/>
      <c r="II290" s="19"/>
      <c r="IJ290" s="19"/>
      <c r="IK290" s="19"/>
      <c r="IL290" s="19"/>
      <c r="IM290" s="19"/>
      <c r="IN290" s="19"/>
      <c r="IO290" s="39"/>
      <c r="IP290" s="39"/>
      <c r="IQ290" s="39"/>
      <c r="IR290" s="39"/>
      <c r="IS290" s="39"/>
      <c r="IT290" s="39"/>
      <c r="IU290" s="39"/>
      <c r="IV290" s="39"/>
      <c r="IW290" s="39"/>
      <c r="IX290" s="39"/>
      <c r="IY290" s="39"/>
      <c r="IZ290" s="39"/>
      <c r="JA290" s="19"/>
      <c r="JB290" s="19"/>
      <c r="JC290" s="19"/>
      <c r="JD290" s="19"/>
      <c r="JE290" s="21"/>
      <c r="JF290" s="1"/>
      <c r="JG290" s="15"/>
      <c r="JH290" s="1"/>
      <c r="JI290" s="1"/>
      <c r="JJ290" s="1"/>
      <c r="JK290" s="1"/>
      <c r="JL290" s="15"/>
      <c r="JM290" s="15"/>
      <c r="JN290" s="21"/>
      <c r="JO290" s="19"/>
      <c r="JP290" s="19"/>
      <c r="JQ290" s="39"/>
      <c r="JR290" s="39"/>
      <c r="JS290" s="39"/>
      <c r="JT290" s="39"/>
      <c r="JU290" s="385"/>
      <c r="JV290" s="39"/>
      <c r="JW290" s="1"/>
      <c r="JX290" s="19"/>
      <c r="JZ290" s="341"/>
      <c r="KA290" s="342"/>
      <c r="KB290" s="469"/>
      <c r="KI290" s="473"/>
      <c r="KJ290" s="473"/>
      <c r="KK290" s="473"/>
    </row>
    <row r="291" spans="1:310" s="26" customFormat="1" ht="15" outlineLevel="1">
      <c r="A291" s="561">
        <f t="shared" si="799"/>
        <v>2091</v>
      </c>
      <c r="B291" s="561">
        <f t="shared" si="817"/>
        <v>91</v>
      </c>
      <c r="C291" s="561">
        <f t="shared" si="760"/>
        <v>2</v>
      </c>
      <c r="D291" s="561" t="str">
        <f t="shared" si="861"/>
        <v/>
      </c>
      <c r="E291" s="475">
        <f>INDEX(Input!$1:$1048576,E$93,$C291*2+MIN($B291,2)+5)
+INDEX(Scenarios!E$121:E$200,MATCH($B291,Scenarios!$B$121:$B$200,0))</f>
        <v>1269.7618664521319</v>
      </c>
      <c r="F291" s="475">
        <f>INDEX(Input!$1:$1048576,F$93,$C291*2+MIN($B291,2)+5)
+INDEX(Scenarios!F$121:F$200,MATCH($B291,Scenarios!$B$121:$B$200,0))</f>
        <v>0</v>
      </c>
      <c r="G291" s="475">
        <f>INDEX(Input!$1:$1048576,G$93,$C291*2+MIN($B291,2)+5)
+INDEX(Scenarios!G$121:G$200,MATCH($B291,Scenarios!$B$121:$B$200,0))</f>
        <v>0</v>
      </c>
      <c r="H291" s="475">
        <f>INDEX(Input!$1:$1048576,H$93,$C291*2+MIN($B291,2)+5)
+INDEX(Scenarios!H$121:H$200,MATCH($B291,Scenarios!$B$121:$B$200,0))</f>
        <v>0</v>
      </c>
      <c r="I291" s="476">
        <f>INDEX(Input!$1:$1048576,I$93,$C291*2+MIN($B291,2)+5)</f>
        <v>0.7</v>
      </c>
      <c r="J291" s="476" t="str">
        <f>INDEX(Input!$1:$1048576,J$93,$C291*2+MIN($B291,2)+5)</f>
        <v>Market</v>
      </c>
      <c r="K291" s="476" t="str">
        <f>INDEX(Input!$1:$1048576,K$93,$C291*2+MIN($B291,2)+5)</f>
        <v>Market</v>
      </c>
      <c r="L291" s="476" t="str">
        <f>INDEX(Input!$1:$1048576,L$93,$C291*2+MIN($B291,2)+5)</f>
        <v>Market</v>
      </c>
      <c r="M291" s="476" t="str">
        <f>INDEX(Input!$1:$1048576,M$93,$C291*2+MIN($B291,2)+5)</f>
        <v>Market</v>
      </c>
      <c r="N291" s="476" t="str">
        <f>INDEX(Input!$1:$1048576,N$93,$C291*2+MIN($B291,2)+5)</f>
        <v>Market</v>
      </c>
      <c r="O291" s="476" t="str">
        <f>INDEX(Input!$1:$1048576,O$93,$C291*2+MIN($B291,2)+5)</f>
        <v>Market</v>
      </c>
      <c r="P291" s="476" t="str">
        <f>INDEX(Input!$1:$1048576,P$93,$C291*2+MIN($B291,2)+5)</f>
        <v>N</v>
      </c>
      <c r="Q291" s="477">
        <f>INDEX(Input!$1:$1048576,Q$93,$C291*2+MIN($B291,2)+5)
+INDEX(Scenarios!Q$121:Q$200,MATCH($B291,Scenarios!$B$121:$B$200,0))</f>
        <v>0</v>
      </c>
      <c r="R291" s="478">
        <f>IFERROR(MAX(0,INDEX(Input!$1:$1048576,R$93,$C291*2+MIN($B291,2)+5)
+INDEX(Scenarios!R$121:R$200,MATCH($B291,Scenarios!$B$121:$B$200,0)),),"Market")</f>
        <v>0</v>
      </c>
      <c r="S291" s="478">
        <f>IFERROR(MAX(0,INDEX(Input!$1:$1048576,S$93,$C291*2+MIN($B291,2)+5)
+INDEX(Scenarios!S$121:S$200,MATCH($B291,Scenarios!$B$121:$B$200,0)),),"Market")</f>
        <v>0</v>
      </c>
      <c r="T291" s="478">
        <f>IFERROR(MAX(0,INDEX(Input!$1:$1048576,T$93,$C291*2+MIN($B291,2)+5)
+INDEX(Scenarios!T$121:T$200,MATCH($B291,Scenarios!$B$121:$B$200,0)),),"Market")</f>
        <v>0</v>
      </c>
      <c r="U291" s="478">
        <f>IFERROR(MAX(0,INDEX(Input!$1:$1048576,U$93,$C291*2+MIN($B291,2)+5)
+INDEX(Scenarios!U$121:U$200,MATCH($B291,Scenarios!$B$121:$B$200,0)),),"Market")</f>
        <v>0</v>
      </c>
      <c r="V291" s="478">
        <f>IFERROR(MAX(0,INDEX(Input!$1:$1048576,V$93,$C291*2+MIN($B291,2)+5)
+INDEX(Scenarios!V$121:V$200,MATCH($B291,Scenarios!$B$121:$B$200,0)),),"Market")</f>
        <v>1.9E-2</v>
      </c>
      <c r="W291" s="885">
        <f>IFERROR(MAX(0,INDEX(Input!$1:$1048576,W$93,$C291*2+MIN($B291,2)+5)-0%,),"Market")</f>
        <v>3.9E-2</v>
      </c>
      <c r="X291" s="476" t="str">
        <f>INDEX(Input!$1:$1048576,X$93,$C291*2+MIN($B291,2)+5)</f>
        <v>Y</v>
      </c>
      <c r="Y291" s="475">
        <f>INDEX(Input!$1:$1048576,Y$93,$C291*2+MIN($B291,2)+5)
++INDEX(Scenarios!Y$121:Y$200,MATCH($B291,Scenarios!$B$121:$B$200,0))</f>
        <v>56</v>
      </c>
      <c r="Z291" s="477">
        <f>INDEX(Input!$1:$1048576,Z$93,$C291*2+MIN($B291,2)+5)
+INDEX(Scenarios!Z$121:Z$200,MATCH($B291,Scenarios!$B$121:$B$200,0))</f>
        <v>0</v>
      </c>
      <c r="AA291" s="475">
        <f>INDEX(Input!$1:$1048576,AA$93,$C291*2+MIN($B291,2)+5)
+INDEX(Scenarios!AA$121:AA$200,MATCH($B291,Scenarios!$B$121:$B$200,0))</f>
        <v>0</v>
      </c>
      <c r="AB291" s="476">
        <f>INDEX(Input!$1:$1048576,AB$93,$C291*2+MIN($B291,2)+5)</f>
        <v>0.27</v>
      </c>
      <c r="AC291" s="475">
        <f>INDEX(Input!$1:$1048576,AC$93,$C291*2+MIN($B291,2)+5)
+INDEX(Scenarios!AC$121:AC$200,MATCH($B291,Scenarios!$B$121:$B$200,0))</f>
        <v>0</v>
      </c>
      <c r="AD291" s="476">
        <f>INDEX(Input!$1:$1048576,AD$93,$C291*2+MIN($B291,2)+5)</f>
        <v>0.27</v>
      </c>
      <c r="AE291" s="475">
        <f>INDEX(Input!$1:$1048576,AE$93,$C291*2+MIN($B291,2)+5)
+INDEX(Scenarios!AE$121:AE$200,MATCH($B291,Scenarios!$B$121:$B$200,0))</f>
        <v>0</v>
      </c>
      <c r="AF291" s="476">
        <f>INDEX(Input!$1:$1048576,AF$93,$C291*2+MIN($B291,2)+5)</f>
        <v>4.8000000000000001E-2</v>
      </c>
      <c r="AG291" s="475">
        <f>INDEX(Input!$1:$1048576,AG$93,$C291*2+MIN($B291,2)+5)
+INDEX(Scenarios!AG$121:AG$200,MATCH($B291,Scenarios!$B$121:$B$200,0))</f>
        <v>500</v>
      </c>
      <c r="AH291" s="476">
        <f>INDEX(Input!$1:$1048576,AH$93,$C291*2+MIN($B291,2)+5)</f>
        <v>0.94599999999999995</v>
      </c>
      <c r="AI291" s="475">
        <f>INDEX(Input!$1:$1048576,AI$93,$C291*2+MIN($B291,2)+5)
+INDEX(Scenarios!AI$121:AI$200,MATCH($B291,Scenarios!$B$121:$B$200,0))</f>
        <v>0</v>
      </c>
      <c r="AJ291" s="476">
        <f>INDEX(Input!$1:$1048576,AJ$93,$C291*2+MIN($B291,2)+5)</f>
        <v>0.27</v>
      </c>
      <c r="AK291" s="150">
        <f>ROUND(INDEX(Input!$1:$1048576,AK$93,$C290*2+MIN($B291,1)+5)+(Y291-VLOOKUP($C291*1000+1,$A:$HH,Y$92,FALSE)),0)</f>
        <v>2977</v>
      </c>
      <c r="AL291" s="150">
        <f>ROUND(INDEX(Input!$1:$1048576,AL$93,$C290*2+MIN($B291,1)+5)-(Y291-VLOOKUP($C291*1000+1,$A:$HH,Y$92,FALSE))/36,0)</f>
        <v>3395</v>
      </c>
      <c r="AM291" s="32" t="str">
        <f t="shared" si="800"/>
        <v>std/std/std/std</v>
      </c>
      <c r="AN291" s="32" t="str">
        <f t="shared" si="801"/>
        <v>$0 + 0/0/0/1.9/3.9</v>
      </c>
      <c r="AO291" s="32" t="str">
        <f t="shared" si="802"/>
        <v>0/0/0/1.9/3.9</v>
      </c>
      <c r="AP291" s="32" t="str">
        <f t="shared" si="734"/>
        <v>0/0.9/1.9/3.9</v>
      </c>
      <c r="AQ291" s="536">
        <f t="shared" si="733"/>
        <v>0</v>
      </c>
      <c r="AR291" s="32"/>
      <c r="AS291" s="302"/>
      <c r="AT291" s="3">
        <f t="shared" si="856"/>
        <v>91</v>
      </c>
      <c r="AU291" s="41" t="s">
        <v>121</v>
      </c>
      <c r="AV291" s="41" t="s">
        <v>116</v>
      </c>
      <c r="AW291" s="41" t="str">
        <f>INDEX(Input!$1:$1048576,AW$93,$C291*2+6)</f>
        <v>Kia</v>
      </c>
      <c r="AX291" s="41" t="str">
        <f>INDEX(Input!$1:$1048576,AX$93,$C291*2+6)</f>
        <v>Kia-LR - L2</v>
      </c>
      <c r="AY291" s="41" t="str">
        <f>IF(LEN(D291)=0,"",INDEX(Input!$1:$1048576,AY$93,$C291*2+6))</f>
        <v/>
      </c>
      <c r="AZ291" s="41" t="str">
        <f>INDEX(Input!$1:$1048576,AZ$93,$C291*2+6)</f>
        <v>Kia Soul</v>
      </c>
      <c r="BA291" s="3">
        <f>INDEX(Input!$1:$1048576,BA$93,$C291*2+6)</f>
        <v>2020</v>
      </c>
      <c r="BB291" s="128">
        <f>INDEX(Input!$1:$1048576,BB$93,$C291*2+6)</f>
        <v>1</v>
      </c>
      <c r="BC291" s="128">
        <f>INDEX(Input!$1:$1048576,BC$93,$C291*2+6)</f>
        <v>0.7</v>
      </c>
      <c r="BD291" s="1">
        <f>INDEX(Input!$1:$1048576,BD$93,$C291*2+6)</f>
        <v>4.4999999999999998E-2</v>
      </c>
      <c r="BE291" s="1">
        <f>INDEX(Input!$1:$1048576,BE$93,$C291*2+6)</f>
        <v>4.4999999999999998E-2</v>
      </c>
      <c r="BF291" s="1">
        <f>INDEX(Input!$1:$1048576,BF$93,$C291*2+6)</f>
        <v>0.05</v>
      </c>
      <c r="BG291" s="1">
        <f>INDEX(Input!$1:$1048576,BG$93,$C291*2+6)</f>
        <v>5.45E-2</v>
      </c>
      <c r="BH291" s="1">
        <f>INDEX(Input!$1:$1048576,BH$93,$C291*2+6)</f>
        <v>5.45E-2</v>
      </c>
      <c r="BI291" s="1">
        <f>INDEX(Input!$1:$1048576,BI$93,$C291*2+6)</f>
        <v>0.05</v>
      </c>
      <c r="BJ291" s="1">
        <f>INDEX(Input!$1:$1048576,BJ$93,$C291*2+6)</f>
        <v>0.05</v>
      </c>
      <c r="BK291" s="1">
        <f>INDEX(Input!$1:$1048576,BK$93,$C291*2+6)</f>
        <v>0.05</v>
      </c>
      <c r="BL291" s="1">
        <f>INDEX(Input!$1:$1048576,BL$93,$C291*2+6)</f>
        <v>5.5E-2</v>
      </c>
      <c r="BM291" s="1">
        <f>INDEX(Input!$1:$1048576,BM$93,$C291*2+6)</f>
        <v>0.06</v>
      </c>
      <c r="BN291" s="1">
        <f>INDEX(Input!$1:$1048576,BN$93,$C291*2+6)</f>
        <v>4.4999999999999998E-2</v>
      </c>
      <c r="BO291" s="1">
        <f>INDEX(Input!$1:$1048576,BO$93,$C291*2+6)</f>
        <v>4.4999999999999998E-2</v>
      </c>
      <c r="BP291" s="1">
        <f>INDEX(Input!$1:$1048576,BP$93,$C291*2+6)</f>
        <v>0.05</v>
      </c>
      <c r="BQ291" s="1">
        <f>INDEX(Input!$1:$1048576,BQ$93,$C291*2+6)</f>
        <v>5.45E-2</v>
      </c>
      <c r="BR291" s="1">
        <f>INDEX(Input!$1:$1048576,BR$93,$C291*2+6)</f>
        <v>5.45E-2</v>
      </c>
      <c r="BS291" s="1">
        <f>INDEX(Input!$1:$1048576,BS$93,$C291*2+6)</f>
        <v>0.05</v>
      </c>
      <c r="BT291" s="1">
        <f>INDEX(Input!$1:$1048576,BT$93,$C291*2+6)</f>
        <v>0.05</v>
      </c>
      <c r="BU291" s="1">
        <f>INDEX(Input!$1:$1048576,BU$93,$C291*2+6)</f>
        <v>0.05</v>
      </c>
      <c r="BV291" s="1">
        <f>INDEX(Input!$1:$1048576,BV$93,$C291*2+6)</f>
        <v>5.5E-2</v>
      </c>
      <c r="BW291" s="1">
        <f>INDEX(Input!$1:$1048576,BW$93,$C291*2+6)</f>
        <v>0.06</v>
      </c>
      <c r="BX291" s="127">
        <f>INDEX(Input!$1:$1048576,BX$93,$C291*2+6)</f>
        <v>19985</v>
      </c>
      <c r="BY291" s="20">
        <f>INDEX(Input!$1:$1048576,BY$93,$C291*2+6)</f>
        <v>0.1</v>
      </c>
      <c r="BZ291" s="20">
        <f>INDEX(Input!$1:$1048576,BZ$93,$C291*2+6)</f>
        <v>0.1</v>
      </c>
      <c r="CA291" s="20">
        <f>INDEX(Input!$1:$1048576,CA$93,$C291*2+6)</f>
        <v>0.1</v>
      </c>
      <c r="CB291" s="20">
        <f>INDEX(Input!$1:$1048576,CB$93,$C291*2+6)</f>
        <v>0.1</v>
      </c>
      <c r="CC291" s="20">
        <f>INDEX(Input!$1:$1048576,CC$93,$C291*2+6)</f>
        <v>0.1</v>
      </c>
      <c r="CD291" s="384">
        <f>INDEX(Input!$1:$1048576,CD$93,$C291*2+6)</f>
        <v>0.1</v>
      </c>
      <c r="CE291" s="384">
        <f>INDEX(Input!$1:$1048576,CE$93,$C291*2+6)</f>
        <v>0.1</v>
      </c>
      <c r="CF291" s="384">
        <f>INDEX(Input!$1:$1048576,CF$93,$C291*2+6)</f>
        <v>0.1</v>
      </c>
      <c r="CG291" s="384">
        <f>INDEX(Input!$1:$1048576,CG$93,$C291*2+6)</f>
        <v>0.1</v>
      </c>
      <c r="CH291" s="384">
        <f>INDEX(Input!$1:$1048576,CH$93,$C291*2+6)</f>
        <v>0.1</v>
      </c>
      <c r="CI291" s="304">
        <f t="shared" si="735"/>
        <v>1269.7618664521319</v>
      </c>
      <c r="CJ291" s="16" t="str">
        <f>INDEX(Input!$1:$1048576,CJ$93,$C291*2+6)</f>
        <v>N</v>
      </c>
      <c r="CK291" s="1" t="str">
        <f t="shared" si="736"/>
        <v>Market</v>
      </c>
      <c r="CL291" s="1" t="str">
        <f t="shared" si="737"/>
        <v>Market</v>
      </c>
      <c r="CM291" s="1" t="str">
        <f t="shared" si="738"/>
        <v>Market</v>
      </c>
      <c r="CN291" s="1" t="str">
        <f t="shared" si="739"/>
        <v>Market</v>
      </c>
      <c r="CO291" s="1" t="str">
        <f t="shared" si="740"/>
        <v>Market</v>
      </c>
      <c r="CP291" s="304">
        <f t="shared" si="741"/>
        <v>473</v>
      </c>
      <c r="CQ291" s="1">
        <f t="shared" si="742"/>
        <v>0</v>
      </c>
      <c r="CR291" s="1">
        <f t="shared" si="743"/>
        <v>0</v>
      </c>
      <c r="CS291" s="1">
        <f t="shared" si="744"/>
        <v>0</v>
      </c>
      <c r="CT291" s="1">
        <f t="shared" si="745"/>
        <v>1.9E-2</v>
      </c>
      <c r="CU291" s="1">
        <f t="shared" si="746"/>
        <v>3.9E-2</v>
      </c>
      <c r="CV291" s="304">
        <f t="shared" si="747"/>
        <v>56</v>
      </c>
      <c r="CW291" s="20" t="s">
        <v>122</v>
      </c>
      <c r="CX291" s="20" t="s">
        <v>122</v>
      </c>
      <c r="CY291" s="20" t="s">
        <v>122</v>
      </c>
      <c r="CZ291" s="20" t="s">
        <v>122</v>
      </c>
      <c r="DA291" s="20" t="s">
        <v>122</v>
      </c>
      <c r="DB291" s="503">
        <f t="shared" si="748"/>
        <v>0</v>
      </c>
      <c r="DC291" s="127">
        <v>0</v>
      </c>
      <c r="DD291" s="127">
        <v>0</v>
      </c>
      <c r="DE291" s="127">
        <v>0</v>
      </c>
      <c r="DF291" s="127">
        <v>0</v>
      </c>
      <c r="DG291" s="127">
        <v>0</v>
      </c>
      <c r="DH291" s="127">
        <v>0</v>
      </c>
      <c r="DI291" s="127">
        <v>0</v>
      </c>
      <c r="DJ291" s="127">
        <v>0</v>
      </c>
      <c r="DK291" s="127">
        <v>0</v>
      </c>
      <c r="DL291" s="127">
        <v>0</v>
      </c>
      <c r="DM291" s="304">
        <f>INDEX(Input!$1:$1048576,DM$93,$C291*2+6)</f>
        <v>21036.84210526316</v>
      </c>
      <c r="DN291" s="20">
        <v>0</v>
      </c>
      <c r="DO291" s="20">
        <v>0</v>
      </c>
      <c r="DP291" s="20">
        <v>0</v>
      </c>
      <c r="DQ291" s="20">
        <v>0</v>
      </c>
      <c r="DR291" s="20">
        <v>0</v>
      </c>
      <c r="DS291" s="20">
        <f>INDEX(Input!$1:$1048576,DS$93,$C291*2+6)</f>
        <v>0.6</v>
      </c>
      <c r="DT291" s="20">
        <f>INDEX(Input!$1:$1048576,DT$93,$C291*2+6)</f>
        <v>0.55000000000000004</v>
      </c>
      <c r="DU291" s="20">
        <f>INDEX(Input!$1:$1048576,DU$93,$C291*2+6)</f>
        <v>0.52</v>
      </c>
      <c r="DV291" s="20">
        <f>INDEX(Input!$1:$1048576,DV$93,$C291*2+6)</f>
        <v>0.5</v>
      </c>
      <c r="DW291" s="20">
        <f>INDEX(Input!$1:$1048576,DW$93,$C291*2+6)</f>
        <v>0.45</v>
      </c>
      <c r="DX291" s="20"/>
      <c r="DY291" s="7"/>
      <c r="DZ291" s="7"/>
      <c r="EA291" s="7"/>
      <c r="EB291" s="7"/>
      <c r="EC291" s="7"/>
      <c r="ED291" s="7"/>
      <c r="EE291" s="7"/>
      <c r="EF291" s="7"/>
      <c r="EG291" s="7"/>
      <c r="EH291" s="7"/>
      <c r="EI291" s="7"/>
      <c r="EJ291" s="7"/>
      <c r="EK291" s="7"/>
      <c r="EL291" s="7"/>
      <c r="EM291" s="7"/>
      <c r="EN291" s="7"/>
      <c r="EO291" s="7"/>
      <c r="EP291" s="7"/>
      <c r="EQ291" s="7"/>
      <c r="ER291" s="7"/>
      <c r="ES291" s="7"/>
      <c r="ET291" s="7"/>
      <c r="EU291" s="6"/>
      <c r="EV291" s="6"/>
      <c r="EW291" s="6"/>
      <c r="EX291" s="6"/>
      <c r="EY291" s="6"/>
      <c r="EZ291" s="6"/>
      <c r="FA291" s="6"/>
      <c r="FB291" s="6"/>
      <c r="FC291" s="6"/>
      <c r="FD291" s="6"/>
      <c r="FE291" s="6"/>
      <c r="FF291" s="6"/>
      <c r="FG291" s="6"/>
      <c r="FH291" s="6"/>
      <c r="FI291" s="6"/>
      <c r="FJ291" s="6"/>
      <c r="FK291" s="6"/>
      <c r="FL291" s="6"/>
      <c r="FM291" s="6"/>
      <c r="FN291" s="6"/>
      <c r="FO291" s="6"/>
      <c r="FP291" s="6"/>
      <c r="FQ291" s="6"/>
      <c r="FR291" s="6"/>
      <c r="FS291" s="6"/>
      <c r="FT291" s="7"/>
      <c r="FU291" s="7"/>
      <c r="FV291" s="7"/>
      <c r="FW291" s="6"/>
      <c r="FX291" s="6"/>
      <c r="FY291" s="6"/>
      <c r="FZ291" s="6"/>
      <c r="GA291" s="6"/>
      <c r="GB291" s="6"/>
      <c r="GC291" s="7"/>
      <c r="GD291" s="7"/>
      <c r="GE291" s="7"/>
      <c r="GF291" s="7"/>
      <c r="GG291" s="7"/>
      <c r="GH291" s="42"/>
      <c r="GI291" s="6"/>
      <c r="GJ291" s="14"/>
      <c r="GK291" s="14"/>
      <c r="GL291" s="14"/>
      <c r="GM291" s="14"/>
      <c r="GO291" s="5"/>
      <c r="GP291" s="5"/>
      <c r="GQ291" s="5"/>
      <c r="GR291" s="5"/>
      <c r="GS291" s="5"/>
      <c r="GT291" s="5"/>
      <c r="GU291" s="5"/>
      <c r="GV291" s="39"/>
      <c r="GW291" s="5"/>
      <c r="GX291" s="5"/>
      <c r="GY291" s="5"/>
      <c r="GZ291" s="5"/>
      <c r="HA291" s="5"/>
      <c r="HB291" s="39"/>
      <c r="HC291" s="5"/>
      <c r="HD291" s="5"/>
      <c r="HE291" s="5"/>
      <c r="HF291" s="5"/>
      <c r="HG291" s="5"/>
      <c r="HH291" s="39"/>
      <c r="HI291" s="16"/>
      <c r="HJ291" s="19"/>
      <c r="HK291" s="1"/>
      <c r="HL291" s="16"/>
      <c r="HM291" s="1"/>
      <c r="HN291" s="1"/>
      <c r="HO291" s="1"/>
      <c r="HP291" s="1"/>
      <c r="HQ291" s="1"/>
      <c r="HR291" s="1"/>
      <c r="HS291" s="1"/>
      <c r="HT291" s="1"/>
      <c r="HU291" s="1"/>
      <c r="HV291" s="1"/>
      <c r="HW291" s="1"/>
      <c r="HX291" s="1"/>
      <c r="HY291" s="1"/>
      <c r="HZ291" s="1"/>
      <c r="IA291" s="1"/>
      <c r="IB291" s="1"/>
      <c r="IC291" s="1"/>
      <c r="ID291" s="1"/>
      <c r="IE291" s="1"/>
      <c r="IF291" s="1"/>
      <c r="IG291" s="1"/>
      <c r="IH291" s="21"/>
      <c r="II291" s="19"/>
      <c r="IJ291" s="19"/>
      <c r="IK291" s="19"/>
      <c r="IL291" s="19"/>
      <c r="IM291" s="19"/>
      <c r="IN291" s="19"/>
      <c r="IO291" s="39"/>
      <c r="IP291" s="39"/>
      <c r="IQ291" s="39"/>
      <c r="IR291" s="39"/>
      <c r="IS291" s="39"/>
      <c r="IT291" s="39"/>
      <c r="IU291" s="39"/>
      <c r="IV291" s="39"/>
      <c r="IW291" s="39"/>
      <c r="IX291" s="39"/>
      <c r="IY291" s="39"/>
      <c r="IZ291" s="39"/>
      <c r="JA291" s="19"/>
      <c r="JB291" s="19"/>
      <c r="JC291" s="19"/>
      <c r="JD291" s="19"/>
      <c r="JE291" s="21"/>
      <c r="JF291" s="1"/>
      <c r="JG291" s="15"/>
      <c r="JH291" s="1"/>
      <c r="JI291" s="1"/>
      <c r="JJ291" s="1"/>
      <c r="JK291" s="1"/>
      <c r="JL291" s="15"/>
      <c r="JM291" s="15"/>
      <c r="JN291" s="21"/>
      <c r="JO291" s="19"/>
      <c r="JP291" s="19"/>
      <c r="JQ291" s="39"/>
      <c r="JR291" s="39"/>
      <c r="JS291" s="39"/>
      <c r="JT291" s="39"/>
      <c r="JU291" s="385"/>
      <c r="JV291" s="39"/>
      <c r="JW291" s="1"/>
      <c r="JX291" s="19"/>
      <c r="JZ291" s="341"/>
      <c r="KA291" s="342"/>
      <c r="KB291" s="469"/>
      <c r="KI291" s="473"/>
      <c r="KJ291" s="473"/>
      <c r="KK291" s="473"/>
    </row>
    <row r="292" spans="1:310" s="26" customFormat="1" ht="15" outlineLevel="1">
      <c r="A292" s="561">
        <f t="shared" si="799"/>
        <v>2092</v>
      </c>
      <c r="B292" s="561">
        <f t="shared" si="817"/>
        <v>92</v>
      </c>
      <c r="C292" s="561">
        <f t="shared" si="760"/>
        <v>2</v>
      </c>
      <c r="D292" s="561" t="str">
        <f t="shared" si="861"/>
        <v/>
      </c>
      <c r="E292" s="475">
        <f>INDEX(Input!$1:$1048576,E$93,$C292*2+MIN($B292,2)+5)
+INDEX(Scenarios!E$121:E$200,MATCH($B292,Scenarios!$B$121:$B$200,0))</f>
        <v>1269.7618664521319</v>
      </c>
      <c r="F292" s="475">
        <f>INDEX(Input!$1:$1048576,F$93,$C292*2+MIN($B292,2)+5)
+INDEX(Scenarios!F$121:F$200,MATCH($B292,Scenarios!$B$121:$B$200,0))</f>
        <v>0</v>
      </c>
      <c r="G292" s="475">
        <f>INDEX(Input!$1:$1048576,G$93,$C292*2+MIN($B292,2)+5)
+INDEX(Scenarios!G$121:G$200,MATCH($B292,Scenarios!$B$121:$B$200,0))</f>
        <v>0</v>
      </c>
      <c r="H292" s="475">
        <f>INDEX(Input!$1:$1048576,H$93,$C292*2+MIN($B292,2)+5)
+INDEX(Scenarios!H$121:H$200,MATCH($B292,Scenarios!$B$121:$B$200,0))</f>
        <v>0</v>
      </c>
      <c r="I292" s="476">
        <f>INDEX(Input!$1:$1048576,I$93,$C292*2+MIN($B292,2)+5)</f>
        <v>0.7</v>
      </c>
      <c r="J292" s="476" t="str">
        <f>INDEX(Input!$1:$1048576,J$93,$C292*2+MIN($B292,2)+5)</f>
        <v>Market</v>
      </c>
      <c r="K292" s="476" t="str">
        <f>INDEX(Input!$1:$1048576,K$93,$C292*2+MIN($B292,2)+5)</f>
        <v>Market</v>
      </c>
      <c r="L292" s="476" t="str">
        <f>INDEX(Input!$1:$1048576,L$93,$C292*2+MIN($B292,2)+5)</f>
        <v>Market</v>
      </c>
      <c r="M292" s="476" t="str">
        <f>INDEX(Input!$1:$1048576,M$93,$C292*2+MIN($B292,2)+5)</f>
        <v>Market</v>
      </c>
      <c r="N292" s="476" t="str">
        <f>INDEX(Input!$1:$1048576,N$93,$C292*2+MIN($B292,2)+5)</f>
        <v>Market</v>
      </c>
      <c r="O292" s="476" t="str">
        <f>INDEX(Input!$1:$1048576,O$93,$C292*2+MIN($B292,2)+5)</f>
        <v>Market</v>
      </c>
      <c r="P292" s="476" t="str">
        <f>INDEX(Input!$1:$1048576,P$93,$C292*2+MIN($B292,2)+5)</f>
        <v>N</v>
      </c>
      <c r="Q292" s="477">
        <f>INDEX(Input!$1:$1048576,Q$93,$C292*2+MIN($B292,2)+5)
+INDEX(Scenarios!Q$121:Q$200,MATCH($B292,Scenarios!$B$121:$B$200,0))</f>
        <v>0</v>
      </c>
      <c r="R292" s="478">
        <f>IFERROR(MAX(0,INDEX(Input!$1:$1048576,R$93,$C292*2+MIN($B292,2)+5)
+INDEX(Scenarios!R$121:R$200,MATCH($B292,Scenarios!$B$121:$B$200,0)),),"Market")</f>
        <v>0</v>
      </c>
      <c r="S292" s="478">
        <f>IFERROR(MAX(0,INDEX(Input!$1:$1048576,S$93,$C292*2+MIN($B292,2)+5)
+INDEX(Scenarios!S$121:S$200,MATCH($B292,Scenarios!$B$121:$B$200,0)),),"Market")</f>
        <v>0</v>
      </c>
      <c r="T292" s="478">
        <f>IFERROR(MAX(0,INDEX(Input!$1:$1048576,T$93,$C292*2+MIN($B292,2)+5)
+INDEX(Scenarios!T$121:T$200,MATCH($B292,Scenarios!$B$121:$B$200,0)),),"Market")</f>
        <v>0</v>
      </c>
      <c r="U292" s="478">
        <f>IFERROR(MAX(0,INDEX(Input!$1:$1048576,U$93,$C292*2+MIN($B292,2)+5)
+INDEX(Scenarios!U$121:U$200,MATCH($B292,Scenarios!$B$121:$B$200,0)),),"Market")</f>
        <v>0</v>
      </c>
      <c r="V292" s="478">
        <f>IFERROR(MAX(0,INDEX(Input!$1:$1048576,V$93,$C292*2+MIN($B292,2)+5)
+INDEX(Scenarios!V$121:V$200,MATCH($B292,Scenarios!$B$121:$B$200,0)),),"Market")</f>
        <v>1.9E-2</v>
      </c>
      <c r="W292" s="885">
        <f>IFERROR(MAX(0,INDEX(Input!$1:$1048576,W$93,$C292*2+MIN($B292,2)+5)-0%,),"Market")</f>
        <v>3.9E-2</v>
      </c>
      <c r="X292" s="476" t="str">
        <f>INDEX(Input!$1:$1048576,X$93,$C292*2+MIN($B292,2)+5)</f>
        <v>Y</v>
      </c>
      <c r="Y292" s="475">
        <f>INDEX(Input!$1:$1048576,Y$93,$C292*2+MIN($B292,2)+5)
++INDEX(Scenarios!Y$121:Y$200,MATCH($B292,Scenarios!$B$121:$B$200,0))</f>
        <v>56</v>
      </c>
      <c r="Z292" s="477">
        <f>INDEX(Input!$1:$1048576,Z$93,$C292*2+MIN($B292,2)+5)
+INDEX(Scenarios!Z$121:Z$200,MATCH($B292,Scenarios!$B$121:$B$200,0))</f>
        <v>0</v>
      </c>
      <c r="AA292" s="475">
        <f>INDEX(Input!$1:$1048576,AA$93,$C292*2+MIN($B292,2)+5)
+INDEX(Scenarios!AA$121:AA$200,MATCH($B292,Scenarios!$B$121:$B$200,0))</f>
        <v>0</v>
      </c>
      <c r="AB292" s="476">
        <f>INDEX(Input!$1:$1048576,AB$93,$C292*2+MIN($B292,2)+5)</f>
        <v>0.27</v>
      </c>
      <c r="AC292" s="475">
        <f>INDEX(Input!$1:$1048576,AC$93,$C292*2+MIN($B292,2)+5)
+INDEX(Scenarios!AC$121:AC$200,MATCH($B292,Scenarios!$B$121:$B$200,0))</f>
        <v>0</v>
      </c>
      <c r="AD292" s="476">
        <f>INDEX(Input!$1:$1048576,AD$93,$C292*2+MIN($B292,2)+5)</f>
        <v>0.27</v>
      </c>
      <c r="AE292" s="475">
        <f>INDEX(Input!$1:$1048576,AE$93,$C292*2+MIN($B292,2)+5)
+INDEX(Scenarios!AE$121:AE$200,MATCH($B292,Scenarios!$B$121:$B$200,0))</f>
        <v>0</v>
      </c>
      <c r="AF292" s="476">
        <f>INDEX(Input!$1:$1048576,AF$93,$C292*2+MIN($B292,2)+5)</f>
        <v>4.8000000000000001E-2</v>
      </c>
      <c r="AG292" s="475">
        <f>INDEX(Input!$1:$1048576,AG$93,$C292*2+MIN($B292,2)+5)
+INDEX(Scenarios!AG$121:AG$200,MATCH($B292,Scenarios!$B$121:$B$200,0))</f>
        <v>500</v>
      </c>
      <c r="AH292" s="476">
        <f>INDEX(Input!$1:$1048576,AH$93,$C292*2+MIN($B292,2)+5)</f>
        <v>0.94599999999999995</v>
      </c>
      <c r="AI292" s="475">
        <f>INDEX(Input!$1:$1048576,AI$93,$C292*2+MIN($B292,2)+5)
+INDEX(Scenarios!AI$121:AI$200,MATCH($B292,Scenarios!$B$121:$B$200,0))</f>
        <v>0</v>
      </c>
      <c r="AJ292" s="476">
        <f>INDEX(Input!$1:$1048576,AJ$93,$C292*2+MIN($B292,2)+5)</f>
        <v>0.27</v>
      </c>
      <c r="AK292" s="150">
        <f>ROUND(INDEX(Input!$1:$1048576,AK$93,$C291*2+MIN($B292,1)+5)+(Y292-VLOOKUP($C292*1000+1,$A:$HH,Y$92,FALSE)),0)</f>
        <v>2977</v>
      </c>
      <c r="AL292" s="150">
        <f>ROUND(INDEX(Input!$1:$1048576,AL$93,$C291*2+MIN($B292,1)+5)-(Y292-VLOOKUP($C292*1000+1,$A:$HH,Y$92,FALSE))/36,0)</f>
        <v>3395</v>
      </c>
      <c r="AM292" s="32" t="str">
        <f t="shared" si="800"/>
        <v>std/std/std/std</v>
      </c>
      <c r="AN292" s="32" t="str">
        <f t="shared" si="801"/>
        <v>$0 + 0/0/0/1.9/3.9</v>
      </c>
      <c r="AO292" s="32" t="str">
        <f t="shared" si="802"/>
        <v>0/0/0/1.9/3.9</v>
      </c>
      <c r="AP292" s="32" t="str">
        <f t="shared" si="734"/>
        <v>0/0.9/1.9/3.9</v>
      </c>
      <c r="AQ292" s="536">
        <f t="shared" si="733"/>
        <v>0</v>
      </c>
      <c r="AR292" s="32"/>
      <c r="AS292" s="302"/>
      <c r="AT292" s="3">
        <f t="shared" si="856"/>
        <v>92</v>
      </c>
      <c r="AU292" s="41" t="s">
        <v>121</v>
      </c>
      <c r="AV292" s="41" t="s">
        <v>116</v>
      </c>
      <c r="AW292" s="41" t="str">
        <f>INDEX(Input!$1:$1048576,AW$93,$C292*2+6)</f>
        <v>Kia</v>
      </c>
      <c r="AX292" s="41" t="str">
        <f>INDEX(Input!$1:$1048576,AX$93,$C292*2+6)</f>
        <v>Kia-LR - L2</v>
      </c>
      <c r="AY292" s="41" t="str">
        <f>IF(LEN(D292)=0,"",INDEX(Input!$1:$1048576,AY$93,$C292*2+6))</f>
        <v/>
      </c>
      <c r="AZ292" s="41" t="str">
        <f>INDEX(Input!$1:$1048576,AZ$93,$C292*2+6)</f>
        <v>Kia Soul</v>
      </c>
      <c r="BA292" s="3">
        <f>INDEX(Input!$1:$1048576,BA$93,$C292*2+6)</f>
        <v>2020</v>
      </c>
      <c r="BB292" s="128">
        <f>INDEX(Input!$1:$1048576,BB$93,$C292*2+6)</f>
        <v>1</v>
      </c>
      <c r="BC292" s="128">
        <f>INDEX(Input!$1:$1048576,BC$93,$C292*2+6)</f>
        <v>0.7</v>
      </c>
      <c r="BD292" s="1">
        <f>INDEX(Input!$1:$1048576,BD$93,$C292*2+6)</f>
        <v>4.4999999999999998E-2</v>
      </c>
      <c r="BE292" s="1">
        <f>INDEX(Input!$1:$1048576,BE$93,$C292*2+6)</f>
        <v>4.4999999999999998E-2</v>
      </c>
      <c r="BF292" s="1">
        <f>INDEX(Input!$1:$1048576,BF$93,$C292*2+6)</f>
        <v>0.05</v>
      </c>
      <c r="BG292" s="1">
        <f>INDEX(Input!$1:$1048576,BG$93,$C292*2+6)</f>
        <v>5.45E-2</v>
      </c>
      <c r="BH292" s="1">
        <f>INDEX(Input!$1:$1048576,BH$93,$C292*2+6)</f>
        <v>5.45E-2</v>
      </c>
      <c r="BI292" s="1">
        <f>INDEX(Input!$1:$1048576,BI$93,$C292*2+6)</f>
        <v>0.05</v>
      </c>
      <c r="BJ292" s="1">
        <f>INDEX(Input!$1:$1048576,BJ$93,$C292*2+6)</f>
        <v>0.05</v>
      </c>
      <c r="BK292" s="1">
        <f>INDEX(Input!$1:$1048576,BK$93,$C292*2+6)</f>
        <v>0.05</v>
      </c>
      <c r="BL292" s="1">
        <f>INDEX(Input!$1:$1048576,BL$93,$C292*2+6)</f>
        <v>5.5E-2</v>
      </c>
      <c r="BM292" s="1">
        <f>INDEX(Input!$1:$1048576,BM$93,$C292*2+6)</f>
        <v>0.06</v>
      </c>
      <c r="BN292" s="1">
        <f>INDEX(Input!$1:$1048576,BN$93,$C292*2+6)</f>
        <v>4.4999999999999998E-2</v>
      </c>
      <c r="BO292" s="1">
        <f>INDEX(Input!$1:$1048576,BO$93,$C292*2+6)</f>
        <v>4.4999999999999998E-2</v>
      </c>
      <c r="BP292" s="1">
        <f>INDEX(Input!$1:$1048576,BP$93,$C292*2+6)</f>
        <v>0.05</v>
      </c>
      <c r="BQ292" s="1">
        <f>INDEX(Input!$1:$1048576,BQ$93,$C292*2+6)</f>
        <v>5.45E-2</v>
      </c>
      <c r="BR292" s="1">
        <f>INDEX(Input!$1:$1048576,BR$93,$C292*2+6)</f>
        <v>5.45E-2</v>
      </c>
      <c r="BS292" s="1">
        <f>INDEX(Input!$1:$1048576,BS$93,$C292*2+6)</f>
        <v>0.05</v>
      </c>
      <c r="BT292" s="1">
        <f>INDEX(Input!$1:$1048576,BT$93,$C292*2+6)</f>
        <v>0.05</v>
      </c>
      <c r="BU292" s="1">
        <f>INDEX(Input!$1:$1048576,BU$93,$C292*2+6)</f>
        <v>0.05</v>
      </c>
      <c r="BV292" s="1">
        <f>INDEX(Input!$1:$1048576,BV$93,$C292*2+6)</f>
        <v>5.5E-2</v>
      </c>
      <c r="BW292" s="1">
        <f>INDEX(Input!$1:$1048576,BW$93,$C292*2+6)</f>
        <v>0.06</v>
      </c>
      <c r="BX292" s="127">
        <f>INDEX(Input!$1:$1048576,BX$93,$C292*2+6)</f>
        <v>19985</v>
      </c>
      <c r="BY292" s="20">
        <f>INDEX(Input!$1:$1048576,BY$93,$C292*2+6)</f>
        <v>0.1</v>
      </c>
      <c r="BZ292" s="20">
        <f>INDEX(Input!$1:$1048576,BZ$93,$C292*2+6)</f>
        <v>0.1</v>
      </c>
      <c r="CA292" s="20">
        <f>INDEX(Input!$1:$1048576,CA$93,$C292*2+6)</f>
        <v>0.1</v>
      </c>
      <c r="CB292" s="20">
        <f>INDEX(Input!$1:$1048576,CB$93,$C292*2+6)</f>
        <v>0.1</v>
      </c>
      <c r="CC292" s="20">
        <f>INDEX(Input!$1:$1048576,CC$93,$C292*2+6)</f>
        <v>0.1</v>
      </c>
      <c r="CD292" s="384">
        <f>INDEX(Input!$1:$1048576,CD$93,$C292*2+6)</f>
        <v>0.1</v>
      </c>
      <c r="CE292" s="384">
        <f>INDEX(Input!$1:$1048576,CE$93,$C292*2+6)</f>
        <v>0.1</v>
      </c>
      <c r="CF292" s="384">
        <f>INDEX(Input!$1:$1048576,CF$93,$C292*2+6)</f>
        <v>0.1</v>
      </c>
      <c r="CG292" s="384">
        <f>INDEX(Input!$1:$1048576,CG$93,$C292*2+6)</f>
        <v>0.1</v>
      </c>
      <c r="CH292" s="384">
        <f>INDEX(Input!$1:$1048576,CH$93,$C292*2+6)</f>
        <v>0.1</v>
      </c>
      <c r="CI292" s="304">
        <f t="shared" si="735"/>
        <v>1269.7618664521319</v>
      </c>
      <c r="CJ292" s="16" t="str">
        <f>INDEX(Input!$1:$1048576,CJ$93,$C292*2+6)</f>
        <v>N</v>
      </c>
      <c r="CK292" s="1" t="str">
        <f t="shared" si="736"/>
        <v>Market</v>
      </c>
      <c r="CL292" s="1" t="str">
        <f t="shared" si="737"/>
        <v>Market</v>
      </c>
      <c r="CM292" s="1" t="str">
        <f t="shared" si="738"/>
        <v>Market</v>
      </c>
      <c r="CN292" s="1" t="str">
        <f t="shared" si="739"/>
        <v>Market</v>
      </c>
      <c r="CO292" s="1" t="str">
        <f t="shared" si="740"/>
        <v>Market</v>
      </c>
      <c r="CP292" s="304">
        <f t="shared" si="741"/>
        <v>473</v>
      </c>
      <c r="CQ292" s="1">
        <f t="shared" si="742"/>
        <v>0</v>
      </c>
      <c r="CR292" s="1">
        <f t="shared" si="743"/>
        <v>0</v>
      </c>
      <c r="CS292" s="1">
        <f t="shared" si="744"/>
        <v>0</v>
      </c>
      <c r="CT292" s="1">
        <f t="shared" si="745"/>
        <v>1.9E-2</v>
      </c>
      <c r="CU292" s="1">
        <f t="shared" si="746"/>
        <v>3.9E-2</v>
      </c>
      <c r="CV292" s="304">
        <f t="shared" si="747"/>
        <v>56</v>
      </c>
      <c r="CW292" s="20" t="s">
        <v>122</v>
      </c>
      <c r="CX292" s="20" t="s">
        <v>122</v>
      </c>
      <c r="CY292" s="20" t="s">
        <v>122</v>
      </c>
      <c r="CZ292" s="20" t="s">
        <v>122</v>
      </c>
      <c r="DA292" s="20" t="s">
        <v>122</v>
      </c>
      <c r="DB292" s="503">
        <f t="shared" si="748"/>
        <v>0</v>
      </c>
      <c r="DC292" s="127">
        <v>0</v>
      </c>
      <c r="DD292" s="127">
        <v>0</v>
      </c>
      <c r="DE292" s="127">
        <v>0</v>
      </c>
      <c r="DF292" s="127">
        <v>0</v>
      </c>
      <c r="DG292" s="127">
        <v>0</v>
      </c>
      <c r="DH292" s="127">
        <v>0</v>
      </c>
      <c r="DI292" s="127">
        <v>0</v>
      </c>
      <c r="DJ292" s="127">
        <v>0</v>
      </c>
      <c r="DK292" s="127">
        <v>0</v>
      </c>
      <c r="DL292" s="127">
        <v>0</v>
      </c>
      <c r="DM292" s="304">
        <f>INDEX(Input!$1:$1048576,DM$93,$C292*2+6)</f>
        <v>21036.84210526316</v>
      </c>
      <c r="DN292" s="20">
        <v>0</v>
      </c>
      <c r="DO292" s="20">
        <v>0</v>
      </c>
      <c r="DP292" s="20">
        <v>0</v>
      </c>
      <c r="DQ292" s="20">
        <v>0</v>
      </c>
      <c r="DR292" s="20">
        <v>0</v>
      </c>
      <c r="DS292" s="20">
        <f>INDEX(Input!$1:$1048576,DS$93,$C292*2+6)</f>
        <v>0.6</v>
      </c>
      <c r="DT292" s="20">
        <f>INDEX(Input!$1:$1048576,DT$93,$C292*2+6)</f>
        <v>0.55000000000000004</v>
      </c>
      <c r="DU292" s="20">
        <f>INDEX(Input!$1:$1048576,DU$93,$C292*2+6)</f>
        <v>0.52</v>
      </c>
      <c r="DV292" s="20">
        <f>INDEX(Input!$1:$1048576,DV$93,$C292*2+6)</f>
        <v>0.5</v>
      </c>
      <c r="DW292" s="20">
        <f>INDEX(Input!$1:$1048576,DW$93,$C292*2+6)</f>
        <v>0.45</v>
      </c>
      <c r="DX292" s="20"/>
      <c r="DY292" s="7"/>
      <c r="DZ292" s="7"/>
      <c r="EA292" s="7"/>
      <c r="EB292" s="7"/>
      <c r="EC292" s="7"/>
      <c r="ED292" s="7"/>
      <c r="EE292" s="7"/>
      <c r="EF292" s="7"/>
      <c r="EG292" s="7"/>
      <c r="EH292" s="7"/>
      <c r="EI292" s="7"/>
      <c r="EJ292" s="7"/>
      <c r="EK292" s="7"/>
      <c r="EL292" s="7"/>
      <c r="EM292" s="7"/>
      <c r="EN292" s="7"/>
      <c r="EO292" s="7"/>
      <c r="EP292" s="7"/>
      <c r="EQ292" s="7"/>
      <c r="ER292" s="7"/>
      <c r="ES292" s="7"/>
      <c r="ET292" s="7"/>
      <c r="EU292" s="6"/>
      <c r="EV292" s="6"/>
      <c r="EW292" s="6"/>
      <c r="EX292" s="6"/>
      <c r="EY292" s="6"/>
      <c r="EZ292" s="6"/>
      <c r="FA292" s="6"/>
      <c r="FB292" s="6"/>
      <c r="FC292" s="6"/>
      <c r="FD292" s="6"/>
      <c r="FE292" s="6"/>
      <c r="FF292" s="6"/>
      <c r="FG292" s="6"/>
      <c r="FH292" s="6"/>
      <c r="FI292" s="6"/>
      <c r="FJ292" s="6"/>
      <c r="FK292" s="6"/>
      <c r="FL292" s="6"/>
      <c r="FM292" s="6"/>
      <c r="FN292" s="6"/>
      <c r="FO292" s="6"/>
      <c r="FP292" s="6"/>
      <c r="FQ292" s="6"/>
      <c r="FR292" s="6"/>
      <c r="FS292" s="6"/>
      <c r="FT292" s="7"/>
      <c r="FU292" s="7"/>
      <c r="FV292" s="7"/>
      <c r="FW292" s="6"/>
      <c r="FX292" s="6"/>
      <c r="FY292" s="6"/>
      <c r="FZ292" s="6"/>
      <c r="GA292" s="6"/>
      <c r="GB292" s="6"/>
      <c r="GC292" s="7"/>
      <c r="GD292" s="7"/>
      <c r="GE292" s="7"/>
      <c r="GF292" s="7"/>
      <c r="GG292" s="7"/>
      <c r="GH292" s="42"/>
      <c r="GI292" s="6"/>
      <c r="GJ292" s="14"/>
      <c r="GK292" s="14"/>
      <c r="GL292" s="14"/>
      <c r="GM292" s="14"/>
      <c r="GO292" s="5"/>
      <c r="GP292" s="5"/>
      <c r="GQ292" s="5"/>
      <c r="GR292" s="5"/>
      <c r="GS292" s="5"/>
      <c r="GT292" s="5"/>
      <c r="GU292" s="5"/>
      <c r="GV292" s="39"/>
      <c r="GW292" s="5"/>
      <c r="GX292" s="5"/>
      <c r="GY292" s="5"/>
      <c r="GZ292" s="5"/>
      <c r="HA292" s="5"/>
      <c r="HB292" s="39"/>
      <c r="HC292" s="5"/>
      <c r="HD292" s="5"/>
      <c r="HE292" s="5"/>
      <c r="HF292" s="5"/>
      <c r="HG292" s="5"/>
      <c r="HH292" s="39"/>
      <c r="HI292" s="16"/>
      <c r="HJ292" s="19"/>
      <c r="HK292" s="1"/>
      <c r="HL292" s="16"/>
      <c r="HM292" s="1"/>
      <c r="HN292" s="1"/>
      <c r="HO292" s="1"/>
      <c r="HP292" s="1"/>
      <c r="HQ292" s="1"/>
      <c r="HR292" s="1"/>
      <c r="HS292" s="1"/>
      <c r="HT292" s="1"/>
      <c r="HU292" s="1"/>
      <c r="HV292" s="1"/>
      <c r="HW292" s="1"/>
      <c r="HX292" s="1"/>
      <c r="HY292" s="1"/>
      <c r="HZ292" s="1"/>
      <c r="IA292" s="1"/>
      <c r="IB292" s="1"/>
      <c r="IC292" s="1"/>
      <c r="ID292" s="1"/>
      <c r="IE292" s="1"/>
      <c r="IF292" s="1"/>
      <c r="IG292" s="1"/>
      <c r="IH292" s="21"/>
      <c r="II292" s="19"/>
      <c r="IJ292" s="19"/>
      <c r="IK292" s="19"/>
      <c r="IL292" s="19"/>
      <c r="IM292" s="19"/>
      <c r="IN292" s="19"/>
      <c r="IO292" s="39"/>
      <c r="IP292" s="39"/>
      <c r="IQ292" s="39"/>
      <c r="IR292" s="39"/>
      <c r="IS292" s="39"/>
      <c r="IT292" s="39"/>
      <c r="IU292" s="39"/>
      <c r="IV292" s="39"/>
      <c r="IW292" s="39"/>
      <c r="IX292" s="39"/>
      <c r="IY292" s="39"/>
      <c r="IZ292" s="39"/>
      <c r="JA292" s="19"/>
      <c r="JB292" s="19"/>
      <c r="JC292" s="19"/>
      <c r="JD292" s="19"/>
      <c r="JE292" s="21"/>
      <c r="JF292" s="1"/>
      <c r="JG292" s="15"/>
      <c r="JH292" s="1"/>
      <c r="JI292" s="1"/>
      <c r="JJ292" s="1"/>
      <c r="JK292" s="1"/>
      <c r="JL292" s="15"/>
      <c r="JM292" s="15"/>
      <c r="JN292" s="21"/>
      <c r="JO292" s="19"/>
      <c r="JP292" s="19"/>
      <c r="JQ292" s="39"/>
      <c r="JR292" s="39"/>
      <c r="JS292" s="39"/>
      <c r="JT292" s="39"/>
      <c r="JU292" s="385"/>
      <c r="JV292" s="39"/>
      <c r="JW292" s="1"/>
      <c r="JX292" s="19"/>
      <c r="JZ292" s="341"/>
      <c r="KA292" s="342"/>
      <c r="KB292" s="469"/>
      <c r="KI292" s="473"/>
      <c r="KJ292" s="473"/>
      <c r="KK292" s="473"/>
    </row>
    <row r="293" spans="1:310" s="26" customFormat="1" ht="15" outlineLevel="1">
      <c r="A293" s="561">
        <f t="shared" si="799"/>
        <v>2093</v>
      </c>
      <c r="B293" s="561">
        <f t="shared" si="817"/>
        <v>93</v>
      </c>
      <c r="C293" s="561">
        <f t="shared" si="760"/>
        <v>2</v>
      </c>
      <c r="D293" s="561" t="str">
        <f t="shared" si="861"/>
        <v/>
      </c>
      <c r="E293" s="475">
        <f>INDEX(Input!$1:$1048576,E$93,$C293*2+MIN($B293,2)+5)
+INDEX(Scenarios!E$121:E$200,MATCH($B293,Scenarios!$B$121:$B$200,0))</f>
        <v>1269.7618664521319</v>
      </c>
      <c r="F293" s="475">
        <f>INDEX(Input!$1:$1048576,F$93,$C293*2+MIN($B293,2)+5)
+INDEX(Scenarios!F$121:F$200,MATCH($B293,Scenarios!$B$121:$B$200,0))</f>
        <v>0</v>
      </c>
      <c r="G293" s="475">
        <f>INDEX(Input!$1:$1048576,G$93,$C293*2+MIN($B293,2)+5)
+INDEX(Scenarios!G$121:G$200,MATCH($B293,Scenarios!$B$121:$B$200,0))</f>
        <v>0</v>
      </c>
      <c r="H293" s="475">
        <f>INDEX(Input!$1:$1048576,H$93,$C293*2+MIN($B293,2)+5)
+INDEX(Scenarios!H$121:H$200,MATCH($B293,Scenarios!$B$121:$B$200,0))</f>
        <v>0</v>
      </c>
      <c r="I293" s="476">
        <f>INDEX(Input!$1:$1048576,I$93,$C293*2+MIN($B293,2)+5)</f>
        <v>0.7</v>
      </c>
      <c r="J293" s="476" t="str">
        <f>INDEX(Input!$1:$1048576,J$93,$C293*2+MIN($B293,2)+5)</f>
        <v>Market</v>
      </c>
      <c r="K293" s="476" t="str">
        <f>INDEX(Input!$1:$1048576,K$93,$C293*2+MIN($B293,2)+5)</f>
        <v>Market</v>
      </c>
      <c r="L293" s="476" t="str">
        <f>INDEX(Input!$1:$1048576,L$93,$C293*2+MIN($B293,2)+5)</f>
        <v>Market</v>
      </c>
      <c r="M293" s="476" t="str">
        <f>INDEX(Input!$1:$1048576,M$93,$C293*2+MIN($B293,2)+5)</f>
        <v>Market</v>
      </c>
      <c r="N293" s="476" t="str">
        <f>INDEX(Input!$1:$1048576,N$93,$C293*2+MIN($B293,2)+5)</f>
        <v>Market</v>
      </c>
      <c r="O293" s="476" t="str">
        <f>INDEX(Input!$1:$1048576,O$93,$C293*2+MIN($B293,2)+5)</f>
        <v>Market</v>
      </c>
      <c r="P293" s="476" t="str">
        <f>INDEX(Input!$1:$1048576,P$93,$C293*2+MIN($B293,2)+5)</f>
        <v>N</v>
      </c>
      <c r="Q293" s="477">
        <f>INDEX(Input!$1:$1048576,Q$93,$C293*2+MIN($B293,2)+5)
+INDEX(Scenarios!Q$121:Q$200,MATCH($B293,Scenarios!$B$121:$B$200,0))</f>
        <v>0</v>
      </c>
      <c r="R293" s="478">
        <f>IFERROR(MAX(0,INDEX(Input!$1:$1048576,R$93,$C293*2+MIN($B293,2)+5)
+INDEX(Scenarios!R$121:R$200,MATCH($B293,Scenarios!$B$121:$B$200,0)),),"Market")</f>
        <v>0</v>
      </c>
      <c r="S293" s="478">
        <f>IFERROR(MAX(0,INDEX(Input!$1:$1048576,S$93,$C293*2+MIN($B293,2)+5)
+INDEX(Scenarios!S$121:S$200,MATCH($B293,Scenarios!$B$121:$B$200,0)),),"Market")</f>
        <v>0</v>
      </c>
      <c r="T293" s="478">
        <f>IFERROR(MAX(0,INDEX(Input!$1:$1048576,T$93,$C293*2+MIN($B293,2)+5)
+INDEX(Scenarios!T$121:T$200,MATCH($B293,Scenarios!$B$121:$B$200,0)),),"Market")</f>
        <v>0</v>
      </c>
      <c r="U293" s="478">
        <f>IFERROR(MAX(0,INDEX(Input!$1:$1048576,U$93,$C293*2+MIN($B293,2)+5)
+INDEX(Scenarios!U$121:U$200,MATCH($B293,Scenarios!$B$121:$B$200,0)),),"Market")</f>
        <v>0</v>
      </c>
      <c r="V293" s="478">
        <f>IFERROR(MAX(0,INDEX(Input!$1:$1048576,V$93,$C293*2+MIN($B293,2)+5)
+INDEX(Scenarios!V$121:V$200,MATCH($B293,Scenarios!$B$121:$B$200,0)),),"Market")</f>
        <v>1.9E-2</v>
      </c>
      <c r="W293" s="885">
        <f>IFERROR(MAX(0,INDEX(Input!$1:$1048576,W$93,$C293*2+MIN($B293,2)+5)-0%,),"Market")</f>
        <v>3.9E-2</v>
      </c>
      <c r="X293" s="476" t="str">
        <f>INDEX(Input!$1:$1048576,X$93,$C293*2+MIN($B293,2)+5)</f>
        <v>Y</v>
      </c>
      <c r="Y293" s="475">
        <f>INDEX(Input!$1:$1048576,Y$93,$C293*2+MIN($B293,2)+5)
++INDEX(Scenarios!Y$121:Y$200,MATCH($B293,Scenarios!$B$121:$B$200,0))</f>
        <v>56</v>
      </c>
      <c r="Z293" s="477">
        <f>INDEX(Input!$1:$1048576,Z$93,$C293*2+MIN($B293,2)+5)
+INDEX(Scenarios!Z$121:Z$200,MATCH($B293,Scenarios!$B$121:$B$200,0))</f>
        <v>0</v>
      </c>
      <c r="AA293" s="475">
        <f>INDEX(Input!$1:$1048576,AA$93,$C293*2+MIN($B293,2)+5)
+INDEX(Scenarios!AA$121:AA$200,MATCH($B293,Scenarios!$B$121:$B$200,0))</f>
        <v>0</v>
      </c>
      <c r="AB293" s="476">
        <f>INDEX(Input!$1:$1048576,AB$93,$C293*2+MIN($B293,2)+5)</f>
        <v>0.27</v>
      </c>
      <c r="AC293" s="475">
        <f>INDEX(Input!$1:$1048576,AC$93,$C293*2+MIN($B293,2)+5)
+INDEX(Scenarios!AC$121:AC$200,MATCH($B293,Scenarios!$B$121:$B$200,0))</f>
        <v>0</v>
      </c>
      <c r="AD293" s="476">
        <f>INDEX(Input!$1:$1048576,AD$93,$C293*2+MIN($B293,2)+5)</f>
        <v>0.27</v>
      </c>
      <c r="AE293" s="475">
        <f>INDEX(Input!$1:$1048576,AE$93,$C293*2+MIN($B293,2)+5)
+INDEX(Scenarios!AE$121:AE$200,MATCH($B293,Scenarios!$B$121:$B$200,0))</f>
        <v>0</v>
      </c>
      <c r="AF293" s="476">
        <f>INDEX(Input!$1:$1048576,AF$93,$C293*2+MIN($B293,2)+5)</f>
        <v>4.8000000000000001E-2</v>
      </c>
      <c r="AG293" s="475">
        <f>INDEX(Input!$1:$1048576,AG$93,$C293*2+MIN($B293,2)+5)
+INDEX(Scenarios!AG$121:AG$200,MATCH($B293,Scenarios!$B$121:$B$200,0))</f>
        <v>500</v>
      </c>
      <c r="AH293" s="476">
        <f>INDEX(Input!$1:$1048576,AH$93,$C293*2+MIN($B293,2)+5)</f>
        <v>0.94599999999999995</v>
      </c>
      <c r="AI293" s="475">
        <f>INDEX(Input!$1:$1048576,AI$93,$C293*2+MIN($B293,2)+5)
+INDEX(Scenarios!AI$121:AI$200,MATCH($B293,Scenarios!$B$121:$B$200,0))</f>
        <v>0</v>
      </c>
      <c r="AJ293" s="476">
        <f>INDEX(Input!$1:$1048576,AJ$93,$C293*2+MIN($B293,2)+5)</f>
        <v>0.27</v>
      </c>
      <c r="AK293" s="150">
        <f>ROUND(INDEX(Input!$1:$1048576,AK$93,$C292*2+MIN($B293,1)+5)+(Y293-VLOOKUP($C293*1000+1,$A:$HH,Y$92,FALSE)),0)</f>
        <v>2977</v>
      </c>
      <c r="AL293" s="150">
        <f>ROUND(INDEX(Input!$1:$1048576,AL$93,$C292*2+MIN($B293,1)+5)-(Y293-VLOOKUP($C293*1000+1,$A:$HH,Y$92,FALSE))/36,0)</f>
        <v>3395</v>
      </c>
      <c r="AM293" s="32" t="str">
        <f t="shared" si="800"/>
        <v>std/std/std/std</v>
      </c>
      <c r="AN293" s="32" t="str">
        <f t="shared" si="801"/>
        <v>$0 + 0/0/0/1.9/3.9</v>
      </c>
      <c r="AO293" s="32" t="str">
        <f t="shared" si="802"/>
        <v>0/0/0/1.9/3.9</v>
      </c>
      <c r="AP293" s="32" t="str">
        <f t="shared" si="734"/>
        <v>0/0.9/1.9/3.9</v>
      </c>
      <c r="AQ293" s="536">
        <f t="shared" ref="AQ293:AQ356" si="862">SUM(IE293,G293*IF293,H293*IG293,AC293*AD293,AE293*AF293,AI293)</f>
        <v>0</v>
      </c>
      <c r="AR293" s="32"/>
      <c r="AS293" s="302"/>
      <c r="AT293" s="3">
        <f t="shared" si="856"/>
        <v>93</v>
      </c>
      <c r="AU293" s="41" t="s">
        <v>121</v>
      </c>
      <c r="AV293" s="41" t="s">
        <v>116</v>
      </c>
      <c r="AW293" s="41" t="str">
        <f>INDEX(Input!$1:$1048576,AW$93,$C293*2+6)</f>
        <v>Kia</v>
      </c>
      <c r="AX293" s="41" t="str">
        <f>INDEX(Input!$1:$1048576,AX$93,$C293*2+6)</f>
        <v>Kia-LR - L2</v>
      </c>
      <c r="AY293" s="41" t="str">
        <f>IF(LEN(D293)=0,"",INDEX(Input!$1:$1048576,AY$93,$C293*2+6))</f>
        <v/>
      </c>
      <c r="AZ293" s="41" t="str">
        <f>INDEX(Input!$1:$1048576,AZ$93,$C293*2+6)</f>
        <v>Kia Soul</v>
      </c>
      <c r="BA293" s="3">
        <f>INDEX(Input!$1:$1048576,BA$93,$C293*2+6)</f>
        <v>2020</v>
      </c>
      <c r="BB293" s="128">
        <f>INDEX(Input!$1:$1048576,BB$93,$C293*2+6)</f>
        <v>1</v>
      </c>
      <c r="BC293" s="128">
        <f>INDEX(Input!$1:$1048576,BC$93,$C293*2+6)</f>
        <v>0.7</v>
      </c>
      <c r="BD293" s="1">
        <f>INDEX(Input!$1:$1048576,BD$93,$C293*2+6)</f>
        <v>4.4999999999999998E-2</v>
      </c>
      <c r="BE293" s="1">
        <f>INDEX(Input!$1:$1048576,BE$93,$C293*2+6)</f>
        <v>4.4999999999999998E-2</v>
      </c>
      <c r="BF293" s="1">
        <f>INDEX(Input!$1:$1048576,BF$93,$C293*2+6)</f>
        <v>0.05</v>
      </c>
      <c r="BG293" s="1">
        <f>INDEX(Input!$1:$1048576,BG$93,$C293*2+6)</f>
        <v>5.45E-2</v>
      </c>
      <c r="BH293" s="1">
        <f>INDEX(Input!$1:$1048576,BH$93,$C293*2+6)</f>
        <v>5.45E-2</v>
      </c>
      <c r="BI293" s="1">
        <f>INDEX(Input!$1:$1048576,BI$93,$C293*2+6)</f>
        <v>0.05</v>
      </c>
      <c r="BJ293" s="1">
        <f>INDEX(Input!$1:$1048576,BJ$93,$C293*2+6)</f>
        <v>0.05</v>
      </c>
      <c r="BK293" s="1">
        <f>INDEX(Input!$1:$1048576,BK$93,$C293*2+6)</f>
        <v>0.05</v>
      </c>
      <c r="BL293" s="1">
        <f>INDEX(Input!$1:$1048576,BL$93,$C293*2+6)</f>
        <v>5.5E-2</v>
      </c>
      <c r="BM293" s="1">
        <f>INDEX(Input!$1:$1048576,BM$93,$C293*2+6)</f>
        <v>0.06</v>
      </c>
      <c r="BN293" s="1">
        <f>INDEX(Input!$1:$1048576,BN$93,$C293*2+6)</f>
        <v>4.4999999999999998E-2</v>
      </c>
      <c r="BO293" s="1">
        <f>INDEX(Input!$1:$1048576,BO$93,$C293*2+6)</f>
        <v>4.4999999999999998E-2</v>
      </c>
      <c r="BP293" s="1">
        <f>INDEX(Input!$1:$1048576,BP$93,$C293*2+6)</f>
        <v>0.05</v>
      </c>
      <c r="BQ293" s="1">
        <f>INDEX(Input!$1:$1048576,BQ$93,$C293*2+6)</f>
        <v>5.45E-2</v>
      </c>
      <c r="BR293" s="1">
        <f>INDEX(Input!$1:$1048576,BR$93,$C293*2+6)</f>
        <v>5.45E-2</v>
      </c>
      <c r="BS293" s="1">
        <f>INDEX(Input!$1:$1048576,BS$93,$C293*2+6)</f>
        <v>0.05</v>
      </c>
      <c r="BT293" s="1">
        <f>INDEX(Input!$1:$1048576,BT$93,$C293*2+6)</f>
        <v>0.05</v>
      </c>
      <c r="BU293" s="1">
        <f>INDEX(Input!$1:$1048576,BU$93,$C293*2+6)</f>
        <v>0.05</v>
      </c>
      <c r="BV293" s="1">
        <f>INDEX(Input!$1:$1048576,BV$93,$C293*2+6)</f>
        <v>5.5E-2</v>
      </c>
      <c r="BW293" s="1">
        <f>INDEX(Input!$1:$1048576,BW$93,$C293*2+6)</f>
        <v>0.06</v>
      </c>
      <c r="BX293" s="127">
        <f>INDEX(Input!$1:$1048576,BX$93,$C293*2+6)</f>
        <v>19985</v>
      </c>
      <c r="BY293" s="20">
        <f>INDEX(Input!$1:$1048576,BY$93,$C293*2+6)</f>
        <v>0.1</v>
      </c>
      <c r="BZ293" s="20">
        <f>INDEX(Input!$1:$1048576,BZ$93,$C293*2+6)</f>
        <v>0.1</v>
      </c>
      <c r="CA293" s="20">
        <f>INDEX(Input!$1:$1048576,CA$93,$C293*2+6)</f>
        <v>0.1</v>
      </c>
      <c r="CB293" s="20">
        <f>INDEX(Input!$1:$1048576,CB$93,$C293*2+6)</f>
        <v>0.1</v>
      </c>
      <c r="CC293" s="20">
        <f>INDEX(Input!$1:$1048576,CC$93,$C293*2+6)</f>
        <v>0.1</v>
      </c>
      <c r="CD293" s="384">
        <f>INDEX(Input!$1:$1048576,CD$93,$C293*2+6)</f>
        <v>0.1</v>
      </c>
      <c r="CE293" s="384">
        <f>INDEX(Input!$1:$1048576,CE$93,$C293*2+6)</f>
        <v>0.1</v>
      </c>
      <c r="CF293" s="384">
        <f>INDEX(Input!$1:$1048576,CF$93,$C293*2+6)</f>
        <v>0.1</v>
      </c>
      <c r="CG293" s="384">
        <f>INDEX(Input!$1:$1048576,CG$93,$C293*2+6)</f>
        <v>0.1</v>
      </c>
      <c r="CH293" s="384">
        <f>INDEX(Input!$1:$1048576,CH$93,$C293*2+6)</f>
        <v>0.1</v>
      </c>
      <c r="CI293" s="304">
        <f t="shared" si="735"/>
        <v>1269.7618664521319</v>
      </c>
      <c r="CJ293" s="16" t="str">
        <f>INDEX(Input!$1:$1048576,CJ$93,$C293*2+6)</f>
        <v>N</v>
      </c>
      <c r="CK293" s="1" t="str">
        <f t="shared" si="736"/>
        <v>Market</v>
      </c>
      <c r="CL293" s="1" t="str">
        <f t="shared" si="737"/>
        <v>Market</v>
      </c>
      <c r="CM293" s="1" t="str">
        <f t="shared" si="738"/>
        <v>Market</v>
      </c>
      <c r="CN293" s="1" t="str">
        <f t="shared" si="739"/>
        <v>Market</v>
      </c>
      <c r="CO293" s="1" t="str">
        <f t="shared" si="740"/>
        <v>Market</v>
      </c>
      <c r="CP293" s="304">
        <f t="shared" si="741"/>
        <v>473</v>
      </c>
      <c r="CQ293" s="1">
        <f t="shared" si="742"/>
        <v>0</v>
      </c>
      <c r="CR293" s="1">
        <f t="shared" si="743"/>
        <v>0</v>
      </c>
      <c r="CS293" s="1">
        <f t="shared" si="744"/>
        <v>0</v>
      </c>
      <c r="CT293" s="1">
        <f t="shared" si="745"/>
        <v>1.9E-2</v>
      </c>
      <c r="CU293" s="1">
        <f t="shared" si="746"/>
        <v>3.9E-2</v>
      </c>
      <c r="CV293" s="304">
        <f t="shared" si="747"/>
        <v>56</v>
      </c>
      <c r="CW293" s="20" t="s">
        <v>122</v>
      </c>
      <c r="CX293" s="20" t="s">
        <v>122</v>
      </c>
      <c r="CY293" s="20" t="s">
        <v>122</v>
      </c>
      <c r="CZ293" s="20" t="s">
        <v>122</v>
      </c>
      <c r="DA293" s="20" t="s">
        <v>122</v>
      </c>
      <c r="DB293" s="503">
        <f t="shared" si="748"/>
        <v>0</v>
      </c>
      <c r="DC293" s="127">
        <v>0</v>
      </c>
      <c r="DD293" s="127">
        <v>0</v>
      </c>
      <c r="DE293" s="127">
        <v>0</v>
      </c>
      <c r="DF293" s="127">
        <v>0</v>
      </c>
      <c r="DG293" s="127">
        <v>0</v>
      </c>
      <c r="DH293" s="127">
        <v>0</v>
      </c>
      <c r="DI293" s="127">
        <v>0</v>
      </c>
      <c r="DJ293" s="127">
        <v>0</v>
      </c>
      <c r="DK293" s="127">
        <v>0</v>
      </c>
      <c r="DL293" s="127">
        <v>0</v>
      </c>
      <c r="DM293" s="304">
        <f>INDEX(Input!$1:$1048576,DM$93,$C293*2+6)</f>
        <v>21036.84210526316</v>
      </c>
      <c r="DN293" s="20">
        <v>0</v>
      </c>
      <c r="DO293" s="20">
        <v>0</v>
      </c>
      <c r="DP293" s="20">
        <v>0</v>
      </c>
      <c r="DQ293" s="20">
        <v>0</v>
      </c>
      <c r="DR293" s="20">
        <v>0</v>
      </c>
      <c r="DS293" s="20">
        <f>INDEX(Input!$1:$1048576,DS$93,$C293*2+6)</f>
        <v>0.6</v>
      </c>
      <c r="DT293" s="20">
        <f>INDEX(Input!$1:$1048576,DT$93,$C293*2+6)</f>
        <v>0.55000000000000004</v>
      </c>
      <c r="DU293" s="20">
        <f>INDEX(Input!$1:$1048576,DU$93,$C293*2+6)</f>
        <v>0.52</v>
      </c>
      <c r="DV293" s="20">
        <f>INDEX(Input!$1:$1048576,DV$93,$C293*2+6)</f>
        <v>0.5</v>
      </c>
      <c r="DW293" s="20">
        <f>INDEX(Input!$1:$1048576,DW$93,$C293*2+6)</f>
        <v>0.45</v>
      </c>
      <c r="DX293" s="20"/>
      <c r="DY293" s="7"/>
      <c r="DZ293" s="7"/>
      <c r="EA293" s="7"/>
      <c r="EB293" s="7"/>
      <c r="EC293" s="7"/>
      <c r="ED293" s="7"/>
      <c r="EE293" s="7"/>
      <c r="EF293" s="7"/>
      <c r="EG293" s="7"/>
      <c r="EH293" s="7"/>
      <c r="EI293" s="7"/>
      <c r="EJ293" s="7"/>
      <c r="EK293" s="7"/>
      <c r="EL293" s="7"/>
      <c r="EM293" s="7"/>
      <c r="EN293" s="7"/>
      <c r="EO293" s="7"/>
      <c r="EP293" s="7"/>
      <c r="EQ293" s="7"/>
      <c r="ER293" s="7"/>
      <c r="ES293" s="7"/>
      <c r="ET293" s="7"/>
      <c r="EU293" s="6"/>
      <c r="EV293" s="6"/>
      <c r="EW293" s="6"/>
      <c r="EX293" s="6"/>
      <c r="EY293" s="6"/>
      <c r="EZ293" s="6"/>
      <c r="FA293" s="6"/>
      <c r="FB293" s="6"/>
      <c r="FC293" s="6"/>
      <c r="FD293" s="6"/>
      <c r="FE293" s="6"/>
      <c r="FF293" s="6"/>
      <c r="FG293" s="6"/>
      <c r="FH293" s="6"/>
      <c r="FI293" s="6"/>
      <c r="FJ293" s="6"/>
      <c r="FK293" s="6"/>
      <c r="FL293" s="6"/>
      <c r="FM293" s="6"/>
      <c r="FN293" s="6"/>
      <c r="FO293" s="6"/>
      <c r="FP293" s="6"/>
      <c r="FQ293" s="6"/>
      <c r="FR293" s="6"/>
      <c r="FS293" s="6"/>
      <c r="FT293" s="7"/>
      <c r="FU293" s="7"/>
      <c r="FV293" s="7"/>
      <c r="FW293" s="6"/>
      <c r="FX293" s="6"/>
      <c r="FY293" s="6"/>
      <c r="FZ293" s="6"/>
      <c r="GA293" s="6"/>
      <c r="GB293" s="6"/>
      <c r="GC293" s="7"/>
      <c r="GD293" s="7"/>
      <c r="GE293" s="7"/>
      <c r="GF293" s="7"/>
      <c r="GG293" s="7"/>
      <c r="GH293" s="42"/>
      <c r="GI293" s="6"/>
      <c r="GJ293" s="14"/>
      <c r="GK293" s="14"/>
      <c r="GL293" s="14"/>
      <c r="GM293" s="14"/>
      <c r="GO293" s="5"/>
      <c r="GP293" s="5"/>
      <c r="GQ293" s="5"/>
      <c r="GR293" s="5"/>
      <c r="GS293" s="5"/>
      <c r="GT293" s="5"/>
      <c r="GU293" s="5"/>
      <c r="GV293" s="39"/>
      <c r="GW293" s="5"/>
      <c r="GX293" s="5"/>
      <c r="GY293" s="5"/>
      <c r="GZ293" s="5"/>
      <c r="HA293" s="5"/>
      <c r="HB293" s="39"/>
      <c r="HC293" s="5"/>
      <c r="HD293" s="5"/>
      <c r="HE293" s="5"/>
      <c r="HF293" s="5"/>
      <c r="HG293" s="5"/>
      <c r="HH293" s="39"/>
      <c r="HI293" s="16"/>
      <c r="HJ293" s="19"/>
      <c r="HK293" s="1"/>
      <c r="HL293" s="16"/>
      <c r="HM293" s="1"/>
      <c r="HN293" s="1"/>
      <c r="HO293" s="1"/>
      <c r="HP293" s="1"/>
      <c r="HQ293" s="1"/>
      <c r="HR293" s="1"/>
      <c r="HS293" s="1"/>
      <c r="HT293" s="1"/>
      <c r="HU293" s="1"/>
      <c r="HV293" s="1"/>
      <c r="HW293" s="1"/>
      <c r="HX293" s="1"/>
      <c r="HY293" s="1"/>
      <c r="HZ293" s="1"/>
      <c r="IA293" s="1"/>
      <c r="IB293" s="1"/>
      <c r="IC293" s="1"/>
      <c r="ID293" s="1"/>
      <c r="IE293" s="1"/>
      <c r="IF293" s="1"/>
      <c r="IG293" s="1"/>
      <c r="IH293" s="21"/>
      <c r="II293" s="19"/>
      <c r="IJ293" s="19"/>
      <c r="IK293" s="19"/>
      <c r="IL293" s="19"/>
      <c r="IM293" s="19"/>
      <c r="IN293" s="19"/>
      <c r="IO293" s="39"/>
      <c r="IP293" s="39"/>
      <c r="IQ293" s="39"/>
      <c r="IR293" s="39"/>
      <c r="IS293" s="39"/>
      <c r="IT293" s="39"/>
      <c r="IU293" s="39"/>
      <c r="IV293" s="39"/>
      <c r="IW293" s="39"/>
      <c r="IX293" s="39"/>
      <c r="IY293" s="39"/>
      <c r="IZ293" s="39"/>
      <c r="JA293" s="19"/>
      <c r="JB293" s="19"/>
      <c r="JC293" s="19"/>
      <c r="JD293" s="19"/>
      <c r="JE293" s="21"/>
      <c r="JF293" s="1"/>
      <c r="JG293" s="15"/>
      <c r="JH293" s="1"/>
      <c r="JI293" s="1"/>
      <c r="JJ293" s="1"/>
      <c r="JK293" s="1"/>
      <c r="JL293" s="15"/>
      <c r="JM293" s="15"/>
      <c r="JN293" s="21"/>
      <c r="JO293" s="19"/>
      <c r="JP293" s="19"/>
      <c r="JQ293" s="39"/>
      <c r="JR293" s="39"/>
      <c r="JS293" s="39"/>
      <c r="JT293" s="39"/>
      <c r="JU293" s="385"/>
      <c r="JV293" s="39"/>
      <c r="JW293" s="1"/>
      <c r="JX293" s="19"/>
      <c r="JZ293" s="341"/>
      <c r="KA293" s="342"/>
      <c r="KB293" s="469"/>
      <c r="KI293" s="473"/>
      <c r="KJ293" s="473"/>
      <c r="KK293" s="473"/>
    </row>
    <row r="294" spans="1:310" s="26" customFormat="1" ht="15" outlineLevel="1">
      <c r="A294" s="561">
        <f t="shared" si="799"/>
        <v>2094</v>
      </c>
      <c r="B294" s="561">
        <f t="shared" si="817"/>
        <v>94</v>
      </c>
      <c r="C294" s="561">
        <f t="shared" si="760"/>
        <v>2</v>
      </c>
      <c r="D294" s="561" t="str">
        <f t="shared" si="861"/>
        <v/>
      </c>
      <c r="E294" s="475">
        <f>INDEX(Input!$1:$1048576,E$93,$C294*2+MIN($B294,2)+5)
+INDEX(Scenarios!E$121:E$200,MATCH($B294,Scenarios!$B$121:$B$200,0))</f>
        <v>1269.7618664521319</v>
      </c>
      <c r="F294" s="475">
        <f>INDEX(Input!$1:$1048576,F$93,$C294*2+MIN($B294,2)+5)
+INDEX(Scenarios!F$121:F$200,MATCH($B294,Scenarios!$B$121:$B$200,0))</f>
        <v>0</v>
      </c>
      <c r="G294" s="475">
        <f>INDEX(Input!$1:$1048576,G$93,$C294*2+MIN($B294,2)+5)
+INDEX(Scenarios!G$121:G$200,MATCH($B294,Scenarios!$B$121:$B$200,0))</f>
        <v>0</v>
      </c>
      <c r="H294" s="475">
        <f>INDEX(Input!$1:$1048576,H$93,$C294*2+MIN($B294,2)+5)
+INDEX(Scenarios!H$121:H$200,MATCH($B294,Scenarios!$B$121:$B$200,0))</f>
        <v>0</v>
      </c>
      <c r="I294" s="476">
        <f>INDEX(Input!$1:$1048576,I$93,$C294*2+MIN($B294,2)+5)</f>
        <v>0.7</v>
      </c>
      <c r="J294" s="476" t="str">
        <f>INDEX(Input!$1:$1048576,J$93,$C294*2+MIN($B294,2)+5)</f>
        <v>Market</v>
      </c>
      <c r="K294" s="476" t="str">
        <f>INDEX(Input!$1:$1048576,K$93,$C294*2+MIN($B294,2)+5)</f>
        <v>Market</v>
      </c>
      <c r="L294" s="476" t="str">
        <f>INDEX(Input!$1:$1048576,L$93,$C294*2+MIN($B294,2)+5)</f>
        <v>Market</v>
      </c>
      <c r="M294" s="476" t="str">
        <f>INDEX(Input!$1:$1048576,M$93,$C294*2+MIN($B294,2)+5)</f>
        <v>Market</v>
      </c>
      <c r="N294" s="476" t="str">
        <f>INDEX(Input!$1:$1048576,N$93,$C294*2+MIN($B294,2)+5)</f>
        <v>Market</v>
      </c>
      <c r="O294" s="476" t="str">
        <f>INDEX(Input!$1:$1048576,O$93,$C294*2+MIN($B294,2)+5)</f>
        <v>Market</v>
      </c>
      <c r="P294" s="476" t="str">
        <f>INDEX(Input!$1:$1048576,P$93,$C294*2+MIN($B294,2)+5)</f>
        <v>N</v>
      </c>
      <c r="Q294" s="477">
        <f>INDEX(Input!$1:$1048576,Q$93,$C294*2+MIN($B294,2)+5)
+INDEX(Scenarios!Q$121:Q$200,MATCH($B294,Scenarios!$B$121:$B$200,0))</f>
        <v>0</v>
      </c>
      <c r="R294" s="478">
        <f>IFERROR(MAX(0,INDEX(Input!$1:$1048576,R$93,$C294*2+MIN($B294,2)+5)
+INDEX(Scenarios!R$121:R$200,MATCH($B294,Scenarios!$B$121:$B$200,0)),),"Market")</f>
        <v>0</v>
      </c>
      <c r="S294" s="478">
        <f>IFERROR(MAX(0,INDEX(Input!$1:$1048576,S$93,$C294*2+MIN($B294,2)+5)
+INDEX(Scenarios!S$121:S$200,MATCH($B294,Scenarios!$B$121:$B$200,0)),),"Market")</f>
        <v>0</v>
      </c>
      <c r="T294" s="478">
        <f>IFERROR(MAX(0,INDEX(Input!$1:$1048576,T$93,$C294*2+MIN($B294,2)+5)
+INDEX(Scenarios!T$121:T$200,MATCH($B294,Scenarios!$B$121:$B$200,0)),),"Market")</f>
        <v>0</v>
      </c>
      <c r="U294" s="478">
        <f>IFERROR(MAX(0,INDEX(Input!$1:$1048576,U$93,$C294*2+MIN($B294,2)+5)
+INDEX(Scenarios!U$121:U$200,MATCH($B294,Scenarios!$B$121:$B$200,0)),),"Market")</f>
        <v>0</v>
      </c>
      <c r="V294" s="478">
        <f>IFERROR(MAX(0,INDEX(Input!$1:$1048576,V$93,$C294*2+MIN($B294,2)+5)
+INDEX(Scenarios!V$121:V$200,MATCH($B294,Scenarios!$B$121:$B$200,0)),),"Market")</f>
        <v>1.9E-2</v>
      </c>
      <c r="W294" s="885">
        <f>IFERROR(MAX(0,INDEX(Input!$1:$1048576,W$93,$C294*2+MIN($B294,2)+5)-0%,),"Market")</f>
        <v>3.9E-2</v>
      </c>
      <c r="X294" s="476" t="str">
        <f>INDEX(Input!$1:$1048576,X$93,$C294*2+MIN($B294,2)+5)</f>
        <v>Y</v>
      </c>
      <c r="Y294" s="475">
        <f>INDEX(Input!$1:$1048576,Y$93,$C294*2+MIN($B294,2)+5)
++INDEX(Scenarios!Y$121:Y$200,MATCH($B294,Scenarios!$B$121:$B$200,0))</f>
        <v>56</v>
      </c>
      <c r="Z294" s="477">
        <f>INDEX(Input!$1:$1048576,Z$93,$C294*2+MIN($B294,2)+5)
+INDEX(Scenarios!Z$121:Z$200,MATCH($B294,Scenarios!$B$121:$B$200,0))</f>
        <v>0</v>
      </c>
      <c r="AA294" s="475">
        <f>INDEX(Input!$1:$1048576,AA$93,$C294*2+MIN($B294,2)+5)
+INDEX(Scenarios!AA$121:AA$200,MATCH($B294,Scenarios!$B$121:$B$200,0))</f>
        <v>0</v>
      </c>
      <c r="AB294" s="476">
        <f>INDEX(Input!$1:$1048576,AB$93,$C294*2+MIN($B294,2)+5)</f>
        <v>0.27</v>
      </c>
      <c r="AC294" s="475">
        <f>INDEX(Input!$1:$1048576,AC$93,$C294*2+MIN($B294,2)+5)
+INDEX(Scenarios!AC$121:AC$200,MATCH($B294,Scenarios!$B$121:$B$200,0))</f>
        <v>0</v>
      </c>
      <c r="AD294" s="476">
        <f>INDEX(Input!$1:$1048576,AD$93,$C294*2+MIN($B294,2)+5)</f>
        <v>0.27</v>
      </c>
      <c r="AE294" s="475">
        <f>INDEX(Input!$1:$1048576,AE$93,$C294*2+MIN($B294,2)+5)
+INDEX(Scenarios!AE$121:AE$200,MATCH($B294,Scenarios!$B$121:$B$200,0))</f>
        <v>0</v>
      </c>
      <c r="AF294" s="476">
        <f>INDEX(Input!$1:$1048576,AF$93,$C294*2+MIN($B294,2)+5)</f>
        <v>4.8000000000000001E-2</v>
      </c>
      <c r="AG294" s="475">
        <f>INDEX(Input!$1:$1048576,AG$93,$C294*2+MIN($B294,2)+5)
+INDEX(Scenarios!AG$121:AG$200,MATCH($B294,Scenarios!$B$121:$B$200,0))</f>
        <v>500</v>
      </c>
      <c r="AH294" s="476">
        <f>INDEX(Input!$1:$1048576,AH$93,$C294*2+MIN($B294,2)+5)</f>
        <v>0.94599999999999995</v>
      </c>
      <c r="AI294" s="475">
        <f>INDEX(Input!$1:$1048576,AI$93,$C294*2+MIN($B294,2)+5)
+INDEX(Scenarios!AI$121:AI$200,MATCH($B294,Scenarios!$B$121:$B$200,0))</f>
        <v>0</v>
      </c>
      <c r="AJ294" s="476">
        <f>INDEX(Input!$1:$1048576,AJ$93,$C294*2+MIN($B294,2)+5)</f>
        <v>0.27</v>
      </c>
      <c r="AK294" s="150">
        <f>ROUND(INDEX(Input!$1:$1048576,AK$93,$C293*2+MIN($B294,1)+5)+(Y294-VLOOKUP($C294*1000+1,$A:$HH,Y$92,FALSE)),0)</f>
        <v>2977</v>
      </c>
      <c r="AL294" s="150">
        <f>ROUND(INDEX(Input!$1:$1048576,AL$93,$C293*2+MIN($B294,1)+5)-(Y294-VLOOKUP($C294*1000+1,$A:$HH,Y$92,FALSE))/36,0)</f>
        <v>3395</v>
      </c>
      <c r="AM294" s="32" t="str">
        <f t="shared" si="800"/>
        <v>std/std/std/std</v>
      </c>
      <c r="AN294" s="32" t="str">
        <f t="shared" si="801"/>
        <v>$0 + 0/0/0/1.9/3.9</v>
      </c>
      <c r="AO294" s="32" t="str">
        <f t="shared" si="802"/>
        <v>0/0/0/1.9/3.9</v>
      </c>
      <c r="AP294" s="32" t="str">
        <f t="shared" ref="AP294:AP357" si="863">IF(X294="Y",
IF(U294="market","std",ROUND(U294*1000,0)/10)&amp;"/"
&amp;MAX(IF(V294="market","std",ROUND(V294*1000,0)/10-1),0)&amp;"/"
&amp;IF(V294="market","std",ROUND(V294*1000,0)/10)&amp;"/"
&amp;IF(W294="market","std",ROUND(W294*1000,0)/10),
IF(U294="market","std",ROUND(U294*1000,0)/10)&amp;"/"
&amp;MAX(IF(V294="market","std",ROUND(V294*1000,0)/10-1),0)&amp;"/"
&amp;IF(V294="market","std",ROUND(V294*1000,0)/10)&amp;"/"
&amp;IF(W294="market","std",ROUND(W294*1000,0)/10))</f>
        <v>0/0.9/1.9/3.9</v>
      </c>
      <c r="AQ294" s="536">
        <f t="shared" si="862"/>
        <v>0</v>
      </c>
      <c r="AR294" s="32"/>
      <c r="AS294" s="302"/>
      <c r="AT294" s="3">
        <f t="shared" si="856"/>
        <v>94</v>
      </c>
      <c r="AU294" s="41" t="s">
        <v>121</v>
      </c>
      <c r="AV294" s="41" t="s">
        <v>116</v>
      </c>
      <c r="AW294" s="41" t="str">
        <f>INDEX(Input!$1:$1048576,AW$93,$C294*2+6)</f>
        <v>Kia</v>
      </c>
      <c r="AX294" s="41" t="str">
        <f>INDEX(Input!$1:$1048576,AX$93,$C294*2+6)</f>
        <v>Kia-LR - L2</v>
      </c>
      <c r="AY294" s="41" t="str">
        <f>IF(LEN(D294)=0,"",INDEX(Input!$1:$1048576,AY$93,$C294*2+6))</f>
        <v/>
      </c>
      <c r="AZ294" s="41" t="str">
        <f>INDEX(Input!$1:$1048576,AZ$93,$C294*2+6)</f>
        <v>Kia Soul</v>
      </c>
      <c r="BA294" s="3">
        <f>INDEX(Input!$1:$1048576,BA$93,$C294*2+6)</f>
        <v>2020</v>
      </c>
      <c r="BB294" s="128">
        <f>INDEX(Input!$1:$1048576,BB$93,$C294*2+6)</f>
        <v>1</v>
      </c>
      <c r="BC294" s="128">
        <f>INDEX(Input!$1:$1048576,BC$93,$C294*2+6)</f>
        <v>0.7</v>
      </c>
      <c r="BD294" s="1">
        <f>INDEX(Input!$1:$1048576,BD$93,$C294*2+6)</f>
        <v>4.4999999999999998E-2</v>
      </c>
      <c r="BE294" s="1">
        <f>INDEX(Input!$1:$1048576,BE$93,$C294*2+6)</f>
        <v>4.4999999999999998E-2</v>
      </c>
      <c r="BF294" s="1">
        <f>INDEX(Input!$1:$1048576,BF$93,$C294*2+6)</f>
        <v>0.05</v>
      </c>
      <c r="BG294" s="1">
        <f>INDEX(Input!$1:$1048576,BG$93,$C294*2+6)</f>
        <v>5.45E-2</v>
      </c>
      <c r="BH294" s="1">
        <f>INDEX(Input!$1:$1048576,BH$93,$C294*2+6)</f>
        <v>5.45E-2</v>
      </c>
      <c r="BI294" s="1">
        <f>INDEX(Input!$1:$1048576,BI$93,$C294*2+6)</f>
        <v>0.05</v>
      </c>
      <c r="BJ294" s="1">
        <f>INDEX(Input!$1:$1048576,BJ$93,$C294*2+6)</f>
        <v>0.05</v>
      </c>
      <c r="BK294" s="1">
        <f>INDEX(Input!$1:$1048576,BK$93,$C294*2+6)</f>
        <v>0.05</v>
      </c>
      <c r="BL294" s="1">
        <f>INDEX(Input!$1:$1048576,BL$93,$C294*2+6)</f>
        <v>5.5E-2</v>
      </c>
      <c r="BM294" s="1">
        <f>INDEX(Input!$1:$1048576,BM$93,$C294*2+6)</f>
        <v>0.06</v>
      </c>
      <c r="BN294" s="1">
        <f>INDEX(Input!$1:$1048576,BN$93,$C294*2+6)</f>
        <v>4.4999999999999998E-2</v>
      </c>
      <c r="BO294" s="1">
        <f>INDEX(Input!$1:$1048576,BO$93,$C294*2+6)</f>
        <v>4.4999999999999998E-2</v>
      </c>
      <c r="BP294" s="1">
        <f>INDEX(Input!$1:$1048576,BP$93,$C294*2+6)</f>
        <v>0.05</v>
      </c>
      <c r="BQ294" s="1">
        <f>INDEX(Input!$1:$1048576,BQ$93,$C294*2+6)</f>
        <v>5.45E-2</v>
      </c>
      <c r="BR294" s="1">
        <f>INDEX(Input!$1:$1048576,BR$93,$C294*2+6)</f>
        <v>5.45E-2</v>
      </c>
      <c r="BS294" s="1">
        <f>INDEX(Input!$1:$1048576,BS$93,$C294*2+6)</f>
        <v>0.05</v>
      </c>
      <c r="BT294" s="1">
        <f>INDEX(Input!$1:$1048576,BT$93,$C294*2+6)</f>
        <v>0.05</v>
      </c>
      <c r="BU294" s="1">
        <f>INDEX(Input!$1:$1048576,BU$93,$C294*2+6)</f>
        <v>0.05</v>
      </c>
      <c r="BV294" s="1">
        <f>INDEX(Input!$1:$1048576,BV$93,$C294*2+6)</f>
        <v>5.5E-2</v>
      </c>
      <c r="BW294" s="1">
        <f>INDEX(Input!$1:$1048576,BW$93,$C294*2+6)</f>
        <v>0.06</v>
      </c>
      <c r="BX294" s="127">
        <f>INDEX(Input!$1:$1048576,BX$93,$C294*2+6)</f>
        <v>19985</v>
      </c>
      <c r="BY294" s="20">
        <f>INDEX(Input!$1:$1048576,BY$93,$C294*2+6)</f>
        <v>0.1</v>
      </c>
      <c r="BZ294" s="20">
        <f>INDEX(Input!$1:$1048576,BZ$93,$C294*2+6)</f>
        <v>0.1</v>
      </c>
      <c r="CA294" s="20">
        <f>INDEX(Input!$1:$1048576,CA$93,$C294*2+6)</f>
        <v>0.1</v>
      </c>
      <c r="CB294" s="20">
        <f>INDEX(Input!$1:$1048576,CB$93,$C294*2+6)</f>
        <v>0.1</v>
      </c>
      <c r="CC294" s="20">
        <f>INDEX(Input!$1:$1048576,CC$93,$C294*2+6)</f>
        <v>0.1</v>
      </c>
      <c r="CD294" s="384">
        <f>INDEX(Input!$1:$1048576,CD$93,$C294*2+6)</f>
        <v>0.1</v>
      </c>
      <c r="CE294" s="384">
        <f>INDEX(Input!$1:$1048576,CE$93,$C294*2+6)</f>
        <v>0.1</v>
      </c>
      <c r="CF294" s="384">
        <f>INDEX(Input!$1:$1048576,CF$93,$C294*2+6)</f>
        <v>0.1</v>
      </c>
      <c r="CG294" s="384">
        <f>INDEX(Input!$1:$1048576,CG$93,$C294*2+6)</f>
        <v>0.1</v>
      </c>
      <c r="CH294" s="384">
        <f>INDEX(Input!$1:$1048576,CH$93,$C294*2+6)</f>
        <v>0.1</v>
      </c>
      <c r="CI294" s="304">
        <f t="shared" ref="CI294:CI357" si="864">E294+F294*I294+AA294*AB294</f>
        <v>1269.7618664521319</v>
      </c>
      <c r="CJ294" s="16" t="str">
        <f>INDEX(Input!$1:$1048576,CJ$93,$C294*2+6)</f>
        <v>N</v>
      </c>
      <c r="CK294" s="1" t="str">
        <f t="shared" ref="CK294:CK357" si="865">K294</f>
        <v>Market</v>
      </c>
      <c r="CL294" s="1" t="str">
        <f t="shared" ref="CL294:CL357" si="866">L294</f>
        <v>Market</v>
      </c>
      <c r="CM294" s="1" t="str">
        <f t="shared" ref="CM294:CM357" si="867">M294</f>
        <v>Market</v>
      </c>
      <c r="CN294" s="1" t="str">
        <f t="shared" ref="CN294:CN357" si="868">N294</f>
        <v>Market</v>
      </c>
      <c r="CO294" s="1" t="str">
        <f t="shared" ref="CO294:CO357" si="869">O294</f>
        <v>Market</v>
      </c>
      <c r="CP294" s="304">
        <f t="shared" ref="CP294:CP357" si="870">Q294+G294*I294+AG294*AH294</f>
        <v>473</v>
      </c>
      <c r="CQ294" s="1">
        <f t="shared" ref="CQ294:CQ357" si="871">S294</f>
        <v>0</v>
      </c>
      <c r="CR294" s="1">
        <f t="shared" ref="CR294:CR357" si="872">T294</f>
        <v>0</v>
      </c>
      <c r="CS294" s="1">
        <f t="shared" ref="CS294:CS357" si="873">U294</f>
        <v>0</v>
      </c>
      <c r="CT294" s="1">
        <f t="shared" ref="CT294:CT357" si="874">V294</f>
        <v>1.9E-2</v>
      </c>
      <c r="CU294" s="1">
        <f t="shared" ref="CU294:CU357" si="875">W294</f>
        <v>3.9E-2</v>
      </c>
      <c r="CV294" s="304">
        <f t="shared" ref="CV294:CV357" si="876">Y294+H294*I294+AC294*AD294</f>
        <v>56</v>
      </c>
      <c r="CW294" s="20" t="s">
        <v>122</v>
      </c>
      <c r="CX294" s="20" t="s">
        <v>122</v>
      </c>
      <c r="CY294" s="20" t="s">
        <v>122</v>
      </c>
      <c r="CZ294" s="20" t="s">
        <v>122</v>
      </c>
      <c r="DA294" s="20" t="s">
        <v>122</v>
      </c>
      <c r="DB294" s="503">
        <f t="shared" ref="DB294:DB357" si="877">Z294+AE294*AF294</f>
        <v>0</v>
      </c>
      <c r="DC294" s="127">
        <v>0</v>
      </c>
      <c r="DD294" s="127">
        <v>0</v>
      </c>
      <c r="DE294" s="127">
        <v>0</v>
      </c>
      <c r="DF294" s="127">
        <v>0</v>
      </c>
      <c r="DG294" s="127">
        <v>0</v>
      </c>
      <c r="DH294" s="127">
        <v>0</v>
      </c>
      <c r="DI294" s="127">
        <v>0</v>
      </c>
      <c r="DJ294" s="127">
        <v>0</v>
      </c>
      <c r="DK294" s="127">
        <v>0</v>
      </c>
      <c r="DL294" s="127">
        <v>0</v>
      </c>
      <c r="DM294" s="304">
        <f>INDEX(Input!$1:$1048576,DM$93,$C294*2+6)</f>
        <v>21036.84210526316</v>
      </c>
      <c r="DN294" s="20">
        <v>0</v>
      </c>
      <c r="DO294" s="20">
        <v>0</v>
      </c>
      <c r="DP294" s="20">
        <v>0</v>
      </c>
      <c r="DQ294" s="20">
        <v>0</v>
      </c>
      <c r="DR294" s="20">
        <v>0</v>
      </c>
      <c r="DS294" s="20">
        <f>INDEX(Input!$1:$1048576,DS$93,$C294*2+6)</f>
        <v>0.6</v>
      </c>
      <c r="DT294" s="20">
        <f>INDEX(Input!$1:$1048576,DT$93,$C294*2+6)</f>
        <v>0.55000000000000004</v>
      </c>
      <c r="DU294" s="20">
        <f>INDEX(Input!$1:$1048576,DU$93,$C294*2+6)</f>
        <v>0.52</v>
      </c>
      <c r="DV294" s="20">
        <f>INDEX(Input!$1:$1048576,DV$93,$C294*2+6)</f>
        <v>0.5</v>
      </c>
      <c r="DW294" s="20">
        <f>INDEX(Input!$1:$1048576,DW$93,$C294*2+6)</f>
        <v>0.45</v>
      </c>
      <c r="DX294" s="20"/>
      <c r="DY294" s="7"/>
      <c r="DZ294" s="7"/>
      <c r="EA294" s="7"/>
      <c r="EB294" s="7"/>
      <c r="EC294" s="7"/>
      <c r="ED294" s="7"/>
      <c r="EE294" s="7"/>
      <c r="EF294" s="7"/>
      <c r="EG294" s="7"/>
      <c r="EH294" s="7"/>
      <c r="EI294" s="7"/>
      <c r="EJ294" s="7"/>
      <c r="EK294" s="7"/>
      <c r="EL294" s="7"/>
      <c r="EM294" s="7"/>
      <c r="EN294" s="7"/>
      <c r="EO294" s="7"/>
      <c r="EP294" s="7"/>
      <c r="EQ294" s="7"/>
      <c r="ER294" s="7"/>
      <c r="ES294" s="7"/>
      <c r="ET294" s="7"/>
      <c r="EU294" s="6"/>
      <c r="EV294" s="6"/>
      <c r="EW294" s="6"/>
      <c r="EX294" s="6"/>
      <c r="EY294" s="6"/>
      <c r="EZ294" s="6"/>
      <c r="FA294" s="6"/>
      <c r="FB294" s="6"/>
      <c r="FC294" s="6"/>
      <c r="FD294" s="6"/>
      <c r="FE294" s="6"/>
      <c r="FF294" s="6"/>
      <c r="FG294" s="6"/>
      <c r="FH294" s="6"/>
      <c r="FI294" s="6"/>
      <c r="FJ294" s="6"/>
      <c r="FK294" s="6"/>
      <c r="FL294" s="6"/>
      <c r="FM294" s="6"/>
      <c r="FN294" s="6"/>
      <c r="FO294" s="6"/>
      <c r="FP294" s="6"/>
      <c r="FQ294" s="6"/>
      <c r="FR294" s="6"/>
      <c r="FS294" s="6"/>
      <c r="FT294" s="7"/>
      <c r="FU294" s="7"/>
      <c r="FV294" s="7"/>
      <c r="FW294" s="6"/>
      <c r="FX294" s="6"/>
      <c r="FY294" s="6"/>
      <c r="FZ294" s="6"/>
      <c r="GA294" s="6"/>
      <c r="GB294" s="6"/>
      <c r="GC294" s="7"/>
      <c r="GD294" s="7"/>
      <c r="GE294" s="7"/>
      <c r="GF294" s="7"/>
      <c r="GG294" s="7"/>
      <c r="GH294" s="42"/>
      <c r="GI294" s="6"/>
      <c r="GJ294" s="14"/>
      <c r="GK294" s="14"/>
      <c r="GL294" s="14"/>
      <c r="GM294" s="14"/>
      <c r="GO294" s="5"/>
      <c r="GP294" s="5"/>
      <c r="GQ294" s="5"/>
      <c r="GR294" s="5"/>
      <c r="GS294" s="5"/>
      <c r="GT294" s="5"/>
      <c r="GU294" s="5"/>
      <c r="GV294" s="39"/>
      <c r="GW294" s="5"/>
      <c r="GX294" s="5"/>
      <c r="GY294" s="5"/>
      <c r="GZ294" s="5"/>
      <c r="HA294" s="5"/>
      <c r="HB294" s="39"/>
      <c r="HC294" s="5"/>
      <c r="HD294" s="5"/>
      <c r="HE294" s="5"/>
      <c r="HF294" s="5"/>
      <c r="HG294" s="5"/>
      <c r="HH294" s="39"/>
      <c r="HI294" s="16"/>
      <c r="HJ294" s="19"/>
      <c r="HK294" s="1"/>
      <c r="HL294" s="16"/>
      <c r="HM294" s="1"/>
      <c r="HN294" s="1"/>
      <c r="HO294" s="1"/>
      <c r="HP294" s="1"/>
      <c r="HQ294" s="1"/>
      <c r="HR294" s="1"/>
      <c r="HS294" s="1"/>
      <c r="HT294" s="1"/>
      <c r="HU294" s="1"/>
      <c r="HV294" s="1"/>
      <c r="HW294" s="1"/>
      <c r="HX294" s="1"/>
      <c r="HY294" s="1"/>
      <c r="HZ294" s="1"/>
      <c r="IA294" s="1"/>
      <c r="IB294" s="1"/>
      <c r="IC294" s="1"/>
      <c r="ID294" s="1"/>
      <c r="IE294" s="1"/>
      <c r="IF294" s="1"/>
      <c r="IG294" s="1"/>
      <c r="IH294" s="21"/>
      <c r="II294" s="19"/>
      <c r="IJ294" s="19"/>
      <c r="IK294" s="19"/>
      <c r="IL294" s="19"/>
      <c r="IM294" s="19"/>
      <c r="IN294" s="19"/>
      <c r="IO294" s="39"/>
      <c r="IP294" s="39"/>
      <c r="IQ294" s="39"/>
      <c r="IR294" s="39"/>
      <c r="IS294" s="39"/>
      <c r="IT294" s="39"/>
      <c r="IU294" s="39"/>
      <c r="IV294" s="39"/>
      <c r="IW294" s="39"/>
      <c r="IX294" s="39"/>
      <c r="IY294" s="39"/>
      <c r="IZ294" s="39"/>
      <c r="JA294" s="19"/>
      <c r="JB294" s="19"/>
      <c r="JC294" s="19"/>
      <c r="JD294" s="19"/>
      <c r="JE294" s="21"/>
      <c r="JF294" s="1"/>
      <c r="JG294" s="15"/>
      <c r="JH294" s="1"/>
      <c r="JI294" s="1"/>
      <c r="JJ294" s="1"/>
      <c r="JK294" s="1"/>
      <c r="JL294" s="15"/>
      <c r="JM294" s="15"/>
      <c r="JN294" s="21"/>
      <c r="JO294" s="19"/>
      <c r="JP294" s="19"/>
      <c r="JQ294" s="39"/>
      <c r="JR294" s="39"/>
      <c r="JS294" s="39"/>
      <c r="JT294" s="39"/>
      <c r="JU294" s="385"/>
      <c r="JV294" s="39"/>
      <c r="JW294" s="1"/>
      <c r="JX294" s="19"/>
      <c r="JZ294" s="341"/>
      <c r="KA294" s="342"/>
      <c r="KB294" s="469"/>
      <c r="KI294" s="473"/>
      <c r="KJ294" s="473"/>
      <c r="KK294" s="473"/>
    </row>
    <row r="295" spans="1:310" s="26" customFormat="1" ht="15" outlineLevel="1">
      <c r="A295" s="561">
        <f t="shared" si="799"/>
        <v>2095</v>
      </c>
      <c r="B295" s="561">
        <f t="shared" si="817"/>
        <v>95</v>
      </c>
      <c r="C295" s="561">
        <f t="shared" si="760"/>
        <v>2</v>
      </c>
      <c r="D295" s="561" t="str">
        <f t="shared" si="861"/>
        <v/>
      </c>
      <c r="E295" s="475">
        <f>INDEX(Input!$1:$1048576,E$93,$C295*2+MIN($B295,2)+5)
+INDEX(Scenarios!E$121:E$200,MATCH($B295,Scenarios!$B$121:$B$200,0))</f>
        <v>1269.7618664521319</v>
      </c>
      <c r="F295" s="475">
        <f>INDEX(Input!$1:$1048576,F$93,$C295*2+MIN($B295,2)+5)
+INDEX(Scenarios!F$121:F$200,MATCH($B295,Scenarios!$B$121:$B$200,0))</f>
        <v>0</v>
      </c>
      <c r="G295" s="475">
        <f>INDEX(Input!$1:$1048576,G$93,$C295*2+MIN($B295,2)+5)
+INDEX(Scenarios!G$121:G$200,MATCH($B295,Scenarios!$B$121:$B$200,0))</f>
        <v>0</v>
      </c>
      <c r="H295" s="475">
        <f>INDEX(Input!$1:$1048576,H$93,$C295*2+MIN($B295,2)+5)
+INDEX(Scenarios!H$121:H$200,MATCH($B295,Scenarios!$B$121:$B$200,0))</f>
        <v>0</v>
      </c>
      <c r="I295" s="476">
        <f>INDEX(Input!$1:$1048576,I$93,$C295*2+MIN($B295,2)+5)</f>
        <v>0.7</v>
      </c>
      <c r="J295" s="476" t="str">
        <f>INDEX(Input!$1:$1048576,J$93,$C295*2+MIN($B295,2)+5)</f>
        <v>Market</v>
      </c>
      <c r="K295" s="476" t="str">
        <f>INDEX(Input!$1:$1048576,K$93,$C295*2+MIN($B295,2)+5)</f>
        <v>Market</v>
      </c>
      <c r="L295" s="476" t="str">
        <f>INDEX(Input!$1:$1048576,L$93,$C295*2+MIN($B295,2)+5)</f>
        <v>Market</v>
      </c>
      <c r="M295" s="476" t="str">
        <f>INDEX(Input!$1:$1048576,M$93,$C295*2+MIN($B295,2)+5)</f>
        <v>Market</v>
      </c>
      <c r="N295" s="476" t="str">
        <f>INDEX(Input!$1:$1048576,N$93,$C295*2+MIN($B295,2)+5)</f>
        <v>Market</v>
      </c>
      <c r="O295" s="476" t="str">
        <f>INDEX(Input!$1:$1048576,O$93,$C295*2+MIN($B295,2)+5)</f>
        <v>Market</v>
      </c>
      <c r="P295" s="476" t="str">
        <f>INDEX(Input!$1:$1048576,P$93,$C295*2+MIN($B295,2)+5)</f>
        <v>N</v>
      </c>
      <c r="Q295" s="477">
        <f>INDEX(Input!$1:$1048576,Q$93,$C295*2+MIN($B295,2)+5)
+INDEX(Scenarios!Q$121:Q$200,MATCH($B295,Scenarios!$B$121:$B$200,0))</f>
        <v>0</v>
      </c>
      <c r="R295" s="478">
        <f>IFERROR(MAX(0,INDEX(Input!$1:$1048576,R$93,$C295*2+MIN($B295,2)+5)
+INDEX(Scenarios!R$121:R$200,MATCH($B295,Scenarios!$B$121:$B$200,0)),),"Market")</f>
        <v>0</v>
      </c>
      <c r="S295" s="478">
        <f>IFERROR(MAX(0,INDEX(Input!$1:$1048576,S$93,$C295*2+MIN($B295,2)+5)
+INDEX(Scenarios!S$121:S$200,MATCH($B295,Scenarios!$B$121:$B$200,0)),),"Market")</f>
        <v>0</v>
      </c>
      <c r="T295" s="478">
        <f>IFERROR(MAX(0,INDEX(Input!$1:$1048576,T$93,$C295*2+MIN($B295,2)+5)
+INDEX(Scenarios!T$121:T$200,MATCH($B295,Scenarios!$B$121:$B$200,0)),),"Market")</f>
        <v>0</v>
      </c>
      <c r="U295" s="478">
        <f>IFERROR(MAX(0,INDEX(Input!$1:$1048576,U$93,$C295*2+MIN($B295,2)+5)
+INDEX(Scenarios!U$121:U$200,MATCH($B295,Scenarios!$B$121:$B$200,0)),),"Market")</f>
        <v>0</v>
      </c>
      <c r="V295" s="478">
        <f>IFERROR(MAX(0,INDEX(Input!$1:$1048576,V$93,$C295*2+MIN($B295,2)+5)
+INDEX(Scenarios!V$121:V$200,MATCH($B295,Scenarios!$B$121:$B$200,0)),),"Market")</f>
        <v>1.9E-2</v>
      </c>
      <c r="W295" s="885">
        <f>IFERROR(MAX(0,INDEX(Input!$1:$1048576,W$93,$C295*2+MIN($B295,2)+5)-0%,),"Market")</f>
        <v>3.9E-2</v>
      </c>
      <c r="X295" s="476" t="str">
        <f>INDEX(Input!$1:$1048576,X$93,$C295*2+MIN($B295,2)+5)</f>
        <v>Y</v>
      </c>
      <c r="Y295" s="475">
        <f>INDEX(Input!$1:$1048576,Y$93,$C295*2+MIN($B295,2)+5)
++INDEX(Scenarios!Y$121:Y$200,MATCH($B295,Scenarios!$B$121:$B$200,0))</f>
        <v>56</v>
      </c>
      <c r="Z295" s="477">
        <f>INDEX(Input!$1:$1048576,Z$93,$C295*2+MIN($B295,2)+5)
+INDEX(Scenarios!Z$121:Z$200,MATCH($B295,Scenarios!$B$121:$B$200,0))</f>
        <v>0</v>
      </c>
      <c r="AA295" s="475">
        <f>INDEX(Input!$1:$1048576,AA$93,$C295*2+MIN($B295,2)+5)
+INDEX(Scenarios!AA$121:AA$200,MATCH($B295,Scenarios!$B$121:$B$200,0))</f>
        <v>0</v>
      </c>
      <c r="AB295" s="476">
        <f>INDEX(Input!$1:$1048576,AB$93,$C295*2+MIN($B295,2)+5)</f>
        <v>0.27</v>
      </c>
      <c r="AC295" s="475">
        <f>INDEX(Input!$1:$1048576,AC$93,$C295*2+MIN($B295,2)+5)
+INDEX(Scenarios!AC$121:AC$200,MATCH($B295,Scenarios!$B$121:$B$200,0))</f>
        <v>0</v>
      </c>
      <c r="AD295" s="476">
        <f>INDEX(Input!$1:$1048576,AD$93,$C295*2+MIN($B295,2)+5)</f>
        <v>0.27</v>
      </c>
      <c r="AE295" s="475">
        <f>INDEX(Input!$1:$1048576,AE$93,$C295*2+MIN($B295,2)+5)
+INDEX(Scenarios!AE$121:AE$200,MATCH($B295,Scenarios!$B$121:$B$200,0))</f>
        <v>0</v>
      </c>
      <c r="AF295" s="476">
        <f>INDEX(Input!$1:$1048576,AF$93,$C295*2+MIN($B295,2)+5)</f>
        <v>4.8000000000000001E-2</v>
      </c>
      <c r="AG295" s="475">
        <f>INDEX(Input!$1:$1048576,AG$93,$C295*2+MIN($B295,2)+5)
+INDEX(Scenarios!AG$121:AG$200,MATCH($B295,Scenarios!$B$121:$B$200,0))</f>
        <v>500</v>
      </c>
      <c r="AH295" s="476">
        <f>INDEX(Input!$1:$1048576,AH$93,$C295*2+MIN($B295,2)+5)</f>
        <v>0.94599999999999995</v>
      </c>
      <c r="AI295" s="475">
        <f>INDEX(Input!$1:$1048576,AI$93,$C295*2+MIN($B295,2)+5)
+INDEX(Scenarios!AI$121:AI$200,MATCH($B295,Scenarios!$B$121:$B$200,0))</f>
        <v>0</v>
      </c>
      <c r="AJ295" s="476">
        <f>INDEX(Input!$1:$1048576,AJ$93,$C295*2+MIN($B295,2)+5)</f>
        <v>0.27</v>
      </c>
      <c r="AK295" s="150">
        <f>ROUND(INDEX(Input!$1:$1048576,AK$93,$C294*2+MIN($B295,1)+5)+(Y295-VLOOKUP($C295*1000+1,$A:$HH,Y$92,FALSE)),0)</f>
        <v>2977</v>
      </c>
      <c r="AL295" s="150">
        <f>ROUND(INDEX(Input!$1:$1048576,AL$93,$C294*2+MIN($B295,1)+5)-(Y295-VLOOKUP($C295*1000+1,$A:$HH,Y$92,FALSE))/36,0)</f>
        <v>3395</v>
      </c>
      <c r="AM295" s="32" t="str">
        <f t="shared" si="800"/>
        <v>std/std/std/std</v>
      </c>
      <c r="AN295" s="32" t="str">
        <f t="shared" si="801"/>
        <v>$0 + 0/0/0/1.9/3.9</v>
      </c>
      <c r="AO295" s="32" t="str">
        <f t="shared" si="802"/>
        <v>0/0/0/1.9/3.9</v>
      </c>
      <c r="AP295" s="32" t="str">
        <f t="shared" si="863"/>
        <v>0/0.9/1.9/3.9</v>
      </c>
      <c r="AQ295" s="536">
        <f t="shared" si="862"/>
        <v>0</v>
      </c>
      <c r="AR295" s="32"/>
      <c r="AS295" s="302"/>
      <c r="AT295" s="3">
        <f t="shared" si="856"/>
        <v>95</v>
      </c>
      <c r="AU295" s="41" t="s">
        <v>121</v>
      </c>
      <c r="AV295" s="41" t="s">
        <v>116</v>
      </c>
      <c r="AW295" s="41" t="str">
        <f>INDEX(Input!$1:$1048576,AW$93,$C295*2+6)</f>
        <v>Kia</v>
      </c>
      <c r="AX295" s="41" t="str">
        <f>INDEX(Input!$1:$1048576,AX$93,$C295*2+6)</f>
        <v>Kia-LR - L2</v>
      </c>
      <c r="AY295" s="41" t="str">
        <f>IF(LEN(D295)=0,"",INDEX(Input!$1:$1048576,AY$93,$C295*2+6))</f>
        <v/>
      </c>
      <c r="AZ295" s="41" t="str">
        <f>INDEX(Input!$1:$1048576,AZ$93,$C295*2+6)</f>
        <v>Kia Soul</v>
      </c>
      <c r="BA295" s="3">
        <f>INDEX(Input!$1:$1048576,BA$93,$C295*2+6)</f>
        <v>2020</v>
      </c>
      <c r="BB295" s="128">
        <f>INDEX(Input!$1:$1048576,BB$93,$C295*2+6)</f>
        <v>1</v>
      </c>
      <c r="BC295" s="128">
        <f>INDEX(Input!$1:$1048576,BC$93,$C295*2+6)</f>
        <v>0.7</v>
      </c>
      <c r="BD295" s="1">
        <f>INDEX(Input!$1:$1048576,BD$93,$C295*2+6)</f>
        <v>4.4999999999999998E-2</v>
      </c>
      <c r="BE295" s="1">
        <f>INDEX(Input!$1:$1048576,BE$93,$C295*2+6)</f>
        <v>4.4999999999999998E-2</v>
      </c>
      <c r="BF295" s="1">
        <f>INDEX(Input!$1:$1048576,BF$93,$C295*2+6)</f>
        <v>0.05</v>
      </c>
      <c r="BG295" s="1">
        <f>INDEX(Input!$1:$1048576,BG$93,$C295*2+6)</f>
        <v>5.45E-2</v>
      </c>
      <c r="BH295" s="1">
        <f>INDEX(Input!$1:$1048576,BH$93,$C295*2+6)</f>
        <v>5.45E-2</v>
      </c>
      <c r="BI295" s="1">
        <f>INDEX(Input!$1:$1048576,BI$93,$C295*2+6)</f>
        <v>0.05</v>
      </c>
      <c r="BJ295" s="1">
        <f>INDEX(Input!$1:$1048576,BJ$93,$C295*2+6)</f>
        <v>0.05</v>
      </c>
      <c r="BK295" s="1">
        <f>INDEX(Input!$1:$1048576,BK$93,$C295*2+6)</f>
        <v>0.05</v>
      </c>
      <c r="BL295" s="1">
        <f>INDEX(Input!$1:$1048576,BL$93,$C295*2+6)</f>
        <v>5.5E-2</v>
      </c>
      <c r="BM295" s="1">
        <f>INDEX(Input!$1:$1048576,BM$93,$C295*2+6)</f>
        <v>0.06</v>
      </c>
      <c r="BN295" s="1">
        <f>INDEX(Input!$1:$1048576,BN$93,$C295*2+6)</f>
        <v>4.4999999999999998E-2</v>
      </c>
      <c r="BO295" s="1">
        <f>INDEX(Input!$1:$1048576,BO$93,$C295*2+6)</f>
        <v>4.4999999999999998E-2</v>
      </c>
      <c r="BP295" s="1">
        <f>INDEX(Input!$1:$1048576,BP$93,$C295*2+6)</f>
        <v>0.05</v>
      </c>
      <c r="BQ295" s="1">
        <f>INDEX(Input!$1:$1048576,BQ$93,$C295*2+6)</f>
        <v>5.45E-2</v>
      </c>
      <c r="BR295" s="1">
        <f>INDEX(Input!$1:$1048576,BR$93,$C295*2+6)</f>
        <v>5.45E-2</v>
      </c>
      <c r="BS295" s="1">
        <f>INDEX(Input!$1:$1048576,BS$93,$C295*2+6)</f>
        <v>0.05</v>
      </c>
      <c r="BT295" s="1">
        <f>INDEX(Input!$1:$1048576,BT$93,$C295*2+6)</f>
        <v>0.05</v>
      </c>
      <c r="BU295" s="1">
        <f>INDEX(Input!$1:$1048576,BU$93,$C295*2+6)</f>
        <v>0.05</v>
      </c>
      <c r="BV295" s="1">
        <f>INDEX(Input!$1:$1048576,BV$93,$C295*2+6)</f>
        <v>5.5E-2</v>
      </c>
      <c r="BW295" s="1">
        <f>INDEX(Input!$1:$1048576,BW$93,$C295*2+6)</f>
        <v>0.06</v>
      </c>
      <c r="BX295" s="127">
        <f>INDEX(Input!$1:$1048576,BX$93,$C295*2+6)</f>
        <v>19985</v>
      </c>
      <c r="BY295" s="20">
        <f>INDEX(Input!$1:$1048576,BY$93,$C295*2+6)</f>
        <v>0.1</v>
      </c>
      <c r="BZ295" s="20">
        <f>INDEX(Input!$1:$1048576,BZ$93,$C295*2+6)</f>
        <v>0.1</v>
      </c>
      <c r="CA295" s="20">
        <f>INDEX(Input!$1:$1048576,CA$93,$C295*2+6)</f>
        <v>0.1</v>
      </c>
      <c r="CB295" s="20">
        <f>INDEX(Input!$1:$1048576,CB$93,$C295*2+6)</f>
        <v>0.1</v>
      </c>
      <c r="CC295" s="20">
        <f>INDEX(Input!$1:$1048576,CC$93,$C295*2+6)</f>
        <v>0.1</v>
      </c>
      <c r="CD295" s="384">
        <f>INDEX(Input!$1:$1048576,CD$93,$C295*2+6)</f>
        <v>0.1</v>
      </c>
      <c r="CE295" s="384">
        <f>INDEX(Input!$1:$1048576,CE$93,$C295*2+6)</f>
        <v>0.1</v>
      </c>
      <c r="CF295" s="384">
        <f>INDEX(Input!$1:$1048576,CF$93,$C295*2+6)</f>
        <v>0.1</v>
      </c>
      <c r="CG295" s="384">
        <f>INDEX(Input!$1:$1048576,CG$93,$C295*2+6)</f>
        <v>0.1</v>
      </c>
      <c r="CH295" s="384">
        <f>INDEX(Input!$1:$1048576,CH$93,$C295*2+6)</f>
        <v>0.1</v>
      </c>
      <c r="CI295" s="304">
        <f t="shared" si="864"/>
        <v>1269.7618664521319</v>
      </c>
      <c r="CJ295" s="16" t="str">
        <f>INDEX(Input!$1:$1048576,CJ$93,$C295*2+6)</f>
        <v>N</v>
      </c>
      <c r="CK295" s="1" t="str">
        <f t="shared" si="865"/>
        <v>Market</v>
      </c>
      <c r="CL295" s="1" t="str">
        <f t="shared" si="866"/>
        <v>Market</v>
      </c>
      <c r="CM295" s="1" t="str">
        <f t="shared" si="867"/>
        <v>Market</v>
      </c>
      <c r="CN295" s="1" t="str">
        <f t="shared" si="868"/>
        <v>Market</v>
      </c>
      <c r="CO295" s="1" t="str">
        <f t="shared" si="869"/>
        <v>Market</v>
      </c>
      <c r="CP295" s="304">
        <f t="shared" si="870"/>
        <v>473</v>
      </c>
      <c r="CQ295" s="1">
        <f t="shared" si="871"/>
        <v>0</v>
      </c>
      <c r="CR295" s="1">
        <f t="shared" si="872"/>
        <v>0</v>
      </c>
      <c r="CS295" s="1">
        <f t="shared" si="873"/>
        <v>0</v>
      </c>
      <c r="CT295" s="1">
        <f t="shared" si="874"/>
        <v>1.9E-2</v>
      </c>
      <c r="CU295" s="1">
        <f t="shared" si="875"/>
        <v>3.9E-2</v>
      </c>
      <c r="CV295" s="304">
        <f t="shared" si="876"/>
        <v>56</v>
      </c>
      <c r="CW295" s="20" t="s">
        <v>122</v>
      </c>
      <c r="CX295" s="20" t="s">
        <v>122</v>
      </c>
      <c r="CY295" s="20" t="s">
        <v>122</v>
      </c>
      <c r="CZ295" s="20" t="s">
        <v>122</v>
      </c>
      <c r="DA295" s="20" t="s">
        <v>122</v>
      </c>
      <c r="DB295" s="503">
        <f t="shared" si="877"/>
        <v>0</v>
      </c>
      <c r="DC295" s="127">
        <v>0</v>
      </c>
      <c r="DD295" s="127">
        <v>0</v>
      </c>
      <c r="DE295" s="127">
        <v>0</v>
      </c>
      <c r="DF295" s="127">
        <v>0</v>
      </c>
      <c r="DG295" s="127">
        <v>0</v>
      </c>
      <c r="DH295" s="127">
        <v>0</v>
      </c>
      <c r="DI295" s="127">
        <v>0</v>
      </c>
      <c r="DJ295" s="127">
        <v>0</v>
      </c>
      <c r="DK295" s="127">
        <v>0</v>
      </c>
      <c r="DL295" s="127">
        <v>0</v>
      </c>
      <c r="DM295" s="304">
        <f>INDEX(Input!$1:$1048576,DM$93,$C295*2+6)</f>
        <v>21036.84210526316</v>
      </c>
      <c r="DN295" s="20">
        <v>0</v>
      </c>
      <c r="DO295" s="20">
        <v>0</v>
      </c>
      <c r="DP295" s="20">
        <v>0</v>
      </c>
      <c r="DQ295" s="20">
        <v>0</v>
      </c>
      <c r="DR295" s="20">
        <v>0</v>
      </c>
      <c r="DS295" s="20">
        <f>INDEX(Input!$1:$1048576,DS$93,$C295*2+6)</f>
        <v>0.6</v>
      </c>
      <c r="DT295" s="20">
        <f>INDEX(Input!$1:$1048576,DT$93,$C295*2+6)</f>
        <v>0.55000000000000004</v>
      </c>
      <c r="DU295" s="20">
        <f>INDEX(Input!$1:$1048576,DU$93,$C295*2+6)</f>
        <v>0.52</v>
      </c>
      <c r="DV295" s="20">
        <f>INDEX(Input!$1:$1048576,DV$93,$C295*2+6)</f>
        <v>0.5</v>
      </c>
      <c r="DW295" s="20">
        <f>INDEX(Input!$1:$1048576,DW$93,$C295*2+6)</f>
        <v>0.45</v>
      </c>
      <c r="DX295" s="20"/>
      <c r="DY295" s="7"/>
      <c r="DZ295" s="7"/>
      <c r="EA295" s="7"/>
      <c r="EB295" s="7"/>
      <c r="EC295" s="7"/>
      <c r="ED295" s="7"/>
      <c r="EE295" s="7"/>
      <c r="EF295" s="7"/>
      <c r="EG295" s="7"/>
      <c r="EH295" s="7"/>
      <c r="EI295" s="7"/>
      <c r="EJ295" s="7"/>
      <c r="EK295" s="7"/>
      <c r="EL295" s="7"/>
      <c r="EM295" s="7"/>
      <c r="EN295" s="7"/>
      <c r="EO295" s="7"/>
      <c r="EP295" s="7"/>
      <c r="EQ295" s="7"/>
      <c r="ER295" s="7"/>
      <c r="ES295" s="7"/>
      <c r="ET295" s="7"/>
      <c r="EU295" s="6"/>
      <c r="EV295" s="6"/>
      <c r="EW295" s="6"/>
      <c r="EX295" s="6"/>
      <c r="EY295" s="6"/>
      <c r="EZ295" s="6"/>
      <c r="FA295" s="6"/>
      <c r="FB295" s="6"/>
      <c r="FC295" s="6"/>
      <c r="FD295" s="6"/>
      <c r="FE295" s="6"/>
      <c r="FF295" s="6"/>
      <c r="FG295" s="6"/>
      <c r="FH295" s="6"/>
      <c r="FI295" s="6"/>
      <c r="FJ295" s="6"/>
      <c r="FK295" s="6"/>
      <c r="FL295" s="6"/>
      <c r="FM295" s="6"/>
      <c r="FN295" s="6"/>
      <c r="FO295" s="6"/>
      <c r="FP295" s="6"/>
      <c r="FQ295" s="6"/>
      <c r="FR295" s="6"/>
      <c r="FS295" s="6"/>
      <c r="FT295" s="7"/>
      <c r="FU295" s="7"/>
      <c r="FV295" s="7"/>
      <c r="FW295" s="6"/>
      <c r="FX295" s="6"/>
      <c r="FY295" s="6"/>
      <c r="FZ295" s="6"/>
      <c r="GA295" s="6"/>
      <c r="GB295" s="6"/>
      <c r="GC295" s="7"/>
      <c r="GD295" s="7"/>
      <c r="GE295" s="7"/>
      <c r="GF295" s="7"/>
      <c r="GG295" s="7"/>
      <c r="GH295" s="42"/>
      <c r="GI295" s="6"/>
      <c r="GJ295" s="14"/>
      <c r="GK295" s="14"/>
      <c r="GL295" s="14"/>
      <c r="GM295" s="14"/>
      <c r="GO295" s="5"/>
      <c r="GP295" s="5"/>
      <c r="GQ295" s="5"/>
      <c r="GR295" s="5"/>
      <c r="GS295" s="5"/>
      <c r="GT295" s="5"/>
      <c r="GU295" s="5"/>
      <c r="GV295" s="39"/>
      <c r="GW295" s="5"/>
      <c r="GX295" s="5"/>
      <c r="GY295" s="5"/>
      <c r="GZ295" s="5"/>
      <c r="HA295" s="5"/>
      <c r="HB295" s="39"/>
      <c r="HC295" s="5"/>
      <c r="HD295" s="5"/>
      <c r="HE295" s="5"/>
      <c r="HF295" s="5"/>
      <c r="HG295" s="5"/>
      <c r="HH295" s="39"/>
      <c r="HI295" s="16"/>
      <c r="HJ295" s="19"/>
      <c r="HK295" s="1"/>
      <c r="HL295" s="16"/>
      <c r="HM295" s="1"/>
      <c r="HN295" s="1"/>
      <c r="HO295" s="1"/>
      <c r="HP295" s="1"/>
      <c r="HQ295" s="1"/>
      <c r="HR295" s="1"/>
      <c r="HS295" s="1"/>
      <c r="HT295" s="1"/>
      <c r="HU295" s="1"/>
      <c r="HV295" s="1"/>
      <c r="HW295" s="1"/>
      <c r="HX295" s="1"/>
      <c r="HY295" s="1"/>
      <c r="HZ295" s="1"/>
      <c r="IA295" s="1"/>
      <c r="IB295" s="1"/>
      <c r="IC295" s="1"/>
      <c r="ID295" s="1"/>
      <c r="IE295" s="1"/>
      <c r="IF295" s="1"/>
      <c r="IG295" s="1"/>
      <c r="IH295" s="21"/>
      <c r="II295" s="19"/>
      <c r="IJ295" s="19"/>
      <c r="IK295" s="19"/>
      <c r="IL295" s="19"/>
      <c r="IM295" s="19"/>
      <c r="IN295" s="19"/>
      <c r="IO295" s="39"/>
      <c r="IP295" s="39"/>
      <c r="IQ295" s="39"/>
      <c r="IR295" s="39"/>
      <c r="IS295" s="39"/>
      <c r="IT295" s="39"/>
      <c r="IU295" s="39"/>
      <c r="IV295" s="39"/>
      <c r="IW295" s="39"/>
      <c r="IX295" s="39"/>
      <c r="IY295" s="39"/>
      <c r="IZ295" s="39"/>
      <c r="JA295" s="19"/>
      <c r="JB295" s="19"/>
      <c r="JC295" s="19"/>
      <c r="JD295" s="19"/>
      <c r="JE295" s="21"/>
      <c r="JF295" s="1"/>
      <c r="JG295" s="15"/>
      <c r="JH295" s="1"/>
      <c r="JI295" s="1"/>
      <c r="JJ295" s="1"/>
      <c r="JK295" s="1"/>
      <c r="JL295" s="15"/>
      <c r="JM295" s="15"/>
      <c r="JN295" s="21"/>
      <c r="JO295" s="19"/>
      <c r="JP295" s="19"/>
      <c r="JQ295" s="39"/>
      <c r="JR295" s="39"/>
      <c r="JS295" s="39"/>
      <c r="JT295" s="39"/>
      <c r="JU295" s="385"/>
      <c r="JV295" s="39"/>
      <c r="JW295" s="1"/>
      <c r="JX295" s="19"/>
      <c r="JZ295" s="341"/>
      <c r="KA295" s="342"/>
      <c r="KB295" s="469"/>
      <c r="KI295" s="473"/>
      <c r="KJ295" s="473"/>
      <c r="KK295" s="473"/>
    </row>
    <row r="296" spans="1:310" s="26" customFormat="1" ht="15" outlineLevel="1">
      <c r="A296" s="561">
        <f t="shared" si="799"/>
        <v>2096</v>
      </c>
      <c r="B296" s="561">
        <f t="shared" si="817"/>
        <v>96</v>
      </c>
      <c r="C296" s="561">
        <f t="shared" si="760"/>
        <v>2</v>
      </c>
      <c r="D296" s="561" t="str">
        <f t="shared" si="861"/>
        <v/>
      </c>
      <c r="E296" s="475">
        <f>INDEX(Input!$1:$1048576,E$93,$C296*2+MIN($B296,2)+5)
+INDEX(Scenarios!E$121:E$200,MATCH($B296,Scenarios!$B$121:$B$200,0))</f>
        <v>1269.7618664521319</v>
      </c>
      <c r="F296" s="475">
        <f>INDEX(Input!$1:$1048576,F$93,$C296*2+MIN($B296,2)+5)
+INDEX(Scenarios!F$121:F$200,MATCH($B296,Scenarios!$B$121:$B$200,0))</f>
        <v>0</v>
      </c>
      <c r="G296" s="475">
        <f>INDEX(Input!$1:$1048576,G$93,$C296*2+MIN($B296,2)+5)
+INDEX(Scenarios!G$121:G$200,MATCH($B296,Scenarios!$B$121:$B$200,0))</f>
        <v>0</v>
      </c>
      <c r="H296" s="475">
        <f>INDEX(Input!$1:$1048576,H$93,$C296*2+MIN($B296,2)+5)
+INDEX(Scenarios!H$121:H$200,MATCH($B296,Scenarios!$B$121:$B$200,0))</f>
        <v>0</v>
      </c>
      <c r="I296" s="476">
        <f>INDEX(Input!$1:$1048576,I$93,$C296*2+MIN($B296,2)+5)</f>
        <v>0.7</v>
      </c>
      <c r="J296" s="476" t="str">
        <f>INDEX(Input!$1:$1048576,J$93,$C296*2+MIN($B296,2)+5)</f>
        <v>Market</v>
      </c>
      <c r="K296" s="476" t="str">
        <f>INDEX(Input!$1:$1048576,K$93,$C296*2+MIN($B296,2)+5)</f>
        <v>Market</v>
      </c>
      <c r="L296" s="476" t="str">
        <f>INDEX(Input!$1:$1048576,L$93,$C296*2+MIN($B296,2)+5)</f>
        <v>Market</v>
      </c>
      <c r="M296" s="476" t="str">
        <f>INDEX(Input!$1:$1048576,M$93,$C296*2+MIN($B296,2)+5)</f>
        <v>Market</v>
      </c>
      <c r="N296" s="476" t="str">
        <f>INDEX(Input!$1:$1048576,N$93,$C296*2+MIN($B296,2)+5)</f>
        <v>Market</v>
      </c>
      <c r="O296" s="476" t="str">
        <f>INDEX(Input!$1:$1048576,O$93,$C296*2+MIN($B296,2)+5)</f>
        <v>Market</v>
      </c>
      <c r="P296" s="476" t="str">
        <f>INDEX(Input!$1:$1048576,P$93,$C296*2+MIN($B296,2)+5)</f>
        <v>N</v>
      </c>
      <c r="Q296" s="477">
        <f>INDEX(Input!$1:$1048576,Q$93,$C296*2+MIN($B296,2)+5)
+INDEX(Scenarios!Q$121:Q$200,MATCH($B296,Scenarios!$B$121:$B$200,0))</f>
        <v>0</v>
      </c>
      <c r="R296" s="478">
        <f>IFERROR(MAX(0,INDEX(Input!$1:$1048576,R$93,$C296*2+MIN($B296,2)+5)
+INDEX(Scenarios!R$121:R$200,MATCH($B296,Scenarios!$B$121:$B$200,0)),),"Market")</f>
        <v>0</v>
      </c>
      <c r="S296" s="478">
        <f>IFERROR(MAX(0,INDEX(Input!$1:$1048576,S$93,$C296*2+MIN($B296,2)+5)
+INDEX(Scenarios!S$121:S$200,MATCH($B296,Scenarios!$B$121:$B$200,0)),),"Market")</f>
        <v>0</v>
      </c>
      <c r="T296" s="478">
        <f>IFERROR(MAX(0,INDEX(Input!$1:$1048576,T$93,$C296*2+MIN($B296,2)+5)
+INDEX(Scenarios!T$121:T$200,MATCH($B296,Scenarios!$B$121:$B$200,0)),),"Market")</f>
        <v>0</v>
      </c>
      <c r="U296" s="478">
        <f>IFERROR(MAX(0,INDEX(Input!$1:$1048576,U$93,$C296*2+MIN($B296,2)+5)
+INDEX(Scenarios!U$121:U$200,MATCH($B296,Scenarios!$B$121:$B$200,0)),),"Market")</f>
        <v>0</v>
      </c>
      <c r="V296" s="478">
        <f>IFERROR(MAX(0,INDEX(Input!$1:$1048576,V$93,$C296*2+MIN($B296,2)+5)
+INDEX(Scenarios!V$121:V$200,MATCH($B296,Scenarios!$B$121:$B$200,0)),),"Market")</f>
        <v>1.9E-2</v>
      </c>
      <c r="W296" s="885">
        <f>IFERROR(MAX(0,INDEX(Input!$1:$1048576,W$93,$C296*2+MIN($B296,2)+5)-0%,),"Market")</f>
        <v>3.9E-2</v>
      </c>
      <c r="X296" s="476" t="str">
        <f>INDEX(Input!$1:$1048576,X$93,$C296*2+MIN($B296,2)+5)</f>
        <v>Y</v>
      </c>
      <c r="Y296" s="475">
        <f>INDEX(Input!$1:$1048576,Y$93,$C296*2+MIN($B296,2)+5)
++INDEX(Scenarios!Y$121:Y$200,MATCH($B296,Scenarios!$B$121:$B$200,0))</f>
        <v>56</v>
      </c>
      <c r="Z296" s="477">
        <f>INDEX(Input!$1:$1048576,Z$93,$C296*2+MIN($B296,2)+5)
+INDEX(Scenarios!Z$121:Z$200,MATCH($B296,Scenarios!$B$121:$B$200,0))</f>
        <v>0</v>
      </c>
      <c r="AA296" s="475">
        <f>INDEX(Input!$1:$1048576,AA$93,$C296*2+MIN($B296,2)+5)
+INDEX(Scenarios!AA$121:AA$200,MATCH($B296,Scenarios!$B$121:$B$200,0))</f>
        <v>0</v>
      </c>
      <c r="AB296" s="476">
        <f>INDEX(Input!$1:$1048576,AB$93,$C296*2+MIN($B296,2)+5)</f>
        <v>0.27</v>
      </c>
      <c r="AC296" s="475">
        <f>INDEX(Input!$1:$1048576,AC$93,$C296*2+MIN($B296,2)+5)
+INDEX(Scenarios!AC$121:AC$200,MATCH($B296,Scenarios!$B$121:$B$200,0))</f>
        <v>0</v>
      </c>
      <c r="AD296" s="476">
        <f>INDEX(Input!$1:$1048576,AD$93,$C296*2+MIN($B296,2)+5)</f>
        <v>0.27</v>
      </c>
      <c r="AE296" s="475">
        <f>INDEX(Input!$1:$1048576,AE$93,$C296*2+MIN($B296,2)+5)
+INDEX(Scenarios!AE$121:AE$200,MATCH($B296,Scenarios!$B$121:$B$200,0))</f>
        <v>0</v>
      </c>
      <c r="AF296" s="476">
        <f>INDEX(Input!$1:$1048576,AF$93,$C296*2+MIN($B296,2)+5)</f>
        <v>4.8000000000000001E-2</v>
      </c>
      <c r="AG296" s="475">
        <f>INDEX(Input!$1:$1048576,AG$93,$C296*2+MIN($B296,2)+5)
+INDEX(Scenarios!AG$121:AG$200,MATCH($B296,Scenarios!$B$121:$B$200,0))</f>
        <v>500</v>
      </c>
      <c r="AH296" s="476">
        <f>INDEX(Input!$1:$1048576,AH$93,$C296*2+MIN($B296,2)+5)</f>
        <v>0.94599999999999995</v>
      </c>
      <c r="AI296" s="475">
        <f>INDEX(Input!$1:$1048576,AI$93,$C296*2+MIN($B296,2)+5)
+INDEX(Scenarios!AI$121:AI$200,MATCH($B296,Scenarios!$B$121:$B$200,0))</f>
        <v>0</v>
      </c>
      <c r="AJ296" s="476">
        <f>INDEX(Input!$1:$1048576,AJ$93,$C296*2+MIN($B296,2)+5)</f>
        <v>0.27</v>
      </c>
      <c r="AK296" s="150">
        <f>ROUND(INDEX(Input!$1:$1048576,AK$93,$C295*2+MIN($B296,1)+5)+(Y296-VLOOKUP($C296*1000+1,$A:$HH,Y$92,FALSE)),0)</f>
        <v>2977</v>
      </c>
      <c r="AL296" s="150">
        <f>ROUND(INDEX(Input!$1:$1048576,AL$93,$C295*2+MIN($B296,1)+5)-(Y296-VLOOKUP($C296*1000+1,$A:$HH,Y$92,FALSE))/36,0)</f>
        <v>3395</v>
      </c>
      <c r="AM296" s="32" t="str">
        <f t="shared" si="800"/>
        <v>std/std/std/std</v>
      </c>
      <c r="AN296" s="32" t="str">
        <f t="shared" si="801"/>
        <v>$0 + 0/0/0/1.9/3.9</v>
      </c>
      <c r="AO296" s="32" t="str">
        <f t="shared" si="802"/>
        <v>0/0/0/1.9/3.9</v>
      </c>
      <c r="AP296" s="32" t="str">
        <f t="shared" si="863"/>
        <v>0/0.9/1.9/3.9</v>
      </c>
      <c r="AQ296" s="536">
        <f t="shared" si="862"/>
        <v>0</v>
      </c>
      <c r="AR296" s="32"/>
      <c r="AS296" s="302"/>
      <c r="AT296" s="3">
        <f t="shared" si="856"/>
        <v>96</v>
      </c>
      <c r="AU296" s="41" t="s">
        <v>121</v>
      </c>
      <c r="AV296" s="41" t="s">
        <v>116</v>
      </c>
      <c r="AW296" s="41" t="str">
        <f>INDEX(Input!$1:$1048576,AW$93,$C296*2+6)</f>
        <v>Kia</v>
      </c>
      <c r="AX296" s="41" t="str">
        <f>INDEX(Input!$1:$1048576,AX$93,$C296*2+6)</f>
        <v>Kia-LR - L2</v>
      </c>
      <c r="AY296" s="41" t="str">
        <f>IF(LEN(D296)=0,"",INDEX(Input!$1:$1048576,AY$93,$C296*2+6))</f>
        <v/>
      </c>
      <c r="AZ296" s="41" t="str">
        <f>INDEX(Input!$1:$1048576,AZ$93,$C296*2+6)</f>
        <v>Kia Soul</v>
      </c>
      <c r="BA296" s="3">
        <f>INDEX(Input!$1:$1048576,BA$93,$C296*2+6)</f>
        <v>2020</v>
      </c>
      <c r="BB296" s="128">
        <f>INDEX(Input!$1:$1048576,BB$93,$C296*2+6)</f>
        <v>1</v>
      </c>
      <c r="BC296" s="128">
        <f>INDEX(Input!$1:$1048576,BC$93,$C296*2+6)</f>
        <v>0.7</v>
      </c>
      <c r="BD296" s="1">
        <f>INDEX(Input!$1:$1048576,BD$93,$C296*2+6)</f>
        <v>4.4999999999999998E-2</v>
      </c>
      <c r="BE296" s="1">
        <f>INDEX(Input!$1:$1048576,BE$93,$C296*2+6)</f>
        <v>4.4999999999999998E-2</v>
      </c>
      <c r="BF296" s="1">
        <f>INDEX(Input!$1:$1048576,BF$93,$C296*2+6)</f>
        <v>0.05</v>
      </c>
      <c r="BG296" s="1">
        <f>INDEX(Input!$1:$1048576,BG$93,$C296*2+6)</f>
        <v>5.45E-2</v>
      </c>
      <c r="BH296" s="1">
        <f>INDEX(Input!$1:$1048576,BH$93,$C296*2+6)</f>
        <v>5.45E-2</v>
      </c>
      <c r="BI296" s="1">
        <f>INDEX(Input!$1:$1048576,BI$93,$C296*2+6)</f>
        <v>0.05</v>
      </c>
      <c r="BJ296" s="1">
        <f>INDEX(Input!$1:$1048576,BJ$93,$C296*2+6)</f>
        <v>0.05</v>
      </c>
      <c r="BK296" s="1">
        <f>INDEX(Input!$1:$1048576,BK$93,$C296*2+6)</f>
        <v>0.05</v>
      </c>
      <c r="BL296" s="1">
        <f>INDEX(Input!$1:$1048576,BL$93,$C296*2+6)</f>
        <v>5.5E-2</v>
      </c>
      <c r="BM296" s="1">
        <f>INDEX(Input!$1:$1048576,BM$93,$C296*2+6)</f>
        <v>0.06</v>
      </c>
      <c r="BN296" s="1">
        <f>INDEX(Input!$1:$1048576,BN$93,$C296*2+6)</f>
        <v>4.4999999999999998E-2</v>
      </c>
      <c r="BO296" s="1">
        <f>INDEX(Input!$1:$1048576,BO$93,$C296*2+6)</f>
        <v>4.4999999999999998E-2</v>
      </c>
      <c r="BP296" s="1">
        <f>INDEX(Input!$1:$1048576,BP$93,$C296*2+6)</f>
        <v>0.05</v>
      </c>
      <c r="BQ296" s="1">
        <f>INDEX(Input!$1:$1048576,BQ$93,$C296*2+6)</f>
        <v>5.45E-2</v>
      </c>
      <c r="BR296" s="1">
        <f>INDEX(Input!$1:$1048576,BR$93,$C296*2+6)</f>
        <v>5.45E-2</v>
      </c>
      <c r="BS296" s="1">
        <f>INDEX(Input!$1:$1048576,BS$93,$C296*2+6)</f>
        <v>0.05</v>
      </c>
      <c r="BT296" s="1">
        <f>INDEX(Input!$1:$1048576,BT$93,$C296*2+6)</f>
        <v>0.05</v>
      </c>
      <c r="BU296" s="1">
        <f>INDEX(Input!$1:$1048576,BU$93,$C296*2+6)</f>
        <v>0.05</v>
      </c>
      <c r="BV296" s="1">
        <f>INDEX(Input!$1:$1048576,BV$93,$C296*2+6)</f>
        <v>5.5E-2</v>
      </c>
      <c r="BW296" s="1">
        <f>INDEX(Input!$1:$1048576,BW$93,$C296*2+6)</f>
        <v>0.06</v>
      </c>
      <c r="BX296" s="127">
        <f>INDEX(Input!$1:$1048576,BX$93,$C296*2+6)</f>
        <v>19985</v>
      </c>
      <c r="BY296" s="20">
        <f>INDEX(Input!$1:$1048576,BY$93,$C296*2+6)</f>
        <v>0.1</v>
      </c>
      <c r="BZ296" s="20">
        <f>INDEX(Input!$1:$1048576,BZ$93,$C296*2+6)</f>
        <v>0.1</v>
      </c>
      <c r="CA296" s="20">
        <f>INDEX(Input!$1:$1048576,CA$93,$C296*2+6)</f>
        <v>0.1</v>
      </c>
      <c r="CB296" s="20">
        <f>INDEX(Input!$1:$1048576,CB$93,$C296*2+6)</f>
        <v>0.1</v>
      </c>
      <c r="CC296" s="20">
        <f>INDEX(Input!$1:$1048576,CC$93,$C296*2+6)</f>
        <v>0.1</v>
      </c>
      <c r="CD296" s="384">
        <f>INDEX(Input!$1:$1048576,CD$93,$C296*2+6)</f>
        <v>0.1</v>
      </c>
      <c r="CE296" s="384">
        <f>INDEX(Input!$1:$1048576,CE$93,$C296*2+6)</f>
        <v>0.1</v>
      </c>
      <c r="CF296" s="384">
        <f>INDEX(Input!$1:$1048576,CF$93,$C296*2+6)</f>
        <v>0.1</v>
      </c>
      <c r="CG296" s="384">
        <f>INDEX(Input!$1:$1048576,CG$93,$C296*2+6)</f>
        <v>0.1</v>
      </c>
      <c r="CH296" s="384">
        <f>INDEX(Input!$1:$1048576,CH$93,$C296*2+6)</f>
        <v>0.1</v>
      </c>
      <c r="CI296" s="304">
        <f t="shared" si="864"/>
        <v>1269.7618664521319</v>
      </c>
      <c r="CJ296" s="16" t="str">
        <f>INDEX(Input!$1:$1048576,CJ$93,$C296*2+6)</f>
        <v>N</v>
      </c>
      <c r="CK296" s="1" t="str">
        <f t="shared" si="865"/>
        <v>Market</v>
      </c>
      <c r="CL296" s="1" t="str">
        <f t="shared" si="866"/>
        <v>Market</v>
      </c>
      <c r="CM296" s="1" t="str">
        <f t="shared" si="867"/>
        <v>Market</v>
      </c>
      <c r="CN296" s="1" t="str">
        <f t="shared" si="868"/>
        <v>Market</v>
      </c>
      <c r="CO296" s="1" t="str">
        <f t="shared" si="869"/>
        <v>Market</v>
      </c>
      <c r="CP296" s="304">
        <f t="shared" si="870"/>
        <v>473</v>
      </c>
      <c r="CQ296" s="1">
        <f t="shared" si="871"/>
        <v>0</v>
      </c>
      <c r="CR296" s="1">
        <f t="shared" si="872"/>
        <v>0</v>
      </c>
      <c r="CS296" s="1">
        <f t="shared" si="873"/>
        <v>0</v>
      </c>
      <c r="CT296" s="1">
        <f t="shared" si="874"/>
        <v>1.9E-2</v>
      </c>
      <c r="CU296" s="1">
        <f t="shared" si="875"/>
        <v>3.9E-2</v>
      </c>
      <c r="CV296" s="304">
        <f t="shared" si="876"/>
        <v>56</v>
      </c>
      <c r="CW296" s="20" t="s">
        <v>122</v>
      </c>
      <c r="CX296" s="20" t="s">
        <v>122</v>
      </c>
      <c r="CY296" s="20" t="s">
        <v>122</v>
      </c>
      <c r="CZ296" s="20" t="s">
        <v>122</v>
      </c>
      <c r="DA296" s="20" t="s">
        <v>122</v>
      </c>
      <c r="DB296" s="503">
        <f t="shared" si="877"/>
        <v>0</v>
      </c>
      <c r="DC296" s="127">
        <v>0</v>
      </c>
      <c r="DD296" s="127">
        <v>0</v>
      </c>
      <c r="DE296" s="127">
        <v>0</v>
      </c>
      <c r="DF296" s="127">
        <v>0</v>
      </c>
      <c r="DG296" s="127">
        <v>0</v>
      </c>
      <c r="DH296" s="127">
        <v>0</v>
      </c>
      <c r="DI296" s="127">
        <v>0</v>
      </c>
      <c r="DJ296" s="127">
        <v>0</v>
      </c>
      <c r="DK296" s="127">
        <v>0</v>
      </c>
      <c r="DL296" s="127">
        <v>0</v>
      </c>
      <c r="DM296" s="304">
        <f>INDEX(Input!$1:$1048576,DM$93,$C296*2+6)</f>
        <v>21036.84210526316</v>
      </c>
      <c r="DN296" s="20">
        <v>0</v>
      </c>
      <c r="DO296" s="20">
        <v>0</v>
      </c>
      <c r="DP296" s="20">
        <v>0</v>
      </c>
      <c r="DQ296" s="20">
        <v>0</v>
      </c>
      <c r="DR296" s="20">
        <v>0</v>
      </c>
      <c r="DS296" s="20">
        <f>INDEX(Input!$1:$1048576,DS$93,$C296*2+6)</f>
        <v>0.6</v>
      </c>
      <c r="DT296" s="20">
        <f>INDEX(Input!$1:$1048576,DT$93,$C296*2+6)</f>
        <v>0.55000000000000004</v>
      </c>
      <c r="DU296" s="20">
        <f>INDEX(Input!$1:$1048576,DU$93,$C296*2+6)</f>
        <v>0.52</v>
      </c>
      <c r="DV296" s="20">
        <f>INDEX(Input!$1:$1048576,DV$93,$C296*2+6)</f>
        <v>0.5</v>
      </c>
      <c r="DW296" s="20">
        <f>INDEX(Input!$1:$1048576,DW$93,$C296*2+6)</f>
        <v>0.45</v>
      </c>
      <c r="DX296" s="20"/>
      <c r="DY296" s="7"/>
      <c r="DZ296" s="7"/>
      <c r="EA296" s="7"/>
      <c r="EB296" s="7"/>
      <c r="EC296" s="7"/>
      <c r="ED296" s="7"/>
      <c r="EE296" s="7"/>
      <c r="EF296" s="7"/>
      <c r="EG296" s="7"/>
      <c r="EH296" s="7"/>
      <c r="EI296" s="7"/>
      <c r="EJ296" s="7"/>
      <c r="EK296" s="7"/>
      <c r="EL296" s="7"/>
      <c r="EM296" s="7"/>
      <c r="EN296" s="7"/>
      <c r="EO296" s="7"/>
      <c r="EP296" s="7"/>
      <c r="EQ296" s="7"/>
      <c r="ER296" s="7"/>
      <c r="ES296" s="7"/>
      <c r="ET296" s="7"/>
      <c r="EU296" s="6"/>
      <c r="EV296" s="6"/>
      <c r="EW296" s="6"/>
      <c r="EX296" s="6"/>
      <c r="EY296" s="6"/>
      <c r="EZ296" s="6"/>
      <c r="FA296" s="6"/>
      <c r="FB296" s="6"/>
      <c r="FC296" s="6"/>
      <c r="FD296" s="6"/>
      <c r="FE296" s="6"/>
      <c r="FF296" s="6"/>
      <c r="FG296" s="6"/>
      <c r="FH296" s="6"/>
      <c r="FI296" s="6"/>
      <c r="FJ296" s="6"/>
      <c r="FK296" s="6"/>
      <c r="FL296" s="6"/>
      <c r="FM296" s="6"/>
      <c r="FN296" s="6"/>
      <c r="FO296" s="6"/>
      <c r="FP296" s="6"/>
      <c r="FQ296" s="6"/>
      <c r="FR296" s="6"/>
      <c r="FS296" s="6"/>
      <c r="FT296" s="7"/>
      <c r="FU296" s="7"/>
      <c r="FV296" s="7"/>
      <c r="FW296" s="6"/>
      <c r="FX296" s="6"/>
      <c r="FY296" s="6"/>
      <c r="FZ296" s="6"/>
      <c r="GA296" s="6"/>
      <c r="GB296" s="6"/>
      <c r="GC296" s="7"/>
      <c r="GD296" s="7"/>
      <c r="GE296" s="7"/>
      <c r="GF296" s="7"/>
      <c r="GG296" s="7"/>
      <c r="GH296" s="42"/>
      <c r="GI296" s="6"/>
      <c r="GJ296" s="14"/>
      <c r="GK296" s="14"/>
      <c r="GL296" s="14"/>
      <c r="GM296" s="14"/>
      <c r="GO296" s="5"/>
      <c r="GP296" s="5"/>
      <c r="GQ296" s="5"/>
      <c r="GR296" s="5"/>
      <c r="GS296" s="5"/>
      <c r="GT296" s="5"/>
      <c r="GU296" s="5"/>
      <c r="GV296" s="39"/>
      <c r="GW296" s="5"/>
      <c r="GX296" s="5"/>
      <c r="GY296" s="5"/>
      <c r="GZ296" s="5"/>
      <c r="HA296" s="5"/>
      <c r="HB296" s="39"/>
      <c r="HC296" s="5"/>
      <c r="HD296" s="5"/>
      <c r="HE296" s="5"/>
      <c r="HF296" s="5"/>
      <c r="HG296" s="5"/>
      <c r="HH296" s="39"/>
      <c r="HI296" s="16"/>
      <c r="HJ296" s="19"/>
      <c r="HK296" s="1"/>
      <c r="HL296" s="16"/>
      <c r="HM296" s="1"/>
      <c r="HN296" s="1"/>
      <c r="HO296" s="1"/>
      <c r="HP296" s="1"/>
      <c r="HQ296" s="1"/>
      <c r="HR296" s="1"/>
      <c r="HS296" s="1"/>
      <c r="HT296" s="1"/>
      <c r="HU296" s="1"/>
      <c r="HV296" s="1"/>
      <c r="HW296" s="1"/>
      <c r="HX296" s="1"/>
      <c r="HY296" s="1"/>
      <c r="HZ296" s="1"/>
      <c r="IA296" s="1"/>
      <c r="IB296" s="1"/>
      <c r="IC296" s="1"/>
      <c r="ID296" s="1"/>
      <c r="IE296" s="1"/>
      <c r="IF296" s="1"/>
      <c r="IG296" s="1"/>
      <c r="IH296" s="21"/>
      <c r="II296" s="19"/>
      <c r="IJ296" s="19"/>
      <c r="IK296" s="19"/>
      <c r="IL296" s="19"/>
      <c r="IM296" s="19"/>
      <c r="IN296" s="19"/>
      <c r="IO296" s="39"/>
      <c r="IP296" s="39"/>
      <c r="IQ296" s="39"/>
      <c r="IR296" s="39"/>
      <c r="IS296" s="39"/>
      <c r="IT296" s="39"/>
      <c r="IU296" s="39"/>
      <c r="IV296" s="39"/>
      <c r="IW296" s="39"/>
      <c r="IX296" s="39"/>
      <c r="IY296" s="39"/>
      <c r="IZ296" s="39"/>
      <c r="JA296" s="19"/>
      <c r="JB296" s="19"/>
      <c r="JC296" s="19"/>
      <c r="JD296" s="19"/>
      <c r="JE296" s="21"/>
      <c r="JF296" s="1"/>
      <c r="JG296" s="15"/>
      <c r="JH296" s="1"/>
      <c r="JI296" s="1"/>
      <c r="JJ296" s="1"/>
      <c r="JK296" s="1"/>
      <c r="JL296" s="15"/>
      <c r="JM296" s="15"/>
      <c r="JN296" s="21"/>
      <c r="JO296" s="19"/>
      <c r="JP296" s="19"/>
      <c r="JQ296" s="39"/>
      <c r="JR296" s="39"/>
      <c r="JS296" s="39"/>
      <c r="JT296" s="39"/>
      <c r="JU296" s="385"/>
      <c r="JV296" s="39"/>
      <c r="JW296" s="1"/>
      <c r="JX296" s="19"/>
      <c r="JZ296" s="341"/>
      <c r="KA296" s="342"/>
      <c r="KB296" s="469"/>
      <c r="KI296" s="473"/>
      <c r="KJ296" s="473"/>
      <c r="KK296" s="473"/>
    </row>
    <row r="297" spans="1:310" s="26" customFormat="1" ht="15" outlineLevel="1">
      <c r="A297" s="561">
        <f t="shared" si="799"/>
        <v>2097</v>
      </c>
      <c r="B297" s="561">
        <f t="shared" si="817"/>
        <v>97</v>
      </c>
      <c r="C297" s="561">
        <f t="shared" si="760"/>
        <v>2</v>
      </c>
      <c r="D297" s="561" t="str">
        <f t="shared" si="861"/>
        <v/>
      </c>
      <c r="E297" s="475">
        <f>INDEX(Input!$1:$1048576,E$93,$C297*2+MIN($B297,2)+5)
+INDEX(Scenarios!E$121:E$200,MATCH($B297,Scenarios!$B$121:$B$200,0))</f>
        <v>1269.7618664521319</v>
      </c>
      <c r="F297" s="475">
        <f>INDEX(Input!$1:$1048576,F$93,$C297*2+MIN($B297,2)+5)
+INDEX(Scenarios!F$121:F$200,MATCH($B297,Scenarios!$B$121:$B$200,0))</f>
        <v>0</v>
      </c>
      <c r="G297" s="475">
        <f>INDEX(Input!$1:$1048576,G$93,$C297*2+MIN($B297,2)+5)
+INDEX(Scenarios!G$121:G$200,MATCH($B297,Scenarios!$B$121:$B$200,0))</f>
        <v>0</v>
      </c>
      <c r="H297" s="475">
        <f>INDEX(Input!$1:$1048576,H$93,$C297*2+MIN($B297,2)+5)
+INDEX(Scenarios!H$121:H$200,MATCH($B297,Scenarios!$B$121:$B$200,0))</f>
        <v>0</v>
      </c>
      <c r="I297" s="476">
        <f>INDEX(Input!$1:$1048576,I$93,$C297*2+MIN($B297,2)+5)</f>
        <v>0.7</v>
      </c>
      <c r="J297" s="476" t="str">
        <f>INDEX(Input!$1:$1048576,J$93,$C297*2+MIN($B297,2)+5)</f>
        <v>Market</v>
      </c>
      <c r="K297" s="476" t="str">
        <f>INDEX(Input!$1:$1048576,K$93,$C297*2+MIN($B297,2)+5)</f>
        <v>Market</v>
      </c>
      <c r="L297" s="476" t="str">
        <f>INDEX(Input!$1:$1048576,L$93,$C297*2+MIN($B297,2)+5)</f>
        <v>Market</v>
      </c>
      <c r="M297" s="476" t="str">
        <f>INDEX(Input!$1:$1048576,M$93,$C297*2+MIN($B297,2)+5)</f>
        <v>Market</v>
      </c>
      <c r="N297" s="476" t="str">
        <f>INDEX(Input!$1:$1048576,N$93,$C297*2+MIN($B297,2)+5)</f>
        <v>Market</v>
      </c>
      <c r="O297" s="476" t="str">
        <f>INDEX(Input!$1:$1048576,O$93,$C297*2+MIN($B297,2)+5)</f>
        <v>Market</v>
      </c>
      <c r="P297" s="476" t="str">
        <f>INDEX(Input!$1:$1048576,P$93,$C297*2+MIN($B297,2)+5)</f>
        <v>N</v>
      </c>
      <c r="Q297" s="477">
        <f>INDEX(Input!$1:$1048576,Q$93,$C297*2+MIN($B297,2)+5)
+INDEX(Scenarios!Q$121:Q$200,MATCH($B297,Scenarios!$B$121:$B$200,0))</f>
        <v>0</v>
      </c>
      <c r="R297" s="478">
        <f>IFERROR(MAX(0,INDEX(Input!$1:$1048576,R$93,$C297*2+MIN($B297,2)+5)
+INDEX(Scenarios!R$121:R$200,MATCH($B297,Scenarios!$B$121:$B$200,0)),),"Market")</f>
        <v>0</v>
      </c>
      <c r="S297" s="478">
        <f>IFERROR(MAX(0,INDEX(Input!$1:$1048576,S$93,$C297*2+MIN($B297,2)+5)
+INDEX(Scenarios!S$121:S$200,MATCH($B297,Scenarios!$B$121:$B$200,0)),),"Market")</f>
        <v>0</v>
      </c>
      <c r="T297" s="478">
        <f>IFERROR(MAX(0,INDEX(Input!$1:$1048576,T$93,$C297*2+MIN($B297,2)+5)
+INDEX(Scenarios!T$121:T$200,MATCH($B297,Scenarios!$B$121:$B$200,0)),),"Market")</f>
        <v>0</v>
      </c>
      <c r="U297" s="478">
        <f>IFERROR(MAX(0,INDEX(Input!$1:$1048576,U$93,$C297*2+MIN($B297,2)+5)
+INDEX(Scenarios!U$121:U$200,MATCH($B297,Scenarios!$B$121:$B$200,0)),),"Market")</f>
        <v>0</v>
      </c>
      <c r="V297" s="478">
        <f>IFERROR(MAX(0,INDEX(Input!$1:$1048576,V$93,$C297*2+MIN($B297,2)+5)
+INDEX(Scenarios!V$121:V$200,MATCH($B297,Scenarios!$B$121:$B$200,0)),),"Market")</f>
        <v>1.9E-2</v>
      </c>
      <c r="W297" s="885">
        <f>IFERROR(MAX(0,INDEX(Input!$1:$1048576,W$93,$C297*2+MIN($B297,2)+5)-0%,),"Market")</f>
        <v>3.9E-2</v>
      </c>
      <c r="X297" s="476" t="str">
        <f>INDEX(Input!$1:$1048576,X$93,$C297*2+MIN($B297,2)+5)</f>
        <v>Y</v>
      </c>
      <c r="Y297" s="475">
        <f>INDEX(Input!$1:$1048576,Y$93,$C297*2+MIN($B297,2)+5)
++INDEX(Scenarios!Y$121:Y$200,MATCH($B297,Scenarios!$B$121:$B$200,0))</f>
        <v>56</v>
      </c>
      <c r="Z297" s="477">
        <f>INDEX(Input!$1:$1048576,Z$93,$C297*2+MIN($B297,2)+5)
+INDEX(Scenarios!Z$121:Z$200,MATCH($B297,Scenarios!$B$121:$B$200,0))</f>
        <v>0</v>
      </c>
      <c r="AA297" s="475">
        <f>INDEX(Input!$1:$1048576,AA$93,$C297*2+MIN($B297,2)+5)
+INDEX(Scenarios!AA$121:AA$200,MATCH($B297,Scenarios!$B$121:$B$200,0))</f>
        <v>0</v>
      </c>
      <c r="AB297" s="476">
        <f>INDEX(Input!$1:$1048576,AB$93,$C297*2+MIN($B297,2)+5)</f>
        <v>0.27</v>
      </c>
      <c r="AC297" s="475">
        <f>INDEX(Input!$1:$1048576,AC$93,$C297*2+MIN($B297,2)+5)
+INDEX(Scenarios!AC$121:AC$200,MATCH($B297,Scenarios!$B$121:$B$200,0))</f>
        <v>0</v>
      </c>
      <c r="AD297" s="476">
        <f>INDEX(Input!$1:$1048576,AD$93,$C297*2+MIN($B297,2)+5)</f>
        <v>0.27</v>
      </c>
      <c r="AE297" s="475">
        <f>INDEX(Input!$1:$1048576,AE$93,$C297*2+MIN($B297,2)+5)
+INDEX(Scenarios!AE$121:AE$200,MATCH($B297,Scenarios!$B$121:$B$200,0))</f>
        <v>0</v>
      </c>
      <c r="AF297" s="476">
        <f>INDEX(Input!$1:$1048576,AF$93,$C297*2+MIN($B297,2)+5)</f>
        <v>4.8000000000000001E-2</v>
      </c>
      <c r="AG297" s="475">
        <f>INDEX(Input!$1:$1048576,AG$93,$C297*2+MIN($B297,2)+5)
+INDEX(Scenarios!AG$121:AG$200,MATCH($B297,Scenarios!$B$121:$B$200,0))</f>
        <v>500</v>
      </c>
      <c r="AH297" s="476">
        <f>INDEX(Input!$1:$1048576,AH$93,$C297*2+MIN($B297,2)+5)</f>
        <v>0.94599999999999995</v>
      </c>
      <c r="AI297" s="475">
        <f>INDEX(Input!$1:$1048576,AI$93,$C297*2+MIN($B297,2)+5)
+INDEX(Scenarios!AI$121:AI$200,MATCH($B297,Scenarios!$B$121:$B$200,0))</f>
        <v>0</v>
      </c>
      <c r="AJ297" s="476">
        <f>INDEX(Input!$1:$1048576,AJ$93,$C297*2+MIN($B297,2)+5)</f>
        <v>0.27</v>
      </c>
      <c r="AK297" s="150">
        <f>ROUND(INDEX(Input!$1:$1048576,AK$93,$C296*2+MIN($B297,1)+5)+(Y297-VLOOKUP($C297*1000+1,$A:$HH,Y$92,FALSE)),0)</f>
        <v>2977</v>
      </c>
      <c r="AL297" s="150">
        <f>ROUND(INDEX(Input!$1:$1048576,AL$93,$C296*2+MIN($B297,1)+5)-(Y297-VLOOKUP($C297*1000+1,$A:$HH,Y$92,FALSE))/36,0)</f>
        <v>3395</v>
      </c>
      <c r="AM297" s="32" t="str">
        <f t="shared" si="800"/>
        <v>std/std/std/std</v>
      </c>
      <c r="AN297" s="32" t="str">
        <f t="shared" si="801"/>
        <v>$0 + 0/0/0/1.9/3.9</v>
      </c>
      <c r="AO297" s="32" t="str">
        <f t="shared" si="802"/>
        <v>0/0/0/1.9/3.9</v>
      </c>
      <c r="AP297" s="32" t="str">
        <f t="shared" si="863"/>
        <v>0/0.9/1.9/3.9</v>
      </c>
      <c r="AQ297" s="536">
        <f t="shared" si="862"/>
        <v>0</v>
      </c>
      <c r="AR297" s="32"/>
      <c r="AS297" s="302"/>
      <c r="AT297" s="3">
        <f t="shared" si="856"/>
        <v>97</v>
      </c>
      <c r="AU297" s="41" t="s">
        <v>121</v>
      </c>
      <c r="AV297" s="41" t="s">
        <v>116</v>
      </c>
      <c r="AW297" s="41" t="str">
        <f>INDEX(Input!$1:$1048576,AW$93,$C297*2+6)</f>
        <v>Kia</v>
      </c>
      <c r="AX297" s="41" t="str">
        <f>INDEX(Input!$1:$1048576,AX$93,$C297*2+6)</f>
        <v>Kia-LR - L2</v>
      </c>
      <c r="AY297" s="41" t="str">
        <f>IF(LEN(D297)=0,"",INDEX(Input!$1:$1048576,AY$93,$C297*2+6))</f>
        <v/>
      </c>
      <c r="AZ297" s="41" t="str">
        <f>INDEX(Input!$1:$1048576,AZ$93,$C297*2+6)</f>
        <v>Kia Soul</v>
      </c>
      <c r="BA297" s="3">
        <f>INDEX(Input!$1:$1048576,BA$93,$C297*2+6)</f>
        <v>2020</v>
      </c>
      <c r="BB297" s="128">
        <f>INDEX(Input!$1:$1048576,BB$93,$C297*2+6)</f>
        <v>1</v>
      </c>
      <c r="BC297" s="128">
        <f>INDEX(Input!$1:$1048576,BC$93,$C297*2+6)</f>
        <v>0.7</v>
      </c>
      <c r="BD297" s="1">
        <f>INDEX(Input!$1:$1048576,BD$93,$C297*2+6)</f>
        <v>4.4999999999999998E-2</v>
      </c>
      <c r="BE297" s="1">
        <f>INDEX(Input!$1:$1048576,BE$93,$C297*2+6)</f>
        <v>4.4999999999999998E-2</v>
      </c>
      <c r="BF297" s="1">
        <f>INDEX(Input!$1:$1048576,BF$93,$C297*2+6)</f>
        <v>0.05</v>
      </c>
      <c r="BG297" s="1">
        <f>INDEX(Input!$1:$1048576,BG$93,$C297*2+6)</f>
        <v>5.45E-2</v>
      </c>
      <c r="BH297" s="1">
        <f>INDEX(Input!$1:$1048576,BH$93,$C297*2+6)</f>
        <v>5.45E-2</v>
      </c>
      <c r="BI297" s="1">
        <f>INDEX(Input!$1:$1048576,BI$93,$C297*2+6)</f>
        <v>0.05</v>
      </c>
      <c r="BJ297" s="1">
        <f>INDEX(Input!$1:$1048576,BJ$93,$C297*2+6)</f>
        <v>0.05</v>
      </c>
      <c r="BK297" s="1">
        <f>INDEX(Input!$1:$1048576,BK$93,$C297*2+6)</f>
        <v>0.05</v>
      </c>
      <c r="BL297" s="1">
        <f>INDEX(Input!$1:$1048576,BL$93,$C297*2+6)</f>
        <v>5.5E-2</v>
      </c>
      <c r="BM297" s="1">
        <f>INDEX(Input!$1:$1048576,BM$93,$C297*2+6)</f>
        <v>0.06</v>
      </c>
      <c r="BN297" s="1">
        <f>INDEX(Input!$1:$1048576,BN$93,$C297*2+6)</f>
        <v>4.4999999999999998E-2</v>
      </c>
      <c r="BO297" s="1">
        <f>INDEX(Input!$1:$1048576,BO$93,$C297*2+6)</f>
        <v>4.4999999999999998E-2</v>
      </c>
      <c r="BP297" s="1">
        <f>INDEX(Input!$1:$1048576,BP$93,$C297*2+6)</f>
        <v>0.05</v>
      </c>
      <c r="BQ297" s="1">
        <f>INDEX(Input!$1:$1048576,BQ$93,$C297*2+6)</f>
        <v>5.45E-2</v>
      </c>
      <c r="BR297" s="1">
        <f>INDEX(Input!$1:$1048576,BR$93,$C297*2+6)</f>
        <v>5.45E-2</v>
      </c>
      <c r="BS297" s="1">
        <f>INDEX(Input!$1:$1048576,BS$93,$C297*2+6)</f>
        <v>0.05</v>
      </c>
      <c r="BT297" s="1">
        <f>INDEX(Input!$1:$1048576,BT$93,$C297*2+6)</f>
        <v>0.05</v>
      </c>
      <c r="BU297" s="1">
        <f>INDEX(Input!$1:$1048576,BU$93,$C297*2+6)</f>
        <v>0.05</v>
      </c>
      <c r="BV297" s="1">
        <f>INDEX(Input!$1:$1048576,BV$93,$C297*2+6)</f>
        <v>5.5E-2</v>
      </c>
      <c r="BW297" s="1">
        <f>INDEX(Input!$1:$1048576,BW$93,$C297*2+6)</f>
        <v>0.06</v>
      </c>
      <c r="BX297" s="127">
        <f>INDEX(Input!$1:$1048576,BX$93,$C297*2+6)</f>
        <v>19985</v>
      </c>
      <c r="BY297" s="20">
        <f>INDEX(Input!$1:$1048576,BY$93,$C297*2+6)</f>
        <v>0.1</v>
      </c>
      <c r="BZ297" s="20">
        <f>INDEX(Input!$1:$1048576,BZ$93,$C297*2+6)</f>
        <v>0.1</v>
      </c>
      <c r="CA297" s="20">
        <f>INDEX(Input!$1:$1048576,CA$93,$C297*2+6)</f>
        <v>0.1</v>
      </c>
      <c r="CB297" s="20">
        <f>INDEX(Input!$1:$1048576,CB$93,$C297*2+6)</f>
        <v>0.1</v>
      </c>
      <c r="CC297" s="20">
        <f>INDEX(Input!$1:$1048576,CC$93,$C297*2+6)</f>
        <v>0.1</v>
      </c>
      <c r="CD297" s="384">
        <f>INDEX(Input!$1:$1048576,CD$93,$C297*2+6)</f>
        <v>0.1</v>
      </c>
      <c r="CE297" s="384">
        <f>INDEX(Input!$1:$1048576,CE$93,$C297*2+6)</f>
        <v>0.1</v>
      </c>
      <c r="CF297" s="384">
        <f>INDEX(Input!$1:$1048576,CF$93,$C297*2+6)</f>
        <v>0.1</v>
      </c>
      <c r="CG297" s="384">
        <f>INDEX(Input!$1:$1048576,CG$93,$C297*2+6)</f>
        <v>0.1</v>
      </c>
      <c r="CH297" s="384">
        <f>INDEX(Input!$1:$1048576,CH$93,$C297*2+6)</f>
        <v>0.1</v>
      </c>
      <c r="CI297" s="304">
        <f t="shared" si="864"/>
        <v>1269.7618664521319</v>
      </c>
      <c r="CJ297" s="16" t="str">
        <f>INDEX(Input!$1:$1048576,CJ$93,$C297*2+6)</f>
        <v>N</v>
      </c>
      <c r="CK297" s="1" t="str">
        <f t="shared" si="865"/>
        <v>Market</v>
      </c>
      <c r="CL297" s="1" t="str">
        <f t="shared" si="866"/>
        <v>Market</v>
      </c>
      <c r="CM297" s="1" t="str">
        <f t="shared" si="867"/>
        <v>Market</v>
      </c>
      <c r="CN297" s="1" t="str">
        <f t="shared" si="868"/>
        <v>Market</v>
      </c>
      <c r="CO297" s="1" t="str">
        <f t="shared" si="869"/>
        <v>Market</v>
      </c>
      <c r="CP297" s="304">
        <f t="shared" si="870"/>
        <v>473</v>
      </c>
      <c r="CQ297" s="1">
        <f t="shared" si="871"/>
        <v>0</v>
      </c>
      <c r="CR297" s="1">
        <f t="shared" si="872"/>
        <v>0</v>
      </c>
      <c r="CS297" s="1">
        <f t="shared" si="873"/>
        <v>0</v>
      </c>
      <c r="CT297" s="1">
        <f t="shared" si="874"/>
        <v>1.9E-2</v>
      </c>
      <c r="CU297" s="1">
        <f t="shared" si="875"/>
        <v>3.9E-2</v>
      </c>
      <c r="CV297" s="304">
        <f t="shared" si="876"/>
        <v>56</v>
      </c>
      <c r="CW297" s="20" t="s">
        <v>122</v>
      </c>
      <c r="CX297" s="20" t="s">
        <v>122</v>
      </c>
      <c r="CY297" s="20" t="s">
        <v>122</v>
      </c>
      <c r="CZ297" s="20" t="s">
        <v>122</v>
      </c>
      <c r="DA297" s="20" t="s">
        <v>122</v>
      </c>
      <c r="DB297" s="503">
        <f t="shared" si="877"/>
        <v>0</v>
      </c>
      <c r="DC297" s="127">
        <v>0</v>
      </c>
      <c r="DD297" s="127">
        <v>0</v>
      </c>
      <c r="DE297" s="127">
        <v>0</v>
      </c>
      <c r="DF297" s="127">
        <v>0</v>
      </c>
      <c r="DG297" s="127">
        <v>0</v>
      </c>
      <c r="DH297" s="127">
        <v>0</v>
      </c>
      <c r="DI297" s="127">
        <v>0</v>
      </c>
      <c r="DJ297" s="127">
        <v>0</v>
      </c>
      <c r="DK297" s="127">
        <v>0</v>
      </c>
      <c r="DL297" s="127">
        <v>0</v>
      </c>
      <c r="DM297" s="304">
        <f>INDEX(Input!$1:$1048576,DM$93,$C297*2+6)</f>
        <v>21036.84210526316</v>
      </c>
      <c r="DN297" s="20">
        <v>0</v>
      </c>
      <c r="DO297" s="20">
        <v>0</v>
      </c>
      <c r="DP297" s="20">
        <v>0</v>
      </c>
      <c r="DQ297" s="20">
        <v>0</v>
      </c>
      <c r="DR297" s="20">
        <v>0</v>
      </c>
      <c r="DS297" s="20">
        <f>INDEX(Input!$1:$1048576,DS$93,$C297*2+6)</f>
        <v>0.6</v>
      </c>
      <c r="DT297" s="20">
        <f>INDEX(Input!$1:$1048576,DT$93,$C297*2+6)</f>
        <v>0.55000000000000004</v>
      </c>
      <c r="DU297" s="20">
        <f>INDEX(Input!$1:$1048576,DU$93,$C297*2+6)</f>
        <v>0.52</v>
      </c>
      <c r="DV297" s="20">
        <f>INDEX(Input!$1:$1048576,DV$93,$C297*2+6)</f>
        <v>0.5</v>
      </c>
      <c r="DW297" s="20">
        <f>INDEX(Input!$1:$1048576,DW$93,$C297*2+6)</f>
        <v>0.45</v>
      </c>
      <c r="DX297" s="20"/>
      <c r="DY297" s="7"/>
      <c r="DZ297" s="7"/>
      <c r="EA297" s="7"/>
      <c r="EB297" s="7"/>
      <c r="EC297" s="7"/>
      <c r="ED297" s="7"/>
      <c r="EE297" s="7"/>
      <c r="EF297" s="7"/>
      <c r="EG297" s="7"/>
      <c r="EH297" s="7"/>
      <c r="EI297" s="7"/>
      <c r="EJ297" s="7"/>
      <c r="EK297" s="7"/>
      <c r="EL297" s="7"/>
      <c r="EM297" s="7"/>
      <c r="EN297" s="7"/>
      <c r="EO297" s="7"/>
      <c r="EP297" s="7"/>
      <c r="EQ297" s="7"/>
      <c r="ER297" s="7"/>
      <c r="ES297" s="7"/>
      <c r="ET297" s="7"/>
      <c r="EU297" s="6"/>
      <c r="EV297" s="6"/>
      <c r="EW297" s="6"/>
      <c r="EX297" s="6"/>
      <c r="EY297" s="6"/>
      <c r="EZ297" s="6"/>
      <c r="FA297" s="6"/>
      <c r="FB297" s="6"/>
      <c r="FC297" s="6"/>
      <c r="FD297" s="6"/>
      <c r="FE297" s="6"/>
      <c r="FF297" s="6"/>
      <c r="FG297" s="6"/>
      <c r="FH297" s="6"/>
      <c r="FI297" s="6"/>
      <c r="FJ297" s="6"/>
      <c r="FK297" s="6"/>
      <c r="FL297" s="6"/>
      <c r="FM297" s="6"/>
      <c r="FN297" s="6"/>
      <c r="FO297" s="6"/>
      <c r="FP297" s="6"/>
      <c r="FQ297" s="6"/>
      <c r="FR297" s="6"/>
      <c r="FS297" s="6"/>
      <c r="FT297" s="7"/>
      <c r="FU297" s="7"/>
      <c r="FV297" s="7"/>
      <c r="FW297" s="6"/>
      <c r="FX297" s="6"/>
      <c r="FY297" s="6"/>
      <c r="FZ297" s="6"/>
      <c r="GA297" s="6"/>
      <c r="GB297" s="6"/>
      <c r="GC297" s="7"/>
      <c r="GD297" s="7"/>
      <c r="GE297" s="7"/>
      <c r="GF297" s="7"/>
      <c r="GG297" s="7"/>
      <c r="GH297" s="42"/>
      <c r="GI297" s="6"/>
      <c r="GJ297" s="14"/>
      <c r="GK297" s="14"/>
      <c r="GL297" s="14"/>
      <c r="GM297" s="14"/>
      <c r="GO297" s="5"/>
      <c r="GP297" s="5"/>
      <c r="GQ297" s="5"/>
      <c r="GR297" s="5"/>
      <c r="GS297" s="5"/>
      <c r="GT297" s="5"/>
      <c r="GU297" s="5"/>
      <c r="GV297" s="39"/>
      <c r="GW297" s="5"/>
      <c r="GX297" s="5"/>
      <c r="GY297" s="5"/>
      <c r="GZ297" s="5"/>
      <c r="HA297" s="5"/>
      <c r="HB297" s="39"/>
      <c r="HC297" s="5"/>
      <c r="HD297" s="5"/>
      <c r="HE297" s="5"/>
      <c r="HF297" s="5"/>
      <c r="HG297" s="5"/>
      <c r="HH297" s="39"/>
      <c r="HI297" s="16"/>
      <c r="HJ297" s="19"/>
      <c r="HK297" s="1"/>
      <c r="HL297" s="16"/>
      <c r="HM297" s="1"/>
      <c r="HN297" s="1"/>
      <c r="HO297" s="1"/>
      <c r="HP297" s="1"/>
      <c r="HQ297" s="1"/>
      <c r="HR297" s="1"/>
      <c r="HS297" s="1"/>
      <c r="HT297" s="1"/>
      <c r="HU297" s="1"/>
      <c r="HV297" s="1"/>
      <c r="HW297" s="1"/>
      <c r="HX297" s="1"/>
      <c r="HY297" s="1"/>
      <c r="HZ297" s="1"/>
      <c r="IA297" s="1"/>
      <c r="IB297" s="1"/>
      <c r="IC297" s="1"/>
      <c r="ID297" s="1"/>
      <c r="IE297" s="1"/>
      <c r="IF297" s="1"/>
      <c r="IG297" s="1"/>
      <c r="IH297" s="21"/>
      <c r="II297" s="19"/>
      <c r="IJ297" s="19"/>
      <c r="IK297" s="19"/>
      <c r="IL297" s="19"/>
      <c r="IM297" s="19"/>
      <c r="IN297" s="19"/>
      <c r="IO297" s="39"/>
      <c r="IP297" s="39"/>
      <c r="IQ297" s="39"/>
      <c r="IR297" s="39"/>
      <c r="IS297" s="39"/>
      <c r="IT297" s="39"/>
      <c r="IU297" s="39"/>
      <c r="IV297" s="39"/>
      <c r="IW297" s="39"/>
      <c r="IX297" s="39"/>
      <c r="IY297" s="39"/>
      <c r="IZ297" s="39"/>
      <c r="JA297" s="19"/>
      <c r="JB297" s="19"/>
      <c r="JC297" s="19"/>
      <c r="JD297" s="19"/>
      <c r="JE297" s="21"/>
      <c r="JF297" s="1"/>
      <c r="JG297" s="15"/>
      <c r="JH297" s="1"/>
      <c r="JI297" s="1"/>
      <c r="JJ297" s="1"/>
      <c r="JK297" s="1"/>
      <c r="JL297" s="15"/>
      <c r="JM297" s="15"/>
      <c r="JN297" s="21"/>
      <c r="JO297" s="19"/>
      <c r="JP297" s="19"/>
      <c r="JQ297" s="39"/>
      <c r="JR297" s="39"/>
      <c r="JS297" s="39"/>
      <c r="JT297" s="39"/>
      <c r="JU297" s="385"/>
      <c r="JV297" s="39"/>
      <c r="JW297" s="1"/>
      <c r="JX297" s="19"/>
      <c r="JZ297" s="341"/>
      <c r="KA297" s="342"/>
      <c r="KB297" s="469"/>
      <c r="KI297" s="473"/>
      <c r="KJ297" s="473"/>
      <c r="KK297" s="473"/>
    </row>
    <row r="298" spans="1:310" s="26" customFormat="1" ht="15" outlineLevel="1">
      <c r="A298" s="561">
        <f t="shared" si="799"/>
        <v>2098</v>
      </c>
      <c r="B298" s="561">
        <f t="shared" si="817"/>
        <v>98</v>
      </c>
      <c r="C298" s="561">
        <f t="shared" si="760"/>
        <v>2</v>
      </c>
      <c r="D298" s="561" t="str">
        <f t="shared" si="861"/>
        <v/>
      </c>
      <c r="E298" s="475">
        <f>INDEX(Input!$1:$1048576,E$93,$C298*2+MIN($B298,2)+5)
+INDEX(Scenarios!E$121:E$200,MATCH($B298,Scenarios!$B$121:$B$200,0))</f>
        <v>1269.7618664521319</v>
      </c>
      <c r="F298" s="475">
        <f>INDEX(Input!$1:$1048576,F$93,$C298*2+MIN($B298,2)+5)
+INDEX(Scenarios!F$121:F$200,MATCH($B298,Scenarios!$B$121:$B$200,0))</f>
        <v>0</v>
      </c>
      <c r="G298" s="475">
        <f>INDEX(Input!$1:$1048576,G$93,$C298*2+MIN($B298,2)+5)
+INDEX(Scenarios!G$121:G$200,MATCH($B298,Scenarios!$B$121:$B$200,0))</f>
        <v>0</v>
      </c>
      <c r="H298" s="475">
        <f>INDEX(Input!$1:$1048576,H$93,$C298*2+MIN($B298,2)+5)
+INDEX(Scenarios!H$121:H$200,MATCH($B298,Scenarios!$B$121:$B$200,0))</f>
        <v>0</v>
      </c>
      <c r="I298" s="476">
        <f>INDEX(Input!$1:$1048576,I$93,$C298*2+MIN($B298,2)+5)</f>
        <v>0.7</v>
      </c>
      <c r="J298" s="476" t="str">
        <f>INDEX(Input!$1:$1048576,J$93,$C298*2+MIN($B298,2)+5)</f>
        <v>Market</v>
      </c>
      <c r="K298" s="476" t="str">
        <f>INDEX(Input!$1:$1048576,K$93,$C298*2+MIN($B298,2)+5)</f>
        <v>Market</v>
      </c>
      <c r="L298" s="476" t="str">
        <f>INDEX(Input!$1:$1048576,L$93,$C298*2+MIN($B298,2)+5)</f>
        <v>Market</v>
      </c>
      <c r="M298" s="476" t="str">
        <f>INDEX(Input!$1:$1048576,M$93,$C298*2+MIN($B298,2)+5)</f>
        <v>Market</v>
      </c>
      <c r="N298" s="476" t="str">
        <f>INDEX(Input!$1:$1048576,N$93,$C298*2+MIN($B298,2)+5)</f>
        <v>Market</v>
      </c>
      <c r="O298" s="476" t="str">
        <f>INDEX(Input!$1:$1048576,O$93,$C298*2+MIN($B298,2)+5)</f>
        <v>Market</v>
      </c>
      <c r="P298" s="476" t="str">
        <f>INDEX(Input!$1:$1048576,P$93,$C298*2+MIN($B298,2)+5)</f>
        <v>N</v>
      </c>
      <c r="Q298" s="477">
        <f>INDEX(Input!$1:$1048576,Q$93,$C298*2+MIN($B298,2)+5)
+INDEX(Scenarios!Q$121:Q$200,MATCH($B298,Scenarios!$B$121:$B$200,0))</f>
        <v>0</v>
      </c>
      <c r="R298" s="478">
        <f>IFERROR(MAX(0,INDEX(Input!$1:$1048576,R$93,$C298*2+MIN($B298,2)+5)
+INDEX(Scenarios!R$121:R$200,MATCH($B298,Scenarios!$B$121:$B$200,0)),),"Market")</f>
        <v>0</v>
      </c>
      <c r="S298" s="478">
        <f>IFERROR(MAX(0,INDEX(Input!$1:$1048576,S$93,$C298*2+MIN($B298,2)+5)
+INDEX(Scenarios!S$121:S$200,MATCH($B298,Scenarios!$B$121:$B$200,0)),),"Market")</f>
        <v>0</v>
      </c>
      <c r="T298" s="478">
        <f>IFERROR(MAX(0,INDEX(Input!$1:$1048576,T$93,$C298*2+MIN($B298,2)+5)
+INDEX(Scenarios!T$121:T$200,MATCH($B298,Scenarios!$B$121:$B$200,0)),),"Market")</f>
        <v>0</v>
      </c>
      <c r="U298" s="478">
        <f>IFERROR(MAX(0,INDEX(Input!$1:$1048576,U$93,$C298*2+MIN($B298,2)+5)
+INDEX(Scenarios!U$121:U$200,MATCH($B298,Scenarios!$B$121:$B$200,0)),),"Market")</f>
        <v>0</v>
      </c>
      <c r="V298" s="478">
        <f>IFERROR(MAX(0,INDEX(Input!$1:$1048576,V$93,$C298*2+MIN($B298,2)+5)
+INDEX(Scenarios!V$121:V$200,MATCH($B298,Scenarios!$B$121:$B$200,0)),),"Market")</f>
        <v>1.9E-2</v>
      </c>
      <c r="W298" s="885">
        <f>IFERROR(MAX(0,INDEX(Input!$1:$1048576,W$93,$C298*2+MIN($B298,2)+5)-0%,),"Market")</f>
        <v>3.9E-2</v>
      </c>
      <c r="X298" s="476" t="str">
        <f>INDEX(Input!$1:$1048576,X$93,$C298*2+MIN($B298,2)+5)</f>
        <v>Y</v>
      </c>
      <c r="Y298" s="475">
        <f>INDEX(Input!$1:$1048576,Y$93,$C298*2+MIN($B298,2)+5)
++INDEX(Scenarios!Y$121:Y$200,MATCH($B298,Scenarios!$B$121:$B$200,0))</f>
        <v>56</v>
      </c>
      <c r="Z298" s="477">
        <f>INDEX(Input!$1:$1048576,Z$93,$C298*2+MIN($B298,2)+5)
+INDEX(Scenarios!Z$121:Z$200,MATCH($B298,Scenarios!$B$121:$B$200,0))</f>
        <v>0</v>
      </c>
      <c r="AA298" s="475">
        <f>INDEX(Input!$1:$1048576,AA$93,$C298*2+MIN($B298,2)+5)
+INDEX(Scenarios!AA$121:AA$200,MATCH($B298,Scenarios!$B$121:$B$200,0))</f>
        <v>0</v>
      </c>
      <c r="AB298" s="476">
        <f>INDEX(Input!$1:$1048576,AB$93,$C298*2+MIN($B298,2)+5)</f>
        <v>0.27</v>
      </c>
      <c r="AC298" s="475">
        <f>INDEX(Input!$1:$1048576,AC$93,$C298*2+MIN($B298,2)+5)
+INDEX(Scenarios!AC$121:AC$200,MATCH($B298,Scenarios!$B$121:$B$200,0))</f>
        <v>0</v>
      </c>
      <c r="AD298" s="476">
        <f>INDEX(Input!$1:$1048576,AD$93,$C298*2+MIN($B298,2)+5)</f>
        <v>0.27</v>
      </c>
      <c r="AE298" s="475">
        <f>INDEX(Input!$1:$1048576,AE$93,$C298*2+MIN($B298,2)+5)
+INDEX(Scenarios!AE$121:AE$200,MATCH($B298,Scenarios!$B$121:$B$200,0))</f>
        <v>0</v>
      </c>
      <c r="AF298" s="476">
        <f>INDEX(Input!$1:$1048576,AF$93,$C298*2+MIN($B298,2)+5)</f>
        <v>4.8000000000000001E-2</v>
      </c>
      <c r="AG298" s="475">
        <f>INDEX(Input!$1:$1048576,AG$93,$C298*2+MIN($B298,2)+5)
+INDEX(Scenarios!AG$121:AG$200,MATCH($B298,Scenarios!$B$121:$B$200,0))</f>
        <v>500</v>
      </c>
      <c r="AH298" s="476">
        <f>INDEX(Input!$1:$1048576,AH$93,$C298*2+MIN($B298,2)+5)</f>
        <v>0.94599999999999995</v>
      </c>
      <c r="AI298" s="475">
        <f>INDEX(Input!$1:$1048576,AI$93,$C298*2+MIN($B298,2)+5)
+INDEX(Scenarios!AI$121:AI$200,MATCH($B298,Scenarios!$B$121:$B$200,0))</f>
        <v>0</v>
      </c>
      <c r="AJ298" s="476">
        <f>INDEX(Input!$1:$1048576,AJ$93,$C298*2+MIN($B298,2)+5)</f>
        <v>0.27</v>
      </c>
      <c r="AK298" s="150">
        <f>ROUND(INDEX(Input!$1:$1048576,AK$93,$C297*2+MIN($B298,1)+5)+(Y298-VLOOKUP($C298*1000+1,$A:$HH,Y$92,FALSE)),0)</f>
        <v>2977</v>
      </c>
      <c r="AL298" s="150">
        <f>ROUND(INDEX(Input!$1:$1048576,AL$93,$C297*2+MIN($B298,1)+5)-(Y298-VLOOKUP($C298*1000+1,$A:$HH,Y$92,FALSE))/36,0)</f>
        <v>3395</v>
      </c>
      <c r="AM298" s="32" t="str">
        <f t="shared" si="800"/>
        <v>std/std/std/std</v>
      </c>
      <c r="AN298" s="32" t="str">
        <f t="shared" si="801"/>
        <v>$0 + 0/0/0/1.9/3.9</v>
      </c>
      <c r="AO298" s="32" t="str">
        <f t="shared" si="802"/>
        <v>0/0/0/1.9/3.9</v>
      </c>
      <c r="AP298" s="32" t="str">
        <f t="shared" si="863"/>
        <v>0/0.9/1.9/3.9</v>
      </c>
      <c r="AQ298" s="536">
        <f t="shared" si="862"/>
        <v>0</v>
      </c>
      <c r="AR298" s="32"/>
      <c r="AS298" s="302"/>
      <c r="AT298" s="3">
        <f t="shared" si="856"/>
        <v>98</v>
      </c>
      <c r="AU298" s="41" t="s">
        <v>121</v>
      </c>
      <c r="AV298" s="41" t="s">
        <v>116</v>
      </c>
      <c r="AW298" s="41" t="str">
        <f>INDEX(Input!$1:$1048576,AW$93,$C298*2+6)</f>
        <v>Kia</v>
      </c>
      <c r="AX298" s="41" t="str">
        <f>INDEX(Input!$1:$1048576,AX$93,$C298*2+6)</f>
        <v>Kia-LR - L2</v>
      </c>
      <c r="AY298" s="41" t="str">
        <f>IF(LEN(D298)=0,"",INDEX(Input!$1:$1048576,AY$93,$C298*2+6))</f>
        <v/>
      </c>
      <c r="AZ298" s="41" t="str">
        <f>INDEX(Input!$1:$1048576,AZ$93,$C298*2+6)</f>
        <v>Kia Soul</v>
      </c>
      <c r="BA298" s="3">
        <f>INDEX(Input!$1:$1048576,BA$93,$C298*2+6)</f>
        <v>2020</v>
      </c>
      <c r="BB298" s="128">
        <f>INDEX(Input!$1:$1048576,BB$93,$C298*2+6)</f>
        <v>1</v>
      </c>
      <c r="BC298" s="128">
        <f>INDEX(Input!$1:$1048576,BC$93,$C298*2+6)</f>
        <v>0.7</v>
      </c>
      <c r="BD298" s="1">
        <f>INDEX(Input!$1:$1048576,BD$93,$C298*2+6)</f>
        <v>4.4999999999999998E-2</v>
      </c>
      <c r="BE298" s="1">
        <f>INDEX(Input!$1:$1048576,BE$93,$C298*2+6)</f>
        <v>4.4999999999999998E-2</v>
      </c>
      <c r="BF298" s="1">
        <f>INDEX(Input!$1:$1048576,BF$93,$C298*2+6)</f>
        <v>0.05</v>
      </c>
      <c r="BG298" s="1">
        <f>INDEX(Input!$1:$1048576,BG$93,$C298*2+6)</f>
        <v>5.45E-2</v>
      </c>
      <c r="BH298" s="1">
        <f>INDEX(Input!$1:$1048576,BH$93,$C298*2+6)</f>
        <v>5.45E-2</v>
      </c>
      <c r="BI298" s="1">
        <f>INDEX(Input!$1:$1048576,BI$93,$C298*2+6)</f>
        <v>0.05</v>
      </c>
      <c r="BJ298" s="1">
        <f>INDEX(Input!$1:$1048576,BJ$93,$C298*2+6)</f>
        <v>0.05</v>
      </c>
      <c r="BK298" s="1">
        <f>INDEX(Input!$1:$1048576,BK$93,$C298*2+6)</f>
        <v>0.05</v>
      </c>
      <c r="BL298" s="1">
        <f>INDEX(Input!$1:$1048576,BL$93,$C298*2+6)</f>
        <v>5.5E-2</v>
      </c>
      <c r="BM298" s="1">
        <f>INDEX(Input!$1:$1048576,BM$93,$C298*2+6)</f>
        <v>0.06</v>
      </c>
      <c r="BN298" s="1">
        <f>INDEX(Input!$1:$1048576,BN$93,$C298*2+6)</f>
        <v>4.4999999999999998E-2</v>
      </c>
      <c r="BO298" s="1">
        <f>INDEX(Input!$1:$1048576,BO$93,$C298*2+6)</f>
        <v>4.4999999999999998E-2</v>
      </c>
      <c r="BP298" s="1">
        <f>INDEX(Input!$1:$1048576,BP$93,$C298*2+6)</f>
        <v>0.05</v>
      </c>
      <c r="BQ298" s="1">
        <f>INDEX(Input!$1:$1048576,BQ$93,$C298*2+6)</f>
        <v>5.45E-2</v>
      </c>
      <c r="BR298" s="1">
        <f>INDEX(Input!$1:$1048576,BR$93,$C298*2+6)</f>
        <v>5.45E-2</v>
      </c>
      <c r="BS298" s="1">
        <f>INDEX(Input!$1:$1048576,BS$93,$C298*2+6)</f>
        <v>0.05</v>
      </c>
      <c r="BT298" s="1">
        <f>INDEX(Input!$1:$1048576,BT$93,$C298*2+6)</f>
        <v>0.05</v>
      </c>
      <c r="BU298" s="1">
        <f>INDEX(Input!$1:$1048576,BU$93,$C298*2+6)</f>
        <v>0.05</v>
      </c>
      <c r="BV298" s="1">
        <f>INDEX(Input!$1:$1048576,BV$93,$C298*2+6)</f>
        <v>5.5E-2</v>
      </c>
      <c r="BW298" s="1">
        <f>INDEX(Input!$1:$1048576,BW$93,$C298*2+6)</f>
        <v>0.06</v>
      </c>
      <c r="BX298" s="127">
        <f>INDEX(Input!$1:$1048576,BX$93,$C298*2+6)</f>
        <v>19985</v>
      </c>
      <c r="BY298" s="20">
        <f>INDEX(Input!$1:$1048576,BY$93,$C298*2+6)</f>
        <v>0.1</v>
      </c>
      <c r="BZ298" s="20">
        <f>INDEX(Input!$1:$1048576,BZ$93,$C298*2+6)</f>
        <v>0.1</v>
      </c>
      <c r="CA298" s="20">
        <f>INDEX(Input!$1:$1048576,CA$93,$C298*2+6)</f>
        <v>0.1</v>
      </c>
      <c r="CB298" s="20">
        <f>INDEX(Input!$1:$1048576,CB$93,$C298*2+6)</f>
        <v>0.1</v>
      </c>
      <c r="CC298" s="20">
        <f>INDEX(Input!$1:$1048576,CC$93,$C298*2+6)</f>
        <v>0.1</v>
      </c>
      <c r="CD298" s="384">
        <f>INDEX(Input!$1:$1048576,CD$93,$C298*2+6)</f>
        <v>0.1</v>
      </c>
      <c r="CE298" s="384">
        <f>INDEX(Input!$1:$1048576,CE$93,$C298*2+6)</f>
        <v>0.1</v>
      </c>
      <c r="CF298" s="384">
        <f>INDEX(Input!$1:$1048576,CF$93,$C298*2+6)</f>
        <v>0.1</v>
      </c>
      <c r="CG298" s="384">
        <f>INDEX(Input!$1:$1048576,CG$93,$C298*2+6)</f>
        <v>0.1</v>
      </c>
      <c r="CH298" s="384">
        <f>INDEX(Input!$1:$1048576,CH$93,$C298*2+6)</f>
        <v>0.1</v>
      </c>
      <c r="CI298" s="304">
        <f t="shared" si="864"/>
        <v>1269.7618664521319</v>
      </c>
      <c r="CJ298" s="16" t="str">
        <f>INDEX(Input!$1:$1048576,CJ$93,$C298*2+6)</f>
        <v>N</v>
      </c>
      <c r="CK298" s="1" t="str">
        <f t="shared" si="865"/>
        <v>Market</v>
      </c>
      <c r="CL298" s="1" t="str">
        <f t="shared" si="866"/>
        <v>Market</v>
      </c>
      <c r="CM298" s="1" t="str">
        <f t="shared" si="867"/>
        <v>Market</v>
      </c>
      <c r="CN298" s="1" t="str">
        <f t="shared" si="868"/>
        <v>Market</v>
      </c>
      <c r="CO298" s="1" t="str">
        <f t="shared" si="869"/>
        <v>Market</v>
      </c>
      <c r="CP298" s="304">
        <f t="shared" si="870"/>
        <v>473</v>
      </c>
      <c r="CQ298" s="1">
        <f t="shared" si="871"/>
        <v>0</v>
      </c>
      <c r="CR298" s="1">
        <f t="shared" si="872"/>
        <v>0</v>
      </c>
      <c r="CS298" s="1">
        <f t="shared" si="873"/>
        <v>0</v>
      </c>
      <c r="CT298" s="1">
        <f t="shared" si="874"/>
        <v>1.9E-2</v>
      </c>
      <c r="CU298" s="1">
        <f t="shared" si="875"/>
        <v>3.9E-2</v>
      </c>
      <c r="CV298" s="304">
        <f t="shared" si="876"/>
        <v>56</v>
      </c>
      <c r="CW298" s="20" t="s">
        <v>122</v>
      </c>
      <c r="CX298" s="20" t="s">
        <v>122</v>
      </c>
      <c r="CY298" s="20" t="s">
        <v>122</v>
      </c>
      <c r="CZ298" s="20" t="s">
        <v>122</v>
      </c>
      <c r="DA298" s="20" t="s">
        <v>122</v>
      </c>
      <c r="DB298" s="503">
        <f t="shared" si="877"/>
        <v>0</v>
      </c>
      <c r="DC298" s="127">
        <v>0</v>
      </c>
      <c r="DD298" s="127">
        <v>0</v>
      </c>
      <c r="DE298" s="127">
        <v>0</v>
      </c>
      <c r="DF298" s="127">
        <v>0</v>
      </c>
      <c r="DG298" s="127">
        <v>0</v>
      </c>
      <c r="DH298" s="127">
        <v>0</v>
      </c>
      <c r="DI298" s="127">
        <v>0</v>
      </c>
      <c r="DJ298" s="127">
        <v>0</v>
      </c>
      <c r="DK298" s="127">
        <v>0</v>
      </c>
      <c r="DL298" s="127">
        <v>0</v>
      </c>
      <c r="DM298" s="304">
        <f>INDEX(Input!$1:$1048576,DM$93,$C298*2+6)</f>
        <v>21036.84210526316</v>
      </c>
      <c r="DN298" s="20">
        <v>0</v>
      </c>
      <c r="DO298" s="20">
        <v>0</v>
      </c>
      <c r="DP298" s="20">
        <v>0</v>
      </c>
      <c r="DQ298" s="20">
        <v>0</v>
      </c>
      <c r="DR298" s="20">
        <v>0</v>
      </c>
      <c r="DS298" s="20">
        <f>INDEX(Input!$1:$1048576,DS$93,$C298*2+6)</f>
        <v>0.6</v>
      </c>
      <c r="DT298" s="20">
        <f>INDEX(Input!$1:$1048576,DT$93,$C298*2+6)</f>
        <v>0.55000000000000004</v>
      </c>
      <c r="DU298" s="20">
        <f>INDEX(Input!$1:$1048576,DU$93,$C298*2+6)</f>
        <v>0.52</v>
      </c>
      <c r="DV298" s="20">
        <f>INDEX(Input!$1:$1048576,DV$93,$C298*2+6)</f>
        <v>0.5</v>
      </c>
      <c r="DW298" s="20">
        <f>INDEX(Input!$1:$1048576,DW$93,$C298*2+6)</f>
        <v>0.45</v>
      </c>
      <c r="DX298" s="20"/>
      <c r="DY298" s="7"/>
      <c r="DZ298" s="7"/>
      <c r="EA298" s="7"/>
      <c r="EB298" s="7"/>
      <c r="EC298" s="7"/>
      <c r="ED298" s="7"/>
      <c r="EE298" s="7"/>
      <c r="EF298" s="7"/>
      <c r="EG298" s="7"/>
      <c r="EH298" s="7"/>
      <c r="EI298" s="7"/>
      <c r="EJ298" s="7"/>
      <c r="EK298" s="7"/>
      <c r="EL298" s="7"/>
      <c r="EM298" s="7"/>
      <c r="EN298" s="7"/>
      <c r="EO298" s="7"/>
      <c r="EP298" s="7"/>
      <c r="EQ298" s="7"/>
      <c r="ER298" s="7"/>
      <c r="ES298" s="7"/>
      <c r="ET298" s="7"/>
      <c r="EU298" s="6"/>
      <c r="EV298" s="6"/>
      <c r="EW298" s="6"/>
      <c r="EX298" s="6"/>
      <c r="EY298" s="6"/>
      <c r="EZ298" s="6"/>
      <c r="FA298" s="6"/>
      <c r="FB298" s="6"/>
      <c r="FC298" s="6"/>
      <c r="FD298" s="6"/>
      <c r="FE298" s="6"/>
      <c r="FF298" s="6"/>
      <c r="FG298" s="6"/>
      <c r="FH298" s="6"/>
      <c r="FI298" s="6"/>
      <c r="FJ298" s="6"/>
      <c r="FK298" s="6"/>
      <c r="FL298" s="6"/>
      <c r="FM298" s="6"/>
      <c r="FN298" s="6"/>
      <c r="FO298" s="6"/>
      <c r="FP298" s="6"/>
      <c r="FQ298" s="6"/>
      <c r="FR298" s="6"/>
      <c r="FS298" s="6"/>
      <c r="FT298" s="7"/>
      <c r="FU298" s="7"/>
      <c r="FV298" s="7"/>
      <c r="FW298" s="6"/>
      <c r="FX298" s="6"/>
      <c r="FY298" s="6"/>
      <c r="FZ298" s="6"/>
      <c r="GA298" s="6"/>
      <c r="GB298" s="6"/>
      <c r="GC298" s="7"/>
      <c r="GD298" s="7"/>
      <c r="GE298" s="7"/>
      <c r="GF298" s="7"/>
      <c r="GG298" s="7"/>
      <c r="GH298" s="42"/>
      <c r="GI298" s="6"/>
      <c r="GJ298" s="14"/>
      <c r="GK298" s="14"/>
      <c r="GL298" s="14"/>
      <c r="GM298" s="14"/>
      <c r="GO298" s="5"/>
      <c r="GP298" s="5"/>
      <c r="GQ298" s="5"/>
      <c r="GR298" s="5"/>
      <c r="GS298" s="5"/>
      <c r="GT298" s="5"/>
      <c r="GU298" s="5"/>
      <c r="GV298" s="39"/>
      <c r="GW298" s="5"/>
      <c r="GX298" s="5"/>
      <c r="GY298" s="5"/>
      <c r="GZ298" s="5"/>
      <c r="HA298" s="5"/>
      <c r="HB298" s="39"/>
      <c r="HC298" s="5"/>
      <c r="HD298" s="5"/>
      <c r="HE298" s="5"/>
      <c r="HF298" s="5"/>
      <c r="HG298" s="5"/>
      <c r="HH298" s="39"/>
      <c r="HI298" s="16"/>
      <c r="HJ298" s="19"/>
      <c r="HK298" s="1"/>
      <c r="HL298" s="16"/>
      <c r="HM298" s="1"/>
      <c r="HN298" s="1"/>
      <c r="HO298" s="1"/>
      <c r="HP298" s="1"/>
      <c r="HQ298" s="1"/>
      <c r="HR298" s="1"/>
      <c r="HS298" s="1"/>
      <c r="HT298" s="1"/>
      <c r="HU298" s="1"/>
      <c r="HV298" s="1"/>
      <c r="HW298" s="1"/>
      <c r="HX298" s="1"/>
      <c r="HY298" s="1"/>
      <c r="HZ298" s="1"/>
      <c r="IA298" s="1"/>
      <c r="IB298" s="1"/>
      <c r="IC298" s="1"/>
      <c r="ID298" s="1"/>
      <c r="IE298" s="1"/>
      <c r="IF298" s="1"/>
      <c r="IG298" s="1"/>
      <c r="IH298" s="21"/>
      <c r="II298" s="19"/>
      <c r="IJ298" s="19"/>
      <c r="IK298" s="19"/>
      <c r="IL298" s="19"/>
      <c r="IM298" s="19"/>
      <c r="IN298" s="19"/>
      <c r="IO298" s="39"/>
      <c r="IP298" s="39"/>
      <c r="IQ298" s="39"/>
      <c r="IR298" s="39"/>
      <c r="IS298" s="39"/>
      <c r="IT298" s="39"/>
      <c r="IU298" s="39"/>
      <c r="IV298" s="39"/>
      <c r="IW298" s="39"/>
      <c r="IX298" s="39"/>
      <c r="IY298" s="39"/>
      <c r="IZ298" s="39"/>
      <c r="JA298" s="19"/>
      <c r="JB298" s="19"/>
      <c r="JC298" s="19"/>
      <c r="JD298" s="19"/>
      <c r="JE298" s="21"/>
      <c r="JF298" s="1"/>
      <c r="JG298" s="15"/>
      <c r="JH298" s="1"/>
      <c r="JI298" s="1"/>
      <c r="JJ298" s="1"/>
      <c r="JK298" s="1"/>
      <c r="JL298" s="15"/>
      <c r="JM298" s="15"/>
      <c r="JN298" s="21"/>
      <c r="JO298" s="19"/>
      <c r="JP298" s="19"/>
      <c r="JQ298" s="39"/>
      <c r="JR298" s="39"/>
      <c r="JS298" s="39"/>
      <c r="JT298" s="39"/>
      <c r="JU298" s="385"/>
      <c r="JV298" s="39"/>
      <c r="JW298" s="1"/>
      <c r="JX298" s="19"/>
      <c r="JZ298" s="341"/>
      <c r="KA298" s="342"/>
      <c r="KB298" s="469"/>
      <c r="KI298" s="473"/>
      <c r="KJ298" s="473"/>
      <c r="KK298" s="473"/>
    </row>
    <row r="299" spans="1:310" s="26" customFormat="1" ht="15" outlineLevel="1">
      <c r="A299" s="561">
        <f t="shared" si="799"/>
        <v>2099</v>
      </c>
      <c r="B299" s="561">
        <f t="shared" si="817"/>
        <v>99</v>
      </c>
      <c r="C299" s="561">
        <f t="shared" si="760"/>
        <v>2</v>
      </c>
      <c r="D299" s="561" t="str">
        <f t="shared" si="861"/>
        <v/>
      </c>
      <c r="E299" s="475">
        <f>INDEX(Input!$1:$1048576,E$93,$C299*2+MIN($B299,2)+5)
+INDEX(Scenarios!E$121:E$200,MATCH($B299,Scenarios!$B$121:$B$200,0))</f>
        <v>1269.7618664521319</v>
      </c>
      <c r="F299" s="475">
        <f>INDEX(Input!$1:$1048576,F$93,$C299*2+MIN($B299,2)+5)
+INDEX(Scenarios!F$121:F$200,MATCH($B299,Scenarios!$B$121:$B$200,0))</f>
        <v>0</v>
      </c>
      <c r="G299" s="475">
        <f>INDEX(Input!$1:$1048576,G$93,$C299*2+MIN($B299,2)+5)
+INDEX(Scenarios!G$121:G$200,MATCH($B299,Scenarios!$B$121:$B$200,0))</f>
        <v>0</v>
      </c>
      <c r="H299" s="475">
        <f>INDEX(Input!$1:$1048576,H$93,$C299*2+MIN($B299,2)+5)
+INDEX(Scenarios!H$121:H$200,MATCH($B299,Scenarios!$B$121:$B$200,0))</f>
        <v>0</v>
      </c>
      <c r="I299" s="476">
        <f>INDEX(Input!$1:$1048576,I$93,$C299*2+MIN($B299,2)+5)</f>
        <v>0.7</v>
      </c>
      <c r="J299" s="476" t="str">
        <f>INDEX(Input!$1:$1048576,J$93,$C299*2+MIN($B299,2)+5)</f>
        <v>Market</v>
      </c>
      <c r="K299" s="476" t="str">
        <f>INDEX(Input!$1:$1048576,K$93,$C299*2+MIN($B299,2)+5)</f>
        <v>Market</v>
      </c>
      <c r="L299" s="476" t="str">
        <f>INDEX(Input!$1:$1048576,L$93,$C299*2+MIN($B299,2)+5)</f>
        <v>Market</v>
      </c>
      <c r="M299" s="476" t="str">
        <f>INDEX(Input!$1:$1048576,M$93,$C299*2+MIN($B299,2)+5)</f>
        <v>Market</v>
      </c>
      <c r="N299" s="476" t="str">
        <f>INDEX(Input!$1:$1048576,N$93,$C299*2+MIN($B299,2)+5)</f>
        <v>Market</v>
      </c>
      <c r="O299" s="476" t="str">
        <f>INDEX(Input!$1:$1048576,O$93,$C299*2+MIN($B299,2)+5)</f>
        <v>Market</v>
      </c>
      <c r="P299" s="476" t="str">
        <f>INDEX(Input!$1:$1048576,P$93,$C299*2+MIN($B299,2)+5)</f>
        <v>N</v>
      </c>
      <c r="Q299" s="477">
        <f>INDEX(Input!$1:$1048576,Q$93,$C299*2+MIN($B299,2)+5)
+INDEX(Scenarios!Q$121:Q$200,MATCH($B299,Scenarios!$B$121:$B$200,0))</f>
        <v>0</v>
      </c>
      <c r="R299" s="478">
        <f>IFERROR(MAX(0,INDEX(Input!$1:$1048576,R$93,$C299*2+MIN($B299,2)+5)
+INDEX(Scenarios!R$121:R$200,MATCH($B299,Scenarios!$B$121:$B$200,0)),),"Market")</f>
        <v>0</v>
      </c>
      <c r="S299" s="478">
        <f>IFERROR(MAX(0,INDEX(Input!$1:$1048576,S$93,$C299*2+MIN($B299,2)+5)
+INDEX(Scenarios!S$121:S$200,MATCH($B299,Scenarios!$B$121:$B$200,0)),),"Market")</f>
        <v>0</v>
      </c>
      <c r="T299" s="478">
        <f>IFERROR(MAX(0,INDEX(Input!$1:$1048576,T$93,$C299*2+MIN($B299,2)+5)
+INDEX(Scenarios!T$121:T$200,MATCH($B299,Scenarios!$B$121:$B$200,0)),),"Market")</f>
        <v>0</v>
      </c>
      <c r="U299" s="478">
        <f>IFERROR(MAX(0,INDEX(Input!$1:$1048576,U$93,$C299*2+MIN($B299,2)+5)
+INDEX(Scenarios!U$121:U$200,MATCH($B299,Scenarios!$B$121:$B$200,0)),),"Market")</f>
        <v>0</v>
      </c>
      <c r="V299" s="478">
        <f>IFERROR(MAX(0,INDEX(Input!$1:$1048576,V$93,$C299*2+MIN($B299,2)+5)
+INDEX(Scenarios!V$121:V$200,MATCH($B299,Scenarios!$B$121:$B$200,0)),),"Market")</f>
        <v>1.9E-2</v>
      </c>
      <c r="W299" s="885">
        <f>IFERROR(MAX(0,INDEX(Input!$1:$1048576,W$93,$C299*2+MIN($B299,2)+5)-0%,),"Market")</f>
        <v>3.9E-2</v>
      </c>
      <c r="X299" s="476" t="str">
        <f>INDEX(Input!$1:$1048576,X$93,$C299*2+MIN($B299,2)+5)</f>
        <v>Y</v>
      </c>
      <c r="Y299" s="475">
        <f>INDEX(Input!$1:$1048576,Y$93,$C299*2+MIN($B299,2)+5)
++INDEX(Scenarios!Y$121:Y$200,MATCH($B299,Scenarios!$B$121:$B$200,0))</f>
        <v>56</v>
      </c>
      <c r="Z299" s="477">
        <f>INDEX(Input!$1:$1048576,Z$93,$C299*2+MIN($B299,2)+5)
+INDEX(Scenarios!Z$121:Z$200,MATCH($B299,Scenarios!$B$121:$B$200,0))</f>
        <v>0</v>
      </c>
      <c r="AA299" s="475">
        <f>INDEX(Input!$1:$1048576,AA$93,$C299*2+MIN($B299,2)+5)
+INDEX(Scenarios!AA$121:AA$200,MATCH($B299,Scenarios!$B$121:$B$200,0))</f>
        <v>0</v>
      </c>
      <c r="AB299" s="476">
        <f>INDEX(Input!$1:$1048576,AB$93,$C299*2+MIN($B299,2)+5)</f>
        <v>0.27</v>
      </c>
      <c r="AC299" s="475">
        <f>INDEX(Input!$1:$1048576,AC$93,$C299*2+MIN($B299,2)+5)
+INDEX(Scenarios!AC$121:AC$200,MATCH($B299,Scenarios!$B$121:$B$200,0))</f>
        <v>0</v>
      </c>
      <c r="AD299" s="476">
        <f>INDEX(Input!$1:$1048576,AD$93,$C299*2+MIN($B299,2)+5)</f>
        <v>0.27</v>
      </c>
      <c r="AE299" s="475">
        <f>INDEX(Input!$1:$1048576,AE$93,$C299*2+MIN($B299,2)+5)
+INDEX(Scenarios!AE$121:AE$200,MATCH($B299,Scenarios!$B$121:$B$200,0))</f>
        <v>0</v>
      </c>
      <c r="AF299" s="476">
        <f>INDEX(Input!$1:$1048576,AF$93,$C299*2+MIN($B299,2)+5)</f>
        <v>4.8000000000000001E-2</v>
      </c>
      <c r="AG299" s="475">
        <f>INDEX(Input!$1:$1048576,AG$93,$C299*2+MIN($B299,2)+5)
+INDEX(Scenarios!AG$121:AG$200,MATCH($B299,Scenarios!$B$121:$B$200,0))</f>
        <v>500</v>
      </c>
      <c r="AH299" s="476">
        <f>INDEX(Input!$1:$1048576,AH$93,$C299*2+MIN($B299,2)+5)</f>
        <v>0.94599999999999995</v>
      </c>
      <c r="AI299" s="475">
        <f>INDEX(Input!$1:$1048576,AI$93,$C299*2+MIN($B299,2)+5)
+INDEX(Scenarios!AI$121:AI$200,MATCH($B299,Scenarios!$B$121:$B$200,0))</f>
        <v>0</v>
      </c>
      <c r="AJ299" s="476">
        <f>INDEX(Input!$1:$1048576,AJ$93,$C299*2+MIN($B299,2)+5)</f>
        <v>0.27</v>
      </c>
      <c r="AK299" s="150">
        <f>ROUND(INDEX(Input!$1:$1048576,AK$93,$C298*2+MIN($B299,1)+5)+(Y299-VLOOKUP($C299*1000+1,$A:$HH,Y$92,FALSE)),0)</f>
        <v>2977</v>
      </c>
      <c r="AL299" s="150">
        <f>ROUND(INDEX(Input!$1:$1048576,AL$93,$C298*2+MIN($B299,1)+5)-(Y299-VLOOKUP($C299*1000+1,$A:$HH,Y$92,FALSE))/36,0)</f>
        <v>3395</v>
      </c>
      <c r="AM299" s="32" t="str">
        <f t="shared" si="800"/>
        <v>std/std/std/std</v>
      </c>
      <c r="AN299" s="32" t="str">
        <f t="shared" si="801"/>
        <v>$0 + 0/0/0/1.9/3.9</v>
      </c>
      <c r="AO299" s="32" t="str">
        <f t="shared" si="802"/>
        <v>0/0/0/1.9/3.9</v>
      </c>
      <c r="AP299" s="32" t="str">
        <f t="shared" si="863"/>
        <v>0/0.9/1.9/3.9</v>
      </c>
      <c r="AQ299" s="536">
        <f t="shared" si="862"/>
        <v>0</v>
      </c>
      <c r="AR299" s="32"/>
      <c r="AS299" s="302"/>
      <c r="AT299" s="3">
        <f t="shared" si="856"/>
        <v>99</v>
      </c>
      <c r="AU299" s="41" t="s">
        <v>121</v>
      </c>
      <c r="AV299" s="41" t="s">
        <v>116</v>
      </c>
      <c r="AW299" s="41" t="str">
        <f>INDEX(Input!$1:$1048576,AW$93,$C299*2+6)</f>
        <v>Kia</v>
      </c>
      <c r="AX299" s="41" t="str">
        <f>INDEX(Input!$1:$1048576,AX$93,$C299*2+6)</f>
        <v>Kia-LR - L2</v>
      </c>
      <c r="AY299" s="41" t="str">
        <f>IF(LEN(D299)=0,"",INDEX(Input!$1:$1048576,AY$93,$C299*2+6))</f>
        <v/>
      </c>
      <c r="AZ299" s="41" t="str">
        <f>INDEX(Input!$1:$1048576,AZ$93,$C299*2+6)</f>
        <v>Kia Soul</v>
      </c>
      <c r="BA299" s="3">
        <f>INDEX(Input!$1:$1048576,BA$93,$C299*2+6)</f>
        <v>2020</v>
      </c>
      <c r="BB299" s="128">
        <f>INDEX(Input!$1:$1048576,BB$93,$C299*2+6)</f>
        <v>1</v>
      </c>
      <c r="BC299" s="128">
        <f>INDEX(Input!$1:$1048576,BC$93,$C299*2+6)</f>
        <v>0.7</v>
      </c>
      <c r="BD299" s="1">
        <f>INDEX(Input!$1:$1048576,BD$93,$C299*2+6)</f>
        <v>4.4999999999999998E-2</v>
      </c>
      <c r="BE299" s="1">
        <f>INDEX(Input!$1:$1048576,BE$93,$C299*2+6)</f>
        <v>4.4999999999999998E-2</v>
      </c>
      <c r="BF299" s="1">
        <f>INDEX(Input!$1:$1048576,BF$93,$C299*2+6)</f>
        <v>0.05</v>
      </c>
      <c r="BG299" s="1">
        <f>INDEX(Input!$1:$1048576,BG$93,$C299*2+6)</f>
        <v>5.45E-2</v>
      </c>
      <c r="BH299" s="1">
        <f>INDEX(Input!$1:$1048576,BH$93,$C299*2+6)</f>
        <v>5.45E-2</v>
      </c>
      <c r="BI299" s="1">
        <f>INDEX(Input!$1:$1048576,BI$93,$C299*2+6)</f>
        <v>0.05</v>
      </c>
      <c r="BJ299" s="1">
        <f>INDEX(Input!$1:$1048576,BJ$93,$C299*2+6)</f>
        <v>0.05</v>
      </c>
      <c r="BK299" s="1">
        <f>INDEX(Input!$1:$1048576,BK$93,$C299*2+6)</f>
        <v>0.05</v>
      </c>
      <c r="BL299" s="1">
        <f>INDEX(Input!$1:$1048576,BL$93,$C299*2+6)</f>
        <v>5.5E-2</v>
      </c>
      <c r="BM299" s="1">
        <f>INDEX(Input!$1:$1048576,BM$93,$C299*2+6)</f>
        <v>0.06</v>
      </c>
      <c r="BN299" s="1">
        <f>INDEX(Input!$1:$1048576,BN$93,$C299*2+6)</f>
        <v>4.4999999999999998E-2</v>
      </c>
      <c r="BO299" s="1">
        <f>INDEX(Input!$1:$1048576,BO$93,$C299*2+6)</f>
        <v>4.4999999999999998E-2</v>
      </c>
      <c r="BP299" s="1">
        <f>INDEX(Input!$1:$1048576,BP$93,$C299*2+6)</f>
        <v>0.05</v>
      </c>
      <c r="BQ299" s="1">
        <f>INDEX(Input!$1:$1048576,BQ$93,$C299*2+6)</f>
        <v>5.45E-2</v>
      </c>
      <c r="BR299" s="1">
        <f>INDEX(Input!$1:$1048576,BR$93,$C299*2+6)</f>
        <v>5.45E-2</v>
      </c>
      <c r="BS299" s="1">
        <f>INDEX(Input!$1:$1048576,BS$93,$C299*2+6)</f>
        <v>0.05</v>
      </c>
      <c r="BT299" s="1">
        <f>INDEX(Input!$1:$1048576,BT$93,$C299*2+6)</f>
        <v>0.05</v>
      </c>
      <c r="BU299" s="1">
        <f>INDEX(Input!$1:$1048576,BU$93,$C299*2+6)</f>
        <v>0.05</v>
      </c>
      <c r="BV299" s="1">
        <f>INDEX(Input!$1:$1048576,BV$93,$C299*2+6)</f>
        <v>5.5E-2</v>
      </c>
      <c r="BW299" s="1">
        <f>INDEX(Input!$1:$1048576,BW$93,$C299*2+6)</f>
        <v>0.06</v>
      </c>
      <c r="BX299" s="127">
        <f>INDEX(Input!$1:$1048576,BX$93,$C299*2+6)</f>
        <v>19985</v>
      </c>
      <c r="BY299" s="20">
        <f>INDEX(Input!$1:$1048576,BY$93,$C299*2+6)</f>
        <v>0.1</v>
      </c>
      <c r="BZ299" s="20">
        <f>INDEX(Input!$1:$1048576,BZ$93,$C299*2+6)</f>
        <v>0.1</v>
      </c>
      <c r="CA299" s="20">
        <f>INDEX(Input!$1:$1048576,CA$93,$C299*2+6)</f>
        <v>0.1</v>
      </c>
      <c r="CB299" s="20">
        <f>INDEX(Input!$1:$1048576,CB$93,$C299*2+6)</f>
        <v>0.1</v>
      </c>
      <c r="CC299" s="20">
        <f>INDEX(Input!$1:$1048576,CC$93,$C299*2+6)</f>
        <v>0.1</v>
      </c>
      <c r="CD299" s="384">
        <f>INDEX(Input!$1:$1048576,CD$93,$C299*2+6)</f>
        <v>0.1</v>
      </c>
      <c r="CE299" s="384">
        <f>INDEX(Input!$1:$1048576,CE$93,$C299*2+6)</f>
        <v>0.1</v>
      </c>
      <c r="CF299" s="384">
        <f>INDEX(Input!$1:$1048576,CF$93,$C299*2+6)</f>
        <v>0.1</v>
      </c>
      <c r="CG299" s="384">
        <f>INDEX(Input!$1:$1048576,CG$93,$C299*2+6)</f>
        <v>0.1</v>
      </c>
      <c r="CH299" s="384">
        <f>INDEX(Input!$1:$1048576,CH$93,$C299*2+6)</f>
        <v>0.1</v>
      </c>
      <c r="CI299" s="304">
        <f t="shared" si="864"/>
        <v>1269.7618664521319</v>
      </c>
      <c r="CJ299" s="16" t="str">
        <f>INDEX(Input!$1:$1048576,CJ$93,$C299*2+6)</f>
        <v>N</v>
      </c>
      <c r="CK299" s="1" t="str">
        <f t="shared" si="865"/>
        <v>Market</v>
      </c>
      <c r="CL299" s="1" t="str">
        <f t="shared" si="866"/>
        <v>Market</v>
      </c>
      <c r="CM299" s="1" t="str">
        <f t="shared" si="867"/>
        <v>Market</v>
      </c>
      <c r="CN299" s="1" t="str">
        <f t="shared" si="868"/>
        <v>Market</v>
      </c>
      <c r="CO299" s="1" t="str">
        <f t="shared" si="869"/>
        <v>Market</v>
      </c>
      <c r="CP299" s="304">
        <f t="shared" si="870"/>
        <v>473</v>
      </c>
      <c r="CQ299" s="1">
        <f t="shared" si="871"/>
        <v>0</v>
      </c>
      <c r="CR299" s="1">
        <f t="shared" si="872"/>
        <v>0</v>
      </c>
      <c r="CS299" s="1">
        <f t="shared" si="873"/>
        <v>0</v>
      </c>
      <c r="CT299" s="1">
        <f t="shared" si="874"/>
        <v>1.9E-2</v>
      </c>
      <c r="CU299" s="1">
        <f t="shared" si="875"/>
        <v>3.9E-2</v>
      </c>
      <c r="CV299" s="304">
        <f t="shared" si="876"/>
        <v>56</v>
      </c>
      <c r="CW299" s="20" t="s">
        <v>122</v>
      </c>
      <c r="CX299" s="20" t="s">
        <v>122</v>
      </c>
      <c r="CY299" s="20" t="s">
        <v>122</v>
      </c>
      <c r="CZ299" s="20" t="s">
        <v>122</v>
      </c>
      <c r="DA299" s="20" t="s">
        <v>122</v>
      </c>
      <c r="DB299" s="503">
        <f t="shared" si="877"/>
        <v>0</v>
      </c>
      <c r="DC299" s="127">
        <v>0</v>
      </c>
      <c r="DD299" s="127">
        <v>0</v>
      </c>
      <c r="DE299" s="127">
        <v>0</v>
      </c>
      <c r="DF299" s="127">
        <v>0</v>
      </c>
      <c r="DG299" s="127">
        <v>0</v>
      </c>
      <c r="DH299" s="127">
        <v>0</v>
      </c>
      <c r="DI299" s="127">
        <v>0</v>
      </c>
      <c r="DJ299" s="127">
        <v>0</v>
      </c>
      <c r="DK299" s="127">
        <v>0</v>
      </c>
      <c r="DL299" s="127">
        <v>0</v>
      </c>
      <c r="DM299" s="304">
        <f>INDEX(Input!$1:$1048576,DM$93,$C299*2+6)</f>
        <v>21036.84210526316</v>
      </c>
      <c r="DN299" s="20">
        <v>0</v>
      </c>
      <c r="DO299" s="20">
        <v>0</v>
      </c>
      <c r="DP299" s="20">
        <v>0</v>
      </c>
      <c r="DQ299" s="20">
        <v>0</v>
      </c>
      <c r="DR299" s="20">
        <v>0</v>
      </c>
      <c r="DS299" s="20">
        <f>INDEX(Input!$1:$1048576,DS$93,$C299*2+6)</f>
        <v>0.6</v>
      </c>
      <c r="DT299" s="20">
        <f>INDEX(Input!$1:$1048576,DT$93,$C299*2+6)</f>
        <v>0.55000000000000004</v>
      </c>
      <c r="DU299" s="20">
        <f>INDEX(Input!$1:$1048576,DU$93,$C299*2+6)</f>
        <v>0.52</v>
      </c>
      <c r="DV299" s="20">
        <f>INDEX(Input!$1:$1048576,DV$93,$C299*2+6)</f>
        <v>0.5</v>
      </c>
      <c r="DW299" s="20">
        <f>INDEX(Input!$1:$1048576,DW$93,$C299*2+6)</f>
        <v>0.45</v>
      </c>
      <c r="DX299" s="20"/>
      <c r="DY299" s="7"/>
      <c r="DZ299" s="7"/>
      <c r="EA299" s="7"/>
      <c r="EB299" s="7"/>
      <c r="EC299" s="7"/>
      <c r="ED299" s="7"/>
      <c r="EE299" s="7"/>
      <c r="EF299" s="7"/>
      <c r="EG299" s="7"/>
      <c r="EH299" s="7"/>
      <c r="EI299" s="7"/>
      <c r="EJ299" s="7"/>
      <c r="EK299" s="7"/>
      <c r="EL299" s="7"/>
      <c r="EM299" s="7"/>
      <c r="EN299" s="7"/>
      <c r="EO299" s="7"/>
      <c r="EP299" s="7"/>
      <c r="EQ299" s="7"/>
      <c r="ER299" s="7"/>
      <c r="ES299" s="7"/>
      <c r="ET299" s="7"/>
      <c r="EU299" s="6"/>
      <c r="EV299" s="6"/>
      <c r="EW299" s="6"/>
      <c r="EX299" s="6"/>
      <c r="EY299" s="6"/>
      <c r="EZ299" s="6"/>
      <c r="FA299" s="6"/>
      <c r="FB299" s="6"/>
      <c r="FC299" s="6"/>
      <c r="FD299" s="6"/>
      <c r="FE299" s="6"/>
      <c r="FF299" s="6"/>
      <c r="FG299" s="6"/>
      <c r="FH299" s="6"/>
      <c r="FI299" s="6"/>
      <c r="FJ299" s="6"/>
      <c r="FK299" s="6"/>
      <c r="FL299" s="6"/>
      <c r="FM299" s="6"/>
      <c r="FN299" s="6"/>
      <c r="FO299" s="6"/>
      <c r="FP299" s="6"/>
      <c r="FQ299" s="6"/>
      <c r="FR299" s="6"/>
      <c r="FS299" s="6"/>
      <c r="FT299" s="7"/>
      <c r="FU299" s="7"/>
      <c r="FV299" s="7"/>
      <c r="FW299" s="6"/>
      <c r="FX299" s="6"/>
      <c r="FY299" s="6"/>
      <c r="FZ299" s="6"/>
      <c r="GA299" s="6"/>
      <c r="GB299" s="6"/>
      <c r="GC299" s="7"/>
      <c r="GD299" s="7"/>
      <c r="GE299" s="7"/>
      <c r="GF299" s="7"/>
      <c r="GG299" s="7"/>
      <c r="GH299" s="42"/>
      <c r="GI299" s="6"/>
      <c r="GJ299" s="14"/>
      <c r="GK299" s="14"/>
      <c r="GL299" s="14"/>
      <c r="GM299" s="14"/>
      <c r="GO299" s="5"/>
      <c r="GP299" s="5"/>
      <c r="GQ299" s="5"/>
      <c r="GR299" s="5"/>
      <c r="GS299" s="5"/>
      <c r="GT299" s="5"/>
      <c r="GU299" s="5"/>
      <c r="GV299" s="39"/>
      <c r="GW299" s="5"/>
      <c r="GX299" s="5"/>
      <c r="GY299" s="5"/>
      <c r="GZ299" s="5"/>
      <c r="HA299" s="5"/>
      <c r="HB299" s="39"/>
      <c r="HC299" s="5"/>
      <c r="HD299" s="5"/>
      <c r="HE299" s="5"/>
      <c r="HF299" s="5"/>
      <c r="HG299" s="5"/>
      <c r="HH299" s="39"/>
      <c r="HI299" s="16"/>
      <c r="HJ299" s="19"/>
      <c r="HK299" s="1"/>
      <c r="HL299" s="16"/>
      <c r="HM299" s="1"/>
      <c r="HN299" s="1"/>
      <c r="HO299" s="1"/>
      <c r="HP299" s="1"/>
      <c r="HQ299" s="1"/>
      <c r="HR299" s="1"/>
      <c r="HS299" s="1"/>
      <c r="HT299" s="1"/>
      <c r="HU299" s="1"/>
      <c r="HV299" s="1"/>
      <c r="HW299" s="1"/>
      <c r="HX299" s="1"/>
      <c r="HY299" s="1"/>
      <c r="HZ299" s="1"/>
      <c r="IA299" s="1"/>
      <c r="IB299" s="1"/>
      <c r="IC299" s="1"/>
      <c r="ID299" s="1"/>
      <c r="IE299" s="1"/>
      <c r="IF299" s="1"/>
      <c r="IG299" s="1"/>
      <c r="IH299" s="21"/>
      <c r="II299" s="19"/>
      <c r="IJ299" s="19"/>
      <c r="IK299" s="19"/>
      <c r="IL299" s="19"/>
      <c r="IM299" s="19"/>
      <c r="IN299" s="19"/>
      <c r="IO299" s="39"/>
      <c r="IP299" s="39"/>
      <c r="IQ299" s="39"/>
      <c r="IR299" s="39"/>
      <c r="IS299" s="39"/>
      <c r="IT299" s="39"/>
      <c r="IU299" s="39"/>
      <c r="IV299" s="39"/>
      <c r="IW299" s="39"/>
      <c r="IX299" s="39"/>
      <c r="IY299" s="39"/>
      <c r="IZ299" s="39"/>
      <c r="JA299" s="19"/>
      <c r="JB299" s="19"/>
      <c r="JC299" s="19"/>
      <c r="JD299" s="19"/>
      <c r="JE299" s="21"/>
      <c r="JF299" s="1"/>
      <c r="JG299" s="15"/>
      <c r="JH299" s="1"/>
      <c r="JI299" s="1"/>
      <c r="JJ299" s="1"/>
      <c r="JK299" s="1"/>
      <c r="JL299" s="15"/>
      <c r="JM299" s="15"/>
      <c r="JN299" s="21"/>
      <c r="JO299" s="19"/>
      <c r="JP299" s="19"/>
      <c r="JQ299" s="39"/>
      <c r="JR299" s="39"/>
      <c r="JS299" s="39"/>
      <c r="JT299" s="39"/>
      <c r="JU299" s="385"/>
      <c r="JV299" s="39"/>
      <c r="JW299" s="1"/>
      <c r="JX299" s="19"/>
      <c r="JZ299" s="341"/>
      <c r="KA299" s="342"/>
      <c r="KB299" s="469"/>
      <c r="KI299" s="473"/>
      <c r="KJ299" s="473"/>
      <c r="KK299" s="473"/>
    </row>
    <row r="300" spans="1:310" s="26" customFormat="1" ht="15.75" outlineLevel="1" thickBot="1">
      <c r="A300" s="561">
        <f t="shared" si="799"/>
        <v>2100</v>
      </c>
      <c r="B300" s="561">
        <f t="shared" si="817"/>
        <v>100</v>
      </c>
      <c r="C300" s="561">
        <f t="shared" si="760"/>
        <v>2</v>
      </c>
      <c r="D300" s="561" t="str">
        <f t="shared" si="861"/>
        <v/>
      </c>
      <c r="E300" s="475">
        <f>INDEX(Input!$1:$1048576,E$93,$C300*2+MIN($B300,2)+5)
+INDEX(Scenarios!E$121:E$200,MATCH($B300,Scenarios!$B$121:$B$200,0))</f>
        <v>1269.7618664521319</v>
      </c>
      <c r="F300" s="475">
        <f>INDEX(Input!$1:$1048576,F$93,$C300*2+MIN($B300,2)+5)
+INDEX(Scenarios!F$121:F$200,MATCH($B300,Scenarios!$B$121:$B$200,0))</f>
        <v>0</v>
      </c>
      <c r="G300" s="475">
        <f>INDEX(Input!$1:$1048576,G$93,$C300*2+MIN($B300,2)+5)
+INDEX(Scenarios!G$121:G$200,MATCH($B300,Scenarios!$B$121:$B$200,0))</f>
        <v>0</v>
      </c>
      <c r="H300" s="475">
        <f>INDEX(Input!$1:$1048576,H$93,$C300*2+MIN($B300,2)+5)
+INDEX(Scenarios!H$121:H$200,MATCH($B300,Scenarios!$B$121:$B$200,0))</f>
        <v>0</v>
      </c>
      <c r="I300" s="476">
        <f>INDEX(Input!$1:$1048576,I$93,$C300*2+MIN($B300,2)+5)</f>
        <v>0.7</v>
      </c>
      <c r="J300" s="476" t="str">
        <f>INDEX(Input!$1:$1048576,J$93,$C300*2+MIN($B300,2)+5)</f>
        <v>Market</v>
      </c>
      <c r="K300" s="476" t="str">
        <f>INDEX(Input!$1:$1048576,K$93,$C300*2+MIN($B300,2)+5)</f>
        <v>Market</v>
      </c>
      <c r="L300" s="476" t="str">
        <f>INDEX(Input!$1:$1048576,L$93,$C300*2+MIN($B300,2)+5)</f>
        <v>Market</v>
      </c>
      <c r="M300" s="476" t="str">
        <f>INDEX(Input!$1:$1048576,M$93,$C300*2+MIN($B300,2)+5)</f>
        <v>Market</v>
      </c>
      <c r="N300" s="476" t="str">
        <f>INDEX(Input!$1:$1048576,N$93,$C300*2+MIN($B300,2)+5)</f>
        <v>Market</v>
      </c>
      <c r="O300" s="476" t="str">
        <f>INDEX(Input!$1:$1048576,O$93,$C300*2+MIN($B300,2)+5)</f>
        <v>Market</v>
      </c>
      <c r="P300" s="476" t="str">
        <f>INDEX(Input!$1:$1048576,P$93,$C300*2+MIN($B300,2)+5)</f>
        <v>N</v>
      </c>
      <c r="Q300" s="477">
        <f>INDEX(Input!$1:$1048576,Q$93,$C300*2+MIN($B300,2)+5)
+INDEX(Scenarios!Q$121:Q$200,MATCH($B300,Scenarios!$B$121:$B$200,0))</f>
        <v>0</v>
      </c>
      <c r="R300" s="478">
        <f>IFERROR(MAX(0,INDEX(Input!$1:$1048576,R$93,$C300*2+MIN($B300,2)+5)
+INDEX(Scenarios!R$121:R$200,MATCH($B300,Scenarios!$B$121:$B$200,0)),),"Market")</f>
        <v>0</v>
      </c>
      <c r="S300" s="478">
        <f>IFERROR(MAX(0,INDEX(Input!$1:$1048576,S$93,$C300*2+MIN($B300,2)+5)
+INDEX(Scenarios!S$121:S$200,MATCH($B300,Scenarios!$B$121:$B$200,0)),),"Market")</f>
        <v>0</v>
      </c>
      <c r="T300" s="478">
        <f>IFERROR(MAX(0,INDEX(Input!$1:$1048576,T$93,$C300*2+MIN($B300,2)+5)
+INDEX(Scenarios!T$121:T$200,MATCH($B300,Scenarios!$B$121:$B$200,0)),),"Market")</f>
        <v>0</v>
      </c>
      <c r="U300" s="478">
        <f>IFERROR(MAX(0,INDEX(Input!$1:$1048576,U$93,$C300*2+MIN($B300,2)+5)
+INDEX(Scenarios!U$121:U$200,MATCH($B300,Scenarios!$B$121:$B$200,0)),),"Market")</f>
        <v>0</v>
      </c>
      <c r="V300" s="478">
        <f>IFERROR(MAX(0,INDEX(Input!$1:$1048576,V$93,$C300*2+MIN($B300,2)+5)
+INDEX(Scenarios!V$121:V$200,MATCH($B300,Scenarios!$B$121:$B$200,0)),),"Market")</f>
        <v>1.9E-2</v>
      </c>
      <c r="W300" s="885">
        <f>IFERROR(MAX(0,INDEX(Input!$1:$1048576,W$93,$C300*2+MIN($B300,2)+5)-0%,),"Market")</f>
        <v>3.9E-2</v>
      </c>
      <c r="X300" s="476" t="str">
        <f>INDEX(Input!$1:$1048576,X$93,$C300*2+MIN($B300,2)+5)</f>
        <v>Y</v>
      </c>
      <c r="Y300" s="475">
        <f>INDEX(Input!$1:$1048576,Y$93,$C300*2+MIN($B300,2)+5)
++INDEX(Scenarios!Y$121:Y$200,MATCH($B300,Scenarios!$B$121:$B$200,0))</f>
        <v>56</v>
      </c>
      <c r="Z300" s="477">
        <f>INDEX(Input!$1:$1048576,Z$93,$C300*2+MIN($B300,2)+5)
+INDEX(Scenarios!Z$121:Z$200,MATCH($B300,Scenarios!$B$121:$B$200,0))</f>
        <v>0</v>
      </c>
      <c r="AA300" s="475">
        <f>INDEX(Input!$1:$1048576,AA$93,$C300*2+MIN($B300,2)+5)
+INDEX(Scenarios!AA$121:AA$200,MATCH($B300,Scenarios!$B$121:$B$200,0))</f>
        <v>0</v>
      </c>
      <c r="AB300" s="476">
        <f>INDEX(Input!$1:$1048576,AB$93,$C300*2+MIN($B300,2)+5)</f>
        <v>0.27</v>
      </c>
      <c r="AC300" s="475">
        <f>INDEX(Input!$1:$1048576,AC$93,$C300*2+MIN($B300,2)+5)
+INDEX(Scenarios!AC$121:AC$200,MATCH($B300,Scenarios!$B$121:$B$200,0))</f>
        <v>0</v>
      </c>
      <c r="AD300" s="476">
        <f>INDEX(Input!$1:$1048576,AD$93,$C300*2+MIN($B300,2)+5)</f>
        <v>0.27</v>
      </c>
      <c r="AE300" s="475">
        <f>INDEX(Input!$1:$1048576,AE$93,$C300*2+MIN($B300,2)+5)
+INDEX(Scenarios!AE$121:AE$200,MATCH($B300,Scenarios!$B$121:$B$200,0))</f>
        <v>0</v>
      </c>
      <c r="AF300" s="476">
        <f>INDEX(Input!$1:$1048576,AF$93,$C300*2+MIN($B300,2)+5)</f>
        <v>4.8000000000000001E-2</v>
      </c>
      <c r="AG300" s="475">
        <f>INDEX(Input!$1:$1048576,AG$93,$C300*2+MIN($B300,2)+5)
+INDEX(Scenarios!AG$121:AG$200,MATCH($B300,Scenarios!$B$121:$B$200,0))</f>
        <v>500</v>
      </c>
      <c r="AH300" s="476">
        <f>INDEX(Input!$1:$1048576,AH$93,$C300*2+MIN($B300,2)+5)</f>
        <v>0.94599999999999995</v>
      </c>
      <c r="AI300" s="475">
        <f>INDEX(Input!$1:$1048576,AI$93,$C300*2+MIN($B300,2)+5)
+INDEX(Scenarios!AI$121:AI$200,MATCH($B300,Scenarios!$B$121:$B$200,0))</f>
        <v>0</v>
      </c>
      <c r="AJ300" s="476">
        <f>INDEX(Input!$1:$1048576,AJ$93,$C300*2+MIN($B300,2)+5)</f>
        <v>0.27</v>
      </c>
      <c r="AK300" s="150">
        <f>ROUND(INDEX(Input!$1:$1048576,AK$93,$C299*2+MIN($B300,1)+5)+(Y300-VLOOKUP($C300*1000+1,$A:$HH,Y$92,FALSE)),0)</f>
        <v>2977</v>
      </c>
      <c r="AL300" s="150">
        <f>ROUND(INDEX(Input!$1:$1048576,AL$93,$C299*2+MIN($B300,1)+5)-(Y300-VLOOKUP($C300*1000+1,$A:$HH,Y$92,FALSE))/36,0)</f>
        <v>3395</v>
      </c>
      <c r="AM300" s="32" t="str">
        <f t="shared" si="800"/>
        <v>std/std/std/std</v>
      </c>
      <c r="AN300" s="32" t="str">
        <f t="shared" si="801"/>
        <v>$0 + 0/0/0/1.9/3.9</v>
      </c>
      <c r="AO300" s="32" t="str">
        <f t="shared" si="802"/>
        <v>0/0/0/1.9/3.9</v>
      </c>
      <c r="AP300" s="32" t="str">
        <f t="shared" si="863"/>
        <v>0/0.9/1.9/3.9</v>
      </c>
      <c r="AQ300" s="536">
        <f t="shared" si="862"/>
        <v>0</v>
      </c>
      <c r="AR300" s="32"/>
      <c r="AS300" s="302"/>
      <c r="AT300" s="3">
        <f t="shared" si="856"/>
        <v>100</v>
      </c>
      <c r="AU300" s="41" t="s">
        <v>121</v>
      </c>
      <c r="AV300" s="41" t="s">
        <v>116</v>
      </c>
      <c r="AW300" s="41" t="str">
        <f>INDEX(Input!$1:$1048576,AW$93,$C300*2+6)</f>
        <v>Kia</v>
      </c>
      <c r="AX300" s="41" t="str">
        <f>INDEX(Input!$1:$1048576,AX$93,$C300*2+6)</f>
        <v>Kia-LR - L2</v>
      </c>
      <c r="AY300" s="41" t="str">
        <f>IF(LEN(D300)=0,"",INDEX(Input!$1:$1048576,AY$93,$C300*2+6))</f>
        <v/>
      </c>
      <c r="AZ300" s="41" t="str">
        <f>INDEX(Input!$1:$1048576,AZ$93,$C300*2+6)</f>
        <v>Kia Soul</v>
      </c>
      <c r="BA300" s="3">
        <f>INDEX(Input!$1:$1048576,BA$93,$C300*2+6)</f>
        <v>2020</v>
      </c>
      <c r="BB300" s="128">
        <f>INDEX(Input!$1:$1048576,BB$93,$C300*2+6)</f>
        <v>1</v>
      </c>
      <c r="BC300" s="128">
        <f>INDEX(Input!$1:$1048576,BC$93,$C300*2+6)</f>
        <v>0.7</v>
      </c>
      <c r="BD300" s="1">
        <f>INDEX(Input!$1:$1048576,BD$93,$C300*2+6)</f>
        <v>4.4999999999999998E-2</v>
      </c>
      <c r="BE300" s="1">
        <f>INDEX(Input!$1:$1048576,BE$93,$C300*2+6)</f>
        <v>4.4999999999999998E-2</v>
      </c>
      <c r="BF300" s="1">
        <f>INDEX(Input!$1:$1048576,BF$93,$C300*2+6)</f>
        <v>0.05</v>
      </c>
      <c r="BG300" s="1">
        <f>INDEX(Input!$1:$1048576,BG$93,$C300*2+6)</f>
        <v>5.45E-2</v>
      </c>
      <c r="BH300" s="1">
        <f>INDEX(Input!$1:$1048576,BH$93,$C300*2+6)</f>
        <v>5.45E-2</v>
      </c>
      <c r="BI300" s="1">
        <f>INDEX(Input!$1:$1048576,BI$93,$C300*2+6)</f>
        <v>0.05</v>
      </c>
      <c r="BJ300" s="1">
        <f>INDEX(Input!$1:$1048576,BJ$93,$C300*2+6)</f>
        <v>0.05</v>
      </c>
      <c r="BK300" s="1">
        <f>INDEX(Input!$1:$1048576,BK$93,$C300*2+6)</f>
        <v>0.05</v>
      </c>
      <c r="BL300" s="1">
        <f>INDEX(Input!$1:$1048576,BL$93,$C300*2+6)</f>
        <v>5.5E-2</v>
      </c>
      <c r="BM300" s="1">
        <f>INDEX(Input!$1:$1048576,BM$93,$C300*2+6)</f>
        <v>0.06</v>
      </c>
      <c r="BN300" s="1">
        <f>INDEX(Input!$1:$1048576,BN$93,$C300*2+6)</f>
        <v>4.4999999999999998E-2</v>
      </c>
      <c r="BO300" s="1">
        <f>INDEX(Input!$1:$1048576,BO$93,$C300*2+6)</f>
        <v>4.4999999999999998E-2</v>
      </c>
      <c r="BP300" s="1">
        <f>INDEX(Input!$1:$1048576,BP$93,$C300*2+6)</f>
        <v>0.05</v>
      </c>
      <c r="BQ300" s="1">
        <f>INDEX(Input!$1:$1048576,BQ$93,$C300*2+6)</f>
        <v>5.45E-2</v>
      </c>
      <c r="BR300" s="1">
        <f>INDEX(Input!$1:$1048576,BR$93,$C300*2+6)</f>
        <v>5.45E-2</v>
      </c>
      <c r="BS300" s="1">
        <f>INDEX(Input!$1:$1048576,BS$93,$C300*2+6)</f>
        <v>0.05</v>
      </c>
      <c r="BT300" s="1">
        <f>INDEX(Input!$1:$1048576,BT$93,$C300*2+6)</f>
        <v>0.05</v>
      </c>
      <c r="BU300" s="1">
        <f>INDEX(Input!$1:$1048576,BU$93,$C300*2+6)</f>
        <v>0.05</v>
      </c>
      <c r="BV300" s="1">
        <f>INDEX(Input!$1:$1048576,BV$93,$C300*2+6)</f>
        <v>5.5E-2</v>
      </c>
      <c r="BW300" s="1">
        <f>INDEX(Input!$1:$1048576,BW$93,$C300*2+6)</f>
        <v>0.06</v>
      </c>
      <c r="BX300" s="127">
        <f>INDEX(Input!$1:$1048576,BX$93,$C300*2+6)</f>
        <v>19985</v>
      </c>
      <c r="BY300" s="20">
        <f>INDEX(Input!$1:$1048576,BY$93,$C300*2+6)</f>
        <v>0.1</v>
      </c>
      <c r="BZ300" s="20">
        <f>INDEX(Input!$1:$1048576,BZ$93,$C300*2+6)</f>
        <v>0.1</v>
      </c>
      <c r="CA300" s="20">
        <f>INDEX(Input!$1:$1048576,CA$93,$C300*2+6)</f>
        <v>0.1</v>
      </c>
      <c r="CB300" s="20">
        <f>INDEX(Input!$1:$1048576,CB$93,$C300*2+6)</f>
        <v>0.1</v>
      </c>
      <c r="CC300" s="20">
        <f>INDEX(Input!$1:$1048576,CC$93,$C300*2+6)</f>
        <v>0.1</v>
      </c>
      <c r="CD300" s="384">
        <f>INDEX(Input!$1:$1048576,CD$93,$C300*2+6)</f>
        <v>0.1</v>
      </c>
      <c r="CE300" s="384">
        <f>INDEX(Input!$1:$1048576,CE$93,$C300*2+6)</f>
        <v>0.1</v>
      </c>
      <c r="CF300" s="384">
        <f>INDEX(Input!$1:$1048576,CF$93,$C300*2+6)</f>
        <v>0.1</v>
      </c>
      <c r="CG300" s="384">
        <f>INDEX(Input!$1:$1048576,CG$93,$C300*2+6)</f>
        <v>0.1</v>
      </c>
      <c r="CH300" s="384">
        <f>INDEX(Input!$1:$1048576,CH$93,$C300*2+6)</f>
        <v>0.1</v>
      </c>
      <c r="CI300" s="304">
        <f t="shared" si="864"/>
        <v>1269.7618664521319</v>
      </c>
      <c r="CJ300" s="16" t="str">
        <f>INDEX(Input!$1:$1048576,CJ$93,$C300*2+6)</f>
        <v>N</v>
      </c>
      <c r="CK300" s="1" t="str">
        <f t="shared" si="865"/>
        <v>Market</v>
      </c>
      <c r="CL300" s="1" t="str">
        <f t="shared" si="866"/>
        <v>Market</v>
      </c>
      <c r="CM300" s="1" t="str">
        <f t="shared" si="867"/>
        <v>Market</v>
      </c>
      <c r="CN300" s="1" t="str">
        <f t="shared" si="868"/>
        <v>Market</v>
      </c>
      <c r="CO300" s="1" t="str">
        <f t="shared" si="869"/>
        <v>Market</v>
      </c>
      <c r="CP300" s="304">
        <f t="shared" si="870"/>
        <v>473</v>
      </c>
      <c r="CQ300" s="1">
        <f t="shared" si="871"/>
        <v>0</v>
      </c>
      <c r="CR300" s="1">
        <f t="shared" si="872"/>
        <v>0</v>
      </c>
      <c r="CS300" s="1">
        <f t="shared" si="873"/>
        <v>0</v>
      </c>
      <c r="CT300" s="1">
        <f t="shared" si="874"/>
        <v>1.9E-2</v>
      </c>
      <c r="CU300" s="1">
        <f t="shared" si="875"/>
        <v>3.9E-2</v>
      </c>
      <c r="CV300" s="304">
        <f t="shared" si="876"/>
        <v>56</v>
      </c>
      <c r="CW300" s="20" t="s">
        <v>122</v>
      </c>
      <c r="CX300" s="20" t="s">
        <v>122</v>
      </c>
      <c r="CY300" s="20" t="s">
        <v>122</v>
      </c>
      <c r="CZ300" s="20" t="s">
        <v>122</v>
      </c>
      <c r="DA300" s="20" t="s">
        <v>122</v>
      </c>
      <c r="DB300" s="503">
        <f t="shared" si="877"/>
        <v>0</v>
      </c>
      <c r="DC300" s="127">
        <v>0</v>
      </c>
      <c r="DD300" s="127">
        <v>0</v>
      </c>
      <c r="DE300" s="127">
        <v>0</v>
      </c>
      <c r="DF300" s="127">
        <v>0</v>
      </c>
      <c r="DG300" s="127">
        <v>0</v>
      </c>
      <c r="DH300" s="127">
        <v>0</v>
      </c>
      <c r="DI300" s="127">
        <v>0</v>
      </c>
      <c r="DJ300" s="127">
        <v>0</v>
      </c>
      <c r="DK300" s="127">
        <v>0</v>
      </c>
      <c r="DL300" s="127">
        <v>0</v>
      </c>
      <c r="DM300" s="304">
        <f>INDEX(Input!$1:$1048576,DM$93,$C300*2+6)</f>
        <v>21036.84210526316</v>
      </c>
      <c r="DN300" s="20">
        <v>0</v>
      </c>
      <c r="DO300" s="20">
        <v>0</v>
      </c>
      <c r="DP300" s="20">
        <v>0</v>
      </c>
      <c r="DQ300" s="20">
        <v>0</v>
      </c>
      <c r="DR300" s="20">
        <v>0</v>
      </c>
      <c r="DS300" s="20">
        <f>INDEX(Input!$1:$1048576,DS$93,$C300*2+6)</f>
        <v>0.6</v>
      </c>
      <c r="DT300" s="20">
        <f>INDEX(Input!$1:$1048576,DT$93,$C300*2+6)</f>
        <v>0.55000000000000004</v>
      </c>
      <c r="DU300" s="20">
        <f>INDEX(Input!$1:$1048576,DU$93,$C300*2+6)</f>
        <v>0.52</v>
      </c>
      <c r="DV300" s="20">
        <f>INDEX(Input!$1:$1048576,DV$93,$C300*2+6)</f>
        <v>0.5</v>
      </c>
      <c r="DW300" s="20">
        <f>INDEX(Input!$1:$1048576,DW$93,$C300*2+6)</f>
        <v>0.45</v>
      </c>
      <c r="DX300" s="20"/>
      <c r="DY300" s="7"/>
      <c r="DZ300" s="7"/>
      <c r="EA300" s="7"/>
      <c r="EB300" s="7"/>
      <c r="EC300" s="7"/>
      <c r="ED300" s="7"/>
      <c r="EE300" s="7"/>
      <c r="EF300" s="7"/>
      <c r="EG300" s="7"/>
      <c r="EH300" s="7"/>
      <c r="EI300" s="7"/>
      <c r="EJ300" s="7"/>
      <c r="EK300" s="7"/>
      <c r="EL300" s="7"/>
      <c r="EM300" s="7"/>
      <c r="EN300" s="7"/>
      <c r="EO300" s="7"/>
      <c r="EP300" s="7"/>
      <c r="EQ300" s="7"/>
      <c r="ER300" s="7"/>
      <c r="ES300" s="7"/>
      <c r="ET300" s="7"/>
      <c r="EU300" s="6"/>
      <c r="EV300" s="6"/>
      <c r="EW300" s="6"/>
      <c r="EX300" s="6"/>
      <c r="EY300" s="6"/>
      <c r="EZ300" s="6"/>
      <c r="FA300" s="6"/>
      <c r="FB300" s="6"/>
      <c r="FC300" s="6"/>
      <c r="FD300" s="6"/>
      <c r="FE300" s="6"/>
      <c r="FF300" s="6"/>
      <c r="FG300" s="6"/>
      <c r="FH300" s="6"/>
      <c r="FI300" s="6"/>
      <c r="FJ300" s="6"/>
      <c r="FK300" s="6"/>
      <c r="FL300" s="6"/>
      <c r="FM300" s="6"/>
      <c r="FN300" s="6"/>
      <c r="FO300" s="6"/>
      <c r="FP300" s="6"/>
      <c r="FQ300" s="6"/>
      <c r="FR300" s="6"/>
      <c r="FS300" s="6"/>
      <c r="FT300" s="7"/>
      <c r="FU300" s="7"/>
      <c r="FV300" s="7"/>
      <c r="FW300" s="6"/>
      <c r="FX300" s="6"/>
      <c r="FY300" s="6"/>
      <c r="FZ300" s="6"/>
      <c r="GA300" s="6"/>
      <c r="GB300" s="6"/>
      <c r="GC300" s="7"/>
      <c r="GD300" s="7"/>
      <c r="GE300" s="7"/>
      <c r="GF300" s="7"/>
      <c r="GG300" s="7"/>
      <c r="GH300" s="42"/>
      <c r="GI300" s="6"/>
      <c r="GJ300" s="14"/>
      <c r="GK300" s="14"/>
      <c r="GL300" s="14"/>
      <c r="GM300" s="14"/>
      <c r="GO300" s="5"/>
      <c r="GP300" s="5"/>
      <c r="GQ300" s="5"/>
      <c r="GR300" s="5"/>
      <c r="GS300" s="5"/>
      <c r="GT300" s="5"/>
      <c r="GU300" s="5"/>
      <c r="GV300" s="39"/>
      <c r="GW300" s="5"/>
      <c r="GX300" s="5"/>
      <c r="GY300" s="5"/>
      <c r="GZ300" s="5"/>
      <c r="HA300" s="5"/>
      <c r="HB300" s="39"/>
      <c r="HC300" s="5"/>
      <c r="HD300" s="5"/>
      <c r="HE300" s="5"/>
      <c r="HF300" s="5"/>
      <c r="HG300" s="5"/>
      <c r="HH300" s="39"/>
      <c r="HI300" s="16"/>
      <c r="HJ300" s="19"/>
      <c r="HK300" s="1"/>
      <c r="HL300" s="16"/>
      <c r="HM300" s="1"/>
      <c r="HN300" s="1"/>
      <c r="HO300" s="1"/>
      <c r="HP300" s="1"/>
      <c r="HQ300" s="1"/>
      <c r="HR300" s="1"/>
      <c r="HS300" s="1"/>
      <c r="HT300" s="1"/>
      <c r="HU300" s="1"/>
      <c r="HV300" s="1"/>
      <c r="HW300" s="1"/>
      <c r="HX300" s="1"/>
      <c r="HY300" s="1"/>
      <c r="HZ300" s="1"/>
      <c r="IA300" s="1"/>
      <c r="IB300" s="1"/>
      <c r="IC300" s="1"/>
      <c r="ID300" s="1"/>
      <c r="IE300" s="1"/>
      <c r="IF300" s="1"/>
      <c r="IG300" s="1"/>
      <c r="IH300" s="21"/>
      <c r="II300" s="19"/>
      <c r="IJ300" s="19"/>
      <c r="IK300" s="19"/>
      <c r="IL300" s="19"/>
      <c r="IM300" s="19"/>
      <c r="IN300" s="19"/>
      <c r="IO300" s="39"/>
      <c r="IP300" s="39"/>
      <c r="IQ300" s="39"/>
      <c r="IR300" s="39"/>
      <c r="IS300" s="39"/>
      <c r="IT300" s="39"/>
      <c r="IU300" s="39"/>
      <c r="IV300" s="39"/>
      <c r="IW300" s="39"/>
      <c r="IX300" s="39"/>
      <c r="IY300" s="39"/>
      <c r="IZ300" s="39"/>
      <c r="JA300" s="19"/>
      <c r="JB300" s="19"/>
      <c r="JC300" s="19"/>
      <c r="JD300" s="19"/>
      <c r="JE300" s="21"/>
      <c r="JF300" s="1"/>
      <c r="JG300" s="15"/>
      <c r="JH300" s="1"/>
      <c r="JI300" s="1"/>
      <c r="JJ300" s="1"/>
      <c r="JK300" s="1"/>
      <c r="JL300" s="15"/>
      <c r="JM300" s="15"/>
      <c r="JN300" s="21"/>
      <c r="JO300" s="19"/>
      <c r="JP300" s="19"/>
      <c r="JQ300" s="39"/>
      <c r="JR300" s="39"/>
      <c r="JS300" s="39"/>
      <c r="JT300" s="39"/>
      <c r="JU300" s="385"/>
      <c r="JV300" s="39"/>
      <c r="JW300" s="1"/>
      <c r="JX300" s="19"/>
      <c r="JZ300" s="341"/>
      <c r="KA300" s="342"/>
      <c r="KB300" s="469"/>
      <c r="KI300" s="473"/>
      <c r="KJ300" s="473"/>
      <c r="KK300" s="473"/>
    </row>
    <row r="301" spans="1:310" s="60" customFormat="1" ht="15.75" thickBot="1">
      <c r="A301" s="560">
        <f>C301*1000+B301</f>
        <v>3001</v>
      </c>
      <c r="B301" s="560">
        <v>1</v>
      </c>
      <c r="C301" s="559">
        <v>3</v>
      </c>
      <c r="D301" s="560" t="s">
        <v>566</v>
      </c>
      <c r="E301" s="365">
        <f>INDEX(Input!$1:$1048576,E$93,$C301*2+MIN($B301,1)+5)</f>
        <v>1000</v>
      </c>
      <c r="F301" s="366">
        <f>INDEX(Input!$1:$1048576,F$93,$C301*2+MIN($B301,1)+5)</f>
        <v>0</v>
      </c>
      <c r="G301" s="49">
        <f>INDEX(Input!$1:$1048576,G$93,$C301*2+MIN($B301,1)+5)</f>
        <v>0</v>
      </c>
      <c r="H301" s="49">
        <f>INDEX(Input!$1:$1048576,H$93,$C301*2+MIN($B301,1)+5)</f>
        <v>0</v>
      </c>
      <c r="I301" s="367">
        <f>INDEX(Input!$1:$1048576,I$93,$C301*2+MIN($B301,1)+5)</f>
        <v>0.7</v>
      </c>
      <c r="J301" s="367" t="str">
        <f>INDEX(Input!$1:$1048576,J$93,$C301*2+MIN($B301,1)+5)</f>
        <v>Market</v>
      </c>
      <c r="K301" s="367" t="str">
        <f>INDEX(Input!$1:$1048576,K$93,$C301*2+MIN($B301,1)+5)</f>
        <v>Market</v>
      </c>
      <c r="L301" s="367" t="str">
        <f>INDEX(Input!$1:$1048576,L$93,$C301*2+MIN($B301,1)+5)</f>
        <v>Market</v>
      </c>
      <c r="M301" s="367" t="str">
        <f>INDEX(Input!$1:$1048576,M$93,$C301*2+MIN($B301,1)+5)</f>
        <v>Market</v>
      </c>
      <c r="N301" s="367" t="str">
        <f>INDEX(Input!$1:$1048576,N$93,$C301*2+MIN($B301,1)+5)</f>
        <v>Market</v>
      </c>
      <c r="O301" s="367" t="str">
        <f>INDEX(Input!$1:$1048576,O$93,$C301*2+MIN($B301,1)+5)</f>
        <v>Market</v>
      </c>
      <c r="P301" s="367" t="str">
        <f>INDEX(Input!$1:$1048576,P$93,$C301*2+MIN($B301,1)+5)</f>
        <v>N</v>
      </c>
      <c r="Q301" s="47">
        <f>INDEX(Input!$1:$1048576,Q$93,$C301*2+MIN($B301,1)+5)</f>
        <v>0</v>
      </c>
      <c r="R301" s="38">
        <f>INDEX(Input!$1:$1048576,R$93,$C301*2+MIN($B301,1)+5)</f>
        <v>0</v>
      </c>
      <c r="S301" s="38">
        <f>INDEX(Input!$1:$1048576,S$93,$C301*2+MIN($B301,1)+5)</f>
        <v>0</v>
      </c>
      <c r="T301" s="38">
        <f>INDEX(Input!$1:$1048576,T$93,$C301*2+MIN($B301,1)+5)</f>
        <v>0</v>
      </c>
      <c r="U301" s="38">
        <f>INDEX(Input!$1:$1048576,U$93,$C301*2+MIN($B301,1)+5)</f>
        <v>0</v>
      </c>
      <c r="V301" s="38">
        <f>INDEX(Input!$1:$1048576,V$93,$C301*2+MIN($B301,1)+5)</f>
        <v>1.9E-2</v>
      </c>
      <c r="W301" s="22">
        <f>INDEX(Input!$1:$1048576,W$93,$C301*2+MIN($B301,1)+5)</f>
        <v>3.9E-2</v>
      </c>
      <c r="X301" s="367" t="str">
        <f>INDEX(Input!$1:$1048576,X$93,$C301*2+MIN($B301,1)+5)</f>
        <v>Y</v>
      </c>
      <c r="Y301" s="49">
        <f>INDEX(Input!$1:$1048576,Y$93,$C301*2+MIN($B301,1)+5)</f>
        <v>1962</v>
      </c>
      <c r="Z301" s="584">
        <f>INDEX(Input!$1:$1048576,Z$93,$C301*2+MIN($B301,1)+5)</f>
        <v>0</v>
      </c>
      <c r="AA301" s="49">
        <f>INDEX(Input!$1:$1048576,AA$93,$C301*2+MIN($B301,1)+5)</f>
        <v>1000</v>
      </c>
      <c r="AB301" s="367">
        <f>INDEX(Input!$1:$1048576,AB$93,$C301*2+MIN($B301,1)+5)</f>
        <v>0.27</v>
      </c>
      <c r="AC301" s="49">
        <f>INDEX(Input!$1:$1048576,AC$93,$C301*2+MIN($B301,1)+5)</f>
        <v>1000</v>
      </c>
      <c r="AD301" s="367">
        <f>INDEX(Input!$1:$1048576,AD$93,$C301*2+MIN($B301,1)+5)</f>
        <v>0.27</v>
      </c>
      <c r="AE301" s="49">
        <f>INDEX(Input!$1:$1048576,AE$93,$C301*2+MIN($B301,1)+5)</f>
        <v>500</v>
      </c>
      <c r="AF301" s="367">
        <f>INDEX(Input!$1:$1048576,AF$93,$C301*2+MIN($B301,1)+5)</f>
        <v>0.68200000000000005</v>
      </c>
      <c r="AG301" s="49">
        <f>INDEX(Input!$1:$1048576,AG$93,$C301*2+MIN($B301,1)+5)</f>
        <v>0</v>
      </c>
      <c r="AH301" s="367">
        <f>INDEX(Input!$1:$1048576,AH$93,$C301*2+MIN($B301,1)+5)</f>
        <v>1</v>
      </c>
      <c r="AI301" s="49">
        <f>INDEX(Input!$1:$1048576,AI$93,$C301*2+MIN($B301,1)+5)</f>
        <v>0</v>
      </c>
      <c r="AJ301" s="367">
        <f>INDEX(Input!$1:$1048576,AJ$93,$C301*2+MIN($B301,1)+5)</f>
        <v>0.27</v>
      </c>
      <c r="AK301" s="298">
        <f>ROUND(INDEX(Input!$1:$1048576,AK$93,$C301*2+MIN($B301,1)+5),0)</f>
        <v>3384</v>
      </c>
      <c r="AL301" s="49">
        <f>ROUND(INDEX(Input!$1:$1048576,AL$93,$C301*2+MIN($B301,1)+5),0)</f>
        <v>3384</v>
      </c>
      <c r="AM301" s="46" t="str">
        <f>IF(K301="market","std",ROUND(K301*1000,0)/10)&amp;"/"&amp;IF(L301="market","std",ROUND(L301*1000,0)/10)&amp;"/"&amp;IF(M301="market","std",ROUND(M301*1000,0)/10)&amp;"/"&amp;IF(N301="market","std",ROUND(N301*1000,0)/10)&amp;IF(P301="N","","/"&amp;IF(O301="market","std",ROUND(O301*1000,0)/10))</f>
        <v>std/std/std/std</v>
      </c>
      <c r="AN301" s="46" t="str">
        <f>"$"&amp;ROUND(Q301,0)&amp;" + "&amp;IF(S301="market","std",ROUND(S301*1000,0)/10)&amp;"/"&amp;IF(T301="market","std",ROUND(T301*1000,0)/10)&amp;"/"&amp;IF(U301="market","std",ROUND(U301*1000,0)/10)&amp;"/"&amp;IF(V301="market","std",ROUND(V301*1000,0)/10)&amp;IF(X301="N","","/"&amp;IF(W301="market","std",ROUND(W301*1000,0)/10))</f>
        <v>$0 + 0/0/0/1.9/3.9</v>
      </c>
      <c r="AO301" s="44" t="str">
        <f>IF(S301="market","std",ROUND(S301*1000,0)/10)&amp;"/"&amp;IF(T301="market","std",ROUND(T301*1000,0)/10)&amp;"/"&amp;IF(U301="market","std",ROUND(U301*1000,0)/10)&amp;"/"&amp;IF(V301="market","std",ROUND(V301*1000,0)/10)&amp;IF(X301="N","","/"&amp;IF(W301="market","std",ROUND(W301*1000,0)/10))</f>
        <v>0/0/0/1.9/3.9</v>
      </c>
      <c r="AP301" s="44" t="str">
        <f t="shared" si="863"/>
        <v>0/0.9/1.9/3.9</v>
      </c>
      <c r="AQ301" s="507">
        <f t="shared" si="862"/>
        <v>611.31614906832306</v>
      </c>
      <c r="AR301" s="44"/>
      <c r="AS301" s="368"/>
      <c r="AT301" s="579">
        <v>1</v>
      </c>
      <c r="AU301" s="45" t="s">
        <v>121</v>
      </c>
      <c r="AV301" s="45" t="s">
        <v>116</v>
      </c>
      <c r="AW301" s="45" t="str">
        <f>INDEX(Input!$1:$1048576,AW$93,$C301*2+6)</f>
        <v>Kia</v>
      </c>
      <c r="AX301" s="45" t="str">
        <f>INDEX(Input!$1:$1048576,AX$93,$C301*2+6)</f>
        <v>Kia-LR - L3</v>
      </c>
      <c r="AY301" s="10" t="str">
        <f>IF(LEN(D301)=0,"",INDEX(Input!$1:$1048576,AY$93,$C301*2+6))</f>
        <v>Compact SUV (52)</v>
      </c>
      <c r="AZ301" s="45" t="str">
        <f>INDEX(Input!$1:$1048576,AZ$93,$C301*2+6)</f>
        <v>Kia Soul</v>
      </c>
      <c r="BA301" s="50">
        <f>INDEX(Input!$1:$1048576,BA$93,$C301*2+6)</f>
        <v>2020</v>
      </c>
      <c r="BB301" s="48">
        <f>INDEX(Input!$1:$1048576,BB$93,$C301*2+6)</f>
        <v>1</v>
      </c>
      <c r="BC301" s="578">
        <f>INDEX(Input!$1:$1048576,BC$93,$C301*2+6)</f>
        <v>0.7</v>
      </c>
      <c r="BD301" s="38">
        <f>INDEX(Input!$1:$1048576,BD$93,$C301*2+6)</f>
        <v>4.4999999999999998E-2</v>
      </c>
      <c r="BE301" s="38">
        <f>INDEX(Input!$1:$1048576,BE$93,$C301*2+6)</f>
        <v>4.4999999999999998E-2</v>
      </c>
      <c r="BF301" s="38">
        <f>INDEX(Input!$1:$1048576,BF$93,$C301*2+6)</f>
        <v>0.05</v>
      </c>
      <c r="BG301" s="38">
        <f>INDEX(Input!$1:$1048576,BG$93,$C301*2+6)</f>
        <v>5.45E-2</v>
      </c>
      <c r="BH301" s="38">
        <f>INDEX(Input!$1:$1048576,BH$93,$C301*2+6)</f>
        <v>5.45E-2</v>
      </c>
      <c r="BI301" s="38">
        <f>INDEX(Input!$1:$1048576,BI$93,$C301*2+6)</f>
        <v>0.05</v>
      </c>
      <c r="BJ301" s="38">
        <f>INDEX(Input!$1:$1048576,BJ$93,$C301*2+6)</f>
        <v>0.05</v>
      </c>
      <c r="BK301" s="38">
        <f>INDEX(Input!$1:$1048576,BK$93,$C301*2+6)</f>
        <v>0.05</v>
      </c>
      <c r="BL301" s="38">
        <f>INDEX(Input!$1:$1048576,BL$93,$C301*2+6)</f>
        <v>5.5E-2</v>
      </c>
      <c r="BM301" s="38">
        <f>INDEX(Input!$1:$1048576,BM$93,$C301*2+6)</f>
        <v>0.06</v>
      </c>
      <c r="BN301" s="38">
        <f>INDEX(Input!$1:$1048576,BN$93,$C301*2+6)</f>
        <v>4.4999999999999998E-2</v>
      </c>
      <c r="BO301" s="38">
        <f>INDEX(Input!$1:$1048576,BO$93,$C301*2+6)</f>
        <v>4.4999999999999998E-2</v>
      </c>
      <c r="BP301" s="38">
        <f>INDEX(Input!$1:$1048576,BP$93,$C301*2+6)</f>
        <v>0.05</v>
      </c>
      <c r="BQ301" s="38">
        <f>INDEX(Input!$1:$1048576,BQ$93,$C301*2+6)</f>
        <v>5.45E-2</v>
      </c>
      <c r="BR301" s="38">
        <f>INDEX(Input!$1:$1048576,BR$93,$C301*2+6)</f>
        <v>5.45E-2</v>
      </c>
      <c r="BS301" s="38">
        <f>INDEX(Input!$1:$1048576,BS$93,$C301*2+6)</f>
        <v>0.05</v>
      </c>
      <c r="BT301" s="38">
        <f>INDEX(Input!$1:$1048576,BT$93,$C301*2+6)</f>
        <v>0.05</v>
      </c>
      <c r="BU301" s="38">
        <f>INDEX(Input!$1:$1048576,BU$93,$C301*2+6)</f>
        <v>0.05</v>
      </c>
      <c r="BV301" s="38">
        <f>INDEX(Input!$1:$1048576,BV$93,$C301*2+6)</f>
        <v>5.5E-2</v>
      </c>
      <c r="BW301" s="38">
        <f>INDEX(Input!$1:$1048576,BW$93,$C301*2+6)</f>
        <v>0.06</v>
      </c>
      <c r="BX301" s="29">
        <f>INDEX(Input!$1:$1048576,BX$93,$C301*2+6)</f>
        <v>19985</v>
      </c>
      <c r="BY301" s="367">
        <f>INDEX(Input!$1:$1048576,BY$93,$C301*2+6)</f>
        <v>0.1</v>
      </c>
      <c r="BZ301" s="367">
        <f>INDEX(Input!$1:$1048576,BZ$93,$C301*2+6)</f>
        <v>0.1</v>
      </c>
      <c r="CA301" s="367">
        <f>INDEX(Input!$1:$1048576,CA$93,$C301*2+6)</f>
        <v>0.1</v>
      </c>
      <c r="CB301" s="367">
        <f>INDEX(Input!$1:$1048576,CB$93,$C301*2+6)</f>
        <v>0.1</v>
      </c>
      <c r="CC301" s="367">
        <f>INDEX(Input!$1:$1048576,CC$93,$C301*2+6)</f>
        <v>0.1</v>
      </c>
      <c r="CD301" s="367">
        <f>INDEX(Input!$1:$1048576,CD$93,$C301*2+6)</f>
        <v>0.1</v>
      </c>
      <c r="CE301" s="367">
        <f>INDEX(Input!$1:$1048576,CE$93,$C301*2+6)</f>
        <v>0.1</v>
      </c>
      <c r="CF301" s="367">
        <f>INDEX(Input!$1:$1048576,CF$93,$C301*2+6)</f>
        <v>0.1</v>
      </c>
      <c r="CG301" s="367">
        <f>INDEX(Input!$1:$1048576,CG$93,$C301*2+6)</f>
        <v>0.1</v>
      </c>
      <c r="CH301" s="48">
        <f>INDEX(Input!$1:$1048576,CH$93,$C301*2+6)</f>
        <v>0.1</v>
      </c>
      <c r="CI301" s="298">
        <f t="shared" si="864"/>
        <v>1270</v>
      </c>
      <c r="CJ301" s="46" t="str">
        <f>INDEX(Input!$1:$1048576,CJ$93,$C301*2+6)</f>
        <v>N</v>
      </c>
      <c r="CK301" s="38" t="str">
        <f t="shared" si="865"/>
        <v>Market</v>
      </c>
      <c r="CL301" s="38" t="str">
        <f t="shared" si="866"/>
        <v>Market</v>
      </c>
      <c r="CM301" s="38" t="str">
        <f t="shared" si="867"/>
        <v>Market</v>
      </c>
      <c r="CN301" s="38" t="str">
        <f t="shared" si="868"/>
        <v>Market</v>
      </c>
      <c r="CO301" s="38" t="str">
        <f t="shared" si="869"/>
        <v>Market</v>
      </c>
      <c r="CP301" s="49">
        <f t="shared" si="870"/>
        <v>0</v>
      </c>
      <c r="CQ301" s="38">
        <f t="shared" si="871"/>
        <v>0</v>
      </c>
      <c r="CR301" s="38">
        <f t="shared" si="872"/>
        <v>0</v>
      </c>
      <c r="CS301" s="38">
        <f t="shared" si="873"/>
        <v>0</v>
      </c>
      <c r="CT301" s="38">
        <f t="shared" si="874"/>
        <v>1.9E-2</v>
      </c>
      <c r="CU301" s="38">
        <f t="shared" si="875"/>
        <v>3.9E-2</v>
      </c>
      <c r="CV301" s="49">
        <f t="shared" si="876"/>
        <v>2232</v>
      </c>
      <c r="CW301" s="22" t="s">
        <v>122</v>
      </c>
      <c r="CX301" s="22" t="s">
        <v>122</v>
      </c>
      <c r="CY301" s="22" t="s">
        <v>122</v>
      </c>
      <c r="CZ301" s="22" t="s">
        <v>122</v>
      </c>
      <c r="DA301" s="22" t="s">
        <v>122</v>
      </c>
      <c r="DB301" s="502">
        <f t="shared" si="877"/>
        <v>341</v>
      </c>
      <c r="DC301" s="29">
        <v>0</v>
      </c>
      <c r="DD301" s="29">
        <v>0</v>
      </c>
      <c r="DE301" s="29">
        <v>0</v>
      </c>
      <c r="DF301" s="49">
        <v>0</v>
      </c>
      <c r="DG301" s="49">
        <v>0</v>
      </c>
      <c r="DH301" s="49">
        <v>0</v>
      </c>
      <c r="DI301" s="49">
        <v>0</v>
      </c>
      <c r="DJ301" s="49">
        <v>0</v>
      </c>
      <c r="DK301" s="29">
        <v>0</v>
      </c>
      <c r="DL301" s="29">
        <v>0</v>
      </c>
      <c r="DM301" s="49">
        <f>INDEX(Input!$1:$1048576,DM$93,$C301*2+6)</f>
        <v>21036.84210526316</v>
      </c>
      <c r="DN301" s="367">
        <v>0</v>
      </c>
      <c r="DO301" s="367">
        <v>0</v>
      </c>
      <c r="DP301" s="367">
        <v>0</v>
      </c>
      <c r="DQ301" s="367">
        <v>0</v>
      </c>
      <c r="DR301" s="367">
        <v>0</v>
      </c>
      <c r="DS301" s="367">
        <f>INDEX(Input!$1:$1048576,DS$93,$C301*2+6)</f>
        <v>0.6</v>
      </c>
      <c r="DT301" s="367">
        <f>INDEX(Input!$1:$1048576,DT$93,$C301*2+6)</f>
        <v>0.55000000000000004</v>
      </c>
      <c r="DU301" s="367">
        <f>INDEX(Input!$1:$1048576,DU$93,$C301*2+6)</f>
        <v>0.52</v>
      </c>
      <c r="DV301" s="367">
        <f>INDEX(Input!$1:$1048576,DV$93,$C301*2+6)</f>
        <v>0.5</v>
      </c>
      <c r="DW301" s="48">
        <f>INDEX(Input!$1:$1048576,DW$93,$C301*2+6)</f>
        <v>0.45</v>
      </c>
      <c r="DX301" s="577"/>
      <c r="DY301" s="4">
        <v>9.8528228498648132E-2</v>
      </c>
      <c r="DZ301" s="37">
        <v>0</v>
      </c>
      <c r="EA301" s="37">
        <v>0.69310988718027822</v>
      </c>
      <c r="EB301" s="37">
        <v>0</v>
      </c>
      <c r="EC301" s="37">
        <v>0</v>
      </c>
      <c r="ED301" s="37">
        <v>0</v>
      </c>
      <c r="EE301" s="37">
        <v>0</v>
      </c>
      <c r="EF301" s="37">
        <v>0</v>
      </c>
      <c r="EG301" s="37">
        <v>0</v>
      </c>
      <c r="EH301" s="37">
        <v>1.2000119538460551E-2</v>
      </c>
      <c r="EI301" s="37">
        <v>3.3596721444486236E-2</v>
      </c>
      <c r="EJ301" s="37">
        <v>0.2702704864051132</v>
      </c>
      <c r="EK301" s="37">
        <v>0.54265712376536668</v>
      </c>
      <c r="EL301" s="37">
        <v>0.14147554884657343</v>
      </c>
      <c r="EM301" s="37">
        <v>4.9281912093344024E-2</v>
      </c>
      <c r="EN301" s="37">
        <v>6.1941654400043462E-2</v>
      </c>
      <c r="EO301" s="37">
        <v>0.77511596069363897</v>
      </c>
      <c r="EP301" s="37">
        <v>6.7086929345984925E-2</v>
      </c>
      <c r="EQ301" s="37">
        <v>6.2853154501308295E-2</v>
      </c>
      <c r="ER301" s="37">
        <v>3.3002301059024221E-2</v>
      </c>
      <c r="ES301" s="37">
        <v>0.15907997222772957</v>
      </c>
      <c r="ET301" s="37">
        <v>0.20836188432107358</v>
      </c>
      <c r="EU301" s="36">
        <v>1410.5</v>
      </c>
      <c r="EV301" s="36">
        <v>0</v>
      </c>
      <c r="EW301" s="36">
        <v>1410.5</v>
      </c>
      <c r="EX301" s="36">
        <v>0</v>
      </c>
      <c r="EY301" s="36">
        <v>2134.9731585778086</v>
      </c>
      <c r="EZ301" s="36">
        <v>2103.5</v>
      </c>
      <c r="FA301" s="36">
        <v>0</v>
      </c>
      <c r="FB301" s="36">
        <v>0</v>
      </c>
      <c r="FC301" s="36">
        <v>0</v>
      </c>
      <c r="FD301" s="36">
        <v>0</v>
      </c>
      <c r="FE301" s="36">
        <v>0</v>
      </c>
      <c r="FF301" s="36">
        <v>0</v>
      </c>
      <c r="FG301" s="36">
        <v>0</v>
      </c>
      <c r="FH301" s="36">
        <v>1172.0004846650722</v>
      </c>
      <c r="FI301" s="36">
        <v>1553.9796069512406</v>
      </c>
      <c r="FJ301" s="36">
        <v>2101.211011744741</v>
      </c>
      <c r="FK301" s="36">
        <v>1772.7139978623225</v>
      </c>
      <c r="FL301" s="36">
        <v>907.07682140966369</v>
      </c>
      <c r="FM301" s="36">
        <v>1724.4731585778086</v>
      </c>
      <c r="FN301" s="36">
        <v>0</v>
      </c>
      <c r="FO301" s="36">
        <v>0</v>
      </c>
      <c r="FP301" s="36">
        <v>0</v>
      </c>
      <c r="FQ301" s="36">
        <v>0</v>
      </c>
      <c r="FR301" s="36">
        <v>0</v>
      </c>
      <c r="FS301" s="36">
        <v>0</v>
      </c>
      <c r="FT301" s="37">
        <v>0.79163811567892639</v>
      </c>
      <c r="FU301" s="37">
        <v>4.9281912093344024E-2</v>
      </c>
      <c r="FV301" s="37">
        <v>0.15907997222772957</v>
      </c>
      <c r="FW301" s="36">
        <v>1410.4999999999998</v>
      </c>
      <c r="FX301" s="36">
        <v>2134.9731585778086</v>
      </c>
      <c r="FY301" s="36">
        <v>2103.5</v>
      </c>
      <c r="FZ301" s="36">
        <v>1858.9243755539039</v>
      </c>
      <c r="GA301" s="36">
        <v>1556.4458432688355</v>
      </c>
      <c r="GB301" s="36">
        <v>18428.554156731163</v>
      </c>
      <c r="GC301" s="37">
        <v>2.9156573141622111E-2</v>
      </c>
      <c r="GD301" s="37">
        <v>2.8748057280389237E-2</v>
      </c>
      <c r="GE301" s="37"/>
      <c r="GF301" s="37"/>
      <c r="GG301" s="37">
        <v>-1.4011106835106866E-2</v>
      </c>
      <c r="GH301" s="35">
        <v>0.92572510182546008</v>
      </c>
      <c r="GI301" s="36">
        <v>23144.92816981599</v>
      </c>
      <c r="GJ301" s="34">
        <v>0.50394797582841722</v>
      </c>
      <c r="GK301" s="34">
        <v>0.50887573065309721</v>
      </c>
      <c r="GL301" s="34">
        <v>0.49605202417158262</v>
      </c>
      <c r="GM301" s="33">
        <v>0.49112426934690229</v>
      </c>
      <c r="GN301" s="61"/>
      <c r="GO301" s="13">
        <v>343.14810671672558</v>
      </c>
      <c r="GP301" s="27">
        <v>316.23845756186267</v>
      </c>
      <c r="GQ301" s="27">
        <v>535.04305713031317</v>
      </c>
      <c r="GR301" s="27">
        <v>410.15490233172511</v>
      </c>
      <c r="GS301" s="27">
        <v>339.42744393800166</v>
      </c>
      <c r="GT301" s="27">
        <v>293.4407446948278</v>
      </c>
      <c r="GU301" s="27">
        <v>258.04012322764959</v>
      </c>
      <c r="GV301" s="29" t="s">
        <v>392</v>
      </c>
      <c r="GW301" s="27">
        <v>488.22222222222223</v>
      </c>
      <c r="GX301" s="27">
        <v>366.16666666666669</v>
      </c>
      <c r="GY301" s="27">
        <v>292.93333333333334</v>
      </c>
      <c r="GZ301" s="27">
        <v>258.48275426623593</v>
      </c>
      <c r="HA301" s="27">
        <v>239.43473807367351</v>
      </c>
      <c r="HB301" s="29">
        <v>271.47362796950091</v>
      </c>
      <c r="HC301" s="27">
        <v>195.25624999999997</v>
      </c>
      <c r="HD301" s="27">
        <v>176.99254385964909</v>
      </c>
      <c r="HE301" s="27">
        <v>182.64467780026987</v>
      </c>
      <c r="HF301" s="27">
        <v>172.26531798245611</v>
      </c>
      <c r="HG301" s="27">
        <v>170.31429824561403</v>
      </c>
      <c r="HH301" s="12">
        <v>177.98549381306483</v>
      </c>
      <c r="HI301" s="94"/>
      <c r="HJ301" s="335" t="s">
        <v>353</v>
      </c>
      <c r="HK301" s="335" t="s">
        <v>353</v>
      </c>
      <c r="HL301" s="94"/>
      <c r="HM301" s="640">
        <f t="shared" ref="HM301:HM364" si="878">VLOOKUP($C301*1000+1,$A:$HH,FT$92,FALSE)*$JF301</f>
        <v>2.2758057894877178E-2</v>
      </c>
      <c r="HN301" s="22">
        <f t="shared" ref="HN301:HN364" si="879">VLOOKUP($C301*1000+1,$A:$HH,FU$92,FALSE)*$JF301</f>
        <v>1.416759231746561E-3</v>
      </c>
      <c r="HO301" s="638">
        <f t="shared" ref="HO301:HO364" si="880">VLOOKUP($C301*1000+1,$A:$HH,FV$92,FALSE)*$JF301</f>
        <v>4.5732401537654987E-3</v>
      </c>
      <c r="HP301" s="649">
        <f>(FT301*$GD301-HM301)/$JF301*INDEX(Input!$1:$1048576,$JG$93,$C301*2+6)</f>
        <v>0</v>
      </c>
      <c r="HQ301" s="650">
        <f>(FU301*$GD301-HN301)/$JF301*INDEX(Input!$1:$1048576,$JG$93,$C301*2+6)</f>
        <v>0</v>
      </c>
      <c r="HR301" s="651">
        <f>(FV301*$GD301-HO301)/$JF301*INDEX(Input!$1:$1048576,$JG$93,$C301*2+6)</f>
        <v>0</v>
      </c>
      <c r="HS301" s="650">
        <f t="shared" ref="HS301:HS320" si="881">IF(AND(HJ301="On",HK301="On"),IL301/1000*INDEX(KG:KG,MATCH(C301*1000+3,$KF:$KF,0))*SUM(HY301:IA301)*1.1
+INDEX(HR:HR,MATCH(C301*1000+4,$KF:$KF,0))/INDEX(IM:IM,MATCH(C301*1000+4,$KF:$KF,0))*IM301*20%,0)</f>
        <v>0</v>
      </c>
      <c r="HT301" s="650">
        <f t="shared" ref="HT301:HT364" si="882">IF(AND(HJ301="On",HK301="On"),IM301/1000*INDEX(KG:KG,MATCH(C301*1000+4,$KF:$KF,0))*SUM(HY301:IA301)*1.1
+INDEX(HR:HR,MATCH(C301*1000+3,$KF:$KF,0))/INDEX(IL:IL,MATCH(C301*1000+3,$KF:$KF,0))*IL301*20%,0)</f>
        <v>0</v>
      </c>
      <c r="HU301" s="651">
        <f t="shared" ref="HU301:HU364" si="883">IF(HJ301="On",IN301/1000*INDEX(KG:KG,MATCH(C301*1000+5,$KF:$KF,0))*SUM(HY301:IA301)*1.1
-INDEX(HR:HR,MATCH(C301*1000+3,$KF:$KF,0))/INDEX(IL:IL,MATCH(C301*1000+3,$KF:$KF,0))*IL301*20%
-INDEX(HR:HR,MATCH(C301*1000+4,$KF:$KF,0))/INDEX(IM:IM,MATCH(C301*1000+4,$KF:$KF,0))*IM301*20%,0)</f>
        <v>0</v>
      </c>
      <c r="HV301" s="649">
        <f t="shared" ref="HV301:HV364" si="884">IL301/1000*0+IM301/1000*0+IN301/1000*0
+(CP301-INDEX(CP:CP,MATCH(C301*1000+1,A:A,0)))/1000*0+IF(FU301&gt;0,0,0)</f>
        <v>0</v>
      </c>
      <c r="HW301" s="650">
        <f t="shared" ref="HW301:HW364" si="885">IL301/1000*0+IM301/1000*0+IN301/1000*0
+(CP301-INDEX(CP:CP,MATCH(C301*1000+1,A:A,0)))/1000*0+IF(FU301&gt;0,0,0)</f>
        <v>0</v>
      </c>
      <c r="HX301" s="651">
        <f t="shared" ref="HX301:HX364" si="886">IL301/1000*0+IM301/1000*0+IN301/1000*0
+(CP301-INDEX(CP:CP,MATCH(C301*1000+1,A:A,0)))/1000*0+IF(FU301&gt;0,0,0)</f>
        <v>0</v>
      </c>
      <c r="HY301" s="641">
        <f>INDEX(Input!$1:$1048576,HY$93,$C301*2+6)*INDEX(Input!$1:$1048576,$JG$93,$C301*2+6)</f>
        <v>509.00000000000006</v>
      </c>
      <c r="HZ301" s="641">
        <f>INDEX(Input!$1:$1048576,HZ$93,$C301*2+6)*INDEX(Input!$1:$1048576,$JG$93,$C301*2+6)</f>
        <v>844</v>
      </c>
      <c r="IA301" s="642">
        <f>INDEX(Input!$1:$1048576,IA$93,$C301*2+6)*INDEX(Input!$1:$1048576,$JG$93,$C301*2+6)</f>
        <v>257</v>
      </c>
      <c r="IB301" s="649">
        <f>SUM(HP301:IA301)-IC301-ID301</f>
        <v>509</v>
      </c>
      <c r="IC301" s="650">
        <f>IF(FU301=0,0,1)*MAX(HZ301+HQ301+HT301+HW301,0%)</f>
        <v>844</v>
      </c>
      <c r="ID301" s="651">
        <f>IF(AND(INDEX(Input!$1:$1048576,IA$93,$C301*2+7)="TOS",Y301&lt;=INDEX(Y:Y,MATCH(C301*1000+2,A:A))),0,1)*MAX(IA301+HR301+HU301+HX301,0%)</f>
        <v>257</v>
      </c>
      <c r="IE301" s="129">
        <f>IB301/SUM($IB301:$ID301)</f>
        <v>0.31614906832298134</v>
      </c>
      <c r="IF301" s="652">
        <f t="shared" ref="IF301:IF302" si="887">IC301/SUM($IB301:$ID301)</f>
        <v>0.52422360248447208</v>
      </c>
      <c r="IG301" s="653">
        <f t="shared" ref="IG301:IG364" si="888">ID301/SUM($IB301:$ID301)</f>
        <v>0.15962732919254657</v>
      </c>
      <c r="IH301" s="95"/>
      <c r="II301" s="298">
        <f t="shared" ref="II301:II364" si="889">VLOOKUP($C301*1000+1,$A:$HH,FW$92,FALSE)-VLOOKUP($C301*1000+1,$A:$HH,FA$92,FALSE)*VLOOKUP($C301*1000+1,$A:$HH,DZ$92,FALSE)/VLOOKUP($C301*1000+1,$A:$HH,FT$92,FALSE)</f>
        <v>1410.4999999999998</v>
      </c>
      <c r="IJ301" s="49">
        <f t="shared" ref="IJ301:IJ364" si="890">VLOOKUP($C301*1000+1,$A:$HH,FX$92,FALSE)</f>
        <v>2134.9731585778086</v>
      </c>
      <c r="IK301" s="40">
        <f t="shared" ref="IK301:IK364" si="891">VLOOKUP($C301*1000+1,$A:$HH,FY$92,FALSE)</f>
        <v>2103.5</v>
      </c>
      <c r="IL301" s="298">
        <f>(FW301-FA301*DZ301/FT301)-II301</f>
        <v>0</v>
      </c>
      <c r="IM301" s="49">
        <f t="shared" ref="IM301:IM364" si="892">FX301-IJ301</f>
        <v>0</v>
      </c>
      <c r="IN301" s="40">
        <f t="shared" ref="IN301:IN364" si="893">FY301-IK301</f>
        <v>0</v>
      </c>
      <c r="IO301" s="25">
        <f t="shared" ref="IO301:IO364" si="894">(F301-VLOOKUP($C301*1000+1,$A:$HH,F$92,FALSE))*(1-$I301)</f>
        <v>0</v>
      </c>
      <c r="IP301" s="29">
        <f t="shared" ref="IP301:IP364" si="895">(G301-VLOOKUP($C301*1000+1,$A:$HH,G$92,FALSE))*(1-$I301)</f>
        <v>0</v>
      </c>
      <c r="IQ301" s="29">
        <f t="shared" ref="IQ301:IQ364" si="896">(H301-VLOOKUP($C301*1000+1,$A:$HH,H$92,FALSE))*(1-$I301)</f>
        <v>0</v>
      </c>
      <c r="IR301" s="17">
        <v>0</v>
      </c>
      <c r="IS301" s="29">
        <v>0</v>
      </c>
      <c r="IT301" s="12">
        <v>0</v>
      </c>
      <c r="IU301" s="25">
        <v>0</v>
      </c>
      <c r="IV301" s="29">
        <v>0</v>
      </c>
      <c r="IW301" s="12">
        <v>0</v>
      </c>
      <c r="IX301" s="372">
        <f>INDEX(Input!$1:$1048576,IX$93,$C301*2+6)+INDEX(Input!$1:$1048576,IX$94,$C301*2+6)</f>
        <v>1611</v>
      </c>
      <c r="IY301" s="373">
        <f>INDEX(Input!$1:$1048576,IY$93,$C301*2+6)+INDEX(Input!$1:$1048576,IY$94,$C301*2+6)</f>
        <v>2471.0624533823611</v>
      </c>
      <c r="IZ301" s="374">
        <f>INDEX(Input!$1:$1048576,IZ$93,$C301*2+6)+INDEX(Input!$1:$1048576,IZ$94,$C301*2+6)</f>
        <v>3994.7164157747857</v>
      </c>
      <c r="JA301" s="298">
        <f>(IL301+IO301+IR301+IU301+IX301)</f>
        <v>1611</v>
      </c>
      <c r="JB301" s="49">
        <f>(IM301+IP301+IS301+IV301+IY301)</f>
        <v>2471.0624533823611</v>
      </c>
      <c r="JC301" s="49">
        <f>(IN301+IQ301+IT301+IW301+IZ301)</f>
        <v>3994.7164157747857</v>
      </c>
      <c r="JD301" s="40">
        <f>SUMPRODUCT(IE301:IG301,JA301:JC301)</f>
        <v>2442.3713226762934</v>
      </c>
      <c r="JE301" s="95"/>
      <c r="JF301" s="28">
        <f t="shared" ref="JF301:JF364" si="897">VLOOKUP($C301*1000+1,$A:$HH,GD$92,FALSE)</f>
        <v>2.8748057280389237E-2</v>
      </c>
      <c r="JG301" s="23">
        <f>INDEX(Input!$1:$1048576,JG$93,$C301*2+6)/(1+VLOOKUP(C301*1000+INDEX(Input!$1:$1048576,JG$93+1,$C301*2+6),$A:$KK,$JK$92,FALSE))</f>
        <v>1610</v>
      </c>
      <c r="JH301" s="38">
        <f>SUM(HP301:HR301)/SUM(HY301:IA301)</f>
        <v>0</v>
      </c>
      <c r="JI301" s="38">
        <f>SUM(HS301:HU301)/SUM(HY301:IA301)</f>
        <v>0</v>
      </c>
      <c r="JJ301" s="11">
        <f>SUM(HV301:HX301)/SUM(HY301:IA301)</f>
        <v>0</v>
      </c>
      <c r="JK301" s="2">
        <f>SUM(JH301:JJ301)</f>
        <v>0</v>
      </c>
      <c r="JL301" s="9">
        <f>JG301*JK301</f>
        <v>0</v>
      </c>
      <c r="JM301" s="8">
        <f>JG301+JL301</f>
        <v>1610</v>
      </c>
      <c r="JN301" s="95"/>
      <c r="JO301" s="375">
        <f>INDEX(Input!$1:$1048576,JO$93,$C301*2+6)</f>
        <v>5995.5</v>
      </c>
      <c r="JP301" s="375">
        <f>INDEX(Input!$1:$1048576,JP$93,$C301*2+6)</f>
        <v>2442.3713226762939</v>
      </c>
      <c r="JQ301" s="25">
        <f>JO301-JD301</f>
        <v>3553.1286773237066</v>
      </c>
      <c r="JR301" s="29">
        <f t="shared" ref="JR301" si="898">JD301-JP301</f>
        <v>0</v>
      </c>
      <c r="JS301" s="29">
        <f t="shared" ref="JS301" si="899">JM301*JD301/1000000</f>
        <v>3.9322178295088324</v>
      </c>
      <c r="JT301" s="29">
        <f>(JD301*JM301-JP301*JG301)/1000000</f>
        <v>-9.3132257461547847E-16</v>
      </c>
      <c r="JU301" s="376">
        <f>(JQ301*JM301-INDEX(Input!$1:$1048576,Input!A$18,$C301*2+6)*JL301*INDEX(Input!$1:$1048576,Input!A$19,$C301*2+6))/1000000</f>
        <v>5.7205371704911672</v>
      </c>
      <c r="JV301" s="29">
        <f t="shared" ref="JV301:JV312" si="900">JU301-(JO301-JP301)*JG301/1000000</f>
        <v>0</v>
      </c>
      <c r="JW301" s="38">
        <f>JV301/(JU301-JV301)</f>
        <v>0</v>
      </c>
      <c r="JX301" s="40">
        <f>IF(JL301=0,0,JT301/JL301)*1000000</f>
        <v>0</v>
      </c>
      <c r="JZ301" s="377"/>
      <c r="KA301" s="378"/>
      <c r="KB301" s="474">
        <f>KA306</f>
        <v>2.5190675447988795</v>
      </c>
      <c r="KC301" s="379"/>
      <c r="KD301" s="379"/>
      <c r="KE301" s="379"/>
      <c r="KF301" s="379"/>
      <c r="KG301" s="380"/>
      <c r="KI301" s="381"/>
      <c r="KJ301" s="379"/>
      <c r="KK301" s="379"/>
      <c r="KL301" s="380"/>
      <c r="KN301" s="542">
        <f>C301*1000+$KN$97</f>
        <v>3002</v>
      </c>
      <c r="KO301" s="540">
        <f t="shared" ref="KO301:KO364" si="901">JM301/INDEX(JM:JM,MATCH(KN301,A:A,0))-1</f>
        <v>-2.9612719295337042E-2</v>
      </c>
      <c r="KP301" s="545">
        <f t="shared" ref="KP301:KP364" si="902">(IL301-INDEX(IL:IL,MATCH(KN301,A:A,0)))*IE301
+(IM301-IF(HN301=0,INDEX(IX:IX,MATCH(KN301,A:A,0)),INDEX(IM:IM,MATCH(KN301,A:A,0))))*IF301
+(IN301-INDEX(IN:IN,MATCH(KN301,A:A,0)))*IG301</f>
        <v>-198.1310687755869</v>
      </c>
      <c r="KQ301" s="545">
        <f t="shared" ref="KQ301:KQ364" si="903">JD301-INDEX(JD:JD,MATCH(KN301,A:A,0))</f>
        <v>-193.54210271240481</v>
      </c>
      <c r="KR301" s="549">
        <f t="shared" ref="KR301:KR364" si="904">KO301/(KP301/(BX301-INDEX(JD:JD,MATCH(KN301,A:A,0))))</f>
        <v>2.5929988362722045</v>
      </c>
      <c r="KS301" s="549">
        <f t="shared" ref="KS301:KS364" si="905">KO301/(KQ301/(BX301-INDEX(JD:JD,MATCH(KN301,A:A,0))))</f>
        <v>2.6544799481065913</v>
      </c>
      <c r="KT301" s="661">
        <f>(1+JK306/(JD306-JD301)*(0-JD301))*JM301</f>
        <v>1026.1618045255443</v>
      </c>
      <c r="KU301" s="662">
        <f>IF(D301="",0,IFERROR((JM301/KT301-1)/(JD301/BX301)+B301*10^-6,0))</f>
        <v>4.6555308850666046</v>
      </c>
      <c r="KV301" s="568"/>
      <c r="KW301" s="26"/>
    </row>
    <row r="302" spans="1:310" s="60" customFormat="1" ht="15.75" thickBot="1">
      <c r="A302" s="560">
        <f t="shared" ref="A302:A365" si="906">C302*1000+B302</f>
        <v>3002</v>
      </c>
      <c r="B302" s="560">
        <f>B301+1</f>
        <v>2</v>
      </c>
      <c r="C302" s="560">
        <f>C301</f>
        <v>3</v>
      </c>
      <c r="D302" s="560" t="s">
        <v>567</v>
      </c>
      <c r="E302" s="365">
        <f>INDEX(Input!$1:$1048576,E$93,$C302*2+MIN($B302,2)+5)</f>
        <v>1287.0236024844721</v>
      </c>
      <c r="F302" s="49">
        <f>INDEX(Input!$1:$1048576,F$93,$C302*2+MIN($B302,2)+5)</f>
        <v>0</v>
      </c>
      <c r="G302" s="49">
        <f>INDEX(Input!$1:$1048576,G$93,$C302*2+MIN($B302,2)+5)</f>
        <v>0</v>
      </c>
      <c r="H302" s="49">
        <f>INDEX(Input!$1:$1048576,H$93,$C302*2+MIN($B302,2)+5)</f>
        <v>0</v>
      </c>
      <c r="I302" s="367">
        <f>INDEX(Input!$1:$1048576,I$93,$C302*2+MIN($B302,2)+5)</f>
        <v>0.7</v>
      </c>
      <c r="J302" s="367" t="str">
        <f>INDEX(Input!$1:$1048576,J$93,$C302*2+MIN($B302,2)+5)</f>
        <v>Market</v>
      </c>
      <c r="K302" s="367" t="str">
        <f>INDEX(Input!$1:$1048576,K$93,$C302*2+MIN($B302,2)+5)</f>
        <v>Market</v>
      </c>
      <c r="L302" s="367" t="str">
        <f>INDEX(Input!$1:$1048576,L$93,$C302*2+MIN($B302,2)+5)</f>
        <v>Market</v>
      </c>
      <c r="M302" s="367" t="str">
        <f>INDEX(Input!$1:$1048576,M$93,$C302*2+MIN($B302,2)+5)</f>
        <v>Market</v>
      </c>
      <c r="N302" s="367" t="str">
        <f>INDEX(Input!$1:$1048576,N$93,$C302*2+MIN($B302,2)+5)</f>
        <v>Market</v>
      </c>
      <c r="O302" s="367" t="str">
        <f>INDEX(Input!$1:$1048576,O$93,$C302*2+MIN($B302,2)+5)</f>
        <v>Market</v>
      </c>
      <c r="P302" s="367" t="str">
        <f>INDEX(Input!$1:$1048576,P$93,$C302*2+MIN($B302,2)+5)</f>
        <v>N</v>
      </c>
      <c r="Q302" s="47">
        <f>INDEX(Input!$1:$1048576,Q$93,$C302*2+MIN($B302,2)+5)</f>
        <v>0</v>
      </c>
      <c r="R302" s="38">
        <f>INDEX(Input!$1:$1048576,R$93,$C302*2+MIN($B302,2)+5)</f>
        <v>0</v>
      </c>
      <c r="S302" s="38">
        <f>INDEX(Input!$1:$1048576,S$93,$C302*2+MIN($B302,2)+5)</f>
        <v>0</v>
      </c>
      <c r="T302" s="38">
        <f>INDEX(Input!$1:$1048576,T$93,$C302*2+MIN($B302,2)+5)</f>
        <v>0</v>
      </c>
      <c r="U302" s="38">
        <f>INDEX(Input!$1:$1048576,U$93,$C302*2+MIN($B302,2)+5)</f>
        <v>0</v>
      </c>
      <c r="V302" s="38">
        <f>INDEX(Input!$1:$1048576,V$93,$C302*2+MIN($B302,2)+5)</f>
        <v>1.9E-2</v>
      </c>
      <c r="W302" s="22">
        <f>INDEX(Input!$1:$1048576,W$93,$C302*2+MIN($B302,2)+5)</f>
        <v>3.9E-2</v>
      </c>
      <c r="X302" s="367" t="str">
        <f>INDEX(Input!$1:$1048576,X$93,$C302*2+MIN($B302,2)+5)</f>
        <v>Y</v>
      </c>
      <c r="Y302" s="49">
        <f>INDEX(Input!$1:$1048576,Y$93,$C302*2+MIN($B302,2)+5)</f>
        <v>1554.9999999999991</v>
      </c>
      <c r="Z302" s="584">
        <f>INDEX(Input!$1:$1048576,Z$93,$C302*2+MIN($B302,2)+5)</f>
        <v>0</v>
      </c>
      <c r="AA302" s="49">
        <f>INDEX(Input!$1:$1048576,AA$93,$C302*2+MIN($B302,2)+5)</f>
        <v>0</v>
      </c>
      <c r="AB302" s="367">
        <f>INDEX(Input!$1:$1048576,AB$93,$C302*2+MIN($B302,2)+5)</f>
        <v>0.27</v>
      </c>
      <c r="AC302" s="49">
        <f>INDEX(Input!$1:$1048576,AC$93,$C302*2+MIN($B302,2)+5)</f>
        <v>0</v>
      </c>
      <c r="AD302" s="367">
        <f>INDEX(Input!$1:$1048576,AD$93,$C302*2+MIN($B302,2)+5)</f>
        <v>0.27</v>
      </c>
      <c r="AE302" s="49">
        <f>INDEX(Input!$1:$1048576,AE$93,$C302*2+MIN($B302,2)+5)</f>
        <v>0</v>
      </c>
      <c r="AF302" s="367">
        <f>INDEX(Input!$1:$1048576,AF$93,$C302*2+MIN($B302,2)+5)</f>
        <v>0.68200000000000005</v>
      </c>
      <c r="AG302" s="49">
        <f>INDEX(Input!$1:$1048576,AG$93,$C302*2+MIN($B302,2)+5)</f>
        <v>500</v>
      </c>
      <c r="AH302" s="367">
        <f>INDEX(Input!$1:$1048576,AH$93,$C302*2+MIN($B302,2)+5)</f>
        <v>1</v>
      </c>
      <c r="AI302" s="49">
        <f>INDEX(Input!$1:$1048576,AI$93,$C302*2+MIN($B302,2)+5)</f>
        <v>0</v>
      </c>
      <c r="AJ302" s="367">
        <f>INDEX(Input!$1:$1048576,AJ$93,$C302*2+MIN($B302,2)+5)</f>
        <v>0.27</v>
      </c>
      <c r="AK302" s="298">
        <f>ROUND(INDEX(Input!$1:$1048576,AK$93,$C302*2+MIN($B302,2)+5),0)</f>
        <v>2977</v>
      </c>
      <c r="AL302" s="49">
        <f>ROUND(INDEX(Input!$1:$1048576,AL$93,$C301*2+6)-(Y302-VLOOKUP($C302*1000+1,$A:$HH,Y$92,FALSE))/36,0)</f>
        <v>3395</v>
      </c>
      <c r="AM302" s="46" t="str">
        <f t="shared" ref="AM302:AM365" si="907">IF(K302="market","std",ROUND(K302*1000,0)/10)&amp;"/"&amp;IF(L302="market","std",ROUND(L302*1000,0)/10)&amp;"/"&amp;IF(M302="market","std",ROUND(M302*1000,0)/10)&amp;"/"&amp;IF(N302="market","std",ROUND(N302*1000,0)/10)&amp;IF(P302="N","","/"&amp;IF(O302="market","std",ROUND(O302*1000,0)/10))</f>
        <v>std/std/std/std</v>
      </c>
      <c r="AN302" s="46" t="str">
        <f t="shared" ref="AN302:AN365" si="908">"$"&amp;ROUND(Q302,0)&amp;" + "&amp;IF(S302="market","std",ROUND(S302*1000,0)/10)&amp;"/"&amp;IF(T302="market","std",ROUND(T302*1000,0)/10)&amp;"/"&amp;IF(U302="market","std",ROUND(U302*1000,0)/10)&amp;"/"&amp;IF(V302="market","std",ROUND(V302*1000,0)/10)&amp;IF(X302="N","","/"&amp;IF(W302="market","std",ROUND(W302*1000,0)/10))</f>
        <v>$0 + 0/0/0/1.9/3.9</v>
      </c>
      <c r="AO302" s="44" t="str">
        <f t="shared" ref="AO302:AO365" si="909">IF(S302="market","std",ROUND(S302*1000,0)/10)&amp;"/"&amp;IF(T302="market","std",ROUND(T302*1000,0)/10)&amp;"/"&amp;IF(U302="market","std",ROUND(U302*1000,0)/10)&amp;"/"&amp;IF(V302="market","std",ROUND(V302*1000,0)/10)&amp;IF(X302="N","","/"&amp;IF(W302="market","std",ROUND(W302*1000,0)/10))</f>
        <v>0/0/0/1.9/3.9</v>
      </c>
      <c r="AP302" s="44" t="str">
        <f t="shared" si="863"/>
        <v>0/0.9/1.9/3.9</v>
      </c>
      <c r="AQ302" s="507">
        <f t="shared" si="862"/>
        <v>0.31355633827926949</v>
      </c>
      <c r="AR302" s="44"/>
      <c r="AS302" s="368"/>
      <c r="AT302" s="579">
        <f>AT301+1</f>
        <v>2</v>
      </c>
      <c r="AU302" s="45" t="s">
        <v>121</v>
      </c>
      <c r="AV302" s="45" t="s">
        <v>116</v>
      </c>
      <c r="AW302" s="45" t="str">
        <f>INDEX(Input!$1:$1048576,AW$93,$C302*2+6)</f>
        <v>Kia</v>
      </c>
      <c r="AX302" s="45" t="str">
        <f>INDEX(Input!$1:$1048576,AX$93,$C302*2+6)</f>
        <v>Kia-LR - L3</v>
      </c>
      <c r="AY302" s="10" t="str">
        <f>IF(LEN(D302)=0,"",INDEX(Input!$1:$1048576,AY$93,$C302*2+6))</f>
        <v>Compact SUV (52)</v>
      </c>
      <c r="AZ302" s="45" t="str">
        <f>INDEX(Input!$1:$1048576,AZ$93,$C302*2+6)</f>
        <v>Kia Soul</v>
      </c>
      <c r="BA302" s="50">
        <f>INDEX(Input!$1:$1048576,BA$93,$C302*2+6)</f>
        <v>2020</v>
      </c>
      <c r="BB302" s="48">
        <f>INDEX(Input!$1:$1048576,BB$93,$C302*2+6)</f>
        <v>1</v>
      </c>
      <c r="BC302" s="129">
        <f>INDEX(Input!$1:$1048576,BC$93,$C302*2+6)</f>
        <v>0.7</v>
      </c>
      <c r="BD302" s="38">
        <f>INDEX(Input!$1:$1048576,BD$93,$C302*2+6)</f>
        <v>4.4999999999999998E-2</v>
      </c>
      <c r="BE302" s="38">
        <f>INDEX(Input!$1:$1048576,BE$93,$C302*2+6)</f>
        <v>4.4999999999999998E-2</v>
      </c>
      <c r="BF302" s="38">
        <f>INDEX(Input!$1:$1048576,BF$93,$C302*2+6)</f>
        <v>0.05</v>
      </c>
      <c r="BG302" s="38">
        <f>INDEX(Input!$1:$1048576,BG$93,$C302*2+6)</f>
        <v>5.45E-2</v>
      </c>
      <c r="BH302" s="38">
        <f>INDEX(Input!$1:$1048576,BH$93,$C302*2+6)</f>
        <v>5.45E-2</v>
      </c>
      <c r="BI302" s="38">
        <f>INDEX(Input!$1:$1048576,BI$93,$C302*2+6)</f>
        <v>0.05</v>
      </c>
      <c r="BJ302" s="38">
        <f>INDEX(Input!$1:$1048576,BJ$93,$C302*2+6)</f>
        <v>0.05</v>
      </c>
      <c r="BK302" s="38">
        <f>INDEX(Input!$1:$1048576,BK$93,$C302*2+6)</f>
        <v>0.05</v>
      </c>
      <c r="BL302" s="38">
        <f>INDEX(Input!$1:$1048576,BL$93,$C302*2+6)</f>
        <v>5.5E-2</v>
      </c>
      <c r="BM302" s="38">
        <f>INDEX(Input!$1:$1048576,BM$93,$C302*2+6)</f>
        <v>0.06</v>
      </c>
      <c r="BN302" s="38">
        <f>INDEX(Input!$1:$1048576,BN$93,$C302*2+6)</f>
        <v>4.4999999999999998E-2</v>
      </c>
      <c r="BO302" s="38">
        <f>INDEX(Input!$1:$1048576,BO$93,$C302*2+6)</f>
        <v>4.4999999999999998E-2</v>
      </c>
      <c r="BP302" s="38">
        <f>INDEX(Input!$1:$1048576,BP$93,$C302*2+6)</f>
        <v>0.05</v>
      </c>
      <c r="BQ302" s="38">
        <f>INDEX(Input!$1:$1048576,BQ$93,$C302*2+6)</f>
        <v>5.45E-2</v>
      </c>
      <c r="BR302" s="38">
        <f>INDEX(Input!$1:$1048576,BR$93,$C302*2+6)</f>
        <v>5.45E-2</v>
      </c>
      <c r="BS302" s="38">
        <f>INDEX(Input!$1:$1048576,BS$93,$C302*2+6)</f>
        <v>0.05</v>
      </c>
      <c r="BT302" s="38">
        <f>INDEX(Input!$1:$1048576,BT$93,$C302*2+6)</f>
        <v>0.05</v>
      </c>
      <c r="BU302" s="38">
        <f>INDEX(Input!$1:$1048576,BU$93,$C302*2+6)</f>
        <v>0.05</v>
      </c>
      <c r="BV302" s="38">
        <f>INDEX(Input!$1:$1048576,BV$93,$C302*2+6)</f>
        <v>5.5E-2</v>
      </c>
      <c r="BW302" s="38">
        <f>INDEX(Input!$1:$1048576,BW$93,$C302*2+6)</f>
        <v>0.06</v>
      </c>
      <c r="BX302" s="29">
        <f>INDEX(Input!$1:$1048576,BX$93,$C302*2+6)</f>
        <v>19985</v>
      </c>
      <c r="BY302" s="367">
        <f>INDEX(Input!$1:$1048576,BY$93,$C302*2+6)</f>
        <v>0.1</v>
      </c>
      <c r="BZ302" s="367">
        <f>INDEX(Input!$1:$1048576,BZ$93,$C302*2+6)</f>
        <v>0.1</v>
      </c>
      <c r="CA302" s="367">
        <f>INDEX(Input!$1:$1048576,CA$93,$C302*2+6)</f>
        <v>0.1</v>
      </c>
      <c r="CB302" s="367">
        <f>INDEX(Input!$1:$1048576,CB$93,$C302*2+6)</f>
        <v>0.1</v>
      </c>
      <c r="CC302" s="367">
        <f>INDEX(Input!$1:$1048576,CC$93,$C302*2+6)</f>
        <v>0.1</v>
      </c>
      <c r="CD302" s="367">
        <f>INDEX(Input!$1:$1048576,CD$93,$C302*2+6)</f>
        <v>0.1</v>
      </c>
      <c r="CE302" s="367">
        <f>INDEX(Input!$1:$1048576,CE$93,$C302*2+6)</f>
        <v>0.1</v>
      </c>
      <c r="CF302" s="367">
        <f>INDEX(Input!$1:$1048576,CF$93,$C302*2+6)</f>
        <v>0.1</v>
      </c>
      <c r="CG302" s="367">
        <f>INDEX(Input!$1:$1048576,CG$93,$C302*2+6)</f>
        <v>0.1</v>
      </c>
      <c r="CH302" s="48">
        <f>INDEX(Input!$1:$1048576,CH$93,$C302*2+6)</f>
        <v>0.1</v>
      </c>
      <c r="CI302" s="298">
        <f t="shared" si="864"/>
        <v>1287.0236024844721</v>
      </c>
      <c r="CJ302" s="46" t="str">
        <f>INDEX(Input!$1:$1048576,CJ$93,$C302*2+6)</f>
        <v>N</v>
      </c>
      <c r="CK302" s="38" t="str">
        <f t="shared" si="865"/>
        <v>Market</v>
      </c>
      <c r="CL302" s="38" t="str">
        <f t="shared" si="866"/>
        <v>Market</v>
      </c>
      <c r="CM302" s="38" t="str">
        <f t="shared" si="867"/>
        <v>Market</v>
      </c>
      <c r="CN302" s="38" t="str">
        <f t="shared" si="868"/>
        <v>Market</v>
      </c>
      <c r="CO302" s="38" t="str">
        <f t="shared" si="869"/>
        <v>Market</v>
      </c>
      <c r="CP302" s="49">
        <f t="shared" si="870"/>
        <v>500</v>
      </c>
      <c r="CQ302" s="38">
        <f t="shared" si="871"/>
        <v>0</v>
      </c>
      <c r="CR302" s="38">
        <f t="shared" si="872"/>
        <v>0</v>
      </c>
      <c r="CS302" s="38">
        <f t="shared" si="873"/>
        <v>0</v>
      </c>
      <c r="CT302" s="38">
        <f t="shared" si="874"/>
        <v>1.9E-2</v>
      </c>
      <c r="CU302" s="38">
        <f t="shared" si="875"/>
        <v>3.9E-2</v>
      </c>
      <c r="CV302" s="49">
        <f t="shared" si="876"/>
        <v>1554.9999999999991</v>
      </c>
      <c r="CW302" s="22" t="s">
        <v>122</v>
      </c>
      <c r="CX302" s="22" t="s">
        <v>122</v>
      </c>
      <c r="CY302" s="22" t="s">
        <v>122</v>
      </c>
      <c r="CZ302" s="22" t="s">
        <v>122</v>
      </c>
      <c r="DA302" s="22" t="s">
        <v>122</v>
      </c>
      <c r="DB302" s="502">
        <f t="shared" si="877"/>
        <v>0</v>
      </c>
      <c r="DC302" s="29">
        <v>0</v>
      </c>
      <c r="DD302" s="29">
        <v>0</v>
      </c>
      <c r="DE302" s="29">
        <v>0</v>
      </c>
      <c r="DF302" s="49">
        <v>0</v>
      </c>
      <c r="DG302" s="49">
        <v>0</v>
      </c>
      <c r="DH302" s="49">
        <v>0</v>
      </c>
      <c r="DI302" s="49">
        <v>0</v>
      </c>
      <c r="DJ302" s="49">
        <v>0</v>
      </c>
      <c r="DK302" s="29">
        <v>0</v>
      </c>
      <c r="DL302" s="29">
        <v>0</v>
      </c>
      <c r="DM302" s="49">
        <f>INDEX(Input!$1:$1048576,DM$93,$C302*2+6)</f>
        <v>21036.84210526316</v>
      </c>
      <c r="DN302" s="367">
        <v>0</v>
      </c>
      <c r="DO302" s="367">
        <v>0</v>
      </c>
      <c r="DP302" s="367">
        <v>0</v>
      </c>
      <c r="DQ302" s="367">
        <v>0</v>
      </c>
      <c r="DR302" s="367">
        <v>0</v>
      </c>
      <c r="DS302" s="367">
        <f>INDEX(Input!$1:$1048576,DS$93,$C302*2+6)</f>
        <v>0.6</v>
      </c>
      <c r="DT302" s="367">
        <f>INDEX(Input!$1:$1048576,DT$93,$C302*2+6)</f>
        <v>0.55000000000000004</v>
      </c>
      <c r="DU302" s="367">
        <f>INDEX(Input!$1:$1048576,DU$93,$C302*2+6)</f>
        <v>0.52</v>
      </c>
      <c r="DV302" s="367">
        <f>INDEX(Input!$1:$1048576,DV$93,$C302*2+6)</f>
        <v>0.5</v>
      </c>
      <c r="DW302" s="48">
        <f>INDEX(Input!$1:$1048576,DW$93,$C302*2+6)</f>
        <v>0.45</v>
      </c>
      <c r="DX302" s="577"/>
      <c r="DY302" s="4">
        <v>0.10021186804955809</v>
      </c>
      <c r="DZ302" s="37">
        <v>0</v>
      </c>
      <c r="EA302" s="37">
        <v>0.6907115117139061</v>
      </c>
      <c r="EB302" s="37">
        <v>0</v>
      </c>
      <c r="EC302" s="37">
        <v>0</v>
      </c>
      <c r="ED302" s="37">
        <v>0</v>
      </c>
      <c r="EE302" s="37">
        <v>0</v>
      </c>
      <c r="EF302" s="37">
        <v>0</v>
      </c>
      <c r="EG302" s="37">
        <v>0</v>
      </c>
      <c r="EH302" s="37">
        <v>1.2000368378217781E-2</v>
      </c>
      <c r="EI302" s="37">
        <v>3.359871366451201E-2</v>
      </c>
      <c r="EJ302" s="37">
        <v>0.27034579302217959</v>
      </c>
      <c r="EK302" s="37">
        <v>0.54260779869447862</v>
      </c>
      <c r="EL302" s="37">
        <v>0.14144732624061207</v>
      </c>
      <c r="EM302" s="37">
        <v>4.9151624029758242E-2</v>
      </c>
      <c r="EN302" s="37">
        <v>6.2803882458874166E-2</v>
      </c>
      <c r="EO302" s="37">
        <v>0.78062394127596257</v>
      </c>
      <c r="EP302" s="37">
        <v>6.4419945789640276E-2</v>
      </c>
      <c r="EQ302" s="37">
        <v>6.02593606937478E-2</v>
      </c>
      <c r="ER302" s="37">
        <v>3.18928697817751E-2</v>
      </c>
      <c r="ES302" s="37">
        <v>0.15992499620677755</v>
      </c>
      <c r="ET302" s="37">
        <v>0.20907662023653573</v>
      </c>
      <c r="EU302" s="36">
        <v>1611</v>
      </c>
      <c r="EV302" s="36">
        <v>0</v>
      </c>
      <c r="EW302" s="36">
        <v>1611</v>
      </c>
      <c r="EX302" s="36">
        <v>0</v>
      </c>
      <c r="EY302" s="36">
        <v>2335.5217613369255</v>
      </c>
      <c r="EZ302" s="36">
        <v>2289</v>
      </c>
      <c r="FA302" s="36">
        <v>0</v>
      </c>
      <c r="FB302" s="36">
        <v>0</v>
      </c>
      <c r="FC302" s="36">
        <v>0</v>
      </c>
      <c r="FD302" s="36">
        <v>0</v>
      </c>
      <c r="FE302" s="36">
        <v>0</v>
      </c>
      <c r="FF302" s="36">
        <v>0</v>
      </c>
      <c r="FG302" s="36">
        <v>0</v>
      </c>
      <c r="FH302" s="36">
        <v>1172.0021072641894</v>
      </c>
      <c r="FI302" s="36">
        <v>1553.9796069512404</v>
      </c>
      <c r="FJ302" s="36">
        <v>2101.2110117447414</v>
      </c>
      <c r="FK302" s="36">
        <v>1772.7139978623229</v>
      </c>
      <c r="FL302" s="36">
        <v>907.07682140966369</v>
      </c>
      <c r="FM302" s="36">
        <v>1724.5217613369255</v>
      </c>
      <c r="FN302" s="36">
        <v>0</v>
      </c>
      <c r="FO302" s="36">
        <v>0</v>
      </c>
      <c r="FP302" s="36">
        <v>0</v>
      </c>
      <c r="FQ302" s="36">
        <v>0</v>
      </c>
      <c r="FR302" s="36">
        <v>0</v>
      </c>
      <c r="FS302" s="36">
        <v>0</v>
      </c>
      <c r="FT302" s="37">
        <v>0.79092337976346416</v>
      </c>
      <c r="FU302" s="37">
        <v>4.9151624029758242E-2</v>
      </c>
      <c r="FV302" s="37">
        <v>0.15992499620677755</v>
      </c>
      <c r="FW302" s="36">
        <v>1611.0000000000002</v>
      </c>
      <c r="FX302" s="36">
        <v>2335.5217613369255</v>
      </c>
      <c r="FY302" s="36">
        <v>2289</v>
      </c>
      <c r="FZ302" s="36">
        <v>1858.9243755539039</v>
      </c>
      <c r="GA302" s="36">
        <v>1755.0405686428062</v>
      </c>
      <c r="GB302" s="36">
        <v>18229.959431357194</v>
      </c>
      <c r="GC302" s="37">
        <v>2.9156573141622111E-2</v>
      </c>
      <c r="GD302" s="37">
        <v>2.9448735380111796E-2</v>
      </c>
      <c r="GE302" s="37"/>
      <c r="GF302" s="37"/>
      <c r="GG302" s="37">
        <v>1.0020458751121621E-2</v>
      </c>
      <c r="GH302" s="35">
        <v>-1.9277197678416256</v>
      </c>
      <c r="GI302" s="36">
        <v>-8612.1301858368388</v>
      </c>
      <c r="GJ302" s="34">
        <v>0.50394797582841744</v>
      </c>
      <c r="GK302" s="34">
        <v>0.50887573065309744</v>
      </c>
      <c r="GL302" s="34">
        <v>0.49605202417158267</v>
      </c>
      <c r="GM302" s="33">
        <v>0.49112426934690245</v>
      </c>
      <c r="GN302" s="61"/>
      <c r="GO302" s="13">
        <v>343.14810671672558</v>
      </c>
      <c r="GP302" s="27">
        <v>312.41330006058649</v>
      </c>
      <c r="GQ302" s="27">
        <v>535.04305713031317</v>
      </c>
      <c r="GR302" s="27">
        <v>410.15490233172511</v>
      </c>
      <c r="GS302" s="27">
        <v>339.42744393800166</v>
      </c>
      <c r="GT302" s="27">
        <v>293.4407446948278</v>
      </c>
      <c r="GU302" s="27">
        <v>258.04012322764959</v>
      </c>
      <c r="GV302" s="29" t="s">
        <v>392</v>
      </c>
      <c r="GW302" s="27">
        <v>482.65277777777777</v>
      </c>
      <c r="GX302" s="27">
        <v>361.98958333333331</v>
      </c>
      <c r="GY302" s="27">
        <v>289.59166666666664</v>
      </c>
      <c r="GZ302" s="27">
        <v>255.53408606924114</v>
      </c>
      <c r="HA302" s="27">
        <v>236.70336205047303</v>
      </c>
      <c r="HB302" s="29">
        <v>268.38012987731014</v>
      </c>
      <c r="HC302" s="27">
        <v>187.140625</v>
      </c>
      <c r="HD302" s="27">
        <v>171.45330774853798</v>
      </c>
      <c r="HE302" s="27">
        <v>177.50180921052629</v>
      </c>
      <c r="HF302" s="27">
        <v>167.9756304824561</v>
      </c>
      <c r="HG302" s="27">
        <v>166.75888157894735</v>
      </c>
      <c r="HH302" s="12">
        <v>172.46889498230351</v>
      </c>
      <c r="HI302" s="94"/>
      <c r="HJ302" s="370" t="str">
        <f>HJ301</f>
        <v>On</v>
      </c>
      <c r="HK302" s="371" t="str">
        <f>HK301</f>
        <v>On</v>
      </c>
      <c r="HL302" s="94"/>
      <c r="HM302" s="640">
        <f t="shared" si="878"/>
        <v>2.2758057894877178E-2</v>
      </c>
      <c r="HN302" s="22">
        <f t="shared" si="879"/>
        <v>1.416759231746561E-3</v>
      </c>
      <c r="HO302" s="638">
        <f t="shared" si="880"/>
        <v>4.5732401537654987E-3</v>
      </c>
      <c r="HP302" s="650">
        <f>(FT302*$GD302-HM302)/$JF302*INDEX(Input!$1:$1048576,$JG$93,$C302*2+6)</f>
        <v>29.885603071915625</v>
      </c>
      <c r="HQ302" s="650">
        <f>(FU302*$GD302-HN302)/$JF302*INDEX(Input!$1:$1048576,$JG$93,$C302*2+6)</f>
        <v>1.7189766734411469</v>
      </c>
      <c r="HR302" s="651">
        <f>(FV302*$GD302-HO302)/$JF302*INDEX(Input!$1:$1048576,$JG$93,$C302*2+6)</f>
        <v>7.6360454402226079</v>
      </c>
      <c r="HS302" s="650">
        <f t="shared" si="881"/>
        <v>-18.654439012308305</v>
      </c>
      <c r="HT302" s="650">
        <f t="shared" si="882"/>
        <v>20.855173609837689</v>
      </c>
      <c r="HU302" s="651">
        <f t="shared" si="883"/>
        <v>7.6900324079259885</v>
      </c>
      <c r="HV302" s="645">
        <f t="shared" si="884"/>
        <v>0</v>
      </c>
      <c r="HW302" s="646">
        <f t="shared" si="885"/>
        <v>0</v>
      </c>
      <c r="HX302" s="647">
        <f t="shared" si="886"/>
        <v>0</v>
      </c>
      <c r="HY302" s="643">
        <f>INDEX(Input!$1:$1048576,HY$93,$C302*2+6)*INDEX(Input!$1:$1048576,$JG$93,$C302*2+6)</f>
        <v>509.00000000000006</v>
      </c>
      <c r="HZ302" s="641">
        <f>INDEX(Input!$1:$1048576,HZ$93,$C302*2+6)*INDEX(Input!$1:$1048576,$JG$93,$C302*2+6)</f>
        <v>844</v>
      </c>
      <c r="IA302" s="642">
        <f>INDEX(Input!$1:$1048576,IA$93,$C302*2+6)*INDEX(Input!$1:$1048576,$JG$93,$C302*2+6)</f>
        <v>257</v>
      </c>
      <c r="IB302" s="649">
        <f t="shared" ref="IB302:IB365" si="910">SUM(HP302:IA302)-IC302-ID302</f>
        <v>520.23116405960741</v>
      </c>
      <c r="IC302" s="650">
        <f t="shared" ref="IC302:IC365" si="911">MAX(HZ302+HQ302+HT302+HW302,0%)</f>
        <v>866.57415028327887</v>
      </c>
      <c r="ID302" s="651">
        <f>IF(AND(INDEX(Input!$1:$1048576,IA$93,$C302*2+7)="TOS",Y302&lt;=INDEX(Y:Y,MATCH(C302*1000+2,A:A))),0,1)*MAX(IA302+HR302+HU302+HX302,0%)</f>
        <v>272.3260778481486</v>
      </c>
      <c r="IE302" s="129">
        <f t="shared" ref="IE302" si="912">IB302/SUM($IB302:$ID302)</f>
        <v>0.31355633827926949</v>
      </c>
      <c r="IF302" s="652">
        <f t="shared" si="887"/>
        <v>0.52230592125611486</v>
      </c>
      <c r="IG302" s="653">
        <f t="shared" si="888"/>
        <v>0.16413774046461571</v>
      </c>
      <c r="IH302" s="95"/>
      <c r="II302" s="298">
        <f t="shared" si="889"/>
        <v>1410.4999999999998</v>
      </c>
      <c r="IJ302" s="49">
        <f t="shared" si="890"/>
        <v>2134.9731585778086</v>
      </c>
      <c r="IK302" s="40">
        <f t="shared" si="891"/>
        <v>2103.5</v>
      </c>
      <c r="IL302" s="298">
        <f t="shared" ref="IL302:IL365" si="913">(FW302-FA302*DZ302/FT302)-II302</f>
        <v>200.50000000000045</v>
      </c>
      <c r="IM302" s="49">
        <f t="shared" si="892"/>
        <v>200.54860275911687</v>
      </c>
      <c r="IN302" s="40">
        <f t="shared" si="893"/>
        <v>185.5</v>
      </c>
      <c r="IO302" s="25">
        <f t="shared" si="894"/>
        <v>0</v>
      </c>
      <c r="IP302" s="29">
        <f t="shared" si="895"/>
        <v>0</v>
      </c>
      <c r="IQ302" s="29">
        <f t="shared" si="896"/>
        <v>0</v>
      </c>
      <c r="IR302" s="17">
        <v>0</v>
      </c>
      <c r="IS302" s="29">
        <v>0</v>
      </c>
      <c r="IT302" s="12">
        <v>0</v>
      </c>
      <c r="IU302" s="25">
        <v>0</v>
      </c>
      <c r="IV302" s="29">
        <v>0</v>
      </c>
      <c r="IW302" s="12">
        <v>-83</v>
      </c>
      <c r="IX302" s="372">
        <f>INDEX(Input!$1:$1048576,IX$93,$C302*2+6)+INDEX(Input!$1:$1048576,IX$94,$C302*2+6)</f>
        <v>1611</v>
      </c>
      <c r="IY302" s="373">
        <f>INDEX(Input!$1:$1048576,IY$93,$C302*2+6)+INDEX(Input!$1:$1048576,IY$94,$C302*2+6)</f>
        <v>2471.0624533823611</v>
      </c>
      <c r="IZ302" s="374">
        <f>INDEX(Input!$1:$1048576,IZ$93,$C302*2+6)+INDEX(Input!$1:$1048576,IZ$94,$C302*2+6)</f>
        <v>3994.7164157747857</v>
      </c>
      <c r="JA302" s="298">
        <f t="shared" ref="JA302:JA365" si="914">(IL302+IO302+IR302+IU302+IX302)</f>
        <v>1811.5000000000005</v>
      </c>
      <c r="JB302" s="49">
        <f t="shared" ref="JB302:JB365" si="915">(IM302+IP302+IS302+IV302+IY302)</f>
        <v>2671.611056141478</v>
      </c>
      <c r="JC302" s="49">
        <f t="shared" ref="JC302:JC365" si="916">(IN302+IQ302+IT302+IW302+IZ302)</f>
        <v>4097.2164157747857</v>
      </c>
      <c r="JD302" s="40">
        <f t="shared" ref="JD302:JD365" si="917">SUMPRODUCT(IE302:IG302,JA302:JC302)</f>
        <v>2635.9134253886982</v>
      </c>
      <c r="JE302" s="382"/>
      <c r="JF302" s="28">
        <f t="shared" si="897"/>
        <v>2.8748057280389237E-2</v>
      </c>
      <c r="JG302" s="23">
        <f>INDEX(Input!$1:$1048576,JG$93,$C302*2+6)/(1+VLOOKUP(C302*1000+INDEX(Input!$1:$1048576,JG$93+1,$C302*2+6),$A:$KK,$JK$92,FALSE))</f>
        <v>1610</v>
      </c>
      <c r="JH302" s="38">
        <f t="shared" ref="JH302:JH365" si="918">SUM(HP302:HR302)/SUM(HY302:IA302)</f>
        <v>2.4373059121477879E-2</v>
      </c>
      <c r="JI302" s="38">
        <f t="shared" ref="JI302:JI365" si="919">SUM(HS302:HU302)/SUM(HY302:IA302)</f>
        <v>6.1433335437611003E-3</v>
      </c>
      <c r="JJ302" s="11">
        <f t="shared" ref="JJ302:JJ312" si="920">SUM(HV302:HX302)/SUM(HY302:IA302)</f>
        <v>0</v>
      </c>
      <c r="JK302" s="2">
        <f t="shared" ref="JK302:JK304" si="921">SUM(JH302:JJ302)</f>
        <v>3.0516392665238978E-2</v>
      </c>
      <c r="JL302" s="9">
        <f t="shared" ref="JL302:JL365" si="922">JG302*JK302</f>
        <v>49.131392191034756</v>
      </c>
      <c r="JM302" s="8">
        <f t="shared" ref="JM302:JM305" si="923">JG302+JL302</f>
        <v>1659.1313921910348</v>
      </c>
      <c r="JN302" s="95"/>
      <c r="JO302" s="375">
        <f>INDEX(Input!$1:$1048576,JO$93,$C302*2+6)</f>
        <v>5995.5</v>
      </c>
      <c r="JP302" s="375">
        <f>INDEX(Input!$1:$1048576,JP$93,$C302*2+6)</f>
        <v>2442.3713226762939</v>
      </c>
      <c r="JQ302" s="25">
        <f>JO302-JD302</f>
        <v>3359.5865746113018</v>
      </c>
      <c r="JR302" s="29">
        <f>JD302-JP302</f>
        <v>193.54210271240436</v>
      </c>
      <c r="JS302" s="29">
        <f>JM302*JD302/1000000</f>
        <v>4.3733267111601908</v>
      </c>
      <c r="JT302" s="29">
        <f t="shared" ref="JT302:JT365" si="924">(JD302*JM302-JP302*JG302)/1000000</f>
        <v>0.44110888165135731</v>
      </c>
      <c r="JU302" s="376">
        <f>(JQ302*JM302-INDEX(Input!$1:$1048576,Input!A$18,$C302*2+6)*JL302*INDEX(Input!$1:$1048576,Input!A$19,$C302*2+6))/1000000</f>
        <v>5.5739955507211594</v>
      </c>
      <c r="JV302" s="29">
        <f t="shared" si="900"/>
        <v>-0.14654161977000779</v>
      </c>
      <c r="JW302" s="38">
        <f>JV302/(JU302-JV302)</f>
        <v>-2.5616758601959347E-2</v>
      </c>
      <c r="JX302" s="40">
        <f>IF(JL302=0,0,JT302/JL302)*1000000</f>
        <v>8978.147412070457</v>
      </c>
      <c r="JZ302" s="377"/>
      <c r="KA302" s="378"/>
      <c r="KB302" s="474">
        <f>KB301</f>
        <v>2.5190675447988795</v>
      </c>
      <c r="KC302" s="379"/>
      <c r="KD302" s="379"/>
      <c r="KE302" s="379"/>
      <c r="KF302" s="379"/>
      <c r="KG302" s="380"/>
      <c r="KI302" s="513">
        <f>$JM302*IE302-$JG302*HY302/SUM($HY302:$IA302)</f>
        <v>11.231164059607352</v>
      </c>
      <c r="KJ302" s="514">
        <f t="shared" ref="KJ302:KJ315" si="925">$JM302*IF302-$JG302*HZ302/SUM($HY302:$IA302)</f>
        <v>22.574150283278868</v>
      </c>
      <c r="KK302" s="514">
        <f t="shared" ref="KK302:KK365" si="926">$JM302*IG302-$JG302*IA302/SUM($HY302:$IA302)</f>
        <v>15.3260778481486</v>
      </c>
      <c r="KL302" s="380"/>
      <c r="KN302" s="543">
        <f>KM302+(KN301-KM301)</f>
        <v>3002</v>
      </c>
      <c r="KO302" s="540">
        <f t="shared" si="901"/>
        <v>0</v>
      </c>
      <c r="KP302" s="545">
        <f t="shared" si="902"/>
        <v>0</v>
      </c>
      <c r="KQ302" s="545">
        <f t="shared" si="903"/>
        <v>0</v>
      </c>
      <c r="KR302" s="547" t="e">
        <f t="shared" si="904"/>
        <v>#DIV/0!</v>
      </c>
      <c r="KS302" s="547" t="e">
        <f t="shared" si="905"/>
        <v>#DIV/0!</v>
      </c>
      <c r="KT302" s="661">
        <f>KT301</f>
        <v>1026.1618045255443</v>
      </c>
      <c r="KU302" s="662">
        <f t="shared" ref="KU302:KU365" si="927">IF(D302="",0,IFERROR((JM302/KT302-1)/(JD302/BX302)+B302*10^-6,0))</f>
        <v>4.6767073545842548</v>
      </c>
      <c r="KV302" s="568"/>
      <c r="KW302" s="26"/>
      <c r="KX302" s="582"/>
    </row>
    <row r="303" spans="1:310" s="26" customFormat="1" ht="15">
      <c r="A303" s="561">
        <f t="shared" si="906"/>
        <v>3003</v>
      </c>
      <c r="B303" s="561">
        <f t="shared" ref="B303:B366" si="928">B302+1</f>
        <v>3</v>
      </c>
      <c r="C303" s="561">
        <f t="shared" ref="C303:C366" si="929">C302</f>
        <v>3</v>
      </c>
      <c r="D303" s="561" t="s">
        <v>740</v>
      </c>
      <c r="E303" s="475">
        <f>INDEX(Input!$1:$1048576,E$93,$C303*2+MIN($B303,1)+5)+500</f>
        <v>1500</v>
      </c>
      <c r="F303" s="115">
        <f>INDEX(Input!$1:$1048576,F$93,$C303*2+MIN($B303,1)+5)</f>
        <v>0</v>
      </c>
      <c r="G303" s="115">
        <f>INDEX(Input!$1:$1048576,G$93,$C303*2+MIN($B303,1)+5)</f>
        <v>0</v>
      </c>
      <c r="H303" s="115">
        <f>INDEX(Input!$1:$1048576,H$93,$C303*2+MIN($B303,1)+5)</f>
        <v>0</v>
      </c>
      <c r="I303" s="118">
        <f>INDEX(Input!$1:$1048576,I$93,$C303*2+MIN($B303,1)+5)</f>
        <v>0.7</v>
      </c>
      <c r="J303" s="118" t="str">
        <f>INDEX(Input!$1:$1048576,J$93,$C303*2+MIN($B303,1)+5)</f>
        <v>Market</v>
      </c>
      <c r="K303" s="118" t="str">
        <f>INDEX(Input!$1:$1048576,K$93,$C303*2+MIN($B303,1)+5)</f>
        <v>Market</v>
      </c>
      <c r="L303" s="118" t="str">
        <f>INDEX(Input!$1:$1048576,L$93,$C303*2+MIN($B303,1)+5)</f>
        <v>Market</v>
      </c>
      <c r="M303" s="118" t="str">
        <f>INDEX(Input!$1:$1048576,M$93,$C303*2+MIN($B303,1)+5)</f>
        <v>Market</v>
      </c>
      <c r="N303" s="118" t="str">
        <f>INDEX(Input!$1:$1048576,N$93,$C303*2+MIN($B303,1)+5)</f>
        <v>Market</v>
      </c>
      <c r="O303" s="118" t="str">
        <f>INDEX(Input!$1:$1048576,O$93,$C303*2+MIN($B303,1)+5)</f>
        <v>Market</v>
      </c>
      <c r="P303" s="118" t="str">
        <f>INDEX(Input!$1:$1048576,P$93,$C303*2+MIN($B303,1)+5)</f>
        <v>N</v>
      </c>
      <c r="Q303" s="30">
        <f>INDEX(Input!$1:$1048576,Q$93,$C303*2+MIN($B303,1)+5)</f>
        <v>0</v>
      </c>
      <c r="R303" s="383">
        <f>INDEX(Input!$1:$1048576,R$93,$C303*2+MIN($B303,1)+5)</f>
        <v>0</v>
      </c>
      <c r="S303" s="383">
        <f>INDEX(Input!$1:$1048576,S$93,$C303*2+MIN($B303,1)+5)</f>
        <v>0</v>
      </c>
      <c r="T303" s="383">
        <f>INDEX(Input!$1:$1048576,T$93,$C303*2+MIN($B303,1)+5)</f>
        <v>0</v>
      </c>
      <c r="U303" s="383">
        <f>INDEX(Input!$1:$1048576,U$93,$C303*2+MIN($B303,1)+5)</f>
        <v>0</v>
      </c>
      <c r="V303" s="383">
        <f>INDEX(Input!$1:$1048576,V$93,$C303*2+MIN($B303,1)+5)</f>
        <v>1.9E-2</v>
      </c>
      <c r="W303" s="884">
        <f>INDEX(Input!$1:$1048576,W$93,$C303*2+MIN($B303,1)+5)</f>
        <v>3.9E-2</v>
      </c>
      <c r="X303" s="118" t="str">
        <f>INDEX(Input!$1:$1048576,X$93,$C303*2+MIN($B303,1)+5)</f>
        <v>Y</v>
      </c>
      <c r="Y303" s="150">
        <f>INDEX(Input!$1:$1048576,Y$93,$C303*2+MIN($B303,1)+5)</f>
        <v>1962</v>
      </c>
      <c r="Z303" s="30">
        <f>INDEX(Input!$1:$1048576,Z$93,$C303*2+MIN($B303,1)+5)</f>
        <v>0</v>
      </c>
      <c r="AA303" s="115">
        <f>INDEX(Input!$1:$1048576,AA$93,$C303*2+MIN($B303,1)+5)</f>
        <v>1000</v>
      </c>
      <c r="AB303" s="118">
        <f>INDEX(Input!$1:$1048576,AB$93,$C303*2+MIN($B303,1)+5)</f>
        <v>0.27</v>
      </c>
      <c r="AC303" s="115">
        <f>INDEX(Input!$1:$1048576,AC$93,$C303*2+MIN($B303,1)+5)</f>
        <v>1000</v>
      </c>
      <c r="AD303" s="118">
        <f>INDEX(Input!$1:$1048576,AD$93,$C303*2+MIN($B303,1)+5)</f>
        <v>0.27</v>
      </c>
      <c r="AE303" s="115">
        <f>INDEX(Input!$1:$1048576,AE$93,$C303*2+MIN($B303,1)+5)</f>
        <v>500</v>
      </c>
      <c r="AF303" s="118">
        <f>INDEX(Input!$1:$1048576,AF$93,$C303*2+MIN($B303,1)+5)</f>
        <v>0.68200000000000005</v>
      </c>
      <c r="AG303" s="115">
        <f>INDEX(Input!$1:$1048576,AG$93,$C303*2+MIN($B303,1)+5)</f>
        <v>0</v>
      </c>
      <c r="AH303" s="118">
        <f>INDEX(Input!$1:$1048576,AH$93,$C303*2+MIN($B303,1)+5)</f>
        <v>1</v>
      </c>
      <c r="AI303" s="115">
        <f>INDEX(Input!$1:$1048576,AI$93,$C303*2+MIN($B303,1)+5)</f>
        <v>0</v>
      </c>
      <c r="AJ303" s="118">
        <f>INDEX(Input!$1:$1048576,AJ$93,$C303*2+MIN($B303,1)+5)</f>
        <v>0.27</v>
      </c>
      <c r="AK303" s="150">
        <f>ROUND(INDEX(Input!$1:$1048576,AK$93,$C302*2+MIN($B303,1)+5)+(Y303-VLOOKUP($C303*1000+1,$A:$HH,Y$92,FALSE)),0)</f>
        <v>3384</v>
      </c>
      <c r="AL303" s="150">
        <f>ROUND(INDEX(Input!$1:$1048576,AL$93,$C302*2+MIN($B303,1)+5)-(Y303-VLOOKUP($C303*1000+1,$A:$HH,Y$92,FALSE))/36,0)</f>
        <v>3384</v>
      </c>
      <c r="AM303" s="32" t="str">
        <f t="shared" si="907"/>
        <v>std/std/std/std</v>
      </c>
      <c r="AN303" s="32" t="str">
        <f t="shared" si="908"/>
        <v>$0 + 0/0/0/1.9/3.9</v>
      </c>
      <c r="AO303" s="32" t="str">
        <f t="shared" si="909"/>
        <v>0/0/0/1.9/3.9</v>
      </c>
      <c r="AP303" s="32" t="str">
        <f t="shared" si="863"/>
        <v>0/0.9/1.9/3.9</v>
      </c>
      <c r="AQ303" s="536">
        <f t="shared" si="862"/>
        <v>611.36262256124337</v>
      </c>
      <c r="AR303" s="32"/>
      <c r="AS303" s="302"/>
      <c r="AT303" s="3">
        <f t="shared" ref="AT303:AT366" si="930">AT302+1</f>
        <v>3</v>
      </c>
      <c r="AU303" s="41" t="s">
        <v>121</v>
      </c>
      <c r="AV303" s="41" t="s">
        <v>116</v>
      </c>
      <c r="AW303" s="41" t="str">
        <f>INDEX(Input!$1:$1048576,AW$93,$C303*2+6)</f>
        <v>Kia</v>
      </c>
      <c r="AX303" s="41" t="str">
        <f>INDEX(Input!$1:$1048576,AX$93,$C303*2+6)</f>
        <v>Kia-LR - L3</v>
      </c>
      <c r="AY303" s="41" t="str">
        <f>IF(LEN(D303)=0,"",INDEX(Input!$1:$1048576,AY$93,$C303*2+6))</f>
        <v>Compact SUV (52)</v>
      </c>
      <c r="AZ303" s="41" t="str">
        <f>INDEX(Input!$1:$1048576,AZ$93,$C303*2+6)</f>
        <v>Kia Soul</v>
      </c>
      <c r="BA303" s="3">
        <f>INDEX(Input!$1:$1048576,BA$93,$C303*2+6)</f>
        <v>2020</v>
      </c>
      <c r="BB303" s="128">
        <f>INDEX(Input!$1:$1048576,BB$93,$C303*2+6)</f>
        <v>1</v>
      </c>
      <c r="BC303" s="128">
        <f>INDEX(Input!$1:$1048576,BC$93,$C303*2+6)</f>
        <v>0.7</v>
      </c>
      <c r="BD303" s="1">
        <f>INDEX(Input!$1:$1048576,BD$93,$C303*2+6)</f>
        <v>4.4999999999999998E-2</v>
      </c>
      <c r="BE303" s="1">
        <f>INDEX(Input!$1:$1048576,BE$93,$C303*2+6)</f>
        <v>4.4999999999999998E-2</v>
      </c>
      <c r="BF303" s="1">
        <f>INDEX(Input!$1:$1048576,BF$93,$C303*2+6)</f>
        <v>0.05</v>
      </c>
      <c r="BG303" s="1">
        <f>INDEX(Input!$1:$1048576,BG$93,$C303*2+6)</f>
        <v>5.45E-2</v>
      </c>
      <c r="BH303" s="1">
        <f>INDEX(Input!$1:$1048576,BH$93,$C303*2+6)</f>
        <v>5.45E-2</v>
      </c>
      <c r="BI303" s="1">
        <f>INDEX(Input!$1:$1048576,BI$93,$C303*2+6)</f>
        <v>0.05</v>
      </c>
      <c r="BJ303" s="1">
        <f>INDEX(Input!$1:$1048576,BJ$93,$C303*2+6)</f>
        <v>0.05</v>
      </c>
      <c r="BK303" s="1">
        <f>INDEX(Input!$1:$1048576,BK$93,$C303*2+6)</f>
        <v>0.05</v>
      </c>
      <c r="BL303" s="1">
        <f>INDEX(Input!$1:$1048576,BL$93,$C303*2+6)</f>
        <v>5.5E-2</v>
      </c>
      <c r="BM303" s="1">
        <f>INDEX(Input!$1:$1048576,BM$93,$C303*2+6)</f>
        <v>0.06</v>
      </c>
      <c r="BN303" s="1">
        <f>INDEX(Input!$1:$1048576,BN$93,$C303*2+6)</f>
        <v>4.4999999999999998E-2</v>
      </c>
      <c r="BO303" s="1">
        <f>INDEX(Input!$1:$1048576,BO$93,$C303*2+6)</f>
        <v>4.4999999999999998E-2</v>
      </c>
      <c r="BP303" s="1">
        <f>INDEX(Input!$1:$1048576,BP$93,$C303*2+6)</f>
        <v>0.05</v>
      </c>
      <c r="BQ303" s="1">
        <f>INDEX(Input!$1:$1048576,BQ$93,$C303*2+6)</f>
        <v>5.45E-2</v>
      </c>
      <c r="BR303" s="1">
        <f>INDEX(Input!$1:$1048576,BR$93,$C303*2+6)</f>
        <v>5.45E-2</v>
      </c>
      <c r="BS303" s="1">
        <f>INDEX(Input!$1:$1048576,BS$93,$C303*2+6)</f>
        <v>0.05</v>
      </c>
      <c r="BT303" s="1">
        <f>INDEX(Input!$1:$1048576,BT$93,$C303*2+6)</f>
        <v>0.05</v>
      </c>
      <c r="BU303" s="1">
        <f>INDEX(Input!$1:$1048576,BU$93,$C303*2+6)</f>
        <v>0.05</v>
      </c>
      <c r="BV303" s="1">
        <f>INDEX(Input!$1:$1048576,BV$93,$C303*2+6)</f>
        <v>5.5E-2</v>
      </c>
      <c r="BW303" s="1">
        <f>INDEX(Input!$1:$1048576,BW$93,$C303*2+6)</f>
        <v>0.06</v>
      </c>
      <c r="BX303" s="127">
        <f>INDEX(Input!$1:$1048576,BX$93,$C303*2+6)</f>
        <v>19985</v>
      </c>
      <c r="BY303" s="20">
        <f>INDEX(Input!$1:$1048576,BY$93,$C303*2+6)</f>
        <v>0.1</v>
      </c>
      <c r="BZ303" s="20">
        <f>INDEX(Input!$1:$1048576,BZ$93,$C303*2+6)</f>
        <v>0.1</v>
      </c>
      <c r="CA303" s="20">
        <f>INDEX(Input!$1:$1048576,CA$93,$C303*2+6)</f>
        <v>0.1</v>
      </c>
      <c r="CB303" s="20">
        <f>INDEX(Input!$1:$1048576,CB$93,$C303*2+6)</f>
        <v>0.1</v>
      </c>
      <c r="CC303" s="20">
        <f>INDEX(Input!$1:$1048576,CC$93,$C303*2+6)</f>
        <v>0.1</v>
      </c>
      <c r="CD303" s="384">
        <f>INDEX(Input!$1:$1048576,CD$93,$C303*2+6)</f>
        <v>0.1</v>
      </c>
      <c r="CE303" s="384">
        <f>INDEX(Input!$1:$1048576,CE$93,$C303*2+6)</f>
        <v>0.1</v>
      </c>
      <c r="CF303" s="384">
        <f>INDEX(Input!$1:$1048576,CF$93,$C303*2+6)</f>
        <v>0.1</v>
      </c>
      <c r="CG303" s="384">
        <f>INDEX(Input!$1:$1048576,CG$93,$C303*2+6)</f>
        <v>0.1</v>
      </c>
      <c r="CH303" s="384">
        <f>INDEX(Input!$1:$1048576,CH$93,$C303*2+6)</f>
        <v>0.1</v>
      </c>
      <c r="CI303" s="304">
        <f t="shared" si="864"/>
        <v>1770</v>
      </c>
      <c r="CJ303" s="16" t="str">
        <f>INDEX(Input!$1:$1048576,CJ$93,$C303*2+6)</f>
        <v>N</v>
      </c>
      <c r="CK303" s="1" t="str">
        <f t="shared" si="865"/>
        <v>Market</v>
      </c>
      <c r="CL303" s="1" t="str">
        <f t="shared" si="866"/>
        <v>Market</v>
      </c>
      <c r="CM303" s="1" t="str">
        <f t="shared" si="867"/>
        <v>Market</v>
      </c>
      <c r="CN303" s="1" t="str">
        <f t="shared" si="868"/>
        <v>Market</v>
      </c>
      <c r="CO303" s="1" t="str">
        <f t="shared" si="869"/>
        <v>Market</v>
      </c>
      <c r="CP303" s="304">
        <f t="shared" si="870"/>
        <v>0</v>
      </c>
      <c r="CQ303" s="1">
        <f t="shared" si="871"/>
        <v>0</v>
      </c>
      <c r="CR303" s="1">
        <f t="shared" si="872"/>
        <v>0</v>
      </c>
      <c r="CS303" s="1">
        <f t="shared" si="873"/>
        <v>0</v>
      </c>
      <c r="CT303" s="1">
        <f t="shared" si="874"/>
        <v>1.9E-2</v>
      </c>
      <c r="CU303" s="1">
        <f t="shared" si="875"/>
        <v>3.9E-2</v>
      </c>
      <c r="CV303" s="304">
        <f t="shared" si="876"/>
        <v>2232</v>
      </c>
      <c r="CW303" s="20" t="s">
        <v>122</v>
      </c>
      <c r="CX303" s="20" t="s">
        <v>122</v>
      </c>
      <c r="CY303" s="20" t="s">
        <v>122</v>
      </c>
      <c r="CZ303" s="20" t="s">
        <v>122</v>
      </c>
      <c r="DA303" s="20" t="s">
        <v>122</v>
      </c>
      <c r="DB303" s="503">
        <f t="shared" si="877"/>
        <v>341</v>
      </c>
      <c r="DC303" s="127">
        <v>0</v>
      </c>
      <c r="DD303" s="127">
        <v>0</v>
      </c>
      <c r="DE303" s="127">
        <v>0</v>
      </c>
      <c r="DF303" s="127">
        <v>0</v>
      </c>
      <c r="DG303" s="127">
        <v>0</v>
      </c>
      <c r="DH303" s="127">
        <v>0</v>
      </c>
      <c r="DI303" s="127">
        <v>0</v>
      </c>
      <c r="DJ303" s="127">
        <v>0</v>
      </c>
      <c r="DK303" s="127">
        <v>0</v>
      </c>
      <c r="DL303" s="127">
        <v>0</v>
      </c>
      <c r="DM303" s="304">
        <f>INDEX(Input!$1:$1048576,DM$93,$C303*2+6)</f>
        <v>21036.84210526316</v>
      </c>
      <c r="DN303" s="20">
        <v>0</v>
      </c>
      <c r="DO303" s="20">
        <v>0</v>
      </c>
      <c r="DP303" s="20">
        <v>0</v>
      </c>
      <c r="DQ303" s="20">
        <v>0</v>
      </c>
      <c r="DR303" s="20">
        <v>0</v>
      </c>
      <c r="DS303" s="20">
        <f>INDEX(Input!$1:$1048576,DS$93,$C303*2+6)</f>
        <v>0.6</v>
      </c>
      <c r="DT303" s="20">
        <f>INDEX(Input!$1:$1048576,DT$93,$C303*2+6)</f>
        <v>0.55000000000000004</v>
      </c>
      <c r="DU303" s="20">
        <f>INDEX(Input!$1:$1048576,DU$93,$C303*2+6)</f>
        <v>0.52</v>
      </c>
      <c r="DV303" s="20">
        <f>INDEX(Input!$1:$1048576,DV$93,$C303*2+6)</f>
        <v>0.5</v>
      </c>
      <c r="DW303" s="20">
        <f>INDEX(Input!$1:$1048576,DW$93,$C303*2+6)</f>
        <v>0.45</v>
      </c>
      <c r="DX303" s="20"/>
      <c r="DY303" s="7">
        <v>0.10845865267824897</v>
      </c>
      <c r="DZ303" s="7">
        <v>0</v>
      </c>
      <c r="EA303" s="7">
        <v>0.72448319364457159</v>
      </c>
      <c r="EB303" s="7">
        <v>0</v>
      </c>
      <c r="EC303" s="7">
        <v>0</v>
      </c>
      <c r="ED303" s="7">
        <v>0</v>
      </c>
      <c r="EE303" s="7">
        <v>0</v>
      </c>
      <c r="EF303" s="7">
        <v>0</v>
      </c>
      <c r="EG303" s="7">
        <v>0</v>
      </c>
      <c r="EH303" s="7">
        <v>1.2001493301795327E-2</v>
      </c>
      <c r="EI303" s="7">
        <v>3.3607719843040666E-2</v>
      </c>
      <c r="EJ303" s="7">
        <v>0.27068622973545226</v>
      </c>
      <c r="EK303" s="7">
        <v>0.54238481609787248</v>
      </c>
      <c r="EL303" s="7">
        <v>0.14131974102183908</v>
      </c>
      <c r="EM303" s="7">
        <v>3.9560756327134634E-2</v>
      </c>
      <c r="EN303" s="7">
        <v>6.1987654826378483E-2</v>
      </c>
      <c r="EO303" s="7">
        <v>0.77519191891124783</v>
      </c>
      <c r="EP303" s="7">
        <v>6.7002344951144072E-2</v>
      </c>
      <c r="EQ303" s="7">
        <v>6.2808506675007231E-2</v>
      </c>
      <c r="ER303" s="7">
        <v>3.300957463622238E-2</v>
      </c>
      <c r="ES303" s="7">
        <v>0.12749739735004478</v>
      </c>
      <c r="ET303" s="7">
        <v>0.16705815367717949</v>
      </c>
      <c r="EU303" s="6">
        <v>1910.5</v>
      </c>
      <c r="EV303" s="6">
        <v>0</v>
      </c>
      <c r="EW303" s="6">
        <v>1910.5</v>
      </c>
      <c r="EX303" s="6">
        <v>0</v>
      </c>
      <c r="EY303" s="6">
        <v>2135.2414785970313</v>
      </c>
      <c r="EZ303" s="6">
        <v>2103.5</v>
      </c>
      <c r="FA303" s="6">
        <v>0</v>
      </c>
      <c r="FB303" s="6">
        <v>0</v>
      </c>
      <c r="FC303" s="6">
        <v>0</v>
      </c>
      <c r="FD303" s="6">
        <v>0</v>
      </c>
      <c r="FE303" s="6">
        <v>0</v>
      </c>
      <c r="FF303" s="6">
        <v>0</v>
      </c>
      <c r="FG303" s="6">
        <v>0</v>
      </c>
      <c r="FH303" s="6">
        <v>1172.0094416672152</v>
      </c>
      <c r="FI303" s="6">
        <v>1553.9796069512404</v>
      </c>
      <c r="FJ303" s="6">
        <v>2101.211011744741</v>
      </c>
      <c r="FK303" s="6">
        <v>1772.7139978623227</v>
      </c>
      <c r="FL303" s="6">
        <v>907.07682140966335</v>
      </c>
      <c r="FM303" s="6">
        <v>1724.7414785970316</v>
      </c>
      <c r="FN303" s="6">
        <v>0</v>
      </c>
      <c r="FO303" s="6">
        <v>0</v>
      </c>
      <c r="FP303" s="6">
        <v>0</v>
      </c>
      <c r="FQ303" s="6">
        <v>0</v>
      </c>
      <c r="FR303" s="6">
        <v>0</v>
      </c>
      <c r="FS303" s="6">
        <v>0</v>
      </c>
      <c r="FT303" s="7">
        <v>0.83294184632282053</v>
      </c>
      <c r="FU303" s="7">
        <v>3.9560756327134634E-2</v>
      </c>
      <c r="FV303" s="7">
        <v>0.12749739735004478</v>
      </c>
      <c r="FW303" s="6">
        <v>1910.5</v>
      </c>
      <c r="FX303" s="6">
        <v>2135.2414785970313</v>
      </c>
      <c r="FY303" s="6">
        <v>2103.5</v>
      </c>
      <c r="FZ303" s="6">
        <v>1858.9243755539039</v>
      </c>
      <c r="GA303" s="6">
        <v>1943.9979405599356</v>
      </c>
      <c r="GB303" s="6">
        <v>18041.002059440063</v>
      </c>
      <c r="GC303" s="7">
        <v>2.9156573141622111E-2</v>
      </c>
      <c r="GD303" s="7">
        <v>3.0176148001645902E-2</v>
      </c>
      <c r="GE303" s="7"/>
      <c r="GF303" s="7"/>
      <c r="GG303" s="7">
        <v>3.4968953829773254E-2</v>
      </c>
      <c r="GH303" s="42">
        <v>8.214708555336431</v>
      </c>
      <c r="GI303" s="6">
        <v>4376.8292291413609</v>
      </c>
      <c r="GJ303" s="14">
        <v>0.50394797582841744</v>
      </c>
      <c r="GK303" s="14">
        <v>0.50887573065309744</v>
      </c>
      <c r="GL303" s="14">
        <v>0.49605202417158295</v>
      </c>
      <c r="GM303" s="14">
        <v>0.49112426934690256</v>
      </c>
      <c r="GO303" s="5">
        <v>343.14810671672558</v>
      </c>
      <c r="GP303" s="5">
        <v>306.69941142401694</v>
      </c>
      <c r="GQ303" s="5">
        <v>535.04305713031317</v>
      </c>
      <c r="GR303" s="5">
        <v>410.15490233172511</v>
      </c>
      <c r="GS303" s="5">
        <v>339.42744393800166</v>
      </c>
      <c r="GT303" s="5">
        <v>293.4407446948278</v>
      </c>
      <c r="GU303" s="5">
        <v>258.04012322764959</v>
      </c>
      <c r="GV303" s="39" t="s">
        <v>392</v>
      </c>
      <c r="GW303" s="5">
        <v>488.22222222222223</v>
      </c>
      <c r="GX303" s="5">
        <v>366.16666666666669</v>
      </c>
      <c r="GY303" s="5">
        <v>292.93333333333334</v>
      </c>
      <c r="GZ303" s="5">
        <v>258.48275426623593</v>
      </c>
      <c r="HA303" s="5">
        <v>239.43473807367351</v>
      </c>
      <c r="HB303" s="39">
        <v>271.49241835618687</v>
      </c>
      <c r="HC303" s="5">
        <v>195.25624999999997</v>
      </c>
      <c r="HD303" s="5">
        <v>176.99254385964909</v>
      </c>
      <c r="HE303" s="5">
        <v>182.64467780026987</v>
      </c>
      <c r="HF303" s="5">
        <v>172.26531798245611</v>
      </c>
      <c r="HG303" s="5">
        <v>170.31429824561403</v>
      </c>
      <c r="HH303" s="39">
        <v>177.98601835462966</v>
      </c>
      <c r="HI303" s="16"/>
      <c r="HJ303" s="19" t="str">
        <f t="shared" ref="HJ303:HK318" si="931">HJ302</f>
        <v>On</v>
      </c>
      <c r="HK303" s="1" t="str">
        <f t="shared" si="931"/>
        <v>On</v>
      </c>
      <c r="HL303" s="16"/>
      <c r="HM303" s="639">
        <f t="shared" si="878"/>
        <v>2.2758057894877178E-2</v>
      </c>
      <c r="HN303" s="639">
        <f t="shared" si="879"/>
        <v>1.416759231746561E-3</v>
      </c>
      <c r="HO303" s="639">
        <f t="shared" si="880"/>
        <v>4.5732401537654987E-3</v>
      </c>
      <c r="HP303" s="644">
        <f>(FT303*$GD303-HM303)/$JF303*INDEX(Input!$1:$1048576,$JG$93,$C303*2+6)</f>
        <v>133.11643310293815</v>
      </c>
      <c r="HQ303" s="644">
        <f>(FU303*$GD303-HN303)/$JF303*INDEX(Input!$1:$1048576,$JG$93,$C303*2+6)</f>
        <v>-12.487051436395122</v>
      </c>
      <c r="HR303" s="644">
        <f>(FV303*$GD303-HO303)/$JF303*INDEX(Input!$1:$1048576,$JG$93,$C303*2+6)</f>
        <v>-40.650896901533585</v>
      </c>
      <c r="HS303" s="644">
        <f t="shared" si="881"/>
        <v>-45.938703999138767</v>
      </c>
      <c r="HT303" s="644">
        <f t="shared" si="882"/>
        <v>-8.0979146926459986</v>
      </c>
      <c r="HU303" s="644">
        <f t="shared" si="883"/>
        <v>8.1304913104127294</v>
      </c>
      <c r="HV303" s="648">
        <f t="shared" si="884"/>
        <v>0</v>
      </c>
      <c r="HW303" s="648">
        <f t="shared" si="885"/>
        <v>0</v>
      </c>
      <c r="HX303" s="648">
        <f t="shared" si="886"/>
        <v>0</v>
      </c>
      <c r="HY303" s="644">
        <f>INDEX(Input!$1:$1048576,HY$93,$C303*2+6)*INDEX(Input!$1:$1048576,$JG$93,$C303*2+6)</f>
        <v>509.00000000000006</v>
      </c>
      <c r="HZ303" s="644">
        <f>INDEX(Input!$1:$1048576,HZ$93,$C303*2+6)*INDEX(Input!$1:$1048576,$JG$93,$C303*2+6)</f>
        <v>844</v>
      </c>
      <c r="IA303" s="644">
        <f>INDEX(Input!$1:$1048576,IA$93,$C303*2+6)*INDEX(Input!$1:$1048576,$JG$93,$C303*2+6)</f>
        <v>257</v>
      </c>
      <c r="IB303" s="644">
        <f t="shared" si="910"/>
        <v>596.17772910379961</v>
      </c>
      <c r="IC303" s="644">
        <f t="shared" si="911"/>
        <v>823.41503387095884</v>
      </c>
      <c r="ID303" s="644">
        <f>IF(AND(INDEX(Input!$1:$1048576,IA$93,$C303*2+7)="TOS",Y303&lt;=INDEX(Y:Y,MATCH(C303*1000+2,A:A))),0,1)*MAX(IA303+HR303+HU303+HX303,0%)</f>
        <v>224.47959440887914</v>
      </c>
      <c r="IE303" s="128">
        <f t="shared" ref="IE303:IE304" si="932">IB303/SUM($IB303:$ID303)</f>
        <v>0.36262256124332121</v>
      </c>
      <c r="IF303" s="128">
        <f t="shared" ref="IF303:IF320" si="933">IC303/SUM($IB303:$ID303)</f>
        <v>0.50083868278238941</v>
      </c>
      <c r="IG303" s="128">
        <f t="shared" si="888"/>
        <v>0.13653875597428936</v>
      </c>
      <c r="IH303" s="21"/>
      <c r="II303" s="19">
        <f t="shared" si="889"/>
        <v>1410.4999999999998</v>
      </c>
      <c r="IJ303" s="19">
        <f t="shared" si="890"/>
        <v>2134.9731585778086</v>
      </c>
      <c r="IK303" s="19">
        <f t="shared" si="891"/>
        <v>2103.5</v>
      </c>
      <c r="IL303" s="19">
        <f t="shared" si="913"/>
        <v>500.00000000000023</v>
      </c>
      <c r="IM303" s="19">
        <f t="shared" si="892"/>
        <v>0.26832001922275595</v>
      </c>
      <c r="IN303" s="19">
        <f t="shared" si="893"/>
        <v>0</v>
      </c>
      <c r="IO303" s="39">
        <f t="shared" si="894"/>
        <v>0</v>
      </c>
      <c r="IP303" s="39">
        <f t="shared" si="895"/>
        <v>0</v>
      </c>
      <c r="IQ303" s="39">
        <f t="shared" si="896"/>
        <v>0</v>
      </c>
      <c r="IR303" s="39">
        <v>0</v>
      </c>
      <c r="IS303" s="39">
        <v>0</v>
      </c>
      <c r="IT303" s="39">
        <v>0</v>
      </c>
      <c r="IU303" s="39">
        <v>0</v>
      </c>
      <c r="IV303" s="39">
        <v>0</v>
      </c>
      <c r="IW303" s="39">
        <v>0</v>
      </c>
      <c r="IX303" s="39">
        <f>INDEX(Input!$1:$1048576,IX$93,$C303*2+6)+INDEX(Input!$1:$1048576,IX$94,$C303*2+6)</f>
        <v>1611</v>
      </c>
      <c r="IY303" s="39">
        <f>INDEX(Input!$1:$1048576,IY$93,$C303*2+6)+INDEX(Input!$1:$1048576,IY$94,$C303*2+6)</f>
        <v>2471.0624533823611</v>
      </c>
      <c r="IZ303" s="39">
        <f>INDEX(Input!$1:$1048576,IZ$93,$C303*2+6)+INDEX(Input!$1:$1048576,IZ$94,$C303*2+6)</f>
        <v>3994.7164157747857</v>
      </c>
      <c r="JA303" s="19">
        <f t="shared" si="914"/>
        <v>2111</v>
      </c>
      <c r="JB303" s="19">
        <f t="shared" si="915"/>
        <v>2471.3307734015839</v>
      </c>
      <c r="JC303" s="19">
        <f t="shared" si="916"/>
        <v>3994.7164157747857</v>
      </c>
      <c r="JD303" s="19">
        <f t="shared" si="917"/>
        <v>2548.6678859346453</v>
      </c>
      <c r="JE303" s="21"/>
      <c r="JF303" s="1">
        <f t="shared" si="897"/>
        <v>2.8748057280389237E-2</v>
      </c>
      <c r="JG303" s="15">
        <f>INDEX(Input!$1:$1048576,JG$93,$C303*2+6)/(1+VLOOKUP(C303*1000+INDEX(Input!$1:$1048576,JG$93+1,$C303*2+6),$A:$KK,$JK$92,FALSE))</f>
        <v>1610</v>
      </c>
      <c r="JH303" s="1">
        <f t="shared" si="918"/>
        <v>4.9676077493794685E-2</v>
      </c>
      <c r="JI303" s="1">
        <f t="shared" si="919"/>
        <v>-2.851312259712549E-2</v>
      </c>
      <c r="JJ303" s="1">
        <f t="shared" si="920"/>
        <v>0</v>
      </c>
      <c r="JK303" s="1">
        <f t="shared" si="921"/>
        <v>2.1162954896669195E-2</v>
      </c>
      <c r="JL303" s="15">
        <f t="shared" si="922"/>
        <v>34.072357383637403</v>
      </c>
      <c r="JM303" s="15">
        <f t="shared" si="923"/>
        <v>1644.0723573836374</v>
      </c>
      <c r="JN303" s="21"/>
      <c r="JO303" s="19">
        <f>INDEX(Input!$1:$1048576,JO$93,$C303*2+6)</f>
        <v>5995.5</v>
      </c>
      <c r="JP303" s="19">
        <f>INDEX(Input!$1:$1048576,JP$93,$C303*2+6)</f>
        <v>2442.3713226762939</v>
      </c>
      <c r="JQ303" s="39">
        <f t="shared" ref="JQ303:JQ366" si="934">JO303-JD303</f>
        <v>3446.8321140653547</v>
      </c>
      <c r="JR303" s="39">
        <f t="shared" ref="JR303:JR305" si="935">JD303-JP303</f>
        <v>106.2965632583514</v>
      </c>
      <c r="JS303" s="39">
        <f t="shared" ref="JS303:JS366" si="936">JM303*JD303/1000000</f>
        <v>4.1901944194165432</v>
      </c>
      <c r="JT303" s="39">
        <f t="shared" si="924"/>
        <v>0.25797658990771044</v>
      </c>
      <c r="JU303" s="385">
        <f>(JQ303*JM303-INDEX(Input!$1:$1048576,Input!A$18,$C303*2+6)*JL303*INDEX(Input!$1:$1048576,Input!A$19,$C303*2+6))/1000000</f>
        <v>5.6668413992770548</v>
      </c>
      <c r="JV303" s="39">
        <f t="shared" si="900"/>
        <v>-5.3695771214112398E-2</v>
      </c>
      <c r="JW303" s="1">
        <f>JV303/(JU303-JV303)</f>
        <v>-9.3864910958182026E-3</v>
      </c>
      <c r="JX303" s="19">
        <f>IF(JL303=0,0,JT303/JL303)*1000000</f>
        <v>7571.4335525137094</v>
      </c>
      <c r="JZ303" s="468">
        <f>(HY303+HP303)/SUM(HP303:HR303,HY303:IA303)*IL303</f>
        <v>189.97769465456375</v>
      </c>
      <c r="KA303" s="469">
        <f>JH303/(JZ303/BX303)</f>
        <v>5.2257524785667666</v>
      </c>
      <c r="KB303" s="469">
        <f t="shared" ref="KB303:KB366" si="937">KB302</f>
        <v>2.5190675447988795</v>
      </c>
      <c r="KC303" s="469">
        <f>MIN(AVERAGE(KB303*0.8,VLOOKUP(AZ301,Lookup!$B:$E,4,FALSE)*0.8),$KC$97)</f>
        <v>1.9976270179195517</v>
      </c>
      <c r="KD303" s="469">
        <f>AVERAGE(KB303,VLOOKUP(AZ301,Lookup!$B:$E,4,FALSE))</f>
        <v>2.4970337723994396</v>
      </c>
      <c r="KE303" s="469">
        <f>MIN(MAX(KA303,KC303),KD303)</f>
        <v>2.4970337723994396</v>
      </c>
      <c r="KF303" s="470">
        <f>A303</f>
        <v>3003</v>
      </c>
      <c r="KG303" s="471">
        <f>(JH303/KA303*KE303-JH303)/MAX(IL303:IN303)*1000</f>
        <v>-5.1878477774175875E-2</v>
      </c>
      <c r="KH303" s="472"/>
      <c r="KI303" s="473">
        <f t="shared" ref="KI303:KI314" si="938">$JM303*IE303-$JG303*HY303/SUM($HY303:$IA303)</f>
        <v>87.177729103799436</v>
      </c>
      <c r="KJ303" s="473">
        <f t="shared" si="925"/>
        <v>-20.584966129041277</v>
      </c>
      <c r="KK303" s="473">
        <f t="shared" si="926"/>
        <v>-32.520405591120891</v>
      </c>
      <c r="KL303" s="472" t="str">
        <f>IF(OR(KJ303&gt;0,KK303&gt;0),"Error - Adjust TR","ok")</f>
        <v>ok</v>
      </c>
      <c r="KN303" s="544">
        <f>KM303+(KN302-KM302)</f>
        <v>3002</v>
      </c>
      <c r="KO303" s="541">
        <f t="shared" si="901"/>
        <v>-9.0764570414827439E-3</v>
      </c>
      <c r="KP303" s="546">
        <f t="shared" si="902"/>
        <v>-17.030595135589149</v>
      </c>
      <c r="KQ303" s="546">
        <f t="shared" si="903"/>
        <v>-87.24553945405296</v>
      </c>
      <c r="KR303" s="548">
        <f t="shared" si="904"/>
        <v>9.2461970794173958</v>
      </c>
      <c r="KS303" s="548">
        <f t="shared" si="905"/>
        <v>1.8048858427467644</v>
      </c>
      <c r="KT303" s="473">
        <f t="shared" ref="KT303:KT366" si="939">KT302</f>
        <v>1026.1618045255443</v>
      </c>
      <c r="KU303" s="663">
        <f t="shared" si="927"/>
        <v>4.7217278169117654</v>
      </c>
      <c r="KV303" s="117"/>
    </row>
    <row r="304" spans="1:310" s="26" customFormat="1" ht="15">
      <c r="A304" s="561">
        <f t="shared" si="906"/>
        <v>3004</v>
      </c>
      <c r="B304" s="561">
        <f t="shared" si="928"/>
        <v>4</v>
      </c>
      <c r="C304" s="561">
        <f t="shared" si="929"/>
        <v>3</v>
      </c>
      <c r="D304" s="561" t="s">
        <v>741</v>
      </c>
      <c r="E304" s="115">
        <f>INDEX(Input!$1:$1048576,E$93,$C304*2+MIN($B304,1)+5)</f>
        <v>1000</v>
      </c>
      <c r="F304" s="115">
        <f>INDEX(Input!$1:$1048576,F$93,$C304*2+MIN($B304,1)+5)</f>
        <v>0</v>
      </c>
      <c r="G304" s="115">
        <f>INDEX(Input!$1:$1048576,G$93,$C304*2+MIN($B304,1)+5)</f>
        <v>0</v>
      </c>
      <c r="H304" s="115">
        <f>INDEX(Input!$1:$1048576,H$93,$C304*2+MIN($B304,1)+5)</f>
        <v>0</v>
      </c>
      <c r="I304" s="118">
        <f>INDEX(Input!$1:$1048576,I$93,$C304*2+MIN($B304,1)+5)</f>
        <v>0.7</v>
      </c>
      <c r="J304" s="478">
        <f>IF(INDEX(Input!$1:$1048576,J$93,$C304*2+MIN($B304,1)+5)="Market",BD302-1%,MAX(INDEX(Input!$1:$1048576,J$93,$C304*2+MIN($B304,1)+5)-1%,0))</f>
        <v>3.4999999999999996E-2</v>
      </c>
      <c r="K304" s="478">
        <f>IF(INDEX(Input!$1:$1048576,K$93,$C304*2+MIN($B304,1)+5)="Market",BE302-1%,MAX(INDEX(Input!$1:$1048576,K$93,$C304*2+MIN($B304,1)+5)-1%,0))</f>
        <v>3.4999999999999996E-2</v>
      </c>
      <c r="L304" s="478">
        <f>IF(INDEX(Input!$1:$1048576,L$93,$C304*2+MIN($B304,1)+5)="Market",BF302-1%,MAX(INDEX(Input!$1:$1048576,L$93,$C304*2+MIN($B304,1)+5)-1%,0))</f>
        <v>0.04</v>
      </c>
      <c r="M304" s="478">
        <f>IF(INDEX(Input!$1:$1048576,M$93,$C304*2+MIN($B304,1)+5)="Market",BG302-1%,MAX(INDEX(Input!$1:$1048576,M$93,$C304*2+MIN($B304,1)+5)-1%,0))</f>
        <v>4.4499999999999998E-2</v>
      </c>
      <c r="N304" s="478">
        <f>IF(INDEX(Input!$1:$1048576,N$93,$C304*2+MIN($B304,1)+5)="Market",BH302-1%,MAX(INDEX(Input!$1:$1048576,N$93,$C304*2+6)-IF(INDEX(Input!$1:$1048576,M$93,$C304*2+MIN($B304,1)+5)=0,0,1%),0))</f>
        <v>4.4499999999999998E-2</v>
      </c>
      <c r="O304" s="476" t="str">
        <f>INDEX(Input!$1:$1048576,O$93,$C304*2+MIN($B304,1)+5)</f>
        <v>Market</v>
      </c>
      <c r="P304" s="476" t="str">
        <f>INDEX(Input!$1:$1048576,P$93,$C304*2+MIN($B304,1)+5)</f>
        <v>N</v>
      </c>
      <c r="Q304" s="477">
        <f>INDEX(Input!$1:$1048576,Q$93,$C304*2+MIN($B304,1)+5)+IF(U302&gt;1.8%,0,500)</f>
        <v>500</v>
      </c>
      <c r="R304" s="478">
        <f>IF(INDEX(Input!$1:$1048576,R$93,$C304*2+MIN($B304,1)+5)="Market",BD302-1%,MAX(INDEX(Input!$1:$1048576,R$93,$C304*2+MIN($B304,1)+5)-1%,0))</f>
        <v>0</v>
      </c>
      <c r="S304" s="478">
        <f>IF(INDEX(Input!$1:$1048576,S$93,$C304*2+MIN($B304,1)+5)="Market",BE302-1%,MAX(INDEX(Input!$1:$1048576,S$93,$C304*2+MIN($B304,1)+5)-1%,0))</f>
        <v>0</v>
      </c>
      <c r="T304" s="478">
        <f>IF(INDEX(Input!$1:$1048576,T$93,$C304*2+MIN($B304,1)+5)="Market",BF302-1%,MAX(INDEX(Input!$1:$1048576,T$93,$C304*2+MIN($B304,1)+5)-1%,0))</f>
        <v>0</v>
      </c>
      <c r="U304" s="478">
        <f>IF(INDEX(Input!$1:$1048576,U$93,$C304*2+MIN($B304,1)+5)="Market",BG302-1%,MAX(INDEX(Input!$1:$1048576,U$93,$C304*2+MIN($B304,1)+5)-1%,0))</f>
        <v>0</v>
      </c>
      <c r="V304" s="478">
        <f>IF(INDEX(Input!$1:$1048576,V$93,$C304*2+MIN($B304,1)+5)="Market",BH302-1%,MAX(INDEX(Input!$1:$1048576,V$93,$C304*2+MIN($B304,1)+5)-IF(INDEX(Input!$1:$1048576,U$93,$C304*2+MIN($B304,1)+5)=0,0,1%),0))</f>
        <v>1.9E-2</v>
      </c>
      <c r="W304" s="885">
        <f>INDEX(Input!$1:$1048576,W$93,$C304*2+MIN($B304,1)+5)</f>
        <v>3.9E-2</v>
      </c>
      <c r="X304" s="476" t="str">
        <f>INDEX(Input!$1:$1048576,X$93,$C304*2+MIN($B304,1)+5)</f>
        <v>Y</v>
      </c>
      <c r="Y304" s="150">
        <f>INDEX(Input!$1:$1048576,Y$93,$C304*2+MIN($B304,1)+5)</f>
        <v>1962</v>
      </c>
      <c r="Z304" s="30">
        <f>INDEX(Input!$1:$1048576,Z$93,$C304*2+MIN($B304,1)+5)</f>
        <v>0</v>
      </c>
      <c r="AA304" s="115">
        <f>INDEX(Input!$1:$1048576,AA$93,$C304*2+MIN($B304,1)+5)</f>
        <v>1000</v>
      </c>
      <c r="AB304" s="118">
        <f>INDEX(Input!$1:$1048576,AB$93,$C304*2+MIN($B304,1)+5)</f>
        <v>0.27</v>
      </c>
      <c r="AC304" s="115">
        <f>INDEX(Input!$1:$1048576,AC$93,$C304*2+MIN($B304,1)+5)</f>
        <v>1000</v>
      </c>
      <c r="AD304" s="118">
        <f>INDEX(Input!$1:$1048576,AD$93,$C304*2+MIN($B304,1)+5)</f>
        <v>0.27</v>
      </c>
      <c r="AE304" s="115">
        <f>INDEX(Input!$1:$1048576,AE$93,$C304*2+MIN($B304,1)+5)</f>
        <v>500</v>
      </c>
      <c r="AF304" s="118">
        <f>INDEX(Input!$1:$1048576,AF$93,$C304*2+MIN($B304,1)+5)</f>
        <v>0.68200000000000005</v>
      </c>
      <c r="AG304" s="115">
        <f>INDEX(Input!$1:$1048576,AG$93,$C304*2+MIN($B304,1)+5)</f>
        <v>0</v>
      </c>
      <c r="AH304" s="118">
        <f>INDEX(Input!$1:$1048576,AH$93,$C304*2+MIN($B304,1)+5)</f>
        <v>1</v>
      </c>
      <c r="AI304" s="115">
        <f>INDEX(Input!$1:$1048576,AI$93,$C304*2+MIN($B304,1)+5)</f>
        <v>0</v>
      </c>
      <c r="AJ304" s="118">
        <f>INDEX(Input!$1:$1048576,AJ$93,$C304*2+MIN($B304,1)+5)</f>
        <v>0.27</v>
      </c>
      <c r="AK304" s="150">
        <f>ROUND(INDEX(Input!$1:$1048576,AK$93,$C303*2+MIN($B304,1)+5)+(Y304-VLOOKUP($C304*1000+1,$A:$HH,Y$92,FALSE)),0)</f>
        <v>3384</v>
      </c>
      <c r="AL304" s="150">
        <f>ROUND(INDEX(Input!$1:$1048576,AL$93,$C303*2+MIN($B304,1)+5)-(Y304-VLOOKUP($C304*1000+1,$A:$HH,Y$92,FALSE))/36,0)</f>
        <v>3384</v>
      </c>
      <c r="AM304" s="32" t="str">
        <f t="shared" si="907"/>
        <v>3.5/4/4.5/4.5</v>
      </c>
      <c r="AN304" s="32" t="str">
        <f t="shared" si="908"/>
        <v>$500 + 0/0/0/1.9/3.9</v>
      </c>
      <c r="AO304" s="32" t="str">
        <f t="shared" si="909"/>
        <v>0/0/0/1.9/3.9</v>
      </c>
      <c r="AP304" s="32" t="str">
        <f t="shared" si="863"/>
        <v>0/0.9/1.9/3.9</v>
      </c>
      <c r="AQ304" s="536">
        <f t="shared" si="862"/>
        <v>611.2941697235002</v>
      </c>
      <c r="AR304" s="32"/>
      <c r="AS304" s="302"/>
      <c r="AT304" s="3">
        <f t="shared" si="930"/>
        <v>4</v>
      </c>
      <c r="AU304" s="41" t="s">
        <v>121</v>
      </c>
      <c r="AV304" s="41" t="s">
        <v>116</v>
      </c>
      <c r="AW304" s="41" t="str">
        <f>INDEX(Input!$1:$1048576,AW$93,$C304*2+6)</f>
        <v>Kia</v>
      </c>
      <c r="AX304" s="41" t="str">
        <f>INDEX(Input!$1:$1048576,AX$93,$C304*2+6)</f>
        <v>Kia-LR - L3</v>
      </c>
      <c r="AY304" s="41" t="str">
        <f>IF(LEN(D304)=0,"",INDEX(Input!$1:$1048576,AY$93,$C304*2+6))</f>
        <v>Compact SUV (52)</v>
      </c>
      <c r="AZ304" s="41" t="str">
        <f>INDEX(Input!$1:$1048576,AZ$93,$C304*2+6)</f>
        <v>Kia Soul</v>
      </c>
      <c r="BA304" s="3">
        <f>INDEX(Input!$1:$1048576,BA$93,$C304*2+6)</f>
        <v>2020</v>
      </c>
      <c r="BB304" s="128">
        <f>INDEX(Input!$1:$1048576,BB$93,$C304*2+6)</f>
        <v>1</v>
      </c>
      <c r="BC304" s="128">
        <f>INDEX(Input!$1:$1048576,BC$93,$C304*2+6)</f>
        <v>0.7</v>
      </c>
      <c r="BD304" s="1">
        <f>INDEX(Input!$1:$1048576,BD$93,$C304*2+6)</f>
        <v>4.4999999999999998E-2</v>
      </c>
      <c r="BE304" s="1">
        <f>INDEX(Input!$1:$1048576,BE$93,$C304*2+6)</f>
        <v>4.4999999999999998E-2</v>
      </c>
      <c r="BF304" s="1">
        <f>INDEX(Input!$1:$1048576,BF$93,$C304*2+6)</f>
        <v>0.05</v>
      </c>
      <c r="BG304" s="1">
        <f>INDEX(Input!$1:$1048576,BG$93,$C304*2+6)</f>
        <v>5.45E-2</v>
      </c>
      <c r="BH304" s="1">
        <f>INDEX(Input!$1:$1048576,BH$93,$C304*2+6)</f>
        <v>5.45E-2</v>
      </c>
      <c r="BI304" s="1">
        <f>INDEX(Input!$1:$1048576,BI$93,$C304*2+6)</f>
        <v>0.05</v>
      </c>
      <c r="BJ304" s="1">
        <f>INDEX(Input!$1:$1048576,BJ$93,$C304*2+6)</f>
        <v>0.05</v>
      </c>
      <c r="BK304" s="1">
        <f>INDEX(Input!$1:$1048576,BK$93,$C304*2+6)</f>
        <v>0.05</v>
      </c>
      <c r="BL304" s="1">
        <f>INDEX(Input!$1:$1048576,BL$93,$C304*2+6)</f>
        <v>5.5E-2</v>
      </c>
      <c r="BM304" s="1">
        <f>INDEX(Input!$1:$1048576,BM$93,$C304*2+6)</f>
        <v>0.06</v>
      </c>
      <c r="BN304" s="1">
        <f>INDEX(Input!$1:$1048576,BN$93,$C304*2+6)</f>
        <v>4.4999999999999998E-2</v>
      </c>
      <c r="BO304" s="1">
        <f>INDEX(Input!$1:$1048576,BO$93,$C304*2+6)</f>
        <v>4.4999999999999998E-2</v>
      </c>
      <c r="BP304" s="1">
        <f>INDEX(Input!$1:$1048576,BP$93,$C304*2+6)</f>
        <v>0.05</v>
      </c>
      <c r="BQ304" s="1">
        <f>INDEX(Input!$1:$1048576,BQ$93,$C304*2+6)</f>
        <v>5.45E-2</v>
      </c>
      <c r="BR304" s="1">
        <f>INDEX(Input!$1:$1048576,BR$93,$C304*2+6)</f>
        <v>5.45E-2</v>
      </c>
      <c r="BS304" s="1">
        <f>INDEX(Input!$1:$1048576,BS$93,$C304*2+6)</f>
        <v>0.05</v>
      </c>
      <c r="BT304" s="1">
        <f>INDEX(Input!$1:$1048576,BT$93,$C304*2+6)</f>
        <v>0.05</v>
      </c>
      <c r="BU304" s="1">
        <f>INDEX(Input!$1:$1048576,BU$93,$C304*2+6)</f>
        <v>0.05</v>
      </c>
      <c r="BV304" s="1">
        <f>INDEX(Input!$1:$1048576,BV$93,$C304*2+6)</f>
        <v>5.5E-2</v>
      </c>
      <c r="BW304" s="1">
        <f>INDEX(Input!$1:$1048576,BW$93,$C304*2+6)</f>
        <v>0.06</v>
      </c>
      <c r="BX304" s="127">
        <f>INDEX(Input!$1:$1048576,BX$93,$C304*2+6)</f>
        <v>19985</v>
      </c>
      <c r="BY304" s="20">
        <f>INDEX(Input!$1:$1048576,BY$93,$C304*2+6)</f>
        <v>0.1</v>
      </c>
      <c r="BZ304" s="20">
        <f>INDEX(Input!$1:$1048576,BZ$93,$C304*2+6)</f>
        <v>0.1</v>
      </c>
      <c r="CA304" s="20">
        <f>INDEX(Input!$1:$1048576,CA$93,$C304*2+6)</f>
        <v>0.1</v>
      </c>
      <c r="CB304" s="20">
        <f>INDEX(Input!$1:$1048576,CB$93,$C304*2+6)</f>
        <v>0.1</v>
      </c>
      <c r="CC304" s="20">
        <f>INDEX(Input!$1:$1048576,CC$93,$C304*2+6)</f>
        <v>0.1</v>
      </c>
      <c r="CD304" s="384">
        <f>INDEX(Input!$1:$1048576,CD$93,$C304*2+6)</f>
        <v>0.1</v>
      </c>
      <c r="CE304" s="384">
        <f>INDEX(Input!$1:$1048576,CE$93,$C304*2+6)</f>
        <v>0.1</v>
      </c>
      <c r="CF304" s="384">
        <f>INDEX(Input!$1:$1048576,CF$93,$C304*2+6)</f>
        <v>0.1</v>
      </c>
      <c r="CG304" s="384">
        <f>INDEX(Input!$1:$1048576,CG$93,$C304*2+6)</f>
        <v>0.1</v>
      </c>
      <c r="CH304" s="384">
        <f>INDEX(Input!$1:$1048576,CH$93,$C304*2+6)</f>
        <v>0.1</v>
      </c>
      <c r="CI304" s="304">
        <f t="shared" si="864"/>
        <v>1270</v>
      </c>
      <c r="CJ304" s="16" t="str">
        <f>INDEX(Input!$1:$1048576,CJ$93,$C304*2+6)</f>
        <v>N</v>
      </c>
      <c r="CK304" s="1">
        <f t="shared" si="865"/>
        <v>3.4999999999999996E-2</v>
      </c>
      <c r="CL304" s="1">
        <f t="shared" si="866"/>
        <v>0.04</v>
      </c>
      <c r="CM304" s="1">
        <f t="shared" si="867"/>
        <v>4.4499999999999998E-2</v>
      </c>
      <c r="CN304" s="1">
        <f t="shared" si="868"/>
        <v>4.4499999999999998E-2</v>
      </c>
      <c r="CO304" s="1" t="str">
        <f t="shared" si="869"/>
        <v>Market</v>
      </c>
      <c r="CP304" s="304">
        <f t="shared" si="870"/>
        <v>500</v>
      </c>
      <c r="CQ304" s="1">
        <f t="shared" si="871"/>
        <v>0</v>
      </c>
      <c r="CR304" s="1">
        <f t="shared" si="872"/>
        <v>0</v>
      </c>
      <c r="CS304" s="1">
        <f t="shared" si="873"/>
        <v>0</v>
      </c>
      <c r="CT304" s="1">
        <f t="shared" si="874"/>
        <v>1.9E-2</v>
      </c>
      <c r="CU304" s="1">
        <f t="shared" si="875"/>
        <v>3.9E-2</v>
      </c>
      <c r="CV304" s="304">
        <f t="shared" si="876"/>
        <v>2232</v>
      </c>
      <c r="CW304" s="20" t="s">
        <v>122</v>
      </c>
      <c r="CX304" s="20" t="s">
        <v>122</v>
      </c>
      <c r="CY304" s="20" t="s">
        <v>122</v>
      </c>
      <c r="CZ304" s="20" t="s">
        <v>122</v>
      </c>
      <c r="DA304" s="20" t="s">
        <v>122</v>
      </c>
      <c r="DB304" s="503">
        <f t="shared" si="877"/>
        <v>341</v>
      </c>
      <c r="DC304" s="127">
        <v>0</v>
      </c>
      <c r="DD304" s="127">
        <v>0</v>
      </c>
      <c r="DE304" s="127">
        <v>0</v>
      </c>
      <c r="DF304" s="127">
        <v>0</v>
      </c>
      <c r="DG304" s="127">
        <v>0</v>
      </c>
      <c r="DH304" s="127">
        <v>0</v>
      </c>
      <c r="DI304" s="127">
        <v>0</v>
      </c>
      <c r="DJ304" s="127">
        <v>0</v>
      </c>
      <c r="DK304" s="127">
        <v>0</v>
      </c>
      <c r="DL304" s="127">
        <v>0</v>
      </c>
      <c r="DM304" s="304">
        <f>INDEX(Input!$1:$1048576,DM$93,$C304*2+6)</f>
        <v>21036.84210526316</v>
      </c>
      <c r="DN304" s="20">
        <v>0</v>
      </c>
      <c r="DO304" s="20">
        <v>0</v>
      </c>
      <c r="DP304" s="20">
        <v>0</v>
      </c>
      <c r="DQ304" s="20">
        <v>0</v>
      </c>
      <c r="DR304" s="20">
        <v>0</v>
      </c>
      <c r="DS304" s="20">
        <f>INDEX(Input!$1:$1048576,DS$93,$C304*2+6)</f>
        <v>0.6</v>
      </c>
      <c r="DT304" s="20">
        <f>INDEX(Input!$1:$1048576,DT$93,$C304*2+6)</f>
        <v>0.55000000000000004</v>
      </c>
      <c r="DU304" s="20">
        <f>INDEX(Input!$1:$1048576,DU$93,$C304*2+6)</f>
        <v>0.52</v>
      </c>
      <c r="DV304" s="20">
        <f>INDEX(Input!$1:$1048576,DV$93,$C304*2+6)</f>
        <v>0.5</v>
      </c>
      <c r="DW304" s="20">
        <f>INDEX(Input!$1:$1048576,DW$93,$C304*2+6)</f>
        <v>0.45</v>
      </c>
      <c r="DX304" s="20"/>
      <c r="DY304" s="7">
        <v>9.7178368053685585E-2</v>
      </c>
      <c r="DZ304" s="7">
        <v>0</v>
      </c>
      <c r="EA304" s="7">
        <v>0.68239004020107652</v>
      </c>
      <c r="EB304" s="7">
        <v>0</v>
      </c>
      <c r="EC304" s="7">
        <v>0</v>
      </c>
      <c r="ED304" s="7">
        <v>0</v>
      </c>
      <c r="EE304" s="7">
        <v>0</v>
      </c>
      <c r="EF304" s="7">
        <v>0</v>
      </c>
      <c r="EG304" s="7">
        <v>0</v>
      </c>
      <c r="EH304" s="7">
        <v>1.2000698986237058E-2</v>
      </c>
      <c r="EI304" s="7">
        <v>3.3601360524177878E-2</v>
      </c>
      <c r="EJ304" s="7">
        <v>0.27044584524769072</v>
      </c>
      <c r="EK304" s="7">
        <v>0.54254226550087481</v>
      </c>
      <c r="EL304" s="7">
        <v>0.14140982974101937</v>
      </c>
      <c r="EM304" s="7">
        <v>6.3622195051598052E-2</v>
      </c>
      <c r="EN304" s="7">
        <v>6.1914736531083044E-2</v>
      </c>
      <c r="EO304" s="7">
        <v>0.7750715125545462</v>
      </c>
      <c r="EP304" s="7">
        <v>6.7136425227606489E-2</v>
      </c>
      <c r="EQ304" s="7">
        <v>6.2879280875202823E-2</v>
      </c>
      <c r="ER304" s="7">
        <v>3.2998044811561031E-2</v>
      </c>
      <c r="ES304" s="7">
        <v>0.15680939669363986</v>
      </c>
      <c r="ET304" s="7">
        <v>0.22043159174523788</v>
      </c>
      <c r="EU304" s="6">
        <v>1410.5</v>
      </c>
      <c r="EV304" s="6">
        <v>0</v>
      </c>
      <c r="EW304" s="6">
        <v>1410.5</v>
      </c>
      <c r="EX304" s="6">
        <v>0</v>
      </c>
      <c r="EY304" s="6">
        <v>2635.0863348685089</v>
      </c>
      <c r="EZ304" s="6">
        <v>2103.5</v>
      </c>
      <c r="FA304" s="6">
        <v>0</v>
      </c>
      <c r="FB304" s="6">
        <v>0</v>
      </c>
      <c r="FC304" s="6">
        <v>0</v>
      </c>
      <c r="FD304" s="6">
        <v>0</v>
      </c>
      <c r="FE304" s="6">
        <v>0</v>
      </c>
      <c r="FF304" s="6">
        <v>0</v>
      </c>
      <c r="FG304" s="6">
        <v>0</v>
      </c>
      <c r="FH304" s="6">
        <v>1172.0042629421405</v>
      </c>
      <c r="FI304" s="6">
        <v>1553.9796069512399</v>
      </c>
      <c r="FJ304" s="6">
        <v>2101.211011744741</v>
      </c>
      <c r="FK304" s="6">
        <v>1772.7139978623231</v>
      </c>
      <c r="FL304" s="6">
        <v>907.07682140966335</v>
      </c>
      <c r="FM304" s="6">
        <v>1724.5863348685091</v>
      </c>
      <c r="FN304" s="6">
        <v>0</v>
      </c>
      <c r="FO304" s="6">
        <v>0</v>
      </c>
      <c r="FP304" s="6">
        <v>0</v>
      </c>
      <c r="FQ304" s="6">
        <v>0</v>
      </c>
      <c r="FR304" s="6">
        <v>0</v>
      </c>
      <c r="FS304" s="6">
        <v>0</v>
      </c>
      <c r="FT304" s="7">
        <v>0.77956840825476215</v>
      </c>
      <c r="FU304" s="7">
        <v>6.3622195051598052E-2</v>
      </c>
      <c r="FV304" s="7">
        <v>0.15680939669363986</v>
      </c>
      <c r="FW304" s="6">
        <v>1410.5</v>
      </c>
      <c r="FX304" s="6">
        <v>2635.0863348685089</v>
      </c>
      <c r="FY304" s="6">
        <v>2103.5</v>
      </c>
      <c r="FZ304" s="6">
        <v>1858.9243755539039</v>
      </c>
      <c r="GA304" s="6">
        <v>1597.0797825632183</v>
      </c>
      <c r="GB304" s="6">
        <v>18387.920217436782</v>
      </c>
      <c r="GC304" s="7">
        <v>2.9156573141622111E-2</v>
      </c>
      <c r="GD304" s="7">
        <v>2.8833305548358053E-2</v>
      </c>
      <c r="GE304" s="7"/>
      <c r="GF304" s="7"/>
      <c r="GG304" s="7">
        <v>-1.1087297251767263E-2</v>
      </c>
      <c r="GH304" s="42">
        <v>0.84622574423162045</v>
      </c>
      <c r="GI304" s="6">
        <v>25213.709430419811</v>
      </c>
      <c r="GJ304" s="14">
        <v>0.50394797582841733</v>
      </c>
      <c r="GK304" s="14">
        <v>0.50887573065309744</v>
      </c>
      <c r="GL304" s="14">
        <v>0.49605202417158278</v>
      </c>
      <c r="GM304" s="14">
        <v>0.49112426934690251</v>
      </c>
      <c r="GO304" s="5">
        <v>343.14810671672558</v>
      </c>
      <c r="GP304" s="5">
        <v>316.23845756186267</v>
      </c>
      <c r="GQ304" s="5">
        <v>527.04185700808205</v>
      </c>
      <c r="GR304" s="5">
        <v>406.11816631274644</v>
      </c>
      <c r="GS304" s="5">
        <v>334.91388563620632</v>
      </c>
      <c r="GT304" s="5">
        <v>285.1049551080626</v>
      </c>
      <c r="GU304" s="5">
        <v>258.04012322764959</v>
      </c>
      <c r="GV304" s="39" t="s">
        <v>392</v>
      </c>
      <c r="GW304" s="5">
        <v>474.33333333333331</v>
      </c>
      <c r="GX304" s="5">
        <v>355.75</v>
      </c>
      <c r="GY304" s="5">
        <v>284.60000000000002</v>
      </c>
      <c r="GZ304" s="5">
        <v>251.12946699193472</v>
      </c>
      <c r="HA304" s="5">
        <v>232.62332654449528</v>
      </c>
      <c r="HB304" s="39">
        <v>263.7584780727189</v>
      </c>
      <c r="HC304" s="5">
        <v>195.25624999999997</v>
      </c>
      <c r="HD304" s="5">
        <v>176.99254385964909</v>
      </c>
      <c r="HE304" s="5">
        <v>182.64467780026987</v>
      </c>
      <c r="HF304" s="5">
        <v>172.26531798245611</v>
      </c>
      <c r="HG304" s="5">
        <v>170.31429824561403</v>
      </c>
      <c r="HH304" s="39">
        <v>177.98518686936382</v>
      </c>
      <c r="HI304" s="16"/>
      <c r="HJ304" s="19" t="str">
        <f t="shared" si="931"/>
        <v>On</v>
      </c>
      <c r="HK304" s="1" t="str">
        <f t="shared" si="931"/>
        <v>On</v>
      </c>
      <c r="HL304" s="16"/>
      <c r="HM304" s="639">
        <f t="shared" si="878"/>
        <v>2.2758057894877178E-2</v>
      </c>
      <c r="HN304" s="639">
        <f t="shared" si="879"/>
        <v>1.416759231746561E-3</v>
      </c>
      <c r="HO304" s="639">
        <f t="shared" si="880"/>
        <v>4.5732401537654987E-3</v>
      </c>
      <c r="HP304" s="644">
        <f>(FT304*$GD304-HM304)/$JF304*INDEX(Input!$1:$1048576,$JG$93,$C304*2+6)</f>
        <v>-15.710393490104808</v>
      </c>
      <c r="HQ304" s="644">
        <f>(FU304*$GD304-HN304)/$JF304*INDEX(Input!$1:$1048576,$JG$93,$C304*2+6)</f>
        <v>23.391602276043191</v>
      </c>
      <c r="HR304" s="644">
        <f>(FV304*$GD304-HO304)/$JF304*INDEX(Input!$1:$1048576,$JG$93,$C304*2+6)</f>
        <v>-2.9069831716245873</v>
      </c>
      <c r="HS304" s="644">
        <f t="shared" si="881"/>
        <v>-0.58139663432491751</v>
      </c>
      <c r="HT304" s="644">
        <f t="shared" si="882"/>
        <v>60.137128324493879</v>
      </c>
      <c r="HU304" s="644">
        <f t="shared" si="883"/>
        <v>0.58139663432491751</v>
      </c>
      <c r="HV304" s="648">
        <f t="shared" si="884"/>
        <v>0</v>
      </c>
      <c r="HW304" s="648">
        <f t="shared" si="885"/>
        <v>0</v>
      </c>
      <c r="HX304" s="648">
        <f t="shared" si="886"/>
        <v>0</v>
      </c>
      <c r="HY304" s="644">
        <f>INDEX(Input!$1:$1048576,HY$93,$C304*2+6)*INDEX(Input!$1:$1048576,$JG$93,$C304*2+6)</f>
        <v>509.00000000000006</v>
      </c>
      <c r="HZ304" s="644">
        <f>INDEX(Input!$1:$1048576,HZ$93,$C304*2+6)*INDEX(Input!$1:$1048576,$JG$93,$C304*2+6)</f>
        <v>844</v>
      </c>
      <c r="IA304" s="644">
        <f>INDEX(Input!$1:$1048576,IA$93,$C304*2+6)*INDEX(Input!$1:$1048576,$JG$93,$C304*2+6)</f>
        <v>257</v>
      </c>
      <c r="IB304" s="644">
        <f t="shared" si="910"/>
        <v>492.70820987557028</v>
      </c>
      <c r="IC304" s="644">
        <f t="shared" si="911"/>
        <v>927.52873060053707</v>
      </c>
      <c r="ID304" s="644">
        <f>IF(AND(INDEX(Input!$1:$1048576,IA$93,$C304*2+7)="TOS",Y304&lt;=INDEX(Y:Y,MATCH(C304*1000+2,A:A))),0,1)*MAX(IA304+HR304+HU304+HX304,0%)</f>
        <v>254.67441346270033</v>
      </c>
      <c r="IE304" s="128">
        <f t="shared" si="932"/>
        <v>0.29416972350022724</v>
      </c>
      <c r="IF304" s="128">
        <f t="shared" si="933"/>
        <v>0.5537778034755767</v>
      </c>
      <c r="IG304" s="128">
        <f t="shared" si="888"/>
        <v>0.15205247302419611</v>
      </c>
      <c r="IH304" s="21"/>
      <c r="II304" s="19">
        <f t="shared" si="889"/>
        <v>1410.4999999999998</v>
      </c>
      <c r="IJ304" s="19">
        <f t="shared" si="890"/>
        <v>2134.9731585778086</v>
      </c>
      <c r="IK304" s="19">
        <f t="shared" si="891"/>
        <v>2103.5</v>
      </c>
      <c r="IL304" s="19">
        <f t="shared" si="913"/>
        <v>0</v>
      </c>
      <c r="IM304" s="19">
        <f t="shared" si="892"/>
        <v>500.11317629070027</v>
      </c>
      <c r="IN304" s="19">
        <f t="shared" si="893"/>
        <v>0</v>
      </c>
      <c r="IO304" s="39">
        <f t="shared" si="894"/>
        <v>0</v>
      </c>
      <c r="IP304" s="39">
        <f t="shared" si="895"/>
        <v>0</v>
      </c>
      <c r="IQ304" s="39">
        <f t="shared" si="896"/>
        <v>0</v>
      </c>
      <c r="IR304" s="39">
        <v>0</v>
      </c>
      <c r="IS304" s="39">
        <v>0</v>
      </c>
      <c r="IT304" s="39">
        <v>0</v>
      </c>
      <c r="IU304" s="39">
        <v>0</v>
      </c>
      <c r="IV304" s="39">
        <v>0</v>
      </c>
      <c r="IW304" s="39">
        <v>0</v>
      </c>
      <c r="IX304" s="39">
        <f>INDEX(Input!$1:$1048576,IX$93,$C304*2+6)+INDEX(Input!$1:$1048576,IX$94,$C304*2+6)</f>
        <v>1611</v>
      </c>
      <c r="IY304" s="39">
        <f>INDEX(Input!$1:$1048576,IY$93,$C304*2+6)+INDEX(Input!$1:$1048576,IY$94,$C304*2+6)</f>
        <v>2471.0624533823611</v>
      </c>
      <c r="IZ304" s="39">
        <f>INDEX(Input!$1:$1048576,IZ$93,$C304*2+6)+INDEX(Input!$1:$1048576,IZ$94,$C304*2+6)</f>
        <v>3994.7164157747857</v>
      </c>
      <c r="JA304" s="19">
        <f t="shared" si="914"/>
        <v>1611</v>
      </c>
      <c r="JB304" s="19">
        <f t="shared" si="915"/>
        <v>2971.1756296730614</v>
      </c>
      <c r="JC304" s="19">
        <f t="shared" si="916"/>
        <v>3994.7164157747857</v>
      </c>
      <c r="JD304" s="19">
        <f t="shared" si="917"/>
        <v>2726.6850485482864</v>
      </c>
      <c r="JE304" s="21"/>
      <c r="JF304" s="1">
        <f t="shared" si="897"/>
        <v>2.8748057280389237E-2</v>
      </c>
      <c r="JG304" s="15">
        <f>INDEX(Input!$1:$1048576,JG$93,$C304*2+6)/(1+VLOOKUP(C304*1000+INDEX(Input!$1:$1048576,JG$93+1,$C304*2+6),$A:$KK,$JK$92,FALSE))</f>
        <v>1610</v>
      </c>
      <c r="JH304" s="1">
        <f t="shared" si="918"/>
        <v>2.9653575244185065E-3</v>
      </c>
      <c r="JI304" s="1">
        <f t="shared" si="919"/>
        <v>3.7352253617698061E-2</v>
      </c>
      <c r="JJ304" s="1">
        <f t="shared" si="920"/>
        <v>0</v>
      </c>
      <c r="JK304" s="1">
        <f t="shared" si="921"/>
        <v>4.0317611142116565E-2</v>
      </c>
      <c r="JL304" s="15">
        <f t="shared" si="922"/>
        <v>64.911353938807665</v>
      </c>
      <c r="JM304" s="15">
        <f t="shared" si="923"/>
        <v>1674.9113539388077</v>
      </c>
      <c r="JN304" s="21"/>
      <c r="JO304" s="19">
        <f>INDEX(Input!$1:$1048576,JO$93,$C304*2+6)</f>
        <v>5995.5</v>
      </c>
      <c r="JP304" s="19">
        <f>INDEX(Input!$1:$1048576,JP$93,$C304*2+6)</f>
        <v>2442.3713226762939</v>
      </c>
      <c r="JQ304" s="39">
        <f t="shared" si="934"/>
        <v>3268.8149514517136</v>
      </c>
      <c r="JR304" s="39">
        <f t="shared" si="935"/>
        <v>284.31372587199257</v>
      </c>
      <c r="JS304" s="39">
        <f t="shared" si="936"/>
        <v>4.5669557464287145</v>
      </c>
      <c r="JT304" s="39">
        <f t="shared" si="924"/>
        <v>0.63473791691988102</v>
      </c>
      <c r="JU304" s="385">
        <f>(JQ304*JM304-INDEX(Input!$1:$1048576,Input!A$18,$C304*2+6)*JL304*INDEX(Input!$1:$1048576,Input!A$19,$C304*2+6))/1000000</f>
        <v>5.4749752761114072</v>
      </c>
      <c r="JV304" s="39">
        <f t="shared" si="900"/>
        <v>-0.24556189437975995</v>
      </c>
      <c r="JW304" s="1">
        <f>JV304/(JU304-JV304)</f>
        <v>-4.2926369860240926E-2</v>
      </c>
      <c r="JX304" s="19">
        <f t="shared" ref="JX304:JX367" si="940">IF(JL304=0,0,JT304/JL304)*1000000</f>
        <v>9778.5345460249137</v>
      </c>
      <c r="JZ304" s="468">
        <f>(HZ304+HQ304)/SUM(HP304:HR304,HY304:IA304)*IM304</f>
        <v>268.64063249283168</v>
      </c>
      <c r="KA304" s="469">
        <f>JH304/(JZ304/BX304)</f>
        <v>0.22060203467949027</v>
      </c>
      <c r="KB304" s="469">
        <f t="shared" si="937"/>
        <v>2.5190675447988795</v>
      </c>
      <c r="KC304" s="469">
        <f>MIN(KE303+0.5,KE303*1.1)</f>
        <v>2.7467371496393835</v>
      </c>
      <c r="KD304" s="469">
        <f>KC304+2</f>
        <v>4.7467371496393831</v>
      </c>
      <c r="KE304" s="469">
        <f>MIN(MAX(KA304,KC304),KD304)</f>
        <v>2.7467371496393835</v>
      </c>
      <c r="KF304" s="470">
        <f>A304</f>
        <v>3004</v>
      </c>
      <c r="KG304" s="471">
        <f>IF(HK304="Off",0,(JH304/KA304*KE304-JH304)/MAX(IL304:IN304)*1000)</f>
        <v>6.7897819549088245E-2</v>
      </c>
      <c r="KH304" s="472"/>
      <c r="KI304" s="473">
        <f t="shared" si="938"/>
        <v>-16.291790124429781</v>
      </c>
      <c r="KJ304" s="473">
        <f t="shared" si="925"/>
        <v>83.528730600537187</v>
      </c>
      <c r="KK304" s="473">
        <f t="shared" si="926"/>
        <v>-2.3255865372996709</v>
      </c>
      <c r="KL304" s="472" t="str">
        <f>IF(OR(KI304&gt;0,KK304&gt;0),"Error - Adjust TR","ok")</f>
        <v>ok</v>
      </c>
      <c r="KN304" s="544">
        <f t="shared" ref="KN304:KN367" si="941">KM304+(KN303-KM303)</f>
        <v>3002</v>
      </c>
      <c r="KO304" s="541">
        <f t="shared" si="901"/>
        <v>9.5109777453694644E-3</v>
      </c>
      <c r="KP304" s="546">
        <f t="shared" si="902"/>
        <v>78.705448221634043</v>
      </c>
      <c r="KQ304" s="546">
        <f t="shared" si="903"/>
        <v>90.771623159588216</v>
      </c>
      <c r="KR304" s="548">
        <f t="shared" si="904"/>
        <v>2.0965102167890364</v>
      </c>
      <c r="KS304" s="548">
        <f t="shared" si="905"/>
        <v>1.8178233523874863</v>
      </c>
      <c r="KT304" s="473">
        <f t="shared" si="939"/>
        <v>1026.1618045255443</v>
      </c>
      <c r="KU304" s="663">
        <f t="shared" si="927"/>
        <v>4.6337305331575829</v>
      </c>
      <c r="KV304" s="117"/>
    </row>
    <row r="305" spans="1:308" s="26" customFormat="1" ht="15">
      <c r="A305" s="561">
        <f t="shared" si="906"/>
        <v>3005</v>
      </c>
      <c r="B305" s="561">
        <f t="shared" si="928"/>
        <v>5</v>
      </c>
      <c r="C305" s="561">
        <f t="shared" si="929"/>
        <v>3</v>
      </c>
      <c r="D305" s="561" t="s">
        <v>568</v>
      </c>
      <c r="E305" s="115">
        <f>INDEX(Input!$1:$1048576,E$93,$C305*2+MIN($B305,1)+5)</f>
        <v>1000</v>
      </c>
      <c r="F305" s="115">
        <f>INDEX(Input!$1:$1048576,F$93,$C305*2+MIN($B305,1)+5)</f>
        <v>0</v>
      </c>
      <c r="G305" s="115">
        <f>INDEX(Input!$1:$1048576,G$93,$C305*2+MIN($B305,1)+5)</f>
        <v>0</v>
      </c>
      <c r="H305" s="115">
        <f>INDEX(Input!$1:$1048576,H$93,$C305*2+MIN($B305,1)+5)</f>
        <v>0</v>
      </c>
      <c r="I305" s="118">
        <f>INDEX(Input!$1:$1048576,I$93,$C305*2+MIN($B305,1)+5)</f>
        <v>0.7</v>
      </c>
      <c r="J305" s="118" t="str">
        <f>INDEX(Input!$1:$1048576,J$93,$C305*2+MIN($B305,1)+5)</f>
        <v>Market</v>
      </c>
      <c r="K305" s="118" t="str">
        <f>INDEX(Input!$1:$1048576,K$93,$C305*2+MIN($B305,1)+5)</f>
        <v>Market</v>
      </c>
      <c r="L305" s="118" t="str">
        <f>INDEX(Input!$1:$1048576,L$93,$C305*2+MIN($B305,1)+5)</f>
        <v>Market</v>
      </c>
      <c r="M305" s="118" t="str">
        <f>INDEX(Input!$1:$1048576,M$93,$C305*2+MIN($B305,1)+5)</f>
        <v>Market</v>
      </c>
      <c r="N305" s="118" t="str">
        <f>INDEX(Input!$1:$1048576,N$93,$C305*2+MIN($B305,1)+5)</f>
        <v>Market</v>
      </c>
      <c r="O305" s="118" t="str">
        <f>INDEX(Input!$1:$1048576,O$93,$C305*2+MIN($B305,1)+5)</f>
        <v>Market</v>
      </c>
      <c r="P305" s="118" t="str">
        <f>INDEX(Input!$1:$1048576,P$93,$C305*2+MIN($B305,1)+5)</f>
        <v>N</v>
      </c>
      <c r="Q305" s="30">
        <f>INDEX(Input!$1:$1048576,Q$93,$C305*2+MIN($B305,1)+5)</f>
        <v>0</v>
      </c>
      <c r="R305" s="383">
        <f>INDEX(Input!$1:$1048576,R$93,$C305*2+MIN($B305,1)+5)</f>
        <v>0</v>
      </c>
      <c r="S305" s="383">
        <f>INDEX(Input!$1:$1048576,S$93,$C305*2+MIN($B305,1)+5)</f>
        <v>0</v>
      </c>
      <c r="T305" s="383">
        <f>INDEX(Input!$1:$1048576,T$93,$C305*2+MIN($B305,1)+5)</f>
        <v>0</v>
      </c>
      <c r="U305" s="383">
        <f>INDEX(Input!$1:$1048576,U$93,$C305*2+MIN($B305,1)+5)</f>
        <v>0</v>
      </c>
      <c r="V305" s="383">
        <f>INDEX(Input!$1:$1048576,V$93,$C305*2+MIN($B305,1)+5)</f>
        <v>1.9E-2</v>
      </c>
      <c r="W305" s="884">
        <f>INDEX(Input!$1:$1048576,W$93,$C305*2+MIN($B305,1)+5)</f>
        <v>3.9E-2</v>
      </c>
      <c r="X305" s="118" t="str">
        <f>INDEX(Input!$1:$1048576,X$93,$C305*2+MIN($B305,1)+5)</f>
        <v>Y</v>
      </c>
      <c r="Y305" s="475">
        <f>INDEX(Input!$1:$1048576,Y$93,$C305*2+MIN($B305,1)+5)+500</f>
        <v>2462</v>
      </c>
      <c r="Z305" s="30">
        <f>INDEX(Input!$1:$1048576,Z$93,$C305*2+MIN($B305,1)+5)</f>
        <v>0</v>
      </c>
      <c r="AA305" s="115">
        <f>INDEX(Input!$1:$1048576,AA$93,$C305*2+MIN($B305,1)+5)</f>
        <v>1000</v>
      </c>
      <c r="AB305" s="118">
        <f>INDEX(Input!$1:$1048576,AB$93,$C305*2+MIN($B305,1)+5)</f>
        <v>0.27</v>
      </c>
      <c r="AC305" s="115">
        <f>INDEX(Input!$1:$1048576,AC$93,$C305*2+MIN($B305,1)+5)</f>
        <v>1000</v>
      </c>
      <c r="AD305" s="118">
        <f>INDEX(Input!$1:$1048576,AD$93,$C305*2+MIN($B305,1)+5)</f>
        <v>0.27</v>
      </c>
      <c r="AE305" s="115">
        <f>INDEX(Input!$1:$1048576,AE$93,$C305*2+MIN($B305,1)+5)</f>
        <v>500</v>
      </c>
      <c r="AF305" s="118">
        <f>INDEX(Input!$1:$1048576,AF$93,$C305*2+MIN($B305,1)+5)</f>
        <v>0.68200000000000005</v>
      </c>
      <c r="AG305" s="115">
        <f>INDEX(Input!$1:$1048576,AG$93,$C305*2+MIN($B305,1)+5)</f>
        <v>0</v>
      </c>
      <c r="AH305" s="118">
        <f>INDEX(Input!$1:$1048576,AH$93,$C305*2+MIN($B305,1)+5)</f>
        <v>1</v>
      </c>
      <c r="AI305" s="115">
        <f>INDEX(Input!$1:$1048576,AI$93,$C305*2+MIN($B305,1)+5)</f>
        <v>0</v>
      </c>
      <c r="AJ305" s="118">
        <f>INDEX(Input!$1:$1048576,AJ$93,$C305*2+MIN($B305,1)+5)</f>
        <v>0.27</v>
      </c>
      <c r="AK305" s="150">
        <f>ROUND(INDEX(Input!$1:$1048576,AK$93,$C304*2+MIN($B305,1)+5)+(Y305-VLOOKUP($C305*1000+1,$A:$HH,Y$92,FALSE)),0)</f>
        <v>3884</v>
      </c>
      <c r="AL305" s="150">
        <f>ROUND(INDEX(Input!$1:$1048576,AL$93,$C304*2+MIN($B305,1)+5)-(Y305-VLOOKUP($C305*1000+1,$A:$HH,Y$92,FALSE))/36,0)</f>
        <v>3370</v>
      </c>
      <c r="AM305" s="32" t="str">
        <f t="shared" si="907"/>
        <v>std/std/std/std</v>
      </c>
      <c r="AN305" s="32" t="str">
        <f t="shared" si="908"/>
        <v>$0 + 0/0/0/1.9/3.9</v>
      </c>
      <c r="AO305" s="32" t="str">
        <f t="shared" si="909"/>
        <v>0/0/0/1.9/3.9</v>
      </c>
      <c r="AP305" s="32" t="str">
        <f t="shared" si="863"/>
        <v>0/0.9/1.9/3.9</v>
      </c>
      <c r="AQ305" s="536">
        <f t="shared" si="862"/>
        <v>611.27639787273097</v>
      </c>
      <c r="AR305" s="32"/>
      <c r="AS305" s="302"/>
      <c r="AT305" s="3">
        <f t="shared" si="930"/>
        <v>5</v>
      </c>
      <c r="AU305" s="41" t="s">
        <v>121</v>
      </c>
      <c r="AV305" s="41" t="s">
        <v>116</v>
      </c>
      <c r="AW305" s="41" t="str">
        <f>INDEX(Input!$1:$1048576,AW$93,$C305*2+6)</f>
        <v>Kia</v>
      </c>
      <c r="AX305" s="41" t="str">
        <f>INDEX(Input!$1:$1048576,AX$93,$C305*2+6)</f>
        <v>Kia-LR - L3</v>
      </c>
      <c r="AY305" s="41" t="str">
        <f>IF(LEN(D305)=0,"",INDEX(Input!$1:$1048576,AY$93,$C305*2+6))</f>
        <v>Compact SUV (52)</v>
      </c>
      <c r="AZ305" s="41" t="str">
        <f>INDEX(Input!$1:$1048576,AZ$93,$C305*2+6)</f>
        <v>Kia Soul</v>
      </c>
      <c r="BA305" s="3">
        <f>INDEX(Input!$1:$1048576,BA$93,$C305*2+6)</f>
        <v>2020</v>
      </c>
      <c r="BB305" s="128">
        <f>INDEX(Input!$1:$1048576,BB$93,$C305*2+6)</f>
        <v>1</v>
      </c>
      <c r="BC305" s="128">
        <f>INDEX(Input!$1:$1048576,BC$93,$C305*2+6)</f>
        <v>0.7</v>
      </c>
      <c r="BD305" s="1">
        <f>INDEX(Input!$1:$1048576,BD$93,$C305*2+6)</f>
        <v>4.4999999999999998E-2</v>
      </c>
      <c r="BE305" s="1">
        <f>INDEX(Input!$1:$1048576,BE$93,$C305*2+6)</f>
        <v>4.4999999999999998E-2</v>
      </c>
      <c r="BF305" s="1">
        <f>INDEX(Input!$1:$1048576,BF$93,$C305*2+6)</f>
        <v>0.05</v>
      </c>
      <c r="BG305" s="1">
        <f>INDEX(Input!$1:$1048576,BG$93,$C305*2+6)</f>
        <v>5.45E-2</v>
      </c>
      <c r="BH305" s="1">
        <f>INDEX(Input!$1:$1048576,BH$93,$C305*2+6)</f>
        <v>5.45E-2</v>
      </c>
      <c r="BI305" s="1">
        <f>INDEX(Input!$1:$1048576,BI$93,$C305*2+6)</f>
        <v>0.05</v>
      </c>
      <c r="BJ305" s="1">
        <f>INDEX(Input!$1:$1048576,BJ$93,$C305*2+6)</f>
        <v>0.05</v>
      </c>
      <c r="BK305" s="1">
        <f>INDEX(Input!$1:$1048576,BK$93,$C305*2+6)</f>
        <v>0.05</v>
      </c>
      <c r="BL305" s="1">
        <f>INDEX(Input!$1:$1048576,BL$93,$C305*2+6)</f>
        <v>5.5E-2</v>
      </c>
      <c r="BM305" s="1">
        <f>INDEX(Input!$1:$1048576,BM$93,$C305*2+6)</f>
        <v>0.06</v>
      </c>
      <c r="BN305" s="1">
        <f>INDEX(Input!$1:$1048576,BN$93,$C305*2+6)</f>
        <v>4.4999999999999998E-2</v>
      </c>
      <c r="BO305" s="1">
        <f>INDEX(Input!$1:$1048576,BO$93,$C305*2+6)</f>
        <v>4.4999999999999998E-2</v>
      </c>
      <c r="BP305" s="1">
        <f>INDEX(Input!$1:$1048576,BP$93,$C305*2+6)</f>
        <v>0.05</v>
      </c>
      <c r="BQ305" s="1">
        <f>INDEX(Input!$1:$1048576,BQ$93,$C305*2+6)</f>
        <v>5.45E-2</v>
      </c>
      <c r="BR305" s="1">
        <f>INDEX(Input!$1:$1048576,BR$93,$C305*2+6)</f>
        <v>5.45E-2</v>
      </c>
      <c r="BS305" s="1">
        <f>INDEX(Input!$1:$1048576,BS$93,$C305*2+6)</f>
        <v>0.05</v>
      </c>
      <c r="BT305" s="1">
        <f>INDEX(Input!$1:$1048576,BT$93,$C305*2+6)</f>
        <v>0.05</v>
      </c>
      <c r="BU305" s="1">
        <f>INDEX(Input!$1:$1048576,BU$93,$C305*2+6)</f>
        <v>0.05</v>
      </c>
      <c r="BV305" s="1">
        <f>INDEX(Input!$1:$1048576,BV$93,$C305*2+6)</f>
        <v>5.5E-2</v>
      </c>
      <c r="BW305" s="1">
        <f>INDEX(Input!$1:$1048576,BW$93,$C305*2+6)</f>
        <v>0.06</v>
      </c>
      <c r="BX305" s="127">
        <f>INDEX(Input!$1:$1048576,BX$93,$C305*2+6)</f>
        <v>19985</v>
      </c>
      <c r="BY305" s="20">
        <f>INDEX(Input!$1:$1048576,BY$93,$C305*2+6)</f>
        <v>0.1</v>
      </c>
      <c r="BZ305" s="20">
        <f>INDEX(Input!$1:$1048576,BZ$93,$C305*2+6)</f>
        <v>0.1</v>
      </c>
      <c r="CA305" s="20">
        <f>INDEX(Input!$1:$1048576,CA$93,$C305*2+6)</f>
        <v>0.1</v>
      </c>
      <c r="CB305" s="20">
        <f>INDEX(Input!$1:$1048576,CB$93,$C305*2+6)</f>
        <v>0.1</v>
      </c>
      <c r="CC305" s="20">
        <f>INDEX(Input!$1:$1048576,CC$93,$C305*2+6)</f>
        <v>0.1</v>
      </c>
      <c r="CD305" s="384">
        <f>INDEX(Input!$1:$1048576,CD$93,$C305*2+6)</f>
        <v>0.1</v>
      </c>
      <c r="CE305" s="384">
        <f>INDEX(Input!$1:$1048576,CE$93,$C305*2+6)</f>
        <v>0.1</v>
      </c>
      <c r="CF305" s="384">
        <f>INDEX(Input!$1:$1048576,CF$93,$C305*2+6)</f>
        <v>0.1</v>
      </c>
      <c r="CG305" s="384">
        <f>INDEX(Input!$1:$1048576,CG$93,$C305*2+6)</f>
        <v>0.1</v>
      </c>
      <c r="CH305" s="384">
        <f>INDEX(Input!$1:$1048576,CH$93,$C305*2+6)</f>
        <v>0.1</v>
      </c>
      <c r="CI305" s="304">
        <f t="shared" si="864"/>
        <v>1270</v>
      </c>
      <c r="CJ305" s="16" t="str">
        <f>INDEX(Input!$1:$1048576,CJ$93,$C305*2+6)</f>
        <v>N</v>
      </c>
      <c r="CK305" s="1" t="str">
        <f t="shared" si="865"/>
        <v>Market</v>
      </c>
      <c r="CL305" s="1" t="str">
        <f t="shared" si="866"/>
        <v>Market</v>
      </c>
      <c r="CM305" s="1" t="str">
        <f t="shared" si="867"/>
        <v>Market</v>
      </c>
      <c r="CN305" s="1" t="str">
        <f t="shared" si="868"/>
        <v>Market</v>
      </c>
      <c r="CO305" s="1" t="str">
        <f t="shared" si="869"/>
        <v>Market</v>
      </c>
      <c r="CP305" s="304">
        <f t="shared" si="870"/>
        <v>0</v>
      </c>
      <c r="CQ305" s="1">
        <f t="shared" si="871"/>
        <v>0</v>
      </c>
      <c r="CR305" s="1">
        <f t="shared" si="872"/>
        <v>0</v>
      </c>
      <c r="CS305" s="1">
        <f t="shared" si="873"/>
        <v>0</v>
      </c>
      <c r="CT305" s="1">
        <f t="shared" si="874"/>
        <v>1.9E-2</v>
      </c>
      <c r="CU305" s="1">
        <f t="shared" si="875"/>
        <v>3.9E-2</v>
      </c>
      <c r="CV305" s="304">
        <f t="shared" si="876"/>
        <v>2732</v>
      </c>
      <c r="CW305" s="20" t="s">
        <v>122</v>
      </c>
      <c r="CX305" s="20" t="s">
        <v>122</v>
      </c>
      <c r="CY305" s="20" t="s">
        <v>122</v>
      </c>
      <c r="CZ305" s="20" t="s">
        <v>122</v>
      </c>
      <c r="DA305" s="20" t="s">
        <v>122</v>
      </c>
      <c r="DB305" s="503">
        <f t="shared" si="877"/>
        <v>341</v>
      </c>
      <c r="DC305" s="127">
        <v>0</v>
      </c>
      <c r="DD305" s="127">
        <v>0</v>
      </c>
      <c r="DE305" s="127">
        <v>0</v>
      </c>
      <c r="DF305" s="127">
        <v>0</v>
      </c>
      <c r="DG305" s="127">
        <v>0</v>
      </c>
      <c r="DH305" s="127">
        <v>0</v>
      </c>
      <c r="DI305" s="127">
        <v>0</v>
      </c>
      <c r="DJ305" s="127">
        <v>0</v>
      </c>
      <c r="DK305" s="127">
        <v>0</v>
      </c>
      <c r="DL305" s="127">
        <v>0</v>
      </c>
      <c r="DM305" s="304">
        <f>INDEX(Input!$1:$1048576,DM$93,$C305*2+6)</f>
        <v>21036.84210526316</v>
      </c>
      <c r="DN305" s="20">
        <v>0</v>
      </c>
      <c r="DO305" s="20">
        <v>0</v>
      </c>
      <c r="DP305" s="20">
        <v>0</v>
      </c>
      <c r="DQ305" s="20">
        <v>0</v>
      </c>
      <c r="DR305" s="20">
        <v>0</v>
      </c>
      <c r="DS305" s="20">
        <f>INDEX(Input!$1:$1048576,DS$93,$C305*2+6)</f>
        <v>0.6</v>
      </c>
      <c r="DT305" s="20">
        <f>INDEX(Input!$1:$1048576,DT$93,$C305*2+6)</f>
        <v>0.55000000000000004</v>
      </c>
      <c r="DU305" s="20">
        <f>INDEX(Input!$1:$1048576,DU$93,$C305*2+6)</f>
        <v>0.52</v>
      </c>
      <c r="DV305" s="20">
        <f>INDEX(Input!$1:$1048576,DV$93,$C305*2+6)</f>
        <v>0.5</v>
      </c>
      <c r="DW305" s="20">
        <f>INDEX(Input!$1:$1048576,DW$93,$C305*2+6)</f>
        <v>0.45</v>
      </c>
      <c r="DX305" s="20"/>
      <c r="DY305" s="7">
        <v>9.2823345061176926E-2</v>
      </c>
      <c r="DZ305" s="7">
        <v>0</v>
      </c>
      <c r="EA305" s="7">
        <v>0.6548802406998645</v>
      </c>
      <c r="EB305" s="7">
        <v>0</v>
      </c>
      <c r="EC305" s="7">
        <v>0</v>
      </c>
      <c r="ED305" s="7">
        <v>0</v>
      </c>
      <c r="EE305" s="7">
        <v>0</v>
      </c>
      <c r="EF305" s="7">
        <v>0</v>
      </c>
      <c r="EG305" s="7">
        <v>0</v>
      </c>
      <c r="EH305" s="7">
        <v>1.199804661410676E-2</v>
      </c>
      <c r="EI305" s="7">
        <v>3.3580125537724853E-2</v>
      </c>
      <c r="EJ305" s="7">
        <v>0.26964315529751387</v>
      </c>
      <c r="EK305" s="7">
        <v>0.54306801928236115</v>
      </c>
      <c r="EL305" s="7">
        <v>0.14171065326829327</v>
      </c>
      <c r="EM305" s="7">
        <v>4.6248251517522453E-2</v>
      </c>
      <c r="EN305" s="7">
        <v>6.4333169640224605E-2</v>
      </c>
      <c r="EO305" s="7">
        <v>0.78980920232088625</v>
      </c>
      <c r="EP305" s="7">
        <v>5.9983472337984206E-2</v>
      </c>
      <c r="EQ305" s="7">
        <v>5.5906332462220598E-2</v>
      </c>
      <c r="ER305" s="7">
        <v>2.9967823238684192E-2</v>
      </c>
      <c r="ES305" s="7">
        <v>0.20604816272143611</v>
      </c>
      <c r="ET305" s="7">
        <v>0.2522964142389586</v>
      </c>
      <c r="EU305" s="6">
        <v>1410.5</v>
      </c>
      <c r="EV305" s="6">
        <v>0</v>
      </c>
      <c r="EW305" s="6">
        <v>1410.5</v>
      </c>
      <c r="EX305" s="6">
        <v>0</v>
      </c>
      <c r="EY305" s="6">
        <v>2134.5682801767207</v>
      </c>
      <c r="EZ305" s="6">
        <v>2603.5</v>
      </c>
      <c r="FA305" s="6">
        <v>0</v>
      </c>
      <c r="FB305" s="6">
        <v>0</v>
      </c>
      <c r="FC305" s="6">
        <v>0</v>
      </c>
      <c r="FD305" s="6">
        <v>0</v>
      </c>
      <c r="FE305" s="6">
        <v>0</v>
      </c>
      <c r="FF305" s="6">
        <v>0</v>
      </c>
      <c r="FG305" s="6">
        <v>0</v>
      </c>
      <c r="FH305" s="6">
        <v>1171.986965217277</v>
      </c>
      <c r="FI305" s="6">
        <v>1553.9796069512397</v>
      </c>
      <c r="FJ305" s="6">
        <v>2101.2110117447414</v>
      </c>
      <c r="FK305" s="6">
        <v>1772.7139978623234</v>
      </c>
      <c r="FL305" s="6">
        <v>907.07682140966324</v>
      </c>
      <c r="FM305" s="6">
        <v>1724.0682801767209</v>
      </c>
      <c r="FN305" s="6">
        <v>0</v>
      </c>
      <c r="FO305" s="6">
        <v>0</v>
      </c>
      <c r="FP305" s="6">
        <v>0</v>
      </c>
      <c r="FQ305" s="6">
        <v>0</v>
      </c>
      <c r="FR305" s="6">
        <v>0</v>
      </c>
      <c r="FS305" s="6">
        <v>0</v>
      </c>
      <c r="FT305" s="7">
        <v>0.74770358576104146</v>
      </c>
      <c r="FU305" s="7">
        <v>4.6248251517522453E-2</v>
      </c>
      <c r="FV305" s="7">
        <v>0.20604816272143611</v>
      </c>
      <c r="FW305" s="6">
        <v>1410.4999999999998</v>
      </c>
      <c r="FX305" s="6">
        <v>2134.5682801767207</v>
      </c>
      <c r="FY305" s="6">
        <v>2603.5</v>
      </c>
      <c r="FZ305" s="6">
        <v>1858.9243755539039</v>
      </c>
      <c r="GA305" s="6">
        <v>1689.8023500641461</v>
      </c>
      <c r="GB305" s="6">
        <v>18295.197649935853</v>
      </c>
      <c r="GC305" s="7">
        <v>2.9156573141622111E-2</v>
      </c>
      <c r="GD305" s="7">
        <v>2.9121152226702498E-2</v>
      </c>
      <c r="GE305" s="7"/>
      <c r="GF305" s="7"/>
      <c r="GG305" s="7">
        <v>-1.2148517847952742E-3</v>
      </c>
      <c r="GH305" s="42">
        <v>0.14355795969699942</v>
      </c>
      <c r="GI305" s="6">
        <v>140901.86723438918</v>
      </c>
      <c r="GJ305" s="14">
        <v>0.50394797582841722</v>
      </c>
      <c r="GK305" s="14">
        <v>0.50887573065309732</v>
      </c>
      <c r="GL305" s="14">
        <v>0.49605202417158273</v>
      </c>
      <c r="GM305" s="14">
        <v>0.49112426934690245</v>
      </c>
      <c r="GO305" s="5">
        <v>343.14810671672558</v>
      </c>
      <c r="GP305" s="5">
        <v>316.23845756186267</v>
      </c>
      <c r="GQ305" s="5">
        <v>535.04305713031317</v>
      </c>
      <c r="GR305" s="5">
        <v>410.15490233172511</v>
      </c>
      <c r="GS305" s="5">
        <v>339.42744393800166</v>
      </c>
      <c r="GT305" s="5">
        <v>293.4407446948278</v>
      </c>
      <c r="GU305" s="5">
        <v>258.04012322764959</v>
      </c>
      <c r="GV305" s="39" t="s">
        <v>392</v>
      </c>
      <c r="GW305" s="5">
        <v>488.22222222222223</v>
      </c>
      <c r="GX305" s="5">
        <v>366.16666666666669</v>
      </c>
      <c r="GY305" s="5">
        <v>292.93333333333334</v>
      </c>
      <c r="GZ305" s="5">
        <v>258.48275426623593</v>
      </c>
      <c r="HA305" s="5">
        <v>239.43473807367351</v>
      </c>
      <c r="HB305" s="39">
        <v>271.44527443203731</v>
      </c>
      <c r="HC305" s="5">
        <v>173.38124999999997</v>
      </c>
      <c r="HD305" s="5">
        <v>162.06198830409352</v>
      </c>
      <c r="HE305" s="5">
        <v>168.7824983130904</v>
      </c>
      <c r="HF305" s="5">
        <v>160.70281798245611</v>
      </c>
      <c r="HG305" s="5">
        <v>160.73096491228068</v>
      </c>
      <c r="HH305" s="39">
        <v>163.07743771159352</v>
      </c>
      <c r="HI305" s="16"/>
      <c r="HJ305" s="19" t="str">
        <f t="shared" si="931"/>
        <v>On</v>
      </c>
      <c r="HK305" s="1" t="str">
        <f t="shared" si="931"/>
        <v>On</v>
      </c>
      <c r="HL305" s="16"/>
      <c r="HM305" s="639">
        <f t="shared" si="878"/>
        <v>2.2758057894877178E-2</v>
      </c>
      <c r="HN305" s="639">
        <f t="shared" si="879"/>
        <v>1.416759231746561E-3</v>
      </c>
      <c r="HO305" s="639">
        <f t="shared" si="880"/>
        <v>4.5732401537654987E-3</v>
      </c>
      <c r="HP305" s="644">
        <f>(FT305*$GD305-HM305)/$JF305*INDEX(Input!$1:$1048576,$JG$93,$C305*2+6)</f>
        <v>-55.111529438244752</v>
      </c>
      <c r="HQ305" s="644">
        <f>(FU305*$GD305-HN305)/$JF305*INDEX(Input!$1:$1048576,$JG$93,$C305*2+6)</f>
        <v>-3.9178488490502414</v>
      </c>
      <c r="HR305" s="644">
        <f>(FV305*$GD305-HO305)/$JF305*INDEX(Input!$1:$1048576,$JG$93,$C305*2+6)</f>
        <v>79.92410719734599</v>
      </c>
      <c r="HS305" s="644">
        <f t="shared" si="881"/>
        <v>4.7068333901790799E-4</v>
      </c>
      <c r="HT305" s="644">
        <f t="shared" si="882"/>
        <v>-4.8685428651625867E-2</v>
      </c>
      <c r="HU305" s="644">
        <f t="shared" si="883"/>
        <v>11.311353262205071</v>
      </c>
      <c r="HV305" s="648">
        <f t="shared" si="884"/>
        <v>0</v>
      </c>
      <c r="HW305" s="648">
        <f t="shared" si="885"/>
        <v>0</v>
      </c>
      <c r="HX305" s="648">
        <f t="shared" si="886"/>
        <v>0</v>
      </c>
      <c r="HY305" s="644">
        <f>INDEX(Input!$1:$1048576,HY$93,$C305*2+6)*INDEX(Input!$1:$1048576,$JG$93,$C305*2+6)</f>
        <v>509.00000000000006</v>
      </c>
      <c r="HZ305" s="644">
        <f>INDEX(Input!$1:$1048576,HZ$93,$C305*2+6)*INDEX(Input!$1:$1048576,$JG$93,$C305*2+6)</f>
        <v>844</v>
      </c>
      <c r="IA305" s="644">
        <f>INDEX(Input!$1:$1048576,IA$93,$C305*2+6)*INDEX(Input!$1:$1048576,$JG$93,$C305*2+6)</f>
        <v>257</v>
      </c>
      <c r="IB305" s="644">
        <f t="shared" si="910"/>
        <v>453.88894124509437</v>
      </c>
      <c r="IC305" s="644">
        <f t="shared" si="911"/>
        <v>840.03346572229816</v>
      </c>
      <c r="ID305" s="644">
        <f>IF(AND(INDEX(Input!$1:$1048576,IA$93,$C305*2+7)="TOS",Y305&lt;=INDEX(Y:Y,MATCH(C305*1000+2,A:A))),0,1)*MAX(IA305+HR305+HU305+HX305,0%)</f>
        <v>348.23546045955101</v>
      </c>
      <c r="IE305" s="128">
        <f t="shared" ref="IE305:IE306" si="942">IB305/SUM($IB305:$ID305)</f>
        <v>0.27639787273088529</v>
      </c>
      <c r="IF305" s="128">
        <f t="shared" si="933"/>
        <v>0.51154245422124112</v>
      </c>
      <c r="IG305" s="128">
        <f t="shared" si="888"/>
        <v>0.2120596730478736</v>
      </c>
      <c r="IH305" s="21"/>
      <c r="II305" s="19">
        <f t="shared" si="889"/>
        <v>1410.4999999999998</v>
      </c>
      <c r="IJ305" s="19">
        <f t="shared" si="890"/>
        <v>2134.9731585778086</v>
      </c>
      <c r="IK305" s="19">
        <f t="shared" si="891"/>
        <v>2103.5</v>
      </c>
      <c r="IL305" s="19">
        <f t="shared" si="913"/>
        <v>0</v>
      </c>
      <c r="IM305" s="19">
        <f t="shared" si="892"/>
        <v>-0.40487840108789896</v>
      </c>
      <c r="IN305" s="19">
        <f t="shared" si="893"/>
        <v>500</v>
      </c>
      <c r="IO305" s="39">
        <f t="shared" si="894"/>
        <v>0</v>
      </c>
      <c r="IP305" s="39">
        <f t="shared" si="895"/>
        <v>0</v>
      </c>
      <c r="IQ305" s="39">
        <f t="shared" si="896"/>
        <v>0</v>
      </c>
      <c r="IR305" s="39">
        <v>0</v>
      </c>
      <c r="IS305" s="39">
        <v>0</v>
      </c>
      <c r="IT305" s="39">
        <v>0</v>
      </c>
      <c r="IU305" s="39">
        <v>0</v>
      </c>
      <c r="IV305" s="39">
        <v>0</v>
      </c>
      <c r="IW305" s="39">
        <v>0</v>
      </c>
      <c r="IX305" s="39">
        <f>INDEX(Input!$1:$1048576,IX$93,$C305*2+6)+INDEX(Input!$1:$1048576,IX$94,$C305*2+6)</f>
        <v>1611</v>
      </c>
      <c r="IY305" s="39">
        <f>INDEX(Input!$1:$1048576,IY$93,$C305*2+6)+INDEX(Input!$1:$1048576,IY$94,$C305*2+6)</f>
        <v>2471.0624533823611</v>
      </c>
      <c r="IZ305" s="39">
        <f>INDEX(Input!$1:$1048576,IZ$93,$C305*2+6)+INDEX(Input!$1:$1048576,IZ$94,$C305*2+6)</f>
        <v>3994.7164157747857</v>
      </c>
      <c r="JA305" s="19">
        <f t="shared" si="914"/>
        <v>1611</v>
      </c>
      <c r="JB305" s="19">
        <f t="shared" si="915"/>
        <v>2470.6575749812732</v>
      </c>
      <c r="JC305" s="19">
        <f t="shared" si="916"/>
        <v>4494.7164157747857</v>
      </c>
      <c r="JD305" s="19">
        <f t="shared" si="917"/>
        <v>2662.2713059877879</v>
      </c>
      <c r="JE305" s="21"/>
      <c r="JF305" s="1">
        <f t="shared" si="897"/>
        <v>2.8748057280389237E-2</v>
      </c>
      <c r="JG305" s="15">
        <f>INDEX(Input!$1:$1048576,JG$93,$C305*2+6)/(1+VLOOKUP(C305*1000+INDEX(Input!$1:$1048576,JG$93+1,$C305*2+6),$A:$KK,$JK$92,FALSE))</f>
        <v>1610</v>
      </c>
      <c r="JH305" s="1">
        <f t="shared" si="918"/>
        <v>1.2978092490714903E-2</v>
      </c>
      <c r="JI305" s="1">
        <f t="shared" si="919"/>
        <v>6.9957382092499772E-3</v>
      </c>
      <c r="JJ305" s="1">
        <f t="shared" si="920"/>
        <v>0</v>
      </c>
      <c r="JK305" s="1">
        <f>SUM(JH305:JJ305)</f>
        <v>1.9973830699964879E-2</v>
      </c>
      <c r="JL305" s="15">
        <f t="shared" si="922"/>
        <v>32.157867426943454</v>
      </c>
      <c r="JM305" s="15">
        <f t="shared" si="923"/>
        <v>1642.1578674269435</v>
      </c>
      <c r="JN305" s="21"/>
      <c r="JO305" s="19">
        <f>INDEX(Input!$1:$1048576,JO$93,$C305*2+6)</f>
        <v>5995.5</v>
      </c>
      <c r="JP305" s="19">
        <f>INDEX(Input!$1:$1048576,JP$93,$C305*2+6)</f>
        <v>2442.3713226762939</v>
      </c>
      <c r="JQ305" s="39">
        <f t="shared" si="934"/>
        <v>3333.2286940122121</v>
      </c>
      <c r="JR305" s="39">
        <f t="shared" si="935"/>
        <v>219.899983311494</v>
      </c>
      <c r="JS305" s="39">
        <f t="shared" si="936"/>
        <v>4.3718697703528493</v>
      </c>
      <c r="JT305" s="39">
        <f t="shared" si="924"/>
        <v>0.4396519408440166</v>
      </c>
      <c r="JU305" s="385">
        <f>(JQ305*JM305-INDEX(Input!$1:$1048576,Input!A$18,$C305*2+6)*JL305*INDEX(Input!$1:$1048576,Input!A$19,$C305*2+6))/1000000</f>
        <v>5.4736877238053907</v>
      </c>
      <c r="JV305" s="39">
        <f t="shared" si="900"/>
        <v>-0.24684944668577646</v>
      </c>
      <c r="JW305" s="1">
        <f t="shared" ref="JW305" si="943">JV305/(JU305-JV305)</f>
        <v>-4.3151445280195933E-2</v>
      </c>
      <c r="JX305" s="19">
        <f t="shared" si="940"/>
        <v>13671.675892153669</v>
      </c>
      <c r="JZ305" s="468">
        <f>(IA305+HR305)/SUM(HP305:HR305,HY305:IA305)*IN305</f>
        <v>103.29425352380557</v>
      </c>
      <c r="KA305" s="469">
        <f>JH305/(JZ305/BX305)</f>
        <v>2.5109545747108055</v>
      </c>
      <c r="KB305" s="469">
        <f>KB304</f>
        <v>2.5190675447988795</v>
      </c>
      <c r="KC305" s="469">
        <f>MIN(KE304+1)</f>
        <v>3.7467371496393835</v>
      </c>
      <c r="KD305" s="469">
        <f>KC305+2</f>
        <v>5.7467371496393831</v>
      </c>
      <c r="KE305" s="469">
        <f>MIN(MAX(KA305,KC305),KD305)</f>
        <v>3.7467371496393835</v>
      </c>
      <c r="KF305" s="470">
        <f>A305</f>
        <v>3005</v>
      </c>
      <c r="KG305" s="471">
        <f>(JH305/KA305*KE305-JH305)/MAX(IL305:IN305)*1000</f>
        <v>1.2774504738050918E-2</v>
      </c>
      <c r="KH305" s="472"/>
      <c r="KI305" s="473">
        <f t="shared" si="938"/>
        <v>-55.111058754905741</v>
      </c>
      <c r="KJ305" s="473">
        <f t="shared" si="925"/>
        <v>-3.9665342777018395</v>
      </c>
      <c r="KK305" s="473">
        <f t="shared" si="926"/>
        <v>91.235460459551007</v>
      </c>
      <c r="KL305" s="472" t="str">
        <f>IF(OR(KI305&gt;0,KJ305&gt;0),"Error - Adjust TR","ok")</f>
        <v>ok</v>
      </c>
      <c r="KN305" s="544">
        <f t="shared" si="941"/>
        <v>3002</v>
      </c>
      <c r="KO305" s="541">
        <f t="shared" si="901"/>
        <v>-1.0230368037142723E-2</v>
      </c>
      <c r="KP305" s="546">
        <f t="shared" si="902"/>
        <v>-91.521243245979477</v>
      </c>
      <c r="KQ305" s="546">
        <f t="shared" si="903"/>
        <v>26.35788059908964</v>
      </c>
      <c r="KR305" s="548">
        <f t="shared" si="904"/>
        <v>1.9393043021661793</v>
      </c>
      <c r="KS305" s="548">
        <f t="shared" si="905"/>
        <v>-6.7337561568837039</v>
      </c>
      <c r="KT305" s="473">
        <f t="shared" si="939"/>
        <v>1026.1618045255443</v>
      </c>
      <c r="KU305" s="663">
        <f t="shared" si="927"/>
        <v>4.5062409938625292</v>
      </c>
      <c r="KV305" s="117"/>
    </row>
    <row r="306" spans="1:308" s="26" customFormat="1" ht="15">
      <c r="A306" s="561">
        <f t="shared" si="906"/>
        <v>3006</v>
      </c>
      <c r="B306" s="561">
        <f t="shared" si="928"/>
        <v>6</v>
      </c>
      <c r="C306" s="561">
        <f t="shared" si="929"/>
        <v>3</v>
      </c>
      <c r="D306" s="561" t="s">
        <v>742</v>
      </c>
      <c r="E306" s="115">
        <f>INDEX(Input!$1:$1048576,E$93,$C306*2+MIN($B306,1)+5)</f>
        <v>1000</v>
      </c>
      <c r="F306" s="115">
        <f>INDEX(Input!$1:$1048576,F$93,$C306*2+MIN($B306,1)+5)</f>
        <v>0</v>
      </c>
      <c r="G306" s="115">
        <f>INDEX(Input!$1:$1048576,G$93,$C306*2+MIN($B306,1)+5)</f>
        <v>0</v>
      </c>
      <c r="H306" s="115">
        <f>INDEX(Input!$1:$1048576,H$93,$C306*2+MIN($B306,1)+5)</f>
        <v>0</v>
      </c>
      <c r="I306" s="118">
        <f>INDEX(Input!$1:$1048576,I$93,$C306*2+MIN($B306,1)+5)</f>
        <v>0.7</v>
      </c>
      <c r="J306" s="118" t="str">
        <f>INDEX(Input!$1:$1048576,J$93,$C306*2+MIN($B306,1)+5)</f>
        <v>Market</v>
      </c>
      <c r="K306" s="118" t="str">
        <f>INDEX(Input!$1:$1048576,K$93,$C306*2+MIN($B306,1)+5)</f>
        <v>Market</v>
      </c>
      <c r="L306" s="118" t="str">
        <f>INDEX(Input!$1:$1048576,L$93,$C306*2+MIN($B306,1)+5)</f>
        <v>Market</v>
      </c>
      <c r="M306" s="118" t="str">
        <f>INDEX(Input!$1:$1048576,M$93,$C306*2+MIN($B306,1)+5)</f>
        <v>Market</v>
      </c>
      <c r="N306" s="118" t="str">
        <f>INDEX(Input!$1:$1048576,N$93,$C306*2+MIN($B306,1)+5)</f>
        <v>Market</v>
      </c>
      <c r="O306" s="118" t="str">
        <f>INDEX(Input!$1:$1048576,O$93,$C306*2+MIN($B306,1)+5)</f>
        <v>Market</v>
      </c>
      <c r="P306" s="118" t="str">
        <f>INDEX(Input!$1:$1048576,P$93,$C306*2+MIN($B306,1)+5)</f>
        <v>N</v>
      </c>
      <c r="Q306" s="30">
        <f>INDEX(Input!$1:$1048576,Q$93,$C306*2+MIN($B306,1)+5)</f>
        <v>0</v>
      </c>
      <c r="R306" s="383">
        <f>INDEX(Input!$1:$1048576,R$93,$C306*2+MIN($B306,1)+5)</f>
        <v>0</v>
      </c>
      <c r="S306" s="383">
        <f>INDEX(Input!$1:$1048576,S$93,$C306*2+MIN($B306,1)+5)</f>
        <v>0</v>
      </c>
      <c r="T306" s="383">
        <f>INDEX(Input!$1:$1048576,T$93,$C306*2+MIN($B306,1)+5)</f>
        <v>0</v>
      </c>
      <c r="U306" s="383">
        <f>INDEX(Input!$1:$1048576,U$93,$C306*2+MIN($B306,1)+5)</f>
        <v>0</v>
      </c>
      <c r="V306" s="383">
        <f>INDEX(Input!$1:$1048576,V$93,$C306*2+MIN($B306,1)+5)</f>
        <v>1.9E-2</v>
      </c>
      <c r="W306" s="884">
        <f>INDEX(Input!$1:$1048576,W$93,$C306*2+MIN($B306,1)+5)</f>
        <v>3.9E-2</v>
      </c>
      <c r="X306" s="118" t="str">
        <f>INDEX(Input!$1:$1048576,X$93,$C306*2+MIN($B306,1)+5)</f>
        <v>Y</v>
      </c>
      <c r="Y306" s="150">
        <f>INDEX(Input!$1:$1048576,Y$93,$C306*2+MIN($B306,1)+5)</f>
        <v>1962</v>
      </c>
      <c r="Z306" s="477">
        <f>INDEX(Input!$1:$1048576,Z$93,$C306*2+MIN($B306,1)+5)+500</f>
        <v>500</v>
      </c>
      <c r="AA306" s="115">
        <f>INDEX(Input!$1:$1048576,AA$93,$C306*2+MIN($B306,1)+5)</f>
        <v>1000</v>
      </c>
      <c r="AB306" s="118">
        <f>INDEX(Input!$1:$1048576,AB$93,$C306*2+MIN($B306,1)+5)</f>
        <v>0.27</v>
      </c>
      <c r="AC306" s="115">
        <f>INDEX(Input!$1:$1048576,AC$93,$C306*2+MIN($B306,1)+5)</f>
        <v>1000</v>
      </c>
      <c r="AD306" s="118">
        <f>INDEX(Input!$1:$1048576,AD$93,$C306*2+MIN($B306,1)+5)</f>
        <v>0.27</v>
      </c>
      <c r="AE306" s="115">
        <f>INDEX(Input!$1:$1048576,AE$93,$C306*2+MIN($B306,1)+5)</f>
        <v>500</v>
      </c>
      <c r="AF306" s="118">
        <f>INDEX(Input!$1:$1048576,AF$93,$C306*2+MIN($B306,1)+5)</f>
        <v>0.68200000000000005</v>
      </c>
      <c r="AG306" s="115">
        <f>INDEX(Input!$1:$1048576,AG$93,$C306*2+MIN($B306,1)+5)</f>
        <v>0</v>
      </c>
      <c r="AH306" s="118">
        <f>INDEX(Input!$1:$1048576,AH$93,$C306*2+MIN($B306,1)+5)</f>
        <v>1</v>
      </c>
      <c r="AI306" s="115">
        <f>INDEX(Input!$1:$1048576,AI$93,$C306*2+MIN($B306,1)+5)</f>
        <v>0</v>
      </c>
      <c r="AJ306" s="118">
        <f>INDEX(Input!$1:$1048576,AJ$93,$C306*2+MIN($B306,1)+5)</f>
        <v>0.27</v>
      </c>
      <c r="AK306" s="150">
        <f>ROUND(INDEX(Input!$1:$1048576,AK$93,$C305*2+MIN($B306,1)+5)+(Y306-VLOOKUP($C306*1000+1,$A:$HH,Y$92,FALSE)),0)</f>
        <v>3384</v>
      </c>
      <c r="AL306" s="150">
        <f>ROUND(INDEX(Input!$1:$1048576,AL$93,$C305*2+MIN($B306,1)+5)-(Y306-VLOOKUP($C306*1000+1,$A:$HH,Y$92,FALSE))/36,0)</f>
        <v>3384</v>
      </c>
      <c r="AM306" s="32" t="str">
        <f t="shared" si="907"/>
        <v>std/std/std/std</v>
      </c>
      <c r="AN306" s="32" t="str">
        <f t="shared" si="908"/>
        <v>$0 + 0/0/0/1.9/3.9</v>
      </c>
      <c r="AO306" s="32" t="str">
        <f t="shared" si="909"/>
        <v>0/0/0/1.9/3.9</v>
      </c>
      <c r="AP306" s="32" t="str">
        <f t="shared" si="863"/>
        <v>0/0.9/1.9/3.9</v>
      </c>
      <c r="AQ306" s="536">
        <f t="shared" si="862"/>
        <v>611.30697908973855</v>
      </c>
      <c r="AR306" s="32"/>
      <c r="AS306" s="302"/>
      <c r="AT306" s="3">
        <f t="shared" si="930"/>
        <v>6</v>
      </c>
      <c r="AU306" s="41" t="s">
        <v>121</v>
      </c>
      <c r="AV306" s="41" t="s">
        <v>116</v>
      </c>
      <c r="AW306" s="41" t="str">
        <f>INDEX(Input!$1:$1048576,AW$93,$C306*2+6)</f>
        <v>Kia</v>
      </c>
      <c r="AX306" s="41" t="str">
        <f>INDEX(Input!$1:$1048576,AX$93,$C306*2+6)</f>
        <v>Kia-LR - L3</v>
      </c>
      <c r="AY306" s="41" t="str">
        <f>IF(LEN(D306)=0,"",INDEX(Input!$1:$1048576,AY$93,$C306*2+6))</f>
        <v>Compact SUV (52)</v>
      </c>
      <c r="AZ306" s="41" t="str">
        <f>INDEX(Input!$1:$1048576,AZ$93,$C306*2+6)</f>
        <v>Kia Soul</v>
      </c>
      <c r="BA306" s="3">
        <f>INDEX(Input!$1:$1048576,BA$93,$C306*2+6)</f>
        <v>2020</v>
      </c>
      <c r="BB306" s="128">
        <f>INDEX(Input!$1:$1048576,BB$93,$C306*2+6)</f>
        <v>1</v>
      </c>
      <c r="BC306" s="128">
        <f>INDEX(Input!$1:$1048576,BC$93,$C306*2+6)</f>
        <v>0.7</v>
      </c>
      <c r="BD306" s="1">
        <f>INDEX(Input!$1:$1048576,BD$93,$C306*2+6)</f>
        <v>4.4999999999999998E-2</v>
      </c>
      <c r="BE306" s="1">
        <f>INDEX(Input!$1:$1048576,BE$93,$C306*2+6)</f>
        <v>4.4999999999999998E-2</v>
      </c>
      <c r="BF306" s="1">
        <f>INDEX(Input!$1:$1048576,BF$93,$C306*2+6)</f>
        <v>0.05</v>
      </c>
      <c r="BG306" s="1">
        <f>INDEX(Input!$1:$1048576,BG$93,$C306*2+6)</f>
        <v>5.45E-2</v>
      </c>
      <c r="BH306" s="1">
        <f>INDEX(Input!$1:$1048576,BH$93,$C306*2+6)</f>
        <v>5.45E-2</v>
      </c>
      <c r="BI306" s="1">
        <f>INDEX(Input!$1:$1048576,BI$93,$C306*2+6)</f>
        <v>0.05</v>
      </c>
      <c r="BJ306" s="1">
        <f>INDEX(Input!$1:$1048576,BJ$93,$C306*2+6)</f>
        <v>0.05</v>
      </c>
      <c r="BK306" s="1">
        <f>INDEX(Input!$1:$1048576,BK$93,$C306*2+6)</f>
        <v>0.05</v>
      </c>
      <c r="BL306" s="1">
        <f>INDEX(Input!$1:$1048576,BL$93,$C306*2+6)</f>
        <v>5.5E-2</v>
      </c>
      <c r="BM306" s="1">
        <f>INDEX(Input!$1:$1048576,BM$93,$C306*2+6)</f>
        <v>0.06</v>
      </c>
      <c r="BN306" s="1">
        <f>INDEX(Input!$1:$1048576,BN$93,$C306*2+6)</f>
        <v>4.4999999999999998E-2</v>
      </c>
      <c r="BO306" s="1">
        <f>INDEX(Input!$1:$1048576,BO$93,$C306*2+6)</f>
        <v>4.4999999999999998E-2</v>
      </c>
      <c r="BP306" s="1">
        <f>INDEX(Input!$1:$1048576,BP$93,$C306*2+6)</f>
        <v>0.05</v>
      </c>
      <c r="BQ306" s="1">
        <f>INDEX(Input!$1:$1048576,BQ$93,$C306*2+6)</f>
        <v>5.45E-2</v>
      </c>
      <c r="BR306" s="1">
        <f>INDEX(Input!$1:$1048576,BR$93,$C306*2+6)</f>
        <v>5.45E-2</v>
      </c>
      <c r="BS306" s="1">
        <f>INDEX(Input!$1:$1048576,BS$93,$C306*2+6)</f>
        <v>0.05</v>
      </c>
      <c r="BT306" s="1">
        <f>INDEX(Input!$1:$1048576,BT$93,$C306*2+6)</f>
        <v>0.05</v>
      </c>
      <c r="BU306" s="1">
        <f>INDEX(Input!$1:$1048576,BU$93,$C306*2+6)</f>
        <v>0.05</v>
      </c>
      <c r="BV306" s="1">
        <f>INDEX(Input!$1:$1048576,BV$93,$C306*2+6)</f>
        <v>5.5E-2</v>
      </c>
      <c r="BW306" s="1">
        <f>INDEX(Input!$1:$1048576,BW$93,$C306*2+6)</f>
        <v>0.06</v>
      </c>
      <c r="BX306" s="127">
        <f>INDEX(Input!$1:$1048576,BX$93,$C306*2+6)</f>
        <v>19985</v>
      </c>
      <c r="BY306" s="20">
        <f>INDEX(Input!$1:$1048576,BY$93,$C306*2+6)</f>
        <v>0.1</v>
      </c>
      <c r="BZ306" s="20">
        <f>INDEX(Input!$1:$1048576,BZ$93,$C306*2+6)</f>
        <v>0.1</v>
      </c>
      <c r="CA306" s="20">
        <f>INDEX(Input!$1:$1048576,CA$93,$C306*2+6)</f>
        <v>0.1</v>
      </c>
      <c r="CB306" s="20">
        <f>INDEX(Input!$1:$1048576,CB$93,$C306*2+6)</f>
        <v>0.1</v>
      </c>
      <c r="CC306" s="20">
        <f>INDEX(Input!$1:$1048576,CC$93,$C306*2+6)</f>
        <v>0.1</v>
      </c>
      <c r="CD306" s="384">
        <f>INDEX(Input!$1:$1048576,CD$93,$C306*2+6)</f>
        <v>0.1</v>
      </c>
      <c r="CE306" s="384">
        <f>INDEX(Input!$1:$1048576,CE$93,$C306*2+6)</f>
        <v>0.1</v>
      </c>
      <c r="CF306" s="384">
        <f>INDEX(Input!$1:$1048576,CF$93,$C306*2+6)</f>
        <v>0.1</v>
      </c>
      <c r="CG306" s="384">
        <f>INDEX(Input!$1:$1048576,CG$93,$C306*2+6)</f>
        <v>0.1</v>
      </c>
      <c r="CH306" s="384">
        <f>INDEX(Input!$1:$1048576,CH$93,$C306*2+6)</f>
        <v>0.1</v>
      </c>
      <c r="CI306" s="304">
        <f t="shared" si="864"/>
        <v>1270</v>
      </c>
      <c r="CJ306" s="16" t="str">
        <f>INDEX(Input!$1:$1048576,CJ$93,$C306*2+6)</f>
        <v>N</v>
      </c>
      <c r="CK306" s="1" t="str">
        <f t="shared" si="865"/>
        <v>Market</v>
      </c>
      <c r="CL306" s="1" t="str">
        <f t="shared" si="866"/>
        <v>Market</v>
      </c>
      <c r="CM306" s="1" t="str">
        <f t="shared" si="867"/>
        <v>Market</v>
      </c>
      <c r="CN306" s="1" t="str">
        <f t="shared" si="868"/>
        <v>Market</v>
      </c>
      <c r="CO306" s="1" t="str">
        <f t="shared" si="869"/>
        <v>Market</v>
      </c>
      <c r="CP306" s="304">
        <f t="shared" si="870"/>
        <v>0</v>
      </c>
      <c r="CQ306" s="1">
        <f t="shared" si="871"/>
        <v>0</v>
      </c>
      <c r="CR306" s="1">
        <f t="shared" si="872"/>
        <v>0</v>
      </c>
      <c r="CS306" s="1">
        <f t="shared" si="873"/>
        <v>0</v>
      </c>
      <c r="CT306" s="1">
        <f t="shared" si="874"/>
        <v>1.9E-2</v>
      </c>
      <c r="CU306" s="1">
        <f t="shared" si="875"/>
        <v>3.9E-2</v>
      </c>
      <c r="CV306" s="304">
        <f t="shared" si="876"/>
        <v>2232</v>
      </c>
      <c r="CW306" s="20" t="s">
        <v>122</v>
      </c>
      <c r="CX306" s="20" t="s">
        <v>122</v>
      </c>
      <c r="CY306" s="20" t="s">
        <v>122</v>
      </c>
      <c r="CZ306" s="20" t="s">
        <v>122</v>
      </c>
      <c r="DA306" s="20" t="s">
        <v>122</v>
      </c>
      <c r="DB306" s="503">
        <f t="shared" si="877"/>
        <v>841</v>
      </c>
      <c r="DC306" s="127">
        <v>0</v>
      </c>
      <c r="DD306" s="127">
        <v>0</v>
      </c>
      <c r="DE306" s="127">
        <v>0</v>
      </c>
      <c r="DF306" s="127">
        <v>0</v>
      </c>
      <c r="DG306" s="127">
        <v>0</v>
      </c>
      <c r="DH306" s="127">
        <v>0</v>
      </c>
      <c r="DI306" s="127">
        <v>0</v>
      </c>
      <c r="DJ306" s="127">
        <v>0</v>
      </c>
      <c r="DK306" s="127">
        <v>0</v>
      </c>
      <c r="DL306" s="127">
        <v>0</v>
      </c>
      <c r="DM306" s="304">
        <f>INDEX(Input!$1:$1048576,DM$93,$C306*2+6)</f>
        <v>21036.84210526316</v>
      </c>
      <c r="DN306" s="20">
        <v>0</v>
      </c>
      <c r="DO306" s="20">
        <v>0</v>
      </c>
      <c r="DP306" s="20">
        <v>0</v>
      </c>
      <c r="DQ306" s="20">
        <v>0</v>
      </c>
      <c r="DR306" s="20">
        <v>0</v>
      </c>
      <c r="DS306" s="20">
        <f>INDEX(Input!$1:$1048576,DS$93,$C306*2+6)</f>
        <v>0.6</v>
      </c>
      <c r="DT306" s="20">
        <f>INDEX(Input!$1:$1048576,DT$93,$C306*2+6)</f>
        <v>0.55000000000000004</v>
      </c>
      <c r="DU306" s="20">
        <f>INDEX(Input!$1:$1048576,DU$93,$C306*2+6)</f>
        <v>0.52</v>
      </c>
      <c r="DV306" s="20">
        <f>INDEX(Input!$1:$1048576,DV$93,$C306*2+6)</f>
        <v>0.5</v>
      </c>
      <c r="DW306" s="20">
        <f>INDEX(Input!$1:$1048576,DW$93,$C306*2+6)</f>
        <v>0.45</v>
      </c>
      <c r="DX306" s="20"/>
      <c r="DY306" s="7">
        <v>0.10225312780472566</v>
      </c>
      <c r="DZ306" s="7">
        <v>0</v>
      </c>
      <c r="EA306" s="7">
        <v>0.6837808219907191</v>
      </c>
      <c r="EB306" s="7">
        <v>0</v>
      </c>
      <c r="EC306" s="7">
        <v>0</v>
      </c>
      <c r="ED306" s="7">
        <v>0</v>
      </c>
      <c r="EE306" s="7">
        <v>0</v>
      </c>
      <c r="EF306" s="7">
        <v>0</v>
      </c>
      <c r="EG306" s="7">
        <v>0</v>
      </c>
      <c r="EH306" s="7">
        <v>1.2000560870296264E-2</v>
      </c>
      <c r="EI306" s="7">
        <v>3.3600254762999729E-2</v>
      </c>
      <c r="EJ306" s="7">
        <v>0.27040404708657756</v>
      </c>
      <c r="EK306" s="7">
        <v>0.54256964287274778</v>
      </c>
      <c r="EL306" s="7">
        <v>0.14142549440737892</v>
      </c>
      <c r="EM306" s="7">
        <v>4.8689292697347793E-2</v>
      </c>
      <c r="EN306" s="7">
        <v>6.4371544015093055E-2</v>
      </c>
      <c r="EO306" s="7">
        <v>0.7898637109323301</v>
      </c>
      <c r="EP306" s="7">
        <v>5.9920584635065263E-2</v>
      </c>
      <c r="EQ306" s="7">
        <v>5.5872153922012335E-2</v>
      </c>
      <c r="ER306" s="7">
        <v>2.9972006495499092E-2</v>
      </c>
      <c r="ES306" s="7">
        <v>0.16527675750720747</v>
      </c>
      <c r="ET306" s="7">
        <v>0.21396605020455525</v>
      </c>
      <c r="EU306" s="6">
        <v>1910.5</v>
      </c>
      <c r="EV306" s="6">
        <v>0</v>
      </c>
      <c r="EW306" s="6">
        <v>1910.5</v>
      </c>
      <c r="EX306" s="6">
        <v>0</v>
      </c>
      <c r="EY306" s="6">
        <v>2635.0593584083358</v>
      </c>
      <c r="EZ306" s="6">
        <v>2603.5</v>
      </c>
      <c r="FA306" s="6">
        <v>0</v>
      </c>
      <c r="FB306" s="6">
        <v>0</v>
      </c>
      <c r="FC306" s="6">
        <v>0</v>
      </c>
      <c r="FD306" s="6">
        <v>0</v>
      </c>
      <c r="FE306" s="6">
        <v>0</v>
      </c>
      <c r="FF306" s="6">
        <v>0</v>
      </c>
      <c r="FG306" s="6">
        <v>0</v>
      </c>
      <c r="FH306" s="6">
        <v>1172.0033623931668</v>
      </c>
      <c r="FI306" s="6">
        <v>1553.9796069512397</v>
      </c>
      <c r="FJ306" s="6">
        <v>2101.211011744741</v>
      </c>
      <c r="FK306" s="6">
        <v>1772.7139978623227</v>
      </c>
      <c r="FL306" s="6">
        <v>907.07682140966301</v>
      </c>
      <c r="FM306" s="6">
        <v>1724.5593584083358</v>
      </c>
      <c r="FN306" s="6">
        <v>0</v>
      </c>
      <c r="FO306" s="6">
        <v>0</v>
      </c>
      <c r="FP306" s="6">
        <v>0</v>
      </c>
      <c r="FQ306" s="6">
        <v>0</v>
      </c>
      <c r="FR306" s="6">
        <v>0</v>
      </c>
      <c r="FS306" s="6">
        <v>0</v>
      </c>
      <c r="FT306" s="7">
        <v>0.78603394979544472</v>
      </c>
      <c r="FU306" s="7">
        <v>4.8689292697347793E-2</v>
      </c>
      <c r="FV306" s="7">
        <v>0.16527675750720747</v>
      </c>
      <c r="FW306" s="6">
        <v>1910.5000000000002</v>
      </c>
      <c r="FX306" s="6">
        <v>2635.0593584083354</v>
      </c>
      <c r="FY306" s="6">
        <v>2603.5</v>
      </c>
      <c r="FZ306" s="6">
        <v>1858.9243755539039</v>
      </c>
      <c r="GA306" s="6">
        <v>2060.3150756306409</v>
      </c>
      <c r="GB306" s="6">
        <v>17924.684924369358</v>
      </c>
      <c r="GC306" s="7">
        <v>2.9156573141622111E-2</v>
      </c>
      <c r="GD306" s="7">
        <v>3.0559873594400939E-2</v>
      </c>
      <c r="GE306" s="7"/>
      <c r="GF306" s="7"/>
      <c r="GG306" s="7">
        <v>4.8129814363388389E-2</v>
      </c>
      <c r="GH306" s="42">
        <v>4.7761606652432755</v>
      </c>
      <c r="GI306" s="6">
        <v>6244.6383010684604</v>
      </c>
      <c r="GJ306" s="14">
        <v>0.50394797582841722</v>
      </c>
      <c r="GK306" s="14">
        <v>0.50887573065309755</v>
      </c>
      <c r="GL306" s="14">
        <v>0.49605202417158278</v>
      </c>
      <c r="GM306" s="14">
        <v>0.49112426934690256</v>
      </c>
      <c r="GO306" s="5">
        <v>343.14810671672558</v>
      </c>
      <c r="GP306" s="5">
        <v>306.69941142401694</v>
      </c>
      <c r="GQ306" s="5">
        <v>535.04305713031317</v>
      </c>
      <c r="GR306" s="5">
        <v>410.15490233172511</v>
      </c>
      <c r="GS306" s="5">
        <v>339.42744393800166</v>
      </c>
      <c r="GT306" s="5">
        <v>293.4407446948278</v>
      </c>
      <c r="GU306" s="5">
        <v>258.04012322764959</v>
      </c>
      <c r="GV306" s="39" t="s">
        <v>392</v>
      </c>
      <c r="GW306" s="5">
        <v>474.33333333333331</v>
      </c>
      <c r="GX306" s="5">
        <v>355.75</v>
      </c>
      <c r="GY306" s="5">
        <v>284.60000000000002</v>
      </c>
      <c r="GZ306" s="5">
        <v>251.12946699193472</v>
      </c>
      <c r="HA306" s="5">
        <v>232.62332654449528</v>
      </c>
      <c r="HB306" s="39">
        <v>263.75664266013621</v>
      </c>
      <c r="HC306" s="5">
        <v>173.38124999999997</v>
      </c>
      <c r="HD306" s="5">
        <v>162.06198830409352</v>
      </c>
      <c r="HE306" s="5">
        <v>168.7824983130904</v>
      </c>
      <c r="HF306" s="5">
        <v>160.70281798245611</v>
      </c>
      <c r="HG306" s="5">
        <v>160.73096491228068</v>
      </c>
      <c r="HH306" s="39">
        <v>163.077490330193</v>
      </c>
      <c r="HI306" s="16"/>
      <c r="HJ306" s="19" t="str">
        <f t="shared" si="931"/>
        <v>On</v>
      </c>
      <c r="HK306" s="1" t="str">
        <f t="shared" si="931"/>
        <v>On</v>
      </c>
      <c r="HL306" s="16"/>
      <c r="HM306" s="639">
        <f t="shared" si="878"/>
        <v>2.2758057894877178E-2</v>
      </c>
      <c r="HN306" s="639">
        <f t="shared" si="879"/>
        <v>1.416759231746561E-3</v>
      </c>
      <c r="HO306" s="639">
        <f t="shared" si="880"/>
        <v>4.5732401537654987E-3</v>
      </c>
      <c r="HP306" s="644">
        <f>(FT306*$GD306-HM306)/$JF306*INDEX(Input!$1:$1048576,$JG$93,$C306*2+6)</f>
        <v>70.735033867900711</v>
      </c>
      <c r="HQ306" s="644">
        <f>(FU306*$GD306-HN306)/$JF306*INDEX(Input!$1:$1048576,$JG$93,$C306*2+6)</f>
        <v>3.9863156819055212</v>
      </c>
      <c r="HR306" s="644">
        <f>(FV306*$GD306-HO306)/$JF306*INDEX(Input!$1:$1048576,$JG$93,$C306*2+6)</f>
        <v>26.747220555927946</v>
      </c>
      <c r="HS306" s="644">
        <f t="shared" si="881"/>
        <v>-46.519757342410024</v>
      </c>
      <c r="HT306" s="644">
        <f t="shared" si="882"/>
        <v>52.003705104744192</v>
      </c>
      <c r="HU306" s="644">
        <f t="shared" si="883"/>
        <v>20.023368599228057</v>
      </c>
      <c r="HV306" s="648">
        <f t="shared" si="884"/>
        <v>0</v>
      </c>
      <c r="HW306" s="648">
        <f t="shared" si="885"/>
        <v>0</v>
      </c>
      <c r="HX306" s="648">
        <f t="shared" si="886"/>
        <v>0</v>
      </c>
      <c r="HY306" s="644">
        <f>INDEX(Input!$1:$1048576,HY$93,$C306*2+6)*INDEX(Input!$1:$1048576,$JG$93,$C306*2+6)</f>
        <v>509.00000000000006</v>
      </c>
      <c r="HZ306" s="644">
        <f>INDEX(Input!$1:$1048576,HZ$93,$C306*2+6)*INDEX(Input!$1:$1048576,$JG$93,$C306*2+6)</f>
        <v>844</v>
      </c>
      <c r="IA306" s="644">
        <f>INDEX(Input!$1:$1048576,IA$93,$C306*2+6)*INDEX(Input!$1:$1048576,$JG$93,$C306*2+6)</f>
        <v>257</v>
      </c>
      <c r="IB306" s="644">
        <f t="shared" si="910"/>
        <v>533.21527652549094</v>
      </c>
      <c r="IC306" s="644">
        <f t="shared" si="911"/>
        <v>899.99002078664967</v>
      </c>
      <c r="ID306" s="644">
        <f>IF(AND(INDEX(Input!$1:$1048576,IA$93,$C306*2+7)="TOS",Y306&lt;=INDEX(Y:Y,MATCH(C306*1000+2,A:A))),0,1)*MAX(IA306+HR306+HU306+HX306,0%)</f>
        <v>303.77058915515596</v>
      </c>
      <c r="IE306" s="128">
        <f t="shared" si="942"/>
        <v>0.30697908973852078</v>
      </c>
      <c r="IF306" s="128">
        <f t="shared" si="933"/>
        <v>0.51813616285547359</v>
      </c>
      <c r="IG306" s="128">
        <f t="shared" si="888"/>
        <v>0.17488474740600568</v>
      </c>
      <c r="IH306" s="21"/>
      <c r="II306" s="19">
        <f t="shared" si="889"/>
        <v>1410.4999999999998</v>
      </c>
      <c r="IJ306" s="19">
        <f t="shared" si="890"/>
        <v>2134.9731585778086</v>
      </c>
      <c r="IK306" s="19">
        <f t="shared" si="891"/>
        <v>2103.5</v>
      </c>
      <c r="IL306" s="19">
        <f t="shared" si="913"/>
        <v>500.00000000000045</v>
      </c>
      <c r="IM306" s="19">
        <f t="shared" si="892"/>
        <v>500.08619983052677</v>
      </c>
      <c r="IN306" s="19">
        <f t="shared" si="893"/>
        <v>500</v>
      </c>
      <c r="IO306" s="39">
        <f t="shared" si="894"/>
        <v>0</v>
      </c>
      <c r="IP306" s="39">
        <f t="shared" si="895"/>
        <v>0</v>
      </c>
      <c r="IQ306" s="39">
        <f t="shared" si="896"/>
        <v>0</v>
      </c>
      <c r="IR306" s="39">
        <v>0</v>
      </c>
      <c r="IS306" s="39">
        <v>0</v>
      </c>
      <c r="IT306" s="39">
        <v>0</v>
      </c>
      <c r="IU306" s="39">
        <v>0</v>
      </c>
      <c r="IV306" s="39">
        <v>0</v>
      </c>
      <c r="IW306" s="39">
        <v>0</v>
      </c>
      <c r="IX306" s="39">
        <f>INDEX(Input!$1:$1048576,IX$93,$C306*2+6)+INDEX(Input!$1:$1048576,IX$94,$C306*2+6)</f>
        <v>1611</v>
      </c>
      <c r="IY306" s="39">
        <f>INDEX(Input!$1:$1048576,IY$93,$C306*2+6)+INDEX(Input!$1:$1048576,IY$94,$C306*2+6)</f>
        <v>2471.0624533823611</v>
      </c>
      <c r="IZ306" s="39">
        <f>INDEX(Input!$1:$1048576,IZ$93,$C306*2+6)+INDEX(Input!$1:$1048576,IZ$94,$C306*2+6)</f>
        <v>3994.7164157747857</v>
      </c>
      <c r="JA306" s="19">
        <f t="shared" si="914"/>
        <v>2111.0000000000005</v>
      </c>
      <c r="JB306" s="19">
        <f t="shared" si="915"/>
        <v>2971.1486532128879</v>
      </c>
      <c r="JC306" s="19">
        <f t="shared" si="916"/>
        <v>4494.7164157747857</v>
      </c>
      <c r="JD306" s="19">
        <f t="shared" si="917"/>
        <v>2973.549765921352</v>
      </c>
      <c r="JE306" s="21"/>
      <c r="JF306" s="1">
        <f t="shared" si="897"/>
        <v>2.8748057280389237E-2</v>
      </c>
      <c r="JG306" s="15">
        <f>INDEX(Input!$1:$1048576,JG$93,$C306*2+6)/(1+VLOOKUP(C306*1000+INDEX(Input!$1:$1048576,JG$93+1,$C306*2+6),$A:$KK,$JK$92,FALSE))</f>
        <v>1610</v>
      </c>
      <c r="JH306" s="1">
        <f t="shared" si="918"/>
        <v>6.3023956587412541E-2</v>
      </c>
      <c r="JI306" s="1">
        <f t="shared" si="919"/>
        <v>1.5843053640721878E-2</v>
      </c>
      <c r="JJ306" s="1">
        <f t="shared" si="920"/>
        <v>0</v>
      </c>
      <c r="JK306" s="1">
        <f t="shared" ref="JK306:JK307" si="944">SUM(JH306:JJ306)</f>
        <v>7.8867010228134415E-2</v>
      </c>
      <c r="JL306" s="15">
        <f t="shared" si="922"/>
        <v>126.97588646729641</v>
      </c>
      <c r="JM306" s="15">
        <f>JG306+JL306</f>
        <v>1736.9758864672965</v>
      </c>
      <c r="JN306" s="21"/>
      <c r="JO306" s="19">
        <f>INDEX(Input!$1:$1048576,JO$93,$C306*2+6)</f>
        <v>5995.5</v>
      </c>
      <c r="JP306" s="19">
        <f>INDEX(Input!$1:$1048576,JP$93,$C306*2+6)</f>
        <v>2442.3713226762939</v>
      </c>
      <c r="JQ306" s="39">
        <f t="shared" si="934"/>
        <v>3021.950234078648</v>
      </c>
      <c r="JR306" s="39">
        <f>JD306-JP306</f>
        <v>531.17844324505813</v>
      </c>
      <c r="JS306" s="39">
        <f t="shared" si="936"/>
        <v>5.1649842406158628</v>
      </c>
      <c r="JT306" s="39">
        <f t="shared" si="924"/>
        <v>1.2327664111070293</v>
      </c>
      <c r="JU306" s="385">
        <f>(JQ306*JM306-INDEX(Input!$1:$1048576,Input!A$18,$C306*2+6)*JL306*INDEX(Input!$1:$1048576,Input!A$19,$C306*2+6))/1000000</f>
        <v>5.2490546866988144</v>
      </c>
      <c r="JV306" s="39">
        <f t="shared" si="900"/>
        <v>-0.4714824837923528</v>
      </c>
      <c r="JW306" s="1">
        <f>JV306/(JU306-JV306)</f>
        <v>-8.2419267586346476E-2</v>
      </c>
      <c r="JX306" s="19">
        <f t="shared" si="940"/>
        <v>9708.6655222882637</v>
      </c>
      <c r="JZ306" s="468">
        <f>DB306-DB301</f>
        <v>500</v>
      </c>
      <c r="KA306" s="469">
        <f>JH306/(JZ306/BX306)</f>
        <v>2.5190675447988795</v>
      </c>
      <c r="KB306" s="469">
        <f t="shared" si="937"/>
        <v>2.5190675447988795</v>
      </c>
      <c r="KI306" s="473">
        <f t="shared" si="938"/>
        <v>24.215276525490879</v>
      </c>
      <c r="KJ306" s="473">
        <f t="shared" si="925"/>
        <v>55.990020786649779</v>
      </c>
      <c r="KK306" s="473">
        <f t="shared" si="926"/>
        <v>46.77058915515596</v>
      </c>
      <c r="KN306" s="544">
        <f t="shared" si="941"/>
        <v>3002</v>
      </c>
      <c r="KO306" s="541">
        <f t="shared" si="901"/>
        <v>4.691882429724914E-2</v>
      </c>
      <c r="KP306" s="546">
        <f t="shared" si="902"/>
        <v>302.14275161340504</v>
      </c>
      <c r="KQ306" s="546">
        <f t="shared" si="903"/>
        <v>337.63634053265378</v>
      </c>
      <c r="KR306" s="548">
        <f t="shared" si="904"/>
        <v>2.694086620861492</v>
      </c>
      <c r="KS306" s="548">
        <f t="shared" si="905"/>
        <v>2.4108742069286451</v>
      </c>
      <c r="KT306" s="473">
        <f t="shared" si="939"/>
        <v>1026.1618045255443</v>
      </c>
      <c r="KU306" s="663">
        <f t="shared" si="927"/>
        <v>4.6555358850666062</v>
      </c>
      <c r="KV306" s="117"/>
    </row>
    <row r="307" spans="1:308" s="26" customFormat="1" ht="15">
      <c r="A307" s="561">
        <f t="shared" si="906"/>
        <v>3007</v>
      </c>
      <c r="B307" s="561">
        <f t="shared" si="928"/>
        <v>7</v>
      </c>
      <c r="C307" s="561">
        <f t="shared" si="929"/>
        <v>3</v>
      </c>
      <c r="D307" s="561" t="s">
        <v>634</v>
      </c>
      <c r="E307" s="475">
        <f>INDEX(Input!$1:$1048576,E$93,$C307*2+MIN($B307,1)+5)</f>
        <v>1000</v>
      </c>
      <c r="F307" s="475">
        <f>INDEX(Input!$1:$1048576,F$93,$C307*2+MIN($B307,1)+5)</f>
        <v>0</v>
      </c>
      <c r="G307" s="475">
        <f>INDEX(Input!$1:$1048576,G$93,$C307*2+MIN($B307,1)+5)</f>
        <v>0</v>
      </c>
      <c r="H307" s="475">
        <f>INDEX(Input!$1:$1048576,H$93,$C307*2+MIN($B307,1)+5)</f>
        <v>0</v>
      </c>
      <c r="I307" s="476">
        <f>INDEX(Input!$1:$1048576,I$93,$C307*2+MIN($B307,1)+5)</f>
        <v>0.7</v>
      </c>
      <c r="J307" s="476" t="str">
        <f>INDEX(Input!$1:$1048576,J$93,$C307*2+MIN($B307,1)+5)</f>
        <v>Market</v>
      </c>
      <c r="K307" s="476" t="str">
        <f>INDEX(Input!$1:$1048576,K$93,$C307*2+MIN($B307,1)+5)</f>
        <v>Market</v>
      </c>
      <c r="L307" s="476" t="str">
        <f>INDEX(Input!$1:$1048576,L$93,$C307*2+MIN($B307,1)+5)</f>
        <v>Market</v>
      </c>
      <c r="M307" s="476" t="str">
        <f>INDEX(Input!$1:$1048576,M$93,$C307*2+MIN($B307,1)+5)</f>
        <v>Market</v>
      </c>
      <c r="N307" s="476" t="str">
        <f>INDEX(Input!$1:$1048576,N$93,$C307*2+MIN($B307,1)+5)</f>
        <v>Market</v>
      </c>
      <c r="O307" s="476" t="str">
        <f>INDEX(Input!$1:$1048576,O$93,$C307*2+MIN($B307,1)+5)</f>
        <v>Market</v>
      </c>
      <c r="P307" s="476" t="str">
        <f>INDEX(Input!$1:$1048576,P$93,$C307*2+MIN($B307,1)+5)</f>
        <v>N</v>
      </c>
      <c r="Q307" s="477">
        <f>INDEX(Input!$1:$1048576,Q$93,$C307*2+MIN($B307,1)+5)</f>
        <v>0</v>
      </c>
      <c r="R307" s="478">
        <f>IFERROR(MAX(0,INDEX(Input!$1:$1048576,R$93,$C307*2+MIN($B307,1)+5)-0%),"Market")</f>
        <v>0</v>
      </c>
      <c r="S307" s="478">
        <f>IFERROR(MAX(0,INDEX(Input!$1:$1048576,S$93,$C307*2+MIN($B307,1)+5)-0%),"Market")</f>
        <v>0</v>
      </c>
      <c r="T307" s="478">
        <f>IFERROR(MAX(0,INDEX(Input!$1:$1048576,T$93,$C307*2+MIN($B307,1)+5)-0%),"Market")</f>
        <v>0</v>
      </c>
      <c r="U307" s="478">
        <f>IFERROR(MAX(0,INDEX(Input!$1:$1048576,U$93,$C307*2+MIN($B307,1)+5)-0%),"Market")</f>
        <v>0</v>
      </c>
      <c r="V307" s="478">
        <f>IFERROR(MAX(0,INDEX(Input!$1:$1048576,V$93,$C307*2+MIN($B307,1)+5)-0%),"Market")</f>
        <v>1.9E-2</v>
      </c>
      <c r="W307" s="885">
        <f>IFERROR(MAX(0,INDEX(Input!$1:$1048576,W$93,$C307*2+MIN($B307,1)+5)-0%),"Market")</f>
        <v>3.9E-2</v>
      </c>
      <c r="X307" s="476" t="str">
        <f>INDEX(Input!$1:$1048576,X$93,$C307*2+MIN($B307,1)+5)</f>
        <v>Y</v>
      </c>
      <c r="Y307" s="475">
        <f>INDEX(Input!$1:$1048576,Y$93,$C307*2+MIN($B307,1)+5)</f>
        <v>1962</v>
      </c>
      <c r="Z307" s="477">
        <f>INDEX(Input!$1:$1048576,Z$93,$C307*2+MIN($B307,1)+5)</f>
        <v>0</v>
      </c>
      <c r="AA307" s="475">
        <f>INDEX(Input!$1:$1048576,AA$93,$C307*2+MIN($B307,1)+5)</f>
        <v>1000</v>
      </c>
      <c r="AB307" s="476">
        <f>INDEX(Input!$1:$1048576,AB$93,$C307*2+MIN($B307,1)+5)</f>
        <v>0.27</v>
      </c>
      <c r="AC307" s="475">
        <f>INDEX(Input!$1:$1048576,AC$93,$C307*2+MIN($B307,1)+5)</f>
        <v>1000</v>
      </c>
      <c r="AD307" s="476">
        <f>INDEX(Input!$1:$1048576,AD$93,$C307*2+MIN($B307,1)+5)</f>
        <v>0.27</v>
      </c>
      <c r="AE307" s="475">
        <f>INDEX(Input!$1:$1048576,AE$93,$C307*2+MIN($B307,1)+5)</f>
        <v>500</v>
      </c>
      <c r="AF307" s="476">
        <f>INDEX(Input!$1:$1048576,AF$93,$C307*2+MIN($B307,1)+5)</f>
        <v>0.68200000000000005</v>
      </c>
      <c r="AG307" s="475">
        <f>INDEX(Input!$1:$1048576,AG$93,$C307*2+MIN($B307,1)+5)</f>
        <v>0</v>
      </c>
      <c r="AH307" s="476">
        <f>INDEX(Input!$1:$1048576,AH$93,$C307*2+MIN($B307,1)+5)</f>
        <v>1</v>
      </c>
      <c r="AI307" s="475">
        <f>INDEX(Input!$1:$1048576,AI$93,$C307*2+MIN($B307,1)+5)</f>
        <v>0</v>
      </c>
      <c r="AJ307" s="476">
        <f>INDEX(Input!$1:$1048576,AJ$93,$C307*2+MIN($B307,1)+5)</f>
        <v>0.27</v>
      </c>
      <c r="AK307" s="150">
        <f>ROUND(INDEX(Input!$1:$1048576,AK$93,$C306*2+MIN($B307,1)+5)+(Y307-VLOOKUP($C307*1000+1,$A:$HH,Y$92,FALSE)),0)</f>
        <v>3384</v>
      </c>
      <c r="AL307" s="150">
        <f>ROUND(INDEX(Input!$1:$1048576,AL$93,$C306*2+MIN($B307,1)+5)-(Y307-VLOOKUP($C307*1000+1,$A:$HH,Y$92,FALSE))/36,0)</f>
        <v>3384</v>
      </c>
      <c r="AM307" s="32" t="str">
        <f t="shared" si="907"/>
        <v>std/std/std/std</v>
      </c>
      <c r="AN307" s="32" t="str">
        <f t="shared" si="908"/>
        <v>$0 + 0/0/0/1.9/3.9</v>
      </c>
      <c r="AO307" s="32" t="str">
        <f t="shared" si="909"/>
        <v>0/0/0/1.9/3.9</v>
      </c>
      <c r="AP307" s="32" t="str">
        <f t="shared" si="863"/>
        <v>0/0.9/1.9/3.9</v>
      </c>
      <c r="AQ307" s="536">
        <f t="shared" si="862"/>
        <v>611.31614906832306</v>
      </c>
      <c r="AR307" s="32"/>
      <c r="AS307" s="302"/>
      <c r="AT307" s="3">
        <f t="shared" si="930"/>
        <v>7</v>
      </c>
      <c r="AU307" s="41" t="s">
        <v>121</v>
      </c>
      <c r="AV307" s="41" t="s">
        <v>116</v>
      </c>
      <c r="AW307" s="41" t="str">
        <f>INDEX(Input!$1:$1048576,AW$93,$C307*2+6)</f>
        <v>Kia</v>
      </c>
      <c r="AX307" s="41" t="str">
        <f>INDEX(Input!$1:$1048576,AX$93,$C307*2+6)</f>
        <v>Kia-LR - L3</v>
      </c>
      <c r="AY307" s="41" t="str">
        <f>IF(LEN(D307)=0,"",INDEX(Input!$1:$1048576,AY$93,$C307*2+6))</f>
        <v>Compact SUV (52)</v>
      </c>
      <c r="AZ307" s="41" t="str">
        <f>INDEX(Input!$1:$1048576,AZ$93,$C307*2+6)</f>
        <v>Kia Soul</v>
      </c>
      <c r="BA307" s="3">
        <f>INDEX(Input!$1:$1048576,BA$93,$C307*2+6)</f>
        <v>2020</v>
      </c>
      <c r="BB307" s="128">
        <f>INDEX(Input!$1:$1048576,BB$93,$C307*2+6)</f>
        <v>1</v>
      </c>
      <c r="BC307" s="128">
        <f>INDEX(Input!$1:$1048576,BC$93,$C307*2+6)</f>
        <v>0.7</v>
      </c>
      <c r="BD307" s="1">
        <f>INDEX(Input!$1:$1048576,BD$93,$C307*2+6)</f>
        <v>4.4999999999999998E-2</v>
      </c>
      <c r="BE307" s="1">
        <f>INDEX(Input!$1:$1048576,BE$93,$C307*2+6)</f>
        <v>4.4999999999999998E-2</v>
      </c>
      <c r="BF307" s="1">
        <f>INDEX(Input!$1:$1048576,BF$93,$C307*2+6)</f>
        <v>0.05</v>
      </c>
      <c r="BG307" s="1">
        <f>INDEX(Input!$1:$1048576,BG$93,$C307*2+6)</f>
        <v>5.45E-2</v>
      </c>
      <c r="BH307" s="1">
        <f>INDEX(Input!$1:$1048576,BH$93,$C307*2+6)</f>
        <v>5.45E-2</v>
      </c>
      <c r="BI307" s="1">
        <f>INDEX(Input!$1:$1048576,BI$93,$C307*2+6)</f>
        <v>0.05</v>
      </c>
      <c r="BJ307" s="1">
        <f>INDEX(Input!$1:$1048576,BJ$93,$C307*2+6)</f>
        <v>0.05</v>
      </c>
      <c r="BK307" s="1">
        <f>INDEX(Input!$1:$1048576,BK$93,$C307*2+6)</f>
        <v>0.05</v>
      </c>
      <c r="BL307" s="1">
        <f>INDEX(Input!$1:$1048576,BL$93,$C307*2+6)</f>
        <v>5.5E-2</v>
      </c>
      <c r="BM307" s="1">
        <f>INDEX(Input!$1:$1048576,BM$93,$C307*2+6)</f>
        <v>0.06</v>
      </c>
      <c r="BN307" s="1">
        <f>INDEX(Input!$1:$1048576,BN$93,$C307*2+6)</f>
        <v>4.4999999999999998E-2</v>
      </c>
      <c r="BO307" s="1">
        <f>INDEX(Input!$1:$1048576,BO$93,$C307*2+6)</f>
        <v>4.4999999999999998E-2</v>
      </c>
      <c r="BP307" s="1">
        <f>INDEX(Input!$1:$1048576,BP$93,$C307*2+6)</f>
        <v>0.05</v>
      </c>
      <c r="BQ307" s="1">
        <f>INDEX(Input!$1:$1048576,BQ$93,$C307*2+6)</f>
        <v>5.45E-2</v>
      </c>
      <c r="BR307" s="1">
        <f>INDEX(Input!$1:$1048576,BR$93,$C307*2+6)</f>
        <v>5.45E-2</v>
      </c>
      <c r="BS307" s="1">
        <f>INDEX(Input!$1:$1048576,BS$93,$C307*2+6)</f>
        <v>0.05</v>
      </c>
      <c r="BT307" s="1">
        <f>INDEX(Input!$1:$1048576,BT$93,$C307*2+6)</f>
        <v>0.05</v>
      </c>
      <c r="BU307" s="1">
        <f>INDEX(Input!$1:$1048576,BU$93,$C307*2+6)</f>
        <v>0.05</v>
      </c>
      <c r="BV307" s="1">
        <f>INDEX(Input!$1:$1048576,BV$93,$C307*2+6)</f>
        <v>5.5E-2</v>
      </c>
      <c r="BW307" s="1">
        <f>INDEX(Input!$1:$1048576,BW$93,$C307*2+6)</f>
        <v>0.06</v>
      </c>
      <c r="BX307" s="127">
        <f>INDEX(Input!$1:$1048576,BX$93,$C307*2+6)</f>
        <v>19985</v>
      </c>
      <c r="BY307" s="20">
        <f>INDEX(Input!$1:$1048576,BY$93,$C307*2+6)</f>
        <v>0.1</v>
      </c>
      <c r="BZ307" s="20">
        <f>INDEX(Input!$1:$1048576,BZ$93,$C307*2+6)</f>
        <v>0.1</v>
      </c>
      <c r="CA307" s="20">
        <f>INDEX(Input!$1:$1048576,CA$93,$C307*2+6)</f>
        <v>0.1</v>
      </c>
      <c r="CB307" s="20">
        <f>INDEX(Input!$1:$1048576,CB$93,$C307*2+6)</f>
        <v>0.1</v>
      </c>
      <c r="CC307" s="20">
        <f>INDEX(Input!$1:$1048576,CC$93,$C307*2+6)</f>
        <v>0.1</v>
      </c>
      <c r="CD307" s="384">
        <f>INDEX(Input!$1:$1048576,CD$93,$C307*2+6)</f>
        <v>0.1</v>
      </c>
      <c r="CE307" s="384">
        <f>INDEX(Input!$1:$1048576,CE$93,$C307*2+6)</f>
        <v>0.1</v>
      </c>
      <c r="CF307" s="384">
        <f>INDEX(Input!$1:$1048576,CF$93,$C307*2+6)</f>
        <v>0.1</v>
      </c>
      <c r="CG307" s="384">
        <f>INDEX(Input!$1:$1048576,CG$93,$C307*2+6)</f>
        <v>0.1</v>
      </c>
      <c r="CH307" s="384">
        <f>INDEX(Input!$1:$1048576,CH$93,$C307*2+6)</f>
        <v>0.1</v>
      </c>
      <c r="CI307" s="304">
        <f t="shared" si="864"/>
        <v>1270</v>
      </c>
      <c r="CJ307" s="16" t="str">
        <f>INDEX(Input!$1:$1048576,CJ$93,$C307*2+6)</f>
        <v>N</v>
      </c>
      <c r="CK307" s="1" t="str">
        <f t="shared" si="865"/>
        <v>Market</v>
      </c>
      <c r="CL307" s="1" t="str">
        <f t="shared" si="866"/>
        <v>Market</v>
      </c>
      <c r="CM307" s="1" t="str">
        <f t="shared" si="867"/>
        <v>Market</v>
      </c>
      <c r="CN307" s="1" t="str">
        <f t="shared" si="868"/>
        <v>Market</v>
      </c>
      <c r="CO307" s="1" t="str">
        <f t="shared" si="869"/>
        <v>Market</v>
      </c>
      <c r="CP307" s="304">
        <f t="shared" si="870"/>
        <v>0</v>
      </c>
      <c r="CQ307" s="1">
        <f t="shared" si="871"/>
        <v>0</v>
      </c>
      <c r="CR307" s="1">
        <f t="shared" si="872"/>
        <v>0</v>
      </c>
      <c r="CS307" s="1">
        <f t="shared" si="873"/>
        <v>0</v>
      </c>
      <c r="CT307" s="1">
        <f t="shared" si="874"/>
        <v>1.9E-2</v>
      </c>
      <c r="CU307" s="1">
        <f t="shared" si="875"/>
        <v>3.9E-2</v>
      </c>
      <c r="CV307" s="304">
        <f t="shared" si="876"/>
        <v>2232</v>
      </c>
      <c r="CW307" s="20" t="s">
        <v>122</v>
      </c>
      <c r="CX307" s="20" t="s">
        <v>122</v>
      </c>
      <c r="CY307" s="20" t="s">
        <v>122</v>
      </c>
      <c r="CZ307" s="20" t="s">
        <v>122</v>
      </c>
      <c r="DA307" s="20" t="s">
        <v>122</v>
      </c>
      <c r="DB307" s="503">
        <f t="shared" si="877"/>
        <v>341</v>
      </c>
      <c r="DC307" s="127">
        <v>0</v>
      </c>
      <c r="DD307" s="127">
        <v>0</v>
      </c>
      <c r="DE307" s="127">
        <v>0</v>
      </c>
      <c r="DF307" s="127">
        <v>0</v>
      </c>
      <c r="DG307" s="127">
        <v>0</v>
      </c>
      <c r="DH307" s="127">
        <v>0</v>
      </c>
      <c r="DI307" s="127">
        <v>0</v>
      </c>
      <c r="DJ307" s="127">
        <v>0</v>
      </c>
      <c r="DK307" s="127">
        <v>0</v>
      </c>
      <c r="DL307" s="127">
        <v>0</v>
      </c>
      <c r="DM307" s="304">
        <f>INDEX(Input!$1:$1048576,DM$93,$C307*2+6)</f>
        <v>21036.84210526316</v>
      </c>
      <c r="DN307" s="20">
        <v>0</v>
      </c>
      <c r="DO307" s="20">
        <v>0</v>
      </c>
      <c r="DP307" s="20">
        <v>0</v>
      </c>
      <c r="DQ307" s="20">
        <v>0</v>
      </c>
      <c r="DR307" s="20">
        <v>0</v>
      </c>
      <c r="DS307" s="20">
        <f>INDEX(Input!$1:$1048576,DS$93,$C307*2+6)</f>
        <v>0.6</v>
      </c>
      <c r="DT307" s="20">
        <f>INDEX(Input!$1:$1048576,DT$93,$C307*2+6)</f>
        <v>0.55000000000000004</v>
      </c>
      <c r="DU307" s="20">
        <f>INDEX(Input!$1:$1048576,DU$93,$C307*2+6)</f>
        <v>0.52</v>
      </c>
      <c r="DV307" s="20">
        <f>INDEX(Input!$1:$1048576,DV$93,$C307*2+6)</f>
        <v>0.5</v>
      </c>
      <c r="DW307" s="20">
        <f>INDEX(Input!$1:$1048576,DW$93,$C307*2+6)</f>
        <v>0.45</v>
      </c>
      <c r="DX307" s="20"/>
      <c r="DY307" s="7">
        <v>9.8528228498648132E-2</v>
      </c>
      <c r="DZ307" s="7">
        <v>0</v>
      </c>
      <c r="EA307" s="7">
        <v>0.69310988718027822</v>
      </c>
      <c r="EB307" s="7">
        <v>0</v>
      </c>
      <c r="EC307" s="7">
        <v>0</v>
      </c>
      <c r="ED307" s="7">
        <v>0</v>
      </c>
      <c r="EE307" s="7">
        <v>0</v>
      </c>
      <c r="EF307" s="7">
        <v>0</v>
      </c>
      <c r="EG307" s="7">
        <v>0</v>
      </c>
      <c r="EH307" s="7">
        <v>1.2000119538460551E-2</v>
      </c>
      <c r="EI307" s="7">
        <v>3.3596721444486236E-2</v>
      </c>
      <c r="EJ307" s="7">
        <v>0.2702704864051132</v>
      </c>
      <c r="EK307" s="7">
        <v>0.54265712376536668</v>
      </c>
      <c r="EL307" s="7">
        <v>0.14147554884657343</v>
      </c>
      <c r="EM307" s="7">
        <v>4.9281912093344024E-2</v>
      </c>
      <c r="EN307" s="7">
        <v>6.1941654400043462E-2</v>
      </c>
      <c r="EO307" s="7">
        <v>0.77511596069363897</v>
      </c>
      <c r="EP307" s="7">
        <v>6.7086929345984925E-2</v>
      </c>
      <c r="EQ307" s="7">
        <v>6.2853154501308295E-2</v>
      </c>
      <c r="ER307" s="7">
        <v>3.3002301059024221E-2</v>
      </c>
      <c r="ES307" s="7">
        <v>0.15907997222772957</v>
      </c>
      <c r="ET307" s="7">
        <v>0.20836188432107358</v>
      </c>
      <c r="EU307" s="6">
        <v>1410.5</v>
      </c>
      <c r="EV307" s="6">
        <v>0</v>
      </c>
      <c r="EW307" s="6">
        <v>1410.5</v>
      </c>
      <c r="EX307" s="6">
        <v>0</v>
      </c>
      <c r="EY307" s="6">
        <v>2134.9731585778086</v>
      </c>
      <c r="EZ307" s="6">
        <v>2103.5</v>
      </c>
      <c r="FA307" s="6">
        <v>0</v>
      </c>
      <c r="FB307" s="6">
        <v>0</v>
      </c>
      <c r="FC307" s="6">
        <v>0</v>
      </c>
      <c r="FD307" s="6">
        <v>0</v>
      </c>
      <c r="FE307" s="6">
        <v>0</v>
      </c>
      <c r="FF307" s="6">
        <v>0</v>
      </c>
      <c r="FG307" s="6">
        <v>0</v>
      </c>
      <c r="FH307" s="6">
        <v>1172.0004846650722</v>
      </c>
      <c r="FI307" s="6">
        <v>1553.9796069512406</v>
      </c>
      <c r="FJ307" s="6">
        <v>2101.211011744741</v>
      </c>
      <c r="FK307" s="6">
        <v>1772.7139978623225</v>
      </c>
      <c r="FL307" s="6">
        <v>907.07682140966369</v>
      </c>
      <c r="FM307" s="6">
        <v>1724.4731585778086</v>
      </c>
      <c r="FN307" s="6">
        <v>0</v>
      </c>
      <c r="FO307" s="6">
        <v>0</v>
      </c>
      <c r="FP307" s="6">
        <v>0</v>
      </c>
      <c r="FQ307" s="6">
        <v>0</v>
      </c>
      <c r="FR307" s="6">
        <v>0</v>
      </c>
      <c r="FS307" s="6">
        <v>0</v>
      </c>
      <c r="FT307" s="7">
        <v>0.79163811567892639</v>
      </c>
      <c r="FU307" s="7">
        <v>4.9281912093344024E-2</v>
      </c>
      <c r="FV307" s="7">
        <v>0.15907997222772957</v>
      </c>
      <c r="FW307" s="6">
        <v>1410.4999999999998</v>
      </c>
      <c r="FX307" s="6">
        <v>2134.9731585778086</v>
      </c>
      <c r="FY307" s="6">
        <v>2103.5</v>
      </c>
      <c r="FZ307" s="6">
        <v>1858.9243755539039</v>
      </c>
      <c r="GA307" s="6">
        <v>1556.4458432688355</v>
      </c>
      <c r="GB307" s="6">
        <v>18428.554156731163</v>
      </c>
      <c r="GC307" s="7">
        <v>2.9156573141622111E-2</v>
      </c>
      <c r="GD307" s="7">
        <v>2.8748057280389237E-2</v>
      </c>
      <c r="GE307" s="7"/>
      <c r="GF307" s="7"/>
      <c r="GG307" s="7">
        <v>-1.4011106835106866E-2</v>
      </c>
      <c r="GH307" s="42">
        <v>0.92572510182546008</v>
      </c>
      <c r="GI307" s="6">
        <v>23144.92816981599</v>
      </c>
      <c r="GJ307" s="14">
        <v>0.50394797582841722</v>
      </c>
      <c r="GK307" s="14">
        <v>0.50887573065309721</v>
      </c>
      <c r="GL307" s="14">
        <v>0.49605202417158262</v>
      </c>
      <c r="GM307" s="14">
        <v>0.49112426934690229</v>
      </c>
      <c r="GO307" s="5">
        <v>343.14810671672558</v>
      </c>
      <c r="GP307" s="5">
        <v>316.23845756186267</v>
      </c>
      <c r="GQ307" s="5">
        <v>535.04305713031317</v>
      </c>
      <c r="GR307" s="5">
        <v>410.15490233172511</v>
      </c>
      <c r="GS307" s="5">
        <v>339.42744393800166</v>
      </c>
      <c r="GT307" s="5">
        <v>293.4407446948278</v>
      </c>
      <c r="GU307" s="5">
        <v>258.04012322764959</v>
      </c>
      <c r="GV307" s="39" t="s">
        <v>392</v>
      </c>
      <c r="GW307" s="5">
        <v>488.22222222222223</v>
      </c>
      <c r="GX307" s="5">
        <v>366.16666666666669</v>
      </c>
      <c r="GY307" s="5">
        <v>292.93333333333334</v>
      </c>
      <c r="GZ307" s="5">
        <v>258.48275426623593</v>
      </c>
      <c r="HA307" s="5">
        <v>239.43473807367351</v>
      </c>
      <c r="HB307" s="39">
        <v>271.47362796950091</v>
      </c>
      <c r="HC307" s="5">
        <v>195.25624999999997</v>
      </c>
      <c r="HD307" s="5">
        <v>176.99254385964909</v>
      </c>
      <c r="HE307" s="5">
        <v>182.64467780026987</v>
      </c>
      <c r="HF307" s="5">
        <v>172.26531798245611</v>
      </c>
      <c r="HG307" s="5">
        <v>170.31429824561403</v>
      </c>
      <c r="HH307" s="39">
        <v>177.98549381306483</v>
      </c>
      <c r="HI307" s="16"/>
      <c r="HJ307" s="19" t="str">
        <f t="shared" si="931"/>
        <v>On</v>
      </c>
      <c r="HK307" s="1" t="str">
        <f t="shared" si="931"/>
        <v>On</v>
      </c>
      <c r="HL307" s="16"/>
      <c r="HM307" s="639">
        <f t="shared" si="878"/>
        <v>2.2758057894877178E-2</v>
      </c>
      <c r="HN307" s="639">
        <f t="shared" si="879"/>
        <v>1.416759231746561E-3</v>
      </c>
      <c r="HO307" s="639">
        <f t="shared" si="880"/>
        <v>4.5732401537654987E-3</v>
      </c>
      <c r="HP307" s="644">
        <f>(FT307*$GD307-HM307)/$JF307*INDEX(Input!$1:$1048576,$JG$93,$C307*2+6)</f>
        <v>0</v>
      </c>
      <c r="HQ307" s="644">
        <f>(FU307*$GD307-HN307)/$JF307*INDEX(Input!$1:$1048576,$JG$93,$C307*2+6)</f>
        <v>0</v>
      </c>
      <c r="HR307" s="644">
        <f>(FV307*$GD307-HO307)/$JF307*INDEX(Input!$1:$1048576,$JG$93,$C307*2+6)</f>
        <v>0</v>
      </c>
      <c r="HS307" s="644">
        <f t="shared" si="881"/>
        <v>0</v>
      </c>
      <c r="HT307" s="644">
        <f t="shared" si="882"/>
        <v>0</v>
      </c>
      <c r="HU307" s="644">
        <f t="shared" si="883"/>
        <v>0</v>
      </c>
      <c r="HV307" s="648">
        <f t="shared" si="884"/>
        <v>0</v>
      </c>
      <c r="HW307" s="648">
        <f t="shared" si="885"/>
        <v>0</v>
      </c>
      <c r="HX307" s="648">
        <f t="shared" si="886"/>
        <v>0</v>
      </c>
      <c r="HY307" s="644">
        <f>INDEX(Input!$1:$1048576,HY$93,$C307*2+6)*INDEX(Input!$1:$1048576,$JG$93,$C307*2+6)</f>
        <v>509.00000000000006</v>
      </c>
      <c r="HZ307" s="644">
        <f>INDEX(Input!$1:$1048576,HZ$93,$C307*2+6)*INDEX(Input!$1:$1048576,$JG$93,$C307*2+6)</f>
        <v>844</v>
      </c>
      <c r="IA307" s="644">
        <f>INDEX(Input!$1:$1048576,IA$93,$C307*2+6)*INDEX(Input!$1:$1048576,$JG$93,$C307*2+6)</f>
        <v>257</v>
      </c>
      <c r="IB307" s="644">
        <f t="shared" si="910"/>
        <v>509</v>
      </c>
      <c r="IC307" s="644">
        <f t="shared" si="911"/>
        <v>844</v>
      </c>
      <c r="ID307" s="644">
        <f>IF(AND(INDEX(Input!$1:$1048576,IA$93,$C307*2+7)="TOS",Y307&lt;=INDEX(Y:Y,MATCH(C307*1000+2,A:A))),0,1)*MAX(IA307+HR307+HU307+HX307,0%)</f>
        <v>257</v>
      </c>
      <c r="IE307" s="128">
        <f t="shared" ref="IE307" si="945">IB307/SUM($IB307:$ID307)</f>
        <v>0.31614906832298134</v>
      </c>
      <c r="IF307" s="128">
        <f t="shared" si="933"/>
        <v>0.52422360248447208</v>
      </c>
      <c r="IG307" s="128">
        <f t="shared" si="888"/>
        <v>0.15962732919254657</v>
      </c>
      <c r="IH307" s="21"/>
      <c r="II307" s="19">
        <f t="shared" si="889"/>
        <v>1410.4999999999998</v>
      </c>
      <c r="IJ307" s="19">
        <f t="shared" si="890"/>
        <v>2134.9731585778086</v>
      </c>
      <c r="IK307" s="19">
        <f t="shared" si="891"/>
        <v>2103.5</v>
      </c>
      <c r="IL307" s="19">
        <f t="shared" si="913"/>
        <v>0</v>
      </c>
      <c r="IM307" s="19">
        <f t="shared" si="892"/>
        <v>0</v>
      </c>
      <c r="IN307" s="19">
        <f t="shared" si="893"/>
        <v>0</v>
      </c>
      <c r="IO307" s="39">
        <f t="shared" si="894"/>
        <v>0</v>
      </c>
      <c r="IP307" s="39">
        <f t="shared" si="895"/>
        <v>0</v>
      </c>
      <c r="IQ307" s="39">
        <f t="shared" si="896"/>
        <v>0</v>
      </c>
      <c r="IR307" s="39">
        <v>0</v>
      </c>
      <c r="IS307" s="39">
        <v>0</v>
      </c>
      <c r="IT307" s="39">
        <v>0</v>
      </c>
      <c r="IU307" s="39">
        <v>0</v>
      </c>
      <c r="IV307" s="39">
        <v>0</v>
      </c>
      <c r="IW307" s="39">
        <v>0</v>
      </c>
      <c r="IX307" s="39">
        <f>INDEX(Input!$1:$1048576,IX$93,$C307*2+6)+INDEX(Input!$1:$1048576,IX$94,$C307*2+6)</f>
        <v>1611</v>
      </c>
      <c r="IY307" s="39">
        <f>INDEX(Input!$1:$1048576,IY$93,$C307*2+6)+INDEX(Input!$1:$1048576,IY$94,$C307*2+6)</f>
        <v>2471.0624533823611</v>
      </c>
      <c r="IZ307" s="39">
        <f>INDEX(Input!$1:$1048576,IZ$93,$C307*2+6)+INDEX(Input!$1:$1048576,IZ$94,$C307*2+6)</f>
        <v>3994.7164157747857</v>
      </c>
      <c r="JA307" s="19">
        <f t="shared" si="914"/>
        <v>1611</v>
      </c>
      <c r="JB307" s="19">
        <f t="shared" si="915"/>
        <v>2471.0624533823611</v>
      </c>
      <c r="JC307" s="19">
        <f t="shared" si="916"/>
        <v>3994.7164157747857</v>
      </c>
      <c r="JD307" s="19">
        <f t="shared" si="917"/>
        <v>2442.3713226762934</v>
      </c>
      <c r="JE307" s="21"/>
      <c r="JF307" s="1">
        <f t="shared" si="897"/>
        <v>2.8748057280389237E-2</v>
      </c>
      <c r="JG307" s="15">
        <f>INDEX(Input!$1:$1048576,JG$93,$C307*2+6)/(1+VLOOKUP(C307*1000+INDEX(Input!$1:$1048576,JG$93+1,$C307*2+6),$A:$KK,$JK$92,FALSE))</f>
        <v>1610</v>
      </c>
      <c r="JH307" s="1">
        <f t="shared" si="918"/>
        <v>0</v>
      </c>
      <c r="JI307" s="1">
        <f t="shared" si="919"/>
        <v>0</v>
      </c>
      <c r="JJ307" s="1">
        <f t="shared" si="920"/>
        <v>0</v>
      </c>
      <c r="JK307" s="1">
        <f t="shared" si="944"/>
        <v>0</v>
      </c>
      <c r="JL307" s="15">
        <f t="shared" si="922"/>
        <v>0</v>
      </c>
      <c r="JM307" s="15">
        <f>JG307+JL307</f>
        <v>1610</v>
      </c>
      <c r="JN307" s="21"/>
      <c r="JO307" s="19">
        <f>INDEX(Input!$1:$1048576,JO$93,$C307*2+6)</f>
        <v>5995.5</v>
      </c>
      <c r="JP307" s="19">
        <f>INDEX(Input!$1:$1048576,JP$93,$C307*2+6)</f>
        <v>2442.3713226762939</v>
      </c>
      <c r="JQ307" s="39">
        <f t="shared" si="934"/>
        <v>3553.1286773237066</v>
      </c>
      <c r="JR307" s="39">
        <f>JD307-JP307</f>
        <v>0</v>
      </c>
      <c r="JS307" s="39">
        <f t="shared" si="936"/>
        <v>3.9322178295088324</v>
      </c>
      <c r="JT307" s="39">
        <f t="shared" si="924"/>
        <v>-9.3132257461547847E-16</v>
      </c>
      <c r="JU307" s="385">
        <f>(JQ307*JM307-INDEX(Input!$1:$1048576,Input!A$18,$C307*2+6)*JL307*INDEX(Input!$1:$1048576,Input!A$19,$C307*2+6))/1000000</f>
        <v>5.7205371704911672</v>
      </c>
      <c r="JV307" s="39">
        <f t="shared" si="900"/>
        <v>0</v>
      </c>
      <c r="JW307" s="1">
        <f>JV307/(JU307-JV307)</f>
        <v>0</v>
      </c>
      <c r="JX307" s="19">
        <f t="shared" si="940"/>
        <v>0</v>
      </c>
      <c r="JZ307" s="468"/>
      <c r="KA307" s="469"/>
      <c r="KB307" s="469">
        <f t="shared" si="937"/>
        <v>2.5190675447988795</v>
      </c>
      <c r="KI307" s="473">
        <f t="shared" si="938"/>
        <v>0</v>
      </c>
      <c r="KJ307" s="473">
        <f t="shared" si="925"/>
        <v>0</v>
      </c>
      <c r="KK307" s="473">
        <f t="shared" si="926"/>
        <v>0</v>
      </c>
      <c r="KN307" s="544">
        <f t="shared" si="941"/>
        <v>3002</v>
      </c>
      <c r="KO307" s="541">
        <f t="shared" si="901"/>
        <v>-2.9612719295337042E-2</v>
      </c>
      <c r="KP307" s="546">
        <f t="shared" si="902"/>
        <v>-198.1310687755869</v>
      </c>
      <c r="KQ307" s="546">
        <f t="shared" si="903"/>
        <v>-193.54210271240481</v>
      </c>
      <c r="KR307" s="548">
        <f t="shared" si="904"/>
        <v>2.5929988362722045</v>
      </c>
      <c r="KS307" s="548">
        <f t="shared" si="905"/>
        <v>2.6544799481065913</v>
      </c>
      <c r="KT307" s="473">
        <f t="shared" si="939"/>
        <v>1026.1618045255443</v>
      </c>
      <c r="KU307" s="663">
        <f t="shared" si="927"/>
        <v>4.6555368850666046</v>
      </c>
      <c r="KV307" s="117"/>
    </row>
    <row r="308" spans="1:308" s="26" customFormat="1" ht="15">
      <c r="A308" s="561">
        <f t="shared" si="906"/>
        <v>3008</v>
      </c>
      <c r="B308" s="561">
        <f t="shared" si="928"/>
        <v>8</v>
      </c>
      <c r="C308" s="561">
        <f t="shared" si="929"/>
        <v>3</v>
      </c>
      <c r="D308" s="561" t="s">
        <v>569</v>
      </c>
      <c r="E308" s="475">
        <f>INDEX(Input!$1:$1048576,E$93,$C308*2+MIN($B308,2)+5)</f>
        <v>1287.0236024844721</v>
      </c>
      <c r="F308" s="475">
        <f>INDEX(Input!$1:$1048576,F$93,$C308*2+MIN($B308,2)+5)</f>
        <v>0</v>
      </c>
      <c r="G308" s="475">
        <f>INDEX(Input!$1:$1048576,G$93,$C308*2+MIN($B308,2)+5)</f>
        <v>0</v>
      </c>
      <c r="H308" s="475">
        <f>INDEX(Input!$1:$1048576,H$93,$C308*2+MIN($B308,2)+5)</f>
        <v>0</v>
      </c>
      <c r="I308" s="476">
        <f>INDEX(Input!$1:$1048576,I$93,$C308*2+MIN($B308,2)+5)</f>
        <v>0.7</v>
      </c>
      <c r="J308" s="476" t="str">
        <f>INDEX(Input!$1:$1048576,J$93,$C308*2+MIN($B308,2)+5)</f>
        <v>Market</v>
      </c>
      <c r="K308" s="476" t="str">
        <f>INDEX(Input!$1:$1048576,K$93,$C308*2+MIN($B308,2)+5)</f>
        <v>Market</v>
      </c>
      <c r="L308" s="476" t="str">
        <f>INDEX(Input!$1:$1048576,L$93,$C308*2+MIN($B308,2)+5)</f>
        <v>Market</v>
      </c>
      <c r="M308" s="476" t="str">
        <f>INDEX(Input!$1:$1048576,M$93,$C308*2+MIN($B308,2)+5)</f>
        <v>Market</v>
      </c>
      <c r="N308" s="476" t="str">
        <f>INDEX(Input!$1:$1048576,N$93,$C308*2+MIN($B308,2)+5)</f>
        <v>Market</v>
      </c>
      <c r="O308" s="476" t="str">
        <f>INDEX(Input!$1:$1048576,O$93,$C308*2+MIN($B308,2)+5)</f>
        <v>Market</v>
      </c>
      <c r="P308" s="476" t="str">
        <f>INDEX(Input!$1:$1048576,P$93,$C308*2+MIN($B308,2)+5)</f>
        <v>N</v>
      </c>
      <c r="Q308" s="477">
        <f>INDEX(Input!$1:$1048576,Q$93,$C308*2+MIN($B308,2)+5)</f>
        <v>0</v>
      </c>
      <c r="R308" s="478">
        <f>IFERROR(MAX(0,INDEX(Input!$1:$1048576,R$93,$C308*2+MIN($B308,2)+5)-0%,),"Market")</f>
        <v>0</v>
      </c>
      <c r="S308" s="478">
        <f>IFERROR(MAX(0,INDEX(Input!$1:$1048576,S$93,$C308*2+MIN($B308,2)+5)-0%,),"Market")</f>
        <v>0</v>
      </c>
      <c r="T308" s="478">
        <f>IFERROR(MAX(0,INDEX(Input!$1:$1048576,T$93,$C308*2+MIN($B308,2)+5)-0%,),"Market")</f>
        <v>0</v>
      </c>
      <c r="U308" s="478">
        <f>IFERROR(MAX(0,INDEX(Input!$1:$1048576,U$93,$C308*2+MIN($B308,2)+5)-0%,),"Market")</f>
        <v>0</v>
      </c>
      <c r="V308" s="478">
        <f>IFERROR(MAX(0,INDEX(Input!$1:$1048576,V$93,$C308*2+MIN($B308,2)+5)-0%,),"Market")</f>
        <v>1.9E-2</v>
      </c>
      <c r="W308" s="885">
        <f>IFERROR(MAX(0,INDEX(Input!$1:$1048576,W$93,$C308*2+MIN($B308,2)+5)-0%,),"Market")</f>
        <v>3.9E-2</v>
      </c>
      <c r="X308" s="476" t="str">
        <f>INDEX(Input!$1:$1048576,X$93,$C308*2+MIN($B308,2)+5)</f>
        <v>Y</v>
      </c>
      <c r="Y308" s="475">
        <f>INDEX(Input!$1:$1048576,Y$93,$C308*2+MIN($B308,2)+5)</f>
        <v>1554.9999999999991</v>
      </c>
      <c r="Z308" s="477">
        <f>INDEX(Input!$1:$1048576,Z$93,$C308*2+MIN($B308,2)+5)</f>
        <v>0</v>
      </c>
      <c r="AA308" s="475">
        <f>INDEX(Input!$1:$1048576,AA$93,$C308*2+MIN($B308,2)+5)</f>
        <v>0</v>
      </c>
      <c r="AB308" s="476">
        <f>INDEX(Input!$1:$1048576,AB$93,$C308*2+MIN($B308,2)+5)</f>
        <v>0.27</v>
      </c>
      <c r="AC308" s="475">
        <f>INDEX(Input!$1:$1048576,AC$93,$C308*2+MIN($B308,2)+5)</f>
        <v>0</v>
      </c>
      <c r="AD308" s="476">
        <f>INDEX(Input!$1:$1048576,AD$93,$C308*2+MIN($B308,2)+5)</f>
        <v>0.27</v>
      </c>
      <c r="AE308" s="475">
        <f>INDEX(Input!$1:$1048576,AE$93,$C308*2+MIN($B308,2)+5)</f>
        <v>0</v>
      </c>
      <c r="AF308" s="476">
        <f>INDEX(Input!$1:$1048576,AF$93,$C308*2+MIN($B308,2)+5)</f>
        <v>0.68200000000000005</v>
      </c>
      <c r="AG308" s="475">
        <f>INDEX(Input!$1:$1048576,AG$93,$C308*2+MIN($B308,2)+5)</f>
        <v>500</v>
      </c>
      <c r="AH308" s="476">
        <f>INDEX(Input!$1:$1048576,AH$93,$C308*2+MIN($B308,2)+5)</f>
        <v>1</v>
      </c>
      <c r="AI308" s="475">
        <f>INDEX(Input!$1:$1048576,AI$93,$C308*2+MIN($B308,2)+5)</f>
        <v>0</v>
      </c>
      <c r="AJ308" s="476">
        <f>INDEX(Input!$1:$1048576,AJ$93,$C308*2+MIN($B308,2)+5)</f>
        <v>0.27</v>
      </c>
      <c r="AK308" s="150">
        <f>ROUND(INDEX(Input!$1:$1048576,AK$93,$C307*2+MIN($B308,1)+5)+(Y308-VLOOKUP($C308*1000+1,$A:$HH,Y$92,FALSE)),0)</f>
        <v>2977</v>
      </c>
      <c r="AL308" s="150">
        <f>ROUND(INDEX(Input!$1:$1048576,AL$93,$C307*2+MIN($B308,1)+5)-(Y308-VLOOKUP($C308*1000+1,$A:$HH,Y$92,FALSE))/36,0)</f>
        <v>3395</v>
      </c>
      <c r="AM308" s="32" t="str">
        <f t="shared" si="907"/>
        <v>std/std/std/std</v>
      </c>
      <c r="AN308" s="32" t="str">
        <f t="shared" si="908"/>
        <v>$0 + 0/0/0/1.9/3.9</v>
      </c>
      <c r="AO308" s="32" t="str">
        <f t="shared" si="909"/>
        <v>0/0/0/1.9/3.9</v>
      </c>
      <c r="AP308" s="32" t="str">
        <f t="shared" si="863"/>
        <v>0/0.9/1.9/3.9</v>
      </c>
      <c r="AQ308" s="536">
        <f t="shared" si="862"/>
        <v>0.31355633827926949</v>
      </c>
      <c r="AR308" s="32"/>
      <c r="AS308" s="302"/>
      <c r="AT308" s="3">
        <f t="shared" si="930"/>
        <v>8</v>
      </c>
      <c r="AU308" s="41" t="s">
        <v>121</v>
      </c>
      <c r="AV308" s="41" t="s">
        <v>116</v>
      </c>
      <c r="AW308" s="41" t="str">
        <f>INDEX(Input!$1:$1048576,AW$93,$C308*2+6)</f>
        <v>Kia</v>
      </c>
      <c r="AX308" s="41" t="str">
        <f>INDEX(Input!$1:$1048576,AX$93,$C308*2+6)</f>
        <v>Kia-LR - L3</v>
      </c>
      <c r="AY308" s="41" t="str">
        <f>IF(LEN(D308)=0,"",INDEX(Input!$1:$1048576,AY$93,$C308*2+6))</f>
        <v>Compact SUV (52)</v>
      </c>
      <c r="AZ308" s="41" t="str">
        <f>INDEX(Input!$1:$1048576,AZ$93,$C308*2+6)</f>
        <v>Kia Soul</v>
      </c>
      <c r="BA308" s="3">
        <f>INDEX(Input!$1:$1048576,BA$93,$C308*2+6)</f>
        <v>2020</v>
      </c>
      <c r="BB308" s="128">
        <f>INDEX(Input!$1:$1048576,BB$93,$C308*2+6)</f>
        <v>1</v>
      </c>
      <c r="BC308" s="128">
        <f>INDEX(Input!$1:$1048576,BC$93,$C308*2+6)</f>
        <v>0.7</v>
      </c>
      <c r="BD308" s="1">
        <f>INDEX(Input!$1:$1048576,BD$93,$C308*2+6)</f>
        <v>4.4999999999999998E-2</v>
      </c>
      <c r="BE308" s="1">
        <f>INDEX(Input!$1:$1048576,BE$93,$C308*2+6)</f>
        <v>4.4999999999999998E-2</v>
      </c>
      <c r="BF308" s="1">
        <f>INDEX(Input!$1:$1048576,BF$93,$C308*2+6)</f>
        <v>0.05</v>
      </c>
      <c r="BG308" s="1">
        <f>INDEX(Input!$1:$1048576,BG$93,$C308*2+6)</f>
        <v>5.45E-2</v>
      </c>
      <c r="BH308" s="1">
        <f>INDEX(Input!$1:$1048576,BH$93,$C308*2+6)</f>
        <v>5.45E-2</v>
      </c>
      <c r="BI308" s="1">
        <f>INDEX(Input!$1:$1048576,BI$93,$C308*2+6)</f>
        <v>0.05</v>
      </c>
      <c r="BJ308" s="1">
        <f>INDEX(Input!$1:$1048576,BJ$93,$C308*2+6)</f>
        <v>0.05</v>
      </c>
      <c r="BK308" s="1">
        <f>INDEX(Input!$1:$1048576,BK$93,$C308*2+6)</f>
        <v>0.05</v>
      </c>
      <c r="BL308" s="1">
        <f>INDEX(Input!$1:$1048576,BL$93,$C308*2+6)</f>
        <v>5.5E-2</v>
      </c>
      <c r="BM308" s="1">
        <f>INDEX(Input!$1:$1048576,BM$93,$C308*2+6)</f>
        <v>0.06</v>
      </c>
      <c r="BN308" s="1">
        <f>INDEX(Input!$1:$1048576,BN$93,$C308*2+6)</f>
        <v>4.4999999999999998E-2</v>
      </c>
      <c r="BO308" s="1">
        <f>INDEX(Input!$1:$1048576,BO$93,$C308*2+6)</f>
        <v>4.4999999999999998E-2</v>
      </c>
      <c r="BP308" s="1">
        <f>INDEX(Input!$1:$1048576,BP$93,$C308*2+6)</f>
        <v>0.05</v>
      </c>
      <c r="BQ308" s="1">
        <f>INDEX(Input!$1:$1048576,BQ$93,$C308*2+6)</f>
        <v>5.45E-2</v>
      </c>
      <c r="BR308" s="1">
        <f>INDEX(Input!$1:$1048576,BR$93,$C308*2+6)</f>
        <v>5.45E-2</v>
      </c>
      <c r="BS308" s="1">
        <f>INDEX(Input!$1:$1048576,BS$93,$C308*2+6)</f>
        <v>0.05</v>
      </c>
      <c r="BT308" s="1">
        <f>INDEX(Input!$1:$1048576,BT$93,$C308*2+6)</f>
        <v>0.05</v>
      </c>
      <c r="BU308" s="1">
        <f>INDEX(Input!$1:$1048576,BU$93,$C308*2+6)</f>
        <v>0.05</v>
      </c>
      <c r="BV308" s="1">
        <f>INDEX(Input!$1:$1048576,BV$93,$C308*2+6)</f>
        <v>5.5E-2</v>
      </c>
      <c r="BW308" s="1">
        <f>INDEX(Input!$1:$1048576,BW$93,$C308*2+6)</f>
        <v>0.06</v>
      </c>
      <c r="BX308" s="127">
        <f>INDEX(Input!$1:$1048576,BX$93,$C308*2+6)</f>
        <v>19985</v>
      </c>
      <c r="BY308" s="20">
        <f>INDEX(Input!$1:$1048576,BY$93,$C308*2+6)</f>
        <v>0.1</v>
      </c>
      <c r="BZ308" s="20">
        <f>INDEX(Input!$1:$1048576,BZ$93,$C308*2+6)</f>
        <v>0.1</v>
      </c>
      <c r="CA308" s="20">
        <f>INDEX(Input!$1:$1048576,CA$93,$C308*2+6)</f>
        <v>0.1</v>
      </c>
      <c r="CB308" s="20">
        <f>INDEX(Input!$1:$1048576,CB$93,$C308*2+6)</f>
        <v>0.1</v>
      </c>
      <c r="CC308" s="20">
        <f>INDEX(Input!$1:$1048576,CC$93,$C308*2+6)</f>
        <v>0.1</v>
      </c>
      <c r="CD308" s="384">
        <f>INDEX(Input!$1:$1048576,CD$93,$C308*2+6)</f>
        <v>0.1</v>
      </c>
      <c r="CE308" s="384">
        <f>INDEX(Input!$1:$1048576,CE$93,$C308*2+6)</f>
        <v>0.1</v>
      </c>
      <c r="CF308" s="384">
        <f>INDEX(Input!$1:$1048576,CF$93,$C308*2+6)</f>
        <v>0.1</v>
      </c>
      <c r="CG308" s="384">
        <f>INDEX(Input!$1:$1048576,CG$93,$C308*2+6)</f>
        <v>0.1</v>
      </c>
      <c r="CH308" s="384">
        <f>INDEX(Input!$1:$1048576,CH$93,$C308*2+6)</f>
        <v>0.1</v>
      </c>
      <c r="CI308" s="304">
        <f t="shared" si="864"/>
        <v>1287.0236024844721</v>
      </c>
      <c r="CJ308" s="16" t="str">
        <f>INDEX(Input!$1:$1048576,CJ$93,$C308*2+6)</f>
        <v>N</v>
      </c>
      <c r="CK308" s="1" t="str">
        <f t="shared" si="865"/>
        <v>Market</v>
      </c>
      <c r="CL308" s="1" t="str">
        <f t="shared" si="866"/>
        <v>Market</v>
      </c>
      <c r="CM308" s="1" t="str">
        <f t="shared" si="867"/>
        <v>Market</v>
      </c>
      <c r="CN308" s="1" t="str">
        <f t="shared" si="868"/>
        <v>Market</v>
      </c>
      <c r="CO308" s="1" t="str">
        <f t="shared" si="869"/>
        <v>Market</v>
      </c>
      <c r="CP308" s="304">
        <f t="shared" si="870"/>
        <v>500</v>
      </c>
      <c r="CQ308" s="1">
        <f t="shared" si="871"/>
        <v>0</v>
      </c>
      <c r="CR308" s="1">
        <f t="shared" si="872"/>
        <v>0</v>
      </c>
      <c r="CS308" s="1">
        <f t="shared" si="873"/>
        <v>0</v>
      </c>
      <c r="CT308" s="1">
        <f t="shared" si="874"/>
        <v>1.9E-2</v>
      </c>
      <c r="CU308" s="1">
        <f t="shared" si="875"/>
        <v>3.9E-2</v>
      </c>
      <c r="CV308" s="304">
        <f t="shared" si="876"/>
        <v>1554.9999999999991</v>
      </c>
      <c r="CW308" s="20" t="s">
        <v>122</v>
      </c>
      <c r="CX308" s="20" t="s">
        <v>122</v>
      </c>
      <c r="CY308" s="20" t="s">
        <v>122</v>
      </c>
      <c r="CZ308" s="20" t="s">
        <v>122</v>
      </c>
      <c r="DA308" s="20" t="s">
        <v>122</v>
      </c>
      <c r="DB308" s="503">
        <f t="shared" si="877"/>
        <v>0</v>
      </c>
      <c r="DC308" s="127">
        <v>0</v>
      </c>
      <c r="DD308" s="127">
        <v>0</v>
      </c>
      <c r="DE308" s="127">
        <v>0</v>
      </c>
      <c r="DF308" s="127">
        <v>0</v>
      </c>
      <c r="DG308" s="127">
        <v>0</v>
      </c>
      <c r="DH308" s="127">
        <v>0</v>
      </c>
      <c r="DI308" s="127">
        <v>0</v>
      </c>
      <c r="DJ308" s="127">
        <v>0</v>
      </c>
      <c r="DK308" s="127">
        <v>0</v>
      </c>
      <c r="DL308" s="127">
        <v>0</v>
      </c>
      <c r="DM308" s="304">
        <f>INDEX(Input!$1:$1048576,DM$93,$C308*2+6)</f>
        <v>21036.84210526316</v>
      </c>
      <c r="DN308" s="20">
        <v>0</v>
      </c>
      <c r="DO308" s="20">
        <v>0</v>
      </c>
      <c r="DP308" s="20">
        <v>0</v>
      </c>
      <c r="DQ308" s="20">
        <v>0</v>
      </c>
      <c r="DR308" s="20">
        <v>0</v>
      </c>
      <c r="DS308" s="20">
        <f>INDEX(Input!$1:$1048576,DS$93,$C308*2+6)</f>
        <v>0.6</v>
      </c>
      <c r="DT308" s="20">
        <f>INDEX(Input!$1:$1048576,DT$93,$C308*2+6)</f>
        <v>0.55000000000000004</v>
      </c>
      <c r="DU308" s="20">
        <f>INDEX(Input!$1:$1048576,DU$93,$C308*2+6)</f>
        <v>0.52</v>
      </c>
      <c r="DV308" s="20">
        <f>INDEX(Input!$1:$1048576,DV$93,$C308*2+6)</f>
        <v>0.5</v>
      </c>
      <c r="DW308" s="20">
        <f>INDEX(Input!$1:$1048576,DW$93,$C308*2+6)</f>
        <v>0.45</v>
      </c>
      <c r="DX308" s="20"/>
      <c r="DY308" s="7">
        <v>0.10021186804955809</v>
      </c>
      <c r="DZ308" s="7">
        <v>0</v>
      </c>
      <c r="EA308" s="7">
        <v>0.6907115117139061</v>
      </c>
      <c r="EB308" s="7">
        <v>0</v>
      </c>
      <c r="EC308" s="7">
        <v>0</v>
      </c>
      <c r="ED308" s="7">
        <v>0</v>
      </c>
      <c r="EE308" s="7">
        <v>0</v>
      </c>
      <c r="EF308" s="7">
        <v>0</v>
      </c>
      <c r="EG308" s="7">
        <v>0</v>
      </c>
      <c r="EH308" s="7">
        <v>1.2000368378217781E-2</v>
      </c>
      <c r="EI308" s="7">
        <v>3.359871366451201E-2</v>
      </c>
      <c r="EJ308" s="7">
        <v>0.27034579302217959</v>
      </c>
      <c r="EK308" s="7">
        <v>0.54260779869447862</v>
      </c>
      <c r="EL308" s="7">
        <v>0.14144732624061207</v>
      </c>
      <c r="EM308" s="7">
        <v>4.9151624029758242E-2</v>
      </c>
      <c r="EN308" s="7">
        <v>6.2803882458874166E-2</v>
      </c>
      <c r="EO308" s="7">
        <v>0.78062394127596257</v>
      </c>
      <c r="EP308" s="7">
        <v>6.4419945789640276E-2</v>
      </c>
      <c r="EQ308" s="7">
        <v>6.02593606937478E-2</v>
      </c>
      <c r="ER308" s="7">
        <v>3.18928697817751E-2</v>
      </c>
      <c r="ES308" s="7">
        <v>0.15992499620677755</v>
      </c>
      <c r="ET308" s="7">
        <v>0.20907662023653573</v>
      </c>
      <c r="EU308" s="6">
        <v>1611</v>
      </c>
      <c r="EV308" s="6">
        <v>0</v>
      </c>
      <c r="EW308" s="6">
        <v>1611</v>
      </c>
      <c r="EX308" s="6">
        <v>0</v>
      </c>
      <c r="EY308" s="6">
        <v>2335.5217613369255</v>
      </c>
      <c r="EZ308" s="6">
        <v>2289</v>
      </c>
      <c r="FA308" s="6">
        <v>0</v>
      </c>
      <c r="FB308" s="6">
        <v>0</v>
      </c>
      <c r="FC308" s="6">
        <v>0</v>
      </c>
      <c r="FD308" s="6">
        <v>0</v>
      </c>
      <c r="FE308" s="6">
        <v>0</v>
      </c>
      <c r="FF308" s="6">
        <v>0</v>
      </c>
      <c r="FG308" s="6">
        <v>0</v>
      </c>
      <c r="FH308" s="6">
        <v>1172.0021072641894</v>
      </c>
      <c r="FI308" s="6">
        <v>1553.9796069512404</v>
      </c>
      <c r="FJ308" s="6">
        <v>2101.2110117447414</v>
      </c>
      <c r="FK308" s="6">
        <v>1772.7139978623229</v>
      </c>
      <c r="FL308" s="6">
        <v>907.07682140966369</v>
      </c>
      <c r="FM308" s="6">
        <v>1724.5217613369255</v>
      </c>
      <c r="FN308" s="6">
        <v>0</v>
      </c>
      <c r="FO308" s="6">
        <v>0</v>
      </c>
      <c r="FP308" s="6">
        <v>0</v>
      </c>
      <c r="FQ308" s="6">
        <v>0</v>
      </c>
      <c r="FR308" s="6">
        <v>0</v>
      </c>
      <c r="FS308" s="6">
        <v>0</v>
      </c>
      <c r="FT308" s="7">
        <v>0.79092337976346416</v>
      </c>
      <c r="FU308" s="7">
        <v>4.9151624029758242E-2</v>
      </c>
      <c r="FV308" s="7">
        <v>0.15992499620677755</v>
      </c>
      <c r="FW308" s="6">
        <v>1611.0000000000002</v>
      </c>
      <c r="FX308" s="6">
        <v>2335.5217613369255</v>
      </c>
      <c r="FY308" s="6">
        <v>2289</v>
      </c>
      <c r="FZ308" s="6">
        <v>1858.9243755539039</v>
      </c>
      <c r="GA308" s="6">
        <v>1755.0405686428062</v>
      </c>
      <c r="GB308" s="6">
        <v>18229.959431357194</v>
      </c>
      <c r="GC308" s="7">
        <v>2.9156573141622111E-2</v>
      </c>
      <c r="GD308" s="7">
        <v>2.9448735380111796E-2</v>
      </c>
      <c r="GE308" s="7"/>
      <c r="GF308" s="7"/>
      <c r="GG308" s="7">
        <v>1.0020458751121621E-2</v>
      </c>
      <c r="GH308" s="42">
        <v>-1.9277197678416256</v>
      </c>
      <c r="GI308" s="6">
        <v>-8612.1301858368388</v>
      </c>
      <c r="GJ308" s="14">
        <v>0.50394797582841744</v>
      </c>
      <c r="GK308" s="14">
        <v>0.50887573065309744</v>
      </c>
      <c r="GL308" s="14">
        <v>0.49605202417158267</v>
      </c>
      <c r="GM308" s="14">
        <v>0.49112426934690245</v>
      </c>
      <c r="GO308" s="5">
        <v>343.14810671672558</v>
      </c>
      <c r="GP308" s="5">
        <v>312.41330006058649</v>
      </c>
      <c r="GQ308" s="5">
        <v>535.04305713031317</v>
      </c>
      <c r="GR308" s="5">
        <v>410.15490233172511</v>
      </c>
      <c r="GS308" s="5">
        <v>339.42744393800166</v>
      </c>
      <c r="GT308" s="5">
        <v>293.4407446948278</v>
      </c>
      <c r="GU308" s="5">
        <v>258.04012322764959</v>
      </c>
      <c r="GV308" s="39" t="s">
        <v>392</v>
      </c>
      <c r="GW308" s="5">
        <v>482.65277777777777</v>
      </c>
      <c r="GX308" s="5">
        <v>361.98958333333331</v>
      </c>
      <c r="GY308" s="5">
        <v>289.59166666666664</v>
      </c>
      <c r="GZ308" s="5">
        <v>255.53408606924114</v>
      </c>
      <c r="HA308" s="5">
        <v>236.70336205047303</v>
      </c>
      <c r="HB308" s="39">
        <v>268.38012987731014</v>
      </c>
      <c r="HC308" s="5">
        <v>187.140625</v>
      </c>
      <c r="HD308" s="5">
        <v>171.45330774853798</v>
      </c>
      <c r="HE308" s="5">
        <v>177.50180921052629</v>
      </c>
      <c r="HF308" s="5">
        <v>167.9756304824561</v>
      </c>
      <c r="HG308" s="5">
        <v>166.75888157894735</v>
      </c>
      <c r="HH308" s="39">
        <v>172.46889498230351</v>
      </c>
      <c r="HI308" s="16"/>
      <c r="HJ308" s="19" t="str">
        <f t="shared" si="931"/>
        <v>On</v>
      </c>
      <c r="HK308" s="1" t="str">
        <f t="shared" si="931"/>
        <v>On</v>
      </c>
      <c r="HL308" s="16"/>
      <c r="HM308" s="639">
        <f t="shared" si="878"/>
        <v>2.2758057894877178E-2</v>
      </c>
      <c r="HN308" s="639">
        <f t="shared" si="879"/>
        <v>1.416759231746561E-3</v>
      </c>
      <c r="HO308" s="639">
        <f t="shared" si="880"/>
        <v>4.5732401537654987E-3</v>
      </c>
      <c r="HP308" s="644">
        <f>(FT308*$GD308-HM308)/$JF308*INDEX(Input!$1:$1048576,$JG$93,$C308*2+6)</f>
        <v>29.885603071915625</v>
      </c>
      <c r="HQ308" s="644">
        <f>(FU308*$GD308-HN308)/$JF308*INDEX(Input!$1:$1048576,$JG$93,$C308*2+6)</f>
        <v>1.7189766734411469</v>
      </c>
      <c r="HR308" s="644">
        <f>(FV308*$GD308-HO308)/$JF308*INDEX(Input!$1:$1048576,$JG$93,$C308*2+6)</f>
        <v>7.6360454402226079</v>
      </c>
      <c r="HS308" s="644">
        <f t="shared" si="881"/>
        <v>-18.654439012308305</v>
      </c>
      <c r="HT308" s="644">
        <f t="shared" si="882"/>
        <v>20.855173609837689</v>
      </c>
      <c r="HU308" s="644">
        <f t="shared" si="883"/>
        <v>7.6900324079259885</v>
      </c>
      <c r="HV308" s="648">
        <f t="shared" si="884"/>
        <v>0</v>
      </c>
      <c r="HW308" s="648">
        <f t="shared" si="885"/>
        <v>0</v>
      </c>
      <c r="HX308" s="648">
        <f t="shared" si="886"/>
        <v>0</v>
      </c>
      <c r="HY308" s="644">
        <f>INDEX(Input!$1:$1048576,HY$93,$C308*2+6)*INDEX(Input!$1:$1048576,$JG$93,$C308*2+6)</f>
        <v>509.00000000000006</v>
      </c>
      <c r="HZ308" s="644">
        <f>INDEX(Input!$1:$1048576,HZ$93,$C308*2+6)*INDEX(Input!$1:$1048576,$JG$93,$C308*2+6)</f>
        <v>844</v>
      </c>
      <c r="IA308" s="644">
        <f>INDEX(Input!$1:$1048576,IA$93,$C308*2+6)*INDEX(Input!$1:$1048576,$JG$93,$C308*2+6)</f>
        <v>257</v>
      </c>
      <c r="IB308" s="644">
        <f t="shared" si="910"/>
        <v>520.23116405960741</v>
      </c>
      <c r="IC308" s="644">
        <f t="shared" si="911"/>
        <v>866.57415028327887</v>
      </c>
      <c r="ID308" s="644">
        <f>IF(AND(INDEX(Input!$1:$1048576,IA$93,$C308*2+7)="TOS",Y308&lt;=INDEX(Y:Y,MATCH(C308*1000+2,A:A))),0,1)*MAX(IA308+HR308+HU308+HX308,0%)</f>
        <v>272.3260778481486</v>
      </c>
      <c r="IE308" s="128">
        <f t="shared" ref="IE308:IE311" si="946">IB308/SUM($IB308:$ID308)</f>
        <v>0.31355633827926949</v>
      </c>
      <c r="IF308" s="128">
        <f t="shared" si="933"/>
        <v>0.52230592125611486</v>
      </c>
      <c r="IG308" s="128">
        <f t="shared" si="888"/>
        <v>0.16413774046461571</v>
      </c>
      <c r="IH308" s="21"/>
      <c r="II308" s="19">
        <f t="shared" si="889"/>
        <v>1410.4999999999998</v>
      </c>
      <c r="IJ308" s="19">
        <f t="shared" si="890"/>
        <v>2134.9731585778086</v>
      </c>
      <c r="IK308" s="19">
        <f t="shared" si="891"/>
        <v>2103.5</v>
      </c>
      <c r="IL308" s="19">
        <f t="shared" si="913"/>
        <v>200.50000000000045</v>
      </c>
      <c r="IM308" s="19">
        <f t="shared" si="892"/>
        <v>200.54860275911687</v>
      </c>
      <c r="IN308" s="19">
        <f t="shared" si="893"/>
        <v>185.5</v>
      </c>
      <c r="IO308" s="39">
        <f t="shared" si="894"/>
        <v>0</v>
      </c>
      <c r="IP308" s="39">
        <f t="shared" si="895"/>
        <v>0</v>
      </c>
      <c r="IQ308" s="39">
        <f t="shared" si="896"/>
        <v>0</v>
      </c>
      <c r="IR308" s="39">
        <v>0</v>
      </c>
      <c r="IS308" s="39">
        <v>0</v>
      </c>
      <c r="IT308" s="39">
        <v>0</v>
      </c>
      <c r="IU308" s="39">
        <v>0</v>
      </c>
      <c r="IV308" s="39">
        <v>0</v>
      </c>
      <c r="IW308" s="39">
        <v>0</v>
      </c>
      <c r="IX308" s="39">
        <f>INDEX(Input!$1:$1048576,IX$93,$C308*2+6)+INDEX(Input!$1:$1048576,IX$94,$C308*2+6)</f>
        <v>1611</v>
      </c>
      <c r="IY308" s="39">
        <f>INDEX(Input!$1:$1048576,IY$93,$C308*2+6)+INDEX(Input!$1:$1048576,IY$94,$C308*2+6)</f>
        <v>2471.0624533823611</v>
      </c>
      <c r="IZ308" s="39">
        <f>INDEX(Input!$1:$1048576,IZ$93,$C308*2+6)+INDEX(Input!$1:$1048576,IZ$94,$C308*2+6)</f>
        <v>3994.7164157747857</v>
      </c>
      <c r="JA308" s="19">
        <f t="shared" si="914"/>
        <v>1811.5000000000005</v>
      </c>
      <c r="JB308" s="19">
        <f t="shared" si="915"/>
        <v>2671.611056141478</v>
      </c>
      <c r="JC308" s="19">
        <f t="shared" si="916"/>
        <v>4180.2164157747857</v>
      </c>
      <c r="JD308" s="19">
        <f t="shared" si="917"/>
        <v>2649.5368578472612</v>
      </c>
      <c r="JE308" s="21"/>
      <c r="JF308" s="1">
        <f t="shared" si="897"/>
        <v>2.8748057280389237E-2</v>
      </c>
      <c r="JG308" s="15">
        <f>INDEX(Input!$1:$1048576,JG$93,$C308*2+6)/(1+VLOOKUP(C308*1000+INDEX(Input!$1:$1048576,JG$93+1,$C308*2+6),$A:$KK,$JK$92,FALSE))</f>
        <v>1610</v>
      </c>
      <c r="JH308" s="1">
        <f t="shared" si="918"/>
        <v>2.4373059121477879E-2</v>
      </c>
      <c r="JI308" s="1">
        <f t="shared" si="919"/>
        <v>6.1433335437611003E-3</v>
      </c>
      <c r="JJ308" s="1">
        <f t="shared" si="920"/>
        <v>0</v>
      </c>
      <c r="JK308" s="1">
        <f t="shared" ref="JK308:JK311" si="947">SUM(JH308:JJ308)</f>
        <v>3.0516392665238978E-2</v>
      </c>
      <c r="JL308" s="15">
        <f t="shared" si="922"/>
        <v>49.131392191034756</v>
      </c>
      <c r="JM308" s="15">
        <f t="shared" ref="JM308:JM371" si="948">JG308+JL308</f>
        <v>1659.1313921910348</v>
      </c>
      <c r="JN308" s="21"/>
      <c r="JO308" s="19">
        <f>INDEX(Input!$1:$1048576,JO$93,$C308*2+6)</f>
        <v>5995.5</v>
      </c>
      <c r="JP308" s="19">
        <f>INDEX(Input!$1:$1048576,JP$93,$C308*2+6)</f>
        <v>2442.3713226762939</v>
      </c>
      <c r="JQ308" s="39">
        <f t="shared" si="934"/>
        <v>3345.9631421527388</v>
      </c>
      <c r="JR308" s="39">
        <f>JD308-JP308</f>
        <v>207.16553517096736</v>
      </c>
      <c r="JS308" s="39">
        <f t="shared" si="936"/>
        <v>4.3959297756215863</v>
      </c>
      <c r="JT308" s="39">
        <f t="shared" si="924"/>
        <v>0.46371194611275335</v>
      </c>
      <c r="JU308" s="385">
        <f>(JQ308*JM308-INDEX(Input!$1:$1048576,Input!A$18,$C308*2+6)*JL308*INDEX(Input!$1:$1048576,Input!A$19,$C308*2+6))/1000000</f>
        <v>5.551392486259763</v>
      </c>
      <c r="JV308" s="39">
        <f t="shared" si="900"/>
        <v>-0.16914468423140416</v>
      </c>
      <c r="JW308" s="1">
        <f t="shared" ref="JW308:JW371" si="949">JV308/(JU308-JV308)</f>
        <v>-2.9567972235880313E-2</v>
      </c>
      <c r="JX308" s="19">
        <f t="shared" si="940"/>
        <v>9438.2008209685773</v>
      </c>
      <c r="JZ308" s="341"/>
      <c r="KA308" s="342"/>
      <c r="KB308" s="469">
        <f t="shared" si="937"/>
        <v>2.5190675447988795</v>
      </c>
      <c r="KI308" s="473">
        <f t="shared" si="938"/>
        <v>11.231164059607352</v>
      </c>
      <c r="KJ308" s="473">
        <f t="shared" si="925"/>
        <v>22.574150283278868</v>
      </c>
      <c r="KK308" s="473">
        <f t="shared" si="926"/>
        <v>15.3260778481486</v>
      </c>
      <c r="KN308" s="544">
        <f t="shared" si="941"/>
        <v>3002</v>
      </c>
      <c r="KO308" s="541">
        <f t="shared" si="901"/>
        <v>0</v>
      </c>
      <c r="KP308" s="546">
        <f t="shared" si="902"/>
        <v>0</v>
      </c>
      <c r="KQ308" s="546">
        <f t="shared" si="903"/>
        <v>13.623432458563002</v>
      </c>
      <c r="KR308" s="548" t="e">
        <f t="shared" si="904"/>
        <v>#DIV/0!</v>
      </c>
      <c r="KS308" s="548">
        <f t="shared" si="905"/>
        <v>0</v>
      </c>
      <c r="KT308" s="473">
        <f>KT307</f>
        <v>1026.1618045255443</v>
      </c>
      <c r="KU308" s="663">
        <f t="shared" si="927"/>
        <v>4.6526665936048497</v>
      </c>
      <c r="KV308" s="117"/>
    </row>
    <row r="309" spans="1:308" s="26" customFormat="1" ht="15">
      <c r="A309" s="561">
        <f t="shared" si="906"/>
        <v>3009</v>
      </c>
      <c r="B309" s="561">
        <f t="shared" si="928"/>
        <v>9</v>
      </c>
      <c r="C309" s="561">
        <f t="shared" si="929"/>
        <v>3</v>
      </c>
      <c r="D309" s="561" t="str">
        <f t="shared" ref="D309:D318" si="950">IF(E309=INDEX(E:E,MATCH(C309*1000+2,A:A,0)),"",E309-INDEX(E:E,MATCH(C309*1000+2,A:A,0))&amp;E$100&amp;", ")
&amp;IF(F309=INDEX(F:F,MATCH(C309*1000+2,A:A,0)),"",F309-INDEX(F:F,MATCH(C309*1000+2,A:A,0))&amp;F$100&amp;", ")
&amp;IF(AM309=INDEX(AM:AM,MATCH(C309*1000+2,A:A,0)),"",AM309&amp;AM$100&amp;", ")
&amp;IF(AP309=INDEX(AP:AP,MATCH(C309*1000+2,A:A,0)),"",AP309&amp;AP$100&amp;", ")
&amp;IF(Q309=INDEX(Q:Q,MATCH(C309*1000+2,A:A,0)),"",Q309-INDEX(Q:Q,MATCH(C309*1000+2,A:A,0))&amp;Q$100&amp;", ")
&amp;IF(Y309=INDEX(Y:Y,MATCH(C309*1000+2,A:A,0)),"",Y309-INDEX(Y:Y,MATCH(C309*1000+2,A:A,0))&amp;Y$100&amp;", ")
&amp;IF(Z309=INDEX(Z:Z,MATCH(C309*1000+2,A:A,0)),"",Z309-INDEX(Z:Z,MATCH(C309*1000+2,A:A,0))&amp;Z$100&amp;", ")
&amp;IF(AA309=INDEX(AA:AA,MATCH(C309*1000+2,A:A,0)),"",AA309-INDEX(AA:AA,MATCH(C309*1000+2,A:A,0))&amp;AA$100&amp;", ")
&amp;IF(AC309=INDEX(AC:AC,MATCH(C309*1000+2,A:A,0)),"",AC309-INDEX(AC:AC,MATCH(C309*1000+2,A:A,0))&amp;AC$100&amp;", ")
&amp;IF(AE309=INDEX(AE:AE,MATCH(C309*1000+2,A:A,0)),"",AE309-INDEX(AE:AE,MATCH(C309*1000+2,A:A,0))&amp;AE$100&amp;", ")
&amp;IF(AG309=INDEX(AG:AG,MATCH(C309*1000+2,A:A,0)),"",AG309-INDEX(AG:AG,MATCH(C309*1000+2,A:A,0))&amp;AG$100&amp;", ")
&amp;IF(AI309=INDEX(AI:AI,MATCH(C309*1000+2,A:A,0)),"",AI309-INDEX(AI:AI,MATCH(C309*1000+2,A:A,0))&amp;AI$100&amp;", ")</f>
        <v xml:space="preserve">250 CC, </v>
      </c>
      <c r="E309" s="475">
        <f>INDEX(Input!$1:$1048576,E$93,$C309*2+MIN($B309,2)+5)+IF(OR(BX309&gt;50000,INDEX(Input!$1:$1048576,E$93,$C309*2+MIN($B309,2)+5)&gt;0),0,250)+IF(BX309&gt;50000,500,250)*1</f>
        <v>1537.0236024844721</v>
      </c>
      <c r="F309" s="475">
        <f>INDEX(Input!$1:$1048576,F$93,$C309*2+MIN($B309,2)+5)</f>
        <v>0</v>
      </c>
      <c r="G309" s="475">
        <f>INDEX(Input!$1:$1048576,G$93,$C309*2+MIN($B309,2)+5)</f>
        <v>0</v>
      </c>
      <c r="H309" s="115">
        <f>INDEX(Input!$1:$1048576,H$93,$C309*2+MIN($B309,2)+5)</f>
        <v>0</v>
      </c>
      <c r="I309" s="118">
        <f>INDEX(Input!$1:$1048576,I$93,$C309*2+MIN($B309,2)+5)</f>
        <v>0.7</v>
      </c>
      <c r="J309" s="118" t="str">
        <f>INDEX(Input!$1:$1048576,J$93,$C309*2+MIN($B309,2)+5)</f>
        <v>Market</v>
      </c>
      <c r="K309" s="118" t="str">
        <f>INDEX(Input!$1:$1048576,K$93,$C309*2+MIN($B309,2)+5)</f>
        <v>Market</v>
      </c>
      <c r="L309" s="118" t="str">
        <f>INDEX(Input!$1:$1048576,L$93,$C309*2+MIN($B309,2)+5)</f>
        <v>Market</v>
      </c>
      <c r="M309" s="118" t="str">
        <f>INDEX(Input!$1:$1048576,M$93,$C309*2+MIN($B309,2)+5)</f>
        <v>Market</v>
      </c>
      <c r="N309" s="118" t="str">
        <f>INDEX(Input!$1:$1048576,N$93,$C309*2+MIN($B309,2)+5)</f>
        <v>Market</v>
      </c>
      <c r="O309" s="118" t="str">
        <f>INDEX(Input!$1:$1048576,O$93,$C309*2+MIN($B309,2)+5)</f>
        <v>Market</v>
      </c>
      <c r="P309" s="118" t="str">
        <f>INDEX(Input!$1:$1048576,P$93,$C309*2+MIN($B309,2)+5)</f>
        <v>N</v>
      </c>
      <c r="Q309" s="30">
        <f>INDEX(Input!$1:$1048576,Q$93,$C309*2+MIN($B309,2)+5)</f>
        <v>0</v>
      </c>
      <c r="R309" s="383">
        <f>INDEX(Input!$1:$1048576,R$93,$C309*2+MIN($B309,2)+5)</f>
        <v>0</v>
      </c>
      <c r="S309" s="383">
        <f>INDEX(Input!$1:$1048576,S$93,$C309*2+MIN($B309,2)+5)</f>
        <v>0</v>
      </c>
      <c r="T309" s="383">
        <f>INDEX(Input!$1:$1048576,T$93,$C309*2+MIN($B309,2)+5)</f>
        <v>0</v>
      </c>
      <c r="U309" s="383">
        <f>INDEX(Input!$1:$1048576,U$93,$C309*2+MIN($B309,2)+5)</f>
        <v>0</v>
      </c>
      <c r="V309" s="383">
        <f>INDEX(Input!$1:$1048576,V$93,$C309*2+MIN($B309,2)+5)</f>
        <v>1.9E-2</v>
      </c>
      <c r="W309" s="884">
        <f>INDEX(Input!$1:$1048576,W$93,$C309*2+MIN($B309,2)+5)</f>
        <v>3.9E-2</v>
      </c>
      <c r="X309" s="118" t="str">
        <f>INDEX(Input!$1:$1048576,X$93,$C309*2+MIN($B309,2)+5)</f>
        <v>Y</v>
      </c>
      <c r="Y309" s="150">
        <f>INDEX(Input!$1:$1048576,Y$93,$C309*2+MIN($B309,2)+5)</f>
        <v>1554.9999999999991</v>
      </c>
      <c r="Z309" s="30">
        <f>INDEX(Input!$1:$1048576,Z$93,$C309*2+MIN($B309,2)+5)</f>
        <v>0</v>
      </c>
      <c r="AA309" s="115">
        <f>INDEX(Input!$1:$1048576,AA$93,$C309*2+MIN($B309,2)+5)</f>
        <v>0</v>
      </c>
      <c r="AB309" s="118">
        <f>INDEX(Input!$1:$1048576,AB$93,$C309*2+MIN($B309,2)+5)</f>
        <v>0.27</v>
      </c>
      <c r="AC309" s="115">
        <f>INDEX(Input!$1:$1048576,AC$93,$C309*2+MIN($B309,2)+5)</f>
        <v>0</v>
      </c>
      <c r="AD309" s="118">
        <f>INDEX(Input!$1:$1048576,AD$93,$C309*2+MIN($B309,2)+5)</f>
        <v>0.27</v>
      </c>
      <c r="AE309" s="115">
        <f>INDEX(Input!$1:$1048576,AE$93,$C309*2+MIN($B309,2)+5)</f>
        <v>0</v>
      </c>
      <c r="AF309" s="118">
        <f>INDEX(Input!$1:$1048576,AF$93,$C309*2+MIN($B309,2)+5)</f>
        <v>0.68200000000000005</v>
      </c>
      <c r="AG309" s="115">
        <f>INDEX(Input!$1:$1048576,AG$93,$C309*2+MIN($B309,2)+5)</f>
        <v>500</v>
      </c>
      <c r="AH309" s="118">
        <f>INDEX(Input!$1:$1048576,AH$93,$C309*2+MIN($B309,2)+5)</f>
        <v>1</v>
      </c>
      <c r="AI309" s="115">
        <f>INDEX(Input!$1:$1048576,AI$93,$C309*2+MIN($B309,2)+5)</f>
        <v>0</v>
      </c>
      <c r="AJ309" s="118">
        <f>INDEX(Input!$1:$1048576,AJ$93,$C309*2+MIN($B309,2)+5)</f>
        <v>0.27</v>
      </c>
      <c r="AK309" s="150">
        <f>ROUND(INDEX(Input!$1:$1048576,AK$93,$C308*2+MIN($B309,1)+5)+(Y309-VLOOKUP($C309*1000+1,$A:$HH,Y$92,FALSE)),0)</f>
        <v>2977</v>
      </c>
      <c r="AL309" s="150">
        <f>ROUND(INDEX(Input!$1:$1048576,AL$93,$C308*2+MIN($B309,1)+5)-(Y309-VLOOKUP($C309*1000+1,$A:$HH,Y$92,FALSE))/36,0)</f>
        <v>3395</v>
      </c>
      <c r="AM309" s="32" t="str">
        <f t="shared" si="907"/>
        <v>std/std/std/std</v>
      </c>
      <c r="AN309" s="32" t="str">
        <f t="shared" si="908"/>
        <v>$0 + 0/0/0/1.9/3.9</v>
      </c>
      <c r="AO309" s="32" t="str">
        <f t="shared" si="909"/>
        <v>0/0/0/1.9/3.9</v>
      </c>
      <c r="AP309" s="32" t="str">
        <f t="shared" si="863"/>
        <v>0/0.9/1.9/3.9</v>
      </c>
      <c r="AQ309" s="536">
        <f t="shared" si="862"/>
        <v>0.33725632926387078</v>
      </c>
      <c r="AR309" s="32"/>
      <c r="AS309" s="302"/>
      <c r="AT309" s="3">
        <f t="shared" si="930"/>
        <v>9</v>
      </c>
      <c r="AU309" s="41" t="s">
        <v>121</v>
      </c>
      <c r="AV309" s="41" t="s">
        <v>116</v>
      </c>
      <c r="AW309" s="41" t="str">
        <f>INDEX(Input!$1:$1048576,AW$93,$C309*2+6)</f>
        <v>Kia</v>
      </c>
      <c r="AX309" s="41" t="str">
        <f>INDEX(Input!$1:$1048576,AX$93,$C309*2+6)</f>
        <v>Kia-LR - L3</v>
      </c>
      <c r="AY309" s="41" t="str">
        <f>IF(LEN(D309)=0,"",INDEX(Input!$1:$1048576,AY$93,$C309*2+6))</f>
        <v>Compact SUV (52)</v>
      </c>
      <c r="AZ309" s="41" t="str">
        <f>INDEX(Input!$1:$1048576,AZ$93,$C309*2+6)</f>
        <v>Kia Soul</v>
      </c>
      <c r="BA309" s="3">
        <f>INDEX(Input!$1:$1048576,BA$93,$C309*2+6)</f>
        <v>2020</v>
      </c>
      <c r="BB309" s="128">
        <f>INDEX(Input!$1:$1048576,BB$93,$C309*2+6)</f>
        <v>1</v>
      </c>
      <c r="BC309" s="128">
        <f>INDEX(Input!$1:$1048576,BC$93,$C309*2+6)</f>
        <v>0.7</v>
      </c>
      <c r="BD309" s="1">
        <f>INDEX(Input!$1:$1048576,BD$93,$C309*2+6)</f>
        <v>4.4999999999999998E-2</v>
      </c>
      <c r="BE309" s="1">
        <f>INDEX(Input!$1:$1048576,BE$93,$C309*2+6)</f>
        <v>4.4999999999999998E-2</v>
      </c>
      <c r="BF309" s="1">
        <f>INDEX(Input!$1:$1048576,BF$93,$C309*2+6)</f>
        <v>0.05</v>
      </c>
      <c r="BG309" s="1">
        <f>INDEX(Input!$1:$1048576,BG$93,$C309*2+6)</f>
        <v>5.45E-2</v>
      </c>
      <c r="BH309" s="1">
        <f>INDEX(Input!$1:$1048576,BH$93,$C309*2+6)</f>
        <v>5.45E-2</v>
      </c>
      <c r="BI309" s="1">
        <f>INDEX(Input!$1:$1048576,BI$93,$C309*2+6)</f>
        <v>0.05</v>
      </c>
      <c r="BJ309" s="1">
        <f>INDEX(Input!$1:$1048576,BJ$93,$C309*2+6)</f>
        <v>0.05</v>
      </c>
      <c r="BK309" s="1">
        <f>INDEX(Input!$1:$1048576,BK$93,$C309*2+6)</f>
        <v>0.05</v>
      </c>
      <c r="BL309" s="1">
        <f>INDEX(Input!$1:$1048576,BL$93,$C309*2+6)</f>
        <v>5.5E-2</v>
      </c>
      <c r="BM309" s="1">
        <f>INDEX(Input!$1:$1048576,BM$93,$C309*2+6)</f>
        <v>0.06</v>
      </c>
      <c r="BN309" s="1">
        <f>INDEX(Input!$1:$1048576,BN$93,$C309*2+6)</f>
        <v>4.4999999999999998E-2</v>
      </c>
      <c r="BO309" s="1">
        <f>INDEX(Input!$1:$1048576,BO$93,$C309*2+6)</f>
        <v>4.4999999999999998E-2</v>
      </c>
      <c r="BP309" s="1">
        <f>INDEX(Input!$1:$1048576,BP$93,$C309*2+6)</f>
        <v>0.05</v>
      </c>
      <c r="BQ309" s="1">
        <f>INDEX(Input!$1:$1048576,BQ$93,$C309*2+6)</f>
        <v>5.45E-2</v>
      </c>
      <c r="BR309" s="1">
        <f>INDEX(Input!$1:$1048576,BR$93,$C309*2+6)</f>
        <v>5.45E-2</v>
      </c>
      <c r="BS309" s="1">
        <f>INDEX(Input!$1:$1048576,BS$93,$C309*2+6)</f>
        <v>0.05</v>
      </c>
      <c r="BT309" s="1">
        <f>INDEX(Input!$1:$1048576,BT$93,$C309*2+6)</f>
        <v>0.05</v>
      </c>
      <c r="BU309" s="1">
        <f>INDEX(Input!$1:$1048576,BU$93,$C309*2+6)</f>
        <v>0.05</v>
      </c>
      <c r="BV309" s="1">
        <f>INDEX(Input!$1:$1048576,BV$93,$C309*2+6)</f>
        <v>5.5E-2</v>
      </c>
      <c r="BW309" s="1">
        <f>INDEX(Input!$1:$1048576,BW$93,$C309*2+6)</f>
        <v>0.06</v>
      </c>
      <c r="BX309" s="127">
        <f>INDEX(Input!$1:$1048576,BX$93,$C309*2+6)</f>
        <v>19985</v>
      </c>
      <c r="BY309" s="20">
        <f>INDEX(Input!$1:$1048576,BY$93,$C309*2+6)</f>
        <v>0.1</v>
      </c>
      <c r="BZ309" s="20">
        <f>INDEX(Input!$1:$1048576,BZ$93,$C309*2+6)</f>
        <v>0.1</v>
      </c>
      <c r="CA309" s="20">
        <f>INDEX(Input!$1:$1048576,CA$93,$C309*2+6)</f>
        <v>0.1</v>
      </c>
      <c r="CB309" s="20">
        <f>INDEX(Input!$1:$1048576,CB$93,$C309*2+6)</f>
        <v>0.1</v>
      </c>
      <c r="CC309" s="20">
        <f>INDEX(Input!$1:$1048576,CC$93,$C309*2+6)</f>
        <v>0.1</v>
      </c>
      <c r="CD309" s="384">
        <f>INDEX(Input!$1:$1048576,CD$93,$C309*2+6)</f>
        <v>0.1</v>
      </c>
      <c r="CE309" s="384">
        <f>INDEX(Input!$1:$1048576,CE$93,$C309*2+6)</f>
        <v>0.1</v>
      </c>
      <c r="CF309" s="384">
        <f>INDEX(Input!$1:$1048576,CF$93,$C309*2+6)</f>
        <v>0.1</v>
      </c>
      <c r="CG309" s="384">
        <f>INDEX(Input!$1:$1048576,CG$93,$C309*2+6)</f>
        <v>0.1</v>
      </c>
      <c r="CH309" s="384">
        <f>INDEX(Input!$1:$1048576,CH$93,$C309*2+6)</f>
        <v>0.1</v>
      </c>
      <c r="CI309" s="304">
        <f t="shared" si="864"/>
        <v>1537.0236024844721</v>
      </c>
      <c r="CJ309" s="16" t="str">
        <f>INDEX(Input!$1:$1048576,CJ$93,$C309*2+6)</f>
        <v>N</v>
      </c>
      <c r="CK309" s="1" t="str">
        <f t="shared" si="865"/>
        <v>Market</v>
      </c>
      <c r="CL309" s="1" t="str">
        <f t="shared" si="866"/>
        <v>Market</v>
      </c>
      <c r="CM309" s="1" t="str">
        <f t="shared" si="867"/>
        <v>Market</v>
      </c>
      <c r="CN309" s="1" t="str">
        <f t="shared" si="868"/>
        <v>Market</v>
      </c>
      <c r="CO309" s="1" t="str">
        <f t="shared" si="869"/>
        <v>Market</v>
      </c>
      <c r="CP309" s="304">
        <f t="shared" si="870"/>
        <v>500</v>
      </c>
      <c r="CQ309" s="1">
        <f t="shared" si="871"/>
        <v>0</v>
      </c>
      <c r="CR309" s="1">
        <f t="shared" si="872"/>
        <v>0</v>
      </c>
      <c r="CS309" s="1">
        <f t="shared" si="873"/>
        <v>0</v>
      </c>
      <c r="CT309" s="1">
        <f t="shared" si="874"/>
        <v>1.9E-2</v>
      </c>
      <c r="CU309" s="1">
        <f t="shared" si="875"/>
        <v>3.9E-2</v>
      </c>
      <c r="CV309" s="304">
        <f t="shared" si="876"/>
        <v>1554.9999999999991</v>
      </c>
      <c r="CW309" s="20" t="s">
        <v>122</v>
      </c>
      <c r="CX309" s="20" t="s">
        <v>122</v>
      </c>
      <c r="CY309" s="20" t="s">
        <v>122</v>
      </c>
      <c r="CZ309" s="20" t="s">
        <v>122</v>
      </c>
      <c r="DA309" s="20" t="s">
        <v>122</v>
      </c>
      <c r="DB309" s="503">
        <f t="shared" si="877"/>
        <v>0</v>
      </c>
      <c r="DC309" s="127">
        <v>0</v>
      </c>
      <c r="DD309" s="127">
        <v>0</v>
      </c>
      <c r="DE309" s="127">
        <v>0</v>
      </c>
      <c r="DF309" s="127">
        <v>0</v>
      </c>
      <c r="DG309" s="127">
        <v>0</v>
      </c>
      <c r="DH309" s="127">
        <v>0</v>
      </c>
      <c r="DI309" s="127">
        <v>0</v>
      </c>
      <c r="DJ309" s="127">
        <v>0</v>
      </c>
      <c r="DK309" s="127">
        <v>0</v>
      </c>
      <c r="DL309" s="127">
        <v>0</v>
      </c>
      <c r="DM309" s="304">
        <f>INDEX(Input!$1:$1048576,DM$93,$C309*2+6)</f>
        <v>21036.84210526316</v>
      </c>
      <c r="DN309" s="20">
        <v>0</v>
      </c>
      <c r="DO309" s="20">
        <v>0</v>
      </c>
      <c r="DP309" s="20">
        <v>0</v>
      </c>
      <c r="DQ309" s="20">
        <v>0</v>
      </c>
      <c r="DR309" s="20">
        <v>0</v>
      </c>
      <c r="DS309" s="20">
        <f>INDEX(Input!$1:$1048576,DS$93,$C309*2+6)</f>
        <v>0.6</v>
      </c>
      <c r="DT309" s="20">
        <f>INDEX(Input!$1:$1048576,DT$93,$C309*2+6)</f>
        <v>0.55000000000000004</v>
      </c>
      <c r="DU309" s="20">
        <f>INDEX(Input!$1:$1048576,DU$93,$C309*2+6)</f>
        <v>0.52</v>
      </c>
      <c r="DV309" s="20">
        <f>INDEX(Input!$1:$1048576,DV$93,$C309*2+6)</f>
        <v>0.5</v>
      </c>
      <c r="DW309" s="20">
        <f>INDEX(Input!$1:$1048576,DW$93,$C309*2+6)</f>
        <v>0.45</v>
      </c>
      <c r="DX309" s="20"/>
      <c r="DY309" s="7">
        <v>0.10529537415417681</v>
      </c>
      <c r="DZ309" s="7">
        <v>0</v>
      </c>
      <c r="EA309" s="7">
        <v>0.70720519768116485</v>
      </c>
      <c r="EB309" s="7">
        <v>0</v>
      </c>
      <c r="EC309" s="7">
        <v>0</v>
      </c>
      <c r="ED309" s="7">
        <v>0</v>
      </c>
      <c r="EE309" s="7">
        <v>0</v>
      </c>
      <c r="EF309" s="7">
        <v>0</v>
      </c>
      <c r="EG309" s="7">
        <v>0</v>
      </c>
      <c r="EH309" s="7">
        <v>1.2001109353691159E-2</v>
      </c>
      <c r="EI309" s="7">
        <v>3.3604645940741112E-2</v>
      </c>
      <c r="EJ309" s="7">
        <v>0.27057003514831934</v>
      </c>
      <c r="EK309" s="7">
        <v>0.5424609223747231</v>
      </c>
      <c r="EL309" s="7">
        <v>0.14136328718252503</v>
      </c>
      <c r="EM309" s="7">
        <v>4.4107803659871749E-2</v>
      </c>
      <c r="EN309" s="7">
        <v>6.2828883439450714E-2</v>
      </c>
      <c r="EO309" s="7">
        <v>0.78066312825648132</v>
      </c>
      <c r="EP309" s="7">
        <v>6.4375821275631476E-2</v>
      </c>
      <c r="EQ309" s="7">
        <v>6.0235813025291102E-2</v>
      </c>
      <c r="ER309" s="7">
        <v>3.1896354003145118E-2</v>
      </c>
      <c r="ES309" s="7">
        <v>0.14339162450478649</v>
      </c>
      <c r="ET309" s="7">
        <v>0.18749942816465834</v>
      </c>
      <c r="EU309" s="6">
        <v>1861</v>
      </c>
      <c r="EV309" s="6">
        <v>0</v>
      </c>
      <c r="EW309" s="6">
        <v>1861</v>
      </c>
      <c r="EX309" s="6">
        <v>0</v>
      </c>
      <c r="EY309" s="6">
        <v>2335.666486813453</v>
      </c>
      <c r="EZ309" s="6">
        <v>2289</v>
      </c>
      <c r="FA309" s="6">
        <v>0</v>
      </c>
      <c r="FB309" s="6">
        <v>0</v>
      </c>
      <c r="FC309" s="6">
        <v>0</v>
      </c>
      <c r="FD309" s="6">
        <v>0</v>
      </c>
      <c r="FE309" s="6">
        <v>0</v>
      </c>
      <c r="FF309" s="6">
        <v>0</v>
      </c>
      <c r="FG309" s="6">
        <v>0</v>
      </c>
      <c r="FH309" s="6">
        <v>1172.0069385138233</v>
      </c>
      <c r="FI309" s="6">
        <v>1553.9796069512397</v>
      </c>
      <c r="FJ309" s="6">
        <v>2101.2110117447405</v>
      </c>
      <c r="FK309" s="6">
        <v>1772.7139978623234</v>
      </c>
      <c r="FL309" s="6">
        <v>907.07682140966347</v>
      </c>
      <c r="FM309" s="6">
        <v>1724.6664868134528</v>
      </c>
      <c r="FN309" s="6">
        <v>0</v>
      </c>
      <c r="FO309" s="6">
        <v>0</v>
      </c>
      <c r="FP309" s="6">
        <v>0</v>
      </c>
      <c r="FQ309" s="6">
        <v>0</v>
      </c>
      <c r="FR309" s="6">
        <v>0</v>
      </c>
      <c r="FS309" s="6">
        <v>0</v>
      </c>
      <c r="FT309" s="7">
        <v>0.81250057183534163</v>
      </c>
      <c r="FU309" s="7">
        <v>4.4107803659871749E-2</v>
      </c>
      <c r="FV309" s="7">
        <v>0.14339162450478649</v>
      </c>
      <c r="FW309" s="6">
        <v>1861</v>
      </c>
      <c r="FX309" s="6">
        <v>2335.666486813453</v>
      </c>
      <c r="FY309" s="6">
        <v>2289</v>
      </c>
      <c r="FZ309" s="6">
        <v>1858.9243755539039</v>
      </c>
      <c r="GA309" s="6">
        <v>1943.3081114923375</v>
      </c>
      <c r="GB309" s="6">
        <v>18041.691888507663</v>
      </c>
      <c r="GC309" s="7">
        <v>2.9156573141622111E-2</v>
      </c>
      <c r="GD309" s="7">
        <v>3.0161258575107795E-2</v>
      </c>
      <c r="GE309" s="7"/>
      <c r="GF309" s="7"/>
      <c r="GG309" s="7">
        <v>3.4458282480784981E-2</v>
      </c>
      <c r="GH309" s="42">
        <v>8.1609183063538033</v>
      </c>
      <c r="GI309" s="6">
        <v>4392.1746789275703</v>
      </c>
      <c r="GJ309" s="14">
        <v>0.50394797582841733</v>
      </c>
      <c r="GK309" s="14">
        <v>0.50887573065309732</v>
      </c>
      <c r="GL309" s="14">
        <v>0.49605202417158273</v>
      </c>
      <c r="GM309" s="14">
        <v>0.49112426934690251</v>
      </c>
      <c r="GO309" s="5">
        <v>343.14810671672558</v>
      </c>
      <c r="GP309" s="5">
        <v>307.64377699166363</v>
      </c>
      <c r="GQ309" s="5">
        <v>535.04305713031317</v>
      </c>
      <c r="GR309" s="5">
        <v>410.15490233172511</v>
      </c>
      <c r="GS309" s="5">
        <v>339.42744393800166</v>
      </c>
      <c r="GT309" s="5">
        <v>293.4407446948278</v>
      </c>
      <c r="GU309" s="5">
        <v>258.04012322764959</v>
      </c>
      <c r="GV309" s="39" t="s">
        <v>392</v>
      </c>
      <c r="GW309" s="5">
        <v>482.65277777777777</v>
      </c>
      <c r="GX309" s="5">
        <v>361.98958333333331</v>
      </c>
      <c r="GY309" s="5">
        <v>289.59166666666664</v>
      </c>
      <c r="GZ309" s="5">
        <v>255.53408606924114</v>
      </c>
      <c r="HA309" s="5">
        <v>236.70336205047303</v>
      </c>
      <c r="HB309" s="39">
        <v>268.39014935069997</v>
      </c>
      <c r="HC309" s="5">
        <v>187.140625</v>
      </c>
      <c r="HD309" s="5">
        <v>171.45330774853798</v>
      </c>
      <c r="HE309" s="5">
        <v>177.50180921052629</v>
      </c>
      <c r="HF309" s="5">
        <v>167.9756304824561</v>
      </c>
      <c r="HG309" s="5">
        <v>166.75888157894735</v>
      </c>
      <c r="HH309" s="39">
        <v>172.4690858282012</v>
      </c>
      <c r="HI309" s="16"/>
      <c r="HJ309" s="19" t="str">
        <f t="shared" si="931"/>
        <v>On</v>
      </c>
      <c r="HK309" s="1" t="str">
        <f t="shared" si="931"/>
        <v>On</v>
      </c>
      <c r="HL309" s="16"/>
      <c r="HM309" s="639">
        <f t="shared" si="878"/>
        <v>2.2758057894877178E-2</v>
      </c>
      <c r="HN309" s="639">
        <f t="shared" si="879"/>
        <v>1.416759231746561E-3</v>
      </c>
      <c r="HO309" s="639">
        <f t="shared" si="880"/>
        <v>4.5732401537654987E-3</v>
      </c>
      <c r="HP309" s="644">
        <f>(FT309*$GD309-HM309)/$JF309*INDEX(Input!$1:$1048576,$JG$93,$C309*2+6)</f>
        <v>97.893603852003395</v>
      </c>
      <c r="HQ309" s="644">
        <f>(FU309*$GD309-HN309)/$JF309*INDEX(Input!$1:$1048576,$JG$93,$C309*2+6)</f>
        <v>-4.8394191947171663</v>
      </c>
      <c r="HR309" s="644">
        <f>(FV309*$GD309-HO309)/$JF309*INDEX(Input!$1:$1048576,$JG$93,$C309*2+6)</f>
        <v>-13.909564124998758</v>
      </c>
      <c r="HS309" s="644">
        <f t="shared" si="881"/>
        <v>-41.623803294551251</v>
      </c>
      <c r="HT309" s="644">
        <f t="shared" si="882"/>
        <v>16.807486729620909</v>
      </c>
      <c r="HU309" s="644">
        <f t="shared" si="883"/>
        <v>11.755290345805944</v>
      </c>
      <c r="HV309" s="648">
        <f t="shared" si="884"/>
        <v>0</v>
      </c>
      <c r="HW309" s="648">
        <f t="shared" si="885"/>
        <v>0</v>
      </c>
      <c r="HX309" s="648">
        <f t="shared" si="886"/>
        <v>0</v>
      </c>
      <c r="HY309" s="644">
        <f>INDEX(Input!$1:$1048576,HY$93,$C309*2+6)*INDEX(Input!$1:$1048576,$JG$93,$C309*2+6)</f>
        <v>509.00000000000006</v>
      </c>
      <c r="HZ309" s="644">
        <f>INDEX(Input!$1:$1048576,HZ$93,$C309*2+6)*INDEX(Input!$1:$1048576,$JG$93,$C309*2+6)</f>
        <v>844</v>
      </c>
      <c r="IA309" s="644">
        <f>INDEX(Input!$1:$1048576,IA$93,$C309*2+6)*INDEX(Input!$1:$1048576,$JG$93,$C309*2+6)</f>
        <v>257</v>
      </c>
      <c r="IB309" s="644">
        <f t="shared" si="910"/>
        <v>565.26980055745207</v>
      </c>
      <c r="IC309" s="644">
        <f t="shared" si="911"/>
        <v>855.96806753490375</v>
      </c>
      <c r="ID309" s="644">
        <f>IF(AND(INDEX(Input!$1:$1048576,IA$93,$C309*2+7)="TOS",Y309&lt;=INDEX(Y:Y,MATCH(C309*1000+2,A:A))),0,1)*MAX(IA309+HR309+HU309+HX309,0%)</f>
        <v>254.84572622080719</v>
      </c>
      <c r="IE309" s="128">
        <f t="shared" si="946"/>
        <v>0.33725632926387078</v>
      </c>
      <c r="IF309" s="128">
        <f t="shared" si="933"/>
        <v>0.51069533192684713</v>
      </c>
      <c r="IG309" s="128">
        <f t="shared" si="888"/>
        <v>0.15204833880928215</v>
      </c>
      <c r="IH309" s="21"/>
      <c r="II309" s="19">
        <f t="shared" si="889"/>
        <v>1410.4999999999998</v>
      </c>
      <c r="IJ309" s="19">
        <f t="shared" si="890"/>
        <v>2134.9731585778086</v>
      </c>
      <c r="IK309" s="19">
        <f t="shared" si="891"/>
        <v>2103.5</v>
      </c>
      <c r="IL309" s="19">
        <f t="shared" si="913"/>
        <v>450.50000000000023</v>
      </c>
      <c r="IM309" s="19">
        <f t="shared" si="892"/>
        <v>200.69332823564446</v>
      </c>
      <c r="IN309" s="19">
        <f t="shared" si="893"/>
        <v>185.5</v>
      </c>
      <c r="IO309" s="39">
        <f t="shared" si="894"/>
        <v>0</v>
      </c>
      <c r="IP309" s="39">
        <f t="shared" si="895"/>
        <v>0</v>
      </c>
      <c r="IQ309" s="39">
        <f t="shared" si="896"/>
        <v>0</v>
      </c>
      <c r="IR309" s="39">
        <v>0</v>
      </c>
      <c r="IS309" s="39">
        <v>0</v>
      </c>
      <c r="IT309" s="39">
        <v>0</v>
      </c>
      <c r="IU309" s="39">
        <v>0</v>
      </c>
      <c r="IV309" s="39">
        <v>0</v>
      </c>
      <c r="IW309" s="39">
        <v>0</v>
      </c>
      <c r="IX309" s="39">
        <f>INDEX(Input!$1:$1048576,IX$93,$C309*2+6)+INDEX(Input!$1:$1048576,IX$94,$C309*2+6)</f>
        <v>1611</v>
      </c>
      <c r="IY309" s="39">
        <f>INDEX(Input!$1:$1048576,IY$93,$C309*2+6)+INDEX(Input!$1:$1048576,IY$94,$C309*2+6)</f>
        <v>2471.0624533823611</v>
      </c>
      <c r="IZ309" s="39">
        <f>INDEX(Input!$1:$1048576,IZ$93,$C309*2+6)+INDEX(Input!$1:$1048576,IZ$94,$C309*2+6)</f>
        <v>3994.7164157747857</v>
      </c>
      <c r="JA309" s="19">
        <f t="shared" si="914"/>
        <v>2061.5</v>
      </c>
      <c r="JB309" s="19">
        <f t="shared" si="915"/>
        <v>2671.7557816180056</v>
      </c>
      <c r="JC309" s="19">
        <f t="shared" si="916"/>
        <v>4180.2164157747857</v>
      </c>
      <c r="JD309" s="19">
        <f t="shared" si="917"/>
        <v>2695.3020903801976</v>
      </c>
      <c r="JE309" s="21"/>
      <c r="JF309" s="1">
        <f t="shared" si="897"/>
        <v>2.8748057280389237E-2</v>
      </c>
      <c r="JG309" s="15">
        <f>INDEX(Input!$1:$1048576,JG$93,$C309*2+6)/(1+VLOOKUP(C309*1000+INDEX(Input!$1:$1048576,JG$93+1,$C309*2+6),$A:$KK,$JK$92,FALSE))</f>
        <v>1610</v>
      </c>
      <c r="JH309" s="1">
        <f t="shared" si="918"/>
        <v>4.915814939893632E-2</v>
      </c>
      <c r="JI309" s="1">
        <f t="shared" si="919"/>
        <v>-8.1124386454188811E-3</v>
      </c>
      <c r="JJ309" s="1">
        <f t="shared" si="920"/>
        <v>0</v>
      </c>
      <c r="JK309" s="1">
        <f t="shared" si="947"/>
        <v>4.1045710753517442E-2</v>
      </c>
      <c r="JL309" s="15">
        <f t="shared" si="922"/>
        <v>66.083594313163076</v>
      </c>
      <c r="JM309" s="15">
        <f t="shared" si="948"/>
        <v>1676.0835943131631</v>
      </c>
      <c r="JN309" s="21"/>
      <c r="JO309" s="19">
        <f>INDEX(Input!$1:$1048576,JO$93,$C309*2+6)</f>
        <v>5995.5</v>
      </c>
      <c r="JP309" s="19">
        <f>INDEX(Input!$1:$1048576,JP$93,$C309*2+6)</f>
        <v>2442.3713226762939</v>
      </c>
      <c r="JQ309" s="39">
        <f t="shared" si="934"/>
        <v>3300.1979096198024</v>
      </c>
      <c r="JR309" s="39">
        <f t="shared" ref="JR309:JR372" si="951">JD309-JP309</f>
        <v>252.93076770390371</v>
      </c>
      <c r="JS309" s="39">
        <f t="shared" si="936"/>
        <v>4.5175516154042228</v>
      </c>
      <c r="JT309" s="39">
        <f t="shared" si="924"/>
        <v>0.58533378589538998</v>
      </c>
      <c r="JU309" s="385">
        <f>(JQ309*JM309-INDEX(Input!$1:$1048576,Input!A$18,$C309*2+6)*JL309*INDEX(Input!$1:$1048576,Input!A$19,$C309*2+6))/1000000</f>
        <v>5.5314075743003457</v>
      </c>
      <c r="JV309" s="39">
        <f t="shared" si="900"/>
        <v>-0.18912959619082148</v>
      </c>
      <c r="JW309" s="1">
        <f t="shared" si="949"/>
        <v>-3.306150988169923E-2</v>
      </c>
      <c r="JX309" s="19">
        <f t="shared" si="940"/>
        <v>8857.4750205256078</v>
      </c>
      <c r="JZ309" s="341"/>
      <c r="KA309" s="342"/>
      <c r="KB309" s="469">
        <f t="shared" si="937"/>
        <v>2.5190675447988795</v>
      </c>
      <c r="KI309" s="473">
        <f t="shared" si="938"/>
        <v>56.269800557452129</v>
      </c>
      <c r="KJ309" s="473">
        <f t="shared" si="925"/>
        <v>11.968067534903753</v>
      </c>
      <c r="KK309" s="473">
        <f t="shared" si="926"/>
        <v>-2.1542737791927777</v>
      </c>
      <c r="KN309" s="544">
        <f t="shared" si="941"/>
        <v>3002</v>
      </c>
      <c r="KO309" s="541">
        <f t="shared" si="901"/>
        <v>1.0217516347359012E-2</v>
      </c>
      <c r="KP309" s="546">
        <f t="shared" si="902"/>
        <v>84.387992941241151</v>
      </c>
      <c r="KQ309" s="546">
        <f t="shared" si="903"/>
        <v>59.388664991499354</v>
      </c>
      <c r="KR309" s="548">
        <f t="shared" si="904"/>
        <v>2.1005900189054856</v>
      </c>
      <c r="KS309" s="548">
        <f t="shared" si="905"/>
        <v>2.9848216947326676</v>
      </c>
      <c r="KT309" s="473">
        <f t="shared" si="939"/>
        <v>1026.1618045255443</v>
      </c>
      <c r="KU309" s="663">
        <f t="shared" si="927"/>
        <v>4.6961589615795107</v>
      </c>
      <c r="KV309" s="117" t="e">
        <f>RANK(KU309,$KU$109:$KU$200)</f>
        <v>#N/A</v>
      </c>
    </row>
    <row r="310" spans="1:308" s="26" customFormat="1" ht="15">
      <c r="A310" s="561">
        <f t="shared" si="906"/>
        <v>3010</v>
      </c>
      <c r="B310" s="561">
        <f t="shared" si="928"/>
        <v>10</v>
      </c>
      <c r="C310" s="561">
        <f t="shared" si="929"/>
        <v>3</v>
      </c>
      <c r="D310" s="561" t="str">
        <f t="shared" si="950"/>
        <v xml:space="preserve">500 CC, </v>
      </c>
      <c r="E310" s="475">
        <f>INDEX(Input!$1:$1048576,E$93,$C310*2+MIN($B310,2)+5)+IF(OR(BX310&gt;50000,INDEX(Input!$1:$1048576,E$93,$C310*2+MIN($B310,2)+5)&gt;0),0,250)+IF(BX310&gt;50000,500,250)*2</f>
        <v>1787.0236024844721</v>
      </c>
      <c r="F310" s="475">
        <f>INDEX(Input!$1:$1048576,F$93,$C310*2+MIN($B310,2)+5)</f>
        <v>0</v>
      </c>
      <c r="G310" s="475">
        <f>INDEX(Input!$1:$1048576,G$93,$C310*2+MIN($B310,2)+5)</f>
        <v>0</v>
      </c>
      <c r="H310" s="115">
        <f>INDEX(Input!$1:$1048576,H$93,$C310*2+MIN($B310,2)+5)</f>
        <v>0</v>
      </c>
      <c r="I310" s="118">
        <f>INDEX(Input!$1:$1048576,I$93,$C310*2+MIN($B310,2)+5)</f>
        <v>0.7</v>
      </c>
      <c r="J310" s="118" t="str">
        <f>INDEX(Input!$1:$1048576,J$93,$C310*2+MIN($B310,2)+5)</f>
        <v>Market</v>
      </c>
      <c r="K310" s="118" t="str">
        <f>INDEX(Input!$1:$1048576,K$93,$C310*2+MIN($B310,2)+5)</f>
        <v>Market</v>
      </c>
      <c r="L310" s="118" t="str">
        <f>INDEX(Input!$1:$1048576,L$93,$C310*2+MIN($B310,2)+5)</f>
        <v>Market</v>
      </c>
      <c r="M310" s="118" t="str">
        <f>INDEX(Input!$1:$1048576,M$93,$C310*2+MIN($B310,2)+5)</f>
        <v>Market</v>
      </c>
      <c r="N310" s="118" t="str">
        <f>INDEX(Input!$1:$1048576,N$93,$C310*2+MIN($B310,2)+5)</f>
        <v>Market</v>
      </c>
      <c r="O310" s="118" t="str">
        <f>INDEX(Input!$1:$1048576,O$93,$C310*2+MIN($B310,2)+5)</f>
        <v>Market</v>
      </c>
      <c r="P310" s="118" t="str">
        <f>INDEX(Input!$1:$1048576,P$93,$C310*2+MIN($B310,2)+5)</f>
        <v>N</v>
      </c>
      <c r="Q310" s="30">
        <f>INDEX(Input!$1:$1048576,Q$93,$C310*2+MIN($B310,2)+5)</f>
        <v>0</v>
      </c>
      <c r="R310" s="383">
        <f>INDEX(Input!$1:$1048576,R$93,$C310*2+MIN($B310,2)+5)</f>
        <v>0</v>
      </c>
      <c r="S310" s="383">
        <f>INDEX(Input!$1:$1048576,S$93,$C310*2+MIN($B310,2)+5)</f>
        <v>0</v>
      </c>
      <c r="T310" s="383">
        <f>INDEX(Input!$1:$1048576,T$93,$C310*2+MIN($B310,2)+5)</f>
        <v>0</v>
      </c>
      <c r="U310" s="383">
        <f>INDEX(Input!$1:$1048576,U$93,$C310*2+MIN($B310,2)+5)</f>
        <v>0</v>
      </c>
      <c r="V310" s="383">
        <f>INDEX(Input!$1:$1048576,V$93,$C310*2+MIN($B310,2)+5)</f>
        <v>1.9E-2</v>
      </c>
      <c r="W310" s="884">
        <f>INDEX(Input!$1:$1048576,W$93,$C310*2+MIN($B310,2)+5)</f>
        <v>3.9E-2</v>
      </c>
      <c r="X310" s="118" t="str">
        <f>INDEX(Input!$1:$1048576,X$93,$C310*2+MIN($B310,2)+5)</f>
        <v>Y</v>
      </c>
      <c r="Y310" s="150">
        <f>INDEX(Input!$1:$1048576,Y$93,$C310*2+MIN($B310,2)+5)</f>
        <v>1554.9999999999991</v>
      </c>
      <c r="Z310" s="30">
        <f>INDEX(Input!$1:$1048576,Z$93,$C310*2+MIN($B310,2)+5)</f>
        <v>0</v>
      </c>
      <c r="AA310" s="115">
        <f>INDEX(Input!$1:$1048576,AA$93,$C310*2+MIN($B310,2)+5)</f>
        <v>0</v>
      </c>
      <c r="AB310" s="118">
        <f>INDEX(Input!$1:$1048576,AB$93,$C310*2+MIN($B310,2)+5)</f>
        <v>0.27</v>
      </c>
      <c r="AC310" s="115">
        <f>INDEX(Input!$1:$1048576,AC$93,$C310*2+MIN($B310,2)+5)</f>
        <v>0</v>
      </c>
      <c r="AD310" s="118">
        <f>INDEX(Input!$1:$1048576,AD$93,$C310*2+MIN($B310,2)+5)</f>
        <v>0.27</v>
      </c>
      <c r="AE310" s="115">
        <f>INDEX(Input!$1:$1048576,AE$93,$C310*2+MIN($B310,2)+5)</f>
        <v>0</v>
      </c>
      <c r="AF310" s="118">
        <f>INDEX(Input!$1:$1048576,AF$93,$C310*2+MIN($B310,2)+5)</f>
        <v>0.68200000000000005</v>
      </c>
      <c r="AG310" s="115">
        <f>INDEX(Input!$1:$1048576,AG$93,$C310*2+MIN($B310,2)+5)</f>
        <v>500</v>
      </c>
      <c r="AH310" s="118">
        <f>INDEX(Input!$1:$1048576,AH$93,$C310*2+MIN($B310,2)+5)</f>
        <v>1</v>
      </c>
      <c r="AI310" s="115">
        <f>INDEX(Input!$1:$1048576,AI$93,$C310*2+MIN($B310,2)+5)</f>
        <v>0</v>
      </c>
      <c r="AJ310" s="118">
        <f>INDEX(Input!$1:$1048576,AJ$93,$C310*2+MIN($B310,2)+5)</f>
        <v>0.27</v>
      </c>
      <c r="AK310" s="150">
        <f>ROUND(INDEX(Input!$1:$1048576,AK$93,$C309*2+MIN($B310,1)+5)+(Y310-VLOOKUP($C310*1000+1,$A:$HH,Y$92,FALSE)),0)</f>
        <v>2977</v>
      </c>
      <c r="AL310" s="150">
        <f>ROUND(INDEX(Input!$1:$1048576,AL$93,$C309*2+MIN($B310,1)+5)-(Y310-VLOOKUP($C310*1000+1,$A:$HH,Y$92,FALSE))/36,0)</f>
        <v>3395</v>
      </c>
      <c r="AM310" s="32" t="str">
        <f t="shared" si="907"/>
        <v>std/std/std/std</v>
      </c>
      <c r="AN310" s="32" t="str">
        <f t="shared" si="908"/>
        <v>$0 + 0/0/0/1.9/3.9</v>
      </c>
      <c r="AO310" s="32" t="str">
        <f t="shared" si="909"/>
        <v>0/0/0/1.9/3.9</v>
      </c>
      <c r="AP310" s="32" t="str">
        <f t="shared" si="863"/>
        <v>0/0.9/1.9/3.9</v>
      </c>
      <c r="AQ310" s="536">
        <f t="shared" si="862"/>
        <v>0.36029951996057935</v>
      </c>
      <c r="AR310" s="32"/>
      <c r="AS310" s="302"/>
      <c r="AT310" s="3">
        <f t="shared" si="930"/>
        <v>10</v>
      </c>
      <c r="AU310" s="41" t="s">
        <v>121</v>
      </c>
      <c r="AV310" s="41" t="s">
        <v>116</v>
      </c>
      <c r="AW310" s="41" t="str">
        <f>INDEX(Input!$1:$1048576,AW$93,$C310*2+6)</f>
        <v>Kia</v>
      </c>
      <c r="AX310" s="41" t="str">
        <f>INDEX(Input!$1:$1048576,AX$93,$C310*2+6)</f>
        <v>Kia-LR - L3</v>
      </c>
      <c r="AY310" s="41" t="str">
        <f>IF(LEN(D310)=0,"",INDEX(Input!$1:$1048576,AY$93,$C310*2+6))</f>
        <v>Compact SUV (52)</v>
      </c>
      <c r="AZ310" s="41" t="str">
        <f>INDEX(Input!$1:$1048576,AZ$93,$C310*2+6)</f>
        <v>Kia Soul</v>
      </c>
      <c r="BA310" s="3">
        <f>INDEX(Input!$1:$1048576,BA$93,$C310*2+6)</f>
        <v>2020</v>
      </c>
      <c r="BB310" s="128">
        <f>INDEX(Input!$1:$1048576,BB$93,$C310*2+6)</f>
        <v>1</v>
      </c>
      <c r="BC310" s="128">
        <f>INDEX(Input!$1:$1048576,BC$93,$C310*2+6)</f>
        <v>0.7</v>
      </c>
      <c r="BD310" s="1">
        <f>INDEX(Input!$1:$1048576,BD$93,$C310*2+6)</f>
        <v>4.4999999999999998E-2</v>
      </c>
      <c r="BE310" s="1">
        <f>INDEX(Input!$1:$1048576,BE$93,$C310*2+6)</f>
        <v>4.4999999999999998E-2</v>
      </c>
      <c r="BF310" s="1">
        <f>INDEX(Input!$1:$1048576,BF$93,$C310*2+6)</f>
        <v>0.05</v>
      </c>
      <c r="BG310" s="1">
        <f>INDEX(Input!$1:$1048576,BG$93,$C310*2+6)</f>
        <v>5.45E-2</v>
      </c>
      <c r="BH310" s="1">
        <f>INDEX(Input!$1:$1048576,BH$93,$C310*2+6)</f>
        <v>5.45E-2</v>
      </c>
      <c r="BI310" s="1">
        <f>INDEX(Input!$1:$1048576,BI$93,$C310*2+6)</f>
        <v>0.05</v>
      </c>
      <c r="BJ310" s="1">
        <f>INDEX(Input!$1:$1048576,BJ$93,$C310*2+6)</f>
        <v>0.05</v>
      </c>
      <c r="BK310" s="1">
        <f>INDEX(Input!$1:$1048576,BK$93,$C310*2+6)</f>
        <v>0.05</v>
      </c>
      <c r="BL310" s="1">
        <f>INDEX(Input!$1:$1048576,BL$93,$C310*2+6)</f>
        <v>5.5E-2</v>
      </c>
      <c r="BM310" s="1">
        <f>INDEX(Input!$1:$1048576,BM$93,$C310*2+6)</f>
        <v>0.06</v>
      </c>
      <c r="BN310" s="1">
        <f>INDEX(Input!$1:$1048576,BN$93,$C310*2+6)</f>
        <v>4.4999999999999998E-2</v>
      </c>
      <c r="BO310" s="1">
        <f>INDEX(Input!$1:$1048576,BO$93,$C310*2+6)</f>
        <v>4.4999999999999998E-2</v>
      </c>
      <c r="BP310" s="1">
        <f>INDEX(Input!$1:$1048576,BP$93,$C310*2+6)</f>
        <v>0.05</v>
      </c>
      <c r="BQ310" s="1">
        <f>INDEX(Input!$1:$1048576,BQ$93,$C310*2+6)</f>
        <v>5.45E-2</v>
      </c>
      <c r="BR310" s="1">
        <f>INDEX(Input!$1:$1048576,BR$93,$C310*2+6)</f>
        <v>5.45E-2</v>
      </c>
      <c r="BS310" s="1">
        <f>INDEX(Input!$1:$1048576,BS$93,$C310*2+6)</f>
        <v>0.05</v>
      </c>
      <c r="BT310" s="1">
        <f>INDEX(Input!$1:$1048576,BT$93,$C310*2+6)</f>
        <v>0.05</v>
      </c>
      <c r="BU310" s="1">
        <f>INDEX(Input!$1:$1048576,BU$93,$C310*2+6)</f>
        <v>0.05</v>
      </c>
      <c r="BV310" s="1">
        <f>INDEX(Input!$1:$1048576,BV$93,$C310*2+6)</f>
        <v>5.5E-2</v>
      </c>
      <c r="BW310" s="1">
        <f>INDEX(Input!$1:$1048576,BW$93,$C310*2+6)</f>
        <v>0.06</v>
      </c>
      <c r="BX310" s="127">
        <f>INDEX(Input!$1:$1048576,BX$93,$C310*2+6)</f>
        <v>19985</v>
      </c>
      <c r="BY310" s="20">
        <f>INDEX(Input!$1:$1048576,BY$93,$C310*2+6)</f>
        <v>0.1</v>
      </c>
      <c r="BZ310" s="20">
        <f>INDEX(Input!$1:$1048576,BZ$93,$C310*2+6)</f>
        <v>0.1</v>
      </c>
      <c r="CA310" s="20">
        <f>INDEX(Input!$1:$1048576,CA$93,$C310*2+6)</f>
        <v>0.1</v>
      </c>
      <c r="CB310" s="20">
        <f>INDEX(Input!$1:$1048576,CB$93,$C310*2+6)</f>
        <v>0.1</v>
      </c>
      <c r="CC310" s="20">
        <f>INDEX(Input!$1:$1048576,CC$93,$C310*2+6)</f>
        <v>0.1</v>
      </c>
      <c r="CD310" s="384">
        <f>INDEX(Input!$1:$1048576,CD$93,$C310*2+6)</f>
        <v>0.1</v>
      </c>
      <c r="CE310" s="384">
        <f>INDEX(Input!$1:$1048576,CE$93,$C310*2+6)</f>
        <v>0.1</v>
      </c>
      <c r="CF310" s="384">
        <f>INDEX(Input!$1:$1048576,CF$93,$C310*2+6)</f>
        <v>0.1</v>
      </c>
      <c r="CG310" s="384">
        <f>INDEX(Input!$1:$1048576,CG$93,$C310*2+6)</f>
        <v>0.1</v>
      </c>
      <c r="CH310" s="384">
        <f>INDEX(Input!$1:$1048576,CH$93,$C310*2+6)</f>
        <v>0.1</v>
      </c>
      <c r="CI310" s="304">
        <f t="shared" si="864"/>
        <v>1787.0236024844721</v>
      </c>
      <c r="CJ310" s="16" t="str">
        <f>INDEX(Input!$1:$1048576,CJ$93,$C310*2+6)</f>
        <v>N</v>
      </c>
      <c r="CK310" s="1" t="str">
        <f t="shared" si="865"/>
        <v>Market</v>
      </c>
      <c r="CL310" s="1" t="str">
        <f t="shared" si="866"/>
        <v>Market</v>
      </c>
      <c r="CM310" s="1" t="str">
        <f t="shared" si="867"/>
        <v>Market</v>
      </c>
      <c r="CN310" s="1" t="str">
        <f t="shared" si="868"/>
        <v>Market</v>
      </c>
      <c r="CO310" s="1" t="str">
        <f t="shared" si="869"/>
        <v>Market</v>
      </c>
      <c r="CP310" s="304">
        <f t="shared" si="870"/>
        <v>500</v>
      </c>
      <c r="CQ310" s="1">
        <f t="shared" si="871"/>
        <v>0</v>
      </c>
      <c r="CR310" s="1">
        <f t="shared" si="872"/>
        <v>0</v>
      </c>
      <c r="CS310" s="1">
        <f t="shared" si="873"/>
        <v>0</v>
      </c>
      <c r="CT310" s="1">
        <f t="shared" si="874"/>
        <v>1.9E-2</v>
      </c>
      <c r="CU310" s="1">
        <f t="shared" si="875"/>
        <v>3.9E-2</v>
      </c>
      <c r="CV310" s="304">
        <f t="shared" si="876"/>
        <v>1554.9999999999991</v>
      </c>
      <c r="CW310" s="20" t="s">
        <v>122</v>
      </c>
      <c r="CX310" s="20" t="s">
        <v>122</v>
      </c>
      <c r="CY310" s="20" t="s">
        <v>122</v>
      </c>
      <c r="CZ310" s="20" t="s">
        <v>122</v>
      </c>
      <c r="DA310" s="20" t="s">
        <v>122</v>
      </c>
      <c r="DB310" s="503">
        <f t="shared" si="877"/>
        <v>0</v>
      </c>
      <c r="DC310" s="127">
        <v>0</v>
      </c>
      <c r="DD310" s="127">
        <v>0</v>
      </c>
      <c r="DE310" s="127">
        <v>0</v>
      </c>
      <c r="DF310" s="127">
        <v>0</v>
      </c>
      <c r="DG310" s="127">
        <v>0</v>
      </c>
      <c r="DH310" s="127">
        <v>0</v>
      </c>
      <c r="DI310" s="127">
        <v>0</v>
      </c>
      <c r="DJ310" s="127">
        <v>0</v>
      </c>
      <c r="DK310" s="127">
        <v>0</v>
      </c>
      <c r="DL310" s="127">
        <v>0</v>
      </c>
      <c r="DM310" s="304">
        <f>INDEX(Input!$1:$1048576,DM$93,$C310*2+6)</f>
        <v>21036.84210526316</v>
      </c>
      <c r="DN310" s="20">
        <v>0</v>
      </c>
      <c r="DO310" s="20">
        <v>0</v>
      </c>
      <c r="DP310" s="20">
        <v>0</v>
      </c>
      <c r="DQ310" s="20">
        <v>0</v>
      </c>
      <c r="DR310" s="20">
        <v>0</v>
      </c>
      <c r="DS310" s="20">
        <f>INDEX(Input!$1:$1048576,DS$93,$C310*2+6)</f>
        <v>0.6</v>
      </c>
      <c r="DT310" s="20">
        <f>INDEX(Input!$1:$1048576,DT$93,$C310*2+6)</f>
        <v>0.55000000000000004</v>
      </c>
      <c r="DU310" s="20">
        <f>INDEX(Input!$1:$1048576,DU$93,$C310*2+6)</f>
        <v>0.52</v>
      </c>
      <c r="DV310" s="20">
        <f>INDEX(Input!$1:$1048576,DV$93,$C310*2+6)</f>
        <v>0.5</v>
      </c>
      <c r="DW310" s="20">
        <f>INDEX(Input!$1:$1048576,DW$93,$C310*2+6)</f>
        <v>0.45</v>
      </c>
      <c r="DX310" s="20"/>
      <c r="DY310" s="7">
        <v>0.11032657918773618</v>
      </c>
      <c r="DZ310" s="7">
        <v>0</v>
      </c>
      <c r="EA310" s="7">
        <v>0.72203001873720085</v>
      </c>
      <c r="EB310" s="7">
        <v>0</v>
      </c>
      <c r="EC310" s="7">
        <v>0</v>
      </c>
      <c r="ED310" s="7">
        <v>0</v>
      </c>
      <c r="EE310" s="7">
        <v>0</v>
      </c>
      <c r="EF310" s="7">
        <v>0</v>
      </c>
      <c r="EG310" s="7">
        <v>0</v>
      </c>
      <c r="EH310" s="7">
        <v>1.2001742973763841E-2</v>
      </c>
      <c r="EI310" s="7">
        <v>3.3609718725779891E-2</v>
      </c>
      <c r="EJ310" s="7">
        <v>0.27076178820542846</v>
      </c>
      <c r="EK310" s="7">
        <v>0.54233532606588108</v>
      </c>
      <c r="EL310" s="7">
        <v>0.14129142402914635</v>
      </c>
      <c r="EM310" s="7">
        <v>3.9458826661162821E-2</v>
      </c>
      <c r="EN310" s="7">
        <v>6.2850296020097632E-2</v>
      </c>
      <c r="EO310" s="7">
        <v>0.78069669071528569</v>
      </c>
      <c r="EP310" s="7">
        <v>6.4338029969333591E-2</v>
      </c>
      <c r="EQ310" s="7">
        <v>6.0215645162341534E-2</v>
      </c>
      <c r="ER310" s="7">
        <v>3.189933813294149E-2</v>
      </c>
      <c r="ES310" s="7">
        <v>0.12818457541390019</v>
      </c>
      <c r="ET310" s="7">
        <v>0.16764340207506295</v>
      </c>
      <c r="EU310" s="6">
        <v>2111</v>
      </c>
      <c r="EV310" s="6">
        <v>0</v>
      </c>
      <c r="EW310" s="6">
        <v>2111</v>
      </c>
      <c r="EX310" s="6">
        <v>0</v>
      </c>
      <c r="EY310" s="6">
        <v>2335.7902439015766</v>
      </c>
      <c r="EZ310" s="6">
        <v>2289</v>
      </c>
      <c r="FA310" s="6">
        <v>0</v>
      </c>
      <c r="FB310" s="6">
        <v>0</v>
      </c>
      <c r="FC310" s="6">
        <v>0</v>
      </c>
      <c r="FD310" s="6">
        <v>0</v>
      </c>
      <c r="FE310" s="6">
        <v>0</v>
      </c>
      <c r="FF310" s="6">
        <v>0</v>
      </c>
      <c r="FG310" s="6">
        <v>0</v>
      </c>
      <c r="FH310" s="6">
        <v>1172.0110693201029</v>
      </c>
      <c r="FI310" s="6">
        <v>1553.9796069512397</v>
      </c>
      <c r="FJ310" s="6">
        <v>2101.211011744741</v>
      </c>
      <c r="FK310" s="6">
        <v>1772.7139978623234</v>
      </c>
      <c r="FL310" s="6">
        <v>907.07682140966301</v>
      </c>
      <c r="FM310" s="6">
        <v>1724.7902439015766</v>
      </c>
      <c r="FN310" s="6">
        <v>0</v>
      </c>
      <c r="FO310" s="6">
        <v>0</v>
      </c>
      <c r="FP310" s="6">
        <v>0</v>
      </c>
      <c r="FQ310" s="6">
        <v>0</v>
      </c>
      <c r="FR310" s="6">
        <v>0</v>
      </c>
      <c r="FS310" s="6">
        <v>0</v>
      </c>
      <c r="FT310" s="7">
        <v>0.83235659792493699</v>
      </c>
      <c r="FU310" s="7">
        <v>3.9458826661162821E-2</v>
      </c>
      <c r="FV310" s="7">
        <v>0.12818457541390019</v>
      </c>
      <c r="FW310" s="6">
        <v>2111</v>
      </c>
      <c r="FX310" s="6">
        <v>2335.7902439015766</v>
      </c>
      <c r="FY310" s="6">
        <v>2289</v>
      </c>
      <c r="FZ310" s="6">
        <v>1858.9243755539039</v>
      </c>
      <c r="GA310" s="6">
        <v>2142.686813692907</v>
      </c>
      <c r="GB310" s="6">
        <v>17842.313186307092</v>
      </c>
      <c r="GC310" s="7">
        <v>2.9156573141622111E-2</v>
      </c>
      <c r="GD310" s="7">
        <v>3.0909510588649689E-2</v>
      </c>
      <c r="GE310" s="7"/>
      <c r="GF310" s="7"/>
      <c r="GG310" s="7">
        <v>6.0121518345555951E-2</v>
      </c>
      <c r="GH310" s="42">
        <v>4.2342762206862572</v>
      </c>
      <c r="GI310" s="6">
        <v>6862.5017143752675</v>
      </c>
      <c r="GJ310" s="14">
        <v>0.50394797582841744</v>
      </c>
      <c r="GK310" s="14">
        <v>0.50887573065309744</v>
      </c>
      <c r="GL310" s="14">
        <v>0.49605202417158273</v>
      </c>
      <c r="GM310" s="14">
        <v>0.49112426934690251</v>
      </c>
      <c r="GO310" s="5">
        <v>343.14810671672558</v>
      </c>
      <c r="GP310" s="5">
        <v>302.87425392274076</v>
      </c>
      <c r="GQ310" s="5">
        <v>535.04305713031317</v>
      </c>
      <c r="GR310" s="5">
        <v>410.15490233172511</v>
      </c>
      <c r="GS310" s="5">
        <v>339.42744393800166</v>
      </c>
      <c r="GT310" s="5">
        <v>293.4407446948278</v>
      </c>
      <c r="GU310" s="5">
        <v>258.04012322764959</v>
      </c>
      <c r="GV310" s="39" t="s">
        <v>392</v>
      </c>
      <c r="GW310" s="5">
        <v>482.65277777777777</v>
      </c>
      <c r="GX310" s="5">
        <v>361.98958333333331</v>
      </c>
      <c r="GY310" s="5">
        <v>289.59166666666664</v>
      </c>
      <c r="GZ310" s="5">
        <v>255.53408606924114</v>
      </c>
      <c r="HA310" s="5">
        <v>236.70336205047303</v>
      </c>
      <c r="HB310" s="39">
        <v>268.39871716392139</v>
      </c>
      <c r="HC310" s="5">
        <v>187.140625</v>
      </c>
      <c r="HD310" s="5">
        <v>171.45330774853798</v>
      </c>
      <c r="HE310" s="5">
        <v>177.50180921052629</v>
      </c>
      <c r="HF310" s="5">
        <v>167.9756304824561</v>
      </c>
      <c r="HG310" s="5">
        <v>166.75888157894735</v>
      </c>
      <c r="HH310" s="39">
        <v>172.46924928191709</v>
      </c>
      <c r="HI310" s="16"/>
      <c r="HJ310" s="19" t="str">
        <f t="shared" si="931"/>
        <v>On</v>
      </c>
      <c r="HK310" s="1" t="str">
        <f t="shared" si="931"/>
        <v>On</v>
      </c>
      <c r="HL310" s="16"/>
      <c r="HM310" s="639">
        <f t="shared" si="878"/>
        <v>2.2758057894877178E-2</v>
      </c>
      <c r="HN310" s="639">
        <f t="shared" si="879"/>
        <v>1.416759231746561E-3</v>
      </c>
      <c r="HO310" s="639">
        <f t="shared" si="880"/>
        <v>4.5732401537654987E-3</v>
      </c>
      <c r="HP310" s="644">
        <f>(FT310*$GD310-HM310)/$JF310*INDEX(Input!$1:$1048576,$JG$93,$C310*2+6)</f>
        <v>166.31316045934827</v>
      </c>
      <c r="HQ310" s="644">
        <f>(FU310*$GD310-HN310)/$JF310*INDEX(Input!$1:$1048576,$JG$93,$C310*2+6)</f>
        <v>-11.03869374593196</v>
      </c>
      <c r="HR310" s="644">
        <f>(FV310*$GD310-HO310)/$JF310*INDEX(Input!$1:$1048576,$JG$93,$C310*2+6)</f>
        <v>-34.224901786008132</v>
      </c>
      <c r="HS310" s="644">
        <f t="shared" si="881"/>
        <v>-64.593143200410978</v>
      </c>
      <c r="HT310" s="644">
        <f t="shared" si="882"/>
        <v>12.757278462798064</v>
      </c>
      <c r="HU310" s="644">
        <f t="shared" si="883"/>
        <v>15.820523907302668</v>
      </c>
      <c r="HV310" s="648">
        <f t="shared" si="884"/>
        <v>0</v>
      </c>
      <c r="HW310" s="648">
        <f t="shared" si="885"/>
        <v>0</v>
      </c>
      <c r="HX310" s="648">
        <f t="shared" si="886"/>
        <v>0</v>
      </c>
      <c r="HY310" s="644">
        <f>INDEX(Input!$1:$1048576,HY$93,$C310*2+6)*INDEX(Input!$1:$1048576,$JG$93,$C310*2+6)</f>
        <v>509.00000000000006</v>
      </c>
      <c r="HZ310" s="644">
        <f>INDEX(Input!$1:$1048576,HZ$93,$C310*2+6)*INDEX(Input!$1:$1048576,$JG$93,$C310*2+6)</f>
        <v>844</v>
      </c>
      <c r="IA310" s="644">
        <f>INDEX(Input!$1:$1048576,IA$93,$C310*2+6)*INDEX(Input!$1:$1048576,$JG$93,$C310*2+6)</f>
        <v>257</v>
      </c>
      <c r="IB310" s="644">
        <f t="shared" si="910"/>
        <v>610.72001725893756</v>
      </c>
      <c r="IC310" s="644">
        <f t="shared" si="911"/>
        <v>845.71858471686608</v>
      </c>
      <c r="ID310" s="644">
        <f>IF(AND(INDEX(Input!$1:$1048576,IA$93,$C310*2+7)="TOS",Y310&lt;=INDEX(Y:Y,MATCH(C310*1000+2,A:A))),0,1)*MAX(IA310+HR310+HU310+HX310,0%)</f>
        <v>238.59562212129453</v>
      </c>
      <c r="IE310" s="128">
        <f t="shared" si="946"/>
        <v>0.36029951996057935</v>
      </c>
      <c r="IF310" s="128">
        <f t="shared" si="933"/>
        <v>0.49893894335222583</v>
      </c>
      <c r="IG310" s="128">
        <f t="shared" si="888"/>
        <v>0.14076153668719485</v>
      </c>
      <c r="IH310" s="21"/>
      <c r="II310" s="19">
        <f t="shared" si="889"/>
        <v>1410.4999999999998</v>
      </c>
      <c r="IJ310" s="19">
        <f t="shared" si="890"/>
        <v>2134.9731585778086</v>
      </c>
      <c r="IK310" s="19">
        <f t="shared" si="891"/>
        <v>2103.5</v>
      </c>
      <c r="IL310" s="19">
        <f t="shared" si="913"/>
        <v>700.50000000000023</v>
      </c>
      <c r="IM310" s="19">
        <f t="shared" si="892"/>
        <v>200.81708532376797</v>
      </c>
      <c r="IN310" s="19">
        <f t="shared" si="893"/>
        <v>185.5</v>
      </c>
      <c r="IO310" s="39">
        <f t="shared" si="894"/>
        <v>0</v>
      </c>
      <c r="IP310" s="39">
        <f t="shared" si="895"/>
        <v>0</v>
      </c>
      <c r="IQ310" s="39">
        <f t="shared" si="896"/>
        <v>0</v>
      </c>
      <c r="IR310" s="39">
        <v>0</v>
      </c>
      <c r="IS310" s="39">
        <v>0</v>
      </c>
      <c r="IT310" s="39">
        <v>0</v>
      </c>
      <c r="IU310" s="39">
        <v>0</v>
      </c>
      <c r="IV310" s="39">
        <v>0</v>
      </c>
      <c r="IW310" s="39">
        <v>0</v>
      </c>
      <c r="IX310" s="39">
        <f>INDEX(Input!$1:$1048576,IX$93,$C310*2+6)+INDEX(Input!$1:$1048576,IX$94,$C310*2+6)</f>
        <v>1611</v>
      </c>
      <c r="IY310" s="39">
        <f>INDEX(Input!$1:$1048576,IY$93,$C310*2+6)+INDEX(Input!$1:$1048576,IY$94,$C310*2+6)</f>
        <v>2471.0624533823611</v>
      </c>
      <c r="IZ310" s="39">
        <f>INDEX(Input!$1:$1048576,IZ$93,$C310*2+6)+INDEX(Input!$1:$1048576,IZ$94,$C310*2+6)</f>
        <v>3994.7164157747857</v>
      </c>
      <c r="JA310" s="19">
        <f t="shared" si="914"/>
        <v>2311.5</v>
      </c>
      <c r="JB310" s="19">
        <f t="shared" si="915"/>
        <v>2671.8795387061291</v>
      </c>
      <c r="JC310" s="19">
        <f t="shared" si="916"/>
        <v>4180.2164157747857</v>
      </c>
      <c r="JD310" s="19">
        <f t="shared" si="917"/>
        <v>2754.3507805648442</v>
      </c>
      <c r="JE310" s="21"/>
      <c r="JF310" s="1">
        <f t="shared" si="897"/>
        <v>2.8748057280389237E-2</v>
      </c>
      <c r="JG310" s="15">
        <f>INDEX(Input!$1:$1048576,JG$93,$C310*2+6)/(1+VLOOKUP(C310*1000+INDEX(Input!$1:$1048576,JG$93+1,$C310*2+6),$A:$KK,$JK$92,FALSE))</f>
        <v>1610</v>
      </c>
      <c r="JH310" s="1">
        <f t="shared" si="918"/>
        <v>7.518606517230321E-2</v>
      </c>
      <c r="JI310" s="1">
        <f t="shared" si="919"/>
        <v>-2.2369776913236182E-2</v>
      </c>
      <c r="JJ310" s="1">
        <f t="shared" si="920"/>
        <v>0</v>
      </c>
      <c r="JK310" s="1">
        <f t="shared" si="947"/>
        <v>5.2816288259067028E-2</v>
      </c>
      <c r="JL310" s="15">
        <f t="shared" si="922"/>
        <v>85.034224097097919</v>
      </c>
      <c r="JM310" s="15">
        <f t="shared" si="948"/>
        <v>1695.0342240970979</v>
      </c>
      <c r="JN310" s="21"/>
      <c r="JO310" s="19">
        <f>INDEX(Input!$1:$1048576,JO$93,$C310*2+6)</f>
        <v>5995.5</v>
      </c>
      <c r="JP310" s="19">
        <f>INDEX(Input!$1:$1048576,JP$93,$C310*2+6)</f>
        <v>2442.3713226762939</v>
      </c>
      <c r="JQ310" s="39">
        <f t="shared" si="934"/>
        <v>3241.1492194351558</v>
      </c>
      <c r="JR310" s="39">
        <f t="shared" si="951"/>
        <v>311.97945788855031</v>
      </c>
      <c r="JS310" s="39">
        <f t="shared" si="936"/>
        <v>4.6687188382259661</v>
      </c>
      <c r="JT310" s="39">
        <f t="shared" si="924"/>
        <v>0.7365010087171332</v>
      </c>
      <c r="JU310" s="385">
        <f>(JQ310*JM310-INDEX(Input!$1:$1048576,Input!A$18,$C310*2+6)*JL310*INDEX(Input!$1:$1048576,Input!A$19,$C310*2+6))/1000000</f>
        <v>5.4938588523481844</v>
      </c>
      <c r="JV310" s="39">
        <f t="shared" si="900"/>
        <v>-0.22667831814298278</v>
      </c>
      <c r="JW310" s="1">
        <f t="shared" si="949"/>
        <v>-3.9625355344648533E-2</v>
      </c>
      <c r="JX310" s="19">
        <f t="shared" si="940"/>
        <v>8661.2304226607121</v>
      </c>
      <c r="JZ310" s="341"/>
      <c r="KA310" s="342"/>
      <c r="KB310" s="469">
        <f t="shared" si="937"/>
        <v>2.5190675447988795</v>
      </c>
      <c r="KI310" s="473">
        <f t="shared" si="938"/>
        <v>101.72001725893739</v>
      </c>
      <c r="KJ310" s="473">
        <f t="shared" si="925"/>
        <v>1.718584716865962</v>
      </c>
      <c r="KK310" s="473">
        <f t="shared" si="926"/>
        <v>-18.404377878705503</v>
      </c>
      <c r="KN310" s="544">
        <f t="shared" si="941"/>
        <v>3002</v>
      </c>
      <c r="KO310" s="541">
        <f t="shared" si="901"/>
        <v>2.1639535045292702E-2</v>
      </c>
      <c r="KP310" s="546">
        <f t="shared" si="902"/>
        <v>180.28371638740509</v>
      </c>
      <c r="KQ310" s="546">
        <f t="shared" si="903"/>
        <v>118.43735517614596</v>
      </c>
      <c r="KR310" s="548">
        <f t="shared" si="904"/>
        <v>2.0824186147149244</v>
      </c>
      <c r="KS310" s="548">
        <f t="shared" si="905"/>
        <v>3.1698290322066529</v>
      </c>
      <c r="KT310" s="473">
        <f t="shared" si="939"/>
        <v>1026.1618045255443</v>
      </c>
      <c r="KU310" s="663">
        <f t="shared" si="927"/>
        <v>4.7294786021028603</v>
      </c>
      <c r="KV310" s="117" t="e">
        <f t="shared" ref="KV310:KV311" si="952">RANK(KU310,$KU$109:$KU$200)</f>
        <v>#N/A</v>
      </c>
    </row>
    <row r="311" spans="1:308" s="26" customFormat="1" ht="15">
      <c r="A311" s="561">
        <f t="shared" si="906"/>
        <v>3011</v>
      </c>
      <c r="B311" s="561">
        <f t="shared" si="928"/>
        <v>11</v>
      </c>
      <c r="C311" s="561">
        <f t="shared" si="929"/>
        <v>3</v>
      </c>
      <c r="D311" s="561" t="str">
        <f t="shared" si="950"/>
        <v xml:space="preserve">750 CC, </v>
      </c>
      <c r="E311" s="475">
        <f>INDEX(Input!$1:$1048576,E$93,$C311*2+MIN($B311,2)+5)+IF(OR(BX311&gt;50000,INDEX(Input!$1:$1048576,E$93,$C311*2+MIN($B311,2)+5)&gt;0),0,250)+IF(BX311&gt;50000,500,250)*3</f>
        <v>2037.0236024844721</v>
      </c>
      <c r="F311" s="475">
        <f>INDEX(Input!$1:$1048576,F$93,$C311*2+MIN($B311,2)+5)</f>
        <v>0</v>
      </c>
      <c r="G311" s="475">
        <f>INDEX(Input!$1:$1048576,G$93,$C311*2+MIN($B311,2)+5)</f>
        <v>0</v>
      </c>
      <c r="H311" s="115">
        <f>INDEX(Input!$1:$1048576,H$93,$C311*2+MIN($B311,2)+5)</f>
        <v>0</v>
      </c>
      <c r="I311" s="118">
        <f>INDEX(Input!$1:$1048576,I$93,$C311*2+MIN($B311,2)+5)</f>
        <v>0.7</v>
      </c>
      <c r="J311" s="118" t="str">
        <f>INDEX(Input!$1:$1048576,J$93,$C311*2+MIN($B311,2)+5)</f>
        <v>Market</v>
      </c>
      <c r="K311" s="118" t="str">
        <f>INDEX(Input!$1:$1048576,K$93,$C311*2+MIN($B311,2)+5)</f>
        <v>Market</v>
      </c>
      <c r="L311" s="118" t="str">
        <f>INDEX(Input!$1:$1048576,L$93,$C311*2+MIN($B311,2)+5)</f>
        <v>Market</v>
      </c>
      <c r="M311" s="118" t="str">
        <f>INDEX(Input!$1:$1048576,M$93,$C311*2+MIN($B311,2)+5)</f>
        <v>Market</v>
      </c>
      <c r="N311" s="118" t="str">
        <f>INDEX(Input!$1:$1048576,N$93,$C311*2+MIN($B311,2)+5)</f>
        <v>Market</v>
      </c>
      <c r="O311" s="118" t="str">
        <f>INDEX(Input!$1:$1048576,O$93,$C311*2+MIN($B311,2)+5)</f>
        <v>Market</v>
      </c>
      <c r="P311" s="118" t="str">
        <f>INDEX(Input!$1:$1048576,P$93,$C311*2+MIN($B311,2)+5)</f>
        <v>N</v>
      </c>
      <c r="Q311" s="30">
        <f>INDEX(Input!$1:$1048576,Q$93,$C311*2+MIN($B311,2)+5)</f>
        <v>0</v>
      </c>
      <c r="R311" s="383">
        <f>INDEX(Input!$1:$1048576,R$93,$C311*2+MIN($B311,2)+5)</f>
        <v>0</v>
      </c>
      <c r="S311" s="383">
        <f>INDEX(Input!$1:$1048576,S$93,$C311*2+MIN($B311,2)+5)</f>
        <v>0</v>
      </c>
      <c r="T311" s="383">
        <f>INDEX(Input!$1:$1048576,T$93,$C311*2+MIN($B311,2)+5)</f>
        <v>0</v>
      </c>
      <c r="U311" s="383">
        <f>INDEX(Input!$1:$1048576,U$93,$C311*2+MIN($B311,2)+5)</f>
        <v>0</v>
      </c>
      <c r="V311" s="383">
        <f>INDEX(Input!$1:$1048576,V$93,$C311*2+MIN($B311,2)+5)</f>
        <v>1.9E-2</v>
      </c>
      <c r="W311" s="884">
        <f>INDEX(Input!$1:$1048576,W$93,$C311*2+MIN($B311,2)+5)</f>
        <v>3.9E-2</v>
      </c>
      <c r="X311" s="118" t="str">
        <f>INDEX(Input!$1:$1048576,X$93,$C311*2+MIN($B311,2)+5)</f>
        <v>Y</v>
      </c>
      <c r="Y311" s="150">
        <f>INDEX(Input!$1:$1048576,Y$93,$C311*2+MIN($B311,2)+5)</f>
        <v>1554.9999999999991</v>
      </c>
      <c r="Z311" s="30">
        <f>INDEX(Input!$1:$1048576,Z$93,$C311*2+MIN($B311,2)+5)</f>
        <v>0</v>
      </c>
      <c r="AA311" s="115">
        <f>INDEX(Input!$1:$1048576,AA$93,$C311*2+MIN($B311,2)+5)</f>
        <v>0</v>
      </c>
      <c r="AB311" s="118">
        <f>INDEX(Input!$1:$1048576,AB$93,$C311*2+MIN($B311,2)+5)</f>
        <v>0.27</v>
      </c>
      <c r="AC311" s="115">
        <f>INDEX(Input!$1:$1048576,AC$93,$C311*2+MIN($B311,2)+5)</f>
        <v>0</v>
      </c>
      <c r="AD311" s="118">
        <f>INDEX(Input!$1:$1048576,AD$93,$C311*2+MIN($B311,2)+5)</f>
        <v>0.27</v>
      </c>
      <c r="AE311" s="115">
        <f>INDEX(Input!$1:$1048576,AE$93,$C311*2+MIN($B311,2)+5)</f>
        <v>0</v>
      </c>
      <c r="AF311" s="118">
        <f>INDEX(Input!$1:$1048576,AF$93,$C311*2+MIN($B311,2)+5)</f>
        <v>0.68200000000000005</v>
      </c>
      <c r="AG311" s="115">
        <f>INDEX(Input!$1:$1048576,AG$93,$C311*2+MIN($B311,2)+5)</f>
        <v>500</v>
      </c>
      <c r="AH311" s="118">
        <f>INDEX(Input!$1:$1048576,AH$93,$C311*2+MIN($B311,2)+5)</f>
        <v>1</v>
      </c>
      <c r="AI311" s="115">
        <f>INDEX(Input!$1:$1048576,AI$93,$C311*2+MIN($B311,2)+5)</f>
        <v>0</v>
      </c>
      <c r="AJ311" s="118">
        <f>INDEX(Input!$1:$1048576,AJ$93,$C311*2+MIN($B311,2)+5)</f>
        <v>0.27</v>
      </c>
      <c r="AK311" s="150">
        <f>ROUND(INDEX(Input!$1:$1048576,AK$93,$C310*2+MIN($B311,1)+5)+(Y311-VLOOKUP($C311*1000+1,$A:$HH,Y$92,FALSE)),0)</f>
        <v>2977</v>
      </c>
      <c r="AL311" s="150">
        <f>ROUND(INDEX(Input!$1:$1048576,AL$93,$C310*2+MIN($B311,1)+5)-(Y311-VLOOKUP($C311*1000+1,$A:$HH,Y$92,FALSE))/36,0)</f>
        <v>3395</v>
      </c>
      <c r="AM311" s="32" t="str">
        <f t="shared" si="907"/>
        <v>std/std/std/std</v>
      </c>
      <c r="AN311" s="32" t="str">
        <f t="shared" si="908"/>
        <v>$0 + 0/0/0/1.9/3.9</v>
      </c>
      <c r="AO311" s="32" t="str">
        <f t="shared" si="909"/>
        <v>0/0/0/1.9/3.9</v>
      </c>
      <c r="AP311" s="32" t="str">
        <f t="shared" si="863"/>
        <v>0/0.9/1.9/3.9</v>
      </c>
      <c r="AQ311" s="536">
        <f t="shared" si="862"/>
        <v>0.38261032758965297</v>
      </c>
      <c r="AR311" s="32"/>
      <c r="AS311" s="302"/>
      <c r="AT311" s="3">
        <f t="shared" si="930"/>
        <v>11</v>
      </c>
      <c r="AU311" s="41" t="s">
        <v>121</v>
      </c>
      <c r="AV311" s="41" t="s">
        <v>116</v>
      </c>
      <c r="AW311" s="41" t="str">
        <f>INDEX(Input!$1:$1048576,AW$93,$C311*2+6)</f>
        <v>Kia</v>
      </c>
      <c r="AX311" s="41" t="str">
        <f>INDEX(Input!$1:$1048576,AX$93,$C311*2+6)</f>
        <v>Kia-LR - L3</v>
      </c>
      <c r="AY311" s="41" t="str">
        <f>IF(LEN(D311)=0,"",INDEX(Input!$1:$1048576,AY$93,$C311*2+6))</f>
        <v>Compact SUV (52)</v>
      </c>
      <c r="AZ311" s="41" t="str">
        <f>INDEX(Input!$1:$1048576,AZ$93,$C311*2+6)</f>
        <v>Kia Soul</v>
      </c>
      <c r="BA311" s="3">
        <f>INDEX(Input!$1:$1048576,BA$93,$C311*2+6)</f>
        <v>2020</v>
      </c>
      <c r="BB311" s="128">
        <f>INDEX(Input!$1:$1048576,BB$93,$C311*2+6)</f>
        <v>1</v>
      </c>
      <c r="BC311" s="128">
        <f>INDEX(Input!$1:$1048576,BC$93,$C311*2+6)</f>
        <v>0.7</v>
      </c>
      <c r="BD311" s="1">
        <f>INDEX(Input!$1:$1048576,BD$93,$C311*2+6)</f>
        <v>4.4999999999999998E-2</v>
      </c>
      <c r="BE311" s="1">
        <f>INDEX(Input!$1:$1048576,BE$93,$C311*2+6)</f>
        <v>4.4999999999999998E-2</v>
      </c>
      <c r="BF311" s="1">
        <f>INDEX(Input!$1:$1048576,BF$93,$C311*2+6)</f>
        <v>0.05</v>
      </c>
      <c r="BG311" s="1">
        <f>INDEX(Input!$1:$1048576,BG$93,$C311*2+6)</f>
        <v>5.45E-2</v>
      </c>
      <c r="BH311" s="1">
        <f>INDEX(Input!$1:$1048576,BH$93,$C311*2+6)</f>
        <v>5.45E-2</v>
      </c>
      <c r="BI311" s="1">
        <f>INDEX(Input!$1:$1048576,BI$93,$C311*2+6)</f>
        <v>0.05</v>
      </c>
      <c r="BJ311" s="1">
        <f>INDEX(Input!$1:$1048576,BJ$93,$C311*2+6)</f>
        <v>0.05</v>
      </c>
      <c r="BK311" s="1">
        <f>INDEX(Input!$1:$1048576,BK$93,$C311*2+6)</f>
        <v>0.05</v>
      </c>
      <c r="BL311" s="1">
        <f>INDEX(Input!$1:$1048576,BL$93,$C311*2+6)</f>
        <v>5.5E-2</v>
      </c>
      <c r="BM311" s="1">
        <f>INDEX(Input!$1:$1048576,BM$93,$C311*2+6)</f>
        <v>0.06</v>
      </c>
      <c r="BN311" s="1">
        <f>INDEX(Input!$1:$1048576,BN$93,$C311*2+6)</f>
        <v>4.4999999999999998E-2</v>
      </c>
      <c r="BO311" s="1">
        <f>INDEX(Input!$1:$1048576,BO$93,$C311*2+6)</f>
        <v>4.4999999999999998E-2</v>
      </c>
      <c r="BP311" s="1">
        <f>INDEX(Input!$1:$1048576,BP$93,$C311*2+6)</f>
        <v>0.05</v>
      </c>
      <c r="BQ311" s="1">
        <f>INDEX(Input!$1:$1048576,BQ$93,$C311*2+6)</f>
        <v>5.45E-2</v>
      </c>
      <c r="BR311" s="1">
        <f>INDEX(Input!$1:$1048576,BR$93,$C311*2+6)</f>
        <v>5.45E-2</v>
      </c>
      <c r="BS311" s="1">
        <f>INDEX(Input!$1:$1048576,BS$93,$C311*2+6)</f>
        <v>0.05</v>
      </c>
      <c r="BT311" s="1">
        <f>INDEX(Input!$1:$1048576,BT$93,$C311*2+6)</f>
        <v>0.05</v>
      </c>
      <c r="BU311" s="1">
        <f>INDEX(Input!$1:$1048576,BU$93,$C311*2+6)</f>
        <v>0.05</v>
      </c>
      <c r="BV311" s="1">
        <f>INDEX(Input!$1:$1048576,BV$93,$C311*2+6)</f>
        <v>5.5E-2</v>
      </c>
      <c r="BW311" s="1">
        <f>INDEX(Input!$1:$1048576,BW$93,$C311*2+6)</f>
        <v>0.06</v>
      </c>
      <c r="BX311" s="127">
        <f>INDEX(Input!$1:$1048576,BX$93,$C311*2+6)</f>
        <v>19985</v>
      </c>
      <c r="BY311" s="20">
        <f>INDEX(Input!$1:$1048576,BY$93,$C311*2+6)</f>
        <v>0.1</v>
      </c>
      <c r="BZ311" s="20">
        <f>INDEX(Input!$1:$1048576,BZ$93,$C311*2+6)</f>
        <v>0.1</v>
      </c>
      <c r="CA311" s="20">
        <f>INDEX(Input!$1:$1048576,CA$93,$C311*2+6)</f>
        <v>0.1</v>
      </c>
      <c r="CB311" s="20">
        <f>INDEX(Input!$1:$1048576,CB$93,$C311*2+6)</f>
        <v>0.1</v>
      </c>
      <c r="CC311" s="20">
        <f>INDEX(Input!$1:$1048576,CC$93,$C311*2+6)</f>
        <v>0.1</v>
      </c>
      <c r="CD311" s="384">
        <f>INDEX(Input!$1:$1048576,CD$93,$C311*2+6)</f>
        <v>0.1</v>
      </c>
      <c r="CE311" s="384">
        <f>INDEX(Input!$1:$1048576,CE$93,$C311*2+6)</f>
        <v>0.1</v>
      </c>
      <c r="CF311" s="384">
        <f>INDEX(Input!$1:$1048576,CF$93,$C311*2+6)</f>
        <v>0.1</v>
      </c>
      <c r="CG311" s="384">
        <f>INDEX(Input!$1:$1048576,CG$93,$C311*2+6)</f>
        <v>0.1</v>
      </c>
      <c r="CH311" s="384">
        <f>INDEX(Input!$1:$1048576,CH$93,$C311*2+6)</f>
        <v>0.1</v>
      </c>
      <c r="CI311" s="304">
        <f t="shared" si="864"/>
        <v>2037.0236024844721</v>
      </c>
      <c r="CJ311" s="16" t="str">
        <f>INDEX(Input!$1:$1048576,CJ$93,$C311*2+6)</f>
        <v>N</v>
      </c>
      <c r="CK311" s="1" t="str">
        <f t="shared" si="865"/>
        <v>Market</v>
      </c>
      <c r="CL311" s="1" t="str">
        <f t="shared" si="866"/>
        <v>Market</v>
      </c>
      <c r="CM311" s="1" t="str">
        <f t="shared" si="867"/>
        <v>Market</v>
      </c>
      <c r="CN311" s="1" t="str">
        <f t="shared" si="868"/>
        <v>Market</v>
      </c>
      <c r="CO311" s="1" t="str">
        <f t="shared" si="869"/>
        <v>Market</v>
      </c>
      <c r="CP311" s="304">
        <f t="shared" si="870"/>
        <v>500</v>
      </c>
      <c r="CQ311" s="1">
        <f t="shared" si="871"/>
        <v>0</v>
      </c>
      <c r="CR311" s="1">
        <f t="shared" si="872"/>
        <v>0</v>
      </c>
      <c r="CS311" s="1">
        <f t="shared" si="873"/>
        <v>0</v>
      </c>
      <c r="CT311" s="1">
        <f t="shared" si="874"/>
        <v>1.9E-2</v>
      </c>
      <c r="CU311" s="1">
        <f t="shared" si="875"/>
        <v>3.9E-2</v>
      </c>
      <c r="CV311" s="304">
        <f t="shared" si="876"/>
        <v>1554.9999999999991</v>
      </c>
      <c r="CW311" s="20" t="s">
        <v>122</v>
      </c>
      <c r="CX311" s="20" t="s">
        <v>122</v>
      </c>
      <c r="CY311" s="20" t="s">
        <v>122</v>
      </c>
      <c r="CZ311" s="20" t="s">
        <v>122</v>
      </c>
      <c r="DA311" s="20" t="s">
        <v>122</v>
      </c>
      <c r="DB311" s="503">
        <f t="shared" si="877"/>
        <v>0</v>
      </c>
      <c r="DC311" s="127">
        <v>0</v>
      </c>
      <c r="DD311" s="127">
        <v>0</v>
      </c>
      <c r="DE311" s="127">
        <v>0</v>
      </c>
      <c r="DF311" s="127">
        <v>0</v>
      </c>
      <c r="DG311" s="127">
        <v>0</v>
      </c>
      <c r="DH311" s="127">
        <v>0</v>
      </c>
      <c r="DI311" s="127">
        <v>0</v>
      </c>
      <c r="DJ311" s="127">
        <v>0</v>
      </c>
      <c r="DK311" s="127">
        <v>0</v>
      </c>
      <c r="DL311" s="127">
        <v>0</v>
      </c>
      <c r="DM311" s="304">
        <f>INDEX(Input!$1:$1048576,DM$93,$C311*2+6)</f>
        <v>21036.84210526316</v>
      </c>
      <c r="DN311" s="20">
        <v>0</v>
      </c>
      <c r="DO311" s="20">
        <v>0</v>
      </c>
      <c r="DP311" s="20">
        <v>0</v>
      </c>
      <c r="DQ311" s="20">
        <v>0</v>
      </c>
      <c r="DR311" s="20">
        <v>0</v>
      </c>
      <c r="DS311" s="20">
        <f>INDEX(Input!$1:$1048576,DS$93,$C311*2+6)</f>
        <v>0.6</v>
      </c>
      <c r="DT311" s="20">
        <f>INDEX(Input!$1:$1048576,DT$93,$C311*2+6)</f>
        <v>0.55000000000000004</v>
      </c>
      <c r="DU311" s="20">
        <f>INDEX(Input!$1:$1048576,DU$93,$C311*2+6)</f>
        <v>0.52</v>
      </c>
      <c r="DV311" s="20">
        <f>INDEX(Input!$1:$1048576,DV$93,$C311*2+6)</f>
        <v>0.5</v>
      </c>
      <c r="DW311" s="20">
        <f>INDEX(Input!$1:$1048576,DW$93,$C311*2+6)</f>
        <v>0.45</v>
      </c>
      <c r="DX311" s="20"/>
      <c r="DY311" s="7">
        <v>0.11529792059877639</v>
      </c>
      <c r="DZ311" s="7">
        <v>0</v>
      </c>
      <c r="EA311" s="7">
        <v>0.73522926992372328</v>
      </c>
      <c r="EB311" s="7">
        <v>0</v>
      </c>
      <c r="EC311" s="7">
        <v>0</v>
      </c>
      <c r="ED311" s="7">
        <v>0</v>
      </c>
      <c r="EE311" s="7">
        <v>0</v>
      </c>
      <c r="EF311" s="7">
        <v>0</v>
      </c>
      <c r="EG311" s="7">
        <v>0</v>
      </c>
      <c r="EH311" s="7">
        <v>1.2002274416502246E-2</v>
      </c>
      <c r="EI311" s="7">
        <v>3.3613973475413859E-2</v>
      </c>
      <c r="EJ311" s="7">
        <v>0.27092261923676714</v>
      </c>
      <c r="EK311" s="7">
        <v>0.54222998337050055</v>
      </c>
      <c r="EL311" s="7">
        <v>0.14123114950081606</v>
      </c>
      <c r="EM311" s="7">
        <v>3.5198419238695988E-2</v>
      </c>
      <c r="EN311" s="7">
        <v>6.286827972474443E-2</v>
      </c>
      <c r="EO311" s="7">
        <v>0.78072487869301299</v>
      </c>
      <c r="EP311" s="7">
        <v>6.4306290325154974E-2</v>
      </c>
      <c r="EQ311" s="7">
        <v>6.0198706854128044E-2</v>
      </c>
      <c r="ER311" s="7">
        <v>3.1901844402959609E-2</v>
      </c>
      <c r="ES311" s="7">
        <v>0.11427439023880441</v>
      </c>
      <c r="ET311" s="7">
        <v>0.1494728094775003</v>
      </c>
      <c r="EU311" s="6">
        <v>2361</v>
      </c>
      <c r="EV311" s="6">
        <v>0</v>
      </c>
      <c r="EW311" s="6">
        <v>2361</v>
      </c>
      <c r="EX311" s="6">
        <v>0</v>
      </c>
      <c r="EY311" s="6">
        <v>2335.8940439682797</v>
      </c>
      <c r="EZ311" s="6">
        <v>2289</v>
      </c>
      <c r="FA311" s="6">
        <v>0</v>
      </c>
      <c r="FB311" s="6">
        <v>0</v>
      </c>
      <c r="FC311" s="6">
        <v>0</v>
      </c>
      <c r="FD311" s="6">
        <v>0</v>
      </c>
      <c r="FE311" s="6">
        <v>0</v>
      </c>
      <c r="FF311" s="6">
        <v>0</v>
      </c>
      <c r="FG311" s="6">
        <v>0</v>
      </c>
      <c r="FH311" s="6">
        <v>1172.0145336578014</v>
      </c>
      <c r="FI311" s="6">
        <v>1553.9796069512399</v>
      </c>
      <c r="FJ311" s="6">
        <v>2101.2110117447405</v>
      </c>
      <c r="FK311" s="6">
        <v>1772.7139978623231</v>
      </c>
      <c r="FL311" s="6">
        <v>907.07682140966324</v>
      </c>
      <c r="FM311" s="6">
        <v>1724.8940439682797</v>
      </c>
      <c r="FN311" s="6">
        <v>0</v>
      </c>
      <c r="FO311" s="6">
        <v>0</v>
      </c>
      <c r="FP311" s="6">
        <v>0</v>
      </c>
      <c r="FQ311" s="6">
        <v>0</v>
      </c>
      <c r="FR311" s="6">
        <v>0</v>
      </c>
      <c r="FS311" s="6">
        <v>0</v>
      </c>
      <c r="FT311" s="7">
        <v>0.8505271905224997</v>
      </c>
      <c r="FU311" s="7">
        <v>3.5198419238695988E-2</v>
      </c>
      <c r="FV311" s="7">
        <v>0.11427439023880441</v>
      </c>
      <c r="FW311" s="6">
        <v>2361</v>
      </c>
      <c r="FX311" s="6">
        <v>2335.8940439682797</v>
      </c>
      <c r="FY311" s="6">
        <v>2289</v>
      </c>
      <c r="FZ311" s="6">
        <v>1858.9243755539039</v>
      </c>
      <c r="GA311" s="6">
        <v>2351.8885539370135</v>
      </c>
      <c r="GB311" s="6">
        <v>17633.111446062987</v>
      </c>
      <c r="GC311" s="7">
        <v>2.9156573141622111E-2</v>
      </c>
      <c r="GD311" s="7">
        <v>3.1693679126766565E-2</v>
      </c>
      <c r="GE311" s="7"/>
      <c r="GF311" s="7"/>
      <c r="GG311" s="7">
        <v>8.7016604208628293E-2</v>
      </c>
      <c r="GH311" s="42">
        <v>3.52769412336071</v>
      </c>
      <c r="GI311" s="6">
        <v>8017.0622626374143</v>
      </c>
      <c r="GJ311" s="14">
        <v>0.50394797582841744</v>
      </c>
      <c r="GK311" s="14">
        <v>0.50887573065309755</v>
      </c>
      <c r="GL311" s="14">
        <v>0.49605202417158284</v>
      </c>
      <c r="GM311" s="14">
        <v>0.49112426934690251</v>
      </c>
      <c r="GO311" s="5">
        <v>343.14810671672558</v>
      </c>
      <c r="GP311" s="5">
        <v>298.1047308538179</v>
      </c>
      <c r="GQ311" s="5">
        <v>535.04305713031317</v>
      </c>
      <c r="GR311" s="5">
        <v>410.15490233172511</v>
      </c>
      <c r="GS311" s="5">
        <v>339.42744393800166</v>
      </c>
      <c r="GT311" s="5">
        <v>293.4407446948278</v>
      </c>
      <c r="GU311" s="5">
        <v>258.04012322764959</v>
      </c>
      <c r="GV311" s="39" t="s">
        <v>392</v>
      </c>
      <c r="GW311" s="5">
        <v>482.65277777777777</v>
      </c>
      <c r="GX311" s="5">
        <v>361.98958333333331</v>
      </c>
      <c r="GY311" s="5">
        <v>289.59166666666664</v>
      </c>
      <c r="GZ311" s="5">
        <v>255.53408606924114</v>
      </c>
      <c r="HA311" s="5">
        <v>236.70336205047303</v>
      </c>
      <c r="HB311" s="39">
        <v>268.40590333480969</v>
      </c>
      <c r="HC311" s="5">
        <v>187.140625</v>
      </c>
      <c r="HD311" s="5">
        <v>171.45330774853798</v>
      </c>
      <c r="HE311" s="5">
        <v>177.50180921052629</v>
      </c>
      <c r="HF311" s="5">
        <v>167.9756304824561</v>
      </c>
      <c r="HG311" s="5">
        <v>166.75888157894735</v>
      </c>
      <c r="HH311" s="39">
        <v>172.46938656118286</v>
      </c>
      <c r="HI311" s="16"/>
      <c r="HJ311" s="19" t="str">
        <f t="shared" si="931"/>
        <v>On</v>
      </c>
      <c r="HK311" s="1" t="str">
        <f t="shared" si="931"/>
        <v>On</v>
      </c>
      <c r="HL311" s="16"/>
      <c r="HM311" s="639">
        <f t="shared" si="878"/>
        <v>2.2758057894877178E-2</v>
      </c>
      <c r="HN311" s="639">
        <f t="shared" si="879"/>
        <v>1.416759231746561E-3</v>
      </c>
      <c r="HO311" s="639">
        <f t="shared" si="880"/>
        <v>4.5732401537654987E-3</v>
      </c>
      <c r="HP311" s="644">
        <f>(FT311*$GD311-HM311)/$JF311*INDEX(Input!$1:$1048576,$JG$93,$C311*2+6)</f>
        <v>235.1194540204736</v>
      </c>
      <c r="HQ311" s="644">
        <f>(FU311*$GD311-HN311)/$JF311*INDEX(Input!$1:$1048576,$JG$93,$C311*2+6)</f>
        <v>-16.867882102020456</v>
      </c>
      <c r="HR311" s="644">
        <f>(FV311*$GD311-HO311)/$JF311*INDEX(Input!$1:$1048576,$JG$93,$C311*2+6)</f>
        <v>-53.285601299540787</v>
      </c>
      <c r="HS311" s="644">
        <f t="shared" si="881"/>
        <v>-87.562459905632096</v>
      </c>
      <c r="HT311" s="644">
        <f t="shared" si="882"/>
        <v>8.704670423253706</v>
      </c>
      <c r="HU311" s="644">
        <f t="shared" si="883"/>
        <v>19.885734268160746</v>
      </c>
      <c r="HV311" s="648">
        <f t="shared" si="884"/>
        <v>0</v>
      </c>
      <c r="HW311" s="648">
        <f t="shared" si="885"/>
        <v>0</v>
      </c>
      <c r="HX311" s="648">
        <f t="shared" si="886"/>
        <v>0</v>
      </c>
      <c r="HY311" s="644">
        <f>INDEX(Input!$1:$1048576,HY$93,$C311*2+6)*INDEX(Input!$1:$1048576,$JG$93,$C311*2+6)</f>
        <v>509.00000000000006</v>
      </c>
      <c r="HZ311" s="644">
        <f>INDEX(Input!$1:$1048576,HZ$93,$C311*2+6)*INDEX(Input!$1:$1048576,$JG$93,$C311*2+6)</f>
        <v>844</v>
      </c>
      <c r="IA311" s="644">
        <f>INDEX(Input!$1:$1048576,IA$93,$C311*2+6)*INDEX(Input!$1:$1048576,$JG$93,$C311*2+6)</f>
        <v>257</v>
      </c>
      <c r="IB311" s="644">
        <f t="shared" si="910"/>
        <v>656.55699411484147</v>
      </c>
      <c r="IC311" s="644">
        <f t="shared" si="911"/>
        <v>835.83678832123326</v>
      </c>
      <c r="ID311" s="644">
        <f>IF(AND(INDEX(Input!$1:$1048576,IA$93,$C311*2+7)="TOS",Y311&lt;=INDEX(Y:Y,MATCH(C311*1000+2,A:A))),0,1)*MAX(IA311+HR311+HU311+HX311,0%)</f>
        <v>223.60013296861996</v>
      </c>
      <c r="IE311" s="128">
        <f t="shared" si="946"/>
        <v>0.38261032758965297</v>
      </c>
      <c r="IF311" s="128">
        <f t="shared" si="933"/>
        <v>0.48708610258918783</v>
      </c>
      <c r="IG311" s="128">
        <f t="shared" si="888"/>
        <v>0.13030356982115918</v>
      </c>
      <c r="IH311" s="21"/>
      <c r="II311" s="19">
        <f t="shared" si="889"/>
        <v>1410.4999999999998</v>
      </c>
      <c r="IJ311" s="19">
        <f t="shared" si="890"/>
        <v>2134.9731585778086</v>
      </c>
      <c r="IK311" s="19">
        <f t="shared" si="891"/>
        <v>2103.5</v>
      </c>
      <c r="IL311" s="19">
        <f t="shared" si="913"/>
        <v>950.50000000000023</v>
      </c>
      <c r="IM311" s="19">
        <f t="shared" si="892"/>
        <v>200.92088539047108</v>
      </c>
      <c r="IN311" s="19">
        <f t="shared" si="893"/>
        <v>185.5</v>
      </c>
      <c r="IO311" s="39">
        <f t="shared" si="894"/>
        <v>0</v>
      </c>
      <c r="IP311" s="39">
        <f t="shared" si="895"/>
        <v>0</v>
      </c>
      <c r="IQ311" s="39">
        <f t="shared" si="896"/>
        <v>0</v>
      </c>
      <c r="IR311" s="39">
        <v>0</v>
      </c>
      <c r="IS311" s="39">
        <v>0</v>
      </c>
      <c r="IT311" s="39">
        <v>0</v>
      </c>
      <c r="IU311" s="39">
        <v>0</v>
      </c>
      <c r="IV311" s="39">
        <v>0</v>
      </c>
      <c r="IW311" s="39">
        <v>0</v>
      </c>
      <c r="IX311" s="39">
        <f>INDEX(Input!$1:$1048576,IX$93,$C311*2+6)+INDEX(Input!$1:$1048576,IX$94,$C311*2+6)</f>
        <v>1611</v>
      </c>
      <c r="IY311" s="39">
        <f>INDEX(Input!$1:$1048576,IY$93,$C311*2+6)+INDEX(Input!$1:$1048576,IY$94,$C311*2+6)</f>
        <v>2471.0624533823611</v>
      </c>
      <c r="IZ311" s="39">
        <f>INDEX(Input!$1:$1048576,IZ$93,$C311*2+6)+INDEX(Input!$1:$1048576,IZ$94,$C311*2+6)</f>
        <v>3994.7164157747857</v>
      </c>
      <c r="JA311" s="19">
        <f t="shared" si="914"/>
        <v>2561.5</v>
      </c>
      <c r="JB311" s="19">
        <f t="shared" si="915"/>
        <v>2671.9833387728322</v>
      </c>
      <c r="JC311" s="19">
        <f t="shared" si="916"/>
        <v>4180.2164157747857</v>
      </c>
      <c r="JD311" s="19">
        <f t="shared" si="917"/>
        <v>2826.2394263874658</v>
      </c>
      <c r="JE311" s="21"/>
      <c r="JF311" s="1">
        <f t="shared" si="897"/>
        <v>2.8748057280389237E-2</v>
      </c>
      <c r="JG311" s="15">
        <f>INDEX(Input!$1:$1048576,JG$93,$C311*2+6)/(1+VLOOKUP(C311*1000+INDEX(Input!$1:$1048576,JG$93+1,$C311*2+6),$A:$KK,$JK$92,FALSE))</f>
        <v>1610</v>
      </c>
      <c r="JH311" s="1">
        <f t="shared" si="918"/>
        <v>0.10246333578814433</v>
      </c>
      <c r="JI311" s="1">
        <f t="shared" si="919"/>
        <v>-3.6628605723116554E-2</v>
      </c>
      <c r="JJ311" s="1">
        <f t="shared" si="920"/>
        <v>0</v>
      </c>
      <c r="JK311" s="1">
        <f t="shared" si="947"/>
        <v>6.5834730065027769E-2</v>
      </c>
      <c r="JL311" s="15">
        <f t="shared" si="922"/>
        <v>105.9939154046947</v>
      </c>
      <c r="JM311" s="15">
        <f t="shared" si="948"/>
        <v>1715.9939154046947</v>
      </c>
      <c r="JN311" s="21"/>
      <c r="JO311" s="19">
        <f>INDEX(Input!$1:$1048576,JO$93,$C311*2+6)</f>
        <v>5995.5</v>
      </c>
      <c r="JP311" s="19">
        <f>INDEX(Input!$1:$1048576,JP$93,$C311*2+6)</f>
        <v>2442.3713226762939</v>
      </c>
      <c r="JQ311" s="39">
        <f t="shared" si="934"/>
        <v>3169.2605736125342</v>
      </c>
      <c r="JR311" s="39">
        <f t="shared" si="951"/>
        <v>383.8681037111719</v>
      </c>
      <c r="JS311" s="39">
        <f t="shared" si="936"/>
        <v>4.8498096591577458</v>
      </c>
      <c r="JT311" s="39">
        <f t="shared" si="924"/>
        <v>0.91759182964891239</v>
      </c>
      <c r="JU311" s="385">
        <f>(JQ311*JM311-INDEX(Input!$1:$1048576,Input!A$18,$C311*2+6)*JL311*INDEX(Input!$1:$1048576,Input!A$19,$C311*2+6))/1000000</f>
        <v>5.4384318606511011</v>
      </c>
      <c r="JV311" s="39">
        <f t="shared" si="900"/>
        <v>-0.2821053098400661</v>
      </c>
      <c r="JW311" s="1">
        <f t="shared" si="949"/>
        <v>-4.9314478943564742E-2</v>
      </c>
      <c r="JX311" s="19">
        <f t="shared" si="940"/>
        <v>8657.0236239076639</v>
      </c>
      <c r="JZ311" s="341"/>
      <c r="KA311" s="342"/>
      <c r="KB311" s="469">
        <f t="shared" si="937"/>
        <v>2.5190675447988795</v>
      </c>
      <c r="KI311" s="473">
        <f t="shared" si="938"/>
        <v>147.55699411484142</v>
      </c>
      <c r="KJ311" s="473">
        <f t="shared" si="925"/>
        <v>-8.1632116787667428</v>
      </c>
      <c r="KK311" s="473">
        <f t="shared" si="926"/>
        <v>-33.39986703138004</v>
      </c>
      <c r="KN311" s="544">
        <f t="shared" si="941"/>
        <v>3002</v>
      </c>
      <c r="KO311" s="541">
        <f t="shared" si="901"/>
        <v>3.4272465388390794E-2</v>
      </c>
      <c r="KP311" s="546">
        <f t="shared" si="902"/>
        <v>287.13907938820762</v>
      </c>
      <c r="KQ311" s="546">
        <f t="shared" si="903"/>
        <v>190.32600099876754</v>
      </c>
      <c r="KR311" s="548">
        <f t="shared" si="904"/>
        <v>2.0707594745216711</v>
      </c>
      <c r="KS311" s="548">
        <f t="shared" si="905"/>
        <v>3.1240921683233998</v>
      </c>
      <c r="KT311" s="473">
        <f t="shared" si="939"/>
        <v>1026.1618045255443</v>
      </c>
      <c r="KU311" s="663">
        <f t="shared" si="927"/>
        <v>4.7536124068567309</v>
      </c>
      <c r="KV311" s="117" t="e">
        <f t="shared" si="952"/>
        <v>#N/A</v>
      </c>
    </row>
    <row r="312" spans="1:308" s="26" customFormat="1" ht="15">
      <c r="A312" s="561">
        <f t="shared" si="906"/>
        <v>3012</v>
      </c>
      <c r="B312" s="561">
        <f t="shared" si="928"/>
        <v>12</v>
      </c>
      <c r="C312" s="561">
        <f t="shared" si="929"/>
        <v>3</v>
      </c>
      <c r="D312" s="561" t="str">
        <f t="shared" si="950"/>
        <v xml:space="preserve">1000 CC, </v>
      </c>
      <c r="E312" s="475">
        <f>INDEX(Input!$1:$1048576,E$93,$C312*2+MIN($B312,2)+5)+IF(OR(BX312&gt;50000,INDEX(Input!$1:$1048576,E$93,$C312*2+MIN($B312,2)+5)&gt;0),0,250)+IF(BX312&gt;50000,500,250)*4</f>
        <v>2287.0236024844721</v>
      </c>
      <c r="F312" s="475">
        <f>INDEX(Input!$1:$1048576,F$93,$C312*2+MIN($B312,2)+5)</f>
        <v>0</v>
      </c>
      <c r="G312" s="475">
        <f>INDEX(Input!$1:$1048576,G$93,$C312*2+MIN($B312,2)+5)</f>
        <v>0</v>
      </c>
      <c r="H312" s="115">
        <f>INDEX(Input!$1:$1048576,H$93,$C312*2+MIN($B312,2)+5)</f>
        <v>0</v>
      </c>
      <c r="I312" s="118">
        <f>INDEX(Input!$1:$1048576,I$93,$C312*2+MIN($B312,2)+5)</f>
        <v>0.7</v>
      </c>
      <c r="J312" s="118" t="str">
        <f>INDEX(Input!$1:$1048576,J$93,$C312*2+MIN($B312,2)+5)</f>
        <v>Market</v>
      </c>
      <c r="K312" s="118" t="str">
        <f>INDEX(Input!$1:$1048576,K$93,$C312*2+MIN($B312,2)+5)</f>
        <v>Market</v>
      </c>
      <c r="L312" s="118" t="str">
        <f>INDEX(Input!$1:$1048576,L$93,$C312*2+MIN($B312,2)+5)</f>
        <v>Market</v>
      </c>
      <c r="M312" s="118" t="str">
        <f>INDEX(Input!$1:$1048576,M$93,$C312*2+MIN($B312,2)+5)</f>
        <v>Market</v>
      </c>
      <c r="N312" s="118" t="str">
        <f>INDEX(Input!$1:$1048576,N$93,$C312*2+MIN($B312,2)+5)</f>
        <v>Market</v>
      </c>
      <c r="O312" s="118" t="str">
        <f>INDEX(Input!$1:$1048576,O$93,$C312*2+MIN($B312,2)+5)</f>
        <v>Market</v>
      </c>
      <c r="P312" s="118" t="str">
        <f>INDEX(Input!$1:$1048576,P$93,$C312*2+MIN($B312,2)+5)</f>
        <v>N</v>
      </c>
      <c r="Q312" s="30">
        <f>INDEX(Input!$1:$1048576,Q$93,$C312*2+MIN($B312,2)+5)</f>
        <v>0</v>
      </c>
      <c r="R312" s="383">
        <f>INDEX(Input!$1:$1048576,R$93,$C312*2+MIN($B312,2)+5)</f>
        <v>0</v>
      </c>
      <c r="S312" s="383">
        <f>INDEX(Input!$1:$1048576,S$93,$C312*2+MIN($B312,2)+5)</f>
        <v>0</v>
      </c>
      <c r="T312" s="383">
        <f>INDEX(Input!$1:$1048576,T$93,$C312*2+MIN($B312,2)+5)</f>
        <v>0</v>
      </c>
      <c r="U312" s="383">
        <f>INDEX(Input!$1:$1048576,U$93,$C312*2+MIN($B312,2)+5)</f>
        <v>0</v>
      </c>
      <c r="V312" s="383">
        <f>INDEX(Input!$1:$1048576,V$93,$C312*2+MIN($B312,2)+5)</f>
        <v>1.9E-2</v>
      </c>
      <c r="W312" s="884">
        <f>INDEX(Input!$1:$1048576,W$93,$C312*2+MIN($B312,2)+5)</f>
        <v>3.9E-2</v>
      </c>
      <c r="X312" s="118" t="str">
        <f>INDEX(Input!$1:$1048576,X$93,$C312*2+MIN($B312,2)+5)</f>
        <v>Y</v>
      </c>
      <c r="Y312" s="150">
        <f>INDEX(Input!$1:$1048576,Y$93,$C312*2+MIN($B312,2)+5)</f>
        <v>1554.9999999999991</v>
      </c>
      <c r="Z312" s="30">
        <f>INDEX(Input!$1:$1048576,Z$93,$C312*2+MIN($B312,2)+5)</f>
        <v>0</v>
      </c>
      <c r="AA312" s="115">
        <f>INDEX(Input!$1:$1048576,AA$93,$C312*2+MIN($B312,2)+5)</f>
        <v>0</v>
      </c>
      <c r="AB312" s="118">
        <f>INDEX(Input!$1:$1048576,AB$93,$C312*2+MIN($B312,2)+5)</f>
        <v>0.27</v>
      </c>
      <c r="AC312" s="115">
        <f>INDEX(Input!$1:$1048576,AC$93,$C312*2+MIN($B312,2)+5)</f>
        <v>0</v>
      </c>
      <c r="AD312" s="118">
        <f>INDEX(Input!$1:$1048576,AD$93,$C312*2+MIN($B312,2)+5)</f>
        <v>0.27</v>
      </c>
      <c r="AE312" s="115">
        <f>INDEX(Input!$1:$1048576,AE$93,$C312*2+MIN($B312,2)+5)</f>
        <v>0</v>
      </c>
      <c r="AF312" s="118">
        <f>INDEX(Input!$1:$1048576,AF$93,$C312*2+MIN($B312,2)+5)</f>
        <v>0.68200000000000005</v>
      </c>
      <c r="AG312" s="115">
        <f>INDEX(Input!$1:$1048576,AG$93,$C312*2+MIN($B312,2)+5)</f>
        <v>500</v>
      </c>
      <c r="AH312" s="118">
        <f>INDEX(Input!$1:$1048576,AH$93,$C312*2+MIN($B312,2)+5)</f>
        <v>1</v>
      </c>
      <c r="AI312" s="115">
        <f>INDEX(Input!$1:$1048576,AI$93,$C312*2+MIN($B312,2)+5)</f>
        <v>0</v>
      </c>
      <c r="AJ312" s="118">
        <f>INDEX(Input!$1:$1048576,AJ$93,$C312*2+MIN($B312,2)+5)</f>
        <v>0.27</v>
      </c>
      <c r="AK312" s="150">
        <f>ROUND(INDEX(Input!$1:$1048576,AK$93,$C311*2+MIN($B312,1)+5)+(Y312-VLOOKUP($C312*1000+1,$A:$HH,Y$92,FALSE)),0)</f>
        <v>2977</v>
      </c>
      <c r="AL312" s="150">
        <f>ROUND(INDEX(Input!$1:$1048576,AL$93,$C311*2+MIN($B312,1)+5)-(Y312-VLOOKUP($C312*1000+1,$A:$HH,Y$92,FALSE))/36,0)</f>
        <v>3395</v>
      </c>
      <c r="AM312" s="32" t="str">
        <f t="shared" si="907"/>
        <v>std/std/std/std</v>
      </c>
      <c r="AN312" s="32" t="str">
        <f t="shared" si="908"/>
        <v>$0 + 0/0/0/1.9/3.9</v>
      </c>
      <c r="AO312" s="32" t="str">
        <f t="shared" si="909"/>
        <v>0/0/0/1.9/3.9</v>
      </c>
      <c r="AP312" s="32" t="str">
        <f t="shared" si="863"/>
        <v>0/0.9/1.9/3.9</v>
      </c>
      <c r="AQ312" s="536">
        <f t="shared" si="862"/>
        <v>0.4041361274109091</v>
      </c>
      <c r="AR312" s="32"/>
      <c r="AS312" s="302"/>
      <c r="AT312" s="3">
        <f t="shared" si="930"/>
        <v>12</v>
      </c>
      <c r="AU312" s="41" t="s">
        <v>121</v>
      </c>
      <c r="AV312" s="41" t="s">
        <v>116</v>
      </c>
      <c r="AW312" s="41" t="str">
        <f>INDEX(Input!$1:$1048576,AW$93,$C312*2+6)</f>
        <v>Kia</v>
      </c>
      <c r="AX312" s="41" t="str">
        <f>INDEX(Input!$1:$1048576,AX$93,$C312*2+6)</f>
        <v>Kia-LR - L3</v>
      </c>
      <c r="AY312" s="41" t="str">
        <f>IF(LEN(D312)=0,"",INDEX(Input!$1:$1048576,AY$93,$C312*2+6))</f>
        <v>Compact SUV (52)</v>
      </c>
      <c r="AZ312" s="41" t="str">
        <f>INDEX(Input!$1:$1048576,AZ$93,$C312*2+6)</f>
        <v>Kia Soul</v>
      </c>
      <c r="BA312" s="3">
        <f>INDEX(Input!$1:$1048576,BA$93,$C312*2+6)</f>
        <v>2020</v>
      </c>
      <c r="BB312" s="128">
        <f>INDEX(Input!$1:$1048576,BB$93,$C312*2+6)</f>
        <v>1</v>
      </c>
      <c r="BC312" s="128">
        <f>INDEX(Input!$1:$1048576,BC$93,$C312*2+6)</f>
        <v>0.7</v>
      </c>
      <c r="BD312" s="1">
        <f>INDEX(Input!$1:$1048576,BD$93,$C312*2+6)</f>
        <v>4.4999999999999998E-2</v>
      </c>
      <c r="BE312" s="1">
        <f>INDEX(Input!$1:$1048576,BE$93,$C312*2+6)</f>
        <v>4.4999999999999998E-2</v>
      </c>
      <c r="BF312" s="1">
        <f>INDEX(Input!$1:$1048576,BF$93,$C312*2+6)</f>
        <v>0.05</v>
      </c>
      <c r="BG312" s="1">
        <f>INDEX(Input!$1:$1048576,BG$93,$C312*2+6)</f>
        <v>5.45E-2</v>
      </c>
      <c r="BH312" s="1">
        <f>INDEX(Input!$1:$1048576,BH$93,$C312*2+6)</f>
        <v>5.45E-2</v>
      </c>
      <c r="BI312" s="1">
        <f>INDEX(Input!$1:$1048576,BI$93,$C312*2+6)</f>
        <v>0.05</v>
      </c>
      <c r="BJ312" s="1">
        <f>INDEX(Input!$1:$1048576,BJ$93,$C312*2+6)</f>
        <v>0.05</v>
      </c>
      <c r="BK312" s="1">
        <f>INDEX(Input!$1:$1048576,BK$93,$C312*2+6)</f>
        <v>0.05</v>
      </c>
      <c r="BL312" s="1">
        <f>INDEX(Input!$1:$1048576,BL$93,$C312*2+6)</f>
        <v>5.5E-2</v>
      </c>
      <c r="BM312" s="1">
        <f>INDEX(Input!$1:$1048576,BM$93,$C312*2+6)</f>
        <v>0.06</v>
      </c>
      <c r="BN312" s="1">
        <f>INDEX(Input!$1:$1048576,BN$93,$C312*2+6)</f>
        <v>4.4999999999999998E-2</v>
      </c>
      <c r="BO312" s="1">
        <f>INDEX(Input!$1:$1048576,BO$93,$C312*2+6)</f>
        <v>4.4999999999999998E-2</v>
      </c>
      <c r="BP312" s="1">
        <f>INDEX(Input!$1:$1048576,BP$93,$C312*2+6)</f>
        <v>0.05</v>
      </c>
      <c r="BQ312" s="1">
        <f>INDEX(Input!$1:$1048576,BQ$93,$C312*2+6)</f>
        <v>5.45E-2</v>
      </c>
      <c r="BR312" s="1">
        <f>INDEX(Input!$1:$1048576,BR$93,$C312*2+6)</f>
        <v>5.45E-2</v>
      </c>
      <c r="BS312" s="1">
        <f>INDEX(Input!$1:$1048576,BS$93,$C312*2+6)</f>
        <v>0.05</v>
      </c>
      <c r="BT312" s="1">
        <f>INDEX(Input!$1:$1048576,BT$93,$C312*2+6)</f>
        <v>0.05</v>
      </c>
      <c r="BU312" s="1">
        <f>INDEX(Input!$1:$1048576,BU$93,$C312*2+6)</f>
        <v>0.05</v>
      </c>
      <c r="BV312" s="1">
        <f>INDEX(Input!$1:$1048576,BV$93,$C312*2+6)</f>
        <v>5.5E-2</v>
      </c>
      <c r="BW312" s="1">
        <f>INDEX(Input!$1:$1048576,BW$93,$C312*2+6)</f>
        <v>0.06</v>
      </c>
      <c r="BX312" s="127">
        <f>INDEX(Input!$1:$1048576,BX$93,$C312*2+6)</f>
        <v>19985</v>
      </c>
      <c r="BY312" s="20">
        <f>INDEX(Input!$1:$1048576,BY$93,$C312*2+6)</f>
        <v>0.1</v>
      </c>
      <c r="BZ312" s="20">
        <f>INDEX(Input!$1:$1048576,BZ$93,$C312*2+6)</f>
        <v>0.1</v>
      </c>
      <c r="CA312" s="20">
        <f>INDEX(Input!$1:$1048576,CA$93,$C312*2+6)</f>
        <v>0.1</v>
      </c>
      <c r="CB312" s="20">
        <f>INDEX(Input!$1:$1048576,CB$93,$C312*2+6)</f>
        <v>0.1</v>
      </c>
      <c r="CC312" s="20">
        <f>INDEX(Input!$1:$1048576,CC$93,$C312*2+6)</f>
        <v>0.1</v>
      </c>
      <c r="CD312" s="384">
        <f>INDEX(Input!$1:$1048576,CD$93,$C312*2+6)</f>
        <v>0.1</v>
      </c>
      <c r="CE312" s="384">
        <f>INDEX(Input!$1:$1048576,CE$93,$C312*2+6)</f>
        <v>0.1</v>
      </c>
      <c r="CF312" s="384">
        <f>INDEX(Input!$1:$1048576,CF$93,$C312*2+6)</f>
        <v>0.1</v>
      </c>
      <c r="CG312" s="384">
        <f>INDEX(Input!$1:$1048576,CG$93,$C312*2+6)</f>
        <v>0.1</v>
      </c>
      <c r="CH312" s="384">
        <f>INDEX(Input!$1:$1048576,CH$93,$C312*2+6)</f>
        <v>0.1</v>
      </c>
      <c r="CI312" s="304">
        <f t="shared" si="864"/>
        <v>2287.0236024844721</v>
      </c>
      <c r="CJ312" s="16" t="str">
        <f>INDEX(Input!$1:$1048576,CJ$93,$C312*2+6)</f>
        <v>N</v>
      </c>
      <c r="CK312" s="1" t="str">
        <f t="shared" si="865"/>
        <v>Market</v>
      </c>
      <c r="CL312" s="1" t="str">
        <f t="shared" si="866"/>
        <v>Market</v>
      </c>
      <c r="CM312" s="1" t="str">
        <f t="shared" si="867"/>
        <v>Market</v>
      </c>
      <c r="CN312" s="1" t="str">
        <f t="shared" si="868"/>
        <v>Market</v>
      </c>
      <c r="CO312" s="1" t="str">
        <f t="shared" si="869"/>
        <v>Market</v>
      </c>
      <c r="CP312" s="304">
        <f t="shared" si="870"/>
        <v>500</v>
      </c>
      <c r="CQ312" s="1">
        <f t="shared" si="871"/>
        <v>0</v>
      </c>
      <c r="CR312" s="1">
        <f t="shared" si="872"/>
        <v>0</v>
      </c>
      <c r="CS312" s="1">
        <f t="shared" si="873"/>
        <v>0</v>
      </c>
      <c r="CT312" s="1">
        <f t="shared" si="874"/>
        <v>1.9E-2</v>
      </c>
      <c r="CU312" s="1">
        <f t="shared" si="875"/>
        <v>3.9E-2</v>
      </c>
      <c r="CV312" s="304">
        <f t="shared" si="876"/>
        <v>1554.9999999999991</v>
      </c>
      <c r="CW312" s="20" t="s">
        <v>122</v>
      </c>
      <c r="CX312" s="20" t="s">
        <v>122</v>
      </c>
      <c r="CY312" s="20" t="s">
        <v>122</v>
      </c>
      <c r="CZ312" s="20" t="s">
        <v>122</v>
      </c>
      <c r="DA312" s="20" t="s">
        <v>122</v>
      </c>
      <c r="DB312" s="503">
        <f t="shared" si="877"/>
        <v>0</v>
      </c>
      <c r="DC312" s="127">
        <v>0</v>
      </c>
      <c r="DD312" s="127">
        <v>0</v>
      </c>
      <c r="DE312" s="127">
        <v>0</v>
      </c>
      <c r="DF312" s="127">
        <v>0</v>
      </c>
      <c r="DG312" s="127">
        <v>0</v>
      </c>
      <c r="DH312" s="127">
        <v>0</v>
      </c>
      <c r="DI312" s="127">
        <v>0</v>
      </c>
      <c r="DJ312" s="127">
        <v>0</v>
      </c>
      <c r="DK312" s="127">
        <v>0</v>
      </c>
      <c r="DL312" s="127">
        <v>0</v>
      </c>
      <c r="DM312" s="304">
        <f>INDEX(Input!$1:$1048576,DM$93,$C312*2+6)</f>
        <v>21036.84210526316</v>
      </c>
      <c r="DN312" s="20">
        <v>0</v>
      </c>
      <c r="DO312" s="20">
        <v>0</v>
      </c>
      <c r="DP312" s="20">
        <v>0</v>
      </c>
      <c r="DQ312" s="20">
        <v>0</v>
      </c>
      <c r="DR312" s="20">
        <v>0</v>
      </c>
      <c r="DS312" s="20">
        <f>INDEX(Input!$1:$1048576,DS$93,$C312*2+6)</f>
        <v>0.6</v>
      </c>
      <c r="DT312" s="20">
        <f>INDEX(Input!$1:$1048576,DT$93,$C312*2+6)</f>
        <v>0.55000000000000004</v>
      </c>
      <c r="DU312" s="20">
        <f>INDEX(Input!$1:$1048576,DU$93,$C312*2+6)</f>
        <v>0.52</v>
      </c>
      <c r="DV312" s="20">
        <f>INDEX(Input!$1:$1048576,DV$93,$C312*2+6)</f>
        <v>0.5</v>
      </c>
      <c r="DW312" s="20">
        <f>INDEX(Input!$1:$1048576,DW$93,$C312*2+6)</f>
        <v>0.45</v>
      </c>
      <c r="DX312" s="20"/>
      <c r="DY312" s="7">
        <v>0.12020485692231943</v>
      </c>
      <c r="DZ312" s="7">
        <v>0</v>
      </c>
      <c r="EA312" s="7">
        <v>0.74686503719400277</v>
      </c>
      <c r="EB312" s="7">
        <v>0</v>
      </c>
      <c r="EC312" s="7">
        <v>0</v>
      </c>
      <c r="ED312" s="7">
        <v>0</v>
      </c>
      <c r="EE312" s="7">
        <v>0</v>
      </c>
      <c r="EF312" s="7">
        <v>0</v>
      </c>
      <c r="EG312" s="7">
        <v>0</v>
      </c>
      <c r="EH312" s="7">
        <v>1.200270965674226E-2</v>
      </c>
      <c r="EI312" s="7">
        <v>3.3617458024393636E-2</v>
      </c>
      <c r="EJ312" s="7">
        <v>0.27105433641271848</v>
      </c>
      <c r="EK312" s="7">
        <v>0.54214370995530725</v>
      </c>
      <c r="EL312" s="7">
        <v>0.1411817859508383</v>
      </c>
      <c r="EM312" s="7">
        <v>3.1314887079931797E-2</v>
      </c>
      <c r="EN312" s="7">
        <v>6.2883024407092356E-2</v>
      </c>
      <c r="EO312" s="7">
        <v>0.78074798976972237</v>
      </c>
      <c r="EP312" s="7">
        <v>6.4280267268146243E-2</v>
      </c>
      <c r="EQ312" s="7">
        <v>6.0184819283183949E-2</v>
      </c>
      <c r="ER312" s="7">
        <v>3.1903899271854573E-2</v>
      </c>
      <c r="ES312" s="7">
        <v>0.10161521880374609</v>
      </c>
      <c r="ET312" s="7">
        <v>0.13293010588367779</v>
      </c>
      <c r="EU312" s="6">
        <v>2611</v>
      </c>
      <c r="EV312" s="6">
        <v>0</v>
      </c>
      <c r="EW312" s="6">
        <v>2611</v>
      </c>
      <c r="EX312" s="6">
        <v>0</v>
      </c>
      <c r="EY312" s="6">
        <v>2335.9790540035688</v>
      </c>
      <c r="EZ312" s="6">
        <v>2289</v>
      </c>
      <c r="FA312" s="6">
        <v>0</v>
      </c>
      <c r="FB312" s="6">
        <v>0</v>
      </c>
      <c r="FC312" s="6">
        <v>0</v>
      </c>
      <c r="FD312" s="6">
        <v>0</v>
      </c>
      <c r="FE312" s="6">
        <v>0</v>
      </c>
      <c r="FF312" s="6">
        <v>0</v>
      </c>
      <c r="FG312" s="6">
        <v>0</v>
      </c>
      <c r="FH312" s="6">
        <v>1172.0173706477997</v>
      </c>
      <c r="FI312" s="6">
        <v>1553.9796069512402</v>
      </c>
      <c r="FJ312" s="6">
        <v>2101.2110117447414</v>
      </c>
      <c r="FK312" s="6">
        <v>1772.7139978623225</v>
      </c>
      <c r="FL312" s="6">
        <v>907.0768214096629</v>
      </c>
      <c r="FM312" s="6">
        <v>1724.9790540035688</v>
      </c>
      <c r="FN312" s="6">
        <v>0</v>
      </c>
      <c r="FO312" s="6">
        <v>0</v>
      </c>
      <c r="FP312" s="6">
        <v>0</v>
      </c>
      <c r="FQ312" s="6">
        <v>0</v>
      </c>
      <c r="FR312" s="6">
        <v>0</v>
      </c>
      <c r="FS312" s="6">
        <v>0</v>
      </c>
      <c r="FT312" s="7">
        <v>0.86706989411632218</v>
      </c>
      <c r="FU312" s="7">
        <v>3.1314887079931797E-2</v>
      </c>
      <c r="FV312" s="7">
        <v>0.10161521880374609</v>
      </c>
      <c r="FW312" s="6">
        <v>2611</v>
      </c>
      <c r="FX312" s="6">
        <v>2335.9790540035688</v>
      </c>
      <c r="FY312" s="6">
        <v>2289</v>
      </c>
      <c r="FZ312" s="6">
        <v>1858.9243755539039</v>
      </c>
      <c r="GA312" s="6">
        <v>2569.6676496766995</v>
      </c>
      <c r="GB312" s="6">
        <v>17415.3323503233</v>
      </c>
      <c r="GC312" s="7">
        <v>2.9156573141622111E-2</v>
      </c>
      <c r="GD312" s="7">
        <v>3.2513941200792255E-2</v>
      </c>
      <c r="GE312" s="7"/>
      <c r="GF312" s="7"/>
      <c r="GG312" s="7">
        <v>0.1151496111309931</v>
      </c>
      <c r="GH312" s="42">
        <v>3.2378287100826029</v>
      </c>
      <c r="GI312" s="6">
        <v>8742.013931543519</v>
      </c>
      <c r="GJ312" s="14">
        <v>0.50394797582841744</v>
      </c>
      <c r="GK312" s="14">
        <v>0.50887573065309755</v>
      </c>
      <c r="GL312" s="14">
        <v>0.49605202417158267</v>
      </c>
      <c r="GM312" s="14">
        <v>0.49112426934690251</v>
      </c>
      <c r="GO312" s="5">
        <v>343.14810671672558</v>
      </c>
      <c r="GP312" s="5">
        <v>293.33520778489498</v>
      </c>
      <c r="GQ312" s="5">
        <v>535.04305713031317</v>
      </c>
      <c r="GR312" s="5">
        <v>410.15490233172511</v>
      </c>
      <c r="GS312" s="5">
        <v>339.42744393800166</v>
      </c>
      <c r="GT312" s="5">
        <v>293.4407446948278</v>
      </c>
      <c r="GU312" s="5">
        <v>258.04012322764959</v>
      </c>
      <c r="GV312" s="39" t="s">
        <v>392</v>
      </c>
      <c r="GW312" s="5">
        <v>482.65277777777777</v>
      </c>
      <c r="GX312" s="5">
        <v>361.98958333333331</v>
      </c>
      <c r="GY312" s="5">
        <v>289.59166666666664</v>
      </c>
      <c r="GZ312" s="5">
        <v>255.53408606924114</v>
      </c>
      <c r="HA312" s="5">
        <v>236.70336205047303</v>
      </c>
      <c r="HB312" s="39">
        <v>268.41178865512023</v>
      </c>
      <c r="HC312" s="5">
        <v>187.140625</v>
      </c>
      <c r="HD312" s="5">
        <v>171.45330774853798</v>
      </c>
      <c r="HE312" s="5">
        <v>177.50180921052629</v>
      </c>
      <c r="HF312" s="5">
        <v>167.9756304824561</v>
      </c>
      <c r="HG312" s="5">
        <v>166.75888157894735</v>
      </c>
      <c r="HH312" s="39">
        <v>172.4694991152536</v>
      </c>
      <c r="HI312" s="16"/>
      <c r="HJ312" s="19" t="str">
        <f t="shared" si="931"/>
        <v>On</v>
      </c>
      <c r="HK312" s="1" t="str">
        <f t="shared" si="931"/>
        <v>On</v>
      </c>
      <c r="HL312" s="16"/>
      <c r="HM312" s="639">
        <f t="shared" si="878"/>
        <v>2.2758057894877178E-2</v>
      </c>
      <c r="HN312" s="639">
        <f t="shared" si="879"/>
        <v>1.416759231746561E-3</v>
      </c>
      <c r="HO312" s="639">
        <f t="shared" si="880"/>
        <v>4.5732401537654987E-3</v>
      </c>
      <c r="HP312" s="644">
        <f>(FT312*$GD312-HM312)/$JF312*INDEX(Input!$1:$1048576,$JG$93,$C312*2+6)</f>
        <v>304.31345625565956</v>
      </c>
      <c r="HQ312" s="644">
        <f>(FU312*$GD312-HN312)/$JF312*INDEX(Input!$1:$1048576,$JG$93,$C312*2+6)</f>
        <v>-22.322483127070232</v>
      </c>
      <c r="HR312" s="644">
        <f>(FV312*$GD312-HO312)/$JF312*INDEX(Input!$1:$1048576,$JG$93,$C312*2+6)</f>
        <v>-71.087222217224308</v>
      </c>
      <c r="HS312" s="644">
        <f t="shared" si="881"/>
        <v>-110.53175476687557</v>
      </c>
      <c r="HT312" s="644">
        <f t="shared" si="882"/>
        <v>4.6498029380799579</v>
      </c>
      <c r="HU312" s="644">
        <f t="shared" si="883"/>
        <v>23.950922785041222</v>
      </c>
      <c r="HV312" s="648">
        <f t="shared" si="884"/>
        <v>0</v>
      </c>
      <c r="HW312" s="648">
        <f t="shared" si="885"/>
        <v>0</v>
      </c>
      <c r="HX312" s="648">
        <f t="shared" si="886"/>
        <v>0</v>
      </c>
      <c r="HY312" s="644">
        <f>INDEX(Input!$1:$1048576,HY$93,$C312*2+6)*INDEX(Input!$1:$1048576,$JG$93,$C312*2+6)</f>
        <v>509.00000000000006</v>
      </c>
      <c r="HZ312" s="644">
        <f>INDEX(Input!$1:$1048576,HZ$93,$C312*2+6)*INDEX(Input!$1:$1048576,$JG$93,$C312*2+6)</f>
        <v>844</v>
      </c>
      <c r="IA312" s="644">
        <f>INDEX(Input!$1:$1048576,IA$93,$C312*2+6)*INDEX(Input!$1:$1048576,$JG$93,$C312*2+6)</f>
        <v>257</v>
      </c>
      <c r="IB312" s="644">
        <f t="shared" si="910"/>
        <v>702.78170148878417</v>
      </c>
      <c r="IC312" s="644">
        <f t="shared" si="911"/>
        <v>826.32731981100972</v>
      </c>
      <c r="ID312" s="644">
        <f>IF(AND(INDEX(Input!$1:$1048576,IA$93,$C312*2+7)="TOS",Y312&lt;=INDEX(Y:Y,MATCH(C312*1000+2,A:A))),0,1)*MAX(IA312+HR312+HU312+HX312,0%)</f>
        <v>209.86370056781692</v>
      </c>
      <c r="IE312" s="128">
        <f t="shared" ref="IE312" si="953">IB312/SUM($IB312:$ID312)</f>
        <v>0.4041361274109091</v>
      </c>
      <c r="IF312" s="128">
        <f t="shared" si="933"/>
        <v>0.47518130067247749</v>
      </c>
      <c r="IG312" s="128">
        <f t="shared" si="888"/>
        <v>0.12068257191661343</v>
      </c>
      <c r="IH312" s="21"/>
      <c r="II312" s="19">
        <f t="shared" si="889"/>
        <v>1410.4999999999998</v>
      </c>
      <c r="IJ312" s="19">
        <f t="shared" si="890"/>
        <v>2134.9731585778086</v>
      </c>
      <c r="IK312" s="19">
        <f t="shared" si="891"/>
        <v>2103.5</v>
      </c>
      <c r="IL312" s="19">
        <f t="shared" si="913"/>
        <v>1200.5000000000002</v>
      </c>
      <c r="IM312" s="19">
        <f t="shared" si="892"/>
        <v>201.00589542576017</v>
      </c>
      <c r="IN312" s="19">
        <f t="shared" si="893"/>
        <v>185.5</v>
      </c>
      <c r="IO312" s="39">
        <f t="shared" si="894"/>
        <v>0</v>
      </c>
      <c r="IP312" s="39">
        <f t="shared" si="895"/>
        <v>0</v>
      </c>
      <c r="IQ312" s="39">
        <f t="shared" si="896"/>
        <v>0</v>
      </c>
      <c r="IR312" s="39">
        <v>0</v>
      </c>
      <c r="IS312" s="39">
        <v>0</v>
      </c>
      <c r="IT312" s="39">
        <v>0</v>
      </c>
      <c r="IU312" s="39">
        <v>0</v>
      </c>
      <c r="IV312" s="39">
        <v>0</v>
      </c>
      <c r="IW312" s="39">
        <v>0</v>
      </c>
      <c r="IX312" s="39">
        <f>INDEX(Input!$1:$1048576,IX$93,$C312*2+6)+INDEX(Input!$1:$1048576,IX$94,$C312*2+6)</f>
        <v>1611</v>
      </c>
      <c r="IY312" s="39">
        <f>INDEX(Input!$1:$1048576,IY$93,$C312*2+6)+INDEX(Input!$1:$1048576,IY$94,$C312*2+6)</f>
        <v>2471.0624533823611</v>
      </c>
      <c r="IZ312" s="39">
        <f>INDEX(Input!$1:$1048576,IZ$93,$C312*2+6)+INDEX(Input!$1:$1048576,IZ$94,$C312*2+6)</f>
        <v>3994.7164157747857</v>
      </c>
      <c r="JA312" s="19">
        <f t="shared" si="914"/>
        <v>2811.5</v>
      </c>
      <c r="JB312" s="19">
        <f t="shared" si="915"/>
        <v>2672.0683488081213</v>
      </c>
      <c r="JC312" s="19">
        <f t="shared" si="916"/>
        <v>4180.2164157747857</v>
      </c>
      <c r="JD312" s="19">
        <f t="shared" si="917"/>
        <v>2910.4249039119218</v>
      </c>
      <c r="JE312" s="21"/>
      <c r="JF312" s="1">
        <f t="shared" si="897"/>
        <v>2.8748057280389237E-2</v>
      </c>
      <c r="JG312" s="15">
        <f>INDEX(Input!$1:$1048576,JG$93,$C312*2+6)/(1+VLOOKUP(C312*1000+INDEX(Input!$1:$1048576,JG$93+1,$C312*2+6),$A:$KK,$JK$92,FALSE))</f>
        <v>1610</v>
      </c>
      <c r="JH312" s="1">
        <f t="shared" si="918"/>
        <v>0.13099611857848759</v>
      </c>
      <c r="JI312" s="1">
        <f t="shared" si="919"/>
        <v>-5.08888379153754E-2</v>
      </c>
      <c r="JJ312" s="1">
        <f t="shared" si="920"/>
        <v>0</v>
      </c>
      <c r="JK312" s="1">
        <f t="shared" ref="JK312" si="954">SUM(JH312:JJ312)</f>
        <v>8.0107280663112179E-2</v>
      </c>
      <c r="JL312" s="15">
        <f t="shared" si="922"/>
        <v>128.9727218676106</v>
      </c>
      <c r="JM312" s="15">
        <f t="shared" si="948"/>
        <v>1738.9727218676105</v>
      </c>
      <c r="JN312" s="21"/>
      <c r="JO312" s="19">
        <f>INDEX(Input!$1:$1048576,JO$93,$C312*2+6)</f>
        <v>5995.5</v>
      </c>
      <c r="JP312" s="19">
        <f>INDEX(Input!$1:$1048576,JP$93,$C312*2+6)</f>
        <v>2442.3713226762939</v>
      </c>
      <c r="JQ312" s="39">
        <f t="shared" si="934"/>
        <v>3085.0750960880782</v>
      </c>
      <c r="JR312" s="39">
        <f t="shared" si="951"/>
        <v>468.05358123562792</v>
      </c>
      <c r="JS312" s="39">
        <f t="shared" si="936"/>
        <v>5.061149516946994</v>
      </c>
      <c r="JT312" s="39">
        <f t="shared" si="924"/>
        <v>1.1289316874381607</v>
      </c>
      <c r="JU312" s="385">
        <f>(JQ312*JM312-INDEX(Input!$1:$1048576,Input!A$18,$C312*2+6)*JL312*INDEX(Input!$1:$1048576,Input!A$19,$C312*2+6))/1000000</f>
        <v>5.3648614370102656</v>
      </c>
      <c r="JV312" s="39">
        <f t="shared" si="900"/>
        <v>-0.35567573348090153</v>
      </c>
      <c r="JW312" s="1">
        <f t="shared" si="949"/>
        <v>-6.2175233353192791E-2</v>
      </c>
      <c r="JX312" s="19">
        <f t="shared" si="940"/>
        <v>8753.2593798942962</v>
      </c>
      <c r="JZ312" s="341"/>
      <c r="KA312" s="342"/>
      <c r="KB312" s="469">
        <f t="shared" si="937"/>
        <v>2.5190675447988795</v>
      </c>
      <c r="KI312" s="473">
        <f t="shared" si="938"/>
        <v>193.78170148878399</v>
      </c>
      <c r="KJ312" s="473">
        <f t="shared" si="925"/>
        <v>-17.672680188990398</v>
      </c>
      <c r="KK312" s="473">
        <f t="shared" si="926"/>
        <v>-47.136299432183108</v>
      </c>
      <c r="KN312" s="544">
        <f t="shared" si="941"/>
        <v>3002</v>
      </c>
      <c r="KO312" s="541">
        <f t="shared" si="901"/>
        <v>4.8122366951985684E-2</v>
      </c>
      <c r="KP312" s="546">
        <f t="shared" si="902"/>
        <v>404.35342433503257</v>
      </c>
      <c r="KQ312" s="546">
        <f t="shared" si="903"/>
        <v>274.51147852322356</v>
      </c>
      <c r="KR312" s="548">
        <f t="shared" si="904"/>
        <v>2.0647262028216753</v>
      </c>
      <c r="KS312" s="548">
        <f t="shared" si="905"/>
        <v>3.0413267777237336</v>
      </c>
      <c r="KT312" s="473">
        <f t="shared" si="939"/>
        <v>1026.1618045255443</v>
      </c>
      <c r="KU312" s="663">
        <f t="shared" si="927"/>
        <v>4.7698788058674877</v>
      </c>
      <c r="KV312" s="117" t="e">
        <f>RANK(KU312,$KU$109:$KU$200)</f>
        <v>#N/A</v>
      </c>
    </row>
    <row r="313" spans="1:308" s="26" customFormat="1" ht="15">
      <c r="A313" s="561">
        <f t="shared" si="906"/>
        <v>3013</v>
      </c>
      <c r="B313" s="561">
        <f t="shared" si="928"/>
        <v>13</v>
      </c>
      <c r="C313" s="561">
        <f t="shared" si="929"/>
        <v>3</v>
      </c>
      <c r="D313" s="561" t="str">
        <f t="shared" si="950"/>
        <v xml:space="preserve">0/0/0.9/3.9, </v>
      </c>
      <c r="E313" s="115">
        <f>INDEX(Input!$1:$1048576,E$93,$C313*2+MIN($B313,2)+5)</f>
        <v>1287.0236024844721</v>
      </c>
      <c r="F313" s="115">
        <f>INDEX(Input!$1:$1048576,F$93,$C313*2+MIN($B313,2)+5)</f>
        <v>0</v>
      </c>
      <c r="G313" s="115">
        <f>INDEX(Input!$1:$1048576,G$93,$C313*2+MIN($B313,2)+5)</f>
        <v>0</v>
      </c>
      <c r="H313" s="115">
        <f>INDEX(Input!$1:$1048576,H$93,$C313*2+MIN($B313,2)+5)</f>
        <v>0</v>
      </c>
      <c r="I313" s="118">
        <f>INDEX(Input!$1:$1048576,I$93,$C313*2+MIN($B313,2)+5)</f>
        <v>0.7</v>
      </c>
      <c r="J313" s="476" t="str">
        <f>INDEX(Input!$1:$1048576,J$93,$C313*2+MIN($B313,2)+5)</f>
        <v>Market</v>
      </c>
      <c r="K313" s="476" t="str">
        <f>INDEX(Input!$1:$1048576,K$93,$C313*2+MIN($B313,2)+5)</f>
        <v>Market</v>
      </c>
      <c r="L313" s="476" t="str">
        <f>INDEX(Input!$1:$1048576,L$93,$C313*2+MIN($B313,2)+5)</f>
        <v>Market</v>
      </c>
      <c r="M313" s="476" t="str">
        <f>INDEX(Input!$1:$1048576,M$93,$C313*2+MIN($B313,2)+5)</f>
        <v>Market</v>
      </c>
      <c r="N313" s="476" t="str">
        <f>INDEX(Input!$1:$1048576,N$93,$C313*2+MIN($B313,2)+5)</f>
        <v>Market</v>
      </c>
      <c r="O313" s="476" t="str">
        <f>INDEX(Input!$1:$1048576,O$93,$C313*2+MIN($B313,2)+5)</f>
        <v>Market</v>
      </c>
      <c r="P313" s="476" t="str">
        <f>INDEX(Input!$1:$1048576,P$93,$C313*2+MIN($B313,2)+5)</f>
        <v>N</v>
      </c>
      <c r="Q313" s="477">
        <f>INDEX(Input!$1:$1048576,Q$93,$C313*2+MIN($B313,2)+5)</f>
        <v>0</v>
      </c>
      <c r="R313" s="478">
        <f>IFERROR(MAX(0,INDEX(Input!$1:$1048576,R$93,$C313*2+MIN($B313,2)+5)-1%,),"Market")</f>
        <v>0</v>
      </c>
      <c r="S313" s="478">
        <f>IFERROR(MAX(0,INDEX(Input!$1:$1048576,S$93,$C313*2+MIN($B313,2)+5)-1%,),"Market")</f>
        <v>0</v>
      </c>
      <c r="T313" s="478">
        <f>IFERROR(MAX(0,INDEX(Input!$1:$1048576,T$93,$C313*2+MIN($B313,2)+5)-1%,),"Market")</f>
        <v>0</v>
      </c>
      <c r="U313" s="478">
        <f>IFERROR(MAX(0,INDEX(Input!$1:$1048576,U$93,$C313*2+MIN($B313,2)+5)-1%,),"Market")</f>
        <v>0</v>
      </c>
      <c r="V313" s="478">
        <f>IFERROR(MAX(0,INDEX(Input!$1:$1048576,V$93,$C313*2+MIN($B313,2)+5)-1%,),"Market")</f>
        <v>8.9999999999999993E-3</v>
      </c>
      <c r="W313" s="885">
        <f>IFERROR(MAX(0,INDEX(Input!$1:$1048576,W$93,$C313*2+MIN($B313,2)+5)-0%,),"Market")</f>
        <v>3.9E-2</v>
      </c>
      <c r="X313" s="476" t="str">
        <f>INDEX(Input!$1:$1048576,X$93,$C313*2+MIN($B313,2)+5)</f>
        <v>Y</v>
      </c>
      <c r="Y313" s="150">
        <f>INDEX(Input!$1:$1048576,Y$93,$C313*2+MIN($B313,2)+5)</f>
        <v>1554.9999999999991</v>
      </c>
      <c r="Z313" s="30">
        <f>INDEX(Input!$1:$1048576,Z$93,$C313*2+MIN($B313,2)+5)</f>
        <v>0</v>
      </c>
      <c r="AA313" s="475">
        <f>INDEX(Input!$1:$1048576,AA$93,$C313*2+MIN($B313,2)+5)</f>
        <v>0</v>
      </c>
      <c r="AB313" s="118">
        <f>INDEX(Input!$1:$1048576,AB$93,$C313*2+MIN($B313,2)+5)</f>
        <v>0.27</v>
      </c>
      <c r="AC313" s="115">
        <f>INDEX(Input!$1:$1048576,AC$93,$C313*2+MIN($B313,2)+5)</f>
        <v>0</v>
      </c>
      <c r="AD313" s="118">
        <f>INDEX(Input!$1:$1048576,AD$93,$C313*2+MIN($B313,2)+5)</f>
        <v>0.27</v>
      </c>
      <c r="AE313" s="115">
        <f>INDEX(Input!$1:$1048576,AE$93,$C313*2+MIN($B313,2)+5)</f>
        <v>0</v>
      </c>
      <c r="AF313" s="118">
        <f>INDEX(Input!$1:$1048576,AF$93,$C313*2+MIN($B313,2)+5)</f>
        <v>0.68200000000000005</v>
      </c>
      <c r="AG313" s="115">
        <f>INDEX(Input!$1:$1048576,AG$93,$C313*2+MIN($B313,2)+5)</f>
        <v>500</v>
      </c>
      <c r="AH313" s="118">
        <f>INDEX(Input!$1:$1048576,AH$93,$C313*2+MIN($B313,2)+5)</f>
        <v>1</v>
      </c>
      <c r="AI313" s="115">
        <f>INDEX(Input!$1:$1048576,AI$93,$C313*2+MIN($B313,2)+5)</f>
        <v>0</v>
      </c>
      <c r="AJ313" s="118">
        <f>INDEX(Input!$1:$1048576,AJ$93,$C313*2+MIN($B313,2)+5)</f>
        <v>0.27</v>
      </c>
      <c r="AK313" s="150">
        <f>ROUND(INDEX(Input!$1:$1048576,AK$93,$C312*2+MIN($B313,1)+5)+(Y313-VLOOKUP($C313*1000+1,$A:$HH,Y$92,FALSE)),0)</f>
        <v>2977</v>
      </c>
      <c r="AL313" s="150">
        <f>ROUND(INDEX(Input!$1:$1048576,AL$93,$C312*2+MIN($B313,1)+5)-(Y313-VLOOKUP($C313*1000+1,$A:$HH,Y$92,FALSE))/36,0)</f>
        <v>3395</v>
      </c>
      <c r="AM313" s="32" t="str">
        <f t="shared" si="907"/>
        <v>std/std/std/std</v>
      </c>
      <c r="AN313" s="32" t="str">
        <f t="shared" si="908"/>
        <v>$0 + 0/0/0/0.9/3.9</v>
      </c>
      <c r="AO313" s="32" t="str">
        <f t="shared" si="909"/>
        <v>0/0/0/0.9/3.9</v>
      </c>
      <c r="AP313" s="32" t="str">
        <f t="shared" si="863"/>
        <v>0/0/0.9/3.9</v>
      </c>
      <c r="AQ313" s="536">
        <f t="shared" si="862"/>
        <v>0.29785691568182532</v>
      </c>
      <c r="AR313" s="32"/>
      <c r="AS313" s="302"/>
      <c r="AT313" s="3">
        <f t="shared" si="930"/>
        <v>13</v>
      </c>
      <c r="AU313" s="41" t="s">
        <v>121</v>
      </c>
      <c r="AV313" s="41" t="s">
        <v>116</v>
      </c>
      <c r="AW313" s="41" t="str">
        <f>INDEX(Input!$1:$1048576,AW$93,$C313*2+6)</f>
        <v>Kia</v>
      </c>
      <c r="AX313" s="41" t="str">
        <f>INDEX(Input!$1:$1048576,AX$93,$C313*2+6)</f>
        <v>Kia-LR - L3</v>
      </c>
      <c r="AY313" s="41" t="str">
        <f>IF(LEN(D313)=0,"",INDEX(Input!$1:$1048576,AY$93,$C313*2+6))</f>
        <v>Compact SUV (52)</v>
      </c>
      <c r="AZ313" s="41" t="str">
        <f>INDEX(Input!$1:$1048576,AZ$93,$C313*2+6)</f>
        <v>Kia Soul</v>
      </c>
      <c r="BA313" s="3">
        <f>INDEX(Input!$1:$1048576,BA$93,$C313*2+6)</f>
        <v>2020</v>
      </c>
      <c r="BB313" s="128">
        <f>INDEX(Input!$1:$1048576,BB$93,$C313*2+6)</f>
        <v>1</v>
      </c>
      <c r="BC313" s="128">
        <f>INDEX(Input!$1:$1048576,BC$93,$C313*2+6)</f>
        <v>0.7</v>
      </c>
      <c r="BD313" s="1">
        <f>INDEX(Input!$1:$1048576,BD$93,$C313*2+6)</f>
        <v>4.4999999999999998E-2</v>
      </c>
      <c r="BE313" s="1">
        <f>INDEX(Input!$1:$1048576,BE$93,$C313*2+6)</f>
        <v>4.4999999999999998E-2</v>
      </c>
      <c r="BF313" s="1">
        <f>INDEX(Input!$1:$1048576,BF$93,$C313*2+6)</f>
        <v>0.05</v>
      </c>
      <c r="BG313" s="1">
        <f>INDEX(Input!$1:$1048576,BG$93,$C313*2+6)</f>
        <v>5.45E-2</v>
      </c>
      <c r="BH313" s="1">
        <f>INDEX(Input!$1:$1048576,BH$93,$C313*2+6)</f>
        <v>5.45E-2</v>
      </c>
      <c r="BI313" s="1">
        <f>INDEX(Input!$1:$1048576,BI$93,$C313*2+6)</f>
        <v>0.05</v>
      </c>
      <c r="BJ313" s="1">
        <f>INDEX(Input!$1:$1048576,BJ$93,$C313*2+6)</f>
        <v>0.05</v>
      </c>
      <c r="BK313" s="1">
        <f>INDEX(Input!$1:$1048576,BK$93,$C313*2+6)</f>
        <v>0.05</v>
      </c>
      <c r="BL313" s="1">
        <f>INDEX(Input!$1:$1048576,BL$93,$C313*2+6)</f>
        <v>5.5E-2</v>
      </c>
      <c r="BM313" s="1">
        <f>INDEX(Input!$1:$1048576,BM$93,$C313*2+6)</f>
        <v>0.06</v>
      </c>
      <c r="BN313" s="1">
        <f>INDEX(Input!$1:$1048576,BN$93,$C313*2+6)</f>
        <v>4.4999999999999998E-2</v>
      </c>
      <c r="BO313" s="1">
        <f>INDEX(Input!$1:$1048576,BO$93,$C313*2+6)</f>
        <v>4.4999999999999998E-2</v>
      </c>
      <c r="BP313" s="1">
        <f>INDEX(Input!$1:$1048576,BP$93,$C313*2+6)</f>
        <v>0.05</v>
      </c>
      <c r="BQ313" s="1">
        <f>INDEX(Input!$1:$1048576,BQ$93,$C313*2+6)</f>
        <v>5.45E-2</v>
      </c>
      <c r="BR313" s="1">
        <f>INDEX(Input!$1:$1048576,BR$93,$C313*2+6)</f>
        <v>5.45E-2</v>
      </c>
      <c r="BS313" s="1">
        <f>INDEX(Input!$1:$1048576,BS$93,$C313*2+6)</f>
        <v>0.05</v>
      </c>
      <c r="BT313" s="1">
        <f>INDEX(Input!$1:$1048576,BT$93,$C313*2+6)</f>
        <v>0.05</v>
      </c>
      <c r="BU313" s="1">
        <f>INDEX(Input!$1:$1048576,BU$93,$C313*2+6)</f>
        <v>0.05</v>
      </c>
      <c r="BV313" s="1">
        <f>INDEX(Input!$1:$1048576,BV$93,$C313*2+6)</f>
        <v>5.5E-2</v>
      </c>
      <c r="BW313" s="1">
        <f>INDEX(Input!$1:$1048576,BW$93,$C313*2+6)</f>
        <v>0.06</v>
      </c>
      <c r="BX313" s="127">
        <f>INDEX(Input!$1:$1048576,BX$93,$C313*2+6)</f>
        <v>19985</v>
      </c>
      <c r="BY313" s="20">
        <f>INDEX(Input!$1:$1048576,BY$93,$C313*2+6)</f>
        <v>0.1</v>
      </c>
      <c r="BZ313" s="20">
        <f>INDEX(Input!$1:$1048576,BZ$93,$C313*2+6)</f>
        <v>0.1</v>
      </c>
      <c r="CA313" s="20">
        <f>INDEX(Input!$1:$1048576,CA$93,$C313*2+6)</f>
        <v>0.1</v>
      </c>
      <c r="CB313" s="20">
        <f>INDEX(Input!$1:$1048576,CB$93,$C313*2+6)</f>
        <v>0.1</v>
      </c>
      <c r="CC313" s="20">
        <f>INDEX(Input!$1:$1048576,CC$93,$C313*2+6)</f>
        <v>0.1</v>
      </c>
      <c r="CD313" s="384">
        <f>INDEX(Input!$1:$1048576,CD$93,$C313*2+6)</f>
        <v>0.1</v>
      </c>
      <c r="CE313" s="384">
        <f>INDEX(Input!$1:$1048576,CE$93,$C313*2+6)</f>
        <v>0.1</v>
      </c>
      <c r="CF313" s="384">
        <f>INDEX(Input!$1:$1048576,CF$93,$C313*2+6)</f>
        <v>0.1</v>
      </c>
      <c r="CG313" s="384">
        <f>INDEX(Input!$1:$1048576,CG$93,$C313*2+6)</f>
        <v>0.1</v>
      </c>
      <c r="CH313" s="384">
        <f>INDEX(Input!$1:$1048576,CH$93,$C313*2+6)</f>
        <v>0.1</v>
      </c>
      <c r="CI313" s="304">
        <f t="shared" si="864"/>
        <v>1287.0236024844721</v>
      </c>
      <c r="CJ313" s="16" t="str">
        <f>INDEX(Input!$1:$1048576,CJ$93,$C313*2+6)</f>
        <v>N</v>
      </c>
      <c r="CK313" s="1" t="str">
        <f t="shared" si="865"/>
        <v>Market</v>
      </c>
      <c r="CL313" s="1" t="str">
        <f t="shared" si="866"/>
        <v>Market</v>
      </c>
      <c r="CM313" s="1" t="str">
        <f t="shared" si="867"/>
        <v>Market</v>
      </c>
      <c r="CN313" s="1" t="str">
        <f t="shared" si="868"/>
        <v>Market</v>
      </c>
      <c r="CO313" s="1" t="str">
        <f t="shared" si="869"/>
        <v>Market</v>
      </c>
      <c r="CP313" s="304">
        <f t="shared" si="870"/>
        <v>500</v>
      </c>
      <c r="CQ313" s="1">
        <f t="shared" si="871"/>
        <v>0</v>
      </c>
      <c r="CR313" s="1">
        <f t="shared" si="872"/>
        <v>0</v>
      </c>
      <c r="CS313" s="1">
        <f t="shared" si="873"/>
        <v>0</v>
      </c>
      <c r="CT313" s="1">
        <f t="shared" si="874"/>
        <v>8.9999999999999993E-3</v>
      </c>
      <c r="CU313" s="1">
        <f t="shared" si="875"/>
        <v>3.9E-2</v>
      </c>
      <c r="CV313" s="304">
        <f t="shared" si="876"/>
        <v>1554.9999999999991</v>
      </c>
      <c r="CW313" s="20" t="s">
        <v>122</v>
      </c>
      <c r="CX313" s="20" t="s">
        <v>122</v>
      </c>
      <c r="CY313" s="20" t="s">
        <v>122</v>
      </c>
      <c r="CZ313" s="20" t="s">
        <v>122</v>
      </c>
      <c r="DA313" s="20" t="s">
        <v>122</v>
      </c>
      <c r="DB313" s="503">
        <f t="shared" si="877"/>
        <v>0</v>
      </c>
      <c r="DC313" s="127">
        <v>0</v>
      </c>
      <c r="DD313" s="127">
        <v>0</v>
      </c>
      <c r="DE313" s="127">
        <v>0</v>
      </c>
      <c r="DF313" s="127">
        <v>0</v>
      </c>
      <c r="DG313" s="127">
        <v>0</v>
      </c>
      <c r="DH313" s="127">
        <v>0</v>
      </c>
      <c r="DI313" s="127">
        <v>0</v>
      </c>
      <c r="DJ313" s="127">
        <v>0</v>
      </c>
      <c r="DK313" s="127">
        <v>0</v>
      </c>
      <c r="DL313" s="127">
        <v>0</v>
      </c>
      <c r="DM313" s="304">
        <f>INDEX(Input!$1:$1048576,DM$93,$C313*2+6)</f>
        <v>21036.84210526316</v>
      </c>
      <c r="DN313" s="20">
        <v>0</v>
      </c>
      <c r="DO313" s="20">
        <v>0</v>
      </c>
      <c r="DP313" s="20">
        <v>0</v>
      </c>
      <c r="DQ313" s="20">
        <v>0</v>
      </c>
      <c r="DR313" s="20">
        <v>0</v>
      </c>
      <c r="DS313" s="20">
        <f>INDEX(Input!$1:$1048576,DS$93,$C313*2+6)</f>
        <v>0.6</v>
      </c>
      <c r="DT313" s="20">
        <f>INDEX(Input!$1:$1048576,DT$93,$C313*2+6)</f>
        <v>0.55000000000000004</v>
      </c>
      <c r="DU313" s="20">
        <f>INDEX(Input!$1:$1048576,DU$93,$C313*2+6)</f>
        <v>0.52</v>
      </c>
      <c r="DV313" s="20">
        <f>INDEX(Input!$1:$1048576,DV$93,$C313*2+6)</f>
        <v>0.5</v>
      </c>
      <c r="DW313" s="20">
        <f>INDEX(Input!$1:$1048576,DW$93,$C313*2+6)</f>
        <v>0.45</v>
      </c>
      <c r="DX313" s="20"/>
      <c r="DY313" s="7">
        <v>9.882580074641073E-2</v>
      </c>
      <c r="DZ313" s="7">
        <v>0</v>
      </c>
      <c r="EA313" s="7">
        <v>0.68195941300672003</v>
      </c>
      <c r="EB313" s="7">
        <v>0</v>
      </c>
      <c r="EC313" s="7">
        <v>0</v>
      </c>
      <c r="ED313" s="7">
        <v>0</v>
      </c>
      <c r="EE313" s="7">
        <v>0</v>
      </c>
      <c r="EF313" s="7">
        <v>0</v>
      </c>
      <c r="EG313" s="7">
        <v>0</v>
      </c>
      <c r="EH313" s="7">
        <v>9.4331179682199413E-3</v>
      </c>
      <c r="EI313" s="7">
        <v>2.6408069581028724E-2</v>
      </c>
      <c r="EJ313" s="7">
        <v>0.21235772536645556</v>
      </c>
      <c r="EK313" s="7">
        <v>0.64054545469354041</v>
      </c>
      <c r="EL313" s="7">
        <v>0.11125563239075527</v>
      </c>
      <c r="EM313" s="7">
        <v>6.1580196162302141E-2</v>
      </c>
      <c r="EN313" s="7">
        <v>6.2780517764073396E-2</v>
      </c>
      <c r="EO313" s="7">
        <v>0.7805873190387993</v>
      </c>
      <c r="EP313" s="7">
        <v>6.4461182404335668E-2</v>
      </c>
      <c r="EQ313" s="7">
        <v>6.0281367194055704E-2</v>
      </c>
      <c r="ER313" s="7">
        <v>3.1889613598735413E-2</v>
      </c>
      <c r="ES313" s="7">
        <v>0.15763459008456712</v>
      </c>
      <c r="ET313" s="7">
        <v>0.21921478624686924</v>
      </c>
      <c r="EU313" s="6">
        <v>1611</v>
      </c>
      <c r="EV313" s="6">
        <v>0</v>
      </c>
      <c r="EW313" s="6">
        <v>1611</v>
      </c>
      <c r="EX313" s="6">
        <v>0</v>
      </c>
      <c r="EY313" s="6">
        <v>2652.2839901195966</v>
      </c>
      <c r="EZ313" s="6">
        <v>2289</v>
      </c>
      <c r="FA313" s="6">
        <v>0</v>
      </c>
      <c r="FB313" s="6">
        <v>0</v>
      </c>
      <c r="FC313" s="6">
        <v>0</v>
      </c>
      <c r="FD313" s="6">
        <v>0</v>
      </c>
      <c r="FE313" s="6">
        <v>0</v>
      </c>
      <c r="FF313" s="6">
        <v>0</v>
      </c>
      <c r="FG313" s="6">
        <v>0</v>
      </c>
      <c r="FH313" s="6">
        <v>1171.9975842205602</v>
      </c>
      <c r="FI313" s="6">
        <v>1553.9796069512392</v>
      </c>
      <c r="FJ313" s="6">
        <v>2101.2110117447414</v>
      </c>
      <c r="FK313" s="6">
        <v>2251.3078348034674</v>
      </c>
      <c r="FL313" s="6">
        <v>907.07682140966347</v>
      </c>
      <c r="FM313" s="6">
        <v>2041.2839901195964</v>
      </c>
      <c r="FN313" s="6">
        <v>0</v>
      </c>
      <c r="FO313" s="6">
        <v>0</v>
      </c>
      <c r="FP313" s="6">
        <v>0</v>
      </c>
      <c r="FQ313" s="6">
        <v>0</v>
      </c>
      <c r="FR313" s="6">
        <v>0</v>
      </c>
      <c r="FS313" s="6">
        <v>0</v>
      </c>
      <c r="FT313" s="7">
        <v>0.78078521375313081</v>
      </c>
      <c r="FU313" s="7">
        <v>6.1580196162302141E-2</v>
      </c>
      <c r="FV313" s="7">
        <v>0.15763459008456712</v>
      </c>
      <c r="FW313" s="6">
        <v>1610.9999999999998</v>
      </c>
      <c r="FX313" s="6">
        <v>2652.2839901195966</v>
      </c>
      <c r="FY313" s="6">
        <v>2289</v>
      </c>
      <c r="FZ313" s="6">
        <v>1858.9243755539039</v>
      </c>
      <c r="GA313" s="6">
        <v>1781.998724449566</v>
      </c>
      <c r="GB313" s="6">
        <v>18203.001275550436</v>
      </c>
      <c r="GC313" s="7">
        <v>2.9156573141622111E-2</v>
      </c>
      <c r="GD313" s="7">
        <v>2.9536970944163719E-2</v>
      </c>
      <c r="GE313" s="7"/>
      <c r="GF313" s="7"/>
      <c r="GG313" s="7">
        <v>1.3046725371116227E-2</v>
      </c>
      <c r="GH313" s="42">
        <v>-3.3894910579060982</v>
      </c>
      <c r="GI313" s="6">
        <v>-4114.166705278999</v>
      </c>
      <c r="GJ313" s="14">
        <v>0.50394797582841733</v>
      </c>
      <c r="GK313" s="14">
        <v>0.50887573065309744</v>
      </c>
      <c r="GL313" s="14">
        <v>0.49605202417158262</v>
      </c>
      <c r="GM313" s="14">
        <v>0.49112426934690234</v>
      </c>
      <c r="GO313" s="5">
        <v>343.14810671672558</v>
      </c>
      <c r="GP313" s="5">
        <v>312.41330006058649</v>
      </c>
      <c r="GQ313" s="5">
        <v>535.04305713031317</v>
      </c>
      <c r="GR313" s="5">
        <v>410.15490233172511</v>
      </c>
      <c r="GS313" s="5">
        <v>339.42744393800166</v>
      </c>
      <c r="GT313" s="5">
        <v>293.4407446948278</v>
      </c>
      <c r="GU313" s="5">
        <v>258.04012322764959</v>
      </c>
      <c r="GV313" s="39" t="s">
        <v>392</v>
      </c>
      <c r="GW313" s="5">
        <v>482.65277777777777</v>
      </c>
      <c r="GX313" s="5">
        <v>361.98958333333331</v>
      </c>
      <c r="GY313" s="5">
        <v>289.59166666666664</v>
      </c>
      <c r="GZ313" s="5">
        <v>247.99130496280273</v>
      </c>
      <c r="HA313" s="5">
        <v>236.70336205047303</v>
      </c>
      <c r="HB313" s="39">
        <v>260.79367974454146</v>
      </c>
      <c r="HC313" s="5">
        <v>187.140625</v>
      </c>
      <c r="HD313" s="5">
        <v>171.45330774853798</v>
      </c>
      <c r="HE313" s="5">
        <v>177.50180921052629</v>
      </c>
      <c r="HF313" s="5">
        <v>167.9756304824561</v>
      </c>
      <c r="HG313" s="5">
        <v>166.75888157894735</v>
      </c>
      <c r="HH313" s="39">
        <v>172.46871662705291</v>
      </c>
      <c r="HI313" s="16"/>
      <c r="HJ313" s="19" t="str">
        <f t="shared" si="931"/>
        <v>On</v>
      </c>
      <c r="HK313" s="1" t="str">
        <f t="shared" si="931"/>
        <v>On</v>
      </c>
      <c r="HL313" s="16"/>
      <c r="HM313" s="639">
        <f t="shared" si="878"/>
        <v>2.2758057894877178E-2</v>
      </c>
      <c r="HN313" s="639">
        <f t="shared" si="879"/>
        <v>1.416759231746561E-3</v>
      </c>
      <c r="HO313" s="639">
        <f t="shared" si="880"/>
        <v>4.5732401537654987E-3</v>
      </c>
      <c r="HP313" s="644">
        <f>(FT313*$GD313-HM313)/$JF313*INDEX(Input!$1:$1048576,$JG$93,$C313*2+6)</f>
        <v>17.02359786650311</v>
      </c>
      <c r="HQ313" s="644">
        <f>(FU313*$GD313-HN313)/$JF313*INDEX(Input!$1:$1048576,$JG$93,$C313*2+6)</f>
        <v>22.520982857106702</v>
      </c>
      <c r="HR313" s="644">
        <f>(FV313*$GD313-HO313)/$JF313*INDEX(Input!$1:$1048576,$JG$93,$C313*2+6)</f>
        <v>4.6375699618683939</v>
      </c>
      <c r="HS313" s="644">
        <f t="shared" si="881"/>
        <v>-19.022684646349415</v>
      </c>
      <c r="HT313" s="644">
        <f t="shared" si="882"/>
        <v>58.944893504727041</v>
      </c>
      <c r="HU313" s="644">
        <f t="shared" si="883"/>
        <v>8.0582780419671369</v>
      </c>
      <c r="HV313" s="648">
        <f t="shared" si="884"/>
        <v>0</v>
      </c>
      <c r="HW313" s="648">
        <f t="shared" si="885"/>
        <v>0</v>
      </c>
      <c r="HX313" s="648">
        <f t="shared" si="886"/>
        <v>0</v>
      </c>
      <c r="HY313" s="644">
        <f>INDEX(Input!$1:$1048576,HY$93,$C313*2+6)*INDEX(Input!$1:$1048576,$JG$93,$C313*2+6)</f>
        <v>509.00000000000006</v>
      </c>
      <c r="HZ313" s="644">
        <f>INDEX(Input!$1:$1048576,HZ$93,$C313*2+6)*INDEX(Input!$1:$1048576,$JG$93,$C313*2+6)</f>
        <v>844</v>
      </c>
      <c r="IA313" s="644">
        <f>INDEX(Input!$1:$1048576,IA$93,$C313*2+6)*INDEX(Input!$1:$1048576,$JG$93,$C313*2+6)</f>
        <v>257</v>
      </c>
      <c r="IB313" s="644">
        <f t="shared" si="910"/>
        <v>507.00091322015396</v>
      </c>
      <c r="IC313" s="644">
        <f t="shared" si="911"/>
        <v>925.46587636183369</v>
      </c>
      <c r="ID313" s="644">
        <f>IF(AND(INDEX(Input!$1:$1048576,IA$93,$C313*2+7)="TOS",Y313&lt;=INDEX(Y:Y,MATCH(C313*1000+2,A:A))),0,1)*MAX(IA313+HR313+HU313+HX313,0%)</f>
        <v>269.69584800383552</v>
      </c>
      <c r="IE313" s="128">
        <f t="shared" ref="IE313:IE314" si="955">IB313/SUM($IB313:$ID313)</f>
        <v>0.29785691568182532</v>
      </c>
      <c r="IF313" s="128">
        <f t="shared" si="933"/>
        <v>0.54370002955441543</v>
      </c>
      <c r="IG313" s="128">
        <f t="shared" si="888"/>
        <v>0.15844305476375928</v>
      </c>
      <c r="IH313" s="21"/>
      <c r="II313" s="19">
        <f t="shared" si="889"/>
        <v>1410.4999999999998</v>
      </c>
      <c r="IJ313" s="19">
        <f t="shared" si="890"/>
        <v>2134.9731585778086</v>
      </c>
      <c r="IK313" s="19">
        <f t="shared" si="891"/>
        <v>2103.5</v>
      </c>
      <c r="IL313" s="19">
        <f t="shared" si="913"/>
        <v>200.5</v>
      </c>
      <c r="IM313" s="19">
        <f t="shared" si="892"/>
        <v>517.31083154178805</v>
      </c>
      <c r="IN313" s="19">
        <f t="shared" si="893"/>
        <v>185.5</v>
      </c>
      <c r="IO313" s="39">
        <f t="shared" si="894"/>
        <v>0</v>
      </c>
      <c r="IP313" s="39">
        <f t="shared" si="895"/>
        <v>0</v>
      </c>
      <c r="IQ313" s="39">
        <f t="shared" si="896"/>
        <v>0</v>
      </c>
      <c r="IR313" s="39">
        <v>0</v>
      </c>
      <c r="IS313" s="39">
        <v>0</v>
      </c>
      <c r="IT313" s="39">
        <v>0</v>
      </c>
      <c r="IU313" s="39">
        <v>0</v>
      </c>
      <c r="IV313" s="39">
        <v>0</v>
      </c>
      <c r="IW313" s="39">
        <v>0</v>
      </c>
      <c r="IX313" s="39">
        <f>INDEX(Input!$1:$1048576,IX$93,$C313*2+6)+INDEX(Input!$1:$1048576,IX$94,$C313*2+6)</f>
        <v>1611</v>
      </c>
      <c r="IY313" s="39">
        <f>INDEX(Input!$1:$1048576,IY$93,$C313*2+6)+INDEX(Input!$1:$1048576,IY$94,$C313*2+6)</f>
        <v>2471.0624533823611</v>
      </c>
      <c r="IZ313" s="39">
        <f>INDEX(Input!$1:$1048576,IZ$93,$C313*2+6)+INDEX(Input!$1:$1048576,IZ$94,$C313*2+6)</f>
        <v>3994.7164157747857</v>
      </c>
      <c r="JA313" s="19">
        <f t="shared" si="914"/>
        <v>1811.5</v>
      </c>
      <c r="JB313" s="19">
        <f t="shared" si="915"/>
        <v>2988.3732849241492</v>
      </c>
      <c r="JC313" s="19">
        <f t="shared" si="916"/>
        <v>4180.2164157747857</v>
      </c>
      <c r="JD313" s="19">
        <f t="shared" si="917"/>
        <v>2826.6727045794819</v>
      </c>
      <c r="JE313" s="21"/>
      <c r="JF313" s="1">
        <f t="shared" si="897"/>
        <v>2.8748057280389237E-2</v>
      </c>
      <c r="JG313" s="15">
        <f>INDEX(Input!$1:$1048576,JG$93,$C313*2+6)/(1+VLOOKUP(C313*1000+INDEX(Input!$1:$1048576,JG$93+1,$C313*2+6),$A:$KK,$JK$92,FALSE))</f>
        <v>1610</v>
      </c>
      <c r="JH313" s="1">
        <f t="shared" si="918"/>
        <v>2.7442329618309443E-2</v>
      </c>
      <c r="JI313" s="1">
        <f t="shared" si="919"/>
        <v>2.9801544658599233E-2</v>
      </c>
      <c r="JJ313" s="1">
        <f>SUM(HV313:HX313)/SUM(HY313:IA313)</f>
        <v>0</v>
      </c>
      <c r="JK313" s="1">
        <f t="shared" ref="JK313:JK314" si="956">SUM(JH313:JJ313)</f>
        <v>5.7243874276908677E-2</v>
      </c>
      <c r="JL313" s="15">
        <f t="shared" si="922"/>
        <v>92.162637585822964</v>
      </c>
      <c r="JM313" s="15">
        <f t="shared" si="948"/>
        <v>1702.1626375858229</v>
      </c>
      <c r="JN313" s="21"/>
      <c r="JO313" s="19">
        <f>INDEX(Input!$1:$1048576,JO$93,$C313*2+6)</f>
        <v>5995.5</v>
      </c>
      <c r="JP313" s="19">
        <f>INDEX(Input!$1:$1048576,JP$93,$C313*2+6)</f>
        <v>2442.3713226762939</v>
      </c>
      <c r="JQ313" s="39">
        <f t="shared" si="934"/>
        <v>3168.8272954205181</v>
      </c>
      <c r="JR313" s="39">
        <f t="shared" si="951"/>
        <v>384.30138190318803</v>
      </c>
      <c r="JS313" s="39">
        <f t="shared" si="936"/>
        <v>4.8114566664188629</v>
      </c>
      <c r="JT313" s="39">
        <f t="shared" si="924"/>
        <v>0.87923883691002935</v>
      </c>
      <c r="JU313" s="385">
        <f>(JQ313*JM313-INDEX(Input!$1:$1048576,Input!A$18,$C313*2+6)*JL313*INDEX(Input!$1:$1048576,Input!A$19,$C313*2+6))/1000000</f>
        <v>5.3938594272269391</v>
      </c>
      <c r="JV313" s="39">
        <f>JU313-(JO313-JP313)*JG313/1000000</f>
        <v>-0.32667774326422805</v>
      </c>
      <c r="JW313" s="1">
        <f t="shared" si="949"/>
        <v>-5.7106130688104488E-2</v>
      </c>
      <c r="JX313" s="19">
        <f t="shared" si="940"/>
        <v>9540.078929395564</v>
      </c>
      <c r="JZ313" s="341"/>
      <c r="KA313" s="342"/>
      <c r="KB313" s="469">
        <f t="shared" si="937"/>
        <v>2.5190675447988795</v>
      </c>
      <c r="KI313" s="473">
        <f t="shared" si="938"/>
        <v>-1.9990867798462091</v>
      </c>
      <c r="KJ313" s="473">
        <f t="shared" si="925"/>
        <v>81.465876361833693</v>
      </c>
      <c r="KK313" s="473">
        <f t="shared" si="926"/>
        <v>12.695848003835465</v>
      </c>
      <c r="KN313" s="544">
        <f t="shared" si="941"/>
        <v>3002</v>
      </c>
      <c r="KO313" s="541">
        <f t="shared" si="901"/>
        <v>2.5936008201232097E-2</v>
      </c>
      <c r="KP313" s="546">
        <f t="shared" si="902"/>
        <v>172.22363315086068</v>
      </c>
      <c r="KQ313" s="546">
        <f t="shared" si="903"/>
        <v>190.75927919078367</v>
      </c>
      <c r="KR313" s="548">
        <f t="shared" si="904"/>
        <v>2.6126847021561379</v>
      </c>
      <c r="KS313" s="548">
        <f t="shared" si="905"/>
        <v>2.3588160617496401</v>
      </c>
      <c r="KT313" s="473">
        <f t="shared" si="939"/>
        <v>1026.1618045255443</v>
      </c>
      <c r="KU313" s="663">
        <f t="shared" si="927"/>
        <v>4.6575896740236802</v>
      </c>
      <c r="KV313" s="117" t="e">
        <f>RANK(KU313,$KU$109:$KU$200)</f>
        <v>#N/A</v>
      </c>
    </row>
    <row r="314" spans="1:308" s="26" customFormat="1" ht="15">
      <c r="A314" s="561">
        <f t="shared" si="906"/>
        <v>3014</v>
      </c>
      <c r="B314" s="561">
        <f t="shared" si="928"/>
        <v>14</v>
      </c>
      <c r="C314" s="561">
        <f t="shared" si="929"/>
        <v>3</v>
      </c>
      <c r="D314" s="561" t="str">
        <f t="shared" si="950"/>
        <v xml:space="preserve">0/0/0/3.9, </v>
      </c>
      <c r="E314" s="115">
        <f>INDEX(Input!$1:$1048576,E$93,$C314*2+MIN($B314,2)+5)</f>
        <v>1287.0236024844721</v>
      </c>
      <c r="F314" s="115">
        <f>INDEX(Input!$1:$1048576,F$93,$C314*2+MIN($B314,2)+5)</f>
        <v>0</v>
      </c>
      <c r="G314" s="115">
        <f>INDEX(Input!$1:$1048576,G$93,$C314*2+MIN($B314,2)+5)</f>
        <v>0</v>
      </c>
      <c r="H314" s="115">
        <f>INDEX(Input!$1:$1048576,H$93,$C314*2+MIN($B314,2)+5)</f>
        <v>0</v>
      </c>
      <c r="I314" s="118">
        <f>INDEX(Input!$1:$1048576,I$93,$C314*2+MIN($B314,2)+5)</f>
        <v>0.7</v>
      </c>
      <c r="J314" s="476" t="str">
        <f>INDEX(Input!$1:$1048576,J$93,$C314*2+MIN($B314,2)+5)</f>
        <v>Market</v>
      </c>
      <c r="K314" s="476" t="str">
        <f>INDEX(Input!$1:$1048576,K$93,$C314*2+MIN($B314,2)+5)</f>
        <v>Market</v>
      </c>
      <c r="L314" s="476" t="str">
        <f>INDEX(Input!$1:$1048576,L$93,$C314*2+MIN($B314,2)+5)</f>
        <v>Market</v>
      </c>
      <c r="M314" s="476" t="str">
        <f>INDEX(Input!$1:$1048576,M$93,$C314*2+MIN($B314,2)+5)</f>
        <v>Market</v>
      </c>
      <c r="N314" s="476" t="str">
        <f>INDEX(Input!$1:$1048576,N$93,$C314*2+MIN($B314,2)+5)</f>
        <v>Market</v>
      </c>
      <c r="O314" s="476" t="str">
        <f>INDEX(Input!$1:$1048576,O$93,$C314*2+MIN($B314,2)+5)</f>
        <v>Market</v>
      </c>
      <c r="P314" s="476" t="str">
        <f>INDEX(Input!$1:$1048576,P$93,$C314*2+MIN($B314,2)+5)</f>
        <v>N</v>
      </c>
      <c r="Q314" s="477">
        <f>INDEX(Input!$1:$1048576,Q$93,$C314*2+MIN($B314,2)+5)</f>
        <v>0</v>
      </c>
      <c r="R314" s="478">
        <f>IFERROR(MAX(0,INDEX(Input!$1:$1048576,R$93,$C314*2+MIN($B314,2)+5)-2%,),"Market")</f>
        <v>0</v>
      </c>
      <c r="S314" s="478">
        <f>IFERROR(MAX(0,INDEX(Input!$1:$1048576,S$93,$C314*2+MIN($B314,2)+5)-2%,),"Market")</f>
        <v>0</v>
      </c>
      <c r="T314" s="478">
        <f>IFERROR(MAX(0,INDEX(Input!$1:$1048576,T$93,$C314*2+MIN($B314,2)+5)-2%,),"Market")</f>
        <v>0</v>
      </c>
      <c r="U314" s="478">
        <f>IFERROR(MAX(0,INDEX(Input!$1:$1048576,U$93,$C314*2+MIN($B314,2)+5)-2%,),"Market")</f>
        <v>0</v>
      </c>
      <c r="V314" s="478">
        <f>IFERROR(MAX(0,INDEX(Input!$1:$1048576,V$93,$C314*2+MIN($B314,2)+5)-2%,),"Market")</f>
        <v>0</v>
      </c>
      <c r="W314" s="885">
        <f>IFERROR(MAX(0,INDEX(Input!$1:$1048576,W$93,$C314*2+MIN($B314,2)+5)-0%,),"Market")</f>
        <v>3.9E-2</v>
      </c>
      <c r="X314" s="476" t="str">
        <f>INDEX(Input!$1:$1048576,X$93,$C314*2+MIN($B314,2)+5)</f>
        <v>Y</v>
      </c>
      <c r="Y314" s="150">
        <f>INDEX(Input!$1:$1048576,Y$93,$C314*2+MIN($B314,2)+5)</f>
        <v>1554.9999999999991</v>
      </c>
      <c r="Z314" s="30">
        <f>INDEX(Input!$1:$1048576,Z$93,$C314*2+MIN($B314,2)+5)</f>
        <v>0</v>
      </c>
      <c r="AA314" s="475">
        <f>INDEX(Input!$1:$1048576,AA$93,$C314*2+MIN($B314,2)+5)</f>
        <v>0</v>
      </c>
      <c r="AB314" s="118">
        <f>INDEX(Input!$1:$1048576,AB$93,$C314*2+MIN($B314,2)+5)</f>
        <v>0.27</v>
      </c>
      <c r="AC314" s="115">
        <f>INDEX(Input!$1:$1048576,AC$93,$C314*2+MIN($B314,2)+5)</f>
        <v>0</v>
      </c>
      <c r="AD314" s="118">
        <f>INDEX(Input!$1:$1048576,AD$93,$C314*2+MIN($B314,2)+5)</f>
        <v>0.27</v>
      </c>
      <c r="AE314" s="115">
        <f>INDEX(Input!$1:$1048576,AE$93,$C314*2+MIN($B314,2)+5)</f>
        <v>0</v>
      </c>
      <c r="AF314" s="118">
        <f>INDEX(Input!$1:$1048576,AF$93,$C314*2+MIN($B314,2)+5)</f>
        <v>0.68200000000000005</v>
      </c>
      <c r="AG314" s="115">
        <f>INDEX(Input!$1:$1048576,AG$93,$C314*2+MIN($B314,2)+5)</f>
        <v>500</v>
      </c>
      <c r="AH314" s="118">
        <f>INDEX(Input!$1:$1048576,AH$93,$C314*2+MIN($B314,2)+5)</f>
        <v>1</v>
      </c>
      <c r="AI314" s="115">
        <f>INDEX(Input!$1:$1048576,AI$93,$C314*2+MIN($B314,2)+5)</f>
        <v>0</v>
      </c>
      <c r="AJ314" s="118">
        <f>INDEX(Input!$1:$1048576,AJ$93,$C314*2+MIN($B314,2)+5)</f>
        <v>0.27</v>
      </c>
      <c r="AK314" s="150">
        <f>ROUND(INDEX(Input!$1:$1048576,AK$93,$C313*2+MIN($B314,1)+5)+(Y314-VLOOKUP($C314*1000+1,$A:$HH,Y$92,FALSE)),0)</f>
        <v>2977</v>
      </c>
      <c r="AL314" s="150">
        <f>ROUND(INDEX(Input!$1:$1048576,AL$93,$C313*2+MIN($B314,1)+5)-(Y314-VLOOKUP($C314*1000+1,$A:$HH,Y$92,FALSE))/36,0)</f>
        <v>3395</v>
      </c>
      <c r="AM314" s="32" t="str">
        <f t="shared" si="907"/>
        <v>std/std/std/std</v>
      </c>
      <c r="AN314" s="32" t="str">
        <f t="shared" si="908"/>
        <v>$0 + 0/0/0/0/3.9</v>
      </c>
      <c r="AO314" s="32" t="str">
        <f t="shared" si="909"/>
        <v>0/0/0/0/3.9</v>
      </c>
      <c r="AP314" s="32" t="str">
        <f t="shared" si="863"/>
        <v>0/0/0/3.9</v>
      </c>
      <c r="AQ314" s="536">
        <f t="shared" si="862"/>
        <v>0.28004305232634052</v>
      </c>
      <c r="AR314" s="32"/>
      <c r="AS314" s="302"/>
      <c r="AT314" s="3">
        <f t="shared" si="930"/>
        <v>14</v>
      </c>
      <c r="AU314" s="41" t="s">
        <v>121</v>
      </c>
      <c r="AV314" s="41" t="s">
        <v>116</v>
      </c>
      <c r="AW314" s="41" t="str">
        <f>INDEX(Input!$1:$1048576,AW$93,$C314*2+6)</f>
        <v>Kia</v>
      </c>
      <c r="AX314" s="41" t="str">
        <f>INDEX(Input!$1:$1048576,AX$93,$C314*2+6)</f>
        <v>Kia-LR - L3</v>
      </c>
      <c r="AY314" s="41" t="str">
        <f>IF(LEN(D314)=0,"",INDEX(Input!$1:$1048576,AY$93,$C314*2+6))</f>
        <v>Compact SUV (52)</v>
      </c>
      <c r="AZ314" s="41" t="str">
        <f>INDEX(Input!$1:$1048576,AZ$93,$C314*2+6)</f>
        <v>Kia Soul</v>
      </c>
      <c r="BA314" s="3">
        <f>INDEX(Input!$1:$1048576,BA$93,$C314*2+6)</f>
        <v>2020</v>
      </c>
      <c r="BB314" s="128">
        <f>INDEX(Input!$1:$1048576,BB$93,$C314*2+6)</f>
        <v>1</v>
      </c>
      <c r="BC314" s="128">
        <f>INDEX(Input!$1:$1048576,BC$93,$C314*2+6)</f>
        <v>0.7</v>
      </c>
      <c r="BD314" s="1">
        <f>INDEX(Input!$1:$1048576,BD$93,$C314*2+6)</f>
        <v>4.4999999999999998E-2</v>
      </c>
      <c r="BE314" s="1">
        <f>INDEX(Input!$1:$1048576,BE$93,$C314*2+6)</f>
        <v>4.4999999999999998E-2</v>
      </c>
      <c r="BF314" s="1">
        <f>INDEX(Input!$1:$1048576,BF$93,$C314*2+6)</f>
        <v>0.05</v>
      </c>
      <c r="BG314" s="1">
        <f>INDEX(Input!$1:$1048576,BG$93,$C314*2+6)</f>
        <v>5.45E-2</v>
      </c>
      <c r="BH314" s="1">
        <f>INDEX(Input!$1:$1048576,BH$93,$C314*2+6)</f>
        <v>5.45E-2</v>
      </c>
      <c r="BI314" s="1">
        <f>INDEX(Input!$1:$1048576,BI$93,$C314*2+6)</f>
        <v>0.05</v>
      </c>
      <c r="BJ314" s="1">
        <f>INDEX(Input!$1:$1048576,BJ$93,$C314*2+6)</f>
        <v>0.05</v>
      </c>
      <c r="BK314" s="1">
        <f>INDEX(Input!$1:$1048576,BK$93,$C314*2+6)</f>
        <v>0.05</v>
      </c>
      <c r="BL314" s="1">
        <f>INDEX(Input!$1:$1048576,BL$93,$C314*2+6)</f>
        <v>5.5E-2</v>
      </c>
      <c r="BM314" s="1">
        <f>INDEX(Input!$1:$1048576,BM$93,$C314*2+6)</f>
        <v>0.06</v>
      </c>
      <c r="BN314" s="1">
        <f>INDEX(Input!$1:$1048576,BN$93,$C314*2+6)</f>
        <v>4.4999999999999998E-2</v>
      </c>
      <c r="BO314" s="1">
        <f>INDEX(Input!$1:$1048576,BO$93,$C314*2+6)</f>
        <v>4.4999999999999998E-2</v>
      </c>
      <c r="BP314" s="1">
        <f>INDEX(Input!$1:$1048576,BP$93,$C314*2+6)</f>
        <v>0.05</v>
      </c>
      <c r="BQ314" s="1">
        <f>INDEX(Input!$1:$1048576,BQ$93,$C314*2+6)</f>
        <v>5.45E-2</v>
      </c>
      <c r="BR314" s="1">
        <f>INDEX(Input!$1:$1048576,BR$93,$C314*2+6)</f>
        <v>5.45E-2</v>
      </c>
      <c r="BS314" s="1">
        <f>INDEX(Input!$1:$1048576,BS$93,$C314*2+6)</f>
        <v>0.05</v>
      </c>
      <c r="BT314" s="1">
        <f>INDEX(Input!$1:$1048576,BT$93,$C314*2+6)</f>
        <v>0.05</v>
      </c>
      <c r="BU314" s="1">
        <f>INDEX(Input!$1:$1048576,BU$93,$C314*2+6)</f>
        <v>0.05</v>
      </c>
      <c r="BV314" s="1">
        <f>INDEX(Input!$1:$1048576,BV$93,$C314*2+6)</f>
        <v>5.5E-2</v>
      </c>
      <c r="BW314" s="1">
        <f>INDEX(Input!$1:$1048576,BW$93,$C314*2+6)</f>
        <v>0.06</v>
      </c>
      <c r="BX314" s="127">
        <f>INDEX(Input!$1:$1048576,BX$93,$C314*2+6)</f>
        <v>19985</v>
      </c>
      <c r="BY314" s="20">
        <f>INDEX(Input!$1:$1048576,BY$93,$C314*2+6)</f>
        <v>0.1</v>
      </c>
      <c r="BZ314" s="20">
        <f>INDEX(Input!$1:$1048576,BZ$93,$C314*2+6)</f>
        <v>0.1</v>
      </c>
      <c r="CA314" s="20">
        <f>INDEX(Input!$1:$1048576,CA$93,$C314*2+6)</f>
        <v>0.1</v>
      </c>
      <c r="CB314" s="20">
        <f>INDEX(Input!$1:$1048576,CB$93,$C314*2+6)</f>
        <v>0.1</v>
      </c>
      <c r="CC314" s="20">
        <f>INDEX(Input!$1:$1048576,CC$93,$C314*2+6)</f>
        <v>0.1</v>
      </c>
      <c r="CD314" s="384">
        <f>INDEX(Input!$1:$1048576,CD$93,$C314*2+6)</f>
        <v>0.1</v>
      </c>
      <c r="CE314" s="384">
        <f>INDEX(Input!$1:$1048576,CE$93,$C314*2+6)</f>
        <v>0.1</v>
      </c>
      <c r="CF314" s="384">
        <f>INDEX(Input!$1:$1048576,CF$93,$C314*2+6)</f>
        <v>0.1</v>
      </c>
      <c r="CG314" s="384">
        <f>INDEX(Input!$1:$1048576,CG$93,$C314*2+6)</f>
        <v>0.1</v>
      </c>
      <c r="CH314" s="384">
        <f>INDEX(Input!$1:$1048576,CH$93,$C314*2+6)</f>
        <v>0.1</v>
      </c>
      <c r="CI314" s="304">
        <f t="shared" si="864"/>
        <v>1287.0236024844721</v>
      </c>
      <c r="CJ314" s="16" t="str">
        <f>INDEX(Input!$1:$1048576,CJ$93,$C314*2+6)</f>
        <v>N</v>
      </c>
      <c r="CK314" s="1" t="str">
        <f t="shared" si="865"/>
        <v>Market</v>
      </c>
      <c r="CL314" s="1" t="str">
        <f t="shared" si="866"/>
        <v>Market</v>
      </c>
      <c r="CM314" s="1" t="str">
        <f t="shared" si="867"/>
        <v>Market</v>
      </c>
      <c r="CN314" s="1" t="str">
        <f t="shared" si="868"/>
        <v>Market</v>
      </c>
      <c r="CO314" s="1" t="str">
        <f t="shared" si="869"/>
        <v>Market</v>
      </c>
      <c r="CP314" s="304">
        <f t="shared" si="870"/>
        <v>500</v>
      </c>
      <c r="CQ314" s="1">
        <f t="shared" si="871"/>
        <v>0</v>
      </c>
      <c r="CR314" s="1">
        <f t="shared" si="872"/>
        <v>0</v>
      </c>
      <c r="CS314" s="1">
        <f t="shared" si="873"/>
        <v>0</v>
      </c>
      <c r="CT314" s="1">
        <f t="shared" si="874"/>
        <v>0</v>
      </c>
      <c r="CU314" s="1">
        <f t="shared" si="875"/>
        <v>3.9E-2</v>
      </c>
      <c r="CV314" s="304">
        <f t="shared" si="876"/>
        <v>1554.9999999999991</v>
      </c>
      <c r="CW314" s="20" t="s">
        <v>122</v>
      </c>
      <c r="CX314" s="20" t="s">
        <v>122</v>
      </c>
      <c r="CY314" s="20" t="s">
        <v>122</v>
      </c>
      <c r="CZ314" s="20" t="s">
        <v>122</v>
      </c>
      <c r="DA314" s="20" t="s">
        <v>122</v>
      </c>
      <c r="DB314" s="503">
        <f t="shared" si="877"/>
        <v>0</v>
      </c>
      <c r="DC314" s="127">
        <v>0</v>
      </c>
      <c r="DD314" s="127">
        <v>0</v>
      </c>
      <c r="DE314" s="127">
        <v>0</v>
      </c>
      <c r="DF314" s="127">
        <v>0</v>
      </c>
      <c r="DG314" s="127">
        <v>0</v>
      </c>
      <c r="DH314" s="127">
        <v>0</v>
      </c>
      <c r="DI314" s="127">
        <v>0</v>
      </c>
      <c r="DJ314" s="127">
        <v>0</v>
      </c>
      <c r="DK314" s="127">
        <v>0</v>
      </c>
      <c r="DL314" s="127">
        <v>0</v>
      </c>
      <c r="DM314" s="304">
        <f>INDEX(Input!$1:$1048576,DM$93,$C314*2+6)</f>
        <v>21036.84210526316</v>
      </c>
      <c r="DN314" s="20">
        <v>0</v>
      </c>
      <c r="DO314" s="20">
        <v>0</v>
      </c>
      <c r="DP314" s="20">
        <v>0</v>
      </c>
      <c r="DQ314" s="20">
        <v>0</v>
      </c>
      <c r="DR314" s="20">
        <v>0</v>
      </c>
      <c r="DS314" s="20">
        <f>INDEX(Input!$1:$1048576,DS$93,$C314*2+6)</f>
        <v>0.6</v>
      </c>
      <c r="DT314" s="20">
        <f>INDEX(Input!$1:$1048576,DT$93,$C314*2+6)</f>
        <v>0.55000000000000004</v>
      </c>
      <c r="DU314" s="20">
        <f>INDEX(Input!$1:$1048576,DU$93,$C314*2+6)</f>
        <v>0.52</v>
      </c>
      <c r="DV314" s="20">
        <f>INDEX(Input!$1:$1048576,DV$93,$C314*2+6)</f>
        <v>0.5</v>
      </c>
      <c r="DW314" s="20">
        <f>INDEX(Input!$1:$1048576,DW$93,$C314*2+6)</f>
        <v>0.45</v>
      </c>
      <c r="DX314" s="20"/>
      <c r="DY314" s="7">
        <v>9.7103815934530088E-2</v>
      </c>
      <c r="DZ314" s="7">
        <v>0</v>
      </c>
      <c r="EA314" s="7">
        <v>0.67086813187062599</v>
      </c>
      <c r="EB314" s="7">
        <v>0</v>
      </c>
      <c r="EC314" s="7">
        <v>0</v>
      </c>
      <c r="ED314" s="7">
        <v>0</v>
      </c>
      <c r="EE314" s="7">
        <v>0</v>
      </c>
      <c r="EF314" s="7">
        <v>0</v>
      </c>
      <c r="EG314" s="7">
        <v>0</v>
      </c>
      <c r="EH314" s="7">
        <v>7.3767938833876317E-3</v>
      </c>
      <c r="EI314" s="7">
        <v>2.0648514137123101E-2</v>
      </c>
      <c r="EJ314" s="7">
        <v>0.16591180674783865</v>
      </c>
      <c r="EK314" s="7">
        <v>0.71899097700101022</v>
      </c>
      <c r="EL314" s="7">
        <v>8.7071908230640399E-2</v>
      </c>
      <c r="EM314" s="7">
        <v>7.7239263981647724E-2</v>
      </c>
      <c r="EN314" s="7">
        <v>6.2750433570088068E-2</v>
      </c>
      <c r="EO314" s="7">
        <v>0.78054016453939823</v>
      </c>
      <c r="EP314" s="7">
        <v>6.4514278339308409E-2</v>
      </c>
      <c r="EQ314" s="7">
        <v>6.030970258768488E-2</v>
      </c>
      <c r="ER314" s="7">
        <v>3.1885420963520081E-2</v>
      </c>
      <c r="ES314" s="7">
        <v>0.15478878821319605</v>
      </c>
      <c r="ET314" s="7">
        <v>0.23202805219484388</v>
      </c>
      <c r="EU314" s="6">
        <v>1611</v>
      </c>
      <c r="EV314" s="6">
        <v>0</v>
      </c>
      <c r="EW314" s="6">
        <v>1611</v>
      </c>
      <c r="EX314" s="6">
        <v>0</v>
      </c>
      <c r="EY314" s="6">
        <v>3002.0556574160628</v>
      </c>
      <c r="EZ314" s="6">
        <v>2289</v>
      </c>
      <c r="FA314" s="6">
        <v>0</v>
      </c>
      <c r="FB314" s="6">
        <v>0</v>
      </c>
      <c r="FC314" s="6">
        <v>0</v>
      </c>
      <c r="FD314" s="6">
        <v>0</v>
      </c>
      <c r="FE314" s="6">
        <v>0</v>
      </c>
      <c r="FF314" s="6">
        <v>0</v>
      </c>
      <c r="FG314" s="6">
        <v>0</v>
      </c>
      <c r="FH314" s="6">
        <v>1171.9917489785794</v>
      </c>
      <c r="FI314" s="6">
        <v>1553.9796069512395</v>
      </c>
      <c r="FJ314" s="6">
        <v>2101.2110117447405</v>
      </c>
      <c r="FK314" s="6">
        <v>2674.2006261592273</v>
      </c>
      <c r="FL314" s="6">
        <v>907.07682140966335</v>
      </c>
      <c r="FM314" s="6">
        <v>2391.0556574160628</v>
      </c>
      <c r="FN314" s="6">
        <v>0</v>
      </c>
      <c r="FO314" s="6">
        <v>0</v>
      </c>
      <c r="FP314" s="6">
        <v>0</v>
      </c>
      <c r="FQ314" s="6">
        <v>0</v>
      </c>
      <c r="FR314" s="6">
        <v>0</v>
      </c>
      <c r="FS314" s="6">
        <v>0</v>
      </c>
      <c r="FT314" s="7">
        <v>0.7679719478051561</v>
      </c>
      <c r="FU314" s="7">
        <v>7.7239263981647724E-2</v>
      </c>
      <c r="FV314" s="7">
        <v>0.15478878821319605</v>
      </c>
      <c r="FW314" s="6">
        <v>1611</v>
      </c>
      <c r="FX314" s="6">
        <v>3002.0556574160628</v>
      </c>
      <c r="FY314" s="6">
        <v>2289</v>
      </c>
      <c r="FZ314" s="6">
        <v>1858.9243755539039</v>
      </c>
      <c r="GA314" s="6">
        <v>1823.3909135448705</v>
      </c>
      <c r="GB314" s="6">
        <v>18161.60908645513</v>
      </c>
      <c r="GC314" s="7">
        <v>2.9156573141622111E-2</v>
      </c>
      <c r="GD314" s="7">
        <v>2.9648891868195915E-2</v>
      </c>
      <c r="GE314" s="7"/>
      <c r="GF314" s="7"/>
      <c r="GG314" s="7">
        <v>1.6885342601219468E-2</v>
      </c>
      <c r="GH314" s="42">
        <v>-9.4967828296489252</v>
      </c>
      <c r="GI314" s="6">
        <v>-281.00594994945891</v>
      </c>
      <c r="GJ314" s="14">
        <v>0.50394797582841744</v>
      </c>
      <c r="GK314" s="14">
        <v>0.50887573065309744</v>
      </c>
      <c r="GL314" s="14">
        <v>0.49605202417158278</v>
      </c>
      <c r="GM314" s="14">
        <v>0.49112426934690256</v>
      </c>
      <c r="GO314" s="5">
        <v>343.14810671672558</v>
      </c>
      <c r="GP314" s="5">
        <v>312.41330006058649</v>
      </c>
      <c r="GQ314" s="5">
        <v>535.04305713031317</v>
      </c>
      <c r="GR314" s="5">
        <v>410.15490233172511</v>
      </c>
      <c r="GS314" s="5">
        <v>339.42744393800166</v>
      </c>
      <c r="GT314" s="5">
        <v>293.4407446948278</v>
      </c>
      <c r="GU314" s="5">
        <v>258.04012322764959</v>
      </c>
      <c r="GV314" s="39" t="s">
        <v>392</v>
      </c>
      <c r="GW314" s="5">
        <v>482.65277777777777</v>
      </c>
      <c r="GX314" s="5">
        <v>361.98958333333331</v>
      </c>
      <c r="GY314" s="5">
        <v>289.59166666666664</v>
      </c>
      <c r="GZ314" s="5">
        <v>241.32638888888889</v>
      </c>
      <c r="HA314" s="5">
        <v>236.70336205047303</v>
      </c>
      <c r="HB314" s="39">
        <v>253.20336326533612</v>
      </c>
      <c r="HC314" s="5">
        <v>187.140625</v>
      </c>
      <c r="HD314" s="5">
        <v>171.45330774853798</v>
      </c>
      <c r="HE314" s="5">
        <v>177.50180921052629</v>
      </c>
      <c r="HF314" s="5">
        <v>167.9756304824561</v>
      </c>
      <c r="HG314" s="5">
        <v>166.75888157894735</v>
      </c>
      <c r="HH314" s="39">
        <v>172.46848697826019</v>
      </c>
      <c r="HI314" s="16"/>
      <c r="HJ314" s="19" t="str">
        <f t="shared" si="931"/>
        <v>On</v>
      </c>
      <c r="HK314" s="1" t="str">
        <f t="shared" si="931"/>
        <v>On</v>
      </c>
      <c r="HL314" s="16"/>
      <c r="HM314" s="639">
        <f t="shared" si="878"/>
        <v>2.2758057894877178E-2</v>
      </c>
      <c r="HN314" s="639">
        <f t="shared" si="879"/>
        <v>1.416759231746561E-3</v>
      </c>
      <c r="HO314" s="639">
        <f t="shared" si="880"/>
        <v>4.5732401537654987E-3</v>
      </c>
      <c r="HP314" s="644">
        <f>(FT314*$GD314-HM314)/$JF314*INDEX(Input!$1:$1048576,$JG$93,$C314*2+6)</f>
        <v>0.6417665967205477</v>
      </c>
      <c r="HQ314" s="644">
        <f>(FU314*$GD314-HN314)/$JF314*INDEX(Input!$1:$1048576,$JG$93,$C314*2+6)</f>
        <v>48.908068683247372</v>
      </c>
      <c r="HR314" s="644">
        <f>(FV314*$GD314-HO314)/$JF314*INDEX(Input!$1:$1048576,$JG$93,$C314*2+6)</f>
        <v>0.90031069765638372</v>
      </c>
      <c r="HS314" s="644">
        <f t="shared" si="881"/>
        <v>-19.429304747136737</v>
      </c>
      <c r="HT314" s="644">
        <f t="shared" si="882"/>
        <v>101.00390062085468</v>
      </c>
      <c r="HU314" s="644">
        <f t="shared" si="883"/>
        <v>8.4648981427544374</v>
      </c>
      <c r="HV314" s="648">
        <f t="shared" si="884"/>
        <v>0</v>
      </c>
      <c r="HW314" s="648">
        <f t="shared" si="885"/>
        <v>0</v>
      </c>
      <c r="HX314" s="648">
        <f t="shared" si="886"/>
        <v>0</v>
      </c>
      <c r="HY314" s="644">
        <f>INDEX(Input!$1:$1048576,HY$93,$C314*2+6)*INDEX(Input!$1:$1048576,$JG$93,$C314*2+6)</f>
        <v>509.00000000000006</v>
      </c>
      <c r="HZ314" s="644">
        <f>INDEX(Input!$1:$1048576,HZ$93,$C314*2+6)*INDEX(Input!$1:$1048576,$JG$93,$C314*2+6)</f>
        <v>844</v>
      </c>
      <c r="IA314" s="644">
        <f>INDEX(Input!$1:$1048576,IA$93,$C314*2+6)*INDEX(Input!$1:$1048576,$JG$93,$C314*2+6)</f>
        <v>257</v>
      </c>
      <c r="IB314" s="644">
        <f t="shared" si="910"/>
        <v>490.2124618495838</v>
      </c>
      <c r="IC314" s="644">
        <f t="shared" si="911"/>
        <v>993.91196930410206</v>
      </c>
      <c r="ID314" s="644">
        <f>IF(AND(INDEX(Input!$1:$1048576,IA$93,$C314*2+7)="TOS",Y314&lt;=INDEX(Y:Y,MATCH(C314*1000+2,A:A))),0,1)*MAX(IA314+HR314+HU314+HX314,0%)</f>
        <v>266.36520884041084</v>
      </c>
      <c r="IE314" s="128">
        <f t="shared" si="955"/>
        <v>0.28004305232634052</v>
      </c>
      <c r="IF314" s="128">
        <f t="shared" si="933"/>
        <v>0.56779083211680925</v>
      </c>
      <c r="IG314" s="128">
        <f t="shared" si="888"/>
        <v>0.15216611555685022</v>
      </c>
      <c r="IH314" s="21"/>
      <c r="II314" s="19">
        <f t="shared" si="889"/>
        <v>1410.4999999999998</v>
      </c>
      <c r="IJ314" s="19">
        <f t="shared" si="890"/>
        <v>2134.9731585778086</v>
      </c>
      <c r="IK314" s="19">
        <f t="shared" si="891"/>
        <v>2103.5</v>
      </c>
      <c r="IL314" s="19">
        <f t="shared" si="913"/>
        <v>200.50000000000023</v>
      </c>
      <c r="IM314" s="19">
        <f t="shared" si="892"/>
        <v>867.0824988382542</v>
      </c>
      <c r="IN314" s="19">
        <f t="shared" si="893"/>
        <v>185.5</v>
      </c>
      <c r="IO314" s="39">
        <f t="shared" si="894"/>
        <v>0</v>
      </c>
      <c r="IP314" s="39">
        <f t="shared" si="895"/>
        <v>0</v>
      </c>
      <c r="IQ314" s="39">
        <f t="shared" si="896"/>
        <v>0</v>
      </c>
      <c r="IR314" s="39">
        <v>0</v>
      </c>
      <c r="IS314" s="39">
        <v>0</v>
      </c>
      <c r="IT314" s="39">
        <v>0</v>
      </c>
      <c r="IU314" s="39">
        <v>0</v>
      </c>
      <c r="IV314" s="39">
        <v>0</v>
      </c>
      <c r="IW314" s="39">
        <v>0</v>
      </c>
      <c r="IX314" s="39">
        <f>INDEX(Input!$1:$1048576,IX$93,$C314*2+6)+INDEX(Input!$1:$1048576,IX$94,$C314*2+6)</f>
        <v>1611</v>
      </c>
      <c r="IY314" s="39">
        <f>INDEX(Input!$1:$1048576,IY$93,$C314*2+6)+INDEX(Input!$1:$1048576,IY$94,$C314*2+6)</f>
        <v>2471.0624533823611</v>
      </c>
      <c r="IZ314" s="39">
        <f>INDEX(Input!$1:$1048576,IZ$93,$C314*2+6)+INDEX(Input!$1:$1048576,IZ$94,$C314*2+6)</f>
        <v>3994.7164157747857</v>
      </c>
      <c r="JA314" s="19">
        <f t="shared" si="914"/>
        <v>1811.5000000000002</v>
      </c>
      <c r="JB314" s="19">
        <f t="shared" si="915"/>
        <v>3338.1449522206153</v>
      </c>
      <c r="JC314" s="19">
        <f t="shared" si="916"/>
        <v>4180.2164157747857</v>
      </c>
      <c r="JD314" s="19">
        <f t="shared" si="917"/>
        <v>3038.7533836124639</v>
      </c>
      <c r="JE314" s="21"/>
      <c r="JF314" s="1">
        <f t="shared" si="897"/>
        <v>2.8748057280389237E-2</v>
      </c>
      <c r="JG314" s="15">
        <f>INDEX(Input!$1:$1048576,JG$93,$C314*2+6)/(1+VLOOKUP(C314*1000+INDEX(Input!$1:$1048576,JG$93+1,$C314*2+6),$A:$KK,$JK$92,FALSE))</f>
        <v>1610</v>
      </c>
      <c r="JH314" s="1">
        <f t="shared" si="918"/>
        <v>3.1335494396039942E-2</v>
      </c>
      <c r="JI314" s="1">
        <f t="shared" si="919"/>
        <v>5.5925151563026319E-2</v>
      </c>
      <c r="JJ314" s="1">
        <f t="shared" ref="JJ314:JJ320" si="957">SUM(HV314:HX314)/SUM(HY314:IA314)</f>
        <v>0</v>
      </c>
      <c r="JK314" s="1">
        <f t="shared" si="956"/>
        <v>8.7260645959066269E-2</v>
      </c>
      <c r="JL314" s="15">
        <f t="shared" si="922"/>
        <v>140.48963999409671</v>
      </c>
      <c r="JM314" s="15">
        <f t="shared" si="948"/>
        <v>1750.4896399940967</v>
      </c>
      <c r="JN314" s="21"/>
      <c r="JO314" s="19">
        <f>INDEX(Input!$1:$1048576,JO$93,$C314*2+6)</f>
        <v>5995.5</v>
      </c>
      <c r="JP314" s="19">
        <f>INDEX(Input!$1:$1048576,JP$93,$C314*2+6)</f>
        <v>2442.3713226762939</v>
      </c>
      <c r="JQ314" s="39">
        <f t="shared" si="934"/>
        <v>2956.7466163875361</v>
      </c>
      <c r="JR314" s="39">
        <f t="shared" si="951"/>
        <v>596.38206093617009</v>
      </c>
      <c r="JS314" s="39">
        <f t="shared" si="936"/>
        <v>5.3193063165106249</v>
      </c>
      <c r="JT314" s="39">
        <f t="shared" si="924"/>
        <v>1.3870884870017921</v>
      </c>
      <c r="JU314" s="385">
        <f>(JQ314*JM314-INDEX(Input!$1:$1048576,Input!A$18,$C314*2+6)*JL314*INDEX(Input!$1:$1048576,Input!A$19,$C314*2+6))/1000000</f>
        <v>5.175754320073982</v>
      </c>
      <c r="JV314" s="39">
        <f t="shared" ref="JV314:JV377" si="958">JU314-(JO314-JP314)*JG314/1000000</f>
        <v>-0.54478285041718522</v>
      </c>
      <c r="JW314" s="1">
        <f t="shared" si="949"/>
        <v>-9.5232813664317115E-2</v>
      </c>
      <c r="JX314" s="19">
        <f t="shared" si="940"/>
        <v>9873.2439421161362</v>
      </c>
      <c r="JZ314" s="341"/>
      <c r="KA314" s="342"/>
      <c r="KB314" s="469">
        <f t="shared" si="937"/>
        <v>2.5190675447988795</v>
      </c>
      <c r="KI314" s="473">
        <f t="shared" si="938"/>
        <v>-18.787538150416253</v>
      </c>
      <c r="KJ314" s="473">
        <f t="shared" si="925"/>
        <v>149.91196930410206</v>
      </c>
      <c r="KK314" s="473">
        <f t="shared" si="926"/>
        <v>9.365208840410844</v>
      </c>
      <c r="KN314" s="544">
        <f t="shared" si="941"/>
        <v>3002</v>
      </c>
      <c r="KO314" s="541">
        <f t="shared" si="901"/>
        <v>5.506390164941366E-2</v>
      </c>
      <c r="KP314" s="546">
        <f t="shared" si="902"/>
        <v>378.45183548883216</v>
      </c>
      <c r="KQ314" s="546">
        <f t="shared" si="903"/>
        <v>402.83995822376573</v>
      </c>
      <c r="KR314" s="548">
        <f t="shared" si="904"/>
        <v>2.5242535701210786</v>
      </c>
      <c r="KS314" s="548">
        <f t="shared" si="905"/>
        <v>2.3714340579911242</v>
      </c>
      <c r="KT314" s="473">
        <f t="shared" si="939"/>
        <v>1026.1618045255443</v>
      </c>
      <c r="KU314" s="663">
        <f t="shared" si="927"/>
        <v>4.6422586768949063</v>
      </c>
      <c r="KV314" s="117" t="e">
        <f t="shared" ref="KV314:KV318" si="959">RANK(KU314,$KU$109:$KU$200)</f>
        <v>#N/A</v>
      </c>
    </row>
    <row r="315" spans="1:308" s="26" customFormat="1" ht="15">
      <c r="A315" s="561">
        <f t="shared" si="906"/>
        <v>3015</v>
      </c>
      <c r="B315" s="561">
        <f t="shared" si="928"/>
        <v>15</v>
      </c>
      <c r="C315" s="561">
        <f t="shared" si="929"/>
        <v>3</v>
      </c>
      <c r="D315" s="561" t="str">
        <f t="shared" si="950"/>
        <v xml:space="preserve">500 Combo, </v>
      </c>
      <c r="E315" s="115">
        <f>INDEX(Input!$1:$1048576,E$93,$C315*2+MIN($B315,2)+5)</f>
        <v>1287.0236024844721</v>
      </c>
      <c r="F315" s="115">
        <f>INDEX(Input!$1:$1048576,F$93,$C315*2+MIN($B315,2)+5)</f>
        <v>0</v>
      </c>
      <c r="G315" s="115">
        <f>INDEX(Input!$1:$1048576,G$93,$C315*2+MIN($B315,2)+5)</f>
        <v>0</v>
      </c>
      <c r="H315" s="115">
        <f>INDEX(Input!$1:$1048576,H$93,$C315*2+MIN($B315,2)+5)</f>
        <v>0</v>
      </c>
      <c r="I315" s="118">
        <f>INDEX(Input!$1:$1048576,I$93,$C315*2+MIN($B315,2)+5)</f>
        <v>0.7</v>
      </c>
      <c r="J315" s="476" t="str">
        <f>INDEX(Input!$1:$1048576,J$93,$C315*2+MIN($B315,2)+5)</f>
        <v>Market</v>
      </c>
      <c r="K315" s="476" t="str">
        <f>INDEX(Input!$1:$1048576,K$93,$C315*2+MIN($B315,2)+5)</f>
        <v>Market</v>
      </c>
      <c r="L315" s="476" t="str">
        <f>INDEX(Input!$1:$1048576,L$93,$C315*2+MIN($B315,2)+5)</f>
        <v>Market</v>
      </c>
      <c r="M315" s="476" t="str">
        <f>INDEX(Input!$1:$1048576,M$93,$C315*2+MIN($B315,2)+5)</f>
        <v>Market</v>
      </c>
      <c r="N315" s="476" t="str">
        <f>INDEX(Input!$1:$1048576,N$93,$C315*2+MIN($B315,2)+5)</f>
        <v>Market</v>
      </c>
      <c r="O315" s="476" t="str">
        <f>INDEX(Input!$1:$1048576,O$93,$C315*2+MIN($B315,2)+5)</f>
        <v>Market</v>
      </c>
      <c r="P315" s="476" t="str">
        <f>INDEX(Input!$1:$1048576,P$93,$C315*2+MIN($B315,2)+5)</f>
        <v>N</v>
      </c>
      <c r="Q315" s="477">
        <f>INDEX(Input!$1:$1048576,Q$93,$C315*2+MIN($B315,2)+5)+500</f>
        <v>500</v>
      </c>
      <c r="R315" s="478">
        <f>IFERROR(MAX(0,INDEX(Input!$1:$1048576,R$93,$C315*2+MIN($B315,2)+5)-0%,),"Market")</f>
        <v>0</v>
      </c>
      <c r="S315" s="478">
        <f>IFERROR(MAX(0,INDEX(Input!$1:$1048576,S$93,$C315*2+MIN($B315,2)+5)-0%,),"Market")</f>
        <v>0</v>
      </c>
      <c r="T315" s="478">
        <f>IFERROR(MAX(0,INDEX(Input!$1:$1048576,T$93,$C315*2+MIN($B315,2)+5)-0%,),"Market")</f>
        <v>0</v>
      </c>
      <c r="U315" s="478">
        <f>IFERROR(MAX(0,INDEX(Input!$1:$1048576,U$93,$C315*2+MIN($B315,2)+5)-0%,),"Market")</f>
        <v>0</v>
      </c>
      <c r="V315" s="478">
        <f>IFERROR(MAX(0,INDEX(Input!$1:$1048576,V$93,$C315*2+MIN($B315,2)+5)-0%,),"Market")</f>
        <v>1.9E-2</v>
      </c>
      <c r="W315" s="885">
        <f>IFERROR(MAX(0,INDEX(Input!$1:$1048576,W$93,$C315*2+MIN($B315,2)+5)-0%,),"Market")</f>
        <v>3.9E-2</v>
      </c>
      <c r="X315" s="476" t="str">
        <f>INDEX(Input!$1:$1048576,X$93,$C315*2+MIN($B315,2)+5)</f>
        <v>Y</v>
      </c>
      <c r="Y315" s="150">
        <f>INDEX(Input!$1:$1048576,Y$93,$C315*2+MIN($B315,2)+5)</f>
        <v>1554.9999999999991</v>
      </c>
      <c r="Z315" s="30">
        <f>INDEX(Input!$1:$1048576,Z$93,$C315*2+MIN($B315,2)+5)</f>
        <v>0</v>
      </c>
      <c r="AA315" s="475">
        <f>INDEX(Input!$1:$1048576,AA$93,$C315*2+MIN($B315,2)+5)</f>
        <v>0</v>
      </c>
      <c r="AB315" s="118">
        <f>INDEX(Input!$1:$1048576,AB$93,$C315*2+MIN($B315,2)+5)</f>
        <v>0.27</v>
      </c>
      <c r="AC315" s="115">
        <f>INDEX(Input!$1:$1048576,AC$93,$C315*2+MIN($B315,2)+5)</f>
        <v>0</v>
      </c>
      <c r="AD315" s="118">
        <f>INDEX(Input!$1:$1048576,AD$93,$C315*2+MIN($B315,2)+5)</f>
        <v>0.27</v>
      </c>
      <c r="AE315" s="115">
        <f>INDEX(Input!$1:$1048576,AE$93,$C315*2+MIN($B315,2)+5)</f>
        <v>0</v>
      </c>
      <c r="AF315" s="118">
        <f>INDEX(Input!$1:$1048576,AF$93,$C315*2+MIN($B315,2)+5)</f>
        <v>0.68200000000000005</v>
      </c>
      <c r="AG315" s="115">
        <f>INDEX(Input!$1:$1048576,AG$93,$C315*2+MIN($B315,2)+5)</f>
        <v>500</v>
      </c>
      <c r="AH315" s="118">
        <f>INDEX(Input!$1:$1048576,AH$93,$C315*2+MIN($B315,2)+5)</f>
        <v>1</v>
      </c>
      <c r="AI315" s="115">
        <f>INDEX(Input!$1:$1048576,AI$93,$C315*2+MIN($B315,2)+5)</f>
        <v>0</v>
      </c>
      <c r="AJ315" s="118">
        <f>INDEX(Input!$1:$1048576,AJ$93,$C315*2+MIN($B315,2)+5)</f>
        <v>0.27</v>
      </c>
      <c r="AK315" s="150">
        <f>ROUND(INDEX(Input!$1:$1048576,AK$93,$C314*2+MIN($B315,1)+5)+(Y315-VLOOKUP($C315*1000+1,$A:$HH,Y$92,FALSE)),0)</f>
        <v>2977</v>
      </c>
      <c r="AL315" s="150">
        <f>ROUND(INDEX(Input!$1:$1048576,AL$93,$C314*2+MIN($B315,1)+5)-(Y315-VLOOKUP($C315*1000+1,$A:$HH,Y$92,FALSE))/36,0)</f>
        <v>3395</v>
      </c>
      <c r="AM315" s="32" t="str">
        <f t="shared" si="907"/>
        <v>std/std/std/std</v>
      </c>
      <c r="AN315" s="32" t="str">
        <f t="shared" si="908"/>
        <v>$500 + 0/0/0/1.9/3.9</v>
      </c>
      <c r="AO315" s="32" t="str">
        <f t="shared" si="909"/>
        <v>0/0/0/1.9/3.9</v>
      </c>
      <c r="AP315" s="32" t="str">
        <f t="shared" si="863"/>
        <v>0/0.9/1.9/3.9</v>
      </c>
      <c r="AQ315" s="536">
        <f t="shared" si="862"/>
        <v>0.29209047570527807</v>
      </c>
      <c r="AR315" s="32"/>
      <c r="AS315" s="302"/>
      <c r="AT315" s="3">
        <f t="shared" si="930"/>
        <v>15</v>
      </c>
      <c r="AU315" s="41" t="s">
        <v>121</v>
      </c>
      <c r="AV315" s="41" t="s">
        <v>116</v>
      </c>
      <c r="AW315" s="41" t="str">
        <f>INDEX(Input!$1:$1048576,AW$93,$C315*2+6)</f>
        <v>Kia</v>
      </c>
      <c r="AX315" s="41" t="str">
        <f>INDEX(Input!$1:$1048576,AX$93,$C315*2+6)</f>
        <v>Kia-LR - L3</v>
      </c>
      <c r="AY315" s="41" t="str">
        <f>IF(LEN(D315)=0,"",INDEX(Input!$1:$1048576,AY$93,$C315*2+6))</f>
        <v>Compact SUV (52)</v>
      </c>
      <c r="AZ315" s="41" t="str">
        <f>INDEX(Input!$1:$1048576,AZ$93,$C315*2+6)</f>
        <v>Kia Soul</v>
      </c>
      <c r="BA315" s="3">
        <f>INDEX(Input!$1:$1048576,BA$93,$C315*2+6)</f>
        <v>2020</v>
      </c>
      <c r="BB315" s="128">
        <f>INDEX(Input!$1:$1048576,BB$93,$C315*2+6)</f>
        <v>1</v>
      </c>
      <c r="BC315" s="128">
        <f>INDEX(Input!$1:$1048576,BC$93,$C315*2+6)</f>
        <v>0.7</v>
      </c>
      <c r="BD315" s="1">
        <f>INDEX(Input!$1:$1048576,BD$93,$C315*2+6)</f>
        <v>4.4999999999999998E-2</v>
      </c>
      <c r="BE315" s="1">
        <f>INDEX(Input!$1:$1048576,BE$93,$C315*2+6)</f>
        <v>4.4999999999999998E-2</v>
      </c>
      <c r="BF315" s="1">
        <f>INDEX(Input!$1:$1048576,BF$93,$C315*2+6)</f>
        <v>0.05</v>
      </c>
      <c r="BG315" s="1">
        <f>INDEX(Input!$1:$1048576,BG$93,$C315*2+6)</f>
        <v>5.45E-2</v>
      </c>
      <c r="BH315" s="1">
        <f>INDEX(Input!$1:$1048576,BH$93,$C315*2+6)</f>
        <v>5.45E-2</v>
      </c>
      <c r="BI315" s="1">
        <f>INDEX(Input!$1:$1048576,BI$93,$C315*2+6)</f>
        <v>0.05</v>
      </c>
      <c r="BJ315" s="1">
        <f>INDEX(Input!$1:$1048576,BJ$93,$C315*2+6)</f>
        <v>0.05</v>
      </c>
      <c r="BK315" s="1">
        <f>INDEX(Input!$1:$1048576,BK$93,$C315*2+6)</f>
        <v>0.05</v>
      </c>
      <c r="BL315" s="1">
        <f>INDEX(Input!$1:$1048576,BL$93,$C315*2+6)</f>
        <v>5.5E-2</v>
      </c>
      <c r="BM315" s="1">
        <f>INDEX(Input!$1:$1048576,BM$93,$C315*2+6)</f>
        <v>0.06</v>
      </c>
      <c r="BN315" s="1">
        <f>INDEX(Input!$1:$1048576,BN$93,$C315*2+6)</f>
        <v>4.4999999999999998E-2</v>
      </c>
      <c r="BO315" s="1">
        <f>INDEX(Input!$1:$1048576,BO$93,$C315*2+6)</f>
        <v>4.4999999999999998E-2</v>
      </c>
      <c r="BP315" s="1">
        <f>INDEX(Input!$1:$1048576,BP$93,$C315*2+6)</f>
        <v>0.05</v>
      </c>
      <c r="BQ315" s="1">
        <f>INDEX(Input!$1:$1048576,BQ$93,$C315*2+6)</f>
        <v>5.45E-2</v>
      </c>
      <c r="BR315" s="1">
        <f>INDEX(Input!$1:$1048576,BR$93,$C315*2+6)</f>
        <v>5.45E-2</v>
      </c>
      <c r="BS315" s="1">
        <f>INDEX(Input!$1:$1048576,BS$93,$C315*2+6)</f>
        <v>0.05</v>
      </c>
      <c r="BT315" s="1">
        <f>INDEX(Input!$1:$1048576,BT$93,$C315*2+6)</f>
        <v>0.05</v>
      </c>
      <c r="BU315" s="1">
        <f>INDEX(Input!$1:$1048576,BU$93,$C315*2+6)</f>
        <v>0.05</v>
      </c>
      <c r="BV315" s="1">
        <f>INDEX(Input!$1:$1048576,BV$93,$C315*2+6)</f>
        <v>5.5E-2</v>
      </c>
      <c r="BW315" s="1">
        <f>INDEX(Input!$1:$1048576,BW$93,$C315*2+6)</f>
        <v>0.06</v>
      </c>
      <c r="BX315" s="127">
        <f>INDEX(Input!$1:$1048576,BX$93,$C315*2+6)</f>
        <v>19985</v>
      </c>
      <c r="BY315" s="20">
        <f>INDEX(Input!$1:$1048576,BY$93,$C315*2+6)</f>
        <v>0.1</v>
      </c>
      <c r="BZ315" s="20">
        <f>INDEX(Input!$1:$1048576,BZ$93,$C315*2+6)</f>
        <v>0.1</v>
      </c>
      <c r="CA315" s="20">
        <f>INDEX(Input!$1:$1048576,CA$93,$C315*2+6)</f>
        <v>0.1</v>
      </c>
      <c r="CB315" s="20">
        <f>INDEX(Input!$1:$1048576,CB$93,$C315*2+6)</f>
        <v>0.1</v>
      </c>
      <c r="CC315" s="20">
        <f>INDEX(Input!$1:$1048576,CC$93,$C315*2+6)</f>
        <v>0.1</v>
      </c>
      <c r="CD315" s="384">
        <f>INDEX(Input!$1:$1048576,CD$93,$C315*2+6)</f>
        <v>0.1</v>
      </c>
      <c r="CE315" s="384">
        <f>INDEX(Input!$1:$1048576,CE$93,$C315*2+6)</f>
        <v>0.1</v>
      </c>
      <c r="CF315" s="384">
        <f>INDEX(Input!$1:$1048576,CF$93,$C315*2+6)</f>
        <v>0.1</v>
      </c>
      <c r="CG315" s="384">
        <f>INDEX(Input!$1:$1048576,CG$93,$C315*2+6)</f>
        <v>0.1</v>
      </c>
      <c r="CH315" s="384">
        <f>INDEX(Input!$1:$1048576,CH$93,$C315*2+6)</f>
        <v>0.1</v>
      </c>
      <c r="CI315" s="304">
        <f t="shared" si="864"/>
        <v>1287.0236024844721</v>
      </c>
      <c r="CJ315" s="16" t="str">
        <f>INDEX(Input!$1:$1048576,CJ$93,$C315*2+6)</f>
        <v>N</v>
      </c>
      <c r="CK315" s="1" t="str">
        <f t="shared" si="865"/>
        <v>Market</v>
      </c>
      <c r="CL315" s="1" t="str">
        <f t="shared" si="866"/>
        <v>Market</v>
      </c>
      <c r="CM315" s="1" t="str">
        <f t="shared" si="867"/>
        <v>Market</v>
      </c>
      <c r="CN315" s="1" t="str">
        <f t="shared" si="868"/>
        <v>Market</v>
      </c>
      <c r="CO315" s="1" t="str">
        <f t="shared" si="869"/>
        <v>Market</v>
      </c>
      <c r="CP315" s="304">
        <f t="shared" si="870"/>
        <v>1000</v>
      </c>
      <c r="CQ315" s="1">
        <f t="shared" si="871"/>
        <v>0</v>
      </c>
      <c r="CR315" s="1">
        <f t="shared" si="872"/>
        <v>0</v>
      </c>
      <c r="CS315" s="1">
        <f t="shared" si="873"/>
        <v>0</v>
      </c>
      <c r="CT315" s="1">
        <f t="shared" si="874"/>
        <v>1.9E-2</v>
      </c>
      <c r="CU315" s="1">
        <f t="shared" si="875"/>
        <v>3.9E-2</v>
      </c>
      <c r="CV315" s="304">
        <f t="shared" si="876"/>
        <v>1554.9999999999991</v>
      </c>
      <c r="CW315" s="20" t="s">
        <v>122</v>
      </c>
      <c r="CX315" s="20" t="s">
        <v>122</v>
      </c>
      <c r="CY315" s="20" t="s">
        <v>122</v>
      </c>
      <c r="CZ315" s="20" t="s">
        <v>122</v>
      </c>
      <c r="DA315" s="20" t="s">
        <v>122</v>
      </c>
      <c r="DB315" s="503">
        <f t="shared" si="877"/>
        <v>0</v>
      </c>
      <c r="DC315" s="127">
        <v>0</v>
      </c>
      <c r="DD315" s="127">
        <v>0</v>
      </c>
      <c r="DE315" s="127">
        <v>0</v>
      </c>
      <c r="DF315" s="127">
        <v>0</v>
      </c>
      <c r="DG315" s="127">
        <v>0</v>
      </c>
      <c r="DH315" s="127">
        <v>0</v>
      </c>
      <c r="DI315" s="127">
        <v>0</v>
      </c>
      <c r="DJ315" s="127">
        <v>0</v>
      </c>
      <c r="DK315" s="127">
        <v>0</v>
      </c>
      <c r="DL315" s="127">
        <v>0</v>
      </c>
      <c r="DM315" s="304">
        <f>INDEX(Input!$1:$1048576,DM$93,$C315*2+6)</f>
        <v>21036.84210526316</v>
      </c>
      <c r="DN315" s="20">
        <v>0</v>
      </c>
      <c r="DO315" s="20">
        <v>0</v>
      </c>
      <c r="DP315" s="20">
        <v>0</v>
      </c>
      <c r="DQ315" s="20">
        <v>0</v>
      </c>
      <c r="DR315" s="20">
        <v>0</v>
      </c>
      <c r="DS315" s="20">
        <f>INDEX(Input!$1:$1048576,DS$93,$C315*2+6)</f>
        <v>0.6</v>
      </c>
      <c r="DT315" s="20">
        <f>INDEX(Input!$1:$1048576,DT$93,$C315*2+6)</f>
        <v>0.55000000000000004</v>
      </c>
      <c r="DU315" s="20">
        <f>INDEX(Input!$1:$1048576,DU$93,$C315*2+6)</f>
        <v>0.52</v>
      </c>
      <c r="DV315" s="20">
        <f>INDEX(Input!$1:$1048576,DV$93,$C315*2+6)</f>
        <v>0.5</v>
      </c>
      <c r="DW315" s="20">
        <f>INDEX(Input!$1:$1048576,DW$93,$C315*2+6)</f>
        <v>0.45</v>
      </c>
      <c r="DX315" s="20"/>
      <c r="DY315" s="7">
        <v>9.8842036392078947E-2</v>
      </c>
      <c r="DZ315" s="7">
        <v>0</v>
      </c>
      <c r="EA315" s="7">
        <v>0.68005164662705475</v>
      </c>
      <c r="EB315" s="7">
        <v>0</v>
      </c>
      <c r="EC315" s="7">
        <v>0</v>
      </c>
      <c r="ED315" s="7">
        <v>0</v>
      </c>
      <c r="EE315" s="7">
        <v>0</v>
      </c>
      <c r="EF315" s="7">
        <v>0</v>
      </c>
      <c r="EG315" s="7">
        <v>0</v>
      </c>
      <c r="EH315" s="7">
        <v>1.2000951685027459E-2</v>
      </c>
      <c r="EI315" s="7">
        <v>3.360338363976173E-2</v>
      </c>
      <c r="EJ315" s="7">
        <v>0.27052231972770918</v>
      </c>
      <c r="EK315" s="7">
        <v>0.54249217549159023</v>
      </c>
      <c r="EL315" s="7">
        <v>0.14138116945591112</v>
      </c>
      <c r="EM315" s="7">
        <v>6.3457936810496718E-2</v>
      </c>
      <c r="EN315" s="7">
        <v>6.277690929931258E-2</v>
      </c>
      <c r="EO315" s="7">
        <v>0.78058166306711296</v>
      </c>
      <c r="EP315" s="7">
        <v>6.4467551024694578E-2</v>
      </c>
      <c r="EQ315" s="7">
        <v>6.0284765898021231E-2</v>
      </c>
      <c r="ER315" s="7">
        <v>3.1889110710858933E-2</v>
      </c>
      <c r="ES315" s="7">
        <v>0.15764838017036945</v>
      </c>
      <c r="ET315" s="7">
        <v>0.2211063169808663</v>
      </c>
      <c r="EU315" s="6">
        <v>1611</v>
      </c>
      <c r="EV315" s="6">
        <v>0</v>
      </c>
      <c r="EW315" s="6">
        <v>1611</v>
      </c>
      <c r="EX315" s="6">
        <v>0</v>
      </c>
      <c r="EY315" s="6">
        <v>2835.6356913643358</v>
      </c>
      <c r="EZ315" s="6">
        <v>2289</v>
      </c>
      <c r="FA315" s="6">
        <v>0</v>
      </c>
      <c r="FB315" s="6">
        <v>0</v>
      </c>
      <c r="FC315" s="6">
        <v>0</v>
      </c>
      <c r="FD315" s="6">
        <v>0</v>
      </c>
      <c r="FE315" s="6">
        <v>0</v>
      </c>
      <c r="FF315" s="6">
        <v>0</v>
      </c>
      <c r="FG315" s="6">
        <v>0</v>
      </c>
      <c r="FH315" s="6">
        <v>1172.0059105450484</v>
      </c>
      <c r="FI315" s="6">
        <v>1553.9796069512397</v>
      </c>
      <c r="FJ315" s="6">
        <v>2101.211011744741</v>
      </c>
      <c r="FK315" s="6">
        <v>1772.7139978623234</v>
      </c>
      <c r="FL315" s="6">
        <v>907.07682140966335</v>
      </c>
      <c r="FM315" s="6">
        <v>1724.6356913643356</v>
      </c>
      <c r="FN315" s="6">
        <v>0</v>
      </c>
      <c r="FO315" s="6">
        <v>0</v>
      </c>
      <c r="FP315" s="6">
        <v>0</v>
      </c>
      <c r="FQ315" s="6">
        <v>0</v>
      </c>
      <c r="FR315" s="6">
        <v>0</v>
      </c>
      <c r="FS315" s="6">
        <v>0</v>
      </c>
      <c r="FT315" s="7">
        <v>0.77889368301913375</v>
      </c>
      <c r="FU315" s="7">
        <v>6.3457936810496718E-2</v>
      </c>
      <c r="FV315" s="7">
        <v>0.15764838017036945</v>
      </c>
      <c r="FW315" s="6">
        <v>1610.9999999999998</v>
      </c>
      <c r="FX315" s="6">
        <v>2835.6356913643358</v>
      </c>
      <c r="FY315" s="6">
        <v>2289</v>
      </c>
      <c r="FZ315" s="6">
        <v>1858.9243755539039</v>
      </c>
      <c r="GA315" s="6">
        <v>1795.5984560739871</v>
      </c>
      <c r="GB315" s="6">
        <v>18189.401543926011</v>
      </c>
      <c r="GC315" s="7">
        <v>2.9156573141622111E-2</v>
      </c>
      <c r="GD315" s="7">
        <v>2.9535743414005347E-2</v>
      </c>
      <c r="GE315" s="7"/>
      <c r="GF315" s="7"/>
      <c r="GG315" s="7">
        <v>1.3004624053090646E-2</v>
      </c>
      <c r="GH315" s="42">
        <v>-4.1041237748382073</v>
      </c>
      <c r="GI315" s="6">
        <v>-3073.8940583879785</v>
      </c>
      <c r="GJ315" s="14">
        <v>0.50394797582841722</v>
      </c>
      <c r="GK315" s="14">
        <v>0.50887573065309732</v>
      </c>
      <c r="GL315" s="14">
        <v>0.49605202417158278</v>
      </c>
      <c r="GM315" s="14">
        <v>0.49112426934690251</v>
      </c>
      <c r="GO315" s="5">
        <v>343.14810671672558</v>
      </c>
      <c r="GP315" s="5">
        <v>312.41330006058649</v>
      </c>
      <c r="GQ315" s="5">
        <v>535.04305713031317</v>
      </c>
      <c r="GR315" s="5">
        <v>410.15490233172511</v>
      </c>
      <c r="GS315" s="5">
        <v>339.42744393800166</v>
      </c>
      <c r="GT315" s="5">
        <v>293.4407446948278</v>
      </c>
      <c r="GU315" s="5">
        <v>258.04012322764959</v>
      </c>
      <c r="GV315" s="39" t="s">
        <v>392</v>
      </c>
      <c r="GW315" s="5">
        <v>468.76388888888891</v>
      </c>
      <c r="GX315" s="5">
        <v>351.57291666666669</v>
      </c>
      <c r="GY315" s="5">
        <v>281.25833333333333</v>
      </c>
      <c r="GZ315" s="5">
        <v>248.18079879493993</v>
      </c>
      <c r="HA315" s="5">
        <v>229.8919505212948</v>
      </c>
      <c r="HB315" s="39">
        <v>260.66484342113245</v>
      </c>
      <c r="HC315" s="5">
        <v>187.140625</v>
      </c>
      <c r="HD315" s="5">
        <v>171.45330774853798</v>
      </c>
      <c r="HE315" s="5">
        <v>177.50180921052629</v>
      </c>
      <c r="HF315" s="5">
        <v>167.9756304824561</v>
      </c>
      <c r="HG315" s="5">
        <v>166.75888157894735</v>
      </c>
      <c r="HH315" s="39">
        <v>172.46868908170563</v>
      </c>
      <c r="HI315" s="16"/>
      <c r="HJ315" s="19" t="str">
        <f t="shared" si="931"/>
        <v>On</v>
      </c>
      <c r="HK315" s="1" t="str">
        <f t="shared" si="931"/>
        <v>On</v>
      </c>
      <c r="HL315" s="16"/>
      <c r="HM315" s="639">
        <f t="shared" si="878"/>
        <v>2.2758057894877178E-2</v>
      </c>
      <c r="HN315" s="639">
        <f t="shared" si="879"/>
        <v>1.416759231746561E-3</v>
      </c>
      <c r="HO315" s="639">
        <f t="shared" si="880"/>
        <v>4.5732401537654987E-3</v>
      </c>
      <c r="HP315" s="644">
        <f>(FT315*$GD315-HM315)/$JF315*INDEX(Input!$1:$1048576,$JG$93,$C315*2+6)</f>
        <v>13.841115403370345</v>
      </c>
      <c r="HQ315" s="644">
        <f>(FU315*$GD315-HN315)/$JF315*INDEX(Input!$1:$1048576,$JG$93,$C315*2+6)</f>
        <v>25.622745420431656</v>
      </c>
      <c r="HR315" s="644">
        <f>(FV315*$GD315-HO315)/$JF315*INDEX(Input!$1:$1048576,$JG$93,$C315*2+6)</f>
        <v>4.6495435274210557</v>
      </c>
      <c r="HS315" s="644">
        <f t="shared" si="881"/>
        <v>-19.235836522874813</v>
      </c>
      <c r="HT315" s="644">
        <f t="shared" si="882"/>
        <v>80.992392568938712</v>
      </c>
      <c r="HU315" s="644">
        <f t="shared" si="883"/>
        <v>8.2714299184925331</v>
      </c>
      <c r="HV315" s="648">
        <f t="shared" si="884"/>
        <v>0</v>
      </c>
      <c r="HW315" s="648">
        <f t="shared" si="885"/>
        <v>0</v>
      </c>
      <c r="HX315" s="648">
        <f t="shared" si="886"/>
        <v>0</v>
      </c>
      <c r="HY315" s="644">
        <f>INDEX(Input!$1:$1048576,HY$93,$C315*2+6)*INDEX(Input!$1:$1048576,$JG$93,$C315*2+6)</f>
        <v>509.00000000000006</v>
      </c>
      <c r="HZ315" s="644">
        <f>INDEX(Input!$1:$1048576,HZ$93,$C315*2+6)*INDEX(Input!$1:$1048576,$JG$93,$C315*2+6)</f>
        <v>844</v>
      </c>
      <c r="IA315" s="644">
        <f>INDEX(Input!$1:$1048576,IA$93,$C315*2+6)*INDEX(Input!$1:$1048576,$JG$93,$C315*2+6)</f>
        <v>257</v>
      </c>
      <c r="IB315" s="644">
        <f t="shared" si="910"/>
        <v>503.60527888049558</v>
      </c>
      <c r="IC315" s="644">
        <f t="shared" si="911"/>
        <v>950.6151379893704</v>
      </c>
      <c r="ID315" s="644">
        <f>IF(AND(INDEX(Input!$1:$1048576,IA$93,$C315*2+7)="TOS",Y315&lt;=INDEX(Y:Y,MATCH(C315*1000+2,A:A))),0,1)*MAX(IA315+HR315+HU315+HX315,0%)</f>
        <v>269.92097344591355</v>
      </c>
      <c r="IE315" s="128">
        <f t="shared" ref="IE315" si="960">IB315/SUM($IB315:$ID315)</f>
        <v>0.29209047570527807</v>
      </c>
      <c r="IF315" s="128">
        <f t="shared" si="933"/>
        <v>0.55135567380310013</v>
      </c>
      <c r="IG315" s="128">
        <f t="shared" si="888"/>
        <v>0.15655385049162182</v>
      </c>
      <c r="IH315" s="21"/>
      <c r="II315" s="19">
        <f t="shared" si="889"/>
        <v>1410.4999999999998</v>
      </c>
      <c r="IJ315" s="19">
        <f t="shared" si="890"/>
        <v>2134.9731585778086</v>
      </c>
      <c r="IK315" s="19">
        <f t="shared" si="891"/>
        <v>2103.5</v>
      </c>
      <c r="IL315" s="19">
        <f t="shared" si="913"/>
        <v>200.5</v>
      </c>
      <c r="IM315" s="19">
        <f t="shared" si="892"/>
        <v>700.66253278652721</v>
      </c>
      <c r="IN315" s="19">
        <f t="shared" si="893"/>
        <v>185.5</v>
      </c>
      <c r="IO315" s="39">
        <f t="shared" si="894"/>
        <v>0</v>
      </c>
      <c r="IP315" s="39">
        <f t="shared" si="895"/>
        <v>0</v>
      </c>
      <c r="IQ315" s="39">
        <f t="shared" si="896"/>
        <v>0</v>
      </c>
      <c r="IR315" s="39">
        <v>0</v>
      </c>
      <c r="IS315" s="39">
        <v>0</v>
      </c>
      <c r="IT315" s="39">
        <v>0</v>
      </c>
      <c r="IU315" s="39">
        <v>0</v>
      </c>
      <c r="IV315" s="39">
        <v>0</v>
      </c>
      <c r="IW315" s="39">
        <v>0</v>
      </c>
      <c r="IX315" s="39">
        <f>INDEX(Input!$1:$1048576,IX$93,$C315*2+6)+INDEX(Input!$1:$1048576,IX$94,$C315*2+6)</f>
        <v>1611</v>
      </c>
      <c r="IY315" s="39">
        <f>INDEX(Input!$1:$1048576,IY$93,$C315*2+6)+INDEX(Input!$1:$1048576,IY$94,$C315*2+6)</f>
        <v>2471.0624533823611</v>
      </c>
      <c r="IZ315" s="39">
        <f>INDEX(Input!$1:$1048576,IZ$93,$C315*2+6)+INDEX(Input!$1:$1048576,IZ$94,$C315*2+6)</f>
        <v>3994.7164157747857</v>
      </c>
      <c r="JA315" s="19">
        <f t="shared" si="914"/>
        <v>1811.5</v>
      </c>
      <c r="JB315" s="19">
        <f t="shared" si="915"/>
        <v>3171.7249861688883</v>
      </c>
      <c r="JC315" s="19">
        <f t="shared" si="916"/>
        <v>4180.2164157747857</v>
      </c>
      <c r="JD315" s="19">
        <f t="shared" si="917"/>
        <v>2932.2994393852159</v>
      </c>
      <c r="JE315" s="21"/>
      <c r="JF315" s="1">
        <f t="shared" si="897"/>
        <v>2.8748057280389237E-2</v>
      </c>
      <c r="JG315" s="15">
        <f>INDEX(Input!$1:$1048576,JG$93,$C315*2+6)/(1+VLOOKUP(C315*1000+INDEX(Input!$1:$1048576,JG$93+1,$C315*2+6),$A:$KK,$JK$92,FALSE))</f>
        <v>1610</v>
      </c>
      <c r="JH315" s="1">
        <f t="shared" si="918"/>
        <v>2.7399630031815562E-2</v>
      </c>
      <c r="JI315" s="1">
        <f t="shared" si="919"/>
        <v>4.3495643456246236E-2</v>
      </c>
      <c r="JJ315" s="1">
        <f t="shared" si="957"/>
        <v>0</v>
      </c>
      <c r="JK315" s="1">
        <f t="shared" ref="JK315:JK320" si="961">SUM(JH315:JJ315)</f>
        <v>7.0895273488061794E-2</v>
      </c>
      <c r="JL315" s="15">
        <f t="shared" si="922"/>
        <v>114.14139031577949</v>
      </c>
      <c r="JM315" s="15">
        <f t="shared" si="948"/>
        <v>1724.1413903157795</v>
      </c>
      <c r="JN315" s="21"/>
      <c r="JO315" s="19">
        <f>INDEX(Input!$1:$1048576,JO$93,$C315*2+6)</f>
        <v>5995.5</v>
      </c>
      <c r="JP315" s="19">
        <f>INDEX(Input!$1:$1048576,JP$93,$C315*2+6)</f>
        <v>2442.3713226762939</v>
      </c>
      <c r="JQ315" s="39">
        <f t="shared" si="934"/>
        <v>3063.2005606147841</v>
      </c>
      <c r="JR315" s="39">
        <f t="shared" si="951"/>
        <v>489.92811670892206</v>
      </c>
      <c r="JS315" s="39">
        <f t="shared" si="936"/>
        <v>5.0556988322438068</v>
      </c>
      <c r="JT315" s="39">
        <f t="shared" si="924"/>
        <v>1.1234810027349735</v>
      </c>
      <c r="JU315" s="385">
        <f>(JQ315*JM315-INDEX(Input!$1:$1048576,Input!A$18,$C315*2+6)*JL315*INDEX(Input!$1:$1048576,Input!A$19,$C315*2+6))/1000000</f>
        <v>5.2813908733944492</v>
      </c>
      <c r="JV315" s="39">
        <f t="shared" si="958"/>
        <v>-0.43914629709671793</v>
      </c>
      <c r="JW315" s="1">
        <f t="shared" si="949"/>
        <v>-7.6766618939565892E-2</v>
      </c>
      <c r="JX315" s="19">
        <f t="shared" si="940"/>
        <v>9842.888715712952</v>
      </c>
      <c r="JZ315" s="341"/>
      <c r="KA315" s="342"/>
      <c r="KB315" s="469">
        <f t="shared" si="937"/>
        <v>2.5190675447988795</v>
      </c>
      <c r="KI315" s="473">
        <f t="shared" ref="KI315" si="962">$JM315*IE315-$JG315*HY315/SUM($HY315:$IA315)</f>
        <v>-5.3947211195044815</v>
      </c>
      <c r="KJ315" s="473">
        <f t="shared" si="925"/>
        <v>106.61513798937051</v>
      </c>
      <c r="KK315" s="473">
        <f t="shared" si="926"/>
        <v>12.920973445913546</v>
      </c>
      <c r="KN315" s="544">
        <f t="shared" si="941"/>
        <v>3002</v>
      </c>
      <c r="KO315" s="541">
        <f t="shared" si="901"/>
        <v>3.9183152359556717E-2</v>
      </c>
      <c r="KP315" s="546">
        <f t="shared" si="902"/>
        <v>275.74065286857916</v>
      </c>
      <c r="KQ315" s="546">
        <f t="shared" si="903"/>
        <v>296.3860139965177</v>
      </c>
      <c r="KR315" s="548">
        <f t="shared" si="904"/>
        <v>2.4653307210240429</v>
      </c>
      <c r="KS315" s="548">
        <f t="shared" si="905"/>
        <v>2.2936031744066088</v>
      </c>
      <c r="KT315" s="473">
        <f t="shared" si="939"/>
        <v>1026.1618045255443</v>
      </c>
      <c r="KU315" s="663">
        <f t="shared" si="927"/>
        <v>4.6357938585652976</v>
      </c>
      <c r="KV315" s="117" t="e">
        <f t="shared" si="959"/>
        <v>#N/A</v>
      </c>
    </row>
    <row r="316" spans="1:308" s="26" customFormat="1" ht="15">
      <c r="A316" s="561">
        <f t="shared" si="906"/>
        <v>3016</v>
      </c>
      <c r="B316" s="561">
        <f t="shared" si="928"/>
        <v>16</v>
      </c>
      <c r="C316" s="561">
        <f t="shared" si="929"/>
        <v>3</v>
      </c>
      <c r="D316" s="561" t="str">
        <f t="shared" si="950"/>
        <v xml:space="preserve">-360 Lease, </v>
      </c>
      <c r="E316" s="115">
        <f>INDEX(Input!$1:$1048576,E$93,$C316*2+MIN($B316,2)+5)</f>
        <v>1287.0236024844721</v>
      </c>
      <c r="F316" s="115">
        <f>INDEX(Input!$1:$1048576,F$93,$C316*2+MIN($B316,2)+5)</f>
        <v>0</v>
      </c>
      <c r="G316" s="115">
        <f>INDEX(Input!$1:$1048576,G$93,$C316*2+MIN($B316,2)+5)</f>
        <v>0</v>
      </c>
      <c r="H316" s="115">
        <f>INDEX(Input!$1:$1048576,H$93,$C316*2+MIN($B316,2)+5)</f>
        <v>0</v>
      </c>
      <c r="I316" s="118">
        <f>INDEX(Input!$1:$1048576,I$93,$C316*2+MIN($B316,2)+5)</f>
        <v>0.7</v>
      </c>
      <c r="J316" s="118" t="str">
        <f>INDEX(Input!$1:$1048576,J$93,$C316*2+MIN($B316,2)+5)</f>
        <v>Market</v>
      </c>
      <c r="K316" s="118" t="str">
        <f>INDEX(Input!$1:$1048576,K$93,$C316*2+MIN($B316,2)+5)</f>
        <v>Market</v>
      </c>
      <c r="L316" s="118" t="str">
        <f>INDEX(Input!$1:$1048576,L$93,$C316*2+MIN($B316,2)+5)</f>
        <v>Market</v>
      </c>
      <c r="M316" s="118" t="str">
        <f>INDEX(Input!$1:$1048576,M$93,$C316*2+MIN($B316,2)+5)</f>
        <v>Market</v>
      </c>
      <c r="N316" s="118" t="str">
        <f>INDEX(Input!$1:$1048576,N$93,$C316*2+MIN($B316,2)+5)</f>
        <v>Market</v>
      </c>
      <c r="O316" s="118" t="str">
        <f>INDEX(Input!$1:$1048576,O$93,$C316*2+MIN($B316,2)+5)</f>
        <v>Market</v>
      </c>
      <c r="P316" s="118" t="str">
        <f>INDEX(Input!$1:$1048576,P$93,$C316*2+MIN($B316,2)+5)</f>
        <v>N</v>
      </c>
      <c r="Q316" s="30">
        <f>INDEX(Input!$1:$1048576,Q$93,$C316*2+MIN($B316,2)+5)</f>
        <v>0</v>
      </c>
      <c r="R316" s="383">
        <f>INDEX(Input!$1:$1048576,R$93,$C316*2+MIN($B316,2)+5)</f>
        <v>0</v>
      </c>
      <c r="S316" s="383">
        <f>INDEX(Input!$1:$1048576,S$93,$C316*2+MIN($B316,2)+5)</f>
        <v>0</v>
      </c>
      <c r="T316" s="383">
        <f>INDEX(Input!$1:$1048576,T$93,$C316*2+MIN($B316,2)+5)</f>
        <v>0</v>
      </c>
      <c r="U316" s="383">
        <f>INDEX(Input!$1:$1048576,U$93,$C316*2+MIN($B316,2)+5)</f>
        <v>0</v>
      </c>
      <c r="V316" s="383">
        <f>INDEX(Input!$1:$1048576,V$93,$C316*2+MIN($B316,2)+5)</f>
        <v>1.9E-2</v>
      </c>
      <c r="W316" s="884">
        <f>INDEX(Input!$1:$1048576,W$93,$C316*2+MIN($B316,2)+5)</f>
        <v>3.9E-2</v>
      </c>
      <c r="X316" s="118" t="str">
        <f>INDEX(Input!$1:$1048576,X$93,$C316*2+MIN($B316,2)+5)</f>
        <v>Y</v>
      </c>
      <c r="Y316" s="475">
        <f>INDEX(Input!$1:$1048576,Y$93,$C316*2+MIN($B316,2)+5)-360</f>
        <v>1194.9999999999991</v>
      </c>
      <c r="Z316" s="30">
        <f>INDEX(Input!$1:$1048576,Z$93,$C316*2+MIN($B316,2)+5)</f>
        <v>0</v>
      </c>
      <c r="AA316" s="115">
        <f>INDEX(Input!$1:$1048576,AA$93,$C316*2+MIN($B316,2)+5)</f>
        <v>0</v>
      </c>
      <c r="AB316" s="118">
        <f>INDEX(Input!$1:$1048576,AB$93,$C316*2+MIN($B316,2)+5)</f>
        <v>0.27</v>
      </c>
      <c r="AC316" s="115">
        <f>INDEX(Input!$1:$1048576,AC$93,$C316*2+MIN($B316,2)+5)</f>
        <v>0</v>
      </c>
      <c r="AD316" s="118">
        <f>INDEX(Input!$1:$1048576,AD$93,$C316*2+MIN($B316,2)+5)</f>
        <v>0.27</v>
      </c>
      <c r="AE316" s="115">
        <f>INDEX(Input!$1:$1048576,AE$93,$C316*2+MIN($B316,2)+5)</f>
        <v>0</v>
      </c>
      <c r="AF316" s="118">
        <f>INDEX(Input!$1:$1048576,AF$93,$C316*2+MIN($B316,2)+5)</f>
        <v>0.68200000000000005</v>
      </c>
      <c r="AG316" s="115">
        <f>INDEX(Input!$1:$1048576,AG$93,$C316*2+MIN($B316,2)+5)</f>
        <v>500</v>
      </c>
      <c r="AH316" s="118">
        <f>INDEX(Input!$1:$1048576,AH$93,$C316*2+MIN($B316,2)+5)</f>
        <v>1</v>
      </c>
      <c r="AI316" s="115">
        <f>INDEX(Input!$1:$1048576,AI$93,$C316*2+MIN($B316,2)+5)</f>
        <v>0</v>
      </c>
      <c r="AJ316" s="118">
        <f>INDEX(Input!$1:$1048576,AJ$93,$C316*2+MIN($B316,2)+5)</f>
        <v>0.27</v>
      </c>
      <c r="AK316" s="150">
        <f>ROUND(INDEX(Input!$1:$1048576,AK$93,$C315*2+MIN($B316,1)+5)+(Y316-VLOOKUP($C316*1000+1,$A:$HH,Y$92,FALSE)),0)</f>
        <v>2617</v>
      </c>
      <c r="AL316" s="150">
        <f>ROUND(INDEX(Input!$1:$1048576,AL$93,$C315*2+MIN($B316,1)+5)-(Y316-VLOOKUP($C316*1000+1,$A:$HH,Y$92,FALSE))/36,0)</f>
        <v>3405</v>
      </c>
      <c r="AM316" s="32" t="str">
        <f t="shared" si="907"/>
        <v>std/std/std/std</v>
      </c>
      <c r="AN316" s="32" t="str">
        <f t="shared" si="908"/>
        <v>$0 + 0/0/0/1.9/3.9</v>
      </c>
      <c r="AO316" s="32" t="str">
        <f t="shared" si="909"/>
        <v>0/0/0/1.9/3.9</v>
      </c>
      <c r="AP316" s="32" t="str">
        <f t="shared" si="863"/>
        <v>0/0.9/1.9/3.9</v>
      </c>
      <c r="AQ316" s="536">
        <f t="shared" si="862"/>
        <v>0.33734125795435987</v>
      </c>
      <c r="AR316" s="32"/>
      <c r="AS316" s="302"/>
      <c r="AT316" s="3">
        <f t="shared" si="930"/>
        <v>16</v>
      </c>
      <c r="AU316" s="41" t="s">
        <v>121</v>
      </c>
      <c r="AV316" s="41" t="s">
        <v>116</v>
      </c>
      <c r="AW316" s="41" t="str">
        <f>INDEX(Input!$1:$1048576,AW$93,$C316*2+6)</f>
        <v>Kia</v>
      </c>
      <c r="AX316" s="41" t="str">
        <f>INDEX(Input!$1:$1048576,AX$93,$C316*2+6)</f>
        <v>Kia-LR - L3</v>
      </c>
      <c r="AY316" s="41" t="str">
        <f>IF(LEN(D316)=0,"",INDEX(Input!$1:$1048576,AY$93,$C316*2+6))</f>
        <v>Compact SUV (52)</v>
      </c>
      <c r="AZ316" s="41" t="str">
        <f>INDEX(Input!$1:$1048576,AZ$93,$C316*2+6)</f>
        <v>Kia Soul</v>
      </c>
      <c r="BA316" s="3">
        <f>INDEX(Input!$1:$1048576,BA$93,$C316*2+6)</f>
        <v>2020</v>
      </c>
      <c r="BB316" s="128">
        <f>INDEX(Input!$1:$1048576,BB$93,$C316*2+6)</f>
        <v>1</v>
      </c>
      <c r="BC316" s="128">
        <f>INDEX(Input!$1:$1048576,BC$93,$C316*2+6)</f>
        <v>0.7</v>
      </c>
      <c r="BD316" s="1">
        <f>INDEX(Input!$1:$1048576,BD$93,$C316*2+6)</f>
        <v>4.4999999999999998E-2</v>
      </c>
      <c r="BE316" s="1">
        <f>INDEX(Input!$1:$1048576,BE$93,$C316*2+6)</f>
        <v>4.4999999999999998E-2</v>
      </c>
      <c r="BF316" s="1">
        <f>INDEX(Input!$1:$1048576,BF$93,$C316*2+6)</f>
        <v>0.05</v>
      </c>
      <c r="BG316" s="1">
        <f>INDEX(Input!$1:$1048576,BG$93,$C316*2+6)</f>
        <v>5.45E-2</v>
      </c>
      <c r="BH316" s="1">
        <f>INDEX(Input!$1:$1048576,BH$93,$C316*2+6)</f>
        <v>5.45E-2</v>
      </c>
      <c r="BI316" s="1">
        <f>INDEX(Input!$1:$1048576,BI$93,$C316*2+6)</f>
        <v>0.05</v>
      </c>
      <c r="BJ316" s="1">
        <f>INDEX(Input!$1:$1048576,BJ$93,$C316*2+6)</f>
        <v>0.05</v>
      </c>
      <c r="BK316" s="1">
        <f>INDEX(Input!$1:$1048576,BK$93,$C316*2+6)</f>
        <v>0.05</v>
      </c>
      <c r="BL316" s="1">
        <f>INDEX(Input!$1:$1048576,BL$93,$C316*2+6)</f>
        <v>5.5E-2</v>
      </c>
      <c r="BM316" s="1">
        <f>INDEX(Input!$1:$1048576,BM$93,$C316*2+6)</f>
        <v>0.06</v>
      </c>
      <c r="BN316" s="1">
        <f>INDEX(Input!$1:$1048576,BN$93,$C316*2+6)</f>
        <v>4.4999999999999998E-2</v>
      </c>
      <c r="BO316" s="1">
        <f>INDEX(Input!$1:$1048576,BO$93,$C316*2+6)</f>
        <v>4.4999999999999998E-2</v>
      </c>
      <c r="BP316" s="1">
        <f>INDEX(Input!$1:$1048576,BP$93,$C316*2+6)</f>
        <v>0.05</v>
      </c>
      <c r="BQ316" s="1">
        <f>INDEX(Input!$1:$1048576,BQ$93,$C316*2+6)</f>
        <v>5.45E-2</v>
      </c>
      <c r="BR316" s="1">
        <f>INDEX(Input!$1:$1048576,BR$93,$C316*2+6)</f>
        <v>5.45E-2</v>
      </c>
      <c r="BS316" s="1">
        <f>INDEX(Input!$1:$1048576,BS$93,$C316*2+6)</f>
        <v>0.05</v>
      </c>
      <c r="BT316" s="1">
        <f>INDEX(Input!$1:$1048576,BT$93,$C316*2+6)</f>
        <v>0.05</v>
      </c>
      <c r="BU316" s="1">
        <f>INDEX(Input!$1:$1048576,BU$93,$C316*2+6)</f>
        <v>0.05</v>
      </c>
      <c r="BV316" s="1">
        <f>INDEX(Input!$1:$1048576,BV$93,$C316*2+6)</f>
        <v>5.5E-2</v>
      </c>
      <c r="BW316" s="1">
        <f>INDEX(Input!$1:$1048576,BW$93,$C316*2+6)</f>
        <v>0.06</v>
      </c>
      <c r="BX316" s="127">
        <f>INDEX(Input!$1:$1048576,BX$93,$C316*2+6)</f>
        <v>19985</v>
      </c>
      <c r="BY316" s="20">
        <f>INDEX(Input!$1:$1048576,BY$93,$C316*2+6)</f>
        <v>0.1</v>
      </c>
      <c r="BZ316" s="20">
        <f>INDEX(Input!$1:$1048576,BZ$93,$C316*2+6)</f>
        <v>0.1</v>
      </c>
      <c r="CA316" s="20">
        <f>INDEX(Input!$1:$1048576,CA$93,$C316*2+6)</f>
        <v>0.1</v>
      </c>
      <c r="CB316" s="20">
        <f>INDEX(Input!$1:$1048576,CB$93,$C316*2+6)</f>
        <v>0.1</v>
      </c>
      <c r="CC316" s="20">
        <f>INDEX(Input!$1:$1048576,CC$93,$C316*2+6)</f>
        <v>0.1</v>
      </c>
      <c r="CD316" s="384">
        <f>INDEX(Input!$1:$1048576,CD$93,$C316*2+6)</f>
        <v>0.1</v>
      </c>
      <c r="CE316" s="384">
        <f>INDEX(Input!$1:$1048576,CE$93,$C316*2+6)</f>
        <v>0.1</v>
      </c>
      <c r="CF316" s="384">
        <f>INDEX(Input!$1:$1048576,CF$93,$C316*2+6)</f>
        <v>0.1</v>
      </c>
      <c r="CG316" s="384">
        <f>INDEX(Input!$1:$1048576,CG$93,$C316*2+6)</f>
        <v>0.1</v>
      </c>
      <c r="CH316" s="384">
        <f>INDEX(Input!$1:$1048576,CH$93,$C316*2+6)</f>
        <v>0.1</v>
      </c>
      <c r="CI316" s="304">
        <f t="shared" si="864"/>
        <v>1287.0236024844721</v>
      </c>
      <c r="CJ316" s="16" t="str">
        <f>INDEX(Input!$1:$1048576,CJ$93,$C316*2+6)</f>
        <v>N</v>
      </c>
      <c r="CK316" s="1" t="str">
        <f t="shared" si="865"/>
        <v>Market</v>
      </c>
      <c r="CL316" s="1" t="str">
        <f t="shared" si="866"/>
        <v>Market</v>
      </c>
      <c r="CM316" s="1" t="str">
        <f t="shared" si="867"/>
        <v>Market</v>
      </c>
      <c r="CN316" s="1" t="str">
        <f t="shared" si="868"/>
        <v>Market</v>
      </c>
      <c r="CO316" s="1" t="str">
        <f t="shared" si="869"/>
        <v>Market</v>
      </c>
      <c r="CP316" s="304">
        <f t="shared" si="870"/>
        <v>500</v>
      </c>
      <c r="CQ316" s="1">
        <f t="shared" si="871"/>
        <v>0</v>
      </c>
      <c r="CR316" s="1">
        <f t="shared" si="872"/>
        <v>0</v>
      </c>
      <c r="CS316" s="1">
        <f t="shared" si="873"/>
        <v>0</v>
      </c>
      <c r="CT316" s="1">
        <f t="shared" si="874"/>
        <v>1.9E-2</v>
      </c>
      <c r="CU316" s="1">
        <f t="shared" si="875"/>
        <v>3.9E-2</v>
      </c>
      <c r="CV316" s="304">
        <f t="shared" si="876"/>
        <v>1194.9999999999991</v>
      </c>
      <c r="CW316" s="20" t="s">
        <v>122</v>
      </c>
      <c r="CX316" s="20" t="s">
        <v>122</v>
      </c>
      <c r="CY316" s="20" t="s">
        <v>122</v>
      </c>
      <c r="CZ316" s="20" t="s">
        <v>122</v>
      </c>
      <c r="DA316" s="20" t="s">
        <v>122</v>
      </c>
      <c r="DB316" s="503">
        <f t="shared" si="877"/>
        <v>0</v>
      </c>
      <c r="DC316" s="127">
        <v>0</v>
      </c>
      <c r="DD316" s="127">
        <v>0</v>
      </c>
      <c r="DE316" s="127">
        <v>0</v>
      </c>
      <c r="DF316" s="127">
        <v>0</v>
      </c>
      <c r="DG316" s="127">
        <v>0</v>
      </c>
      <c r="DH316" s="127">
        <v>0</v>
      </c>
      <c r="DI316" s="127">
        <v>0</v>
      </c>
      <c r="DJ316" s="127">
        <v>0</v>
      </c>
      <c r="DK316" s="127">
        <v>0</v>
      </c>
      <c r="DL316" s="127">
        <v>0</v>
      </c>
      <c r="DM316" s="304">
        <f>INDEX(Input!$1:$1048576,DM$93,$C316*2+6)</f>
        <v>21036.84210526316</v>
      </c>
      <c r="DN316" s="20">
        <v>0</v>
      </c>
      <c r="DO316" s="20">
        <v>0</v>
      </c>
      <c r="DP316" s="20">
        <v>0</v>
      </c>
      <c r="DQ316" s="20">
        <v>0</v>
      </c>
      <c r="DR316" s="20">
        <v>0</v>
      </c>
      <c r="DS316" s="20">
        <f>INDEX(Input!$1:$1048576,DS$93,$C316*2+6)</f>
        <v>0.6</v>
      </c>
      <c r="DT316" s="20">
        <f>INDEX(Input!$1:$1048576,DT$93,$C316*2+6)</f>
        <v>0.55000000000000004</v>
      </c>
      <c r="DU316" s="20">
        <f>INDEX(Input!$1:$1048576,DU$93,$C316*2+6)</f>
        <v>0.52</v>
      </c>
      <c r="DV316" s="20">
        <f>INDEX(Input!$1:$1048576,DV$93,$C316*2+6)</f>
        <v>0.5</v>
      </c>
      <c r="DW316" s="20">
        <f>INDEX(Input!$1:$1048576,DW$93,$C316*2+6)</f>
        <v>0.45</v>
      </c>
      <c r="DX316" s="20"/>
      <c r="DY316" s="7">
        <v>0.10361918159417834</v>
      </c>
      <c r="DZ316" s="7">
        <v>0</v>
      </c>
      <c r="EA316" s="7">
        <v>0.71301035900923981</v>
      </c>
      <c r="EB316" s="7">
        <v>0</v>
      </c>
      <c r="EC316" s="7">
        <v>0</v>
      </c>
      <c r="ED316" s="7">
        <v>0</v>
      </c>
      <c r="EE316" s="7">
        <v>0</v>
      </c>
      <c r="EF316" s="7">
        <v>0</v>
      </c>
      <c r="EG316" s="7">
        <v>0</v>
      </c>
      <c r="EH316" s="7">
        <v>1.2001530928847136E-2</v>
      </c>
      <c r="EI316" s="7">
        <v>3.3608021086567713E-2</v>
      </c>
      <c r="EJ316" s="7">
        <v>0.27069761684663546</v>
      </c>
      <c r="EK316" s="7">
        <v>0.5423773576554648</v>
      </c>
      <c r="EL316" s="7">
        <v>0.14131547348248485</v>
      </c>
      <c r="EM316" s="7">
        <v>5.0933413329820994E-2</v>
      </c>
      <c r="EN316" s="7">
        <v>6.1188716930317702E-2</v>
      </c>
      <c r="EO316" s="7">
        <v>0.76994149857218919</v>
      </c>
      <c r="EP316" s="7">
        <v>6.9563499724023842E-2</v>
      </c>
      <c r="EQ316" s="7">
        <v>6.5273927388603326E-2</v>
      </c>
      <c r="ER316" s="7">
        <v>3.4032357384865708E-2</v>
      </c>
      <c r="ES316" s="7">
        <v>0.13243704606676077</v>
      </c>
      <c r="ET316" s="7">
        <v>0.18337045939658181</v>
      </c>
      <c r="EU316" s="6">
        <v>1611</v>
      </c>
      <c r="EV316" s="6">
        <v>0</v>
      </c>
      <c r="EW316" s="6">
        <v>1611</v>
      </c>
      <c r="EX316" s="6">
        <v>0</v>
      </c>
      <c r="EY316" s="6">
        <v>2335.7488278186997</v>
      </c>
      <c r="EZ316" s="6">
        <v>1929</v>
      </c>
      <c r="FA316" s="6">
        <v>0</v>
      </c>
      <c r="FB316" s="6">
        <v>0</v>
      </c>
      <c r="FC316" s="6">
        <v>0</v>
      </c>
      <c r="FD316" s="6">
        <v>0</v>
      </c>
      <c r="FE316" s="6">
        <v>0</v>
      </c>
      <c r="FF316" s="6">
        <v>0</v>
      </c>
      <c r="FG316" s="6">
        <v>0</v>
      </c>
      <c r="FH316" s="6">
        <v>1172.0096869685283</v>
      </c>
      <c r="FI316" s="6">
        <v>1553.9796069512395</v>
      </c>
      <c r="FJ316" s="6">
        <v>2101.211011744741</v>
      </c>
      <c r="FK316" s="6">
        <v>1772.7139978623227</v>
      </c>
      <c r="FL316" s="6">
        <v>907.07682140966335</v>
      </c>
      <c r="FM316" s="6">
        <v>1724.7488278186997</v>
      </c>
      <c r="FN316" s="6">
        <v>0</v>
      </c>
      <c r="FO316" s="6">
        <v>0</v>
      </c>
      <c r="FP316" s="6">
        <v>0</v>
      </c>
      <c r="FQ316" s="6">
        <v>0</v>
      </c>
      <c r="FR316" s="6">
        <v>0</v>
      </c>
      <c r="FS316" s="6">
        <v>0</v>
      </c>
      <c r="FT316" s="7">
        <v>0.81662954060341819</v>
      </c>
      <c r="FU316" s="7">
        <v>5.0933413329820994E-2</v>
      </c>
      <c r="FV316" s="7">
        <v>0.13243704606676077</v>
      </c>
      <c r="FW316" s="6">
        <v>1611</v>
      </c>
      <c r="FX316" s="6">
        <v>2335.7488278186997</v>
      </c>
      <c r="FY316" s="6">
        <v>1929</v>
      </c>
      <c r="FZ316" s="6">
        <v>1858.9243755539039</v>
      </c>
      <c r="GA316" s="6">
        <v>1690.0289122568229</v>
      </c>
      <c r="GB316" s="6">
        <v>18294.971087743179</v>
      </c>
      <c r="GC316" s="7">
        <v>2.9156573141622111E-2</v>
      </c>
      <c r="GD316" s="7">
        <v>2.9237448873266608E-2</v>
      </c>
      <c r="GE316" s="7"/>
      <c r="GF316" s="7"/>
      <c r="GG316" s="7">
        <v>2.7738421539341639E-3</v>
      </c>
      <c r="GH316" s="42">
        <v>-0.32822216988070119</v>
      </c>
      <c r="GI316" s="6">
        <v>-59198.606390056673</v>
      </c>
      <c r="GJ316" s="14">
        <v>0.50394797582841733</v>
      </c>
      <c r="GK316" s="14">
        <v>0.50887573065309744</v>
      </c>
      <c r="GL316" s="14">
        <v>0.49605202417158267</v>
      </c>
      <c r="GM316" s="14">
        <v>0.49112426934690256</v>
      </c>
      <c r="GO316" s="5">
        <v>343.14810671672558</v>
      </c>
      <c r="GP316" s="5">
        <v>312.41330006058649</v>
      </c>
      <c r="GQ316" s="5">
        <v>535.04305713031317</v>
      </c>
      <c r="GR316" s="5">
        <v>410.15490233172511</v>
      </c>
      <c r="GS316" s="5">
        <v>339.42744393800166</v>
      </c>
      <c r="GT316" s="5">
        <v>293.4407446948278</v>
      </c>
      <c r="GU316" s="5">
        <v>258.04012322764959</v>
      </c>
      <c r="GV316" s="39" t="s">
        <v>392</v>
      </c>
      <c r="GW316" s="5">
        <v>482.65277777777777</v>
      </c>
      <c r="GX316" s="5">
        <v>361.98958333333331</v>
      </c>
      <c r="GY316" s="5">
        <v>289.59166666666664</v>
      </c>
      <c r="GZ316" s="5">
        <v>255.53408606924114</v>
      </c>
      <c r="HA316" s="5">
        <v>236.70336205047303</v>
      </c>
      <c r="HB316" s="39">
        <v>268.39584989168816</v>
      </c>
      <c r="HC316" s="5">
        <v>202.890625</v>
      </c>
      <c r="HD316" s="5">
        <v>182.20330774853798</v>
      </c>
      <c r="HE316" s="5">
        <v>187.48257844129552</v>
      </c>
      <c r="HF316" s="5">
        <v>176.30063048245611</v>
      </c>
      <c r="HG316" s="5">
        <v>173.65888157894736</v>
      </c>
      <c r="HH316" s="39">
        <v>183.1603048009473</v>
      </c>
      <c r="HI316" s="16"/>
      <c r="HJ316" s="19" t="str">
        <f t="shared" si="931"/>
        <v>On</v>
      </c>
      <c r="HK316" s="1" t="str">
        <f t="shared" si="931"/>
        <v>On</v>
      </c>
      <c r="HL316" s="16"/>
      <c r="HM316" s="639">
        <f t="shared" si="878"/>
        <v>2.2758057894877178E-2</v>
      </c>
      <c r="HN316" s="639">
        <f t="shared" si="879"/>
        <v>1.416759231746561E-3</v>
      </c>
      <c r="HO316" s="639">
        <f t="shared" si="880"/>
        <v>4.5732401537654987E-3</v>
      </c>
      <c r="HP316" s="644">
        <f>(FT316*$GD316-HM316)/$JF316*INDEX(Input!$1:$1048576,$JG$93,$C316*2+6)</f>
        <v>62.618197917682231</v>
      </c>
      <c r="HQ316" s="644">
        <f>(FU316*$GD316-HN316)/$JF316*INDEX(Input!$1:$1048576,$JG$93,$C316*2+6)</f>
        <v>4.0548888402218308</v>
      </c>
      <c r="HR316" s="644">
        <f>(FV316*$GD316-HO316)/$JF316*INDEX(Input!$1:$1048576,$JG$93,$C316*2+6)</f>
        <v>-39.265305534716816</v>
      </c>
      <c r="HS316" s="644">
        <f t="shared" si="881"/>
        <v>-18.654702983934168</v>
      </c>
      <c r="HT316" s="644">
        <f t="shared" si="882"/>
        <v>20.882477681795827</v>
      </c>
      <c r="HU316" s="644">
        <f t="shared" si="883"/>
        <v>-0.45421686123987459</v>
      </c>
      <c r="HV316" s="648">
        <f t="shared" si="884"/>
        <v>0</v>
      </c>
      <c r="HW316" s="648">
        <f t="shared" si="885"/>
        <v>0</v>
      </c>
      <c r="HX316" s="648">
        <f t="shared" si="886"/>
        <v>0</v>
      </c>
      <c r="HY316" s="644">
        <f>INDEX(Input!$1:$1048576,HY$93,$C316*2+6)*INDEX(Input!$1:$1048576,$JG$93,$C316*2+6)</f>
        <v>509.00000000000006</v>
      </c>
      <c r="HZ316" s="644">
        <f>INDEX(Input!$1:$1048576,HZ$93,$C316*2+6)*INDEX(Input!$1:$1048576,$JG$93,$C316*2+6)</f>
        <v>844</v>
      </c>
      <c r="IA316" s="644">
        <f>INDEX(Input!$1:$1048576,IA$93,$C316*2+6)*INDEX(Input!$1:$1048576,$JG$93,$C316*2+6)</f>
        <v>257</v>
      </c>
      <c r="IB316" s="644">
        <f t="shared" si="910"/>
        <v>552.96349493374805</v>
      </c>
      <c r="IC316" s="644">
        <f t="shared" si="911"/>
        <v>868.93736652201767</v>
      </c>
      <c r="ID316" s="644">
        <f>IF(AND(INDEX(Input!$1:$1048576,IA$93,$C316*2+7)="TOS",Y316&lt;=INDEX(Y:Y,MATCH(C316*1000+2,A:A))),0,1)*MAX(IA316+HR316+HU316+HX316,0%)</f>
        <v>217.28047760404331</v>
      </c>
      <c r="IE316" s="128">
        <f t="shared" ref="IE316:IE318" si="963">IB316/SUM($IB316:$ID316)</f>
        <v>0.33734125795435987</v>
      </c>
      <c r="IF316" s="128">
        <f t="shared" si="933"/>
        <v>0.53010447704365471</v>
      </c>
      <c r="IG316" s="128">
        <f t="shared" si="888"/>
        <v>0.13255426500198547</v>
      </c>
      <c r="IH316" s="21"/>
      <c r="II316" s="19">
        <f t="shared" si="889"/>
        <v>1410.4999999999998</v>
      </c>
      <c r="IJ316" s="19">
        <f t="shared" si="890"/>
        <v>2134.9731585778086</v>
      </c>
      <c r="IK316" s="19">
        <f t="shared" si="891"/>
        <v>2103.5</v>
      </c>
      <c r="IL316" s="19">
        <f t="shared" si="913"/>
        <v>200.50000000000023</v>
      </c>
      <c r="IM316" s="19">
        <f t="shared" si="892"/>
        <v>200.77566924089115</v>
      </c>
      <c r="IN316" s="19">
        <f t="shared" si="893"/>
        <v>-174.5</v>
      </c>
      <c r="IO316" s="39">
        <f t="shared" si="894"/>
        <v>0</v>
      </c>
      <c r="IP316" s="39">
        <f t="shared" si="895"/>
        <v>0</v>
      </c>
      <c r="IQ316" s="39">
        <f t="shared" si="896"/>
        <v>0</v>
      </c>
      <c r="IR316" s="39">
        <v>0</v>
      </c>
      <c r="IS316" s="39">
        <v>0</v>
      </c>
      <c r="IT316" s="39">
        <v>0</v>
      </c>
      <c r="IU316" s="39">
        <v>0</v>
      </c>
      <c r="IV316" s="39">
        <v>0</v>
      </c>
      <c r="IW316" s="39">
        <v>0</v>
      </c>
      <c r="IX316" s="39">
        <f>INDEX(Input!$1:$1048576,IX$93,$C316*2+6)+INDEX(Input!$1:$1048576,IX$94,$C316*2+6)</f>
        <v>1611</v>
      </c>
      <c r="IY316" s="39">
        <f>INDEX(Input!$1:$1048576,IY$93,$C316*2+6)+INDEX(Input!$1:$1048576,IY$94,$C316*2+6)</f>
        <v>2471.0624533823611</v>
      </c>
      <c r="IZ316" s="39">
        <f>INDEX(Input!$1:$1048576,IZ$93,$C316*2+6)+INDEX(Input!$1:$1048576,IZ$94,$C316*2+6)</f>
        <v>3994.7164157747857</v>
      </c>
      <c r="JA316" s="19">
        <f t="shared" si="914"/>
        <v>1811.5000000000002</v>
      </c>
      <c r="JB316" s="19">
        <f t="shared" si="915"/>
        <v>2671.8381226232523</v>
      </c>
      <c r="JC316" s="19">
        <f t="shared" si="916"/>
        <v>3820.2164157747857</v>
      </c>
      <c r="JD316" s="19">
        <f t="shared" si="917"/>
        <v>2533.8330186643684</v>
      </c>
      <c r="JE316" s="21"/>
      <c r="JF316" s="1">
        <f t="shared" si="897"/>
        <v>2.8748057280389237E-2</v>
      </c>
      <c r="JG316" s="15">
        <f>INDEX(Input!$1:$1048576,JG$93,$C316*2+6)/(1+VLOOKUP(C316*1000+INDEX(Input!$1:$1048576,JG$93+1,$C316*2+6),$A:$KK,$JK$92,FALSE))</f>
        <v>1610</v>
      </c>
      <c r="JH316" s="1">
        <f t="shared" si="918"/>
        <v>1.7023466598252945E-2</v>
      </c>
      <c r="JI316" s="1">
        <f t="shared" si="919"/>
        <v>1.1015887183986235E-3</v>
      </c>
      <c r="JJ316" s="1">
        <f t="shared" si="957"/>
        <v>0</v>
      </c>
      <c r="JK316" s="1">
        <f t="shared" si="961"/>
        <v>1.8125055316651567E-2</v>
      </c>
      <c r="JL316" s="15">
        <f t="shared" si="922"/>
        <v>29.181339059809023</v>
      </c>
      <c r="JM316" s="15">
        <f t="shared" si="948"/>
        <v>1639.181339059809</v>
      </c>
      <c r="JN316" s="21"/>
      <c r="JO316" s="19">
        <f>INDEX(Input!$1:$1048576,JO$93,$C316*2+6)</f>
        <v>5995.5</v>
      </c>
      <c r="JP316" s="19">
        <f>INDEX(Input!$1:$1048576,JP$93,$C316*2+6)</f>
        <v>2442.3713226762939</v>
      </c>
      <c r="JQ316" s="39">
        <f t="shared" si="934"/>
        <v>3461.6669813356316</v>
      </c>
      <c r="JR316" s="39">
        <f t="shared" si="951"/>
        <v>91.461695988074553</v>
      </c>
      <c r="JS316" s="39">
        <f t="shared" si="936"/>
        <v>4.1534118004882181</v>
      </c>
      <c r="JT316" s="39">
        <f t="shared" si="924"/>
        <v>0.22119397097938462</v>
      </c>
      <c r="JU316" s="385">
        <f>(JQ316*JM316-INDEX(Input!$1:$1048576,Input!A$18,$C316*2+6)*JL316*INDEX(Input!$1:$1048576,Input!A$19,$C316*2+6))/1000000</f>
        <v>5.6742999178448672</v>
      </c>
      <c r="JV316" s="39">
        <f t="shared" si="958"/>
        <v>-4.6237252646299964E-2</v>
      </c>
      <c r="JW316" s="1">
        <f t="shared" si="949"/>
        <v>-8.0826767256771473E-3</v>
      </c>
      <c r="JX316" s="19">
        <f t="shared" si="940"/>
        <v>7579.9801553326051</v>
      </c>
      <c r="JZ316" s="341"/>
      <c r="KA316" s="342"/>
      <c r="KB316" s="469">
        <f t="shared" si="937"/>
        <v>2.5190675447988795</v>
      </c>
      <c r="KI316" s="473">
        <f t="shared" ref="KI316:KI332" si="964">$JM316*IE316-$JG316*HY316/SUM($HY316:$IA316)</f>
        <v>43.963494933747995</v>
      </c>
      <c r="KJ316" s="473">
        <f t="shared" ref="KJ316:KJ332" si="965">$JM316*IF316-$JG316*HZ316/SUM($HY316:$IA316)</f>
        <v>24.937366522017669</v>
      </c>
      <c r="KK316" s="473">
        <f t="shared" si="926"/>
        <v>-39.719522395956687</v>
      </c>
      <c r="KN316" s="544">
        <f t="shared" si="941"/>
        <v>3002</v>
      </c>
      <c r="KO316" s="541">
        <f t="shared" si="901"/>
        <v>-1.2024396153989869E-2</v>
      </c>
      <c r="KP316" s="546">
        <f t="shared" si="902"/>
        <v>-47.599166442139754</v>
      </c>
      <c r="KQ316" s="546">
        <f t="shared" si="903"/>
        <v>-102.08040672432981</v>
      </c>
      <c r="KR316" s="548">
        <f t="shared" si="904"/>
        <v>4.3826878803975866</v>
      </c>
      <c r="KS316" s="548">
        <f t="shared" si="905"/>
        <v>2.0436075499420285</v>
      </c>
      <c r="KT316" s="473">
        <f t="shared" si="939"/>
        <v>1026.1618045255443</v>
      </c>
      <c r="KU316" s="663">
        <f t="shared" si="927"/>
        <v>4.7117919377085888</v>
      </c>
      <c r="KV316" s="117" t="e">
        <f t="shared" si="959"/>
        <v>#N/A</v>
      </c>
    </row>
    <row r="317" spans="1:308" s="26" customFormat="1" ht="15">
      <c r="A317" s="561">
        <f t="shared" si="906"/>
        <v>3017</v>
      </c>
      <c r="B317" s="561">
        <f t="shared" si="928"/>
        <v>17</v>
      </c>
      <c r="C317" s="561">
        <f t="shared" si="929"/>
        <v>3</v>
      </c>
      <c r="D317" s="561" t="str">
        <f t="shared" si="950"/>
        <v xml:space="preserve">360 Lease, </v>
      </c>
      <c r="E317" s="115">
        <f>INDEX(Input!$1:$1048576,E$93,$C317*2+MIN($B317,2)+5)</f>
        <v>1287.0236024844721</v>
      </c>
      <c r="F317" s="115">
        <f>INDEX(Input!$1:$1048576,F$93,$C317*2+MIN($B317,2)+5)</f>
        <v>0</v>
      </c>
      <c r="G317" s="115">
        <f>INDEX(Input!$1:$1048576,G$93,$C317*2+MIN($B317,2)+5)</f>
        <v>0</v>
      </c>
      <c r="H317" s="115">
        <f>INDEX(Input!$1:$1048576,H$93,$C317*2+MIN($B317,2)+5)</f>
        <v>0</v>
      </c>
      <c r="I317" s="118">
        <f>INDEX(Input!$1:$1048576,I$93,$C317*2+MIN($B317,2)+5)</f>
        <v>0.7</v>
      </c>
      <c r="J317" s="118" t="str">
        <f>INDEX(Input!$1:$1048576,J$93,$C317*2+MIN($B317,2)+5)</f>
        <v>Market</v>
      </c>
      <c r="K317" s="118" t="str">
        <f>INDEX(Input!$1:$1048576,K$93,$C317*2+MIN($B317,2)+5)</f>
        <v>Market</v>
      </c>
      <c r="L317" s="118" t="str">
        <f>INDEX(Input!$1:$1048576,L$93,$C317*2+MIN($B317,2)+5)</f>
        <v>Market</v>
      </c>
      <c r="M317" s="118" t="str">
        <f>INDEX(Input!$1:$1048576,M$93,$C317*2+MIN($B317,2)+5)</f>
        <v>Market</v>
      </c>
      <c r="N317" s="118" t="str">
        <f>INDEX(Input!$1:$1048576,N$93,$C317*2+MIN($B317,2)+5)</f>
        <v>Market</v>
      </c>
      <c r="O317" s="118" t="str">
        <f>INDEX(Input!$1:$1048576,O$93,$C317*2+MIN($B317,2)+5)</f>
        <v>Market</v>
      </c>
      <c r="P317" s="118" t="str">
        <f>INDEX(Input!$1:$1048576,P$93,$C317*2+MIN($B317,2)+5)</f>
        <v>N</v>
      </c>
      <c r="Q317" s="30">
        <f>INDEX(Input!$1:$1048576,Q$93,$C317*2+MIN($B317,2)+5)</f>
        <v>0</v>
      </c>
      <c r="R317" s="383">
        <f>INDEX(Input!$1:$1048576,R$93,$C317*2+MIN($B317,2)+5)</f>
        <v>0</v>
      </c>
      <c r="S317" s="383">
        <f>INDEX(Input!$1:$1048576,S$93,$C317*2+MIN($B317,2)+5)</f>
        <v>0</v>
      </c>
      <c r="T317" s="383">
        <f>INDEX(Input!$1:$1048576,T$93,$C317*2+MIN($B317,2)+5)</f>
        <v>0</v>
      </c>
      <c r="U317" s="383">
        <f>INDEX(Input!$1:$1048576,U$93,$C317*2+MIN($B317,2)+5)</f>
        <v>0</v>
      </c>
      <c r="V317" s="383">
        <f>INDEX(Input!$1:$1048576,V$93,$C317*2+MIN($B317,2)+5)</f>
        <v>1.9E-2</v>
      </c>
      <c r="W317" s="884">
        <f>INDEX(Input!$1:$1048576,W$93,$C317*2+MIN($B317,2)+5)</f>
        <v>3.9E-2</v>
      </c>
      <c r="X317" s="118" t="str">
        <f>INDEX(Input!$1:$1048576,X$93,$C317*2+MIN($B317,2)+5)</f>
        <v>Y</v>
      </c>
      <c r="Y317" s="475">
        <f>INDEX(Input!$1:$1048576,Y$93,$C317*2+MIN($B317,2)+5)+360</f>
        <v>1914.9999999999991</v>
      </c>
      <c r="Z317" s="30">
        <f>INDEX(Input!$1:$1048576,Z$93,$C317*2+MIN($B317,2)+5)</f>
        <v>0</v>
      </c>
      <c r="AA317" s="115">
        <f>INDEX(Input!$1:$1048576,AA$93,$C317*2+MIN($B317,2)+5)</f>
        <v>0</v>
      </c>
      <c r="AB317" s="118">
        <f>INDEX(Input!$1:$1048576,AB$93,$C317*2+MIN($B317,2)+5)</f>
        <v>0.27</v>
      </c>
      <c r="AC317" s="115">
        <f>INDEX(Input!$1:$1048576,AC$93,$C317*2+MIN($B317,2)+5)</f>
        <v>0</v>
      </c>
      <c r="AD317" s="118">
        <f>INDEX(Input!$1:$1048576,AD$93,$C317*2+MIN($B317,2)+5)</f>
        <v>0.27</v>
      </c>
      <c r="AE317" s="115">
        <f>INDEX(Input!$1:$1048576,AE$93,$C317*2+MIN($B317,2)+5)</f>
        <v>0</v>
      </c>
      <c r="AF317" s="118">
        <f>INDEX(Input!$1:$1048576,AF$93,$C317*2+MIN($B317,2)+5)</f>
        <v>0.68200000000000005</v>
      </c>
      <c r="AG317" s="115">
        <f>INDEX(Input!$1:$1048576,AG$93,$C317*2+MIN($B317,2)+5)</f>
        <v>500</v>
      </c>
      <c r="AH317" s="118">
        <f>INDEX(Input!$1:$1048576,AH$93,$C317*2+MIN($B317,2)+5)</f>
        <v>1</v>
      </c>
      <c r="AI317" s="115">
        <f>INDEX(Input!$1:$1048576,AI$93,$C317*2+MIN($B317,2)+5)</f>
        <v>0</v>
      </c>
      <c r="AJ317" s="118">
        <f>INDEX(Input!$1:$1048576,AJ$93,$C317*2+MIN($B317,2)+5)</f>
        <v>0.27</v>
      </c>
      <c r="AK317" s="150">
        <f>ROUND(INDEX(Input!$1:$1048576,AK$93,$C316*2+MIN($B317,1)+5)+(Y317-VLOOKUP($C317*1000+1,$A:$HH,Y$92,FALSE)),0)</f>
        <v>3337</v>
      </c>
      <c r="AL317" s="150">
        <f>ROUND(INDEX(Input!$1:$1048576,AL$93,$C316*2+MIN($B317,1)+5)-(Y317-VLOOKUP($C317*1000+1,$A:$HH,Y$92,FALSE))/36,0)</f>
        <v>3385</v>
      </c>
      <c r="AM317" s="32" t="str">
        <f t="shared" si="907"/>
        <v>std/std/std/std</v>
      </c>
      <c r="AN317" s="32" t="str">
        <f t="shared" si="908"/>
        <v>$0 + 0/0/0/1.9/3.9</v>
      </c>
      <c r="AO317" s="32" t="str">
        <f t="shared" si="909"/>
        <v>0/0/0/1.9/3.9</v>
      </c>
      <c r="AP317" s="32" t="str">
        <f t="shared" si="863"/>
        <v>0/0.9/1.9/3.9</v>
      </c>
      <c r="AQ317" s="536">
        <f t="shared" si="862"/>
        <v>0.28526741607709372</v>
      </c>
      <c r="AR317" s="32"/>
      <c r="AS317" s="302"/>
      <c r="AT317" s="3">
        <f t="shared" si="930"/>
        <v>17</v>
      </c>
      <c r="AU317" s="41" t="s">
        <v>121</v>
      </c>
      <c r="AV317" s="41" t="s">
        <v>116</v>
      </c>
      <c r="AW317" s="41" t="str">
        <f>INDEX(Input!$1:$1048576,AW$93,$C317*2+6)</f>
        <v>Kia</v>
      </c>
      <c r="AX317" s="41" t="str">
        <f>INDEX(Input!$1:$1048576,AX$93,$C317*2+6)</f>
        <v>Kia-LR - L3</v>
      </c>
      <c r="AY317" s="41" t="str">
        <f>IF(LEN(D317)=0,"",INDEX(Input!$1:$1048576,AY$93,$C317*2+6))</f>
        <v>Compact SUV (52)</v>
      </c>
      <c r="AZ317" s="41" t="str">
        <f>INDEX(Input!$1:$1048576,AZ$93,$C317*2+6)</f>
        <v>Kia Soul</v>
      </c>
      <c r="BA317" s="3">
        <f>INDEX(Input!$1:$1048576,BA$93,$C317*2+6)</f>
        <v>2020</v>
      </c>
      <c r="BB317" s="128">
        <f>INDEX(Input!$1:$1048576,BB$93,$C317*2+6)</f>
        <v>1</v>
      </c>
      <c r="BC317" s="128">
        <f>INDEX(Input!$1:$1048576,BC$93,$C317*2+6)</f>
        <v>0.7</v>
      </c>
      <c r="BD317" s="1">
        <f>INDEX(Input!$1:$1048576,BD$93,$C317*2+6)</f>
        <v>4.4999999999999998E-2</v>
      </c>
      <c r="BE317" s="1">
        <f>INDEX(Input!$1:$1048576,BE$93,$C317*2+6)</f>
        <v>4.4999999999999998E-2</v>
      </c>
      <c r="BF317" s="1">
        <f>INDEX(Input!$1:$1048576,BF$93,$C317*2+6)</f>
        <v>0.05</v>
      </c>
      <c r="BG317" s="1">
        <f>INDEX(Input!$1:$1048576,BG$93,$C317*2+6)</f>
        <v>5.45E-2</v>
      </c>
      <c r="BH317" s="1">
        <f>INDEX(Input!$1:$1048576,BH$93,$C317*2+6)</f>
        <v>5.45E-2</v>
      </c>
      <c r="BI317" s="1">
        <f>INDEX(Input!$1:$1048576,BI$93,$C317*2+6)</f>
        <v>0.05</v>
      </c>
      <c r="BJ317" s="1">
        <f>INDEX(Input!$1:$1048576,BJ$93,$C317*2+6)</f>
        <v>0.05</v>
      </c>
      <c r="BK317" s="1">
        <f>INDEX(Input!$1:$1048576,BK$93,$C317*2+6)</f>
        <v>0.05</v>
      </c>
      <c r="BL317" s="1">
        <f>INDEX(Input!$1:$1048576,BL$93,$C317*2+6)</f>
        <v>5.5E-2</v>
      </c>
      <c r="BM317" s="1">
        <f>INDEX(Input!$1:$1048576,BM$93,$C317*2+6)</f>
        <v>0.06</v>
      </c>
      <c r="BN317" s="1">
        <f>INDEX(Input!$1:$1048576,BN$93,$C317*2+6)</f>
        <v>4.4999999999999998E-2</v>
      </c>
      <c r="BO317" s="1">
        <f>INDEX(Input!$1:$1048576,BO$93,$C317*2+6)</f>
        <v>4.4999999999999998E-2</v>
      </c>
      <c r="BP317" s="1">
        <f>INDEX(Input!$1:$1048576,BP$93,$C317*2+6)</f>
        <v>0.05</v>
      </c>
      <c r="BQ317" s="1">
        <f>INDEX(Input!$1:$1048576,BQ$93,$C317*2+6)</f>
        <v>5.45E-2</v>
      </c>
      <c r="BR317" s="1">
        <f>INDEX(Input!$1:$1048576,BR$93,$C317*2+6)</f>
        <v>5.45E-2</v>
      </c>
      <c r="BS317" s="1">
        <f>INDEX(Input!$1:$1048576,BS$93,$C317*2+6)</f>
        <v>0.05</v>
      </c>
      <c r="BT317" s="1">
        <f>INDEX(Input!$1:$1048576,BT$93,$C317*2+6)</f>
        <v>0.05</v>
      </c>
      <c r="BU317" s="1">
        <f>INDEX(Input!$1:$1048576,BU$93,$C317*2+6)</f>
        <v>0.05</v>
      </c>
      <c r="BV317" s="1">
        <f>INDEX(Input!$1:$1048576,BV$93,$C317*2+6)</f>
        <v>5.5E-2</v>
      </c>
      <c r="BW317" s="1">
        <f>INDEX(Input!$1:$1048576,BW$93,$C317*2+6)</f>
        <v>0.06</v>
      </c>
      <c r="BX317" s="127">
        <f>INDEX(Input!$1:$1048576,BX$93,$C317*2+6)</f>
        <v>19985</v>
      </c>
      <c r="BY317" s="20">
        <f>INDEX(Input!$1:$1048576,BY$93,$C317*2+6)</f>
        <v>0.1</v>
      </c>
      <c r="BZ317" s="20">
        <f>INDEX(Input!$1:$1048576,BZ$93,$C317*2+6)</f>
        <v>0.1</v>
      </c>
      <c r="CA317" s="20">
        <f>INDEX(Input!$1:$1048576,CA$93,$C317*2+6)</f>
        <v>0.1</v>
      </c>
      <c r="CB317" s="20">
        <f>INDEX(Input!$1:$1048576,CB$93,$C317*2+6)</f>
        <v>0.1</v>
      </c>
      <c r="CC317" s="20">
        <f>INDEX(Input!$1:$1048576,CC$93,$C317*2+6)</f>
        <v>0.1</v>
      </c>
      <c r="CD317" s="384">
        <f>INDEX(Input!$1:$1048576,CD$93,$C317*2+6)</f>
        <v>0.1</v>
      </c>
      <c r="CE317" s="384">
        <f>INDEX(Input!$1:$1048576,CE$93,$C317*2+6)</f>
        <v>0.1</v>
      </c>
      <c r="CF317" s="384">
        <f>INDEX(Input!$1:$1048576,CF$93,$C317*2+6)</f>
        <v>0.1</v>
      </c>
      <c r="CG317" s="384">
        <f>INDEX(Input!$1:$1048576,CG$93,$C317*2+6)</f>
        <v>0.1</v>
      </c>
      <c r="CH317" s="384">
        <f>INDEX(Input!$1:$1048576,CH$93,$C317*2+6)</f>
        <v>0.1</v>
      </c>
      <c r="CI317" s="304">
        <f t="shared" si="864"/>
        <v>1287.0236024844721</v>
      </c>
      <c r="CJ317" s="16" t="str">
        <f>INDEX(Input!$1:$1048576,CJ$93,$C317*2+6)</f>
        <v>N</v>
      </c>
      <c r="CK317" s="1" t="str">
        <f t="shared" si="865"/>
        <v>Market</v>
      </c>
      <c r="CL317" s="1" t="str">
        <f t="shared" si="866"/>
        <v>Market</v>
      </c>
      <c r="CM317" s="1" t="str">
        <f t="shared" si="867"/>
        <v>Market</v>
      </c>
      <c r="CN317" s="1" t="str">
        <f t="shared" si="868"/>
        <v>Market</v>
      </c>
      <c r="CO317" s="1" t="str">
        <f t="shared" si="869"/>
        <v>Market</v>
      </c>
      <c r="CP317" s="304">
        <f t="shared" si="870"/>
        <v>500</v>
      </c>
      <c r="CQ317" s="1">
        <f t="shared" si="871"/>
        <v>0</v>
      </c>
      <c r="CR317" s="1">
        <f t="shared" si="872"/>
        <v>0</v>
      </c>
      <c r="CS317" s="1">
        <f t="shared" si="873"/>
        <v>0</v>
      </c>
      <c r="CT317" s="1">
        <f t="shared" si="874"/>
        <v>1.9E-2</v>
      </c>
      <c r="CU317" s="1">
        <f t="shared" si="875"/>
        <v>3.9E-2</v>
      </c>
      <c r="CV317" s="304">
        <f t="shared" si="876"/>
        <v>1914.9999999999991</v>
      </c>
      <c r="CW317" s="20" t="s">
        <v>122</v>
      </c>
      <c r="CX317" s="20" t="s">
        <v>122</v>
      </c>
      <c r="CY317" s="20" t="s">
        <v>122</v>
      </c>
      <c r="CZ317" s="20" t="s">
        <v>122</v>
      </c>
      <c r="DA317" s="20" t="s">
        <v>122</v>
      </c>
      <c r="DB317" s="503">
        <f t="shared" si="877"/>
        <v>0</v>
      </c>
      <c r="DC317" s="127">
        <v>0</v>
      </c>
      <c r="DD317" s="127">
        <v>0</v>
      </c>
      <c r="DE317" s="127">
        <v>0</v>
      </c>
      <c r="DF317" s="127">
        <v>0</v>
      </c>
      <c r="DG317" s="127">
        <v>0</v>
      </c>
      <c r="DH317" s="127">
        <v>0</v>
      </c>
      <c r="DI317" s="127">
        <v>0</v>
      </c>
      <c r="DJ317" s="127">
        <v>0</v>
      </c>
      <c r="DK317" s="127">
        <v>0</v>
      </c>
      <c r="DL317" s="127">
        <v>0</v>
      </c>
      <c r="DM317" s="304">
        <f>INDEX(Input!$1:$1048576,DM$93,$C317*2+6)</f>
        <v>21036.84210526316</v>
      </c>
      <c r="DN317" s="20">
        <v>0</v>
      </c>
      <c r="DO317" s="20">
        <v>0</v>
      </c>
      <c r="DP317" s="20">
        <v>0</v>
      </c>
      <c r="DQ317" s="20">
        <v>0</v>
      </c>
      <c r="DR317" s="20">
        <v>0</v>
      </c>
      <c r="DS317" s="20">
        <f>INDEX(Input!$1:$1048576,DS$93,$C317*2+6)</f>
        <v>0.6</v>
      </c>
      <c r="DT317" s="20">
        <f>INDEX(Input!$1:$1048576,DT$93,$C317*2+6)</f>
        <v>0.55000000000000004</v>
      </c>
      <c r="DU317" s="20">
        <f>INDEX(Input!$1:$1048576,DU$93,$C317*2+6)</f>
        <v>0.52</v>
      </c>
      <c r="DV317" s="20">
        <f>INDEX(Input!$1:$1048576,DV$93,$C317*2+6)</f>
        <v>0.5</v>
      </c>
      <c r="DW317" s="20">
        <f>INDEX(Input!$1:$1048576,DW$93,$C317*2+6)</f>
        <v>0.45</v>
      </c>
      <c r="DX317" s="20"/>
      <c r="DY317" s="7">
        <v>9.6056586832258276E-2</v>
      </c>
      <c r="DZ317" s="7">
        <v>0</v>
      </c>
      <c r="EA317" s="7">
        <v>0.66345661425108116</v>
      </c>
      <c r="EB317" s="7">
        <v>0</v>
      </c>
      <c r="EC317" s="7">
        <v>0</v>
      </c>
      <c r="ED317" s="7">
        <v>0</v>
      </c>
      <c r="EE317" s="7">
        <v>0</v>
      </c>
      <c r="EF317" s="7">
        <v>0</v>
      </c>
      <c r="EG317" s="7">
        <v>0</v>
      </c>
      <c r="EH317" s="7">
        <v>1.1998896326822947E-2</v>
      </c>
      <c r="EI317" s="7">
        <v>3.3586928368221788E-2</v>
      </c>
      <c r="EJ317" s="7">
        <v>0.26990030468090187</v>
      </c>
      <c r="EK317" s="7">
        <v>0.54289958904264912</v>
      </c>
      <c r="EL317" s="7">
        <v>0.14161428158140468</v>
      </c>
      <c r="EM317" s="7">
        <v>4.6984390601309767E-2</v>
      </c>
      <c r="EN317" s="7">
        <v>6.4585521966707235E-2</v>
      </c>
      <c r="EO317" s="7">
        <v>0.7911527827478031</v>
      </c>
      <c r="EP317" s="7">
        <v>5.9312858871372519E-2</v>
      </c>
      <c r="EQ317" s="7">
        <v>5.5261203411644089E-2</v>
      </c>
      <c r="ER317" s="7">
        <v>2.9687633002473127E-2</v>
      </c>
      <c r="ES317" s="7">
        <v>0.19350240831535073</v>
      </c>
      <c r="ET317" s="7">
        <v>0.24048679891666047</v>
      </c>
      <c r="EU317" s="6">
        <v>1611</v>
      </c>
      <c r="EV317" s="6">
        <v>0</v>
      </c>
      <c r="EW317" s="6">
        <v>1611</v>
      </c>
      <c r="EX317" s="6">
        <v>0</v>
      </c>
      <c r="EY317" s="6">
        <v>2335.2342439395979</v>
      </c>
      <c r="EZ317" s="6">
        <v>2649</v>
      </c>
      <c r="FA317" s="6">
        <v>0</v>
      </c>
      <c r="FB317" s="6">
        <v>0</v>
      </c>
      <c r="FC317" s="6">
        <v>0</v>
      </c>
      <c r="FD317" s="6">
        <v>0</v>
      </c>
      <c r="FE317" s="6">
        <v>0</v>
      </c>
      <c r="FF317" s="6">
        <v>0</v>
      </c>
      <c r="FG317" s="6">
        <v>0</v>
      </c>
      <c r="FH317" s="6">
        <v>1171.9925075409903</v>
      </c>
      <c r="FI317" s="6">
        <v>1553.9796069512397</v>
      </c>
      <c r="FJ317" s="6">
        <v>2101.2110117447405</v>
      </c>
      <c r="FK317" s="6">
        <v>1772.7139978623227</v>
      </c>
      <c r="FL317" s="6">
        <v>907.07682140966358</v>
      </c>
      <c r="FM317" s="6">
        <v>1724.2342439395982</v>
      </c>
      <c r="FN317" s="6">
        <v>0</v>
      </c>
      <c r="FO317" s="6">
        <v>0</v>
      </c>
      <c r="FP317" s="6">
        <v>0</v>
      </c>
      <c r="FQ317" s="6">
        <v>0</v>
      </c>
      <c r="FR317" s="6">
        <v>0</v>
      </c>
      <c r="FS317" s="6">
        <v>0</v>
      </c>
      <c r="FT317" s="7">
        <v>0.75951320108333942</v>
      </c>
      <c r="FU317" s="7">
        <v>4.6984390601309767E-2</v>
      </c>
      <c r="FV317" s="7">
        <v>0.19350240831535073</v>
      </c>
      <c r="FW317" s="6">
        <v>1611</v>
      </c>
      <c r="FX317" s="6">
        <v>2335.2342439395979</v>
      </c>
      <c r="FY317" s="6">
        <v>2649</v>
      </c>
      <c r="FZ317" s="6">
        <v>1858.9243755539039</v>
      </c>
      <c r="GA317" s="6">
        <v>1845.8832044354363</v>
      </c>
      <c r="GB317" s="6">
        <v>18139.116795564565</v>
      </c>
      <c r="GC317" s="7">
        <v>2.9156573141622111E-2</v>
      </c>
      <c r="GD317" s="7">
        <v>2.971911153182339E-2</v>
      </c>
      <c r="GE317" s="7"/>
      <c r="GF317" s="7"/>
      <c r="GG317" s="7">
        <v>1.9293707373252107E-2</v>
      </c>
      <c r="GH317" s="42">
        <v>-29.566726665246705</v>
      </c>
      <c r="GI317" s="6">
        <v>1169.9544746078298</v>
      </c>
      <c r="GJ317" s="14">
        <v>0.50394797582841699</v>
      </c>
      <c r="GK317" s="14">
        <v>0.50887573065309732</v>
      </c>
      <c r="GL317" s="14">
        <v>0.49605202417158267</v>
      </c>
      <c r="GM317" s="14">
        <v>0.4911242693469024</v>
      </c>
      <c r="GO317" s="5">
        <v>343.14810671672558</v>
      </c>
      <c r="GP317" s="5">
        <v>312.41330006058649</v>
      </c>
      <c r="GQ317" s="5">
        <v>535.04305713031317</v>
      </c>
      <c r="GR317" s="5">
        <v>410.15490233172511</v>
      </c>
      <c r="GS317" s="5">
        <v>339.42744393800166</v>
      </c>
      <c r="GT317" s="5">
        <v>293.4407446948278</v>
      </c>
      <c r="GU317" s="5">
        <v>258.04012322764959</v>
      </c>
      <c r="GV317" s="39" t="s">
        <v>392</v>
      </c>
      <c r="GW317" s="5">
        <v>482.65277777777777</v>
      </c>
      <c r="GX317" s="5">
        <v>361.98958333333331</v>
      </c>
      <c r="GY317" s="5">
        <v>289.59166666666664</v>
      </c>
      <c r="GZ317" s="5">
        <v>255.53408606924114</v>
      </c>
      <c r="HA317" s="5">
        <v>236.70336205047303</v>
      </c>
      <c r="HB317" s="39">
        <v>268.36022479231212</v>
      </c>
      <c r="HC317" s="5">
        <v>171.390625</v>
      </c>
      <c r="HD317" s="5">
        <v>160.70330774853798</v>
      </c>
      <c r="HE317" s="5">
        <v>167.52103997975706</v>
      </c>
      <c r="HF317" s="5">
        <v>159.65063048245611</v>
      </c>
      <c r="HG317" s="5">
        <v>159.85888157894735</v>
      </c>
      <c r="HH317" s="39">
        <v>161.71469167455231</v>
      </c>
      <c r="HI317" s="16"/>
      <c r="HJ317" s="19" t="str">
        <f t="shared" si="931"/>
        <v>On</v>
      </c>
      <c r="HK317" s="1" t="str">
        <f t="shared" si="931"/>
        <v>On</v>
      </c>
      <c r="HL317" s="16"/>
      <c r="HM317" s="639">
        <f t="shared" si="878"/>
        <v>2.2758057894877178E-2</v>
      </c>
      <c r="HN317" s="639">
        <f t="shared" si="879"/>
        <v>1.416759231746561E-3</v>
      </c>
      <c r="HO317" s="639">
        <f t="shared" si="880"/>
        <v>4.5732401537654987E-3</v>
      </c>
      <c r="HP317" s="644">
        <f>(FT317*$GD317-HM317)/$JF317*INDEX(Input!$1:$1048576,$JG$93,$C317*2+6)</f>
        <v>-10.416724159197532</v>
      </c>
      <c r="HQ317" s="644">
        <f>(FU317*$GD317-HN317)/$JF317*INDEX(Input!$1:$1048576,$JG$93,$C317*2+6)</f>
        <v>-1.1438709784718979</v>
      </c>
      <c r="HR317" s="644">
        <f>(FV317*$GD317-HO317)/$JF317*INDEX(Input!$1:$1048576,$JG$93,$C317*2+6)</f>
        <v>65.943308013209304</v>
      </c>
      <c r="HS317" s="644">
        <f t="shared" si="881"/>
        <v>-18.654104764671867</v>
      </c>
      <c r="HT317" s="644">
        <f t="shared" si="882"/>
        <v>20.820600494314419</v>
      </c>
      <c r="HU317" s="644">
        <f t="shared" si="883"/>
        <v>15.834211401081312</v>
      </c>
      <c r="HV317" s="648">
        <f t="shared" si="884"/>
        <v>0</v>
      </c>
      <c r="HW317" s="648">
        <f t="shared" si="885"/>
        <v>0</v>
      </c>
      <c r="HX317" s="648">
        <f t="shared" si="886"/>
        <v>0</v>
      </c>
      <c r="HY317" s="644">
        <f>INDEX(Input!$1:$1048576,HY$93,$C317*2+6)*INDEX(Input!$1:$1048576,$JG$93,$C317*2+6)</f>
        <v>509.00000000000006</v>
      </c>
      <c r="HZ317" s="644">
        <f>INDEX(Input!$1:$1048576,HZ$93,$C317*2+6)*INDEX(Input!$1:$1048576,$JG$93,$C317*2+6)</f>
        <v>844</v>
      </c>
      <c r="IA317" s="644">
        <f>INDEX(Input!$1:$1048576,IA$93,$C317*2+6)*INDEX(Input!$1:$1048576,$JG$93,$C317*2+6)</f>
        <v>257</v>
      </c>
      <c r="IB317" s="644">
        <f t="shared" si="910"/>
        <v>479.92917107613079</v>
      </c>
      <c r="IC317" s="644">
        <f t="shared" si="911"/>
        <v>863.67672951584245</v>
      </c>
      <c r="ID317" s="644">
        <f>IF(AND(INDEX(Input!$1:$1048576,IA$93,$C317*2+7)="TOS",Y317&lt;=INDEX(Y:Y,MATCH(C317*1000+2,A:A))),0,1)*MAX(IA317+HR317+HU317+HX317,0%)</f>
        <v>338.77751941429057</v>
      </c>
      <c r="IE317" s="128">
        <f t="shared" si="963"/>
        <v>0.28526741607709372</v>
      </c>
      <c r="IF317" s="128">
        <f t="shared" si="933"/>
        <v>0.51336497925819247</v>
      </c>
      <c r="IG317" s="128">
        <f t="shared" si="888"/>
        <v>0.20136760466471385</v>
      </c>
      <c r="IH317" s="21"/>
      <c r="II317" s="19">
        <f t="shared" si="889"/>
        <v>1410.4999999999998</v>
      </c>
      <c r="IJ317" s="19">
        <f t="shared" si="890"/>
        <v>2134.9731585778086</v>
      </c>
      <c r="IK317" s="19">
        <f t="shared" si="891"/>
        <v>2103.5</v>
      </c>
      <c r="IL317" s="19">
        <f t="shared" si="913"/>
        <v>200.50000000000023</v>
      </c>
      <c r="IM317" s="19">
        <f t="shared" si="892"/>
        <v>200.26108536178936</v>
      </c>
      <c r="IN317" s="19">
        <f t="shared" si="893"/>
        <v>545.5</v>
      </c>
      <c r="IO317" s="39">
        <f t="shared" si="894"/>
        <v>0</v>
      </c>
      <c r="IP317" s="39">
        <f t="shared" si="895"/>
        <v>0</v>
      </c>
      <c r="IQ317" s="39">
        <f t="shared" si="896"/>
        <v>0</v>
      </c>
      <c r="IR317" s="39">
        <v>0</v>
      </c>
      <c r="IS317" s="39">
        <v>0</v>
      </c>
      <c r="IT317" s="39">
        <v>0</v>
      </c>
      <c r="IU317" s="39">
        <v>0</v>
      </c>
      <c r="IV317" s="39">
        <v>0</v>
      </c>
      <c r="IW317" s="39">
        <v>0</v>
      </c>
      <c r="IX317" s="39">
        <f>INDEX(Input!$1:$1048576,IX$93,$C317*2+6)+INDEX(Input!$1:$1048576,IX$94,$C317*2+6)</f>
        <v>1611</v>
      </c>
      <c r="IY317" s="39">
        <f>INDEX(Input!$1:$1048576,IY$93,$C317*2+6)+INDEX(Input!$1:$1048576,IY$94,$C317*2+6)</f>
        <v>2471.0624533823611</v>
      </c>
      <c r="IZ317" s="39">
        <f>INDEX(Input!$1:$1048576,IZ$93,$C317*2+6)+INDEX(Input!$1:$1048576,IZ$94,$C317*2+6)</f>
        <v>3994.7164157747857</v>
      </c>
      <c r="JA317" s="19">
        <f t="shared" si="914"/>
        <v>1811.5000000000002</v>
      </c>
      <c r="JB317" s="19">
        <f t="shared" si="915"/>
        <v>2671.3235387441505</v>
      </c>
      <c r="JC317" s="19">
        <f t="shared" si="916"/>
        <v>4540.2164157747857</v>
      </c>
      <c r="JD317" s="19">
        <f t="shared" si="917"/>
        <v>2802.3783815869483</v>
      </c>
      <c r="JE317" s="21"/>
      <c r="JF317" s="1">
        <f t="shared" si="897"/>
        <v>2.8748057280389237E-2</v>
      </c>
      <c r="JG317" s="15">
        <f>INDEX(Input!$1:$1048576,JG$93,$C317*2+6)/(1+VLOOKUP(C317*1000+INDEX(Input!$1:$1048576,JG$93+1,$C317*2+6),$A:$KK,$JK$92,FALSE))</f>
        <v>1610</v>
      </c>
      <c r="JH317" s="1">
        <f t="shared" si="918"/>
        <v>3.3778082531391224E-2</v>
      </c>
      <c r="JI317" s="1">
        <f t="shared" si="919"/>
        <v>1.1180563435232214E-2</v>
      </c>
      <c r="JJ317" s="1">
        <f t="shared" si="957"/>
        <v>0</v>
      </c>
      <c r="JK317" s="1">
        <f t="shared" si="961"/>
        <v>4.4958645966623439E-2</v>
      </c>
      <c r="JL317" s="15">
        <f t="shared" si="922"/>
        <v>72.383420006263734</v>
      </c>
      <c r="JM317" s="15">
        <f t="shared" si="948"/>
        <v>1682.3834200062638</v>
      </c>
      <c r="JN317" s="21"/>
      <c r="JO317" s="19">
        <f>INDEX(Input!$1:$1048576,JO$93,$C317*2+6)</f>
        <v>5995.5</v>
      </c>
      <c r="JP317" s="19">
        <f>INDEX(Input!$1:$1048576,JP$93,$C317*2+6)</f>
        <v>2442.3713226762939</v>
      </c>
      <c r="JQ317" s="39">
        <f t="shared" si="934"/>
        <v>3193.1216184130517</v>
      </c>
      <c r="JR317" s="39">
        <f t="shared" si="951"/>
        <v>360.00705891065445</v>
      </c>
      <c r="JS317" s="39">
        <f t="shared" si="936"/>
        <v>4.714674925765868</v>
      </c>
      <c r="JT317" s="39">
        <f t="shared" si="924"/>
        <v>0.78245709625703519</v>
      </c>
      <c r="JU317" s="385">
        <f>(JQ317*JM317-INDEX(Input!$1:$1048576,Input!A$18,$C317*2+6)*JL317*INDEX(Input!$1:$1048576,Input!A$19,$C317*2+6))/1000000</f>
        <v>5.372054868881686</v>
      </c>
      <c r="JV317" s="39">
        <f t="shared" si="958"/>
        <v>-0.34848230160948113</v>
      </c>
      <c r="JW317" s="1">
        <f t="shared" si="949"/>
        <v>-6.0917758459309218E-2</v>
      </c>
      <c r="JX317" s="19">
        <f t="shared" si="940"/>
        <v>10809.893981098501</v>
      </c>
      <c r="JZ317" s="341"/>
      <c r="KA317" s="342"/>
      <c r="KB317" s="469">
        <f t="shared" si="937"/>
        <v>2.5190675447988795</v>
      </c>
      <c r="KI317" s="473">
        <f t="shared" si="964"/>
        <v>-29.070828923869271</v>
      </c>
      <c r="KJ317" s="473">
        <f t="shared" si="965"/>
        <v>19.676729515842567</v>
      </c>
      <c r="KK317" s="473">
        <f t="shared" si="926"/>
        <v>81.777519414290566</v>
      </c>
      <c r="KN317" s="544">
        <f t="shared" si="941"/>
        <v>3002</v>
      </c>
      <c r="KO317" s="541">
        <f t="shared" si="901"/>
        <v>1.4014578908378317E-2</v>
      </c>
      <c r="KP317" s="546">
        <f t="shared" si="902"/>
        <v>72.344736316581503</v>
      </c>
      <c r="KQ317" s="546">
        <f t="shared" si="903"/>
        <v>166.46495619825009</v>
      </c>
      <c r="KR317" s="548">
        <f t="shared" si="904"/>
        <v>3.3608546408157811</v>
      </c>
      <c r="KS317" s="548">
        <f t="shared" si="905"/>
        <v>1.4606085769704658</v>
      </c>
      <c r="KT317" s="473">
        <f t="shared" si="939"/>
        <v>1026.1618045255443</v>
      </c>
      <c r="KU317" s="663">
        <f t="shared" si="927"/>
        <v>4.5605128488540929</v>
      </c>
      <c r="KV317" s="117" t="e">
        <f t="shared" si="959"/>
        <v>#N/A</v>
      </c>
    </row>
    <row r="318" spans="1:308" s="26" customFormat="1" ht="15">
      <c r="A318" s="561">
        <f t="shared" si="906"/>
        <v>3018</v>
      </c>
      <c r="B318" s="561">
        <f t="shared" si="928"/>
        <v>18</v>
      </c>
      <c r="C318" s="561">
        <f t="shared" si="929"/>
        <v>3</v>
      </c>
      <c r="D318" s="561" t="str">
        <f t="shared" si="950"/>
        <v xml:space="preserve">720 Lease, </v>
      </c>
      <c r="E318" s="115">
        <f>INDEX(Input!$1:$1048576,E$93,$C318*2+MIN($B318,2)+5)</f>
        <v>1287.0236024844721</v>
      </c>
      <c r="F318" s="115">
        <f>INDEX(Input!$1:$1048576,F$93,$C318*2+MIN($B318,2)+5)</f>
        <v>0</v>
      </c>
      <c r="G318" s="115">
        <f>INDEX(Input!$1:$1048576,G$93,$C318*2+MIN($B318,2)+5)</f>
        <v>0</v>
      </c>
      <c r="H318" s="115">
        <f>INDEX(Input!$1:$1048576,H$93,$C318*2+MIN($B318,2)+5)</f>
        <v>0</v>
      </c>
      <c r="I318" s="118">
        <f>INDEX(Input!$1:$1048576,I$93,$C318*2+MIN($B318,2)+5)</f>
        <v>0.7</v>
      </c>
      <c r="J318" s="118" t="str">
        <f>INDEX(Input!$1:$1048576,J$93,$C318*2+MIN($B318,2)+5)</f>
        <v>Market</v>
      </c>
      <c r="K318" s="118" t="str">
        <f>INDEX(Input!$1:$1048576,K$93,$C318*2+MIN($B318,2)+5)</f>
        <v>Market</v>
      </c>
      <c r="L318" s="118" t="str">
        <f>INDEX(Input!$1:$1048576,L$93,$C318*2+MIN($B318,2)+5)</f>
        <v>Market</v>
      </c>
      <c r="M318" s="118" t="str">
        <f>INDEX(Input!$1:$1048576,M$93,$C318*2+MIN($B318,2)+5)</f>
        <v>Market</v>
      </c>
      <c r="N318" s="118" t="str">
        <f>INDEX(Input!$1:$1048576,N$93,$C318*2+MIN($B318,2)+5)</f>
        <v>Market</v>
      </c>
      <c r="O318" s="118" t="str">
        <f>INDEX(Input!$1:$1048576,O$93,$C318*2+MIN($B318,2)+5)</f>
        <v>Market</v>
      </c>
      <c r="P318" s="118" t="str">
        <f>INDEX(Input!$1:$1048576,P$93,$C318*2+MIN($B318,2)+5)</f>
        <v>N</v>
      </c>
      <c r="Q318" s="30">
        <f>INDEX(Input!$1:$1048576,Q$93,$C318*2+MIN($B318,2)+5)</f>
        <v>0</v>
      </c>
      <c r="R318" s="383">
        <f>INDEX(Input!$1:$1048576,R$93,$C318*2+MIN($B318,2)+5)</f>
        <v>0</v>
      </c>
      <c r="S318" s="383">
        <f>INDEX(Input!$1:$1048576,S$93,$C318*2+MIN($B318,2)+5)</f>
        <v>0</v>
      </c>
      <c r="T318" s="383">
        <f>INDEX(Input!$1:$1048576,T$93,$C318*2+MIN($B318,2)+5)</f>
        <v>0</v>
      </c>
      <c r="U318" s="383">
        <f>INDEX(Input!$1:$1048576,U$93,$C318*2+MIN($B318,2)+5)</f>
        <v>0</v>
      </c>
      <c r="V318" s="383">
        <f>INDEX(Input!$1:$1048576,V$93,$C318*2+MIN($B318,2)+5)</f>
        <v>1.9E-2</v>
      </c>
      <c r="W318" s="884">
        <f>INDEX(Input!$1:$1048576,W$93,$C318*2+MIN($B318,2)+5)</f>
        <v>3.9E-2</v>
      </c>
      <c r="X318" s="118" t="str">
        <f>INDEX(Input!$1:$1048576,X$93,$C318*2+MIN($B318,2)+5)</f>
        <v>Y</v>
      </c>
      <c r="Y318" s="475">
        <f>INDEX(Input!$1:$1048576,Y$93,$C318*2+MIN($B318,2)+5)+720</f>
        <v>2274.9999999999991</v>
      </c>
      <c r="Z318" s="30">
        <f>INDEX(Input!$1:$1048576,Z$93,$C318*2+MIN($B318,2)+5)</f>
        <v>0</v>
      </c>
      <c r="AA318" s="115">
        <f>INDEX(Input!$1:$1048576,AA$93,$C318*2+MIN($B318,2)+5)</f>
        <v>0</v>
      </c>
      <c r="AB318" s="118">
        <f>INDEX(Input!$1:$1048576,AB$93,$C318*2+MIN($B318,2)+5)</f>
        <v>0.27</v>
      </c>
      <c r="AC318" s="115">
        <f>INDEX(Input!$1:$1048576,AC$93,$C318*2+MIN($B318,2)+5)</f>
        <v>0</v>
      </c>
      <c r="AD318" s="118">
        <f>INDEX(Input!$1:$1048576,AD$93,$C318*2+MIN($B318,2)+5)</f>
        <v>0.27</v>
      </c>
      <c r="AE318" s="115">
        <f>INDEX(Input!$1:$1048576,AE$93,$C318*2+MIN($B318,2)+5)</f>
        <v>0</v>
      </c>
      <c r="AF318" s="118">
        <f>INDEX(Input!$1:$1048576,AF$93,$C318*2+MIN($B318,2)+5)</f>
        <v>0.68200000000000005</v>
      </c>
      <c r="AG318" s="115">
        <f>INDEX(Input!$1:$1048576,AG$93,$C318*2+MIN($B318,2)+5)</f>
        <v>500</v>
      </c>
      <c r="AH318" s="118">
        <f>INDEX(Input!$1:$1048576,AH$93,$C318*2+MIN($B318,2)+5)</f>
        <v>1</v>
      </c>
      <c r="AI318" s="115">
        <f>INDEX(Input!$1:$1048576,AI$93,$C318*2+MIN($B318,2)+5)</f>
        <v>0</v>
      </c>
      <c r="AJ318" s="118">
        <f>INDEX(Input!$1:$1048576,AJ$93,$C318*2+MIN($B318,2)+5)</f>
        <v>0.27</v>
      </c>
      <c r="AK318" s="150">
        <f>ROUND(INDEX(Input!$1:$1048576,AK$93,$C317*2+MIN($B318,1)+5)+(Y318-VLOOKUP($C318*1000+1,$A:$HH,Y$92,FALSE)),0)</f>
        <v>3697</v>
      </c>
      <c r="AL318" s="150">
        <f>ROUND(INDEX(Input!$1:$1048576,AL$93,$C317*2+MIN($B318,1)+5)-(Y318-VLOOKUP($C318*1000+1,$A:$HH,Y$92,FALSE))/36,0)</f>
        <v>3375</v>
      </c>
      <c r="AM318" s="32" t="str">
        <f t="shared" si="907"/>
        <v>std/std/std/std</v>
      </c>
      <c r="AN318" s="32" t="str">
        <f t="shared" si="908"/>
        <v>$0 + 0/0/0/1.9/3.9</v>
      </c>
      <c r="AO318" s="32" t="str">
        <f t="shared" si="909"/>
        <v>0/0/0/1.9/3.9</v>
      </c>
      <c r="AP318" s="32" t="str">
        <f t="shared" si="863"/>
        <v>0/0.9/1.9/3.9</v>
      </c>
      <c r="AQ318" s="536">
        <f t="shared" si="862"/>
        <v>0.25177483235737236</v>
      </c>
      <c r="AR318" s="32"/>
      <c r="AS318" s="302"/>
      <c r="AT318" s="3">
        <f t="shared" si="930"/>
        <v>18</v>
      </c>
      <c r="AU318" s="41" t="s">
        <v>121</v>
      </c>
      <c r="AV318" s="41" t="s">
        <v>116</v>
      </c>
      <c r="AW318" s="41" t="str">
        <f>INDEX(Input!$1:$1048576,AW$93,$C318*2+6)</f>
        <v>Kia</v>
      </c>
      <c r="AX318" s="41" t="str">
        <f>INDEX(Input!$1:$1048576,AX$93,$C318*2+6)</f>
        <v>Kia-LR - L3</v>
      </c>
      <c r="AY318" s="41" t="str">
        <f>IF(LEN(D318)=0,"",INDEX(Input!$1:$1048576,AY$93,$C318*2+6))</f>
        <v>Compact SUV (52)</v>
      </c>
      <c r="AZ318" s="41" t="str">
        <f>INDEX(Input!$1:$1048576,AZ$93,$C318*2+6)</f>
        <v>Kia Soul</v>
      </c>
      <c r="BA318" s="3">
        <f>INDEX(Input!$1:$1048576,BA$93,$C318*2+6)</f>
        <v>2020</v>
      </c>
      <c r="BB318" s="128">
        <f>INDEX(Input!$1:$1048576,BB$93,$C318*2+6)</f>
        <v>1</v>
      </c>
      <c r="BC318" s="128">
        <f>INDEX(Input!$1:$1048576,BC$93,$C318*2+6)</f>
        <v>0.7</v>
      </c>
      <c r="BD318" s="1">
        <f>INDEX(Input!$1:$1048576,BD$93,$C318*2+6)</f>
        <v>4.4999999999999998E-2</v>
      </c>
      <c r="BE318" s="1">
        <f>INDEX(Input!$1:$1048576,BE$93,$C318*2+6)</f>
        <v>4.4999999999999998E-2</v>
      </c>
      <c r="BF318" s="1">
        <f>INDEX(Input!$1:$1048576,BF$93,$C318*2+6)</f>
        <v>0.05</v>
      </c>
      <c r="BG318" s="1">
        <f>INDEX(Input!$1:$1048576,BG$93,$C318*2+6)</f>
        <v>5.45E-2</v>
      </c>
      <c r="BH318" s="1">
        <f>INDEX(Input!$1:$1048576,BH$93,$C318*2+6)</f>
        <v>5.45E-2</v>
      </c>
      <c r="BI318" s="1">
        <f>INDEX(Input!$1:$1048576,BI$93,$C318*2+6)</f>
        <v>0.05</v>
      </c>
      <c r="BJ318" s="1">
        <f>INDEX(Input!$1:$1048576,BJ$93,$C318*2+6)</f>
        <v>0.05</v>
      </c>
      <c r="BK318" s="1">
        <f>INDEX(Input!$1:$1048576,BK$93,$C318*2+6)</f>
        <v>0.05</v>
      </c>
      <c r="BL318" s="1">
        <f>INDEX(Input!$1:$1048576,BL$93,$C318*2+6)</f>
        <v>5.5E-2</v>
      </c>
      <c r="BM318" s="1">
        <f>INDEX(Input!$1:$1048576,BM$93,$C318*2+6)</f>
        <v>0.06</v>
      </c>
      <c r="BN318" s="1">
        <f>INDEX(Input!$1:$1048576,BN$93,$C318*2+6)</f>
        <v>4.4999999999999998E-2</v>
      </c>
      <c r="BO318" s="1">
        <f>INDEX(Input!$1:$1048576,BO$93,$C318*2+6)</f>
        <v>4.4999999999999998E-2</v>
      </c>
      <c r="BP318" s="1">
        <f>INDEX(Input!$1:$1048576,BP$93,$C318*2+6)</f>
        <v>0.05</v>
      </c>
      <c r="BQ318" s="1">
        <f>INDEX(Input!$1:$1048576,BQ$93,$C318*2+6)</f>
        <v>5.45E-2</v>
      </c>
      <c r="BR318" s="1">
        <f>INDEX(Input!$1:$1048576,BR$93,$C318*2+6)</f>
        <v>5.45E-2</v>
      </c>
      <c r="BS318" s="1">
        <f>INDEX(Input!$1:$1048576,BS$93,$C318*2+6)</f>
        <v>0.05</v>
      </c>
      <c r="BT318" s="1">
        <f>INDEX(Input!$1:$1048576,BT$93,$C318*2+6)</f>
        <v>0.05</v>
      </c>
      <c r="BU318" s="1">
        <f>INDEX(Input!$1:$1048576,BU$93,$C318*2+6)</f>
        <v>0.05</v>
      </c>
      <c r="BV318" s="1">
        <f>INDEX(Input!$1:$1048576,BV$93,$C318*2+6)</f>
        <v>5.5E-2</v>
      </c>
      <c r="BW318" s="1">
        <f>INDEX(Input!$1:$1048576,BW$93,$C318*2+6)</f>
        <v>0.06</v>
      </c>
      <c r="BX318" s="127">
        <f>INDEX(Input!$1:$1048576,BX$93,$C318*2+6)</f>
        <v>19985</v>
      </c>
      <c r="BY318" s="20">
        <f>INDEX(Input!$1:$1048576,BY$93,$C318*2+6)</f>
        <v>0.1</v>
      </c>
      <c r="BZ318" s="20">
        <f>INDEX(Input!$1:$1048576,BZ$93,$C318*2+6)</f>
        <v>0.1</v>
      </c>
      <c r="CA318" s="20">
        <f>INDEX(Input!$1:$1048576,CA$93,$C318*2+6)</f>
        <v>0.1</v>
      </c>
      <c r="CB318" s="20">
        <f>INDEX(Input!$1:$1048576,CB$93,$C318*2+6)</f>
        <v>0.1</v>
      </c>
      <c r="CC318" s="20">
        <f>INDEX(Input!$1:$1048576,CC$93,$C318*2+6)</f>
        <v>0.1</v>
      </c>
      <c r="CD318" s="384">
        <f>INDEX(Input!$1:$1048576,CD$93,$C318*2+6)</f>
        <v>0.1</v>
      </c>
      <c r="CE318" s="384">
        <f>INDEX(Input!$1:$1048576,CE$93,$C318*2+6)</f>
        <v>0.1</v>
      </c>
      <c r="CF318" s="384">
        <f>INDEX(Input!$1:$1048576,CF$93,$C318*2+6)</f>
        <v>0.1</v>
      </c>
      <c r="CG318" s="384">
        <f>INDEX(Input!$1:$1048576,CG$93,$C318*2+6)</f>
        <v>0.1</v>
      </c>
      <c r="CH318" s="384">
        <f>INDEX(Input!$1:$1048576,CH$93,$C318*2+6)</f>
        <v>0.1</v>
      </c>
      <c r="CI318" s="304">
        <f t="shared" si="864"/>
        <v>1287.0236024844721</v>
      </c>
      <c r="CJ318" s="16" t="str">
        <f>INDEX(Input!$1:$1048576,CJ$93,$C318*2+6)</f>
        <v>N</v>
      </c>
      <c r="CK318" s="1" t="str">
        <f t="shared" si="865"/>
        <v>Market</v>
      </c>
      <c r="CL318" s="1" t="str">
        <f t="shared" si="866"/>
        <v>Market</v>
      </c>
      <c r="CM318" s="1" t="str">
        <f t="shared" si="867"/>
        <v>Market</v>
      </c>
      <c r="CN318" s="1" t="str">
        <f t="shared" si="868"/>
        <v>Market</v>
      </c>
      <c r="CO318" s="1" t="str">
        <f t="shared" si="869"/>
        <v>Market</v>
      </c>
      <c r="CP318" s="304">
        <f t="shared" si="870"/>
        <v>500</v>
      </c>
      <c r="CQ318" s="1">
        <f t="shared" si="871"/>
        <v>0</v>
      </c>
      <c r="CR318" s="1">
        <f t="shared" si="872"/>
        <v>0</v>
      </c>
      <c r="CS318" s="1">
        <f t="shared" si="873"/>
        <v>0</v>
      </c>
      <c r="CT318" s="1">
        <f t="shared" si="874"/>
        <v>1.9E-2</v>
      </c>
      <c r="CU318" s="1">
        <f t="shared" si="875"/>
        <v>3.9E-2</v>
      </c>
      <c r="CV318" s="304">
        <f t="shared" si="876"/>
        <v>2274.9999999999991</v>
      </c>
      <c r="CW318" s="20" t="s">
        <v>122</v>
      </c>
      <c r="CX318" s="20" t="s">
        <v>122</v>
      </c>
      <c r="CY318" s="20" t="s">
        <v>122</v>
      </c>
      <c r="CZ318" s="20" t="s">
        <v>122</v>
      </c>
      <c r="DA318" s="20" t="s">
        <v>122</v>
      </c>
      <c r="DB318" s="503">
        <f t="shared" si="877"/>
        <v>0</v>
      </c>
      <c r="DC318" s="127">
        <v>0</v>
      </c>
      <c r="DD318" s="127">
        <v>0</v>
      </c>
      <c r="DE318" s="127">
        <v>0</v>
      </c>
      <c r="DF318" s="127">
        <v>0</v>
      </c>
      <c r="DG318" s="127">
        <v>0</v>
      </c>
      <c r="DH318" s="127">
        <v>0</v>
      </c>
      <c r="DI318" s="127">
        <v>0</v>
      </c>
      <c r="DJ318" s="127">
        <v>0</v>
      </c>
      <c r="DK318" s="127">
        <v>0</v>
      </c>
      <c r="DL318" s="127">
        <v>0</v>
      </c>
      <c r="DM318" s="304">
        <f>INDEX(Input!$1:$1048576,DM$93,$C318*2+6)</f>
        <v>21036.84210526316</v>
      </c>
      <c r="DN318" s="20">
        <v>0</v>
      </c>
      <c r="DO318" s="20">
        <v>0</v>
      </c>
      <c r="DP318" s="20">
        <v>0</v>
      </c>
      <c r="DQ318" s="20">
        <v>0</v>
      </c>
      <c r="DR318" s="20">
        <v>0</v>
      </c>
      <c r="DS318" s="20">
        <f>INDEX(Input!$1:$1048576,DS$93,$C318*2+6)</f>
        <v>0.6</v>
      </c>
      <c r="DT318" s="20">
        <f>INDEX(Input!$1:$1048576,DT$93,$C318*2+6)</f>
        <v>0.55000000000000004</v>
      </c>
      <c r="DU318" s="20">
        <f>INDEX(Input!$1:$1048576,DU$93,$C318*2+6)</f>
        <v>0.52</v>
      </c>
      <c r="DV318" s="20">
        <f>INDEX(Input!$1:$1048576,DV$93,$C318*2+6)</f>
        <v>0.5</v>
      </c>
      <c r="DW318" s="20">
        <f>INDEX(Input!$1:$1048576,DW$93,$C318*2+6)</f>
        <v>0.45</v>
      </c>
      <c r="DX318" s="20"/>
      <c r="DY318" s="7">
        <v>9.1026618893255626E-2</v>
      </c>
      <c r="DZ318" s="7">
        <v>0</v>
      </c>
      <c r="EA318" s="7">
        <v>0.63035962608179075</v>
      </c>
      <c r="EB318" s="7">
        <v>0</v>
      </c>
      <c r="EC318" s="7">
        <v>0</v>
      </c>
      <c r="ED318" s="7">
        <v>0</v>
      </c>
      <c r="EE318" s="7">
        <v>0</v>
      </c>
      <c r="EF318" s="7">
        <v>0</v>
      </c>
      <c r="EG318" s="7">
        <v>0</v>
      </c>
      <c r="EH318" s="7">
        <v>1.1997040797118823E-2</v>
      </c>
      <c r="EI318" s="7">
        <v>3.3572072930826639E-2</v>
      </c>
      <c r="EJ318" s="7">
        <v>0.26933876392697054</v>
      </c>
      <c r="EK318" s="7">
        <v>0.5432673925448267</v>
      </c>
      <c r="EL318" s="7">
        <v>0.14182472980025726</v>
      </c>
      <c r="EM318" s="7">
        <v>4.4370737558384575E-2</v>
      </c>
      <c r="EN318" s="7">
        <v>6.6567207255824087E-2</v>
      </c>
      <c r="EO318" s="7">
        <v>0.80144570813012694</v>
      </c>
      <c r="EP318" s="7">
        <v>5.4259111293675701E-2</v>
      </c>
      <c r="EQ318" s="7">
        <v>5.0301575100625044E-2</v>
      </c>
      <c r="ER318" s="7">
        <v>2.7426398219748446E-2</v>
      </c>
      <c r="ES318" s="7">
        <v>0.23424301746656892</v>
      </c>
      <c r="ET318" s="7">
        <v>0.27861375502495356</v>
      </c>
      <c r="EU318" s="6">
        <v>1611</v>
      </c>
      <c r="EV318" s="6">
        <v>0</v>
      </c>
      <c r="EW318" s="6">
        <v>1611</v>
      </c>
      <c r="EX318" s="6">
        <v>0</v>
      </c>
      <c r="EY318" s="6">
        <v>2334.8718265178513</v>
      </c>
      <c r="EZ318" s="6">
        <v>3009</v>
      </c>
      <c r="FA318" s="6">
        <v>0</v>
      </c>
      <c r="FB318" s="6">
        <v>0</v>
      </c>
      <c r="FC318" s="6">
        <v>0</v>
      </c>
      <c r="FD318" s="6">
        <v>0</v>
      </c>
      <c r="FE318" s="6">
        <v>0</v>
      </c>
      <c r="FF318" s="6">
        <v>0</v>
      </c>
      <c r="FG318" s="6">
        <v>0</v>
      </c>
      <c r="FH318" s="6">
        <v>1171.9804036754408</v>
      </c>
      <c r="FI318" s="6">
        <v>1553.9796069512399</v>
      </c>
      <c r="FJ318" s="6">
        <v>2101.2110117447401</v>
      </c>
      <c r="FK318" s="6">
        <v>1772.7139978623231</v>
      </c>
      <c r="FL318" s="6">
        <v>907.07682140966313</v>
      </c>
      <c r="FM318" s="6">
        <v>1723.8718265178513</v>
      </c>
      <c r="FN318" s="6">
        <v>0</v>
      </c>
      <c r="FO318" s="6">
        <v>0</v>
      </c>
      <c r="FP318" s="6">
        <v>0</v>
      </c>
      <c r="FQ318" s="6">
        <v>0</v>
      </c>
      <c r="FR318" s="6">
        <v>0</v>
      </c>
      <c r="FS318" s="6">
        <v>0</v>
      </c>
      <c r="FT318" s="7">
        <v>0.72138624497504633</v>
      </c>
      <c r="FU318" s="7">
        <v>4.4370737558384575E-2</v>
      </c>
      <c r="FV318" s="7">
        <v>0.23424301746656892</v>
      </c>
      <c r="FW318" s="6">
        <v>1611</v>
      </c>
      <c r="FX318" s="6">
        <v>2334.8718265178513</v>
      </c>
      <c r="FY318" s="6">
        <v>3009</v>
      </c>
      <c r="FZ318" s="6">
        <v>1858.9243755539039</v>
      </c>
      <c r="GA318" s="6">
        <v>1970.590465258595</v>
      </c>
      <c r="GB318" s="6">
        <v>18014.409534741404</v>
      </c>
      <c r="GC318" s="7">
        <v>2.9156573141622111E-2</v>
      </c>
      <c r="GD318" s="7">
        <v>3.0067007475516019E-2</v>
      </c>
      <c r="GE318" s="7"/>
      <c r="GF318" s="7"/>
      <c r="GG318" s="7">
        <v>3.1225697528706752E-2</v>
      </c>
      <c r="GH318" s="42">
        <v>5.5884966220410979</v>
      </c>
      <c r="GI318" s="6">
        <v>5546.6863908030255</v>
      </c>
      <c r="GJ318" s="14">
        <v>0.50394797582841733</v>
      </c>
      <c r="GK318" s="14">
        <v>0.50887573065309732</v>
      </c>
      <c r="GL318" s="14">
        <v>0.49605202417158278</v>
      </c>
      <c r="GM318" s="14">
        <v>0.4911242693469024</v>
      </c>
      <c r="GO318" s="5">
        <v>343.14810671672558</v>
      </c>
      <c r="GP318" s="5">
        <v>312.41330006058649</v>
      </c>
      <c r="GQ318" s="5">
        <v>535.04305713031317</v>
      </c>
      <c r="GR318" s="5">
        <v>410.15490233172511</v>
      </c>
      <c r="GS318" s="5">
        <v>339.42744393800166</v>
      </c>
      <c r="GT318" s="5">
        <v>293.4407446948278</v>
      </c>
      <c r="GU318" s="5">
        <v>258.04012322764959</v>
      </c>
      <c r="GV318" s="39" t="s">
        <v>392</v>
      </c>
      <c r="GW318" s="5">
        <v>482.65277777777777</v>
      </c>
      <c r="GX318" s="5">
        <v>361.98958333333331</v>
      </c>
      <c r="GY318" s="5">
        <v>289.59166666666664</v>
      </c>
      <c r="GZ318" s="5">
        <v>255.53408606924114</v>
      </c>
      <c r="HA318" s="5">
        <v>236.70336205047303</v>
      </c>
      <c r="HB318" s="39">
        <v>268.33513431204295</v>
      </c>
      <c r="HC318" s="5">
        <v>155.640625</v>
      </c>
      <c r="HD318" s="5">
        <v>149.95330774853798</v>
      </c>
      <c r="HE318" s="5">
        <v>157.54027074898784</v>
      </c>
      <c r="HF318" s="5">
        <v>151.32563048245612</v>
      </c>
      <c r="HG318" s="5">
        <v>152.95888157894734</v>
      </c>
      <c r="HH318" s="39">
        <v>150.89502050438225</v>
      </c>
      <c r="HI318" s="16"/>
      <c r="HJ318" s="19" t="str">
        <f t="shared" si="931"/>
        <v>On</v>
      </c>
      <c r="HK318" s="1" t="str">
        <f t="shared" si="931"/>
        <v>On</v>
      </c>
      <c r="HL318" s="16"/>
      <c r="HM318" s="639">
        <f t="shared" si="878"/>
        <v>2.2758057894877178E-2</v>
      </c>
      <c r="HN318" s="639">
        <f t="shared" si="879"/>
        <v>1.416759231746561E-3</v>
      </c>
      <c r="HO318" s="639">
        <f t="shared" si="880"/>
        <v>4.5732401537654987E-3</v>
      </c>
      <c r="HP318" s="644">
        <f>(FT318*$GD318-HM318)/$JF318*INDEX(Input!$1:$1048576,$JG$93,$C318*2+6)</f>
        <v>-59.819449541821164</v>
      </c>
      <c r="HQ318" s="644">
        <f>(FU318*$GD318-HN318)/$JF318*INDEX(Input!$1:$1048576,$JG$93,$C318*2+6)</f>
        <v>-4.6294931256017975</v>
      </c>
      <c r="HR318" s="644">
        <f>(FV318*$GD318-HO318)/$JF318*INDEX(Input!$1:$1048576,$JG$93,$C318*2+6)</f>
        <v>138.31514494477412</v>
      </c>
      <c r="HS318" s="644">
        <f t="shared" si="881"/>
        <v>-18.653683443500551</v>
      </c>
      <c r="HT318" s="644">
        <f t="shared" si="882"/>
        <v>20.777020872677063</v>
      </c>
      <c r="HU318" s="644">
        <f t="shared" si="883"/>
        <v>23.978303320701738</v>
      </c>
      <c r="HV318" s="648">
        <f t="shared" si="884"/>
        <v>0</v>
      </c>
      <c r="HW318" s="648">
        <f t="shared" si="885"/>
        <v>0</v>
      </c>
      <c r="HX318" s="648">
        <f t="shared" si="886"/>
        <v>0</v>
      </c>
      <c r="HY318" s="644">
        <f>INDEX(Input!$1:$1048576,HY$93,$C318*2+6)*INDEX(Input!$1:$1048576,$JG$93,$C318*2+6)</f>
        <v>509.00000000000006</v>
      </c>
      <c r="HZ318" s="644">
        <f>INDEX(Input!$1:$1048576,HZ$93,$C318*2+6)*INDEX(Input!$1:$1048576,$JG$93,$C318*2+6)</f>
        <v>844</v>
      </c>
      <c r="IA318" s="644">
        <f>INDEX(Input!$1:$1048576,IA$93,$C318*2+6)*INDEX(Input!$1:$1048576,$JG$93,$C318*2+6)</f>
        <v>257</v>
      </c>
      <c r="IB318" s="644">
        <f t="shared" si="910"/>
        <v>430.52686701467832</v>
      </c>
      <c r="IC318" s="644">
        <f t="shared" si="911"/>
        <v>860.14752774707529</v>
      </c>
      <c r="ID318" s="644">
        <f>IF(AND(INDEX(Input!$1:$1048576,IA$93,$C318*2+7)="TOS",Y318&lt;=INDEX(Y:Y,MATCH(C318*1000+2,A:A))),0,1)*MAX(IA318+HR318+HU318+HX318,0%)</f>
        <v>419.29344826547589</v>
      </c>
      <c r="IE318" s="128">
        <f t="shared" si="963"/>
        <v>0.25177483235737236</v>
      </c>
      <c r="IF318" s="128">
        <f t="shared" si="933"/>
        <v>0.50301970955449038</v>
      </c>
      <c r="IG318" s="128">
        <f t="shared" si="888"/>
        <v>0.24520545808813732</v>
      </c>
      <c r="IH318" s="21"/>
      <c r="II318" s="19">
        <f t="shared" si="889"/>
        <v>1410.4999999999998</v>
      </c>
      <c r="IJ318" s="19">
        <f t="shared" si="890"/>
        <v>2134.9731585778086</v>
      </c>
      <c r="IK318" s="19">
        <f t="shared" si="891"/>
        <v>2103.5</v>
      </c>
      <c r="IL318" s="19">
        <f t="shared" si="913"/>
        <v>200.50000000000023</v>
      </c>
      <c r="IM318" s="19">
        <f t="shared" si="892"/>
        <v>199.89866794004274</v>
      </c>
      <c r="IN318" s="19">
        <f t="shared" si="893"/>
        <v>905.5</v>
      </c>
      <c r="IO318" s="39">
        <f t="shared" si="894"/>
        <v>0</v>
      </c>
      <c r="IP318" s="39">
        <f t="shared" si="895"/>
        <v>0</v>
      </c>
      <c r="IQ318" s="39">
        <f t="shared" si="896"/>
        <v>0</v>
      </c>
      <c r="IR318" s="39">
        <v>0</v>
      </c>
      <c r="IS318" s="39">
        <v>0</v>
      </c>
      <c r="IT318" s="39">
        <v>0</v>
      </c>
      <c r="IU318" s="39">
        <v>0</v>
      </c>
      <c r="IV318" s="39">
        <v>0</v>
      </c>
      <c r="IW318" s="39">
        <v>0</v>
      </c>
      <c r="IX318" s="39">
        <f>INDEX(Input!$1:$1048576,IX$93,$C318*2+6)+INDEX(Input!$1:$1048576,IX$94,$C318*2+6)</f>
        <v>1611</v>
      </c>
      <c r="IY318" s="39">
        <f>INDEX(Input!$1:$1048576,IY$93,$C318*2+6)+INDEX(Input!$1:$1048576,IY$94,$C318*2+6)</f>
        <v>2471.0624533823611</v>
      </c>
      <c r="IZ318" s="39">
        <f>INDEX(Input!$1:$1048576,IZ$93,$C318*2+6)+INDEX(Input!$1:$1048576,IZ$94,$C318*2+6)</f>
        <v>3994.7164157747857</v>
      </c>
      <c r="JA318" s="19">
        <f t="shared" si="914"/>
        <v>1811.5000000000002</v>
      </c>
      <c r="JB318" s="19">
        <f t="shared" si="915"/>
        <v>2670.9611213224039</v>
      </c>
      <c r="JC318" s="19">
        <f t="shared" si="916"/>
        <v>4900.2164157747857</v>
      </c>
      <c r="JD318" s="19">
        <f t="shared" si="917"/>
        <v>3001.1960072553784</v>
      </c>
      <c r="JE318" s="21"/>
      <c r="JF318" s="1">
        <f t="shared" si="897"/>
        <v>2.8748057280389237E-2</v>
      </c>
      <c r="JG318" s="15">
        <f>INDEX(Input!$1:$1048576,JG$93,$C318*2+6)/(1+VLOOKUP(C318*1000+INDEX(Input!$1:$1048576,JG$93+1,$C318*2+6),$A:$KK,$JK$92,FALSE))</f>
        <v>1610</v>
      </c>
      <c r="JH318" s="1">
        <f t="shared" si="918"/>
        <v>4.5879628743696374E-2</v>
      </c>
      <c r="JI318" s="1">
        <f t="shared" si="919"/>
        <v>1.6212199223526864E-2</v>
      </c>
      <c r="JJ318" s="1">
        <f t="shared" si="957"/>
        <v>0</v>
      </c>
      <c r="JK318" s="1">
        <f t="shared" si="961"/>
        <v>6.2091827967223234E-2</v>
      </c>
      <c r="JL318" s="15">
        <f t="shared" si="922"/>
        <v>99.967843027229407</v>
      </c>
      <c r="JM318" s="15">
        <f t="shared" si="948"/>
        <v>1709.9678430272295</v>
      </c>
      <c r="JN318" s="21"/>
      <c r="JO318" s="19">
        <f>INDEX(Input!$1:$1048576,JO$93,$C318*2+6)</f>
        <v>5995.5</v>
      </c>
      <c r="JP318" s="19">
        <f>INDEX(Input!$1:$1048576,JP$93,$C318*2+6)</f>
        <v>2442.3713226762939</v>
      </c>
      <c r="JQ318" s="39">
        <f t="shared" si="934"/>
        <v>2994.3039927446216</v>
      </c>
      <c r="JR318" s="39">
        <f t="shared" si="951"/>
        <v>558.82468457908453</v>
      </c>
      <c r="JS318" s="39">
        <f t="shared" si="936"/>
        <v>5.1319486630284121</v>
      </c>
      <c r="JT318" s="39">
        <f t="shared" si="924"/>
        <v>1.1997308335195793</v>
      </c>
      <c r="JU318" s="385">
        <f>(JQ318*JM318-INDEX(Input!$1:$1048576,Input!A$18,$C318*2+6)*JL318*INDEX(Input!$1:$1048576,Input!A$19,$C318*2+6))/1000000</f>
        <v>5.1201635398413421</v>
      </c>
      <c r="JV318" s="39">
        <f t="shared" si="958"/>
        <v>-0.60037363064982507</v>
      </c>
      <c r="JW318" s="1">
        <f t="shared" si="949"/>
        <v>-0.10495056893376969</v>
      </c>
      <c r="JX318" s="19">
        <f t="shared" si="940"/>
        <v>12001.167547376157</v>
      </c>
      <c r="JZ318" s="341"/>
      <c r="KA318" s="342"/>
      <c r="KB318" s="469">
        <f t="shared" si="937"/>
        <v>2.5190675447988795</v>
      </c>
      <c r="KI318" s="473">
        <f t="shared" si="964"/>
        <v>-78.47313298532174</v>
      </c>
      <c r="KJ318" s="473">
        <f t="shared" si="965"/>
        <v>16.147527747075401</v>
      </c>
      <c r="KK318" s="473">
        <f t="shared" si="926"/>
        <v>162.29344826547589</v>
      </c>
      <c r="KN318" s="544">
        <f t="shared" si="941"/>
        <v>3002</v>
      </c>
      <c r="KO318" s="541">
        <f t="shared" si="901"/>
        <v>3.0640400799758494E-2</v>
      </c>
      <c r="KP318" s="546">
        <f t="shared" si="902"/>
        <v>176.22099979953879</v>
      </c>
      <c r="KQ318" s="546">
        <f t="shared" si="903"/>
        <v>365.28258186668018</v>
      </c>
      <c r="KR318" s="548">
        <f t="shared" si="904"/>
        <v>3.0165699136907898</v>
      </c>
      <c r="KS318" s="548">
        <f t="shared" si="905"/>
        <v>1.4552650264331934</v>
      </c>
      <c r="KT318" s="473">
        <f t="shared" si="939"/>
        <v>1026.1618045255443</v>
      </c>
      <c r="KU318" s="663">
        <f t="shared" si="927"/>
        <v>4.4374006275048314</v>
      </c>
      <c r="KV318" s="117" t="e">
        <f t="shared" si="959"/>
        <v>#N/A</v>
      </c>
    </row>
    <row r="319" spans="1:308" s="26" customFormat="1" ht="15">
      <c r="A319" s="561">
        <f t="shared" si="906"/>
        <v>3019</v>
      </c>
      <c r="B319" s="561">
        <f t="shared" si="928"/>
        <v>19</v>
      </c>
      <c r="C319" s="561">
        <f t="shared" si="929"/>
        <v>3</v>
      </c>
      <c r="D319" s="765" t="str">
        <f>"Plan A: "&amp;IF(E319=INDEX(E:E,MATCH(C319*1000+2,A:A,0)),"",E319-INDEX(E:E,MATCH(C319*1000+2,A:A,0))&amp;E$100&amp;", ")
&amp;IF(F319=INDEX(F:F,MATCH(C319*1000+2,A:A,0)),"",F319-INDEX(F:F,MATCH(C319*1000+2,A:A,0))&amp;F$100&amp;", ")
&amp;IF(AM319=INDEX(AM:AM,MATCH(C319*1000+2,A:A,0)),"",AM319&amp;AM$100&amp;", ")
&amp;IF(AP319=INDEX(AP:AP,MATCH(C319*1000+2,A:A,0)),"",AP319&amp;AP$100&amp;", ")
&amp;IF(Q319=INDEX(Q:Q,MATCH(C319*1000+2,A:A,0)),"",Q319-INDEX(Q:Q,MATCH(C319*1000+2,A:A,0))&amp;Q$100&amp;", ")
&amp;IF(Y319=INDEX(Y:Y,MATCH(C319*1000+2,A:A,0)),"",Y319-INDEX(Y:Y,MATCH(C319*1000+2,A:A,0))&amp;Y$100&amp;", ")
&amp;IF(Z319=INDEX(Z:Z,MATCH(C319*1000+2,A:A,0)),"",Z319-INDEX(Z:Z,MATCH(C319*1000+2,A:A,0))&amp;Z$100&amp;", ")
&amp;IF(AA319=INDEX(AA:AA,MATCH(C319*1000+2,A:A,0)),"",AA319-INDEX(AA:AA,MATCH(C319*1000+2,A:A,0))&amp;AA$100&amp;", ")
&amp;IF(AC319=INDEX(AC:AC,MATCH(C319*1000+2,A:A,0)),"",AC319-INDEX(AC:AC,MATCH(C319*1000+2,A:A,0))&amp;AC$100&amp;", ")
&amp;IF(AE319=INDEX(AE:AE,MATCH(C319*1000+2,A:A,0)),"",AE319-INDEX(AE:AE,MATCH(C319*1000+2,A:A,0))&amp;AE$100&amp;", ")
&amp;IF(AG319=INDEX(AG:AG,MATCH(C319*1000+2,A:A,0)),"",AG319-INDEX(AG:AG,MATCH(C319*1000+2,A:A,0))&amp;AG$100&amp;", ")
&amp;IF(AI319=INDEX(AI:AI,MATCH(C319*1000+2,A:A,0)),"",AI319-INDEX(AI:AI,MATCH(C319*1000+2,A:A,0))&amp;AI$100&amp;", ")</f>
        <v xml:space="preserve">Plan A: </v>
      </c>
      <c r="E319" s="475">
        <f>INDEX(Input!$1:$1048576,E$93,$C319*2+MIN($B319,2)+5)</f>
        <v>1287.0236024844721</v>
      </c>
      <c r="F319" s="475">
        <f>INDEX(Input!$1:$1048576,F$93,$C319*2+MIN($B319,2)+5)</f>
        <v>0</v>
      </c>
      <c r="G319" s="475">
        <f>INDEX(Input!$1:$1048576,G$93,$C319*2+MIN($B319,2)+5)</f>
        <v>0</v>
      </c>
      <c r="H319" s="475">
        <f>INDEX(Input!$1:$1048576,H$93,$C319*2+MIN($B319,2)+5)</f>
        <v>0</v>
      </c>
      <c r="I319" s="476">
        <f>INDEX(Input!$1:$1048576,I$93,$C319*2+MIN($B319,2)+5)</f>
        <v>0.7</v>
      </c>
      <c r="J319" s="476" t="str">
        <f>INDEX(Input!$1:$1048576,J$93,$C319*2+MIN($B319,2)+5)</f>
        <v>Market</v>
      </c>
      <c r="K319" s="476" t="str">
        <f>INDEX(Input!$1:$1048576,K$93,$C319*2+MIN($B319,2)+5)</f>
        <v>Market</v>
      </c>
      <c r="L319" s="476" t="str">
        <f>INDEX(Input!$1:$1048576,L$93,$C319*2+MIN($B319,2)+5)</f>
        <v>Market</v>
      </c>
      <c r="M319" s="476" t="str">
        <f>INDEX(Input!$1:$1048576,M$93,$C319*2+MIN($B319,2)+5)</f>
        <v>Market</v>
      </c>
      <c r="N319" s="476" t="str">
        <f>INDEX(Input!$1:$1048576,N$93,$C319*2+MIN($B319,2)+5)</f>
        <v>Market</v>
      </c>
      <c r="O319" s="476" t="str">
        <f>INDEX(Input!$1:$1048576,O$93,$C319*2+MIN($B319,2)+5)</f>
        <v>Market</v>
      </c>
      <c r="P319" s="476" t="str">
        <f>INDEX(Input!$1:$1048576,P$93,$C319*2+MIN($B319,2)+5)</f>
        <v>N</v>
      </c>
      <c r="Q319" s="477">
        <f>INDEX(Input!$1:$1048576,Q$93,$C319*2+MIN($B319,2)+5)</f>
        <v>0</v>
      </c>
      <c r="R319" s="478">
        <f>IFERROR(MAX(0,INDEX(Input!$1:$1048576,R$93,$C319*2+MIN($B319,2)+5)-0%,),"Market")</f>
        <v>0</v>
      </c>
      <c r="S319" s="478">
        <f>IFERROR(MAX(0,INDEX(Input!$1:$1048576,S$93,$C319*2+MIN($B319,2)+5)-0%,),"Market")</f>
        <v>0</v>
      </c>
      <c r="T319" s="478">
        <f>IFERROR(MAX(0,INDEX(Input!$1:$1048576,T$93,$C319*2+MIN($B319,2)+5)-0%,),"Market")</f>
        <v>0</v>
      </c>
      <c r="U319" s="478">
        <f>IFERROR(MAX(0,INDEX(Input!$1:$1048576,U$93,$C319*2+MIN($B319,2)+5)-0%,),"Market")</f>
        <v>0</v>
      </c>
      <c r="V319" s="478">
        <f>IFERROR(MAX(0,INDEX(Input!$1:$1048576,V$93,$C319*2+MIN($B319,2)+5)-0%,),"Market")</f>
        <v>1.9E-2</v>
      </c>
      <c r="W319" s="885">
        <f>IFERROR(MAX(0,INDEX(Input!$1:$1048576,W$93,$C319*2+MIN($B319,2)+5)-0%,),"Market")</f>
        <v>3.9E-2</v>
      </c>
      <c r="X319" s="476" t="str">
        <f>INDEX(Input!$1:$1048576,X$93,$C319*2+MIN($B319,2)+5)</f>
        <v>Y</v>
      </c>
      <c r="Y319" s="475">
        <f>INDEX(Input!$1:$1048576,Y$93,$C319*2+MIN($B319,2)+5)</f>
        <v>1554.9999999999991</v>
      </c>
      <c r="Z319" s="477">
        <f>INDEX(Input!$1:$1048576,Z$93,$C319*2+MIN($B319,2)+5)</f>
        <v>0</v>
      </c>
      <c r="AA319" s="475">
        <f>INDEX(Input!$1:$1048576,AA$93,$C319*2+MIN($B319,2)+5)-AA$102</f>
        <v>0</v>
      </c>
      <c r="AB319" s="476">
        <f>INDEX(Input!$1:$1048576,AB$93,$C319*2+MIN($B319,2)+5)</f>
        <v>0.27</v>
      </c>
      <c r="AC319" s="475">
        <f>INDEX(Input!$1:$1048576,AC$93,$C319*2+MIN($B319,2)+5)-AC$102</f>
        <v>0</v>
      </c>
      <c r="AD319" s="476">
        <f>INDEX(Input!$1:$1048576,AD$93,$C319*2+MIN($B319,2)+5)</f>
        <v>0.27</v>
      </c>
      <c r="AE319" s="475">
        <f>INDEX(Input!$1:$1048576,AE$93,$C319*2+MIN($B319,2)+5)</f>
        <v>0</v>
      </c>
      <c r="AF319" s="476">
        <f>INDEX(Input!$1:$1048576,AF$93,$C319*2+MIN($B319,2)+5)</f>
        <v>0.68200000000000005</v>
      </c>
      <c r="AG319" s="475">
        <f>INDEX(Input!$1:$1048576,AG$93,$C319*2+MIN($B319,2)+5)</f>
        <v>500</v>
      </c>
      <c r="AH319" s="476">
        <f>INDEX(Input!$1:$1048576,AH$93,$C319*2+MIN($B319,2)+5)</f>
        <v>1</v>
      </c>
      <c r="AI319" s="475">
        <f>INDEX(Input!$1:$1048576,AI$93,$C319*2+MIN($B319,2)+5)</f>
        <v>0</v>
      </c>
      <c r="AJ319" s="476">
        <f>INDEX(Input!$1:$1048576,AJ$93,$C319*2+MIN($B319,2)+5)</f>
        <v>0.27</v>
      </c>
      <c r="AK319" s="150">
        <f>ROUND(INDEX(Input!$1:$1048576,AK$93,$C318*2+MIN($B319,1)+5)+(Y319-VLOOKUP($C319*1000+1,$A:$HH,Y$92,FALSE)),0)</f>
        <v>2977</v>
      </c>
      <c r="AL319" s="150">
        <f>ROUND(INDEX(Input!$1:$1048576,AL$93,$C318*2+MIN($B319,1)+5)-(Y319-VLOOKUP($C319*1000+1,$A:$HH,Y$92,FALSE))/36,0)</f>
        <v>3395</v>
      </c>
      <c r="AM319" s="32" t="str">
        <f t="shared" si="907"/>
        <v>std/std/std/std</v>
      </c>
      <c r="AN319" s="32" t="str">
        <f t="shared" si="908"/>
        <v>$0 + 0/0/0/1.9/3.9</v>
      </c>
      <c r="AO319" s="32" t="str">
        <f t="shared" si="909"/>
        <v>0/0/0/1.9/3.9</v>
      </c>
      <c r="AP319" s="32" t="str">
        <f t="shared" si="863"/>
        <v>0/0.9/1.9/3.9</v>
      </c>
      <c r="AQ319" s="536">
        <f t="shared" si="862"/>
        <v>0.30879128820455942</v>
      </c>
      <c r="AR319" s="32"/>
      <c r="AS319" s="302"/>
      <c r="AT319" s="3">
        <f t="shared" si="930"/>
        <v>19</v>
      </c>
      <c r="AU319" s="41" t="s">
        <v>121</v>
      </c>
      <c r="AV319" s="41" t="s">
        <v>116</v>
      </c>
      <c r="AW319" s="41" t="str">
        <f>INDEX(Input!$1:$1048576,AW$93,$C319*2+6)</f>
        <v>Kia</v>
      </c>
      <c r="AX319" s="41" t="str">
        <f>INDEX(Input!$1:$1048576,AX$93,$C319*2+6)</f>
        <v>Kia-LR - L3</v>
      </c>
      <c r="AY319" s="41" t="str">
        <f>IF(LEN(D319)=0,"",INDEX(Input!$1:$1048576,AY$93,$C319*2+6))</f>
        <v>Compact SUV (52)</v>
      </c>
      <c r="AZ319" s="41" t="str">
        <f>INDEX(Input!$1:$1048576,AZ$93,$C319*2+6)</f>
        <v>Kia Soul</v>
      </c>
      <c r="BA319" s="3">
        <f>INDEX(Input!$1:$1048576,BA$93,$C319*2+6)</f>
        <v>2020</v>
      </c>
      <c r="BB319" s="128">
        <f>INDEX(Input!$1:$1048576,BB$93,$C319*2+6)</f>
        <v>1</v>
      </c>
      <c r="BC319" s="128">
        <f>INDEX(Input!$1:$1048576,BC$93,$C319*2+6)</f>
        <v>0.7</v>
      </c>
      <c r="BD319" s="1">
        <f>INDEX(Input!$1:$1048576,BD$93,$C319*2+6)</f>
        <v>4.4999999999999998E-2</v>
      </c>
      <c r="BE319" s="1">
        <f>INDEX(Input!$1:$1048576,BE$93,$C319*2+6)</f>
        <v>4.4999999999999998E-2</v>
      </c>
      <c r="BF319" s="1">
        <f>INDEX(Input!$1:$1048576,BF$93,$C319*2+6)</f>
        <v>0.05</v>
      </c>
      <c r="BG319" s="1">
        <f>INDEX(Input!$1:$1048576,BG$93,$C319*2+6)</f>
        <v>5.45E-2</v>
      </c>
      <c r="BH319" s="1">
        <f>INDEX(Input!$1:$1048576,BH$93,$C319*2+6)</f>
        <v>5.45E-2</v>
      </c>
      <c r="BI319" s="1">
        <f>INDEX(Input!$1:$1048576,BI$93,$C319*2+6)</f>
        <v>0.05</v>
      </c>
      <c r="BJ319" s="1">
        <f>INDEX(Input!$1:$1048576,BJ$93,$C319*2+6)</f>
        <v>0.05</v>
      </c>
      <c r="BK319" s="1">
        <f>INDEX(Input!$1:$1048576,BK$93,$C319*2+6)</f>
        <v>0.05</v>
      </c>
      <c r="BL319" s="1">
        <f>INDEX(Input!$1:$1048576,BL$93,$C319*2+6)</f>
        <v>5.5E-2</v>
      </c>
      <c r="BM319" s="1">
        <f>INDEX(Input!$1:$1048576,BM$93,$C319*2+6)</f>
        <v>0.06</v>
      </c>
      <c r="BN319" s="1">
        <f>INDEX(Input!$1:$1048576,BN$93,$C319*2+6)</f>
        <v>4.4999999999999998E-2</v>
      </c>
      <c r="BO319" s="1">
        <f>INDEX(Input!$1:$1048576,BO$93,$C319*2+6)</f>
        <v>4.4999999999999998E-2</v>
      </c>
      <c r="BP319" s="1">
        <f>INDEX(Input!$1:$1048576,BP$93,$C319*2+6)</f>
        <v>0.05</v>
      </c>
      <c r="BQ319" s="1">
        <f>INDEX(Input!$1:$1048576,BQ$93,$C319*2+6)</f>
        <v>5.45E-2</v>
      </c>
      <c r="BR319" s="1">
        <f>INDEX(Input!$1:$1048576,BR$93,$C319*2+6)</f>
        <v>5.45E-2</v>
      </c>
      <c r="BS319" s="1">
        <f>INDEX(Input!$1:$1048576,BS$93,$C319*2+6)</f>
        <v>0.05</v>
      </c>
      <c r="BT319" s="1">
        <f>INDEX(Input!$1:$1048576,BT$93,$C319*2+6)</f>
        <v>0.05</v>
      </c>
      <c r="BU319" s="1">
        <f>INDEX(Input!$1:$1048576,BU$93,$C319*2+6)</f>
        <v>0.05</v>
      </c>
      <c r="BV319" s="1">
        <f>INDEX(Input!$1:$1048576,BV$93,$C319*2+6)</f>
        <v>5.5E-2</v>
      </c>
      <c r="BW319" s="1">
        <f>INDEX(Input!$1:$1048576,BW$93,$C319*2+6)</f>
        <v>0.06</v>
      </c>
      <c r="BX319" s="127">
        <f>INDEX(Input!$1:$1048576,BX$93,$C319*2+6)</f>
        <v>19985</v>
      </c>
      <c r="BY319" s="20">
        <f>INDEX(Input!$1:$1048576,BY$93,$C319*2+6)</f>
        <v>0.1</v>
      </c>
      <c r="BZ319" s="20">
        <f>INDEX(Input!$1:$1048576,BZ$93,$C319*2+6)</f>
        <v>0.1</v>
      </c>
      <c r="CA319" s="20">
        <f>INDEX(Input!$1:$1048576,CA$93,$C319*2+6)</f>
        <v>0.1</v>
      </c>
      <c r="CB319" s="20">
        <f>INDEX(Input!$1:$1048576,CB$93,$C319*2+6)</f>
        <v>0.1</v>
      </c>
      <c r="CC319" s="20">
        <f>INDEX(Input!$1:$1048576,CC$93,$C319*2+6)</f>
        <v>0.1</v>
      </c>
      <c r="CD319" s="384">
        <f>INDEX(Input!$1:$1048576,CD$93,$C319*2+6)</f>
        <v>0.1</v>
      </c>
      <c r="CE319" s="384">
        <f>INDEX(Input!$1:$1048576,CE$93,$C319*2+6)</f>
        <v>0.1</v>
      </c>
      <c r="CF319" s="384">
        <f>INDEX(Input!$1:$1048576,CF$93,$C319*2+6)</f>
        <v>0.1</v>
      </c>
      <c r="CG319" s="384">
        <f>INDEX(Input!$1:$1048576,CG$93,$C319*2+6)</f>
        <v>0.1</v>
      </c>
      <c r="CH319" s="384">
        <f>INDEX(Input!$1:$1048576,CH$93,$C319*2+6)</f>
        <v>0.1</v>
      </c>
      <c r="CI319" s="304">
        <f t="shared" si="864"/>
        <v>1287.0236024844721</v>
      </c>
      <c r="CJ319" s="16" t="str">
        <f>INDEX(Input!$1:$1048576,CJ$93,$C319*2+6)</f>
        <v>N</v>
      </c>
      <c r="CK319" s="1" t="str">
        <f t="shared" si="865"/>
        <v>Market</v>
      </c>
      <c r="CL319" s="1" t="str">
        <f t="shared" si="866"/>
        <v>Market</v>
      </c>
      <c r="CM319" s="1" t="str">
        <f t="shared" si="867"/>
        <v>Market</v>
      </c>
      <c r="CN319" s="1" t="str">
        <f t="shared" si="868"/>
        <v>Market</v>
      </c>
      <c r="CO319" s="1" t="str">
        <f t="shared" si="869"/>
        <v>Market</v>
      </c>
      <c r="CP319" s="304">
        <f t="shared" si="870"/>
        <v>500</v>
      </c>
      <c r="CQ319" s="1">
        <f t="shared" si="871"/>
        <v>0</v>
      </c>
      <c r="CR319" s="1">
        <f t="shared" si="872"/>
        <v>0</v>
      </c>
      <c r="CS319" s="1">
        <f t="shared" si="873"/>
        <v>0</v>
      </c>
      <c r="CT319" s="1">
        <f t="shared" si="874"/>
        <v>1.9E-2</v>
      </c>
      <c r="CU319" s="1">
        <f t="shared" si="875"/>
        <v>3.9E-2</v>
      </c>
      <c r="CV319" s="304">
        <f t="shared" si="876"/>
        <v>1554.9999999999991</v>
      </c>
      <c r="CW319" s="20" t="s">
        <v>122</v>
      </c>
      <c r="CX319" s="20" t="s">
        <v>122</v>
      </c>
      <c r="CY319" s="20" t="s">
        <v>122</v>
      </c>
      <c r="CZ319" s="20" t="s">
        <v>122</v>
      </c>
      <c r="DA319" s="20" t="s">
        <v>122</v>
      </c>
      <c r="DB319" s="503">
        <f t="shared" si="877"/>
        <v>0</v>
      </c>
      <c r="DC319" s="127">
        <v>0</v>
      </c>
      <c r="DD319" s="127">
        <v>0</v>
      </c>
      <c r="DE319" s="127">
        <v>0</v>
      </c>
      <c r="DF319" s="127">
        <v>0</v>
      </c>
      <c r="DG319" s="127">
        <v>0</v>
      </c>
      <c r="DH319" s="127">
        <v>0</v>
      </c>
      <c r="DI319" s="127">
        <v>0</v>
      </c>
      <c r="DJ319" s="127">
        <v>0</v>
      </c>
      <c r="DK319" s="127">
        <v>0</v>
      </c>
      <c r="DL319" s="127">
        <v>0</v>
      </c>
      <c r="DM319" s="304">
        <f>INDEX(Input!$1:$1048576,DM$93,$C319*2+6)</f>
        <v>21036.84210526316</v>
      </c>
      <c r="DN319" s="20">
        <v>0</v>
      </c>
      <c r="DO319" s="20">
        <v>0</v>
      </c>
      <c r="DP319" s="20">
        <v>0</v>
      </c>
      <c r="DQ319" s="20">
        <v>0</v>
      </c>
      <c r="DR319" s="20">
        <v>0</v>
      </c>
      <c r="DS319" s="20">
        <f>INDEX(Input!$1:$1048576,DS$93,$C319*2+6)</f>
        <v>0.6</v>
      </c>
      <c r="DT319" s="20">
        <f>INDEX(Input!$1:$1048576,DT$93,$C319*2+6)</f>
        <v>0.55000000000000004</v>
      </c>
      <c r="DU319" s="20">
        <f>INDEX(Input!$1:$1048576,DU$93,$C319*2+6)</f>
        <v>0.52</v>
      </c>
      <c r="DV319" s="20">
        <f>INDEX(Input!$1:$1048576,DV$93,$C319*2+6)</f>
        <v>0.5</v>
      </c>
      <c r="DW319" s="20">
        <f>INDEX(Input!$1:$1048576,DW$93,$C319*2+6)</f>
        <v>0.45</v>
      </c>
      <c r="DX319" s="20"/>
      <c r="DY319" s="7">
        <v>9.6779289811108893E-2</v>
      </c>
      <c r="DZ319" s="7">
        <v>0</v>
      </c>
      <c r="EA319" s="7">
        <v>0.68604234345627058</v>
      </c>
      <c r="EB319" s="7">
        <v>0</v>
      </c>
      <c r="EC319" s="7">
        <v>0</v>
      </c>
      <c r="ED319" s="7">
        <v>0</v>
      </c>
      <c r="EE319" s="7">
        <v>0</v>
      </c>
      <c r="EF319" s="7">
        <v>0</v>
      </c>
      <c r="EG319" s="7">
        <v>0</v>
      </c>
      <c r="EH319" s="7">
        <v>1.1999613941171702E-2</v>
      </c>
      <c r="EI319" s="7">
        <v>3.3592673614448863E-2</v>
      </c>
      <c r="EJ319" s="7">
        <v>0.27011747700723998</v>
      </c>
      <c r="EK319" s="7">
        <v>0.54275734337010595</v>
      </c>
      <c r="EL319" s="7">
        <v>0.14153289206703379</v>
      </c>
      <c r="EM319" s="7">
        <v>4.8698379593462016E-2</v>
      </c>
      <c r="EN319" s="7">
        <v>6.2164294068788296E-2</v>
      </c>
      <c r="EO319" s="7">
        <v>0.77660611878077501</v>
      </c>
      <c r="EP319" s="7">
        <v>6.637433874408645E-2</v>
      </c>
      <c r="EQ319" s="7">
        <v>6.2154351800725913E-2</v>
      </c>
      <c r="ER319" s="7">
        <v>3.2700896605624336E-2</v>
      </c>
      <c r="ES319" s="7">
        <v>0.16847998713915846</v>
      </c>
      <c r="ET319" s="7">
        <v>0.21717836673262056</v>
      </c>
      <c r="EU319" s="6">
        <v>1341</v>
      </c>
      <c r="EV319" s="6">
        <v>0</v>
      </c>
      <c r="EW319" s="6">
        <v>1341</v>
      </c>
      <c r="EX319" s="6">
        <v>0</v>
      </c>
      <c r="EY319" s="6">
        <v>2065.3744065796832</v>
      </c>
      <c r="EZ319" s="6">
        <v>2154</v>
      </c>
      <c r="FA319" s="6">
        <v>0</v>
      </c>
      <c r="FB319" s="6">
        <v>0</v>
      </c>
      <c r="FC319" s="6">
        <v>0</v>
      </c>
      <c r="FD319" s="6">
        <v>0</v>
      </c>
      <c r="FE319" s="6">
        <v>0</v>
      </c>
      <c r="FF319" s="6">
        <v>0</v>
      </c>
      <c r="FG319" s="6">
        <v>0</v>
      </c>
      <c r="FH319" s="6">
        <v>1171.997187630458</v>
      </c>
      <c r="FI319" s="6">
        <v>1553.9796069512395</v>
      </c>
      <c r="FJ319" s="6">
        <v>2101.2110117447414</v>
      </c>
      <c r="FK319" s="6">
        <v>1772.7139978623236</v>
      </c>
      <c r="FL319" s="6">
        <v>907.07682140966324</v>
      </c>
      <c r="FM319" s="6">
        <v>1724.3744065796832</v>
      </c>
      <c r="FN319" s="6">
        <v>0</v>
      </c>
      <c r="FO319" s="6">
        <v>0</v>
      </c>
      <c r="FP319" s="6">
        <v>0</v>
      </c>
      <c r="FQ319" s="6">
        <v>0</v>
      </c>
      <c r="FR319" s="6">
        <v>0</v>
      </c>
      <c r="FS319" s="6">
        <v>0</v>
      </c>
      <c r="FT319" s="7">
        <v>0.78282163326737941</v>
      </c>
      <c r="FU319" s="7">
        <v>4.8698379593462016E-2</v>
      </c>
      <c r="FV319" s="7">
        <v>0.16847998713915846</v>
      </c>
      <c r="FW319" s="6">
        <v>1341.0000000000002</v>
      </c>
      <c r="FX319" s="6">
        <v>2065.3744065796832</v>
      </c>
      <c r="FY319" s="6">
        <v>2154</v>
      </c>
      <c r="FZ319" s="6">
        <v>1858.9243755539039</v>
      </c>
      <c r="GA319" s="6">
        <v>1513.250089363542</v>
      </c>
      <c r="GB319" s="6">
        <v>18471.749910636459</v>
      </c>
      <c r="GC319" s="7">
        <v>2.9156573141622111E-2</v>
      </c>
      <c r="GD319" s="7">
        <v>2.8583161679478924E-2</v>
      </c>
      <c r="GE319" s="7"/>
      <c r="GF319" s="7"/>
      <c r="GG319" s="7">
        <v>-1.966662746537319E-2</v>
      </c>
      <c r="GH319" s="42">
        <v>1.1370170290278359</v>
      </c>
      <c r="GI319" s="6">
        <v>19089.943744591765</v>
      </c>
      <c r="GJ319" s="14">
        <v>0.50394797582841722</v>
      </c>
      <c r="GK319" s="14">
        <v>0.50887573065309732</v>
      </c>
      <c r="GL319" s="14">
        <v>0.49605202417158278</v>
      </c>
      <c r="GM319" s="14">
        <v>0.49112426934690234</v>
      </c>
      <c r="GO319" s="5">
        <v>343.14810671672558</v>
      </c>
      <c r="GP319" s="5">
        <v>317.56438497502324</v>
      </c>
      <c r="GQ319" s="5">
        <v>535.04305713031317</v>
      </c>
      <c r="GR319" s="5">
        <v>410.15490233172511</v>
      </c>
      <c r="GS319" s="5">
        <v>339.42744393800166</v>
      </c>
      <c r="GT319" s="5">
        <v>293.4407446948278</v>
      </c>
      <c r="GU319" s="5">
        <v>258.04012322764959</v>
      </c>
      <c r="GV319" s="39" t="s">
        <v>392</v>
      </c>
      <c r="GW319" s="5">
        <v>490.15277777777777</v>
      </c>
      <c r="GX319" s="5">
        <v>367.61458333333331</v>
      </c>
      <c r="GY319" s="5">
        <v>294.09166666666664</v>
      </c>
      <c r="GZ319" s="5">
        <v>259.50486119736382</v>
      </c>
      <c r="HA319" s="5">
        <v>240.38152427622927</v>
      </c>
      <c r="HB319" s="39">
        <v>272.54016121361462</v>
      </c>
      <c r="HC319" s="5">
        <v>193.046875</v>
      </c>
      <c r="HD319" s="5">
        <v>175.48455774853798</v>
      </c>
      <c r="HE319" s="5">
        <v>181.24459767206474</v>
      </c>
      <c r="HF319" s="5">
        <v>171.09750548245611</v>
      </c>
      <c r="HG319" s="5">
        <v>169.34638157894736</v>
      </c>
      <c r="HH319" s="39">
        <v>176.48522738956774</v>
      </c>
      <c r="HI319" s="16"/>
      <c r="HJ319" s="19" t="str">
        <f t="shared" ref="HJ319:HK319" si="966">HJ318</f>
        <v>On</v>
      </c>
      <c r="HK319" s="1" t="str">
        <f t="shared" si="966"/>
        <v>On</v>
      </c>
      <c r="HL319" s="16"/>
      <c r="HM319" s="639">
        <f t="shared" si="878"/>
        <v>2.2758057894877178E-2</v>
      </c>
      <c r="HN319" s="639">
        <f t="shared" si="879"/>
        <v>1.416759231746561E-3</v>
      </c>
      <c r="HO319" s="639">
        <f t="shared" si="880"/>
        <v>4.5732401537654987E-3</v>
      </c>
      <c r="HP319" s="644">
        <f>(FT319*$GD319-HM319)/$JF319*INDEX(Input!$1:$1048576,$JG$93,$C319*2+6)</f>
        <v>-21.423720422082912</v>
      </c>
      <c r="HQ319" s="644">
        <f>(FU319*$GD319-HN319)/$JF319*INDEX(Input!$1:$1048576,$JG$93,$C319*2+6)</f>
        <v>-1.3892060333072269</v>
      </c>
      <c r="HR319" s="644">
        <f>(FV319*$GD319-HO319)/$JF319*INDEX(Input!$1:$1048576,$JG$93,$C319*2+6)</f>
        <v>13.578148784110358</v>
      </c>
      <c r="HS319" s="644">
        <f t="shared" ref="HS319" si="967">IF(AND(HJ319="On",HK319="On"),IL319/1000*INDEX(KG:KG,MATCH(C319*1000+3,$KF:$KF,0))*SUM(HY319:IA319)*1.1
+INDEX(HR:HR,MATCH(C319*1000+4,$KF:$KF,0))/INDEX(IM:IM,MATCH(C319*1000+4,$KF:$KF,0))*IM319*20%,0)</f>
        <v>6.4663471435917756</v>
      </c>
      <c r="HT319" s="644">
        <f t="shared" si="882"/>
        <v>-7.2389488717399058</v>
      </c>
      <c r="HU319" s="644">
        <f t="shared" si="883"/>
        <v>-6.8511361358938344E-2</v>
      </c>
      <c r="HV319" s="648">
        <f t="shared" si="884"/>
        <v>0</v>
      </c>
      <c r="HW319" s="648">
        <f t="shared" si="885"/>
        <v>0</v>
      </c>
      <c r="HX319" s="648">
        <f t="shared" si="886"/>
        <v>0</v>
      </c>
      <c r="HY319" s="644">
        <f>INDEX(Input!$1:$1048576,HY$93,$C319*2+6)*INDEX(Input!$1:$1048576,$JG$93,$C319*2+6)</f>
        <v>509.00000000000006</v>
      </c>
      <c r="HZ319" s="644">
        <f>INDEX(Input!$1:$1048576,HZ$93,$C319*2+6)*INDEX(Input!$1:$1048576,$JG$93,$C319*2+6)</f>
        <v>844</v>
      </c>
      <c r="IA319" s="644">
        <f>INDEX(Input!$1:$1048576,IA$93,$C319*2+6)*INDEX(Input!$1:$1048576,$JG$93,$C319*2+6)</f>
        <v>257</v>
      </c>
      <c r="IB319" s="644">
        <f t="shared" si="910"/>
        <v>494.04262672150884</v>
      </c>
      <c r="IC319" s="644">
        <f t="shared" si="911"/>
        <v>835.37184509495285</v>
      </c>
      <c r="ID319" s="644">
        <f>IF(AND(INDEX(Input!$1:$1048576,IA$93,$C319*2+7)="TOS",Y319&lt;=INDEX(Y:Y,MATCH(C319*1000+2,A:A))),0,1)*MAX(IA319+HR319+HU319+HX319,0%)</f>
        <v>270.50963742275138</v>
      </c>
      <c r="IE319" s="128">
        <f t="shared" ref="IE319" si="968">IB319/SUM($IB319:$ID319)</f>
        <v>0.30879128820455942</v>
      </c>
      <c r="IF319" s="128">
        <f t="shared" ref="IF319" si="969">IC319/SUM($IB319:$ID319)</f>
        <v>0.52213216881404723</v>
      </c>
      <c r="IG319" s="128">
        <f t="shared" si="888"/>
        <v>0.16907654298139341</v>
      </c>
      <c r="IH319" s="21"/>
      <c r="II319" s="19">
        <f t="shared" si="889"/>
        <v>1410.4999999999998</v>
      </c>
      <c r="IJ319" s="19">
        <f t="shared" si="890"/>
        <v>2134.9731585778086</v>
      </c>
      <c r="IK319" s="19">
        <f t="shared" si="891"/>
        <v>2103.5</v>
      </c>
      <c r="IL319" s="19">
        <f t="shared" si="913"/>
        <v>-69.499999999999545</v>
      </c>
      <c r="IM319" s="19">
        <f t="shared" si="892"/>
        <v>-69.598751998125408</v>
      </c>
      <c r="IN319" s="19">
        <f t="shared" si="893"/>
        <v>50.5</v>
      </c>
      <c r="IO319" s="39">
        <f t="shared" si="894"/>
        <v>0</v>
      </c>
      <c r="IP319" s="39">
        <f t="shared" si="895"/>
        <v>0</v>
      </c>
      <c r="IQ319" s="39">
        <f t="shared" si="896"/>
        <v>0</v>
      </c>
      <c r="IR319" s="39">
        <v>0</v>
      </c>
      <c r="IS319" s="39">
        <v>0</v>
      </c>
      <c r="IT319" s="39">
        <v>0</v>
      </c>
      <c r="IU319" s="39">
        <v>0</v>
      </c>
      <c r="IV319" s="39">
        <v>0</v>
      </c>
      <c r="IW319" s="39">
        <v>0</v>
      </c>
      <c r="IX319" s="39">
        <f>INDEX(Input!$1:$1048576,IX$93,$C319*2+6)+INDEX(Input!$1:$1048576,IX$94,$C319*2+6)</f>
        <v>1611</v>
      </c>
      <c r="IY319" s="39">
        <f>INDEX(Input!$1:$1048576,IY$93,$C319*2+6)+INDEX(Input!$1:$1048576,IY$94,$C319*2+6)</f>
        <v>2471.0624533823611</v>
      </c>
      <c r="IZ319" s="39">
        <f>INDEX(Input!$1:$1048576,IZ$93,$C319*2+6)+INDEX(Input!$1:$1048576,IZ$94,$C319*2+6)</f>
        <v>3994.7164157747857</v>
      </c>
      <c r="JA319" s="19">
        <f t="shared" si="914"/>
        <v>1541.5000000000005</v>
      </c>
      <c r="JB319" s="19">
        <f t="shared" si="915"/>
        <v>2401.4637013842357</v>
      </c>
      <c r="JC319" s="19">
        <f t="shared" si="916"/>
        <v>4045.2164157747857</v>
      </c>
      <c r="JD319" s="19">
        <f t="shared" si="917"/>
        <v>2413.8344286900729</v>
      </c>
      <c r="JE319" s="21"/>
      <c r="JF319" s="1">
        <f t="shared" si="897"/>
        <v>2.8748057280389237E-2</v>
      </c>
      <c r="JG319" s="15">
        <f>INDEX(Input!$1:$1048576,JG$93,$C319*2+6)/(1+VLOOKUP(C319*1000+INDEX(Input!$1:$1048576,JG$93+1,$C319*2+6),$A:$KK,$JK$92,FALSE))</f>
        <v>1610</v>
      </c>
      <c r="JH319" s="1">
        <f t="shared" si="918"/>
        <v>-5.735886752347691E-3</v>
      </c>
      <c r="JI319" s="1">
        <f t="shared" si="919"/>
        <v>-5.2243049037706117E-4</v>
      </c>
      <c r="JJ319" s="1">
        <f t="shared" ref="JJ319" si="970">SUM(HV319:HX319)/SUM(HY319:IA319)</f>
        <v>0</v>
      </c>
      <c r="JK319" s="1">
        <f t="shared" ref="JK319" si="971">SUM(JH319:JJ319)</f>
        <v>-6.258317242724752E-3</v>
      </c>
      <c r="JL319" s="15">
        <f t="shared" si="922"/>
        <v>-10.075890760786852</v>
      </c>
      <c r="JM319" s="15">
        <f t="shared" si="948"/>
        <v>1599.9241092392131</v>
      </c>
      <c r="JN319" s="21"/>
      <c r="JO319" s="19">
        <f>INDEX(Input!$1:$1048576,JO$93,$C319*2+6)</f>
        <v>5995.5</v>
      </c>
      <c r="JP319" s="19">
        <f>INDEX(Input!$1:$1048576,JP$93,$C319*2+6)</f>
        <v>2442.3713226762939</v>
      </c>
      <c r="JQ319" s="39">
        <f t="shared" si="934"/>
        <v>3581.6655713099271</v>
      </c>
      <c r="JR319" s="39">
        <f t="shared" si="951"/>
        <v>-28.536893986221003</v>
      </c>
      <c r="JS319" s="39">
        <f t="shared" si="936"/>
        <v>3.8619518981729093</v>
      </c>
      <c r="JT319" s="39">
        <f t="shared" si="924"/>
        <v>-7.0265931335923723E-2</v>
      </c>
      <c r="JU319" s="385">
        <f>(JQ319*JM319-INDEX(Input!$1:$1048576,Input!A$18,$C319*2+6)*JL319*INDEX(Input!$1:$1048576,Input!A$19,$C319*2+6))/1000000</f>
        <v>5.7303930987707927</v>
      </c>
      <c r="JV319" s="39">
        <f t="shared" si="958"/>
        <v>9.8559282796255587E-3</v>
      </c>
      <c r="JW319" s="1">
        <f t="shared" si="949"/>
        <v>1.7229025851744138E-3</v>
      </c>
      <c r="JX319" s="19">
        <f t="shared" si="940"/>
        <v>6973.669425772584</v>
      </c>
      <c r="JZ319" s="341"/>
      <c r="KA319" s="342"/>
      <c r="KB319" s="469">
        <f t="shared" si="937"/>
        <v>2.5190675447988795</v>
      </c>
      <c r="KI319" s="473">
        <f t="shared" si="964"/>
        <v>-14.957373278491218</v>
      </c>
      <c r="KJ319" s="473">
        <f t="shared" si="965"/>
        <v>-8.6281549050470403</v>
      </c>
      <c r="KK319" s="473">
        <f t="shared" si="926"/>
        <v>13.509637422751382</v>
      </c>
      <c r="KN319" s="544">
        <f t="shared" si="941"/>
        <v>3002</v>
      </c>
      <c r="KO319" s="541">
        <f t="shared" si="901"/>
        <v>-3.5685710746291788E-2</v>
      </c>
      <c r="KP319" s="546">
        <f t="shared" si="902"/>
        <v>-247.25160535649587</v>
      </c>
      <c r="KQ319" s="546">
        <f t="shared" si="903"/>
        <v>-222.07899669862536</v>
      </c>
      <c r="KR319" s="548">
        <f t="shared" si="904"/>
        <v>2.503985704445852</v>
      </c>
      <c r="KS319" s="548">
        <f t="shared" si="905"/>
        <v>2.7878119696935091</v>
      </c>
      <c r="KT319" s="473">
        <f t="shared" si="939"/>
        <v>1026.1618045255443</v>
      </c>
      <c r="KU319" s="663">
        <f t="shared" si="927"/>
        <v>4.6292925241030476</v>
      </c>
      <c r="KV319" s="117"/>
    </row>
    <row r="320" spans="1:308" s="26" customFormat="1" ht="15">
      <c r="A320" s="561">
        <f t="shared" si="906"/>
        <v>3020</v>
      </c>
      <c r="B320" s="561">
        <f t="shared" si="928"/>
        <v>20</v>
      </c>
      <c r="C320" s="561">
        <f t="shared" si="929"/>
        <v>3</v>
      </c>
      <c r="D320" s="765" t="str">
        <f>"Plan B: "&amp;IF(E320=INDEX(E:E,MATCH(C320*1000+2,A:A,0)),"",E320-INDEX(E:E,MATCH(C320*1000+2,A:A,0))&amp;E$100&amp;", ")
&amp;IF(F320=INDEX(F:F,MATCH(C320*1000+2,A:A,0)),"",F320-INDEX(F:F,MATCH(C320*1000+2,A:A,0))&amp;F$100&amp;", ")
&amp;IF(AM320=INDEX(AM:AM,MATCH(C320*1000+2,A:A,0)),"",AM320&amp;AM$100&amp;", ")
&amp;IF(AP320=INDEX(AP:AP,MATCH(C320*1000+2,A:A,0)),"",AP320&amp;AP$100&amp;", ")
&amp;IF(Q320=INDEX(Q:Q,MATCH(C320*1000+2,A:A,0)),"",Q320-INDEX(Q:Q,MATCH(C320*1000+2,A:A,0))&amp;Q$100&amp;", ")
&amp;IF(Y320=INDEX(Y:Y,MATCH(C320*1000+2,A:A,0)),"",Y320-INDEX(Y:Y,MATCH(C320*1000+2,A:A,0))&amp;Y$100&amp;", ")
&amp;IF(Z320=INDEX(Z:Z,MATCH(C320*1000+2,A:A,0)),"",Z320-INDEX(Z:Z,MATCH(C320*1000+2,A:A,0))&amp;Z$100&amp;", ")
&amp;IF(AA320=INDEX(AA:AA,MATCH(C320*1000+2,A:A,0)),"",AA320-INDEX(AA:AA,MATCH(C320*1000+2,A:A,0))&amp;AA$100&amp;", ")
&amp;IF(AC320=INDEX(AC:AC,MATCH(C320*1000+2,A:A,0)),"",AC320-INDEX(AC:AC,MATCH(C320*1000+2,A:A,0))&amp;AC$100&amp;", ")
&amp;IF(AE320=INDEX(AE:AE,MATCH(C320*1000+2,A:A,0)),"",AE320-INDEX(AE:AE,MATCH(C320*1000+2,A:A,0))&amp;AE$100&amp;", ")
&amp;IF(AG320=INDEX(AG:AG,MATCH(C320*1000+2,A:A,0)),"",AG320-INDEX(AG:AG,MATCH(C320*1000+2,A:A,0))&amp;AG$100&amp;", ")
&amp;IF(AI320=INDEX(AI:AI,MATCH(C320*1000+2,A:A,0)),"",AI320-INDEX(AI:AI,MATCH(C320*1000+2,A:A,0))&amp;AI$100&amp;", ")</f>
        <v xml:space="preserve">Plan B: </v>
      </c>
      <c r="E320" s="475">
        <f>INDEX(Input!$1:$1048576,E$93,$C320*2+MIN($B320,2)+5)</f>
        <v>1287.0236024844721</v>
      </c>
      <c r="F320" s="475">
        <f>INDEX(Input!$1:$1048576,F$93,$C320*2+MIN($B320,2)+5)</f>
        <v>0</v>
      </c>
      <c r="G320" s="475">
        <f>INDEX(Input!$1:$1048576,G$93,$C320*2+MIN($B320,2)+5)</f>
        <v>0</v>
      </c>
      <c r="H320" s="475">
        <f>INDEX(Input!$1:$1048576,H$93,$C320*2+MIN($B320,2)+5)</f>
        <v>0</v>
      </c>
      <c r="I320" s="476">
        <f>INDEX(Input!$1:$1048576,I$93,$C320*2+MIN($B320,2)+5)</f>
        <v>0.7</v>
      </c>
      <c r="J320" s="476" t="str">
        <f>INDEX(Input!$1:$1048576,J$93,$C320*2+MIN($B320,2)+5)</f>
        <v>Market</v>
      </c>
      <c r="K320" s="476" t="str">
        <f>INDEX(Input!$1:$1048576,K$93,$C320*2+MIN($B320,2)+5)</f>
        <v>Market</v>
      </c>
      <c r="L320" s="476" t="str">
        <f>INDEX(Input!$1:$1048576,L$93,$C320*2+MIN($B320,2)+5)</f>
        <v>Market</v>
      </c>
      <c r="M320" s="476" t="str">
        <f>INDEX(Input!$1:$1048576,M$93,$C320*2+MIN($B320,2)+5)</f>
        <v>Market</v>
      </c>
      <c r="N320" s="476" t="str">
        <f>INDEX(Input!$1:$1048576,N$93,$C320*2+MIN($B320,2)+5)</f>
        <v>Market</v>
      </c>
      <c r="O320" s="476" t="str">
        <f>INDEX(Input!$1:$1048576,O$93,$C320*2+MIN($B320,2)+5)</f>
        <v>Market</v>
      </c>
      <c r="P320" s="476" t="str">
        <f>INDEX(Input!$1:$1048576,P$93,$C320*2+MIN($B320,2)+5)</f>
        <v>N</v>
      </c>
      <c r="Q320" s="477">
        <f>INDEX(Input!$1:$1048576,Q$93,$C320*2+MIN($B320,2)+5)</f>
        <v>0</v>
      </c>
      <c r="R320" s="478">
        <f>IFERROR(MAX(0,INDEX(Input!$1:$1048576,R$93,$C320*2+MIN($B320,2)+5)-0%,),"Market")</f>
        <v>0</v>
      </c>
      <c r="S320" s="478">
        <f>IFERROR(MAX(0,INDEX(Input!$1:$1048576,S$93,$C320*2+MIN($B320,2)+5)-0%,),"Market")</f>
        <v>0</v>
      </c>
      <c r="T320" s="478">
        <f>IFERROR(MAX(0,INDEX(Input!$1:$1048576,T$93,$C320*2+MIN($B320,2)+5)-0%,),"Market")</f>
        <v>0</v>
      </c>
      <c r="U320" s="478">
        <f>IFERROR(MAX(0,INDEX(Input!$1:$1048576,U$93,$C320*2+MIN($B320,2)+5)-0%,),"Market")</f>
        <v>0</v>
      </c>
      <c r="V320" s="478">
        <f>IFERROR(MAX(0,INDEX(Input!$1:$1048576,V$93,$C320*2+MIN($B320,2)+5)-0%,),"Market")</f>
        <v>1.9E-2</v>
      </c>
      <c r="W320" s="885">
        <f>IFERROR(MAX(0,INDEX(Input!$1:$1048576,W$93,$C320*2+MIN($B320,2)+5)-0%,),"Market")</f>
        <v>3.9E-2</v>
      </c>
      <c r="X320" s="476" t="str">
        <f>INDEX(Input!$1:$1048576,X$93,$C320*2+MIN($B320,2)+5)</f>
        <v>Y</v>
      </c>
      <c r="Y320" s="475">
        <f>INDEX(Input!$1:$1048576,Y$93,$C320*2+MIN($B320,2)+5)</f>
        <v>1554.9999999999991</v>
      </c>
      <c r="Z320" s="477">
        <f>INDEX(Input!$1:$1048576,Z$93,$C320*2+MIN($B320,2)+5)</f>
        <v>0</v>
      </c>
      <c r="AA320" s="475">
        <f>INDEX(Input!$1:$1048576,AA$93,$C320*2+MIN($B320,2)+5)</f>
        <v>0</v>
      </c>
      <c r="AB320" s="476">
        <f>INDEX(Input!$1:$1048576,AB$93,$C320*2+MIN($B320,2)+5)</f>
        <v>0.27</v>
      </c>
      <c r="AC320" s="475">
        <f>INDEX(Input!$1:$1048576,AC$93,$C320*2+MIN($B320,2)+5)</f>
        <v>0</v>
      </c>
      <c r="AD320" s="476">
        <f>INDEX(Input!$1:$1048576,AD$93,$C320*2+MIN($B320,2)+5)</f>
        <v>0.27</v>
      </c>
      <c r="AE320" s="475">
        <f>INDEX(Input!$1:$1048576,AE$93,$C320*2+MIN($B320,2)+5)</f>
        <v>0</v>
      </c>
      <c r="AF320" s="476">
        <f>INDEX(Input!$1:$1048576,AF$93,$C320*2+MIN($B320,2)+5)</f>
        <v>0.68200000000000005</v>
      </c>
      <c r="AG320" s="475">
        <f>INDEX(Input!$1:$1048576,AG$93,$C320*2+MIN($B320,2)+5)</f>
        <v>500</v>
      </c>
      <c r="AH320" s="476">
        <f>INDEX(Input!$1:$1048576,AH$93,$C320*2+MIN($B320,2)+5)</f>
        <v>1</v>
      </c>
      <c r="AI320" s="475">
        <f>INDEX(Input!$1:$1048576,AI$93,$C320*2+MIN($B320,2)+5)</f>
        <v>0</v>
      </c>
      <c r="AJ320" s="476">
        <f>INDEX(Input!$1:$1048576,AJ$93,$C320*2+MIN($B320,2)+5)</f>
        <v>0.27</v>
      </c>
      <c r="AK320" s="150">
        <f>ROUND(INDEX(Input!$1:$1048576,AK$93,$C319*2+MIN($B320,1)+5)+(Y320-VLOOKUP($C320*1000+1,$A:$HH,Y$92,FALSE)),0)</f>
        <v>2977</v>
      </c>
      <c r="AL320" s="150">
        <f>ROUND(INDEX(Input!$1:$1048576,AL$93,$C319*2+MIN($B320,1)+5)-(Y320-VLOOKUP($C320*1000+1,$A:$HH,Y$92,FALSE))/36,0)</f>
        <v>3395</v>
      </c>
      <c r="AM320" s="32" t="str">
        <f t="shared" si="907"/>
        <v>std/std/std/std</v>
      </c>
      <c r="AN320" s="32" t="str">
        <f t="shared" si="908"/>
        <v>$0 + 0/0/0/1.9/3.9</v>
      </c>
      <c r="AO320" s="32" t="str">
        <f t="shared" si="909"/>
        <v>0/0/0/1.9/3.9</v>
      </c>
      <c r="AP320" s="32" t="str">
        <f t="shared" si="863"/>
        <v>0/0.9/1.9/3.9</v>
      </c>
      <c r="AQ320" s="536">
        <f t="shared" si="862"/>
        <v>0.31355633827926949</v>
      </c>
      <c r="AR320" s="32"/>
      <c r="AS320" s="302"/>
      <c r="AT320" s="3">
        <f t="shared" si="930"/>
        <v>20</v>
      </c>
      <c r="AU320" s="41" t="s">
        <v>121</v>
      </c>
      <c r="AV320" s="41" t="s">
        <v>116</v>
      </c>
      <c r="AW320" s="41" t="str">
        <f>INDEX(Input!$1:$1048576,AW$93,$C320*2+6)</f>
        <v>Kia</v>
      </c>
      <c r="AX320" s="41" t="str">
        <f>INDEX(Input!$1:$1048576,AX$93,$C320*2+6)</f>
        <v>Kia-LR - L3</v>
      </c>
      <c r="AY320" s="41" t="str">
        <f>IF(LEN(D320)=0,"",INDEX(Input!$1:$1048576,AY$93,$C320*2+6))</f>
        <v>Compact SUV (52)</v>
      </c>
      <c r="AZ320" s="41" t="str">
        <f>INDEX(Input!$1:$1048576,AZ$93,$C320*2+6)</f>
        <v>Kia Soul</v>
      </c>
      <c r="BA320" s="3">
        <f>INDEX(Input!$1:$1048576,BA$93,$C320*2+6)</f>
        <v>2020</v>
      </c>
      <c r="BB320" s="128">
        <f>INDEX(Input!$1:$1048576,BB$93,$C320*2+6)</f>
        <v>1</v>
      </c>
      <c r="BC320" s="128">
        <f>INDEX(Input!$1:$1048576,BC$93,$C320*2+6)</f>
        <v>0.7</v>
      </c>
      <c r="BD320" s="1">
        <f>INDEX(Input!$1:$1048576,BD$93,$C320*2+6)</f>
        <v>4.4999999999999998E-2</v>
      </c>
      <c r="BE320" s="1">
        <f>INDEX(Input!$1:$1048576,BE$93,$C320*2+6)</f>
        <v>4.4999999999999998E-2</v>
      </c>
      <c r="BF320" s="1">
        <f>INDEX(Input!$1:$1048576,BF$93,$C320*2+6)</f>
        <v>0.05</v>
      </c>
      <c r="BG320" s="1">
        <f>INDEX(Input!$1:$1048576,BG$93,$C320*2+6)</f>
        <v>5.45E-2</v>
      </c>
      <c r="BH320" s="1">
        <f>INDEX(Input!$1:$1048576,BH$93,$C320*2+6)</f>
        <v>5.45E-2</v>
      </c>
      <c r="BI320" s="1">
        <f>INDEX(Input!$1:$1048576,BI$93,$C320*2+6)</f>
        <v>0.05</v>
      </c>
      <c r="BJ320" s="1">
        <f>INDEX(Input!$1:$1048576,BJ$93,$C320*2+6)</f>
        <v>0.05</v>
      </c>
      <c r="BK320" s="1">
        <f>INDEX(Input!$1:$1048576,BK$93,$C320*2+6)</f>
        <v>0.05</v>
      </c>
      <c r="BL320" s="1">
        <f>INDEX(Input!$1:$1048576,BL$93,$C320*2+6)</f>
        <v>5.5E-2</v>
      </c>
      <c r="BM320" s="1">
        <f>INDEX(Input!$1:$1048576,BM$93,$C320*2+6)</f>
        <v>0.06</v>
      </c>
      <c r="BN320" s="1">
        <f>INDEX(Input!$1:$1048576,BN$93,$C320*2+6)</f>
        <v>4.4999999999999998E-2</v>
      </c>
      <c r="BO320" s="1">
        <f>INDEX(Input!$1:$1048576,BO$93,$C320*2+6)</f>
        <v>4.4999999999999998E-2</v>
      </c>
      <c r="BP320" s="1">
        <f>INDEX(Input!$1:$1048576,BP$93,$C320*2+6)</f>
        <v>0.05</v>
      </c>
      <c r="BQ320" s="1">
        <f>INDEX(Input!$1:$1048576,BQ$93,$C320*2+6)</f>
        <v>5.45E-2</v>
      </c>
      <c r="BR320" s="1">
        <f>INDEX(Input!$1:$1048576,BR$93,$C320*2+6)</f>
        <v>5.45E-2</v>
      </c>
      <c r="BS320" s="1">
        <f>INDEX(Input!$1:$1048576,BS$93,$C320*2+6)</f>
        <v>0.05</v>
      </c>
      <c r="BT320" s="1">
        <f>INDEX(Input!$1:$1048576,BT$93,$C320*2+6)</f>
        <v>0.05</v>
      </c>
      <c r="BU320" s="1">
        <f>INDEX(Input!$1:$1048576,BU$93,$C320*2+6)</f>
        <v>0.05</v>
      </c>
      <c r="BV320" s="1">
        <f>INDEX(Input!$1:$1048576,BV$93,$C320*2+6)</f>
        <v>5.5E-2</v>
      </c>
      <c r="BW320" s="1">
        <f>INDEX(Input!$1:$1048576,BW$93,$C320*2+6)</f>
        <v>0.06</v>
      </c>
      <c r="BX320" s="127">
        <f>INDEX(Input!$1:$1048576,BX$93,$C320*2+6)</f>
        <v>19985</v>
      </c>
      <c r="BY320" s="20">
        <f>INDEX(Input!$1:$1048576,BY$93,$C320*2+6)</f>
        <v>0.1</v>
      </c>
      <c r="BZ320" s="20">
        <f>INDEX(Input!$1:$1048576,BZ$93,$C320*2+6)</f>
        <v>0.1</v>
      </c>
      <c r="CA320" s="20">
        <f>INDEX(Input!$1:$1048576,CA$93,$C320*2+6)</f>
        <v>0.1</v>
      </c>
      <c r="CB320" s="20">
        <f>INDEX(Input!$1:$1048576,CB$93,$C320*2+6)</f>
        <v>0.1</v>
      </c>
      <c r="CC320" s="20">
        <f>INDEX(Input!$1:$1048576,CC$93,$C320*2+6)</f>
        <v>0.1</v>
      </c>
      <c r="CD320" s="384">
        <f>INDEX(Input!$1:$1048576,CD$93,$C320*2+6)</f>
        <v>0.1</v>
      </c>
      <c r="CE320" s="384">
        <f>INDEX(Input!$1:$1048576,CE$93,$C320*2+6)</f>
        <v>0.1</v>
      </c>
      <c r="CF320" s="384">
        <f>INDEX(Input!$1:$1048576,CF$93,$C320*2+6)</f>
        <v>0.1</v>
      </c>
      <c r="CG320" s="384">
        <f>INDEX(Input!$1:$1048576,CG$93,$C320*2+6)</f>
        <v>0.1</v>
      </c>
      <c r="CH320" s="384">
        <f>INDEX(Input!$1:$1048576,CH$93,$C320*2+6)</f>
        <v>0.1</v>
      </c>
      <c r="CI320" s="304">
        <f t="shared" si="864"/>
        <v>1287.0236024844721</v>
      </c>
      <c r="CJ320" s="16" t="str">
        <f>INDEX(Input!$1:$1048576,CJ$93,$C320*2+6)</f>
        <v>N</v>
      </c>
      <c r="CK320" s="1" t="str">
        <f t="shared" si="865"/>
        <v>Market</v>
      </c>
      <c r="CL320" s="1" t="str">
        <f t="shared" si="866"/>
        <v>Market</v>
      </c>
      <c r="CM320" s="1" t="str">
        <f t="shared" si="867"/>
        <v>Market</v>
      </c>
      <c r="CN320" s="1" t="str">
        <f t="shared" si="868"/>
        <v>Market</v>
      </c>
      <c r="CO320" s="1" t="str">
        <f t="shared" si="869"/>
        <v>Market</v>
      </c>
      <c r="CP320" s="304">
        <f t="shared" si="870"/>
        <v>500</v>
      </c>
      <c r="CQ320" s="1">
        <f t="shared" si="871"/>
        <v>0</v>
      </c>
      <c r="CR320" s="1">
        <f t="shared" si="872"/>
        <v>0</v>
      </c>
      <c r="CS320" s="1">
        <f t="shared" si="873"/>
        <v>0</v>
      </c>
      <c r="CT320" s="1">
        <f t="shared" si="874"/>
        <v>1.9E-2</v>
      </c>
      <c r="CU320" s="1">
        <f t="shared" si="875"/>
        <v>3.9E-2</v>
      </c>
      <c r="CV320" s="304">
        <f t="shared" si="876"/>
        <v>1554.9999999999991</v>
      </c>
      <c r="CW320" s="20" t="s">
        <v>122</v>
      </c>
      <c r="CX320" s="20" t="s">
        <v>122</v>
      </c>
      <c r="CY320" s="20" t="s">
        <v>122</v>
      </c>
      <c r="CZ320" s="20" t="s">
        <v>122</v>
      </c>
      <c r="DA320" s="20" t="s">
        <v>122</v>
      </c>
      <c r="DB320" s="503">
        <f t="shared" si="877"/>
        <v>0</v>
      </c>
      <c r="DC320" s="127">
        <v>0</v>
      </c>
      <c r="DD320" s="127">
        <v>0</v>
      </c>
      <c r="DE320" s="127">
        <v>0</v>
      </c>
      <c r="DF320" s="127">
        <v>0</v>
      </c>
      <c r="DG320" s="127">
        <v>0</v>
      </c>
      <c r="DH320" s="127">
        <v>0</v>
      </c>
      <c r="DI320" s="127">
        <v>0</v>
      </c>
      <c r="DJ320" s="127">
        <v>0</v>
      </c>
      <c r="DK320" s="127">
        <v>0</v>
      </c>
      <c r="DL320" s="127">
        <v>0</v>
      </c>
      <c r="DM320" s="304">
        <f>INDEX(Input!$1:$1048576,DM$93,$C320*2+6)</f>
        <v>21036.84210526316</v>
      </c>
      <c r="DN320" s="20">
        <v>0</v>
      </c>
      <c r="DO320" s="20">
        <v>0</v>
      </c>
      <c r="DP320" s="20">
        <v>0</v>
      </c>
      <c r="DQ320" s="20">
        <v>0</v>
      </c>
      <c r="DR320" s="20">
        <v>0</v>
      </c>
      <c r="DS320" s="20">
        <f>INDEX(Input!$1:$1048576,DS$93,$C320*2+6)</f>
        <v>0.6</v>
      </c>
      <c r="DT320" s="20">
        <f>INDEX(Input!$1:$1048576,DT$93,$C320*2+6)</f>
        <v>0.55000000000000004</v>
      </c>
      <c r="DU320" s="20">
        <f>INDEX(Input!$1:$1048576,DU$93,$C320*2+6)</f>
        <v>0.52</v>
      </c>
      <c r="DV320" s="20">
        <f>INDEX(Input!$1:$1048576,DV$93,$C320*2+6)</f>
        <v>0.5</v>
      </c>
      <c r="DW320" s="20">
        <f>INDEX(Input!$1:$1048576,DW$93,$C320*2+6)</f>
        <v>0.45</v>
      </c>
      <c r="DX320" s="20"/>
      <c r="DY320" s="7">
        <v>0.10021186804955809</v>
      </c>
      <c r="DZ320" s="7">
        <v>0</v>
      </c>
      <c r="EA320" s="7">
        <v>0.6907115117139061</v>
      </c>
      <c r="EB320" s="7">
        <v>0</v>
      </c>
      <c r="EC320" s="7">
        <v>0</v>
      </c>
      <c r="ED320" s="7">
        <v>0</v>
      </c>
      <c r="EE320" s="7">
        <v>0</v>
      </c>
      <c r="EF320" s="7">
        <v>0</v>
      </c>
      <c r="EG320" s="7">
        <v>0</v>
      </c>
      <c r="EH320" s="7">
        <v>1.2000368378217781E-2</v>
      </c>
      <c r="EI320" s="7">
        <v>3.359871366451201E-2</v>
      </c>
      <c r="EJ320" s="7">
        <v>0.27034579302217959</v>
      </c>
      <c r="EK320" s="7">
        <v>0.54260779869447862</v>
      </c>
      <c r="EL320" s="7">
        <v>0.14144732624061207</v>
      </c>
      <c r="EM320" s="7">
        <v>4.9151624029758242E-2</v>
      </c>
      <c r="EN320" s="7">
        <v>6.2803882458874166E-2</v>
      </c>
      <c r="EO320" s="7">
        <v>0.78062394127596257</v>
      </c>
      <c r="EP320" s="7">
        <v>6.4419945789640276E-2</v>
      </c>
      <c r="EQ320" s="7">
        <v>6.02593606937478E-2</v>
      </c>
      <c r="ER320" s="7">
        <v>3.18928697817751E-2</v>
      </c>
      <c r="ES320" s="7">
        <v>0.15992499620677755</v>
      </c>
      <c r="ET320" s="7">
        <v>0.20907662023653573</v>
      </c>
      <c r="EU320" s="6">
        <v>1611</v>
      </c>
      <c r="EV320" s="6">
        <v>0</v>
      </c>
      <c r="EW320" s="6">
        <v>1611</v>
      </c>
      <c r="EX320" s="6">
        <v>0</v>
      </c>
      <c r="EY320" s="6">
        <v>2335.5217613369255</v>
      </c>
      <c r="EZ320" s="6">
        <v>2289</v>
      </c>
      <c r="FA320" s="6">
        <v>0</v>
      </c>
      <c r="FB320" s="6">
        <v>0</v>
      </c>
      <c r="FC320" s="6">
        <v>0</v>
      </c>
      <c r="FD320" s="6">
        <v>0</v>
      </c>
      <c r="FE320" s="6">
        <v>0</v>
      </c>
      <c r="FF320" s="6">
        <v>0</v>
      </c>
      <c r="FG320" s="6">
        <v>0</v>
      </c>
      <c r="FH320" s="6">
        <v>1172.0021072641894</v>
      </c>
      <c r="FI320" s="6">
        <v>1553.9796069512404</v>
      </c>
      <c r="FJ320" s="6">
        <v>2101.2110117447414</v>
      </c>
      <c r="FK320" s="6">
        <v>1772.7139978623229</v>
      </c>
      <c r="FL320" s="6">
        <v>907.07682140966369</v>
      </c>
      <c r="FM320" s="6">
        <v>1724.5217613369255</v>
      </c>
      <c r="FN320" s="6">
        <v>0</v>
      </c>
      <c r="FO320" s="6">
        <v>0</v>
      </c>
      <c r="FP320" s="6">
        <v>0</v>
      </c>
      <c r="FQ320" s="6">
        <v>0</v>
      </c>
      <c r="FR320" s="6">
        <v>0</v>
      </c>
      <c r="FS320" s="6">
        <v>0</v>
      </c>
      <c r="FT320" s="7">
        <v>0.79092337976346416</v>
      </c>
      <c r="FU320" s="7">
        <v>4.9151624029758242E-2</v>
      </c>
      <c r="FV320" s="7">
        <v>0.15992499620677755</v>
      </c>
      <c r="FW320" s="6">
        <v>1611.0000000000002</v>
      </c>
      <c r="FX320" s="6">
        <v>2335.5217613369255</v>
      </c>
      <c r="FY320" s="6">
        <v>2289</v>
      </c>
      <c r="FZ320" s="6">
        <v>1858.9243755539039</v>
      </c>
      <c r="GA320" s="6">
        <v>1755.0405686428062</v>
      </c>
      <c r="GB320" s="6">
        <v>18229.959431357194</v>
      </c>
      <c r="GC320" s="7">
        <v>2.9156573141622111E-2</v>
      </c>
      <c r="GD320" s="7">
        <v>2.9448735380111796E-2</v>
      </c>
      <c r="GE320" s="7"/>
      <c r="GF320" s="7"/>
      <c r="GG320" s="7">
        <v>1.0020458751121621E-2</v>
      </c>
      <c r="GH320" s="42">
        <v>-1.9277197678416256</v>
      </c>
      <c r="GI320" s="6">
        <v>-8612.1301858368388</v>
      </c>
      <c r="GJ320" s="14">
        <v>0.50394797582841744</v>
      </c>
      <c r="GK320" s="14">
        <v>0.50887573065309744</v>
      </c>
      <c r="GL320" s="14">
        <v>0.49605202417158267</v>
      </c>
      <c r="GM320" s="14">
        <v>0.49112426934690245</v>
      </c>
      <c r="GO320" s="5">
        <v>343.14810671672558</v>
      </c>
      <c r="GP320" s="5">
        <v>312.41330006058649</v>
      </c>
      <c r="GQ320" s="5">
        <v>535.04305713031317</v>
      </c>
      <c r="GR320" s="5">
        <v>410.15490233172511</v>
      </c>
      <c r="GS320" s="5">
        <v>339.42744393800166</v>
      </c>
      <c r="GT320" s="5">
        <v>293.4407446948278</v>
      </c>
      <c r="GU320" s="5">
        <v>258.04012322764959</v>
      </c>
      <c r="GV320" s="39" t="s">
        <v>392</v>
      </c>
      <c r="GW320" s="5">
        <v>482.65277777777777</v>
      </c>
      <c r="GX320" s="5">
        <v>361.98958333333331</v>
      </c>
      <c r="GY320" s="5">
        <v>289.59166666666664</v>
      </c>
      <c r="GZ320" s="5">
        <v>255.53408606924114</v>
      </c>
      <c r="HA320" s="5">
        <v>236.70336205047303</v>
      </c>
      <c r="HB320" s="39">
        <v>268.38012987731014</v>
      </c>
      <c r="HC320" s="5">
        <v>187.140625</v>
      </c>
      <c r="HD320" s="5">
        <v>171.45330774853798</v>
      </c>
      <c r="HE320" s="5">
        <v>177.50180921052629</v>
      </c>
      <c r="HF320" s="5">
        <v>167.9756304824561</v>
      </c>
      <c r="HG320" s="5">
        <v>166.75888157894735</v>
      </c>
      <c r="HH320" s="39">
        <v>172.46889498230351</v>
      </c>
      <c r="HI320" s="16"/>
      <c r="HJ320" s="19" t="str">
        <f t="shared" ref="HJ320:HK334" si="972">HJ319</f>
        <v>On</v>
      </c>
      <c r="HK320" s="1" t="str">
        <f t="shared" si="972"/>
        <v>On</v>
      </c>
      <c r="HL320" s="16"/>
      <c r="HM320" s="639">
        <f t="shared" si="878"/>
        <v>2.2758057894877178E-2</v>
      </c>
      <c r="HN320" s="639">
        <f t="shared" si="879"/>
        <v>1.416759231746561E-3</v>
      </c>
      <c r="HO320" s="639">
        <f t="shared" si="880"/>
        <v>4.5732401537654987E-3</v>
      </c>
      <c r="HP320" s="644">
        <f>(FT320*$GD320-HM320)/$JF320*INDEX(Input!$1:$1048576,$JG$93,$C320*2+6)</f>
        <v>29.885603071915625</v>
      </c>
      <c r="HQ320" s="644">
        <f>(FU320*$GD320-HN320)/$JF320*INDEX(Input!$1:$1048576,$JG$93,$C320*2+6)</f>
        <v>1.7189766734411469</v>
      </c>
      <c r="HR320" s="644">
        <f>(FV320*$GD320-HO320)/$JF320*INDEX(Input!$1:$1048576,$JG$93,$C320*2+6)</f>
        <v>7.6360454402226079</v>
      </c>
      <c r="HS320" s="644">
        <f t="shared" si="881"/>
        <v>-18.654439012308305</v>
      </c>
      <c r="HT320" s="644">
        <f t="shared" si="882"/>
        <v>20.855173609837689</v>
      </c>
      <c r="HU320" s="644">
        <f t="shared" si="883"/>
        <v>7.6900324079259885</v>
      </c>
      <c r="HV320" s="648">
        <f t="shared" si="884"/>
        <v>0</v>
      </c>
      <c r="HW320" s="648">
        <f t="shared" si="885"/>
        <v>0</v>
      </c>
      <c r="HX320" s="648">
        <f t="shared" si="886"/>
        <v>0</v>
      </c>
      <c r="HY320" s="644">
        <f>INDEX(Input!$1:$1048576,HY$93,$C320*2+6)*INDEX(Input!$1:$1048576,$JG$93,$C320*2+6)</f>
        <v>509.00000000000006</v>
      </c>
      <c r="HZ320" s="644">
        <f>INDEX(Input!$1:$1048576,HZ$93,$C320*2+6)*INDEX(Input!$1:$1048576,$JG$93,$C320*2+6)</f>
        <v>844</v>
      </c>
      <c r="IA320" s="644">
        <f>INDEX(Input!$1:$1048576,IA$93,$C320*2+6)*INDEX(Input!$1:$1048576,$JG$93,$C320*2+6)</f>
        <v>257</v>
      </c>
      <c r="IB320" s="644">
        <f t="shared" si="910"/>
        <v>520.23116405960741</v>
      </c>
      <c r="IC320" s="644">
        <f t="shared" si="911"/>
        <v>866.57415028327887</v>
      </c>
      <c r="ID320" s="644">
        <f>IF(AND(INDEX(Input!$1:$1048576,IA$93,$C320*2+7)="TOS",Y320&lt;=INDEX(Y:Y,MATCH(C320*1000+2,A:A))),0,1)*MAX(IA320+HR320+HU320+HX320,0%)</f>
        <v>272.3260778481486</v>
      </c>
      <c r="IE320" s="128">
        <f t="shared" ref="IE320" si="973">IB320/SUM($IB320:$ID320)</f>
        <v>0.31355633827926949</v>
      </c>
      <c r="IF320" s="128">
        <f t="shared" si="933"/>
        <v>0.52230592125611486</v>
      </c>
      <c r="IG320" s="128">
        <f t="shared" si="888"/>
        <v>0.16413774046461571</v>
      </c>
      <c r="IH320" s="21"/>
      <c r="II320" s="19">
        <f t="shared" si="889"/>
        <v>1410.4999999999998</v>
      </c>
      <c r="IJ320" s="19">
        <f t="shared" si="890"/>
        <v>2134.9731585778086</v>
      </c>
      <c r="IK320" s="19">
        <f t="shared" si="891"/>
        <v>2103.5</v>
      </c>
      <c r="IL320" s="19">
        <f t="shared" si="913"/>
        <v>200.50000000000045</v>
      </c>
      <c r="IM320" s="19">
        <f t="shared" si="892"/>
        <v>200.54860275911687</v>
      </c>
      <c r="IN320" s="19">
        <f t="shared" si="893"/>
        <v>185.5</v>
      </c>
      <c r="IO320" s="39">
        <f t="shared" si="894"/>
        <v>0</v>
      </c>
      <c r="IP320" s="39">
        <f t="shared" si="895"/>
        <v>0</v>
      </c>
      <c r="IQ320" s="39">
        <f t="shared" si="896"/>
        <v>0</v>
      </c>
      <c r="IR320" s="39">
        <v>0</v>
      </c>
      <c r="IS320" s="39">
        <v>0</v>
      </c>
      <c r="IT320" s="39">
        <v>0</v>
      </c>
      <c r="IU320" s="39">
        <v>0</v>
      </c>
      <c r="IV320" s="39">
        <v>0</v>
      </c>
      <c r="IW320" s="39">
        <v>0</v>
      </c>
      <c r="IX320" s="39">
        <f>INDEX(Input!$1:$1048576,IX$93,$C320*2+6)+INDEX(Input!$1:$1048576,IX$94,$C320*2+6)</f>
        <v>1611</v>
      </c>
      <c r="IY320" s="39">
        <f>INDEX(Input!$1:$1048576,IY$93,$C320*2+6)+INDEX(Input!$1:$1048576,IY$94,$C320*2+6)</f>
        <v>2471.0624533823611</v>
      </c>
      <c r="IZ320" s="39">
        <f>INDEX(Input!$1:$1048576,IZ$93,$C320*2+6)+INDEX(Input!$1:$1048576,IZ$94,$C320*2+6)</f>
        <v>3994.7164157747857</v>
      </c>
      <c r="JA320" s="19">
        <f t="shared" si="914"/>
        <v>1811.5000000000005</v>
      </c>
      <c r="JB320" s="19">
        <f t="shared" si="915"/>
        <v>2671.611056141478</v>
      </c>
      <c r="JC320" s="19">
        <f t="shared" si="916"/>
        <v>4180.2164157747857</v>
      </c>
      <c r="JD320" s="19">
        <f t="shared" si="917"/>
        <v>2649.5368578472612</v>
      </c>
      <c r="JE320" s="21"/>
      <c r="JF320" s="1">
        <f t="shared" si="897"/>
        <v>2.8748057280389237E-2</v>
      </c>
      <c r="JG320" s="15">
        <f>INDEX(Input!$1:$1048576,JG$93,$C320*2+6)/(1+VLOOKUP(C320*1000+INDEX(Input!$1:$1048576,JG$93+1,$C320*2+6),$A:$KK,$JK$92,FALSE))</f>
        <v>1610</v>
      </c>
      <c r="JH320" s="1">
        <f t="shared" si="918"/>
        <v>2.4373059121477879E-2</v>
      </c>
      <c r="JI320" s="1">
        <f t="shared" si="919"/>
        <v>6.1433335437611003E-3</v>
      </c>
      <c r="JJ320" s="1">
        <f t="shared" si="957"/>
        <v>0</v>
      </c>
      <c r="JK320" s="1">
        <f t="shared" si="961"/>
        <v>3.0516392665238978E-2</v>
      </c>
      <c r="JL320" s="15">
        <f t="shared" si="922"/>
        <v>49.131392191034756</v>
      </c>
      <c r="JM320" s="15">
        <f t="shared" si="948"/>
        <v>1659.1313921910348</v>
      </c>
      <c r="JN320" s="21"/>
      <c r="JO320" s="19">
        <f>INDEX(Input!$1:$1048576,JO$93,$C320*2+6)</f>
        <v>5995.5</v>
      </c>
      <c r="JP320" s="19">
        <f>INDEX(Input!$1:$1048576,JP$93,$C320*2+6)</f>
        <v>2442.3713226762939</v>
      </c>
      <c r="JQ320" s="39">
        <f t="shared" si="934"/>
        <v>3345.9631421527388</v>
      </c>
      <c r="JR320" s="39">
        <f t="shared" si="951"/>
        <v>207.16553517096736</v>
      </c>
      <c r="JS320" s="39">
        <f t="shared" si="936"/>
        <v>4.3959297756215863</v>
      </c>
      <c r="JT320" s="39">
        <f t="shared" si="924"/>
        <v>0.46371194611275335</v>
      </c>
      <c r="JU320" s="385">
        <f>(JQ320*JM320-INDEX(Input!$1:$1048576,Input!A$18,$C320*2+6)*JL320*INDEX(Input!$1:$1048576,Input!A$19,$C320*2+6))/1000000</f>
        <v>5.551392486259763</v>
      </c>
      <c r="JV320" s="39">
        <f t="shared" si="958"/>
        <v>-0.16914468423140416</v>
      </c>
      <c r="JW320" s="1">
        <f t="shared" si="949"/>
        <v>-2.9567972235880313E-2</v>
      </c>
      <c r="JX320" s="19">
        <f t="shared" si="940"/>
        <v>9438.2008209685773</v>
      </c>
      <c r="JZ320" s="341"/>
      <c r="KA320" s="342"/>
      <c r="KB320" s="469">
        <f t="shared" si="937"/>
        <v>2.5190675447988795</v>
      </c>
      <c r="KI320" s="473">
        <f t="shared" si="964"/>
        <v>11.231164059607352</v>
      </c>
      <c r="KJ320" s="473">
        <f t="shared" si="965"/>
        <v>22.574150283278868</v>
      </c>
      <c r="KK320" s="473">
        <f t="shared" si="926"/>
        <v>15.3260778481486</v>
      </c>
      <c r="KN320" s="544">
        <f t="shared" si="941"/>
        <v>3002</v>
      </c>
      <c r="KO320" s="541">
        <f t="shared" si="901"/>
        <v>0</v>
      </c>
      <c r="KP320" s="546">
        <f t="shared" si="902"/>
        <v>0</v>
      </c>
      <c r="KQ320" s="546">
        <f t="shared" si="903"/>
        <v>13.623432458563002</v>
      </c>
      <c r="KR320" s="548" t="e">
        <f t="shared" si="904"/>
        <v>#DIV/0!</v>
      </c>
      <c r="KS320" s="548">
        <f t="shared" si="905"/>
        <v>0</v>
      </c>
      <c r="KT320" s="473">
        <f t="shared" si="939"/>
        <v>1026.1618045255443</v>
      </c>
      <c r="KU320" s="663">
        <f t="shared" si="927"/>
        <v>4.6526785936048496</v>
      </c>
      <c r="KV320" s="117"/>
    </row>
    <row r="321" spans="1:308" s="26" customFormat="1" ht="15">
      <c r="A321" s="561">
        <f t="shared" si="906"/>
        <v>3021</v>
      </c>
      <c r="B321" s="561">
        <f t="shared" si="928"/>
        <v>21</v>
      </c>
      <c r="C321" s="561">
        <f t="shared" si="929"/>
        <v>3</v>
      </c>
      <c r="D321" s="561" t="str">
        <f t="shared" ref="D321:D384" si="974">IF(E321=INDEX(E:E,MATCH(C321*1000+2,A:A,0)),"",E321-INDEX(E:E,MATCH(C321*1000+2,A:A,0))&amp;E$100&amp;", ")
&amp;IF(F321=INDEX(F:F,MATCH(C321*1000+2,A:A,0)),"",F321-INDEX(F:F,MATCH(C321*1000+2,A:A,0))&amp;F$100&amp;", ")
&amp;IF(AM321=INDEX(AM:AM,MATCH(C321*1000+2,A:A,0)),"",AM321&amp;AM$100&amp;", ")
&amp;IF(AP321=INDEX(AP:AP,MATCH(C321*1000+2,A:A,0)),"",AP321&amp;AP$100&amp;", ")
&amp;IF(Q321=INDEX(Q:Q,MATCH(C321*1000+2,A:A,0)),"",Q321-INDEX(Q:Q,MATCH(C321*1000+2,A:A,0))&amp;Q$100&amp;", ")
&amp;IF(Y321=INDEX(Y:Y,MATCH(C321*1000+2,A:A,0)),"",Y321-INDEX(Y:Y,MATCH(C321*1000+2,A:A,0))&amp;Y$100&amp;", ")
&amp;IF(Z321=INDEX(Z:Z,MATCH(C321*1000+2,A:A,0)),"",Z321-INDEX(Z:Z,MATCH(C321*1000+2,A:A,0))&amp;Z$100&amp;", ")
&amp;IF(AA321=INDEX(AA:AA,MATCH(C321*1000+2,A:A,0)),"",AA321-INDEX(AA:AA,MATCH(C321*1000+2,A:A,0))&amp;AA$100&amp;", ")
&amp;IF(AC321=INDEX(AC:AC,MATCH(C321*1000+2,A:A,0)),"",AC321-INDEX(AC:AC,MATCH(C321*1000+2,A:A,0))&amp;AC$100&amp;", ")
&amp;IF(AE321=INDEX(AE:AE,MATCH(C321*1000+2,A:A,0)),"",AE321-INDEX(AE:AE,MATCH(C321*1000+2,A:A,0))&amp;AE$100&amp;", ")
&amp;IF(AG321=INDEX(AG:AG,MATCH(C321*1000+2,A:A,0)),"",AG321-INDEX(AG:AG,MATCH(C321*1000+2,A:A,0))&amp;AG$100&amp;", ")
&amp;IF(AI321=INDEX(AI:AI,MATCH(C321*1000+2,A:A,0)),"",AI321-INDEX(AI:AI,MATCH(C321*1000+2,A:A,0))&amp;AI$100&amp;", ")</f>
        <v xml:space="preserve">0/0/0.9/3.9, </v>
      </c>
      <c r="E321" s="475">
        <f>INDEX(Input!$1:$1048576,E$93,$C321*2+MIN($B321,2)+5)
+INDEX(Scenarios!E$121:E$200,MATCH($B321,Scenarios!$B$121:$B$200,0))</f>
        <v>1287.0236024844721</v>
      </c>
      <c r="F321" s="475">
        <f>INDEX(Input!$1:$1048576,F$93,$C321*2+MIN($B321,2)+5)
+INDEX(Scenarios!F$121:F$200,MATCH($B321,Scenarios!$B$121:$B$200,0))</f>
        <v>0</v>
      </c>
      <c r="G321" s="475">
        <f>INDEX(Input!$1:$1048576,G$93,$C321*2+MIN($B321,2)+5)
+INDEX(Scenarios!G$121:G$200,MATCH($B321,Scenarios!$B$121:$B$200,0))</f>
        <v>0</v>
      </c>
      <c r="H321" s="475">
        <f>INDEX(Input!$1:$1048576,H$93,$C321*2+MIN($B321,2)+5)
+INDEX(Scenarios!H$121:H$200,MATCH($B321,Scenarios!$B$121:$B$200,0))</f>
        <v>0</v>
      </c>
      <c r="I321" s="476">
        <f>INDEX(Input!$1:$1048576,I$93,$C321*2+MIN($B321,2)+5)</f>
        <v>0.7</v>
      </c>
      <c r="J321" s="476" t="str">
        <f>INDEX(Input!$1:$1048576,J$93,$C321*2+MIN($B321,2)+5)</f>
        <v>Market</v>
      </c>
      <c r="K321" s="476" t="str">
        <f>INDEX(Input!$1:$1048576,K$93,$C321*2+MIN($B321,2)+5)</f>
        <v>Market</v>
      </c>
      <c r="L321" s="476" t="str">
        <f>INDEX(Input!$1:$1048576,L$93,$C321*2+MIN($B321,2)+5)</f>
        <v>Market</v>
      </c>
      <c r="M321" s="476" t="str">
        <f>INDEX(Input!$1:$1048576,M$93,$C321*2+MIN($B321,2)+5)</f>
        <v>Market</v>
      </c>
      <c r="N321" s="476" t="str">
        <f>INDEX(Input!$1:$1048576,N$93,$C321*2+MIN($B321,2)+5)</f>
        <v>Market</v>
      </c>
      <c r="O321" s="476" t="str">
        <f>INDEX(Input!$1:$1048576,O$93,$C321*2+MIN($B321,2)+5)</f>
        <v>Market</v>
      </c>
      <c r="P321" s="476" t="str">
        <f>INDEX(Input!$1:$1048576,P$93,$C321*2+MIN($B321,2)+5)</f>
        <v>N</v>
      </c>
      <c r="Q321" s="477">
        <f>INDEX(Input!$1:$1048576,Q$93,$C321*2+MIN($B321,2)+5)
+INDEX(Scenarios!Q$121:Q$200,MATCH($B321,Scenarios!$B$121:$B$200,0))</f>
        <v>0</v>
      </c>
      <c r="R321" s="478">
        <f>IFERROR(MAX(0,INDEX(Input!$1:$1048576,R$93,$C321*2+MIN($B321,2)+5)
+INDEX(Scenarios!R$121:R$200,MATCH($B321,Scenarios!$B$121:$B$200,0)),),"Market")</f>
        <v>0</v>
      </c>
      <c r="S321" s="478">
        <f>IFERROR(MAX(0,INDEX(Input!$1:$1048576,S$93,$C321*2+MIN($B321,2)+5)
+INDEX(Scenarios!S$121:S$200,MATCH($B321,Scenarios!$B$121:$B$200,0)),),"Market")</f>
        <v>0</v>
      </c>
      <c r="T321" s="478">
        <f>IFERROR(MAX(0,INDEX(Input!$1:$1048576,T$93,$C321*2+MIN($B321,2)+5)
+INDEX(Scenarios!T$121:T$200,MATCH($B321,Scenarios!$B$121:$B$200,0)),),"Market")</f>
        <v>0</v>
      </c>
      <c r="U321" s="478">
        <f>IFERROR(MAX(0,INDEX(Input!$1:$1048576,U$93,$C321*2+MIN($B321,2)+5)
+INDEX(Scenarios!U$121:U$200,MATCH($B321,Scenarios!$B$121:$B$200,0)),),"Market")</f>
        <v>0</v>
      </c>
      <c r="V321" s="478">
        <f>IFERROR(MAX(0,INDEX(Input!$1:$1048576,V$93,$C321*2+MIN($B321,2)+5)
+INDEX(Scenarios!V$121:V$200,MATCH($B321,Scenarios!$B$121:$B$200,0)),),"Market")</f>
        <v>8.9999999999999993E-3</v>
      </c>
      <c r="W321" s="885">
        <f>IFERROR(MAX(0,INDEX(Input!$1:$1048576,W$93,$C321*2+MIN($B321,2)+5)-0%,),"Market")</f>
        <v>3.9E-2</v>
      </c>
      <c r="X321" s="476" t="str">
        <f>INDEX(Input!$1:$1048576,X$93,$C321*2+MIN($B321,2)+5)</f>
        <v>Y</v>
      </c>
      <c r="Y321" s="475">
        <f>INDEX(Input!$1:$1048576,Y$93,$C321*2+MIN($B321,2)+5)
++INDEX(Scenarios!Y$121:Y$200,MATCH($B321,Scenarios!$B$121:$B$200,0))</f>
        <v>1554.9999999999991</v>
      </c>
      <c r="Z321" s="477">
        <f>INDEX(Input!$1:$1048576,Z$93,$C321*2+MIN($B321,2)+5)
+INDEX(Scenarios!Z$121:Z$200,MATCH($B321,Scenarios!$B$121:$B$200,0))</f>
        <v>0</v>
      </c>
      <c r="AA321" s="475">
        <f>INDEX(Input!$1:$1048576,AA$93,$C321*2+MIN($B321,2)+5)
+INDEX(Scenarios!AA$121:AA$200,MATCH($B321,Scenarios!$B$121:$B$200,0))</f>
        <v>0</v>
      </c>
      <c r="AB321" s="476">
        <f>INDEX(Input!$1:$1048576,AB$93,$C321*2+MIN($B321,2)+5)</f>
        <v>0.27</v>
      </c>
      <c r="AC321" s="475">
        <f>INDEX(Input!$1:$1048576,AC$93,$C321*2+MIN($B321,2)+5)
+INDEX(Scenarios!AC$121:AC$200,MATCH($B321,Scenarios!$B$121:$B$200,0))</f>
        <v>0</v>
      </c>
      <c r="AD321" s="476">
        <f>INDEX(Input!$1:$1048576,AD$93,$C321*2+MIN($B321,2)+5)</f>
        <v>0.27</v>
      </c>
      <c r="AE321" s="475">
        <f>INDEX(Input!$1:$1048576,AE$93,$C321*2+MIN($B321,2)+5)
+INDEX(Scenarios!AE$121:AE$200,MATCH($B321,Scenarios!$B$121:$B$200,0))</f>
        <v>0</v>
      </c>
      <c r="AF321" s="476">
        <f>INDEX(Input!$1:$1048576,AF$93,$C321*2+MIN($B321,2)+5)</f>
        <v>0.68200000000000005</v>
      </c>
      <c r="AG321" s="475">
        <f>INDEX(Input!$1:$1048576,AG$93,$C321*2+MIN($B321,2)+5)
+INDEX(Scenarios!AG$121:AG$200,MATCH($B321,Scenarios!$B$121:$B$200,0))</f>
        <v>500</v>
      </c>
      <c r="AH321" s="476">
        <f>INDEX(Input!$1:$1048576,AH$93,$C321*2+MIN($B321,2)+5)</f>
        <v>1</v>
      </c>
      <c r="AI321" s="475">
        <f>INDEX(Input!$1:$1048576,AI$93,$C321*2+MIN($B321,2)+5)
+INDEX(Scenarios!AI$121:AI$200,MATCH($B321,Scenarios!$B$121:$B$200,0))</f>
        <v>0</v>
      </c>
      <c r="AJ321" s="476">
        <f>INDEX(Input!$1:$1048576,AJ$93,$C321*2+MIN($B321,2)+5)</f>
        <v>0.27</v>
      </c>
      <c r="AK321" s="150">
        <f>ROUND(INDEX(Input!$1:$1048576,AK$93,$C320*2+MIN($B321,1)+5)+(Y321-VLOOKUP($C321*1000+1,$A:$HH,Y$92,FALSE)),0)</f>
        <v>2977</v>
      </c>
      <c r="AL321" s="150">
        <f>ROUND(INDEX(Input!$1:$1048576,AL$93,$C320*2+MIN($B321,1)+5)-(Y321-VLOOKUP($C321*1000+1,$A:$HH,Y$92,FALSE))/36,0)</f>
        <v>3395</v>
      </c>
      <c r="AM321" s="32" t="str">
        <f t="shared" si="907"/>
        <v>std/std/std/std</v>
      </c>
      <c r="AN321" s="32" t="str">
        <f t="shared" si="908"/>
        <v>$0 + 0/0/0/0.9/3.9</v>
      </c>
      <c r="AO321" s="32" t="str">
        <f t="shared" si="909"/>
        <v>0/0/0/0.9/3.9</v>
      </c>
      <c r="AP321" s="32" t="str">
        <f t="shared" si="863"/>
        <v>0/0/0.9/3.9</v>
      </c>
      <c r="AQ321" s="536">
        <f t="shared" si="862"/>
        <v>0.29785691568182532</v>
      </c>
      <c r="AR321" s="32"/>
      <c r="AS321" s="302"/>
      <c r="AT321" s="3">
        <f t="shared" si="930"/>
        <v>21</v>
      </c>
      <c r="AU321" s="41" t="s">
        <v>121</v>
      </c>
      <c r="AV321" s="41" t="s">
        <v>116</v>
      </c>
      <c r="AW321" s="41" t="str">
        <f>INDEX(Input!$1:$1048576,AW$93,$C321*2+6)</f>
        <v>Kia</v>
      </c>
      <c r="AX321" s="41" t="str">
        <f>INDEX(Input!$1:$1048576,AX$93,$C321*2+6)</f>
        <v>Kia-LR - L3</v>
      </c>
      <c r="AY321" s="41" t="str">
        <f>IF(LEN(D321)=0,"",INDEX(Input!$1:$1048576,AY$93,$C321*2+6))</f>
        <v>Compact SUV (52)</v>
      </c>
      <c r="AZ321" s="41" t="str">
        <f>INDEX(Input!$1:$1048576,AZ$93,$C321*2+6)</f>
        <v>Kia Soul</v>
      </c>
      <c r="BA321" s="3">
        <f>INDEX(Input!$1:$1048576,BA$93,$C321*2+6)</f>
        <v>2020</v>
      </c>
      <c r="BB321" s="128">
        <f>INDEX(Input!$1:$1048576,BB$93,$C321*2+6)</f>
        <v>1</v>
      </c>
      <c r="BC321" s="128">
        <f>INDEX(Input!$1:$1048576,BC$93,$C321*2+6)</f>
        <v>0.7</v>
      </c>
      <c r="BD321" s="1">
        <f>INDEX(Input!$1:$1048576,BD$93,$C321*2+6)</f>
        <v>4.4999999999999998E-2</v>
      </c>
      <c r="BE321" s="1">
        <f>INDEX(Input!$1:$1048576,BE$93,$C321*2+6)</f>
        <v>4.4999999999999998E-2</v>
      </c>
      <c r="BF321" s="1">
        <f>INDEX(Input!$1:$1048576,BF$93,$C321*2+6)</f>
        <v>0.05</v>
      </c>
      <c r="BG321" s="1">
        <f>INDEX(Input!$1:$1048576,BG$93,$C321*2+6)</f>
        <v>5.45E-2</v>
      </c>
      <c r="BH321" s="1">
        <f>INDEX(Input!$1:$1048576,BH$93,$C321*2+6)</f>
        <v>5.45E-2</v>
      </c>
      <c r="BI321" s="1">
        <f>INDEX(Input!$1:$1048576,BI$93,$C321*2+6)</f>
        <v>0.05</v>
      </c>
      <c r="BJ321" s="1">
        <f>INDEX(Input!$1:$1048576,BJ$93,$C321*2+6)</f>
        <v>0.05</v>
      </c>
      <c r="BK321" s="1">
        <f>INDEX(Input!$1:$1048576,BK$93,$C321*2+6)</f>
        <v>0.05</v>
      </c>
      <c r="BL321" s="1">
        <f>INDEX(Input!$1:$1048576,BL$93,$C321*2+6)</f>
        <v>5.5E-2</v>
      </c>
      <c r="BM321" s="1">
        <f>INDEX(Input!$1:$1048576,BM$93,$C321*2+6)</f>
        <v>0.06</v>
      </c>
      <c r="BN321" s="1">
        <f>INDEX(Input!$1:$1048576,BN$93,$C321*2+6)</f>
        <v>4.4999999999999998E-2</v>
      </c>
      <c r="BO321" s="1">
        <f>INDEX(Input!$1:$1048576,BO$93,$C321*2+6)</f>
        <v>4.4999999999999998E-2</v>
      </c>
      <c r="BP321" s="1">
        <f>INDEX(Input!$1:$1048576,BP$93,$C321*2+6)</f>
        <v>0.05</v>
      </c>
      <c r="BQ321" s="1">
        <f>INDEX(Input!$1:$1048576,BQ$93,$C321*2+6)</f>
        <v>5.45E-2</v>
      </c>
      <c r="BR321" s="1">
        <f>INDEX(Input!$1:$1048576,BR$93,$C321*2+6)</f>
        <v>5.45E-2</v>
      </c>
      <c r="BS321" s="1">
        <f>INDEX(Input!$1:$1048576,BS$93,$C321*2+6)</f>
        <v>0.05</v>
      </c>
      <c r="BT321" s="1">
        <f>INDEX(Input!$1:$1048576,BT$93,$C321*2+6)</f>
        <v>0.05</v>
      </c>
      <c r="BU321" s="1">
        <f>INDEX(Input!$1:$1048576,BU$93,$C321*2+6)</f>
        <v>0.05</v>
      </c>
      <c r="BV321" s="1">
        <f>INDEX(Input!$1:$1048576,BV$93,$C321*2+6)</f>
        <v>5.5E-2</v>
      </c>
      <c r="BW321" s="1">
        <f>INDEX(Input!$1:$1048576,BW$93,$C321*2+6)</f>
        <v>0.06</v>
      </c>
      <c r="BX321" s="127">
        <f>INDEX(Input!$1:$1048576,BX$93,$C321*2+6)</f>
        <v>19985</v>
      </c>
      <c r="BY321" s="20">
        <f>INDEX(Input!$1:$1048576,BY$93,$C321*2+6)</f>
        <v>0.1</v>
      </c>
      <c r="BZ321" s="20">
        <f>INDEX(Input!$1:$1048576,BZ$93,$C321*2+6)</f>
        <v>0.1</v>
      </c>
      <c r="CA321" s="20">
        <f>INDEX(Input!$1:$1048576,CA$93,$C321*2+6)</f>
        <v>0.1</v>
      </c>
      <c r="CB321" s="20">
        <f>INDEX(Input!$1:$1048576,CB$93,$C321*2+6)</f>
        <v>0.1</v>
      </c>
      <c r="CC321" s="20">
        <f>INDEX(Input!$1:$1048576,CC$93,$C321*2+6)</f>
        <v>0.1</v>
      </c>
      <c r="CD321" s="384">
        <f>INDEX(Input!$1:$1048576,CD$93,$C321*2+6)</f>
        <v>0.1</v>
      </c>
      <c r="CE321" s="384">
        <f>INDEX(Input!$1:$1048576,CE$93,$C321*2+6)</f>
        <v>0.1</v>
      </c>
      <c r="CF321" s="384">
        <f>INDEX(Input!$1:$1048576,CF$93,$C321*2+6)</f>
        <v>0.1</v>
      </c>
      <c r="CG321" s="384">
        <f>INDEX(Input!$1:$1048576,CG$93,$C321*2+6)</f>
        <v>0.1</v>
      </c>
      <c r="CH321" s="384">
        <f>INDEX(Input!$1:$1048576,CH$93,$C321*2+6)</f>
        <v>0.1</v>
      </c>
      <c r="CI321" s="304">
        <f t="shared" si="864"/>
        <v>1287.0236024844721</v>
      </c>
      <c r="CJ321" s="16" t="str">
        <f>INDEX(Input!$1:$1048576,CJ$93,$C321*2+6)</f>
        <v>N</v>
      </c>
      <c r="CK321" s="1" t="str">
        <f t="shared" si="865"/>
        <v>Market</v>
      </c>
      <c r="CL321" s="1" t="str">
        <f t="shared" si="866"/>
        <v>Market</v>
      </c>
      <c r="CM321" s="1" t="str">
        <f t="shared" si="867"/>
        <v>Market</v>
      </c>
      <c r="CN321" s="1" t="str">
        <f t="shared" si="868"/>
        <v>Market</v>
      </c>
      <c r="CO321" s="1" t="str">
        <f t="shared" si="869"/>
        <v>Market</v>
      </c>
      <c r="CP321" s="304">
        <f t="shared" si="870"/>
        <v>500</v>
      </c>
      <c r="CQ321" s="1">
        <f t="shared" si="871"/>
        <v>0</v>
      </c>
      <c r="CR321" s="1">
        <f t="shared" si="872"/>
        <v>0</v>
      </c>
      <c r="CS321" s="1">
        <f t="shared" si="873"/>
        <v>0</v>
      </c>
      <c r="CT321" s="1">
        <f t="shared" si="874"/>
        <v>8.9999999999999993E-3</v>
      </c>
      <c r="CU321" s="1">
        <f t="shared" si="875"/>
        <v>3.9E-2</v>
      </c>
      <c r="CV321" s="304">
        <f t="shared" si="876"/>
        <v>1554.9999999999991</v>
      </c>
      <c r="CW321" s="20" t="s">
        <v>122</v>
      </c>
      <c r="CX321" s="20" t="s">
        <v>122</v>
      </c>
      <c r="CY321" s="20" t="s">
        <v>122</v>
      </c>
      <c r="CZ321" s="20" t="s">
        <v>122</v>
      </c>
      <c r="DA321" s="20" t="s">
        <v>122</v>
      </c>
      <c r="DB321" s="503">
        <f t="shared" si="877"/>
        <v>0</v>
      </c>
      <c r="DC321" s="127">
        <v>0</v>
      </c>
      <c r="DD321" s="127">
        <v>0</v>
      </c>
      <c r="DE321" s="127">
        <v>0</v>
      </c>
      <c r="DF321" s="127">
        <v>0</v>
      </c>
      <c r="DG321" s="127">
        <v>0</v>
      </c>
      <c r="DH321" s="127">
        <v>0</v>
      </c>
      <c r="DI321" s="127">
        <v>0</v>
      </c>
      <c r="DJ321" s="127">
        <v>0</v>
      </c>
      <c r="DK321" s="127">
        <v>0</v>
      </c>
      <c r="DL321" s="127">
        <v>0</v>
      </c>
      <c r="DM321" s="304">
        <f>INDEX(Input!$1:$1048576,DM$93,$C321*2+6)</f>
        <v>21036.84210526316</v>
      </c>
      <c r="DN321" s="20">
        <v>0</v>
      </c>
      <c r="DO321" s="20">
        <v>0</v>
      </c>
      <c r="DP321" s="20">
        <v>0</v>
      </c>
      <c r="DQ321" s="20">
        <v>0</v>
      </c>
      <c r="DR321" s="20">
        <v>0</v>
      </c>
      <c r="DS321" s="20">
        <f>INDEX(Input!$1:$1048576,DS$93,$C321*2+6)</f>
        <v>0.6</v>
      </c>
      <c r="DT321" s="20">
        <f>INDEX(Input!$1:$1048576,DT$93,$C321*2+6)</f>
        <v>0.55000000000000004</v>
      </c>
      <c r="DU321" s="20">
        <f>INDEX(Input!$1:$1048576,DU$93,$C321*2+6)</f>
        <v>0.52</v>
      </c>
      <c r="DV321" s="20">
        <f>INDEX(Input!$1:$1048576,DV$93,$C321*2+6)</f>
        <v>0.5</v>
      </c>
      <c r="DW321" s="20">
        <f>INDEX(Input!$1:$1048576,DW$93,$C321*2+6)</f>
        <v>0.45</v>
      </c>
      <c r="DX321" s="20"/>
      <c r="DY321" s="7">
        <v>9.882580074641073E-2</v>
      </c>
      <c r="DZ321" s="7">
        <v>0</v>
      </c>
      <c r="EA321" s="7">
        <v>0.68195941300672003</v>
      </c>
      <c r="EB321" s="7">
        <v>0</v>
      </c>
      <c r="EC321" s="7">
        <v>0</v>
      </c>
      <c r="ED321" s="7">
        <v>0</v>
      </c>
      <c r="EE321" s="7">
        <v>0</v>
      </c>
      <c r="EF321" s="7">
        <v>0</v>
      </c>
      <c r="EG321" s="7">
        <v>0</v>
      </c>
      <c r="EH321" s="7">
        <v>9.4331179682199413E-3</v>
      </c>
      <c r="EI321" s="7">
        <v>2.6408069581028724E-2</v>
      </c>
      <c r="EJ321" s="7">
        <v>0.21235772536645556</v>
      </c>
      <c r="EK321" s="7">
        <v>0.64054545469354041</v>
      </c>
      <c r="EL321" s="7">
        <v>0.11125563239075527</v>
      </c>
      <c r="EM321" s="7">
        <v>6.1580196162302141E-2</v>
      </c>
      <c r="EN321" s="7">
        <v>6.2780517764073396E-2</v>
      </c>
      <c r="EO321" s="7">
        <v>0.7805873190387993</v>
      </c>
      <c r="EP321" s="7">
        <v>6.4461182404335668E-2</v>
      </c>
      <c r="EQ321" s="7">
        <v>6.0281367194055704E-2</v>
      </c>
      <c r="ER321" s="7">
        <v>3.1889613598735413E-2</v>
      </c>
      <c r="ES321" s="7">
        <v>0.15763459008456712</v>
      </c>
      <c r="ET321" s="7">
        <v>0.21921478624686924</v>
      </c>
      <c r="EU321" s="6">
        <v>1611</v>
      </c>
      <c r="EV321" s="6">
        <v>0</v>
      </c>
      <c r="EW321" s="6">
        <v>1611</v>
      </c>
      <c r="EX321" s="6">
        <v>0</v>
      </c>
      <c r="EY321" s="6">
        <v>2652.2839901195966</v>
      </c>
      <c r="EZ321" s="6">
        <v>2289</v>
      </c>
      <c r="FA321" s="6">
        <v>0</v>
      </c>
      <c r="FB321" s="6">
        <v>0</v>
      </c>
      <c r="FC321" s="6">
        <v>0</v>
      </c>
      <c r="FD321" s="6">
        <v>0</v>
      </c>
      <c r="FE321" s="6">
        <v>0</v>
      </c>
      <c r="FF321" s="6">
        <v>0</v>
      </c>
      <c r="FG321" s="6">
        <v>0</v>
      </c>
      <c r="FH321" s="6">
        <v>1171.9975842205602</v>
      </c>
      <c r="FI321" s="6">
        <v>1553.9796069512392</v>
      </c>
      <c r="FJ321" s="6">
        <v>2101.2110117447414</v>
      </c>
      <c r="FK321" s="6">
        <v>2251.3078348034674</v>
      </c>
      <c r="FL321" s="6">
        <v>907.07682140966347</v>
      </c>
      <c r="FM321" s="6">
        <v>2041.2839901195964</v>
      </c>
      <c r="FN321" s="6">
        <v>0</v>
      </c>
      <c r="FO321" s="6">
        <v>0</v>
      </c>
      <c r="FP321" s="6">
        <v>0</v>
      </c>
      <c r="FQ321" s="6">
        <v>0</v>
      </c>
      <c r="FR321" s="6">
        <v>0</v>
      </c>
      <c r="FS321" s="6">
        <v>0</v>
      </c>
      <c r="FT321" s="7">
        <v>0.78078521375313081</v>
      </c>
      <c r="FU321" s="7">
        <v>6.1580196162302141E-2</v>
      </c>
      <c r="FV321" s="7">
        <v>0.15763459008456712</v>
      </c>
      <c r="FW321" s="6">
        <v>1610.9999999999998</v>
      </c>
      <c r="FX321" s="6">
        <v>2652.2839901195966</v>
      </c>
      <c r="FY321" s="6">
        <v>2289</v>
      </c>
      <c r="FZ321" s="6">
        <v>1858.9243755539039</v>
      </c>
      <c r="GA321" s="6">
        <v>1781.998724449566</v>
      </c>
      <c r="GB321" s="6">
        <v>18203.001275550436</v>
      </c>
      <c r="GC321" s="7">
        <v>2.9156573141622111E-2</v>
      </c>
      <c r="GD321" s="7">
        <v>2.9536970944163719E-2</v>
      </c>
      <c r="GE321" s="7"/>
      <c r="GF321" s="7"/>
      <c r="GG321" s="7">
        <v>1.3046725371116227E-2</v>
      </c>
      <c r="GH321" s="42">
        <v>-3.3894910579060982</v>
      </c>
      <c r="GI321" s="6">
        <v>-4114.166705278999</v>
      </c>
      <c r="GJ321" s="14">
        <v>0.50394797582841733</v>
      </c>
      <c r="GK321" s="14">
        <v>0.50887573065309744</v>
      </c>
      <c r="GL321" s="14">
        <v>0.49605202417158262</v>
      </c>
      <c r="GM321" s="14">
        <v>0.49112426934690234</v>
      </c>
      <c r="GO321" s="5">
        <v>343.14810671672558</v>
      </c>
      <c r="GP321" s="5">
        <v>312.41330006058649</v>
      </c>
      <c r="GQ321" s="5">
        <v>535.04305713031317</v>
      </c>
      <c r="GR321" s="5">
        <v>410.15490233172511</v>
      </c>
      <c r="GS321" s="5">
        <v>339.42744393800166</v>
      </c>
      <c r="GT321" s="5">
        <v>293.4407446948278</v>
      </c>
      <c r="GU321" s="5">
        <v>258.04012322764959</v>
      </c>
      <c r="GV321" s="39" t="s">
        <v>392</v>
      </c>
      <c r="GW321" s="5">
        <v>482.65277777777777</v>
      </c>
      <c r="GX321" s="5">
        <v>361.98958333333331</v>
      </c>
      <c r="GY321" s="5">
        <v>289.59166666666664</v>
      </c>
      <c r="GZ321" s="5">
        <v>247.99130496280273</v>
      </c>
      <c r="HA321" s="5">
        <v>236.70336205047303</v>
      </c>
      <c r="HB321" s="39">
        <v>260.79367974454146</v>
      </c>
      <c r="HC321" s="5">
        <v>187.140625</v>
      </c>
      <c r="HD321" s="5">
        <v>171.45330774853798</v>
      </c>
      <c r="HE321" s="5">
        <v>177.50180921052629</v>
      </c>
      <c r="HF321" s="5">
        <v>167.9756304824561</v>
      </c>
      <c r="HG321" s="5">
        <v>166.75888157894735</v>
      </c>
      <c r="HH321" s="39">
        <v>172.46871662705291</v>
      </c>
      <c r="HI321" s="16"/>
      <c r="HJ321" s="19" t="str">
        <f t="shared" si="972"/>
        <v>On</v>
      </c>
      <c r="HK321" s="1" t="str">
        <f t="shared" si="972"/>
        <v>On</v>
      </c>
      <c r="HL321" s="16"/>
      <c r="HM321" s="639">
        <f t="shared" si="878"/>
        <v>2.2758057894877178E-2</v>
      </c>
      <c r="HN321" s="639">
        <f t="shared" si="879"/>
        <v>1.416759231746561E-3</v>
      </c>
      <c r="HO321" s="639">
        <f t="shared" si="880"/>
        <v>4.5732401537654987E-3</v>
      </c>
      <c r="HP321" s="644">
        <f>(FT321*$GD321-HM321)/$JF321*INDEX(Input!$1:$1048576,$JG$93,$C321*2+6)</f>
        <v>17.02359786650311</v>
      </c>
      <c r="HQ321" s="644">
        <f>(FU321*$GD321-HN321)/$JF321*INDEX(Input!$1:$1048576,$JG$93,$C321*2+6)</f>
        <v>22.520982857106702</v>
      </c>
      <c r="HR321" s="644">
        <f>(FV321*$GD321-HO321)/$JF321*INDEX(Input!$1:$1048576,$JG$93,$C321*2+6)</f>
        <v>4.6375699618683939</v>
      </c>
      <c r="HS321" s="644">
        <f t="shared" ref="HS321:HS332" si="975">IF(AND(HJ321="On",HK321="On"),IL321/1000*INDEX(KG:KG,MATCH(C321*1000+3,$KF:$KF,0))*SUM(HY321:IA321)*1.1
+INDEX(HR:HR,MATCH(C321*1000+4,$KF:$KF,0))/INDEX(IM:IM,MATCH(C321*1000+4,$KF:$KF,0))*IM321*20%,0)</f>
        <v>-19.022684646349415</v>
      </c>
      <c r="HT321" s="644">
        <f t="shared" si="882"/>
        <v>58.944893504727041</v>
      </c>
      <c r="HU321" s="644">
        <f t="shared" si="883"/>
        <v>8.0582780419671369</v>
      </c>
      <c r="HV321" s="648">
        <f t="shared" si="884"/>
        <v>0</v>
      </c>
      <c r="HW321" s="648">
        <f t="shared" si="885"/>
        <v>0</v>
      </c>
      <c r="HX321" s="648">
        <f t="shared" si="886"/>
        <v>0</v>
      </c>
      <c r="HY321" s="644">
        <f>INDEX(Input!$1:$1048576,HY$93,$C321*2+6)*INDEX(Input!$1:$1048576,$JG$93,$C321*2+6)</f>
        <v>509.00000000000006</v>
      </c>
      <c r="HZ321" s="644">
        <f>INDEX(Input!$1:$1048576,HZ$93,$C321*2+6)*INDEX(Input!$1:$1048576,$JG$93,$C321*2+6)</f>
        <v>844</v>
      </c>
      <c r="IA321" s="644">
        <f>INDEX(Input!$1:$1048576,IA$93,$C321*2+6)*INDEX(Input!$1:$1048576,$JG$93,$C321*2+6)</f>
        <v>257</v>
      </c>
      <c r="IB321" s="644">
        <f t="shared" si="910"/>
        <v>507.00091322015396</v>
      </c>
      <c r="IC321" s="644">
        <f t="shared" si="911"/>
        <v>925.46587636183369</v>
      </c>
      <c r="ID321" s="644">
        <f>IF(AND(INDEX(Input!$1:$1048576,IA$93,$C321*2+7)="TOS",Y321&lt;=INDEX(Y:Y,MATCH(C321*1000+2,A:A))),0,1)*MAX(IA321+HR321+HU321+HX321,0%)</f>
        <v>269.69584800383552</v>
      </c>
      <c r="IE321" s="128">
        <f t="shared" ref="IE321:IE332" si="976">IB321/SUM($IB321:$ID321)</f>
        <v>0.29785691568182532</v>
      </c>
      <c r="IF321" s="128">
        <f t="shared" ref="IF321:IF361" si="977">IC321/SUM($IB321:$ID321)</f>
        <v>0.54370002955441543</v>
      </c>
      <c r="IG321" s="128">
        <f t="shared" si="888"/>
        <v>0.15844305476375928</v>
      </c>
      <c r="IH321" s="21"/>
      <c r="II321" s="19">
        <f t="shared" si="889"/>
        <v>1410.4999999999998</v>
      </c>
      <c r="IJ321" s="19">
        <f t="shared" si="890"/>
        <v>2134.9731585778086</v>
      </c>
      <c r="IK321" s="19">
        <f t="shared" si="891"/>
        <v>2103.5</v>
      </c>
      <c r="IL321" s="19">
        <f t="shared" si="913"/>
        <v>200.5</v>
      </c>
      <c r="IM321" s="19">
        <f t="shared" si="892"/>
        <v>517.31083154178805</v>
      </c>
      <c r="IN321" s="19">
        <f t="shared" si="893"/>
        <v>185.5</v>
      </c>
      <c r="IO321" s="39">
        <f t="shared" si="894"/>
        <v>0</v>
      </c>
      <c r="IP321" s="39">
        <f t="shared" si="895"/>
        <v>0</v>
      </c>
      <c r="IQ321" s="39">
        <f t="shared" si="896"/>
        <v>0</v>
      </c>
      <c r="IR321" s="39">
        <v>0</v>
      </c>
      <c r="IS321" s="39">
        <v>0</v>
      </c>
      <c r="IT321" s="39">
        <v>0</v>
      </c>
      <c r="IU321" s="39">
        <v>0</v>
      </c>
      <c r="IV321" s="39">
        <v>0</v>
      </c>
      <c r="IW321" s="39">
        <v>0</v>
      </c>
      <c r="IX321" s="39">
        <f>INDEX(Input!$1:$1048576,IX$93,$C321*2+6)+INDEX(Input!$1:$1048576,IX$94,$C321*2+6)</f>
        <v>1611</v>
      </c>
      <c r="IY321" s="39">
        <f>INDEX(Input!$1:$1048576,IY$93,$C321*2+6)+INDEX(Input!$1:$1048576,IY$94,$C321*2+6)</f>
        <v>2471.0624533823611</v>
      </c>
      <c r="IZ321" s="39">
        <f>INDEX(Input!$1:$1048576,IZ$93,$C321*2+6)+INDEX(Input!$1:$1048576,IZ$94,$C321*2+6)</f>
        <v>3994.7164157747857</v>
      </c>
      <c r="JA321" s="19">
        <f t="shared" si="914"/>
        <v>1811.5</v>
      </c>
      <c r="JB321" s="19">
        <f t="shared" si="915"/>
        <v>2988.3732849241492</v>
      </c>
      <c r="JC321" s="19">
        <f t="shared" si="916"/>
        <v>4180.2164157747857</v>
      </c>
      <c r="JD321" s="19">
        <f t="shared" si="917"/>
        <v>2826.6727045794819</v>
      </c>
      <c r="JE321" s="21"/>
      <c r="JF321" s="1">
        <f t="shared" si="897"/>
        <v>2.8748057280389237E-2</v>
      </c>
      <c r="JG321" s="15">
        <f>INDEX(Input!$1:$1048576,JG$93,$C321*2+6)/(1+VLOOKUP(C321*1000+INDEX(Input!$1:$1048576,JG$93+1,$C321*2+6),$A:$KK,$JK$92,FALSE))</f>
        <v>1610</v>
      </c>
      <c r="JH321" s="1">
        <f t="shared" si="918"/>
        <v>2.7442329618309443E-2</v>
      </c>
      <c r="JI321" s="1">
        <f t="shared" si="919"/>
        <v>2.9801544658599233E-2</v>
      </c>
      <c r="JJ321" s="1">
        <f t="shared" ref="JJ321:JJ361" si="978">SUM(HV321:HX321)/SUM(HY321:IA321)</f>
        <v>0</v>
      </c>
      <c r="JK321" s="1">
        <f t="shared" ref="JK321:JK361" si="979">SUM(JH321:JJ321)</f>
        <v>5.7243874276908677E-2</v>
      </c>
      <c r="JL321" s="15">
        <f t="shared" si="922"/>
        <v>92.162637585822964</v>
      </c>
      <c r="JM321" s="15">
        <f t="shared" si="948"/>
        <v>1702.1626375858229</v>
      </c>
      <c r="JN321" s="21"/>
      <c r="JO321" s="19">
        <f>INDEX(Input!$1:$1048576,JO$93,$C321*2+6)</f>
        <v>5995.5</v>
      </c>
      <c r="JP321" s="19">
        <f>INDEX(Input!$1:$1048576,JP$93,$C321*2+6)</f>
        <v>2442.3713226762939</v>
      </c>
      <c r="JQ321" s="39">
        <f t="shared" si="934"/>
        <v>3168.8272954205181</v>
      </c>
      <c r="JR321" s="39">
        <f t="shared" si="951"/>
        <v>384.30138190318803</v>
      </c>
      <c r="JS321" s="39">
        <f t="shared" si="936"/>
        <v>4.8114566664188629</v>
      </c>
      <c r="JT321" s="39">
        <f t="shared" si="924"/>
        <v>0.87923883691002935</v>
      </c>
      <c r="JU321" s="385">
        <f>(JQ321*JM321-INDEX(Input!$1:$1048576,Input!A$18,$C321*2+6)*JL321*INDEX(Input!$1:$1048576,Input!A$19,$C321*2+6))/1000000</f>
        <v>5.3938594272269391</v>
      </c>
      <c r="JV321" s="39">
        <f t="shared" si="958"/>
        <v>-0.32667774326422805</v>
      </c>
      <c r="JW321" s="1">
        <f t="shared" si="949"/>
        <v>-5.7106130688104488E-2</v>
      </c>
      <c r="JX321" s="19">
        <f t="shared" si="940"/>
        <v>9540.078929395564</v>
      </c>
      <c r="JZ321" s="341"/>
      <c r="KA321" s="342"/>
      <c r="KB321" s="469">
        <f t="shared" si="937"/>
        <v>2.5190675447988795</v>
      </c>
      <c r="KI321" s="473">
        <f t="shared" si="964"/>
        <v>-1.9990867798462091</v>
      </c>
      <c r="KJ321" s="473">
        <f t="shared" si="965"/>
        <v>81.465876361833693</v>
      </c>
      <c r="KK321" s="473">
        <f t="shared" si="926"/>
        <v>12.695848003835465</v>
      </c>
      <c r="KN321" s="544">
        <f t="shared" si="941"/>
        <v>3002</v>
      </c>
      <c r="KO321" s="541">
        <f t="shared" si="901"/>
        <v>2.5936008201232097E-2</v>
      </c>
      <c r="KP321" s="546">
        <f t="shared" si="902"/>
        <v>172.22363315086068</v>
      </c>
      <c r="KQ321" s="546">
        <f t="shared" si="903"/>
        <v>190.75927919078367</v>
      </c>
      <c r="KR321" s="548">
        <f t="shared" si="904"/>
        <v>2.6126847021561379</v>
      </c>
      <c r="KS321" s="548">
        <f t="shared" si="905"/>
        <v>2.3588160617496401</v>
      </c>
      <c r="KT321" s="473">
        <f t="shared" si="939"/>
        <v>1026.1618045255443</v>
      </c>
      <c r="KU321" s="663">
        <f t="shared" si="927"/>
        <v>4.6575976740236804</v>
      </c>
      <c r="KV321" s="117"/>
    </row>
    <row r="322" spans="1:308" s="26" customFormat="1" ht="15">
      <c r="A322" s="561">
        <f t="shared" si="906"/>
        <v>3022</v>
      </c>
      <c r="B322" s="561">
        <f t="shared" si="928"/>
        <v>22</v>
      </c>
      <c r="C322" s="561">
        <f t="shared" si="929"/>
        <v>3</v>
      </c>
      <c r="D322" s="561" t="str">
        <f t="shared" si="974"/>
        <v xml:space="preserve">0/1.9/2.9/3.9, </v>
      </c>
      <c r="E322" s="475">
        <f>INDEX(Input!$1:$1048576,E$93,$C322*2+MIN($B322,2)+5)
+INDEX(Scenarios!E$121:E$200,MATCH($B322,Scenarios!$B$121:$B$200,0))</f>
        <v>1287.0236024844721</v>
      </c>
      <c r="F322" s="475">
        <f>INDEX(Input!$1:$1048576,F$93,$C322*2+MIN($B322,2)+5)
+INDEX(Scenarios!F$121:F$200,MATCH($B322,Scenarios!$B$121:$B$200,0))</f>
        <v>0</v>
      </c>
      <c r="G322" s="475">
        <f>INDEX(Input!$1:$1048576,G$93,$C322*2+MIN($B322,2)+5)
+INDEX(Scenarios!G$121:G$200,MATCH($B322,Scenarios!$B$121:$B$200,0))</f>
        <v>0</v>
      </c>
      <c r="H322" s="475">
        <f>INDEX(Input!$1:$1048576,H$93,$C322*2+MIN($B322,2)+5)
+INDEX(Scenarios!H$121:H$200,MATCH($B322,Scenarios!$B$121:$B$200,0))</f>
        <v>0</v>
      </c>
      <c r="I322" s="476">
        <f>INDEX(Input!$1:$1048576,I$93,$C322*2+MIN($B322,2)+5)</f>
        <v>0.7</v>
      </c>
      <c r="J322" s="476" t="str">
        <f>INDEX(Input!$1:$1048576,J$93,$C322*2+MIN($B322,2)+5)</f>
        <v>Market</v>
      </c>
      <c r="K322" s="476" t="str">
        <f>INDEX(Input!$1:$1048576,K$93,$C322*2+MIN($B322,2)+5)</f>
        <v>Market</v>
      </c>
      <c r="L322" s="476" t="str">
        <f>INDEX(Input!$1:$1048576,L$93,$C322*2+MIN($B322,2)+5)</f>
        <v>Market</v>
      </c>
      <c r="M322" s="476" t="str">
        <f>INDEX(Input!$1:$1048576,M$93,$C322*2+MIN($B322,2)+5)</f>
        <v>Market</v>
      </c>
      <c r="N322" s="476" t="str">
        <f>INDEX(Input!$1:$1048576,N$93,$C322*2+MIN($B322,2)+5)</f>
        <v>Market</v>
      </c>
      <c r="O322" s="476" t="str">
        <f>INDEX(Input!$1:$1048576,O$93,$C322*2+MIN($B322,2)+5)</f>
        <v>Market</v>
      </c>
      <c r="P322" s="476" t="str">
        <f>INDEX(Input!$1:$1048576,P$93,$C322*2+MIN($B322,2)+5)</f>
        <v>N</v>
      </c>
      <c r="Q322" s="477">
        <f>INDEX(Input!$1:$1048576,Q$93,$C322*2+MIN($B322,2)+5)
+INDEX(Scenarios!Q$121:Q$200,MATCH($B322,Scenarios!$B$121:$B$200,0))</f>
        <v>0</v>
      </c>
      <c r="R322" s="478">
        <f>IFERROR(MAX(0,INDEX(Input!$1:$1048576,R$93,$C322*2+MIN($B322,2)+5)
+INDEX(Scenarios!R$121:R$200,MATCH($B322,Scenarios!$B$121:$B$200,0)),),"Market")</f>
        <v>0</v>
      </c>
      <c r="S322" s="478">
        <f>IFERROR(MAX(0,INDEX(Input!$1:$1048576,S$93,$C322*2+MIN($B322,2)+5)
+INDEX(Scenarios!S$121:S$200,MATCH($B322,Scenarios!$B$121:$B$200,0)),),"Market")</f>
        <v>0</v>
      </c>
      <c r="T322" s="478">
        <f>IFERROR(MAX(0,INDEX(Input!$1:$1048576,T$93,$C322*2+MIN($B322,2)+5)
+INDEX(Scenarios!T$121:T$200,MATCH($B322,Scenarios!$B$121:$B$200,0)),),"Market")</f>
        <v>0</v>
      </c>
      <c r="U322" s="478">
        <f>IFERROR(MAX(0,INDEX(Input!$1:$1048576,U$93,$C322*2+MIN($B322,2)+5)
+INDEX(Scenarios!U$121:U$200,MATCH($B322,Scenarios!$B$121:$B$200,0)),),"Market")</f>
        <v>0</v>
      </c>
      <c r="V322" s="478">
        <f>IFERROR(MAX(0,INDEX(Input!$1:$1048576,V$93,$C322*2+MIN($B322,2)+5)
+INDEX(Scenarios!V$121:V$200,MATCH($B322,Scenarios!$B$121:$B$200,0)),),"Market")</f>
        <v>2.8999999999999998E-2</v>
      </c>
      <c r="W322" s="885">
        <f>IFERROR(MAX(0,INDEX(Input!$1:$1048576,W$93,$C322*2+MIN($B322,2)+5)-0%,),"Market")</f>
        <v>3.9E-2</v>
      </c>
      <c r="X322" s="476" t="str">
        <f>INDEX(Input!$1:$1048576,X$93,$C322*2+MIN($B322,2)+5)</f>
        <v>Y</v>
      </c>
      <c r="Y322" s="475">
        <f>INDEX(Input!$1:$1048576,Y$93,$C322*2+MIN($B322,2)+5)
++INDEX(Scenarios!Y$121:Y$200,MATCH($B322,Scenarios!$B$121:$B$200,0))</f>
        <v>1554.9999999999991</v>
      </c>
      <c r="Z322" s="477">
        <f>INDEX(Input!$1:$1048576,Z$93,$C322*2+MIN($B322,2)+5)
+INDEX(Scenarios!Z$121:Z$200,MATCH($B322,Scenarios!$B$121:$B$200,0))</f>
        <v>0</v>
      </c>
      <c r="AA322" s="475">
        <f>INDEX(Input!$1:$1048576,AA$93,$C322*2+MIN($B322,2)+5)
+INDEX(Scenarios!AA$121:AA$200,MATCH($B322,Scenarios!$B$121:$B$200,0))</f>
        <v>0</v>
      </c>
      <c r="AB322" s="476">
        <f>INDEX(Input!$1:$1048576,AB$93,$C322*2+MIN($B322,2)+5)</f>
        <v>0.27</v>
      </c>
      <c r="AC322" s="475">
        <f>INDEX(Input!$1:$1048576,AC$93,$C322*2+MIN($B322,2)+5)
+INDEX(Scenarios!AC$121:AC$200,MATCH($B322,Scenarios!$B$121:$B$200,0))</f>
        <v>0</v>
      </c>
      <c r="AD322" s="476">
        <f>INDEX(Input!$1:$1048576,AD$93,$C322*2+MIN($B322,2)+5)</f>
        <v>0.27</v>
      </c>
      <c r="AE322" s="475">
        <f>INDEX(Input!$1:$1048576,AE$93,$C322*2+MIN($B322,2)+5)
+INDEX(Scenarios!AE$121:AE$200,MATCH($B322,Scenarios!$B$121:$B$200,0))</f>
        <v>0</v>
      </c>
      <c r="AF322" s="476">
        <f>INDEX(Input!$1:$1048576,AF$93,$C322*2+MIN($B322,2)+5)</f>
        <v>0.68200000000000005</v>
      </c>
      <c r="AG322" s="475">
        <f>INDEX(Input!$1:$1048576,AG$93,$C322*2+MIN($B322,2)+5)
+INDEX(Scenarios!AG$121:AG$200,MATCH($B322,Scenarios!$B$121:$B$200,0))</f>
        <v>500</v>
      </c>
      <c r="AH322" s="476">
        <f>INDEX(Input!$1:$1048576,AH$93,$C322*2+MIN($B322,2)+5)</f>
        <v>1</v>
      </c>
      <c r="AI322" s="475">
        <f>INDEX(Input!$1:$1048576,AI$93,$C322*2+MIN($B322,2)+5)
+INDEX(Scenarios!AI$121:AI$200,MATCH($B322,Scenarios!$B$121:$B$200,0))</f>
        <v>0</v>
      </c>
      <c r="AJ322" s="476">
        <f>INDEX(Input!$1:$1048576,AJ$93,$C322*2+MIN($B322,2)+5)</f>
        <v>0.27</v>
      </c>
      <c r="AK322" s="150">
        <f>ROUND(INDEX(Input!$1:$1048576,AK$93,$C321*2+MIN($B322,1)+5)+(Y322-VLOOKUP($C322*1000+1,$A:$HH,Y$92,FALSE)),0)</f>
        <v>2977</v>
      </c>
      <c r="AL322" s="150">
        <f>ROUND(INDEX(Input!$1:$1048576,AL$93,$C321*2+MIN($B322,1)+5)-(Y322-VLOOKUP($C322*1000+1,$A:$HH,Y$92,FALSE))/36,0)</f>
        <v>3395</v>
      </c>
      <c r="AM322" s="32" t="str">
        <f t="shared" si="907"/>
        <v>std/std/std/std</v>
      </c>
      <c r="AN322" s="32" t="str">
        <f t="shared" si="908"/>
        <v>$0 + 0/0/0/2.9/3.9</v>
      </c>
      <c r="AO322" s="32" t="str">
        <f t="shared" si="909"/>
        <v>0/0/0/2.9/3.9</v>
      </c>
      <c r="AP322" s="32" t="str">
        <f t="shared" si="863"/>
        <v>0/1.9/2.9/3.9</v>
      </c>
      <c r="AQ322" s="536">
        <f t="shared" si="862"/>
        <v>0.32507826891554803</v>
      </c>
      <c r="AR322" s="32"/>
      <c r="AS322" s="302"/>
      <c r="AT322" s="3">
        <f t="shared" si="930"/>
        <v>22</v>
      </c>
      <c r="AU322" s="41" t="s">
        <v>121</v>
      </c>
      <c r="AV322" s="41" t="s">
        <v>116</v>
      </c>
      <c r="AW322" s="41" t="str">
        <f>INDEX(Input!$1:$1048576,AW$93,$C322*2+6)</f>
        <v>Kia</v>
      </c>
      <c r="AX322" s="41" t="str">
        <f>INDEX(Input!$1:$1048576,AX$93,$C322*2+6)</f>
        <v>Kia-LR - L3</v>
      </c>
      <c r="AY322" s="41" t="str">
        <f>IF(LEN(D322)=0,"",INDEX(Input!$1:$1048576,AY$93,$C322*2+6))</f>
        <v>Compact SUV (52)</v>
      </c>
      <c r="AZ322" s="41" t="str">
        <f>INDEX(Input!$1:$1048576,AZ$93,$C322*2+6)</f>
        <v>Kia Soul</v>
      </c>
      <c r="BA322" s="3">
        <f>INDEX(Input!$1:$1048576,BA$93,$C322*2+6)</f>
        <v>2020</v>
      </c>
      <c r="BB322" s="128">
        <f>INDEX(Input!$1:$1048576,BB$93,$C322*2+6)</f>
        <v>1</v>
      </c>
      <c r="BC322" s="128">
        <f>INDEX(Input!$1:$1048576,BC$93,$C322*2+6)</f>
        <v>0.7</v>
      </c>
      <c r="BD322" s="1">
        <f>INDEX(Input!$1:$1048576,BD$93,$C322*2+6)</f>
        <v>4.4999999999999998E-2</v>
      </c>
      <c r="BE322" s="1">
        <f>INDEX(Input!$1:$1048576,BE$93,$C322*2+6)</f>
        <v>4.4999999999999998E-2</v>
      </c>
      <c r="BF322" s="1">
        <f>INDEX(Input!$1:$1048576,BF$93,$C322*2+6)</f>
        <v>0.05</v>
      </c>
      <c r="BG322" s="1">
        <f>INDEX(Input!$1:$1048576,BG$93,$C322*2+6)</f>
        <v>5.45E-2</v>
      </c>
      <c r="BH322" s="1">
        <f>INDEX(Input!$1:$1048576,BH$93,$C322*2+6)</f>
        <v>5.45E-2</v>
      </c>
      <c r="BI322" s="1">
        <f>INDEX(Input!$1:$1048576,BI$93,$C322*2+6)</f>
        <v>0.05</v>
      </c>
      <c r="BJ322" s="1">
        <f>INDEX(Input!$1:$1048576,BJ$93,$C322*2+6)</f>
        <v>0.05</v>
      </c>
      <c r="BK322" s="1">
        <f>INDEX(Input!$1:$1048576,BK$93,$C322*2+6)</f>
        <v>0.05</v>
      </c>
      <c r="BL322" s="1">
        <f>INDEX(Input!$1:$1048576,BL$93,$C322*2+6)</f>
        <v>5.5E-2</v>
      </c>
      <c r="BM322" s="1">
        <f>INDEX(Input!$1:$1048576,BM$93,$C322*2+6)</f>
        <v>0.06</v>
      </c>
      <c r="BN322" s="1">
        <f>INDEX(Input!$1:$1048576,BN$93,$C322*2+6)</f>
        <v>4.4999999999999998E-2</v>
      </c>
      <c r="BO322" s="1">
        <f>INDEX(Input!$1:$1048576,BO$93,$C322*2+6)</f>
        <v>4.4999999999999998E-2</v>
      </c>
      <c r="BP322" s="1">
        <f>INDEX(Input!$1:$1048576,BP$93,$C322*2+6)</f>
        <v>0.05</v>
      </c>
      <c r="BQ322" s="1">
        <f>INDEX(Input!$1:$1048576,BQ$93,$C322*2+6)</f>
        <v>5.45E-2</v>
      </c>
      <c r="BR322" s="1">
        <f>INDEX(Input!$1:$1048576,BR$93,$C322*2+6)</f>
        <v>5.45E-2</v>
      </c>
      <c r="BS322" s="1">
        <f>INDEX(Input!$1:$1048576,BS$93,$C322*2+6)</f>
        <v>0.05</v>
      </c>
      <c r="BT322" s="1">
        <f>INDEX(Input!$1:$1048576,BT$93,$C322*2+6)</f>
        <v>0.05</v>
      </c>
      <c r="BU322" s="1">
        <f>INDEX(Input!$1:$1048576,BU$93,$C322*2+6)</f>
        <v>0.05</v>
      </c>
      <c r="BV322" s="1">
        <f>INDEX(Input!$1:$1048576,BV$93,$C322*2+6)</f>
        <v>5.5E-2</v>
      </c>
      <c r="BW322" s="1">
        <f>INDEX(Input!$1:$1048576,BW$93,$C322*2+6)</f>
        <v>0.06</v>
      </c>
      <c r="BX322" s="127">
        <f>INDEX(Input!$1:$1048576,BX$93,$C322*2+6)</f>
        <v>19985</v>
      </c>
      <c r="BY322" s="20">
        <f>INDEX(Input!$1:$1048576,BY$93,$C322*2+6)</f>
        <v>0.1</v>
      </c>
      <c r="BZ322" s="20">
        <f>INDEX(Input!$1:$1048576,BZ$93,$C322*2+6)</f>
        <v>0.1</v>
      </c>
      <c r="CA322" s="20">
        <f>INDEX(Input!$1:$1048576,CA$93,$C322*2+6)</f>
        <v>0.1</v>
      </c>
      <c r="CB322" s="20">
        <f>INDEX(Input!$1:$1048576,CB$93,$C322*2+6)</f>
        <v>0.1</v>
      </c>
      <c r="CC322" s="20">
        <f>INDEX(Input!$1:$1048576,CC$93,$C322*2+6)</f>
        <v>0.1</v>
      </c>
      <c r="CD322" s="384">
        <f>INDEX(Input!$1:$1048576,CD$93,$C322*2+6)</f>
        <v>0.1</v>
      </c>
      <c r="CE322" s="384">
        <f>INDEX(Input!$1:$1048576,CE$93,$C322*2+6)</f>
        <v>0.1</v>
      </c>
      <c r="CF322" s="384">
        <f>INDEX(Input!$1:$1048576,CF$93,$C322*2+6)</f>
        <v>0.1</v>
      </c>
      <c r="CG322" s="384">
        <f>INDEX(Input!$1:$1048576,CG$93,$C322*2+6)</f>
        <v>0.1</v>
      </c>
      <c r="CH322" s="384">
        <f>INDEX(Input!$1:$1048576,CH$93,$C322*2+6)</f>
        <v>0.1</v>
      </c>
      <c r="CI322" s="304">
        <f t="shared" si="864"/>
        <v>1287.0236024844721</v>
      </c>
      <c r="CJ322" s="16" t="str">
        <f>INDEX(Input!$1:$1048576,CJ$93,$C322*2+6)</f>
        <v>N</v>
      </c>
      <c r="CK322" s="1" t="str">
        <f t="shared" si="865"/>
        <v>Market</v>
      </c>
      <c r="CL322" s="1" t="str">
        <f t="shared" si="866"/>
        <v>Market</v>
      </c>
      <c r="CM322" s="1" t="str">
        <f t="shared" si="867"/>
        <v>Market</v>
      </c>
      <c r="CN322" s="1" t="str">
        <f t="shared" si="868"/>
        <v>Market</v>
      </c>
      <c r="CO322" s="1" t="str">
        <f t="shared" si="869"/>
        <v>Market</v>
      </c>
      <c r="CP322" s="304">
        <f t="shared" si="870"/>
        <v>500</v>
      </c>
      <c r="CQ322" s="1">
        <f t="shared" si="871"/>
        <v>0</v>
      </c>
      <c r="CR322" s="1">
        <f t="shared" si="872"/>
        <v>0</v>
      </c>
      <c r="CS322" s="1">
        <f t="shared" si="873"/>
        <v>0</v>
      </c>
      <c r="CT322" s="1">
        <f t="shared" si="874"/>
        <v>2.8999999999999998E-2</v>
      </c>
      <c r="CU322" s="1">
        <f t="shared" si="875"/>
        <v>3.9E-2</v>
      </c>
      <c r="CV322" s="304">
        <f t="shared" si="876"/>
        <v>1554.9999999999991</v>
      </c>
      <c r="CW322" s="20" t="s">
        <v>122</v>
      </c>
      <c r="CX322" s="20" t="s">
        <v>122</v>
      </c>
      <c r="CY322" s="20" t="s">
        <v>122</v>
      </c>
      <c r="CZ322" s="20" t="s">
        <v>122</v>
      </c>
      <c r="DA322" s="20" t="s">
        <v>122</v>
      </c>
      <c r="DB322" s="503">
        <f t="shared" si="877"/>
        <v>0</v>
      </c>
      <c r="DC322" s="127">
        <v>0</v>
      </c>
      <c r="DD322" s="127">
        <v>0</v>
      </c>
      <c r="DE322" s="127">
        <v>0</v>
      </c>
      <c r="DF322" s="127">
        <v>0</v>
      </c>
      <c r="DG322" s="127">
        <v>0</v>
      </c>
      <c r="DH322" s="127">
        <v>0</v>
      </c>
      <c r="DI322" s="127">
        <v>0</v>
      </c>
      <c r="DJ322" s="127">
        <v>0</v>
      </c>
      <c r="DK322" s="127">
        <v>0</v>
      </c>
      <c r="DL322" s="127">
        <v>0</v>
      </c>
      <c r="DM322" s="304">
        <f>INDEX(Input!$1:$1048576,DM$93,$C322*2+6)</f>
        <v>21036.84210526316</v>
      </c>
      <c r="DN322" s="20">
        <v>0</v>
      </c>
      <c r="DO322" s="20">
        <v>0</v>
      </c>
      <c r="DP322" s="20">
        <v>0</v>
      </c>
      <c r="DQ322" s="20">
        <v>0</v>
      </c>
      <c r="DR322" s="20">
        <v>0</v>
      </c>
      <c r="DS322" s="20">
        <f>INDEX(Input!$1:$1048576,DS$93,$C322*2+6)</f>
        <v>0.6</v>
      </c>
      <c r="DT322" s="20">
        <f>INDEX(Input!$1:$1048576,DT$93,$C322*2+6)</f>
        <v>0.55000000000000004</v>
      </c>
      <c r="DU322" s="20">
        <f>INDEX(Input!$1:$1048576,DU$93,$C322*2+6)</f>
        <v>0.52</v>
      </c>
      <c r="DV322" s="20">
        <f>INDEX(Input!$1:$1048576,DV$93,$C322*2+6)</f>
        <v>0.5</v>
      </c>
      <c r="DW322" s="20">
        <f>INDEX(Input!$1:$1048576,DW$93,$C322*2+6)</f>
        <v>0.45</v>
      </c>
      <c r="DX322" s="20"/>
      <c r="DY322" s="7">
        <v>0.10123466475948591</v>
      </c>
      <c r="DZ322" s="7">
        <v>0</v>
      </c>
      <c r="EA322" s="7">
        <v>0.69684973355638424</v>
      </c>
      <c r="EB322" s="7">
        <v>0</v>
      </c>
      <c r="EC322" s="7">
        <v>0</v>
      </c>
      <c r="ED322" s="7">
        <v>0</v>
      </c>
      <c r="EE322" s="7">
        <v>0</v>
      </c>
      <c r="EF322" s="7">
        <v>0</v>
      </c>
      <c r="EG322" s="7">
        <v>0</v>
      </c>
      <c r="EH322" s="7">
        <v>1.4799128146896498E-2</v>
      </c>
      <c r="EI322" s="7">
        <v>4.14378440095102E-2</v>
      </c>
      <c r="EJ322" s="7">
        <v>0.33356572950906088</v>
      </c>
      <c r="EK322" s="7">
        <v>0.43583682643410593</v>
      </c>
      <c r="EL322" s="7">
        <v>0.17436047190042658</v>
      </c>
      <c r="EM322" s="7">
        <v>4.0301520411115163E-2</v>
      </c>
      <c r="EN322" s="7">
        <v>6.2820398335351926E-2</v>
      </c>
      <c r="EO322" s="7">
        <v>0.78064982855377574</v>
      </c>
      <c r="EP322" s="7">
        <v>6.4390796732035141E-2</v>
      </c>
      <c r="EQ322" s="7">
        <v>6.0243804888551307E-2</v>
      </c>
      <c r="ER322" s="7">
        <v>3.1895171490285784E-2</v>
      </c>
      <c r="ES322" s="7">
        <v>0.16161408127301485</v>
      </c>
      <c r="ET322" s="7">
        <v>0.20191560168412986</v>
      </c>
      <c r="EU322" s="6">
        <v>1611</v>
      </c>
      <c r="EV322" s="6">
        <v>0</v>
      </c>
      <c r="EW322" s="6">
        <v>1611</v>
      </c>
      <c r="EX322" s="6">
        <v>0</v>
      </c>
      <c r="EY322" s="6">
        <v>2111.8252485688104</v>
      </c>
      <c r="EZ322" s="6">
        <v>2289</v>
      </c>
      <c r="FA322" s="6">
        <v>0</v>
      </c>
      <c r="FB322" s="6">
        <v>0</v>
      </c>
      <c r="FC322" s="6">
        <v>0</v>
      </c>
      <c r="FD322" s="6">
        <v>0</v>
      </c>
      <c r="FE322" s="6">
        <v>0</v>
      </c>
      <c r="FF322" s="6">
        <v>0</v>
      </c>
      <c r="FG322" s="6">
        <v>0</v>
      </c>
      <c r="FH322" s="6">
        <v>1172.0052998217702</v>
      </c>
      <c r="FI322" s="6">
        <v>1553.9796069512397</v>
      </c>
      <c r="FJ322" s="6">
        <v>2101.2110117447405</v>
      </c>
      <c r="FK322" s="6">
        <v>1284.9687470586853</v>
      </c>
      <c r="FL322" s="6">
        <v>907.07682140966324</v>
      </c>
      <c r="FM322" s="6">
        <v>1500.8252485688104</v>
      </c>
      <c r="FN322" s="6">
        <v>0</v>
      </c>
      <c r="FO322" s="6">
        <v>0</v>
      </c>
      <c r="FP322" s="6">
        <v>0</v>
      </c>
      <c r="FQ322" s="6">
        <v>0</v>
      </c>
      <c r="FR322" s="6">
        <v>0</v>
      </c>
      <c r="FS322" s="6">
        <v>0</v>
      </c>
      <c r="FT322" s="7">
        <v>0.79808439831587019</v>
      </c>
      <c r="FU322" s="7">
        <v>4.0301520411115163E-2</v>
      </c>
      <c r="FV322" s="7">
        <v>0.16161408127301485</v>
      </c>
      <c r="FW322" s="6">
        <v>1611</v>
      </c>
      <c r="FX322" s="6">
        <v>2111.8252485688104</v>
      </c>
      <c r="FY322" s="6">
        <v>2289</v>
      </c>
      <c r="FZ322" s="6">
        <v>1858.9243755539039</v>
      </c>
      <c r="GA322" s="6">
        <v>1740.7583660807022</v>
      </c>
      <c r="GB322" s="6">
        <v>18244.241633919297</v>
      </c>
      <c r="GC322" s="7">
        <v>2.9156573141622111E-2</v>
      </c>
      <c r="GD322" s="7">
        <v>2.9384631164861983E-2</v>
      </c>
      <c r="GE322" s="7"/>
      <c r="GF322" s="7"/>
      <c r="GG322" s="7">
        <v>7.8218390800635657E-3</v>
      </c>
      <c r="GH322" s="42">
        <v>-1.3228800287998326</v>
      </c>
      <c r="GI322" s="6">
        <v>-13366.431677547958</v>
      </c>
      <c r="GJ322" s="14">
        <v>0.50394797582841744</v>
      </c>
      <c r="GK322" s="14">
        <v>0.50887573065309744</v>
      </c>
      <c r="GL322" s="14">
        <v>0.49605202417158278</v>
      </c>
      <c r="GM322" s="14">
        <v>0.49112426934690245</v>
      </c>
      <c r="GO322" s="5">
        <v>343.14810671672558</v>
      </c>
      <c r="GP322" s="5">
        <v>312.41330006058649</v>
      </c>
      <c r="GQ322" s="5">
        <v>535.04305713031317</v>
      </c>
      <c r="GR322" s="5">
        <v>410.15490233172511</v>
      </c>
      <c r="GS322" s="5">
        <v>339.42744393800166</v>
      </c>
      <c r="GT322" s="5">
        <v>293.4407446948278</v>
      </c>
      <c r="GU322" s="5">
        <v>258.04012322764959</v>
      </c>
      <c r="GV322" s="39" t="s">
        <v>392</v>
      </c>
      <c r="GW322" s="5">
        <v>482.65277777777777</v>
      </c>
      <c r="GX322" s="5">
        <v>361.98958333333331</v>
      </c>
      <c r="GY322" s="5">
        <v>289.59166666666664</v>
      </c>
      <c r="GZ322" s="5">
        <v>263.22109617794104</v>
      </c>
      <c r="HA322" s="5">
        <v>236.70336205047303</v>
      </c>
      <c r="HB322" s="39">
        <v>274.73392086367301</v>
      </c>
      <c r="HC322" s="5">
        <v>187.140625</v>
      </c>
      <c r="HD322" s="5">
        <v>171.45330774853798</v>
      </c>
      <c r="HE322" s="5">
        <v>177.50180921052629</v>
      </c>
      <c r="HF322" s="5">
        <v>167.9756304824561</v>
      </c>
      <c r="HG322" s="5">
        <v>166.75888157894735</v>
      </c>
      <c r="HH322" s="39">
        <v>172.46902105684939</v>
      </c>
      <c r="HI322" s="16"/>
      <c r="HJ322" s="19" t="str">
        <f t="shared" si="972"/>
        <v>On</v>
      </c>
      <c r="HK322" s="1" t="str">
        <f t="shared" si="972"/>
        <v>On</v>
      </c>
      <c r="HL322" s="16"/>
      <c r="HM322" s="639">
        <f t="shared" si="878"/>
        <v>2.2758057894877178E-2</v>
      </c>
      <c r="HN322" s="639">
        <f t="shared" si="879"/>
        <v>1.416759231746561E-3</v>
      </c>
      <c r="HO322" s="639">
        <f t="shared" si="880"/>
        <v>4.5732401537654987E-3</v>
      </c>
      <c r="HP322" s="644">
        <f>(FT322*$GD322-HM322)/$JF322*INDEX(Input!$1:$1048576,$JG$93,$C322*2+6)</f>
        <v>38.830660030265719</v>
      </c>
      <c r="HQ322" s="644">
        <f>(FU322*$GD322-HN322)/$JF322*INDEX(Input!$1:$1048576,$JG$93,$C322*2+6)</f>
        <v>-13.021659379350432</v>
      </c>
      <c r="HR322" s="644">
        <f>(FV322*$GD322-HO322)/$JF322*INDEX(Input!$1:$1048576,$JG$93,$C322*2+6)</f>
        <v>9.8415458888073903</v>
      </c>
      <c r="HS322" s="644">
        <f t="shared" si="975"/>
        <v>-18.394385076920656</v>
      </c>
      <c r="HT322" s="644">
        <f t="shared" si="882"/>
        <v>-6.0436695557309319</v>
      </c>
      <c r="HU322" s="644">
        <f t="shared" si="883"/>
        <v>7.429978472538358</v>
      </c>
      <c r="HV322" s="648">
        <f t="shared" si="884"/>
        <v>0</v>
      </c>
      <c r="HW322" s="648">
        <f t="shared" si="885"/>
        <v>0</v>
      </c>
      <c r="HX322" s="648">
        <f t="shared" si="886"/>
        <v>0</v>
      </c>
      <c r="HY322" s="644">
        <f>INDEX(Input!$1:$1048576,HY$93,$C322*2+6)*INDEX(Input!$1:$1048576,$JG$93,$C322*2+6)</f>
        <v>509.00000000000006</v>
      </c>
      <c r="HZ322" s="644">
        <f>INDEX(Input!$1:$1048576,HZ$93,$C322*2+6)*INDEX(Input!$1:$1048576,$JG$93,$C322*2+6)</f>
        <v>844</v>
      </c>
      <c r="IA322" s="644">
        <f>INDEX(Input!$1:$1048576,IA$93,$C322*2+6)*INDEX(Input!$1:$1048576,$JG$93,$C322*2+6)</f>
        <v>257</v>
      </c>
      <c r="IB322" s="644">
        <f t="shared" si="910"/>
        <v>529.43627495334511</v>
      </c>
      <c r="IC322" s="644">
        <f t="shared" si="911"/>
        <v>824.93467106491858</v>
      </c>
      <c r="ID322" s="644">
        <f>IF(AND(INDEX(Input!$1:$1048576,IA$93,$C322*2+7)="TOS",Y322&lt;=INDEX(Y:Y,MATCH(C322*1000+2,A:A))),0,1)*MAX(IA322+HR322+HU322+HX322,0%)</f>
        <v>274.27152436134577</v>
      </c>
      <c r="IE322" s="128">
        <f t="shared" si="976"/>
        <v>0.32507826891554803</v>
      </c>
      <c r="IF322" s="128">
        <f t="shared" si="977"/>
        <v>0.50651673775438277</v>
      </c>
      <c r="IG322" s="128">
        <f t="shared" si="888"/>
        <v>0.16840499333006936</v>
      </c>
      <c r="IH322" s="21"/>
      <c r="II322" s="19">
        <f t="shared" si="889"/>
        <v>1410.4999999999998</v>
      </c>
      <c r="IJ322" s="19">
        <f t="shared" si="890"/>
        <v>2134.9731585778086</v>
      </c>
      <c r="IK322" s="19">
        <f t="shared" si="891"/>
        <v>2103.5</v>
      </c>
      <c r="IL322" s="19">
        <f t="shared" si="913"/>
        <v>200.50000000000023</v>
      </c>
      <c r="IM322" s="19">
        <f t="shared" si="892"/>
        <v>-23.147910008998224</v>
      </c>
      <c r="IN322" s="19">
        <f t="shared" si="893"/>
        <v>185.5</v>
      </c>
      <c r="IO322" s="39">
        <f t="shared" si="894"/>
        <v>0</v>
      </c>
      <c r="IP322" s="39">
        <f t="shared" si="895"/>
        <v>0</v>
      </c>
      <c r="IQ322" s="39">
        <f t="shared" si="896"/>
        <v>0</v>
      </c>
      <c r="IR322" s="39">
        <v>0</v>
      </c>
      <c r="IS322" s="39">
        <v>0</v>
      </c>
      <c r="IT322" s="39">
        <v>0</v>
      </c>
      <c r="IU322" s="39">
        <v>0</v>
      </c>
      <c r="IV322" s="39">
        <v>0</v>
      </c>
      <c r="IW322" s="39">
        <v>0</v>
      </c>
      <c r="IX322" s="39">
        <f>INDEX(Input!$1:$1048576,IX$93,$C322*2+6)+INDEX(Input!$1:$1048576,IX$94,$C322*2+6)</f>
        <v>1611</v>
      </c>
      <c r="IY322" s="39">
        <f>INDEX(Input!$1:$1048576,IY$93,$C322*2+6)+INDEX(Input!$1:$1048576,IY$94,$C322*2+6)</f>
        <v>2471.0624533823611</v>
      </c>
      <c r="IZ322" s="39">
        <f>INDEX(Input!$1:$1048576,IZ$93,$C322*2+6)+INDEX(Input!$1:$1048576,IZ$94,$C322*2+6)</f>
        <v>3994.7164157747857</v>
      </c>
      <c r="JA322" s="19">
        <f t="shared" si="914"/>
        <v>1811.5000000000002</v>
      </c>
      <c r="JB322" s="19">
        <f t="shared" si="915"/>
        <v>2447.9145433733629</v>
      </c>
      <c r="JC322" s="19">
        <f t="shared" si="916"/>
        <v>4180.2164157747857</v>
      </c>
      <c r="JD322" s="19">
        <f t="shared" si="917"/>
        <v>2532.7582905682998</v>
      </c>
      <c r="JE322" s="21"/>
      <c r="JF322" s="1">
        <f t="shared" si="897"/>
        <v>2.8748057280389237E-2</v>
      </c>
      <c r="JG322" s="15">
        <f>INDEX(Input!$1:$1048576,JG$93,$C322*2+6)/(1+VLOOKUP(C322*1000+INDEX(Input!$1:$1048576,JG$93+1,$C322*2+6),$A:$KK,$JK$92,FALSE))</f>
        <v>1610</v>
      </c>
      <c r="JH322" s="1">
        <f t="shared" si="918"/>
        <v>2.2143196608523402E-2</v>
      </c>
      <c r="JI322" s="1">
        <f t="shared" si="919"/>
        <v>-1.0564022459697658E-2</v>
      </c>
      <c r="JJ322" s="1">
        <f t="shared" si="978"/>
        <v>0</v>
      </c>
      <c r="JK322" s="1">
        <f t="shared" si="979"/>
        <v>1.1579174148825745E-2</v>
      </c>
      <c r="JL322" s="15">
        <f t="shared" si="922"/>
        <v>18.642470379609449</v>
      </c>
      <c r="JM322" s="15">
        <f t="shared" si="948"/>
        <v>1628.6424703796094</v>
      </c>
      <c r="JN322" s="21"/>
      <c r="JO322" s="19">
        <f>INDEX(Input!$1:$1048576,JO$93,$C322*2+6)</f>
        <v>5995.5</v>
      </c>
      <c r="JP322" s="19">
        <f>INDEX(Input!$1:$1048576,JP$93,$C322*2+6)</f>
        <v>2442.3713226762939</v>
      </c>
      <c r="JQ322" s="39">
        <f t="shared" si="934"/>
        <v>3462.7417094317002</v>
      </c>
      <c r="JR322" s="39">
        <f t="shared" si="951"/>
        <v>90.386967892005941</v>
      </c>
      <c r="JS322" s="39">
        <f t="shared" si="936"/>
        <v>4.1249577192255922</v>
      </c>
      <c r="JT322" s="39">
        <f t="shared" si="924"/>
        <v>0.19273988971675932</v>
      </c>
      <c r="JU322" s="385">
        <f>(JQ322*JM322-INDEX(Input!$1:$1048576,Input!A$18,$C322*2+6)*JL322*INDEX(Input!$1:$1048576,Input!A$19,$C322*2+6))/1000000</f>
        <v>5.6395682119353561</v>
      </c>
      <c r="JV322" s="39">
        <f t="shared" si="958"/>
        <v>-8.0968958555811099E-2</v>
      </c>
      <c r="JW322" s="1">
        <f t="shared" si="949"/>
        <v>-1.4154083111894032E-2</v>
      </c>
      <c r="JX322" s="19">
        <f t="shared" si="940"/>
        <v>10338.752632675343</v>
      </c>
      <c r="JZ322" s="341"/>
      <c r="KA322" s="342"/>
      <c r="KB322" s="469">
        <f t="shared" si="937"/>
        <v>2.5190675447988795</v>
      </c>
      <c r="KI322" s="473">
        <f t="shared" si="964"/>
        <v>20.436274953345048</v>
      </c>
      <c r="KJ322" s="473">
        <f t="shared" si="965"/>
        <v>-19.065328935081197</v>
      </c>
      <c r="KK322" s="473">
        <f t="shared" si="926"/>
        <v>17.271524361345826</v>
      </c>
      <c r="KN322" s="544">
        <f t="shared" si="941"/>
        <v>3002</v>
      </c>
      <c r="KO322" s="541">
        <f t="shared" si="901"/>
        <v>-1.8376435980252293E-2</v>
      </c>
      <c r="KP322" s="546">
        <f t="shared" si="902"/>
        <v>-113.30602789433736</v>
      </c>
      <c r="KQ322" s="546">
        <f t="shared" si="903"/>
        <v>-103.15513482039842</v>
      </c>
      <c r="KR322" s="548">
        <f t="shared" si="904"/>
        <v>2.8137459646145828</v>
      </c>
      <c r="KS322" s="548">
        <f t="shared" si="905"/>
        <v>3.0906302367718408</v>
      </c>
      <c r="KT322" s="473">
        <f t="shared" si="939"/>
        <v>1026.1618045255443</v>
      </c>
      <c r="KU322" s="663">
        <f t="shared" si="927"/>
        <v>4.6327593205374979</v>
      </c>
      <c r="KV322" s="117"/>
    </row>
    <row r="323" spans="1:308" s="26" customFormat="1" ht="15">
      <c r="A323" s="561">
        <f t="shared" si="906"/>
        <v>3023</v>
      </c>
      <c r="B323" s="561">
        <f t="shared" si="928"/>
        <v>23</v>
      </c>
      <c r="C323" s="561">
        <f t="shared" si="929"/>
        <v>3</v>
      </c>
      <c r="D323" s="561" t="str">
        <f t="shared" si="974"/>
        <v xml:space="preserve">0/0/0.9/3.9, </v>
      </c>
      <c r="E323" s="475">
        <f>INDEX(Input!$1:$1048576,E$93,$C323*2+MIN($B323,2)+5)
+INDEX(Scenarios!E$121:E$200,MATCH($B323,Scenarios!$B$121:$B$200,0))</f>
        <v>1287.0236024844721</v>
      </c>
      <c r="F323" s="475">
        <f>INDEX(Input!$1:$1048576,F$93,$C323*2+MIN($B323,2)+5)
+INDEX(Scenarios!F$121:F$200,MATCH($B323,Scenarios!$B$121:$B$200,0))</f>
        <v>0</v>
      </c>
      <c r="G323" s="475">
        <f>INDEX(Input!$1:$1048576,G$93,$C323*2+MIN($B323,2)+5)
+INDEX(Scenarios!G$121:G$200,MATCH($B323,Scenarios!$B$121:$B$200,0))</f>
        <v>0</v>
      </c>
      <c r="H323" s="475">
        <f>INDEX(Input!$1:$1048576,H$93,$C323*2+MIN($B323,2)+5)
+INDEX(Scenarios!H$121:H$200,MATCH($B323,Scenarios!$B$121:$B$200,0))</f>
        <v>0</v>
      </c>
      <c r="I323" s="476">
        <f>INDEX(Input!$1:$1048576,I$93,$C323*2+MIN($B323,2)+5)</f>
        <v>0.7</v>
      </c>
      <c r="J323" s="476" t="str">
        <f>INDEX(Input!$1:$1048576,J$93,$C323*2+MIN($B323,2)+5)</f>
        <v>Market</v>
      </c>
      <c r="K323" s="476" t="str">
        <f>INDEX(Input!$1:$1048576,K$93,$C323*2+MIN($B323,2)+5)</f>
        <v>Market</v>
      </c>
      <c r="L323" s="476" t="str">
        <f>INDEX(Input!$1:$1048576,L$93,$C323*2+MIN($B323,2)+5)</f>
        <v>Market</v>
      </c>
      <c r="M323" s="476" t="str">
        <f>INDEX(Input!$1:$1048576,M$93,$C323*2+MIN($B323,2)+5)</f>
        <v>Market</v>
      </c>
      <c r="N323" s="476" t="str">
        <f>INDEX(Input!$1:$1048576,N$93,$C323*2+MIN($B323,2)+5)</f>
        <v>Market</v>
      </c>
      <c r="O323" s="476" t="str">
        <f>INDEX(Input!$1:$1048576,O$93,$C323*2+MIN($B323,2)+5)</f>
        <v>Market</v>
      </c>
      <c r="P323" s="476" t="str">
        <f>INDEX(Input!$1:$1048576,P$93,$C323*2+MIN($B323,2)+5)</f>
        <v>N</v>
      </c>
      <c r="Q323" s="477">
        <f>INDEX(Input!$1:$1048576,Q$93,$C323*2+MIN($B323,2)+5)
+INDEX(Scenarios!Q$121:Q$200,MATCH($B323,Scenarios!$B$121:$B$200,0))</f>
        <v>0</v>
      </c>
      <c r="R323" s="478">
        <f>IFERROR(MAX(0,INDEX(Input!$1:$1048576,R$93,$C323*2+MIN($B323,2)+5)
+INDEX(Scenarios!R$121:R$200,MATCH($B323,Scenarios!$B$121:$B$200,0)),),"Market")</f>
        <v>0</v>
      </c>
      <c r="S323" s="478">
        <f>IFERROR(MAX(0,INDEX(Input!$1:$1048576,S$93,$C323*2+MIN($B323,2)+5)
+INDEX(Scenarios!S$121:S$200,MATCH($B323,Scenarios!$B$121:$B$200,0)),),"Market")</f>
        <v>0</v>
      </c>
      <c r="T323" s="478">
        <f>IFERROR(MAX(0,INDEX(Input!$1:$1048576,T$93,$C323*2+MIN($B323,2)+5)
+INDEX(Scenarios!T$121:T$200,MATCH($B323,Scenarios!$B$121:$B$200,0)),),"Market")</f>
        <v>0</v>
      </c>
      <c r="U323" s="478">
        <f>IFERROR(MAX(0,INDEX(Input!$1:$1048576,U$93,$C323*2+MIN($B323,2)+5)
+INDEX(Scenarios!U$121:U$200,MATCH($B323,Scenarios!$B$121:$B$200,0)),),"Market")</f>
        <v>0</v>
      </c>
      <c r="V323" s="478">
        <f>IFERROR(MAX(0,INDEX(Input!$1:$1048576,V$93,$C323*2+MIN($B323,2)+5)
+INDEX(Scenarios!V$121:V$200,MATCH($B323,Scenarios!$B$121:$B$200,0)),),"Market")</f>
        <v>8.9999999999999993E-3</v>
      </c>
      <c r="W323" s="885">
        <f>IFERROR(MAX(0,INDEX(Input!$1:$1048576,W$93,$C323*2+MIN($B323,2)+5)-0%,),"Market")</f>
        <v>3.9E-2</v>
      </c>
      <c r="X323" s="476" t="str">
        <f>INDEX(Input!$1:$1048576,X$93,$C323*2+MIN($B323,2)+5)</f>
        <v>Y</v>
      </c>
      <c r="Y323" s="475">
        <f>INDEX(Input!$1:$1048576,Y$93,$C323*2+MIN($B323,2)+5)
++INDEX(Scenarios!Y$121:Y$200,MATCH($B323,Scenarios!$B$121:$B$200,0))</f>
        <v>1554.9999999999991</v>
      </c>
      <c r="Z323" s="477">
        <f>INDEX(Input!$1:$1048576,Z$93,$C323*2+MIN($B323,2)+5)
+INDEX(Scenarios!Z$121:Z$200,MATCH($B323,Scenarios!$B$121:$B$200,0))</f>
        <v>0</v>
      </c>
      <c r="AA323" s="475">
        <f>INDEX(Input!$1:$1048576,AA$93,$C323*2+MIN($B323,2)+5)
+INDEX(Scenarios!AA$121:AA$200,MATCH($B323,Scenarios!$B$121:$B$200,0))</f>
        <v>0</v>
      </c>
      <c r="AB323" s="476">
        <f>INDEX(Input!$1:$1048576,AB$93,$C323*2+MIN($B323,2)+5)</f>
        <v>0.27</v>
      </c>
      <c r="AC323" s="475">
        <f>INDEX(Input!$1:$1048576,AC$93,$C323*2+MIN($B323,2)+5)
+INDEX(Scenarios!AC$121:AC$200,MATCH($B323,Scenarios!$B$121:$B$200,0))</f>
        <v>0</v>
      </c>
      <c r="AD323" s="476">
        <f>INDEX(Input!$1:$1048576,AD$93,$C323*2+MIN($B323,2)+5)</f>
        <v>0.27</v>
      </c>
      <c r="AE323" s="475">
        <f>INDEX(Input!$1:$1048576,AE$93,$C323*2+MIN($B323,2)+5)
+INDEX(Scenarios!AE$121:AE$200,MATCH($B323,Scenarios!$B$121:$B$200,0))</f>
        <v>0</v>
      </c>
      <c r="AF323" s="476">
        <f>INDEX(Input!$1:$1048576,AF$93,$C323*2+MIN($B323,2)+5)</f>
        <v>0.68200000000000005</v>
      </c>
      <c r="AG323" s="475">
        <f>INDEX(Input!$1:$1048576,AG$93,$C323*2+MIN($B323,2)+5)
+INDEX(Scenarios!AG$121:AG$200,MATCH($B323,Scenarios!$B$121:$B$200,0))</f>
        <v>500</v>
      </c>
      <c r="AH323" s="476">
        <f>INDEX(Input!$1:$1048576,AH$93,$C323*2+MIN($B323,2)+5)</f>
        <v>1</v>
      </c>
      <c r="AI323" s="475">
        <f>INDEX(Input!$1:$1048576,AI$93,$C323*2+MIN($B323,2)+5)
+INDEX(Scenarios!AI$121:AI$200,MATCH($B323,Scenarios!$B$121:$B$200,0))</f>
        <v>0</v>
      </c>
      <c r="AJ323" s="476">
        <f>INDEX(Input!$1:$1048576,AJ$93,$C323*2+MIN($B323,2)+5)</f>
        <v>0.27</v>
      </c>
      <c r="AK323" s="150">
        <f>ROUND(INDEX(Input!$1:$1048576,AK$93,$C322*2+MIN($B323,1)+5)+(Y323-VLOOKUP($C323*1000+1,$A:$HH,Y$92,FALSE)),0)</f>
        <v>2977</v>
      </c>
      <c r="AL323" s="150">
        <f>ROUND(INDEX(Input!$1:$1048576,AL$93,$C322*2+MIN($B323,1)+5)-(Y323-VLOOKUP($C323*1000+1,$A:$HH,Y$92,FALSE))/36,0)</f>
        <v>3395</v>
      </c>
      <c r="AM323" s="32" t="str">
        <f t="shared" si="907"/>
        <v>std/std/std/std</v>
      </c>
      <c r="AN323" s="32" t="str">
        <f t="shared" si="908"/>
        <v>$0 + 0/0/0/0.9/3.9</v>
      </c>
      <c r="AO323" s="32" t="str">
        <f t="shared" si="909"/>
        <v>0/0/0/0.9/3.9</v>
      </c>
      <c r="AP323" s="32" t="str">
        <f t="shared" si="863"/>
        <v>0/0/0.9/3.9</v>
      </c>
      <c r="AQ323" s="536">
        <f t="shared" si="862"/>
        <v>0.29785691568182532</v>
      </c>
      <c r="AR323" s="32"/>
      <c r="AS323" s="302"/>
      <c r="AT323" s="3">
        <f t="shared" si="930"/>
        <v>23</v>
      </c>
      <c r="AU323" s="41" t="s">
        <v>121</v>
      </c>
      <c r="AV323" s="41" t="s">
        <v>116</v>
      </c>
      <c r="AW323" s="41" t="str">
        <f>INDEX(Input!$1:$1048576,AW$93,$C323*2+6)</f>
        <v>Kia</v>
      </c>
      <c r="AX323" s="41" t="str">
        <f>INDEX(Input!$1:$1048576,AX$93,$C323*2+6)</f>
        <v>Kia-LR - L3</v>
      </c>
      <c r="AY323" s="41" t="str">
        <f>IF(LEN(D323)=0,"",INDEX(Input!$1:$1048576,AY$93,$C323*2+6))</f>
        <v>Compact SUV (52)</v>
      </c>
      <c r="AZ323" s="41" t="str">
        <f>INDEX(Input!$1:$1048576,AZ$93,$C323*2+6)</f>
        <v>Kia Soul</v>
      </c>
      <c r="BA323" s="3">
        <f>INDEX(Input!$1:$1048576,BA$93,$C323*2+6)</f>
        <v>2020</v>
      </c>
      <c r="BB323" s="128">
        <f>INDEX(Input!$1:$1048576,BB$93,$C323*2+6)</f>
        <v>1</v>
      </c>
      <c r="BC323" s="128">
        <f>INDEX(Input!$1:$1048576,BC$93,$C323*2+6)</f>
        <v>0.7</v>
      </c>
      <c r="BD323" s="1">
        <f>INDEX(Input!$1:$1048576,BD$93,$C323*2+6)</f>
        <v>4.4999999999999998E-2</v>
      </c>
      <c r="BE323" s="1">
        <f>INDEX(Input!$1:$1048576,BE$93,$C323*2+6)</f>
        <v>4.4999999999999998E-2</v>
      </c>
      <c r="BF323" s="1">
        <f>INDEX(Input!$1:$1048576,BF$93,$C323*2+6)</f>
        <v>0.05</v>
      </c>
      <c r="BG323" s="1">
        <f>INDEX(Input!$1:$1048576,BG$93,$C323*2+6)</f>
        <v>5.45E-2</v>
      </c>
      <c r="BH323" s="1">
        <f>INDEX(Input!$1:$1048576,BH$93,$C323*2+6)</f>
        <v>5.45E-2</v>
      </c>
      <c r="BI323" s="1">
        <f>INDEX(Input!$1:$1048576,BI$93,$C323*2+6)</f>
        <v>0.05</v>
      </c>
      <c r="BJ323" s="1">
        <f>INDEX(Input!$1:$1048576,BJ$93,$C323*2+6)</f>
        <v>0.05</v>
      </c>
      <c r="BK323" s="1">
        <f>INDEX(Input!$1:$1048576,BK$93,$C323*2+6)</f>
        <v>0.05</v>
      </c>
      <c r="BL323" s="1">
        <f>INDEX(Input!$1:$1048576,BL$93,$C323*2+6)</f>
        <v>5.5E-2</v>
      </c>
      <c r="BM323" s="1">
        <f>INDEX(Input!$1:$1048576,BM$93,$C323*2+6)</f>
        <v>0.06</v>
      </c>
      <c r="BN323" s="1">
        <f>INDEX(Input!$1:$1048576,BN$93,$C323*2+6)</f>
        <v>4.4999999999999998E-2</v>
      </c>
      <c r="BO323" s="1">
        <f>INDEX(Input!$1:$1048576,BO$93,$C323*2+6)</f>
        <v>4.4999999999999998E-2</v>
      </c>
      <c r="BP323" s="1">
        <f>INDEX(Input!$1:$1048576,BP$93,$C323*2+6)</f>
        <v>0.05</v>
      </c>
      <c r="BQ323" s="1">
        <f>INDEX(Input!$1:$1048576,BQ$93,$C323*2+6)</f>
        <v>5.45E-2</v>
      </c>
      <c r="BR323" s="1">
        <f>INDEX(Input!$1:$1048576,BR$93,$C323*2+6)</f>
        <v>5.45E-2</v>
      </c>
      <c r="BS323" s="1">
        <f>INDEX(Input!$1:$1048576,BS$93,$C323*2+6)</f>
        <v>0.05</v>
      </c>
      <c r="BT323" s="1">
        <f>INDEX(Input!$1:$1048576,BT$93,$C323*2+6)</f>
        <v>0.05</v>
      </c>
      <c r="BU323" s="1">
        <f>INDEX(Input!$1:$1048576,BU$93,$C323*2+6)</f>
        <v>0.05</v>
      </c>
      <c r="BV323" s="1">
        <f>INDEX(Input!$1:$1048576,BV$93,$C323*2+6)</f>
        <v>5.5E-2</v>
      </c>
      <c r="BW323" s="1">
        <f>INDEX(Input!$1:$1048576,BW$93,$C323*2+6)</f>
        <v>0.06</v>
      </c>
      <c r="BX323" s="127">
        <f>INDEX(Input!$1:$1048576,BX$93,$C323*2+6)</f>
        <v>19985</v>
      </c>
      <c r="BY323" s="20">
        <f>INDEX(Input!$1:$1048576,BY$93,$C323*2+6)</f>
        <v>0.1</v>
      </c>
      <c r="BZ323" s="20">
        <f>INDEX(Input!$1:$1048576,BZ$93,$C323*2+6)</f>
        <v>0.1</v>
      </c>
      <c r="CA323" s="20">
        <f>INDEX(Input!$1:$1048576,CA$93,$C323*2+6)</f>
        <v>0.1</v>
      </c>
      <c r="CB323" s="20">
        <f>INDEX(Input!$1:$1048576,CB$93,$C323*2+6)</f>
        <v>0.1</v>
      </c>
      <c r="CC323" s="20">
        <f>INDEX(Input!$1:$1048576,CC$93,$C323*2+6)</f>
        <v>0.1</v>
      </c>
      <c r="CD323" s="384">
        <f>INDEX(Input!$1:$1048576,CD$93,$C323*2+6)</f>
        <v>0.1</v>
      </c>
      <c r="CE323" s="384">
        <f>INDEX(Input!$1:$1048576,CE$93,$C323*2+6)</f>
        <v>0.1</v>
      </c>
      <c r="CF323" s="384">
        <f>INDEX(Input!$1:$1048576,CF$93,$C323*2+6)</f>
        <v>0.1</v>
      </c>
      <c r="CG323" s="384">
        <f>INDEX(Input!$1:$1048576,CG$93,$C323*2+6)</f>
        <v>0.1</v>
      </c>
      <c r="CH323" s="384">
        <f>INDEX(Input!$1:$1048576,CH$93,$C323*2+6)</f>
        <v>0.1</v>
      </c>
      <c r="CI323" s="304">
        <f t="shared" si="864"/>
        <v>1287.0236024844721</v>
      </c>
      <c r="CJ323" s="16" t="str">
        <f>INDEX(Input!$1:$1048576,CJ$93,$C323*2+6)</f>
        <v>N</v>
      </c>
      <c r="CK323" s="1" t="str">
        <f t="shared" si="865"/>
        <v>Market</v>
      </c>
      <c r="CL323" s="1" t="str">
        <f t="shared" si="866"/>
        <v>Market</v>
      </c>
      <c r="CM323" s="1" t="str">
        <f t="shared" si="867"/>
        <v>Market</v>
      </c>
      <c r="CN323" s="1" t="str">
        <f t="shared" si="868"/>
        <v>Market</v>
      </c>
      <c r="CO323" s="1" t="str">
        <f t="shared" si="869"/>
        <v>Market</v>
      </c>
      <c r="CP323" s="304">
        <f t="shared" si="870"/>
        <v>500</v>
      </c>
      <c r="CQ323" s="1">
        <f t="shared" si="871"/>
        <v>0</v>
      </c>
      <c r="CR323" s="1">
        <f t="shared" si="872"/>
        <v>0</v>
      </c>
      <c r="CS323" s="1">
        <f t="shared" si="873"/>
        <v>0</v>
      </c>
      <c r="CT323" s="1">
        <f t="shared" si="874"/>
        <v>8.9999999999999993E-3</v>
      </c>
      <c r="CU323" s="1">
        <f t="shared" si="875"/>
        <v>3.9E-2</v>
      </c>
      <c r="CV323" s="304">
        <f t="shared" si="876"/>
        <v>1554.9999999999991</v>
      </c>
      <c r="CW323" s="20" t="s">
        <v>122</v>
      </c>
      <c r="CX323" s="20" t="s">
        <v>122</v>
      </c>
      <c r="CY323" s="20" t="s">
        <v>122</v>
      </c>
      <c r="CZ323" s="20" t="s">
        <v>122</v>
      </c>
      <c r="DA323" s="20" t="s">
        <v>122</v>
      </c>
      <c r="DB323" s="503">
        <f t="shared" si="877"/>
        <v>0</v>
      </c>
      <c r="DC323" s="127">
        <v>0</v>
      </c>
      <c r="DD323" s="127">
        <v>0</v>
      </c>
      <c r="DE323" s="127">
        <v>0</v>
      </c>
      <c r="DF323" s="127">
        <v>0</v>
      </c>
      <c r="DG323" s="127">
        <v>0</v>
      </c>
      <c r="DH323" s="127">
        <v>0</v>
      </c>
      <c r="DI323" s="127">
        <v>0</v>
      </c>
      <c r="DJ323" s="127">
        <v>0</v>
      </c>
      <c r="DK323" s="127">
        <v>0</v>
      </c>
      <c r="DL323" s="127">
        <v>0</v>
      </c>
      <c r="DM323" s="304">
        <f>INDEX(Input!$1:$1048576,DM$93,$C323*2+6)</f>
        <v>21036.84210526316</v>
      </c>
      <c r="DN323" s="20">
        <v>0</v>
      </c>
      <c r="DO323" s="20">
        <v>0</v>
      </c>
      <c r="DP323" s="20">
        <v>0</v>
      </c>
      <c r="DQ323" s="20">
        <v>0</v>
      </c>
      <c r="DR323" s="20">
        <v>0</v>
      </c>
      <c r="DS323" s="20">
        <f>INDEX(Input!$1:$1048576,DS$93,$C323*2+6)</f>
        <v>0.6</v>
      </c>
      <c r="DT323" s="20">
        <f>INDEX(Input!$1:$1048576,DT$93,$C323*2+6)</f>
        <v>0.55000000000000004</v>
      </c>
      <c r="DU323" s="20">
        <f>INDEX(Input!$1:$1048576,DU$93,$C323*2+6)</f>
        <v>0.52</v>
      </c>
      <c r="DV323" s="20">
        <f>INDEX(Input!$1:$1048576,DV$93,$C323*2+6)</f>
        <v>0.5</v>
      </c>
      <c r="DW323" s="20">
        <f>INDEX(Input!$1:$1048576,DW$93,$C323*2+6)</f>
        <v>0.45</v>
      </c>
      <c r="DX323" s="20"/>
      <c r="DY323" s="7">
        <v>9.882580074641073E-2</v>
      </c>
      <c r="DZ323" s="7">
        <v>0</v>
      </c>
      <c r="EA323" s="7">
        <v>0.68195941300672003</v>
      </c>
      <c r="EB323" s="7">
        <v>0</v>
      </c>
      <c r="EC323" s="7">
        <v>0</v>
      </c>
      <c r="ED323" s="7">
        <v>0</v>
      </c>
      <c r="EE323" s="7">
        <v>0</v>
      </c>
      <c r="EF323" s="7">
        <v>0</v>
      </c>
      <c r="EG323" s="7">
        <v>0</v>
      </c>
      <c r="EH323" s="7">
        <v>9.4331179682199413E-3</v>
      </c>
      <c r="EI323" s="7">
        <v>2.6408069581028724E-2</v>
      </c>
      <c r="EJ323" s="7">
        <v>0.21235772536645556</v>
      </c>
      <c r="EK323" s="7">
        <v>0.64054545469354041</v>
      </c>
      <c r="EL323" s="7">
        <v>0.11125563239075527</v>
      </c>
      <c r="EM323" s="7">
        <v>6.1580196162302141E-2</v>
      </c>
      <c r="EN323" s="7">
        <v>6.2780517764073396E-2</v>
      </c>
      <c r="EO323" s="7">
        <v>0.7805873190387993</v>
      </c>
      <c r="EP323" s="7">
        <v>6.4461182404335668E-2</v>
      </c>
      <c r="EQ323" s="7">
        <v>6.0281367194055704E-2</v>
      </c>
      <c r="ER323" s="7">
        <v>3.1889613598735413E-2</v>
      </c>
      <c r="ES323" s="7">
        <v>0.15763459008456712</v>
      </c>
      <c r="ET323" s="7">
        <v>0.21921478624686924</v>
      </c>
      <c r="EU323" s="6">
        <v>1611</v>
      </c>
      <c r="EV323" s="6">
        <v>0</v>
      </c>
      <c r="EW323" s="6">
        <v>1611</v>
      </c>
      <c r="EX323" s="6">
        <v>0</v>
      </c>
      <c r="EY323" s="6">
        <v>2652.2839901195966</v>
      </c>
      <c r="EZ323" s="6">
        <v>2289</v>
      </c>
      <c r="FA323" s="6">
        <v>0</v>
      </c>
      <c r="FB323" s="6">
        <v>0</v>
      </c>
      <c r="FC323" s="6">
        <v>0</v>
      </c>
      <c r="FD323" s="6">
        <v>0</v>
      </c>
      <c r="FE323" s="6">
        <v>0</v>
      </c>
      <c r="FF323" s="6">
        <v>0</v>
      </c>
      <c r="FG323" s="6">
        <v>0</v>
      </c>
      <c r="FH323" s="6">
        <v>1171.9975842205602</v>
      </c>
      <c r="FI323" s="6">
        <v>1553.9796069512392</v>
      </c>
      <c r="FJ323" s="6">
        <v>2101.2110117447414</v>
      </c>
      <c r="FK323" s="6">
        <v>2251.3078348034674</v>
      </c>
      <c r="FL323" s="6">
        <v>907.07682140966347</v>
      </c>
      <c r="FM323" s="6">
        <v>2041.2839901195964</v>
      </c>
      <c r="FN323" s="6">
        <v>0</v>
      </c>
      <c r="FO323" s="6">
        <v>0</v>
      </c>
      <c r="FP323" s="6">
        <v>0</v>
      </c>
      <c r="FQ323" s="6">
        <v>0</v>
      </c>
      <c r="FR323" s="6">
        <v>0</v>
      </c>
      <c r="FS323" s="6">
        <v>0</v>
      </c>
      <c r="FT323" s="7">
        <v>0.78078521375313081</v>
      </c>
      <c r="FU323" s="7">
        <v>6.1580196162302141E-2</v>
      </c>
      <c r="FV323" s="7">
        <v>0.15763459008456712</v>
      </c>
      <c r="FW323" s="6">
        <v>1610.9999999999998</v>
      </c>
      <c r="FX323" s="6">
        <v>2652.2839901195966</v>
      </c>
      <c r="FY323" s="6">
        <v>2289</v>
      </c>
      <c r="FZ323" s="6">
        <v>1858.9243755539039</v>
      </c>
      <c r="GA323" s="6">
        <v>1781.998724449566</v>
      </c>
      <c r="GB323" s="6">
        <v>18203.001275550436</v>
      </c>
      <c r="GC323" s="7">
        <v>2.9156573141622111E-2</v>
      </c>
      <c r="GD323" s="7">
        <v>2.9536970944163719E-2</v>
      </c>
      <c r="GE323" s="7"/>
      <c r="GF323" s="7"/>
      <c r="GG323" s="7">
        <v>1.3046725371116227E-2</v>
      </c>
      <c r="GH323" s="42">
        <v>-3.3894910579060982</v>
      </c>
      <c r="GI323" s="6">
        <v>-4114.166705278999</v>
      </c>
      <c r="GJ323" s="14">
        <v>0.50394797582841733</v>
      </c>
      <c r="GK323" s="14">
        <v>0.50887573065309744</v>
      </c>
      <c r="GL323" s="14">
        <v>0.49605202417158262</v>
      </c>
      <c r="GM323" s="14">
        <v>0.49112426934690234</v>
      </c>
      <c r="GO323" s="5">
        <v>343.14810671672558</v>
      </c>
      <c r="GP323" s="5">
        <v>312.41330006058649</v>
      </c>
      <c r="GQ323" s="5">
        <v>535.04305713031317</v>
      </c>
      <c r="GR323" s="5">
        <v>410.15490233172511</v>
      </c>
      <c r="GS323" s="5">
        <v>339.42744393800166</v>
      </c>
      <c r="GT323" s="5">
        <v>293.4407446948278</v>
      </c>
      <c r="GU323" s="5">
        <v>258.04012322764959</v>
      </c>
      <c r="GV323" s="39" t="s">
        <v>392</v>
      </c>
      <c r="GW323" s="5">
        <v>482.65277777777777</v>
      </c>
      <c r="GX323" s="5">
        <v>361.98958333333331</v>
      </c>
      <c r="GY323" s="5">
        <v>289.59166666666664</v>
      </c>
      <c r="GZ323" s="5">
        <v>247.99130496280273</v>
      </c>
      <c r="HA323" s="5">
        <v>236.70336205047303</v>
      </c>
      <c r="HB323" s="39">
        <v>260.79367974454146</v>
      </c>
      <c r="HC323" s="5">
        <v>187.140625</v>
      </c>
      <c r="HD323" s="5">
        <v>171.45330774853798</v>
      </c>
      <c r="HE323" s="5">
        <v>177.50180921052629</v>
      </c>
      <c r="HF323" s="5">
        <v>167.9756304824561</v>
      </c>
      <c r="HG323" s="5">
        <v>166.75888157894735</v>
      </c>
      <c r="HH323" s="39">
        <v>172.46871662705291</v>
      </c>
      <c r="HI323" s="16"/>
      <c r="HJ323" s="19" t="str">
        <f t="shared" si="972"/>
        <v>On</v>
      </c>
      <c r="HK323" s="1" t="str">
        <f t="shared" si="972"/>
        <v>On</v>
      </c>
      <c r="HL323" s="16"/>
      <c r="HM323" s="639">
        <f t="shared" si="878"/>
        <v>2.2758057894877178E-2</v>
      </c>
      <c r="HN323" s="639">
        <f t="shared" si="879"/>
        <v>1.416759231746561E-3</v>
      </c>
      <c r="HO323" s="639">
        <f t="shared" si="880"/>
        <v>4.5732401537654987E-3</v>
      </c>
      <c r="HP323" s="644">
        <f>(FT323*$GD323-HM323)/$JF323*INDEX(Input!$1:$1048576,$JG$93,$C323*2+6)</f>
        <v>17.02359786650311</v>
      </c>
      <c r="HQ323" s="644">
        <f>(FU323*$GD323-HN323)/$JF323*INDEX(Input!$1:$1048576,$JG$93,$C323*2+6)</f>
        <v>22.520982857106702</v>
      </c>
      <c r="HR323" s="644">
        <f>(FV323*$GD323-HO323)/$JF323*INDEX(Input!$1:$1048576,$JG$93,$C323*2+6)</f>
        <v>4.6375699618683939</v>
      </c>
      <c r="HS323" s="644">
        <f t="shared" si="975"/>
        <v>-19.022684646349415</v>
      </c>
      <c r="HT323" s="644">
        <f t="shared" si="882"/>
        <v>58.944893504727041</v>
      </c>
      <c r="HU323" s="644">
        <f t="shared" si="883"/>
        <v>8.0582780419671369</v>
      </c>
      <c r="HV323" s="648">
        <f t="shared" si="884"/>
        <v>0</v>
      </c>
      <c r="HW323" s="648">
        <f t="shared" si="885"/>
        <v>0</v>
      </c>
      <c r="HX323" s="648">
        <f t="shared" si="886"/>
        <v>0</v>
      </c>
      <c r="HY323" s="644">
        <f>INDEX(Input!$1:$1048576,HY$93,$C323*2+6)*INDEX(Input!$1:$1048576,$JG$93,$C323*2+6)</f>
        <v>509.00000000000006</v>
      </c>
      <c r="HZ323" s="644">
        <f>INDEX(Input!$1:$1048576,HZ$93,$C323*2+6)*INDEX(Input!$1:$1048576,$JG$93,$C323*2+6)</f>
        <v>844</v>
      </c>
      <c r="IA323" s="644">
        <f>INDEX(Input!$1:$1048576,IA$93,$C323*2+6)*INDEX(Input!$1:$1048576,$JG$93,$C323*2+6)</f>
        <v>257</v>
      </c>
      <c r="IB323" s="644">
        <f t="shared" si="910"/>
        <v>507.00091322015396</v>
      </c>
      <c r="IC323" s="644">
        <f t="shared" si="911"/>
        <v>925.46587636183369</v>
      </c>
      <c r="ID323" s="644">
        <f>IF(AND(INDEX(Input!$1:$1048576,IA$93,$C323*2+7)="TOS",Y323&lt;=INDEX(Y:Y,MATCH(C323*1000+2,A:A))),0,1)*MAX(IA323+HR323+HU323+HX323,0%)</f>
        <v>269.69584800383552</v>
      </c>
      <c r="IE323" s="128">
        <f t="shared" si="976"/>
        <v>0.29785691568182532</v>
      </c>
      <c r="IF323" s="128">
        <f t="shared" si="977"/>
        <v>0.54370002955441543</v>
      </c>
      <c r="IG323" s="128">
        <f t="shared" si="888"/>
        <v>0.15844305476375928</v>
      </c>
      <c r="IH323" s="21"/>
      <c r="II323" s="19">
        <f t="shared" si="889"/>
        <v>1410.4999999999998</v>
      </c>
      <c r="IJ323" s="19">
        <f t="shared" si="890"/>
        <v>2134.9731585778086</v>
      </c>
      <c r="IK323" s="19">
        <f t="shared" si="891"/>
        <v>2103.5</v>
      </c>
      <c r="IL323" s="19">
        <f t="shared" si="913"/>
        <v>200.5</v>
      </c>
      <c r="IM323" s="19">
        <f t="shared" si="892"/>
        <v>517.31083154178805</v>
      </c>
      <c r="IN323" s="19">
        <f t="shared" si="893"/>
        <v>185.5</v>
      </c>
      <c r="IO323" s="39">
        <f t="shared" si="894"/>
        <v>0</v>
      </c>
      <c r="IP323" s="39">
        <f t="shared" si="895"/>
        <v>0</v>
      </c>
      <c r="IQ323" s="39">
        <f t="shared" si="896"/>
        <v>0</v>
      </c>
      <c r="IR323" s="39">
        <v>0</v>
      </c>
      <c r="IS323" s="39">
        <v>0</v>
      </c>
      <c r="IT323" s="39">
        <v>0</v>
      </c>
      <c r="IU323" s="39">
        <v>0</v>
      </c>
      <c r="IV323" s="39">
        <v>0</v>
      </c>
      <c r="IW323" s="39">
        <v>0</v>
      </c>
      <c r="IX323" s="39">
        <f>INDEX(Input!$1:$1048576,IX$93,$C323*2+6)+INDEX(Input!$1:$1048576,IX$94,$C323*2+6)</f>
        <v>1611</v>
      </c>
      <c r="IY323" s="39">
        <f>INDEX(Input!$1:$1048576,IY$93,$C323*2+6)+INDEX(Input!$1:$1048576,IY$94,$C323*2+6)</f>
        <v>2471.0624533823611</v>
      </c>
      <c r="IZ323" s="39">
        <f>INDEX(Input!$1:$1048576,IZ$93,$C323*2+6)+INDEX(Input!$1:$1048576,IZ$94,$C323*2+6)</f>
        <v>3994.7164157747857</v>
      </c>
      <c r="JA323" s="19">
        <f t="shared" si="914"/>
        <v>1811.5</v>
      </c>
      <c r="JB323" s="19">
        <f t="shared" si="915"/>
        <v>2988.3732849241492</v>
      </c>
      <c r="JC323" s="19">
        <f t="shared" si="916"/>
        <v>4180.2164157747857</v>
      </c>
      <c r="JD323" s="19">
        <f t="shared" si="917"/>
        <v>2826.6727045794819</v>
      </c>
      <c r="JE323" s="21"/>
      <c r="JF323" s="1">
        <f t="shared" si="897"/>
        <v>2.8748057280389237E-2</v>
      </c>
      <c r="JG323" s="15">
        <f>INDEX(Input!$1:$1048576,JG$93,$C323*2+6)/(1+VLOOKUP(C323*1000+INDEX(Input!$1:$1048576,JG$93+1,$C323*2+6),$A:$KK,$JK$92,FALSE))</f>
        <v>1610</v>
      </c>
      <c r="JH323" s="1">
        <f t="shared" si="918"/>
        <v>2.7442329618309443E-2</v>
      </c>
      <c r="JI323" s="1">
        <f t="shared" si="919"/>
        <v>2.9801544658599233E-2</v>
      </c>
      <c r="JJ323" s="1">
        <f t="shared" si="978"/>
        <v>0</v>
      </c>
      <c r="JK323" s="1">
        <f t="shared" si="979"/>
        <v>5.7243874276908677E-2</v>
      </c>
      <c r="JL323" s="15">
        <f t="shared" si="922"/>
        <v>92.162637585822964</v>
      </c>
      <c r="JM323" s="15">
        <f t="shared" si="948"/>
        <v>1702.1626375858229</v>
      </c>
      <c r="JN323" s="21"/>
      <c r="JO323" s="19">
        <f>INDEX(Input!$1:$1048576,JO$93,$C323*2+6)</f>
        <v>5995.5</v>
      </c>
      <c r="JP323" s="19">
        <f>INDEX(Input!$1:$1048576,JP$93,$C323*2+6)</f>
        <v>2442.3713226762939</v>
      </c>
      <c r="JQ323" s="39">
        <f t="shared" si="934"/>
        <v>3168.8272954205181</v>
      </c>
      <c r="JR323" s="39">
        <f t="shared" si="951"/>
        <v>384.30138190318803</v>
      </c>
      <c r="JS323" s="39">
        <f t="shared" si="936"/>
        <v>4.8114566664188629</v>
      </c>
      <c r="JT323" s="39">
        <f t="shared" si="924"/>
        <v>0.87923883691002935</v>
      </c>
      <c r="JU323" s="385">
        <f>(JQ323*JM323-INDEX(Input!$1:$1048576,Input!A$18,$C323*2+6)*JL323*INDEX(Input!$1:$1048576,Input!A$19,$C323*2+6))/1000000</f>
        <v>5.3938594272269391</v>
      </c>
      <c r="JV323" s="39">
        <f t="shared" si="958"/>
        <v>-0.32667774326422805</v>
      </c>
      <c r="JW323" s="1">
        <f t="shared" si="949"/>
        <v>-5.7106130688104488E-2</v>
      </c>
      <c r="JX323" s="19">
        <f t="shared" si="940"/>
        <v>9540.078929395564</v>
      </c>
      <c r="JZ323" s="341"/>
      <c r="KA323" s="342"/>
      <c r="KB323" s="469">
        <f t="shared" si="937"/>
        <v>2.5190675447988795</v>
      </c>
      <c r="KI323" s="473">
        <f t="shared" si="964"/>
        <v>-1.9990867798462091</v>
      </c>
      <c r="KJ323" s="473">
        <f t="shared" si="965"/>
        <v>81.465876361833693</v>
      </c>
      <c r="KK323" s="473">
        <f t="shared" si="926"/>
        <v>12.695848003835465</v>
      </c>
      <c r="KN323" s="544">
        <f t="shared" si="941"/>
        <v>3002</v>
      </c>
      <c r="KO323" s="541">
        <f t="shared" si="901"/>
        <v>2.5936008201232097E-2</v>
      </c>
      <c r="KP323" s="546">
        <f t="shared" si="902"/>
        <v>172.22363315086068</v>
      </c>
      <c r="KQ323" s="546">
        <f t="shared" si="903"/>
        <v>190.75927919078367</v>
      </c>
      <c r="KR323" s="548">
        <f t="shared" si="904"/>
        <v>2.6126847021561379</v>
      </c>
      <c r="KS323" s="548">
        <f t="shared" si="905"/>
        <v>2.3588160617496401</v>
      </c>
      <c r="KT323" s="473">
        <f t="shared" si="939"/>
        <v>1026.1618045255443</v>
      </c>
      <c r="KU323" s="663">
        <f t="shared" si="927"/>
        <v>4.6575996740236798</v>
      </c>
      <c r="KV323" s="117"/>
    </row>
    <row r="324" spans="1:308" s="26" customFormat="1" ht="15">
      <c r="A324" s="561">
        <f t="shared" si="906"/>
        <v>3024</v>
      </c>
      <c r="B324" s="561">
        <f t="shared" si="928"/>
        <v>24</v>
      </c>
      <c r="C324" s="561">
        <f t="shared" si="929"/>
        <v>3</v>
      </c>
      <c r="D324" s="561" t="str">
        <f t="shared" si="974"/>
        <v xml:space="preserve">0/0/0/3.9, </v>
      </c>
      <c r="E324" s="475">
        <f>INDEX(Input!$1:$1048576,E$93,$C324*2+MIN($B324,2)+5)
+INDEX(Scenarios!E$121:E$200,MATCH($B324,Scenarios!$B$121:$B$200,0))</f>
        <v>1287.0236024844721</v>
      </c>
      <c r="F324" s="475">
        <f>INDEX(Input!$1:$1048576,F$93,$C324*2+MIN($B324,2)+5)
+INDEX(Scenarios!F$121:F$200,MATCH($B324,Scenarios!$B$121:$B$200,0))</f>
        <v>0</v>
      </c>
      <c r="G324" s="475">
        <f>INDEX(Input!$1:$1048576,G$93,$C324*2+MIN($B324,2)+5)
+INDEX(Scenarios!G$121:G$200,MATCH($B324,Scenarios!$B$121:$B$200,0))</f>
        <v>0</v>
      </c>
      <c r="H324" s="475">
        <f>INDEX(Input!$1:$1048576,H$93,$C324*2+MIN($B324,2)+5)
+INDEX(Scenarios!H$121:H$200,MATCH($B324,Scenarios!$B$121:$B$200,0))</f>
        <v>0</v>
      </c>
      <c r="I324" s="476">
        <f>INDEX(Input!$1:$1048576,I$93,$C324*2+MIN($B324,2)+5)</f>
        <v>0.7</v>
      </c>
      <c r="J324" s="476" t="str">
        <f>INDEX(Input!$1:$1048576,J$93,$C324*2+MIN($B324,2)+5)</f>
        <v>Market</v>
      </c>
      <c r="K324" s="476" t="str">
        <f>INDEX(Input!$1:$1048576,K$93,$C324*2+MIN($B324,2)+5)</f>
        <v>Market</v>
      </c>
      <c r="L324" s="476" t="str">
        <f>INDEX(Input!$1:$1048576,L$93,$C324*2+MIN($B324,2)+5)</f>
        <v>Market</v>
      </c>
      <c r="M324" s="476" t="str">
        <f>INDEX(Input!$1:$1048576,M$93,$C324*2+MIN($B324,2)+5)</f>
        <v>Market</v>
      </c>
      <c r="N324" s="476" t="str">
        <f>INDEX(Input!$1:$1048576,N$93,$C324*2+MIN($B324,2)+5)</f>
        <v>Market</v>
      </c>
      <c r="O324" s="476" t="str">
        <f>INDEX(Input!$1:$1048576,O$93,$C324*2+MIN($B324,2)+5)</f>
        <v>Market</v>
      </c>
      <c r="P324" s="476" t="str">
        <f>INDEX(Input!$1:$1048576,P$93,$C324*2+MIN($B324,2)+5)</f>
        <v>N</v>
      </c>
      <c r="Q324" s="477">
        <f>INDEX(Input!$1:$1048576,Q$93,$C324*2+MIN($B324,2)+5)
+INDEX(Scenarios!Q$121:Q$200,MATCH($B324,Scenarios!$B$121:$B$200,0))</f>
        <v>0</v>
      </c>
      <c r="R324" s="478">
        <f>IFERROR(MAX(0,INDEX(Input!$1:$1048576,R$93,$C324*2+MIN($B324,2)+5)
+INDEX(Scenarios!R$121:R$200,MATCH($B324,Scenarios!$B$121:$B$200,0)),),"Market")</f>
        <v>0</v>
      </c>
      <c r="S324" s="478">
        <f>IFERROR(MAX(0,INDEX(Input!$1:$1048576,S$93,$C324*2+MIN($B324,2)+5)
+INDEX(Scenarios!S$121:S$200,MATCH($B324,Scenarios!$B$121:$B$200,0)),),"Market")</f>
        <v>0</v>
      </c>
      <c r="T324" s="478">
        <f>IFERROR(MAX(0,INDEX(Input!$1:$1048576,T$93,$C324*2+MIN($B324,2)+5)
+INDEX(Scenarios!T$121:T$200,MATCH($B324,Scenarios!$B$121:$B$200,0)),),"Market")</f>
        <v>0</v>
      </c>
      <c r="U324" s="478">
        <f>IFERROR(MAX(0,INDEX(Input!$1:$1048576,U$93,$C324*2+MIN($B324,2)+5)
+INDEX(Scenarios!U$121:U$200,MATCH($B324,Scenarios!$B$121:$B$200,0)),),"Market")</f>
        <v>0</v>
      </c>
      <c r="V324" s="478">
        <f>IFERROR(MAX(0,INDEX(Input!$1:$1048576,V$93,$C324*2+MIN($B324,2)+5)
+INDEX(Scenarios!V$121:V$200,MATCH($B324,Scenarios!$B$121:$B$200,0)),),"Market")</f>
        <v>0</v>
      </c>
      <c r="W324" s="885">
        <f>IFERROR(MAX(0,INDEX(Input!$1:$1048576,W$93,$C324*2+MIN($B324,2)+5)-0%,),"Market")</f>
        <v>3.9E-2</v>
      </c>
      <c r="X324" s="476" t="str">
        <f>INDEX(Input!$1:$1048576,X$93,$C324*2+MIN($B324,2)+5)</f>
        <v>Y</v>
      </c>
      <c r="Y324" s="475">
        <f>INDEX(Input!$1:$1048576,Y$93,$C324*2+MIN($B324,2)+5)
++INDEX(Scenarios!Y$121:Y$200,MATCH($B324,Scenarios!$B$121:$B$200,0))</f>
        <v>1554.9999999999991</v>
      </c>
      <c r="Z324" s="477">
        <f>INDEX(Input!$1:$1048576,Z$93,$C324*2+MIN($B324,2)+5)
+INDEX(Scenarios!Z$121:Z$200,MATCH($B324,Scenarios!$B$121:$B$200,0))</f>
        <v>0</v>
      </c>
      <c r="AA324" s="475">
        <f>INDEX(Input!$1:$1048576,AA$93,$C324*2+MIN($B324,2)+5)
+INDEX(Scenarios!AA$121:AA$200,MATCH($B324,Scenarios!$B$121:$B$200,0))</f>
        <v>0</v>
      </c>
      <c r="AB324" s="476">
        <f>INDEX(Input!$1:$1048576,AB$93,$C324*2+MIN($B324,2)+5)</f>
        <v>0.27</v>
      </c>
      <c r="AC324" s="475">
        <f>INDEX(Input!$1:$1048576,AC$93,$C324*2+MIN($B324,2)+5)
+INDEX(Scenarios!AC$121:AC$200,MATCH($B324,Scenarios!$B$121:$B$200,0))</f>
        <v>0</v>
      </c>
      <c r="AD324" s="476">
        <f>INDEX(Input!$1:$1048576,AD$93,$C324*2+MIN($B324,2)+5)</f>
        <v>0.27</v>
      </c>
      <c r="AE324" s="475">
        <f>INDEX(Input!$1:$1048576,AE$93,$C324*2+MIN($B324,2)+5)
+INDEX(Scenarios!AE$121:AE$200,MATCH($B324,Scenarios!$B$121:$B$200,0))</f>
        <v>0</v>
      </c>
      <c r="AF324" s="476">
        <f>INDEX(Input!$1:$1048576,AF$93,$C324*2+MIN($B324,2)+5)</f>
        <v>0.68200000000000005</v>
      </c>
      <c r="AG324" s="475">
        <f>INDEX(Input!$1:$1048576,AG$93,$C324*2+MIN($B324,2)+5)
+INDEX(Scenarios!AG$121:AG$200,MATCH($B324,Scenarios!$B$121:$B$200,0))</f>
        <v>500</v>
      </c>
      <c r="AH324" s="476">
        <f>INDEX(Input!$1:$1048576,AH$93,$C324*2+MIN($B324,2)+5)</f>
        <v>1</v>
      </c>
      <c r="AI324" s="475">
        <f>INDEX(Input!$1:$1048576,AI$93,$C324*2+MIN($B324,2)+5)
+INDEX(Scenarios!AI$121:AI$200,MATCH($B324,Scenarios!$B$121:$B$200,0))</f>
        <v>0</v>
      </c>
      <c r="AJ324" s="476">
        <f>INDEX(Input!$1:$1048576,AJ$93,$C324*2+MIN($B324,2)+5)</f>
        <v>0.27</v>
      </c>
      <c r="AK324" s="150">
        <f>ROUND(INDEX(Input!$1:$1048576,AK$93,$C323*2+MIN($B324,1)+5)+(Y324-VLOOKUP($C324*1000+1,$A:$HH,Y$92,FALSE)),0)</f>
        <v>2977</v>
      </c>
      <c r="AL324" s="150">
        <f>ROUND(INDEX(Input!$1:$1048576,AL$93,$C323*2+MIN($B324,1)+5)-(Y324-VLOOKUP($C324*1000+1,$A:$HH,Y$92,FALSE))/36,0)</f>
        <v>3395</v>
      </c>
      <c r="AM324" s="32" t="str">
        <f t="shared" si="907"/>
        <v>std/std/std/std</v>
      </c>
      <c r="AN324" s="32" t="str">
        <f t="shared" si="908"/>
        <v>$0 + 0/0/0/0/3.9</v>
      </c>
      <c r="AO324" s="32" t="str">
        <f t="shared" si="909"/>
        <v>0/0/0/0/3.9</v>
      </c>
      <c r="AP324" s="32" t="str">
        <f t="shared" si="863"/>
        <v>0/0/0/3.9</v>
      </c>
      <c r="AQ324" s="536">
        <f t="shared" si="862"/>
        <v>0.28004305232634052</v>
      </c>
      <c r="AR324" s="32"/>
      <c r="AS324" s="302"/>
      <c r="AT324" s="3">
        <f t="shared" si="930"/>
        <v>24</v>
      </c>
      <c r="AU324" s="41" t="s">
        <v>121</v>
      </c>
      <c r="AV324" s="41" t="s">
        <v>116</v>
      </c>
      <c r="AW324" s="41" t="str">
        <f>INDEX(Input!$1:$1048576,AW$93,$C324*2+6)</f>
        <v>Kia</v>
      </c>
      <c r="AX324" s="41" t="str">
        <f>INDEX(Input!$1:$1048576,AX$93,$C324*2+6)</f>
        <v>Kia-LR - L3</v>
      </c>
      <c r="AY324" s="41" t="str">
        <f>IF(LEN(D324)=0,"",INDEX(Input!$1:$1048576,AY$93,$C324*2+6))</f>
        <v>Compact SUV (52)</v>
      </c>
      <c r="AZ324" s="41" t="str">
        <f>INDEX(Input!$1:$1048576,AZ$93,$C324*2+6)</f>
        <v>Kia Soul</v>
      </c>
      <c r="BA324" s="3">
        <f>INDEX(Input!$1:$1048576,BA$93,$C324*2+6)</f>
        <v>2020</v>
      </c>
      <c r="BB324" s="128">
        <f>INDEX(Input!$1:$1048576,BB$93,$C324*2+6)</f>
        <v>1</v>
      </c>
      <c r="BC324" s="128">
        <f>INDEX(Input!$1:$1048576,BC$93,$C324*2+6)</f>
        <v>0.7</v>
      </c>
      <c r="BD324" s="1">
        <f>INDEX(Input!$1:$1048576,BD$93,$C324*2+6)</f>
        <v>4.4999999999999998E-2</v>
      </c>
      <c r="BE324" s="1">
        <f>INDEX(Input!$1:$1048576,BE$93,$C324*2+6)</f>
        <v>4.4999999999999998E-2</v>
      </c>
      <c r="BF324" s="1">
        <f>INDEX(Input!$1:$1048576,BF$93,$C324*2+6)</f>
        <v>0.05</v>
      </c>
      <c r="BG324" s="1">
        <f>INDEX(Input!$1:$1048576,BG$93,$C324*2+6)</f>
        <v>5.45E-2</v>
      </c>
      <c r="BH324" s="1">
        <f>INDEX(Input!$1:$1048576,BH$93,$C324*2+6)</f>
        <v>5.45E-2</v>
      </c>
      <c r="BI324" s="1">
        <f>INDEX(Input!$1:$1048576,BI$93,$C324*2+6)</f>
        <v>0.05</v>
      </c>
      <c r="BJ324" s="1">
        <f>INDEX(Input!$1:$1048576,BJ$93,$C324*2+6)</f>
        <v>0.05</v>
      </c>
      <c r="BK324" s="1">
        <f>INDEX(Input!$1:$1048576,BK$93,$C324*2+6)</f>
        <v>0.05</v>
      </c>
      <c r="BL324" s="1">
        <f>INDEX(Input!$1:$1048576,BL$93,$C324*2+6)</f>
        <v>5.5E-2</v>
      </c>
      <c r="BM324" s="1">
        <f>INDEX(Input!$1:$1048576,BM$93,$C324*2+6)</f>
        <v>0.06</v>
      </c>
      <c r="BN324" s="1">
        <f>INDEX(Input!$1:$1048576,BN$93,$C324*2+6)</f>
        <v>4.4999999999999998E-2</v>
      </c>
      <c r="BO324" s="1">
        <f>INDEX(Input!$1:$1048576,BO$93,$C324*2+6)</f>
        <v>4.4999999999999998E-2</v>
      </c>
      <c r="BP324" s="1">
        <f>INDEX(Input!$1:$1048576,BP$93,$C324*2+6)</f>
        <v>0.05</v>
      </c>
      <c r="BQ324" s="1">
        <f>INDEX(Input!$1:$1048576,BQ$93,$C324*2+6)</f>
        <v>5.45E-2</v>
      </c>
      <c r="BR324" s="1">
        <f>INDEX(Input!$1:$1048576,BR$93,$C324*2+6)</f>
        <v>5.45E-2</v>
      </c>
      <c r="BS324" s="1">
        <f>INDEX(Input!$1:$1048576,BS$93,$C324*2+6)</f>
        <v>0.05</v>
      </c>
      <c r="BT324" s="1">
        <f>INDEX(Input!$1:$1048576,BT$93,$C324*2+6)</f>
        <v>0.05</v>
      </c>
      <c r="BU324" s="1">
        <f>INDEX(Input!$1:$1048576,BU$93,$C324*2+6)</f>
        <v>0.05</v>
      </c>
      <c r="BV324" s="1">
        <f>INDEX(Input!$1:$1048576,BV$93,$C324*2+6)</f>
        <v>5.5E-2</v>
      </c>
      <c r="BW324" s="1">
        <f>INDEX(Input!$1:$1048576,BW$93,$C324*2+6)</f>
        <v>0.06</v>
      </c>
      <c r="BX324" s="127">
        <f>INDEX(Input!$1:$1048576,BX$93,$C324*2+6)</f>
        <v>19985</v>
      </c>
      <c r="BY324" s="20">
        <f>INDEX(Input!$1:$1048576,BY$93,$C324*2+6)</f>
        <v>0.1</v>
      </c>
      <c r="BZ324" s="20">
        <f>INDEX(Input!$1:$1048576,BZ$93,$C324*2+6)</f>
        <v>0.1</v>
      </c>
      <c r="CA324" s="20">
        <f>INDEX(Input!$1:$1048576,CA$93,$C324*2+6)</f>
        <v>0.1</v>
      </c>
      <c r="CB324" s="20">
        <f>INDEX(Input!$1:$1048576,CB$93,$C324*2+6)</f>
        <v>0.1</v>
      </c>
      <c r="CC324" s="20">
        <f>INDEX(Input!$1:$1048576,CC$93,$C324*2+6)</f>
        <v>0.1</v>
      </c>
      <c r="CD324" s="384">
        <f>INDEX(Input!$1:$1048576,CD$93,$C324*2+6)</f>
        <v>0.1</v>
      </c>
      <c r="CE324" s="384">
        <f>INDEX(Input!$1:$1048576,CE$93,$C324*2+6)</f>
        <v>0.1</v>
      </c>
      <c r="CF324" s="384">
        <f>INDEX(Input!$1:$1048576,CF$93,$C324*2+6)</f>
        <v>0.1</v>
      </c>
      <c r="CG324" s="384">
        <f>INDEX(Input!$1:$1048576,CG$93,$C324*2+6)</f>
        <v>0.1</v>
      </c>
      <c r="CH324" s="384">
        <f>INDEX(Input!$1:$1048576,CH$93,$C324*2+6)</f>
        <v>0.1</v>
      </c>
      <c r="CI324" s="304">
        <f t="shared" si="864"/>
        <v>1287.0236024844721</v>
      </c>
      <c r="CJ324" s="16" t="str">
        <f>INDEX(Input!$1:$1048576,CJ$93,$C324*2+6)</f>
        <v>N</v>
      </c>
      <c r="CK324" s="1" t="str">
        <f t="shared" si="865"/>
        <v>Market</v>
      </c>
      <c r="CL324" s="1" t="str">
        <f t="shared" si="866"/>
        <v>Market</v>
      </c>
      <c r="CM324" s="1" t="str">
        <f t="shared" si="867"/>
        <v>Market</v>
      </c>
      <c r="CN324" s="1" t="str">
        <f t="shared" si="868"/>
        <v>Market</v>
      </c>
      <c r="CO324" s="1" t="str">
        <f t="shared" si="869"/>
        <v>Market</v>
      </c>
      <c r="CP324" s="304">
        <f t="shared" si="870"/>
        <v>500</v>
      </c>
      <c r="CQ324" s="1">
        <f t="shared" si="871"/>
        <v>0</v>
      </c>
      <c r="CR324" s="1">
        <f t="shared" si="872"/>
        <v>0</v>
      </c>
      <c r="CS324" s="1">
        <f t="shared" si="873"/>
        <v>0</v>
      </c>
      <c r="CT324" s="1">
        <f t="shared" si="874"/>
        <v>0</v>
      </c>
      <c r="CU324" s="1">
        <f t="shared" si="875"/>
        <v>3.9E-2</v>
      </c>
      <c r="CV324" s="304">
        <f t="shared" si="876"/>
        <v>1554.9999999999991</v>
      </c>
      <c r="CW324" s="20" t="s">
        <v>122</v>
      </c>
      <c r="CX324" s="20" t="s">
        <v>122</v>
      </c>
      <c r="CY324" s="20" t="s">
        <v>122</v>
      </c>
      <c r="CZ324" s="20" t="s">
        <v>122</v>
      </c>
      <c r="DA324" s="20" t="s">
        <v>122</v>
      </c>
      <c r="DB324" s="503">
        <f t="shared" si="877"/>
        <v>0</v>
      </c>
      <c r="DC324" s="127">
        <v>0</v>
      </c>
      <c r="DD324" s="127">
        <v>0</v>
      </c>
      <c r="DE324" s="127">
        <v>0</v>
      </c>
      <c r="DF324" s="127">
        <v>0</v>
      </c>
      <c r="DG324" s="127">
        <v>0</v>
      </c>
      <c r="DH324" s="127">
        <v>0</v>
      </c>
      <c r="DI324" s="127">
        <v>0</v>
      </c>
      <c r="DJ324" s="127">
        <v>0</v>
      </c>
      <c r="DK324" s="127">
        <v>0</v>
      </c>
      <c r="DL324" s="127">
        <v>0</v>
      </c>
      <c r="DM324" s="304">
        <f>INDEX(Input!$1:$1048576,DM$93,$C324*2+6)</f>
        <v>21036.84210526316</v>
      </c>
      <c r="DN324" s="20">
        <v>0</v>
      </c>
      <c r="DO324" s="20">
        <v>0</v>
      </c>
      <c r="DP324" s="20">
        <v>0</v>
      </c>
      <c r="DQ324" s="20">
        <v>0</v>
      </c>
      <c r="DR324" s="20">
        <v>0</v>
      </c>
      <c r="DS324" s="20">
        <f>INDEX(Input!$1:$1048576,DS$93,$C324*2+6)</f>
        <v>0.6</v>
      </c>
      <c r="DT324" s="20">
        <f>INDEX(Input!$1:$1048576,DT$93,$C324*2+6)</f>
        <v>0.55000000000000004</v>
      </c>
      <c r="DU324" s="20">
        <f>INDEX(Input!$1:$1048576,DU$93,$C324*2+6)</f>
        <v>0.52</v>
      </c>
      <c r="DV324" s="20">
        <f>INDEX(Input!$1:$1048576,DV$93,$C324*2+6)</f>
        <v>0.5</v>
      </c>
      <c r="DW324" s="20">
        <f>INDEX(Input!$1:$1048576,DW$93,$C324*2+6)</f>
        <v>0.45</v>
      </c>
      <c r="DX324" s="20"/>
      <c r="DY324" s="7">
        <v>9.7103815934530088E-2</v>
      </c>
      <c r="DZ324" s="7">
        <v>0</v>
      </c>
      <c r="EA324" s="7">
        <v>0.67086813187062599</v>
      </c>
      <c r="EB324" s="7">
        <v>0</v>
      </c>
      <c r="EC324" s="7">
        <v>0</v>
      </c>
      <c r="ED324" s="7">
        <v>0</v>
      </c>
      <c r="EE324" s="7">
        <v>0</v>
      </c>
      <c r="EF324" s="7">
        <v>0</v>
      </c>
      <c r="EG324" s="7">
        <v>0</v>
      </c>
      <c r="EH324" s="7">
        <v>7.3767938833876317E-3</v>
      </c>
      <c r="EI324" s="7">
        <v>2.0648514137123101E-2</v>
      </c>
      <c r="EJ324" s="7">
        <v>0.16591180674783865</v>
      </c>
      <c r="EK324" s="7">
        <v>0.71899097700101022</v>
      </c>
      <c r="EL324" s="7">
        <v>8.7071908230640399E-2</v>
      </c>
      <c r="EM324" s="7">
        <v>7.7239263981647724E-2</v>
      </c>
      <c r="EN324" s="7">
        <v>6.2750433570088068E-2</v>
      </c>
      <c r="EO324" s="7">
        <v>0.78054016453939823</v>
      </c>
      <c r="EP324" s="7">
        <v>6.4514278339308409E-2</v>
      </c>
      <c r="EQ324" s="7">
        <v>6.030970258768488E-2</v>
      </c>
      <c r="ER324" s="7">
        <v>3.1885420963520081E-2</v>
      </c>
      <c r="ES324" s="7">
        <v>0.15478878821319605</v>
      </c>
      <c r="ET324" s="7">
        <v>0.23202805219484388</v>
      </c>
      <c r="EU324" s="6">
        <v>1611</v>
      </c>
      <c r="EV324" s="6">
        <v>0</v>
      </c>
      <c r="EW324" s="6">
        <v>1611</v>
      </c>
      <c r="EX324" s="6">
        <v>0</v>
      </c>
      <c r="EY324" s="6">
        <v>3002.0556574160628</v>
      </c>
      <c r="EZ324" s="6">
        <v>2289</v>
      </c>
      <c r="FA324" s="6">
        <v>0</v>
      </c>
      <c r="FB324" s="6">
        <v>0</v>
      </c>
      <c r="FC324" s="6">
        <v>0</v>
      </c>
      <c r="FD324" s="6">
        <v>0</v>
      </c>
      <c r="FE324" s="6">
        <v>0</v>
      </c>
      <c r="FF324" s="6">
        <v>0</v>
      </c>
      <c r="FG324" s="6">
        <v>0</v>
      </c>
      <c r="FH324" s="6">
        <v>1171.9917489785794</v>
      </c>
      <c r="FI324" s="6">
        <v>1553.9796069512395</v>
      </c>
      <c r="FJ324" s="6">
        <v>2101.2110117447405</v>
      </c>
      <c r="FK324" s="6">
        <v>2674.2006261592273</v>
      </c>
      <c r="FL324" s="6">
        <v>907.07682140966335</v>
      </c>
      <c r="FM324" s="6">
        <v>2391.0556574160628</v>
      </c>
      <c r="FN324" s="6">
        <v>0</v>
      </c>
      <c r="FO324" s="6">
        <v>0</v>
      </c>
      <c r="FP324" s="6">
        <v>0</v>
      </c>
      <c r="FQ324" s="6">
        <v>0</v>
      </c>
      <c r="FR324" s="6">
        <v>0</v>
      </c>
      <c r="FS324" s="6">
        <v>0</v>
      </c>
      <c r="FT324" s="7">
        <v>0.7679719478051561</v>
      </c>
      <c r="FU324" s="7">
        <v>7.7239263981647724E-2</v>
      </c>
      <c r="FV324" s="7">
        <v>0.15478878821319605</v>
      </c>
      <c r="FW324" s="6">
        <v>1611</v>
      </c>
      <c r="FX324" s="6">
        <v>3002.0556574160628</v>
      </c>
      <c r="FY324" s="6">
        <v>2289</v>
      </c>
      <c r="FZ324" s="6">
        <v>1858.9243755539039</v>
      </c>
      <c r="GA324" s="6">
        <v>1823.3909135448705</v>
      </c>
      <c r="GB324" s="6">
        <v>18161.60908645513</v>
      </c>
      <c r="GC324" s="7">
        <v>2.9156573141622111E-2</v>
      </c>
      <c r="GD324" s="7">
        <v>2.9648891868195915E-2</v>
      </c>
      <c r="GE324" s="7"/>
      <c r="GF324" s="7"/>
      <c r="GG324" s="7">
        <v>1.6885342601219468E-2</v>
      </c>
      <c r="GH324" s="42">
        <v>-9.4967828296489252</v>
      </c>
      <c r="GI324" s="6">
        <v>-281.00594994945891</v>
      </c>
      <c r="GJ324" s="14">
        <v>0.50394797582841744</v>
      </c>
      <c r="GK324" s="14">
        <v>0.50887573065309744</v>
      </c>
      <c r="GL324" s="14">
        <v>0.49605202417158278</v>
      </c>
      <c r="GM324" s="14">
        <v>0.49112426934690256</v>
      </c>
      <c r="GO324" s="5">
        <v>343.14810671672558</v>
      </c>
      <c r="GP324" s="5">
        <v>312.41330006058649</v>
      </c>
      <c r="GQ324" s="5">
        <v>535.04305713031317</v>
      </c>
      <c r="GR324" s="5">
        <v>410.15490233172511</v>
      </c>
      <c r="GS324" s="5">
        <v>339.42744393800166</v>
      </c>
      <c r="GT324" s="5">
        <v>293.4407446948278</v>
      </c>
      <c r="GU324" s="5">
        <v>258.04012322764959</v>
      </c>
      <c r="GV324" s="39" t="s">
        <v>392</v>
      </c>
      <c r="GW324" s="5">
        <v>482.65277777777777</v>
      </c>
      <c r="GX324" s="5">
        <v>361.98958333333331</v>
      </c>
      <c r="GY324" s="5">
        <v>289.59166666666664</v>
      </c>
      <c r="GZ324" s="5">
        <v>241.32638888888889</v>
      </c>
      <c r="HA324" s="5">
        <v>236.70336205047303</v>
      </c>
      <c r="HB324" s="39">
        <v>253.20336326533612</v>
      </c>
      <c r="HC324" s="5">
        <v>187.140625</v>
      </c>
      <c r="HD324" s="5">
        <v>171.45330774853798</v>
      </c>
      <c r="HE324" s="5">
        <v>177.50180921052629</v>
      </c>
      <c r="HF324" s="5">
        <v>167.9756304824561</v>
      </c>
      <c r="HG324" s="5">
        <v>166.75888157894735</v>
      </c>
      <c r="HH324" s="39">
        <v>172.46848697826019</v>
      </c>
      <c r="HI324" s="16"/>
      <c r="HJ324" s="19" t="str">
        <f t="shared" si="972"/>
        <v>On</v>
      </c>
      <c r="HK324" s="1" t="str">
        <f t="shared" si="972"/>
        <v>On</v>
      </c>
      <c r="HL324" s="16"/>
      <c r="HM324" s="639">
        <f t="shared" si="878"/>
        <v>2.2758057894877178E-2</v>
      </c>
      <c r="HN324" s="639">
        <f t="shared" si="879"/>
        <v>1.416759231746561E-3</v>
      </c>
      <c r="HO324" s="639">
        <f t="shared" si="880"/>
        <v>4.5732401537654987E-3</v>
      </c>
      <c r="HP324" s="644">
        <f>(FT324*$GD324-HM324)/$JF324*INDEX(Input!$1:$1048576,$JG$93,$C324*2+6)</f>
        <v>0.6417665967205477</v>
      </c>
      <c r="HQ324" s="644">
        <f>(FU324*$GD324-HN324)/$JF324*INDEX(Input!$1:$1048576,$JG$93,$C324*2+6)</f>
        <v>48.908068683247372</v>
      </c>
      <c r="HR324" s="644">
        <f>(FV324*$GD324-HO324)/$JF324*INDEX(Input!$1:$1048576,$JG$93,$C324*2+6)</f>
        <v>0.90031069765638372</v>
      </c>
      <c r="HS324" s="644">
        <f t="shared" si="975"/>
        <v>-19.429304747136737</v>
      </c>
      <c r="HT324" s="644">
        <f t="shared" si="882"/>
        <v>101.00390062085468</v>
      </c>
      <c r="HU324" s="644">
        <f t="shared" si="883"/>
        <v>8.4648981427544374</v>
      </c>
      <c r="HV324" s="648">
        <f t="shared" si="884"/>
        <v>0</v>
      </c>
      <c r="HW324" s="648">
        <f t="shared" si="885"/>
        <v>0</v>
      </c>
      <c r="HX324" s="648">
        <f t="shared" si="886"/>
        <v>0</v>
      </c>
      <c r="HY324" s="644">
        <f>INDEX(Input!$1:$1048576,HY$93,$C324*2+6)*INDEX(Input!$1:$1048576,$JG$93,$C324*2+6)</f>
        <v>509.00000000000006</v>
      </c>
      <c r="HZ324" s="644">
        <f>INDEX(Input!$1:$1048576,HZ$93,$C324*2+6)*INDEX(Input!$1:$1048576,$JG$93,$C324*2+6)</f>
        <v>844</v>
      </c>
      <c r="IA324" s="644">
        <f>INDEX(Input!$1:$1048576,IA$93,$C324*2+6)*INDEX(Input!$1:$1048576,$JG$93,$C324*2+6)</f>
        <v>257</v>
      </c>
      <c r="IB324" s="644">
        <f t="shared" si="910"/>
        <v>490.2124618495838</v>
      </c>
      <c r="IC324" s="644">
        <f t="shared" si="911"/>
        <v>993.91196930410206</v>
      </c>
      <c r="ID324" s="644">
        <f>IF(AND(INDEX(Input!$1:$1048576,IA$93,$C324*2+7)="TOS",Y324&lt;=INDEX(Y:Y,MATCH(C324*1000+2,A:A))),0,1)*MAX(IA324+HR324+HU324+HX324,0%)</f>
        <v>266.36520884041084</v>
      </c>
      <c r="IE324" s="128">
        <f t="shared" si="976"/>
        <v>0.28004305232634052</v>
      </c>
      <c r="IF324" s="128">
        <f t="shared" si="977"/>
        <v>0.56779083211680925</v>
      </c>
      <c r="IG324" s="128">
        <f t="shared" si="888"/>
        <v>0.15216611555685022</v>
      </c>
      <c r="IH324" s="21"/>
      <c r="II324" s="19">
        <f t="shared" si="889"/>
        <v>1410.4999999999998</v>
      </c>
      <c r="IJ324" s="19">
        <f t="shared" si="890"/>
        <v>2134.9731585778086</v>
      </c>
      <c r="IK324" s="19">
        <f t="shared" si="891"/>
        <v>2103.5</v>
      </c>
      <c r="IL324" s="19">
        <f t="shared" si="913"/>
        <v>200.50000000000023</v>
      </c>
      <c r="IM324" s="19">
        <f t="shared" si="892"/>
        <v>867.0824988382542</v>
      </c>
      <c r="IN324" s="19">
        <f t="shared" si="893"/>
        <v>185.5</v>
      </c>
      <c r="IO324" s="39">
        <f t="shared" si="894"/>
        <v>0</v>
      </c>
      <c r="IP324" s="39">
        <f t="shared" si="895"/>
        <v>0</v>
      </c>
      <c r="IQ324" s="39">
        <f t="shared" si="896"/>
        <v>0</v>
      </c>
      <c r="IR324" s="39">
        <v>0</v>
      </c>
      <c r="IS324" s="39">
        <v>0</v>
      </c>
      <c r="IT324" s="39">
        <v>0</v>
      </c>
      <c r="IU324" s="39">
        <v>0</v>
      </c>
      <c r="IV324" s="39">
        <v>0</v>
      </c>
      <c r="IW324" s="39">
        <v>0</v>
      </c>
      <c r="IX324" s="39">
        <f>INDEX(Input!$1:$1048576,IX$93,$C324*2+6)+INDEX(Input!$1:$1048576,IX$94,$C324*2+6)</f>
        <v>1611</v>
      </c>
      <c r="IY324" s="39">
        <f>INDEX(Input!$1:$1048576,IY$93,$C324*2+6)+INDEX(Input!$1:$1048576,IY$94,$C324*2+6)</f>
        <v>2471.0624533823611</v>
      </c>
      <c r="IZ324" s="39">
        <f>INDEX(Input!$1:$1048576,IZ$93,$C324*2+6)+INDEX(Input!$1:$1048576,IZ$94,$C324*2+6)</f>
        <v>3994.7164157747857</v>
      </c>
      <c r="JA324" s="19">
        <f t="shared" si="914"/>
        <v>1811.5000000000002</v>
      </c>
      <c r="JB324" s="19">
        <f t="shared" si="915"/>
        <v>3338.1449522206153</v>
      </c>
      <c r="JC324" s="19">
        <f t="shared" si="916"/>
        <v>4180.2164157747857</v>
      </c>
      <c r="JD324" s="19">
        <f t="shared" si="917"/>
        <v>3038.7533836124639</v>
      </c>
      <c r="JE324" s="21"/>
      <c r="JF324" s="1">
        <f t="shared" si="897"/>
        <v>2.8748057280389237E-2</v>
      </c>
      <c r="JG324" s="15">
        <f>INDEX(Input!$1:$1048576,JG$93,$C324*2+6)/(1+VLOOKUP(C324*1000+INDEX(Input!$1:$1048576,JG$93+1,$C324*2+6),$A:$KK,$JK$92,FALSE))</f>
        <v>1610</v>
      </c>
      <c r="JH324" s="1">
        <f t="shared" si="918"/>
        <v>3.1335494396039942E-2</v>
      </c>
      <c r="JI324" s="1">
        <f t="shared" si="919"/>
        <v>5.5925151563026319E-2</v>
      </c>
      <c r="JJ324" s="1">
        <f t="shared" si="978"/>
        <v>0</v>
      </c>
      <c r="JK324" s="1">
        <f t="shared" si="979"/>
        <v>8.7260645959066269E-2</v>
      </c>
      <c r="JL324" s="15">
        <f t="shared" si="922"/>
        <v>140.48963999409671</v>
      </c>
      <c r="JM324" s="15">
        <f t="shared" si="948"/>
        <v>1750.4896399940967</v>
      </c>
      <c r="JN324" s="21"/>
      <c r="JO324" s="19">
        <f>INDEX(Input!$1:$1048576,JO$93,$C324*2+6)</f>
        <v>5995.5</v>
      </c>
      <c r="JP324" s="19">
        <f>INDEX(Input!$1:$1048576,JP$93,$C324*2+6)</f>
        <v>2442.3713226762939</v>
      </c>
      <c r="JQ324" s="39">
        <f t="shared" si="934"/>
        <v>2956.7466163875361</v>
      </c>
      <c r="JR324" s="39">
        <f t="shared" si="951"/>
        <v>596.38206093617009</v>
      </c>
      <c r="JS324" s="39">
        <f t="shared" si="936"/>
        <v>5.3193063165106249</v>
      </c>
      <c r="JT324" s="39">
        <f t="shared" si="924"/>
        <v>1.3870884870017921</v>
      </c>
      <c r="JU324" s="385">
        <f>(JQ324*JM324-INDEX(Input!$1:$1048576,Input!A$18,$C324*2+6)*JL324*INDEX(Input!$1:$1048576,Input!A$19,$C324*2+6))/1000000</f>
        <v>5.175754320073982</v>
      </c>
      <c r="JV324" s="39">
        <f t="shared" si="958"/>
        <v>-0.54478285041718522</v>
      </c>
      <c r="JW324" s="1">
        <f t="shared" si="949"/>
        <v>-9.5232813664317115E-2</v>
      </c>
      <c r="JX324" s="19">
        <f t="shared" si="940"/>
        <v>9873.2439421161362</v>
      </c>
      <c r="JZ324" s="341"/>
      <c r="KA324" s="342"/>
      <c r="KB324" s="469">
        <f t="shared" si="937"/>
        <v>2.5190675447988795</v>
      </c>
      <c r="KI324" s="473">
        <f t="shared" si="964"/>
        <v>-18.787538150416253</v>
      </c>
      <c r="KJ324" s="473">
        <f t="shared" si="965"/>
        <v>149.91196930410206</v>
      </c>
      <c r="KK324" s="473">
        <f t="shared" si="926"/>
        <v>9.365208840410844</v>
      </c>
      <c r="KN324" s="544">
        <f t="shared" si="941"/>
        <v>3002</v>
      </c>
      <c r="KO324" s="541">
        <f t="shared" si="901"/>
        <v>5.506390164941366E-2</v>
      </c>
      <c r="KP324" s="546">
        <f t="shared" si="902"/>
        <v>378.45183548883216</v>
      </c>
      <c r="KQ324" s="546">
        <f t="shared" si="903"/>
        <v>402.83995822376573</v>
      </c>
      <c r="KR324" s="548">
        <f t="shared" si="904"/>
        <v>2.5242535701210786</v>
      </c>
      <c r="KS324" s="548">
        <f t="shared" si="905"/>
        <v>2.3714340579911242</v>
      </c>
      <c r="KT324" s="473">
        <f t="shared" si="939"/>
        <v>1026.1618045255443</v>
      </c>
      <c r="KU324" s="663">
        <f t="shared" si="927"/>
        <v>4.642268676894906</v>
      </c>
      <c r="KV324" s="117"/>
    </row>
    <row r="325" spans="1:308" s="26" customFormat="1" ht="15">
      <c r="A325" s="561">
        <f t="shared" si="906"/>
        <v>3025</v>
      </c>
      <c r="B325" s="561">
        <f t="shared" si="928"/>
        <v>25</v>
      </c>
      <c r="C325" s="561">
        <f t="shared" si="929"/>
        <v>3</v>
      </c>
      <c r="D325" s="561" t="str">
        <f t="shared" si="974"/>
        <v xml:space="preserve">0.9/1.9/2.9/3.9, </v>
      </c>
      <c r="E325" s="475">
        <f>INDEX(Input!$1:$1048576,E$93,$C325*2+MIN($B325,2)+5)
+INDEX(Scenarios!E$121:E$200,MATCH($B325,Scenarios!$B$121:$B$200,0))</f>
        <v>1287.0236024844721</v>
      </c>
      <c r="F325" s="475">
        <f>INDEX(Input!$1:$1048576,F$93,$C325*2+MIN($B325,2)+5)
+INDEX(Scenarios!F$121:F$200,MATCH($B325,Scenarios!$B$121:$B$200,0))</f>
        <v>0</v>
      </c>
      <c r="G325" s="475">
        <f>INDEX(Input!$1:$1048576,G$93,$C325*2+MIN($B325,2)+5)
+INDEX(Scenarios!G$121:G$200,MATCH($B325,Scenarios!$B$121:$B$200,0))</f>
        <v>0</v>
      </c>
      <c r="H325" s="475">
        <f>INDEX(Input!$1:$1048576,H$93,$C325*2+MIN($B325,2)+5)
+INDEX(Scenarios!H$121:H$200,MATCH($B325,Scenarios!$B$121:$B$200,0))</f>
        <v>0</v>
      </c>
      <c r="I325" s="476">
        <f>INDEX(Input!$1:$1048576,I$93,$C325*2+MIN($B325,2)+5)</f>
        <v>0.7</v>
      </c>
      <c r="J325" s="476" t="str">
        <f>INDEX(Input!$1:$1048576,J$93,$C325*2+MIN($B325,2)+5)</f>
        <v>Market</v>
      </c>
      <c r="K325" s="476" t="str">
        <f>INDEX(Input!$1:$1048576,K$93,$C325*2+MIN($B325,2)+5)</f>
        <v>Market</v>
      </c>
      <c r="L325" s="476" t="str">
        <f>INDEX(Input!$1:$1048576,L$93,$C325*2+MIN($B325,2)+5)</f>
        <v>Market</v>
      </c>
      <c r="M325" s="476" t="str">
        <f>INDEX(Input!$1:$1048576,M$93,$C325*2+MIN($B325,2)+5)</f>
        <v>Market</v>
      </c>
      <c r="N325" s="476" t="str">
        <f>INDEX(Input!$1:$1048576,N$93,$C325*2+MIN($B325,2)+5)</f>
        <v>Market</v>
      </c>
      <c r="O325" s="476" t="str">
        <f>INDEX(Input!$1:$1048576,O$93,$C325*2+MIN($B325,2)+5)</f>
        <v>Market</v>
      </c>
      <c r="P325" s="476" t="str">
        <f>INDEX(Input!$1:$1048576,P$93,$C325*2+MIN($B325,2)+5)</f>
        <v>N</v>
      </c>
      <c r="Q325" s="477">
        <f>INDEX(Input!$1:$1048576,Q$93,$C325*2+MIN($B325,2)+5)
+INDEX(Scenarios!Q$121:Q$200,MATCH($B325,Scenarios!$B$121:$B$200,0))</f>
        <v>0</v>
      </c>
      <c r="R325" s="478">
        <f>IFERROR(MAX(0,INDEX(Input!$1:$1048576,R$93,$C325*2+MIN($B325,2)+5)
+INDEX(Scenarios!R$121:R$200,MATCH($B325,Scenarios!$B$121:$B$200,0)),),"Market")</f>
        <v>9.0000000000000011E-3</v>
      </c>
      <c r="S325" s="478">
        <f>IFERROR(MAX(0,INDEX(Input!$1:$1048576,S$93,$C325*2+MIN($B325,2)+5)
+INDEX(Scenarios!S$121:S$200,MATCH($B325,Scenarios!$B$121:$B$200,0)),),"Market")</f>
        <v>9.0000000000000011E-3</v>
      </c>
      <c r="T325" s="478">
        <f>IFERROR(MAX(0,INDEX(Input!$1:$1048576,T$93,$C325*2+MIN($B325,2)+5)
+INDEX(Scenarios!T$121:T$200,MATCH($B325,Scenarios!$B$121:$B$200,0)),),"Market")</f>
        <v>9.0000000000000011E-3</v>
      </c>
      <c r="U325" s="478">
        <f>IFERROR(MAX(0,INDEX(Input!$1:$1048576,U$93,$C325*2+MIN($B325,2)+5)
+INDEX(Scenarios!U$121:U$200,MATCH($B325,Scenarios!$B$121:$B$200,0)),),"Market")</f>
        <v>9.0000000000000011E-3</v>
      </c>
      <c r="V325" s="478">
        <f>IFERROR(MAX(0,INDEX(Input!$1:$1048576,V$93,$C325*2+MIN($B325,2)+5)
+INDEX(Scenarios!V$121:V$200,MATCH($B325,Scenarios!$B$121:$B$200,0)),),"Market")</f>
        <v>2.8999999999999998E-2</v>
      </c>
      <c r="W325" s="885">
        <f>IFERROR(MAX(0,INDEX(Input!$1:$1048576,W$93,$C325*2+MIN($B325,2)+5)-0%,),"Market")</f>
        <v>3.9E-2</v>
      </c>
      <c r="X325" s="476" t="str">
        <f>INDEX(Input!$1:$1048576,X$93,$C325*2+MIN($B325,2)+5)</f>
        <v>Y</v>
      </c>
      <c r="Y325" s="475">
        <f>INDEX(Input!$1:$1048576,Y$93,$C325*2+MIN($B325,2)+5)
++INDEX(Scenarios!Y$121:Y$200,MATCH($B325,Scenarios!$B$121:$B$200,0))</f>
        <v>1554.9999999999991</v>
      </c>
      <c r="Z325" s="477">
        <f>INDEX(Input!$1:$1048576,Z$93,$C325*2+MIN($B325,2)+5)
+INDEX(Scenarios!Z$121:Z$200,MATCH($B325,Scenarios!$B$121:$B$200,0))</f>
        <v>0</v>
      </c>
      <c r="AA325" s="475">
        <f>INDEX(Input!$1:$1048576,AA$93,$C325*2+MIN($B325,2)+5)
+INDEX(Scenarios!AA$121:AA$200,MATCH($B325,Scenarios!$B$121:$B$200,0))</f>
        <v>0</v>
      </c>
      <c r="AB325" s="476">
        <f>INDEX(Input!$1:$1048576,AB$93,$C325*2+MIN($B325,2)+5)</f>
        <v>0.27</v>
      </c>
      <c r="AC325" s="475">
        <f>INDEX(Input!$1:$1048576,AC$93,$C325*2+MIN($B325,2)+5)
+INDEX(Scenarios!AC$121:AC$200,MATCH($B325,Scenarios!$B$121:$B$200,0))</f>
        <v>0</v>
      </c>
      <c r="AD325" s="476">
        <f>INDEX(Input!$1:$1048576,AD$93,$C325*2+MIN($B325,2)+5)</f>
        <v>0.27</v>
      </c>
      <c r="AE325" s="475">
        <f>INDEX(Input!$1:$1048576,AE$93,$C325*2+MIN($B325,2)+5)
+INDEX(Scenarios!AE$121:AE$200,MATCH($B325,Scenarios!$B$121:$B$200,0))</f>
        <v>0</v>
      </c>
      <c r="AF325" s="476">
        <f>INDEX(Input!$1:$1048576,AF$93,$C325*2+MIN($B325,2)+5)</f>
        <v>0.68200000000000005</v>
      </c>
      <c r="AG325" s="475">
        <f>INDEX(Input!$1:$1048576,AG$93,$C325*2+MIN($B325,2)+5)
+INDEX(Scenarios!AG$121:AG$200,MATCH($B325,Scenarios!$B$121:$B$200,0))</f>
        <v>500</v>
      </c>
      <c r="AH325" s="476">
        <f>INDEX(Input!$1:$1048576,AH$93,$C325*2+MIN($B325,2)+5)</f>
        <v>1</v>
      </c>
      <c r="AI325" s="475">
        <f>INDEX(Input!$1:$1048576,AI$93,$C325*2+MIN($B325,2)+5)
+INDEX(Scenarios!AI$121:AI$200,MATCH($B325,Scenarios!$B$121:$B$200,0))</f>
        <v>0</v>
      </c>
      <c r="AJ325" s="476">
        <f>INDEX(Input!$1:$1048576,AJ$93,$C325*2+MIN($B325,2)+5)</f>
        <v>0.27</v>
      </c>
      <c r="AK325" s="150">
        <f>ROUND(INDEX(Input!$1:$1048576,AK$93,$C324*2+MIN($B325,1)+5)+(Y325-VLOOKUP($C325*1000+1,$A:$HH,Y$92,FALSE)),0)</f>
        <v>2977</v>
      </c>
      <c r="AL325" s="150">
        <f>ROUND(INDEX(Input!$1:$1048576,AL$93,$C324*2+MIN($B325,1)+5)-(Y325-VLOOKUP($C325*1000+1,$A:$HH,Y$92,FALSE))/36,0)</f>
        <v>3395</v>
      </c>
      <c r="AM325" s="32" t="str">
        <f t="shared" si="907"/>
        <v>std/std/std/std</v>
      </c>
      <c r="AN325" s="32" t="str">
        <f t="shared" si="908"/>
        <v>$0 + 0.9/0.9/0.9/2.9/3.9</v>
      </c>
      <c r="AO325" s="32" t="str">
        <f t="shared" si="909"/>
        <v>0.9/0.9/0.9/2.9/3.9</v>
      </c>
      <c r="AP325" s="32" t="str">
        <f t="shared" si="863"/>
        <v>0.9/1.9/2.9/3.9</v>
      </c>
      <c r="AQ325" s="536">
        <f t="shared" si="862"/>
        <v>0.3322104101861551</v>
      </c>
      <c r="AR325" s="32"/>
      <c r="AS325" s="302"/>
      <c r="AT325" s="3">
        <f t="shared" si="930"/>
        <v>25</v>
      </c>
      <c r="AU325" s="41" t="s">
        <v>121</v>
      </c>
      <c r="AV325" s="41" t="s">
        <v>116</v>
      </c>
      <c r="AW325" s="41" t="str">
        <f>INDEX(Input!$1:$1048576,AW$93,$C325*2+6)</f>
        <v>Kia</v>
      </c>
      <c r="AX325" s="41" t="str">
        <f>INDEX(Input!$1:$1048576,AX$93,$C325*2+6)</f>
        <v>Kia-LR - L3</v>
      </c>
      <c r="AY325" s="41" t="str">
        <f>IF(LEN(D325)=0,"",INDEX(Input!$1:$1048576,AY$93,$C325*2+6))</f>
        <v>Compact SUV (52)</v>
      </c>
      <c r="AZ325" s="41" t="str">
        <f>INDEX(Input!$1:$1048576,AZ$93,$C325*2+6)</f>
        <v>Kia Soul</v>
      </c>
      <c r="BA325" s="3">
        <f>INDEX(Input!$1:$1048576,BA$93,$C325*2+6)</f>
        <v>2020</v>
      </c>
      <c r="BB325" s="128">
        <f>INDEX(Input!$1:$1048576,BB$93,$C325*2+6)</f>
        <v>1</v>
      </c>
      <c r="BC325" s="128">
        <f>INDEX(Input!$1:$1048576,BC$93,$C325*2+6)</f>
        <v>0.7</v>
      </c>
      <c r="BD325" s="1">
        <f>INDEX(Input!$1:$1048576,BD$93,$C325*2+6)</f>
        <v>4.4999999999999998E-2</v>
      </c>
      <c r="BE325" s="1">
        <f>INDEX(Input!$1:$1048576,BE$93,$C325*2+6)</f>
        <v>4.4999999999999998E-2</v>
      </c>
      <c r="BF325" s="1">
        <f>INDEX(Input!$1:$1048576,BF$93,$C325*2+6)</f>
        <v>0.05</v>
      </c>
      <c r="BG325" s="1">
        <f>INDEX(Input!$1:$1048576,BG$93,$C325*2+6)</f>
        <v>5.45E-2</v>
      </c>
      <c r="BH325" s="1">
        <f>INDEX(Input!$1:$1048576,BH$93,$C325*2+6)</f>
        <v>5.45E-2</v>
      </c>
      <c r="BI325" s="1">
        <f>INDEX(Input!$1:$1048576,BI$93,$C325*2+6)</f>
        <v>0.05</v>
      </c>
      <c r="BJ325" s="1">
        <f>INDEX(Input!$1:$1048576,BJ$93,$C325*2+6)</f>
        <v>0.05</v>
      </c>
      <c r="BK325" s="1">
        <f>INDEX(Input!$1:$1048576,BK$93,$C325*2+6)</f>
        <v>0.05</v>
      </c>
      <c r="BL325" s="1">
        <f>INDEX(Input!$1:$1048576,BL$93,$C325*2+6)</f>
        <v>5.5E-2</v>
      </c>
      <c r="BM325" s="1">
        <f>INDEX(Input!$1:$1048576,BM$93,$C325*2+6)</f>
        <v>0.06</v>
      </c>
      <c r="BN325" s="1">
        <f>INDEX(Input!$1:$1048576,BN$93,$C325*2+6)</f>
        <v>4.4999999999999998E-2</v>
      </c>
      <c r="BO325" s="1">
        <f>INDEX(Input!$1:$1048576,BO$93,$C325*2+6)</f>
        <v>4.4999999999999998E-2</v>
      </c>
      <c r="BP325" s="1">
        <f>INDEX(Input!$1:$1048576,BP$93,$C325*2+6)</f>
        <v>0.05</v>
      </c>
      <c r="BQ325" s="1">
        <f>INDEX(Input!$1:$1048576,BQ$93,$C325*2+6)</f>
        <v>5.45E-2</v>
      </c>
      <c r="BR325" s="1">
        <f>INDEX(Input!$1:$1048576,BR$93,$C325*2+6)</f>
        <v>5.45E-2</v>
      </c>
      <c r="BS325" s="1">
        <f>INDEX(Input!$1:$1048576,BS$93,$C325*2+6)</f>
        <v>0.05</v>
      </c>
      <c r="BT325" s="1">
        <f>INDEX(Input!$1:$1048576,BT$93,$C325*2+6)</f>
        <v>0.05</v>
      </c>
      <c r="BU325" s="1">
        <f>INDEX(Input!$1:$1048576,BU$93,$C325*2+6)</f>
        <v>0.05</v>
      </c>
      <c r="BV325" s="1">
        <f>INDEX(Input!$1:$1048576,BV$93,$C325*2+6)</f>
        <v>5.5E-2</v>
      </c>
      <c r="BW325" s="1">
        <f>INDEX(Input!$1:$1048576,BW$93,$C325*2+6)</f>
        <v>0.06</v>
      </c>
      <c r="BX325" s="127">
        <f>INDEX(Input!$1:$1048576,BX$93,$C325*2+6)</f>
        <v>19985</v>
      </c>
      <c r="BY325" s="20">
        <f>INDEX(Input!$1:$1048576,BY$93,$C325*2+6)</f>
        <v>0.1</v>
      </c>
      <c r="BZ325" s="20">
        <f>INDEX(Input!$1:$1048576,BZ$93,$C325*2+6)</f>
        <v>0.1</v>
      </c>
      <c r="CA325" s="20">
        <f>INDEX(Input!$1:$1048576,CA$93,$C325*2+6)</f>
        <v>0.1</v>
      </c>
      <c r="CB325" s="20">
        <f>INDEX(Input!$1:$1048576,CB$93,$C325*2+6)</f>
        <v>0.1</v>
      </c>
      <c r="CC325" s="20">
        <f>INDEX(Input!$1:$1048576,CC$93,$C325*2+6)</f>
        <v>0.1</v>
      </c>
      <c r="CD325" s="384">
        <f>INDEX(Input!$1:$1048576,CD$93,$C325*2+6)</f>
        <v>0.1</v>
      </c>
      <c r="CE325" s="384">
        <f>INDEX(Input!$1:$1048576,CE$93,$C325*2+6)</f>
        <v>0.1</v>
      </c>
      <c r="CF325" s="384">
        <f>INDEX(Input!$1:$1048576,CF$93,$C325*2+6)</f>
        <v>0.1</v>
      </c>
      <c r="CG325" s="384">
        <f>INDEX(Input!$1:$1048576,CG$93,$C325*2+6)</f>
        <v>0.1</v>
      </c>
      <c r="CH325" s="384">
        <f>INDEX(Input!$1:$1048576,CH$93,$C325*2+6)</f>
        <v>0.1</v>
      </c>
      <c r="CI325" s="304">
        <f t="shared" si="864"/>
        <v>1287.0236024844721</v>
      </c>
      <c r="CJ325" s="16" t="str">
        <f>INDEX(Input!$1:$1048576,CJ$93,$C325*2+6)</f>
        <v>N</v>
      </c>
      <c r="CK325" s="1" t="str">
        <f t="shared" si="865"/>
        <v>Market</v>
      </c>
      <c r="CL325" s="1" t="str">
        <f t="shared" si="866"/>
        <v>Market</v>
      </c>
      <c r="CM325" s="1" t="str">
        <f t="shared" si="867"/>
        <v>Market</v>
      </c>
      <c r="CN325" s="1" t="str">
        <f t="shared" si="868"/>
        <v>Market</v>
      </c>
      <c r="CO325" s="1" t="str">
        <f t="shared" si="869"/>
        <v>Market</v>
      </c>
      <c r="CP325" s="304">
        <f t="shared" si="870"/>
        <v>500</v>
      </c>
      <c r="CQ325" s="1">
        <f t="shared" si="871"/>
        <v>9.0000000000000011E-3</v>
      </c>
      <c r="CR325" s="1">
        <f t="shared" si="872"/>
        <v>9.0000000000000011E-3</v>
      </c>
      <c r="CS325" s="1">
        <f t="shared" si="873"/>
        <v>9.0000000000000011E-3</v>
      </c>
      <c r="CT325" s="1">
        <f t="shared" si="874"/>
        <v>2.8999999999999998E-2</v>
      </c>
      <c r="CU325" s="1">
        <f t="shared" si="875"/>
        <v>3.9E-2</v>
      </c>
      <c r="CV325" s="304">
        <f t="shared" si="876"/>
        <v>1554.9999999999991</v>
      </c>
      <c r="CW325" s="20" t="s">
        <v>122</v>
      </c>
      <c r="CX325" s="20" t="s">
        <v>122</v>
      </c>
      <c r="CY325" s="20" t="s">
        <v>122</v>
      </c>
      <c r="CZ325" s="20" t="s">
        <v>122</v>
      </c>
      <c r="DA325" s="20" t="s">
        <v>122</v>
      </c>
      <c r="DB325" s="503">
        <f t="shared" si="877"/>
        <v>0</v>
      </c>
      <c r="DC325" s="127">
        <v>0</v>
      </c>
      <c r="DD325" s="127">
        <v>0</v>
      </c>
      <c r="DE325" s="127">
        <v>0</v>
      </c>
      <c r="DF325" s="127">
        <v>0</v>
      </c>
      <c r="DG325" s="127">
        <v>0</v>
      </c>
      <c r="DH325" s="127">
        <v>0</v>
      </c>
      <c r="DI325" s="127">
        <v>0</v>
      </c>
      <c r="DJ325" s="127">
        <v>0</v>
      </c>
      <c r="DK325" s="127">
        <v>0</v>
      </c>
      <c r="DL325" s="127">
        <v>0</v>
      </c>
      <c r="DM325" s="304">
        <f>INDEX(Input!$1:$1048576,DM$93,$C325*2+6)</f>
        <v>21036.84210526316</v>
      </c>
      <c r="DN325" s="20">
        <v>0</v>
      </c>
      <c r="DO325" s="20">
        <v>0</v>
      </c>
      <c r="DP325" s="20">
        <v>0</v>
      </c>
      <c r="DQ325" s="20">
        <v>0</v>
      </c>
      <c r="DR325" s="20">
        <v>0</v>
      </c>
      <c r="DS325" s="20">
        <f>INDEX(Input!$1:$1048576,DS$93,$C325*2+6)</f>
        <v>0.6</v>
      </c>
      <c r="DT325" s="20">
        <f>INDEX(Input!$1:$1048576,DT$93,$C325*2+6)</f>
        <v>0.55000000000000004</v>
      </c>
      <c r="DU325" s="20">
        <f>INDEX(Input!$1:$1048576,DU$93,$C325*2+6)</f>
        <v>0.52</v>
      </c>
      <c r="DV325" s="20">
        <f>INDEX(Input!$1:$1048576,DV$93,$C325*2+6)</f>
        <v>0.5</v>
      </c>
      <c r="DW325" s="20">
        <f>INDEX(Input!$1:$1048576,DW$93,$C325*2+6)</f>
        <v>0.45</v>
      </c>
      <c r="DX325" s="20"/>
      <c r="DY325" s="7">
        <v>0.10168998582972098</v>
      </c>
      <c r="DZ325" s="7">
        <v>0</v>
      </c>
      <c r="EA325" s="7">
        <v>0.6995735618202541</v>
      </c>
      <c r="EB325" s="7">
        <v>0</v>
      </c>
      <c r="EC325" s="7">
        <v>0</v>
      </c>
      <c r="ED325" s="7">
        <v>0</v>
      </c>
      <c r="EE325" s="7">
        <v>0</v>
      </c>
      <c r="EF325" s="7">
        <v>0</v>
      </c>
      <c r="EG325" s="7">
        <v>0</v>
      </c>
      <c r="EH325" s="7">
        <v>1.361507600467329E-2</v>
      </c>
      <c r="EI325" s="7">
        <v>3.5644813478640645E-2</v>
      </c>
      <c r="EJ325" s="7">
        <v>0.27097398464049666</v>
      </c>
      <c r="EK325" s="7">
        <v>0.48554382373150939</v>
      </c>
      <c r="EL325" s="7">
        <v>0.19422230214468025</v>
      </c>
      <c r="EM325" s="7">
        <v>3.6355997734415488E-2</v>
      </c>
      <c r="EN325" s="7">
        <v>6.2831814113405479E-2</v>
      </c>
      <c r="EO325" s="7">
        <v>0.78066772184683353</v>
      </c>
      <c r="EP325" s="7">
        <v>6.4370648895949262E-2</v>
      </c>
      <c r="EQ325" s="7">
        <v>6.0233052712013464E-2</v>
      </c>
      <c r="ER325" s="7">
        <v>3.1896762431798162E-2</v>
      </c>
      <c r="ES325" s="7">
        <v>0.16238045461560935</v>
      </c>
      <c r="ET325" s="7">
        <v>0.19873645235002491</v>
      </c>
      <c r="EU325" s="6">
        <v>1611</v>
      </c>
      <c r="EV325" s="6">
        <v>0</v>
      </c>
      <c r="EW325" s="6">
        <v>1611</v>
      </c>
      <c r="EX325" s="6">
        <v>0</v>
      </c>
      <c r="EY325" s="6">
        <v>1938.6371199532107</v>
      </c>
      <c r="EZ325" s="6">
        <v>2289</v>
      </c>
      <c r="FA325" s="6">
        <v>0</v>
      </c>
      <c r="FB325" s="6">
        <v>0</v>
      </c>
      <c r="FC325" s="6">
        <v>0</v>
      </c>
      <c r="FD325" s="6">
        <v>0</v>
      </c>
      <c r="FE325" s="6">
        <v>0</v>
      </c>
      <c r="FF325" s="6">
        <v>0</v>
      </c>
      <c r="FG325" s="6">
        <v>0</v>
      </c>
      <c r="FH325" s="6">
        <v>940.6113466905374</v>
      </c>
      <c r="FI325" s="6">
        <v>1250.2588059868269</v>
      </c>
      <c r="FJ325" s="6">
        <v>1735.15622307028</v>
      </c>
      <c r="FK325" s="6">
        <v>1284.9687470586848</v>
      </c>
      <c r="FL325" s="6">
        <v>907.07682140966313</v>
      </c>
      <c r="FM325" s="6">
        <v>1327.6371199532107</v>
      </c>
      <c r="FN325" s="6">
        <v>0</v>
      </c>
      <c r="FO325" s="6">
        <v>0</v>
      </c>
      <c r="FP325" s="6">
        <v>0</v>
      </c>
      <c r="FQ325" s="6">
        <v>0</v>
      </c>
      <c r="FR325" s="6">
        <v>0</v>
      </c>
      <c r="FS325" s="6">
        <v>0</v>
      </c>
      <c r="FT325" s="7">
        <v>0.80126354764997509</v>
      </c>
      <c r="FU325" s="7">
        <v>3.6355997734415488E-2</v>
      </c>
      <c r="FV325" s="7">
        <v>0.16238045461560935</v>
      </c>
      <c r="FW325" s="6">
        <v>1611</v>
      </c>
      <c r="FX325" s="6">
        <v>1938.6371199532107</v>
      </c>
      <c r="FY325" s="6">
        <v>2289</v>
      </c>
      <c r="FZ325" s="6">
        <v>1858.9243755539039</v>
      </c>
      <c r="GA325" s="6">
        <v>1733.0055226201125</v>
      </c>
      <c r="GB325" s="6">
        <v>18251.994477379889</v>
      </c>
      <c r="GC325" s="7">
        <v>2.9156573141622111E-2</v>
      </c>
      <c r="GD325" s="7">
        <v>2.9356620760959587E-2</v>
      </c>
      <c r="GE325" s="7"/>
      <c r="GF325" s="7"/>
      <c r="GG325" s="7">
        <v>6.8611499151764142E-3</v>
      </c>
      <c r="GH325" s="42">
        <v>-1.0889559256618933</v>
      </c>
      <c r="GI325" s="6">
        <v>-16619.436049202599</v>
      </c>
      <c r="GJ325" s="14">
        <v>0.50394797582841733</v>
      </c>
      <c r="GK325" s="14">
        <v>0.50887573065309744</v>
      </c>
      <c r="GL325" s="14">
        <v>0.49605202417158267</v>
      </c>
      <c r="GM325" s="14">
        <v>0.4911242693469024</v>
      </c>
      <c r="GO325" s="5">
        <v>343.14810671672558</v>
      </c>
      <c r="GP325" s="5">
        <v>312.41330006058649</v>
      </c>
      <c r="GQ325" s="5">
        <v>535.04305713031317</v>
      </c>
      <c r="GR325" s="5">
        <v>410.15490233172511</v>
      </c>
      <c r="GS325" s="5">
        <v>339.42744393800166</v>
      </c>
      <c r="GT325" s="5">
        <v>293.4407446948278</v>
      </c>
      <c r="GU325" s="5">
        <v>258.04012322764959</v>
      </c>
      <c r="GV325" s="39" t="s">
        <v>392</v>
      </c>
      <c r="GW325" s="5">
        <v>489.37887226405968</v>
      </c>
      <c r="GX325" s="5">
        <v>368.68020434347119</v>
      </c>
      <c r="GY325" s="5">
        <v>296.26491110195894</v>
      </c>
      <c r="GZ325" s="5">
        <v>263.22109617794104</v>
      </c>
      <c r="HA325" s="5">
        <v>236.70336205047303</v>
      </c>
      <c r="HB325" s="39">
        <v>273.86300055637247</v>
      </c>
      <c r="HC325" s="5">
        <v>187.140625</v>
      </c>
      <c r="HD325" s="5">
        <v>171.45330774853798</v>
      </c>
      <c r="HE325" s="5">
        <v>177.50180921052629</v>
      </c>
      <c r="HF325" s="5">
        <v>167.9756304824561</v>
      </c>
      <c r="HG325" s="5">
        <v>166.75888157894735</v>
      </c>
      <c r="HH325" s="39">
        <v>172.46910819960777</v>
      </c>
      <c r="HI325" s="16"/>
      <c r="HJ325" s="19" t="str">
        <f t="shared" si="972"/>
        <v>On</v>
      </c>
      <c r="HK325" s="1" t="str">
        <f t="shared" si="972"/>
        <v>On</v>
      </c>
      <c r="HL325" s="16"/>
      <c r="HM325" s="639">
        <f t="shared" si="878"/>
        <v>2.2758057894877178E-2</v>
      </c>
      <c r="HN325" s="639">
        <f t="shared" si="879"/>
        <v>1.416759231746561E-3</v>
      </c>
      <c r="HO325" s="639">
        <f t="shared" si="880"/>
        <v>4.5732401537654987E-3</v>
      </c>
      <c r="HP325" s="644">
        <f>(FT325*$GD325-HM325)/$JF325*INDEX(Input!$1:$1048576,$JG$93,$C325*2+6)</f>
        <v>42.805495861204975</v>
      </c>
      <c r="HQ325" s="644">
        <f>(FU325*$GD325-HN325)/$JF325*INDEX(Input!$1:$1048576,$JG$93,$C325*2+6)</f>
        <v>-19.571642168535554</v>
      </c>
      <c r="HR325" s="644">
        <f>(FV325*$GD325-HO325)/$JF325*INDEX(Input!$1:$1048576,$JG$93,$C325*2+6)</f>
        <v>10.848004227748502</v>
      </c>
      <c r="HS325" s="644">
        <f t="shared" si="975"/>
        <v>-18.193048659774124</v>
      </c>
      <c r="HT325" s="644">
        <f t="shared" si="882"/>
        <v>-26.869029111507423</v>
      </c>
      <c r="HU325" s="644">
        <f t="shared" si="883"/>
        <v>7.2286420553918278</v>
      </c>
      <c r="HV325" s="648">
        <f t="shared" si="884"/>
        <v>0</v>
      </c>
      <c r="HW325" s="648">
        <f t="shared" si="885"/>
        <v>0</v>
      </c>
      <c r="HX325" s="648">
        <f t="shared" si="886"/>
        <v>0</v>
      </c>
      <c r="HY325" s="644">
        <f>INDEX(Input!$1:$1048576,HY$93,$C325*2+6)*INDEX(Input!$1:$1048576,$JG$93,$C325*2+6)</f>
        <v>509.00000000000006</v>
      </c>
      <c r="HZ325" s="644">
        <f>INDEX(Input!$1:$1048576,HZ$93,$C325*2+6)*INDEX(Input!$1:$1048576,$JG$93,$C325*2+6)</f>
        <v>844</v>
      </c>
      <c r="IA325" s="644">
        <f>INDEX(Input!$1:$1048576,IA$93,$C325*2+6)*INDEX(Input!$1:$1048576,$JG$93,$C325*2+6)</f>
        <v>257</v>
      </c>
      <c r="IB325" s="644">
        <f t="shared" si="910"/>
        <v>533.61244720143077</v>
      </c>
      <c r="IC325" s="644">
        <f t="shared" si="911"/>
        <v>797.55932871995708</v>
      </c>
      <c r="ID325" s="644">
        <f>IF(AND(INDEX(Input!$1:$1048576,IA$93,$C325*2+7)="TOS",Y325&lt;=INDEX(Y:Y,MATCH(C325*1000+2,A:A))),0,1)*MAX(IA325+HR325+HU325+HX325,0%)</f>
        <v>275.07664628314035</v>
      </c>
      <c r="IE325" s="128">
        <f t="shared" si="976"/>
        <v>0.3322104101861551</v>
      </c>
      <c r="IF325" s="128">
        <f t="shared" si="977"/>
        <v>0.49653547838218615</v>
      </c>
      <c r="IG325" s="128">
        <f t="shared" si="888"/>
        <v>0.17125411143165878</v>
      </c>
      <c r="IH325" s="21"/>
      <c r="II325" s="19">
        <f t="shared" si="889"/>
        <v>1410.4999999999998</v>
      </c>
      <c r="IJ325" s="19">
        <f t="shared" si="890"/>
        <v>2134.9731585778086</v>
      </c>
      <c r="IK325" s="19">
        <f t="shared" si="891"/>
        <v>2103.5</v>
      </c>
      <c r="IL325" s="19">
        <f t="shared" si="913"/>
        <v>200.50000000000023</v>
      </c>
      <c r="IM325" s="19">
        <f t="shared" si="892"/>
        <v>-196.3360386245979</v>
      </c>
      <c r="IN325" s="19">
        <f t="shared" si="893"/>
        <v>185.5</v>
      </c>
      <c r="IO325" s="39">
        <f t="shared" si="894"/>
        <v>0</v>
      </c>
      <c r="IP325" s="39">
        <f t="shared" si="895"/>
        <v>0</v>
      </c>
      <c r="IQ325" s="39">
        <f t="shared" si="896"/>
        <v>0</v>
      </c>
      <c r="IR325" s="39">
        <v>0</v>
      </c>
      <c r="IS325" s="39">
        <v>0</v>
      </c>
      <c r="IT325" s="39">
        <v>0</v>
      </c>
      <c r="IU325" s="39">
        <v>0</v>
      </c>
      <c r="IV325" s="39">
        <v>0</v>
      </c>
      <c r="IW325" s="39">
        <v>0</v>
      </c>
      <c r="IX325" s="39">
        <f>INDEX(Input!$1:$1048576,IX$93,$C325*2+6)+INDEX(Input!$1:$1048576,IX$94,$C325*2+6)</f>
        <v>1611</v>
      </c>
      <c r="IY325" s="39">
        <f>INDEX(Input!$1:$1048576,IY$93,$C325*2+6)+INDEX(Input!$1:$1048576,IY$94,$C325*2+6)</f>
        <v>2471.0624533823611</v>
      </c>
      <c r="IZ325" s="39">
        <f>INDEX(Input!$1:$1048576,IZ$93,$C325*2+6)+INDEX(Input!$1:$1048576,IZ$94,$C325*2+6)</f>
        <v>3994.7164157747857</v>
      </c>
      <c r="JA325" s="19">
        <f t="shared" si="914"/>
        <v>1811.5000000000002</v>
      </c>
      <c r="JB325" s="19">
        <f t="shared" si="915"/>
        <v>2274.7264147577635</v>
      </c>
      <c r="JC325" s="19">
        <f t="shared" si="916"/>
        <v>4180.2164157747857</v>
      </c>
      <c r="JD325" s="19">
        <f t="shared" si="917"/>
        <v>2447.1607744681055</v>
      </c>
      <c r="JE325" s="21"/>
      <c r="JF325" s="1">
        <f t="shared" si="897"/>
        <v>2.8748057280389237E-2</v>
      </c>
      <c r="JG325" s="15">
        <f>INDEX(Input!$1:$1048576,JG$93,$C325*2+6)/(1+VLOOKUP(C325*1000+INDEX(Input!$1:$1048576,JG$93+1,$C325*2+6),$A:$KK,$JK$92,FALSE))</f>
        <v>1610</v>
      </c>
      <c r="JH325" s="1">
        <f t="shared" si="918"/>
        <v>2.1168855851191257E-2</v>
      </c>
      <c r="JI325" s="1">
        <f t="shared" si="919"/>
        <v>-2.3499028394962561E-2</v>
      </c>
      <c r="JJ325" s="1">
        <f t="shared" si="978"/>
        <v>0</v>
      </c>
      <c r="JK325" s="1">
        <f t="shared" si="979"/>
        <v>-2.3301725437713042E-3</v>
      </c>
      <c r="JL325" s="15">
        <f t="shared" si="922"/>
        <v>-3.7515777954717997</v>
      </c>
      <c r="JM325" s="15">
        <f t="shared" si="948"/>
        <v>1606.2484222045282</v>
      </c>
      <c r="JN325" s="21"/>
      <c r="JO325" s="19">
        <f>INDEX(Input!$1:$1048576,JO$93,$C325*2+6)</f>
        <v>5995.5</v>
      </c>
      <c r="JP325" s="19">
        <f>INDEX(Input!$1:$1048576,JP$93,$C325*2+6)</f>
        <v>2442.3713226762939</v>
      </c>
      <c r="JQ325" s="39">
        <f t="shared" si="934"/>
        <v>3548.3392255318945</v>
      </c>
      <c r="JR325" s="39">
        <f t="shared" si="951"/>
        <v>4.7894517918116435</v>
      </c>
      <c r="JS325" s="39">
        <f t="shared" si="936"/>
        <v>3.9307481328702059</v>
      </c>
      <c r="JT325" s="39">
        <f t="shared" si="924"/>
        <v>-1.4696966386274434E-3</v>
      </c>
      <c r="JU325" s="385">
        <f>(JQ325*JM325-INDEX(Input!$1:$1048576,Input!A$18,$C325*2+6)*JL325*INDEX(Input!$1:$1048576,Input!A$19,$C325*2+6))/1000000</f>
        <v>5.6995142824570433</v>
      </c>
      <c r="JV325" s="39">
        <f t="shared" si="958"/>
        <v>-2.1022888034123888E-2</v>
      </c>
      <c r="JW325" s="1">
        <f t="shared" si="949"/>
        <v>-3.6749849546592241E-3</v>
      </c>
      <c r="JX325" s="19">
        <f t="shared" si="940"/>
        <v>391.7542748017608</v>
      </c>
      <c r="JZ325" s="341"/>
      <c r="KA325" s="342"/>
      <c r="KB325" s="469">
        <f t="shared" si="937"/>
        <v>2.5190675447988795</v>
      </c>
      <c r="KI325" s="473">
        <f t="shared" si="964"/>
        <v>24.612447201430712</v>
      </c>
      <c r="KJ325" s="473">
        <f t="shared" si="965"/>
        <v>-46.44067128004292</v>
      </c>
      <c r="KK325" s="473">
        <f t="shared" si="926"/>
        <v>18.076646283140349</v>
      </c>
      <c r="KN325" s="544">
        <f t="shared" si="941"/>
        <v>3002</v>
      </c>
      <c r="KO325" s="541">
        <f t="shared" si="901"/>
        <v>-3.1873889093659957E-2</v>
      </c>
      <c r="KP325" s="546">
        <f t="shared" si="902"/>
        <v>-197.06730527200529</v>
      </c>
      <c r="KQ325" s="546">
        <f t="shared" si="903"/>
        <v>-188.75265092059271</v>
      </c>
      <c r="KR325" s="548">
        <f t="shared" si="904"/>
        <v>2.8060609069180811</v>
      </c>
      <c r="KS325" s="548">
        <f t="shared" si="905"/>
        <v>2.929669377666662</v>
      </c>
      <c r="KT325" s="473">
        <f t="shared" si="939"/>
        <v>1026.1618045255443</v>
      </c>
      <c r="KU325" s="663">
        <f t="shared" si="927"/>
        <v>4.6165867721831386</v>
      </c>
      <c r="KV325" s="117"/>
    </row>
    <row r="326" spans="1:308" s="26" customFormat="1" ht="15">
      <c r="A326" s="561">
        <f t="shared" si="906"/>
        <v>3026</v>
      </c>
      <c r="B326" s="561">
        <f t="shared" si="928"/>
        <v>26</v>
      </c>
      <c r="C326" s="561">
        <f t="shared" si="929"/>
        <v>3</v>
      </c>
      <c r="D326" s="561" t="str">
        <f t="shared" si="974"/>
        <v xml:space="preserve">1.9/2.9/3.9/3.9, </v>
      </c>
      <c r="E326" s="475">
        <f>INDEX(Input!$1:$1048576,E$93,$C326*2+MIN($B326,2)+5)
+INDEX(Scenarios!E$121:E$200,MATCH($B326,Scenarios!$B$121:$B$200,0))</f>
        <v>1287.0236024844721</v>
      </c>
      <c r="F326" s="475">
        <f>INDEX(Input!$1:$1048576,F$93,$C326*2+MIN($B326,2)+5)
+INDEX(Scenarios!F$121:F$200,MATCH($B326,Scenarios!$B$121:$B$200,0))</f>
        <v>0</v>
      </c>
      <c r="G326" s="475">
        <f>INDEX(Input!$1:$1048576,G$93,$C326*2+MIN($B326,2)+5)
+INDEX(Scenarios!G$121:G$200,MATCH($B326,Scenarios!$B$121:$B$200,0))</f>
        <v>0</v>
      </c>
      <c r="H326" s="475">
        <f>INDEX(Input!$1:$1048576,H$93,$C326*2+MIN($B326,2)+5)
+INDEX(Scenarios!H$121:H$200,MATCH($B326,Scenarios!$B$121:$B$200,0))</f>
        <v>0</v>
      </c>
      <c r="I326" s="476">
        <f>INDEX(Input!$1:$1048576,I$93,$C326*2+MIN($B326,2)+5)</f>
        <v>0.7</v>
      </c>
      <c r="J326" s="476" t="str">
        <f>INDEX(Input!$1:$1048576,J$93,$C326*2+MIN($B326,2)+5)</f>
        <v>Market</v>
      </c>
      <c r="K326" s="476" t="str">
        <f>INDEX(Input!$1:$1048576,K$93,$C326*2+MIN($B326,2)+5)</f>
        <v>Market</v>
      </c>
      <c r="L326" s="476" t="str">
        <f>INDEX(Input!$1:$1048576,L$93,$C326*2+MIN($B326,2)+5)</f>
        <v>Market</v>
      </c>
      <c r="M326" s="476" t="str">
        <f>INDEX(Input!$1:$1048576,M$93,$C326*2+MIN($B326,2)+5)</f>
        <v>Market</v>
      </c>
      <c r="N326" s="476" t="str">
        <f>INDEX(Input!$1:$1048576,N$93,$C326*2+MIN($B326,2)+5)</f>
        <v>Market</v>
      </c>
      <c r="O326" s="476" t="str">
        <f>INDEX(Input!$1:$1048576,O$93,$C326*2+MIN($B326,2)+5)</f>
        <v>Market</v>
      </c>
      <c r="P326" s="476" t="str">
        <f>INDEX(Input!$1:$1048576,P$93,$C326*2+MIN($B326,2)+5)</f>
        <v>N</v>
      </c>
      <c r="Q326" s="477">
        <f>INDEX(Input!$1:$1048576,Q$93,$C326*2+MIN($B326,2)+5)
+INDEX(Scenarios!Q$121:Q$200,MATCH($B326,Scenarios!$B$121:$B$200,0))</f>
        <v>0</v>
      </c>
      <c r="R326" s="478">
        <f>IFERROR(MAX(0,INDEX(Input!$1:$1048576,R$93,$C326*2+MIN($B326,2)+5)
+INDEX(Scenarios!R$121:R$200,MATCH($B326,Scenarios!$B$121:$B$200,0)),),"Market")</f>
        <v>1.9E-2</v>
      </c>
      <c r="S326" s="478">
        <f>IFERROR(MAX(0,INDEX(Input!$1:$1048576,S$93,$C326*2+MIN($B326,2)+5)
+INDEX(Scenarios!S$121:S$200,MATCH($B326,Scenarios!$B$121:$B$200,0)),),"Market")</f>
        <v>1.9E-2</v>
      </c>
      <c r="T326" s="478">
        <f>IFERROR(MAX(0,INDEX(Input!$1:$1048576,T$93,$C326*2+MIN($B326,2)+5)
+INDEX(Scenarios!T$121:T$200,MATCH($B326,Scenarios!$B$121:$B$200,0)),),"Market")</f>
        <v>1.9E-2</v>
      </c>
      <c r="U326" s="478">
        <f>IFERROR(MAX(0,INDEX(Input!$1:$1048576,U$93,$C326*2+MIN($B326,2)+5)
+INDEX(Scenarios!U$121:U$200,MATCH($B326,Scenarios!$B$121:$B$200,0)),),"Market")</f>
        <v>1.9E-2</v>
      </c>
      <c r="V326" s="478">
        <f>IFERROR(MAX(0,INDEX(Input!$1:$1048576,V$93,$C326*2+MIN($B326,2)+5)
+INDEX(Scenarios!V$121:V$200,MATCH($B326,Scenarios!$B$121:$B$200,0)),),"Market")</f>
        <v>3.9E-2</v>
      </c>
      <c r="W326" s="885">
        <f>IFERROR(MAX(0,INDEX(Input!$1:$1048576,W$93,$C326*2+MIN($B326,2)+5)-0%,),"Market")</f>
        <v>3.9E-2</v>
      </c>
      <c r="X326" s="476" t="str">
        <f>INDEX(Input!$1:$1048576,X$93,$C326*2+MIN($B326,2)+5)</f>
        <v>Y</v>
      </c>
      <c r="Y326" s="475">
        <f>INDEX(Input!$1:$1048576,Y$93,$C326*2+MIN($B326,2)+5)
++INDEX(Scenarios!Y$121:Y$200,MATCH($B326,Scenarios!$B$121:$B$200,0))</f>
        <v>1554.9999999999991</v>
      </c>
      <c r="Z326" s="477">
        <f>INDEX(Input!$1:$1048576,Z$93,$C326*2+MIN($B326,2)+5)
+INDEX(Scenarios!Z$121:Z$200,MATCH($B326,Scenarios!$B$121:$B$200,0))</f>
        <v>0</v>
      </c>
      <c r="AA326" s="475">
        <f>INDEX(Input!$1:$1048576,AA$93,$C326*2+MIN($B326,2)+5)
+INDEX(Scenarios!AA$121:AA$200,MATCH($B326,Scenarios!$B$121:$B$200,0))</f>
        <v>0</v>
      </c>
      <c r="AB326" s="476">
        <f>INDEX(Input!$1:$1048576,AB$93,$C326*2+MIN($B326,2)+5)</f>
        <v>0.27</v>
      </c>
      <c r="AC326" s="475">
        <f>INDEX(Input!$1:$1048576,AC$93,$C326*2+MIN($B326,2)+5)
+INDEX(Scenarios!AC$121:AC$200,MATCH($B326,Scenarios!$B$121:$B$200,0))</f>
        <v>0</v>
      </c>
      <c r="AD326" s="476">
        <f>INDEX(Input!$1:$1048576,AD$93,$C326*2+MIN($B326,2)+5)</f>
        <v>0.27</v>
      </c>
      <c r="AE326" s="475">
        <f>INDEX(Input!$1:$1048576,AE$93,$C326*2+MIN($B326,2)+5)
+INDEX(Scenarios!AE$121:AE$200,MATCH($B326,Scenarios!$B$121:$B$200,0))</f>
        <v>0</v>
      </c>
      <c r="AF326" s="476">
        <f>INDEX(Input!$1:$1048576,AF$93,$C326*2+MIN($B326,2)+5)</f>
        <v>0.68200000000000005</v>
      </c>
      <c r="AG326" s="475">
        <f>INDEX(Input!$1:$1048576,AG$93,$C326*2+MIN($B326,2)+5)
+INDEX(Scenarios!AG$121:AG$200,MATCH($B326,Scenarios!$B$121:$B$200,0))</f>
        <v>500</v>
      </c>
      <c r="AH326" s="476">
        <f>INDEX(Input!$1:$1048576,AH$93,$C326*2+MIN($B326,2)+5)</f>
        <v>1</v>
      </c>
      <c r="AI326" s="475">
        <f>INDEX(Input!$1:$1048576,AI$93,$C326*2+MIN($B326,2)+5)
+INDEX(Scenarios!AI$121:AI$200,MATCH($B326,Scenarios!$B$121:$B$200,0))</f>
        <v>0</v>
      </c>
      <c r="AJ326" s="476">
        <f>INDEX(Input!$1:$1048576,AJ$93,$C326*2+MIN($B326,2)+5)</f>
        <v>0.27</v>
      </c>
      <c r="AK326" s="150">
        <f>ROUND(INDEX(Input!$1:$1048576,AK$93,$C325*2+MIN($B326,1)+5)+(Y326-VLOOKUP($C326*1000+1,$A:$HH,Y$92,FALSE)),0)</f>
        <v>2977</v>
      </c>
      <c r="AL326" s="150">
        <f>ROUND(INDEX(Input!$1:$1048576,AL$93,$C325*2+MIN($B326,1)+5)-(Y326-VLOOKUP($C326*1000+1,$A:$HH,Y$92,FALSE))/36,0)</f>
        <v>3395</v>
      </c>
      <c r="AM326" s="32" t="str">
        <f t="shared" si="907"/>
        <v>std/std/std/std</v>
      </c>
      <c r="AN326" s="32" t="str">
        <f t="shared" si="908"/>
        <v>$0 + 1.9/1.9/1.9/3.9/3.9</v>
      </c>
      <c r="AO326" s="32" t="str">
        <f t="shared" si="909"/>
        <v>1.9/1.9/1.9/3.9/3.9</v>
      </c>
      <c r="AP326" s="32" t="str">
        <f t="shared" si="863"/>
        <v>1.9/2.9/3.9/3.9</v>
      </c>
      <c r="AQ326" s="536">
        <f t="shared" si="862"/>
        <v>0.34918572654792512</v>
      </c>
      <c r="AR326" s="32"/>
      <c r="AS326" s="302"/>
      <c r="AT326" s="3">
        <f t="shared" si="930"/>
        <v>26</v>
      </c>
      <c r="AU326" s="41" t="s">
        <v>121</v>
      </c>
      <c r="AV326" s="41" t="s">
        <v>116</v>
      </c>
      <c r="AW326" s="41" t="str">
        <f>INDEX(Input!$1:$1048576,AW$93,$C326*2+6)</f>
        <v>Kia</v>
      </c>
      <c r="AX326" s="41" t="str">
        <f>INDEX(Input!$1:$1048576,AX$93,$C326*2+6)</f>
        <v>Kia-LR - L3</v>
      </c>
      <c r="AY326" s="41" t="str">
        <f>IF(LEN(D326)=0,"",INDEX(Input!$1:$1048576,AY$93,$C326*2+6))</f>
        <v>Compact SUV (52)</v>
      </c>
      <c r="AZ326" s="41" t="str">
        <f>INDEX(Input!$1:$1048576,AZ$93,$C326*2+6)</f>
        <v>Kia Soul</v>
      </c>
      <c r="BA326" s="3">
        <f>INDEX(Input!$1:$1048576,BA$93,$C326*2+6)</f>
        <v>2020</v>
      </c>
      <c r="BB326" s="128">
        <f>INDEX(Input!$1:$1048576,BB$93,$C326*2+6)</f>
        <v>1</v>
      </c>
      <c r="BC326" s="128">
        <f>INDEX(Input!$1:$1048576,BC$93,$C326*2+6)</f>
        <v>0.7</v>
      </c>
      <c r="BD326" s="1">
        <f>INDEX(Input!$1:$1048576,BD$93,$C326*2+6)</f>
        <v>4.4999999999999998E-2</v>
      </c>
      <c r="BE326" s="1">
        <f>INDEX(Input!$1:$1048576,BE$93,$C326*2+6)</f>
        <v>4.4999999999999998E-2</v>
      </c>
      <c r="BF326" s="1">
        <f>INDEX(Input!$1:$1048576,BF$93,$C326*2+6)</f>
        <v>0.05</v>
      </c>
      <c r="BG326" s="1">
        <f>INDEX(Input!$1:$1048576,BG$93,$C326*2+6)</f>
        <v>5.45E-2</v>
      </c>
      <c r="BH326" s="1">
        <f>INDEX(Input!$1:$1048576,BH$93,$C326*2+6)</f>
        <v>5.45E-2</v>
      </c>
      <c r="BI326" s="1">
        <f>INDEX(Input!$1:$1048576,BI$93,$C326*2+6)</f>
        <v>0.05</v>
      </c>
      <c r="BJ326" s="1">
        <f>INDEX(Input!$1:$1048576,BJ$93,$C326*2+6)</f>
        <v>0.05</v>
      </c>
      <c r="BK326" s="1">
        <f>INDEX(Input!$1:$1048576,BK$93,$C326*2+6)</f>
        <v>0.05</v>
      </c>
      <c r="BL326" s="1">
        <f>INDEX(Input!$1:$1048576,BL$93,$C326*2+6)</f>
        <v>5.5E-2</v>
      </c>
      <c r="BM326" s="1">
        <f>INDEX(Input!$1:$1048576,BM$93,$C326*2+6)</f>
        <v>0.06</v>
      </c>
      <c r="BN326" s="1">
        <f>INDEX(Input!$1:$1048576,BN$93,$C326*2+6)</f>
        <v>4.4999999999999998E-2</v>
      </c>
      <c r="BO326" s="1">
        <f>INDEX(Input!$1:$1048576,BO$93,$C326*2+6)</f>
        <v>4.4999999999999998E-2</v>
      </c>
      <c r="BP326" s="1">
        <f>INDEX(Input!$1:$1048576,BP$93,$C326*2+6)</f>
        <v>0.05</v>
      </c>
      <c r="BQ326" s="1">
        <f>INDEX(Input!$1:$1048576,BQ$93,$C326*2+6)</f>
        <v>5.45E-2</v>
      </c>
      <c r="BR326" s="1">
        <f>INDEX(Input!$1:$1048576,BR$93,$C326*2+6)</f>
        <v>5.45E-2</v>
      </c>
      <c r="BS326" s="1">
        <f>INDEX(Input!$1:$1048576,BS$93,$C326*2+6)</f>
        <v>0.05</v>
      </c>
      <c r="BT326" s="1">
        <f>INDEX(Input!$1:$1048576,BT$93,$C326*2+6)</f>
        <v>0.05</v>
      </c>
      <c r="BU326" s="1">
        <f>INDEX(Input!$1:$1048576,BU$93,$C326*2+6)</f>
        <v>0.05</v>
      </c>
      <c r="BV326" s="1">
        <f>INDEX(Input!$1:$1048576,BV$93,$C326*2+6)</f>
        <v>5.5E-2</v>
      </c>
      <c r="BW326" s="1">
        <f>INDEX(Input!$1:$1048576,BW$93,$C326*2+6)</f>
        <v>0.06</v>
      </c>
      <c r="BX326" s="127">
        <f>INDEX(Input!$1:$1048576,BX$93,$C326*2+6)</f>
        <v>19985</v>
      </c>
      <c r="BY326" s="20">
        <f>INDEX(Input!$1:$1048576,BY$93,$C326*2+6)</f>
        <v>0.1</v>
      </c>
      <c r="BZ326" s="20">
        <f>INDEX(Input!$1:$1048576,BZ$93,$C326*2+6)</f>
        <v>0.1</v>
      </c>
      <c r="CA326" s="20">
        <f>INDEX(Input!$1:$1048576,CA$93,$C326*2+6)</f>
        <v>0.1</v>
      </c>
      <c r="CB326" s="20">
        <f>INDEX(Input!$1:$1048576,CB$93,$C326*2+6)</f>
        <v>0.1</v>
      </c>
      <c r="CC326" s="20">
        <f>INDEX(Input!$1:$1048576,CC$93,$C326*2+6)</f>
        <v>0.1</v>
      </c>
      <c r="CD326" s="384">
        <f>INDEX(Input!$1:$1048576,CD$93,$C326*2+6)</f>
        <v>0.1</v>
      </c>
      <c r="CE326" s="384">
        <f>INDEX(Input!$1:$1048576,CE$93,$C326*2+6)</f>
        <v>0.1</v>
      </c>
      <c r="CF326" s="384">
        <f>INDEX(Input!$1:$1048576,CF$93,$C326*2+6)</f>
        <v>0.1</v>
      </c>
      <c r="CG326" s="384">
        <f>INDEX(Input!$1:$1048576,CG$93,$C326*2+6)</f>
        <v>0.1</v>
      </c>
      <c r="CH326" s="384">
        <f>INDEX(Input!$1:$1048576,CH$93,$C326*2+6)</f>
        <v>0.1</v>
      </c>
      <c r="CI326" s="304">
        <f t="shared" si="864"/>
        <v>1287.0236024844721</v>
      </c>
      <c r="CJ326" s="16" t="str">
        <f>INDEX(Input!$1:$1048576,CJ$93,$C326*2+6)</f>
        <v>N</v>
      </c>
      <c r="CK326" s="1" t="str">
        <f t="shared" si="865"/>
        <v>Market</v>
      </c>
      <c r="CL326" s="1" t="str">
        <f t="shared" si="866"/>
        <v>Market</v>
      </c>
      <c r="CM326" s="1" t="str">
        <f t="shared" si="867"/>
        <v>Market</v>
      </c>
      <c r="CN326" s="1" t="str">
        <f t="shared" si="868"/>
        <v>Market</v>
      </c>
      <c r="CO326" s="1" t="str">
        <f t="shared" si="869"/>
        <v>Market</v>
      </c>
      <c r="CP326" s="304">
        <f t="shared" si="870"/>
        <v>500</v>
      </c>
      <c r="CQ326" s="1">
        <f t="shared" si="871"/>
        <v>1.9E-2</v>
      </c>
      <c r="CR326" s="1">
        <f t="shared" si="872"/>
        <v>1.9E-2</v>
      </c>
      <c r="CS326" s="1">
        <f t="shared" si="873"/>
        <v>1.9E-2</v>
      </c>
      <c r="CT326" s="1">
        <f t="shared" si="874"/>
        <v>3.9E-2</v>
      </c>
      <c r="CU326" s="1">
        <f t="shared" si="875"/>
        <v>3.9E-2</v>
      </c>
      <c r="CV326" s="304">
        <f t="shared" si="876"/>
        <v>1554.9999999999991</v>
      </c>
      <c r="CW326" s="20" t="s">
        <v>122</v>
      </c>
      <c r="CX326" s="20" t="s">
        <v>122</v>
      </c>
      <c r="CY326" s="20" t="s">
        <v>122</v>
      </c>
      <c r="CZ326" s="20" t="s">
        <v>122</v>
      </c>
      <c r="DA326" s="20" t="s">
        <v>122</v>
      </c>
      <c r="DB326" s="503">
        <f t="shared" si="877"/>
        <v>0</v>
      </c>
      <c r="DC326" s="127">
        <v>0</v>
      </c>
      <c r="DD326" s="127">
        <v>0</v>
      </c>
      <c r="DE326" s="127">
        <v>0</v>
      </c>
      <c r="DF326" s="127">
        <v>0</v>
      </c>
      <c r="DG326" s="127">
        <v>0</v>
      </c>
      <c r="DH326" s="127">
        <v>0</v>
      </c>
      <c r="DI326" s="127">
        <v>0</v>
      </c>
      <c r="DJ326" s="127">
        <v>0</v>
      </c>
      <c r="DK326" s="127">
        <v>0</v>
      </c>
      <c r="DL326" s="127">
        <v>0</v>
      </c>
      <c r="DM326" s="304">
        <f>INDEX(Input!$1:$1048576,DM$93,$C326*2+6)</f>
        <v>21036.84210526316</v>
      </c>
      <c r="DN326" s="20">
        <v>0</v>
      </c>
      <c r="DO326" s="20">
        <v>0</v>
      </c>
      <c r="DP326" s="20">
        <v>0</v>
      </c>
      <c r="DQ326" s="20">
        <v>0</v>
      </c>
      <c r="DR326" s="20">
        <v>0</v>
      </c>
      <c r="DS326" s="20">
        <f>INDEX(Input!$1:$1048576,DS$93,$C326*2+6)</f>
        <v>0.6</v>
      </c>
      <c r="DT326" s="20">
        <f>INDEX(Input!$1:$1048576,DT$93,$C326*2+6)</f>
        <v>0.55000000000000004</v>
      </c>
      <c r="DU326" s="20">
        <f>INDEX(Input!$1:$1048576,DU$93,$C326*2+6)</f>
        <v>0.52</v>
      </c>
      <c r="DV326" s="20">
        <f>INDEX(Input!$1:$1048576,DV$93,$C326*2+6)</f>
        <v>0.5</v>
      </c>
      <c r="DW326" s="20">
        <f>INDEX(Input!$1:$1048576,DW$93,$C326*2+6)</f>
        <v>0.45</v>
      </c>
      <c r="DX326" s="20"/>
      <c r="DY326" s="7">
        <v>0.10293904236648847</v>
      </c>
      <c r="DZ326" s="7">
        <v>0</v>
      </c>
      <c r="EA326" s="7">
        <v>0.70663443848727214</v>
      </c>
      <c r="EB326" s="7">
        <v>0</v>
      </c>
      <c r="EC326" s="7">
        <v>0</v>
      </c>
      <c r="ED326" s="7">
        <v>0</v>
      </c>
      <c r="EE326" s="7">
        <v>0</v>
      </c>
      <c r="EF326" s="7">
        <v>0</v>
      </c>
      <c r="EG326" s="7">
        <v>0</v>
      </c>
      <c r="EH326" s="7">
        <v>1.5258306718673578E-2</v>
      </c>
      <c r="EI326" s="7">
        <v>3.7096807030370264E-2</v>
      </c>
      <c r="EJ326" s="7">
        <v>0.26769862150512574</v>
      </c>
      <c r="EK326" s="7">
        <v>0.40452968560699493</v>
      </c>
      <c r="EL326" s="7">
        <v>0.27541657913883555</v>
      </c>
      <c r="EM326" s="7">
        <v>2.597168238256543E-2</v>
      </c>
      <c r="EN326" s="7">
        <v>6.2854607770726878E-2</v>
      </c>
      <c r="EO326" s="7">
        <v>0.78070344902972044</v>
      </c>
      <c r="EP326" s="7">
        <v>6.4330420111773812E-2</v>
      </c>
      <c r="EQ326" s="7">
        <v>6.0211584054659192E-2</v>
      </c>
      <c r="ER326" s="7">
        <v>3.1899939033119731E-2</v>
      </c>
      <c r="ES326" s="7">
        <v>0.16445483676367409</v>
      </c>
      <c r="ET326" s="7">
        <v>0.19042651914623934</v>
      </c>
      <c r="EU326" s="6">
        <v>1611</v>
      </c>
      <c r="EV326" s="6">
        <v>0</v>
      </c>
      <c r="EW326" s="6">
        <v>1611</v>
      </c>
      <c r="EX326" s="6">
        <v>0</v>
      </c>
      <c r="EY326" s="6">
        <v>1577.6805293251045</v>
      </c>
      <c r="EZ326" s="6">
        <v>2289</v>
      </c>
      <c r="FA326" s="6">
        <v>0</v>
      </c>
      <c r="FB326" s="6">
        <v>0</v>
      </c>
      <c r="FC326" s="6">
        <v>0</v>
      </c>
      <c r="FD326" s="6">
        <v>0</v>
      </c>
      <c r="FE326" s="6">
        <v>0</v>
      </c>
      <c r="FF326" s="6">
        <v>0</v>
      </c>
      <c r="FG326" s="6">
        <v>0</v>
      </c>
      <c r="FH326" s="6">
        <v>681.6884251869227</v>
      </c>
      <c r="FI326" s="6">
        <v>908.63567840587189</v>
      </c>
      <c r="FJ326" s="6">
        <v>1322.1514264406358</v>
      </c>
      <c r="FK326" s="6">
        <v>788.09921179939272</v>
      </c>
      <c r="FL326" s="6">
        <v>907.07682140966324</v>
      </c>
      <c r="FM326" s="6">
        <v>966.68052932510454</v>
      </c>
      <c r="FN326" s="6">
        <v>0</v>
      </c>
      <c r="FO326" s="6">
        <v>0</v>
      </c>
      <c r="FP326" s="6">
        <v>0</v>
      </c>
      <c r="FQ326" s="6">
        <v>0</v>
      </c>
      <c r="FR326" s="6">
        <v>0</v>
      </c>
      <c r="FS326" s="6">
        <v>0</v>
      </c>
      <c r="FT326" s="7">
        <v>0.80957348085376057</v>
      </c>
      <c r="FU326" s="7">
        <v>2.597168238256543E-2</v>
      </c>
      <c r="FV326" s="7">
        <v>0.16445483676367409</v>
      </c>
      <c r="FW326" s="6">
        <v>1611.0000000000002</v>
      </c>
      <c r="FX326" s="6">
        <v>1577.6805293251045</v>
      </c>
      <c r="FY326" s="6">
        <v>2289</v>
      </c>
      <c r="FZ326" s="6">
        <v>1858.9243755539039</v>
      </c>
      <c r="GA326" s="6">
        <v>1721.6350166162479</v>
      </c>
      <c r="GB326" s="6">
        <v>18263.364983383752</v>
      </c>
      <c r="GC326" s="7">
        <v>2.9156573141622111E-2</v>
      </c>
      <c r="GD326" s="7">
        <v>2.9280164686356362E-2</v>
      </c>
      <c r="GE326" s="7"/>
      <c r="GF326" s="7"/>
      <c r="GG326" s="7">
        <v>4.2388913173687908E-3</v>
      </c>
      <c r="GH326" s="42">
        <v>-0.61704886404258419</v>
      </c>
      <c r="GI326" s="6">
        <v>-30666.399650636267</v>
      </c>
      <c r="GJ326" s="14">
        <v>0.50394797582841755</v>
      </c>
      <c r="GK326" s="14">
        <v>0.50887573065309766</v>
      </c>
      <c r="GL326" s="14">
        <v>0.49605202417158289</v>
      </c>
      <c r="GM326" s="14">
        <v>0.49112426934690262</v>
      </c>
      <c r="GO326" s="5">
        <v>343.14810671672558</v>
      </c>
      <c r="GP326" s="5">
        <v>312.41330006058649</v>
      </c>
      <c r="GQ326" s="5">
        <v>535.04305713031317</v>
      </c>
      <c r="GR326" s="5">
        <v>410.15490233172511</v>
      </c>
      <c r="GS326" s="5">
        <v>339.42744393800166</v>
      </c>
      <c r="GT326" s="5">
        <v>293.4407446948278</v>
      </c>
      <c r="GU326" s="5">
        <v>258.04012322764959</v>
      </c>
      <c r="GV326" s="39" t="s">
        <v>392</v>
      </c>
      <c r="GW326" s="5">
        <v>496.92094914410512</v>
      </c>
      <c r="GX326" s="5">
        <v>376.20577015148706</v>
      </c>
      <c r="GY326" s="5">
        <v>303.79406260088945</v>
      </c>
      <c r="GZ326" s="5">
        <v>271.05190772136962</v>
      </c>
      <c r="HA326" s="5">
        <v>236.70336205047303</v>
      </c>
      <c r="HB326" s="39">
        <v>277.70403015600107</v>
      </c>
      <c r="HC326" s="5">
        <v>187.140625</v>
      </c>
      <c r="HD326" s="5">
        <v>171.45330774853798</v>
      </c>
      <c r="HE326" s="5">
        <v>177.50180921052629</v>
      </c>
      <c r="HF326" s="5">
        <v>167.9756304824561</v>
      </c>
      <c r="HG326" s="5">
        <v>166.75888157894735</v>
      </c>
      <c r="HH326" s="39">
        <v>172.4692821958229</v>
      </c>
      <c r="HI326" s="16"/>
      <c r="HJ326" s="19" t="str">
        <f t="shared" si="972"/>
        <v>On</v>
      </c>
      <c r="HK326" s="1" t="str">
        <f t="shared" si="972"/>
        <v>On</v>
      </c>
      <c r="HL326" s="16"/>
      <c r="HM326" s="639">
        <f t="shared" si="878"/>
        <v>2.2758057894877178E-2</v>
      </c>
      <c r="HN326" s="639">
        <f t="shared" si="879"/>
        <v>1.416759231746561E-3</v>
      </c>
      <c r="HO326" s="639">
        <f t="shared" si="880"/>
        <v>4.5732401537654987E-3</v>
      </c>
      <c r="HP326" s="644">
        <f>(FT326*$GD326-HM326)/$JF326*INDEX(Input!$1:$1048576,$JG$93,$C326*2+6)</f>
        <v>53.001250658631321</v>
      </c>
      <c r="HQ326" s="644">
        <f>(FU326*$GD326-HN326)/$JF326*INDEX(Input!$1:$1048576,$JG$93,$C326*2+6)</f>
        <v>-36.755512961570624</v>
      </c>
      <c r="HR326" s="644">
        <f>(FV326*$GD326-HO326)/$JF326*INDEX(Input!$1:$1048576,$JG$93,$C326*2+6)</f>
        <v>13.554290710127647</v>
      </c>
      <c r="HS326" s="644">
        <f t="shared" si="975"/>
        <v>-17.77342574864614</v>
      </c>
      <c r="HT326" s="644">
        <f t="shared" si="882"/>
        <v>-70.272990133235595</v>
      </c>
      <c r="HU326" s="644">
        <f t="shared" si="883"/>
        <v>6.8090191442638242</v>
      </c>
      <c r="HV326" s="648">
        <f t="shared" si="884"/>
        <v>0</v>
      </c>
      <c r="HW326" s="648">
        <f t="shared" si="885"/>
        <v>0</v>
      </c>
      <c r="HX326" s="648">
        <f t="shared" si="886"/>
        <v>0</v>
      </c>
      <c r="HY326" s="644">
        <f>INDEX(Input!$1:$1048576,HY$93,$C326*2+6)*INDEX(Input!$1:$1048576,$JG$93,$C326*2+6)</f>
        <v>509.00000000000006</v>
      </c>
      <c r="HZ326" s="644">
        <f>INDEX(Input!$1:$1048576,HZ$93,$C326*2+6)*INDEX(Input!$1:$1048576,$JG$93,$C326*2+6)</f>
        <v>844</v>
      </c>
      <c r="IA326" s="644">
        <f>INDEX(Input!$1:$1048576,IA$93,$C326*2+6)*INDEX(Input!$1:$1048576,$JG$93,$C326*2+6)</f>
        <v>257</v>
      </c>
      <c r="IB326" s="644">
        <f t="shared" si="910"/>
        <v>544.2278249099852</v>
      </c>
      <c r="IC326" s="644">
        <f t="shared" si="911"/>
        <v>736.97149690519382</v>
      </c>
      <c r="ID326" s="644">
        <f>IF(AND(INDEX(Input!$1:$1048576,IA$93,$C326*2+7)="TOS",Y326&lt;=INDEX(Y:Y,MATCH(C326*1000+2,A:A))),0,1)*MAX(IA326+HR326+HU326+HX326,0%)</f>
        <v>277.36330985439145</v>
      </c>
      <c r="IE326" s="128">
        <f t="shared" si="976"/>
        <v>0.34918572654792512</v>
      </c>
      <c r="IF326" s="128">
        <f t="shared" si="977"/>
        <v>0.47285330851011864</v>
      </c>
      <c r="IG326" s="128">
        <f t="shared" si="888"/>
        <v>0.17796096494195621</v>
      </c>
      <c r="IH326" s="21"/>
      <c r="II326" s="19">
        <f t="shared" si="889"/>
        <v>1410.4999999999998</v>
      </c>
      <c r="IJ326" s="19">
        <f t="shared" si="890"/>
        <v>2134.9731585778086</v>
      </c>
      <c r="IK326" s="19">
        <f t="shared" si="891"/>
        <v>2103.5</v>
      </c>
      <c r="IL326" s="19">
        <f t="shared" si="913"/>
        <v>200.50000000000045</v>
      </c>
      <c r="IM326" s="19">
        <f t="shared" si="892"/>
        <v>-557.29262925270405</v>
      </c>
      <c r="IN326" s="19">
        <f t="shared" si="893"/>
        <v>185.5</v>
      </c>
      <c r="IO326" s="39">
        <f t="shared" si="894"/>
        <v>0</v>
      </c>
      <c r="IP326" s="39">
        <f t="shared" si="895"/>
        <v>0</v>
      </c>
      <c r="IQ326" s="39">
        <f t="shared" si="896"/>
        <v>0</v>
      </c>
      <c r="IR326" s="39">
        <v>0</v>
      </c>
      <c r="IS326" s="39">
        <v>0</v>
      </c>
      <c r="IT326" s="39">
        <v>0</v>
      </c>
      <c r="IU326" s="39">
        <v>0</v>
      </c>
      <c r="IV326" s="39">
        <v>0</v>
      </c>
      <c r="IW326" s="39">
        <v>0</v>
      </c>
      <c r="IX326" s="39">
        <f>INDEX(Input!$1:$1048576,IX$93,$C326*2+6)+INDEX(Input!$1:$1048576,IX$94,$C326*2+6)</f>
        <v>1611</v>
      </c>
      <c r="IY326" s="39">
        <f>INDEX(Input!$1:$1048576,IY$93,$C326*2+6)+INDEX(Input!$1:$1048576,IY$94,$C326*2+6)</f>
        <v>2471.0624533823611</v>
      </c>
      <c r="IZ326" s="39">
        <f>INDEX(Input!$1:$1048576,IZ$93,$C326*2+6)+INDEX(Input!$1:$1048576,IZ$94,$C326*2+6)</f>
        <v>3994.7164157747857</v>
      </c>
      <c r="JA326" s="19">
        <f t="shared" si="914"/>
        <v>1811.5000000000005</v>
      </c>
      <c r="JB326" s="19">
        <f t="shared" si="915"/>
        <v>1913.7698241296571</v>
      </c>
      <c r="JC326" s="19">
        <f t="shared" si="916"/>
        <v>4180.2164157747857</v>
      </c>
      <c r="JD326" s="19">
        <f t="shared" si="917"/>
        <v>2281.3976837255891</v>
      </c>
      <c r="JE326" s="21"/>
      <c r="JF326" s="1">
        <f t="shared" si="897"/>
        <v>2.8748057280389237E-2</v>
      </c>
      <c r="JG326" s="15">
        <f>INDEX(Input!$1:$1048576,JG$93,$C326*2+6)/(1+VLOOKUP(C326*1000+INDEX(Input!$1:$1048576,JG$93+1,$C326*2+6),$A:$KK,$JK$92,FALSE))</f>
        <v>1610</v>
      </c>
      <c r="JH326" s="1">
        <f t="shared" si="918"/>
        <v>1.8509334414402698E-2</v>
      </c>
      <c r="JI326" s="1">
        <f t="shared" si="919"/>
        <v>-5.0458010396035965E-2</v>
      </c>
      <c r="JJ326" s="1">
        <f t="shared" si="978"/>
        <v>0</v>
      </c>
      <c r="JK326" s="1">
        <f t="shared" si="979"/>
        <v>-3.194867598163327E-2</v>
      </c>
      <c r="JL326" s="15">
        <f t="shared" si="922"/>
        <v>-51.437368330429564</v>
      </c>
      <c r="JM326" s="15">
        <f t="shared" si="948"/>
        <v>1558.5626316695705</v>
      </c>
      <c r="JN326" s="21"/>
      <c r="JO326" s="19">
        <f>INDEX(Input!$1:$1048576,JO$93,$C326*2+6)</f>
        <v>5995.5</v>
      </c>
      <c r="JP326" s="19">
        <f>INDEX(Input!$1:$1048576,JP$93,$C326*2+6)</f>
        <v>2442.3713226762939</v>
      </c>
      <c r="JQ326" s="39">
        <f t="shared" si="934"/>
        <v>3714.1023162744109</v>
      </c>
      <c r="JR326" s="39">
        <f t="shared" si="951"/>
        <v>-160.97363895070475</v>
      </c>
      <c r="JS326" s="39">
        <f t="shared" si="936"/>
        <v>3.5557011778322165</v>
      </c>
      <c r="JT326" s="39">
        <f t="shared" si="924"/>
        <v>-0.37651665167661663</v>
      </c>
      <c r="JU326" s="385">
        <f>(JQ326*JM326-INDEX(Input!$1:$1048576,Input!A$18,$C326*2+6)*JL326*INDEX(Input!$1:$1048576,Input!A$19,$C326*2+6))/1000000</f>
        <v>5.7886610803426937</v>
      </c>
      <c r="JV326" s="39">
        <f t="shared" si="958"/>
        <v>6.8123909851526498E-2</v>
      </c>
      <c r="JW326" s="1">
        <f t="shared" si="949"/>
        <v>1.1908656096657677E-2</v>
      </c>
      <c r="JX326" s="19">
        <f t="shared" si="940"/>
        <v>7319.9050398127602</v>
      </c>
      <c r="JZ326" s="341"/>
      <c r="KA326" s="342"/>
      <c r="KB326" s="469">
        <f t="shared" si="937"/>
        <v>2.5190675447988795</v>
      </c>
      <c r="KI326" s="473">
        <f t="shared" si="964"/>
        <v>35.227824909985145</v>
      </c>
      <c r="KJ326" s="473">
        <f t="shared" si="965"/>
        <v>-107.02850309480618</v>
      </c>
      <c r="KK326" s="473">
        <f t="shared" si="926"/>
        <v>20.363309854391446</v>
      </c>
      <c r="KN326" s="544">
        <f t="shared" si="941"/>
        <v>3002</v>
      </c>
      <c r="KO326" s="541">
        <f t="shared" si="901"/>
        <v>-6.0615308103268539E-2</v>
      </c>
      <c r="KP326" s="546">
        <f t="shared" si="902"/>
        <v>-358.34773388217394</v>
      </c>
      <c r="KQ326" s="546">
        <f t="shared" si="903"/>
        <v>-354.51574166310911</v>
      </c>
      <c r="KR326" s="548">
        <f t="shared" si="904"/>
        <v>2.9346361888146344</v>
      </c>
      <c r="KS326" s="548">
        <f t="shared" si="905"/>
        <v>2.9663569326906853</v>
      </c>
      <c r="KT326" s="473">
        <f t="shared" si="939"/>
        <v>1026.1618045255443</v>
      </c>
      <c r="KU326" s="663">
        <f t="shared" si="927"/>
        <v>4.5449437945561852</v>
      </c>
      <c r="KV326" s="117"/>
    </row>
    <row r="327" spans="1:308" s="26" customFormat="1" ht="15">
      <c r="A327" s="561">
        <f t="shared" si="906"/>
        <v>3027</v>
      </c>
      <c r="B327" s="561">
        <f t="shared" si="928"/>
        <v>27</v>
      </c>
      <c r="C327" s="561">
        <f t="shared" si="929"/>
        <v>3</v>
      </c>
      <c r="D327" s="561" t="str">
        <f t="shared" si="974"/>
        <v xml:space="preserve">750 Combo, </v>
      </c>
      <c r="E327" s="475">
        <f>INDEX(Input!$1:$1048576,E$93,$C327*2+MIN($B327,2)+5)
+INDEX(Scenarios!E$121:E$200,MATCH($B327,Scenarios!$B$121:$B$200,0))</f>
        <v>1287.0236024844721</v>
      </c>
      <c r="F327" s="475">
        <f>INDEX(Input!$1:$1048576,F$93,$C327*2+MIN($B327,2)+5)
+INDEX(Scenarios!F$121:F$200,MATCH($B327,Scenarios!$B$121:$B$200,0))</f>
        <v>0</v>
      </c>
      <c r="G327" s="475">
        <f>INDEX(Input!$1:$1048576,G$93,$C327*2+MIN($B327,2)+5)
+INDEX(Scenarios!G$121:G$200,MATCH($B327,Scenarios!$B$121:$B$200,0))</f>
        <v>0</v>
      </c>
      <c r="H327" s="475">
        <f>INDEX(Input!$1:$1048576,H$93,$C327*2+MIN($B327,2)+5)
+INDEX(Scenarios!H$121:H$200,MATCH($B327,Scenarios!$B$121:$B$200,0))</f>
        <v>0</v>
      </c>
      <c r="I327" s="476">
        <f>INDEX(Input!$1:$1048576,I$93,$C327*2+MIN($B327,2)+5)</f>
        <v>0.7</v>
      </c>
      <c r="J327" s="476" t="str">
        <f>INDEX(Input!$1:$1048576,J$93,$C327*2+MIN($B327,2)+5)</f>
        <v>Market</v>
      </c>
      <c r="K327" s="476" t="str">
        <f>INDEX(Input!$1:$1048576,K$93,$C327*2+MIN($B327,2)+5)</f>
        <v>Market</v>
      </c>
      <c r="L327" s="476" t="str">
        <f>INDEX(Input!$1:$1048576,L$93,$C327*2+MIN($B327,2)+5)</f>
        <v>Market</v>
      </c>
      <c r="M327" s="476" t="str">
        <f>INDEX(Input!$1:$1048576,M$93,$C327*2+MIN($B327,2)+5)</f>
        <v>Market</v>
      </c>
      <c r="N327" s="476" t="str">
        <f>INDEX(Input!$1:$1048576,N$93,$C327*2+MIN($B327,2)+5)</f>
        <v>Market</v>
      </c>
      <c r="O327" s="476" t="str">
        <f>INDEX(Input!$1:$1048576,O$93,$C327*2+MIN($B327,2)+5)</f>
        <v>Market</v>
      </c>
      <c r="P327" s="476" t="str">
        <f>INDEX(Input!$1:$1048576,P$93,$C327*2+MIN($B327,2)+5)</f>
        <v>N</v>
      </c>
      <c r="Q327" s="477">
        <f>INDEX(Input!$1:$1048576,Q$93,$C327*2+MIN($B327,2)+5)
+INDEX(Scenarios!Q$121:Q$200,MATCH($B327,Scenarios!$B$121:$B$200,0))</f>
        <v>750</v>
      </c>
      <c r="R327" s="478">
        <f>IFERROR(MAX(0,INDEX(Input!$1:$1048576,R$93,$C327*2+MIN($B327,2)+5)
+INDEX(Scenarios!R$121:R$200,MATCH($B327,Scenarios!$B$121:$B$200,0)),),"Market")</f>
        <v>0</v>
      </c>
      <c r="S327" s="478">
        <f>IFERROR(MAX(0,INDEX(Input!$1:$1048576,S$93,$C327*2+MIN($B327,2)+5)
+INDEX(Scenarios!S$121:S$200,MATCH($B327,Scenarios!$B$121:$B$200,0)),),"Market")</f>
        <v>0</v>
      </c>
      <c r="T327" s="478">
        <f>IFERROR(MAX(0,INDEX(Input!$1:$1048576,T$93,$C327*2+MIN($B327,2)+5)
+INDEX(Scenarios!T$121:T$200,MATCH($B327,Scenarios!$B$121:$B$200,0)),),"Market")</f>
        <v>0</v>
      </c>
      <c r="U327" s="478">
        <f>IFERROR(MAX(0,INDEX(Input!$1:$1048576,U$93,$C327*2+MIN($B327,2)+5)
+INDEX(Scenarios!U$121:U$200,MATCH($B327,Scenarios!$B$121:$B$200,0)),),"Market")</f>
        <v>0</v>
      </c>
      <c r="V327" s="478">
        <f>IFERROR(MAX(0,INDEX(Input!$1:$1048576,V$93,$C327*2+MIN($B327,2)+5)
+INDEX(Scenarios!V$121:V$200,MATCH($B327,Scenarios!$B$121:$B$200,0)),),"Market")</f>
        <v>1.9E-2</v>
      </c>
      <c r="W327" s="885">
        <f>IFERROR(MAX(0,INDEX(Input!$1:$1048576,W$93,$C327*2+MIN($B327,2)+5)-0%,),"Market")</f>
        <v>3.9E-2</v>
      </c>
      <c r="X327" s="476" t="str">
        <f>INDEX(Input!$1:$1048576,X$93,$C327*2+MIN($B327,2)+5)</f>
        <v>Y</v>
      </c>
      <c r="Y327" s="475">
        <f>INDEX(Input!$1:$1048576,Y$93,$C327*2+MIN($B327,2)+5)
++INDEX(Scenarios!Y$121:Y$200,MATCH($B327,Scenarios!$B$121:$B$200,0))</f>
        <v>1554.9999999999991</v>
      </c>
      <c r="Z327" s="477">
        <f>INDEX(Input!$1:$1048576,Z$93,$C327*2+MIN($B327,2)+5)
+INDEX(Scenarios!Z$121:Z$200,MATCH($B327,Scenarios!$B$121:$B$200,0))</f>
        <v>0</v>
      </c>
      <c r="AA327" s="475">
        <f>INDEX(Input!$1:$1048576,AA$93,$C327*2+MIN($B327,2)+5)
+INDEX(Scenarios!AA$121:AA$200,MATCH($B327,Scenarios!$B$121:$B$200,0))</f>
        <v>0</v>
      </c>
      <c r="AB327" s="476">
        <f>INDEX(Input!$1:$1048576,AB$93,$C327*2+MIN($B327,2)+5)</f>
        <v>0.27</v>
      </c>
      <c r="AC327" s="475">
        <f>INDEX(Input!$1:$1048576,AC$93,$C327*2+MIN($B327,2)+5)
+INDEX(Scenarios!AC$121:AC$200,MATCH($B327,Scenarios!$B$121:$B$200,0))</f>
        <v>0</v>
      </c>
      <c r="AD327" s="476">
        <f>INDEX(Input!$1:$1048576,AD$93,$C327*2+MIN($B327,2)+5)</f>
        <v>0.27</v>
      </c>
      <c r="AE327" s="475">
        <f>INDEX(Input!$1:$1048576,AE$93,$C327*2+MIN($B327,2)+5)
+INDEX(Scenarios!AE$121:AE$200,MATCH($B327,Scenarios!$B$121:$B$200,0))</f>
        <v>0</v>
      </c>
      <c r="AF327" s="476">
        <f>INDEX(Input!$1:$1048576,AF$93,$C327*2+MIN($B327,2)+5)</f>
        <v>0.68200000000000005</v>
      </c>
      <c r="AG327" s="475">
        <f>INDEX(Input!$1:$1048576,AG$93,$C327*2+MIN($B327,2)+5)
+INDEX(Scenarios!AG$121:AG$200,MATCH($B327,Scenarios!$B$121:$B$200,0))</f>
        <v>500</v>
      </c>
      <c r="AH327" s="476">
        <f>INDEX(Input!$1:$1048576,AH$93,$C327*2+MIN($B327,2)+5)</f>
        <v>1</v>
      </c>
      <c r="AI327" s="475">
        <f>INDEX(Input!$1:$1048576,AI$93,$C327*2+MIN($B327,2)+5)
+INDEX(Scenarios!AI$121:AI$200,MATCH($B327,Scenarios!$B$121:$B$200,0))</f>
        <v>0</v>
      </c>
      <c r="AJ327" s="476">
        <f>INDEX(Input!$1:$1048576,AJ$93,$C327*2+MIN($B327,2)+5)</f>
        <v>0.27</v>
      </c>
      <c r="AK327" s="150">
        <f>ROUND(INDEX(Input!$1:$1048576,AK$93,$C326*2+MIN($B327,1)+5)+(Y327-VLOOKUP($C327*1000+1,$A:$HH,Y$92,FALSE)),0)</f>
        <v>2977</v>
      </c>
      <c r="AL327" s="150">
        <f>ROUND(INDEX(Input!$1:$1048576,AL$93,$C326*2+MIN($B327,1)+5)-(Y327-VLOOKUP($C327*1000+1,$A:$HH,Y$92,FALSE))/36,0)</f>
        <v>3395</v>
      </c>
      <c r="AM327" s="32" t="str">
        <f t="shared" si="907"/>
        <v>std/std/std/std</v>
      </c>
      <c r="AN327" s="32" t="str">
        <f t="shared" si="908"/>
        <v>$750 + 0/0/0/1.9/3.9</v>
      </c>
      <c r="AO327" s="32" t="str">
        <f t="shared" si="909"/>
        <v>0/0/0/1.9/3.9</v>
      </c>
      <c r="AP327" s="32" t="str">
        <f t="shared" si="863"/>
        <v>0/0.9/1.9/3.9</v>
      </c>
      <c r="AQ327" s="536">
        <f t="shared" si="862"/>
        <v>0.28097869786775309</v>
      </c>
      <c r="AR327" s="32"/>
      <c r="AS327" s="302"/>
      <c r="AT327" s="3">
        <f t="shared" si="930"/>
        <v>27</v>
      </c>
      <c r="AU327" s="41" t="s">
        <v>121</v>
      </c>
      <c r="AV327" s="41" t="s">
        <v>116</v>
      </c>
      <c r="AW327" s="41" t="str">
        <f>INDEX(Input!$1:$1048576,AW$93,$C327*2+6)</f>
        <v>Kia</v>
      </c>
      <c r="AX327" s="41" t="str">
        <f>INDEX(Input!$1:$1048576,AX$93,$C327*2+6)</f>
        <v>Kia-LR - L3</v>
      </c>
      <c r="AY327" s="41" t="str">
        <f>IF(LEN(D327)=0,"",INDEX(Input!$1:$1048576,AY$93,$C327*2+6))</f>
        <v>Compact SUV (52)</v>
      </c>
      <c r="AZ327" s="41" t="str">
        <f>INDEX(Input!$1:$1048576,AZ$93,$C327*2+6)</f>
        <v>Kia Soul</v>
      </c>
      <c r="BA327" s="3">
        <f>INDEX(Input!$1:$1048576,BA$93,$C327*2+6)</f>
        <v>2020</v>
      </c>
      <c r="BB327" s="128">
        <f>INDEX(Input!$1:$1048576,BB$93,$C327*2+6)</f>
        <v>1</v>
      </c>
      <c r="BC327" s="128">
        <f>INDEX(Input!$1:$1048576,BC$93,$C327*2+6)</f>
        <v>0.7</v>
      </c>
      <c r="BD327" s="1">
        <f>INDEX(Input!$1:$1048576,BD$93,$C327*2+6)</f>
        <v>4.4999999999999998E-2</v>
      </c>
      <c r="BE327" s="1">
        <f>INDEX(Input!$1:$1048576,BE$93,$C327*2+6)</f>
        <v>4.4999999999999998E-2</v>
      </c>
      <c r="BF327" s="1">
        <f>INDEX(Input!$1:$1048576,BF$93,$C327*2+6)</f>
        <v>0.05</v>
      </c>
      <c r="BG327" s="1">
        <f>INDEX(Input!$1:$1048576,BG$93,$C327*2+6)</f>
        <v>5.45E-2</v>
      </c>
      <c r="BH327" s="1">
        <f>INDEX(Input!$1:$1048576,BH$93,$C327*2+6)</f>
        <v>5.45E-2</v>
      </c>
      <c r="BI327" s="1">
        <f>INDEX(Input!$1:$1048576,BI$93,$C327*2+6)</f>
        <v>0.05</v>
      </c>
      <c r="BJ327" s="1">
        <f>INDEX(Input!$1:$1048576,BJ$93,$C327*2+6)</f>
        <v>0.05</v>
      </c>
      <c r="BK327" s="1">
        <f>INDEX(Input!$1:$1048576,BK$93,$C327*2+6)</f>
        <v>0.05</v>
      </c>
      <c r="BL327" s="1">
        <f>INDEX(Input!$1:$1048576,BL$93,$C327*2+6)</f>
        <v>5.5E-2</v>
      </c>
      <c r="BM327" s="1">
        <f>INDEX(Input!$1:$1048576,BM$93,$C327*2+6)</f>
        <v>0.06</v>
      </c>
      <c r="BN327" s="1">
        <f>INDEX(Input!$1:$1048576,BN$93,$C327*2+6)</f>
        <v>4.4999999999999998E-2</v>
      </c>
      <c r="BO327" s="1">
        <f>INDEX(Input!$1:$1048576,BO$93,$C327*2+6)</f>
        <v>4.4999999999999998E-2</v>
      </c>
      <c r="BP327" s="1">
        <f>INDEX(Input!$1:$1048576,BP$93,$C327*2+6)</f>
        <v>0.05</v>
      </c>
      <c r="BQ327" s="1">
        <f>INDEX(Input!$1:$1048576,BQ$93,$C327*2+6)</f>
        <v>5.45E-2</v>
      </c>
      <c r="BR327" s="1">
        <f>INDEX(Input!$1:$1048576,BR$93,$C327*2+6)</f>
        <v>5.45E-2</v>
      </c>
      <c r="BS327" s="1">
        <f>INDEX(Input!$1:$1048576,BS$93,$C327*2+6)</f>
        <v>0.05</v>
      </c>
      <c r="BT327" s="1">
        <f>INDEX(Input!$1:$1048576,BT$93,$C327*2+6)</f>
        <v>0.05</v>
      </c>
      <c r="BU327" s="1">
        <f>INDEX(Input!$1:$1048576,BU$93,$C327*2+6)</f>
        <v>0.05</v>
      </c>
      <c r="BV327" s="1">
        <f>INDEX(Input!$1:$1048576,BV$93,$C327*2+6)</f>
        <v>5.5E-2</v>
      </c>
      <c r="BW327" s="1">
        <f>INDEX(Input!$1:$1048576,BW$93,$C327*2+6)</f>
        <v>0.06</v>
      </c>
      <c r="BX327" s="127">
        <f>INDEX(Input!$1:$1048576,BX$93,$C327*2+6)</f>
        <v>19985</v>
      </c>
      <c r="BY327" s="20">
        <f>INDEX(Input!$1:$1048576,BY$93,$C327*2+6)</f>
        <v>0.1</v>
      </c>
      <c r="BZ327" s="20">
        <f>INDEX(Input!$1:$1048576,BZ$93,$C327*2+6)</f>
        <v>0.1</v>
      </c>
      <c r="CA327" s="20">
        <f>INDEX(Input!$1:$1048576,CA$93,$C327*2+6)</f>
        <v>0.1</v>
      </c>
      <c r="CB327" s="20">
        <f>INDEX(Input!$1:$1048576,CB$93,$C327*2+6)</f>
        <v>0.1</v>
      </c>
      <c r="CC327" s="20">
        <f>INDEX(Input!$1:$1048576,CC$93,$C327*2+6)</f>
        <v>0.1</v>
      </c>
      <c r="CD327" s="384">
        <f>INDEX(Input!$1:$1048576,CD$93,$C327*2+6)</f>
        <v>0.1</v>
      </c>
      <c r="CE327" s="384">
        <f>INDEX(Input!$1:$1048576,CE$93,$C327*2+6)</f>
        <v>0.1</v>
      </c>
      <c r="CF327" s="384">
        <f>INDEX(Input!$1:$1048576,CF$93,$C327*2+6)</f>
        <v>0.1</v>
      </c>
      <c r="CG327" s="384">
        <f>INDEX(Input!$1:$1048576,CG$93,$C327*2+6)</f>
        <v>0.1</v>
      </c>
      <c r="CH327" s="384">
        <f>INDEX(Input!$1:$1048576,CH$93,$C327*2+6)</f>
        <v>0.1</v>
      </c>
      <c r="CI327" s="304">
        <f t="shared" si="864"/>
        <v>1287.0236024844721</v>
      </c>
      <c r="CJ327" s="16" t="str">
        <f>INDEX(Input!$1:$1048576,CJ$93,$C327*2+6)</f>
        <v>N</v>
      </c>
      <c r="CK327" s="1" t="str">
        <f t="shared" si="865"/>
        <v>Market</v>
      </c>
      <c r="CL327" s="1" t="str">
        <f t="shared" si="866"/>
        <v>Market</v>
      </c>
      <c r="CM327" s="1" t="str">
        <f t="shared" si="867"/>
        <v>Market</v>
      </c>
      <c r="CN327" s="1" t="str">
        <f t="shared" si="868"/>
        <v>Market</v>
      </c>
      <c r="CO327" s="1" t="str">
        <f t="shared" si="869"/>
        <v>Market</v>
      </c>
      <c r="CP327" s="304">
        <f t="shared" si="870"/>
        <v>1250</v>
      </c>
      <c r="CQ327" s="1">
        <f t="shared" si="871"/>
        <v>0</v>
      </c>
      <c r="CR327" s="1">
        <f t="shared" si="872"/>
        <v>0</v>
      </c>
      <c r="CS327" s="1">
        <f t="shared" si="873"/>
        <v>0</v>
      </c>
      <c r="CT327" s="1">
        <f t="shared" si="874"/>
        <v>1.9E-2</v>
      </c>
      <c r="CU327" s="1">
        <f t="shared" si="875"/>
        <v>3.9E-2</v>
      </c>
      <c r="CV327" s="304">
        <f t="shared" si="876"/>
        <v>1554.9999999999991</v>
      </c>
      <c r="CW327" s="20" t="s">
        <v>122</v>
      </c>
      <c r="CX327" s="20" t="s">
        <v>122</v>
      </c>
      <c r="CY327" s="20" t="s">
        <v>122</v>
      </c>
      <c r="CZ327" s="20" t="s">
        <v>122</v>
      </c>
      <c r="DA327" s="20" t="s">
        <v>122</v>
      </c>
      <c r="DB327" s="503">
        <f t="shared" si="877"/>
        <v>0</v>
      </c>
      <c r="DC327" s="127">
        <v>0</v>
      </c>
      <c r="DD327" s="127">
        <v>0</v>
      </c>
      <c r="DE327" s="127">
        <v>0</v>
      </c>
      <c r="DF327" s="127">
        <v>0</v>
      </c>
      <c r="DG327" s="127">
        <v>0</v>
      </c>
      <c r="DH327" s="127">
        <v>0</v>
      </c>
      <c r="DI327" s="127">
        <v>0</v>
      </c>
      <c r="DJ327" s="127">
        <v>0</v>
      </c>
      <c r="DK327" s="127">
        <v>0</v>
      </c>
      <c r="DL327" s="127">
        <v>0</v>
      </c>
      <c r="DM327" s="304">
        <f>INDEX(Input!$1:$1048576,DM$93,$C327*2+6)</f>
        <v>21036.84210526316</v>
      </c>
      <c r="DN327" s="20">
        <v>0</v>
      </c>
      <c r="DO327" s="20">
        <v>0</v>
      </c>
      <c r="DP327" s="20">
        <v>0</v>
      </c>
      <c r="DQ327" s="20">
        <v>0</v>
      </c>
      <c r="DR327" s="20">
        <v>0</v>
      </c>
      <c r="DS327" s="20">
        <f>INDEX(Input!$1:$1048576,DS$93,$C327*2+6)</f>
        <v>0.6</v>
      </c>
      <c r="DT327" s="20">
        <f>INDEX(Input!$1:$1048576,DT$93,$C327*2+6)</f>
        <v>0.55000000000000004</v>
      </c>
      <c r="DU327" s="20">
        <f>INDEX(Input!$1:$1048576,DU$93,$C327*2+6)</f>
        <v>0.52</v>
      </c>
      <c r="DV327" s="20">
        <f>INDEX(Input!$1:$1048576,DV$93,$C327*2+6)</f>
        <v>0.5</v>
      </c>
      <c r="DW327" s="20">
        <f>INDEX(Input!$1:$1048576,DW$93,$C327*2+6)</f>
        <v>0.45</v>
      </c>
      <c r="DX327" s="20"/>
      <c r="DY327" s="7">
        <v>9.8025038177682253E-2</v>
      </c>
      <c r="DZ327" s="7">
        <v>0</v>
      </c>
      <c r="EA327" s="7">
        <v>0.67369412192097378</v>
      </c>
      <c r="EB327" s="7">
        <v>0</v>
      </c>
      <c r="EC327" s="7">
        <v>0</v>
      </c>
      <c r="ED327" s="7">
        <v>0</v>
      </c>
      <c r="EE327" s="7">
        <v>0</v>
      </c>
      <c r="EF327" s="7">
        <v>0</v>
      </c>
      <c r="EG327" s="7">
        <v>0</v>
      </c>
      <c r="EH327" s="7">
        <v>1.2001159096529499E-2</v>
      </c>
      <c r="EI327" s="7">
        <v>3.3605044183689842E-2</v>
      </c>
      <c r="EJ327" s="7">
        <v>0.2705850888717285</v>
      </c>
      <c r="EK327" s="7">
        <v>0.54245106233847129</v>
      </c>
      <c r="EL327" s="7">
        <v>0.14135764550958077</v>
      </c>
      <c r="EM327" s="7">
        <v>7.1989856033778846E-2</v>
      </c>
      <c r="EN327" s="7">
        <v>6.2760576643546881E-2</v>
      </c>
      <c r="EO327" s="7">
        <v>0.78055606297269442</v>
      </c>
      <c r="EP327" s="7">
        <v>6.449637671398803E-2</v>
      </c>
      <c r="EQ327" s="7">
        <v>6.0300149133163103E-2</v>
      </c>
      <c r="ER327" s="7">
        <v>3.1886834536607546E-2</v>
      </c>
      <c r="ES327" s="7">
        <v>0.15629098386756513</v>
      </c>
      <c r="ET327" s="7">
        <v>0.22828083990134396</v>
      </c>
      <c r="EU327" s="6">
        <v>1611</v>
      </c>
      <c r="EV327" s="6">
        <v>0</v>
      </c>
      <c r="EW327" s="6">
        <v>1611</v>
      </c>
      <c r="EX327" s="6">
        <v>0</v>
      </c>
      <c r="EY327" s="6">
        <v>3085.6762024602472</v>
      </c>
      <c r="EZ327" s="6">
        <v>2289</v>
      </c>
      <c r="FA327" s="6">
        <v>0</v>
      </c>
      <c r="FB327" s="6">
        <v>0</v>
      </c>
      <c r="FC327" s="6">
        <v>0</v>
      </c>
      <c r="FD327" s="6">
        <v>0</v>
      </c>
      <c r="FE327" s="6">
        <v>0</v>
      </c>
      <c r="FF327" s="6">
        <v>0</v>
      </c>
      <c r="FG327" s="6">
        <v>0</v>
      </c>
      <c r="FH327" s="6">
        <v>1172.0072628217717</v>
      </c>
      <c r="FI327" s="6">
        <v>1553.9796069512397</v>
      </c>
      <c r="FJ327" s="6">
        <v>2101.2110117447419</v>
      </c>
      <c r="FK327" s="6">
        <v>1772.7139978623229</v>
      </c>
      <c r="FL327" s="6">
        <v>907.07682140966358</v>
      </c>
      <c r="FM327" s="6">
        <v>1724.6762024602472</v>
      </c>
      <c r="FN327" s="6">
        <v>0</v>
      </c>
      <c r="FO327" s="6">
        <v>0</v>
      </c>
      <c r="FP327" s="6">
        <v>0</v>
      </c>
      <c r="FQ327" s="6">
        <v>0</v>
      </c>
      <c r="FR327" s="6">
        <v>0</v>
      </c>
      <c r="FS327" s="6">
        <v>0</v>
      </c>
      <c r="FT327" s="7">
        <v>0.77171916009865604</v>
      </c>
      <c r="FU327" s="7">
        <v>7.1989856033778846E-2</v>
      </c>
      <c r="FV327" s="7">
        <v>0.15629098386756513</v>
      </c>
      <c r="FW327" s="6">
        <v>1610.9999999999998</v>
      </c>
      <c r="FX327" s="6">
        <v>3085.6762024602472</v>
      </c>
      <c r="FY327" s="6">
        <v>2289</v>
      </c>
      <c r="FZ327" s="6">
        <v>1858.9243755539039</v>
      </c>
      <c r="GA327" s="6">
        <v>1823.1270145737619</v>
      </c>
      <c r="GB327" s="6">
        <v>18161.872985426238</v>
      </c>
      <c r="GC327" s="7">
        <v>2.9156573141622111E-2</v>
      </c>
      <c r="GD327" s="7">
        <v>2.9588428487113808E-2</v>
      </c>
      <c r="GE327" s="7"/>
      <c r="GF327" s="7"/>
      <c r="GG327" s="7">
        <v>1.4811594743800885E-2</v>
      </c>
      <c r="GH327" s="42">
        <v>-8.269037517013258</v>
      </c>
      <c r="GI327" s="6">
        <v>-593.72016490530666</v>
      </c>
      <c r="GJ327" s="14">
        <v>0.50394797582841722</v>
      </c>
      <c r="GK327" s="14">
        <v>0.50887573065309732</v>
      </c>
      <c r="GL327" s="14">
        <v>0.49605202417158267</v>
      </c>
      <c r="GM327" s="14">
        <v>0.49112426934690234</v>
      </c>
      <c r="GO327" s="5">
        <v>343.14810671672558</v>
      </c>
      <c r="GP327" s="5">
        <v>312.41330006058649</v>
      </c>
      <c r="GQ327" s="5">
        <v>535.04305713031317</v>
      </c>
      <c r="GR327" s="5">
        <v>410.15490233172511</v>
      </c>
      <c r="GS327" s="5">
        <v>339.42744393800166</v>
      </c>
      <c r="GT327" s="5">
        <v>293.4407446948278</v>
      </c>
      <c r="GU327" s="5">
        <v>258.04012322764959</v>
      </c>
      <c r="GV327" s="39" t="s">
        <v>392</v>
      </c>
      <c r="GW327" s="5">
        <v>461.81944444444446</v>
      </c>
      <c r="GX327" s="5">
        <v>346.36458333333331</v>
      </c>
      <c r="GY327" s="5">
        <v>277.09166666666664</v>
      </c>
      <c r="GZ327" s="5">
        <v>244.50415515778934</v>
      </c>
      <c r="HA327" s="5">
        <v>226.48624475670567</v>
      </c>
      <c r="HB327" s="39">
        <v>256.80594001447378</v>
      </c>
      <c r="HC327" s="5">
        <v>187.140625</v>
      </c>
      <c r="HD327" s="5">
        <v>171.45330774853798</v>
      </c>
      <c r="HE327" s="5">
        <v>177.50180921052629</v>
      </c>
      <c r="HF327" s="5">
        <v>167.9756304824561</v>
      </c>
      <c r="HG327" s="5">
        <v>166.75888157894735</v>
      </c>
      <c r="HH327" s="39">
        <v>172.46856440578173</v>
      </c>
      <c r="HI327" s="16"/>
      <c r="HJ327" s="19" t="str">
        <f t="shared" si="972"/>
        <v>On</v>
      </c>
      <c r="HK327" s="1" t="str">
        <f t="shared" si="972"/>
        <v>On</v>
      </c>
      <c r="HL327" s="16"/>
      <c r="HM327" s="639">
        <f t="shared" si="878"/>
        <v>2.2758057894877178E-2</v>
      </c>
      <c r="HN327" s="639">
        <f t="shared" si="879"/>
        <v>1.416759231746561E-3</v>
      </c>
      <c r="HO327" s="639">
        <f t="shared" si="880"/>
        <v>4.5732401537654987E-3</v>
      </c>
      <c r="HP327" s="644">
        <f>(FT327*$GD327-HM327)/$JF327*INDEX(Input!$1:$1048576,$JG$93,$C327*2+6)</f>
        <v>4.2506472352701685</v>
      </c>
      <c r="HQ327" s="644">
        <f>(FU327*$GD327-HN327)/$JF327*INDEX(Input!$1:$1048576,$JG$93,$C327*2+6)</f>
        <v>39.947918012077679</v>
      </c>
      <c r="HR327" s="644">
        <f>(FV327*$GD327-HO327)/$JF327*INDEX(Input!$1:$1048576,$JG$93,$C327*2+6)</f>
        <v>2.8654025759498816</v>
      </c>
      <c r="HS327" s="644">
        <f t="shared" si="975"/>
        <v>-19.526516149982946</v>
      </c>
      <c r="HT327" s="644">
        <f t="shared" si="882"/>
        <v>111.05902351360407</v>
      </c>
      <c r="HU327" s="644">
        <f t="shared" si="883"/>
        <v>8.5621095456006664</v>
      </c>
      <c r="HV327" s="648">
        <f t="shared" si="884"/>
        <v>0</v>
      </c>
      <c r="HW327" s="648">
        <f t="shared" si="885"/>
        <v>0</v>
      </c>
      <c r="HX327" s="648">
        <f t="shared" si="886"/>
        <v>0</v>
      </c>
      <c r="HY327" s="644">
        <f>INDEX(Input!$1:$1048576,HY$93,$C327*2+6)*INDEX(Input!$1:$1048576,$JG$93,$C327*2+6)</f>
        <v>509.00000000000006</v>
      </c>
      <c r="HZ327" s="644">
        <f>INDEX(Input!$1:$1048576,HZ$93,$C327*2+6)*INDEX(Input!$1:$1048576,$JG$93,$C327*2+6)</f>
        <v>844</v>
      </c>
      <c r="IA327" s="644">
        <f>INDEX(Input!$1:$1048576,IA$93,$C327*2+6)*INDEX(Input!$1:$1048576,$JG$93,$C327*2+6)</f>
        <v>257</v>
      </c>
      <c r="IB327" s="644">
        <f t="shared" si="910"/>
        <v>493.72413108528724</v>
      </c>
      <c r="IC327" s="644">
        <f t="shared" si="911"/>
        <v>995.00694152568178</v>
      </c>
      <c r="ID327" s="644">
        <f>IF(AND(INDEX(Input!$1:$1048576,IA$93,$C327*2+7)="TOS",Y327&lt;=INDEX(Y:Y,MATCH(C327*1000+2,A:A))),0,1)*MAX(IA327+HR327+HU327+HX327,0%)</f>
        <v>268.42751212155054</v>
      </c>
      <c r="IE327" s="128">
        <f t="shared" si="976"/>
        <v>0.28097869786775309</v>
      </c>
      <c r="IF327" s="128">
        <f t="shared" si="977"/>
        <v>0.56625904467077171</v>
      </c>
      <c r="IG327" s="128">
        <f t="shared" si="888"/>
        <v>0.1527622574614752</v>
      </c>
      <c r="IH327" s="21"/>
      <c r="II327" s="19">
        <f t="shared" si="889"/>
        <v>1410.4999999999998</v>
      </c>
      <c r="IJ327" s="19">
        <f t="shared" si="890"/>
        <v>2134.9731585778086</v>
      </c>
      <c r="IK327" s="19">
        <f t="shared" si="891"/>
        <v>2103.5</v>
      </c>
      <c r="IL327" s="19">
        <f t="shared" si="913"/>
        <v>200.5</v>
      </c>
      <c r="IM327" s="19">
        <f t="shared" si="892"/>
        <v>950.70304388243858</v>
      </c>
      <c r="IN327" s="19">
        <f t="shared" si="893"/>
        <v>185.5</v>
      </c>
      <c r="IO327" s="39">
        <f t="shared" si="894"/>
        <v>0</v>
      </c>
      <c r="IP327" s="39">
        <f t="shared" si="895"/>
        <v>0</v>
      </c>
      <c r="IQ327" s="39">
        <f t="shared" si="896"/>
        <v>0</v>
      </c>
      <c r="IR327" s="39">
        <v>0</v>
      </c>
      <c r="IS327" s="39">
        <v>0</v>
      </c>
      <c r="IT327" s="39">
        <v>0</v>
      </c>
      <c r="IU327" s="39">
        <v>0</v>
      </c>
      <c r="IV327" s="39">
        <v>0</v>
      </c>
      <c r="IW327" s="39">
        <v>0</v>
      </c>
      <c r="IX327" s="39">
        <f>INDEX(Input!$1:$1048576,IX$93,$C327*2+6)+INDEX(Input!$1:$1048576,IX$94,$C327*2+6)</f>
        <v>1611</v>
      </c>
      <c r="IY327" s="39">
        <f>INDEX(Input!$1:$1048576,IY$93,$C327*2+6)+INDEX(Input!$1:$1048576,IY$94,$C327*2+6)</f>
        <v>2471.0624533823611</v>
      </c>
      <c r="IZ327" s="39">
        <f>INDEX(Input!$1:$1048576,IZ$93,$C327*2+6)+INDEX(Input!$1:$1048576,IZ$94,$C327*2+6)</f>
        <v>3994.7164157747857</v>
      </c>
      <c r="JA327" s="19">
        <f t="shared" si="914"/>
        <v>1811.5</v>
      </c>
      <c r="JB327" s="19">
        <f t="shared" si="915"/>
        <v>3421.7654972647997</v>
      </c>
      <c r="JC327" s="19">
        <f t="shared" si="916"/>
        <v>4180.2164157747857</v>
      </c>
      <c r="JD327" s="19">
        <f t="shared" si="917"/>
        <v>3085.1778691072814</v>
      </c>
      <c r="JE327" s="21"/>
      <c r="JF327" s="1">
        <f t="shared" si="897"/>
        <v>2.8748057280389237E-2</v>
      </c>
      <c r="JG327" s="15">
        <f>INDEX(Input!$1:$1048576,JG$93,$C327*2+6)/(1+VLOOKUP(C327*1000+INDEX(Input!$1:$1048576,JG$93+1,$C327*2+6),$A:$KK,$JK$92,FALSE))</f>
        <v>1610</v>
      </c>
      <c r="JH327" s="1">
        <f t="shared" si="918"/>
        <v>2.9232278151116599E-2</v>
      </c>
      <c r="JI327" s="1">
        <f t="shared" si="919"/>
        <v>6.2170569508833415E-2</v>
      </c>
      <c r="JJ327" s="1">
        <f t="shared" si="978"/>
        <v>0</v>
      </c>
      <c r="JK327" s="1">
        <f t="shared" si="979"/>
        <v>9.1402847659950021E-2</v>
      </c>
      <c r="JL327" s="15">
        <f t="shared" si="922"/>
        <v>147.15858473251953</v>
      </c>
      <c r="JM327" s="15">
        <f t="shared" si="948"/>
        <v>1757.1585847325196</v>
      </c>
      <c r="JN327" s="21"/>
      <c r="JO327" s="19">
        <f>INDEX(Input!$1:$1048576,JO$93,$C327*2+6)</f>
        <v>5995.5</v>
      </c>
      <c r="JP327" s="19">
        <f>INDEX(Input!$1:$1048576,JP$93,$C327*2+6)</f>
        <v>2442.3713226762939</v>
      </c>
      <c r="JQ327" s="39">
        <f t="shared" si="934"/>
        <v>2910.3221308927186</v>
      </c>
      <c r="JR327" s="39">
        <f t="shared" si="951"/>
        <v>642.80654643098751</v>
      </c>
      <c r="JS327" s="39">
        <f t="shared" si="936"/>
        <v>5.4211467781286409</v>
      </c>
      <c r="JT327" s="39">
        <f t="shared" si="924"/>
        <v>1.4889289486198076</v>
      </c>
      <c r="JU327" s="385">
        <f>(JQ327*JM327-INDEX(Input!$1:$1048576,Input!A$18,$C327*2+6)*JL327*INDEX(Input!$1:$1048576,Input!A$19,$C327*2+6))/1000000</f>
        <v>5.1138975166351806</v>
      </c>
      <c r="JV327" s="39">
        <f t="shared" si="958"/>
        <v>-0.60663965385598662</v>
      </c>
      <c r="JW327" s="1">
        <f t="shared" si="949"/>
        <v>-0.10604592467037503</v>
      </c>
      <c r="JX327" s="19">
        <f t="shared" si="940"/>
        <v>10117.85314004029</v>
      </c>
      <c r="JZ327" s="341"/>
      <c r="KA327" s="342"/>
      <c r="KB327" s="469">
        <f t="shared" si="937"/>
        <v>2.5190675447988795</v>
      </c>
      <c r="KI327" s="473">
        <f t="shared" si="964"/>
        <v>-15.275868914712817</v>
      </c>
      <c r="KJ327" s="473">
        <f t="shared" si="965"/>
        <v>151.00694152568178</v>
      </c>
      <c r="KK327" s="473">
        <f t="shared" si="926"/>
        <v>11.427512121550535</v>
      </c>
      <c r="KN327" s="544">
        <f t="shared" si="941"/>
        <v>3002</v>
      </c>
      <c r="KO327" s="541">
        <f t="shared" si="901"/>
        <v>5.9083441494064415E-2</v>
      </c>
      <c r="KP327" s="546">
        <f t="shared" si="902"/>
        <v>424.78173718602869</v>
      </c>
      <c r="KQ327" s="546">
        <f t="shared" si="903"/>
        <v>449.26444371858315</v>
      </c>
      <c r="KR327" s="548">
        <f t="shared" si="904"/>
        <v>2.4131069014334723</v>
      </c>
      <c r="KS327" s="548">
        <f t="shared" si="905"/>
        <v>2.2816044223802119</v>
      </c>
      <c r="KT327" s="473">
        <f t="shared" si="939"/>
        <v>1026.1618045255443</v>
      </c>
      <c r="KU327" s="663">
        <f t="shared" si="927"/>
        <v>4.6145154555401806</v>
      </c>
      <c r="KV327" s="117"/>
    </row>
    <row r="328" spans="1:308" s="26" customFormat="1" ht="15">
      <c r="A328" s="561">
        <f t="shared" si="906"/>
        <v>3028</v>
      </c>
      <c r="B328" s="561">
        <f t="shared" si="928"/>
        <v>28</v>
      </c>
      <c r="C328" s="561">
        <f t="shared" si="929"/>
        <v>3</v>
      </c>
      <c r="D328" s="561" t="str">
        <f t="shared" si="974"/>
        <v xml:space="preserve">1000 Combo, </v>
      </c>
      <c r="E328" s="475">
        <f>INDEX(Input!$1:$1048576,E$93,$C328*2+MIN($B328,2)+5)
+INDEX(Scenarios!E$121:E$200,MATCH($B328,Scenarios!$B$121:$B$200,0))</f>
        <v>1287.0236024844721</v>
      </c>
      <c r="F328" s="475">
        <f>INDEX(Input!$1:$1048576,F$93,$C328*2+MIN($B328,2)+5)
+INDEX(Scenarios!F$121:F$200,MATCH($B328,Scenarios!$B$121:$B$200,0))</f>
        <v>0</v>
      </c>
      <c r="G328" s="475">
        <f>INDEX(Input!$1:$1048576,G$93,$C328*2+MIN($B328,2)+5)
+INDEX(Scenarios!G$121:G$200,MATCH($B328,Scenarios!$B$121:$B$200,0))</f>
        <v>0</v>
      </c>
      <c r="H328" s="475">
        <f>INDEX(Input!$1:$1048576,H$93,$C328*2+MIN($B328,2)+5)
+INDEX(Scenarios!H$121:H$200,MATCH($B328,Scenarios!$B$121:$B$200,0))</f>
        <v>0</v>
      </c>
      <c r="I328" s="476">
        <f>INDEX(Input!$1:$1048576,I$93,$C328*2+MIN($B328,2)+5)</f>
        <v>0.7</v>
      </c>
      <c r="J328" s="476" t="str">
        <f>INDEX(Input!$1:$1048576,J$93,$C328*2+MIN($B328,2)+5)</f>
        <v>Market</v>
      </c>
      <c r="K328" s="476" t="str">
        <f>INDEX(Input!$1:$1048576,K$93,$C328*2+MIN($B328,2)+5)</f>
        <v>Market</v>
      </c>
      <c r="L328" s="476" t="str">
        <f>INDEX(Input!$1:$1048576,L$93,$C328*2+MIN($B328,2)+5)</f>
        <v>Market</v>
      </c>
      <c r="M328" s="476" t="str">
        <f>INDEX(Input!$1:$1048576,M$93,$C328*2+MIN($B328,2)+5)</f>
        <v>Market</v>
      </c>
      <c r="N328" s="476" t="str">
        <f>INDEX(Input!$1:$1048576,N$93,$C328*2+MIN($B328,2)+5)</f>
        <v>Market</v>
      </c>
      <c r="O328" s="476" t="str">
        <f>INDEX(Input!$1:$1048576,O$93,$C328*2+MIN($B328,2)+5)</f>
        <v>Market</v>
      </c>
      <c r="P328" s="476" t="str">
        <f>INDEX(Input!$1:$1048576,P$93,$C328*2+MIN($B328,2)+5)</f>
        <v>N</v>
      </c>
      <c r="Q328" s="477">
        <f>INDEX(Input!$1:$1048576,Q$93,$C328*2+MIN($B328,2)+5)
+INDEX(Scenarios!Q$121:Q$200,MATCH($B328,Scenarios!$B$121:$B$200,0))</f>
        <v>1000</v>
      </c>
      <c r="R328" s="478">
        <f>IFERROR(MAX(0,INDEX(Input!$1:$1048576,R$93,$C328*2+MIN($B328,2)+5)
+INDEX(Scenarios!R$121:R$200,MATCH($B328,Scenarios!$B$121:$B$200,0)),),"Market")</f>
        <v>0</v>
      </c>
      <c r="S328" s="478">
        <f>IFERROR(MAX(0,INDEX(Input!$1:$1048576,S$93,$C328*2+MIN($B328,2)+5)
+INDEX(Scenarios!S$121:S$200,MATCH($B328,Scenarios!$B$121:$B$200,0)),),"Market")</f>
        <v>0</v>
      </c>
      <c r="T328" s="478">
        <f>IFERROR(MAX(0,INDEX(Input!$1:$1048576,T$93,$C328*2+MIN($B328,2)+5)
+INDEX(Scenarios!T$121:T$200,MATCH($B328,Scenarios!$B$121:$B$200,0)),),"Market")</f>
        <v>0</v>
      </c>
      <c r="U328" s="478">
        <f>IFERROR(MAX(0,INDEX(Input!$1:$1048576,U$93,$C328*2+MIN($B328,2)+5)
+INDEX(Scenarios!U$121:U$200,MATCH($B328,Scenarios!$B$121:$B$200,0)),),"Market")</f>
        <v>0</v>
      </c>
      <c r="V328" s="478">
        <f>IFERROR(MAX(0,INDEX(Input!$1:$1048576,V$93,$C328*2+MIN($B328,2)+5)
+INDEX(Scenarios!V$121:V$200,MATCH($B328,Scenarios!$B$121:$B$200,0)),),"Market")</f>
        <v>1.9E-2</v>
      </c>
      <c r="W328" s="885">
        <f>IFERROR(MAX(0,INDEX(Input!$1:$1048576,W$93,$C328*2+MIN($B328,2)+5)-0%,),"Market")</f>
        <v>3.9E-2</v>
      </c>
      <c r="X328" s="476" t="str">
        <f>INDEX(Input!$1:$1048576,X$93,$C328*2+MIN($B328,2)+5)</f>
        <v>Y</v>
      </c>
      <c r="Y328" s="475">
        <f>INDEX(Input!$1:$1048576,Y$93,$C328*2+MIN($B328,2)+5)
++INDEX(Scenarios!Y$121:Y$200,MATCH($B328,Scenarios!$B$121:$B$200,0))</f>
        <v>1554.9999999999991</v>
      </c>
      <c r="Z328" s="477">
        <f>INDEX(Input!$1:$1048576,Z$93,$C328*2+MIN($B328,2)+5)
+INDEX(Scenarios!Z$121:Z$200,MATCH($B328,Scenarios!$B$121:$B$200,0))</f>
        <v>0</v>
      </c>
      <c r="AA328" s="475">
        <f>INDEX(Input!$1:$1048576,AA$93,$C328*2+MIN($B328,2)+5)
+INDEX(Scenarios!AA$121:AA$200,MATCH($B328,Scenarios!$B$121:$B$200,0))</f>
        <v>0</v>
      </c>
      <c r="AB328" s="476">
        <f>INDEX(Input!$1:$1048576,AB$93,$C328*2+MIN($B328,2)+5)</f>
        <v>0.27</v>
      </c>
      <c r="AC328" s="475">
        <f>INDEX(Input!$1:$1048576,AC$93,$C328*2+MIN($B328,2)+5)
+INDEX(Scenarios!AC$121:AC$200,MATCH($B328,Scenarios!$B$121:$B$200,0))</f>
        <v>0</v>
      </c>
      <c r="AD328" s="476">
        <f>INDEX(Input!$1:$1048576,AD$93,$C328*2+MIN($B328,2)+5)</f>
        <v>0.27</v>
      </c>
      <c r="AE328" s="475">
        <f>INDEX(Input!$1:$1048576,AE$93,$C328*2+MIN($B328,2)+5)
+INDEX(Scenarios!AE$121:AE$200,MATCH($B328,Scenarios!$B$121:$B$200,0))</f>
        <v>0</v>
      </c>
      <c r="AF328" s="476">
        <f>INDEX(Input!$1:$1048576,AF$93,$C328*2+MIN($B328,2)+5)</f>
        <v>0.68200000000000005</v>
      </c>
      <c r="AG328" s="475">
        <f>INDEX(Input!$1:$1048576,AG$93,$C328*2+MIN($B328,2)+5)
+INDEX(Scenarios!AG$121:AG$200,MATCH($B328,Scenarios!$B$121:$B$200,0))</f>
        <v>500</v>
      </c>
      <c r="AH328" s="476">
        <f>INDEX(Input!$1:$1048576,AH$93,$C328*2+MIN($B328,2)+5)</f>
        <v>1</v>
      </c>
      <c r="AI328" s="475">
        <f>INDEX(Input!$1:$1048576,AI$93,$C328*2+MIN($B328,2)+5)
+INDEX(Scenarios!AI$121:AI$200,MATCH($B328,Scenarios!$B$121:$B$200,0))</f>
        <v>0</v>
      </c>
      <c r="AJ328" s="476">
        <f>INDEX(Input!$1:$1048576,AJ$93,$C328*2+MIN($B328,2)+5)</f>
        <v>0.27</v>
      </c>
      <c r="AK328" s="150">
        <f>ROUND(INDEX(Input!$1:$1048576,AK$93,$C327*2+MIN($B328,1)+5)+(Y328-VLOOKUP($C328*1000+1,$A:$HH,Y$92,FALSE)),0)</f>
        <v>2977</v>
      </c>
      <c r="AL328" s="150">
        <f>ROUND(INDEX(Input!$1:$1048576,AL$93,$C327*2+MIN($B328,1)+5)-(Y328-VLOOKUP($C328*1000+1,$A:$HH,Y$92,FALSE))/36,0)</f>
        <v>3395</v>
      </c>
      <c r="AM328" s="32" t="str">
        <f t="shared" si="907"/>
        <v>std/std/std/std</v>
      </c>
      <c r="AN328" s="32" t="str">
        <f t="shared" si="908"/>
        <v>$1000 + 0/0/0/1.9/3.9</v>
      </c>
      <c r="AO328" s="32" t="str">
        <f t="shared" si="909"/>
        <v>0/0/0/1.9/3.9</v>
      </c>
      <c r="AP328" s="32" t="str">
        <f t="shared" si="863"/>
        <v>0/0.9/1.9/3.9</v>
      </c>
      <c r="AQ328" s="536">
        <f t="shared" si="862"/>
        <v>0.26954812171601433</v>
      </c>
      <c r="AR328" s="32"/>
      <c r="AS328" s="302"/>
      <c r="AT328" s="3">
        <f t="shared" si="930"/>
        <v>28</v>
      </c>
      <c r="AU328" s="41" t="s">
        <v>121</v>
      </c>
      <c r="AV328" s="41" t="s">
        <v>116</v>
      </c>
      <c r="AW328" s="41" t="str">
        <f>INDEX(Input!$1:$1048576,AW$93,$C328*2+6)</f>
        <v>Kia</v>
      </c>
      <c r="AX328" s="41" t="str">
        <f>INDEX(Input!$1:$1048576,AX$93,$C328*2+6)</f>
        <v>Kia-LR - L3</v>
      </c>
      <c r="AY328" s="41" t="str">
        <f>IF(LEN(D328)=0,"",INDEX(Input!$1:$1048576,AY$93,$C328*2+6))</f>
        <v>Compact SUV (52)</v>
      </c>
      <c r="AZ328" s="41" t="str">
        <f>INDEX(Input!$1:$1048576,AZ$93,$C328*2+6)</f>
        <v>Kia Soul</v>
      </c>
      <c r="BA328" s="3">
        <f>INDEX(Input!$1:$1048576,BA$93,$C328*2+6)</f>
        <v>2020</v>
      </c>
      <c r="BB328" s="128">
        <f>INDEX(Input!$1:$1048576,BB$93,$C328*2+6)</f>
        <v>1</v>
      </c>
      <c r="BC328" s="128">
        <f>INDEX(Input!$1:$1048576,BC$93,$C328*2+6)</f>
        <v>0.7</v>
      </c>
      <c r="BD328" s="1">
        <f>INDEX(Input!$1:$1048576,BD$93,$C328*2+6)</f>
        <v>4.4999999999999998E-2</v>
      </c>
      <c r="BE328" s="1">
        <f>INDEX(Input!$1:$1048576,BE$93,$C328*2+6)</f>
        <v>4.4999999999999998E-2</v>
      </c>
      <c r="BF328" s="1">
        <f>INDEX(Input!$1:$1048576,BF$93,$C328*2+6)</f>
        <v>0.05</v>
      </c>
      <c r="BG328" s="1">
        <f>INDEX(Input!$1:$1048576,BG$93,$C328*2+6)</f>
        <v>5.45E-2</v>
      </c>
      <c r="BH328" s="1">
        <f>INDEX(Input!$1:$1048576,BH$93,$C328*2+6)</f>
        <v>5.45E-2</v>
      </c>
      <c r="BI328" s="1">
        <f>INDEX(Input!$1:$1048576,BI$93,$C328*2+6)</f>
        <v>0.05</v>
      </c>
      <c r="BJ328" s="1">
        <f>INDEX(Input!$1:$1048576,BJ$93,$C328*2+6)</f>
        <v>0.05</v>
      </c>
      <c r="BK328" s="1">
        <f>INDEX(Input!$1:$1048576,BK$93,$C328*2+6)</f>
        <v>0.05</v>
      </c>
      <c r="BL328" s="1">
        <f>INDEX(Input!$1:$1048576,BL$93,$C328*2+6)</f>
        <v>5.5E-2</v>
      </c>
      <c r="BM328" s="1">
        <f>INDEX(Input!$1:$1048576,BM$93,$C328*2+6)</f>
        <v>0.06</v>
      </c>
      <c r="BN328" s="1">
        <f>INDEX(Input!$1:$1048576,BN$93,$C328*2+6)</f>
        <v>4.4999999999999998E-2</v>
      </c>
      <c r="BO328" s="1">
        <f>INDEX(Input!$1:$1048576,BO$93,$C328*2+6)</f>
        <v>4.4999999999999998E-2</v>
      </c>
      <c r="BP328" s="1">
        <f>INDEX(Input!$1:$1048576,BP$93,$C328*2+6)</f>
        <v>0.05</v>
      </c>
      <c r="BQ328" s="1">
        <f>INDEX(Input!$1:$1048576,BQ$93,$C328*2+6)</f>
        <v>5.45E-2</v>
      </c>
      <c r="BR328" s="1">
        <f>INDEX(Input!$1:$1048576,BR$93,$C328*2+6)</f>
        <v>5.45E-2</v>
      </c>
      <c r="BS328" s="1">
        <f>INDEX(Input!$1:$1048576,BS$93,$C328*2+6)</f>
        <v>0.05</v>
      </c>
      <c r="BT328" s="1">
        <f>INDEX(Input!$1:$1048576,BT$93,$C328*2+6)</f>
        <v>0.05</v>
      </c>
      <c r="BU328" s="1">
        <f>INDEX(Input!$1:$1048576,BU$93,$C328*2+6)</f>
        <v>0.05</v>
      </c>
      <c r="BV328" s="1">
        <f>INDEX(Input!$1:$1048576,BV$93,$C328*2+6)</f>
        <v>5.5E-2</v>
      </c>
      <c r="BW328" s="1">
        <f>INDEX(Input!$1:$1048576,BW$93,$C328*2+6)</f>
        <v>0.06</v>
      </c>
      <c r="BX328" s="127">
        <f>INDEX(Input!$1:$1048576,BX$93,$C328*2+6)</f>
        <v>19985</v>
      </c>
      <c r="BY328" s="20">
        <f>INDEX(Input!$1:$1048576,BY$93,$C328*2+6)</f>
        <v>0.1</v>
      </c>
      <c r="BZ328" s="20">
        <f>INDEX(Input!$1:$1048576,BZ$93,$C328*2+6)</f>
        <v>0.1</v>
      </c>
      <c r="CA328" s="20">
        <f>INDEX(Input!$1:$1048576,CA$93,$C328*2+6)</f>
        <v>0.1</v>
      </c>
      <c r="CB328" s="20">
        <f>INDEX(Input!$1:$1048576,CB$93,$C328*2+6)</f>
        <v>0.1</v>
      </c>
      <c r="CC328" s="20">
        <f>INDEX(Input!$1:$1048576,CC$93,$C328*2+6)</f>
        <v>0.1</v>
      </c>
      <c r="CD328" s="384">
        <f>INDEX(Input!$1:$1048576,CD$93,$C328*2+6)</f>
        <v>0.1</v>
      </c>
      <c r="CE328" s="384">
        <f>INDEX(Input!$1:$1048576,CE$93,$C328*2+6)</f>
        <v>0.1</v>
      </c>
      <c r="CF328" s="384">
        <f>INDEX(Input!$1:$1048576,CF$93,$C328*2+6)</f>
        <v>0.1</v>
      </c>
      <c r="CG328" s="384">
        <f>INDEX(Input!$1:$1048576,CG$93,$C328*2+6)</f>
        <v>0.1</v>
      </c>
      <c r="CH328" s="384">
        <f>INDEX(Input!$1:$1048576,CH$93,$C328*2+6)</f>
        <v>0.1</v>
      </c>
      <c r="CI328" s="304">
        <f t="shared" si="864"/>
        <v>1287.0236024844721</v>
      </c>
      <c r="CJ328" s="16" t="str">
        <f>INDEX(Input!$1:$1048576,CJ$93,$C328*2+6)</f>
        <v>N</v>
      </c>
      <c r="CK328" s="1" t="str">
        <f t="shared" si="865"/>
        <v>Market</v>
      </c>
      <c r="CL328" s="1" t="str">
        <f t="shared" si="866"/>
        <v>Market</v>
      </c>
      <c r="CM328" s="1" t="str">
        <f t="shared" si="867"/>
        <v>Market</v>
      </c>
      <c r="CN328" s="1" t="str">
        <f t="shared" si="868"/>
        <v>Market</v>
      </c>
      <c r="CO328" s="1" t="str">
        <f t="shared" si="869"/>
        <v>Market</v>
      </c>
      <c r="CP328" s="304">
        <f t="shared" si="870"/>
        <v>1500</v>
      </c>
      <c r="CQ328" s="1">
        <f t="shared" si="871"/>
        <v>0</v>
      </c>
      <c r="CR328" s="1">
        <f t="shared" si="872"/>
        <v>0</v>
      </c>
      <c r="CS328" s="1">
        <f t="shared" si="873"/>
        <v>0</v>
      </c>
      <c r="CT328" s="1">
        <f t="shared" si="874"/>
        <v>1.9E-2</v>
      </c>
      <c r="CU328" s="1">
        <f t="shared" si="875"/>
        <v>3.9E-2</v>
      </c>
      <c r="CV328" s="304">
        <f t="shared" si="876"/>
        <v>1554.9999999999991</v>
      </c>
      <c r="CW328" s="20" t="s">
        <v>122</v>
      </c>
      <c r="CX328" s="20" t="s">
        <v>122</v>
      </c>
      <c r="CY328" s="20" t="s">
        <v>122</v>
      </c>
      <c r="CZ328" s="20" t="s">
        <v>122</v>
      </c>
      <c r="DA328" s="20" t="s">
        <v>122</v>
      </c>
      <c r="DB328" s="503">
        <f t="shared" si="877"/>
        <v>0</v>
      </c>
      <c r="DC328" s="127">
        <v>0</v>
      </c>
      <c r="DD328" s="127">
        <v>0</v>
      </c>
      <c r="DE328" s="127">
        <v>0</v>
      </c>
      <c r="DF328" s="127">
        <v>0</v>
      </c>
      <c r="DG328" s="127">
        <v>0</v>
      </c>
      <c r="DH328" s="127">
        <v>0</v>
      </c>
      <c r="DI328" s="127">
        <v>0</v>
      </c>
      <c r="DJ328" s="127">
        <v>0</v>
      </c>
      <c r="DK328" s="127">
        <v>0</v>
      </c>
      <c r="DL328" s="127">
        <v>0</v>
      </c>
      <c r="DM328" s="304">
        <f>INDEX(Input!$1:$1048576,DM$93,$C328*2+6)</f>
        <v>21036.84210526316</v>
      </c>
      <c r="DN328" s="20">
        <v>0</v>
      </c>
      <c r="DO328" s="20">
        <v>0</v>
      </c>
      <c r="DP328" s="20">
        <v>0</v>
      </c>
      <c r="DQ328" s="20">
        <v>0</v>
      </c>
      <c r="DR328" s="20">
        <v>0</v>
      </c>
      <c r="DS328" s="20">
        <f>INDEX(Input!$1:$1048576,DS$93,$C328*2+6)</f>
        <v>0.6</v>
      </c>
      <c r="DT328" s="20">
        <f>INDEX(Input!$1:$1048576,DT$93,$C328*2+6)</f>
        <v>0.55000000000000004</v>
      </c>
      <c r="DU328" s="20">
        <f>INDEX(Input!$1:$1048576,DU$93,$C328*2+6)</f>
        <v>0.52</v>
      </c>
      <c r="DV328" s="20">
        <f>INDEX(Input!$1:$1048576,DV$93,$C328*2+6)</f>
        <v>0.5</v>
      </c>
      <c r="DW328" s="20">
        <f>INDEX(Input!$1:$1048576,DW$93,$C328*2+6)</f>
        <v>0.45</v>
      </c>
      <c r="DX328" s="20"/>
      <c r="DY328" s="7">
        <v>9.7107859278596539E-2</v>
      </c>
      <c r="DZ328" s="7">
        <v>0</v>
      </c>
      <c r="EA328" s="7">
        <v>0.66655644574568662</v>
      </c>
      <c r="EB328" s="7">
        <v>0</v>
      </c>
      <c r="EC328" s="7">
        <v>0</v>
      </c>
      <c r="ED328" s="7">
        <v>0</v>
      </c>
      <c r="EE328" s="7">
        <v>0</v>
      </c>
      <c r="EF328" s="7">
        <v>0</v>
      </c>
      <c r="EG328" s="7">
        <v>0</v>
      </c>
      <c r="EH328" s="7">
        <v>1.2001301680391881E-2</v>
      </c>
      <c r="EI328" s="7">
        <v>3.3606185715208542E-2</v>
      </c>
      <c r="EJ328" s="7">
        <v>0.27062823916428463</v>
      </c>
      <c r="EK328" s="7">
        <v>0.54242279933420834</v>
      </c>
      <c r="EL328" s="7">
        <v>0.1413414741059065</v>
      </c>
      <c r="EM328" s="7">
        <v>8.1568079429732737E-2</v>
      </c>
      <c r="EN328" s="7">
        <v>6.2742043501026343E-2</v>
      </c>
      <c r="EO328" s="7">
        <v>0.78052701379629597</v>
      </c>
      <c r="EP328" s="7">
        <v>6.4529086067297944E-2</v>
      </c>
      <c r="EQ328" s="7">
        <v>6.0317604940314198E-2</v>
      </c>
      <c r="ER328" s="7">
        <v>3.1884251695065549E-2</v>
      </c>
      <c r="ES328" s="7">
        <v>0.15476761554598398</v>
      </c>
      <c r="ET328" s="7">
        <v>0.23633569497571674</v>
      </c>
      <c r="EU328" s="6">
        <v>1611</v>
      </c>
      <c r="EV328" s="6">
        <v>0</v>
      </c>
      <c r="EW328" s="6">
        <v>1611</v>
      </c>
      <c r="EX328" s="6">
        <v>0</v>
      </c>
      <c r="EY328" s="6">
        <v>3335.7040515836925</v>
      </c>
      <c r="EZ328" s="6">
        <v>2289</v>
      </c>
      <c r="FA328" s="6">
        <v>0</v>
      </c>
      <c r="FB328" s="6">
        <v>0</v>
      </c>
      <c r="FC328" s="6">
        <v>0</v>
      </c>
      <c r="FD328" s="6">
        <v>0</v>
      </c>
      <c r="FE328" s="6">
        <v>0</v>
      </c>
      <c r="FF328" s="6">
        <v>0</v>
      </c>
      <c r="FG328" s="6">
        <v>0</v>
      </c>
      <c r="FH328" s="6">
        <v>1172.0081924096357</v>
      </c>
      <c r="FI328" s="6">
        <v>1553.9796069512402</v>
      </c>
      <c r="FJ328" s="6">
        <v>2101.211011744741</v>
      </c>
      <c r="FK328" s="6">
        <v>1772.7139978623234</v>
      </c>
      <c r="FL328" s="6">
        <v>907.07682140966347</v>
      </c>
      <c r="FM328" s="6">
        <v>1724.7040515836923</v>
      </c>
      <c r="FN328" s="6">
        <v>0</v>
      </c>
      <c r="FO328" s="6">
        <v>0</v>
      </c>
      <c r="FP328" s="6">
        <v>0</v>
      </c>
      <c r="FQ328" s="6">
        <v>0</v>
      </c>
      <c r="FR328" s="6">
        <v>0</v>
      </c>
      <c r="FS328" s="6">
        <v>0</v>
      </c>
      <c r="FT328" s="7">
        <v>0.76366430502428317</v>
      </c>
      <c r="FU328" s="7">
        <v>8.1568079429732737E-2</v>
      </c>
      <c r="FV328" s="7">
        <v>0.15476761554598398</v>
      </c>
      <c r="FW328" s="6">
        <v>1611</v>
      </c>
      <c r="FX328" s="6">
        <v>3335.7040515836925</v>
      </c>
      <c r="FY328" s="6">
        <v>2289</v>
      </c>
      <c r="FZ328" s="6">
        <v>1858.9243755539039</v>
      </c>
      <c r="GA328" s="6">
        <v>1856.6132404125374</v>
      </c>
      <c r="GB328" s="6">
        <v>18128.386759587462</v>
      </c>
      <c r="GC328" s="7">
        <v>2.9156573141622111E-2</v>
      </c>
      <c r="GD328" s="7">
        <v>2.9648298065588975E-2</v>
      </c>
      <c r="GE328" s="7"/>
      <c r="GF328" s="7"/>
      <c r="GG328" s="7">
        <v>1.6864976606764115E-2</v>
      </c>
      <c r="GH328" s="42">
        <v>-145.83593639915358</v>
      </c>
      <c r="GI328" s="6">
        <v>1719.5756864772643</v>
      </c>
      <c r="GJ328" s="14">
        <v>0.50394797582841744</v>
      </c>
      <c r="GK328" s="14">
        <v>0.50887573065309732</v>
      </c>
      <c r="GL328" s="14">
        <v>0.49605202417158278</v>
      </c>
      <c r="GM328" s="14">
        <v>0.49112426934690251</v>
      </c>
      <c r="GO328" s="5">
        <v>343.14810671672558</v>
      </c>
      <c r="GP328" s="5">
        <v>312.41330006058649</v>
      </c>
      <c r="GQ328" s="5">
        <v>535.04305713031317</v>
      </c>
      <c r="GR328" s="5">
        <v>410.15490233172511</v>
      </c>
      <c r="GS328" s="5">
        <v>339.42744393800166</v>
      </c>
      <c r="GT328" s="5">
        <v>293.4407446948278</v>
      </c>
      <c r="GU328" s="5">
        <v>258.04012322764959</v>
      </c>
      <c r="GV328" s="39" t="s">
        <v>392</v>
      </c>
      <c r="GW328" s="5">
        <v>454.875</v>
      </c>
      <c r="GX328" s="5">
        <v>341.15625</v>
      </c>
      <c r="GY328" s="5">
        <v>272.92500000000001</v>
      </c>
      <c r="GZ328" s="5">
        <v>240.82751152063875</v>
      </c>
      <c r="HA328" s="5">
        <v>223.08053899211657</v>
      </c>
      <c r="HB328" s="39">
        <v>252.94612975238684</v>
      </c>
      <c r="HC328" s="5">
        <v>187.140625</v>
      </c>
      <c r="HD328" s="5">
        <v>171.45330774853798</v>
      </c>
      <c r="HE328" s="5">
        <v>177.50180921052629</v>
      </c>
      <c r="HF328" s="5">
        <v>167.9756304824561</v>
      </c>
      <c r="HG328" s="5">
        <v>166.75888157894735</v>
      </c>
      <c r="HH328" s="39">
        <v>172.46842293236185</v>
      </c>
      <c r="HI328" s="16"/>
      <c r="HJ328" s="19" t="str">
        <f t="shared" si="972"/>
        <v>On</v>
      </c>
      <c r="HK328" s="1" t="str">
        <f t="shared" si="972"/>
        <v>On</v>
      </c>
      <c r="HL328" s="16"/>
      <c r="HM328" s="639">
        <f t="shared" si="878"/>
        <v>2.2758057894877178E-2</v>
      </c>
      <c r="HN328" s="639">
        <f t="shared" si="879"/>
        <v>1.416759231746561E-3</v>
      </c>
      <c r="HO328" s="639">
        <f t="shared" si="880"/>
        <v>4.5732401537654987E-3</v>
      </c>
      <c r="HP328" s="644">
        <f>(FT328*$GD328-HM328)/$JF328*INDEX(Input!$1:$1048576,$JG$93,$C328*2+6)</f>
        <v>-6.5362552915546335</v>
      </c>
      <c r="HQ328" s="644">
        <f>(FU328*$GD328-HN328)/$JF328*INDEX(Input!$1:$1048576,$JG$93,$C328*2+6)</f>
        <v>56.093138363695083</v>
      </c>
      <c r="HR328" s="644">
        <f>(FV328*$GD328-HO328)/$JF328*INDEX(Input!$1:$1048576,$JG$93,$C328*2+6)</f>
        <v>0.86000771234701989</v>
      </c>
      <c r="HS328" s="644">
        <f t="shared" si="975"/>
        <v>-19.817181057166643</v>
      </c>
      <c r="HT328" s="644">
        <f t="shared" si="882"/>
        <v>141.12413189357986</v>
      </c>
      <c r="HU328" s="644">
        <f t="shared" si="883"/>
        <v>8.8527744527843453</v>
      </c>
      <c r="HV328" s="648">
        <f t="shared" si="884"/>
        <v>0</v>
      </c>
      <c r="HW328" s="648">
        <f t="shared" si="885"/>
        <v>0</v>
      </c>
      <c r="HX328" s="648">
        <f t="shared" si="886"/>
        <v>0</v>
      </c>
      <c r="HY328" s="644">
        <f>INDEX(Input!$1:$1048576,HY$93,$C328*2+6)*INDEX(Input!$1:$1048576,$JG$93,$C328*2+6)</f>
        <v>509.00000000000006</v>
      </c>
      <c r="HZ328" s="644">
        <f>INDEX(Input!$1:$1048576,HZ$93,$C328*2+6)*INDEX(Input!$1:$1048576,$JG$93,$C328*2+6)</f>
        <v>844</v>
      </c>
      <c r="IA328" s="644">
        <f>INDEX(Input!$1:$1048576,IA$93,$C328*2+6)*INDEX(Input!$1:$1048576,$JG$93,$C328*2+6)</f>
        <v>257</v>
      </c>
      <c r="IB328" s="644">
        <f t="shared" si="910"/>
        <v>482.64656365127871</v>
      </c>
      <c r="IC328" s="644">
        <f t="shared" si="911"/>
        <v>1041.217270257275</v>
      </c>
      <c r="ID328" s="644">
        <f>IF(AND(INDEX(Input!$1:$1048576,IA$93,$C328*2+7)="TOS",Y328&lt;=INDEX(Y:Y,MATCH(C328*1000+2,A:A))),0,1)*MAX(IA328+HR328+HU328+HX328,0%)</f>
        <v>266.71278216513133</v>
      </c>
      <c r="IE328" s="128">
        <f t="shared" si="976"/>
        <v>0.26954812171601433</v>
      </c>
      <c r="IF328" s="128">
        <f t="shared" si="977"/>
        <v>0.58149830669654368</v>
      </c>
      <c r="IG328" s="128">
        <f t="shared" si="888"/>
        <v>0.14895357158744202</v>
      </c>
      <c r="IH328" s="21"/>
      <c r="II328" s="19">
        <f t="shared" si="889"/>
        <v>1410.4999999999998</v>
      </c>
      <c r="IJ328" s="19">
        <f t="shared" si="890"/>
        <v>2134.9731585778086</v>
      </c>
      <c r="IK328" s="19">
        <f t="shared" si="891"/>
        <v>2103.5</v>
      </c>
      <c r="IL328" s="19">
        <f t="shared" si="913"/>
        <v>200.50000000000023</v>
      </c>
      <c r="IM328" s="19">
        <f t="shared" si="892"/>
        <v>1200.7308930058839</v>
      </c>
      <c r="IN328" s="19">
        <f t="shared" si="893"/>
        <v>185.5</v>
      </c>
      <c r="IO328" s="39">
        <f t="shared" si="894"/>
        <v>0</v>
      </c>
      <c r="IP328" s="39">
        <f t="shared" si="895"/>
        <v>0</v>
      </c>
      <c r="IQ328" s="39">
        <f t="shared" si="896"/>
        <v>0</v>
      </c>
      <c r="IR328" s="39">
        <v>0</v>
      </c>
      <c r="IS328" s="39">
        <v>0</v>
      </c>
      <c r="IT328" s="39">
        <v>0</v>
      </c>
      <c r="IU328" s="39">
        <v>0</v>
      </c>
      <c r="IV328" s="39">
        <v>0</v>
      </c>
      <c r="IW328" s="39">
        <v>0</v>
      </c>
      <c r="IX328" s="39">
        <f>INDEX(Input!$1:$1048576,IX$93,$C328*2+6)+INDEX(Input!$1:$1048576,IX$94,$C328*2+6)</f>
        <v>1611</v>
      </c>
      <c r="IY328" s="39">
        <f>INDEX(Input!$1:$1048576,IY$93,$C328*2+6)+INDEX(Input!$1:$1048576,IY$94,$C328*2+6)</f>
        <v>2471.0624533823611</v>
      </c>
      <c r="IZ328" s="39">
        <f>INDEX(Input!$1:$1048576,IZ$93,$C328*2+6)+INDEX(Input!$1:$1048576,IZ$94,$C328*2+6)</f>
        <v>3994.7164157747857</v>
      </c>
      <c r="JA328" s="19">
        <f t="shared" si="914"/>
        <v>1811.5000000000002</v>
      </c>
      <c r="JB328" s="19">
        <f t="shared" si="915"/>
        <v>3671.793346388245</v>
      </c>
      <c r="JC328" s="19">
        <f t="shared" si="916"/>
        <v>4180.2164157747857</v>
      </c>
      <c r="JD328" s="19">
        <f t="shared" si="917"/>
        <v>3246.0862010910701</v>
      </c>
      <c r="JE328" s="21"/>
      <c r="JF328" s="1">
        <f t="shared" si="897"/>
        <v>2.8748057280389237E-2</v>
      </c>
      <c r="JG328" s="15">
        <f>INDEX(Input!$1:$1048576,JG$93,$C328*2+6)/(1+VLOOKUP(C328*1000+INDEX(Input!$1:$1048576,JG$93+1,$C328*2+6),$A:$KK,$JK$92,FALSE))</f>
        <v>1610</v>
      </c>
      <c r="JH328" s="1">
        <f t="shared" si="918"/>
        <v>3.1314838996576069E-2</v>
      </c>
      <c r="JI328" s="1">
        <f t="shared" si="919"/>
        <v>8.084454986906682E-2</v>
      </c>
      <c r="JJ328" s="1">
        <f t="shared" si="978"/>
        <v>0</v>
      </c>
      <c r="JK328" s="1">
        <f t="shared" si="979"/>
        <v>0.11215938886564289</v>
      </c>
      <c r="JL328" s="15">
        <f t="shared" si="922"/>
        <v>180.57661607368505</v>
      </c>
      <c r="JM328" s="15">
        <f t="shared" si="948"/>
        <v>1790.576616073685</v>
      </c>
      <c r="JN328" s="21"/>
      <c r="JO328" s="19">
        <f>INDEX(Input!$1:$1048576,JO$93,$C328*2+6)</f>
        <v>5995.5</v>
      </c>
      <c r="JP328" s="19">
        <f>INDEX(Input!$1:$1048576,JP$93,$C328*2+6)</f>
        <v>2442.3713226762939</v>
      </c>
      <c r="JQ328" s="39">
        <f t="shared" si="934"/>
        <v>2749.4137989089299</v>
      </c>
      <c r="JR328" s="39">
        <f t="shared" si="951"/>
        <v>803.71487841477619</v>
      </c>
      <c r="JS328" s="39">
        <f t="shared" si="936"/>
        <v>5.8123660454331318</v>
      </c>
      <c r="JT328" s="39">
        <f t="shared" si="924"/>
        <v>1.8801482159242988</v>
      </c>
      <c r="JU328" s="385">
        <f>(JQ328*JM328-INDEX(Input!$1:$1048576,Input!A$18,$C328*2+6)*JL328*INDEX(Input!$1:$1048576,Input!A$19,$C328*2+6))/1000000</f>
        <v>4.9230360562366471</v>
      </c>
      <c r="JV328" s="39">
        <f t="shared" si="958"/>
        <v>-0.79750111425452008</v>
      </c>
      <c r="JW328" s="1">
        <f t="shared" si="949"/>
        <v>-0.13941017958389498</v>
      </c>
      <c r="JX328" s="19">
        <f t="shared" si="940"/>
        <v>10411.914104964158</v>
      </c>
      <c r="JZ328" s="341"/>
      <c r="KA328" s="342"/>
      <c r="KB328" s="469">
        <f t="shared" si="937"/>
        <v>2.5190675447988795</v>
      </c>
      <c r="KI328" s="473">
        <f t="shared" si="964"/>
        <v>-26.353436348721345</v>
      </c>
      <c r="KJ328" s="473">
        <f t="shared" si="965"/>
        <v>197.217270257275</v>
      </c>
      <c r="KK328" s="473">
        <f t="shared" si="926"/>
        <v>9.7127821651313297</v>
      </c>
      <c r="KN328" s="544">
        <f t="shared" si="941"/>
        <v>3002</v>
      </c>
      <c r="KO328" s="541">
        <f t="shared" si="901"/>
        <v>7.9225325071490937E-2</v>
      </c>
      <c r="KP328" s="546">
        <f t="shared" si="902"/>
        <v>581.60430816636585</v>
      </c>
      <c r="KQ328" s="546">
        <f t="shared" si="903"/>
        <v>610.17277570237184</v>
      </c>
      <c r="KR328" s="548">
        <f t="shared" si="904"/>
        <v>2.3632682981671662</v>
      </c>
      <c r="KS328" s="548">
        <f t="shared" si="905"/>
        <v>2.2526193863448647</v>
      </c>
      <c r="KT328" s="473">
        <f t="shared" si="939"/>
        <v>1026.1618045255443</v>
      </c>
      <c r="KU328" s="663">
        <f t="shared" si="927"/>
        <v>4.5862740650132832</v>
      </c>
      <c r="KV328" s="117"/>
    </row>
    <row r="329" spans="1:308" s="26" customFormat="1" ht="15">
      <c r="A329" s="561">
        <f t="shared" si="906"/>
        <v>3029</v>
      </c>
      <c r="B329" s="561">
        <f t="shared" si="928"/>
        <v>29</v>
      </c>
      <c r="C329" s="561">
        <f t="shared" si="929"/>
        <v>3</v>
      </c>
      <c r="D329" s="561" t="str">
        <f t="shared" si="974"/>
        <v xml:space="preserve">-720 Lease, </v>
      </c>
      <c r="E329" s="475">
        <f>INDEX(Input!$1:$1048576,E$93,$C329*2+MIN($B329,2)+5)
+INDEX(Scenarios!E$121:E$200,MATCH($B329,Scenarios!$B$121:$B$200,0))</f>
        <v>1287.0236024844721</v>
      </c>
      <c r="F329" s="475">
        <f>INDEX(Input!$1:$1048576,F$93,$C329*2+MIN($B329,2)+5)
+INDEX(Scenarios!F$121:F$200,MATCH($B329,Scenarios!$B$121:$B$200,0))</f>
        <v>0</v>
      </c>
      <c r="G329" s="475">
        <f>INDEX(Input!$1:$1048576,G$93,$C329*2+MIN($B329,2)+5)
+INDEX(Scenarios!G$121:G$200,MATCH($B329,Scenarios!$B$121:$B$200,0))</f>
        <v>0</v>
      </c>
      <c r="H329" s="475">
        <f>INDEX(Input!$1:$1048576,H$93,$C329*2+MIN($B329,2)+5)
+INDEX(Scenarios!H$121:H$200,MATCH($B329,Scenarios!$B$121:$B$200,0))</f>
        <v>0</v>
      </c>
      <c r="I329" s="476">
        <f>INDEX(Input!$1:$1048576,I$93,$C329*2+MIN($B329,2)+5)</f>
        <v>0.7</v>
      </c>
      <c r="J329" s="476" t="str">
        <f>INDEX(Input!$1:$1048576,J$93,$C329*2+MIN($B329,2)+5)</f>
        <v>Market</v>
      </c>
      <c r="K329" s="476" t="str">
        <f>INDEX(Input!$1:$1048576,K$93,$C329*2+MIN($B329,2)+5)</f>
        <v>Market</v>
      </c>
      <c r="L329" s="476" t="str">
        <f>INDEX(Input!$1:$1048576,L$93,$C329*2+MIN($B329,2)+5)</f>
        <v>Market</v>
      </c>
      <c r="M329" s="476" t="str">
        <f>INDEX(Input!$1:$1048576,M$93,$C329*2+MIN($B329,2)+5)</f>
        <v>Market</v>
      </c>
      <c r="N329" s="476" t="str">
        <f>INDEX(Input!$1:$1048576,N$93,$C329*2+MIN($B329,2)+5)</f>
        <v>Market</v>
      </c>
      <c r="O329" s="476" t="str">
        <f>INDEX(Input!$1:$1048576,O$93,$C329*2+MIN($B329,2)+5)</f>
        <v>Market</v>
      </c>
      <c r="P329" s="476" t="str">
        <f>INDEX(Input!$1:$1048576,P$93,$C329*2+MIN($B329,2)+5)</f>
        <v>N</v>
      </c>
      <c r="Q329" s="477">
        <f>INDEX(Input!$1:$1048576,Q$93,$C329*2+MIN($B329,2)+5)
+INDEX(Scenarios!Q$121:Q$200,MATCH($B329,Scenarios!$B$121:$B$200,0))</f>
        <v>0</v>
      </c>
      <c r="R329" s="478">
        <f>IFERROR(MAX(0,INDEX(Input!$1:$1048576,R$93,$C329*2+MIN($B329,2)+5)
+INDEX(Scenarios!R$121:R$200,MATCH($B329,Scenarios!$B$121:$B$200,0)),),"Market")</f>
        <v>0</v>
      </c>
      <c r="S329" s="478">
        <f>IFERROR(MAX(0,INDEX(Input!$1:$1048576,S$93,$C329*2+MIN($B329,2)+5)
+INDEX(Scenarios!S$121:S$200,MATCH($B329,Scenarios!$B$121:$B$200,0)),),"Market")</f>
        <v>0</v>
      </c>
      <c r="T329" s="478">
        <f>IFERROR(MAX(0,INDEX(Input!$1:$1048576,T$93,$C329*2+MIN($B329,2)+5)
+INDEX(Scenarios!T$121:T$200,MATCH($B329,Scenarios!$B$121:$B$200,0)),),"Market")</f>
        <v>0</v>
      </c>
      <c r="U329" s="478">
        <f>IFERROR(MAX(0,INDEX(Input!$1:$1048576,U$93,$C329*2+MIN($B329,2)+5)
+INDEX(Scenarios!U$121:U$200,MATCH($B329,Scenarios!$B$121:$B$200,0)),),"Market")</f>
        <v>0</v>
      </c>
      <c r="V329" s="478">
        <f>IFERROR(MAX(0,INDEX(Input!$1:$1048576,V$93,$C329*2+MIN($B329,2)+5)
+INDEX(Scenarios!V$121:V$200,MATCH($B329,Scenarios!$B$121:$B$200,0)),),"Market")</f>
        <v>1.9E-2</v>
      </c>
      <c r="W329" s="885">
        <f>IFERROR(MAX(0,INDEX(Input!$1:$1048576,W$93,$C329*2+MIN($B329,2)+5)-0%,),"Market")</f>
        <v>3.9E-2</v>
      </c>
      <c r="X329" s="476" t="str">
        <f>INDEX(Input!$1:$1048576,X$93,$C329*2+MIN($B329,2)+5)</f>
        <v>Y</v>
      </c>
      <c r="Y329" s="475">
        <f>INDEX(Input!$1:$1048576,Y$93,$C329*2+MIN($B329,2)+5)
++INDEX(Scenarios!Y$121:Y$200,MATCH($B329,Scenarios!$B$121:$B$200,0))</f>
        <v>834.99999999999909</v>
      </c>
      <c r="Z329" s="477">
        <f>INDEX(Input!$1:$1048576,Z$93,$C329*2+MIN($B329,2)+5)
+INDEX(Scenarios!Z$121:Z$200,MATCH($B329,Scenarios!$B$121:$B$200,0))</f>
        <v>0</v>
      </c>
      <c r="AA329" s="475">
        <f>INDEX(Input!$1:$1048576,AA$93,$C329*2+MIN($B329,2)+5)
+INDEX(Scenarios!AA$121:AA$200,MATCH($B329,Scenarios!$B$121:$B$200,0))</f>
        <v>0</v>
      </c>
      <c r="AB329" s="476">
        <f>INDEX(Input!$1:$1048576,AB$93,$C329*2+MIN($B329,2)+5)</f>
        <v>0.27</v>
      </c>
      <c r="AC329" s="475">
        <f>INDEX(Input!$1:$1048576,AC$93,$C329*2+MIN($B329,2)+5)
+INDEX(Scenarios!AC$121:AC$200,MATCH($B329,Scenarios!$B$121:$B$200,0))</f>
        <v>0</v>
      </c>
      <c r="AD329" s="476">
        <f>INDEX(Input!$1:$1048576,AD$93,$C329*2+MIN($B329,2)+5)</f>
        <v>0.27</v>
      </c>
      <c r="AE329" s="475">
        <f>INDEX(Input!$1:$1048576,AE$93,$C329*2+MIN($B329,2)+5)
+INDEX(Scenarios!AE$121:AE$200,MATCH($B329,Scenarios!$B$121:$B$200,0))</f>
        <v>0</v>
      </c>
      <c r="AF329" s="476">
        <f>INDEX(Input!$1:$1048576,AF$93,$C329*2+MIN($B329,2)+5)</f>
        <v>0.68200000000000005</v>
      </c>
      <c r="AG329" s="475">
        <f>INDEX(Input!$1:$1048576,AG$93,$C329*2+MIN($B329,2)+5)
+INDEX(Scenarios!AG$121:AG$200,MATCH($B329,Scenarios!$B$121:$B$200,0))</f>
        <v>500</v>
      </c>
      <c r="AH329" s="476">
        <f>INDEX(Input!$1:$1048576,AH$93,$C329*2+MIN($B329,2)+5)</f>
        <v>1</v>
      </c>
      <c r="AI329" s="475">
        <f>INDEX(Input!$1:$1048576,AI$93,$C329*2+MIN($B329,2)+5)
+INDEX(Scenarios!AI$121:AI$200,MATCH($B329,Scenarios!$B$121:$B$200,0))</f>
        <v>0</v>
      </c>
      <c r="AJ329" s="476">
        <f>INDEX(Input!$1:$1048576,AJ$93,$C329*2+MIN($B329,2)+5)</f>
        <v>0.27</v>
      </c>
      <c r="AK329" s="150">
        <f>ROUND(INDEX(Input!$1:$1048576,AK$93,$C328*2+MIN($B329,1)+5)+(Y329-VLOOKUP($C329*1000+1,$A:$HH,Y$92,FALSE)),0)</f>
        <v>2257</v>
      </c>
      <c r="AL329" s="150">
        <f>ROUND(INDEX(Input!$1:$1048576,AL$93,$C328*2+MIN($B329,1)+5)-(Y329-VLOOKUP($C329*1000+1,$A:$HH,Y$92,FALSE))/36,0)</f>
        <v>3415</v>
      </c>
      <c r="AM329" s="32" t="str">
        <f t="shared" si="907"/>
        <v>std/std/std/std</v>
      </c>
      <c r="AN329" s="32" t="str">
        <f t="shared" si="908"/>
        <v>$0 + 0/0/0/1.9/3.9</v>
      </c>
      <c r="AO329" s="32" t="str">
        <f t="shared" si="909"/>
        <v>0/0/0/1.9/3.9</v>
      </c>
      <c r="AP329" s="32" t="str">
        <f t="shared" si="863"/>
        <v>0/0.9/1.9/3.9</v>
      </c>
      <c r="AQ329" s="536">
        <f t="shared" si="862"/>
        <v>0.35733160665731828</v>
      </c>
      <c r="AR329" s="32"/>
      <c r="AS329" s="302"/>
      <c r="AT329" s="3">
        <f t="shared" si="930"/>
        <v>29</v>
      </c>
      <c r="AU329" s="41" t="s">
        <v>121</v>
      </c>
      <c r="AV329" s="41" t="s">
        <v>116</v>
      </c>
      <c r="AW329" s="41" t="str">
        <f>INDEX(Input!$1:$1048576,AW$93,$C329*2+6)</f>
        <v>Kia</v>
      </c>
      <c r="AX329" s="41" t="str">
        <f>INDEX(Input!$1:$1048576,AX$93,$C329*2+6)</f>
        <v>Kia-LR - L3</v>
      </c>
      <c r="AY329" s="41" t="str">
        <f>IF(LEN(D329)=0,"",INDEX(Input!$1:$1048576,AY$93,$C329*2+6))</f>
        <v>Compact SUV (52)</v>
      </c>
      <c r="AZ329" s="41" t="str">
        <f>INDEX(Input!$1:$1048576,AZ$93,$C329*2+6)</f>
        <v>Kia Soul</v>
      </c>
      <c r="BA329" s="3">
        <f>INDEX(Input!$1:$1048576,BA$93,$C329*2+6)</f>
        <v>2020</v>
      </c>
      <c r="BB329" s="128">
        <f>INDEX(Input!$1:$1048576,BB$93,$C329*2+6)</f>
        <v>1</v>
      </c>
      <c r="BC329" s="128">
        <f>INDEX(Input!$1:$1048576,BC$93,$C329*2+6)</f>
        <v>0.7</v>
      </c>
      <c r="BD329" s="1">
        <f>INDEX(Input!$1:$1048576,BD$93,$C329*2+6)</f>
        <v>4.4999999999999998E-2</v>
      </c>
      <c r="BE329" s="1">
        <f>INDEX(Input!$1:$1048576,BE$93,$C329*2+6)</f>
        <v>4.4999999999999998E-2</v>
      </c>
      <c r="BF329" s="1">
        <f>INDEX(Input!$1:$1048576,BF$93,$C329*2+6)</f>
        <v>0.05</v>
      </c>
      <c r="BG329" s="1">
        <f>INDEX(Input!$1:$1048576,BG$93,$C329*2+6)</f>
        <v>5.45E-2</v>
      </c>
      <c r="BH329" s="1">
        <f>INDEX(Input!$1:$1048576,BH$93,$C329*2+6)</f>
        <v>5.45E-2</v>
      </c>
      <c r="BI329" s="1">
        <f>INDEX(Input!$1:$1048576,BI$93,$C329*2+6)</f>
        <v>0.05</v>
      </c>
      <c r="BJ329" s="1">
        <f>INDEX(Input!$1:$1048576,BJ$93,$C329*2+6)</f>
        <v>0.05</v>
      </c>
      <c r="BK329" s="1">
        <f>INDEX(Input!$1:$1048576,BK$93,$C329*2+6)</f>
        <v>0.05</v>
      </c>
      <c r="BL329" s="1">
        <f>INDEX(Input!$1:$1048576,BL$93,$C329*2+6)</f>
        <v>5.5E-2</v>
      </c>
      <c r="BM329" s="1">
        <f>INDEX(Input!$1:$1048576,BM$93,$C329*2+6)</f>
        <v>0.06</v>
      </c>
      <c r="BN329" s="1">
        <f>INDEX(Input!$1:$1048576,BN$93,$C329*2+6)</f>
        <v>4.4999999999999998E-2</v>
      </c>
      <c r="BO329" s="1">
        <f>INDEX(Input!$1:$1048576,BO$93,$C329*2+6)</f>
        <v>4.4999999999999998E-2</v>
      </c>
      <c r="BP329" s="1">
        <f>INDEX(Input!$1:$1048576,BP$93,$C329*2+6)</f>
        <v>0.05</v>
      </c>
      <c r="BQ329" s="1">
        <f>INDEX(Input!$1:$1048576,BQ$93,$C329*2+6)</f>
        <v>5.45E-2</v>
      </c>
      <c r="BR329" s="1">
        <f>INDEX(Input!$1:$1048576,BR$93,$C329*2+6)</f>
        <v>5.45E-2</v>
      </c>
      <c r="BS329" s="1">
        <f>INDEX(Input!$1:$1048576,BS$93,$C329*2+6)</f>
        <v>0.05</v>
      </c>
      <c r="BT329" s="1">
        <f>INDEX(Input!$1:$1048576,BT$93,$C329*2+6)</f>
        <v>0.05</v>
      </c>
      <c r="BU329" s="1">
        <f>INDEX(Input!$1:$1048576,BU$93,$C329*2+6)</f>
        <v>0.05</v>
      </c>
      <c r="BV329" s="1">
        <f>INDEX(Input!$1:$1048576,BV$93,$C329*2+6)</f>
        <v>5.5E-2</v>
      </c>
      <c r="BW329" s="1">
        <f>INDEX(Input!$1:$1048576,BW$93,$C329*2+6)</f>
        <v>0.06</v>
      </c>
      <c r="BX329" s="127">
        <f>INDEX(Input!$1:$1048576,BX$93,$C329*2+6)</f>
        <v>19985</v>
      </c>
      <c r="BY329" s="20">
        <f>INDEX(Input!$1:$1048576,BY$93,$C329*2+6)</f>
        <v>0.1</v>
      </c>
      <c r="BZ329" s="20">
        <f>INDEX(Input!$1:$1048576,BZ$93,$C329*2+6)</f>
        <v>0.1</v>
      </c>
      <c r="CA329" s="20">
        <f>INDEX(Input!$1:$1048576,CA$93,$C329*2+6)</f>
        <v>0.1</v>
      </c>
      <c r="CB329" s="20">
        <f>INDEX(Input!$1:$1048576,CB$93,$C329*2+6)</f>
        <v>0.1</v>
      </c>
      <c r="CC329" s="20">
        <f>INDEX(Input!$1:$1048576,CC$93,$C329*2+6)</f>
        <v>0.1</v>
      </c>
      <c r="CD329" s="384">
        <f>INDEX(Input!$1:$1048576,CD$93,$C329*2+6)</f>
        <v>0.1</v>
      </c>
      <c r="CE329" s="384">
        <f>INDEX(Input!$1:$1048576,CE$93,$C329*2+6)</f>
        <v>0.1</v>
      </c>
      <c r="CF329" s="384">
        <f>INDEX(Input!$1:$1048576,CF$93,$C329*2+6)</f>
        <v>0.1</v>
      </c>
      <c r="CG329" s="384">
        <f>INDEX(Input!$1:$1048576,CG$93,$C329*2+6)</f>
        <v>0.1</v>
      </c>
      <c r="CH329" s="384">
        <f>INDEX(Input!$1:$1048576,CH$93,$C329*2+6)</f>
        <v>0.1</v>
      </c>
      <c r="CI329" s="304">
        <f t="shared" si="864"/>
        <v>1287.0236024844721</v>
      </c>
      <c r="CJ329" s="16" t="str">
        <f>INDEX(Input!$1:$1048576,CJ$93,$C329*2+6)</f>
        <v>N</v>
      </c>
      <c r="CK329" s="1" t="str">
        <f t="shared" si="865"/>
        <v>Market</v>
      </c>
      <c r="CL329" s="1" t="str">
        <f t="shared" si="866"/>
        <v>Market</v>
      </c>
      <c r="CM329" s="1" t="str">
        <f t="shared" si="867"/>
        <v>Market</v>
      </c>
      <c r="CN329" s="1" t="str">
        <f t="shared" si="868"/>
        <v>Market</v>
      </c>
      <c r="CO329" s="1" t="str">
        <f t="shared" si="869"/>
        <v>Market</v>
      </c>
      <c r="CP329" s="304">
        <f t="shared" si="870"/>
        <v>500</v>
      </c>
      <c r="CQ329" s="1">
        <f t="shared" si="871"/>
        <v>0</v>
      </c>
      <c r="CR329" s="1">
        <f t="shared" si="872"/>
        <v>0</v>
      </c>
      <c r="CS329" s="1">
        <f t="shared" si="873"/>
        <v>0</v>
      </c>
      <c r="CT329" s="1">
        <f t="shared" si="874"/>
        <v>1.9E-2</v>
      </c>
      <c r="CU329" s="1">
        <f t="shared" si="875"/>
        <v>3.9E-2</v>
      </c>
      <c r="CV329" s="304">
        <f t="shared" si="876"/>
        <v>834.99999999999909</v>
      </c>
      <c r="CW329" s="20" t="s">
        <v>122</v>
      </c>
      <c r="CX329" s="20" t="s">
        <v>122</v>
      </c>
      <c r="CY329" s="20" t="s">
        <v>122</v>
      </c>
      <c r="CZ329" s="20" t="s">
        <v>122</v>
      </c>
      <c r="DA329" s="20" t="s">
        <v>122</v>
      </c>
      <c r="DB329" s="503">
        <f t="shared" si="877"/>
        <v>0</v>
      </c>
      <c r="DC329" s="127">
        <v>0</v>
      </c>
      <c r="DD329" s="127">
        <v>0</v>
      </c>
      <c r="DE329" s="127">
        <v>0</v>
      </c>
      <c r="DF329" s="127">
        <v>0</v>
      </c>
      <c r="DG329" s="127">
        <v>0</v>
      </c>
      <c r="DH329" s="127">
        <v>0</v>
      </c>
      <c r="DI329" s="127">
        <v>0</v>
      </c>
      <c r="DJ329" s="127">
        <v>0</v>
      </c>
      <c r="DK329" s="127">
        <v>0</v>
      </c>
      <c r="DL329" s="127">
        <v>0</v>
      </c>
      <c r="DM329" s="304">
        <f>INDEX(Input!$1:$1048576,DM$93,$C329*2+6)</f>
        <v>21036.84210526316</v>
      </c>
      <c r="DN329" s="20">
        <v>0</v>
      </c>
      <c r="DO329" s="20">
        <v>0</v>
      </c>
      <c r="DP329" s="20">
        <v>0</v>
      </c>
      <c r="DQ329" s="20">
        <v>0</v>
      </c>
      <c r="DR329" s="20">
        <v>0</v>
      </c>
      <c r="DS329" s="20">
        <f>INDEX(Input!$1:$1048576,DS$93,$C329*2+6)</f>
        <v>0.6</v>
      </c>
      <c r="DT329" s="20">
        <f>INDEX(Input!$1:$1048576,DT$93,$C329*2+6)</f>
        <v>0.55000000000000004</v>
      </c>
      <c r="DU329" s="20">
        <f>INDEX(Input!$1:$1048576,DU$93,$C329*2+6)</f>
        <v>0.52</v>
      </c>
      <c r="DV329" s="20">
        <f>INDEX(Input!$1:$1048576,DV$93,$C329*2+6)</f>
        <v>0.5</v>
      </c>
      <c r="DW329" s="20">
        <f>INDEX(Input!$1:$1048576,DW$93,$C329*2+6)</f>
        <v>0.45</v>
      </c>
      <c r="DX329" s="20"/>
      <c r="DY329" s="7">
        <v>0.10640212304809532</v>
      </c>
      <c r="DZ329" s="7">
        <v>0</v>
      </c>
      <c r="EA329" s="7">
        <v>0.7311957945998202</v>
      </c>
      <c r="EB329" s="7">
        <v>0</v>
      </c>
      <c r="EC329" s="7">
        <v>0</v>
      </c>
      <c r="ED329" s="7">
        <v>0</v>
      </c>
      <c r="EE329" s="7">
        <v>0</v>
      </c>
      <c r="EF329" s="7">
        <v>0</v>
      </c>
      <c r="EG329" s="7">
        <v>0</v>
      </c>
      <c r="EH329" s="7">
        <v>1.2002447659661486E-2</v>
      </c>
      <c r="EI329" s="7">
        <v>3.3615360466363403E-2</v>
      </c>
      <c r="EJ329" s="7">
        <v>0.27097504798206629</v>
      </c>
      <c r="EK329" s="7">
        <v>0.54219564307373547</v>
      </c>
      <c r="EL329" s="7">
        <v>0.14121150081817355</v>
      </c>
      <c r="EM329" s="7">
        <v>5.2391241264856087E-2</v>
      </c>
      <c r="EN329" s="7">
        <v>5.9713931875806113E-2</v>
      </c>
      <c r="EO329" s="7">
        <v>0.75917402923243971</v>
      </c>
      <c r="EP329" s="7">
        <v>7.4728257026266343E-2</v>
      </c>
      <c r="EQ329" s="7">
        <v>7.0285241879801855E-2</v>
      </c>
      <c r="ER329" s="7">
        <v>3.6098539985685879E-2</v>
      </c>
      <c r="ES329" s="7">
        <v>0.11001084108722831</v>
      </c>
      <c r="ET329" s="7">
        <v>0.16240208235208448</v>
      </c>
      <c r="EU329" s="6">
        <v>1611</v>
      </c>
      <c r="EV329" s="6">
        <v>0</v>
      </c>
      <c r="EW329" s="6">
        <v>1611</v>
      </c>
      <c r="EX329" s="6">
        <v>0</v>
      </c>
      <c r="EY329" s="6">
        <v>2335.9278813889186</v>
      </c>
      <c r="EZ329" s="6">
        <v>1569</v>
      </c>
      <c r="FA329" s="6">
        <v>0</v>
      </c>
      <c r="FB329" s="6">
        <v>0</v>
      </c>
      <c r="FC329" s="6">
        <v>0</v>
      </c>
      <c r="FD329" s="6">
        <v>0</v>
      </c>
      <c r="FE329" s="6">
        <v>0</v>
      </c>
      <c r="FF329" s="6">
        <v>0</v>
      </c>
      <c r="FG329" s="6">
        <v>0</v>
      </c>
      <c r="FH329" s="6">
        <v>1172.0156629188241</v>
      </c>
      <c r="FI329" s="6">
        <v>1553.9796069512404</v>
      </c>
      <c r="FJ329" s="6">
        <v>2101.2110117447414</v>
      </c>
      <c r="FK329" s="6">
        <v>1772.7139978623222</v>
      </c>
      <c r="FL329" s="6">
        <v>907.07682140966335</v>
      </c>
      <c r="FM329" s="6">
        <v>1724.9278813889189</v>
      </c>
      <c r="FN329" s="6">
        <v>0</v>
      </c>
      <c r="FO329" s="6">
        <v>0</v>
      </c>
      <c r="FP329" s="6">
        <v>0</v>
      </c>
      <c r="FQ329" s="6">
        <v>0</v>
      </c>
      <c r="FR329" s="6">
        <v>0</v>
      </c>
      <c r="FS329" s="6">
        <v>0</v>
      </c>
      <c r="FT329" s="7">
        <v>0.83759791764791558</v>
      </c>
      <c r="FU329" s="7">
        <v>5.2391241264856087E-2</v>
      </c>
      <c r="FV329" s="7">
        <v>0.11001084108722831</v>
      </c>
      <c r="FW329" s="6">
        <v>1611</v>
      </c>
      <c r="FX329" s="6">
        <v>2335.9278813889186</v>
      </c>
      <c r="FY329" s="6">
        <v>1569</v>
      </c>
      <c r="FZ329" s="6">
        <v>1858.9243755539039</v>
      </c>
      <c r="GA329" s="6">
        <v>1644.3594162078041</v>
      </c>
      <c r="GB329" s="6">
        <v>18340.640583792196</v>
      </c>
      <c r="GC329" s="7">
        <v>2.9156573141622111E-2</v>
      </c>
      <c r="GD329" s="7">
        <v>2.9071318370132201E-2</v>
      </c>
      <c r="GE329" s="7"/>
      <c r="GF329" s="7"/>
      <c r="GG329" s="7">
        <v>-2.9240326383969187E-3</v>
      </c>
      <c r="GH329" s="42">
        <v>0.27235011931329423</v>
      </c>
      <c r="GI329" s="6">
        <v>75024.169384311885</v>
      </c>
      <c r="GJ329" s="14">
        <v>0.50394797582841699</v>
      </c>
      <c r="GK329" s="14">
        <v>0.50887573065309732</v>
      </c>
      <c r="GL329" s="14">
        <v>0.49605202417158267</v>
      </c>
      <c r="GM329" s="14">
        <v>0.49112426934690234</v>
      </c>
      <c r="GO329" s="5">
        <v>343.14810671672558</v>
      </c>
      <c r="GP329" s="5">
        <v>312.41330006058649</v>
      </c>
      <c r="GQ329" s="5">
        <v>535.04305713031317</v>
      </c>
      <c r="GR329" s="5">
        <v>410.15490233172511</v>
      </c>
      <c r="GS329" s="5">
        <v>339.42744393800166</v>
      </c>
      <c r="GT329" s="5">
        <v>293.4407446948278</v>
      </c>
      <c r="GU329" s="5">
        <v>258.04012322764959</v>
      </c>
      <c r="GV329" s="39" t="s">
        <v>392</v>
      </c>
      <c r="GW329" s="5">
        <v>482.65277777777777</v>
      </c>
      <c r="GX329" s="5">
        <v>361.98958333333331</v>
      </c>
      <c r="GY329" s="5">
        <v>289.59166666666664</v>
      </c>
      <c r="GZ329" s="5">
        <v>255.53408606924114</v>
      </c>
      <c r="HA329" s="5">
        <v>236.70336205047303</v>
      </c>
      <c r="HB329" s="39">
        <v>268.40824592951952</v>
      </c>
      <c r="HC329" s="5">
        <v>218.640625</v>
      </c>
      <c r="HD329" s="5">
        <v>192.95330774853798</v>
      </c>
      <c r="HE329" s="5">
        <v>197.46334767206474</v>
      </c>
      <c r="HF329" s="5">
        <v>184.62563048245613</v>
      </c>
      <c r="HG329" s="5">
        <v>180.55888157894736</v>
      </c>
      <c r="HH329" s="39">
        <v>193.79149238394191</v>
      </c>
      <c r="HI329" s="16"/>
      <c r="HJ329" s="19" t="str">
        <f t="shared" si="972"/>
        <v>On</v>
      </c>
      <c r="HK329" s="1" t="str">
        <f t="shared" si="972"/>
        <v>On</v>
      </c>
      <c r="HL329" s="16"/>
      <c r="HM329" s="639">
        <f t="shared" si="878"/>
        <v>2.2758057894877178E-2</v>
      </c>
      <c r="HN329" s="639">
        <f t="shared" si="879"/>
        <v>1.416759231746561E-3</v>
      </c>
      <c r="HO329" s="639">
        <f t="shared" si="880"/>
        <v>4.5732401537654987E-3</v>
      </c>
      <c r="HP329" s="644">
        <f>(FT329*$GD329-HM329)/$JF329*INDEX(Input!$1:$1048576,$JG$93,$C329*2+6)</f>
        <v>89.159023502467036</v>
      </c>
      <c r="HQ329" s="644">
        <f>(FU329*$GD329-HN329)/$JF329*INDEX(Input!$1:$1048576,$JG$93,$C329*2+6)</f>
        <v>5.9545028435101166</v>
      </c>
      <c r="HR329" s="644">
        <f>(FV329*$GD329-HO329)/$JF329*INDEX(Input!$1:$1048576,$JG$93,$C329*2+6)</f>
        <v>-77.009681991903079</v>
      </c>
      <c r="HS329" s="644">
        <f t="shared" si="975"/>
        <v>-18.654911139103884</v>
      </c>
      <c r="HT329" s="644">
        <f t="shared" si="882"/>
        <v>20.904008343333437</v>
      </c>
      <c r="HU329" s="644">
        <f t="shared" si="883"/>
        <v>-8.5985219468619007</v>
      </c>
      <c r="HV329" s="648">
        <f t="shared" si="884"/>
        <v>0</v>
      </c>
      <c r="HW329" s="648">
        <f t="shared" si="885"/>
        <v>0</v>
      </c>
      <c r="HX329" s="648">
        <f t="shared" si="886"/>
        <v>0</v>
      </c>
      <c r="HY329" s="644">
        <f>INDEX(Input!$1:$1048576,HY$93,$C329*2+6)*INDEX(Input!$1:$1048576,$JG$93,$C329*2+6)</f>
        <v>509.00000000000006</v>
      </c>
      <c r="HZ329" s="644">
        <f>INDEX(Input!$1:$1048576,HZ$93,$C329*2+6)*INDEX(Input!$1:$1048576,$JG$93,$C329*2+6)</f>
        <v>844</v>
      </c>
      <c r="IA329" s="644">
        <f>INDEX(Input!$1:$1048576,IA$93,$C329*2+6)*INDEX(Input!$1:$1048576,$JG$93,$C329*2+6)</f>
        <v>257</v>
      </c>
      <c r="IB329" s="644">
        <f t="shared" si="910"/>
        <v>579.50411236336322</v>
      </c>
      <c r="IC329" s="644">
        <f t="shared" si="911"/>
        <v>870.85851118684354</v>
      </c>
      <c r="ID329" s="644">
        <f>IF(AND(INDEX(Input!$1:$1048576,IA$93,$C329*2+7)="TOS",Y329&lt;=INDEX(Y:Y,MATCH(C329*1000+2,A:A))),0,1)*MAX(IA329+HR329+HU329+HX329,0%)</f>
        <v>171.39179606123503</v>
      </c>
      <c r="IE329" s="128">
        <f t="shared" si="976"/>
        <v>0.35733160665731828</v>
      </c>
      <c r="IF329" s="128">
        <f t="shared" si="977"/>
        <v>0.5369854403698765</v>
      </c>
      <c r="IG329" s="128">
        <f t="shared" si="888"/>
        <v>0.10568295297280522</v>
      </c>
      <c r="IH329" s="21"/>
      <c r="II329" s="19">
        <f t="shared" si="889"/>
        <v>1410.4999999999998</v>
      </c>
      <c r="IJ329" s="19">
        <f t="shared" si="890"/>
        <v>2134.9731585778086</v>
      </c>
      <c r="IK329" s="19">
        <f t="shared" si="891"/>
        <v>2103.5</v>
      </c>
      <c r="IL329" s="19">
        <f t="shared" si="913"/>
        <v>200.50000000000023</v>
      </c>
      <c r="IM329" s="19">
        <f t="shared" si="892"/>
        <v>200.95472281111006</v>
      </c>
      <c r="IN329" s="19">
        <f t="shared" si="893"/>
        <v>-534.5</v>
      </c>
      <c r="IO329" s="39">
        <f t="shared" si="894"/>
        <v>0</v>
      </c>
      <c r="IP329" s="39">
        <f t="shared" si="895"/>
        <v>0</v>
      </c>
      <c r="IQ329" s="39">
        <f t="shared" si="896"/>
        <v>0</v>
      </c>
      <c r="IR329" s="39">
        <v>0</v>
      </c>
      <c r="IS329" s="39">
        <v>0</v>
      </c>
      <c r="IT329" s="39">
        <v>0</v>
      </c>
      <c r="IU329" s="39">
        <v>0</v>
      </c>
      <c r="IV329" s="39">
        <v>0</v>
      </c>
      <c r="IW329" s="39">
        <v>0</v>
      </c>
      <c r="IX329" s="39">
        <f>INDEX(Input!$1:$1048576,IX$93,$C329*2+6)+INDEX(Input!$1:$1048576,IX$94,$C329*2+6)</f>
        <v>1611</v>
      </c>
      <c r="IY329" s="39">
        <f>INDEX(Input!$1:$1048576,IY$93,$C329*2+6)+INDEX(Input!$1:$1048576,IY$94,$C329*2+6)</f>
        <v>2471.0624533823611</v>
      </c>
      <c r="IZ329" s="39">
        <f>INDEX(Input!$1:$1048576,IZ$93,$C329*2+6)+INDEX(Input!$1:$1048576,IZ$94,$C329*2+6)</f>
        <v>3994.7164157747857</v>
      </c>
      <c r="JA329" s="19">
        <f t="shared" si="914"/>
        <v>1811.5000000000002</v>
      </c>
      <c r="JB329" s="19">
        <f t="shared" si="915"/>
        <v>2672.0171761934712</v>
      </c>
      <c r="JC329" s="19">
        <f t="shared" si="916"/>
        <v>3460.2164157747857</v>
      </c>
      <c r="JD329" s="19">
        <f t="shared" si="917"/>
        <v>2447.8264142379126</v>
      </c>
      <c r="JE329" s="21"/>
      <c r="JF329" s="1">
        <f t="shared" si="897"/>
        <v>2.8748057280389237E-2</v>
      </c>
      <c r="JG329" s="15">
        <f>INDEX(Input!$1:$1048576,JG$93,$C329*2+6)/(1+VLOOKUP(C329*1000+INDEX(Input!$1:$1048576,JG$93+1,$C329*2+6),$A:$KK,$JK$92,FALSE))</f>
        <v>1610</v>
      </c>
      <c r="JH329" s="1">
        <f t="shared" si="918"/>
        <v>1.1244623822406255E-2</v>
      </c>
      <c r="JI329" s="1">
        <f t="shared" si="919"/>
        <v>-3.9437420761691596E-3</v>
      </c>
      <c r="JJ329" s="1">
        <f t="shared" si="978"/>
        <v>0</v>
      </c>
      <c r="JK329" s="1">
        <f t="shared" si="979"/>
        <v>7.3008817462370951E-3</v>
      </c>
      <c r="JL329" s="15">
        <f t="shared" si="922"/>
        <v>11.754419611441723</v>
      </c>
      <c r="JM329" s="15">
        <f t="shared" si="948"/>
        <v>1621.7544196114418</v>
      </c>
      <c r="JN329" s="21"/>
      <c r="JO329" s="19">
        <f>INDEX(Input!$1:$1048576,JO$93,$C329*2+6)</f>
        <v>5995.5</v>
      </c>
      <c r="JP329" s="19">
        <f>INDEX(Input!$1:$1048576,JP$93,$C329*2+6)</f>
        <v>2442.3713226762939</v>
      </c>
      <c r="JQ329" s="39">
        <f t="shared" si="934"/>
        <v>3547.6735857620874</v>
      </c>
      <c r="JR329" s="39">
        <f t="shared" si="951"/>
        <v>5.4550915616187012</v>
      </c>
      <c r="JS329" s="39">
        <f t="shared" si="936"/>
        <v>3.9697733057319624</v>
      </c>
      <c r="JT329" s="39">
        <f t="shared" si="924"/>
        <v>3.7555476223129311E-2</v>
      </c>
      <c r="JU329" s="385">
        <f>(JQ329*JM329-INDEX(Input!$1:$1048576,Input!A$18,$C329*2+6)*JL329*INDEX(Input!$1:$1048576,Input!A$19,$C329*2+6))/1000000</f>
        <v>5.753455317048437</v>
      </c>
      <c r="JV329" s="39">
        <f t="shared" si="958"/>
        <v>3.2918146557269878E-2</v>
      </c>
      <c r="JW329" s="1">
        <f t="shared" si="949"/>
        <v>5.754380327615897E-3</v>
      </c>
      <c r="JX329" s="19">
        <f t="shared" si="940"/>
        <v>3195.0089808409516</v>
      </c>
      <c r="JZ329" s="341"/>
      <c r="KA329" s="342"/>
      <c r="KB329" s="469">
        <f t="shared" si="937"/>
        <v>2.5190675447988795</v>
      </c>
      <c r="KI329" s="473">
        <f t="shared" si="964"/>
        <v>70.504112363363163</v>
      </c>
      <c r="KJ329" s="473">
        <f t="shared" si="965"/>
        <v>26.858511186843543</v>
      </c>
      <c r="KK329" s="473">
        <f t="shared" si="926"/>
        <v>-85.608203938764973</v>
      </c>
      <c r="KN329" s="544">
        <f t="shared" si="941"/>
        <v>3002</v>
      </c>
      <c r="KO329" s="541">
        <f t="shared" si="901"/>
        <v>-2.2528036510859661E-2</v>
      </c>
      <c r="KP329" s="546">
        <f t="shared" si="902"/>
        <v>-75.873645585457254</v>
      </c>
      <c r="KQ329" s="546">
        <f t="shared" si="903"/>
        <v>-188.08701115078566</v>
      </c>
      <c r="KR329" s="548">
        <f t="shared" si="904"/>
        <v>5.1512070201332358</v>
      </c>
      <c r="KS329" s="548">
        <f t="shared" si="905"/>
        <v>2.0779789810662637</v>
      </c>
      <c r="KT329" s="473">
        <f t="shared" si="939"/>
        <v>1026.1618045255443</v>
      </c>
      <c r="KU329" s="663">
        <f t="shared" si="927"/>
        <v>4.7387047704264607</v>
      </c>
      <c r="KV329" s="117"/>
    </row>
    <row r="330" spans="1:308" s="26" customFormat="1" ht="15">
      <c r="A330" s="561">
        <f t="shared" si="906"/>
        <v>3030</v>
      </c>
      <c r="B330" s="561">
        <f t="shared" si="928"/>
        <v>30</v>
      </c>
      <c r="C330" s="561">
        <f t="shared" si="929"/>
        <v>3</v>
      </c>
      <c r="D330" s="561" t="str">
        <f t="shared" si="974"/>
        <v xml:space="preserve">1080 Lease, </v>
      </c>
      <c r="E330" s="475">
        <f>INDEX(Input!$1:$1048576,E$93,$C330*2+MIN($B330,2)+5)
+INDEX(Scenarios!E$121:E$200,MATCH($B330,Scenarios!$B$121:$B$200,0))</f>
        <v>1287.0236024844721</v>
      </c>
      <c r="F330" s="475">
        <f>INDEX(Input!$1:$1048576,F$93,$C330*2+MIN($B330,2)+5)
+INDEX(Scenarios!F$121:F$200,MATCH($B330,Scenarios!$B$121:$B$200,0))</f>
        <v>0</v>
      </c>
      <c r="G330" s="475">
        <f>INDEX(Input!$1:$1048576,G$93,$C330*2+MIN($B330,2)+5)
+INDEX(Scenarios!G$121:G$200,MATCH($B330,Scenarios!$B$121:$B$200,0))</f>
        <v>0</v>
      </c>
      <c r="H330" s="475">
        <f>INDEX(Input!$1:$1048576,H$93,$C330*2+MIN($B330,2)+5)
+INDEX(Scenarios!H$121:H$200,MATCH($B330,Scenarios!$B$121:$B$200,0))</f>
        <v>0</v>
      </c>
      <c r="I330" s="476">
        <f>INDEX(Input!$1:$1048576,I$93,$C330*2+MIN($B330,2)+5)</f>
        <v>0.7</v>
      </c>
      <c r="J330" s="476" t="str">
        <f>INDEX(Input!$1:$1048576,J$93,$C330*2+MIN($B330,2)+5)</f>
        <v>Market</v>
      </c>
      <c r="K330" s="476" t="str">
        <f>INDEX(Input!$1:$1048576,K$93,$C330*2+MIN($B330,2)+5)</f>
        <v>Market</v>
      </c>
      <c r="L330" s="476" t="str">
        <f>INDEX(Input!$1:$1048576,L$93,$C330*2+MIN($B330,2)+5)</f>
        <v>Market</v>
      </c>
      <c r="M330" s="476" t="str">
        <f>INDEX(Input!$1:$1048576,M$93,$C330*2+MIN($B330,2)+5)</f>
        <v>Market</v>
      </c>
      <c r="N330" s="476" t="str">
        <f>INDEX(Input!$1:$1048576,N$93,$C330*2+MIN($B330,2)+5)</f>
        <v>Market</v>
      </c>
      <c r="O330" s="476" t="str">
        <f>INDEX(Input!$1:$1048576,O$93,$C330*2+MIN($B330,2)+5)</f>
        <v>Market</v>
      </c>
      <c r="P330" s="476" t="str">
        <f>INDEX(Input!$1:$1048576,P$93,$C330*2+MIN($B330,2)+5)</f>
        <v>N</v>
      </c>
      <c r="Q330" s="477">
        <f>INDEX(Input!$1:$1048576,Q$93,$C330*2+MIN($B330,2)+5)
+INDEX(Scenarios!Q$121:Q$200,MATCH($B330,Scenarios!$B$121:$B$200,0))</f>
        <v>0</v>
      </c>
      <c r="R330" s="478">
        <f>IFERROR(MAX(0,INDEX(Input!$1:$1048576,R$93,$C330*2+MIN($B330,2)+5)
+INDEX(Scenarios!R$121:R$200,MATCH($B330,Scenarios!$B$121:$B$200,0)),),"Market")</f>
        <v>0</v>
      </c>
      <c r="S330" s="478">
        <f>IFERROR(MAX(0,INDEX(Input!$1:$1048576,S$93,$C330*2+MIN($B330,2)+5)
+INDEX(Scenarios!S$121:S$200,MATCH($B330,Scenarios!$B$121:$B$200,0)),),"Market")</f>
        <v>0</v>
      </c>
      <c r="T330" s="478">
        <f>IFERROR(MAX(0,INDEX(Input!$1:$1048576,T$93,$C330*2+MIN($B330,2)+5)
+INDEX(Scenarios!T$121:T$200,MATCH($B330,Scenarios!$B$121:$B$200,0)),),"Market")</f>
        <v>0</v>
      </c>
      <c r="U330" s="478">
        <f>IFERROR(MAX(0,INDEX(Input!$1:$1048576,U$93,$C330*2+MIN($B330,2)+5)
+INDEX(Scenarios!U$121:U$200,MATCH($B330,Scenarios!$B$121:$B$200,0)),),"Market")</f>
        <v>0</v>
      </c>
      <c r="V330" s="478">
        <f>IFERROR(MAX(0,INDEX(Input!$1:$1048576,V$93,$C330*2+MIN($B330,2)+5)
+INDEX(Scenarios!V$121:V$200,MATCH($B330,Scenarios!$B$121:$B$200,0)),),"Market")</f>
        <v>1.9E-2</v>
      </c>
      <c r="W330" s="885">
        <f>IFERROR(MAX(0,INDEX(Input!$1:$1048576,W$93,$C330*2+MIN($B330,2)+5)-0%,),"Market")</f>
        <v>3.9E-2</v>
      </c>
      <c r="X330" s="476" t="str">
        <f>INDEX(Input!$1:$1048576,X$93,$C330*2+MIN($B330,2)+5)</f>
        <v>Y</v>
      </c>
      <c r="Y330" s="475">
        <f>INDEX(Input!$1:$1048576,Y$93,$C330*2+MIN($B330,2)+5)
++INDEX(Scenarios!Y$121:Y$200,MATCH($B330,Scenarios!$B$121:$B$200,0))</f>
        <v>2634.9999999999991</v>
      </c>
      <c r="Z330" s="477">
        <f>INDEX(Input!$1:$1048576,Z$93,$C330*2+MIN($B330,2)+5)
+INDEX(Scenarios!Z$121:Z$200,MATCH($B330,Scenarios!$B$121:$B$200,0))</f>
        <v>0</v>
      </c>
      <c r="AA330" s="475">
        <f>INDEX(Input!$1:$1048576,AA$93,$C330*2+MIN($B330,2)+5)
+INDEX(Scenarios!AA$121:AA$200,MATCH($B330,Scenarios!$B$121:$B$200,0))</f>
        <v>0</v>
      </c>
      <c r="AB330" s="476">
        <f>INDEX(Input!$1:$1048576,AB$93,$C330*2+MIN($B330,2)+5)</f>
        <v>0.27</v>
      </c>
      <c r="AC330" s="475">
        <f>INDEX(Input!$1:$1048576,AC$93,$C330*2+MIN($B330,2)+5)
+INDEX(Scenarios!AC$121:AC$200,MATCH($B330,Scenarios!$B$121:$B$200,0))</f>
        <v>0</v>
      </c>
      <c r="AD330" s="476">
        <f>INDEX(Input!$1:$1048576,AD$93,$C330*2+MIN($B330,2)+5)</f>
        <v>0.27</v>
      </c>
      <c r="AE330" s="475">
        <f>INDEX(Input!$1:$1048576,AE$93,$C330*2+MIN($B330,2)+5)
+INDEX(Scenarios!AE$121:AE$200,MATCH($B330,Scenarios!$B$121:$B$200,0))</f>
        <v>0</v>
      </c>
      <c r="AF330" s="476">
        <f>INDEX(Input!$1:$1048576,AF$93,$C330*2+MIN($B330,2)+5)</f>
        <v>0.68200000000000005</v>
      </c>
      <c r="AG330" s="475">
        <f>INDEX(Input!$1:$1048576,AG$93,$C330*2+MIN($B330,2)+5)
+INDEX(Scenarios!AG$121:AG$200,MATCH($B330,Scenarios!$B$121:$B$200,0))</f>
        <v>500</v>
      </c>
      <c r="AH330" s="476">
        <f>INDEX(Input!$1:$1048576,AH$93,$C330*2+MIN($B330,2)+5)</f>
        <v>1</v>
      </c>
      <c r="AI330" s="475">
        <f>INDEX(Input!$1:$1048576,AI$93,$C330*2+MIN($B330,2)+5)
+INDEX(Scenarios!AI$121:AI$200,MATCH($B330,Scenarios!$B$121:$B$200,0))</f>
        <v>0</v>
      </c>
      <c r="AJ330" s="476">
        <f>INDEX(Input!$1:$1048576,AJ$93,$C330*2+MIN($B330,2)+5)</f>
        <v>0.27</v>
      </c>
      <c r="AK330" s="150">
        <f>ROUND(INDEX(Input!$1:$1048576,AK$93,$C329*2+MIN($B330,1)+5)+(Y330-VLOOKUP($C330*1000+1,$A:$HH,Y$92,FALSE)),0)</f>
        <v>4057</v>
      </c>
      <c r="AL330" s="150">
        <f>ROUND(INDEX(Input!$1:$1048576,AL$93,$C329*2+MIN($B330,1)+5)-(Y330-VLOOKUP($C330*1000+1,$A:$HH,Y$92,FALSE))/36,0)</f>
        <v>3365</v>
      </c>
      <c r="AM330" s="32" t="str">
        <f t="shared" si="907"/>
        <v>std/std/std/std</v>
      </c>
      <c r="AN330" s="32" t="str">
        <f t="shared" si="908"/>
        <v>$0 + 0/0/0/1.9/3.9</v>
      </c>
      <c r="AO330" s="32" t="str">
        <f t="shared" si="909"/>
        <v>0/0/0/1.9/3.9</v>
      </c>
      <c r="AP330" s="32" t="str">
        <f t="shared" si="863"/>
        <v>0/0.9/1.9/3.9</v>
      </c>
      <c r="AQ330" s="536">
        <f t="shared" si="862"/>
        <v>0.21250915220863256</v>
      </c>
      <c r="AR330" s="32"/>
      <c r="AS330" s="302"/>
      <c r="AT330" s="3">
        <f t="shared" si="930"/>
        <v>30</v>
      </c>
      <c r="AU330" s="41" t="s">
        <v>121</v>
      </c>
      <c r="AV330" s="41" t="s">
        <v>116</v>
      </c>
      <c r="AW330" s="41" t="str">
        <f>INDEX(Input!$1:$1048576,AW$93,$C330*2+6)</f>
        <v>Kia</v>
      </c>
      <c r="AX330" s="41" t="str">
        <f>INDEX(Input!$1:$1048576,AX$93,$C330*2+6)</f>
        <v>Kia-LR - L3</v>
      </c>
      <c r="AY330" s="41" t="str">
        <f>IF(LEN(D330)=0,"",INDEX(Input!$1:$1048576,AY$93,$C330*2+6))</f>
        <v>Compact SUV (52)</v>
      </c>
      <c r="AZ330" s="41" t="str">
        <f>INDEX(Input!$1:$1048576,AZ$93,$C330*2+6)</f>
        <v>Kia Soul</v>
      </c>
      <c r="BA330" s="3">
        <f>INDEX(Input!$1:$1048576,BA$93,$C330*2+6)</f>
        <v>2020</v>
      </c>
      <c r="BB330" s="128">
        <f>INDEX(Input!$1:$1048576,BB$93,$C330*2+6)</f>
        <v>1</v>
      </c>
      <c r="BC330" s="128">
        <f>INDEX(Input!$1:$1048576,BC$93,$C330*2+6)</f>
        <v>0.7</v>
      </c>
      <c r="BD330" s="1">
        <f>INDEX(Input!$1:$1048576,BD$93,$C330*2+6)</f>
        <v>4.4999999999999998E-2</v>
      </c>
      <c r="BE330" s="1">
        <f>INDEX(Input!$1:$1048576,BE$93,$C330*2+6)</f>
        <v>4.4999999999999998E-2</v>
      </c>
      <c r="BF330" s="1">
        <f>INDEX(Input!$1:$1048576,BF$93,$C330*2+6)</f>
        <v>0.05</v>
      </c>
      <c r="BG330" s="1">
        <f>INDEX(Input!$1:$1048576,BG$93,$C330*2+6)</f>
        <v>5.45E-2</v>
      </c>
      <c r="BH330" s="1">
        <f>INDEX(Input!$1:$1048576,BH$93,$C330*2+6)</f>
        <v>5.45E-2</v>
      </c>
      <c r="BI330" s="1">
        <f>INDEX(Input!$1:$1048576,BI$93,$C330*2+6)</f>
        <v>0.05</v>
      </c>
      <c r="BJ330" s="1">
        <f>INDEX(Input!$1:$1048576,BJ$93,$C330*2+6)</f>
        <v>0.05</v>
      </c>
      <c r="BK330" s="1">
        <f>INDEX(Input!$1:$1048576,BK$93,$C330*2+6)</f>
        <v>0.05</v>
      </c>
      <c r="BL330" s="1">
        <f>INDEX(Input!$1:$1048576,BL$93,$C330*2+6)</f>
        <v>5.5E-2</v>
      </c>
      <c r="BM330" s="1">
        <f>INDEX(Input!$1:$1048576,BM$93,$C330*2+6)</f>
        <v>0.06</v>
      </c>
      <c r="BN330" s="1">
        <f>INDEX(Input!$1:$1048576,BN$93,$C330*2+6)</f>
        <v>4.4999999999999998E-2</v>
      </c>
      <c r="BO330" s="1">
        <f>INDEX(Input!$1:$1048576,BO$93,$C330*2+6)</f>
        <v>4.4999999999999998E-2</v>
      </c>
      <c r="BP330" s="1">
        <f>INDEX(Input!$1:$1048576,BP$93,$C330*2+6)</f>
        <v>0.05</v>
      </c>
      <c r="BQ330" s="1">
        <f>INDEX(Input!$1:$1048576,BQ$93,$C330*2+6)</f>
        <v>5.45E-2</v>
      </c>
      <c r="BR330" s="1">
        <f>INDEX(Input!$1:$1048576,BR$93,$C330*2+6)</f>
        <v>5.45E-2</v>
      </c>
      <c r="BS330" s="1">
        <f>INDEX(Input!$1:$1048576,BS$93,$C330*2+6)</f>
        <v>0.05</v>
      </c>
      <c r="BT330" s="1">
        <f>INDEX(Input!$1:$1048576,BT$93,$C330*2+6)</f>
        <v>0.05</v>
      </c>
      <c r="BU330" s="1">
        <f>INDEX(Input!$1:$1048576,BU$93,$C330*2+6)</f>
        <v>0.05</v>
      </c>
      <c r="BV330" s="1">
        <f>INDEX(Input!$1:$1048576,BV$93,$C330*2+6)</f>
        <v>5.5E-2</v>
      </c>
      <c r="BW330" s="1">
        <f>INDEX(Input!$1:$1048576,BW$93,$C330*2+6)</f>
        <v>0.06</v>
      </c>
      <c r="BX330" s="127">
        <f>INDEX(Input!$1:$1048576,BX$93,$C330*2+6)</f>
        <v>19985</v>
      </c>
      <c r="BY330" s="20">
        <f>INDEX(Input!$1:$1048576,BY$93,$C330*2+6)</f>
        <v>0.1</v>
      </c>
      <c r="BZ330" s="20">
        <f>INDEX(Input!$1:$1048576,BZ$93,$C330*2+6)</f>
        <v>0.1</v>
      </c>
      <c r="CA330" s="20">
        <f>INDEX(Input!$1:$1048576,CA$93,$C330*2+6)</f>
        <v>0.1</v>
      </c>
      <c r="CB330" s="20">
        <f>INDEX(Input!$1:$1048576,CB$93,$C330*2+6)</f>
        <v>0.1</v>
      </c>
      <c r="CC330" s="20">
        <f>INDEX(Input!$1:$1048576,CC$93,$C330*2+6)</f>
        <v>0.1</v>
      </c>
      <c r="CD330" s="384">
        <f>INDEX(Input!$1:$1048576,CD$93,$C330*2+6)</f>
        <v>0.1</v>
      </c>
      <c r="CE330" s="384">
        <f>INDEX(Input!$1:$1048576,CE$93,$C330*2+6)</f>
        <v>0.1</v>
      </c>
      <c r="CF330" s="384">
        <f>INDEX(Input!$1:$1048576,CF$93,$C330*2+6)</f>
        <v>0.1</v>
      </c>
      <c r="CG330" s="384">
        <f>INDEX(Input!$1:$1048576,CG$93,$C330*2+6)</f>
        <v>0.1</v>
      </c>
      <c r="CH330" s="384">
        <f>INDEX(Input!$1:$1048576,CH$93,$C330*2+6)</f>
        <v>0.1</v>
      </c>
      <c r="CI330" s="304">
        <f t="shared" si="864"/>
        <v>1287.0236024844721</v>
      </c>
      <c r="CJ330" s="16" t="str">
        <f>INDEX(Input!$1:$1048576,CJ$93,$C330*2+6)</f>
        <v>N</v>
      </c>
      <c r="CK330" s="1" t="str">
        <f t="shared" si="865"/>
        <v>Market</v>
      </c>
      <c r="CL330" s="1" t="str">
        <f t="shared" si="866"/>
        <v>Market</v>
      </c>
      <c r="CM330" s="1" t="str">
        <f t="shared" si="867"/>
        <v>Market</v>
      </c>
      <c r="CN330" s="1" t="str">
        <f t="shared" si="868"/>
        <v>Market</v>
      </c>
      <c r="CO330" s="1" t="str">
        <f t="shared" si="869"/>
        <v>Market</v>
      </c>
      <c r="CP330" s="304">
        <f t="shared" si="870"/>
        <v>500</v>
      </c>
      <c r="CQ330" s="1">
        <f t="shared" si="871"/>
        <v>0</v>
      </c>
      <c r="CR330" s="1">
        <f t="shared" si="872"/>
        <v>0</v>
      </c>
      <c r="CS330" s="1">
        <f t="shared" si="873"/>
        <v>0</v>
      </c>
      <c r="CT330" s="1">
        <f t="shared" si="874"/>
        <v>1.9E-2</v>
      </c>
      <c r="CU330" s="1">
        <f t="shared" si="875"/>
        <v>3.9E-2</v>
      </c>
      <c r="CV330" s="304">
        <f t="shared" si="876"/>
        <v>2634.9999999999991</v>
      </c>
      <c r="CW330" s="20" t="s">
        <v>122</v>
      </c>
      <c r="CX330" s="20" t="s">
        <v>122</v>
      </c>
      <c r="CY330" s="20" t="s">
        <v>122</v>
      </c>
      <c r="CZ330" s="20" t="s">
        <v>122</v>
      </c>
      <c r="DA330" s="20" t="s">
        <v>122</v>
      </c>
      <c r="DB330" s="503">
        <f t="shared" si="877"/>
        <v>0</v>
      </c>
      <c r="DC330" s="127">
        <v>0</v>
      </c>
      <c r="DD330" s="127">
        <v>0</v>
      </c>
      <c r="DE330" s="127">
        <v>0</v>
      </c>
      <c r="DF330" s="127">
        <v>0</v>
      </c>
      <c r="DG330" s="127">
        <v>0</v>
      </c>
      <c r="DH330" s="127">
        <v>0</v>
      </c>
      <c r="DI330" s="127">
        <v>0</v>
      </c>
      <c r="DJ330" s="127">
        <v>0</v>
      </c>
      <c r="DK330" s="127">
        <v>0</v>
      </c>
      <c r="DL330" s="127">
        <v>0</v>
      </c>
      <c r="DM330" s="304">
        <f>INDEX(Input!$1:$1048576,DM$93,$C330*2+6)</f>
        <v>21036.84210526316</v>
      </c>
      <c r="DN330" s="20">
        <v>0</v>
      </c>
      <c r="DO330" s="20">
        <v>0</v>
      </c>
      <c r="DP330" s="20">
        <v>0</v>
      </c>
      <c r="DQ330" s="20">
        <v>0</v>
      </c>
      <c r="DR330" s="20">
        <v>0</v>
      </c>
      <c r="DS330" s="20">
        <f>INDEX(Input!$1:$1048576,DS$93,$C330*2+6)</f>
        <v>0.6</v>
      </c>
      <c r="DT330" s="20">
        <f>INDEX(Input!$1:$1048576,DT$93,$C330*2+6)</f>
        <v>0.55000000000000004</v>
      </c>
      <c r="DU330" s="20">
        <f>INDEX(Input!$1:$1048576,DU$93,$C330*2+6)</f>
        <v>0.52</v>
      </c>
      <c r="DV330" s="20">
        <f>INDEX(Input!$1:$1048576,DV$93,$C330*2+6)</f>
        <v>0.5</v>
      </c>
      <c r="DW330" s="20">
        <f>INDEX(Input!$1:$1048576,DW$93,$C330*2+6)</f>
        <v>0.45</v>
      </c>
      <c r="DX330" s="20"/>
      <c r="DY330" s="7">
        <v>8.5009667008177123E-2</v>
      </c>
      <c r="DZ330" s="7">
        <v>0</v>
      </c>
      <c r="EA330" s="7">
        <v>0.59059704232752352</v>
      </c>
      <c r="EB330" s="7">
        <v>0</v>
      </c>
      <c r="EC330" s="7">
        <v>0</v>
      </c>
      <c r="ED330" s="7">
        <v>0</v>
      </c>
      <c r="EE330" s="7">
        <v>0</v>
      </c>
      <c r="EF330" s="7">
        <v>0</v>
      </c>
      <c r="EG330" s="7">
        <v>0</v>
      </c>
      <c r="EH330" s="7">
        <v>1.1994721762783513E-2</v>
      </c>
      <c r="EI330" s="7">
        <v>3.3553506658721782E-2</v>
      </c>
      <c r="EJ330" s="7">
        <v>0.26863695231697537</v>
      </c>
      <c r="EK330" s="7">
        <v>0.54372707203597392</v>
      </c>
      <c r="EL330" s="7">
        <v>0.14208774722554576</v>
      </c>
      <c r="EM330" s="7">
        <v>4.1260200087279347E-2</v>
      </c>
      <c r="EN330" s="7">
        <v>6.8792965819827315E-2</v>
      </c>
      <c r="EO330" s="7">
        <v>0.81140373777809183</v>
      </c>
      <c r="EP330" s="7">
        <v>4.9276986802591752E-2</v>
      </c>
      <c r="EQ330" s="7">
        <v>4.5404955357629916E-2</v>
      </c>
      <c r="ER330" s="7">
        <v>2.5121354241859208E-2</v>
      </c>
      <c r="ES330" s="7">
        <v>0.28313309057701991</v>
      </c>
      <c r="ET330" s="7">
        <v>0.32439329066429934</v>
      </c>
      <c r="EU330" s="6">
        <v>1611</v>
      </c>
      <c r="EV330" s="6">
        <v>0</v>
      </c>
      <c r="EW330" s="6">
        <v>1611</v>
      </c>
      <c r="EX330" s="6">
        <v>0</v>
      </c>
      <c r="EY330" s="6">
        <v>2334.4188785306133</v>
      </c>
      <c r="EZ330" s="6">
        <v>3369</v>
      </c>
      <c r="FA330" s="6">
        <v>0</v>
      </c>
      <c r="FB330" s="6">
        <v>0</v>
      </c>
      <c r="FC330" s="6">
        <v>0</v>
      </c>
      <c r="FD330" s="6">
        <v>0</v>
      </c>
      <c r="FE330" s="6">
        <v>0</v>
      </c>
      <c r="FF330" s="6">
        <v>0</v>
      </c>
      <c r="FG330" s="6">
        <v>0</v>
      </c>
      <c r="FH330" s="6">
        <v>1171.9652710430801</v>
      </c>
      <c r="FI330" s="6">
        <v>1553.9796069512399</v>
      </c>
      <c r="FJ330" s="6">
        <v>2101.2110117447423</v>
      </c>
      <c r="FK330" s="6">
        <v>1772.7139978623222</v>
      </c>
      <c r="FL330" s="6">
        <v>907.07682140966358</v>
      </c>
      <c r="FM330" s="6">
        <v>1723.418878530613</v>
      </c>
      <c r="FN330" s="6">
        <v>0</v>
      </c>
      <c r="FO330" s="6">
        <v>0</v>
      </c>
      <c r="FP330" s="6">
        <v>0</v>
      </c>
      <c r="FQ330" s="6">
        <v>0</v>
      </c>
      <c r="FR330" s="6">
        <v>0</v>
      </c>
      <c r="FS330" s="6">
        <v>0</v>
      </c>
      <c r="FT330" s="7">
        <v>0.67560670933570066</v>
      </c>
      <c r="FU330" s="7">
        <v>4.1260200087279347E-2</v>
      </c>
      <c r="FV330" s="7">
        <v>0.28313309057701991</v>
      </c>
      <c r="FW330" s="6">
        <v>1611</v>
      </c>
      <c r="FX330" s="6">
        <v>2334.4188785306133</v>
      </c>
      <c r="FY330" s="6">
        <v>3369</v>
      </c>
      <c r="FZ330" s="6">
        <v>1858.9243755539039</v>
      </c>
      <c r="GA330" s="6">
        <v>2138.5963809094892</v>
      </c>
      <c r="GB330" s="6">
        <v>17846.40361909051</v>
      </c>
      <c r="GC330" s="7">
        <v>2.9156573141622111E-2</v>
      </c>
      <c r="GD330" s="7">
        <v>3.0516675800863802E-2</v>
      </c>
      <c r="GE330" s="7"/>
      <c r="GF330" s="7"/>
      <c r="GG330" s="7">
        <v>4.6648234435345659E-2</v>
      </c>
      <c r="GH330" s="42">
        <v>3.333422535462808</v>
      </c>
      <c r="GI330" s="6">
        <v>8133.9359417927581</v>
      </c>
      <c r="GJ330" s="14">
        <v>0.50394797582841733</v>
      </c>
      <c r="GK330" s="14">
        <v>0.50887573065309744</v>
      </c>
      <c r="GL330" s="14">
        <v>0.49605202417158295</v>
      </c>
      <c r="GM330" s="14">
        <v>0.4911242693469024</v>
      </c>
      <c r="GO330" s="5">
        <v>343.14810671672558</v>
      </c>
      <c r="GP330" s="5">
        <v>312.41330006058649</v>
      </c>
      <c r="GQ330" s="5">
        <v>535.04305713031317</v>
      </c>
      <c r="GR330" s="5">
        <v>410.15490233172511</v>
      </c>
      <c r="GS330" s="5">
        <v>339.42744393800166</v>
      </c>
      <c r="GT330" s="5">
        <v>293.4407446948278</v>
      </c>
      <c r="GU330" s="5">
        <v>258.04012322764959</v>
      </c>
      <c r="GV330" s="39" t="s">
        <v>392</v>
      </c>
      <c r="GW330" s="5">
        <v>482.65277777777777</v>
      </c>
      <c r="GX330" s="5">
        <v>361.98958333333331</v>
      </c>
      <c r="GY330" s="5">
        <v>289.59166666666664</v>
      </c>
      <c r="GZ330" s="5">
        <v>255.53408606924114</v>
      </c>
      <c r="HA330" s="5">
        <v>236.70336205047303</v>
      </c>
      <c r="HB330" s="39">
        <v>268.30377632025022</v>
      </c>
      <c r="HC330" s="5">
        <v>139.890625</v>
      </c>
      <c r="HD330" s="5">
        <v>139.20330774853798</v>
      </c>
      <c r="HE330" s="5">
        <v>147.55950151821861</v>
      </c>
      <c r="HF330" s="5">
        <v>143.00063048245613</v>
      </c>
      <c r="HG330" s="5">
        <v>146.05888157894736</v>
      </c>
      <c r="HH330" s="39">
        <v>140.00699695877066</v>
      </c>
      <c r="HI330" s="16"/>
      <c r="HJ330" s="19" t="str">
        <f t="shared" si="972"/>
        <v>On</v>
      </c>
      <c r="HK330" s="1" t="str">
        <f t="shared" si="972"/>
        <v>On</v>
      </c>
      <c r="HL330" s="16"/>
      <c r="HM330" s="639">
        <f t="shared" si="878"/>
        <v>2.2758057894877178E-2</v>
      </c>
      <c r="HN330" s="639">
        <f t="shared" si="879"/>
        <v>1.416759231746561E-3</v>
      </c>
      <c r="HO330" s="639">
        <f t="shared" si="880"/>
        <v>4.5732401537654987E-3</v>
      </c>
      <c r="HP330" s="644">
        <f>(FT330*$GD330-HM330)/$JF330*INDEX(Input!$1:$1048576,$JG$93,$C330*2+6)</f>
        <v>-119.89217217919531</v>
      </c>
      <c r="HQ330" s="644">
        <f>(FU330*$GD330-HN330)/$JF330*INDEX(Input!$1:$1048576,$JG$93,$C330*2+6)</f>
        <v>-8.8281611475021453</v>
      </c>
      <c r="HR330" s="644">
        <f>(FV330*$GD330-HO330)/$JF330*INDEX(Input!$1:$1048576,$JG$93,$C330*2+6)</f>
        <v>227.76966351940155</v>
      </c>
      <c r="HS330" s="644">
        <f t="shared" si="975"/>
        <v>-18.653156877819445</v>
      </c>
      <c r="HT330" s="644">
        <f t="shared" si="882"/>
        <v>20.72255521865273</v>
      </c>
      <c r="HU330" s="644">
        <f t="shared" si="883"/>
        <v>32.12228999581238</v>
      </c>
      <c r="HV330" s="648">
        <f t="shared" si="884"/>
        <v>0</v>
      </c>
      <c r="HW330" s="648">
        <f t="shared" si="885"/>
        <v>0</v>
      </c>
      <c r="HX330" s="648">
        <f t="shared" si="886"/>
        <v>0</v>
      </c>
      <c r="HY330" s="644">
        <f>INDEX(Input!$1:$1048576,HY$93,$C330*2+6)*INDEX(Input!$1:$1048576,$JG$93,$C330*2+6)</f>
        <v>509.00000000000006</v>
      </c>
      <c r="HZ330" s="644">
        <f>INDEX(Input!$1:$1048576,HZ$93,$C330*2+6)*INDEX(Input!$1:$1048576,$JG$93,$C330*2+6)</f>
        <v>844</v>
      </c>
      <c r="IA330" s="644">
        <f>INDEX(Input!$1:$1048576,IA$93,$C330*2+6)*INDEX(Input!$1:$1048576,$JG$93,$C330*2+6)</f>
        <v>257</v>
      </c>
      <c r="IB330" s="644">
        <f t="shared" si="910"/>
        <v>370.45467094298522</v>
      </c>
      <c r="IC330" s="644">
        <f t="shared" si="911"/>
        <v>855.8943940711506</v>
      </c>
      <c r="ID330" s="644">
        <f>IF(AND(INDEX(Input!$1:$1048576,IA$93,$C330*2+7)="TOS",Y330&lt;=INDEX(Y:Y,MATCH(C330*1000+2,A:A))),0,1)*MAX(IA330+HR330+HU330+HX330,0%)</f>
        <v>516.89195351521391</v>
      </c>
      <c r="IE330" s="128">
        <f t="shared" si="976"/>
        <v>0.21250915220863256</v>
      </c>
      <c r="IF330" s="128">
        <f t="shared" si="977"/>
        <v>0.49097880612814443</v>
      </c>
      <c r="IG330" s="128">
        <f t="shared" si="888"/>
        <v>0.29651204166322304</v>
      </c>
      <c r="IH330" s="21"/>
      <c r="II330" s="19">
        <f t="shared" si="889"/>
        <v>1410.4999999999998</v>
      </c>
      <c r="IJ330" s="19">
        <f t="shared" si="890"/>
        <v>2134.9731585778086</v>
      </c>
      <c r="IK330" s="19">
        <f t="shared" si="891"/>
        <v>2103.5</v>
      </c>
      <c r="IL330" s="19">
        <f t="shared" si="913"/>
        <v>200.50000000000023</v>
      </c>
      <c r="IM330" s="19">
        <f t="shared" si="892"/>
        <v>199.44571995280467</v>
      </c>
      <c r="IN330" s="19">
        <f t="shared" si="893"/>
        <v>1265.5</v>
      </c>
      <c r="IO330" s="39">
        <f t="shared" si="894"/>
        <v>0</v>
      </c>
      <c r="IP330" s="39">
        <f t="shared" si="895"/>
        <v>0</v>
      </c>
      <c r="IQ330" s="39">
        <f t="shared" si="896"/>
        <v>0</v>
      </c>
      <c r="IR330" s="39">
        <v>0</v>
      </c>
      <c r="IS330" s="39">
        <v>0</v>
      </c>
      <c r="IT330" s="39">
        <v>0</v>
      </c>
      <c r="IU330" s="39">
        <v>0</v>
      </c>
      <c r="IV330" s="39">
        <v>0</v>
      </c>
      <c r="IW330" s="39">
        <v>0</v>
      </c>
      <c r="IX330" s="39">
        <f>INDEX(Input!$1:$1048576,IX$93,$C330*2+6)+INDEX(Input!$1:$1048576,IX$94,$C330*2+6)</f>
        <v>1611</v>
      </c>
      <c r="IY330" s="39">
        <f>INDEX(Input!$1:$1048576,IY$93,$C330*2+6)+INDEX(Input!$1:$1048576,IY$94,$C330*2+6)</f>
        <v>2471.0624533823611</v>
      </c>
      <c r="IZ330" s="39">
        <f>INDEX(Input!$1:$1048576,IZ$93,$C330*2+6)+INDEX(Input!$1:$1048576,IZ$94,$C330*2+6)</f>
        <v>3994.7164157747857</v>
      </c>
      <c r="JA330" s="19">
        <f t="shared" si="914"/>
        <v>1811.5000000000002</v>
      </c>
      <c r="JB330" s="19">
        <f t="shared" si="915"/>
        <v>2670.5081733351658</v>
      </c>
      <c r="JC330" s="19">
        <f t="shared" si="916"/>
        <v>5260.2164157747857</v>
      </c>
      <c r="JD330" s="19">
        <f t="shared" si="917"/>
        <v>3255.8407529572723</v>
      </c>
      <c r="JE330" s="21"/>
      <c r="JF330" s="1">
        <f t="shared" si="897"/>
        <v>2.8748057280389237E-2</v>
      </c>
      <c r="JG330" s="15">
        <f>INDEX(Input!$1:$1048576,JG$93,$C330*2+6)/(1+VLOOKUP(C330*1000+INDEX(Input!$1:$1048576,JG$93+1,$C330*2+6),$A:$KK,$JK$92,FALSE))</f>
        <v>1610</v>
      </c>
      <c r="JH330" s="1">
        <f t="shared" si="918"/>
        <v>6.1521323101058435E-2</v>
      </c>
      <c r="JI330" s="1">
        <f t="shared" si="919"/>
        <v>2.1237073501022153E-2</v>
      </c>
      <c r="JJ330" s="1">
        <f t="shared" si="978"/>
        <v>0</v>
      </c>
      <c r="JK330" s="1">
        <f t="shared" si="979"/>
        <v>8.2758396602080592E-2</v>
      </c>
      <c r="JL330" s="15">
        <f t="shared" si="922"/>
        <v>133.24101852934976</v>
      </c>
      <c r="JM330" s="15">
        <f t="shared" si="948"/>
        <v>1743.2410185293497</v>
      </c>
      <c r="JN330" s="21"/>
      <c r="JO330" s="19">
        <f>INDEX(Input!$1:$1048576,JO$93,$C330*2+6)</f>
        <v>5995.5</v>
      </c>
      <c r="JP330" s="19">
        <f>INDEX(Input!$1:$1048576,JP$93,$C330*2+6)</f>
        <v>2442.3713226762939</v>
      </c>
      <c r="JQ330" s="39">
        <f t="shared" si="934"/>
        <v>2739.6592470427277</v>
      </c>
      <c r="JR330" s="39">
        <f t="shared" si="951"/>
        <v>813.46943028097849</v>
      </c>
      <c r="JS330" s="39">
        <f t="shared" si="936"/>
        <v>5.6757151503546002</v>
      </c>
      <c r="JT330" s="39">
        <f t="shared" si="924"/>
        <v>1.7434973208457674</v>
      </c>
      <c r="JU330" s="385">
        <f>(JQ330*JM330-INDEX(Input!$1:$1048576,Input!A$18,$C330*2+6)*JL330*INDEX(Input!$1:$1048576,Input!A$19,$C330*2+6))/1000000</f>
        <v>4.7758863762381161</v>
      </c>
      <c r="JV330" s="39">
        <f t="shared" si="958"/>
        <v>-0.9446507942530511</v>
      </c>
      <c r="JW330" s="1">
        <f t="shared" si="949"/>
        <v>-0.16513323243941846</v>
      </c>
      <c r="JX330" s="19">
        <f t="shared" si="940"/>
        <v>13085.289650962231</v>
      </c>
      <c r="JZ330" s="341"/>
      <c r="KA330" s="342"/>
      <c r="KB330" s="469">
        <f t="shared" si="937"/>
        <v>2.5190675447988795</v>
      </c>
      <c r="KI330" s="473">
        <f t="shared" si="964"/>
        <v>-138.54532905701484</v>
      </c>
      <c r="KJ330" s="473">
        <f t="shared" si="965"/>
        <v>11.8943940711506</v>
      </c>
      <c r="KK330" s="473">
        <f t="shared" si="926"/>
        <v>259.89195351521391</v>
      </c>
      <c r="KN330" s="544">
        <f t="shared" si="941"/>
        <v>3002</v>
      </c>
      <c r="KO330" s="541">
        <f t="shared" si="901"/>
        <v>5.0694976138834003E-2</v>
      </c>
      <c r="KP330" s="546">
        <f t="shared" si="902"/>
        <v>319.6915129127384</v>
      </c>
      <c r="KQ330" s="546">
        <f t="shared" si="903"/>
        <v>619.92732756857413</v>
      </c>
      <c r="KR330" s="548">
        <f t="shared" si="904"/>
        <v>2.7511256771165922</v>
      </c>
      <c r="KS330" s="548">
        <f t="shared" si="905"/>
        <v>1.418733278592557</v>
      </c>
      <c r="KT330" s="473">
        <f t="shared" si="939"/>
        <v>1026.1618045255443</v>
      </c>
      <c r="KU330" s="663">
        <f t="shared" si="927"/>
        <v>4.2893879116011417</v>
      </c>
      <c r="KV330" s="117"/>
    </row>
    <row r="331" spans="1:308" s="26" customFormat="1" ht="15">
      <c r="A331" s="561">
        <f t="shared" si="906"/>
        <v>3031</v>
      </c>
      <c r="B331" s="561">
        <f t="shared" si="928"/>
        <v>31</v>
      </c>
      <c r="C331" s="561">
        <f t="shared" si="929"/>
        <v>3</v>
      </c>
      <c r="D331" s="561" t="str">
        <f t="shared" si="974"/>
        <v xml:space="preserve">250 CC, 250 Combo, </v>
      </c>
      <c r="E331" s="475">
        <f>INDEX(Input!$1:$1048576,E$93,$C331*2+MIN($B331,2)+5)
+INDEX(Scenarios!E$121:E$200,MATCH($B331,Scenarios!$B$121:$B$200,0))</f>
        <v>1537.0236024844721</v>
      </c>
      <c r="F331" s="475">
        <f>INDEX(Input!$1:$1048576,F$93,$C331*2+MIN($B331,2)+5)
+INDEX(Scenarios!F$121:F$200,MATCH($B331,Scenarios!$B$121:$B$200,0))</f>
        <v>0</v>
      </c>
      <c r="G331" s="475">
        <f>INDEX(Input!$1:$1048576,G$93,$C331*2+MIN($B331,2)+5)
+INDEX(Scenarios!G$121:G$200,MATCH($B331,Scenarios!$B$121:$B$200,0))</f>
        <v>0</v>
      </c>
      <c r="H331" s="475">
        <f>INDEX(Input!$1:$1048576,H$93,$C331*2+MIN($B331,2)+5)
+INDEX(Scenarios!H$121:H$200,MATCH($B331,Scenarios!$B$121:$B$200,0))</f>
        <v>0</v>
      </c>
      <c r="I331" s="476">
        <f>INDEX(Input!$1:$1048576,I$93,$C331*2+MIN($B331,2)+5)</f>
        <v>0.7</v>
      </c>
      <c r="J331" s="476" t="str">
        <f>INDEX(Input!$1:$1048576,J$93,$C331*2+MIN($B331,2)+5)</f>
        <v>Market</v>
      </c>
      <c r="K331" s="476" t="str">
        <f>INDEX(Input!$1:$1048576,K$93,$C331*2+MIN($B331,2)+5)</f>
        <v>Market</v>
      </c>
      <c r="L331" s="476" t="str">
        <f>INDEX(Input!$1:$1048576,L$93,$C331*2+MIN($B331,2)+5)</f>
        <v>Market</v>
      </c>
      <c r="M331" s="476" t="str">
        <f>INDEX(Input!$1:$1048576,M$93,$C331*2+MIN($B331,2)+5)</f>
        <v>Market</v>
      </c>
      <c r="N331" s="476" t="str">
        <f>INDEX(Input!$1:$1048576,N$93,$C331*2+MIN($B331,2)+5)</f>
        <v>Market</v>
      </c>
      <c r="O331" s="476" t="str">
        <f>INDEX(Input!$1:$1048576,O$93,$C331*2+MIN($B331,2)+5)</f>
        <v>Market</v>
      </c>
      <c r="P331" s="476" t="str">
        <f>INDEX(Input!$1:$1048576,P$93,$C331*2+MIN($B331,2)+5)</f>
        <v>N</v>
      </c>
      <c r="Q331" s="477">
        <f>INDEX(Input!$1:$1048576,Q$93,$C331*2+MIN($B331,2)+5)
+INDEX(Scenarios!Q$121:Q$200,MATCH($B331,Scenarios!$B$121:$B$200,0))</f>
        <v>250</v>
      </c>
      <c r="R331" s="478">
        <f>IFERROR(MAX(0,INDEX(Input!$1:$1048576,R$93,$C331*2+MIN($B331,2)+5)
+INDEX(Scenarios!R$121:R$200,MATCH($B331,Scenarios!$B$121:$B$200,0)),),"Market")</f>
        <v>0</v>
      </c>
      <c r="S331" s="478">
        <f>IFERROR(MAX(0,INDEX(Input!$1:$1048576,S$93,$C331*2+MIN($B331,2)+5)
+INDEX(Scenarios!S$121:S$200,MATCH($B331,Scenarios!$B$121:$B$200,0)),),"Market")</f>
        <v>0</v>
      </c>
      <c r="T331" s="478">
        <f>IFERROR(MAX(0,INDEX(Input!$1:$1048576,T$93,$C331*2+MIN($B331,2)+5)
+INDEX(Scenarios!T$121:T$200,MATCH($B331,Scenarios!$B$121:$B$200,0)),),"Market")</f>
        <v>0</v>
      </c>
      <c r="U331" s="478">
        <f>IFERROR(MAX(0,INDEX(Input!$1:$1048576,U$93,$C331*2+MIN($B331,2)+5)
+INDEX(Scenarios!U$121:U$200,MATCH($B331,Scenarios!$B$121:$B$200,0)),),"Market")</f>
        <v>0</v>
      </c>
      <c r="V331" s="478">
        <f>IFERROR(MAX(0,INDEX(Input!$1:$1048576,V$93,$C331*2+MIN($B331,2)+5)
+INDEX(Scenarios!V$121:V$200,MATCH($B331,Scenarios!$B$121:$B$200,0)),),"Market")</f>
        <v>1.9E-2</v>
      </c>
      <c r="W331" s="885">
        <f>IFERROR(MAX(0,INDEX(Input!$1:$1048576,W$93,$C331*2+MIN($B331,2)+5)-0%,),"Market")</f>
        <v>3.9E-2</v>
      </c>
      <c r="X331" s="476" t="str">
        <f>INDEX(Input!$1:$1048576,X$93,$C331*2+MIN($B331,2)+5)</f>
        <v>Y</v>
      </c>
      <c r="Y331" s="475">
        <f>INDEX(Input!$1:$1048576,Y$93,$C331*2+MIN($B331,2)+5)
++INDEX(Scenarios!Y$121:Y$200,MATCH($B331,Scenarios!$B$121:$B$200,0))</f>
        <v>1554.9999999999991</v>
      </c>
      <c r="Z331" s="477">
        <f>INDEX(Input!$1:$1048576,Z$93,$C331*2+MIN($B331,2)+5)
+INDEX(Scenarios!Z$121:Z$200,MATCH($B331,Scenarios!$B$121:$B$200,0))</f>
        <v>0</v>
      </c>
      <c r="AA331" s="475">
        <f>INDEX(Input!$1:$1048576,AA$93,$C331*2+MIN($B331,2)+5)
+INDEX(Scenarios!AA$121:AA$200,MATCH($B331,Scenarios!$B$121:$B$200,0))</f>
        <v>0</v>
      </c>
      <c r="AB331" s="476">
        <f>INDEX(Input!$1:$1048576,AB$93,$C331*2+MIN($B331,2)+5)</f>
        <v>0.27</v>
      </c>
      <c r="AC331" s="475">
        <f>INDEX(Input!$1:$1048576,AC$93,$C331*2+MIN($B331,2)+5)
+INDEX(Scenarios!AC$121:AC$200,MATCH($B331,Scenarios!$B$121:$B$200,0))</f>
        <v>0</v>
      </c>
      <c r="AD331" s="476">
        <f>INDEX(Input!$1:$1048576,AD$93,$C331*2+MIN($B331,2)+5)</f>
        <v>0.27</v>
      </c>
      <c r="AE331" s="475">
        <f>INDEX(Input!$1:$1048576,AE$93,$C331*2+MIN($B331,2)+5)
+INDEX(Scenarios!AE$121:AE$200,MATCH($B331,Scenarios!$B$121:$B$200,0))</f>
        <v>0</v>
      </c>
      <c r="AF331" s="476">
        <f>INDEX(Input!$1:$1048576,AF$93,$C331*2+MIN($B331,2)+5)</f>
        <v>0.68200000000000005</v>
      </c>
      <c r="AG331" s="475">
        <f>INDEX(Input!$1:$1048576,AG$93,$C331*2+MIN($B331,2)+5)
+INDEX(Scenarios!AG$121:AG$200,MATCH($B331,Scenarios!$B$121:$B$200,0))</f>
        <v>500</v>
      </c>
      <c r="AH331" s="476">
        <f>INDEX(Input!$1:$1048576,AH$93,$C331*2+MIN($B331,2)+5)</f>
        <v>1</v>
      </c>
      <c r="AI331" s="475">
        <f>INDEX(Input!$1:$1048576,AI$93,$C331*2+MIN($B331,2)+5)
+INDEX(Scenarios!AI$121:AI$200,MATCH($B331,Scenarios!$B$121:$B$200,0))</f>
        <v>0</v>
      </c>
      <c r="AJ331" s="476">
        <f>INDEX(Input!$1:$1048576,AJ$93,$C331*2+MIN($B331,2)+5)</f>
        <v>0.27</v>
      </c>
      <c r="AK331" s="150">
        <f>ROUND(INDEX(Input!$1:$1048576,AK$93,$C330*2+MIN($B331,1)+5)+(Y331-VLOOKUP($C331*1000+1,$A:$HH,Y$92,FALSE)),0)</f>
        <v>2977</v>
      </c>
      <c r="AL331" s="150">
        <f>ROUND(INDEX(Input!$1:$1048576,AL$93,$C330*2+MIN($B331,1)+5)-(Y331-VLOOKUP($C331*1000+1,$A:$HH,Y$92,FALSE))/36,0)</f>
        <v>3395</v>
      </c>
      <c r="AM331" s="32" t="str">
        <f t="shared" si="907"/>
        <v>std/std/std/std</v>
      </c>
      <c r="AN331" s="32" t="str">
        <f t="shared" si="908"/>
        <v>$250 + 0/0/0/1.9/3.9</v>
      </c>
      <c r="AO331" s="32" t="str">
        <f t="shared" si="909"/>
        <v>0/0/0/1.9/3.9</v>
      </c>
      <c r="AP331" s="32" t="str">
        <f t="shared" si="863"/>
        <v>0/0.9/1.9/3.9</v>
      </c>
      <c r="AQ331" s="536">
        <f t="shared" si="862"/>
        <v>0.32657572788380851</v>
      </c>
      <c r="AR331" s="32"/>
      <c r="AS331" s="302"/>
      <c r="AT331" s="3">
        <f t="shared" si="930"/>
        <v>31</v>
      </c>
      <c r="AU331" s="41" t="s">
        <v>121</v>
      </c>
      <c r="AV331" s="41" t="s">
        <v>116</v>
      </c>
      <c r="AW331" s="41" t="str">
        <f>INDEX(Input!$1:$1048576,AW$93,$C331*2+6)</f>
        <v>Kia</v>
      </c>
      <c r="AX331" s="41" t="str">
        <f>INDEX(Input!$1:$1048576,AX$93,$C331*2+6)</f>
        <v>Kia-LR - L3</v>
      </c>
      <c r="AY331" s="41" t="str">
        <f>IF(LEN(D331)=0,"",INDEX(Input!$1:$1048576,AY$93,$C331*2+6))</f>
        <v>Compact SUV (52)</v>
      </c>
      <c r="AZ331" s="41" t="str">
        <f>INDEX(Input!$1:$1048576,AZ$93,$C331*2+6)</f>
        <v>Kia Soul</v>
      </c>
      <c r="BA331" s="3">
        <f>INDEX(Input!$1:$1048576,BA$93,$C331*2+6)</f>
        <v>2020</v>
      </c>
      <c r="BB331" s="128">
        <f>INDEX(Input!$1:$1048576,BB$93,$C331*2+6)</f>
        <v>1</v>
      </c>
      <c r="BC331" s="128">
        <f>INDEX(Input!$1:$1048576,BC$93,$C331*2+6)</f>
        <v>0.7</v>
      </c>
      <c r="BD331" s="1">
        <f>INDEX(Input!$1:$1048576,BD$93,$C331*2+6)</f>
        <v>4.4999999999999998E-2</v>
      </c>
      <c r="BE331" s="1">
        <f>INDEX(Input!$1:$1048576,BE$93,$C331*2+6)</f>
        <v>4.4999999999999998E-2</v>
      </c>
      <c r="BF331" s="1">
        <f>INDEX(Input!$1:$1048576,BF$93,$C331*2+6)</f>
        <v>0.05</v>
      </c>
      <c r="BG331" s="1">
        <f>INDEX(Input!$1:$1048576,BG$93,$C331*2+6)</f>
        <v>5.45E-2</v>
      </c>
      <c r="BH331" s="1">
        <f>INDEX(Input!$1:$1048576,BH$93,$C331*2+6)</f>
        <v>5.45E-2</v>
      </c>
      <c r="BI331" s="1">
        <f>INDEX(Input!$1:$1048576,BI$93,$C331*2+6)</f>
        <v>0.05</v>
      </c>
      <c r="BJ331" s="1">
        <f>INDEX(Input!$1:$1048576,BJ$93,$C331*2+6)</f>
        <v>0.05</v>
      </c>
      <c r="BK331" s="1">
        <f>INDEX(Input!$1:$1048576,BK$93,$C331*2+6)</f>
        <v>0.05</v>
      </c>
      <c r="BL331" s="1">
        <f>INDEX(Input!$1:$1048576,BL$93,$C331*2+6)</f>
        <v>5.5E-2</v>
      </c>
      <c r="BM331" s="1">
        <f>INDEX(Input!$1:$1048576,BM$93,$C331*2+6)</f>
        <v>0.06</v>
      </c>
      <c r="BN331" s="1">
        <f>INDEX(Input!$1:$1048576,BN$93,$C331*2+6)</f>
        <v>4.4999999999999998E-2</v>
      </c>
      <c r="BO331" s="1">
        <f>INDEX(Input!$1:$1048576,BO$93,$C331*2+6)</f>
        <v>4.4999999999999998E-2</v>
      </c>
      <c r="BP331" s="1">
        <f>INDEX(Input!$1:$1048576,BP$93,$C331*2+6)</f>
        <v>0.05</v>
      </c>
      <c r="BQ331" s="1">
        <f>INDEX(Input!$1:$1048576,BQ$93,$C331*2+6)</f>
        <v>5.45E-2</v>
      </c>
      <c r="BR331" s="1">
        <f>INDEX(Input!$1:$1048576,BR$93,$C331*2+6)</f>
        <v>5.45E-2</v>
      </c>
      <c r="BS331" s="1">
        <f>INDEX(Input!$1:$1048576,BS$93,$C331*2+6)</f>
        <v>0.05</v>
      </c>
      <c r="BT331" s="1">
        <f>INDEX(Input!$1:$1048576,BT$93,$C331*2+6)</f>
        <v>0.05</v>
      </c>
      <c r="BU331" s="1">
        <f>INDEX(Input!$1:$1048576,BU$93,$C331*2+6)</f>
        <v>0.05</v>
      </c>
      <c r="BV331" s="1">
        <f>INDEX(Input!$1:$1048576,BV$93,$C331*2+6)</f>
        <v>5.5E-2</v>
      </c>
      <c r="BW331" s="1">
        <f>INDEX(Input!$1:$1048576,BW$93,$C331*2+6)</f>
        <v>0.06</v>
      </c>
      <c r="BX331" s="127">
        <f>INDEX(Input!$1:$1048576,BX$93,$C331*2+6)</f>
        <v>19985</v>
      </c>
      <c r="BY331" s="20">
        <f>INDEX(Input!$1:$1048576,BY$93,$C331*2+6)</f>
        <v>0.1</v>
      </c>
      <c r="BZ331" s="20">
        <f>INDEX(Input!$1:$1048576,BZ$93,$C331*2+6)</f>
        <v>0.1</v>
      </c>
      <c r="CA331" s="20">
        <f>INDEX(Input!$1:$1048576,CA$93,$C331*2+6)</f>
        <v>0.1</v>
      </c>
      <c r="CB331" s="20">
        <f>INDEX(Input!$1:$1048576,CB$93,$C331*2+6)</f>
        <v>0.1</v>
      </c>
      <c r="CC331" s="20">
        <f>INDEX(Input!$1:$1048576,CC$93,$C331*2+6)</f>
        <v>0.1</v>
      </c>
      <c r="CD331" s="384">
        <f>INDEX(Input!$1:$1048576,CD$93,$C331*2+6)</f>
        <v>0.1</v>
      </c>
      <c r="CE331" s="384">
        <f>INDEX(Input!$1:$1048576,CE$93,$C331*2+6)</f>
        <v>0.1</v>
      </c>
      <c r="CF331" s="384">
        <f>INDEX(Input!$1:$1048576,CF$93,$C331*2+6)</f>
        <v>0.1</v>
      </c>
      <c r="CG331" s="384">
        <f>INDEX(Input!$1:$1048576,CG$93,$C331*2+6)</f>
        <v>0.1</v>
      </c>
      <c r="CH331" s="384">
        <f>INDEX(Input!$1:$1048576,CH$93,$C331*2+6)</f>
        <v>0.1</v>
      </c>
      <c r="CI331" s="304">
        <f t="shared" si="864"/>
        <v>1537.0236024844721</v>
      </c>
      <c r="CJ331" s="16" t="str">
        <f>INDEX(Input!$1:$1048576,CJ$93,$C331*2+6)</f>
        <v>N</v>
      </c>
      <c r="CK331" s="1" t="str">
        <f t="shared" si="865"/>
        <v>Market</v>
      </c>
      <c r="CL331" s="1" t="str">
        <f t="shared" si="866"/>
        <v>Market</v>
      </c>
      <c r="CM331" s="1" t="str">
        <f t="shared" si="867"/>
        <v>Market</v>
      </c>
      <c r="CN331" s="1" t="str">
        <f t="shared" si="868"/>
        <v>Market</v>
      </c>
      <c r="CO331" s="1" t="str">
        <f t="shared" si="869"/>
        <v>Market</v>
      </c>
      <c r="CP331" s="304">
        <f t="shared" si="870"/>
        <v>750</v>
      </c>
      <c r="CQ331" s="1">
        <f t="shared" si="871"/>
        <v>0</v>
      </c>
      <c r="CR331" s="1">
        <f t="shared" si="872"/>
        <v>0</v>
      </c>
      <c r="CS331" s="1">
        <f t="shared" si="873"/>
        <v>0</v>
      </c>
      <c r="CT331" s="1">
        <f t="shared" si="874"/>
        <v>1.9E-2</v>
      </c>
      <c r="CU331" s="1">
        <f t="shared" si="875"/>
        <v>3.9E-2</v>
      </c>
      <c r="CV331" s="304">
        <f t="shared" si="876"/>
        <v>1554.9999999999991</v>
      </c>
      <c r="CW331" s="20" t="s">
        <v>122</v>
      </c>
      <c r="CX331" s="20" t="s">
        <v>122</v>
      </c>
      <c r="CY331" s="20" t="s">
        <v>122</v>
      </c>
      <c r="CZ331" s="20" t="s">
        <v>122</v>
      </c>
      <c r="DA331" s="20" t="s">
        <v>122</v>
      </c>
      <c r="DB331" s="503">
        <f t="shared" si="877"/>
        <v>0</v>
      </c>
      <c r="DC331" s="127">
        <v>0</v>
      </c>
      <c r="DD331" s="127">
        <v>0</v>
      </c>
      <c r="DE331" s="127">
        <v>0</v>
      </c>
      <c r="DF331" s="127">
        <v>0</v>
      </c>
      <c r="DG331" s="127">
        <v>0</v>
      </c>
      <c r="DH331" s="127">
        <v>0</v>
      </c>
      <c r="DI331" s="127">
        <v>0</v>
      </c>
      <c r="DJ331" s="127">
        <v>0</v>
      </c>
      <c r="DK331" s="127">
        <v>0</v>
      </c>
      <c r="DL331" s="127">
        <v>0</v>
      </c>
      <c r="DM331" s="304">
        <f>INDEX(Input!$1:$1048576,DM$93,$C331*2+6)</f>
        <v>21036.84210526316</v>
      </c>
      <c r="DN331" s="20">
        <v>0</v>
      </c>
      <c r="DO331" s="20">
        <v>0</v>
      </c>
      <c r="DP331" s="20">
        <v>0</v>
      </c>
      <c r="DQ331" s="20">
        <v>0</v>
      </c>
      <c r="DR331" s="20">
        <v>0</v>
      </c>
      <c r="DS331" s="20">
        <f>INDEX(Input!$1:$1048576,DS$93,$C331*2+6)</f>
        <v>0.6</v>
      </c>
      <c r="DT331" s="20">
        <f>INDEX(Input!$1:$1048576,DT$93,$C331*2+6)</f>
        <v>0.55000000000000004</v>
      </c>
      <c r="DU331" s="20">
        <f>INDEX(Input!$1:$1048576,DU$93,$C331*2+6)</f>
        <v>0.52</v>
      </c>
      <c r="DV331" s="20">
        <f>INDEX(Input!$1:$1048576,DV$93,$C331*2+6)</f>
        <v>0.5</v>
      </c>
      <c r="DW331" s="20">
        <f>INDEX(Input!$1:$1048576,DW$93,$C331*2+6)</f>
        <v>0.45</v>
      </c>
      <c r="DX331" s="20"/>
      <c r="DY331" s="7">
        <v>0.10468547385043672</v>
      </c>
      <c r="DZ331" s="7">
        <v>0</v>
      </c>
      <c r="EA331" s="7">
        <v>0.70260723633687783</v>
      </c>
      <c r="EB331" s="7">
        <v>0</v>
      </c>
      <c r="EC331" s="7">
        <v>0</v>
      </c>
      <c r="ED331" s="7">
        <v>0</v>
      </c>
      <c r="EE331" s="7">
        <v>0</v>
      </c>
      <c r="EF331" s="7">
        <v>0</v>
      </c>
      <c r="EG331" s="7">
        <v>0</v>
      </c>
      <c r="EH331" s="7">
        <v>1.2001461939567424E-2</v>
      </c>
      <c r="EI331" s="7">
        <v>3.3607468755918711E-2</v>
      </c>
      <c r="EJ331" s="7">
        <v>0.27067673855400604</v>
      </c>
      <c r="EK331" s="7">
        <v>0.54239103272551936</v>
      </c>
      <c r="EL331" s="7">
        <v>0.14132329802498833</v>
      </c>
      <c r="EM331" s="7">
        <v>5.017882995369876E-2</v>
      </c>
      <c r="EN331" s="7">
        <v>6.281749307150071E-2</v>
      </c>
      <c r="EO331" s="7">
        <v>0.78064527479167078</v>
      </c>
      <c r="EP331" s="7">
        <v>6.4395924265137697E-2</v>
      </c>
      <c r="EQ331" s="7">
        <v>6.0246541268820009E-2</v>
      </c>
      <c r="ER331" s="7">
        <v>3.1894766602870876E-2</v>
      </c>
      <c r="ES331" s="7">
        <v>0.14252845985898682</v>
      </c>
      <c r="ET331" s="7">
        <v>0.19270728981268545</v>
      </c>
      <c r="EU331" s="6">
        <v>1861</v>
      </c>
      <c r="EV331" s="6">
        <v>0</v>
      </c>
      <c r="EW331" s="6">
        <v>1861</v>
      </c>
      <c r="EX331" s="6">
        <v>0</v>
      </c>
      <c r="EY331" s="6">
        <v>2585.735353005105</v>
      </c>
      <c r="EZ331" s="6">
        <v>2289</v>
      </c>
      <c r="FA331" s="6">
        <v>0</v>
      </c>
      <c r="FB331" s="6">
        <v>0</v>
      </c>
      <c r="FC331" s="6">
        <v>0</v>
      </c>
      <c r="FD331" s="6">
        <v>0</v>
      </c>
      <c r="FE331" s="6">
        <v>0</v>
      </c>
      <c r="FF331" s="6">
        <v>0</v>
      </c>
      <c r="FG331" s="6">
        <v>0</v>
      </c>
      <c r="FH331" s="6">
        <v>1172.0092372068732</v>
      </c>
      <c r="FI331" s="6">
        <v>1553.9796069512404</v>
      </c>
      <c r="FJ331" s="6">
        <v>2101.211011744741</v>
      </c>
      <c r="FK331" s="6">
        <v>1772.7139978623234</v>
      </c>
      <c r="FL331" s="6">
        <v>907.07682140966347</v>
      </c>
      <c r="FM331" s="6">
        <v>1724.735353005105</v>
      </c>
      <c r="FN331" s="6">
        <v>0</v>
      </c>
      <c r="FO331" s="6">
        <v>0</v>
      </c>
      <c r="FP331" s="6">
        <v>0</v>
      </c>
      <c r="FQ331" s="6">
        <v>0</v>
      </c>
      <c r="FR331" s="6">
        <v>0</v>
      </c>
      <c r="FS331" s="6">
        <v>0</v>
      </c>
      <c r="FT331" s="7">
        <v>0.80729271018731452</v>
      </c>
      <c r="FU331" s="7">
        <v>5.017882995369876E-2</v>
      </c>
      <c r="FV331" s="7">
        <v>0.14252845985898682</v>
      </c>
      <c r="FW331" s="6">
        <v>1861</v>
      </c>
      <c r="FX331" s="6">
        <v>2585.7353530051055</v>
      </c>
      <c r="FY331" s="6">
        <v>2289</v>
      </c>
      <c r="FZ331" s="6">
        <v>1858.9243755539039</v>
      </c>
      <c r="GA331" s="6">
        <v>1958.3685528595236</v>
      </c>
      <c r="GB331" s="6">
        <v>18026.631447140477</v>
      </c>
      <c r="GC331" s="7">
        <v>2.9156573141622111E-2</v>
      </c>
      <c r="GD331" s="7">
        <v>3.0198629863448453E-2</v>
      </c>
      <c r="GE331" s="7"/>
      <c r="GF331" s="7"/>
      <c r="GG331" s="7">
        <v>3.5740027360717706E-2</v>
      </c>
      <c r="GH331" s="42">
        <v>7.1825668043771929</v>
      </c>
      <c r="GI331" s="6">
        <v>4740.8000351286091</v>
      </c>
      <c r="GJ331" s="14">
        <v>0.50394797582841733</v>
      </c>
      <c r="GK331" s="14">
        <v>0.50887573065309744</v>
      </c>
      <c r="GL331" s="14">
        <v>0.49605202417158267</v>
      </c>
      <c r="GM331" s="14">
        <v>0.49112426934690256</v>
      </c>
      <c r="GO331" s="5">
        <v>343.14810671672558</v>
      </c>
      <c r="GP331" s="5">
        <v>307.64377699166363</v>
      </c>
      <c r="GQ331" s="5">
        <v>535.04305713031317</v>
      </c>
      <c r="GR331" s="5">
        <v>410.15490233172511</v>
      </c>
      <c r="GS331" s="5">
        <v>339.42744393800166</v>
      </c>
      <c r="GT331" s="5">
        <v>293.4407446948278</v>
      </c>
      <c r="GU331" s="5">
        <v>258.04012322764959</v>
      </c>
      <c r="GV331" s="39" t="s">
        <v>392</v>
      </c>
      <c r="GW331" s="5">
        <v>475.70833333333331</v>
      </c>
      <c r="GX331" s="5">
        <v>356.78125</v>
      </c>
      <c r="GY331" s="5">
        <v>285.42500000000001</v>
      </c>
      <c r="GZ331" s="5">
        <v>251.85744243209055</v>
      </c>
      <c r="HA331" s="5">
        <v>233.29765628588393</v>
      </c>
      <c r="HB331" s="39">
        <v>264.53323077885574</v>
      </c>
      <c r="HC331" s="5">
        <v>187.140625</v>
      </c>
      <c r="HD331" s="5">
        <v>171.45330774853798</v>
      </c>
      <c r="HE331" s="5">
        <v>177.50180921052629</v>
      </c>
      <c r="HF331" s="5">
        <v>167.9756304824561</v>
      </c>
      <c r="HG331" s="5">
        <v>166.75888157894735</v>
      </c>
      <c r="HH331" s="39">
        <v>172.46899887941177</v>
      </c>
      <c r="HI331" s="16"/>
      <c r="HJ331" s="19" t="str">
        <f t="shared" si="972"/>
        <v>On</v>
      </c>
      <c r="HK331" s="1" t="str">
        <f t="shared" si="972"/>
        <v>On</v>
      </c>
      <c r="HL331" s="16"/>
      <c r="HM331" s="639">
        <f t="shared" si="878"/>
        <v>2.2758057894877178E-2</v>
      </c>
      <c r="HN331" s="639">
        <f t="shared" si="879"/>
        <v>1.416759231746561E-3</v>
      </c>
      <c r="HO331" s="639">
        <f t="shared" si="880"/>
        <v>4.5732401537654987E-3</v>
      </c>
      <c r="HP331" s="644">
        <f>(FT331*$GD331-HM331)/$JF331*INDEX(Input!$1:$1048576,$JG$93,$C331*2+6)</f>
        <v>90.786382380808831</v>
      </c>
      <c r="HQ331" s="644">
        <f>(FU331*$GD331-HN331)/$JF331*INDEX(Input!$1:$1048576,$JG$93,$C331*2+6)</f>
        <v>5.5204431684534825</v>
      </c>
      <c r="HR331" s="644">
        <f>(FV331*$GD331-HO331)/$JF331*INDEX(Input!$1:$1048576,$JG$93,$C331*2+6)</f>
        <v>-15.069271444398531</v>
      </c>
      <c r="HS331" s="644">
        <f t="shared" si="975"/>
        <v>-41.914515885312433</v>
      </c>
      <c r="HT331" s="644">
        <f t="shared" si="882"/>
        <v>46.877527290573298</v>
      </c>
      <c r="HU331" s="644">
        <f t="shared" si="883"/>
        <v>12.046002936567129</v>
      </c>
      <c r="HV331" s="648">
        <f t="shared" si="884"/>
        <v>0</v>
      </c>
      <c r="HW331" s="648">
        <f t="shared" si="885"/>
        <v>0</v>
      </c>
      <c r="HX331" s="648">
        <f t="shared" si="886"/>
        <v>0</v>
      </c>
      <c r="HY331" s="644">
        <f>INDEX(Input!$1:$1048576,HY$93,$C331*2+6)*INDEX(Input!$1:$1048576,$JG$93,$C331*2+6)</f>
        <v>509.00000000000006</v>
      </c>
      <c r="HZ331" s="644">
        <f>INDEX(Input!$1:$1048576,HZ$93,$C331*2+6)*INDEX(Input!$1:$1048576,$JG$93,$C331*2+6)</f>
        <v>844</v>
      </c>
      <c r="IA331" s="644">
        <f>INDEX(Input!$1:$1048576,IA$93,$C331*2+6)*INDEX(Input!$1:$1048576,$JG$93,$C331*2+6)</f>
        <v>257</v>
      </c>
      <c r="IB331" s="644">
        <f t="shared" si="910"/>
        <v>557.87186649549653</v>
      </c>
      <c r="IC331" s="644">
        <f t="shared" si="911"/>
        <v>896.39797045902685</v>
      </c>
      <c r="ID331" s="644">
        <f>IF(AND(INDEX(Input!$1:$1048576,IA$93,$C331*2+7)="TOS",Y331&lt;=INDEX(Y:Y,MATCH(C331*1000+2,A:A))),0,1)*MAX(IA331+HR331+HU331+HX331,0%)</f>
        <v>253.9767314921686</v>
      </c>
      <c r="IE331" s="128">
        <f t="shared" si="976"/>
        <v>0.32657572788380851</v>
      </c>
      <c r="IF331" s="128">
        <f t="shared" si="977"/>
        <v>0.52474741469793862</v>
      </c>
      <c r="IG331" s="128">
        <f t="shared" si="888"/>
        <v>0.1486768574182529</v>
      </c>
      <c r="IH331" s="21"/>
      <c r="II331" s="19">
        <f t="shared" si="889"/>
        <v>1410.4999999999998</v>
      </c>
      <c r="IJ331" s="19">
        <f t="shared" si="890"/>
        <v>2134.9731585778086</v>
      </c>
      <c r="IK331" s="19">
        <f t="shared" si="891"/>
        <v>2103.5</v>
      </c>
      <c r="IL331" s="19">
        <f t="shared" si="913"/>
        <v>450.50000000000023</v>
      </c>
      <c r="IM331" s="19">
        <f t="shared" si="892"/>
        <v>450.76219442729689</v>
      </c>
      <c r="IN331" s="19">
        <f t="shared" si="893"/>
        <v>185.5</v>
      </c>
      <c r="IO331" s="39">
        <f t="shared" si="894"/>
        <v>0</v>
      </c>
      <c r="IP331" s="39">
        <f t="shared" si="895"/>
        <v>0</v>
      </c>
      <c r="IQ331" s="39">
        <f t="shared" si="896"/>
        <v>0</v>
      </c>
      <c r="IR331" s="39">
        <v>0</v>
      </c>
      <c r="IS331" s="39">
        <v>0</v>
      </c>
      <c r="IT331" s="39">
        <v>0</v>
      </c>
      <c r="IU331" s="39">
        <v>0</v>
      </c>
      <c r="IV331" s="39">
        <v>0</v>
      </c>
      <c r="IW331" s="39">
        <v>0</v>
      </c>
      <c r="IX331" s="39">
        <f>INDEX(Input!$1:$1048576,IX$93,$C331*2+6)+INDEX(Input!$1:$1048576,IX$94,$C331*2+6)</f>
        <v>1611</v>
      </c>
      <c r="IY331" s="39">
        <f>INDEX(Input!$1:$1048576,IY$93,$C331*2+6)+INDEX(Input!$1:$1048576,IY$94,$C331*2+6)</f>
        <v>2471.0624533823611</v>
      </c>
      <c r="IZ331" s="39">
        <f>INDEX(Input!$1:$1048576,IZ$93,$C331*2+6)+INDEX(Input!$1:$1048576,IZ$94,$C331*2+6)</f>
        <v>3994.7164157747857</v>
      </c>
      <c r="JA331" s="19">
        <f t="shared" si="914"/>
        <v>2061.5</v>
      </c>
      <c r="JB331" s="19">
        <f t="shared" si="915"/>
        <v>2921.824647809658</v>
      </c>
      <c r="JC331" s="19">
        <f t="shared" si="916"/>
        <v>4180.2164157747857</v>
      </c>
      <c r="JD331" s="19">
        <f t="shared" si="917"/>
        <v>2827.957233196892</v>
      </c>
      <c r="JE331" s="21"/>
      <c r="JF331" s="1">
        <f t="shared" si="897"/>
        <v>2.8748057280389237E-2</v>
      </c>
      <c r="JG331" s="15">
        <f>INDEX(Input!$1:$1048576,JG$93,$C331*2+6)/(1+VLOOKUP(C331*1000+INDEX(Input!$1:$1048576,JG$93+1,$C331*2+6),$A:$KK,$JK$92,FALSE))</f>
        <v>1610</v>
      </c>
      <c r="JH331" s="1">
        <f t="shared" si="918"/>
        <v>5.0458108139666953E-2</v>
      </c>
      <c r="JI331" s="1">
        <f t="shared" si="919"/>
        <v>1.0564605181259623E-2</v>
      </c>
      <c r="JJ331" s="1">
        <f t="shared" si="978"/>
        <v>0</v>
      </c>
      <c r="JK331" s="1">
        <f t="shared" si="979"/>
        <v>6.1022713320926576E-2</v>
      </c>
      <c r="JL331" s="15">
        <f t="shared" si="922"/>
        <v>98.246568446691782</v>
      </c>
      <c r="JM331" s="15">
        <f t="shared" si="948"/>
        <v>1708.2465684466918</v>
      </c>
      <c r="JN331" s="21"/>
      <c r="JO331" s="19">
        <f>INDEX(Input!$1:$1048576,JO$93,$C331*2+6)</f>
        <v>5995.5</v>
      </c>
      <c r="JP331" s="19">
        <f>INDEX(Input!$1:$1048576,JP$93,$C331*2+6)</f>
        <v>2442.3713226762939</v>
      </c>
      <c r="JQ331" s="39">
        <f t="shared" si="934"/>
        <v>3167.542766803108</v>
      </c>
      <c r="JR331" s="39">
        <f t="shared" si="951"/>
        <v>385.58591052059819</v>
      </c>
      <c r="JS331" s="39">
        <f t="shared" si="936"/>
        <v>4.8308482393225916</v>
      </c>
      <c r="JT331" s="39">
        <f t="shared" si="924"/>
        <v>0.89863040981375841</v>
      </c>
      <c r="JU331" s="385">
        <f>(JQ331*JM331-INDEX(Input!$1:$1048576,Input!A$18,$C331*2+6)*JL331*INDEX(Input!$1:$1048576,Input!A$19,$C331*2+6))/1000000</f>
        <v>5.4109440617995483</v>
      </c>
      <c r="JV331" s="39">
        <f t="shared" si="958"/>
        <v>-0.30959310869161882</v>
      </c>
      <c r="JW331" s="1">
        <f t="shared" si="949"/>
        <v>-5.4119586931210703E-2</v>
      </c>
      <c r="JX331" s="19">
        <f t="shared" si="940"/>
        <v>9146.6849582777213</v>
      </c>
      <c r="JZ331" s="341"/>
      <c r="KA331" s="342"/>
      <c r="KB331" s="469">
        <f t="shared" si="937"/>
        <v>2.5190675447988795</v>
      </c>
      <c r="KI331" s="473">
        <f t="shared" si="964"/>
        <v>48.871866495496363</v>
      </c>
      <c r="KJ331" s="473">
        <f t="shared" si="965"/>
        <v>52.397970459026737</v>
      </c>
      <c r="KK331" s="473">
        <f t="shared" si="926"/>
        <v>-3.0232685078314034</v>
      </c>
      <c r="KN331" s="544">
        <f t="shared" si="941"/>
        <v>3002</v>
      </c>
      <c r="KO331" s="541">
        <f t="shared" si="901"/>
        <v>2.9602945545377013E-2</v>
      </c>
      <c r="KP331" s="546">
        <f t="shared" si="902"/>
        <v>212.94286732111519</v>
      </c>
      <c r="KQ331" s="546">
        <f t="shared" si="903"/>
        <v>192.04380780819383</v>
      </c>
      <c r="KR331" s="548">
        <f t="shared" si="904"/>
        <v>2.4118397182835496</v>
      </c>
      <c r="KS331" s="548">
        <f t="shared" si="905"/>
        <v>2.6743068208853593</v>
      </c>
      <c r="KT331" s="473">
        <f t="shared" si="939"/>
        <v>1026.1618045255443</v>
      </c>
      <c r="KU331" s="663">
        <f t="shared" si="927"/>
        <v>4.6973907086830549</v>
      </c>
      <c r="KV331" s="117"/>
    </row>
    <row r="332" spans="1:308" s="26" customFormat="1" ht="15">
      <c r="A332" s="561">
        <f t="shared" si="906"/>
        <v>3032</v>
      </c>
      <c r="B332" s="561">
        <f t="shared" si="928"/>
        <v>32</v>
      </c>
      <c r="C332" s="561">
        <f t="shared" si="929"/>
        <v>3</v>
      </c>
      <c r="D332" s="561" t="str">
        <f t="shared" si="974"/>
        <v xml:space="preserve">500 CC, 500 Combo, </v>
      </c>
      <c r="E332" s="475">
        <f>INDEX(Input!$1:$1048576,E$93,$C332*2+MIN($B332,2)+5)
+INDEX(Scenarios!E$121:E$200,MATCH($B332,Scenarios!$B$121:$B$200,0))</f>
        <v>1787.0236024844721</v>
      </c>
      <c r="F332" s="475">
        <f>INDEX(Input!$1:$1048576,F$93,$C332*2+MIN($B332,2)+5)
+INDEX(Scenarios!F$121:F$200,MATCH($B332,Scenarios!$B$121:$B$200,0))</f>
        <v>0</v>
      </c>
      <c r="G332" s="475">
        <f>INDEX(Input!$1:$1048576,G$93,$C332*2+MIN($B332,2)+5)
+INDEX(Scenarios!G$121:G$200,MATCH($B332,Scenarios!$B$121:$B$200,0))</f>
        <v>0</v>
      </c>
      <c r="H332" s="475">
        <f>INDEX(Input!$1:$1048576,H$93,$C332*2+MIN($B332,2)+5)
+INDEX(Scenarios!H$121:H$200,MATCH($B332,Scenarios!$B$121:$B$200,0))</f>
        <v>0</v>
      </c>
      <c r="I332" s="476">
        <f>INDEX(Input!$1:$1048576,I$93,$C332*2+MIN($B332,2)+5)</f>
        <v>0.7</v>
      </c>
      <c r="J332" s="476" t="str">
        <f>INDEX(Input!$1:$1048576,J$93,$C332*2+MIN($B332,2)+5)</f>
        <v>Market</v>
      </c>
      <c r="K332" s="476" t="str">
        <f>INDEX(Input!$1:$1048576,K$93,$C332*2+MIN($B332,2)+5)</f>
        <v>Market</v>
      </c>
      <c r="L332" s="476" t="str">
        <f>INDEX(Input!$1:$1048576,L$93,$C332*2+MIN($B332,2)+5)</f>
        <v>Market</v>
      </c>
      <c r="M332" s="476" t="str">
        <f>INDEX(Input!$1:$1048576,M$93,$C332*2+MIN($B332,2)+5)</f>
        <v>Market</v>
      </c>
      <c r="N332" s="476" t="str">
        <f>INDEX(Input!$1:$1048576,N$93,$C332*2+MIN($B332,2)+5)</f>
        <v>Market</v>
      </c>
      <c r="O332" s="476" t="str">
        <f>INDEX(Input!$1:$1048576,O$93,$C332*2+MIN($B332,2)+5)</f>
        <v>Market</v>
      </c>
      <c r="P332" s="476" t="str">
        <f>INDEX(Input!$1:$1048576,P$93,$C332*2+MIN($B332,2)+5)</f>
        <v>N</v>
      </c>
      <c r="Q332" s="477">
        <f>INDEX(Input!$1:$1048576,Q$93,$C332*2+MIN($B332,2)+5)
+INDEX(Scenarios!Q$121:Q$200,MATCH($B332,Scenarios!$B$121:$B$200,0))</f>
        <v>500</v>
      </c>
      <c r="R332" s="478">
        <f>IFERROR(MAX(0,INDEX(Input!$1:$1048576,R$93,$C332*2+MIN($B332,2)+5)
+INDEX(Scenarios!R$121:R$200,MATCH($B332,Scenarios!$B$121:$B$200,0)),),"Market")</f>
        <v>0</v>
      </c>
      <c r="S332" s="478">
        <f>IFERROR(MAX(0,INDEX(Input!$1:$1048576,S$93,$C332*2+MIN($B332,2)+5)
+INDEX(Scenarios!S$121:S$200,MATCH($B332,Scenarios!$B$121:$B$200,0)),),"Market")</f>
        <v>0</v>
      </c>
      <c r="T332" s="478">
        <f>IFERROR(MAX(0,INDEX(Input!$1:$1048576,T$93,$C332*2+MIN($B332,2)+5)
+INDEX(Scenarios!T$121:T$200,MATCH($B332,Scenarios!$B$121:$B$200,0)),),"Market")</f>
        <v>0</v>
      </c>
      <c r="U332" s="478">
        <f>IFERROR(MAX(0,INDEX(Input!$1:$1048576,U$93,$C332*2+MIN($B332,2)+5)
+INDEX(Scenarios!U$121:U$200,MATCH($B332,Scenarios!$B$121:$B$200,0)),),"Market")</f>
        <v>0</v>
      </c>
      <c r="V332" s="478">
        <f>IFERROR(MAX(0,INDEX(Input!$1:$1048576,V$93,$C332*2+MIN($B332,2)+5)
+INDEX(Scenarios!V$121:V$200,MATCH($B332,Scenarios!$B$121:$B$200,0)),),"Market")</f>
        <v>1.9E-2</v>
      </c>
      <c r="W332" s="885">
        <f>IFERROR(MAX(0,INDEX(Input!$1:$1048576,W$93,$C332*2+MIN($B332,2)+5)-0%,),"Market")</f>
        <v>3.9E-2</v>
      </c>
      <c r="X332" s="476" t="str">
        <f>INDEX(Input!$1:$1048576,X$93,$C332*2+MIN($B332,2)+5)</f>
        <v>Y</v>
      </c>
      <c r="Y332" s="475">
        <f>INDEX(Input!$1:$1048576,Y$93,$C332*2+MIN($B332,2)+5)
++INDEX(Scenarios!Y$121:Y$200,MATCH($B332,Scenarios!$B$121:$B$200,0))</f>
        <v>1554.9999999999991</v>
      </c>
      <c r="Z332" s="477">
        <f>INDEX(Input!$1:$1048576,Z$93,$C332*2+MIN($B332,2)+5)
+INDEX(Scenarios!Z$121:Z$200,MATCH($B332,Scenarios!$B$121:$B$200,0))</f>
        <v>0</v>
      </c>
      <c r="AA332" s="475">
        <f>INDEX(Input!$1:$1048576,AA$93,$C332*2+MIN($B332,2)+5)
+INDEX(Scenarios!AA$121:AA$200,MATCH($B332,Scenarios!$B$121:$B$200,0))</f>
        <v>0</v>
      </c>
      <c r="AB332" s="476">
        <f>INDEX(Input!$1:$1048576,AB$93,$C332*2+MIN($B332,2)+5)</f>
        <v>0.27</v>
      </c>
      <c r="AC332" s="475">
        <f>INDEX(Input!$1:$1048576,AC$93,$C332*2+MIN($B332,2)+5)
+INDEX(Scenarios!AC$121:AC$200,MATCH($B332,Scenarios!$B$121:$B$200,0))</f>
        <v>0</v>
      </c>
      <c r="AD332" s="476">
        <f>INDEX(Input!$1:$1048576,AD$93,$C332*2+MIN($B332,2)+5)</f>
        <v>0.27</v>
      </c>
      <c r="AE332" s="475">
        <f>INDEX(Input!$1:$1048576,AE$93,$C332*2+MIN($B332,2)+5)
+INDEX(Scenarios!AE$121:AE$200,MATCH($B332,Scenarios!$B$121:$B$200,0))</f>
        <v>0</v>
      </c>
      <c r="AF332" s="476">
        <f>INDEX(Input!$1:$1048576,AF$93,$C332*2+MIN($B332,2)+5)</f>
        <v>0.68200000000000005</v>
      </c>
      <c r="AG332" s="475">
        <f>INDEX(Input!$1:$1048576,AG$93,$C332*2+MIN($B332,2)+5)
+INDEX(Scenarios!AG$121:AG$200,MATCH($B332,Scenarios!$B$121:$B$200,0))</f>
        <v>500</v>
      </c>
      <c r="AH332" s="476">
        <f>INDEX(Input!$1:$1048576,AH$93,$C332*2+MIN($B332,2)+5)</f>
        <v>1</v>
      </c>
      <c r="AI332" s="475">
        <f>INDEX(Input!$1:$1048576,AI$93,$C332*2+MIN($B332,2)+5)
+INDEX(Scenarios!AI$121:AI$200,MATCH($B332,Scenarios!$B$121:$B$200,0))</f>
        <v>0</v>
      </c>
      <c r="AJ332" s="476">
        <f>INDEX(Input!$1:$1048576,AJ$93,$C332*2+MIN($B332,2)+5)</f>
        <v>0.27</v>
      </c>
      <c r="AK332" s="150">
        <f>ROUND(INDEX(Input!$1:$1048576,AK$93,$C331*2+MIN($B332,1)+5)+(Y332-VLOOKUP($C332*1000+1,$A:$HH,Y$92,FALSE)),0)</f>
        <v>2977</v>
      </c>
      <c r="AL332" s="150">
        <f>ROUND(INDEX(Input!$1:$1048576,AL$93,$C331*2+MIN($B332,1)+5)-(Y332-VLOOKUP($C332*1000+1,$A:$HH,Y$92,FALSE))/36,0)</f>
        <v>3395</v>
      </c>
      <c r="AM332" s="32" t="str">
        <f t="shared" si="907"/>
        <v>std/std/std/std</v>
      </c>
      <c r="AN332" s="32" t="str">
        <f t="shared" si="908"/>
        <v>$500 + 0/0/0/1.9/3.9</v>
      </c>
      <c r="AO332" s="32" t="str">
        <f t="shared" si="909"/>
        <v>0/0/0/1.9/3.9</v>
      </c>
      <c r="AP332" s="32" t="str">
        <f t="shared" si="863"/>
        <v>0/0.9/1.9/3.9</v>
      </c>
      <c r="AQ332" s="536">
        <f t="shared" si="862"/>
        <v>0.33872757402087389</v>
      </c>
      <c r="AR332" s="32"/>
      <c r="AS332" s="302"/>
      <c r="AT332" s="3">
        <f t="shared" si="930"/>
        <v>32</v>
      </c>
      <c r="AU332" s="41" t="s">
        <v>121</v>
      </c>
      <c r="AV332" s="41" t="s">
        <v>116</v>
      </c>
      <c r="AW332" s="41" t="str">
        <f>INDEX(Input!$1:$1048576,AW$93,$C332*2+6)</f>
        <v>Kia</v>
      </c>
      <c r="AX332" s="41" t="str">
        <f>INDEX(Input!$1:$1048576,AX$93,$C332*2+6)</f>
        <v>Kia-LR - L3</v>
      </c>
      <c r="AY332" s="41" t="str">
        <f>IF(LEN(D332)=0,"",INDEX(Input!$1:$1048576,AY$93,$C332*2+6))</f>
        <v>Compact SUV (52)</v>
      </c>
      <c r="AZ332" s="41" t="str">
        <f>INDEX(Input!$1:$1048576,AZ$93,$C332*2+6)</f>
        <v>Kia Soul</v>
      </c>
      <c r="BA332" s="3">
        <f>INDEX(Input!$1:$1048576,BA$93,$C332*2+6)</f>
        <v>2020</v>
      </c>
      <c r="BB332" s="128">
        <f>INDEX(Input!$1:$1048576,BB$93,$C332*2+6)</f>
        <v>1</v>
      </c>
      <c r="BC332" s="128">
        <f>INDEX(Input!$1:$1048576,BC$93,$C332*2+6)</f>
        <v>0.7</v>
      </c>
      <c r="BD332" s="1">
        <f>INDEX(Input!$1:$1048576,BD$93,$C332*2+6)</f>
        <v>4.4999999999999998E-2</v>
      </c>
      <c r="BE332" s="1">
        <f>INDEX(Input!$1:$1048576,BE$93,$C332*2+6)</f>
        <v>4.4999999999999998E-2</v>
      </c>
      <c r="BF332" s="1">
        <f>INDEX(Input!$1:$1048576,BF$93,$C332*2+6)</f>
        <v>0.05</v>
      </c>
      <c r="BG332" s="1">
        <f>INDEX(Input!$1:$1048576,BG$93,$C332*2+6)</f>
        <v>5.45E-2</v>
      </c>
      <c r="BH332" s="1">
        <f>INDEX(Input!$1:$1048576,BH$93,$C332*2+6)</f>
        <v>5.45E-2</v>
      </c>
      <c r="BI332" s="1">
        <f>INDEX(Input!$1:$1048576,BI$93,$C332*2+6)</f>
        <v>0.05</v>
      </c>
      <c r="BJ332" s="1">
        <f>INDEX(Input!$1:$1048576,BJ$93,$C332*2+6)</f>
        <v>0.05</v>
      </c>
      <c r="BK332" s="1">
        <f>INDEX(Input!$1:$1048576,BK$93,$C332*2+6)</f>
        <v>0.05</v>
      </c>
      <c r="BL332" s="1">
        <f>INDEX(Input!$1:$1048576,BL$93,$C332*2+6)</f>
        <v>5.5E-2</v>
      </c>
      <c r="BM332" s="1">
        <f>INDEX(Input!$1:$1048576,BM$93,$C332*2+6)</f>
        <v>0.06</v>
      </c>
      <c r="BN332" s="1">
        <f>INDEX(Input!$1:$1048576,BN$93,$C332*2+6)</f>
        <v>4.4999999999999998E-2</v>
      </c>
      <c r="BO332" s="1">
        <f>INDEX(Input!$1:$1048576,BO$93,$C332*2+6)</f>
        <v>4.4999999999999998E-2</v>
      </c>
      <c r="BP332" s="1">
        <f>INDEX(Input!$1:$1048576,BP$93,$C332*2+6)</f>
        <v>0.05</v>
      </c>
      <c r="BQ332" s="1">
        <f>INDEX(Input!$1:$1048576,BQ$93,$C332*2+6)</f>
        <v>5.45E-2</v>
      </c>
      <c r="BR332" s="1">
        <f>INDEX(Input!$1:$1048576,BR$93,$C332*2+6)</f>
        <v>5.45E-2</v>
      </c>
      <c r="BS332" s="1">
        <f>INDEX(Input!$1:$1048576,BS$93,$C332*2+6)</f>
        <v>0.05</v>
      </c>
      <c r="BT332" s="1">
        <f>INDEX(Input!$1:$1048576,BT$93,$C332*2+6)</f>
        <v>0.05</v>
      </c>
      <c r="BU332" s="1">
        <f>INDEX(Input!$1:$1048576,BU$93,$C332*2+6)</f>
        <v>0.05</v>
      </c>
      <c r="BV332" s="1">
        <f>INDEX(Input!$1:$1048576,BV$93,$C332*2+6)</f>
        <v>5.5E-2</v>
      </c>
      <c r="BW332" s="1">
        <f>INDEX(Input!$1:$1048576,BW$93,$C332*2+6)</f>
        <v>0.06</v>
      </c>
      <c r="BX332" s="127">
        <f>INDEX(Input!$1:$1048576,BX$93,$C332*2+6)</f>
        <v>19985</v>
      </c>
      <c r="BY332" s="20">
        <f>INDEX(Input!$1:$1048576,BY$93,$C332*2+6)</f>
        <v>0.1</v>
      </c>
      <c r="BZ332" s="20">
        <f>INDEX(Input!$1:$1048576,BZ$93,$C332*2+6)</f>
        <v>0.1</v>
      </c>
      <c r="CA332" s="20">
        <f>INDEX(Input!$1:$1048576,CA$93,$C332*2+6)</f>
        <v>0.1</v>
      </c>
      <c r="CB332" s="20">
        <f>INDEX(Input!$1:$1048576,CB$93,$C332*2+6)</f>
        <v>0.1</v>
      </c>
      <c r="CC332" s="20">
        <f>INDEX(Input!$1:$1048576,CC$93,$C332*2+6)</f>
        <v>0.1</v>
      </c>
      <c r="CD332" s="384">
        <f>INDEX(Input!$1:$1048576,CD$93,$C332*2+6)</f>
        <v>0.1</v>
      </c>
      <c r="CE332" s="384">
        <f>INDEX(Input!$1:$1048576,CE$93,$C332*2+6)</f>
        <v>0.1</v>
      </c>
      <c r="CF332" s="384">
        <f>INDEX(Input!$1:$1048576,CF$93,$C332*2+6)</f>
        <v>0.1</v>
      </c>
      <c r="CG332" s="384">
        <f>INDEX(Input!$1:$1048576,CG$93,$C332*2+6)</f>
        <v>0.1</v>
      </c>
      <c r="CH332" s="384">
        <f>INDEX(Input!$1:$1048576,CH$93,$C332*2+6)</f>
        <v>0.1</v>
      </c>
      <c r="CI332" s="304">
        <f t="shared" si="864"/>
        <v>1787.0236024844721</v>
      </c>
      <c r="CJ332" s="16" t="str">
        <f>INDEX(Input!$1:$1048576,CJ$93,$C332*2+6)</f>
        <v>N</v>
      </c>
      <c r="CK332" s="1" t="str">
        <f t="shared" si="865"/>
        <v>Market</v>
      </c>
      <c r="CL332" s="1" t="str">
        <f t="shared" si="866"/>
        <v>Market</v>
      </c>
      <c r="CM332" s="1" t="str">
        <f t="shared" si="867"/>
        <v>Market</v>
      </c>
      <c r="CN332" s="1" t="str">
        <f t="shared" si="868"/>
        <v>Market</v>
      </c>
      <c r="CO332" s="1" t="str">
        <f t="shared" si="869"/>
        <v>Market</v>
      </c>
      <c r="CP332" s="304">
        <f t="shared" si="870"/>
        <v>1000</v>
      </c>
      <c r="CQ332" s="1">
        <f t="shared" si="871"/>
        <v>0</v>
      </c>
      <c r="CR332" s="1">
        <f t="shared" si="872"/>
        <v>0</v>
      </c>
      <c r="CS332" s="1">
        <f t="shared" si="873"/>
        <v>0</v>
      </c>
      <c r="CT332" s="1">
        <f t="shared" si="874"/>
        <v>1.9E-2</v>
      </c>
      <c r="CU332" s="1">
        <f t="shared" si="875"/>
        <v>3.9E-2</v>
      </c>
      <c r="CV332" s="304">
        <f t="shared" si="876"/>
        <v>1554.9999999999991</v>
      </c>
      <c r="CW332" s="20" t="s">
        <v>122</v>
      </c>
      <c r="CX332" s="20" t="s">
        <v>122</v>
      </c>
      <c r="CY332" s="20" t="s">
        <v>122</v>
      </c>
      <c r="CZ332" s="20" t="s">
        <v>122</v>
      </c>
      <c r="DA332" s="20" t="s">
        <v>122</v>
      </c>
      <c r="DB332" s="503">
        <f t="shared" si="877"/>
        <v>0</v>
      </c>
      <c r="DC332" s="127">
        <v>0</v>
      </c>
      <c r="DD332" s="127">
        <v>0</v>
      </c>
      <c r="DE332" s="127">
        <v>0</v>
      </c>
      <c r="DF332" s="127">
        <v>0</v>
      </c>
      <c r="DG332" s="127">
        <v>0</v>
      </c>
      <c r="DH332" s="127">
        <v>0</v>
      </c>
      <c r="DI332" s="127">
        <v>0</v>
      </c>
      <c r="DJ332" s="127">
        <v>0</v>
      </c>
      <c r="DK332" s="127">
        <v>0</v>
      </c>
      <c r="DL332" s="127">
        <v>0</v>
      </c>
      <c r="DM332" s="304">
        <f>INDEX(Input!$1:$1048576,DM$93,$C332*2+6)</f>
        <v>21036.84210526316</v>
      </c>
      <c r="DN332" s="20">
        <v>0</v>
      </c>
      <c r="DO332" s="20">
        <v>0</v>
      </c>
      <c r="DP332" s="20">
        <v>0</v>
      </c>
      <c r="DQ332" s="20">
        <v>0</v>
      </c>
      <c r="DR332" s="20">
        <v>0</v>
      </c>
      <c r="DS332" s="20">
        <f>INDEX(Input!$1:$1048576,DS$93,$C332*2+6)</f>
        <v>0.6</v>
      </c>
      <c r="DT332" s="20">
        <f>INDEX(Input!$1:$1048576,DT$93,$C332*2+6)</f>
        <v>0.55000000000000004</v>
      </c>
      <c r="DU332" s="20">
        <f>INDEX(Input!$1:$1048576,DU$93,$C332*2+6)</f>
        <v>0.52</v>
      </c>
      <c r="DV332" s="20">
        <f>INDEX(Input!$1:$1048576,DV$93,$C332*2+6)</f>
        <v>0.5</v>
      </c>
      <c r="DW332" s="20">
        <f>INDEX(Input!$1:$1048576,DW$93,$C332*2+6)</f>
        <v>0.45</v>
      </c>
      <c r="DX332" s="20"/>
      <c r="DY332" s="7">
        <v>0.10910301577908711</v>
      </c>
      <c r="DZ332" s="7">
        <v>0</v>
      </c>
      <c r="EA332" s="7">
        <v>0.71308870140059233</v>
      </c>
      <c r="EB332" s="7">
        <v>0</v>
      </c>
      <c r="EC332" s="7">
        <v>0</v>
      </c>
      <c r="ED332" s="7">
        <v>0</v>
      </c>
      <c r="EE332" s="7">
        <v>0</v>
      </c>
      <c r="EF332" s="7">
        <v>0</v>
      </c>
      <c r="EG332" s="7">
        <v>0</v>
      </c>
      <c r="EH332" s="7">
        <v>1.2002470722955093E-2</v>
      </c>
      <c r="EI332" s="7">
        <v>3.3615545111919588E-2</v>
      </c>
      <c r="EJ332" s="7">
        <v>0.27098202764897666</v>
      </c>
      <c r="EK332" s="7">
        <v>0.54219107146265333</v>
      </c>
      <c r="EL332" s="7">
        <v>0.14120888505349538</v>
      </c>
      <c r="EM332" s="7">
        <v>5.1097749157759713E-2</v>
      </c>
      <c r="EN332" s="7">
        <v>6.2828363304902116E-2</v>
      </c>
      <c r="EO332" s="7">
        <v>0.78066231298836208</v>
      </c>
      <c r="EP332" s="7">
        <v>6.4376739266992153E-2</v>
      </c>
      <c r="EQ332" s="7">
        <v>6.0236302924311931E-2</v>
      </c>
      <c r="ER332" s="7">
        <v>3.1896281515431932E-2</v>
      </c>
      <c r="ES332" s="7">
        <v>0.12671053366256091</v>
      </c>
      <c r="ET332" s="7">
        <v>0.17780828282032057</v>
      </c>
      <c r="EU332" s="6">
        <v>2111</v>
      </c>
      <c r="EV332" s="6">
        <v>0</v>
      </c>
      <c r="EW332" s="6">
        <v>2111</v>
      </c>
      <c r="EX332" s="6">
        <v>0</v>
      </c>
      <c r="EY332" s="6">
        <v>2835.932386053752</v>
      </c>
      <c r="EZ332" s="6">
        <v>2289</v>
      </c>
      <c r="FA332" s="6">
        <v>0</v>
      </c>
      <c r="FB332" s="6">
        <v>0</v>
      </c>
      <c r="FC332" s="6">
        <v>0</v>
      </c>
      <c r="FD332" s="6">
        <v>0</v>
      </c>
      <c r="FE332" s="6">
        <v>0</v>
      </c>
      <c r="FF332" s="6">
        <v>0</v>
      </c>
      <c r="FG332" s="6">
        <v>0</v>
      </c>
      <c r="FH332" s="6">
        <v>1172.0158132511808</v>
      </c>
      <c r="FI332" s="6">
        <v>1553.9796069512399</v>
      </c>
      <c r="FJ332" s="6">
        <v>2101.2110117447414</v>
      </c>
      <c r="FK332" s="6">
        <v>1772.7139978623234</v>
      </c>
      <c r="FL332" s="6">
        <v>907.07682140966335</v>
      </c>
      <c r="FM332" s="6">
        <v>1724.932386053752</v>
      </c>
      <c r="FN332" s="6">
        <v>0</v>
      </c>
      <c r="FO332" s="6">
        <v>0</v>
      </c>
      <c r="FP332" s="6">
        <v>0</v>
      </c>
      <c r="FQ332" s="6">
        <v>0</v>
      </c>
      <c r="FR332" s="6">
        <v>0</v>
      </c>
      <c r="FS332" s="6">
        <v>0</v>
      </c>
      <c r="FT332" s="7">
        <v>0.82219171717967943</v>
      </c>
      <c r="FU332" s="7">
        <v>5.1097749157759713E-2</v>
      </c>
      <c r="FV332" s="7">
        <v>0.12671053366256091</v>
      </c>
      <c r="FW332" s="6">
        <v>2111</v>
      </c>
      <c r="FX332" s="6">
        <v>2835.932386053752</v>
      </c>
      <c r="FY332" s="6">
        <v>2289</v>
      </c>
      <c r="FZ332" s="6">
        <v>1858.9243755539039</v>
      </c>
      <c r="GA332" s="6">
        <v>2170.5968882108468</v>
      </c>
      <c r="GB332" s="6">
        <v>17814.403111789154</v>
      </c>
      <c r="GC332" s="7">
        <v>2.9156573141622111E-2</v>
      </c>
      <c r="GD332" s="7">
        <v>3.0982765593586998E-2</v>
      </c>
      <c r="GE332" s="7"/>
      <c r="GF332" s="7"/>
      <c r="GG332" s="7">
        <v>6.2633987989415926E-2</v>
      </c>
      <c r="GH332" s="42">
        <v>4.0162035442190707</v>
      </c>
      <c r="GI332" s="6">
        <v>7146.6893048331131</v>
      </c>
      <c r="GJ332" s="14">
        <v>0.50394797582841733</v>
      </c>
      <c r="GK332" s="14">
        <v>0.50887573065309755</v>
      </c>
      <c r="GL332" s="14">
        <v>0.49605202417158284</v>
      </c>
      <c r="GM332" s="14">
        <v>0.49112426934690245</v>
      </c>
      <c r="GO332" s="5">
        <v>343.14810671672558</v>
      </c>
      <c r="GP332" s="5">
        <v>302.87425392274076</v>
      </c>
      <c r="GQ332" s="5">
        <v>535.04305713031317</v>
      </c>
      <c r="GR332" s="5">
        <v>410.15490233172511</v>
      </c>
      <c r="GS332" s="5">
        <v>339.42744393800166</v>
      </c>
      <c r="GT332" s="5">
        <v>293.4407446948278</v>
      </c>
      <c r="GU332" s="5">
        <v>258.04012322764959</v>
      </c>
      <c r="GV332" s="39" t="s">
        <v>392</v>
      </c>
      <c r="GW332" s="5">
        <v>468.76388888888891</v>
      </c>
      <c r="GX332" s="5">
        <v>351.57291666666669</v>
      </c>
      <c r="GY332" s="5">
        <v>281.25833333333333</v>
      </c>
      <c r="GZ332" s="5">
        <v>248.18079879493993</v>
      </c>
      <c r="HA332" s="5">
        <v>229.8919505212948</v>
      </c>
      <c r="HB332" s="39">
        <v>260.68479278351435</v>
      </c>
      <c r="HC332" s="5">
        <v>187.140625</v>
      </c>
      <c r="HD332" s="5">
        <v>171.45330774853798</v>
      </c>
      <c r="HE332" s="5">
        <v>177.50180921052629</v>
      </c>
      <c r="HF332" s="5">
        <v>167.9756304824561</v>
      </c>
      <c r="HG332" s="5">
        <v>166.75888157894735</v>
      </c>
      <c r="HH332" s="39">
        <v>172.4690818577352</v>
      </c>
      <c r="HI332" s="16"/>
      <c r="HJ332" s="19" t="str">
        <f t="shared" si="972"/>
        <v>On</v>
      </c>
      <c r="HK332" s="1" t="str">
        <f t="shared" si="972"/>
        <v>On</v>
      </c>
      <c r="HL332" s="16"/>
      <c r="HM332" s="639">
        <f t="shared" si="878"/>
        <v>2.2758057894877178E-2</v>
      </c>
      <c r="HN332" s="639">
        <f t="shared" si="879"/>
        <v>1.416759231746561E-3</v>
      </c>
      <c r="HO332" s="639">
        <f t="shared" si="880"/>
        <v>4.5732401537654987E-3</v>
      </c>
      <c r="HP332" s="644">
        <f>(FT332*$GD332-HM332)/$JF332*INDEX(Input!$1:$1048576,$JG$93,$C332*2+6)</f>
        <v>152.09033686185367</v>
      </c>
      <c r="HQ332" s="644">
        <f>(FU332*$GD332-HN332)/$JF332*INDEX(Input!$1:$1048576,$JG$93,$C332*2+6)</f>
        <v>9.3184894319648475</v>
      </c>
      <c r="HR332" s="644">
        <f>(FV332*$GD332-HO332)/$JF332*INDEX(Input!$1:$1048576,$JG$93,$C332*2+6)</f>
        <v>-36.256703868393821</v>
      </c>
      <c r="HS332" s="644">
        <f t="shared" si="975"/>
        <v>-65.174573508422512</v>
      </c>
      <c r="HT332" s="644">
        <f t="shared" si="882"/>
        <v>72.897889846349656</v>
      </c>
      <c r="HU332" s="644">
        <f t="shared" si="883"/>
        <v>16.401954215314205</v>
      </c>
      <c r="HV332" s="648">
        <f t="shared" si="884"/>
        <v>0</v>
      </c>
      <c r="HW332" s="648">
        <f t="shared" si="885"/>
        <v>0</v>
      </c>
      <c r="HX332" s="648">
        <f t="shared" si="886"/>
        <v>0</v>
      </c>
      <c r="HY332" s="644">
        <f>INDEX(Input!$1:$1048576,HY$93,$C332*2+6)*INDEX(Input!$1:$1048576,$JG$93,$C332*2+6)</f>
        <v>509.00000000000006</v>
      </c>
      <c r="HZ332" s="644">
        <f>INDEX(Input!$1:$1048576,HZ$93,$C332*2+6)*INDEX(Input!$1:$1048576,$JG$93,$C332*2+6)</f>
        <v>844</v>
      </c>
      <c r="IA332" s="644">
        <f>INDEX(Input!$1:$1048576,IA$93,$C332*2+6)*INDEX(Input!$1:$1048576,$JG$93,$C332*2+6)</f>
        <v>257</v>
      </c>
      <c r="IB332" s="644">
        <f t="shared" si="910"/>
        <v>595.9157633534312</v>
      </c>
      <c r="IC332" s="644">
        <f t="shared" si="911"/>
        <v>926.21637927831455</v>
      </c>
      <c r="ID332" s="644">
        <f>IF(AND(INDEX(Input!$1:$1048576,IA$93,$C332*2+7)="TOS",Y332&lt;=INDEX(Y:Y,MATCH(C332*1000+2,A:A))),0,1)*MAX(IA332+HR332+HU332+HX332,0%)</f>
        <v>237.14525034692036</v>
      </c>
      <c r="IE332" s="128">
        <f t="shared" si="976"/>
        <v>0.33872757402087389</v>
      </c>
      <c r="IF332" s="128">
        <f t="shared" si="977"/>
        <v>0.52647546258189548</v>
      </c>
      <c r="IG332" s="128">
        <f t="shared" si="888"/>
        <v>0.13479696339723049</v>
      </c>
      <c r="IH332" s="21"/>
      <c r="II332" s="19">
        <f t="shared" si="889"/>
        <v>1410.4999999999998</v>
      </c>
      <c r="IJ332" s="19">
        <f t="shared" si="890"/>
        <v>2134.9731585778086</v>
      </c>
      <c r="IK332" s="19">
        <f t="shared" si="891"/>
        <v>2103.5</v>
      </c>
      <c r="IL332" s="19">
        <f t="shared" si="913"/>
        <v>700.50000000000023</v>
      </c>
      <c r="IM332" s="19">
        <f t="shared" si="892"/>
        <v>700.95922747594341</v>
      </c>
      <c r="IN332" s="19">
        <f t="shared" si="893"/>
        <v>185.5</v>
      </c>
      <c r="IO332" s="39">
        <f t="shared" si="894"/>
        <v>0</v>
      </c>
      <c r="IP332" s="39">
        <f t="shared" si="895"/>
        <v>0</v>
      </c>
      <c r="IQ332" s="39">
        <f t="shared" si="896"/>
        <v>0</v>
      </c>
      <c r="IR332" s="39">
        <v>0</v>
      </c>
      <c r="IS332" s="39">
        <v>0</v>
      </c>
      <c r="IT332" s="39">
        <v>0</v>
      </c>
      <c r="IU332" s="39">
        <v>0</v>
      </c>
      <c r="IV332" s="39">
        <v>0</v>
      </c>
      <c r="IW332" s="39">
        <v>0</v>
      </c>
      <c r="IX332" s="39">
        <f>INDEX(Input!$1:$1048576,IX$93,$C332*2+6)+INDEX(Input!$1:$1048576,IX$94,$C332*2+6)</f>
        <v>1611</v>
      </c>
      <c r="IY332" s="39">
        <f>INDEX(Input!$1:$1048576,IY$93,$C332*2+6)+INDEX(Input!$1:$1048576,IY$94,$C332*2+6)</f>
        <v>2471.0624533823611</v>
      </c>
      <c r="IZ332" s="39">
        <f>INDEX(Input!$1:$1048576,IZ$93,$C332*2+6)+INDEX(Input!$1:$1048576,IZ$94,$C332*2+6)</f>
        <v>3994.7164157747857</v>
      </c>
      <c r="JA332" s="19">
        <f t="shared" si="914"/>
        <v>2311.5</v>
      </c>
      <c r="JB332" s="19">
        <f t="shared" si="915"/>
        <v>3172.0216808583045</v>
      </c>
      <c r="JC332" s="19">
        <f t="shared" si="916"/>
        <v>4180.2164157747857</v>
      </c>
      <c r="JD332" s="19">
        <f t="shared" si="917"/>
        <v>3016.4408482886233</v>
      </c>
      <c r="JE332" s="21"/>
      <c r="JF332" s="1">
        <f t="shared" si="897"/>
        <v>2.8748057280389237E-2</v>
      </c>
      <c r="JG332" s="15">
        <f>INDEX(Input!$1:$1048576,JG$93,$C332*2+6)/(1+VLOOKUP(C332*1000+INDEX(Input!$1:$1048576,JG$93+1,$C332*2+6),$A:$KK,$JK$92,FALSE))</f>
        <v>1610</v>
      </c>
      <c r="JH332" s="1">
        <f t="shared" si="918"/>
        <v>7.773423753131968E-2</v>
      </c>
      <c r="JI332" s="1">
        <f t="shared" si="919"/>
        <v>1.4984640095180963E-2</v>
      </c>
      <c r="JJ332" s="1">
        <f t="shared" si="978"/>
        <v>0</v>
      </c>
      <c r="JK332" s="1">
        <f t="shared" si="979"/>
        <v>9.2718877626500648E-2</v>
      </c>
      <c r="JL332" s="15">
        <f t="shared" si="922"/>
        <v>149.27739297866606</v>
      </c>
      <c r="JM332" s="15">
        <f t="shared" si="948"/>
        <v>1759.2773929786661</v>
      </c>
      <c r="JN332" s="21"/>
      <c r="JO332" s="19">
        <f>INDEX(Input!$1:$1048576,JO$93,$C332*2+6)</f>
        <v>5995.5</v>
      </c>
      <c r="JP332" s="19">
        <f>INDEX(Input!$1:$1048576,JP$93,$C332*2+6)</f>
        <v>2442.3713226762939</v>
      </c>
      <c r="JQ332" s="39">
        <f t="shared" si="934"/>
        <v>2979.0591517113767</v>
      </c>
      <c r="JR332" s="39">
        <f t="shared" si="951"/>
        <v>574.06952561232947</v>
      </c>
      <c r="JS332" s="39">
        <f t="shared" si="936"/>
        <v>5.3067561916515649</v>
      </c>
      <c r="JT332" s="39">
        <f t="shared" si="924"/>
        <v>1.3745383621427318</v>
      </c>
      <c r="JU332" s="385">
        <f>(JQ332*JM332-INDEX(Input!$1:$1048576,Input!A$18,$C332*2+6)*JL332*INDEX(Input!$1:$1048576,Input!A$19,$C332*2+6))/1000000</f>
        <v>5.2409914179520269</v>
      </c>
      <c r="JV332" s="39">
        <f t="shared" si="958"/>
        <v>-0.47954575253914022</v>
      </c>
      <c r="JW332" s="1">
        <f t="shared" si="949"/>
        <v>-8.3828797584399969E-2</v>
      </c>
      <c r="JX332" s="19">
        <f t="shared" si="940"/>
        <v>9207.9472632481848</v>
      </c>
      <c r="JZ332" s="341"/>
      <c r="KA332" s="342"/>
      <c r="KB332" s="469">
        <f t="shared" si="937"/>
        <v>2.5190675447988795</v>
      </c>
      <c r="KI332" s="473">
        <f t="shared" si="964"/>
        <v>86.915763353431146</v>
      </c>
      <c r="KJ332" s="473">
        <f t="shared" si="965"/>
        <v>82.216379278314321</v>
      </c>
      <c r="KK332" s="473">
        <f t="shared" si="926"/>
        <v>-19.854749653079665</v>
      </c>
      <c r="KN332" s="544">
        <f t="shared" si="941"/>
        <v>3002</v>
      </c>
      <c r="KO332" s="541">
        <f t="shared" si="901"/>
        <v>6.0360500234631465E-2</v>
      </c>
      <c r="KP332" s="546">
        <f t="shared" si="902"/>
        <v>432.81770213912341</v>
      </c>
      <c r="KQ332" s="546">
        <f t="shared" si="903"/>
        <v>380.52742289992511</v>
      </c>
      <c r="KR332" s="548">
        <f t="shared" si="904"/>
        <v>2.4194933319082659</v>
      </c>
      <c r="KS332" s="548">
        <f t="shared" si="905"/>
        <v>2.7519686656929059</v>
      </c>
      <c r="KT332" s="473">
        <f t="shared" si="939"/>
        <v>1026.1618045255443</v>
      </c>
      <c r="KU332" s="663">
        <f t="shared" si="927"/>
        <v>4.7333528900855057</v>
      </c>
      <c r="KV332" s="117"/>
    </row>
    <row r="333" spans="1:308" s="26" customFormat="1" ht="15">
      <c r="A333" s="561">
        <f t="shared" si="906"/>
        <v>3033</v>
      </c>
      <c r="B333" s="561">
        <f t="shared" si="928"/>
        <v>33</v>
      </c>
      <c r="C333" s="561">
        <f t="shared" si="929"/>
        <v>3</v>
      </c>
      <c r="D333" s="561" t="str">
        <f t="shared" si="974"/>
        <v xml:space="preserve">750 CC, 750 Combo, </v>
      </c>
      <c r="E333" s="475">
        <f>INDEX(Input!$1:$1048576,E$93,$C333*2+MIN($B333,2)+5)
+INDEX(Scenarios!E$121:E$200,MATCH($B333,Scenarios!$B$121:$B$200,0))</f>
        <v>2037.0236024844721</v>
      </c>
      <c r="F333" s="475">
        <f>INDEX(Input!$1:$1048576,F$93,$C333*2+MIN($B333,2)+5)
+INDEX(Scenarios!F$121:F$200,MATCH($B333,Scenarios!$B$121:$B$200,0))</f>
        <v>0</v>
      </c>
      <c r="G333" s="475">
        <f>INDEX(Input!$1:$1048576,G$93,$C333*2+MIN($B333,2)+5)
+INDEX(Scenarios!G$121:G$200,MATCH($B333,Scenarios!$B$121:$B$200,0))</f>
        <v>0</v>
      </c>
      <c r="H333" s="475">
        <f>INDEX(Input!$1:$1048576,H$93,$C333*2+MIN($B333,2)+5)
+INDEX(Scenarios!H$121:H$200,MATCH($B333,Scenarios!$B$121:$B$200,0))</f>
        <v>0</v>
      </c>
      <c r="I333" s="476">
        <f>INDEX(Input!$1:$1048576,I$93,$C333*2+MIN($B333,2)+5)</f>
        <v>0.7</v>
      </c>
      <c r="J333" s="476" t="str">
        <f>INDEX(Input!$1:$1048576,J$93,$C333*2+MIN($B333,2)+5)</f>
        <v>Market</v>
      </c>
      <c r="K333" s="476" t="str">
        <f>INDEX(Input!$1:$1048576,K$93,$C333*2+MIN($B333,2)+5)</f>
        <v>Market</v>
      </c>
      <c r="L333" s="476" t="str">
        <f>INDEX(Input!$1:$1048576,L$93,$C333*2+MIN($B333,2)+5)</f>
        <v>Market</v>
      </c>
      <c r="M333" s="476" t="str">
        <f>INDEX(Input!$1:$1048576,M$93,$C333*2+MIN($B333,2)+5)</f>
        <v>Market</v>
      </c>
      <c r="N333" s="476" t="str">
        <f>INDEX(Input!$1:$1048576,N$93,$C333*2+MIN($B333,2)+5)</f>
        <v>Market</v>
      </c>
      <c r="O333" s="476" t="str">
        <f>INDEX(Input!$1:$1048576,O$93,$C333*2+MIN($B333,2)+5)</f>
        <v>Market</v>
      </c>
      <c r="P333" s="476" t="str">
        <f>INDEX(Input!$1:$1048576,P$93,$C333*2+MIN($B333,2)+5)</f>
        <v>N</v>
      </c>
      <c r="Q333" s="477">
        <f>INDEX(Input!$1:$1048576,Q$93,$C333*2+MIN($B333,2)+5)
+INDEX(Scenarios!Q$121:Q$200,MATCH($B333,Scenarios!$B$121:$B$200,0))</f>
        <v>750</v>
      </c>
      <c r="R333" s="478">
        <f>IFERROR(MAX(0,INDEX(Input!$1:$1048576,R$93,$C333*2+MIN($B333,2)+5)
+INDEX(Scenarios!R$121:R$200,MATCH($B333,Scenarios!$B$121:$B$200,0)),),"Market")</f>
        <v>0</v>
      </c>
      <c r="S333" s="478">
        <f>IFERROR(MAX(0,INDEX(Input!$1:$1048576,S$93,$C333*2+MIN($B333,2)+5)
+INDEX(Scenarios!S$121:S$200,MATCH($B333,Scenarios!$B$121:$B$200,0)),),"Market")</f>
        <v>0</v>
      </c>
      <c r="T333" s="478">
        <f>IFERROR(MAX(0,INDEX(Input!$1:$1048576,T$93,$C333*2+MIN($B333,2)+5)
+INDEX(Scenarios!T$121:T$200,MATCH($B333,Scenarios!$B$121:$B$200,0)),),"Market")</f>
        <v>0</v>
      </c>
      <c r="U333" s="478">
        <f>IFERROR(MAX(0,INDEX(Input!$1:$1048576,U$93,$C333*2+MIN($B333,2)+5)
+INDEX(Scenarios!U$121:U$200,MATCH($B333,Scenarios!$B$121:$B$200,0)),),"Market")</f>
        <v>0</v>
      </c>
      <c r="V333" s="478">
        <f>IFERROR(MAX(0,INDEX(Input!$1:$1048576,V$93,$C333*2+MIN($B333,2)+5)
+INDEX(Scenarios!V$121:V$200,MATCH($B333,Scenarios!$B$121:$B$200,0)),),"Market")</f>
        <v>1.9E-2</v>
      </c>
      <c r="W333" s="885">
        <f>IFERROR(MAX(0,INDEX(Input!$1:$1048576,W$93,$C333*2+MIN($B333,2)+5)-0%,),"Market")</f>
        <v>3.9E-2</v>
      </c>
      <c r="X333" s="476" t="str">
        <f>INDEX(Input!$1:$1048576,X$93,$C333*2+MIN($B333,2)+5)</f>
        <v>Y</v>
      </c>
      <c r="Y333" s="475">
        <f>INDEX(Input!$1:$1048576,Y$93,$C333*2+MIN($B333,2)+5)
++INDEX(Scenarios!Y$121:Y$200,MATCH($B333,Scenarios!$B$121:$B$200,0))</f>
        <v>1554.9999999999991</v>
      </c>
      <c r="Z333" s="477">
        <f>INDEX(Input!$1:$1048576,Z$93,$C333*2+MIN($B333,2)+5)
+INDEX(Scenarios!Z$121:Z$200,MATCH($B333,Scenarios!$B$121:$B$200,0))</f>
        <v>0</v>
      </c>
      <c r="AA333" s="475">
        <f>INDEX(Input!$1:$1048576,AA$93,$C333*2+MIN($B333,2)+5)
+INDEX(Scenarios!AA$121:AA$200,MATCH($B333,Scenarios!$B$121:$B$200,0))</f>
        <v>0</v>
      </c>
      <c r="AB333" s="476">
        <f>INDEX(Input!$1:$1048576,AB$93,$C333*2+MIN($B333,2)+5)</f>
        <v>0.27</v>
      </c>
      <c r="AC333" s="475">
        <f>INDEX(Input!$1:$1048576,AC$93,$C333*2+MIN($B333,2)+5)
+INDEX(Scenarios!AC$121:AC$200,MATCH($B333,Scenarios!$B$121:$B$200,0))</f>
        <v>0</v>
      </c>
      <c r="AD333" s="476">
        <f>INDEX(Input!$1:$1048576,AD$93,$C333*2+MIN($B333,2)+5)</f>
        <v>0.27</v>
      </c>
      <c r="AE333" s="475">
        <f>INDEX(Input!$1:$1048576,AE$93,$C333*2+MIN($B333,2)+5)
+INDEX(Scenarios!AE$121:AE$200,MATCH($B333,Scenarios!$B$121:$B$200,0))</f>
        <v>0</v>
      </c>
      <c r="AF333" s="476">
        <f>INDEX(Input!$1:$1048576,AF$93,$C333*2+MIN($B333,2)+5)</f>
        <v>0.68200000000000005</v>
      </c>
      <c r="AG333" s="475">
        <f>INDEX(Input!$1:$1048576,AG$93,$C333*2+MIN($B333,2)+5)
+INDEX(Scenarios!AG$121:AG$200,MATCH($B333,Scenarios!$B$121:$B$200,0))</f>
        <v>500</v>
      </c>
      <c r="AH333" s="476">
        <f>INDEX(Input!$1:$1048576,AH$93,$C333*2+MIN($B333,2)+5)</f>
        <v>1</v>
      </c>
      <c r="AI333" s="475">
        <f>INDEX(Input!$1:$1048576,AI$93,$C333*2+MIN($B333,2)+5)
+INDEX(Scenarios!AI$121:AI$200,MATCH($B333,Scenarios!$B$121:$B$200,0))</f>
        <v>0</v>
      </c>
      <c r="AJ333" s="476">
        <f>INDEX(Input!$1:$1048576,AJ$93,$C333*2+MIN($B333,2)+5)</f>
        <v>0.27</v>
      </c>
      <c r="AK333" s="150">
        <f>ROUND(INDEX(Input!$1:$1048576,AK$93,$C332*2+MIN($B333,1)+5)+(Y333-VLOOKUP($C333*1000+1,$A:$HH,Y$92,FALSE)),0)</f>
        <v>2977</v>
      </c>
      <c r="AL333" s="150">
        <f>ROUND(INDEX(Input!$1:$1048576,AL$93,$C332*2+MIN($B333,1)+5)-(Y333-VLOOKUP($C333*1000+1,$A:$HH,Y$92,FALSE))/36,0)</f>
        <v>3395</v>
      </c>
      <c r="AM333" s="32" t="str">
        <f t="shared" si="907"/>
        <v>std/std/std/std</v>
      </c>
      <c r="AN333" s="32" t="str">
        <f t="shared" si="908"/>
        <v>$750 + 0/0/0/1.9/3.9</v>
      </c>
      <c r="AO333" s="32" t="str">
        <f t="shared" si="909"/>
        <v>0/0/0/1.9/3.9</v>
      </c>
      <c r="AP333" s="32" t="str">
        <f t="shared" si="863"/>
        <v>0/0.9/1.9/3.9</v>
      </c>
      <c r="AQ333" s="536">
        <f t="shared" si="862"/>
        <v>0.3500610299905354</v>
      </c>
      <c r="AR333" s="32"/>
      <c r="AS333" s="302"/>
      <c r="AT333" s="3">
        <f t="shared" si="930"/>
        <v>33</v>
      </c>
      <c r="AU333" s="41" t="s">
        <v>121</v>
      </c>
      <c r="AV333" s="41" t="s">
        <v>116</v>
      </c>
      <c r="AW333" s="41" t="str">
        <f>INDEX(Input!$1:$1048576,AW$93,$C333*2+6)</f>
        <v>Kia</v>
      </c>
      <c r="AX333" s="41" t="str">
        <f>INDEX(Input!$1:$1048576,AX$93,$C333*2+6)</f>
        <v>Kia-LR - L3</v>
      </c>
      <c r="AY333" s="41" t="str">
        <f>IF(LEN(D333)=0,"",INDEX(Input!$1:$1048576,AY$93,$C333*2+6))</f>
        <v>Compact SUV (52)</v>
      </c>
      <c r="AZ333" s="41" t="str">
        <f>INDEX(Input!$1:$1048576,AZ$93,$C333*2+6)</f>
        <v>Kia Soul</v>
      </c>
      <c r="BA333" s="3">
        <f>INDEX(Input!$1:$1048576,BA$93,$C333*2+6)</f>
        <v>2020</v>
      </c>
      <c r="BB333" s="128">
        <f>INDEX(Input!$1:$1048576,BB$93,$C333*2+6)</f>
        <v>1</v>
      </c>
      <c r="BC333" s="128">
        <f>INDEX(Input!$1:$1048576,BC$93,$C333*2+6)</f>
        <v>0.7</v>
      </c>
      <c r="BD333" s="1">
        <f>INDEX(Input!$1:$1048576,BD$93,$C333*2+6)</f>
        <v>4.4999999999999998E-2</v>
      </c>
      <c r="BE333" s="1">
        <f>INDEX(Input!$1:$1048576,BE$93,$C333*2+6)</f>
        <v>4.4999999999999998E-2</v>
      </c>
      <c r="BF333" s="1">
        <f>INDEX(Input!$1:$1048576,BF$93,$C333*2+6)</f>
        <v>0.05</v>
      </c>
      <c r="BG333" s="1">
        <f>INDEX(Input!$1:$1048576,BG$93,$C333*2+6)</f>
        <v>5.45E-2</v>
      </c>
      <c r="BH333" s="1">
        <f>INDEX(Input!$1:$1048576,BH$93,$C333*2+6)</f>
        <v>5.45E-2</v>
      </c>
      <c r="BI333" s="1">
        <f>INDEX(Input!$1:$1048576,BI$93,$C333*2+6)</f>
        <v>0.05</v>
      </c>
      <c r="BJ333" s="1">
        <f>INDEX(Input!$1:$1048576,BJ$93,$C333*2+6)</f>
        <v>0.05</v>
      </c>
      <c r="BK333" s="1">
        <f>INDEX(Input!$1:$1048576,BK$93,$C333*2+6)</f>
        <v>0.05</v>
      </c>
      <c r="BL333" s="1">
        <f>INDEX(Input!$1:$1048576,BL$93,$C333*2+6)</f>
        <v>5.5E-2</v>
      </c>
      <c r="BM333" s="1">
        <f>INDEX(Input!$1:$1048576,BM$93,$C333*2+6)</f>
        <v>0.06</v>
      </c>
      <c r="BN333" s="1">
        <f>INDEX(Input!$1:$1048576,BN$93,$C333*2+6)</f>
        <v>4.4999999999999998E-2</v>
      </c>
      <c r="BO333" s="1">
        <f>INDEX(Input!$1:$1048576,BO$93,$C333*2+6)</f>
        <v>4.4999999999999998E-2</v>
      </c>
      <c r="BP333" s="1">
        <f>INDEX(Input!$1:$1048576,BP$93,$C333*2+6)</f>
        <v>0.05</v>
      </c>
      <c r="BQ333" s="1">
        <f>INDEX(Input!$1:$1048576,BQ$93,$C333*2+6)</f>
        <v>5.45E-2</v>
      </c>
      <c r="BR333" s="1">
        <f>INDEX(Input!$1:$1048576,BR$93,$C333*2+6)</f>
        <v>5.45E-2</v>
      </c>
      <c r="BS333" s="1">
        <f>INDEX(Input!$1:$1048576,BS$93,$C333*2+6)</f>
        <v>0.05</v>
      </c>
      <c r="BT333" s="1">
        <f>INDEX(Input!$1:$1048576,BT$93,$C333*2+6)</f>
        <v>0.05</v>
      </c>
      <c r="BU333" s="1">
        <f>INDEX(Input!$1:$1048576,BU$93,$C333*2+6)</f>
        <v>0.05</v>
      </c>
      <c r="BV333" s="1">
        <f>INDEX(Input!$1:$1048576,BV$93,$C333*2+6)</f>
        <v>5.5E-2</v>
      </c>
      <c r="BW333" s="1">
        <f>INDEX(Input!$1:$1048576,BW$93,$C333*2+6)</f>
        <v>0.06</v>
      </c>
      <c r="BX333" s="127">
        <f>INDEX(Input!$1:$1048576,BX$93,$C333*2+6)</f>
        <v>19985</v>
      </c>
      <c r="BY333" s="20">
        <f>INDEX(Input!$1:$1048576,BY$93,$C333*2+6)</f>
        <v>0.1</v>
      </c>
      <c r="BZ333" s="20">
        <f>INDEX(Input!$1:$1048576,BZ$93,$C333*2+6)</f>
        <v>0.1</v>
      </c>
      <c r="CA333" s="20">
        <f>INDEX(Input!$1:$1048576,CA$93,$C333*2+6)</f>
        <v>0.1</v>
      </c>
      <c r="CB333" s="20">
        <f>INDEX(Input!$1:$1048576,CB$93,$C333*2+6)</f>
        <v>0.1</v>
      </c>
      <c r="CC333" s="20">
        <f>INDEX(Input!$1:$1048576,CC$93,$C333*2+6)</f>
        <v>0.1</v>
      </c>
      <c r="CD333" s="384">
        <f>INDEX(Input!$1:$1048576,CD$93,$C333*2+6)</f>
        <v>0.1</v>
      </c>
      <c r="CE333" s="384">
        <f>INDEX(Input!$1:$1048576,CE$93,$C333*2+6)</f>
        <v>0.1</v>
      </c>
      <c r="CF333" s="384">
        <f>INDEX(Input!$1:$1048576,CF$93,$C333*2+6)</f>
        <v>0.1</v>
      </c>
      <c r="CG333" s="384">
        <f>INDEX(Input!$1:$1048576,CG$93,$C333*2+6)</f>
        <v>0.1</v>
      </c>
      <c r="CH333" s="384">
        <f>INDEX(Input!$1:$1048576,CH$93,$C333*2+6)</f>
        <v>0.1</v>
      </c>
      <c r="CI333" s="304">
        <f t="shared" si="864"/>
        <v>2037.0236024844721</v>
      </c>
      <c r="CJ333" s="16" t="str">
        <f>INDEX(Input!$1:$1048576,CJ$93,$C333*2+6)</f>
        <v>N</v>
      </c>
      <c r="CK333" s="1" t="str">
        <f t="shared" si="865"/>
        <v>Market</v>
      </c>
      <c r="CL333" s="1" t="str">
        <f t="shared" si="866"/>
        <v>Market</v>
      </c>
      <c r="CM333" s="1" t="str">
        <f t="shared" si="867"/>
        <v>Market</v>
      </c>
      <c r="CN333" s="1" t="str">
        <f t="shared" si="868"/>
        <v>Market</v>
      </c>
      <c r="CO333" s="1" t="str">
        <f t="shared" si="869"/>
        <v>Market</v>
      </c>
      <c r="CP333" s="304">
        <f t="shared" si="870"/>
        <v>1250</v>
      </c>
      <c r="CQ333" s="1">
        <f t="shared" si="871"/>
        <v>0</v>
      </c>
      <c r="CR333" s="1">
        <f t="shared" si="872"/>
        <v>0</v>
      </c>
      <c r="CS333" s="1">
        <f t="shared" si="873"/>
        <v>0</v>
      </c>
      <c r="CT333" s="1">
        <f t="shared" si="874"/>
        <v>1.9E-2</v>
      </c>
      <c r="CU333" s="1">
        <f t="shared" si="875"/>
        <v>3.9E-2</v>
      </c>
      <c r="CV333" s="304">
        <f t="shared" si="876"/>
        <v>1554.9999999999991</v>
      </c>
      <c r="CW333" s="20" t="s">
        <v>122</v>
      </c>
      <c r="CX333" s="20" t="s">
        <v>122</v>
      </c>
      <c r="CY333" s="20" t="s">
        <v>122</v>
      </c>
      <c r="CZ333" s="20" t="s">
        <v>122</v>
      </c>
      <c r="DA333" s="20" t="s">
        <v>122</v>
      </c>
      <c r="DB333" s="503">
        <f t="shared" si="877"/>
        <v>0</v>
      </c>
      <c r="DC333" s="127">
        <v>0</v>
      </c>
      <c r="DD333" s="127">
        <v>0</v>
      </c>
      <c r="DE333" s="127">
        <v>0</v>
      </c>
      <c r="DF333" s="127">
        <v>0</v>
      </c>
      <c r="DG333" s="127">
        <v>0</v>
      </c>
      <c r="DH333" s="127">
        <v>0</v>
      </c>
      <c r="DI333" s="127">
        <v>0</v>
      </c>
      <c r="DJ333" s="127">
        <v>0</v>
      </c>
      <c r="DK333" s="127">
        <v>0</v>
      </c>
      <c r="DL333" s="127">
        <v>0</v>
      </c>
      <c r="DM333" s="304">
        <f>INDEX(Input!$1:$1048576,DM$93,$C333*2+6)</f>
        <v>21036.84210526316</v>
      </c>
      <c r="DN333" s="20">
        <v>0</v>
      </c>
      <c r="DO333" s="20">
        <v>0</v>
      </c>
      <c r="DP333" s="20">
        <v>0</v>
      </c>
      <c r="DQ333" s="20">
        <v>0</v>
      </c>
      <c r="DR333" s="20">
        <v>0</v>
      </c>
      <c r="DS333" s="20">
        <f>INDEX(Input!$1:$1048576,DS$93,$C333*2+6)</f>
        <v>0.6</v>
      </c>
      <c r="DT333" s="20">
        <f>INDEX(Input!$1:$1048576,DT$93,$C333*2+6)</f>
        <v>0.55000000000000004</v>
      </c>
      <c r="DU333" s="20">
        <f>INDEX(Input!$1:$1048576,DU$93,$C333*2+6)</f>
        <v>0.52</v>
      </c>
      <c r="DV333" s="20">
        <f>INDEX(Input!$1:$1048576,DV$93,$C333*2+6)</f>
        <v>0.5</v>
      </c>
      <c r="DW333" s="20">
        <f>INDEX(Input!$1:$1048576,DW$93,$C333*2+6)</f>
        <v>0.45</v>
      </c>
      <c r="DX333" s="20"/>
      <c r="DY333" s="7">
        <v>0.11346380659594744</v>
      </c>
      <c r="DZ333" s="7">
        <v>0</v>
      </c>
      <c r="EA333" s="7">
        <v>0.72222943335927314</v>
      </c>
      <c r="EB333" s="7">
        <v>0</v>
      </c>
      <c r="EC333" s="7">
        <v>0</v>
      </c>
      <c r="ED333" s="7">
        <v>0</v>
      </c>
      <c r="EE333" s="7">
        <v>0</v>
      </c>
      <c r="EF333" s="7">
        <v>0</v>
      </c>
      <c r="EG333" s="7">
        <v>0</v>
      </c>
      <c r="EH333" s="7">
        <v>1.2003400937327751E-2</v>
      </c>
      <c r="EI333" s="7">
        <v>3.362299244156701E-2</v>
      </c>
      <c r="EJ333" s="7">
        <v>0.27126353932673825</v>
      </c>
      <c r="EK333" s="7">
        <v>0.54200668416705666</v>
      </c>
      <c r="EL333" s="7">
        <v>0.14110338312731036</v>
      </c>
      <c r="EM333" s="7">
        <v>5.1912871240372825E-2</v>
      </c>
      <c r="EN333" s="7">
        <v>6.2836679702007209E-2</v>
      </c>
      <c r="EO333" s="7">
        <v>0.78067534825673257</v>
      </c>
      <c r="EP333" s="7">
        <v>6.436206156347403E-2</v>
      </c>
      <c r="EQ333" s="7">
        <v>6.0228469961073401E-2</v>
      </c>
      <c r="ER333" s="7">
        <v>3.1897440516712949E-2</v>
      </c>
      <c r="ES333" s="7">
        <v>0.11239388880440647</v>
      </c>
      <c r="ET333" s="7">
        <v>0.1643067600447794</v>
      </c>
      <c r="EU333" s="6">
        <v>2361</v>
      </c>
      <c r="EV333" s="6">
        <v>0</v>
      </c>
      <c r="EW333" s="6">
        <v>2361</v>
      </c>
      <c r="EX333" s="6">
        <v>0</v>
      </c>
      <c r="EY333" s="6">
        <v>3086.1140731988635</v>
      </c>
      <c r="EZ333" s="6">
        <v>2289</v>
      </c>
      <c r="FA333" s="6">
        <v>0</v>
      </c>
      <c r="FB333" s="6">
        <v>0</v>
      </c>
      <c r="FC333" s="6">
        <v>0</v>
      </c>
      <c r="FD333" s="6">
        <v>0</v>
      </c>
      <c r="FE333" s="6">
        <v>0</v>
      </c>
      <c r="FF333" s="6">
        <v>0</v>
      </c>
      <c r="FG333" s="6">
        <v>0</v>
      </c>
      <c r="FH333" s="6">
        <v>1172.0218761412532</v>
      </c>
      <c r="FI333" s="6">
        <v>1553.9796069512397</v>
      </c>
      <c r="FJ333" s="6">
        <v>2101.2110117447405</v>
      </c>
      <c r="FK333" s="6">
        <v>1772.7139978623227</v>
      </c>
      <c r="FL333" s="6">
        <v>907.07682140966347</v>
      </c>
      <c r="FM333" s="6">
        <v>1725.1140731988633</v>
      </c>
      <c r="FN333" s="6">
        <v>0</v>
      </c>
      <c r="FO333" s="6">
        <v>0</v>
      </c>
      <c r="FP333" s="6">
        <v>0</v>
      </c>
      <c r="FQ333" s="6">
        <v>0</v>
      </c>
      <c r="FR333" s="6">
        <v>0</v>
      </c>
      <c r="FS333" s="6">
        <v>0</v>
      </c>
      <c r="FT333" s="7">
        <v>0.8356932399552206</v>
      </c>
      <c r="FU333" s="7">
        <v>5.1912871240372825E-2</v>
      </c>
      <c r="FV333" s="7">
        <v>0.11239388880440647</v>
      </c>
      <c r="FW333" s="6">
        <v>2361</v>
      </c>
      <c r="FX333" s="6">
        <v>3086.1140731988635</v>
      </c>
      <c r="FY333" s="6">
        <v>2289</v>
      </c>
      <c r="FZ333" s="6">
        <v>1858.9243755539039</v>
      </c>
      <c r="GA333" s="6">
        <v>2390.550393522637</v>
      </c>
      <c r="GB333" s="6">
        <v>17594.449606477363</v>
      </c>
      <c r="GC333" s="7">
        <v>2.9156573141622111E-2</v>
      </c>
      <c r="GD333" s="7">
        <v>3.1801305029757559E-2</v>
      </c>
      <c r="GE333" s="7"/>
      <c r="GF333" s="7"/>
      <c r="GG333" s="7">
        <v>9.0707912596216356E-2</v>
      </c>
      <c r="GH333" s="42">
        <v>3.4099114263854582</v>
      </c>
      <c r="GI333" s="6">
        <v>8251.4064396236081</v>
      </c>
      <c r="GJ333" s="14">
        <v>0.50394797582841744</v>
      </c>
      <c r="GK333" s="14">
        <v>0.50887573065309766</v>
      </c>
      <c r="GL333" s="14">
        <v>0.49605202417158284</v>
      </c>
      <c r="GM333" s="14">
        <v>0.49112426934690245</v>
      </c>
      <c r="GO333" s="5">
        <v>343.14810671672558</v>
      </c>
      <c r="GP333" s="5">
        <v>298.1047308538179</v>
      </c>
      <c r="GQ333" s="5">
        <v>535.04305713031317</v>
      </c>
      <c r="GR333" s="5">
        <v>410.15490233172511</v>
      </c>
      <c r="GS333" s="5">
        <v>339.42744393800166</v>
      </c>
      <c r="GT333" s="5">
        <v>293.4407446948278</v>
      </c>
      <c r="GU333" s="5">
        <v>258.04012322764959</v>
      </c>
      <c r="GV333" s="39" t="s">
        <v>392</v>
      </c>
      <c r="GW333" s="5">
        <v>461.81944444444446</v>
      </c>
      <c r="GX333" s="5">
        <v>346.36458333333331</v>
      </c>
      <c r="GY333" s="5">
        <v>277.09166666666664</v>
      </c>
      <c r="GZ333" s="5">
        <v>244.50415515778934</v>
      </c>
      <c r="HA333" s="5">
        <v>226.48624475670567</v>
      </c>
      <c r="HB333" s="39">
        <v>256.83494570682075</v>
      </c>
      <c r="HC333" s="5">
        <v>187.140625</v>
      </c>
      <c r="HD333" s="5">
        <v>171.45330774853798</v>
      </c>
      <c r="HE333" s="5">
        <v>177.50180921052629</v>
      </c>
      <c r="HF333" s="5">
        <v>167.9756304824561</v>
      </c>
      <c r="HG333" s="5">
        <v>166.75888157894735</v>
      </c>
      <c r="HH333" s="39">
        <v>172.469145341256</v>
      </c>
      <c r="HI333" s="16"/>
      <c r="HJ333" s="19" t="str">
        <f t="shared" si="972"/>
        <v>On</v>
      </c>
      <c r="HK333" s="1" t="str">
        <f t="shared" si="972"/>
        <v>On</v>
      </c>
      <c r="HL333" s="16"/>
      <c r="HM333" s="639">
        <f t="shared" si="878"/>
        <v>2.2758057894877178E-2</v>
      </c>
      <c r="HN333" s="639">
        <f t="shared" si="879"/>
        <v>1.416759231746561E-3</v>
      </c>
      <c r="HO333" s="639">
        <f t="shared" si="880"/>
        <v>4.5732401537654987E-3</v>
      </c>
      <c r="HP333" s="644">
        <f>(FT333*$GD333-HM333)/$JF333*INDEX(Input!$1:$1048576,$JG$93,$C333*2+6)</f>
        <v>213.8268023414588</v>
      </c>
      <c r="HQ333" s="644">
        <f>(FU333*$GD333-HN333)/$JF333*INDEX(Input!$1:$1048576,$JG$93,$C333*2+6)</f>
        <v>13.112604062294015</v>
      </c>
      <c r="HR333" s="644">
        <f>(FV333*$GD333-HO333)/$JF333*INDEX(Input!$1:$1048576,$JG$93,$C333*2+6)</f>
        <v>-55.945977924802833</v>
      </c>
      <c r="HS333" s="644">
        <f t="shared" ref="HS333:HS336" si="980">IF(AND(HJ333="On",HK333="On"),IL333/1000*INDEX(KG:KG,MATCH(C333*1000+3,$KF:$KF,0))*SUM(HY333:IA333)*1.1
+INDEX(HR:HR,MATCH(C333*1000+4,$KF:$KF,0))/INDEX(IM:IM,MATCH(C333*1000+4,$KF:$KF,0))*IM333*20%,0)</f>
        <v>-88.434613291457438</v>
      </c>
      <c r="HT333" s="644">
        <f t="shared" si="882"/>
        <v>98.916407102674015</v>
      </c>
      <c r="HU333" s="644">
        <f t="shared" si="883"/>
        <v>20.757887653986096</v>
      </c>
      <c r="HV333" s="648">
        <f t="shared" si="884"/>
        <v>0</v>
      </c>
      <c r="HW333" s="648">
        <f t="shared" si="885"/>
        <v>0</v>
      </c>
      <c r="HX333" s="648">
        <f t="shared" si="886"/>
        <v>0</v>
      </c>
      <c r="HY333" s="644">
        <f>INDEX(Input!$1:$1048576,HY$93,$C333*2+6)*INDEX(Input!$1:$1048576,$JG$93,$C333*2+6)</f>
        <v>509.00000000000006</v>
      </c>
      <c r="HZ333" s="644">
        <f>INDEX(Input!$1:$1048576,HZ$93,$C333*2+6)*INDEX(Input!$1:$1048576,$JG$93,$C333*2+6)</f>
        <v>844</v>
      </c>
      <c r="IA333" s="644">
        <f>INDEX(Input!$1:$1048576,IA$93,$C333*2+6)*INDEX(Input!$1:$1048576,$JG$93,$C333*2+6)</f>
        <v>257</v>
      </c>
      <c r="IB333" s="644">
        <f t="shared" si="910"/>
        <v>634.39218905000121</v>
      </c>
      <c r="IC333" s="644">
        <f t="shared" si="911"/>
        <v>956.0290111649681</v>
      </c>
      <c r="ID333" s="644">
        <f>IF(AND(INDEX(Input!$1:$1048576,IA$93,$C333*2+7)="TOS",Y333&lt;=INDEX(Y:Y,MATCH(C333*1000+2,A:A))),0,1)*MAX(IA333+HR333+HU333+HX333,0%)</f>
        <v>221.81190972918327</v>
      </c>
      <c r="IE333" s="128">
        <f t="shared" ref="IE333:IE336" si="981">IB333/SUM($IB333:$ID333)</f>
        <v>0.3500610299905354</v>
      </c>
      <c r="IF333" s="128">
        <f t="shared" si="977"/>
        <v>0.52754196241036011</v>
      </c>
      <c r="IG333" s="128">
        <f t="shared" si="888"/>
        <v>0.12239700759910452</v>
      </c>
      <c r="IH333" s="21"/>
      <c r="II333" s="19">
        <f t="shared" si="889"/>
        <v>1410.4999999999998</v>
      </c>
      <c r="IJ333" s="19">
        <f t="shared" si="890"/>
        <v>2134.9731585778086</v>
      </c>
      <c r="IK333" s="19">
        <f t="shared" si="891"/>
        <v>2103.5</v>
      </c>
      <c r="IL333" s="19">
        <f t="shared" si="913"/>
        <v>950.50000000000023</v>
      </c>
      <c r="IM333" s="19">
        <f t="shared" si="892"/>
        <v>951.14091462105489</v>
      </c>
      <c r="IN333" s="19">
        <f t="shared" si="893"/>
        <v>185.5</v>
      </c>
      <c r="IO333" s="39">
        <f t="shared" si="894"/>
        <v>0</v>
      </c>
      <c r="IP333" s="39">
        <f t="shared" si="895"/>
        <v>0</v>
      </c>
      <c r="IQ333" s="39">
        <f t="shared" si="896"/>
        <v>0</v>
      </c>
      <c r="IR333" s="39">
        <v>0</v>
      </c>
      <c r="IS333" s="39">
        <v>0</v>
      </c>
      <c r="IT333" s="39">
        <v>0</v>
      </c>
      <c r="IU333" s="39">
        <v>0</v>
      </c>
      <c r="IV333" s="39">
        <v>0</v>
      </c>
      <c r="IW333" s="39">
        <v>0</v>
      </c>
      <c r="IX333" s="39">
        <f>INDEX(Input!$1:$1048576,IX$93,$C333*2+6)+INDEX(Input!$1:$1048576,IX$94,$C333*2+6)</f>
        <v>1611</v>
      </c>
      <c r="IY333" s="39">
        <f>INDEX(Input!$1:$1048576,IY$93,$C333*2+6)+INDEX(Input!$1:$1048576,IY$94,$C333*2+6)</f>
        <v>2471.0624533823611</v>
      </c>
      <c r="IZ333" s="39">
        <f>INDEX(Input!$1:$1048576,IZ$93,$C333*2+6)+INDEX(Input!$1:$1048576,IZ$94,$C333*2+6)</f>
        <v>3994.7164157747857</v>
      </c>
      <c r="JA333" s="19">
        <f t="shared" si="914"/>
        <v>2561.5</v>
      </c>
      <c r="JB333" s="19">
        <f t="shared" si="915"/>
        <v>3422.203368003416</v>
      </c>
      <c r="JC333" s="19">
        <f t="shared" si="916"/>
        <v>4180.2164157747857</v>
      </c>
      <c r="JD333" s="19">
        <f t="shared" si="917"/>
        <v>3213.68318925211</v>
      </c>
      <c r="JE333" s="21"/>
      <c r="JF333" s="1">
        <f t="shared" si="897"/>
        <v>2.8748057280389237E-2</v>
      </c>
      <c r="JG333" s="15">
        <f>INDEX(Input!$1:$1048576,JG$93,$C333*2+6)/(1+VLOOKUP(C333*1000+INDEX(Input!$1:$1048576,JG$93+1,$C333*2+6),$A:$KK,$JK$92,FALSE))</f>
        <v>1610</v>
      </c>
      <c r="JH333" s="1">
        <f t="shared" si="918"/>
        <v>0.10620709843413043</v>
      </c>
      <c r="JI333" s="1">
        <f t="shared" si="919"/>
        <v>1.9403528860374331E-2</v>
      </c>
      <c r="JJ333" s="1">
        <f t="shared" si="978"/>
        <v>0</v>
      </c>
      <c r="JK333" s="1">
        <f t="shared" si="979"/>
        <v>0.12561062729450476</v>
      </c>
      <c r="JL333" s="15">
        <f t="shared" si="922"/>
        <v>202.23310994415266</v>
      </c>
      <c r="JM333" s="15">
        <f t="shared" si="948"/>
        <v>1812.2331099441526</v>
      </c>
      <c r="JN333" s="21"/>
      <c r="JO333" s="19">
        <f>INDEX(Input!$1:$1048576,JO$93,$C333*2+6)</f>
        <v>5995.5</v>
      </c>
      <c r="JP333" s="19">
        <f>INDEX(Input!$1:$1048576,JP$93,$C333*2+6)</f>
        <v>2442.3713226762939</v>
      </c>
      <c r="JQ333" s="39">
        <f t="shared" si="934"/>
        <v>2781.81681074789</v>
      </c>
      <c r="JR333" s="39">
        <f t="shared" si="951"/>
        <v>771.31186657581611</v>
      </c>
      <c r="JS333" s="39">
        <f t="shared" si="936"/>
        <v>5.8239430804335939</v>
      </c>
      <c r="JT333" s="39">
        <f t="shared" si="924"/>
        <v>1.8917252509247608</v>
      </c>
      <c r="JU333" s="385">
        <f>(JQ333*JM333-INDEX(Input!$1:$1048576,Input!A$18,$C333*2+6)*JL333*INDEX(Input!$1:$1048576,Input!A$19,$C333*2+6))/1000000</f>
        <v>5.0413005302365725</v>
      </c>
      <c r="JV333" s="39">
        <f t="shared" si="958"/>
        <v>-0.67923664025459463</v>
      </c>
      <c r="JW333" s="1">
        <f t="shared" si="949"/>
        <v>-0.11873651372433529</v>
      </c>
      <c r="JX333" s="19">
        <f t="shared" si="940"/>
        <v>9354.1816740451995</v>
      </c>
      <c r="JZ333" s="341"/>
      <c r="KA333" s="342"/>
      <c r="KB333" s="469">
        <f t="shared" si="937"/>
        <v>2.5190675447988795</v>
      </c>
      <c r="KI333" s="473">
        <f t="shared" ref="KI333:KI336" si="982">$JM333*IE333-$JG333*HY333/SUM($HY333:$IA333)</f>
        <v>125.39218905000115</v>
      </c>
      <c r="KJ333" s="473">
        <f t="shared" ref="KJ333:KJ336" si="983">$JM333*IF333-$JG333*HZ333/SUM($HY333:$IA333)</f>
        <v>112.0290111649681</v>
      </c>
      <c r="KK333" s="473">
        <f t="shared" si="926"/>
        <v>-35.18809027081673</v>
      </c>
      <c r="KN333" s="544">
        <f t="shared" si="941"/>
        <v>3002</v>
      </c>
      <c r="KO333" s="541">
        <f t="shared" si="901"/>
        <v>9.2278235752584425E-2</v>
      </c>
      <c r="KP333" s="546">
        <f t="shared" si="902"/>
        <v>658.5147136626772</v>
      </c>
      <c r="KQ333" s="546">
        <f t="shared" si="903"/>
        <v>577.76976386341175</v>
      </c>
      <c r="KR333" s="548">
        <f t="shared" si="904"/>
        <v>2.4311424905291621</v>
      </c>
      <c r="KS333" s="548">
        <f t="shared" si="905"/>
        <v>2.7709014925233291</v>
      </c>
      <c r="KT333" s="473">
        <f t="shared" si="939"/>
        <v>1026.1618045255443</v>
      </c>
      <c r="KU333" s="663">
        <f t="shared" si="927"/>
        <v>4.7637635580814237</v>
      </c>
      <c r="KV333" s="117"/>
    </row>
    <row r="334" spans="1:308" s="26" customFormat="1" ht="15">
      <c r="A334" s="561">
        <f t="shared" si="906"/>
        <v>3034</v>
      </c>
      <c r="B334" s="561">
        <f t="shared" si="928"/>
        <v>34</v>
      </c>
      <c r="C334" s="561">
        <f t="shared" si="929"/>
        <v>3</v>
      </c>
      <c r="D334" s="561" t="str">
        <f t="shared" si="974"/>
        <v xml:space="preserve">1000 CC, 1000 Combo, </v>
      </c>
      <c r="E334" s="475">
        <f>INDEX(Input!$1:$1048576,E$93,$C334*2+MIN($B334,2)+5)
+INDEX(Scenarios!E$121:E$200,MATCH($B334,Scenarios!$B$121:$B$200,0))</f>
        <v>2287.0236024844721</v>
      </c>
      <c r="F334" s="475">
        <f>INDEX(Input!$1:$1048576,F$93,$C334*2+MIN($B334,2)+5)
+INDEX(Scenarios!F$121:F$200,MATCH($B334,Scenarios!$B$121:$B$200,0))</f>
        <v>0</v>
      </c>
      <c r="G334" s="475">
        <f>INDEX(Input!$1:$1048576,G$93,$C334*2+MIN($B334,2)+5)
+INDEX(Scenarios!G$121:G$200,MATCH($B334,Scenarios!$B$121:$B$200,0))</f>
        <v>0</v>
      </c>
      <c r="H334" s="475">
        <f>INDEX(Input!$1:$1048576,H$93,$C334*2+MIN($B334,2)+5)
+INDEX(Scenarios!H$121:H$200,MATCH($B334,Scenarios!$B$121:$B$200,0))</f>
        <v>0</v>
      </c>
      <c r="I334" s="476">
        <f>INDEX(Input!$1:$1048576,I$93,$C334*2+MIN($B334,2)+5)</f>
        <v>0.7</v>
      </c>
      <c r="J334" s="476" t="str">
        <f>INDEX(Input!$1:$1048576,J$93,$C334*2+MIN($B334,2)+5)</f>
        <v>Market</v>
      </c>
      <c r="K334" s="476" t="str">
        <f>INDEX(Input!$1:$1048576,K$93,$C334*2+MIN($B334,2)+5)</f>
        <v>Market</v>
      </c>
      <c r="L334" s="476" t="str">
        <f>INDEX(Input!$1:$1048576,L$93,$C334*2+MIN($B334,2)+5)</f>
        <v>Market</v>
      </c>
      <c r="M334" s="476" t="str">
        <f>INDEX(Input!$1:$1048576,M$93,$C334*2+MIN($B334,2)+5)</f>
        <v>Market</v>
      </c>
      <c r="N334" s="476" t="str">
        <f>INDEX(Input!$1:$1048576,N$93,$C334*2+MIN($B334,2)+5)</f>
        <v>Market</v>
      </c>
      <c r="O334" s="476" t="str">
        <f>INDEX(Input!$1:$1048576,O$93,$C334*2+MIN($B334,2)+5)</f>
        <v>Market</v>
      </c>
      <c r="P334" s="476" t="str">
        <f>INDEX(Input!$1:$1048576,P$93,$C334*2+MIN($B334,2)+5)</f>
        <v>N</v>
      </c>
      <c r="Q334" s="477">
        <f>INDEX(Input!$1:$1048576,Q$93,$C334*2+MIN($B334,2)+5)
+INDEX(Scenarios!Q$121:Q$200,MATCH($B334,Scenarios!$B$121:$B$200,0))</f>
        <v>1000</v>
      </c>
      <c r="R334" s="478">
        <f>IFERROR(MAX(0,INDEX(Input!$1:$1048576,R$93,$C334*2+MIN($B334,2)+5)
+INDEX(Scenarios!R$121:R$200,MATCH($B334,Scenarios!$B$121:$B$200,0)),),"Market")</f>
        <v>0</v>
      </c>
      <c r="S334" s="478">
        <f>IFERROR(MAX(0,INDEX(Input!$1:$1048576,S$93,$C334*2+MIN($B334,2)+5)
+INDEX(Scenarios!S$121:S$200,MATCH($B334,Scenarios!$B$121:$B$200,0)),),"Market")</f>
        <v>0</v>
      </c>
      <c r="T334" s="478">
        <f>IFERROR(MAX(0,INDEX(Input!$1:$1048576,T$93,$C334*2+MIN($B334,2)+5)
+INDEX(Scenarios!T$121:T$200,MATCH($B334,Scenarios!$B$121:$B$200,0)),),"Market")</f>
        <v>0</v>
      </c>
      <c r="U334" s="478">
        <f>IFERROR(MAX(0,INDEX(Input!$1:$1048576,U$93,$C334*2+MIN($B334,2)+5)
+INDEX(Scenarios!U$121:U$200,MATCH($B334,Scenarios!$B$121:$B$200,0)),),"Market")</f>
        <v>0</v>
      </c>
      <c r="V334" s="478">
        <f>IFERROR(MAX(0,INDEX(Input!$1:$1048576,V$93,$C334*2+MIN($B334,2)+5)
+INDEX(Scenarios!V$121:V$200,MATCH($B334,Scenarios!$B$121:$B$200,0)),),"Market")</f>
        <v>1.9E-2</v>
      </c>
      <c r="W334" s="885">
        <f>IFERROR(MAX(0,INDEX(Input!$1:$1048576,W$93,$C334*2+MIN($B334,2)+5)-0%,),"Market")</f>
        <v>3.9E-2</v>
      </c>
      <c r="X334" s="476" t="str">
        <f>INDEX(Input!$1:$1048576,X$93,$C334*2+MIN($B334,2)+5)</f>
        <v>Y</v>
      </c>
      <c r="Y334" s="475">
        <f>INDEX(Input!$1:$1048576,Y$93,$C334*2+MIN($B334,2)+5)
++INDEX(Scenarios!Y$121:Y$200,MATCH($B334,Scenarios!$B$121:$B$200,0))</f>
        <v>1554.9999999999991</v>
      </c>
      <c r="Z334" s="477">
        <f>INDEX(Input!$1:$1048576,Z$93,$C334*2+MIN($B334,2)+5)
+INDEX(Scenarios!Z$121:Z$200,MATCH($B334,Scenarios!$B$121:$B$200,0))</f>
        <v>0</v>
      </c>
      <c r="AA334" s="475">
        <f>INDEX(Input!$1:$1048576,AA$93,$C334*2+MIN($B334,2)+5)
+INDEX(Scenarios!AA$121:AA$200,MATCH($B334,Scenarios!$B$121:$B$200,0))</f>
        <v>0</v>
      </c>
      <c r="AB334" s="476">
        <f>INDEX(Input!$1:$1048576,AB$93,$C334*2+MIN($B334,2)+5)</f>
        <v>0.27</v>
      </c>
      <c r="AC334" s="475">
        <f>INDEX(Input!$1:$1048576,AC$93,$C334*2+MIN($B334,2)+5)
+INDEX(Scenarios!AC$121:AC$200,MATCH($B334,Scenarios!$B$121:$B$200,0))</f>
        <v>0</v>
      </c>
      <c r="AD334" s="476">
        <f>INDEX(Input!$1:$1048576,AD$93,$C334*2+MIN($B334,2)+5)</f>
        <v>0.27</v>
      </c>
      <c r="AE334" s="475">
        <f>INDEX(Input!$1:$1048576,AE$93,$C334*2+MIN($B334,2)+5)
+INDEX(Scenarios!AE$121:AE$200,MATCH($B334,Scenarios!$B$121:$B$200,0))</f>
        <v>0</v>
      </c>
      <c r="AF334" s="476">
        <f>INDEX(Input!$1:$1048576,AF$93,$C334*2+MIN($B334,2)+5)</f>
        <v>0.68200000000000005</v>
      </c>
      <c r="AG334" s="475">
        <f>INDEX(Input!$1:$1048576,AG$93,$C334*2+MIN($B334,2)+5)
+INDEX(Scenarios!AG$121:AG$200,MATCH($B334,Scenarios!$B$121:$B$200,0))</f>
        <v>500</v>
      </c>
      <c r="AH334" s="476">
        <f>INDEX(Input!$1:$1048576,AH$93,$C334*2+MIN($B334,2)+5)</f>
        <v>1</v>
      </c>
      <c r="AI334" s="475">
        <f>INDEX(Input!$1:$1048576,AI$93,$C334*2+MIN($B334,2)+5)
+INDEX(Scenarios!AI$121:AI$200,MATCH($B334,Scenarios!$B$121:$B$200,0))</f>
        <v>0</v>
      </c>
      <c r="AJ334" s="476">
        <f>INDEX(Input!$1:$1048576,AJ$93,$C334*2+MIN($B334,2)+5)</f>
        <v>0.27</v>
      </c>
      <c r="AK334" s="150">
        <f>ROUND(INDEX(Input!$1:$1048576,AK$93,$C333*2+MIN($B334,1)+5)+(Y334-VLOOKUP($C334*1000+1,$A:$HH,Y$92,FALSE)),0)</f>
        <v>2977</v>
      </c>
      <c r="AL334" s="150">
        <f>ROUND(INDEX(Input!$1:$1048576,AL$93,$C333*2+MIN($B334,1)+5)-(Y334-VLOOKUP($C334*1000+1,$A:$HH,Y$92,FALSE))/36,0)</f>
        <v>3395</v>
      </c>
      <c r="AM334" s="32" t="str">
        <f t="shared" si="907"/>
        <v>std/std/std/std</v>
      </c>
      <c r="AN334" s="32" t="str">
        <f t="shared" si="908"/>
        <v>$1000 + 0/0/0/1.9/3.9</v>
      </c>
      <c r="AO334" s="32" t="str">
        <f t="shared" si="909"/>
        <v>0/0/0/1.9/3.9</v>
      </c>
      <c r="AP334" s="32" t="str">
        <f t="shared" si="863"/>
        <v>0/0.9/1.9/3.9</v>
      </c>
      <c r="AQ334" s="536">
        <f t="shared" si="862"/>
        <v>0.36063337613649854</v>
      </c>
      <c r="AR334" s="32"/>
      <c r="AS334" s="302"/>
      <c r="AT334" s="3">
        <f t="shared" si="930"/>
        <v>34</v>
      </c>
      <c r="AU334" s="41" t="s">
        <v>121</v>
      </c>
      <c r="AV334" s="41" t="s">
        <v>116</v>
      </c>
      <c r="AW334" s="41" t="str">
        <f>INDEX(Input!$1:$1048576,AW$93,$C334*2+6)</f>
        <v>Kia</v>
      </c>
      <c r="AX334" s="41" t="str">
        <f>INDEX(Input!$1:$1048576,AX$93,$C334*2+6)</f>
        <v>Kia-LR - L3</v>
      </c>
      <c r="AY334" s="41" t="str">
        <f>IF(LEN(D334)=0,"",INDEX(Input!$1:$1048576,AY$93,$C334*2+6))</f>
        <v>Compact SUV (52)</v>
      </c>
      <c r="AZ334" s="41" t="str">
        <f>INDEX(Input!$1:$1048576,AZ$93,$C334*2+6)</f>
        <v>Kia Soul</v>
      </c>
      <c r="BA334" s="3">
        <f>INDEX(Input!$1:$1048576,BA$93,$C334*2+6)</f>
        <v>2020</v>
      </c>
      <c r="BB334" s="128">
        <f>INDEX(Input!$1:$1048576,BB$93,$C334*2+6)</f>
        <v>1</v>
      </c>
      <c r="BC334" s="128">
        <f>INDEX(Input!$1:$1048576,BC$93,$C334*2+6)</f>
        <v>0.7</v>
      </c>
      <c r="BD334" s="1">
        <f>INDEX(Input!$1:$1048576,BD$93,$C334*2+6)</f>
        <v>4.4999999999999998E-2</v>
      </c>
      <c r="BE334" s="1">
        <f>INDEX(Input!$1:$1048576,BE$93,$C334*2+6)</f>
        <v>4.4999999999999998E-2</v>
      </c>
      <c r="BF334" s="1">
        <f>INDEX(Input!$1:$1048576,BF$93,$C334*2+6)</f>
        <v>0.05</v>
      </c>
      <c r="BG334" s="1">
        <f>INDEX(Input!$1:$1048576,BG$93,$C334*2+6)</f>
        <v>5.45E-2</v>
      </c>
      <c r="BH334" s="1">
        <f>INDEX(Input!$1:$1048576,BH$93,$C334*2+6)</f>
        <v>5.45E-2</v>
      </c>
      <c r="BI334" s="1">
        <f>INDEX(Input!$1:$1048576,BI$93,$C334*2+6)</f>
        <v>0.05</v>
      </c>
      <c r="BJ334" s="1">
        <f>INDEX(Input!$1:$1048576,BJ$93,$C334*2+6)</f>
        <v>0.05</v>
      </c>
      <c r="BK334" s="1">
        <f>INDEX(Input!$1:$1048576,BK$93,$C334*2+6)</f>
        <v>0.05</v>
      </c>
      <c r="BL334" s="1">
        <f>INDEX(Input!$1:$1048576,BL$93,$C334*2+6)</f>
        <v>5.5E-2</v>
      </c>
      <c r="BM334" s="1">
        <f>INDEX(Input!$1:$1048576,BM$93,$C334*2+6)</f>
        <v>0.06</v>
      </c>
      <c r="BN334" s="1">
        <f>INDEX(Input!$1:$1048576,BN$93,$C334*2+6)</f>
        <v>4.4999999999999998E-2</v>
      </c>
      <c r="BO334" s="1">
        <f>INDEX(Input!$1:$1048576,BO$93,$C334*2+6)</f>
        <v>4.4999999999999998E-2</v>
      </c>
      <c r="BP334" s="1">
        <f>INDEX(Input!$1:$1048576,BP$93,$C334*2+6)</f>
        <v>0.05</v>
      </c>
      <c r="BQ334" s="1">
        <f>INDEX(Input!$1:$1048576,BQ$93,$C334*2+6)</f>
        <v>5.45E-2</v>
      </c>
      <c r="BR334" s="1">
        <f>INDEX(Input!$1:$1048576,BR$93,$C334*2+6)</f>
        <v>5.45E-2</v>
      </c>
      <c r="BS334" s="1">
        <f>INDEX(Input!$1:$1048576,BS$93,$C334*2+6)</f>
        <v>0.05</v>
      </c>
      <c r="BT334" s="1">
        <f>INDEX(Input!$1:$1048576,BT$93,$C334*2+6)</f>
        <v>0.05</v>
      </c>
      <c r="BU334" s="1">
        <f>INDEX(Input!$1:$1048576,BU$93,$C334*2+6)</f>
        <v>0.05</v>
      </c>
      <c r="BV334" s="1">
        <f>INDEX(Input!$1:$1048576,BV$93,$C334*2+6)</f>
        <v>5.5E-2</v>
      </c>
      <c r="BW334" s="1">
        <f>INDEX(Input!$1:$1048576,BW$93,$C334*2+6)</f>
        <v>0.06</v>
      </c>
      <c r="BX334" s="127">
        <f>INDEX(Input!$1:$1048576,BX$93,$C334*2+6)</f>
        <v>19985</v>
      </c>
      <c r="BY334" s="20">
        <f>INDEX(Input!$1:$1048576,BY$93,$C334*2+6)</f>
        <v>0.1</v>
      </c>
      <c r="BZ334" s="20">
        <f>INDEX(Input!$1:$1048576,BZ$93,$C334*2+6)</f>
        <v>0.1</v>
      </c>
      <c r="CA334" s="20">
        <f>INDEX(Input!$1:$1048576,CA$93,$C334*2+6)</f>
        <v>0.1</v>
      </c>
      <c r="CB334" s="20">
        <f>INDEX(Input!$1:$1048576,CB$93,$C334*2+6)</f>
        <v>0.1</v>
      </c>
      <c r="CC334" s="20">
        <f>INDEX(Input!$1:$1048576,CC$93,$C334*2+6)</f>
        <v>0.1</v>
      </c>
      <c r="CD334" s="384">
        <f>INDEX(Input!$1:$1048576,CD$93,$C334*2+6)</f>
        <v>0.1</v>
      </c>
      <c r="CE334" s="384">
        <f>INDEX(Input!$1:$1048576,CE$93,$C334*2+6)</f>
        <v>0.1</v>
      </c>
      <c r="CF334" s="384">
        <f>INDEX(Input!$1:$1048576,CF$93,$C334*2+6)</f>
        <v>0.1</v>
      </c>
      <c r="CG334" s="384">
        <f>INDEX(Input!$1:$1048576,CG$93,$C334*2+6)</f>
        <v>0.1</v>
      </c>
      <c r="CH334" s="384">
        <f>INDEX(Input!$1:$1048576,CH$93,$C334*2+6)</f>
        <v>0.1</v>
      </c>
      <c r="CI334" s="304">
        <f t="shared" si="864"/>
        <v>2287.0236024844721</v>
      </c>
      <c r="CJ334" s="16" t="str">
        <f>INDEX(Input!$1:$1048576,CJ$93,$C334*2+6)</f>
        <v>N</v>
      </c>
      <c r="CK334" s="1" t="str">
        <f t="shared" si="865"/>
        <v>Market</v>
      </c>
      <c r="CL334" s="1" t="str">
        <f t="shared" si="866"/>
        <v>Market</v>
      </c>
      <c r="CM334" s="1" t="str">
        <f t="shared" si="867"/>
        <v>Market</v>
      </c>
      <c r="CN334" s="1" t="str">
        <f t="shared" si="868"/>
        <v>Market</v>
      </c>
      <c r="CO334" s="1" t="str">
        <f t="shared" si="869"/>
        <v>Market</v>
      </c>
      <c r="CP334" s="304">
        <f t="shared" si="870"/>
        <v>1500</v>
      </c>
      <c r="CQ334" s="1">
        <f t="shared" si="871"/>
        <v>0</v>
      </c>
      <c r="CR334" s="1">
        <f t="shared" si="872"/>
        <v>0</v>
      </c>
      <c r="CS334" s="1">
        <f t="shared" si="873"/>
        <v>0</v>
      </c>
      <c r="CT334" s="1">
        <f t="shared" si="874"/>
        <v>1.9E-2</v>
      </c>
      <c r="CU334" s="1">
        <f t="shared" si="875"/>
        <v>3.9E-2</v>
      </c>
      <c r="CV334" s="304">
        <f t="shared" si="876"/>
        <v>1554.9999999999991</v>
      </c>
      <c r="CW334" s="20" t="s">
        <v>122</v>
      </c>
      <c r="CX334" s="20" t="s">
        <v>122</v>
      </c>
      <c r="CY334" s="20" t="s">
        <v>122</v>
      </c>
      <c r="CZ334" s="20" t="s">
        <v>122</v>
      </c>
      <c r="DA334" s="20" t="s">
        <v>122</v>
      </c>
      <c r="DB334" s="503">
        <f t="shared" si="877"/>
        <v>0</v>
      </c>
      <c r="DC334" s="127">
        <v>0</v>
      </c>
      <c r="DD334" s="127">
        <v>0</v>
      </c>
      <c r="DE334" s="127">
        <v>0</v>
      </c>
      <c r="DF334" s="127">
        <v>0</v>
      </c>
      <c r="DG334" s="127">
        <v>0</v>
      </c>
      <c r="DH334" s="127">
        <v>0</v>
      </c>
      <c r="DI334" s="127">
        <v>0</v>
      </c>
      <c r="DJ334" s="127">
        <v>0</v>
      </c>
      <c r="DK334" s="127">
        <v>0</v>
      </c>
      <c r="DL334" s="127">
        <v>0</v>
      </c>
      <c r="DM334" s="304">
        <f>INDEX(Input!$1:$1048576,DM$93,$C334*2+6)</f>
        <v>21036.84210526316</v>
      </c>
      <c r="DN334" s="20">
        <v>0</v>
      </c>
      <c r="DO334" s="20">
        <v>0</v>
      </c>
      <c r="DP334" s="20">
        <v>0</v>
      </c>
      <c r="DQ334" s="20">
        <v>0</v>
      </c>
      <c r="DR334" s="20">
        <v>0</v>
      </c>
      <c r="DS334" s="20">
        <f>INDEX(Input!$1:$1048576,DS$93,$C334*2+6)</f>
        <v>0.6</v>
      </c>
      <c r="DT334" s="20">
        <f>INDEX(Input!$1:$1048576,DT$93,$C334*2+6)</f>
        <v>0.55000000000000004</v>
      </c>
      <c r="DU334" s="20">
        <f>INDEX(Input!$1:$1048576,DU$93,$C334*2+6)</f>
        <v>0.52</v>
      </c>
      <c r="DV334" s="20">
        <f>INDEX(Input!$1:$1048576,DV$93,$C334*2+6)</f>
        <v>0.5</v>
      </c>
      <c r="DW334" s="20">
        <f>INDEX(Input!$1:$1048576,DW$93,$C334*2+6)</f>
        <v>0.45</v>
      </c>
      <c r="DX334" s="20"/>
      <c r="DY334" s="7">
        <v>0.11776914422327905</v>
      </c>
      <c r="DZ334" s="7">
        <v>0</v>
      </c>
      <c r="EA334" s="7">
        <v>0.73011107444598644</v>
      </c>
      <c r="EB334" s="7">
        <v>0</v>
      </c>
      <c r="EC334" s="7">
        <v>0</v>
      </c>
      <c r="ED334" s="7">
        <v>0</v>
      </c>
      <c r="EE334" s="7">
        <v>0</v>
      </c>
      <c r="EF334" s="7">
        <v>0</v>
      </c>
      <c r="EG334" s="7">
        <v>0</v>
      </c>
      <c r="EH334" s="7">
        <v>1.2004258919690231E-2</v>
      </c>
      <c r="EI334" s="7">
        <v>3.3629861479148905E-2</v>
      </c>
      <c r="EJ334" s="7">
        <v>0.27152319136120362</v>
      </c>
      <c r="EK334" s="7">
        <v>0.54183661471625477</v>
      </c>
      <c r="EL334" s="7">
        <v>0.14100607352370259</v>
      </c>
      <c r="EM334" s="7">
        <v>5.2629586611217263E-2</v>
      </c>
      <c r="EN334" s="7">
        <v>6.2842636191973583E-2</v>
      </c>
      <c r="EO334" s="7">
        <v>0.78068468456478457</v>
      </c>
      <c r="EP334" s="7">
        <v>6.4351548886814755E-2</v>
      </c>
      <c r="EQ334" s="7">
        <v>6.0222859723088329E-2</v>
      </c>
      <c r="ER334" s="7">
        <v>3.1898270633338478E-2</v>
      </c>
      <c r="ES334" s="7">
        <v>9.9490194719517311E-2</v>
      </c>
      <c r="ET334" s="7">
        <v>0.15211978133073459</v>
      </c>
      <c r="EU334" s="6">
        <v>2611</v>
      </c>
      <c r="EV334" s="6">
        <v>0</v>
      </c>
      <c r="EW334" s="6">
        <v>2611</v>
      </c>
      <c r="EX334" s="6">
        <v>0</v>
      </c>
      <c r="EY334" s="6">
        <v>3336.281652168374</v>
      </c>
      <c r="EZ334" s="6">
        <v>2289</v>
      </c>
      <c r="FA334" s="6">
        <v>0</v>
      </c>
      <c r="FB334" s="6">
        <v>0</v>
      </c>
      <c r="FC334" s="6">
        <v>0</v>
      </c>
      <c r="FD334" s="6">
        <v>0</v>
      </c>
      <c r="FE334" s="6">
        <v>0</v>
      </c>
      <c r="FF334" s="6">
        <v>0</v>
      </c>
      <c r="FG334" s="6">
        <v>0</v>
      </c>
      <c r="FH334" s="6">
        <v>1172.0274674092593</v>
      </c>
      <c r="FI334" s="6">
        <v>1553.9796069512397</v>
      </c>
      <c r="FJ334" s="6">
        <v>2101.2110117447401</v>
      </c>
      <c r="FK334" s="6">
        <v>1772.7139978623234</v>
      </c>
      <c r="FL334" s="6">
        <v>907.07682140966313</v>
      </c>
      <c r="FM334" s="6">
        <v>1725.281652168374</v>
      </c>
      <c r="FN334" s="6">
        <v>0</v>
      </c>
      <c r="FO334" s="6">
        <v>0</v>
      </c>
      <c r="FP334" s="6">
        <v>0</v>
      </c>
      <c r="FQ334" s="6">
        <v>0</v>
      </c>
      <c r="FR334" s="6">
        <v>0</v>
      </c>
      <c r="FS334" s="6">
        <v>0</v>
      </c>
      <c r="FT334" s="7">
        <v>0.84788021866926555</v>
      </c>
      <c r="FU334" s="7">
        <v>5.2629586611217263E-2</v>
      </c>
      <c r="FV334" s="7">
        <v>9.9490194719517311E-2</v>
      </c>
      <c r="FW334" s="6">
        <v>2610.9999999999995</v>
      </c>
      <c r="FX334" s="6">
        <v>3336.2816521683735</v>
      </c>
      <c r="FY334" s="6">
        <v>2289</v>
      </c>
      <c r="FZ334" s="6">
        <v>1858.9243755539039</v>
      </c>
      <c r="GA334" s="6">
        <v>2617.1354308306381</v>
      </c>
      <c r="GB334" s="6">
        <v>17367.86456916936</v>
      </c>
      <c r="GC334" s="7">
        <v>2.9156573141622111E-2</v>
      </c>
      <c r="GD334" s="7">
        <v>3.265442788060674E-2</v>
      </c>
      <c r="GE334" s="7"/>
      <c r="GF334" s="7"/>
      <c r="GG334" s="7">
        <v>0.11996796475341982</v>
      </c>
      <c r="GH334" s="42">
        <v>3.1621271661912478</v>
      </c>
      <c r="GI334" s="6">
        <v>8937.2481112045079</v>
      </c>
      <c r="GJ334" s="14">
        <v>0.50394797582841733</v>
      </c>
      <c r="GK334" s="14">
        <v>0.50887573065309755</v>
      </c>
      <c r="GL334" s="14">
        <v>0.49605202417158284</v>
      </c>
      <c r="GM334" s="14">
        <v>0.49112426934690251</v>
      </c>
      <c r="GO334" s="5">
        <v>343.14810671672558</v>
      </c>
      <c r="GP334" s="5">
        <v>293.33520778489498</v>
      </c>
      <c r="GQ334" s="5">
        <v>535.04305713031317</v>
      </c>
      <c r="GR334" s="5">
        <v>410.15490233172511</v>
      </c>
      <c r="GS334" s="5">
        <v>339.42744393800166</v>
      </c>
      <c r="GT334" s="5">
        <v>293.4407446948278</v>
      </c>
      <c r="GU334" s="5">
        <v>258.04012322764959</v>
      </c>
      <c r="GV334" s="39" t="s">
        <v>392</v>
      </c>
      <c r="GW334" s="5">
        <v>454.875</v>
      </c>
      <c r="GX334" s="5">
        <v>341.15625</v>
      </c>
      <c r="GY334" s="5">
        <v>272.92500000000001</v>
      </c>
      <c r="GZ334" s="5">
        <v>240.82751152063875</v>
      </c>
      <c r="HA334" s="5">
        <v>223.08053899211657</v>
      </c>
      <c r="HB334" s="39">
        <v>252.98381616430885</v>
      </c>
      <c r="HC334" s="5">
        <v>187.140625</v>
      </c>
      <c r="HD334" s="5">
        <v>171.45330774853798</v>
      </c>
      <c r="HE334" s="5">
        <v>177.50180921052629</v>
      </c>
      <c r="HF334" s="5">
        <v>167.9756304824561</v>
      </c>
      <c r="HG334" s="5">
        <v>166.75888157894735</v>
      </c>
      <c r="HH334" s="39">
        <v>172.46919081033948</v>
      </c>
      <c r="HI334" s="16"/>
      <c r="HJ334" s="19" t="str">
        <f t="shared" si="972"/>
        <v>On</v>
      </c>
      <c r="HK334" s="1" t="str">
        <f t="shared" si="972"/>
        <v>On</v>
      </c>
      <c r="HL334" s="16"/>
      <c r="HM334" s="639">
        <f t="shared" si="878"/>
        <v>2.2758057894877178E-2</v>
      </c>
      <c r="HN334" s="639">
        <f t="shared" si="879"/>
        <v>1.416759231746561E-3</v>
      </c>
      <c r="HO334" s="639">
        <f t="shared" si="880"/>
        <v>4.5732401537654987E-3</v>
      </c>
      <c r="HP334" s="644">
        <f>(FT334*$GD334-HM334)/$JF334*INDEX(Input!$1:$1048576,$JG$93,$C334*2+6)</f>
        <v>276.0418441306706</v>
      </c>
      <c r="HQ334" s="644">
        <f>(FU334*$GD334-HN334)/$JF334*INDEX(Input!$1:$1048576,$JG$93,$C334*2+6)</f>
        <v>16.90361150889926</v>
      </c>
      <c r="HR334" s="644">
        <f>(FV334*$GD334-HO334)/$JF334*INDEX(Input!$1:$1048576,$JG$93,$C334*2+6)</f>
        <v>-74.173919009842123</v>
      </c>
      <c r="HS334" s="644">
        <f t="shared" si="980"/>
        <v>-111.69463667331313</v>
      </c>
      <c r="HT334" s="644">
        <f t="shared" si="882"/>
        <v>124.93322789266477</v>
      </c>
      <c r="HU334" s="644">
        <f t="shared" si="883"/>
        <v>25.113804691478805</v>
      </c>
      <c r="HV334" s="648">
        <f t="shared" si="884"/>
        <v>0</v>
      </c>
      <c r="HW334" s="648">
        <f t="shared" si="885"/>
        <v>0</v>
      </c>
      <c r="HX334" s="648">
        <f t="shared" si="886"/>
        <v>0</v>
      </c>
      <c r="HY334" s="644">
        <f>INDEX(Input!$1:$1048576,HY$93,$C334*2+6)*INDEX(Input!$1:$1048576,$JG$93,$C334*2+6)</f>
        <v>509.00000000000006</v>
      </c>
      <c r="HZ334" s="644">
        <f>INDEX(Input!$1:$1048576,HZ$93,$C334*2+6)*INDEX(Input!$1:$1048576,$JG$93,$C334*2+6)</f>
        <v>844</v>
      </c>
      <c r="IA334" s="644">
        <f>INDEX(Input!$1:$1048576,IA$93,$C334*2+6)*INDEX(Input!$1:$1048576,$JG$93,$C334*2+6)</f>
        <v>257</v>
      </c>
      <c r="IB334" s="644">
        <f t="shared" si="910"/>
        <v>673.3472074573574</v>
      </c>
      <c r="IC334" s="644">
        <f t="shared" si="911"/>
        <v>985.83683940156402</v>
      </c>
      <c r="ID334" s="644">
        <f>IF(AND(INDEX(Input!$1:$1048576,IA$93,$C334*2+7)="TOS",Y334&lt;=INDEX(Y:Y,MATCH(C334*1000+2,A:A))),0,1)*MAX(IA334+HR334+HU334+HX334,0%)</f>
        <v>207.9398856816367</v>
      </c>
      <c r="IE334" s="128">
        <f t="shared" si="981"/>
        <v>0.36063337613649854</v>
      </c>
      <c r="IF334" s="128">
        <f t="shared" si="977"/>
        <v>0.52799753793533977</v>
      </c>
      <c r="IG334" s="128">
        <f t="shared" si="888"/>
        <v>0.11136908592816175</v>
      </c>
      <c r="IH334" s="21"/>
      <c r="II334" s="19">
        <f t="shared" si="889"/>
        <v>1410.4999999999998</v>
      </c>
      <c r="IJ334" s="19">
        <f t="shared" si="890"/>
        <v>2134.9731585778086</v>
      </c>
      <c r="IK334" s="19">
        <f t="shared" si="891"/>
        <v>2103.5</v>
      </c>
      <c r="IL334" s="19">
        <f t="shared" si="913"/>
        <v>1200.4999999999998</v>
      </c>
      <c r="IM334" s="19">
        <f t="shared" si="892"/>
        <v>1201.3084935905649</v>
      </c>
      <c r="IN334" s="19">
        <f t="shared" si="893"/>
        <v>185.5</v>
      </c>
      <c r="IO334" s="39">
        <f t="shared" si="894"/>
        <v>0</v>
      </c>
      <c r="IP334" s="39">
        <f t="shared" si="895"/>
        <v>0</v>
      </c>
      <c r="IQ334" s="39">
        <f t="shared" si="896"/>
        <v>0</v>
      </c>
      <c r="IR334" s="39">
        <v>0</v>
      </c>
      <c r="IS334" s="39">
        <v>0</v>
      </c>
      <c r="IT334" s="39">
        <v>0</v>
      </c>
      <c r="IU334" s="39">
        <v>0</v>
      </c>
      <c r="IV334" s="39">
        <v>0</v>
      </c>
      <c r="IW334" s="39">
        <v>0</v>
      </c>
      <c r="IX334" s="39">
        <f>INDEX(Input!$1:$1048576,IX$93,$C334*2+6)+INDEX(Input!$1:$1048576,IX$94,$C334*2+6)</f>
        <v>1611</v>
      </c>
      <c r="IY334" s="39">
        <f>INDEX(Input!$1:$1048576,IY$93,$C334*2+6)+INDEX(Input!$1:$1048576,IY$94,$C334*2+6)</f>
        <v>2471.0624533823611</v>
      </c>
      <c r="IZ334" s="39">
        <f>INDEX(Input!$1:$1048576,IZ$93,$C334*2+6)+INDEX(Input!$1:$1048576,IZ$94,$C334*2+6)</f>
        <v>3994.7164157747857</v>
      </c>
      <c r="JA334" s="19">
        <f t="shared" si="914"/>
        <v>2811.5</v>
      </c>
      <c r="JB334" s="19">
        <f t="shared" si="915"/>
        <v>3672.370946972926</v>
      </c>
      <c r="JC334" s="19">
        <f t="shared" si="916"/>
        <v>4180.2164157747857</v>
      </c>
      <c r="JD334" s="19">
        <f t="shared" si="917"/>
        <v>3418.4704366014771</v>
      </c>
      <c r="JE334" s="21"/>
      <c r="JF334" s="1">
        <f t="shared" si="897"/>
        <v>2.8748057280389237E-2</v>
      </c>
      <c r="JG334" s="15">
        <f>INDEX(Input!$1:$1048576,JG$93,$C334*2+6)/(1+VLOOKUP(C334*1000+INDEX(Input!$1:$1048576,JG$93+1,$C334*2+6),$A:$KK,$JK$92,FALSE))</f>
        <v>1610</v>
      </c>
      <c r="JH334" s="1">
        <f t="shared" si="918"/>
        <v>0.13588294200604206</v>
      </c>
      <c r="JI334" s="1">
        <f t="shared" si="919"/>
        <v>2.3821363919770466E-2</v>
      </c>
      <c r="JJ334" s="1">
        <f t="shared" si="978"/>
        <v>0</v>
      </c>
      <c r="JK334" s="1">
        <f t="shared" si="979"/>
        <v>0.15970430592581253</v>
      </c>
      <c r="JL334" s="15">
        <f t="shared" si="922"/>
        <v>257.12393254055814</v>
      </c>
      <c r="JM334" s="15">
        <f t="shared" si="948"/>
        <v>1867.1239325405581</v>
      </c>
      <c r="JN334" s="21"/>
      <c r="JO334" s="19">
        <f>INDEX(Input!$1:$1048576,JO$93,$C334*2+6)</f>
        <v>5995.5</v>
      </c>
      <c r="JP334" s="19">
        <f>INDEX(Input!$1:$1048576,JP$93,$C334*2+6)</f>
        <v>2442.3713226762939</v>
      </c>
      <c r="JQ334" s="39">
        <f t="shared" si="934"/>
        <v>2577.0295633985229</v>
      </c>
      <c r="JR334" s="39">
        <f t="shared" si="951"/>
        <v>976.09911392518325</v>
      </c>
      <c r="JS334" s="39">
        <f t="shared" si="936"/>
        <v>6.3827079648609883</v>
      </c>
      <c r="JT334" s="39">
        <f t="shared" si="924"/>
        <v>2.4504901353521555</v>
      </c>
      <c r="JU334" s="385">
        <f>(JQ334*JM334-INDEX(Input!$1:$1048576,Input!A$18,$C334*2+6)*JL334*INDEX(Input!$1:$1048576,Input!A$19,$C334*2+6))/1000000</f>
        <v>4.8116335726859285</v>
      </c>
      <c r="JV334" s="39">
        <f t="shared" si="958"/>
        <v>-0.90890359780523866</v>
      </c>
      <c r="JW334" s="1">
        <f t="shared" si="949"/>
        <v>-0.15888430941306161</v>
      </c>
      <c r="JX334" s="19">
        <f t="shared" si="940"/>
        <v>9530.3852548444556</v>
      </c>
      <c r="JZ334" s="341"/>
      <c r="KA334" s="342"/>
      <c r="KB334" s="469">
        <f t="shared" si="937"/>
        <v>2.5190675447988795</v>
      </c>
      <c r="KI334" s="473">
        <f t="shared" si="982"/>
        <v>164.34720745735734</v>
      </c>
      <c r="KJ334" s="473">
        <f t="shared" si="983"/>
        <v>141.83683940156413</v>
      </c>
      <c r="KK334" s="473">
        <f t="shared" si="926"/>
        <v>-49.060114318363304</v>
      </c>
      <c r="KN334" s="544">
        <f t="shared" si="941"/>
        <v>3002</v>
      </c>
      <c r="KO334" s="541">
        <f t="shared" si="901"/>
        <v>0.12536230784883773</v>
      </c>
      <c r="KP334" s="546">
        <f t="shared" si="902"/>
        <v>889.03213455994228</v>
      </c>
      <c r="KQ334" s="546">
        <f t="shared" si="903"/>
        <v>782.55701121277889</v>
      </c>
      <c r="KR334" s="548">
        <f t="shared" si="904"/>
        <v>2.4463924840457127</v>
      </c>
      <c r="KS334" s="548">
        <f t="shared" si="905"/>
        <v>2.779249947159689</v>
      </c>
      <c r="KT334" s="473">
        <f t="shared" si="939"/>
        <v>1026.1618045255443</v>
      </c>
      <c r="KU334" s="663">
        <f t="shared" si="927"/>
        <v>4.7911084208536074</v>
      </c>
      <c r="KV334" s="117"/>
    </row>
    <row r="335" spans="1:308" s="26" customFormat="1" ht="15">
      <c r="A335" s="561">
        <f t="shared" si="906"/>
        <v>3035</v>
      </c>
      <c r="B335" s="561">
        <f t="shared" si="928"/>
        <v>35</v>
      </c>
      <c r="C335" s="561">
        <f t="shared" si="929"/>
        <v>3</v>
      </c>
      <c r="D335" s="561" t="str">
        <f t="shared" si="974"/>
        <v xml:space="preserve">250 CC, 0/0/0.9/3.9, </v>
      </c>
      <c r="E335" s="475">
        <f>INDEX(Input!$1:$1048576,E$93,$C335*2+MIN($B335,2)+5)
+INDEX(Scenarios!E$121:E$200,MATCH($B335,Scenarios!$B$121:$B$200,0))</f>
        <v>1537.0236024844721</v>
      </c>
      <c r="F335" s="475">
        <f>INDEX(Input!$1:$1048576,F$93,$C335*2+MIN($B335,2)+5)
+INDEX(Scenarios!F$121:F$200,MATCH($B335,Scenarios!$B$121:$B$200,0))</f>
        <v>0</v>
      </c>
      <c r="G335" s="475">
        <f>INDEX(Input!$1:$1048576,G$93,$C335*2+MIN($B335,2)+5)
+INDEX(Scenarios!G$121:G$200,MATCH($B335,Scenarios!$B$121:$B$200,0))</f>
        <v>0</v>
      </c>
      <c r="H335" s="475">
        <f>INDEX(Input!$1:$1048576,H$93,$C335*2+MIN($B335,2)+5)
+INDEX(Scenarios!H$121:H$200,MATCH($B335,Scenarios!$B$121:$B$200,0))</f>
        <v>0</v>
      </c>
      <c r="I335" s="476">
        <f>INDEX(Input!$1:$1048576,I$93,$C335*2+MIN($B335,2)+5)</f>
        <v>0.7</v>
      </c>
      <c r="J335" s="476" t="str">
        <f>INDEX(Input!$1:$1048576,J$93,$C335*2+MIN($B335,2)+5)</f>
        <v>Market</v>
      </c>
      <c r="K335" s="476" t="str">
        <f>INDEX(Input!$1:$1048576,K$93,$C335*2+MIN($B335,2)+5)</f>
        <v>Market</v>
      </c>
      <c r="L335" s="476" t="str">
        <f>INDEX(Input!$1:$1048576,L$93,$C335*2+MIN($B335,2)+5)</f>
        <v>Market</v>
      </c>
      <c r="M335" s="476" t="str">
        <f>INDEX(Input!$1:$1048576,M$93,$C335*2+MIN($B335,2)+5)</f>
        <v>Market</v>
      </c>
      <c r="N335" s="476" t="str">
        <f>INDEX(Input!$1:$1048576,N$93,$C335*2+MIN($B335,2)+5)</f>
        <v>Market</v>
      </c>
      <c r="O335" s="476" t="str">
        <f>INDEX(Input!$1:$1048576,O$93,$C335*2+MIN($B335,2)+5)</f>
        <v>Market</v>
      </c>
      <c r="P335" s="476" t="str">
        <f>INDEX(Input!$1:$1048576,P$93,$C335*2+MIN($B335,2)+5)</f>
        <v>N</v>
      </c>
      <c r="Q335" s="477">
        <f>INDEX(Input!$1:$1048576,Q$93,$C335*2+MIN($B335,2)+5)
+INDEX(Scenarios!Q$121:Q$200,MATCH($B335,Scenarios!$B$121:$B$200,0))</f>
        <v>0</v>
      </c>
      <c r="R335" s="478">
        <f>IFERROR(MAX(0,INDEX(Input!$1:$1048576,R$93,$C335*2+MIN($B335,2)+5)
+INDEX(Scenarios!R$121:R$200,MATCH($B335,Scenarios!$B$121:$B$200,0)),),"Market")</f>
        <v>0</v>
      </c>
      <c r="S335" s="478">
        <f>IFERROR(MAX(0,INDEX(Input!$1:$1048576,S$93,$C335*2+MIN($B335,2)+5)
+INDEX(Scenarios!S$121:S$200,MATCH($B335,Scenarios!$B$121:$B$200,0)),),"Market")</f>
        <v>0</v>
      </c>
      <c r="T335" s="478">
        <f>IFERROR(MAX(0,INDEX(Input!$1:$1048576,T$93,$C335*2+MIN($B335,2)+5)
+INDEX(Scenarios!T$121:T$200,MATCH($B335,Scenarios!$B$121:$B$200,0)),),"Market")</f>
        <v>0</v>
      </c>
      <c r="U335" s="478">
        <f>IFERROR(MAX(0,INDEX(Input!$1:$1048576,U$93,$C335*2+MIN($B335,2)+5)
+INDEX(Scenarios!U$121:U$200,MATCH($B335,Scenarios!$B$121:$B$200,0)),),"Market")</f>
        <v>0</v>
      </c>
      <c r="V335" s="478">
        <f>IFERROR(MAX(0,INDEX(Input!$1:$1048576,V$93,$C335*2+MIN($B335,2)+5)
+INDEX(Scenarios!V$121:V$200,MATCH($B335,Scenarios!$B$121:$B$200,0)),),"Market")</f>
        <v>8.9999999999999993E-3</v>
      </c>
      <c r="W335" s="885">
        <f>IFERROR(MAX(0,INDEX(Input!$1:$1048576,W$93,$C335*2+MIN($B335,2)+5)-0%,),"Market")</f>
        <v>3.9E-2</v>
      </c>
      <c r="X335" s="476" t="str">
        <f>INDEX(Input!$1:$1048576,X$93,$C335*2+MIN($B335,2)+5)</f>
        <v>Y</v>
      </c>
      <c r="Y335" s="475">
        <f>INDEX(Input!$1:$1048576,Y$93,$C335*2+MIN($B335,2)+5)
++INDEX(Scenarios!Y$121:Y$200,MATCH($B335,Scenarios!$B$121:$B$200,0))</f>
        <v>1554.9999999999991</v>
      </c>
      <c r="Z335" s="477">
        <f>INDEX(Input!$1:$1048576,Z$93,$C335*2+MIN($B335,2)+5)
+INDEX(Scenarios!Z$121:Z$200,MATCH($B335,Scenarios!$B$121:$B$200,0))</f>
        <v>0</v>
      </c>
      <c r="AA335" s="475">
        <f>INDEX(Input!$1:$1048576,AA$93,$C335*2+MIN($B335,2)+5)
+INDEX(Scenarios!AA$121:AA$200,MATCH($B335,Scenarios!$B$121:$B$200,0))</f>
        <v>0</v>
      </c>
      <c r="AB335" s="476">
        <f>INDEX(Input!$1:$1048576,AB$93,$C335*2+MIN($B335,2)+5)</f>
        <v>0.27</v>
      </c>
      <c r="AC335" s="475">
        <f>INDEX(Input!$1:$1048576,AC$93,$C335*2+MIN($B335,2)+5)
+INDEX(Scenarios!AC$121:AC$200,MATCH($B335,Scenarios!$B$121:$B$200,0))</f>
        <v>0</v>
      </c>
      <c r="AD335" s="476">
        <f>INDEX(Input!$1:$1048576,AD$93,$C335*2+MIN($B335,2)+5)</f>
        <v>0.27</v>
      </c>
      <c r="AE335" s="475">
        <f>INDEX(Input!$1:$1048576,AE$93,$C335*2+MIN($B335,2)+5)
+INDEX(Scenarios!AE$121:AE$200,MATCH($B335,Scenarios!$B$121:$B$200,0))</f>
        <v>0</v>
      </c>
      <c r="AF335" s="476">
        <f>INDEX(Input!$1:$1048576,AF$93,$C335*2+MIN($B335,2)+5)</f>
        <v>0.68200000000000005</v>
      </c>
      <c r="AG335" s="475">
        <f>INDEX(Input!$1:$1048576,AG$93,$C335*2+MIN($B335,2)+5)
+INDEX(Scenarios!AG$121:AG$200,MATCH($B335,Scenarios!$B$121:$B$200,0))</f>
        <v>500</v>
      </c>
      <c r="AH335" s="476">
        <f>INDEX(Input!$1:$1048576,AH$93,$C335*2+MIN($B335,2)+5)</f>
        <v>1</v>
      </c>
      <c r="AI335" s="475">
        <f>INDEX(Input!$1:$1048576,AI$93,$C335*2+MIN($B335,2)+5)
+INDEX(Scenarios!AI$121:AI$200,MATCH($B335,Scenarios!$B$121:$B$200,0))</f>
        <v>0</v>
      </c>
      <c r="AJ335" s="476">
        <f>INDEX(Input!$1:$1048576,AJ$93,$C335*2+MIN($B335,2)+5)</f>
        <v>0.27</v>
      </c>
      <c r="AK335" s="150">
        <f>ROUND(INDEX(Input!$1:$1048576,AK$93,$C334*2+MIN($B335,1)+5)+(Y335-VLOOKUP($C335*1000+1,$A:$HH,Y$92,FALSE)),0)</f>
        <v>2977</v>
      </c>
      <c r="AL335" s="150">
        <f>ROUND(INDEX(Input!$1:$1048576,AL$93,$C334*2+MIN($B335,1)+5)-(Y335-VLOOKUP($C335*1000+1,$A:$HH,Y$92,FALSE))/36,0)</f>
        <v>3395</v>
      </c>
      <c r="AM335" s="32" t="str">
        <f t="shared" si="907"/>
        <v>std/std/std/std</v>
      </c>
      <c r="AN335" s="32" t="str">
        <f t="shared" si="908"/>
        <v>$0 + 0/0/0/0.9/3.9</v>
      </c>
      <c r="AO335" s="32" t="str">
        <f t="shared" si="909"/>
        <v>0/0/0/0.9/3.9</v>
      </c>
      <c r="AP335" s="32" t="str">
        <f t="shared" si="863"/>
        <v>0/0/0.9/3.9</v>
      </c>
      <c r="AQ335" s="536">
        <f t="shared" si="862"/>
        <v>0.32157467891510766</v>
      </c>
      <c r="AR335" s="32"/>
      <c r="AS335" s="302"/>
      <c r="AT335" s="3">
        <f t="shared" si="930"/>
        <v>35</v>
      </c>
      <c r="AU335" s="41" t="s">
        <v>121</v>
      </c>
      <c r="AV335" s="41" t="s">
        <v>116</v>
      </c>
      <c r="AW335" s="41" t="str">
        <f>INDEX(Input!$1:$1048576,AW$93,$C335*2+6)</f>
        <v>Kia</v>
      </c>
      <c r="AX335" s="41" t="str">
        <f>INDEX(Input!$1:$1048576,AX$93,$C335*2+6)</f>
        <v>Kia-LR - L3</v>
      </c>
      <c r="AY335" s="41" t="str">
        <f>IF(LEN(D335)=0,"",INDEX(Input!$1:$1048576,AY$93,$C335*2+6))</f>
        <v>Compact SUV (52)</v>
      </c>
      <c r="AZ335" s="41" t="str">
        <f>INDEX(Input!$1:$1048576,AZ$93,$C335*2+6)</f>
        <v>Kia Soul</v>
      </c>
      <c r="BA335" s="3">
        <f>INDEX(Input!$1:$1048576,BA$93,$C335*2+6)</f>
        <v>2020</v>
      </c>
      <c r="BB335" s="128">
        <f>INDEX(Input!$1:$1048576,BB$93,$C335*2+6)</f>
        <v>1</v>
      </c>
      <c r="BC335" s="128">
        <f>INDEX(Input!$1:$1048576,BC$93,$C335*2+6)</f>
        <v>0.7</v>
      </c>
      <c r="BD335" s="1">
        <f>INDEX(Input!$1:$1048576,BD$93,$C335*2+6)</f>
        <v>4.4999999999999998E-2</v>
      </c>
      <c r="BE335" s="1">
        <f>INDEX(Input!$1:$1048576,BE$93,$C335*2+6)</f>
        <v>4.4999999999999998E-2</v>
      </c>
      <c r="BF335" s="1">
        <f>INDEX(Input!$1:$1048576,BF$93,$C335*2+6)</f>
        <v>0.05</v>
      </c>
      <c r="BG335" s="1">
        <f>INDEX(Input!$1:$1048576,BG$93,$C335*2+6)</f>
        <v>5.45E-2</v>
      </c>
      <c r="BH335" s="1">
        <f>INDEX(Input!$1:$1048576,BH$93,$C335*2+6)</f>
        <v>5.45E-2</v>
      </c>
      <c r="BI335" s="1">
        <f>INDEX(Input!$1:$1048576,BI$93,$C335*2+6)</f>
        <v>0.05</v>
      </c>
      <c r="BJ335" s="1">
        <f>INDEX(Input!$1:$1048576,BJ$93,$C335*2+6)</f>
        <v>0.05</v>
      </c>
      <c r="BK335" s="1">
        <f>INDEX(Input!$1:$1048576,BK$93,$C335*2+6)</f>
        <v>0.05</v>
      </c>
      <c r="BL335" s="1">
        <f>INDEX(Input!$1:$1048576,BL$93,$C335*2+6)</f>
        <v>5.5E-2</v>
      </c>
      <c r="BM335" s="1">
        <f>INDEX(Input!$1:$1048576,BM$93,$C335*2+6)</f>
        <v>0.06</v>
      </c>
      <c r="BN335" s="1">
        <f>INDEX(Input!$1:$1048576,BN$93,$C335*2+6)</f>
        <v>4.4999999999999998E-2</v>
      </c>
      <c r="BO335" s="1">
        <f>INDEX(Input!$1:$1048576,BO$93,$C335*2+6)</f>
        <v>4.4999999999999998E-2</v>
      </c>
      <c r="BP335" s="1">
        <f>INDEX(Input!$1:$1048576,BP$93,$C335*2+6)</f>
        <v>0.05</v>
      </c>
      <c r="BQ335" s="1">
        <f>INDEX(Input!$1:$1048576,BQ$93,$C335*2+6)</f>
        <v>5.45E-2</v>
      </c>
      <c r="BR335" s="1">
        <f>INDEX(Input!$1:$1048576,BR$93,$C335*2+6)</f>
        <v>5.45E-2</v>
      </c>
      <c r="BS335" s="1">
        <f>INDEX(Input!$1:$1048576,BS$93,$C335*2+6)</f>
        <v>0.05</v>
      </c>
      <c r="BT335" s="1">
        <f>INDEX(Input!$1:$1048576,BT$93,$C335*2+6)</f>
        <v>0.05</v>
      </c>
      <c r="BU335" s="1">
        <f>INDEX(Input!$1:$1048576,BU$93,$C335*2+6)</f>
        <v>0.05</v>
      </c>
      <c r="BV335" s="1">
        <f>INDEX(Input!$1:$1048576,BV$93,$C335*2+6)</f>
        <v>5.5E-2</v>
      </c>
      <c r="BW335" s="1">
        <f>INDEX(Input!$1:$1048576,BW$93,$C335*2+6)</f>
        <v>0.06</v>
      </c>
      <c r="BX335" s="127">
        <f>INDEX(Input!$1:$1048576,BX$93,$C335*2+6)</f>
        <v>19985</v>
      </c>
      <c r="BY335" s="20">
        <f>INDEX(Input!$1:$1048576,BY$93,$C335*2+6)</f>
        <v>0.1</v>
      </c>
      <c r="BZ335" s="20">
        <f>INDEX(Input!$1:$1048576,BZ$93,$C335*2+6)</f>
        <v>0.1</v>
      </c>
      <c r="CA335" s="20">
        <f>INDEX(Input!$1:$1048576,CA$93,$C335*2+6)</f>
        <v>0.1</v>
      </c>
      <c r="CB335" s="20">
        <f>INDEX(Input!$1:$1048576,CB$93,$C335*2+6)</f>
        <v>0.1</v>
      </c>
      <c r="CC335" s="20">
        <f>INDEX(Input!$1:$1048576,CC$93,$C335*2+6)</f>
        <v>0.1</v>
      </c>
      <c r="CD335" s="384">
        <f>INDEX(Input!$1:$1048576,CD$93,$C335*2+6)</f>
        <v>0.1</v>
      </c>
      <c r="CE335" s="384">
        <f>INDEX(Input!$1:$1048576,CE$93,$C335*2+6)</f>
        <v>0.1</v>
      </c>
      <c r="CF335" s="384">
        <f>INDEX(Input!$1:$1048576,CF$93,$C335*2+6)</f>
        <v>0.1</v>
      </c>
      <c r="CG335" s="384">
        <f>INDEX(Input!$1:$1048576,CG$93,$C335*2+6)</f>
        <v>0.1</v>
      </c>
      <c r="CH335" s="384">
        <f>INDEX(Input!$1:$1048576,CH$93,$C335*2+6)</f>
        <v>0.1</v>
      </c>
      <c r="CI335" s="304">
        <f t="shared" si="864"/>
        <v>1537.0236024844721</v>
      </c>
      <c r="CJ335" s="16" t="str">
        <f>INDEX(Input!$1:$1048576,CJ$93,$C335*2+6)</f>
        <v>N</v>
      </c>
      <c r="CK335" s="1" t="str">
        <f t="shared" si="865"/>
        <v>Market</v>
      </c>
      <c r="CL335" s="1" t="str">
        <f t="shared" si="866"/>
        <v>Market</v>
      </c>
      <c r="CM335" s="1" t="str">
        <f t="shared" si="867"/>
        <v>Market</v>
      </c>
      <c r="CN335" s="1" t="str">
        <f t="shared" si="868"/>
        <v>Market</v>
      </c>
      <c r="CO335" s="1" t="str">
        <f t="shared" si="869"/>
        <v>Market</v>
      </c>
      <c r="CP335" s="304">
        <f t="shared" si="870"/>
        <v>500</v>
      </c>
      <c r="CQ335" s="1">
        <f t="shared" si="871"/>
        <v>0</v>
      </c>
      <c r="CR335" s="1">
        <f t="shared" si="872"/>
        <v>0</v>
      </c>
      <c r="CS335" s="1">
        <f t="shared" si="873"/>
        <v>0</v>
      </c>
      <c r="CT335" s="1">
        <f t="shared" si="874"/>
        <v>8.9999999999999993E-3</v>
      </c>
      <c r="CU335" s="1">
        <f t="shared" si="875"/>
        <v>3.9E-2</v>
      </c>
      <c r="CV335" s="304">
        <f t="shared" si="876"/>
        <v>1554.9999999999991</v>
      </c>
      <c r="CW335" s="20" t="s">
        <v>122</v>
      </c>
      <c r="CX335" s="20" t="s">
        <v>122</v>
      </c>
      <c r="CY335" s="20" t="s">
        <v>122</v>
      </c>
      <c r="CZ335" s="20" t="s">
        <v>122</v>
      </c>
      <c r="DA335" s="20" t="s">
        <v>122</v>
      </c>
      <c r="DB335" s="503">
        <f t="shared" si="877"/>
        <v>0</v>
      </c>
      <c r="DC335" s="127">
        <v>0</v>
      </c>
      <c r="DD335" s="127">
        <v>0</v>
      </c>
      <c r="DE335" s="127">
        <v>0</v>
      </c>
      <c r="DF335" s="127">
        <v>0</v>
      </c>
      <c r="DG335" s="127">
        <v>0</v>
      </c>
      <c r="DH335" s="127">
        <v>0</v>
      </c>
      <c r="DI335" s="127">
        <v>0</v>
      </c>
      <c r="DJ335" s="127">
        <v>0</v>
      </c>
      <c r="DK335" s="127">
        <v>0</v>
      </c>
      <c r="DL335" s="127">
        <v>0</v>
      </c>
      <c r="DM335" s="304">
        <f>INDEX(Input!$1:$1048576,DM$93,$C335*2+6)</f>
        <v>21036.84210526316</v>
      </c>
      <c r="DN335" s="20">
        <v>0</v>
      </c>
      <c r="DO335" s="20">
        <v>0</v>
      </c>
      <c r="DP335" s="20">
        <v>0</v>
      </c>
      <c r="DQ335" s="20">
        <v>0</v>
      </c>
      <c r="DR335" s="20">
        <v>0</v>
      </c>
      <c r="DS335" s="20">
        <f>INDEX(Input!$1:$1048576,DS$93,$C335*2+6)</f>
        <v>0.6</v>
      </c>
      <c r="DT335" s="20">
        <f>INDEX(Input!$1:$1048576,DT$93,$C335*2+6)</f>
        <v>0.55000000000000004</v>
      </c>
      <c r="DU335" s="20">
        <f>INDEX(Input!$1:$1048576,DU$93,$C335*2+6)</f>
        <v>0.52</v>
      </c>
      <c r="DV335" s="20">
        <f>INDEX(Input!$1:$1048576,DV$93,$C335*2+6)</f>
        <v>0.5</v>
      </c>
      <c r="DW335" s="20">
        <f>INDEX(Input!$1:$1048576,DW$93,$C335*2+6)</f>
        <v>0.45</v>
      </c>
      <c r="DX335" s="20"/>
      <c r="DY335" s="7">
        <v>0.10398193049099005</v>
      </c>
      <c r="DZ335" s="7">
        <v>0</v>
      </c>
      <c r="EA335" s="7">
        <v>0.69913137417106863</v>
      </c>
      <c r="EB335" s="7">
        <v>0</v>
      </c>
      <c r="EC335" s="7">
        <v>0</v>
      </c>
      <c r="ED335" s="7">
        <v>0</v>
      </c>
      <c r="EE335" s="7">
        <v>0</v>
      </c>
      <c r="EF335" s="7">
        <v>0</v>
      </c>
      <c r="EG335" s="7">
        <v>0</v>
      </c>
      <c r="EH335" s="7">
        <v>9.4339908302853819E-3</v>
      </c>
      <c r="EI335" s="7">
        <v>2.6413818369561467E-2</v>
      </c>
      <c r="EJ335" s="7">
        <v>0.21255520016630305</v>
      </c>
      <c r="EK335" s="7">
        <v>0.6404105499036612</v>
      </c>
      <c r="EL335" s="7">
        <v>0.11118644073018914</v>
      </c>
      <c r="EM335" s="7">
        <v>5.5343868287708507E-2</v>
      </c>
      <c r="EN335" s="7">
        <v>6.2807722667201221E-2</v>
      </c>
      <c r="EO335" s="7">
        <v>0.7806299604866267</v>
      </c>
      <c r="EP335" s="7">
        <v>6.4413168162434517E-2</v>
      </c>
      <c r="EQ335" s="7">
        <v>6.0255743717516998E-2</v>
      </c>
      <c r="ER335" s="7">
        <v>3.1893404966220264E-2</v>
      </c>
      <c r="ES335" s="7">
        <v>0.14154282705023277</v>
      </c>
      <c r="ET335" s="7">
        <v>0.19688669533794131</v>
      </c>
      <c r="EU335" s="6">
        <v>1861</v>
      </c>
      <c r="EV335" s="6">
        <v>0</v>
      </c>
      <c r="EW335" s="6">
        <v>1861</v>
      </c>
      <c r="EX335" s="6">
        <v>0</v>
      </c>
      <c r="EY335" s="6">
        <v>2652.3424581506633</v>
      </c>
      <c r="EZ335" s="6">
        <v>2289</v>
      </c>
      <c r="FA335" s="6">
        <v>0</v>
      </c>
      <c r="FB335" s="6">
        <v>0</v>
      </c>
      <c r="FC335" s="6">
        <v>0</v>
      </c>
      <c r="FD335" s="6">
        <v>0</v>
      </c>
      <c r="FE335" s="6">
        <v>0</v>
      </c>
      <c r="FF335" s="6">
        <v>0</v>
      </c>
      <c r="FG335" s="6">
        <v>0</v>
      </c>
      <c r="FH335" s="6">
        <v>1172.002849929547</v>
      </c>
      <c r="FI335" s="6">
        <v>1553.9796069512397</v>
      </c>
      <c r="FJ335" s="6">
        <v>2101.2110117447414</v>
      </c>
      <c r="FK335" s="6">
        <v>2251.3078348034674</v>
      </c>
      <c r="FL335" s="6">
        <v>907.07682140966392</v>
      </c>
      <c r="FM335" s="6">
        <v>2041.3424581506631</v>
      </c>
      <c r="FN335" s="6">
        <v>0</v>
      </c>
      <c r="FO335" s="6">
        <v>0</v>
      </c>
      <c r="FP335" s="6">
        <v>0</v>
      </c>
      <c r="FQ335" s="6">
        <v>0</v>
      </c>
      <c r="FR335" s="6">
        <v>0</v>
      </c>
      <c r="FS335" s="6">
        <v>0</v>
      </c>
      <c r="FT335" s="7">
        <v>0.80311330466205866</v>
      </c>
      <c r="FU335" s="7">
        <v>5.5343868287708507E-2</v>
      </c>
      <c r="FV335" s="7">
        <v>0.14154282705023277</v>
      </c>
      <c r="FW335" s="6">
        <v>1861.0000000000002</v>
      </c>
      <c r="FX335" s="6">
        <v>2652.3424581506633</v>
      </c>
      <c r="FY335" s="6">
        <v>2289</v>
      </c>
      <c r="FZ335" s="6">
        <v>1858.9243755539039</v>
      </c>
      <c r="GA335" s="6">
        <v>1965.3762827518615</v>
      </c>
      <c r="GB335" s="6">
        <v>18019.623717248138</v>
      </c>
      <c r="GC335" s="7">
        <v>2.9156573141622111E-2</v>
      </c>
      <c r="GD335" s="7">
        <v>3.024232485805772E-2</v>
      </c>
      <c r="GE335" s="7"/>
      <c r="GF335" s="7"/>
      <c r="GG335" s="7">
        <v>3.7238660084015718E-2</v>
      </c>
      <c r="GH335" s="42">
        <v>6.9910877256066017</v>
      </c>
      <c r="GI335" s="6">
        <v>4824.0158513557471</v>
      </c>
      <c r="GJ335" s="14">
        <v>0.50394797582841733</v>
      </c>
      <c r="GK335" s="14">
        <v>0.50887573065309755</v>
      </c>
      <c r="GL335" s="14">
        <v>0.49605202417158289</v>
      </c>
      <c r="GM335" s="14">
        <v>0.49112426934690251</v>
      </c>
      <c r="GO335" s="5">
        <v>343.14810671672558</v>
      </c>
      <c r="GP335" s="5">
        <v>307.64377699166363</v>
      </c>
      <c r="GQ335" s="5">
        <v>535.04305713031317</v>
      </c>
      <c r="GR335" s="5">
        <v>410.15490233172511</v>
      </c>
      <c r="GS335" s="5">
        <v>339.42744393800166</v>
      </c>
      <c r="GT335" s="5">
        <v>293.4407446948278</v>
      </c>
      <c r="GU335" s="5">
        <v>258.04012322764959</v>
      </c>
      <c r="GV335" s="39" t="s">
        <v>392</v>
      </c>
      <c r="GW335" s="5">
        <v>482.65277777777777</v>
      </c>
      <c r="GX335" s="5">
        <v>361.98958333333331</v>
      </c>
      <c r="GY335" s="5">
        <v>289.59166666666664</v>
      </c>
      <c r="GZ335" s="5">
        <v>247.99130496280273</v>
      </c>
      <c r="HA335" s="5">
        <v>236.70336205047303</v>
      </c>
      <c r="HB335" s="39">
        <v>260.80353597825035</v>
      </c>
      <c r="HC335" s="5">
        <v>187.140625</v>
      </c>
      <c r="HD335" s="5">
        <v>171.45330774853798</v>
      </c>
      <c r="HE335" s="5">
        <v>177.50180921052629</v>
      </c>
      <c r="HF335" s="5">
        <v>167.9756304824561</v>
      </c>
      <c r="HG335" s="5">
        <v>166.75888157894735</v>
      </c>
      <c r="HH335" s="39">
        <v>172.46892429667392</v>
      </c>
      <c r="HI335" s="16"/>
      <c r="HJ335" s="19" t="str">
        <f t="shared" ref="HJ335:HK350" si="984">HJ334</f>
        <v>On</v>
      </c>
      <c r="HK335" s="1" t="str">
        <f t="shared" si="984"/>
        <v>On</v>
      </c>
      <c r="HL335" s="16"/>
      <c r="HM335" s="639">
        <f t="shared" si="878"/>
        <v>2.2758057894877178E-2</v>
      </c>
      <c r="HN335" s="639">
        <f t="shared" si="879"/>
        <v>1.416759231746561E-3</v>
      </c>
      <c r="HO335" s="639">
        <f t="shared" si="880"/>
        <v>4.5732401537654987E-3</v>
      </c>
      <c r="HP335" s="644">
        <f>(FT335*$GD335-HM335)/$JF335*INDEX(Input!$1:$1048576,$JG$93,$C335*2+6)</f>
        <v>85.683301367687832</v>
      </c>
      <c r="HQ335" s="644">
        <f>(FU335*$GD335-HN335)/$JF335*INDEX(Input!$1:$1048576,$JG$93,$C335*2+6)</f>
        <v>14.391181120275082</v>
      </c>
      <c r="HR335" s="644">
        <f>(FV335*$GD335-HO335)/$JF335*INDEX(Input!$1:$1048576,$JG$93,$C335*2+6)</f>
        <v>-16.389843328454401</v>
      </c>
      <c r="HS335" s="644">
        <f t="shared" si="980"/>
        <v>-41.991948651713408</v>
      </c>
      <c r="HT335" s="644">
        <f t="shared" si="882"/>
        <v>54.886834422151772</v>
      </c>
      <c r="HU335" s="644">
        <f t="shared" si="883"/>
        <v>12.123435702968079</v>
      </c>
      <c r="HV335" s="648">
        <f t="shared" si="884"/>
        <v>0</v>
      </c>
      <c r="HW335" s="648">
        <f t="shared" si="885"/>
        <v>0</v>
      </c>
      <c r="HX335" s="648">
        <f t="shared" si="886"/>
        <v>0</v>
      </c>
      <c r="HY335" s="644">
        <f>INDEX(Input!$1:$1048576,HY$93,$C335*2+6)*INDEX(Input!$1:$1048576,$JG$93,$C335*2+6)</f>
        <v>509.00000000000006</v>
      </c>
      <c r="HZ335" s="644">
        <f>INDEX(Input!$1:$1048576,HZ$93,$C335*2+6)*INDEX(Input!$1:$1048576,$JG$93,$C335*2+6)</f>
        <v>844</v>
      </c>
      <c r="IA335" s="644">
        <f>INDEX(Input!$1:$1048576,IA$93,$C335*2+6)*INDEX(Input!$1:$1048576,$JG$93,$C335*2+6)</f>
        <v>257</v>
      </c>
      <c r="IB335" s="644">
        <f t="shared" si="910"/>
        <v>552.69135271597463</v>
      </c>
      <c r="IC335" s="644">
        <f t="shared" si="911"/>
        <v>913.27801554242683</v>
      </c>
      <c r="ID335" s="644">
        <f>IF(AND(INDEX(Input!$1:$1048576,IA$93,$C335*2+7)="TOS",Y335&lt;=INDEX(Y:Y,MATCH(C335*1000+2,A:A))),0,1)*MAX(IA335+HR335+HU335+HX335,0%)</f>
        <v>252.73359237451368</v>
      </c>
      <c r="IE335" s="128">
        <f t="shared" si="981"/>
        <v>0.32157467891510766</v>
      </c>
      <c r="IF335" s="128">
        <f t="shared" si="977"/>
        <v>0.53137629739469971</v>
      </c>
      <c r="IG335" s="128">
        <f t="shared" si="888"/>
        <v>0.1470490236901926</v>
      </c>
      <c r="IH335" s="21"/>
      <c r="II335" s="19">
        <f t="shared" si="889"/>
        <v>1410.4999999999998</v>
      </c>
      <c r="IJ335" s="19">
        <f t="shared" si="890"/>
        <v>2134.9731585778086</v>
      </c>
      <c r="IK335" s="19">
        <f t="shared" si="891"/>
        <v>2103.5</v>
      </c>
      <c r="IL335" s="19">
        <f t="shared" si="913"/>
        <v>450.50000000000045</v>
      </c>
      <c r="IM335" s="19">
        <f t="shared" si="892"/>
        <v>517.36929957285474</v>
      </c>
      <c r="IN335" s="19">
        <f t="shared" si="893"/>
        <v>185.5</v>
      </c>
      <c r="IO335" s="39">
        <f t="shared" si="894"/>
        <v>0</v>
      </c>
      <c r="IP335" s="39">
        <f t="shared" si="895"/>
        <v>0</v>
      </c>
      <c r="IQ335" s="39">
        <f t="shared" si="896"/>
        <v>0</v>
      </c>
      <c r="IR335" s="39">
        <v>0</v>
      </c>
      <c r="IS335" s="39">
        <v>0</v>
      </c>
      <c r="IT335" s="39">
        <v>0</v>
      </c>
      <c r="IU335" s="39">
        <v>0</v>
      </c>
      <c r="IV335" s="39">
        <v>0</v>
      </c>
      <c r="IW335" s="39">
        <v>0</v>
      </c>
      <c r="IX335" s="39">
        <f>INDEX(Input!$1:$1048576,IX$93,$C335*2+6)+INDEX(Input!$1:$1048576,IX$94,$C335*2+6)</f>
        <v>1611</v>
      </c>
      <c r="IY335" s="39">
        <f>INDEX(Input!$1:$1048576,IY$93,$C335*2+6)+INDEX(Input!$1:$1048576,IY$94,$C335*2+6)</f>
        <v>2471.0624533823611</v>
      </c>
      <c r="IZ335" s="39">
        <f>INDEX(Input!$1:$1048576,IZ$93,$C335*2+6)+INDEX(Input!$1:$1048576,IZ$94,$C335*2+6)</f>
        <v>3994.7164157747857</v>
      </c>
      <c r="JA335" s="19">
        <f t="shared" si="914"/>
        <v>2061.5000000000005</v>
      </c>
      <c r="JB335" s="19">
        <f t="shared" si="915"/>
        <v>2988.4317529552159</v>
      </c>
      <c r="JC335" s="19">
        <f t="shared" si="916"/>
        <v>4180.2164157747857</v>
      </c>
      <c r="JD335" s="19">
        <f t="shared" si="917"/>
        <v>2865.6047432389878</v>
      </c>
      <c r="JE335" s="21"/>
      <c r="JF335" s="1">
        <f t="shared" si="897"/>
        <v>2.8748057280389237E-2</v>
      </c>
      <c r="JG335" s="15">
        <f>INDEX(Input!$1:$1048576,JG$93,$C335*2+6)/(1+VLOOKUP(C335*1000+INDEX(Input!$1:$1048576,JG$93+1,$C335*2+6),$A:$KK,$JK$92,FALSE))</f>
        <v>1610</v>
      </c>
      <c r="JH335" s="1">
        <f t="shared" si="918"/>
        <v>5.1978036745036336E-2</v>
      </c>
      <c r="JI335" s="1">
        <f t="shared" si="919"/>
        <v>1.5539330107705867E-2</v>
      </c>
      <c r="JJ335" s="1">
        <f t="shared" si="978"/>
        <v>0</v>
      </c>
      <c r="JK335" s="1">
        <f t="shared" si="979"/>
        <v>6.7517366852742206E-2</v>
      </c>
      <c r="JL335" s="15">
        <f t="shared" si="922"/>
        <v>108.70296063291495</v>
      </c>
      <c r="JM335" s="15">
        <f t="shared" si="948"/>
        <v>1718.7029606329149</v>
      </c>
      <c r="JN335" s="21"/>
      <c r="JO335" s="19">
        <f>INDEX(Input!$1:$1048576,JO$93,$C335*2+6)</f>
        <v>5995.5</v>
      </c>
      <c r="JP335" s="19">
        <f>INDEX(Input!$1:$1048576,JP$93,$C335*2+6)</f>
        <v>2442.3713226762939</v>
      </c>
      <c r="JQ335" s="39">
        <f t="shared" si="934"/>
        <v>3129.8952567610122</v>
      </c>
      <c r="JR335" s="39">
        <f t="shared" si="951"/>
        <v>423.23342056269394</v>
      </c>
      <c r="JS335" s="39">
        <f t="shared" si="936"/>
        <v>4.9251233562085721</v>
      </c>
      <c r="JT335" s="39">
        <f t="shared" si="924"/>
        <v>0.99290552669973908</v>
      </c>
      <c r="JU335" s="385">
        <f>(JQ335*JM335-INDEX(Input!$1:$1048576,Input!A$18,$C335*2+6)*JL335*INDEX(Input!$1:$1048576,Input!A$19,$C335*2+6))/1000000</f>
        <v>5.3793602442660697</v>
      </c>
      <c r="JV335" s="39">
        <f t="shared" si="958"/>
        <v>-0.34117692622509743</v>
      </c>
      <c r="JW335" s="1">
        <f t="shared" si="949"/>
        <v>-5.964071485891663E-2</v>
      </c>
      <c r="JX335" s="19">
        <f t="shared" si="940"/>
        <v>9134.116687518168</v>
      </c>
      <c r="JZ335" s="341"/>
      <c r="KA335" s="342"/>
      <c r="KB335" s="469">
        <f t="shared" si="937"/>
        <v>2.5190675447988795</v>
      </c>
      <c r="KI335" s="473">
        <f t="shared" si="982"/>
        <v>43.69135271597446</v>
      </c>
      <c r="KJ335" s="473">
        <f t="shared" si="983"/>
        <v>69.278015542426715</v>
      </c>
      <c r="KK335" s="473">
        <f t="shared" si="926"/>
        <v>-4.2664076254863232</v>
      </c>
      <c r="KN335" s="544">
        <f t="shared" si="941"/>
        <v>3002</v>
      </c>
      <c r="KO335" s="541">
        <f t="shared" si="901"/>
        <v>3.5905274725234637E-2</v>
      </c>
      <c r="KP335" s="546">
        <f t="shared" si="902"/>
        <v>248.74467853966968</v>
      </c>
      <c r="KQ335" s="546">
        <f t="shared" si="903"/>
        <v>229.69131785028958</v>
      </c>
      <c r="KR335" s="548">
        <f t="shared" si="904"/>
        <v>2.5042695319166604</v>
      </c>
      <c r="KS335" s="548">
        <f t="shared" si="905"/>
        <v>2.7120037688987182</v>
      </c>
      <c r="KT335" s="473">
        <f t="shared" si="939"/>
        <v>1026.1618045255443</v>
      </c>
      <c r="KU335" s="663">
        <f t="shared" si="927"/>
        <v>4.706746809436595</v>
      </c>
      <c r="KV335" s="117"/>
    </row>
    <row r="336" spans="1:308" s="26" customFormat="1" ht="15">
      <c r="A336" s="561">
        <f t="shared" si="906"/>
        <v>3036</v>
      </c>
      <c r="B336" s="561">
        <f t="shared" si="928"/>
        <v>36</v>
      </c>
      <c r="C336" s="561">
        <f t="shared" si="929"/>
        <v>3</v>
      </c>
      <c r="D336" s="561" t="str">
        <f t="shared" si="974"/>
        <v xml:space="preserve">500 CC, 0/0/0.9/3.9, </v>
      </c>
      <c r="E336" s="475">
        <f>INDEX(Input!$1:$1048576,E$93,$C336*2+MIN($B336,2)+5)
+INDEX(Scenarios!E$121:E$200,MATCH($B336,Scenarios!$B$121:$B$200,0))</f>
        <v>1787.0236024844721</v>
      </c>
      <c r="F336" s="475">
        <f>INDEX(Input!$1:$1048576,F$93,$C336*2+MIN($B336,2)+5)
+INDEX(Scenarios!F$121:F$200,MATCH($B336,Scenarios!$B$121:$B$200,0))</f>
        <v>0</v>
      </c>
      <c r="G336" s="475">
        <f>INDEX(Input!$1:$1048576,G$93,$C336*2+MIN($B336,2)+5)
+INDEX(Scenarios!G$121:G$200,MATCH($B336,Scenarios!$B$121:$B$200,0))</f>
        <v>0</v>
      </c>
      <c r="H336" s="475">
        <f>INDEX(Input!$1:$1048576,H$93,$C336*2+MIN($B336,2)+5)
+INDEX(Scenarios!H$121:H$200,MATCH($B336,Scenarios!$B$121:$B$200,0))</f>
        <v>0</v>
      </c>
      <c r="I336" s="476">
        <f>INDEX(Input!$1:$1048576,I$93,$C336*2+MIN($B336,2)+5)</f>
        <v>0.7</v>
      </c>
      <c r="J336" s="476" t="str">
        <f>INDEX(Input!$1:$1048576,J$93,$C336*2+MIN($B336,2)+5)</f>
        <v>Market</v>
      </c>
      <c r="K336" s="476" t="str">
        <f>INDEX(Input!$1:$1048576,K$93,$C336*2+MIN($B336,2)+5)</f>
        <v>Market</v>
      </c>
      <c r="L336" s="476" t="str">
        <f>INDEX(Input!$1:$1048576,L$93,$C336*2+MIN($B336,2)+5)</f>
        <v>Market</v>
      </c>
      <c r="M336" s="476" t="str">
        <f>INDEX(Input!$1:$1048576,M$93,$C336*2+MIN($B336,2)+5)</f>
        <v>Market</v>
      </c>
      <c r="N336" s="476" t="str">
        <f>INDEX(Input!$1:$1048576,N$93,$C336*2+MIN($B336,2)+5)</f>
        <v>Market</v>
      </c>
      <c r="O336" s="476" t="str">
        <f>INDEX(Input!$1:$1048576,O$93,$C336*2+MIN($B336,2)+5)</f>
        <v>Market</v>
      </c>
      <c r="P336" s="476" t="str">
        <f>INDEX(Input!$1:$1048576,P$93,$C336*2+MIN($B336,2)+5)</f>
        <v>N</v>
      </c>
      <c r="Q336" s="477">
        <f>INDEX(Input!$1:$1048576,Q$93,$C336*2+MIN($B336,2)+5)
+INDEX(Scenarios!Q$121:Q$200,MATCH($B336,Scenarios!$B$121:$B$200,0))</f>
        <v>0</v>
      </c>
      <c r="R336" s="478">
        <f>IFERROR(MAX(0,INDEX(Input!$1:$1048576,R$93,$C336*2+MIN($B336,2)+5)
+INDEX(Scenarios!R$121:R$200,MATCH($B336,Scenarios!$B$121:$B$200,0)),),"Market")</f>
        <v>0</v>
      </c>
      <c r="S336" s="478">
        <f>IFERROR(MAX(0,INDEX(Input!$1:$1048576,S$93,$C336*2+MIN($B336,2)+5)
+INDEX(Scenarios!S$121:S$200,MATCH($B336,Scenarios!$B$121:$B$200,0)),),"Market")</f>
        <v>0</v>
      </c>
      <c r="T336" s="478">
        <f>IFERROR(MAX(0,INDEX(Input!$1:$1048576,T$93,$C336*2+MIN($B336,2)+5)
+INDEX(Scenarios!T$121:T$200,MATCH($B336,Scenarios!$B$121:$B$200,0)),),"Market")</f>
        <v>0</v>
      </c>
      <c r="U336" s="478">
        <f>IFERROR(MAX(0,INDEX(Input!$1:$1048576,U$93,$C336*2+MIN($B336,2)+5)
+INDEX(Scenarios!U$121:U$200,MATCH($B336,Scenarios!$B$121:$B$200,0)),),"Market")</f>
        <v>0</v>
      </c>
      <c r="V336" s="478">
        <f>IFERROR(MAX(0,INDEX(Input!$1:$1048576,V$93,$C336*2+MIN($B336,2)+5)
+INDEX(Scenarios!V$121:V$200,MATCH($B336,Scenarios!$B$121:$B$200,0)),),"Market")</f>
        <v>8.9999999999999993E-3</v>
      </c>
      <c r="W336" s="885">
        <f>IFERROR(MAX(0,INDEX(Input!$1:$1048576,W$93,$C336*2+MIN($B336,2)+5)-0%,),"Market")</f>
        <v>3.9E-2</v>
      </c>
      <c r="X336" s="476" t="str">
        <f>INDEX(Input!$1:$1048576,X$93,$C336*2+MIN($B336,2)+5)</f>
        <v>Y</v>
      </c>
      <c r="Y336" s="475">
        <f>INDEX(Input!$1:$1048576,Y$93,$C336*2+MIN($B336,2)+5)
++INDEX(Scenarios!Y$121:Y$200,MATCH($B336,Scenarios!$B$121:$B$200,0))</f>
        <v>1554.9999999999991</v>
      </c>
      <c r="Z336" s="477">
        <f>INDEX(Input!$1:$1048576,Z$93,$C336*2+MIN($B336,2)+5)
+INDEX(Scenarios!Z$121:Z$200,MATCH($B336,Scenarios!$B$121:$B$200,0))</f>
        <v>0</v>
      </c>
      <c r="AA336" s="475">
        <f>INDEX(Input!$1:$1048576,AA$93,$C336*2+MIN($B336,2)+5)
+INDEX(Scenarios!AA$121:AA$200,MATCH($B336,Scenarios!$B$121:$B$200,0))</f>
        <v>0</v>
      </c>
      <c r="AB336" s="476">
        <f>INDEX(Input!$1:$1048576,AB$93,$C336*2+MIN($B336,2)+5)</f>
        <v>0.27</v>
      </c>
      <c r="AC336" s="475">
        <f>INDEX(Input!$1:$1048576,AC$93,$C336*2+MIN($B336,2)+5)
+INDEX(Scenarios!AC$121:AC$200,MATCH($B336,Scenarios!$B$121:$B$200,0))</f>
        <v>0</v>
      </c>
      <c r="AD336" s="476">
        <f>INDEX(Input!$1:$1048576,AD$93,$C336*2+MIN($B336,2)+5)</f>
        <v>0.27</v>
      </c>
      <c r="AE336" s="475">
        <f>INDEX(Input!$1:$1048576,AE$93,$C336*2+MIN($B336,2)+5)
+INDEX(Scenarios!AE$121:AE$200,MATCH($B336,Scenarios!$B$121:$B$200,0))</f>
        <v>0</v>
      </c>
      <c r="AF336" s="476">
        <f>INDEX(Input!$1:$1048576,AF$93,$C336*2+MIN($B336,2)+5)</f>
        <v>0.68200000000000005</v>
      </c>
      <c r="AG336" s="475">
        <f>INDEX(Input!$1:$1048576,AG$93,$C336*2+MIN($B336,2)+5)
+INDEX(Scenarios!AG$121:AG$200,MATCH($B336,Scenarios!$B$121:$B$200,0))</f>
        <v>500</v>
      </c>
      <c r="AH336" s="476">
        <f>INDEX(Input!$1:$1048576,AH$93,$C336*2+MIN($B336,2)+5)</f>
        <v>1</v>
      </c>
      <c r="AI336" s="475">
        <f>INDEX(Input!$1:$1048576,AI$93,$C336*2+MIN($B336,2)+5)
+INDEX(Scenarios!AI$121:AI$200,MATCH($B336,Scenarios!$B$121:$B$200,0))</f>
        <v>0</v>
      </c>
      <c r="AJ336" s="476">
        <f>INDEX(Input!$1:$1048576,AJ$93,$C336*2+MIN($B336,2)+5)</f>
        <v>0.27</v>
      </c>
      <c r="AK336" s="150">
        <f>ROUND(INDEX(Input!$1:$1048576,AK$93,$C335*2+MIN($B336,1)+5)+(Y336-VLOOKUP($C336*1000+1,$A:$HH,Y$92,FALSE)),0)</f>
        <v>2977</v>
      </c>
      <c r="AL336" s="150">
        <f>ROUND(INDEX(Input!$1:$1048576,AL$93,$C335*2+MIN($B336,1)+5)-(Y336-VLOOKUP($C336*1000+1,$A:$HH,Y$92,FALSE))/36,0)</f>
        <v>3395</v>
      </c>
      <c r="AM336" s="32" t="str">
        <f t="shared" si="907"/>
        <v>std/std/std/std</v>
      </c>
      <c r="AN336" s="32" t="str">
        <f t="shared" si="908"/>
        <v>$0 + 0/0/0/0.9/3.9</v>
      </c>
      <c r="AO336" s="32" t="str">
        <f t="shared" si="909"/>
        <v>0/0/0/0.9/3.9</v>
      </c>
      <c r="AP336" s="32" t="str">
        <f t="shared" si="863"/>
        <v>0/0/0.9/3.9</v>
      </c>
      <c r="AQ336" s="536">
        <f t="shared" si="862"/>
        <v>0.34469437872336584</v>
      </c>
      <c r="AR336" s="32"/>
      <c r="AS336" s="302"/>
      <c r="AT336" s="3">
        <f t="shared" si="930"/>
        <v>36</v>
      </c>
      <c r="AU336" s="41" t="s">
        <v>121</v>
      </c>
      <c r="AV336" s="41" t="s">
        <v>116</v>
      </c>
      <c r="AW336" s="41" t="str">
        <f>INDEX(Input!$1:$1048576,AW$93,$C336*2+6)</f>
        <v>Kia</v>
      </c>
      <c r="AX336" s="41" t="str">
        <f>INDEX(Input!$1:$1048576,AX$93,$C336*2+6)</f>
        <v>Kia-LR - L3</v>
      </c>
      <c r="AY336" s="41" t="str">
        <f>IF(LEN(D336)=0,"",INDEX(Input!$1:$1048576,AY$93,$C336*2+6))</f>
        <v>Compact SUV (52)</v>
      </c>
      <c r="AZ336" s="41" t="str">
        <f>INDEX(Input!$1:$1048576,AZ$93,$C336*2+6)</f>
        <v>Kia Soul</v>
      </c>
      <c r="BA336" s="3">
        <f>INDEX(Input!$1:$1048576,BA$93,$C336*2+6)</f>
        <v>2020</v>
      </c>
      <c r="BB336" s="128">
        <f>INDEX(Input!$1:$1048576,BB$93,$C336*2+6)</f>
        <v>1</v>
      </c>
      <c r="BC336" s="128">
        <f>INDEX(Input!$1:$1048576,BC$93,$C336*2+6)</f>
        <v>0.7</v>
      </c>
      <c r="BD336" s="1">
        <f>INDEX(Input!$1:$1048576,BD$93,$C336*2+6)</f>
        <v>4.4999999999999998E-2</v>
      </c>
      <c r="BE336" s="1">
        <f>INDEX(Input!$1:$1048576,BE$93,$C336*2+6)</f>
        <v>4.4999999999999998E-2</v>
      </c>
      <c r="BF336" s="1">
        <f>INDEX(Input!$1:$1048576,BF$93,$C336*2+6)</f>
        <v>0.05</v>
      </c>
      <c r="BG336" s="1">
        <f>INDEX(Input!$1:$1048576,BG$93,$C336*2+6)</f>
        <v>5.45E-2</v>
      </c>
      <c r="BH336" s="1">
        <f>INDEX(Input!$1:$1048576,BH$93,$C336*2+6)</f>
        <v>5.45E-2</v>
      </c>
      <c r="BI336" s="1">
        <f>INDEX(Input!$1:$1048576,BI$93,$C336*2+6)</f>
        <v>0.05</v>
      </c>
      <c r="BJ336" s="1">
        <f>INDEX(Input!$1:$1048576,BJ$93,$C336*2+6)</f>
        <v>0.05</v>
      </c>
      <c r="BK336" s="1">
        <f>INDEX(Input!$1:$1048576,BK$93,$C336*2+6)</f>
        <v>0.05</v>
      </c>
      <c r="BL336" s="1">
        <f>INDEX(Input!$1:$1048576,BL$93,$C336*2+6)</f>
        <v>5.5E-2</v>
      </c>
      <c r="BM336" s="1">
        <f>INDEX(Input!$1:$1048576,BM$93,$C336*2+6)</f>
        <v>0.06</v>
      </c>
      <c r="BN336" s="1">
        <f>INDEX(Input!$1:$1048576,BN$93,$C336*2+6)</f>
        <v>4.4999999999999998E-2</v>
      </c>
      <c r="BO336" s="1">
        <f>INDEX(Input!$1:$1048576,BO$93,$C336*2+6)</f>
        <v>4.4999999999999998E-2</v>
      </c>
      <c r="BP336" s="1">
        <f>INDEX(Input!$1:$1048576,BP$93,$C336*2+6)</f>
        <v>0.05</v>
      </c>
      <c r="BQ336" s="1">
        <f>INDEX(Input!$1:$1048576,BQ$93,$C336*2+6)</f>
        <v>5.45E-2</v>
      </c>
      <c r="BR336" s="1">
        <f>INDEX(Input!$1:$1048576,BR$93,$C336*2+6)</f>
        <v>5.45E-2</v>
      </c>
      <c r="BS336" s="1">
        <f>INDEX(Input!$1:$1048576,BS$93,$C336*2+6)</f>
        <v>0.05</v>
      </c>
      <c r="BT336" s="1">
        <f>INDEX(Input!$1:$1048576,BT$93,$C336*2+6)</f>
        <v>0.05</v>
      </c>
      <c r="BU336" s="1">
        <f>INDEX(Input!$1:$1048576,BU$93,$C336*2+6)</f>
        <v>0.05</v>
      </c>
      <c r="BV336" s="1">
        <f>INDEX(Input!$1:$1048576,BV$93,$C336*2+6)</f>
        <v>5.5E-2</v>
      </c>
      <c r="BW336" s="1">
        <f>INDEX(Input!$1:$1048576,BW$93,$C336*2+6)</f>
        <v>0.06</v>
      </c>
      <c r="BX336" s="127">
        <f>INDEX(Input!$1:$1048576,BX$93,$C336*2+6)</f>
        <v>19985</v>
      </c>
      <c r="BY336" s="20">
        <f>INDEX(Input!$1:$1048576,BY$93,$C336*2+6)</f>
        <v>0.1</v>
      </c>
      <c r="BZ336" s="20">
        <f>INDEX(Input!$1:$1048576,BZ$93,$C336*2+6)</f>
        <v>0.1</v>
      </c>
      <c r="CA336" s="20">
        <f>INDEX(Input!$1:$1048576,CA$93,$C336*2+6)</f>
        <v>0.1</v>
      </c>
      <c r="CB336" s="20">
        <f>INDEX(Input!$1:$1048576,CB$93,$C336*2+6)</f>
        <v>0.1</v>
      </c>
      <c r="CC336" s="20">
        <f>INDEX(Input!$1:$1048576,CC$93,$C336*2+6)</f>
        <v>0.1</v>
      </c>
      <c r="CD336" s="384">
        <f>INDEX(Input!$1:$1048576,CD$93,$C336*2+6)</f>
        <v>0.1</v>
      </c>
      <c r="CE336" s="384">
        <f>INDEX(Input!$1:$1048576,CE$93,$C336*2+6)</f>
        <v>0.1</v>
      </c>
      <c r="CF336" s="384">
        <f>INDEX(Input!$1:$1048576,CF$93,$C336*2+6)</f>
        <v>0.1</v>
      </c>
      <c r="CG336" s="384">
        <f>INDEX(Input!$1:$1048576,CG$93,$C336*2+6)</f>
        <v>0.1</v>
      </c>
      <c r="CH336" s="384">
        <f>INDEX(Input!$1:$1048576,CH$93,$C336*2+6)</f>
        <v>0.1</v>
      </c>
      <c r="CI336" s="304">
        <f t="shared" si="864"/>
        <v>1787.0236024844721</v>
      </c>
      <c r="CJ336" s="16" t="str">
        <f>INDEX(Input!$1:$1048576,CJ$93,$C336*2+6)</f>
        <v>N</v>
      </c>
      <c r="CK336" s="1" t="str">
        <f t="shared" si="865"/>
        <v>Market</v>
      </c>
      <c r="CL336" s="1" t="str">
        <f t="shared" si="866"/>
        <v>Market</v>
      </c>
      <c r="CM336" s="1" t="str">
        <f t="shared" si="867"/>
        <v>Market</v>
      </c>
      <c r="CN336" s="1" t="str">
        <f t="shared" si="868"/>
        <v>Market</v>
      </c>
      <c r="CO336" s="1" t="str">
        <f t="shared" si="869"/>
        <v>Market</v>
      </c>
      <c r="CP336" s="304">
        <f t="shared" si="870"/>
        <v>500</v>
      </c>
      <c r="CQ336" s="1">
        <f t="shared" si="871"/>
        <v>0</v>
      </c>
      <c r="CR336" s="1">
        <f t="shared" si="872"/>
        <v>0</v>
      </c>
      <c r="CS336" s="1">
        <f t="shared" si="873"/>
        <v>0</v>
      </c>
      <c r="CT336" s="1">
        <f t="shared" si="874"/>
        <v>8.9999999999999993E-3</v>
      </c>
      <c r="CU336" s="1">
        <f t="shared" si="875"/>
        <v>3.9E-2</v>
      </c>
      <c r="CV336" s="304">
        <f t="shared" si="876"/>
        <v>1554.9999999999991</v>
      </c>
      <c r="CW336" s="20" t="s">
        <v>122</v>
      </c>
      <c r="CX336" s="20" t="s">
        <v>122</v>
      </c>
      <c r="CY336" s="20" t="s">
        <v>122</v>
      </c>
      <c r="CZ336" s="20" t="s">
        <v>122</v>
      </c>
      <c r="DA336" s="20" t="s">
        <v>122</v>
      </c>
      <c r="DB336" s="503">
        <f t="shared" si="877"/>
        <v>0</v>
      </c>
      <c r="DC336" s="127">
        <v>0</v>
      </c>
      <c r="DD336" s="127">
        <v>0</v>
      </c>
      <c r="DE336" s="127">
        <v>0</v>
      </c>
      <c r="DF336" s="127">
        <v>0</v>
      </c>
      <c r="DG336" s="127">
        <v>0</v>
      </c>
      <c r="DH336" s="127">
        <v>0</v>
      </c>
      <c r="DI336" s="127">
        <v>0</v>
      </c>
      <c r="DJ336" s="127">
        <v>0</v>
      </c>
      <c r="DK336" s="127">
        <v>0</v>
      </c>
      <c r="DL336" s="127">
        <v>0</v>
      </c>
      <c r="DM336" s="304">
        <f>INDEX(Input!$1:$1048576,DM$93,$C336*2+6)</f>
        <v>21036.84210526316</v>
      </c>
      <c r="DN336" s="20">
        <v>0</v>
      </c>
      <c r="DO336" s="20">
        <v>0</v>
      </c>
      <c r="DP336" s="20">
        <v>0</v>
      </c>
      <c r="DQ336" s="20">
        <v>0</v>
      </c>
      <c r="DR336" s="20">
        <v>0</v>
      </c>
      <c r="DS336" s="20">
        <f>INDEX(Input!$1:$1048576,DS$93,$C336*2+6)</f>
        <v>0.6</v>
      </c>
      <c r="DT336" s="20">
        <f>INDEX(Input!$1:$1048576,DT$93,$C336*2+6)</f>
        <v>0.55000000000000004</v>
      </c>
      <c r="DU336" s="20">
        <f>INDEX(Input!$1:$1048576,DU$93,$C336*2+6)</f>
        <v>0.52</v>
      </c>
      <c r="DV336" s="20">
        <f>INDEX(Input!$1:$1048576,DV$93,$C336*2+6)</f>
        <v>0.5</v>
      </c>
      <c r="DW336" s="20">
        <f>INDEX(Input!$1:$1048576,DW$93,$C336*2+6)</f>
        <v>0.45</v>
      </c>
      <c r="DX336" s="20"/>
      <c r="DY336" s="7">
        <v>0.10908979077533726</v>
      </c>
      <c r="DZ336" s="7">
        <v>0</v>
      </c>
      <c r="EA336" s="7">
        <v>0.71462849040160126</v>
      </c>
      <c r="EB336" s="7">
        <v>0</v>
      </c>
      <c r="EC336" s="7">
        <v>0</v>
      </c>
      <c r="ED336" s="7">
        <v>0</v>
      </c>
      <c r="EE336" s="7">
        <v>0</v>
      </c>
      <c r="EF336" s="7">
        <v>0</v>
      </c>
      <c r="EG336" s="7">
        <v>0</v>
      </c>
      <c r="EH336" s="7">
        <v>9.4347438893370092E-3</v>
      </c>
      <c r="EI336" s="7">
        <v>2.6418778119116321E-2</v>
      </c>
      <c r="EJ336" s="7">
        <v>0.21272557094008651</v>
      </c>
      <c r="EK336" s="7">
        <v>0.64029416121276661</v>
      </c>
      <c r="EL336" s="7">
        <v>0.11112674583869345</v>
      </c>
      <c r="EM336" s="7">
        <v>4.9579687930290814E-2</v>
      </c>
      <c r="EN336" s="7">
        <v>6.2831233134630959E-2</v>
      </c>
      <c r="EO336" s="7">
        <v>0.78066681121039483</v>
      </c>
      <c r="EP336" s="7">
        <v>6.437167427197385E-2</v>
      </c>
      <c r="EQ336" s="7">
        <v>6.0233599918372835E-2</v>
      </c>
      <c r="ER336" s="7">
        <v>3.1896681464627472E-2</v>
      </c>
      <c r="ES336" s="7">
        <v>0.12670203089277063</v>
      </c>
      <c r="ET336" s="7">
        <v>0.1762817188230614</v>
      </c>
      <c r="EU336" s="6">
        <v>2111</v>
      </c>
      <c r="EV336" s="6">
        <v>0</v>
      </c>
      <c r="EW336" s="6">
        <v>2111</v>
      </c>
      <c r="EX336" s="6">
        <v>0</v>
      </c>
      <c r="EY336" s="6">
        <v>2652.3929012639201</v>
      </c>
      <c r="EZ336" s="6">
        <v>2289</v>
      </c>
      <c r="FA336" s="6">
        <v>0</v>
      </c>
      <c r="FB336" s="6">
        <v>0</v>
      </c>
      <c r="FC336" s="6">
        <v>0</v>
      </c>
      <c r="FD336" s="6">
        <v>0</v>
      </c>
      <c r="FE336" s="6">
        <v>0</v>
      </c>
      <c r="FF336" s="6">
        <v>0</v>
      </c>
      <c r="FG336" s="6">
        <v>0</v>
      </c>
      <c r="FH336" s="6">
        <v>1172.0073921208093</v>
      </c>
      <c r="FI336" s="6">
        <v>1553.9796069512397</v>
      </c>
      <c r="FJ336" s="6">
        <v>2101.2110117447405</v>
      </c>
      <c r="FK336" s="6">
        <v>2251.3078348034678</v>
      </c>
      <c r="FL336" s="6">
        <v>907.07682140966324</v>
      </c>
      <c r="FM336" s="6">
        <v>2041.3929012639203</v>
      </c>
      <c r="FN336" s="6">
        <v>0</v>
      </c>
      <c r="FO336" s="6">
        <v>0</v>
      </c>
      <c r="FP336" s="6">
        <v>0</v>
      </c>
      <c r="FQ336" s="6">
        <v>0</v>
      </c>
      <c r="FR336" s="6">
        <v>0</v>
      </c>
      <c r="FS336" s="6">
        <v>0</v>
      </c>
      <c r="FT336" s="7">
        <v>0.82371828117693857</v>
      </c>
      <c r="FU336" s="7">
        <v>4.9579687930290814E-2</v>
      </c>
      <c r="FV336" s="7">
        <v>0.12670203089277063</v>
      </c>
      <c r="FW336" s="6">
        <v>2111</v>
      </c>
      <c r="FX336" s="6">
        <v>2652.3929012639201</v>
      </c>
      <c r="FY336" s="6">
        <v>2289</v>
      </c>
      <c r="FZ336" s="6">
        <v>1858.9243755539039</v>
      </c>
      <c r="GA336" s="6">
        <v>2160.3950525912528</v>
      </c>
      <c r="GB336" s="6">
        <v>17824.604947408749</v>
      </c>
      <c r="GC336" s="7">
        <v>2.9156573141622111E-2</v>
      </c>
      <c r="GD336" s="7">
        <v>3.0983795943255663E-2</v>
      </c>
      <c r="GE336" s="7"/>
      <c r="GF336" s="7"/>
      <c r="GG336" s="7">
        <v>6.2669326493144065E-2</v>
      </c>
      <c r="GH336" s="42">
        <v>4.1544554258931123</v>
      </c>
      <c r="GI336" s="6">
        <v>6970.8931687682216</v>
      </c>
      <c r="GJ336" s="14">
        <v>0.50394797582841744</v>
      </c>
      <c r="GK336" s="14">
        <v>0.50887573065309732</v>
      </c>
      <c r="GL336" s="14">
        <v>0.49605202417158273</v>
      </c>
      <c r="GM336" s="14">
        <v>0.4911242693469024</v>
      </c>
      <c r="GO336" s="5">
        <v>343.14810671672558</v>
      </c>
      <c r="GP336" s="5">
        <v>302.87425392274076</v>
      </c>
      <c r="GQ336" s="5">
        <v>535.04305713031317</v>
      </c>
      <c r="GR336" s="5">
        <v>410.15490233172511</v>
      </c>
      <c r="GS336" s="5">
        <v>339.42744393800166</v>
      </c>
      <c r="GT336" s="5">
        <v>293.4407446948278</v>
      </c>
      <c r="GU336" s="5">
        <v>258.04012322764959</v>
      </c>
      <c r="GV336" s="39" t="s">
        <v>392</v>
      </c>
      <c r="GW336" s="5">
        <v>482.65277777777777</v>
      </c>
      <c r="GX336" s="5">
        <v>361.98958333333331</v>
      </c>
      <c r="GY336" s="5">
        <v>289.59166666666664</v>
      </c>
      <c r="GZ336" s="5">
        <v>247.99130496280273</v>
      </c>
      <c r="HA336" s="5">
        <v>236.70336205047303</v>
      </c>
      <c r="HB336" s="39">
        <v>260.81203941344734</v>
      </c>
      <c r="HC336" s="5">
        <v>187.140625</v>
      </c>
      <c r="HD336" s="5">
        <v>171.45330774853798</v>
      </c>
      <c r="HE336" s="5">
        <v>177.50180921052629</v>
      </c>
      <c r="HF336" s="5">
        <v>167.9756304824561</v>
      </c>
      <c r="HG336" s="5">
        <v>166.75888157894735</v>
      </c>
      <c r="HH336" s="39">
        <v>172.46910376468514</v>
      </c>
      <c r="HI336" s="16"/>
      <c r="HJ336" s="19" t="str">
        <f t="shared" si="984"/>
        <v>On</v>
      </c>
      <c r="HK336" s="1" t="str">
        <f t="shared" si="984"/>
        <v>On</v>
      </c>
      <c r="HL336" s="16"/>
      <c r="HM336" s="639">
        <f t="shared" si="878"/>
        <v>2.2758057894877178E-2</v>
      </c>
      <c r="HN336" s="639">
        <f t="shared" si="879"/>
        <v>1.416759231746561E-3</v>
      </c>
      <c r="HO336" s="639">
        <f t="shared" si="880"/>
        <v>4.5732401537654987E-3</v>
      </c>
      <c r="HP336" s="644">
        <f>(FT336*$GD336-HM336)/$JF336*INDEX(Input!$1:$1048576,$JG$93,$C336*2+6)</f>
        <v>154.78668903360213</v>
      </c>
      <c r="HQ336" s="644">
        <f>(FU336*$GD336-HN336)/$JF336*INDEX(Input!$1:$1048576,$JG$93,$C336*2+6)</f>
        <v>6.6872831917127691</v>
      </c>
      <c r="HR336" s="644">
        <f>(FV336*$GD336-HO336)/$JF336*INDEX(Input!$1:$1048576,$JG$93,$C336*2+6)</f>
        <v>-36.264146319255985</v>
      </c>
      <c r="HS336" s="644">
        <f t="shared" si="980"/>
        <v>-64.961203327868603</v>
      </c>
      <c r="HT336" s="644">
        <f t="shared" si="882"/>
        <v>50.827810366976294</v>
      </c>
      <c r="HU336" s="644">
        <f t="shared" si="883"/>
        <v>16.188584034760289</v>
      </c>
      <c r="HV336" s="648">
        <f t="shared" si="884"/>
        <v>0</v>
      </c>
      <c r="HW336" s="648">
        <f t="shared" si="885"/>
        <v>0</v>
      </c>
      <c r="HX336" s="648">
        <f t="shared" si="886"/>
        <v>0</v>
      </c>
      <c r="HY336" s="644">
        <f>INDEX(Input!$1:$1048576,HY$93,$C336*2+6)*INDEX(Input!$1:$1048576,$JG$93,$C336*2+6)</f>
        <v>509.00000000000006</v>
      </c>
      <c r="HZ336" s="644">
        <f>INDEX(Input!$1:$1048576,HZ$93,$C336*2+6)*INDEX(Input!$1:$1048576,$JG$93,$C336*2+6)</f>
        <v>844</v>
      </c>
      <c r="IA336" s="644">
        <f>INDEX(Input!$1:$1048576,IA$93,$C336*2+6)*INDEX(Input!$1:$1048576,$JG$93,$C336*2+6)</f>
        <v>257</v>
      </c>
      <c r="IB336" s="644">
        <f t="shared" si="910"/>
        <v>598.82548570573351</v>
      </c>
      <c r="IC336" s="644">
        <f t="shared" si="911"/>
        <v>901.51509355868916</v>
      </c>
      <c r="ID336" s="644">
        <f>IF(AND(INDEX(Input!$1:$1048576,IA$93,$C336*2+7)="TOS",Y336&lt;=INDEX(Y:Y,MATCH(C336*1000+2,A:A))),0,1)*MAX(IA336+HR336+HU336+HX336,0%)</f>
        <v>236.9244377155043</v>
      </c>
      <c r="IE336" s="128">
        <f t="shared" si="981"/>
        <v>0.34469437872336584</v>
      </c>
      <c r="IF336" s="128">
        <f t="shared" si="977"/>
        <v>0.51892778864901623</v>
      </c>
      <c r="IG336" s="128">
        <f t="shared" si="888"/>
        <v>0.13637783262761793</v>
      </c>
      <c r="IH336" s="21"/>
      <c r="II336" s="19">
        <f t="shared" si="889"/>
        <v>1410.4999999999998</v>
      </c>
      <c r="IJ336" s="19">
        <f t="shared" si="890"/>
        <v>2134.9731585778086</v>
      </c>
      <c r="IK336" s="19">
        <f t="shared" si="891"/>
        <v>2103.5</v>
      </c>
      <c r="IL336" s="19">
        <f t="shared" si="913"/>
        <v>700.50000000000023</v>
      </c>
      <c r="IM336" s="19">
        <f t="shared" si="892"/>
        <v>517.41974268611148</v>
      </c>
      <c r="IN336" s="19">
        <f t="shared" si="893"/>
        <v>185.5</v>
      </c>
      <c r="IO336" s="39">
        <f t="shared" si="894"/>
        <v>0</v>
      </c>
      <c r="IP336" s="39">
        <f t="shared" si="895"/>
        <v>0</v>
      </c>
      <c r="IQ336" s="39">
        <f t="shared" si="896"/>
        <v>0</v>
      </c>
      <c r="IR336" s="39">
        <v>0</v>
      </c>
      <c r="IS336" s="39">
        <v>0</v>
      </c>
      <c r="IT336" s="39">
        <v>0</v>
      </c>
      <c r="IU336" s="39">
        <v>0</v>
      </c>
      <c r="IV336" s="39">
        <v>0</v>
      </c>
      <c r="IW336" s="39">
        <v>0</v>
      </c>
      <c r="IX336" s="39">
        <f>INDEX(Input!$1:$1048576,IX$93,$C336*2+6)+INDEX(Input!$1:$1048576,IX$94,$C336*2+6)</f>
        <v>1611</v>
      </c>
      <c r="IY336" s="39">
        <f>INDEX(Input!$1:$1048576,IY$93,$C336*2+6)+INDEX(Input!$1:$1048576,IY$94,$C336*2+6)</f>
        <v>2471.0624533823611</v>
      </c>
      <c r="IZ336" s="39">
        <f>INDEX(Input!$1:$1048576,IZ$93,$C336*2+6)+INDEX(Input!$1:$1048576,IZ$94,$C336*2+6)</f>
        <v>3994.7164157747857</v>
      </c>
      <c r="JA336" s="19">
        <f t="shared" si="914"/>
        <v>2311.5</v>
      </c>
      <c r="JB336" s="19">
        <f t="shared" si="915"/>
        <v>2988.4821960684726</v>
      </c>
      <c r="JC336" s="19">
        <f t="shared" si="916"/>
        <v>4180.2164157747857</v>
      </c>
      <c r="JD336" s="19">
        <f t="shared" si="917"/>
        <v>2917.6563685395831</v>
      </c>
      <c r="JE336" s="21"/>
      <c r="JF336" s="1">
        <f t="shared" si="897"/>
        <v>2.8748057280389237E-2</v>
      </c>
      <c r="JG336" s="15">
        <f>INDEX(Input!$1:$1048576,JG$93,$C336*2+6)/(1+VLOOKUP(C336*1000+INDEX(Input!$1:$1048576,JG$93+1,$C336*2+6),$A:$KK,$JK$92,FALSE))</f>
        <v>1610</v>
      </c>
      <c r="JH336" s="1">
        <f t="shared" si="918"/>
        <v>7.7770078202521062E-2</v>
      </c>
      <c r="JI336" s="1">
        <f t="shared" si="919"/>
        <v>1.2765161949490564E-3</v>
      </c>
      <c r="JJ336" s="1">
        <f t="shared" si="978"/>
        <v>0</v>
      </c>
      <c r="JK336" s="1">
        <f t="shared" si="979"/>
        <v>7.9046594397470124E-2</v>
      </c>
      <c r="JL336" s="15">
        <f t="shared" si="922"/>
        <v>127.2650169799269</v>
      </c>
      <c r="JM336" s="15">
        <f t="shared" si="948"/>
        <v>1737.2650169799269</v>
      </c>
      <c r="JN336" s="21"/>
      <c r="JO336" s="19">
        <f>INDEX(Input!$1:$1048576,JO$93,$C336*2+6)</f>
        <v>5995.5</v>
      </c>
      <c r="JP336" s="19">
        <f>INDEX(Input!$1:$1048576,JP$93,$C336*2+6)</f>
        <v>2442.3713226762939</v>
      </c>
      <c r="JQ336" s="39">
        <f t="shared" si="934"/>
        <v>3077.8436314604169</v>
      </c>
      <c r="JR336" s="39">
        <f t="shared" si="951"/>
        <v>475.28504586328927</v>
      </c>
      <c r="JS336" s="39">
        <f t="shared" si="936"/>
        <v>5.0687423406325109</v>
      </c>
      <c r="JT336" s="39">
        <f t="shared" si="924"/>
        <v>1.1365245111236781</v>
      </c>
      <c r="JU336" s="385">
        <f>(JQ336*JM336-INDEX(Input!$1:$1048576,Input!A$18,$C336*2+6)*JL336*INDEX(Input!$1:$1048576,Input!A$19,$C336*2+6))/1000000</f>
        <v>5.3470300686706409</v>
      </c>
      <c r="JV336" s="39">
        <f t="shared" si="958"/>
        <v>-0.37350710182052627</v>
      </c>
      <c r="JW336" s="1">
        <f t="shared" si="949"/>
        <v>-6.5292312712733724E-2</v>
      </c>
      <c r="JX336" s="19">
        <f t="shared" si="940"/>
        <v>8930.3764545361155</v>
      </c>
      <c r="JZ336" s="341"/>
      <c r="KA336" s="342"/>
      <c r="KB336" s="469">
        <f t="shared" si="937"/>
        <v>2.5190675447988795</v>
      </c>
      <c r="KI336" s="473">
        <f t="shared" si="982"/>
        <v>89.825485705733456</v>
      </c>
      <c r="KJ336" s="473">
        <f t="shared" si="983"/>
        <v>57.515093558689159</v>
      </c>
      <c r="KK336" s="473">
        <f t="shared" si="926"/>
        <v>-20.075562284495703</v>
      </c>
      <c r="KN336" s="544">
        <f t="shared" si="941"/>
        <v>3002</v>
      </c>
      <c r="KO336" s="541">
        <f t="shared" si="901"/>
        <v>4.7093090490988532E-2</v>
      </c>
      <c r="KP336" s="546">
        <f t="shared" si="902"/>
        <v>336.78042929069113</v>
      </c>
      <c r="KQ336" s="546">
        <f t="shared" si="903"/>
        <v>281.74294315088491</v>
      </c>
      <c r="KR336" s="548">
        <f t="shared" si="904"/>
        <v>2.4259785692266398</v>
      </c>
      <c r="KS336" s="548">
        <f t="shared" si="905"/>
        <v>2.8998848910178929</v>
      </c>
      <c r="KT336" s="473">
        <f t="shared" si="939"/>
        <v>1026.1618045255443</v>
      </c>
      <c r="KU336" s="663">
        <f t="shared" si="927"/>
        <v>4.7466815976797312</v>
      </c>
      <c r="KV336" s="117"/>
    </row>
    <row r="337" spans="1:308" s="26" customFormat="1" ht="15">
      <c r="A337" s="561">
        <f t="shared" si="906"/>
        <v>3037</v>
      </c>
      <c r="B337" s="561">
        <f t="shared" si="928"/>
        <v>37</v>
      </c>
      <c r="C337" s="561">
        <f t="shared" si="929"/>
        <v>3</v>
      </c>
      <c r="D337" s="561" t="str">
        <f t="shared" si="974"/>
        <v xml:space="preserve">750 CC, 0/0/0.9/3.9, </v>
      </c>
      <c r="E337" s="475">
        <f>INDEX(Input!$1:$1048576,E$93,$C337*2+MIN($B337,2)+5)
+INDEX(Scenarios!E$121:E$200,MATCH($B337,Scenarios!$B$121:$B$200,0))</f>
        <v>2037.0236024844721</v>
      </c>
      <c r="F337" s="475">
        <f>INDEX(Input!$1:$1048576,F$93,$C337*2+MIN($B337,2)+5)
+INDEX(Scenarios!F$121:F$200,MATCH($B337,Scenarios!$B$121:$B$200,0))</f>
        <v>0</v>
      </c>
      <c r="G337" s="475">
        <f>INDEX(Input!$1:$1048576,G$93,$C337*2+MIN($B337,2)+5)
+INDEX(Scenarios!G$121:G$200,MATCH($B337,Scenarios!$B$121:$B$200,0))</f>
        <v>0</v>
      </c>
      <c r="H337" s="475">
        <f>INDEX(Input!$1:$1048576,H$93,$C337*2+MIN($B337,2)+5)
+INDEX(Scenarios!H$121:H$200,MATCH($B337,Scenarios!$B$121:$B$200,0))</f>
        <v>0</v>
      </c>
      <c r="I337" s="476">
        <f>INDEX(Input!$1:$1048576,I$93,$C337*2+MIN($B337,2)+5)</f>
        <v>0.7</v>
      </c>
      <c r="J337" s="476" t="str">
        <f>INDEX(Input!$1:$1048576,J$93,$C337*2+MIN($B337,2)+5)</f>
        <v>Market</v>
      </c>
      <c r="K337" s="476" t="str">
        <f>INDEX(Input!$1:$1048576,K$93,$C337*2+MIN($B337,2)+5)</f>
        <v>Market</v>
      </c>
      <c r="L337" s="476" t="str">
        <f>INDEX(Input!$1:$1048576,L$93,$C337*2+MIN($B337,2)+5)</f>
        <v>Market</v>
      </c>
      <c r="M337" s="476" t="str">
        <f>INDEX(Input!$1:$1048576,M$93,$C337*2+MIN($B337,2)+5)</f>
        <v>Market</v>
      </c>
      <c r="N337" s="476" t="str">
        <f>INDEX(Input!$1:$1048576,N$93,$C337*2+MIN($B337,2)+5)</f>
        <v>Market</v>
      </c>
      <c r="O337" s="476" t="str">
        <f>INDEX(Input!$1:$1048576,O$93,$C337*2+MIN($B337,2)+5)</f>
        <v>Market</v>
      </c>
      <c r="P337" s="476" t="str">
        <f>INDEX(Input!$1:$1048576,P$93,$C337*2+MIN($B337,2)+5)</f>
        <v>N</v>
      </c>
      <c r="Q337" s="477">
        <f>INDEX(Input!$1:$1048576,Q$93,$C337*2+MIN($B337,2)+5)
+INDEX(Scenarios!Q$121:Q$200,MATCH($B337,Scenarios!$B$121:$B$200,0))</f>
        <v>0</v>
      </c>
      <c r="R337" s="478">
        <f>IFERROR(MAX(0,INDEX(Input!$1:$1048576,R$93,$C337*2+MIN($B337,2)+5)
+INDEX(Scenarios!R$121:R$200,MATCH($B337,Scenarios!$B$121:$B$200,0)),),"Market")</f>
        <v>0</v>
      </c>
      <c r="S337" s="478">
        <f>IFERROR(MAX(0,INDEX(Input!$1:$1048576,S$93,$C337*2+MIN($B337,2)+5)
+INDEX(Scenarios!S$121:S$200,MATCH($B337,Scenarios!$B$121:$B$200,0)),),"Market")</f>
        <v>0</v>
      </c>
      <c r="T337" s="478">
        <f>IFERROR(MAX(0,INDEX(Input!$1:$1048576,T$93,$C337*2+MIN($B337,2)+5)
+INDEX(Scenarios!T$121:T$200,MATCH($B337,Scenarios!$B$121:$B$200,0)),),"Market")</f>
        <v>0</v>
      </c>
      <c r="U337" s="478">
        <f>IFERROR(MAX(0,INDEX(Input!$1:$1048576,U$93,$C337*2+MIN($B337,2)+5)
+INDEX(Scenarios!U$121:U$200,MATCH($B337,Scenarios!$B$121:$B$200,0)),),"Market")</f>
        <v>0</v>
      </c>
      <c r="V337" s="478">
        <f>IFERROR(MAX(0,INDEX(Input!$1:$1048576,V$93,$C337*2+MIN($B337,2)+5)
+INDEX(Scenarios!V$121:V$200,MATCH($B337,Scenarios!$B$121:$B$200,0)),),"Market")</f>
        <v>8.9999999999999993E-3</v>
      </c>
      <c r="W337" s="885">
        <f>IFERROR(MAX(0,INDEX(Input!$1:$1048576,W$93,$C337*2+MIN($B337,2)+5)-0%,),"Market")</f>
        <v>3.9E-2</v>
      </c>
      <c r="X337" s="476" t="str">
        <f>INDEX(Input!$1:$1048576,X$93,$C337*2+MIN($B337,2)+5)</f>
        <v>Y</v>
      </c>
      <c r="Y337" s="475">
        <f>INDEX(Input!$1:$1048576,Y$93,$C337*2+MIN($B337,2)+5)
++INDEX(Scenarios!Y$121:Y$200,MATCH($B337,Scenarios!$B$121:$B$200,0))</f>
        <v>1554.9999999999991</v>
      </c>
      <c r="Z337" s="477">
        <f>INDEX(Input!$1:$1048576,Z$93,$C337*2+MIN($B337,2)+5)
+INDEX(Scenarios!Z$121:Z$200,MATCH($B337,Scenarios!$B$121:$B$200,0))</f>
        <v>0</v>
      </c>
      <c r="AA337" s="475">
        <f>INDEX(Input!$1:$1048576,AA$93,$C337*2+MIN($B337,2)+5)
+INDEX(Scenarios!AA$121:AA$200,MATCH($B337,Scenarios!$B$121:$B$200,0))</f>
        <v>0</v>
      </c>
      <c r="AB337" s="476">
        <f>INDEX(Input!$1:$1048576,AB$93,$C337*2+MIN($B337,2)+5)</f>
        <v>0.27</v>
      </c>
      <c r="AC337" s="475">
        <f>INDEX(Input!$1:$1048576,AC$93,$C337*2+MIN($B337,2)+5)
+INDEX(Scenarios!AC$121:AC$200,MATCH($B337,Scenarios!$B$121:$B$200,0))</f>
        <v>0</v>
      </c>
      <c r="AD337" s="476">
        <f>INDEX(Input!$1:$1048576,AD$93,$C337*2+MIN($B337,2)+5)</f>
        <v>0.27</v>
      </c>
      <c r="AE337" s="475">
        <f>INDEX(Input!$1:$1048576,AE$93,$C337*2+MIN($B337,2)+5)
+INDEX(Scenarios!AE$121:AE$200,MATCH($B337,Scenarios!$B$121:$B$200,0))</f>
        <v>0</v>
      </c>
      <c r="AF337" s="476">
        <f>INDEX(Input!$1:$1048576,AF$93,$C337*2+MIN($B337,2)+5)</f>
        <v>0.68200000000000005</v>
      </c>
      <c r="AG337" s="475">
        <f>INDEX(Input!$1:$1048576,AG$93,$C337*2+MIN($B337,2)+5)
+INDEX(Scenarios!AG$121:AG$200,MATCH($B337,Scenarios!$B$121:$B$200,0))</f>
        <v>500</v>
      </c>
      <c r="AH337" s="476">
        <f>INDEX(Input!$1:$1048576,AH$93,$C337*2+MIN($B337,2)+5)</f>
        <v>1</v>
      </c>
      <c r="AI337" s="475">
        <f>INDEX(Input!$1:$1048576,AI$93,$C337*2+MIN($B337,2)+5)
+INDEX(Scenarios!AI$121:AI$200,MATCH($B337,Scenarios!$B$121:$B$200,0))</f>
        <v>0</v>
      </c>
      <c r="AJ337" s="476">
        <f>INDEX(Input!$1:$1048576,AJ$93,$C337*2+MIN($B337,2)+5)</f>
        <v>0.27</v>
      </c>
      <c r="AK337" s="150">
        <f>ROUND(INDEX(Input!$1:$1048576,AK$93,$C336*2+MIN($B337,1)+5)+(Y337-VLOOKUP($C337*1000+1,$A:$HH,Y$92,FALSE)),0)</f>
        <v>2977</v>
      </c>
      <c r="AL337" s="150">
        <f>ROUND(INDEX(Input!$1:$1048576,AL$93,$C336*2+MIN($B337,1)+5)-(Y337-VLOOKUP($C337*1000+1,$A:$HH,Y$92,FALSE))/36,0)</f>
        <v>3395</v>
      </c>
      <c r="AM337" s="32" t="str">
        <f t="shared" si="907"/>
        <v>std/std/std/std</v>
      </c>
      <c r="AN337" s="32" t="str">
        <f t="shared" si="908"/>
        <v>$0 + 0/0/0/0.9/3.9</v>
      </c>
      <c r="AO337" s="32" t="str">
        <f t="shared" si="909"/>
        <v>0/0/0/0.9/3.9</v>
      </c>
      <c r="AP337" s="32" t="str">
        <f t="shared" si="863"/>
        <v>0/0/0.9/3.9</v>
      </c>
      <c r="AQ337" s="536">
        <f t="shared" si="862"/>
        <v>0.36713103483971554</v>
      </c>
      <c r="AR337" s="32"/>
      <c r="AS337" s="302"/>
      <c r="AT337" s="3">
        <f t="shared" si="930"/>
        <v>37</v>
      </c>
      <c r="AU337" s="41" t="s">
        <v>121</v>
      </c>
      <c r="AV337" s="41" t="s">
        <v>116</v>
      </c>
      <c r="AW337" s="41" t="str">
        <f>INDEX(Input!$1:$1048576,AW$93,$C337*2+6)</f>
        <v>Kia</v>
      </c>
      <c r="AX337" s="41" t="str">
        <f>INDEX(Input!$1:$1048576,AX$93,$C337*2+6)</f>
        <v>Kia-LR - L3</v>
      </c>
      <c r="AY337" s="41" t="str">
        <f>IF(LEN(D337)=0,"",INDEX(Input!$1:$1048576,AY$93,$C337*2+6))</f>
        <v>Compact SUV (52)</v>
      </c>
      <c r="AZ337" s="41" t="str">
        <f>INDEX(Input!$1:$1048576,AZ$93,$C337*2+6)</f>
        <v>Kia Soul</v>
      </c>
      <c r="BA337" s="3">
        <f>INDEX(Input!$1:$1048576,BA$93,$C337*2+6)</f>
        <v>2020</v>
      </c>
      <c r="BB337" s="128">
        <f>INDEX(Input!$1:$1048576,BB$93,$C337*2+6)</f>
        <v>1</v>
      </c>
      <c r="BC337" s="128">
        <f>INDEX(Input!$1:$1048576,BC$93,$C337*2+6)</f>
        <v>0.7</v>
      </c>
      <c r="BD337" s="1">
        <f>INDEX(Input!$1:$1048576,BD$93,$C337*2+6)</f>
        <v>4.4999999999999998E-2</v>
      </c>
      <c r="BE337" s="1">
        <f>INDEX(Input!$1:$1048576,BE$93,$C337*2+6)</f>
        <v>4.4999999999999998E-2</v>
      </c>
      <c r="BF337" s="1">
        <f>INDEX(Input!$1:$1048576,BF$93,$C337*2+6)</f>
        <v>0.05</v>
      </c>
      <c r="BG337" s="1">
        <f>INDEX(Input!$1:$1048576,BG$93,$C337*2+6)</f>
        <v>5.45E-2</v>
      </c>
      <c r="BH337" s="1">
        <f>INDEX(Input!$1:$1048576,BH$93,$C337*2+6)</f>
        <v>5.45E-2</v>
      </c>
      <c r="BI337" s="1">
        <f>INDEX(Input!$1:$1048576,BI$93,$C337*2+6)</f>
        <v>0.05</v>
      </c>
      <c r="BJ337" s="1">
        <f>INDEX(Input!$1:$1048576,BJ$93,$C337*2+6)</f>
        <v>0.05</v>
      </c>
      <c r="BK337" s="1">
        <f>INDEX(Input!$1:$1048576,BK$93,$C337*2+6)</f>
        <v>0.05</v>
      </c>
      <c r="BL337" s="1">
        <f>INDEX(Input!$1:$1048576,BL$93,$C337*2+6)</f>
        <v>5.5E-2</v>
      </c>
      <c r="BM337" s="1">
        <f>INDEX(Input!$1:$1048576,BM$93,$C337*2+6)</f>
        <v>0.06</v>
      </c>
      <c r="BN337" s="1">
        <f>INDEX(Input!$1:$1048576,BN$93,$C337*2+6)</f>
        <v>4.4999999999999998E-2</v>
      </c>
      <c r="BO337" s="1">
        <f>INDEX(Input!$1:$1048576,BO$93,$C337*2+6)</f>
        <v>4.4999999999999998E-2</v>
      </c>
      <c r="BP337" s="1">
        <f>INDEX(Input!$1:$1048576,BP$93,$C337*2+6)</f>
        <v>0.05</v>
      </c>
      <c r="BQ337" s="1">
        <f>INDEX(Input!$1:$1048576,BQ$93,$C337*2+6)</f>
        <v>5.45E-2</v>
      </c>
      <c r="BR337" s="1">
        <f>INDEX(Input!$1:$1048576,BR$93,$C337*2+6)</f>
        <v>5.45E-2</v>
      </c>
      <c r="BS337" s="1">
        <f>INDEX(Input!$1:$1048576,BS$93,$C337*2+6)</f>
        <v>0.05</v>
      </c>
      <c r="BT337" s="1">
        <f>INDEX(Input!$1:$1048576,BT$93,$C337*2+6)</f>
        <v>0.05</v>
      </c>
      <c r="BU337" s="1">
        <f>INDEX(Input!$1:$1048576,BU$93,$C337*2+6)</f>
        <v>0.05</v>
      </c>
      <c r="BV337" s="1">
        <f>INDEX(Input!$1:$1048576,BV$93,$C337*2+6)</f>
        <v>5.5E-2</v>
      </c>
      <c r="BW337" s="1">
        <f>INDEX(Input!$1:$1048576,BW$93,$C337*2+6)</f>
        <v>0.06</v>
      </c>
      <c r="BX337" s="127">
        <f>INDEX(Input!$1:$1048576,BX$93,$C337*2+6)</f>
        <v>19985</v>
      </c>
      <c r="BY337" s="20">
        <f>INDEX(Input!$1:$1048576,BY$93,$C337*2+6)</f>
        <v>0.1</v>
      </c>
      <c r="BZ337" s="20">
        <f>INDEX(Input!$1:$1048576,BZ$93,$C337*2+6)</f>
        <v>0.1</v>
      </c>
      <c r="CA337" s="20">
        <f>INDEX(Input!$1:$1048576,CA$93,$C337*2+6)</f>
        <v>0.1</v>
      </c>
      <c r="CB337" s="20">
        <f>INDEX(Input!$1:$1048576,CB$93,$C337*2+6)</f>
        <v>0.1</v>
      </c>
      <c r="CC337" s="20">
        <f>INDEX(Input!$1:$1048576,CC$93,$C337*2+6)</f>
        <v>0.1</v>
      </c>
      <c r="CD337" s="384">
        <f>INDEX(Input!$1:$1048576,CD$93,$C337*2+6)</f>
        <v>0.1</v>
      </c>
      <c r="CE337" s="384">
        <f>INDEX(Input!$1:$1048576,CE$93,$C337*2+6)</f>
        <v>0.1</v>
      </c>
      <c r="CF337" s="384">
        <f>INDEX(Input!$1:$1048576,CF$93,$C337*2+6)</f>
        <v>0.1</v>
      </c>
      <c r="CG337" s="384">
        <f>INDEX(Input!$1:$1048576,CG$93,$C337*2+6)</f>
        <v>0.1</v>
      </c>
      <c r="CH337" s="384">
        <f>INDEX(Input!$1:$1048576,CH$93,$C337*2+6)</f>
        <v>0.1</v>
      </c>
      <c r="CI337" s="304">
        <f t="shared" si="864"/>
        <v>2037.0236024844721</v>
      </c>
      <c r="CJ337" s="16" t="str">
        <f>INDEX(Input!$1:$1048576,CJ$93,$C337*2+6)</f>
        <v>N</v>
      </c>
      <c r="CK337" s="1" t="str">
        <f t="shared" si="865"/>
        <v>Market</v>
      </c>
      <c r="CL337" s="1" t="str">
        <f t="shared" si="866"/>
        <v>Market</v>
      </c>
      <c r="CM337" s="1" t="str">
        <f t="shared" si="867"/>
        <v>Market</v>
      </c>
      <c r="CN337" s="1" t="str">
        <f t="shared" si="868"/>
        <v>Market</v>
      </c>
      <c r="CO337" s="1" t="str">
        <f t="shared" si="869"/>
        <v>Market</v>
      </c>
      <c r="CP337" s="304">
        <f t="shared" si="870"/>
        <v>500</v>
      </c>
      <c r="CQ337" s="1">
        <f t="shared" si="871"/>
        <v>0</v>
      </c>
      <c r="CR337" s="1">
        <f t="shared" si="872"/>
        <v>0</v>
      </c>
      <c r="CS337" s="1">
        <f t="shared" si="873"/>
        <v>0</v>
      </c>
      <c r="CT337" s="1">
        <f t="shared" si="874"/>
        <v>8.9999999999999993E-3</v>
      </c>
      <c r="CU337" s="1">
        <f t="shared" si="875"/>
        <v>3.9E-2</v>
      </c>
      <c r="CV337" s="304">
        <f t="shared" si="876"/>
        <v>1554.9999999999991</v>
      </c>
      <c r="CW337" s="20" t="s">
        <v>122</v>
      </c>
      <c r="CX337" s="20" t="s">
        <v>122</v>
      </c>
      <c r="CY337" s="20" t="s">
        <v>122</v>
      </c>
      <c r="CZ337" s="20" t="s">
        <v>122</v>
      </c>
      <c r="DA337" s="20" t="s">
        <v>122</v>
      </c>
      <c r="DB337" s="503">
        <f t="shared" si="877"/>
        <v>0</v>
      </c>
      <c r="DC337" s="127">
        <v>0</v>
      </c>
      <c r="DD337" s="127">
        <v>0</v>
      </c>
      <c r="DE337" s="127">
        <v>0</v>
      </c>
      <c r="DF337" s="127">
        <v>0</v>
      </c>
      <c r="DG337" s="127">
        <v>0</v>
      </c>
      <c r="DH337" s="127">
        <v>0</v>
      </c>
      <c r="DI337" s="127">
        <v>0</v>
      </c>
      <c r="DJ337" s="127">
        <v>0</v>
      </c>
      <c r="DK337" s="127">
        <v>0</v>
      </c>
      <c r="DL337" s="127">
        <v>0</v>
      </c>
      <c r="DM337" s="304">
        <f>INDEX(Input!$1:$1048576,DM$93,$C337*2+6)</f>
        <v>21036.84210526316</v>
      </c>
      <c r="DN337" s="20">
        <v>0</v>
      </c>
      <c r="DO337" s="20">
        <v>0</v>
      </c>
      <c r="DP337" s="20">
        <v>0</v>
      </c>
      <c r="DQ337" s="20">
        <v>0</v>
      </c>
      <c r="DR337" s="20">
        <v>0</v>
      </c>
      <c r="DS337" s="20">
        <f>INDEX(Input!$1:$1048576,DS$93,$C337*2+6)</f>
        <v>0.6</v>
      </c>
      <c r="DT337" s="20">
        <f>INDEX(Input!$1:$1048576,DT$93,$C337*2+6)</f>
        <v>0.55000000000000004</v>
      </c>
      <c r="DU337" s="20">
        <f>INDEX(Input!$1:$1048576,DU$93,$C337*2+6)</f>
        <v>0.52</v>
      </c>
      <c r="DV337" s="20">
        <f>INDEX(Input!$1:$1048576,DV$93,$C337*2+6)</f>
        <v>0.5</v>
      </c>
      <c r="DW337" s="20">
        <f>INDEX(Input!$1:$1048576,DW$93,$C337*2+6)</f>
        <v>0.45</v>
      </c>
      <c r="DX337" s="20"/>
      <c r="DY337" s="7">
        <v>0.11414015354722964</v>
      </c>
      <c r="DZ337" s="7">
        <v>0</v>
      </c>
      <c r="EA337" s="7">
        <v>0.72848350102259862</v>
      </c>
      <c r="EB337" s="7">
        <v>0</v>
      </c>
      <c r="EC337" s="7">
        <v>0</v>
      </c>
      <c r="ED337" s="7">
        <v>0</v>
      </c>
      <c r="EE337" s="7">
        <v>0</v>
      </c>
      <c r="EF337" s="7">
        <v>0</v>
      </c>
      <c r="EG337" s="7">
        <v>0</v>
      </c>
      <c r="EH337" s="7">
        <v>9.4353822486641162E-3</v>
      </c>
      <c r="EI337" s="7">
        <v>2.6422982440652037E-2</v>
      </c>
      <c r="EJ337" s="7">
        <v>0.2128699922471203</v>
      </c>
      <c r="EK337" s="7">
        <v>0.64019549988436131</v>
      </c>
      <c r="EL337" s="7">
        <v>0.11107614317920214</v>
      </c>
      <c r="EM337" s="7">
        <v>4.4283544803609826E-2</v>
      </c>
      <c r="EN337" s="7">
        <v>6.2851191419280819E-2</v>
      </c>
      <c r="EO337" s="7">
        <v>0.78069809417985159</v>
      </c>
      <c r="EP337" s="7">
        <v>6.4336449669165657E-2</v>
      </c>
      <c r="EQ337" s="7">
        <v>6.0214801812896145E-2</v>
      </c>
      <c r="ER337" s="7">
        <v>3.1899462918805764E-2</v>
      </c>
      <c r="ES337" s="7">
        <v>0.11309280062656192</v>
      </c>
      <c r="ET337" s="7">
        <v>0.15737634543017165</v>
      </c>
      <c r="EU337" s="6">
        <v>2361</v>
      </c>
      <c r="EV337" s="6">
        <v>0</v>
      </c>
      <c r="EW337" s="6">
        <v>2361</v>
      </c>
      <c r="EX337" s="6">
        <v>0</v>
      </c>
      <c r="EY337" s="6">
        <v>2652.4356612994934</v>
      </c>
      <c r="EZ337" s="6">
        <v>2289</v>
      </c>
      <c r="FA337" s="6">
        <v>0</v>
      </c>
      <c r="FB337" s="6">
        <v>0</v>
      </c>
      <c r="FC337" s="6">
        <v>0</v>
      </c>
      <c r="FD337" s="6">
        <v>0</v>
      </c>
      <c r="FE337" s="6">
        <v>0</v>
      </c>
      <c r="FF337" s="6">
        <v>0</v>
      </c>
      <c r="FG337" s="6">
        <v>0</v>
      </c>
      <c r="FH337" s="6">
        <v>1172.0112419152711</v>
      </c>
      <c r="FI337" s="6">
        <v>1553.9796069512397</v>
      </c>
      <c r="FJ337" s="6">
        <v>2101.2110117447414</v>
      </c>
      <c r="FK337" s="6">
        <v>2251.3078348034674</v>
      </c>
      <c r="FL337" s="6">
        <v>907.07682140966278</v>
      </c>
      <c r="FM337" s="6">
        <v>2041.4356612994932</v>
      </c>
      <c r="FN337" s="6">
        <v>0</v>
      </c>
      <c r="FO337" s="6">
        <v>0</v>
      </c>
      <c r="FP337" s="6">
        <v>0</v>
      </c>
      <c r="FQ337" s="6">
        <v>0</v>
      </c>
      <c r="FR337" s="6">
        <v>0</v>
      </c>
      <c r="FS337" s="6">
        <v>0</v>
      </c>
      <c r="FT337" s="7">
        <v>0.84262365456982824</v>
      </c>
      <c r="FU337" s="7">
        <v>4.4283544803609826E-2</v>
      </c>
      <c r="FV337" s="7">
        <v>0.11309280062656192</v>
      </c>
      <c r="FW337" s="6">
        <v>2361</v>
      </c>
      <c r="FX337" s="6">
        <v>2652.4356612994934</v>
      </c>
      <c r="FY337" s="6">
        <v>2289</v>
      </c>
      <c r="FZ337" s="6">
        <v>1858.9243755539039</v>
      </c>
      <c r="GA337" s="6">
        <v>2365.7631225194132</v>
      </c>
      <c r="GB337" s="6">
        <v>17619.236877480587</v>
      </c>
      <c r="GC337" s="7">
        <v>2.9156573141622111E-2</v>
      </c>
      <c r="GD337" s="7">
        <v>3.1761585439882313E-2</v>
      </c>
      <c r="GE337" s="7"/>
      <c r="GF337" s="7"/>
      <c r="GG337" s="7">
        <v>8.934562664847083E-2</v>
      </c>
      <c r="GH337" s="42">
        <v>3.5229594407690361</v>
      </c>
      <c r="GI337" s="6">
        <v>8038.5505434377246</v>
      </c>
      <c r="GJ337" s="14">
        <v>0.50394797582841733</v>
      </c>
      <c r="GK337" s="14">
        <v>0.50887573065309755</v>
      </c>
      <c r="GL337" s="14">
        <v>0.49605202417158273</v>
      </c>
      <c r="GM337" s="14">
        <v>0.49112426934690245</v>
      </c>
      <c r="GO337" s="5">
        <v>343.14810671672558</v>
      </c>
      <c r="GP337" s="5">
        <v>298.1047308538179</v>
      </c>
      <c r="GQ337" s="5">
        <v>535.04305713031317</v>
      </c>
      <c r="GR337" s="5">
        <v>410.15490233172511</v>
      </c>
      <c r="GS337" s="5">
        <v>339.42744393800166</v>
      </c>
      <c r="GT337" s="5">
        <v>293.4407446948278</v>
      </c>
      <c r="GU337" s="5">
        <v>258.04012322764959</v>
      </c>
      <c r="GV337" s="39" t="s">
        <v>392</v>
      </c>
      <c r="GW337" s="5">
        <v>482.65277777777777</v>
      </c>
      <c r="GX337" s="5">
        <v>361.98958333333331</v>
      </c>
      <c r="GY337" s="5">
        <v>289.59166666666664</v>
      </c>
      <c r="GZ337" s="5">
        <v>247.99130496280273</v>
      </c>
      <c r="HA337" s="5">
        <v>236.70336205047303</v>
      </c>
      <c r="HB337" s="39">
        <v>260.81924767574594</v>
      </c>
      <c r="HC337" s="5">
        <v>187.140625</v>
      </c>
      <c r="HD337" s="5">
        <v>171.45330774853798</v>
      </c>
      <c r="HE337" s="5">
        <v>177.50180921052629</v>
      </c>
      <c r="HF337" s="5">
        <v>167.9756304824561</v>
      </c>
      <c r="HG337" s="5">
        <v>166.75888157894735</v>
      </c>
      <c r="HH337" s="39">
        <v>172.46925611697944</v>
      </c>
      <c r="HI337" s="16"/>
      <c r="HJ337" s="19" t="str">
        <f t="shared" si="984"/>
        <v>On</v>
      </c>
      <c r="HK337" s="1" t="str">
        <f t="shared" si="984"/>
        <v>On</v>
      </c>
      <c r="HL337" s="16"/>
      <c r="HM337" s="639">
        <f t="shared" si="878"/>
        <v>2.2758057894877178E-2</v>
      </c>
      <c r="HN337" s="639">
        <f t="shared" si="879"/>
        <v>1.416759231746561E-3</v>
      </c>
      <c r="HO337" s="639">
        <f t="shared" si="880"/>
        <v>4.5732401537654987E-3</v>
      </c>
      <c r="HP337" s="644">
        <f>(FT337*$GD337-HM337)/$JF337*INDEX(Input!$1:$1048576,$JG$93,$C337*2+6)</f>
        <v>224.29545327523661</v>
      </c>
      <c r="HQ337" s="644">
        <f>(FU337*$GD337-HN337)/$JF337*INDEX(Input!$1:$1048576,$JG$93,$C337*2+6)</f>
        <v>-0.57368259897933171</v>
      </c>
      <c r="HR337" s="644">
        <f>(FV337*$GD337-HO337)/$JF337*INDEX(Input!$1:$1048576,$JG$93,$C337*2+6)</f>
        <v>-54.952789542581087</v>
      </c>
      <c r="HS337" s="644">
        <f t="shared" ref="HS337:HS361" si="985">IF(AND(HJ337="On",HK337="On"),IL337/1000*INDEX(KG:KG,MATCH(C337*1000+3,$KF:$KF,0))*SUM(HY337:IA337)*1.1
+INDEX(HR:HR,MATCH(C337*1000+4,$KF:$KF,0))/INDEX(IM:IM,MATCH(C337*1000+4,$KF:$KF,0))*IM337*20%,0)</f>
        <v>-87.930449072214572</v>
      </c>
      <c r="HT337" s="644">
        <f t="shared" si="882"/>
        <v>46.767862444463439</v>
      </c>
      <c r="HU337" s="644">
        <f t="shared" si="883"/>
        <v>20.253723434743232</v>
      </c>
      <c r="HV337" s="648">
        <f t="shared" si="884"/>
        <v>0</v>
      </c>
      <c r="HW337" s="648">
        <f t="shared" si="885"/>
        <v>0</v>
      </c>
      <c r="HX337" s="648">
        <f t="shared" si="886"/>
        <v>0</v>
      </c>
      <c r="HY337" s="644">
        <f>INDEX(Input!$1:$1048576,HY$93,$C337*2+6)*INDEX(Input!$1:$1048576,$JG$93,$C337*2+6)</f>
        <v>509.00000000000006</v>
      </c>
      <c r="HZ337" s="644">
        <f>INDEX(Input!$1:$1048576,HZ$93,$C337*2+6)*INDEX(Input!$1:$1048576,$JG$93,$C337*2+6)</f>
        <v>844</v>
      </c>
      <c r="IA337" s="644">
        <f>INDEX(Input!$1:$1048576,IA$93,$C337*2+6)*INDEX(Input!$1:$1048576,$JG$93,$C337*2+6)</f>
        <v>257</v>
      </c>
      <c r="IB337" s="644">
        <f t="shared" si="910"/>
        <v>645.36500420302207</v>
      </c>
      <c r="IC337" s="644">
        <f t="shared" si="911"/>
        <v>890.19417984548409</v>
      </c>
      <c r="ID337" s="644">
        <f>IF(AND(INDEX(Input!$1:$1048576,IA$93,$C337*2+7)="TOS",Y337&lt;=INDEX(Y:Y,MATCH(C337*1000+2,A:A))),0,1)*MAX(IA337+HR337+HU337+HX337,0%)</f>
        <v>222.30093389216213</v>
      </c>
      <c r="IE337" s="128">
        <f t="shared" ref="IE337:IE340" si="986">IB337/SUM($IB337:$ID337)</f>
        <v>0.36713103483971554</v>
      </c>
      <c r="IF337" s="128">
        <f t="shared" si="977"/>
        <v>0.50640785962443113</v>
      </c>
      <c r="IG337" s="128">
        <f t="shared" si="888"/>
        <v>0.12646110553585316</v>
      </c>
      <c r="IH337" s="21"/>
      <c r="II337" s="19">
        <f t="shared" si="889"/>
        <v>1410.4999999999998</v>
      </c>
      <c r="IJ337" s="19">
        <f t="shared" si="890"/>
        <v>2134.9731585778086</v>
      </c>
      <c r="IK337" s="19">
        <f t="shared" si="891"/>
        <v>2103.5</v>
      </c>
      <c r="IL337" s="19">
        <f t="shared" si="913"/>
        <v>950.50000000000023</v>
      </c>
      <c r="IM337" s="19">
        <f t="shared" si="892"/>
        <v>517.46250272168481</v>
      </c>
      <c r="IN337" s="19">
        <f t="shared" si="893"/>
        <v>185.5</v>
      </c>
      <c r="IO337" s="39">
        <f t="shared" si="894"/>
        <v>0</v>
      </c>
      <c r="IP337" s="39">
        <f t="shared" si="895"/>
        <v>0</v>
      </c>
      <c r="IQ337" s="39">
        <f t="shared" si="896"/>
        <v>0</v>
      </c>
      <c r="IR337" s="39">
        <v>0</v>
      </c>
      <c r="IS337" s="39">
        <v>0</v>
      </c>
      <c r="IT337" s="39">
        <v>0</v>
      </c>
      <c r="IU337" s="39">
        <v>0</v>
      </c>
      <c r="IV337" s="39">
        <v>0</v>
      </c>
      <c r="IW337" s="39">
        <v>0</v>
      </c>
      <c r="IX337" s="39">
        <f>INDEX(Input!$1:$1048576,IX$93,$C337*2+6)+INDEX(Input!$1:$1048576,IX$94,$C337*2+6)</f>
        <v>1611</v>
      </c>
      <c r="IY337" s="39">
        <f>INDEX(Input!$1:$1048576,IY$93,$C337*2+6)+INDEX(Input!$1:$1048576,IY$94,$C337*2+6)</f>
        <v>2471.0624533823611</v>
      </c>
      <c r="IZ337" s="39">
        <f>INDEX(Input!$1:$1048576,IZ$93,$C337*2+6)+INDEX(Input!$1:$1048576,IZ$94,$C337*2+6)</f>
        <v>3994.7164157747857</v>
      </c>
      <c r="JA337" s="19">
        <f t="shared" si="914"/>
        <v>2561.5</v>
      </c>
      <c r="JB337" s="19">
        <f t="shared" si="915"/>
        <v>2988.5249561040459</v>
      </c>
      <c r="JC337" s="19">
        <f t="shared" si="916"/>
        <v>4180.2164157747857</v>
      </c>
      <c r="JD337" s="19">
        <f t="shared" si="917"/>
        <v>2982.4534615147795</v>
      </c>
      <c r="JE337" s="21"/>
      <c r="JF337" s="1">
        <f t="shared" si="897"/>
        <v>2.8748057280389237E-2</v>
      </c>
      <c r="JG337" s="15">
        <f>INDEX(Input!$1:$1048576,JG$93,$C337*2+6)/(1+VLOOKUP(C337*1000+INDEX(Input!$1:$1048576,JG$93+1,$C337*2+6),$A:$KK,$JK$92,FALSE))</f>
        <v>1610</v>
      </c>
      <c r="JH337" s="1">
        <f t="shared" si="918"/>
        <v>0.10482545412029577</v>
      </c>
      <c r="JI337" s="1">
        <f t="shared" si="919"/>
        <v>-1.2986871548452112E-2</v>
      </c>
      <c r="JJ337" s="1">
        <f t="shared" si="978"/>
        <v>0</v>
      </c>
      <c r="JK337" s="1">
        <f t="shared" si="979"/>
        <v>9.1838582571843658E-2</v>
      </c>
      <c r="JL337" s="15">
        <f t="shared" si="922"/>
        <v>147.86011794066829</v>
      </c>
      <c r="JM337" s="15">
        <f t="shared" si="948"/>
        <v>1757.8601179406683</v>
      </c>
      <c r="JN337" s="21"/>
      <c r="JO337" s="19">
        <f>INDEX(Input!$1:$1048576,JO$93,$C337*2+6)</f>
        <v>5995.5</v>
      </c>
      <c r="JP337" s="19">
        <f>INDEX(Input!$1:$1048576,JP$93,$C337*2+6)</f>
        <v>2442.3713226762939</v>
      </c>
      <c r="JQ337" s="39">
        <f t="shared" si="934"/>
        <v>3013.0465384852205</v>
      </c>
      <c r="JR337" s="39">
        <f t="shared" si="951"/>
        <v>540.08213883848566</v>
      </c>
      <c r="JS337" s="39">
        <f t="shared" si="936"/>
        <v>5.2427359936109248</v>
      </c>
      <c r="JT337" s="39">
        <f t="shared" si="924"/>
        <v>1.310518164102092</v>
      </c>
      <c r="JU337" s="385">
        <f>(JQ337*JM337-INDEX(Input!$1:$1048576,Input!A$18,$C337*2+6)*JL337*INDEX(Input!$1:$1048576,Input!A$19,$C337*2+6))/1000000</f>
        <v>5.2965143435023521</v>
      </c>
      <c r="JV337" s="39">
        <f t="shared" si="958"/>
        <v>-0.4240228269888151</v>
      </c>
      <c r="JW337" s="1">
        <f t="shared" si="949"/>
        <v>-7.4122903907712631E-2</v>
      </c>
      <c r="JX337" s="19">
        <f t="shared" si="940"/>
        <v>8863.2295331183395</v>
      </c>
      <c r="JZ337" s="341"/>
      <c r="KA337" s="342"/>
      <c r="KB337" s="469">
        <f t="shared" si="937"/>
        <v>2.5190675447988795</v>
      </c>
      <c r="KI337" s="473">
        <f t="shared" ref="KI337:KI362" si="987">$JM337*IE337-$JG337*HY337/SUM($HY337:$IA337)</f>
        <v>136.3650042030219</v>
      </c>
      <c r="KJ337" s="473">
        <f t="shared" ref="KJ337:KJ362" si="988">$JM337*IF337-$JG337*HZ337/SUM($HY337:$IA337)</f>
        <v>46.194179845483859</v>
      </c>
      <c r="KK337" s="473">
        <f t="shared" si="926"/>
        <v>-34.699066107837865</v>
      </c>
      <c r="KN337" s="544">
        <f t="shared" si="941"/>
        <v>3002</v>
      </c>
      <c r="KO337" s="541">
        <f t="shared" si="901"/>
        <v>5.9506273110325081E-2</v>
      </c>
      <c r="KP337" s="546">
        <f t="shared" si="902"/>
        <v>435.83596589506169</v>
      </c>
      <c r="KQ337" s="546">
        <f t="shared" si="903"/>
        <v>346.5400361260813</v>
      </c>
      <c r="KR337" s="548">
        <f t="shared" si="904"/>
        <v>2.3687340300228121</v>
      </c>
      <c r="KS337" s="548">
        <f t="shared" si="905"/>
        <v>2.9791059511169578</v>
      </c>
      <c r="KT337" s="473">
        <f t="shared" si="939"/>
        <v>1026.1618045255443</v>
      </c>
      <c r="KU337" s="663">
        <f t="shared" si="927"/>
        <v>4.7780429418989376</v>
      </c>
      <c r="KV337" s="117"/>
    </row>
    <row r="338" spans="1:308" s="26" customFormat="1" ht="15">
      <c r="A338" s="561">
        <f t="shared" si="906"/>
        <v>3038</v>
      </c>
      <c r="B338" s="561">
        <f t="shared" si="928"/>
        <v>38</v>
      </c>
      <c r="C338" s="561">
        <f t="shared" si="929"/>
        <v>3</v>
      </c>
      <c r="D338" s="561" t="str">
        <f t="shared" si="974"/>
        <v xml:space="preserve">1000 CC, 0/0/0.9/3.9, </v>
      </c>
      <c r="E338" s="475">
        <f>INDEX(Input!$1:$1048576,E$93,$C338*2+MIN($B338,2)+5)
+INDEX(Scenarios!E$121:E$200,MATCH($B338,Scenarios!$B$121:$B$200,0))</f>
        <v>2287.0236024844721</v>
      </c>
      <c r="F338" s="475">
        <f>INDEX(Input!$1:$1048576,F$93,$C338*2+MIN($B338,2)+5)
+INDEX(Scenarios!F$121:F$200,MATCH($B338,Scenarios!$B$121:$B$200,0))</f>
        <v>0</v>
      </c>
      <c r="G338" s="475">
        <f>INDEX(Input!$1:$1048576,G$93,$C338*2+MIN($B338,2)+5)
+INDEX(Scenarios!G$121:G$200,MATCH($B338,Scenarios!$B$121:$B$200,0))</f>
        <v>0</v>
      </c>
      <c r="H338" s="475">
        <f>INDEX(Input!$1:$1048576,H$93,$C338*2+MIN($B338,2)+5)
+INDEX(Scenarios!H$121:H$200,MATCH($B338,Scenarios!$B$121:$B$200,0))</f>
        <v>0</v>
      </c>
      <c r="I338" s="476">
        <f>INDEX(Input!$1:$1048576,I$93,$C338*2+MIN($B338,2)+5)</f>
        <v>0.7</v>
      </c>
      <c r="J338" s="476" t="str">
        <f>INDEX(Input!$1:$1048576,J$93,$C338*2+MIN($B338,2)+5)</f>
        <v>Market</v>
      </c>
      <c r="K338" s="476" t="str">
        <f>INDEX(Input!$1:$1048576,K$93,$C338*2+MIN($B338,2)+5)</f>
        <v>Market</v>
      </c>
      <c r="L338" s="476" t="str">
        <f>INDEX(Input!$1:$1048576,L$93,$C338*2+MIN($B338,2)+5)</f>
        <v>Market</v>
      </c>
      <c r="M338" s="476" t="str">
        <f>INDEX(Input!$1:$1048576,M$93,$C338*2+MIN($B338,2)+5)</f>
        <v>Market</v>
      </c>
      <c r="N338" s="476" t="str">
        <f>INDEX(Input!$1:$1048576,N$93,$C338*2+MIN($B338,2)+5)</f>
        <v>Market</v>
      </c>
      <c r="O338" s="476" t="str">
        <f>INDEX(Input!$1:$1048576,O$93,$C338*2+MIN($B338,2)+5)</f>
        <v>Market</v>
      </c>
      <c r="P338" s="476" t="str">
        <f>INDEX(Input!$1:$1048576,P$93,$C338*2+MIN($B338,2)+5)</f>
        <v>N</v>
      </c>
      <c r="Q338" s="477">
        <f>INDEX(Input!$1:$1048576,Q$93,$C338*2+MIN($B338,2)+5)
+INDEX(Scenarios!Q$121:Q$200,MATCH($B338,Scenarios!$B$121:$B$200,0))</f>
        <v>0</v>
      </c>
      <c r="R338" s="478">
        <f>IFERROR(MAX(0,INDEX(Input!$1:$1048576,R$93,$C338*2+MIN($B338,2)+5)
+INDEX(Scenarios!R$121:R$200,MATCH($B338,Scenarios!$B$121:$B$200,0)),),"Market")</f>
        <v>0</v>
      </c>
      <c r="S338" s="478">
        <f>IFERROR(MAX(0,INDEX(Input!$1:$1048576,S$93,$C338*2+MIN($B338,2)+5)
+INDEX(Scenarios!S$121:S$200,MATCH($B338,Scenarios!$B$121:$B$200,0)),),"Market")</f>
        <v>0</v>
      </c>
      <c r="T338" s="478">
        <f>IFERROR(MAX(0,INDEX(Input!$1:$1048576,T$93,$C338*2+MIN($B338,2)+5)
+INDEX(Scenarios!T$121:T$200,MATCH($B338,Scenarios!$B$121:$B$200,0)),),"Market")</f>
        <v>0</v>
      </c>
      <c r="U338" s="478">
        <f>IFERROR(MAX(0,INDEX(Input!$1:$1048576,U$93,$C338*2+MIN($B338,2)+5)
+INDEX(Scenarios!U$121:U$200,MATCH($B338,Scenarios!$B$121:$B$200,0)),),"Market")</f>
        <v>0</v>
      </c>
      <c r="V338" s="478">
        <f>IFERROR(MAX(0,INDEX(Input!$1:$1048576,V$93,$C338*2+MIN($B338,2)+5)
+INDEX(Scenarios!V$121:V$200,MATCH($B338,Scenarios!$B$121:$B$200,0)),),"Market")</f>
        <v>8.9999999999999993E-3</v>
      </c>
      <c r="W338" s="885">
        <f>IFERROR(MAX(0,INDEX(Input!$1:$1048576,W$93,$C338*2+MIN($B338,2)+5)-0%,),"Market")</f>
        <v>3.9E-2</v>
      </c>
      <c r="X338" s="476" t="str">
        <f>INDEX(Input!$1:$1048576,X$93,$C338*2+MIN($B338,2)+5)</f>
        <v>Y</v>
      </c>
      <c r="Y338" s="475">
        <f>INDEX(Input!$1:$1048576,Y$93,$C338*2+MIN($B338,2)+5)
++INDEX(Scenarios!Y$121:Y$200,MATCH($B338,Scenarios!$B$121:$B$200,0))</f>
        <v>1554.9999999999991</v>
      </c>
      <c r="Z338" s="477">
        <f>INDEX(Input!$1:$1048576,Z$93,$C338*2+MIN($B338,2)+5)
+INDEX(Scenarios!Z$121:Z$200,MATCH($B338,Scenarios!$B$121:$B$200,0))</f>
        <v>0</v>
      </c>
      <c r="AA338" s="475">
        <f>INDEX(Input!$1:$1048576,AA$93,$C338*2+MIN($B338,2)+5)
+INDEX(Scenarios!AA$121:AA$200,MATCH($B338,Scenarios!$B$121:$B$200,0))</f>
        <v>0</v>
      </c>
      <c r="AB338" s="476">
        <f>INDEX(Input!$1:$1048576,AB$93,$C338*2+MIN($B338,2)+5)</f>
        <v>0.27</v>
      </c>
      <c r="AC338" s="475">
        <f>INDEX(Input!$1:$1048576,AC$93,$C338*2+MIN($B338,2)+5)
+INDEX(Scenarios!AC$121:AC$200,MATCH($B338,Scenarios!$B$121:$B$200,0))</f>
        <v>0</v>
      </c>
      <c r="AD338" s="476">
        <f>INDEX(Input!$1:$1048576,AD$93,$C338*2+MIN($B338,2)+5)</f>
        <v>0.27</v>
      </c>
      <c r="AE338" s="475">
        <f>INDEX(Input!$1:$1048576,AE$93,$C338*2+MIN($B338,2)+5)
+INDEX(Scenarios!AE$121:AE$200,MATCH($B338,Scenarios!$B$121:$B$200,0))</f>
        <v>0</v>
      </c>
      <c r="AF338" s="476">
        <f>INDEX(Input!$1:$1048576,AF$93,$C338*2+MIN($B338,2)+5)</f>
        <v>0.68200000000000005</v>
      </c>
      <c r="AG338" s="475">
        <f>INDEX(Input!$1:$1048576,AG$93,$C338*2+MIN($B338,2)+5)
+INDEX(Scenarios!AG$121:AG$200,MATCH($B338,Scenarios!$B$121:$B$200,0))</f>
        <v>500</v>
      </c>
      <c r="AH338" s="476">
        <f>INDEX(Input!$1:$1048576,AH$93,$C338*2+MIN($B338,2)+5)</f>
        <v>1</v>
      </c>
      <c r="AI338" s="475">
        <f>INDEX(Input!$1:$1048576,AI$93,$C338*2+MIN($B338,2)+5)
+INDEX(Scenarios!AI$121:AI$200,MATCH($B338,Scenarios!$B$121:$B$200,0))</f>
        <v>0</v>
      </c>
      <c r="AJ338" s="476">
        <f>INDEX(Input!$1:$1048576,AJ$93,$C338*2+MIN($B338,2)+5)</f>
        <v>0.27</v>
      </c>
      <c r="AK338" s="150">
        <f>ROUND(INDEX(Input!$1:$1048576,AK$93,$C337*2+MIN($B338,1)+5)+(Y338-VLOOKUP($C338*1000+1,$A:$HH,Y$92,FALSE)),0)</f>
        <v>2977</v>
      </c>
      <c r="AL338" s="150">
        <f>ROUND(INDEX(Input!$1:$1048576,AL$93,$C337*2+MIN($B338,1)+5)-(Y338-VLOOKUP($C338*1000+1,$A:$HH,Y$92,FALSE))/36,0)</f>
        <v>3395</v>
      </c>
      <c r="AM338" s="32" t="str">
        <f t="shared" si="907"/>
        <v>std/std/std/std</v>
      </c>
      <c r="AN338" s="32" t="str">
        <f t="shared" si="908"/>
        <v>$0 + 0/0/0/0.9/3.9</v>
      </c>
      <c r="AO338" s="32" t="str">
        <f t="shared" si="909"/>
        <v>0/0/0/0.9/3.9</v>
      </c>
      <c r="AP338" s="32" t="str">
        <f t="shared" si="863"/>
        <v>0/0/0.9/3.9</v>
      </c>
      <c r="AQ338" s="536">
        <f t="shared" si="862"/>
        <v>0.38882290896988003</v>
      </c>
      <c r="AR338" s="32"/>
      <c r="AS338" s="302"/>
      <c r="AT338" s="3">
        <f t="shared" si="930"/>
        <v>38</v>
      </c>
      <c r="AU338" s="41" t="s">
        <v>121</v>
      </c>
      <c r="AV338" s="41" t="s">
        <v>116</v>
      </c>
      <c r="AW338" s="41" t="str">
        <f>INDEX(Input!$1:$1048576,AW$93,$C338*2+6)</f>
        <v>Kia</v>
      </c>
      <c r="AX338" s="41" t="str">
        <f>INDEX(Input!$1:$1048576,AX$93,$C338*2+6)</f>
        <v>Kia-LR - L3</v>
      </c>
      <c r="AY338" s="41" t="str">
        <f>IF(LEN(D338)=0,"",INDEX(Input!$1:$1048576,AY$93,$C338*2+6))</f>
        <v>Compact SUV (52)</v>
      </c>
      <c r="AZ338" s="41" t="str">
        <f>INDEX(Input!$1:$1048576,AZ$93,$C338*2+6)</f>
        <v>Kia Soul</v>
      </c>
      <c r="BA338" s="3">
        <f>INDEX(Input!$1:$1048576,BA$93,$C338*2+6)</f>
        <v>2020</v>
      </c>
      <c r="BB338" s="128">
        <f>INDEX(Input!$1:$1048576,BB$93,$C338*2+6)</f>
        <v>1</v>
      </c>
      <c r="BC338" s="128">
        <f>INDEX(Input!$1:$1048576,BC$93,$C338*2+6)</f>
        <v>0.7</v>
      </c>
      <c r="BD338" s="1">
        <f>INDEX(Input!$1:$1048576,BD$93,$C338*2+6)</f>
        <v>4.4999999999999998E-2</v>
      </c>
      <c r="BE338" s="1">
        <f>INDEX(Input!$1:$1048576,BE$93,$C338*2+6)</f>
        <v>4.4999999999999998E-2</v>
      </c>
      <c r="BF338" s="1">
        <f>INDEX(Input!$1:$1048576,BF$93,$C338*2+6)</f>
        <v>0.05</v>
      </c>
      <c r="BG338" s="1">
        <f>INDEX(Input!$1:$1048576,BG$93,$C338*2+6)</f>
        <v>5.45E-2</v>
      </c>
      <c r="BH338" s="1">
        <f>INDEX(Input!$1:$1048576,BH$93,$C338*2+6)</f>
        <v>5.45E-2</v>
      </c>
      <c r="BI338" s="1">
        <f>INDEX(Input!$1:$1048576,BI$93,$C338*2+6)</f>
        <v>0.05</v>
      </c>
      <c r="BJ338" s="1">
        <f>INDEX(Input!$1:$1048576,BJ$93,$C338*2+6)</f>
        <v>0.05</v>
      </c>
      <c r="BK338" s="1">
        <f>INDEX(Input!$1:$1048576,BK$93,$C338*2+6)</f>
        <v>0.05</v>
      </c>
      <c r="BL338" s="1">
        <f>INDEX(Input!$1:$1048576,BL$93,$C338*2+6)</f>
        <v>5.5E-2</v>
      </c>
      <c r="BM338" s="1">
        <f>INDEX(Input!$1:$1048576,BM$93,$C338*2+6)</f>
        <v>0.06</v>
      </c>
      <c r="BN338" s="1">
        <f>INDEX(Input!$1:$1048576,BN$93,$C338*2+6)</f>
        <v>4.4999999999999998E-2</v>
      </c>
      <c r="BO338" s="1">
        <f>INDEX(Input!$1:$1048576,BO$93,$C338*2+6)</f>
        <v>4.4999999999999998E-2</v>
      </c>
      <c r="BP338" s="1">
        <f>INDEX(Input!$1:$1048576,BP$93,$C338*2+6)</f>
        <v>0.05</v>
      </c>
      <c r="BQ338" s="1">
        <f>INDEX(Input!$1:$1048576,BQ$93,$C338*2+6)</f>
        <v>5.45E-2</v>
      </c>
      <c r="BR338" s="1">
        <f>INDEX(Input!$1:$1048576,BR$93,$C338*2+6)</f>
        <v>5.45E-2</v>
      </c>
      <c r="BS338" s="1">
        <f>INDEX(Input!$1:$1048576,BS$93,$C338*2+6)</f>
        <v>0.05</v>
      </c>
      <c r="BT338" s="1">
        <f>INDEX(Input!$1:$1048576,BT$93,$C338*2+6)</f>
        <v>0.05</v>
      </c>
      <c r="BU338" s="1">
        <f>INDEX(Input!$1:$1048576,BU$93,$C338*2+6)</f>
        <v>0.05</v>
      </c>
      <c r="BV338" s="1">
        <f>INDEX(Input!$1:$1048576,BV$93,$C338*2+6)</f>
        <v>5.5E-2</v>
      </c>
      <c r="BW338" s="1">
        <f>INDEX(Input!$1:$1048576,BW$93,$C338*2+6)</f>
        <v>0.06</v>
      </c>
      <c r="BX338" s="127">
        <f>INDEX(Input!$1:$1048576,BX$93,$C338*2+6)</f>
        <v>19985</v>
      </c>
      <c r="BY338" s="20">
        <f>INDEX(Input!$1:$1048576,BY$93,$C338*2+6)</f>
        <v>0.1</v>
      </c>
      <c r="BZ338" s="20">
        <f>INDEX(Input!$1:$1048576,BZ$93,$C338*2+6)</f>
        <v>0.1</v>
      </c>
      <c r="CA338" s="20">
        <f>INDEX(Input!$1:$1048576,CA$93,$C338*2+6)</f>
        <v>0.1</v>
      </c>
      <c r="CB338" s="20">
        <f>INDEX(Input!$1:$1048576,CB$93,$C338*2+6)</f>
        <v>0.1</v>
      </c>
      <c r="CC338" s="20">
        <f>INDEX(Input!$1:$1048576,CC$93,$C338*2+6)</f>
        <v>0.1</v>
      </c>
      <c r="CD338" s="384">
        <f>INDEX(Input!$1:$1048576,CD$93,$C338*2+6)</f>
        <v>0.1</v>
      </c>
      <c r="CE338" s="384">
        <f>INDEX(Input!$1:$1048576,CE$93,$C338*2+6)</f>
        <v>0.1</v>
      </c>
      <c r="CF338" s="384">
        <f>INDEX(Input!$1:$1048576,CF$93,$C338*2+6)</f>
        <v>0.1</v>
      </c>
      <c r="CG338" s="384">
        <f>INDEX(Input!$1:$1048576,CG$93,$C338*2+6)</f>
        <v>0.1</v>
      </c>
      <c r="CH338" s="384">
        <f>INDEX(Input!$1:$1048576,CH$93,$C338*2+6)</f>
        <v>0.1</v>
      </c>
      <c r="CI338" s="304">
        <f t="shared" si="864"/>
        <v>2287.0236024844721</v>
      </c>
      <c r="CJ338" s="16" t="str">
        <f>INDEX(Input!$1:$1048576,CJ$93,$C338*2+6)</f>
        <v>N</v>
      </c>
      <c r="CK338" s="1" t="str">
        <f t="shared" si="865"/>
        <v>Market</v>
      </c>
      <c r="CL338" s="1" t="str">
        <f t="shared" si="866"/>
        <v>Market</v>
      </c>
      <c r="CM338" s="1" t="str">
        <f t="shared" si="867"/>
        <v>Market</v>
      </c>
      <c r="CN338" s="1" t="str">
        <f t="shared" si="868"/>
        <v>Market</v>
      </c>
      <c r="CO338" s="1" t="str">
        <f t="shared" si="869"/>
        <v>Market</v>
      </c>
      <c r="CP338" s="304">
        <f t="shared" si="870"/>
        <v>500</v>
      </c>
      <c r="CQ338" s="1">
        <f t="shared" si="871"/>
        <v>0</v>
      </c>
      <c r="CR338" s="1">
        <f t="shared" si="872"/>
        <v>0</v>
      </c>
      <c r="CS338" s="1">
        <f t="shared" si="873"/>
        <v>0</v>
      </c>
      <c r="CT338" s="1">
        <f t="shared" si="874"/>
        <v>8.9999999999999993E-3</v>
      </c>
      <c r="CU338" s="1">
        <f t="shared" si="875"/>
        <v>3.9E-2</v>
      </c>
      <c r="CV338" s="304">
        <f t="shared" si="876"/>
        <v>1554.9999999999991</v>
      </c>
      <c r="CW338" s="20" t="s">
        <v>122</v>
      </c>
      <c r="CX338" s="20" t="s">
        <v>122</v>
      </c>
      <c r="CY338" s="20" t="s">
        <v>122</v>
      </c>
      <c r="CZ338" s="20" t="s">
        <v>122</v>
      </c>
      <c r="DA338" s="20" t="s">
        <v>122</v>
      </c>
      <c r="DB338" s="503">
        <f t="shared" si="877"/>
        <v>0</v>
      </c>
      <c r="DC338" s="127">
        <v>0</v>
      </c>
      <c r="DD338" s="127">
        <v>0</v>
      </c>
      <c r="DE338" s="127">
        <v>0</v>
      </c>
      <c r="DF338" s="127">
        <v>0</v>
      </c>
      <c r="DG338" s="127">
        <v>0</v>
      </c>
      <c r="DH338" s="127">
        <v>0</v>
      </c>
      <c r="DI338" s="127">
        <v>0</v>
      </c>
      <c r="DJ338" s="127">
        <v>0</v>
      </c>
      <c r="DK338" s="127">
        <v>0</v>
      </c>
      <c r="DL338" s="127">
        <v>0</v>
      </c>
      <c r="DM338" s="304">
        <f>INDEX(Input!$1:$1048576,DM$93,$C338*2+6)</f>
        <v>21036.84210526316</v>
      </c>
      <c r="DN338" s="20">
        <v>0</v>
      </c>
      <c r="DO338" s="20">
        <v>0</v>
      </c>
      <c r="DP338" s="20">
        <v>0</v>
      </c>
      <c r="DQ338" s="20">
        <v>0</v>
      </c>
      <c r="DR338" s="20">
        <v>0</v>
      </c>
      <c r="DS338" s="20">
        <f>INDEX(Input!$1:$1048576,DS$93,$C338*2+6)</f>
        <v>0.6</v>
      </c>
      <c r="DT338" s="20">
        <f>INDEX(Input!$1:$1048576,DT$93,$C338*2+6)</f>
        <v>0.55000000000000004</v>
      </c>
      <c r="DU338" s="20">
        <f>INDEX(Input!$1:$1048576,DU$93,$C338*2+6)</f>
        <v>0.52</v>
      </c>
      <c r="DV338" s="20">
        <f>INDEX(Input!$1:$1048576,DV$93,$C338*2+6)</f>
        <v>0.5</v>
      </c>
      <c r="DW338" s="20">
        <f>INDEX(Input!$1:$1048576,DW$93,$C338*2+6)</f>
        <v>0.45</v>
      </c>
      <c r="DX338" s="20"/>
      <c r="DY338" s="7">
        <v>0.11912696221772319</v>
      </c>
      <c r="DZ338" s="7">
        <v>0</v>
      </c>
      <c r="EA338" s="7">
        <v>0.74074995511204544</v>
      </c>
      <c r="EB338" s="7">
        <v>0</v>
      </c>
      <c r="EC338" s="7">
        <v>0</v>
      </c>
      <c r="ED338" s="7">
        <v>0</v>
      </c>
      <c r="EE338" s="7">
        <v>0</v>
      </c>
      <c r="EF338" s="7">
        <v>0</v>
      </c>
      <c r="EG338" s="7">
        <v>0</v>
      </c>
      <c r="EH338" s="7">
        <v>9.435912054854197E-3</v>
      </c>
      <c r="EI338" s="7">
        <v>2.6426471816431648E-2</v>
      </c>
      <c r="EJ338" s="7">
        <v>0.21298985468070089</v>
      </c>
      <c r="EK338" s="7">
        <v>0.640113615935477</v>
      </c>
      <c r="EL338" s="7">
        <v>0.11103414551253611</v>
      </c>
      <c r="EM338" s="7">
        <v>3.9444276016413683E-2</v>
      </c>
      <c r="EN338" s="7">
        <v>6.2867775856915553E-2</v>
      </c>
      <c r="EO338" s="7">
        <v>0.78072408892163847</v>
      </c>
      <c r="EP338" s="7">
        <v>6.4307179607197534E-2</v>
      </c>
      <c r="EQ338" s="7">
        <v>6.0199181432016836E-2</v>
      </c>
      <c r="ER338" s="7">
        <v>3.1901774182231599E-2</v>
      </c>
      <c r="ES338" s="7">
        <v>0.10067880665381765</v>
      </c>
      <c r="ET338" s="7">
        <v>0.14012308267023135</v>
      </c>
      <c r="EU338" s="6">
        <v>2611</v>
      </c>
      <c r="EV338" s="6">
        <v>0</v>
      </c>
      <c r="EW338" s="6">
        <v>2611</v>
      </c>
      <c r="EX338" s="6">
        <v>0</v>
      </c>
      <c r="EY338" s="6">
        <v>2652.4711499820773</v>
      </c>
      <c r="EZ338" s="6">
        <v>2289</v>
      </c>
      <c r="FA338" s="6">
        <v>0</v>
      </c>
      <c r="FB338" s="6">
        <v>0</v>
      </c>
      <c r="FC338" s="6">
        <v>0</v>
      </c>
      <c r="FD338" s="6">
        <v>0</v>
      </c>
      <c r="FE338" s="6">
        <v>0</v>
      </c>
      <c r="FF338" s="6">
        <v>0</v>
      </c>
      <c r="FG338" s="6">
        <v>0</v>
      </c>
      <c r="FH338" s="6">
        <v>1172.0144366558222</v>
      </c>
      <c r="FI338" s="6">
        <v>1553.9796069512402</v>
      </c>
      <c r="FJ338" s="6">
        <v>2101.2110117447405</v>
      </c>
      <c r="FK338" s="6">
        <v>2251.3078348034674</v>
      </c>
      <c r="FL338" s="6">
        <v>907.07682140966335</v>
      </c>
      <c r="FM338" s="6">
        <v>2041.4711499820773</v>
      </c>
      <c r="FN338" s="6">
        <v>0</v>
      </c>
      <c r="FO338" s="6">
        <v>0</v>
      </c>
      <c r="FP338" s="6">
        <v>0</v>
      </c>
      <c r="FQ338" s="6">
        <v>0</v>
      </c>
      <c r="FR338" s="6">
        <v>0</v>
      </c>
      <c r="FS338" s="6">
        <v>0</v>
      </c>
      <c r="FT338" s="7">
        <v>0.85987691732976868</v>
      </c>
      <c r="FU338" s="7">
        <v>3.9444276016413683E-2</v>
      </c>
      <c r="FV338" s="7">
        <v>0.10067880665381765</v>
      </c>
      <c r="FW338" s="6">
        <v>2611</v>
      </c>
      <c r="FX338" s="6">
        <v>2652.4711499820773</v>
      </c>
      <c r="FY338" s="6">
        <v>2289</v>
      </c>
      <c r="FZ338" s="6">
        <v>1858.9243755539039</v>
      </c>
      <c r="GA338" s="6">
        <v>2580.2172237440818</v>
      </c>
      <c r="GB338" s="6">
        <v>17404.782776255917</v>
      </c>
      <c r="GC338" s="7">
        <v>2.9156573141622111E-2</v>
      </c>
      <c r="GD338" s="7">
        <v>3.2575876627325015E-2</v>
      </c>
      <c r="GE338" s="7"/>
      <c r="GF338" s="7"/>
      <c r="GG338" s="7">
        <v>0.11727384659007538</v>
      </c>
      <c r="GH338" s="42">
        <v>3.2493290762321627</v>
      </c>
      <c r="GI338" s="6">
        <v>8730.7176904970765</v>
      </c>
      <c r="GJ338" s="14">
        <v>0.50394797582841722</v>
      </c>
      <c r="GK338" s="14">
        <v>0.50887573065309732</v>
      </c>
      <c r="GL338" s="14">
        <v>0.49605202417158278</v>
      </c>
      <c r="GM338" s="14">
        <v>0.49112426934690245</v>
      </c>
      <c r="GO338" s="5">
        <v>343.14810671672558</v>
      </c>
      <c r="GP338" s="5">
        <v>293.33520778489498</v>
      </c>
      <c r="GQ338" s="5">
        <v>535.04305713031317</v>
      </c>
      <c r="GR338" s="5">
        <v>410.15490233172511</v>
      </c>
      <c r="GS338" s="5">
        <v>339.42744393800166</v>
      </c>
      <c r="GT338" s="5">
        <v>293.4407446948278</v>
      </c>
      <c r="GU338" s="5">
        <v>258.04012322764959</v>
      </c>
      <c r="GV338" s="39" t="s">
        <v>392</v>
      </c>
      <c r="GW338" s="5">
        <v>482.65277777777777</v>
      </c>
      <c r="GX338" s="5">
        <v>361.98958333333331</v>
      </c>
      <c r="GY338" s="5">
        <v>289.59166666666664</v>
      </c>
      <c r="GZ338" s="5">
        <v>247.99130496280273</v>
      </c>
      <c r="HA338" s="5">
        <v>236.70336205047303</v>
      </c>
      <c r="HB338" s="39">
        <v>260.82523017153369</v>
      </c>
      <c r="HC338" s="5">
        <v>187.140625</v>
      </c>
      <c r="HD338" s="5">
        <v>171.45330774853798</v>
      </c>
      <c r="HE338" s="5">
        <v>177.50180921052629</v>
      </c>
      <c r="HF338" s="5">
        <v>167.9756304824561</v>
      </c>
      <c r="HG338" s="5">
        <v>166.75888157894735</v>
      </c>
      <c r="HH338" s="39">
        <v>172.46938271488941</v>
      </c>
      <c r="HI338" s="16"/>
      <c r="HJ338" s="19" t="str">
        <f t="shared" si="984"/>
        <v>On</v>
      </c>
      <c r="HK338" s="1" t="str">
        <f t="shared" si="984"/>
        <v>On</v>
      </c>
      <c r="HL338" s="16"/>
      <c r="HM338" s="639">
        <f t="shared" si="878"/>
        <v>2.2758057894877178E-2</v>
      </c>
      <c r="HN338" s="639">
        <f t="shared" si="879"/>
        <v>1.416759231746561E-3</v>
      </c>
      <c r="HO338" s="639">
        <f t="shared" si="880"/>
        <v>4.5732401537654987E-3</v>
      </c>
      <c r="HP338" s="644">
        <f>(FT338*$GD338-HM338)/$JF338*INDEX(Input!$1:$1048576,$JG$93,$C338*2+6)</f>
        <v>294.19832263044572</v>
      </c>
      <c r="HQ338" s="644">
        <f>(FU338*$GD338-HN338)/$JF338*INDEX(Input!$1:$1048576,$JG$93,$C338*2+6)</f>
        <v>-7.3828311835646163</v>
      </c>
      <c r="HR338" s="644">
        <f>(FV338*$GD338-HO338)/$JF338*INDEX(Input!$1:$1048576,$JG$93,$C338*2+6)</f>
        <v>-72.443122265238799</v>
      </c>
      <c r="HS338" s="644">
        <f t="shared" si="985"/>
        <v>-110.8996863633936</v>
      </c>
      <c r="HT338" s="644">
        <f t="shared" si="882"/>
        <v>42.707040163288269</v>
      </c>
      <c r="HU338" s="644">
        <f t="shared" si="883"/>
        <v>24.318854381559259</v>
      </c>
      <c r="HV338" s="648">
        <f t="shared" si="884"/>
        <v>0</v>
      </c>
      <c r="HW338" s="648">
        <f t="shared" si="885"/>
        <v>0</v>
      </c>
      <c r="HX338" s="648">
        <f t="shared" si="886"/>
        <v>0</v>
      </c>
      <c r="HY338" s="644">
        <f>INDEX(Input!$1:$1048576,HY$93,$C338*2+6)*INDEX(Input!$1:$1048576,$JG$93,$C338*2+6)</f>
        <v>509.00000000000006</v>
      </c>
      <c r="HZ338" s="644">
        <f>INDEX(Input!$1:$1048576,HZ$93,$C338*2+6)*INDEX(Input!$1:$1048576,$JG$93,$C338*2+6)</f>
        <v>844</v>
      </c>
      <c r="IA338" s="644">
        <f>INDEX(Input!$1:$1048576,IA$93,$C338*2+6)*INDEX(Input!$1:$1048576,$JG$93,$C338*2+6)</f>
        <v>257</v>
      </c>
      <c r="IB338" s="644">
        <f t="shared" si="910"/>
        <v>692.29863626705207</v>
      </c>
      <c r="IC338" s="644">
        <f t="shared" si="911"/>
        <v>879.32420897972372</v>
      </c>
      <c r="ID338" s="644">
        <f>IF(AND(INDEX(Input!$1:$1048576,IA$93,$C338*2+7)="TOS",Y338&lt;=INDEX(Y:Y,MATCH(C338*1000+2,A:A))),0,1)*MAX(IA338+HR338+HU338+HX338,0%)</f>
        <v>208.87573211632045</v>
      </c>
      <c r="IE338" s="128">
        <f t="shared" si="986"/>
        <v>0.38882290896988003</v>
      </c>
      <c r="IF338" s="128">
        <f t="shared" si="977"/>
        <v>0.49386403345628932</v>
      </c>
      <c r="IG338" s="128">
        <f t="shared" si="888"/>
        <v>0.11731305757383063</v>
      </c>
      <c r="IH338" s="21"/>
      <c r="II338" s="19">
        <f t="shared" si="889"/>
        <v>1410.4999999999998</v>
      </c>
      <c r="IJ338" s="19">
        <f t="shared" si="890"/>
        <v>2134.9731585778086</v>
      </c>
      <c r="IK338" s="19">
        <f t="shared" si="891"/>
        <v>2103.5</v>
      </c>
      <c r="IL338" s="19">
        <f t="shared" si="913"/>
        <v>1200.5000000000002</v>
      </c>
      <c r="IM338" s="19">
        <f t="shared" si="892"/>
        <v>517.49799140426876</v>
      </c>
      <c r="IN338" s="19">
        <f t="shared" si="893"/>
        <v>185.5</v>
      </c>
      <c r="IO338" s="39">
        <f t="shared" si="894"/>
        <v>0</v>
      </c>
      <c r="IP338" s="39">
        <f t="shared" si="895"/>
        <v>0</v>
      </c>
      <c r="IQ338" s="39">
        <f t="shared" si="896"/>
        <v>0</v>
      </c>
      <c r="IR338" s="39">
        <v>0</v>
      </c>
      <c r="IS338" s="39">
        <v>0</v>
      </c>
      <c r="IT338" s="39">
        <v>0</v>
      </c>
      <c r="IU338" s="39">
        <v>0</v>
      </c>
      <c r="IV338" s="39">
        <v>0</v>
      </c>
      <c r="IW338" s="39">
        <v>0</v>
      </c>
      <c r="IX338" s="39">
        <f>INDEX(Input!$1:$1048576,IX$93,$C338*2+6)+INDEX(Input!$1:$1048576,IX$94,$C338*2+6)</f>
        <v>1611</v>
      </c>
      <c r="IY338" s="39">
        <f>INDEX(Input!$1:$1048576,IY$93,$C338*2+6)+INDEX(Input!$1:$1048576,IY$94,$C338*2+6)</f>
        <v>2471.0624533823611</v>
      </c>
      <c r="IZ338" s="39">
        <f>INDEX(Input!$1:$1048576,IZ$93,$C338*2+6)+INDEX(Input!$1:$1048576,IZ$94,$C338*2+6)</f>
        <v>3994.7164157747857</v>
      </c>
      <c r="JA338" s="19">
        <f t="shared" si="914"/>
        <v>2811.5</v>
      </c>
      <c r="JB338" s="19">
        <f t="shared" si="915"/>
        <v>2988.5604447866299</v>
      </c>
      <c r="JC338" s="19">
        <f t="shared" si="916"/>
        <v>4180.2164157747857</v>
      </c>
      <c r="JD338" s="19">
        <f t="shared" si="917"/>
        <v>3059.5120931139245</v>
      </c>
      <c r="JE338" s="21"/>
      <c r="JF338" s="1">
        <f t="shared" si="897"/>
        <v>2.8748057280389237E-2</v>
      </c>
      <c r="JG338" s="15">
        <f>INDEX(Input!$1:$1048576,JG$93,$C338*2+6)/(1+VLOOKUP(C338*1000+INDEX(Input!$1:$1048576,JG$93+1,$C338*2+6),$A:$KK,$JK$92,FALSE))</f>
        <v>1610</v>
      </c>
      <c r="JH338" s="1">
        <f t="shared" si="918"/>
        <v>0.13315053986437408</v>
      </c>
      <c r="JI338" s="1">
        <f t="shared" si="919"/>
        <v>-2.7250802371767743E-2</v>
      </c>
      <c r="JJ338" s="1">
        <f t="shared" si="978"/>
        <v>0</v>
      </c>
      <c r="JK338" s="1">
        <f t="shared" si="979"/>
        <v>0.10589973749260634</v>
      </c>
      <c r="JL338" s="15">
        <f t="shared" si="922"/>
        <v>170.49857736309622</v>
      </c>
      <c r="JM338" s="15">
        <f t="shared" si="948"/>
        <v>1780.4985773630963</v>
      </c>
      <c r="JN338" s="21"/>
      <c r="JO338" s="19">
        <f>INDEX(Input!$1:$1048576,JO$93,$C338*2+6)</f>
        <v>5995.5</v>
      </c>
      <c r="JP338" s="19">
        <f>INDEX(Input!$1:$1048576,JP$93,$C338*2+6)</f>
        <v>2442.3713226762939</v>
      </c>
      <c r="JQ338" s="39">
        <f t="shared" si="934"/>
        <v>2935.9879068860755</v>
      </c>
      <c r="JR338" s="39">
        <f t="shared" si="951"/>
        <v>617.14077043763064</v>
      </c>
      <c r="JS338" s="39">
        <f t="shared" si="936"/>
        <v>5.4474569292145318</v>
      </c>
      <c r="JT338" s="39">
        <f t="shared" si="924"/>
        <v>1.5152390997056984</v>
      </c>
      <c r="JU338" s="385">
        <f>(JQ338*JM338-INDEX(Input!$1:$1048576,Input!A$18,$C338*2+6)*JL338*INDEX(Input!$1:$1048576,Input!A$19,$C338*2+6))/1000000</f>
        <v>5.2275222913659123</v>
      </c>
      <c r="JV338" s="39">
        <f t="shared" si="958"/>
        <v>-0.49301487912525488</v>
      </c>
      <c r="JW338" s="1">
        <f t="shared" si="949"/>
        <v>-8.6183318879287082E-2</v>
      </c>
      <c r="JX338" s="19">
        <f t="shared" si="940"/>
        <v>8887.1069960825753</v>
      </c>
      <c r="JZ338" s="341"/>
      <c r="KA338" s="342"/>
      <c r="KB338" s="469">
        <f t="shared" si="937"/>
        <v>2.5190675447988795</v>
      </c>
      <c r="KI338" s="473">
        <f t="shared" si="987"/>
        <v>183.29863626705202</v>
      </c>
      <c r="KJ338" s="473">
        <f t="shared" si="988"/>
        <v>35.324208979723721</v>
      </c>
      <c r="KK338" s="473">
        <f t="shared" si="926"/>
        <v>-48.124267883679551</v>
      </c>
      <c r="KN338" s="544">
        <f t="shared" si="941"/>
        <v>3002</v>
      </c>
      <c r="KO338" s="541">
        <f t="shared" si="901"/>
        <v>7.3151038997451012E-2</v>
      </c>
      <c r="KP338" s="546">
        <f t="shared" si="902"/>
        <v>545.35281244767975</v>
      </c>
      <c r="KQ338" s="546">
        <f t="shared" si="903"/>
        <v>423.59866772522628</v>
      </c>
      <c r="KR338" s="548">
        <f t="shared" si="904"/>
        <v>2.327124165535134</v>
      </c>
      <c r="KS338" s="548">
        <f t="shared" si="905"/>
        <v>2.9960049577227861</v>
      </c>
      <c r="KT338" s="473">
        <f t="shared" si="939"/>
        <v>1026.1618045255443</v>
      </c>
      <c r="KU338" s="663">
        <f t="shared" si="927"/>
        <v>4.8018086471240382</v>
      </c>
      <c r="KV338" s="117"/>
    </row>
    <row r="339" spans="1:308" s="26" customFormat="1" ht="15">
      <c r="A339" s="561">
        <f t="shared" si="906"/>
        <v>3039</v>
      </c>
      <c r="B339" s="561">
        <f t="shared" si="928"/>
        <v>39</v>
      </c>
      <c r="C339" s="561">
        <f t="shared" si="929"/>
        <v>3</v>
      </c>
      <c r="D339" s="561" t="str">
        <f t="shared" si="974"/>
        <v xml:space="preserve">250 CC, 360 Lease, </v>
      </c>
      <c r="E339" s="475">
        <f>INDEX(Input!$1:$1048576,E$93,$C339*2+MIN($B339,2)+5)
+INDEX(Scenarios!E$121:E$200,MATCH($B339,Scenarios!$B$121:$B$200,0))</f>
        <v>1537.0236024844721</v>
      </c>
      <c r="F339" s="475">
        <f>INDEX(Input!$1:$1048576,F$93,$C339*2+MIN($B339,2)+5)
+INDEX(Scenarios!F$121:F$200,MATCH($B339,Scenarios!$B$121:$B$200,0))</f>
        <v>0</v>
      </c>
      <c r="G339" s="475">
        <f>INDEX(Input!$1:$1048576,G$93,$C339*2+MIN($B339,2)+5)
+INDEX(Scenarios!G$121:G$200,MATCH($B339,Scenarios!$B$121:$B$200,0))</f>
        <v>0</v>
      </c>
      <c r="H339" s="475">
        <f>INDEX(Input!$1:$1048576,H$93,$C339*2+MIN($B339,2)+5)
+INDEX(Scenarios!H$121:H$200,MATCH($B339,Scenarios!$B$121:$B$200,0))</f>
        <v>0</v>
      </c>
      <c r="I339" s="476">
        <f>INDEX(Input!$1:$1048576,I$93,$C339*2+MIN($B339,2)+5)</f>
        <v>0.7</v>
      </c>
      <c r="J339" s="476" t="str">
        <f>INDEX(Input!$1:$1048576,J$93,$C339*2+MIN($B339,2)+5)</f>
        <v>Market</v>
      </c>
      <c r="K339" s="476" t="str">
        <f>INDEX(Input!$1:$1048576,K$93,$C339*2+MIN($B339,2)+5)</f>
        <v>Market</v>
      </c>
      <c r="L339" s="476" t="str">
        <f>INDEX(Input!$1:$1048576,L$93,$C339*2+MIN($B339,2)+5)</f>
        <v>Market</v>
      </c>
      <c r="M339" s="476" t="str">
        <f>INDEX(Input!$1:$1048576,M$93,$C339*2+MIN($B339,2)+5)</f>
        <v>Market</v>
      </c>
      <c r="N339" s="476" t="str">
        <f>INDEX(Input!$1:$1048576,N$93,$C339*2+MIN($B339,2)+5)</f>
        <v>Market</v>
      </c>
      <c r="O339" s="476" t="str">
        <f>INDEX(Input!$1:$1048576,O$93,$C339*2+MIN($B339,2)+5)</f>
        <v>Market</v>
      </c>
      <c r="P339" s="476" t="str">
        <f>INDEX(Input!$1:$1048576,P$93,$C339*2+MIN($B339,2)+5)</f>
        <v>N</v>
      </c>
      <c r="Q339" s="477">
        <f>INDEX(Input!$1:$1048576,Q$93,$C339*2+MIN($B339,2)+5)
+INDEX(Scenarios!Q$121:Q$200,MATCH($B339,Scenarios!$B$121:$B$200,0))</f>
        <v>0</v>
      </c>
      <c r="R339" s="478">
        <f>IFERROR(MAX(0,INDEX(Input!$1:$1048576,R$93,$C339*2+MIN($B339,2)+5)
+INDEX(Scenarios!R$121:R$200,MATCH($B339,Scenarios!$B$121:$B$200,0)),),"Market")</f>
        <v>0</v>
      </c>
      <c r="S339" s="478">
        <f>IFERROR(MAX(0,INDEX(Input!$1:$1048576,S$93,$C339*2+MIN($B339,2)+5)
+INDEX(Scenarios!S$121:S$200,MATCH($B339,Scenarios!$B$121:$B$200,0)),),"Market")</f>
        <v>0</v>
      </c>
      <c r="T339" s="478">
        <f>IFERROR(MAX(0,INDEX(Input!$1:$1048576,T$93,$C339*2+MIN($B339,2)+5)
+INDEX(Scenarios!T$121:T$200,MATCH($B339,Scenarios!$B$121:$B$200,0)),),"Market")</f>
        <v>0</v>
      </c>
      <c r="U339" s="478">
        <f>IFERROR(MAX(0,INDEX(Input!$1:$1048576,U$93,$C339*2+MIN($B339,2)+5)
+INDEX(Scenarios!U$121:U$200,MATCH($B339,Scenarios!$B$121:$B$200,0)),),"Market")</f>
        <v>0</v>
      </c>
      <c r="V339" s="478">
        <f>IFERROR(MAX(0,INDEX(Input!$1:$1048576,V$93,$C339*2+MIN($B339,2)+5)
+INDEX(Scenarios!V$121:V$200,MATCH($B339,Scenarios!$B$121:$B$200,0)),),"Market")</f>
        <v>1.9E-2</v>
      </c>
      <c r="W339" s="885">
        <f>IFERROR(MAX(0,INDEX(Input!$1:$1048576,W$93,$C339*2+MIN($B339,2)+5)-0%,),"Market")</f>
        <v>3.9E-2</v>
      </c>
      <c r="X339" s="476" t="str">
        <f>INDEX(Input!$1:$1048576,X$93,$C339*2+MIN($B339,2)+5)</f>
        <v>Y</v>
      </c>
      <c r="Y339" s="475">
        <f>INDEX(Input!$1:$1048576,Y$93,$C339*2+MIN($B339,2)+5)
++INDEX(Scenarios!Y$121:Y$200,MATCH($B339,Scenarios!$B$121:$B$200,0))</f>
        <v>1914.9999999999991</v>
      </c>
      <c r="Z339" s="477">
        <f>INDEX(Input!$1:$1048576,Z$93,$C339*2+MIN($B339,2)+5)
+INDEX(Scenarios!Z$121:Z$200,MATCH($B339,Scenarios!$B$121:$B$200,0))</f>
        <v>0</v>
      </c>
      <c r="AA339" s="475">
        <f>INDEX(Input!$1:$1048576,AA$93,$C339*2+MIN($B339,2)+5)
+INDEX(Scenarios!AA$121:AA$200,MATCH($B339,Scenarios!$B$121:$B$200,0))</f>
        <v>0</v>
      </c>
      <c r="AB339" s="476">
        <f>INDEX(Input!$1:$1048576,AB$93,$C339*2+MIN($B339,2)+5)</f>
        <v>0.27</v>
      </c>
      <c r="AC339" s="475">
        <f>INDEX(Input!$1:$1048576,AC$93,$C339*2+MIN($B339,2)+5)
+INDEX(Scenarios!AC$121:AC$200,MATCH($B339,Scenarios!$B$121:$B$200,0))</f>
        <v>0</v>
      </c>
      <c r="AD339" s="476">
        <f>INDEX(Input!$1:$1048576,AD$93,$C339*2+MIN($B339,2)+5)</f>
        <v>0.27</v>
      </c>
      <c r="AE339" s="475">
        <f>INDEX(Input!$1:$1048576,AE$93,$C339*2+MIN($B339,2)+5)
+INDEX(Scenarios!AE$121:AE$200,MATCH($B339,Scenarios!$B$121:$B$200,0))</f>
        <v>0</v>
      </c>
      <c r="AF339" s="476">
        <f>INDEX(Input!$1:$1048576,AF$93,$C339*2+MIN($B339,2)+5)</f>
        <v>0.68200000000000005</v>
      </c>
      <c r="AG339" s="475">
        <f>INDEX(Input!$1:$1048576,AG$93,$C339*2+MIN($B339,2)+5)
+INDEX(Scenarios!AG$121:AG$200,MATCH($B339,Scenarios!$B$121:$B$200,0))</f>
        <v>500</v>
      </c>
      <c r="AH339" s="476">
        <f>INDEX(Input!$1:$1048576,AH$93,$C339*2+MIN($B339,2)+5)</f>
        <v>1</v>
      </c>
      <c r="AI339" s="475">
        <f>INDEX(Input!$1:$1048576,AI$93,$C339*2+MIN($B339,2)+5)
+INDEX(Scenarios!AI$121:AI$200,MATCH($B339,Scenarios!$B$121:$B$200,0))</f>
        <v>0</v>
      </c>
      <c r="AJ339" s="476">
        <f>INDEX(Input!$1:$1048576,AJ$93,$C339*2+MIN($B339,2)+5)</f>
        <v>0.27</v>
      </c>
      <c r="AK339" s="150">
        <f>ROUND(INDEX(Input!$1:$1048576,AK$93,$C338*2+MIN($B339,1)+5)+(Y339-VLOOKUP($C339*1000+1,$A:$HH,Y$92,FALSE)),0)</f>
        <v>3337</v>
      </c>
      <c r="AL339" s="150">
        <f>ROUND(INDEX(Input!$1:$1048576,AL$93,$C338*2+MIN($B339,1)+5)-(Y339-VLOOKUP($C339*1000+1,$A:$HH,Y$92,FALSE))/36,0)</f>
        <v>3385</v>
      </c>
      <c r="AM339" s="32" t="str">
        <f t="shared" si="907"/>
        <v>std/std/std/std</v>
      </c>
      <c r="AN339" s="32" t="str">
        <f t="shared" si="908"/>
        <v>$0 + 0/0/0/1.9/3.9</v>
      </c>
      <c r="AO339" s="32" t="str">
        <f t="shared" si="909"/>
        <v>0/0/0/1.9/3.9</v>
      </c>
      <c r="AP339" s="32" t="str">
        <f t="shared" si="863"/>
        <v>0/0.9/1.9/3.9</v>
      </c>
      <c r="AQ339" s="536">
        <f t="shared" si="862"/>
        <v>0.31034422017624091</v>
      </c>
      <c r="AR339" s="32"/>
      <c r="AS339" s="302"/>
      <c r="AT339" s="3">
        <f t="shared" si="930"/>
        <v>39</v>
      </c>
      <c r="AU339" s="41" t="s">
        <v>121</v>
      </c>
      <c r="AV339" s="41" t="s">
        <v>116</v>
      </c>
      <c r="AW339" s="41" t="str">
        <f>INDEX(Input!$1:$1048576,AW$93,$C339*2+6)</f>
        <v>Kia</v>
      </c>
      <c r="AX339" s="41" t="str">
        <f>INDEX(Input!$1:$1048576,AX$93,$C339*2+6)</f>
        <v>Kia-LR - L3</v>
      </c>
      <c r="AY339" s="41" t="str">
        <f>IF(LEN(D339)=0,"",INDEX(Input!$1:$1048576,AY$93,$C339*2+6))</f>
        <v>Compact SUV (52)</v>
      </c>
      <c r="AZ339" s="41" t="str">
        <f>INDEX(Input!$1:$1048576,AZ$93,$C339*2+6)</f>
        <v>Kia Soul</v>
      </c>
      <c r="BA339" s="3">
        <f>INDEX(Input!$1:$1048576,BA$93,$C339*2+6)</f>
        <v>2020</v>
      </c>
      <c r="BB339" s="128">
        <f>INDEX(Input!$1:$1048576,BB$93,$C339*2+6)</f>
        <v>1</v>
      </c>
      <c r="BC339" s="128">
        <f>INDEX(Input!$1:$1048576,BC$93,$C339*2+6)</f>
        <v>0.7</v>
      </c>
      <c r="BD339" s="1">
        <f>INDEX(Input!$1:$1048576,BD$93,$C339*2+6)</f>
        <v>4.4999999999999998E-2</v>
      </c>
      <c r="BE339" s="1">
        <f>INDEX(Input!$1:$1048576,BE$93,$C339*2+6)</f>
        <v>4.4999999999999998E-2</v>
      </c>
      <c r="BF339" s="1">
        <f>INDEX(Input!$1:$1048576,BF$93,$C339*2+6)</f>
        <v>0.05</v>
      </c>
      <c r="BG339" s="1">
        <f>INDEX(Input!$1:$1048576,BG$93,$C339*2+6)</f>
        <v>5.45E-2</v>
      </c>
      <c r="BH339" s="1">
        <f>INDEX(Input!$1:$1048576,BH$93,$C339*2+6)</f>
        <v>5.45E-2</v>
      </c>
      <c r="BI339" s="1">
        <f>INDEX(Input!$1:$1048576,BI$93,$C339*2+6)</f>
        <v>0.05</v>
      </c>
      <c r="BJ339" s="1">
        <f>INDEX(Input!$1:$1048576,BJ$93,$C339*2+6)</f>
        <v>0.05</v>
      </c>
      <c r="BK339" s="1">
        <f>INDEX(Input!$1:$1048576,BK$93,$C339*2+6)</f>
        <v>0.05</v>
      </c>
      <c r="BL339" s="1">
        <f>INDEX(Input!$1:$1048576,BL$93,$C339*2+6)</f>
        <v>5.5E-2</v>
      </c>
      <c r="BM339" s="1">
        <f>INDEX(Input!$1:$1048576,BM$93,$C339*2+6)</f>
        <v>0.06</v>
      </c>
      <c r="BN339" s="1">
        <f>INDEX(Input!$1:$1048576,BN$93,$C339*2+6)</f>
        <v>4.4999999999999998E-2</v>
      </c>
      <c r="BO339" s="1">
        <f>INDEX(Input!$1:$1048576,BO$93,$C339*2+6)</f>
        <v>4.4999999999999998E-2</v>
      </c>
      <c r="BP339" s="1">
        <f>INDEX(Input!$1:$1048576,BP$93,$C339*2+6)</f>
        <v>0.05</v>
      </c>
      <c r="BQ339" s="1">
        <f>INDEX(Input!$1:$1048576,BQ$93,$C339*2+6)</f>
        <v>5.45E-2</v>
      </c>
      <c r="BR339" s="1">
        <f>INDEX(Input!$1:$1048576,BR$93,$C339*2+6)</f>
        <v>5.45E-2</v>
      </c>
      <c r="BS339" s="1">
        <f>INDEX(Input!$1:$1048576,BS$93,$C339*2+6)</f>
        <v>0.05</v>
      </c>
      <c r="BT339" s="1">
        <f>INDEX(Input!$1:$1048576,BT$93,$C339*2+6)</f>
        <v>0.05</v>
      </c>
      <c r="BU339" s="1">
        <f>INDEX(Input!$1:$1048576,BU$93,$C339*2+6)</f>
        <v>0.05</v>
      </c>
      <c r="BV339" s="1">
        <f>INDEX(Input!$1:$1048576,BV$93,$C339*2+6)</f>
        <v>5.5E-2</v>
      </c>
      <c r="BW339" s="1">
        <f>INDEX(Input!$1:$1048576,BW$93,$C339*2+6)</f>
        <v>0.06</v>
      </c>
      <c r="BX339" s="127">
        <f>INDEX(Input!$1:$1048576,BX$93,$C339*2+6)</f>
        <v>19985</v>
      </c>
      <c r="BY339" s="20">
        <f>INDEX(Input!$1:$1048576,BY$93,$C339*2+6)</f>
        <v>0.1</v>
      </c>
      <c r="BZ339" s="20">
        <f>INDEX(Input!$1:$1048576,BZ$93,$C339*2+6)</f>
        <v>0.1</v>
      </c>
      <c r="CA339" s="20">
        <f>INDEX(Input!$1:$1048576,CA$93,$C339*2+6)</f>
        <v>0.1</v>
      </c>
      <c r="CB339" s="20">
        <f>INDEX(Input!$1:$1048576,CB$93,$C339*2+6)</f>
        <v>0.1</v>
      </c>
      <c r="CC339" s="20">
        <f>INDEX(Input!$1:$1048576,CC$93,$C339*2+6)</f>
        <v>0.1</v>
      </c>
      <c r="CD339" s="384">
        <f>INDEX(Input!$1:$1048576,CD$93,$C339*2+6)</f>
        <v>0.1</v>
      </c>
      <c r="CE339" s="384">
        <f>INDEX(Input!$1:$1048576,CE$93,$C339*2+6)</f>
        <v>0.1</v>
      </c>
      <c r="CF339" s="384">
        <f>INDEX(Input!$1:$1048576,CF$93,$C339*2+6)</f>
        <v>0.1</v>
      </c>
      <c r="CG339" s="384">
        <f>INDEX(Input!$1:$1048576,CG$93,$C339*2+6)</f>
        <v>0.1</v>
      </c>
      <c r="CH339" s="384">
        <f>INDEX(Input!$1:$1048576,CH$93,$C339*2+6)</f>
        <v>0.1</v>
      </c>
      <c r="CI339" s="304">
        <f t="shared" si="864"/>
        <v>1537.0236024844721</v>
      </c>
      <c r="CJ339" s="16" t="str">
        <f>INDEX(Input!$1:$1048576,CJ$93,$C339*2+6)</f>
        <v>N</v>
      </c>
      <c r="CK339" s="1" t="str">
        <f t="shared" si="865"/>
        <v>Market</v>
      </c>
      <c r="CL339" s="1" t="str">
        <f t="shared" si="866"/>
        <v>Market</v>
      </c>
      <c r="CM339" s="1" t="str">
        <f t="shared" si="867"/>
        <v>Market</v>
      </c>
      <c r="CN339" s="1" t="str">
        <f t="shared" si="868"/>
        <v>Market</v>
      </c>
      <c r="CO339" s="1" t="str">
        <f t="shared" si="869"/>
        <v>Market</v>
      </c>
      <c r="CP339" s="304">
        <f t="shared" si="870"/>
        <v>500</v>
      </c>
      <c r="CQ339" s="1">
        <f t="shared" si="871"/>
        <v>0</v>
      </c>
      <c r="CR339" s="1">
        <f t="shared" si="872"/>
        <v>0</v>
      </c>
      <c r="CS339" s="1">
        <f t="shared" si="873"/>
        <v>0</v>
      </c>
      <c r="CT339" s="1">
        <f t="shared" si="874"/>
        <v>1.9E-2</v>
      </c>
      <c r="CU339" s="1">
        <f t="shared" si="875"/>
        <v>3.9E-2</v>
      </c>
      <c r="CV339" s="304">
        <f t="shared" si="876"/>
        <v>1914.9999999999991</v>
      </c>
      <c r="CW339" s="20" t="s">
        <v>122</v>
      </c>
      <c r="CX339" s="20" t="s">
        <v>122</v>
      </c>
      <c r="CY339" s="20" t="s">
        <v>122</v>
      </c>
      <c r="CZ339" s="20" t="s">
        <v>122</v>
      </c>
      <c r="DA339" s="20" t="s">
        <v>122</v>
      </c>
      <c r="DB339" s="503">
        <f t="shared" si="877"/>
        <v>0</v>
      </c>
      <c r="DC339" s="127">
        <v>0</v>
      </c>
      <c r="DD339" s="127">
        <v>0</v>
      </c>
      <c r="DE339" s="127">
        <v>0</v>
      </c>
      <c r="DF339" s="127">
        <v>0</v>
      </c>
      <c r="DG339" s="127">
        <v>0</v>
      </c>
      <c r="DH339" s="127">
        <v>0</v>
      </c>
      <c r="DI339" s="127">
        <v>0</v>
      </c>
      <c r="DJ339" s="127">
        <v>0</v>
      </c>
      <c r="DK339" s="127">
        <v>0</v>
      </c>
      <c r="DL339" s="127">
        <v>0</v>
      </c>
      <c r="DM339" s="304">
        <f>INDEX(Input!$1:$1048576,DM$93,$C339*2+6)</f>
        <v>21036.84210526316</v>
      </c>
      <c r="DN339" s="20">
        <v>0</v>
      </c>
      <c r="DO339" s="20">
        <v>0</v>
      </c>
      <c r="DP339" s="20">
        <v>0</v>
      </c>
      <c r="DQ339" s="20">
        <v>0</v>
      </c>
      <c r="DR339" s="20">
        <v>0</v>
      </c>
      <c r="DS339" s="20">
        <f>INDEX(Input!$1:$1048576,DS$93,$C339*2+6)</f>
        <v>0.6</v>
      </c>
      <c r="DT339" s="20">
        <f>INDEX(Input!$1:$1048576,DT$93,$C339*2+6)</f>
        <v>0.55000000000000004</v>
      </c>
      <c r="DU339" s="20">
        <f>INDEX(Input!$1:$1048576,DU$93,$C339*2+6)</f>
        <v>0.52</v>
      </c>
      <c r="DV339" s="20">
        <f>INDEX(Input!$1:$1048576,DV$93,$C339*2+6)</f>
        <v>0.5</v>
      </c>
      <c r="DW339" s="20">
        <f>INDEX(Input!$1:$1048576,DW$93,$C339*2+6)</f>
        <v>0.45</v>
      </c>
      <c r="DX339" s="20"/>
      <c r="DY339" s="7">
        <v>0.10135225423770906</v>
      </c>
      <c r="DZ339" s="7">
        <v>0</v>
      </c>
      <c r="EA339" s="7">
        <v>0.68203639129334848</v>
      </c>
      <c r="EB339" s="7">
        <v>0</v>
      </c>
      <c r="EC339" s="7">
        <v>0</v>
      </c>
      <c r="ED339" s="7">
        <v>0</v>
      </c>
      <c r="EE339" s="7">
        <v>0</v>
      </c>
      <c r="EF339" s="7">
        <v>0</v>
      </c>
      <c r="EG339" s="7">
        <v>0</v>
      </c>
      <c r="EH339" s="7">
        <v>1.1999769421486294E-2</v>
      </c>
      <c r="EI339" s="7">
        <v>3.3593918395426775E-2</v>
      </c>
      <c r="EJ339" s="7">
        <v>0.27016453016563713</v>
      </c>
      <c r="EK339" s="7">
        <v>0.54272652402827537</v>
      </c>
      <c r="EL339" s="7">
        <v>0.14151525798917422</v>
      </c>
      <c r="EM339" s="7">
        <v>4.2352265541903321E-2</v>
      </c>
      <c r="EN339" s="7">
        <v>6.4615346828384573E-2</v>
      </c>
      <c r="EO339" s="7">
        <v>0.79119449825916865</v>
      </c>
      <c r="EP339" s="7">
        <v>5.9264528536577397E-2</v>
      </c>
      <c r="EQ339" s="7">
        <v>5.5234868185413018E-2</v>
      </c>
      <c r="ER339" s="7">
        <v>2.9690758190455711E-2</v>
      </c>
      <c r="ES339" s="7">
        <v>0.17425908892703909</v>
      </c>
      <c r="ET339" s="7">
        <v>0.21661135446894247</v>
      </c>
      <c r="EU339" s="6">
        <v>1861</v>
      </c>
      <c r="EV339" s="6">
        <v>0</v>
      </c>
      <c r="EW339" s="6">
        <v>1861</v>
      </c>
      <c r="EX339" s="6">
        <v>0</v>
      </c>
      <c r="EY339" s="6">
        <v>2335.4047746059241</v>
      </c>
      <c r="EZ339" s="6">
        <v>2649</v>
      </c>
      <c r="FA339" s="6">
        <v>0</v>
      </c>
      <c r="FB339" s="6">
        <v>0</v>
      </c>
      <c r="FC339" s="6">
        <v>0</v>
      </c>
      <c r="FD339" s="6">
        <v>0</v>
      </c>
      <c r="FE339" s="6">
        <v>0</v>
      </c>
      <c r="FF339" s="6">
        <v>0</v>
      </c>
      <c r="FG339" s="6">
        <v>0</v>
      </c>
      <c r="FH339" s="6">
        <v>1171.9982015578416</v>
      </c>
      <c r="FI339" s="6">
        <v>1553.9796069512399</v>
      </c>
      <c r="FJ339" s="6">
        <v>2101.211011744741</v>
      </c>
      <c r="FK339" s="6">
        <v>1772.7139978623231</v>
      </c>
      <c r="FL339" s="6">
        <v>907.07682140966335</v>
      </c>
      <c r="FM339" s="6">
        <v>1724.4047746059239</v>
      </c>
      <c r="FN339" s="6">
        <v>0</v>
      </c>
      <c r="FO339" s="6">
        <v>0</v>
      </c>
      <c r="FP339" s="6">
        <v>0</v>
      </c>
      <c r="FQ339" s="6">
        <v>0</v>
      </c>
      <c r="FR339" s="6">
        <v>0</v>
      </c>
      <c r="FS339" s="6">
        <v>0</v>
      </c>
      <c r="FT339" s="7">
        <v>0.78338864553105758</v>
      </c>
      <c r="FU339" s="7">
        <v>4.2352265541903321E-2</v>
      </c>
      <c r="FV339" s="7">
        <v>0.17425908892703909</v>
      </c>
      <c r="FW339" s="6">
        <v>1860.9999999999998</v>
      </c>
      <c r="FX339" s="6">
        <v>2335.4047746059241</v>
      </c>
      <c r="FY339" s="6">
        <v>2649</v>
      </c>
      <c r="FZ339" s="6">
        <v>1858.9243755539039</v>
      </c>
      <c r="GA339" s="6">
        <v>2018.4082790629636</v>
      </c>
      <c r="GB339" s="6">
        <v>17966.591720937038</v>
      </c>
      <c r="GC339" s="7">
        <v>2.9156573141622111E-2</v>
      </c>
      <c r="GD339" s="7">
        <v>3.0409815568895344E-2</v>
      </c>
      <c r="GE339" s="7"/>
      <c r="GF339" s="7"/>
      <c r="GG339" s="7">
        <v>4.2983186713536695E-2</v>
      </c>
      <c r="GH339" s="42">
        <v>5.3862425459208367</v>
      </c>
      <c r="GI339" s="6">
        <v>5728.7870504636767</v>
      </c>
      <c r="GJ339" s="14">
        <v>0.50394797582841699</v>
      </c>
      <c r="GK339" s="14">
        <v>0.50887573065309732</v>
      </c>
      <c r="GL339" s="14">
        <v>0.49605202417158267</v>
      </c>
      <c r="GM339" s="14">
        <v>0.49112426934690223</v>
      </c>
      <c r="GO339" s="5">
        <v>343.14810671672558</v>
      </c>
      <c r="GP339" s="5">
        <v>307.64377699166363</v>
      </c>
      <c r="GQ339" s="5">
        <v>535.04305713031317</v>
      </c>
      <c r="GR339" s="5">
        <v>410.15490233172511</v>
      </c>
      <c r="GS339" s="5">
        <v>339.42744393800166</v>
      </c>
      <c r="GT339" s="5">
        <v>293.4407446948278</v>
      </c>
      <c r="GU339" s="5">
        <v>258.04012322764959</v>
      </c>
      <c r="GV339" s="39" t="s">
        <v>392</v>
      </c>
      <c r="GW339" s="5">
        <v>482.65277777777777</v>
      </c>
      <c r="GX339" s="5">
        <v>361.98958333333331</v>
      </c>
      <c r="GY339" s="5">
        <v>289.59166666666664</v>
      </c>
      <c r="GZ339" s="5">
        <v>255.53408606924114</v>
      </c>
      <c r="HA339" s="5">
        <v>236.70336205047303</v>
      </c>
      <c r="HB339" s="39">
        <v>268.37203078193056</v>
      </c>
      <c r="HC339" s="5">
        <v>171.390625</v>
      </c>
      <c r="HD339" s="5">
        <v>160.70330774853798</v>
      </c>
      <c r="HE339" s="5">
        <v>167.52103997975706</v>
      </c>
      <c r="HF339" s="5">
        <v>159.65063048245611</v>
      </c>
      <c r="HG339" s="5">
        <v>159.85888157894735</v>
      </c>
      <c r="HH339" s="39">
        <v>161.71470600253306</v>
      </c>
      <c r="HI339" s="16"/>
      <c r="HJ339" s="19" t="str">
        <f t="shared" si="984"/>
        <v>On</v>
      </c>
      <c r="HK339" s="1" t="str">
        <f t="shared" si="984"/>
        <v>On</v>
      </c>
      <c r="HL339" s="16"/>
      <c r="HM339" s="639">
        <f t="shared" si="878"/>
        <v>2.2758057894877178E-2</v>
      </c>
      <c r="HN339" s="639">
        <f t="shared" si="879"/>
        <v>1.416759231746561E-3</v>
      </c>
      <c r="HO339" s="639">
        <f t="shared" si="880"/>
        <v>4.5732401537654987E-3</v>
      </c>
      <c r="HP339" s="644">
        <f>(FT339*$GD339-HM339)/$JF339*INDEX(Input!$1:$1048576,$JG$93,$C339*2+6)</f>
        <v>59.624223710469145</v>
      </c>
      <c r="HQ339" s="644">
        <f>(FU339*$GD339-HN339)/$JF339*INDEX(Input!$1:$1048576,$JG$93,$C339*2+6)</f>
        <v>-7.2152278243253551</v>
      </c>
      <c r="HR339" s="644">
        <f>(FV339*$GD339-HO339)/$JF339*INDEX(Input!$1:$1048576,$JG$93,$C339*2+6)</f>
        <v>40.655756921340696</v>
      </c>
      <c r="HS339" s="644">
        <f t="shared" si="985"/>
        <v>-41.62349904622539</v>
      </c>
      <c r="HT339" s="644">
        <f t="shared" si="882"/>
        <v>16.776016611746819</v>
      </c>
      <c r="HU339" s="644">
        <f t="shared" si="883"/>
        <v>19.899499338271838</v>
      </c>
      <c r="HV339" s="648">
        <f t="shared" si="884"/>
        <v>0</v>
      </c>
      <c r="HW339" s="648">
        <f t="shared" si="885"/>
        <v>0</v>
      </c>
      <c r="HX339" s="648">
        <f t="shared" si="886"/>
        <v>0</v>
      </c>
      <c r="HY339" s="644">
        <f>INDEX(Input!$1:$1048576,HY$93,$C339*2+6)*INDEX(Input!$1:$1048576,$JG$93,$C339*2+6)</f>
        <v>509.00000000000006</v>
      </c>
      <c r="HZ339" s="644">
        <f>INDEX(Input!$1:$1048576,HZ$93,$C339*2+6)*INDEX(Input!$1:$1048576,$JG$93,$C339*2+6)</f>
        <v>844</v>
      </c>
      <c r="IA339" s="644">
        <f>INDEX(Input!$1:$1048576,IA$93,$C339*2+6)*INDEX(Input!$1:$1048576,$JG$93,$C339*2+6)</f>
        <v>257</v>
      </c>
      <c r="IB339" s="644">
        <f t="shared" si="910"/>
        <v>527.00072466424376</v>
      </c>
      <c r="IC339" s="644">
        <f t="shared" si="911"/>
        <v>853.56078878742153</v>
      </c>
      <c r="ID339" s="644">
        <f>IF(AND(INDEX(Input!$1:$1048576,IA$93,$C339*2+7)="TOS",Y339&lt;=INDEX(Y:Y,MATCH(C339*1000+2,A:A))),0,1)*MAX(IA339+HR339+HU339+HX339,0%)</f>
        <v>317.55525625961252</v>
      </c>
      <c r="IE339" s="128">
        <f t="shared" si="986"/>
        <v>0.31034422017624091</v>
      </c>
      <c r="IF339" s="128">
        <f t="shared" si="977"/>
        <v>0.50265141008680347</v>
      </c>
      <c r="IG339" s="128">
        <f t="shared" si="888"/>
        <v>0.18700436973695561</v>
      </c>
      <c r="IH339" s="21"/>
      <c r="II339" s="19">
        <f t="shared" si="889"/>
        <v>1410.4999999999998</v>
      </c>
      <c r="IJ339" s="19">
        <f t="shared" si="890"/>
        <v>2134.9731585778086</v>
      </c>
      <c r="IK339" s="19">
        <f t="shared" si="891"/>
        <v>2103.5</v>
      </c>
      <c r="IL339" s="19">
        <f t="shared" si="913"/>
        <v>450.5</v>
      </c>
      <c r="IM339" s="19">
        <f t="shared" si="892"/>
        <v>200.43161602811551</v>
      </c>
      <c r="IN339" s="19">
        <f t="shared" si="893"/>
        <v>545.5</v>
      </c>
      <c r="IO339" s="39">
        <f t="shared" si="894"/>
        <v>0</v>
      </c>
      <c r="IP339" s="39">
        <f t="shared" si="895"/>
        <v>0</v>
      </c>
      <c r="IQ339" s="39">
        <f t="shared" si="896"/>
        <v>0</v>
      </c>
      <c r="IR339" s="39">
        <v>0</v>
      </c>
      <c r="IS339" s="39">
        <v>0</v>
      </c>
      <c r="IT339" s="39">
        <v>0</v>
      </c>
      <c r="IU339" s="39">
        <v>0</v>
      </c>
      <c r="IV339" s="39">
        <v>0</v>
      </c>
      <c r="IW339" s="39">
        <v>0</v>
      </c>
      <c r="IX339" s="39">
        <f>INDEX(Input!$1:$1048576,IX$93,$C339*2+6)+INDEX(Input!$1:$1048576,IX$94,$C339*2+6)</f>
        <v>1611</v>
      </c>
      <c r="IY339" s="39">
        <f>INDEX(Input!$1:$1048576,IY$93,$C339*2+6)+INDEX(Input!$1:$1048576,IY$94,$C339*2+6)</f>
        <v>2471.0624533823611</v>
      </c>
      <c r="IZ339" s="39">
        <f>INDEX(Input!$1:$1048576,IZ$93,$C339*2+6)+INDEX(Input!$1:$1048576,IZ$94,$C339*2+6)</f>
        <v>3994.7164157747857</v>
      </c>
      <c r="JA339" s="19">
        <f t="shared" si="914"/>
        <v>2061.5</v>
      </c>
      <c r="JB339" s="19">
        <f t="shared" si="915"/>
        <v>2671.4940694104766</v>
      </c>
      <c r="JC339" s="19">
        <f t="shared" si="916"/>
        <v>4540.2164157747857</v>
      </c>
      <c r="JD339" s="19">
        <f t="shared" si="917"/>
        <v>2831.6451802223728</v>
      </c>
      <c r="JE339" s="21"/>
      <c r="JF339" s="1">
        <f t="shared" si="897"/>
        <v>2.8748057280389237E-2</v>
      </c>
      <c r="JG339" s="15">
        <f>INDEX(Input!$1:$1048576,JG$93,$C339*2+6)/(1+VLOOKUP(C339*1000+INDEX(Input!$1:$1048576,JG$93+1,$C339*2+6),$A:$KK,$JK$92,FALSE))</f>
        <v>1610</v>
      </c>
      <c r="JH339" s="1">
        <f t="shared" si="918"/>
        <v>5.7804194290363042E-2</v>
      </c>
      <c r="JI339" s="1">
        <f t="shared" si="919"/>
        <v>-3.0732814262153627E-3</v>
      </c>
      <c r="JJ339" s="1">
        <f t="shared" si="978"/>
        <v>0</v>
      </c>
      <c r="JK339" s="1">
        <f t="shared" si="979"/>
        <v>5.4730912864147677E-2</v>
      </c>
      <c r="JL339" s="15">
        <f t="shared" si="922"/>
        <v>88.116769711277755</v>
      </c>
      <c r="JM339" s="15">
        <f t="shared" si="948"/>
        <v>1698.1167697112778</v>
      </c>
      <c r="JN339" s="21"/>
      <c r="JO339" s="19">
        <f>INDEX(Input!$1:$1048576,JO$93,$C339*2+6)</f>
        <v>5995.5</v>
      </c>
      <c r="JP339" s="19">
        <f>INDEX(Input!$1:$1048576,JP$93,$C339*2+6)</f>
        <v>2442.3713226762939</v>
      </c>
      <c r="JQ339" s="39">
        <f t="shared" si="934"/>
        <v>3163.8548197776272</v>
      </c>
      <c r="JR339" s="39">
        <f t="shared" si="951"/>
        <v>389.27385754607894</v>
      </c>
      <c r="JS339" s="39">
        <f t="shared" si="936"/>
        <v>4.8084641664077248</v>
      </c>
      <c r="JT339" s="39">
        <f t="shared" si="924"/>
        <v>0.87624633689889175</v>
      </c>
      <c r="JU339" s="385">
        <f>(JQ339*JM339-INDEX(Input!$1:$1048576,Input!A$18,$C339*2+6)*JL339*INDEX(Input!$1:$1048576,Input!A$19,$C339*2+6))/1000000</f>
        <v>5.3725949263962418</v>
      </c>
      <c r="JV339" s="39">
        <f t="shared" si="958"/>
        <v>-0.34794224409492536</v>
      </c>
      <c r="JW339" s="1">
        <f t="shared" si="949"/>
        <v>-6.0823351675739733E-2</v>
      </c>
      <c r="JX339" s="19">
        <f t="shared" si="940"/>
        <v>9944.1495616553912</v>
      </c>
      <c r="JZ339" s="341"/>
      <c r="KA339" s="342"/>
      <c r="KB339" s="469">
        <f t="shared" si="937"/>
        <v>2.5190675447988795</v>
      </c>
      <c r="KI339" s="473">
        <f t="shared" si="987"/>
        <v>18.000724664243705</v>
      </c>
      <c r="KJ339" s="473">
        <f t="shared" si="988"/>
        <v>9.5607887874215294</v>
      </c>
      <c r="KK339" s="473">
        <f t="shared" si="926"/>
        <v>60.55525625961252</v>
      </c>
      <c r="KN339" s="544">
        <f t="shared" si="941"/>
        <v>3002</v>
      </c>
      <c r="KO339" s="541">
        <f t="shared" si="901"/>
        <v>2.3497462409387104E-2</v>
      </c>
      <c r="KP339" s="546">
        <f t="shared" si="902"/>
        <v>144.84882460406482</v>
      </c>
      <c r="KQ339" s="546">
        <f t="shared" si="903"/>
        <v>195.73175483367459</v>
      </c>
      <c r="KR339" s="548">
        <f t="shared" si="904"/>
        <v>2.8143791345110549</v>
      </c>
      <c r="KS339" s="548">
        <f t="shared" si="905"/>
        <v>2.0827458986945939</v>
      </c>
      <c r="KT339" s="473">
        <f t="shared" si="939"/>
        <v>1026.1618045255443</v>
      </c>
      <c r="KU339" s="663">
        <f t="shared" si="927"/>
        <v>4.6216101282060409</v>
      </c>
      <c r="KV339" s="117"/>
    </row>
    <row r="340" spans="1:308" s="26" customFormat="1" ht="15">
      <c r="A340" s="561">
        <f t="shared" si="906"/>
        <v>3040</v>
      </c>
      <c r="B340" s="561">
        <f t="shared" si="928"/>
        <v>40</v>
      </c>
      <c r="C340" s="561">
        <f t="shared" si="929"/>
        <v>3</v>
      </c>
      <c r="D340" s="561" t="str">
        <f t="shared" si="974"/>
        <v xml:space="preserve">500 CC, 360 Lease, </v>
      </c>
      <c r="E340" s="475">
        <f>INDEX(Input!$1:$1048576,E$93,$C340*2+MIN($B340,2)+5)
+INDEX(Scenarios!E$121:E$200,MATCH($B340,Scenarios!$B$121:$B$200,0))</f>
        <v>1787.0236024844721</v>
      </c>
      <c r="F340" s="475">
        <f>INDEX(Input!$1:$1048576,F$93,$C340*2+MIN($B340,2)+5)
+INDEX(Scenarios!F$121:F$200,MATCH($B340,Scenarios!$B$121:$B$200,0))</f>
        <v>0</v>
      </c>
      <c r="G340" s="475">
        <f>INDEX(Input!$1:$1048576,G$93,$C340*2+MIN($B340,2)+5)
+INDEX(Scenarios!G$121:G$200,MATCH($B340,Scenarios!$B$121:$B$200,0))</f>
        <v>0</v>
      </c>
      <c r="H340" s="475">
        <f>INDEX(Input!$1:$1048576,H$93,$C340*2+MIN($B340,2)+5)
+INDEX(Scenarios!H$121:H$200,MATCH($B340,Scenarios!$B$121:$B$200,0))</f>
        <v>0</v>
      </c>
      <c r="I340" s="476">
        <f>INDEX(Input!$1:$1048576,I$93,$C340*2+MIN($B340,2)+5)</f>
        <v>0.7</v>
      </c>
      <c r="J340" s="476" t="str">
        <f>INDEX(Input!$1:$1048576,J$93,$C340*2+MIN($B340,2)+5)</f>
        <v>Market</v>
      </c>
      <c r="K340" s="476" t="str">
        <f>INDEX(Input!$1:$1048576,K$93,$C340*2+MIN($B340,2)+5)</f>
        <v>Market</v>
      </c>
      <c r="L340" s="476" t="str">
        <f>INDEX(Input!$1:$1048576,L$93,$C340*2+MIN($B340,2)+5)</f>
        <v>Market</v>
      </c>
      <c r="M340" s="476" t="str">
        <f>INDEX(Input!$1:$1048576,M$93,$C340*2+MIN($B340,2)+5)</f>
        <v>Market</v>
      </c>
      <c r="N340" s="476" t="str">
        <f>INDEX(Input!$1:$1048576,N$93,$C340*2+MIN($B340,2)+5)</f>
        <v>Market</v>
      </c>
      <c r="O340" s="476" t="str">
        <f>INDEX(Input!$1:$1048576,O$93,$C340*2+MIN($B340,2)+5)</f>
        <v>Market</v>
      </c>
      <c r="P340" s="476" t="str">
        <f>INDEX(Input!$1:$1048576,P$93,$C340*2+MIN($B340,2)+5)</f>
        <v>N</v>
      </c>
      <c r="Q340" s="477">
        <f>INDEX(Input!$1:$1048576,Q$93,$C340*2+MIN($B340,2)+5)
+INDEX(Scenarios!Q$121:Q$200,MATCH($B340,Scenarios!$B$121:$B$200,0))</f>
        <v>0</v>
      </c>
      <c r="R340" s="478">
        <f>IFERROR(MAX(0,INDEX(Input!$1:$1048576,R$93,$C340*2+MIN($B340,2)+5)
+INDEX(Scenarios!R$121:R$200,MATCH($B340,Scenarios!$B$121:$B$200,0)),),"Market")</f>
        <v>0</v>
      </c>
      <c r="S340" s="478">
        <f>IFERROR(MAX(0,INDEX(Input!$1:$1048576,S$93,$C340*2+MIN($B340,2)+5)
+INDEX(Scenarios!S$121:S$200,MATCH($B340,Scenarios!$B$121:$B$200,0)),),"Market")</f>
        <v>0</v>
      </c>
      <c r="T340" s="478">
        <f>IFERROR(MAX(0,INDEX(Input!$1:$1048576,T$93,$C340*2+MIN($B340,2)+5)
+INDEX(Scenarios!T$121:T$200,MATCH($B340,Scenarios!$B$121:$B$200,0)),),"Market")</f>
        <v>0</v>
      </c>
      <c r="U340" s="478">
        <f>IFERROR(MAX(0,INDEX(Input!$1:$1048576,U$93,$C340*2+MIN($B340,2)+5)
+INDEX(Scenarios!U$121:U$200,MATCH($B340,Scenarios!$B$121:$B$200,0)),),"Market")</f>
        <v>0</v>
      </c>
      <c r="V340" s="478">
        <f>IFERROR(MAX(0,INDEX(Input!$1:$1048576,V$93,$C340*2+MIN($B340,2)+5)
+INDEX(Scenarios!V$121:V$200,MATCH($B340,Scenarios!$B$121:$B$200,0)),),"Market")</f>
        <v>1.9E-2</v>
      </c>
      <c r="W340" s="885">
        <f>IFERROR(MAX(0,INDEX(Input!$1:$1048576,W$93,$C340*2+MIN($B340,2)+5)-0%,),"Market")</f>
        <v>3.9E-2</v>
      </c>
      <c r="X340" s="476" t="str">
        <f>INDEX(Input!$1:$1048576,X$93,$C340*2+MIN($B340,2)+5)</f>
        <v>Y</v>
      </c>
      <c r="Y340" s="475">
        <f>INDEX(Input!$1:$1048576,Y$93,$C340*2+MIN($B340,2)+5)
++INDEX(Scenarios!Y$121:Y$200,MATCH($B340,Scenarios!$B$121:$B$200,0))</f>
        <v>1914.9999999999991</v>
      </c>
      <c r="Z340" s="477">
        <f>INDEX(Input!$1:$1048576,Z$93,$C340*2+MIN($B340,2)+5)
+INDEX(Scenarios!Z$121:Z$200,MATCH($B340,Scenarios!$B$121:$B$200,0))</f>
        <v>0</v>
      </c>
      <c r="AA340" s="475">
        <f>INDEX(Input!$1:$1048576,AA$93,$C340*2+MIN($B340,2)+5)
+INDEX(Scenarios!AA$121:AA$200,MATCH($B340,Scenarios!$B$121:$B$200,0))</f>
        <v>0</v>
      </c>
      <c r="AB340" s="476">
        <f>INDEX(Input!$1:$1048576,AB$93,$C340*2+MIN($B340,2)+5)</f>
        <v>0.27</v>
      </c>
      <c r="AC340" s="475">
        <f>INDEX(Input!$1:$1048576,AC$93,$C340*2+MIN($B340,2)+5)
+INDEX(Scenarios!AC$121:AC$200,MATCH($B340,Scenarios!$B$121:$B$200,0))</f>
        <v>0</v>
      </c>
      <c r="AD340" s="476">
        <f>INDEX(Input!$1:$1048576,AD$93,$C340*2+MIN($B340,2)+5)</f>
        <v>0.27</v>
      </c>
      <c r="AE340" s="475">
        <f>INDEX(Input!$1:$1048576,AE$93,$C340*2+MIN($B340,2)+5)
+INDEX(Scenarios!AE$121:AE$200,MATCH($B340,Scenarios!$B$121:$B$200,0))</f>
        <v>0</v>
      </c>
      <c r="AF340" s="476">
        <f>INDEX(Input!$1:$1048576,AF$93,$C340*2+MIN($B340,2)+5)</f>
        <v>0.68200000000000005</v>
      </c>
      <c r="AG340" s="475">
        <f>INDEX(Input!$1:$1048576,AG$93,$C340*2+MIN($B340,2)+5)
+INDEX(Scenarios!AG$121:AG$200,MATCH($B340,Scenarios!$B$121:$B$200,0))</f>
        <v>500</v>
      </c>
      <c r="AH340" s="476">
        <f>INDEX(Input!$1:$1048576,AH$93,$C340*2+MIN($B340,2)+5)</f>
        <v>1</v>
      </c>
      <c r="AI340" s="475">
        <f>INDEX(Input!$1:$1048576,AI$93,$C340*2+MIN($B340,2)+5)
+INDEX(Scenarios!AI$121:AI$200,MATCH($B340,Scenarios!$B$121:$B$200,0))</f>
        <v>0</v>
      </c>
      <c r="AJ340" s="476">
        <f>INDEX(Input!$1:$1048576,AJ$93,$C340*2+MIN($B340,2)+5)</f>
        <v>0.27</v>
      </c>
      <c r="AK340" s="150">
        <f>ROUND(INDEX(Input!$1:$1048576,AK$93,$C339*2+MIN($B340,1)+5)+(Y340-VLOOKUP($C340*1000+1,$A:$HH,Y$92,FALSE)),0)</f>
        <v>3337</v>
      </c>
      <c r="AL340" s="150">
        <f>ROUND(INDEX(Input!$1:$1048576,AL$93,$C339*2+MIN($B340,1)+5)-(Y340-VLOOKUP($C340*1000+1,$A:$HH,Y$92,FALSE))/36,0)</f>
        <v>3385</v>
      </c>
      <c r="AM340" s="32" t="str">
        <f t="shared" si="907"/>
        <v>std/std/std/std</v>
      </c>
      <c r="AN340" s="32" t="str">
        <f t="shared" si="908"/>
        <v>$0 + 0/0/0/1.9/3.9</v>
      </c>
      <c r="AO340" s="32" t="str">
        <f t="shared" si="909"/>
        <v>0/0/0/1.9/3.9</v>
      </c>
      <c r="AP340" s="32" t="str">
        <f t="shared" si="863"/>
        <v>0/0.9/1.9/3.9</v>
      </c>
      <c r="AQ340" s="536">
        <f t="shared" si="862"/>
        <v>0.33485491503975406</v>
      </c>
      <c r="AR340" s="32"/>
      <c r="AS340" s="302"/>
      <c r="AT340" s="3">
        <f t="shared" si="930"/>
        <v>40</v>
      </c>
      <c r="AU340" s="41" t="s">
        <v>121</v>
      </c>
      <c r="AV340" s="41" t="s">
        <v>116</v>
      </c>
      <c r="AW340" s="41" t="str">
        <f>INDEX(Input!$1:$1048576,AW$93,$C340*2+6)</f>
        <v>Kia</v>
      </c>
      <c r="AX340" s="41" t="str">
        <f>INDEX(Input!$1:$1048576,AX$93,$C340*2+6)</f>
        <v>Kia-LR - L3</v>
      </c>
      <c r="AY340" s="41" t="str">
        <f>IF(LEN(D340)=0,"",INDEX(Input!$1:$1048576,AY$93,$C340*2+6))</f>
        <v>Compact SUV (52)</v>
      </c>
      <c r="AZ340" s="41" t="str">
        <f>INDEX(Input!$1:$1048576,AZ$93,$C340*2+6)</f>
        <v>Kia Soul</v>
      </c>
      <c r="BA340" s="3">
        <f>INDEX(Input!$1:$1048576,BA$93,$C340*2+6)</f>
        <v>2020</v>
      </c>
      <c r="BB340" s="128">
        <f>INDEX(Input!$1:$1048576,BB$93,$C340*2+6)</f>
        <v>1</v>
      </c>
      <c r="BC340" s="128">
        <f>INDEX(Input!$1:$1048576,BC$93,$C340*2+6)</f>
        <v>0.7</v>
      </c>
      <c r="BD340" s="1">
        <f>INDEX(Input!$1:$1048576,BD$93,$C340*2+6)</f>
        <v>4.4999999999999998E-2</v>
      </c>
      <c r="BE340" s="1">
        <f>INDEX(Input!$1:$1048576,BE$93,$C340*2+6)</f>
        <v>4.4999999999999998E-2</v>
      </c>
      <c r="BF340" s="1">
        <f>INDEX(Input!$1:$1048576,BF$93,$C340*2+6)</f>
        <v>0.05</v>
      </c>
      <c r="BG340" s="1">
        <f>INDEX(Input!$1:$1048576,BG$93,$C340*2+6)</f>
        <v>5.45E-2</v>
      </c>
      <c r="BH340" s="1">
        <f>INDEX(Input!$1:$1048576,BH$93,$C340*2+6)</f>
        <v>5.45E-2</v>
      </c>
      <c r="BI340" s="1">
        <f>INDEX(Input!$1:$1048576,BI$93,$C340*2+6)</f>
        <v>0.05</v>
      </c>
      <c r="BJ340" s="1">
        <f>INDEX(Input!$1:$1048576,BJ$93,$C340*2+6)</f>
        <v>0.05</v>
      </c>
      <c r="BK340" s="1">
        <f>INDEX(Input!$1:$1048576,BK$93,$C340*2+6)</f>
        <v>0.05</v>
      </c>
      <c r="BL340" s="1">
        <f>INDEX(Input!$1:$1048576,BL$93,$C340*2+6)</f>
        <v>5.5E-2</v>
      </c>
      <c r="BM340" s="1">
        <f>INDEX(Input!$1:$1048576,BM$93,$C340*2+6)</f>
        <v>0.06</v>
      </c>
      <c r="BN340" s="1">
        <f>INDEX(Input!$1:$1048576,BN$93,$C340*2+6)</f>
        <v>4.4999999999999998E-2</v>
      </c>
      <c r="BO340" s="1">
        <f>INDEX(Input!$1:$1048576,BO$93,$C340*2+6)</f>
        <v>4.4999999999999998E-2</v>
      </c>
      <c r="BP340" s="1">
        <f>INDEX(Input!$1:$1048576,BP$93,$C340*2+6)</f>
        <v>0.05</v>
      </c>
      <c r="BQ340" s="1">
        <f>INDEX(Input!$1:$1048576,BQ$93,$C340*2+6)</f>
        <v>5.45E-2</v>
      </c>
      <c r="BR340" s="1">
        <f>INDEX(Input!$1:$1048576,BR$93,$C340*2+6)</f>
        <v>5.45E-2</v>
      </c>
      <c r="BS340" s="1">
        <f>INDEX(Input!$1:$1048576,BS$93,$C340*2+6)</f>
        <v>0.05</v>
      </c>
      <c r="BT340" s="1">
        <f>INDEX(Input!$1:$1048576,BT$93,$C340*2+6)</f>
        <v>0.05</v>
      </c>
      <c r="BU340" s="1">
        <f>INDEX(Input!$1:$1048576,BU$93,$C340*2+6)</f>
        <v>0.05</v>
      </c>
      <c r="BV340" s="1">
        <f>INDEX(Input!$1:$1048576,BV$93,$C340*2+6)</f>
        <v>5.5E-2</v>
      </c>
      <c r="BW340" s="1">
        <f>INDEX(Input!$1:$1048576,BW$93,$C340*2+6)</f>
        <v>0.06</v>
      </c>
      <c r="BX340" s="127">
        <f>INDEX(Input!$1:$1048576,BX$93,$C340*2+6)</f>
        <v>19985</v>
      </c>
      <c r="BY340" s="20">
        <f>INDEX(Input!$1:$1048576,BY$93,$C340*2+6)</f>
        <v>0.1</v>
      </c>
      <c r="BZ340" s="20">
        <f>INDEX(Input!$1:$1048576,BZ$93,$C340*2+6)</f>
        <v>0.1</v>
      </c>
      <c r="CA340" s="20">
        <f>INDEX(Input!$1:$1048576,CA$93,$C340*2+6)</f>
        <v>0.1</v>
      </c>
      <c r="CB340" s="20">
        <f>INDEX(Input!$1:$1048576,CB$93,$C340*2+6)</f>
        <v>0.1</v>
      </c>
      <c r="CC340" s="20">
        <f>INDEX(Input!$1:$1048576,CC$93,$C340*2+6)</f>
        <v>0.1</v>
      </c>
      <c r="CD340" s="384">
        <f>INDEX(Input!$1:$1048576,CD$93,$C340*2+6)</f>
        <v>0.1</v>
      </c>
      <c r="CE340" s="384">
        <f>INDEX(Input!$1:$1048576,CE$93,$C340*2+6)</f>
        <v>0.1</v>
      </c>
      <c r="CF340" s="384">
        <f>INDEX(Input!$1:$1048576,CF$93,$C340*2+6)</f>
        <v>0.1</v>
      </c>
      <c r="CG340" s="384">
        <f>INDEX(Input!$1:$1048576,CG$93,$C340*2+6)</f>
        <v>0.1</v>
      </c>
      <c r="CH340" s="384">
        <f>INDEX(Input!$1:$1048576,CH$93,$C340*2+6)</f>
        <v>0.1</v>
      </c>
      <c r="CI340" s="304">
        <f t="shared" si="864"/>
        <v>1787.0236024844721</v>
      </c>
      <c r="CJ340" s="16" t="str">
        <f>INDEX(Input!$1:$1048576,CJ$93,$C340*2+6)</f>
        <v>N</v>
      </c>
      <c r="CK340" s="1" t="str">
        <f t="shared" si="865"/>
        <v>Market</v>
      </c>
      <c r="CL340" s="1" t="str">
        <f t="shared" si="866"/>
        <v>Market</v>
      </c>
      <c r="CM340" s="1" t="str">
        <f t="shared" si="867"/>
        <v>Market</v>
      </c>
      <c r="CN340" s="1" t="str">
        <f t="shared" si="868"/>
        <v>Market</v>
      </c>
      <c r="CO340" s="1" t="str">
        <f t="shared" si="869"/>
        <v>Market</v>
      </c>
      <c r="CP340" s="304">
        <f t="shared" si="870"/>
        <v>500</v>
      </c>
      <c r="CQ340" s="1">
        <f t="shared" si="871"/>
        <v>0</v>
      </c>
      <c r="CR340" s="1">
        <f t="shared" si="872"/>
        <v>0</v>
      </c>
      <c r="CS340" s="1">
        <f t="shared" si="873"/>
        <v>0</v>
      </c>
      <c r="CT340" s="1">
        <f t="shared" si="874"/>
        <v>1.9E-2</v>
      </c>
      <c r="CU340" s="1">
        <f t="shared" si="875"/>
        <v>3.9E-2</v>
      </c>
      <c r="CV340" s="304">
        <f t="shared" si="876"/>
        <v>1914.9999999999991</v>
      </c>
      <c r="CW340" s="20" t="s">
        <v>122</v>
      </c>
      <c r="CX340" s="20" t="s">
        <v>122</v>
      </c>
      <c r="CY340" s="20" t="s">
        <v>122</v>
      </c>
      <c r="CZ340" s="20" t="s">
        <v>122</v>
      </c>
      <c r="DA340" s="20" t="s">
        <v>122</v>
      </c>
      <c r="DB340" s="503">
        <f t="shared" si="877"/>
        <v>0</v>
      </c>
      <c r="DC340" s="127">
        <v>0</v>
      </c>
      <c r="DD340" s="127">
        <v>0</v>
      </c>
      <c r="DE340" s="127">
        <v>0</v>
      </c>
      <c r="DF340" s="127">
        <v>0</v>
      </c>
      <c r="DG340" s="127">
        <v>0</v>
      </c>
      <c r="DH340" s="127">
        <v>0</v>
      </c>
      <c r="DI340" s="127">
        <v>0</v>
      </c>
      <c r="DJ340" s="127">
        <v>0</v>
      </c>
      <c r="DK340" s="127">
        <v>0</v>
      </c>
      <c r="DL340" s="127">
        <v>0</v>
      </c>
      <c r="DM340" s="304">
        <f>INDEX(Input!$1:$1048576,DM$93,$C340*2+6)</f>
        <v>21036.84210526316</v>
      </c>
      <c r="DN340" s="20">
        <v>0</v>
      </c>
      <c r="DO340" s="20">
        <v>0</v>
      </c>
      <c r="DP340" s="20">
        <v>0</v>
      </c>
      <c r="DQ340" s="20">
        <v>0</v>
      </c>
      <c r="DR340" s="20">
        <v>0</v>
      </c>
      <c r="DS340" s="20">
        <f>INDEX(Input!$1:$1048576,DS$93,$C340*2+6)</f>
        <v>0.6</v>
      </c>
      <c r="DT340" s="20">
        <f>INDEX(Input!$1:$1048576,DT$93,$C340*2+6)</f>
        <v>0.55000000000000004</v>
      </c>
      <c r="DU340" s="20">
        <f>INDEX(Input!$1:$1048576,DU$93,$C340*2+6)</f>
        <v>0.52</v>
      </c>
      <c r="DV340" s="20">
        <f>INDEX(Input!$1:$1048576,DV$93,$C340*2+6)</f>
        <v>0.5</v>
      </c>
      <c r="DW340" s="20">
        <f>INDEX(Input!$1:$1048576,DW$93,$C340*2+6)</f>
        <v>0.45</v>
      </c>
      <c r="DX340" s="20"/>
      <c r="DY340" s="7">
        <v>0.10660846454814107</v>
      </c>
      <c r="DZ340" s="7">
        <v>0</v>
      </c>
      <c r="EA340" s="7">
        <v>0.69893226769027628</v>
      </c>
      <c r="EB340" s="7">
        <v>0</v>
      </c>
      <c r="EC340" s="7">
        <v>0</v>
      </c>
      <c r="ED340" s="7">
        <v>0</v>
      </c>
      <c r="EE340" s="7">
        <v>0</v>
      </c>
      <c r="EF340" s="7">
        <v>0</v>
      </c>
      <c r="EG340" s="7">
        <v>0</v>
      </c>
      <c r="EH340" s="7">
        <v>1.2000530958537564E-2</v>
      </c>
      <c r="EI340" s="7">
        <v>3.3600015288386298E-2</v>
      </c>
      <c r="EJ340" s="7">
        <v>0.27039499486203544</v>
      </c>
      <c r="EK340" s="7">
        <v>0.54257557198807105</v>
      </c>
      <c r="EL340" s="7">
        <v>0.14142888690296915</v>
      </c>
      <c r="EM340" s="7">
        <v>3.8046507650769175E-2</v>
      </c>
      <c r="EN340" s="7">
        <v>6.4641407375997384E-2</v>
      </c>
      <c r="EO340" s="7">
        <v>0.79123094869042054</v>
      </c>
      <c r="EP340" s="7">
        <v>5.9222298164993734E-2</v>
      </c>
      <c r="EQ340" s="7">
        <v>5.5211856832518558E-2</v>
      </c>
      <c r="ER340" s="7">
        <v>2.969348893606992E-2</v>
      </c>
      <c r="ES340" s="7">
        <v>0.15641276011081345</v>
      </c>
      <c r="ET340" s="7">
        <v>0.19445926776158273</v>
      </c>
      <c r="EU340" s="6">
        <v>2111</v>
      </c>
      <c r="EV340" s="6">
        <v>0</v>
      </c>
      <c r="EW340" s="6">
        <v>2111</v>
      </c>
      <c r="EX340" s="6">
        <v>0</v>
      </c>
      <c r="EY340" s="6">
        <v>2335.5535161184271</v>
      </c>
      <c r="EZ340" s="6">
        <v>2649</v>
      </c>
      <c r="FA340" s="6">
        <v>0</v>
      </c>
      <c r="FB340" s="6">
        <v>0</v>
      </c>
      <c r="FC340" s="6">
        <v>0</v>
      </c>
      <c r="FD340" s="6">
        <v>0</v>
      </c>
      <c r="FE340" s="6">
        <v>0</v>
      </c>
      <c r="FF340" s="6">
        <v>0</v>
      </c>
      <c r="FG340" s="6">
        <v>0</v>
      </c>
      <c r="FH340" s="6">
        <v>1172.0031673586138</v>
      </c>
      <c r="FI340" s="6">
        <v>1553.9796069512399</v>
      </c>
      <c r="FJ340" s="6">
        <v>2101.2110117447414</v>
      </c>
      <c r="FK340" s="6">
        <v>1772.7139978623234</v>
      </c>
      <c r="FL340" s="6">
        <v>907.07682140966301</v>
      </c>
      <c r="FM340" s="6">
        <v>1724.5535161184271</v>
      </c>
      <c r="FN340" s="6">
        <v>0</v>
      </c>
      <c r="FO340" s="6">
        <v>0</v>
      </c>
      <c r="FP340" s="6">
        <v>0</v>
      </c>
      <c r="FQ340" s="6">
        <v>0</v>
      </c>
      <c r="FR340" s="6">
        <v>0</v>
      </c>
      <c r="FS340" s="6">
        <v>0</v>
      </c>
      <c r="FT340" s="7">
        <v>0.80554073223841738</v>
      </c>
      <c r="FU340" s="7">
        <v>3.8046507650769175E-2</v>
      </c>
      <c r="FV340" s="7">
        <v>0.15641276011081345</v>
      </c>
      <c r="FW340" s="6">
        <v>2111</v>
      </c>
      <c r="FX340" s="6">
        <v>2335.5535161184271</v>
      </c>
      <c r="FY340" s="6">
        <v>2649</v>
      </c>
      <c r="FZ340" s="6">
        <v>1858.9243755539039</v>
      </c>
      <c r="GA340" s="6">
        <v>2203.6935420086247</v>
      </c>
      <c r="GB340" s="6">
        <v>17781.306457991377</v>
      </c>
      <c r="GC340" s="7">
        <v>2.9156573141622111E-2</v>
      </c>
      <c r="GD340" s="7">
        <v>3.1137412600093173E-2</v>
      </c>
      <c r="GE340" s="7"/>
      <c r="GF340" s="7"/>
      <c r="GG340" s="7">
        <v>6.7938006598016076E-2</v>
      </c>
      <c r="GH340" s="42">
        <v>3.9381162643489058</v>
      </c>
      <c r="GI340" s="6">
        <v>7278.4548386520928</v>
      </c>
      <c r="GJ340" s="14">
        <v>0.50394797582841722</v>
      </c>
      <c r="GK340" s="14">
        <v>0.50887573065309732</v>
      </c>
      <c r="GL340" s="14">
        <v>0.49605202417158278</v>
      </c>
      <c r="GM340" s="14">
        <v>0.4911242693469024</v>
      </c>
      <c r="GO340" s="5">
        <v>343.14810671672558</v>
      </c>
      <c r="GP340" s="5">
        <v>302.87425392274076</v>
      </c>
      <c r="GQ340" s="5">
        <v>535.04305713031317</v>
      </c>
      <c r="GR340" s="5">
        <v>410.15490233172511</v>
      </c>
      <c r="GS340" s="5">
        <v>339.42744393800166</v>
      </c>
      <c r="GT340" s="5">
        <v>293.4407446948278</v>
      </c>
      <c r="GU340" s="5">
        <v>258.04012322764959</v>
      </c>
      <c r="GV340" s="39" t="s">
        <v>392</v>
      </c>
      <c r="GW340" s="5">
        <v>482.65277777777777</v>
      </c>
      <c r="GX340" s="5">
        <v>361.98958333333331</v>
      </c>
      <c r="GY340" s="5">
        <v>289.59166666666664</v>
      </c>
      <c r="GZ340" s="5">
        <v>255.53408606924114</v>
      </c>
      <c r="HA340" s="5">
        <v>236.70336205047303</v>
      </c>
      <c r="HB340" s="39">
        <v>268.38232828906098</v>
      </c>
      <c r="HC340" s="5">
        <v>171.390625</v>
      </c>
      <c r="HD340" s="5">
        <v>160.70330774853798</v>
      </c>
      <c r="HE340" s="5">
        <v>167.52103997975706</v>
      </c>
      <c r="HF340" s="5">
        <v>159.65063048245611</v>
      </c>
      <c r="HG340" s="5">
        <v>159.85888157894735</v>
      </c>
      <c r="HH340" s="39">
        <v>161.71471852212281</v>
      </c>
      <c r="HI340" s="16"/>
      <c r="HJ340" s="19" t="str">
        <f t="shared" si="984"/>
        <v>On</v>
      </c>
      <c r="HK340" s="1" t="str">
        <f t="shared" si="984"/>
        <v>On</v>
      </c>
      <c r="HL340" s="16"/>
      <c r="HM340" s="639">
        <f t="shared" si="878"/>
        <v>2.2758057894877178E-2</v>
      </c>
      <c r="HN340" s="639">
        <f t="shared" si="879"/>
        <v>1.416759231746561E-3</v>
      </c>
      <c r="HO340" s="639">
        <f t="shared" si="880"/>
        <v>4.5732401537654987E-3</v>
      </c>
      <c r="HP340" s="644">
        <f>(FT340*$GD340-HM340)/$JF340*INDEX(Input!$1:$1048576,$JG$93,$C340*2+6)</f>
        <v>130.17498635226062</v>
      </c>
      <c r="HQ340" s="644">
        <f>(FU340*$GD340-HN340)/$JF340*INDEX(Input!$1:$1048576,$JG$93,$C340*2+6)</f>
        <v>-12.997886106076241</v>
      </c>
      <c r="HR340" s="644">
        <f>(FV340*$GD340-HO340)/$JF340*INDEX(Input!$1:$1048576,$JG$93,$C340*2+6)</f>
        <v>16.635839779766851</v>
      </c>
      <c r="HS340" s="644">
        <f t="shared" si="985"/>
        <v>-64.592867997231181</v>
      </c>
      <c r="HT340" s="644">
        <f t="shared" si="882"/>
        <v>12.72881264796227</v>
      </c>
      <c r="HU340" s="644">
        <f t="shared" si="883"/>
        <v>23.964761944914617</v>
      </c>
      <c r="HV340" s="648">
        <f t="shared" si="884"/>
        <v>0</v>
      </c>
      <c r="HW340" s="648">
        <f t="shared" si="885"/>
        <v>0</v>
      </c>
      <c r="HX340" s="648">
        <f t="shared" si="886"/>
        <v>0</v>
      </c>
      <c r="HY340" s="644">
        <f>INDEX(Input!$1:$1048576,HY$93,$C340*2+6)*INDEX(Input!$1:$1048576,$JG$93,$C340*2+6)</f>
        <v>509.00000000000006</v>
      </c>
      <c r="HZ340" s="644">
        <f>INDEX(Input!$1:$1048576,HZ$93,$C340*2+6)*INDEX(Input!$1:$1048576,$JG$93,$C340*2+6)</f>
        <v>844</v>
      </c>
      <c r="IA340" s="644">
        <f>INDEX(Input!$1:$1048576,IA$93,$C340*2+6)*INDEX(Input!$1:$1048576,$JG$93,$C340*2+6)</f>
        <v>257</v>
      </c>
      <c r="IB340" s="644">
        <f t="shared" si="910"/>
        <v>574.58211835502937</v>
      </c>
      <c r="IC340" s="644">
        <f t="shared" si="911"/>
        <v>843.73092654188599</v>
      </c>
      <c r="ID340" s="644">
        <f>IF(AND(INDEX(Input!$1:$1048576,IA$93,$C340*2+7)="TOS",Y340&lt;=INDEX(Y:Y,MATCH(C340*1000+2,A:A))),0,1)*MAX(IA340+HR340+HU340+HX340,0%)</f>
        <v>297.6006017246815</v>
      </c>
      <c r="IE340" s="128">
        <f t="shared" si="986"/>
        <v>0.33485491503975406</v>
      </c>
      <c r="IF340" s="128">
        <f t="shared" si="977"/>
        <v>0.49170943316586979</v>
      </c>
      <c r="IG340" s="128">
        <f t="shared" si="888"/>
        <v>0.17343565179437617</v>
      </c>
      <c r="IH340" s="21"/>
      <c r="II340" s="19">
        <f t="shared" si="889"/>
        <v>1410.4999999999998</v>
      </c>
      <c r="IJ340" s="19">
        <f t="shared" si="890"/>
        <v>2134.9731585778086</v>
      </c>
      <c r="IK340" s="19">
        <f t="shared" si="891"/>
        <v>2103.5</v>
      </c>
      <c r="IL340" s="19">
        <f t="shared" si="913"/>
        <v>700.50000000000023</v>
      </c>
      <c r="IM340" s="19">
        <f t="shared" si="892"/>
        <v>200.58035754061848</v>
      </c>
      <c r="IN340" s="19">
        <f t="shared" si="893"/>
        <v>545.5</v>
      </c>
      <c r="IO340" s="39">
        <f t="shared" si="894"/>
        <v>0</v>
      </c>
      <c r="IP340" s="39">
        <f t="shared" si="895"/>
        <v>0</v>
      </c>
      <c r="IQ340" s="39">
        <f t="shared" si="896"/>
        <v>0</v>
      </c>
      <c r="IR340" s="39">
        <v>0</v>
      </c>
      <c r="IS340" s="39">
        <v>0</v>
      </c>
      <c r="IT340" s="39">
        <v>0</v>
      </c>
      <c r="IU340" s="39">
        <v>0</v>
      </c>
      <c r="IV340" s="39">
        <v>0</v>
      </c>
      <c r="IW340" s="39">
        <v>0</v>
      </c>
      <c r="IX340" s="39">
        <f>INDEX(Input!$1:$1048576,IX$93,$C340*2+6)+INDEX(Input!$1:$1048576,IX$94,$C340*2+6)</f>
        <v>1611</v>
      </c>
      <c r="IY340" s="39">
        <f>INDEX(Input!$1:$1048576,IY$93,$C340*2+6)+INDEX(Input!$1:$1048576,IY$94,$C340*2+6)</f>
        <v>2471.0624533823611</v>
      </c>
      <c r="IZ340" s="39">
        <f>INDEX(Input!$1:$1048576,IZ$93,$C340*2+6)+INDEX(Input!$1:$1048576,IZ$94,$C340*2+6)</f>
        <v>3994.7164157747857</v>
      </c>
      <c r="JA340" s="19">
        <f t="shared" si="914"/>
        <v>2311.5</v>
      </c>
      <c r="JB340" s="19">
        <f t="shared" si="915"/>
        <v>2671.6428109229796</v>
      </c>
      <c r="JC340" s="19">
        <f t="shared" si="916"/>
        <v>4540.2164157747857</v>
      </c>
      <c r="JD340" s="19">
        <f t="shared" si="917"/>
        <v>2875.1245016524272</v>
      </c>
      <c r="JE340" s="21"/>
      <c r="JF340" s="1">
        <f t="shared" si="897"/>
        <v>2.8748057280389237E-2</v>
      </c>
      <c r="JG340" s="15">
        <f>INDEX(Input!$1:$1048576,JG$93,$C340*2+6)/(1+VLOOKUP(C340*1000+INDEX(Input!$1:$1048576,JG$93+1,$C340*2+6),$A:$KK,$JK$92,FALSE))</f>
        <v>1610</v>
      </c>
      <c r="JH340" s="1">
        <f t="shared" si="918"/>
        <v>8.3113627345311331E-2</v>
      </c>
      <c r="JI340" s="1">
        <f t="shared" si="919"/>
        <v>-1.7328753667300804E-2</v>
      </c>
      <c r="JJ340" s="1">
        <f t="shared" si="978"/>
        <v>0</v>
      </c>
      <c r="JK340" s="1">
        <f t="shared" si="979"/>
        <v>6.578487367801053E-2</v>
      </c>
      <c r="JL340" s="15">
        <f t="shared" si="922"/>
        <v>105.91364662159695</v>
      </c>
      <c r="JM340" s="15">
        <f t="shared" si="948"/>
        <v>1715.9136466215969</v>
      </c>
      <c r="JN340" s="21"/>
      <c r="JO340" s="19">
        <f>INDEX(Input!$1:$1048576,JO$93,$C340*2+6)</f>
        <v>5995.5</v>
      </c>
      <c r="JP340" s="19">
        <f>INDEX(Input!$1:$1048576,JP$93,$C340*2+6)</f>
        <v>2442.3713226762939</v>
      </c>
      <c r="JQ340" s="39">
        <f t="shared" si="934"/>
        <v>3120.3754983475728</v>
      </c>
      <c r="JR340" s="39">
        <f t="shared" si="951"/>
        <v>432.75317897613331</v>
      </c>
      <c r="JS340" s="39">
        <f t="shared" si="936"/>
        <v>4.9334653681215181</v>
      </c>
      <c r="JT340" s="39">
        <f t="shared" si="924"/>
        <v>1.0012475386126847</v>
      </c>
      <c r="JU340" s="385">
        <f>(JQ340*JM340-INDEX(Input!$1:$1048576,Input!A$18,$C340*2+6)*JL340*INDEX(Input!$1:$1048576,Input!A$19,$C340*2+6))/1000000</f>
        <v>5.3542949001982656</v>
      </c>
      <c r="JV340" s="39">
        <f t="shared" si="958"/>
        <v>-0.36624227029290157</v>
      </c>
      <c r="JW340" s="1">
        <f t="shared" si="949"/>
        <v>-6.4022356533600833E-2</v>
      </c>
      <c r="JX340" s="19">
        <f t="shared" si="940"/>
        <v>9453.4327780242747</v>
      </c>
      <c r="JZ340" s="341"/>
      <c r="KA340" s="342"/>
      <c r="KB340" s="469">
        <f t="shared" si="937"/>
        <v>2.5190675447988795</v>
      </c>
      <c r="KI340" s="473">
        <f t="shared" si="987"/>
        <v>65.582118355029309</v>
      </c>
      <c r="KJ340" s="473">
        <f t="shared" si="988"/>
        <v>-0.26907345811400774</v>
      </c>
      <c r="KK340" s="473">
        <f t="shared" si="926"/>
        <v>40.600601724681496</v>
      </c>
      <c r="KN340" s="544">
        <f t="shared" si="941"/>
        <v>3002</v>
      </c>
      <c r="KO340" s="541">
        <f t="shared" si="901"/>
        <v>3.4224085384567227E-2</v>
      </c>
      <c r="KP340" s="546">
        <f t="shared" si="902"/>
        <v>229.87990629146486</v>
      </c>
      <c r="KQ340" s="546">
        <f t="shared" si="903"/>
        <v>239.21107626372896</v>
      </c>
      <c r="KR340" s="548">
        <f t="shared" si="904"/>
        <v>2.5828991748453292</v>
      </c>
      <c r="KS340" s="548">
        <f t="shared" si="905"/>
        <v>2.4821451813507691</v>
      </c>
      <c r="KT340" s="473">
        <f t="shared" si="939"/>
        <v>1026.1618045255443</v>
      </c>
      <c r="KU340" s="663">
        <f t="shared" si="927"/>
        <v>4.672273300539266</v>
      </c>
      <c r="KV340" s="117"/>
    </row>
    <row r="341" spans="1:308" s="26" customFormat="1" ht="15">
      <c r="A341" s="561">
        <f t="shared" si="906"/>
        <v>3041</v>
      </c>
      <c r="B341" s="561">
        <f t="shared" si="928"/>
        <v>41</v>
      </c>
      <c r="C341" s="561">
        <f t="shared" si="929"/>
        <v>3</v>
      </c>
      <c r="D341" s="561" t="str">
        <f t="shared" si="974"/>
        <v xml:space="preserve">750 CC, 360 Lease, </v>
      </c>
      <c r="E341" s="475">
        <f>INDEX(Input!$1:$1048576,E$93,$C341*2+MIN($B341,2)+5)
+INDEX(Scenarios!E$121:E$200,MATCH($B341,Scenarios!$B$121:$B$200,0))</f>
        <v>2037.0236024844721</v>
      </c>
      <c r="F341" s="475">
        <f>INDEX(Input!$1:$1048576,F$93,$C341*2+MIN($B341,2)+5)
+INDEX(Scenarios!F$121:F$200,MATCH($B341,Scenarios!$B$121:$B$200,0))</f>
        <v>0</v>
      </c>
      <c r="G341" s="475">
        <f>INDEX(Input!$1:$1048576,G$93,$C341*2+MIN($B341,2)+5)
+INDEX(Scenarios!G$121:G$200,MATCH($B341,Scenarios!$B$121:$B$200,0))</f>
        <v>0</v>
      </c>
      <c r="H341" s="475">
        <f>INDEX(Input!$1:$1048576,H$93,$C341*2+MIN($B341,2)+5)
+INDEX(Scenarios!H$121:H$200,MATCH($B341,Scenarios!$B$121:$B$200,0))</f>
        <v>0</v>
      </c>
      <c r="I341" s="476">
        <f>INDEX(Input!$1:$1048576,I$93,$C341*2+MIN($B341,2)+5)</f>
        <v>0.7</v>
      </c>
      <c r="J341" s="476" t="str">
        <f>INDEX(Input!$1:$1048576,J$93,$C341*2+MIN($B341,2)+5)</f>
        <v>Market</v>
      </c>
      <c r="K341" s="476" t="str">
        <f>INDEX(Input!$1:$1048576,K$93,$C341*2+MIN($B341,2)+5)</f>
        <v>Market</v>
      </c>
      <c r="L341" s="476" t="str">
        <f>INDEX(Input!$1:$1048576,L$93,$C341*2+MIN($B341,2)+5)</f>
        <v>Market</v>
      </c>
      <c r="M341" s="476" t="str">
        <f>INDEX(Input!$1:$1048576,M$93,$C341*2+MIN($B341,2)+5)</f>
        <v>Market</v>
      </c>
      <c r="N341" s="476" t="str">
        <f>INDEX(Input!$1:$1048576,N$93,$C341*2+MIN($B341,2)+5)</f>
        <v>Market</v>
      </c>
      <c r="O341" s="476" t="str">
        <f>INDEX(Input!$1:$1048576,O$93,$C341*2+MIN($B341,2)+5)</f>
        <v>Market</v>
      </c>
      <c r="P341" s="476" t="str">
        <f>INDEX(Input!$1:$1048576,P$93,$C341*2+MIN($B341,2)+5)</f>
        <v>N</v>
      </c>
      <c r="Q341" s="477">
        <f>INDEX(Input!$1:$1048576,Q$93,$C341*2+MIN($B341,2)+5)
+INDEX(Scenarios!Q$121:Q$200,MATCH($B341,Scenarios!$B$121:$B$200,0))</f>
        <v>0</v>
      </c>
      <c r="R341" s="478">
        <f>IFERROR(MAX(0,INDEX(Input!$1:$1048576,R$93,$C341*2+MIN($B341,2)+5)
+INDEX(Scenarios!R$121:R$200,MATCH($B341,Scenarios!$B$121:$B$200,0)),),"Market")</f>
        <v>0</v>
      </c>
      <c r="S341" s="478">
        <f>IFERROR(MAX(0,INDEX(Input!$1:$1048576,S$93,$C341*2+MIN($B341,2)+5)
+INDEX(Scenarios!S$121:S$200,MATCH($B341,Scenarios!$B$121:$B$200,0)),),"Market")</f>
        <v>0</v>
      </c>
      <c r="T341" s="478">
        <f>IFERROR(MAX(0,INDEX(Input!$1:$1048576,T$93,$C341*2+MIN($B341,2)+5)
+INDEX(Scenarios!T$121:T$200,MATCH($B341,Scenarios!$B$121:$B$200,0)),),"Market")</f>
        <v>0</v>
      </c>
      <c r="U341" s="478">
        <f>IFERROR(MAX(0,INDEX(Input!$1:$1048576,U$93,$C341*2+MIN($B341,2)+5)
+INDEX(Scenarios!U$121:U$200,MATCH($B341,Scenarios!$B$121:$B$200,0)),),"Market")</f>
        <v>0</v>
      </c>
      <c r="V341" s="478">
        <f>IFERROR(MAX(0,INDEX(Input!$1:$1048576,V$93,$C341*2+MIN($B341,2)+5)
+INDEX(Scenarios!V$121:V$200,MATCH($B341,Scenarios!$B$121:$B$200,0)),),"Market")</f>
        <v>1.9E-2</v>
      </c>
      <c r="W341" s="885">
        <f>IFERROR(MAX(0,INDEX(Input!$1:$1048576,W$93,$C341*2+MIN($B341,2)+5)-0%,),"Market")</f>
        <v>3.9E-2</v>
      </c>
      <c r="X341" s="476" t="str">
        <f>INDEX(Input!$1:$1048576,X$93,$C341*2+MIN($B341,2)+5)</f>
        <v>Y</v>
      </c>
      <c r="Y341" s="475">
        <f>INDEX(Input!$1:$1048576,Y$93,$C341*2+MIN($B341,2)+5)
++INDEX(Scenarios!Y$121:Y$200,MATCH($B341,Scenarios!$B$121:$B$200,0))</f>
        <v>1914.9999999999991</v>
      </c>
      <c r="Z341" s="477">
        <f>INDEX(Input!$1:$1048576,Z$93,$C341*2+MIN($B341,2)+5)
+INDEX(Scenarios!Z$121:Z$200,MATCH($B341,Scenarios!$B$121:$B$200,0))</f>
        <v>0</v>
      </c>
      <c r="AA341" s="475">
        <f>INDEX(Input!$1:$1048576,AA$93,$C341*2+MIN($B341,2)+5)
+INDEX(Scenarios!AA$121:AA$200,MATCH($B341,Scenarios!$B$121:$B$200,0))</f>
        <v>0</v>
      </c>
      <c r="AB341" s="476">
        <f>INDEX(Input!$1:$1048576,AB$93,$C341*2+MIN($B341,2)+5)</f>
        <v>0.27</v>
      </c>
      <c r="AC341" s="475">
        <f>INDEX(Input!$1:$1048576,AC$93,$C341*2+MIN($B341,2)+5)
+INDEX(Scenarios!AC$121:AC$200,MATCH($B341,Scenarios!$B$121:$B$200,0))</f>
        <v>0</v>
      </c>
      <c r="AD341" s="476">
        <f>INDEX(Input!$1:$1048576,AD$93,$C341*2+MIN($B341,2)+5)</f>
        <v>0.27</v>
      </c>
      <c r="AE341" s="475">
        <f>INDEX(Input!$1:$1048576,AE$93,$C341*2+MIN($B341,2)+5)
+INDEX(Scenarios!AE$121:AE$200,MATCH($B341,Scenarios!$B$121:$B$200,0))</f>
        <v>0</v>
      </c>
      <c r="AF341" s="476">
        <f>INDEX(Input!$1:$1048576,AF$93,$C341*2+MIN($B341,2)+5)</f>
        <v>0.68200000000000005</v>
      </c>
      <c r="AG341" s="475">
        <f>INDEX(Input!$1:$1048576,AG$93,$C341*2+MIN($B341,2)+5)
+INDEX(Scenarios!AG$121:AG$200,MATCH($B341,Scenarios!$B$121:$B$200,0))</f>
        <v>500</v>
      </c>
      <c r="AH341" s="476">
        <f>INDEX(Input!$1:$1048576,AH$93,$C341*2+MIN($B341,2)+5)</f>
        <v>1</v>
      </c>
      <c r="AI341" s="475">
        <f>INDEX(Input!$1:$1048576,AI$93,$C341*2+MIN($B341,2)+5)
+INDEX(Scenarios!AI$121:AI$200,MATCH($B341,Scenarios!$B$121:$B$200,0))</f>
        <v>0</v>
      </c>
      <c r="AJ341" s="476">
        <f>INDEX(Input!$1:$1048576,AJ$93,$C341*2+MIN($B341,2)+5)</f>
        <v>0.27</v>
      </c>
      <c r="AK341" s="150">
        <f>ROUND(INDEX(Input!$1:$1048576,AK$93,$C340*2+MIN($B341,1)+5)+(Y341-VLOOKUP($C341*1000+1,$A:$HH,Y$92,FALSE)),0)</f>
        <v>3337</v>
      </c>
      <c r="AL341" s="150">
        <f>ROUND(INDEX(Input!$1:$1048576,AL$93,$C340*2+MIN($B341,1)+5)-(Y341-VLOOKUP($C341*1000+1,$A:$HH,Y$92,FALSE))/36,0)</f>
        <v>3385</v>
      </c>
      <c r="AM341" s="32" t="str">
        <f t="shared" si="907"/>
        <v>std/std/std/std</v>
      </c>
      <c r="AN341" s="32" t="str">
        <f t="shared" si="908"/>
        <v>$0 + 0/0/0/1.9/3.9</v>
      </c>
      <c r="AO341" s="32" t="str">
        <f t="shared" si="909"/>
        <v>0/0/0/1.9/3.9</v>
      </c>
      <c r="AP341" s="32" t="str">
        <f t="shared" si="863"/>
        <v>0/0.9/1.9/3.9</v>
      </c>
      <c r="AQ341" s="536">
        <f t="shared" si="862"/>
        <v>0.35868895710545895</v>
      </c>
      <c r="AR341" s="32"/>
      <c r="AS341" s="302"/>
      <c r="AT341" s="3">
        <f t="shared" si="930"/>
        <v>41</v>
      </c>
      <c r="AU341" s="41" t="s">
        <v>121</v>
      </c>
      <c r="AV341" s="41" t="s">
        <v>116</v>
      </c>
      <c r="AW341" s="41" t="str">
        <f>INDEX(Input!$1:$1048576,AW$93,$C341*2+6)</f>
        <v>Kia</v>
      </c>
      <c r="AX341" s="41" t="str">
        <f>INDEX(Input!$1:$1048576,AX$93,$C341*2+6)</f>
        <v>Kia-LR - L3</v>
      </c>
      <c r="AY341" s="41" t="str">
        <f>IF(LEN(D341)=0,"",INDEX(Input!$1:$1048576,AY$93,$C341*2+6))</f>
        <v>Compact SUV (52)</v>
      </c>
      <c r="AZ341" s="41" t="str">
        <f>INDEX(Input!$1:$1048576,AZ$93,$C341*2+6)</f>
        <v>Kia Soul</v>
      </c>
      <c r="BA341" s="3">
        <f>INDEX(Input!$1:$1048576,BA$93,$C341*2+6)</f>
        <v>2020</v>
      </c>
      <c r="BB341" s="128">
        <f>INDEX(Input!$1:$1048576,BB$93,$C341*2+6)</f>
        <v>1</v>
      </c>
      <c r="BC341" s="128">
        <f>INDEX(Input!$1:$1048576,BC$93,$C341*2+6)</f>
        <v>0.7</v>
      </c>
      <c r="BD341" s="1">
        <f>INDEX(Input!$1:$1048576,BD$93,$C341*2+6)</f>
        <v>4.4999999999999998E-2</v>
      </c>
      <c r="BE341" s="1">
        <f>INDEX(Input!$1:$1048576,BE$93,$C341*2+6)</f>
        <v>4.4999999999999998E-2</v>
      </c>
      <c r="BF341" s="1">
        <f>INDEX(Input!$1:$1048576,BF$93,$C341*2+6)</f>
        <v>0.05</v>
      </c>
      <c r="BG341" s="1">
        <f>INDEX(Input!$1:$1048576,BG$93,$C341*2+6)</f>
        <v>5.45E-2</v>
      </c>
      <c r="BH341" s="1">
        <f>INDEX(Input!$1:$1048576,BH$93,$C341*2+6)</f>
        <v>5.45E-2</v>
      </c>
      <c r="BI341" s="1">
        <f>INDEX(Input!$1:$1048576,BI$93,$C341*2+6)</f>
        <v>0.05</v>
      </c>
      <c r="BJ341" s="1">
        <f>INDEX(Input!$1:$1048576,BJ$93,$C341*2+6)</f>
        <v>0.05</v>
      </c>
      <c r="BK341" s="1">
        <f>INDEX(Input!$1:$1048576,BK$93,$C341*2+6)</f>
        <v>0.05</v>
      </c>
      <c r="BL341" s="1">
        <f>INDEX(Input!$1:$1048576,BL$93,$C341*2+6)</f>
        <v>5.5E-2</v>
      </c>
      <c r="BM341" s="1">
        <f>INDEX(Input!$1:$1048576,BM$93,$C341*2+6)</f>
        <v>0.06</v>
      </c>
      <c r="BN341" s="1">
        <f>INDEX(Input!$1:$1048576,BN$93,$C341*2+6)</f>
        <v>4.4999999999999998E-2</v>
      </c>
      <c r="BO341" s="1">
        <f>INDEX(Input!$1:$1048576,BO$93,$C341*2+6)</f>
        <v>4.4999999999999998E-2</v>
      </c>
      <c r="BP341" s="1">
        <f>INDEX(Input!$1:$1048576,BP$93,$C341*2+6)</f>
        <v>0.05</v>
      </c>
      <c r="BQ341" s="1">
        <f>INDEX(Input!$1:$1048576,BQ$93,$C341*2+6)</f>
        <v>5.45E-2</v>
      </c>
      <c r="BR341" s="1">
        <f>INDEX(Input!$1:$1048576,BR$93,$C341*2+6)</f>
        <v>5.45E-2</v>
      </c>
      <c r="BS341" s="1">
        <f>INDEX(Input!$1:$1048576,BS$93,$C341*2+6)</f>
        <v>0.05</v>
      </c>
      <c r="BT341" s="1">
        <f>INDEX(Input!$1:$1048576,BT$93,$C341*2+6)</f>
        <v>0.05</v>
      </c>
      <c r="BU341" s="1">
        <f>INDEX(Input!$1:$1048576,BU$93,$C341*2+6)</f>
        <v>0.05</v>
      </c>
      <c r="BV341" s="1">
        <f>INDEX(Input!$1:$1048576,BV$93,$C341*2+6)</f>
        <v>5.5E-2</v>
      </c>
      <c r="BW341" s="1">
        <f>INDEX(Input!$1:$1048576,BW$93,$C341*2+6)</f>
        <v>0.06</v>
      </c>
      <c r="BX341" s="127">
        <f>INDEX(Input!$1:$1048576,BX$93,$C341*2+6)</f>
        <v>19985</v>
      </c>
      <c r="BY341" s="20">
        <f>INDEX(Input!$1:$1048576,BY$93,$C341*2+6)</f>
        <v>0.1</v>
      </c>
      <c r="BZ341" s="20">
        <f>INDEX(Input!$1:$1048576,BZ$93,$C341*2+6)</f>
        <v>0.1</v>
      </c>
      <c r="CA341" s="20">
        <f>INDEX(Input!$1:$1048576,CA$93,$C341*2+6)</f>
        <v>0.1</v>
      </c>
      <c r="CB341" s="20">
        <f>INDEX(Input!$1:$1048576,CB$93,$C341*2+6)</f>
        <v>0.1</v>
      </c>
      <c r="CC341" s="20">
        <f>INDEX(Input!$1:$1048576,CC$93,$C341*2+6)</f>
        <v>0.1</v>
      </c>
      <c r="CD341" s="384">
        <f>INDEX(Input!$1:$1048576,CD$93,$C341*2+6)</f>
        <v>0.1</v>
      </c>
      <c r="CE341" s="384">
        <f>INDEX(Input!$1:$1048576,CE$93,$C341*2+6)</f>
        <v>0.1</v>
      </c>
      <c r="CF341" s="384">
        <f>INDEX(Input!$1:$1048576,CF$93,$C341*2+6)</f>
        <v>0.1</v>
      </c>
      <c r="CG341" s="384">
        <f>INDEX(Input!$1:$1048576,CG$93,$C341*2+6)</f>
        <v>0.1</v>
      </c>
      <c r="CH341" s="384">
        <f>INDEX(Input!$1:$1048576,CH$93,$C341*2+6)</f>
        <v>0.1</v>
      </c>
      <c r="CI341" s="304">
        <f t="shared" si="864"/>
        <v>2037.0236024844721</v>
      </c>
      <c r="CJ341" s="16" t="str">
        <f>INDEX(Input!$1:$1048576,CJ$93,$C341*2+6)</f>
        <v>N</v>
      </c>
      <c r="CK341" s="1" t="str">
        <f t="shared" si="865"/>
        <v>Market</v>
      </c>
      <c r="CL341" s="1" t="str">
        <f t="shared" si="866"/>
        <v>Market</v>
      </c>
      <c r="CM341" s="1" t="str">
        <f t="shared" si="867"/>
        <v>Market</v>
      </c>
      <c r="CN341" s="1" t="str">
        <f t="shared" si="868"/>
        <v>Market</v>
      </c>
      <c r="CO341" s="1" t="str">
        <f t="shared" si="869"/>
        <v>Market</v>
      </c>
      <c r="CP341" s="304">
        <f t="shared" si="870"/>
        <v>500</v>
      </c>
      <c r="CQ341" s="1">
        <f t="shared" si="871"/>
        <v>0</v>
      </c>
      <c r="CR341" s="1">
        <f t="shared" si="872"/>
        <v>0</v>
      </c>
      <c r="CS341" s="1">
        <f t="shared" si="873"/>
        <v>0</v>
      </c>
      <c r="CT341" s="1">
        <f t="shared" si="874"/>
        <v>1.9E-2</v>
      </c>
      <c r="CU341" s="1">
        <f t="shared" si="875"/>
        <v>3.9E-2</v>
      </c>
      <c r="CV341" s="304">
        <f t="shared" si="876"/>
        <v>1914.9999999999991</v>
      </c>
      <c r="CW341" s="20" t="s">
        <v>122</v>
      </c>
      <c r="CX341" s="20" t="s">
        <v>122</v>
      </c>
      <c r="CY341" s="20" t="s">
        <v>122</v>
      </c>
      <c r="CZ341" s="20" t="s">
        <v>122</v>
      </c>
      <c r="DA341" s="20" t="s">
        <v>122</v>
      </c>
      <c r="DB341" s="503">
        <f t="shared" si="877"/>
        <v>0</v>
      </c>
      <c r="DC341" s="127">
        <v>0</v>
      </c>
      <c r="DD341" s="127">
        <v>0</v>
      </c>
      <c r="DE341" s="127">
        <v>0</v>
      </c>
      <c r="DF341" s="127">
        <v>0</v>
      </c>
      <c r="DG341" s="127">
        <v>0</v>
      </c>
      <c r="DH341" s="127">
        <v>0</v>
      </c>
      <c r="DI341" s="127">
        <v>0</v>
      </c>
      <c r="DJ341" s="127">
        <v>0</v>
      </c>
      <c r="DK341" s="127">
        <v>0</v>
      </c>
      <c r="DL341" s="127">
        <v>0</v>
      </c>
      <c r="DM341" s="304">
        <f>INDEX(Input!$1:$1048576,DM$93,$C341*2+6)</f>
        <v>21036.84210526316</v>
      </c>
      <c r="DN341" s="20">
        <v>0</v>
      </c>
      <c r="DO341" s="20">
        <v>0</v>
      </c>
      <c r="DP341" s="20">
        <v>0</v>
      </c>
      <c r="DQ341" s="20">
        <v>0</v>
      </c>
      <c r="DR341" s="20">
        <v>0</v>
      </c>
      <c r="DS341" s="20">
        <f>INDEX(Input!$1:$1048576,DS$93,$C341*2+6)</f>
        <v>0.6</v>
      </c>
      <c r="DT341" s="20">
        <f>INDEX(Input!$1:$1048576,DT$93,$C341*2+6)</f>
        <v>0.55000000000000004</v>
      </c>
      <c r="DU341" s="20">
        <f>INDEX(Input!$1:$1048576,DU$93,$C341*2+6)</f>
        <v>0.52</v>
      </c>
      <c r="DV341" s="20">
        <f>INDEX(Input!$1:$1048576,DV$93,$C341*2+6)</f>
        <v>0.5</v>
      </c>
      <c r="DW341" s="20">
        <f>INDEX(Input!$1:$1048576,DW$93,$C341*2+6)</f>
        <v>0.45</v>
      </c>
      <c r="DX341" s="20"/>
      <c r="DY341" s="7">
        <v>0.11181271780843811</v>
      </c>
      <c r="DZ341" s="7">
        <v>0</v>
      </c>
      <c r="EA341" s="7">
        <v>0.71415505791719991</v>
      </c>
      <c r="EB341" s="7">
        <v>0</v>
      </c>
      <c r="EC341" s="7">
        <v>0</v>
      </c>
      <c r="ED341" s="7">
        <v>0</v>
      </c>
      <c r="EE341" s="7">
        <v>0</v>
      </c>
      <c r="EF341" s="7">
        <v>0</v>
      </c>
      <c r="EG341" s="7">
        <v>0</v>
      </c>
      <c r="EH341" s="7">
        <v>1.200118447688435E-2</v>
      </c>
      <c r="EI341" s="7">
        <v>3.3605247379721516E-2</v>
      </c>
      <c r="EJ341" s="7">
        <v>0.2705927697531319</v>
      </c>
      <c r="EK341" s="7">
        <v>0.54244603143900383</v>
      </c>
      <c r="EL341" s="7">
        <v>0.14135476695125851</v>
      </c>
      <c r="EM341" s="7">
        <v>3.4069476836400603E-2</v>
      </c>
      <c r="EN341" s="7">
        <v>6.4663806038273666E-2</v>
      </c>
      <c r="EO341" s="7">
        <v>0.79126227730682386</v>
      </c>
      <c r="EP341" s="7">
        <v>5.9186001773798867E-2</v>
      </c>
      <c r="EQ341" s="7">
        <v>5.519207890882856E-2</v>
      </c>
      <c r="ER341" s="7">
        <v>2.9695835972275118E-2</v>
      </c>
      <c r="ES341" s="7">
        <v>0.13996274743796139</v>
      </c>
      <c r="ET341" s="7">
        <v>0.17403222427436199</v>
      </c>
      <c r="EU341" s="6">
        <v>2361</v>
      </c>
      <c r="EV341" s="6">
        <v>0</v>
      </c>
      <c r="EW341" s="6">
        <v>2361</v>
      </c>
      <c r="EX341" s="6">
        <v>0</v>
      </c>
      <c r="EY341" s="6">
        <v>2335.6811596876887</v>
      </c>
      <c r="EZ341" s="6">
        <v>2649</v>
      </c>
      <c r="FA341" s="6">
        <v>0</v>
      </c>
      <c r="FB341" s="6">
        <v>0</v>
      </c>
      <c r="FC341" s="6">
        <v>0</v>
      </c>
      <c r="FD341" s="6">
        <v>0</v>
      </c>
      <c r="FE341" s="6">
        <v>0</v>
      </c>
      <c r="FF341" s="6">
        <v>0</v>
      </c>
      <c r="FG341" s="6">
        <v>0</v>
      </c>
      <c r="FH341" s="6">
        <v>1172.0074282928135</v>
      </c>
      <c r="FI341" s="6">
        <v>1553.9796069512402</v>
      </c>
      <c r="FJ341" s="6">
        <v>2101.2110117447405</v>
      </c>
      <c r="FK341" s="6">
        <v>1772.7139978623227</v>
      </c>
      <c r="FL341" s="6">
        <v>907.07682140966335</v>
      </c>
      <c r="FM341" s="6">
        <v>1724.6811596876885</v>
      </c>
      <c r="FN341" s="6">
        <v>0</v>
      </c>
      <c r="FO341" s="6">
        <v>0</v>
      </c>
      <c r="FP341" s="6">
        <v>0</v>
      </c>
      <c r="FQ341" s="6">
        <v>0</v>
      </c>
      <c r="FR341" s="6">
        <v>0</v>
      </c>
      <c r="FS341" s="6">
        <v>0</v>
      </c>
      <c r="FT341" s="7">
        <v>0.82596777572563806</v>
      </c>
      <c r="FU341" s="7">
        <v>3.4069476836400603E-2</v>
      </c>
      <c r="FV341" s="7">
        <v>0.13996274743796139</v>
      </c>
      <c r="FW341" s="6">
        <v>2361</v>
      </c>
      <c r="FX341" s="6">
        <v>2335.6811596876887</v>
      </c>
      <c r="FY341" s="6">
        <v>2649</v>
      </c>
      <c r="FZ341" s="6">
        <v>1858.9243755539039</v>
      </c>
      <c r="GA341" s="6">
        <v>2400.446671618588</v>
      </c>
      <c r="GB341" s="6">
        <v>17584.553328381411</v>
      </c>
      <c r="GC341" s="7">
        <v>2.9156573141622111E-2</v>
      </c>
      <c r="GD341" s="7">
        <v>3.1902133296192542E-2</v>
      </c>
      <c r="GE341" s="7"/>
      <c r="GF341" s="7"/>
      <c r="GG341" s="7">
        <v>9.4166078476864604E-2</v>
      </c>
      <c r="GH341" s="42">
        <v>3.4752199346845507</v>
      </c>
      <c r="GI341" s="6">
        <v>8151.161842344628</v>
      </c>
      <c r="GJ341" s="14">
        <v>0.50394797582841733</v>
      </c>
      <c r="GK341" s="14">
        <v>0.50887573065309755</v>
      </c>
      <c r="GL341" s="14">
        <v>0.49605202417158278</v>
      </c>
      <c r="GM341" s="14">
        <v>0.49112426934690256</v>
      </c>
      <c r="GO341" s="5">
        <v>343.14810671672558</v>
      </c>
      <c r="GP341" s="5">
        <v>298.1047308538179</v>
      </c>
      <c r="GQ341" s="5">
        <v>535.04305713031317</v>
      </c>
      <c r="GR341" s="5">
        <v>410.15490233172511</v>
      </c>
      <c r="GS341" s="5">
        <v>339.42744393800166</v>
      </c>
      <c r="GT341" s="5">
        <v>293.4407446948278</v>
      </c>
      <c r="GU341" s="5">
        <v>258.04012322764959</v>
      </c>
      <c r="GV341" s="39" t="s">
        <v>392</v>
      </c>
      <c r="GW341" s="5">
        <v>482.65277777777777</v>
      </c>
      <c r="GX341" s="5">
        <v>361.98958333333331</v>
      </c>
      <c r="GY341" s="5">
        <v>289.59166666666664</v>
      </c>
      <c r="GZ341" s="5">
        <v>255.53408606924114</v>
      </c>
      <c r="HA341" s="5">
        <v>236.70336205047303</v>
      </c>
      <c r="HB341" s="39">
        <v>268.39116516682651</v>
      </c>
      <c r="HC341" s="5">
        <v>171.390625</v>
      </c>
      <c r="HD341" s="5">
        <v>160.70330774853798</v>
      </c>
      <c r="HE341" s="5">
        <v>167.52103997975706</v>
      </c>
      <c r="HF341" s="5">
        <v>159.65063048245611</v>
      </c>
      <c r="HG341" s="5">
        <v>159.85888157894735</v>
      </c>
      <c r="HH341" s="39">
        <v>161.71472928252828</v>
      </c>
      <c r="HI341" s="16"/>
      <c r="HJ341" s="19" t="str">
        <f t="shared" si="984"/>
        <v>On</v>
      </c>
      <c r="HK341" s="1" t="str">
        <f t="shared" si="984"/>
        <v>On</v>
      </c>
      <c r="HL341" s="16"/>
      <c r="HM341" s="639">
        <f t="shared" si="878"/>
        <v>2.2758057894877178E-2</v>
      </c>
      <c r="HN341" s="639">
        <f t="shared" si="879"/>
        <v>1.416759231746561E-3</v>
      </c>
      <c r="HO341" s="639">
        <f t="shared" si="880"/>
        <v>4.5732401537654987E-3</v>
      </c>
      <c r="HP341" s="644">
        <f>(FT341*$GD341-HM341)/$JF341*INDEX(Input!$1:$1048576,$JG$93,$C341*2+6)</f>
        <v>201.16985996416469</v>
      </c>
      <c r="HQ341" s="644">
        <f>(FU341*$GD341-HN341)/$JF341*INDEX(Input!$1:$1048576,$JG$93,$C341*2+6)</f>
        <v>-18.47398180100171</v>
      </c>
      <c r="HR341" s="644">
        <f>(FV341*$GD341-HO341)/$JF341*INDEX(Input!$1:$1048576,$JG$93,$C341*2+6)</f>
        <v>-6.0556851958500015</v>
      </c>
      <c r="HS341" s="644">
        <f t="shared" si="985"/>
        <v>-87.56221242124235</v>
      </c>
      <c r="HT341" s="644">
        <f t="shared" si="882"/>
        <v>8.6790717189861581</v>
      </c>
      <c r="HU341" s="644">
        <f t="shared" si="883"/>
        <v>28.030000024562753</v>
      </c>
      <c r="HV341" s="648">
        <f t="shared" si="884"/>
        <v>0</v>
      </c>
      <c r="HW341" s="648">
        <f t="shared" si="885"/>
        <v>0</v>
      </c>
      <c r="HX341" s="648">
        <f t="shared" si="886"/>
        <v>0</v>
      </c>
      <c r="HY341" s="644">
        <f>INDEX(Input!$1:$1048576,HY$93,$C341*2+6)*INDEX(Input!$1:$1048576,$JG$93,$C341*2+6)</f>
        <v>509.00000000000006</v>
      </c>
      <c r="HZ341" s="644">
        <f>INDEX(Input!$1:$1048576,HZ$93,$C341*2+6)*INDEX(Input!$1:$1048576,$JG$93,$C341*2+6)</f>
        <v>844</v>
      </c>
      <c r="IA341" s="644">
        <f>INDEX(Input!$1:$1048576,IA$93,$C341*2+6)*INDEX(Input!$1:$1048576,$JG$93,$C341*2+6)</f>
        <v>257</v>
      </c>
      <c r="IB341" s="644">
        <f t="shared" si="910"/>
        <v>622.60764754292245</v>
      </c>
      <c r="IC341" s="644">
        <f t="shared" si="911"/>
        <v>834.20508991798442</v>
      </c>
      <c r="ID341" s="644">
        <f>IF(AND(INDEX(Input!$1:$1048576,IA$93,$C341*2+7)="TOS",Y341&lt;=INDEX(Y:Y,MATCH(C341*1000+2,A:A))),0,1)*MAX(IA341+HR341+HU341+HX341,0%)</f>
        <v>278.97431482871275</v>
      </c>
      <c r="IE341" s="128">
        <f t="shared" ref="IE341:IE342" si="989">IB341/SUM($IB341:$ID341)</f>
        <v>0.35868895710545895</v>
      </c>
      <c r="IF341" s="128">
        <f t="shared" si="977"/>
        <v>0.48059183804696082</v>
      </c>
      <c r="IG341" s="128">
        <f t="shared" si="888"/>
        <v>0.16071920484758018</v>
      </c>
      <c r="IH341" s="21"/>
      <c r="II341" s="19">
        <f t="shared" si="889"/>
        <v>1410.4999999999998</v>
      </c>
      <c r="IJ341" s="19">
        <f t="shared" si="890"/>
        <v>2134.9731585778086</v>
      </c>
      <c r="IK341" s="19">
        <f t="shared" si="891"/>
        <v>2103.5</v>
      </c>
      <c r="IL341" s="19">
        <f t="shared" si="913"/>
        <v>950.50000000000023</v>
      </c>
      <c r="IM341" s="19">
        <f t="shared" si="892"/>
        <v>200.70800110988012</v>
      </c>
      <c r="IN341" s="19">
        <f t="shared" si="893"/>
        <v>545.5</v>
      </c>
      <c r="IO341" s="39">
        <f t="shared" si="894"/>
        <v>0</v>
      </c>
      <c r="IP341" s="39">
        <f t="shared" si="895"/>
        <v>0</v>
      </c>
      <c r="IQ341" s="39">
        <f t="shared" si="896"/>
        <v>0</v>
      </c>
      <c r="IR341" s="39">
        <v>0</v>
      </c>
      <c r="IS341" s="39">
        <v>0</v>
      </c>
      <c r="IT341" s="39">
        <v>0</v>
      </c>
      <c r="IU341" s="39">
        <v>0</v>
      </c>
      <c r="IV341" s="39">
        <v>0</v>
      </c>
      <c r="IW341" s="39">
        <v>0</v>
      </c>
      <c r="IX341" s="39">
        <f>INDEX(Input!$1:$1048576,IX$93,$C341*2+6)+INDEX(Input!$1:$1048576,IX$94,$C341*2+6)</f>
        <v>1611</v>
      </c>
      <c r="IY341" s="39">
        <f>INDEX(Input!$1:$1048576,IY$93,$C341*2+6)+INDEX(Input!$1:$1048576,IY$94,$C341*2+6)</f>
        <v>2471.0624533823611</v>
      </c>
      <c r="IZ341" s="39">
        <f>INDEX(Input!$1:$1048576,IZ$93,$C341*2+6)+INDEX(Input!$1:$1048576,IZ$94,$C341*2+6)</f>
        <v>3994.7164157747857</v>
      </c>
      <c r="JA341" s="19">
        <f t="shared" si="914"/>
        <v>2561.5</v>
      </c>
      <c r="JB341" s="19">
        <f t="shared" si="915"/>
        <v>2671.7704544922412</v>
      </c>
      <c r="JC341" s="19">
        <f t="shared" si="916"/>
        <v>4540.2164157747857</v>
      </c>
      <c r="JD341" s="19">
        <f t="shared" si="917"/>
        <v>2932.5128093688772</v>
      </c>
      <c r="JE341" s="21"/>
      <c r="JF341" s="1">
        <f t="shared" si="897"/>
        <v>2.8748057280389237E-2</v>
      </c>
      <c r="JG341" s="15">
        <f>INDEX(Input!$1:$1048576,JG$93,$C341*2+6)/(1+VLOOKUP(C341*1000+INDEX(Input!$1:$1048576,JG$93+1,$C341*2+6),$A:$KK,$JK$92,FALSE))</f>
        <v>1610</v>
      </c>
      <c r="JH341" s="1">
        <f t="shared" si="918"/>
        <v>0.10971440556975962</v>
      </c>
      <c r="JI341" s="1">
        <f t="shared" si="919"/>
        <v>-3.1585801663163625E-2</v>
      </c>
      <c r="JJ341" s="1">
        <f t="shared" si="978"/>
        <v>0</v>
      </c>
      <c r="JK341" s="1">
        <f t="shared" si="979"/>
        <v>7.8128603906595984E-2</v>
      </c>
      <c r="JL341" s="15">
        <f t="shared" si="922"/>
        <v>125.78705228961954</v>
      </c>
      <c r="JM341" s="15">
        <f t="shared" si="948"/>
        <v>1735.7870522896196</v>
      </c>
      <c r="JN341" s="21"/>
      <c r="JO341" s="19">
        <f>INDEX(Input!$1:$1048576,JO$93,$C341*2+6)</f>
        <v>5995.5</v>
      </c>
      <c r="JP341" s="19">
        <f>INDEX(Input!$1:$1048576,JP$93,$C341*2+6)</f>
        <v>2442.3713226762939</v>
      </c>
      <c r="JQ341" s="39">
        <f t="shared" si="934"/>
        <v>3062.9871906311228</v>
      </c>
      <c r="JR341" s="39">
        <f t="shared" si="951"/>
        <v>490.14148669258338</v>
      </c>
      <c r="JS341" s="39">
        <f t="shared" si="936"/>
        <v>5.0902177651759546</v>
      </c>
      <c r="JT341" s="39">
        <f t="shared" si="924"/>
        <v>1.1579999356671213</v>
      </c>
      <c r="JU341" s="385">
        <f>(JQ341*JM341-INDEX(Input!$1:$1048576,Input!A$18,$C341*2+6)*JL341*INDEX(Input!$1:$1048576,Input!A$19,$C341*2+6))/1000000</f>
        <v>5.3166935068264598</v>
      </c>
      <c r="JV341" s="39">
        <f t="shared" si="958"/>
        <v>-0.40384366366470736</v>
      </c>
      <c r="JW341" s="1">
        <f t="shared" si="949"/>
        <v>-7.0595409422019931E-2</v>
      </c>
      <c r="JX341" s="19">
        <f t="shared" si="940"/>
        <v>9206.0344414532738</v>
      </c>
      <c r="JZ341" s="341"/>
      <c r="KA341" s="342"/>
      <c r="KB341" s="469">
        <f t="shared" si="937"/>
        <v>2.5190675447988795</v>
      </c>
      <c r="KI341" s="473">
        <f t="shared" si="987"/>
        <v>113.60764754292239</v>
      </c>
      <c r="KJ341" s="473">
        <f t="shared" si="988"/>
        <v>-9.7949100820155763</v>
      </c>
      <c r="KK341" s="473">
        <f t="shared" si="926"/>
        <v>21.97431482871275</v>
      </c>
      <c r="KN341" s="544">
        <f t="shared" si="941"/>
        <v>3002</v>
      </c>
      <c r="KO341" s="541">
        <f t="shared" si="901"/>
        <v>4.6202284194836407E-2</v>
      </c>
      <c r="KP341" s="546">
        <f t="shared" si="902"/>
        <v>326.95223712059794</v>
      </c>
      <c r="KQ341" s="546">
        <f t="shared" si="903"/>
        <v>296.59938398017903</v>
      </c>
      <c r="KR341" s="548">
        <f t="shared" si="904"/>
        <v>2.451634634771898</v>
      </c>
      <c r="KS341" s="548">
        <f t="shared" si="905"/>
        <v>2.7025256009789245</v>
      </c>
      <c r="KT341" s="473">
        <f t="shared" si="939"/>
        <v>1026.1618045255443</v>
      </c>
      <c r="KU341" s="663">
        <f t="shared" si="927"/>
        <v>4.7128240549546918</v>
      </c>
      <c r="KV341" s="117"/>
    </row>
    <row r="342" spans="1:308" s="26" customFormat="1" ht="15">
      <c r="A342" s="561">
        <f t="shared" si="906"/>
        <v>3042</v>
      </c>
      <c r="B342" s="561">
        <f t="shared" si="928"/>
        <v>42</v>
      </c>
      <c r="C342" s="561">
        <f t="shared" si="929"/>
        <v>3</v>
      </c>
      <c r="D342" s="561" t="str">
        <f t="shared" si="974"/>
        <v xml:space="preserve">1000 CC, 360 Lease, </v>
      </c>
      <c r="E342" s="475">
        <f>INDEX(Input!$1:$1048576,E$93,$C342*2+MIN($B342,2)+5)
+INDEX(Scenarios!E$121:E$200,MATCH($B342,Scenarios!$B$121:$B$200,0))</f>
        <v>2287.0236024844721</v>
      </c>
      <c r="F342" s="475">
        <f>INDEX(Input!$1:$1048576,F$93,$C342*2+MIN($B342,2)+5)
+INDEX(Scenarios!F$121:F$200,MATCH($B342,Scenarios!$B$121:$B$200,0))</f>
        <v>0</v>
      </c>
      <c r="G342" s="475">
        <f>INDEX(Input!$1:$1048576,G$93,$C342*2+MIN($B342,2)+5)
+INDEX(Scenarios!G$121:G$200,MATCH($B342,Scenarios!$B$121:$B$200,0))</f>
        <v>0</v>
      </c>
      <c r="H342" s="475">
        <f>INDEX(Input!$1:$1048576,H$93,$C342*2+MIN($B342,2)+5)
+INDEX(Scenarios!H$121:H$200,MATCH($B342,Scenarios!$B$121:$B$200,0))</f>
        <v>0</v>
      </c>
      <c r="I342" s="476">
        <f>INDEX(Input!$1:$1048576,I$93,$C342*2+MIN($B342,2)+5)</f>
        <v>0.7</v>
      </c>
      <c r="J342" s="476" t="str">
        <f>INDEX(Input!$1:$1048576,J$93,$C342*2+MIN($B342,2)+5)</f>
        <v>Market</v>
      </c>
      <c r="K342" s="476" t="str">
        <f>INDEX(Input!$1:$1048576,K$93,$C342*2+MIN($B342,2)+5)</f>
        <v>Market</v>
      </c>
      <c r="L342" s="476" t="str">
        <f>INDEX(Input!$1:$1048576,L$93,$C342*2+MIN($B342,2)+5)</f>
        <v>Market</v>
      </c>
      <c r="M342" s="476" t="str">
        <f>INDEX(Input!$1:$1048576,M$93,$C342*2+MIN($B342,2)+5)</f>
        <v>Market</v>
      </c>
      <c r="N342" s="476" t="str">
        <f>INDEX(Input!$1:$1048576,N$93,$C342*2+MIN($B342,2)+5)</f>
        <v>Market</v>
      </c>
      <c r="O342" s="476" t="str">
        <f>INDEX(Input!$1:$1048576,O$93,$C342*2+MIN($B342,2)+5)</f>
        <v>Market</v>
      </c>
      <c r="P342" s="476" t="str">
        <f>INDEX(Input!$1:$1048576,P$93,$C342*2+MIN($B342,2)+5)</f>
        <v>N</v>
      </c>
      <c r="Q342" s="477">
        <f>INDEX(Input!$1:$1048576,Q$93,$C342*2+MIN($B342,2)+5)
+INDEX(Scenarios!Q$121:Q$200,MATCH($B342,Scenarios!$B$121:$B$200,0))</f>
        <v>0</v>
      </c>
      <c r="R342" s="478">
        <f>IFERROR(MAX(0,INDEX(Input!$1:$1048576,R$93,$C342*2+MIN($B342,2)+5)
+INDEX(Scenarios!R$121:R$200,MATCH($B342,Scenarios!$B$121:$B$200,0)),),"Market")</f>
        <v>0</v>
      </c>
      <c r="S342" s="478">
        <f>IFERROR(MAX(0,INDEX(Input!$1:$1048576,S$93,$C342*2+MIN($B342,2)+5)
+INDEX(Scenarios!S$121:S$200,MATCH($B342,Scenarios!$B$121:$B$200,0)),),"Market")</f>
        <v>0</v>
      </c>
      <c r="T342" s="478">
        <f>IFERROR(MAX(0,INDEX(Input!$1:$1048576,T$93,$C342*2+MIN($B342,2)+5)
+INDEX(Scenarios!T$121:T$200,MATCH($B342,Scenarios!$B$121:$B$200,0)),),"Market")</f>
        <v>0</v>
      </c>
      <c r="U342" s="478">
        <f>IFERROR(MAX(0,INDEX(Input!$1:$1048576,U$93,$C342*2+MIN($B342,2)+5)
+INDEX(Scenarios!U$121:U$200,MATCH($B342,Scenarios!$B$121:$B$200,0)),),"Market")</f>
        <v>0</v>
      </c>
      <c r="V342" s="478">
        <f>IFERROR(MAX(0,INDEX(Input!$1:$1048576,V$93,$C342*2+MIN($B342,2)+5)
+INDEX(Scenarios!V$121:V$200,MATCH($B342,Scenarios!$B$121:$B$200,0)),),"Market")</f>
        <v>1.9E-2</v>
      </c>
      <c r="W342" s="885">
        <f>IFERROR(MAX(0,INDEX(Input!$1:$1048576,W$93,$C342*2+MIN($B342,2)+5)-0%,),"Market")</f>
        <v>3.9E-2</v>
      </c>
      <c r="X342" s="476" t="str">
        <f>INDEX(Input!$1:$1048576,X$93,$C342*2+MIN($B342,2)+5)</f>
        <v>Y</v>
      </c>
      <c r="Y342" s="475">
        <f>INDEX(Input!$1:$1048576,Y$93,$C342*2+MIN($B342,2)+5)
++INDEX(Scenarios!Y$121:Y$200,MATCH($B342,Scenarios!$B$121:$B$200,0))</f>
        <v>1914.9999999999991</v>
      </c>
      <c r="Z342" s="477">
        <f>INDEX(Input!$1:$1048576,Z$93,$C342*2+MIN($B342,2)+5)
+INDEX(Scenarios!Z$121:Z$200,MATCH($B342,Scenarios!$B$121:$B$200,0))</f>
        <v>0</v>
      </c>
      <c r="AA342" s="475">
        <f>INDEX(Input!$1:$1048576,AA$93,$C342*2+MIN($B342,2)+5)
+INDEX(Scenarios!AA$121:AA$200,MATCH($B342,Scenarios!$B$121:$B$200,0))</f>
        <v>0</v>
      </c>
      <c r="AB342" s="476">
        <f>INDEX(Input!$1:$1048576,AB$93,$C342*2+MIN($B342,2)+5)</f>
        <v>0.27</v>
      </c>
      <c r="AC342" s="475">
        <f>INDEX(Input!$1:$1048576,AC$93,$C342*2+MIN($B342,2)+5)
+INDEX(Scenarios!AC$121:AC$200,MATCH($B342,Scenarios!$B$121:$B$200,0))</f>
        <v>0</v>
      </c>
      <c r="AD342" s="476">
        <f>INDEX(Input!$1:$1048576,AD$93,$C342*2+MIN($B342,2)+5)</f>
        <v>0.27</v>
      </c>
      <c r="AE342" s="475">
        <f>INDEX(Input!$1:$1048576,AE$93,$C342*2+MIN($B342,2)+5)
+INDEX(Scenarios!AE$121:AE$200,MATCH($B342,Scenarios!$B$121:$B$200,0))</f>
        <v>0</v>
      </c>
      <c r="AF342" s="476">
        <f>INDEX(Input!$1:$1048576,AF$93,$C342*2+MIN($B342,2)+5)</f>
        <v>0.68200000000000005</v>
      </c>
      <c r="AG342" s="475">
        <f>INDEX(Input!$1:$1048576,AG$93,$C342*2+MIN($B342,2)+5)
+INDEX(Scenarios!AG$121:AG$200,MATCH($B342,Scenarios!$B$121:$B$200,0))</f>
        <v>500</v>
      </c>
      <c r="AH342" s="476">
        <f>INDEX(Input!$1:$1048576,AH$93,$C342*2+MIN($B342,2)+5)</f>
        <v>1</v>
      </c>
      <c r="AI342" s="475">
        <f>INDEX(Input!$1:$1048576,AI$93,$C342*2+MIN($B342,2)+5)
+INDEX(Scenarios!AI$121:AI$200,MATCH($B342,Scenarios!$B$121:$B$200,0))</f>
        <v>0</v>
      </c>
      <c r="AJ342" s="476">
        <f>INDEX(Input!$1:$1048576,AJ$93,$C342*2+MIN($B342,2)+5)</f>
        <v>0.27</v>
      </c>
      <c r="AK342" s="150">
        <f>ROUND(INDEX(Input!$1:$1048576,AK$93,$C341*2+MIN($B342,1)+5)+(Y342-VLOOKUP($C342*1000+1,$A:$HH,Y$92,FALSE)),0)</f>
        <v>3337</v>
      </c>
      <c r="AL342" s="150">
        <f>ROUND(INDEX(Input!$1:$1048576,AL$93,$C341*2+MIN($B342,1)+5)-(Y342-VLOOKUP($C342*1000+1,$A:$HH,Y$92,FALSE))/36,0)</f>
        <v>3385</v>
      </c>
      <c r="AM342" s="32" t="str">
        <f t="shared" si="907"/>
        <v>std/std/std/std</v>
      </c>
      <c r="AN342" s="32" t="str">
        <f t="shared" si="908"/>
        <v>$0 + 0/0/0/1.9/3.9</v>
      </c>
      <c r="AO342" s="32" t="str">
        <f t="shared" si="909"/>
        <v>0/0/0/1.9/3.9</v>
      </c>
      <c r="AP342" s="32" t="str">
        <f t="shared" si="863"/>
        <v>0/0.9/1.9/3.9</v>
      </c>
      <c r="AQ342" s="536">
        <f t="shared" si="862"/>
        <v>0.38176174305815996</v>
      </c>
      <c r="AR342" s="32"/>
      <c r="AS342" s="302"/>
      <c r="AT342" s="3">
        <f t="shared" si="930"/>
        <v>42</v>
      </c>
      <c r="AU342" s="41" t="s">
        <v>121</v>
      </c>
      <c r="AV342" s="41" t="s">
        <v>116</v>
      </c>
      <c r="AW342" s="41" t="str">
        <f>INDEX(Input!$1:$1048576,AW$93,$C342*2+6)</f>
        <v>Kia</v>
      </c>
      <c r="AX342" s="41" t="str">
        <f>INDEX(Input!$1:$1048576,AX$93,$C342*2+6)</f>
        <v>Kia-LR - L3</v>
      </c>
      <c r="AY342" s="41" t="str">
        <f>IF(LEN(D342)=0,"",INDEX(Input!$1:$1048576,AY$93,$C342*2+6))</f>
        <v>Compact SUV (52)</v>
      </c>
      <c r="AZ342" s="41" t="str">
        <f>INDEX(Input!$1:$1048576,AZ$93,$C342*2+6)</f>
        <v>Kia Soul</v>
      </c>
      <c r="BA342" s="3">
        <f>INDEX(Input!$1:$1048576,BA$93,$C342*2+6)</f>
        <v>2020</v>
      </c>
      <c r="BB342" s="128">
        <f>INDEX(Input!$1:$1048576,BB$93,$C342*2+6)</f>
        <v>1</v>
      </c>
      <c r="BC342" s="128">
        <f>INDEX(Input!$1:$1048576,BC$93,$C342*2+6)</f>
        <v>0.7</v>
      </c>
      <c r="BD342" s="1">
        <f>INDEX(Input!$1:$1048576,BD$93,$C342*2+6)</f>
        <v>4.4999999999999998E-2</v>
      </c>
      <c r="BE342" s="1">
        <f>INDEX(Input!$1:$1048576,BE$93,$C342*2+6)</f>
        <v>4.4999999999999998E-2</v>
      </c>
      <c r="BF342" s="1">
        <f>INDEX(Input!$1:$1048576,BF$93,$C342*2+6)</f>
        <v>0.05</v>
      </c>
      <c r="BG342" s="1">
        <f>INDEX(Input!$1:$1048576,BG$93,$C342*2+6)</f>
        <v>5.45E-2</v>
      </c>
      <c r="BH342" s="1">
        <f>INDEX(Input!$1:$1048576,BH$93,$C342*2+6)</f>
        <v>5.45E-2</v>
      </c>
      <c r="BI342" s="1">
        <f>INDEX(Input!$1:$1048576,BI$93,$C342*2+6)</f>
        <v>0.05</v>
      </c>
      <c r="BJ342" s="1">
        <f>INDEX(Input!$1:$1048576,BJ$93,$C342*2+6)</f>
        <v>0.05</v>
      </c>
      <c r="BK342" s="1">
        <f>INDEX(Input!$1:$1048576,BK$93,$C342*2+6)</f>
        <v>0.05</v>
      </c>
      <c r="BL342" s="1">
        <f>INDEX(Input!$1:$1048576,BL$93,$C342*2+6)</f>
        <v>5.5E-2</v>
      </c>
      <c r="BM342" s="1">
        <f>INDEX(Input!$1:$1048576,BM$93,$C342*2+6)</f>
        <v>0.06</v>
      </c>
      <c r="BN342" s="1">
        <f>INDEX(Input!$1:$1048576,BN$93,$C342*2+6)</f>
        <v>4.4999999999999998E-2</v>
      </c>
      <c r="BO342" s="1">
        <f>INDEX(Input!$1:$1048576,BO$93,$C342*2+6)</f>
        <v>4.4999999999999998E-2</v>
      </c>
      <c r="BP342" s="1">
        <f>INDEX(Input!$1:$1048576,BP$93,$C342*2+6)</f>
        <v>0.05</v>
      </c>
      <c r="BQ342" s="1">
        <f>INDEX(Input!$1:$1048576,BQ$93,$C342*2+6)</f>
        <v>5.45E-2</v>
      </c>
      <c r="BR342" s="1">
        <f>INDEX(Input!$1:$1048576,BR$93,$C342*2+6)</f>
        <v>5.45E-2</v>
      </c>
      <c r="BS342" s="1">
        <f>INDEX(Input!$1:$1048576,BS$93,$C342*2+6)</f>
        <v>0.05</v>
      </c>
      <c r="BT342" s="1">
        <f>INDEX(Input!$1:$1048576,BT$93,$C342*2+6)</f>
        <v>0.05</v>
      </c>
      <c r="BU342" s="1">
        <f>INDEX(Input!$1:$1048576,BU$93,$C342*2+6)</f>
        <v>0.05</v>
      </c>
      <c r="BV342" s="1">
        <f>INDEX(Input!$1:$1048576,BV$93,$C342*2+6)</f>
        <v>5.5E-2</v>
      </c>
      <c r="BW342" s="1">
        <f>INDEX(Input!$1:$1048576,BW$93,$C342*2+6)</f>
        <v>0.06</v>
      </c>
      <c r="BX342" s="127">
        <f>INDEX(Input!$1:$1048576,BX$93,$C342*2+6)</f>
        <v>19985</v>
      </c>
      <c r="BY342" s="20">
        <f>INDEX(Input!$1:$1048576,BY$93,$C342*2+6)</f>
        <v>0.1</v>
      </c>
      <c r="BZ342" s="20">
        <f>INDEX(Input!$1:$1048576,BZ$93,$C342*2+6)</f>
        <v>0.1</v>
      </c>
      <c r="CA342" s="20">
        <f>INDEX(Input!$1:$1048576,CA$93,$C342*2+6)</f>
        <v>0.1</v>
      </c>
      <c r="CB342" s="20">
        <f>INDEX(Input!$1:$1048576,CB$93,$C342*2+6)</f>
        <v>0.1</v>
      </c>
      <c r="CC342" s="20">
        <f>INDEX(Input!$1:$1048576,CC$93,$C342*2+6)</f>
        <v>0.1</v>
      </c>
      <c r="CD342" s="384">
        <f>INDEX(Input!$1:$1048576,CD$93,$C342*2+6)</f>
        <v>0.1</v>
      </c>
      <c r="CE342" s="384">
        <f>INDEX(Input!$1:$1048576,CE$93,$C342*2+6)</f>
        <v>0.1</v>
      </c>
      <c r="CF342" s="384">
        <f>INDEX(Input!$1:$1048576,CF$93,$C342*2+6)</f>
        <v>0.1</v>
      </c>
      <c r="CG342" s="384">
        <f>INDEX(Input!$1:$1048576,CG$93,$C342*2+6)</f>
        <v>0.1</v>
      </c>
      <c r="CH342" s="384">
        <f>INDEX(Input!$1:$1048576,CH$93,$C342*2+6)</f>
        <v>0.1</v>
      </c>
      <c r="CI342" s="304">
        <f t="shared" si="864"/>
        <v>2287.0236024844721</v>
      </c>
      <c r="CJ342" s="16" t="str">
        <f>INDEX(Input!$1:$1048576,CJ$93,$C342*2+6)</f>
        <v>N</v>
      </c>
      <c r="CK342" s="1" t="str">
        <f t="shared" si="865"/>
        <v>Market</v>
      </c>
      <c r="CL342" s="1" t="str">
        <f t="shared" si="866"/>
        <v>Market</v>
      </c>
      <c r="CM342" s="1" t="str">
        <f t="shared" si="867"/>
        <v>Market</v>
      </c>
      <c r="CN342" s="1" t="str">
        <f t="shared" si="868"/>
        <v>Market</v>
      </c>
      <c r="CO342" s="1" t="str">
        <f t="shared" si="869"/>
        <v>Market</v>
      </c>
      <c r="CP342" s="304">
        <f t="shared" si="870"/>
        <v>500</v>
      </c>
      <c r="CQ342" s="1">
        <f t="shared" si="871"/>
        <v>0</v>
      </c>
      <c r="CR342" s="1">
        <f t="shared" si="872"/>
        <v>0</v>
      </c>
      <c r="CS342" s="1">
        <f t="shared" si="873"/>
        <v>0</v>
      </c>
      <c r="CT342" s="1">
        <f t="shared" si="874"/>
        <v>1.9E-2</v>
      </c>
      <c r="CU342" s="1">
        <f t="shared" si="875"/>
        <v>3.9E-2</v>
      </c>
      <c r="CV342" s="304">
        <f t="shared" si="876"/>
        <v>1914.9999999999991</v>
      </c>
      <c r="CW342" s="20" t="s">
        <v>122</v>
      </c>
      <c r="CX342" s="20" t="s">
        <v>122</v>
      </c>
      <c r="CY342" s="20" t="s">
        <v>122</v>
      </c>
      <c r="CZ342" s="20" t="s">
        <v>122</v>
      </c>
      <c r="DA342" s="20" t="s">
        <v>122</v>
      </c>
      <c r="DB342" s="503">
        <f t="shared" si="877"/>
        <v>0</v>
      </c>
      <c r="DC342" s="127">
        <v>0</v>
      </c>
      <c r="DD342" s="127">
        <v>0</v>
      </c>
      <c r="DE342" s="127">
        <v>0</v>
      </c>
      <c r="DF342" s="127">
        <v>0</v>
      </c>
      <c r="DG342" s="127">
        <v>0</v>
      </c>
      <c r="DH342" s="127">
        <v>0</v>
      </c>
      <c r="DI342" s="127">
        <v>0</v>
      </c>
      <c r="DJ342" s="127">
        <v>0</v>
      </c>
      <c r="DK342" s="127">
        <v>0</v>
      </c>
      <c r="DL342" s="127">
        <v>0</v>
      </c>
      <c r="DM342" s="304">
        <f>INDEX(Input!$1:$1048576,DM$93,$C342*2+6)</f>
        <v>21036.84210526316</v>
      </c>
      <c r="DN342" s="20">
        <v>0</v>
      </c>
      <c r="DO342" s="20">
        <v>0</v>
      </c>
      <c r="DP342" s="20">
        <v>0</v>
      </c>
      <c r="DQ342" s="20">
        <v>0</v>
      </c>
      <c r="DR342" s="20">
        <v>0</v>
      </c>
      <c r="DS342" s="20">
        <f>INDEX(Input!$1:$1048576,DS$93,$C342*2+6)</f>
        <v>0.6</v>
      </c>
      <c r="DT342" s="20">
        <f>INDEX(Input!$1:$1048576,DT$93,$C342*2+6)</f>
        <v>0.55000000000000004</v>
      </c>
      <c r="DU342" s="20">
        <f>INDEX(Input!$1:$1048576,DU$93,$C342*2+6)</f>
        <v>0.52</v>
      </c>
      <c r="DV342" s="20">
        <f>INDEX(Input!$1:$1048576,DV$93,$C342*2+6)</f>
        <v>0.5</v>
      </c>
      <c r="DW342" s="20">
        <f>INDEX(Input!$1:$1048576,DW$93,$C342*2+6)</f>
        <v>0.45</v>
      </c>
      <c r="DX342" s="20"/>
      <c r="DY342" s="7">
        <v>0.11695593868642551</v>
      </c>
      <c r="DZ342" s="7">
        <v>0</v>
      </c>
      <c r="EA342" s="7">
        <v>0.72774034897441109</v>
      </c>
      <c r="EB342" s="7">
        <v>0</v>
      </c>
      <c r="EC342" s="7">
        <v>0</v>
      </c>
      <c r="ED342" s="7">
        <v>0</v>
      </c>
      <c r="EE342" s="7">
        <v>0</v>
      </c>
      <c r="EF342" s="7">
        <v>0</v>
      </c>
      <c r="EG342" s="7">
        <v>0</v>
      </c>
      <c r="EH342" s="7">
        <v>1.2001734748186823E-2</v>
      </c>
      <c r="EI342" s="7">
        <v>3.3609652871515093E-2</v>
      </c>
      <c r="EJ342" s="7">
        <v>0.27075929889107692</v>
      </c>
      <c r="EK342" s="7">
        <v>0.54233695654155067</v>
      </c>
      <c r="EL342" s="7">
        <v>0.14129235694767059</v>
      </c>
      <c r="EM342" s="7">
        <v>3.0417810071931829E-2</v>
      </c>
      <c r="EN342" s="7">
        <v>6.4682690867889275E-2</v>
      </c>
      <c r="EO342" s="7">
        <v>0.79128869118706247</v>
      </c>
      <c r="EP342" s="7">
        <v>5.9155399447868857E-2</v>
      </c>
      <c r="EQ342" s="7">
        <v>5.5175403684459001E-2</v>
      </c>
      <c r="ER342" s="7">
        <v>2.9697814812720609E-2</v>
      </c>
      <c r="ES342" s="7">
        <v>0.12488590226723158</v>
      </c>
      <c r="ET342" s="7">
        <v>0.15530371233916337</v>
      </c>
      <c r="EU342" s="6">
        <v>2611</v>
      </c>
      <c r="EV342" s="6">
        <v>0</v>
      </c>
      <c r="EW342" s="6">
        <v>2611</v>
      </c>
      <c r="EX342" s="6">
        <v>0</v>
      </c>
      <c r="EY342" s="6">
        <v>2335.7886373024426</v>
      </c>
      <c r="EZ342" s="6">
        <v>2649</v>
      </c>
      <c r="FA342" s="6">
        <v>0</v>
      </c>
      <c r="FB342" s="6">
        <v>0</v>
      </c>
      <c r="FC342" s="6">
        <v>0</v>
      </c>
      <c r="FD342" s="6">
        <v>0</v>
      </c>
      <c r="FE342" s="6">
        <v>0</v>
      </c>
      <c r="FF342" s="6">
        <v>0</v>
      </c>
      <c r="FG342" s="6">
        <v>0</v>
      </c>
      <c r="FH342" s="6">
        <v>1172.0110156972839</v>
      </c>
      <c r="FI342" s="6">
        <v>1553.9796069512404</v>
      </c>
      <c r="FJ342" s="6">
        <v>2101.2110117447414</v>
      </c>
      <c r="FK342" s="6">
        <v>1772.7139978623222</v>
      </c>
      <c r="FL342" s="6">
        <v>907.07682140966335</v>
      </c>
      <c r="FM342" s="6">
        <v>1724.7886373024426</v>
      </c>
      <c r="FN342" s="6">
        <v>0</v>
      </c>
      <c r="FO342" s="6">
        <v>0</v>
      </c>
      <c r="FP342" s="6">
        <v>0</v>
      </c>
      <c r="FQ342" s="6">
        <v>0</v>
      </c>
      <c r="FR342" s="6">
        <v>0</v>
      </c>
      <c r="FS342" s="6">
        <v>0</v>
      </c>
      <c r="FT342" s="7">
        <v>0.8446962876608366</v>
      </c>
      <c r="FU342" s="7">
        <v>3.0417810071931829E-2</v>
      </c>
      <c r="FV342" s="7">
        <v>0.12488590226723158</v>
      </c>
      <c r="FW342" s="6">
        <v>2611</v>
      </c>
      <c r="FX342" s="6">
        <v>2335.7886373024426</v>
      </c>
      <c r="FY342" s="6">
        <v>2649</v>
      </c>
      <c r="FZ342" s="6">
        <v>1858.9243755539039</v>
      </c>
      <c r="GA342" s="6">
        <v>2607.3743373259827</v>
      </c>
      <c r="GB342" s="6">
        <v>17377.625662674018</v>
      </c>
      <c r="GC342" s="7">
        <v>2.9156573141622111E-2</v>
      </c>
      <c r="GD342" s="7">
        <v>3.2704175884617187E-2</v>
      </c>
      <c r="GE342" s="7"/>
      <c r="GF342" s="7"/>
      <c r="GG342" s="7">
        <v>0.12167420107168693</v>
      </c>
      <c r="GH342" s="42">
        <v>3.248926491572409</v>
      </c>
      <c r="GI342" s="6">
        <v>8758.6369318600009</v>
      </c>
      <c r="GJ342" s="14">
        <v>0.50394797582841722</v>
      </c>
      <c r="GK342" s="14">
        <v>0.50887573065309744</v>
      </c>
      <c r="GL342" s="14">
        <v>0.49605202417158278</v>
      </c>
      <c r="GM342" s="14">
        <v>0.49112426934690245</v>
      </c>
      <c r="GO342" s="5">
        <v>343.14810671672558</v>
      </c>
      <c r="GP342" s="5">
        <v>293.33520778489498</v>
      </c>
      <c r="GQ342" s="5">
        <v>535.04305713031317</v>
      </c>
      <c r="GR342" s="5">
        <v>410.15490233172511</v>
      </c>
      <c r="GS342" s="5">
        <v>339.42744393800166</v>
      </c>
      <c r="GT342" s="5">
        <v>293.4407446948278</v>
      </c>
      <c r="GU342" s="5">
        <v>258.04012322764959</v>
      </c>
      <c r="GV342" s="39" t="s">
        <v>392</v>
      </c>
      <c r="GW342" s="5">
        <v>482.65277777777777</v>
      </c>
      <c r="GX342" s="5">
        <v>361.98958333333331</v>
      </c>
      <c r="GY342" s="5">
        <v>289.59166666666664</v>
      </c>
      <c r="GZ342" s="5">
        <v>255.53408606924114</v>
      </c>
      <c r="HA342" s="5">
        <v>236.70336205047303</v>
      </c>
      <c r="HB342" s="39">
        <v>268.3986059376353</v>
      </c>
      <c r="HC342" s="5">
        <v>171.390625</v>
      </c>
      <c r="HD342" s="5">
        <v>160.70330774853798</v>
      </c>
      <c r="HE342" s="5">
        <v>167.52103997975706</v>
      </c>
      <c r="HF342" s="5">
        <v>159.65063048245611</v>
      </c>
      <c r="HG342" s="5">
        <v>159.85888157894735</v>
      </c>
      <c r="HH342" s="39">
        <v>161.71473835487473</v>
      </c>
      <c r="HI342" s="16"/>
      <c r="HJ342" s="19" t="str">
        <f t="shared" si="984"/>
        <v>On</v>
      </c>
      <c r="HK342" s="1" t="str">
        <f t="shared" si="984"/>
        <v>On</v>
      </c>
      <c r="HL342" s="16"/>
      <c r="HM342" s="639">
        <f t="shared" si="878"/>
        <v>2.2758057894877178E-2</v>
      </c>
      <c r="HN342" s="639">
        <f t="shared" si="879"/>
        <v>1.416759231746561E-3</v>
      </c>
      <c r="HO342" s="639">
        <f t="shared" si="880"/>
        <v>4.5732401537654987E-3</v>
      </c>
      <c r="HP342" s="644">
        <f>(FT342*$GD342-HM342)/$JF342*INDEX(Input!$1:$1048576,$JG$93,$C342*2+6)</f>
        <v>272.57255019418807</v>
      </c>
      <c r="HQ342" s="644">
        <f>(FU342*$GD342-HN342)/$JF342*INDEX(Input!$1:$1048576,$JG$93,$C342*2+6)</f>
        <v>-23.631906858676242</v>
      </c>
      <c r="HR342" s="644">
        <f>(FV342*$GD342-HO342)/$JF342*INDEX(Input!$1:$1048576,$JG$93,$C342*2+6)</f>
        <v>-27.383030218053793</v>
      </c>
      <c r="HS342" s="644">
        <f t="shared" si="985"/>
        <v>-110.53153340172383</v>
      </c>
      <c r="HT342" s="644">
        <f t="shared" si="882"/>
        <v>4.6269058937035581</v>
      </c>
      <c r="HU342" s="644">
        <f t="shared" si="883"/>
        <v>32.095214660681236</v>
      </c>
      <c r="HV342" s="648">
        <f t="shared" si="884"/>
        <v>0</v>
      </c>
      <c r="HW342" s="648">
        <f t="shared" si="885"/>
        <v>0</v>
      </c>
      <c r="HX342" s="648">
        <f t="shared" si="886"/>
        <v>0</v>
      </c>
      <c r="HY342" s="644">
        <f>INDEX(Input!$1:$1048576,HY$93,$C342*2+6)*INDEX(Input!$1:$1048576,$JG$93,$C342*2+6)</f>
        <v>509.00000000000006</v>
      </c>
      <c r="HZ342" s="644">
        <f>INDEX(Input!$1:$1048576,HZ$93,$C342*2+6)*INDEX(Input!$1:$1048576,$JG$93,$C342*2+6)</f>
        <v>844</v>
      </c>
      <c r="IA342" s="644">
        <f>INDEX(Input!$1:$1048576,IA$93,$C342*2+6)*INDEX(Input!$1:$1048576,$JG$93,$C342*2+6)</f>
        <v>257</v>
      </c>
      <c r="IB342" s="644">
        <f t="shared" si="910"/>
        <v>671.04101679246423</v>
      </c>
      <c r="IC342" s="644">
        <f t="shared" si="911"/>
        <v>824.99499903502738</v>
      </c>
      <c r="ID342" s="644">
        <f>IF(AND(INDEX(Input!$1:$1048576,IA$93,$C342*2+7)="TOS",Y342&lt;=INDEX(Y:Y,MATCH(C342*1000+2,A:A))),0,1)*MAX(IA342+HR342+HU342+HX342,0%)</f>
        <v>261.71218444262746</v>
      </c>
      <c r="IE342" s="128">
        <f t="shared" si="989"/>
        <v>0.38176174305815996</v>
      </c>
      <c r="IF342" s="128">
        <f t="shared" si="977"/>
        <v>0.46934765679648976</v>
      </c>
      <c r="IG342" s="128">
        <f t="shared" si="888"/>
        <v>0.14889060014535033</v>
      </c>
      <c r="IH342" s="21"/>
      <c r="II342" s="19">
        <f t="shared" si="889"/>
        <v>1410.4999999999998</v>
      </c>
      <c r="IJ342" s="19">
        <f t="shared" si="890"/>
        <v>2134.9731585778086</v>
      </c>
      <c r="IK342" s="19">
        <f t="shared" si="891"/>
        <v>2103.5</v>
      </c>
      <c r="IL342" s="19">
        <f t="shared" si="913"/>
        <v>1200.5000000000002</v>
      </c>
      <c r="IM342" s="19">
        <f t="shared" si="892"/>
        <v>200.81547872463398</v>
      </c>
      <c r="IN342" s="19">
        <f t="shared" si="893"/>
        <v>545.5</v>
      </c>
      <c r="IO342" s="39">
        <f t="shared" si="894"/>
        <v>0</v>
      </c>
      <c r="IP342" s="39">
        <f t="shared" si="895"/>
        <v>0</v>
      </c>
      <c r="IQ342" s="39">
        <f t="shared" si="896"/>
        <v>0</v>
      </c>
      <c r="IR342" s="39">
        <v>0</v>
      </c>
      <c r="IS342" s="39">
        <v>0</v>
      </c>
      <c r="IT342" s="39">
        <v>0</v>
      </c>
      <c r="IU342" s="39">
        <v>0</v>
      </c>
      <c r="IV342" s="39">
        <v>0</v>
      </c>
      <c r="IW342" s="39">
        <v>0</v>
      </c>
      <c r="IX342" s="39">
        <f>INDEX(Input!$1:$1048576,IX$93,$C342*2+6)+INDEX(Input!$1:$1048576,IX$94,$C342*2+6)</f>
        <v>1611</v>
      </c>
      <c r="IY342" s="39">
        <f>INDEX(Input!$1:$1048576,IY$93,$C342*2+6)+INDEX(Input!$1:$1048576,IY$94,$C342*2+6)</f>
        <v>2471.0624533823611</v>
      </c>
      <c r="IZ342" s="39">
        <f>INDEX(Input!$1:$1048576,IZ$93,$C342*2+6)+INDEX(Input!$1:$1048576,IZ$94,$C342*2+6)</f>
        <v>3994.7164157747857</v>
      </c>
      <c r="JA342" s="19">
        <f t="shared" si="914"/>
        <v>2811.5</v>
      </c>
      <c r="JB342" s="19">
        <f t="shared" si="915"/>
        <v>2671.8779321069951</v>
      </c>
      <c r="JC342" s="19">
        <f t="shared" si="916"/>
        <v>4540.2164157747857</v>
      </c>
      <c r="JD342" s="19">
        <f t="shared" si="917"/>
        <v>3003.3583342231645</v>
      </c>
      <c r="JE342" s="21"/>
      <c r="JF342" s="1">
        <f t="shared" si="897"/>
        <v>2.8748057280389237E-2</v>
      </c>
      <c r="JG342" s="15">
        <f>INDEX(Input!$1:$1048576,JG$93,$C342*2+6)/(1+VLOOKUP(C342*1000+INDEX(Input!$1:$1048576,JG$93+1,$C342*2+6),$A:$KK,$JK$92,FALSE))</f>
        <v>1610</v>
      </c>
      <c r="JH342" s="1">
        <f t="shared" si="918"/>
        <v>0.13761342429655779</v>
      </c>
      <c r="JI342" s="1">
        <f t="shared" si="919"/>
        <v>-4.5844355805800645E-2</v>
      </c>
      <c r="JJ342" s="1">
        <f t="shared" si="978"/>
        <v>0</v>
      </c>
      <c r="JK342" s="1">
        <f t="shared" si="979"/>
        <v>9.1769068490757139E-2</v>
      </c>
      <c r="JL342" s="15">
        <f t="shared" si="922"/>
        <v>147.74820027011899</v>
      </c>
      <c r="JM342" s="15">
        <f t="shared" si="948"/>
        <v>1757.748200270119</v>
      </c>
      <c r="JN342" s="21"/>
      <c r="JO342" s="19">
        <f>INDEX(Input!$1:$1048576,JO$93,$C342*2+6)</f>
        <v>5995.5</v>
      </c>
      <c r="JP342" s="19">
        <f>INDEX(Input!$1:$1048576,JP$93,$C342*2+6)</f>
        <v>2442.3713226762939</v>
      </c>
      <c r="JQ342" s="39">
        <f t="shared" si="934"/>
        <v>2992.1416657768355</v>
      </c>
      <c r="JR342" s="39">
        <f t="shared" si="951"/>
        <v>560.98701154687069</v>
      </c>
      <c r="JS342" s="39">
        <f t="shared" si="936"/>
        <v>5.2791477067470298</v>
      </c>
      <c r="JT342" s="39">
        <f t="shared" si="924"/>
        <v>1.3469298772381968</v>
      </c>
      <c r="JU342" s="385">
        <f>(JQ342*JM342-INDEX(Input!$1:$1048576,Input!A$18,$C342*2+6)*JL342*INDEX(Input!$1:$1048576,Input!A$19,$C342*2+6))/1000000</f>
        <v>5.2594316279724689</v>
      </c>
      <c r="JV342" s="39">
        <f t="shared" si="958"/>
        <v>-0.46110554251869829</v>
      </c>
      <c r="JW342" s="1">
        <f t="shared" si="949"/>
        <v>-8.0605287366589673E-2</v>
      </c>
      <c r="JX342" s="19">
        <f t="shared" si="940"/>
        <v>9116.3877108194029</v>
      </c>
      <c r="JZ342" s="341"/>
      <c r="KA342" s="342"/>
      <c r="KB342" s="469">
        <f t="shared" si="937"/>
        <v>2.5190675447988795</v>
      </c>
      <c r="KI342" s="473">
        <f t="shared" si="987"/>
        <v>162.04101679246418</v>
      </c>
      <c r="KJ342" s="473">
        <f t="shared" si="988"/>
        <v>-19.005000964972623</v>
      </c>
      <c r="KK342" s="473">
        <f t="shared" si="926"/>
        <v>4.7121844426274606</v>
      </c>
      <c r="KN342" s="544">
        <f t="shared" si="941"/>
        <v>3002</v>
      </c>
      <c r="KO342" s="541">
        <f t="shared" si="901"/>
        <v>5.9438817530208743E-2</v>
      </c>
      <c r="KP342" s="546">
        <f t="shared" si="902"/>
        <v>435.48761671955674</v>
      </c>
      <c r="KQ342" s="546">
        <f t="shared" si="903"/>
        <v>367.44490883446633</v>
      </c>
      <c r="KR342" s="548">
        <f t="shared" si="904"/>
        <v>2.3679414790069417</v>
      </c>
      <c r="KS342" s="548">
        <f t="shared" si="905"/>
        <v>2.8064321111295469</v>
      </c>
      <c r="KT342" s="473">
        <f t="shared" si="939"/>
        <v>1026.1618045255443</v>
      </c>
      <c r="KU342" s="663">
        <f t="shared" si="927"/>
        <v>4.7440648983527351</v>
      </c>
      <c r="KV342" s="117"/>
    </row>
    <row r="343" spans="1:308" s="26" customFormat="1" ht="15">
      <c r="A343" s="561">
        <f t="shared" si="906"/>
        <v>3043</v>
      </c>
      <c r="B343" s="561">
        <f t="shared" si="928"/>
        <v>43</v>
      </c>
      <c r="C343" s="561">
        <f t="shared" si="929"/>
        <v>3</v>
      </c>
      <c r="D343" s="561" t="str">
        <f t="shared" si="974"/>
        <v xml:space="preserve">0/0/0.9/3.9, 360 Lease, </v>
      </c>
      <c r="E343" s="475">
        <f>INDEX(Input!$1:$1048576,E$93,$C343*2+MIN($B343,2)+5)
+INDEX(Scenarios!E$121:E$200,MATCH($B343,Scenarios!$B$121:$B$200,0))</f>
        <v>1287.0236024844721</v>
      </c>
      <c r="F343" s="475">
        <f>INDEX(Input!$1:$1048576,F$93,$C343*2+MIN($B343,2)+5)
+INDEX(Scenarios!F$121:F$200,MATCH($B343,Scenarios!$B$121:$B$200,0))</f>
        <v>0</v>
      </c>
      <c r="G343" s="475">
        <f>INDEX(Input!$1:$1048576,G$93,$C343*2+MIN($B343,2)+5)
+INDEX(Scenarios!G$121:G$200,MATCH($B343,Scenarios!$B$121:$B$200,0))</f>
        <v>0</v>
      </c>
      <c r="H343" s="475">
        <f>INDEX(Input!$1:$1048576,H$93,$C343*2+MIN($B343,2)+5)
+INDEX(Scenarios!H$121:H$200,MATCH($B343,Scenarios!$B$121:$B$200,0))</f>
        <v>0</v>
      </c>
      <c r="I343" s="476">
        <f>INDEX(Input!$1:$1048576,I$93,$C343*2+MIN($B343,2)+5)</f>
        <v>0.7</v>
      </c>
      <c r="J343" s="476" t="str">
        <f>INDEX(Input!$1:$1048576,J$93,$C343*2+MIN($B343,2)+5)</f>
        <v>Market</v>
      </c>
      <c r="K343" s="476" t="str">
        <f>INDEX(Input!$1:$1048576,K$93,$C343*2+MIN($B343,2)+5)</f>
        <v>Market</v>
      </c>
      <c r="L343" s="476" t="str">
        <f>INDEX(Input!$1:$1048576,L$93,$C343*2+MIN($B343,2)+5)</f>
        <v>Market</v>
      </c>
      <c r="M343" s="476" t="str">
        <f>INDEX(Input!$1:$1048576,M$93,$C343*2+MIN($B343,2)+5)</f>
        <v>Market</v>
      </c>
      <c r="N343" s="476" t="str">
        <f>INDEX(Input!$1:$1048576,N$93,$C343*2+MIN($B343,2)+5)</f>
        <v>Market</v>
      </c>
      <c r="O343" s="476" t="str">
        <f>INDEX(Input!$1:$1048576,O$93,$C343*2+MIN($B343,2)+5)</f>
        <v>Market</v>
      </c>
      <c r="P343" s="476" t="str">
        <f>INDEX(Input!$1:$1048576,P$93,$C343*2+MIN($B343,2)+5)</f>
        <v>N</v>
      </c>
      <c r="Q343" s="477">
        <f>INDEX(Input!$1:$1048576,Q$93,$C343*2+MIN($B343,2)+5)
+INDEX(Scenarios!Q$121:Q$200,MATCH($B343,Scenarios!$B$121:$B$200,0))</f>
        <v>0</v>
      </c>
      <c r="R343" s="478">
        <f>IFERROR(MAX(0,INDEX(Input!$1:$1048576,R$93,$C343*2+MIN($B343,2)+5)
+INDEX(Scenarios!R$121:R$200,MATCH($B343,Scenarios!$B$121:$B$200,0)),),"Market")</f>
        <v>0</v>
      </c>
      <c r="S343" s="478">
        <f>IFERROR(MAX(0,INDEX(Input!$1:$1048576,S$93,$C343*2+MIN($B343,2)+5)
+INDEX(Scenarios!S$121:S$200,MATCH($B343,Scenarios!$B$121:$B$200,0)),),"Market")</f>
        <v>0</v>
      </c>
      <c r="T343" s="478">
        <f>IFERROR(MAX(0,INDEX(Input!$1:$1048576,T$93,$C343*2+MIN($B343,2)+5)
+INDEX(Scenarios!T$121:T$200,MATCH($B343,Scenarios!$B$121:$B$200,0)),),"Market")</f>
        <v>0</v>
      </c>
      <c r="U343" s="478">
        <f>IFERROR(MAX(0,INDEX(Input!$1:$1048576,U$93,$C343*2+MIN($B343,2)+5)
+INDEX(Scenarios!U$121:U$200,MATCH($B343,Scenarios!$B$121:$B$200,0)),),"Market")</f>
        <v>0</v>
      </c>
      <c r="V343" s="478">
        <f>IFERROR(MAX(0,INDEX(Input!$1:$1048576,V$93,$C343*2+MIN($B343,2)+5)
+INDEX(Scenarios!V$121:V$200,MATCH($B343,Scenarios!$B$121:$B$200,0)),),"Market")</f>
        <v>8.9999999999999993E-3</v>
      </c>
      <c r="W343" s="885">
        <f>IFERROR(MAX(0,INDEX(Input!$1:$1048576,W$93,$C343*2+MIN($B343,2)+5)-0%,),"Market")</f>
        <v>3.9E-2</v>
      </c>
      <c r="X343" s="476" t="str">
        <f>INDEX(Input!$1:$1048576,X$93,$C343*2+MIN($B343,2)+5)</f>
        <v>Y</v>
      </c>
      <c r="Y343" s="475">
        <f>INDEX(Input!$1:$1048576,Y$93,$C343*2+MIN($B343,2)+5)
++INDEX(Scenarios!Y$121:Y$200,MATCH($B343,Scenarios!$B$121:$B$200,0))</f>
        <v>1914.9999999999991</v>
      </c>
      <c r="Z343" s="477">
        <f>INDEX(Input!$1:$1048576,Z$93,$C343*2+MIN($B343,2)+5)
+INDEX(Scenarios!Z$121:Z$200,MATCH($B343,Scenarios!$B$121:$B$200,0))</f>
        <v>0</v>
      </c>
      <c r="AA343" s="475">
        <f>INDEX(Input!$1:$1048576,AA$93,$C343*2+MIN($B343,2)+5)
+INDEX(Scenarios!AA$121:AA$200,MATCH($B343,Scenarios!$B$121:$B$200,0))</f>
        <v>0</v>
      </c>
      <c r="AB343" s="476">
        <f>INDEX(Input!$1:$1048576,AB$93,$C343*2+MIN($B343,2)+5)</f>
        <v>0.27</v>
      </c>
      <c r="AC343" s="475">
        <f>INDEX(Input!$1:$1048576,AC$93,$C343*2+MIN($B343,2)+5)
+INDEX(Scenarios!AC$121:AC$200,MATCH($B343,Scenarios!$B$121:$B$200,0))</f>
        <v>0</v>
      </c>
      <c r="AD343" s="476">
        <f>INDEX(Input!$1:$1048576,AD$93,$C343*2+MIN($B343,2)+5)</f>
        <v>0.27</v>
      </c>
      <c r="AE343" s="475">
        <f>INDEX(Input!$1:$1048576,AE$93,$C343*2+MIN($B343,2)+5)
+INDEX(Scenarios!AE$121:AE$200,MATCH($B343,Scenarios!$B$121:$B$200,0))</f>
        <v>0</v>
      </c>
      <c r="AF343" s="476">
        <f>INDEX(Input!$1:$1048576,AF$93,$C343*2+MIN($B343,2)+5)</f>
        <v>0.68200000000000005</v>
      </c>
      <c r="AG343" s="475">
        <f>INDEX(Input!$1:$1048576,AG$93,$C343*2+MIN($B343,2)+5)
+INDEX(Scenarios!AG$121:AG$200,MATCH($B343,Scenarios!$B$121:$B$200,0))</f>
        <v>500</v>
      </c>
      <c r="AH343" s="476">
        <f>INDEX(Input!$1:$1048576,AH$93,$C343*2+MIN($B343,2)+5)</f>
        <v>1</v>
      </c>
      <c r="AI343" s="475">
        <f>INDEX(Input!$1:$1048576,AI$93,$C343*2+MIN($B343,2)+5)
+INDEX(Scenarios!AI$121:AI$200,MATCH($B343,Scenarios!$B$121:$B$200,0))</f>
        <v>0</v>
      </c>
      <c r="AJ343" s="476">
        <f>INDEX(Input!$1:$1048576,AJ$93,$C343*2+MIN($B343,2)+5)</f>
        <v>0.27</v>
      </c>
      <c r="AK343" s="150">
        <f>ROUND(INDEX(Input!$1:$1048576,AK$93,$C342*2+MIN($B343,1)+5)+(Y343-VLOOKUP($C343*1000+1,$A:$HH,Y$92,FALSE)),0)</f>
        <v>3337</v>
      </c>
      <c r="AL343" s="150">
        <f>ROUND(INDEX(Input!$1:$1048576,AL$93,$C342*2+MIN($B343,1)+5)-(Y343-VLOOKUP($C343*1000+1,$A:$HH,Y$92,FALSE))/36,0)</f>
        <v>3385</v>
      </c>
      <c r="AM343" s="32" t="str">
        <f t="shared" si="907"/>
        <v>std/std/std/std</v>
      </c>
      <c r="AN343" s="32" t="str">
        <f t="shared" si="908"/>
        <v>$0 + 0/0/0/0.9/3.9</v>
      </c>
      <c r="AO343" s="32" t="str">
        <f t="shared" si="909"/>
        <v>0/0/0/0.9/3.9</v>
      </c>
      <c r="AP343" s="32" t="str">
        <f t="shared" si="863"/>
        <v>0/0/0.9/3.9</v>
      </c>
      <c r="AQ343" s="536">
        <f t="shared" si="862"/>
        <v>0.27108039108887255</v>
      </c>
      <c r="AR343" s="32"/>
      <c r="AS343" s="302"/>
      <c r="AT343" s="3">
        <f t="shared" si="930"/>
        <v>43</v>
      </c>
      <c r="AU343" s="41" t="s">
        <v>121</v>
      </c>
      <c r="AV343" s="41" t="s">
        <v>116</v>
      </c>
      <c r="AW343" s="41" t="str">
        <f>INDEX(Input!$1:$1048576,AW$93,$C343*2+6)</f>
        <v>Kia</v>
      </c>
      <c r="AX343" s="41" t="str">
        <f>INDEX(Input!$1:$1048576,AX$93,$C343*2+6)</f>
        <v>Kia-LR - L3</v>
      </c>
      <c r="AY343" s="41" t="str">
        <f>IF(LEN(D343)=0,"",INDEX(Input!$1:$1048576,AY$93,$C343*2+6))</f>
        <v>Compact SUV (52)</v>
      </c>
      <c r="AZ343" s="41" t="str">
        <f>INDEX(Input!$1:$1048576,AZ$93,$C343*2+6)</f>
        <v>Kia Soul</v>
      </c>
      <c r="BA343" s="3">
        <f>INDEX(Input!$1:$1048576,BA$93,$C343*2+6)</f>
        <v>2020</v>
      </c>
      <c r="BB343" s="128">
        <f>INDEX(Input!$1:$1048576,BB$93,$C343*2+6)</f>
        <v>1</v>
      </c>
      <c r="BC343" s="128">
        <f>INDEX(Input!$1:$1048576,BC$93,$C343*2+6)</f>
        <v>0.7</v>
      </c>
      <c r="BD343" s="1">
        <f>INDEX(Input!$1:$1048576,BD$93,$C343*2+6)</f>
        <v>4.4999999999999998E-2</v>
      </c>
      <c r="BE343" s="1">
        <f>INDEX(Input!$1:$1048576,BE$93,$C343*2+6)</f>
        <v>4.4999999999999998E-2</v>
      </c>
      <c r="BF343" s="1">
        <f>INDEX(Input!$1:$1048576,BF$93,$C343*2+6)</f>
        <v>0.05</v>
      </c>
      <c r="BG343" s="1">
        <f>INDEX(Input!$1:$1048576,BG$93,$C343*2+6)</f>
        <v>5.45E-2</v>
      </c>
      <c r="BH343" s="1">
        <f>INDEX(Input!$1:$1048576,BH$93,$C343*2+6)</f>
        <v>5.45E-2</v>
      </c>
      <c r="BI343" s="1">
        <f>INDEX(Input!$1:$1048576,BI$93,$C343*2+6)</f>
        <v>0.05</v>
      </c>
      <c r="BJ343" s="1">
        <f>INDEX(Input!$1:$1048576,BJ$93,$C343*2+6)</f>
        <v>0.05</v>
      </c>
      <c r="BK343" s="1">
        <f>INDEX(Input!$1:$1048576,BK$93,$C343*2+6)</f>
        <v>0.05</v>
      </c>
      <c r="BL343" s="1">
        <f>INDEX(Input!$1:$1048576,BL$93,$C343*2+6)</f>
        <v>5.5E-2</v>
      </c>
      <c r="BM343" s="1">
        <f>INDEX(Input!$1:$1048576,BM$93,$C343*2+6)</f>
        <v>0.06</v>
      </c>
      <c r="BN343" s="1">
        <f>INDEX(Input!$1:$1048576,BN$93,$C343*2+6)</f>
        <v>4.4999999999999998E-2</v>
      </c>
      <c r="BO343" s="1">
        <f>INDEX(Input!$1:$1048576,BO$93,$C343*2+6)</f>
        <v>4.4999999999999998E-2</v>
      </c>
      <c r="BP343" s="1">
        <f>INDEX(Input!$1:$1048576,BP$93,$C343*2+6)</f>
        <v>0.05</v>
      </c>
      <c r="BQ343" s="1">
        <f>INDEX(Input!$1:$1048576,BQ$93,$C343*2+6)</f>
        <v>5.45E-2</v>
      </c>
      <c r="BR343" s="1">
        <f>INDEX(Input!$1:$1048576,BR$93,$C343*2+6)</f>
        <v>5.45E-2</v>
      </c>
      <c r="BS343" s="1">
        <f>INDEX(Input!$1:$1048576,BS$93,$C343*2+6)</f>
        <v>0.05</v>
      </c>
      <c r="BT343" s="1">
        <f>INDEX(Input!$1:$1048576,BT$93,$C343*2+6)</f>
        <v>0.05</v>
      </c>
      <c r="BU343" s="1">
        <f>INDEX(Input!$1:$1048576,BU$93,$C343*2+6)</f>
        <v>0.05</v>
      </c>
      <c r="BV343" s="1">
        <f>INDEX(Input!$1:$1048576,BV$93,$C343*2+6)</f>
        <v>5.5E-2</v>
      </c>
      <c r="BW343" s="1">
        <f>INDEX(Input!$1:$1048576,BW$93,$C343*2+6)</f>
        <v>0.06</v>
      </c>
      <c r="BX343" s="127">
        <f>INDEX(Input!$1:$1048576,BX$93,$C343*2+6)</f>
        <v>19985</v>
      </c>
      <c r="BY343" s="20">
        <f>INDEX(Input!$1:$1048576,BY$93,$C343*2+6)</f>
        <v>0.1</v>
      </c>
      <c r="BZ343" s="20">
        <f>INDEX(Input!$1:$1048576,BZ$93,$C343*2+6)</f>
        <v>0.1</v>
      </c>
      <c r="CA343" s="20">
        <f>INDEX(Input!$1:$1048576,CA$93,$C343*2+6)</f>
        <v>0.1</v>
      </c>
      <c r="CB343" s="20">
        <f>INDEX(Input!$1:$1048576,CB$93,$C343*2+6)</f>
        <v>0.1</v>
      </c>
      <c r="CC343" s="20">
        <f>INDEX(Input!$1:$1048576,CC$93,$C343*2+6)</f>
        <v>0.1</v>
      </c>
      <c r="CD343" s="384">
        <f>INDEX(Input!$1:$1048576,CD$93,$C343*2+6)</f>
        <v>0.1</v>
      </c>
      <c r="CE343" s="384">
        <f>INDEX(Input!$1:$1048576,CE$93,$C343*2+6)</f>
        <v>0.1</v>
      </c>
      <c r="CF343" s="384">
        <f>INDEX(Input!$1:$1048576,CF$93,$C343*2+6)</f>
        <v>0.1</v>
      </c>
      <c r="CG343" s="384">
        <f>INDEX(Input!$1:$1048576,CG$93,$C343*2+6)</f>
        <v>0.1</v>
      </c>
      <c r="CH343" s="384">
        <f>INDEX(Input!$1:$1048576,CH$93,$C343*2+6)</f>
        <v>0.1</v>
      </c>
      <c r="CI343" s="304">
        <f t="shared" si="864"/>
        <v>1287.0236024844721</v>
      </c>
      <c r="CJ343" s="16" t="str">
        <f>INDEX(Input!$1:$1048576,CJ$93,$C343*2+6)</f>
        <v>N</v>
      </c>
      <c r="CK343" s="1" t="str">
        <f t="shared" si="865"/>
        <v>Market</v>
      </c>
      <c r="CL343" s="1" t="str">
        <f t="shared" si="866"/>
        <v>Market</v>
      </c>
      <c r="CM343" s="1" t="str">
        <f t="shared" si="867"/>
        <v>Market</v>
      </c>
      <c r="CN343" s="1" t="str">
        <f t="shared" si="868"/>
        <v>Market</v>
      </c>
      <c r="CO343" s="1" t="str">
        <f t="shared" si="869"/>
        <v>Market</v>
      </c>
      <c r="CP343" s="304">
        <f t="shared" si="870"/>
        <v>500</v>
      </c>
      <c r="CQ343" s="1">
        <f t="shared" si="871"/>
        <v>0</v>
      </c>
      <c r="CR343" s="1">
        <f t="shared" si="872"/>
        <v>0</v>
      </c>
      <c r="CS343" s="1">
        <f t="shared" si="873"/>
        <v>0</v>
      </c>
      <c r="CT343" s="1">
        <f t="shared" si="874"/>
        <v>8.9999999999999993E-3</v>
      </c>
      <c r="CU343" s="1">
        <f t="shared" si="875"/>
        <v>3.9E-2</v>
      </c>
      <c r="CV343" s="304">
        <f t="shared" si="876"/>
        <v>1914.9999999999991</v>
      </c>
      <c r="CW343" s="20" t="s">
        <v>122</v>
      </c>
      <c r="CX343" s="20" t="s">
        <v>122</v>
      </c>
      <c r="CY343" s="20" t="s">
        <v>122</v>
      </c>
      <c r="CZ343" s="20" t="s">
        <v>122</v>
      </c>
      <c r="DA343" s="20" t="s">
        <v>122</v>
      </c>
      <c r="DB343" s="503">
        <f t="shared" si="877"/>
        <v>0</v>
      </c>
      <c r="DC343" s="127">
        <v>0</v>
      </c>
      <c r="DD343" s="127">
        <v>0</v>
      </c>
      <c r="DE343" s="127">
        <v>0</v>
      </c>
      <c r="DF343" s="127">
        <v>0</v>
      </c>
      <c r="DG343" s="127">
        <v>0</v>
      </c>
      <c r="DH343" s="127">
        <v>0</v>
      </c>
      <c r="DI343" s="127">
        <v>0</v>
      </c>
      <c r="DJ343" s="127">
        <v>0</v>
      </c>
      <c r="DK343" s="127">
        <v>0</v>
      </c>
      <c r="DL343" s="127">
        <v>0</v>
      </c>
      <c r="DM343" s="304">
        <f>INDEX(Input!$1:$1048576,DM$93,$C343*2+6)</f>
        <v>21036.84210526316</v>
      </c>
      <c r="DN343" s="20">
        <v>0</v>
      </c>
      <c r="DO343" s="20">
        <v>0</v>
      </c>
      <c r="DP343" s="20">
        <v>0</v>
      </c>
      <c r="DQ343" s="20">
        <v>0</v>
      </c>
      <c r="DR343" s="20">
        <v>0</v>
      </c>
      <c r="DS343" s="20">
        <f>INDEX(Input!$1:$1048576,DS$93,$C343*2+6)</f>
        <v>0.6</v>
      </c>
      <c r="DT343" s="20">
        <f>INDEX(Input!$1:$1048576,DT$93,$C343*2+6)</f>
        <v>0.55000000000000004</v>
      </c>
      <c r="DU343" s="20">
        <f>INDEX(Input!$1:$1048576,DU$93,$C343*2+6)</f>
        <v>0.52</v>
      </c>
      <c r="DV343" s="20">
        <f>INDEX(Input!$1:$1048576,DV$93,$C343*2+6)</f>
        <v>0.5</v>
      </c>
      <c r="DW343" s="20">
        <f>INDEX(Input!$1:$1048576,DW$93,$C343*2+6)</f>
        <v>0.45</v>
      </c>
      <c r="DX343" s="20"/>
      <c r="DY343" s="7">
        <v>9.4791173307703161E-2</v>
      </c>
      <c r="DZ343" s="7">
        <v>0</v>
      </c>
      <c r="EA343" s="7">
        <v>0.6554385401436218</v>
      </c>
      <c r="EB343" s="7">
        <v>0</v>
      </c>
      <c r="EC343" s="7">
        <v>0</v>
      </c>
      <c r="ED343" s="7">
        <v>0</v>
      </c>
      <c r="EE343" s="7">
        <v>0</v>
      </c>
      <c r="EF343" s="7">
        <v>0</v>
      </c>
      <c r="EG343" s="7">
        <v>0</v>
      </c>
      <c r="EH343" s="7">
        <v>9.4315773352793997E-3</v>
      </c>
      <c r="EI343" s="7">
        <v>2.6397922762496348E-2</v>
      </c>
      <c r="EJ343" s="7">
        <v>0.21200917524196267</v>
      </c>
      <c r="EK343" s="7">
        <v>0.64078356649992552</v>
      </c>
      <c r="EL343" s="7">
        <v>0.1113777581603362</v>
      </c>
      <c r="EM343" s="7">
        <v>5.8912157381740056E-2</v>
      </c>
      <c r="EN343" s="7">
        <v>6.4563458046208014E-2</v>
      </c>
      <c r="EO343" s="7">
        <v>0.79112192232885714</v>
      </c>
      <c r="EP343" s="7">
        <v>5.9348612823097523E-2</v>
      </c>
      <c r="EQ343" s="7">
        <v>5.5280685759766149E-2</v>
      </c>
      <c r="ER343" s="7">
        <v>2.9685321042071118E-2</v>
      </c>
      <c r="ES343" s="7">
        <v>0.19085812916693504</v>
      </c>
      <c r="ET343" s="7">
        <v>0.24977028654867506</v>
      </c>
      <c r="EU343" s="6">
        <v>1611</v>
      </c>
      <c r="EV343" s="6">
        <v>0</v>
      </c>
      <c r="EW343" s="6">
        <v>1611</v>
      </c>
      <c r="EX343" s="6">
        <v>0</v>
      </c>
      <c r="EY343" s="6">
        <v>2652.1807919417906</v>
      </c>
      <c r="EZ343" s="6">
        <v>2649</v>
      </c>
      <c r="FA343" s="6">
        <v>0</v>
      </c>
      <c r="FB343" s="6">
        <v>0</v>
      </c>
      <c r="FC343" s="6">
        <v>0</v>
      </c>
      <c r="FD343" s="6">
        <v>0</v>
      </c>
      <c r="FE343" s="6">
        <v>0</v>
      </c>
      <c r="FF343" s="6">
        <v>0</v>
      </c>
      <c r="FG343" s="6">
        <v>0</v>
      </c>
      <c r="FH343" s="6">
        <v>1171.9882876764693</v>
      </c>
      <c r="FI343" s="6">
        <v>1553.9796069512404</v>
      </c>
      <c r="FJ343" s="6">
        <v>2101.2110117447401</v>
      </c>
      <c r="FK343" s="6">
        <v>2251.3078348034669</v>
      </c>
      <c r="FL343" s="6">
        <v>907.07682140966347</v>
      </c>
      <c r="FM343" s="6">
        <v>2041.1807919417904</v>
      </c>
      <c r="FN343" s="6">
        <v>0</v>
      </c>
      <c r="FO343" s="6">
        <v>0</v>
      </c>
      <c r="FP343" s="6">
        <v>0</v>
      </c>
      <c r="FQ343" s="6">
        <v>0</v>
      </c>
      <c r="FR343" s="6">
        <v>0</v>
      </c>
      <c r="FS343" s="6">
        <v>0</v>
      </c>
      <c r="FT343" s="7">
        <v>0.75022971345132494</v>
      </c>
      <c r="FU343" s="7">
        <v>5.8912157381740056E-2</v>
      </c>
      <c r="FV343" s="7">
        <v>0.19085812916693504</v>
      </c>
      <c r="FW343" s="6">
        <v>1611</v>
      </c>
      <c r="FX343" s="6">
        <v>2652.1807919417906</v>
      </c>
      <c r="FY343" s="6">
        <v>2649</v>
      </c>
      <c r="FZ343" s="6">
        <v>1858.9243755539039</v>
      </c>
      <c r="GA343" s="6">
        <v>1870.4489447529982</v>
      </c>
      <c r="GB343" s="6">
        <v>18114.551055247</v>
      </c>
      <c r="GC343" s="7">
        <v>2.9156573141622111E-2</v>
      </c>
      <c r="GD343" s="7">
        <v>2.9804193519346368E-2</v>
      </c>
      <c r="GE343" s="7"/>
      <c r="GF343" s="7"/>
      <c r="GG343" s="7">
        <v>2.221181393912694E-2</v>
      </c>
      <c r="GH343" s="42">
        <v>38.517977887480626</v>
      </c>
      <c r="GI343" s="6">
        <v>2389.2975732656487</v>
      </c>
      <c r="GJ343" s="14">
        <v>0.50394797582841722</v>
      </c>
      <c r="GK343" s="14">
        <v>0.50887573065309755</v>
      </c>
      <c r="GL343" s="14">
        <v>0.49605202417158278</v>
      </c>
      <c r="GM343" s="14">
        <v>0.4911242693469024</v>
      </c>
      <c r="GO343" s="5">
        <v>343.14810671672558</v>
      </c>
      <c r="GP343" s="5">
        <v>312.41330006058649</v>
      </c>
      <c r="GQ343" s="5">
        <v>535.04305713031317</v>
      </c>
      <c r="GR343" s="5">
        <v>410.15490233172511</v>
      </c>
      <c r="GS343" s="5">
        <v>339.42744393800166</v>
      </c>
      <c r="GT343" s="5">
        <v>293.4407446948278</v>
      </c>
      <c r="GU343" s="5">
        <v>258.04012322764959</v>
      </c>
      <c r="GV343" s="39" t="s">
        <v>392</v>
      </c>
      <c r="GW343" s="5">
        <v>482.65277777777777</v>
      </c>
      <c r="GX343" s="5">
        <v>361.98958333333331</v>
      </c>
      <c r="GY343" s="5">
        <v>289.59166666666664</v>
      </c>
      <c r="GZ343" s="5">
        <v>247.99130496280273</v>
      </c>
      <c r="HA343" s="5">
        <v>236.70336205047303</v>
      </c>
      <c r="HB343" s="39">
        <v>260.77628313753695</v>
      </c>
      <c r="HC343" s="5">
        <v>171.390625</v>
      </c>
      <c r="HD343" s="5">
        <v>160.70330774853798</v>
      </c>
      <c r="HE343" s="5">
        <v>167.52103997975706</v>
      </c>
      <c r="HF343" s="5">
        <v>159.65063048245611</v>
      </c>
      <c r="HG343" s="5">
        <v>159.85888157894735</v>
      </c>
      <c r="HH343" s="39">
        <v>161.71468107495807</v>
      </c>
      <c r="HI343" s="16"/>
      <c r="HJ343" s="19" t="str">
        <f t="shared" si="984"/>
        <v>On</v>
      </c>
      <c r="HK343" s="1" t="str">
        <f t="shared" si="984"/>
        <v>On</v>
      </c>
      <c r="HL343" s="16"/>
      <c r="HM343" s="639">
        <f t="shared" si="878"/>
        <v>2.2758057894877178E-2</v>
      </c>
      <c r="HN343" s="639">
        <f t="shared" si="879"/>
        <v>1.416759231746561E-3</v>
      </c>
      <c r="HO343" s="639">
        <f t="shared" si="880"/>
        <v>4.5732401537654987E-3</v>
      </c>
      <c r="HP343" s="644">
        <f>(FT343*$GD343-HM343)/$JF343*INDEX(Input!$1:$1048576,$JG$93,$C343*2+6)</f>
        <v>-22.293220964377166</v>
      </c>
      <c r="HQ343" s="644">
        <f>(FU343*$GD343-HN343)/$JF343*INDEX(Input!$1:$1048576,$JG$93,$C343*2+6)</f>
        <v>18.989209175154169</v>
      </c>
      <c r="HR343" s="644">
        <f>(FV343*$GD343-HO343)/$JF343*INDEX(Input!$1:$1048576,$JG$93,$C343*2+6)</f>
        <v>62.451637944848812</v>
      </c>
      <c r="HS343" s="644">
        <f t="shared" si="985"/>
        <v>-19.022564675358691</v>
      </c>
      <c r="HT343" s="644">
        <f t="shared" si="882"/>
        <v>58.932484229475357</v>
      </c>
      <c r="HU343" s="644">
        <f t="shared" si="883"/>
        <v>16.202671311768139</v>
      </c>
      <c r="HV343" s="648">
        <f t="shared" si="884"/>
        <v>0</v>
      </c>
      <c r="HW343" s="648">
        <f t="shared" si="885"/>
        <v>0</v>
      </c>
      <c r="HX343" s="648">
        <f t="shared" si="886"/>
        <v>0</v>
      </c>
      <c r="HY343" s="644">
        <f>INDEX(Input!$1:$1048576,HY$93,$C343*2+6)*INDEX(Input!$1:$1048576,$JG$93,$C343*2+6)</f>
        <v>509.00000000000006</v>
      </c>
      <c r="HZ343" s="644">
        <f>INDEX(Input!$1:$1048576,HZ$93,$C343*2+6)*INDEX(Input!$1:$1048576,$JG$93,$C343*2+6)</f>
        <v>844</v>
      </c>
      <c r="IA343" s="644">
        <f>INDEX(Input!$1:$1048576,IA$93,$C343*2+6)*INDEX(Input!$1:$1048576,$JG$93,$C343*2+6)</f>
        <v>257</v>
      </c>
      <c r="IB343" s="644">
        <f t="shared" si="910"/>
        <v>467.68421436026421</v>
      </c>
      <c r="IC343" s="644">
        <f t="shared" si="911"/>
        <v>921.92169340462954</v>
      </c>
      <c r="ID343" s="644">
        <f>IF(AND(INDEX(Input!$1:$1048576,IA$93,$C343*2+7)="TOS",Y343&lt;=INDEX(Y:Y,MATCH(C343*1000+2,A:A))),0,1)*MAX(IA343+HR343+HU343+HX343,0%)</f>
        <v>335.65430925661695</v>
      </c>
      <c r="IE343" s="128">
        <f t="shared" ref="IE343:IE361" si="990">IB343/SUM($IB343:$ID343)</f>
        <v>0.27108039108887255</v>
      </c>
      <c r="IF343" s="128">
        <f t="shared" si="977"/>
        <v>0.53436674903234893</v>
      </c>
      <c r="IG343" s="128">
        <f t="shared" si="888"/>
        <v>0.19455285987877849</v>
      </c>
      <c r="IH343" s="21"/>
      <c r="II343" s="19">
        <f t="shared" si="889"/>
        <v>1410.4999999999998</v>
      </c>
      <c r="IJ343" s="19">
        <f t="shared" si="890"/>
        <v>2134.9731585778086</v>
      </c>
      <c r="IK343" s="19">
        <f t="shared" si="891"/>
        <v>2103.5</v>
      </c>
      <c r="IL343" s="19">
        <f t="shared" si="913"/>
        <v>200.50000000000023</v>
      </c>
      <c r="IM343" s="19">
        <f t="shared" si="892"/>
        <v>517.20763336398204</v>
      </c>
      <c r="IN343" s="19">
        <f t="shared" si="893"/>
        <v>545.5</v>
      </c>
      <c r="IO343" s="39">
        <f t="shared" si="894"/>
        <v>0</v>
      </c>
      <c r="IP343" s="39">
        <f t="shared" si="895"/>
        <v>0</v>
      </c>
      <c r="IQ343" s="39">
        <f t="shared" si="896"/>
        <v>0</v>
      </c>
      <c r="IR343" s="39">
        <v>0</v>
      </c>
      <c r="IS343" s="39">
        <v>0</v>
      </c>
      <c r="IT343" s="39">
        <v>0</v>
      </c>
      <c r="IU343" s="39">
        <v>0</v>
      </c>
      <c r="IV343" s="39">
        <v>0</v>
      </c>
      <c r="IW343" s="39">
        <v>0</v>
      </c>
      <c r="IX343" s="39">
        <f>INDEX(Input!$1:$1048576,IX$93,$C343*2+6)+INDEX(Input!$1:$1048576,IX$94,$C343*2+6)</f>
        <v>1611</v>
      </c>
      <c r="IY343" s="39">
        <f>INDEX(Input!$1:$1048576,IY$93,$C343*2+6)+INDEX(Input!$1:$1048576,IY$94,$C343*2+6)</f>
        <v>2471.0624533823611</v>
      </c>
      <c r="IZ343" s="39">
        <f>INDEX(Input!$1:$1048576,IZ$93,$C343*2+6)+INDEX(Input!$1:$1048576,IZ$94,$C343*2+6)</f>
        <v>3994.7164157747857</v>
      </c>
      <c r="JA343" s="19">
        <f t="shared" si="914"/>
        <v>1811.5000000000002</v>
      </c>
      <c r="JB343" s="19">
        <f t="shared" si="915"/>
        <v>2988.2700867463432</v>
      </c>
      <c r="JC343" s="19">
        <f t="shared" si="916"/>
        <v>4540.2164157747857</v>
      </c>
      <c r="JD343" s="19">
        <f t="shared" si="917"/>
        <v>2971.2063881003132</v>
      </c>
      <c r="JE343" s="21"/>
      <c r="JF343" s="1">
        <f t="shared" si="897"/>
        <v>2.8748057280389237E-2</v>
      </c>
      <c r="JG343" s="15">
        <f>INDEX(Input!$1:$1048576,JG$93,$C343*2+6)/(1+VLOOKUP(C343*1000+INDEX(Input!$1:$1048576,JG$93+1,$C343*2+6),$A:$KK,$JK$92,FALSE))</f>
        <v>1610</v>
      </c>
      <c r="JH343" s="1">
        <f t="shared" si="918"/>
        <v>3.6737655997283118E-2</v>
      </c>
      <c r="JI343" s="1">
        <f t="shared" si="919"/>
        <v>3.4852540910487458E-2</v>
      </c>
      <c r="JJ343" s="1">
        <f t="shared" si="978"/>
        <v>0</v>
      </c>
      <c r="JK343" s="1">
        <f t="shared" si="979"/>
        <v>7.1590196907770576E-2</v>
      </c>
      <c r="JL343" s="15">
        <f t="shared" si="922"/>
        <v>115.26021702151063</v>
      </c>
      <c r="JM343" s="15">
        <f t="shared" si="948"/>
        <v>1725.2602170215107</v>
      </c>
      <c r="JN343" s="21"/>
      <c r="JO343" s="19">
        <f>INDEX(Input!$1:$1048576,JO$93,$C343*2+6)</f>
        <v>5995.5</v>
      </c>
      <c r="JP343" s="19">
        <f>INDEX(Input!$1:$1048576,JP$93,$C343*2+6)</f>
        <v>2442.3713226762939</v>
      </c>
      <c r="JQ343" s="39">
        <f t="shared" si="934"/>
        <v>3024.2936118996868</v>
      </c>
      <c r="JR343" s="39">
        <f t="shared" si="951"/>
        <v>528.83506542401938</v>
      </c>
      <c r="JS343" s="39">
        <f t="shared" si="936"/>
        <v>5.1261041779496459</v>
      </c>
      <c r="JT343" s="39">
        <f t="shared" si="924"/>
        <v>1.1938863484408124</v>
      </c>
      <c r="JU343" s="385">
        <f>(JQ343*JM343-INDEX(Input!$1:$1048576,Input!A$18,$C343*2+6)*JL343*INDEX(Input!$1:$1048576,Input!A$19,$C343*2+6))/1000000</f>
        <v>5.2176934532028225</v>
      </c>
      <c r="JV343" s="39">
        <f t="shared" si="958"/>
        <v>-0.50284371728834465</v>
      </c>
      <c r="JW343" s="1">
        <f t="shared" si="949"/>
        <v>-8.7901485874825686E-2</v>
      </c>
      <c r="JX343" s="19">
        <f t="shared" si="940"/>
        <v>10358.182374565558</v>
      </c>
      <c r="JZ343" s="341"/>
      <c r="KA343" s="342"/>
      <c r="KB343" s="469">
        <f t="shared" si="937"/>
        <v>2.5190675447988795</v>
      </c>
      <c r="KI343" s="473">
        <f t="shared" si="987"/>
        <v>-41.315785639735793</v>
      </c>
      <c r="KJ343" s="473">
        <f t="shared" si="988"/>
        <v>77.921693404629423</v>
      </c>
      <c r="KK343" s="473">
        <f t="shared" si="926"/>
        <v>78.654309256616955</v>
      </c>
      <c r="KN343" s="544">
        <f t="shared" si="941"/>
        <v>3002</v>
      </c>
      <c r="KO343" s="541">
        <f t="shared" si="901"/>
        <v>3.9857497207105963E-2</v>
      </c>
      <c r="KP343" s="546">
        <f t="shared" si="902"/>
        <v>239.25108629241709</v>
      </c>
      <c r="KQ343" s="546">
        <f t="shared" si="903"/>
        <v>335.29296271161502</v>
      </c>
      <c r="KR343" s="548">
        <f t="shared" si="904"/>
        <v>2.89023210054836</v>
      </c>
      <c r="KS343" s="548">
        <f t="shared" si="905"/>
        <v>2.0623491889036751</v>
      </c>
      <c r="KT343" s="473">
        <f t="shared" si="939"/>
        <v>1026.1618045255443</v>
      </c>
      <c r="KU343" s="663">
        <f t="shared" si="927"/>
        <v>4.5824515114427076</v>
      </c>
      <c r="KV343" s="117"/>
    </row>
    <row r="344" spans="1:308" s="26" customFormat="1" ht="15">
      <c r="A344" s="561">
        <f t="shared" si="906"/>
        <v>3044</v>
      </c>
      <c r="B344" s="561">
        <f t="shared" si="928"/>
        <v>44</v>
      </c>
      <c r="C344" s="561">
        <f t="shared" si="929"/>
        <v>3</v>
      </c>
      <c r="D344" s="561" t="str">
        <f t="shared" si="974"/>
        <v xml:space="preserve">0/0/0/3.9, 360 Lease, </v>
      </c>
      <c r="E344" s="475">
        <f>INDEX(Input!$1:$1048576,E$93,$C344*2+MIN($B344,2)+5)
+INDEX(Scenarios!E$121:E$200,MATCH($B344,Scenarios!$B$121:$B$200,0))</f>
        <v>1287.0236024844721</v>
      </c>
      <c r="F344" s="475">
        <f>INDEX(Input!$1:$1048576,F$93,$C344*2+MIN($B344,2)+5)
+INDEX(Scenarios!F$121:F$200,MATCH($B344,Scenarios!$B$121:$B$200,0))</f>
        <v>0</v>
      </c>
      <c r="G344" s="475">
        <f>INDEX(Input!$1:$1048576,G$93,$C344*2+MIN($B344,2)+5)
+INDEX(Scenarios!G$121:G$200,MATCH($B344,Scenarios!$B$121:$B$200,0))</f>
        <v>0</v>
      </c>
      <c r="H344" s="475">
        <f>INDEX(Input!$1:$1048576,H$93,$C344*2+MIN($B344,2)+5)
+INDEX(Scenarios!H$121:H$200,MATCH($B344,Scenarios!$B$121:$B$200,0))</f>
        <v>0</v>
      </c>
      <c r="I344" s="476">
        <f>INDEX(Input!$1:$1048576,I$93,$C344*2+MIN($B344,2)+5)</f>
        <v>0.7</v>
      </c>
      <c r="J344" s="476" t="str">
        <f>INDEX(Input!$1:$1048576,J$93,$C344*2+MIN($B344,2)+5)</f>
        <v>Market</v>
      </c>
      <c r="K344" s="476" t="str">
        <f>INDEX(Input!$1:$1048576,K$93,$C344*2+MIN($B344,2)+5)</f>
        <v>Market</v>
      </c>
      <c r="L344" s="476" t="str">
        <f>INDEX(Input!$1:$1048576,L$93,$C344*2+MIN($B344,2)+5)</f>
        <v>Market</v>
      </c>
      <c r="M344" s="476" t="str">
        <f>INDEX(Input!$1:$1048576,M$93,$C344*2+MIN($B344,2)+5)</f>
        <v>Market</v>
      </c>
      <c r="N344" s="476" t="str">
        <f>INDEX(Input!$1:$1048576,N$93,$C344*2+MIN($B344,2)+5)</f>
        <v>Market</v>
      </c>
      <c r="O344" s="476" t="str">
        <f>INDEX(Input!$1:$1048576,O$93,$C344*2+MIN($B344,2)+5)</f>
        <v>Market</v>
      </c>
      <c r="P344" s="476" t="str">
        <f>INDEX(Input!$1:$1048576,P$93,$C344*2+MIN($B344,2)+5)</f>
        <v>N</v>
      </c>
      <c r="Q344" s="477">
        <f>INDEX(Input!$1:$1048576,Q$93,$C344*2+MIN($B344,2)+5)
+INDEX(Scenarios!Q$121:Q$200,MATCH($B344,Scenarios!$B$121:$B$200,0))</f>
        <v>0</v>
      </c>
      <c r="R344" s="478">
        <f>IFERROR(MAX(0,INDEX(Input!$1:$1048576,R$93,$C344*2+MIN($B344,2)+5)
+INDEX(Scenarios!R$121:R$200,MATCH($B344,Scenarios!$B$121:$B$200,0)),),"Market")</f>
        <v>0</v>
      </c>
      <c r="S344" s="478">
        <f>IFERROR(MAX(0,INDEX(Input!$1:$1048576,S$93,$C344*2+MIN($B344,2)+5)
+INDEX(Scenarios!S$121:S$200,MATCH($B344,Scenarios!$B$121:$B$200,0)),),"Market")</f>
        <v>0</v>
      </c>
      <c r="T344" s="478">
        <f>IFERROR(MAX(0,INDEX(Input!$1:$1048576,T$93,$C344*2+MIN($B344,2)+5)
+INDEX(Scenarios!T$121:T$200,MATCH($B344,Scenarios!$B$121:$B$200,0)),),"Market")</f>
        <v>0</v>
      </c>
      <c r="U344" s="478">
        <f>IFERROR(MAX(0,INDEX(Input!$1:$1048576,U$93,$C344*2+MIN($B344,2)+5)
+INDEX(Scenarios!U$121:U$200,MATCH($B344,Scenarios!$B$121:$B$200,0)),),"Market")</f>
        <v>0</v>
      </c>
      <c r="V344" s="478">
        <f>IFERROR(MAX(0,INDEX(Input!$1:$1048576,V$93,$C344*2+MIN($B344,2)+5)
+INDEX(Scenarios!V$121:V$200,MATCH($B344,Scenarios!$B$121:$B$200,0)),),"Market")</f>
        <v>0</v>
      </c>
      <c r="W344" s="885">
        <f>IFERROR(MAX(0,INDEX(Input!$1:$1048576,W$93,$C344*2+MIN($B344,2)+5)-0%,),"Market")</f>
        <v>3.9E-2</v>
      </c>
      <c r="X344" s="476" t="str">
        <f>INDEX(Input!$1:$1048576,X$93,$C344*2+MIN($B344,2)+5)</f>
        <v>Y</v>
      </c>
      <c r="Y344" s="475">
        <f>INDEX(Input!$1:$1048576,Y$93,$C344*2+MIN($B344,2)+5)
++INDEX(Scenarios!Y$121:Y$200,MATCH($B344,Scenarios!$B$121:$B$200,0))</f>
        <v>1914.9999999999991</v>
      </c>
      <c r="Z344" s="477">
        <f>INDEX(Input!$1:$1048576,Z$93,$C344*2+MIN($B344,2)+5)
+INDEX(Scenarios!Z$121:Z$200,MATCH($B344,Scenarios!$B$121:$B$200,0))</f>
        <v>0</v>
      </c>
      <c r="AA344" s="475">
        <f>INDEX(Input!$1:$1048576,AA$93,$C344*2+MIN($B344,2)+5)
+INDEX(Scenarios!AA$121:AA$200,MATCH($B344,Scenarios!$B$121:$B$200,0))</f>
        <v>0</v>
      </c>
      <c r="AB344" s="476">
        <f>INDEX(Input!$1:$1048576,AB$93,$C344*2+MIN($B344,2)+5)</f>
        <v>0.27</v>
      </c>
      <c r="AC344" s="475">
        <f>INDEX(Input!$1:$1048576,AC$93,$C344*2+MIN($B344,2)+5)
+INDEX(Scenarios!AC$121:AC$200,MATCH($B344,Scenarios!$B$121:$B$200,0))</f>
        <v>0</v>
      </c>
      <c r="AD344" s="476">
        <f>INDEX(Input!$1:$1048576,AD$93,$C344*2+MIN($B344,2)+5)</f>
        <v>0.27</v>
      </c>
      <c r="AE344" s="475">
        <f>INDEX(Input!$1:$1048576,AE$93,$C344*2+MIN($B344,2)+5)
+INDEX(Scenarios!AE$121:AE$200,MATCH($B344,Scenarios!$B$121:$B$200,0))</f>
        <v>0</v>
      </c>
      <c r="AF344" s="476">
        <f>INDEX(Input!$1:$1048576,AF$93,$C344*2+MIN($B344,2)+5)</f>
        <v>0.68200000000000005</v>
      </c>
      <c r="AG344" s="475">
        <f>INDEX(Input!$1:$1048576,AG$93,$C344*2+MIN($B344,2)+5)
+INDEX(Scenarios!AG$121:AG$200,MATCH($B344,Scenarios!$B$121:$B$200,0))</f>
        <v>500</v>
      </c>
      <c r="AH344" s="476">
        <f>INDEX(Input!$1:$1048576,AH$93,$C344*2+MIN($B344,2)+5)</f>
        <v>1</v>
      </c>
      <c r="AI344" s="475">
        <f>INDEX(Input!$1:$1048576,AI$93,$C344*2+MIN($B344,2)+5)
+INDEX(Scenarios!AI$121:AI$200,MATCH($B344,Scenarios!$B$121:$B$200,0))</f>
        <v>0</v>
      </c>
      <c r="AJ344" s="476">
        <f>INDEX(Input!$1:$1048576,AJ$93,$C344*2+MIN($B344,2)+5)</f>
        <v>0.27</v>
      </c>
      <c r="AK344" s="150">
        <f>ROUND(INDEX(Input!$1:$1048576,AK$93,$C343*2+MIN($B344,1)+5)+(Y344-VLOOKUP($C344*1000+1,$A:$HH,Y$92,FALSE)),0)</f>
        <v>3337</v>
      </c>
      <c r="AL344" s="150">
        <f>ROUND(INDEX(Input!$1:$1048576,AL$93,$C343*2+MIN($B344,1)+5)-(Y344-VLOOKUP($C344*1000+1,$A:$HH,Y$92,FALSE))/36,0)</f>
        <v>3385</v>
      </c>
      <c r="AM344" s="32" t="str">
        <f t="shared" si="907"/>
        <v>std/std/std/std</v>
      </c>
      <c r="AN344" s="32" t="str">
        <f t="shared" si="908"/>
        <v>$0 + 0/0/0/0/3.9</v>
      </c>
      <c r="AO344" s="32" t="str">
        <f t="shared" si="909"/>
        <v>0/0/0/0/3.9</v>
      </c>
      <c r="AP344" s="32" t="str">
        <f t="shared" si="863"/>
        <v>0/0/0/3.9</v>
      </c>
      <c r="AQ344" s="536">
        <f t="shared" si="862"/>
        <v>0.2549453136233818</v>
      </c>
      <c r="AR344" s="32"/>
      <c r="AS344" s="302"/>
      <c r="AT344" s="3">
        <f t="shared" si="930"/>
        <v>44</v>
      </c>
      <c r="AU344" s="41" t="s">
        <v>121</v>
      </c>
      <c r="AV344" s="41" t="s">
        <v>116</v>
      </c>
      <c r="AW344" s="41" t="str">
        <f>INDEX(Input!$1:$1048576,AW$93,$C344*2+6)</f>
        <v>Kia</v>
      </c>
      <c r="AX344" s="41" t="str">
        <f>INDEX(Input!$1:$1048576,AX$93,$C344*2+6)</f>
        <v>Kia-LR - L3</v>
      </c>
      <c r="AY344" s="41" t="str">
        <f>IF(LEN(D344)=0,"",INDEX(Input!$1:$1048576,AY$93,$C344*2+6))</f>
        <v>Compact SUV (52)</v>
      </c>
      <c r="AZ344" s="41" t="str">
        <f>INDEX(Input!$1:$1048576,AZ$93,$C344*2+6)</f>
        <v>Kia Soul</v>
      </c>
      <c r="BA344" s="3">
        <f>INDEX(Input!$1:$1048576,BA$93,$C344*2+6)</f>
        <v>2020</v>
      </c>
      <c r="BB344" s="128">
        <f>INDEX(Input!$1:$1048576,BB$93,$C344*2+6)</f>
        <v>1</v>
      </c>
      <c r="BC344" s="128">
        <f>INDEX(Input!$1:$1048576,BC$93,$C344*2+6)</f>
        <v>0.7</v>
      </c>
      <c r="BD344" s="1">
        <f>INDEX(Input!$1:$1048576,BD$93,$C344*2+6)</f>
        <v>4.4999999999999998E-2</v>
      </c>
      <c r="BE344" s="1">
        <f>INDEX(Input!$1:$1048576,BE$93,$C344*2+6)</f>
        <v>4.4999999999999998E-2</v>
      </c>
      <c r="BF344" s="1">
        <f>INDEX(Input!$1:$1048576,BF$93,$C344*2+6)</f>
        <v>0.05</v>
      </c>
      <c r="BG344" s="1">
        <f>INDEX(Input!$1:$1048576,BG$93,$C344*2+6)</f>
        <v>5.45E-2</v>
      </c>
      <c r="BH344" s="1">
        <f>INDEX(Input!$1:$1048576,BH$93,$C344*2+6)</f>
        <v>5.45E-2</v>
      </c>
      <c r="BI344" s="1">
        <f>INDEX(Input!$1:$1048576,BI$93,$C344*2+6)</f>
        <v>0.05</v>
      </c>
      <c r="BJ344" s="1">
        <f>INDEX(Input!$1:$1048576,BJ$93,$C344*2+6)</f>
        <v>0.05</v>
      </c>
      <c r="BK344" s="1">
        <f>INDEX(Input!$1:$1048576,BK$93,$C344*2+6)</f>
        <v>0.05</v>
      </c>
      <c r="BL344" s="1">
        <f>INDEX(Input!$1:$1048576,BL$93,$C344*2+6)</f>
        <v>5.5E-2</v>
      </c>
      <c r="BM344" s="1">
        <f>INDEX(Input!$1:$1048576,BM$93,$C344*2+6)</f>
        <v>0.06</v>
      </c>
      <c r="BN344" s="1">
        <f>INDEX(Input!$1:$1048576,BN$93,$C344*2+6)</f>
        <v>4.4999999999999998E-2</v>
      </c>
      <c r="BO344" s="1">
        <f>INDEX(Input!$1:$1048576,BO$93,$C344*2+6)</f>
        <v>4.4999999999999998E-2</v>
      </c>
      <c r="BP344" s="1">
        <f>INDEX(Input!$1:$1048576,BP$93,$C344*2+6)</f>
        <v>0.05</v>
      </c>
      <c r="BQ344" s="1">
        <f>INDEX(Input!$1:$1048576,BQ$93,$C344*2+6)</f>
        <v>5.45E-2</v>
      </c>
      <c r="BR344" s="1">
        <f>INDEX(Input!$1:$1048576,BR$93,$C344*2+6)</f>
        <v>5.45E-2</v>
      </c>
      <c r="BS344" s="1">
        <f>INDEX(Input!$1:$1048576,BS$93,$C344*2+6)</f>
        <v>0.05</v>
      </c>
      <c r="BT344" s="1">
        <f>INDEX(Input!$1:$1048576,BT$93,$C344*2+6)</f>
        <v>0.05</v>
      </c>
      <c r="BU344" s="1">
        <f>INDEX(Input!$1:$1048576,BU$93,$C344*2+6)</f>
        <v>0.05</v>
      </c>
      <c r="BV344" s="1">
        <f>INDEX(Input!$1:$1048576,BV$93,$C344*2+6)</f>
        <v>5.5E-2</v>
      </c>
      <c r="BW344" s="1">
        <f>INDEX(Input!$1:$1048576,BW$93,$C344*2+6)</f>
        <v>0.06</v>
      </c>
      <c r="BX344" s="127">
        <f>INDEX(Input!$1:$1048576,BX$93,$C344*2+6)</f>
        <v>19985</v>
      </c>
      <c r="BY344" s="20">
        <f>INDEX(Input!$1:$1048576,BY$93,$C344*2+6)</f>
        <v>0.1</v>
      </c>
      <c r="BZ344" s="20">
        <f>INDEX(Input!$1:$1048576,BZ$93,$C344*2+6)</f>
        <v>0.1</v>
      </c>
      <c r="CA344" s="20">
        <f>INDEX(Input!$1:$1048576,CA$93,$C344*2+6)</f>
        <v>0.1</v>
      </c>
      <c r="CB344" s="20">
        <f>INDEX(Input!$1:$1048576,CB$93,$C344*2+6)</f>
        <v>0.1</v>
      </c>
      <c r="CC344" s="20">
        <f>INDEX(Input!$1:$1048576,CC$93,$C344*2+6)</f>
        <v>0.1</v>
      </c>
      <c r="CD344" s="384">
        <f>INDEX(Input!$1:$1048576,CD$93,$C344*2+6)</f>
        <v>0.1</v>
      </c>
      <c r="CE344" s="384">
        <f>INDEX(Input!$1:$1048576,CE$93,$C344*2+6)</f>
        <v>0.1</v>
      </c>
      <c r="CF344" s="384">
        <f>INDEX(Input!$1:$1048576,CF$93,$C344*2+6)</f>
        <v>0.1</v>
      </c>
      <c r="CG344" s="384">
        <f>INDEX(Input!$1:$1048576,CG$93,$C344*2+6)</f>
        <v>0.1</v>
      </c>
      <c r="CH344" s="384">
        <f>INDEX(Input!$1:$1048576,CH$93,$C344*2+6)</f>
        <v>0.1</v>
      </c>
      <c r="CI344" s="304">
        <f t="shared" si="864"/>
        <v>1287.0236024844721</v>
      </c>
      <c r="CJ344" s="16" t="str">
        <f>INDEX(Input!$1:$1048576,CJ$93,$C344*2+6)</f>
        <v>N</v>
      </c>
      <c r="CK344" s="1" t="str">
        <f t="shared" si="865"/>
        <v>Market</v>
      </c>
      <c r="CL344" s="1" t="str">
        <f t="shared" si="866"/>
        <v>Market</v>
      </c>
      <c r="CM344" s="1" t="str">
        <f t="shared" si="867"/>
        <v>Market</v>
      </c>
      <c r="CN344" s="1" t="str">
        <f t="shared" si="868"/>
        <v>Market</v>
      </c>
      <c r="CO344" s="1" t="str">
        <f t="shared" si="869"/>
        <v>Market</v>
      </c>
      <c r="CP344" s="304">
        <f t="shared" si="870"/>
        <v>500</v>
      </c>
      <c r="CQ344" s="1">
        <f t="shared" si="871"/>
        <v>0</v>
      </c>
      <c r="CR344" s="1">
        <f t="shared" si="872"/>
        <v>0</v>
      </c>
      <c r="CS344" s="1">
        <f t="shared" si="873"/>
        <v>0</v>
      </c>
      <c r="CT344" s="1">
        <f t="shared" si="874"/>
        <v>0</v>
      </c>
      <c r="CU344" s="1">
        <f t="shared" si="875"/>
        <v>3.9E-2</v>
      </c>
      <c r="CV344" s="304">
        <f t="shared" si="876"/>
        <v>1914.9999999999991</v>
      </c>
      <c r="CW344" s="20" t="s">
        <v>122</v>
      </c>
      <c r="CX344" s="20" t="s">
        <v>122</v>
      </c>
      <c r="CY344" s="20" t="s">
        <v>122</v>
      </c>
      <c r="CZ344" s="20" t="s">
        <v>122</v>
      </c>
      <c r="DA344" s="20" t="s">
        <v>122</v>
      </c>
      <c r="DB344" s="503">
        <f t="shared" si="877"/>
        <v>0</v>
      </c>
      <c r="DC344" s="127">
        <v>0</v>
      </c>
      <c r="DD344" s="127">
        <v>0</v>
      </c>
      <c r="DE344" s="127">
        <v>0</v>
      </c>
      <c r="DF344" s="127">
        <v>0</v>
      </c>
      <c r="DG344" s="127">
        <v>0</v>
      </c>
      <c r="DH344" s="127">
        <v>0</v>
      </c>
      <c r="DI344" s="127">
        <v>0</v>
      </c>
      <c r="DJ344" s="127">
        <v>0</v>
      </c>
      <c r="DK344" s="127">
        <v>0</v>
      </c>
      <c r="DL344" s="127">
        <v>0</v>
      </c>
      <c r="DM344" s="304">
        <f>INDEX(Input!$1:$1048576,DM$93,$C344*2+6)</f>
        <v>21036.84210526316</v>
      </c>
      <c r="DN344" s="20">
        <v>0</v>
      </c>
      <c r="DO344" s="20">
        <v>0</v>
      </c>
      <c r="DP344" s="20">
        <v>0</v>
      </c>
      <c r="DQ344" s="20">
        <v>0</v>
      </c>
      <c r="DR344" s="20">
        <v>0</v>
      </c>
      <c r="DS344" s="20">
        <f>INDEX(Input!$1:$1048576,DS$93,$C344*2+6)</f>
        <v>0.6</v>
      </c>
      <c r="DT344" s="20">
        <f>INDEX(Input!$1:$1048576,DT$93,$C344*2+6)</f>
        <v>0.55000000000000004</v>
      </c>
      <c r="DU344" s="20">
        <f>INDEX(Input!$1:$1048576,DU$93,$C344*2+6)</f>
        <v>0.52</v>
      </c>
      <c r="DV344" s="20">
        <f>INDEX(Input!$1:$1048576,DV$93,$C344*2+6)</f>
        <v>0.5</v>
      </c>
      <c r="DW344" s="20">
        <f>INDEX(Input!$1:$1048576,DW$93,$C344*2+6)</f>
        <v>0.45</v>
      </c>
      <c r="DX344" s="20"/>
      <c r="DY344" s="7">
        <v>9.3216512417821709E-2</v>
      </c>
      <c r="DZ344" s="7">
        <v>0</v>
      </c>
      <c r="EA344" s="7">
        <v>0.64525348756688772</v>
      </c>
      <c r="EB344" s="7">
        <v>0</v>
      </c>
      <c r="EC344" s="7">
        <v>0</v>
      </c>
      <c r="ED344" s="7">
        <v>0</v>
      </c>
      <c r="EE344" s="7">
        <v>0</v>
      </c>
      <c r="EF344" s="7">
        <v>0</v>
      </c>
      <c r="EG344" s="7">
        <v>0</v>
      </c>
      <c r="EH344" s="7">
        <v>7.3755447681349675E-3</v>
      </c>
      <c r="EI344" s="7">
        <v>2.0640641646090991E-2</v>
      </c>
      <c r="EJ344" s="7">
        <v>0.16564827375752311</v>
      </c>
      <c r="EK344" s="7">
        <v>0.71917313615330247</v>
      </c>
      <c r="EL344" s="7">
        <v>8.7162403674948291E-2</v>
      </c>
      <c r="EM344" s="7">
        <v>7.3963022295360573E-2</v>
      </c>
      <c r="EN344" s="7">
        <v>6.4534979387531693E-2</v>
      </c>
      <c r="EO344" s="7">
        <v>0.7910820897280374</v>
      </c>
      <c r="EP344" s="7">
        <v>5.9394761674456183E-2</v>
      </c>
      <c r="EQ344" s="7">
        <v>5.5305832294462981E-2</v>
      </c>
      <c r="ER344" s="7">
        <v>2.9682336915511916E-2</v>
      </c>
      <c r="ES344" s="7">
        <v>0.18756697771992994</v>
      </c>
      <c r="ET344" s="7">
        <v>0.26153000001529059</v>
      </c>
      <c r="EU344" s="6">
        <v>1611</v>
      </c>
      <c r="EV344" s="6">
        <v>0</v>
      </c>
      <c r="EW344" s="6">
        <v>1611</v>
      </c>
      <c r="EX344" s="6">
        <v>0</v>
      </c>
      <c r="EY344" s="6">
        <v>3002.0573720191105</v>
      </c>
      <c r="EZ344" s="6">
        <v>2649</v>
      </c>
      <c r="FA344" s="6">
        <v>0</v>
      </c>
      <c r="FB344" s="6">
        <v>0</v>
      </c>
      <c r="FC344" s="6">
        <v>0</v>
      </c>
      <c r="FD344" s="6">
        <v>0</v>
      </c>
      <c r="FE344" s="6">
        <v>0</v>
      </c>
      <c r="FF344" s="6">
        <v>0</v>
      </c>
      <c r="FG344" s="6">
        <v>0</v>
      </c>
      <c r="FH344" s="6">
        <v>1171.9828314610647</v>
      </c>
      <c r="FI344" s="6">
        <v>1553.9796069512399</v>
      </c>
      <c r="FJ344" s="6">
        <v>2101.2110117447401</v>
      </c>
      <c r="FK344" s="6">
        <v>2674.2006261592278</v>
      </c>
      <c r="FL344" s="6">
        <v>907.07682140966335</v>
      </c>
      <c r="FM344" s="6">
        <v>2391.0573720191105</v>
      </c>
      <c r="FN344" s="6">
        <v>0</v>
      </c>
      <c r="FO344" s="6">
        <v>0</v>
      </c>
      <c r="FP344" s="6">
        <v>0</v>
      </c>
      <c r="FQ344" s="6">
        <v>0</v>
      </c>
      <c r="FR344" s="6">
        <v>0</v>
      </c>
      <c r="FS344" s="6">
        <v>0</v>
      </c>
      <c r="FT344" s="7">
        <v>0.73846999998470941</v>
      </c>
      <c r="FU344" s="7">
        <v>7.3963022295360573E-2</v>
      </c>
      <c r="FV344" s="7">
        <v>0.18756697771992994</v>
      </c>
      <c r="FW344" s="6">
        <v>1611.0000000000002</v>
      </c>
      <c r="FX344" s="6">
        <v>3002.0573720191105</v>
      </c>
      <c r="FY344" s="6">
        <v>2649</v>
      </c>
      <c r="FZ344" s="6">
        <v>1858.9243755539039</v>
      </c>
      <c r="GA344" s="6">
        <v>1908.5813302940624</v>
      </c>
      <c r="GB344" s="6">
        <v>18076.418669705938</v>
      </c>
      <c r="GC344" s="7">
        <v>2.9156573141622111E-2</v>
      </c>
      <c r="GD344" s="7">
        <v>2.9912180251559495E-2</v>
      </c>
      <c r="GE344" s="7"/>
      <c r="GF344" s="7"/>
      <c r="GG344" s="7">
        <v>2.5915497897066864E-2</v>
      </c>
      <c r="GH344" s="42">
        <v>10.429983638405227</v>
      </c>
      <c r="GI344" s="6">
        <v>3824.6917186566379</v>
      </c>
      <c r="GJ344" s="14">
        <v>0.50394797582841722</v>
      </c>
      <c r="GK344" s="14">
        <v>0.50887573065309744</v>
      </c>
      <c r="GL344" s="14">
        <v>0.49605202417158284</v>
      </c>
      <c r="GM344" s="14">
        <v>0.49112426934690251</v>
      </c>
      <c r="GO344" s="5">
        <v>343.14810671672558</v>
      </c>
      <c r="GP344" s="5">
        <v>312.41330006058649</v>
      </c>
      <c r="GQ344" s="5">
        <v>535.04305713031317</v>
      </c>
      <c r="GR344" s="5">
        <v>410.15490233172511</v>
      </c>
      <c r="GS344" s="5">
        <v>339.42744393800166</v>
      </c>
      <c r="GT344" s="5">
        <v>293.4407446948278</v>
      </c>
      <c r="GU344" s="5">
        <v>258.04012322764959</v>
      </c>
      <c r="GV344" s="39" t="s">
        <v>392</v>
      </c>
      <c r="GW344" s="5">
        <v>482.65277777777777</v>
      </c>
      <c r="GX344" s="5">
        <v>361.98958333333331</v>
      </c>
      <c r="GY344" s="5">
        <v>289.59166666666664</v>
      </c>
      <c r="GZ344" s="5">
        <v>241.32638888888889</v>
      </c>
      <c r="HA344" s="5">
        <v>236.70336205047303</v>
      </c>
      <c r="HB344" s="39">
        <v>253.18897404509767</v>
      </c>
      <c r="HC344" s="5">
        <v>171.390625</v>
      </c>
      <c r="HD344" s="5">
        <v>160.70330774853798</v>
      </c>
      <c r="HE344" s="5">
        <v>167.52103997975706</v>
      </c>
      <c r="HF344" s="5">
        <v>159.65063048245611</v>
      </c>
      <c r="HG344" s="5">
        <v>159.85888157894735</v>
      </c>
      <c r="HH344" s="39">
        <v>161.71466739369845</v>
      </c>
      <c r="HI344" s="16"/>
      <c r="HJ344" s="19" t="str">
        <f t="shared" si="984"/>
        <v>On</v>
      </c>
      <c r="HK344" s="1" t="str">
        <f t="shared" si="984"/>
        <v>On</v>
      </c>
      <c r="HL344" s="16"/>
      <c r="HM344" s="639">
        <f t="shared" si="878"/>
        <v>2.2758057894877178E-2</v>
      </c>
      <c r="HN344" s="639">
        <f t="shared" si="879"/>
        <v>1.416759231746561E-3</v>
      </c>
      <c r="HO344" s="639">
        <f t="shared" si="880"/>
        <v>4.5732401537654987E-3</v>
      </c>
      <c r="HP344" s="644">
        <f>(FT344*$GD344-HM344)/$JF344*INDEX(Input!$1:$1048576,$JG$93,$C344*2+6)</f>
        <v>-37.455899120141552</v>
      </c>
      <c r="HQ344" s="644">
        <f>(FU344*$GD344-HN344)/$JF344*INDEX(Input!$1:$1048576,$JG$93,$C344*2+6)</f>
        <v>44.55862824750448</v>
      </c>
      <c r="HR344" s="644">
        <f>(FV344*$GD344-HO344)/$JF344*INDEX(Input!$1:$1048576,$JG$93,$C344*2+6)</f>
        <v>58.092562690239106</v>
      </c>
      <c r="HS344" s="644">
        <f t="shared" si="985"/>
        <v>-19.429306740414454</v>
      </c>
      <c r="HT344" s="644">
        <f t="shared" si="882"/>
        <v>101.00410679679324</v>
      </c>
      <c r="HU344" s="644">
        <f t="shared" si="883"/>
        <v>16.609413376823884</v>
      </c>
      <c r="HV344" s="648">
        <f t="shared" si="884"/>
        <v>0</v>
      </c>
      <c r="HW344" s="648">
        <f t="shared" si="885"/>
        <v>0</v>
      </c>
      <c r="HX344" s="648">
        <f t="shared" si="886"/>
        <v>0</v>
      </c>
      <c r="HY344" s="644">
        <f>INDEX(Input!$1:$1048576,HY$93,$C344*2+6)*INDEX(Input!$1:$1048576,$JG$93,$C344*2+6)</f>
        <v>509.00000000000006</v>
      </c>
      <c r="HZ344" s="644">
        <f>INDEX(Input!$1:$1048576,HZ$93,$C344*2+6)*INDEX(Input!$1:$1048576,$JG$93,$C344*2+6)</f>
        <v>844</v>
      </c>
      <c r="IA344" s="644">
        <f>INDEX(Input!$1:$1048576,IA$93,$C344*2+6)*INDEX(Input!$1:$1048576,$JG$93,$C344*2+6)</f>
        <v>257</v>
      </c>
      <c r="IB344" s="644">
        <f t="shared" si="910"/>
        <v>452.11479413944414</v>
      </c>
      <c r="IC344" s="644">
        <f t="shared" si="911"/>
        <v>989.56273504429771</v>
      </c>
      <c r="ID344" s="644">
        <f>IF(AND(INDEX(Input!$1:$1048576,IA$93,$C344*2+7)="TOS",Y344&lt;=INDEX(Y:Y,MATCH(C344*1000+2,A:A))),0,1)*MAX(IA344+HR344+HU344+HX344,0%)</f>
        <v>331.70197606706301</v>
      </c>
      <c r="IE344" s="128">
        <f t="shared" si="990"/>
        <v>0.2549453136233818</v>
      </c>
      <c r="IF344" s="128">
        <f t="shared" si="977"/>
        <v>0.55800956992809403</v>
      </c>
      <c r="IG344" s="128">
        <f t="shared" si="888"/>
        <v>0.1870451164485242</v>
      </c>
      <c r="IH344" s="21"/>
      <c r="II344" s="19">
        <f t="shared" si="889"/>
        <v>1410.4999999999998</v>
      </c>
      <c r="IJ344" s="19">
        <f t="shared" si="890"/>
        <v>2134.9731585778086</v>
      </c>
      <c r="IK344" s="19">
        <f t="shared" si="891"/>
        <v>2103.5</v>
      </c>
      <c r="IL344" s="19">
        <f t="shared" si="913"/>
        <v>200.50000000000045</v>
      </c>
      <c r="IM344" s="19">
        <f t="shared" si="892"/>
        <v>867.08421344130193</v>
      </c>
      <c r="IN344" s="19">
        <f t="shared" si="893"/>
        <v>545.5</v>
      </c>
      <c r="IO344" s="39">
        <f t="shared" si="894"/>
        <v>0</v>
      </c>
      <c r="IP344" s="39">
        <f t="shared" si="895"/>
        <v>0</v>
      </c>
      <c r="IQ344" s="39">
        <f t="shared" si="896"/>
        <v>0</v>
      </c>
      <c r="IR344" s="39">
        <v>0</v>
      </c>
      <c r="IS344" s="39">
        <v>0</v>
      </c>
      <c r="IT344" s="39">
        <v>0</v>
      </c>
      <c r="IU344" s="39">
        <v>0</v>
      </c>
      <c r="IV344" s="39">
        <v>0</v>
      </c>
      <c r="IW344" s="39">
        <v>0</v>
      </c>
      <c r="IX344" s="39">
        <f>INDEX(Input!$1:$1048576,IX$93,$C344*2+6)+INDEX(Input!$1:$1048576,IX$94,$C344*2+6)</f>
        <v>1611</v>
      </c>
      <c r="IY344" s="39">
        <f>INDEX(Input!$1:$1048576,IY$93,$C344*2+6)+INDEX(Input!$1:$1048576,IY$94,$C344*2+6)</f>
        <v>2471.0624533823611</v>
      </c>
      <c r="IZ344" s="39">
        <f>INDEX(Input!$1:$1048576,IZ$93,$C344*2+6)+INDEX(Input!$1:$1048576,IZ$94,$C344*2+6)</f>
        <v>3994.7164157747857</v>
      </c>
      <c r="JA344" s="19">
        <f t="shared" si="914"/>
        <v>1811.5000000000005</v>
      </c>
      <c r="JB344" s="19">
        <f t="shared" si="915"/>
        <v>3338.1466668236631</v>
      </c>
      <c r="JC344" s="19">
        <f t="shared" si="916"/>
        <v>4540.2164157747857</v>
      </c>
      <c r="JD344" s="19">
        <f t="shared" si="917"/>
        <v>3173.7765297300248</v>
      </c>
      <c r="JE344" s="21"/>
      <c r="JF344" s="1">
        <f t="shared" si="897"/>
        <v>2.8748057280389237E-2</v>
      </c>
      <c r="JG344" s="15">
        <f>INDEX(Input!$1:$1048576,JG$93,$C344*2+6)/(1+VLOOKUP(C344*1000+INDEX(Input!$1:$1048576,JG$93+1,$C344*2+6),$A:$KK,$JK$92,FALSE))</f>
        <v>1610</v>
      </c>
      <c r="JH344" s="1">
        <f t="shared" si="918"/>
        <v>4.0493970073044734E-2</v>
      </c>
      <c r="JI344" s="1">
        <f t="shared" si="919"/>
        <v>6.0983983498883648E-2</v>
      </c>
      <c r="JJ344" s="1">
        <f t="shared" si="978"/>
        <v>0</v>
      </c>
      <c r="JK344" s="1">
        <f t="shared" si="979"/>
        <v>0.10147795357192838</v>
      </c>
      <c r="JL344" s="15">
        <f t="shared" si="922"/>
        <v>163.3795052508047</v>
      </c>
      <c r="JM344" s="15">
        <f t="shared" si="948"/>
        <v>1773.3795052508046</v>
      </c>
      <c r="JN344" s="21"/>
      <c r="JO344" s="19">
        <f>INDEX(Input!$1:$1048576,JO$93,$C344*2+6)</f>
        <v>5995.5</v>
      </c>
      <c r="JP344" s="19">
        <f>INDEX(Input!$1:$1048576,JP$93,$C344*2+6)</f>
        <v>2442.3713226762939</v>
      </c>
      <c r="JQ344" s="39">
        <f t="shared" si="934"/>
        <v>2821.7234702699752</v>
      </c>
      <c r="JR344" s="39">
        <f t="shared" si="951"/>
        <v>731.40520705373092</v>
      </c>
      <c r="JS344" s="39">
        <f t="shared" si="936"/>
        <v>5.6283102520692472</v>
      </c>
      <c r="JT344" s="39">
        <f t="shared" si="924"/>
        <v>1.6960924225604139</v>
      </c>
      <c r="JU344" s="385">
        <f>(JQ344*JM344-INDEX(Input!$1:$1048576,Input!A$18,$C344*2+6)*JL344*INDEX(Input!$1:$1048576,Input!A$19,$C344*2+6))/1000000</f>
        <v>5.0039865716619518</v>
      </c>
      <c r="JV344" s="39">
        <f t="shared" si="958"/>
        <v>-0.71655059882921535</v>
      </c>
      <c r="JW344" s="1">
        <f t="shared" si="949"/>
        <v>-0.12525932049274527</v>
      </c>
      <c r="JX344" s="19">
        <f t="shared" si="940"/>
        <v>10381.304680515063</v>
      </c>
      <c r="JZ344" s="341"/>
      <c r="KA344" s="342"/>
      <c r="KB344" s="469">
        <f t="shared" si="937"/>
        <v>2.5190675447988795</v>
      </c>
      <c r="KI344" s="473">
        <f t="shared" si="987"/>
        <v>-56.885205860556027</v>
      </c>
      <c r="KJ344" s="473">
        <f t="shared" si="988"/>
        <v>145.56273504429771</v>
      </c>
      <c r="KK344" s="473">
        <f t="shared" si="926"/>
        <v>74.701976067063015</v>
      </c>
      <c r="KN344" s="544">
        <f t="shared" si="941"/>
        <v>3002</v>
      </c>
      <c r="KO344" s="541">
        <f t="shared" si="901"/>
        <v>6.8860196122800588E-2</v>
      </c>
      <c r="KP344" s="546">
        <f t="shared" si="902"/>
        <v>439.26949137999429</v>
      </c>
      <c r="KQ344" s="546">
        <f t="shared" si="903"/>
        <v>537.86310434132656</v>
      </c>
      <c r="KR344" s="548">
        <f t="shared" si="904"/>
        <v>2.7196550808162718</v>
      </c>
      <c r="KS344" s="548">
        <f t="shared" si="905"/>
        <v>2.2211255883449699</v>
      </c>
      <c r="KT344" s="473">
        <f t="shared" si="939"/>
        <v>1026.1618045255443</v>
      </c>
      <c r="KU344" s="663">
        <f t="shared" si="927"/>
        <v>4.5852527683787612</v>
      </c>
      <c r="KV344" s="117"/>
    </row>
    <row r="345" spans="1:308" s="26" customFormat="1" ht="15">
      <c r="A345" s="561">
        <f t="shared" si="906"/>
        <v>3045</v>
      </c>
      <c r="B345" s="561">
        <f t="shared" si="928"/>
        <v>45</v>
      </c>
      <c r="C345" s="561">
        <f t="shared" si="929"/>
        <v>3</v>
      </c>
      <c r="D345" s="561" t="str">
        <f t="shared" si="974"/>
        <v xml:space="preserve">0/0/0/3.9, 360 Lease, </v>
      </c>
      <c r="E345" s="475">
        <f>INDEX(Input!$1:$1048576,E$93,$C345*2+MIN($B345,2)+5)
+INDEX(Scenarios!E$121:E$200,MATCH($B345,Scenarios!$B$121:$B$200,0))</f>
        <v>1287.0236024844721</v>
      </c>
      <c r="F345" s="475">
        <f>INDEX(Input!$1:$1048576,F$93,$C345*2+MIN($B345,2)+5)
+INDEX(Scenarios!F$121:F$200,MATCH($B345,Scenarios!$B$121:$B$200,0))</f>
        <v>0</v>
      </c>
      <c r="G345" s="475">
        <f>INDEX(Input!$1:$1048576,G$93,$C345*2+MIN($B345,2)+5)
+INDEX(Scenarios!G$121:G$200,MATCH($B345,Scenarios!$B$121:$B$200,0))</f>
        <v>0</v>
      </c>
      <c r="H345" s="475">
        <f>INDEX(Input!$1:$1048576,H$93,$C345*2+MIN($B345,2)+5)
+INDEX(Scenarios!H$121:H$200,MATCH($B345,Scenarios!$B$121:$B$200,0))</f>
        <v>0</v>
      </c>
      <c r="I345" s="476">
        <f>INDEX(Input!$1:$1048576,I$93,$C345*2+MIN($B345,2)+5)</f>
        <v>0.7</v>
      </c>
      <c r="J345" s="476" t="str">
        <f>INDEX(Input!$1:$1048576,J$93,$C345*2+MIN($B345,2)+5)</f>
        <v>Market</v>
      </c>
      <c r="K345" s="476" t="str">
        <f>INDEX(Input!$1:$1048576,K$93,$C345*2+MIN($B345,2)+5)</f>
        <v>Market</v>
      </c>
      <c r="L345" s="476" t="str">
        <f>INDEX(Input!$1:$1048576,L$93,$C345*2+MIN($B345,2)+5)</f>
        <v>Market</v>
      </c>
      <c r="M345" s="476" t="str">
        <f>INDEX(Input!$1:$1048576,M$93,$C345*2+MIN($B345,2)+5)</f>
        <v>Market</v>
      </c>
      <c r="N345" s="476" t="str">
        <f>INDEX(Input!$1:$1048576,N$93,$C345*2+MIN($B345,2)+5)</f>
        <v>Market</v>
      </c>
      <c r="O345" s="476" t="str">
        <f>INDEX(Input!$1:$1048576,O$93,$C345*2+MIN($B345,2)+5)</f>
        <v>Market</v>
      </c>
      <c r="P345" s="476" t="str">
        <f>INDEX(Input!$1:$1048576,P$93,$C345*2+MIN($B345,2)+5)</f>
        <v>N</v>
      </c>
      <c r="Q345" s="477">
        <f>INDEX(Input!$1:$1048576,Q$93,$C345*2+MIN($B345,2)+5)
+INDEX(Scenarios!Q$121:Q$200,MATCH($B345,Scenarios!$B$121:$B$200,0))</f>
        <v>0</v>
      </c>
      <c r="R345" s="478">
        <f>IFERROR(MAX(0,INDEX(Input!$1:$1048576,R$93,$C345*2+MIN($B345,2)+5)
+INDEX(Scenarios!R$121:R$200,MATCH($B345,Scenarios!$B$121:$B$200,0)),),"Market")</f>
        <v>0</v>
      </c>
      <c r="S345" s="478">
        <f>IFERROR(MAX(0,INDEX(Input!$1:$1048576,S$93,$C345*2+MIN($B345,2)+5)
+INDEX(Scenarios!S$121:S$200,MATCH($B345,Scenarios!$B$121:$B$200,0)),),"Market")</f>
        <v>0</v>
      </c>
      <c r="T345" s="478">
        <f>IFERROR(MAX(0,INDEX(Input!$1:$1048576,T$93,$C345*2+MIN($B345,2)+5)
+INDEX(Scenarios!T$121:T$200,MATCH($B345,Scenarios!$B$121:$B$200,0)),),"Market")</f>
        <v>0</v>
      </c>
      <c r="U345" s="478">
        <f>IFERROR(MAX(0,INDEX(Input!$1:$1048576,U$93,$C345*2+MIN($B345,2)+5)
+INDEX(Scenarios!U$121:U$200,MATCH($B345,Scenarios!$B$121:$B$200,0)),),"Market")</f>
        <v>0</v>
      </c>
      <c r="V345" s="478">
        <f>IFERROR(MAX(0,INDEX(Input!$1:$1048576,V$93,$C345*2+MIN($B345,2)+5)
+INDEX(Scenarios!V$121:V$200,MATCH($B345,Scenarios!$B$121:$B$200,0)),),"Market")</f>
        <v>0</v>
      </c>
      <c r="W345" s="885">
        <f>IFERROR(MAX(0,INDEX(Input!$1:$1048576,W$93,$C345*2+MIN($B345,2)+5)-0%,),"Market")</f>
        <v>3.9E-2</v>
      </c>
      <c r="X345" s="476" t="str">
        <f>INDEX(Input!$1:$1048576,X$93,$C345*2+MIN($B345,2)+5)</f>
        <v>Y</v>
      </c>
      <c r="Y345" s="475">
        <f>INDEX(Input!$1:$1048576,Y$93,$C345*2+MIN($B345,2)+5)
++INDEX(Scenarios!Y$121:Y$200,MATCH($B345,Scenarios!$B$121:$B$200,0))</f>
        <v>1914.9999999999991</v>
      </c>
      <c r="Z345" s="477">
        <f>INDEX(Input!$1:$1048576,Z$93,$C345*2+MIN($B345,2)+5)
+INDEX(Scenarios!Z$121:Z$200,MATCH($B345,Scenarios!$B$121:$B$200,0))</f>
        <v>0</v>
      </c>
      <c r="AA345" s="475">
        <f>INDEX(Input!$1:$1048576,AA$93,$C345*2+MIN($B345,2)+5)
+INDEX(Scenarios!AA$121:AA$200,MATCH($B345,Scenarios!$B$121:$B$200,0))</f>
        <v>0</v>
      </c>
      <c r="AB345" s="476">
        <f>INDEX(Input!$1:$1048576,AB$93,$C345*2+MIN($B345,2)+5)</f>
        <v>0.27</v>
      </c>
      <c r="AC345" s="475">
        <f>INDEX(Input!$1:$1048576,AC$93,$C345*2+MIN($B345,2)+5)
+INDEX(Scenarios!AC$121:AC$200,MATCH($B345,Scenarios!$B$121:$B$200,0))</f>
        <v>0</v>
      </c>
      <c r="AD345" s="476">
        <f>INDEX(Input!$1:$1048576,AD$93,$C345*2+MIN($B345,2)+5)</f>
        <v>0.27</v>
      </c>
      <c r="AE345" s="475">
        <f>INDEX(Input!$1:$1048576,AE$93,$C345*2+MIN($B345,2)+5)
+INDEX(Scenarios!AE$121:AE$200,MATCH($B345,Scenarios!$B$121:$B$200,0))</f>
        <v>0</v>
      </c>
      <c r="AF345" s="476">
        <f>INDEX(Input!$1:$1048576,AF$93,$C345*2+MIN($B345,2)+5)</f>
        <v>0.68200000000000005</v>
      </c>
      <c r="AG345" s="475">
        <f>INDEX(Input!$1:$1048576,AG$93,$C345*2+MIN($B345,2)+5)
+INDEX(Scenarios!AG$121:AG$200,MATCH($B345,Scenarios!$B$121:$B$200,0))</f>
        <v>500</v>
      </c>
      <c r="AH345" s="476">
        <f>INDEX(Input!$1:$1048576,AH$93,$C345*2+MIN($B345,2)+5)</f>
        <v>1</v>
      </c>
      <c r="AI345" s="475">
        <f>INDEX(Input!$1:$1048576,AI$93,$C345*2+MIN($B345,2)+5)
+INDEX(Scenarios!AI$121:AI$200,MATCH($B345,Scenarios!$B$121:$B$200,0))</f>
        <v>0</v>
      </c>
      <c r="AJ345" s="476">
        <f>INDEX(Input!$1:$1048576,AJ$93,$C345*2+MIN($B345,2)+5)</f>
        <v>0.27</v>
      </c>
      <c r="AK345" s="150">
        <f>ROUND(INDEX(Input!$1:$1048576,AK$93,$C344*2+MIN($B345,1)+5)+(Y345-VLOOKUP($C345*1000+1,$A:$HH,Y$92,FALSE)),0)</f>
        <v>3337</v>
      </c>
      <c r="AL345" s="150">
        <f>ROUND(INDEX(Input!$1:$1048576,AL$93,$C344*2+MIN($B345,1)+5)-(Y345-VLOOKUP($C345*1000+1,$A:$HH,Y$92,FALSE))/36,0)</f>
        <v>3385</v>
      </c>
      <c r="AM345" s="32" t="str">
        <f t="shared" si="907"/>
        <v>std/std/std/std</v>
      </c>
      <c r="AN345" s="32" t="str">
        <f t="shared" si="908"/>
        <v>$0 + 0/0/0/0/3.9</v>
      </c>
      <c r="AO345" s="32" t="str">
        <f t="shared" si="909"/>
        <v>0/0/0/0/3.9</v>
      </c>
      <c r="AP345" s="32" t="str">
        <f t="shared" si="863"/>
        <v>0/0/0/3.9</v>
      </c>
      <c r="AQ345" s="536">
        <f t="shared" si="862"/>
        <v>0.2549453136233818</v>
      </c>
      <c r="AR345" s="32"/>
      <c r="AS345" s="302"/>
      <c r="AT345" s="3">
        <f t="shared" si="930"/>
        <v>45</v>
      </c>
      <c r="AU345" s="41" t="s">
        <v>121</v>
      </c>
      <c r="AV345" s="41" t="s">
        <v>116</v>
      </c>
      <c r="AW345" s="41" t="str">
        <f>INDEX(Input!$1:$1048576,AW$93,$C345*2+6)</f>
        <v>Kia</v>
      </c>
      <c r="AX345" s="41" t="str">
        <f>INDEX(Input!$1:$1048576,AX$93,$C345*2+6)</f>
        <v>Kia-LR - L3</v>
      </c>
      <c r="AY345" s="41" t="str">
        <f>IF(LEN(D345)=0,"",INDEX(Input!$1:$1048576,AY$93,$C345*2+6))</f>
        <v>Compact SUV (52)</v>
      </c>
      <c r="AZ345" s="41" t="str">
        <f>INDEX(Input!$1:$1048576,AZ$93,$C345*2+6)</f>
        <v>Kia Soul</v>
      </c>
      <c r="BA345" s="3">
        <f>INDEX(Input!$1:$1048576,BA$93,$C345*2+6)</f>
        <v>2020</v>
      </c>
      <c r="BB345" s="128">
        <f>INDEX(Input!$1:$1048576,BB$93,$C345*2+6)</f>
        <v>1</v>
      </c>
      <c r="BC345" s="128">
        <f>INDEX(Input!$1:$1048576,BC$93,$C345*2+6)</f>
        <v>0.7</v>
      </c>
      <c r="BD345" s="1">
        <f>INDEX(Input!$1:$1048576,BD$93,$C345*2+6)</f>
        <v>4.4999999999999998E-2</v>
      </c>
      <c r="BE345" s="1">
        <f>INDEX(Input!$1:$1048576,BE$93,$C345*2+6)</f>
        <v>4.4999999999999998E-2</v>
      </c>
      <c r="BF345" s="1">
        <f>INDEX(Input!$1:$1048576,BF$93,$C345*2+6)</f>
        <v>0.05</v>
      </c>
      <c r="BG345" s="1">
        <f>INDEX(Input!$1:$1048576,BG$93,$C345*2+6)</f>
        <v>5.45E-2</v>
      </c>
      <c r="BH345" s="1">
        <f>INDEX(Input!$1:$1048576,BH$93,$C345*2+6)</f>
        <v>5.45E-2</v>
      </c>
      <c r="BI345" s="1">
        <f>INDEX(Input!$1:$1048576,BI$93,$C345*2+6)</f>
        <v>0.05</v>
      </c>
      <c r="BJ345" s="1">
        <f>INDEX(Input!$1:$1048576,BJ$93,$C345*2+6)</f>
        <v>0.05</v>
      </c>
      <c r="BK345" s="1">
        <f>INDEX(Input!$1:$1048576,BK$93,$C345*2+6)</f>
        <v>0.05</v>
      </c>
      <c r="BL345" s="1">
        <f>INDEX(Input!$1:$1048576,BL$93,$C345*2+6)</f>
        <v>5.5E-2</v>
      </c>
      <c r="BM345" s="1">
        <f>INDEX(Input!$1:$1048576,BM$93,$C345*2+6)</f>
        <v>0.06</v>
      </c>
      <c r="BN345" s="1">
        <f>INDEX(Input!$1:$1048576,BN$93,$C345*2+6)</f>
        <v>4.4999999999999998E-2</v>
      </c>
      <c r="BO345" s="1">
        <f>INDEX(Input!$1:$1048576,BO$93,$C345*2+6)</f>
        <v>4.4999999999999998E-2</v>
      </c>
      <c r="BP345" s="1">
        <f>INDEX(Input!$1:$1048576,BP$93,$C345*2+6)</f>
        <v>0.05</v>
      </c>
      <c r="BQ345" s="1">
        <f>INDEX(Input!$1:$1048576,BQ$93,$C345*2+6)</f>
        <v>5.45E-2</v>
      </c>
      <c r="BR345" s="1">
        <f>INDEX(Input!$1:$1048576,BR$93,$C345*2+6)</f>
        <v>5.45E-2</v>
      </c>
      <c r="BS345" s="1">
        <f>INDEX(Input!$1:$1048576,BS$93,$C345*2+6)</f>
        <v>0.05</v>
      </c>
      <c r="BT345" s="1">
        <f>INDEX(Input!$1:$1048576,BT$93,$C345*2+6)</f>
        <v>0.05</v>
      </c>
      <c r="BU345" s="1">
        <f>INDEX(Input!$1:$1048576,BU$93,$C345*2+6)</f>
        <v>0.05</v>
      </c>
      <c r="BV345" s="1">
        <f>INDEX(Input!$1:$1048576,BV$93,$C345*2+6)</f>
        <v>5.5E-2</v>
      </c>
      <c r="BW345" s="1">
        <f>INDEX(Input!$1:$1048576,BW$93,$C345*2+6)</f>
        <v>0.06</v>
      </c>
      <c r="BX345" s="127">
        <f>INDEX(Input!$1:$1048576,BX$93,$C345*2+6)</f>
        <v>19985</v>
      </c>
      <c r="BY345" s="20">
        <f>INDEX(Input!$1:$1048576,BY$93,$C345*2+6)</f>
        <v>0.1</v>
      </c>
      <c r="BZ345" s="20">
        <f>INDEX(Input!$1:$1048576,BZ$93,$C345*2+6)</f>
        <v>0.1</v>
      </c>
      <c r="CA345" s="20">
        <f>INDEX(Input!$1:$1048576,CA$93,$C345*2+6)</f>
        <v>0.1</v>
      </c>
      <c r="CB345" s="20">
        <f>INDEX(Input!$1:$1048576,CB$93,$C345*2+6)</f>
        <v>0.1</v>
      </c>
      <c r="CC345" s="20">
        <f>INDEX(Input!$1:$1048576,CC$93,$C345*2+6)</f>
        <v>0.1</v>
      </c>
      <c r="CD345" s="384">
        <f>INDEX(Input!$1:$1048576,CD$93,$C345*2+6)</f>
        <v>0.1</v>
      </c>
      <c r="CE345" s="384">
        <f>INDEX(Input!$1:$1048576,CE$93,$C345*2+6)</f>
        <v>0.1</v>
      </c>
      <c r="CF345" s="384">
        <f>INDEX(Input!$1:$1048576,CF$93,$C345*2+6)</f>
        <v>0.1</v>
      </c>
      <c r="CG345" s="384">
        <f>INDEX(Input!$1:$1048576,CG$93,$C345*2+6)</f>
        <v>0.1</v>
      </c>
      <c r="CH345" s="384">
        <f>INDEX(Input!$1:$1048576,CH$93,$C345*2+6)</f>
        <v>0.1</v>
      </c>
      <c r="CI345" s="304">
        <f t="shared" si="864"/>
        <v>1287.0236024844721</v>
      </c>
      <c r="CJ345" s="16" t="str">
        <f>INDEX(Input!$1:$1048576,CJ$93,$C345*2+6)</f>
        <v>N</v>
      </c>
      <c r="CK345" s="1" t="str">
        <f t="shared" si="865"/>
        <v>Market</v>
      </c>
      <c r="CL345" s="1" t="str">
        <f t="shared" si="866"/>
        <v>Market</v>
      </c>
      <c r="CM345" s="1" t="str">
        <f t="shared" si="867"/>
        <v>Market</v>
      </c>
      <c r="CN345" s="1" t="str">
        <f t="shared" si="868"/>
        <v>Market</v>
      </c>
      <c r="CO345" s="1" t="str">
        <f t="shared" si="869"/>
        <v>Market</v>
      </c>
      <c r="CP345" s="304">
        <f t="shared" si="870"/>
        <v>500</v>
      </c>
      <c r="CQ345" s="1">
        <f t="shared" si="871"/>
        <v>0</v>
      </c>
      <c r="CR345" s="1">
        <f t="shared" si="872"/>
        <v>0</v>
      </c>
      <c r="CS345" s="1">
        <f t="shared" si="873"/>
        <v>0</v>
      </c>
      <c r="CT345" s="1">
        <f t="shared" si="874"/>
        <v>0</v>
      </c>
      <c r="CU345" s="1">
        <f t="shared" si="875"/>
        <v>3.9E-2</v>
      </c>
      <c r="CV345" s="304">
        <f t="shared" si="876"/>
        <v>1914.9999999999991</v>
      </c>
      <c r="CW345" s="20" t="s">
        <v>122</v>
      </c>
      <c r="CX345" s="20" t="s">
        <v>122</v>
      </c>
      <c r="CY345" s="20" t="s">
        <v>122</v>
      </c>
      <c r="CZ345" s="20" t="s">
        <v>122</v>
      </c>
      <c r="DA345" s="20" t="s">
        <v>122</v>
      </c>
      <c r="DB345" s="503">
        <f t="shared" si="877"/>
        <v>0</v>
      </c>
      <c r="DC345" s="127">
        <v>0</v>
      </c>
      <c r="DD345" s="127">
        <v>0</v>
      </c>
      <c r="DE345" s="127">
        <v>0</v>
      </c>
      <c r="DF345" s="127">
        <v>0</v>
      </c>
      <c r="DG345" s="127">
        <v>0</v>
      </c>
      <c r="DH345" s="127">
        <v>0</v>
      </c>
      <c r="DI345" s="127">
        <v>0</v>
      </c>
      <c r="DJ345" s="127">
        <v>0</v>
      </c>
      <c r="DK345" s="127">
        <v>0</v>
      </c>
      <c r="DL345" s="127">
        <v>0</v>
      </c>
      <c r="DM345" s="304">
        <f>INDEX(Input!$1:$1048576,DM$93,$C345*2+6)</f>
        <v>21036.84210526316</v>
      </c>
      <c r="DN345" s="20">
        <v>0</v>
      </c>
      <c r="DO345" s="20">
        <v>0</v>
      </c>
      <c r="DP345" s="20">
        <v>0</v>
      </c>
      <c r="DQ345" s="20">
        <v>0</v>
      </c>
      <c r="DR345" s="20">
        <v>0</v>
      </c>
      <c r="DS345" s="20">
        <f>INDEX(Input!$1:$1048576,DS$93,$C345*2+6)</f>
        <v>0.6</v>
      </c>
      <c r="DT345" s="20">
        <f>INDEX(Input!$1:$1048576,DT$93,$C345*2+6)</f>
        <v>0.55000000000000004</v>
      </c>
      <c r="DU345" s="20">
        <f>INDEX(Input!$1:$1048576,DU$93,$C345*2+6)</f>
        <v>0.52</v>
      </c>
      <c r="DV345" s="20">
        <f>INDEX(Input!$1:$1048576,DV$93,$C345*2+6)</f>
        <v>0.5</v>
      </c>
      <c r="DW345" s="20">
        <f>INDEX(Input!$1:$1048576,DW$93,$C345*2+6)</f>
        <v>0.45</v>
      </c>
      <c r="DX345" s="20"/>
      <c r="DY345" s="7">
        <v>9.3216512417821709E-2</v>
      </c>
      <c r="DZ345" s="7">
        <v>0</v>
      </c>
      <c r="EA345" s="7">
        <v>0.64525348756688772</v>
      </c>
      <c r="EB345" s="7">
        <v>0</v>
      </c>
      <c r="EC345" s="7">
        <v>0</v>
      </c>
      <c r="ED345" s="7">
        <v>0</v>
      </c>
      <c r="EE345" s="7">
        <v>0</v>
      </c>
      <c r="EF345" s="7">
        <v>0</v>
      </c>
      <c r="EG345" s="7">
        <v>0</v>
      </c>
      <c r="EH345" s="7">
        <v>7.3755447681349675E-3</v>
      </c>
      <c r="EI345" s="7">
        <v>2.0640641646090991E-2</v>
      </c>
      <c r="EJ345" s="7">
        <v>0.16564827375752311</v>
      </c>
      <c r="EK345" s="7">
        <v>0.71917313615330247</v>
      </c>
      <c r="EL345" s="7">
        <v>8.7162403674948291E-2</v>
      </c>
      <c r="EM345" s="7">
        <v>7.3963022295360573E-2</v>
      </c>
      <c r="EN345" s="7">
        <v>6.4534979387531693E-2</v>
      </c>
      <c r="EO345" s="7">
        <v>0.7910820897280374</v>
      </c>
      <c r="EP345" s="7">
        <v>5.9394761674456183E-2</v>
      </c>
      <c r="EQ345" s="7">
        <v>5.5305832294462981E-2</v>
      </c>
      <c r="ER345" s="7">
        <v>2.9682336915511916E-2</v>
      </c>
      <c r="ES345" s="7">
        <v>0.18756697771992994</v>
      </c>
      <c r="ET345" s="7">
        <v>0.26153000001529059</v>
      </c>
      <c r="EU345" s="6">
        <v>1611</v>
      </c>
      <c r="EV345" s="6">
        <v>0</v>
      </c>
      <c r="EW345" s="6">
        <v>1611</v>
      </c>
      <c r="EX345" s="6">
        <v>0</v>
      </c>
      <c r="EY345" s="6">
        <v>3002.0573720191105</v>
      </c>
      <c r="EZ345" s="6">
        <v>2649</v>
      </c>
      <c r="FA345" s="6">
        <v>0</v>
      </c>
      <c r="FB345" s="6">
        <v>0</v>
      </c>
      <c r="FC345" s="6">
        <v>0</v>
      </c>
      <c r="FD345" s="6">
        <v>0</v>
      </c>
      <c r="FE345" s="6">
        <v>0</v>
      </c>
      <c r="FF345" s="6">
        <v>0</v>
      </c>
      <c r="FG345" s="6">
        <v>0</v>
      </c>
      <c r="FH345" s="6">
        <v>1171.9828314610647</v>
      </c>
      <c r="FI345" s="6">
        <v>1553.9796069512399</v>
      </c>
      <c r="FJ345" s="6">
        <v>2101.2110117447401</v>
      </c>
      <c r="FK345" s="6">
        <v>2674.2006261592278</v>
      </c>
      <c r="FL345" s="6">
        <v>907.07682140966335</v>
      </c>
      <c r="FM345" s="6">
        <v>2391.0573720191105</v>
      </c>
      <c r="FN345" s="6">
        <v>0</v>
      </c>
      <c r="FO345" s="6">
        <v>0</v>
      </c>
      <c r="FP345" s="6">
        <v>0</v>
      </c>
      <c r="FQ345" s="6">
        <v>0</v>
      </c>
      <c r="FR345" s="6">
        <v>0</v>
      </c>
      <c r="FS345" s="6">
        <v>0</v>
      </c>
      <c r="FT345" s="7">
        <v>0.73846999998470941</v>
      </c>
      <c r="FU345" s="7">
        <v>7.3963022295360573E-2</v>
      </c>
      <c r="FV345" s="7">
        <v>0.18756697771992994</v>
      </c>
      <c r="FW345" s="6">
        <v>1611.0000000000002</v>
      </c>
      <c r="FX345" s="6">
        <v>3002.0573720191105</v>
      </c>
      <c r="FY345" s="6">
        <v>2649</v>
      </c>
      <c r="FZ345" s="6">
        <v>1858.9243755539039</v>
      </c>
      <c r="GA345" s="6">
        <v>1908.5813302940624</v>
      </c>
      <c r="GB345" s="6">
        <v>18076.418669705938</v>
      </c>
      <c r="GC345" s="7">
        <v>2.9156573141622111E-2</v>
      </c>
      <c r="GD345" s="7">
        <v>2.9912180251559495E-2</v>
      </c>
      <c r="GE345" s="7"/>
      <c r="GF345" s="7"/>
      <c r="GG345" s="7">
        <v>2.5915497897066864E-2</v>
      </c>
      <c r="GH345" s="42">
        <v>10.429983638405227</v>
      </c>
      <c r="GI345" s="6">
        <v>3824.6917186566379</v>
      </c>
      <c r="GJ345" s="14">
        <v>0.50394797582841722</v>
      </c>
      <c r="GK345" s="14">
        <v>0.50887573065309744</v>
      </c>
      <c r="GL345" s="14">
        <v>0.49605202417158284</v>
      </c>
      <c r="GM345" s="14">
        <v>0.49112426934690251</v>
      </c>
      <c r="GO345" s="5">
        <v>343.14810671672558</v>
      </c>
      <c r="GP345" s="5">
        <v>312.41330006058649</v>
      </c>
      <c r="GQ345" s="5">
        <v>535.04305713031317</v>
      </c>
      <c r="GR345" s="5">
        <v>410.15490233172511</v>
      </c>
      <c r="GS345" s="5">
        <v>339.42744393800166</v>
      </c>
      <c r="GT345" s="5">
        <v>293.4407446948278</v>
      </c>
      <c r="GU345" s="5">
        <v>258.04012322764959</v>
      </c>
      <c r="GV345" s="39" t="s">
        <v>392</v>
      </c>
      <c r="GW345" s="5">
        <v>482.65277777777777</v>
      </c>
      <c r="GX345" s="5">
        <v>361.98958333333331</v>
      </c>
      <c r="GY345" s="5">
        <v>289.59166666666664</v>
      </c>
      <c r="GZ345" s="5">
        <v>241.32638888888889</v>
      </c>
      <c r="HA345" s="5">
        <v>236.70336205047303</v>
      </c>
      <c r="HB345" s="39">
        <v>253.18897404509767</v>
      </c>
      <c r="HC345" s="5">
        <v>171.390625</v>
      </c>
      <c r="HD345" s="5">
        <v>160.70330774853798</v>
      </c>
      <c r="HE345" s="5">
        <v>167.52103997975706</v>
      </c>
      <c r="HF345" s="5">
        <v>159.65063048245611</v>
      </c>
      <c r="HG345" s="5">
        <v>159.85888157894735</v>
      </c>
      <c r="HH345" s="39">
        <v>161.71466739369845</v>
      </c>
      <c r="HI345" s="16"/>
      <c r="HJ345" s="19" t="str">
        <f t="shared" si="984"/>
        <v>On</v>
      </c>
      <c r="HK345" s="1" t="str">
        <f t="shared" si="984"/>
        <v>On</v>
      </c>
      <c r="HL345" s="16"/>
      <c r="HM345" s="639">
        <f t="shared" si="878"/>
        <v>2.2758057894877178E-2</v>
      </c>
      <c r="HN345" s="639">
        <f t="shared" si="879"/>
        <v>1.416759231746561E-3</v>
      </c>
      <c r="HO345" s="639">
        <f t="shared" si="880"/>
        <v>4.5732401537654987E-3</v>
      </c>
      <c r="HP345" s="644">
        <f>(FT345*$GD345-HM345)/$JF345*INDEX(Input!$1:$1048576,$JG$93,$C345*2+6)</f>
        <v>-37.455899120141552</v>
      </c>
      <c r="HQ345" s="644">
        <f>(FU345*$GD345-HN345)/$JF345*INDEX(Input!$1:$1048576,$JG$93,$C345*2+6)</f>
        <v>44.55862824750448</v>
      </c>
      <c r="HR345" s="644">
        <f>(FV345*$GD345-HO345)/$JF345*INDEX(Input!$1:$1048576,$JG$93,$C345*2+6)</f>
        <v>58.092562690239106</v>
      </c>
      <c r="HS345" s="644">
        <f t="shared" si="985"/>
        <v>-19.429306740414454</v>
      </c>
      <c r="HT345" s="644">
        <f t="shared" si="882"/>
        <v>101.00410679679324</v>
      </c>
      <c r="HU345" s="644">
        <f t="shared" si="883"/>
        <v>16.609413376823884</v>
      </c>
      <c r="HV345" s="648">
        <f t="shared" si="884"/>
        <v>0</v>
      </c>
      <c r="HW345" s="648">
        <f t="shared" si="885"/>
        <v>0</v>
      </c>
      <c r="HX345" s="648">
        <f t="shared" si="886"/>
        <v>0</v>
      </c>
      <c r="HY345" s="644">
        <f>INDEX(Input!$1:$1048576,HY$93,$C345*2+6)*INDEX(Input!$1:$1048576,$JG$93,$C345*2+6)</f>
        <v>509.00000000000006</v>
      </c>
      <c r="HZ345" s="644">
        <f>INDEX(Input!$1:$1048576,HZ$93,$C345*2+6)*INDEX(Input!$1:$1048576,$JG$93,$C345*2+6)</f>
        <v>844</v>
      </c>
      <c r="IA345" s="644">
        <f>INDEX(Input!$1:$1048576,IA$93,$C345*2+6)*INDEX(Input!$1:$1048576,$JG$93,$C345*2+6)</f>
        <v>257</v>
      </c>
      <c r="IB345" s="644">
        <f t="shared" si="910"/>
        <v>452.11479413944414</v>
      </c>
      <c r="IC345" s="644">
        <f t="shared" si="911"/>
        <v>989.56273504429771</v>
      </c>
      <c r="ID345" s="644">
        <f>IF(AND(INDEX(Input!$1:$1048576,IA$93,$C345*2+7)="TOS",Y345&lt;=INDEX(Y:Y,MATCH(C345*1000+2,A:A))),0,1)*MAX(IA345+HR345+HU345+HX345,0%)</f>
        <v>331.70197606706301</v>
      </c>
      <c r="IE345" s="128">
        <f t="shared" si="990"/>
        <v>0.2549453136233818</v>
      </c>
      <c r="IF345" s="128">
        <f t="shared" si="977"/>
        <v>0.55800956992809403</v>
      </c>
      <c r="IG345" s="128">
        <f t="shared" si="888"/>
        <v>0.1870451164485242</v>
      </c>
      <c r="IH345" s="21"/>
      <c r="II345" s="19">
        <f t="shared" si="889"/>
        <v>1410.4999999999998</v>
      </c>
      <c r="IJ345" s="19">
        <f t="shared" si="890"/>
        <v>2134.9731585778086</v>
      </c>
      <c r="IK345" s="19">
        <f t="shared" si="891"/>
        <v>2103.5</v>
      </c>
      <c r="IL345" s="19">
        <f t="shared" si="913"/>
        <v>200.50000000000045</v>
      </c>
      <c r="IM345" s="19">
        <f t="shared" si="892"/>
        <v>867.08421344130193</v>
      </c>
      <c r="IN345" s="19">
        <f t="shared" si="893"/>
        <v>545.5</v>
      </c>
      <c r="IO345" s="39">
        <f t="shared" si="894"/>
        <v>0</v>
      </c>
      <c r="IP345" s="39">
        <f t="shared" si="895"/>
        <v>0</v>
      </c>
      <c r="IQ345" s="39">
        <f t="shared" si="896"/>
        <v>0</v>
      </c>
      <c r="IR345" s="39">
        <v>0</v>
      </c>
      <c r="IS345" s="39">
        <v>0</v>
      </c>
      <c r="IT345" s="39">
        <v>0</v>
      </c>
      <c r="IU345" s="39">
        <v>0</v>
      </c>
      <c r="IV345" s="39">
        <v>0</v>
      </c>
      <c r="IW345" s="39">
        <v>0</v>
      </c>
      <c r="IX345" s="39">
        <f>INDEX(Input!$1:$1048576,IX$93,$C345*2+6)+INDEX(Input!$1:$1048576,IX$94,$C345*2+6)</f>
        <v>1611</v>
      </c>
      <c r="IY345" s="39">
        <f>INDEX(Input!$1:$1048576,IY$93,$C345*2+6)+INDEX(Input!$1:$1048576,IY$94,$C345*2+6)</f>
        <v>2471.0624533823611</v>
      </c>
      <c r="IZ345" s="39">
        <f>INDEX(Input!$1:$1048576,IZ$93,$C345*2+6)+INDEX(Input!$1:$1048576,IZ$94,$C345*2+6)</f>
        <v>3994.7164157747857</v>
      </c>
      <c r="JA345" s="19">
        <f t="shared" si="914"/>
        <v>1811.5000000000005</v>
      </c>
      <c r="JB345" s="19">
        <f t="shared" si="915"/>
        <v>3338.1466668236631</v>
      </c>
      <c r="JC345" s="19">
        <f t="shared" si="916"/>
        <v>4540.2164157747857</v>
      </c>
      <c r="JD345" s="19">
        <f t="shared" si="917"/>
        <v>3173.7765297300248</v>
      </c>
      <c r="JE345" s="21"/>
      <c r="JF345" s="1">
        <f t="shared" si="897"/>
        <v>2.8748057280389237E-2</v>
      </c>
      <c r="JG345" s="15">
        <f>INDEX(Input!$1:$1048576,JG$93,$C345*2+6)/(1+VLOOKUP(C345*1000+INDEX(Input!$1:$1048576,JG$93+1,$C345*2+6),$A:$KK,$JK$92,FALSE))</f>
        <v>1610</v>
      </c>
      <c r="JH345" s="1">
        <f t="shared" si="918"/>
        <v>4.0493970073044734E-2</v>
      </c>
      <c r="JI345" s="1">
        <f t="shared" si="919"/>
        <v>6.0983983498883648E-2</v>
      </c>
      <c r="JJ345" s="1">
        <f t="shared" si="978"/>
        <v>0</v>
      </c>
      <c r="JK345" s="1">
        <f t="shared" si="979"/>
        <v>0.10147795357192838</v>
      </c>
      <c r="JL345" s="15">
        <f t="shared" si="922"/>
        <v>163.3795052508047</v>
      </c>
      <c r="JM345" s="15">
        <f t="shared" si="948"/>
        <v>1773.3795052508046</v>
      </c>
      <c r="JN345" s="21"/>
      <c r="JO345" s="19">
        <f>INDEX(Input!$1:$1048576,JO$93,$C345*2+6)</f>
        <v>5995.5</v>
      </c>
      <c r="JP345" s="19">
        <f>INDEX(Input!$1:$1048576,JP$93,$C345*2+6)</f>
        <v>2442.3713226762939</v>
      </c>
      <c r="JQ345" s="39">
        <f t="shared" si="934"/>
        <v>2821.7234702699752</v>
      </c>
      <c r="JR345" s="39">
        <f t="shared" si="951"/>
        <v>731.40520705373092</v>
      </c>
      <c r="JS345" s="39">
        <f t="shared" si="936"/>
        <v>5.6283102520692472</v>
      </c>
      <c r="JT345" s="39">
        <f t="shared" si="924"/>
        <v>1.6960924225604139</v>
      </c>
      <c r="JU345" s="385">
        <f>(JQ345*JM345-INDEX(Input!$1:$1048576,Input!A$18,$C345*2+6)*JL345*INDEX(Input!$1:$1048576,Input!A$19,$C345*2+6))/1000000</f>
        <v>5.0039865716619518</v>
      </c>
      <c r="JV345" s="39">
        <f t="shared" si="958"/>
        <v>-0.71655059882921535</v>
      </c>
      <c r="JW345" s="1">
        <f t="shared" si="949"/>
        <v>-0.12525932049274527</v>
      </c>
      <c r="JX345" s="19">
        <f t="shared" si="940"/>
        <v>10381.304680515063</v>
      </c>
      <c r="JZ345" s="341"/>
      <c r="KA345" s="342"/>
      <c r="KB345" s="469">
        <f t="shared" si="937"/>
        <v>2.5190675447988795</v>
      </c>
      <c r="KI345" s="473">
        <f t="shared" si="987"/>
        <v>-56.885205860556027</v>
      </c>
      <c r="KJ345" s="473">
        <f t="shared" si="988"/>
        <v>145.56273504429771</v>
      </c>
      <c r="KK345" s="473">
        <f t="shared" si="926"/>
        <v>74.701976067063015</v>
      </c>
      <c r="KN345" s="544">
        <f t="shared" si="941"/>
        <v>3002</v>
      </c>
      <c r="KO345" s="541">
        <f t="shared" si="901"/>
        <v>6.8860196122800588E-2</v>
      </c>
      <c r="KP345" s="546">
        <f t="shared" si="902"/>
        <v>439.26949137999429</v>
      </c>
      <c r="KQ345" s="546">
        <f t="shared" si="903"/>
        <v>537.86310434132656</v>
      </c>
      <c r="KR345" s="548">
        <f t="shared" si="904"/>
        <v>2.7196550808162718</v>
      </c>
      <c r="KS345" s="548">
        <f t="shared" si="905"/>
        <v>2.2211255883449699</v>
      </c>
      <c r="KT345" s="473">
        <f t="shared" si="939"/>
        <v>1026.1618045255443</v>
      </c>
      <c r="KU345" s="663">
        <f t="shared" si="927"/>
        <v>4.5852537683787613</v>
      </c>
      <c r="KV345" s="117"/>
    </row>
    <row r="346" spans="1:308" s="26" customFormat="1" ht="15">
      <c r="A346" s="561">
        <f t="shared" si="906"/>
        <v>3046</v>
      </c>
      <c r="B346" s="561">
        <f t="shared" si="928"/>
        <v>46</v>
      </c>
      <c r="C346" s="561">
        <f t="shared" si="929"/>
        <v>3</v>
      </c>
      <c r="D346" s="561" t="str">
        <f t="shared" si="974"/>
        <v xml:space="preserve">0/0/0/3.9, 360 Lease, </v>
      </c>
      <c r="E346" s="475">
        <f>INDEX(Input!$1:$1048576,E$93,$C346*2+MIN($B346,2)+5)
+INDEX(Scenarios!E$121:E$200,MATCH($B346,Scenarios!$B$121:$B$200,0))</f>
        <v>1287.0236024844721</v>
      </c>
      <c r="F346" s="475">
        <f>INDEX(Input!$1:$1048576,F$93,$C346*2+MIN($B346,2)+5)
+INDEX(Scenarios!F$121:F$200,MATCH($B346,Scenarios!$B$121:$B$200,0))</f>
        <v>0</v>
      </c>
      <c r="G346" s="475">
        <f>INDEX(Input!$1:$1048576,G$93,$C346*2+MIN($B346,2)+5)
+INDEX(Scenarios!G$121:G$200,MATCH($B346,Scenarios!$B$121:$B$200,0))</f>
        <v>0</v>
      </c>
      <c r="H346" s="475">
        <f>INDEX(Input!$1:$1048576,H$93,$C346*2+MIN($B346,2)+5)
+INDEX(Scenarios!H$121:H$200,MATCH($B346,Scenarios!$B$121:$B$200,0))</f>
        <v>0</v>
      </c>
      <c r="I346" s="476">
        <f>INDEX(Input!$1:$1048576,I$93,$C346*2+MIN($B346,2)+5)</f>
        <v>0.7</v>
      </c>
      <c r="J346" s="476" t="str">
        <f>INDEX(Input!$1:$1048576,J$93,$C346*2+MIN($B346,2)+5)</f>
        <v>Market</v>
      </c>
      <c r="K346" s="476" t="str">
        <f>INDEX(Input!$1:$1048576,K$93,$C346*2+MIN($B346,2)+5)</f>
        <v>Market</v>
      </c>
      <c r="L346" s="476" t="str">
        <f>INDEX(Input!$1:$1048576,L$93,$C346*2+MIN($B346,2)+5)</f>
        <v>Market</v>
      </c>
      <c r="M346" s="476" t="str">
        <f>INDEX(Input!$1:$1048576,M$93,$C346*2+MIN($B346,2)+5)</f>
        <v>Market</v>
      </c>
      <c r="N346" s="476" t="str">
        <f>INDEX(Input!$1:$1048576,N$93,$C346*2+MIN($B346,2)+5)</f>
        <v>Market</v>
      </c>
      <c r="O346" s="476" t="str">
        <f>INDEX(Input!$1:$1048576,O$93,$C346*2+MIN($B346,2)+5)</f>
        <v>Market</v>
      </c>
      <c r="P346" s="476" t="str">
        <f>INDEX(Input!$1:$1048576,P$93,$C346*2+MIN($B346,2)+5)</f>
        <v>N</v>
      </c>
      <c r="Q346" s="477">
        <f>INDEX(Input!$1:$1048576,Q$93,$C346*2+MIN($B346,2)+5)
+INDEX(Scenarios!Q$121:Q$200,MATCH($B346,Scenarios!$B$121:$B$200,0))</f>
        <v>0</v>
      </c>
      <c r="R346" s="478">
        <f>IFERROR(MAX(0,INDEX(Input!$1:$1048576,R$93,$C346*2+MIN($B346,2)+5)
+INDEX(Scenarios!R$121:R$200,MATCH($B346,Scenarios!$B$121:$B$200,0)),),"Market")</f>
        <v>0</v>
      </c>
      <c r="S346" s="478">
        <f>IFERROR(MAX(0,INDEX(Input!$1:$1048576,S$93,$C346*2+MIN($B346,2)+5)
+INDEX(Scenarios!S$121:S$200,MATCH($B346,Scenarios!$B$121:$B$200,0)),),"Market")</f>
        <v>0</v>
      </c>
      <c r="T346" s="478">
        <f>IFERROR(MAX(0,INDEX(Input!$1:$1048576,T$93,$C346*2+MIN($B346,2)+5)
+INDEX(Scenarios!T$121:T$200,MATCH($B346,Scenarios!$B$121:$B$200,0)),),"Market")</f>
        <v>0</v>
      </c>
      <c r="U346" s="478">
        <f>IFERROR(MAX(0,INDEX(Input!$1:$1048576,U$93,$C346*2+MIN($B346,2)+5)
+INDEX(Scenarios!U$121:U$200,MATCH($B346,Scenarios!$B$121:$B$200,0)),),"Market")</f>
        <v>0</v>
      </c>
      <c r="V346" s="478">
        <f>IFERROR(MAX(0,INDEX(Input!$1:$1048576,V$93,$C346*2+MIN($B346,2)+5)
+INDEX(Scenarios!V$121:V$200,MATCH($B346,Scenarios!$B$121:$B$200,0)),),"Market")</f>
        <v>0</v>
      </c>
      <c r="W346" s="885">
        <f>IFERROR(MAX(0,INDEX(Input!$1:$1048576,W$93,$C346*2+MIN($B346,2)+5)-0%,),"Market")</f>
        <v>3.9E-2</v>
      </c>
      <c r="X346" s="476" t="str">
        <f>INDEX(Input!$1:$1048576,X$93,$C346*2+MIN($B346,2)+5)</f>
        <v>Y</v>
      </c>
      <c r="Y346" s="475">
        <f>INDEX(Input!$1:$1048576,Y$93,$C346*2+MIN($B346,2)+5)
++INDEX(Scenarios!Y$121:Y$200,MATCH($B346,Scenarios!$B$121:$B$200,0))</f>
        <v>1914.9999999999991</v>
      </c>
      <c r="Z346" s="477">
        <f>INDEX(Input!$1:$1048576,Z$93,$C346*2+MIN($B346,2)+5)
+INDEX(Scenarios!Z$121:Z$200,MATCH($B346,Scenarios!$B$121:$B$200,0))</f>
        <v>0</v>
      </c>
      <c r="AA346" s="475">
        <f>INDEX(Input!$1:$1048576,AA$93,$C346*2+MIN($B346,2)+5)
+INDEX(Scenarios!AA$121:AA$200,MATCH($B346,Scenarios!$B$121:$B$200,0))</f>
        <v>0</v>
      </c>
      <c r="AB346" s="476">
        <f>INDEX(Input!$1:$1048576,AB$93,$C346*2+MIN($B346,2)+5)</f>
        <v>0.27</v>
      </c>
      <c r="AC346" s="475">
        <f>INDEX(Input!$1:$1048576,AC$93,$C346*2+MIN($B346,2)+5)
+INDEX(Scenarios!AC$121:AC$200,MATCH($B346,Scenarios!$B$121:$B$200,0))</f>
        <v>0</v>
      </c>
      <c r="AD346" s="476">
        <f>INDEX(Input!$1:$1048576,AD$93,$C346*2+MIN($B346,2)+5)</f>
        <v>0.27</v>
      </c>
      <c r="AE346" s="475">
        <f>INDEX(Input!$1:$1048576,AE$93,$C346*2+MIN($B346,2)+5)
+INDEX(Scenarios!AE$121:AE$200,MATCH($B346,Scenarios!$B$121:$B$200,0))</f>
        <v>0</v>
      </c>
      <c r="AF346" s="476">
        <f>INDEX(Input!$1:$1048576,AF$93,$C346*2+MIN($B346,2)+5)</f>
        <v>0.68200000000000005</v>
      </c>
      <c r="AG346" s="475">
        <f>INDEX(Input!$1:$1048576,AG$93,$C346*2+MIN($B346,2)+5)
+INDEX(Scenarios!AG$121:AG$200,MATCH($B346,Scenarios!$B$121:$B$200,0))</f>
        <v>500</v>
      </c>
      <c r="AH346" s="476">
        <f>INDEX(Input!$1:$1048576,AH$93,$C346*2+MIN($B346,2)+5)</f>
        <v>1</v>
      </c>
      <c r="AI346" s="475">
        <f>INDEX(Input!$1:$1048576,AI$93,$C346*2+MIN($B346,2)+5)
+INDEX(Scenarios!AI$121:AI$200,MATCH($B346,Scenarios!$B$121:$B$200,0))</f>
        <v>0</v>
      </c>
      <c r="AJ346" s="476">
        <f>INDEX(Input!$1:$1048576,AJ$93,$C346*2+MIN($B346,2)+5)</f>
        <v>0.27</v>
      </c>
      <c r="AK346" s="150">
        <f>ROUND(INDEX(Input!$1:$1048576,AK$93,$C345*2+MIN($B346,1)+5)+(Y346-VLOOKUP($C346*1000+1,$A:$HH,Y$92,FALSE)),0)</f>
        <v>3337</v>
      </c>
      <c r="AL346" s="150">
        <f>ROUND(INDEX(Input!$1:$1048576,AL$93,$C345*2+MIN($B346,1)+5)-(Y346-VLOOKUP($C346*1000+1,$A:$HH,Y$92,FALSE))/36,0)</f>
        <v>3385</v>
      </c>
      <c r="AM346" s="32" t="str">
        <f t="shared" si="907"/>
        <v>std/std/std/std</v>
      </c>
      <c r="AN346" s="32" t="str">
        <f t="shared" si="908"/>
        <v>$0 + 0/0/0/0/3.9</v>
      </c>
      <c r="AO346" s="32" t="str">
        <f t="shared" si="909"/>
        <v>0/0/0/0/3.9</v>
      </c>
      <c r="AP346" s="32" t="str">
        <f t="shared" si="863"/>
        <v>0/0/0/3.9</v>
      </c>
      <c r="AQ346" s="536">
        <f t="shared" si="862"/>
        <v>0.2549453136233818</v>
      </c>
      <c r="AR346" s="32"/>
      <c r="AS346" s="302"/>
      <c r="AT346" s="3">
        <f t="shared" si="930"/>
        <v>46</v>
      </c>
      <c r="AU346" s="41" t="s">
        <v>121</v>
      </c>
      <c r="AV346" s="41" t="s">
        <v>116</v>
      </c>
      <c r="AW346" s="41" t="str">
        <f>INDEX(Input!$1:$1048576,AW$93,$C346*2+6)</f>
        <v>Kia</v>
      </c>
      <c r="AX346" s="41" t="str">
        <f>INDEX(Input!$1:$1048576,AX$93,$C346*2+6)</f>
        <v>Kia-LR - L3</v>
      </c>
      <c r="AY346" s="41" t="str">
        <f>IF(LEN(D346)=0,"",INDEX(Input!$1:$1048576,AY$93,$C346*2+6))</f>
        <v>Compact SUV (52)</v>
      </c>
      <c r="AZ346" s="41" t="str">
        <f>INDEX(Input!$1:$1048576,AZ$93,$C346*2+6)</f>
        <v>Kia Soul</v>
      </c>
      <c r="BA346" s="3">
        <f>INDEX(Input!$1:$1048576,BA$93,$C346*2+6)</f>
        <v>2020</v>
      </c>
      <c r="BB346" s="128">
        <f>INDEX(Input!$1:$1048576,BB$93,$C346*2+6)</f>
        <v>1</v>
      </c>
      <c r="BC346" s="128">
        <f>INDEX(Input!$1:$1048576,BC$93,$C346*2+6)</f>
        <v>0.7</v>
      </c>
      <c r="BD346" s="1">
        <f>INDEX(Input!$1:$1048576,BD$93,$C346*2+6)</f>
        <v>4.4999999999999998E-2</v>
      </c>
      <c r="BE346" s="1">
        <f>INDEX(Input!$1:$1048576,BE$93,$C346*2+6)</f>
        <v>4.4999999999999998E-2</v>
      </c>
      <c r="BF346" s="1">
        <f>INDEX(Input!$1:$1048576,BF$93,$C346*2+6)</f>
        <v>0.05</v>
      </c>
      <c r="BG346" s="1">
        <f>INDEX(Input!$1:$1048576,BG$93,$C346*2+6)</f>
        <v>5.45E-2</v>
      </c>
      <c r="BH346" s="1">
        <f>INDEX(Input!$1:$1048576,BH$93,$C346*2+6)</f>
        <v>5.45E-2</v>
      </c>
      <c r="BI346" s="1">
        <f>INDEX(Input!$1:$1048576,BI$93,$C346*2+6)</f>
        <v>0.05</v>
      </c>
      <c r="BJ346" s="1">
        <f>INDEX(Input!$1:$1048576,BJ$93,$C346*2+6)</f>
        <v>0.05</v>
      </c>
      <c r="BK346" s="1">
        <f>INDEX(Input!$1:$1048576,BK$93,$C346*2+6)</f>
        <v>0.05</v>
      </c>
      <c r="BL346" s="1">
        <f>INDEX(Input!$1:$1048576,BL$93,$C346*2+6)</f>
        <v>5.5E-2</v>
      </c>
      <c r="BM346" s="1">
        <f>INDEX(Input!$1:$1048576,BM$93,$C346*2+6)</f>
        <v>0.06</v>
      </c>
      <c r="BN346" s="1">
        <f>INDEX(Input!$1:$1048576,BN$93,$C346*2+6)</f>
        <v>4.4999999999999998E-2</v>
      </c>
      <c r="BO346" s="1">
        <f>INDEX(Input!$1:$1048576,BO$93,$C346*2+6)</f>
        <v>4.4999999999999998E-2</v>
      </c>
      <c r="BP346" s="1">
        <f>INDEX(Input!$1:$1048576,BP$93,$C346*2+6)</f>
        <v>0.05</v>
      </c>
      <c r="BQ346" s="1">
        <f>INDEX(Input!$1:$1048576,BQ$93,$C346*2+6)</f>
        <v>5.45E-2</v>
      </c>
      <c r="BR346" s="1">
        <f>INDEX(Input!$1:$1048576,BR$93,$C346*2+6)</f>
        <v>5.45E-2</v>
      </c>
      <c r="BS346" s="1">
        <f>INDEX(Input!$1:$1048576,BS$93,$C346*2+6)</f>
        <v>0.05</v>
      </c>
      <c r="BT346" s="1">
        <f>INDEX(Input!$1:$1048576,BT$93,$C346*2+6)</f>
        <v>0.05</v>
      </c>
      <c r="BU346" s="1">
        <f>INDEX(Input!$1:$1048576,BU$93,$C346*2+6)</f>
        <v>0.05</v>
      </c>
      <c r="BV346" s="1">
        <f>INDEX(Input!$1:$1048576,BV$93,$C346*2+6)</f>
        <v>5.5E-2</v>
      </c>
      <c r="BW346" s="1">
        <f>INDEX(Input!$1:$1048576,BW$93,$C346*2+6)</f>
        <v>0.06</v>
      </c>
      <c r="BX346" s="127">
        <f>INDEX(Input!$1:$1048576,BX$93,$C346*2+6)</f>
        <v>19985</v>
      </c>
      <c r="BY346" s="20">
        <f>INDEX(Input!$1:$1048576,BY$93,$C346*2+6)</f>
        <v>0.1</v>
      </c>
      <c r="BZ346" s="20">
        <f>INDEX(Input!$1:$1048576,BZ$93,$C346*2+6)</f>
        <v>0.1</v>
      </c>
      <c r="CA346" s="20">
        <f>INDEX(Input!$1:$1048576,CA$93,$C346*2+6)</f>
        <v>0.1</v>
      </c>
      <c r="CB346" s="20">
        <f>INDEX(Input!$1:$1048576,CB$93,$C346*2+6)</f>
        <v>0.1</v>
      </c>
      <c r="CC346" s="20">
        <f>INDEX(Input!$1:$1048576,CC$93,$C346*2+6)</f>
        <v>0.1</v>
      </c>
      <c r="CD346" s="384">
        <f>INDEX(Input!$1:$1048576,CD$93,$C346*2+6)</f>
        <v>0.1</v>
      </c>
      <c r="CE346" s="384">
        <f>INDEX(Input!$1:$1048576,CE$93,$C346*2+6)</f>
        <v>0.1</v>
      </c>
      <c r="CF346" s="384">
        <f>INDEX(Input!$1:$1048576,CF$93,$C346*2+6)</f>
        <v>0.1</v>
      </c>
      <c r="CG346" s="384">
        <f>INDEX(Input!$1:$1048576,CG$93,$C346*2+6)</f>
        <v>0.1</v>
      </c>
      <c r="CH346" s="384">
        <f>INDEX(Input!$1:$1048576,CH$93,$C346*2+6)</f>
        <v>0.1</v>
      </c>
      <c r="CI346" s="304">
        <f t="shared" si="864"/>
        <v>1287.0236024844721</v>
      </c>
      <c r="CJ346" s="16" t="str">
        <f>INDEX(Input!$1:$1048576,CJ$93,$C346*2+6)</f>
        <v>N</v>
      </c>
      <c r="CK346" s="1" t="str">
        <f t="shared" si="865"/>
        <v>Market</v>
      </c>
      <c r="CL346" s="1" t="str">
        <f t="shared" si="866"/>
        <v>Market</v>
      </c>
      <c r="CM346" s="1" t="str">
        <f t="shared" si="867"/>
        <v>Market</v>
      </c>
      <c r="CN346" s="1" t="str">
        <f t="shared" si="868"/>
        <v>Market</v>
      </c>
      <c r="CO346" s="1" t="str">
        <f t="shared" si="869"/>
        <v>Market</v>
      </c>
      <c r="CP346" s="304">
        <f t="shared" si="870"/>
        <v>500</v>
      </c>
      <c r="CQ346" s="1">
        <f t="shared" si="871"/>
        <v>0</v>
      </c>
      <c r="CR346" s="1">
        <f t="shared" si="872"/>
        <v>0</v>
      </c>
      <c r="CS346" s="1">
        <f t="shared" si="873"/>
        <v>0</v>
      </c>
      <c r="CT346" s="1">
        <f t="shared" si="874"/>
        <v>0</v>
      </c>
      <c r="CU346" s="1">
        <f t="shared" si="875"/>
        <v>3.9E-2</v>
      </c>
      <c r="CV346" s="304">
        <f t="shared" si="876"/>
        <v>1914.9999999999991</v>
      </c>
      <c r="CW346" s="20" t="s">
        <v>122</v>
      </c>
      <c r="CX346" s="20" t="s">
        <v>122</v>
      </c>
      <c r="CY346" s="20" t="s">
        <v>122</v>
      </c>
      <c r="CZ346" s="20" t="s">
        <v>122</v>
      </c>
      <c r="DA346" s="20" t="s">
        <v>122</v>
      </c>
      <c r="DB346" s="503">
        <f t="shared" si="877"/>
        <v>0</v>
      </c>
      <c r="DC346" s="127">
        <v>0</v>
      </c>
      <c r="DD346" s="127">
        <v>0</v>
      </c>
      <c r="DE346" s="127">
        <v>0</v>
      </c>
      <c r="DF346" s="127">
        <v>0</v>
      </c>
      <c r="DG346" s="127">
        <v>0</v>
      </c>
      <c r="DH346" s="127">
        <v>0</v>
      </c>
      <c r="DI346" s="127">
        <v>0</v>
      </c>
      <c r="DJ346" s="127">
        <v>0</v>
      </c>
      <c r="DK346" s="127">
        <v>0</v>
      </c>
      <c r="DL346" s="127">
        <v>0</v>
      </c>
      <c r="DM346" s="304">
        <f>INDEX(Input!$1:$1048576,DM$93,$C346*2+6)</f>
        <v>21036.84210526316</v>
      </c>
      <c r="DN346" s="20">
        <v>0</v>
      </c>
      <c r="DO346" s="20">
        <v>0</v>
      </c>
      <c r="DP346" s="20">
        <v>0</v>
      </c>
      <c r="DQ346" s="20">
        <v>0</v>
      </c>
      <c r="DR346" s="20">
        <v>0</v>
      </c>
      <c r="DS346" s="20">
        <f>INDEX(Input!$1:$1048576,DS$93,$C346*2+6)</f>
        <v>0.6</v>
      </c>
      <c r="DT346" s="20">
        <f>INDEX(Input!$1:$1048576,DT$93,$C346*2+6)</f>
        <v>0.55000000000000004</v>
      </c>
      <c r="DU346" s="20">
        <f>INDEX(Input!$1:$1048576,DU$93,$C346*2+6)</f>
        <v>0.52</v>
      </c>
      <c r="DV346" s="20">
        <f>INDEX(Input!$1:$1048576,DV$93,$C346*2+6)</f>
        <v>0.5</v>
      </c>
      <c r="DW346" s="20">
        <f>INDEX(Input!$1:$1048576,DW$93,$C346*2+6)</f>
        <v>0.45</v>
      </c>
      <c r="DX346" s="20"/>
      <c r="DY346" s="7">
        <v>9.3216512417821709E-2</v>
      </c>
      <c r="DZ346" s="7">
        <v>0</v>
      </c>
      <c r="EA346" s="7">
        <v>0.64525348756688772</v>
      </c>
      <c r="EB346" s="7">
        <v>0</v>
      </c>
      <c r="EC346" s="7">
        <v>0</v>
      </c>
      <c r="ED346" s="7">
        <v>0</v>
      </c>
      <c r="EE346" s="7">
        <v>0</v>
      </c>
      <c r="EF346" s="7">
        <v>0</v>
      </c>
      <c r="EG346" s="7">
        <v>0</v>
      </c>
      <c r="EH346" s="7">
        <v>7.3755447681349675E-3</v>
      </c>
      <c r="EI346" s="7">
        <v>2.0640641646090991E-2</v>
      </c>
      <c r="EJ346" s="7">
        <v>0.16564827375752311</v>
      </c>
      <c r="EK346" s="7">
        <v>0.71917313615330247</v>
      </c>
      <c r="EL346" s="7">
        <v>8.7162403674948291E-2</v>
      </c>
      <c r="EM346" s="7">
        <v>7.3963022295360573E-2</v>
      </c>
      <c r="EN346" s="7">
        <v>6.4534979387531693E-2</v>
      </c>
      <c r="EO346" s="7">
        <v>0.7910820897280374</v>
      </c>
      <c r="EP346" s="7">
        <v>5.9394761674456183E-2</v>
      </c>
      <c r="EQ346" s="7">
        <v>5.5305832294462981E-2</v>
      </c>
      <c r="ER346" s="7">
        <v>2.9682336915511916E-2</v>
      </c>
      <c r="ES346" s="7">
        <v>0.18756697771992994</v>
      </c>
      <c r="ET346" s="7">
        <v>0.26153000001529059</v>
      </c>
      <c r="EU346" s="6">
        <v>1611</v>
      </c>
      <c r="EV346" s="6">
        <v>0</v>
      </c>
      <c r="EW346" s="6">
        <v>1611</v>
      </c>
      <c r="EX346" s="6">
        <v>0</v>
      </c>
      <c r="EY346" s="6">
        <v>3002.0573720191105</v>
      </c>
      <c r="EZ346" s="6">
        <v>2649</v>
      </c>
      <c r="FA346" s="6">
        <v>0</v>
      </c>
      <c r="FB346" s="6">
        <v>0</v>
      </c>
      <c r="FC346" s="6">
        <v>0</v>
      </c>
      <c r="FD346" s="6">
        <v>0</v>
      </c>
      <c r="FE346" s="6">
        <v>0</v>
      </c>
      <c r="FF346" s="6">
        <v>0</v>
      </c>
      <c r="FG346" s="6">
        <v>0</v>
      </c>
      <c r="FH346" s="6">
        <v>1171.9828314610647</v>
      </c>
      <c r="FI346" s="6">
        <v>1553.9796069512399</v>
      </c>
      <c r="FJ346" s="6">
        <v>2101.2110117447401</v>
      </c>
      <c r="FK346" s="6">
        <v>2674.2006261592278</v>
      </c>
      <c r="FL346" s="6">
        <v>907.07682140966335</v>
      </c>
      <c r="FM346" s="6">
        <v>2391.0573720191105</v>
      </c>
      <c r="FN346" s="6">
        <v>0</v>
      </c>
      <c r="FO346" s="6">
        <v>0</v>
      </c>
      <c r="FP346" s="6">
        <v>0</v>
      </c>
      <c r="FQ346" s="6">
        <v>0</v>
      </c>
      <c r="FR346" s="6">
        <v>0</v>
      </c>
      <c r="FS346" s="6">
        <v>0</v>
      </c>
      <c r="FT346" s="7">
        <v>0.73846999998470941</v>
      </c>
      <c r="FU346" s="7">
        <v>7.3963022295360573E-2</v>
      </c>
      <c r="FV346" s="7">
        <v>0.18756697771992994</v>
      </c>
      <c r="FW346" s="6">
        <v>1611.0000000000002</v>
      </c>
      <c r="FX346" s="6">
        <v>3002.0573720191105</v>
      </c>
      <c r="FY346" s="6">
        <v>2649</v>
      </c>
      <c r="FZ346" s="6">
        <v>1858.9243755539039</v>
      </c>
      <c r="GA346" s="6">
        <v>1908.5813302940624</v>
      </c>
      <c r="GB346" s="6">
        <v>18076.418669705938</v>
      </c>
      <c r="GC346" s="7">
        <v>2.9156573141622111E-2</v>
      </c>
      <c r="GD346" s="7">
        <v>2.9912180251559495E-2</v>
      </c>
      <c r="GE346" s="7"/>
      <c r="GF346" s="7"/>
      <c r="GG346" s="7">
        <v>2.5915497897066864E-2</v>
      </c>
      <c r="GH346" s="42">
        <v>10.429983638405227</v>
      </c>
      <c r="GI346" s="6">
        <v>3824.6917186566379</v>
      </c>
      <c r="GJ346" s="14">
        <v>0.50394797582841722</v>
      </c>
      <c r="GK346" s="14">
        <v>0.50887573065309744</v>
      </c>
      <c r="GL346" s="14">
        <v>0.49605202417158284</v>
      </c>
      <c r="GM346" s="14">
        <v>0.49112426934690251</v>
      </c>
      <c r="GO346" s="5">
        <v>343.14810671672558</v>
      </c>
      <c r="GP346" s="5">
        <v>312.41330006058649</v>
      </c>
      <c r="GQ346" s="5">
        <v>535.04305713031317</v>
      </c>
      <c r="GR346" s="5">
        <v>410.15490233172511</v>
      </c>
      <c r="GS346" s="5">
        <v>339.42744393800166</v>
      </c>
      <c r="GT346" s="5">
        <v>293.4407446948278</v>
      </c>
      <c r="GU346" s="5">
        <v>258.04012322764959</v>
      </c>
      <c r="GV346" s="39" t="s">
        <v>392</v>
      </c>
      <c r="GW346" s="5">
        <v>482.65277777777777</v>
      </c>
      <c r="GX346" s="5">
        <v>361.98958333333331</v>
      </c>
      <c r="GY346" s="5">
        <v>289.59166666666664</v>
      </c>
      <c r="GZ346" s="5">
        <v>241.32638888888889</v>
      </c>
      <c r="HA346" s="5">
        <v>236.70336205047303</v>
      </c>
      <c r="HB346" s="39">
        <v>253.18897404509767</v>
      </c>
      <c r="HC346" s="5">
        <v>171.390625</v>
      </c>
      <c r="HD346" s="5">
        <v>160.70330774853798</v>
      </c>
      <c r="HE346" s="5">
        <v>167.52103997975706</v>
      </c>
      <c r="HF346" s="5">
        <v>159.65063048245611</v>
      </c>
      <c r="HG346" s="5">
        <v>159.85888157894735</v>
      </c>
      <c r="HH346" s="39">
        <v>161.71466739369845</v>
      </c>
      <c r="HI346" s="16"/>
      <c r="HJ346" s="19" t="str">
        <f t="shared" si="984"/>
        <v>On</v>
      </c>
      <c r="HK346" s="1" t="str">
        <f t="shared" si="984"/>
        <v>On</v>
      </c>
      <c r="HL346" s="16"/>
      <c r="HM346" s="639">
        <f t="shared" si="878"/>
        <v>2.2758057894877178E-2</v>
      </c>
      <c r="HN346" s="639">
        <f t="shared" si="879"/>
        <v>1.416759231746561E-3</v>
      </c>
      <c r="HO346" s="639">
        <f t="shared" si="880"/>
        <v>4.5732401537654987E-3</v>
      </c>
      <c r="HP346" s="644">
        <f>(FT346*$GD346-HM346)/$JF346*INDEX(Input!$1:$1048576,$JG$93,$C346*2+6)</f>
        <v>-37.455899120141552</v>
      </c>
      <c r="HQ346" s="644">
        <f>(FU346*$GD346-HN346)/$JF346*INDEX(Input!$1:$1048576,$JG$93,$C346*2+6)</f>
        <v>44.55862824750448</v>
      </c>
      <c r="HR346" s="644">
        <f>(FV346*$GD346-HO346)/$JF346*INDEX(Input!$1:$1048576,$JG$93,$C346*2+6)</f>
        <v>58.092562690239106</v>
      </c>
      <c r="HS346" s="644">
        <f t="shared" si="985"/>
        <v>-19.429306740414454</v>
      </c>
      <c r="HT346" s="644">
        <f t="shared" si="882"/>
        <v>101.00410679679324</v>
      </c>
      <c r="HU346" s="644">
        <f t="shared" si="883"/>
        <v>16.609413376823884</v>
      </c>
      <c r="HV346" s="648">
        <f t="shared" si="884"/>
        <v>0</v>
      </c>
      <c r="HW346" s="648">
        <f t="shared" si="885"/>
        <v>0</v>
      </c>
      <c r="HX346" s="648">
        <f t="shared" si="886"/>
        <v>0</v>
      </c>
      <c r="HY346" s="644">
        <f>INDEX(Input!$1:$1048576,HY$93,$C346*2+6)*INDEX(Input!$1:$1048576,$JG$93,$C346*2+6)</f>
        <v>509.00000000000006</v>
      </c>
      <c r="HZ346" s="644">
        <f>INDEX(Input!$1:$1048576,HZ$93,$C346*2+6)*INDEX(Input!$1:$1048576,$JG$93,$C346*2+6)</f>
        <v>844</v>
      </c>
      <c r="IA346" s="644">
        <f>INDEX(Input!$1:$1048576,IA$93,$C346*2+6)*INDEX(Input!$1:$1048576,$JG$93,$C346*2+6)</f>
        <v>257</v>
      </c>
      <c r="IB346" s="644">
        <f t="shared" si="910"/>
        <v>452.11479413944414</v>
      </c>
      <c r="IC346" s="644">
        <f t="shared" si="911"/>
        <v>989.56273504429771</v>
      </c>
      <c r="ID346" s="644">
        <f>IF(AND(INDEX(Input!$1:$1048576,IA$93,$C346*2+7)="TOS",Y346&lt;=INDEX(Y:Y,MATCH(C346*1000+2,A:A))),0,1)*MAX(IA346+HR346+HU346+HX346,0%)</f>
        <v>331.70197606706301</v>
      </c>
      <c r="IE346" s="128">
        <f t="shared" si="990"/>
        <v>0.2549453136233818</v>
      </c>
      <c r="IF346" s="128">
        <f t="shared" si="977"/>
        <v>0.55800956992809403</v>
      </c>
      <c r="IG346" s="128">
        <f t="shared" si="888"/>
        <v>0.1870451164485242</v>
      </c>
      <c r="IH346" s="21"/>
      <c r="II346" s="19">
        <f t="shared" si="889"/>
        <v>1410.4999999999998</v>
      </c>
      <c r="IJ346" s="19">
        <f t="shared" si="890"/>
        <v>2134.9731585778086</v>
      </c>
      <c r="IK346" s="19">
        <f t="shared" si="891"/>
        <v>2103.5</v>
      </c>
      <c r="IL346" s="19">
        <f t="shared" si="913"/>
        <v>200.50000000000045</v>
      </c>
      <c r="IM346" s="19">
        <f t="shared" si="892"/>
        <v>867.08421344130193</v>
      </c>
      <c r="IN346" s="19">
        <f t="shared" si="893"/>
        <v>545.5</v>
      </c>
      <c r="IO346" s="39">
        <f t="shared" si="894"/>
        <v>0</v>
      </c>
      <c r="IP346" s="39">
        <f t="shared" si="895"/>
        <v>0</v>
      </c>
      <c r="IQ346" s="39">
        <f t="shared" si="896"/>
        <v>0</v>
      </c>
      <c r="IR346" s="39">
        <v>0</v>
      </c>
      <c r="IS346" s="39">
        <v>0</v>
      </c>
      <c r="IT346" s="39">
        <v>0</v>
      </c>
      <c r="IU346" s="39">
        <v>0</v>
      </c>
      <c r="IV346" s="39">
        <v>0</v>
      </c>
      <c r="IW346" s="39">
        <v>0</v>
      </c>
      <c r="IX346" s="39">
        <f>INDEX(Input!$1:$1048576,IX$93,$C346*2+6)+INDEX(Input!$1:$1048576,IX$94,$C346*2+6)</f>
        <v>1611</v>
      </c>
      <c r="IY346" s="39">
        <f>INDEX(Input!$1:$1048576,IY$93,$C346*2+6)+INDEX(Input!$1:$1048576,IY$94,$C346*2+6)</f>
        <v>2471.0624533823611</v>
      </c>
      <c r="IZ346" s="39">
        <f>INDEX(Input!$1:$1048576,IZ$93,$C346*2+6)+INDEX(Input!$1:$1048576,IZ$94,$C346*2+6)</f>
        <v>3994.7164157747857</v>
      </c>
      <c r="JA346" s="19">
        <f t="shared" si="914"/>
        <v>1811.5000000000005</v>
      </c>
      <c r="JB346" s="19">
        <f t="shared" si="915"/>
        <v>3338.1466668236631</v>
      </c>
      <c r="JC346" s="19">
        <f t="shared" si="916"/>
        <v>4540.2164157747857</v>
      </c>
      <c r="JD346" s="19">
        <f t="shared" si="917"/>
        <v>3173.7765297300248</v>
      </c>
      <c r="JE346" s="21"/>
      <c r="JF346" s="1">
        <f t="shared" si="897"/>
        <v>2.8748057280389237E-2</v>
      </c>
      <c r="JG346" s="15">
        <f>INDEX(Input!$1:$1048576,JG$93,$C346*2+6)/(1+VLOOKUP(C346*1000+INDEX(Input!$1:$1048576,JG$93+1,$C346*2+6),$A:$KK,$JK$92,FALSE))</f>
        <v>1610</v>
      </c>
      <c r="JH346" s="1">
        <f t="shared" si="918"/>
        <v>4.0493970073044734E-2</v>
      </c>
      <c r="JI346" s="1">
        <f t="shared" si="919"/>
        <v>6.0983983498883648E-2</v>
      </c>
      <c r="JJ346" s="1">
        <f t="shared" si="978"/>
        <v>0</v>
      </c>
      <c r="JK346" s="1">
        <f t="shared" si="979"/>
        <v>0.10147795357192838</v>
      </c>
      <c r="JL346" s="15">
        <f t="shared" si="922"/>
        <v>163.3795052508047</v>
      </c>
      <c r="JM346" s="15">
        <f t="shared" si="948"/>
        <v>1773.3795052508046</v>
      </c>
      <c r="JN346" s="21"/>
      <c r="JO346" s="19">
        <f>INDEX(Input!$1:$1048576,JO$93,$C346*2+6)</f>
        <v>5995.5</v>
      </c>
      <c r="JP346" s="19">
        <f>INDEX(Input!$1:$1048576,JP$93,$C346*2+6)</f>
        <v>2442.3713226762939</v>
      </c>
      <c r="JQ346" s="39">
        <f t="shared" si="934"/>
        <v>2821.7234702699752</v>
      </c>
      <c r="JR346" s="39">
        <f t="shared" si="951"/>
        <v>731.40520705373092</v>
      </c>
      <c r="JS346" s="39">
        <f t="shared" si="936"/>
        <v>5.6283102520692472</v>
      </c>
      <c r="JT346" s="39">
        <f t="shared" si="924"/>
        <v>1.6960924225604139</v>
      </c>
      <c r="JU346" s="385">
        <f>(JQ346*JM346-INDEX(Input!$1:$1048576,Input!A$18,$C346*2+6)*JL346*INDEX(Input!$1:$1048576,Input!A$19,$C346*2+6))/1000000</f>
        <v>5.0039865716619518</v>
      </c>
      <c r="JV346" s="39">
        <f t="shared" si="958"/>
        <v>-0.71655059882921535</v>
      </c>
      <c r="JW346" s="1">
        <f t="shared" si="949"/>
        <v>-0.12525932049274527</v>
      </c>
      <c r="JX346" s="19">
        <f t="shared" si="940"/>
        <v>10381.304680515063</v>
      </c>
      <c r="JZ346" s="341"/>
      <c r="KA346" s="342"/>
      <c r="KB346" s="469">
        <f t="shared" si="937"/>
        <v>2.5190675447988795</v>
      </c>
      <c r="KI346" s="473">
        <f t="shared" si="987"/>
        <v>-56.885205860556027</v>
      </c>
      <c r="KJ346" s="473">
        <f t="shared" si="988"/>
        <v>145.56273504429771</v>
      </c>
      <c r="KK346" s="473">
        <f t="shared" si="926"/>
        <v>74.701976067063015</v>
      </c>
      <c r="KN346" s="544">
        <f t="shared" si="941"/>
        <v>3002</v>
      </c>
      <c r="KO346" s="541">
        <f t="shared" si="901"/>
        <v>6.8860196122800588E-2</v>
      </c>
      <c r="KP346" s="546">
        <f t="shared" si="902"/>
        <v>439.26949137999429</v>
      </c>
      <c r="KQ346" s="546">
        <f t="shared" si="903"/>
        <v>537.86310434132656</v>
      </c>
      <c r="KR346" s="548">
        <f t="shared" si="904"/>
        <v>2.7196550808162718</v>
      </c>
      <c r="KS346" s="548">
        <f t="shared" si="905"/>
        <v>2.2211255883449699</v>
      </c>
      <c r="KT346" s="473">
        <f t="shared" si="939"/>
        <v>1026.1618045255443</v>
      </c>
      <c r="KU346" s="663">
        <f t="shared" si="927"/>
        <v>4.5852547683787614</v>
      </c>
      <c r="KV346" s="117"/>
    </row>
    <row r="347" spans="1:308" s="26" customFormat="1" ht="15">
      <c r="A347" s="561">
        <f t="shared" si="906"/>
        <v>3047</v>
      </c>
      <c r="B347" s="561">
        <f t="shared" si="928"/>
        <v>47</v>
      </c>
      <c r="C347" s="561">
        <f t="shared" si="929"/>
        <v>3</v>
      </c>
      <c r="D347" s="561" t="str">
        <f t="shared" si="974"/>
        <v xml:space="preserve">250 CC, -360 Lease, </v>
      </c>
      <c r="E347" s="475">
        <f>INDEX(Input!$1:$1048576,E$93,$C347*2+MIN($B347,2)+5)
+INDEX(Scenarios!E$121:E$200,MATCH($B347,Scenarios!$B$121:$B$200,0))</f>
        <v>1537.0236024844721</v>
      </c>
      <c r="F347" s="475">
        <f>INDEX(Input!$1:$1048576,F$93,$C347*2+MIN($B347,2)+5)
+INDEX(Scenarios!F$121:F$200,MATCH($B347,Scenarios!$B$121:$B$200,0))</f>
        <v>0</v>
      </c>
      <c r="G347" s="475">
        <f>INDEX(Input!$1:$1048576,G$93,$C347*2+MIN($B347,2)+5)
+INDEX(Scenarios!G$121:G$200,MATCH($B347,Scenarios!$B$121:$B$200,0))</f>
        <v>0</v>
      </c>
      <c r="H347" s="475">
        <f>INDEX(Input!$1:$1048576,H$93,$C347*2+MIN($B347,2)+5)
+INDEX(Scenarios!H$121:H$200,MATCH($B347,Scenarios!$B$121:$B$200,0))</f>
        <v>0</v>
      </c>
      <c r="I347" s="476">
        <f>INDEX(Input!$1:$1048576,I$93,$C347*2+MIN($B347,2)+5)</f>
        <v>0.7</v>
      </c>
      <c r="J347" s="476" t="str">
        <f>INDEX(Input!$1:$1048576,J$93,$C347*2+MIN($B347,2)+5)</f>
        <v>Market</v>
      </c>
      <c r="K347" s="476" t="str">
        <f>INDEX(Input!$1:$1048576,K$93,$C347*2+MIN($B347,2)+5)</f>
        <v>Market</v>
      </c>
      <c r="L347" s="476" t="str">
        <f>INDEX(Input!$1:$1048576,L$93,$C347*2+MIN($B347,2)+5)</f>
        <v>Market</v>
      </c>
      <c r="M347" s="476" t="str">
        <f>INDEX(Input!$1:$1048576,M$93,$C347*2+MIN($B347,2)+5)</f>
        <v>Market</v>
      </c>
      <c r="N347" s="476" t="str">
        <f>INDEX(Input!$1:$1048576,N$93,$C347*2+MIN($B347,2)+5)</f>
        <v>Market</v>
      </c>
      <c r="O347" s="476" t="str">
        <f>INDEX(Input!$1:$1048576,O$93,$C347*2+MIN($B347,2)+5)</f>
        <v>Market</v>
      </c>
      <c r="P347" s="476" t="str">
        <f>INDEX(Input!$1:$1048576,P$93,$C347*2+MIN($B347,2)+5)</f>
        <v>N</v>
      </c>
      <c r="Q347" s="477">
        <f>INDEX(Input!$1:$1048576,Q$93,$C347*2+MIN($B347,2)+5)
+INDEX(Scenarios!Q$121:Q$200,MATCH($B347,Scenarios!$B$121:$B$200,0))</f>
        <v>0</v>
      </c>
      <c r="R347" s="478">
        <f>IFERROR(MAX(0,INDEX(Input!$1:$1048576,R$93,$C347*2+MIN($B347,2)+5)
+INDEX(Scenarios!R$121:R$200,MATCH($B347,Scenarios!$B$121:$B$200,0)),),"Market")</f>
        <v>0</v>
      </c>
      <c r="S347" s="478">
        <f>IFERROR(MAX(0,INDEX(Input!$1:$1048576,S$93,$C347*2+MIN($B347,2)+5)
+INDEX(Scenarios!S$121:S$200,MATCH($B347,Scenarios!$B$121:$B$200,0)),),"Market")</f>
        <v>0</v>
      </c>
      <c r="T347" s="478">
        <f>IFERROR(MAX(0,INDEX(Input!$1:$1048576,T$93,$C347*2+MIN($B347,2)+5)
+INDEX(Scenarios!T$121:T$200,MATCH($B347,Scenarios!$B$121:$B$200,0)),),"Market")</f>
        <v>0</v>
      </c>
      <c r="U347" s="478">
        <f>IFERROR(MAX(0,INDEX(Input!$1:$1048576,U$93,$C347*2+MIN($B347,2)+5)
+INDEX(Scenarios!U$121:U$200,MATCH($B347,Scenarios!$B$121:$B$200,0)),),"Market")</f>
        <v>0</v>
      </c>
      <c r="V347" s="478">
        <f>IFERROR(MAX(0,INDEX(Input!$1:$1048576,V$93,$C347*2+MIN($B347,2)+5)
+INDEX(Scenarios!V$121:V$200,MATCH($B347,Scenarios!$B$121:$B$200,0)),),"Market")</f>
        <v>1.9E-2</v>
      </c>
      <c r="W347" s="885">
        <f>IFERROR(MAX(0,INDEX(Input!$1:$1048576,W$93,$C347*2+MIN($B347,2)+5)-0%,),"Market")</f>
        <v>3.9E-2</v>
      </c>
      <c r="X347" s="476" t="str">
        <f>INDEX(Input!$1:$1048576,X$93,$C347*2+MIN($B347,2)+5)</f>
        <v>Y</v>
      </c>
      <c r="Y347" s="475">
        <f>INDEX(Input!$1:$1048576,Y$93,$C347*2+MIN($B347,2)+5)
++INDEX(Scenarios!Y$121:Y$200,MATCH($B347,Scenarios!$B$121:$B$200,0))</f>
        <v>1194.9999999999991</v>
      </c>
      <c r="Z347" s="477">
        <f>INDEX(Input!$1:$1048576,Z$93,$C347*2+MIN($B347,2)+5)
+INDEX(Scenarios!Z$121:Z$200,MATCH($B347,Scenarios!$B$121:$B$200,0))</f>
        <v>0</v>
      </c>
      <c r="AA347" s="475">
        <f>INDEX(Input!$1:$1048576,AA$93,$C347*2+MIN($B347,2)+5)
+INDEX(Scenarios!AA$121:AA$200,MATCH($B347,Scenarios!$B$121:$B$200,0))</f>
        <v>0</v>
      </c>
      <c r="AB347" s="476">
        <f>INDEX(Input!$1:$1048576,AB$93,$C347*2+MIN($B347,2)+5)</f>
        <v>0.27</v>
      </c>
      <c r="AC347" s="475">
        <f>INDEX(Input!$1:$1048576,AC$93,$C347*2+MIN($B347,2)+5)
+INDEX(Scenarios!AC$121:AC$200,MATCH($B347,Scenarios!$B$121:$B$200,0))</f>
        <v>0</v>
      </c>
      <c r="AD347" s="476">
        <f>INDEX(Input!$1:$1048576,AD$93,$C347*2+MIN($B347,2)+5)</f>
        <v>0.27</v>
      </c>
      <c r="AE347" s="475">
        <f>INDEX(Input!$1:$1048576,AE$93,$C347*2+MIN($B347,2)+5)
+INDEX(Scenarios!AE$121:AE$200,MATCH($B347,Scenarios!$B$121:$B$200,0))</f>
        <v>0</v>
      </c>
      <c r="AF347" s="476">
        <f>INDEX(Input!$1:$1048576,AF$93,$C347*2+MIN($B347,2)+5)</f>
        <v>0.68200000000000005</v>
      </c>
      <c r="AG347" s="475">
        <f>INDEX(Input!$1:$1048576,AG$93,$C347*2+MIN($B347,2)+5)
+INDEX(Scenarios!AG$121:AG$200,MATCH($B347,Scenarios!$B$121:$B$200,0))</f>
        <v>500</v>
      </c>
      <c r="AH347" s="476">
        <f>INDEX(Input!$1:$1048576,AH$93,$C347*2+MIN($B347,2)+5)</f>
        <v>1</v>
      </c>
      <c r="AI347" s="475">
        <f>INDEX(Input!$1:$1048576,AI$93,$C347*2+MIN($B347,2)+5)
+INDEX(Scenarios!AI$121:AI$200,MATCH($B347,Scenarios!$B$121:$B$200,0))</f>
        <v>0</v>
      </c>
      <c r="AJ347" s="476">
        <f>INDEX(Input!$1:$1048576,AJ$93,$C347*2+MIN($B347,2)+5)</f>
        <v>0.27</v>
      </c>
      <c r="AK347" s="150">
        <f>ROUND(INDEX(Input!$1:$1048576,AK$93,$C346*2+MIN($B347,1)+5)+(Y347-VLOOKUP($C347*1000+1,$A:$HH,Y$92,FALSE)),0)</f>
        <v>2617</v>
      </c>
      <c r="AL347" s="150">
        <f>ROUND(INDEX(Input!$1:$1048576,AL$93,$C346*2+MIN($B347,1)+5)-(Y347-VLOOKUP($C347*1000+1,$A:$HH,Y$92,FALSE))/36,0)</f>
        <v>3405</v>
      </c>
      <c r="AM347" s="32" t="str">
        <f t="shared" si="907"/>
        <v>std/std/std/std</v>
      </c>
      <c r="AN347" s="32" t="str">
        <f t="shared" si="908"/>
        <v>$0 + 0/0/0/1.9/3.9</v>
      </c>
      <c r="AO347" s="32" t="str">
        <f t="shared" si="909"/>
        <v>0/0/0/1.9/3.9</v>
      </c>
      <c r="AP347" s="32" t="str">
        <f t="shared" si="863"/>
        <v>0/0.9/1.9/3.9</v>
      </c>
      <c r="AQ347" s="536">
        <f t="shared" si="862"/>
        <v>0.35974179417236335</v>
      </c>
      <c r="AR347" s="32"/>
      <c r="AS347" s="302"/>
      <c r="AT347" s="3">
        <f t="shared" si="930"/>
        <v>47</v>
      </c>
      <c r="AU347" s="41" t="s">
        <v>121</v>
      </c>
      <c r="AV347" s="41" t="s">
        <v>116</v>
      </c>
      <c r="AW347" s="41" t="str">
        <f>INDEX(Input!$1:$1048576,AW$93,$C347*2+6)</f>
        <v>Kia</v>
      </c>
      <c r="AX347" s="41" t="str">
        <f>INDEX(Input!$1:$1048576,AX$93,$C347*2+6)</f>
        <v>Kia-LR - L3</v>
      </c>
      <c r="AY347" s="41" t="str">
        <f>IF(LEN(D347)=0,"",INDEX(Input!$1:$1048576,AY$93,$C347*2+6))</f>
        <v>Compact SUV (52)</v>
      </c>
      <c r="AZ347" s="41" t="str">
        <f>INDEX(Input!$1:$1048576,AZ$93,$C347*2+6)</f>
        <v>Kia Soul</v>
      </c>
      <c r="BA347" s="3">
        <f>INDEX(Input!$1:$1048576,BA$93,$C347*2+6)</f>
        <v>2020</v>
      </c>
      <c r="BB347" s="128">
        <f>INDEX(Input!$1:$1048576,BB$93,$C347*2+6)</f>
        <v>1</v>
      </c>
      <c r="BC347" s="128">
        <f>INDEX(Input!$1:$1048576,BC$93,$C347*2+6)</f>
        <v>0.7</v>
      </c>
      <c r="BD347" s="1">
        <f>INDEX(Input!$1:$1048576,BD$93,$C347*2+6)</f>
        <v>4.4999999999999998E-2</v>
      </c>
      <c r="BE347" s="1">
        <f>INDEX(Input!$1:$1048576,BE$93,$C347*2+6)</f>
        <v>4.4999999999999998E-2</v>
      </c>
      <c r="BF347" s="1">
        <f>INDEX(Input!$1:$1048576,BF$93,$C347*2+6)</f>
        <v>0.05</v>
      </c>
      <c r="BG347" s="1">
        <f>INDEX(Input!$1:$1048576,BG$93,$C347*2+6)</f>
        <v>5.45E-2</v>
      </c>
      <c r="BH347" s="1">
        <f>INDEX(Input!$1:$1048576,BH$93,$C347*2+6)</f>
        <v>5.45E-2</v>
      </c>
      <c r="BI347" s="1">
        <f>INDEX(Input!$1:$1048576,BI$93,$C347*2+6)</f>
        <v>0.05</v>
      </c>
      <c r="BJ347" s="1">
        <f>INDEX(Input!$1:$1048576,BJ$93,$C347*2+6)</f>
        <v>0.05</v>
      </c>
      <c r="BK347" s="1">
        <f>INDEX(Input!$1:$1048576,BK$93,$C347*2+6)</f>
        <v>0.05</v>
      </c>
      <c r="BL347" s="1">
        <f>INDEX(Input!$1:$1048576,BL$93,$C347*2+6)</f>
        <v>5.5E-2</v>
      </c>
      <c r="BM347" s="1">
        <f>INDEX(Input!$1:$1048576,BM$93,$C347*2+6)</f>
        <v>0.06</v>
      </c>
      <c r="BN347" s="1">
        <f>INDEX(Input!$1:$1048576,BN$93,$C347*2+6)</f>
        <v>4.4999999999999998E-2</v>
      </c>
      <c r="BO347" s="1">
        <f>INDEX(Input!$1:$1048576,BO$93,$C347*2+6)</f>
        <v>4.4999999999999998E-2</v>
      </c>
      <c r="BP347" s="1">
        <f>INDEX(Input!$1:$1048576,BP$93,$C347*2+6)</f>
        <v>0.05</v>
      </c>
      <c r="BQ347" s="1">
        <f>INDEX(Input!$1:$1048576,BQ$93,$C347*2+6)</f>
        <v>5.45E-2</v>
      </c>
      <c r="BR347" s="1">
        <f>INDEX(Input!$1:$1048576,BR$93,$C347*2+6)</f>
        <v>5.45E-2</v>
      </c>
      <c r="BS347" s="1">
        <f>INDEX(Input!$1:$1048576,BS$93,$C347*2+6)</f>
        <v>0.05</v>
      </c>
      <c r="BT347" s="1">
        <f>INDEX(Input!$1:$1048576,BT$93,$C347*2+6)</f>
        <v>0.05</v>
      </c>
      <c r="BU347" s="1">
        <f>INDEX(Input!$1:$1048576,BU$93,$C347*2+6)</f>
        <v>0.05</v>
      </c>
      <c r="BV347" s="1">
        <f>INDEX(Input!$1:$1048576,BV$93,$C347*2+6)</f>
        <v>5.5E-2</v>
      </c>
      <c r="BW347" s="1">
        <f>INDEX(Input!$1:$1048576,BW$93,$C347*2+6)</f>
        <v>0.06</v>
      </c>
      <c r="BX347" s="127">
        <f>INDEX(Input!$1:$1048576,BX$93,$C347*2+6)</f>
        <v>19985</v>
      </c>
      <c r="BY347" s="20">
        <f>INDEX(Input!$1:$1048576,BY$93,$C347*2+6)</f>
        <v>0.1</v>
      </c>
      <c r="BZ347" s="20">
        <f>INDEX(Input!$1:$1048576,BZ$93,$C347*2+6)</f>
        <v>0.1</v>
      </c>
      <c r="CA347" s="20">
        <f>INDEX(Input!$1:$1048576,CA$93,$C347*2+6)</f>
        <v>0.1</v>
      </c>
      <c r="CB347" s="20">
        <f>INDEX(Input!$1:$1048576,CB$93,$C347*2+6)</f>
        <v>0.1</v>
      </c>
      <c r="CC347" s="20">
        <f>INDEX(Input!$1:$1048576,CC$93,$C347*2+6)</f>
        <v>0.1</v>
      </c>
      <c r="CD347" s="384">
        <f>INDEX(Input!$1:$1048576,CD$93,$C347*2+6)</f>
        <v>0.1</v>
      </c>
      <c r="CE347" s="384">
        <f>INDEX(Input!$1:$1048576,CE$93,$C347*2+6)</f>
        <v>0.1</v>
      </c>
      <c r="CF347" s="384">
        <f>INDEX(Input!$1:$1048576,CF$93,$C347*2+6)</f>
        <v>0.1</v>
      </c>
      <c r="CG347" s="384">
        <f>INDEX(Input!$1:$1048576,CG$93,$C347*2+6)</f>
        <v>0.1</v>
      </c>
      <c r="CH347" s="384">
        <f>INDEX(Input!$1:$1048576,CH$93,$C347*2+6)</f>
        <v>0.1</v>
      </c>
      <c r="CI347" s="304">
        <f t="shared" si="864"/>
        <v>1537.0236024844721</v>
      </c>
      <c r="CJ347" s="16" t="str">
        <f>INDEX(Input!$1:$1048576,CJ$93,$C347*2+6)</f>
        <v>N</v>
      </c>
      <c r="CK347" s="1" t="str">
        <f t="shared" si="865"/>
        <v>Market</v>
      </c>
      <c r="CL347" s="1" t="str">
        <f t="shared" si="866"/>
        <v>Market</v>
      </c>
      <c r="CM347" s="1" t="str">
        <f t="shared" si="867"/>
        <v>Market</v>
      </c>
      <c r="CN347" s="1" t="str">
        <f t="shared" si="868"/>
        <v>Market</v>
      </c>
      <c r="CO347" s="1" t="str">
        <f t="shared" si="869"/>
        <v>Market</v>
      </c>
      <c r="CP347" s="304">
        <f t="shared" si="870"/>
        <v>500</v>
      </c>
      <c r="CQ347" s="1">
        <f t="shared" si="871"/>
        <v>0</v>
      </c>
      <c r="CR347" s="1">
        <f t="shared" si="872"/>
        <v>0</v>
      </c>
      <c r="CS347" s="1">
        <f t="shared" si="873"/>
        <v>0</v>
      </c>
      <c r="CT347" s="1">
        <f t="shared" si="874"/>
        <v>1.9E-2</v>
      </c>
      <c r="CU347" s="1">
        <f t="shared" si="875"/>
        <v>3.9E-2</v>
      </c>
      <c r="CV347" s="304">
        <f t="shared" si="876"/>
        <v>1194.9999999999991</v>
      </c>
      <c r="CW347" s="20" t="s">
        <v>122</v>
      </c>
      <c r="CX347" s="20" t="s">
        <v>122</v>
      </c>
      <c r="CY347" s="20" t="s">
        <v>122</v>
      </c>
      <c r="CZ347" s="20" t="s">
        <v>122</v>
      </c>
      <c r="DA347" s="20" t="s">
        <v>122</v>
      </c>
      <c r="DB347" s="503">
        <f t="shared" si="877"/>
        <v>0</v>
      </c>
      <c r="DC347" s="127">
        <v>0</v>
      </c>
      <c r="DD347" s="127">
        <v>0</v>
      </c>
      <c r="DE347" s="127">
        <v>0</v>
      </c>
      <c r="DF347" s="127">
        <v>0</v>
      </c>
      <c r="DG347" s="127">
        <v>0</v>
      </c>
      <c r="DH347" s="127">
        <v>0</v>
      </c>
      <c r="DI347" s="127">
        <v>0</v>
      </c>
      <c r="DJ347" s="127">
        <v>0</v>
      </c>
      <c r="DK347" s="127">
        <v>0</v>
      </c>
      <c r="DL347" s="127">
        <v>0</v>
      </c>
      <c r="DM347" s="304">
        <f>INDEX(Input!$1:$1048576,DM$93,$C347*2+6)</f>
        <v>21036.84210526316</v>
      </c>
      <c r="DN347" s="20">
        <v>0</v>
      </c>
      <c r="DO347" s="20">
        <v>0</v>
      </c>
      <c r="DP347" s="20">
        <v>0</v>
      </c>
      <c r="DQ347" s="20">
        <v>0</v>
      </c>
      <c r="DR347" s="20">
        <v>0</v>
      </c>
      <c r="DS347" s="20">
        <f>INDEX(Input!$1:$1048576,DS$93,$C347*2+6)</f>
        <v>0.6</v>
      </c>
      <c r="DT347" s="20">
        <f>INDEX(Input!$1:$1048576,DT$93,$C347*2+6)</f>
        <v>0.55000000000000004</v>
      </c>
      <c r="DU347" s="20">
        <f>INDEX(Input!$1:$1048576,DU$93,$C347*2+6)</f>
        <v>0.52</v>
      </c>
      <c r="DV347" s="20">
        <f>INDEX(Input!$1:$1048576,DV$93,$C347*2+6)</f>
        <v>0.5</v>
      </c>
      <c r="DW347" s="20">
        <f>INDEX(Input!$1:$1048576,DW$93,$C347*2+6)</f>
        <v>0.45</v>
      </c>
      <c r="DX347" s="20"/>
      <c r="DY347" s="7">
        <v>0.10850265777566077</v>
      </c>
      <c r="DZ347" s="7">
        <v>0</v>
      </c>
      <c r="EA347" s="7">
        <v>0.72763834441914022</v>
      </c>
      <c r="EB347" s="7">
        <v>0</v>
      </c>
      <c r="EC347" s="7">
        <v>0</v>
      </c>
      <c r="ED347" s="7">
        <v>0</v>
      </c>
      <c r="EE347" s="7">
        <v>0</v>
      </c>
      <c r="EF347" s="7">
        <v>0</v>
      </c>
      <c r="EG347" s="7">
        <v>0</v>
      </c>
      <c r="EH347" s="7">
        <v>1.2002159788693054E-2</v>
      </c>
      <c r="EI347" s="7">
        <v>3.3613055761060169E-2</v>
      </c>
      <c r="EJ347" s="7">
        <v>0.27088792931170064</v>
      </c>
      <c r="EK347" s="7">
        <v>0.54225270491981015</v>
      </c>
      <c r="EL347" s="7">
        <v>0.14124415021873599</v>
      </c>
      <c r="EM347" s="7">
        <v>4.5538801990692955E-2</v>
      </c>
      <c r="EN347" s="7">
        <v>6.120970896256564E-2</v>
      </c>
      <c r="EO347" s="7">
        <v>0.76997777607743556</v>
      </c>
      <c r="EP347" s="7">
        <v>6.9523450361637887E-2</v>
      </c>
      <c r="EQ347" s="7">
        <v>6.5253006712279932E-2</v>
      </c>
      <c r="ER347" s="7">
        <v>3.4036057886081147E-2</v>
      </c>
      <c r="ES347" s="7">
        <v>0.11832019581450597</v>
      </c>
      <c r="ET347" s="7">
        <v>0.163858997805199</v>
      </c>
      <c r="EU347" s="6">
        <v>1861</v>
      </c>
      <c r="EV347" s="6">
        <v>0</v>
      </c>
      <c r="EW347" s="6">
        <v>1861</v>
      </c>
      <c r="EX347" s="6">
        <v>0</v>
      </c>
      <c r="EY347" s="6">
        <v>2335.8716551512343</v>
      </c>
      <c r="EZ347" s="6">
        <v>1929</v>
      </c>
      <c r="FA347" s="6">
        <v>0</v>
      </c>
      <c r="FB347" s="6">
        <v>0</v>
      </c>
      <c r="FC347" s="6">
        <v>0</v>
      </c>
      <c r="FD347" s="6">
        <v>0</v>
      </c>
      <c r="FE347" s="6">
        <v>0</v>
      </c>
      <c r="FF347" s="6">
        <v>0</v>
      </c>
      <c r="FG347" s="6">
        <v>0</v>
      </c>
      <c r="FH347" s="6">
        <v>1172.0137864547239</v>
      </c>
      <c r="FI347" s="6">
        <v>1553.9796069512402</v>
      </c>
      <c r="FJ347" s="6">
        <v>2101.2110117447405</v>
      </c>
      <c r="FK347" s="6">
        <v>1772.7139978623227</v>
      </c>
      <c r="FL347" s="6">
        <v>907.07682140966369</v>
      </c>
      <c r="FM347" s="6">
        <v>1724.8716551512343</v>
      </c>
      <c r="FN347" s="6">
        <v>0</v>
      </c>
      <c r="FO347" s="6">
        <v>0</v>
      </c>
      <c r="FP347" s="6">
        <v>0</v>
      </c>
      <c r="FQ347" s="6">
        <v>0</v>
      </c>
      <c r="FR347" s="6">
        <v>0</v>
      </c>
      <c r="FS347" s="6">
        <v>0</v>
      </c>
      <c r="FT347" s="7">
        <v>0.83614100219480103</v>
      </c>
      <c r="FU347" s="7">
        <v>4.5538801990692955E-2</v>
      </c>
      <c r="FV347" s="7">
        <v>0.11832019581450597</v>
      </c>
      <c r="FW347" s="6">
        <v>1860.9999999999998</v>
      </c>
      <c r="FX347" s="6">
        <v>2335.8716551512343</v>
      </c>
      <c r="FY347" s="6">
        <v>1929</v>
      </c>
      <c r="FZ347" s="6">
        <v>1858.9243755539039</v>
      </c>
      <c r="GA347" s="6">
        <v>1890.6708595903108</v>
      </c>
      <c r="GB347" s="6">
        <v>18094.329140409689</v>
      </c>
      <c r="GC347" s="7">
        <v>2.9156573141622111E-2</v>
      </c>
      <c r="GD347" s="7">
        <v>2.9967654212993966E-2</v>
      </c>
      <c r="GE347" s="7"/>
      <c r="GF347" s="7"/>
      <c r="GG347" s="7">
        <v>2.7818120717828996E-2</v>
      </c>
      <c r="GH347" s="42">
        <v>17.512022493837581</v>
      </c>
      <c r="GI347" s="6">
        <v>3031.886844610463</v>
      </c>
      <c r="GJ347" s="14">
        <v>0.50394797582841722</v>
      </c>
      <c r="GK347" s="14">
        <v>0.50887573065309732</v>
      </c>
      <c r="GL347" s="14">
        <v>0.49605202417158273</v>
      </c>
      <c r="GM347" s="14">
        <v>0.4911242693469024</v>
      </c>
      <c r="GO347" s="5">
        <v>343.14810671672558</v>
      </c>
      <c r="GP347" s="5">
        <v>307.64377699166363</v>
      </c>
      <c r="GQ347" s="5">
        <v>535.04305713031317</v>
      </c>
      <c r="GR347" s="5">
        <v>410.15490233172511</v>
      </c>
      <c r="GS347" s="5">
        <v>339.42744393800166</v>
      </c>
      <c r="GT347" s="5">
        <v>293.4407446948278</v>
      </c>
      <c r="GU347" s="5">
        <v>258.04012322764959</v>
      </c>
      <c r="GV347" s="39" t="s">
        <v>392</v>
      </c>
      <c r="GW347" s="5">
        <v>482.65277777777777</v>
      </c>
      <c r="GX347" s="5">
        <v>361.98958333333331</v>
      </c>
      <c r="GY347" s="5">
        <v>289.59166666666664</v>
      </c>
      <c r="GZ347" s="5">
        <v>255.53408606924114</v>
      </c>
      <c r="HA347" s="5">
        <v>236.70336205047303</v>
      </c>
      <c r="HB347" s="39">
        <v>268.40435333710377</v>
      </c>
      <c r="HC347" s="5">
        <v>202.890625</v>
      </c>
      <c r="HD347" s="5">
        <v>182.20330774853798</v>
      </c>
      <c r="HE347" s="5">
        <v>187.48257844129552</v>
      </c>
      <c r="HF347" s="5">
        <v>176.30063048245611</v>
      </c>
      <c r="HG347" s="5">
        <v>173.65888157894736</v>
      </c>
      <c r="HH347" s="39">
        <v>183.16061950769424</v>
      </c>
      <c r="HI347" s="16"/>
      <c r="HJ347" s="19" t="str">
        <f t="shared" si="984"/>
        <v>On</v>
      </c>
      <c r="HK347" s="1" t="str">
        <f t="shared" si="984"/>
        <v>On</v>
      </c>
      <c r="HL347" s="16"/>
      <c r="HM347" s="639">
        <f t="shared" si="878"/>
        <v>2.2758057894877178E-2</v>
      </c>
      <c r="HN347" s="639">
        <f t="shared" si="879"/>
        <v>1.416759231746561E-3</v>
      </c>
      <c r="HO347" s="639">
        <f t="shared" si="880"/>
        <v>4.5732401537654987E-3</v>
      </c>
      <c r="HP347" s="644">
        <f>(FT347*$GD347-HM347)/$JF347*INDEX(Input!$1:$1048576,$JG$93,$C347*2+6)</f>
        <v>128.75978646987272</v>
      </c>
      <c r="HQ347" s="644">
        <f>(FU347*$GD347-HN347)/$JF347*INDEX(Input!$1:$1048576,$JG$93,$C347*2+6)</f>
        <v>-2.9160140266625048</v>
      </c>
      <c r="HR347" s="644">
        <f>(FV347*$GD347-HO347)/$JF347*INDEX(Input!$1:$1048576,$JG$93,$C347*2+6)</f>
        <v>-57.541728853187607</v>
      </c>
      <c r="HS347" s="644">
        <f t="shared" si="985"/>
        <v>-41.624041808925</v>
      </c>
      <c r="HT347" s="644">
        <f t="shared" si="882"/>
        <v>16.83215761461696</v>
      </c>
      <c r="HU347" s="644">
        <f t="shared" si="883"/>
        <v>3.6110156193879637</v>
      </c>
      <c r="HV347" s="648">
        <f t="shared" si="884"/>
        <v>0</v>
      </c>
      <c r="HW347" s="648">
        <f t="shared" si="885"/>
        <v>0</v>
      </c>
      <c r="HX347" s="648">
        <f t="shared" si="886"/>
        <v>0</v>
      </c>
      <c r="HY347" s="644">
        <f>INDEX(Input!$1:$1048576,HY$93,$C347*2+6)*INDEX(Input!$1:$1048576,$JG$93,$C347*2+6)</f>
        <v>509.00000000000006</v>
      </c>
      <c r="HZ347" s="644">
        <f>INDEX(Input!$1:$1048576,HZ$93,$C347*2+6)*INDEX(Input!$1:$1048576,$JG$93,$C347*2+6)</f>
        <v>844</v>
      </c>
      <c r="IA347" s="644">
        <f>INDEX(Input!$1:$1048576,IA$93,$C347*2+6)*INDEX(Input!$1:$1048576,$JG$93,$C347*2+6)</f>
        <v>257</v>
      </c>
      <c r="IB347" s="644">
        <f t="shared" si="910"/>
        <v>596.13574466094792</v>
      </c>
      <c r="IC347" s="644">
        <f t="shared" si="911"/>
        <v>857.91614358795437</v>
      </c>
      <c r="ID347" s="644">
        <f>IF(AND(INDEX(Input!$1:$1048576,IA$93,$C347*2+7)="TOS",Y347&lt;=INDEX(Y:Y,MATCH(C347*1000+2,A:A))),0,1)*MAX(IA347+HR347+HU347+HX347,0%)</f>
        <v>203.06928676620035</v>
      </c>
      <c r="IE347" s="128">
        <f t="shared" si="990"/>
        <v>0.35974179417236335</v>
      </c>
      <c r="IF347" s="128">
        <f t="shared" si="977"/>
        <v>0.51771479148477817</v>
      </c>
      <c r="IG347" s="128">
        <f t="shared" si="888"/>
        <v>0.12254341434285855</v>
      </c>
      <c r="IH347" s="21"/>
      <c r="II347" s="19">
        <f t="shared" si="889"/>
        <v>1410.4999999999998</v>
      </c>
      <c r="IJ347" s="19">
        <f t="shared" si="890"/>
        <v>2134.9731585778086</v>
      </c>
      <c r="IK347" s="19">
        <f t="shared" si="891"/>
        <v>2103.5</v>
      </c>
      <c r="IL347" s="19">
        <f t="shared" si="913"/>
        <v>450.5</v>
      </c>
      <c r="IM347" s="19">
        <f t="shared" si="892"/>
        <v>200.89849657342575</v>
      </c>
      <c r="IN347" s="19">
        <f t="shared" si="893"/>
        <v>-174.5</v>
      </c>
      <c r="IO347" s="39">
        <f t="shared" si="894"/>
        <v>0</v>
      </c>
      <c r="IP347" s="39">
        <f t="shared" si="895"/>
        <v>0</v>
      </c>
      <c r="IQ347" s="39">
        <f t="shared" si="896"/>
        <v>0</v>
      </c>
      <c r="IR347" s="39">
        <v>0</v>
      </c>
      <c r="IS347" s="39">
        <v>0</v>
      </c>
      <c r="IT347" s="39">
        <v>0</v>
      </c>
      <c r="IU347" s="39">
        <v>0</v>
      </c>
      <c r="IV347" s="39">
        <v>0</v>
      </c>
      <c r="IW347" s="39">
        <v>0</v>
      </c>
      <c r="IX347" s="39">
        <f>INDEX(Input!$1:$1048576,IX$93,$C347*2+6)+INDEX(Input!$1:$1048576,IX$94,$C347*2+6)</f>
        <v>1611</v>
      </c>
      <c r="IY347" s="39">
        <f>INDEX(Input!$1:$1048576,IY$93,$C347*2+6)+INDEX(Input!$1:$1048576,IY$94,$C347*2+6)</f>
        <v>2471.0624533823611</v>
      </c>
      <c r="IZ347" s="39">
        <f>INDEX(Input!$1:$1048576,IZ$93,$C347*2+6)+INDEX(Input!$1:$1048576,IZ$94,$C347*2+6)</f>
        <v>3994.7164157747857</v>
      </c>
      <c r="JA347" s="19">
        <f t="shared" si="914"/>
        <v>2061.5</v>
      </c>
      <c r="JB347" s="19">
        <f t="shared" si="915"/>
        <v>2671.9609499557869</v>
      </c>
      <c r="JC347" s="19">
        <f t="shared" si="916"/>
        <v>3820.2164157747857</v>
      </c>
      <c r="JD347" s="19">
        <f t="shared" si="917"/>
        <v>2593.0637778658365</v>
      </c>
      <c r="JE347" s="21"/>
      <c r="JF347" s="1">
        <f t="shared" si="897"/>
        <v>2.8748057280389237E-2</v>
      </c>
      <c r="JG347" s="15">
        <f>INDEX(Input!$1:$1048576,JG$93,$C347*2+6)/(1+VLOOKUP(C347*1000+INDEX(Input!$1:$1048576,JG$93+1,$C347*2+6),$A:$KK,$JK$92,FALSE))</f>
        <v>1610</v>
      </c>
      <c r="JH347" s="1">
        <f t="shared" si="918"/>
        <v>4.2423629559020251E-2</v>
      </c>
      <c r="JI347" s="1">
        <f t="shared" si="919"/>
        <v>-1.3155818990633587E-2</v>
      </c>
      <c r="JJ347" s="1">
        <f t="shared" si="978"/>
        <v>0</v>
      </c>
      <c r="JK347" s="1">
        <f t="shared" si="979"/>
        <v>2.9267810568386662E-2</v>
      </c>
      <c r="JL347" s="15">
        <f t="shared" si="922"/>
        <v>47.12117501510253</v>
      </c>
      <c r="JM347" s="15">
        <f t="shared" si="948"/>
        <v>1657.1211750151026</v>
      </c>
      <c r="JN347" s="21"/>
      <c r="JO347" s="19">
        <f>INDEX(Input!$1:$1048576,JO$93,$C347*2+6)</f>
        <v>5995.5</v>
      </c>
      <c r="JP347" s="19">
        <f>INDEX(Input!$1:$1048576,JP$93,$C347*2+6)</f>
        <v>2442.3713226762939</v>
      </c>
      <c r="JQ347" s="39">
        <f t="shared" si="934"/>
        <v>3402.4362221341635</v>
      </c>
      <c r="JR347" s="39">
        <f t="shared" si="951"/>
        <v>150.69245518954267</v>
      </c>
      <c r="JS347" s="39">
        <f t="shared" si="936"/>
        <v>4.2970208944661357</v>
      </c>
      <c r="JT347" s="39">
        <f t="shared" si="924"/>
        <v>0.36480306495730253</v>
      </c>
      <c r="JU347" s="385">
        <f>(JQ347*JM347-INDEX(Input!$1:$1048576,Input!A$18,$C347*2+6)*JL347*INDEX(Input!$1:$1048576,Input!A$19,$C347*2+6))/1000000</f>
        <v>5.6382491103369121</v>
      </c>
      <c r="JV347" s="39">
        <f t="shared" si="958"/>
        <v>-8.2288060154255049E-2</v>
      </c>
      <c r="JW347" s="1">
        <f t="shared" si="949"/>
        <v>-1.4384673624485823E-2</v>
      </c>
      <c r="JX347" s="19">
        <f t="shared" si="940"/>
        <v>7741.8074748853705</v>
      </c>
      <c r="JZ347" s="341"/>
      <c r="KA347" s="342"/>
      <c r="KB347" s="469">
        <f t="shared" si="937"/>
        <v>2.5190675447988795</v>
      </c>
      <c r="KI347" s="473">
        <f t="shared" si="987"/>
        <v>87.135744660947864</v>
      </c>
      <c r="KJ347" s="473">
        <f t="shared" si="988"/>
        <v>13.91614358795448</v>
      </c>
      <c r="KK347" s="473">
        <f t="shared" si="926"/>
        <v>-53.930713233799651</v>
      </c>
      <c r="KN347" s="544">
        <f t="shared" si="941"/>
        <v>3002</v>
      </c>
      <c r="KO347" s="541">
        <f t="shared" si="901"/>
        <v>-1.2116081857009853E-3</v>
      </c>
      <c r="KP347" s="546">
        <f t="shared" si="902"/>
        <v>46.000964582778323</v>
      </c>
      <c r="KQ347" s="546">
        <f t="shared" si="903"/>
        <v>-42.849647522861687</v>
      </c>
      <c r="KR347" s="548">
        <f t="shared" si="904"/>
        <v>-0.45695335954115235</v>
      </c>
      <c r="KS347" s="548">
        <f t="shared" si="905"/>
        <v>0.49055935167305881</v>
      </c>
      <c r="KT347" s="473">
        <f t="shared" si="939"/>
        <v>1026.1618045255443</v>
      </c>
      <c r="KU347" s="663">
        <f t="shared" si="927"/>
        <v>4.738935637788912</v>
      </c>
      <c r="KV347" s="117"/>
    </row>
    <row r="348" spans="1:308" s="26" customFormat="1" ht="15">
      <c r="A348" s="561">
        <f t="shared" si="906"/>
        <v>3048</v>
      </c>
      <c r="B348" s="561">
        <f t="shared" si="928"/>
        <v>48</v>
      </c>
      <c r="C348" s="561">
        <f t="shared" si="929"/>
        <v>3</v>
      </c>
      <c r="D348" s="561" t="str">
        <f t="shared" si="974"/>
        <v xml:space="preserve">500 CC, -360 Lease, </v>
      </c>
      <c r="E348" s="475">
        <f>INDEX(Input!$1:$1048576,E$93,$C348*2+MIN($B348,2)+5)
+INDEX(Scenarios!E$121:E$200,MATCH($B348,Scenarios!$B$121:$B$200,0))</f>
        <v>1787.0236024844721</v>
      </c>
      <c r="F348" s="475">
        <f>INDEX(Input!$1:$1048576,F$93,$C348*2+MIN($B348,2)+5)
+INDEX(Scenarios!F$121:F$200,MATCH($B348,Scenarios!$B$121:$B$200,0))</f>
        <v>0</v>
      </c>
      <c r="G348" s="475">
        <f>INDEX(Input!$1:$1048576,G$93,$C348*2+MIN($B348,2)+5)
+INDEX(Scenarios!G$121:G$200,MATCH($B348,Scenarios!$B$121:$B$200,0))</f>
        <v>0</v>
      </c>
      <c r="H348" s="475">
        <f>INDEX(Input!$1:$1048576,H$93,$C348*2+MIN($B348,2)+5)
+INDEX(Scenarios!H$121:H$200,MATCH($B348,Scenarios!$B$121:$B$200,0))</f>
        <v>0</v>
      </c>
      <c r="I348" s="476">
        <f>INDEX(Input!$1:$1048576,I$93,$C348*2+MIN($B348,2)+5)</f>
        <v>0.7</v>
      </c>
      <c r="J348" s="476" t="str">
        <f>INDEX(Input!$1:$1048576,J$93,$C348*2+MIN($B348,2)+5)</f>
        <v>Market</v>
      </c>
      <c r="K348" s="476" t="str">
        <f>INDEX(Input!$1:$1048576,K$93,$C348*2+MIN($B348,2)+5)</f>
        <v>Market</v>
      </c>
      <c r="L348" s="476" t="str">
        <f>INDEX(Input!$1:$1048576,L$93,$C348*2+MIN($B348,2)+5)</f>
        <v>Market</v>
      </c>
      <c r="M348" s="476" t="str">
        <f>INDEX(Input!$1:$1048576,M$93,$C348*2+MIN($B348,2)+5)</f>
        <v>Market</v>
      </c>
      <c r="N348" s="476" t="str">
        <f>INDEX(Input!$1:$1048576,N$93,$C348*2+MIN($B348,2)+5)</f>
        <v>Market</v>
      </c>
      <c r="O348" s="476" t="str">
        <f>INDEX(Input!$1:$1048576,O$93,$C348*2+MIN($B348,2)+5)</f>
        <v>Market</v>
      </c>
      <c r="P348" s="476" t="str">
        <f>INDEX(Input!$1:$1048576,P$93,$C348*2+MIN($B348,2)+5)</f>
        <v>N</v>
      </c>
      <c r="Q348" s="477">
        <f>INDEX(Input!$1:$1048576,Q$93,$C348*2+MIN($B348,2)+5)
+INDEX(Scenarios!Q$121:Q$200,MATCH($B348,Scenarios!$B$121:$B$200,0))</f>
        <v>0</v>
      </c>
      <c r="R348" s="478">
        <f>IFERROR(MAX(0,INDEX(Input!$1:$1048576,R$93,$C348*2+MIN($B348,2)+5)
+INDEX(Scenarios!R$121:R$200,MATCH($B348,Scenarios!$B$121:$B$200,0)),),"Market")</f>
        <v>0</v>
      </c>
      <c r="S348" s="478">
        <f>IFERROR(MAX(0,INDEX(Input!$1:$1048576,S$93,$C348*2+MIN($B348,2)+5)
+INDEX(Scenarios!S$121:S$200,MATCH($B348,Scenarios!$B$121:$B$200,0)),),"Market")</f>
        <v>0</v>
      </c>
      <c r="T348" s="478">
        <f>IFERROR(MAX(0,INDEX(Input!$1:$1048576,T$93,$C348*2+MIN($B348,2)+5)
+INDEX(Scenarios!T$121:T$200,MATCH($B348,Scenarios!$B$121:$B$200,0)),),"Market")</f>
        <v>0</v>
      </c>
      <c r="U348" s="478">
        <f>IFERROR(MAX(0,INDEX(Input!$1:$1048576,U$93,$C348*2+MIN($B348,2)+5)
+INDEX(Scenarios!U$121:U$200,MATCH($B348,Scenarios!$B$121:$B$200,0)),),"Market")</f>
        <v>0</v>
      </c>
      <c r="V348" s="478">
        <f>IFERROR(MAX(0,INDEX(Input!$1:$1048576,V$93,$C348*2+MIN($B348,2)+5)
+INDEX(Scenarios!V$121:V$200,MATCH($B348,Scenarios!$B$121:$B$200,0)),),"Market")</f>
        <v>1.9E-2</v>
      </c>
      <c r="W348" s="885">
        <f>IFERROR(MAX(0,INDEX(Input!$1:$1048576,W$93,$C348*2+MIN($B348,2)+5)-0%,),"Market")</f>
        <v>3.9E-2</v>
      </c>
      <c r="X348" s="476" t="str">
        <f>INDEX(Input!$1:$1048576,X$93,$C348*2+MIN($B348,2)+5)</f>
        <v>Y</v>
      </c>
      <c r="Y348" s="475">
        <f>INDEX(Input!$1:$1048576,Y$93,$C348*2+MIN($B348,2)+5)
++INDEX(Scenarios!Y$121:Y$200,MATCH($B348,Scenarios!$B$121:$B$200,0))</f>
        <v>1194.9999999999991</v>
      </c>
      <c r="Z348" s="477">
        <f>INDEX(Input!$1:$1048576,Z$93,$C348*2+MIN($B348,2)+5)
+INDEX(Scenarios!Z$121:Z$200,MATCH($B348,Scenarios!$B$121:$B$200,0))</f>
        <v>0</v>
      </c>
      <c r="AA348" s="475">
        <f>INDEX(Input!$1:$1048576,AA$93,$C348*2+MIN($B348,2)+5)
+INDEX(Scenarios!AA$121:AA$200,MATCH($B348,Scenarios!$B$121:$B$200,0))</f>
        <v>0</v>
      </c>
      <c r="AB348" s="476">
        <f>INDEX(Input!$1:$1048576,AB$93,$C348*2+MIN($B348,2)+5)</f>
        <v>0.27</v>
      </c>
      <c r="AC348" s="475">
        <f>INDEX(Input!$1:$1048576,AC$93,$C348*2+MIN($B348,2)+5)
+INDEX(Scenarios!AC$121:AC$200,MATCH($B348,Scenarios!$B$121:$B$200,0))</f>
        <v>0</v>
      </c>
      <c r="AD348" s="476">
        <f>INDEX(Input!$1:$1048576,AD$93,$C348*2+MIN($B348,2)+5)</f>
        <v>0.27</v>
      </c>
      <c r="AE348" s="475">
        <f>INDEX(Input!$1:$1048576,AE$93,$C348*2+MIN($B348,2)+5)
+INDEX(Scenarios!AE$121:AE$200,MATCH($B348,Scenarios!$B$121:$B$200,0))</f>
        <v>0</v>
      </c>
      <c r="AF348" s="476">
        <f>INDEX(Input!$1:$1048576,AF$93,$C348*2+MIN($B348,2)+5)</f>
        <v>0.68200000000000005</v>
      </c>
      <c r="AG348" s="475">
        <f>INDEX(Input!$1:$1048576,AG$93,$C348*2+MIN($B348,2)+5)
+INDEX(Scenarios!AG$121:AG$200,MATCH($B348,Scenarios!$B$121:$B$200,0))</f>
        <v>500</v>
      </c>
      <c r="AH348" s="476">
        <f>INDEX(Input!$1:$1048576,AH$93,$C348*2+MIN($B348,2)+5)</f>
        <v>1</v>
      </c>
      <c r="AI348" s="475">
        <f>INDEX(Input!$1:$1048576,AI$93,$C348*2+MIN($B348,2)+5)
+INDEX(Scenarios!AI$121:AI$200,MATCH($B348,Scenarios!$B$121:$B$200,0))</f>
        <v>0</v>
      </c>
      <c r="AJ348" s="476">
        <f>INDEX(Input!$1:$1048576,AJ$93,$C348*2+MIN($B348,2)+5)</f>
        <v>0.27</v>
      </c>
      <c r="AK348" s="150">
        <f>ROUND(INDEX(Input!$1:$1048576,AK$93,$C347*2+MIN($B348,1)+5)+(Y348-VLOOKUP($C348*1000+1,$A:$HH,Y$92,FALSE)),0)</f>
        <v>2617</v>
      </c>
      <c r="AL348" s="150">
        <f>ROUND(INDEX(Input!$1:$1048576,AL$93,$C347*2+MIN($B348,1)+5)-(Y348-VLOOKUP($C348*1000+1,$A:$HH,Y$92,FALSE))/36,0)</f>
        <v>3405</v>
      </c>
      <c r="AM348" s="32" t="str">
        <f t="shared" si="907"/>
        <v>std/std/std/std</v>
      </c>
      <c r="AN348" s="32" t="str">
        <f t="shared" si="908"/>
        <v>$0 + 0/0/0/1.9/3.9</v>
      </c>
      <c r="AO348" s="32" t="str">
        <f t="shared" si="909"/>
        <v>0/0/0/1.9/3.9</v>
      </c>
      <c r="AP348" s="32" t="str">
        <f t="shared" si="863"/>
        <v>0/0.9/1.9/3.9</v>
      </c>
      <c r="AQ348" s="536">
        <f t="shared" si="862"/>
        <v>0.38144252605041445</v>
      </c>
      <c r="AR348" s="32"/>
      <c r="AS348" s="302"/>
      <c r="AT348" s="3">
        <f t="shared" si="930"/>
        <v>48</v>
      </c>
      <c r="AU348" s="41" t="s">
        <v>121</v>
      </c>
      <c r="AV348" s="41" t="s">
        <v>116</v>
      </c>
      <c r="AW348" s="41" t="str">
        <f>INDEX(Input!$1:$1048576,AW$93,$C348*2+6)</f>
        <v>Kia</v>
      </c>
      <c r="AX348" s="41" t="str">
        <f>INDEX(Input!$1:$1048576,AX$93,$C348*2+6)</f>
        <v>Kia-LR - L3</v>
      </c>
      <c r="AY348" s="41" t="str">
        <f>IF(LEN(D348)=0,"",INDEX(Input!$1:$1048576,AY$93,$C348*2+6))</f>
        <v>Compact SUV (52)</v>
      </c>
      <c r="AZ348" s="41" t="str">
        <f>INDEX(Input!$1:$1048576,AZ$93,$C348*2+6)</f>
        <v>Kia Soul</v>
      </c>
      <c r="BA348" s="3">
        <f>INDEX(Input!$1:$1048576,BA$93,$C348*2+6)</f>
        <v>2020</v>
      </c>
      <c r="BB348" s="128">
        <f>INDEX(Input!$1:$1048576,BB$93,$C348*2+6)</f>
        <v>1</v>
      </c>
      <c r="BC348" s="128">
        <f>INDEX(Input!$1:$1048576,BC$93,$C348*2+6)</f>
        <v>0.7</v>
      </c>
      <c r="BD348" s="1">
        <f>INDEX(Input!$1:$1048576,BD$93,$C348*2+6)</f>
        <v>4.4999999999999998E-2</v>
      </c>
      <c r="BE348" s="1">
        <f>INDEX(Input!$1:$1048576,BE$93,$C348*2+6)</f>
        <v>4.4999999999999998E-2</v>
      </c>
      <c r="BF348" s="1">
        <f>INDEX(Input!$1:$1048576,BF$93,$C348*2+6)</f>
        <v>0.05</v>
      </c>
      <c r="BG348" s="1">
        <f>INDEX(Input!$1:$1048576,BG$93,$C348*2+6)</f>
        <v>5.45E-2</v>
      </c>
      <c r="BH348" s="1">
        <f>INDEX(Input!$1:$1048576,BH$93,$C348*2+6)</f>
        <v>5.45E-2</v>
      </c>
      <c r="BI348" s="1">
        <f>INDEX(Input!$1:$1048576,BI$93,$C348*2+6)</f>
        <v>0.05</v>
      </c>
      <c r="BJ348" s="1">
        <f>INDEX(Input!$1:$1048576,BJ$93,$C348*2+6)</f>
        <v>0.05</v>
      </c>
      <c r="BK348" s="1">
        <f>INDEX(Input!$1:$1048576,BK$93,$C348*2+6)</f>
        <v>0.05</v>
      </c>
      <c r="BL348" s="1">
        <f>INDEX(Input!$1:$1048576,BL$93,$C348*2+6)</f>
        <v>5.5E-2</v>
      </c>
      <c r="BM348" s="1">
        <f>INDEX(Input!$1:$1048576,BM$93,$C348*2+6)</f>
        <v>0.06</v>
      </c>
      <c r="BN348" s="1">
        <f>INDEX(Input!$1:$1048576,BN$93,$C348*2+6)</f>
        <v>4.4999999999999998E-2</v>
      </c>
      <c r="BO348" s="1">
        <f>INDEX(Input!$1:$1048576,BO$93,$C348*2+6)</f>
        <v>4.4999999999999998E-2</v>
      </c>
      <c r="BP348" s="1">
        <f>INDEX(Input!$1:$1048576,BP$93,$C348*2+6)</f>
        <v>0.05</v>
      </c>
      <c r="BQ348" s="1">
        <f>INDEX(Input!$1:$1048576,BQ$93,$C348*2+6)</f>
        <v>5.45E-2</v>
      </c>
      <c r="BR348" s="1">
        <f>INDEX(Input!$1:$1048576,BR$93,$C348*2+6)</f>
        <v>5.45E-2</v>
      </c>
      <c r="BS348" s="1">
        <f>INDEX(Input!$1:$1048576,BS$93,$C348*2+6)</f>
        <v>0.05</v>
      </c>
      <c r="BT348" s="1">
        <f>INDEX(Input!$1:$1048576,BT$93,$C348*2+6)</f>
        <v>0.05</v>
      </c>
      <c r="BU348" s="1">
        <f>INDEX(Input!$1:$1048576,BU$93,$C348*2+6)</f>
        <v>0.05</v>
      </c>
      <c r="BV348" s="1">
        <f>INDEX(Input!$1:$1048576,BV$93,$C348*2+6)</f>
        <v>5.5E-2</v>
      </c>
      <c r="BW348" s="1">
        <f>INDEX(Input!$1:$1048576,BW$93,$C348*2+6)</f>
        <v>0.06</v>
      </c>
      <c r="BX348" s="127">
        <f>INDEX(Input!$1:$1048576,BX$93,$C348*2+6)</f>
        <v>19985</v>
      </c>
      <c r="BY348" s="20">
        <f>INDEX(Input!$1:$1048576,BY$93,$C348*2+6)</f>
        <v>0.1</v>
      </c>
      <c r="BZ348" s="20">
        <f>INDEX(Input!$1:$1048576,BZ$93,$C348*2+6)</f>
        <v>0.1</v>
      </c>
      <c r="CA348" s="20">
        <f>INDEX(Input!$1:$1048576,CA$93,$C348*2+6)</f>
        <v>0.1</v>
      </c>
      <c r="CB348" s="20">
        <f>INDEX(Input!$1:$1048576,CB$93,$C348*2+6)</f>
        <v>0.1</v>
      </c>
      <c r="CC348" s="20">
        <f>INDEX(Input!$1:$1048576,CC$93,$C348*2+6)</f>
        <v>0.1</v>
      </c>
      <c r="CD348" s="384">
        <f>INDEX(Input!$1:$1048576,CD$93,$C348*2+6)</f>
        <v>0.1</v>
      </c>
      <c r="CE348" s="384">
        <f>INDEX(Input!$1:$1048576,CE$93,$C348*2+6)</f>
        <v>0.1</v>
      </c>
      <c r="CF348" s="384">
        <f>INDEX(Input!$1:$1048576,CF$93,$C348*2+6)</f>
        <v>0.1</v>
      </c>
      <c r="CG348" s="384">
        <f>INDEX(Input!$1:$1048576,CG$93,$C348*2+6)</f>
        <v>0.1</v>
      </c>
      <c r="CH348" s="384">
        <f>INDEX(Input!$1:$1048576,CH$93,$C348*2+6)</f>
        <v>0.1</v>
      </c>
      <c r="CI348" s="304">
        <f t="shared" si="864"/>
        <v>1787.0236024844721</v>
      </c>
      <c r="CJ348" s="16" t="str">
        <f>INDEX(Input!$1:$1048576,CJ$93,$C348*2+6)</f>
        <v>N</v>
      </c>
      <c r="CK348" s="1" t="str">
        <f t="shared" si="865"/>
        <v>Market</v>
      </c>
      <c r="CL348" s="1" t="str">
        <f t="shared" si="866"/>
        <v>Market</v>
      </c>
      <c r="CM348" s="1" t="str">
        <f t="shared" si="867"/>
        <v>Market</v>
      </c>
      <c r="CN348" s="1" t="str">
        <f t="shared" si="868"/>
        <v>Market</v>
      </c>
      <c r="CO348" s="1" t="str">
        <f t="shared" si="869"/>
        <v>Market</v>
      </c>
      <c r="CP348" s="304">
        <f t="shared" si="870"/>
        <v>500</v>
      </c>
      <c r="CQ348" s="1">
        <f t="shared" si="871"/>
        <v>0</v>
      </c>
      <c r="CR348" s="1">
        <f t="shared" si="872"/>
        <v>0</v>
      </c>
      <c r="CS348" s="1">
        <f t="shared" si="873"/>
        <v>0</v>
      </c>
      <c r="CT348" s="1">
        <f t="shared" si="874"/>
        <v>1.9E-2</v>
      </c>
      <c r="CU348" s="1">
        <f t="shared" si="875"/>
        <v>3.9E-2</v>
      </c>
      <c r="CV348" s="304">
        <f t="shared" si="876"/>
        <v>1194.9999999999991</v>
      </c>
      <c r="CW348" s="20" t="s">
        <v>122</v>
      </c>
      <c r="CX348" s="20" t="s">
        <v>122</v>
      </c>
      <c r="CY348" s="20" t="s">
        <v>122</v>
      </c>
      <c r="CZ348" s="20" t="s">
        <v>122</v>
      </c>
      <c r="DA348" s="20" t="s">
        <v>122</v>
      </c>
      <c r="DB348" s="503">
        <f t="shared" si="877"/>
        <v>0</v>
      </c>
      <c r="DC348" s="127">
        <v>0</v>
      </c>
      <c r="DD348" s="127">
        <v>0</v>
      </c>
      <c r="DE348" s="127">
        <v>0</v>
      </c>
      <c r="DF348" s="127">
        <v>0</v>
      </c>
      <c r="DG348" s="127">
        <v>0</v>
      </c>
      <c r="DH348" s="127">
        <v>0</v>
      </c>
      <c r="DI348" s="127">
        <v>0</v>
      </c>
      <c r="DJ348" s="127">
        <v>0</v>
      </c>
      <c r="DK348" s="127">
        <v>0</v>
      </c>
      <c r="DL348" s="127">
        <v>0</v>
      </c>
      <c r="DM348" s="304">
        <f>INDEX(Input!$1:$1048576,DM$93,$C348*2+6)</f>
        <v>21036.84210526316</v>
      </c>
      <c r="DN348" s="20">
        <v>0</v>
      </c>
      <c r="DO348" s="20">
        <v>0</v>
      </c>
      <c r="DP348" s="20">
        <v>0</v>
      </c>
      <c r="DQ348" s="20">
        <v>0</v>
      </c>
      <c r="DR348" s="20">
        <v>0</v>
      </c>
      <c r="DS348" s="20">
        <f>INDEX(Input!$1:$1048576,DS$93,$C348*2+6)</f>
        <v>0.6</v>
      </c>
      <c r="DT348" s="20">
        <f>INDEX(Input!$1:$1048576,DT$93,$C348*2+6)</f>
        <v>0.55000000000000004</v>
      </c>
      <c r="DU348" s="20">
        <f>INDEX(Input!$1:$1048576,DU$93,$C348*2+6)</f>
        <v>0.52</v>
      </c>
      <c r="DV348" s="20">
        <f>INDEX(Input!$1:$1048576,DV$93,$C348*2+6)</f>
        <v>0.5</v>
      </c>
      <c r="DW348" s="20">
        <f>INDEX(Input!$1:$1048576,DW$93,$C348*2+6)</f>
        <v>0.45</v>
      </c>
      <c r="DX348" s="20"/>
      <c r="DY348" s="7">
        <v>0.11332818054748285</v>
      </c>
      <c r="DZ348" s="7">
        <v>0</v>
      </c>
      <c r="EA348" s="7">
        <v>0.74064749162831189</v>
      </c>
      <c r="EB348" s="7">
        <v>0</v>
      </c>
      <c r="EC348" s="7">
        <v>0</v>
      </c>
      <c r="ED348" s="7">
        <v>0</v>
      </c>
      <c r="EE348" s="7">
        <v>0</v>
      </c>
      <c r="EF348" s="7">
        <v>0</v>
      </c>
      <c r="EG348" s="7">
        <v>0</v>
      </c>
      <c r="EH348" s="7">
        <v>1.2002686653129643E-2</v>
      </c>
      <c r="EI348" s="7">
        <v>3.3617273856645542E-2</v>
      </c>
      <c r="EJ348" s="7">
        <v>0.27104737480712204</v>
      </c>
      <c r="EK348" s="7">
        <v>0.54214826973641139</v>
      </c>
      <c r="EL348" s="7">
        <v>0.14118439494669091</v>
      </c>
      <c r="EM348" s="7">
        <v>4.0600925783865642E-2</v>
      </c>
      <c r="EN348" s="7">
        <v>6.1227320818246146E-2</v>
      </c>
      <c r="EO348" s="7">
        <v>0.77000821211046444</v>
      </c>
      <c r="EP348" s="7">
        <v>6.9489849823009389E-2</v>
      </c>
      <c r="EQ348" s="7">
        <v>6.5235454722658612E-2</v>
      </c>
      <c r="ER348" s="7">
        <v>3.4039162525621607E-2</v>
      </c>
      <c r="ES348" s="7">
        <v>0.10542340204033963</v>
      </c>
      <c r="ET348" s="7">
        <v>0.1460243278242053</v>
      </c>
      <c r="EU348" s="6">
        <v>2111</v>
      </c>
      <c r="EV348" s="6">
        <v>0</v>
      </c>
      <c r="EW348" s="6">
        <v>2111</v>
      </c>
      <c r="EX348" s="6">
        <v>0</v>
      </c>
      <c r="EY348" s="6">
        <v>2335.9745609954762</v>
      </c>
      <c r="EZ348" s="6">
        <v>1929</v>
      </c>
      <c r="FA348" s="6">
        <v>0</v>
      </c>
      <c r="FB348" s="6">
        <v>0</v>
      </c>
      <c r="FC348" s="6">
        <v>0</v>
      </c>
      <c r="FD348" s="6">
        <v>0</v>
      </c>
      <c r="FE348" s="6">
        <v>0</v>
      </c>
      <c r="FF348" s="6">
        <v>0</v>
      </c>
      <c r="FG348" s="6">
        <v>0</v>
      </c>
      <c r="FH348" s="6">
        <v>1172.0172207104281</v>
      </c>
      <c r="FI348" s="6">
        <v>1553.9796069512406</v>
      </c>
      <c r="FJ348" s="6">
        <v>2101.211011744741</v>
      </c>
      <c r="FK348" s="6">
        <v>1772.7139978623231</v>
      </c>
      <c r="FL348" s="6">
        <v>907.07682140966324</v>
      </c>
      <c r="FM348" s="6">
        <v>1724.9745609954762</v>
      </c>
      <c r="FN348" s="6">
        <v>0</v>
      </c>
      <c r="FO348" s="6">
        <v>0</v>
      </c>
      <c r="FP348" s="6">
        <v>0</v>
      </c>
      <c r="FQ348" s="6">
        <v>0</v>
      </c>
      <c r="FR348" s="6">
        <v>0</v>
      </c>
      <c r="FS348" s="6">
        <v>0</v>
      </c>
      <c r="FT348" s="7">
        <v>0.85397567217579473</v>
      </c>
      <c r="FU348" s="7">
        <v>4.0600925783865642E-2</v>
      </c>
      <c r="FV348" s="7">
        <v>0.10542340204033963</v>
      </c>
      <c r="FW348" s="6">
        <v>2111</v>
      </c>
      <c r="FX348" s="6">
        <v>2335.9745609954762</v>
      </c>
      <c r="FY348" s="6">
        <v>1929</v>
      </c>
      <c r="FZ348" s="6">
        <v>1858.9243755539039</v>
      </c>
      <c r="GA348" s="6">
        <v>2100.9471162828931</v>
      </c>
      <c r="GB348" s="6">
        <v>17884.052883717108</v>
      </c>
      <c r="GC348" s="7">
        <v>2.9156573141622111E-2</v>
      </c>
      <c r="GD348" s="7">
        <v>3.0732529467773207E-2</v>
      </c>
      <c r="GE348" s="7"/>
      <c r="GF348" s="7"/>
      <c r="GG348" s="7">
        <v>5.4051493585896018E-2</v>
      </c>
      <c r="GH348" s="42">
        <v>4.4632958707121375</v>
      </c>
      <c r="GI348" s="6">
        <v>6578.5799192391751</v>
      </c>
      <c r="GJ348" s="14">
        <v>0.50394797582841722</v>
      </c>
      <c r="GK348" s="14">
        <v>0.50887573065309732</v>
      </c>
      <c r="GL348" s="14">
        <v>0.49605202417158273</v>
      </c>
      <c r="GM348" s="14">
        <v>0.49112426934690234</v>
      </c>
      <c r="GO348" s="5">
        <v>343.14810671672558</v>
      </c>
      <c r="GP348" s="5">
        <v>302.87425392274076</v>
      </c>
      <c r="GQ348" s="5">
        <v>535.04305713031317</v>
      </c>
      <c r="GR348" s="5">
        <v>410.15490233172511</v>
      </c>
      <c r="GS348" s="5">
        <v>339.42744393800166</v>
      </c>
      <c r="GT348" s="5">
        <v>293.4407446948278</v>
      </c>
      <c r="GU348" s="5">
        <v>258.04012322764959</v>
      </c>
      <c r="GV348" s="39" t="s">
        <v>392</v>
      </c>
      <c r="GW348" s="5">
        <v>482.65277777777777</v>
      </c>
      <c r="GX348" s="5">
        <v>361.98958333333331</v>
      </c>
      <c r="GY348" s="5">
        <v>289.59166666666664</v>
      </c>
      <c r="GZ348" s="5">
        <v>255.53408606924114</v>
      </c>
      <c r="HA348" s="5">
        <v>236.70336205047303</v>
      </c>
      <c r="HB348" s="39">
        <v>268.411477600176</v>
      </c>
      <c r="HC348" s="5">
        <v>202.890625</v>
      </c>
      <c r="HD348" s="5">
        <v>182.20330774853798</v>
      </c>
      <c r="HE348" s="5">
        <v>187.48257844129552</v>
      </c>
      <c r="HF348" s="5">
        <v>176.30063048245611</v>
      </c>
      <c r="HG348" s="5">
        <v>173.65888157894736</v>
      </c>
      <c r="HH348" s="39">
        <v>183.16088353976804</v>
      </c>
      <c r="HI348" s="16"/>
      <c r="HJ348" s="19" t="str">
        <f t="shared" si="984"/>
        <v>On</v>
      </c>
      <c r="HK348" s="1" t="str">
        <f t="shared" si="984"/>
        <v>On</v>
      </c>
      <c r="HL348" s="16"/>
      <c r="HM348" s="639">
        <f t="shared" si="878"/>
        <v>2.2758057894877178E-2</v>
      </c>
      <c r="HN348" s="639">
        <f t="shared" si="879"/>
        <v>1.416759231746561E-3</v>
      </c>
      <c r="HO348" s="639">
        <f t="shared" si="880"/>
        <v>4.5732401537654987E-3</v>
      </c>
      <c r="HP348" s="644">
        <f>(FT348*$GD348-HM348)/$JF348*INDEX(Input!$1:$1048576,$JG$93,$C348*2+6)</f>
        <v>195.27257356700417</v>
      </c>
      <c r="HQ348" s="644">
        <f>(FU348*$GD348-HN348)/$JF348*INDEX(Input!$1:$1048576,$JG$93,$C348*2+6)</f>
        <v>-9.4640842010012154</v>
      </c>
      <c r="HR348" s="644">
        <f>(FV348*$GD348-HO348)/$JF348*INDEX(Input!$1:$1048576,$JG$93,$C348*2+6)</f>
        <v>-74.670536963643755</v>
      </c>
      <c r="HS348" s="644">
        <f t="shared" si="985"/>
        <v>-64.593357474585559</v>
      </c>
      <c r="HT348" s="644">
        <f t="shared" si="882"/>
        <v>12.77944204746994</v>
      </c>
      <c r="HU348" s="644">
        <f t="shared" si="883"/>
        <v>7.6762249406854961</v>
      </c>
      <c r="HV348" s="648">
        <f t="shared" si="884"/>
        <v>0</v>
      </c>
      <c r="HW348" s="648">
        <f t="shared" si="885"/>
        <v>0</v>
      </c>
      <c r="HX348" s="648">
        <f t="shared" si="886"/>
        <v>0</v>
      </c>
      <c r="HY348" s="644">
        <f>INDEX(Input!$1:$1048576,HY$93,$C348*2+6)*INDEX(Input!$1:$1048576,$JG$93,$C348*2+6)</f>
        <v>509.00000000000006</v>
      </c>
      <c r="HZ348" s="644">
        <f>INDEX(Input!$1:$1048576,HZ$93,$C348*2+6)*INDEX(Input!$1:$1048576,$JG$93,$C348*2+6)</f>
        <v>844</v>
      </c>
      <c r="IA348" s="644">
        <f>INDEX(Input!$1:$1048576,IA$93,$C348*2+6)*INDEX(Input!$1:$1048576,$JG$93,$C348*2+6)</f>
        <v>257</v>
      </c>
      <c r="IB348" s="644">
        <f t="shared" si="910"/>
        <v>639.67921609241864</v>
      </c>
      <c r="IC348" s="644">
        <f t="shared" si="911"/>
        <v>847.31535784646871</v>
      </c>
      <c r="ID348" s="644">
        <f>IF(AND(INDEX(Input!$1:$1048576,IA$93,$C348*2+7)="TOS",Y348&lt;=INDEX(Y:Y,MATCH(C348*1000+2,A:A))),0,1)*MAX(IA348+HR348+HU348+HX348,0%)</f>
        <v>190.00568797704173</v>
      </c>
      <c r="IE348" s="128">
        <f t="shared" si="990"/>
        <v>0.38144252605041445</v>
      </c>
      <c r="IF348" s="128">
        <f t="shared" si="977"/>
        <v>0.5052565447297146</v>
      </c>
      <c r="IG348" s="128">
        <f t="shared" si="888"/>
        <v>0.11330092921987095</v>
      </c>
      <c r="IH348" s="21"/>
      <c r="II348" s="19">
        <f t="shared" si="889"/>
        <v>1410.4999999999998</v>
      </c>
      <c r="IJ348" s="19">
        <f t="shared" si="890"/>
        <v>2134.9731585778086</v>
      </c>
      <c r="IK348" s="19">
        <f t="shared" si="891"/>
        <v>2103.5</v>
      </c>
      <c r="IL348" s="19">
        <f t="shared" si="913"/>
        <v>700.50000000000023</v>
      </c>
      <c r="IM348" s="19">
        <f t="shared" si="892"/>
        <v>201.00140241766758</v>
      </c>
      <c r="IN348" s="19">
        <f t="shared" si="893"/>
        <v>-174.5</v>
      </c>
      <c r="IO348" s="39">
        <f t="shared" si="894"/>
        <v>0</v>
      </c>
      <c r="IP348" s="39">
        <f t="shared" si="895"/>
        <v>0</v>
      </c>
      <c r="IQ348" s="39">
        <f t="shared" si="896"/>
        <v>0</v>
      </c>
      <c r="IR348" s="39">
        <v>0</v>
      </c>
      <c r="IS348" s="39">
        <v>0</v>
      </c>
      <c r="IT348" s="39">
        <v>0</v>
      </c>
      <c r="IU348" s="39">
        <v>0</v>
      </c>
      <c r="IV348" s="39">
        <v>0</v>
      </c>
      <c r="IW348" s="39">
        <v>0</v>
      </c>
      <c r="IX348" s="39">
        <f>INDEX(Input!$1:$1048576,IX$93,$C348*2+6)+INDEX(Input!$1:$1048576,IX$94,$C348*2+6)</f>
        <v>1611</v>
      </c>
      <c r="IY348" s="39">
        <f>INDEX(Input!$1:$1048576,IY$93,$C348*2+6)+INDEX(Input!$1:$1048576,IY$94,$C348*2+6)</f>
        <v>2471.0624533823611</v>
      </c>
      <c r="IZ348" s="39">
        <f>INDEX(Input!$1:$1048576,IZ$93,$C348*2+6)+INDEX(Input!$1:$1048576,IZ$94,$C348*2+6)</f>
        <v>3994.7164157747857</v>
      </c>
      <c r="JA348" s="19">
        <f t="shared" si="914"/>
        <v>2311.5</v>
      </c>
      <c r="JB348" s="19">
        <f t="shared" si="915"/>
        <v>2672.0638558000287</v>
      </c>
      <c r="JC348" s="19">
        <f t="shared" si="916"/>
        <v>3820.2164157747857</v>
      </c>
      <c r="JD348" s="19">
        <f t="shared" si="917"/>
        <v>2664.6162197725016</v>
      </c>
      <c r="JE348" s="21"/>
      <c r="JF348" s="1">
        <f t="shared" si="897"/>
        <v>2.8748057280389237E-2</v>
      </c>
      <c r="JG348" s="15">
        <f>INDEX(Input!$1:$1048576,JG$93,$C348*2+6)/(1+VLOOKUP(C348*1000+INDEX(Input!$1:$1048576,JG$93+1,$C348*2+6),$A:$KK,$JK$92,FALSE))</f>
        <v>1610</v>
      </c>
      <c r="JH348" s="1">
        <f t="shared" si="918"/>
        <v>6.9029784100844233E-2</v>
      </c>
      <c r="JI348" s="1">
        <f t="shared" si="919"/>
        <v>-2.7414714587844797E-2</v>
      </c>
      <c r="JJ348" s="1">
        <f t="shared" si="978"/>
        <v>0</v>
      </c>
      <c r="JK348" s="1">
        <f t="shared" si="979"/>
        <v>4.1615069512999439E-2</v>
      </c>
      <c r="JL348" s="15">
        <f t="shared" si="922"/>
        <v>67.000261915929102</v>
      </c>
      <c r="JM348" s="15">
        <f t="shared" si="948"/>
        <v>1677.0002619159291</v>
      </c>
      <c r="JN348" s="21"/>
      <c r="JO348" s="19">
        <f>INDEX(Input!$1:$1048576,JO$93,$C348*2+6)</f>
        <v>5995.5</v>
      </c>
      <c r="JP348" s="19">
        <f>INDEX(Input!$1:$1048576,JP$93,$C348*2+6)</f>
        <v>2442.3713226762939</v>
      </c>
      <c r="JQ348" s="39">
        <f t="shared" si="934"/>
        <v>3330.8837802274984</v>
      </c>
      <c r="JR348" s="39">
        <f t="shared" si="951"/>
        <v>222.24489709620775</v>
      </c>
      <c r="JS348" s="39">
        <f t="shared" si="936"/>
        <v>4.4685620984639183</v>
      </c>
      <c r="JT348" s="39">
        <f t="shared" si="924"/>
        <v>0.53634426895508491</v>
      </c>
      <c r="JU348" s="385">
        <f>(JQ348*JM348-INDEX(Input!$1:$1048576,Input!A$18,$C348*2+6)*JL348*INDEX(Input!$1:$1048576,Input!A$19,$C348*2+6))/1000000</f>
        <v>5.5858929718530348</v>
      </c>
      <c r="JV348" s="39">
        <f t="shared" si="958"/>
        <v>-0.13464419863813237</v>
      </c>
      <c r="JW348" s="1">
        <f t="shared" si="949"/>
        <v>-2.3536985186055837E-2</v>
      </c>
      <c r="JX348" s="19">
        <f t="shared" si="940"/>
        <v>8005.1070491049932</v>
      </c>
      <c r="JZ348" s="341"/>
      <c r="KA348" s="342"/>
      <c r="KB348" s="469">
        <f t="shared" si="937"/>
        <v>2.5190675447988795</v>
      </c>
      <c r="KI348" s="473">
        <f t="shared" si="987"/>
        <v>130.67921609241859</v>
      </c>
      <c r="KJ348" s="473">
        <f t="shared" si="988"/>
        <v>3.3153578464687143</v>
      </c>
      <c r="KK348" s="473">
        <f t="shared" si="926"/>
        <v>-66.994312022958269</v>
      </c>
      <c r="KN348" s="544">
        <f t="shared" si="941"/>
        <v>3002</v>
      </c>
      <c r="KO348" s="541">
        <f t="shared" si="901"/>
        <v>1.0770014845717935E-2</v>
      </c>
      <c r="KP348" s="546">
        <f t="shared" si="902"/>
        <v>150.16170849698773</v>
      </c>
      <c r="KQ348" s="546">
        <f t="shared" si="903"/>
        <v>28.702794383803393</v>
      </c>
      <c r="KR348" s="548">
        <f t="shared" si="904"/>
        <v>1.2443246806289345</v>
      </c>
      <c r="KS348" s="548">
        <f t="shared" si="905"/>
        <v>6.5098163429567109</v>
      </c>
      <c r="KT348" s="473">
        <f t="shared" si="939"/>
        <v>1026.1618045255443</v>
      </c>
      <c r="KU348" s="663">
        <f t="shared" si="927"/>
        <v>4.7569789461224037</v>
      </c>
      <c r="KV348" s="117"/>
    </row>
    <row r="349" spans="1:308" s="26" customFormat="1" ht="15">
      <c r="A349" s="561">
        <f t="shared" si="906"/>
        <v>3049</v>
      </c>
      <c r="B349" s="561">
        <f t="shared" si="928"/>
        <v>49</v>
      </c>
      <c r="C349" s="561">
        <f t="shared" si="929"/>
        <v>3</v>
      </c>
      <c r="D349" s="561" t="str">
        <f t="shared" si="974"/>
        <v xml:space="preserve">750 CC, -360 Lease, </v>
      </c>
      <c r="E349" s="475">
        <f>INDEX(Input!$1:$1048576,E$93,$C349*2+MIN($B349,2)+5)
+INDEX(Scenarios!E$121:E$200,MATCH($B349,Scenarios!$B$121:$B$200,0))</f>
        <v>2037.0236024844721</v>
      </c>
      <c r="F349" s="475">
        <f>INDEX(Input!$1:$1048576,F$93,$C349*2+MIN($B349,2)+5)
+INDEX(Scenarios!F$121:F$200,MATCH($B349,Scenarios!$B$121:$B$200,0))</f>
        <v>0</v>
      </c>
      <c r="G349" s="475">
        <f>INDEX(Input!$1:$1048576,G$93,$C349*2+MIN($B349,2)+5)
+INDEX(Scenarios!G$121:G$200,MATCH($B349,Scenarios!$B$121:$B$200,0))</f>
        <v>0</v>
      </c>
      <c r="H349" s="475">
        <f>INDEX(Input!$1:$1048576,H$93,$C349*2+MIN($B349,2)+5)
+INDEX(Scenarios!H$121:H$200,MATCH($B349,Scenarios!$B$121:$B$200,0))</f>
        <v>0</v>
      </c>
      <c r="I349" s="476">
        <f>INDEX(Input!$1:$1048576,I$93,$C349*2+MIN($B349,2)+5)</f>
        <v>0.7</v>
      </c>
      <c r="J349" s="476" t="str">
        <f>INDEX(Input!$1:$1048576,J$93,$C349*2+MIN($B349,2)+5)</f>
        <v>Market</v>
      </c>
      <c r="K349" s="476" t="str">
        <f>INDEX(Input!$1:$1048576,K$93,$C349*2+MIN($B349,2)+5)</f>
        <v>Market</v>
      </c>
      <c r="L349" s="476" t="str">
        <f>INDEX(Input!$1:$1048576,L$93,$C349*2+MIN($B349,2)+5)</f>
        <v>Market</v>
      </c>
      <c r="M349" s="476" t="str">
        <f>INDEX(Input!$1:$1048576,M$93,$C349*2+MIN($B349,2)+5)</f>
        <v>Market</v>
      </c>
      <c r="N349" s="476" t="str">
        <f>INDEX(Input!$1:$1048576,N$93,$C349*2+MIN($B349,2)+5)</f>
        <v>Market</v>
      </c>
      <c r="O349" s="476" t="str">
        <f>INDEX(Input!$1:$1048576,O$93,$C349*2+MIN($B349,2)+5)</f>
        <v>Market</v>
      </c>
      <c r="P349" s="476" t="str">
        <f>INDEX(Input!$1:$1048576,P$93,$C349*2+MIN($B349,2)+5)</f>
        <v>N</v>
      </c>
      <c r="Q349" s="477">
        <f>INDEX(Input!$1:$1048576,Q$93,$C349*2+MIN($B349,2)+5)
+INDEX(Scenarios!Q$121:Q$200,MATCH($B349,Scenarios!$B$121:$B$200,0))</f>
        <v>0</v>
      </c>
      <c r="R349" s="478">
        <f>IFERROR(MAX(0,INDEX(Input!$1:$1048576,R$93,$C349*2+MIN($B349,2)+5)
+INDEX(Scenarios!R$121:R$200,MATCH($B349,Scenarios!$B$121:$B$200,0)),),"Market")</f>
        <v>0</v>
      </c>
      <c r="S349" s="478">
        <f>IFERROR(MAX(0,INDEX(Input!$1:$1048576,S$93,$C349*2+MIN($B349,2)+5)
+INDEX(Scenarios!S$121:S$200,MATCH($B349,Scenarios!$B$121:$B$200,0)),),"Market")</f>
        <v>0</v>
      </c>
      <c r="T349" s="478">
        <f>IFERROR(MAX(0,INDEX(Input!$1:$1048576,T$93,$C349*2+MIN($B349,2)+5)
+INDEX(Scenarios!T$121:T$200,MATCH($B349,Scenarios!$B$121:$B$200,0)),),"Market")</f>
        <v>0</v>
      </c>
      <c r="U349" s="478">
        <f>IFERROR(MAX(0,INDEX(Input!$1:$1048576,U$93,$C349*2+MIN($B349,2)+5)
+INDEX(Scenarios!U$121:U$200,MATCH($B349,Scenarios!$B$121:$B$200,0)),),"Market")</f>
        <v>0</v>
      </c>
      <c r="V349" s="478">
        <f>IFERROR(MAX(0,INDEX(Input!$1:$1048576,V$93,$C349*2+MIN($B349,2)+5)
+INDEX(Scenarios!V$121:V$200,MATCH($B349,Scenarios!$B$121:$B$200,0)),),"Market")</f>
        <v>1.9E-2</v>
      </c>
      <c r="W349" s="885">
        <f>IFERROR(MAX(0,INDEX(Input!$1:$1048576,W$93,$C349*2+MIN($B349,2)+5)-0%,),"Market")</f>
        <v>3.9E-2</v>
      </c>
      <c r="X349" s="476" t="str">
        <f>INDEX(Input!$1:$1048576,X$93,$C349*2+MIN($B349,2)+5)</f>
        <v>Y</v>
      </c>
      <c r="Y349" s="475">
        <f>INDEX(Input!$1:$1048576,Y$93,$C349*2+MIN($B349,2)+5)
++INDEX(Scenarios!Y$121:Y$200,MATCH($B349,Scenarios!$B$121:$B$200,0))</f>
        <v>1194.9999999999991</v>
      </c>
      <c r="Z349" s="477">
        <f>INDEX(Input!$1:$1048576,Z$93,$C349*2+MIN($B349,2)+5)
+INDEX(Scenarios!Z$121:Z$200,MATCH($B349,Scenarios!$B$121:$B$200,0))</f>
        <v>0</v>
      </c>
      <c r="AA349" s="475">
        <f>INDEX(Input!$1:$1048576,AA$93,$C349*2+MIN($B349,2)+5)
+INDEX(Scenarios!AA$121:AA$200,MATCH($B349,Scenarios!$B$121:$B$200,0))</f>
        <v>0</v>
      </c>
      <c r="AB349" s="476">
        <f>INDEX(Input!$1:$1048576,AB$93,$C349*2+MIN($B349,2)+5)</f>
        <v>0.27</v>
      </c>
      <c r="AC349" s="475">
        <f>INDEX(Input!$1:$1048576,AC$93,$C349*2+MIN($B349,2)+5)
+INDEX(Scenarios!AC$121:AC$200,MATCH($B349,Scenarios!$B$121:$B$200,0))</f>
        <v>0</v>
      </c>
      <c r="AD349" s="476">
        <f>INDEX(Input!$1:$1048576,AD$93,$C349*2+MIN($B349,2)+5)</f>
        <v>0.27</v>
      </c>
      <c r="AE349" s="475">
        <f>INDEX(Input!$1:$1048576,AE$93,$C349*2+MIN($B349,2)+5)
+INDEX(Scenarios!AE$121:AE$200,MATCH($B349,Scenarios!$B$121:$B$200,0))</f>
        <v>0</v>
      </c>
      <c r="AF349" s="476">
        <f>INDEX(Input!$1:$1048576,AF$93,$C349*2+MIN($B349,2)+5)</f>
        <v>0.68200000000000005</v>
      </c>
      <c r="AG349" s="475">
        <f>INDEX(Input!$1:$1048576,AG$93,$C349*2+MIN($B349,2)+5)
+INDEX(Scenarios!AG$121:AG$200,MATCH($B349,Scenarios!$B$121:$B$200,0))</f>
        <v>500</v>
      </c>
      <c r="AH349" s="476">
        <f>INDEX(Input!$1:$1048576,AH$93,$C349*2+MIN($B349,2)+5)</f>
        <v>1</v>
      </c>
      <c r="AI349" s="475">
        <f>INDEX(Input!$1:$1048576,AI$93,$C349*2+MIN($B349,2)+5)
+INDEX(Scenarios!AI$121:AI$200,MATCH($B349,Scenarios!$B$121:$B$200,0))</f>
        <v>0</v>
      </c>
      <c r="AJ349" s="476">
        <f>INDEX(Input!$1:$1048576,AJ$93,$C349*2+MIN($B349,2)+5)</f>
        <v>0.27</v>
      </c>
      <c r="AK349" s="150">
        <f>ROUND(INDEX(Input!$1:$1048576,AK$93,$C348*2+MIN($B349,1)+5)+(Y349-VLOOKUP($C349*1000+1,$A:$HH,Y$92,FALSE)),0)</f>
        <v>2617</v>
      </c>
      <c r="AL349" s="150">
        <f>ROUND(INDEX(Input!$1:$1048576,AL$93,$C348*2+MIN($B349,1)+5)-(Y349-VLOOKUP($C349*1000+1,$A:$HH,Y$92,FALSE))/36,0)</f>
        <v>3405</v>
      </c>
      <c r="AM349" s="32" t="str">
        <f t="shared" si="907"/>
        <v>std/std/std/std</v>
      </c>
      <c r="AN349" s="32" t="str">
        <f t="shared" si="908"/>
        <v>$0 + 0/0/0/1.9/3.9</v>
      </c>
      <c r="AO349" s="32" t="str">
        <f t="shared" si="909"/>
        <v>0/0/0/1.9/3.9</v>
      </c>
      <c r="AP349" s="32" t="str">
        <f t="shared" si="863"/>
        <v>0/0.9/1.9/3.9</v>
      </c>
      <c r="AQ349" s="536">
        <f t="shared" si="862"/>
        <v>0.40239513736847382</v>
      </c>
      <c r="AR349" s="32"/>
      <c r="AS349" s="302"/>
      <c r="AT349" s="3">
        <f t="shared" si="930"/>
        <v>49</v>
      </c>
      <c r="AU349" s="41" t="s">
        <v>121</v>
      </c>
      <c r="AV349" s="41" t="s">
        <v>116</v>
      </c>
      <c r="AW349" s="41" t="str">
        <f>INDEX(Input!$1:$1048576,AW$93,$C349*2+6)</f>
        <v>Kia</v>
      </c>
      <c r="AX349" s="41" t="str">
        <f>INDEX(Input!$1:$1048576,AX$93,$C349*2+6)</f>
        <v>Kia-LR - L3</v>
      </c>
      <c r="AY349" s="41" t="str">
        <f>IF(LEN(D349)=0,"",INDEX(Input!$1:$1048576,AY$93,$C349*2+6))</f>
        <v>Compact SUV (52)</v>
      </c>
      <c r="AZ349" s="41" t="str">
        <f>INDEX(Input!$1:$1048576,AZ$93,$C349*2+6)</f>
        <v>Kia Soul</v>
      </c>
      <c r="BA349" s="3">
        <f>INDEX(Input!$1:$1048576,BA$93,$C349*2+6)</f>
        <v>2020</v>
      </c>
      <c r="BB349" s="128">
        <f>INDEX(Input!$1:$1048576,BB$93,$C349*2+6)</f>
        <v>1</v>
      </c>
      <c r="BC349" s="128">
        <f>INDEX(Input!$1:$1048576,BC$93,$C349*2+6)</f>
        <v>0.7</v>
      </c>
      <c r="BD349" s="1">
        <f>INDEX(Input!$1:$1048576,BD$93,$C349*2+6)</f>
        <v>4.4999999999999998E-2</v>
      </c>
      <c r="BE349" s="1">
        <f>INDEX(Input!$1:$1048576,BE$93,$C349*2+6)</f>
        <v>4.4999999999999998E-2</v>
      </c>
      <c r="BF349" s="1">
        <f>INDEX(Input!$1:$1048576,BF$93,$C349*2+6)</f>
        <v>0.05</v>
      </c>
      <c r="BG349" s="1">
        <f>INDEX(Input!$1:$1048576,BG$93,$C349*2+6)</f>
        <v>5.45E-2</v>
      </c>
      <c r="BH349" s="1">
        <f>INDEX(Input!$1:$1048576,BH$93,$C349*2+6)</f>
        <v>5.45E-2</v>
      </c>
      <c r="BI349" s="1">
        <f>INDEX(Input!$1:$1048576,BI$93,$C349*2+6)</f>
        <v>0.05</v>
      </c>
      <c r="BJ349" s="1">
        <f>INDEX(Input!$1:$1048576,BJ$93,$C349*2+6)</f>
        <v>0.05</v>
      </c>
      <c r="BK349" s="1">
        <f>INDEX(Input!$1:$1048576,BK$93,$C349*2+6)</f>
        <v>0.05</v>
      </c>
      <c r="BL349" s="1">
        <f>INDEX(Input!$1:$1048576,BL$93,$C349*2+6)</f>
        <v>5.5E-2</v>
      </c>
      <c r="BM349" s="1">
        <f>INDEX(Input!$1:$1048576,BM$93,$C349*2+6)</f>
        <v>0.06</v>
      </c>
      <c r="BN349" s="1">
        <f>INDEX(Input!$1:$1048576,BN$93,$C349*2+6)</f>
        <v>4.4999999999999998E-2</v>
      </c>
      <c r="BO349" s="1">
        <f>INDEX(Input!$1:$1048576,BO$93,$C349*2+6)</f>
        <v>4.4999999999999998E-2</v>
      </c>
      <c r="BP349" s="1">
        <f>INDEX(Input!$1:$1048576,BP$93,$C349*2+6)</f>
        <v>0.05</v>
      </c>
      <c r="BQ349" s="1">
        <f>INDEX(Input!$1:$1048576,BQ$93,$C349*2+6)</f>
        <v>5.45E-2</v>
      </c>
      <c r="BR349" s="1">
        <f>INDEX(Input!$1:$1048576,BR$93,$C349*2+6)</f>
        <v>5.45E-2</v>
      </c>
      <c r="BS349" s="1">
        <f>INDEX(Input!$1:$1048576,BS$93,$C349*2+6)</f>
        <v>0.05</v>
      </c>
      <c r="BT349" s="1">
        <f>INDEX(Input!$1:$1048576,BT$93,$C349*2+6)</f>
        <v>0.05</v>
      </c>
      <c r="BU349" s="1">
        <f>INDEX(Input!$1:$1048576,BU$93,$C349*2+6)</f>
        <v>0.05</v>
      </c>
      <c r="BV349" s="1">
        <f>INDEX(Input!$1:$1048576,BV$93,$C349*2+6)</f>
        <v>5.5E-2</v>
      </c>
      <c r="BW349" s="1">
        <f>INDEX(Input!$1:$1048576,BW$93,$C349*2+6)</f>
        <v>0.06</v>
      </c>
      <c r="BX349" s="127">
        <f>INDEX(Input!$1:$1048576,BX$93,$C349*2+6)</f>
        <v>19985</v>
      </c>
      <c r="BY349" s="20">
        <f>INDEX(Input!$1:$1048576,BY$93,$C349*2+6)</f>
        <v>0.1</v>
      </c>
      <c r="BZ349" s="20">
        <f>INDEX(Input!$1:$1048576,BZ$93,$C349*2+6)</f>
        <v>0.1</v>
      </c>
      <c r="CA349" s="20">
        <f>INDEX(Input!$1:$1048576,CA$93,$C349*2+6)</f>
        <v>0.1</v>
      </c>
      <c r="CB349" s="20">
        <f>INDEX(Input!$1:$1048576,CB$93,$C349*2+6)</f>
        <v>0.1</v>
      </c>
      <c r="CC349" s="20">
        <f>INDEX(Input!$1:$1048576,CC$93,$C349*2+6)</f>
        <v>0.1</v>
      </c>
      <c r="CD349" s="384">
        <f>INDEX(Input!$1:$1048576,CD$93,$C349*2+6)</f>
        <v>0.1</v>
      </c>
      <c r="CE349" s="384">
        <f>INDEX(Input!$1:$1048576,CE$93,$C349*2+6)</f>
        <v>0.1</v>
      </c>
      <c r="CF349" s="384">
        <f>INDEX(Input!$1:$1048576,CF$93,$C349*2+6)</f>
        <v>0.1</v>
      </c>
      <c r="CG349" s="384">
        <f>INDEX(Input!$1:$1048576,CG$93,$C349*2+6)</f>
        <v>0.1</v>
      </c>
      <c r="CH349" s="384">
        <f>INDEX(Input!$1:$1048576,CH$93,$C349*2+6)</f>
        <v>0.1</v>
      </c>
      <c r="CI349" s="304">
        <f t="shared" si="864"/>
        <v>2037.0236024844721</v>
      </c>
      <c r="CJ349" s="16" t="str">
        <f>INDEX(Input!$1:$1048576,CJ$93,$C349*2+6)</f>
        <v>N</v>
      </c>
      <c r="CK349" s="1" t="str">
        <f t="shared" si="865"/>
        <v>Market</v>
      </c>
      <c r="CL349" s="1" t="str">
        <f t="shared" si="866"/>
        <v>Market</v>
      </c>
      <c r="CM349" s="1" t="str">
        <f t="shared" si="867"/>
        <v>Market</v>
      </c>
      <c r="CN349" s="1" t="str">
        <f t="shared" si="868"/>
        <v>Market</v>
      </c>
      <c r="CO349" s="1" t="str">
        <f t="shared" si="869"/>
        <v>Market</v>
      </c>
      <c r="CP349" s="304">
        <f t="shared" si="870"/>
        <v>500</v>
      </c>
      <c r="CQ349" s="1">
        <f t="shared" si="871"/>
        <v>0</v>
      </c>
      <c r="CR349" s="1">
        <f t="shared" si="872"/>
        <v>0</v>
      </c>
      <c r="CS349" s="1">
        <f t="shared" si="873"/>
        <v>0</v>
      </c>
      <c r="CT349" s="1">
        <f t="shared" si="874"/>
        <v>1.9E-2</v>
      </c>
      <c r="CU349" s="1">
        <f t="shared" si="875"/>
        <v>3.9E-2</v>
      </c>
      <c r="CV349" s="304">
        <f t="shared" si="876"/>
        <v>1194.9999999999991</v>
      </c>
      <c r="CW349" s="20" t="s">
        <v>122</v>
      </c>
      <c r="CX349" s="20" t="s">
        <v>122</v>
      </c>
      <c r="CY349" s="20" t="s">
        <v>122</v>
      </c>
      <c r="CZ349" s="20" t="s">
        <v>122</v>
      </c>
      <c r="DA349" s="20" t="s">
        <v>122</v>
      </c>
      <c r="DB349" s="503">
        <f t="shared" si="877"/>
        <v>0</v>
      </c>
      <c r="DC349" s="127">
        <v>0</v>
      </c>
      <c r="DD349" s="127">
        <v>0</v>
      </c>
      <c r="DE349" s="127">
        <v>0</v>
      </c>
      <c r="DF349" s="127">
        <v>0</v>
      </c>
      <c r="DG349" s="127">
        <v>0</v>
      </c>
      <c r="DH349" s="127">
        <v>0</v>
      </c>
      <c r="DI349" s="127">
        <v>0</v>
      </c>
      <c r="DJ349" s="127">
        <v>0</v>
      </c>
      <c r="DK349" s="127">
        <v>0</v>
      </c>
      <c r="DL349" s="127">
        <v>0</v>
      </c>
      <c r="DM349" s="304">
        <f>INDEX(Input!$1:$1048576,DM$93,$C349*2+6)</f>
        <v>21036.84210526316</v>
      </c>
      <c r="DN349" s="20">
        <v>0</v>
      </c>
      <c r="DO349" s="20">
        <v>0</v>
      </c>
      <c r="DP349" s="20">
        <v>0</v>
      </c>
      <c r="DQ349" s="20">
        <v>0</v>
      </c>
      <c r="DR349" s="20">
        <v>0</v>
      </c>
      <c r="DS349" s="20">
        <f>INDEX(Input!$1:$1048576,DS$93,$C349*2+6)</f>
        <v>0.6</v>
      </c>
      <c r="DT349" s="20">
        <f>INDEX(Input!$1:$1048576,DT$93,$C349*2+6)</f>
        <v>0.55000000000000004</v>
      </c>
      <c r="DU349" s="20">
        <f>INDEX(Input!$1:$1048576,DU$93,$C349*2+6)</f>
        <v>0.52</v>
      </c>
      <c r="DV349" s="20">
        <f>INDEX(Input!$1:$1048576,DV$93,$C349*2+6)</f>
        <v>0.5</v>
      </c>
      <c r="DW349" s="20">
        <f>INDEX(Input!$1:$1048576,DW$93,$C349*2+6)</f>
        <v>0.45</v>
      </c>
      <c r="DX349" s="20"/>
      <c r="DY349" s="7">
        <v>0.11809201426270559</v>
      </c>
      <c r="DZ349" s="7">
        <v>0</v>
      </c>
      <c r="EA349" s="7">
        <v>0.75210354772742827</v>
      </c>
      <c r="EB349" s="7">
        <v>0</v>
      </c>
      <c r="EC349" s="7">
        <v>0</v>
      </c>
      <c r="ED349" s="7">
        <v>0</v>
      </c>
      <c r="EE349" s="7">
        <v>0</v>
      </c>
      <c r="EF349" s="7">
        <v>0</v>
      </c>
      <c r="EG349" s="7">
        <v>0</v>
      </c>
      <c r="EH349" s="7">
        <v>1.2003117708199718E-2</v>
      </c>
      <c r="EI349" s="7">
        <v>3.3620724899004549E-2</v>
      </c>
      <c r="EJ349" s="7">
        <v>0.27117782542103275</v>
      </c>
      <c r="EK349" s="7">
        <v>0.54206282590651744</v>
      </c>
      <c r="EL349" s="7">
        <v>0.14113550606524555</v>
      </c>
      <c r="EM349" s="7">
        <v>3.6104678390503991E-2</v>
      </c>
      <c r="EN349" s="7">
        <v>6.12417466636433E-2</v>
      </c>
      <c r="EO349" s="7">
        <v>0.77003314222089347</v>
      </c>
      <c r="EP349" s="7">
        <v>6.9462327670641685E-2</v>
      </c>
      <c r="EQ349" s="7">
        <v>6.5221077913463474E-2</v>
      </c>
      <c r="ER349" s="7">
        <v>3.4041705531358039E-2</v>
      </c>
      <c r="ES349" s="7">
        <v>9.3699759619362194E-2</v>
      </c>
      <c r="ET349" s="7">
        <v>0.12980443800986613</v>
      </c>
      <c r="EU349" s="6">
        <v>2361</v>
      </c>
      <c r="EV349" s="6">
        <v>0</v>
      </c>
      <c r="EW349" s="6">
        <v>2361</v>
      </c>
      <c r="EX349" s="6">
        <v>0</v>
      </c>
      <c r="EY349" s="6">
        <v>2336.0587535938371</v>
      </c>
      <c r="EZ349" s="6">
        <v>1929</v>
      </c>
      <c r="FA349" s="6">
        <v>0</v>
      </c>
      <c r="FB349" s="6">
        <v>0</v>
      </c>
      <c r="FC349" s="6">
        <v>0</v>
      </c>
      <c r="FD349" s="6">
        <v>0</v>
      </c>
      <c r="FE349" s="6">
        <v>0</v>
      </c>
      <c r="FF349" s="6">
        <v>0</v>
      </c>
      <c r="FG349" s="6">
        <v>0</v>
      </c>
      <c r="FH349" s="6">
        <v>1172.0200302285687</v>
      </c>
      <c r="FI349" s="6">
        <v>1553.9796069512395</v>
      </c>
      <c r="FJ349" s="6">
        <v>2101.211011744741</v>
      </c>
      <c r="FK349" s="6">
        <v>1772.7139978623229</v>
      </c>
      <c r="FL349" s="6">
        <v>907.07682140966335</v>
      </c>
      <c r="FM349" s="6">
        <v>1725.0587535938371</v>
      </c>
      <c r="FN349" s="6">
        <v>0</v>
      </c>
      <c r="FO349" s="6">
        <v>0</v>
      </c>
      <c r="FP349" s="6">
        <v>0</v>
      </c>
      <c r="FQ349" s="6">
        <v>0</v>
      </c>
      <c r="FR349" s="6">
        <v>0</v>
      </c>
      <c r="FS349" s="6">
        <v>0</v>
      </c>
      <c r="FT349" s="7">
        <v>0.87019556199013381</v>
      </c>
      <c r="FU349" s="7">
        <v>3.6104678390503991E-2</v>
      </c>
      <c r="FV349" s="7">
        <v>9.3699759619362194E-2</v>
      </c>
      <c r="FW349" s="6">
        <v>2361</v>
      </c>
      <c r="FX349" s="6">
        <v>2336.0587535938371</v>
      </c>
      <c r="FY349" s="6">
        <v>1929</v>
      </c>
      <c r="FZ349" s="6">
        <v>1858.9243755539039</v>
      </c>
      <c r="GA349" s="6">
        <v>2319.621208164283</v>
      </c>
      <c r="GB349" s="6">
        <v>17665.378791835716</v>
      </c>
      <c r="GC349" s="7">
        <v>2.9156573141622111E-2</v>
      </c>
      <c r="GD349" s="7">
        <v>3.1532249543616796E-2</v>
      </c>
      <c r="GE349" s="7"/>
      <c r="GF349" s="7"/>
      <c r="GG349" s="7">
        <v>8.1479959611690994E-2</v>
      </c>
      <c r="GH349" s="42">
        <v>3.5345955899306065</v>
      </c>
      <c r="GI349" s="6">
        <v>7973.7333948408777</v>
      </c>
      <c r="GJ349" s="14">
        <v>0.50394797582841733</v>
      </c>
      <c r="GK349" s="14">
        <v>0.50887573065309721</v>
      </c>
      <c r="GL349" s="14">
        <v>0.49605202417158284</v>
      </c>
      <c r="GM349" s="14">
        <v>0.4911242693469024</v>
      </c>
      <c r="GO349" s="5">
        <v>343.14810671672558</v>
      </c>
      <c r="GP349" s="5">
        <v>298.1047308538179</v>
      </c>
      <c r="GQ349" s="5">
        <v>535.04305713031317</v>
      </c>
      <c r="GR349" s="5">
        <v>410.15490233172511</v>
      </c>
      <c r="GS349" s="5">
        <v>339.42744393800166</v>
      </c>
      <c r="GT349" s="5">
        <v>293.4407446948278</v>
      </c>
      <c r="GU349" s="5">
        <v>258.04012322764959</v>
      </c>
      <c r="GV349" s="39" t="s">
        <v>392</v>
      </c>
      <c r="GW349" s="5">
        <v>482.65277777777777</v>
      </c>
      <c r="GX349" s="5">
        <v>361.98958333333331</v>
      </c>
      <c r="GY349" s="5">
        <v>289.59166666666664</v>
      </c>
      <c r="GZ349" s="5">
        <v>255.53408606924114</v>
      </c>
      <c r="HA349" s="5">
        <v>236.70336205047303</v>
      </c>
      <c r="HB349" s="39">
        <v>268.4173063286014</v>
      </c>
      <c r="HC349" s="5">
        <v>202.890625</v>
      </c>
      <c r="HD349" s="5">
        <v>182.20330774853798</v>
      </c>
      <c r="HE349" s="5">
        <v>187.48257844129552</v>
      </c>
      <c r="HF349" s="5">
        <v>176.30063048245611</v>
      </c>
      <c r="HG349" s="5">
        <v>173.65888157894736</v>
      </c>
      <c r="HH349" s="39">
        <v>183.16109980805598</v>
      </c>
      <c r="HI349" s="16"/>
      <c r="HJ349" s="19" t="str">
        <f t="shared" si="984"/>
        <v>On</v>
      </c>
      <c r="HK349" s="1" t="str">
        <f t="shared" si="984"/>
        <v>On</v>
      </c>
      <c r="HL349" s="16"/>
      <c r="HM349" s="639">
        <f t="shared" si="878"/>
        <v>2.2758057894877178E-2</v>
      </c>
      <c r="HN349" s="639">
        <f t="shared" si="879"/>
        <v>1.416759231746561E-3</v>
      </c>
      <c r="HO349" s="639">
        <f t="shared" si="880"/>
        <v>4.5732401537654987E-3</v>
      </c>
      <c r="HP349" s="644">
        <f>(FT349*$GD349-HM349)/$JF349*INDEX(Input!$1:$1048576,$JG$93,$C349*2+6)</f>
        <v>262.1629952847764</v>
      </c>
      <c r="HQ349" s="644">
        <f>(FU349*$GD349-HN349)/$JF349*INDEX(Input!$1:$1048576,$JG$93,$C349*2+6)</f>
        <v>-15.585713341692685</v>
      </c>
      <c r="HR349" s="644">
        <f>(FV349*$GD349-HO349)/$JF349*INDEX(Input!$1:$1048576,$JG$93,$C349*2+6)</f>
        <v>-90.65197888428591</v>
      </c>
      <c r="HS349" s="644">
        <f t="shared" si="985"/>
        <v>-87.562651385533997</v>
      </c>
      <c r="HT349" s="644">
        <f t="shared" si="882"/>
        <v>8.7244762679264838</v>
      </c>
      <c r="HU349" s="644">
        <f t="shared" si="883"/>
        <v>11.741412507270915</v>
      </c>
      <c r="HV349" s="648">
        <f t="shared" si="884"/>
        <v>0</v>
      </c>
      <c r="HW349" s="648">
        <f t="shared" si="885"/>
        <v>0</v>
      </c>
      <c r="HX349" s="648">
        <f t="shared" si="886"/>
        <v>0</v>
      </c>
      <c r="HY349" s="644">
        <f>INDEX(Input!$1:$1048576,HY$93,$C349*2+6)*INDEX(Input!$1:$1048576,$JG$93,$C349*2+6)</f>
        <v>509.00000000000006</v>
      </c>
      <c r="HZ349" s="644">
        <f>INDEX(Input!$1:$1048576,HZ$93,$C349*2+6)*INDEX(Input!$1:$1048576,$JG$93,$C349*2+6)</f>
        <v>844</v>
      </c>
      <c r="IA349" s="644">
        <f>INDEX(Input!$1:$1048576,IA$93,$C349*2+6)*INDEX(Input!$1:$1048576,$JG$93,$C349*2+6)</f>
        <v>257</v>
      </c>
      <c r="IB349" s="644">
        <f t="shared" si="910"/>
        <v>683.6003438992426</v>
      </c>
      <c r="IC349" s="644">
        <f t="shared" si="911"/>
        <v>837.13876292623377</v>
      </c>
      <c r="ID349" s="644">
        <f>IF(AND(INDEX(Input!$1:$1048576,IA$93,$C349*2+7)="TOS",Y349&lt;=INDEX(Y:Y,MATCH(C349*1000+2,A:A))),0,1)*MAX(IA349+HR349+HU349+HX349,0%)</f>
        <v>178.08943362298501</v>
      </c>
      <c r="IE349" s="128">
        <f t="shared" si="990"/>
        <v>0.40239513736847382</v>
      </c>
      <c r="IF349" s="128">
        <f t="shared" si="977"/>
        <v>0.49277413405430748</v>
      </c>
      <c r="IG349" s="128">
        <f t="shared" si="888"/>
        <v>0.10483072857721855</v>
      </c>
      <c r="IH349" s="21"/>
      <c r="II349" s="19">
        <f t="shared" si="889"/>
        <v>1410.4999999999998</v>
      </c>
      <c r="IJ349" s="19">
        <f t="shared" si="890"/>
        <v>2134.9731585778086</v>
      </c>
      <c r="IK349" s="19">
        <f t="shared" si="891"/>
        <v>2103.5</v>
      </c>
      <c r="IL349" s="19">
        <f t="shared" si="913"/>
        <v>950.50000000000023</v>
      </c>
      <c r="IM349" s="19">
        <f t="shared" si="892"/>
        <v>201.08559501602849</v>
      </c>
      <c r="IN349" s="19">
        <f t="shared" si="893"/>
        <v>-174.5</v>
      </c>
      <c r="IO349" s="39">
        <f t="shared" si="894"/>
        <v>0</v>
      </c>
      <c r="IP349" s="39">
        <f t="shared" si="895"/>
        <v>0</v>
      </c>
      <c r="IQ349" s="39">
        <f t="shared" si="896"/>
        <v>0</v>
      </c>
      <c r="IR349" s="39">
        <v>0</v>
      </c>
      <c r="IS349" s="39">
        <v>0</v>
      </c>
      <c r="IT349" s="39">
        <v>0</v>
      </c>
      <c r="IU349" s="39">
        <v>0</v>
      </c>
      <c r="IV349" s="39">
        <v>0</v>
      </c>
      <c r="IW349" s="39">
        <v>0</v>
      </c>
      <c r="IX349" s="39">
        <f>INDEX(Input!$1:$1048576,IX$93,$C349*2+6)+INDEX(Input!$1:$1048576,IX$94,$C349*2+6)</f>
        <v>1611</v>
      </c>
      <c r="IY349" s="39">
        <f>INDEX(Input!$1:$1048576,IY$93,$C349*2+6)+INDEX(Input!$1:$1048576,IY$94,$C349*2+6)</f>
        <v>2471.0624533823611</v>
      </c>
      <c r="IZ349" s="39">
        <f>INDEX(Input!$1:$1048576,IZ$93,$C349*2+6)+INDEX(Input!$1:$1048576,IZ$94,$C349*2+6)</f>
        <v>3994.7164157747857</v>
      </c>
      <c r="JA349" s="19">
        <f t="shared" si="914"/>
        <v>2561.5</v>
      </c>
      <c r="JB349" s="19">
        <f t="shared" si="915"/>
        <v>2672.1480483983896</v>
      </c>
      <c r="JC349" s="19">
        <f t="shared" si="916"/>
        <v>3820.2164157747857</v>
      </c>
      <c r="JD349" s="19">
        <f t="shared" si="917"/>
        <v>2747.9766551720909</v>
      </c>
      <c r="JE349" s="21"/>
      <c r="JF349" s="1">
        <f t="shared" si="897"/>
        <v>2.8748057280389237E-2</v>
      </c>
      <c r="JG349" s="15">
        <f>INDEX(Input!$1:$1048576,JG$93,$C349*2+6)/(1+VLOOKUP(C349*1000+INDEX(Input!$1:$1048576,JG$93+1,$C349*2+6),$A:$KK,$JK$92,FALSE))</f>
        <v>1610</v>
      </c>
      <c r="JH349" s="1">
        <f t="shared" si="918"/>
        <v>9.6848014322234652E-2</v>
      </c>
      <c r="JI349" s="1">
        <f t="shared" si="919"/>
        <v>-4.1675007832507195E-2</v>
      </c>
      <c r="JJ349" s="1">
        <f t="shared" si="978"/>
        <v>0</v>
      </c>
      <c r="JK349" s="1">
        <f t="shared" si="979"/>
        <v>5.5173006489727457E-2</v>
      </c>
      <c r="JL349" s="15">
        <f t="shared" si="922"/>
        <v>88.828540448461212</v>
      </c>
      <c r="JM349" s="15">
        <f t="shared" si="948"/>
        <v>1698.8285404484611</v>
      </c>
      <c r="JN349" s="21"/>
      <c r="JO349" s="19">
        <f>INDEX(Input!$1:$1048576,JO$93,$C349*2+6)</f>
        <v>5995.5</v>
      </c>
      <c r="JP349" s="19">
        <f>INDEX(Input!$1:$1048576,JP$93,$C349*2+6)</f>
        <v>2442.3713226762939</v>
      </c>
      <c r="JQ349" s="39">
        <f t="shared" si="934"/>
        <v>3247.5233448279091</v>
      </c>
      <c r="JR349" s="39">
        <f t="shared" si="951"/>
        <v>305.60533249579703</v>
      </c>
      <c r="JS349" s="39">
        <f t="shared" si="936"/>
        <v>4.6683411702924476</v>
      </c>
      <c r="JT349" s="39">
        <f t="shared" si="924"/>
        <v>0.73612334078361419</v>
      </c>
      <c r="JU349" s="385">
        <f>(JQ349*JM349-INDEX(Input!$1:$1048576,Input!A$18,$C349*2+6)*JL349*INDEX(Input!$1:$1048576,Input!A$19,$C349*2+6))/1000000</f>
        <v>5.5169853439663017</v>
      </c>
      <c r="JV349" s="39">
        <f t="shared" si="958"/>
        <v>-0.20355182652486548</v>
      </c>
      <c r="JW349" s="1">
        <f t="shared" si="949"/>
        <v>-3.5582642059362485E-2</v>
      </c>
      <c r="JX349" s="19">
        <f t="shared" si="940"/>
        <v>8287.0138028522124</v>
      </c>
      <c r="JZ349" s="341"/>
      <c r="KA349" s="342"/>
      <c r="KB349" s="469">
        <f t="shared" si="937"/>
        <v>2.5190675447988795</v>
      </c>
      <c r="KI349" s="473">
        <f t="shared" si="987"/>
        <v>174.60034389924232</v>
      </c>
      <c r="KJ349" s="473">
        <f t="shared" si="988"/>
        <v>-6.8612370737664605</v>
      </c>
      <c r="KK349" s="473">
        <f t="shared" si="926"/>
        <v>-78.910566377015016</v>
      </c>
      <c r="KN349" s="544">
        <f t="shared" si="941"/>
        <v>3002</v>
      </c>
      <c r="KO349" s="541">
        <f t="shared" si="901"/>
        <v>2.3926464440530371E-2</v>
      </c>
      <c r="KP349" s="546">
        <f t="shared" si="902"/>
        <v>264.32190663295012</v>
      </c>
      <c r="KQ349" s="546">
        <f t="shared" si="903"/>
        <v>112.06322978339267</v>
      </c>
      <c r="KR349" s="548">
        <f t="shared" si="904"/>
        <v>1.5704423000381531</v>
      </c>
      <c r="KS349" s="548">
        <f t="shared" si="905"/>
        <v>3.7041793620036878</v>
      </c>
      <c r="KT349" s="473">
        <f t="shared" si="939"/>
        <v>1026.1618045255443</v>
      </c>
      <c r="KU349" s="663">
        <f t="shared" si="927"/>
        <v>4.767379052352636</v>
      </c>
      <c r="KV349" s="117"/>
    </row>
    <row r="350" spans="1:308" s="26" customFormat="1" ht="15">
      <c r="A350" s="561">
        <f t="shared" si="906"/>
        <v>3050</v>
      </c>
      <c r="B350" s="561">
        <f t="shared" si="928"/>
        <v>50</v>
      </c>
      <c r="C350" s="561">
        <f t="shared" si="929"/>
        <v>3</v>
      </c>
      <c r="D350" s="561" t="str">
        <f t="shared" si="974"/>
        <v xml:space="preserve">1000 CC, -360 Lease, </v>
      </c>
      <c r="E350" s="475">
        <f>INDEX(Input!$1:$1048576,E$93,$C350*2+MIN($B350,2)+5)
+INDEX(Scenarios!E$121:E$200,MATCH($B350,Scenarios!$B$121:$B$200,0))</f>
        <v>2287.0236024844721</v>
      </c>
      <c r="F350" s="475">
        <f>INDEX(Input!$1:$1048576,F$93,$C350*2+MIN($B350,2)+5)
+INDEX(Scenarios!F$121:F$200,MATCH($B350,Scenarios!$B$121:$B$200,0))</f>
        <v>0</v>
      </c>
      <c r="G350" s="475">
        <f>INDEX(Input!$1:$1048576,G$93,$C350*2+MIN($B350,2)+5)
+INDEX(Scenarios!G$121:G$200,MATCH($B350,Scenarios!$B$121:$B$200,0))</f>
        <v>0</v>
      </c>
      <c r="H350" s="475">
        <f>INDEX(Input!$1:$1048576,H$93,$C350*2+MIN($B350,2)+5)
+INDEX(Scenarios!H$121:H$200,MATCH($B350,Scenarios!$B$121:$B$200,0))</f>
        <v>0</v>
      </c>
      <c r="I350" s="476">
        <f>INDEX(Input!$1:$1048576,I$93,$C350*2+MIN($B350,2)+5)</f>
        <v>0.7</v>
      </c>
      <c r="J350" s="476" t="str">
        <f>INDEX(Input!$1:$1048576,J$93,$C350*2+MIN($B350,2)+5)</f>
        <v>Market</v>
      </c>
      <c r="K350" s="476" t="str">
        <f>INDEX(Input!$1:$1048576,K$93,$C350*2+MIN($B350,2)+5)</f>
        <v>Market</v>
      </c>
      <c r="L350" s="476" t="str">
        <f>INDEX(Input!$1:$1048576,L$93,$C350*2+MIN($B350,2)+5)</f>
        <v>Market</v>
      </c>
      <c r="M350" s="476" t="str">
        <f>INDEX(Input!$1:$1048576,M$93,$C350*2+MIN($B350,2)+5)</f>
        <v>Market</v>
      </c>
      <c r="N350" s="476" t="str">
        <f>INDEX(Input!$1:$1048576,N$93,$C350*2+MIN($B350,2)+5)</f>
        <v>Market</v>
      </c>
      <c r="O350" s="476" t="str">
        <f>INDEX(Input!$1:$1048576,O$93,$C350*2+MIN($B350,2)+5)</f>
        <v>Market</v>
      </c>
      <c r="P350" s="476" t="str">
        <f>INDEX(Input!$1:$1048576,P$93,$C350*2+MIN($B350,2)+5)</f>
        <v>N</v>
      </c>
      <c r="Q350" s="477">
        <f>INDEX(Input!$1:$1048576,Q$93,$C350*2+MIN($B350,2)+5)
+INDEX(Scenarios!Q$121:Q$200,MATCH($B350,Scenarios!$B$121:$B$200,0))</f>
        <v>0</v>
      </c>
      <c r="R350" s="478">
        <f>IFERROR(MAX(0,INDEX(Input!$1:$1048576,R$93,$C350*2+MIN($B350,2)+5)
+INDEX(Scenarios!R$121:R$200,MATCH($B350,Scenarios!$B$121:$B$200,0)),),"Market")</f>
        <v>0</v>
      </c>
      <c r="S350" s="478">
        <f>IFERROR(MAX(0,INDEX(Input!$1:$1048576,S$93,$C350*2+MIN($B350,2)+5)
+INDEX(Scenarios!S$121:S$200,MATCH($B350,Scenarios!$B$121:$B$200,0)),),"Market")</f>
        <v>0</v>
      </c>
      <c r="T350" s="478">
        <f>IFERROR(MAX(0,INDEX(Input!$1:$1048576,T$93,$C350*2+MIN($B350,2)+5)
+INDEX(Scenarios!T$121:T$200,MATCH($B350,Scenarios!$B$121:$B$200,0)),),"Market")</f>
        <v>0</v>
      </c>
      <c r="U350" s="478">
        <f>IFERROR(MAX(0,INDEX(Input!$1:$1048576,U$93,$C350*2+MIN($B350,2)+5)
+INDEX(Scenarios!U$121:U$200,MATCH($B350,Scenarios!$B$121:$B$200,0)),),"Market")</f>
        <v>0</v>
      </c>
      <c r="V350" s="478">
        <f>IFERROR(MAX(0,INDEX(Input!$1:$1048576,V$93,$C350*2+MIN($B350,2)+5)
+INDEX(Scenarios!V$121:V$200,MATCH($B350,Scenarios!$B$121:$B$200,0)),),"Market")</f>
        <v>1.9E-2</v>
      </c>
      <c r="W350" s="885">
        <f>IFERROR(MAX(0,INDEX(Input!$1:$1048576,W$93,$C350*2+MIN($B350,2)+5)-0%,),"Market")</f>
        <v>3.9E-2</v>
      </c>
      <c r="X350" s="476" t="str">
        <f>INDEX(Input!$1:$1048576,X$93,$C350*2+MIN($B350,2)+5)</f>
        <v>Y</v>
      </c>
      <c r="Y350" s="475">
        <f>INDEX(Input!$1:$1048576,Y$93,$C350*2+MIN($B350,2)+5)
++INDEX(Scenarios!Y$121:Y$200,MATCH($B350,Scenarios!$B$121:$B$200,0))</f>
        <v>1194.9999999999991</v>
      </c>
      <c r="Z350" s="477">
        <f>INDEX(Input!$1:$1048576,Z$93,$C350*2+MIN($B350,2)+5)
+INDEX(Scenarios!Z$121:Z$200,MATCH($B350,Scenarios!$B$121:$B$200,0))</f>
        <v>0</v>
      </c>
      <c r="AA350" s="475">
        <f>INDEX(Input!$1:$1048576,AA$93,$C350*2+MIN($B350,2)+5)
+INDEX(Scenarios!AA$121:AA$200,MATCH($B350,Scenarios!$B$121:$B$200,0))</f>
        <v>0</v>
      </c>
      <c r="AB350" s="476">
        <f>INDEX(Input!$1:$1048576,AB$93,$C350*2+MIN($B350,2)+5)</f>
        <v>0.27</v>
      </c>
      <c r="AC350" s="475">
        <f>INDEX(Input!$1:$1048576,AC$93,$C350*2+MIN($B350,2)+5)
+INDEX(Scenarios!AC$121:AC$200,MATCH($B350,Scenarios!$B$121:$B$200,0))</f>
        <v>0</v>
      </c>
      <c r="AD350" s="476">
        <f>INDEX(Input!$1:$1048576,AD$93,$C350*2+MIN($B350,2)+5)</f>
        <v>0.27</v>
      </c>
      <c r="AE350" s="475">
        <f>INDEX(Input!$1:$1048576,AE$93,$C350*2+MIN($B350,2)+5)
+INDEX(Scenarios!AE$121:AE$200,MATCH($B350,Scenarios!$B$121:$B$200,0))</f>
        <v>0</v>
      </c>
      <c r="AF350" s="476">
        <f>INDEX(Input!$1:$1048576,AF$93,$C350*2+MIN($B350,2)+5)</f>
        <v>0.68200000000000005</v>
      </c>
      <c r="AG350" s="475">
        <f>INDEX(Input!$1:$1048576,AG$93,$C350*2+MIN($B350,2)+5)
+INDEX(Scenarios!AG$121:AG$200,MATCH($B350,Scenarios!$B$121:$B$200,0))</f>
        <v>500</v>
      </c>
      <c r="AH350" s="476">
        <f>INDEX(Input!$1:$1048576,AH$93,$C350*2+MIN($B350,2)+5)</f>
        <v>1</v>
      </c>
      <c r="AI350" s="475">
        <f>INDEX(Input!$1:$1048576,AI$93,$C350*2+MIN($B350,2)+5)
+INDEX(Scenarios!AI$121:AI$200,MATCH($B350,Scenarios!$B$121:$B$200,0))</f>
        <v>0</v>
      </c>
      <c r="AJ350" s="476">
        <f>INDEX(Input!$1:$1048576,AJ$93,$C350*2+MIN($B350,2)+5)</f>
        <v>0.27</v>
      </c>
      <c r="AK350" s="150">
        <f>ROUND(INDEX(Input!$1:$1048576,AK$93,$C349*2+MIN($B350,1)+5)+(Y350-VLOOKUP($C350*1000+1,$A:$HH,Y$92,FALSE)),0)</f>
        <v>2617</v>
      </c>
      <c r="AL350" s="150">
        <f>ROUND(INDEX(Input!$1:$1048576,AL$93,$C349*2+MIN($B350,1)+5)-(Y350-VLOOKUP($C350*1000+1,$A:$HH,Y$92,FALSE))/36,0)</f>
        <v>3405</v>
      </c>
      <c r="AM350" s="32" t="str">
        <f t="shared" si="907"/>
        <v>std/std/std/std</v>
      </c>
      <c r="AN350" s="32" t="str">
        <f t="shared" si="908"/>
        <v>$0 + 0/0/0/1.9/3.9</v>
      </c>
      <c r="AO350" s="32" t="str">
        <f t="shared" si="909"/>
        <v>0/0/0/1.9/3.9</v>
      </c>
      <c r="AP350" s="32" t="str">
        <f t="shared" si="863"/>
        <v>0/0.9/1.9/3.9</v>
      </c>
      <c r="AQ350" s="536">
        <f t="shared" si="862"/>
        <v>0.42257081042966022</v>
      </c>
      <c r="AR350" s="32"/>
      <c r="AS350" s="302"/>
      <c r="AT350" s="3">
        <f t="shared" si="930"/>
        <v>50</v>
      </c>
      <c r="AU350" s="41" t="s">
        <v>121</v>
      </c>
      <c r="AV350" s="41" t="s">
        <v>116</v>
      </c>
      <c r="AW350" s="41" t="str">
        <f>INDEX(Input!$1:$1048576,AW$93,$C350*2+6)</f>
        <v>Kia</v>
      </c>
      <c r="AX350" s="41" t="str">
        <f>INDEX(Input!$1:$1048576,AX$93,$C350*2+6)</f>
        <v>Kia-LR - L3</v>
      </c>
      <c r="AY350" s="41" t="str">
        <f>IF(LEN(D350)=0,"",INDEX(Input!$1:$1048576,AY$93,$C350*2+6))</f>
        <v>Compact SUV (52)</v>
      </c>
      <c r="AZ350" s="41" t="str">
        <f>INDEX(Input!$1:$1048576,AZ$93,$C350*2+6)</f>
        <v>Kia Soul</v>
      </c>
      <c r="BA350" s="3">
        <f>INDEX(Input!$1:$1048576,BA$93,$C350*2+6)</f>
        <v>2020</v>
      </c>
      <c r="BB350" s="128">
        <f>INDEX(Input!$1:$1048576,BB$93,$C350*2+6)</f>
        <v>1</v>
      </c>
      <c r="BC350" s="128">
        <f>INDEX(Input!$1:$1048576,BC$93,$C350*2+6)</f>
        <v>0.7</v>
      </c>
      <c r="BD350" s="1">
        <f>INDEX(Input!$1:$1048576,BD$93,$C350*2+6)</f>
        <v>4.4999999999999998E-2</v>
      </c>
      <c r="BE350" s="1">
        <f>INDEX(Input!$1:$1048576,BE$93,$C350*2+6)</f>
        <v>4.4999999999999998E-2</v>
      </c>
      <c r="BF350" s="1">
        <f>INDEX(Input!$1:$1048576,BF$93,$C350*2+6)</f>
        <v>0.05</v>
      </c>
      <c r="BG350" s="1">
        <f>INDEX(Input!$1:$1048576,BG$93,$C350*2+6)</f>
        <v>5.45E-2</v>
      </c>
      <c r="BH350" s="1">
        <f>INDEX(Input!$1:$1048576,BH$93,$C350*2+6)</f>
        <v>5.45E-2</v>
      </c>
      <c r="BI350" s="1">
        <f>INDEX(Input!$1:$1048576,BI$93,$C350*2+6)</f>
        <v>0.05</v>
      </c>
      <c r="BJ350" s="1">
        <f>INDEX(Input!$1:$1048576,BJ$93,$C350*2+6)</f>
        <v>0.05</v>
      </c>
      <c r="BK350" s="1">
        <f>INDEX(Input!$1:$1048576,BK$93,$C350*2+6)</f>
        <v>0.05</v>
      </c>
      <c r="BL350" s="1">
        <f>INDEX(Input!$1:$1048576,BL$93,$C350*2+6)</f>
        <v>5.5E-2</v>
      </c>
      <c r="BM350" s="1">
        <f>INDEX(Input!$1:$1048576,BM$93,$C350*2+6)</f>
        <v>0.06</v>
      </c>
      <c r="BN350" s="1">
        <f>INDEX(Input!$1:$1048576,BN$93,$C350*2+6)</f>
        <v>4.4999999999999998E-2</v>
      </c>
      <c r="BO350" s="1">
        <f>INDEX(Input!$1:$1048576,BO$93,$C350*2+6)</f>
        <v>4.4999999999999998E-2</v>
      </c>
      <c r="BP350" s="1">
        <f>INDEX(Input!$1:$1048576,BP$93,$C350*2+6)</f>
        <v>0.05</v>
      </c>
      <c r="BQ350" s="1">
        <f>INDEX(Input!$1:$1048576,BQ$93,$C350*2+6)</f>
        <v>5.45E-2</v>
      </c>
      <c r="BR350" s="1">
        <f>INDEX(Input!$1:$1048576,BR$93,$C350*2+6)</f>
        <v>5.45E-2</v>
      </c>
      <c r="BS350" s="1">
        <f>INDEX(Input!$1:$1048576,BS$93,$C350*2+6)</f>
        <v>0.05</v>
      </c>
      <c r="BT350" s="1">
        <f>INDEX(Input!$1:$1048576,BT$93,$C350*2+6)</f>
        <v>0.05</v>
      </c>
      <c r="BU350" s="1">
        <f>INDEX(Input!$1:$1048576,BU$93,$C350*2+6)</f>
        <v>0.05</v>
      </c>
      <c r="BV350" s="1">
        <f>INDEX(Input!$1:$1048576,BV$93,$C350*2+6)</f>
        <v>5.5E-2</v>
      </c>
      <c r="BW350" s="1">
        <f>INDEX(Input!$1:$1048576,BW$93,$C350*2+6)</f>
        <v>0.06</v>
      </c>
      <c r="BX350" s="127">
        <f>INDEX(Input!$1:$1048576,BX$93,$C350*2+6)</f>
        <v>19985</v>
      </c>
      <c r="BY350" s="20">
        <f>INDEX(Input!$1:$1048576,BY$93,$C350*2+6)</f>
        <v>0.1</v>
      </c>
      <c r="BZ350" s="20">
        <f>INDEX(Input!$1:$1048576,BZ$93,$C350*2+6)</f>
        <v>0.1</v>
      </c>
      <c r="CA350" s="20">
        <f>INDEX(Input!$1:$1048576,CA$93,$C350*2+6)</f>
        <v>0.1</v>
      </c>
      <c r="CB350" s="20">
        <f>INDEX(Input!$1:$1048576,CB$93,$C350*2+6)</f>
        <v>0.1</v>
      </c>
      <c r="CC350" s="20">
        <f>INDEX(Input!$1:$1048576,CC$93,$C350*2+6)</f>
        <v>0.1</v>
      </c>
      <c r="CD350" s="384">
        <f>INDEX(Input!$1:$1048576,CD$93,$C350*2+6)</f>
        <v>0.1</v>
      </c>
      <c r="CE350" s="384">
        <f>INDEX(Input!$1:$1048576,CE$93,$C350*2+6)</f>
        <v>0.1</v>
      </c>
      <c r="CF350" s="384">
        <f>INDEX(Input!$1:$1048576,CF$93,$C350*2+6)</f>
        <v>0.1</v>
      </c>
      <c r="CG350" s="384">
        <f>INDEX(Input!$1:$1048576,CG$93,$C350*2+6)</f>
        <v>0.1</v>
      </c>
      <c r="CH350" s="384">
        <f>INDEX(Input!$1:$1048576,CH$93,$C350*2+6)</f>
        <v>0.1</v>
      </c>
      <c r="CI350" s="304">
        <f t="shared" si="864"/>
        <v>2287.0236024844721</v>
      </c>
      <c r="CJ350" s="16" t="str">
        <f>INDEX(Input!$1:$1048576,CJ$93,$C350*2+6)</f>
        <v>N</v>
      </c>
      <c r="CK350" s="1" t="str">
        <f t="shared" si="865"/>
        <v>Market</v>
      </c>
      <c r="CL350" s="1" t="str">
        <f t="shared" si="866"/>
        <v>Market</v>
      </c>
      <c r="CM350" s="1" t="str">
        <f t="shared" si="867"/>
        <v>Market</v>
      </c>
      <c r="CN350" s="1" t="str">
        <f t="shared" si="868"/>
        <v>Market</v>
      </c>
      <c r="CO350" s="1" t="str">
        <f t="shared" si="869"/>
        <v>Market</v>
      </c>
      <c r="CP350" s="304">
        <f t="shared" si="870"/>
        <v>500</v>
      </c>
      <c r="CQ350" s="1">
        <f t="shared" si="871"/>
        <v>0</v>
      </c>
      <c r="CR350" s="1">
        <f t="shared" si="872"/>
        <v>0</v>
      </c>
      <c r="CS350" s="1">
        <f t="shared" si="873"/>
        <v>0</v>
      </c>
      <c r="CT350" s="1">
        <f t="shared" si="874"/>
        <v>1.9E-2</v>
      </c>
      <c r="CU350" s="1">
        <f t="shared" si="875"/>
        <v>3.9E-2</v>
      </c>
      <c r="CV350" s="304">
        <f t="shared" si="876"/>
        <v>1194.9999999999991</v>
      </c>
      <c r="CW350" s="20" t="s">
        <v>122</v>
      </c>
      <c r="CX350" s="20" t="s">
        <v>122</v>
      </c>
      <c r="CY350" s="20" t="s">
        <v>122</v>
      </c>
      <c r="CZ350" s="20" t="s">
        <v>122</v>
      </c>
      <c r="DA350" s="20" t="s">
        <v>122</v>
      </c>
      <c r="DB350" s="503">
        <f t="shared" si="877"/>
        <v>0</v>
      </c>
      <c r="DC350" s="127">
        <v>0</v>
      </c>
      <c r="DD350" s="127">
        <v>0</v>
      </c>
      <c r="DE350" s="127">
        <v>0</v>
      </c>
      <c r="DF350" s="127">
        <v>0</v>
      </c>
      <c r="DG350" s="127">
        <v>0</v>
      </c>
      <c r="DH350" s="127">
        <v>0</v>
      </c>
      <c r="DI350" s="127">
        <v>0</v>
      </c>
      <c r="DJ350" s="127">
        <v>0</v>
      </c>
      <c r="DK350" s="127">
        <v>0</v>
      </c>
      <c r="DL350" s="127">
        <v>0</v>
      </c>
      <c r="DM350" s="304">
        <f>INDEX(Input!$1:$1048576,DM$93,$C350*2+6)</f>
        <v>21036.84210526316</v>
      </c>
      <c r="DN350" s="20">
        <v>0</v>
      </c>
      <c r="DO350" s="20">
        <v>0</v>
      </c>
      <c r="DP350" s="20">
        <v>0</v>
      </c>
      <c r="DQ350" s="20">
        <v>0</v>
      </c>
      <c r="DR350" s="20">
        <v>0</v>
      </c>
      <c r="DS350" s="20">
        <f>INDEX(Input!$1:$1048576,DS$93,$C350*2+6)</f>
        <v>0.6</v>
      </c>
      <c r="DT350" s="20">
        <f>INDEX(Input!$1:$1048576,DT$93,$C350*2+6)</f>
        <v>0.55000000000000004</v>
      </c>
      <c r="DU350" s="20">
        <f>INDEX(Input!$1:$1048576,DU$93,$C350*2+6)</f>
        <v>0.52</v>
      </c>
      <c r="DV350" s="20">
        <f>INDEX(Input!$1:$1048576,DV$93,$C350*2+6)</f>
        <v>0.5</v>
      </c>
      <c r="DW350" s="20">
        <f>INDEX(Input!$1:$1048576,DW$93,$C350*2+6)</f>
        <v>0.45</v>
      </c>
      <c r="DX350" s="20"/>
      <c r="DY350" s="7">
        <v>0.12279296493603702</v>
      </c>
      <c r="DZ350" s="7">
        <v>0</v>
      </c>
      <c r="EA350" s="7">
        <v>0.7620856545243202</v>
      </c>
      <c r="EB350" s="7">
        <v>0</v>
      </c>
      <c r="EC350" s="7">
        <v>0</v>
      </c>
      <c r="ED350" s="7">
        <v>0</v>
      </c>
      <c r="EE350" s="7">
        <v>0</v>
      </c>
      <c r="EF350" s="7">
        <v>0</v>
      </c>
      <c r="EG350" s="7">
        <v>0</v>
      </c>
      <c r="EH350" s="7">
        <v>1.2003459585434043E-2</v>
      </c>
      <c r="EI350" s="7">
        <v>3.3623461980410482E-2</v>
      </c>
      <c r="EJ350" s="7">
        <v>0.2712812880600235</v>
      </c>
      <c r="EK350" s="7">
        <v>0.54199505892665201</v>
      </c>
      <c r="EL350" s="7">
        <v>0.14109673144748011</v>
      </c>
      <c r="EM350" s="7">
        <v>3.2030183291718868E-2</v>
      </c>
      <c r="EN350" s="7">
        <v>6.1253198738958112E-2</v>
      </c>
      <c r="EO350" s="7">
        <v>0.77005293319288737</v>
      </c>
      <c r="EP350" s="7">
        <v>6.9440478984962334E-2</v>
      </c>
      <c r="EQ350" s="7">
        <v>6.5209664765938591E-2</v>
      </c>
      <c r="ER350" s="7">
        <v>3.404372431725361E-2</v>
      </c>
      <c r="ES350" s="7">
        <v>8.3091197247923951E-2</v>
      </c>
      <c r="ET350" s="7">
        <v>0.11512138053964283</v>
      </c>
      <c r="EU350" s="6">
        <v>2611</v>
      </c>
      <c r="EV350" s="6">
        <v>0</v>
      </c>
      <c r="EW350" s="6">
        <v>2611</v>
      </c>
      <c r="EX350" s="6">
        <v>0</v>
      </c>
      <c r="EY350" s="6">
        <v>2336.1255282003244</v>
      </c>
      <c r="EZ350" s="6">
        <v>1929</v>
      </c>
      <c r="FA350" s="6">
        <v>0</v>
      </c>
      <c r="FB350" s="6">
        <v>0</v>
      </c>
      <c r="FC350" s="6">
        <v>0</v>
      </c>
      <c r="FD350" s="6">
        <v>0</v>
      </c>
      <c r="FE350" s="6">
        <v>0</v>
      </c>
      <c r="FF350" s="6">
        <v>0</v>
      </c>
      <c r="FG350" s="6">
        <v>0</v>
      </c>
      <c r="FH350" s="6">
        <v>1172.0222583625332</v>
      </c>
      <c r="FI350" s="6">
        <v>1553.9796069512399</v>
      </c>
      <c r="FJ350" s="6">
        <v>2101.211011744741</v>
      </c>
      <c r="FK350" s="6">
        <v>1772.7139978623229</v>
      </c>
      <c r="FL350" s="6">
        <v>907.07682140966358</v>
      </c>
      <c r="FM350" s="6">
        <v>1725.1255282003244</v>
      </c>
      <c r="FN350" s="6">
        <v>0</v>
      </c>
      <c r="FO350" s="6">
        <v>0</v>
      </c>
      <c r="FP350" s="6">
        <v>0</v>
      </c>
      <c r="FQ350" s="6">
        <v>0</v>
      </c>
      <c r="FR350" s="6">
        <v>0</v>
      </c>
      <c r="FS350" s="6">
        <v>0</v>
      </c>
      <c r="FT350" s="7">
        <v>0.88487861946035717</v>
      </c>
      <c r="FU350" s="7">
        <v>3.2030183291718868E-2</v>
      </c>
      <c r="FV350" s="7">
        <v>8.3091197247923951E-2</v>
      </c>
      <c r="FW350" s="6">
        <v>2611</v>
      </c>
      <c r="FX350" s="6">
        <v>2336.1255282003244</v>
      </c>
      <c r="FY350" s="6">
        <v>1929</v>
      </c>
      <c r="FZ350" s="6">
        <v>1858.9243755539039</v>
      </c>
      <c r="GA350" s="6">
        <v>2545.5275237629576</v>
      </c>
      <c r="GB350" s="6">
        <v>17439.472476237042</v>
      </c>
      <c r="GC350" s="7">
        <v>2.9156573141622111E-2</v>
      </c>
      <c r="GD350" s="7">
        <v>3.2366994914059741E-2</v>
      </c>
      <c r="GE350" s="7"/>
      <c r="GF350" s="7"/>
      <c r="GG350" s="7">
        <v>0.1101097086013387</v>
      </c>
      <c r="GH350" s="42">
        <v>3.2049700502214176</v>
      </c>
      <c r="GI350" s="6">
        <v>8781.1552166393139</v>
      </c>
      <c r="GJ350" s="14">
        <v>0.50394797582841711</v>
      </c>
      <c r="GK350" s="14">
        <v>0.50887573065309721</v>
      </c>
      <c r="GL350" s="14">
        <v>0.49605202417158273</v>
      </c>
      <c r="GM350" s="14">
        <v>0.49112426934690234</v>
      </c>
      <c r="GO350" s="5">
        <v>343.14810671672558</v>
      </c>
      <c r="GP350" s="5">
        <v>293.33520778489498</v>
      </c>
      <c r="GQ350" s="5">
        <v>535.04305713031317</v>
      </c>
      <c r="GR350" s="5">
        <v>410.15490233172511</v>
      </c>
      <c r="GS350" s="5">
        <v>339.42744393800166</v>
      </c>
      <c r="GT350" s="5">
        <v>293.4407446948278</v>
      </c>
      <c r="GU350" s="5">
        <v>258.04012322764959</v>
      </c>
      <c r="GV350" s="39" t="s">
        <v>392</v>
      </c>
      <c r="GW350" s="5">
        <v>482.65277777777777</v>
      </c>
      <c r="GX350" s="5">
        <v>361.98958333333331</v>
      </c>
      <c r="GY350" s="5">
        <v>289.59166666666664</v>
      </c>
      <c r="GZ350" s="5">
        <v>255.53408606924114</v>
      </c>
      <c r="HA350" s="5">
        <v>236.70336205047303</v>
      </c>
      <c r="HB350" s="39">
        <v>268.42192919396604</v>
      </c>
      <c r="HC350" s="5">
        <v>202.890625</v>
      </c>
      <c r="HD350" s="5">
        <v>182.20330774853798</v>
      </c>
      <c r="HE350" s="5">
        <v>187.48257844129552</v>
      </c>
      <c r="HF350" s="5">
        <v>176.30063048245611</v>
      </c>
      <c r="HG350" s="5">
        <v>173.65888157894736</v>
      </c>
      <c r="HH350" s="39">
        <v>183.16127149440464</v>
      </c>
      <c r="HI350" s="16"/>
      <c r="HJ350" s="19" t="str">
        <f t="shared" si="984"/>
        <v>On</v>
      </c>
      <c r="HK350" s="1" t="str">
        <f t="shared" si="984"/>
        <v>On</v>
      </c>
      <c r="HL350" s="16"/>
      <c r="HM350" s="639">
        <f t="shared" si="878"/>
        <v>2.2758057894877178E-2</v>
      </c>
      <c r="HN350" s="639">
        <f t="shared" si="879"/>
        <v>1.416759231746561E-3</v>
      </c>
      <c r="HO350" s="639">
        <f t="shared" si="880"/>
        <v>4.5732401537654987E-3</v>
      </c>
      <c r="HP350" s="644">
        <f>(FT350*$GD350-HM350)/$JF350*INDEX(Input!$1:$1048576,$JG$93,$C350*2+6)</f>
        <v>329.45927982684117</v>
      </c>
      <c r="HQ350" s="644">
        <f>(FU350*$GD350-HN350)/$JF350*INDEX(Input!$1:$1048576,$JG$93,$C350*2+6)</f>
        <v>-21.283591507702006</v>
      </c>
      <c r="HR350" s="644">
        <f>(FV350*$GD350-HO350)/$JF350*INDEX(Input!$1:$1048576,$JG$93,$C350*2+6)</f>
        <v>-105.50148555886757</v>
      </c>
      <c r="HS350" s="644">
        <f t="shared" si="985"/>
        <v>-110.53192504754212</v>
      </c>
      <c r="HT350" s="644">
        <f t="shared" si="882"/>
        <v>4.6674160264449895</v>
      </c>
      <c r="HU350" s="644">
        <f t="shared" si="883"/>
        <v>15.80657982491603</v>
      </c>
      <c r="HV350" s="648">
        <f t="shared" si="884"/>
        <v>0</v>
      </c>
      <c r="HW350" s="648">
        <f t="shared" si="885"/>
        <v>0</v>
      </c>
      <c r="HX350" s="648">
        <f t="shared" si="886"/>
        <v>0</v>
      </c>
      <c r="HY350" s="644">
        <f>INDEX(Input!$1:$1048576,HY$93,$C350*2+6)*INDEX(Input!$1:$1048576,$JG$93,$C350*2+6)</f>
        <v>509.00000000000006</v>
      </c>
      <c r="HZ350" s="644">
        <f>INDEX(Input!$1:$1048576,HZ$93,$C350*2+6)*INDEX(Input!$1:$1048576,$JG$93,$C350*2+6)</f>
        <v>844</v>
      </c>
      <c r="IA350" s="644">
        <f>INDEX(Input!$1:$1048576,IA$93,$C350*2+6)*INDEX(Input!$1:$1048576,$JG$93,$C350*2+6)</f>
        <v>257</v>
      </c>
      <c r="IB350" s="644">
        <f t="shared" si="910"/>
        <v>727.92735477929898</v>
      </c>
      <c r="IC350" s="644">
        <f t="shared" si="911"/>
        <v>827.38382451874304</v>
      </c>
      <c r="ID350" s="644">
        <f>IF(AND(INDEX(Input!$1:$1048576,IA$93,$C350*2+7)="TOS",Y350&lt;=INDEX(Y:Y,MATCH(C350*1000+2,A:A))),0,1)*MAX(IA350+HR350+HU350+HX350,0%)</f>
        <v>167.30509426604848</v>
      </c>
      <c r="IE350" s="128">
        <f t="shared" si="990"/>
        <v>0.42257081042966022</v>
      </c>
      <c r="IF350" s="128">
        <f t="shared" si="977"/>
        <v>0.48030651818172315</v>
      </c>
      <c r="IG350" s="128">
        <f t="shared" si="888"/>
        <v>9.7122671388616619E-2</v>
      </c>
      <c r="IH350" s="21"/>
      <c r="II350" s="19">
        <f t="shared" si="889"/>
        <v>1410.4999999999998</v>
      </c>
      <c r="IJ350" s="19">
        <f t="shared" si="890"/>
        <v>2134.9731585778086</v>
      </c>
      <c r="IK350" s="19">
        <f t="shared" si="891"/>
        <v>2103.5</v>
      </c>
      <c r="IL350" s="19">
        <f t="shared" si="913"/>
        <v>1200.5000000000002</v>
      </c>
      <c r="IM350" s="19">
        <f t="shared" si="892"/>
        <v>201.15236962251583</v>
      </c>
      <c r="IN350" s="19">
        <f t="shared" si="893"/>
        <v>-174.5</v>
      </c>
      <c r="IO350" s="39">
        <f t="shared" si="894"/>
        <v>0</v>
      </c>
      <c r="IP350" s="39">
        <f t="shared" si="895"/>
        <v>0</v>
      </c>
      <c r="IQ350" s="39">
        <f t="shared" si="896"/>
        <v>0</v>
      </c>
      <c r="IR350" s="39">
        <v>0</v>
      </c>
      <c r="IS350" s="39">
        <v>0</v>
      </c>
      <c r="IT350" s="39">
        <v>0</v>
      </c>
      <c r="IU350" s="39">
        <v>0</v>
      </c>
      <c r="IV350" s="39">
        <v>0</v>
      </c>
      <c r="IW350" s="39">
        <v>0</v>
      </c>
      <c r="IX350" s="39">
        <f>INDEX(Input!$1:$1048576,IX$93,$C350*2+6)+INDEX(Input!$1:$1048576,IX$94,$C350*2+6)</f>
        <v>1611</v>
      </c>
      <c r="IY350" s="39">
        <f>INDEX(Input!$1:$1048576,IY$93,$C350*2+6)+INDEX(Input!$1:$1048576,IY$94,$C350*2+6)</f>
        <v>2471.0624533823611</v>
      </c>
      <c r="IZ350" s="39">
        <f>INDEX(Input!$1:$1048576,IZ$93,$C350*2+6)+INDEX(Input!$1:$1048576,IZ$94,$C350*2+6)</f>
        <v>3994.7164157747857</v>
      </c>
      <c r="JA350" s="19">
        <f t="shared" si="914"/>
        <v>2811.5</v>
      </c>
      <c r="JB350" s="19">
        <f t="shared" si="915"/>
        <v>2672.214823004877</v>
      </c>
      <c r="JC350" s="19">
        <f t="shared" si="916"/>
        <v>3820.2164157747857</v>
      </c>
      <c r="JD350" s="19">
        <f t="shared" si="917"/>
        <v>2842.5696545767451</v>
      </c>
      <c r="JE350" s="21"/>
      <c r="JF350" s="1">
        <f t="shared" si="897"/>
        <v>2.8748057280389237E-2</v>
      </c>
      <c r="JG350" s="15">
        <f>INDEX(Input!$1:$1048576,JG$93,$C350*2+6)/(1+VLOOKUP(C350*1000+INDEX(Input!$1:$1048576,JG$93+1,$C350*2+6),$A:$KK,$JK$92,FALSE))</f>
        <v>1610</v>
      </c>
      <c r="JH350" s="1">
        <f t="shared" si="918"/>
        <v>0.12588459798774634</v>
      </c>
      <c r="JI350" s="1">
        <f t="shared" si="919"/>
        <v>-5.5936601985205649E-2</v>
      </c>
      <c r="JJ350" s="1">
        <f t="shared" si="978"/>
        <v>0</v>
      </c>
      <c r="JK350" s="1">
        <f t="shared" si="979"/>
        <v>6.9947996002540702E-2</v>
      </c>
      <c r="JL350" s="15">
        <f t="shared" si="922"/>
        <v>112.61627356409053</v>
      </c>
      <c r="JM350" s="15">
        <f t="shared" si="948"/>
        <v>1722.6162735640905</v>
      </c>
      <c r="JN350" s="21"/>
      <c r="JO350" s="19">
        <f>INDEX(Input!$1:$1048576,JO$93,$C350*2+6)</f>
        <v>5995.5</v>
      </c>
      <c r="JP350" s="19">
        <f>INDEX(Input!$1:$1048576,JP$93,$C350*2+6)</f>
        <v>2442.3713226762939</v>
      </c>
      <c r="JQ350" s="39">
        <f t="shared" si="934"/>
        <v>3152.9303454232549</v>
      </c>
      <c r="JR350" s="39">
        <f t="shared" si="951"/>
        <v>400.19833190045119</v>
      </c>
      <c r="JS350" s="39">
        <f t="shared" si="936"/>
        <v>4.896656745713357</v>
      </c>
      <c r="JT350" s="39">
        <f t="shared" si="924"/>
        <v>0.96443891620452371</v>
      </c>
      <c r="JU350" s="385">
        <f>(JQ350*JM350-INDEX(Input!$1:$1048576,Input!A$18,$C350*2+6)*JL350*INDEX(Input!$1:$1048576,Input!A$19,$C350*2+6))/1000000</f>
        <v>5.4312891224401483</v>
      </c>
      <c r="JV350" s="39">
        <f t="shared" si="958"/>
        <v>-0.28924804805101889</v>
      </c>
      <c r="JW350" s="1">
        <f t="shared" si="949"/>
        <v>-5.0563092141604593E-2</v>
      </c>
      <c r="JX350" s="19">
        <f t="shared" si="940"/>
        <v>8563.9391686642539</v>
      </c>
      <c r="JZ350" s="341"/>
      <c r="KA350" s="342"/>
      <c r="KB350" s="469">
        <f t="shared" si="937"/>
        <v>2.5190675447988795</v>
      </c>
      <c r="KI350" s="473">
        <f t="shared" si="987"/>
        <v>218.92735477929892</v>
      </c>
      <c r="KJ350" s="473">
        <f t="shared" si="988"/>
        <v>-16.61617548125696</v>
      </c>
      <c r="KK350" s="473">
        <f t="shared" si="926"/>
        <v>-89.694905733951515</v>
      </c>
      <c r="KN350" s="544">
        <f t="shared" si="941"/>
        <v>3002</v>
      </c>
      <c r="KO350" s="541">
        <f t="shared" si="901"/>
        <v>3.8263926336309151E-2</v>
      </c>
      <c r="KP350" s="546">
        <f t="shared" si="902"/>
        <v>387.89664188971079</v>
      </c>
      <c r="KQ350" s="546">
        <f t="shared" si="903"/>
        <v>206.65622918804684</v>
      </c>
      <c r="KR350" s="548">
        <f t="shared" si="904"/>
        <v>1.711394477299768</v>
      </c>
      <c r="KS350" s="548">
        <f t="shared" si="905"/>
        <v>3.2123114473801411</v>
      </c>
      <c r="KT350" s="473">
        <f t="shared" si="939"/>
        <v>1026.1618045255443</v>
      </c>
      <c r="KU350" s="663">
        <f t="shared" si="927"/>
        <v>4.7717147281057457</v>
      </c>
      <c r="KV350" s="117"/>
    </row>
    <row r="351" spans="1:308" s="26" customFormat="1" ht="15" outlineLevel="1">
      <c r="A351" s="561">
        <f t="shared" si="906"/>
        <v>3051</v>
      </c>
      <c r="B351" s="561">
        <f t="shared" si="928"/>
        <v>51</v>
      </c>
      <c r="C351" s="561">
        <f t="shared" si="929"/>
        <v>3</v>
      </c>
      <c r="D351" s="561" t="str">
        <f t="shared" si="974"/>
        <v xml:space="preserve">0/0/0.9/3.9, -360 Lease, </v>
      </c>
      <c r="E351" s="475">
        <f>INDEX(Input!$1:$1048576,E$93,$C351*2+MIN($B351,2)+5)
+INDEX(Scenarios!E$121:E$200,MATCH($B351,Scenarios!$B$121:$B$200,0))</f>
        <v>1287.0236024844721</v>
      </c>
      <c r="F351" s="475">
        <f>INDEX(Input!$1:$1048576,F$93,$C351*2+MIN($B351,2)+5)
+INDEX(Scenarios!F$121:F$200,MATCH($B351,Scenarios!$B$121:$B$200,0))</f>
        <v>0</v>
      </c>
      <c r="G351" s="475">
        <f>INDEX(Input!$1:$1048576,G$93,$C351*2+MIN($B351,2)+5)
+INDEX(Scenarios!G$121:G$200,MATCH($B351,Scenarios!$B$121:$B$200,0))</f>
        <v>0</v>
      </c>
      <c r="H351" s="475">
        <f>INDEX(Input!$1:$1048576,H$93,$C351*2+MIN($B351,2)+5)
+INDEX(Scenarios!H$121:H$200,MATCH($B351,Scenarios!$B$121:$B$200,0))</f>
        <v>0</v>
      </c>
      <c r="I351" s="476">
        <f>INDEX(Input!$1:$1048576,I$93,$C351*2+MIN($B351,2)+5)</f>
        <v>0.7</v>
      </c>
      <c r="J351" s="476" t="str">
        <f>INDEX(Input!$1:$1048576,J$93,$C351*2+MIN($B351,2)+5)</f>
        <v>Market</v>
      </c>
      <c r="K351" s="476" t="str">
        <f>INDEX(Input!$1:$1048576,K$93,$C351*2+MIN($B351,2)+5)</f>
        <v>Market</v>
      </c>
      <c r="L351" s="476" t="str">
        <f>INDEX(Input!$1:$1048576,L$93,$C351*2+MIN($B351,2)+5)</f>
        <v>Market</v>
      </c>
      <c r="M351" s="476" t="str">
        <f>INDEX(Input!$1:$1048576,M$93,$C351*2+MIN($B351,2)+5)</f>
        <v>Market</v>
      </c>
      <c r="N351" s="476" t="str">
        <f>INDEX(Input!$1:$1048576,N$93,$C351*2+MIN($B351,2)+5)</f>
        <v>Market</v>
      </c>
      <c r="O351" s="476" t="str">
        <f>INDEX(Input!$1:$1048576,O$93,$C351*2+MIN($B351,2)+5)</f>
        <v>Market</v>
      </c>
      <c r="P351" s="476" t="str">
        <f>INDEX(Input!$1:$1048576,P$93,$C351*2+MIN($B351,2)+5)</f>
        <v>N</v>
      </c>
      <c r="Q351" s="477">
        <f>INDEX(Input!$1:$1048576,Q$93,$C351*2+MIN($B351,2)+5)
+INDEX(Scenarios!Q$121:Q$200,MATCH($B351,Scenarios!$B$121:$B$200,0))</f>
        <v>0</v>
      </c>
      <c r="R351" s="478">
        <f>IFERROR(MAX(0,INDEX(Input!$1:$1048576,R$93,$C351*2+MIN($B351,2)+5)
+INDEX(Scenarios!R$121:R$200,MATCH($B351,Scenarios!$B$121:$B$200,0)),),"Market")</f>
        <v>0</v>
      </c>
      <c r="S351" s="478">
        <f>IFERROR(MAX(0,INDEX(Input!$1:$1048576,S$93,$C351*2+MIN($B351,2)+5)
+INDEX(Scenarios!S$121:S$200,MATCH($B351,Scenarios!$B$121:$B$200,0)),),"Market")</f>
        <v>0</v>
      </c>
      <c r="T351" s="478">
        <f>IFERROR(MAX(0,INDEX(Input!$1:$1048576,T$93,$C351*2+MIN($B351,2)+5)
+INDEX(Scenarios!T$121:T$200,MATCH($B351,Scenarios!$B$121:$B$200,0)),),"Market")</f>
        <v>0</v>
      </c>
      <c r="U351" s="478">
        <f>IFERROR(MAX(0,INDEX(Input!$1:$1048576,U$93,$C351*2+MIN($B351,2)+5)
+INDEX(Scenarios!U$121:U$200,MATCH($B351,Scenarios!$B$121:$B$200,0)),),"Market")</f>
        <v>0</v>
      </c>
      <c r="V351" s="478">
        <f>IFERROR(MAX(0,INDEX(Input!$1:$1048576,V$93,$C351*2+MIN($B351,2)+5)
+INDEX(Scenarios!V$121:V$200,MATCH($B351,Scenarios!$B$121:$B$200,0)),),"Market")</f>
        <v>8.9999999999999993E-3</v>
      </c>
      <c r="W351" s="885">
        <f>IFERROR(MAX(0,INDEX(Input!$1:$1048576,W$93,$C351*2+MIN($B351,2)+5)-0%,),"Market")</f>
        <v>3.9E-2</v>
      </c>
      <c r="X351" s="476" t="str">
        <f>INDEX(Input!$1:$1048576,X$93,$C351*2+MIN($B351,2)+5)</f>
        <v>Y</v>
      </c>
      <c r="Y351" s="475">
        <f>INDEX(Input!$1:$1048576,Y$93,$C351*2+MIN($B351,2)+5)
++INDEX(Scenarios!Y$121:Y$200,MATCH($B351,Scenarios!$B$121:$B$200,0))</f>
        <v>1194.9999999999991</v>
      </c>
      <c r="Z351" s="477">
        <f>INDEX(Input!$1:$1048576,Z$93,$C351*2+MIN($B351,2)+5)
+INDEX(Scenarios!Z$121:Z$200,MATCH($B351,Scenarios!$B$121:$B$200,0))</f>
        <v>0</v>
      </c>
      <c r="AA351" s="475">
        <f>INDEX(Input!$1:$1048576,AA$93,$C351*2+MIN($B351,2)+5)
+INDEX(Scenarios!AA$121:AA$200,MATCH($B351,Scenarios!$B$121:$B$200,0))</f>
        <v>0</v>
      </c>
      <c r="AB351" s="476">
        <f>INDEX(Input!$1:$1048576,AB$93,$C351*2+MIN($B351,2)+5)</f>
        <v>0.27</v>
      </c>
      <c r="AC351" s="475">
        <f>INDEX(Input!$1:$1048576,AC$93,$C351*2+MIN($B351,2)+5)
+INDEX(Scenarios!AC$121:AC$200,MATCH($B351,Scenarios!$B$121:$B$200,0))</f>
        <v>0</v>
      </c>
      <c r="AD351" s="476">
        <f>INDEX(Input!$1:$1048576,AD$93,$C351*2+MIN($B351,2)+5)</f>
        <v>0.27</v>
      </c>
      <c r="AE351" s="475">
        <f>INDEX(Input!$1:$1048576,AE$93,$C351*2+MIN($B351,2)+5)
+INDEX(Scenarios!AE$121:AE$200,MATCH($B351,Scenarios!$B$121:$B$200,0))</f>
        <v>0</v>
      </c>
      <c r="AF351" s="476">
        <f>INDEX(Input!$1:$1048576,AF$93,$C351*2+MIN($B351,2)+5)</f>
        <v>0.68200000000000005</v>
      </c>
      <c r="AG351" s="475">
        <f>INDEX(Input!$1:$1048576,AG$93,$C351*2+MIN($B351,2)+5)
+INDEX(Scenarios!AG$121:AG$200,MATCH($B351,Scenarios!$B$121:$B$200,0))</f>
        <v>500</v>
      </c>
      <c r="AH351" s="476">
        <f>INDEX(Input!$1:$1048576,AH$93,$C351*2+MIN($B351,2)+5)</f>
        <v>1</v>
      </c>
      <c r="AI351" s="475">
        <f>INDEX(Input!$1:$1048576,AI$93,$C351*2+MIN($B351,2)+5)
+INDEX(Scenarios!AI$121:AI$200,MATCH($B351,Scenarios!$B$121:$B$200,0))</f>
        <v>0</v>
      </c>
      <c r="AJ351" s="476">
        <f>INDEX(Input!$1:$1048576,AJ$93,$C351*2+MIN($B351,2)+5)</f>
        <v>0.27</v>
      </c>
      <c r="AK351" s="150">
        <f>ROUND(INDEX(Input!$1:$1048576,AK$93,$C350*2+MIN($B351,1)+5)+(Y351-VLOOKUP($C351*1000+1,$A:$HH,Y$92,FALSE)),0)</f>
        <v>2617</v>
      </c>
      <c r="AL351" s="150">
        <f>ROUND(INDEX(Input!$1:$1048576,AL$93,$C350*2+MIN($B351,1)+5)-(Y351-VLOOKUP($C351*1000+1,$A:$HH,Y$92,FALSE))/36,0)</f>
        <v>3405</v>
      </c>
      <c r="AM351" s="32" t="str">
        <f t="shared" si="907"/>
        <v>std/std/std/std</v>
      </c>
      <c r="AN351" s="32" t="str">
        <f t="shared" si="908"/>
        <v>$0 + 0/0/0/0.9/3.9</v>
      </c>
      <c r="AO351" s="32" t="str">
        <f t="shared" si="909"/>
        <v>0/0/0/0.9/3.9</v>
      </c>
      <c r="AP351" s="32" t="str">
        <f t="shared" si="863"/>
        <v>0/0/0.9/3.9</v>
      </c>
      <c r="AQ351" s="536">
        <f t="shared" si="862"/>
        <v>0.32032511484617804</v>
      </c>
      <c r="AR351" s="32"/>
      <c r="AS351" s="302"/>
      <c r="AT351" s="3">
        <f t="shared" si="930"/>
        <v>51</v>
      </c>
      <c r="AU351" s="41" t="s">
        <v>121</v>
      </c>
      <c r="AV351" s="41" t="s">
        <v>116</v>
      </c>
      <c r="AW351" s="41" t="str">
        <f>INDEX(Input!$1:$1048576,AW$93,$C351*2+6)</f>
        <v>Kia</v>
      </c>
      <c r="AX351" s="41" t="str">
        <f>INDEX(Input!$1:$1048576,AX$93,$C351*2+6)</f>
        <v>Kia-LR - L3</v>
      </c>
      <c r="AY351" s="41" t="str">
        <f>IF(LEN(D351)=0,"",INDEX(Input!$1:$1048576,AY$93,$C351*2+6))</f>
        <v>Compact SUV (52)</v>
      </c>
      <c r="AZ351" s="41" t="str">
        <f>INDEX(Input!$1:$1048576,AZ$93,$C351*2+6)</f>
        <v>Kia Soul</v>
      </c>
      <c r="BA351" s="3">
        <f>INDEX(Input!$1:$1048576,BA$93,$C351*2+6)</f>
        <v>2020</v>
      </c>
      <c r="BB351" s="128">
        <f>INDEX(Input!$1:$1048576,BB$93,$C351*2+6)</f>
        <v>1</v>
      </c>
      <c r="BC351" s="128">
        <f>INDEX(Input!$1:$1048576,BC$93,$C351*2+6)</f>
        <v>0.7</v>
      </c>
      <c r="BD351" s="1">
        <f>INDEX(Input!$1:$1048576,BD$93,$C351*2+6)</f>
        <v>4.4999999999999998E-2</v>
      </c>
      <c r="BE351" s="1">
        <f>INDEX(Input!$1:$1048576,BE$93,$C351*2+6)</f>
        <v>4.4999999999999998E-2</v>
      </c>
      <c r="BF351" s="1">
        <f>INDEX(Input!$1:$1048576,BF$93,$C351*2+6)</f>
        <v>0.05</v>
      </c>
      <c r="BG351" s="1">
        <f>INDEX(Input!$1:$1048576,BG$93,$C351*2+6)</f>
        <v>5.45E-2</v>
      </c>
      <c r="BH351" s="1">
        <f>INDEX(Input!$1:$1048576,BH$93,$C351*2+6)</f>
        <v>5.45E-2</v>
      </c>
      <c r="BI351" s="1">
        <f>INDEX(Input!$1:$1048576,BI$93,$C351*2+6)</f>
        <v>0.05</v>
      </c>
      <c r="BJ351" s="1">
        <f>INDEX(Input!$1:$1048576,BJ$93,$C351*2+6)</f>
        <v>0.05</v>
      </c>
      <c r="BK351" s="1">
        <f>INDEX(Input!$1:$1048576,BK$93,$C351*2+6)</f>
        <v>0.05</v>
      </c>
      <c r="BL351" s="1">
        <f>INDEX(Input!$1:$1048576,BL$93,$C351*2+6)</f>
        <v>5.5E-2</v>
      </c>
      <c r="BM351" s="1">
        <f>INDEX(Input!$1:$1048576,BM$93,$C351*2+6)</f>
        <v>0.06</v>
      </c>
      <c r="BN351" s="1">
        <f>INDEX(Input!$1:$1048576,BN$93,$C351*2+6)</f>
        <v>4.4999999999999998E-2</v>
      </c>
      <c r="BO351" s="1">
        <f>INDEX(Input!$1:$1048576,BO$93,$C351*2+6)</f>
        <v>4.4999999999999998E-2</v>
      </c>
      <c r="BP351" s="1">
        <f>INDEX(Input!$1:$1048576,BP$93,$C351*2+6)</f>
        <v>0.05</v>
      </c>
      <c r="BQ351" s="1">
        <f>INDEX(Input!$1:$1048576,BQ$93,$C351*2+6)</f>
        <v>5.45E-2</v>
      </c>
      <c r="BR351" s="1">
        <f>INDEX(Input!$1:$1048576,BR$93,$C351*2+6)</f>
        <v>5.45E-2</v>
      </c>
      <c r="BS351" s="1">
        <f>INDEX(Input!$1:$1048576,BS$93,$C351*2+6)</f>
        <v>0.05</v>
      </c>
      <c r="BT351" s="1">
        <f>INDEX(Input!$1:$1048576,BT$93,$C351*2+6)</f>
        <v>0.05</v>
      </c>
      <c r="BU351" s="1">
        <f>INDEX(Input!$1:$1048576,BU$93,$C351*2+6)</f>
        <v>0.05</v>
      </c>
      <c r="BV351" s="1">
        <f>INDEX(Input!$1:$1048576,BV$93,$C351*2+6)</f>
        <v>5.5E-2</v>
      </c>
      <c r="BW351" s="1">
        <f>INDEX(Input!$1:$1048576,BW$93,$C351*2+6)</f>
        <v>0.06</v>
      </c>
      <c r="BX351" s="127">
        <f>INDEX(Input!$1:$1048576,BX$93,$C351*2+6)</f>
        <v>19985</v>
      </c>
      <c r="BY351" s="20">
        <f>INDEX(Input!$1:$1048576,BY$93,$C351*2+6)</f>
        <v>0.1</v>
      </c>
      <c r="BZ351" s="20">
        <f>INDEX(Input!$1:$1048576,BZ$93,$C351*2+6)</f>
        <v>0.1</v>
      </c>
      <c r="CA351" s="20">
        <f>INDEX(Input!$1:$1048576,CA$93,$C351*2+6)</f>
        <v>0.1</v>
      </c>
      <c r="CB351" s="20">
        <f>INDEX(Input!$1:$1048576,CB$93,$C351*2+6)</f>
        <v>0.1</v>
      </c>
      <c r="CC351" s="20">
        <f>INDEX(Input!$1:$1048576,CC$93,$C351*2+6)</f>
        <v>0.1</v>
      </c>
      <c r="CD351" s="384">
        <f>INDEX(Input!$1:$1048576,CD$93,$C351*2+6)</f>
        <v>0.1</v>
      </c>
      <c r="CE351" s="384">
        <f>INDEX(Input!$1:$1048576,CE$93,$C351*2+6)</f>
        <v>0.1</v>
      </c>
      <c r="CF351" s="384">
        <f>INDEX(Input!$1:$1048576,CF$93,$C351*2+6)</f>
        <v>0.1</v>
      </c>
      <c r="CG351" s="384">
        <f>INDEX(Input!$1:$1048576,CG$93,$C351*2+6)</f>
        <v>0.1</v>
      </c>
      <c r="CH351" s="384">
        <f>INDEX(Input!$1:$1048576,CH$93,$C351*2+6)</f>
        <v>0.1</v>
      </c>
      <c r="CI351" s="304">
        <f t="shared" si="864"/>
        <v>1287.0236024844721</v>
      </c>
      <c r="CJ351" s="16" t="str">
        <f>INDEX(Input!$1:$1048576,CJ$93,$C351*2+6)</f>
        <v>N</v>
      </c>
      <c r="CK351" s="1" t="str">
        <f t="shared" si="865"/>
        <v>Market</v>
      </c>
      <c r="CL351" s="1" t="str">
        <f t="shared" si="866"/>
        <v>Market</v>
      </c>
      <c r="CM351" s="1" t="str">
        <f t="shared" si="867"/>
        <v>Market</v>
      </c>
      <c r="CN351" s="1" t="str">
        <f t="shared" si="868"/>
        <v>Market</v>
      </c>
      <c r="CO351" s="1" t="str">
        <f t="shared" si="869"/>
        <v>Market</v>
      </c>
      <c r="CP351" s="304">
        <f t="shared" si="870"/>
        <v>500</v>
      </c>
      <c r="CQ351" s="1">
        <f t="shared" si="871"/>
        <v>0</v>
      </c>
      <c r="CR351" s="1">
        <f t="shared" si="872"/>
        <v>0</v>
      </c>
      <c r="CS351" s="1">
        <f t="shared" si="873"/>
        <v>0</v>
      </c>
      <c r="CT351" s="1">
        <f t="shared" si="874"/>
        <v>8.9999999999999993E-3</v>
      </c>
      <c r="CU351" s="1">
        <f t="shared" si="875"/>
        <v>3.9E-2</v>
      </c>
      <c r="CV351" s="304">
        <f t="shared" si="876"/>
        <v>1194.9999999999991</v>
      </c>
      <c r="CW351" s="20" t="s">
        <v>122</v>
      </c>
      <c r="CX351" s="20" t="s">
        <v>122</v>
      </c>
      <c r="CY351" s="20" t="s">
        <v>122</v>
      </c>
      <c r="CZ351" s="20" t="s">
        <v>122</v>
      </c>
      <c r="DA351" s="20" t="s">
        <v>122</v>
      </c>
      <c r="DB351" s="503">
        <f t="shared" si="877"/>
        <v>0</v>
      </c>
      <c r="DC351" s="127">
        <v>0</v>
      </c>
      <c r="DD351" s="127">
        <v>0</v>
      </c>
      <c r="DE351" s="127">
        <v>0</v>
      </c>
      <c r="DF351" s="127">
        <v>0</v>
      </c>
      <c r="DG351" s="127">
        <v>0</v>
      </c>
      <c r="DH351" s="127">
        <v>0</v>
      </c>
      <c r="DI351" s="127">
        <v>0</v>
      </c>
      <c r="DJ351" s="127">
        <v>0</v>
      </c>
      <c r="DK351" s="127">
        <v>0</v>
      </c>
      <c r="DL351" s="127">
        <v>0</v>
      </c>
      <c r="DM351" s="304">
        <f>INDEX(Input!$1:$1048576,DM$93,$C351*2+6)</f>
        <v>21036.84210526316</v>
      </c>
      <c r="DN351" s="20">
        <v>0</v>
      </c>
      <c r="DO351" s="20">
        <v>0</v>
      </c>
      <c r="DP351" s="20">
        <v>0</v>
      </c>
      <c r="DQ351" s="20">
        <v>0</v>
      </c>
      <c r="DR351" s="20">
        <v>0</v>
      </c>
      <c r="DS351" s="20">
        <f>INDEX(Input!$1:$1048576,DS$93,$C351*2+6)</f>
        <v>0.6</v>
      </c>
      <c r="DT351" s="20">
        <f>INDEX(Input!$1:$1048576,DT$93,$C351*2+6)</f>
        <v>0.55000000000000004</v>
      </c>
      <c r="DU351" s="20">
        <f>INDEX(Input!$1:$1048576,DU$93,$C351*2+6)</f>
        <v>0.52</v>
      </c>
      <c r="DV351" s="20">
        <f>INDEX(Input!$1:$1048576,DV$93,$C351*2+6)</f>
        <v>0.5</v>
      </c>
      <c r="DW351" s="20">
        <f>INDEX(Input!$1:$1048576,DW$93,$C351*2+6)</f>
        <v>0.45</v>
      </c>
      <c r="DX351" s="20"/>
      <c r="DY351" s="7">
        <v>0.10212959441285624</v>
      </c>
      <c r="DZ351" s="7">
        <v>0</v>
      </c>
      <c r="EA351" s="7">
        <v>0.70363049648843745</v>
      </c>
      <c r="EB351" s="7">
        <v>0</v>
      </c>
      <c r="EC351" s="7">
        <v>0</v>
      </c>
      <c r="ED351" s="7">
        <v>0</v>
      </c>
      <c r="EE351" s="7">
        <v>0</v>
      </c>
      <c r="EF351" s="7">
        <v>0</v>
      </c>
      <c r="EG351" s="7">
        <v>0</v>
      </c>
      <c r="EH351" s="7">
        <v>9.4343327731342911E-3</v>
      </c>
      <c r="EI351" s="7">
        <v>2.641607045177068E-2</v>
      </c>
      <c r="EJ351" s="7">
        <v>0.21263256072339634</v>
      </c>
      <c r="EK351" s="7">
        <v>0.64035770108595025</v>
      </c>
      <c r="EL351" s="7">
        <v>0.1111593349657486</v>
      </c>
      <c r="EM351" s="7">
        <v>6.3770284897648452E-2</v>
      </c>
      <c r="EN351" s="7">
        <v>6.1164311409291079E-2</v>
      </c>
      <c r="EO351" s="7">
        <v>0.76989932202603029</v>
      </c>
      <c r="EP351" s="7">
        <v>6.9610061464415188E-2</v>
      </c>
      <c r="EQ351" s="7">
        <v>6.5298249950605583E-2</v>
      </c>
      <c r="ER351" s="7">
        <v>3.4028055149657829E-2</v>
      </c>
      <c r="ES351" s="7">
        <v>0.13046962420105779</v>
      </c>
      <c r="ET351" s="7">
        <v>0.19423990909870634</v>
      </c>
      <c r="EU351" s="6">
        <v>1611</v>
      </c>
      <c r="EV351" s="6">
        <v>0</v>
      </c>
      <c r="EW351" s="6">
        <v>1611</v>
      </c>
      <c r="EX351" s="6">
        <v>0</v>
      </c>
      <c r="EY351" s="6">
        <v>2652.3653629438759</v>
      </c>
      <c r="EZ351" s="6">
        <v>1929</v>
      </c>
      <c r="FA351" s="6">
        <v>0</v>
      </c>
      <c r="FB351" s="6">
        <v>0</v>
      </c>
      <c r="FC351" s="6">
        <v>0</v>
      </c>
      <c r="FD351" s="6">
        <v>0</v>
      </c>
      <c r="FE351" s="6">
        <v>0</v>
      </c>
      <c r="FF351" s="6">
        <v>0</v>
      </c>
      <c r="FG351" s="6">
        <v>0</v>
      </c>
      <c r="FH351" s="6">
        <v>1172.0049125002029</v>
      </c>
      <c r="FI351" s="6">
        <v>1553.9796069512402</v>
      </c>
      <c r="FJ351" s="6">
        <v>2101.2110117447405</v>
      </c>
      <c r="FK351" s="6">
        <v>2251.3078348034664</v>
      </c>
      <c r="FL351" s="6">
        <v>907.07682140966358</v>
      </c>
      <c r="FM351" s="6">
        <v>2041.3653629438759</v>
      </c>
      <c r="FN351" s="6">
        <v>0</v>
      </c>
      <c r="FO351" s="6">
        <v>0</v>
      </c>
      <c r="FP351" s="6">
        <v>0</v>
      </c>
      <c r="FQ351" s="6">
        <v>0</v>
      </c>
      <c r="FR351" s="6">
        <v>0</v>
      </c>
      <c r="FS351" s="6">
        <v>0</v>
      </c>
      <c r="FT351" s="7">
        <v>0.80576009090129364</v>
      </c>
      <c r="FU351" s="7">
        <v>6.3770284897648452E-2</v>
      </c>
      <c r="FV351" s="7">
        <v>0.13046962420105779</v>
      </c>
      <c r="FW351" s="6">
        <v>1611</v>
      </c>
      <c r="FX351" s="6">
        <v>2652.3653629438759</v>
      </c>
      <c r="FY351" s="6">
        <v>1929</v>
      </c>
      <c r="FZ351" s="6">
        <v>1858.9243755539039</v>
      </c>
      <c r="GA351" s="6">
        <v>1718.8975063734101</v>
      </c>
      <c r="GB351" s="6">
        <v>18266.102493626589</v>
      </c>
      <c r="GC351" s="7">
        <v>2.9156573141622111E-2</v>
      </c>
      <c r="GD351" s="7">
        <v>2.9328257297204424E-2</v>
      </c>
      <c r="GE351" s="7"/>
      <c r="GF351" s="7"/>
      <c r="GG351" s="7">
        <v>5.8883516505314924E-3</v>
      </c>
      <c r="GH351" s="42">
        <v>-0.84040090608742191</v>
      </c>
      <c r="GI351" s="6">
        <v>-22061.419548545502</v>
      </c>
      <c r="GJ351" s="14">
        <v>0.50394797582841733</v>
      </c>
      <c r="GK351" s="14">
        <v>0.50887573065309744</v>
      </c>
      <c r="GL351" s="14">
        <v>0.49605202417158284</v>
      </c>
      <c r="GM351" s="14">
        <v>0.49112426934690251</v>
      </c>
      <c r="GO351" s="5">
        <v>343.14810671672558</v>
      </c>
      <c r="GP351" s="5">
        <v>312.41330006058649</v>
      </c>
      <c r="GQ351" s="5">
        <v>535.04305713031317</v>
      </c>
      <c r="GR351" s="5">
        <v>410.15490233172511</v>
      </c>
      <c r="GS351" s="5">
        <v>339.42744393800166</v>
      </c>
      <c r="GT351" s="5">
        <v>293.4407446948278</v>
      </c>
      <c r="GU351" s="5">
        <v>258.04012322764959</v>
      </c>
      <c r="GV351" s="39" t="s">
        <v>392</v>
      </c>
      <c r="GW351" s="5">
        <v>482.65277777777777</v>
      </c>
      <c r="GX351" s="5">
        <v>361.98958333333331</v>
      </c>
      <c r="GY351" s="5">
        <v>289.59166666666664</v>
      </c>
      <c r="GZ351" s="5">
        <v>247.99130496280273</v>
      </c>
      <c r="HA351" s="5">
        <v>236.70336205047303</v>
      </c>
      <c r="HB351" s="39">
        <v>260.80739714803576</v>
      </c>
      <c r="HC351" s="5">
        <v>202.890625</v>
      </c>
      <c r="HD351" s="5">
        <v>182.20330774853798</v>
      </c>
      <c r="HE351" s="5">
        <v>187.48257844129552</v>
      </c>
      <c r="HF351" s="5">
        <v>176.30063048245611</v>
      </c>
      <c r="HG351" s="5">
        <v>173.65888157894736</v>
      </c>
      <c r="HH351" s="39">
        <v>183.15993892011994</v>
      </c>
      <c r="HI351" s="16"/>
      <c r="HJ351" s="19" t="str">
        <f t="shared" ref="HJ351:HK366" si="991">HJ350</f>
        <v>On</v>
      </c>
      <c r="HK351" s="1" t="str">
        <f t="shared" si="991"/>
        <v>On</v>
      </c>
      <c r="HL351" s="16"/>
      <c r="HM351" s="639">
        <f t="shared" si="878"/>
        <v>2.2758057894877178E-2</v>
      </c>
      <c r="HN351" s="639">
        <f t="shared" si="879"/>
        <v>1.416759231746561E-3</v>
      </c>
      <c r="HO351" s="639">
        <f t="shared" si="880"/>
        <v>4.5732401537654987E-3</v>
      </c>
      <c r="HP351" s="644">
        <f>(FT351*$GD351-HM351)/$JF351*INDEX(Input!$1:$1048576,$JG$93,$C351*2+6)</f>
        <v>48.918262316804814</v>
      </c>
      <c r="HQ351" s="644">
        <f>(FU351*$GD351-HN351)/$JF351*INDEX(Input!$1:$1048576,$JG$93,$C351*2+6)</f>
        <v>25.398393374250112</v>
      </c>
      <c r="HR351" s="644">
        <f>(FV351*$GD351-HO351)/$JF351*INDEX(Input!$1:$1048576,$JG$93,$C351*2+6)</f>
        <v>-41.823259077793395</v>
      </c>
      <c r="HS351" s="644">
        <f t="shared" si="985"/>
        <v>-19.022779244709177</v>
      </c>
      <c r="HT351" s="644">
        <f t="shared" si="882"/>
        <v>58.954678345854596</v>
      </c>
      <c r="HU351" s="644">
        <f t="shared" si="883"/>
        <v>-8.6140600464864381E-2</v>
      </c>
      <c r="HV351" s="648">
        <f t="shared" si="884"/>
        <v>0</v>
      </c>
      <c r="HW351" s="648">
        <f t="shared" si="885"/>
        <v>0</v>
      </c>
      <c r="HX351" s="648">
        <f t="shared" si="886"/>
        <v>0</v>
      </c>
      <c r="HY351" s="644">
        <f>INDEX(Input!$1:$1048576,HY$93,$C351*2+6)*INDEX(Input!$1:$1048576,$JG$93,$C351*2+6)</f>
        <v>509.00000000000006</v>
      </c>
      <c r="HZ351" s="644">
        <f>INDEX(Input!$1:$1048576,HZ$93,$C351*2+6)*INDEX(Input!$1:$1048576,$JG$93,$C351*2+6)</f>
        <v>844</v>
      </c>
      <c r="IA351" s="644">
        <f>INDEX(Input!$1:$1048576,IA$93,$C351*2+6)*INDEX(Input!$1:$1048576,$JG$93,$C351*2+6)</f>
        <v>257</v>
      </c>
      <c r="IB351" s="644">
        <f t="shared" si="910"/>
        <v>538.89548307209566</v>
      </c>
      <c r="IC351" s="644">
        <f t="shared" si="911"/>
        <v>928.35307172010471</v>
      </c>
      <c r="ID351" s="644">
        <f>IF(AND(INDEX(Input!$1:$1048576,IA$93,$C351*2+7)="TOS",Y351&lt;=INDEX(Y:Y,MATCH(C351*1000+2,A:A))),0,1)*MAX(IA351+HR351+HU351+HX351,0%)</f>
        <v>215.09060032174173</v>
      </c>
      <c r="IE351" s="128">
        <f t="shared" si="990"/>
        <v>0.32032511484617804</v>
      </c>
      <c r="IF351" s="128">
        <f t="shared" si="977"/>
        <v>0.55182278133283347</v>
      </c>
      <c r="IG351" s="128">
        <f t="shared" si="888"/>
        <v>0.12785210382098847</v>
      </c>
      <c r="IH351" s="21"/>
      <c r="II351" s="19">
        <f t="shared" si="889"/>
        <v>1410.4999999999998</v>
      </c>
      <c r="IJ351" s="19">
        <f t="shared" si="890"/>
        <v>2134.9731585778086</v>
      </c>
      <c r="IK351" s="19">
        <f t="shared" si="891"/>
        <v>2103.5</v>
      </c>
      <c r="IL351" s="19">
        <f t="shared" si="913"/>
        <v>200.50000000000023</v>
      </c>
      <c r="IM351" s="19">
        <f t="shared" si="892"/>
        <v>517.39220436606729</v>
      </c>
      <c r="IN351" s="19">
        <f t="shared" si="893"/>
        <v>-174.5</v>
      </c>
      <c r="IO351" s="39">
        <f t="shared" si="894"/>
        <v>0</v>
      </c>
      <c r="IP351" s="39">
        <f t="shared" si="895"/>
        <v>0</v>
      </c>
      <c r="IQ351" s="39">
        <f t="shared" si="896"/>
        <v>0</v>
      </c>
      <c r="IR351" s="39">
        <v>0</v>
      </c>
      <c r="IS351" s="39">
        <v>0</v>
      </c>
      <c r="IT351" s="39">
        <v>0</v>
      </c>
      <c r="IU351" s="39">
        <v>0</v>
      </c>
      <c r="IV351" s="39">
        <v>0</v>
      </c>
      <c r="IW351" s="39">
        <v>0</v>
      </c>
      <c r="IX351" s="39">
        <f>INDEX(Input!$1:$1048576,IX$93,$C351*2+6)+INDEX(Input!$1:$1048576,IX$94,$C351*2+6)</f>
        <v>1611</v>
      </c>
      <c r="IY351" s="39">
        <f>INDEX(Input!$1:$1048576,IY$93,$C351*2+6)+INDEX(Input!$1:$1048576,IY$94,$C351*2+6)</f>
        <v>2471.0624533823611</v>
      </c>
      <c r="IZ351" s="39">
        <f>INDEX(Input!$1:$1048576,IZ$93,$C351*2+6)+INDEX(Input!$1:$1048576,IZ$94,$C351*2+6)</f>
        <v>3994.7164157747857</v>
      </c>
      <c r="JA351" s="19">
        <f t="shared" si="914"/>
        <v>1811.5000000000002</v>
      </c>
      <c r="JB351" s="19">
        <f t="shared" si="915"/>
        <v>2988.4546577484284</v>
      </c>
      <c r="JC351" s="19">
        <f t="shared" si="916"/>
        <v>3820.2164157747857</v>
      </c>
      <c r="JD351" s="19">
        <f t="shared" si="917"/>
        <v>2717.7890124779328</v>
      </c>
      <c r="JE351" s="21"/>
      <c r="JF351" s="1">
        <f t="shared" si="897"/>
        <v>2.8748057280389237E-2</v>
      </c>
      <c r="JG351" s="15">
        <f>INDEX(Input!$1:$1048576,JG$93,$C351*2+6)/(1+VLOOKUP(C351*1000+INDEX(Input!$1:$1048576,JG$93+1,$C351*2+6),$A:$KK,$JK$92,FALSE))</f>
        <v>1610</v>
      </c>
      <c r="JH351" s="1">
        <f t="shared" si="918"/>
        <v>2.0182233921280459E-2</v>
      </c>
      <c r="JI351" s="1">
        <f t="shared" si="919"/>
        <v>2.4748918323404069E-2</v>
      </c>
      <c r="JJ351" s="1">
        <f t="shared" si="978"/>
        <v>0</v>
      </c>
      <c r="JK351" s="1">
        <f t="shared" si="979"/>
        <v>4.4931152244684525E-2</v>
      </c>
      <c r="JL351" s="15">
        <f t="shared" si="922"/>
        <v>72.339155113942084</v>
      </c>
      <c r="JM351" s="15">
        <f t="shared" si="948"/>
        <v>1682.3391551139421</v>
      </c>
      <c r="JN351" s="21"/>
      <c r="JO351" s="19">
        <f>INDEX(Input!$1:$1048576,JO$93,$C351*2+6)</f>
        <v>5995.5</v>
      </c>
      <c r="JP351" s="19">
        <f>INDEX(Input!$1:$1048576,JP$93,$C351*2+6)</f>
        <v>2442.3713226762939</v>
      </c>
      <c r="JQ351" s="39">
        <f t="shared" si="934"/>
        <v>3277.7109875220672</v>
      </c>
      <c r="JR351" s="39">
        <f t="shared" si="951"/>
        <v>275.41768980163897</v>
      </c>
      <c r="JS351" s="39">
        <f t="shared" si="936"/>
        <v>4.5722428710300802</v>
      </c>
      <c r="JT351" s="39">
        <f t="shared" si="924"/>
        <v>0.64002504152124706</v>
      </c>
      <c r="JU351" s="385">
        <f>(JQ351*JM351-INDEX(Input!$1:$1048576,Input!A$18,$C351*2+6)*JL351*INDEX(Input!$1:$1048576,Input!A$19,$C351*2+6))/1000000</f>
        <v>5.5142215334555589</v>
      </c>
      <c r="JV351" s="39">
        <f t="shared" si="958"/>
        <v>-0.20631563703560829</v>
      </c>
      <c r="JW351" s="1">
        <f t="shared" si="949"/>
        <v>-3.6065780343123612E-2</v>
      </c>
      <c r="JX351" s="19">
        <f t="shared" si="940"/>
        <v>8847.5603635836978</v>
      </c>
      <c r="JZ351" s="341"/>
      <c r="KA351" s="342"/>
      <c r="KB351" s="469">
        <f t="shared" si="937"/>
        <v>2.5190675447988795</v>
      </c>
      <c r="KI351" s="473">
        <f t="shared" si="987"/>
        <v>29.895483072095601</v>
      </c>
      <c r="KJ351" s="473">
        <f t="shared" si="988"/>
        <v>84.353071720104708</v>
      </c>
      <c r="KK351" s="473">
        <f t="shared" si="926"/>
        <v>-41.909399678258268</v>
      </c>
      <c r="KN351" s="544">
        <f t="shared" si="941"/>
        <v>3002</v>
      </c>
      <c r="KO351" s="541">
        <f t="shared" si="901"/>
        <v>1.3987899350309529E-2</v>
      </c>
      <c r="KP351" s="546">
        <f t="shared" si="902"/>
        <v>128.81476011070367</v>
      </c>
      <c r="KQ351" s="546">
        <f t="shared" si="903"/>
        <v>81.875587089234614</v>
      </c>
      <c r="KR351" s="548">
        <f t="shared" si="904"/>
        <v>1.8839244556828103</v>
      </c>
      <c r="KS351" s="548">
        <f t="shared" si="905"/>
        <v>2.9639760208495356</v>
      </c>
      <c r="KT351" s="473">
        <f t="shared" si="939"/>
        <v>1026.1618045255443</v>
      </c>
      <c r="KU351" s="663">
        <f t="shared" si="927"/>
        <v>4.7021720392624822</v>
      </c>
      <c r="KV351" s="117"/>
    </row>
    <row r="352" spans="1:308" s="26" customFormat="1" ht="15" outlineLevel="1">
      <c r="A352" s="561">
        <f t="shared" si="906"/>
        <v>3052</v>
      </c>
      <c r="B352" s="561">
        <f t="shared" si="928"/>
        <v>52</v>
      </c>
      <c r="C352" s="561">
        <f t="shared" si="929"/>
        <v>3</v>
      </c>
      <c r="D352" s="561" t="str">
        <f t="shared" si="974"/>
        <v xml:space="preserve">0/0/0/3.9, -360 Lease, </v>
      </c>
      <c r="E352" s="475">
        <f>INDEX(Input!$1:$1048576,E$93,$C352*2+MIN($B352,2)+5)
+INDEX(Scenarios!E$121:E$200,MATCH($B352,Scenarios!$B$121:$B$200,0))</f>
        <v>1287.0236024844721</v>
      </c>
      <c r="F352" s="475">
        <f>INDEX(Input!$1:$1048576,F$93,$C352*2+MIN($B352,2)+5)
+INDEX(Scenarios!F$121:F$200,MATCH($B352,Scenarios!$B$121:$B$200,0))</f>
        <v>0</v>
      </c>
      <c r="G352" s="475">
        <f>INDEX(Input!$1:$1048576,G$93,$C352*2+MIN($B352,2)+5)
+INDEX(Scenarios!G$121:G$200,MATCH($B352,Scenarios!$B$121:$B$200,0))</f>
        <v>0</v>
      </c>
      <c r="H352" s="475">
        <f>INDEX(Input!$1:$1048576,H$93,$C352*2+MIN($B352,2)+5)
+INDEX(Scenarios!H$121:H$200,MATCH($B352,Scenarios!$B$121:$B$200,0))</f>
        <v>0</v>
      </c>
      <c r="I352" s="476">
        <f>INDEX(Input!$1:$1048576,I$93,$C352*2+MIN($B352,2)+5)</f>
        <v>0.7</v>
      </c>
      <c r="J352" s="476" t="str">
        <f>INDEX(Input!$1:$1048576,J$93,$C352*2+MIN($B352,2)+5)</f>
        <v>Market</v>
      </c>
      <c r="K352" s="476" t="str">
        <f>INDEX(Input!$1:$1048576,K$93,$C352*2+MIN($B352,2)+5)</f>
        <v>Market</v>
      </c>
      <c r="L352" s="476" t="str">
        <f>INDEX(Input!$1:$1048576,L$93,$C352*2+MIN($B352,2)+5)</f>
        <v>Market</v>
      </c>
      <c r="M352" s="476" t="str">
        <f>INDEX(Input!$1:$1048576,M$93,$C352*2+MIN($B352,2)+5)</f>
        <v>Market</v>
      </c>
      <c r="N352" s="476" t="str">
        <f>INDEX(Input!$1:$1048576,N$93,$C352*2+MIN($B352,2)+5)</f>
        <v>Market</v>
      </c>
      <c r="O352" s="476" t="str">
        <f>INDEX(Input!$1:$1048576,O$93,$C352*2+MIN($B352,2)+5)</f>
        <v>Market</v>
      </c>
      <c r="P352" s="476" t="str">
        <f>INDEX(Input!$1:$1048576,P$93,$C352*2+MIN($B352,2)+5)</f>
        <v>N</v>
      </c>
      <c r="Q352" s="477">
        <f>INDEX(Input!$1:$1048576,Q$93,$C352*2+MIN($B352,2)+5)
+INDEX(Scenarios!Q$121:Q$200,MATCH($B352,Scenarios!$B$121:$B$200,0))</f>
        <v>0</v>
      </c>
      <c r="R352" s="478">
        <f>IFERROR(MAX(0,INDEX(Input!$1:$1048576,R$93,$C352*2+MIN($B352,2)+5)
+INDEX(Scenarios!R$121:R$200,MATCH($B352,Scenarios!$B$121:$B$200,0)),),"Market")</f>
        <v>0</v>
      </c>
      <c r="S352" s="478">
        <f>IFERROR(MAX(0,INDEX(Input!$1:$1048576,S$93,$C352*2+MIN($B352,2)+5)
+INDEX(Scenarios!S$121:S$200,MATCH($B352,Scenarios!$B$121:$B$200,0)),),"Market")</f>
        <v>0</v>
      </c>
      <c r="T352" s="478">
        <f>IFERROR(MAX(0,INDEX(Input!$1:$1048576,T$93,$C352*2+MIN($B352,2)+5)
+INDEX(Scenarios!T$121:T$200,MATCH($B352,Scenarios!$B$121:$B$200,0)),),"Market")</f>
        <v>0</v>
      </c>
      <c r="U352" s="478">
        <f>IFERROR(MAX(0,INDEX(Input!$1:$1048576,U$93,$C352*2+MIN($B352,2)+5)
+INDEX(Scenarios!U$121:U$200,MATCH($B352,Scenarios!$B$121:$B$200,0)),),"Market")</f>
        <v>0</v>
      </c>
      <c r="V352" s="478">
        <f>IFERROR(MAX(0,INDEX(Input!$1:$1048576,V$93,$C352*2+MIN($B352,2)+5)
+INDEX(Scenarios!V$121:V$200,MATCH($B352,Scenarios!$B$121:$B$200,0)),),"Market")</f>
        <v>0</v>
      </c>
      <c r="W352" s="885">
        <f>IFERROR(MAX(0,INDEX(Input!$1:$1048576,W$93,$C352*2+MIN($B352,2)+5)-0%,),"Market")</f>
        <v>3.9E-2</v>
      </c>
      <c r="X352" s="476" t="str">
        <f>INDEX(Input!$1:$1048576,X$93,$C352*2+MIN($B352,2)+5)</f>
        <v>Y</v>
      </c>
      <c r="Y352" s="475">
        <f>INDEX(Input!$1:$1048576,Y$93,$C352*2+MIN($B352,2)+5)
++INDEX(Scenarios!Y$121:Y$200,MATCH($B352,Scenarios!$B$121:$B$200,0))</f>
        <v>1194.9999999999991</v>
      </c>
      <c r="Z352" s="477">
        <f>INDEX(Input!$1:$1048576,Z$93,$C352*2+MIN($B352,2)+5)
+INDEX(Scenarios!Z$121:Z$200,MATCH($B352,Scenarios!$B$121:$B$200,0))</f>
        <v>0</v>
      </c>
      <c r="AA352" s="475">
        <f>INDEX(Input!$1:$1048576,AA$93,$C352*2+MIN($B352,2)+5)
+INDEX(Scenarios!AA$121:AA$200,MATCH($B352,Scenarios!$B$121:$B$200,0))</f>
        <v>0</v>
      </c>
      <c r="AB352" s="476">
        <f>INDEX(Input!$1:$1048576,AB$93,$C352*2+MIN($B352,2)+5)</f>
        <v>0.27</v>
      </c>
      <c r="AC352" s="475">
        <f>INDEX(Input!$1:$1048576,AC$93,$C352*2+MIN($B352,2)+5)
+INDEX(Scenarios!AC$121:AC$200,MATCH($B352,Scenarios!$B$121:$B$200,0))</f>
        <v>0</v>
      </c>
      <c r="AD352" s="476">
        <f>INDEX(Input!$1:$1048576,AD$93,$C352*2+MIN($B352,2)+5)</f>
        <v>0.27</v>
      </c>
      <c r="AE352" s="475">
        <f>INDEX(Input!$1:$1048576,AE$93,$C352*2+MIN($B352,2)+5)
+INDEX(Scenarios!AE$121:AE$200,MATCH($B352,Scenarios!$B$121:$B$200,0))</f>
        <v>0</v>
      </c>
      <c r="AF352" s="476">
        <f>INDEX(Input!$1:$1048576,AF$93,$C352*2+MIN($B352,2)+5)</f>
        <v>0.68200000000000005</v>
      </c>
      <c r="AG352" s="475">
        <f>INDEX(Input!$1:$1048576,AG$93,$C352*2+MIN($B352,2)+5)
+INDEX(Scenarios!AG$121:AG$200,MATCH($B352,Scenarios!$B$121:$B$200,0))</f>
        <v>500</v>
      </c>
      <c r="AH352" s="476">
        <f>INDEX(Input!$1:$1048576,AH$93,$C352*2+MIN($B352,2)+5)</f>
        <v>1</v>
      </c>
      <c r="AI352" s="475">
        <f>INDEX(Input!$1:$1048576,AI$93,$C352*2+MIN($B352,2)+5)
+INDEX(Scenarios!AI$121:AI$200,MATCH($B352,Scenarios!$B$121:$B$200,0))</f>
        <v>0</v>
      </c>
      <c r="AJ352" s="476">
        <f>INDEX(Input!$1:$1048576,AJ$93,$C352*2+MIN($B352,2)+5)</f>
        <v>0.27</v>
      </c>
      <c r="AK352" s="150">
        <f>ROUND(INDEX(Input!$1:$1048576,AK$93,$C351*2+MIN($B352,1)+5)+(Y352-VLOOKUP($C352*1000+1,$A:$HH,Y$92,FALSE)),0)</f>
        <v>2617</v>
      </c>
      <c r="AL352" s="150">
        <f>ROUND(INDEX(Input!$1:$1048576,AL$93,$C351*2+MIN($B352,1)+5)-(Y352-VLOOKUP($C352*1000+1,$A:$HH,Y$92,FALSE))/36,0)</f>
        <v>3405</v>
      </c>
      <c r="AM352" s="32" t="str">
        <f t="shared" si="907"/>
        <v>std/std/std/std</v>
      </c>
      <c r="AN352" s="32" t="str">
        <f t="shared" si="908"/>
        <v>$0 + 0/0/0/0/3.9</v>
      </c>
      <c r="AO352" s="32" t="str">
        <f t="shared" si="909"/>
        <v>0/0/0/0/3.9</v>
      </c>
      <c r="AP352" s="32" t="str">
        <f t="shared" si="863"/>
        <v>0/0/0/3.9</v>
      </c>
      <c r="AQ352" s="536">
        <f t="shared" si="862"/>
        <v>0.30105309187593599</v>
      </c>
      <c r="AR352" s="32"/>
      <c r="AS352" s="302"/>
      <c r="AT352" s="3">
        <f t="shared" si="930"/>
        <v>52</v>
      </c>
      <c r="AU352" s="41" t="s">
        <v>121</v>
      </c>
      <c r="AV352" s="41" t="s">
        <v>116</v>
      </c>
      <c r="AW352" s="41" t="str">
        <f>INDEX(Input!$1:$1048576,AW$93,$C352*2+6)</f>
        <v>Kia</v>
      </c>
      <c r="AX352" s="41" t="str">
        <f>INDEX(Input!$1:$1048576,AX$93,$C352*2+6)</f>
        <v>Kia-LR - L3</v>
      </c>
      <c r="AY352" s="41" t="str">
        <f>IF(LEN(D352)=0,"",INDEX(Input!$1:$1048576,AY$93,$C352*2+6))</f>
        <v>Compact SUV (52)</v>
      </c>
      <c r="AZ352" s="41" t="str">
        <f>INDEX(Input!$1:$1048576,AZ$93,$C352*2+6)</f>
        <v>Kia Soul</v>
      </c>
      <c r="BA352" s="3">
        <f>INDEX(Input!$1:$1048576,BA$93,$C352*2+6)</f>
        <v>2020</v>
      </c>
      <c r="BB352" s="128">
        <f>INDEX(Input!$1:$1048576,BB$93,$C352*2+6)</f>
        <v>1</v>
      </c>
      <c r="BC352" s="128">
        <f>INDEX(Input!$1:$1048576,BC$93,$C352*2+6)</f>
        <v>0.7</v>
      </c>
      <c r="BD352" s="1">
        <f>INDEX(Input!$1:$1048576,BD$93,$C352*2+6)</f>
        <v>4.4999999999999998E-2</v>
      </c>
      <c r="BE352" s="1">
        <f>INDEX(Input!$1:$1048576,BE$93,$C352*2+6)</f>
        <v>4.4999999999999998E-2</v>
      </c>
      <c r="BF352" s="1">
        <f>INDEX(Input!$1:$1048576,BF$93,$C352*2+6)</f>
        <v>0.05</v>
      </c>
      <c r="BG352" s="1">
        <f>INDEX(Input!$1:$1048576,BG$93,$C352*2+6)</f>
        <v>5.45E-2</v>
      </c>
      <c r="BH352" s="1">
        <f>INDEX(Input!$1:$1048576,BH$93,$C352*2+6)</f>
        <v>5.45E-2</v>
      </c>
      <c r="BI352" s="1">
        <f>INDEX(Input!$1:$1048576,BI$93,$C352*2+6)</f>
        <v>0.05</v>
      </c>
      <c r="BJ352" s="1">
        <f>INDEX(Input!$1:$1048576,BJ$93,$C352*2+6)</f>
        <v>0.05</v>
      </c>
      <c r="BK352" s="1">
        <f>INDEX(Input!$1:$1048576,BK$93,$C352*2+6)</f>
        <v>0.05</v>
      </c>
      <c r="BL352" s="1">
        <f>INDEX(Input!$1:$1048576,BL$93,$C352*2+6)</f>
        <v>5.5E-2</v>
      </c>
      <c r="BM352" s="1">
        <f>INDEX(Input!$1:$1048576,BM$93,$C352*2+6)</f>
        <v>0.06</v>
      </c>
      <c r="BN352" s="1">
        <f>INDEX(Input!$1:$1048576,BN$93,$C352*2+6)</f>
        <v>4.4999999999999998E-2</v>
      </c>
      <c r="BO352" s="1">
        <f>INDEX(Input!$1:$1048576,BO$93,$C352*2+6)</f>
        <v>4.4999999999999998E-2</v>
      </c>
      <c r="BP352" s="1">
        <f>INDEX(Input!$1:$1048576,BP$93,$C352*2+6)</f>
        <v>0.05</v>
      </c>
      <c r="BQ352" s="1">
        <f>INDEX(Input!$1:$1048576,BQ$93,$C352*2+6)</f>
        <v>5.45E-2</v>
      </c>
      <c r="BR352" s="1">
        <f>INDEX(Input!$1:$1048576,BR$93,$C352*2+6)</f>
        <v>5.45E-2</v>
      </c>
      <c r="BS352" s="1">
        <f>INDEX(Input!$1:$1048576,BS$93,$C352*2+6)</f>
        <v>0.05</v>
      </c>
      <c r="BT352" s="1">
        <f>INDEX(Input!$1:$1048576,BT$93,$C352*2+6)</f>
        <v>0.05</v>
      </c>
      <c r="BU352" s="1">
        <f>INDEX(Input!$1:$1048576,BU$93,$C352*2+6)</f>
        <v>0.05</v>
      </c>
      <c r="BV352" s="1">
        <f>INDEX(Input!$1:$1048576,BV$93,$C352*2+6)</f>
        <v>5.5E-2</v>
      </c>
      <c r="BW352" s="1">
        <f>INDEX(Input!$1:$1048576,BW$93,$C352*2+6)</f>
        <v>0.06</v>
      </c>
      <c r="BX352" s="127">
        <f>INDEX(Input!$1:$1048576,BX$93,$C352*2+6)</f>
        <v>19985</v>
      </c>
      <c r="BY352" s="20">
        <f>INDEX(Input!$1:$1048576,BY$93,$C352*2+6)</f>
        <v>0.1</v>
      </c>
      <c r="BZ352" s="20">
        <f>INDEX(Input!$1:$1048576,BZ$93,$C352*2+6)</f>
        <v>0.1</v>
      </c>
      <c r="CA352" s="20">
        <f>INDEX(Input!$1:$1048576,CA$93,$C352*2+6)</f>
        <v>0.1</v>
      </c>
      <c r="CB352" s="20">
        <f>INDEX(Input!$1:$1048576,CB$93,$C352*2+6)</f>
        <v>0.1</v>
      </c>
      <c r="CC352" s="20">
        <f>INDEX(Input!$1:$1048576,CC$93,$C352*2+6)</f>
        <v>0.1</v>
      </c>
      <c r="CD352" s="384">
        <f>INDEX(Input!$1:$1048576,CD$93,$C352*2+6)</f>
        <v>0.1</v>
      </c>
      <c r="CE352" s="384">
        <f>INDEX(Input!$1:$1048576,CE$93,$C352*2+6)</f>
        <v>0.1</v>
      </c>
      <c r="CF352" s="384">
        <f>INDEX(Input!$1:$1048576,CF$93,$C352*2+6)</f>
        <v>0.1</v>
      </c>
      <c r="CG352" s="384">
        <f>INDEX(Input!$1:$1048576,CG$93,$C352*2+6)</f>
        <v>0.1</v>
      </c>
      <c r="CH352" s="384">
        <f>INDEX(Input!$1:$1048576,CH$93,$C352*2+6)</f>
        <v>0.1</v>
      </c>
      <c r="CI352" s="304">
        <f t="shared" si="864"/>
        <v>1287.0236024844721</v>
      </c>
      <c r="CJ352" s="16" t="str">
        <f>INDEX(Input!$1:$1048576,CJ$93,$C352*2+6)</f>
        <v>N</v>
      </c>
      <c r="CK352" s="1" t="str">
        <f t="shared" si="865"/>
        <v>Market</v>
      </c>
      <c r="CL352" s="1" t="str">
        <f t="shared" si="866"/>
        <v>Market</v>
      </c>
      <c r="CM352" s="1" t="str">
        <f t="shared" si="867"/>
        <v>Market</v>
      </c>
      <c r="CN352" s="1" t="str">
        <f t="shared" si="868"/>
        <v>Market</v>
      </c>
      <c r="CO352" s="1" t="str">
        <f t="shared" si="869"/>
        <v>Market</v>
      </c>
      <c r="CP352" s="304">
        <f t="shared" si="870"/>
        <v>500</v>
      </c>
      <c r="CQ352" s="1">
        <f t="shared" si="871"/>
        <v>0</v>
      </c>
      <c r="CR352" s="1">
        <f t="shared" si="872"/>
        <v>0</v>
      </c>
      <c r="CS352" s="1">
        <f t="shared" si="873"/>
        <v>0</v>
      </c>
      <c r="CT352" s="1">
        <f t="shared" si="874"/>
        <v>0</v>
      </c>
      <c r="CU352" s="1">
        <f t="shared" si="875"/>
        <v>3.9E-2</v>
      </c>
      <c r="CV352" s="304">
        <f t="shared" si="876"/>
        <v>1194.9999999999991</v>
      </c>
      <c r="CW352" s="20" t="s">
        <v>122</v>
      </c>
      <c r="CX352" s="20" t="s">
        <v>122</v>
      </c>
      <c r="CY352" s="20" t="s">
        <v>122</v>
      </c>
      <c r="CZ352" s="20" t="s">
        <v>122</v>
      </c>
      <c r="DA352" s="20" t="s">
        <v>122</v>
      </c>
      <c r="DB352" s="503">
        <f t="shared" si="877"/>
        <v>0</v>
      </c>
      <c r="DC352" s="127">
        <v>0</v>
      </c>
      <c r="DD352" s="127">
        <v>0</v>
      </c>
      <c r="DE352" s="127">
        <v>0</v>
      </c>
      <c r="DF352" s="127">
        <v>0</v>
      </c>
      <c r="DG352" s="127">
        <v>0</v>
      </c>
      <c r="DH352" s="127">
        <v>0</v>
      </c>
      <c r="DI352" s="127">
        <v>0</v>
      </c>
      <c r="DJ352" s="127">
        <v>0</v>
      </c>
      <c r="DK352" s="127">
        <v>0</v>
      </c>
      <c r="DL352" s="127">
        <v>0</v>
      </c>
      <c r="DM352" s="304">
        <f>INDEX(Input!$1:$1048576,DM$93,$C352*2+6)</f>
        <v>21036.84210526316</v>
      </c>
      <c r="DN352" s="20">
        <v>0</v>
      </c>
      <c r="DO352" s="20">
        <v>0</v>
      </c>
      <c r="DP352" s="20">
        <v>0</v>
      </c>
      <c r="DQ352" s="20">
        <v>0</v>
      </c>
      <c r="DR352" s="20">
        <v>0</v>
      </c>
      <c r="DS352" s="20">
        <f>INDEX(Input!$1:$1048576,DS$93,$C352*2+6)</f>
        <v>0.6</v>
      </c>
      <c r="DT352" s="20">
        <f>INDEX(Input!$1:$1048576,DT$93,$C352*2+6)</f>
        <v>0.55000000000000004</v>
      </c>
      <c r="DU352" s="20">
        <f>INDEX(Input!$1:$1048576,DU$93,$C352*2+6)</f>
        <v>0.52</v>
      </c>
      <c r="DV352" s="20">
        <f>INDEX(Input!$1:$1048576,DV$93,$C352*2+6)</f>
        <v>0.5</v>
      </c>
      <c r="DW352" s="20">
        <f>INDEX(Input!$1:$1048576,DW$93,$C352*2+6)</f>
        <v>0.45</v>
      </c>
      <c r="DX352" s="20"/>
      <c r="DY352" s="7">
        <v>0.10028153118188189</v>
      </c>
      <c r="DZ352" s="7">
        <v>0</v>
      </c>
      <c r="EA352" s="7">
        <v>0.69176634005797122</v>
      </c>
      <c r="EB352" s="7">
        <v>0</v>
      </c>
      <c r="EC352" s="7">
        <v>0</v>
      </c>
      <c r="ED352" s="7">
        <v>0</v>
      </c>
      <c r="EE352" s="7">
        <v>0</v>
      </c>
      <c r="EF352" s="7">
        <v>0</v>
      </c>
      <c r="EG352" s="7">
        <v>0</v>
      </c>
      <c r="EH352" s="7">
        <v>7.3777767561712723E-3</v>
      </c>
      <c r="EI352" s="7">
        <v>2.0654708647324153E-2</v>
      </c>
      <c r="EJ352" s="7">
        <v>0.16611916904144658</v>
      </c>
      <c r="EK352" s="7">
        <v>0.71884764413184687</v>
      </c>
      <c r="EL352" s="7">
        <v>8.7000701423210758E-2</v>
      </c>
      <c r="EM352" s="7">
        <v>7.9923502255969212E-2</v>
      </c>
      <c r="EN352" s="7">
        <v>6.1132948240789756E-2</v>
      </c>
      <c r="EO352" s="7">
        <v>0.76984512158005136</v>
      </c>
      <c r="EP352" s="7">
        <v>6.9669897257636532E-2</v>
      </c>
      <c r="EQ352" s="7">
        <v>6.5329506509710672E-2</v>
      </c>
      <c r="ER352" s="7">
        <v>3.4022526411811582E-2</v>
      </c>
      <c r="ES352" s="7">
        <v>0.12802862650417779</v>
      </c>
      <c r="ET352" s="7">
        <v>0.20795212876014699</v>
      </c>
      <c r="EU352" s="6">
        <v>1611</v>
      </c>
      <c r="EV352" s="6">
        <v>0</v>
      </c>
      <c r="EW352" s="6">
        <v>1611</v>
      </c>
      <c r="EX352" s="6">
        <v>0</v>
      </c>
      <c r="EY352" s="6">
        <v>3002.0543082718036</v>
      </c>
      <c r="EZ352" s="6">
        <v>1929</v>
      </c>
      <c r="FA352" s="6">
        <v>0</v>
      </c>
      <c r="FB352" s="6">
        <v>0</v>
      </c>
      <c r="FC352" s="6">
        <v>0</v>
      </c>
      <c r="FD352" s="6">
        <v>0</v>
      </c>
      <c r="FE352" s="6">
        <v>0</v>
      </c>
      <c r="FF352" s="6">
        <v>0</v>
      </c>
      <c r="FG352" s="6">
        <v>0</v>
      </c>
      <c r="FH352" s="6">
        <v>1171.9987636504807</v>
      </c>
      <c r="FI352" s="6">
        <v>1553.9796069512406</v>
      </c>
      <c r="FJ352" s="6">
        <v>2101.2110117447405</v>
      </c>
      <c r="FK352" s="6">
        <v>2674.2006261592264</v>
      </c>
      <c r="FL352" s="6">
        <v>907.07682140966335</v>
      </c>
      <c r="FM352" s="6">
        <v>2391.0543082718036</v>
      </c>
      <c r="FN352" s="6">
        <v>0</v>
      </c>
      <c r="FO352" s="6">
        <v>0</v>
      </c>
      <c r="FP352" s="6">
        <v>0</v>
      </c>
      <c r="FQ352" s="6">
        <v>0</v>
      </c>
      <c r="FR352" s="6">
        <v>0</v>
      </c>
      <c r="FS352" s="6">
        <v>0</v>
      </c>
      <c r="FT352" s="7">
        <v>0.7920478712398531</v>
      </c>
      <c r="FU352" s="7">
        <v>7.9923502255969212E-2</v>
      </c>
      <c r="FV352" s="7">
        <v>0.12802862650417779</v>
      </c>
      <c r="FW352" s="6">
        <v>1610.9999999999998</v>
      </c>
      <c r="FX352" s="6">
        <v>3002.0543082718036</v>
      </c>
      <c r="FY352" s="6">
        <v>1929</v>
      </c>
      <c r="FZ352" s="6">
        <v>1858.9243755539039</v>
      </c>
      <c r="GA352" s="6">
        <v>1762.8910353736658</v>
      </c>
      <c r="GB352" s="6">
        <v>18222.108964626335</v>
      </c>
      <c r="GC352" s="7">
        <v>2.9156573141622111E-2</v>
      </c>
      <c r="GD352" s="7">
        <v>2.9443382938043768E-2</v>
      </c>
      <c r="GE352" s="7"/>
      <c r="GF352" s="7"/>
      <c r="GG352" s="7">
        <v>9.8368829227130587E-3</v>
      </c>
      <c r="GH352" s="42">
        <v>-2.0471026504071865</v>
      </c>
      <c r="GI352" s="6">
        <v>-7999.6873072535755</v>
      </c>
      <c r="GJ352" s="14">
        <v>0.50394797582841733</v>
      </c>
      <c r="GK352" s="14">
        <v>0.50887573065309744</v>
      </c>
      <c r="GL352" s="14">
        <v>0.49605202417158289</v>
      </c>
      <c r="GM352" s="14">
        <v>0.49112426934690234</v>
      </c>
      <c r="GO352" s="5">
        <v>343.14810671672558</v>
      </c>
      <c r="GP352" s="5">
        <v>312.41330006058649</v>
      </c>
      <c r="GQ352" s="5">
        <v>535.04305713031317</v>
      </c>
      <c r="GR352" s="5">
        <v>410.15490233172511</v>
      </c>
      <c r="GS352" s="5">
        <v>339.42744393800166</v>
      </c>
      <c r="GT352" s="5">
        <v>293.4407446948278</v>
      </c>
      <c r="GU352" s="5">
        <v>258.04012322764959</v>
      </c>
      <c r="GV352" s="39" t="s">
        <v>392</v>
      </c>
      <c r="GW352" s="5">
        <v>482.65277777777777</v>
      </c>
      <c r="GX352" s="5">
        <v>361.98958333333331</v>
      </c>
      <c r="GY352" s="5">
        <v>289.59166666666664</v>
      </c>
      <c r="GZ352" s="5">
        <v>241.32638888888889</v>
      </c>
      <c r="HA352" s="5">
        <v>236.70336205047303</v>
      </c>
      <c r="HB352" s="39">
        <v>253.21468549754798</v>
      </c>
      <c r="HC352" s="5">
        <v>202.890625</v>
      </c>
      <c r="HD352" s="5">
        <v>182.20330774853798</v>
      </c>
      <c r="HE352" s="5">
        <v>187.48257844129552</v>
      </c>
      <c r="HF352" s="5">
        <v>176.30063048245611</v>
      </c>
      <c r="HG352" s="5">
        <v>173.65888157894736</v>
      </c>
      <c r="HH352" s="39">
        <v>183.15946873216416</v>
      </c>
      <c r="HI352" s="16"/>
      <c r="HJ352" s="19" t="str">
        <f t="shared" si="991"/>
        <v>On</v>
      </c>
      <c r="HK352" s="1" t="str">
        <f t="shared" si="991"/>
        <v>On</v>
      </c>
      <c r="HL352" s="16"/>
      <c r="HM352" s="639">
        <f t="shared" si="878"/>
        <v>2.2758057894877178E-2</v>
      </c>
      <c r="HN352" s="639">
        <f t="shared" si="879"/>
        <v>1.416759231746561E-3</v>
      </c>
      <c r="HO352" s="639">
        <f t="shared" si="880"/>
        <v>4.5732401537654987E-3</v>
      </c>
      <c r="HP352" s="644">
        <f>(FT352*$GD352-HM352)/$JF352*INDEX(Input!$1:$1048576,$JG$93,$C352*2+6)</f>
        <v>31.502738194803626</v>
      </c>
      <c r="HQ352" s="644">
        <f>(FU352*$GD352-HN352)/$JF352*INDEX(Input!$1:$1048576,$JG$93,$C352*2+6)</f>
        <v>52.44525072720721</v>
      </c>
      <c r="HR352" s="644">
        <f>(FV352*$GD352-HO352)/$JF352*INDEX(Input!$1:$1048576,$JG$93,$C352*2+6)</f>
        <v>-45.007120747678329</v>
      </c>
      <c r="HS352" s="644">
        <f t="shared" si="985"/>
        <v>-19.429303178715866</v>
      </c>
      <c r="HT352" s="644">
        <f t="shared" si="882"/>
        <v>101.00373839025312</v>
      </c>
      <c r="HU352" s="644">
        <f t="shared" si="883"/>
        <v>0.3203833335418429</v>
      </c>
      <c r="HV352" s="648">
        <f t="shared" si="884"/>
        <v>0</v>
      </c>
      <c r="HW352" s="648">
        <f t="shared" si="885"/>
        <v>0</v>
      </c>
      <c r="HX352" s="648">
        <f t="shared" si="886"/>
        <v>0</v>
      </c>
      <c r="HY352" s="644">
        <f>INDEX(Input!$1:$1048576,HY$93,$C352*2+6)*INDEX(Input!$1:$1048576,$JG$93,$C352*2+6)</f>
        <v>509.00000000000006</v>
      </c>
      <c r="HZ352" s="644">
        <f>INDEX(Input!$1:$1048576,HZ$93,$C352*2+6)*INDEX(Input!$1:$1048576,$JG$93,$C352*2+6)</f>
        <v>844</v>
      </c>
      <c r="IA352" s="644">
        <f>INDEX(Input!$1:$1048576,IA$93,$C352*2+6)*INDEX(Input!$1:$1048576,$JG$93,$C352*2+6)</f>
        <v>257</v>
      </c>
      <c r="IB352" s="644">
        <f t="shared" si="910"/>
        <v>521.07343501608773</v>
      </c>
      <c r="IC352" s="644">
        <f t="shared" si="911"/>
        <v>997.44898911746031</v>
      </c>
      <c r="ID352" s="644">
        <f>IF(AND(INDEX(Input!$1:$1048576,IA$93,$C352*2+7)="TOS",Y352&lt;=INDEX(Y:Y,MATCH(C352*1000+2,A:A))),0,1)*MAX(IA352+HR352+HU352+HX352,0%)</f>
        <v>212.31326258586353</v>
      </c>
      <c r="IE352" s="128">
        <f t="shared" si="990"/>
        <v>0.30105309187593599</v>
      </c>
      <c r="IF352" s="128">
        <f t="shared" si="977"/>
        <v>0.57628173302111851</v>
      </c>
      <c r="IG352" s="128">
        <f t="shared" si="888"/>
        <v>0.12266517510294549</v>
      </c>
      <c r="IH352" s="21"/>
      <c r="II352" s="19">
        <f t="shared" si="889"/>
        <v>1410.4999999999998</v>
      </c>
      <c r="IJ352" s="19">
        <f t="shared" si="890"/>
        <v>2134.9731585778086</v>
      </c>
      <c r="IK352" s="19">
        <f t="shared" si="891"/>
        <v>2103.5</v>
      </c>
      <c r="IL352" s="19">
        <f t="shared" si="913"/>
        <v>200.5</v>
      </c>
      <c r="IM352" s="19">
        <f t="shared" si="892"/>
        <v>867.08114969399503</v>
      </c>
      <c r="IN352" s="19">
        <f t="shared" si="893"/>
        <v>-174.5</v>
      </c>
      <c r="IO352" s="39">
        <f t="shared" si="894"/>
        <v>0</v>
      </c>
      <c r="IP352" s="39">
        <f t="shared" si="895"/>
        <v>0</v>
      </c>
      <c r="IQ352" s="39">
        <f t="shared" si="896"/>
        <v>0</v>
      </c>
      <c r="IR352" s="39">
        <v>0</v>
      </c>
      <c r="IS352" s="39">
        <v>0</v>
      </c>
      <c r="IT352" s="39">
        <v>0</v>
      </c>
      <c r="IU352" s="39">
        <v>0</v>
      </c>
      <c r="IV352" s="39">
        <v>0</v>
      </c>
      <c r="IW352" s="39">
        <v>0</v>
      </c>
      <c r="IX352" s="39">
        <f>INDEX(Input!$1:$1048576,IX$93,$C352*2+6)+INDEX(Input!$1:$1048576,IX$94,$C352*2+6)</f>
        <v>1611</v>
      </c>
      <c r="IY352" s="39">
        <f>INDEX(Input!$1:$1048576,IY$93,$C352*2+6)+INDEX(Input!$1:$1048576,IY$94,$C352*2+6)</f>
        <v>2471.0624533823611</v>
      </c>
      <c r="IZ352" s="39">
        <f>INDEX(Input!$1:$1048576,IZ$93,$C352*2+6)+INDEX(Input!$1:$1048576,IZ$94,$C352*2+6)</f>
        <v>3994.7164157747857</v>
      </c>
      <c r="JA352" s="19">
        <f t="shared" si="914"/>
        <v>1811.5</v>
      </c>
      <c r="JB352" s="19">
        <f t="shared" si="915"/>
        <v>3338.1436030763562</v>
      </c>
      <c r="JC352" s="19">
        <f t="shared" si="916"/>
        <v>3820.2164157747857</v>
      </c>
      <c r="JD352" s="19">
        <f t="shared" si="917"/>
        <v>2937.6763721596221</v>
      </c>
      <c r="JE352" s="21"/>
      <c r="JF352" s="1">
        <f t="shared" si="897"/>
        <v>2.8748057280389237E-2</v>
      </c>
      <c r="JG352" s="15">
        <f>INDEX(Input!$1:$1048576,JG$93,$C352*2+6)/(1+VLOOKUP(C352*1000+INDEX(Input!$1:$1048576,JG$93+1,$C352*2+6),$A:$KK,$JK$92,FALSE))</f>
        <v>1610</v>
      </c>
      <c r="JH352" s="1">
        <f t="shared" si="918"/>
        <v>2.4186874642442551E-2</v>
      </c>
      <c r="JI352" s="1">
        <f t="shared" si="919"/>
        <v>5.0866346922409371E-2</v>
      </c>
      <c r="JJ352" s="1">
        <f t="shared" si="978"/>
        <v>0</v>
      </c>
      <c r="JK352" s="1">
        <f t="shared" si="979"/>
        <v>7.5053221564851919E-2</v>
      </c>
      <c r="JL352" s="15">
        <f t="shared" si="922"/>
        <v>120.83568671941158</v>
      </c>
      <c r="JM352" s="15">
        <f t="shared" si="948"/>
        <v>1730.8356867194116</v>
      </c>
      <c r="JN352" s="21"/>
      <c r="JO352" s="19">
        <f>INDEX(Input!$1:$1048576,JO$93,$C352*2+6)</f>
        <v>5995.5</v>
      </c>
      <c r="JP352" s="19">
        <f>INDEX(Input!$1:$1048576,JP$93,$C352*2+6)</f>
        <v>2442.3713226762939</v>
      </c>
      <c r="JQ352" s="39">
        <f t="shared" si="934"/>
        <v>3057.8236278403779</v>
      </c>
      <c r="JR352" s="39">
        <f t="shared" si="951"/>
        <v>495.30504948332828</v>
      </c>
      <c r="JS352" s="39">
        <f t="shared" si="936"/>
        <v>5.08463510096629</v>
      </c>
      <c r="JT352" s="39">
        <f t="shared" si="924"/>
        <v>1.1524172714574565</v>
      </c>
      <c r="JU352" s="385">
        <f>(JQ352*JM352-INDEX(Input!$1:$1048576,Input!A$18,$C352*2+6)*JL352*INDEX(Input!$1:$1048576,Input!A$19,$C352*2+6))/1000000</f>
        <v>5.2925902587599429</v>
      </c>
      <c r="JV352" s="39">
        <f t="shared" si="958"/>
        <v>-0.42794691173122423</v>
      </c>
      <c r="JW352" s="1">
        <f t="shared" si="949"/>
        <v>-7.4808868289283501E-2</v>
      </c>
      <c r="JX352" s="19">
        <f t="shared" si="940"/>
        <v>9537.0606378349567</v>
      </c>
      <c r="JZ352" s="341"/>
      <c r="KA352" s="342"/>
      <c r="KB352" s="469">
        <f t="shared" si="937"/>
        <v>2.5190675447988795</v>
      </c>
      <c r="KI352" s="473">
        <f t="shared" si="987"/>
        <v>12.073435016087672</v>
      </c>
      <c r="KJ352" s="473">
        <f t="shared" si="988"/>
        <v>153.44898911746031</v>
      </c>
      <c r="KK352" s="473">
        <f t="shared" si="926"/>
        <v>-44.686737414136473</v>
      </c>
      <c r="KN352" s="544">
        <f t="shared" si="941"/>
        <v>3002</v>
      </c>
      <c r="KO352" s="541">
        <f t="shared" si="901"/>
        <v>4.3217972287104223E-2</v>
      </c>
      <c r="KP352" s="546">
        <f t="shared" si="902"/>
        <v>339.95106822555107</v>
      </c>
      <c r="KQ352" s="546">
        <f t="shared" si="903"/>
        <v>301.76294677092392</v>
      </c>
      <c r="KR352" s="548">
        <f t="shared" si="904"/>
        <v>2.205589018154372</v>
      </c>
      <c r="KS352" s="548">
        <f t="shared" si="905"/>
        <v>2.4847064585345198</v>
      </c>
      <c r="KT352" s="473">
        <f t="shared" si="939"/>
        <v>1026.1618045255443</v>
      </c>
      <c r="KU352" s="663">
        <f t="shared" si="927"/>
        <v>4.6717260329066397</v>
      </c>
      <c r="KV352" s="117"/>
    </row>
    <row r="353" spans="1:308" s="26" customFormat="1" ht="15" outlineLevel="1">
      <c r="A353" s="561">
        <f t="shared" si="906"/>
        <v>3053</v>
      </c>
      <c r="B353" s="561">
        <f t="shared" si="928"/>
        <v>53</v>
      </c>
      <c r="C353" s="561">
        <f t="shared" si="929"/>
        <v>3</v>
      </c>
      <c r="D353" s="561" t="str">
        <f t="shared" si="974"/>
        <v xml:space="preserve">0/0/0/3.9, -360 Lease, </v>
      </c>
      <c r="E353" s="475">
        <f>INDEX(Input!$1:$1048576,E$93,$C353*2+MIN($B353,2)+5)
+INDEX(Scenarios!E$121:E$200,MATCH($B353,Scenarios!$B$121:$B$200,0))</f>
        <v>1287.0236024844721</v>
      </c>
      <c r="F353" s="475">
        <f>INDEX(Input!$1:$1048576,F$93,$C353*2+MIN($B353,2)+5)
+INDEX(Scenarios!F$121:F$200,MATCH($B353,Scenarios!$B$121:$B$200,0))</f>
        <v>0</v>
      </c>
      <c r="G353" s="475">
        <f>INDEX(Input!$1:$1048576,G$93,$C353*2+MIN($B353,2)+5)
+INDEX(Scenarios!G$121:G$200,MATCH($B353,Scenarios!$B$121:$B$200,0))</f>
        <v>0</v>
      </c>
      <c r="H353" s="475">
        <f>INDEX(Input!$1:$1048576,H$93,$C353*2+MIN($B353,2)+5)
+INDEX(Scenarios!H$121:H$200,MATCH($B353,Scenarios!$B$121:$B$200,0))</f>
        <v>0</v>
      </c>
      <c r="I353" s="476">
        <f>INDEX(Input!$1:$1048576,I$93,$C353*2+MIN($B353,2)+5)</f>
        <v>0.7</v>
      </c>
      <c r="J353" s="476" t="str">
        <f>INDEX(Input!$1:$1048576,J$93,$C353*2+MIN($B353,2)+5)</f>
        <v>Market</v>
      </c>
      <c r="K353" s="476" t="str">
        <f>INDEX(Input!$1:$1048576,K$93,$C353*2+MIN($B353,2)+5)</f>
        <v>Market</v>
      </c>
      <c r="L353" s="476" t="str">
        <f>INDEX(Input!$1:$1048576,L$93,$C353*2+MIN($B353,2)+5)</f>
        <v>Market</v>
      </c>
      <c r="M353" s="476" t="str">
        <f>INDEX(Input!$1:$1048576,M$93,$C353*2+MIN($B353,2)+5)</f>
        <v>Market</v>
      </c>
      <c r="N353" s="476" t="str">
        <f>INDEX(Input!$1:$1048576,N$93,$C353*2+MIN($B353,2)+5)</f>
        <v>Market</v>
      </c>
      <c r="O353" s="476" t="str">
        <f>INDEX(Input!$1:$1048576,O$93,$C353*2+MIN($B353,2)+5)</f>
        <v>Market</v>
      </c>
      <c r="P353" s="476" t="str">
        <f>INDEX(Input!$1:$1048576,P$93,$C353*2+MIN($B353,2)+5)</f>
        <v>N</v>
      </c>
      <c r="Q353" s="477">
        <f>INDEX(Input!$1:$1048576,Q$93,$C353*2+MIN($B353,2)+5)
+INDEX(Scenarios!Q$121:Q$200,MATCH($B353,Scenarios!$B$121:$B$200,0))</f>
        <v>0</v>
      </c>
      <c r="R353" s="478">
        <f>IFERROR(MAX(0,INDEX(Input!$1:$1048576,R$93,$C353*2+MIN($B353,2)+5)
+INDEX(Scenarios!R$121:R$200,MATCH($B353,Scenarios!$B$121:$B$200,0)),),"Market")</f>
        <v>0</v>
      </c>
      <c r="S353" s="478">
        <f>IFERROR(MAX(0,INDEX(Input!$1:$1048576,S$93,$C353*2+MIN($B353,2)+5)
+INDEX(Scenarios!S$121:S$200,MATCH($B353,Scenarios!$B$121:$B$200,0)),),"Market")</f>
        <v>0</v>
      </c>
      <c r="T353" s="478">
        <f>IFERROR(MAX(0,INDEX(Input!$1:$1048576,T$93,$C353*2+MIN($B353,2)+5)
+INDEX(Scenarios!T$121:T$200,MATCH($B353,Scenarios!$B$121:$B$200,0)),),"Market")</f>
        <v>0</v>
      </c>
      <c r="U353" s="478">
        <f>IFERROR(MAX(0,INDEX(Input!$1:$1048576,U$93,$C353*2+MIN($B353,2)+5)
+INDEX(Scenarios!U$121:U$200,MATCH($B353,Scenarios!$B$121:$B$200,0)),),"Market")</f>
        <v>0</v>
      </c>
      <c r="V353" s="478">
        <f>IFERROR(MAX(0,INDEX(Input!$1:$1048576,V$93,$C353*2+MIN($B353,2)+5)
+INDEX(Scenarios!V$121:V$200,MATCH($B353,Scenarios!$B$121:$B$200,0)),),"Market")</f>
        <v>0</v>
      </c>
      <c r="W353" s="885">
        <f>IFERROR(MAX(0,INDEX(Input!$1:$1048576,W$93,$C353*2+MIN($B353,2)+5)-0%,),"Market")</f>
        <v>3.9E-2</v>
      </c>
      <c r="X353" s="476" t="str">
        <f>INDEX(Input!$1:$1048576,X$93,$C353*2+MIN($B353,2)+5)</f>
        <v>Y</v>
      </c>
      <c r="Y353" s="475">
        <f>INDEX(Input!$1:$1048576,Y$93,$C353*2+MIN($B353,2)+5)
++INDEX(Scenarios!Y$121:Y$200,MATCH($B353,Scenarios!$B$121:$B$200,0))</f>
        <v>1194.9999999999991</v>
      </c>
      <c r="Z353" s="477">
        <f>INDEX(Input!$1:$1048576,Z$93,$C353*2+MIN($B353,2)+5)
+INDEX(Scenarios!Z$121:Z$200,MATCH($B353,Scenarios!$B$121:$B$200,0))</f>
        <v>0</v>
      </c>
      <c r="AA353" s="475">
        <f>INDEX(Input!$1:$1048576,AA$93,$C353*2+MIN($B353,2)+5)
+INDEX(Scenarios!AA$121:AA$200,MATCH($B353,Scenarios!$B$121:$B$200,0))</f>
        <v>0</v>
      </c>
      <c r="AB353" s="476">
        <f>INDEX(Input!$1:$1048576,AB$93,$C353*2+MIN($B353,2)+5)</f>
        <v>0.27</v>
      </c>
      <c r="AC353" s="475">
        <f>INDEX(Input!$1:$1048576,AC$93,$C353*2+MIN($B353,2)+5)
+INDEX(Scenarios!AC$121:AC$200,MATCH($B353,Scenarios!$B$121:$B$200,0))</f>
        <v>0</v>
      </c>
      <c r="AD353" s="476">
        <f>INDEX(Input!$1:$1048576,AD$93,$C353*2+MIN($B353,2)+5)</f>
        <v>0.27</v>
      </c>
      <c r="AE353" s="475">
        <f>INDEX(Input!$1:$1048576,AE$93,$C353*2+MIN($B353,2)+5)
+INDEX(Scenarios!AE$121:AE$200,MATCH($B353,Scenarios!$B$121:$B$200,0))</f>
        <v>0</v>
      </c>
      <c r="AF353" s="476">
        <f>INDEX(Input!$1:$1048576,AF$93,$C353*2+MIN($B353,2)+5)</f>
        <v>0.68200000000000005</v>
      </c>
      <c r="AG353" s="475">
        <f>INDEX(Input!$1:$1048576,AG$93,$C353*2+MIN($B353,2)+5)
+INDEX(Scenarios!AG$121:AG$200,MATCH($B353,Scenarios!$B$121:$B$200,0))</f>
        <v>500</v>
      </c>
      <c r="AH353" s="476">
        <f>INDEX(Input!$1:$1048576,AH$93,$C353*2+MIN($B353,2)+5)</f>
        <v>1</v>
      </c>
      <c r="AI353" s="475">
        <f>INDEX(Input!$1:$1048576,AI$93,$C353*2+MIN($B353,2)+5)
+INDEX(Scenarios!AI$121:AI$200,MATCH($B353,Scenarios!$B$121:$B$200,0))</f>
        <v>0</v>
      </c>
      <c r="AJ353" s="476">
        <f>INDEX(Input!$1:$1048576,AJ$93,$C353*2+MIN($B353,2)+5)</f>
        <v>0.27</v>
      </c>
      <c r="AK353" s="150">
        <f>ROUND(INDEX(Input!$1:$1048576,AK$93,$C352*2+MIN($B353,1)+5)+(Y353-VLOOKUP($C353*1000+1,$A:$HH,Y$92,FALSE)),0)</f>
        <v>2617</v>
      </c>
      <c r="AL353" s="150">
        <f>ROUND(INDEX(Input!$1:$1048576,AL$93,$C352*2+MIN($B353,1)+5)-(Y353-VLOOKUP($C353*1000+1,$A:$HH,Y$92,FALSE))/36,0)</f>
        <v>3405</v>
      </c>
      <c r="AM353" s="32" t="str">
        <f t="shared" si="907"/>
        <v>std/std/std/std</v>
      </c>
      <c r="AN353" s="32" t="str">
        <f t="shared" si="908"/>
        <v>$0 + 0/0/0/0/3.9</v>
      </c>
      <c r="AO353" s="32" t="str">
        <f t="shared" si="909"/>
        <v>0/0/0/0/3.9</v>
      </c>
      <c r="AP353" s="32" t="str">
        <f t="shared" si="863"/>
        <v>0/0/0/3.9</v>
      </c>
      <c r="AQ353" s="536">
        <f t="shared" si="862"/>
        <v>0.30105309187593599</v>
      </c>
      <c r="AR353" s="32"/>
      <c r="AS353" s="302"/>
      <c r="AT353" s="3">
        <f t="shared" si="930"/>
        <v>53</v>
      </c>
      <c r="AU353" s="41" t="s">
        <v>121</v>
      </c>
      <c r="AV353" s="41" t="s">
        <v>116</v>
      </c>
      <c r="AW353" s="41" t="str">
        <f>INDEX(Input!$1:$1048576,AW$93,$C353*2+6)</f>
        <v>Kia</v>
      </c>
      <c r="AX353" s="41" t="str">
        <f>INDEX(Input!$1:$1048576,AX$93,$C353*2+6)</f>
        <v>Kia-LR - L3</v>
      </c>
      <c r="AY353" s="41" t="str">
        <f>IF(LEN(D353)=0,"",INDEX(Input!$1:$1048576,AY$93,$C353*2+6))</f>
        <v>Compact SUV (52)</v>
      </c>
      <c r="AZ353" s="41" t="str">
        <f>INDEX(Input!$1:$1048576,AZ$93,$C353*2+6)</f>
        <v>Kia Soul</v>
      </c>
      <c r="BA353" s="3">
        <f>INDEX(Input!$1:$1048576,BA$93,$C353*2+6)</f>
        <v>2020</v>
      </c>
      <c r="BB353" s="128">
        <f>INDEX(Input!$1:$1048576,BB$93,$C353*2+6)</f>
        <v>1</v>
      </c>
      <c r="BC353" s="128">
        <f>INDEX(Input!$1:$1048576,BC$93,$C353*2+6)</f>
        <v>0.7</v>
      </c>
      <c r="BD353" s="1">
        <f>INDEX(Input!$1:$1048576,BD$93,$C353*2+6)</f>
        <v>4.4999999999999998E-2</v>
      </c>
      <c r="BE353" s="1">
        <f>INDEX(Input!$1:$1048576,BE$93,$C353*2+6)</f>
        <v>4.4999999999999998E-2</v>
      </c>
      <c r="BF353" s="1">
        <f>INDEX(Input!$1:$1048576,BF$93,$C353*2+6)</f>
        <v>0.05</v>
      </c>
      <c r="BG353" s="1">
        <f>INDEX(Input!$1:$1048576,BG$93,$C353*2+6)</f>
        <v>5.45E-2</v>
      </c>
      <c r="BH353" s="1">
        <f>INDEX(Input!$1:$1048576,BH$93,$C353*2+6)</f>
        <v>5.45E-2</v>
      </c>
      <c r="BI353" s="1">
        <f>INDEX(Input!$1:$1048576,BI$93,$C353*2+6)</f>
        <v>0.05</v>
      </c>
      <c r="BJ353" s="1">
        <f>INDEX(Input!$1:$1048576,BJ$93,$C353*2+6)</f>
        <v>0.05</v>
      </c>
      <c r="BK353" s="1">
        <f>INDEX(Input!$1:$1048576,BK$93,$C353*2+6)</f>
        <v>0.05</v>
      </c>
      <c r="BL353" s="1">
        <f>INDEX(Input!$1:$1048576,BL$93,$C353*2+6)</f>
        <v>5.5E-2</v>
      </c>
      <c r="BM353" s="1">
        <f>INDEX(Input!$1:$1048576,BM$93,$C353*2+6)</f>
        <v>0.06</v>
      </c>
      <c r="BN353" s="1">
        <f>INDEX(Input!$1:$1048576,BN$93,$C353*2+6)</f>
        <v>4.4999999999999998E-2</v>
      </c>
      <c r="BO353" s="1">
        <f>INDEX(Input!$1:$1048576,BO$93,$C353*2+6)</f>
        <v>4.4999999999999998E-2</v>
      </c>
      <c r="BP353" s="1">
        <f>INDEX(Input!$1:$1048576,BP$93,$C353*2+6)</f>
        <v>0.05</v>
      </c>
      <c r="BQ353" s="1">
        <f>INDEX(Input!$1:$1048576,BQ$93,$C353*2+6)</f>
        <v>5.45E-2</v>
      </c>
      <c r="BR353" s="1">
        <f>INDEX(Input!$1:$1048576,BR$93,$C353*2+6)</f>
        <v>5.45E-2</v>
      </c>
      <c r="BS353" s="1">
        <f>INDEX(Input!$1:$1048576,BS$93,$C353*2+6)</f>
        <v>0.05</v>
      </c>
      <c r="BT353" s="1">
        <f>INDEX(Input!$1:$1048576,BT$93,$C353*2+6)</f>
        <v>0.05</v>
      </c>
      <c r="BU353" s="1">
        <f>INDEX(Input!$1:$1048576,BU$93,$C353*2+6)</f>
        <v>0.05</v>
      </c>
      <c r="BV353" s="1">
        <f>INDEX(Input!$1:$1048576,BV$93,$C353*2+6)</f>
        <v>5.5E-2</v>
      </c>
      <c r="BW353" s="1">
        <f>INDEX(Input!$1:$1048576,BW$93,$C353*2+6)</f>
        <v>0.06</v>
      </c>
      <c r="BX353" s="127">
        <f>INDEX(Input!$1:$1048576,BX$93,$C353*2+6)</f>
        <v>19985</v>
      </c>
      <c r="BY353" s="20">
        <f>INDEX(Input!$1:$1048576,BY$93,$C353*2+6)</f>
        <v>0.1</v>
      </c>
      <c r="BZ353" s="20">
        <f>INDEX(Input!$1:$1048576,BZ$93,$C353*2+6)</f>
        <v>0.1</v>
      </c>
      <c r="CA353" s="20">
        <f>INDEX(Input!$1:$1048576,CA$93,$C353*2+6)</f>
        <v>0.1</v>
      </c>
      <c r="CB353" s="20">
        <f>INDEX(Input!$1:$1048576,CB$93,$C353*2+6)</f>
        <v>0.1</v>
      </c>
      <c r="CC353" s="20">
        <f>INDEX(Input!$1:$1048576,CC$93,$C353*2+6)</f>
        <v>0.1</v>
      </c>
      <c r="CD353" s="384">
        <f>INDEX(Input!$1:$1048576,CD$93,$C353*2+6)</f>
        <v>0.1</v>
      </c>
      <c r="CE353" s="384">
        <f>INDEX(Input!$1:$1048576,CE$93,$C353*2+6)</f>
        <v>0.1</v>
      </c>
      <c r="CF353" s="384">
        <f>INDEX(Input!$1:$1048576,CF$93,$C353*2+6)</f>
        <v>0.1</v>
      </c>
      <c r="CG353" s="384">
        <f>INDEX(Input!$1:$1048576,CG$93,$C353*2+6)</f>
        <v>0.1</v>
      </c>
      <c r="CH353" s="384">
        <f>INDEX(Input!$1:$1048576,CH$93,$C353*2+6)</f>
        <v>0.1</v>
      </c>
      <c r="CI353" s="304">
        <f t="shared" si="864"/>
        <v>1287.0236024844721</v>
      </c>
      <c r="CJ353" s="16" t="str">
        <f>INDEX(Input!$1:$1048576,CJ$93,$C353*2+6)</f>
        <v>N</v>
      </c>
      <c r="CK353" s="1" t="str">
        <f t="shared" si="865"/>
        <v>Market</v>
      </c>
      <c r="CL353" s="1" t="str">
        <f t="shared" si="866"/>
        <v>Market</v>
      </c>
      <c r="CM353" s="1" t="str">
        <f t="shared" si="867"/>
        <v>Market</v>
      </c>
      <c r="CN353" s="1" t="str">
        <f t="shared" si="868"/>
        <v>Market</v>
      </c>
      <c r="CO353" s="1" t="str">
        <f t="shared" si="869"/>
        <v>Market</v>
      </c>
      <c r="CP353" s="304">
        <f t="shared" si="870"/>
        <v>500</v>
      </c>
      <c r="CQ353" s="1">
        <f t="shared" si="871"/>
        <v>0</v>
      </c>
      <c r="CR353" s="1">
        <f t="shared" si="872"/>
        <v>0</v>
      </c>
      <c r="CS353" s="1">
        <f t="shared" si="873"/>
        <v>0</v>
      </c>
      <c r="CT353" s="1">
        <f t="shared" si="874"/>
        <v>0</v>
      </c>
      <c r="CU353" s="1">
        <f t="shared" si="875"/>
        <v>3.9E-2</v>
      </c>
      <c r="CV353" s="304">
        <f t="shared" si="876"/>
        <v>1194.9999999999991</v>
      </c>
      <c r="CW353" s="20" t="s">
        <v>122</v>
      </c>
      <c r="CX353" s="20" t="s">
        <v>122</v>
      </c>
      <c r="CY353" s="20" t="s">
        <v>122</v>
      </c>
      <c r="CZ353" s="20" t="s">
        <v>122</v>
      </c>
      <c r="DA353" s="20" t="s">
        <v>122</v>
      </c>
      <c r="DB353" s="503">
        <f t="shared" si="877"/>
        <v>0</v>
      </c>
      <c r="DC353" s="127">
        <v>0</v>
      </c>
      <c r="DD353" s="127">
        <v>0</v>
      </c>
      <c r="DE353" s="127">
        <v>0</v>
      </c>
      <c r="DF353" s="127">
        <v>0</v>
      </c>
      <c r="DG353" s="127">
        <v>0</v>
      </c>
      <c r="DH353" s="127">
        <v>0</v>
      </c>
      <c r="DI353" s="127">
        <v>0</v>
      </c>
      <c r="DJ353" s="127">
        <v>0</v>
      </c>
      <c r="DK353" s="127">
        <v>0</v>
      </c>
      <c r="DL353" s="127">
        <v>0</v>
      </c>
      <c r="DM353" s="304">
        <f>INDEX(Input!$1:$1048576,DM$93,$C353*2+6)</f>
        <v>21036.84210526316</v>
      </c>
      <c r="DN353" s="20">
        <v>0</v>
      </c>
      <c r="DO353" s="20">
        <v>0</v>
      </c>
      <c r="DP353" s="20">
        <v>0</v>
      </c>
      <c r="DQ353" s="20">
        <v>0</v>
      </c>
      <c r="DR353" s="20">
        <v>0</v>
      </c>
      <c r="DS353" s="20">
        <f>INDEX(Input!$1:$1048576,DS$93,$C353*2+6)</f>
        <v>0.6</v>
      </c>
      <c r="DT353" s="20">
        <f>INDEX(Input!$1:$1048576,DT$93,$C353*2+6)</f>
        <v>0.55000000000000004</v>
      </c>
      <c r="DU353" s="20">
        <f>INDEX(Input!$1:$1048576,DU$93,$C353*2+6)</f>
        <v>0.52</v>
      </c>
      <c r="DV353" s="20">
        <f>INDEX(Input!$1:$1048576,DV$93,$C353*2+6)</f>
        <v>0.5</v>
      </c>
      <c r="DW353" s="20">
        <f>INDEX(Input!$1:$1048576,DW$93,$C353*2+6)</f>
        <v>0.45</v>
      </c>
      <c r="DX353" s="20"/>
      <c r="DY353" s="7">
        <v>0.10028153118188189</v>
      </c>
      <c r="DZ353" s="7">
        <v>0</v>
      </c>
      <c r="EA353" s="7">
        <v>0.69176634005797122</v>
      </c>
      <c r="EB353" s="7">
        <v>0</v>
      </c>
      <c r="EC353" s="7">
        <v>0</v>
      </c>
      <c r="ED353" s="7">
        <v>0</v>
      </c>
      <c r="EE353" s="7">
        <v>0</v>
      </c>
      <c r="EF353" s="7">
        <v>0</v>
      </c>
      <c r="EG353" s="7">
        <v>0</v>
      </c>
      <c r="EH353" s="7">
        <v>7.3777767561712723E-3</v>
      </c>
      <c r="EI353" s="7">
        <v>2.0654708647324153E-2</v>
      </c>
      <c r="EJ353" s="7">
        <v>0.16611916904144658</v>
      </c>
      <c r="EK353" s="7">
        <v>0.71884764413184687</v>
      </c>
      <c r="EL353" s="7">
        <v>8.7000701423210758E-2</v>
      </c>
      <c r="EM353" s="7">
        <v>7.9923502255969212E-2</v>
      </c>
      <c r="EN353" s="7">
        <v>6.1132948240789756E-2</v>
      </c>
      <c r="EO353" s="7">
        <v>0.76984512158005136</v>
      </c>
      <c r="EP353" s="7">
        <v>6.9669897257636532E-2</v>
      </c>
      <c r="EQ353" s="7">
        <v>6.5329506509710672E-2</v>
      </c>
      <c r="ER353" s="7">
        <v>3.4022526411811582E-2</v>
      </c>
      <c r="ES353" s="7">
        <v>0.12802862650417779</v>
      </c>
      <c r="ET353" s="7">
        <v>0.20795212876014699</v>
      </c>
      <c r="EU353" s="6">
        <v>1611</v>
      </c>
      <c r="EV353" s="6">
        <v>0</v>
      </c>
      <c r="EW353" s="6">
        <v>1611</v>
      </c>
      <c r="EX353" s="6">
        <v>0</v>
      </c>
      <c r="EY353" s="6">
        <v>3002.0543082718036</v>
      </c>
      <c r="EZ353" s="6">
        <v>1929</v>
      </c>
      <c r="FA353" s="6">
        <v>0</v>
      </c>
      <c r="FB353" s="6">
        <v>0</v>
      </c>
      <c r="FC353" s="6">
        <v>0</v>
      </c>
      <c r="FD353" s="6">
        <v>0</v>
      </c>
      <c r="FE353" s="6">
        <v>0</v>
      </c>
      <c r="FF353" s="6">
        <v>0</v>
      </c>
      <c r="FG353" s="6">
        <v>0</v>
      </c>
      <c r="FH353" s="6">
        <v>1171.9987636504807</v>
      </c>
      <c r="FI353" s="6">
        <v>1553.9796069512406</v>
      </c>
      <c r="FJ353" s="6">
        <v>2101.2110117447405</v>
      </c>
      <c r="FK353" s="6">
        <v>2674.2006261592264</v>
      </c>
      <c r="FL353" s="6">
        <v>907.07682140966335</v>
      </c>
      <c r="FM353" s="6">
        <v>2391.0543082718036</v>
      </c>
      <c r="FN353" s="6">
        <v>0</v>
      </c>
      <c r="FO353" s="6">
        <v>0</v>
      </c>
      <c r="FP353" s="6">
        <v>0</v>
      </c>
      <c r="FQ353" s="6">
        <v>0</v>
      </c>
      <c r="FR353" s="6">
        <v>0</v>
      </c>
      <c r="FS353" s="6">
        <v>0</v>
      </c>
      <c r="FT353" s="7">
        <v>0.7920478712398531</v>
      </c>
      <c r="FU353" s="7">
        <v>7.9923502255969212E-2</v>
      </c>
      <c r="FV353" s="7">
        <v>0.12802862650417779</v>
      </c>
      <c r="FW353" s="6">
        <v>1610.9999999999998</v>
      </c>
      <c r="FX353" s="6">
        <v>3002.0543082718036</v>
      </c>
      <c r="FY353" s="6">
        <v>1929</v>
      </c>
      <c r="FZ353" s="6">
        <v>1858.9243755539039</v>
      </c>
      <c r="GA353" s="6">
        <v>1762.8910353736658</v>
      </c>
      <c r="GB353" s="6">
        <v>18222.108964626335</v>
      </c>
      <c r="GC353" s="7">
        <v>2.9156573141622111E-2</v>
      </c>
      <c r="GD353" s="7">
        <v>2.9443382938043768E-2</v>
      </c>
      <c r="GE353" s="7"/>
      <c r="GF353" s="7"/>
      <c r="GG353" s="7">
        <v>9.8368829227130587E-3</v>
      </c>
      <c r="GH353" s="42">
        <v>-2.0471026504071865</v>
      </c>
      <c r="GI353" s="6">
        <v>-7999.6873072535755</v>
      </c>
      <c r="GJ353" s="14">
        <v>0.50394797582841733</v>
      </c>
      <c r="GK353" s="14">
        <v>0.50887573065309744</v>
      </c>
      <c r="GL353" s="14">
        <v>0.49605202417158289</v>
      </c>
      <c r="GM353" s="14">
        <v>0.49112426934690234</v>
      </c>
      <c r="GO353" s="5">
        <v>343.14810671672558</v>
      </c>
      <c r="GP353" s="5">
        <v>312.41330006058649</v>
      </c>
      <c r="GQ353" s="5">
        <v>535.04305713031317</v>
      </c>
      <c r="GR353" s="5">
        <v>410.15490233172511</v>
      </c>
      <c r="GS353" s="5">
        <v>339.42744393800166</v>
      </c>
      <c r="GT353" s="5">
        <v>293.4407446948278</v>
      </c>
      <c r="GU353" s="5">
        <v>258.04012322764959</v>
      </c>
      <c r="GV353" s="39" t="s">
        <v>392</v>
      </c>
      <c r="GW353" s="5">
        <v>482.65277777777777</v>
      </c>
      <c r="GX353" s="5">
        <v>361.98958333333331</v>
      </c>
      <c r="GY353" s="5">
        <v>289.59166666666664</v>
      </c>
      <c r="GZ353" s="5">
        <v>241.32638888888889</v>
      </c>
      <c r="HA353" s="5">
        <v>236.70336205047303</v>
      </c>
      <c r="HB353" s="39">
        <v>253.21468549754798</v>
      </c>
      <c r="HC353" s="5">
        <v>202.890625</v>
      </c>
      <c r="HD353" s="5">
        <v>182.20330774853798</v>
      </c>
      <c r="HE353" s="5">
        <v>187.48257844129552</v>
      </c>
      <c r="HF353" s="5">
        <v>176.30063048245611</v>
      </c>
      <c r="HG353" s="5">
        <v>173.65888157894736</v>
      </c>
      <c r="HH353" s="39">
        <v>183.15946873216416</v>
      </c>
      <c r="HI353" s="16"/>
      <c r="HJ353" s="19" t="str">
        <f t="shared" si="991"/>
        <v>On</v>
      </c>
      <c r="HK353" s="1" t="str">
        <f t="shared" si="991"/>
        <v>On</v>
      </c>
      <c r="HL353" s="16"/>
      <c r="HM353" s="639">
        <f t="shared" si="878"/>
        <v>2.2758057894877178E-2</v>
      </c>
      <c r="HN353" s="639">
        <f t="shared" si="879"/>
        <v>1.416759231746561E-3</v>
      </c>
      <c r="HO353" s="639">
        <f t="shared" si="880"/>
        <v>4.5732401537654987E-3</v>
      </c>
      <c r="HP353" s="644">
        <f>(FT353*$GD353-HM353)/$JF353*INDEX(Input!$1:$1048576,$JG$93,$C353*2+6)</f>
        <v>31.502738194803626</v>
      </c>
      <c r="HQ353" s="644">
        <f>(FU353*$GD353-HN353)/$JF353*INDEX(Input!$1:$1048576,$JG$93,$C353*2+6)</f>
        <v>52.44525072720721</v>
      </c>
      <c r="HR353" s="644">
        <f>(FV353*$GD353-HO353)/$JF353*INDEX(Input!$1:$1048576,$JG$93,$C353*2+6)</f>
        <v>-45.007120747678329</v>
      </c>
      <c r="HS353" s="644">
        <f t="shared" si="985"/>
        <v>-19.429303178715866</v>
      </c>
      <c r="HT353" s="644">
        <f t="shared" si="882"/>
        <v>101.00373839025312</v>
      </c>
      <c r="HU353" s="644">
        <f t="shared" si="883"/>
        <v>0.3203833335418429</v>
      </c>
      <c r="HV353" s="648">
        <f t="shared" si="884"/>
        <v>0</v>
      </c>
      <c r="HW353" s="648">
        <f t="shared" si="885"/>
        <v>0</v>
      </c>
      <c r="HX353" s="648">
        <f t="shared" si="886"/>
        <v>0</v>
      </c>
      <c r="HY353" s="644">
        <f>INDEX(Input!$1:$1048576,HY$93,$C353*2+6)*INDEX(Input!$1:$1048576,$JG$93,$C353*2+6)</f>
        <v>509.00000000000006</v>
      </c>
      <c r="HZ353" s="644">
        <f>INDEX(Input!$1:$1048576,HZ$93,$C353*2+6)*INDEX(Input!$1:$1048576,$JG$93,$C353*2+6)</f>
        <v>844</v>
      </c>
      <c r="IA353" s="644">
        <f>INDEX(Input!$1:$1048576,IA$93,$C353*2+6)*INDEX(Input!$1:$1048576,$JG$93,$C353*2+6)</f>
        <v>257</v>
      </c>
      <c r="IB353" s="644">
        <f t="shared" si="910"/>
        <v>521.07343501608773</v>
      </c>
      <c r="IC353" s="644">
        <f t="shared" si="911"/>
        <v>997.44898911746031</v>
      </c>
      <c r="ID353" s="644">
        <f>IF(AND(INDEX(Input!$1:$1048576,IA$93,$C353*2+7)="TOS",Y353&lt;=INDEX(Y:Y,MATCH(C353*1000+2,A:A))),0,1)*MAX(IA353+HR353+HU353+HX353,0%)</f>
        <v>212.31326258586353</v>
      </c>
      <c r="IE353" s="128">
        <f t="shared" si="990"/>
        <v>0.30105309187593599</v>
      </c>
      <c r="IF353" s="128">
        <f t="shared" si="977"/>
        <v>0.57628173302111851</v>
      </c>
      <c r="IG353" s="128">
        <f t="shared" si="888"/>
        <v>0.12266517510294549</v>
      </c>
      <c r="IH353" s="21"/>
      <c r="II353" s="19">
        <f t="shared" si="889"/>
        <v>1410.4999999999998</v>
      </c>
      <c r="IJ353" s="19">
        <f t="shared" si="890"/>
        <v>2134.9731585778086</v>
      </c>
      <c r="IK353" s="19">
        <f t="shared" si="891"/>
        <v>2103.5</v>
      </c>
      <c r="IL353" s="19">
        <f t="shared" si="913"/>
        <v>200.5</v>
      </c>
      <c r="IM353" s="19">
        <f t="shared" si="892"/>
        <v>867.08114969399503</v>
      </c>
      <c r="IN353" s="19">
        <f t="shared" si="893"/>
        <v>-174.5</v>
      </c>
      <c r="IO353" s="39">
        <f t="shared" si="894"/>
        <v>0</v>
      </c>
      <c r="IP353" s="39">
        <f t="shared" si="895"/>
        <v>0</v>
      </c>
      <c r="IQ353" s="39">
        <f t="shared" si="896"/>
        <v>0</v>
      </c>
      <c r="IR353" s="39">
        <v>0</v>
      </c>
      <c r="IS353" s="39">
        <v>0</v>
      </c>
      <c r="IT353" s="39">
        <v>0</v>
      </c>
      <c r="IU353" s="39">
        <v>0</v>
      </c>
      <c r="IV353" s="39">
        <v>0</v>
      </c>
      <c r="IW353" s="39">
        <v>0</v>
      </c>
      <c r="IX353" s="39">
        <f>INDEX(Input!$1:$1048576,IX$93,$C353*2+6)+INDEX(Input!$1:$1048576,IX$94,$C353*2+6)</f>
        <v>1611</v>
      </c>
      <c r="IY353" s="39">
        <f>INDEX(Input!$1:$1048576,IY$93,$C353*2+6)+INDEX(Input!$1:$1048576,IY$94,$C353*2+6)</f>
        <v>2471.0624533823611</v>
      </c>
      <c r="IZ353" s="39">
        <f>INDEX(Input!$1:$1048576,IZ$93,$C353*2+6)+INDEX(Input!$1:$1048576,IZ$94,$C353*2+6)</f>
        <v>3994.7164157747857</v>
      </c>
      <c r="JA353" s="19">
        <f t="shared" si="914"/>
        <v>1811.5</v>
      </c>
      <c r="JB353" s="19">
        <f t="shared" si="915"/>
        <v>3338.1436030763562</v>
      </c>
      <c r="JC353" s="19">
        <f t="shared" si="916"/>
        <v>3820.2164157747857</v>
      </c>
      <c r="JD353" s="19">
        <f t="shared" si="917"/>
        <v>2937.6763721596221</v>
      </c>
      <c r="JE353" s="21"/>
      <c r="JF353" s="1">
        <f t="shared" si="897"/>
        <v>2.8748057280389237E-2</v>
      </c>
      <c r="JG353" s="15">
        <f>INDEX(Input!$1:$1048576,JG$93,$C353*2+6)/(1+VLOOKUP(C353*1000+INDEX(Input!$1:$1048576,JG$93+1,$C353*2+6),$A:$KK,$JK$92,FALSE))</f>
        <v>1610</v>
      </c>
      <c r="JH353" s="1">
        <f t="shared" si="918"/>
        <v>2.4186874642442551E-2</v>
      </c>
      <c r="JI353" s="1">
        <f t="shared" si="919"/>
        <v>5.0866346922409371E-2</v>
      </c>
      <c r="JJ353" s="1">
        <f t="shared" si="978"/>
        <v>0</v>
      </c>
      <c r="JK353" s="1">
        <f t="shared" si="979"/>
        <v>7.5053221564851919E-2</v>
      </c>
      <c r="JL353" s="15">
        <f t="shared" si="922"/>
        <v>120.83568671941158</v>
      </c>
      <c r="JM353" s="15">
        <f t="shared" si="948"/>
        <v>1730.8356867194116</v>
      </c>
      <c r="JN353" s="21"/>
      <c r="JO353" s="19">
        <f>INDEX(Input!$1:$1048576,JO$93,$C353*2+6)</f>
        <v>5995.5</v>
      </c>
      <c r="JP353" s="19">
        <f>INDEX(Input!$1:$1048576,JP$93,$C353*2+6)</f>
        <v>2442.3713226762939</v>
      </c>
      <c r="JQ353" s="39">
        <f t="shared" si="934"/>
        <v>3057.8236278403779</v>
      </c>
      <c r="JR353" s="39">
        <f t="shared" si="951"/>
        <v>495.30504948332828</v>
      </c>
      <c r="JS353" s="39">
        <f t="shared" si="936"/>
        <v>5.08463510096629</v>
      </c>
      <c r="JT353" s="39">
        <f t="shared" si="924"/>
        <v>1.1524172714574565</v>
      </c>
      <c r="JU353" s="385">
        <f>(JQ353*JM353-INDEX(Input!$1:$1048576,Input!A$18,$C353*2+6)*JL353*INDEX(Input!$1:$1048576,Input!A$19,$C353*2+6))/1000000</f>
        <v>5.2925902587599429</v>
      </c>
      <c r="JV353" s="39">
        <f t="shared" si="958"/>
        <v>-0.42794691173122423</v>
      </c>
      <c r="JW353" s="1">
        <f t="shared" si="949"/>
        <v>-7.4808868289283501E-2</v>
      </c>
      <c r="JX353" s="19">
        <f t="shared" si="940"/>
        <v>9537.0606378349567</v>
      </c>
      <c r="JZ353" s="341"/>
      <c r="KA353" s="342"/>
      <c r="KB353" s="469">
        <f t="shared" si="937"/>
        <v>2.5190675447988795</v>
      </c>
      <c r="KI353" s="473">
        <f t="shared" si="987"/>
        <v>12.073435016087672</v>
      </c>
      <c r="KJ353" s="473">
        <f t="shared" si="988"/>
        <v>153.44898911746031</v>
      </c>
      <c r="KK353" s="473">
        <f t="shared" si="926"/>
        <v>-44.686737414136473</v>
      </c>
      <c r="KN353" s="544">
        <f t="shared" si="941"/>
        <v>3002</v>
      </c>
      <c r="KO353" s="541">
        <f t="shared" si="901"/>
        <v>4.3217972287104223E-2</v>
      </c>
      <c r="KP353" s="546">
        <f t="shared" si="902"/>
        <v>339.95106822555107</v>
      </c>
      <c r="KQ353" s="546">
        <f t="shared" si="903"/>
        <v>301.76294677092392</v>
      </c>
      <c r="KR353" s="548">
        <f t="shared" si="904"/>
        <v>2.205589018154372</v>
      </c>
      <c r="KS353" s="548">
        <f t="shared" si="905"/>
        <v>2.4847064585345198</v>
      </c>
      <c r="KT353" s="473">
        <f t="shared" si="939"/>
        <v>1026.1618045255443</v>
      </c>
      <c r="KU353" s="663">
        <f t="shared" si="927"/>
        <v>4.6717270329066398</v>
      </c>
      <c r="KV353" s="117"/>
    </row>
    <row r="354" spans="1:308" s="26" customFormat="1" ht="15" outlineLevel="1">
      <c r="A354" s="561">
        <f t="shared" si="906"/>
        <v>3054</v>
      </c>
      <c r="B354" s="561">
        <f t="shared" si="928"/>
        <v>54</v>
      </c>
      <c r="C354" s="561">
        <f t="shared" si="929"/>
        <v>3</v>
      </c>
      <c r="D354" s="561" t="str">
        <f t="shared" si="974"/>
        <v xml:space="preserve">0/0/0/3.9, -360 Lease, </v>
      </c>
      <c r="E354" s="475">
        <f>INDEX(Input!$1:$1048576,E$93,$C354*2+MIN($B354,2)+5)
+INDEX(Scenarios!E$121:E$200,MATCH($B354,Scenarios!$B$121:$B$200,0))</f>
        <v>1287.0236024844721</v>
      </c>
      <c r="F354" s="475">
        <f>INDEX(Input!$1:$1048576,F$93,$C354*2+MIN($B354,2)+5)
+INDEX(Scenarios!F$121:F$200,MATCH($B354,Scenarios!$B$121:$B$200,0))</f>
        <v>0</v>
      </c>
      <c r="G354" s="475">
        <f>INDEX(Input!$1:$1048576,G$93,$C354*2+MIN($B354,2)+5)
+INDEX(Scenarios!G$121:G$200,MATCH($B354,Scenarios!$B$121:$B$200,0))</f>
        <v>0</v>
      </c>
      <c r="H354" s="475">
        <f>INDEX(Input!$1:$1048576,H$93,$C354*2+MIN($B354,2)+5)
+INDEX(Scenarios!H$121:H$200,MATCH($B354,Scenarios!$B$121:$B$200,0))</f>
        <v>0</v>
      </c>
      <c r="I354" s="476">
        <f>INDEX(Input!$1:$1048576,I$93,$C354*2+MIN($B354,2)+5)</f>
        <v>0.7</v>
      </c>
      <c r="J354" s="476" t="str">
        <f>INDEX(Input!$1:$1048576,J$93,$C354*2+MIN($B354,2)+5)</f>
        <v>Market</v>
      </c>
      <c r="K354" s="476" t="str">
        <f>INDEX(Input!$1:$1048576,K$93,$C354*2+MIN($B354,2)+5)</f>
        <v>Market</v>
      </c>
      <c r="L354" s="476" t="str">
        <f>INDEX(Input!$1:$1048576,L$93,$C354*2+MIN($B354,2)+5)</f>
        <v>Market</v>
      </c>
      <c r="M354" s="476" t="str">
        <f>INDEX(Input!$1:$1048576,M$93,$C354*2+MIN($B354,2)+5)</f>
        <v>Market</v>
      </c>
      <c r="N354" s="476" t="str">
        <f>INDEX(Input!$1:$1048576,N$93,$C354*2+MIN($B354,2)+5)</f>
        <v>Market</v>
      </c>
      <c r="O354" s="476" t="str">
        <f>INDEX(Input!$1:$1048576,O$93,$C354*2+MIN($B354,2)+5)</f>
        <v>Market</v>
      </c>
      <c r="P354" s="476" t="str">
        <f>INDEX(Input!$1:$1048576,P$93,$C354*2+MIN($B354,2)+5)</f>
        <v>N</v>
      </c>
      <c r="Q354" s="477">
        <f>INDEX(Input!$1:$1048576,Q$93,$C354*2+MIN($B354,2)+5)
+INDEX(Scenarios!Q$121:Q$200,MATCH($B354,Scenarios!$B$121:$B$200,0))</f>
        <v>0</v>
      </c>
      <c r="R354" s="478">
        <f>IFERROR(MAX(0,INDEX(Input!$1:$1048576,R$93,$C354*2+MIN($B354,2)+5)
+INDEX(Scenarios!R$121:R$200,MATCH($B354,Scenarios!$B$121:$B$200,0)),),"Market")</f>
        <v>0</v>
      </c>
      <c r="S354" s="478">
        <f>IFERROR(MAX(0,INDEX(Input!$1:$1048576,S$93,$C354*2+MIN($B354,2)+5)
+INDEX(Scenarios!S$121:S$200,MATCH($B354,Scenarios!$B$121:$B$200,0)),),"Market")</f>
        <v>0</v>
      </c>
      <c r="T354" s="478">
        <f>IFERROR(MAX(0,INDEX(Input!$1:$1048576,T$93,$C354*2+MIN($B354,2)+5)
+INDEX(Scenarios!T$121:T$200,MATCH($B354,Scenarios!$B$121:$B$200,0)),),"Market")</f>
        <v>0</v>
      </c>
      <c r="U354" s="478">
        <f>IFERROR(MAX(0,INDEX(Input!$1:$1048576,U$93,$C354*2+MIN($B354,2)+5)
+INDEX(Scenarios!U$121:U$200,MATCH($B354,Scenarios!$B$121:$B$200,0)),),"Market")</f>
        <v>0</v>
      </c>
      <c r="V354" s="478">
        <f>IFERROR(MAX(0,INDEX(Input!$1:$1048576,V$93,$C354*2+MIN($B354,2)+5)
+INDEX(Scenarios!V$121:V$200,MATCH($B354,Scenarios!$B$121:$B$200,0)),),"Market")</f>
        <v>0</v>
      </c>
      <c r="W354" s="885">
        <f>IFERROR(MAX(0,INDEX(Input!$1:$1048576,W$93,$C354*2+MIN($B354,2)+5)-0%,),"Market")</f>
        <v>3.9E-2</v>
      </c>
      <c r="X354" s="476" t="str">
        <f>INDEX(Input!$1:$1048576,X$93,$C354*2+MIN($B354,2)+5)</f>
        <v>Y</v>
      </c>
      <c r="Y354" s="475">
        <f>INDEX(Input!$1:$1048576,Y$93,$C354*2+MIN($B354,2)+5)
++INDEX(Scenarios!Y$121:Y$200,MATCH($B354,Scenarios!$B$121:$B$200,0))</f>
        <v>1194.9999999999991</v>
      </c>
      <c r="Z354" s="477">
        <f>INDEX(Input!$1:$1048576,Z$93,$C354*2+MIN($B354,2)+5)
+INDEX(Scenarios!Z$121:Z$200,MATCH($B354,Scenarios!$B$121:$B$200,0))</f>
        <v>0</v>
      </c>
      <c r="AA354" s="475">
        <f>INDEX(Input!$1:$1048576,AA$93,$C354*2+MIN($B354,2)+5)
+INDEX(Scenarios!AA$121:AA$200,MATCH($B354,Scenarios!$B$121:$B$200,0))</f>
        <v>0</v>
      </c>
      <c r="AB354" s="476">
        <f>INDEX(Input!$1:$1048576,AB$93,$C354*2+MIN($B354,2)+5)</f>
        <v>0.27</v>
      </c>
      <c r="AC354" s="475">
        <f>INDEX(Input!$1:$1048576,AC$93,$C354*2+MIN($B354,2)+5)
+INDEX(Scenarios!AC$121:AC$200,MATCH($B354,Scenarios!$B$121:$B$200,0))</f>
        <v>0</v>
      </c>
      <c r="AD354" s="476">
        <f>INDEX(Input!$1:$1048576,AD$93,$C354*2+MIN($B354,2)+5)</f>
        <v>0.27</v>
      </c>
      <c r="AE354" s="475">
        <f>INDEX(Input!$1:$1048576,AE$93,$C354*2+MIN($B354,2)+5)
+INDEX(Scenarios!AE$121:AE$200,MATCH($B354,Scenarios!$B$121:$B$200,0))</f>
        <v>0</v>
      </c>
      <c r="AF354" s="476">
        <f>INDEX(Input!$1:$1048576,AF$93,$C354*2+MIN($B354,2)+5)</f>
        <v>0.68200000000000005</v>
      </c>
      <c r="AG354" s="475">
        <f>INDEX(Input!$1:$1048576,AG$93,$C354*2+MIN($B354,2)+5)
+INDEX(Scenarios!AG$121:AG$200,MATCH($B354,Scenarios!$B$121:$B$200,0))</f>
        <v>500</v>
      </c>
      <c r="AH354" s="476">
        <f>INDEX(Input!$1:$1048576,AH$93,$C354*2+MIN($B354,2)+5)</f>
        <v>1</v>
      </c>
      <c r="AI354" s="475">
        <f>INDEX(Input!$1:$1048576,AI$93,$C354*2+MIN($B354,2)+5)
+INDEX(Scenarios!AI$121:AI$200,MATCH($B354,Scenarios!$B$121:$B$200,0))</f>
        <v>0</v>
      </c>
      <c r="AJ354" s="476">
        <f>INDEX(Input!$1:$1048576,AJ$93,$C354*2+MIN($B354,2)+5)</f>
        <v>0.27</v>
      </c>
      <c r="AK354" s="150">
        <f>ROUND(INDEX(Input!$1:$1048576,AK$93,$C353*2+MIN($B354,1)+5)+(Y354-VLOOKUP($C354*1000+1,$A:$HH,Y$92,FALSE)),0)</f>
        <v>2617</v>
      </c>
      <c r="AL354" s="150">
        <f>ROUND(INDEX(Input!$1:$1048576,AL$93,$C353*2+MIN($B354,1)+5)-(Y354-VLOOKUP($C354*1000+1,$A:$HH,Y$92,FALSE))/36,0)</f>
        <v>3405</v>
      </c>
      <c r="AM354" s="32" t="str">
        <f t="shared" si="907"/>
        <v>std/std/std/std</v>
      </c>
      <c r="AN354" s="32" t="str">
        <f t="shared" si="908"/>
        <v>$0 + 0/0/0/0/3.9</v>
      </c>
      <c r="AO354" s="32" t="str">
        <f t="shared" si="909"/>
        <v>0/0/0/0/3.9</v>
      </c>
      <c r="AP354" s="32" t="str">
        <f t="shared" si="863"/>
        <v>0/0/0/3.9</v>
      </c>
      <c r="AQ354" s="536">
        <f t="shared" si="862"/>
        <v>0.30105309187593599</v>
      </c>
      <c r="AR354" s="32"/>
      <c r="AS354" s="302"/>
      <c r="AT354" s="3">
        <f t="shared" si="930"/>
        <v>54</v>
      </c>
      <c r="AU354" s="41" t="s">
        <v>121</v>
      </c>
      <c r="AV354" s="41" t="s">
        <v>116</v>
      </c>
      <c r="AW354" s="41" t="str">
        <f>INDEX(Input!$1:$1048576,AW$93,$C354*2+6)</f>
        <v>Kia</v>
      </c>
      <c r="AX354" s="41" t="str">
        <f>INDEX(Input!$1:$1048576,AX$93,$C354*2+6)</f>
        <v>Kia-LR - L3</v>
      </c>
      <c r="AY354" s="41" t="str">
        <f>IF(LEN(D354)=0,"",INDEX(Input!$1:$1048576,AY$93,$C354*2+6))</f>
        <v>Compact SUV (52)</v>
      </c>
      <c r="AZ354" s="41" t="str">
        <f>INDEX(Input!$1:$1048576,AZ$93,$C354*2+6)</f>
        <v>Kia Soul</v>
      </c>
      <c r="BA354" s="3">
        <f>INDEX(Input!$1:$1048576,BA$93,$C354*2+6)</f>
        <v>2020</v>
      </c>
      <c r="BB354" s="128">
        <f>INDEX(Input!$1:$1048576,BB$93,$C354*2+6)</f>
        <v>1</v>
      </c>
      <c r="BC354" s="128">
        <f>INDEX(Input!$1:$1048576,BC$93,$C354*2+6)</f>
        <v>0.7</v>
      </c>
      <c r="BD354" s="1">
        <f>INDEX(Input!$1:$1048576,BD$93,$C354*2+6)</f>
        <v>4.4999999999999998E-2</v>
      </c>
      <c r="BE354" s="1">
        <f>INDEX(Input!$1:$1048576,BE$93,$C354*2+6)</f>
        <v>4.4999999999999998E-2</v>
      </c>
      <c r="BF354" s="1">
        <f>INDEX(Input!$1:$1048576,BF$93,$C354*2+6)</f>
        <v>0.05</v>
      </c>
      <c r="BG354" s="1">
        <f>INDEX(Input!$1:$1048576,BG$93,$C354*2+6)</f>
        <v>5.45E-2</v>
      </c>
      <c r="BH354" s="1">
        <f>INDEX(Input!$1:$1048576,BH$93,$C354*2+6)</f>
        <v>5.45E-2</v>
      </c>
      <c r="BI354" s="1">
        <f>INDEX(Input!$1:$1048576,BI$93,$C354*2+6)</f>
        <v>0.05</v>
      </c>
      <c r="BJ354" s="1">
        <f>INDEX(Input!$1:$1048576,BJ$93,$C354*2+6)</f>
        <v>0.05</v>
      </c>
      <c r="BK354" s="1">
        <f>INDEX(Input!$1:$1048576,BK$93,$C354*2+6)</f>
        <v>0.05</v>
      </c>
      <c r="BL354" s="1">
        <f>INDEX(Input!$1:$1048576,BL$93,$C354*2+6)</f>
        <v>5.5E-2</v>
      </c>
      <c r="BM354" s="1">
        <f>INDEX(Input!$1:$1048576,BM$93,$C354*2+6)</f>
        <v>0.06</v>
      </c>
      <c r="BN354" s="1">
        <f>INDEX(Input!$1:$1048576,BN$93,$C354*2+6)</f>
        <v>4.4999999999999998E-2</v>
      </c>
      <c r="BO354" s="1">
        <f>INDEX(Input!$1:$1048576,BO$93,$C354*2+6)</f>
        <v>4.4999999999999998E-2</v>
      </c>
      <c r="BP354" s="1">
        <f>INDEX(Input!$1:$1048576,BP$93,$C354*2+6)</f>
        <v>0.05</v>
      </c>
      <c r="BQ354" s="1">
        <f>INDEX(Input!$1:$1048576,BQ$93,$C354*2+6)</f>
        <v>5.45E-2</v>
      </c>
      <c r="BR354" s="1">
        <f>INDEX(Input!$1:$1048576,BR$93,$C354*2+6)</f>
        <v>5.45E-2</v>
      </c>
      <c r="BS354" s="1">
        <f>INDEX(Input!$1:$1048576,BS$93,$C354*2+6)</f>
        <v>0.05</v>
      </c>
      <c r="BT354" s="1">
        <f>INDEX(Input!$1:$1048576,BT$93,$C354*2+6)</f>
        <v>0.05</v>
      </c>
      <c r="BU354" s="1">
        <f>INDEX(Input!$1:$1048576,BU$93,$C354*2+6)</f>
        <v>0.05</v>
      </c>
      <c r="BV354" s="1">
        <f>INDEX(Input!$1:$1048576,BV$93,$C354*2+6)</f>
        <v>5.5E-2</v>
      </c>
      <c r="BW354" s="1">
        <f>INDEX(Input!$1:$1048576,BW$93,$C354*2+6)</f>
        <v>0.06</v>
      </c>
      <c r="BX354" s="127">
        <f>INDEX(Input!$1:$1048576,BX$93,$C354*2+6)</f>
        <v>19985</v>
      </c>
      <c r="BY354" s="20">
        <f>INDEX(Input!$1:$1048576,BY$93,$C354*2+6)</f>
        <v>0.1</v>
      </c>
      <c r="BZ354" s="20">
        <f>INDEX(Input!$1:$1048576,BZ$93,$C354*2+6)</f>
        <v>0.1</v>
      </c>
      <c r="CA354" s="20">
        <f>INDEX(Input!$1:$1048576,CA$93,$C354*2+6)</f>
        <v>0.1</v>
      </c>
      <c r="CB354" s="20">
        <f>INDEX(Input!$1:$1048576,CB$93,$C354*2+6)</f>
        <v>0.1</v>
      </c>
      <c r="CC354" s="20">
        <f>INDEX(Input!$1:$1048576,CC$93,$C354*2+6)</f>
        <v>0.1</v>
      </c>
      <c r="CD354" s="384">
        <f>INDEX(Input!$1:$1048576,CD$93,$C354*2+6)</f>
        <v>0.1</v>
      </c>
      <c r="CE354" s="384">
        <f>INDEX(Input!$1:$1048576,CE$93,$C354*2+6)</f>
        <v>0.1</v>
      </c>
      <c r="CF354" s="384">
        <f>INDEX(Input!$1:$1048576,CF$93,$C354*2+6)</f>
        <v>0.1</v>
      </c>
      <c r="CG354" s="384">
        <f>INDEX(Input!$1:$1048576,CG$93,$C354*2+6)</f>
        <v>0.1</v>
      </c>
      <c r="CH354" s="384">
        <f>INDEX(Input!$1:$1048576,CH$93,$C354*2+6)</f>
        <v>0.1</v>
      </c>
      <c r="CI354" s="304">
        <f t="shared" si="864"/>
        <v>1287.0236024844721</v>
      </c>
      <c r="CJ354" s="16" t="str">
        <f>INDEX(Input!$1:$1048576,CJ$93,$C354*2+6)</f>
        <v>N</v>
      </c>
      <c r="CK354" s="1" t="str">
        <f t="shared" si="865"/>
        <v>Market</v>
      </c>
      <c r="CL354" s="1" t="str">
        <f t="shared" si="866"/>
        <v>Market</v>
      </c>
      <c r="CM354" s="1" t="str">
        <f t="shared" si="867"/>
        <v>Market</v>
      </c>
      <c r="CN354" s="1" t="str">
        <f t="shared" si="868"/>
        <v>Market</v>
      </c>
      <c r="CO354" s="1" t="str">
        <f t="shared" si="869"/>
        <v>Market</v>
      </c>
      <c r="CP354" s="304">
        <f t="shared" si="870"/>
        <v>500</v>
      </c>
      <c r="CQ354" s="1">
        <f t="shared" si="871"/>
        <v>0</v>
      </c>
      <c r="CR354" s="1">
        <f t="shared" si="872"/>
        <v>0</v>
      </c>
      <c r="CS354" s="1">
        <f t="shared" si="873"/>
        <v>0</v>
      </c>
      <c r="CT354" s="1">
        <f t="shared" si="874"/>
        <v>0</v>
      </c>
      <c r="CU354" s="1">
        <f t="shared" si="875"/>
        <v>3.9E-2</v>
      </c>
      <c r="CV354" s="304">
        <f t="shared" si="876"/>
        <v>1194.9999999999991</v>
      </c>
      <c r="CW354" s="20" t="s">
        <v>122</v>
      </c>
      <c r="CX354" s="20" t="s">
        <v>122</v>
      </c>
      <c r="CY354" s="20" t="s">
        <v>122</v>
      </c>
      <c r="CZ354" s="20" t="s">
        <v>122</v>
      </c>
      <c r="DA354" s="20" t="s">
        <v>122</v>
      </c>
      <c r="DB354" s="503">
        <f t="shared" si="877"/>
        <v>0</v>
      </c>
      <c r="DC354" s="127">
        <v>0</v>
      </c>
      <c r="DD354" s="127">
        <v>0</v>
      </c>
      <c r="DE354" s="127">
        <v>0</v>
      </c>
      <c r="DF354" s="127">
        <v>0</v>
      </c>
      <c r="DG354" s="127">
        <v>0</v>
      </c>
      <c r="DH354" s="127">
        <v>0</v>
      </c>
      <c r="DI354" s="127">
        <v>0</v>
      </c>
      <c r="DJ354" s="127">
        <v>0</v>
      </c>
      <c r="DK354" s="127">
        <v>0</v>
      </c>
      <c r="DL354" s="127">
        <v>0</v>
      </c>
      <c r="DM354" s="304">
        <f>INDEX(Input!$1:$1048576,DM$93,$C354*2+6)</f>
        <v>21036.84210526316</v>
      </c>
      <c r="DN354" s="20">
        <v>0</v>
      </c>
      <c r="DO354" s="20">
        <v>0</v>
      </c>
      <c r="DP354" s="20">
        <v>0</v>
      </c>
      <c r="DQ354" s="20">
        <v>0</v>
      </c>
      <c r="DR354" s="20">
        <v>0</v>
      </c>
      <c r="DS354" s="20">
        <f>INDEX(Input!$1:$1048576,DS$93,$C354*2+6)</f>
        <v>0.6</v>
      </c>
      <c r="DT354" s="20">
        <f>INDEX(Input!$1:$1048576,DT$93,$C354*2+6)</f>
        <v>0.55000000000000004</v>
      </c>
      <c r="DU354" s="20">
        <f>INDEX(Input!$1:$1048576,DU$93,$C354*2+6)</f>
        <v>0.52</v>
      </c>
      <c r="DV354" s="20">
        <f>INDEX(Input!$1:$1048576,DV$93,$C354*2+6)</f>
        <v>0.5</v>
      </c>
      <c r="DW354" s="20">
        <f>INDEX(Input!$1:$1048576,DW$93,$C354*2+6)</f>
        <v>0.45</v>
      </c>
      <c r="DX354" s="20"/>
      <c r="DY354" s="7">
        <v>0.10028153118188189</v>
      </c>
      <c r="DZ354" s="7">
        <v>0</v>
      </c>
      <c r="EA354" s="7">
        <v>0.69176634005797122</v>
      </c>
      <c r="EB354" s="7">
        <v>0</v>
      </c>
      <c r="EC354" s="7">
        <v>0</v>
      </c>
      <c r="ED354" s="7">
        <v>0</v>
      </c>
      <c r="EE354" s="7">
        <v>0</v>
      </c>
      <c r="EF354" s="7">
        <v>0</v>
      </c>
      <c r="EG354" s="7">
        <v>0</v>
      </c>
      <c r="EH354" s="7">
        <v>7.3777767561712723E-3</v>
      </c>
      <c r="EI354" s="7">
        <v>2.0654708647324153E-2</v>
      </c>
      <c r="EJ354" s="7">
        <v>0.16611916904144658</v>
      </c>
      <c r="EK354" s="7">
        <v>0.71884764413184687</v>
      </c>
      <c r="EL354" s="7">
        <v>8.7000701423210758E-2</v>
      </c>
      <c r="EM354" s="7">
        <v>7.9923502255969212E-2</v>
      </c>
      <c r="EN354" s="7">
        <v>6.1132948240789756E-2</v>
      </c>
      <c r="EO354" s="7">
        <v>0.76984512158005136</v>
      </c>
      <c r="EP354" s="7">
        <v>6.9669897257636532E-2</v>
      </c>
      <c r="EQ354" s="7">
        <v>6.5329506509710672E-2</v>
      </c>
      <c r="ER354" s="7">
        <v>3.4022526411811582E-2</v>
      </c>
      <c r="ES354" s="7">
        <v>0.12802862650417779</v>
      </c>
      <c r="ET354" s="7">
        <v>0.20795212876014699</v>
      </c>
      <c r="EU354" s="6">
        <v>1611</v>
      </c>
      <c r="EV354" s="6">
        <v>0</v>
      </c>
      <c r="EW354" s="6">
        <v>1611</v>
      </c>
      <c r="EX354" s="6">
        <v>0</v>
      </c>
      <c r="EY354" s="6">
        <v>3002.0543082718036</v>
      </c>
      <c r="EZ354" s="6">
        <v>1929</v>
      </c>
      <c r="FA354" s="6">
        <v>0</v>
      </c>
      <c r="FB354" s="6">
        <v>0</v>
      </c>
      <c r="FC354" s="6">
        <v>0</v>
      </c>
      <c r="FD354" s="6">
        <v>0</v>
      </c>
      <c r="FE354" s="6">
        <v>0</v>
      </c>
      <c r="FF354" s="6">
        <v>0</v>
      </c>
      <c r="FG354" s="6">
        <v>0</v>
      </c>
      <c r="FH354" s="6">
        <v>1171.9987636504807</v>
      </c>
      <c r="FI354" s="6">
        <v>1553.9796069512406</v>
      </c>
      <c r="FJ354" s="6">
        <v>2101.2110117447405</v>
      </c>
      <c r="FK354" s="6">
        <v>2674.2006261592264</v>
      </c>
      <c r="FL354" s="6">
        <v>907.07682140966335</v>
      </c>
      <c r="FM354" s="6">
        <v>2391.0543082718036</v>
      </c>
      <c r="FN354" s="6">
        <v>0</v>
      </c>
      <c r="FO354" s="6">
        <v>0</v>
      </c>
      <c r="FP354" s="6">
        <v>0</v>
      </c>
      <c r="FQ354" s="6">
        <v>0</v>
      </c>
      <c r="FR354" s="6">
        <v>0</v>
      </c>
      <c r="FS354" s="6">
        <v>0</v>
      </c>
      <c r="FT354" s="7">
        <v>0.7920478712398531</v>
      </c>
      <c r="FU354" s="7">
        <v>7.9923502255969212E-2</v>
      </c>
      <c r="FV354" s="7">
        <v>0.12802862650417779</v>
      </c>
      <c r="FW354" s="6">
        <v>1610.9999999999998</v>
      </c>
      <c r="FX354" s="6">
        <v>3002.0543082718036</v>
      </c>
      <c r="FY354" s="6">
        <v>1929</v>
      </c>
      <c r="FZ354" s="6">
        <v>1858.9243755539039</v>
      </c>
      <c r="GA354" s="6">
        <v>1762.8910353736658</v>
      </c>
      <c r="GB354" s="6">
        <v>18222.108964626335</v>
      </c>
      <c r="GC354" s="7">
        <v>2.9156573141622111E-2</v>
      </c>
      <c r="GD354" s="7">
        <v>2.9443382938043768E-2</v>
      </c>
      <c r="GE354" s="7"/>
      <c r="GF354" s="7"/>
      <c r="GG354" s="7">
        <v>9.8368829227130587E-3</v>
      </c>
      <c r="GH354" s="42">
        <v>-2.0471026504071865</v>
      </c>
      <c r="GI354" s="6">
        <v>-7999.6873072535755</v>
      </c>
      <c r="GJ354" s="14">
        <v>0.50394797582841733</v>
      </c>
      <c r="GK354" s="14">
        <v>0.50887573065309744</v>
      </c>
      <c r="GL354" s="14">
        <v>0.49605202417158289</v>
      </c>
      <c r="GM354" s="14">
        <v>0.49112426934690234</v>
      </c>
      <c r="GO354" s="5">
        <v>343.14810671672558</v>
      </c>
      <c r="GP354" s="5">
        <v>312.41330006058649</v>
      </c>
      <c r="GQ354" s="5">
        <v>535.04305713031317</v>
      </c>
      <c r="GR354" s="5">
        <v>410.15490233172511</v>
      </c>
      <c r="GS354" s="5">
        <v>339.42744393800166</v>
      </c>
      <c r="GT354" s="5">
        <v>293.4407446948278</v>
      </c>
      <c r="GU354" s="5">
        <v>258.04012322764959</v>
      </c>
      <c r="GV354" s="39" t="s">
        <v>392</v>
      </c>
      <c r="GW354" s="5">
        <v>482.65277777777777</v>
      </c>
      <c r="GX354" s="5">
        <v>361.98958333333331</v>
      </c>
      <c r="GY354" s="5">
        <v>289.59166666666664</v>
      </c>
      <c r="GZ354" s="5">
        <v>241.32638888888889</v>
      </c>
      <c r="HA354" s="5">
        <v>236.70336205047303</v>
      </c>
      <c r="HB354" s="39">
        <v>253.21468549754798</v>
      </c>
      <c r="HC354" s="5">
        <v>202.890625</v>
      </c>
      <c r="HD354" s="5">
        <v>182.20330774853798</v>
      </c>
      <c r="HE354" s="5">
        <v>187.48257844129552</v>
      </c>
      <c r="HF354" s="5">
        <v>176.30063048245611</v>
      </c>
      <c r="HG354" s="5">
        <v>173.65888157894736</v>
      </c>
      <c r="HH354" s="39">
        <v>183.15946873216416</v>
      </c>
      <c r="HI354" s="16"/>
      <c r="HJ354" s="19" t="str">
        <f t="shared" si="991"/>
        <v>On</v>
      </c>
      <c r="HK354" s="1" t="str">
        <f t="shared" si="991"/>
        <v>On</v>
      </c>
      <c r="HL354" s="16"/>
      <c r="HM354" s="639">
        <f t="shared" si="878"/>
        <v>2.2758057894877178E-2</v>
      </c>
      <c r="HN354" s="639">
        <f t="shared" si="879"/>
        <v>1.416759231746561E-3</v>
      </c>
      <c r="HO354" s="639">
        <f t="shared" si="880"/>
        <v>4.5732401537654987E-3</v>
      </c>
      <c r="HP354" s="644">
        <f>(FT354*$GD354-HM354)/$JF354*INDEX(Input!$1:$1048576,$JG$93,$C354*2+6)</f>
        <v>31.502738194803626</v>
      </c>
      <c r="HQ354" s="644">
        <f>(FU354*$GD354-HN354)/$JF354*INDEX(Input!$1:$1048576,$JG$93,$C354*2+6)</f>
        <v>52.44525072720721</v>
      </c>
      <c r="HR354" s="644">
        <f>(FV354*$GD354-HO354)/$JF354*INDEX(Input!$1:$1048576,$JG$93,$C354*2+6)</f>
        <v>-45.007120747678329</v>
      </c>
      <c r="HS354" s="644">
        <f t="shared" si="985"/>
        <v>-19.429303178715866</v>
      </c>
      <c r="HT354" s="644">
        <f t="shared" si="882"/>
        <v>101.00373839025312</v>
      </c>
      <c r="HU354" s="644">
        <f t="shared" si="883"/>
        <v>0.3203833335418429</v>
      </c>
      <c r="HV354" s="648">
        <f t="shared" si="884"/>
        <v>0</v>
      </c>
      <c r="HW354" s="648">
        <f t="shared" si="885"/>
        <v>0</v>
      </c>
      <c r="HX354" s="648">
        <f t="shared" si="886"/>
        <v>0</v>
      </c>
      <c r="HY354" s="644">
        <f>INDEX(Input!$1:$1048576,HY$93,$C354*2+6)*INDEX(Input!$1:$1048576,$JG$93,$C354*2+6)</f>
        <v>509.00000000000006</v>
      </c>
      <c r="HZ354" s="644">
        <f>INDEX(Input!$1:$1048576,HZ$93,$C354*2+6)*INDEX(Input!$1:$1048576,$JG$93,$C354*2+6)</f>
        <v>844</v>
      </c>
      <c r="IA354" s="644">
        <f>INDEX(Input!$1:$1048576,IA$93,$C354*2+6)*INDEX(Input!$1:$1048576,$JG$93,$C354*2+6)</f>
        <v>257</v>
      </c>
      <c r="IB354" s="644">
        <f t="shared" si="910"/>
        <v>521.07343501608773</v>
      </c>
      <c r="IC354" s="644">
        <f t="shared" si="911"/>
        <v>997.44898911746031</v>
      </c>
      <c r="ID354" s="644">
        <f>IF(AND(INDEX(Input!$1:$1048576,IA$93,$C354*2+7)="TOS",Y354&lt;=INDEX(Y:Y,MATCH(C354*1000+2,A:A))),0,1)*MAX(IA354+HR354+HU354+HX354,0%)</f>
        <v>212.31326258586353</v>
      </c>
      <c r="IE354" s="128">
        <f t="shared" si="990"/>
        <v>0.30105309187593599</v>
      </c>
      <c r="IF354" s="128">
        <f t="shared" si="977"/>
        <v>0.57628173302111851</v>
      </c>
      <c r="IG354" s="128">
        <f t="shared" si="888"/>
        <v>0.12266517510294549</v>
      </c>
      <c r="IH354" s="21"/>
      <c r="II354" s="19">
        <f t="shared" si="889"/>
        <v>1410.4999999999998</v>
      </c>
      <c r="IJ354" s="19">
        <f t="shared" si="890"/>
        <v>2134.9731585778086</v>
      </c>
      <c r="IK354" s="19">
        <f t="shared" si="891"/>
        <v>2103.5</v>
      </c>
      <c r="IL354" s="19">
        <f t="shared" si="913"/>
        <v>200.5</v>
      </c>
      <c r="IM354" s="19">
        <f t="shared" si="892"/>
        <v>867.08114969399503</v>
      </c>
      <c r="IN354" s="19">
        <f t="shared" si="893"/>
        <v>-174.5</v>
      </c>
      <c r="IO354" s="39">
        <f t="shared" si="894"/>
        <v>0</v>
      </c>
      <c r="IP354" s="39">
        <f t="shared" si="895"/>
        <v>0</v>
      </c>
      <c r="IQ354" s="39">
        <f t="shared" si="896"/>
        <v>0</v>
      </c>
      <c r="IR354" s="39">
        <v>0</v>
      </c>
      <c r="IS354" s="39">
        <v>0</v>
      </c>
      <c r="IT354" s="39">
        <v>0</v>
      </c>
      <c r="IU354" s="39">
        <v>0</v>
      </c>
      <c r="IV354" s="39">
        <v>0</v>
      </c>
      <c r="IW354" s="39">
        <v>0</v>
      </c>
      <c r="IX354" s="39">
        <f>INDEX(Input!$1:$1048576,IX$93,$C354*2+6)+INDEX(Input!$1:$1048576,IX$94,$C354*2+6)</f>
        <v>1611</v>
      </c>
      <c r="IY354" s="39">
        <f>INDEX(Input!$1:$1048576,IY$93,$C354*2+6)+INDEX(Input!$1:$1048576,IY$94,$C354*2+6)</f>
        <v>2471.0624533823611</v>
      </c>
      <c r="IZ354" s="39">
        <f>INDEX(Input!$1:$1048576,IZ$93,$C354*2+6)+INDEX(Input!$1:$1048576,IZ$94,$C354*2+6)</f>
        <v>3994.7164157747857</v>
      </c>
      <c r="JA354" s="19">
        <f t="shared" si="914"/>
        <v>1811.5</v>
      </c>
      <c r="JB354" s="19">
        <f t="shared" si="915"/>
        <v>3338.1436030763562</v>
      </c>
      <c r="JC354" s="19">
        <f t="shared" si="916"/>
        <v>3820.2164157747857</v>
      </c>
      <c r="JD354" s="19">
        <f t="shared" si="917"/>
        <v>2937.6763721596221</v>
      </c>
      <c r="JE354" s="21"/>
      <c r="JF354" s="1">
        <f t="shared" si="897"/>
        <v>2.8748057280389237E-2</v>
      </c>
      <c r="JG354" s="15">
        <f>INDEX(Input!$1:$1048576,JG$93,$C354*2+6)/(1+VLOOKUP(C354*1000+INDEX(Input!$1:$1048576,JG$93+1,$C354*2+6),$A:$KK,$JK$92,FALSE))</f>
        <v>1610</v>
      </c>
      <c r="JH354" s="1">
        <f t="shared" si="918"/>
        <v>2.4186874642442551E-2</v>
      </c>
      <c r="JI354" s="1">
        <f t="shared" si="919"/>
        <v>5.0866346922409371E-2</v>
      </c>
      <c r="JJ354" s="1">
        <f t="shared" si="978"/>
        <v>0</v>
      </c>
      <c r="JK354" s="1">
        <f t="shared" si="979"/>
        <v>7.5053221564851919E-2</v>
      </c>
      <c r="JL354" s="15">
        <f t="shared" si="922"/>
        <v>120.83568671941158</v>
      </c>
      <c r="JM354" s="15">
        <f t="shared" si="948"/>
        <v>1730.8356867194116</v>
      </c>
      <c r="JN354" s="21"/>
      <c r="JO354" s="19">
        <f>INDEX(Input!$1:$1048576,JO$93,$C354*2+6)</f>
        <v>5995.5</v>
      </c>
      <c r="JP354" s="19">
        <f>INDEX(Input!$1:$1048576,JP$93,$C354*2+6)</f>
        <v>2442.3713226762939</v>
      </c>
      <c r="JQ354" s="39">
        <f t="shared" si="934"/>
        <v>3057.8236278403779</v>
      </c>
      <c r="JR354" s="39">
        <f t="shared" si="951"/>
        <v>495.30504948332828</v>
      </c>
      <c r="JS354" s="39">
        <f t="shared" si="936"/>
        <v>5.08463510096629</v>
      </c>
      <c r="JT354" s="39">
        <f t="shared" si="924"/>
        <v>1.1524172714574565</v>
      </c>
      <c r="JU354" s="385">
        <f>(JQ354*JM354-INDEX(Input!$1:$1048576,Input!A$18,$C354*2+6)*JL354*INDEX(Input!$1:$1048576,Input!A$19,$C354*2+6))/1000000</f>
        <v>5.2925902587599429</v>
      </c>
      <c r="JV354" s="39">
        <f t="shared" si="958"/>
        <v>-0.42794691173122423</v>
      </c>
      <c r="JW354" s="1">
        <f t="shared" si="949"/>
        <v>-7.4808868289283501E-2</v>
      </c>
      <c r="JX354" s="19">
        <f t="shared" si="940"/>
        <v>9537.0606378349567</v>
      </c>
      <c r="JZ354" s="341"/>
      <c r="KA354" s="342"/>
      <c r="KB354" s="469">
        <f t="shared" si="937"/>
        <v>2.5190675447988795</v>
      </c>
      <c r="KI354" s="473">
        <f t="shared" si="987"/>
        <v>12.073435016087672</v>
      </c>
      <c r="KJ354" s="473">
        <f t="shared" si="988"/>
        <v>153.44898911746031</v>
      </c>
      <c r="KK354" s="473">
        <f t="shared" si="926"/>
        <v>-44.686737414136473</v>
      </c>
      <c r="KN354" s="544">
        <f t="shared" si="941"/>
        <v>3002</v>
      </c>
      <c r="KO354" s="541">
        <f t="shared" si="901"/>
        <v>4.3217972287104223E-2</v>
      </c>
      <c r="KP354" s="546">
        <f t="shared" si="902"/>
        <v>339.95106822555107</v>
      </c>
      <c r="KQ354" s="546">
        <f t="shared" si="903"/>
        <v>301.76294677092392</v>
      </c>
      <c r="KR354" s="548">
        <f t="shared" si="904"/>
        <v>2.205589018154372</v>
      </c>
      <c r="KS354" s="548">
        <f t="shared" si="905"/>
        <v>2.4847064585345198</v>
      </c>
      <c r="KT354" s="473">
        <f t="shared" si="939"/>
        <v>1026.1618045255443</v>
      </c>
      <c r="KU354" s="663">
        <f t="shared" si="927"/>
        <v>4.67172803290664</v>
      </c>
      <c r="KV354" s="117"/>
    </row>
    <row r="355" spans="1:308" s="26" customFormat="1" ht="15" outlineLevel="1">
      <c r="A355" s="561">
        <f t="shared" si="906"/>
        <v>3055</v>
      </c>
      <c r="B355" s="561">
        <f t="shared" si="928"/>
        <v>55</v>
      </c>
      <c r="C355" s="561">
        <f t="shared" si="929"/>
        <v>3</v>
      </c>
      <c r="D355" s="561" t="str">
        <f t="shared" si="974"/>
        <v xml:space="preserve">500 CC, 500 Combo, 360 Lease, </v>
      </c>
      <c r="E355" s="475">
        <f>INDEX(Input!$1:$1048576,E$93,$C355*2+MIN($B355,2)+5)
+INDEX(Scenarios!E$121:E$200,MATCH($B355,Scenarios!$B$121:$B$200,0))</f>
        <v>1787.0236024844721</v>
      </c>
      <c r="F355" s="475">
        <f>INDEX(Input!$1:$1048576,F$93,$C355*2+MIN($B355,2)+5)
+INDEX(Scenarios!F$121:F$200,MATCH($B355,Scenarios!$B$121:$B$200,0))</f>
        <v>0</v>
      </c>
      <c r="G355" s="475">
        <f>INDEX(Input!$1:$1048576,G$93,$C355*2+MIN($B355,2)+5)
+INDEX(Scenarios!G$121:G$200,MATCH($B355,Scenarios!$B$121:$B$200,0))</f>
        <v>0</v>
      </c>
      <c r="H355" s="475">
        <f>INDEX(Input!$1:$1048576,H$93,$C355*2+MIN($B355,2)+5)
+INDEX(Scenarios!H$121:H$200,MATCH($B355,Scenarios!$B$121:$B$200,0))</f>
        <v>0</v>
      </c>
      <c r="I355" s="476">
        <f>INDEX(Input!$1:$1048576,I$93,$C355*2+MIN($B355,2)+5)</f>
        <v>0.7</v>
      </c>
      <c r="J355" s="476" t="str">
        <f>INDEX(Input!$1:$1048576,J$93,$C355*2+MIN($B355,2)+5)</f>
        <v>Market</v>
      </c>
      <c r="K355" s="476" t="str">
        <f>INDEX(Input!$1:$1048576,K$93,$C355*2+MIN($B355,2)+5)</f>
        <v>Market</v>
      </c>
      <c r="L355" s="476" t="str">
        <f>INDEX(Input!$1:$1048576,L$93,$C355*2+MIN($B355,2)+5)</f>
        <v>Market</v>
      </c>
      <c r="M355" s="476" t="str">
        <f>INDEX(Input!$1:$1048576,M$93,$C355*2+MIN($B355,2)+5)</f>
        <v>Market</v>
      </c>
      <c r="N355" s="476" t="str">
        <f>INDEX(Input!$1:$1048576,N$93,$C355*2+MIN($B355,2)+5)</f>
        <v>Market</v>
      </c>
      <c r="O355" s="476" t="str">
        <f>INDEX(Input!$1:$1048576,O$93,$C355*2+MIN($B355,2)+5)</f>
        <v>Market</v>
      </c>
      <c r="P355" s="476" t="str">
        <f>INDEX(Input!$1:$1048576,P$93,$C355*2+MIN($B355,2)+5)</f>
        <v>N</v>
      </c>
      <c r="Q355" s="477">
        <f>INDEX(Input!$1:$1048576,Q$93,$C355*2+MIN($B355,2)+5)
+INDEX(Scenarios!Q$121:Q$200,MATCH($B355,Scenarios!$B$121:$B$200,0))</f>
        <v>500</v>
      </c>
      <c r="R355" s="478">
        <f>IFERROR(MAX(0,INDEX(Input!$1:$1048576,R$93,$C355*2+MIN($B355,2)+5)
+INDEX(Scenarios!R$121:R$200,MATCH($B355,Scenarios!$B$121:$B$200,0)),),"Market")</f>
        <v>0</v>
      </c>
      <c r="S355" s="478">
        <f>IFERROR(MAX(0,INDEX(Input!$1:$1048576,S$93,$C355*2+MIN($B355,2)+5)
+INDEX(Scenarios!S$121:S$200,MATCH($B355,Scenarios!$B$121:$B$200,0)),),"Market")</f>
        <v>0</v>
      </c>
      <c r="T355" s="478">
        <f>IFERROR(MAX(0,INDEX(Input!$1:$1048576,T$93,$C355*2+MIN($B355,2)+5)
+INDEX(Scenarios!T$121:T$200,MATCH($B355,Scenarios!$B$121:$B$200,0)),),"Market")</f>
        <v>0</v>
      </c>
      <c r="U355" s="478">
        <f>IFERROR(MAX(0,INDEX(Input!$1:$1048576,U$93,$C355*2+MIN($B355,2)+5)
+INDEX(Scenarios!U$121:U$200,MATCH($B355,Scenarios!$B$121:$B$200,0)),),"Market")</f>
        <v>0</v>
      </c>
      <c r="V355" s="478">
        <f>IFERROR(MAX(0,INDEX(Input!$1:$1048576,V$93,$C355*2+MIN($B355,2)+5)
+INDEX(Scenarios!V$121:V$200,MATCH($B355,Scenarios!$B$121:$B$200,0)),),"Market")</f>
        <v>1.9E-2</v>
      </c>
      <c r="W355" s="885">
        <f>IFERROR(MAX(0,INDEX(Input!$1:$1048576,W$93,$C355*2+MIN($B355,2)+5)-0%,),"Market")</f>
        <v>3.9E-2</v>
      </c>
      <c r="X355" s="476" t="str">
        <f>INDEX(Input!$1:$1048576,X$93,$C355*2+MIN($B355,2)+5)</f>
        <v>Y</v>
      </c>
      <c r="Y355" s="475">
        <f>INDEX(Input!$1:$1048576,Y$93,$C355*2+MIN($B355,2)+5)
++INDEX(Scenarios!Y$121:Y$200,MATCH($B355,Scenarios!$B$121:$B$200,0))</f>
        <v>1914.9999999999991</v>
      </c>
      <c r="Z355" s="477">
        <f>INDEX(Input!$1:$1048576,Z$93,$C355*2+MIN($B355,2)+5)
+INDEX(Scenarios!Z$121:Z$200,MATCH($B355,Scenarios!$B$121:$B$200,0))</f>
        <v>0</v>
      </c>
      <c r="AA355" s="475">
        <f>INDEX(Input!$1:$1048576,AA$93,$C355*2+MIN($B355,2)+5)
+INDEX(Scenarios!AA$121:AA$200,MATCH($B355,Scenarios!$B$121:$B$200,0))</f>
        <v>0</v>
      </c>
      <c r="AB355" s="476">
        <f>INDEX(Input!$1:$1048576,AB$93,$C355*2+MIN($B355,2)+5)</f>
        <v>0.27</v>
      </c>
      <c r="AC355" s="475">
        <f>INDEX(Input!$1:$1048576,AC$93,$C355*2+MIN($B355,2)+5)
+INDEX(Scenarios!AC$121:AC$200,MATCH($B355,Scenarios!$B$121:$B$200,0))</f>
        <v>0</v>
      </c>
      <c r="AD355" s="476">
        <f>INDEX(Input!$1:$1048576,AD$93,$C355*2+MIN($B355,2)+5)</f>
        <v>0.27</v>
      </c>
      <c r="AE355" s="475">
        <f>INDEX(Input!$1:$1048576,AE$93,$C355*2+MIN($B355,2)+5)
+INDEX(Scenarios!AE$121:AE$200,MATCH($B355,Scenarios!$B$121:$B$200,0))</f>
        <v>0</v>
      </c>
      <c r="AF355" s="476">
        <f>INDEX(Input!$1:$1048576,AF$93,$C355*2+MIN($B355,2)+5)</f>
        <v>0.68200000000000005</v>
      </c>
      <c r="AG355" s="475">
        <f>INDEX(Input!$1:$1048576,AG$93,$C355*2+MIN($B355,2)+5)
+INDEX(Scenarios!AG$121:AG$200,MATCH($B355,Scenarios!$B$121:$B$200,0))</f>
        <v>500</v>
      </c>
      <c r="AH355" s="476">
        <f>INDEX(Input!$1:$1048576,AH$93,$C355*2+MIN($B355,2)+5)</f>
        <v>1</v>
      </c>
      <c r="AI355" s="475">
        <f>INDEX(Input!$1:$1048576,AI$93,$C355*2+MIN($B355,2)+5)
+INDEX(Scenarios!AI$121:AI$200,MATCH($B355,Scenarios!$B$121:$B$200,0))</f>
        <v>0</v>
      </c>
      <c r="AJ355" s="476">
        <f>INDEX(Input!$1:$1048576,AJ$93,$C355*2+MIN($B355,2)+5)</f>
        <v>0.27</v>
      </c>
      <c r="AK355" s="150">
        <f>ROUND(INDEX(Input!$1:$1048576,AK$93,$C354*2+MIN($B355,1)+5)+(Y355-VLOOKUP($C355*1000+1,$A:$HH,Y$92,FALSE)),0)</f>
        <v>3337</v>
      </c>
      <c r="AL355" s="150">
        <f>ROUND(INDEX(Input!$1:$1048576,AL$93,$C354*2+MIN($B355,1)+5)-(Y355-VLOOKUP($C355*1000+1,$A:$HH,Y$92,FALSE))/36,0)</f>
        <v>3385</v>
      </c>
      <c r="AM355" s="32" t="str">
        <f t="shared" si="907"/>
        <v>std/std/std/std</v>
      </c>
      <c r="AN355" s="32" t="str">
        <f t="shared" si="908"/>
        <v>$500 + 0/0/0/1.9/3.9</v>
      </c>
      <c r="AO355" s="32" t="str">
        <f t="shared" si="909"/>
        <v>0/0/0/1.9/3.9</v>
      </c>
      <c r="AP355" s="32" t="str">
        <f t="shared" si="863"/>
        <v>0/0.9/1.9/3.9</v>
      </c>
      <c r="AQ355" s="536">
        <f t="shared" si="862"/>
        <v>0.31492638450888027</v>
      </c>
      <c r="AR355" s="32"/>
      <c r="AS355" s="302"/>
      <c r="AT355" s="3">
        <f t="shared" si="930"/>
        <v>55</v>
      </c>
      <c r="AU355" s="41" t="s">
        <v>121</v>
      </c>
      <c r="AV355" s="41" t="s">
        <v>116</v>
      </c>
      <c r="AW355" s="41" t="str">
        <f>INDEX(Input!$1:$1048576,AW$93,$C355*2+6)</f>
        <v>Kia</v>
      </c>
      <c r="AX355" s="41" t="str">
        <f>INDEX(Input!$1:$1048576,AX$93,$C355*2+6)</f>
        <v>Kia-LR - L3</v>
      </c>
      <c r="AY355" s="41" t="str">
        <f>IF(LEN(D355)=0,"",INDEX(Input!$1:$1048576,AY$93,$C355*2+6))</f>
        <v>Compact SUV (52)</v>
      </c>
      <c r="AZ355" s="41" t="str">
        <f>INDEX(Input!$1:$1048576,AZ$93,$C355*2+6)</f>
        <v>Kia Soul</v>
      </c>
      <c r="BA355" s="3">
        <f>INDEX(Input!$1:$1048576,BA$93,$C355*2+6)</f>
        <v>2020</v>
      </c>
      <c r="BB355" s="128">
        <f>INDEX(Input!$1:$1048576,BB$93,$C355*2+6)</f>
        <v>1</v>
      </c>
      <c r="BC355" s="128">
        <f>INDEX(Input!$1:$1048576,BC$93,$C355*2+6)</f>
        <v>0.7</v>
      </c>
      <c r="BD355" s="1">
        <f>INDEX(Input!$1:$1048576,BD$93,$C355*2+6)</f>
        <v>4.4999999999999998E-2</v>
      </c>
      <c r="BE355" s="1">
        <f>INDEX(Input!$1:$1048576,BE$93,$C355*2+6)</f>
        <v>4.4999999999999998E-2</v>
      </c>
      <c r="BF355" s="1">
        <f>INDEX(Input!$1:$1048576,BF$93,$C355*2+6)</f>
        <v>0.05</v>
      </c>
      <c r="BG355" s="1">
        <f>INDEX(Input!$1:$1048576,BG$93,$C355*2+6)</f>
        <v>5.45E-2</v>
      </c>
      <c r="BH355" s="1">
        <f>INDEX(Input!$1:$1048576,BH$93,$C355*2+6)</f>
        <v>5.45E-2</v>
      </c>
      <c r="BI355" s="1">
        <f>INDEX(Input!$1:$1048576,BI$93,$C355*2+6)</f>
        <v>0.05</v>
      </c>
      <c r="BJ355" s="1">
        <f>INDEX(Input!$1:$1048576,BJ$93,$C355*2+6)</f>
        <v>0.05</v>
      </c>
      <c r="BK355" s="1">
        <f>INDEX(Input!$1:$1048576,BK$93,$C355*2+6)</f>
        <v>0.05</v>
      </c>
      <c r="BL355" s="1">
        <f>INDEX(Input!$1:$1048576,BL$93,$C355*2+6)</f>
        <v>5.5E-2</v>
      </c>
      <c r="BM355" s="1">
        <f>INDEX(Input!$1:$1048576,BM$93,$C355*2+6)</f>
        <v>0.06</v>
      </c>
      <c r="BN355" s="1">
        <f>INDEX(Input!$1:$1048576,BN$93,$C355*2+6)</f>
        <v>4.4999999999999998E-2</v>
      </c>
      <c r="BO355" s="1">
        <f>INDEX(Input!$1:$1048576,BO$93,$C355*2+6)</f>
        <v>4.4999999999999998E-2</v>
      </c>
      <c r="BP355" s="1">
        <f>INDEX(Input!$1:$1048576,BP$93,$C355*2+6)</f>
        <v>0.05</v>
      </c>
      <c r="BQ355" s="1">
        <f>INDEX(Input!$1:$1048576,BQ$93,$C355*2+6)</f>
        <v>5.45E-2</v>
      </c>
      <c r="BR355" s="1">
        <f>INDEX(Input!$1:$1048576,BR$93,$C355*2+6)</f>
        <v>5.45E-2</v>
      </c>
      <c r="BS355" s="1">
        <f>INDEX(Input!$1:$1048576,BS$93,$C355*2+6)</f>
        <v>0.05</v>
      </c>
      <c r="BT355" s="1">
        <f>INDEX(Input!$1:$1048576,BT$93,$C355*2+6)</f>
        <v>0.05</v>
      </c>
      <c r="BU355" s="1">
        <f>INDEX(Input!$1:$1048576,BU$93,$C355*2+6)</f>
        <v>0.05</v>
      </c>
      <c r="BV355" s="1">
        <f>INDEX(Input!$1:$1048576,BV$93,$C355*2+6)</f>
        <v>5.5E-2</v>
      </c>
      <c r="BW355" s="1">
        <f>INDEX(Input!$1:$1048576,BW$93,$C355*2+6)</f>
        <v>0.06</v>
      </c>
      <c r="BX355" s="127">
        <f>INDEX(Input!$1:$1048576,BX$93,$C355*2+6)</f>
        <v>19985</v>
      </c>
      <c r="BY355" s="20">
        <f>INDEX(Input!$1:$1048576,BY$93,$C355*2+6)</f>
        <v>0.1</v>
      </c>
      <c r="BZ355" s="20">
        <f>INDEX(Input!$1:$1048576,BZ$93,$C355*2+6)</f>
        <v>0.1</v>
      </c>
      <c r="CA355" s="20">
        <f>INDEX(Input!$1:$1048576,CA$93,$C355*2+6)</f>
        <v>0.1</v>
      </c>
      <c r="CB355" s="20">
        <f>INDEX(Input!$1:$1048576,CB$93,$C355*2+6)</f>
        <v>0.1</v>
      </c>
      <c r="CC355" s="20">
        <f>INDEX(Input!$1:$1048576,CC$93,$C355*2+6)</f>
        <v>0.1</v>
      </c>
      <c r="CD355" s="384">
        <f>INDEX(Input!$1:$1048576,CD$93,$C355*2+6)</f>
        <v>0.1</v>
      </c>
      <c r="CE355" s="384">
        <f>INDEX(Input!$1:$1048576,CE$93,$C355*2+6)</f>
        <v>0.1</v>
      </c>
      <c r="CF355" s="384">
        <f>INDEX(Input!$1:$1048576,CF$93,$C355*2+6)</f>
        <v>0.1</v>
      </c>
      <c r="CG355" s="384">
        <f>INDEX(Input!$1:$1048576,CG$93,$C355*2+6)</f>
        <v>0.1</v>
      </c>
      <c r="CH355" s="384">
        <f>INDEX(Input!$1:$1048576,CH$93,$C355*2+6)</f>
        <v>0.1</v>
      </c>
      <c r="CI355" s="304">
        <f t="shared" si="864"/>
        <v>1787.0236024844721</v>
      </c>
      <c r="CJ355" s="16" t="str">
        <f>INDEX(Input!$1:$1048576,CJ$93,$C355*2+6)</f>
        <v>N</v>
      </c>
      <c r="CK355" s="1" t="str">
        <f t="shared" si="865"/>
        <v>Market</v>
      </c>
      <c r="CL355" s="1" t="str">
        <f t="shared" si="866"/>
        <v>Market</v>
      </c>
      <c r="CM355" s="1" t="str">
        <f t="shared" si="867"/>
        <v>Market</v>
      </c>
      <c r="CN355" s="1" t="str">
        <f t="shared" si="868"/>
        <v>Market</v>
      </c>
      <c r="CO355" s="1" t="str">
        <f t="shared" si="869"/>
        <v>Market</v>
      </c>
      <c r="CP355" s="304">
        <f t="shared" si="870"/>
        <v>1000</v>
      </c>
      <c r="CQ355" s="1">
        <f t="shared" si="871"/>
        <v>0</v>
      </c>
      <c r="CR355" s="1">
        <f t="shared" si="872"/>
        <v>0</v>
      </c>
      <c r="CS355" s="1">
        <f t="shared" si="873"/>
        <v>0</v>
      </c>
      <c r="CT355" s="1">
        <f t="shared" si="874"/>
        <v>1.9E-2</v>
      </c>
      <c r="CU355" s="1">
        <f t="shared" si="875"/>
        <v>3.9E-2</v>
      </c>
      <c r="CV355" s="304">
        <f t="shared" si="876"/>
        <v>1914.9999999999991</v>
      </c>
      <c r="CW355" s="20" t="s">
        <v>122</v>
      </c>
      <c r="CX355" s="20" t="s">
        <v>122</v>
      </c>
      <c r="CY355" s="20" t="s">
        <v>122</v>
      </c>
      <c r="CZ355" s="20" t="s">
        <v>122</v>
      </c>
      <c r="DA355" s="20" t="s">
        <v>122</v>
      </c>
      <c r="DB355" s="503">
        <f t="shared" si="877"/>
        <v>0</v>
      </c>
      <c r="DC355" s="127">
        <v>0</v>
      </c>
      <c r="DD355" s="127">
        <v>0</v>
      </c>
      <c r="DE355" s="127">
        <v>0</v>
      </c>
      <c r="DF355" s="127">
        <v>0</v>
      </c>
      <c r="DG355" s="127">
        <v>0</v>
      </c>
      <c r="DH355" s="127">
        <v>0</v>
      </c>
      <c r="DI355" s="127">
        <v>0</v>
      </c>
      <c r="DJ355" s="127">
        <v>0</v>
      </c>
      <c r="DK355" s="127">
        <v>0</v>
      </c>
      <c r="DL355" s="127">
        <v>0</v>
      </c>
      <c r="DM355" s="304">
        <f>INDEX(Input!$1:$1048576,DM$93,$C355*2+6)</f>
        <v>21036.84210526316</v>
      </c>
      <c r="DN355" s="20">
        <v>0</v>
      </c>
      <c r="DO355" s="20">
        <v>0</v>
      </c>
      <c r="DP355" s="20">
        <v>0</v>
      </c>
      <c r="DQ355" s="20">
        <v>0</v>
      </c>
      <c r="DR355" s="20">
        <v>0</v>
      </c>
      <c r="DS355" s="20">
        <f>INDEX(Input!$1:$1048576,DS$93,$C355*2+6)</f>
        <v>0.6</v>
      </c>
      <c r="DT355" s="20">
        <f>INDEX(Input!$1:$1048576,DT$93,$C355*2+6)</f>
        <v>0.55000000000000004</v>
      </c>
      <c r="DU355" s="20">
        <f>INDEX(Input!$1:$1048576,DU$93,$C355*2+6)</f>
        <v>0.52</v>
      </c>
      <c r="DV355" s="20">
        <f>INDEX(Input!$1:$1048576,DV$93,$C355*2+6)</f>
        <v>0.5</v>
      </c>
      <c r="DW355" s="20">
        <f>INDEX(Input!$1:$1048576,DW$93,$C355*2+6)</f>
        <v>0.45</v>
      </c>
      <c r="DX355" s="20"/>
      <c r="DY355" s="7">
        <v>0.1054732884499488</v>
      </c>
      <c r="DZ355" s="7">
        <v>0</v>
      </c>
      <c r="EA355" s="7">
        <v>0.69055411005248812</v>
      </c>
      <c r="EB355" s="7">
        <v>0</v>
      </c>
      <c r="EC355" s="7">
        <v>0</v>
      </c>
      <c r="ED355" s="7">
        <v>0</v>
      </c>
      <c r="EE355" s="7">
        <v>0</v>
      </c>
      <c r="EF355" s="7">
        <v>0</v>
      </c>
      <c r="EG355" s="7">
        <v>0</v>
      </c>
      <c r="EH355" s="7">
        <v>1.200129760439014E-2</v>
      </c>
      <c r="EI355" s="7">
        <v>3.3606153082592335E-2</v>
      </c>
      <c r="EJ355" s="7">
        <v>0.2706270056399242</v>
      </c>
      <c r="EK355" s="7">
        <v>0.54242360728016192</v>
      </c>
      <c r="EL355" s="7">
        <v>0.14134193639293152</v>
      </c>
      <c r="EM355" s="7">
        <v>4.9291249115488794E-2</v>
      </c>
      <c r="EN355" s="7">
        <v>6.4620329226643319E-2</v>
      </c>
      <c r="EO355" s="7">
        <v>0.7912014670523001</v>
      </c>
      <c r="EP355" s="7">
        <v>5.9256454702789646E-2</v>
      </c>
      <c r="EQ355" s="7">
        <v>5.5230468748904804E-2</v>
      </c>
      <c r="ER355" s="7">
        <v>2.9691280269361936E-2</v>
      </c>
      <c r="ES355" s="7">
        <v>0.15468135238207428</v>
      </c>
      <c r="ET355" s="7">
        <v>0.20397260149756308</v>
      </c>
      <c r="EU355" s="6">
        <v>2111</v>
      </c>
      <c r="EV355" s="6">
        <v>0</v>
      </c>
      <c r="EW355" s="6">
        <v>2111</v>
      </c>
      <c r="EX355" s="6">
        <v>0</v>
      </c>
      <c r="EY355" s="6">
        <v>2835.703255469225</v>
      </c>
      <c r="EZ355" s="6">
        <v>2649</v>
      </c>
      <c r="FA355" s="6">
        <v>0</v>
      </c>
      <c r="FB355" s="6">
        <v>0</v>
      </c>
      <c r="FC355" s="6">
        <v>0</v>
      </c>
      <c r="FD355" s="6">
        <v>0</v>
      </c>
      <c r="FE355" s="6">
        <v>0</v>
      </c>
      <c r="FF355" s="6">
        <v>0</v>
      </c>
      <c r="FG355" s="6">
        <v>0</v>
      </c>
      <c r="FH355" s="6">
        <v>1172.0081658360957</v>
      </c>
      <c r="FI355" s="6">
        <v>1553.9796069512402</v>
      </c>
      <c r="FJ355" s="6">
        <v>2101.211011744741</v>
      </c>
      <c r="FK355" s="6">
        <v>1772.7139978623231</v>
      </c>
      <c r="FL355" s="6">
        <v>907.07682140966369</v>
      </c>
      <c r="FM355" s="6">
        <v>1724.703255469225</v>
      </c>
      <c r="FN355" s="6">
        <v>0</v>
      </c>
      <c r="FO355" s="6">
        <v>0</v>
      </c>
      <c r="FP355" s="6">
        <v>0</v>
      </c>
      <c r="FQ355" s="6">
        <v>0</v>
      </c>
      <c r="FR355" s="6">
        <v>0</v>
      </c>
      <c r="FS355" s="6">
        <v>0</v>
      </c>
      <c r="FT355" s="7">
        <v>0.79602739850243687</v>
      </c>
      <c r="FU355" s="7">
        <v>4.9291249115488794E-2</v>
      </c>
      <c r="FV355" s="7">
        <v>0.15468135238207428</v>
      </c>
      <c r="FW355" s="6">
        <v>2111</v>
      </c>
      <c r="FX355" s="6">
        <v>2835.703255469225</v>
      </c>
      <c r="FY355" s="6">
        <v>2649</v>
      </c>
      <c r="FZ355" s="6">
        <v>1858.9243755539039</v>
      </c>
      <c r="GA355" s="6">
        <v>2229.9400962816953</v>
      </c>
      <c r="GB355" s="6">
        <v>17755.059903718306</v>
      </c>
      <c r="GC355" s="7">
        <v>2.9156573141622111E-2</v>
      </c>
      <c r="GD355" s="7">
        <v>3.1208503242518035E-2</v>
      </c>
      <c r="GE355" s="7"/>
      <c r="GF355" s="7"/>
      <c r="GG355" s="7">
        <v>7.0376243838022101E-2</v>
      </c>
      <c r="GH355" s="42">
        <v>3.7908615579520868</v>
      </c>
      <c r="GI355" s="6">
        <v>7501.8287407185953</v>
      </c>
      <c r="GJ355" s="14">
        <v>0.50394797582841722</v>
      </c>
      <c r="GK355" s="14">
        <v>0.50887573065309732</v>
      </c>
      <c r="GL355" s="14">
        <v>0.49605202417158278</v>
      </c>
      <c r="GM355" s="14">
        <v>0.49112426934690245</v>
      </c>
      <c r="GO355" s="5">
        <v>343.14810671672558</v>
      </c>
      <c r="GP355" s="5">
        <v>302.87425392274076</v>
      </c>
      <c r="GQ355" s="5">
        <v>535.04305713031317</v>
      </c>
      <c r="GR355" s="5">
        <v>410.15490233172511</v>
      </c>
      <c r="GS355" s="5">
        <v>339.42744393800166</v>
      </c>
      <c r="GT355" s="5">
        <v>293.4407446948278</v>
      </c>
      <c r="GU355" s="5">
        <v>258.04012322764959</v>
      </c>
      <c r="GV355" s="39" t="s">
        <v>392</v>
      </c>
      <c r="GW355" s="5">
        <v>468.76388888888891</v>
      </c>
      <c r="GX355" s="5">
        <v>351.57291666666669</v>
      </c>
      <c r="GY355" s="5">
        <v>281.25833333333333</v>
      </c>
      <c r="GZ355" s="5">
        <v>248.18079879493993</v>
      </c>
      <c r="HA355" s="5">
        <v>229.8919505212948</v>
      </c>
      <c r="HB355" s="39">
        <v>260.66938634306717</v>
      </c>
      <c r="HC355" s="5">
        <v>171.390625</v>
      </c>
      <c r="HD355" s="5">
        <v>160.70330774853798</v>
      </c>
      <c r="HE355" s="5">
        <v>167.52103997975706</v>
      </c>
      <c r="HF355" s="5">
        <v>159.65063048245611</v>
      </c>
      <c r="HG355" s="5">
        <v>159.85888157894735</v>
      </c>
      <c r="HH355" s="39">
        <v>161.71470839609688</v>
      </c>
      <c r="HI355" s="16"/>
      <c r="HJ355" s="19" t="str">
        <f t="shared" si="991"/>
        <v>On</v>
      </c>
      <c r="HK355" s="1" t="str">
        <f t="shared" si="991"/>
        <v>On</v>
      </c>
      <c r="HL355" s="16"/>
      <c r="HM355" s="639">
        <f t="shared" si="878"/>
        <v>2.2758057894877178E-2</v>
      </c>
      <c r="HN355" s="639">
        <f t="shared" si="879"/>
        <v>1.416759231746561E-3</v>
      </c>
      <c r="HO355" s="639">
        <f t="shared" si="880"/>
        <v>4.5732401537654987E-3</v>
      </c>
      <c r="HP355" s="644">
        <f>(FT355*$GD355-HM355)/$JF355*INDEX(Input!$1:$1048576,$JG$93,$C355*2+6)</f>
        <v>116.75477158885292</v>
      </c>
      <c r="HQ355" s="644">
        <f>(FU355*$GD355-HN355)/$JF355*INDEX(Input!$1:$1048576,$JG$93,$C355*2+6)</f>
        <v>6.8070850358854669</v>
      </c>
      <c r="HR355" s="644">
        <f>(FV355*$GD355-HO355)/$JF355*INDEX(Input!$1:$1048576,$JG$93,$C355*2+6)</f>
        <v>14.232428407858011</v>
      </c>
      <c r="HS355" s="644">
        <f t="shared" si="985"/>
        <v>-65.174307137214996</v>
      </c>
      <c r="HT355" s="644">
        <f t="shared" si="882"/>
        <v>72.870337572148514</v>
      </c>
      <c r="HU355" s="644">
        <f t="shared" si="883"/>
        <v>24.546201084898431</v>
      </c>
      <c r="HV355" s="648">
        <f t="shared" si="884"/>
        <v>0</v>
      </c>
      <c r="HW355" s="648">
        <f t="shared" si="885"/>
        <v>0</v>
      </c>
      <c r="HX355" s="648">
        <f t="shared" si="886"/>
        <v>0</v>
      </c>
      <c r="HY355" s="644">
        <f>INDEX(Input!$1:$1048576,HY$93,$C355*2+6)*INDEX(Input!$1:$1048576,$JG$93,$C355*2+6)</f>
        <v>509.00000000000006</v>
      </c>
      <c r="HZ355" s="644">
        <f>INDEX(Input!$1:$1048576,HZ$93,$C355*2+6)*INDEX(Input!$1:$1048576,$JG$93,$C355*2+6)</f>
        <v>844</v>
      </c>
      <c r="IA355" s="644">
        <f>INDEX(Input!$1:$1048576,IA$93,$C355*2+6)*INDEX(Input!$1:$1048576,$JG$93,$C355*2+6)</f>
        <v>257</v>
      </c>
      <c r="IB355" s="644">
        <f t="shared" si="910"/>
        <v>560.58046445163791</v>
      </c>
      <c r="IC355" s="644">
        <f t="shared" si="911"/>
        <v>923.67742260803402</v>
      </c>
      <c r="ID355" s="644">
        <f>IF(AND(INDEX(Input!$1:$1048576,IA$93,$C355*2+7)="TOS",Y355&lt;=INDEX(Y:Y,MATCH(C355*1000+2,A:A))),0,1)*MAX(IA355+HR355+HU355+HX355,0%)</f>
        <v>295.77862949275647</v>
      </c>
      <c r="IE355" s="128">
        <f t="shared" si="990"/>
        <v>0.31492638450888027</v>
      </c>
      <c r="IF355" s="128">
        <f t="shared" si="977"/>
        <v>0.51890925496124696</v>
      </c>
      <c r="IG355" s="128">
        <f t="shared" si="888"/>
        <v>0.16616436052987274</v>
      </c>
      <c r="IH355" s="21"/>
      <c r="II355" s="19">
        <f t="shared" si="889"/>
        <v>1410.4999999999998</v>
      </c>
      <c r="IJ355" s="19">
        <f t="shared" si="890"/>
        <v>2134.9731585778086</v>
      </c>
      <c r="IK355" s="19">
        <f t="shared" si="891"/>
        <v>2103.5</v>
      </c>
      <c r="IL355" s="19">
        <f t="shared" si="913"/>
        <v>700.50000000000023</v>
      </c>
      <c r="IM355" s="19">
        <f t="shared" si="892"/>
        <v>700.73009689141645</v>
      </c>
      <c r="IN355" s="19">
        <f t="shared" si="893"/>
        <v>545.5</v>
      </c>
      <c r="IO355" s="39">
        <f t="shared" si="894"/>
        <v>0</v>
      </c>
      <c r="IP355" s="39">
        <f t="shared" si="895"/>
        <v>0</v>
      </c>
      <c r="IQ355" s="39">
        <f t="shared" si="896"/>
        <v>0</v>
      </c>
      <c r="IR355" s="39">
        <v>0</v>
      </c>
      <c r="IS355" s="39">
        <v>0</v>
      </c>
      <c r="IT355" s="39">
        <v>0</v>
      </c>
      <c r="IU355" s="39">
        <v>0</v>
      </c>
      <c r="IV355" s="39">
        <v>0</v>
      </c>
      <c r="IW355" s="39">
        <v>0</v>
      </c>
      <c r="IX355" s="39">
        <f>INDEX(Input!$1:$1048576,IX$93,$C355*2+6)+INDEX(Input!$1:$1048576,IX$94,$C355*2+6)</f>
        <v>1611</v>
      </c>
      <c r="IY355" s="39">
        <f>INDEX(Input!$1:$1048576,IY$93,$C355*2+6)+INDEX(Input!$1:$1048576,IY$94,$C355*2+6)</f>
        <v>2471.0624533823611</v>
      </c>
      <c r="IZ355" s="39">
        <f>INDEX(Input!$1:$1048576,IZ$93,$C355*2+6)+INDEX(Input!$1:$1048576,IZ$94,$C355*2+6)</f>
        <v>3994.7164157747857</v>
      </c>
      <c r="JA355" s="19">
        <f t="shared" si="914"/>
        <v>2311.5</v>
      </c>
      <c r="JB355" s="19">
        <f t="shared" si="915"/>
        <v>3171.7925502737776</v>
      </c>
      <c r="JC355" s="19">
        <f t="shared" si="916"/>
        <v>4540.2164157747857</v>
      </c>
      <c r="JD355" s="19">
        <f t="shared" si="917"/>
        <v>3128.2470043409239</v>
      </c>
      <c r="JE355" s="21"/>
      <c r="JF355" s="1">
        <f t="shared" si="897"/>
        <v>2.8748057280389237E-2</v>
      </c>
      <c r="JG355" s="15">
        <f>INDEX(Input!$1:$1048576,JG$93,$C355*2+6)/(1+VLOOKUP(C355*1000+INDEX(Input!$1:$1048576,JG$93+1,$C355*2+6),$A:$KK,$JK$92,FALSE))</f>
        <v>1610</v>
      </c>
      <c r="JH355" s="1">
        <f t="shared" si="918"/>
        <v>8.5586512442606469E-2</v>
      </c>
      <c r="JI355" s="1">
        <f t="shared" si="919"/>
        <v>2.0026230757659594E-2</v>
      </c>
      <c r="JJ355" s="1">
        <f t="shared" si="978"/>
        <v>0</v>
      </c>
      <c r="JK355" s="1">
        <f t="shared" si="979"/>
        <v>0.10561274320026606</v>
      </c>
      <c r="JL355" s="15">
        <f t="shared" si="922"/>
        <v>170.03651655242837</v>
      </c>
      <c r="JM355" s="15">
        <f t="shared" si="948"/>
        <v>1780.0365165524283</v>
      </c>
      <c r="JN355" s="21"/>
      <c r="JO355" s="19">
        <f>INDEX(Input!$1:$1048576,JO$93,$C355*2+6)</f>
        <v>5995.5</v>
      </c>
      <c r="JP355" s="19">
        <f>INDEX(Input!$1:$1048576,JP$93,$C355*2+6)</f>
        <v>2442.3713226762939</v>
      </c>
      <c r="JQ355" s="39">
        <f t="shared" si="934"/>
        <v>2867.2529956590761</v>
      </c>
      <c r="JR355" s="39">
        <f t="shared" si="951"/>
        <v>685.87568166463006</v>
      </c>
      <c r="JS355" s="39">
        <f t="shared" si="936"/>
        <v>5.5683939005225875</v>
      </c>
      <c r="JT355" s="39">
        <f t="shared" si="924"/>
        <v>1.6361760710137547</v>
      </c>
      <c r="JU355" s="385">
        <f>(JQ355*JM355-INDEX(Input!$1:$1048576,Input!A$18,$C355*2+6)*JL355*INDEX(Input!$1:$1048576,Input!A$19,$C355*2+6))/1000000</f>
        <v>5.1038150344674973</v>
      </c>
      <c r="JV355" s="39">
        <f t="shared" si="958"/>
        <v>-0.61672213602366988</v>
      </c>
      <c r="JW355" s="1">
        <f t="shared" si="949"/>
        <v>-0.10780843085942537</v>
      </c>
      <c r="JX355" s="19">
        <f t="shared" si="940"/>
        <v>9622.4981797322525</v>
      </c>
      <c r="JZ355" s="341"/>
      <c r="KA355" s="342"/>
      <c r="KB355" s="469">
        <f t="shared" si="937"/>
        <v>2.5190675447988795</v>
      </c>
      <c r="KI355" s="473">
        <f t="shared" si="987"/>
        <v>51.580464451637852</v>
      </c>
      <c r="KJ355" s="473">
        <f t="shared" si="988"/>
        <v>79.677422608033908</v>
      </c>
      <c r="KK355" s="473">
        <f t="shared" si="926"/>
        <v>38.778629492756465</v>
      </c>
      <c r="KN355" s="544">
        <f t="shared" si="941"/>
        <v>3002</v>
      </c>
      <c r="KO355" s="541">
        <f t="shared" si="901"/>
        <v>7.2872543386529154E-2</v>
      </c>
      <c r="KP355" s="546">
        <f t="shared" si="902"/>
        <v>476.83116851078915</v>
      </c>
      <c r="KQ355" s="546">
        <f t="shared" si="903"/>
        <v>492.33357895222571</v>
      </c>
      <c r="KR355" s="548">
        <f t="shared" si="904"/>
        <v>2.6514039928923103</v>
      </c>
      <c r="KS355" s="548">
        <f t="shared" si="905"/>
        <v>2.5679176033769839</v>
      </c>
      <c r="KT355" s="473">
        <f t="shared" si="939"/>
        <v>1026.1618045255443</v>
      </c>
      <c r="KU355" s="663">
        <f t="shared" si="927"/>
        <v>4.693442857144424</v>
      </c>
      <c r="KV355" s="117"/>
    </row>
    <row r="356" spans="1:308" s="26" customFormat="1" ht="15" outlineLevel="1">
      <c r="A356" s="561">
        <f t="shared" si="906"/>
        <v>3056</v>
      </c>
      <c r="B356" s="561">
        <f t="shared" si="928"/>
        <v>56</v>
      </c>
      <c r="C356" s="561">
        <f t="shared" si="929"/>
        <v>3</v>
      </c>
      <c r="D356" s="561" t="str">
        <f t="shared" si="974"/>
        <v xml:space="preserve">1000 CC, 1000 Combo, 720 Lease, </v>
      </c>
      <c r="E356" s="475">
        <f>INDEX(Input!$1:$1048576,E$93,$C356*2+MIN($B356,2)+5)
+INDEX(Scenarios!E$121:E$200,MATCH($B356,Scenarios!$B$121:$B$200,0))</f>
        <v>2287.0236024844721</v>
      </c>
      <c r="F356" s="475">
        <f>INDEX(Input!$1:$1048576,F$93,$C356*2+MIN($B356,2)+5)
+INDEX(Scenarios!F$121:F$200,MATCH($B356,Scenarios!$B$121:$B$200,0))</f>
        <v>0</v>
      </c>
      <c r="G356" s="475">
        <f>INDEX(Input!$1:$1048576,G$93,$C356*2+MIN($B356,2)+5)
+INDEX(Scenarios!G$121:G$200,MATCH($B356,Scenarios!$B$121:$B$200,0))</f>
        <v>0</v>
      </c>
      <c r="H356" s="475">
        <f>INDEX(Input!$1:$1048576,H$93,$C356*2+MIN($B356,2)+5)
+INDEX(Scenarios!H$121:H$200,MATCH($B356,Scenarios!$B$121:$B$200,0))</f>
        <v>0</v>
      </c>
      <c r="I356" s="476">
        <f>INDEX(Input!$1:$1048576,I$93,$C356*2+MIN($B356,2)+5)</f>
        <v>0.7</v>
      </c>
      <c r="J356" s="476" t="str">
        <f>INDEX(Input!$1:$1048576,J$93,$C356*2+MIN($B356,2)+5)</f>
        <v>Market</v>
      </c>
      <c r="K356" s="476" t="str">
        <f>INDEX(Input!$1:$1048576,K$93,$C356*2+MIN($B356,2)+5)</f>
        <v>Market</v>
      </c>
      <c r="L356" s="476" t="str">
        <f>INDEX(Input!$1:$1048576,L$93,$C356*2+MIN($B356,2)+5)</f>
        <v>Market</v>
      </c>
      <c r="M356" s="476" t="str">
        <f>INDEX(Input!$1:$1048576,M$93,$C356*2+MIN($B356,2)+5)</f>
        <v>Market</v>
      </c>
      <c r="N356" s="476" t="str">
        <f>INDEX(Input!$1:$1048576,N$93,$C356*2+MIN($B356,2)+5)</f>
        <v>Market</v>
      </c>
      <c r="O356" s="476" t="str">
        <f>INDEX(Input!$1:$1048576,O$93,$C356*2+MIN($B356,2)+5)</f>
        <v>Market</v>
      </c>
      <c r="P356" s="476" t="str">
        <f>INDEX(Input!$1:$1048576,P$93,$C356*2+MIN($B356,2)+5)</f>
        <v>N</v>
      </c>
      <c r="Q356" s="477">
        <f>INDEX(Input!$1:$1048576,Q$93,$C356*2+MIN($B356,2)+5)
+INDEX(Scenarios!Q$121:Q$200,MATCH($B356,Scenarios!$B$121:$B$200,0))</f>
        <v>1000</v>
      </c>
      <c r="R356" s="478">
        <f>IFERROR(MAX(0,INDEX(Input!$1:$1048576,R$93,$C356*2+MIN($B356,2)+5)
+INDEX(Scenarios!R$121:R$200,MATCH($B356,Scenarios!$B$121:$B$200,0)),),"Market")</f>
        <v>0</v>
      </c>
      <c r="S356" s="478">
        <f>IFERROR(MAX(0,INDEX(Input!$1:$1048576,S$93,$C356*2+MIN($B356,2)+5)
+INDEX(Scenarios!S$121:S$200,MATCH($B356,Scenarios!$B$121:$B$200,0)),),"Market")</f>
        <v>0</v>
      </c>
      <c r="T356" s="478">
        <f>IFERROR(MAX(0,INDEX(Input!$1:$1048576,T$93,$C356*2+MIN($B356,2)+5)
+INDEX(Scenarios!T$121:T$200,MATCH($B356,Scenarios!$B$121:$B$200,0)),),"Market")</f>
        <v>0</v>
      </c>
      <c r="U356" s="478">
        <f>IFERROR(MAX(0,INDEX(Input!$1:$1048576,U$93,$C356*2+MIN($B356,2)+5)
+INDEX(Scenarios!U$121:U$200,MATCH($B356,Scenarios!$B$121:$B$200,0)),),"Market")</f>
        <v>0</v>
      </c>
      <c r="V356" s="478">
        <f>IFERROR(MAX(0,INDEX(Input!$1:$1048576,V$93,$C356*2+MIN($B356,2)+5)
+INDEX(Scenarios!V$121:V$200,MATCH($B356,Scenarios!$B$121:$B$200,0)),),"Market")</f>
        <v>1.9E-2</v>
      </c>
      <c r="W356" s="885">
        <f>IFERROR(MAX(0,INDEX(Input!$1:$1048576,W$93,$C356*2+MIN($B356,2)+5)-0%,),"Market")</f>
        <v>3.9E-2</v>
      </c>
      <c r="X356" s="476" t="str">
        <f>INDEX(Input!$1:$1048576,X$93,$C356*2+MIN($B356,2)+5)</f>
        <v>Y</v>
      </c>
      <c r="Y356" s="475">
        <f>INDEX(Input!$1:$1048576,Y$93,$C356*2+MIN($B356,2)+5)
++INDEX(Scenarios!Y$121:Y$200,MATCH($B356,Scenarios!$B$121:$B$200,0))</f>
        <v>2274.9999999999991</v>
      </c>
      <c r="Z356" s="477">
        <f>INDEX(Input!$1:$1048576,Z$93,$C356*2+MIN($B356,2)+5)
+INDEX(Scenarios!Z$121:Z$200,MATCH($B356,Scenarios!$B$121:$B$200,0))</f>
        <v>0</v>
      </c>
      <c r="AA356" s="475">
        <f>INDEX(Input!$1:$1048576,AA$93,$C356*2+MIN($B356,2)+5)
+INDEX(Scenarios!AA$121:AA$200,MATCH($B356,Scenarios!$B$121:$B$200,0))</f>
        <v>0</v>
      </c>
      <c r="AB356" s="476">
        <f>INDEX(Input!$1:$1048576,AB$93,$C356*2+MIN($B356,2)+5)</f>
        <v>0.27</v>
      </c>
      <c r="AC356" s="475">
        <f>INDEX(Input!$1:$1048576,AC$93,$C356*2+MIN($B356,2)+5)
+INDEX(Scenarios!AC$121:AC$200,MATCH($B356,Scenarios!$B$121:$B$200,0))</f>
        <v>0</v>
      </c>
      <c r="AD356" s="476">
        <f>INDEX(Input!$1:$1048576,AD$93,$C356*2+MIN($B356,2)+5)</f>
        <v>0.27</v>
      </c>
      <c r="AE356" s="475">
        <f>INDEX(Input!$1:$1048576,AE$93,$C356*2+MIN($B356,2)+5)
+INDEX(Scenarios!AE$121:AE$200,MATCH($B356,Scenarios!$B$121:$B$200,0))</f>
        <v>0</v>
      </c>
      <c r="AF356" s="476">
        <f>INDEX(Input!$1:$1048576,AF$93,$C356*2+MIN($B356,2)+5)</f>
        <v>0.68200000000000005</v>
      </c>
      <c r="AG356" s="475">
        <f>INDEX(Input!$1:$1048576,AG$93,$C356*2+MIN($B356,2)+5)
+INDEX(Scenarios!AG$121:AG$200,MATCH($B356,Scenarios!$B$121:$B$200,0))</f>
        <v>500</v>
      </c>
      <c r="AH356" s="476">
        <f>INDEX(Input!$1:$1048576,AH$93,$C356*2+MIN($B356,2)+5)</f>
        <v>1</v>
      </c>
      <c r="AI356" s="475">
        <f>INDEX(Input!$1:$1048576,AI$93,$C356*2+MIN($B356,2)+5)
+INDEX(Scenarios!AI$121:AI$200,MATCH($B356,Scenarios!$B$121:$B$200,0))</f>
        <v>0</v>
      </c>
      <c r="AJ356" s="476">
        <f>INDEX(Input!$1:$1048576,AJ$93,$C356*2+MIN($B356,2)+5)</f>
        <v>0.27</v>
      </c>
      <c r="AK356" s="150">
        <f>ROUND(INDEX(Input!$1:$1048576,AK$93,$C355*2+MIN($B356,1)+5)+(Y356-VLOOKUP($C356*1000+1,$A:$HH,Y$92,FALSE)),0)</f>
        <v>3697</v>
      </c>
      <c r="AL356" s="150">
        <f>ROUND(INDEX(Input!$1:$1048576,AL$93,$C355*2+MIN($B356,1)+5)-(Y356-VLOOKUP($C356*1000+1,$A:$HH,Y$92,FALSE))/36,0)</f>
        <v>3375</v>
      </c>
      <c r="AM356" s="32" t="str">
        <f t="shared" si="907"/>
        <v>std/std/std/std</v>
      </c>
      <c r="AN356" s="32" t="str">
        <f t="shared" si="908"/>
        <v>$1000 + 0/0/0/1.9/3.9</v>
      </c>
      <c r="AO356" s="32" t="str">
        <f t="shared" si="909"/>
        <v>0/0/0/1.9/3.9</v>
      </c>
      <c r="AP356" s="32" t="str">
        <f t="shared" si="863"/>
        <v>0/0.9/1.9/3.9</v>
      </c>
      <c r="AQ356" s="536">
        <f t="shared" si="862"/>
        <v>0.31682699867272257</v>
      </c>
      <c r="AR356" s="32"/>
      <c r="AS356" s="302"/>
      <c r="AT356" s="3">
        <f t="shared" si="930"/>
        <v>56</v>
      </c>
      <c r="AU356" s="41" t="s">
        <v>121</v>
      </c>
      <c r="AV356" s="41" t="s">
        <v>116</v>
      </c>
      <c r="AW356" s="41" t="str">
        <f>INDEX(Input!$1:$1048576,AW$93,$C356*2+6)</f>
        <v>Kia</v>
      </c>
      <c r="AX356" s="41" t="str">
        <f>INDEX(Input!$1:$1048576,AX$93,$C356*2+6)</f>
        <v>Kia-LR - L3</v>
      </c>
      <c r="AY356" s="41" t="str">
        <f>IF(LEN(D356)=0,"",INDEX(Input!$1:$1048576,AY$93,$C356*2+6))</f>
        <v>Compact SUV (52)</v>
      </c>
      <c r="AZ356" s="41" t="str">
        <f>INDEX(Input!$1:$1048576,AZ$93,$C356*2+6)</f>
        <v>Kia Soul</v>
      </c>
      <c r="BA356" s="3">
        <f>INDEX(Input!$1:$1048576,BA$93,$C356*2+6)</f>
        <v>2020</v>
      </c>
      <c r="BB356" s="128">
        <f>INDEX(Input!$1:$1048576,BB$93,$C356*2+6)</f>
        <v>1</v>
      </c>
      <c r="BC356" s="128">
        <f>INDEX(Input!$1:$1048576,BC$93,$C356*2+6)</f>
        <v>0.7</v>
      </c>
      <c r="BD356" s="1">
        <f>INDEX(Input!$1:$1048576,BD$93,$C356*2+6)</f>
        <v>4.4999999999999998E-2</v>
      </c>
      <c r="BE356" s="1">
        <f>INDEX(Input!$1:$1048576,BE$93,$C356*2+6)</f>
        <v>4.4999999999999998E-2</v>
      </c>
      <c r="BF356" s="1">
        <f>INDEX(Input!$1:$1048576,BF$93,$C356*2+6)</f>
        <v>0.05</v>
      </c>
      <c r="BG356" s="1">
        <f>INDEX(Input!$1:$1048576,BG$93,$C356*2+6)</f>
        <v>5.45E-2</v>
      </c>
      <c r="BH356" s="1">
        <f>INDEX(Input!$1:$1048576,BH$93,$C356*2+6)</f>
        <v>5.45E-2</v>
      </c>
      <c r="BI356" s="1">
        <f>INDEX(Input!$1:$1048576,BI$93,$C356*2+6)</f>
        <v>0.05</v>
      </c>
      <c r="BJ356" s="1">
        <f>INDEX(Input!$1:$1048576,BJ$93,$C356*2+6)</f>
        <v>0.05</v>
      </c>
      <c r="BK356" s="1">
        <f>INDEX(Input!$1:$1048576,BK$93,$C356*2+6)</f>
        <v>0.05</v>
      </c>
      <c r="BL356" s="1">
        <f>INDEX(Input!$1:$1048576,BL$93,$C356*2+6)</f>
        <v>5.5E-2</v>
      </c>
      <c r="BM356" s="1">
        <f>INDEX(Input!$1:$1048576,BM$93,$C356*2+6)</f>
        <v>0.06</v>
      </c>
      <c r="BN356" s="1">
        <f>INDEX(Input!$1:$1048576,BN$93,$C356*2+6)</f>
        <v>4.4999999999999998E-2</v>
      </c>
      <c r="BO356" s="1">
        <f>INDEX(Input!$1:$1048576,BO$93,$C356*2+6)</f>
        <v>4.4999999999999998E-2</v>
      </c>
      <c r="BP356" s="1">
        <f>INDEX(Input!$1:$1048576,BP$93,$C356*2+6)</f>
        <v>0.05</v>
      </c>
      <c r="BQ356" s="1">
        <f>INDEX(Input!$1:$1048576,BQ$93,$C356*2+6)</f>
        <v>5.45E-2</v>
      </c>
      <c r="BR356" s="1">
        <f>INDEX(Input!$1:$1048576,BR$93,$C356*2+6)</f>
        <v>5.45E-2</v>
      </c>
      <c r="BS356" s="1">
        <f>INDEX(Input!$1:$1048576,BS$93,$C356*2+6)</f>
        <v>0.05</v>
      </c>
      <c r="BT356" s="1">
        <f>INDEX(Input!$1:$1048576,BT$93,$C356*2+6)</f>
        <v>0.05</v>
      </c>
      <c r="BU356" s="1">
        <f>INDEX(Input!$1:$1048576,BU$93,$C356*2+6)</f>
        <v>0.05</v>
      </c>
      <c r="BV356" s="1">
        <f>INDEX(Input!$1:$1048576,BV$93,$C356*2+6)</f>
        <v>5.5E-2</v>
      </c>
      <c r="BW356" s="1">
        <f>INDEX(Input!$1:$1048576,BW$93,$C356*2+6)</f>
        <v>0.06</v>
      </c>
      <c r="BX356" s="127">
        <f>INDEX(Input!$1:$1048576,BX$93,$C356*2+6)</f>
        <v>19985</v>
      </c>
      <c r="BY356" s="20">
        <f>INDEX(Input!$1:$1048576,BY$93,$C356*2+6)</f>
        <v>0.1</v>
      </c>
      <c r="BZ356" s="20">
        <f>INDEX(Input!$1:$1048576,BZ$93,$C356*2+6)</f>
        <v>0.1</v>
      </c>
      <c r="CA356" s="20">
        <f>INDEX(Input!$1:$1048576,CA$93,$C356*2+6)</f>
        <v>0.1</v>
      </c>
      <c r="CB356" s="20">
        <f>INDEX(Input!$1:$1048576,CB$93,$C356*2+6)</f>
        <v>0.1</v>
      </c>
      <c r="CC356" s="20">
        <f>INDEX(Input!$1:$1048576,CC$93,$C356*2+6)</f>
        <v>0.1</v>
      </c>
      <c r="CD356" s="384">
        <f>INDEX(Input!$1:$1048576,CD$93,$C356*2+6)</f>
        <v>0.1</v>
      </c>
      <c r="CE356" s="384">
        <f>INDEX(Input!$1:$1048576,CE$93,$C356*2+6)</f>
        <v>0.1</v>
      </c>
      <c r="CF356" s="384">
        <f>INDEX(Input!$1:$1048576,CF$93,$C356*2+6)</f>
        <v>0.1</v>
      </c>
      <c r="CG356" s="384">
        <f>INDEX(Input!$1:$1048576,CG$93,$C356*2+6)</f>
        <v>0.1</v>
      </c>
      <c r="CH356" s="384">
        <f>INDEX(Input!$1:$1048576,CH$93,$C356*2+6)</f>
        <v>0.1</v>
      </c>
      <c r="CI356" s="304">
        <f t="shared" si="864"/>
        <v>2287.0236024844721</v>
      </c>
      <c r="CJ356" s="16" t="str">
        <f>INDEX(Input!$1:$1048576,CJ$93,$C356*2+6)</f>
        <v>N</v>
      </c>
      <c r="CK356" s="1" t="str">
        <f t="shared" si="865"/>
        <v>Market</v>
      </c>
      <c r="CL356" s="1" t="str">
        <f t="shared" si="866"/>
        <v>Market</v>
      </c>
      <c r="CM356" s="1" t="str">
        <f t="shared" si="867"/>
        <v>Market</v>
      </c>
      <c r="CN356" s="1" t="str">
        <f t="shared" si="868"/>
        <v>Market</v>
      </c>
      <c r="CO356" s="1" t="str">
        <f t="shared" si="869"/>
        <v>Market</v>
      </c>
      <c r="CP356" s="304">
        <f t="shared" si="870"/>
        <v>1500</v>
      </c>
      <c r="CQ356" s="1">
        <f t="shared" si="871"/>
        <v>0</v>
      </c>
      <c r="CR356" s="1">
        <f t="shared" si="872"/>
        <v>0</v>
      </c>
      <c r="CS356" s="1">
        <f t="shared" si="873"/>
        <v>0</v>
      </c>
      <c r="CT356" s="1">
        <f t="shared" si="874"/>
        <v>1.9E-2</v>
      </c>
      <c r="CU356" s="1">
        <f t="shared" si="875"/>
        <v>3.9E-2</v>
      </c>
      <c r="CV356" s="304">
        <f t="shared" si="876"/>
        <v>2274.9999999999991</v>
      </c>
      <c r="CW356" s="20" t="s">
        <v>122</v>
      </c>
      <c r="CX356" s="20" t="s">
        <v>122</v>
      </c>
      <c r="CY356" s="20" t="s">
        <v>122</v>
      </c>
      <c r="CZ356" s="20" t="s">
        <v>122</v>
      </c>
      <c r="DA356" s="20" t="s">
        <v>122</v>
      </c>
      <c r="DB356" s="503">
        <f t="shared" si="877"/>
        <v>0</v>
      </c>
      <c r="DC356" s="127">
        <v>0</v>
      </c>
      <c r="DD356" s="127">
        <v>0</v>
      </c>
      <c r="DE356" s="127">
        <v>0</v>
      </c>
      <c r="DF356" s="127">
        <v>0</v>
      </c>
      <c r="DG356" s="127">
        <v>0</v>
      </c>
      <c r="DH356" s="127">
        <v>0</v>
      </c>
      <c r="DI356" s="127">
        <v>0</v>
      </c>
      <c r="DJ356" s="127">
        <v>0</v>
      </c>
      <c r="DK356" s="127">
        <v>0</v>
      </c>
      <c r="DL356" s="127">
        <v>0</v>
      </c>
      <c r="DM356" s="304">
        <f>INDEX(Input!$1:$1048576,DM$93,$C356*2+6)</f>
        <v>21036.84210526316</v>
      </c>
      <c r="DN356" s="20">
        <v>0</v>
      </c>
      <c r="DO356" s="20">
        <v>0</v>
      </c>
      <c r="DP356" s="20">
        <v>0</v>
      </c>
      <c r="DQ356" s="20">
        <v>0</v>
      </c>
      <c r="DR356" s="20">
        <v>0</v>
      </c>
      <c r="DS356" s="20">
        <f>INDEX(Input!$1:$1048576,DS$93,$C356*2+6)</f>
        <v>0.6</v>
      </c>
      <c r="DT356" s="20">
        <f>INDEX(Input!$1:$1048576,DT$93,$C356*2+6)</f>
        <v>0.55000000000000004</v>
      </c>
      <c r="DU356" s="20">
        <f>INDEX(Input!$1:$1048576,DU$93,$C356*2+6)</f>
        <v>0.52</v>
      </c>
      <c r="DV356" s="20">
        <f>INDEX(Input!$1:$1048576,DV$93,$C356*2+6)</f>
        <v>0.5</v>
      </c>
      <c r="DW356" s="20">
        <f>INDEX(Input!$1:$1048576,DW$93,$C356*2+6)</f>
        <v>0.45</v>
      </c>
      <c r="DX356" s="20"/>
      <c r="DY356" s="7">
        <v>0.11075715273092275</v>
      </c>
      <c r="DZ356" s="7">
        <v>0</v>
      </c>
      <c r="EA356" s="7">
        <v>0.6888384440382217</v>
      </c>
      <c r="EB356" s="7">
        <v>0</v>
      </c>
      <c r="EC356" s="7">
        <v>0</v>
      </c>
      <c r="ED356" s="7">
        <v>0</v>
      </c>
      <c r="EE356" s="7">
        <v>0</v>
      </c>
      <c r="EF356" s="7">
        <v>0</v>
      </c>
      <c r="EG356" s="7">
        <v>0</v>
      </c>
      <c r="EH356" s="7">
        <v>1.2002144255198046E-2</v>
      </c>
      <c r="EI356" s="7">
        <v>3.3612931399341739E-2</v>
      </c>
      <c r="EJ356" s="7">
        <v>0.27088322839504103</v>
      </c>
      <c r="EK356" s="7">
        <v>0.54225578397257457</v>
      </c>
      <c r="EL356" s="7">
        <v>0.14124591197784431</v>
      </c>
      <c r="EM356" s="7">
        <v>4.9306673880555318E-2</v>
      </c>
      <c r="EN356" s="7">
        <v>6.6648413528824141E-2</v>
      </c>
      <c r="EO356" s="7">
        <v>0.8015449603182403</v>
      </c>
      <c r="EP356" s="7">
        <v>5.4139329744277903E-2</v>
      </c>
      <c r="EQ356" s="7">
        <v>5.0234973470935154E-2</v>
      </c>
      <c r="ER356" s="7">
        <v>2.7432322937722492E-2</v>
      </c>
      <c r="ES356" s="7">
        <v>0.1510977293503003</v>
      </c>
      <c r="ET356" s="7">
        <v>0.20040440323085557</v>
      </c>
      <c r="EU356" s="6">
        <v>2611</v>
      </c>
      <c r="EV356" s="6">
        <v>0</v>
      </c>
      <c r="EW356" s="6">
        <v>2611</v>
      </c>
      <c r="EX356" s="6">
        <v>0</v>
      </c>
      <c r="EY356" s="6">
        <v>3335.8686211878335</v>
      </c>
      <c r="EZ356" s="6">
        <v>3009</v>
      </c>
      <c r="FA356" s="6">
        <v>0</v>
      </c>
      <c r="FB356" s="6">
        <v>0</v>
      </c>
      <c r="FC356" s="6">
        <v>0</v>
      </c>
      <c r="FD356" s="6">
        <v>0</v>
      </c>
      <c r="FE356" s="6">
        <v>0</v>
      </c>
      <c r="FF356" s="6">
        <v>0</v>
      </c>
      <c r="FG356" s="6">
        <v>0</v>
      </c>
      <c r="FH356" s="6">
        <v>1172.0136851983075</v>
      </c>
      <c r="FI356" s="6">
        <v>1553.9796069512397</v>
      </c>
      <c r="FJ356" s="6">
        <v>2101.2110117447414</v>
      </c>
      <c r="FK356" s="6">
        <v>1772.7139978623229</v>
      </c>
      <c r="FL356" s="6">
        <v>907.07682140966358</v>
      </c>
      <c r="FM356" s="6">
        <v>1724.8686211878335</v>
      </c>
      <c r="FN356" s="6">
        <v>0</v>
      </c>
      <c r="FO356" s="6">
        <v>0</v>
      </c>
      <c r="FP356" s="6">
        <v>0</v>
      </c>
      <c r="FQ356" s="6">
        <v>0</v>
      </c>
      <c r="FR356" s="6">
        <v>0</v>
      </c>
      <c r="FS356" s="6">
        <v>0</v>
      </c>
      <c r="FT356" s="7">
        <v>0.79959559676914449</v>
      </c>
      <c r="FU356" s="7">
        <v>4.9306673880555318E-2</v>
      </c>
      <c r="FV356" s="7">
        <v>0.1510977293503003</v>
      </c>
      <c r="FW356" s="6">
        <v>2611</v>
      </c>
      <c r="FX356" s="6">
        <v>3335.8686211878339</v>
      </c>
      <c r="FY356" s="6">
        <v>3009</v>
      </c>
      <c r="FZ356" s="6">
        <v>1858.9243755539039</v>
      </c>
      <c r="GA356" s="6">
        <v>2706.877756992576</v>
      </c>
      <c r="GB356" s="6">
        <v>17278.122243007423</v>
      </c>
      <c r="GC356" s="7">
        <v>2.9156573141622111E-2</v>
      </c>
      <c r="GD356" s="7">
        <v>3.3085476106750861E-2</v>
      </c>
      <c r="GE356" s="7"/>
      <c r="GF356" s="7"/>
      <c r="GG356" s="7">
        <v>0.13475187725405532</v>
      </c>
      <c r="GH356" s="42">
        <v>3.1759013241426262</v>
      </c>
      <c r="GI356" s="6">
        <v>8999.5795635876511</v>
      </c>
      <c r="GJ356" s="14">
        <v>0.50394797582841766</v>
      </c>
      <c r="GK356" s="14">
        <v>0.50887573065309766</v>
      </c>
      <c r="GL356" s="14">
        <v>0.49605202417158306</v>
      </c>
      <c r="GM356" s="14">
        <v>0.49112426934690251</v>
      </c>
      <c r="GO356" s="5">
        <v>343.14810671672558</v>
      </c>
      <c r="GP356" s="5">
        <v>293.33520778489498</v>
      </c>
      <c r="GQ356" s="5">
        <v>535.04305713031317</v>
      </c>
      <c r="GR356" s="5">
        <v>410.15490233172511</v>
      </c>
      <c r="GS356" s="5">
        <v>339.42744393800166</v>
      </c>
      <c r="GT356" s="5">
        <v>293.4407446948278</v>
      </c>
      <c r="GU356" s="5">
        <v>258.04012322764959</v>
      </c>
      <c r="GV356" s="39" t="s">
        <v>392</v>
      </c>
      <c r="GW356" s="5">
        <v>454.875</v>
      </c>
      <c r="GX356" s="5">
        <v>341.15625</v>
      </c>
      <c r="GY356" s="5">
        <v>272.92500000000001</v>
      </c>
      <c r="GZ356" s="5">
        <v>240.82751152063875</v>
      </c>
      <c r="HA356" s="5">
        <v>223.08053899211657</v>
      </c>
      <c r="HB356" s="39">
        <v>252.95686734174524</v>
      </c>
      <c r="HC356" s="5">
        <v>155.640625</v>
      </c>
      <c r="HD356" s="5">
        <v>149.95330774853798</v>
      </c>
      <c r="HE356" s="5">
        <v>157.54027074898784</v>
      </c>
      <c r="HF356" s="5">
        <v>151.32563048245612</v>
      </c>
      <c r="HG356" s="5">
        <v>152.95888157894734</v>
      </c>
      <c r="HH356" s="39">
        <v>150.89449998028294</v>
      </c>
      <c r="HI356" s="16"/>
      <c r="HJ356" s="19" t="str">
        <f t="shared" si="991"/>
        <v>On</v>
      </c>
      <c r="HK356" s="1" t="str">
        <f t="shared" si="991"/>
        <v>On</v>
      </c>
      <c r="HL356" s="16"/>
      <c r="HM356" s="639">
        <f t="shared" si="878"/>
        <v>2.2758057894877178E-2</v>
      </c>
      <c r="HN356" s="639">
        <f t="shared" si="879"/>
        <v>1.416759231746561E-3</v>
      </c>
      <c r="HO356" s="639">
        <f t="shared" si="880"/>
        <v>4.5732401537654987E-3</v>
      </c>
      <c r="HP356" s="644">
        <f>(FT356*$GD356-HM356)/$JF356*INDEX(Input!$1:$1048576,$JG$93,$C356*2+6)</f>
        <v>207.04280503078246</v>
      </c>
      <c r="HQ356" s="644">
        <f>(FU356*$GD356-HN356)/$JF356*INDEX(Input!$1:$1048576,$JG$93,$C356*2+6)</f>
        <v>12.017042760487211</v>
      </c>
      <c r="HR356" s="644">
        <f>(FV356*$GD356-HO356)/$JF356*INDEX(Input!$1:$1048576,$JG$93,$C356*2+6)</f>
        <v>23.852020733700527</v>
      </c>
      <c r="HS356" s="644">
        <f t="shared" si="985"/>
        <v>-111.69415651235491</v>
      </c>
      <c r="HT356" s="644">
        <f t="shared" si="882"/>
        <v>124.88356214047863</v>
      </c>
      <c r="HU356" s="644">
        <f t="shared" si="883"/>
        <v>41.402351012104056</v>
      </c>
      <c r="HV356" s="648">
        <f t="shared" si="884"/>
        <v>0</v>
      </c>
      <c r="HW356" s="648">
        <f t="shared" si="885"/>
        <v>0</v>
      </c>
      <c r="HX356" s="648">
        <f t="shared" si="886"/>
        <v>0</v>
      </c>
      <c r="HY356" s="644">
        <f>INDEX(Input!$1:$1048576,HY$93,$C356*2+6)*INDEX(Input!$1:$1048576,$JG$93,$C356*2+6)</f>
        <v>509.00000000000006</v>
      </c>
      <c r="HZ356" s="644">
        <f>INDEX(Input!$1:$1048576,HZ$93,$C356*2+6)*INDEX(Input!$1:$1048576,$JG$93,$C356*2+6)</f>
        <v>844</v>
      </c>
      <c r="IA356" s="644">
        <f>INDEX(Input!$1:$1048576,IA$93,$C356*2+6)*INDEX(Input!$1:$1048576,$JG$93,$C356*2+6)</f>
        <v>257</v>
      </c>
      <c r="IB356" s="644">
        <f t="shared" si="910"/>
        <v>604.34864851842769</v>
      </c>
      <c r="IC356" s="644">
        <f t="shared" si="911"/>
        <v>980.90060490096585</v>
      </c>
      <c r="ID356" s="644">
        <f>IF(AND(INDEX(Input!$1:$1048576,IA$93,$C356*2+7)="TOS",Y356&lt;=INDEX(Y:Y,MATCH(C356*1000+2,A:A))),0,1)*MAX(IA356+HR356+HU356+HX356,0%)</f>
        <v>322.25437174580463</v>
      </c>
      <c r="IE356" s="128">
        <f t="shared" si="990"/>
        <v>0.31682699867272257</v>
      </c>
      <c r="IF356" s="128">
        <f t="shared" si="977"/>
        <v>0.51423262947456549</v>
      </c>
      <c r="IG356" s="128">
        <f t="shared" si="888"/>
        <v>0.16894037185271193</v>
      </c>
      <c r="IH356" s="21"/>
      <c r="II356" s="19">
        <f t="shared" si="889"/>
        <v>1410.4999999999998</v>
      </c>
      <c r="IJ356" s="19">
        <f t="shared" si="890"/>
        <v>2134.9731585778086</v>
      </c>
      <c r="IK356" s="19">
        <f t="shared" si="891"/>
        <v>2103.5</v>
      </c>
      <c r="IL356" s="19">
        <f t="shared" si="913"/>
        <v>1200.5000000000002</v>
      </c>
      <c r="IM356" s="19">
        <f t="shared" si="892"/>
        <v>1200.8954626100253</v>
      </c>
      <c r="IN356" s="19">
        <f t="shared" si="893"/>
        <v>905.5</v>
      </c>
      <c r="IO356" s="39">
        <f t="shared" si="894"/>
        <v>0</v>
      </c>
      <c r="IP356" s="39">
        <f t="shared" si="895"/>
        <v>0</v>
      </c>
      <c r="IQ356" s="39">
        <f t="shared" si="896"/>
        <v>0</v>
      </c>
      <c r="IR356" s="39">
        <v>0</v>
      </c>
      <c r="IS356" s="39">
        <v>0</v>
      </c>
      <c r="IT356" s="39">
        <v>0</v>
      </c>
      <c r="IU356" s="39">
        <v>0</v>
      </c>
      <c r="IV356" s="39">
        <v>0</v>
      </c>
      <c r="IW356" s="39">
        <v>0</v>
      </c>
      <c r="IX356" s="39">
        <f>INDEX(Input!$1:$1048576,IX$93,$C356*2+6)+INDEX(Input!$1:$1048576,IX$94,$C356*2+6)</f>
        <v>1611</v>
      </c>
      <c r="IY356" s="39">
        <f>INDEX(Input!$1:$1048576,IY$93,$C356*2+6)+INDEX(Input!$1:$1048576,IY$94,$C356*2+6)</f>
        <v>2471.0624533823611</v>
      </c>
      <c r="IZ356" s="39">
        <f>INDEX(Input!$1:$1048576,IZ$93,$C356*2+6)+INDEX(Input!$1:$1048576,IZ$94,$C356*2+6)</f>
        <v>3994.7164157747857</v>
      </c>
      <c r="JA356" s="19">
        <f t="shared" si="914"/>
        <v>2811.5</v>
      </c>
      <c r="JB356" s="19">
        <f t="shared" si="915"/>
        <v>3671.9579159923865</v>
      </c>
      <c r="JC356" s="19">
        <f t="shared" si="916"/>
        <v>4900.2164157747857</v>
      </c>
      <c r="JD356" s="19">
        <f t="shared" si="917"/>
        <v>3606.8440646688259</v>
      </c>
      <c r="JE356" s="21"/>
      <c r="JF356" s="1">
        <f t="shared" si="897"/>
        <v>2.8748057280389237E-2</v>
      </c>
      <c r="JG356" s="15">
        <f>INDEX(Input!$1:$1048576,JG$93,$C356*2+6)/(1+VLOOKUP(C356*1000+INDEX(Input!$1:$1048576,JG$93+1,$C356*2+6),$A:$KK,$JK$92,FALSE))</f>
        <v>1610</v>
      </c>
      <c r="JH356" s="1">
        <f t="shared" si="918"/>
        <v>0.15087693697203119</v>
      </c>
      <c r="JI356" s="1">
        <f t="shared" si="919"/>
        <v>3.3907923379023465E-2</v>
      </c>
      <c r="JJ356" s="1">
        <f t="shared" si="978"/>
        <v>0</v>
      </c>
      <c r="JK356" s="1">
        <f t="shared" si="979"/>
        <v>0.18478486035105465</v>
      </c>
      <c r="JL356" s="15">
        <f t="shared" si="922"/>
        <v>297.503625165198</v>
      </c>
      <c r="JM356" s="15">
        <f t="shared" si="948"/>
        <v>1907.5036251651979</v>
      </c>
      <c r="JN356" s="21"/>
      <c r="JO356" s="19">
        <f>INDEX(Input!$1:$1048576,JO$93,$C356*2+6)</f>
        <v>5995.5</v>
      </c>
      <c r="JP356" s="19">
        <f>INDEX(Input!$1:$1048576,JP$93,$C356*2+6)</f>
        <v>2442.3713226762939</v>
      </c>
      <c r="JQ356" s="39">
        <f t="shared" si="934"/>
        <v>2388.6559353311741</v>
      </c>
      <c r="JR356" s="39">
        <f t="shared" si="951"/>
        <v>1164.4727419925321</v>
      </c>
      <c r="JS356" s="39">
        <f t="shared" si="936"/>
        <v>6.880068128761363</v>
      </c>
      <c r="JT356" s="39">
        <f t="shared" si="924"/>
        <v>2.9478502992525302</v>
      </c>
      <c r="JU356" s="385">
        <f>(JQ356*JM356-INDEX(Input!$1:$1048576,Input!A$18,$C356*2+6)*JL356*INDEX(Input!$1:$1048576,Input!A$19,$C356*2+6))/1000000</f>
        <v>4.5563698559165813</v>
      </c>
      <c r="JV356" s="39">
        <f t="shared" si="958"/>
        <v>-1.1641673145745859</v>
      </c>
      <c r="JW356" s="1">
        <f t="shared" si="949"/>
        <v>-0.2035066427991814</v>
      </c>
      <c r="JX356" s="19">
        <f t="shared" si="940"/>
        <v>9908.6197609042447</v>
      </c>
      <c r="JZ356" s="341"/>
      <c r="KA356" s="342"/>
      <c r="KB356" s="469">
        <f t="shared" si="937"/>
        <v>2.5190675447988795</v>
      </c>
      <c r="KI356" s="473">
        <f t="shared" si="987"/>
        <v>95.348648518427638</v>
      </c>
      <c r="KJ356" s="473">
        <f t="shared" si="988"/>
        <v>136.90060490096573</v>
      </c>
      <c r="KK356" s="473">
        <f t="shared" si="926"/>
        <v>65.254371745804576</v>
      </c>
      <c r="KN356" s="544">
        <f t="shared" si="941"/>
        <v>3002</v>
      </c>
      <c r="KO356" s="541">
        <f t="shared" si="901"/>
        <v>0.14970015885611376</v>
      </c>
      <c r="KP356" s="546">
        <f t="shared" si="902"/>
        <v>952.87506253443235</v>
      </c>
      <c r="KQ356" s="546">
        <f t="shared" si="903"/>
        <v>970.93063928012771</v>
      </c>
      <c r="KR356" s="548">
        <f t="shared" si="904"/>
        <v>2.7256049804891744</v>
      </c>
      <c r="KS356" s="548">
        <f t="shared" si="905"/>
        <v>2.6749192075691242</v>
      </c>
      <c r="KT356" s="473">
        <f t="shared" si="939"/>
        <v>1026.1618045255443</v>
      </c>
      <c r="KU356" s="663">
        <f t="shared" si="927"/>
        <v>4.7589421906659108</v>
      </c>
      <c r="KV356" s="117"/>
    </row>
    <row r="357" spans="1:308" s="26" customFormat="1" ht="15" outlineLevel="1">
      <c r="A357" s="561">
        <f t="shared" si="906"/>
        <v>3057</v>
      </c>
      <c r="B357" s="561">
        <f t="shared" si="928"/>
        <v>57</v>
      </c>
      <c r="C357" s="561">
        <f t="shared" si="929"/>
        <v>3</v>
      </c>
      <c r="D357" s="561" t="str">
        <f t="shared" si="974"/>
        <v xml:space="preserve">500 CC, 0/0/0.9/3.9, 360 Lease, </v>
      </c>
      <c r="E357" s="475">
        <f>INDEX(Input!$1:$1048576,E$93,$C357*2+MIN($B357,2)+5)
+INDEX(Scenarios!E$121:E$200,MATCH($B357,Scenarios!$B$121:$B$200,0))</f>
        <v>1787.0236024844721</v>
      </c>
      <c r="F357" s="475">
        <f>INDEX(Input!$1:$1048576,F$93,$C357*2+MIN($B357,2)+5)
+INDEX(Scenarios!F$121:F$200,MATCH($B357,Scenarios!$B$121:$B$200,0))</f>
        <v>0</v>
      </c>
      <c r="G357" s="475">
        <f>INDEX(Input!$1:$1048576,G$93,$C357*2+MIN($B357,2)+5)
+INDEX(Scenarios!G$121:G$200,MATCH($B357,Scenarios!$B$121:$B$200,0))</f>
        <v>0</v>
      </c>
      <c r="H357" s="475">
        <f>INDEX(Input!$1:$1048576,H$93,$C357*2+MIN($B357,2)+5)
+INDEX(Scenarios!H$121:H$200,MATCH($B357,Scenarios!$B$121:$B$200,0))</f>
        <v>0</v>
      </c>
      <c r="I357" s="476">
        <f>INDEX(Input!$1:$1048576,I$93,$C357*2+MIN($B357,2)+5)</f>
        <v>0.7</v>
      </c>
      <c r="J357" s="476" t="str">
        <f>INDEX(Input!$1:$1048576,J$93,$C357*2+MIN($B357,2)+5)</f>
        <v>Market</v>
      </c>
      <c r="K357" s="476" t="str">
        <f>INDEX(Input!$1:$1048576,K$93,$C357*2+MIN($B357,2)+5)</f>
        <v>Market</v>
      </c>
      <c r="L357" s="476" t="str">
        <f>INDEX(Input!$1:$1048576,L$93,$C357*2+MIN($B357,2)+5)</f>
        <v>Market</v>
      </c>
      <c r="M357" s="476" t="str">
        <f>INDEX(Input!$1:$1048576,M$93,$C357*2+MIN($B357,2)+5)</f>
        <v>Market</v>
      </c>
      <c r="N357" s="476" t="str">
        <f>INDEX(Input!$1:$1048576,N$93,$C357*2+MIN($B357,2)+5)</f>
        <v>Market</v>
      </c>
      <c r="O357" s="476" t="str">
        <f>INDEX(Input!$1:$1048576,O$93,$C357*2+MIN($B357,2)+5)</f>
        <v>Market</v>
      </c>
      <c r="P357" s="476" t="str">
        <f>INDEX(Input!$1:$1048576,P$93,$C357*2+MIN($B357,2)+5)</f>
        <v>N</v>
      </c>
      <c r="Q357" s="477">
        <f>INDEX(Input!$1:$1048576,Q$93,$C357*2+MIN($B357,2)+5)
+INDEX(Scenarios!Q$121:Q$200,MATCH($B357,Scenarios!$B$121:$B$200,0))</f>
        <v>0</v>
      </c>
      <c r="R357" s="478">
        <f>IFERROR(MAX(0,INDEX(Input!$1:$1048576,R$93,$C357*2+MIN($B357,2)+5)
+INDEX(Scenarios!R$121:R$200,MATCH($B357,Scenarios!$B$121:$B$200,0)),),"Market")</f>
        <v>0</v>
      </c>
      <c r="S357" s="478">
        <f>IFERROR(MAX(0,INDEX(Input!$1:$1048576,S$93,$C357*2+MIN($B357,2)+5)
+INDEX(Scenarios!S$121:S$200,MATCH($B357,Scenarios!$B$121:$B$200,0)),),"Market")</f>
        <v>0</v>
      </c>
      <c r="T357" s="478">
        <f>IFERROR(MAX(0,INDEX(Input!$1:$1048576,T$93,$C357*2+MIN($B357,2)+5)
+INDEX(Scenarios!T$121:T$200,MATCH($B357,Scenarios!$B$121:$B$200,0)),),"Market")</f>
        <v>0</v>
      </c>
      <c r="U357" s="478">
        <f>IFERROR(MAX(0,INDEX(Input!$1:$1048576,U$93,$C357*2+MIN($B357,2)+5)
+INDEX(Scenarios!U$121:U$200,MATCH($B357,Scenarios!$B$121:$B$200,0)),),"Market")</f>
        <v>0</v>
      </c>
      <c r="V357" s="478">
        <f>IFERROR(MAX(0,INDEX(Input!$1:$1048576,V$93,$C357*2+MIN($B357,2)+5)
+INDEX(Scenarios!V$121:V$200,MATCH($B357,Scenarios!$B$121:$B$200,0)),),"Market")</f>
        <v>8.9999999999999993E-3</v>
      </c>
      <c r="W357" s="885">
        <f>IFERROR(MAX(0,INDEX(Input!$1:$1048576,W$93,$C357*2+MIN($B357,2)+5)-0%,),"Market")</f>
        <v>3.9E-2</v>
      </c>
      <c r="X357" s="476" t="str">
        <f>INDEX(Input!$1:$1048576,X$93,$C357*2+MIN($B357,2)+5)</f>
        <v>Y</v>
      </c>
      <c r="Y357" s="475">
        <f>INDEX(Input!$1:$1048576,Y$93,$C357*2+MIN($B357,2)+5)
++INDEX(Scenarios!Y$121:Y$200,MATCH($B357,Scenarios!$B$121:$B$200,0))</f>
        <v>1914.9999999999991</v>
      </c>
      <c r="Z357" s="477">
        <f>INDEX(Input!$1:$1048576,Z$93,$C357*2+MIN($B357,2)+5)
+INDEX(Scenarios!Z$121:Z$200,MATCH($B357,Scenarios!$B$121:$B$200,0))</f>
        <v>0</v>
      </c>
      <c r="AA357" s="475">
        <f>INDEX(Input!$1:$1048576,AA$93,$C357*2+MIN($B357,2)+5)
+INDEX(Scenarios!AA$121:AA$200,MATCH($B357,Scenarios!$B$121:$B$200,0))</f>
        <v>0</v>
      </c>
      <c r="AB357" s="476">
        <f>INDEX(Input!$1:$1048576,AB$93,$C357*2+MIN($B357,2)+5)</f>
        <v>0.27</v>
      </c>
      <c r="AC357" s="475">
        <f>INDEX(Input!$1:$1048576,AC$93,$C357*2+MIN($B357,2)+5)
+INDEX(Scenarios!AC$121:AC$200,MATCH($B357,Scenarios!$B$121:$B$200,0))</f>
        <v>0</v>
      </c>
      <c r="AD357" s="476">
        <f>INDEX(Input!$1:$1048576,AD$93,$C357*2+MIN($B357,2)+5)</f>
        <v>0.27</v>
      </c>
      <c r="AE357" s="475">
        <f>INDEX(Input!$1:$1048576,AE$93,$C357*2+MIN($B357,2)+5)
+INDEX(Scenarios!AE$121:AE$200,MATCH($B357,Scenarios!$B$121:$B$200,0))</f>
        <v>0</v>
      </c>
      <c r="AF357" s="476">
        <f>INDEX(Input!$1:$1048576,AF$93,$C357*2+MIN($B357,2)+5)</f>
        <v>0.68200000000000005</v>
      </c>
      <c r="AG357" s="475">
        <f>INDEX(Input!$1:$1048576,AG$93,$C357*2+MIN($B357,2)+5)
+INDEX(Scenarios!AG$121:AG$200,MATCH($B357,Scenarios!$B$121:$B$200,0))</f>
        <v>500</v>
      </c>
      <c r="AH357" s="476">
        <f>INDEX(Input!$1:$1048576,AH$93,$C357*2+MIN($B357,2)+5)</f>
        <v>1</v>
      </c>
      <c r="AI357" s="475">
        <f>INDEX(Input!$1:$1048576,AI$93,$C357*2+MIN($B357,2)+5)
+INDEX(Scenarios!AI$121:AI$200,MATCH($B357,Scenarios!$B$121:$B$200,0))</f>
        <v>0</v>
      </c>
      <c r="AJ357" s="476">
        <f>INDEX(Input!$1:$1048576,AJ$93,$C357*2+MIN($B357,2)+5)</f>
        <v>0.27</v>
      </c>
      <c r="AK357" s="150">
        <f>ROUND(INDEX(Input!$1:$1048576,AK$93,$C356*2+MIN($B357,1)+5)+(Y357-VLOOKUP($C357*1000+1,$A:$HH,Y$92,FALSE)),0)</f>
        <v>3337</v>
      </c>
      <c r="AL357" s="150">
        <f>ROUND(INDEX(Input!$1:$1048576,AL$93,$C356*2+MIN($B357,1)+5)-(Y357-VLOOKUP($C357*1000+1,$A:$HH,Y$92,FALSE))/36,0)</f>
        <v>3385</v>
      </c>
      <c r="AM357" s="32" t="str">
        <f t="shared" si="907"/>
        <v>std/std/std/std</v>
      </c>
      <c r="AN357" s="32" t="str">
        <f t="shared" si="908"/>
        <v>$0 + 0/0/0/0.9/3.9</v>
      </c>
      <c r="AO357" s="32" t="str">
        <f t="shared" si="909"/>
        <v>0/0/0/0.9/3.9</v>
      </c>
      <c r="AP357" s="32" t="str">
        <f t="shared" si="863"/>
        <v>0/0/0.9/3.9</v>
      </c>
      <c r="AQ357" s="536">
        <f t="shared" ref="AQ357:AQ420" si="992">SUM(IE357,G357*IF357,H357*IG357,AC357*AD357,AE357*AF357,AI357)</f>
        <v>0.32047664430511369</v>
      </c>
      <c r="AR357" s="32"/>
      <c r="AS357" s="302"/>
      <c r="AT357" s="3">
        <f t="shared" si="930"/>
        <v>57</v>
      </c>
      <c r="AU357" s="41" t="s">
        <v>121</v>
      </c>
      <c r="AV357" s="41" t="s">
        <v>116</v>
      </c>
      <c r="AW357" s="41" t="str">
        <f>INDEX(Input!$1:$1048576,AW$93,$C357*2+6)</f>
        <v>Kia</v>
      </c>
      <c r="AX357" s="41" t="str">
        <f>INDEX(Input!$1:$1048576,AX$93,$C357*2+6)</f>
        <v>Kia-LR - L3</v>
      </c>
      <c r="AY357" s="41" t="str">
        <f>IF(LEN(D357)=0,"",INDEX(Input!$1:$1048576,AY$93,$C357*2+6))</f>
        <v>Compact SUV (52)</v>
      </c>
      <c r="AZ357" s="41" t="str">
        <f>INDEX(Input!$1:$1048576,AZ$93,$C357*2+6)</f>
        <v>Kia Soul</v>
      </c>
      <c r="BA357" s="3">
        <f>INDEX(Input!$1:$1048576,BA$93,$C357*2+6)</f>
        <v>2020</v>
      </c>
      <c r="BB357" s="128">
        <f>INDEX(Input!$1:$1048576,BB$93,$C357*2+6)</f>
        <v>1</v>
      </c>
      <c r="BC357" s="128">
        <f>INDEX(Input!$1:$1048576,BC$93,$C357*2+6)</f>
        <v>0.7</v>
      </c>
      <c r="BD357" s="1">
        <f>INDEX(Input!$1:$1048576,BD$93,$C357*2+6)</f>
        <v>4.4999999999999998E-2</v>
      </c>
      <c r="BE357" s="1">
        <f>INDEX(Input!$1:$1048576,BE$93,$C357*2+6)</f>
        <v>4.4999999999999998E-2</v>
      </c>
      <c r="BF357" s="1">
        <f>INDEX(Input!$1:$1048576,BF$93,$C357*2+6)</f>
        <v>0.05</v>
      </c>
      <c r="BG357" s="1">
        <f>INDEX(Input!$1:$1048576,BG$93,$C357*2+6)</f>
        <v>5.45E-2</v>
      </c>
      <c r="BH357" s="1">
        <f>INDEX(Input!$1:$1048576,BH$93,$C357*2+6)</f>
        <v>5.45E-2</v>
      </c>
      <c r="BI357" s="1">
        <f>INDEX(Input!$1:$1048576,BI$93,$C357*2+6)</f>
        <v>0.05</v>
      </c>
      <c r="BJ357" s="1">
        <f>INDEX(Input!$1:$1048576,BJ$93,$C357*2+6)</f>
        <v>0.05</v>
      </c>
      <c r="BK357" s="1">
        <f>INDEX(Input!$1:$1048576,BK$93,$C357*2+6)</f>
        <v>0.05</v>
      </c>
      <c r="BL357" s="1">
        <f>INDEX(Input!$1:$1048576,BL$93,$C357*2+6)</f>
        <v>5.5E-2</v>
      </c>
      <c r="BM357" s="1">
        <f>INDEX(Input!$1:$1048576,BM$93,$C357*2+6)</f>
        <v>0.06</v>
      </c>
      <c r="BN357" s="1">
        <f>INDEX(Input!$1:$1048576,BN$93,$C357*2+6)</f>
        <v>4.4999999999999998E-2</v>
      </c>
      <c r="BO357" s="1">
        <f>INDEX(Input!$1:$1048576,BO$93,$C357*2+6)</f>
        <v>4.4999999999999998E-2</v>
      </c>
      <c r="BP357" s="1">
        <f>INDEX(Input!$1:$1048576,BP$93,$C357*2+6)</f>
        <v>0.05</v>
      </c>
      <c r="BQ357" s="1">
        <f>INDEX(Input!$1:$1048576,BQ$93,$C357*2+6)</f>
        <v>5.45E-2</v>
      </c>
      <c r="BR357" s="1">
        <f>INDEX(Input!$1:$1048576,BR$93,$C357*2+6)</f>
        <v>5.45E-2</v>
      </c>
      <c r="BS357" s="1">
        <f>INDEX(Input!$1:$1048576,BS$93,$C357*2+6)</f>
        <v>0.05</v>
      </c>
      <c r="BT357" s="1">
        <f>INDEX(Input!$1:$1048576,BT$93,$C357*2+6)</f>
        <v>0.05</v>
      </c>
      <c r="BU357" s="1">
        <f>INDEX(Input!$1:$1048576,BU$93,$C357*2+6)</f>
        <v>0.05</v>
      </c>
      <c r="BV357" s="1">
        <f>INDEX(Input!$1:$1048576,BV$93,$C357*2+6)</f>
        <v>5.5E-2</v>
      </c>
      <c r="BW357" s="1">
        <f>INDEX(Input!$1:$1048576,BW$93,$C357*2+6)</f>
        <v>0.06</v>
      </c>
      <c r="BX357" s="127">
        <f>INDEX(Input!$1:$1048576,BX$93,$C357*2+6)</f>
        <v>19985</v>
      </c>
      <c r="BY357" s="20">
        <f>INDEX(Input!$1:$1048576,BY$93,$C357*2+6)</f>
        <v>0.1</v>
      </c>
      <c r="BZ357" s="20">
        <f>INDEX(Input!$1:$1048576,BZ$93,$C357*2+6)</f>
        <v>0.1</v>
      </c>
      <c r="CA357" s="20">
        <f>INDEX(Input!$1:$1048576,CA$93,$C357*2+6)</f>
        <v>0.1</v>
      </c>
      <c r="CB357" s="20">
        <f>INDEX(Input!$1:$1048576,CB$93,$C357*2+6)</f>
        <v>0.1</v>
      </c>
      <c r="CC357" s="20">
        <f>INDEX(Input!$1:$1048576,CC$93,$C357*2+6)</f>
        <v>0.1</v>
      </c>
      <c r="CD357" s="384">
        <f>INDEX(Input!$1:$1048576,CD$93,$C357*2+6)</f>
        <v>0.1</v>
      </c>
      <c r="CE357" s="384">
        <f>INDEX(Input!$1:$1048576,CE$93,$C357*2+6)</f>
        <v>0.1</v>
      </c>
      <c r="CF357" s="384">
        <f>INDEX(Input!$1:$1048576,CF$93,$C357*2+6)</f>
        <v>0.1</v>
      </c>
      <c r="CG357" s="384">
        <f>INDEX(Input!$1:$1048576,CG$93,$C357*2+6)</f>
        <v>0.1</v>
      </c>
      <c r="CH357" s="384">
        <f>INDEX(Input!$1:$1048576,CH$93,$C357*2+6)</f>
        <v>0.1</v>
      </c>
      <c r="CI357" s="304">
        <f t="shared" si="864"/>
        <v>1787.0236024844721</v>
      </c>
      <c r="CJ357" s="16" t="str">
        <f>INDEX(Input!$1:$1048576,CJ$93,$C357*2+6)</f>
        <v>N</v>
      </c>
      <c r="CK357" s="1" t="str">
        <f t="shared" si="865"/>
        <v>Market</v>
      </c>
      <c r="CL357" s="1" t="str">
        <f t="shared" si="866"/>
        <v>Market</v>
      </c>
      <c r="CM357" s="1" t="str">
        <f t="shared" si="867"/>
        <v>Market</v>
      </c>
      <c r="CN357" s="1" t="str">
        <f t="shared" si="868"/>
        <v>Market</v>
      </c>
      <c r="CO357" s="1" t="str">
        <f t="shared" si="869"/>
        <v>Market</v>
      </c>
      <c r="CP357" s="304">
        <f t="shared" si="870"/>
        <v>500</v>
      </c>
      <c r="CQ357" s="1">
        <f t="shared" si="871"/>
        <v>0</v>
      </c>
      <c r="CR357" s="1">
        <f t="shared" si="872"/>
        <v>0</v>
      </c>
      <c r="CS357" s="1">
        <f t="shared" si="873"/>
        <v>0</v>
      </c>
      <c r="CT357" s="1">
        <f t="shared" si="874"/>
        <v>8.9999999999999993E-3</v>
      </c>
      <c r="CU357" s="1">
        <f t="shared" si="875"/>
        <v>3.9E-2</v>
      </c>
      <c r="CV357" s="304">
        <f t="shared" si="876"/>
        <v>1914.9999999999991</v>
      </c>
      <c r="CW357" s="20" t="s">
        <v>122</v>
      </c>
      <c r="CX357" s="20" t="s">
        <v>122</v>
      </c>
      <c r="CY357" s="20" t="s">
        <v>122</v>
      </c>
      <c r="CZ357" s="20" t="s">
        <v>122</v>
      </c>
      <c r="DA357" s="20" t="s">
        <v>122</v>
      </c>
      <c r="DB357" s="503">
        <f t="shared" si="877"/>
        <v>0</v>
      </c>
      <c r="DC357" s="127">
        <v>0</v>
      </c>
      <c r="DD357" s="127">
        <v>0</v>
      </c>
      <c r="DE357" s="127">
        <v>0</v>
      </c>
      <c r="DF357" s="127">
        <v>0</v>
      </c>
      <c r="DG357" s="127">
        <v>0</v>
      </c>
      <c r="DH357" s="127">
        <v>0</v>
      </c>
      <c r="DI357" s="127">
        <v>0</v>
      </c>
      <c r="DJ357" s="127">
        <v>0</v>
      </c>
      <c r="DK357" s="127">
        <v>0</v>
      </c>
      <c r="DL357" s="127">
        <v>0</v>
      </c>
      <c r="DM357" s="304">
        <f>INDEX(Input!$1:$1048576,DM$93,$C357*2+6)</f>
        <v>21036.84210526316</v>
      </c>
      <c r="DN357" s="20">
        <v>0</v>
      </c>
      <c r="DO357" s="20">
        <v>0</v>
      </c>
      <c r="DP357" s="20">
        <v>0</v>
      </c>
      <c r="DQ357" s="20">
        <v>0</v>
      </c>
      <c r="DR357" s="20">
        <v>0</v>
      </c>
      <c r="DS357" s="20">
        <f>INDEX(Input!$1:$1048576,DS$93,$C357*2+6)</f>
        <v>0.6</v>
      </c>
      <c r="DT357" s="20">
        <f>INDEX(Input!$1:$1048576,DT$93,$C357*2+6)</f>
        <v>0.55000000000000004</v>
      </c>
      <c r="DU357" s="20">
        <f>INDEX(Input!$1:$1048576,DU$93,$C357*2+6)</f>
        <v>0.52</v>
      </c>
      <c r="DV357" s="20">
        <f>INDEX(Input!$1:$1048576,DV$93,$C357*2+6)</f>
        <v>0.5</v>
      </c>
      <c r="DW357" s="20">
        <f>INDEX(Input!$1:$1048576,DW$93,$C357*2+6)</f>
        <v>0.45</v>
      </c>
      <c r="DX357" s="20"/>
      <c r="DY357" s="7">
        <v>0.1054599453735216</v>
      </c>
      <c r="DZ357" s="7">
        <v>0</v>
      </c>
      <c r="EA357" s="7">
        <v>0.69203869378005611</v>
      </c>
      <c r="EB357" s="7">
        <v>0</v>
      </c>
      <c r="EC357" s="7">
        <v>0</v>
      </c>
      <c r="ED357" s="7">
        <v>0</v>
      </c>
      <c r="EE357" s="7">
        <v>0</v>
      </c>
      <c r="EF357" s="7">
        <v>0</v>
      </c>
      <c r="EG357" s="7">
        <v>0</v>
      </c>
      <c r="EH357" s="7">
        <v>9.4334670514040955E-3</v>
      </c>
      <c r="EI357" s="7">
        <v>2.6410368690459048E-2</v>
      </c>
      <c r="EJ357" s="7">
        <v>0.21243670134060985</v>
      </c>
      <c r="EK357" s="7">
        <v>0.64049150230464291</v>
      </c>
      <c r="EL357" s="7">
        <v>0.11122796061288397</v>
      </c>
      <c r="EM357" s="7">
        <v>4.7830746178360931E-2</v>
      </c>
      <c r="EN357" s="7">
        <v>6.462315458952772E-2</v>
      </c>
      <c r="EO357" s="7">
        <v>0.79120541883785411</v>
      </c>
      <c r="EP357" s="7">
        <v>5.9251876283094182E-2</v>
      </c>
      <c r="EQ357" s="7">
        <v>5.5227973965473812E-2</v>
      </c>
      <c r="ER357" s="7">
        <v>2.9691576324050426E-2</v>
      </c>
      <c r="ES357" s="7">
        <v>0.15467061466806134</v>
      </c>
      <c r="ET357" s="7">
        <v>0.20250136084642228</v>
      </c>
      <c r="EU357" s="6">
        <v>2111</v>
      </c>
      <c r="EV357" s="6">
        <v>0</v>
      </c>
      <c r="EW357" s="6">
        <v>2111</v>
      </c>
      <c r="EX357" s="6">
        <v>0</v>
      </c>
      <c r="EY357" s="6">
        <v>2652.307373202977</v>
      </c>
      <c r="EZ357" s="6">
        <v>2649</v>
      </c>
      <c r="FA357" s="6">
        <v>0</v>
      </c>
      <c r="FB357" s="6">
        <v>0</v>
      </c>
      <c r="FC357" s="6">
        <v>0</v>
      </c>
      <c r="FD357" s="6">
        <v>0</v>
      </c>
      <c r="FE357" s="6">
        <v>0</v>
      </c>
      <c r="FF357" s="6">
        <v>0</v>
      </c>
      <c r="FG357" s="6">
        <v>0</v>
      </c>
      <c r="FH357" s="6">
        <v>1171.9996902492148</v>
      </c>
      <c r="FI357" s="6">
        <v>1553.9796069512397</v>
      </c>
      <c r="FJ357" s="6">
        <v>2101.211011744741</v>
      </c>
      <c r="FK357" s="6">
        <v>2251.3078348034678</v>
      </c>
      <c r="FL357" s="6">
        <v>907.07682140966335</v>
      </c>
      <c r="FM357" s="6">
        <v>2041.3073732029768</v>
      </c>
      <c r="FN357" s="6">
        <v>0</v>
      </c>
      <c r="FO357" s="6">
        <v>0</v>
      </c>
      <c r="FP357" s="6">
        <v>0</v>
      </c>
      <c r="FQ357" s="6">
        <v>0</v>
      </c>
      <c r="FR357" s="6">
        <v>0</v>
      </c>
      <c r="FS357" s="6">
        <v>0</v>
      </c>
      <c r="FT357" s="7">
        <v>0.79749863915357766</v>
      </c>
      <c r="FU357" s="7">
        <v>4.7830746178360931E-2</v>
      </c>
      <c r="FV357" s="7">
        <v>0.15467061466806134</v>
      </c>
      <c r="FW357" s="6">
        <v>2111</v>
      </c>
      <c r="FX357" s="6">
        <v>2652.307373202977</v>
      </c>
      <c r="FY357" s="6">
        <v>2649</v>
      </c>
      <c r="FZ357" s="6">
        <v>1858.9243755539039</v>
      </c>
      <c r="GA357" s="6">
        <v>2220.1039262635641</v>
      </c>
      <c r="GB357" s="6">
        <v>17764.896073736436</v>
      </c>
      <c r="GC357" s="7">
        <v>2.9156573141622111E-2</v>
      </c>
      <c r="GD357" s="7">
        <v>3.1209537296184833E-2</v>
      </c>
      <c r="GE357" s="7"/>
      <c r="GF357" s="7"/>
      <c r="GG357" s="7">
        <v>7.0411709379935225E-2</v>
      </c>
      <c r="GH357" s="42">
        <v>3.8960622471375399</v>
      </c>
      <c r="GI357" s="6">
        <v>7349.642093853955</v>
      </c>
      <c r="GJ357" s="14">
        <v>0.50394797582841711</v>
      </c>
      <c r="GK357" s="14">
        <v>0.50887573065309755</v>
      </c>
      <c r="GL357" s="14">
        <v>0.49605202417158278</v>
      </c>
      <c r="GM357" s="14">
        <v>0.49112426934690245</v>
      </c>
      <c r="GO357" s="5">
        <v>343.14810671672558</v>
      </c>
      <c r="GP357" s="5">
        <v>302.87425392274076</v>
      </c>
      <c r="GQ357" s="5">
        <v>535.04305713031317</v>
      </c>
      <c r="GR357" s="5">
        <v>410.15490233172511</v>
      </c>
      <c r="GS357" s="5">
        <v>339.42744393800166</v>
      </c>
      <c r="GT357" s="5">
        <v>293.4407446948278</v>
      </c>
      <c r="GU357" s="5">
        <v>258.04012322764959</v>
      </c>
      <c r="GV357" s="39" t="s">
        <v>392</v>
      </c>
      <c r="GW357" s="5">
        <v>482.65277777777777</v>
      </c>
      <c r="GX357" s="5">
        <v>361.98958333333331</v>
      </c>
      <c r="GY357" s="5">
        <v>289.59166666666664</v>
      </c>
      <c r="GZ357" s="5">
        <v>247.99130496280273</v>
      </c>
      <c r="HA357" s="5">
        <v>236.70336205047303</v>
      </c>
      <c r="HB357" s="39">
        <v>260.79762154197203</v>
      </c>
      <c r="HC357" s="5">
        <v>171.390625</v>
      </c>
      <c r="HD357" s="5">
        <v>160.70330774853798</v>
      </c>
      <c r="HE357" s="5">
        <v>167.52103997975706</v>
      </c>
      <c r="HF357" s="5">
        <v>159.65063048245611</v>
      </c>
      <c r="HG357" s="5">
        <v>159.85888157894735</v>
      </c>
      <c r="HH357" s="39">
        <v>161.71470975341239</v>
      </c>
      <c r="HI357" s="16"/>
      <c r="HJ357" s="19" t="str">
        <f t="shared" si="991"/>
        <v>On</v>
      </c>
      <c r="HK357" s="1" t="str">
        <f t="shared" si="991"/>
        <v>On</v>
      </c>
      <c r="HL357" s="16"/>
      <c r="HM357" s="639">
        <f t="shared" si="878"/>
        <v>2.2758057894877178E-2</v>
      </c>
      <c r="HN357" s="639">
        <f t="shared" si="879"/>
        <v>1.416759231746561E-3</v>
      </c>
      <c r="HO357" s="639">
        <f t="shared" si="880"/>
        <v>4.5732401537654987E-3</v>
      </c>
      <c r="HP357" s="644">
        <f>(FT357*$GD357-HM357)/$JF357*INDEX(Input!$1:$1048576,$JG$93,$C357*2+6)</f>
        <v>119.37238146955765</v>
      </c>
      <c r="HQ357" s="644">
        <f>(FU357*$GD357-HN357)/$JF357*INDEX(Input!$1:$1048576,$JG$93,$C357*2+6)</f>
        <v>4.2571962715460288</v>
      </c>
      <c r="HR357" s="644">
        <f>(FV357*$GD357-HO357)/$JF357*INDEX(Input!$1:$1048576,$JG$93,$C357*2+6)</f>
        <v>14.222618210039501</v>
      </c>
      <c r="HS357" s="644">
        <f t="shared" si="985"/>
        <v>-64.961103898921053</v>
      </c>
      <c r="HT357" s="644">
        <f t="shared" si="882"/>
        <v>50.817525870945971</v>
      </c>
      <c r="HU357" s="644">
        <f t="shared" si="883"/>
        <v>24.332997846604492</v>
      </c>
      <c r="HV357" s="648">
        <f t="shared" si="884"/>
        <v>0</v>
      </c>
      <c r="HW357" s="648">
        <f t="shared" si="885"/>
        <v>0</v>
      </c>
      <c r="HX357" s="648">
        <f t="shared" si="886"/>
        <v>0</v>
      </c>
      <c r="HY357" s="644">
        <f>INDEX(Input!$1:$1048576,HY$93,$C357*2+6)*INDEX(Input!$1:$1048576,$JG$93,$C357*2+6)</f>
        <v>509.00000000000006</v>
      </c>
      <c r="HZ357" s="644">
        <f>INDEX(Input!$1:$1048576,HZ$93,$C357*2+6)*INDEX(Input!$1:$1048576,$JG$93,$C357*2+6)</f>
        <v>844</v>
      </c>
      <c r="IA357" s="644">
        <f>INDEX(Input!$1:$1048576,IA$93,$C357*2+6)*INDEX(Input!$1:$1048576,$JG$93,$C357*2+6)</f>
        <v>257</v>
      </c>
      <c r="IB357" s="644">
        <f t="shared" si="910"/>
        <v>563.4112775706368</v>
      </c>
      <c r="IC357" s="644">
        <f t="shared" si="911"/>
        <v>899.07472214249196</v>
      </c>
      <c r="ID357" s="644">
        <f>IF(AND(INDEX(Input!$1:$1048576,IA$93,$C357*2+7)="TOS",Y357&lt;=INDEX(Y:Y,MATCH(C357*1000+2,A:A))),0,1)*MAX(IA357+HR357+HU357+HX357,0%)</f>
        <v>295.555616056644</v>
      </c>
      <c r="IE357" s="128">
        <f t="shared" si="990"/>
        <v>0.32047664430511369</v>
      </c>
      <c r="IF357" s="128">
        <f t="shared" si="977"/>
        <v>0.51140696220028037</v>
      </c>
      <c r="IG357" s="128">
        <f t="shared" si="888"/>
        <v>0.16811639349460597</v>
      </c>
      <c r="IH357" s="21"/>
      <c r="II357" s="19">
        <f t="shared" si="889"/>
        <v>1410.4999999999998</v>
      </c>
      <c r="IJ357" s="19">
        <f t="shared" si="890"/>
        <v>2134.9731585778086</v>
      </c>
      <c r="IK357" s="19">
        <f t="shared" si="891"/>
        <v>2103.5</v>
      </c>
      <c r="IL357" s="19">
        <f t="shared" si="913"/>
        <v>700.50000000000023</v>
      </c>
      <c r="IM357" s="19">
        <f t="shared" si="892"/>
        <v>517.33421462516844</v>
      </c>
      <c r="IN357" s="19">
        <f t="shared" si="893"/>
        <v>545.5</v>
      </c>
      <c r="IO357" s="39">
        <f t="shared" si="894"/>
        <v>0</v>
      </c>
      <c r="IP357" s="39">
        <f t="shared" si="895"/>
        <v>0</v>
      </c>
      <c r="IQ357" s="39">
        <f t="shared" si="896"/>
        <v>0</v>
      </c>
      <c r="IR357" s="39">
        <v>0</v>
      </c>
      <c r="IS357" s="39">
        <v>0</v>
      </c>
      <c r="IT357" s="39">
        <v>0</v>
      </c>
      <c r="IU357" s="39">
        <v>0</v>
      </c>
      <c r="IV357" s="39">
        <v>0</v>
      </c>
      <c r="IW357" s="39">
        <v>0</v>
      </c>
      <c r="IX357" s="39">
        <f>INDEX(Input!$1:$1048576,IX$93,$C357*2+6)+INDEX(Input!$1:$1048576,IX$94,$C357*2+6)</f>
        <v>1611</v>
      </c>
      <c r="IY357" s="39">
        <f>INDEX(Input!$1:$1048576,IY$93,$C357*2+6)+INDEX(Input!$1:$1048576,IY$94,$C357*2+6)</f>
        <v>2471.0624533823611</v>
      </c>
      <c r="IZ357" s="39">
        <f>INDEX(Input!$1:$1048576,IZ$93,$C357*2+6)+INDEX(Input!$1:$1048576,IZ$94,$C357*2+6)</f>
        <v>3994.7164157747857</v>
      </c>
      <c r="JA357" s="19">
        <f t="shared" si="914"/>
        <v>2311.5</v>
      </c>
      <c r="JB357" s="19">
        <f t="shared" si="915"/>
        <v>2988.3966680075296</v>
      </c>
      <c r="JC357" s="19">
        <f t="shared" si="916"/>
        <v>4540.2164157747857</v>
      </c>
      <c r="JD357" s="19">
        <f t="shared" si="917"/>
        <v>3032.3534346515044</v>
      </c>
      <c r="JE357" s="21"/>
      <c r="JF357" s="1">
        <f t="shared" si="897"/>
        <v>2.8748057280389237E-2</v>
      </c>
      <c r="JG357" s="15">
        <f>INDEX(Input!$1:$1048576,JG$93,$C357*2+6)/(1+VLOOKUP(C357*1000+INDEX(Input!$1:$1048576,JG$93+1,$C357*2+6),$A:$KK,$JK$92,FALSE))</f>
        <v>1610</v>
      </c>
      <c r="JH357" s="1">
        <f t="shared" si="918"/>
        <v>8.5622481957231794E-2</v>
      </c>
      <c r="JI357" s="1">
        <f t="shared" si="919"/>
        <v>6.3288321854841059E-3</v>
      </c>
      <c r="JJ357" s="1">
        <f t="shared" si="978"/>
        <v>0</v>
      </c>
      <c r="JK357" s="1">
        <f t="shared" si="979"/>
        <v>9.1951314142715901E-2</v>
      </c>
      <c r="JL357" s="15">
        <f t="shared" si="922"/>
        <v>148.04161576977259</v>
      </c>
      <c r="JM357" s="15">
        <f t="shared" si="948"/>
        <v>1758.0416157697725</v>
      </c>
      <c r="JN357" s="21"/>
      <c r="JO357" s="19">
        <f>INDEX(Input!$1:$1048576,JO$93,$C357*2+6)</f>
        <v>5995.5</v>
      </c>
      <c r="JP357" s="19">
        <f>INDEX(Input!$1:$1048576,JP$93,$C357*2+6)</f>
        <v>2442.3713226762939</v>
      </c>
      <c r="JQ357" s="39">
        <f t="shared" si="934"/>
        <v>2963.1465653484956</v>
      </c>
      <c r="JR357" s="39">
        <f t="shared" si="951"/>
        <v>589.9821119752105</v>
      </c>
      <c r="JS357" s="39">
        <f t="shared" si="936"/>
        <v>5.33100353183975</v>
      </c>
      <c r="JT357" s="39">
        <f t="shared" si="924"/>
        <v>1.3987857023309167</v>
      </c>
      <c r="JU357" s="385">
        <f>(JQ357*JM357-INDEX(Input!$1:$1048576,Input!A$18,$C357*2+6)*JL357*INDEX(Input!$1:$1048576,Input!A$19,$C357*2+6))/1000000</f>
        <v>5.2093349755079217</v>
      </c>
      <c r="JV357" s="39">
        <f t="shared" si="958"/>
        <v>-0.51120219498324548</v>
      </c>
      <c r="JW357" s="1">
        <f t="shared" si="949"/>
        <v>-8.9362620982559496E-2</v>
      </c>
      <c r="JX357" s="19">
        <f t="shared" si="940"/>
        <v>9448.5979165901772</v>
      </c>
      <c r="JZ357" s="341"/>
      <c r="KA357" s="342"/>
      <c r="KB357" s="469">
        <f t="shared" si="937"/>
        <v>2.5190675447988795</v>
      </c>
      <c r="KI357" s="473">
        <f t="shared" si="987"/>
        <v>54.411277570636742</v>
      </c>
      <c r="KJ357" s="473">
        <f t="shared" si="988"/>
        <v>55.074722142491851</v>
      </c>
      <c r="KK357" s="473">
        <f t="shared" si="926"/>
        <v>38.555616056643942</v>
      </c>
      <c r="KN357" s="544">
        <f t="shared" si="941"/>
        <v>3002</v>
      </c>
      <c r="KO357" s="541">
        <f t="shared" si="901"/>
        <v>5.9615666392833333E-2</v>
      </c>
      <c r="KP357" s="546">
        <f t="shared" si="902"/>
        <v>382.76659124378943</v>
      </c>
      <c r="KQ357" s="546">
        <f t="shared" si="903"/>
        <v>396.44000926280614</v>
      </c>
      <c r="KR357" s="548">
        <f t="shared" si="904"/>
        <v>2.7021098003656885</v>
      </c>
      <c r="KS357" s="548">
        <f t="shared" si="905"/>
        <v>2.608912655853493</v>
      </c>
      <c r="KT357" s="473">
        <f t="shared" si="939"/>
        <v>1026.1618045255443</v>
      </c>
      <c r="KU357" s="663">
        <f t="shared" si="927"/>
        <v>4.700602443063663</v>
      </c>
      <c r="KV357" s="117"/>
    </row>
    <row r="358" spans="1:308" s="26" customFormat="1" ht="15" outlineLevel="1">
      <c r="A358" s="561">
        <f t="shared" si="906"/>
        <v>3058</v>
      </c>
      <c r="B358" s="561">
        <f t="shared" si="928"/>
        <v>58</v>
      </c>
      <c r="C358" s="561">
        <f t="shared" si="929"/>
        <v>3</v>
      </c>
      <c r="D358" s="561" t="str">
        <f t="shared" si="974"/>
        <v xml:space="preserve">1000 CC, 0/0/0.9/3.9, 360 Lease, </v>
      </c>
      <c r="E358" s="475">
        <f>INDEX(Input!$1:$1048576,E$93,$C358*2+MIN($B358,2)+5)
+INDEX(Scenarios!E$121:E$200,MATCH($B358,Scenarios!$B$121:$B$200,0))</f>
        <v>2287.0236024844721</v>
      </c>
      <c r="F358" s="475">
        <f>INDEX(Input!$1:$1048576,F$93,$C358*2+MIN($B358,2)+5)
+INDEX(Scenarios!F$121:F$200,MATCH($B358,Scenarios!$B$121:$B$200,0))</f>
        <v>0</v>
      </c>
      <c r="G358" s="475">
        <f>INDEX(Input!$1:$1048576,G$93,$C358*2+MIN($B358,2)+5)
+INDEX(Scenarios!G$121:G$200,MATCH($B358,Scenarios!$B$121:$B$200,0))</f>
        <v>0</v>
      </c>
      <c r="H358" s="475">
        <f>INDEX(Input!$1:$1048576,H$93,$C358*2+MIN($B358,2)+5)
+INDEX(Scenarios!H$121:H$200,MATCH($B358,Scenarios!$B$121:$B$200,0))</f>
        <v>0</v>
      </c>
      <c r="I358" s="476">
        <f>INDEX(Input!$1:$1048576,I$93,$C358*2+MIN($B358,2)+5)</f>
        <v>0.7</v>
      </c>
      <c r="J358" s="476" t="str">
        <f>INDEX(Input!$1:$1048576,J$93,$C358*2+MIN($B358,2)+5)</f>
        <v>Market</v>
      </c>
      <c r="K358" s="476" t="str">
        <f>INDEX(Input!$1:$1048576,K$93,$C358*2+MIN($B358,2)+5)</f>
        <v>Market</v>
      </c>
      <c r="L358" s="476" t="str">
        <f>INDEX(Input!$1:$1048576,L$93,$C358*2+MIN($B358,2)+5)</f>
        <v>Market</v>
      </c>
      <c r="M358" s="476" t="str">
        <f>INDEX(Input!$1:$1048576,M$93,$C358*2+MIN($B358,2)+5)</f>
        <v>Market</v>
      </c>
      <c r="N358" s="476" t="str">
        <f>INDEX(Input!$1:$1048576,N$93,$C358*2+MIN($B358,2)+5)</f>
        <v>Market</v>
      </c>
      <c r="O358" s="476" t="str">
        <f>INDEX(Input!$1:$1048576,O$93,$C358*2+MIN($B358,2)+5)</f>
        <v>Market</v>
      </c>
      <c r="P358" s="476" t="str">
        <f>INDEX(Input!$1:$1048576,P$93,$C358*2+MIN($B358,2)+5)</f>
        <v>N</v>
      </c>
      <c r="Q358" s="477">
        <f>INDEX(Input!$1:$1048576,Q$93,$C358*2+MIN($B358,2)+5)
+INDEX(Scenarios!Q$121:Q$200,MATCH($B358,Scenarios!$B$121:$B$200,0))</f>
        <v>0</v>
      </c>
      <c r="R358" s="478">
        <f>IFERROR(MAX(0,INDEX(Input!$1:$1048576,R$93,$C358*2+MIN($B358,2)+5)
+INDEX(Scenarios!R$121:R$200,MATCH($B358,Scenarios!$B$121:$B$200,0)),),"Market")</f>
        <v>0</v>
      </c>
      <c r="S358" s="478">
        <f>IFERROR(MAX(0,INDEX(Input!$1:$1048576,S$93,$C358*2+MIN($B358,2)+5)
+INDEX(Scenarios!S$121:S$200,MATCH($B358,Scenarios!$B$121:$B$200,0)),),"Market")</f>
        <v>0</v>
      </c>
      <c r="T358" s="478">
        <f>IFERROR(MAX(0,INDEX(Input!$1:$1048576,T$93,$C358*2+MIN($B358,2)+5)
+INDEX(Scenarios!T$121:T$200,MATCH($B358,Scenarios!$B$121:$B$200,0)),),"Market")</f>
        <v>0</v>
      </c>
      <c r="U358" s="478">
        <f>IFERROR(MAX(0,INDEX(Input!$1:$1048576,U$93,$C358*2+MIN($B358,2)+5)
+INDEX(Scenarios!U$121:U$200,MATCH($B358,Scenarios!$B$121:$B$200,0)),),"Market")</f>
        <v>0</v>
      </c>
      <c r="V358" s="478">
        <f>IFERROR(MAX(0,INDEX(Input!$1:$1048576,V$93,$C358*2+MIN($B358,2)+5)
+INDEX(Scenarios!V$121:V$200,MATCH($B358,Scenarios!$B$121:$B$200,0)),),"Market")</f>
        <v>8.9999999999999993E-3</v>
      </c>
      <c r="W358" s="885">
        <f>IFERROR(MAX(0,INDEX(Input!$1:$1048576,W$93,$C358*2+MIN($B358,2)+5)-0%,),"Market")</f>
        <v>3.9E-2</v>
      </c>
      <c r="X358" s="476" t="str">
        <f>INDEX(Input!$1:$1048576,X$93,$C358*2+MIN($B358,2)+5)</f>
        <v>Y</v>
      </c>
      <c r="Y358" s="475">
        <f>INDEX(Input!$1:$1048576,Y$93,$C358*2+MIN($B358,2)+5)
++INDEX(Scenarios!Y$121:Y$200,MATCH($B358,Scenarios!$B$121:$B$200,0))</f>
        <v>1914.9999999999991</v>
      </c>
      <c r="Z358" s="477">
        <f>INDEX(Input!$1:$1048576,Z$93,$C358*2+MIN($B358,2)+5)
+INDEX(Scenarios!Z$121:Z$200,MATCH($B358,Scenarios!$B$121:$B$200,0))</f>
        <v>0</v>
      </c>
      <c r="AA358" s="475">
        <f>INDEX(Input!$1:$1048576,AA$93,$C358*2+MIN($B358,2)+5)
+INDEX(Scenarios!AA$121:AA$200,MATCH($B358,Scenarios!$B$121:$B$200,0))</f>
        <v>0</v>
      </c>
      <c r="AB358" s="476">
        <f>INDEX(Input!$1:$1048576,AB$93,$C358*2+MIN($B358,2)+5)</f>
        <v>0.27</v>
      </c>
      <c r="AC358" s="475">
        <f>INDEX(Input!$1:$1048576,AC$93,$C358*2+MIN($B358,2)+5)
+INDEX(Scenarios!AC$121:AC$200,MATCH($B358,Scenarios!$B$121:$B$200,0))</f>
        <v>0</v>
      </c>
      <c r="AD358" s="476">
        <f>INDEX(Input!$1:$1048576,AD$93,$C358*2+MIN($B358,2)+5)</f>
        <v>0.27</v>
      </c>
      <c r="AE358" s="475">
        <f>INDEX(Input!$1:$1048576,AE$93,$C358*2+MIN($B358,2)+5)
+INDEX(Scenarios!AE$121:AE$200,MATCH($B358,Scenarios!$B$121:$B$200,0))</f>
        <v>0</v>
      </c>
      <c r="AF358" s="476">
        <f>INDEX(Input!$1:$1048576,AF$93,$C358*2+MIN($B358,2)+5)</f>
        <v>0.68200000000000005</v>
      </c>
      <c r="AG358" s="475">
        <f>INDEX(Input!$1:$1048576,AG$93,$C358*2+MIN($B358,2)+5)
+INDEX(Scenarios!AG$121:AG$200,MATCH($B358,Scenarios!$B$121:$B$200,0))</f>
        <v>500</v>
      </c>
      <c r="AH358" s="476">
        <f>INDEX(Input!$1:$1048576,AH$93,$C358*2+MIN($B358,2)+5)</f>
        <v>1</v>
      </c>
      <c r="AI358" s="475">
        <f>INDEX(Input!$1:$1048576,AI$93,$C358*2+MIN($B358,2)+5)
+INDEX(Scenarios!AI$121:AI$200,MATCH($B358,Scenarios!$B$121:$B$200,0))</f>
        <v>0</v>
      </c>
      <c r="AJ358" s="476">
        <f>INDEX(Input!$1:$1048576,AJ$93,$C358*2+MIN($B358,2)+5)</f>
        <v>0.27</v>
      </c>
      <c r="AK358" s="150">
        <f>ROUND(INDEX(Input!$1:$1048576,AK$93,$C357*2+MIN($B358,1)+5)+(Y358-VLOOKUP($C358*1000+1,$A:$HH,Y$92,FALSE)),0)</f>
        <v>3337</v>
      </c>
      <c r="AL358" s="150">
        <f>ROUND(INDEX(Input!$1:$1048576,AL$93,$C357*2+MIN($B358,1)+5)-(Y358-VLOOKUP($C358*1000+1,$A:$HH,Y$92,FALSE))/36,0)</f>
        <v>3385</v>
      </c>
      <c r="AM358" s="32" t="str">
        <f t="shared" si="907"/>
        <v>std/std/std/std</v>
      </c>
      <c r="AN358" s="32" t="str">
        <f t="shared" si="908"/>
        <v>$0 + 0/0/0/0.9/3.9</v>
      </c>
      <c r="AO358" s="32" t="str">
        <f t="shared" si="909"/>
        <v>0/0/0/0.9/3.9</v>
      </c>
      <c r="AP358" s="32" t="str">
        <f t="shared" ref="AP358:AP421" si="993">IF(X358="Y",
IF(U358="market","std",ROUND(U358*1000,0)/10)&amp;"/"
&amp;MAX(IF(V358="market","std",ROUND(V358*1000,0)/10-1),0)&amp;"/"
&amp;IF(V358="market","std",ROUND(V358*1000,0)/10)&amp;"/"
&amp;IF(W358="market","std",ROUND(W358*1000,0)/10),
IF(U358="market","std",ROUND(U358*1000,0)/10)&amp;"/"
&amp;MAX(IF(V358="market","std",ROUND(V358*1000,0)/10-1),0)&amp;"/"
&amp;IF(V358="market","std",ROUND(V358*1000,0)/10)&amp;"/"
&amp;IF(W358="market","std",ROUND(W358*1000,0)/10))</f>
        <v>0/0/0.9/3.9</v>
      </c>
      <c r="AQ358" s="536">
        <f t="shared" si="992"/>
        <v>0.36742307366970334</v>
      </c>
      <c r="AR358" s="32"/>
      <c r="AS358" s="302"/>
      <c r="AT358" s="3">
        <f t="shared" si="930"/>
        <v>58</v>
      </c>
      <c r="AU358" s="41" t="s">
        <v>121</v>
      </c>
      <c r="AV358" s="41" t="s">
        <v>116</v>
      </c>
      <c r="AW358" s="41" t="str">
        <f>INDEX(Input!$1:$1048576,AW$93,$C358*2+6)</f>
        <v>Kia</v>
      </c>
      <c r="AX358" s="41" t="str">
        <f>INDEX(Input!$1:$1048576,AX$93,$C358*2+6)</f>
        <v>Kia-LR - L3</v>
      </c>
      <c r="AY358" s="41" t="str">
        <f>IF(LEN(D358)=0,"",INDEX(Input!$1:$1048576,AY$93,$C358*2+6))</f>
        <v>Compact SUV (52)</v>
      </c>
      <c r="AZ358" s="41" t="str">
        <f>INDEX(Input!$1:$1048576,AZ$93,$C358*2+6)</f>
        <v>Kia Soul</v>
      </c>
      <c r="BA358" s="3">
        <f>INDEX(Input!$1:$1048576,BA$93,$C358*2+6)</f>
        <v>2020</v>
      </c>
      <c r="BB358" s="128">
        <f>INDEX(Input!$1:$1048576,BB$93,$C358*2+6)</f>
        <v>1</v>
      </c>
      <c r="BC358" s="128">
        <f>INDEX(Input!$1:$1048576,BC$93,$C358*2+6)</f>
        <v>0.7</v>
      </c>
      <c r="BD358" s="1">
        <f>INDEX(Input!$1:$1048576,BD$93,$C358*2+6)</f>
        <v>4.4999999999999998E-2</v>
      </c>
      <c r="BE358" s="1">
        <f>INDEX(Input!$1:$1048576,BE$93,$C358*2+6)</f>
        <v>4.4999999999999998E-2</v>
      </c>
      <c r="BF358" s="1">
        <f>INDEX(Input!$1:$1048576,BF$93,$C358*2+6)</f>
        <v>0.05</v>
      </c>
      <c r="BG358" s="1">
        <f>INDEX(Input!$1:$1048576,BG$93,$C358*2+6)</f>
        <v>5.45E-2</v>
      </c>
      <c r="BH358" s="1">
        <f>INDEX(Input!$1:$1048576,BH$93,$C358*2+6)</f>
        <v>5.45E-2</v>
      </c>
      <c r="BI358" s="1">
        <f>INDEX(Input!$1:$1048576,BI$93,$C358*2+6)</f>
        <v>0.05</v>
      </c>
      <c r="BJ358" s="1">
        <f>INDEX(Input!$1:$1048576,BJ$93,$C358*2+6)</f>
        <v>0.05</v>
      </c>
      <c r="BK358" s="1">
        <f>INDEX(Input!$1:$1048576,BK$93,$C358*2+6)</f>
        <v>0.05</v>
      </c>
      <c r="BL358" s="1">
        <f>INDEX(Input!$1:$1048576,BL$93,$C358*2+6)</f>
        <v>5.5E-2</v>
      </c>
      <c r="BM358" s="1">
        <f>INDEX(Input!$1:$1048576,BM$93,$C358*2+6)</f>
        <v>0.06</v>
      </c>
      <c r="BN358" s="1">
        <f>INDEX(Input!$1:$1048576,BN$93,$C358*2+6)</f>
        <v>4.4999999999999998E-2</v>
      </c>
      <c r="BO358" s="1">
        <f>INDEX(Input!$1:$1048576,BO$93,$C358*2+6)</f>
        <v>4.4999999999999998E-2</v>
      </c>
      <c r="BP358" s="1">
        <f>INDEX(Input!$1:$1048576,BP$93,$C358*2+6)</f>
        <v>0.05</v>
      </c>
      <c r="BQ358" s="1">
        <f>INDEX(Input!$1:$1048576,BQ$93,$C358*2+6)</f>
        <v>5.45E-2</v>
      </c>
      <c r="BR358" s="1">
        <f>INDEX(Input!$1:$1048576,BR$93,$C358*2+6)</f>
        <v>5.45E-2</v>
      </c>
      <c r="BS358" s="1">
        <f>INDEX(Input!$1:$1048576,BS$93,$C358*2+6)</f>
        <v>0.05</v>
      </c>
      <c r="BT358" s="1">
        <f>INDEX(Input!$1:$1048576,BT$93,$C358*2+6)</f>
        <v>0.05</v>
      </c>
      <c r="BU358" s="1">
        <f>INDEX(Input!$1:$1048576,BU$93,$C358*2+6)</f>
        <v>0.05</v>
      </c>
      <c r="BV358" s="1">
        <f>INDEX(Input!$1:$1048576,BV$93,$C358*2+6)</f>
        <v>5.5E-2</v>
      </c>
      <c r="BW358" s="1">
        <f>INDEX(Input!$1:$1048576,BW$93,$C358*2+6)</f>
        <v>0.06</v>
      </c>
      <c r="BX358" s="127">
        <f>INDEX(Input!$1:$1048576,BX$93,$C358*2+6)</f>
        <v>19985</v>
      </c>
      <c r="BY358" s="20">
        <f>INDEX(Input!$1:$1048576,BY$93,$C358*2+6)</f>
        <v>0.1</v>
      </c>
      <c r="BZ358" s="20">
        <f>INDEX(Input!$1:$1048576,BZ$93,$C358*2+6)</f>
        <v>0.1</v>
      </c>
      <c r="CA358" s="20">
        <f>INDEX(Input!$1:$1048576,CA$93,$C358*2+6)</f>
        <v>0.1</v>
      </c>
      <c r="CB358" s="20">
        <f>INDEX(Input!$1:$1048576,CB$93,$C358*2+6)</f>
        <v>0.1</v>
      </c>
      <c r="CC358" s="20">
        <f>INDEX(Input!$1:$1048576,CC$93,$C358*2+6)</f>
        <v>0.1</v>
      </c>
      <c r="CD358" s="384">
        <f>INDEX(Input!$1:$1048576,CD$93,$C358*2+6)</f>
        <v>0.1</v>
      </c>
      <c r="CE358" s="384">
        <f>INDEX(Input!$1:$1048576,CE$93,$C358*2+6)</f>
        <v>0.1</v>
      </c>
      <c r="CF358" s="384">
        <f>INDEX(Input!$1:$1048576,CF$93,$C358*2+6)</f>
        <v>0.1</v>
      </c>
      <c r="CG358" s="384">
        <f>INDEX(Input!$1:$1048576,CG$93,$C358*2+6)</f>
        <v>0.1</v>
      </c>
      <c r="CH358" s="384">
        <f>INDEX(Input!$1:$1048576,CH$93,$C358*2+6)</f>
        <v>0.1</v>
      </c>
      <c r="CI358" s="304">
        <f t="shared" ref="CI358:CI421" si="994">E358+F358*I358+AA358*AB358</f>
        <v>2287.0236024844721</v>
      </c>
      <c r="CJ358" s="16" t="str">
        <f>INDEX(Input!$1:$1048576,CJ$93,$C358*2+6)</f>
        <v>N</v>
      </c>
      <c r="CK358" s="1" t="str">
        <f t="shared" ref="CK358:CK421" si="995">K358</f>
        <v>Market</v>
      </c>
      <c r="CL358" s="1" t="str">
        <f t="shared" ref="CL358:CL421" si="996">L358</f>
        <v>Market</v>
      </c>
      <c r="CM358" s="1" t="str">
        <f t="shared" ref="CM358:CM421" si="997">M358</f>
        <v>Market</v>
      </c>
      <c r="CN358" s="1" t="str">
        <f t="shared" ref="CN358:CN421" si="998">N358</f>
        <v>Market</v>
      </c>
      <c r="CO358" s="1" t="str">
        <f t="shared" ref="CO358:CO421" si="999">O358</f>
        <v>Market</v>
      </c>
      <c r="CP358" s="304">
        <f t="shared" ref="CP358:CP421" si="1000">Q358+G358*I358+AG358*AH358</f>
        <v>500</v>
      </c>
      <c r="CQ358" s="1">
        <f t="shared" ref="CQ358:CQ421" si="1001">S358</f>
        <v>0</v>
      </c>
      <c r="CR358" s="1">
        <f t="shared" ref="CR358:CR421" si="1002">T358</f>
        <v>0</v>
      </c>
      <c r="CS358" s="1">
        <f t="shared" ref="CS358:CS421" si="1003">U358</f>
        <v>0</v>
      </c>
      <c r="CT358" s="1">
        <f t="shared" ref="CT358:CT421" si="1004">V358</f>
        <v>8.9999999999999993E-3</v>
      </c>
      <c r="CU358" s="1">
        <f t="shared" ref="CU358:CU421" si="1005">W358</f>
        <v>3.9E-2</v>
      </c>
      <c r="CV358" s="304">
        <f t="shared" ref="CV358:CV421" si="1006">Y358+H358*I358+AC358*AD358</f>
        <v>1914.9999999999991</v>
      </c>
      <c r="CW358" s="20" t="s">
        <v>122</v>
      </c>
      <c r="CX358" s="20" t="s">
        <v>122</v>
      </c>
      <c r="CY358" s="20" t="s">
        <v>122</v>
      </c>
      <c r="CZ358" s="20" t="s">
        <v>122</v>
      </c>
      <c r="DA358" s="20" t="s">
        <v>122</v>
      </c>
      <c r="DB358" s="503">
        <f t="shared" ref="DB358:DB421" si="1007">Z358+AE358*AF358</f>
        <v>0</v>
      </c>
      <c r="DC358" s="127">
        <v>0</v>
      </c>
      <c r="DD358" s="127">
        <v>0</v>
      </c>
      <c r="DE358" s="127">
        <v>0</v>
      </c>
      <c r="DF358" s="127">
        <v>0</v>
      </c>
      <c r="DG358" s="127">
        <v>0</v>
      </c>
      <c r="DH358" s="127">
        <v>0</v>
      </c>
      <c r="DI358" s="127">
        <v>0</v>
      </c>
      <c r="DJ358" s="127">
        <v>0</v>
      </c>
      <c r="DK358" s="127">
        <v>0</v>
      </c>
      <c r="DL358" s="127">
        <v>0</v>
      </c>
      <c r="DM358" s="304">
        <f>INDEX(Input!$1:$1048576,DM$93,$C358*2+6)</f>
        <v>21036.84210526316</v>
      </c>
      <c r="DN358" s="20">
        <v>0</v>
      </c>
      <c r="DO358" s="20">
        <v>0</v>
      </c>
      <c r="DP358" s="20">
        <v>0</v>
      </c>
      <c r="DQ358" s="20">
        <v>0</v>
      </c>
      <c r="DR358" s="20">
        <v>0</v>
      </c>
      <c r="DS358" s="20">
        <f>INDEX(Input!$1:$1048576,DS$93,$C358*2+6)</f>
        <v>0.6</v>
      </c>
      <c r="DT358" s="20">
        <f>INDEX(Input!$1:$1048576,DT$93,$C358*2+6)</f>
        <v>0.55000000000000004</v>
      </c>
      <c r="DU358" s="20">
        <f>INDEX(Input!$1:$1048576,DU$93,$C358*2+6)</f>
        <v>0.52</v>
      </c>
      <c r="DV358" s="20">
        <f>INDEX(Input!$1:$1048576,DV$93,$C358*2+6)</f>
        <v>0.5</v>
      </c>
      <c r="DW358" s="20">
        <f>INDEX(Input!$1:$1048576,DW$93,$C358*2+6)</f>
        <v>0.45</v>
      </c>
      <c r="DX358" s="20"/>
      <c r="DY358" s="7">
        <v>0.1159401407859392</v>
      </c>
      <c r="DZ358" s="7">
        <v>0</v>
      </c>
      <c r="EA358" s="7">
        <v>0.72196352284928478</v>
      </c>
      <c r="EB358" s="7">
        <v>0</v>
      </c>
      <c r="EC358" s="7">
        <v>0</v>
      </c>
      <c r="ED358" s="7">
        <v>0</v>
      </c>
      <c r="EE358" s="7">
        <v>0</v>
      </c>
      <c r="EF358" s="7">
        <v>0</v>
      </c>
      <c r="EG358" s="7">
        <v>0</v>
      </c>
      <c r="EH358" s="7">
        <v>9.4348794184793208E-3</v>
      </c>
      <c r="EI358" s="7">
        <v>2.6419670732519981E-2</v>
      </c>
      <c r="EJ358" s="7">
        <v>0.21275623281818887</v>
      </c>
      <c r="EK358" s="7">
        <v>0.64027321456931696</v>
      </c>
      <c r="EL358" s="7">
        <v>0.1111160024614949</v>
      </c>
      <c r="EM358" s="7">
        <v>3.8327692063858915E-2</v>
      </c>
      <c r="EN358" s="7">
        <v>6.4667916433645903E-2</v>
      </c>
      <c r="EO358" s="7">
        <v>0.79126802644479877</v>
      </c>
      <c r="EP358" s="7">
        <v>5.9179340995732931E-2</v>
      </c>
      <c r="EQ358" s="7">
        <v>5.5188449447166742E-2</v>
      </c>
      <c r="ER358" s="7">
        <v>2.9696266678655596E-2</v>
      </c>
      <c r="ES358" s="7">
        <v>0.12376864430091715</v>
      </c>
      <c r="ET358" s="7">
        <v>0.16209633636477611</v>
      </c>
      <c r="EU358" s="6">
        <v>2611</v>
      </c>
      <c r="EV358" s="6">
        <v>0</v>
      </c>
      <c r="EW358" s="6">
        <v>2611</v>
      </c>
      <c r="EX358" s="6">
        <v>0</v>
      </c>
      <c r="EY358" s="6">
        <v>2652.4019795850163</v>
      </c>
      <c r="EZ358" s="6">
        <v>2649</v>
      </c>
      <c r="FA358" s="6">
        <v>0</v>
      </c>
      <c r="FB358" s="6">
        <v>0</v>
      </c>
      <c r="FC358" s="6">
        <v>0</v>
      </c>
      <c r="FD358" s="6">
        <v>0</v>
      </c>
      <c r="FE358" s="6">
        <v>0</v>
      </c>
      <c r="FF358" s="6">
        <v>0</v>
      </c>
      <c r="FG358" s="6">
        <v>0</v>
      </c>
      <c r="FH358" s="6">
        <v>1172.0082095086445</v>
      </c>
      <c r="FI358" s="6">
        <v>1553.9796069512395</v>
      </c>
      <c r="FJ358" s="6">
        <v>2101.2110117447405</v>
      </c>
      <c r="FK358" s="6">
        <v>2251.3078348034674</v>
      </c>
      <c r="FL358" s="6">
        <v>907.0768214096629</v>
      </c>
      <c r="FM358" s="6">
        <v>2041.4019795850163</v>
      </c>
      <c r="FN358" s="6">
        <v>0</v>
      </c>
      <c r="FO358" s="6">
        <v>0</v>
      </c>
      <c r="FP358" s="6">
        <v>0</v>
      </c>
      <c r="FQ358" s="6">
        <v>0</v>
      </c>
      <c r="FR358" s="6">
        <v>0</v>
      </c>
      <c r="FS358" s="6">
        <v>0</v>
      </c>
      <c r="FT358" s="7">
        <v>0.83790366363522395</v>
      </c>
      <c r="FU358" s="7">
        <v>3.8327692063858915E-2</v>
      </c>
      <c r="FV358" s="7">
        <v>0.12376864430091715</v>
      </c>
      <c r="FW358" s="6">
        <v>2611</v>
      </c>
      <c r="FX358" s="6">
        <v>2652.4019795850163</v>
      </c>
      <c r="FY358" s="6">
        <v>2649</v>
      </c>
      <c r="FZ358" s="6">
        <v>1858.9243755539039</v>
      </c>
      <c r="GA358" s="6">
        <v>2617.2900508078037</v>
      </c>
      <c r="GB358" s="6">
        <v>17367.709949192198</v>
      </c>
      <c r="GC358" s="7">
        <v>2.9156573141622111E-2</v>
      </c>
      <c r="GD358" s="7">
        <v>3.2764666489562111E-2</v>
      </c>
      <c r="GE358" s="7"/>
      <c r="GF358" s="7"/>
      <c r="GG358" s="7">
        <v>0.1237488826418119</v>
      </c>
      <c r="GH358" s="42">
        <v>3.2611199323711655</v>
      </c>
      <c r="GI358" s="6">
        <v>8745.5528606545031</v>
      </c>
      <c r="GJ358" s="14">
        <v>0.50394797582841722</v>
      </c>
      <c r="GK358" s="14">
        <v>0.50887573065309766</v>
      </c>
      <c r="GL358" s="14">
        <v>0.49605202417158295</v>
      </c>
      <c r="GM358" s="14">
        <v>0.49112426934690262</v>
      </c>
      <c r="GO358" s="5">
        <v>343.14810671672558</v>
      </c>
      <c r="GP358" s="5">
        <v>293.33520778489498</v>
      </c>
      <c r="GQ358" s="5">
        <v>535.04305713031317</v>
      </c>
      <c r="GR358" s="5">
        <v>410.15490233172511</v>
      </c>
      <c r="GS358" s="5">
        <v>339.42744393800166</v>
      </c>
      <c r="GT358" s="5">
        <v>293.4407446948278</v>
      </c>
      <c r="GU358" s="5">
        <v>258.04012322764959</v>
      </c>
      <c r="GV358" s="39" t="s">
        <v>392</v>
      </c>
      <c r="GW358" s="5">
        <v>482.65277777777777</v>
      </c>
      <c r="GX358" s="5">
        <v>361.98958333333331</v>
      </c>
      <c r="GY358" s="5">
        <v>289.59166666666664</v>
      </c>
      <c r="GZ358" s="5">
        <v>247.99130496280273</v>
      </c>
      <c r="HA358" s="5">
        <v>236.70336205047303</v>
      </c>
      <c r="HB358" s="39">
        <v>260.81356978915488</v>
      </c>
      <c r="HC358" s="5">
        <v>171.390625</v>
      </c>
      <c r="HD358" s="5">
        <v>160.70330774853798</v>
      </c>
      <c r="HE358" s="5">
        <v>167.52103997975706</v>
      </c>
      <c r="HF358" s="5">
        <v>159.65063048245611</v>
      </c>
      <c r="HG358" s="5">
        <v>159.85888157894735</v>
      </c>
      <c r="HH358" s="39">
        <v>161.71473125717836</v>
      </c>
      <c r="HI358" s="16"/>
      <c r="HJ358" s="19" t="str">
        <f t="shared" si="991"/>
        <v>On</v>
      </c>
      <c r="HK358" s="1" t="str">
        <f t="shared" si="991"/>
        <v>On</v>
      </c>
      <c r="HL358" s="16"/>
      <c r="HM358" s="639">
        <f t="shared" si="878"/>
        <v>2.2758057894877178E-2</v>
      </c>
      <c r="HN358" s="639">
        <f t="shared" si="879"/>
        <v>1.416759231746561E-3</v>
      </c>
      <c r="HO358" s="639">
        <f t="shared" si="880"/>
        <v>4.5732401537654987E-3</v>
      </c>
      <c r="HP358" s="644">
        <f>(FT358*$GD358-HM358)/$JF358*INDEX(Input!$1:$1048576,$JG$93,$C358*2+6)</f>
        <v>262.97003652915498</v>
      </c>
      <c r="HQ358" s="644">
        <f>(FU358*$GD358-HN358)/$JF358*INDEX(Input!$1:$1048576,$JG$93,$C358*2+6)</f>
        <v>-9.0146594480218951</v>
      </c>
      <c r="HR358" s="644">
        <f>(FV358*$GD358-HO358)/$JF358*INDEX(Input!$1:$1048576,$JG$93,$C358*2+6)</f>
        <v>-29.010061170006317</v>
      </c>
      <c r="HS358" s="644">
        <f t="shared" si="985"/>
        <v>-110.89960595072313</v>
      </c>
      <c r="HT358" s="644">
        <f t="shared" si="882"/>
        <v>42.698722627895236</v>
      </c>
      <c r="HU358" s="644">
        <f t="shared" si="883"/>
        <v>32.46328720968053</v>
      </c>
      <c r="HV358" s="648">
        <f t="shared" si="884"/>
        <v>0</v>
      </c>
      <c r="HW358" s="648">
        <f t="shared" si="885"/>
        <v>0</v>
      </c>
      <c r="HX358" s="648">
        <f t="shared" si="886"/>
        <v>0</v>
      </c>
      <c r="HY358" s="644">
        <f>INDEX(Input!$1:$1048576,HY$93,$C358*2+6)*INDEX(Input!$1:$1048576,$JG$93,$C358*2+6)</f>
        <v>509.00000000000006</v>
      </c>
      <c r="HZ358" s="644">
        <f>INDEX(Input!$1:$1048576,HZ$93,$C358*2+6)*INDEX(Input!$1:$1048576,$JG$93,$C358*2+6)</f>
        <v>844</v>
      </c>
      <c r="IA358" s="644">
        <f>INDEX(Input!$1:$1048576,IA$93,$C358*2+6)*INDEX(Input!$1:$1048576,$JG$93,$C358*2+6)</f>
        <v>257</v>
      </c>
      <c r="IB358" s="644">
        <f t="shared" si="910"/>
        <v>661.07043057843202</v>
      </c>
      <c r="IC358" s="644">
        <f t="shared" si="911"/>
        <v>877.68406317987331</v>
      </c>
      <c r="ID358" s="644">
        <f>IF(AND(INDEX(Input!$1:$1048576,IA$93,$C358*2+7)="TOS",Y358&lt;=INDEX(Y:Y,MATCH(C358*1000+2,A:A))),0,1)*MAX(IA358+HR358+HU358+HX358,0%)</f>
        <v>260.45322603967423</v>
      </c>
      <c r="IE358" s="128">
        <f t="shared" si="990"/>
        <v>0.36742307366970334</v>
      </c>
      <c r="IF358" s="128">
        <f t="shared" si="977"/>
        <v>0.4878169727275416</v>
      </c>
      <c r="IG358" s="128">
        <f t="shared" si="888"/>
        <v>0.14475995360275506</v>
      </c>
      <c r="IH358" s="21"/>
      <c r="II358" s="19">
        <f t="shared" si="889"/>
        <v>1410.4999999999998</v>
      </c>
      <c r="IJ358" s="19">
        <f t="shared" si="890"/>
        <v>2134.9731585778086</v>
      </c>
      <c r="IK358" s="19">
        <f t="shared" si="891"/>
        <v>2103.5</v>
      </c>
      <c r="IL358" s="19">
        <f t="shared" si="913"/>
        <v>1200.5000000000002</v>
      </c>
      <c r="IM358" s="19">
        <f t="shared" si="892"/>
        <v>517.42882100720772</v>
      </c>
      <c r="IN358" s="19">
        <f t="shared" si="893"/>
        <v>545.5</v>
      </c>
      <c r="IO358" s="39">
        <f t="shared" si="894"/>
        <v>0</v>
      </c>
      <c r="IP358" s="39">
        <f t="shared" si="895"/>
        <v>0</v>
      </c>
      <c r="IQ358" s="39">
        <f t="shared" si="896"/>
        <v>0</v>
      </c>
      <c r="IR358" s="39">
        <v>0</v>
      </c>
      <c r="IS358" s="39">
        <v>0</v>
      </c>
      <c r="IT358" s="39">
        <v>0</v>
      </c>
      <c r="IU358" s="39">
        <v>0</v>
      </c>
      <c r="IV358" s="39">
        <v>0</v>
      </c>
      <c r="IW358" s="39">
        <v>0</v>
      </c>
      <c r="IX358" s="39">
        <f>INDEX(Input!$1:$1048576,IX$93,$C358*2+6)+INDEX(Input!$1:$1048576,IX$94,$C358*2+6)</f>
        <v>1611</v>
      </c>
      <c r="IY358" s="39">
        <f>INDEX(Input!$1:$1048576,IY$93,$C358*2+6)+INDEX(Input!$1:$1048576,IY$94,$C358*2+6)</f>
        <v>2471.0624533823611</v>
      </c>
      <c r="IZ358" s="39">
        <f>INDEX(Input!$1:$1048576,IZ$93,$C358*2+6)+INDEX(Input!$1:$1048576,IZ$94,$C358*2+6)</f>
        <v>3994.7164157747857</v>
      </c>
      <c r="JA358" s="19">
        <f t="shared" si="914"/>
        <v>2811.5</v>
      </c>
      <c r="JB358" s="19">
        <f t="shared" si="915"/>
        <v>2988.4912743895688</v>
      </c>
      <c r="JC358" s="19">
        <f t="shared" si="916"/>
        <v>4540.2164157747857</v>
      </c>
      <c r="JD358" s="19">
        <f t="shared" si="917"/>
        <v>3148.0882558117883</v>
      </c>
      <c r="JE358" s="21"/>
      <c r="JF358" s="1">
        <f t="shared" si="897"/>
        <v>2.8748057280389237E-2</v>
      </c>
      <c r="JG358" s="15">
        <f>INDEX(Input!$1:$1048576,JG$93,$C358*2+6)/(1+VLOOKUP(C358*1000+INDEX(Input!$1:$1048576,JG$93+1,$C358*2+6),$A:$KK,$JK$92,FALSE))</f>
        <v>1610</v>
      </c>
      <c r="JH358" s="1">
        <f t="shared" si="918"/>
        <v>0.13971758752243899</v>
      </c>
      <c r="JI358" s="1">
        <f t="shared" si="919"/>
        <v>-2.2197264666551156E-2</v>
      </c>
      <c r="JJ358" s="1">
        <f t="shared" si="978"/>
        <v>0</v>
      </c>
      <c r="JK358" s="1">
        <f t="shared" si="979"/>
        <v>0.11752032285588783</v>
      </c>
      <c r="JL358" s="15">
        <f t="shared" si="922"/>
        <v>189.20771979797939</v>
      </c>
      <c r="JM358" s="15">
        <f t="shared" si="948"/>
        <v>1799.2077197979793</v>
      </c>
      <c r="JN358" s="21"/>
      <c r="JO358" s="19">
        <f>INDEX(Input!$1:$1048576,JO$93,$C358*2+6)</f>
        <v>5995.5</v>
      </c>
      <c r="JP358" s="19">
        <f>INDEX(Input!$1:$1048576,JP$93,$C358*2+6)</f>
        <v>2442.3713226762939</v>
      </c>
      <c r="JQ358" s="39">
        <f t="shared" si="934"/>
        <v>2847.4117441882117</v>
      </c>
      <c r="JR358" s="39">
        <f t="shared" si="951"/>
        <v>705.7169331354944</v>
      </c>
      <c r="JS358" s="39">
        <f t="shared" si="936"/>
        <v>5.6640646924619258</v>
      </c>
      <c r="JT358" s="39">
        <f t="shared" si="924"/>
        <v>1.7318468629530925</v>
      </c>
      <c r="JU358" s="385">
        <f>(JQ358*JM358-INDEX(Input!$1:$1048576,Input!A$18,$C358*2+6)*JL358*INDEX(Input!$1:$1048576,Input!A$19,$C358*2+6))/1000000</f>
        <v>5.1230851915868598</v>
      </c>
      <c r="JV358" s="39">
        <f t="shared" si="958"/>
        <v>-0.59745197890430735</v>
      </c>
      <c r="JW358" s="1">
        <f t="shared" si="949"/>
        <v>-0.1044398386197375</v>
      </c>
      <c r="JX358" s="19">
        <f t="shared" si="940"/>
        <v>9153.151175872832</v>
      </c>
      <c r="JZ358" s="341"/>
      <c r="KA358" s="342"/>
      <c r="KB358" s="469">
        <f t="shared" si="937"/>
        <v>2.5190675447988795</v>
      </c>
      <c r="KI358" s="473">
        <f t="shared" si="987"/>
        <v>152.07043057843185</v>
      </c>
      <c r="KJ358" s="473">
        <f t="shared" si="988"/>
        <v>33.684063179873192</v>
      </c>
      <c r="KK358" s="473">
        <f t="shared" si="926"/>
        <v>3.4532260396742345</v>
      </c>
      <c r="KN358" s="544">
        <f t="shared" si="941"/>
        <v>3002</v>
      </c>
      <c r="KO358" s="541">
        <f t="shared" si="901"/>
        <v>8.4427507228322041E-2</v>
      </c>
      <c r="KP358" s="546">
        <f t="shared" si="902"/>
        <v>574.11620574972142</v>
      </c>
      <c r="KQ358" s="546">
        <f t="shared" si="903"/>
        <v>512.17483042309004</v>
      </c>
      <c r="KR358" s="548">
        <f t="shared" si="904"/>
        <v>2.5512955696312729</v>
      </c>
      <c r="KS358" s="548">
        <f t="shared" si="905"/>
        <v>2.8598440321106935</v>
      </c>
      <c r="KT358" s="473">
        <f t="shared" si="939"/>
        <v>1026.1618045255443</v>
      </c>
      <c r="KU358" s="663">
        <f t="shared" si="927"/>
        <v>4.7824668094089535</v>
      </c>
      <c r="KV358" s="117"/>
    </row>
    <row r="359" spans="1:308" s="26" customFormat="1" ht="15" outlineLevel="1">
      <c r="A359" s="561">
        <f t="shared" si="906"/>
        <v>3059</v>
      </c>
      <c r="B359" s="561">
        <f t="shared" si="928"/>
        <v>59</v>
      </c>
      <c r="C359" s="561">
        <f t="shared" si="929"/>
        <v>3</v>
      </c>
      <c r="D359" s="561" t="str">
        <f t="shared" si="974"/>
        <v xml:space="preserve">250 CC, 0/0/0.9/3.9, -360 Lease, </v>
      </c>
      <c r="E359" s="475">
        <f>INDEX(Input!$1:$1048576,E$93,$C359*2+MIN($B359,2)+5)
+INDEX(Scenarios!E$121:E$200,MATCH($B359,Scenarios!$B$121:$B$200,0))</f>
        <v>1537.0236024844721</v>
      </c>
      <c r="F359" s="475">
        <f>INDEX(Input!$1:$1048576,F$93,$C359*2+MIN($B359,2)+5)
+INDEX(Scenarios!F$121:F$200,MATCH($B359,Scenarios!$B$121:$B$200,0))</f>
        <v>0</v>
      </c>
      <c r="G359" s="475">
        <f>INDEX(Input!$1:$1048576,G$93,$C359*2+MIN($B359,2)+5)
+INDEX(Scenarios!G$121:G$200,MATCH($B359,Scenarios!$B$121:$B$200,0))</f>
        <v>0</v>
      </c>
      <c r="H359" s="475">
        <f>INDEX(Input!$1:$1048576,H$93,$C359*2+MIN($B359,2)+5)
+INDEX(Scenarios!H$121:H$200,MATCH($B359,Scenarios!$B$121:$B$200,0))</f>
        <v>0</v>
      </c>
      <c r="I359" s="476">
        <f>INDEX(Input!$1:$1048576,I$93,$C359*2+MIN($B359,2)+5)</f>
        <v>0.7</v>
      </c>
      <c r="J359" s="476" t="str">
        <f>INDEX(Input!$1:$1048576,J$93,$C359*2+MIN($B359,2)+5)</f>
        <v>Market</v>
      </c>
      <c r="K359" s="476" t="str">
        <f>INDEX(Input!$1:$1048576,K$93,$C359*2+MIN($B359,2)+5)</f>
        <v>Market</v>
      </c>
      <c r="L359" s="476" t="str">
        <f>INDEX(Input!$1:$1048576,L$93,$C359*2+MIN($B359,2)+5)</f>
        <v>Market</v>
      </c>
      <c r="M359" s="476" t="str">
        <f>INDEX(Input!$1:$1048576,M$93,$C359*2+MIN($B359,2)+5)</f>
        <v>Market</v>
      </c>
      <c r="N359" s="476" t="str">
        <f>INDEX(Input!$1:$1048576,N$93,$C359*2+MIN($B359,2)+5)</f>
        <v>Market</v>
      </c>
      <c r="O359" s="476" t="str">
        <f>INDEX(Input!$1:$1048576,O$93,$C359*2+MIN($B359,2)+5)</f>
        <v>Market</v>
      </c>
      <c r="P359" s="476" t="str">
        <f>INDEX(Input!$1:$1048576,P$93,$C359*2+MIN($B359,2)+5)</f>
        <v>N</v>
      </c>
      <c r="Q359" s="477">
        <f>INDEX(Input!$1:$1048576,Q$93,$C359*2+MIN($B359,2)+5)
+INDEX(Scenarios!Q$121:Q$200,MATCH($B359,Scenarios!$B$121:$B$200,0))</f>
        <v>0</v>
      </c>
      <c r="R359" s="478">
        <f>IFERROR(MAX(0,INDEX(Input!$1:$1048576,R$93,$C359*2+MIN($B359,2)+5)
+INDEX(Scenarios!R$121:R$200,MATCH($B359,Scenarios!$B$121:$B$200,0)),),"Market")</f>
        <v>0</v>
      </c>
      <c r="S359" s="478">
        <f>IFERROR(MAX(0,INDEX(Input!$1:$1048576,S$93,$C359*2+MIN($B359,2)+5)
+INDEX(Scenarios!S$121:S$200,MATCH($B359,Scenarios!$B$121:$B$200,0)),),"Market")</f>
        <v>0</v>
      </c>
      <c r="T359" s="478">
        <f>IFERROR(MAX(0,INDEX(Input!$1:$1048576,T$93,$C359*2+MIN($B359,2)+5)
+INDEX(Scenarios!T$121:T$200,MATCH($B359,Scenarios!$B$121:$B$200,0)),),"Market")</f>
        <v>0</v>
      </c>
      <c r="U359" s="478">
        <f>IFERROR(MAX(0,INDEX(Input!$1:$1048576,U$93,$C359*2+MIN($B359,2)+5)
+INDEX(Scenarios!U$121:U$200,MATCH($B359,Scenarios!$B$121:$B$200,0)),),"Market")</f>
        <v>0</v>
      </c>
      <c r="V359" s="478">
        <f>IFERROR(MAX(0,INDEX(Input!$1:$1048576,V$93,$C359*2+MIN($B359,2)+5)
+INDEX(Scenarios!V$121:V$200,MATCH($B359,Scenarios!$B$121:$B$200,0)),),"Market")</f>
        <v>8.9999999999999993E-3</v>
      </c>
      <c r="W359" s="885">
        <f>IFERROR(MAX(0,INDEX(Input!$1:$1048576,W$93,$C359*2+MIN($B359,2)+5)-0%,),"Market")</f>
        <v>3.9E-2</v>
      </c>
      <c r="X359" s="476" t="str">
        <f>INDEX(Input!$1:$1048576,X$93,$C359*2+MIN($B359,2)+5)</f>
        <v>Y</v>
      </c>
      <c r="Y359" s="475">
        <f>INDEX(Input!$1:$1048576,Y$93,$C359*2+MIN($B359,2)+5)
++INDEX(Scenarios!Y$121:Y$200,MATCH($B359,Scenarios!$B$121:$B$200,0))</f>
        <v>1194.9999999999991</v>
      </c>
      <c r="Z359" s="477">
        <f>INDEX(Input!$1:$1048576,Z$93,$C359*2+MIN($B359,2)+5)
+INDEX(Scenarios!Z$121:Z$200,MATCH($B359,Scenarios!$B$121:$B$200,0))</f>
        <v>0</v>
      </c>
      <c r="AA359" s="475">
        <f>INDEX(Input!$1:$1048576,AA$93,$C359*2+MIN($B359,2)+5)
+INDEX(Scenarios!AA$121:AA$200,MATCH($B359,Scenarios!$B$121:$B$200,0))</f>
        <v>0</v>
      </c>
      <c r="AB359" s="476">
        <f>INDEX(Input!$1:$1048576,AB$93,$C359*2+MIN($B359,2)+5)</f>
        <v>0.27</v>
      </c>
      <c r="AC359" s="475">
        <f>INDEX(Input!$1:$1048576,AC$93,$C359*2+MIN($B359,2)+5)
+INDEX(Scenarios!AC$121:AC$200,MATCH($B359,Scenarios!$B$121:$B$200,0))</f>
        <v>0</v>
      </c>
      <c r="AD359" s="476">
        <f>INDEX(Input!$1:$1048576,AD$93,$C359*2+MIN($B359,2)+5)</f>
        <v>0.27</v>
      </c>
      <c r="AE359" s="475">
        <f>INDEX(Input!$1:$1048576,AE$93,$C359*2+MIN($B359,2)+5)
+INDEX(Scenarios!AE$121:AE$200,MATCH($B359,Scenarios!$B$121:$B$200,0))</f>
        <v>0</v>
      </c>
      <c r="AF359" s="476">
        <f>INDEX(Input!$1:$1048576,AF$93,$C359*2+MIN($B359,2)+5)</f>
        <v>0.68200000000000005</v>
      </c>
      <c r="AG359" s="475">
        <f>INDEX(Input!$1:$1048576,AG$93,$C359*2+MIN($B359,2)+5)
+INDEX(Scenarios!AG$121:AG$200,MATCH($B359,Scenarios!$B$121:$B$200,0))</f>
        <v>500</v>
      </c>
      <c r="AH359" s="476">
        <f>INDEX(Input!$1:$1048576,AH$93,$C359*2+MIN($B359,2)+5)</f>
        <v>1</v>
      </c>
      <c r="AI359" s="475">
        <f>INDEX(Input!$1:$1048576,AI$93,$C359*2+MIN($B359,2)+5)
+INDEX(Scenarios!AI$121:AI$200,MATCH($B359,Scenarios!$B$121:$B$200,0))</f>
        <v>0</v>
      </c>
      <c r="AJ359" s="476">
        <f>INDEX(Input!$1:$1048576,AJ$93,$C359*2+MIN($B359,2)+5)</f>
        <v>0.27</v>
      </c>
      <c r="AK359" s="150">
        <f>ROUND(INDEX(Input!$1:$1048576,AK$93,$C358*2+MIN($B359,1)+5)+(Y359-VLOOKUP($C359*1000+1,$A:$HH,Y$92,FALSE)),0)</f>
        <v>2617</v>
      </c>
      <c r="AL359" s="150">
        <f>ROUND(INDEX(Input!$1:$1048576,AL$93,$C358*2+MIN($B359,1)+5)-(Y359-VLOOKUP($C359*1000+1,$A:$HH,Y$92,FALSE))/36,0)</f>
        <v>3405</v>
      </c>
      <c r="AM359" s="32" t="str">
        <f t="shared" si="907"/>
        <v>std/std/std/std</v>
      </c>
      <c r="AN359" s="32" t="str">
        <f t="shared" si="908"/>
        <v>$0 + 0/0/0/0.9/3.9</v>
      </c>
      <c r="AO359" s="32" t="str">
        <f t="shared" si="909"/>
        <v>0/0/0/0.9/3.9</v>
      </c>
      <c r="AP359" s="32" t="str">
        <f t="shared" si="993"/>
        <v>0/0/0.9/3.9</v>
      </c>
      <c r="AQ359" s="536">
        <f t="shared" si="992"/>
        <v>0.34288107078341773</v>
      </c>
      <c r="AR359" s="32"/>
      <c r="AS359" s="302"/>
      <c r="AT359" s="3">
        <f t="shared" si="930"/>
        <v>59</v>
      </c>
      <c r="AU359" s="41" t="s">
        <v>121</v>
      </c>
      <c r="AV359" s="41" t="s">
        <v>116</v>
      </c>
      <c r="AW359" s="41" t="str">
        <f>INDEX(Input!$1:$1048576,AW$93,$C359*2+6)</f>
        <v>Kia</v>
      </c>
      <c r="AX359" s="41" t="str">
        <f>INDEX(Input!$1:$1048576,AX$93,$C359*2+6)</f>
        <v>Kia-LR - L3</v>
      </c>
      <c r="AY359" s="41" t="str">
        <f>IF(LEN(D359)=0,"",INDEX(Input!$1:$1048576,AY$93,$C359*2+6))</f>
        <v>Compact SUV (52)</v>
      </c>
      <c r="AZ359" s="41" t="str">
        <f>INDEX(Input!$1:$1048576,AZ$93,$C359*2+6)</f>
        <v>Kia Soul</v>
      </c>
      <c r="BA359" s="3">
        <f>INDEX(Input!$1:$1048576,BA$93,$C359*2+6)</f>
        <v>2020</v>
      </c>
      <c r="BB359" s="128">
        <f>INDEX(Input!$1:$1048576,BB$93,$C359*2+6)</f>
        <v>1</v>
      </c>
      <c r="BC359" s="128">
        <f>INDEX(Input!$1:$1048576,BC$93,$C359*2+6)</f>
        <v>0.7</v>
      </c>
      <c r="BD359" s="1">
        <f>INDEX(Input!$1:$1048576,BD$93,$C359*2+6)</f>
        <v>4.4999999999999998E-2</v>
      </c>
      <c r="BE359" s="1">
        <f>INDEX(Input!$1:$1048576,BE$93,$C359*2+6)</f>
        <v>4.4999999999999998E-2</v>
      </c>
      <c r="BF359" s="1">
        <f>INDEX(Input!$1:$1048576,BF$93,$C359*2+6)</f>
        <v>0.05</v>
      </c>
      <c r="BG359" s="1">
        <f>INDEX(Input!$1:$1048576,BG$93,$C359*2+6)</f>
        <v>5.45E-2</v>
      </c>
      <c r="BH359" s="1">
        <f>INDEX(Input!$1:$1048576,BH$93,$C359*2+6)</f>
        <v>5.45E-2</v>
      </c>
      <c r="BI359" s="1">
        <f>INDEX(Input!$1:$1048576,BI$93,$C359*2+6)</f>
        <v>0.05</v>
      </c>
      <c r="BJ359" s="1">
        <f>INDEX(Input!$1:$1048576,BJ$93,$C359*2+6)</f>
        <v>0.05</v>
      </c>
      <c r="BK359" s="1">
        <f>INDEX(Input!$1:$1048576,BK$93,$C359*2+6)</f>
        <v>0.05</v>
      </c>
      <c r="BL359" s="1">
        <f>INDEX(Input!$1:$1048576,BL$93,$C359*2+6)</f>
        <v>5.5E-2</v>
      </c>
      <c r="BM359" s="1">
        <f>INDEX(Input!$1:$1048576,BM$93,$C359*2+6)</f>
        <v>0.06</v>
      </c>
      <c r="BN359" s="1">
        <f>INDEX(Input!$1:$1048576,BN$93,$C359*2+6)</f>
        <v>4.4999999999999998E-2</v>
      </c>
      <c r="BO359" s="1">
        <f>INDEX(Input!$1:$1048576,BO$93,$C359*2+6)</f>
        <v>4.4999999999999998E-2</v>
      </c>
      <c r="BP359" s="1">
        <f>INDEX(Input!$1:$1048576,BP$93,$C359*2+6)</f>
        <v>0.05</v>
      </c>
      <c r="BQ359" s="1">
        <f>INDEX(Input!$1:$1048576,BQ$93,$C359*2+6)</f>
        <v>5.45E-2</v>
      </c>
      <c r="BR359" s="1">
        <f>INDEX(Input!$1:$1048576,BR$93,$C359*2+6)</f>
        <v>5.45E-2</v>
      </c>
      <c r="BS359" s="1">
        <f>INDEX(Input!$1:$1048576,BS$93,$C359*2+6)</f>
        <v>0.05</v>
      </c>
      <c r="BT359" s="1">
        <f>INDEX(Input!$1:$1048576,BT$93,$C359*2+6)</f>
        <v>0.05</v>
      </c>
      <c r="BU359" s="1">
        <f>INDEX(Input!$1:$1048576,BU$93,$C359*2+6)</f>
        <v>0.05</v>
      </c>
      <c r="BV359" s="1">
        <f>INDEX(Input!$1:$1048576,BV$93,$C359*2+6)</f>
        <v>5.5E-2</v>
      </c>
      <c r="BW359" s="1">
        <f>INDEX(Input!$1:$1048576,BW$93,$C359*2+6)</f>
        <v>0.06</v>
      </c>
      <c r="BX359" s="127">
        <f>INDEX(Input!$1:$1048576,BX$93,$C359*2+6)</f>
        <v>19985</v>
      </c>
      <c r="BY359" s="20">
        <f>INDEX(Input!$1:$1048576,BY$93,$C359*2+6)</f>
        <v>0.1</v>
      </c>
      <c r="BZ359" s="20">
        <f>INDEX(Input!$1:$1048576,BZ$93,$C359*2+6)</f>
        <v>0.1</v>
      </c>
      <c r="CA359" s="20">
        <f>INDEX(Input!$1:$1048576,CA$93,$C359*2+6)</f>
        <v>0.1</v>
      </c>
      <c r="CB359" s="20">
        <f>INDEX(Input!$1:$1048576,CB$93,$C359*2+6)</f>
        <v>0.1</v>
      </c>
      <c r="CC359" s="20">
        <f>INDEX(Input!$1:$1048576,CC$93,$C359*2+6)</f>
        <v>0.1</v>
      </c>
      <c r="CD359" s="384">
        <f>INDEX(Input!$1:$1048576,CD$93,$C359*2+6)</f>
        <v>0.1</v>
      </c>
      <c r="CE359" s="384">
        <f>INDEX(Input!$1:$1048576,CE$93,$C359*2+6)</f>
        <v>0.1</v>
      </c>
      <c r="CF359" s="384">
        <f>INDEX(Input!$1:$1048576,CF$93,$C359*2+6)</f>
        <v>0.1</v>
      </c>
      <c r="CG359" s="384">
        <f>INDEX(Input!$1:$1048576,CG$93,$C359*2+6)</f>
        <v>0.1</v>
      </c>
      <c r="CH359" s="384">
        <f>INDEX(Input!$1:$1048576,CH$93,$C359*2+6)</f>
        <v>0.1</v>
      </c>
      <c r="CI359" s="304">
        <f t="shared" si="994"/>
        <v>1537.0236024844721</v>
      </c>
      <c r="CJ359" s="16" t="str">
        <f>INDEX(Input!$1:$1048576,CJ$93,$C359*2+6)</f>
        <v>N</v>
      </c>
      <c r="CK359" s="1" t="str">
        <f t="shared" si="995"/>
        <v>Market</v>
      </c>
      <c r="CL359" s="1" t="str">
        <f t="shared" si="996"/>
        <v>Market</v>
      </c>
      <c r="CM359" s="1" t="str">
        <f t="shared" si="997"/>
        <v>Market</v>
      </c>
      <c r="CN359" s="1" t="str">
        <f t="shared" si="998"/>
        <v>Market</v>
      </c>
      <c r="CO359" s="1" t="str">
        <f t="shared" si="999"/>
        <v>Market</v>
      </c>
      <c r="CP359" s="304">
        <f t="shared" si="1000"/>
        <v>500</v>
      </c>
      <c r="CQ359" s="1">
        <f t="shared" si="1001"/>
        <v>0</v>
      </c>
      <c r="CR359" s="1">
        <f t="shared" si="1002"/>
        <v>0</v>
      </c>
      <c r="CS359" s="1">
        <f t="shared" si="1003"/>
        <v>0</v>
      </c>
      <c r="CT359" s="1">
        <f t="shared" si="1004"/>
        <v>8.9999999999999993E-3</v>
      </c>
      <c r="CU359" s="1">
        <f t="shared" si="1005"/>
        <v>3.9E-2</v>
      </c>
      <c r="CV359" s="304">
        <f t="shared" si="1006"/>
        <v>1194.9999999999991</v>
      </c>
      <c r="CW359" s="20" t="s">
        <v>122</v>
      </c>
      <c r="CX359" s="20" t="s">
        <v>122</v>
      </c>
      <c r="CY359" s="20" t="s">
        <v>122</v>
      </c>
      <c r="CZ359" s="20" t="s">
        <v>122</v>
      </c>
      <c r="DA359" s="20" t="s">
        <v>122</v>
      </c>
      <c r="DB359" s="503">
        <f t="shared" si="1007"/>
        <v>0</v>
      </c>
      <c r="DC359" s="127">
        <v>0</v>
      </c>
      <c r="DD359" s="127">
        <v>0</v>
      </c>
      <c r="DE359" s="127">
        <v>0</v>
      </c>
      <c r="DF359" s="127">
        <v>0</v>
      </c>
      <c r="DG359" s="127">
        <v>0</v>
      </c>
      <c r="DH359" s="127">
        <v>0</v>
      </c>
      <c r="DI359" s="127">
        <v>0</v>
      </c>
      <c r="DJ359" s="127">
        <v>0</v>
      </c>
      <c r="DK359" s="127">
        <v>0</v>
      </c>
      <c r="DL359" s="127">
        <v>0</v>
      </c>
      <c r="DM359" s="304">
        <f>INDEX(Input!$1:$1048576,DM$93,$C359*2+6)</f>
        <v>21036.84210526316</v>
      </c>
      <c r="DN359" s="20">
        <v>0</v>
      </c>
      <c r="DO359" s="20">
        <v>0</v>
      </c>
      <c r="DP359" s="20">
        <v>0</v>
      </c>
      <c r="DQ359" s="20">
        <v>0</v>
      </c>
      <c r="DR359" s="20">
        <v>0</v>
      </c>
      <c r="DS359" s="20">
        <f>INDEX(Input!$1:$1048576,DS$93,$C359*2+6)</f>
        <v>0.6</v>
      </c>
      <c r="DT359" s="20">
        <f>INDEX(Input!$1:$1048576,DT$93,$C359*2+6)</f>
        <v>0.55000000000000004</v>
      </c>
      <c r="DU359" s="20">
        <f>INDEX(Input!$1:$1048576,DU$93,$C359*2+6)</f>
        <v>0.52</v>
      </c>
      <c r="DV359" s="20">
        <f>INDEX(Input!$1:$1048576,DV$93,$C359*2+6)</f>
        <v>0.5</v>
      </c>
      <c r="DW359" s="20">
        <f>INDEX(Input!$1:$1048576,DW$93,$C359*2+6)</f>
        <v>0.45</v>
      </c>
      <c r="DX359" s="20"/>
      <c r="DY359" s="7">
        <v>0.10710132554749567</v>
      </c>
      <c r="DZ359" s="7">
        <v>0</v>
      </c>
      <c r="EA359" s="7">
        <v>0.71904599632515864</v>
      </c>
      <c r="EB359" s="7">
        <v>0</v>
      </c>
      <c r="EC359" s="7">
        <v>0</v>
      </c>
      <c r="ED359" s="7">
        <v>0</v>
      </c>
      <c r="EE359" s="7">
        <v>0</v>
      </c>
      <c r="EF359" s="7">
        <v>0</v>
      </c>
      <c r="EG359" s="7">
        <v>0</v>
      </c>
      <c r="EH359" s="7">
        <v>9.4350925451303479E-3</v>
      </c>
      <c r="EI359" s="7">
        <v>2.6421074413692479E-2</v>
      </c>
      <c r="EJ359" s="7">
        <v>0.21280445022208391</v>
      </c>
      <c r="EK359" s="7">
        <v>0.64024027487905766</v>
      </c>
      <c r="EL359" s="7">
        <v>0.11109910794003566</v>
      </c>
      <c r="EM359" s="7">
        <v>5.7108655533806459E-2</v>
      </c>
      <c r="EN359" s="7">
        <v>6.1187733973924394E-2</v>
      </c>
      <c r="EO359" s="7">
        <v>0.76993979987025829</v>
      </c>
      <c r="EP359" s="7">
        <v>6.9565375043970992E-2</v>
      </c>
      <c r="EQ359" s="7">
        <v>6.5274907003740279E-2</v>
      </c>
      <c r="ER359" s="7">
        <v>3.4032184108105983E-2</v>
      </c>
      <c r="ES359" s="7">
        <v>0.11674402259353921</v>
      </c>
      <c r="ET359" s="7">
        <v>0.17385267812734567</v>
      </c>
      <c r="EU359" s="6">
        <v>1861</v>
      </c>
      <c r="EV359" s="6">
        <v>0</v>
      </c>
      <c r="EW359" s="6">
        <v>1861</v>
      </c>
      <c r="EX359" s="6">
        <v>0</v>
      </c>
      <c r="EY359" s="6">
        <v>2652.4162557188379</v>
      </c>
      <c r="EZ359" s="6">
        <v>1929</v>
      </c>
      <c r="FA359" s="6">
        <v>0</v>
      </c>
      <c r="FB359" s="6">
        <v>0</v>
      </c>
      <c r="FC359" s="6">
        <v>0</v>
      </c>
      <c r="FD359" s="6">
        <v>0</v>
      </c>
      <c r="FE359" s="6">
        <v>0</v>
      </c>
      <c r="FF359" s="6">
        <v>0</v>
      </c>
      <c r="FG359" s="6">
        <v>0</v>
      </c>
      <c r="FH359" s="6">
        <v>1172.0094948461854</v>
      </c>
      <c r="FI359" s="6">
        <v>1553.9796069512395</v>
      </c>
      <c r="FJ359" s="6">
        <v>2101.2110117447405</v>
      </c>
      <c r="FK359" s="6">
        <v>2251.3078348034678</v>
      </c>
      <c r="FL359" s="6">
        <v>907.07682140966347</v>
      </c>
      <c r="FM359" s="6">
        <v>2041.4162557188379</v>
      </c>
      <c r="FN359" s="6">
        <v>0</v>
      </c>
      <c r="FO359" s="6">
        <v>0</v>
      </c>
      <c r="FP359" s="6">
        <v>0</v>
      </c>
      <c r="FQ359" s="6">
        <v>0</v>
      </c>
      <c r="FR359" s="6">
        <v>0</v>
      </c>
      <c r="FS359" s="6">
        <v>0</v>
      </c>
      <c r="FT359" s="7">
        <v>0.82614732187265427</v>
      </c>
      <c r="FU359" s="7">
        <v>5.7108655533806459E-2</v>
      </c>
      <c r="FV359" s="7">
        <v>0.11674402259353921</v>
      </c>
      <c r="FW359" s="6">
        <v>1861</v>
      </c>
      <c r="FX359" s="6">
        <v>2652.4162557188379</v>
      </c>
      <c r="FY359" s="6">
        <v>1929</v>
      </c>
      <c r="FZ359" s="6">
        <v>1858.9243755539039</v>
      </c>
      <c r="GA359" s="6">
        <v>1914.1353118680624</v>
      </c>
      <c r="GB359" s="6">
        <v>18070.864688131936</v>
      </c>
      <c r="GC359" s="7">
        <v>2.9156573141622111E-2</v>
      </c>
      <c r="GD359" s="7">
        <v>3.0050840532814933E-2</v>
      </c>
      <c r="GE359" s="7"/>
      <c r="GF359" s="7"/>
      <c r="GG359" s="7">
        <v>3.0671210462529335E-2</v>
      </c>
      <c r="GH359" s="42">
        <v>11.102223255294762</v>
      </c>
      <c r="GI359" s="6">
        <v>3714.225216425591</v>
      </c>
      <c r="GJ359" s="14">
        <v>0.50394797582841722</v>
      </c>
      <c r="GK359" s="14">
        <v>0.50887573065309732</v>
      </c>
      <c r="GL359" s="14">
        <v>0.49605202417158273</v>
      </c>
      <c r="GM359" s="14">
        <v>0.49112426934690223</v>
      </c>
      <c r="GO359" s="5">
        <v>343.14810671672558</v>
      </c>
      <c r="GP359" s="5">
        <v>307.64377699166363</v>
      </c>
      <c r="GQ359" s="5">
        <v>535.04305713031317</v>
      </c>
      <c r="GR359" s="5">
        <v>410.15490233172511</v>
      </c>
      <c r="GS359" s="5">
        <v>339.42744393800166</v>
      </c>
      <c r="GT359" s="5">
        <v>293.4407446948278</v>
      </c>
      <c r="GU359" s="5">
        <v>258.04012322764959</v>
      </c>
      <c r="GV359" s="39" t="s">
        <v>392</v>
      </c>
      <c r="GW359" s="5">
        <v>482.65277777777777</v>
      </c>
      <c r="GX359" s="5">
        <v>361.98958333333331</v>
      </c>
      <c r="GY359" s="5">
        <v>289.59166666666664</v>
      </c>
      <c r="GZ359" s="5">
        <v>247.99130496280273</v>
      </c>
      <c r="HA359" s="5">
        <v>236.70336205047303</v>
      </c>
      <c r="HB359" s="39">
        <v>260.81597638484197</v>
      </c>
      <c r="HC359" s="5">
        <v>202.890625</v>
      </c>
      <c r="HD359" s="5">
        <v>182.20330774853798</v>
      </c>
      <c r="HE359" s="5">
        <v>187.48257844129552</v>
      </c>
      <c r="HF359" s="5">
        <v>176.30063048245611</v>
      </c>
      <c r="HG359" s="5">
        <v>173.65888157894736</v>
      </c>
      <c r="HH359" s="39">
        <v>183.1602900647367</v>
      </c>
      <c r="HI359" s="16"/>
      <c r="HJ359" s="19" t="str">
        <f t="shared" si="991"/>
        <v>On</v>
      </c>
      <c r="HK359" s="1" t="str">
        <f t="shared" si="991"/>
        <v>On</v>
      </c>
      <c r="HL359" s="16"/>
      <c r="HM359" s="639">
        <f t="shared" si="878"/>
        <v>2.2758057894877178E-2</v>
      </c>
      <c r="HN359" s="639">
        <f t="shared" si="879"/>
        <v>1.416759231746561E-3</v>
      </c>
      <c r="HO359" s="639">
        <f t="shared" si="880"/>
        <v>4.5732401537654987E-3</v>
      </c>
      <c r="HP359" s="644">
        <f>(FT359*$GD359-HM359)/$JF359*INDEX(Input!$1:$1048576,$JG$93,$C359*2+6)</f>
        <v>115.83618513634579</v>
      </c>
      <c r="HQ359" s="644">
        <f>(FU359*$GD359-HN359)/$JF359*INDEX(Input!$1:$1048576,$JG$93,$C359*2+6)</f>
        <v>16.76774969436168</v>
      </c>
      <c r="HR359" s="644">
        <f>(FV359*$GD359-HO359)/$JF359*INDEX(Input!$1:$1048576,$JG$93,$C359*2+6)</f>
        <v>-59.643142525754534</v>
      </c>
      <c r="HS359" s="644">
        <f t="shared" si="985"/>
        <v>-41.992034443609683</v>
      </c>
      <c r="HT359" s="644">
        <f t="shared" si="882"/>
        <v>54.895708361167479</v>
      </c>
      <c r="HU359" s="644">
        <f t="shared" si="883"/>
        <v>3.9790082540726313</v>
      </c>
      <c r="HV359" s="648">
        <f t="shared" si="884"/>
        <v>0</v>
      </c>
      <c r="HW359" s="648">
        <f t="shared" si="885"/>
        <v>0</v>
      </c>
      <c r="HX359" s="648">
        <f t="shared" si="886"/>
        <v>0</v>
      </c>
      <c r="HY359" s="644">
        <f>INDEX(Input!$1:$1048576,HY$93,$C359*2+6)*INDEX(Input!$1:$1048576,$JG$93,$C359*2+6)</f>
        <v>509.00000000000006</v>
      </c>
      <c r="HZ359" s="644">
        <f>INDEX(Input!$1:$1048576,HZ$93,$C359*2+6)*INDEX(Input!$1:$1048576,$JG$93,$C359*2+6)</f>
        <v>844</v>
      </c>
      <c r="IA359" s="644">
        <f>INDEX(Input!$1:$1048576,IA$93,$C359*2+6)*INDEX(Input!$1:$1048576,$JG$93,$C359*2+6)</f>
        <v>257</v>
      </c>
      <c r="IB359" s="644">
        <f t="shared" si="910"/>
        <v>582.84415069273609</v>
      </c>
      <c r="IC359" s="644">
        <f t="shared" si="911"/>
        <v>915.66345805552919</v>
      </c>
      <c r="ID359" s="644">
        <f>IF(AND(INDEX(Input!$1:$1048576,IA$93,$C359*2+7)="TOS",Y359&lt;=INDEX(Y:Y,MATCH(C359*1000+2,A:A))),0,1)*MAX(IA359+HR359+HU359+HX359,0%)</f>
        <v>201.33586572831808</v>
      </c>
      <c r="IE359" s="128">
        <f t="shared" si="990"/>
        <v>0.34288107078341773</v>
      </c>
      <c r="IF359" s="128">
        <f t="shared" si="977"/>
        <v>0.53867516145125105</v>
      </c>
      <c r="IG359" s="128">
        <f t="shared" si="888"/>
        <v>0.11844376776533116</v>
      </c>
      <c r="IH359" s="21"/>
      <c r="II359" s="19">
        <f t="shared" si="889"/>
        <v>1410.4999999999998</v>
      </c>
      <c r="IJ359" s="19">
        <f t="shared" si="890"/>
        <v>2134.9731585778086</v>
      </c>
      <c r="IK359" s="19">
        <f t="shared" si="891"/>
        <v>2103.5</v>
      </c>
      <c r="IL359" s="19">
        <f t="shared" si="913"/>
        <v>450.50000000000023</v>
      </c>
      <c r="IM359" s="19">
        <f t="shared" si="892"/>
        <v>517.44309714102928</v>
      </c>
      <c r="IN359" s="19">
        <f t="shared" si="893"/>
        <v>-174.5</v>
      </c>
      <c r="IO359" s="39">
        <f t="shared" si="894"/>
        <v>0</v>
      </c>
      <c r="IP359" s="39">
        <f t="shared" si="895"/>
        <v>0</v>
      </c>
      <c r="IQ359" s="39">
        <f t="shared" si="896"/>
        <v>0</v>
      </c>
      <c r="IR359" s="39">
        <v>0</v>
      </c>
      <c r="IS359" s="39">
        <v>0</v>
      </c>
      <c r="IT359" s="39">
        <v>0</v>
      </c>
      <c r="IU359" s="39">
        <v>0</v>
      </c>
      <c r="IV359" s="39">
        <v>0</v>
      </c>
      <c r="IW359" s="39">
        <v>0</v>
      </c>
      <c r="IX359" s="39">
        <f>INDEX(Input!$1:$1048576,IX$93,$C359*2+6)+INDEX(Input!$1:$1048576,IX$94,$C359*2+6)</f>
        <v>1611</v>
      </c>
      <c r="IY359" s="39">
        <f>INDEX(Input!$1:$1048576,IY$93,$C359*2+6)+INDEX(Input!$1:$1048576,IY$94,$C359*2+6)</f>
        <v>2471.0624533823611</v>
      </c>
      <c r="IZ359" s="39">
        <f>INDEX(Input!$1:$1048576,IZ$93,$C359*2+6)+INDEX(Input!$1:$1048576,IZ$94,$C359*2+6)</f>
        <v>3994.7164157747857</v>
      </c>
      <c r="JA359" s="19">
        <f t="shared" si="914"/>
        <v>2061.5</v>
      </c>
      <c r="JB359" s="19">
        <f t="shared" si="915"/>
        <v>2988.5055505233904</v>
      </c>
      <c r="JC359" s="19">
        <f t="shared" si="916"/>
        <v>3820.2164157747857</v>
      </c>
      <c r="JD359" s="19">
        <f t="shared" si="917"/>
        <v>2769.1638633094976</v>
      </c>
      <c r="JE359" s="21"/>
      <c r="JF359" s="1">
        <f t="shared" si="897"/>
        <v>2.8748057280389237E-2</v>
      </c>
      <c r="JG359" s="15">
        <f>INDEX(Input!$1:$1048576,JG$93,$C359*2+6)/(1+VLOOKUP(C359*1000+INDEX(Input!$1:$1048576,JG$93+1,$C359*2+6),$A:$KK,$JK$92,FALSE))</f>
        <v>1610</v>
      </c>
      <c r="JH359" s="1">
        <f t="shared" si="918"/>
        <v>4.5317262301212989E-2</v>
      </c>
      <c r="JI359" s="1">
        <f t="shared" si="919"/>
        <v>1.0486137994801508E-2</v>
      </c>
      <c r="JJ359" s="1">
        <f t="shared" si="978"/>
        <v>0</v>
      </c>
      <c r="JK359" s="1">
        <f t="shared" si="979"/>
        <v>5.5803400296014494E-2</v>
      </c>
      <c r="JL359" s="15">
        <f t="shared" si="922"/>
        <v>89.843474476583339</v>
      </c>
      <c r="JM359" s="15">
        <f t="shared" si="948"/>
        <v>1699.8434744765834</v>
      </c>
      <c r="JN359" s="21"/>
      <c r="JO359" s="19">
        <f>INDEX(Input!$1:$1048576,JO$93,$C359*2+6)</f>
        <v>5995.5</v>
      </c>
      <c r="JP359" s="19">
        <f>INDEX(Input!$1:$1048576,JP$93,$C359*2+6)</f>
        <v>2442.3713226762939</v>
      </c>
      <c r="JQ359" s="39">
        <f t="shared" si="934"/>
        <v>3226.3361366905024</v>
      </c>
      <c r="JR359" s="39">
        <f t="shared" si="951"/>
        <v>326.79254063320377</v>
      </c>
      <c r="JS359" s="39">
        <f t="shared" si="936"/>
        <v>4.7071451228030154</v>
      </c>
      <c r="JT359" s="39">
        <f t="shared" si="924"/>
        <v>0.77492729329418253</v>
      </c>
      <c r="JU359" s="385">
        <f>(JQ359*JM359-INDEX(Input!$1:$1048576,Input!A$18,$C359*2+6)*JL359*INDEX(Input!$1:$1048576,Input!A$19,$C359*2+6))/1000000</f>
        <v>5.4842664284213409</v>
      </c>
      <c r="JV359" s="39">
        <f t="shared" si="958"/>
        <v>-0.23627074206982623</v>
      </c>
      <c r="JW359" s="1">
        <f t="shared" si="949"/>
        <v>-4.1302195061087232E-2</v>
      </c>
      <c r="JX359" s="19">
        <f t="shared" si="940"/>
        <v>8625.3041504551165</v>
      </c>
      <c r="JZ359" s="341"/>
      <c r="KA359" s="342"/>
      <c r="KB359" s="469">
        <f t="shared" si="937"/>
        <v>2.5190675447988795</v>
      </c>
      <c r="KI359" s="473">
        <f t="shared" si="987"/>
        <v>73.844150692736036</v>
      </c>
      <c r="KJ359" s="473">
        <f t="shared" si="988"/>
        <v>71.663458055529077</v>
      </c>
      <c r="KK359" s="473">
        <f t="shared" si="926"/>
        <v>-55.664134271681917</v>
      </c>
      <c r="KN359" s="544">
        <f t="shared" si="941"/>
        <v>3002</v>
      </c>
      <c r="KO359" s="541">
        <f t="shared" si="901"/>
        <v>2.4538190571986362E-2</v>
      </c>
      <c r="KP359" s="546">
        <f t="shared" si="902"/>
        <v>213.7837042245244</v>
      </c>
      <c r="KQ359" s="546">
        <f t="shared" si="903"/>
        <v>133.25043792079941</v>
      </c>
      <c r="KR359" s="548">
        <f t="shared" si="904"/>
        <v>1.9913360289173336</v>
      </c>
      <c r="KS359" s="548">
        <f t="shared" si="905"/>
        <v>3.1948502328430339</v>
      </c>
      <c r="KT359" s="473">
        <f t="shared" si="939"/>
        <v>1026.1618045255443</v>
      </c>
      <c r="KU359" s="663">
        <f t="shared" si="927"/>
        <v>4.7380516478172732</v>
      </c>
      <c r="KV359" s="117"/>
    </row>
    <row r="360" spans="1:308" s="26" customFormat="1" ht="15" outlineLevel="1">
      <c r="A360" s="561">
        <f t="shared" si="906"/>
        <v>3060</v>
      </c>
      <c r="B360" s="561">
        <f t="shared" si="928"/>
        <v>60</v>
      </c>
      <c r="C360" s="561">
        <f t="shared" si="929"/>
        <v>3</v>
      </c>
      <c r="D360" s="561" t="str">
        <f t="shared" si="974"/>
        <v xml:space="preserve">500 CC, 0/0/0.9/3.9, -360 Lease, </v>
      </c>
      <c r="E360" s="475">
        <f>INDEX(Input!$1:$1048576,E$93,$C360*2+MIN($B360,2)+5)
+INDEX(Scenarios!E$121:E$200,MATCH($B360,Scenarios!$B$121:$B$200,0))</f>
        <v>1787.0236024844721</v>
      </c>
      <c r="F360" s="475">
        <f>INDEX(Input!$1:$1048576,F$93,$C360*2+MIN($B360,2)+5)
+INDEX(Scenarios!F$121:F$200,MATCH($B360,Scenarios!$B$121:$B$200,0))</f>
        <v>0</v>
      </c>
      <c r="G360" s="475">
        <f>INDEX(Input!$1:$1048576,G$93,$C360*2+MIN($B360,2)+5)
+INDEX(Scenarios!G$121:G$200,MATCH($B360,Scenarios!$B$121:$B$200,0))</f>
        <v>0</v>
      </c>
      <c r="H360" s="475">
        <f>INDEX(Input!$1:$1048576,H$93,$C360*2+MIN($B360,2)+5)
+INDEX(Scenarios!H$121:H$200,MATCH($B360,Scenarios!$B$121:$B$200,0))</f>
        <v>0</v>
      </c>
      <c r="I360" s="476">
        <f>INDEX(Input!$1:$1048576,I$93,$C360*2+MIN($B360,2)+5)</f>
        <v>0.7</v>
      </c>
      <c r="J360" s="476" t="str">
        <f>INDEX(Input!$1:$1048576,J$93,$C360*2+MIN($B360,2)+5)</f>
        <v>Market</v>
      </c>
      <c r="K360" s="476" t="str">
        <f>INDEX(Input!$1:$1048576,K$93,$C360*2+MIN($B360,2)+5)</f>
        <v>Market</v>
      </c>
      <c r="L360" s="476" t="str">
        <f>INDEX(Input!$1:$1048576,L$93,$C360*2+MIN($B360,2)+5)</f>
        <v>Market</v>
      </c>
      <c r="M360" s="476" t="str">
        <f>INDEX(Input!$1:$1048576,M$93,$C360*2+MIN($B360,2)+5)</f>
        <v>Market</v>
      </c>
      <c r="N360" s="476" t="str">
        <f>INDEX(Input!$1:$1048576,N$93,$C360*2+MIN($B360,2)+5)</f>
        <v>Market</v>
      </c>
      <c r="O360" s="476" t="str">
        <f>INDEX(Input!$1:$1048576,O$93,$C360*2+MIN($B360,2)+5)</f>
        <v>Market</v>
      </c>
      <c r="P360" s="476" t="str">
        <f>INDEX(Input!$1:$1048576,P$93,$C360*2+MIN($B360,2)+5)</f>
        <v>N</v>
      </c>
      <c r="Q360" s="477">
        <f>INDEX(Input!$1:$1048576,Q$93,$C360*2+MIN($B360,2)+5)
+INDEX(Scenarios!Q$121:Q$200,MATCH($B360,Scenarios!$B$121:$B$200,0))</f>
        <v>0</v>
      </c>
      <c r="R360" s="478">
        <f>IFERROR(MAX(0,INDEX(Input!$1:$1048576,R$93,$C360*2+MIN($B360,2)+5)
+INDEX(Scenarios!R$121:R$200,MATCH($B360,Scenarios!$B$121:$B$200,0)),),"Market")</f>
        <v>0</v>
      </c>
      <c r="S360" s="478">
        <f>IFERROR(MAX(0,INDEX(Input!$1:$1048576,S$93,$C360*2+MIN($B360,2)+5)
+INDEX(Scenarios!S$121:S$200,MATCH($B360,Scenarios!$B$121:$B$200,0)),),"Market")</f>
        <v>0</v>
      </c>
      <c r="T360" s="478">
        <f>IFERROR(MAX(0,INDEX(Input!$1:$1048576,T$93,$C360*2+MIN($B360,2)+5)
+INDEX(Scenarios!T$121:T$200,MATCH($B360,Scenarios!$B$121:$B$200,0)),),"Market")</f>
        <v>0</v>
      </c>
      <c r="U360" s="478">
        <f>IFERROR(MAX(0,INDEX(Input!$1:$1048576,U$93,$C360*2+MIN($B360,2)+5)
+INDEX(Scenarios!U$121:U$200,MATCH($B360,Scenarios!$B$121:$B$200,0)),),"Market")</f>
        <v>0</v>
      </c>
      <c r="V360" s="478">
        <f>IFERROR(MAX(0,INDEX(Input!$1:$1048576,V$93,$C360*2+MIN($B360,2)+5)
+INDEX(Scenarios!V$121:V$200,MATCH($B360,Scenarios!$B$121:$B$200,0)),),"Market")</f>
        <v>8.9999999999999993E-3</v>
      </c>
      <c r="W360" s="885">
        <f>IFERROR(MAX(0,INDEX(Input!$1:$1048576,W$93,$C360*2+MIN($B360,2)+5)-0%,),"Market")</f>
        <v>3.9E-2</v>
      </c>
      <c r="X360" s="476" t="str">
        <f>INDEX(Input!$1:$1048576,X$93,$C360*2+MIN($B360,2)+5)</f>
        <v>Y</v>
      </c>
      <c r="Y360" s="475">
        <f>INDEX(Input!$1:$1048576,Y$93,$C360*2+MIN($B360,2)+5)
++INDEX(Scenarios!Y$121:Y$200,MATCH($B360,Scenarios!$B$121:$B$200,0))</f>
        <v>1194.9999999999991</v>
      </c>
      <c r="Z360" s="477">
        <f>INDEX(Input!$1:$1048576,Z$93,$C360*2+MIN($B360,2)+5)
+INDEX(Scenarios!Z$121:Z$200,MATCH($B360,Scenarios!$B$121:$B$200,0))</f>
        <v>0</v>
      </c>
      <c r="AA360" s="475">
        <f>INDEX(Input!$1:$1048576,AA$93,$C360*2+MIN($B360,2)+5)
+INDEX(Scenarios!AA$121:AA$200,MATCH($B360,Scenarios!$B$121:$B$200,0))</f>
        <v>0</v>
      </c>
      <c r="AB360" s="476">
        <f>INDEX(Input!$1:$1048576,AB$93,$C360*2+MIN($B360,2)+5)</f>
        <v>0.27</v>
      </c>
      <c r="AC360" s="475">
        <f>INDEX(Input!$1:$1048576,AC$93,$C360*2+MIN($B360,2)+5)
+INDEX(Scenarios!AC$121:AC$200,MATCH($B360,Scenarios!$B$121:$B$200,0))</f>
        <v>0</v>
      </c>
      <c r="AD360" s="476">
        <f>INDEX(Input!$1:$1048576,AD$93,$C360*2+MIN($B360,2)+5)</f>
        <v>0.27</v>
      </c>
      <c r="AE360" s="475">
        <f>INDEX(Input!$1:$1048576,AE$93,$C360*2+MIN($B360,2)+5)
+INDEX(Scenarios!AE$121:AE$200,MATCH($B360,Scenarios!$B$121:$B$200,0))</f>
        <v>0</v>
      </c>
      <c r="AF360" s="476">
        <f>INDEX(Input!$1:$1048576,AF$93,$C360*2+MIN($B360,2)+5)</f>
        <v>0.68200000000000005</v>
      </c>
      <c r="AG360" s="475">
        <f>INDEX(Input!$1:$1048576,AG$93,$C360*2+MIN($B360,2)+5)
+INDEX(Scenarios!AG$121:AG$200,MATCH($B360,Scenarios!$B$121:$B$200,0))</f>
        <v>500</v>
      </c>
      <c r="AH360" s="476">
        <f>INDEX(Input!$1:$1048576,AH$93,$C360*2+MIN($B360,2)+5)</f>
        <v>1</v>
      </c>
      <c r="AI360" s="475">
        <f>INDEX(Input!$1:$1048576,AI$93,$C360*2+MIN($B360,2)+5)
+INDEX(Scenarios!AI$121:AI$200,MATCH($B360,Scenarios!$B$121:$B$200,0))</f>
        <v>0</v>
      </c>
      <c r="AJ360" s="476">
        <f>INDEX(Input!$1:$1048576,AJ$93,$C360*2+MIN($B360,2)+5)</f>
        <v>0.27</v>
      </c>
      <c r="AK360" s="150">
        <f>ROUND(INDEX(Input!$1:$1048576,AK$93,$C359*2+MIN($B360,1)+5)+(Y360-VLOOKUP($C360*1000+1,$A:$HH,Y$92,FALSE)),0)</f>
        <v>2617</v>
      </c>
      <c r="AL360" s="150">
        <f>ROUND(INDEX(Input!$1:$1048576,AL$93,$C359*2+MIN($B360,1)+5)-(Y360-VLOOKUP($C360*1000+1,$A:$HH,Y$92,FALSE))/36,0)</f>
        <v>3405</v>
      </c>
      <c r="AM360" s="32" t="str">
        <f t="shared" si="907"/>
        <v>std/std/std/std</v>
      </c>
      <c r="AN360" s="32" t="str">
        <f t="shared" si="908"/>
        <v>$0 + 0/0/0/0.9/3.9</v>
      </c>
      <c r="AO360" s="32" t="str">
        <f t="shared" si="909"/>
        <v>0/0/0/0.9/3.9</v>
      </c>
      <c r="AP360" s="32" t="str">
        <f t="shared" si="993"/>
        <v>0/0/0.9/3.9</v>
      </c>
      <c r="AQ360" s="536">
        <f t="shared" si="992"/>
        <v>0.36478676735615229</v>
      </c>
      <c r="AR360" s="32"/>
      <c r="AS360" s="302"/>
      <c r="AT360" s="3">
        <f t="shared" si="930"/>
        <v>60</v>
      </c>
      <c r="AU360" s="41" t="s">
        <v>121</v>
      </c>
      <c r="AV360" s="41" t="s">
        <v>116</v>
      </c>
      <c r="AW360" s="41" t="str">
        <f>INDEX(Input!$1:$1048576,AW$93,$C360*2+6)</f>
        <v>Kia</v>
      </c>
      <c r="AX360" s="41" t="str">
        <f>INDEX(Input!$1:$1048576,AX$93,$C360*2+6)</f>
        <v>Kia-LR - L3</v>
      </c>
      <c r="AY360" s="41" t="str">
        <f>IF(LEN(D360)=0,"",INDEX(Input!$1:$1048576,AY$93,$C360*2+6))</f>
        <v>Compact SUV (52)</v>
      </c>
      <c r="AZ360" s="41" t="str">
        <f>INDEX(Input!$1:$1048576,AZ$93,$C360*2+6)</f>
        <v>Kia Soul</v>
      </c>
      <c r="BA360" s="3">
        <f>INDEX(Input!$1:$1048576,BA$93,$C360*2+6)</f>
        <v>2020</v>
      </c>
      <c r="BB360" s="128">
        <f>INDEX(Input!$1:$1048576,BB$93,$C360*2+6)</f>
        <v>1</v>
      </c>
      <c r="BC360" s="128">
        <f>INDEX(Input!$1:$1048576,BC$93,$C360*2+6)</f>
        <v>0.7</v>
      </c>
      <c r="BD360" s="1">
        <f>INDEX(Input!$1:$1048576,BD$93,$C360*2+6)</f>
        <v>4.4999999999999998E-2</v>
      </c>
      <c r="BE360" s="1">
        <f>INDEX(Input!$1:$1048576,BE$93,$C360*2+6)</f>
        <v>4.4999999999999998E-2</v>
      </c>
      <c r="BF360" s="1">
        <f>INDEX(Input!$1:$1048576,BF$93,$C360*2+6)</f>
        <v>0.05</v>
      </c>
      <c r="BG360" s="1">
        <f>INDEX(Input!$1:$1048576,BG$93,$C360*2+6)</f>
        <v>5.45E-2</v>
      </c>
      <c r="BH360" s="1">
        <f>INDEX(Input!$1:$1048576,BH$93,$C360*2+6)</f>
        <v>5.45E-2</v>
      </c>
      <c r="BI360" s="1">
        <f>INDEX(Input!$1:$1048576,BI$93,$C360*2+6)</f>
        <v>0.05</v>
      </c>
      <c r="BJ360" s="1">
        <f>INDEX(Input!$1:$1048576,BJ$93,$C360*2+6)</f>
        <v>0.05</v>
      </c>
      <c r="BK360" s="1">
        <f>INDEX(Input!$1:$1048576,BK$93,$C360*2+6)</f>
        <v>0.05</v>
      </c>
      <c r="BL360" s="1">
        <f>INDEX(Input!$1:$1048576,BL$93,$C360*2+6)</f>
        <v>5.5E-2</v>
      </c>
      <c r="BM360" s="1">
        <f>INDEX(Input!$1:$1048576,BM$93,$C360*2+6)</f>
        <v>0.06</v>
      </c>
      <c r="BN360" s="1">
        <f>INDEX(Input!$1:$1048576,BN$93,$C360*2+6)</f>
        <v>4.4999999999999998E-2</v>
      </c>
      <c r="BO360" s="1">
        <f>INDEX(Input!$1:$1048576,BO$93,$C360*2+6)</f>
        <v>4.4999999999999998E-2</v>
      </c>
      <c r="BP360" s="1">
        <f>INDEX(Input!$1:$1048576,BP$93,$C360*2+6)</f>
        <v>0.05</v>
      </c>
      <c r="BQ360" s="1">
        <f>INDEX(Input!$1:$1048576,BQ$93,$C360*2+6)</f>
        <v>5.45E-2</v>
      </c>
      <c r="BR360" s="1">
        <f>INDEX(Input!$1:$1048576,BR$93,$C360*2+6)</f>
        <v>5.45E-2</v>
      </c>
      <c r="BS360" s="1">
        <f>INDEX(Input!$1:$1048576,BS$93,$C360*2+6)</f>
        <v>0.05</v>
      </c>
      <c r="BT360" s="1">
        <f>INDEX(Input!$1:$1048576,BT$93,$C360*2+6)</f>
        <v>0.05</v>
      </c>
      <c r="BU360" s="1">
        <f>INDEX(Input!$1:$1048576,BU$93,$C360*2+6)</f>
        <v>0.05</v>
      </c>
      <c r="BV360" s="1">
        <f>INDEX(Input!$1:$1048576,BV$93,$C360*2+6)</f>
        <v>5.5E-2</v>
      </c>
      <c r="BW360" s="1">
        <f>INDEX(Input!$1:$1048576,BW$93,$C360*2+6)</f>
        <v>0.06</v>
      </c>
      <c r="BX360" s="127">
        <f>INDEX(Input!$1:$1048576,BX$93,$C360*2+6)</f>
        <v>19985</v>
      </c>
      <c r="BY360" s="20">
        <f>INDEX(Input!$1:$1048576,BY$93,$C360*2+6)</f>
        <v>0.1</v>
      </c>
      <c r="BZ360" s="20">
        <f>INDEX(Input!$1:$1048576,BZ$93,$C360*2+6)</f>
        <v>0.1</v>
      </c>
      <c r="CA360" s="20">
        <f>INDEX(Input!$1:$1048576,CA$93,$C360*2+6)</f>
        <v>0.1</v>
      </c>
      <c r="CB360" s="20">
        <f>INDEX(Input!$1:$1048576,CB$93,$C360*2+6)</f>
        <v>0.1</v>
      </c>
      <c r="CC360" s="20">
        <f>INDEX(Input!$1:$1048576,CC$93,$C360*2+6)</f>
        <v>0.1</v>
      </c>
      <c r="CD360" s="384">
        <f>INDEX(Input!$1:$1048576,CD$93,$C360*2+6)</f>
        <v>0.1</v>
      </c>
      <c r="CE360" s="384">
        <f>INDEX(Input!$1:$1048576,CE$93,$C360*2+6)</f>
        <v>0.1</v>
      </c>
      <c r="CF360" s="384">
        <f>INDEX(Input!$1:$1048576,CF$93,$C360*2+6)</f>
        <v>0.1</v>
      </c>
      <c r="CG360" s="384">
        <f>INDEX(Input!$1:$1048576,CG$93,$C360*2+6)</f>
        <v>0.1</v>
      </c>
      <c r="CH360" s="384">
        <f>INDEX(Input!$1:$1048576,CH$93,$C360*2+6)</f>
        <v>0.1</v>
      </c>
      <c r="CI360" s="304">
        <f t="shared" si="994"/>
        <v>1787.0236024844721</v>
      </c>
      <c r="CJ360" s="16" t="str">
        <f>INDEX(Input!$1:$1048576,CJ$93,$C360*2+6)</f>
        <v>N</v>
      </c>
      <c r="CK360" s="1" t="str">
        <f t="shared" si="995"/>
        <v>Market</v>
      </c>
      <c r="CL360" s="1" t="str">
        <f t="shared" si="996"/>
        <v>Market</v>
      </c>
      <c r="CM360" s="1" t="str">
        <f t="shared" si="997"/>
        <v>Market</v>
      </c>
      <c r="CN360" s="1" t="str">
        <f t="shared" si="998"/>
        <v>Market</v>
      </c>
      <c r="CO360" s="1" t="str">
        <f t="shared" si="999"/>
        <v>Market</v>
      </c>
      <c r="CP360" s="304">
        <f t="shared" si="1000"/>
        <v>500</v>
      </c>
      <c r="CQ360" s="1">
        <f t="shared" si="1001"/>
        <v>0</v>
      </c>
      <c r="CR360" s="1">
        <f t="shared" si="1002"/>
        <v>0</v>
      </c>
      <c r="CS360" s="1">
        <f t="shared" si="1003"/>
        <v>0</v>
      </c>
      <c r="CT360" s="1">
        <f t="shared" si="1004"/>
        <v>8.9999999999999993E-3</v>
      </c>
      <c r="CU360" s="1">
        <f t="shared" si="1005"/>
        <v>3.9E-2</v>
      </c>
      <c r="CV360" s="304">
        <f t="shared" si="1006"/>
        <v>1194.9999999999991</v>
      </c>
      <c r="CW360" s="20" t="s">
        <v>122</v>
      </c>
      <c r="CX360" s="20" t="s">
        <v>122</v>
      </c>
      <c r="CY360" s="20" t="s">
        <v>122</v>
      </c>
      <c r="CZ360" s="20" t="s">
        <v>122</v>
      </c>
      <c r="DA360" s="20" t="s">
        <v>122</v>
      </c>
      <c r="DB360" s="503">
        <f t="shared" si="1007"/>
        <v>0</v>
      </c>
      <c r="DC360" s="127">
        <v>0</v>
      </c>
      <c r="DD360" s="127">
        <v>0</v>
      </c>
      <c r="DE360" s="127">
        <v>0</v>
      </c>
      <c r="DF360" s="127">
        <v>0</v>
      </c>
      <c r="DG360" s="127">
        <v>0</v>
      </c>
      <c r="DH360" s="127">
        <v>0</v>
      </c>
      <c r="DI360" s="127">
        <v>0</v>
      </c>
      <c r="DJ360" s="127">
        <v>0</v>
      </c>
      <c r="DK360" s="127">
        <v>0</v>
      </c>
      <c r="DL360" s="127">
        <v>0</v>
      </c>
      <c r="DM360" s="304">
        <f>INDEX(Input!$1:$1048576,DM$93,$C360*2+6)</f>
        <v>21036.84210526316</v>
      </c>
      <c r="DN360" s="20">
        <v>0</v>
      </c>
      <c r="DO360" s="20">
        <v>0</v>
      </c>
      <c r="DP360" s="20">
        <v>0</v>
      </c>
      <c r="DQ360" s="20">
        <v>0</v>
      </c>
      <c r="DR360" s="20">
        <v>0</v>
      </c>
      <c r="DS360" s="20">
        <f>INDEX(Input!$1:$1048576,DS$93,$C360*2+6)</f>
        <v>0.6</v>
      </c>
      <c r="DT360" s="20">
        <f>INDEX(Input!$1:$1048576,DT$93,$C360*2+6)</f>
        <v>0.55000000000000004</v>
      </c>
      <c r="DU360" s="20">
        <f>INDEX(Input!$1:$1048576,DU$93,$C360*2+6)</f>
        <v>0.52</v>
      </c>
      <c r="DV360" s="20">
        <f>INDEX(Input!$1:$1048576,DV$93,$C360*2+6)</f>
        <v>0.5</v>
      </c>
      <c r="DW360" s="20">
        <f>INDEX(Input!$1:$1048576,DW$93,$C360*2+6)</f>
        <v>0.45</v>
      </c>
      <c r="DX360" s="20"/>
      <c r="DY360" s="7">
        <v>0.11201748766255641</v>
      </c>
      <c r="DZ360" s="7">
        <v>0</v>
      </c>
      <c r="EA360" s="7">
        <v>0.73282169505567263</v>
      </c>
      <c r="EB360" s="7">
        <v>0</v>
      </c>
      <c r="EC360" s="7">
        <v>0</v>
      </c>
      <c r="ED360" s="7">
        <v>0</v>
      </c>
      <c r="EE360" s="7">
        <v>0</v>
      </c>
      <c r="EF360" s="7">
        <v>0</v>
      </c>
      <c r="EG360" s="7">
        <v>0</v>
      </c>
      <c r="EH360" s="7">
        <v>9.4357369617139916E-3</v>
      </c>
      <c r="EI360" s="7">
        <v>2.6425318629145354E-2</v>
      </c>
      <c r="EJ360" s="7">
        <v>0.21295024191233247</v>
      </c>
      <c r="EK360" s="7">
        <v>0.64014067737418923</v>
      </c>
      <c r="EL360" s="7">
        <v>0.1110480251226187</v>
      </c>
      <c r="EM360" s="7">
        <v>5.0992562224427489E-2</v>
      </c>
      <c r="EN360" s="7">
        <v>6.1207630642762315E-2</v>
      </c>
      <c r="EO360" s="7">
        <v>0.76997418441671961</v>
      </c>
      <c r="EP360" s="7">
        <v>6.9527415455725688E-2</v>
      </c>
      <c r="EQ360" s="7">
        <v>6.5255077967477551E-2</v>
      </c>
      <c r="ER360" s="7">
        <v>3.4035691517314781E-2</v>
      </c>
      <c r="ES360" s="7">
        <v>0.10416825505734348</v>
      </c>
      <c r="ET360" s="7">
        <v>0.15516081728177095</v>
      </c>
      <c r="EU360" s="6">
        <v>2111</v>
      </c>
      <c r="EV360" s="6">
        <v>0</v>
      </c>
      <c r="EW360" s="6">
        <v>2111</v>
      </c>
      <c r="EX360" s="6">
        <v>0</v>
      </c>
      <c r="EY360" s="6">
        <v>2652.4594214953368</v>
      </c>
      <c r="EZ360" s="6">
        <v>1929</v>
      </c>
      <c r="FA360" s="6">
        <v>0</v>
      </c>
      <c r="FB360" s="6">
        <v>0</v>
      </c>
      <c r="FC360" s="6">
        <v>0</v>
      </c>
      <c r="FD360" s="6">
        <v>0</v>
      </c>
      <c r="FE360" s="6">
        <v>0</v>
      </c>
      <c r="FF360" s="6">
        <v>0</v>
      </c>
      <c r="FG360" s="6">
        <v>0</v>
      </c>
      <c r="FH360" s="6">
        <v>1172.0133808808291</v>
      </c>
      <c r="FI360" s="6">
        <v>1553.9796069512406</v>
      </c>
      <c r="FJ360" s="6">
        <v>2101.2110117447414</v>
      </c>
      <c r="FK360" s="6">
        <v>2251.3078348034674</v>
      </c>
      <c r="FL360" s="6">
        <v>907.07682140966324</v>
      </c>
      <c r="FM360" s="6">
        <v>2041.459421495337</v>
      </c>
      <c r="FN360" s="6">
        <v>0</v>
      </c>
      <c r="FO360" s="6">
        <v>0</v>
      </c>
      <c r="FP360" s="6">
        <v>0</v>
      </c>
      <c r="FQ360" s="6">
        <v>0</v>
      </c>
      <c r="FR360" s="6">
        <v>0</v>
      </c>
      <c r="FS360" s="6">
        <v>0</v>
      </c>
      <c r="FT360" s="7">
        <v>0.844839182718229</v>
      </c>
      <c r="FU360" s="7">
        <v>5.0992562224427489E-2</v>
      </c>
      <c r="FV360" s="7">
        <v>0.10416825505734348</v>
      </c>
      <c r="FW360" s="6">
        <v>2111</v>
      </c>
      <c r="FX360" s="6">
        <v>2652.4594214953368</v>
      </c>
      <c r="FY360" s="6">
        <v>1929</v>
      </c>
      <c r="FZ360" s="6">
        <v>1858.9243755539039</v>
      </c>
      <c r="GA360" s="6">
        <v>2119.651780822167</v>
      </c>
      <c r="GB360" s="6">
        <v>17865.348219177831</v>
      </c>
      <c r="GC360" s="7">
        <v>2.9156573141622111E-2</v>
      </c>
      <c r="GD360" s="7">
        <v>3.0808551348693734E-2</v>
      </c>
      <c r="GE360" s="7"/>
      <c r="GF360" s="7"/>
      <c r="GG360" s="7">
        <v>5.6658860389644378E-2</v>
      </c>
      <c r="GH360" s="42">
        <v>4.3429547566048479</v>
      </c>
      <c r="GI360" s="6">
        <v>6721.3575594988642</v>
      </c>
      <c r="GJ360" s="14">
        <v>0.50394797582841733</v>
      </c>
      <c r="GK360" s="14">
        <v>0.50887573065309755</v>
      </c>
      <c r="GL360" s="14">
        <v>0.49605202417158278</v>
      </c>
      <c r="GM360" s="14">
        <v>0.49112426934690251</v>
      </c>
      <c r="GO360" s="5">
        <v>343.14810671672558</v>
      </c>
      <c r="GP360" s="5">
        <v>302.87425392274076</v>
      </c>
      <c r="GQ360" s="5">
        <v>535.04305713031317</v>
      </c>
      <c r="GR360" s="5">
        <v>410.15490233172511</v>
      </c>
      <c r="GS360" s="5">
        <v>339.42744393800166</v>
      </c>
      <c r="GT360" s="5">
        <v>293.4407446948278</v>
      </c>
      <c r="GU360" s="5">
        <v>258.04012322764959</v>
      </c>
      <c r="GV360" s="39" t="s">
        <v>392</v>
      </c>
      <c r="GW360" s="5">
        <v>482.65277777777777</v>
      </c>
      <c r="GX360" s="5">
        <v>361.98958333333331</v>
      </c>
      <c r="GY360" s="5">
        <v>289.59166666666664</v>
      </c>
      <c r="GZ360" s="5">
        <v>247.99130496280273</v>
      </c>
      <c r="HA360" s="5">
        <v>236.70336205047303</v>
      </c>
      <c r="HB360" s="39">
        <v>260.82325304481571</v>
      </c>
      <c r="HC360" s="5">
        <v>202.890625</v>
      </c>
      <c r="HD360" s="5">
        <v>182.20330774853798</v>
      </c>
      <c r="HE360" s="5">
        <v>187.48257844129552</v>
      </c>
      <c r="HF360" s="5">
        <v>176.30063048245611</v>
      </c>
      <c r="HG360" s="5">
        <v>173.65888157894736</v>
      </c>
      <c r="HH360" s="39">
        <v>183.16058835009798</v>
      </c>
      <c r="HI360" s="16"/>
      <c r="HJ360" s="19" t="str">
        <f t="shared" si="991"/>
        <v>On</v>
      </c>
      <c r="HK360" s="1" t="str">
        <f t="shared" si="991"/>
        <v>On</v>
      </c>
      <c r="HL360" s="16"/>
      <c r="HM360" s="639">
        <f t="shared" si="878"/>
        <v>2.2758057894877178E-2</v>
      </c>
      <c r="HN360" s="639">
        <f t="shared" si="879"/>
        <v>1.416759231746561E-3</v>
      </c>
      <c r="HO360" s="639">
        <f t="shared" si="880"/>
        <v>4.5732401537654987E-3</v>
      </c>
      <c r="HP360" s="644">
        <f>(FT360*$GD360-HM360)/$JF360*INDEX(Input!$1:$1048576,$JG$93,$C360*2+6)</f>
        <v>183.14432863335716</v>
      </c>
      <c r="HQ360" s="644">
        <f>(FU360*$GD360-HN360)/$JF360*INDEX(Input!$1:$1048576,$JG$93,$C360*2+6)</f>
        <v>8.6384571622078408</v>
      </c>
      <c r="HR360" s="644">
        <f>(FV360*$GD360-HO360)/$JF360*INDEX(Input!$1:$1048576,$JG$93,$C360*2+6)</f>
        <v>-76.387320369341936</v>
      </c>
      <c r="HS360" s="644">
        <f t="shared" si="985"/>
        <v>-64.961280659641673</v>
      </c>
      <c r="HT360" s="644">
        <f t="shared" si="882"/>
        <v>50.835809227799267</v>
      </c>
      <c r="HU360" s="644">
        <f t="shared" si="883"/>
        <v>8.0441481257416214</v>
      </c>
      <c r="HV360" s="648">
        <f t="shared" si="884"/>
        <v>0</v>
      </c>
      <c r="HW360" s="648">
        <f t="shared" si="885"/>
        <v>0</v>
      </c>
      <c r="HX360" s="648">
        <f t="shared" si="886"/>
        <v>0</v>
      </c>
      <c r="HY360" s="644">
        <f>INDEX(Input!$1:$1048576,HY$93,$C360*2+6)*INDEX(Input!$1:$1048576,$JG$93,$C360*2+6)</f>
        <v>509.00000000000006</v>
      </c>
      <c r="HZ360" s="644">
        <f>INDEX(Input!$1:$1048576,HZ$93,$C360*2+6)*INDEX(Input!$1:$1048576,$JG$93,$C360*2+6)</f>
        <v>844</v>
      </c>
      <c r="IA360" s="644">
        <f>INDEX(Input!$1:$1048576,IA$93,$C360*2+6)*INDEX(Input!$1:$1048576,$JG$93,$C360*2+6)</f>
        <v>257</v>
      </c>
      <c r="IB360" s="644">
        <f t="shared" si="910"/>
        <v>627.18304797371559</v>
      </c>
      <c r="IC360" s="644">
        <f t="shared" si="911"/>
        <v>903.47426639000707</v>
      </c>
      <c r="ID360" s="644">
        <f>IF(AND(INDEX(Input!$1:$1048576,IA$93,$C360*2+7)="TOS",Y360&lt;=INDEX(Y:Y,MATCH(C360*1000+2,A:A))),0,1)*MAX(IA360+HR360+HU360+HX360,0%)</f>
        <v>188.65682775639971</v>
      </c>
      <c r="IE360" s="128">
        <f t="shared" si="990"/>
        <v>0.36478676735615229</v>
      </c>
      <c r="IF360" s="128">
        <f t="shared" si="977"/>
        <v>0.52548527593445715</v>
      </c>
      <c r="IG360" s="128">
        <f t="shared" si="888"/>
        <v>0.10972795670939053</v>
      </c>
      <c r="IH360" s="21"/>
      <c r="II360" s="19">
        <f t="shared" si="889"/>
        <v>1410.4999999999998</v>
      </c>
      <c r="IJ360" s="19">
        <f t="shared" si="890"/>
        <v>2134.9731585778086</v>
      </c>
      <c r="IK360" s="19">
        <f t="shared" si="891"/>
        <v>2103.5</v>
      </c>
      <c r="IL360" s="19">
        <f t="shared" si="913"/>
        <v>700.50000000000023</v>
      </c>
      <c r="IM360" s="19">
        <f t="shared" si="892"/>
        <v>517.48626291752817</v>
      </c>
      <c r="IN360" s="19">
        <f t="shared" si="893"/>
        <v>-174.5</v>
      </c>
      <c r="IO360" s="39">
        <f t="shared" si="894"/>
        <v>0</v>
      </c>
      <c r="IP360" s="39">
        <f t="shared" si="895"/>
        <v>0</v>
      </c>
      <c r="IQ360" s="39">
        <f t="shared" si="896"/>
        <v>0</v>
      </c>
      <c r="IR360" s="39">
        <v>0</v>
      </c>
      <c r="IS360" s="39">
        <v>0</v>
      </c>
      <c r="IT360" s="39">
        <v>0</v>
      </c>
      <c r="IU360" s="39">
        <v>0</v>
      </c>
      <c r="IV360" s="39">
        <v>0</v>
      </c>
      <c r="IW360" s="39">
        <v>0</v>
      </c>
      <c r="IX360" s="39">
        <f>INDEX(Input!$1:$1048576,IX$93,$C360*2+6)+INDEX(Input!$1:$1048576,IX$94,$C360*2+6)</f>
        <v>1611</v>
      </c>
      <c r="IY360" s="39">
        <f>INDEX(Input!$1:$1048576,IY$93,$C360*2+6)+INDEX(Input!$1:$1048576,IY$94,$C360*2+6)</f>
        <v>2471.0624533823611</v>
      </c>
      <c r="IZ360" s="39">
        <f>INDEX(Input!$1:$1048576,IZ$93,$C360*2+6)+INDEX(Input!$1:$1048576,IZ$94,$C360*2+6)</f>
        <v>3994.7164157747857</v>
      </c>
      <c r="JA360" s="19">
        <f t="shared" si="914"/>
        <v>2311.5</v>
      </c>
      <c r="JB360" s="19">
        <f t="shared" si="915"/>
        <v>2988.5487162998893</v>
      </c>
      <c r="JC360" s="19">
        <f t="shared" si="916"/>
        <v>3820.2164157747857</v>
      </c>
      <c r="JD360" s="19">
        <f t="shared" si="917"/>
        <v>2832.8275010627999</v>
      </c>
      <c r="JE360" s="21"/>
      <c r="JF360" s="1">
        <f t="shared" si="897"/>
        <v>2.8748057280389237E-2</v>
      </c>
      <c r="JG360" s="15">
        <f>INDEX(Input!$1:$1048576,JG$93,$C360*2+6)/(1+VLOOKUP(C360*1000+INDEX(Input!$1:$1048576,JG$93+1,$C360*2+6),$A:$KK,$JK$92,FALSE))</f>
        <v>1610</v>
      </c>
      <c r="JH360" s="1">
        <f t="shared" si="918"/>
        <v>7.1674202128088851E-2</v>
      </c>
      <c r="JI360" s="1">
        <f t="shared" si="919"/>
        <v>-3.7772194447830963E-3</v>
      </c>
      <c r="JJ360" s="1">
        <f t="shared" si="978"/>
        <v>0</v>
      </c>
      <c r="JK360" s="1">
        <f t="shared" si="979"/>
        <v>6.7896982683305754E-2</v>
      </c>
      <c r="JL360" s="15">
        <f t="shared" si="922"/>
        <v>109.31414212012227</v>
      </c>
      <c r="JM360" s="15">
        <f t="shared" si="948"/>
        <v>1719.3141421201224</v>
      </c>
      <c r="JN360" s="21"/>
      <c r="JO360" s="19">
        <f>INDEX(Input!$1:$1048576,JO$93,$C360*2+6)</f>
        <v>5995.5</v>
      </c>
      <c r="JP360" s="19">
        <f>INDEX(Input!$1:$1048576,JP$93,$C360*2+6)</f>
        <v>2442.3713226762939</v>
      </c>
      <c r="JQ360" s="39">
        <f t="shared" si="934"/>
        <v>3162.6724989372001</v>
      </c>
      <c r="JR360" s="39">
        <f t="shared" si="951"/>
        <v>390.45617838650605</v>
      </c>
      <c r="JS360" s="39">
        <f t="shared" si="936"/>
        <v>4.8705203847640783</v>
      </c>
      <c r="JT360" s="39">
        <f t="shared" si="924"/>
        <v>0.93830255525524497</v>
      </c>
      <c r="JU360" s="385">
        <f>(JQ360*JM360-INDEX(Input!$1:$1048576,Input!A$18,$C360*2+6)*JL360*INDEX(Input!$1:$1048576,Input!A$19,$C360*2+6))/1000000</f>
        <v>5.4376275543171158</v>
      </c>
      <c r="JV360" s="39">
        <f t="shared" si="958"/>
        <v>-0.28290961617405141</v>
      </c>
      <c r="JW360" s="1">
        <f t="shared" si="949"/>
        <v>-4.9455078735160231E-2</v>
      </c>
      <c r="JX360" s="19">
        <f t="shared" si="940"/>
        <v>8583.542230283163</v>
      </c>
      <c r="JZ360" s="341"/>
      <c r="KA360" s="342"/>
      <c r="KB360" s="469">
        <f t="shared" si="937"/>
        <v>2.5190675447988795</v>
      </c>
      <c r="KI360" s="473">
        <f t="shared" si="987"/>
        <v>118.18304797371553</v>
      </c>
      <c r="KJ360" s="473">
        <f t="shared" si="988"/>
        <v>59.47426639000696</v>
      </c>
      <c r="KK360" s="473">
        <f t="shared" si="926"/>
        <v>-68.343172243600293</v>
      </c>
      <c r="KN360" s="544">
        <f t="shared" si="941"/>
        <v>3002</v>
      </c>
      <c r="KO360" s="541">
        <f t="shared" si="901"/>
        <v>3.6273649098767624E-2</v>
      </c>
      <c r="KP360" s="546">
        <f t="shared" si="902"/>
        <v>309.43739306505944</v>
      </c>
      <c r="KQ360" s="546">
        <f t="shared" si="903"/>
        <v>196.9140756741017</v>
      </c>
      <c r="KR360" s="548">
        <f t="shared" si="904"/>
        <v>2.033738302789013</v>
      </c>
      <c r="KS360" s="548">
        <f t="shared" si="905"/>
        <v>3.1958846844098847</v>
      </c>
      <c r="KT360" s="473">
        <f t="shared" si="939"/>
        <v>1026.1618045255443</v>
      </c>
      <c r="KU360" s="663">
        <f t="shared" si="927"/>
        <v>4.7654326666018694</v>
      </c>
      <c r="KV360" s="117"/>
    </row>
    <row r="361" spans="1:308" s="26" customFormat="1" ht="15" outlineLevel="1">
      <c r="A361" s="561">
        <f t="shared" si="906"/>
        <v>3061</v>
      </c>
      <c r="B361" s="561">
        <f t="shared" si="928"/>
        <v>61</v>
      </c>
      <c r="C361" s="561">
        <f t="shared" si="929"/>
        <v>3</v>
      </c>
      <c r="D361" s="561" t="str">
        <f t="shared" si="974"/>
        <v xml:space="preserve">750 CC, 0/0/0.9/3.9, -360 Lease, </v>
      </c>
      <c r="E361" s="475">
        <f>INDEX(Input!$1:$1048576,E$93,$C361*2+MIN($B361,2)+5)
+INDEX(Scenarios!E$121:E$200,MATCH($B361,Scenarios!$B$121:$B$200,0))</f>
        <v>2037.0236024844721</v>
      </c>
      <c r="F361" s="475">
        <f>INDEX(Input!$1:$1048576,F$93,$C361*2+MIN($B361,2)+5)
+INDEX(Scenarios!F$121:F$200,MATCH($B361,Scenarios!$B$121:$B$200,0))</f>
        <v>0</v>
      </c>
      <c r="G361" s="475">
        <f>INDEX(Input!$1:$1048576,G$93,$C361*2+MIN($B361,2)+5)
+INDEX(Scenarios!G$121:G$200,MATCH($B361,Scenarios!$B$121:$B$200,0))</f>
        <v>0</v>
      </c>
      <c r="H361" s="475">
        <f>INDEX(Input!$1:$1048576,H$93,$C361*2+MIN($B361,2)+5)
+INDEX(Scenarios!H$121:H$200,MATCH($B361,Scenarios!$B$121:$B$200,0))</f>
        <v>0</v>
      </c>
      <c r="I361" s="476">
        <f>INDEX(Input!$1:$1048576,I$93,$C361*2+MIN($B361,2)+5)</f>
        <v>0.7</v>
      </c>
      <c r="J361" s="476" t="str">
        <f>INDEX(Input!$1:$1048576,J$93,$C361*2+MIN($B361,2)+5)</f>
        <v>Market</v>
      </c>
      <c r="K361" s="476" t="str">
        <f>INDEX(Input!$1:$1048576,K$93,$C361*2+MIN($B361,2)+5)</f>
        <v>Market</v>
      </c>
      <c r="L361" s="476" t="str">
        <f>INDEX(Input!$1:$1048576,L$93,$C361*2+MIN($B361,2)+5)</f>
        <v>Market</v>
      </c>
      <c r="M361" s="476" t="str">
        <f>INDEX(Input!$1:$1048576,M$93,$C361*2+MIN($B361,2)+5)</f>
        <v>Market</v>
      </c>
      <c r="N361" s="476" t="str">
        <f>INDEX(Input!$1:$1048576,N$93,$C361*2+MIN($B361,2)+5)</f>
        <v>Market</v>
      </c>
      <c r="O361" s="476" t="str">
        <f>INDEX(Input!$1:$1048576,O$93,$C361*2+MIN($B361,2)+5)</f>
        <v>Market</v>
      </c>
      <c r="P361" s="476" t="str">
        <f>INDEX(Input!$1:$1048576,P$93,$C361*2+MIN($B361,2)+5)</f>
        <v>N</v>
      </c>
      <c r="Q361" s="477">
        <f>INDEX(Input!$1:$1048576,Q$93,$C361*2+MIN($B361,2)+5)
+INDEX(Scenarios!Q$121:Q$200,MATCH($B361,Scenarios!$B$121:$B$200,0))</f>
        <v>0</v>
      </c>
      <c r="R361" s="478">
        <f>IFERROR(MAX(0,INDEX(Input!$1:$1048576,R$93,$C361*2+MIN($B361,2)+5)
+INDEX(Scenarios!R$121:R$200,MATCH($B361,Scenarios!$B$121:$B$200,0)),),"Market")</f>
        <v>0</v>
      </c>
      <c r="S361" s="478">
        <f>IFERROR(MAX(0,INDEX(Input!$1:$1048576,S$93,$C361*2+MIN($B361,2)+5)
+INDEX(Scenarios!S$121:S$200,MATCH($B361,Scenarios!$B$121:$B$200,0)),),"Market")</f>
        <v>0</v>
      </c>
      <c r="T361" s="478">
        <f>IFERROR(MAX(0,INDEX(Input!$1:$1048576,T$93,$C361*2+MIN($B361,2)+5)
+INDEX(Scenarios!T$121:T$200,MATCH($B361,Scenarios!$B$121:$B$200,0)),),"Market")</f>
        <v>0</v>
      </c>
      <c r="U361" s="478">
        <f>IFERROR(MAX(0,INDEX(Input!$1:$1048576,U$93,$C361*2+MIN($B361,2)+5)
+INDEX(Scenarios!U$121:U$200,MATCH($B361,Scenarios!$B$121:$B$200,0)),),"Market")</f>
        <v>0</v>
      </c>
      <c r="V361" s="478">
        <f>IFERROR(MAX(0,INDEX(Input!$1:$1048576,V$93,$C361*2+MIN($B361,2)+5)
+INDEX(Scenarios!V$121:V$200,MATCH($B361,Scenarios!$B$121:$B$200,0)),),"Market")</f>
        <v>8.9999999999999993E-3</v>
      </c>
      <c r="W361" s="885">
        <f>IFERROR(MAX(0,INDEX(Input!$1:$1048576,W$93,$C361*2+MIN($B361,2)+5)-0%,),"Market")</f>
        <v>3.9E-2</v>
      </c>
      <c r="X361" s="476" t="str">
        <f>INDEX(Input!$1:$1048576,X$93,$C361*2+MIN($B361,2)+5)</f>
        <v>Y</v>
      </c>
      <c r="Y361" s="475">
        <f>INDEX(Input!$1:$1048576,Y$93,$C361*2+MIN($B361,2)+5)
++INDEX(Scenarios!Y$121:Y$200,MATCH($B361,Scenarios!$B$121:$B$200,0))</f>
        <v>1194.9999999999991</v>
      </c>
      <c r="Z361" s="477">
        <f>INDEX(Input!$1:$1048576,Z$93,$C361*2+MIN($B361,2)+5)
+INDEX(Scenarios!Z$121:Z$200,MATCH($B361,Scenarios!$B$121:$B$200,0))</f>
        <v>0</v>
      </c>
      <c r="AA361" s="475">
        <f>INDEX(Input!$1:$1048576,AA$93,$C361*2+MIN($B361,2)+5)
+INDEX(Scenarios!AA$121:AA$200,MATCH($B361,Scenarios!$B$121:$B$200,0))</f>
        <v>0</v>
      </c>
      <c r="AB361" s="476">
        <f>INDEX(Input!$1:$1048576,AB$93,$C361*2+MIN($B361,2)+5)</f>
        <v>0.27</v>
      </c>
      <c r="AC361" s="475">
        <f>INDEX(Input!$1:$1048576,AC$93,$C361*2+MIN($B361,2)+5)
+INDEX(Scenarios!AC$121:AC$200,MATCH($B361,Scenarios!$B$121:$B$200,0))</f>
        <v>0</v>
      </c>
      <c r="AD361" s="476">
        <f>INDEX(Input!$1:$1048576,AD$93,$C361*2+MIN($B361,2)+5)</f>
        <v>0.27</v>
      </c>
      <c r="AE361" s="475">
        <f>INDEX(Input!$1:$1048576,AE$93,$C361*2+MIN($B361,2)+5)
+INDEX(Scenarios!AE$121:AE$200,MATCH($B361,Scenarios!$B$121:$B$200,0))</f>
        <v>0</v>
      </c>
      <c r="AF361" s="476">
        <f>INDEX(Input!$1:$1048576,AF$93,$C361*2+MIN($B361,2)+5)</f>
        <v>0.68200000000000005</v>
      </c>
      <c r="AG361" s="475">
        <f>INDEX(Input!$1:$1048576,AG$93,$C361*2+MIN($B361,2)+5)
+INDEX(Scenarios!AG$121:AG$200,MATCH($B361,Scenarios!$B$121:$B$200,0))</f>
        <v>500</v>
      </c>
      <c r="AH361" s="476">
        <f>INDEX(Input!$1:$1048576,AH$93,$C361*2+MIN($B361,2)+5)</f>
        <v>1</v>
      </c>
      <c r="AI361" s="475">
        <f>INDEX(Input!$1:$1048576,AI$93,$C361*2+MIN($B361,2)+5)
+INDEX(Scenarios!AI$121:AI$200,MATCH($B361,Scenarios!$B$121:$B$200,0))</f>
        <v>0</v>
      </c>
      <c r="AJ361" s="476">
        <f>INDEX(Input!$1:$1048576,AJ$93,$C361*2+MIN($B361,2)+5)</f>
        <v>0.27</v>
      </c>
      <c r="AK361" s="150">
        <f>ROUND(INDEX(Input!$1:$1048576,AK$93,$C360*2+MIN($B361,1)+5)+(Y361-VLOOKUP($C361*1000+1,$A:$HH,Y$92,FALSE)),0)</f>
        <v>2617</v>
      </c>
      <c r="AL361" s="150">
        <f>ROUND(INDEX(Input!$1:$1048576,AL$93,$C360*2+MIN($B361,1)+5)-(Y361-VLOOKUP($C361*1000+1,$A:$HH,Y$92,FALSE))/36,0)</f>
        <v>3405</v>
      </c>
      <c r="AM361" s="32" t="str">
        <f t="shared" si="907"/>
        <v>std/std/std/std</v>
      </c>
      <c r="AN361" s="32" t="str">
        <f t="shared" si="908"/>
        <v>$0 + 0/0/0/0.9/3.9</v>
      </c>
      <c r="AO361" s="32" t="str">
        <f t="shared" si="909"/>
        <v>0/0/0/0.9/3.9</v>
      </c>
      <c r="AP361" s="32" t="str">
        <f t="shared" si="993"/>
        <v>0/0/0.9/3.9</v>
      </c>
      <c r="AQ361" s="536">
        <f t="shared" si="992"/>
        <v>0.3859834254759017</v>
      </c>
      <c r="AR361" s="32"/>
      <c r="AS361" s="302"/>
      <c r="AT361" s="3">
        <f t="shared" si="930"/>
        <v>61</v>
      </c>
      <c r="AU361" s="41" t="s">
        <v>121</v>
      </c>
      <c r="AV361" s="41" t="s">
        <v>116</v>
      </c>
      <c r="AW361" s="41" t="str">
        <f>INDEX(Input!$1:$1048576,AW$93,$C361*2+6)</f>
        <v>Kia</v>
      </c>
      <c r="AX361" s="41" t="str">
        <f>INDEX(Input!$1:$1048576,AX$93,$C361*2+6)</f>
        <v>Kia-LR - L3</v>
      </c>
      <c r="AY361" s="41" t="str">
        <f>IF(LEN(D361)=0,"",INDEX(Input!$1:$1048576,AY$93,$C361*2+6))</f>
        <v>Compact SUV (52)</v>
      </c>
      <c r="AZ361" s="41" t="str">
        <f>INDEX(Input!$1:$1048576,AZ$93,$C361*2+6)</f>
        <v>Kia Soul</v>
      </c>
      <c r="BA361" s="3">
        <f>INDEX(Input!$1:$1048576,BA$93,$C361*2+6)</f>
        <v>2020</v>
      </c>
      <c r="BB361" s="128">
        <f>INDEX(Input!$1:$1048576,BB$93,$C361*2+6)</f>
        <v>1</v>
      </c>
      <c r="BC361" s="128">
        <f>INDEX(Input!$1:$1048576,BC$93,$C361*2+6)</f>
        <v>0.7</v>
      </c>
      <c r="BD361" s="1">
        <f>INDEX(Input!$1:$1048576,BD$93,$C361*2+6)</f>
        <v>4.4999999999999998E-2</v>
      </c>
      <c r="BE361" s="1">
        <f>INDEX(Input!$1:$1048576,BE$93,$C361*2+6)</f>
        <v>4.4999999999999998E-2</v>
      </c>
      <c r="BF361" s="1">
        <f>INDEX(Input!$1:$1048576,BF$93,$C361*2+6)</f>
        <v>0.05</v>
      </c>
      <c r="BG361" s="1">
        <f>INDEX(Input!$1:$1048576,BG$93,$C361*2+6)</f>
        <v>5.45E-2</v>
      </c>
      <c r="BH361" s="1">
        <f>INDEX(Input!$1:$1048576,BH$93,$C361*2+6)</f>
        <v>5.45E-2</v>
      </c>
      <c r="BI361" s="1">
        <f>INDEX(Input!$1:$1048576,BI$93,$C361*2+6)</f>
        <v>0.05</v>
      </c>
      <c r="BJ361" s="1">
        <f>INDEX(Input!$1:$1048576,BJ$93,$C361*2+6)</f>
        <v>0.05</v>
      </c>
      <c r="BK361" s="1">
        <f>INDEX(Input!$1:$1048576,BK$93,$C361*2+6)</f>
        <v>0.05</v>
      </c>
      <c r="BL361" s="1">
        <f>INDEX(Input!$1:$1048576,BL$93,$C361*2+6)</f>
        <v>5.5E-2</v>
      </c>
      <c r="BM361" s="1">
        <f>INDEX(Input!$1:$1048576,BM$93,$C361*2+6)</f>
        <v>0.06</v>
      </c>
      <c r="BN361" s="1">
        <f>INDEX(Input!$1:$1048576,BN$93,$C361*2+6)</f>
        <v>4.4999999999999998E-2</v>
      </c>
      <c r="BO361" s="1">
        <f>INDEX(Input!$1:$1048576,BO$93,$C361*2+6)</f>
        <v>4.4999999999999998E-2</v>
      </c>
      <c r="BP361" s="1">
        <f>INDEX(Input!$1:$1048576,BP$93,$C361*2+6)</f>
        <v>0.05</v>
      </c>
      <c r="BQ361" s="1">
        <f>INDEX(Input!$1:$1048576,BQ$93,$C361*2+6)</f>
        <v>5.45E-2</v>
      </c>
      <c r="BR361" s="1">
        <f>INDEX(Input!$1:$1048576,BR$93,$C361*2+6)</f>
        <v>5.45E-2</v>
      </c>
      <c r="BS361" s="1">
        <f>INDEX(Input!$1:$1048576,BS$93,$C361*2+6)</f>
        <v>0.05</v>
      </c>
      <c r="BT361" s="1">
        <f>INDEX(Input!$1:$1048576,BT$93,$C361*2+6)</f>
        <v>0.05</v>
      </c>
      <c r="BU361" s="1">
        <f>INDEX(Input!$1:$1048576,BU$93,$C361*2+6)</f>
        <v>0.05</v>
      </c>
      <c r="BV361" s="1">
        <f>INDEX(Input!$1:$1048576,BV$93,$C361*2+6)</f>
        <v>5.5E-2</v>
      </c>
      <c r="BW361" s="1">
        <f>INDEX(Input!$1:$1048576,BW$93,$C361*2+6)</f>
        <v>0.06</v>
      </c>
      <c r="BX361" s="127">
        <f>INDEX(Input!$1:$1048576,BX$93,$C361*2+6)</f>
        <v>19985</v>
      </c>
      <c r="BY361" s="20">
        <f>INDEX(Input!$1:$1048576,BY$93,$C361*2+6)</f>
        <v>0.1</v>
      </c>
      <c r="BZ361" s="20">
        <f>INDEX(Input!$1:$1048576,BZ$93,$C361*2+6)</f>
        <v>0.1</v>
      </c>
      <c r="CA361" s="20">
        <f>INDEX(Input!$1:$1048576,CA$93,$C361*2+6)</f>
        <v>0.1</v>
      </c>
      <c r="CB361" s="20">
        <f>INDEX(Input!$1:$1048576,CB$93,$C361*2+6)</f>
        <v>0.1</v>
      </c>
      <c r="CC361" s="20">
        <f>INDEX(Input!$1:$1048576,CC$93,$C361*2+6)</f>
        <v>0.1</v>
      </c>
      <c r="CD361" s="384">
        <f>INDEX(Input!$1:$1048576,CD$93,$C361*2+6)</f>
        <v>0.1</v>
      </c>
      <c r="CE361" s="384">
        <f>INDEX(Input!$1:$1048576,CE$93,$C361*2+6)</f>
        <v>0.1</v>
      </c>
      <c r="CF361" s="384">
        <f>INDEX(Input!$1:$1048576,CF$93,$C361*2+6)</f>
        <v>0.1</v>
      </c>
      <c r="CG361" s="384">
        <f>INDEX(Input!$1:$1048576,CG$93,$C361*2+6)</f>
        <v>0.1</v>
      </c>
      <c r="CH361" s="384">
        <f>INDEX(Input!$1:$1048576,CH$93,$C361*2+6)</f>
        <v>0.1</v>
      </c>
      <c r="CI361" s="304">
        <f t="shared" si="994"/>
        <v>2037.0236024844721</v>
      </c>
      <c r="CJ361" s="16" t="str">
        <f>INDEX(Input!$1:$1048576,CJ$93,$C361*2+6)</f>
        <v>N</v>
      </c>
      <c r="CK361" s="1" t="str">
        <f t="shared" si="995"/>
        <v>Market</v>
      </c>
      <c r="CL361" s="1" t="str">
        <f t="shared" si="996"/>
        <v>Market</v>
      </c>
      <c r="CM361" s="1" t="str">
        <f t="shared" si="997"/>
        <v>Market</v>
      </c>
      <c r="CN361" s="1" t="str">
        <f t="shared" si="998"/>
        <v>Market</v>
      </c>
      <c r="CO361" s="1" t="str">
        <f t="shared" si="999"/>
        <v>Market</v>
      </c>
      <c r="CP361" s="304">
        <f t="shared" si="1000"/>
        <v>500</v>
      </c>
      <c r="CQ361" s="1">
        <f t="shared" si="1001"/>
        <v>0</v>
      </c>
      <c r="CR361" s="1">
        <f t="shared" si="1002"/>
        <v>0</v>
      </c>
      <c r="CS361" s="1">
        <f t="shared" si="1003"/>
        <v>0</v>
      </c>
      <c r="CT361" s="1">
        <f t="shared" si="1004"/>
        <v>8.9999999999999993E-3</v>
      </c>
      <c r="CU361" s="1">
        <f t="shared" si="1005"/>
        <v>3.9E-2</v>
      </c>
      <c r="CV361" s="304">
        <f t="shared" si="1006"/>
        <v>1194.9999999999991</v>
      </c>
      <c r="CW361" s="20" t="s">
        <v>122</v>
      </c>
      <c r="CX361" s="20" t="s">
        <v>122</v>
      </c>
      <c r="CY361" s="20" t="s">
        <v>122</v>
      </c>
      <c r="CZ361" s="20" t="s">
        <v>122</v>
      </c>
      <c r="DA361" s="20" t="s">
        <v>122</v>
      </c>
      <c r="DB361" s="503">
        <f t="shared" si="1007"/>
        <v>0</v>
      </c>
      <c r="DC361" s="127">
        <v>0</v>
      </c>
      <c r="DD361" s="127">
        <v>0</v>
      </c>
      <c r="DE361" s="127">
        <v>0</v>
      </c>
      <c r="DF361" s="127">
        <v>0</v>
      </c>
      <c r="DG361" s="127">
        <v>0</v>
      </c>
      <c r="DH361" s="127">
        <v>0</v>
      </c>
      <c r="DI361" s="127">
        <v>0</v>
      </c>
      <c r="DJ361" s="127">
        <v>0</v>
      </c>
      <c r="DK361" s="127">
        <v>0</v>
      </c>
      <c r="DL361" s="127">
        <v>0</v>
      </c>
      <c r="DM361" s="304">
        <f>INDEX(Input!$1:$1048576,DM$93,$C361*2+6)</f>
        <v>21036.84210526316</v>
      </c>
      <c r="DN361" s="20">
        <v>0</v>
      </c>
      <c r="DO361" s="20">
        <v>0</v>
      </c>
      <c r="DP361" s="20">
        <v>0</v>
      </c>
      <c r="DQ361" s="20">
        <v>0</v>
      </c>
      <c r="DR361" s="20">
        <v>0</v>
      </c>
      <c r="DS361" s="20">
        <f>INDEX(Input!$1:$1048576,DS$93,$C361*2+6)</f>
        <v>0.6</v>
      </c>
      <c r="DT361" s="20">
        <f>INDEX(Input!$1:$1048576,DT$93,$C361*2+6)</f>
        <v>0.55000000000000004</v>
      </c>
      <c r="DU361" s="20">
        <f>INDEX(Input!$1:$1048576,DU$93,$C361*2+6)</f>
        <v>0.52</v>
      </c>
      <c r="DV361" s="20">
        <f>INDEX(Input!$1:$1048576,DV$93,$C361*2+6)</f>
        <v>0.5</v>
      </c>
      <c r="DW361" s="20">
        <f>INDEX(Input!$1:$1048576,DW$93,$C361*2+6)</f>
        <v>0.45</v>
      </c>
      <c r="DX361" s="20"/>
      <c r="DY361" s="7">
        <v>0.11687265483724012</v>
      </c>
      <c r="DZ361" s="7">
        <v>0</v>
      </c>
      <c r="EA361" s="7">
        <v>0.74501366666798807</v>
      </c>
      <c r="EB361" s="7">
        <v>0</v>
      </c>
      <c r="EC361" s="7">
        <v>0</v>
      </c>
      <c r="ED361" s="7">
        <v>0</v>
      </c>
      <c r="EE361" s="7">
        <v>0</v>
      </c>
      <c r="EF361" s="7">
        <v>0</v>
      </c>
      <c r="EG361" s="7">
        <v>0</v>
      </c>
      <c r="EH361" s="7">
        <v>9.4362723725967216E-3</v>
      </c>
      <c r="EI361" s="7">
        <v>2.6428844918194722E-2</v>
      </c>
      <c r="EJ361" s="7">
        <v>0.21307137234185825</v>
      </c>
      <c r="EK361" s="7">
        <v>0.64005792719464349</v>
      </c>
      <c r="EL361" s="7">
        <v>0.1110055831727069</v>
      </c>
      <c r="EM361" s="7">
        <v>4.5407879481239512E-2</v>
      </c>
      <c r="EN361" s="7">
        <v>6.1224182925457601E-2</v>
      </c>
      <c r="EO361" s="7">
        <v>0.77000278934239941</v>
      </c>
      <c r="EP361" s="7">
        <v>6.949583640896409E-2</v>
      </c>
      <c r="EQ361" s="7">
        <v>6.5238581949150609E-2</v>
      </c>
      <c r="ER361" s="7">
        <v>3.4038609374028632E-2</v>
      </c>
      <c r="ES361" s="7">
        <v>9.2705799013532306E-2</v>
      </c>
      <c r="ET361" s="7">
        <v>0.1381136784947718</v>
      </c>
      <c r="EU361" s="6">
        <v>2361</v>
      </c>
      <c r="EV361" s="6">
        <v>0</v>
      </c>
      <c r="EW361" s="6">
        <v>2361</v>
      </c>
      <c r="EX361" s="6">
        <v>0</v>
      </c>
      <c r="EY361" s="6">
        <v>2652.4952856041864</v>
      </c>
      <c r="EZ361" s="6">
        <v>1929</v>
      </c>
      <c r="FA361" s="6">
        <v>0</v>
      </c>
      <c r="FB361" s="6">
        <v>0</v>
      </c>
      <c r="FC361" s="6">
        <v>0</v>
      </c>
      <c r="FD361" s="6">
        <v>0</v>
      </c>
      <c r="FE361" s="6">
        <v>0</v>
      </c>
      <c r="FF361" s="6">
        <v>0</v>
      </c>
      <c r="FG361" s="6">
        <v>0</v>
      </c>
      <c r="FH361" s="6">
        <v>1172.016609173131</v>
      </c>
      <c r="FI361" s="6">
        <v>1553.9796069512399</v>
      </c>
      <c r="FJ361" s="6">
        <v>2101.211011744741</v>
      </c>
      <c r="FK361" s="6">
        <v>2251.3078348034678</v>
      </c>
      <c r="FL361" s="6">
        <v>907.07682140966347</v>
      </c>
      <c r="FM361" s="6">
        <v>2041.4952856041862</v>
      </c>
      <c r="FN361" s="6">
        <v>0</v>
      </c>
      <c r="FO361" s="6">
        <v>0</v>
      </c>
      <c r="FP361" s="6">
        <v>0</v>
      </c>
      <c r="FQ361" s="6">
        <v>0</v>
      </c>
      <c r="FR361" s="6">
        <v>0</v>
      </c>
      <c r="FS361" s="6">
        <v>0</v>
      </c>
      <c r="FT361" s="7">
        <v>0.86188632150522815</v>
      </c>
      <c r="FU361" s="7">
        <v>4.5407879481239512E-2</v>
      </c>
      <c r="FV361" s="7">
        <v>9.2705799013532306E-2</v>
      </c>
      <c r="FW361" s="6">
        <v>2361</v>
      </c>
      <c r="FX361" s="6">
        <v>2652.4952856041864</v>
      </c>
      <c r="FY361" s="6">
        <v>1929</v>
      </c>
      <c r="FZ361" s="6">
        <v>1858.9243755539039</v>
      </c>
      <c r="GA361" s="6">
        <v>2334.1872776242185</v>
      </c>
      <c r="GB361" s="6">
        <v>17650.81272237578</v>
      </c>
      <c r="GC361" s="7">
        <v>2.9156573141622111E-2</v>
      </c>
      <c r="GD361" s="7">
        <v>3.1601570388808023E-2</v>
      </c>
      <c r="GE361" s="7"/>
      <c r="GF361" s="7"/>
      <c r="GG361" s="7">
        <v>8.3857497083413599E-2</v>
      </c>
      <c r="GH361" s="42">
        <v>3.5262421533673054</v>
      </c>
      <c r="GI361" s="6">
        <v>8001.6936855195972</v>
      </c>
      <c r="GJ361" s="14">
        <v>0.50394797582841733</v>
      </c>
      <c r="GK361" s="14">
        <v>0.50887573065309744</v>
      </c>
      <c r="GL361" s="14">
        <v>0.49605202417158284</v>
      </c>
      <c r="GM361" s="14">
        <v>0.49112426934690251</v>
      </c>
      <c r="GO361" s="5">
        <v>343.14810671672558</v>
      </c>
      <c r="GP361" s="5">
        <v>298.1047308538179</v>
      </c>
      <c r="GQ361" s="5">
        <v>535.04305713031317</v>
      </c>
      <c r="GR361" s="5">
        <v>410.15490233172511</v>
      </c>
      <c r="GS361" s="5">
        <v>339.42744393800166</v>
      </c>
      <c r="GT361" s="5">
        <v>293.4407446948278</v>
      </c>
      <c r="GU361" s="5">
        <v>258.04012322764959</v>
      </c>
      <c r="GV361" s="39" t="s">
        <v>392</v>
      </c>
      <c r="GW361" s="5">
        <v>482.65277777777777</v>
      </c>
      <c r="GX361" s="5">
        <v>361.98958333333331</v>
      </c>
      <c r="GY361" s="5">
        <v>289.59166666666664</v>
      </c>
      <c r="GZ361" s="5">
        <v>247.99130496280273</v>
      </c>
      <c r="HA361" s="5">
        <v>236.70336205047303</v>
      </c>
      <c r="HB361" s="39">
        <v>260.82929882799209</v>
      </c>
      <c r="HC361" s="5">
        <v>202.890625</v>
      </c>
      <c r="HD361" s="5">
        <v>182.20330774853798</v>
      </c>
      <c r="HE361" s="5">
        <v>187.48257844129552</v>
      </c>
      <c r="HF361" s="5">
        <v>176.30063048245611</v>
      </c>
      <c r="HG361" s="5">
        <v>173.65888157894736</v>
      </c>
      <c r="HH361" s="39">
        <v>183.16083649734645</v>
      </c>
      <c r="HI361" s="16"/>
      <c r="HJ361" s="19" t="str">
        <f t="shared" si="991"/>
        <v>On</v>
      </c>
      <c r="HK361" s="1" t="str">
        <f t="shared" si="991"/>
        <v>On</v>
      </c>
      <c r="HL361" s="16"/>
      <c r="HM361" s="639">
        <f t="shared" si="878"/>
        <v>2.2758057894877178E-2</v>
      </c>
      <c r="HN361" s="639">
        <f t="shared" si="879"/>
        <v>1.416759231746561E-3</v>
      </c>
      <c r="HO361" s="639">
        <f t="shared" si="880"/>
        <v>4.5732401537654987E-3</v>
      </c>
      <c r="HP361" s="644">
        <f>(FT361*$GD361-HM361)/$JF361*INDEX(Input!$1:$1048576,$JG$93,$C361*2+6)</f>
        <v>250.83553790767161</v>
      </c>
      <c r="HQ361" s="644">
        <f>(FU361*$GD361-HN361)/$JF361*INDEX(Input!$1:$1048576,$JG$93,$C361*2+6)</f>
        <v>1.0193286805852666</v>
      </c>
      <c r="HR361" s="644">
        <f>(FV361*$GD361-HO361)/$JF361*INDEX(Input!$1:$1048576,$JG$93,$C361*2+6)</f>
        <v>-92.047333865404326</v>
      </c>
      <c r="HS361" s="644">
        <f t="shared" si="985"/>
        <v>-87.930518387265082</v>
      </c>
      <c r="HT361" s="644">
        <f t="shared" si="882"/>
        <v>46.775032090520696</v>
      </c>
      <c r="HU361" s="644">
        <f t="shared" si="883"/>
        <v>12.109279509001993</v>
      </c>
      <c r="HV361" s="648">
        <f t="shared" si="884"/>
        <v>0</v>
      </c>
      <c r="HW361" s="648">
        <f t="shared" si="885"/>
        <v>0</v>
      </c>
      <c r="HX361" s="648">
        <f t="shared" si="886"/>
        <v>0</v>
      </c>
      <c r="HY361" s="644">
        <f>INDEX(Input!$1:$1048576,HY$93,$C361*2+6)*INDEX(Input!$1:$1048576,$JG$93,$C361*2+6)</f>
        <v>509.00000000000006</v>
      </c>
      <c r="HZ361" s="644">
        <f>INDEX(Input!$1:$1048576,HZ$93,$C361*2+6)*INDEX(Input!$1:$1048576,$JG$93,$C361*2+6)</f>
        <v>844</v>
      </c>
      <c r="IA361" s="644">
        <f>INDEX(Input!$1:$1048576,IA$93,$C361*2+6)*INDEX(Input!$1:$1048576,$JG$93,$C361*2+6)</f>
        <v>257</v>
      </c>
      <c r="IB361" s="644">
        <f t="shared" si="910"/>
        <v>671.90501952040643</v>
      </c>
      <c r="IC361" s="644">
        <f t="shared" si="911"/>
        <v>891.79436077110597</v>
      </c>
      <c r="ID361" s="644">
        <f>IF(AND(INDEX(Input!$1:$1048576,IA$93,$C361*2+7)="TOS",Y361&lt;=INDEX(Y:Y,MATCH(C361*1000+2,A:A))),0,1)*MAX(IA361+HR361+HU361+HX361,0%)</f>
        <v>177.06194564359768</v>
      </c>
      <c r="IE361" s="128">
        <f t="shared" si="990"/>
        <v>0.3859834254759017</v>
      </c>
      <c r="IF361" s="128">
        <f t="shared" si="977"/>
        <v>0.51230134050229303</v>
      </c>
      <c r="IG361" s="128">
        <f t="shared" si="888"/>
        <v>0.10171523402180523</v>
      </c>
      <c r="IH361" s="21"/>
      <c r="II361" s="19">
        <f t="shared" si="889"/>
        <v>1410.4999999999998</v>
      </c>
      <c r="IJ361" s="19">
        <f t="shared" si="890"/>
        <v>2134.9731585778086</v>
      </c>
      <c r="IK361" s="19">
        <f t="shared" si="891"/>
        <v>2103.5</v>
      </c>
      <c r="IL361" s="19">
        <f t="shared" si="913"/>
        <v>950.50000000000023</v>
      </c>
      <c r="IM361" s="19">
        <f t="shared" si="892"/>
        <v>517.5221270263778</v>
      </c>
      <c r="IN361" s="19">
        <f t="shared" si="893"/>
        <v>-174.5</v>
      </c>
      <c r="IO361" s="39">
        <f t="shared" si="894"/>
        <v>0</v>
      </c>
      <c r="IP361" s="39">
        <f t="shared" si="895"/>
        <v>0</v>
      </c>
      <c r="IQ361" s="39">
        <f t="shared" si="896"/>
        <v>0</v>
      </c>
      <c r="IR361" s="39">
        <v>0</v>
      </c>
      <c r="IS361" s="39">
        <v>0</v>
      </c>
      <c r="IT361" s="39">
        <v>0</v>
      </c>
      <c r="IU361" s="39">
        <v>0</v>
      </c>
      <c r="IV361" s="39">
        <v>0</v>
      </c>
      <c r="IW361" s="39">
        <v>0</v>
      </c>
      <c r="IX361" s="39">
        <f>INDEX(Input!$1:$1048576,IX$93,$C361*2+6)+INDEX(Input!$1:$1048576,IX$94,$C361*2+6)</f>
        <v>1611</v>
      </c>
      <c r="IY361" s="39">
        <f>INDEX(Input!$1:$1048576,IY$93,$C361*2+6)+INDEX(Input!$1:$1048576,IY$94,$C361*2+6)</f>
        <v>2471.0624533823611</v>
      </c>
      <c r="IZ361" s="39">
        <f>INDEX(Input!$1:$1048576,IZ$93,$C361*2+6)+INDEX(Input!$1:$1048576,IZ$94,$C361*2+6)</f>
        <v>3994.7164157747857</v>
      </c>
      <c r="JA361" s="19">
        <f t="shared" si="914"/>
        <v>2561.5</v>
      </c>
      <c r="JB361" s="19">
        <f t="shared" si="915"/>
        <v>2988.5845804087389</v>
      </c>
      <c r="JC361" s="19">
        <f t="shared" si="916"/>
        <v>3820.2164157747857</v>
      </c>
      <c r="JD361" s="19">
        <f t="shared" si="917"/>
        <v>2908.3266378488765</v>
      </c>
      <c r="JE361" s="21"/>
      <c r="JF361" s="1">
        <f t="shared" si="897"/>
        <v>2.8748057280389237E-2</v>
      </c>
      <c r="JG361" s="15">
        <f>INDEX(Input!$1:$1048576,JG$93,$C361*2+6)/(1+VLOOKUP(C361*1000+INDEX(Input!$1:$1048576,JG$93+1,$C361*2+6),$A:$KK,$JK$92,FALSE))</f>
        <v>1610</v>
      </c>
      <c r="JH361" s="1">
        <f t="shared" si="918"/>
        <v>9.9259337094939476E-2</v>
      </c>
      <c r="JI361" s="1">
        <f t="shared" si="919"/>
        <v>-1.8041122228411425E-2</v>
      </c>
      <c r="JJ361" s="1">
        <f t="shared" si="978"/>
        <v>0</v>
      </c>
      <c r="JK361" s="1">
        <f t="shared" si="979"/>
        <v>8.1218214866528055E-2</v>
      </c>
      <c r="JL361" s="15">
        <f t="shared" si="922"/>
        <v>130.76132593511016</v>
      </c>
      <c r="JM361" s="15">
        <f t="shared" si="948"/>
        <v>1740.7613259351101</v>
      </c>
      <c r="JN361" s="21"/>
      <c r="JO361" s="19">
        <f>INDEX(Input!$1:$1048576,JO$93,$C361*2+6)</f>
        <v>5995.5</v>
      </c>
      <c r="JP361" s="19">
        <f>INDEX(Input!$1:$1048576,JP$93,$C361*2+6)</f>
        <v>2442.3713226762939</v>
      </c>
      <c r="JQ361" s="39">
        <f t="shared" si="934"/>
        <v>3087.1733621511235</v>
      </c>
      <c r="JR361" s="39">
        <f t="shared" si="951"/>
        <v>465.95531517258269</v>
      </c>
      <c r="JS361" s="39">
        <f t="shared" si="936"/>
        <v>5.0627025343542105</v>
      </c>
      <c r="JT361" s="39">
        <f t="shared" si="924"/>
        <v>1.1304847048453777</v>
      </c>
      <c r="JU361" s="385">
        <f>(JQ361*JM361-INDEX(Input!$1:$1048576,Input!A$18,$C361*2+6)*JL361*INDEX(Input!$1:$1048576,Input!A$19,$C361*2+6))/1000000</f>
        <v>5.3740319952897408</v>
      </c>
      <c r="JV361" s="39">
        <f t="shared" si="958"/>
        <v>-0.34650517520142632</v>
      </c>
      <c r="JW361" s="1">
        <f t="shared" si="949"/>
        <v>-6.0572139446770742E-2</v>
      </c>
      <c r="JX361" s="19">
        <f t="shared" si="940"/>
        <v>8645.4056408572724</v>
      </c>
      <c r="JZ361" s="341"/>
      <c r="KA361" s="342"/>
      <c r="KB361" s="469">
        <f t="shared" si="937"/>
        <v>2.5190675447988795</v>
      </c>
      <c r="KI361" s="473">
        <f t="shared" si="987"/>
        <v>162.90501952040637</v>
      </c>
      <c r="KJ361" s="473">
        <f t="shared" si="988"/>
        <v>47.794360771105971</v>
      </c>
      <c r="KK361" s="473">
        <f t="shared" si="926"/>
        <v>-79.938054356402318</v>
      </c>
      <c r="KN361" s="544">
        <f t="shared" si="941"/>
        <v>3002</v>
      </c>
      <c r="KO361" s="541">
        <f t="shared" si="901"/>
        <v>4.9200403372680057E-2</v>
      </c>
      <c r="KP361" s="546">
        <f t="shared" si="902"/>
        <v>415.25604624493019</v>
      </c>
      <c r="KQ361" s="546">
        <f t="shared" si="903"/>
        <v>272.41321246017833</v>
      </c>
      <c r="KR361" s="548">
        <f t="shared" si="904"/>
        <v>2.0555560005379343</v>
      </c>
      <c r="KS361" s="548">
        <f t="shared" si="905"/>
        <v>3.1334091687759149</v>
      </c>
      <c r="KT361" s="473">
        <f t="shared" si="939"/>
        <v>1026.1618045255443</v>
      </c>
      <c r="KU361" s="663">
        <f t="shared" si="927"/>
        <v>4.7853464259029606</v>
      </c>
      <c r="KV361" s="117"/>
    </row>
    <row r="362" spans="1:308" s="26" customFormat="1" ht="15" outlineLevel="1">
      <c r="A362" s="561">
        <f t="shared" si="906"/>
        <v>3062</v>
      </c>
      <c r="B362" s="561">
        <f t="shared" si="928"/>
        <v>62</v>
      </c>
      <c r="C362" s="561">
        <f t="shared" si="929"/>
        <v>3</v>
      </c>
      <c r="D362" s="561" t="str">
        <f t="shared" si="974"/>
        <v xml:space="preserve">1000 CC, 0/0/0.9/3.9, -360 Lease, </v>
      </c>
      <c r="E362" s="475">
        <f>INDEX(Input!$1:$1048576,E$93,$C362*2+MIN($B362,2)+5)
+INDEX(Scenarios!E$121:E$200,MATCH($B362,Scenarios!$B$121:$B$200,0))</f>
        <v>2287.0236024844721</v>
      </c>
      <c r="F362" s="475">
        <f>INDEX(Input!$1:$1048576,F$93,$C362*2+MIN($B362,2)+5)
+INDEX(Scenarios!F$121:F$200,MATCH($B362,Scenarios!$B$121:$B$200,0))</f>
        <v>0</v>
      </c>
      <c r="G362" s="475">
        <f>INDEX(Input!$1:$1048576,G$93,$C362*2+MIN($B362,2)+5)
+INDEX(Scenarios!G$121:G$200,MATCH($B362,Scenarios!$B$121:$B$200,0))</f>
        <v>0</v>
      </c>
      <c r="H362" s="475">
        <f>INDEX(Input!$1:$1048576,H$93,$C362*2+MIN($B362,2)+5)
+INDEX(Scenarios!H$121:H$200,MATCH($B362,Scenarios!$B$121:$B$200,0))</f>
        <v>0</v>
      </c>
      <c r="I362" s="476">
        <f>INDEX(Input!$1:$1048576,I$93,$C362*2+MIN($B362,2)+5)</f>
        <v>0.7</v>
      </c>
      <c r="J362" s="476" t="str">
        <f>INDEX(Input!$1:$1048576,J$93,$C362*2+MIN($B362,2)+5)</f>
        <v>Market</v>
      </c>
      <c r="K362" s="476" t="str">
        <f>INDEX(Input!$1:$1048576,K$93,$C362*2+MIN($B362,2)+5)</f>
        <v>Market</v>
      </c>
      <c r="L362" s="476" t="str">
        <f>INDEX(Input!$1:$1048576,L$93,$C362*2+MIN($B362,2)+5)</f>
        <v>Market</v>
      </c>
      <c r="M362" s="476" t="str">
        <f>INDEX(Input!$1:$1048576,M$93,$C362*2+MIN($B362,2)+5)</f>
        <v>Market</v>
      </c>
      <c r="N362" s="476" t="str">
        <f>INDEX(Input!$1:$1048576,N$93,$C362*2+MIN($B362,2)+5)</f>
        <v>Market</v>
      </c>
      <c r="O362" s="476" t="str">
        <f>INDEX(Input!$1:$1048576,O$93,$C362*2+MIN($B362,2)+5)</f>
        <v>Market</v>
      </c>
      <c r="P362" s="476" t="str">
        <f>INDEX(Input!$1:$1048576,P$93,$C362*2+MIN($B362,2)+5)</f>
        <v>N</v>
      </c>
      <c r="Q362" s="477">
        <f>INDEX(Input!$1:$1048576,Q$93,$C362*2+MIN($B362,2)+5)
+INDEX(Scenarios!Q$121:Q$200,MATCH($B362,Scenarios!$B$121:$B$200,0))</f>
        <v>0</v>
      </c>
      <c r="R362" s="478">
        <f>IFERROR(MAX(0,INDEX(Input!$1:$1048576,R$93,$C362*2+MIN($B362,2)+5)
+INDEX(Scenarios!R$121:R$200,MATCH($B362,Scenarios!$B$121:$B$200,0)),),"Market")</f>
        <v>0</v>
      </c>
      <c r="S362" s="478">
        <f>IFERROR(MAX(0,INDEX(Input!$1:$1048576,S$93,$C362*2+MIN($B362,2)+5)
+INDEX(Scenarios!S$121:S$200,MATCH($B362,Scenarios!$B$121:$B$200,0)),),"Market")</f>
        <v>0</v>
      </c>
      <c r="T362" s="478">
        <f>IFERROR(MAX(0,INDEX(Input!$1:$1048576,T$93,$C362*2+MIN($B362,2)+5)
+INDEX(Scenarios!T$121:T$200,MATCH($B362,Scenarios!$B$121:$B$200,0)),),"Market")</f>
        <v>0</v>
      </c>
      <c r="U362" s="478">
        <f>IFERROR(MAX(0,INDEX(Input!$1:$1048576,U$93,$C362*2+MIN($B362,2)+5)
+INDEX(Scenarios!U$121:U$200,MATCH($B362,Scenarios!$B$121:$B$200,0)),),"Market")</f>
        <v>0</v>
      </c>
      <c r="V362" s="478">
        <f>IFERROR(MAX(0,INDEX(Input!$1:$1048576,V$93,$C362*2+MIN($B362,2)+5)
+INDEX(Scenarios!V$121:V$200,MATCH($B362,Scenarios!$B$121:$B$200,0)),),"Market")</f>
        <v>8.9999999999999993E-3</v>
      </c>
      <c r="W362" s="885">
        <f>IFERROR(MAX(0,INDEX(Input!$1:$1048576,W$93,$C362*2+MIN($B362,2)+5)-0%,),"Market")</f>
        <v>3.9E-2</v>
      </c>
      <c r="X362" s="476" t="str">
        <f>INDEX(Input!$1:$1048576,X$93,$C362*2+MIN($B362,2)+5)</f>
        <v>Y</v>
      </c>
      <c r="Y362" s="475">
        <f>INDEX(Input!$1:$1048576,Y$93,$C362*2+MIN($B362,2)+5)
++INDEX(Scenarios!Y$121:Y$200,MATCH($B362,Scenarios!$B$121:$B$200,0))</f>
        <v>1194.9999999999991</v>
      </c>
      <c r="Z362" s="477">
        <f>INDEX(Input!$1:$1048576,Z$93,$C362*2+MIN($B362,2)+5)
+INDEX(Scenarios!Z$121:Z$200,MATCH($B362,Scenarios!$B$121:$B$200,0))</f>
        <v>0</v>
      </c>
      <c r="AA362" s="475">
        <f>INDEX(Input!$1:$1048576,AA$93,$C362*2+MIN($B362,2)+5)
+INDEX(Scenarios!AA$121:AA$200,MATCH($B362,Scenarios!$B$121:$B$200,0))</f>
        <v>0</v>
      </c>
      <c r="AB362" s="476">
        <f>INDEX(Input!$1:$1048576,AB$93,$C362*2+MIN($B362,2)+5)</f>
        <v>0.27</v>
      </c>
      <c r="AC362" s="475">
        <f>INDEX(Input!$1:$1048576,AC$93,$C362*2+MIN($B362,2)+5)
+INDEX(Scenarios!AC$121:AC$200,MATCH($B362,Scenarios!$B$121:$B$200,0))</f>
        <v>0</v>
      </c>
      <c r="AD362" s="476">
        <f>INDEX(Input!$1:$1048576,AD$93,$C362*2+MIN($B362,2)+5)</f>
        <v>0.27</v>
      </c>
      <c r="AE362" s="475">
        <f>INDEX(Input!$1:$1048576,AE$93,$C362*2+MIN($B362,2)+5)
+INDEX(Scenarios!AE$121:AE$200,MATCH($B362,Scenarios!$B$121:$B$200,0))</f>
        <v>0</v>
      </c>
      <c r="AF362" s="476">
        <f>INDEX(Input!$1:$1048576,AF$93,$C362*2+MIN($B362,2)+5)</f>
        <v>0.68200000000000005</v>
      </c>
      <c r="AG362" s="475">
        <f>INDEX(Input!$1:$1048576,AG$93,$C362*2+MIN($B362,2)+5)
+INDEX(Scenarios!AG$121:AG$200,MATCH($B362,Scenarios!$B$121:$B$200,0))</f>
        <v>500</v>
      </c>
      <c r="AH362" s="476">
        <f>INDEX(Input!$1:$1048576,AH$93,$C362*2+MIN($B362,2)+5)</f>
        <v>1</v>
      </c>
      <c r="AI362" s="475">
        <f>INDEX(Input!$1:$1048576,AI$93,$C362*2+MIN($B362,2)+5)
+INDEX(Scenarios!AI$121:AI$200,MATCH($B362,Scenarios!$B$121:$B$200,0))</f>
        <v>0</v>
      </c>
      <c r="AJ362" s="476">
        <f>INDEX(Input!$1:$1048576,AJ$93,$C362*2+MIN($B362,2)+5)</f>
        <v>0.27</v>
      </c>
      <c r="AK362" s="150">
        <f>ROUND(INDEX(Input!$1:$1048576,AK$93,$C361*2+MIN($B362,1)+5)+(Y362-VLOOKUP($C362*1000+1,$A:$HH,Y$92,FALSE)),0)</f>
        <v>2617</v>
      </c>
      <c r="AL362" s="150">
        <f>ROUND(INDEX(Input!$1:$1048576,AL$93,$C361*2+MIN($B362,1)+5)-(Y362-VLOOKUP($C362*1000+1,$A:$HH,Y$92,FALSE))/36,0)</f>
        <v>3405</v>
      </c>
      <c r="AM362" s="32" t="str">
        <f t="shared" si="907"/>
        <v>std/std/std/std</v>
      </c>
      <c r="AN362" s="32" t="str">
        <f t="shared" si="908"/>
        <v>$0 + 0/0/0/0.9/3.9</v>
      </c>
      <c r="AO362" s="32" t="str">
        <f t="shared" si="909"/>
        <v>0/0/0/0.9/3.9</v>
      </c>
      <c r="AP362" s="32" t="str">
        <f t="shared" si="993"/>
        <v>0/0/0.9/3.9</v>
      </c>
      <c r="AQ362" s="536">
        <f t="shared" si="992"/>
        <v>0.40643261970300265</v>
      </c>
      <c r="AR362" s="32"/>
      <c r="AS362" s="302"/>
      <c r="AT362" s="3">
        <f t="shared" si="930"/>
        <v>62</v>
      </c>
      <c r="AU362" s="41" t="s">
        <v>121</v>
      </c>
      <c r="AV362" s="41" t="s">
        <v>116</v>
      </c>
      <c r="AW362" s="41" t="str">
        <f>INDEX(Input!$1:$1048576,AW$93,$C362*2+6)</f>
        <v>Kia</v>
      </c>
      <c r="AX362" s="41" t="str">
        <f>INDEX(Input!$1:$1048576,AX$93,$C362*2+6)</f>
        <v>Kia-LR - L3</v>
      </c>
      <c r="AY362" s="41" t="str">
        <f>IF(LEN(D362)=0,"",INDEX(Input!$1:$1048576,AY$93,$C362*2+6))</f>
        <v>Compact SUV (52)</v>
      </c>
      <c r="AZ362" s="41" t="str">
        <f>INDEX(Input!$1:$1048576,AZ$93,$C362*2+6)</f>
        <v>Kia Soul</v>
      </c>
      <c r="BA362" s="3">
        <f>INDEX(Input!$1:$1048576,BA$93,$C362*2+6)</f>
        <v>2020</v>
      </c>
      <c r="BB362" s="128">
        <f>INDEX(Input!$1:$1048576,BB$93,$C362*2+6)</f>
        <v>1</v>
      </c>
      <c r="BC362" s="128">
        <f>INDEX(Input!$1:$1048576,BC$93,$C362*2+6)</f>
        <v>0.7</v>
      </c>
      <c r="BD362" s="1">
        <f>INDEX(Input!$1:$1048576,BD$93,$C362*2+6)</f>
        <v>4.4999999999999998E-2</v>
      </c>
      <c r="BE362" s="1">
        <f>INDEX(Input!$1:$1048576,BE$93,$C362*2+6)</f>
        <v>4.4999999999999998E-2</v>
      </c>
      <c r="BF362" s="1">
        <f>INDEX(Input!$1:$1048576,BF$93,$C362*2+6)</f>
        <v>0.05</v>
      </c>
      <c r="BG362" s="1">
        <f>INDEX(Input!$1:$1048576,BG$93,$C362*2+6)</f>
        <v>5.45E-2</v>
      </c>
      <c r="BH362" s="1">
        <f>INDEX(Input!$1:$1048576,BH$93,$C362*2+6)</f>
        <v>5.45E-2</v>
      </c>
      <c r="BI362" s="1">
        <f>INDEX(Input!$1:$1048576,BI$93,$C362*2+6)</f>
        <v>0.05</v>
      </c>
      <c r="BJ362" s="1">
        <f>INDEX(Input!$1:$1048576,BJ$93,$C362*2+6)</f>
        <v>0.05</v>
      </c>
      <c r="BK362" s="1">
        <f>INDEX(Input!$1:$1048576,BK$93,$C362*2+6)</f>
        <v>0.05</v>
      </c>
      <c r="BL362" s="1">
        <f>INDEX(Input!$1:$1048576,BL$93,$C362*2+6)</f>
        <v>5.5E-2</v>
      </c>
      <c r="BM362" s="1">
        <f>INDEX(Input!$1:$1048576,BM$93,$C362*2+6)</f>
        <v>0.06</v>
      </c>
      <c r="BN362" s="1">
        <f>INDEX(Input!$1:$1048576,BN$93,$C362*2+6)</f>
        <v>4.4999999999999998E-2</v>
      </c>
      <c r="BO362" s="1">
        <f>INDEX(Input!$1:$1048576,BO$93,$C362*2+6)</f>
        <v>4.4999999999999998E-2</v>
      </c>
      <c r="BP362" s="1">
        <f>INDEX(Input!$1:$1048576,BP$93,$C362*2+6)</f>
        <v>0.05</v>
      </c>
      <c r="BQ362" s="1">
        <f>INDEX(Input!$1:$1048576,BQ$93,$C362*2+6)</f>
        <v>5.45E-2</v>
      </c>
      <c r="BR362" s="1">
        <f>INDEX(Input!$1:$1048576,BR$93,$C362*2+6)</f>
        <v>5.45E-2</v>
      </c>
      <c r="BS362" s="1">
        <f>INDEX(Input!$1:$1048576,BS$93,$C362*2+6)</f>
        <v>0.05</v>
      </c>
      <c r="BT362" s="1">
        <f>INDEX(Input!$1:$1048576,BT$93,$C362*2+6)</f>
        <v>0.05</v>
      </c>
      <c r="BU362" s="1">
        <f>INDEX(Input!$1:$1048576,BU$93,$C362*2+6)</f>
        <v>0.05</v>
      </c>
      <c r="BV362" s="1">
        <f>INDEX(Input!$1:$1048576,BV$93,$C362*2+6)</f>
        <v>5.5E-2</v>
      </c>
      <c r="BW362" s="1">
        <f>INDEX(Input!$1:$1048576,BW$93,$C362*2+6)</f>
        <v>0.06</v>
      </c>
      <c r="BX362" s="127">
        <f>INDEX(Input!$1:$1048576,BX$93,$C362*2+6)</f>
        <v>19985</v>
      </c>
      <c r="BY362" s="20">
        <f>INDEX(Input!$1:$1048576,BY$93,$C362*2+6)</f>
        <v>0.1</v>
      </c>
      <c r="BZ362" s="20">
        <f>INDEX(Input!$1:$1048576,BZ$93,$C362*2+6)</f>
        <v>0.1</v>
      </c>
      <c r="CA362" s="20">
        <f>INDEX(Input!$1:$1048576,CA$93,$C362*2+6)</f>
        <v>0.1</v>
      </c>
      <c r="CB362" s="20">
        <f>INDEX(Input!$1:$1048576,CB$93,$C362*2+6)</f>
        <v>0.1</v>
      </c>
      <c r="CC362" s="20">
        <f>INDEX(Input!$1:$1048576,CC$93,$C362*2+6)</f>
        <v>0.1</v>
      </c>
      <c r="CD362" s="384">
        <f>INDEX(Input!$1:$1048576,CD$93,$C362*2+6)</f>
        <v>0.1</v>
      </c>
      <c r="CE362" s="384">
        <f>INDEX(Input!$1:$1048576,CE$93,$C362*2+6)</f>
        <v>0.1</v>
      </c>
      <c r="CF362" s="384">
        <f>INDEX(Input!$1:$1048576,CF$93,$C362*2+6)</f>
        <v>0.1</v>
      </c>
      <c r="CG362" s="384">
        <f>INDEX(Input!$1:$1048576,CG$93,$C362*2+6)</f>
        <v>0.1</v>
      </c>
      <c r="CH362" s="384">
        <f>INDEX(Input!$1:$1048576,CH$93,$C362*2+6)</f>
        <v>0.1</v>
      </c>
      <c r="CI362" s="304">
        <f t="shared" si="994"/>
        <v>2287.0236024844721</v>
      </c>
      <c r="CJ362" s="16" t="str">
        <f>INDEX(Input!$1:$1048576,CJ$93,$C362*2+6)</f>
        <v>N</v>
      </c>
      <c r="CK362" s="1" t="str">
        <f t="shared" si="995"/>
        <v>Market</v>
      </c>
      <c r="CL362" s="1" t="str">
        <f t="shared" si="996"/>
        <v>Market</v>
      </c>
      <c r="CM362" s="1" t="str">
        <f t="shared" si="997"/>
        <v>Market</v>
      </c>
      <c r="CN362" s="1" t="str">
        <f t="shared" si="998"/>
        <v>Market</v>
      </c>
      <c r="CO362" s="1" t="str">
        <f t="shared" si="999"/>
        <v>Market</v>
      </c>
      <c r="CP362" s="304">
        <f t="shared" si="1000"/>
        <v>500</v>
      </c>
      <c r="CQ362" s="1">
        <f t="shared" si="1001"/>
        <v>0</v>
      </c>
      <c r="CR362" s="1">
        <f t="shared" si="1002"/>
        <v>0</v>
      </c>
      <c r="CS362" s="1">
        <f t="shared" si="1003"/>
        <v>0</v>
      </c>
      <c r="CT362" s="1">
        <f t="shared" si="1004"/>
        <v>8.9999999999999993E-3</v>
      </c>
      <c r="CU362" s="1">
        <f t="shared" si="1005"/>
        <v>3.9E-2</v>
      </c>
      <c r="CV362" s="304">
        <f t="shared" si="1006"/>
        <v>1194.9999999999991</v>
      </c>
      <c r="CW362" s="20" t="s">
        <v>122</v>
      </c>
      <c r="CX362" s="20" t="s">
        <v>122</v>
      </c>
      <c r="CY362" s="20" t="s">
        <v>122</v>
      </c>
      <c r="CZ362" s="20" t="s">
        <v>122</v>
      </c>
      <c r="DA362" s="20" t="s">
        <v>122</v>
      </c>
      <c r="DB362" s="503">
        <f t="shared" si="1007"/>
        <v>0</v>
      </c>
      <c r="DC362" s="127">
        <v>0</v>
      </c>
      <c r="DD362" s="127">
        <v>0</v>
      </c>
      <c r="DE362" s="127">
        <v>0</v>
      </c>
      <c r="DF362" s="127">
        <v>0</v>
      </c>
      <c r="DG362" s="127">
        <v>0</v>
      </c>
      <c r="DH362" s="127">
        <v>0</v>
      </c>
      <c r="DI362" s="127">
        <v>0</v>
      </c>
      <c r="DJ362" s="127">
        <v>0</v>
      </c>
      <c r="DK362" s="127">
        <v>0</v>
      </c>
      <c r="DL362" s="127">
        <v>0</v>
      </c>
      <c r="DM362" s="304">
        <f>INDEX(Input!$1:$1048576,DM$93,$C362*2+6)</f>
        <v>21036.84210526316</v>
      </c>
      <c r="DN362" s="20">
        <v>0</v>
      </c>
      <c r="DO362" s="20">
        <v>0</v>
      </c>
      <c r="DP362" s="20">
        <v>0</v>
      </c>
      <c r="DQ362" s="20">
        <v>0</v>
      </c>
      <c r="DR362" s="20">
        <v>0</v>
      </c>
      <c r="DS362" s="20">
        <f>INDEX(Input!$1:$1048576,DS$93,$C362*2+6)</f>
        <v>0.6</v>
      </c>
      <c r="DT362" s="20">
        <f>INDEX(Input!$1:$1048576,DT$93,$C362*2+6)</f>
        <v>0.55000000000000004</v>
      </c>
      <c r="DU362" s="20">
        <f>INDEX(Input!$1:$1048576,DU$93,$C362*2+6)</f>
        <v>0.52</v>
      </c>
      <c r="DV362" s="20">
        <f>INDEX(Input!$1:$1048576,DV$93,$C362*2+6)</f>
        <v>0.5</v>
      </c>
      <c r="DW362" s="20">
        <f>INDEX(Input!$1:$1048576,DW$93,$C362*2+6)</f>
        <v>0.45</v>
      </c>
      <c r="DX362" s="20"/>
      <c r="DY362" s="7">
        <v>0.12166416144412945</v>
      </c>
      <c r="DZ362" s="7">
        <v>0</v>
      </c>
      <c r="EA362" s="7">
        <v>0.75569372540802138</v>
      </c>
      <c r="EB362" s="7">
        <v>0</v>
      </c>
      <c r="EC362" s="7">
        <v>0</v>
      </c>
      <c r="ED362" s="7">
        <v>0</v>
      </c>
      <c r="EE362" s="7">
        <v>0</v>
      </c>
      <c r="EF362" s="7">
        <v>0</v>
      </c>
      <c r="EG362" s="7">
        <v>0</v>
      </c>
      <c r="EH362" s="7">
        <v>9.4367057939362849E-3</v>
      </c>
      <c r="EI362" s="7">
        <v>2.6431699490211728E-2</v>
      </c>
      <c r="EJ362" s="7">
        <v>0.21316942883402215</v>
      </c>
      <c r="EK362" s="7">
        <v>0.6399909399614272</v>
      </c>
      <c r="EL362" s="7">
        <v>0.11097122592040248</v>
      </c>
      <c r="EM362" s="7">
        <v>4.0334030195191939E-2</v>
      </c>
      <c r="EN362" s="7">
        <v>6.1237596319344542E-2</v>
      </c>
      <c r="EO362" s="7">
        <v>0.77002596977873594</v>
      </c>
      <c r="EP362" s="7">
        <v>6.9470245848400045E-2</v>
      </c>
      <c r="EQ362" s="7">
        <v>6.5225214149949848E-2</v>
      </c>
      <c r="ER362" s="7">
        <v>3.4040973903569909E-2</v>
      </c>
      <c r="ES362" s="7">
        <v>8.2308082952657347E-2</v>
      </c>
      <c r="ET362" s="7">
        <v>0.12264211314784917</v>
      </c>
      <c r="EU362" s="6">
        <v>2611</v>
      </c>
      <c r="EV362" s="6">
        <v>0</v>
      </c>
      <c r="EW362" s="6">
        <v>2611</v>
      </c>
      <c r="EX362" s="6">
        <v>0</v>
      </c>
      <c r="EY362" s="6">
        <v>2652.5243180176094</v>
      </c>
      <c r="EZ362" s="6">
        <v>1929</v>
      </c>
      <c r="FA362" s="6">
        <v>0</v>
      </c>
      <c r="FB362" s="6">
        <v>0</v>
      </c>
      <c r="FC362" s="6">
        <v>0</v>
      </c>
      <c r="FD362" s="6">
        <v>0</v>
      </c>
      <c r="FE362" s="6">
        <v>0</v>
      </c>
      <c r="FF362" s="6">
        <v>0</v>
      </c>
      <c r="FG362" s="6">
        <v>0</v>
      </c>
      <c r="FH362" s="6">
        <v>1172.0192222450105</v>
      </c>
      <c r="FI362" s="6">
        <v>1553.9796069512402</v>
      </c>
      <c r="FJ362" s="6">
        <v>2101.211011744741</v>
      </c>
      <c r="FK362" s="6">
        <v>2251.3078348034669</v>
      </c>
      <c r="FL362" s="6">
        <v>907.07682140966358</v>
      </c>
      <c r="FM362" s="6">
        <v>2041.5243180176096</v>
      </c>
      <c r="FN362" s="6">
        <v>0</v>
      </c>
      <c r="FO362" s="6">
        <v>0</v>
      </c>
      <c r="FP362" s="6">
        <v>0</v>
      </c>
      <c r="FQ362" s="6">
        <v>0</v>
      </c>
      <c r="FR362" s="6">
        <v>0</v>
      </c>
      <c r="FS362" s="6">
        <v>0</v>
      </c>
      <c r="FT362" s="7">
        <v>0.87735788685215077</v>
      </c>
      <c r="FU362" s="7">
        <v>4.0334030195191939E-2</v>
      </c>
      <c r="FV362" s="7">
        <v>8.2308082952657347E-2</v>
      </c>
      <c r="FW362" s="6">
        <v>2611</v>
      </c>
      <c r="FX362" s="6">
        <v>2652.5243180176094</v>
      </c>
      <c r="FY362" s="6">
        <v>1929</v>
      </c>
      <c r="FZ362" s="6">
        <v>1858.9243755539039</v>
      </c>
      <c r="GA362" s="6">
        <v>2556.5407305230451</v>
      </c>
      <c r="GB362" s="6">
        <v>17428.459269476956</v>
      </c>
      <c r="GC362" s="7">
        <v>2.9156573141622111E-2</v>
      </c>
      <c r="GD362" s="7">
        <v>3.2430076702553788E-2</v>
      </c>
      <c r="GE362" s="7"/>
      <c r="GF362" s="7"/>
      <c r="GG362" s="7">
        <v>0.11227326150543482</v>
      </c>
      <c r="GH362" s="42">
        <v>3.2163539676264721</v>
      </c>
      <c r="GI362" s="6">
        <v>8770.0981315910776</v>
      </c>
      <c r="GJ362" s="14">
        <v>0.50394797582841722</v>
      </c>
      <c r="GK362" s="14">
        <v>0.50887573065309755</v>
      </c>
      <c r="GL362" s="14">
        <v>0.49605202417158267</v>
      </c>
      <c r="GM362" s="14">
        <v>0.49112426934690245</v>
      </c>
      <c r="GO362" s="5">
        <v>343.14810671672558</v>
      </c>
      <c r="GP362" s="5">
        <v>293.33520778489498</v>
      </c>
      <c r="GQ362" s="5">
        <v>535.04305713031317</v>
      </c>
      <c r="GR362" s="5">
        <v>410.15490233172511</v>
      </c>
      <c r="GS362" s="5">
        <v>339.42744393800166</v>
      </c>
      <c r="GT362" s="5">
        <v>293.4407446948278</v>
      </c>
      <c r="GU362" s="5">
        <v>258.04012322764959</v>
      </c>
      <c r="GV362" s="39" t="s">
        <v>392</v>
      </c>
      <c r="GW362" s="5">
        <v>482.65277777777777</v>
      </c>
      <c r="GX362" s="5">
        <v>361.98958333333331</v>
      </c>
      <c r="GY362" s="5">
        <v>289.59166666666664</v>
      </c>
      <c r="GZ362" s="5">
        <v>247.99130496280273</v>
      </c>
      <c r="HA362" s="5">
        <v>236.70336205047303</v>
      </c>
      <c r="HB362" s="39">
        <v>260.83419295982139</v>
      </c>
      <c r="HC362" s="5">
        <v>202.890625</v>
      </c>
      <c r="HD362" s="5">
        <v>182.20330774853798</v>
      </c>
      <c r="HE362" s="5">
        <v>187.48257844129552</v>
      </c>
      <c r="HF362" s="5">
        <v>176.30063048245611</v>
      </c>
      <c r="HG362" s="5">
        <v>173.65888157894736</v>
      </c>
      <c r="HH362" s="39">
        <v>183.16103758724117</v>
      </c>
      <c r="HI362" s="16"/>
      <c r="HJ362" s="19" t="str">
        <f t="shared" si="991"/>
        <v>On</v>
      </c>
      <c r="HK362" s="1" t="str">
        <f t="shared" si="991"/>
        <v>On</v>
      </c>
      <c r="HL362" s="16"/>
      <c r="HM362" s="639">
        <f t="shared" si="878"/>
        <v>2.2758057894877178E-2</v>
      </c>
      <c r="HN362" s="639">
        <f t="shared" si="879"/>
        <v>1.416759231746561E-3</v>
      </c>
      <c r="HO362" s="639">
        <f t="shared" si="880"/>
        <v>4.5732401537654987E-3</v>
      </c>
      <c r="HP362" s="644">
        <f>(FT362*$GD362-HM362)/$JF362*INDEX(Input!$1:$1048576,$JG$93,$C362*2+6)</f>
        <v>318.92618834780887</v>
      </c>
      <c r="HQ362" s="644">
        <f>(FU362*$GD362-HN362)/$JF362*INDEX(Input!$1:$1048576,$JG$93,$C362*2+6)</f>
        <v>-6.0889296187929736</v>
      </c>
      <c r="HR362" s="644">
        <f>(FV362*$GD362-HO362)/$JF362*INDEX(Input!$1:$1048576,$JG$93,$C362*2+6)</f>
        <v>-106.630237090416</v>
      </c>
      <c r="HS362" s="644">
        <f t="shared" ref="HS362" si="1008">IF(AND(HJ362="On",HK362="On"),IL362/1000*INDEX(KG:KG,MATCH(C362*1000+3,$KF:$KF,0))*SUM(HY362:IA362)*1.1
+INDEX(HR:HR,MATCH(C362*1000+4,$KF:$KF,0))/INDEX(IM:IM,MATCH(C362*1000+4,$KF:$KF,0))*IM362*20%,0)</f>
        <v>-110.89974817283669</v>
      </c>
      <c r="HT362" s="644">
        <f t="shared" si="882"/>
        <v>42.71343346209968</v>
      </c>
      <c r="HU362" s="644">
        <f t="shared" si="883"/>
        <v>16.174402950210613</v>
      </c>
      <c r="HV362" s="648">
        <f t="shared" si="884"/>
        <v>0</v>
      </c>
      <c r="HW362" s="648">
        <f t="shared" si="885"/>
        <v>0</v>
      </c>
      <c r="HX362" s="648">
        <f t="shared" si="886"/>
        <v>0</v>
      </c>
      <c r="HY362" s="644">
        <f>INDEX(Input!$1:$1048576,HY$93,$C362*2+6)*INDEX(Input!$1:$1048576,$JG$93,$C362*2+6)</f>
        <v>509.00000000000006</v>
      </c>
      <c r="HZ362" s="644">
        <f>INDEX(Input!$1:$1048576,HZ$93,$C362*2+6)*INDEX(Input!$1:$1048576,$JG$93,$C362*2+6)</f>
        <v>844</v>
      </c>
      <c r="IA362" s="644">
        <f>INDEX(Input!$1:$1048576,IA$93,$C362*2+6)*INDEX(Input!$1:$1048576,$JG$93,$C362*2+6)</f>
        <v>257</v>
      </c>
      <c r="IB362" s="644">
        <f t="shared" si="910"/>
        <v>717.02644017497209</v>
      </c>
      <c r="IC362" s="644">
        <f t="shared" si="911"/>
        <v>880.6245038433068</v>
      </c>
      <c r="ID362" s="644">
        <f>IF(AND(INDEX(Input!$1:$1048576,IA$93,$C362*2+7)="TOS",Y362&lt;=INDEX(Y:Y,MATCH(C362*1000+2,A:A))),0,1)*MAX(IA362+HR362+HU362+HX362,0%)</f>
        <v>166.54416585979459</v>
      </c>
      <c r="IE362" s="128">
        <f t="shared" ref="IE362" si="1009">IB362/SUM($IB362:$ID362)</f>
        <v>0.40643261970300265</v>
      </c>
      <c r="IF362" s="128">
        <f t="shared" ref="IF362" si="1010">IC362/SUM($IB362:$ID362)</f>
        <v>0.49916502937374546</v>
      </c>
      <c r="IG362" s="128">
        <f t="shared" si="888"/>
        <v>9.4402350923251749E-2</v>
      </c>
      <c r="IH362" s="21"/>
      <c r="II362" s="19">
        <f t="shared" si="889"/>
        <v>1410.4999999999998</v>
      </c>
      <c r="IJ362" s="19">
        <f t="shared" si="890"/>
        <v>2134.9731585778086</v>
      </c>
      <c r="IK362" s="19">
        <f t="shared" si="891"/>
        <v>2103.5</v>
      </c>
      <c r="IL362" s="19">
        <f t="shared" si="913"/>
        <v>1200.5000000000002</v>
      </c>
      <c r="IM362" s="19">
        <f t="shared" si="892"/>
        <v>517.55115943980081</v>
      </c>
      <c r="IN362" s="19">
        <f t="shared" si="893"/>
        <v>-174.5</v>
      </c>
      <c r="IO362" s="39">
        <f t="shared" si="894"/>
        <v>0</v>
      </c>
      <c r="IP362" s="39">
        <f t="shared" si="895"/>
        <v>0</v>
      </c>
      <c r="IQ362" s="39">
        <f t="shared" si="896"/>
        <v>0</v>
      </c>
      <c r="IR362" s="39">
        <v>0</v>
      </c>
      <c r="IS362" s="39">
        <v>0</v>
      </c>
      <c r="IT362" s="39">
        <v>0</v>
      </c>
      <c r="IU362" s="39">
        <v>0</v>
      </c>
      <c r="IV362" s="39">
        <v>0</v>
      </c>
      <c r="IW362" s="39">
        <v>0</v>
      </c>
      <c r="IX362" s="39">
        <f>INDEX(Input!$1:$1048576,IX$93,$C362*2+6)+INDEX(Input!$1:$1048576,IX$94,$C362*2+6)</f>
        <v>1611</v>
      </c>
      <c r="IY362" s="39">
        <f>INDEX(Input!$1:$1048576,IY$93,$C362*2+6)+INDEX(Input!$1:$1048576,IY$94,$C362*2+6)</f>
        <v>2471.0624533823611</v>
      </c>
      <c r="IZ362" s="39">
        <f>INDEX(Input!$1:$1048576,IZ$93,$C362*2+6)+INDEX(Input!$1:$1048576,IZ$94,$C362*2+6)</f>
        <v>3994.7164157747857</v>
      </c>
      <c r="JA362" s="19">
        <f t="shared" si="914"/>
        <v>2811.5</v>
      </c>
      <c r="JB362" s="19">
        <f t="shared" si="915"/>
        <v>2988.6136128221619</v>
      </c>
      <c r="JC362" s="19">
        <f t="shared" si="916"/>
        <v>3820.2164157747857</v>
      </c>
      <c r="JD362" s="19">
        <f t="shared" si="917"/>
        <v>2995.1341228108804</v>
      </c>
      <c r="JE362" s="21"/>
      <c r="JF362" s="1">
        <f t="shared" si="897"/>
        <v>2.8748057280389237E-2</v>
      </c>
      <c r="JG362" s="15">
        <f>INDEX(Input!$1:$1048576,JG$93,$C362*2+6)/(1+VLOOKUP(C362*1000+INDEX(Input!$1:$1048576,JG$93+1,$C362*2+6),$A:$KK,$JK$92,FALSE))</f>
        <v>1610</v>
      </c>
      <c r="JH362" s="1">
        <f t="shared" si="918"/>
        <v>0.12807889542770179</v>
      </c>
      <c r="JI362" s="1">
        <f t="shared" si="919"/>
        <v>-3.2305535254985342E-2</v>
      </c>
      <c r="JJ362" s="1">
        <f t="shared" ref="JJ362" si="1011">SUM(HV362:HX362)/SUM(HY362:IA362)</f>
        <v>0</v>
      </c>
      <c r="JK362" s="1">
        <f t="shared" ref="JK362" si="1012">SUM(JH362:JJ362)</f>
        <v>9.5773360172716454E-2</v>
      </c>
      <c r="JL362" s="15">
        <f t="shared" si="922"/>
        <v>154.19510987807348</v>
      </c>
      <c r="JM362" s="15">
        <f t="shared" si="948"/>
        <v>1764.1951098780735</v>
      </c>
      <c r="JN362" s="21"/>
      <c r="JO362" s="19">
        <f>INDEX(Input!$1:$1048576,JO$93,$C362*2+6)</f>
        <v>5995.5</v>
      </c>
      <c r="JP362" s="19">
        <f>INDEX(Input!$1:$1048576,JP$93,$C362*2+6)</f>
        <v>2442.3713226762939</v>
      </c>
      <c r="JQ362" s="39">
        <f t="shared" si="934"/>
        <v>3000.3658771891196</v>
      </c>
      <c r="JR362" s="39">
        <f t="shared" si="951"/>
        <v>552.76280013458654</v>
      </c>
      <c r="JS362" s="39">
        <f t="shared" si="936"/>
        <v>5.2840009728919082</v>
      </c>
      <c r="JT362" s="39">
        <f t="shared" si="924"/>
        <v>1.3517831433830749</v>
      </c>
      <c r="JU362" s="385">
        <f>(JQ362*JM362-INDEX(Input!$1:$1048576,Input!A$18,$C362*2+6)*JL362*INDEX(Input!$1:$1048576,Input!A$19,$C362*2+6))/1000000</f>
        <v>5.2932308083820807</v>
      </c>
      <c r="JV362" s="39">
        <f t="shared" si="958"/>
        <v>-0.42730636210908646</v>
      </c>
      <c r="JW362" s="1">
        <f t="shared" si="949"/>
        <v>-7.4696894605161324E-2</v>
      </c>
      <c r="JX362" s="19">
        <f t="shared" si="940"/>
        <v>8766.7056656463938</v>
      </c>
      <c r="JZ362" s="341"/>
      <c r="KA362" s="342"/>
      <c r="KB362" s="469">
        <f t="shared" si="937"/>
        <v>2.5190675447988795</v>
      </c>
      <c r="KI362" s="473">
        <f t="shared" si="987"/>
        <v>208.02644017497192</v>
      </c>
      <c r="KJ362" s="473">
        <f t="shared" si="988"/>
        <v>36.624503843306684</v>
      </c>
      <c r="KK362" s="473">
        <f t="shared" si="926"/>
        <v>-90.45583414020544</v>
      </c>
      <c r="KN362" s="544">
        <f t="shared" si="941"/>
        <v>3002</v>
      </c>
      <c r="KO362" s="541">
        <f t="shared" si="901"/>
        <v>6.3324531246613525E-2</v>
      </c>
      <c r="KP362" s="546">
        <f t="shared" si="902"/>
        <v>530.68436388769805</v>
      </c>
      <c r="KQ362" s="546">
        <f t="shared" si="903"/>
        <v>359.22069742218218</v>
      </c>
      <c r="KR362" s="548">
        <f t="shared" si="904"/>
        <v>2.0702000089956751</v>
      </c>
      <c r="KS362" s="548">
        <f t="shared" si="905"/>
        <v>3.0583504313032264</v>
      </c>
      <c r="KT362" s="473">
        <f t="shared" si="939"/>
        <v>1026.1618045255443</v>
      </c>
      <c r="KU362" s="663">
        <f t="shared" si="927"/>
        <v>4.799031534870255</v>
      </c>
    </row>
    <row r="363" spans="1:308" s="26" customFormat="1" ht="15" outlineLevel="1">
      <c r="A363" s="561">
        <f t="shared" si="906"/>
        <v>3063</v>
      </c>
      <c r="B363" s="561">
        <f t="shared" si="928"/>
        <v>63</v>
      </c>
      <c r="C363" s="561">
        <f t="shared" si="929"/>
        <v>3</v>
      </c>
      <c r="D363" s="561" t="str">
        <f t="shared" si="974"/>
        <v xml:space="preserve">500 CC, 500 Combo, -180 Lease, </v>
      </c>
      <c r="E363" s="475">
        <f>INDEX(Input!$1:$1048576,E$93,$C363*2+MIN($B363,2)+5)
+INDEX(Scenarios!E$121:E$200,MATCH($B363,Scenarios!$B$121:$B$200,0))</f>
        <v>1787.0236024844721</v>
      </c>
      <c r="F363" s="475">
        <f>INDEX(Input!$1:$1048576,F$93,$C363*2+MIN($B363,2)+5)
+INDEX(Scenarios!F$121:F$200,MATCH($B363,Scenarios!$B$121:$B$200,0))</f>
        <v>0</v>
      </c>
      <c r="G363" s="475">
        <f>INDEX(Input!$1:$1048576,G$93,$C363*2+MIN($B363,2)+5)
+INDEX(Scenarios!G$121:G$200,MATCH($B363,Scenarios!$B$121:$B$200,0))</f>
        <v>0</v>
      </c>
      <c r="H363" s="475">
        <f>INDEX(Input!$1:$1048576,H$93,$C363*2+MIN($B363,2)+5)
+INDEX(Scenarios!H$121:H$200,MATCH($B363,Scenarios!$B$121:$B$200,0))</f>
        <v>0</v>
      </c>
      <c r="I363" s="476">
        <f>INDEX(Input!$1:$1048576,I$93,$C363*2+MIN($B363,2)+5)</f>
        <v>0.7</v>
      </c>
      <c r="J363" s="476" t="str">
        <f>INDEX(Input!$1:$1048576,J$93,$C363*2+MIN($B363,2)+5)</f>
        <v>Market</v>
      </c>
      <c r="K363" s="476" t="str">
        <f>INDEX(Input!$1:$1048576,K$93,$C363*2+MIN($B363,2)+5)</f>
        <v>Market</v>
      </c>
      <c r="L363" s="476" t="str">
        <f>INDEX(Input!$1:$1048576,L$93,$C363*2+MIN($B363,2)+5)</f>
        <v>Market</v>
      </c>
      <c r="M363" s="476" t="str">
        <f>INDEX(Input!$1:$1048576,M$93,$C363*2+MIN($B363,2)+5)</f>
        <v>Market</v>
      </c>
      <c r="N363" s="476" t="str">
        <f>INDEX(Input!$1:$1048576,N$93,$C363*2+MIN($B363,2)+5)</f>
        <v>Market</v>
      </c>
      <c r="O363" s="476" t="str">
        <f>INDEX(Input!$1:$1048576,O$93,$C363*2+MIN($B363,2)+5)</f>
        <v>Market</v>
      </c>
      <c r="P363" s="476" t="str">
        <f>INDEX(Input!$1:$1048576,P$93,$C363*2+MIN($B363,2)+5)</f>
        <v>N</v>
      </c>
      <c r="Q363" s="477">
        <f>INDEX(Input!$1:$1048576,Q$93,$C363*2+MIN($B363,2)+5)
+INDEX(Scenarios!Q$121:Q$200,MATCH($B363,Scenarios!$B$121:$B$200,0))</f>
        <v>500</v>
      </c>
      <c r="R363" s="478">
        <f>IFERROR(MAX(0,INDEX(Input!$1:$1048576,R$93,$C363*2+MIN($B363,2)+5)
+INDEX(Scenarios!R$121:R$200,MATCH($B363,Scenarios!$B$121:$B$200,0)),),"Market")</f>
        <v>0</v>
      </c>
      <c r="S363" s="478">
        <f>IFERROR(MAX(0,INDEX(Input!$1:$1048576,S$93,$C363*2+MIN($B363,2)+5)
+INDEX(Scenarios!S$121:S$200,MATCH($B363,Scenarios!$B$121:$B$200,0)),),"Market")</f>
        <v>0</v>
      </c>
      <c r="T363" s="478">
        <f>IFERROR(MAX(0,INDEX(Input!$1:$1048576,T$93,$C363*2+MIN($B363,2)+5)
+INDEX(Scenarios!T$121:T$200,MATCH($B363,Scenarios!$B$121:$B$200,0)),),"Market")</f>
        <v>0</v>
      </c>
      <c r="U363" s="478">
        <f>IFERROR(MAX(0,INDEX(Input!$1:$1048576,U$93,$C363*2+MIN($B363,2)+5)
+INDEX(Scenarios!U$121:U$200,MATCH($B363,Scenarios!$B$121:$B$200,0)),),"Market")</f>
        <v>0</v>
      </c>
      <c r="V363" s="478">
        <f>IFERROR(MAX(0,INDEX(Input!$1:$1048576,V$93,$C363*2+MIN($B363,2)+5)
+INDEX(Scenarios!V$121:V$200,MATCH($B363,Scenarios!$B$121:$B$200,0)),),"Market")</f>
        <v>1.9E-2</v>
      </c>
      <c r="W363" s="885">
        <f>IFERROR(MAX(0,INDEX(Input!$1:$1048576,W$93,$C363*2+MIN($B363,2)+5)-0%,),"Market")</f>
        <v>3.9E-2</v>
      </c>
      <c r="X363" s="476" t="str">
        <f>INDEX(Input!$1:$1048576,X$93,$C363*2+MIN($B363,2)+5)</f>
        <v>Y</v>
      </c>
      <c r="Y363" s="475">
        <f>INDEX(Input!$1:$1048576,Y$93,$C363*2+MIN($B363,2)+5)
++INDEX(Scenarios!Y$121:Y$200,MATCH($B363,Scenarios!$B$121:$B$200,0))</f>
        <v>1374.9999999999991</v>
      </c>
      <c r="Z363" s="477">
        <f>INDEX(Input!$1:$1048576,Z$93,$C363*2+MIN($B363,2)+5)
+INDEX(Scenarios!Z$121:Z$200,MATCH($B363,Scenarios!$B$121:$B$200,0))</f>
        <v>0</v>
      </c>
      <c r="AA363" s="475">
        <f>INDEX(Input!$1:$1048576,AA$93,$C363*2+MIN($B363,2)+5)
+INDEX(Scenarios!AA$121:AA$200,MATCH($B363,Scenarios!$B$121:$B$200,0))</f>
        <v>0</v>
      </c>
      <c r="AB363" s="476">
        <f>INDEX(Input!$1:$1048576,AB$93,$C363*2+MIN($B363,2)+5)</f>
        <v>0.27</v>
      </c>
      <c r="AC363" s="475">
        <f>INDEX(Input!$1:$1048576,AC$93,$C363*2+MIN($B363,2)+5)
+INDEX(Scenarios!AC$121:AC$200,MATCH($B363,Scenarios!$B$121:$B$200,0))</f>
        <v>0</v>
      </c>
      <c r="AD363" s="476">
        <f>INDEX(Input!$1:$1048576,AD$93,$C363*2+MIN($B363,2)+5)</f>
        <v>0.27</v>
      </c>
      <c r="AE363" s="475">
        <f>INDEX(Input!$1:$1048576,AE$93,$C363*2+MIN($B363,2)+5)
+INDEX(Scenarios!AE$121:AE$200,MATCH($B363,Scenarios!$B$121:$B$200,0))</f>
        <v>0</v>
      </c>
      <c r="AF363" s="476">
        <f>INDEX(Input!$1:$1048576,AF$93,$C363*2+MIN($B363,2)+5)</f>
        <v>0.68200000000000005</v>
      </c>
      <c r="AG363" s="475">
        <f>INDEX(Input!$1:$1048576,AG$93,$C363*2+MIN($B363,2)+5)
+INDEX(Scenarios!AG$121:AG$200,MATCH($B363,Scenarios!$B$121:$B$200,0))</f>
        <v>500</v>
      </c>
      <c r="AH363" s="476">
        <f>INDEX(Input!$1:$1048576,AH$93,$C363*2+MIN($B363,2)+5)</f>
        <v>1</v>
      </c>
      <c r="AI363" s="475">
        <f>INDEX(Input!$1:$1048576,AI$93,$C363*2+MIN($B363,2)+5)
+INDEX(Scenarios!AI$121:AI$200,MATCH($B363,Scenarios!$B$121:$B$200,0))</f>
        <v>0</v>
      </c>
      <c r="AJ363" s="476">
        <f>INDEX(Input!$1:$1048576,AJ$93,$C363*2+MIN($B363,2)+5)</f>
        <v>0.27</v>
      </c>
      <c r="AK363" s="150">
        <f>ROUND(INDEX(Input!$1:$1048576,AK$93,$C362*2+MIN($B363,1)+5)+(Y363-VLOOKUP($C363*1000+1,$A:$HH,Y$92,FALSE)),0)</f>
        <v>2797</v>
      </c>
      <c r="AL363" s="150">
        <f>ROUND(INDEX(Input!$1:$1048576,AL$93,$C362*2+MIN($B363,1)+5)-(Y363-VLOOKUP($C363*1000+1,$A:$HH,Y$92,FALSE))/36,0)</f>
        <v>3400</v>
      </c>
      <c r="AM363" s="32" t="str">
        <f t="shared" si="907"/>
        <v>std/std/std/std</v>
      </c>
      <c r="AN363" s="32" t="str">
        <f t="shared" si="908"/>
        <v>$500 + 0/0/0/1.9/3.9</v>
      </c>
      <c r="AO363" s="32" t="str">
        <f t="shared" si="909"/>
        <v>0/0/0/1.9/3.9</v>
      </c>
      <c r="AP363" s="32" t="str">
        <f t="shared" si="993"/>
        <v>0/0.9/1.9/3.9</v>
      </c>
      <c r="AQ363" s="536">
        <f t="shared" si="992"/>
        <v>0.34905494663476322</v>
      </c>
      <c r="AR363" s="32"/>
      <c r="AS363" s="302"/>
      <c r="AT363" s="3">
        <f t="shared" si="930"/>
        <v>63</v>
      </c>
      <c r="AU363" s="41" t="s">
        <v>121</v>
      </c>
      <c r="AV363" s="41" t="s">
        <v>116</v>
      </c>
      <c r="AW363" s="41" t="str">
        <f>INDEX(Input!$1:$1048576,AW$93,$C363*2+6)</f>
        <v>Kia</v>
      </c>
      <c r="AX363" s="41" t="str">
        <f>INDEX(Input!$1:$1048576,AX$93,$C363*2+6)</f>
        <v>Kia-LR - L3</v>
      </c>
      <c r="AY363" s="41" t="str">
        <f>IF(LEN(D363)=0,"",INDEX(Input!$1:$1048576,AY$93,$C363*2+6))</f>
        <v>Compact SUV (52)</v>
      </c>
      <c r="AZ363" s="41" t="str">
        <f>INDEX(Input!$1:$1048576,AZ$93,$C363*2+6)</f>
        <v>Kia Soul</v>
      </c>
      <c r="BA363" s="3">
        <f>INDEX(Input!$1:$1048576,BA$93,$C363*2+6)</f>
        <v>2020</v>
      </c>
      <c r="BB363" s="128">
        <f>INDEX(Input!$1:$1048576,BB$93,$C363*2+6)</f>
        <v>1</v>
      </c>
      <c r="BC363" s="128">
        <f>INDEX(Input!$1:$1048576,BC$93,$C363*2+6)</f>
        <v>0.7</v>
      </c>
      <c r="BD363" s="1">
        <f>INDEX(Input!$1:$1048576,BD$93,$C363*2+6)</f>
        <v>4.4999999999999998E-2</v>
      </c>
      <c r="BE363" s="1">
        <f>INDEX(Input!$1:$1048576,BE$93,$C363*2+6)</f>
        <v>4.4999999999999998E-2</v>
      </c>
      <c r="BF363" s="1">
        <f>INDEX(Input!$1:$1048576,BF$93,$C363*2+6)</f>
        <v>0.05</v>
      </c>
      <c r="BG363" s="1">
        <f>INDEX(Input!$1:$1048576,BG$93,$C363*2+6)</f>
        <v>5.45E-2</v>
      </c>
      <c r="BH363" s="1">
        <f>INDEX(Input!$1:$1048576,BH$93,$C363*2+6)</f>
        <v>5.45E-2</v>
      </c>
      <c r="BI363" s="1">
        <f>INDEX(Input!$1:$1048576,BI$93,$C363*2+6)</f>
        <v>0.05</v>
      </c>
      <c r="BJ363" s="1">
        <f>INDEX(Input!$1:$1048576,BJ$93,$C363*2+6)</f>
        <v>0.05</v>
      </c>
      <c r="BK363" s="1">
        <f>INDEX(Input!$1:$1048576,BK$93,$C363*2+6)</f>
        <v>0.05</v>
      </c>
      <c r="BL363" s="1">
        <f>INDEX(Input!$1:$1048576,BL$93,$C363*2+6)</f>
        <v>5.5E-2</v>
      </c>
      <c r="BM363" s="1">
        <f>INDEX(Input!$1:$1048576,BM$93,$C363*2+6)</f>
        <v>0.06</v>
      </c>
      <c r="BN363" s="1">
        <f>INDEX(Input!$1:$1048576,BN$93,$C363*2+6)</f>
        <v>4.4999999999999998E-2</v>
      </c>
      <c r="BO363" s="1">
        <f>INDEX(Input!$1:$1048576,BO$93,$C363*2+6)</f>
        <v>4.4999999999999998E-2</v>
      </c>
      <c r="BP363" s="1">
        <f>INDEX(Input!$1:$1048576,BP$93,$C363*2+6)</f>
        <v>0.05</v>
      </c>
      <c r="BQ363" s="1">
        <f>INDEX(Input!$1:$1048576,BQ$93,$C363*2+6)</f>
        <v>5.45E-2</v>
      </c>
      <c r="BR363" s="1">
        <f>INDEX(Input!$1:$1048576,BR$93,$C363*2+6)</f>
        <v>5.45E-2</v>
      </c>
      <c r="BS363" s="1">
        <f>INDEX(Input!$1:$1048576,BS$93,$C363*2+6)</f>
        <v>0.05</v>
      </c>
      <c r="BT363" s="1">
        <f>INDEX(Input!$1:$1048576,BT$93,$C363*2+6)</f>
        <v>0.05</v>
      </c>
      <c r="BU363" s="1">
        <f>INDEX(Input!$1:$1048576,BU$93,$C363*2+6)</f>
        <v>0.05</v>
      </c>
      <c r="BV363" s="1">
        <f>INDEX(Input!$1:$1048576,BV$93,$C363*2+6)</f>
        <v>5.5E-2</v>
      </c>
      <c r="BW363" s="1">
        <f>INDEX(Input!$1:$1048576,BW$93,$C363*2+6)</f>
        <v>0.06</v>
      </c>
      <c r="BX363" s="127">
        <f>INDEX(Input!$1:$1048576,BX$93,$C363*2+6)</f>
        <v>19985</v>
      </c>
      <c r="BY363" s="20">
        <f>INDEX(Input!$1:$1048576,BY$93,$C363*2+6)</f>
        <v>0.1</v>
      </c>
      <c r="BZ363" s="20">
        <f>INDEX(Input!$1:$1048576,BZ$93,$C363*2+6)</f>
        <v>0.1</v>
      </c>
      <c r="CA363" s="20">
        <f>INDEX(Input!$1:$1048576,CA$93,$C363*2+6)</f>
        <v>0.1</v>
      </c>
      <c r="CB363" s="20">
        <f>INDEX(Input!$1:$1048576,CB$93,$C363*2+6)</f>
        <v>0.1</v>
      </c>
      <c r="CC363" s="20">
        <f>INDEX(Input!$1:$1048576,CC$93,$C363*2+6)</f>
        <v>0.1</v>
      </c>
      <c r="CD363" s="384">
        <f>INDEX(Input!$1:$1048576,CD$93,$C363*2+6)</f>
        <v>0.1</v>
      </c>
      <c r="CE363" s="384">
        <f>INDEX(Input!$1:$1048576,CE$93,$C363*2+6)</f>
        <v>0.1</v>
      </c>
      <c r="CF363" s="384">
        <f>INDEX(Input!$1:$1048576,CF$93,$C363*2+6)</f>
        <v>0.1</v>
      </c>
      <c r="CG363" s="384">
        <f>INDEX(Input!$1:$1048576,CG$93,$C363*2+6)</f>
        <v>0.1</v>
      </c>
      <c r="CH363" s="384">
        <f>INDEX(Input!$1:$1048576,CH$93,$C363*2+6)</f>
        <v>0.1</v>
      </c>
      <c r="CI363" s="304">
        <f t="shared" si="994"/>
        <v>1787.0236024844721</v>
      </c>
      <c r="CJ363" s="16" t="str">
        <f>INDEX(Input!$1:$1048576,CJ$93,$C363*2+6)</f>
        <v>N</v>
      </c>
      <c r="CK363" s="1" t="str">
        <f t="shared" si="995"/>
        <v>Market</v>
      </c>
      <c r="CL363" s="1" t="str">
        <f t="shared" si="996"/>
        <v>Market</v>
      </c>
      <c r="CM363" s="1" t="str">
        <f t="shared" si="997"/>
        <v>Market</v>
      </c>
      <c r="CN363" s="1" t="str">
        <f t="shared" si="998"/>
        <v>Market</v>
      </c>
      <c r="CO363" s="1" t="str">
        <f t="shared" si="999"/>
        <v>Market</v>
      </c>
      <c r="CP363" s="304">
        <f t="shared" si="1000"/>
        <v>1000</v>
      </c>
      <c r="CQ363" s="1">
        <f t="shared" si="1001"/>
        <v>0</v>
      </c>
      <c r="CR363" s="1">
        <f t="shared" si="1002"/>
        <v>0</v>
      </c>
      <c r="CS363" s="1">
        <f t="shared" si="1003"/>
        <v>0</v>
      </c>
      <c r="CT363" s="1">
        <f t="shared" si="1004"/>
        <v>1.9E-2</v>
      </c>
      <c r="CU363" s="1">
        <f t="shared" si="1005"/>
        <v>3.9E-2</v>
      </c>
      <c r="CV363" s="304">
        <f t="shared" si="1006"/>
        <v>1374.9999999999991</v>
      </c>
      <c r="CW363" s="20" t="s">
        <v>122</v>
      </c>
      <c r="CX363" s="20" t="s">
        <v>122</v>
      </c>
      <c r="CY363" s="20" t="s">
        <v>122</v>
      </c>
      <c r="CZ363" s="20" t="s">
        <v>122</v>
      </c>
      <c r="DA363" s="20" t="s">
        <v>122</v>
      </c>
      <c r="DB363" s="503">
        <f t="shared" si="1007"/>
        <v>0</v>
      </c>
      <c r="DC363" s="127">
        <v>0</v>
      </c>
      <c r="DD363" s="127">
        <v>0</v>
      </c>
      <c r="DE363" s="127">
        <v>0</v>
      </c>
      <c r="DF363" s="127">
        <v>0</v>
      </c>
      <c r="DG363" s="127">
        <v>0</v>
      </c>
      <c r="DH363" s="127">
        <v>0</v>
      </c>
      <c r="DI363" s="127">
        <v>0</v>
      </c>
      <c r="DJ363" s="127">
        <v>0</v>
      </c>
      <c r="DK363" s="127">
        <v>0</v>
      </c>
      <c r="DL363" s="127">
        <v>0</v>
      </c>
      <c r="DM363" s="304">
        <f>INDEX(Input!$1:$1048576,DM$93,$C363*2+6)</f>
        <v>21036.84210526316</v>
      </c>
      <c r="DN363" s="20">
        <v>0</v>
      </c>
      <c r="DO363" s="20">
        <v>0</v>
      </c>
      <c r="DP363" s="20">
        <v>0</v>
      </c>
      <c r="DQ363" s="20">
        <v>0</v>
      </c>
      <c r="DR363" s="20">
        <v>0</v>
      </c>
      <c r="DS363" s="20">
        <f>INDEX(Input!$1:$1048576,DS$93,$C363*2+6)</f>
        <v>0.6</v>
      </c>
      <c r="DT363" s="20">
        <f>INDEX(Input!$1:$1048576,DT$93,$C363*2+6)</f>
        <v>0.55000000000000004</v>
      </c>
      <c r="DU363" s="20">
        <f>INDEX(Input!$1:$1048576,DU$93,$C363*2+6)</f>
        <v>0.52</v>
      </c>
      <c r="DV363" s="20">
        <f>INDEX(Input!$1:$1048576,DV$93,$C363*2+6)</f>
        <v>0.5</v>
      </c>
      <c r="DW363" s="20">
        <f>INDEX(Input!$1:$1048576,DW$93,$C363*2+6)</f>
        <v>0.45</v>
      </c>
      <c r="DX363" s="20"/>
      <c r="DY363" s="7">
        <v>0.11064573776383675</v>
      </c>
      <c r="DZ363" s="7">
        <v>0</v>
      </c>
      <c r="EA363" s="7">
        <v>0.72265485588856748</v>
      </c>
      <c r="EB363" s="7">
        <v>0</v>
      </c>
      <c r="EC363" s="7">
        <v>0</v>
      </c>
      <c r="ED363" s="7">
        <v>0</v>
      </c>
      <c r="EE363" s="7">
        <v>0</v>
      </c>
      <c r="EF363" s="7">
        <v>0</v>
      </c>
      <c r="EG363" s="7">
        <v>0</v>
      </c>
      <c r="EH363" s="7">
        <v>1.2002955438874661E-2</v>
      </c>
      <c r="EI363" s="7">
        <v>3.3619425764965315E-2</v>
      </c>
      <c r="EJ363" s="7">
        <v>0.27112871769781727</v>
      </c>
      <c r="EK363" s="7">
        <v>0.54209499096747893</v>
      </c>
      <c r="EL363" s="7">
        <v>0.14115391013086365</v>
      </c>
      <c r="EM363" s="7">
        <v>5.1866594109293472E-2</v>
      </c>
      <c r="EN363" s="7">
        <v>6.1997298085442056E-2</v>
      </c>
      <c r="EO363" s="7">
        <v>0.77533036424042623</v>
      </c>
      <c r="EP363" s="7">
        <v>6.6951372749792765E-2</v>
      </c>
      <c r="EQ363" s="7">
        <v>6.2746456419836602E-2</v>
      </c>
      <c r="ER363" s="7">
        <v>3.2974508504502634E-2</v>
      </c>
      <c r="ES363" s="7">
        <v>0.11483281223830233</v>
      </c>
      <c r="ET363" s="7">
        <v>0.16669940634759572</v>
      </c>
      <c r="EU363" s="6">
        <v>2111</v>
      </c>
      <c r="EV363" s="6">
        <v>0</v>
      </c>
      <c r="EW363" s="6">
        <v>2111</v>
      </c>
      <c r="EX363" s="6">
        <v>0</v>
      </c>
      <c r="EY363" s="6">
        <v>2836.0270595550501</v>
      </c>
      <c r="EZ363" s="6">
        <v>2109</v>
      </c>
      <c r="FA363" s="6">
        <v>0</v>
      </c>
      <c r="FB363" s="6">
        <v>0</v>
      </c>
      <c r="FC363" s="6">
        <v>0</v>
      </c>
      <c r="FD363" s="6">
        <v>0</v>
      </c>
      <c r="FE363" s="6">
        <v>0</v>
      </c>
      <c r="FF363" s="6">
        <v>0</v>
      </c>
      <c r="FG363" s="6">
        <v>0</v>
      </c>
      <c r="FH363" s="6">
        <v>1172.0189726179879</v>
      </c>
      <c r="FI363" s="6">
        <v>1553.9796069512397</v>
      </c>
      <c r="FJ363" s="6">
        <v>2101.211011744741</v>
      </c>
      <c r="FK363" s="6">
        <v>1772.7139978623229</v>
      </c>
      <c r="FL363" s="6">
        <v>907.07682140966335</v>
      </c>
      <c r="FM363" s="6">
        <v>1725.0270595550501</v>
      </c>
      <c r="FN363" s="6">
        <v>0</v>
      </c>
      <c r="FO363" s="6">
        <v>0</v>
      </c>
      <c r="FP363" s="6">
        <v>0</v>
      </c>
      <c r="FQ363" s="6">
        <v>0</v>
      </c>
      <c r="FR363" s="6">
        <v>0</v>
      </c>
      <c r="FS363" s="6">
        <v>0</v>
      </c>
      <c r="FT363" s="7">
        <v>0.83330059365240428</v>
      </c>
      <c r="FU363" s="7">
        <v>5.1866594109293472E-2</v>
      </c>
      <c r="FV363" s="7">
        <v>0.11483281223830233</v>
      </c>
      <c r="FW363" s="6">
        <v>2111</v>
      </c>
      <c r="FX363" s="6">
        <v>2836.0270595550496</v>
      </c>
      <c r="FY363" s="6">
        <v>2109</v>
      </c>
      <c r="FZ363" s="6">
        <v>1858.9243755539039</v>
      </c>
      <c r="GA363" s="6">
        <v>2148.3750185917197</v>
      </c>
      <c r="GB363" s="6">
        <v>17836.62498140828</v>
      </c>
      <c r="GC363" s="7">
        <v>2.9156573141622111E-2</v>
      </c>
      <c r="GD363" s="7">
        <v>3.0889687671806654E-2</v>
      </c>
      <c r="GE363" s="7"/>
      <c r="GF363" s="7"/>
      <c r="GG363" s="7">
        <v>5.9441640201209255E-2</v>
      </c>
      <c r="GH363" s="42">
        <v>4.1041234766438794</v>
      </c>
      <c r="GI363" s="6">
        <v>7017.8678868576089</v>
      </c>
      <c r="GJ363" s="14">
        <v>0.50394797582841722</v>
      </c>
      <c r="GK363" s="14">
        <v>0.50887573065309755</v>
      </c>
      <c r="GL363" s="14">
        <v>0.49605202417158284</v>
      </c>
      <c r="GM363" s="14">
        <v>0.4911242693469024</v>
      </c>
      <c r="GO363" s="5">
        <v>343.14810671672558</v>
      </c>
      <c r="GP363" s="5">
        <v>302.87425392274076</v>
      </c>
      <c r="GQ363" s="5">
        <v>535.04305713031317</v>
      </c>
      <c r="GR363" s="5">
        <v>410.15490233172511</v>
      </c>
      <c r="GS363" s="5">
        <v>339.42744393800166</v>
      </c>
      <c r="GT363" s="5">
        <v>293.4407446948278</v>
      </c>
      <c r="GU363" s="5">
        <v>258.04012322764959</v>
      </c>
      <c r="GV363" s="39" t="s">
        <v>392</v>
      </c>
      <c r="GW363" s="5">
        <v>468.76388888888891</v>
      </c>
      <c r="GX363" s="5">
        <v>351.57291666666669</v>
      </c>
      <c r="GY363" s="5">
        <v>281.25833333333333</v>
      </c>
      <c r="GZ363" s="5">
        <v>248.18079879493993</v>
      </c>
      <c r="HA363" s="5">
        <v>229.8919505212948</v>
      </c>
      <c r="HB363" s="39">
        <v>260.6911585057627</v>
      </c>
      <c r="HC363" s="5">
        <v>195.015625</v>
      </c>
      <c r="HD363" s="5">
        <v>176.82830774853798</v>
      </c>
      <c r="HE363" s="5">
        <v>182.4921938259109</v>
      </c>
      <c r="HF363" s="5">
        <v>172.13813048245612</v>
      </c>
      <c r="HG363" s="5">
        <v>170.20888157894734</v>
      </c>
      <c r="HH363" s="39">
        <v>177.82251289757838</v>
      </c>
      <c r="HI363" s="16"/>
      <c r="HJ363" s="19" t="str">
        <f t="shared" ref="HJ363" si="1013">HJ362</f>
        <v>On</v>
      </c>
      <c r="HK363" s="1" t="str">
        <f t="shared" si="991"/>
        <v>On</v>
      </c>
      <c r="HL363" s="16"/>
      <c r="HM363" s="639">
        <f t="shared" si="878"/>
        <v>2.2758057894877178E-2</v>
      </c>
      <c r="HN363" s="639">
        <f t="shared" si="879"/>
        <v>1.416759231746561E-3</v>
      </c>
      <c r="HO363" s="639">
        <f t="shared" si="880"/>
        <v>4.5732401537654987E-3</v>
      </c>
      <c r="HP363" s="644">
        <f>(FT363*$GD363-HM363)/$JF363*INDEX(Input!$1:$1048576,$JG$93,$C363*2+6)</f>
        <v>167.0221682324202</v>
      </c>
      <c r="HQ363" s="644">
        <f>(FU363*$GD363-HN363)/$JF363*INDEX(Input!$1:$1048576,$JG$93,$C363*2+6)</f>
        <v>10.382186563831263</v>
      </c>
      <c r="HR363" s="644">
        <f>(FV363*$GD363-HO363)/$JF363*INDEX(Input!$1:$1048576,$JG$93,$C363*2+6)</f>
        <v>-57.464948228624117</v>
      </c>
      <c r="HS363" s="644">
        <f t="shared" ref="HS363:HS383" si="1014">IF(AND(HJ363="On",HK363="On"),IL363/1000*INDEX(KG:KG,MATCH(C363*1000+3,$KF:$KF,0))*SUM(HY363:IA363)*1.1
+INDEX(HR:HR,MATCH(C363*1000+4,$KF:$KF,0))/INDEX(IM:IM,MATCH(C363*1000+4,$KF:$KF,0))*IM363*20%,0)</f>
        <v>-65.174683569219994</v>
      </c>
      <c r="HT363" s="644">
        <f t="shared" si="882"/>
        <v>72.9092740544977</v>
      </c>
      <c r="HU363" s="644">
        <f t="shared" si="883"/>
        <v>12.329807655715815</v>
      </c>
      <c r="HV363" s="648">
        <f t="shared" si="884"/>
        <v>0</v>
      </c>
      <c r="HW363" s="648">
        <f t="shared" si="885"/>
        <v>0</v>
      </c>
      <c r="HX363" s="648">
        <f t="shared" si="886"/>
        <v>0</v>
      </c>
      <c r="HY363" s="644">
        <f>INDEX(Input!$1:$1048576,HY$93,$C363*2+6)*INDEX(Input!$1:$1048576,$JG$93,$C363*2+6)</f>
        <v>509.00000000000006</v>
      </c>
      <c r="HZ363" s="644">
        <f>INDEX(Input!$1:$1048576,HZ$93,$C363*2+6)*INDEX(Input!$1:$1048576,$JG$93,$C363*2+6)</f>
        <v>844</v>
      </c>
      <c r="IA363" s="644">
        <f>INDEX(Input!$1:$1048576,IA$93,$C363*2+6)*INDEX(Input!$1:$1048576,$JG$93,$C363*2+6)</f>
        <v>257</v>
      </c>
      <c r="IB363" s="644">
        <f t="shared" si="910"/>
        <v>610.84748466320025</v>
      </c>
      <c r="IC363" s="644">
        <f t="shared" si="911"/>
        <v>927.29146061832898</v>
      </c>
      <c r="ID363" s="644">
        <f>IF(AND(INDEX(Input!$1:$1048576,IA$93,$C363*2+7)="TOS",Y363&lt;=INDEX(Y:Y,MATCH(C363*1000+2,A:A))),0,1)*MAX(IA363+HR363+HU363+HX363,0%)</f>
        <v>211.86485942709172</v>
      </c>
      <c r="IE363" s="128">
        <f t="shared" ref="IE363:IE374" si="1015">IB363/SUM($IB363:$ID363)</f>
        <v>0.34905494663476322</v>
      </c>
      <c r="IF363" s="128">
        <f t="shared" ref="IF363:IF374" si="1016">IC363/SUM($IB363:$ID363)</f>
        <v>0.52987968261744711</v>
      </c>
      <c r="IG363" s="128">
        <f t="shared" si="888"/>
        <v>0.12106537074778968</v>
      </c>
      <c r="IH363" s="21"/>
      <c r="II363" s="19">
        <f t="shared" si="889"/>
        <v>1410.4999999999998</v>
      </c>
      <c r="IJ363" s="19">
        <f t="shared" si="890"/>
        <v>2134.9731585778086</v>
      </c>
      <c r="IK363" s="19">
        <f t="shared" si="891"/>
        <v>2103.5</v>
      </c>
      <c r="IL363" s="19">
        <f t="shared" si="913"/>
        <v>700.50000000000023</v>
      </c>
      <c r="IM363" s="19">
        <f t="shared" si="892"/>
        <v>701.05390097724103</v>
      </c>
      <c r="IN363" s="19">
        <f t="shared" si="893"/>
        <v>5.5</v>
      </c>
      <c r="IO363" s="39">
        <f t="shared" si="894"/>
        <v>0</v>
      </c>
      <c r="IP363" s="39">
        <f t="shared" si="895"/>
        <v>0</v>
      </c>
      <c r="IQ363" s="39">
        <f t="shared" si="896"/>
        <v>0</v>
      </c>
      <c r="IR363" s="39">
        <v>0</v>
      </c>
      <c r="IS363" s="39">
        <v>0</v>
      </c>
      <c r="IT363" s="39">
        <v>0</v>
      </c>
      <c r="IU363" s="39">
        <v>0</v>
      </c>
      <c r="IV363" s="39">
        <v>0</v>
      </c>
      <c r="IW363" s="39">
        <v>0</v>
      </c>
      <c r="IX363" s="39">
        <f>INDEX(Input!$1:$1048576,IX$93,$C363*2+6)+INDEX(Input!$1:$1048576,IX$94,$C363*2+6)</f>
        <v>1611</v>
      </c>
      <c r="IY363" s="39">
        <f>INDEX(Input!$1:$1048576,IY$93,$C363*2+6)+INDEX(Input!$1:$1048576,IY$94,$C363*2+6)</f>
        <v>2471.0624533823611</v>
      </c>
      <c r="IZ363" s="39">
        <f>INDEX(Input!$1:$1048576,IZ$93,$C363*2+6)+INDEX(Input!$1:$1048576,IZ$94,$C363*2+6)</f>
        <v>3994.7164157747857</v>
      </c>
      <c r="JA363" s="19">
        <f t="shared" si="914"/>
        <v>2311.5</v>
      </c>
      <c r="JB363" s="19">
        <f t="shared" si="915"/>
        <v>3172.1163543596022</v>
      </c>
      <c r="JC363" s="19">
        <f t="shared" si="916"/>
        <v>4000.2164157747857</v>
      </c>
      <c r="JD363" s="19">
        <f t="shared" si="917"/>
        <v>2971.9681996671034</v>
      </c>
      <c r="JE363" s="21"/>
      <c r="JF363" s="1">
        <f t="shared" si="897"/>
        <v>2.8748057280389237E-2</v>
      </c>
      <c r="JG363" s="15">
        <f>INDEX(Input!$1:$1048576,JG$93,$C363*2+6)/(1+VLOOKUP(C363*1000+INDEX(Input!$1:$1048576,JG$93+1,$C363*2+6),$A:$KK,$JK$92,FALSE))</f>
        <v>1610</v>
      </c>
      <c r="JH363" s="1">
        <f t="shared" si="918"/>
        <v>7.4496525818402076E-2</v>
      </c>
      <c r="JI363" s="1">
        <f t="shared" si="919"/>
        <v>1.2462359093784795E-2</v>
      </c>
      <c r="JJ363" s="1">
        <f t="shared" ref="JJ363:JJ374" si="1017">SUM(HV363:HX363)/SUM(HY363:IA363)</f>
        <v>0</v>
      </c>
      <c r="JK363" s="1">
        <f t="shared" ref="JK363:JK374" si="1018">SUM(JH363:JJ363)</f>
        <v>8.6958884912186868E-2</v>
      </c>
      <c r="JL363" s="15">
        <f t="shared" si="922"/>
        <v>140.00380470862086</v>
      </c>
      <c r="JM363" s="15">
        <f t="shared" si="948"/>
        <v>1750.0038047086209</v>
      </c>
      <c r="JN363" s="21"/>
      <c r="JO363" s="19">
        <f>INDEX(Input!$1:$1048576,JO$93,$C363*2+6)</f>
        <v>5995.5</v>
      </c>
      <c r="JP363" s="19">
        <f>INDEX(Input!$1:$1048576,JP$93,$C363*2+6)</f>
        <v>2442.3713226762939</v>
      </c>
      <c r="JQ363" s="39">
        <f t="shared" si="934"/>
        <v>3023.5318003328966</v>
      </c>
      <c r="JR363" s="39">
        <f t="shared" si="951"/>
        <v>529.59687699080951</v>
      </c>
      <c r="JS363" s="39">
        <f t="shared" si="936"/>
        <v>5.2009556568904616</v>
      </c>
      <c r="JT363" s="39">
        <f t="shared" si="924"/>
        <v>1.2687378273816281</v>
      </c>
      <c r="JU363" s="385">
        <f>(JQ363*JM363-INDEX(Input!$1:$1048576,Input!A$18,$C363*2+6)*JL363*INDEX(Input!$1:$1048576,Input!A$19,$C363*2+6))/1000000</f>
        <v>5.2911921542400755</v>
      </c>
      <c r="JV363" s="39">
        <f t="shared" si="958"/>
        <v>-0.42934501625109167</v>
      </c>
      <c r="JW363" s="1">
        <f t="shared" si="949"/>
        <v>-7.5053269204477163E-2</v>
      </c>
      <c r="JX363" s="19">
        <f t="shared" si="940"/>
        <v>9062.1667748398286</v>
      </c>
      <c r="JZ363" s="341"/>
      <c r="KA363" s="342"/>
      <c r="KB363" s="469">
        <f t="shared" si="937"/>
        <v>2.5190675447988795</v>
      </c>
      <c r="KI363" s="473">
        <f t="shared" ref="KI363:KI374" si="1019">$JM363*IE363-$JG363*HY363/SUM($HY363:$IA363)</f>
        <v>101.84748466320019</v>
      </c>
      <c r="KJ363" s="473">
        <f t="shared" ref="KJ363:KJ374" si="1020">$JM363*IF363-$JG363*HZ363/SUM($HY363:$IA363)</f>
        <v>83.291460618328983</v>
      </c>
      <c r="KK363" s="473">
        <f t="shared" si="926"/>
        <v>-45.135140572908284</v>
      </c>
      <c r="KN363" s="544">
        <f t="shared" si="941"/>
        <v>3002</v>
      </c>
      <c r="KO363" s="541">
        <f t="shared" si="901"/>
        <v>5.4771076567709853E-2</v>
      </c>
      <c r="KP363" s="546">
        <f t="shared" si="902"/>
        <v>417.94329515094972</v>
      </c>
      <c r="KQ363" s="546">
        <f t="shared" si="903"/>
        <v>336.05477427840515</v>
      </c>
      <c r="KR363" s="548">
        <f t="shared" si="904"/>
        <v>2.2735815125701828</v>
      </c>
      <c r="KS363" s="548">
        <f t="shared" si="905"/>
        <v>2.8275990162563334</v>
      </c>
      <c r="KT363" s="473">
        <f t="shared" si="939"/>
        <v>1026.1618045255443</v>
      </c>
      <c r="KU363" s="663">
        <f t="shared" si="927"/>
        <v>4.7434431084017215</v>
      </c>
    </row>
    <row r="364" spans="1:308" s="26" customFormat="1" ht="15" outlineLevel="1">
      <c r="A364" s="561">
        <f t="shared" si="906"/>
        <v>3064</v>
      </c>
      <c r="B364" s="561">
        <f t="shared" si="928"/>
        <v>64</v>
      </c>
      <c r="C364" s="561">
        <f t="shared" si="929"/>
        <v>3</v>
      </c>
      <c r="D364" s="561" t="str">
        <f t="shared" si="974"/>
        <v xml:space="preserve">1000 CC, 1000 Combo, -180 Lease, </v>
      </c>
      <c r="E364" s="475">
        <f>INDEX(Input!$1:$1048576,E$93,$C364*2+MIN($B364,2)+5)
+INDEX(Scenarios!E$121:E$200,MATCH($B364,Scenarios!$B$121:$B$200,0))</f>
        <v>2287.0236024844721</v>
      </c>
      <c r="F364" s="475">
        <f>INDEX(Input!$1:$1048576,F$93,$C364*2+MIN($B364,2)+5)
+INDEX(Scenarios!F$121:F$200,MATCH($B364,Scenarios!$B$121:$B$200,0))</f>
        <v>0</v>
      </c>
      <c r="G364" s="475">
        <f>INDEX(Input!$1:$1048576,G$93,$C364*2+MIN($B364,2)+5)
+INDEX(Scenarios!G$121:G$200,MATCH($B364,Scenarios!$B$121:$B$200,0))</f>
        <v>0</v>
      </c>
      <c r="H364" s="475">
        <f>INDEX(Input!$1:$1048576,H$93,$C364*2+MIN($B364,2)+5)
+INDEX(Scenarios!H$121:H$200,MATCH($B364,Scenarios!$B$121:$B$200,0))</f>
        <v>0</v>
      </c>
      <c r="I364" s="476">
        <f>INDEX(Input!$1:$1048576,I$93,$C364*2+MIN($B364,2)+5)</f>
        <v>0.7</v>
      </c>
      <c r="J364" s="476" t="str">
        <f>INDEX(Input!$1:$1048576,J$93,$C364*2+MIN($B364,2)+5)</f>
        <v>Market</v>
      </c>
      <c r="K364" s="476" t="str">
        <f>INDEX(Input!$1:$1048576,K$93,$C364*2+MIN($B364,2)+5)</f>
        <v>Market</v>
      </c>
      <c r="L364" s="476" t="str">
        <f>INDEX(Input!$1:$1048576,L$93,$C364*2+MIN($B364,2)+5)</f>
        <v>Market</v>
      </c>
      <c r="M364" s="476" t="str">
        <f>INDEX(Input!$1:$1048576,M$93,$C364*2+MIN($B364,2)+5)</f>
        <v>Market</v>
      </c>
      <c r="N364" s="476" t="str">
        <f>INDEX(Input!$1:$1048576,N$93,$C364*2+MIN($B364,2)+5)</f>
        <v>Market</v>
      </c>
      <c r="O364" s="476" t="str">
        <f>INDEX(Input!$1:$1048576,O$93,$C364*2+MIN($B364,2)+5)</f>
        <v>Market</v>
      </c>
      <c r="P364" s="476" t="str">
        <f>INDEX(Input!$1:$1048576,P$93,$C364*2+MIN($B364,2)+5)</f>
        <v>N</v>
      </c>
      <c r="Q364" s="477">
        <f>INDEX(Input!$1:$1048576,Q$93,$C364*2+MIN($B364,2)+5)
+INDEX(Scenarios!Q$121:Q$200,MATCH($B364,Scenarios!$B$121:$B$200,0))</f>
        <v>1000</v>
      </c>
      <c r="R364" s="478">
        <f>IFERROR(MAX(0,INDEX(Input!$1:$1048576,R$93,$C364*2+MIN($B364,2)+5)
+INDEX(Scenarios!R$121:R$200,MATCH($B364,Scenarios!$B$121:$B$200,0)),),"Market")</f>
        <v>0</v>
      </c>
      <c r="S364" s="478">
        <f>IFERROR(MAX(0,INDEX(Input!$1:$1048576,S$93,$C364*2+MIN($B364,2)+5)
+INDEX(Scenarios!S$121:S$200,MATCH($B364,Scenarios!$B$121:$B$200,0)),),"Market")</f>
        <v>0</v>
      </c>
      <c r="T364" s="478">
        <f>IFERROR(MAX(0,INDEX(Input!$1:$1048576,T$93,$C364*2+MIN($B364,2)+5)
+INDEX(Scenarios!T$121:T$200,MATCH($B364,Scenarios!$B$121:$B$200,0)),),"Market")</f>
        <v>0</v>
      </c>
      <c r="U364" s="478">
        <f>IFERROR(MAX(0,INDEX(Input!$1:$1048576,U$93,$C364*2+MIN($B364,2)+5)
+INDEX(Scenarios!U$121:U$200,MATCH($B364,Scenarios!$B$121:$B$200,0)),),"Market")</f>
        <v>0</v>
      </c>
      <c r="V364" s="478">
        <f>IFERROR(MAX(0,INDEX(Input!$1:$1048576,V$93,$C364*2+MIN($B364,2)+5)
+INDEX(Scenarios!V$121:V$200,MATCH($B364,Scenarios!$B$121:$B$200,0)),),"Market")</f>
        <v>1.9E-2</v>
      </c>
      <c r="W364" s="885">
        <f>IFERROR(MAX(0,INDEX(Input!$1:$1048576,W$93,$C364*2+MIN($B364,2)+5)-0%,),"Market")</f>
        <v>3.9E-2</v>
      </c>
      <c r="X364" s="476" t="str">
        <f>INDEX(Input!$1:$1048576,X$93,$C364*2+MIN($B364,2)+5)</f>
        <v>Y</v>
      </c>
      <c r="Y364" s="475">
        <f>INDEX(Input!$1:$1048576,Y$93,$C364*2+MIN($B364,2)+5)
++INDEX(Scenarios!Y$121:Y$200,MATCH($B364,Scenarios!$B$121:$B$200,0))</f>
        <v>1374.9999999999991</v>
      </c>
      <c r="Z364" s="477">
        <f>INDEX(Input!$1:$1048576,Z$93,$C364*2+MIN($B364,2)+5)
+INDEX(Scenarios!Z$121:Z$200,MATCH($B364,Scenarios!$B$121:$B$200,0))</f>
        <v>0</v>
      </c>
      <c r="AA364" s="475">
        <f>INDEX(Input!$1:$1048576,AA$93,$C364*2+MIN($B364,2)+5)
+INDEX(Scenarios!AA$121:AA$200,MATCH($B364,Scenarios!$B$121:$B$200,0))</f>
        <v>0</v>
      </c>
      <c r="AB364" s="476">
        <f>INDEX(Input!$1:$1048576,AB$93,$C364*2+MIN($B364,2)+5)</f>
        <v>0.27</v>
      </c>
      <c r="AC364" s="475">
        <f>INDEX(Input!$1:$1048576,AC$93,$C364*2+MIN($B364,2)+5)
+INDEX(Scenarios!AC$121:AC$200,MATCH($B364,Scenarios!$B$121:$B$200,0))</f>
        <v>0</v>
      </c>
      <c r="AD364" s="476">
        <f>INDEX(Input!$1:$1048576,AD$93,$C364*2+MIN($B364,2)+5)</f>
        <v>0.27</v>
      </c>
      <c r="AE364" s="475">
        <f>INDEX(Input!$1:$1048576,AE$93,$C364*2+MIN($B364,2)+5)
+INDEX(Scenarios!AE$121:AE$200,MATCH($B364,Scenarios!$B$121:$B$200,0))</f>
        <v>0</v>
      </c>
      <c r="AF364" s="476">
        <f>INDEX(Input!$1:$1048576,AF$93,$C364*2+MIN($B364,2)+5)</f>
        <v>0.68200000000000005</v>
      </c>
      <c r="AG364" s="475">
        <f>INDEX(Input!$1:$1048576,AG$93,$C364*2+MIN($B364,2)+5)
+INDEX(Scenarios!AG$121:AG$200,MATCH($B364,Scenarios!$B$121:$B$200,0))</f>
        <v>500</v>
      </c>
      <c r="AH364" s="476">
        <f>INDEX(Input!$1:$1048576,AH$93,$C364*2+MIN($B364,2)+5)</f>
        <v>1</v>
      </c>
      <c r="AI364" s="475">
        <f>INDEX(Input!$1:$1048576,AI$93,$C364*2+MIN($B364,2)+5)
+INDEX(Scenarios!AI$121:AI$200,MATCH($B364,Scenarios!$B$121:$B$200,0))</f>
        <v>0</v>
      </c>
      <c r="AJ364" s="476">
        <f>INDEX(Input!$1:$1048576,AJ$93,$C364*2+MIN($B364,2)+5)</f>
        <v>0.27</v>
      </c>
      <c r="AK364" s="150">
        <f>ROUND(INDEX(Input!$1:$1048576,AK$93,$C363*2+MIN($B364,1)+5)+(Y364-VLOOKUP($C364*1000+1,$A:$HH,Y$92,FALSE)),0)</f>
        <v>2797</v>
      </c>
      <c r="AL364" s="150">
        <f>ROUND(INDEX(Input!$1:$1048576,AL$93,$C363*2+MIN($B364,1)+5)-(Y364-VLOOKUP($C364*1000+1,$A:$HH,Y$92,FALSE))/36,0)</f>
        <v>3400</v>
      </c>
      <c r="AM364" s="32" t="str">
        <f t="shared" si="907"/>
        <v>std/std/std/std</v>
      </c>
      <c r="AN364" s="32" t="str">
        <f t="shared" si="908"/>
        <v>$1000 + 0/0/0/1.9/3.9</v>
      </c>
      <c r="AO364" s="32" t="str">
        <f t="shared" si="909"/>
        <v>0/0/0/1.9/3.9</v>
      </c>
      <c r="AP364" s="32" t="str">
        <f t="shared" si="993"/>
        <v>0/0.9/1.9/3.9</v>
      </c>
      <c r="AQ364" s="536">
        <f t="shared" si="992"/>
        <v>0.3691156550579911</v>
      </c>
      <c r="AR364" s="32"/>
      <c r="AS364" s="302"/>
      <c r="AT364" s="3">
        <f t="shared" si="930"/>
        <v>64</v>
      </c>
      <c r="AU364" s="41" t="s">
        <v>121</v>
      </c>
      <c r="AV364" s="41" t="s">
        <v>116</v>
      </c>
      <c r="AW364" s="41" t="str">
        <f>INDEX(Input!$1:$1048576,AW$93,$C364*2+6)</f>
        <v>Kia</v>
      </c>
      <c r="AX364" s="41" t="str">
        <f>INDEX(Input!$1:$1048576,AX$93,$C364*2+6)</f>
        <v>Kia-LR - L3</v>
      </c>
      <c r="AY364" s="41" t="str">
        <f>IF(LEN(D364)=0,"",INDEX(Input!$1:$1048576,AY$93,$C364*2+6))</f>
        <v>Compact SUV (52)</v>
      </c>
      <c r="AZ364" s="41" t="str">
        <f>INDEX(Input!$1:$1048576,AZ$93,$C364*2+6)</f>
        <v>Kia Soul</v>
      </c>
      <c r="BA364" s="3">
        <f>INDEX(Input!$1:$1048576,BA$93,$C364*2+6)</f>
        <v>2020</v>
      </c>
      <c r="BB364" s="128">
        <f>INDEX(Input!$1:$1048576,BB$93,$C364*2+6)</f>
        <v>1</v>
      </c>
      <c r="BC364" s="128">
        <f>INDEX(Input!$1:$1048576,BC$93,$C364*2+6)</f>
        <v>0.7</v>
      </c>
      <c r="BD364" s="1">
        <f>INDEX(Input!$1:$1048576,BD$93,$C364*2+6)</f>
        <v>4.4999999999999998E-2</v>
      </c>
      <c r="BE364" s="1">
        <f>INDEX(Input!$1:$1048576,BE$93,$C364*2+6)</f>
        <v>4.4999999999999998E-2</v>
      </c>
      <c r="BF364" s="1">
        <f>INDEX(Input!$1:$1048576,BF$93,$C364*2+6)</f>
        <v>0.05</v>
      </c>
      <c r="BG364" s="1">
        <f>INDEX(Input!$1:$1048576,BG$93,$C364*2+6)</f>
        <v>5.45E-2</v>
      </c>
      <c r="BH364" s="1">
        <f>INDEX(Input!$1:$1048576,BH$93,$C364*2+6)</f>
        <v>5.45E-2</v>
      </c>
      <c r="BI364" s="1">
        <f>INDEX(Input!$1:$1048576,BI$93,$C364*2+6)</f>
        <v>0.05</v>
      </c>
      <c r="BJ364" s="1">
        <f>INDEX(Input!$1:$1048576,BJ$93,$C364*2+6)</f>
        <v>0.05</v>
      </c>
      <c r="BK364" s="1">
        <f>INDEX(Input!$1:$1048576,BK$93,$C364*2+6)</f>
        <v>0.05</v>
      </c>
      <c r="BL364" s="1">
        <f>INDEX(Input!$1:$1048576,BL$93,$C364*2+6)</f>
        <v>5.5E-2</v>
      </c>
      <c r="BM364" s="1">
        <f>INDEX(Input!$1:$1048576,BM$93,$C364*2+6)</f>
        <v>0.06</v>
      </c>
      <c r="BN364" s="1">
        <f>INDEX(Input!$1:$1048576,BN$93,$C364*2+6)</f>
        <v>4.4999999999999998E-2</v>
      </c>
      <c r="BO364" s="1">
        <f>INDEX(Input!$1:$1048576,BO$93,$C364*2+6)</f>
        <v>4.4999999999999998E-2</v>
      </c>
      <c r="BP364" s="1">
        <f>INDEX(Input!$1:$1048576,BP$93,$C364*2+6)</f>
        <v>0.05</v>
      </c>
      <c r="BQ364" s="1">
        <f>INDEX(Input!$1:$1048576,BQ$93,$C364*2+6)</f>
        <v>5.45E-2</v>
      </c>
      <c r="BR364" s="1">
        <f>INDEX(Input!$1:$1048576,BR$93,$C364*2+6)</f>
        <v>5.45E-2</v>
      </c>
      <c r="BS364" s="1">
        <f>INDEX(Input!$1:$1048576,BS$93,$C364*2+6)</f>
        <v>0.05</v>
      </c>
      <c r="BT364" s="1">
        <f>INDEX(Input!$1:$1048576,BT$93,$C364*2+6)</f>
        <v>0.05</v>
      </c>
      <c r="BU364" s="1">
        <f>INDEX(Input!$1:$1048576,BU$93,$C364*2+6)</f>
        <v>0.05</v>
      </c>
      <c r="BV364" s="1">
        <f>INDEX(Input!$1:$1048576,BV$93,$C364*2+6)</f>
        <v>5.5E-2</v>
      </c>
      <c r="BW364" s="1">
        <f>INDEX(Input!$1:$1048576,BW$93,$C364*2+6)</f>
        <v>0.06</v>
      </c>
      <c r="BX364" s="127">
        <f>INDEX(Input!$1:$1048576,BX$93,$C364*2+6)</f>
        <v>19985</v>
      </c>
      <c r="BY364" s="20">
        <f>INDEX(Input!$1:$1048576,BY$93,$C364*2+6)</f>
        <v>0.1</v>
      </c>
      <c r="BZ364" s="20">
        <f>INDEX(Input!$1:$1048576,BZ$93,$C364*2+6)</f>
        <v>0.1</v>
      </c>
      <c r="CA364" s="20">
        <f>INDEX(Input!$1:$1048576,CA$93,$C364*2+6)</f>
        <v>0.1</v>
      </c>
      <c r="CB364" s="20">
        <f>INDEX(Input!$1:$1048576,CB$93,$C364*2+6)</f>
        <v>0.1</v>
      </c>
      <c r="CC364" s="20">
        <f>INDEX(Input!$1:$1048576,CC$93,$C364*2+6)</f>
        <v>0.1</v>
      </c>
      <c r="CD364" s="384">
        <f>INDEX(Input!$1:$1048576,CD$93,$C364*2+6)</f>
        <v>0.1</v>
      </c>
      <c r="CE364" s="384">
        <f>INDEX(Input!$1:$1048576,CE$93,$C364*2+6)</f>
        <v>0.1</v>
      </c>
      <c r="CF364" s="384">
        <f>INDEX(Input!$1:$1048576,CF$93,$C364*2+6)</f>
        <v>0.1</v>
      </c>
      <c r="CG364" s="384">
        <f>INDEX(Input!$1:$1048576,CG$93,$C364*2+6)</f>
        <v>0.1</v>
      </c>
      <c r="CH364" s="384">
        <f>INDEX(Input!$1:$1048576,CH$93,$C364*2+6)</f>
        <v>0.1</v>
      </c>
      <c r="CI364" s="304">
        <f t="shared" si="994"/>
        <v>2287.0236024844721</v>
      </c>
      <c r="CJ364" s="16" t="str">
        <f>INDEX(Input!$1:$1048576,CJ$93,$C364*2+6)</f>
        <v>N</v>
      </c>
      <c r="CK364" s="1" t="str">
        <f t="shared" si="995"/>
        <v>Market</v>
      </c>
      <c r="CL364" s="1" t="str">
        <f t="shared" si="996"/>
        <v>Market</v>
      </c>
      <c r="CM364" s="1" t="str">
        <f t="shared" si="997"/>
        <v>Market</v>
      </c>
      <c r="CN364" s="1" t="str">
        <f t="shared" si="998"/>
        <v>Market</v>
      </c>
      <c r="CO364" s="1" t="str">
        <f t="shared" si="999"/>
        <v>Market</v>
      </c>
      <c r="CP364" s="304">
        <f t="shared" si="1000"/>
        <v>1500</v>
      </c>
      <c r="CQ364" s="1">
        <f t="shared" si="1001"/>
        <v>0</v>
      </c>
      <c r="CR364" s="1">
        <f t="shared" si="1002"/>
        <v>0</v>
      </c>
      <c r="CS364" s="1">
        <f t="shared" si="1003"/>
        <v>0</v>
      </c>
      <c r="CT364" s="1">
        <f t="shared" si="1004"/>
        <v>1.9E-2</v>
      </c>
      <c r="CU364" s="1">
        <f t="shared" si="1005"/>
        <v>3.9E-2</v>
      </c>
      <c r="CV364" s="304">
        <f t="shared" si="1006"/>
        <v>1374.9999999999991</v>
      </c>
      <c r="CW364" s="20" t="s">
        <v>122</v>
      </c>
      <c r="CX364" s="20" t="s">
        <v>122</v>
      </c>
      <c r="CY364" s="20" t="s">
        <v>122</v>
      </c>
      <c r="CZ364" s="20" t="s">
        <v>122</v>
      </c>
      <c r="DA364" s="20" t="s">
        <v>122</v>
      </c>
      <c r="DB364" s="503">
        <f t="shared" si="1007"/>
        <v>0</v>
      </c>
      <c r="DC364" s="127">
        <v>0</v>
      </c>
      <c r="DD364" s="127">
        <v>0</v>
      </c>
      <c r="DE364" s="127">
        <v>0</v>
      </c>
      <c r="DF364" s="127">
        <v>0</v>
      </c>
      <c r="DG364" s="127">
        <v>0</v>
      </c>
      <c r="DH364" s="127">
        <v>0</v>
      </c>
      <c r="DI364" s="127">
        <v>0</v>
      </c>
      <c r="DJ364" s="127">
        <v>0</v>
      </c>
      <c r="DK364" s="127">
        <v>0</v>
      </c>
      <c r="DL364" s="127">
        <v>0</v>
      </c>
      <c r="DM364" s="304">
        <f>INDEX(Input!$1:$1048576,DM$93,$C364*2+6)</f>
        <v>21036.84210526316</v>
      </c>
      <c r="DN364" s="20">
        <v>0</v>
      </c>
      <c r="DO364" s="20">
        <v>0</v>
      </c>
      <c r="DP364" s="20">
        <v>0</v>
      </c>
      <c r="DQ364" s="20">
        <v>0</v>
      </c>
      <c r="DR364" s="20">
        <v>0</v>
      </c>
      <c r="DS364" s="20">
        <f>INDEX(Input!$1:$1048576,DS$93,$C364*2+6)</f>
        <v>0.6</v>
      </c>
      <c r="DT364" s="20">
        <f>INDEX(Input!$1:$1048576,DT$93,$C364*2+6)</f>
        <v>0.55000000000000004</v>
      </c>
      <c r="DU364" s="20">
        <f>INDEX(Input!$1:$1048576,DU$93,$C364*2+6)</f>
        <v>0.52</v>
      </c>
      <c r="DV364" s="20">
        <f>INDEX(Input!$1:$1048576,DV$93,$C364*2+6)</f>
        <v>0.5</v>
      </c>
      <c r="DW364" s="20">
        <f>INDEX(Input!$1:$1048576,DW$93,$C364*2+6)</f>
        <v>0.45</v>
      </c>
      <c r="DX364" s="20"/>
      <c r="DY364" s="7">
        <v>0.11907584031074235</v>
      </c>
      <c r="DZ364" s="7">
        <v>0</v>
      </c>
      <c r="EA364" s="7">
        <v>0.73779072503838961</v>
      </c>
      <c r="EB364" s="7">
        <v>0</v>
      </c>
      <c r="EC364" s="7">
        <v>0</v>
      </c>
      <c r="ED364" s="7">
        <v>0</v>
      </c>
      <c r="EE364" s="7">
        <v>0</v>
      </c>
      <c r="EF364" s="7">
        <v>0</v>
      </c>
      <c r="EG364" s="7">
        <v>0</v>
      </c>
      <c r="EH364" s="7">
        <v>1.20046341171283E-2</v>
      </c>
      <c r="EI364" s="7">
        <v>3.3632865323301675E-2</v>
      </c>
      <c r="EJ364" s="7">
        <v>0.27163673772576835</v>
      </c>
      <c r="EK364" s="7">
        <v>0.54176224299834441</v>
      </c>
      <c r="EL364" s="7">
        <v>0.14096351983545713</v>
      </c>
      <c r="EM364" s="7">
        <v>5.324981350545669E-2</v>
      </c>
      <c r="EN364" s="7">
        <v>6.2007856023577522E-2</v>
      </c>
      <c r="EO364" s="7">
        <v>0.77534777212096462</v>
      </c>
      <c r="EP364" s="7">
        <v>6.6931982140660637E-2</v>
      </c>
      <c r="EQ364" s="7">
        <v>6.2736217751683115E-2</v>
      </c>
      <c r="ER364" s="7">
        <v>3.2976171963114254E-2</v>
      </c>
      <c r="ES364" s="7">
        <v>8.9883621145411527E-2</v>
      </c>
      <c r="ET364" s="7">
        <v>0.14313343465086803</v>
      </c>
      <c r="EU364" s="6">
        <v>2611</v>
      </c>
      <c r="EV364" s="6">
        <v>0</v>
      </c>
      <c r="EW364" s="6">
        <v>2611</v>
      </c>
      <c r="EX364" s="6">
        <v>0</v>
      </c>
      <c r="EY364" s="6">
        <v>3336.3549347937333</v>
      </c>
      <c r="EZ364" s="6">
        <v>2109</v>
      </c>
      <c r="FA364" s="6">
        <v>0</v>
      </c>
      <c r="FB364" s="6">
        <v>0</v>
      </c>
      <c r="FC364" s="6">
        <v>0</v>
      </c>
      <c r="FD364" s="6">
        <v>0</v>
      </c>
      <c r="FE364" s="6">
        <v>0</v>
      </c>
      <c r="FF364" s="6">
        <v>0</v>
      </c>
      <c r="FG364" s="6">
        <v>0</v>
      </c>
      <c r="FH364" s="6">
        <v>1172.0299122309975</v>
      </c>
      <c r="FI364" s="6">
        <v>1553.9796069512392</v>
      </c>
      <c r="FJ364" s="6">
        <v>2101.2110117447414</v>
      </c>
      <c r="FK364" s="6">
        <v>1772.7139978623229</v>
      </c>
      <c r="FL364" s="6">
        <v>907.07682140966347</v>
      </c>
      <c r="FM364" s="6">
        <v>1725.354934793733</v>
      </c>
      <c r="FN364" s="6">
        <v>0</v>
      </c>
      <c r="FO364" s="6">
        <v>0</v>
      </c>
      <c r="FP364" s="6">
        <v>0</v>
      </c>
      <c r="FQ364" s="6">
        <v>0</v>
      </c>
      <c r="FR364" s="6">
        <v>0</v>
      </c>
      <c r="FS364" s="6">
        <v>0</v>
      </c>
      <c r="FT364" s="7">
        <v>0.85686656534913197</v>
      </c>
      <c r="FU364" s="7">
        <v>5.324981350545669E-2</v>
      </c>
      <c r="FV364" s="7">
        <v>8.9883621145411527E-2</v>
      </c>
      <c r="FW364" s="6">
        <v>2611.0000000000005</v>
      </c>
      <c r="FX364" s="6">
        <v>3336.3549347937333</v>
      </c>
      <c r="FY364" s="6">
        <v>2109</v>
      </c>
      <c r="FZ364" s="6">
        <v>1858.9243755539039</v>
      </c>
      <c r="GA364" s="6">
        <v>2604.5034371880329</v>
      </c>
      <c r="GB364" s="6">
        <v>17380.496562811968</v>
      </c>
      <c r="GC364" s="7">
        <v>2.9156573141622111E-2</v>
      </c>
      <c r="GD364" s="7">
        <v>3.2577684843814646E-2</v>
      </c>
      <c r="GE364" s="7"/>
      <c r="GF364" s="7"/>
      <c r="GG364" s="7">
        <v>0.11733586404599682</v>
      </c>
      <c r="GH364" s="42">
        <v>3.1451490038087542</v>
      </c>
      <c r="GI364" s="6">
        <v>8958.7333880737606</v>
      </c>
      <c r="GJ364" s="14">
        <v>0.50394797582841722</v>
      </c>
      <c r="GK364" s="14">
        <v>0.50887573065309744</v>
      </c>
      <c r="GL364" s="14">
        <v>0.49605202417158262</v>
      </c>
      <c r="GM364" s="14">
        <v>0.49112426934690229</v>
      </c>
      <c r="GO364" s="5">
        <v>343.14810671672558</v>
      </c>
      <c r="GP364" s="5">
        <v>293.33520778489498</v>
      </c>
      <c r="GQ364" s="5">
        <v>535.04305713031317</v>
      </c>
      <c r="GR364" s="5">
        <v>410.15490233172511</v>
      </c>
      <c r="GS364" s="5">
        <v>339.42744393800166</v>
      </c>
      <c r="GT364" s="5">
        <v>293.4407446948278</v>
      </c>
      <c r="GU364" s="5">
        <v>258.04012322764959</v>
      </c>
      <c r="GV364" s="39" t="s">
        <v>392</v>
      </c>
      <c r="GW364" s="5">
        <v>454.875</v>
      </c>
      <c r="GX364" s="5">
        <v>341.15625</v>
      </c>
      <c r="GY364" s="5">
        <v>272.92500000000001</v>
      </c>
      <c r="GZ364" s="5">
        <v>240.82751152063875</v>
      </c>
      <c r="HA364" s="5">
        <v>223.08053899211657</v>
      </c>
      <c r="HB364" s="39">
        <v>252.98859759853727</v>
      </c>
      <c r="HC364" s="5">
        <v>195.015625</v>
      </c>
      <c r="HD364" s="5">
        <v>176.82830774853798</v>
      </c>
      <c r="HE364" s="5">
        <v>182.4921938259109</v>
      </c>
      <c r="HF364" s="5">
        <v>172.13813048245612</v>
      </c>
      <c r="HG364" s="5">
        <v>170.20888157894734</v>
      </c>
      <c r="HH364" s="39">
        <v>177.82263210197476</v>
      </c>
      <c r="HI364" s="16"/>
      <c r="HJ364" s="19" t="str">
        <f t="shared" ref="HJ364" si="1021">HJ363</f>
        <v>On</v>
      </c>
      <c r="HK364" s="1" t="str">
        <f t="shared" si="991"/>
        <v>On</v>
      </c>
      <c r="HL364" s="16"/>
      <c r="HM364" s="639">
        <f t="shared" si="878"/>
        <v>2.2758057894877178E-2</v>
      </c>
      <c r="HN364" s="639">
        <f t="shared" si="879"/>
        <v>1.416759231746561E-3</v>
      </c>
      <c r="HO364" s="639">
        <f t="shared" si="880"/>
        <v>4.5732401537654987E-3</v>
      </c>
      <c r="HP364" s="644">
        <f>(FT364*$GD364-HM364)/$JF364*INDEX(Input!$1:$1048576,$JG$93,$C364*2+6)</f>
        <v>288.79309193307273</v>
      </c>
      <c r="HQ364" s="644">
        <f>(FU364*$GD364-HN364)/$JF364*INDEX(Input!$1:$1048576,$JG$93,$C364*2+6)</f>
        <v>17.809002400217423</v>
      </c>
      <c r="HR364" s="644">
        <f>(FV364*$GD364-HO364)/$JF364*INDEX(Input!$1:$1048576,$JG$93,$C364*2+6)</f>
        <v>-92.12845818532999</v>
      </c>
      <c r="HS364" s="644">
        <f t="shared" si="1014"/>
        <v>-111.69472186657298</v>
      </c>
      <c r="HT364" s="644">
        <f t="shared" si="882"/>
        <v>124.94203991133206</v>
      </c>
      <c r="HU364" s="644">
        <f t="shared" si="883"/>
        <v>21.041633264342714</v>
      </c>
      <c r="HV364" s="648">
        <f t="shared" si="884"/>
        <v>0</v>
      </c>
      <c r="HW364" s="648">
        <f t="shared" si="885"/>
        <v>0</v>
      </c>
      <c r="HX364" s="648">
        <f t="shared" si="886"/>
        <v>0</v>
      </c>
      <c r="HY364" s="644">
        <f>INDEX(Input!$1:$1048576,HY$93,$C364*2+6)*INDEX(Input!$1:$1048576,$JG$93,$C364*2+6)</f>
        <v>509.00000000000006</v>
      </c>
      <c r="HZ364" s="644">
        <f>INDEX(Input!$1:$1048576,HZ$93,$C364*2+6)*INDEX(Input!$1:$1048576,$JG$93,$C364*2+6)</f>
        <v>844</v>
      </c>
      <c r="IA364" s="644">
        <f>INDEX(Input!$1:$1048576,IA$93,$C364*2+6)*INDEX(Input!$1:$1048576,$JG$93,$C364*2+6)</f>
        <v>257</v>
      </c>
      <c r="IB364" s="644">
        <f t="shared" si="910"/>
        <v>686.09837006650002</v>
      </c>
      <c r="IC364" s="644">
        <f t="shared" si="911"/>
        <v>986.75104231154944</v>
      </c>
      <c r="ID364" s="644">
        <f>IF(AND(INDEX(Input!$1:$1048576,IA$93,$C364*2+7)="TOS",Y364&lt;=INDEX(Y:Y,MATCH(C364*1000+2,A:A))),0,1)*MAX(IA364+HR364+HU364+HX364,0%)</f>
        <v>185.91317507901275</v>
      </c>
      <c r="IE364" s="128">
        <f t="shared" si="1015"/>
        <v>0.3691156550579911</v>
      </c>
      <c r="IF364" s="128">
        <f t="shared" si="1016"/>
        <v>0.53086448423814303</v>
      </c>
      <c r="IG364" s="128">
        <f t="shared" si="888"/>
        <v>0.10001986070386591</v>
      </c>
      <c r="IH364" s="21"/>
      <c r="II364" s="19">
        <f t="shared" si="889"/>
        <v>1410.4999999999998</v>
      </c>
      <c r="IJ364" s="19">
        <f t="shared" si="890"/>
        <v>2134.9731585778086</v>
      </c>
      <c r="IK364" s="19">
        <f t="shared" si="891"/>
        <v>2103.5</v>
      </c>
      <c r="IL364" s="19">
        <f t="shared" si="913"/>
        <v>1200.5000000000007</v>
      </c>
      <c r="IM364" s="19">
        <f t="shared" si="892"/>
        <v>1201.3817762159247</v>
      </c>
      <c r="IN364" s="19">
        <f t="shared" si="893"/>
        <v>5.5</v>
      </c>
      <c r="IO364" s="39">
        <f t="shared" si="894"/>
        <v>0</v>
      </c>
      <c r="IP364" s="39">
        <f t="shared" si="895"/>
        <v>0</v>
      </c>
      <c r="IQ364" s="39">
        <f t="shared" si="896"/>
        <v>0</v>
      </c>
      <c r="IR364" s="39">
        <v>0</v>
      </c>
      <c r="IS364" s="39">
        <v>0</v>
      </c>
      <c r="IT364" s="39">
        <v>0</v>
      </c>
      <c r="IU364" s="39">
        <v>0</v>
      </c>
      <c r="IV364" s="39">
        <v>0</v>
      </c>
      <c r="IW364" s="39">
        <v>0</v>
      </c>
      <c r="IX364" s="39">
        <f>INDEX(Input!$1:$1048576,IX$93,$C364*2+6)+INDEX(Input!$1:$1048576,IX$94,$C364*2+6)</f>
        <v>1611</v>
      </c>
      <c r="IY364" s="39">
        <f>INDEX(Input!$1:$1048576,IY$93,$C364*2+6)+INDEX(Input!$1:$1048576,IY$94,$C364*2+6)</f>
        <v>2471.0624533823611</v>
      </c>
      <c r="IZ364" s="39">
        <f>INDEX(Input!$1:$1048576,IZ$93,$C364*2+6)+INDEX(Input!$1:$1048576,IZ$94,$C364*2+6)</f>
        <v>3994.7164157747857</v>
      </c>
      <c r="JA364" s="19">
        <f t="shared" si="914"/>
        <v>2811.5000000000009</v>
      </c>
      <c r="JB364" s="19">
        <f t="shared" si="915"/>
        <v>3672.4442295982858</v>
      </c>
      <c r="JC364" s="19">
        <f t="shared" si="916"/>
        <v>4000.2164157747857</v>
      </c>
      <c r="JD364" s="19">
        <f t="shared" si="917"/>
        <v>3387.4399647256923</v>
      </c>
      <c r="JE364" s="21"/>
      <c r="JF364" s="1">
        <f t="shared" si="897"/>
        <v>2.8748057280389237E-2</v>
      </c>
      <c r="JG364" s="15">
        <f>INDEX(Input!$1:$1048576,JG$93,$C364*2+6)/(1+VLOOKUP(C364*1000+INDEX(Input!$1:$1048576,JG$93+1,$C364*2+6),$A:$KK,$JK$92,FALSE))</f>
        <v>1610</v>
      </c>
      <c r="JH364" s="1">
        <f t="shared" si="918"/>
        <v>0.13321343860121751</v>
      </c>
      <c r="JI364" s="1">
        <f t="shared" si="919"/>
        <v>2.1297485285156396E-2</v>
      </c>
      <c r="JJ364" s="1">
        <f t="shared" si="1017"/>
        <v>0</v>
      </c>
      <c r="JK364" s="1">
        <f t="shared" si="1018"/>
        <v>0.15451092388637391</v>
      </c>
      <c r="JL364" s="15">
        <f t="shared" si="922"/>
        <v>248.76258745706201</v>
      </c>
      <c r="JM364" s="15">
        <f t="shared" si="948"/>
        <v>1858.762587457062</v>
      </c>
      <c r="JN364" s="21"/>
      <c r="JO364" s="19">
        <f>INDEX(Input!$1:$1048576,JO$93,$C364*2+6)</f>
        <v>5995.5</v>
      </c>
      <c r="JP364" s="19">
        <f>INDEX(Input!$1:$1048576,JP$93,$C364*2+6)</f>
        <v>2442.3713226762939</v>
      </c>
      <c r="JQ364" s="39">
        <f t="shared" si="934"/>
        <v>2608.0600352743077</v>
      </c>
      <c r="JR364" s="39">
        <f t="shared" si="951"/>
        <v>945.06864204939848</v>
      </c>
      <c r="JS364" s="39">
        <f t="shared" si="936"/>
        <v>6.2964466736889859</v>
      </c>
      <c r="JT364" s="39">
        <f t="shared" si="924"/>
        <v>2.3642288441801531</v>
      </c>
      <c r="JU364" s="385">
        <f>(JQ364*JM364-INDEX(Input!$1:$1048576,Input!A$18,$C364*2+6)*JL364*INDEX(Input!$1:$1048576,Input!A$19,$C364*2+6))/1000000</f>
        <v>4.8477644194098284</v>
      </c>
      <c r="JV364" s="39">
        <f t="shared" si="958"/>
        <v>-0.87277275108133878</v>
      </c>
      <c r="JW364" s="1">
        <f t="shared" si="949"/>
        <v>-0.15256832095829248</v>
      </c>
      <c r="JX364" s="19">
        <f t="shared" si="940"/>
        <v>9503.9566373228608</v>
      </c>
      <c r="JZ364" s="341"/>
      <c r="KA364" s="342"/>
      <c r="KB364" s="469">
        <f t="shared" si="937"/>
        <v>2.5190675447988795</v>
      </c>
      <c r="KI364" s="473">
        <f t="shared" si="1019"/>
        <v>177.09837006649985</v>
      </c>
      <c r="KJ364" s="473">
        <f t="shared" si="1020"/>
        <v>142.75104231154944</v>
      </c>
      <c r="KK364" s="473">
        <f t="shared" si="926"/>
        <v>-71.086824920987283</v>
      </c>
      <c r="KN364" s="544">
        <f t="shared" si="941"/>
        <v>3002</v>
      </c>
      <c r="KO364" s="541">
        <f t="shared" si="901"/>
        <v>0.12032271597392641</v>
      </c>
      <c r="KP364" s="546">
        <f t="shared" si="902"/>
        <v>882.41886656686756</v>
      </c>
      <c r="KQ364" s="546">
        <f t="shared" si="903"/>
        <v>751.52653933699412</v>
      </c>
      <c r="KR364" s="548">
        <f t="shared" si="904"/>
        <v>2.3656443616687231</v>
      </c>
      <c r="KS364" s="548">
        <f t="shared" si="905"/>
        <v>2.7776653345677236</v>
      </c>
      <c r="KT364" s="473">
        <f t="shared" si="939"/>
        <v>1026.1618045255443</v>
      </c>
      <c r="KU364" s="663">
        <f t="shared" si="927"/>
        <v>4.7869547422201304</v>
      </c>
    </row>
    <row r="365" spans="1:308" s="26" customFormat="1" ht="15" outlineLevel="1">
      <c r="A365" s="561">
        <f t="shared" si="906"/>
        <v>3065</v>
      </c>
      <c r="B365" s="561">
        <f t="shared" si="928"/>
        <v>65</v>
      </c>
      <c r="C365" s="561">
        <f t="shared" si="929"/>
        <v>3</v>
      </c>
      <c r="D365" s="561" t="str">
        <f t="shared" si="974"/>
        <v xml:space="preserve">500 CC, 500 Combo, -360 Lease, </v>
      </c>
      <c r="E365" s="475">
        <f>INDEX(Input!$1:$1048576,E$93,$C365*2+MIN($B365,2)+5)
+INDEX(Scenarios!E$121:E$200,MATCH($B365,Scenarios!$B$121:$B$200,0))</f>
        <v>1787.0236024844721</v>
      </c>
      <c r="F365" s="475">
        <f>INDEX(Input!$1:$1048576,F$93,$C365*2+MIN($B365,2)+5)
+INDEX(Scenarios!F$121:F$200,MATCH($B365,Scenarios!$B$121:$B$200,0))</f>
        <v>0</v>
      </c>
      <c r="G365" s="475">
        <f>INDEX(Input!$1:$1048576,G$93,$C365*2+MIN($B365,2)+5)
+INDEX(Scenarios!G$121:G$200,MATCH($B365,Scenarios!$B$121:$B$200,0))</f>
        <v>0</v>
      </c>
      <c r="H365" s="475">
        <f>INDEX(Input!$1:$1048576,H$93,$C365*2+MIN($B365,2)+5)
+INDEX(Scenarios!H$121:H$200,MATCH($B365,Scenarios!$B$121:$B$200,0))</f>
        <v>0</v>
      </c>
      <c r="I365" s="476">
        <f>INDEX(Input!$1:$1048576,I$93,$C365*2+MIN($B365,2)+5)</f>
        <v>0.7</v>
      </c>
      <c r="J365" s="476" t="str">
        <f>INDEX(Input!$1:$1048576,J$93,$C365*2+MIN($B365,2)+5)</f>
        <v>Market</v>
      </c>
      <c r="K365" s="476" t="str">
        <f>INDEX(Input!$1:$1048576,K$93,$C365*2+MIN($B365,2)+5)</f>
        <v>Market</v>
      </c>
      <c r="L365" s="476" t="str">
        <f>INDEX(Input!$1:$1048576,L$93,$C365*2+MIN($B365,2)+5)</f>
        <v>Market</v>
      </c>
      <c r="M365" s="476" t="str">
        <f>INDEX(Input!$1:$1048576,M$93,$C365*2+MIN($B365,2)+5)</f>
        <v>Market</v>
      </c>
      <c r="N365" s="476" t="str">
        <f>INDEX(Input!$1:$1048576,N$93,$C365*2+MIN($B365,2)+5)</f>
        <v>Market</v>
      </c>
      <c r="O365" s="476" t="str">
        <f>INDEX(Input!$1:$1048576,O$93,$C365*2+MIN($B365,2)+5)</f>
        <v>Market</v>
      </c>
      <c r="P365" s="476" t="str">
        <f>INDEX(Input!$1:$1048576,P$93,$C365*2+MIN($B365,2)+5)</f>
        <v>N</v>
      </c>
      <c r="Q365" s="477">
        <f>INDEX(Input!$1:$1048576,Q$93,$C365*2+MIN($B365,2)+5)
+INDEX(Scenarios!Q$121:Q$200,MATCH($B365,Scenarios!$B$121:$B$200,0))</f>
        <v>500</v>
      </c>
      <c r="R365" s="478">
        <f>IFERROR(MAX(0,INDEX(Input!$1:$1048576,R$93,$C365*2+MIN($B365,2)+5)
+INDEX(Scenarios!R$121:R$200,MATCH($B365,Scenarios!$B$121:$B$200,0)),),"Market")</f>
        <v>0</v>
      </c>
      <c r="S365" s="478">
        <f>IFERROR(MAX(0,INDEX(Input!$1:$1048576,S$93,$C365*2+MIN($B365,2)+5)
+INDEX(Scenarios!S$121:S$200,MATCH($B365,Scenarios!$B$121:$B$200,0)),),"Market")</f>
        <v>0</v>
      </c>
      <c r="T365" s="478">
        <f>IFERROR(MAX(0,INDEX(Input!$1:$1048576,T$93,$C365*2+MIN($B365,2)+5)
+INDEX(Scenarios!T$121:T$200,MATCH($B365,Scenarios!$B$121:$B$200,0)),),"Market")</f>
        <v>0</v>
      </c>
      <c r="U365" s="478">
        <f>IFERROR(MAX(0,INDEX(Input!$1:$1048576,U$93,$C365*2+MIN($B365,2)+5)
+INDEX(Scenarios!U$121:U$200,MATCH($B365,Scenarios!$B$121:$B$200,0)),),"Market")</f>
        <v>0</v>
      </c>
      <c r="V365" s="478">
        <f>IFERROR(MAX(0,INDEX(Input!$1:$1048576,V$93,$C365*2+MIN($B365,2)+5)
+INDEX(Scenarios!V$121:V$200,MATCH($B365,Scenarios!$B$121:$B$200,0)),),"Market")</f>
        <v>1.9E-2</v>
      </c>
      <c r="W365" s="885">
        <f>IFERROR(MAX(0,INDEX(Input!$1:$1048576,W$93,$C365*2+MIN($B365,2)+5)-0%,),"Market")</f>
        <v>3.9E-2</v>
      </c>
      <c r="X365" s="476" t="str">
        <f>INDEX(Input!$1:$1048576,X$93,$C365*2+MIN($B365,2)+5)</f>
        <v>Y</v>
      </c>
      <c r="Y365" s="475">
        <f>INDEX(Input!$1:$1048576,Y$93,$C365*2+MIN($B365,2)+5)
++INDEX(Scenarios!Y$121:Y$200,MATCH($B365,Scenarios!$B$121:$B$200,0))</f>
        <v>1194.9999999999991</v>
      </c>
      <c r="Z365" s="477">
        <f>INDEX(Input!$1:$1048576,Z$93,$C365*2+MIN($B365,2)+5)
+INDEX(Scenarios!Z$121:Z$200,MATCH($B365,Scenarios!$B$121:$B$200,0))</f>
        <v>0</v>
      </c>
      <c r="AA365" s="475">
        <f>INDEX(Input!$1:$1048576,AA$93,$C365*2+MIN($B365,2)+5)
+INDEX(Scenarios!AA$121:AA$200,MATCH($B365,Scenarios!$B$121:$B$200,0))</f>
        <v>0</v>
      </c>
      <c r="AB365" s="476">
        <f>INDEX(Input!$1:$1048576,AB$93,$C365*2+MIN($B365,2)+5)</f>
        <v>0.27</v>
      </c>
      <c r="AC365" s="475">
        <f>INDEX(Input!$1:$1048576,AC$93,$C365*2+MIN($B365,2)+5)
+INDEX(Scenarios!AC$121:AC$200,MATCH($B365,Scenarios!$B$121:$B$200,0))</f>
        <v>0</v>
      </c>
      <c r="AD365" s="476">
        <f>INDEX(Input!$1:$1048576,AD$93,$C365*2+MIN($B365,2)+5)</f>
        <v>0.27</v>
      </c>
      <c r="AE365" s="475">
        <f>INDEX(Input!$1:$1048576,AE$93,$C365*2+MIN($B365,2)+5)
+INDEX(Scenarios!AE$121:AE$200,MATCH($B365,Scenarios!$B$121:$B$200,0))</f>
        <v>0</v>
      </c>
      <c r="AF365" s="476">
        <f>INDEX(Input!$1:$1048576,AF$93,$C365*2+MIN($B365,2)+5)</f>
        <v>0.68200000000000005</v>
      </c>
      <c r="AG365" s="475">
        <f>INDEX(Input!$1:$1048576,AG$93,$C365*2+MIN($B365,2)+5)
+INDEX(Scenarios!AG$121:AG$200,MATCH($B365,Scenarios!$B$121:$B$200,0))</f>
        <v>500</v>
      </c>
      <c r="AH365" s="476">
        <f>INDEX(Input!$1:$1048576,AH$93,$C365*2+MIN($B365,2)+5)</f>
        <v>1</v>
      </c>
      <c r="AI365" s="475">
        <f>INDEX(Input!$1:$1048576,AI$93,$C365*2+MIN($B365,2)+5)
+INDEX(Scenarios!AI$121:AI$200,MATCH($B365,Scenarios!$B$121:$B$200,0))</f>
        <v>0</v>
      </c>
      <c r="AJ365" s="476">
        <f>INDEX(Input!$1:$1048576,AJ$93,$C365*2+MIN($B365,2)+5)</f>
        <v>0.27</v>
      </c>
      <c r="AK365" s="150">
        <f>ROUND(INDEX(Input!$1:$1048576,AK$93,$C364*2+MIN($B365,1)+5)+(Y365-VLOOKUP($C365*1000+1,$A:$HH,Y$92,FALSE)),0)</f>
        <v>2617</v>
      </c>
      <c r="AL365" s="150">
        <f>ROUND(INDEX(Input!$1:$1048576,AL$93,$C364*2+MIN($B365,1)+5)-(Y365-VLOOKUP($C365*1000+1,$A:$HH,Y$92,FALSE))/36,0)</f>
        <v>3405</v>
      </c>
      <c r="AM365" s="32" t="str">
        <f t="shared" si="907"/>
        <v>std/std/std/std</v>
      </c>
      <c r="AN365" s="32" t="str">
        <f t="shared" si="908"/>
        <v>$500 + 0/0/0/1.9/3.9</v>
      </c>
      <c r="AO365" s="32" t="str">
        <f t="shared" si="909"/>
        <v>0/0/0/1.9/3.9</v>
      </c>
      <c r="AP365" s="32" t="str">
        <f t="shared" si="993"/>
        <v>0/0.9/1.9/3.9</v>
      </c>
      <c r="AQ365" s="536">
        <f t="shared" si="992"/>
        <v>0.35846506189731642</v>
      </c>
      <c r="AR365" s="32"/>
      <c r="AS365" s="302"/>
      <c r="AT365" s="3">
        <f t="shared" si="930"/>
        <v>65</v>
      </c>
      <c r="AU365" s="41" t="s">
        <v>121</v>
      </c>
      <c r="AV365" s="41" t="s">
        <v>116</v>
      </c>
      <c r="AW365" s="41" t="str">
        <f>INDEX(Input!$1:$1048576,AW$93,$C365*2+6)</f>
        <v>Kia</v>
      </c>
      <c r="AX365" s="41" t="str">
        <f>INDEX(Input!$1:$1048576,AX$93,$C365*2+6)</f>
        <v>Kia-LR - L3</v>
      </c>
      <c r="AY365" s="41" t="str">
        <f>IF(LEN(D365)=0,"",INDEX(Input!$1:$1048576,AY$93,$C365*2+6))</f>
        <v>Compact SUV (52)</v>
      </c>
      <c r="AZ365" s="41" t="str">
        <f>INDEX(Input!$1:$1048576,AZ$93,$C365*2+6)</f>
        <v>Kia Soul</v>
      </c>
      <c r="BA365" s="3">
        <f>INDEX(Input!$1:$1048576,BA$93,$C365*2+6)</f>
        <v>2020</v>
      </c>
      <c r="BB365" s="128">
        <f>INDEX(Input!$1:$1048576,BB$93,$C365*2+6)</f>
        <v>1</v>
      </c>
      <c r="BC365" s="128">
        <f>INDEX(Input!$1:$1048576,BC$93,$C365*2+6)</f>
        <v>0.7</v>
      </c>
      <c r="BD365" s="1">
        <f>INDEX(Input!$1:$1048576,BD$93,$C365*2+6)</f>
        <v>4.4999999999999998E-2</v>
      </c>
      <c r="BE365" s="1">
        <f>INDEX(Input!$1:$1048576,BE$93,$C365*2+6)</f>
        <v>4.4999999999999998E-2</v>
      </c>
      <c r="BF365" s="1">
        <f>INDEX(Input!$1:$1048576,BF$93,$C365*2+6)</f>
        <v>0.05</v>
      </c>
      <c r="BG365" s="1">
        <f>INDEX(Input!$1:$1048576,BG$93,$C365*2+6)</f>
        <v>5.45E-2</v>
      </c>
      <c r="BH365" s="1">
        <f>INDEX(Input!$1:$1048576,BH$93,$C365*2+6)</f>
        <v>5.45E-2</v>
      </c>
      <c r="BI365" s="1">
        <f>INDEX(Input!$1:$1048576,BI$93,$C365*2+6)</f>
        <v>0.05</v>
      </c>
      <c r="BJ365" s="1">
        <f>INDEX(Input!$1:$1048576,BJ$93,$C365*2+6)</f>
        <v>0.05</v>
      </c>
      <c r="BK365" s="1">
        <f>INDEX(Input!$1:$1048576,BK$93,$C365*2+6)</f>
        <v>0.05</v>
      </c>
      <c r="BL365" s="1">
        <f>INDEX(Input!$1:$1048576,BL$93,$C365*2+6)</f>
        <v>5.5E-2</v>
      </c>
      <c r="BM365" s="1">
        <f>INDEX(Input!$1:$1048576,BM$93,$C365*2+6)</f>
        <v>0.06</v>
      </c>
      <c r="BN365" s="1">
        <f>INDEX(Input!$1:$1048576,BN$93,$C365*2+6)</f>
        <v>4.4999999999999998E-2</v>
      </c>
      <c r="BO365" s="1">
        <f>INDEX(Input!$1:$1048576,BO$93,$C365*2+6)</f>
        <v>4.4999999999999998E-2</v>
      </c>
      <c r="BP365" s="1">
        <f>INDEX(Input!$1:$1048576,BP$93,$C365*2+6)</f>
        <v>0.05</v>
      </c>
      <c r="BQ365" s="1">
        <f>INDEX(Input!$1:$1048576,BQ$93,$C365*2+6)</f>
        <v>5.45E-2</v>
      </c>
      <c r="BR365" s="1">
        <f>INDEX(Input!$1:$1048576,BR$93,$C365*2+6)</f>
        <v>5.45E-2</v>
      </c>
      <c r="BS365" s="1">
        <f>INDEX(Input!$1:$1048576,BS$93,$C365*2+6)</f>
        <v>0.05</v>
      </c>
      <c r="BT365" s="1">
        <f>INDEX(Input!$1:$1048576,BT$93,$C365*2+6)</f>
        <v>0.05</v>
      </c>
      <c r="BU365" s="1">
        <f>INDEX(Input!$1:$1048576,BU$93,$C365*2+6)</f>
        <v>0.05</v>
      </c>
      <c r="BV365" s="1">
        <f>INDEX(Input!$1:$1048576,BV$93,$C365*2+6)</f>
        <v>5.5E-2</v>
      </c>
      <c r="BW365" s="1">
        <f>INDEX(Input!$1:$1048576,BW$93,$C365*2+6)</f>
        <v>0.06</v>
      </c>
      <c r="BX365" s="127">
        <f>INDEX(Input!$1:$1048576,BX$93,$C365*2+6)</f>
        <v>19985</v>
      </c>
      <c r="BY365" s="20">
        <f>INDEX(Input!$1:$1048576,BY$93,$C365*2+6)</f>
        <v>0.1</v>
      </c>
      <c r="BZ365" s="20">
        <f>INDEX(Input!$1:$1048576,BZ$93,$C365*2+6)</f>
        <v>0.1</v>
      </c>
      <c r="CA365" s="20">
        <f>INDEX(Input!$1:$1048576,CA$93,$C365*2+6)</f>
        <v>0.1</v>
      </c>
      <c r="CB365" s="20">
        <f>INDEX(Input!$1:$1048576,CB$93,$C365*2+6)</f>
        <v>0.1</v>
      </c>
      <c r="CC365" s="20">
        <f>INDEX(Input!$1:$1048576,CC$93,$C365*2+6)</f>
        <v>0.1</v>
      </c>
      <c r="CD365" s="384">
        <f>INDEX(Input!$1:$1048576,CD$93,$C365*2+6)</f>
        <v>0.1</v>
      </c>
      <c r="CE365" s="384">
        <f>INDEX(Input!$1:$1048576,CE$93,$C365*2+6)</f>
        <v>0.1</v>
      </c>
      <c r="CF365" s="384">
        <f>INDEX(Input!$1:$1048576,CF$93,$C365*2+6)</f>
        <v>0.1</v>
      </c>
      <c r="CG365" s="384">
        <f>INDEX(Input!$1:$1048576,CG$93,$C365*2+6)</f>
        <v>0.1</v>
      </c>
      <c r="CH365" s="384">
        <f>INDEX(Input!$1:$1048576,CH$93,$C365*2+6)</f>
        <v>0.1</v>
      </c>
      <c r="CI365" s="304">
        <f t="shared" si="994"/>
        <v>1787.0236024844721</v>
      </c>
      <c r="CJ365" s="16" t="str">
        <f>INDEX(Input!$1:$1048576,CJ$93,$C365*2+6)</f>
        <v>N</v>
      </c>
      <c r="CK365" s="1" t="str">
        <f t="shared" si="995"/>
        <v>Market</v>
      </c>
      <c r="CL365" s="1" t="str">
        <f t="shared" si="996"/>
        <v>Market</v>
      </c>
      <c r="CM365" s="1" t="str">
        <f t="shared" si="997"/>
        <v>Market</v>
      </c>
      <c r="CN365" s="1" t="str">
        <f t="shared" si="998"/>
        <v>Market</v>
      </c>
      <c r="CO365" s="1" t="str">
        <f t="shared" si="999"/>
        <v>Market</v>
      </c>
      <c r="CP365" s="304">
        <f t="shared" si="1000"/>
        <v>1000</v>
      </c>
      <c r="CQ365" s="1">
        <f t="shared" si="1001"/>
        <v>0</v>
      </c>
      <c r="CR365" s="1">
        <f t="shared" si="1002"/>
        <v>0</v>
      </c>
      <c r="CS365" s="1">
        <f t="shared" si="1003"/>
        <v>0</v>
      </c>
      <c r="CT365" s="1">
        <f t="shared" si="1004"/>
        <v>1.9E-2</v>
      </c>
      <c r="CU365" s="1">
        <f t="shared" si="1005"/>
        <v>3.9E-2</v>
      </c>
      <c r="CV365" s="304">
        <f t="shared" si="1006"/>
        <v>1194.9999999999991</v>
      </c>
      <c r="CW365" s="20" t="s">
        <v>122</v>
      </c>
      <c r="CX365" s="20" t="s">
        <v>122</v>
      </c>
      <c r="CY365" s="20" t="s">
        <v>122</v>
      </c>
      <c r="CZ365" s="20" t="s">
        <v>122</v>
      </c>
      <c r="DA365" s="20" t="s">
        <v>122</v>
      </c>
      <c r="DB365" s="503">
        <f t="shared" si="1007"/>
        <v>0</v>
      </c>
      <c r="DC365" s="127">
        <v>0</v>
      </c>
      <c r="DD365" s="127">
        <v>0</v>
      </c>
      <c r="DE365" s="127">
        <v>0</v>
      </c>
      <c r="DF365" s="127">
        <v>0</v>
      </c>
      <c r="DG365" s="127">
        <v>0</v>
      </c>
      <c r="DH365" s="127">
        <v>0</v>
      </c>
      <c r="DI365" s="127">
        <v>0</v>
      </c>
      <c r="DJ365" s="127">
        <v>0</v>
      </c>
      <c r="DK365" s="127">
        <v>0</v>
      </c>
      <c r="DL365" s="127">
        <v>0</v>
      </c>
      <c r="DM365" s="304">
        <f>INDEX(Input!$1:$1048576,DM$93,$C365*2+6)</f>
        <v>21036.84210526316</v>
      </c>
      <c r="DN365" s="20">
        <v>0</v>
      </c>
      <c r="DO365" s="20">
        <v>0</v>
      </c>
      <c r="DP365" s="20">
        <v>0</v>
      </c>
      <c r="DQ365" s="20">
        <v>0</v>
      </c>
      <c r="DR365" s="20">
        <v>0</v>
      </c>
      <c r="DS365" s="20">
        <f>INDEX(Input!$1:$1048576,DS$93,$C365*2+6)</f>
        <v>0.6</v>
      </c>
      <c r="DT365" s="20">
        <f>INDEX(Input!$1:$1048576,DT$93,$C365*2+6)</f>
        <v>0.55000000000000004</v>
      </c>
      <c r="DU365" s="20">
        <f>INDEX(Input!$1:$1048576,DU$93,$C365*2+6)</f>
        <v>0.52</v>
      </c>
      <c r="DV365" s="20">
        <f>INDEX(Input!$1:$1048576,DV$93,$C365*2+6)</f>
        <v>0.5</v>
      </c>
      <c r="DW365" s="20">
        <f>INDEX(Input!$1:$1048576,DW$93,$C365*2+6)</f>
        <v>0.45</v>
      </c>
      <c r="DX365" s="20"/>
      <c r="DY365" s="7">
        <v>0.11203056658141783</v>
      </c>
      <c r="DZ365" s="7">
        <v>0</v>
      </c>
      <c r="EA365" s="7">
        <v>0.73123711966440885</v>
      </c>
      <c r="EB365" s="7">
        <v>0</v>
      </c>
      <c r="EC365" s="7">
        <v>0</v>
      </c>
      <c r="ED365" s="7">
        <v>0</v>
      </c>
      <c r="EE365" s="7">
        <v>0</v>
      </c>
      <c r="EF365" s="7">
        <v>0</v>
      </c>
      <c r="EG365" s="7">
        <v>0</v>
      </c>
      <c r="EH365" s="7">
        <v>1.2003382921393588E-2</v>
      </c>
      <c r="EI365" s="7">
        <v>3.3622848205351608E-2</v>
      </c>
      <c r="EJ365" s="7">
        <v>0.27125808714710969</v>
      </c>
      <c r="EK365" s="7">
        <v>0.54201025528945113</v>
      </c>
      <c r="EL365" s="7">
        <v>0.14110542643669377</v>
      </c>
      <c r="EM365" s="7">
        <v>5.2557182071686886E-2</v>
      </c>
      <c r="EN365" s="7">
        <v>6.1204728801288064E-2</v>
      </c>
      <c r="EO365" s="7">
        <v>0.76996916958213535</v>
      </c>
      <c r="EP365" s="7">
        <v>6.9532951694400255E-2</v>
      </c>
      <c r="EQ365" s="7">
        <v>6.5257969945038713E-2</v>
      </c>
      <c r="ER365" s="7">
        <v>3.4035179977137266E-2</v>
      </c>
      <c r="ES365" s="7">
        <v>0.10417513168248639</v>
      </c>
      <c r="ET365" s="7">
        <v>0.15673231375417324</v>
      </c>
      <c r="EU365" s="6">
        <v>2111</v>
      </c>
      <c r="EV365" s="6">
        <v>0</v>
      </c>
      <c r="EW365" s="6">
        <v>2111</v>
      </c>
      <c r="EX365" s="6">
        <v>0</v>
      </c>
      <c r="EY365" s="6">
        <v>2836.1105543716544</v>
      </c>
      <c r="EZ365" s="6">
        <v>1929</v>
      </c>
      <c r="FA365" s="6">
        <v>0</v>
      </c>
      <c r="FB365" s="6">
        <v>0</v>
      </c>
      <c r="FC365" s="6">
        <v>0</v>
      </c>
      <c r="FD365" s="6">
        <v>0</v>
      </c>
      <c r="FE365" s="6">
        <v>0</v>
      </c>
      <c r="FF365" s="6">
        <v>0</v>
      </c>
      <c r="FG365" s="6">
        <v>0</v>
      </c>
      <c r="FH365" s="6">
        <v>1172.0217587271052</v>
      </c>
      <c r="FI365" s="6">
        <v>1553.9796069512402</v>
      </c>
      <c r="FJ365" s="6">
        <v>2101.2110117447414</v>
      </c>
      <c r="FK365" s="6">
        <v>1772.7139978623236</v>
      </c>
      <c r="FL365" s="6">
        <v>907.07682140966347</v>
      </c>
      <c r="FM365" s="6">
        <v>1725.1105543716544</v>
      </c>
      <c r="FN365" s="6">
        <v>0</v>
      </c>
      <c r="FO365" s="6">
        <v>0</v>
      </c>
      <c r="FP365" s="6">
        <v>0</v>
      </c>
      <c r="FQ365" s="6">
        <v>0</v>
      </c>
      <c r="FR365" s="6">
        <v>0</v>
      </c>
      <c r="FS365" s="6">
        <v>0</v>
      </c>
      <c r="FT365" s="7">
        <v>0.84326768624582671</v>
      </c>
      <c r="FU365" s="7">
        <v>5.2557182071686886E-2</v>
      </c>
      <c r="FV365" s="7">
        <v>0.10417513168248639</v>
      </c>
      <c r="FW365" s="6">
        <v>2111</v>
      </c>
      <c r="FX365" s="6">
        <v>2836.1105543716544</v>
      </c>
      <c r="FY365" s="6">
        <v>1929</v>
      </c>
      <c r="FZ365" s="6">
        <v>1858.9243755539039</v>
      </c>
      <c r="GA365" s="6">
        <v>2130.1498934620004</v>
      </c>
      <c r="GB365" s="6">
        <v>17854.850106538001</v>
      </c>
      <c r="GC365" s="7">
        <v>2.9156573141622111E-2</v>
      </c>
      <c r="GD365" s="7">
        <v>3.0807524497619813E-2</v>
      </c>
      <c r="GE365" s="7"/>
      <c r="GF365" s="7"/>
      <c r="GG365" s="7">
        <v>5.6623641879261374E-2</v>
      </c>
      <c r="GH365" s="42">
        <v>4.1722603820061073</v>
      </c>
      <c r="GI365" s="6">
        <v>6920.119399246013</v>
      </c>
      <c r="GJ365" s="14">
        <v>0.50394797582841733</v>
      </c>
      <c r="GK365" s="14">
        <v>0.50887573065309732</v>
      </c>
      <c r="GL365" s="14">
        <v>0.49605202417158262</v>
      </c>
      <c r="GM365" s="14">
        <v>0.49112426934690234</v>
      </c>
      <c r="GO365" s="5">
        <v>343.14810671672558</v>
      </c>
      <c r="GP365" s="5">
        <v>302.87425392274076</v>
      </c>
      <c r="GQ365" s="5">
        <v>535.04305713031317</v>
      </c>
      <c r="GR365" s="5">
        <v>410.15490233172511</v>
      </c>
      <c r="GS365" s="5">
        <v>339.42744393800166</v>
      </c>
      <c r="GT365" s="5">
        <v>293.4407446948278</v>
      </c>
      <c r="GU365" s="5">
        <v>258.04012322764959</v>
      </c>
      <c r="GV365" s="39" t="s">
        <v>392</v>
      </c>
      <c r="GW365" s="5">
        <v>468.76388888888891</v>
      </c>
      <c r="GX365" s="5">
        <v>351.57291666666669</v>
      </c>
      <c r="GY365" s="5">
        <v>281.25833333333333</v>
      </c>
      <c r="GZ365" s="5">
        <v>248.18079879493993</v>
      </c>
      <c r="HA365" s="5">
        <v>229.8919505212948</v>
      </c>
      <c r="HB365" s="39">
        <v>260.69677258789108</v>
      </c>
      <c r="HC365" s="5">
        <v>202.890625</v>
      </c>
      <c r="HD365" s="5">
        <v>182.20330774853798</v>
      </c>
      <c r="HE365" s="5">
        <v>187.48257844129552</v>
      </c>
      <c r="HF365" s="5">
        <v>176.30063048245611</v>
      </c>
      <c r="HG365" s="5">
        <v>173.65888157894736</v>
      </c>
      <c r="HH365" s="39">
        <v>183.1605448464924</v>
      </c>
      <c r="HI365" s="16"/>
      <c r="HJ365" s="19" t="str">
        <f t="shared" ref="HJ365" si="1022">HJ364</f>
        <v>On</v>
      </c>
      <c r="HK365" s="1" t="str">
        <f t="shared" si="991"/>
        <v>On</v>
      </c>
      <c r="HL365" s="16"/>
      <c r="HM365" s="639">
        <f t="shared" ref="HM365:HM383" si="1023">VLOOKUP($C365*1000+1,$A:$HH,FT$92,FALSE)*$JF365</f>
        <v>2.2758057894877178E-2</v>
      </c>
      <c r="HN365" s="639">
        <f t="shared" ref="HN365:HN383" si="1024">VLOOKUP($C365*1000+1,$A:$HH,FU$92,FALSE)*$JF365</f>
        <v>1.416759231746561E-3</v>
      </c>
      <c r="HO365" s="639">
        <f t="shared" ref="HO365:HO383" si="1025">VLOOKUP($C365*1000+1,$A:$HH,FV$92,FALSE)*$JF365</f>
        <v>4.5732401537654987E-3</v>
      </c>
      <c r="HP365" s="644">
        <f>(FT365*$GD365-HM365)/$JF365*INDEX(Input!$1:$1048576,$JG$93,$C365*2+6)</f>
        <v>180.3843814906092</v>
      </c>
      <c r="HQ365" s="644">
        <f>(FU365*$GD365-HN365)/$JF365*INDEX(Input!$1:$1048576,$JG$93,$C365*2+6)</f>
        <v>11.335022717214787</v>
      </c>
      <c r="HR365" s="644">
        <f>(FV365*$GD365-HO365)/$JF365*INDEX(Input!$1:$1048576,$JG$93,$C365*2+6)</f>
        <v>-76.381446327689446</v>
      </c>
      <c r="HS365" s="644">
        <f t="shared" si="1014"/>
        <v>-65.174780634459751</v>
      </c>
      <c r="HT365" s="644">
        <f t="shared" ref="HT365:HT374" si="1026">IF(AND(HJ365="On",HK365="On"),IM365/1000*INDEX(KG:KG,MATCH(C365*1000+4,$KF:$KF,0))*SUM(HY365:IA365)*1.1
+INDEX(HR:HR,MATCH(C365*1000+3,$KF:$KF,0))/INDEX(IL:IL,MATCH(C365*1000+3,$KF:$KF,0))*IL365*20%,0)</f>
        <v>72.919314058917962</v>
      </c>
      <c r="HU365" s="644">
        <f t="shared" ref="HU365:HU383" si="1027">IF(HJ365="On",IN365/1000*INDEX(KG:KG,MATCH(C365*1000+5,$KF:$KF,0))*SUM(HY365:IA365)*1.1
-INDEX(HR:HR,MATCH(C365*1000+3,$KF:$KF,0))/INDEX(IL:IL,MATCH(C365*1000+3,$KF:$KF,0))*IL365*20%
-INDEX(HR:HR,MATCH(C365*1000+4,$KF:$KF,0))/INDEX(IM:IM,MATCH(C365*1000+4,$KF:$KF,0))*IM365*20%,0)</f>
        <v>8.25764810055969</v>
      </c>
      <c r="HV365" s="648">
        <f t="shared" ref="HV365:HV383" si="1028">IL365/1000*0+IM365/1000*0+IN365/1000*0
+(CP365-INDEX(CP:CP,MATCH(C365*1000+1,A:A,0)))/1000*0+IF(FU365&gt;0,0,0)</f>
        <v>0</v>
      </c>
      <c r="HW365" s="648">
        <f t="shared" ref="HW365:HW383" si="1029">IL365/1000*0+IM365/1000*0+IN365/1000*0
+(CP365-INDEX(CP:CP,MATCH(C365*1000+1,A:A,0)))/1000*0+IF(FU365&gt;0,0,0)</f>
        <v>0</v>
      </c>
      <c r="HX365" s="648">
        <f t="shared" ref="HX365:HX383" si="1030">IL365/1000*0+IM365/1000*0+IN365/1000*0
+(CP365-INDEX(CP:CP,MATCH(C365*1000+1,A:A,0)))/1000*0+IF(FU365&gt;0,0,0)</f>
        <v>0</v>
      </c>
      <c r="HY365" s="644">
        <f>INDEX(Input!$1:$1048576,HY$93,$C365*2+6)*INDEX(Input!$1:$1048576,$JG$93,$C365*2+6)</f>
        <v>509.00000000000006</v>
      </c>
      <c r="HZ365" s="644">
        <f>INDEX(Input!$1:$1048576,HZ$93,$C365*2+6)*INDEX(Input!$1:$1048576,$JG$93,$C365*2+6)</f>
        <v>844</v>
      </c>
      <c r="IA365" s="644">
        <f>INDEX(Input!$1:$1048576,IA$93,$C365*2+6)*INDEX(Input!$1:$1048576,$JG$93,$C365*2+6)</f>
        <v>257</v>
      </c>
      <c r="IB365" s="644">
        <f t="shared" si="910"/>
        <v>624.20960085614956</v>
      </c>
      <c r="IC365" s="644">
        <f t="shared" si="911"/>
        <v>928.25433677613273</v>
      </c>
      <c r="ID365" s="644">
        <f>IF(AND(INDEX(Input!$1:$1048576,IA$93,$C365*2+7)="TOS",Y365&lt;=INDEX(Y:Y,MATCH(C365*1000+2,A:A))),0,1)*MAX(IA365+HR365+HU365+HX365,0%)</f>
        <v>188.87620177287025</v>
      </c>
      <c r="IE365" s="128">
        <f t="shared" si="1015"/>
        <v>0.35846506189731642</v>
      </c>
      <c r="IF365" s="128">
        <f t="shared" si="1016"/>
        <v>0.53306893683231094</v>
      </c>
      <c r="IG365" s="128">
        <f t="shared" ref="IG365:IG374" si="1031">ID365/SUM($IB365:$ID365)</f>
        <v>0.1084660012703727</v>
      </c>
      <c r="IH365" s="21"/>
      <c r="II365" s="19">
        <f t="shared" ref="II365:II383" si="1032">VLOOKUP($C365*1000+1,$A:$HH,FW$92,FALSE)-VLOOKUP($C365*1000+1,$A:$HH,FA$92,FALSE)*VLOOKUP($C365*1000+1,$A:$HH,DZ$92,FALSE)/VLOOKUP($C365*1000+1,$A:$HH,FT$92,FALSE)</f>
        <v>1410.4999999999998</v>
      </c>
      <c r="IJ365" s="19">
        <f t="shared" ref="IJ365:IJ383" si="1033">VLOOKUP($C365*1000+1,$A:$HH,FX$92,FALSE)</f>
        <v>2134.9731585778086</v>
      </c>
      <c r="IK365" s="19">
        <f t="shared" ref="IK365:IK383" si="1034">VLOOKUP($C365*1000+1,$A:$HH,FY$92,FALSE)</f>
        <v>2103.5</v>
      </c>
      <c r="IL365" s="19">
        <f t="shared" si="913"/>
        <v>700.50000000000023</v>
      </c>
      <c r="IM365" s="19">
        <f t="shared" ref="IM365:IM383" si="1035">FX365-IJ365</f>
        <v>701.13739579384583</v>
      </c>
      <c r="IN365" s="19">
        <f t="shared" ref="IN365:IN383" si="1036">FY365-IK365</f>
        <v>-174.5</v>
      </c>
      <c r="IO365" s="39">
        <f t="shared" ref="IO365:IO383" si="1037">(F365-VLOOKUP($C365*1000+1,$A:$HH,F$92,FALSE))*(1-$I365)</f>
        <v>0</v>
      </c>
      <c r="IP365" s="39">
        <f t="shared" ref="IP365:IP383" si="1038">(G365-VLOOKUP($C365*1000+1,$A:$HH,G$92,FALSE))*(1-$I365)</f>
        <v>0</v>
      </c>
      <c r="IQ365" s="39">
        <f t="shared" ref="IQ365:IQ383" si="1039">(H365-VLOOKUP($C365*1000+1,$A:$HH,H$92,FALSE))*(1-$I365)</f>
        <v>0</v>
      </c>
      <c r="IR365" s="39">
        <v>0</v>
      </c>
      <c r="IS365" s="39">
        <v>0</v>
      </c>
      <c r="IT365" s="39">
        <v>0</v>
      </c>
      <c r="IU365" s="39">
        <v>0</v>
      </c>
      <c r="IV365" s="39">
        <v>0</v>
      </c>
      <c r="IW365" s="39">
        <v>0</v>
      </c>
      <c r="IX365" s="39">
        <f>INDEX(Input!$1:$1048576,IX$93,$C365*2+6)+INDEX(Input!$1:$1048576,IX$94,$C365*2+6)</f>
        <v>1611</v>
      </c>
      <c r="IY365" s="39">
        <f>INDEX(Input!$1:$1048576,IY$93,$C365*2+6)+INDEX(Input!$1:$1048576,IY$94,$C365*2+6)</f>
        <v>2471.0624533823611</v>
      </c>
      <c r="IZ365" s="39">
        <f>INDEX(Input!$1:$1048576,IZ$93,$C365*2+6)+INDEX(Input!$1:$1048576,IZ$94,$C365*2+6)</f>
        <v>3994.7164157747857</v>
      </c>
      <c r="JA365" s="19">
        <f t="shared" si="914"/>
        <v>2311.5</v>
      </c>
      <c r="JB365" s="19">
        <f t="shared" si="915"/>
        <v>3172.199849176207</v>
      </c>
      <c r="JC365" s="19">
        <f t="shared" si="916"/>
        <v>3820.2164157747857</v>
      </c>
      <c r="JD365" s="19">
        <f t="shared" si="917"/>
        <v>2933.9567902021513</v>
      </c>
      <c r="JE365" s="21"/>
      <c r="JF365" s="1">
        <f t="shared" ref="JF365:JF383" si="1040">VLOOKUP($C365*1000+1,$A:$HH,GD$92,FALSE)</f>
        <v>2.8748057280389237E-2</v>
      </c>
      <c r="JG365" s="15">
        <f>INDEX(Input!$1:$1048576,JG$93,$C365*2+6)/(1+VLOOKUP(C365*1000+INDEX(Input!$1:$1048576,JG$93+1,$C365*2+6),$A:$KK,$JK$92,FALSE))</f>
        <v>1610</v>
      </c>
      <c r="JH365" s="1">
        <f t="shared" si="918"/>
        <v>7.1638483155363072E-2</v>
      </c>
      <c r="JI365" s="1">
        <f t="shared" si="919"/>
        <v>9.9392431832409332E-3</v>
      </c>
      <c r="JJ365" s="1">
        <f t="shared" si="1017"/>
        <v>0</v>
      </c>
      <c r="JK365" s="1">
        <f t="shared" si="1018"/>
        <v>8.1577726338604009E-2</v>
      </c>
      <c r="JL365" s="15">
        <f t="shared" si="922"/>
        <v>131.34013940515246</v>
      </c>
      <c r="JM365" s="15">
        <f t="shared" si="948"/>
        <v>1741.3401394051525</v>
      </c>
      <c r="JN365" s="21"/>
      <c r="JO365" s="19">
        <f>INDEX(Input!$1:$1048576,JO$93,$C365*2+6)</f>
        <v>5995.5</v>
      </c>
      <c r="JP365" s="19">
        <f>INDEX(Input!$1:$1048576,JP$93,$C365*2+6)</f>
        <v>2442.3713226762939</v>
      </c>
      <c r="JQ365" s="39">
        <f t="shared" si="934"/>
        <v>3061.5432097978487</v>
      </c>
      <c r="JR365" s="39">
        <f t="shared" si="951"/>
        <v>491.58546752585744</v>
      </c>
      <c r="JS365" s="39">
        <f t="shared" si="936"/>
        <v>5.1090167260593082</v>
      </c>
      <c r="JT365" s="39">
        <f t="shared" si="924"/>
        <v>1.1767988965504752</v>
      </c>
      <c r="JU365" s="385">
        <f>(JQ365*JM365-INDEX(Input!$1:$1048576,Input!A$18,$C365*2+6)*JL365*INDEX(Input!$1:$1048576,Input!A$19,$C365*2+6))/1000000</f>
        <v>5.3311880797442841</v>
      </c>
      <c r="JV365" s="39">
        <f t="shared" si="958"/>
        <v>-0.38934909074688306</v>
      </c>
      <c r="JW365" s="1">
        <f t="shared" si="949"/>
        <v>-6.8061631127108543E-2</v>
      </c>
      <c r="JX365" s="19">
        <f t="shared" si="940"/>
        <v>8959.9333599025358</v>
      </c>
      <c r="JZ365" s="341"/>
      <c r="KA365" s="342"/>
      <c r="KB365" s="469">
        <f t="shared" si="937"/>
        <v>2.5190675447988795</v>
      </c>
      <c r="KI365" s="473">
        <f t="shared" si="1019"/>
        <v>115.20960085614951</v>
      </c>
      <c r="KJ365" s="473">
        <f t="shared" si="1020"/>
        <v>84.254336776132732</v>
      </c>
      <c r="KK365" s="473">
        <f t="shared" si="926"/>
        <v>-68.123798227129754</v>
      </c>
      <c r="KN365" s="544">
        <f t="shared" si="941"/>
        <v>3002</v>
      </c>
      <c r="KO365" s="541">
        <f t="shared" ref="KO365:KO383" si="1041">JM365/INDEX(JM:JM,MATCH(KN365,A:A,0))-1</f>
        <v>4.9549268732450136E-2</v>
      </c>
      <c r="KP365" s="546">
        <f t="shared" ref="KP365:KP383" si="1042">(IL365-INDEX(IL:IL,MATCH(KN365,A:A,0)))*IE365
+(IM365-IF(HN365=0,INDEX(IX:IX,MATCH(KN365,A:A,0)),INDEX(IM:IM,MATCH(KN365,A:A,0))))*IF365
+(IN365-INDEX(IN:IN,MATCH(KN365,A:A,0)))*IG365</f>
        <v>407.03310618451673</v>
      </c>
      <c r="KQ365" s="546">
        <f t="shared" ref="KQ365:KQ383" si="1043">JD365-INDEX(JD:JD,MATCH(KN365,A:A,0))</f>
        <v>298.04336481345308</v>
      </c>
      <c r="KR365" s="548">
        <f t="shared" ref="KR365:KR383" si="1044">KO365/(KP365/(BX365-INDEX(JD:JD,MATCH(KN365,A:A,0))))</f>
        <v>2.1119524183329395</v>
      </c>
      <c r="KS365" s="548">
        <f t="shared" ref="KS365:KS383" si="1045">KO365/(KQ365/(BX365-INDEX(JD:JD,MATCH(KN365,A:A,0))))</f>
        <v>2.8842599917834373</v>
      </c>
      <c r="KT365" s="473">
        <f t="shared" si="939"/>
        <v>1026.1618045255443</v>
      </c>
      <c r="KU365" s="663">
        <f t="shared" si="927"/>
        <v>4.7473897711383488</v>
      </c>
    </row>
    <row r="366" spans="1:308" s="26" customFormat="1" ht="15" outlineLevel="1">
      <c r="A366" s="561">
        <f t="shared" ref="A366:A400" si="1046">C366*1000+B366</f>
        <v>3066</v>
      </c>
      <c r="B366" s="561">
        <f t="shared" si="928"/>
        <v>66</v>
      </c>
      <c r="C366" s="561">
        <f t="shared" si="929"/>
        <v>3</v>
      </c>
      <c r="D366" s="561" t="str">
        <f t="shared" si="974"/>
        <v xml:space="preserve">1000 CC, 1000 Combo, -360 Lease, </v>
      </c>
      <c r="E366" s="475">
        <f>INDEX(Input!$1:$1048576,E$93,$C366*2+MIN($B366,2)+5)
+INDEX(Scenarios!E$121:E$200,MATCH($B366,Scenarios!$B$121:$B$200,0))</f>
        <v>2287.0236024844721</v>
      </c>
      <c r="F366" s="475">
        <f>INDEX(Input!$1:$1048576,F$93,$C366*2+MIN($B366,2)+5)
+INDEX(Scenarios!F$121:F$200,MATCH($B366,Scenarios!$B$121:$B$200,0))</f>
        <v>0</v>
      </c>
      <c r="G366" s="475">
        <f>INDEX(Input!$1:$1048576,G$93,$C366*2+MIN($B366,2)+5)
+INDEX(Scenarios!G$121:G$200,MATCH($B366,Scenarios!$B$121:$B$200,0))</f>
        <v>0</v>
      </c>
      <c r="H366" s="475">
        <f>INDEX(Input!$1:$1048576,H$93,$C366*2+MIN($B366,2)+5)
+INDEX(Scenarios!H$121:H$200,MATCH($B366,Scenarios!$B$121:$B$200,0))</f>
        <v>0</v>
      </c>
      <c r="I366" s="476">
        <f>INDEX(Input!$1:$1048576,I$93,$C366*2+MIN($B366,2)+5)</f>
        <v>0.7</v>
      </c>
      <c r="J366" s="476" t="str">
        <f>INDEX(Input!$1:$1048576,J$93,$C366*2+MIN($B366,2)+5)</f>
        <v>Market</v>
      </c>
      <c r="K366" s="476" t="str">
        <f>INDEX(Input!$1:$1048576,K$93,$C366*2+MIN($B366,2)+5)</f>
        <v>Market</v>
      </c>
      <c r="L366" s="476" t="str">
        <f>INDEX(Input!$1:$1048576,L$93,$C366*2+MIN($B366,2)+5)</f>
        <v>Market</v>
      </c>
      <c r="M366" s="476" t="str">
        <f>INDEX(Input!$1:$1048576,M$93,$C366*2+MIN($B366,2)+5)</f>
        <v>Market</v>
      </c>
      <c r="N366" s="476" t="str">
        <f>INDEX(Input!$1:$1048576,N$93,$C366*2+MIN($B366,2)+5)</f>
        <v>Market</v>
      </c>
      <c r="O366" s="476" t="str">
        <f>INDEX(Input!$1:$1048576,O$93,$C366*2+MIN($B366,2)+5)</f>
        <v>Market</v>
      </c>
      <c r="P366" s="476" t="str">
        <f>INDEX(Input!$1:$1048576,P$93,$C366*2+MIN($B366,2)+5)</f>
        <v>N</v>
      </c>
      <c r="Q366" s="477">
        <f>INDEX(Input!$1:$1048576,Q$93,$C366*2+MIN($B366,2)+5)
+INDEX(Scenarios!Q$121:Q$200,MATCH($B366,Scenarios!$B$121:$B$200,0))</f>
        <v>1000</v>
      </c>
      <c r="R366" s="478">
        <f>IFERROR(MAX(0,INDEX(Input!$1:$1048576,R$93,$C366*2+MIN($B366,2)+5)
+INDEX(Scenarios!R$121:R$200,MATCH($B366,Scenarios!$B$121:$B$200,0)),),"Market")</f>
        <v>0</v>
      </c>
      <c r="S366" s="478">
        <f>IFERROR(MAX(0,INDEX(Input!$1:$1048576,S$93,$C366*2+MIN($B366,2)+5)
+INDEX(Scenarios!S$121:S$200,MATCH($B366,Scenarios!$B$121:$B$200,0)),),"Market")</f>
        <v>0</v>
      </c>
      <c r="T366" s="478">
        <f>IFERROR(MAX(0,INDEX(Input!$1:$1048576,T$93,$C366*2+MIN($B366,2)+5)
+INDEX(Scenarios!T$121:T$200,MATCH($B366,Scenarios!$B$121:$B$200,0)),),"Market")</f>
        <v>0</v>
      </c>
      <c r="U366" s="478">
        <f>IFERROR(MAX(0,INDEX(Input!$1:$1048576,U$93,$C366*2+MIN($B366,2)+5)
+INDEX(Scenarios!U$121:U$200,MATCH($B366,Scenarios!$B$121:$B$200,0)),),"Market")</f>
        <v>0</v>
      </c>
      <c r="V366" s="478">
        <f>IFERROR(MAX(0,INDEX(Input!$1:$1048576,V$93,$C366*2+MIN($B366,2)+5)
+INDEX(Scenarios!V$121:V$200,MATCH($B366,Scenarios!$B$121:$B$200,0)),),"Market")</f>
        <v>1.9E-2</v>
      </c>
      <c r="W366" s="885">
        <f>IFERROR(MAX(0,INDEX(Input!$1:$1048576,W$93,$C366*2+MIN($B366,2)+5)-0%,),"Market")</f>
        <v>3.9E-2</v>
      </c>
      <c r="X366" s="476" t="str">
        <f>INDEX(Input!$1:$1048576,X$93,$C366*2+MIN($B366,2)+5)</f>
        <v>Y</v>
      </c>
      <c r="Y366" s="475">
        <f>INDEX(Input!$1:$1048576,Y$93,$C366*2+MIN($B366,2)+5)
++INDEX(Scenarios!Y$121:Y$200,MATCH($B366,Scenarios!$B$121:$B$200,0))</f>
        <v>1194.9999999999991</v>
      </c>
      <c r="Z366" s="477">
        <f>INDEX(Input!$1:$1048576,Z$93,$C366*2+MIN($B366,2)+5)
+INDEX(Scenarios!Z$121:Z$200,MATCH($B366,Scenarios!$B$121:$B$200,0))</f>
        <v>0</v>
      </c>
      <c r="AA366" s="475">
        <f>INDEX(Input!$1:$1048576,AA$93,$C366*2+MIN($B366,2)+5)
+INDEX(Scenarios!AA$121:AA$200,MATCH($B366,Scenarios!$B$121:$B$200,0))</f>
        <v>0</v>
      </c>
      <c r="AB366" s="476">
        <f>INDEX(Input!$1:$1048576,AB$93,$C366*2+MIN($B366,2)+5)</f>
        <v>0.27</v>
      </c>
      <c r="AC366" s="475">
        <f>INDEX(Input!$1:$1048576,AC$93,$C366*2+MIN($B366,2)+5)
+INDEX(Scenarios!AC$121:AC$200,MATCH($B366,Scenarios!$B$121:$B$200,0))</f>
        <v>0</v>
      </c>
      <c r="AD366" s="476">
        <f>INDEX(Input!$1:$1048576,AD$93,$C366*2+MIN($B366,2)+5)</f>
        <v>0.27</v>
      </c>
      <c r="AE366" s="475">
        <f>INDEX(Input!$1:$1048576,AE$93,$C366*2+MIN($B366,2)+5)
+INDEX(Scenarios!AE$121:AE$200,MATCH($B366,Scenarios!$B$121:$B$200,0))</f>
        <v>0</v>
      </c>
      <c r="AF366" s="476">
        <f>INDEX(Input!$1:$1048576,AF$93,$C366*2+MIN($B366,2)+5)</f>
        <v>0.68200000000000005</v>
      </c>
      <c r="AG366" s="475">
        <f>INDEX(Input!$1:$1048576,AG$93,$C366*2+MIN($B366,2)+5)
+INDEX(Scenarios!AG$121:AG$200,MATCH($B366,Scenarios!$B$121:$B$200,0))</f>
        <v>500</v>
      </c>
      <c r="AH366" s="476">
        <f>INDEX(Input!$1:$1048576,AH$93,$C366*2+MIN($B366,2)+5)</f>
        <v>1</v>
      </c>
      <c r="AI366" s="475">
        <f>INDEX(Input!$1:$1048576,AI$93,$C366*2+MIN($B366,2)+5)
+INDEX(Scenarios!AI$121:AI$200,MATCH($B366,Scenarios!$B$121:$B$200,0))</f>
        <v>0</v>
      </c>
      <c r="AJ366" s="476">
        <f>INDEX(Input!$1:$1048576,AJ$93,$C366*2+MIN($B366,2)+5)</f>
        <v>0.27</v>
      </c>
      <c r="AK366" s="150">
        <f>ROUND(INDEX(Input!$1:$1048576,AK$93,$C365*2+MIN($B366,1)+5)+(Y366-VLOOKUP($C366*1000+1,$A:$HH,Y$92,FALSE)),0)</f>
        <v>2617</v>
      </c>
      <c r="AL366" s="150">
        <f>ROUND(INDEX(Input!$1:$1048576,AL$93,$C365*2+MIN($B366,1)+5)-(Y366-VLOOKUP($C366*1000+1,$A:$HH,Y$92,FALSE))/36,0)</f>
        <v>3405</v>
      </c>
      <c r="AM366" s="32" t="str">
        <f t="shared" ref="AM366:AM400" si="1047">IF(K366="market","std",ROUND(K366*1000,0)/10)&amp;"/"&amp;IF(L366="market","std",ROUND(L366*1000,0)/10)&amp;"/"&amp;IF(M366="market","std",ROUND(M366*1000,0)/10)&amp;"/"&amp;IF(N366="market","std",ROUND(N366*1000,0)/10)&amp;IF(P366="N","","/"&amp;IF(O366="market","std",ROUND(O366*1000,0)/10))</f>
        <v>std/std/std/std</v>
      </c>
      <c r="AN366" s="32" t="str">
        <f t="shared" ref="AN366:AN400" si="1048">"$"&amp;ROUND(Q366,0)&amp;" + "&amp;IF(S366="market","std",ROUND(S366*1000,0)/10)&amp;"/"&amp;IF(T366="market","std",ROUND(T366*1000,0)/10)&amp;"/"&amp;IF(U366="market","std",ROUND(U366*1000,0)/10)&amp;"/"&amp;IF(V366="market","std",ROUND(V366*1000,0)/10)&amp;IF(X366="N","","/"&amp;IF(W366="market","std",ROUND(W366*1000,0)/10))</f>
        <v>$1000 + 0/0/0/1.9/3.9</v>
      </c>
      <c r="AO366" s="32" t="str">
        <f t="shared" ref="AO366:AO400" si="1049">IF(S366="market","std",ROUND(S366*1000,0)/10)&amp;"/"&amp;IF(T366="market","std",ROUND(T366*1000,0)/10)&amp;"/"&amp;IF(U366="market","std",ROUND(U366*1000,0)/10)&amp;"/"&amp;IF(V366="market","std",ROUND(V366*1000,0)/10)&amp;IF(X366="N","","/"&amp;IF(W366="market","std",ROUND(W366*1000,0)/10))</f>
        <v>0/0/0/1.9/3.9</v>
      </c>
      <c r="AP366" s="32" t="str">
        <f t="shared" si="993"/>
        <v>0/0.9/1.9/3.9</v>
      </c>
      <c r="AQ366" s="536">
        <f t="shared" si="992"/>
        <v>0.37681360046339452</v>
      </c>
      <c r="AR366" s="32"/>
      <c r="AS366" s="302"/>
      <c r="AT366" s="3">
        <f t="shared" si="930"/>
        <v>66</v>
      </c>
      <c r="AU366" s="41" t="s">
        <v>121</v>
      </c>
      <c r="AV366" s="41" t="s">
        <v>116</v>
      </c>
      <c r="AW366" s="41" t="str">
        <f>INDEX(Input!$1:$1048576,AW$93,$C366*2+6)</f>
        <v>Kia</v>
      </c>
      <c r="AX366" s="41" t="str">
        <f>INDEX(Input!$1:$1048576,AX$93,$C366*2+6)</f>
        <v>Kia-LR - L3</v>
      </c>
      <c r="AY366" s="41" t="str">
        <f>IF(LEN(D366)=0,"",INDEX(Input!$1:$1048576,AY$93,$C366*2+6))</f>
        <v>Compact SUV (52)</v>
      </c>
      <c r="AZ366" s="41" t="str">
        <f>INDEX(Input!$1:$1048576,AZ$93,$C366*2+6)</f>
        <v>Kia Soul</v>
      </c>
      <c r="BA366" s="3">
        <f>INDEX(Input!$1:$1048576,BA$93,$C366*2+6)</f>
        <v>2020</v>
      </c>
      <c r="BB366" s="128">
        <f>INDEX(Input!$1:$1048576,BB$93,$C366*2+6)</f>
        <v>1</v>
      </c>
      <c r="BC366" s="128">
        <f>INDEX(Input!$1:$1048576,BC$93,$C366*2+6)</f>
        <v>0.7</v>
      </c>
      <c r="BD366" s="1">
        <f>INDEX(Input!$1:$1048576,BD$93,$C366*2+6)</f>
        <v>4.4999999999999998E-2</v>
      </c>
      <c r="BE366" s="1">
        <f>INDEX(Input!$1:$1048576,BE$93,$C366*2+6)</f>
        <v>4.4999999999999998E-2</v>
      </c>
      <c r="BF366" s="1">
        <f>INDEX(Input!$1:$1048576,BF$93,$C366*2+6)</f>
        <v>0.05</v>
      </c>
      <c r="BG366" s="1">
        <f>INDEX(Input!$1:$1048576,BG$93,$C366*2+6)</f>
        <v>5.45E-2</v>
      </c>
      <c r="BH366" s="1">
        <f>INDEX(Input!$1:$1048576,BH$93,$C366*2+6)</f>
        <v>5.45E-2</v>
      </c>
      <c r="BI366" s="1">
        <f>INDEX(Input!$1:$1048576,BI$93,$C366*2+6)</f>
        <v>0.05</v>
      </c>
      <c r="BJ366" s="1">
        <f>INDEX(Input!$1:$1048576,BJ$93,$C366*2+6)</f>
        <v>0.05</v>
      </c>
      <c r="BK366" s="1">
        <f>INDEX(Input!$1:$1048576,BK$93,$C366*2+6)</f>
        <v>0.05</v>
      </c>
      <c r="BL366" s="1">
        <f>INDEX(Input!$1:$1048576,BL$93,$C366*2+6)</f>
        <v>5.5E-2</v>
      </c>
      <c r="BM366" s="1">
        <f>INDEX(Input!$1:$1048576,BM$93,$C366*2+6)</f>
        <v>0.06</v>
      </c>
      <c r="BN366" s="1">
        <f>INDEX(Input!$1:$1048576,BN$93,$C366*2+6)</f>
        <v>4.4999999999999998E-2</v>
      </c>
      <c r="BO366" s="1">
        <f>INDEX(Input!$1:$1048576,BO$93,$C366*2+6)</f>
        <v>4.4999999999999998E-2</v>
      </c>
      <c r="BP366" s="1">
        <f>INDEX(Input!$1:$1048576,BP$93,$C366*2+6)</f>
        <v>0.05</v>
      </c>
      <c r="BQ366" s="1">
        <f>INDEX(Input!$1:$1048576,BQ$93,$C366*2+6)</f>
        <v>5.45E-2</v>
      </c>
      <c r="BR366" s="1">
        <f>INDEX(Input!$1:$1048576,BR$93,$C366*2+6)</f>
        <v>5.45E-2</v>
      </c>
      <c r="BS366" s="1">
        <f>INDEX(Input!$1:$1048576,BS$93,$C366*2+6)</f>
        <v>0.05</v>
      </c>
      <c r="BT366" s="1">
        <f>INDEX(Input!$1:$1048576,BT$93,$C366*2+6)</f>
        <v>0.05</v>
      </c>
      <c r="BU366" s="1">
        <f>INDEX(Input!$1:$1048576,BU$93,$C366*2+6)</f>
        <v>0.05</v>
      </c>
      <c r="BV366" s="1">
        <f>INDEX(Input!$1:$1048576,BV$93,$C366*2+6)</f>
        <v>5.5E-2</v>
      </c>
      <c r="BW366" s="1">
        <f>INDEX(Input!$1:$1048576,BW$93,$C366*2+6)</f>
        <v>0.06</v>
      </c>
      <c r="BX366" s="127">
        <f>INDEX(Input!$1:$1048576,BX$93,$C366*2+6)</f>
        <v>19985</v>
      </c>
      <c r="BY366" s="20">
        <f>INDEX(Input!$1:$1048576,BY$93,$C366*2+6)</f>
        <v>0.1</v>
      </c>
      <c r="BZ366" s="20">
        <f>INDEX(Input!$1:$1048576,BZ$93,$C366*2+6)</f>
        <v>0.1</v>
      </c>
      <c r="CA366" s="20">
        <f>INDEX(Input!$1:$1048576,CA$93,$C366*2+6)</f>
        <v>0.1</v>
      </c>
      <c r="CB366" s="20">
        <f>INDEX(Input!$1:$1048576,CB$93,$C366*2+6)</f>
        <v>0.1</v>
      </c>
      <c r="CC366" s="20">
        <f>INDEX(Input!$1:$1048576,CC$93,$C366*2+6)</f>
        <v>0.1</v>
      </c>
      <c r="CD366" s="384">
        <f>INDEX(Input!$1:$1048576,CD$93,$C366*2+6)</f>
        <v>0.1</v>
      </c>
      <c r="CE366" s="384">
        <f>INDEX(Input!$1:$1048576,CE$93,$C366*2+6)</f>
        <v>0.1</v>
      </c>
      <c r="CF366" s="384">
        <f>INDEX(Input!$1:$1048576,CF$93,$C366*2+6)</f>
        <v>0.1</v>
      </c>
      <c r="CG366" s="384">
        <f>INDEX(Input!$1:$1048576,CG$93,$C366*2+6)</f>
        <v>0.1</v>
      </c>
      <c r="CH366" s="384">
        <f>INDEX(Input!$1:$1048576,CH$93,$C366*2+6)</f>
        <v>0.1</v>
      </c>
      <c r="CI366" s="304">
        <f t="shared" si="994"/>
        <v>2287.0236024844721</v>
      </c>
      <c r="CJ366" s="16" t="str">
        <f>INDEX(Input!$1:$1048576,CJ$93,$C366*2+6)</f>
        <v>N</v>
      </c>
      <c r="CK366" s="1" t="str">
        <f t="shared" si="995"/>
        <v>Market</v>
      </c>
      <c r="CL366" s="1" t="str">
        <f t="shared" si="996"/>
        <v>Market</v>
      </c>
      <c r="CM366" s="1" t="str">
        <f t="shared" si="997"/>
        <v>Market</v>
      </c>
      <c r="CN366" s="1" t="str">
        <f t="shared" si="998"/>
        <v>Market</v>
      </c>
      <c r="CO366" s="1" t="str">
        <f t="shared" si="999"/>
        <v>Market</v>
      </c>
      <c r="CP366" s="304">
        <f t="shared" si="1000"/>
        <v>1500</v>
      </c>
      <c r="CQ366" s="1">
        <f t="shared" si="1001"/>
        <v>0</v>
      </c>
      <c r="CR366" s="1">
        <f t="shared" si="1002"/>
        <v>0</v>
      </c>
      <c r="CS366" s="1">
        <f t="shared" si="1003"/>
        <v>0</v>
      </c>
      <c r="CT366" s="1">
        <f t="shared" si="1004"/>
        <v>1.9E-2</v>
      </c>
      <c r="CU366" s="1">
        <f t="shared" si="1005"/>
        <v>3.9E-2</v>
      </c>
      <c r="CV366" s="304">
        <f t="shared" si="1006"/>
        <v>1194.9999999999991</v>
      </c>
      <c r="CW366" s="20" t="s">
        <v>122</v>
      </c>
      <c r="CX366" s="20" t="s">
        <v>122</v>
      </c>
      <c r="CY366" s="20" t="s">
        <v>122</v>
      </c>
      <c r="CZ366" s="20" t="s">
        <v>122</v>
      </c>
      <c r="DA366" s="20" t="s">
        <v>122</v>
      </c>
      <c r="DB366" s="503">
        <f t="shared" si="1007"/>
        <v>0</v>
      </c>
      <c r="DC366" s="127">
        <v>0</v>
      </c>
      <c r="DD366" s="127">
        <v>0</v>
      </c>
      <c r="DE366" s="127">
        <v>0</v>
      </c>
      <c r="DF366" s="127">
        <v>0</v>
      </c>
      <c r="DG366" s="127">
        <v>0</v>
      </c>
      <c r="DH366" s="127">
        <v>0</v>
      </c>
      <c r="DI366" s="127">
        <v>0</v>
      </c>
      <c r="DJ366" s="127">
        <v>0</v>
      </c>
      <c r="DK366" s="127">
        <v>0</v>
      </c>
      <c r="DL366" s="127">
        <v>0</v>
      </c>
      <c r="DM366" s="304">
        <f>INDEX(Input!$1:$1048576,DM$93,$C366*2+6)</f>
        <v>21036.84210526316</v>
      </c>
      <c r="DN366" s="20">
        <v>0</v>
      </c>
      <c r="DO366" s="20">
        <v>0</v>
      </c>
      <c r="DP366" s="20">
        <v>0</v>
      </c>
      <c r="DQ366" s="20">
        <v>0</v>
      </c>
      <c r="DR366" s="20">
        <v>0</v>
      </c>
      <c r="DS366" s="20">
        <f>INDEX(Input!$1:$1048576,DS$93,$C366*2+6)</f>
        <v>0.6</v>
      </c>
      <c r="DT366" s="20">
        <f>INDEX(Input!$1:$1048576,DT$93,$C366*2+6)</f>
        <v>0.55000000000000004</v>
      </c>
      <c r="DU366" s="20">
        <f>INDEX(Input!$1:$1048576,DU$93,$C366*2+6)</f>
        <v>0.52</v>
      </c>
      <c r="DV366" s="20">
        <f>INDEX(Input!$1:$1048576,DV$93,$C366*2+6)</f>
        <v>0.5</v>
      </c>
      <c r="DW366" s="20">
        <f>INDEX(Input!$1:$1048576,DW$93,$C366*2+6)</f>
        <v>0.45</v>
      </c>
      <c r="DX366" s="20"/>
      <c r="DY366" s="7">
        <v>0.12024164407172659</v>
      </c>
      <c r="DZ366" s="7">
        <v>0</v>
      </c>
      <c r="EA366" s="7">
        <v>0.74464057983895149</v>
      </c>
      <c r="EB366" s="7">
        <v>0</v>
      </c>
      <c r="EC366" s="7">
        <v>0</v>
      </c>
      <c r="ED366" s="7">
        <v>0</v>
      </c>
      <c r="EE366" s="7">
        <v>0</v>
      </c>
      <c r="EF366" s="7">
        <v>0</v>
      </c>
      <c r="EG366" s="7">
        <v>0</v>
      </c>
      <c r="EH366" s="7">
        <v>1.2004963098986417E-2</v>
      </c>
      <c r="EI366" s="7">
        <v>3.3635499163862971E-2</v>
      </c>
      <c r="EJ366" s="7">
        <v>0.27173629782455144</v>
      </c>
      <c r="EK366" s="7">
        <v>0.54169703214275966</v>
      </c>
      <c r="EL366" s="7">
        <v>0.14092620776983952</v>
      </c>
      <c r="EM366" s="7">
        <v>5.3803316221307566E-2</v>
      </c>
      <c r="EN366" s="7">
        <v>6.1211979404472303E-2</v>
      </c>
      <c r="EO366" s="7">
        <v>0.76998169975510555</v>
      </c>
      <c r="EP366" s="7">
        <v>6.9519118730015914E-2</v>
      </c>
      <c r="EQ366" s="7">
        <v>6.5250743988038734E-2</v>
      </c>
      <c r="ER366" s="7">
        <v>3.403645812236776E-2</v>
      </c>
      <c r="ES366" s="7">
        <v>8.1314459868014305E-2</v>
      </c>
      <c r="ET366" s="7">
        <v>0.13511777608932188</v>
      </c>
      <c r="EU366" s="6">
        <v>2611</v>
      </c>
      <c r="EV366" s="6">
        <v>0</v>
      </c>
      <c r="EW366" s="6">
        <v>2611</v>
      </c>
      <c r="EX366" s="6">
        <v>0</v>
      </c>
      <c r="EY366" s="6">
        <v>3336.4191907075865</v>
      </c>
      <c r="EZ366" s="6">
        <v>1929</v>
      </c>
      <c r="FA366" s="6">
        <v>0</v>
      </c>
      <c r="FB366" s="6">
        <v>0</v>
      </c>
      <c r="FC366" s="6">
        <v>0</v>
      </c>
      <c r="FD366" s="6">
        <v>0</v>
      </c>
      <c r="FE366" s="6">
        <v>0</v>
      </c>
      <c r="FF366" s="6">
        <v>0</v>
      </c>
      <c r="FG366" s="6">
        <v>0</v>
      </c>
      <c r="FH366" s="6">
        <v>1172.0320557819355</v>
      </c>
      <c r="FI366" s="6">
        <v>1553.9796069512404</v>
      </c>
      <c r="FJ366" s="6">
        <v>2101.211011744741</v>
      </c>
      <c r="FK366" s="6">
        <v>1772.7139978623227</v>
      </c>
      <c r="FL366" s="6">
        <v>907.07682140966335</v>
      </c>
      <c r="FM366" s="6">
        <v>1725.4191907075863</v>
      </c>
      <c r="FN366" s="6">
        <v>0</v>
      </c>
      <c r="FO366" s="6">
        <v>0</v>
      </c>
      <c r="FP366" s="6">
        <v>0</v>
      </c>
      <c r="FQ366" s="6">
        <v>0</v>
      </c>
      <c r="FR366" s="6">
        <v>0</v>
      </c>
      <c r="FS366" s="6">
        <v>0</v>
      </c>
      <c r="FT366" s="7">
        <v>0.86488222391067804</v>
      </c>
      <c r="FU366" s="7">
        <v>5.3803316221307566E-2</v>
      </c>
      <c r="FV366" s="7">
        <v>8.1314459868014305E-2</v>
      </c>
      <c r="FW366" s="6">
        <v>2611</v>
      </c>
      <c r="FX366" s="6">
        <v>3336.4191907075865</v>
      </c>
      <c r="FY366" s="6">
        <v>1929</v>
      </c>
      <c r="FZ366" s="6">
        <v>1858.9243755539039</v>
      </c>
      <c r="GA366" s="6">
        <v>2594.5734964806593</v>
      </c>
      <c r="GB366" s="6">
        <v>17390.426503519342</v>
      </c>
      <c r="GC366" s="7">
        <v>2.9156573141622111E-2</v>
      </c>
      <c r="GD366" s="7">
        <v>3.2510105226686438E-2</v>
      </c>
      <c r="GE366" s="7"/>
      <c r="GF366" s="7"/>
      <c r="GG366" s="7">
        <v>0.11501804648904478</v>
      </c>
      <c r="GH366" s="42">
        <v>3.1246359082000761</v>
      </c>
      <c r="GI366" s="6">
        <v>8990.5186840632377</v>
      </c>
      <c r="GJ366" s="14">
        <v>0.50394797582841744</v>
      </c>
      <c r="GK366" s="14">
        <v>0.50887573065309755</v>
      </c>
      <c r="GL366" s="14">
        <v>0.49605202417158289</v>
      </c>
      <c r="GM366" s="14">
        <v>0.49112426934690262</v>
      </c>
      <c r="GO366" s="5">
        <v>343.14810671672558</v>
      </c>
      <c r="GP366" s="5">
        <v>293.33520778489498</v>
      </c>
      <c r="GQ366" s="5">
        <v>535.04305713031317</v>
      </c>
      <c r="GR366" s="5">
        <v>410.15490233172511</v>
      </c>
      <c r="GS366" s="5">
        <v>339.42744393800166</v>
      </c>
      <c r="GT366" s="5">
        <v>293.4407446948278</v>
      </c>
      <c r="GU366" s="5">
        <v>258.04012322764959</v>
      </c>
      <c r="GV366" s="39" t="s">
        <v>392</v>
      </c>
      <c r="GW366" s="5">
        <v>454.875</v>
      </c>
      <c r="GX366" s="5">
        <v>341.15625</v>
      </c>
      <c r="GY366" s="5">
        <v>272.92500000000001</v>
      </c>
      <c r="GZ366" s="5">
        <v>240.82751152063875</v>
      </c>
      <c r="HA366" s="5">
        <v>223.08053899211657</v>
      </c>
      <c r="HB366" s="39">
        <v>252.99279007150585</v>
      </c>
      <c r="HC366" s="5">
        <v>202.890625</v>
      </c>
      <c r="HD366" s="5">
        <v>182.20330774853798</v>
      </c>
      <c r="HE366" s="5">
        <v>187.48257844129552</v>
      </c>
      <c r="HF366" s="5">
        <v>176.30063048245611</v>
      </c>
      <c r="HG366" s="5">
        <v>173.65888157894736</v>
      </c>
      <c r="HH366" s="39">
        <v>183.16065354553194</v>
      </c>
      <c r="HI366" s="16"/>
      <c r="HJ366" s="19" t="str">
        <f t="shared" ref="HJ366" si="1050">HJ365</f>
        <v>On</v>
      </c>
      <c r="HK366" s="1" t="str">
        <f t="shared" si="991"/>
        <v>On</v>
      </c>
      <c r="HL366" s="16"/>
      <c r="HM366" s="639">
        <f t="shared" si="1023"/>
        <v>2.2758057894877178E-2</v>
      </c>
      <c r="HN366" s="639">
        <f t="shared" si="1024"/>
        <v>1.416759231746561E-3</v>
      </c>
      <c r="HO366" s="639">
        <f t="shared" si="1025"/>
        <v>4.5732401537654987E-3</v>
      </c>
      <c r="HP366" s="644">
        <f>(FT366*$GD366-HM366)/$JF366*INDEX(Input!$1:$1048576,$JG$93,$C366*2+6)</f>
        <v>300.14411753161579</v>
      </c>
      <c r="HQ366" s="644">
        <f>(FU366*$GD366-HN366)/$JF366*INDEX(Input!$1:$1048576,$JG$93,$C366*2+6)</f>
        <v>18.615223332364806</v>
      </c>
      <c r="HR366" s="644">
        <f>(FV366*$GD366-HO366)/$JF366*INDEX(Input!$1:$1048576,$JG$93,$C366*2+6)</f>
        <v>-108.07041901915532</v>
      </c>
      <c r="HS366" s="644">
        <f t="shared" si="1014"/>
        <v>-111.69479656600861</v>
      </c>
      <c r="HT366" s="644">
        <f t="shared" si="1026"/>
        <v>124.94976649467395</v>
      </c>
      <c r="HU366" s="644">
        <f t="shared" si="1027"/>
        <v>16.969451343382524</v>
      </c>
      <c r="HV366" s="648">
        <f t="shared" si="1028"/>
        <v>0</v>
      </c>
      <c r="HW366" s="648">
        <f t="shared" si="1029"/>
        <v>0</v>
      </c>
      <c r="HX366" s="648">
        <f t="shared" si="1030"/>
        <v>0</v>
      </c>
      <c r="HY366" s="644">
        <f>INDEX(Input!$1:$1048576,HY$93,$C366*2+6)*INDEX(Input!$1:$1048576,$JG$93,$C366*2+6)</f>
        <v>509.00000000000006</v>
      </c>
      <c r="HZ366" s="644">
        <f>INDEX(Input!$1:$1048576,HZ$93,$C366*2+6)*INDEX(Input!$1:$1048576,$JG$93,$C366*2+6)</f>
        <v>844</v>
      </c>
      <c r="IA366" s="644">
        <f>INDEX(Input!$1:$1048576,IA$93,$C366*2+6)*INDEX(Input!$1:$1048576,$JG$93,$C366*2+6)</f>
        <v>257</v>
      </c>
      <c r="IB366" s="644">
        <f t="shared" ref="IB366:IB383" si="1051">SUM(HP366:IA366)-IC366-ID366</f>
        <v>697.44932096560728</v>
      </c>
      <c r="IC366" s="644">
        <f t="shared" ref="IC366:IC383" si="1052">MAX(HZ366+HQ366+HT366+HW366,0%)</f>
        <v>987.56498982703874</v>
      </c>
      <c r="ID366" s="644">
        <f>IF(AND(INDEX(Input!$1:$1048576,IA$93,$C366*2+7)="TOS",Y366&lt;=INDEX(Y:Y,MATCH(C366*1000+2,A:A))),0,1)*MAX(IA366+HR366+HU366+HX366,0%)</f>
        <v>165.89903232422719</v>
      </c>
      <c r="IE366" s="128">
        <f t="shared" si="1015"/>
        <v>0.37681360046339452</v>
      </c>
      <c r="IF366" s="128">
        <f t="shared" si="1016"/>
        <v>0.53355549761395848</v>
      </c>
      <c r="IG366" s="128">
        <f t="shared" si="1031"/>
        <v>8.9630901922647027E-2</v>
      </c>
      <c r="IH366" s="21"/>
      <c r="II366" s="19">
        <f t="shared" si="1032"/>
        <v>1410.4999999999998</v>
      </c>
      <c r="IJ366" s="19">
        <f t="shared" si="1033"/>
        <v>2134.9731585778086</v>
      </c>
      <c r="IK366" s="19">
        <f t="shared" si="1034"/>
        <v>2103.5</v>
      </c>
      <c r="IL366" s="19">
        <f t="shared" ref="IL366:IL383" si="1053">(FW366-FA366*DZ366/FT366)-II366</f>
        <v>1200.5000000000002</v>
      </c>
      <c r="IM366" s="19">
        <f t="shared" si="1035"/>
        <v>1201.4460321297779</v>
      </c>
      <c r="IN366" s="19">
        <f t="shared" si="1036"/>
        <v>-174.5</v>
      </c>
      <c r="IO366" s="39">
        <f t="shared" si="1037"/>
        <v>0</v>
      </c>
      <c r="IP366" s="39">
        <f t="shared" si="1038"/>
        <v>0</v>
      </c>
      <c r="IQ366" s="39">
        <f t="shared" si="1039"/>
        <v>0</v>
      </c>
      <c r="IR366" s="39">
        <v>0</v>
      </c>
      <c r="IS366" s="39">
        <v>0</v>
      </c>
      <c r="IT366" s="39">
        <v>0</v>
      </c>
      <c r="IU366" s="39">
        <v>0</v>
      </c>
      <c r="IV366" s="39">
        <v>0</v>
      </c>
      <c r="IW366" s="39">
        <v>0</v>
      </c>
      <c r="IX366" s="39">
        <f>INDEX(Input!$1:$1048576,IX$93,$C366*2+6)+INDEX(Input!$1:$1048576,IX$94,$C366*2+6)</f>
        <v>1611</v>
      </c>
      <c r="IY366" s="39">
        <f>INDEX(Input!$1:$1048576,IY$93,$C366*2+6)+INDEX(Input!$1:$1048576,IY$94,$C366*2+6)</f>
        <v>2471.0624533823611</v>
      </c>
      <c r="IZ366" s="39">
        <f>INDEX(Input!$1:$1048576,IZ$93,$C366*2+6)+INDEX(Input!$1:$1048576,IZ$94,$C366*2+6)</f>
        <v>3994.7164157747857</v>
      </c>
      <c r="JA366" s="19">
        <f t="shared" ref="JA366:JA383" si="1054">(IL366+IO366+IR366+IU366+IX366)</f>
        <v>2811.5</v>
      </c>
      <c r="JB366" s="19">
        <f t="shared" ref="JB366:JB383" si="1055">(IM366+IP366+IS366+IV366+IY366)</f>
        <v>3672.508485512139</v>
      </c>
      <c r="JC366" s="19">
        <f t="shared" ref="JC366:JC383" si="1056">(IN366+IQ366+IT366+IW366+IZ366)</f>
        <v>3820.2164157747857</v>
      </c>
      <c r="JD366" s="19">
        <f t="shared" ref="JD366:JD383" si="1057">SUMPRODUCT(IE366:IG366,JA366:JC366)</f>
        <v>3361.3079730673439</v>
      </c>
      <c r="JE366" s="21"/>
      <c r="JF366" s="1">
        <f t="shared" si="1040"/>
        <v>2.8748057280389237E-2</v>
      </c>
      <c r="JG366" s="15">
        <f>INDEX(Input!$1:$1048576,JG$93,$C366*2+6)/(1+VLOOKUP(C366*1000+INDEX(Input!$1:$1048576,JG$93+1,$C366*2+6),$A:$KK,$JK$92,FALSE))</f>
        <v>1610</v>
      </c>
      <c r="JH366" s="1">
        <f t="shared" ref="JH366:JH383" si="1058">SUM(HP366:HR366)/SUM(HY366:IA366)</f>
        <v>0.13086268437566786</v>
      </c>
      <c r="JI366" s="1">
        <f t="shared" ref="JI366:JI383" si="1059">SUM(HS366:HU366)/SUM(HY366:IA366)</f>
        <v>1.8772932467110478E-2</v>
      </c>
      <c r="JJ366" s="1">
        <f t="shared" si="1017"/>
        <v>0</v>
      </c>
      <c r="JK366" s="1">
        <f t="shared" si="1018"/>
        <v>0.14963561684277835</v>
      </c>
      <c r="JL366" s="15">
        <f t="shared" ref="JL366:JL383" si="1060">JG366*JK366</f>
        <v>240.91334311687314</v>
      </c>
      <c r="JM366" s="15">
        <f t="shared" si="948"/>
        <v>1850.9133431168732</v>
      </c>
      <c r="JN366" s="21"/>
      <c r="JO366" s="19">
        <f>INDEX(Input!$1:$1048576,JO$93,$C366*2+6)</f>
        <v>5995.5</v>
      </c>
      <c r="JP366" s="19">
        <f>INDEX(Input!$1:$1048576,JP$93,$C366*2+6)</f>
        <v>2442.3713226762939</v>
      </c>
      <c r="JQ366" s="39">
        <f t="shared" si="934"/>
        <v>2634.1920269326561</v>
      </c>
      <c r="JR366" s="39">
        <f t="shared" si="951"/>
        <v>918.93665039105008</v>
      </c>
      <c r="JS366" s="39">
        <f t="shared" si="936"/>
        <v>6.2214897776754787</v>
      </c>
      <c r="JT366" s="39">
        <f t="shared" ref="JT366:JT383" si="1061">(JD366*JM366-JP366*JG366)/1000000</f>
        <v>2.2892719481666455</v>
      </c>
      <c r="JU366" s="385">
        <f>(JQ366*JM366-INDEX(Input!$1:$1048576,Input!A$18,$C366*2+6)*JL366*INDEX(Input!$1:$1048576,Input!A$19,$C366*2+6))/1000000</f>
        <v>4.8756611709817346</v>
      </c>
      <c r="JV366" s="39">
        <f t="shared" si="958"/>
        <v>-0.8448759995094326</v>
      </c>
      <c r="JW366" s="1">
        <f t="shared" si="949"/>
        <v>-0.14769172445336828</v>
      </c>
      <c r="JX366" s="19">
        <f t="shared" si="940"/>
        <v>9502.4705504006142</v>
      </c>
      <c r="JZ366" s="341"/>
      <c r="KA366" s="342"/>
      <c r="KB366" s="469">
        <f t="shared" si="937"/>
        <v>2.5190675447988795</v>
      </c>
      <c r="KI366" s="473">
        <f t="shared" si="1019"/>
        <v>188.44932096560723</v>
      </c>
      <c r="KJ366" s="473">
        <f t="shared" si="1020"/>
        <v>143.56498982703874</v>
      </c>
      <c r="KK366" s="473">
        <f t="shared" ref="KK366:KK374" si="1062">$JM366*IG366-$JG366*IA366/SUM($HY366:$IA366)</f>
        <v>-91.100967675772807</v>
      </c>
      <c r="KN366" s="544">
        <f t="shared" si="941"/>
        <v>3002</v>
      </c>
      <c r="KO366" s="541">
        <f t="shared" si="1041"/>
        <v>0.1155917800292916</v>
      </c>
      <c r="KP366" s="546">
        <f t="shared" si="1042"/>
        <v>878.58080175963642</v>
      </c>
      <c r="KQ366" s="546">
        <f t="shared" si="1043"/>
        <v>725.39454767864572</v>
      </c>
      <c r="KR366" s="548">
        <f t="shared" si="1044"/>
        <v>2.2825581836356239</v>
      </c>
      <c r="KS366" s="548">
        <f t="shared" si="1045"/>
        <v>2.7645807450017057</v>
      </c>
      <c r="KT366" s="473">
        <f t="shared" si="939"/>
        <v>1026.1618045255443</v>
      </c>
      <c r="KU366" s="663">
        <f t="shared" ref="KU366:KU383" si="1063">IF(D366="",0,IFERROR((JM366/KT366-1)/(JD366/BX366)+B366*10^-6,0))</f>
        <v>4.7786930363582201</v>
      </c>
    </row>
    <row r="367" spans="1:308" s="26" customFormat="1" ht="15" outlineLevel="1">
      <c r="A367" s="561">
        <f t="shared" si="1046"/>
        <v>3067</v>
      </c>
      <c r="B367" s="561">
        <f t="shared" ref="B367:B400" si="1064">B366+1</f>
        <v>67</v>
      </c>
      <c r="C367" s="561">
        <f t="shared" ref="C367:C400" si="1065">C366</f>
        <v>3</v>
      </c>
      <c r="D367" s="561" t="str">
        <f t="shared" si="974"/>
        <v xml:space="preserve">-180 Lease, </v>
      </c>
      <c r="E367" s="475">
        <f>INDEX(Input!$1:$1048576,E$93,$C367*2+MIN($B367,2)+5)
+INDEX(Scenarios!E$121:E$200,MATCH($B367,Scenarios!$B$121:$B$200,0))</f>
        <v>1287.0236024844721</v>
      </c>
      <c r="F367" s="475">
        <f>INDEX(Input!$1:$1048576,F$93,$C367*2+MIN($B367,2)+5)
+INDEX(Scenarios!F$121:F$200,MATCH($B367,Scenarios!$B$121:$B$200,0))</f>
        <v>0</v>
      </c>
      <c r="G367" s="475">
        <f>INDEX(Input!$1:$1048576,G$93,$C367*2+MIN($B367,2)+5)
+INDEX(Scenarios!G$121:G$200,MATCH($B367,Scenarios!$B$121:$B$200,0))</f>
        <v>0</v>
      </c>
      <c r="H367" s="475">
        <f>INDEX(Input!$1:$1048576,H$93,$C367*2+MIN($B367,2)+5)
+INDEX(Scenarios!H$121:H$200,MATCH($B367,Scenarios!$B$121:$B$200,0))</f>
        <v>0</v>
      </c>
      <c r="I367" s="476">
        <f>INDEX(Input!$1:$1048576,I$93,$C367*2+MIN($B367,2)+5)</f>
        <v>0.7</v>
      </c>
      <c r="J367" s="476" t="str">
        <f>INDEX(Input!$1:$1048576,J$93,$C367*2+MIN($B367,2)+5)</f>
        <v>Market</v>
      </c>
      <c r="K367" s="476" t="str">
        <f>INDEX(Input!$1:$1048576,K$93,$C367*2+MIN($B367,2)+5)</f>
        <v>Market</v>
      </c>
      <c r="L367" s="476" t="str">
        <f>INDEX(Input!$1:$1048576,L$93,$C367*2+MIN($B367,2)+5)</f>
        <v>Market</v>
      </c>
      <c r="M367" s="476" t="str">
        <f>INDEX(Input!$1:$1048576,M$93,$C367*2+MIN($B367,2)+5)</f>
        <v>Market</v>
      </c>
      <c r="N367" s="476" t="str">
        <f>INDEX(Input!$1:$1048576,N$93,$C367*2+MIN($B367,2)+5)</f>
        <v>Market</v>
      </c>
      <c r="O367" s="476" t="str">
        <f>INDEX(Input!$1:$1048576,O$93,$C367*2+MIN($B367,2)+5)</f>
        <v>Market</v>
      </c>
      <c r="P367" s="476" t="str">
        <f>INDEX(Input!$1:$1048576,P$93,$C367*2+MIN($B367,2)+5)</f>
        <v>N</v>
      </c>
      <c r="Q367" s="477">
        <f>INDEX(Input!$1:$1048576,Q$93,$C367*2+MIN($B367,2)+5)
+INDEX(Scenarios!Q$121:Q$200,MATCH($B367,Scenarios!$B$121:$B$200,0))</f>
        <v>0</v>
      </c>
      <c r="R367" s="478">
        <f>IFERROR(MAX(0,INDEX(Input!$1:$1048576,R$93,$C367*2+MIN($B367,2)+5)
+INDEX(Scenarios!R$121:R$200,MATCH($B367,Scenarios!$B$121:$B$200,0)),),"Market")</f>
        <v>0</v>
      </c>
      <c r="S367" s="478">
        <f>IFERROR(MAX(0,INDEX(Input!$1:$1048576,S$93,$C367*2+MIN($B367,2)+5)
+INDEX(Scenarios!S$121:S$200,MATCH($B367,Scenarios!$B$121:$B$200,0)),),"Market")</f>
        <v>0</v>
      </c>
      <c r="T367" s="478">
        <f>IFERROR(MAX(0,INDEX(Input!$1:$1048576,T$93,$C367*2+MIN($B367,2)+5)
+INDEX(Scenarios!T$121:T$200,MATCH($B367,Scenarios!$B$121:$B$200,0)),),"Market")</f>
        <v>0</v>
      </c>
      <c r="U367" s="478">
        <f>IFERROR(MAX(0,INDEX(Input!$1:$1048576,U$93,$C367*2+MIN($B367,2)+5)
+INDEX(Scenarios!U$121:U$200,MATCH($B367,Scenarios!$B$121:$B$200,0)),),"Market")</f>
        <v>0</v>
      </c>
      <c r="V367" s="478">
        <f>IFERROR(MAX(0,INDEX(Input!$1:$1048576,V$93,$C367*2+MIN($B367,2)+5)
+INDEX(Scenarios!V$121:V$200,MATCH($B367,Scenarios!$B$121:$B$200,0)),),"Market")</f>
        <v>1.9E-2</v>
      </c>
      <c r="W367" s="885">
        <f>IFERROR(MAX(0,INDEX(Input!$1:$1048576,W$93,$C367*2+MIN($B367,2)+5)-0%,),"Market")</f>
        <v>3.9E-2</v>
      </c>
      <c r="X367" s="476" t="str">
        <f>INDEX(Input!$1:$1048576,X$93,$C367*2+MIN($B367,2)+5)</f>
        <v>Y</v>
      </c>
      <c r="Y367" s="475">
        <f>INDEX(Input!$1:$1048576,Y$93,$C367*2+MIN($B367,2)+5)
++INDEX(Scenarios!Y$121:Y$200,MATCH($B367,Scenarios!$B$121:$B$200,0))</f>
        <v>1374.9999999999991</v>
      </c>
      <c r="Z367" s="477">
        <f>INDEX(Input!$1:$1048576,Z$93,$C367*2+MIN($B367,2)+5)
+INDEX(Scenarios!Z$121:Z$200,MATCH($B367,Scenarios!$B$121:$B$200,0))</f>
        <v>0</v>
      </c>
      <c r="AA367" s="475">
        <f>INDEX(Input!$1:$1048576,AA$93,$C367*2+MIN($B367,2)+5)
+INDEX(Scenarios!AA$121:AA$200,MATCH($B367,Scenarios!$B$121:$B$200,0))</f>
        <v>0</v>
      </c>
      <c r="AB367" s="476">
        <f>INDEX(Input!$1:$1048576,AB$93,$C367*2+MIN($B367,2)+5)</f>
        <v>0.27</v>
      </c>
      <c r="AC367" s="475">
        <f>INDEX(Input!$1:$1048576,AC$93,$C367*2+MIN($B367,2)+5)
+INDEX(Scenarios!AC$121:AC$200,MATCH($B367,Scenarios!$B$121:$B$200,0))</f>
        <v>0</v>
      </c>
      <c r="AD367" s="476">
        <f>INDEX(Input!$1:$1048576,AD$93,$C367*2+MIN($B367,2)+5)</f>
        <v>0.27</v>
      </c>
      <c r="AE367" s="475">
        <f>INDEX(Input!$1:$1048576,AE$93,$C367*2+MIN($B367,2)+5)
+INDEX(Scenarios!AE$121:AE$200,MATCH($B367,Scenarios!$B$121:$B$200,0))</f>
        <v>0</v>
      </c>
      <c r="AF367" s="476">
        <f>INDEX(Input!$1:$1048576,AF$93,$C367*2+MIN($B367,2)+5)</f>
        <v>0.68200000000000005</v>
      </c>
      <c r="AG367" s="475">
        <f>INDEX(Input!$1:$1048576,AG$93,$C367*2+MIN($B367,2)+5)
+INDEX(Scenarios!AG$121:AG$200,MATCH($B367,Scenarios!$B$121:$B$200,0))</f>
        <v>500</v>
      </c>
      <c r="AH367" s="476">
        <f>INDEX(Input!$1:$1048576,AH$93,$C367*2+MIN($B367,2)+5)</f>
        <v>1</v>
      </c>
      <c r="AI367" s="475">
        <f>INDEX(Input!$1:$1048576,AI$93,$C367*2+MIN($B367,2)+5)
+INDEX(Scenarios!AI$121:AI$200,MATCH($B367,Scenarios!$B$121:$B$200,0))</f>
        <v>0</v>
      </c>
      <c r="AJ367" s="476">
        <f>INDEX(Input!$1:$1048576,AJ$93,$C367*2+MIN($B367,2)+5)</f>
        <v>0.27</v>
      </c>
      <c r="AK367" s="150">
        <f>ROUND(INDEX(Input!$1:$1048576,AK$93,$C366*2+MIN($B367,1)+5)+(Y367-VLOOKUP($C367*1000+1,$A:$HH,Y$92,FALSE)),0)</f>
        <v>2797</v>
      </c>
      <c r="AL367" s="150">
        <f>ROUND(INDEX(Input!$1:$1048576,AL$93,$C366*2+MIN($B367,1)+5)-(Y367-VLOOKUP($C367*1000+1,$A:$HH,Y$92,FALSE))/36,0)</f>
        <v>3400</v>
      </c>
      <c r="AM367" s="32" t="str">
        <f t="shared" si="1047"/>
        <v>std/std/std/std</v>
      </c>
      <c r="AN367" s="32" t="str">
        <f t="shared" si="1048"/>
        <v>$0 + 0/0/0/1.9/3.9</v>
      </c>
      <c r="AO367" s="32" t="str">
        <f t="shared" si="1049"/>
        <v>0/0/0/1.9/3.9</v>
      </c>
      <c r="AP367" s="32" t="str">
        <f t="shared" si="993"/>
        <v>0/0.9/1.9/3.9</v>
      </c>
      <c r="AQ367" s="536">
        <f t="shared" si="992"/>
        <v>0.32596669992453409</v>
      </c>
      <c r="AR367" s="32"/>
      <c r="AS367" s="302"/>
      <c r="AT367" s="3">
        <f t="shared" ref="AT367:AT400" si="1066">AT366+1</f>
        <v>67</v>
      </c>
      <c r="AU367" s="41" t="s">
        <v>121</v>
      </c>
      <c r="AV367" s="41" t="s">
        <v>116</v>
      </c>
      <c r="AW367" s="41" t="str">
        <f>INDEX(Input!$1:$1048576,AW$93,$C367*2+6)</f>
        <v>Kia</v>
      </c>
      <c r="AX367" s="41" t="str">
        <f>INDEX(Input!$1:$1048576,AX$93,$C367*2+6)</f>
        <v>Kia-LR - L3</v>
      </c>
      <c r="AY367" s="41" t="str">
        <f>IF(LEN(D367)=0,"",INDEX(Input!$1:$1048576,AY$93,$C367*2+6))</f>
        <v>Compact SUV (52)</v>
      </c>
      <c r="AZ367" s="41" t="str">
        <f>INDEX(Input!$1:$1048576,AZ$93,$C367*2+6)</f>
        <v>Kia Soul</v>
      </c>
      <c r="BA367" s="3">
        <f>INDEX(Input!$1:$1048576,BA$93,$C367*2+6)</f>
        <v>2020</v>
      </c>
      <c r="BB367" s="128">
        <f>INDEX(Input!$1:$1048576,BB$93,$C367*2+6)</f>
        <v>1</v>
      </c>
      <c r="BC367" s="128">
        <f>INDEX(Input!$1:$1048576,BC$93,$C367*2+6)</f>
        <v>0.7</v>
      </c>
      <c r="BD367" s="1">
        <f>INDEX(Input!$1:$1048576,BD$93,$C367*2+6)</f>
        <v>4.4999999999999998E-2</v>
      </c>
      <c r="BE367" s="1">
        <f>INDEX(Input!$1:$1048576,BE$93,$C367*2+6)</f>
        <v>4.4999999999999998E-2</v>
      </c>
      <c r="BF367" s="1">
        <f>INDEX(Input!$1:$1048576,BF$93,$C367*2+6)</f>
        <v>0.05</v>
      </c>
      <c r="BG367" s="1">
        <f>INDEX(Input!$1:$1048576,BG$93,$C367*2+6)</f>
        <v>5.45E-2</v>
      </c>
      <c r="BH367" s="1">
        <f>INDEX(Input!$1:$1048576,BH$93,$C367*2+6)</f>
        <v>5.45E-2</v>
      </c>
      <c r="BI367" s="1">
        <f>INDEX(Input!$1:$1048576,BI$93,$C367*2+6)</f>
        <v>0.05</v>
      </c>
      <c r="BJ367" s="1">
        <f>INDEX(Input!$1:$1048576,BJ$93,$C367*2+6)</f>
        <v>0.05</v>
      </c>
      <c r="BK367" s="1">
        <f>INDEX(Input!$1:$1048576,BK$93,$C367*2+6)</f>
        <v>0.05</v>
      </c>
      <c r="BL367" s="1">
        <f>INDEX(Input!$1:$1048576,BL$93,$C367*2+6)</f>
        <v>5.5E-2</v>
      </c>
      <c r="BM367" s="1">
        <f>INDEX(Input!$1:$1048576,BM$93,$C367*2+6)</f>
        <v>0.06</v>
      </c>
      <c r="BN367" s="1">
        <f>INDEX(Input!$1:$1048576,BN$93,$C367*2+6)</f>
        <v>4.4999999999999998E-2</v>
      </c>
      <c r="BO367" s="1">
        <f>INDEX(Input!$1:$1048576,BO$93,$C367*2+6)</f>
        <v>4.4999999999999998E-2</v>
      </c>
      <c r="BP367" s="1">
        <f>INDEX(Input!$1:$1048576,BP$93,$C367*2+6)</f>
        <v>0.05</v>
      </c>
      <c r="BQ367" s="1">
        <f>INDEX(Input!$1:$1048576,BQ$93,$C367*2+6)</f>
        <v>5.45E-2</v>
      </c>
      <c r="BR367" s="1">
        <f>INDEX(Input!$1:$1048576,BR$93,$C367*2+6)</f>
        <v>5.45E-2</v>
      </c>
      <c r="BS367" s="1">
        <f>INDEX(Input!$1:$1048576,BS$93,$C367*2+6)</f>
        <v>0.05</v>
      </c>
      <c r="BT367" s="1">
        <f>INDEX(Input!$1:$1048576,BT$93,$C367*2+6)</f>
        <v>0.05</v>
      </c>
      <c r="BU367" s="1">
        <f>INDEX(Input!$1:$1048576,BU$93,$C367*2+6)</f>
        <v>0.05</v>
      </c>
      <c r="BV367" s="1">
        <f>INDEX(Input!$1:$1048576,BV$93,$C367*2+6)</f>
        <v>5.5E-2</v>
      </c>
      <c r="BW367" s="1">
        <f>INDEX(Input!$1:$1048576,BW$93,$C367*2+6)</f>
        <v>0.06</v>
      </c>
      <c r="BX367" s="127">
        <f>INDEX(Input!$1:$1048576,BX$93,$C367*2+6)</f>
        <v>19985</v>
      </c>
      <c r="BY367" s="20">
        <f>INDEX(Input!$1:$1048576,BY$93,$C367*2+6)</f>
        <v>0.1</v>
      </c>
      <c r="BZ367" s="20">
        <f>INDEX(Input!$1:$1048576,BZ$93,$C367*2+6)</f>
        <v>0.1</v>
      </c>
      <c r="CA367" s="20">
        <f>INDEX(Input!$1:$1048576,CA$93,$C367*2+6)</f>
        <v>0.1</v>
      </c>
      <c r="CB367" s="20">
        <f>INDEX(Input!$1:$1048576,CB$93,$C367*2+6)</f>
        <v>0.1</v>
      </c>
      <c r="CC367" s="20">
        <f>INDEX(Input!$1:$1048576,CC$93,$C367*2+6)</f>
        <v>0.1</v>
      </c>
      <c r="CD367" s="384">
        <f>INDEX(Input!$1:$1048576,CD$93,$C367*2+6)</f>
        <v>0.1</v>
      </c>
      <c r="CE367" s="384">
        <f>INDEX(Input!$1:$1048576,CE$93,$C367*2+6)</f>
        <v>0.1</v>
      </c>
      <c r="CF367" s="384">
        <f>INDEX(Input!$1:$1048576,CF$93,$C367*2+6)</f>
        <v>0.1</v>
      </c>
      <c r="CG367" s="384">
        <f>INDEX(Input!$1:$1048576,CG$93,$C367*2+6)</f>
        <v>0.1</v>
      </c>
      <c r="CH367" s="384">
        <f>INDEX(Input!$1:$1048576,CH$93,$C367*2+6)</f>
        <v>0.1</v>
      </c>
      <c r="CI367" s="304">
        <f t="shared" si="994"/>
        <v>1287.0236024844721</v>
      </c>
      <c r="CJ367" s="16" t="str">
        <f>INDEX(Input!$1:$1048576,CJ$93,$C367*2+6)</f>
        <v>N</v>
      </c>
      <c r="CK367" s="1" t="str">
        <f t="shared" si="995"/>
        <v>Market</v>
      </c>
      <c r="CL367" s="1" t="str">
        <f t="shared" si="996"/>
        <v>Market</v>
      </c>
      <c r="CM367" s="1" t="str">
        <f t="shared" si="997"/>
        <v>Market</v>
      </c>
      <c r="CN367" s="1" t="str">
        <f t="shared" si="998"/>
        <v>Market</v>
      </c>
      <c r="CO367" s="1" t="str">
        <f t="shared" si="999"/>
        <v>Market</v>
      </c>
      <c r="CP367" s="304">
        <f t="shared" si="1000"/>
        <v>500</v>
      </c>
      <c r="CQ367" s="1">
        <f t="shared" si="1001"/>
        <v>0</v>
      </c>
      <c r="CR367" s="1">
        <f t="shared" si="1002"/>
        <v>0</v>
      </c>
      <c r="CS367" s="1">
        <f t="shared" si="1003"/>
        <v>0</v>
      </c>
      <c r="CT367" s="1">
        <f t="shared" si="1004"/>
        <v>1.9E-2</v>
      </c>
      <c r="CU367" s="1">
        <f t="shared" si="1005"/>
        <v>3.9E-2</v>
      </c>
      <c r="CV367" s="304">
        <f t="shared" si="1006"/>
        <v>1374.9999999999991</v>
      </c>
      <c r="CW367" s="20" t="s">
        <v>122</v>
      </c>
      <c r="CX367" s="20" t="s">
        <v>122</v>
      </c>
      <c r="CY367" s="20" t="s">
        <v>122</v>
      </c>
      <c r="CZ367" s="20" t="s">
        <v>122</v>
      </c>
      <c r="DA367" s="20" t="s">
        <v>122</v>
      </c>
      <c r="DB367" s="503">
        <f t="shared" si="1007"/>
        <v>0</v>
      </c>
      <c r="DC367" s="127">
        <v>0</v>
      </c>
      <c r="DD367" s="127">
        <v>0</v>
      </c>
      <c r="DE367" s="127">
        <v>0</v>
      </c>
      <c r="DF367" s="127">
        <v>0</v>
      </c>
      <c r="DG367" s="127">
        <v>0</v>
      </c>
      <c r="DH367" s="127">
        <v>0</v>
      </c>
      <c r="DI367" s="127">
        <v>0</v>
      </c>
      <c r="DJ367" s="127">
        <v>0</v>
      </c>
      <c r="DK367" s="127">
        <v>0</v>
      </c>
      <c r="DL367" s="127">
        <v>0</v>
      </c>
      <c r="DM367" s="304">
        <f>INDEX(Input!$1:$1048576,DM$93,$C367*2+6)</f>
        <v>21036.84210526316</v>
      </c>
      <c r="DN367" s="20">
        <v>0</v>
      </c>
      <c r="DO367" s="20">
        <v>0</v>
      </c>
      <c r="DP367" s="20">
        <v>0</v>
      </c>
      <c r="DQ367" s="20">
        <v>0</v>
      </c>
      <c r="DR367" s="20">
        <v>0</v>
      </c>
      <c r="DS367" s="20">
        <f>INDEX(Input!$1:$1048576,DS$93,$C367*2+6)</f>
        <v>0.6</v>
      </c>
      <c r="DT367" s="20">
        <f>INDEX(Input!$1:$1048576,DT$93,$C367*2+6)</f>
        <v>0.55000000000000004</v>
      </c>
      <c r="DU367" s="20">
        <f>INDEX(Input!$1:$1048576,DU$93,$C367*2+6)</f>
        <v>0.52</v>
      </c>
      <c r="DV367" s="20">
        <f>INDEX(Input!$1:$1048576,DV$93,$C367*2+6)</f>
        <v>0.5</v>
      </c>
      <c r="DW367" s="20">
        <f>INDEX(Input!$1:$1048576,DW$93,$C367*2+6)</f>
        <v>0.45</v>
      </c>
      <c r="DX367" s="20"/>
      <c r="DY367" s="7">
        <v>0.10200108207037509</v>
      </c>
      <c r="DZ367" s="7">
        <v>0</v>
      </c>
      <c r="EA367" s="7">
        <v>0.70242594007934556</v>
      </c>
      <c r="EB367" s="7">
        <v>0</v>
      </c>
      <c r="EC367" s="7">
        <v>0</v>
      </c>
      <c r="ED367" s="7">
        <v>0</v>
      </c>
      <c r="EE367" s="7">
        <v>0</v>
      </c>
      <c r="EF367" s="7">
        <v>0</v>
      </c>
      <c r="EG367" s="7">
        <v>0</v>
      </c>
      <c r="EH367" s="7">
        <v>1.2000984097374099E-2</v>
      </c>
      <c r="EI367" s="7">
        <v>3.3603643134172023E-2</v>
      </c>
      <c r="EJ367" s="7">
        <v>0.27053212870760818</v>
      </c>
      <c r="EK367" s="7">
        <v>0.54248575070917815</v>
      </c>
      <c r="EL367" s="7">
        <v>0.14137749335166752</v>
      </c>
      <c r="EM367" s="7">
        <v>5.0086785292815093E-2</v>
      </c>
      <c r="EN367" s="7">
        <v>6.1977269246994697E-2</v>
      </c>
      <c r="EO367" s="7">
        <v>0.77529734078238521</v>
      </c>
      <c r="EP367" s="7">
        <v>6.6988157524690894E-2</v>
      </c>
      <c r="EQ367" s="7">
        <v>6.2765879590130885E-2</v>
      </c>
      <c r="ER367" s="7">
        <v>3.2971352855798435E-2</v>
      </c>
      <c r="ES367" s="7">
        <v>0.14548619255746431</v>
      </c>
      <c r="ET367" s="7">
        <v>0.19557297785027938</v>
      </c>
      <c r="EU367" s="6">
        <v>1611</v>
      </c>
      <c r="EV367" s="6">
        <v>0</v>
      </c>
      <c r="EW367" s="6">
        <v>1611</v>
      </c>
      <c r="EX367" s="6">
        <v>0</v>
      </c>
      <c r="EY367" s="6">
        <v>2335.6420220628297</v>
      </c>
      <c r="EZ367" s="6">
        <v>2109</v>
      </c>
      <c r="FA367" s="6">
        <v>0</v>
      </c>
      <c r="FB367" s="6">
        <v>0</v>
      </c>
      <c r="FC367" s="6">
        <v>0</v>
      </c>
      <c r="FD367" s="6">
        <v>0</v>
      </c>
      <c r="FE367" s="6">
        <v>0</v>
      </c>
      <c r="FF367" s="6">
        <v>0</v>
      </c>
      <c r="FG367" s="6">
        <v>0</v>
      </c>
      <c r="FH367" s="6">
        <v>1172.0061218693997</v>
      </c>
      <c r="FI367" s="6">
        <v>1553.9796069512404</v>
      </c>
      <c r="FJ367" s="6">
        <v>2101.211011744741</v>
      </c>
      <c r="FK367" s="6">
        <v>1772.7139978623236</v>
      </c>
      <c r="FL367" s="6">
        <v>907.07682140966347</v>
      </c>
      <c r="FM367" s="6">
        <v>1724.6420220628295</v>
      </c>
      <c r="FN367" s="6">
        <v>0</v>
      </c>
      <c r="FO367" s="6">
        <v>0</v>
      </c>
      <c r="FP367" s="6">
        <v>0</v>
      </c>
      <c r="FQ367" s="6">
        <v>0</v>
      </c>
      <c r="FR367" s="6">
        <v>0</v>
      </c>
      <c r="FS367" s="6">
        <v>0</v>
      </c>
      <c r="FT367" s="7">
        <v>0.80442702214972062</v>
      </c>
      <c r="FU367" s="7">
        <v>5.0086785292815093E-2</v>
      </c>
      <c r="FV367" s="7">
        <v>0.14548619255746431</v>
      </c>
      <c r="FW367" s="6">
        <v>1611</v>
      </c>
      <c r="FX367" s="6">
        <v>2335.6420220628297</v>
      </c>
      <c r="FY367" s="6">
        <v>2109</v>
      </c>
      <c r="FZ367" s="6">
        <v>1858.9243755539039</v>
      </c>
      <c r="GA367" s="6">
        <v>1719.7471132668295</v>
      </c>
      <c r="GB367" s="6">
        <v>18265.252886733171</v>
      </c>
      <c r="GC367" s="7">
        <v>2.9156573141622111E-2</v>
      </c>
      <c r="GD367" s="7">
        <v>2.9336668371884873E-2</v>
      </c>
      <c r="GE367" s="7"/>
      <c r="GF367" s="7"/>
      <c r="GG367" s="7">
        <v>6.1768311861612139E-3</v>
      </c>
      <c r="GH367" s="42">
        <v>-0.88695501856337544</v>
      </c>
      <c r="GI367" s="6">
        <v>-20812.398916382186</v>
      </c>
      <c r="GJ367" s="14">
        <v>0.50394797582841733</v>
      </c>
      <c r="GK367" s="14">
        <v>0.50887573065309755</v>
      </c>
      <c r="GL367" s="14">
        <v>0.49605202417158289</v>
      </c>
      <c r="GM367" s="14">
        <v>0.49112426934690262</v>
      </c>
      <c r="GO367" s="5">
        <v>343.14810671672558</v>
      </c>
      <c r="GP367" s="5">
        <v>312.41330006058649</v>
      </c>
      <c r="GQ367" s="5">
        <v>535.04305713031317</v>
      </c>
      <c r="GR367" s="5">
        <v>410.15490233172511</v>
      </c>
      <c r="GS367" s="5">
        <v>339.42744393800166</v>
      </c>
      <c r="GT367" s="5">
        <v>293.4407446948278</v>
      </c>
      <c r="GU367" s="5">
        <v>258.04012322764959</v>
      </c>
      <c r="GV367" s="39" t="s">
        <v>392</v>
      </c>
      <c r="GW367" s="5">
        <v>482.65277777777777</v>
      </c>
      <c r="GX367" s="5">
        <v>361.98958333333331</v>
      </c>
      <c r="GY367" s="5">
        <v>289.59166666666664</v>
      </c>
      <c r="GZ367" s="5">
        <v>255.53408606924114</v>
      </c>
      <c r="HA367" s="5">
        <v>236.70336205047303</v>
      </c>
      <c r="HB367" s="39">
        <v>268.38845563426707</v>
      </c>
      <c r="HC367" s="5">
        <v>195.015625</v>
      </c>
      <c r="HD367" s="5">
        <v>176.82830774853798</v>
      </c>
      <c r="HE367" s="5">
        <v>182.4921938259109</v>
      </c>
      <c r="HF367" s="5">
        <v>172.13813048245612</v>
      </c>
      <c r="HG367" s="5">
        <v>170.20888157894734</v>
      </c>
      <c r="HH367" s="39">
        <v>177.82228676198562</v>
      </c>
      <c r="HI367" s="16"/>
      <c r="HJ367" s="19" t="str">
        <f t="shared" ref="HJ367:HK374" si="1067">HJ366</f>
        <v>On</v>
      </c>
      <c r="HK367" s="1" t="str">
        <f t="shared" si="1067"/>
        <v>On</v>
      </c>
      <c r="HL367" s="16"/>
      <c r="HM367" s="639">
        <f t="shared" si="1023"/>
        <v>2.2758057894877178E-2</v>
      </c>
      <c r="HN367" s="639">
        <f t="shared" si="1024"/>
        <v>1.416759231746561E-3</v>
      </c>
      <c r="HO367" s="639">
        <f t="shared" si="1025"/>
        <v>4.5732401537654987E-3</v>
      </c>
      <c r="HP367" s="644">
        <f>(FT367*$GD367-HM367)/$JF367*INDEX(Input!$1:$1048576,$JG$93,$C367*2+6)</f>
        <v>47.1076326627553</v>
      </c>
      <c r="HQ367" s="644">
        <f>(FU367*$GD367-HN367)/$JF367*INDEX(Input!$1:$1048576,$JG$93,$C367*2+6)</f>
        <v>2.9469291117597241</v>
      </c>
      <c r="HR367" s="644">
        <f>(FV367*$GD367-HO367)/$JF367*INDEX(Input!$1:$1048576,$JG$93,$C367*2+6)</f>
        <v>-17.090113148818322</v>
      </c>
      <c r="HS367" s="644">
        <f t="shared" si="1014"/>
        <v>-18.654578819025236</v>
      </c>
      <c r="HT367" s="644">
        <f t="shared" si="1026"/>
        <v>20.869634605966091</v>
      </c>
      <c r="HU367" s="644">
        <f t="shared" si="1027"/>
        <v>3.6179155942470667</v>
      </c>
      <c r="HV367" s="648">
        <f t="shared" si="1028"/>
        <v>0</v>
      </c>
      <c r="HW367" s="648">
        <f t="shared" si="1029"/>
        <v>0</v>
      </c>
      <c r="HX367" s="648">
        <f t="shared" si="1030"/>
        <v>0</v>
      </c>
      <c r="HY367" s="644">
        <f>INDEX(Input!$1:$1048576,HY$93,$C367*2+6)*INDEX(Input!$1:$1048576,$JG$93,$C367*2+6)</f>
        <v>509.00000000000006</v>
      </c>
      <c r="HZ367" s="644">
        <f>INDEX(Input!$1:$1048576,HZ$93,$C367*2+6)*INDEX(Input!$1:$1048576,$JG$93,$C367*2+6)</f>
        <v>844</v>
      </c>
      <c r="IA367" s="644">
        <f>INDEX(Input!$1:$1048576,IA$93,$C367*2+6)*INDEX(Input!$1:$1048576,$JG$93,$C367*2+6)</f>
        <v>257</v>
      </c>
      <c r="IB367" s="644">
        <f t="shared" si="1051"/>
        <v>537.45305384373023</v>
      </c>
      <c r="IC367" s="644">
        <f t="shared" si="1052"/>
        <v>867.81656371772578</v>
      </c>
      <c r="ID367" s="644">
        <f>IF(AND(INDEX(Input!$1:$1048576,IA$93,$C367*2+7)="TOS",Y367&lt;=INDEX(Y:Y,MATCH(C367*1000+2,A:A))),0,1)*MAX(IA367+HR367+HU367+HX367,0%)</f>
        <v>243.52780244542876</v>
      </c>
      <c r="IE367" s="128">
        <f t="shared" si="1015"/>
        <v>0.32596669992453409</v>
      </c>
      <c r="IF367" s="128">
        <f t="shared" si="1016"/>
        <v>0.52633304321527996</v>
      </c>
      <c r="IG367" s="128">
        <f t="shared" si="1031"/>
        <v>0.14770025686018595</v>
      </c>
      <c r="IH367" s="21"/>
      <c r="II367" s="19">
        <f t="shared" si="1032"/>
        <v>1410.4999999999998</v>
      </c>
      <c r="IJ367" s="19">
        <f t="shared" si="1033"/>
        <v>2134.9731585778086</v>
      </c>
      <c r="IK367" s="19">
        <f t="shared" si="1034"/>
        <v>2103.5</v>
      </c>
      <c r="IL367" s="19">
        <f t="shared" si="1053"/>
        <v>200.50000000000023</v>
      </c>
      <c r="IM367" s="19">
        <f t="shared" si="1035"/>
        <v>200.66886348502112</v>
      </c>
      <c r="IN367" s="19">
        <f t="shared" si="1036"/>
        <v>5.5</v>
      </c>
      <c r="IO367" s="39">
        <f t="shared" si="1037"/>
        <v>0</v>
      </c>
      <c r="IP367" s="39">
        <f t="shared" si="1038"/>
        <v>0</v>
      </c>
      <c r="IQ367" s="39">
        <f t="shared" si="1039"/>
        <v>0</v>
      </c>
      <c r="IR367" s="39">
        <v>0</v>
      </c>
      <c r="IS367" s="39">
        <v>0</v>
      </c>
      <c r="IT367" s="39">
        <v>0</v>
      </c>
      <c r="IU367" s="39">
        <v>0</v>
      </c>
      <c r="IV367" s="39">
        <v>0</v>
      </c>
      <c r="IW367" s="39">
        <v>0</v>
      </c>
      <c r="IX367" s="39">
        <f>INDEX(Input!$1:$1048576,IX$93,$C367*2+6)+INDEX(Input!$1:$1048576,IX$94,$C367*2+6)</f>
        <v>1611</v>
      </c>
      <c r="IY367" s="39">
        <f>INDEX(Input!$1:$1048576,IY$93,$C367*2+6)+INDEX(Input!$1:$1048576,IY$94,$C367*2+6)</f>
        <v>2471.0624533823611</v>
      </c>
      <c r="IZ367" s="39">
        <f>INDEX(Input!$1:$1048576,IZ$93,$C367*2+6)+INDEX(Input!$1:$1048576,IZ$94,$C367*2+6)</f>
        <v>3994.7164157747857</v>
      </c>
      <c r="JA367" s="19">
        <f t="shared" si="1054"/>
        <v>1811.5000000000002</v>
      </c>
      <c r="JB367" s="19">
        <f t="shared" si="1055"/>
        <v>2671.7313168673822</v>
      </c>
      <c r="JC367" s="19">
        <f t="shared" si="1056"/>
        <v>4000.2164157747857</v>
      </c>
      <c r="JD367" s="19">
        <f t="shared" si="1057"/>
        <v>2587.5421436799388</v>
      </c>
      <c r="JE367" s="21"/>
      <c r="JF367" s="1">
        <f t="shared" si="1040"/>
        <v>2.8748057280389237E-2</v>
      </c>
      <c r="JG367" s="15">
        <f>INDEX(Input!$1:$1048576,JG$93,$C367*2+6)/(1+VLOOKUP(C367*1000+INDEX(Input!$1:$1048576,JG$93+1,$C367*2+6),$A:$KK,$JK$92,FALSE))</f>
        <v>1610</v>
      </c>
      <c r="JH367" s="1">
        <f t="shared" si="1058"/>
        <v>2.0474812810991741E-2</v>
      </c>
      <c r="JI367" s="1">
        <f t="shared" si="1059"/>
        <v>3.6229635907999514E-3</v>
      </c>
      <c r="JJ367" s="1">
        <f t="shared" si="1017"/>
        <v>0</v>
      </c>
      <c r="JK367" s="1">
        <f t="shared" si="1018"/>
        <v>2.4097776401791692E-2</v>
      </c>
      <c r="JL367" s="15">
        <f t="shared" si="1060"/>
        <v>38.797420006884622</v>
      </c>
      <c r="JM367" s="15">
        <f t="shared" si="948"/>
        <v>1648.7974200068845</v>
      </c>
      <c r="JN367" s="21"/>
      <c r="JO367" s="19">
        <f>INDEX(Input!$1:$1048576,JO$93,$C367*2+6)</f>
        <v>5995.5</v>
      </c>
      <c r="JP367" s="19">
        <f>INDEX(Input!$1:$1048576,JP$93,$C367*2+6)</f>
        <v>2442.3713226762939</v>
      </c>
      <c r="JQ367" s="39">
        <f t="shared" ref="JQ367:JQ383" si="1068">JO367-JD367</f>
        <v>3407.9578563200612</v>
      </c>
      <c r="JR367" s="39">
        <f t="shared" si="951"/>
        <v>145.17082100364496</v>
      </c>
      <c r="JS367" s="39">
        <f t="shared" ref="JS367:JS383" si="1069">JM367*JD367/1000000</f>
        <v>4.2663328106585663</v>
      </c>
      <c r="JT367" s="39">
        <f t="shared" si="1061"/>
        <v>0.33411498114973354</v>
      </c>
      <c r="JU367" s="385">
        <f>(JQ367*JM367-INDEX(Input!$1:$1048576,Input!A$18,$C367*2+6)*JL367*INDEX(Input!$1:$1048576,Input!A$19,$C367*2+6))/1000000</f>
        <v>5.6190321209927099</v>
      </c>
      <c r="JV367" s="39">
        <f t="shared" si="958"/>
        <v>-0.10150504949845729</v>
      </c>
      <c r="JW367" s="1">
        <f t="shared" si="949"/>
        <v>-1.7743971671412465E-2</v>
      </c>
      <c r="JX367" s="19">
        <f t="shared" si="940"/>
        <v>8611.7834920580972</v>
      </c>
      <c r="JZ367" s="341"/>
      <c r="KA367" s="342"/>
      <c r="KB367" s="469">
        <f t="shared" ref="KB367:KB383" si="1070">KB366</f>
        <v>2.5190675447988795</v>
      </c>
      <c r="KI367" s="473">
        <f t="shared" si="1019"/>
        <v>28.453053843730061</v>
      </c>
      <c r="KJ367" s="473">
        <f t="shared" si="1020"/>
        <v>23.816563717725671</v>
      </c>
      <c r="KK367" s="473">
        <f t="shared" si="1062"/>
        <v>-13.472197554571267</v>
      </c>
      <c r="KN367" s="544">
        <f t="shared" si="941"/>
        <v>3002</v>
      </c>
      <c r="KO367" s="541">
        <f t="shared" si="1041"/>
        <v>-6.2285435817733825E-3</v>
      </c>
      <c r="KP367" s="546">
        <f t="shared" si="1042"/>
        <v>-26.522749040989087</v>
      </c>
      <c r="KQ367" s="546">
        <f t="shared" si="1043"/>
        <v>-48.371281708759398</v>
      </c>
      <c r="KR367" s="548">
        <f t="shared" si="1044"/>
        <v>4.0742210268976029</v>
      </c>
      <c r="KS367" s="548">
        <f t="shared" si="1045"/>
        <v>2.2339606894137316</v>
      </c>
      <c r="KT367" s="473">
        <f t="shared" ref="KT367:KT383" si="1071">KT366</f>
        <v>1026.1618045255443</v>
      </c>
      <c r="KU367" s="663">
        <f t="shared" si="1063"/>
        <v>4.6864182265200238</v>
      </c>
    </row>
    <row r="368" spans="1:308" s="26" customFormat="1" ht="15" outlineLevel="1">
      <c r="A368" s="561">
        <f t="shared" si="1046"/>
        <v>3068</v>
      </c>
      <c r="B368" s="561">
        <f t="shared" si="1064"/>
        <v>68</v>
      </c>
      <c r="C368" s="561">
        <f t="shared" si="1065"/>
        <v>3</v>
      </c>
      <c r="D368" s="561" t="str">
        <f t="shared" si="974"/>
        <v xml:space="preserve">180 Lease, </v>
      </c>
      <c r="E368" s="475">
        <f>INDEX(Input!$1:$1048576,E$93,$C368*2+MIN($B368,2)+5)
+INDEX(Scenarios!E$121:E$200,MATCH($B368,Scenarios!$B$121:$B$200,0))</f>
        <v>1287.0236024844721</v>
      </c>
      <c r="F368" s="475">
        <f>INDEX(Input!$1:$1048576,F$93,$C368*2+MIN($B368,2)+5)
+INDEX(Scenarios!F$121:F$200,MATCH($B368,Scenarios!$B$121:$B$200,0))</f>
        <v>0</v>
      </c>
      <c r="G368" s="475">
        <f>INDEX(Input!$1:$1048576,G$93,$C368*2+MIN($B368,2)+5)
+INDEX(Scenarios!G$121:G$200,MATCH($B368,Scenarios!$B$121:$B$200,0))</f>
        <v>0</v>
      </c>
      <c r="H368" s="475">
        <f>INDEX(Input!$1:$1048576,H$93,$C368*2+MIN($B368,2)+5)
+INDEX(Scenarios!H$121:H$200,MATCH($B368,Scenarios!$B$121:$B$200,0))</f>
        <v>0</v>
      </c>
      <c r="I368" s="476">
        <f>INDEX(Input!$1:$1048576,I$93,$C368*2+MIN($B368,2)+5)</f>
        <v>0.7</v>
      </c>
      <c r="J368" s="476" t="str">
        <f>INDEX(Input!$1:$1048576,J$93,$C368*2+MIN($B368,2)+5)</f>
        <v>Market</v>
      </c>
      <c r="K368" s="476" t="str">
        <f>INDEX(Input!$1:$1048576,K$93,$C368*2+MIN($B368,2)+5)</f>
        <v>Market</v>
      </c>
      <c r="L368" s="476" t="str">
        <f>INDEX(Input!$1:$1048576,L$93,$C368*2+MIN($B368,2)+5)</f>
        <v>Market</v>
      </c>
      <c r="M368" s="476" t="str">
        <f>INDEX(Input!$1:$1048576,M$93,$C368*2+MIN($B368,2)+5)</f>
        <v>Market</v>
      </c>
      <c r="N368" s="476" t="str">
        <f>INDEX(Input!$1:$1048576,N$93,$C368*2+MIN($B368,2)+5)</f>
        <v>Market</v>
      </c>
      <c r="O368" s="476" t="str">
        <f>INDEX(Input!$1:$1048576,O$93,$C368*2+MIN($B368,2)+5)</f>
        <v>Market</v>
      </c>
      <c r="P368" s="476" t="str">
        <f>INDEX(Input!$1:$1048576,P$93,$C368*2+MIN($B368,2)+5)</f>
        <v>N</v>
      </c>
      <c r="Q368" s="477">
        <f>INDEX(Input!$1:$1048576,Q$93,$C368*2+MIN($B368,2)+5)
+INDEX(Scenarios!Q$121:Q$200,MATCH($B368,Scenarios!$B$121:$B$200,0))</f>
        <v>0</v>
      </c>
      <c r="R368" s="478">
        <f>IFERROR(MAX(0,INDEX(Input!$1:$1048576,R$93,$C368*2+MIN($B368,2)+5)
+INDEX(Scenarios!R$121:R$200,MATCH($B368,Scenarios!$B$121:$B$200,0)),),"Market")</f>
        <v>0</v>
      </c>
      <c r="S368" s="478">
        <f>IFERROR(MAX(0,INDEX(Input!$1:$1048576,S$93,$C368*2+MIN($B368,2)+5)
+INDEX(Scenarios!S$121:S$200,MATCH($B368,Scenarios!$B$121:$B$200,0)),),"Market")</f>
        <v>0</v>
      </c>
      <c r="T368" s="478">
        <f>IFERROR(MAX(0,INDEX(Input!$1:$1048576,T$93,$C368*2+MIN($B368,2)+5)
+INDEX(Scenarios!T$121:T$200,MATCH($B368,Scenarios!$B$121:$B$200,0)),),"Market")</f>
        <v>0</v>
      </c>
      <c r="U368" s="478">
        <f>IFERROR(MAX(0,INDEX(Input!$1:$1048576,U$93,$C368*2+MIN($B368,2)+5)
+INDEX(Scenarios!U$121:U$200,MATCH($B368,Scenarios!$B$121:$B$200,0)),),"Market")</f>
        <v>0</v>
      </c>
      <c r="V368" s="478">
        <f>IFERROR(MAX(0,INDEX(Input!$1:$1048576,V$93,$C368*2+MIN($B368,2)+5)
+INDEX(Scenarios!V$121:V$200,MATCH($B368,Scenarios!$B$121:$B$200,0)),),"Market")</f>
        <v>1.9E-2</v>
      </c>
      <c r="W368" s="885">
        <f>IFERROR(MAX(0,INDEX(Input!$1:$1048576,W$93,$C368*2+MIN($B368,2)+5)-0%,),"Market")</f>
        <v>3.9E-2</v>
      </c>
      <c r="X368" s="476" t="str">
        <f>INDEX(Input!$1:$1048576,X$93,$C368*2+MIN($B368,2)+5)</f>
        <v>Y</v>
      </c>
      <c r="Y368" s="475">
        <f>INDEX(Input!$1:$1048576,Y$93,$C368*2+MIN($B368,2)+5)
++INDEX(Scenarios!Y$121:Y$200,MATCH($B368,Scenarios!$B$121:$B$200,0))</f>
        <v>1734.9999999999991</v>
      </c>
      <c r="Z368" s="477">
        <f>INDEX(Input!$1:$1048576,Z$93,$C368*2+MIN($B368,2)+5)
+INDEX(Scenarios!Z$121:Z$200,MATCH($B368,Scenarios!$B$121:$B$200,0))</f>
        <v>0</v>
      </c>
      <c r="AA368" s="475">
        <f>INDEX(Input!$1:$1048576,AA$93,$C368*2+MIN($B368,2)+5)
+INDEX(Scenarios!AA$121:AA$200,MATCH($B368,Scenarios!$B$121:$B$200,0))</f>
        <v>0</v>
      </c>
      <c r="AB368" s="476">
        <f>INDEX(Input!$1:$1048576,AB$93,$C368*2+MIN($B368,2)+5)</f>
        <v>0.27</v>
      </c>
      <c r="AC368" s="475">
        <f>INDEX(Input!$1:$1048576,AC$93,$C368*2+MIN($B368,2)+5)
+INDEX(Scenarios!AC$121:AC$200,MATCH($B368,Scenarios!$B$121:$B$200,0))</f>
        <v>0</v>
      </c>
      <c r="AD368" s="476">
        <f>INDEX(Input!$1:$1048576,AD$93,$C368*2+MIN($B368,2)+5)</f>
        <v>0.27</v>
      </c>
      <c r="AE368" s="475">
        <f>INDEX(Input!$1:$1048576,AE$93,$C368*2+MIN($B368,2)+5)
+INDEX(Scenarios!AE$121:AE$200,MATCH($B368,Scenarios!$B$121:$B$200,0))</f>
        <v>0</v>
      </c>
      <c r="AF368" s="476">
        <f>INDEX(Input!$1:$1048576,AF$93,$C368*2+MIN($B368,2)+5)</f>
        <v>0.68200000000000005</v>
      </c>
      <c r="AG368" s="475">
        <f>INDEX(Input!$1:$1048576,AG$93,$C368*2+MIN($B368,2)+5)
+INDEX(Scenarios!AG$121:AG$200,MATCH($B368,Scenarios!$B$121:$B$200,0))</f>
        <v>500</v>
      </c>
      <c r="AH368" s="476">
        <f>INDEX(Input!$1:$1048576,AH$93,$C368*2+MIN($B368,2)+5)</f>
        <v>1</v>
      </c>
      <c r="AI368" s="475">
        <f>INDEX(Input!$1:$1048576,AI$93,$C368*2+MIN($B368,2)+5)
+INDEX(Scenarios!AI$121:AI$200,MATCH($B368,Scenarios!$B$121:$B$200,0))</f>
        <v>0</v>
      </c>
      <c r="AJ368" s="476">
        <f>INDEX(Input!$1:$1048576,AJ$93,$C368*2+MIN($B368,2)+5)</f>
        <v>0.27</v>
      </c>
      <c r="AK368" s="150">
        <f>ROUND(INDEX(Input!$1:$1048576,AK$93,$C367*2+MIN($B368,1)+5)+(Y368-VLOOKUP($C368*1000+1,$A:$HH,Y$92,FALSE)),0)</f>
        <v>3157</v>
      </c>
      <c r="AL368" s="150">
        <f>ROUND(INDEX(Input!$1:$1048576,AL$93,$C367*2+MIN($B368,1)+5)-(Y368-VLOOKUP($C368*1000+1,$A:$HH,Y$92,FALSE))/36,0)</f>
        <v>3390</v>
      </c>
      <c r="AM368" s="32" t="str">
        <f t="shared" si="1047"/>
        <v>std/std/std/std</v>
      </c>
      <c r="AN368" s="32" t="str">
        <f t="shared" si="1048"/>
        <v>$0 + 0/0/0/1.9/3.9</v>
      </c>
      <c r="AO368" s="32" t="str">
        <f t="shared" si="1049"/>
        <v>0/0/0/1.9/3.9</v>
      </c>
      <c r="AP368" s="32" t="str">
        <f t="shared" si="993"/>
        <v>0/0.9/1.9/3.9</v>
      </c>
      <c r="AQ368" s="536">
        <f t="shared" si="992"/>
        <v>0.30001993199387467</v>
      </c>
      <c r="AR368" s="32"/>
      <c r="AS368" s="302"/>
      <c r="AT368" s="3">
        <f t="shared" si="1066"/>
        <v>68</v>
      </c>
      <c r="AU368" s="41" t="s">
        <v>121</v>
      </c>
      <c r="AV368" s="41" t="s">
        <v>116</v>
      </c>
      <c r="AW368" s="41" t="str">
        <f>INDEX(Input!$1:$1048576,AW$93,$C368*2+6)</f>
        <v>Kia</v>
      </c>
      <c r="AX368" s="41" t="str">
        <f>INDEX(Input!$1:$1048576,AX$93,$C368*2+6)</f>
        <v>Kia-LR - L3</v>
      </c>
      <c r="AY368" s="41" t="str">
        <f>IF(LEN(D368)=0,"",INDEX(Input!$1:$1048576,AY$93,$C368*2+6))</f>
        <v>Compact SUV (52)</v>
      </c>
      <c r="AZ368" s="41" t="str">
        <f>INDEX(Input!$1:$1048576,AZ$93,$C368*2+6)</f>
        <v>Kia Soul</v>
      </c>
      <c r="BA368" s="3">
        <f>INDEX(Input!$1:$1048576,BA$93,$C368*2+6)</f>
        <v>2020</v>
      </c>
      <c r="BB368" s="128">
        <f>INDEX(Input!$1:$1048576,BB$93,$C368*2+6)</f>
        <v>1</v>
      </c>
      <c r="BC368" s="128">
        <f>INDEX(Input!$1:$1048576,BC$93,$C368*2+6)</f>
        <v>0.7</v>
      </c>
      <c r="BD368" s="1">
        <f>INDEX(Input!$1:$1048576,BD$93,$C368*2+6)</f>
        <v>4.4999999999999998E-2</v>
      </c>
      <c r="BE368" s="1">
        <f>INDEX(Input!$1:$1048576,BE$93,$C368*2+6)</f>
        <v>4.4999999999999998E-2</v>
      </c>
      <c r="BF368" s="1">
        <f>INDEX(Input!$1:$1048576,BF$93,$C368*2+6)</f>
        <v>0.05</v>
      </c>
      <c r="BG368" s="1">
        <f>INDEX(Input!$1:$1048576,BG$93,$C368*2+6)</f>
        <v>5.45E-2</v>
      </c>
      <c r="BH368" s="1">
        <f>INDEX(Input!$1:$1048576,BH$93,$C368*2+6)</f>
        <v>5.45E-2</v>
      </c>
      <c r="BI368" s="1">
        <f>INDEX(Input!$1:$1048576,BI$93,$C368*2+6)</f>
        <v>0.05</v>
      </c>
      <c r="BJ368" s="1">
        <f>INDEX(Input!$1:$1048576,BJ$93,$C368*2+6)</f>
        <v>0.05</v>
      </c>
      <c r="BK368" s="1">
        <f>INDEX(Input!$1:$1048576,BK$93,$C368*2+6)</f>
        <v>0.05</v>
      </c>
      <c r="BL368" s="1">
        <f>INDEX(Input!$1:$1048576,BL$93,$C368*2+6)</f>
        <v>5.5E-2</v>
      </c>
      <c r="BM368" s="1">
        <f>INDEX(Input!$1:$1048576,BM$93,$C368*2+6)</f>
        <v>0.06</v>
      </c>
      <c r="BN368" s="1">
        <f>INDEX(Input!$1:$1048576,BN$93,$C368*2+6)</f>
        <v>4.4999999999999998E-2</v>
      </c>
      <c r="BO368" s="1">
        <f>INDEX(Input!$1:$1048576,BO$93,$C368*2+6)</f>
        <v>4.4999999999999998E-2</v>
      </c>
      <c r="BP368" s="1">
        <f>INDEX(Input!$1:$1048576,BP$93,$C368*2+6)</f>
        <v>0.05</v>
      </c>
      <c r="BQ368" s="1">
        <f>INDEX(Input!$1:$1048576,BQ$93,$C368*2+6)</f>
        <v>5.45E-2</v>
      </c>
      <c r="BR368" s="1">
        <f>INDEX(Input!$1:$1048576,BR$93,$C368*2+6)</f>
        <v>5.45E-2</v>
      </c>
      <c r="BS368" s="1">
        <f>INDEX(Input!$1:$1048576,BS$93,$C368*2+6)</f>
        <v>0.05</v>
      </c>
      <c r="BT368" s="1">
        <f>INDEX(Input!$1:$1048576,BT$93,$C368*2+6)</f>
        <v>0.05</v>
      </c>
      <c r="BU368" s="1">
        <f>INDEX(Input!$1:$1048576,BU$93,$C368*2+6)</f>
        <v>0.05</v>
      </c>
      <c r="BV368" s="1">
        <f>INDEX(Input!$1:$1048576,BV$93,$C368*2+6)</f>
        <v>5.5E-2</v>
      </c>
      <c r="BW368" s="1">
        <f>INDEX(Input!$1:$1048576,BW$93,$C368*2+6)</f>
        <v>0.06</v>
      </c>
      <c r="BX368" s="127">
        <f>INDEX(Input!$1:$1048576,BX$93,$C368*2+6)</f>
        <v>19985</v>
      </c>
      <c r="BY368" s="20">
        <f>INDEX(Input!$1:$1048576,BY$93,$C368*2+6)</f>
        <v>0.1</v>
      </c>
      <c r="BZ368" s="20">
        <f>INDEX(Input!$1:$1048576,BZ$93,$C368*2+6)</f>
        <v>0.1</v>
      </c>
      <c r="CA368" s="20">
        <f>INDEX(Input!$1:$1048576,CA$93,$C368*2+6)</f>
        <v>0.1</v>
      </c>
      <c r="CB368" s="20">
        <f>INDEX(Input!$1:$1048576,CB$93,$C368*2+6)</f>
        <v>0.1</v>
      </c>
      <c r="CC368" s="20">
        <f>INDEX(Input!$1:$1048576,CC$93,$C368*2+6)</f>
        <v>0.1</v>
      </c>
      <c r="CD368" s="384">
        <f>INDEX(Input!$1:$1048576,CD$93,$C368*2+6)</f>
        <v>0.1</v>
      </c>
      <c r="CE368" s="384">
        <f>INDEX(Input!$1:$1048576,CE$93,$C368*2+6)</f>
        <v>0.1</v>
      </c>
      <c r="CF368" s="384">
        <f>INDEX(Input!$1:$1048576,CF$93,$C368*2+6)</f>
        <v>0.1</v>
      </c>
      <c r="CG368" s="384">
        <f>INDEX(Input!$1:$1048576,CG$93,$C368*2+6)</f>
        <v>0.1</v>
      </c>
      <c r="CH368" s="384">
        <f>INDEX(Input!$1:$1048576,CH$93,$C368*2+6)</f>
        <v>0.1</v>
      </c>
      <c r="CI368" s="304">
        <f t="shared" si="994"/>
        <v>1287.0236024844721</v>
      </c>
      <c r="CJ368" s="16" t="str">
        <f>INDEX(Input!$1:$1048576,CJ$93,$C368*2+6)</f>
        <v>N</v>
      </c>
      <c r="CK368" s="1" t="str">
        <f t="shared" si="995"/>
        <v>Market</v>
      </c>
      <c r="CL368" s="1" t="str">
        <f t="shared" si="996"/>
        <v>Market</v>
      </c>
      <c r="CM368" s="1" t="str">
        <f t="shared" si="997"/>
        <v>Market</v>
      </c>
      <c r="CN368" s="1" t="str">
        <f t="shared" si="998"/>
        <v>Market</v>
      </c>
      <c r="CO368" s="1" t="str">
        <f t="shared" si="999"/>
        <v>Market</v>
      </c>
      <c r="CP368" s="304">
        <f t="shared" si="1000"/>
        <v>500</v>
      </c>
      <c r="CQ368" s="1">
        <f t="shared" si="1001"/>
        <v>0</v>
      </c>
      <c r="CR368" s="1">
        <f t="shared" si="1002"/>
        <v>0</v>
      </c>
      <c r="CS368" s="1">
        <f t="shared" si="1003"/>
        <v>0</v>
      </c>
      <c r="CT368" s="1">
        <f t="shared" si="1004"/>
        <v>1.9E-2</v>
      </c>
      <c r="CU368" s="1">
        <f t="shared" si="1005"/>
        <v>3.9E-2</v>
      </c>
      <c r="CV368" s="304">
        <f t="shared" si="1006"/>
        <v>1734.9999999999991</v>
      </c>
      <c r="CW368" s="20" t="s">
        <v>122</v>
      </c>
      <c r="CX368" s="20" t="s">
        <v>122</v>
      </c>
      <c r="CY368" s="20" t="s">
        <v>122</v>
      </c>
      <c r="CZ368" s="20" t="s">
        <v>122</v>
      </c>
      <c r="DA368" s="20" t="s">
        <v>122</v>
      </c>
      <c r="DB368" s="503">
        <f t="shared" si="1007"/>
        <v>0</v>
      </c>
      <c r="DC368" s="127">
        <v>0</v>
      </c>
      <c r="DD368" s="127">
        <v>0</v>
      </c>
      <c r="DE368" s="127">
        <v>0</v>
      </c>
      <c r="DF368" s="127">
        <v>0</v>
      </c>
      <c r="DG368" s="127">
        <v>0</v>
      </c>
      <c r="DH368" s="127">
        <v>0</v>
      </c>
      <c r="DI368" s="127">
        <v>0</v>
      </c>
      <c r="DJ368" s="127">
        <v>0</v>
      </c>
      <c r="DK368" s="127">
        <v>0</v>
      </c>
      <c r="DL368" s="127">
        <v>0</v>
      </c>
      <c r="DM368" s="304">
        <f>INDEX(Input!$1:$1048576,DM$93,$C368*2+6)</f>
        <v>21036.84210526316</v>
      </c>
      <c r="DN368" s="20">
        <v>0</v>
      </c>
      <c r="DO368" s="20">
        <v>0</v>
      </c>
      <c r="DP368" s="20">
        <v>0</v>
      </c>
      <c r="DQ368" s="20">
        <v>0</v>
      </c>
      <c r="DR368" s="20">
        <v>0</v>
      </c>
      <c r="DS368" s="20">
        <f>INDEX(Input!$1:$1048576,DS$93,$C368*2+6)</f>
        <v>0.6</v>
      </c>
      <c r="DT368" s="20">
        <f>INDEX(Input!$1:$1048576,DT$93,$C368*2+6)</f>
        <v>0.55000000000000004</v>
      </c>
      <c r="DU368" s="20">
        <f>INDEX(Input!$1:$1048576,DU$93,$C368*2+6)</f>
        <v>0.52</v>
      </c>
      <c r="DV368" s="20">
        <f>INDEX(Input!$1:$1048576,DV$93,$C368*2+6)</f>
        <v>0.5</v>
      </c>
      <c r="DW368" s="20">
        <f>INDEX(Input!$1:$1048576,DW$93,$C368*2+6)</f>
        <v>0.45</v>
      </c>
      <c r="DX368" s="20"/>
      <c r="DY368" s="7">
        <v>9.8235727523532726E-2</v>
      </c>
      <c r="DZ368" s="7">
        <v>0</v>
      </c>
      <c r="EA368" s="7">
        <v>0.67775885498921651</v>
      </c>
      <c r="EB368" s="7">
        <v>0</v>
      </c>
      <c r="EC368" s="7">
        <v>0</v>
      </c>
      <c r="ED368" s="7">
        <v>0</v>
      </c>
      <c r="EE368" s="7">
        <v>0</v>
      </c>
      <c r="EF368" s="7">
        <v>0</v>
      </c>
      <c r="EG368" s="7">
        <v>0</v>
      </c>
      <c r="EH368" s="7">
        <v>1.1999675451084406E-2</v>
      </c>
      <c r="EI368" s="7">
        <v>3.3593166065017166E-2</v>
      </c>
      <c r="EJ368" s="7">
        <v>0.27013609181177556</v>
      </c>
      <c r="EK368" s="7">
        <v>0.5427451508618103</v>
      </c>
      <c r="EL368" s="7">
        <v>0.14152591581031265</v>
      </c>
      <c r="EM368" s="7">
        <v>4.8120102742522028E-2</v>
      </c>
      <c r="EN368" s="7">
        <v>6.3671999140684013E-2</v>
      </c>
      <c r="EO368" s="7">
        <v>0.78591235484816591</v>
      </c>
      <c r="EP368" s="7">
        <v>6.1860825431612546E-2</v>
      </c>
      <c r="EQ368" s="7">
        <v>5.7756905509993003E-2</v>
      </c>
      <c r="ER368" s="7">
        <v>3.0797915069544646E-2</v>
      </c>
      <c r="ES368" s="7">
        <v>0.17588531474472874</v>
      </c>
      <c r="ET368" s="7">
        <v>0.22400541748725075</v>
      </c>
      <c r="EU368" s="6">
        <v>1611</v>
      </c>
      <c r="EV368" s="6">
        <v>0</v>
      </c>
      <c r="EW368" s="6">
        <v>1611</v>
      </c>
      <c r="EX368" s="6">
        <v>0</v>
      </c>
      <c r="EY368" s="6">
        <v>2335.386420542015</v>
      </c>
      <c r="EZ368" s="6">
        <v>2469</v>
      </c>
      <c r="FA368" s="6">
        <v>0</v>
      </c>
      <c r="FB368" s="6">
        <v>0</v>
      </c>
      <c r="FC368" s="6">
        <v>0</v>
      </c>
      <c r="FD368" s="6">
        <v>0</v>
      </c>
      <c r="FE368" s="6">
        <v>0</v>
      </c>
      <c r="FF368" s="6">
        <v>0</v>
      </c>
      <c r="FG368" s="6">
        <v>0</v>
      </c>
      <c r="FH368" s="6">
        <v>1171.9975887556634</v>
      </c>
      <c r="FI368" s="6">
        <v>1553.9796069512399</v>
      </c>
      <c r="FJ368" s="6">
        <v>2101.2110117447405</v>
      </c>
      <c r="FK368" s="6">
        <v>1772.7139978623229</v>
      </c>
      <c r="FL368" s="6">
        <v>907.07682140966324</v>
      </c>
      <c r="FM368" s="6">
        <v>1724.386420542015</v>
      </c>
      <c r="FN368" s="6">
        <v>0</v>
      </c>
      <c r="FO368" s="6">
        <v>0</v>
      </c>
      <c r="FP368" s="6">
        <v>0</v>
      </c>
      <c r="FQ368" s="6">
        <v>0</v>
      </c>
      <c r="FR368" s="6">
        <v>0</v>
      </c>
      <c r="FS368" s="6">
        <v>0</v>
      </c>
      <c r="FT368" s="7">
        <v>0.77599458251274922</v>
      </c>
      <c r="FU368" s="7">
        <v>4.8120102742522028E-2</v>
      </c>
      <c r="FV368" s="7">
        <v>0.17588531474472874</v>
      </c>
      <c r="FW368" s="6">
        <v>1611</v>
      </c>
      <c r="FX368" s="6">
        <v>2335.386420542015</v>
      </c>
      <c r="FY368" s="6">
        <v>2469</v>
      </c>
      <c r="FZ368" s="6">
        <v>1858.9243755539039</v>
      </c>
      <c r="GA368" s="6">
        <v>1796.7671490327468</v>
      </c>
      <c r="GB368" s="6">
        <v>18188.232850967252</v>
      </c>
      <c r="GC368" s="7">
        <v>2.9156573141622111E-2</v>
      </c>
      <c r="GD368" s="7">
        <v>2.9575505042239939E-2</v>
      </c>
      <c r="GE368" s="7"/>
      <c r="GF368" s="7"/>
      <c r="GG368" s="7">
        <v>1.4368351814973295E-2</v>
      </c>
      <c r="GH368" s="42">
        <v>-4.6197606793877872</v>
      </c>
      <c r="GI368" s="6">
        <v>-2529.2145168938164</v>
      </c>
      <c r="GJ368" s="14">
        <v>0.50394797582841733</v>
      </c>
      <c r="GK368" s="14">
        <v>0.50887573065309732</v>
      </c>
      <c r="GL368" s="14">
        <v>0.49605202417158284</v>
      </c>
      <c r="GM368" s="14">
        <v>0.4911242693469024</v>
      </c>
      <c r="GO368" s="5">
        <v>343.14810671672558</v>
      </c>
      <c r="GP368" s="5">
        <v>312.41330006058649</v>
      </c>
      <c r="GQ368" s="5">
        <v>535.04305713031317</v>
      </c>
      <c r="GR368" s="5">
        <v>410.15490233172511</v>
      </c>
      <c r="GS368" s="5">
        <v>339.42744393800166</v>
      </c>
      <c r="GT368" s="5">
        <v>293.4407446948278</v>
      </c>
      <c r="GU368" s="5">
        <v>258.04012322764959</v>
      </c>
      <c r="GV368" s="39" t="s">
        <v>392</v>
      </c>
      <c r="GW368" s="5">
        <v>482.65277777777777</v>
      </c>
      <c r="GX368" s="5">
        <v>361.98958333333331</v>
      </c>
      <c r="GY368" s="5">
        <v>289.59166666666664</v>
      </c>
      <c r="GZ368" s="5">
        <v>255.53408606924114</v>
      </c>
      <c r="HA368" s="5">
        <v>236.70336205047303</v>
      </c>
      <c r="HB368" s="39">
        <v>268.37076011377081</v>
      </c>
      <c r="HC368" s="5">
        <v>179.265625</v>
      </c>
      <c r="HD368" s="5">
        <v>166.07830774853798</v>
      </c>
      <c r="HE368" s="5">
        <v>172.51142459514165</v>
      </c>
      <c r="HF368" s="5">
        <v>163.81313048245613</v>
      </c>
      <c r="HG368" s="5">
        <v>163.30888157894736</v>
      </c>
      <c r="HH368" s="39">
        <v>167.09980633818702</v>
      </c>
      <c r="HI368" s="16"/>
      <c r="HJ368" s="19" t="str">
        <f t="shared" ref="HJ368" si="1072">HJ367</f>
        <v>On</v>
      </c>
      <c r="HK368" s="1" t="str">
        <f t="shared" si="1067"/>
        <v>On</v>
      </c>
      <c r="HL368" s="16"/>
      <c r="HM368" s="639">
        <f t="shared" si="1023"/>
        <v>2.2758057894877178E-2</v>
      </c>
      <c r="HN368" s="639">
        <f t="shared" si="1024"/>
        <v>1.416759231746561E-3</v>
      </c>
      <c r="HO368" s="639">
        <f t="shared" si="1025"/>
        <v>4.5732401537654987E-3</v>
      </c>
      <c r="HP368" s="644">
        <f>(FT368*$GD368-HM368)/$JF368*INDEX(Input!$1:$1048576,$JG$93,$C368*2+6)</f>
        <v>10.77366041385684</v>
      </c>
      <c r="HQ368" s="644">
        <f>(FU368*$GD368-HN368)/$JF368*INDEX(Input!$1:$1048576,$JG$93,$C368*2+6)</f>
        <v>0.3593824191846462</v>
      </c>
      <c r="HR368" s="644">
        <f>(FV368*$GD368-HO368)/$JF368*INDEX(Input!$1:$1048576,$JG$93,$C368*2+6)</f>
        <v>35.207163170666377</v>
      </c>
      <c r="HS368" s="644">
        <f t="shared" si="1014"/>
        <v>-18.654281674556792</v>
      </c>
      <c r="HT368" s="644">
        <f t="shared" si="1026"/>
        <v>20.838899280072113</v>
      </c>
      <c r="HU368" s="644">
        <f t="shared" si="1027"/>
        <v>11.762131690570369</v>
      </c>
      <c r="HV368" s="648">
        <f t="shared" si="1028"/>
        <v>0</v>
      </c>
      <c r="HW368" s="648">
        <f t="shared" si="1029"/>
        <v>0</v>
      </c>
      <c r="HX368" s="648">
        <f t="shared" si="1030"/>
        <v>0</v>
      </c>
      <c r="HY368" s="644">
        <f>INDEX(Input!$1:$1048576,HY$93,$C368*2+6)*INDEX(Input!$1:$1048576,$JG$93,$C368*2+6)</f>
        <v>509.00000000000006</v>
      </c>
      <c r="HZ368" s="644">
        <f>INDEX(Input!$1:$1048576,HZ$93,$C368*2+6)*INDEX(Input!$1:$1048576,$JG$93,$C368*2+6)</f>
        <v>844</v>
      </c>
      <c r="IA368" s="644">
        <f>INDEX(Input!$1:$1048576,IA$93,$C368*2+6)*INDEX(Input!$1:$1048576,$JG$93,$C368*2+6)</f>
        <v>257</v>
      </c>
      <c r="IB368" s="644">
        <f t="shared" si="1051"/>
        <v>501.11937873930009</v>
      </c>
      <c r="IC368" s="644">
        <f t="shared" si="1052"/>
        <v>865.19828169925677</v>
      </c>
      <c r="ID368" s="644">
        <f>IF(AND(INDEX(Input!$1:$1048576,IA$93,$C368*2+7)="TOS",Y368&lt;=INDEX(Y:Y,MATCH(C368*1000+2,A:A))),0,1)*MAX(IA368+HR368+HU368+HX368,0%)</f>
        <v>303.96929486123673</v>
      </c>
      <c r="IE368" s="128">
        <f t="shared" si="1015"/>
        <v>0.30001993199387467</v>
      </c>
      <c r="IF368" s="128">
        <f t="shared" si="1016"/>
        <v>0.51799379678683144</v>
      </c>
      <c r="IG368" s="128">
        <f t="shared" si="1031"/>
        <v>0.18198627121929381</v>
      </c>
      <c r="IH368" s="21"/>
      <c r="II368" s="19">
        <f t="shared" si="1032"/>
        <v>1410.4999999999998</v>
      </c>
      <c r="IJ368" s="19">
        <f t="shared" si="1033"/>
        <v>2134.9731585778086</v>
      </c>
      <c r="IK368" s="19">
        <f t="shared" si="1034"/>
        <v>2103.5</v>
      </c>
      <c r="IL368" s="19">
        <f t="shared" si="1053"/>
        <v>200.50000000000023</v>
      </c>
      <c r="IM368" s="19">
        <f t="shared" si="1035"/>
        <v>200.41326196420641</v>
      </c>
      <c r="IN368" s="19">
        <f t="shared" si="1036"/>
        <v>365.5</v>
      </c>
      <c r="IO368" s="39">
        <f t="shared" si="1037"/>
        <v>0</v>
      </c>
      <c r="IP368" s="39">
        <f t="shared" si="1038"/>
        <v>0</v>
      </c>
      <c r="IQ368" s="39">
        <f t="shared" si="1039"/>
        <v>0</v>
      </c>
      <c r="IR368" s="39">
        <v>0</v>
      </c>
      <c r="IS368" s="39">
        <v>0</v>
      </c>
      <c r="IT368" s="39">
        <v>0</v>
      </c>
      <c r="IU368" s="39">
        <v>0</v>
      </c>
      <c r="IV368" s="39">
        <v>0</v>
      </c>
      <c r="IW368" s="39">
        <v>0</v>
      </c>
      <c r="IX368" s="39">
        <f>INDEX(Input!$1:$1048576,IX$93,$C368*2+6)+INDEX(Input!$1:$1048576,IX$94,$C368*2+6)</f>
        <v>1611</v>
      </c>
      <c r="IY368" s="39">
        <f>INDEX(Input!$1:$1048576,IY$93,$C368*2+6)+INDEX(Input!$1:$1048576,IY$94,$C368*2+6)</f>
        <v>2471.0624533823611</v>
      </c>
      <c r="IZ368" s="39">
        <f>INDEX(Input!$1:$1048576,IZ$93,$C368*2+6)+INDEX(Input!$1:$1048576,IZ$94,$C368*2+6)</f>
        <v>3994.7164157747857</v>
      </c>
      <c r="JA368" s="19">
        <f t="shared" si="1054"/>
        <v>1811.5000000000002</v>
      </c>
      <c r="JB368" s="19">
        <f t="shared" si="1055"/>
        <v>2671.4757153465675</v>
      </c>
      <c r="JC368" s="19">
        <f t="shared" si="1056"/>
        <v>4360.2164157747857</v>
      </c>
      <c r="JD368" s="19">
        <f t="shared" si="1057"/>
        <v>2720.7934828390962</v>
      </c>
      <c r="JE368" s="21"/>
      <c r="JF368" s="1">
        <f t="shared" si="1040"/>
        <v>2.8748057280389237E-2</v>
      </c>
      <c r="JG368" s="15">
        <f>INDEX(Input!$1:$1048576,JG$93,$C368*2+6)/(1+VLOOKUP(C368*1000+INDEX(Input!$1:$1048576,JG$93+1,$C368*2+6),$A:$KK,$JK$92,FALSE))</f>
        <v>1610</v>
      </c>
      <c r="JH368" s="1">
        <f t="shared" si="1058"/>
        <v>2.8782736648265753E-2</v>
      </c>
      <c r="JI368" s="1">
        <f t="shared" si="1059"/>
        <v>8.6625772025376961E-3</v>
      </c>
      <c r="JJ368" s="1">
        <f t="shared" si="1017"/>
        <v>0</v>
      </c>
      <c r="JK368" s="1">
        <f t="shared" si="1018"/>
        <v>3.7445313850803449E-2</v>
      </c>
      <c r="JL368" s="15">
        <f t="shared" si="1060"/>
        <v>60.286955299793554</v>
      </c>
      <c r="JM368" s="15">
        <f t="shared" si="948"/>
        <v>1670.2869552997936</v>
      </c>
      <c r="JN368" s="21"/>
      <c r="JO368" s="19">
        <f>INDEX(Input!$1:$1048576,JO$93,$C368*2+6)</f>
        <v>5995.5</v>
      </c>
      <c r="JP368" s="19">
        <f>INDEX(Input!$1:$1048576,JP$93,$C368*2+6)</f>
        <v>2442.3713226762939</v>
      </c>
      <c r="JQ368" s="39">
        <f t="shared" si="1068"/>
        <v>3274.7065171609038</v>
      </c>
      <c r="JR368" s="39">
        <f t="shared" si="951"/>
        <v>278.42216016280236</v>
      </c>
      <c r="JS368" s="39">
        <f t="shared" si="1069"/>
        <v>4.5445058624508352</v>
      </c>
      <c r="JT368" s="39">
        <f t="shared" si="1061"/>
        <v>0.61228803294200218</v>
      </c>
      <c r="JU368" s="385">
        <f>(JQ368*JM368-INDEX(Input!$1:$1048576,Input!A$18,$C368*2+6)*JL368*INDEX(Input!$1:$1048576,Input!A$19,$C368*2+6))/1000000</f>
        <v>5.4696995780490774</v>
      </c>
      <c r="JV368" s="39">
        <f t="shared" si="958"/>
        <v>-0.25083759244208981</v>
      </c>
      <c r="JW368" s="1">
        <f t="shared" si="949"/>
        <v>-4.3848608088067509E-2</v>
      </c>
      <c r="JX368" s="19">
        <f t="shared" ref="JX368:JX383" si="1073">IF(JL368=0,0,JT368/JL368)*1000000</f>
        <v>10156.227493945093</v>
      </c>
      <c r="JZ368" s="341"/>
      <c r="KA368" s="342"/>
      <c r="KB368" s="469">
        <f t="shared" si="1070"/>
        <v>2.5190675447988795</v>
      </c>
      <c r="KI368" s="473">
        <f t="shared" si="1019"/>
        <v>-7.8806212607000248</v>
      </c>
      <c r="KJ368" s="473">
        <f t="shared" si="1020"/>
        <v>21.198281699256654</v>
      </c>
      <c r="KK368" s="473">
        <f t="shared" si="1062"/>
        <v>46.969294861236733</v>
      </c>
      <c r="KN368" s="544">
        <f t="shared" ref="KN368:KN383" si="1074">KM368+(KN367-KM367)</f>
        <v>3002</v>
      </c>
      <c r="KO368" s="541">
        <f t="shared" si="1041"/>
        <v>6.7237369874768582E-3</v>
      </c>
      <c r="KP368" s="546">
        <f t="shared" si="1042"/>
        <v>32.687423127256999</v>
      </c>
      <c r="KQ368" s="546">
        <f t="shared" si="1043"/>
        <v>84.880057450397999</v>
      </c>
      <c r="KR368" s="548">
        <f t="shared" si="1044"/>
        <v>3.5686721050635803</v>
      </c>
      <c r="KS368" s="548">
        <f t="shared" si="1045"/>
        <v>1.3743003787293646</v>
      </c>
      <c r="KT368" s="473">
        <f t="shared" si="1071"/>
        <v>1026.1618045255443</v>
      </c>
      <c r="KU368" s="663">
        <f t="shared" si="1063"/>
        <v>4.6107268113180417</v>
      </c>
    </row>
    <row r="369" spans="1:307" s="26" customFormat="1" ht="15" outlineLevel="1">
      <c r="A369" s="561">
        <f t="shared" si="1046"/>
        <v>3069</v>
      </c>
      <c r="B369" s="561">
        <f t="shared" si="1064"/>
        <v>69</v>
      </c>
      <c r="C369" s="561">
        <f t="shared" si="1065"/>
        <v>3</v>
      </c>
      <c r="D369" s="561" t="str">
        <f t="shared" si="974"/>
        <v xml:space="preserve">500 CC, 0/1.8/2.8/3.9, 1000 Combo, </v>
      </c>
      <c r="E369" s="475">
        <f>INDEX(Input!$1:$1048576,E$93,$C369*2+MIN($B369,2)+5)
+INDEX(Scenarios!E$121:E$200,MATCH($B369,Scenarios!$B$121:$B$200,0))</f>
        <v>1787.0236024844721</v>
      </c>
      <c r="F369" s="475">
        <f>INDEX(Input!$1:$1048576,F$93,$C369*2+MIN($B369,2)+5)
+INDEX(Scenarios!F$121:F$200,MATCH($B369,Scenarios!$B$121:$B$200,0))</f>
        <v>0</v>
      </c>
      <c r="G369" s="475">
        <f>INDEX(Input!$1:$1048576,G$93,$C369*2+MIN($B369,2)+5)
+INDEX(Scenarios!G$121:G$200,MATCH($B369,Scenarios!$B$121:$B$200,0))</f>
        <v>0</v>
      </c>
      <c r="H369" s="475">
        <f>INDEX(Input!$1:$1048576,H$93,$C369*2+MIN($B369,2)+5)
+INDEX(Scenarios!H$121:H$200,MATCH($B369,Scenarios!$B$121:$B$200,0))</f>
        <v>0</v>
      </c>
      <c r="I369" s="476">
        <f>INDEX(Input!$1:$1048576,I$93,$C369*2+MIN($B369,2)+5)</f>
        <v>0.7</v>
      </c>
      <c r="J369" s="476" t="str">
        <f>INDEX(Input!$1:$1048576,J$93,$C369*2+MIN($B369,2)+5)</f>
        <v>Market</v>
      </c>
      <c r="K369" s="476" t="str">
        <f>INDEX(Input!$1:$1048576,K$93,$C369*2+MIN($B369,2)+5)</f>
        <v>Market</v>
      </c>
      <c r="L369" s="476" t="str">
        <f>INDEX(Input!$1:$1048576,L$93,$C369*2+MIN($B369,2)+5)</f>
        <v>Market</v>
      </c>
      <c r="M369" s="476" t="str">
        <f>INDEX(Input!$1:$1048576,M$93,$C369*2+MIN($B369,2)+5)</f>
        <v>Market</v>
      </c>
      <c r="N369" s="476" t="str">
        <f>INDEX(Input!$1:$1048576,N$93,$C369*2+MIN($B369,2)+5)</f>
        <v>Market</v>
      </c>
      <c r="O369" s="476" t="str">
        <f>INDEX(Input!$1:$1048576,O$93,$C369*2+MIN($B369,2)+5)</f>
        <v>Market</v>
      </c>
      <c r="P369" s="476" t="str">
        <f>INDEX(Input!$1:$1048576,P$93,$C369*2+MIN($B369,2)+5)</f>
        <v>N</v>
      </c>
      <c r="Q369" s="477">
        <f>INDEX(Input!$1:$1048576,Q$93,$C369*2+MIN($B369,2)+5)
+INDEX(Scenarios!Q$121:Q$200,MATCH($B369,Scenarios!$B$121:$B$200,0))</f>
        <v>1000</v>
      </c>
      <c r="R369" s="478">
        <f>IFERROR(MAX(0,INDEX(Input!$1:$1048576,R$93,$C369*2+MIN($B369,2)+5)
+INDEX(Scenarios!R$121:R$200,MATCH($B369,Scenarios!$B$121:$B$200,0)),),"Market")</f>
        <v>0</v>
      </c>
      <c r="S369" s="478">
        <f>IFERROR(MAX(0,INDEX(Input!$1:$1048576,S$93,$C369*2+MIN($B369,2)+5)
+INDEX(Scenarios!S$121:S$200,MATCH($B369,Scenarios!$B$121:$B$200,0)),),"Market")</f>
        <v>0</v>
      </c>
      <c r="T369" s="478">
        <f>IFERROR(MAX(0,INDEX(Input!$1:$1048576,T$93,$C369*2+MIN($B369,2)+5)
+INDEX(Scenarios!T$121:T$200,MATCH($B369,Scenarios!$B$121:$B$200,0)),),"Market")</f>
        <v>0</v>
      </c>
      <c r="U369" s="478">
        <f>IFERROR(MAX(0,INDEX(Input!$1:$1048576,U$93,$C369*2+MIN($B369,2)+5)
+INDEX(Scenarios!U$121:U$200,MATCH($B369,Scenarios!$B$121:$B$200,0)),),"Market")</f>
        <v>0</v>
      </c>
      <c r="V369" s="478">
        <f>IFERROR(MAX(0,INDEX(Input!$1:$1048576,V$93,$C369*2+MIN($B369,2)+5)
+INDEX(Scenarios!V$121:V$200,MATCH($B369,Scenarios!$B$121:$B$200,0)),),"Market")</f>
        <v>2.7999999999999997E-2</v>
      </c>
      <c r="W369" s="885">
        <f>IFERROR(MAX(0,INDEX(Input!$1:$1048576,W$93,$C369*2+MIN($B369,2)+5)-0%,),"Market")</f>
        <v>3.9E-2</v>
      </c>
      <c r="X369" s="476" t="str">
        <f>INDEX(Input!$1:$1048576,X$93,$C369*2+MIN($B369,2)+5)</f>
        <v>Y</v>
      </c>
      <c r="Y369" s="475">
        <f>INDEX(Input!$1:$1048576,Y$93,$C369*2+MIN($B369,2)+5)
++INDEX(Scenarios!Y$121:Y$200,MATCH($B369,Scenarios!$B$121:$B$200,0))</f>
        <v>1554.9999999999991</v>
      </c>
      <c r="Z369" s="477">
        <f>INDEX(Input!$1:$1048576,Z$93,$C369*2+MIN($B369,2)+5)
+INDEX(Scenarios!Z$121:Z$200,MATCH($B369,Scenarios!$B$121:$B$200,0))</f>
        <v>0</v>
      </c>
      <c r="AA369" s="475">
        <f>INDEX(Input!$1:$1048576,AA$93,$C369*2+MIN($B369,2)+5)
+INDEX(Scenarios!AA$121:AA$200,MATCH($B369,Scenarios!$B$121:$B$200,0))</f>
        <v>0</v>
      </c>
      <c r="AB369" s="476">
        <f>INDEX(Input!$1:$1048576,AB$93,$C369*2+MIN($B369,2)+5)</f>
        <v>0.27</v>
      </c>
      <c r="AC369" s="475">
        <f>INDEX(Input!$1:$1048576,AC$93,$C369*2+MIN($B369,2)+5)
+INDEX(Scenarios!AC$121:AC$200,MATCH($B369,Scenarios!$B$121:$B$200,0))</f>
        <v>0</v>
      </c>
      <c r="AD369" s="476">
        <f>INDEX(Input!$1:$1048576,AD$93,$C369*2+MIN($B369,2)+5)</f>
        <v>0.27</v>
      </c>
      <c r="AE369" s="475">
        <f>INDEX(Input!$1:$1048576,AE$93,$C369*2+MIN($B369,2)+5)
+INDEX(Scenarios!AE$121:AE$200,MATCH($B369,Scenarios!$B$121:$B$200,0))</f>
        <v>0</v>
      </c>
      <c r="AF369" s="476">
        <f>INDEX(Input!$1:$1048576,AF$93,$C369*2+MIN($B369,2)+5)</f>
        <v>0.68200000000000005</v>
      </c>
      <c r="AG369" s="475">
        <f>INDEX(Input!$1:$1048576,AG$93,$C369*2+MIN($B369,2)+5)
+INDEX(Scenarios!AG$121:AG$200,MATCH($B369,Scenarios!$B$121:$B$200,0))</f>
        <v>500</v>
      </c>
      <c r="AH369" s="476">
        <f>INDEX(Input!$1:$1048576,AH$93,$C369*2+MIN($B369,2)+5)</f>
        <v>1</v>
      </c>
      <c r="AI369" s="475">
        <f>INDEX(Input!$1:$1048576,AI$93,$C369*2+MIN($B369,2)+5)
+INDEX(Scenarios!AI$121:AI$200,MATCH($B369,Scenarios!$B$121:$B$200,0))</f>
        <v>0</v>
      </c>
      <c r="AJ369" s="476">
        <f>INDEX(Input!$1:$1048576,AJ$93,$C369*2+MIN($B369,2)+5)</f>
        <v>0.27</v>
      </c>
      <c r="AK369" s="150">
        <f>ROUND(INDEX(Input!$1:$1048576,AK$93,$C368*2+MIN($B369,1)+5)+(Y369-VLOOKUP($C369*1000+1,$A:$HH,Y$92,FALSE)),0)</f>
        <v>2977</v>
      </c>
      <c r="AL369" s="150">
        <f>ROUND(INDEX(Input!$1:$1048576,AL$93,$C368*2+MIN($B369,1)+5)-(Y369-VLOOKUP($C369*1000+1,$A:$HH,Y$92,FALSE))/36,0)</f>
        <v>3395</v>
      </c>
      <c r="AM369" s="32" t="str">
        <f t="shared" si="1047"/>
        <v>std/std/std/std</v>
      </c>
      <c r="AN369" s="32" t="str">
        <f t="shared" si="1048"/>
        <v>$1000 + 0/0/0/2.8/3.9</v>
      </c>
      <c r="AO369" s="32" t="str">
        <f t="shared" si="1049"/>
        <v>0/0/0/2.8/3.9</v>
      </c>
      <c r="AP369" s="32" t="str">
        <f t="shared" si="993"/>
        <v>0/1.8/2.8/3.9</v>
      </c>
      <c r="AQ369" s="536">
        <f t="shared" si="992"/>
        <v>0.32823877710233001</v>
      </c>
      <c r="AR369" s="32"/>
      <c r="AS369" s="302"/>
      <c r="AT369" s="3">
        <f t="shared" si="1066"/>
        <v>69</v>
      </c>
      <c r="AU369" s="41" t="s">
        <v>121</v>
      </c>
      <c r="AV369" s="41" t="s">
        <v>116</v>
      </c>
      <c r="AW369" s="41" t="str">
        <f>INDEX(Input!$1:$1048576,AW$93,$C369*2+6)</f>
        <v>Kia</v>
      </c>
      <c r="AX369" s="41" t="str">
        <f>INDEX(Input!$1:$1048576,AX$93,$C369*2+6)</f>
        <v>Kia-LR - L3</v>
      </c>
      <c r="AY369" s="41" t="str">
        <f>IF(LEN(D369)=0,"",INDEX(Input!$1:$1048576,AY$93,$C369*2+6))</f>
        <v>Compact SUV (52)</v>
      </c>
      <c r="AZ369" s="41" t="str">
        <f>INDEX(Input!$1:$1048576,AZ$93,$C369*2+6)</f>
        <v>Kia Soul</v>
      </c>
      <c r="BA369" s="3">
        <f>INDEX(Input!$1:$1048576,BA$93,$C369*2+6)</f>
        <v>2020</v>
      </c>
      <c r="BB369" s="128">
        <f>INDEX(Input!$1:$1048576,BB$93,$C369*2+6)</f>
        <v>1</v>
      </c>
      <c r="BC369" s="128">
        <f>INDEX(Input!$1:$1048576,BC$93,$C369*2+6)</f>
        <v>0.7</v>
      </c>
      <c r="BD369" s="1">
        <f>INDEX(Input!$1:$1048576,BD$93,$C369*2+6)</f>
        <v>4.4999999999999998E-2</v>
      </c>
      <c r="BE369" s="1">
        <f>INDEX(Input!$1:$1048576,BE$93,$C369*2+6)</f>
        <v>4.4999999999999998E-2</v>
      </c>
      <c r="BF369" s="1">
        <f>INDEX(Input!$1:$1048576,BF$93,$C369*2+6)</f>
        <v>0.05</v>
      </c>
      <c r="BG369" s="1">
        <f>INDEX(Input!$1:$1048576,BG$93,$C369*2+6)</f>
        <v>5.45E-2</v>
      </c>
      <c r="BH369" s="1">
        <f>INDEX(Input!$1:$1048576,BH$93,$C369*2+6)</f>
        <v>5.45E-2</v>
      </c>
      <c r="BI369" s="1">
        <f>INDEX(Input!$1:$1048576,BI$93,$C369*2+6)</f>
        <v>0.05</v>
      </c>
      <c r="BJ369" s="1">
        <f>INDEX(Input!$1:$1048576,BJ$93,$C369*2+6)</f>
        <v>0.05</v>
      </c>
      <c r="BK369" s="1">
        <f>INDEX(Input!$1:$1048576,BK$93,$C369*2+6)</f>
        <v>0.05</v>
      </c>
      <c r="BL369" s="1">
        <f>INDEX(Input!$1:$1048576,BL$93,$C369*2+6)</f>
        <v>5.5E-2</v>
      </c>
      <c r="BM369" s="1">
        <f>INDEX(Input!$1:$1048576,BM$93,$C369*2+6)</f>
        <v>0.06</v>
      </c>
      <c r="BN369" s="1">
        <f>INDEX(Input!$1:$1048576,BN$93,$C369*2+6)</f>
        <v>4.4999999999999998E-2</v>
      </c>
      <c r="BO369" s="1">
        <f>INDEX(Input!$1:$1048576,BO$93,$C369*2+6)</f>
        <v>4.4999999999999998E-2</v>
      </c>
      <c r="BP369" s="1">
        <f>INDEX(Input!$1:$1048576,BP$93,$C369*2+6)</f>
        <v>0.05</v>
      </c>
      <c r="BQ369" s="1">
        <f>INDEX(Input!$1:$1048576,BQ$93,$C369*2+6)</f>
        <v>5.45E-2</v>
      </c>
      <c r="BR369" s="1">
        <f>INDEX(Input!$1:$1048576,BR$93,$C369*2+6)</f>
        <v>5.45E-2</v>
      </c>
      <c r="BS369" s="1">
        <f>INDEX(Input!$1:$1048576,BS$93,$C369*2+6)</f>
        <v>0.05</v>
      </c>
      <c r="BT369" s="1">
        <f>INDEX(Input!$1:$1048576,BT$93,$C369*2+6)</f>
        <v>0.05</v>
      </c>
      <c r="BU369" s="1">
        <f>INDEX(Input!$1:$1048576,BU$93,$C369*2+6)</f>
        <v>0.05</v>
      </c>
      <c r="BV369" s="1">
        <f>INDEX(Input!$1:$1048576,BV$93,$C369*2+6)</f>
        <v>5.5E-2</v>
      </c>
      <c r="BW369" s="1">
        <f>INDEX(Input!$1:$1048576,BW$93,$C369*2+6)</f>
        <v>0.06</v>
      </c>
      <c r="BX369" s="127">
        <f>INDEX(Input!$1:$1048576,BX$93,$C369*2+6)</f>
        <v>19985</v>
      </c>
      <c r="BY369" s="20">
        <f>INDEX(Input!$1:$1048576,BY$93,$C369*2+6)</f>
        <v>0.1</v>
      </c>
      <c r="BZ369" s="20">
        <f>INDEX(Input!$1:$1048576,BZ$93,$C369*2+6)</f>
        <v>0.1</v>
      </c>
      <c r="CA369" s="20">
        <f>INDEX(Input!$1:$1048576,CA$93,$C369*2+6)</f>
        <v>0.1</v>
      </c>
      <c r="CB369" s="20">
        <f>INDEX(Input!$1:$1048576,CB$93,$C369*2+6)</f>
        <v>0.1</v>
      </c>
      <c r="CC369" s="20">
        <f>INDEX(Input!$1:$1048576,CC$93,$C369*2+6)</f>
        <v>0.1</v>
      </c>
      <c r="CD369" s="384">
        <f>INDEX(Input!$1:$1048576,CD$93,$C369*2+6)</f>
        <v>0.1</v>
      </c>
      <c r="CE369" s="384">
        <f>INDEX(Input!$1:$1048576,CE$93,$C369*2+6)</f>
        <v>0.1</v>
      </c>
      <c r="CF369" s="384">
        <f>INDEX(Input!$1:$1048576,CF$93,$C369*2+6)</f>
        <v>0.1</v>
      </c>
      <c r="CG369" s="384">
        <f>INDEX(Input!$1:$1048576,CG$93,$C369*2+6)</f>
        <v>0.1</v>
      </c>
      <c r="CH369" s="384">
        <f>INDEX(Input!$1:$1048576,CH$93,$C369*2+6)</f>
        <v>0.1</v>
      </c>
      <c r="CI369" s="304">
        <f t="shared" si="994"/>
        <v>1787.0236024844721</v>
      </c>
      <c r="CJ369" s="16" t="str">
        <f>INDEX(Input!$1:$1048576,CJ$93,$C369*2+6)</f>
        <v>N</v>
      </c>
      <c r="CK369" s="1" t="str">
        <f t="shared" si="995"/>
        <v>Market</v>
      </c>
      <c r="CL369" s="1" t="str">
        <f t="shared" si="996"/>
        <v>Market</v>
      </c>
      <c r="CM369" s="1" t="str">
        <f t="shared" si="997"/>
        <v>Market</v>
      </c>
      <c r="CN369" s="1" t="str">
        <f t="shared" si="998"/>
        <v>Market</v>
      </c>
      <c r="CO369" s="1" t="str">
        <f t="shared" si="999"/>
        <v>Market</v>
      </c>
      <c r="CP369" s="304">
        <f t="shared" si="1000"/>
        <v>1500</v>
      </c>
      <c r="CQ369" s="1">
        <f t="shared" si="1001"/>
        <v>0</v>
      </c>
      <c r="CR369" s="1">
        <f t="shared" si="1002"/>
        <v>0</v>
      </c>
      <c r="CS369" s="1">
        <f t="shared" si="1003"/>
        <v>0</v>
      </c>
      <c r="CT369" s="1">
        <f t="shared" si="1004"/>
        <v>2.7999999999999997E-2</v>
      </c>
      <c r="CU369" s="1">
        <f t="shared" si="1005"/>
        <v>3.9E-2</v>
      </c>
      <c r="CV369" s="304">
        <f t="shared" si="1006"/>
        <v>1554.9999999999991</v>
      </c>
      <c r="CW369" s="20" t="s">
        <v>122</v>
      </c>
      <c r="CX369" s="20" t="s">
        <v>122</v>
      </c>
      <c r="CY369" s="20" t="s">
        <v>122</v>
      </c>
      <c r="CZ369" s="20" t="s">
        <v>122</v>
      </c>
      <c r="DA369" s="20" t="s">
        <v>122</v>
      </c>
      <c r="DB369" s="503">
        <f t="shared" si="1007"/>
        <v>0</v>
      </c>
      <c r="DC369" s="127">
        <v>0</v>
      </c>
      <c r="DD369" s="127">
        <v>0</v>
      </c>
      <c r="DE369" s="127">
        <v>0</v>
      </c>
      <c r="DF369" s="127">
        <v>0</v>
      </c>
      <c r="DG369" s="127">
        <v>0</v>
      </c>
      <c r="DH369" s="127">
        <v>0</v>
      </c>
      <c r="DI369" s="127">
        <v>0</v>
      </c>
      <c r="DJ369" s="127">
        <v>0</v>
      </c>
      <c r="DK369" s="127">
        <v>0</v>
      </c>
      <c r="DL369" s="127">
        <v>0</v>
      </c>
      <c r="DM369" s="304">
        <f>INDEX(Input!$1:$1048576,DM$93,$C369*2+6)</f>
        <v>21036.84210526316</v>
      </c>
      <c r="DN369" s="20">
        <v>0</v>
      </c>
      <c r="DO369" s="20">
        <v>0</v>
      </c>
      <c r="DP369" s="20">
        <v>0</v>
      </c>
      <c r="DQ369" s="20">
        <v>0</v>
      </c>
      <c r="DR369" s="20">
        <v>0</v>
      </c>
      <c r="DS369" s="20">
        <f>INDEX(Input!$1:$1048576,DS$93,$C369*2+6)</f>
        <v>0.6</v>
      </c>
      <c r="DT369" s="20">
        <f>INDEX(Input!$1:$1048576,DT$93,$C369*2+6)</f>
        <v>0.55000000000000004</v>
      </c>
      <c r="DU369" s="20">
        <f>INDEX(Input!$1:$1048576,DU$93,$C369*2+6)</f>
        <v>0.52</v>
      </c>
      <c r="DV369" s="20">
        <f>INDEX(Input!$1:$1048576,DV$93,$C369*2+6)</f>
        <v>0.5</v>
      </c>
      <c r="DW369" s="20">
        <f>INDEX(Input!$1:$1048576,DW$93,$C369*2+6)</f>
        <v>0.45</v>
      </c>
      <c r="DX369" s="20"/>
      <c r="DY369" s="7">
        <v>0.10889296649981092</v>
      </c>
      <c r="DZ369" s="7">
        <v>0</v>
      </c>
      <c r="EA369" s="7">
        <v>0.70936532980126077</v>
      </c>
      <c r="EB369" s="7">
        <v>0</v>
      </c>
      <c r="EC369" s="7">
        <v>0</v>
      </c>
      <c r="ED369" s="7">
        <v>0</v>
      </c>
      <c r="EE369" s="7">
        <v>0</v>
      </c>
      <c r="EF369" s="7">
        <v>0</v>
      </c>
      <c r="EG369" s="7">
        <v>0</v>
      </c>
      <c r="EH369" s="7">
        <v>1.4509397437692566E-2</v>
      </c>
      <c r="EI369" s="7">
        <v>4.0643939968224192E-2</v>
      </c>
      <c r="EJ369" s="7">
        <v>0.32796865164628985</v>
      </c>
      <c r="EK369" s="7">
        <v>0.44634827805685928</v>
      </c>
      <c r="EL369" s="7">
        <v>0.17052973289093395</v>
      </c>
      <c r="EM369" s="7">
        <v>5.5293484197437438E-2</v>
      </c>
      <c r="EN369" s="7">
        <v>6.2820660630196687E-2</v>
      </c>
      <c r="EO369" s="7">
        <v>0.7806502396793692</v>
      </c>
      <c r="EP369" s="7">
        <v>6.4390333804890565E-2</v>
      </c>
      <c r="EQ369" s="7">
        <v>6.0243557840959604E-2</v>
      </c>
      <c r="ER369" s="7">
        <v>3.1895208044584143E-2</v>
      </c>
      <c r="ES369" s="7">
        <v>0.12644821950149082</v>
      </c>
      <c r="ET369" s="7">
        <v>0.18174170369892828</v>
      </c>
      <c r="EU369" s="6">
        <v>2111</v>
      </c>
      <c r="EV369" s="6">
        <v>0</v>
      </c>
      <c r="EW369" s="6">
        <v>2111</v>
      </c>
      <c r="EX369" s="6">
        <v>0</v>
      </c>
      <c r="EY369" s="6">
        <v>3130.4776182845094</v>
      </c>
      <c r="EZ369" s="6">
        <v>2289</v>
      </c>
      <c r="FA369" s="6">
        <v>0</v>
      </c>
      <c r="FB369" s="6">
        <v>0</v>
      </c>
      <c r="FC369" s="6">
        <v>0</v>
      </c>
      <c r="FD369" s="6">
        <v>0</v>
      </c>
      <c r="FE369" s="6">
        <v>0</v>
      </c>
      <c r="FF369" s="6">
        <v>0</v>
      </c>
      <c r="FG369" s="6">
        <v>0</v>
      </c>
      <c r="FH369" s="6">
        <v>1172.0232695698458</v>
      </c>
      <c r="FI369" s="6">
        <v>1553.9796069512408</v>
      </c>
      <c r="FJ369" s="6">
        <v>2101.211011744741</v>
      </c>
      <c r="FK369" s="6">
        <v>1334.1543630076699</v>
      </c>
      <c r="FL369" s="6">
        <v>907.07682140966324</v>
      </c>
      <c r="FM369" s="6">
        <v>1519.4776182845094</v>
      </c>
      <c r="FN369" s="6">
        <v>0</v>
      </c>
      <c r="FO369" s="6">
        <v>0</v>
      </c>
      <c r="FP369" s="6">
        <v>0</v>
      </c>
      <c r="FQ369" s="6">
        <v>0</v>
      </c>
      <c r="FR369" s="6">
        <v>0</v>
      </c>
      <c r="FS369" s="6">
        <v>0</v>
      </c>
      <c r="FT369" s="7">
        <v>0.81825829630107172</v>
      </c>
      <c r="FU369" s="7">
        <v>5.5293484197437438E-2</v>
      </c>
      <c r="FV369" s="7">
        <v>0.12644821950149082</v>
      </c>
      <c r="FW369" s="6">
        <v>2111</v>
      </c>
      <c r="FX369" s="6">
        <v>3130.4776182845094</v>
      </c>
      <c r="FY369" s="6">
        <v>2289</v>
      </c>
      <c r="FZ369" s="6">
        <v>1858.9243755539039</v>
      </c>
      <c r="GA369" s="6">
        <v>2189.8782526475206</v>
      </c>
      <c r="GB369" s="6">
        <v>17795.121747352481</v>
      </c>
      <c r="GC369" s="7">
        <v>2.9156573141622111E-2</v>
      </c>
      <c r="GD369" s="7">
        <v>3.0995170309822514E-2</v>
      </c>
      <c r="GE369" s="7"/>
      <c r="GF369" s="7"/>
      <c r="GG369" s="7">
        <v>6.3059439779489565E-2</v>
      </c>
      <c r="GH369" s="42">
        <v>3.8079109846373389</v>
      </c>
      <c r="GI369" s="6">
        <v>7438.1627006368772</v>
      </c>
      <c r="GJ369" s="14">
        <v>0.50394797582841733</v>
      </c>
      <c r="GK369" s="14">
        <v>0.50887573065309732</v>
      </c>
      <c r="GL369" s="14">
        <v>0.49605202417158262</v>
      </c>
      <c r="GM369" s="14">
        <v>0.4911242693469024</v>
      </c>
      <c r="GO369" s="5">
        <v>343.14810671672558</v>
      </c>
      <c r="GP369" s="5">
        <v>302.87425392274076</v>
      </c>
      <c r="GQ369" s="5">
        <v>535.04305713031317</v>
      </c>
      <c r="GR369" s="5">
        <v>410.15490233172511</v>
      </c>
      <c r="GS369" s="5">
        <v>339.42744393800166</v>
      </c>
      <c r="GT369" s="5">
        <v>293.4407446948278</v>
      </c>
      <c r="GU369" s="5">
        <v>258.04012322764959</v>
      </c>
      <c r="GV369" s="39" t="s">
        <v>392</v>
      </c>
      <c r="GW369" s="5">
        <v>454.875</v>
      </c>
      <c r="GX369" s="5">
        <v>341.15625</v>
      </c>
      <c r="GY369" s="5">
        <v>272.92500000000001</v>
      </c>
      <c r="GZ369" s="5">
        <v>247.34154997542245</v>
      </c>
      <c r="HA369" s="5">
        <v>223.08053899211657</v>
      </c>
      <c r="HB369" s="39">
        <v>258.4190802057542</v>
      </c>
      <c r="HC369" s="5">
        <v>187.140625</v>
      </c>
      <c r="HD369" s="5">
        <v>171.45330774853798</v>
      </c>
      <c r="HE369" s="5">
        <v>177.50180921052629</v>
      </c>
      <c r="HF369" s="5">
        <v>167.9756304824561</v>
      </c>
      <c r="HG369" s="5">
        <v>166.75888157894735</v>
      </c>
      <c r="HH369" s="39">
        <v>172.46902305908674</v>
      </c>
      <c r="HI369" s="16"/>
      <c r="HJ369" s="19" t="str">
        <f t="shared" ref="HJ369" si="1075">HJ368</f>
        <v>On</v>
      </c>
      <c r="HK369" s="1" t="str">
        <f t="shared" si="1067"/>
        <v>On</v>
      </c>
      <c r="HL369" s="16"/>
      <c r="HM369" s="639">
        <f t="shared" si="1023"/>
        <v>2.2758057894877178E-2</v>
      </c>
      <c r="HN369" s="639">
        <f t="shared" si="1024"/>
        <v>1.416759231746561E-3</v>
      </c>
      <c r="HO369" s="639">
        <f t="shared" si="1025"/>
        <v>4.5732401537654987E-3</v>
      </c>
      <c r="HP369" s="644">
        <f>(FT369*$GD369-HM369)/$JF369*INDEX(Input!$1:$1048576,$JG$93,$C369*2+6)</f>
        <v>145.83370635842979</v>
      </c>
      <c r="HQ369" s="644">
        <f>(FU369*$GD369-HN369)/$JF369*INDEX(Input!$1:$1048576,$JG$93,$C369*2+6)</f>
        <v>16.637140985816089</v>
      </c>
      <c r="HR369" s="644">
        <f>(FV369*$GD369-HO369)/$JF369*INDEX(Input!$1:$1048576,$JG$93,$C369*2+6)</f>
        <v>-36.624013866022409</v>
      </c>
      <c r="HS369" s="644">
        <f t="shared" si="1014"/>
        <v>-65.516991214641621</v>
      </c>
      <c r="HT369" s="644">
        <f t="shared" si="1026"/>
        <v>108.31608170325212</v>
      </c>
      <c r="HU369" s="644">
        <f t="shared" si="1027"/>
        <v>16.744371921533311</v>
      </c>
      <c r="HV369" s="648">
        <f t="shared" si="1028"/>
        <v>0</v>
      </c>
      <c r="HW369" s="648">
        <f t="shared" si="1029"/>
        <v>0</v>
      </c>
      <c r="HX369" s="648">
        <f t="shared" si="1030"/>
        <v>0</v>
      </c>
      <c r="HY369" s="644">
        <f>INDEX(Input!$1:$1048576,HY$93,$C369*2+6)*INDEX(Input!$1:$1048576,$JG$93,$C369*2+6)</f>
        <v>509.00000000000006</v>
      </c>
      <c r="HZ369" s="644">
        <f>INDEX(Input!$1:$1048576,HZ$93,$C369*2+6)*INDEX(Input!$1:$1048576,$JG$93,$C369*2+6)</f>
        <v>844</v>
      </c>
      <c r="IA369" s="644">
        <f>INDEX(Input!$1:$1048576,IA$93,$C369*2+6)*INDEX(Input!$1:$1048576,$JG$93,$C369*2+6)</f>
        <v>257</v>
      </c>
      <c r="IB369" s="644">
        <f t="shared" si="1051"/>
        <v>589.31671514378809</v>
      </c>
      <c r="IC369" s="644">
        <f t="shared" si="1052"/>
        <v>968.9532226890683</v>
      </c>
      <c r="ID369" s="644">
        <f>IF(AND(INDEX(Input!$1:$1048576,IA$93,$C369*2+7)="TOS",Y369&lt;=INDEX(Y:Y,MATCH(C369*1000+2,A:A))),0,1)*MAX(IA369+HR369+HU369+HX369,0%)</f>
        <v>237.12035805551091</v>
      </c>
      <c r="IE369" s="128">
        <f t="shared" si="1015"/>
        <v>0.32823877710233001</v>
      </c>
      <c r="IF369" s="128">
        <f t="shared" si="1016"/>
        <v>0.53968946190033062</v>
      </c>
      <c r="IG369" s="128">
        <f t="shared" si="1031"/>
        <v>0.13207176099733939</v>
      </c>
      <c r="IH369" s="21"/>
      <c r="II369" s="19">
        <f t="shared" si="1032"/>
        <v>1410.4999999999998</v>
      </c>
      <c r="IJ369" s="19">
        <f t="shared" si="1033"/>
        <v>2134.9731585778086</v>
      </c>
      <c r="IK369" s="19">
        <f t="shared" si="1034"/>
        <v>2103.5</v>
      </c>
      <c r="IL369" s="19">
        <f t="shared" si="1053"/>
        <v>700.50000000000023</v>
      </c>
      <c r="IM369" s="19">
        <f t="shared" si="1035"/>
        <v>995.5044597067008</v>
      </c>
      <c r="IN369" s="19">
        <f t="shared" si="1036"/>
        <v>185.5</v>
      </c>
      <c r="IO369" s="39">
        <f t="shared" si="1037"/>
        <v>0</v>
      </c>
      <c r="IP369" s="39">
        <f t="shared" si="1038"/>
        <v>0</v>
      </c>
      <c r="IQ369" s="39">
        <f t="shared" si="1039"/>
        <v>0</v>
      </c>
      <c r="IR369" s="39">
        <v>0</v>
      </c>
      <c r="IS369" s="39">
        <v>0</v>
      </c>
      <c r="IT369" s="39">
        <v>0</v>
      </c>
      <c r="IU369" s="39">
        <v>0</v>
      </c>
      <c r="IV369" s="39">
        <v>0</v>
      </c>
      <c r="IW369" s="39">
        <v>0</v>
      </c>
      <c r="IX369" s="39">
        <f>INDEX(Input!$1:$1048576,IX$93,$C369*2+6)+INDEX(Input!$1:$1048576,IX$94,$C369*2+6)</f>
        <v>1611</v>
      </c>
      <c r="IY369" s="39">
        <f>INDEX(Input!$1:$1048576,IY$93,$C369*2+6)+INDEX(Input!$1:$1048576,IY$94,$C369*2+6)</f>
        <v>2471.0624533823611</v>
      </c>
      <c r="IZ369" s="39">
        <f>INDEX(Input!$1:$1048576,IZ$93,$C369*2+6)+INDEX(Input!$1:$1048576,IZ$94,$C369*2+6)</f>
        <v>3994.7164157747857</v>
      </c>
      <c r="JA369" s="19">
        <f t="shared" si="1054"/>
        <v>2311.5</v>
      </c>
      <c r="JB369" s="19">
        <f t="shared" si="1055"/>
        <v>3466.5669130890619</v>
      </c>
      <c r="JC369" s="19">
        <f t="shared" si="1056"/>
        <v>4180.2164157747857</v>
      </c>
      <c r="JD369" s="19">
        <f t="shared" si="1057"/>
        <v>3181.6821086199243</v>
      </c>
      <c r="JE369" s="21"/>
      <c r="JF369" s="1">
        <f t="shared" si="1040"/>
        <v>2.8748057280389237E-2</v>
      </c>
      <c r="JG369" s="15">
        <f>INDEX(Input!$1:$1048576,JG$93,$C369*2+6)/(1+VLOOKUP(C369*1000+INDEX(Input!$1:$1048576,JG$93+1,$C369*2+6),$A:$KK,$JK$92,FALSE))</f>
        <v>1610</v>
      </c>
      <c r="JH369" s="1">
        <f t="shared" si="1058"/>
        <v>7.8165735079641918E-2</v>
      </c>
      <c r="JI369" s="1">
        <f t="shared" si="1059"/>
        <v>3.6983517024934048E-2</v>
      </c>
      <c r="JJ369" s="1">
        <f t="shared" si="1017"/>
        <v>0</v>
      </c>
      <c r="JK369" s="1">
        <f t="shared" si="1018"/>
        <v>0.11514925210457597</v>
      </c>
      <c r="JL369" s="15">
        <f t="shared" si="1060"/>
        <v>185.39029588836732</v>
      </c>
      <c r="JM369" s="15">
        <f t="shared" si="948"/>
        <v>1795.3902958883673</v>
      </c>
      <c r="JN369" s="21"/>
      <c r="JO369" s="19">
        <f>INDEX(Input!$1:$1048576,JO$93,$C369*2+6)</f>
        <v>5995.5</v>
      </c>
      <c r="JP369" s="19">
        <f>INDEX(Input!$1:$1048576,JP$93,$C369*2+6)</f>
        <v>2442.3713226762939</v>
      </c>
      <c r="JQ369" s="39">
        <f t="shared" si="1068"/>
        <v>2813.8178913800757</v>
      </c>
      <c r="JR369" s="39">
        <f t="shared" si="951"/>
        <v>739.31078594363044</v>
      </c>
      <c r="JS369" s="39">
        <f t="shared" si="1069"/>
        <v>5.7123611824178502</v>
      </c>
      <c r="JT369" s="39">
        <f t="shared" si="1061"/>
        <v>1.7801433529090169</v>
      </c>
      <c r="JU369" s="385">
        <f>(JQ369*JM369-INDEX(Input!$1:$1048576,Input!A$18,$C369*2+6)*JL369*INDEX(Input!$1:$1048576,Input!A$19,$C369*2+6))/1000000</f>
        <v>5.0519013365808556</v>
      </c>
      <c r="JV369" s="39">
        <f t="shared" si="958"/>
        <v>-0.66863583391031156</v>
      </c>
      <c r="JW369" s="1">
        <f t="shared" si="949"/>
        <v>-0.11688339992953883</v>
      </c>
      <c r="JX369" s="19">
        <f t="shared" si="1073"/>
        <v>9602.1387979278552</v>
      </c>
      <c r="JZ369" s="341"/>
      <c r="KA369" s="342"/>
      <c r="KB369" s="469">
        <f t="shared" si="1070"/>
        <v>2.5190675447988795</v>
      </c>
      <c r="KI369" s="473">
        <f t="shared" si="1019"/>
        <v>80.316715143788031</v>
      </c>
      <c r="KJ369" s="473">
        <f t="shared" si="1020"/>
        <v>124.9532226890683</v>
      </c>
      <c r="KK369" s="473">
        <f t="shared" si="1062"/>
        <v>-19.879641944489123</v>
      </c>
      <c r="KN369" s="544">
        <f t="shared" si="1074"/>
        <v>3002</v>
      </c>
      <c r="KO369" s="541">
        <f t="shared" si="1041"/>
        <v>8.2126650329598094E-2</v>
      </c>
      <c r="KP369" s="546">
        <f t="shared" si="1042"/>
        <v>593.14868722172264</v>
      </c>
      <c r="KQ369" s="546">
        <f t="shared" si="1043"/>
        <v>545.76868323122608</v>
      </c>
      <c r="KR369" s="548">
        <f t="shared" si="1044"/>
        <v>2.4021335583238335</v>
      </c>
      <c r="KS369" s="548">
        <f t="shared" si="1045"/>
        <v>2.6106708032702786</v>
      </c>
      <c r="KT369" s="473">
        <f t="shared" si="1071"/>
        <v>1026.1618045255443</v>
      </c>
      <c r="KU369" s="663">
        <f t="shared" si="1063"/>
        <v>4.7086157087887344</v>
      </c>
    </row>
    <row r="370" spans="1:307" s="26" customFormat="1" ht="15" outlineLevel="1">
      <c r="A370" s="561">
        <f t="shared" si="1046"/>
        <v>3070</v>
      </c>
      <c r="B370" s="561">
        <f t="shared" si="1064"/>
        <v>70</v>
      </c>
      <c r="C370" s="561">
        <f t="shared" si="1065"/>
        <v>3</v>
      </c>
      <c r="D370" s="561" t="str">
        <f t="shared" si="974"/>
        <v xml:space="preserve">750 CC, 0/1.8/2.8/3.9, 1500 Combo, </v>
      </c>
      <c r="E370" s="475">
        <f>INDEX(Input!$1:$1048576,E$93,$C370*2+MIN($B370,2)+5)
+INDEX(Scenarios!E$121:E$200,MATCH($B370,Scenarios!$B$121:$B$200,0))</f>
        <v>2037.0236024844721</v>
      </c>
      <c r="F370" s="475">
        <f>INDEX(Input!$1:$1048576,F$93,$C370*2+MIN($B370,2)+5)
+INDEX(Scenarios!F$121:F$200,MATCH($B370,Scenarios!$B$121:$B$200,0))</f>
        <v>0</v>
      </c>
      <c r="G370" s="475">
        <f>INDEX(Input!$1:$1048576,G$93,$C370*2+MIN($B370,2)+5)
+INDEX(Scenarios!G$121:G$200,MATCH($B370,Scenarios!$B$121:$B$200,0))</f>
        <v>0</v>
      </c>
      <c r="H370" s="475">
        <f>INDEX(Input!$1:$1048576,H$93,$C370*2+MIN($B370,2)+5)
+INDEX(Scenarios!H$121:H$200,MATCH($B370,Scenarios!$B$121:$B$200,0))</f>
        <v>0</v>
      </c>
      <c r="I370" s="476">
        <f>INDEX(Input!$1:$1048576,I$93,$C370*2+MIN($B370,2)+5)</f>
        <v>0.7</v>
      </c>
      <c r="J370" s="476" t="str">
        <f>INDEX(Input!$1:$1048576,J$93,$C370*2+MIN($B370,2)+5)</f>
        <v>Market</v>
      </c>
      <c r="K370" s="476" t="str">
        <f>INDEX(Input!$1:$1048576,K$93,$C370*2+MIN($B370,2)+5)</f>
        <v>Market</v>
      </c>
      <c r="L370" s="476" t="str">
        <f>INDEX(Input!$1:$1048576,L$93,$C370*2+MIN($B370,2)+5)</f>
        <v>Market</v>
      </c>
      <c r="M370" s="476" t="str">
        <f>INDEX(Input!$1:$1048576,M$93,$C370*2+MIN($B370,2)+5)</f>
        <v>Market</v>
      </c>
      <c r="N370" s="476" t="str">
        <f>INDEX(Input!$1:$1048576,N$93,$C370*2+MIN($B370,2)+5)</f>
        <v>Market</v>
      </c>
      <c r="O370" s="476" t="str">
        <f>INDEX(Input!$1:$1048576,O$93,$C370*2+MIN($B370,2)+5)</f>
        <v>Market</v>
      </c>
      <c r="P370" s="476" t="str">
        <f>INDEX(Input!$1:$1048576,P$93,$C370*2+MIN($B370,2)+5)</f>
        <v>N</v>
      </c>
      <c r="Q370" s="477">
        <f>INDEX(Input!$1:$1048576,Q$93,$C370*2+MIN($B370,2)+5)
+INDEX(Scenarios!Q$121:Q$200,MATCH($B370,Scenarios!$B$121:$B$200,0))</f>
        <v>1500</v>
      </c>
      <c r="R370" s="478">
        <f>IFERROR(MAX(0,INDEX(Input!$1:$1048576,R$93,$C370*2+MIN($B370,2)+5)
+INDEX(Scenarios!R$121:R$200,MATCH($B370,Scenarios!$B$121:$B$200,0)),),"Market")</f>
        <v>0</v>
      </c>
      <c r="S370" s="478">
        <f>IFERROR(MAX(0,INDEX(Input!$1:$1048576,S$93,$C370*2+MIN($B370,2)+5)
+INDEX(Scenarios!S$121:S$200,MATCH($B370,Scenarios!$B$121:$B$200,0)),),"Market")</f>
        <v>0</v>
      </c>
      <c r="T370" s="478">
        <f>IFERROR(MAX(0,INDEX(Input!$1:$1048576,T$93,$C370*2+MIN($B370,2)+5)
+INDEX(Scenarios!T$121:T$200,MATCH($B370,Scenarios!$B$121:$B$200,0)),),"Market")</f>
        <v>0</v>
      </c>
      <c r="U370" s="478">
        <f>IFERROR(MAX(0,INDEX(Input!$1:$1048576,U$93,$C370*2+MIN($B370,2)+5)
+INDEX(Scenarios!U$121:U$200,MATCH($B370,Scenarios!$B$121:$B$200,0)),),"Market")</f>
        <v>0</v>
      </c>
      <c r="V370" s="478">
        <f>IFERROR(MAX(0,INDEX(Input!$1:$1048576,V$93,$C370*2+MIN($B370,2)+5)
+INDEX(Scenarios!V$121:V$200,MATCH($B370,Scenarios!$B$121:$B$200,0)),),"Market")</f>
        <v>2.7999999999999997E-2</v>
      </c>
      <c r="W370" s="885">
        <f>IFERROR(MAX(0,INDEX(Input!$1:$1048576,W$93,$C370*2+MIN($B370,2)+5)-0%,),"Market")</f>
        <v>3.9E-2</v>
      </c>
      <c r="X370" s="476" t="str">
        <f>INDEX(Input!$1:$1048576,X$93,$C370*2+MIN($B370,2)+5)</f>
        <v>Y</v>
      </c>
      <c r="Y370" s="475">
        <f>INDEX(Input!$1:$1048576,Y$93,$C370*2+MIN($B370,2)+5)
++INDEX(Scenarios!Y$121:Y$200,MATCH($B370,Scenarios!$B$121:$B$200,0))</f>
        <v>1554.9999999999991</v>
      </c>
      <c r="Z370" s="477">
        <f>INDEX(Input!$1:$1048576,Z$93,$C370*2+MIN($B370,2)+5)
+INDEX(Scenarios!Z$121:Z$200,MATCH($B370,Scenarios!$B$121:$B$200,0))</f>
        <v>0</v>
      </c>
      <c r="AA370" s="475">
        <f>INDEX(Input!$1:$1048576,AA$93,$C370*2+MIN($B370,2)+5)
+INDEX(Scenarios!AA$121:AA$200,MATCH($B370,Scenarios!$B$121:$B$200,0))</f>
        <v>0</v>
      </c>
      <c r="AB370" s="476">
        <f>INDEX(Input!$1:$1048576,AB$93,$C370*2+MIN($B370,2)+5)</f>
        <v>0.27</v>
      </c>
      <c r="AC370" s="475">
        <f>INDEX(Input!$1:$1048576,AC$93,$C370*2+MIN($B370,2)+5)
+INDEX(Scenarios!AC$121:AC$200,MATCH($B370,Scenarios!$B$121:$B$200,0))</f>
        <v>0</v>
      </c>
      <c r="AD370" s="476">
        <f>INDEX(Input!$1:$1048576,AD$93,$C370*2+MIN($B370,2)+5)</f>
        <v>0.27</v>
      </c>
      <c r="AE370" s="475">
        <f>INDEX(Input!$1:$1048576,AE$93,$C370*2+MIN($B370,2)+5)
+INDEX(Scenarios!AE$121:AE$200,MATCH($B370,Scenarios!$B$121:$B$200,0))</f>
        <v>0</v>
      </c>
      <c r="AF370" s="476">
        <f>INDEX(Input!$1:$1048576,AF$93,$C370*2+MIN($B370,2)+5)</f>
        <v>0.68200000000000005</v>
      </c>
      <c r="AG370" s="475">
        <f>INDEX(Input!$1:$1048576,AG$93,$C370*2+MIN($B370,2)+5)
+INDEX(Scenarios!AG$121:AG$200,MATCH($B370,Scenarios!$B$121:$B$200,0))</f>
        <v>500</v>
      </c>
      <c r="AH370" s="476">
        <f>INDEX(Input!$1:$1048576,AH$93,$C370*2+MIN($B370,2)+5)</f>
        <v>1</v>
      </c>
      <c r="AI370" s="475">
        <f>INDEX(Input!$1:$1048576,AI$93,$C370*2+MIN($B370,2)+5)
+INDEX(Scenarios!AI$121:AI$200,MATCH($B370,Scenarios!$B$121:$B$200,0))</f>
        <v>0</v>
      </c>
      <c r="AJ370" s="476">
        <f>INDEX(Input!$1:$1048576,AJ$93,$C370*2+MIN($B370,2)+5)</f>
        <v>0.27</v>
      </c>
      <c r="AK370" s="150">
        <f>ROUND(INDEX(Input!$1:$1048576,AK$93,$C369*2+MIN($B370,1)+5)+(Y370-VLOOKUP($C370*1000+1,$A:$HH,Y$92,FALSE)),0)</f>
        <v>2977</v>
      </c>
      <c r="AL370" s="150">
        <f>ROUND(INDEX(Input!$1:$1048576,AL$93,$C369*2+MIN($B370,1)+5)-(Y370-VLOOKUP($C370*1000+1,$A:$HH,Y$92,FALSE))/36,0)</f>
        <v>3395</v>
      </c>
      <c r="AM370" s="32" t="str">
        <f t="shared" si="1047"/>
        <v>std/std/std/std</v>
      </c>
      <c r="AN370" s="32" t="str">
        <f t="shared" si="1048"/>
        <v>$1500 + 0/0/0/2.8/3.9</v>
      </c>
      <c r="AO370" s="32" t="str">
        <f t="shared" si="1049"/>
        <v>0/0/0/2.8/3.9</v>
      </c>
      <c r="AP370" s="32" t="str">
        <f t="shared" si="993"/>
        <v>0/1.8/2.8/3.9</v>
      </c>
      <c r="AQ370" s="536">
        <f t="shared" si="992"/>
        <v>0.32813508892538545</v>
      </c>
      <c r="AR370" s="32"/>
      <c r="AS370" s="302"/>
      <c r="AT370" s="3">
        <f t="shared" si="1066"/>
        <v>70</v>
      </c>
      <c r="AU370" s="41" t="s">
        <v>121</v>
      </c>
      <c r="AV370" s="41" t="s">
        <v>116</v>
      </c>
      <c r="AW370" s="41" t="str">
        <f>INDEX(Input!$1:$1048576,AW$93,$C370*2+6)</f>
        <v>Kia</v>
      </c>
      <c r="AX370" s="41" t="str">
        <f>INDEX(Input!$1:$1048576,AX$93,$C370*2+6)</f>
        <v>Kia-LR - L3</v>
      </c>
      <c r="AY370" s="41" t="str">
        <f>IF(LEN(D370)=0,"",INDEX(Input!$1:$1048576,AY$93,$C370*2+6))</f>
        <v>Compact SUV (52)</v>
      </c>
      <c r="AZ370" s="41" t="str">
        <f>INDEX(Input!$1:$1048576,AZ$93,$C370*2+6)</f>
        <v>Kia Soul</v>
      </c>
      <c r="BA370" s="3">
        <f>INDEX(Input!$1:$1048576,BA$93,$C370*2+6)</f>
        <v>2020</v>
      </c>
      <c r="BB370" s="128">
        <f>INDEX(Input!$1:$1048576,BB$93,$C370*2+6)</f>
        <v>1</v>
      </c>
      <c r="BC370" s="128">
        <f>INDEX(Input!$1:$1048576,BC$93,$C370*2+6)</f>
        <v>0.7</v>
      </c>
      <c r="BD370" s="1">
        <f>INDEX(Input!$1:$1048576,BD$93,$C370*2+6)</f>
        <v>4.4999999999999998E-2</v>
      </c>
      <c r="BE370" s="1">
        <f>INDEX(Input!$1:$1048576,BE$93,$C370*2+6)</f>
        <v>4.4999999999999998E-2</v>
      </c>
      <c r="BF370" s="1">
        <f>INDEX(Input!$1:$1048576,BF$93,$C370*2+6)</f>
        <v>0.05</v>
      </c>
      <c r="BG370" s="1">
        <f>INDEX(Input!$1:$1048576,BG$93,$C370*2+6)</f>
        <v>5.45E-2</v>
      </c>
      <c r="BH370" s="1">
        <f>INDEX(Input!$1:$1048576,BH$93,$C370*2+6)</f>
        <v>5.45E-2</v>
      </c>
      <c r="BI370" s="1">
        <f>INDEX(Input!$1:$1048576,BI$93,$C370*2+6)</f>
        <v>0.05</v>
      </c>
      <c r="BJ370" s="1">
        <f>INDEX(Input!$1:$1048576,BJ$93,$C370*2+6)</f>
        <v>0.05</v>
      </c>
      <c r="BK370" s="1">
        <f>INDEX(Input!$1:$1048576,BK$93,$C370*2+6)</f>
        <v>0.05</v>
      </c>
      <c r="BL370" s="1">
        <f>INDEX(Input!$1:$1048576,BL$93,$C370*2+6)</f>
        <v>5.5E-2</v>
      </c>
      <c r="BM370" s="1">
        <f>INDEX(Input!$1:$1048576,BM$93,$C370*2+6)</f>
        <v>0.06</v>
      </c>
      <c r="BN370" s="1">
        <f>INDEX(Input!$1:$1048576,BN$93,$C370*2+6)</f>
        <v>4.4999999999999998E-2</v>
      </c>
      <c r="BO370" s="1">
        <f>INDEX(Input!$1:$1048576,BO$93,$C370*2+6)</f>
        <v>4.4999999999999998E-2</v>
      </c>
      <c r="BP370" s="1">
        <f>INDEX(Input!$1:$1048576,BP$93,$C370*2+6)</f>
        <v>0.05</v>
      </c>
      <c r="BQ370" s="1">
        <f>INDEX(Input!$1:$1048576,BQ$93,$C370*2+6)</f>
        <v>5.45E-2</v>
      </c>
      <c r="BR370" s="1">
        <f>INDEX(Input!$1:$1048576,BR$93,$C370*2+6)</f>
        <v>5.45E-2</v>
      </c>
      <c r="BS370" s="1">
        <f>INDEX(Input!$1:$1048576,BS$93,$C370*2+6)</f>
        <v>0.05</v>
      </c>
      <c r="BT370" s="1">
        <f>INDEX(Input!$1:$1048576,BT$93,$C370*2+6)</f>
        <v>0.05</v>
      </c>
      <c r="BU370" s="1">
        <f>INDEX(Input!$1:$1048576,BU$93,$C370*2+6)</f>
        <v>0.05</v>
      </c>
      <c r="BV370" s="1">
        <f>INDEX(Input!$1:$1048576,BV$93,$C370*2+6)</f>
        <v>5.5E-2</v>
      </c>
      <c r="BW370" s="1">
        <f>INDEX(Input!$1:$1048576,BW$93,$C370*2+6)</f>
        <v>0.06</v>
      </c>
      <c r="BX370" s="127">
        <f>INDEX(Input!$1:$1048576,BX$93,$C370*2+6)</f>
        <v>19985</v>
      </c>
      <c r="BY370" s="20">
        <f>INDEX(Input!$1:$1048576,BY$93,$C370*2+6)</f>
        <v>0.1</v>
      </c>
      <c r="BZ370" s="20">
        <f>INDEX(Input!$1:$1048576,BZ$93,$C370*2+6)</f>
        <v>0.1</v>
      </c>
      <c r="CA370" s="20">
        <f>INDEX(Input!$1:$1048576,CA$93,$C370*2+6)</f>
        <v>0.1</v>
      </c>
      <c r="CB370" s="20">
        <f>INDEX(Input!$1:$1048576,CB$93,$C370*2+6)</f>
        <v>0.1</v>
      </c>
      <c r="CC370" s="20">
        <f>INDEX(Input!$1:$1048576,CC$93,$C370*2+6)</f>
        <v>0.1</v>
      </c>
      <c r="CD370" s="384">
        <f>INDEX(Input!$1:$1048576,CD$93,$C370*2+6)</f>
        <v>0.1</v>
      </c>
      <c r="CE370" s="384">
        <f>INDEX(Input!$1:$1048576,CE$93,$C370*2+6)</f>
        <v>0.1</v>
      </c>
      <c r="CF370" s="384">
        <f>INDEX(Input!$1:$1048576,CF$93,$C370*2+6)</f>
        <v>0.1</v>
      </c>
      <c r="CG370" s="384">
        <f>INDEX(Input!$1:$1048576,CG$93,$C370*2+6)</f>
        <v>0.1</v>
      </c>
      <c r="CH370" s="384">
        <f>INDEX(Input!$1:$1048576,CH$93,$C370*2+6)</f>
        <v>0.1</v>
      </c>
      <c r="CI370" s="304">
        <f t="shared" si="994"/>
        <v>2037.0236024844721</v>
      </c>
      <c r="CJ370" s="16" t="str">
        <f>INDEX(Input!$1:$1048576,CJ$93,$C370*2+6)</f>
        <v>N</v>
      </c>
      <c r="CK370" s="1" t="str">
        <f t="shared" si="995"/>
        <v>Market</v>
      </c>
      <c r="CL370" s="1" t="str">
        <f t="shared" si="996"/>
        <v>Market</v>
      </c>
      <c r="CM370" s="1" t="str">
        <f t="shared" si="997"/>
        <v>Market</v>
      </c>
      <c r="CN370" s="1" t="str">
        <f t="shared" si="998"/>
        <v>Market</v>
      </c>
      <c r="CO370" s="1" t="str">
        <f t="shared" si="999"/>
        <v>Market</v>
      </c>
      <c r="CP370" s="304">
        <f t="shared" si="1000"/>
        <v>2000</v>
      </c>
      <c r="CQ370" s="1">
        <f t="shared" si="1001"/>
        <v>0</v>
      </c>
      <c r="CR370" s="1">
        <f t="shared" si="1002"/>
        <v>0</v>
      </c>
      <c r="CS370" s="1">
        <f t="shared" si="1003"/>
        <v>0</v>
      </c>
      <c r="CT370" s="1">
        <f t="shared" si="1004"/>
        <v>2.7999999999999997E-2</v>
      </c>
      <c r="CU370" s="1">
        <f t="shared" si="1005"/>
        <v>3.9E-2</v>
      </c>
      <c r="CV370" s="304">
        <f t="shared" si="1006"/>
        <v>1554.9999999999991</v>
      </c>
      <c r="CW370" s="20" t="s">
        <v>122</v>
      </c>
      <c r="CX370" s="20" t="s">
        <v>122</v>
      </c>
      <c r="CY370" s="20" t="s">
        <v>122</v>
      </c>
      <c r="CZ370" s="20" t="s">
        <v>122</v>
      </c>
      <c r="DA370" s="20" t="s">
        <v>122</v>
      </c>
      <c r="DB370" s="503">
        <f t="shared" si="1007"/>
        <v>0</v>
      </c>
      <c r="DC370" s="127">
        <v>0</v>
      </c>
      <c r="DD370" s="127">
        <v>0</v>
      </c>
      <c r="DE370" s="127">
        <v>0</v>
      </c>
      <c r="DF370" s="127">
        <v>0</v>
      </c>
      <c r="DG370" s="127">
        <v>0</v>
      </c>
      <c r="DH370" s="127">
        <v>0</v>
      </c>
      <c r="DI370" s="127">
        <v>0</v>
      </c>
      <c r="DJ370" s="127">
        <v>0</v>
      </c>
      <c r="DK370" s="127">
        <v>0</v>
      </c>
      <c r="DL370" s="127">
        <v>0</v>
      </c>
      <c r="DM370" s="304">
        <f>INDEX(Input!$1:$1048576,DM$93,$C370*2+6)</f>
        <v>21036.84210526316</v>
      </c>
      <c r="DN370" s="20">
        <v>0</v>
      </c>
      <c r="DO370" s="20">
        <v>0</v>
      </c>
      <c r="DP370" s="20">
        <v>0</v>
      </c>
      <c r="DQ370" s="20">
        <v>0</v>
      </c>
      <c r="DR370" s="20">
        <v>0</v>
      </c>
      <c r="DS370" s="20">
        <f>INDEX(Input!$1:$1048576,DS$93,$C370*2+6)</f>
        <v>0.6</v>
      </c>
      <c r="DT370" s="20">
        <f>INDEX(Input!$1:$1048576,DT$93,$C370*2+6)</f>
        <v>0.55000000000000004</v>
      </c>
      <c r="DU370" s="20">
        <f>INDEX(Input!$1:$1048576,DU$93,$C370*2+6)</f>
        <v>0.52</v>
      </c>
      <c r="DV370" s="20">
        <f>INDEX(Input!$1:$1048576,DV$93,$C370*2+6)</f>
        <v>0.5</v>
      </c>
      <c r="DW370" s="20">
        <f>INDEX(Input!$1:$1048576,DW$93,$C370*2+6)</f>
        <v>0.45</v>
      </c>
      <c r="DX370" s="20"/>
      <c r="DY370" s="7">
        <v>0.11243413246481722</v>
      </c>
      <c r="DZ370" s="7">
        <v>0</v>
      </c>
      <c r="EA370" s="7">
        <v>0.71241835871337778</v>
      </c>
      <c r="EB370" s="7">
        <v>0</v>
      </c>
      <c r="EC370" s="7">
        <v>0</v>
      </c>
      <c r="ED370" s="7">
        <v>0</v>
      </c>
      <c r="EE370" s="7">
        <v>0</v>
      </c>
      <c r="EF370" s="7">
        <v>0</v>
      </c>
      <c r="EG370" s="7">
        <v>0</v>
      </c>
      <c r="EH370" s="7">
        <v>1.4510014987385517E-2</v>
      </c>
      <c r="EI370" s="7">
        <v>4.0653046919026485E-2</v>
      </c>
      <c r="EJ370" s="7">
        <v>0.32837950751256428</v>
      </c>
      <c r="EK370" s="7">
        <v>0.44609784927173574</v>
      </c>
      <c r="EL370" s="7">
        <v>0.1703595813092878</v>
      </c>
      <c r="EM370" s="7">
        <v>6.3817912930169848E-2</v>
      </c>
      <c r="EN370" s="7">
        <v>6.2814101654771526E-2</v>
      </c>
      <c r="EO370" s="7">
        <v>0.78063995902491956</v>
      </c>
      <c r="EP370" s="7">
        <v>6.4401909814965116E-2</v>
      </c>
      <c r="EQ370" s="7">
        <v>6.0249735541800305E-2</v>
      </c>
      <c r="ER370" s="7">
        <v>3.189429396354352E-2</v>
      </c>
      <c r="ES370" s="7">
        <v>0.11132959589163516</v>
      </c>
      <c r="ET370" s="7">
        <v>0.17514750882180505</v>
      </c>
      <c r="EU370" s="6">
        <v>2361</v>
      </c>
      <c r="EV370" s="6">
        <v>0</v>
      </c>
      <c r="EW370" s="6">
        <v>2361</v>
      </c>
      <c r="EX370" s="6">
        <v>0</v>
      </c>
      <c r="EY370" s="6">
        <v>3630.8674486171735</v>
      </c>
      <c r="EZ370" s="6">
        <v>2289</v>
      </c>
      <c r="FA370" s="6">
        <v>0</v>
      </c>
      <c r="FB370" s="6">
        <v>0</v>
      </c>
      <c r="FC370" s="6">
        <v>0</v>
      </c>
      <c r="FD370" s="6">
        <v>0</v>
      </c>
      <c r="FE370" s="6">
        <v>0</v>
      </c>
      <c r="FF370" s="6">
        <v>0</v>
      </c>
      <c r="FG370" s="6">
        <v>0</v>
      </c>
      <c r="FH370" s="6">
        <v>1172.0309109060324</v>
      </c>
      <c r="FI370" s="6">
        <v>1553.9796069512399</v>
      </c>
      <c r="FJ370" s="6">
        <v>2101.2110117447405</v>
      </c>
      <c r="FK370" s="6">
        <v>1334.1543630076699</v>
      </c>
      <c r="FL370" s="6">
        <v>907.07682140966324</v>
      </c>
      <c r="FM370" s="6">
        <v>1519.8674486171735</v>
      </c>
      <c r="FN370" s="6">
        <v>0</v>
      </c>
      <c r="FO370" s="6">
        <v>0</v>
      </c>
      <c r="FP370" s="6">
        <v>0</v>
      </c>
      <c r="FQ370" s="6">
        <v>0</v>
      </c>
      <c r="FR370" s="6">
        <v>0</v>
      </c>
      <c r="FS370" s="6">
        <v>0</v>
      </c>
      <c r="FT370" s="7">
        <v>0.82485249117819504</v>
      </c>
      <c r="FU370" s="7">
        <v>6.3817912930169848E-2</v>
      </c>
      <c r="FV370" s="7">
        <v>0.11132959589163516</v>
      </c>
      <c r="FW370" s="6">
        <v>2361</v>
      </c>
      <c r="FX370" s="6">
        <v>3630.8674486171735</v>
      </c>
      <c r="FY370" s="6">
        <v>2289</v>
      </c>
      <c r="FZ370" s="6">
        <v>1858.9243755539039</v>
      </c>
      <c r="GA370" s="6">
        <v>2434.02455936451</v>
      </c>
      <c r="GB370" s="6">
        <v>17550.975440635491</v>
      </c>
      <c r="GC370" s="7">
        <v>2.9156573141622111E-2</v>
      </c>
      <c r="GD370" s="7">
        <v>3.1862422195581344E-2</v>
      </c>
      <c r="GE370" s="7"/>
      <c r="GF370" s="7"/>
      <c r="GG370" s="7">
        <v>9.2804083690361083E-2</v>
      </c>
      <c r="GH370" s="42">
        <v>3.2249852543303286</v>
      </c>
      <c r="GI370" s="6">
        <v>8630.9521183867619</v>
      </c>
      <c r="GJ370" s="14">
        <v>0.50394797582841733</v>
      </c>
      <c r="GK370" s="14">
        <v>0.50887573065309732</v>
      </c>
      <c r="GL370" s="14">
        <v>0.49605202417158284</v>
      </c>
      <c r="GM370" s="14">
        <v>0.4911242693469024</v>
      </c>
      <c r="GO370" s="5">
        <v>343.14810671672558</v>
      </c>
      <c r="GP370" s="5">
        <v>298.1047308538179</v>
      </c>
      <c r="GQ370" s="5">
        <v>535.04305713031317</v>
      </c>
      <c r="GR370" s="5">
        <v>410.15490233172511</v>
      </c>
      <c r="GS370" s="5">
        <v>339.42744393800166</v>
      </c>
      <c r="GT370" s="5">
        <v>293.4407446948278</v>
      </c>
      <c r="GU370" s="5">
        <v>258.04012322764959</v>
      </c>
      <c r="GV370" s="39" t="s">
        <v>392</v>
      </c>
      <c r="GW370" s="5">
        <v>440.98611111111109</v>
      </c>
      <c r="GX370" s="5">
        <v>330.73958333333331</v>
      </c>
      <c r="GY370" s="5">
        <v>264.59166666666664</v>
      </c>
      <c r="GZ370" s="5">
        <v>239.78936683672671</v>
      </c>
      <c r="HA370" s="5">
        <v>216.26912746293831</v>
      </c>
      <c r="HB370" s="39">
        <v>250.54380690141514</v>
      </c>
      <c r="HC370" s="5">
        <v>187.140625</v>
      </c>
      <c r="HD370" s="5">
        <v>171.45330774853798</v>
      </c>
      <c r="HE370" s="5">
        <v>177.50180921052629</v>
      </c>
      <c r="HF370" s="5">
        <v>167.9756304824561</v>
      </c>
      <c r="HG370" s="5">
        <v>166.75888157894735</v>
      </c>
      <c r="HH370" s="39">
        <v>172.46897299090838</v>
      </c>
      <c r="HI370" s="16"/>
      <c r="HJ370" s="19" t="str">
        <f t="shared" ref="HJ370" si="1076">HJ369</f>
        <v>On</v>
      </c>
      <c r="HK370" s="1" t="str">
        <f t="shared" si="1067"/>
        <v>On</v>
      </c>
      <c r="HL370" s="16"/>
      <c r="HM370" s="639">
        <f t="shared" si="1023"/>
        <v>2.2758057894877178E-2</v>
      </c>
      <c r="HN370" s="639">
        <f t="shared" si="1024"/>
        <v>1.416759231746561E-3</v>
      </c>
      <c r="HO370" s="639">
        <f t="shared" si="1025"/>
        <v>4.5732401537654987E-3</v>
      </c>
      <c r="HP370" s="644">
        <f>(FT370*$GD370-HM370)/$JF370*INDEX(Input!$1:$1048576,$JG$93,$C370*2+6)</f>
        <v>197.34279899123663</v>
      </c>
      <c r="HQ370" s="644">
        <f>(FU370*$GD370-HN370)/$JF370*INDEX(Input!$1:$1048576,$JG$93,$C370*2+6)</f>
        <v>34.53384055605612</v>
      </c>
      <c r="HR370" s="644">
        <f>(FV370*$GD370-HO370)/$JF370*INDEX(Input!$1:$1048576,$JG$93,$C370*2+6)</f>
        <v>-57.46041849434075</v>
      </c>
      <c r="HS370" s="644">
        <f t="shared" si="1014"/>
        <v>-89.067905502141457</v>
      </c>
      <c r="HT370" s="644">
        <f t="shared" si="1026"/>
        <v>164.42138716680611</v>
      </c>
      <c r="HU370" s="644">
        <f t="shared" si="1027"/>
        <v>21.391179864670114</v>
      </c>
      <c r="HV370" s="648">
        <f t="shared" si="1028"/>
        <v>0</v>
      </c>
      <c r="HW370" s="648">
        <f t="shared" si="1029"/>
        <v>0</v>
      </c>
      <c r="HX370" s="648">
        <f t="shared" si="1030"/>
        <v>0</v>
      </c>
      <c r="HY370" s="644">
        <f>INDEX(Input!$1:$1048576,HY$93,$C370*2+6)*INDEX(Input!$1:$1048576,$JG$93,$C370*2+6)</f>
        <v>509.00000000000006</v>
      </c>
      <c r="HZ370" s="644">
        <f>INDEX(Input!$1:$1048576,HZ$93,$C370*2+6)*INDEX(Input!$1:$1048576,$JG$93,$C370*2+6)</f>
        <v>844</v>
      </c>
      <c r="IA370" s="644">
        <f>INDEX(Input!$1:$1048576,IA$93,$C370*2+6)*INDEX(Input!$1:$1048576,$JG$93,$C370*2+6)</f>
        <v>257</v>
      </c>
      <c r="IB370" s="644">
        <f t="shared" si="1051"/>
        <v>617.27489348909523</v>
      </c>
      <c r="IC370" s="644">
        <f t="shared" si="1052"/>
        <v>1042.9552277228622</v>
      </c>
      <c r="ID370" s="644">
        <f>IF(AND(INDEX(Input!$1:$1048576,IA$93,$C370*2+7)="TOS",Y370&lt;=INDEX(Y:Y,MATCH(C370*1000+2,A:A))),0,1)*MAX(IA370+HR370+HU370+HX370,0%)</f>
        <v>220.93076137032935</v>
      </c>
      <c r="IE370" s="128">
        <f t="shared" si="1015"/>
        <v>0.32813508892538545</v>
      </c>
      <c r="IF370" s="128">
        <f t="shared" si="1016"/>
        <v>0.55442106912790368</v>
      </c>
      <c r="IG370" s="128">
        <f t="shared" si="1031"/>
        <v>0.11744384194671095</v>
      </c>
      <c r="IH370" s="21"/>
      <c r="II370" s="19">
        <f t="shared" si="1032"/>
        <v>1410.4999999999998</v>
      </c>
      <c r="IJ370" s="19">
        <f t="shared" si="1033"/>
        <v>2134.9731585778086</v>
      </c>
      <c r="IK370" s="19">
        <f t="shared" si="1034"/>
        <v>2103.5</v>
      </c>
      <c r="IL370" s="19">
        <f t="shared" si="1053"/>
        <v>950.50000000000023</v>
      </c>
      <c r="IM370" s="19">
        <f t="shared" si="1035"/>
        <v>1495.8942900393649</v>
      </c>
      <c r="IN370" s="19">
        <f t="shared" si="1036"/>
        <v>185.5</v>
      </c>
      <c r="IO370" s="39">
        <f t="shared" si="1037"/>
        <v>0</v>
      </c>
      <c r="IP370" s="39">
        <f t="shared" si="1038"/>
        <v>0</v>
      </c>
      <c r="IQ370" s="39">
        <f t="shared" si="1039"/>
        <v>0</v>
      </c>
      <c r="IR370" s="39">
        <v>0</v>
      </c>
      <c r="IS370" s="39">
        <v>0</v>
      </c>
      <c r="IT370" s="39">
        <v>0</v>
      </c>
      <c r="IU370" s="39">
        <v>0</v>
      </c>
      <c r="IV370" s="39">
        <v>0</v>
      </c>
      <c r="IW370" s="39">
        <v>0</v>
      </c>
      <c r="IX370" s="39">
        <f>INDEX(Input!$1:$1048576,IX$93,$C370*2+6)+INDEX(Input!$1:$1048576,IX$94,$C370*2+6)</f>
        <v>1611</v>
      </c>
      <c r="IY370" s="39">
        <f>INDEX(Input!$1:$1048576,IY$93,$C370*2+6)+INDEX(Input!$1:$1048576,IY$94,$C370*2+6)</f>
        <v>2471.0624533823611</v>
      </c>
      <c r="IZ370" s="39">
        <f>INDEX(Input!$1:$1048576,IZ$93,$C370*2+6)+INDEX(Input!$1:$1048576,IZ$94,$C370*2+6)</f>
        <v>3994.7164157747857</v>
      </c>
      <c r="JA370" s="19">
        <f t="shared" si="1054"/>
        <v>2561.5</v>
      </c>
      <c r="JB370" s="19">
        <f t="shared" si="1055"/>
        <v>3966.9567434217261</v>
      </c>
      <c r="JC370" s="19">
        <f t="shared" si="1056"/>
        <v>4180.2164157747857</v>
      </c>
      <c r="JD370" s="19">
        <f t="shared" si="1057"/>
        <v>3530.8231051916955</v>
      </c>
      <c r="JE370" s="21"/>
      <c r="JF370" s="1">
        <f t="shared" si="1040"/>
        <v>2.8748057280389237E-2</v>
      </c>
      <c r="JG370" s="15">
        <f>INDEX(Input!$1:$1048576,JG$93,$C370*2+6)/(1+VLOOKUP(C370*1000+INDEX(Input!$1:$1048576,JG$93+1,$C370*2+6),$A:$KK,$JK$92,FALSE))</f>
        <v>1610</v>
      </c>
      <c r="JH370" s="1">
        <f t="shared" si="1058"/>
        <v>0.10833305655462858</v>
      </c>
      <c r="JI370" s="1">
        <f t="shared" si="1059"/>
        <v>6.008985188157439E-2</v>
      </c>
      <c r="JJ370" s="1">
        <f t="shared" si="1017"/>
        <v>0</v>
      </c>
      <c r="JK370" s="1">
        <f t="shared" si="1018"/>
        <v>0.16842290843620297</v>
      </c>
      <c r="JL370" s="15">
        <f t="shared" si="1060"/>
        <v>271.16088258228677</v>
      </c>
      <c r="JM370" s="15">
        <f t="shared" si="948"/>
        <v>1881.1608825822868</v>
      </c>
      <c r="JN370" s="21"/>
      <c r="JO370" s="19">
        <f>INDEX(Input!$1:$1048576,JO$93,$C370*2+6)</f>
        <v>5995.5</v>
      </c>
      <c r="JP370" s="19">
        <f>INDEX(Input!$1:$1048576,JP$93,$C370*2+6)</f>
        <v>2442.3713226762939</v>
      </c>
      <c r="JQ370" s="39">
        <f t="shared" si="1068"/>
        <v>2464.6768948083045</v>
      </c>
      <c r="JR370" s="39">
        <f t="shared" si="951"/>
        <v>1088.4517825154016</v>
      </c>
      <c r="JS370" s="39">
        <f t="shared" si="1069"/>
        <v>6.6420463088043409</v>
      </c>
      <c r="JT370" s="39">
        <f t="shared" si="1061"/>
        <v>2.7098284792955076</v>
      </c>
      <c r="JU370" s="385">
        <f>(JQ370*JM370-INDEX(Input!$1:$1048576,Input!A$18,$C370*2+6)*JL370*INDEX(Input!$1:$1048576,Input!A$19,$C370*2+6))/1000000</f>
        <v>4.6364537627177604</v>
      </c>
      <c r="JV370" s="39">
        <f t="shared" si="958"/>
        <v>-1.0840834077734067</v>
      </c>
      <c r="JW370" s="1">
        <f t="shared" si="949"/>
        <v>-0.18950727448561042</v>
      </c>
      <c r="JX370" s="19">
        <f t="shared" si="1073"/>
        <v>9993.434353397859</v>
      </c>
      <c r="JZ370" s="341"/>
      <c r="KA370" s="342"/>
      <c r="KB370" s="469">
        <f t="shared" si="1070"/>
        <v>2.5190675447988795</v>
      </c>
      <c r="KI370" s="473">
        <f t="shared" si="1019"/>
        <v>108.27489348909518</v>
      </c>
      <c r="KJ370" s="473">
        <f t="shared" si="1020"/>
        <v>198.95522772286245</v>
      </c>
      <c r="KK370" s="473">
        <f t="shared" si="1062"/>
        <v>-36.069238629670622</v>
      </c>
      <c r="KN370" s="544">
        <f t="shared" si="1074"/>
        <v>3002</v>
      </c>
      <c r="KO370" s="541">
        <f t="shared" si="1041"/>
        <v>0.13382272883044055</v>
      </c>
      <c r="KP370" s="546">
        <f t="shared" si="1042"/>
        <v>964.26825752617333</v>
      </c>
      <c r="KQ370" s="546">
        <f t="shared" si="1043"/>
        <v>894.90967980299729</v>
      </c>
      <c r="KR370" s="548">
        <f t="shared" si="1044"/>
        <v>2.4077346630556553</v>
      </c>
      <c r="KS370" s="548">
        <f t="shared" si="1045"/>
        <v>2.5943423794914562</v>
      </c>
      <c r="KT370" s="473">
        <f t="shared" si="1071"/>
        <v>1026.1618045255443</v>
      </c>
      <c r="KU370" s="663">
        <f t="shared" si="1063"/>
        <v>4.7161155783602586</v>
      </c>
    </row>
    <row r="371" spans="1:307" s="26" customFormat="1" ht="15" outlineLevel="1">
      <c r="A371" s="561">
        <f t="shared" si="1046"/>
        <v>3071</v>
      </c>
      <c r="B371" s="561">
        <f t="shared" si="1064"/>
        <v>71</v>
      </c>
      <c r="C371" s="561">
        <f t="shared" si="1065"/>
        <v>3</v>
      </c>
      <c r="D371" s="561" t="str">
        <f t="shared" si="974"/>
        <v xml:space="preserve">1000 CC, 0/1.8/2.8/3.9, 2000 Combo, </v>
      </c>
      <c r="E371" s="475">
        <f>INDEX(Input!$1:$1048576,E$93,$C371*2+MIN($B371,2)+5)
+INDEX(Scenarios!E$121:E$200,MATCH($B371,Scenarios!$B$121:$B$200,0))</f>
        <v>2287.0236024844721</v>
      </c>
      <c r="F371" s="475">
        <f>INDEX(Input!$1:$1048576,F$93,$C371*2+MIN($B371,2)+5)
+INDEX(Scenarios!F$121:F$200,MATCH($B371,Scenarios!$B$121:$B$200,0))</f>
        <v>0</v>
      </c>
      <c r="G371" s="475">
        <f>INDEX(Input!$1:$1048576,G$93,$C371*2+MIN($B371,2)+5)
+INDEX(Scenarios!G$121:G$200,MATCH($B371,Scenarios!$B$121:$B$200,0))</f>
        <v>0</v>
      </c>
      <c r="H371" s="475">
        <f>INDEX(Input!$1:$1048576,H$93,$C371*2+MIN($B371,2)+5)
+INDEX(Scenarios!H$121:H$200,MATCH($B371,Scenarios!$B$121:$B$200,0))</f>
        <v>0</v>
      </c>
      <c r="I371" s="476">
        <f>INDEX(Input!$1:$1048576,I$93,$C371*2+MIN($B371,2)+5)</f>
        <v>0.7</v>
      </c>
      <c r="J371" s="476" t="str">
        <f>INDEX(Input!$1:$1048576,J$93,$C371*2+MIN($B371,2)+5)</f>
        <v>Market</v>
      </c>
      <c r="K371" s="476" t="str">
        <f>INDEX(Input!$1:$1048576,K$93,$C371*2+MIN($B371,2)+5)</f>
        <v>Market</v>
      </c>
      <c r="L371" s="476" t="str">
        <f>INDEX(Input!$1:$1048576,L$93,$C371*2+MIN($B371,2)+5)</f>
        <v>Market</v>
      </c>
      <c r="M371" s="476" t="str">
        <f>INDEX(Input!$1:$1048576,M$93,$C371*2+MIN($B371,2)+5)</f>
        <v>Market</v>
      </c>
      <c r="N371" s="476" t="str">
        <f>INDEX(Input!$1:$1048576,N$93,$C371*2+MIN($B371,2)+5)</f>
        <v>Market</v>
      </c>
      <c r="O371" s="476" t="str">
        <f>INDEX(Input!$1:$1048576,O$93,$C371*2+MIN($B371,2)+5)</f>
        <v>Market</v>
      </c>
      <c r="P371" s="476" t="str">
        <f>INDEX(Input!$1:$1048576,P$93,$C371*2+MIN($B371,2)+5)</f>
        <v>N</v>
      </c>
      <c r="Q371" s="477">
        <f>INDEX(Input!$1:$1048576,Q$93,$C371*2+MIN($B371,2)+5)
+INDEX(Scenarios!Q$121:Q$200,MATCH($B371,Scenarios!$B$121:$B$200,0))</f>
        <v>2000</v>
      </c>
      <c r="R371" s="478">
        <f>IFERROR(MAX(0,INDEX(Input!$1:$1048576,R$93,$C371*2+MIN($B371,2)+5)
+INDEX(Scenarios!R$121:R$200,MATCH($B371,Scenarios!$B$121:$B$200,0)),),"Market")</f>
        <v>0</v>
      </c>
      <c r="S371" s="478">
        <f>IFERROR(MAX(0,INDEX(Input!$1:$1048576,S$93,$C371*2+MIN($B371,2)+5)
+INDEX(Scenarios!S$121:S$200,MATCH($B371,Scenarios!$B$121:$B$200,0)),),"Market")</f>
        <v>0</v>
      </c>
      <c r="T371" s="478">
        <f>IFERROR(MAX(0,INDEX(Input!$1:$1048576,T$93,$C371*2+MIN($B371,2)+5)
+INDEX(Scenarios!T$121:T$200,MATCH($B371,Scenarios!$B$121:$B$200,0)),),"Market")</f>
        <v>0</v>
      </c>
      <c r="U371" s="478">
        <f>IFERROR(MAX(0,INDEX(Input!$1:$1048576,U$93,$C371*2+MIN($B371,2)+5)
+INDEX(Scenarios!U$121:U$200,MATCH($B371,Scenarios!$B$121:$B$200,0)),),"Market")</f>
        <v>0</v>
      </c>
      <c r="V371" s="478">
        <f>IFERROR(MAX(0,INDEX(Input!$1:$1048576,V$93,$C371*2+MIN($B371,2)+5)
+INDEX(Scenarios!V$121:V$200,MATCH($B371,Scenarios!$B$121:$B$200,0)),),"Market")</f>
        <v>2.7999999999999997E-2</v>
      </c>
      <c r="W371" s="885">
        <f>IFERROR(MAX(0,INDEX(Input!$1:$1048576,W$93,$C371*2+MIN($B371,2)+5)-0%,),"Market")</f>
        <v>3.9E-2</v>
      </c>
      <c r="X371" s="476" t="str">
        <f>INDEX(Input!$1:$1048576,X$93,$C371*2+MIN($B371,2)+5)</f>
        <v>Y</v>
      </c>
      <c r="Y371" s="475">
        <f>INDEX(Input!$1:$1048576,Y$93,$C371*2+MIN($B371,2)+5)
++INDEX(Scenarios!Y$121:Y$200,MATCH($B371,Scenarios!$B$121:$B$200,0))</f>
        <v>1554.9999999999991</v>
      </c>
      <c r="Z371" s="477">
        <f>INDEX(Input!$1:$1048576,Z$93,$C371*2+MIN($B371,2)+5)
+INDEX(Scenarios!Z$121:Z$200,MATCH($B371,Scenarios!$B$121:$B$200,0))</f>
        <v>0</v>
      </c>
      <c r="AA371" s="475">
        <f>INDEX(Input!$1:$1048576,AA$93,$C371*2+MIN($B371,2)+5)
+INDEX(Scenarios!AA$121:AA$200,MATCH($B371,Scenarios!$B$121:$B$200,0))</f>
        <v>0</v>
      </c>
      <c r="AB371" s="476">
        <f>INDEX(Input!$1:$1048576,AB$93,$C371*2+MIN($B371,2)+5)</f>
        <v>0.27</v>
      </c>
      <c r="AC371" s="475">
        <f>INDEX(Input!$1:$1048576,AC$93,$C371*2+MIN($B371,2)+5)
+INDEX(Scenarios!AC$121:AC$200,MATCH($B371,Scenarios!$B$121:$B$200,0))</f>
        <v>0</v>
      </c>
      <c r="AD371" s="476">
        <f>INDEX(Input!$1:$1048576,AD$93,$C371*2+MIN($B371,2)+5)</f>
        <v>0.27</v>
      </c>
      <c r="AE371" s="475">
        <f>INDEX(Input!$1:$1048576,AE$93,$C371*2+MIN($B371,2)+5)
+INDEX(Scenarios!AE$121:AE$200,MATCH($B371,Scenarios!$B$121:$B$200,0))</f>
        <v>0</v>
      </c>
      <c r="AF371" s="476">
        <f>INDEX(Input!$1:$1048576,AF$93,$C371*2+MIN($B371,2)+5)</f>
        <v>0.68200000000000005</v>
      </c>
      <c r="AG371" s="475">
        <f>INDEX(Input!$1:$1048576,AG$93,$C371*2+MIN($B371,2)+5)
+INDEX(Scenarios!AG$121:AG$200,MATCH($B371,Scenarios!$B$121:$B$200,0))</f>
        <v>500</v>
      </c>
      <c r="AH371" s="476">
        <f>INDEX(Input!$1:$1048576,AH$93,$C371*2+MIN($B371,2)+5)</f>
        <v>1</v>
      </c>
      <c r="AI371" s="475">
        <f>INDEX(Input!$1:$1048576,AI$93,$C371*2+MIN($B371,2)+5)
+INDEX(Scenarios!AI$121:AI$200,MATCH($B371,Scenarios!$B$121:$B$200,0))</f>
        <v>0</v>
      </c>
      <c r="AJ371" s="476">
        <f>INDEX(Input!$1:$1048576,AJ$93,$C371*2+MIN($B371,2)+5)</f>
        <v>0.27</v>
      </c>
      <c r="AK371" s="150">
        <f>ROUND(INDEX(Input!$1:$1048576,AK$93,$C370*2+MIN($B371,1)+5)+(Y371-VLOOKUP($C371*1000+1,$A:$HH,Y$92,FALSE)),0)</f>
        <v>2977</v>
      </c>
      <c r="AL371" s="150">
        <f>ROUND(INDEX(Input!$1:$1048576,AL$93,$C370*2+MIN($B371,1)+5)-(Y371-VLOOKUP($C371*1000+1,$A:$HH,Y$92,FALSE))/36,0)</f>
        <v>3395</v>
      </c>
      <c r="AM371" s="32" t="str">
        <f t="shared" si="1047"/>
        <v>std/std/std/std</v>
      </c>
      <c r="AN371" s="32" t="str">
        <f t="shared" si="1048"/>
        <v>$2000 + 0/0/0/2.8/3.9</v>
      </c>
      <c r="AO371" s="32" t="str">
        <f t="shared" si="1049"/>
        <v>0/0/0/2.8/3.9</v>
      </c>
      <c r="AP371" s="32" t="str">
        <f t="shared" si="993"/>
        <v>0/1.8/2.8/3.9</v>
      </c>
      <c r="AQ371" s="536">
        <f t="shared" si="992"/>
        <v>0.32663932605722368</v>
      </c>
      <c r="AR371" s="32"/>
      <c r="AS371" s="302"/>
      <c r="AT371" s="3">
        <f t="shared" si="1066"/>
        <v>71</v>
      </c>
      <c r="AU371" s="41" t="s">
        <v>121</v>
      </c>
      <c r="AV371" s="41" t="s">
        <v>116</v>
      </c>
      <c r="AW371" s="41" t="str">
        <f>INDEX(Input!$1:$1048576,AW$93,$C371*2+6)</f>
        <v>Kia</v>
      </c>
      <c r="AX371" s="41" t="str">
        <f>INDEX(Input!$1:$1048576,AX$93,$C371*2+6)</f>
        <v>Kia-LR - L3</v>
      </c>
      <c r="AY371" s="41" t="str">
        <f>IF(LEN(D371)=0,"",INDEX(Input!$1:$1048576,AY$93,$C371*2+6))</f>
        <v>Compact SUV (52)</v>
      </c>
      <c r="AZ371" s="41" t="str">
        <f>INDEX(Input!$1:$1048576,AZ$93,$C371*2+6)</f>
        <v>Kia Soul</v>
      </c>
      <c r="BA371" s="3">
        <f>INDEX(Input!$1:$1048576,BA$93,$C371*2+6)</f>
        <v>2020</v>
      </c>
      <c r="BB371" s="128">
        <f>INDEX(Input!$1:$1048576,BB$93,$C371*2+6)</f>
        <v>1</v>
      </c>
      <c r="BC371" s="128">
        <f>INDEX(Input!$1:$1048576,BC$93,$C371*2+6)</f>
        <v>0.7</v>
      </c>
      <c r="BD371" s="1">
        <f>INDEX(Input!$1:$1048576,BD$93,$C371*2+6)</f>
        <v>4.4999999999999998E-2</v>
      </c>
      <c r="BE371" s="1">
        <f>INDEX(Input!$1:$1048576,BE$93,$C371*2+6)</f>
        <v>4.4999999999999998E-2</v>
      </c>
      <c r="BF371" s="1">
        <f>INDEX(Input!$1:$1048576,BF$93,$C371*2+6)</f>
        <v>0.05</v>
      </c>
      <c r="BG371" s="1">
        <f>INDEX(Input!$1:$1048576,BG$93,$C371*2+6)</f>
        <v>5.45E-2</v>
      </c>
      <c r="BH371" s="1">
        <f>INDEX(Input!$1:$1048576,BH$93,$C371*2+6)</f>
        <v>5.45E-2</v>
      </c>
      <c r="BI371" s="1">
        <f>INDEX(Input!$1:$1048576,BI$93,$C371*2+6)</f>
        <v>0.05</v>
      </c>
      <c r="BJ371" s="1">
        <f>INDEX(Input!$1:$1048576,BJ$93,$C371*2+6)</f>
        <v>0.05</v>
      </c>
      <c r="BK371" s="1">
        <f>INDEX(Input!$1:$1048576,BK$93,$C371*2+6)</f>
        <v>0.05</v>
      </c>
      <c r="BL371" s="1">
        <f>INDEX(Input!$1:$1048576,BL$93,$C371*2+6)</f>
        <v>5.5E-2</v>
      </c>
      <c r="BM371" s="1">
        <f>INDEX(Input!$1:$1048576,BM$93,$C371*2+6)</f>
        <v>0.06</v>
      </c>
      <c r="BN371" s="1">
        <f>INDEX(Input!$1:$1048576,BN$93,$C371*2+6)</f>
        <v>4.4999999999999998E-2</v>
      </c>
      <c r="BO371" s="1">
        <f>INDEX(Input!$1:$1048576,BO$93,$C371*2+6)</f>
        <v>4.4999999999999998E-2</v>
      </c>
      <c r="BP371" s="1">
        <f>INDEX(Input!$1:$1048576,BP$93,$C371*2+6)</f>
        <v>0.05</v>
      </c>
      <c r="BQ371" s="1">
        <f>INDEX(Input!$1:$1048576,BQ$93,$C371*2+6)</f>
        <v>5.45E-2</v>
      </c>
      <c r="BR371" s="1">
        <f>INDEX(Input!$1:$1048576,BR$93,$C371*2+6)</f>
        <v>5.45E-2</v>
      </c>
      <c r="BS371" s="1">
        <f>INDEX(Input!$1:$1048576,BS$93,$C371*2+6)</f>
        <v>0.05</v>
      </c>
      <c r="BT371" s="1">
        <f>INDEX(Input!$1:$1048576,BT$93,$C371*2+6)</f>
        <v>0.05</v>
      </c>
      <c r="BU371" s="1">
        <f>INDEX(Input!$1:$1048576,BU$93,$C371*2+6)</f>
        <v>0.05</v>
      </c>
      <c r="BV371" s="1">
        <f>INDEX(Input!$1:$1048576,BV$93,$C371*2+6)</f>
        <v>5.5E-2</v>
      </c>
      <c r="BW371" s="1">
        <f>INDEX(Input!$1:$1048576,BW$93,$C371*2+6)</f>
        <v>0.06</v>
      </c>
      <c r="BX371" s="127">
        <f>INDEX(Input!$1:$1048576,BX$93,$C371*2+6)</f>
        <v>19985</v>
      </c>
      <c r="BY371" s="20">
        <f>INDEX(Input!$1:$1048576,BY$93,$C371*2+6)</f>
        <v>0.1</v>
      </c>
      <c r="BZ371" s="20">
        <f>INDEX(Input!$1:$1048576,BZ$93,$C371*2+6)</f>
        <v>0.1</v>
      </c>
      <c r="CA371" s="20">
        <f>INDEX(Input!$1:$1048576,CA$93,$C371*2+6)</f>
        <v>0.1</v>
      </c>
      <c r="CB371" s="20">
        <f>INDEX(Input!$1:$1048576,CB$93,$C371*2+6)</f>
        <v>0.1</v>
      </c>
      <c r="CC371" s="20">
        <f>INDEX(Input!$1:$1048576,CC$93,$C371*2+6)</f>
        <v>0.1</v>
      </c>
      <c r="CD371" s="384">
        <f>INDEX(Input!$1:$1048576,CD$93,$C371*2+6)</f>
        <v>0.1</v>
      </c>
      <c r="CE371" s="384">
        <f>INDEX(Input!$1:$1048576,CE$93,$C371*2+6)</f>
        <v>0.1</v>
      </c>
      <c r="CF371" s="384">
        <f>INDEX(Input!$1:$1048576,CF$93,$C371*2+6)</f>
        <v>0.1</v>
      </c>
      <c r="CG371" s="384">
        <f>INDEX(Input!$1:$1048576,CG$93,$C371*2+6)</f>
        <v>0.1</v>
      </c>
      <c r="CH371" s="384">
        <f>INDEX(Input!$1:$1048576,CH$93,$C371*2+6)</f>
        <v>0.1</v>
      </c>
      <c r="CI371" s="304">
        <f t="shared" si="994"/>
        <v>2287.0236024844721</v>
      </c>
      <c r="CJ371" s="16" t="str">
        <f>INDEX(Input!$1:$1048576,CJ$93,$C371*2+6)</f>
        <v>N</v>
      </c>
      <c r="CK371" s="1" t="str">
        <f t="shared" si="995"/>
        <v>Market</v>
      </c>
      <c r="CL371" s="1" t="str">
        <f t="shared" si="996"/>
        <v>Market</v>
      </c>
      <c r="CM371" s="1" t="str">
        <f t="shared" si="997"/>
        <v>Market</v>
      </c>
      <c r="CN371" s="1" t="str">
        <f t="shared" si="998"/>
        <v>Market</v>
      </c>
      <c r="CO371" s="1" t="str">
        <f t="shared" si="999"/>
        <v>Market</v>
      </c>
      <c r="CP371" s="304">
        <f t="shared" si="1000"/>
        <v>2500</v>
      </c>
      <c r="CQ371" s="1">
        <f t="shared" si="1001"/>
        <v>0</v>
      </c>
      <c r="CR371" s="1">
        <f t="shared" si="1002"/>
        <v>0</v>
      </c>
      <c r="CS371" s="1">
        <f t="shared" si="1003"/>
        <v>0</v>
      </c>
      <c r="CT371" s="1">
        <f t="shared" si="1004"/>
        <v>2.7999999999999997E-2</v>
      </c>
      <c r="CU371" s="1">
        <f t="shared" si="1005"/>
        <v>3.9E-2</v>
      </c>
      <c r="CV371" s="304">
        <f t="shared" si="1006"/>
        <v>1554.9999999999991</v>
      </c>
      <c r="CW371" s="20" t="s">
        <v>122</v>
      </c>
      <c r="CX371" s="20" t="s">
        <v>122</v>
      </c>
      <c r="CY371" s="20" t="s">
        <v>122</v>
      </c>
      <c r="CZ371" s="20" t="s">
        <v>122</v>
      </c>
      <c r="DA371" s="20" t="s">
        <v>122</v>
      </c>
      <c r="DB371" s="503">
        <f t="shared" si="1007"/>
        <v>0</v>
      </c>
      <c r="DC371" s="127">
        <v>0</v>
      </c>
      <c r="DD371" s="127">
        <v>0</v>
      </c>
      <c r="DE371" s="127">
        <v>0</v>
      </c>
      <c r="DF371" s="127">
        <v>0</v>
      </c>
      <c r="DG371" s="127">
        <v>0</v>
      </c>
      <c r="DH371" s="127">
        <v>0</v>
      </c>
      <c r="DI371" s="127">
        <v>0</v>
      </c>
      <c r="DJ371" s="127">
        <v>0</v>
      </c>
      <c r="DK371" s="127">
        <v>0</v>
      </c>
      <c r="DL371" s="127">
        <v>0</v>
      </c>
      <c r="DM371" s="304">
        <f>INDEX(Input!$1:$1048576,DM$93,$C371*2+6)</f>
        <v>21036.84210526316</v>
      </c>
      <c r="DN371" s="20">
        <v>0</v>
      </c>
      <c r="DO371" s="20">
        <v>0</v>
      </c>
      <c r="DP371" s="20">
        <v>0</v>
      </c>
      <c r="DQ371" s="20">
        <v>0</v>
      </c>
      <c r="DR371" s="20">
        <v>0</v>
      </c>
      <c r="DS371" s="20">
        <f>INDEX(Input!$1:$1048576,DS$93,$C371*2+6)</f>
        <v>0.6</v>
      </c>
      <c r="DT371" s="20">
        <f>INDEX(Input!$1:$1048576,DT$93,$C371*2+6)</f>
        <v>0.55000000000000004</v>
      </c>
      <c r="DU371" s="20">
        <f>INDEX(Input!$1:$1048576,DU$93,$C371*2+6)</f>
        <v>0.52</v>
      </c>
      <c r="DV371" s="20">
        <f>INDEX(Input!$1:$1048576,DV$93,$C371*2+6)</f>
        <v>0.5</v>
      </c>
      <c r="DW371" s="20">
        <f>INDEX(Input!$1:$1048576,DW$93,$C371*2+6)</f>
        <v>0.45</v>
      </c>
      <c r="DX371" s="20"/>
      <c r="DY371" s="7">
        <v>0.11572460588041235</v>
      </c>
      <c r="DZ371" s="7">
        <v>0</v>
      </c>
      <c r="EA371" s="7">
        <v>0.71317205112992266</v>
      </c>
      <c r="EB371" s="7">
        <v>0</v>
      </c>
      <c r="EC371" s="7">
        <v>0</v>
      </c>
      <c r="ED371" s="7">
        <v>0</v>
      </c>
      <c r="EE371" s="7">
        <v>0</v>
      </c>
      <c r="EF371" s="7">
        <v>0</v>
      </c>
      <c r="EG371" s="7">
        <v>0</v>
      </c>
      <c r="EH371" s="7">
        <v>1.4510553824866285E-2</v>
      </c>
      <c r="EI371" s="7">
        <v>4.0660993107784649E-2</v>
      </c>
      <c r="EJ371" s="7">
        <v>0.32873799613698851</v>
      </c>
      <c r="EK371" s="7">
        <v>0.44587933986718675</v>
      </c>
      <c r="EL371" s="7">
        <v>0.17021111706317391</v>
      </c>
      <c r="EM371" s="7">
        <v>7.3404579361163166E-2</v>
      </c>
      <c r="EN371" s="7">
        <v>6.2802582673487012E-2</v>
      </c>
      <c r="EO371" s="7">
        <v>0.78062190396928643</v>
      </c>
      <c r="EP371" s="7">
        <v>6.4422239795603312E-2</v>
      </c>
      <c r="EQ371" s="7">
        <v>6.0260584922344276E-2</v>
      </c>
      <c r="ER371" s="7">
        <v>3.1892688639279174E-2</v>
      </c>
      <c r="ES371" s="7">
        <v>9.7698763628501731E-2</v>
      </c>
      <c r="ET371" s="7">
        <v>0.17110334298966498</v>
      </c>
      <c r="EU371" s="6">
        <v>2611</v>
      </c>
      <c r="EV371" s="6">
        <v>0</v>
      </c>
      <c r="EW371" s="6">
        <v>2611</v>
      </c>
      <c r="EX371" s="6">
        <v>0</v>
      </c>
      <c r="EY371" s="6">
        <v>4131.2075915996338</v>
      </c>
      <c r="EZ371" s="6">
        <v>2289</v>
      </c>
      <c r="FA371" s="6">
        <v>0</v>
      </c>
      <c r="FB371" s="6">
        <v>0</v>
      </c>
      <c r="FC371" s="6">
        <v>0</v>
      </c>
      <c r="FD371" s="6">
        <v>0</v>
      </c>
      <c r="FE371" s="6">
        <v>0</v>
      </c>
      <c r="FF371" s="6">
        <v>0</v>
      </c>
      <c r="FG371" s="6">
        <v>0</v>
      </c>
      <c r="FH371" s="6">
        <v>1172.0375777544773</v>
      </c>
      <c r="FI371" s="6">
        <v>1553.9796069512402</v>
      </c>
      <c r="FJ371" s="6">
        <v>2101.211011744741</v>
      </c>
      <c r="FK371" s="6">
        <v>1334.1543630076696</v>
      </c>
      <c r="FL371" s="6">
        <v>907.07682140966313</v>
      </c>
      <c r="FM371" s="6">
        <v>1520.2075915996336</v>
      </c>
      <c r="FN371" s="6">
        <v>0</v>
      </c>
      <c r="FO371" s="6">
        <v>0</v>
      </c>
      <c r="FP371" s="6">
        <v>0</v>
      </c>
      <c r="FQ371" s="6">
        <v>0</v>
      </c>
      <c r="FR371" s="6">
        <v>0</v>
      </c>
      <c r="FS371" s="6">
        <v>0</v>
      </c>
      <c r="FT371" s="7">
        <v>0.82889665701033499</v>
      </c>
      <c r="FU371" s="7">
        <v>7.3404579361163166E-2</v>
      </c>
      <c r="FV371" s="7">
        <v>9.7698763628501731E-2</v>
      </c>
      <c r="FW371" s="6">
        <v>2611</v>
      </c>
      <c r="FX371" s="6">
        <v>4131.2075915996338</v>
      </c>
      <c r="FY371" s="6">
        <v>2289</v>
      </c>
      <c r="FZ371" s="6">
        <v>1858.9243755539039</v>
      </c>
      <c r="GA371" s="6">
        <v>2691.13119691464</v>
      </c>
      <c r="GB371" s="6">
        <v>17293.868803085359</v>
      </c>
      <c r="GC371" s="7">
        <v>2.9156573141622111E-2</v>
      </c>
      <c r="GD371" s="7">
        <v>3.2775027065872375E-2</v>
      </c>
      <c r="GE371" s="7"/>
      <c r="GF371" s="7"/>
      <c r="GG371" s="7">
        <v>0.12410422537224663</v>
      </c>
      <c r="GH371" s="42">
        <v>2.980296340288286</v>
      </c>
      <c r="GI371" s="6">
        <v>9396.8401996867724</v>
      </c>
      <c r="GJ371" s="14">
        <v>0.50394797582841744</v>
      </c>
      <c r="GK371" s="14">
        <v>0.50887573065309777</v>
      </c>
      <c r="GL371" s="14">
        <v>0.49605202417158284</v>
      </c>
      <c r="GM371" s="14">
        <v>0.49112426934690256</v>
      </c>
      <c r="GO371" s="5">
        <v>343.14810671672558</v>
      </c>
      <c r="GP371" s="5">
        <v>293.33520778489498</v>
      </c>
      <c r="GQ371" s="5">
        <v>535.04305713031317</v>
      </c>
      <c r="GR371" s="5">
        <v>410.15490233172511</v>
      </c>
      <c r="GS371" s="5">
        <v>339.42744393800166</v>
      </c>
      <c r="GT371" s="5">
        <v>293.4407446948278</v>
      </c>
      <c r="GU371" s="5">
        <v>258.04012322764959</v>
      </c>
      <c r="GV371" s="39" t="s">
        <v>392</v>
      </c>
      <c r="GW371" s="5">
        <v>427.09722222222223</v>
      </c>
      <c r="GX371" s="5">
        <v>320.32291666666669</v>
      </c>
      <c r="GY371" s="5">
        <v>256.25833333333333</v>
      </c>
      <c r="GZ371" s="5">
        <v>232.23718369803106</v>
      </c>
      <c r="HA371" s="5">
        <v>209.45771593376008</v>
      </c>
      <c r="HB371" s="39">
        <v>242.66571009823861</v>
      </c>
      <c r="HC371" s="5">
        <v>187.140625</v>
      </c>
      <c r="HD371" s="5">
        <v>171.45330774853798</v>
      </c>
      <c r="HE371" s="5">
        <v>177.50180921052629</v>
      </c>
      <c r="HF371" s="5">
        <v>167.9756304824561</v>
      </c>
      <c r="HG371" s="5">
        <v>166.75888157894735</v>
      </c>
      <c r="HH371" s="39">
        <v>172.46888506034441</v>
      </c>
      <c r="HI371" s="16"/>
      <c r="HJ371" s="19" t="str">
        <f t="shared" ref="HJ371" si="1077">HJ370</f>
        <v>On</v>
      </c>
      <c r="HK371" s="1" t="str">
        <f t="shared" si="1067"/>
        <v>On</v>
      </c>
      <c r="HL371" s="16"/>
      <c r="HM371" s="639">
        <f t="shared" si="1023"/>
        <v>2.2758057894877178E-2</v>
      </c>
      <c r="HN371" s="639">
        <f t="shared" si="1024"/>
        <v>1.416759231746561E-3</v>
      </c>
      <c r="HO371" s="639">
        <f t="shared" si="1025"/>
        <v>4.5732401537654987E-3</v>
      </c>
      <c r="HP371" s="644">
        <f>(FT371*$GD371-HM371)/$JF371*INDEX(Input!$1:$1048576,$JG$93,$C371*2+6)</f>
        <v>246.92362384755413</v>
      </c>
      <c r="HQ371" s="644">
        <f>(FU371*$GD371-HN371)/$JF371*INDEX(Input!$1:$1048576,$JG$93,$C371*2+6)</f>
        <v>55.392102242724022</v>
      </c>
      <c r="HR371" s="644">
        <f>(FV371*$GD371-HO371)/$JF371*INDEX(Input!$1:$1048576,$JG$93,$C371*2+6)</f>
        <v>-76.790178697878261</v>
      </c>
      <c r="HS371" s="644">
        <f t="shared" si="1014"/>
        <v>-112.61876202659971</v>
      </c>
      <c r="HT371" s="644">
        <f t="shared" si="1026"/>
        <v>220.52071787365105</v>
      </c>
      <c r="HU371" s="644">
        <f t="shared" si="1027"/>
        <v>26.037930044765375</v>
      </c>
      <c r="HV371" s="648">
        <f t="shared" si="1028"/>
        <v>0</v>
      </c>
      <c r="HW371" s="648">
        <f t="shared" si="1029"/>
        <v>0</v>
      </c>
      <c r="HX371" s="648">
        <f t="shared" si="1030"/>
        <v>0</v>
      </c>
      <c r="HY371" s="644">
        <f>INDEX(Input!$1:$1048576,HY$93,$C371*2+6)*INDEX(Input!$1:$1048576,$JG$93,$C371*2+6)</f>
        <v>509.00000000000006</v>
      </c>
      <c r="HZ371" s="644">
        <f>INDEX(Input!$1:$1048576,HZ$93,$C371*2+6)*INDEX(Input!$1:$1048576,$JG$93,$C371*2+6)</f>
        <v>844</v>
      </c>
      <c r="IA371" s="644">
        <f>INDEX(Input!$1:$1048576,IA$93,$C371*2+6)*INDEX(Input!$1:$1048576,$JG$93,$C371*2+6)</f>
        <v>257</v>
      </c>
      <c r="IB371" s="644">
        <f t="shared" si="1051"/>
        <v>643.30486182095456</v>
      </c>
      <c r="IC371" s="644">
        <f t="shared" si="1052"/>
        <v>1119.9128201163751</v>
      </c>
      <c r="ID371" s="644">
        <f>IF(AND(INDEX(Input!$1:$1048576,IA$93,$C371*2+7)="TOS",Y371&lt;=INDEX(Y:Y,MATCH(C371*1000+2,A:A))),0,1)*MAX(IA371+HR371+HU371+HX371,0%)</f>
        <v>206.2477513468871</v>
      </c>
      <c r="IE371" s="128">
        <f t="shared" si="1015"/>
        <v>0.32663932605722368</v>
      </c>
      <c r="IF371" s="128">
        <f t="shared" si="1016"/>
        <v>0.56863796702887281</v>
      </c>
      <c r="IG371" s="128">
        <f t="shared" si="1031"/>
        <v>0.10472270691390355</v>
      </c>
      <c r="IH371" s="21"/>
      <c r="II371" s="19">
        <f t="shared" si="1032"/>
        <v>1410.4999999999998</v>
      </c>
      <c r="IJ371" s="19">
        <f t="shared" si="1033"/>
        <v>2134.9731585778086</v>
      </c>
      <c r="IK371" s="19">
        <f t="shared" si="1034"/>
        <v>2103.5</v>
      </c>
      <c r="IL371" s="19">
        <f t="shared" si="1053"/>
        <v>1200.5000000000002</v>
      </c>
      <c r="IM371" s="19">
        <f t="shared" si="1035"/>
        <v>1996.2344330218252</v>
      </c>
      <c r="IN371" s="19">
        <f t="shared" si="1036"/>
        <v>185.5</v>
      </c>
      <c r="IO371" s="39">
        <f t="shared" si="1037"/>
        <v>0</v>
      </c>
      <c r="IP371" s="39">
        <f t="shared" si="1038"/>
        <v>0</v>
      </c>
      <c r="IQ371" s="39">
        <f t="shared" si="1039"/>
        <v>0</v>
      </c>
      <c r="IR371" s="39">
        <v>0</v>
      </c>
      <c r="IS371" s="39">
        <v>0</v>
      </c>
      <c r="IT371" s="39">
        <v>0</v>
      </c>
      <c r="IU371" s="39">
        <v>0</v>
      </c>
      <c r="IV371" s="39">
        <v>0</v>
      </c>
      <c r="IW371" s="39">
        <v>0</v>
      </c>
      <c r="IX371" s="39">
        <f>INDEX(Input!$1:$1048576,IX$93,$C371*2+6)+INDEX(Input!$1:$1048576,IX$94,$C371*2+6)</f>
        <v>1611</v>
      </c>
      <c r="IY371" s="39">
        <f>INDEX(Input!$1:$1048576,IY$93,$C371*2+6)+INDEX(Input!$1:$1048576,IY$94,$C371*2+6)</f>
        <v>2471.0624533823611</v>
      </c>
      <c r="IZ371" s="39">
        <f>INDEX(Input!$1:$1048576,IZ$93,$C371*2+6)+INDEX(Input!$1:$1048576,IZ$94,$C371*2+6)</f>
        <v>3994.7164157747857</v>
      </c>
      <c r="JA371" s="19">
        <f t="shared" si="1054"/>
        <v>2811.5</v>
      </c>
      <c r="JB371" s="19">
        <f t="shared" si="1055"/>
        <v>4467.2968864041868</v>
      </c>
      <c r="JC371" s="19">
        <f t="shared" si="1056"/>
        <v>4180.2164157747857</v>
      </c>
      <c r="JD371" s="19">
        <f t="shared" si="1057"/>
        <v>3896.3846633550456</v>
      </c>
      <c r="JE371" s="21"/>
      <c r="JF371" s="1">
        <f t="shared" si="1040"/>
        <v>2.8748057280389237E-2</v>
      </c>
      <c r="JG371" s="15">
        <f>INDEX(Input!$1:$1048576,JG$93,$C371*2+6)/(1+VLOOKUP(C371*1000+INDEX(Input!$1:$1048576,JG$93+1,$C371*2+6),$A:$KK,$JK$92,FALSE))</f>
        <v>1610</v>
      </c>
      <c r="JH371" s="1">
        <f t="shared" si="1058"/>
        <v>0.1400779797468322</v>
      </c>
      <c r="JI371" s="1">
        <f t="shared" si="1059"/>
        <v>8.3192475709202934E-2</v>
      </c>
      <c r="JJ371" s="1">
        <f t="shared" si="1017"/>
        <v>0</v>
      </c>
      <c r="JK371" s="1">
        <f t="shared" si="1018"/>
        <v>0.22327045545603513</v>
      </c>
      <c r="JL371" s="15">
        <f t="shared" si="1060"/>
        <v>359.46543328421654</v>
      </c>
      <c r="JM371" s="15">
        <f t="shared" si="948"/>
        <v>1969.4654332842165</v>
      </c>
      <c r="JN371" s="21"/>
      <c r="JO371" s="19">
        <f>INDEX(Input!$1:$1048576,JO$93,$C371*2+6)</f>
        <v>5995.5</v>
      </c>
      <c r="JP371" s="19">
        <f>INDEX(Input!$1:$1048576,JP$93,$C371*2+6)</f>
        <v>2442.3713226762939</v>
      </c>
      <c r="JQ371" s="39">
        <f t="shared" si="1068"/>
        <v>2099.1153366449544</v>
      </c>
      <c r="JR371" s="39">
        <f t="shared" si="951"/>
        <v>1454.0133406787518</v>
      </c>
      <c r="JS371" s="39">
        <f t="shared" si="1069"/>
        <v>7.6737949092565207</v>
      </c>
      <c r="JT371" s="39">
        <f t="shared" si="1061"/>
        <v>3.7415770797476875</v>
      </c>
      <c r="JU371" s="385">
        <f>(JQ371*JM371-INDEX(Input!$1:$1048576,Input!A$18,$C371*2+6)*JL371*INDEX(Input!$1:$1048576,Input!A$19,$C371*2+6))/1000000</f>
        <v>4.1341350959989995</v>
      </c>
      <c r="JV371" s="39">
        <f t="shared" si="958"/>
        <v>-1.5864020744921676</v>
      </c>
      <c r="JW371" s="1">
        <f t="shared" si="949"/>
        <v>-0.27731697692228413</v>
      </c>
      <c r="JX371" s="19">
        <f t="shared" si="1073"/>
        <v>10408.725661221939</v>
      </c>
      <c r="JZ371" s="341"/>
      <c r="KA371" s="342"/>
      <c r="KB371" s="469">
        <f t="shared" si="1070"/>
        <v>2.5190675447988795</v>
      </c>
      <c r="KI371" s="473">
        <f t="shared" si="1019"/>
        <v>134.30486182095439</v>
      </c>
      <c r="KJ371" s="473">
        <f t="shared" si="1020"/>
        <v>275.91282011637509</v>
      </c>
      <c r="KK371" s="473">
        <f t="shared" si="1062"/>
        <v>-50.752248653112929</v>
      </c>
      <c r="KN371" s="544">
        <f t="shared" si="1074"/>
        <v>3002</v>
      </c>
      <c r="KO371" s="541">
        <f t="shared" si="1041"/>
        <v>0.1870460908363365</v>
      </c>
      <c r="KP371" s="546">
        <f t="shared" si="1042"/>
        <v>1347.7344660003637</v>
      </c>
      <c r="KQ371" s="546">
        <f t="shared" si="1043"/>
        <v>1260.4712379663474</v>
      </c>
      <c r="KR371" s="548">
        <f t="shared" si="1044"/>
        <v>2.407802801832728</v>
      </c>
      <c r="KS371" s="548">
        <f t="shared" si="1045"/>
        <v>2.5744965260753139</v>
      </c>
      <c r="KT371" s="473">
        <f t="shared" si="1071"/>
        <v>1026.1618045255443</v>
      </c>
      <c r="KU371" s="663">
        <f t="shared" si="1063"/>
        <v>4.7150307212929015</v>
      </c>
    </row>
    <row r="372" spans="1:307" s="26" customFormat="1" ht="15" outlineLevel="1">
      <c r="A372" s="561">
        <f t="shared" si="1046"/>
        <v>3072</v>
      </c>
      <c r="B372" s="561">
        <f t="shared" si="1064"/>
        <v>72</v>
      </c>
      <c r="C372" s="561">
        <f t="shared" si="1065"/>
        <v>3</v>
      </c>
      <c r="D372" s="561" t="str">
        <f t="shared" si="974"/>
        <v xml:space="preserve">500 CC, 0/2.8/3.8/3.9, 1000 Combo, </v>
      </c>
      <c r="E372" s="475">
        <f>INDEX(Input!$1:$1048576,E$93,$C372*2+MIN($B372,2)+5)
+INDEX(Scenarios!E$121:E$200,MATCH($B372,Scenarios!$B$121:$B$200,0))</f>
        <v>1787.0236024844721</v>
      </c>
      <c r="F372" s="475">
        <f>INDEX(Input!$1:$1048576,F$93,$C372*2+MIN($B372,2)+5)
+INDEX(Scenarios!F$121:F$200,MATCH($B372,Scenarios!$B$121:$B$200,0))</f>
        <v>0</v>
      </c>
      <c r="G372" s="475">
        <f>INDEX(Input!$1:$1048576,G$93,$C372*2+MIN($B372,2)+5)
+INDEX(Scenarios!G$121:G$200,MATCH($B372,Scenarios!$B$121:$B$200,0))</f>
        <v>0</v>
      </c>
      <c r="H372" s="475">
        <f>INDEX(Input!$1:$1048576,H$93,$C372*2+MIN($B372,2)+5)
+INDEX(Scenarios!H$121:H$200,MATCH($B372,Scenarios!$B$121:$B$200,0))</f>
        <v>0</v>
      </c>
      <c r="I372" s="476">
        <f>INDEX(Input!$1:$1048576,I$93,$C372*2+MIN($B372,2)+5)</f>
        <v>0.7</v>
      </c>
      <c r="J372" s="476" t="str">
        <f>INDEX(Input!$1:$1048576,J$93,$C372*2+MIN($B372,2)+5)</f>
        <v>Market</v>
      </c>
      <c r="K372" s="476" t="str">
        <f>INDEX(Input!$1:$1048576,K$93,$C372*2+MIN($B372,2)+5)</f>
        <v>Market</v>
      </c>
      <c r="L372" s="476" t="str">
        <f>INDEX(Input!$1:$1048576,L$93,$C372*2+MIN($B372,2)+5)</f>
        <v>Market</v>
      </c>
      <c r="M372" s="476" t="str">
        <f>INDEX(Input!$1:$1048576,M$93,$C372*2+MIN($B372,2)+5)</f>
        <v>Market</v>
      </c>
      <c r="N372" s="476" t="str">
        <f>INDEX(Input!$1:$1048576,N$93,$C372*2+MIN($B372,2)+5)</f>
        <v>Market</v>
      </c>
      <c r="O372" s="476" t="str">
        <f>INDEX(Input!$1:$1048576,O$93,$C372*2+MIN($B372,2)+5)</f>
        <v>Market</v>
      </c>
      <c r="P372" s="476" t="str">
        <f>INDEX(Input!$1:$1048576,P$93,$C372*2+MIN($B372,2)+5)</f>
        <v>N</v>
      </c>
      <c r="Q372" s="477">
        <f>INDEX(Input!$1:$1048576,Q$93,$C372*2+MIN($B372,2)+5)
+INDEX(Scenarios!Q$121:Q$200,MATCH($B372,Scenarios!$B$121:$B$200,0))</f>
        <v>1000</v>
      </c>
      <c r="R372" s="478">
        <f>IFERROR(MAX(0,INDEX(Input!$1:$1048576,R$93,$C372*2+MIN($B372,2)+5)
+INDEX(Scenarios!R$121:R$200,MATCH($B372,Scenarios!$B$121:$B$200,0)),),"Market")</f>
        <v>0</v>
      </c>
      <c r="S372" s="478">
        <f>IFERROR(MAX(0,INDEX(Input!$1:$1048576,S$93,$C372*2+MIN($B372,2)+5)
+INDEX(Scenarios!S$121:S$200,MATCH($B372,Scenarios!$B$121:$B$200,0)),),"Market")</f>
        <v>0</v>
      </c>
      <c r="T372" s="478">
        <f>IFERROR(MAX(0,INDEX(Input!$1:$1048576,T$93,$C372*2+MIN($B372,2)+5)
+INDEX(Scenarios!T$121:T$200,MATCH($B372,Scenarios!$B$121:$B$200,0)),),"Market")</f>
        <v>0</v>
      </c>
      <c r="U372" s="478">
        <f>IFERROR(MAX(0,INDEX(Input!$1:$1048576,U$93,$C372*2+MIN($B372,2)+5)
+INDEX(Scenarios!U$121:U$200,MATCH($B372,Scenarios!$B$121:$B$200,0)),),"Market")</f>
        <v>0</v>
      </c>
      <c r="V372" s="478">
        <f>IFERROR(MAX(0,INDEX(Input!$1:$1048576,V$93,$C372*2+MIN($B372,2)+5)
+INDEX(Scenarios!V$121:V$200,MATCH($B372,Scenarios!$B$121:$B$200,0)),),"Market")</f>
        <v>3.7999999999999999E-2</v>
      </c>
      <c r="W372" s="885">
        <f>IFERROR(MAX(0,INDEX(Input!$1:$1048576,W$93,$C372*2+MIN($B372,2)+5)-0%,),"Market")</f>
        <v>3.9E-2</v>
      </c>
      <c r="X372" s="476" t="str">
        <f>INDEX(Input!$1:$1048576,X$93,$C372*2+MIN($B372,2)+5)</f>
        <v>Y</v>
      </c>
      <c r="Y372" s="475">
        <f>INDEX(Input!$1:$1048576,Y$93,$C372*2+MIN($B372,2)+5)
++INDEX(Scenarios!Y$121:Y$200,MATCH($B372,Scenarios!$B$121:$B$200,0))</f>
        <v>1554.9999999999991</v>
      </c>
      <c r="Z372" s="477">
        <f>INDEX(Input!$1:$1048576,Z$93,$C372*2+MIN($B372,2)+5)
+INDEX(Scenarios!Z$121:Z$200,MATCH($B372,Scenarios!$B$121:$B$200,0))</f>
        <v>0</v>
      </c>
      <c r="AA372" s="475">
        <f>INDEX(Input!$1:$1048576,AA$93,$C372*2+MIN($B372,2)+5)
+INDEX(Scenarios!AA$121:AA$200,MATCH($B372,Scenarios!$B$121:$B$200,0))</f>
        <v>0</v>
      </c>
      <c r="AB372" s="476">
        <f>INDEX(Input!$1:$1048576,AB$93,$C372*2+MIN($B372,2)+5)</f>
        <v>0.27</v>
      </c>
      <c r="AC372" s="475">
        <f>INDEX(Input!$1:$1048576,AC$93,$C372*2+MIN($B372,2)+5)
+INDEX(Scenarios!AC$121:AC$200,MATCH($B372,Scenarios!$B$121:$B$200,0))</f>
        <v>0</v>
      </c>
      <c r="AD372" s="476">
        <f>INDEX(Input!$1:$1048576,AD$93,$C372*2+MIN($B372,2)+5)</f>
        <v>0.27</v>
      </c>
      <c r="AE372" s="475">
        <f>INDEX(Input!$1:$1048576,AE$93,$C372*2+MIN($B372,2)+5)
+INDEX(Scenarios!AE$121:AE$200,MATCH($B372,Scenarios!$B$121:$B$200,0))</f>
        <v>0</v>
      </c>
      <c r="AF372" s="476">
        <f>INDEX(Input!$1:$1048576,AF$93,$C372*2+MIN($B372,2)+5)</f>
        <v>0.68200000000000005</v>
      </c>
      <c r="AG372" s="475">
        <f>INDEX(Input!$1:$1048576,AG$93,$C372*2+MIN($B372,2)+5)
+INDEX(Scenarios!AG$121:AG$200,MATCH($B372,Scenarios!$B$121:$B$200,0))</f>
        <v>500</v>
      </c>
      <c r="AH372" s="476">
        <f>INDEX(Input!$1:$1048576,AH$93,$C372*2+MIN($B372,2)+5)</f>
        <v>1</v>
      </c>
      <c r="AI372" s="475">
        <f>INDEX(Input!$1:$1048576,AI$93,$C372*2+MIN($B372,2)+5)
+INDEX(Scenarios!AI$121:AI$200,MATCH($B372,Scenarios!$B$121:$B$200,0))</f>
        <v>0</v>
      </c>
      <c r="AJ372" s="476">
        <f>INDEX(Input!$1:$1048576,AJ$93,$C372*2+MIN($B372,2)+5)</f>
        <v>0.27</v>
      </c>
      <c r="AK372" s="150">
        <f>ROUND(INDEX(Input!$1:$1048576,AK$93,$C371*2+MIN($B372,1)+5)+(Y372-VLOOKUP($C372*1000+1,$A:$HH,Y$92,FALSE)),0)</f>
        <v>2977</v>
      </c>
      <c r="AL372" s="150">
        <f>ROUND(INDEX(Input!$1:$1048576,AL$93,$C371*2+MIN($B372,1)+5)-(Y372-VLOOKUP($C372*1000+1,$A:$HH,Y$92,FALSE))/36,0)</f>
        <v>3395</v>
      </c>
      <c r="AM372" s="32" t="str">
        <f t="shared" si="1047"/>
        <v>std/std/std/std</v>
      </c>
      <c r="AN372" s="32" t="str">
        <f t="shared" si="1048"/>
        <v>$1000 + 0/0/0/3.8/3.9</v>
      </c>
      <c r="AO372" s="32" t="str">
        <f t="shared" si="1049"/>
        <v>0/0/0/3.8/3.9</v>
      </c>
      <c r="AP372" s="32" t="str">
        <f t="shared" si="993"/>
        <v>0/2.8/3.8/3.9</v>
      </c>
      <c r="AQ372" s="536">
        <f t="shared" si="992"/>
        <v>0.33749239878561021</v>
      </c>
      <c r="AR372" s="32"/>
      <c r="AS372" s="302"/>
      <c r="AT372" s="3">
        <f t="shared" si="1066"/>
        <v>72</v>
      </c>
      <c r="AU372" s="41" t="s">
        <v>121</v>
      </c>
      <c r="AV372" s="41" t="s">
        <v>116</v>
      </c>
      <c r="AW372" s="41" t="str">
        <f>INDEX(Input!$1:$1048576,AW$93,$C372*2+6)</f>
        <v>Kia</v>
      </c>
      <c r="AX372" s="41" t="str">
        <f>INDEX(Input!$1:$1048576,AX$93,$C372*2+6)</f>
        <v>Kia-LR - L3</v>
      </c>
      <c r="AY372" s="41" t="str">
        <f>IF(LEN(D372)=0,"",INDEX(Input!$1:$1048576,AY$93,$C372*2+6))</f>
        <v>Compact SUV (52)</v>
      </c>
      <c r="AZ372" s="41" t="str">
        <f>INDEX(Input!$1:$1048576,AZ$93,$C372*2+6)</f>
        <v>Kia Soul</v>
      </c>
      <c r="BA372" s="3">
        <f>INDEX(Input!$1:$1048576,BA$93,$C372*2+6)</f>
        <v>2020</v>
      </c>
      <c r="BB372" s="128">
        <f>INDEX(Input!$1:$1048576,BB$93,$C372*2+6)</f>
        <v>1</v>
      </c>
      <c r="BC372" s="128">
        <f>INDEX(Input!$1:$1048576,BC$93,$C372*2+6)</f>
        <v>0.7</v>
      </c>
      <c r="BD372" s="1">
        <f>INDEX(Input!$1:$1048576,BD$93,$C372*2+6)</f>
        <v>4.4999999999999998E-2</v>
      </c>
      <c r="BE372" s="1">
        <f>INDEX(Input!$1:$1048576,BE$93,$C372*2+6)</f>
        <v>4.4999999999999998E-2</v>
      </c>
      <c r="BF372" s="1">
        <f>INDEX(Input!$1:$1048576,BF$93,$C372*2+6)</f>
        <v>0.05</v>
      </c>
      <c r="BG372" s="1">
        <f>INDEX(Input!$1:$1048576,BG$93,$C372*2+6)</f>
        <v>5.45E-2</v>
      </c>
      <c r="BH372" s="1">
        <f>INDEX(Input!$1:$1048576,BH$93,$C372*2+6)</f>
        <v>5.45E-2</v>
      </c>
      <c r="BI372" s="1">
        <f>INDEX(Input!$1:$1048576,BI$93,$C372*2+6)</f>
        <v>0.05</v>
      </c>
      <c r="BJ372" s="1">
        <f>INDEX(Input!$1:$1048576,BJ$93,$C372*2+6)</f>
        <v>0.05</v>
      </c>
      <c r="BK372" s="1">
        <f>INDEX(Input!$1:$1048576,BK$93,$C372*2+6)</f>
        <v>0.05</v>
      </c>
      <c r="BL372" s="1">
        <f>INDEX(Input!$1:$1048576,BL$93,$C372*2+6)</f>
        <v>5.5E-2</v>
      </c>
      <c r="BM372" s="1">
        <f>INDEX(Input!$1:$1048576,BM$93,$C372*2+6)</f>
        <v>0.06</v>
      </c>
      <c r="BN372" s="1">
        <f>INDEX(Input!$1:$1048576,BN$93,$C372*2+6)</f>
        <v>4.4999999999999998E-2</v>
      </c>
      <c r="BO372" s="1">
        <f>INDEX(Input!$1:$1048576,BO$93,$C372*2+6)</f>
        <v>4.4999999999999998E-2</v>
      </c>
      <c r="BP372" s="1">
        <f>INDEX(Input!$1:$1048576,BP$93,$C372*2+6)</f>
        <v>0.05</v>
      </c>
      <c r="BQ372" s="1">
        <f>INDEX(Input!$1:$1048576,BQ$93,$C372*2+6)</f>
        <v>5.45E-2</v>
      </c>
      <c r="BR372" s="1">
        <f>INDEX(Input!$1:$1048576,BR$93,$C372*2+6)</f>
        <v>5.45E-2</v>
      </c>
      <c r="BS372" s="1">
        <f>INDEX(Input!$1:$1048576,BS$93,$C372*2+6)</f>
        <v>0.05</v>
      </c>
      <c r="BT372" s="1">
        <f>INDEX(Input!$1:$1048576,BT$93,$C372*2+6)</f>
        <v>0.05</v>
      </c>
      <c r="BU372" s="1">
        <f>INDEX(Input!$1:$1048576,BU$93,$C372*2+6)</f>
        <v>0.05</v>
      </c>
      <c r="BV372" s="1">
        <f>INDEX(Input!$1:$1048576,BV$93,$C372*2+6)</f>
        <v>5.5E-2</v>
      </c>
      <c r="BW372" s="1">
        <f>INDEX(Input!$1:$1048576,BW$93,$C372*2+6)</f>
        <v>0.06</v>
      </c>
      <c r="BX372" s="127">
        <f>INDEX(Input!$1:$1048576,BX$93,$C372*2+6)</f>
        <v>19985</v>
      </c>
      <c r="BY372" s="20">
        <f>INDEX(Input!$1:$1048576,BY$93,$C372*2+6)</f>
        <v>0.1</v>
      </c>
      <c r="BZ372" s="20">
        <f>INDEX(Input!$1:$1048576,BZ$93,$C372*2+6)</f>
        <v>0.1</v>
      </c>
      <c r="CA372" s="20">
        <f>INDEX(Input!$1:$1048576,CA$93,$C372*2+6)</f>
        <v>0.1</v>
      </c>
      <c r="CB372" s="20">
        <f>INDEX(Input!$1:$1048576,CB$93,$C372*2+6)</f>
        <v>0.1</v>
      </c>
      <c r="CC372" s="20">
        <f>INDEX(Input!$1:$1048576,CC$93,$C372*2+6)</f>
        <v>0.1</v>
      </c>
      <c r="CD372" s="384">
        <f>INDEX(Input!$1:$1048576,CD$93,$C372*2+6)</f>
        <v>0.1</v>
      </c>
      <c r="CE372" s="384">
        <f>INDEX(Input!$1:$1048576,CE$93,$C372*2+6)</f>
        <v>0.1</v>
      </c>
      <c r="CF372" s="384">
        <f>INDEX(Input!$1:$1048576,CF$93,$C372*2+6)</f>
        <v>0.1</v>
      </c>
      <c r="CG372" s="384">
        <f>INDEX(Input!$1:$1048576,CG$93,$C372*2+6)</f>
        <v>0.1</v>
      </c>
      <c r="CH372" s="384">
        <f>INDEX(Input!$1:$1048576,CH$93,$C372*2+6)</f>
        <v>0.1</v>
      </c>
      <c r="CI372" s="304">
        <f t="shared" si="994"/>
        <v>1787.0236024844721</v>
      </c>
      <c r="CJ372" s="16" t="str">
        <f>INDEX(Input!$1:$1048576,CJ$93,$C372*2+6)</f>
        <v>N</v>
      </c>
      <c r="CK372" s="1" t="str">
        <f t="shared" si="995"/>
        <v>Market</v>
      </c>
      <c r="CL372" s="1" t="str">
        <f t="shared" si="996"/>
        <v>Market</v>
      </c>
      <c r="CM372" s="1" t="str">
        <f t="shared" si="997"/>
        <v>Market</v>
      </c>
      <c r="CN372" s="1" t="str">
        <f t="shared" si="998"/>
        <v>Market</v>
      </c>
      <c r="CO372" s="1" t="str">
        <f t="shared" si="999"/>
        <v>Market</v>
      </c>
      <c r="CP372" s="304">
        <f t="shared" si="1000"/>
        <v>1500</v>
      </c>
      <c r="CQ372" s="1">
        <f t="shared" si="1001"/>
        <v>0</v>
      </c>
      <c r="CR372" s="1">
        <f t="shared" si="1002"/>
        <v>0</v>
      </c>
      <c r="CS372" s="1">
        <f t="shared" si="1003"/>
        <v>0</v>
      </c>
      <c r="CT372" s="1">
        <f t="shared" si="1004"/>
        <v>3.7999999999999999E-2</v>
      </c>
      <c r="CU372" s="1">
        <f t="shared" si="1005"/>
        <v>3.9E-2</v>
      </c>
      <c r="CV372" s="304">
        <f t="shared" si="1006"/>
        <v>1554.9999999999991</v>
      </c>
      <c r="CW372" s="20" t="s">
        <v>122</v>
      </c>
      <c r="CX372" s="20" t="s">
        <v>122</v>
      </c>
      <c r="CY372" s="20" t="s">
        <v>122</v>
      </c>
      <c r="CZ372" s="20" t="s">
        <v>122</v>
      </c>
      <c r="DA372" s="20" t="s">
        <v>122</v>
      </c>
      <c r="DB372" s="503">
        <f t="shared" si="1007"/>
        <v>0</v>
      </c>
      <c r="DC372" s="127">
        <v>0</v>
      </c>
      <c r="DD372" s="127">
        <v>0</v>
      </c>
      <c r="DE372" s="127">
        <v>0</v>
      </c>
      <c r="DF372" s="127">
        <v>0</v>
      </c>
      <c r="DG372" s="127">
        <v>0</v>
      </c>
      <c r="DH372" s="127">
        <v>0</v>
      </c>
      <c r="DI372" s="127">
        <v>0</v>
      </c>
      <c r="DJ372" s="127">
        <v>0</v>
      </c>
      <c r="DK372" s="127">
        <v>0</v>
      </c>
      <c r="DL372" s="127">
        <v>0</v>
      </c>
      <c r="DM372" s="304">
        <f>INDEX(Input!$1:$1048576,DM$93,$C372*2+6)</f>
        <v>21036.84210526316</v>
      </c>
      <c r="DN372" s="20">
        <v>0</v>
      </c>
      <c r="DO372" s="20">
        <v>0</v>
      </c>
      <c r="DP372" s="20">
        <v>0</v>
      </c>
      <c r="DQ372" s="20">
        <v>0</v>
      </c>
      <c r="DR372" s="20">
        <v>0</v>
      </c>
      <c r="DS372" s="20">
        <f>INDEX(Input!$1:$1048576,DS$93,$C372*2+6)</f>
        <v>0.6</v>
      </c>
      <c r="DT372" s="20">
        <f>INDEX(Input!$1:$1048576,DT$93,$C372*2+6)</f>
        <v>0.55000000000000004</v>
      </c>
      <c r="DU372" s="20">
        <f>INDEX(Input!$1:$1048576,DU$93,$C372*2+6)</f>
        <v>0.52</v>
      </c>
      <c r="DV372" s="20">
        <f>INDEX(Input!$1:$1048576,DV$93,$C372*2+6)</f>
        <v>0.5</v>
      </c>
      <c r="DW372" s="20">
        <f>INDEX(Input!$1:$1048576,DW$93,$C372*2+6)</f>
        <v>0.45</v>
      </c>
      <c r="DX372" s="20"/>
      <c r="DY372" s="7">
        <v>0.11013147205842697</v>
      </c>
      <c r="DZ372" s="7">
        <v>0</v>
      </c>
      <c r="EA372" s="7">
        <v>0.7159661055295643</v>
      </c>
      <c r="EB372" s="7">
        <v>0</v>
      </c>
      <c r="EC372" s="7">
        <v>0</v>
      </c>
      <c r="ED372" s="7">
        <v>0</v>
      </c>
      <c r="EE372" s="7">
        <v>0</v>
      </c>
      <c r="EF372" s="7">
        <v>0</v>
      </c>
      <c r="EG372" s="7">
        <v>0</v>
      </c>
      <c r="EH372" s="7">
        <v>1.7668444159466924E-2</v>
      </c>
      <c r="EI372" s="7">
        <v>4.9497190836740472E-2</v>
      </c>
      <c r="EJ372" s="7">
        <v>0.39959498680227856</v>
      </c>
      <c r="EK372" s="7">
        <v>0.32567937025601423</v>
      </c>
      <c r="EL372" s="7">
        <v>0.20756000794549992</v>
      </c>
      <c r="EM372" s="7">
        <v>4.5972190500349543E-2</v>
      </c>
      <c r="EN372" s="7">
        <v>6.2838836632562567E-2</v>
      </c>
      <c r="EO372" s="7">
        <v>0.7806787290679531</v>
      </c>
      <c r="EP372" s="7">
        <v>6.4358254772287779E-2</v>
      </c>
      <c r="EQ372" s="7">
        <v>6.022643841333282E-2</v>
      </c>
      <c r="ER372" s="7">
        <v>3.1897741113863995E-2</v>
      </c>
      <c r="ES372" s="7">
        <v>0.12793023191165923</v>
      </c>
      <c r="ET372" s="7">
        <v>0.17390242241200873</v>
      </c>
      <c r="EU372" s="6">
        <v>2111</v>
      </c>
      <c r="EV372" s="6">
        <v>0</v>
      </c>
      <c r="EW372" s="6">
        <v>2111</v>
      </c>
      <c r="EX372" s="6">
        <v>0</v>
      </c>
      <c r="EY372" s="6">
        <v>3009.5148703121504</v>
      </c>
      <c r="EZ372" s="6">
        <v>2289</v>
      </c>
      <c r="FA372" s="6">
        <v>0</v>
      </c>
      <c r="FB372" s="6">
        <v>0</v>
      </c>
      <c r="FC372" s="6">
        <v>0</v>
      </c>
      <c r="FD372" s="6">
        <v>0</v>
      </c>
      <c r="FE372" s="6">
        <v>0</v>
      </c>
      <c r="FF372" s="6">
        <v>0</v>
      </c>
      <c r="FG372" s="6">
        <v>0</v>
      </c>
      <c r="FH372" s="6">
        <v>1172.0267421231315</v>
      </c>
      <c r="FI372" s="6">
        <v>1553.9796069512397</v>
      </c>
      <c r="FJ372" s="6">
        <v>2101.2110117447414</v>
      </c>
      <c r="FK372" s="6">
        <v>838.19585232978318</v>
      </c>
      <c r="FL372" s="6">
        <v>907.07682140966301</v>
      </c>
      <c r="FM372" s="6">
        <v>1398.5148703121506</v>
      </c>
      <c r="FN372" s="6">
        <v>0</v>
      </c>
      <c r="FO372" s="6">
        <v>0</v>
      </c>
      <c r="FP372" s="6">
        <v>0</v>
      </c>
      <c r="FQ372" s="6">
        <v>0</v>
      </c>
      <c r="FR372" s="6">
        <v>0</v>
      </c>
      <c r="FS372" s="6">
        <v>0</v>
      </c>
      <c r="FT372" s="7">
        <v>0.82609757758799129</v>
      </c>
      <c r="FU372" s="7">
        <v>4.5972190500349543E-2</v>
      </c>
      <c r="FV372" s="7">
        <v>0.12793023191165923</v>
      </c>
      <c r="FW372" s="6">
        <v>2110.9999999999995</v>
      </c>
      <c r="FX372" s="6">
        <v>3009.5148703121504</v>
      </c>
      <c r="FY372" s="6">
        <v>2289</v>
      </c>
      <c r="FZ372" s="6">
        <v>1858.9243755539039</v>
      </c>
      <c r="GA372" s="6">
        <v>2175.0782780656623</v>
      </c>
      <c r="GB372" s="6">
        <v>17809.921721934337</v>
      </c>
      <c r="GC372" s="7">
        <v>2.9156573141622111E-2</v>
      </c>
      <c r="GD372" s="7">
        <v>3.0920490533176085E-2</v>
      </c>
      <c r="GE372" s="7"/>
      <c r="GF372" s="7"/>
      <c r="GG372" s="7">
        <v>6.049810390906038E-2</v>
      </c>
      <c r="GH372" s="42">
        <v>3.8242596312016257</v>
      </c>
      <c r="GI372" s="6">
        <v>7400.9263969917529</v>
      </c>
      <c r="GJ372" s="14">
        <v>0.50394797582841744</v>
      </c>
      <c r="GK372" s="14">
        <v>0.50887573065309766</v>
      </c>
      <c r="GL372" s="14">
        <v>0.49605202417158289</v>
      </c>
      <c r="GM372" s="14">
        <v>0.49112426934690262</v>
      </c>
      <c r="GO372" s="5">
        <v>343.14810671672558</v>
      </c>
      <c r="GP372" s="5">
        <v>302.87425392274076</v>
      </c>
      <c r="GQ372" s="5">
        <v>535.04305713031317</v>
      </c>
      <c r="GR372" s="5">
        <v>410.15490233172511</v>
      </c>
      <c r="GS372" s="5">
        <v>339.42744393800166</v>
      </c>
      <c r="GT372" s="5">
        <v>293.4407446948278</v>
      </c>
      <c r="GU372" s="5">
        <v>258.04012322764959</v>
      </c>
      <c r="GV372" s="39" t="s">
        <v>392</v>
      </c>
      <c r="GW372" s="5">
        <v>454.875</v>
      </c>
      <c r="GX372" s="5">
        <v>341.15625</v>
      </c>
      <c r="GY372" s="5">
        <v>272.92500000000001</v>
      </c>
      <c r="GZ372" s="5">
        <v>254.70814861736102</v>
      </c>
      <c r="HA372" s="5">
        <v>223.08053899211657</v>
      </c>
      <c r="HB372" s="39">
        <v>263.23845920791371</v>
      </c>
      <c r="HC372" s="5">
        <v>187.140625</v>
      </c>
      <c r="HD372" s="5">
        <v>171.45330774853798</v>
      </c>
      <c r="HE372" s="5">
        <v>177.50180921052629</v>
      </c>
      <c r="HF372" s="5">
        <v>167.9756304824561</v>
      </c>
      <c r="HG372" s="5">
        <v>166.75888157894735</v>
      </c>
      <c r="HH372" s="39">
        <v>172.46916180626414</v>
      </c>
      <c r="HI372" s="16"/>
      <c r="HJ372" s="19" t="str">
        <f t="shared" ref="HJ372" si="1078">HJ371</f>
        <v>On</v>
      </c>
      <c r="HK372" s="1" t="str">
        <f t="shared" si="1067"/>
        <v>On</v>
      </c>
      <c r="HL372" s="16"/>
      <c r="HM372" s="639">
        <f t="shared" si="1023"/>
        <v>2.2758057894877178E-2</v>
      </c>
      <c r="HN372" s="639">
        <f t="shared" si="1024"/>
        <v>1.416759231746561E-3</v>
      </c>
      <c r="HO372" s="639">
        <f t="shared" si="1025"/>
        <v>4.5732401537654987E-3</v>
      </c>
      <c r="HP372" s="644">
        <f>(FT372*$GD372-HM372)/$JF372*INDEX(Input!$1:$1048576,$JG$93,$C372*2+6)</f>
        <v>155.98646866626152</v>
      </c>
      <c r="HQ372" s="644">
        <f>(FU372*$GD372-HN372)/$JF372*INDEX(Input!$1:$1048576,$JG$93,$C372*2+6)</f>
        <v>0.26453104201443434</v>
      </c>
      <c r="HR372" s="644">
        <f>(FV372*$GD372-HO372)/$JF372*INDEX(Input!$1:$1048576,$JG$93,$C372*2+6)</f>
        <v>-34.586516335593842</v>
      </c>
      <c r="HS372" s="644">
        <f t="shared" si="1014"/>
        <v>-65.37636837588451</v>
      </c>
      <c r="HT372" s="644">
        <f t="shared" si="1026"/>
        <v>93.770669500257483</v>
      </c>
      <c r="HU372" s="644">
        <f t="shared" si="1027"/>
        <v>16.603749082776215</v>
      </c>
      <c r="HV372" s="648">
        <f t="shared" si="1028"/>
        <v>0</v>
      </c>
      <c r="HW372" s="648">
        <f t="shared" si="1029"/>
        <v>0</v>
      </c>
      <c r="HX372" s="648">
        <f t="shared" si="1030"/>
        <v>0</v>
      </c>
      <c r="HY372" s="644">
        <f>INDEX(Input!$1:$1048576,HY$93,$C372*2+6)*INDEX(Input!$1:$1048576,$JG$93,$C372*2+6)</f>
        <v>509.00000000000006</v>
      </c>
      <c r="HZ372" s="644">
        <f>INDEX(Input!$1:$1048576,HZ$93,$C372*2+6)*INDEX(Input!$1:$1048576,$JG$93,$C372*2+6)</f>
        <v>844</v>
      </c>
      <c r="IA372" s="644">
        <f>INDEX(Input!$1:$1048576,IA$93,$C372*2+6)*INDEX(Input!$1:$1048576,$JG$93,$C372*2+6)</f>
        <v>257</v>
      </c>
      <c r="IB372" s="644">
        <f t="shared" si="1051"/>
        <v>599.61010029037698</v>
      </c>
      <c r="IC372" s="644">
        <f t="shared" si="1052"/>
        <v>938.03520054227192</v>
      </c>
      <c r="ID372" s="644">
        <f>IF(AND(INDEX(Input!$1:$1048576,IA$93,$C372*2+7)="TOS",Y372&lt;=INDEX(Y:Y,MATCH(C372*1000+2,A:A))),0,1)*MAX(IA372+HR372+HU372+HX372,0%)</f>
        <v>239.01723274718236</v>
      </c>
      <c r="IE372" s="128">
        <f t="shared" si="1015"/>
        <v>0.33749239878561021</v>
      </c>
      <c r="IF372" s="128">
        <f t="shared" si="1016"/>
        <v>0.52797601278404116</v>
      </c>
      <c r="IG372" s="128">
        <f t="shared" si="1031"/>
        <v>0.13453158843034865</v>
      </c>
      <c r="IH372" s="21"/>
      <c r="II372" s="19">
        <f t="shared" si="1032"/>
        <v>1410.4999999999998</v>
      </c>
      <c r="IJ372" s="19">
        <f t="shared" si="1033"/>
        <v>2134.9731585778086</v>
      </c>
      <c r="IK372" s="19">
        <f t="shared" si="1034"/>
        <v>2103.5</v>
      </c>
      <c r="IL372" s="19">
        <f t="shared" si="1053"/>
        <v>700.49999999999977</v>
      </c>
      <c r="IM372" s="19">
        <f t="shared" si="1035"/>
        <v>874.54171173434179</v>
      </c>
      <c r="IN372" s="19">
        <f t="shared" si="1036"/>
        <v>185.5</v>
      </c>
      <c r="IO372" s="39">
        <f t="shared" si="1037"/>
        <v>0</v>
      </c>
      <c r="IP372" s="39">
        <f t="shared" si="1038"/>
        <v>0</v>
      </c>
      <c r="IQ372" s="39">
        <f t="shared" si="1039"/>
        <v>0</v>
      </c>
      <c r="IR372" s="39">
        <v>0</v>
      </c>
      <c r="IS372" s="39">
        <v>0</v>
      </c>
      <c r="IT372" s="39">
        <v>0</v>
      </c>
      <c r="IU372" s="39">
        <v>0</v>
      </c>
      <c r="IV372" s="39">
        <v>0</v>
      </c>
      <c r="IW372" s="39">
        <v>0</v>
      </c>
      <c r="IX372" s="39">
        <f>INDEX(Input!$1:$1048576,IX$93,$C372*2+6)+INDEX(Input!$1:$1048576,IX$94,$C372*2+6)</f>
        <v>1611</v>
      </c>
      <c r="IY372" s="39">
        <f>INDEX(Input!$1:$1048576,IY$93,$C372*2+6)+INDEX(Input!$1:$1048576,IY$94,$C372*2+6)</f>
        <v>2471.0624533823611</v>
      </c>
      <c r="IZ372" s="39">
        <f>INDEX(Input!$1:$1048576,IZ$93,$C372*2+6)+INDEX(Input!$1:$1048576,IZ$94,$C372*2+6)</f>
        <v>3994.7164157747857</v>
      </c>
      <c r="JA372" s="19">
        <f t="shared" si="1054"/>
        <v>2311.5</v>
      </c>
      <c r="JB372" s="19">
        <f t="shared" si="1055"/>
        <v>3345.6041651167029</v>
      </c>
      <c r="JC372" s="19">
        <f t="shared" si="1056"/>
        <v>4180.2164157747857</v>
      </c>
      <c r="JD372" s="19">
        <f t="shared" si="1057"/>
        <v>3108.8835816417363</v>
      </c>
      <c r="JE372" s="21"/>
      <c r="JF372" s="1">
        <f t="shared" si="1040"/>
        <v>2.8748057280389237E-2</v>
      </c>
      <c r="JG372" s="15">
        <f>INDEX(Input!$1:$1048576,JG$93,$C372*2+6)/(1+VLOOKUP(C372*1000+INDEX(Input!$1:$1048576,JG$93+1,$C372*2+6),$A:$KK,$JK$92,FALSE))</f>
        <v>1610</v>
      </c>
      <c r="JH372" s="1">
        <f t="shared" si="1058"/>
        <v>7.5568002094833608E-2</v>
      </c>
      <c r="JI372" s="1">
        <f t="shared" si="1059"/>
        <v>2.7949099507546083E-2</v>
      </c>
      <c r="JJ372" s="1">
        <f t="shared" si="1017"/>
        <v>0</v>
      </c>
      <c r="JK372" s="1">
        <f t="shared" si="1018"/>
        <v>0.10351710160237969</v>
      </c>
      <c r="JL372" s="15">
        <f t="shared" si="1060"/>
        <v>166.66253357983129</v>
      </c>
      <c r="JM372" s="15">
        <f t="shared" ref="JM372:JM383" si="1079">JG372+JL372</f>
        <v>1776.6625335798312</v>
      </c>
      <c r="JN372" s="21"/>
      <c r="JO372" s="19">
        <f>INDEX(Input!$1:$1048576,JO$93,$C372*2+6)</f>
        <v>5995.5</v>
      </c>
      <c r="JP372" s="19">
        <f>INDEX(Input!$1:$1048576,JP$93,$C372*2+6)</f>
        <v>2442.3713226762939</v>
      </c>
      <c r="JQ372" s="39">
        <f t="shared" si="1068"/>
        <v>2886.6164183582637</v>
      </c>
      <c r="JR372" s="39">
        <f t="shared" si="951"/>
        <v>666.51225896544247</v>
      </c>
      <c r="JS372" s="39">
        <f t="shared" si="1069"/>
        <v>5.5234369807643473</v>
      </c>
      <c r="JT372" s="39">
        <f t="shared" si="1061"/>
        <v>1.5912191512555141</v>
      </c>
      <c r="JU372" s="385">
        <f>(JQ372*JM372-INDEX(Input!$1:$1048576,Input!A$18,$C372*2+6)*JL372*INDEX(Input!$1:$1048576,Input!A$19,$C372*2+6))/1000000</f>
        <v>5.1285432393135304</v>
      </c>
      <c r="JV372" s="39">
        <f t="shared" si="958"/>
        <v>-0.59199393117763677</v>
      </c>
      <c r="JW372" s="1">
        <f t="shared" ref="JW372:JW383" si="1080">JV372/(JU372-JV372)</f>
        <v>-0.10348572407349781</v>
      </c>
      <c r="JX372" s="19">
        <f t="shared" si="1073"/>
        <v>9547.5516726938549</v>
      </c>
      <c r="JZ372" s="341"/>
      <c r="KA372" s="342"/>
      <c r="KB372" s="469">
        <f t="shared" si="1070"/>
        <v>2.5190675447988795</v>
      </c>
      <c r="KI372" s="473">
        <f t="shared" si="1019"/>
        <v>90.61010029037692</v>
      </c>
      <c r="KJ372" s="473">
        <f t="shared" si="1020"/>
        <v>94.035200542271923</v>
      </c>
      <c r="KK372" s="473">
        <f t="shared" si="1062"/>
        <v>-17.982767252817638</v>
      </c>
      <c r="KN372" s="544">
        <f t="shared" si="1074"/>
        <v>3002</v>
      </c>
      <c r="KO372" s="541">
        <f t="shared" si="1041"/>
        <v>7.0838959435024496E-2</v>
      </c>
      <c r="KP372" s="546">
        <f t="shared" si="1042"/>
        <v>524.59839371346391</v>
      </c>
      <c r="KQ372" s="546">
        <f t="shared" si="1043"/>
        <v>472.97015625303811</v>
      </c>
      <c r="KR372" s="548">
        <f t="shared" si="1044"/>
        <v>2.3427277986765893</v>
      </c>
      <c r="KS372" s="548">
        <f t="shared" si="1045"/>
        <v>2.598454096617695</v>
      </c>
      <c r="KT372" s="473">
        <f t="shared" si="1071"/>
        <v>1026.1618045255443</v>
      </c>
      <c r="KU372" s="663">
        <f t="shared" si="1063"/>
        <v>4.7015560414155448</v>
      </c>
    </row>
    <row r="373" spans="1:307" s="26" customFormat="1" ht="15" outlineLevel="1">
      <c r="A373" s="561">
        <f t="shared" si="1046"/>
        <v>3073</v>
      </c>
      <c r="B373" s="561">
        <f t="shared" si="1064"/>
        <v>73</v>
      </c>
      <c r="C373" s="561">
        <f t="shared" si="1065"/>
        <v>3</v>
      </c>
      <c r="D373" s="561" t="str">
        <f t="shared" si="974"/>
        <v xml:space="preserve">750 CC, 0/2.8/3.8/3.9, 1500 Combo, </v>
      </c>
      <c r="E373" s="475">
        <f>INDEX(Input!$1:$1048576,E$93,$C373*2+MIN($B373,2)+5)
+INDEX(Scenarios!E$121:E$200,MATCH($B373,Scenarios!$B$121:$B$200,0))</f>
        <v>2037.0236024844721</v>
      </c>
      <c r="F373" s="475">
        <f>INDEX(Input!$1:$1048576,F$93,$C373*2+MIN($B373,2)+5)
+INDEX(Scenarios!F$121:F$200,MATCH($B373,Scenarios!$B$121:$B$200,0))</f>
        <v>0</v>
      </c>
      <c r="G373" s="475">
        <f>INDEX(Input!$1:$1048576,G$93,$C373*2+MIN($B373,2)+5)
+INDEX(Scenarios!G$121:G$200,MATCH($B373,Scenarios!$B$121:$B$200,0))</f>
        <v>0</v>
      </c>
      <c r="H373" s="475">
        <f>INDEX(Input!$1:$1048576,H$93,$C373*2+MIN($B373,2)+5)
+INDEX(Scenarios!H$121:H$200,MATCH($B373,Scenarios!$B$121:$B$200,0))</f>
        <v>0</v>
      </c>
      <c r="I373" s="476">
        <f>INDEX(Input!$1:$1048576,I$93,$C373*2+MIN($B373,2)+5)</f>
        <v>0.7</v>
      </c>
      <c r="J373" s="476" t="str">
        <f>INDEX(Input!$1:$1048576,J$93,$C373*2+MIN($B373,2)+5)</f>
        <v>Market</v>
      </c>
      <c r="K373" s="476" t="str">
        <f>INDEX(Input!$1:$1048576,K$93,$C373*2+MIN($B373,2)+5)</f>
        <v>Market</v>
      </c>
      <c r="L373" s="476" t="str">
        <f>INDEX(Input!$1:$1048576,L$93,$C373*2+MIN($B373,2)+5)</f>
        <v>Market</v>
      </c>
      <c r="M373" s="476" t="str">
        <f>INDEX(Input!$1:$1048576,M$93,$C373*2+MIN($B373,2)+5)</f>
        <v>Market</v>
      </c>
      <c r="N373" s="476" t="str">
        <f>INDEX(Input!$1:$1048576,N$93,$C373*2+MIN($B373,2)+5)</f>
        <v>Market</v>
      </c>
      <c r="O373" s="476" t="str">
        <f>INDEX(Input!$1:$1048576,O$93,$C373*2+MIN($B373,2)+5)</f>
        <v>Market</v>
      </c>
      <c r="P373" s="476" t="str">
        <f>INDEX(Input!$1:$1048576,P$93,$C373*2+MIN($B373,2)+5)</f>
        <v>N</v>
      </c>
      <c r="Q373" s="477">
        <f>INDEX(Input!$1:$1048576,Q$93,$C373*2+MIN($B373,2)+5)
+INDEX(Scenarios!Q$121:Q$200,MATCH($B373,Scenarios!$B$121:$B$200,0))</f>
        <v>1500</v>
      </c>
      <c r="R373" s="478">
        <f>IFERROR(MAX(0,INDEX(Input!$1:$1048576,R$93,$C373*2+MIN($B373,2)+5)
+INDEX(Scenarios!R$121:R$200,MATCH($B373,Scenarios!$B$121:$B$200,0)),),"Market")</f>
        <v>0</v>
      </c>
      <c r="S373" s="478">
        <f>IFERROR(MAX(0,INDEX(Input!$1:$1048576,S$93,$C373*2+MIN($B373,2)+5)
+INDEX(Scenarios!S$121:S$200,MATCH($B373,Scenarios!$B$121:$B$200,0)),),"Market")</f>
        <v>0</v>
      </c>
      <c r="T373" s="478">
        <f>IFERROR(MAX(0,INDEX(Input!$1:$1048576,T$93,$C373*2+MIN($B373,2)+5)
+INDEX(Scenarios!T$121:T$200,MATCH($B373,Scenarios!$B$121:$B$200,0)),),"Market")</f>
        <v>0</v>
      </c>
      <c r="U373" s="478">
        <f>IFERROR(MAX(0,INDEX(Input!$1:$1048576,U$93,$C373*2+MIN($B373,2)+5)
+INDEX(Scenarios!U$121:U$200,MATCH($B373,Scenarios!$B$121:$B$200,0)),),"Market")</f>
        <v>0</v>
      </c>
      <c r="V373" s="478">
        <f>IFERROR(MAX(0,INDEX(Input!$1:$1048576,V$93,$C373*2+MIN($B373,2)+5)
+INDEX(Scenarios!V$121:V$200,MATCH($B373,Scenarios!$B$121:$B$200,0)),),"Market")</f>
        <v>3.7999999999999999E-2</v>
      </c>
      <c r="W373" s="885">
        <f>IFERROR(MAX(0,INDEX(Input!$1:$1048576,W$93,$C373*2+MIN($B373,2)+5)-0%,),"Market")</f>
        <v>3.9E-2</v>
      </c>
      <c r="X373" s="476" t="str">
        <f>INDEX(Input!$1:$1048576,X$93,$C373*2+MIN($B373,2)+5)</f>
        <v>Y</v>
      </c>
      <c r="Y373" s="475">
        <f>INDEX(Input!$1:$1048576,Y$93,$C373*2+MIN($B373,2)+5)
++INDEX(Scenarios!Y$121:Y$200,MATCH($B373,Scenarios!$B$121:$B$200,0))</f>
        <v>1554.9999999999991</v>
      </c>
      <c r="Z373" s="477">
        <f>INDEX(Input!$1:$1048576,Z$93,$C373*2+MIN($B373,2)+5)
+INDEX(Scenarios!Z$121:Z$200,MATCH($B373,Scenarios!$B$121:$B$200,0))</f>
        <v>0</v>
      </c>
      <c r="AA373" s="475">
        <f>INDEX(Input!$1:$1048576,AA$93,$C373*2+MIN($B373,2)+5)
+INDEX(Scenarios!AA$121:AA$200,MATCH($B373,Scenarios!$B$121:$B$200,0))</f>
        <v>0</v>
      </c>
      <c r="AB373" s="476">
        <f>INDEX(Input!$1:$1048576,AB$93,$C373*2+MIN($B373,2)+5)</f>
        <v>0.27</v>
      </c>
      <c r="AC373" s="475">
        <f>INDEX(Input!$1:$1048576,AC$93,$C373*2+MIN($B373,2)+5)
+INDEX(Scenarios!AC$121:AC$200,MATCH($B373,Scenarios!$B$121:$B$200,0))</f>
        <v>0</v>
      </c>
      <c r="AD373" s="476">
        <f>INDEX(Input!$1:$1048576,AD$93,$C373*2+MIN($B373,2)+5)</f>
        <v>0.27</v>
      </c>
      <c r="AE373" s="475">
        <f>INDEX(Input!$1:$1048576,AE$93,$C373*2+MIN($B373,2)+5)
+INDEX(Scenarios!AE$121:AE$200,MATCH($B373,Scenarios!$B$121:$B$200,0))</f>
        <v>0</v>
      </c>
      <c r="AF373" s="476">
        <f>INDEX(Input!$1:$1048576,AF$93,$C373*2+MIN($B373,2)+5)</f>
        <v>0.68200000000000005</v>
      </c>
      <c r="AG373" s="475">
        <f>INDEX(Input!$1:$1048576,AG$93,$C373*2+MIN($B373,2)+5)
+INDEX(Scenarios!AG$121:AG$200,MATCH($B373,Scenarios!$B$121:$B$200,0))</f>
        <v>500</v>
      </c>
      <c r="AH373" s="476">
        <f>INDEX(Input!$1:$1048576,AH$93,$C373*2+MIN($B373,2)+5)</f>
        <v>1</v>
      </c>
      <c r="AI373" s="475">
        <f>INDEX(Input!$1:$1048576,AI$93,$C373*2+MIN($B373,2)+5)
+INDEX(Scenarios!AI$121:AI$200,MATCH($B373,Scenarios!$B$121:$B$200,0))</f>
        <v>0</v>
      </c>
      <c r="AJ373" s="476">
        <f>INDEX(Input!$1:$1048576,AJ$93,$C373*2+MIN($B373,2)+5)</f>
        <v>0.27</v>
      </c>
      <c r="AK373" s="150">
        <f>ROUND(INDEX(Input!$1:$1048576,AK$93,$C372*2+MIN($B373,1)+5)+(Y373-VLOOKUP($C373*1000+1,$A:$HH,Y$92,FALSE)),0)</f>
        <v>2977</v>
      </c>
      <c r="AL373" s="150">
        <f>ROUND(INDEX(Input!$1:$1048576,AL$93,$C372*2+MIN($B373,1)+5)-(Y373-VLOOKUP($C373*1000+1,$A:$HH,Y$92,FALSE))/36,0)</f>
        <v>3395</v>
      </c>
      <c r="AM373" s="32" t="str">
        <f t="shared" si="1047"/>
        <v>std/std/std/std</v>
      </c>
      <c r="AN373" s="32" t="str">
        <f t="shared" si="1048"/>
        <v>$1500 + 0/0/0/3.8/3.9</v>
      </c>
      <c r="AO373" s="32" t="str">
        <f t="shared" si="1049"/>
        <v>0/0/0/3.8/3.9</v>
      </c>
      <c r="AP373" s="32" t="str">
        <f t="shared" si="993"/>
        <v>0/2.8/3.8/3.9</v>
      </c>
      <c r="AQ373" s="536">
        <f t="shared" si="992"/>
        <v>0.33818516421068889</v>
      </c>
      <c r="AR373" s="32"/>
      <c r="AS373" s="302"/>
      <c r="AT373" s="3">
        <f t="shared" si="1066"/>
        <v>73</v>
      </c>
      <c r="AU373" s="41" t="s">
        <v>121</v>
      </c>
      <c r="AV373" s="41" t="s">
        <v>116</v>
      </c>
      <c r="AW373" s="41" t="str">
        <f>INDEX(Input!$1:$1048576,AW$93,$C373*2+6)</f>
        <v>Kia</v>
      </c>
      <c r="AX373" s="41" t="str">
        <f>INDEX(Input!$1:$1048576,AX$93,$C373*2+6)</f>
        <v>Kia-LR - L3</v>
      </c>
      <c r="AY373" s="41" t="str">
        <f>IF(LEN(D373)=0,"",INDEX(Input!$1:$1048576,AY$93,$C373*2+6))</f>
        <v>Compact SUV (52)</v>
      </c>
      <c r="AZ373" s="41" t="str">
        <f>INDEX(Input!$1:$1048576,AZ$93,$C373*2+6)</f>
        <v>Kia Soul</v>
      </c>
      <c r="BA373" s="3">
        <f>INDEX(Input!$1:$1048576,BA$93,$C373*2+6)</f>
        <v>2020</v>
      </c>
      <c r="BB373" s="128">
        <f>INDEX(Input!$1:$1048576,BB$93,$C373*2+6)</f>
        <v>1</v>
      </c>
      <c r="BC373" s="128">
        <f>INDEX(Input!$1:$1048576,BC$93,$C373*2+6)</f>
        <v>0.7</v>
      </c>
      <c r="BD373" s="1">
        <f>INDEX(Input!$1:$1048576,BD$93,$C373*2+6)</f>
        <v>4.4999999999999998E-2</v>
      </c>
      <c r="BE373" s="1">
        <f>INDEX(Input!$1:$1048576,BE$93,$C373*2+6)</f>
        <v>4.4999999999999998E-2</v>
      </c>
      <c r="BF373" s="1">
        <f>INDEX(Input!$1:$1048576,BF$93,$C373*2+6)</f>
        <v>0.05</v>
      </c>
      <c r="BG373" s="1">
        <f>INDEX(Input!$1:$1048576,BG$93,$C373*2+6)</f>
        <v>5.45E-2</v>
      </c>
      <c r="BH373" s="1">
        <f>INDEX(Input!$1:$1048576,BH$93,$C373*2+6)</f>
        <v>5.45E-2</v>
      </c>
      <c r="BI373" s="1">
        <f>INDEX(Input!$1:$1048576,BI$93,$C373*2+6)</f>
        <v>0.05</v>
      </c>
      <c r="BJ373" s="1">
        <f>INDEX(Input!$1:$1048576,BJ$93,$C373*2+6)</f>
        <v>0.05</v>
      </c>
      <c r="BK373" s="1">
        <f>INDEX(Input!$1:$1048576,BK$93,$C373*2+6)</f>
        <v>0.05</v>
      </c>
      <c r="BL373" s="1">
        <f>INDEX(Input!$1:$1048576,BL$93,$C373*2+6)</f>
        <v>5.5E-2</v>
      </c>
      <c r="BM373" s="1">
        <f>INDEX(Input!$1:$1048576,BM$93,$C373*2+6)</f>
        <v>0.06</v>
      </c>
      <c r="BN373" s="1">
        <f>INDEX(Input!$1:$1048576,BN$93,$C373*2+6)</f>
        <v>4.4999999999999998E-2</v>
      </c>
      <c r="BO373" s="1">
        <f>INDEX(Input!$1:$1048576,BO$93,$C373*2+6)</f>
        <v>4.4999999999999998E-2</v>
      </c>
      <c r="BP373" s="1">
        <f>INDEX(Input!$1:$1048576,BP$93,$C373*2+6)</f>
        <v>0.05</v>
      </c>
      <c r="BQ373" s="1">
        <f>INDEX(Input!$1:$1048576,BQ$93,$C373*2+6)</f>
        <v>5.45E-2</v>
      </c>
      <c r="BR373" s="1">
        <f>INDEX(Input!$1:$1048576,BR$93,$C373*2+6)</f>
        <v>5.45E-2</v>
      </c>
      <c r="BS373" s="1">
        <f>INDEX(Input!$1:$1048576,BS$93,$C373*2+6)</f>
        <v>0.05</v>
      </c>
      <c r="BT373" s="1">
        <f>INDEX(Input!$1:$1048576,BT$93,$C373*2+6)</f>
        <v>0.05</v>
      </c>
      <c r="BU373" s="1">
        <f>INDEX(Input!$1:$1048576,BU$93,$C373*2+6)</f>
        <v>0.05</v>
      </c>
      <c r="BV373" s="1">
        <f>INDEX(Input!$1:$1048576,BV$93,$C373*2+6)</f>
        <v>5.5E-2</v>
      </c>
      <c r="BW373" s="1">
        <f>INDEX(Input!$1:$1048576,BW$93,$C373*2+6)</f>
        <v>0.06</v>
      </c>
      <c r="BX373" s="127">
        <f>INDEX(Input!$1:$1048576,BX$93,$C373*2+6)</f>
        <v>19985</v>
      </c>
      <c r="BY373" s="20">
        <f>INDEX(Input!$1:$1048576,BY$93,$C373*2+6)</f>
        <v>0.1</v>
      </c>
      <c r="BZ373" s="20">
        <f>INDEX(Input!$1:$1048576,BZ$93,$C373*2+6)</f>
        <v>0.1</v>
      </c>
      <c r="CA373" s="20">
        <f>INDEX(Input!$1:$1048576,CA$93,$C373*2+6)</f>
        <v>0.1</v>
      </c>
      <c r="CB373" s="20">
        <f>INDEX(Input!$1:$1048576,CB$93,$C373*2+6)</f>
        <v>0.1</v>
      </c>
      <c r="CC373" s="20">
        <f>INDEX(Input!$1:$1048576,CC$93,$C373*2+6)</f>
        <v>0.1</v>
      </c>
      <c r="CD373" s="384">
        <f>INDEX(Input!$1:$1048576,CD$93,$C373*2+6)</f>
        <v>0.1</v>
      </c>
      <c r="CE373" s="384">
        <f>INDEX(Input!$1:$1048576,CE$93,$C373*2+6)</f>
        <v>0.1</v>
      </c>
      <c r="CF373" s="384">
        <f>INDEX(Input!$1:$1048576,CF$93,$C373*2+6)</f>
        <v>0.1</v>
      </c>
      <c r="CG373" s="384">
        <f>INDEX(Input!$1:$1048576,CG$93,$C373*2+6)</f>
        <v>0.1</v>
      </c>
      <c r="CH373" s="384">
        <f>INDEX(Input!$1:$1048576,CH$93,$C373*2+6)</f>
        <v>0.1</v>
      </c>
      <c r="CI373" s="304">
        <f t="shared" si="994"/>
        <v>2037.0236024844721</v>
      </c>
      <c r="CJ373" s="16" t="str">
        <f>INDEX(Input!$1:$1048576,CJ$93,$C373*2+6)</f>
        <v>N</v>
      </c>
      <c r="CK373" s="1" t="str">
        <f t="shared" si="995"/>
        <v>Market</v>
      </c>
      <c r="CL373" s="1" t="str">
        <f t="shared" si="996"/>
        <v>Market</v>
      </c>
      <c r="CM373" s="1" t="str">
        <f t="shared" si="997"/>
        <v>Market</v>
      </c>
      <c r="CN373" s="1" t="str">
        <f t="shared" si="998"/>
        <v>Market</v>
      </c>
      <c r="CO373" s="1" t="str">
        <f t="shared" si="999"/>
        <v>Market</v>
      </c>
      <c r="CP373" s="304">
        <f t="shared" si="1000"/>
        <v>2000</v>
      </c>
      <c r="CQ373" s="1">
        <f t="shared" si="1001"/>
        <v>0</v>
      </c>
      <c r="CR373" s="1">
        <f t="shared" si="1002"/>
        <v>0</v>
      </c>
      <c r="CS373" s="1">
        <f t="shared" si="1003"/>
        <v>0</v>
      </c>
      <c r="CT373" s="1">
        <f t="shared" si="1004"/>
        <v>3.7999999999999999E-2</v>
      </c>
      <c r="CU373" s="1">
        <f t="shared" si="1005"/>
        <v>3.9E-2</v>
      </c>
      <c r="CV373" s="304">
        <f t="shared" si="1006"/>
        <v>1554.9999999999991</v>
      </c>
      <c r="CW373" s="20" t="s">
        <v>122</v>
      </c>
      <c r="CX373" s="20" t="s">
        <v>122</v>
      </c>
      <c r="CY373" s="20" t="s">
        <v>122</v>
      </c>
      <c r="CZ373" s="20" t="s">
        <v>122</v>
      </c>
      <c r="DA373" s="20" t="s">
        <v>122</v>
      </c>
      <c r="DB373" s="503">
        <f t="shared" si="1007"/>
        <v>0</v>
      </c>
      <c r="DC373" s="127">
        <v>0</v>
      </c>
      <c r="DD373" s="127">
        <v>0</v>
      </c>
      <c r="DE373" s="127">
        <v>0</v>
      </c>
      <c r="DF373" s="127">
        <v>0</v>
      </c>
      <c r="DG373" s="127">
        <v>0</v>
      </c>
      <c r="DH373" s="127">
        <v>0</v>
      </c>
      <c r="DI373" s="127">
        <v>0</v>
      </c>
      <c r="DJ373" s="127">
        <v>0</v>
      </c>
      <c r="DK373" s="127">
        <v>0</v>
      </c>
      <c r="DL373" s="127">
        <v>0</v>
      </c>
      <c r="DM373" s="304">
        <f>INDEX(Input!$1:$1048576,DM$93,$C373*2+6)</f>
        <v>21036.84210526316</v>
      </c>
      <c r="DN373" s="20">
        <v>0</v>
      </c>
      <c r="DO373" s="20">
        <v>0</v>
      </c>
      <c r="DP373" s="20">
        <v>0</v>
      </c>
      <c r="DQ373" s="20">
        <v>0</v>
      </c>
      <c r="DR373" s="20">
        <v>0</v>
      </c>
      <c r="DS373" s="20">
        <f>INDEX(Input!$1:$1048576,DS$93,$C373*2+6)</f>
        <v>0.6</v>
      </c>
      <c r="DT373" s="20">
        <f>INDEX(Input!$1:$1048576,DT$93,$C373*2+6)</f>
        <v>0.55000000000000004</v>
      </c>
      <c r="DU373" s="20">
        <f>INDEX(Input!$1:$1048576,DU$93,$C373*2+6)</f>
        <v>0.52</v>
      </c>
      <c r="DV373" s="20">
        <f>INDEX(Input!$1:$1048576,DV$93,$C373*2+6)</f>
        <v>0.5</v>
      </c>
      <c r="DW373" s="20">
        <f>INDEX(Input!$1:$1048576,DW$93,$C373*2+6)</f>
        <v>0.45</v>
      </c>
      <c r="DX373" s="20"/>
      <c r="DY373" s="7">
        <v>0.11391389554376295</v>
      </c>
      <c r="DZ373" s="7">
        <v>0</v>
      </c>
      <c r="EA373" s="7">
        <v>0.72008093840270093</v>
      </c>
      <c r="EB373" s="7">
        <v>0</v>
      </c>
      <c r="EC373" s="7">
        <v>0</v>
      </c>
      <c r="ED373" s="7">
        <v>0</v>
      </c>
      <c r="EE373" s="7">
        <v>0</v>
      </c>
      <c r="EF373" s="7">
        <v>0</v>
      </c>
      <c r="EG373" s="7">
        <v>0</v>
      </c>
      <c r="EH373" s="7">
        <v>1.7667460932485706E-2</v>
      </c>
      <c r="EI373" s="7">
        <v>4.9504079299794126E-2</v>
      </c>
      <c r="EJ373" s="7">
        <v>0.40009155325357737</v>
      </c>
      <c r="EK373" s="7">
        <v>0.32542034995048696</v>
      </c>
      <c r="EL373" s="7">
        <v>0.2073165565636555</v>
      </c>
      <c r="EM373" s="7">
        <v>5.3168128768418595E-2</v>
      </c>
      <c r="EN373" s="7">
        <v>6.2835324714764468E-2</v>
      </c>
      <c r="EO373" s="7">
        <v>0.78067322442568843</v>
      </c>
      <c r="EP373" s="7">
        <v>6.4364452995817667E-2</v>
      </c>
      <c r="EQ373" s="7">
        <v>6.0229746182630266E-2</v>
      </c>
      <c r="ER373" s="7">
        <v>3.189725168109938E-2</v>
      </c>
      <c r="ES373" s="7">
        <v>0.1128370372851175</v>
      </c>
      <c r="ET373" s="7">
        <v>0.16600516605353616</v>
      </c>
      <c r="EU373" s="6">
        <v>2361</v>
      </c>
      <c r="EV373" s="6">
        <v>0</v>
      </c>
      <c r="EW373" s="6">
        <v>2361</v>
      </c>
      <c r="EX373" s="6">
        <v>0</v>
      </c>
      <c r="EY373" s="6">
        <v>3510.1300194504547</v>
      </c>
      <c r="EZ373" s="6">
        <v>2289</v>
      </c>
      <c r="FA373" s="6">
        <v>0</v>
      </c>
      <c r="FB373" s="6">
        <v>0</v>
      </c>
      <c r="FC373" s="6">
        <v>0</v>
      </c>
      <c r="FD373" s="6">
        <v>0</v>
      </c>
      <c r="FE373" s="6">
        <v>0</v>
      </c>
      <c r="FF373" s="6">
        <v>0</v>
      </c>
      <c r="FG373" s="6">
        <v>0</v>
      </c>
      <c r="FH373" s="6">
        <v>1172.0349454157886</v>
      </c>
      <c r="FI373" s="6">
        <v>1553.9796069512402</v>
      </c>
      <c r="FJ373" s="6">
        <v>2101.2110117447414</v>
      </c>
      <c r="FK373" s="6">
        <v>838.19585232978318</v>
      </c>
      <c r="FL373" s="6">
        <v>907.07682140966335</v>
      </c>
      <c r="FM373" s="6">
        <v>1399.1300194504549</v>
      </c>
      <c r="FN373" s="6">
        <v>0</v>
      </c>
      <c r="FO373" s="6">
        <v>0</v>
      </c>
      <c r="FP373" s="6">
        <v>0</v>
      </c>
      <c r="FQ373" s="6">
        <v>0</v>
      </c>
      <c r="FR373" s="6">
        <v>0</v>
      </c>
      <c r="FS373" s="6">
        <v>0</v>
      </c>
      <c r="FT373" s="7">
        <v>0.8339948339464639</v>
      </c>
      <c r="FU373" s="7">
        <v>5.3168128768418595E-2</v>
      </c>
      <c r="FV373" s="7">
        <v>0.1128370372851175</v>
      </c>
      <c r="FW373" s="6">
        <v>2361</v>
      </c>
      <c r="FX373" s="6">
        <v>3510.1300194504547</v>
      </c>
      <c r="FY373" s="6">
        <v>2289</v>
      </c>
      <c r="FZ373" s="6">
        <v>1858.9243755539039</v>
      </c>
      <c r="GA373" s="6">
        <v>2413.9728261612686</v>
      </c>
      <c r="GB373" s="6">
        <v>17571.027173838731</v>
      </c>
      <c r="GC373" s="7">
        <v>2.9156573141622111E-2</v>
      </c>
      <c r="GD373" s="7">
        <v>3.1773894169168593E-2</v>
      </c>
      <c r="GE373" s="7"/>
      <c r="GF373" s="7"/>
      <c r="GG373" s="7">
        <v>8.9767786318144374E-2</v>
      </c>
      <c r="GH373" s="42">
        <v>3.2321668632801539</v>
      </c>
      <c r="GI373" s="6">
        <v>8597.131321796076</v>
      </c>
      <c r="GJ373" s="14">
        <v>0.50394797582841722</v>
      </c>
      <c r="GK373" s="14">
        <v>0.50887573065309721</v>
      </c>
      <c r="GL373" s="14">
        <v>0.49605202417158273</v>
      </c>
      <c r="GM373" s="14">
        <v>0.49112426934690256</v>
      </c>
      <c r="GO373" s="5">
        <v>343.14810671672558</v>
      </c>
      <c r="GP373" s="5">
        <v>298.1047308538179</v>
      </c>
      <c r="GQ373" s="5">
        <v>535.04305713031317</v>
      </c>
      <c r="GR373" s="5">
        <v>410.15490233172511</v>
      </c>
      <c r="GS373" s="5">
        <v>339.42744393800166</v>
      </c>
      <c r="GT373" s="5">
        <v>293.4407446948278</v>
      </c>
      <c r="GU373" s="5">
        <v>258.04012322764959</v>
      </c>
      <c r="GV373" s="39" t="s">
        <v>392</v>
      </c>
      <c r="GW373" s="5">
        <v>440.98611111111109</v>
      </c>
      <c r="GX373" s="5">
        <v>330.73958333333331</v>
      </c>
      <c r="GY373" s="5">
        <v>264.59166666666664</v>
      </c>
      <c r="GZ373" s="5">
        <v>246.93103803700129</v>
      </c>
      <c r="HA373" s="5">
        <v>216.26912746293831</v>
      </c>
      <c r="HB373" s="39">
        <v>255.21750995363865</v>
      </c>
      <c r="HC373" s="5">
        <v>187.140625</v>
      </c>
      <c r="HD373" s="5">
        <v>171.45330774853798</v>
      </c>
      <c r="HE373" s="5">
        <v>177.50180921052629</v>
      </c>
      <c r="HF373" s="5">
        <v>167.9756304824561</v>
      </c>
      <c r="HG373" s="5">
        <v>166.75888157894735</v>
      </c>
      <c r="HH373" s="39">
        <v>172.46913499791145</v>
      </c>
      <c r="HI373" s="16"/>
      <c r="HJ373" s="19" t="str">
        <f t="shared" ref="HJ373" si="1081">HJ372</f>
        <v>On</v>
      </c>
      <c r="HK373" s="1" t="str">
        <f t="shared" si="1067"/>
        <v>On</v>
      </c>
      <c r="HL373" s="16"/>
      <c r="HM373" s="639">
        <f t="shared" si="1023"/>
        <v>2.2758057894877178E-2</v>
      </c>
      <c r="HN373" s="639">
        <f t="shared" si="1024"/>
        <v>1.416759231746561E-3</v>
      </c>
      <c r="HO373" s="639">
        <f t="shared" si="1025"/>
        <v>4.5732401537654987E-3</v>
      </c>
      <c r="HP373" s="644">
        <f>(FT373*$GD373-HM373)/$JF373*INDEX(Input!$1:$1048576,$JG$93,$C373*2+6)</f>
        <v>209.52167698609503</v>
      </c>
      <c r="HQ373" s="644">
        <f>(FU373*$GD373-HN373)/$JF373*INDEX(Input!$1:$1048576,$JG$93,$C373*2+6)</f>
        <v>15.266590442296348</v>
      </c>
      <c r="HR373" s="644">
        <f>(FV373*$GD373-HO373)/$JF373*INDEX(Input!$1:$1048576,$JG$93,$C373*2+6)</f>
        <v>-55.329950874320481</v>
      </c>
      <c r="HS373" s="644">
        <f t="shared" si="1014"/>
        <v>-88.92754460328409</v>
      </c>
      <c r="HT373" s="644">
        <f t="shared" si="1026"/>
        <v>149.90306888289035</v>
      </c>
      <c r="HU373" s="644">
        <f t="shared" si="1027"/>
        <v>21.250818965812748</v>
      </c>
      <c r="HV373" s="648">
        <f t="shared" si="1028"/>
        <v>0</v>
      </c>
      <c r="HW373" s="648">
        <f t="shared" si="1029"/>
        <v>0</v>
      </c>
      <c r="HX373" s="648">
        <f t="shared" si="1030"/>
        <v>0</v>
      </c>
      <c r="HY373" s="644">
        <f>INDEX(Input!$1:$1048576,HY$93,$C373*2+6)*INDEX(Input!$1:$1048576,$JG$93,$C373*2+6)</f>
        <v>509.00000000000006</v>
      </c>
      <c r="HZ373" s="644">
        <f>INDEX(Input!$1:$1048576,HZ$93,$C373*2+6)*INDEX(Input!$1:$1048576,$JG$93,$C373*2+6)</f>
        <v>844</v>
      </c>
      <c r="IA373" s="644">
        <f>INDEX(Input!$1:$1048576,IA$93,$C373*2+6)*INDEX(Input!$1:$1048576,$JG$93,$C373*2+6)</f>
        <v>257</v>
      </c>
      <c r="IB373" s="644">
        <f t="shared" si="1051"/>
        <v>629.59413238281104</v>
      </c>
      <c r="IC373" s="644">
        <f t="shared" si="1052"/>
        <v>1009.1696593251867</v>
      </c>
      <c r="ID373" s="644">
        <f>IF(AND(INDEX(Input!$1:$1048576,IA$93,$C373*2+7)="TOS",Y373&lt;=INDEX(Y:Y,MATCH(C373*1000+2,A:A))),0,1)*MAX(IA373+HR373+HU373+HX373,0%)</f>
        <v>222.92086809149228</v>
      </c>
      <c r="IE373" s="128">
        <f t="shared" si="1015"/>
        <v>0.33818516421068889</v>
      </c>
      <c r="IF373" s="128">
        <f t="shared" si="1016"/>
        <v>0.54207336028319519</v>
      </c>
      <c r="IG373" s="128">
        <f t="shared" si="1031"/>
        <v>0.11974147550611586</v>
      </c>
      <c r="IH373" s="21"/>
      <c r="II373" s="19">
        <f t="shared" si="1032"/>
        <v>1410.4999999999998</v>
      </c>
      <c r="IJ373" s="19">
        <f t="shared" si="1033"/>
        <v>2134.9731585778086</v>
      </c>
      <c r="IK373" s="19">
        <f t="shared" si="1034"/>
        <v>2103.5</v>
      </c>
      <c r="IL373" s="19">
        <f t="shared" si="1053"/>
        <v>950.50000000000023</v>
      </c>
      <c r="IM373" s="19">
        <f t="shared" si="1035"/>
        <v>1375.1568608726461</v>
      </c>
      <c r="IN373" s="19">
        <f t="shared" si="1036"/>
        <v>185.5</v>
      </c>
      <c r="IO373" s="39">
        <f t="shared" si="1037"/>
        <v>0</v>
      </c>
      <c r="IP373" s="39">
        <f t="shared" si="1038"/>
        <v>0</v>
      </c>
      <c r="IQ373" s="39">
        <f t="shared" si="1039"/>
        <v>0</v>
      </c>
      <c r="IR373" s="39">
        <v>0</v>
      </c>
      <c r="IS373" s="39">
        <v>0</v>
      </c>
      <c r="IT373" s="39">
        <v>0</v>
      </c>
      <c r="IU373" s="39">
        <v>0</v>
      </c>
      <c r="IV373" s="39">
        <v>0</v>
      </c>
      <c r="IW373" s="39">
        <v>0</v>
      </c>
      <c r="IX373" s="39">
        <f>INDEX(Input!$1:$1048576,IX$93,$C373*2+6)+INDEX(Input!$1:$1048576,IX$94,$C373*2+6)</f>
        <v>1611</v>
      </c>
      <c r="IY373" s="39">
        <f>INDEX(Input!$1:$1048576,IY$93,$C373*2+6)+INDEX(Input!$1:$1048576,IY$94,$C373*2+6)</f>
        <v>2471.0624533823611</v>
      </c>
      <c r="IZ373" s="39">
        <f>INDEX(Input!$1:$1048576,IZ$93,$C373*2+6)+INDEX(Input!$1:$1048576,IZ$94,$C373*2+6)</f>
        <v>3994.7164157747857</v>
      </c>
      <c r="JA373" s="19">
        <f t="shared" si="1054"/>
        <v>2561.5</v>
      </c>
      <c r="JB373" s="19">
        <f t="shared" si="1055"/>
        <v>3846.2193142550072</v>
      </c>
      <c r="JC373" s="19">
        <f t="shared" si="1056"/>
        <v>4180.2164157747857</v>
      </c>
      <c r="JD373" s="19">
        <f t="shared" si="1057"/>
        <v>3451.7396077497779</v>
      </c>
      <c r="JE373" s="21"/>
      <c r="JF373" s="1">
        <f t="shared" si="1040"/>
        <v>2.8748057280389237E-2</v>
      </c>
      <c r="JG373" s="15">
        <f>INDEX(Input!$1:$1048576,JG$93,$C373*2+6)/(1+VLOOKUP(C373*1000+INDEX(Input!$1:$1048576,JG$93+1,$C373*2+6),$A:$KK,$JK$92,FALSE))</f>
        <v>1610</v>
      </c>
      <c r="JH373" s="1">
        <f t="shared" si="1058"/>
        <v>0.10525361276650366</v>
      </c>
      <c r="JI373" s="1">
        <f t="shared" si="1059"/>
        <v>5.1072262885353416E-2</v>
      </c>
      <c r="JJ373" s="1">
        <f t="shared" si="1017"/>
        <v>0</v>
      </c>
      <c r="JK373" s="1">
        <f t="shared" si="1018"/>
        <v>0.15632587565185707</v>
      </c>
      <c r="JL373" s="15">
        <f t="shared" si="1060"/>
        <v>251.68465979948988</v>
      </c>
      <c r="JM373" s="15">
        <f t="shared" si="1079"/>
        <v>1861.68465979949</v>
      </c>
      <c r="JN373" s="21"/>
      <c r="JO373" s="19">
        <f>INDEX(Input!$1:$1048576,JO$93,$C373*2+6)</f>
        <v>5995.5</v>
      </c>
      <c r="JP373" s="19">
        <f>INDEX(Input!$1:$1048576,JP$93,$C373*2+6)</f>
        <v>2442.3713226762939</v>
      </c>
      <c r="JQ373" s="39">
        <f t="shared" si="1068"/>
        <v>2543.7603922502221</v>
      </c>
      <c r="JR373" s="39">
        <f t="shared" ref="JR373:JR383" si="1082">JD373-JP373</f>
        <v>1009.368285073484</v>
      </c>
      <c r="JS373" s="39">
        <f t="shared" si="1069"/>
        <v>6.4260506773700703</v>
      </c>
      <c r="JT373" s="39">
        <f t="shared" si="1061"/>
        <v>2.4938328478612375</v>
      </c>
      <c r="JU373" s="385">
        <f>(JQ373*JM373-INDEX(Input!$1:$1048576,Input!A$18,$C373*2+6)*JL373*INDEX(Input!$1:$1048576,Input!A$19,$C373*2+6))/1000000</f>
        <v>4.735679700457772</v>
      </c>
      <c r="JV373" s="39">
        <f t="shared" si="958"/>
        <v>-0.98485747003339519</v>
      </c>
      <c r="JW373" s="1">
        <f t="shared" si="1080"/>
        <v>-0.17216171151088508</v>
      </c>
      <c r="JX373" s="19">
        <f t="shared" si="1073"/>
        <v>9908.5611727310043</v>
      </c>
      <c r="JZ373" s="341"/>
      <c r="KA373" s="342"/>
      <c r="KB373" s="469">
        <f t="shared" si="1070"/>
        <v>2.5190675447988795</v>
      </c>
      <c r="KI373" s="473">
        <f t="shared" si="1019"/>
        <v>120.59413238281098</v>
      </c>
      <c r="KJ373" s="473">
        <f t="shared" si="1020"/>
        <v>165.16965932518656</v>
      </c>
      <c r="KK373" s="473">
        <f t="shared" si="1062"/>
        <v>-34.079131908507748</v>
      </c>
      <c r="KN373" s="544">
        <f t="shared" si="1074"/>
        <v>3002</v>
      </c>
      <c r="KO373" s="541">
        <f t="shared" si="1041"/>
        <v>0.12208392208224383</v>
      </c>
      <c r="KP373" s="546">
        <f t="shared" si="1042"/>
        <v>890.36271865000811</v>
      </c>
      <c r="KQ373" s="546">
        <f t="shared" si="1043"/>
        <v>815.82618236107965</v>
      </c>
      <c r="KR373" s="548">
        <f t="shared" si="1044"/>
        <v>2.3788558182045008</v>
      </c>
      <c r="KS373" s="548">
        <f t="shared" si="1045"/>
        <v>2.5961958311305029</v>
      </c>
      <c r="KT373" s="473">
        <f t="shared" si="1071"/>
        <v>1026.1618045255443</v>
      </c>
      <c r="KU373" s="663">
        <f t="shared" si="1063"/>
        <v>4.7142796423083588</v>
      </c>
    </row>
    <row r="374" spans="1:307" s="26" customFormat="1" ht="15" outlineLevel="1">
      <c r="A374" s="561">
        <f t="shared" si="1046"/>
        <v>3074</v>
      </c>
      <c r="B374" s="561">
        <f t="shared" si="1064"/>
        <v>74</v>
      </c>
      <c r="C374" s="561">
        <f t="shared" si="1065"/>
        <v>3</v>
      </c>
      <c r="D374" s="561" t="str">
        <f t="shared" si="974"/>
        <v xml:space="preserve">1000 CC, 0/2.8/3.8/3.9, 2000 Combo, </v>
      </c>
      <c r="E374" s="475">
        <f>INDEX(Input!$1:$1048576,E$93,$C374*2+MIN($B374,2)+5)
+INDEX(Scenarios!E$121:E$200,MATCH($B374,Scenarios!$B$121:$B$200,0))</f>
        <v>2287.0236024844721</v>
      </c>
      <c r="F374" s="475">
        <f>INDEX(Input!$1:$1048576,F$93,$C374*2+MIN($B374,2)+5)
+INDEX(Scenarios!F$121:F$200,MATCH($B374,Scenarios!$B$121:$B$200,0))</f>
        <v>0</v>
      </c>
      <c r="G374" s="475">
        <f>INDEX(Input!$1:$1048576,G$93,$C374*2+MIN($B374,2)+5)
+INDEX(Scenarios!G$121:G$200,MATCH($B374,Scenarios!$B$121:$B$200,0))</f>
        <v>0</v>
      </c>
      <c r="H374" s="475">
        <f>INDEX(Input!$1:$1048576,H$93,$C374*2+MIN($B374,2)+5)
+INDEX(Scenarios!H$121:H$200,MATCH($B374,Scenarios!$B$121:$B$200,0))</f>
        <v>0</v>
      </c>
      <c r="I374" s="476">
        <f>INDEX(Input!$1:$1048576,I$93,$C374*2+MIN($B374,2)+5)</f>
        <v>0.7</v>
      </c>
      <c r="J374" s="476" t="str">
        <f>INDEX(Input!$1:$1048576,J$93,$C374*2+MIN($B374,2)+5)</f>
        <v>Market</v>
      </c>
      <c r="K374" s="476" t="str">
        <f>INDEX(Input!$1:$1048576,K$93,$C374*2+MIN($B374,2)+5)</f>
        <v>Market</v>
      </c>
      <c r="L374" s="476" t="str">
        <f>INDEX(Input!$1:$1048576,L$93,$C374*2+MIN($B374,2)+5)</f>
        <v>Market</v>
      </c>
      <c r="M374" s="476" t="str">
        <f>INDEX(Input!$1:$1048576,M$93,$C374*2+MIN($B374,2)+5)</f>
        <v>Market</v>
      </c>
      <c r="N374" s="476" t="str">
        <f>INDEX(Input!$1:$1048576,N$93,$C374*2+MIN($B374,2)+5)</f>
        <v>Market</v>
      </c>
      <c r="O374" s="476" t="str">
        <f>INDEX(Input!$1:$1048576,O$93,$C374*2+MIN($B374,2)+5)</f>
        <v>Market</v>
      </c>
      <c r="P374" s="476" t="str">
        <f>INDEX(Input!$1:$1048576,P$93,$C374*2+MIN($B374,2)+5)</f>
        <v>N</v>
      </c>
      <c r="Q374" s="477">
        <f>INDEX(Input!$1:$1048576,Q$93,$C374*2+MIN($B374,2)+5)
+INDEX(Scenarios!Q$121:Q$200,MATCH($B374,Scenarios!$B$121:$B$200,0))</f>
        <v>2000</v>
      </c>
      <c r="R374" s="478">
        <f>IFERROR(MAX(0,INDEX(Input!$1:$1048576,R$93,$C374*2+MIN($B374,2)+5)
+INDEX(Scenarios!R$121:R$200,MATCH($B374,Scenarios!$B$121:$B$200,0)),),"Market")</f>
        <v>0</v>
      </c>
      <c r="S374" s="478">
        <f>IFERROR(MAX(0,INDEX(Input!$1:$1048576,S$93,$C374*2+MIN($B374,2)+5)
+INDEX(Scenarios!S$121:S$200,MATCH($B374,Scenarios!$B$121:$B$200,0)),),"Market")</f>
        <v>0</v>
      </c>
      <c r="T374" s="478">
        <f>IFERROR(MAX(0,INDEX(Input!$1:$1048576,T$93,$C374*2+MIN($B374,2)+5)
+INDEX(Scenarios!T$121:T$200,MATCH($B374,Scenarios!$B$121:$B$200,0)),),"Market")</f>
        <v>0</v>
      </c>
      <c r="U374" s="478">
        <f>IFERROR(MAX(0,INDEX(Input!$1:$1048576,U$93,$C374*2+MIN($B374,2)+5)
+INDEX(Scenarios!U$121:U$200,MATCH($B374,Scenarios!$B$121:$B$200,0)),),"Market")</f>
        <v>0</v>
      </c>
      <c r="V374" s="478">
        <f>IFERROR(MAX(0,INDEX(Input!$1:$1048576,V$93,$C374*2+MIN($B374,2)+5)
+INDEX(Scenarios!V$121:V$200,MATCH($B374,Scenarios!$B$121:$B$200,0)),),"Market")</f>
        <v>3.7999999999999999E-2</v>
      </c>
      <c r="W374" s="885">
        <f>IFERROR(MAX(0,INDEX(Input!$1:$1048576,W$93,$C374*2+MIN($B374,2)+5)-0%,),"Market")</f>
        <v>3.9E-2</v>
      </c>
      <c r="X374" s="476" t="str">
        <f>INDEX(Input!$1:$1048576,X$93,$C374*2+MIN($B374,2)+5)</f>
        <v>Y</v>
      </c>
      <c r="Y374" s="475">
        <f>INDEX(Input!$1:$1048576,Y$93,$C374*2+MIN($B374,2)+5)
++INDEX(Scenarios!Y$121:Y$200,MATCH($B374,Scenarios!$B$121:$B$200,0))</f>
        <v>1554.9999999999991</v>
      </c>
      <c r="Z374" s="477">
        <f>INDEX(Input!$1:$1048576,Z$93,$C374*2+MIN($B374,2)+5)
+INDEX(Scenarios!Z$121:Z$200,MATCH($B374,Scenarios!$B$121:$B$200,0))</f>
        <v>0</v>
      </c>
      <c r="AA374" s="475">
        <f>INDEX(Input!$1:$1048576,AA$93,$C374*2+MIN($B374,2)+5)
+INDEX(Scenarios!AA$121:AA$200,MATCH($B374,Scenarios!$B$121:$B$200,0))</f>
        <v>0</v>
      </c>
      <c r="AB374" s="476">
        <f>INDEX(Input!$1:$1048576,AB$93,$C374*2+MIN($B374,2)+5)</f>
        <v>0.27</v>
      </c>
      <c r="AC374" s="475">
        <f>INDEX(Input!$1:$1048576,AC$93,$C374*2+MIN($B374,2)+5)
+INDEX(Scenarios!AC$121:AC$200,MATCH($B374,Scenarios!$B$121:$B$200,0))</f>
        <v>0</v>
      </c>
      <c r="AD374" s="476">
        <f>INDEX(Input!$1:$1048576,AD$93,$C374*2+MIN($B374,2)+5)</f>
        <v>0.27</v>
      </c>
      <c r="AE374" s="475">
        <f>INDEX(Input!$1:$1048576,AE$93,$C374*2+MIN($B374,2)+5)
+INDEX(Scenarios!AE$121:AE$200,MATCH($B374,Scenarios!$B$121:$B$200,0))</f>
        <v>0</v>
      </c>
      <c r="AF374" s="476">
        <f>INDEX(Input!$1:$1048576,AF$93,$C374*2+MIN($B374,2)+5)</f>
        <v>0.68200000000000005</v>
      </c>
      <c r="AG374" s="475">
        <f>INDEX(Input!$1:$1048576,AG$93,$C374*2+MIN($B374,2)+5)
+INDEX(Scenarios!AG$121:AG$200,MATCH($B374,Scenarios!$B$121:$B$200,0))</f>
        <v>500</v>
      </c>
      <c r="AH374" s="476">
        <f>INDEX(Input!$1:$1048576,AH$93,$C374*2+MIN($B374,2)+5)</f>
        <v>1</v>
      </c>
      <c r="AI374" s="475">
        <f>INDEX(Input!$1:$1048576,AI$93,$C374*2+MIN($B374,2)+5)
+INDEX(Scenarios!AI$121:AI$200,MATCH($B374,Scenarios!$B$121:$B$200,0))</f>
        <v>0</v>
      </c>
      <c r="AJ374" s="476">
        <f>INDEX(Input!$1:$1048576,AJ$93,$C374*2+MIN($B374,2)+5)</f>
        <v>0.27</v>
      </c>
      <c r="AK374" s="150">
        <f>ROUND(INDEX(Input!$1:$1048576,AK$93,$C373*2+MIN($B374,1)+5)+(Y374-VLOOKUP($C374*1000+1,$A:$HH,Y$92,FALSE)),0)</f>
        <v>2977</v>
      </c>
      <c r="AL374" s="150">
        <f>ROUND(INDEX(Input!$1:$1048576,AL$93,$C373*2+MIN($B374,1)+5)-(Y374-VLOOKUP($C374*1000+1,$A:$HH,Y$92,FALSE))/36,0)</f>
        <v>3395</v>
      </c>
      <c r="AM374" s="32" t="str">
        <f t="shared" si="1047"/>
        <v>std/std/std/std</v>
      </c>
      <c r="AN374" s="32" t="str">
        <f t="shared" si="1048"/>
        <v>$2000 + 0/0/0/3.8/3.9</v>
      </c>
      <c r="AO374" s="32" t="str">
        <f t="shared" si="1049"/>
        <v>0/0/0/3.8/3.9</v>
      </c>
      <c r="AP374" s="32" t="str">
        <f t="shared" si="993"/>
        <v>0/2.8/3.8/3.9</v>
      </c>
      <c r="AQ374" s="536">
        <f t="shared" si="992"/>
        <v>0.33756870726616389</v>
      </c>
      <c r="AR374" s="32"/>
      <c r="AS374" s="302"/>
      <c r="AT374" s="3">
        <f t="shared" si="1066"/>
        <v>74</v>
      </c>
      <c r="AU374" s="41" t="s">
        <v>121</v>
      </c>
      <c r="AV374" s="41" t="s">
        <v>116</v>
      </c>
      <c r="AW374" s="41" t="str">
        <f>INDEX(Input!$1:$1048576,AW$93,$C374*2+6)</f>
        <v>Kia</v>
      </c>
      <c r="AX374" s="41" t="str">
        <f>INDEX(Input!$1:$1048576,AX$93,$C374*2+6)</f>
        <v>Kia-LR - L3</v>
      </c>
      <c r="AY374" s="41" t="str">
        <f>IF(LEN(D374)=0,"",INDEX(Input!$1:$1048576,AY$93,$C374*2+6))</f>
        <v>Compact SUV (52)</v>
      </c>
      <c r="AZ374" s="41" t="str">
        <f>INDEX(Input!$1:$1048576,AZ$93,$C374*2+6)</f>
        <v>Kia Soul</v>
      </c>
      <c r="BA374" s="3">
        <f>INDEX(Input!$1:$1048576,BA$93,$C374*2+6)</f>
        <v>2020</v>
      </c>
      <c r="BB374" s="128">
        <f>INDEX(Input!$1:$1048576,BB$93,$C374*2+6)</f>
        <v>1</v>
      </c>
      <c r="BC374" s="128">
        <f>INDEX(Input!$1:$1048576,BC$93,$C374*2+6)</f>
        <v>0.7</v>
      </c>
      <c r="BD374" s="1">
        <f>INDEX(Input!$1:$1048576,BD$93,$C374*2+6)</f>
        <v>4.4999999999999998E-2</v>
      </c>
      <c r="BE374" s="1">
        <f>INDEX(Input!$1:$1048576,BE$93,$C374*2+6)</f>
        <v>4.4999999999999998E-2</v>
      </c>
      <c r="BF374" s="1">
        <f>INDEX(Input!$1:$1048576,BF$93,$C374*2+6)</f>
        <v>0.05</v>
      </c>
      <c r="BG374" s="1">
        <f>INDEX(Input!$1:$1048576,BG$93,$C374*2+6)</f>
        <v>5.45E-2</v>
      </c>
      <c r="BH374" s="1">
        <f>INDEX(Input!$1:$1048576,BH$93,$C374*2+6)</f>
        <v>5.45E-2</v>
      </c>
      <c r="BI374" s="1">
        <f>INDEX(Input!$1:$1048576,BI$93,$C374*2+6)</f>
        <v>0.05</v>
      </c>
      <c r="BJ374" s="1">
        <f>INDEX(Input!$1:$1048576,BJ$93,$C374*2+6)</f>
        <v>0.05</v>
      </c>
      <c r="BK374" s="1">
        <f>INDEX(Input!$1:$1048576,BK$93,$C374*2+6)</f>
        <v>0.05</v>
      </c>
      <c r="BL374" s="1">
        <f>INDEX(Input!$1:$1048576,BL$93,$C374*2+6)</f>
        <v>5.5E-2</v>
      </c>
      <c r="BM374" s="1">
        <f>INDEX(Input!$1:$1048576,BM$93,$C374*2+6)</f>
        <v>0.06</v>
      </c>
      <c r="BN374" s="1">
        <f>INDEX(Input!$1:$1048576,BN$93,$C374*2+6)</f>
        <v>4.4999999999999998E-2</v>
      </c>
      <c r="BO374" s="1">
        <f>INDEX(Input!$1:$1048576,BO$93,$C374*2+6)</f>
        <v>4.4999999999999998E-2</v>
      </c>
      <c r="BP374" s="1">
        <f>INDEX(Input!$1:$1048576,BP$93,$C374*2+6)</f>
        <v>0.05</v>
      </c>
      <c r="BQ374" s="1">
        <f>INDEX(Input!$1:$1048576,BQ$93,$C374*2+6)</f>
        <v>5.45E-2</v>
      </c>
      <c r="BR374" s="1">
        <f>INDEX(Input!$1:$1048576,BR$93,$C374*2+6)</f>
        <v>5.45E-2</v>
      </c>
      <c r="BS374" s="1">
        <f>INDEX(Input!$1:$1048576,BS$93,$C374*2+6)</f>
        <v>0.05</v>
      </c>
      <c r="BT374" s="1">
        <f>INDEX(Input!$1:$1048576,BT$93,$C374*2+6)</f>
        <v>0.05</v>
      </c>
      <c r="BU374" s="1">
        <f>INDEX(Input!$1:$1048576,BU$93,$C374*2+6)</f>
        <v>0.05</v>
      </c>
      <c r="BV374" s="1">
        <f>INDEX(Input!$1:$1048576,BV$93,$C374*2+6)</f>
        <v>5.5E-2</v>
      </c>
      <c r="BW374" s="1">
        <f>INDEX(Input!$1:$1048576,BW$93,$C374*2+6)</f>
        <v>0.06</v>
      </c>
      <c r="BX374" s="127">
        <f>INDEX(Input!$1:$1048576,BX$93,$C374*2+6)</f>
        <v>19985</v>
      </c>
      <c r="BY374" s="20">
        <f>INDEX(Input!$1:$1048576,BY$93,$C374*2+6)</f>
        <v>0.1</v>
      </c>
      <c r="BZ374" s="20">
        <f>INDEX(Input!$1:$1048576,BZ$93,$C374*2+6)</f>
        <v>0.1</v>
      </c>
      <c r="CA374" s="20">
        <f>INDEX(Input!$1:$1048576,CA$93,$C374*2+6)</f>
        <v>0.1</v>
      </c>
      <c r="CB374" s="20">
        <f>INDEX(Input!$1:$1048576,CB$93,$C374*2+6)</f>
        <v>0.1</v>
      </c>
      <c r="CC374" s="20">
        <f>INDEX(Input!$1:$1048576,CC$93,$C374*2+6)</f>
        <v>0.1</v>
      </c>
      <c r="CD374" s="384">
        <f>INDEX(Input!$1:$1048576,CD$93,$C374*2+6)</f>
        <v>0.1</v>
      </c>
      <c r="CE374" s="384">
        <f>INDEX(Input!$1:$1048576,CE$93,$C374*2+6)</f>
        <v>0.1</v>
      </c>
      <c r="CF374" s="384">
        <f>INDEX(Input!$1:$1048576,CF$93,$C374*2+6)</f>
        <v>0.1</v>
      </c>
      <c r="CG374" s="384">
        <f>INDEX(Input!$1:$1048576,CG$93,$C374*2+6)</f>
        <v>0.1</v>
      </c>
      <c r="CH374" s="384">
        <f>INDEX(Input!$1:$1048576,CH$93,$C374*2+6)</f>
        <v>0.1</v>
      </c>
      <c r="CI374" s="304">
        <f t="shared" si="994"/>
        <v>2287.0236024844721</v>
      </c>
      <c r="CJ374" s="16" t="str">
        <f>INDEX(Input!$1:$1048576,CJ$93,$C374*2+6)</f>
        <v>N</v>
      </c>
      <c r="CK374" s="1" t="str">
        <f t="shared" si="995"/>
        <v>Market</v>
      </c>
      <c r="CL374" s="1" t="str">
        <f t="shared" si="996"/>
        <v>Market</v>
      </c>
      <c r="CM374" s="1" t="str">
        <f t="shared" si="997"/>
        <v>Market</v>
      </c>
      <c r="CN374" s="1" t="str">
        <f t="shared" si="998"/>
        <v>Market</v>
      </c>
      <c r="CO374" s="1" t="str">
        <f t="shared" si="999"/>
        <v>Market</v>
      </c>
      <c r="CP374" s="304">
        <f t="shared" si="1000"/>
        <v>2500</v>
      </c>
      <c r="CQ374" s="1">
        <f t="shared" si="1001"/>
        <v>0</v>
      </c>
      <c r="CR374" s="1">
        <f t="shared" si="1002"/>
        <v>0</v>
      </c>
      <c r="CS374" s="1">
        <f t="shared" si="1003"/>
        <v>0</v>
      </c>
      <c r="CT374" s="1">
        <f t="shared" si="1004"/>
        <v>3.7999999999999999E-2</v>
      </c>
      <c r="CU374" s="1">
        <f t="shared" si="1005"/>
        <v>3.9E-2</v>
      </c>
      <c r="CV374" s="304">
        <f t="shared" si="1006"/>
        <v>1554.9999999999991</v>
      </c>
      <c r="CW374" s="20" t="s">
        <v>122</v>
      </c>
      <c r="CX374" s="20" t="s">
        <v>122</v>
      </c>
      <c r="CY374" s="20" t="s">
        <v>122</v>
      </c>
      <c r="CZ374" s="20" t="s">
        <v>122</v>
      </c>
      <c r="DA374" s="20" t="s">
        <v>122</v>
      </c>
      <c r="DB374" s="503">
        <f t="shared" si="1007"/>
        <v>0</v>
      </c>
      <c r="DC374" s="127">
        <v>0</v>
      </c>
      <c r="DD374" s="127">
        <v>0</v>
      </c>
      <c r="DE374" s="127">
        <v>0</v>
      </c>
      <c r="DF374" s="127">
        <v>0</v>
      </c>
      <c r="DG374" s="127">
        <v>0</v>
      </c>
      <c r="DH374" s="127">
        <v>0</v>
      </c>
      <c r="DI374" s="127">
        <v>0</v>
      </c>
      <c r="DJ374" s="127">
        <v>0</v>
      </c>
      <c r="DK374" s="127">
        <v>0</v>
      </c>
      <c r="DL374" s="127">
        <v>0</v>
      </c>
      <c r="DM374" s="304">
        <f>INDEX(Input!$1:$1048576,DM$93,$C374*2+6)</f>
        <v>21036.84210526316</v>
      </c>
      <c r="DN374" s="20">
        <v>0</v>
      </c>
      <c r="DO374" s="20">
        <v>0</v>
      </c>
      <c r="DP374" s="20">
        <v>0</v>
      </c>
      <c r="DQ374" s="20">
        <v>0</v>
      </c>
      <c r="DR374" s="20">
        <v>0</v>
      </c>
      <c r="DS374" s="20">
        <f>INDEX(Input!$1:$1048576,DS$93,$C374*2+6)</f>
        <v>0.6</v>
      </c>
      <c r="DT374" s="20">
        <f>INDEX(Input!$1:$1048576,DT$93,$C374*2+6)</f>
        <v>0.55000000000000004</v>
      </c>
      <c r="DU374" s="20">
        <f>INDEX(Input!$1:$1048576,DU$93,$C374*2+6)</f>
        <v>0.52</v>
      </c>
      <c r="DV374" s="20">
        <f>INDEX(Input!$1:$1048576,DV$93,$C374*2+6)</f>
        <v>0.5</v>
      </c>
      <c r="DW374" s="20">
        <f>INDEX(Input!$1:$1048576,DW$93,$C374*2+6)</f>
        <v>0.45</v>
      </c>
      <c r="DX374" s="20"/>
      <c r="DY374" s="7">
        <v>0.11748068921906363</v>
      </c>
      <c r="DZ374" s="7">
        <v>0</v>
      </c>
      <c r="EA374" s="7">
        <v>0.72200375620480772</v>
      </c>
      <c r="EB374" s="7">
        <v>0</v>
      </c>
      <c r="EC374" s="7">
        <v>0</v>
      </c>
      <c r="ED374" s="7">
        <v>0</v>
      </c>
      <c r="EE374" s="7">
        <v>0</v>
      </c>
      <c r="EF374" s="7">
        <v>0</v>
      </c>
      <c r="EG374" s="7">
        <v>0</v>
      </c>
      <c r="EH374" s="7">
        <v>1.7666587011947715E-2</v>
      </c>
      <c r="EI374" s="7">
        <v>4.951020196470559E-2</v>
      </c>
      <c r="EJ374" s="7">
        <v>0.40053291585708856</v>
      </c>
      <c r="EK374" s="7">
        <v>0.32519012522203317</v>
      </c>
      <c r="EL374" s="7">
        <v>0.20710016994422512</v>
      </c>
      <c r="EM374" s="7">
        <v>6.1294165186938414E-2</v>
      </c>
      <c r="EN374" s="7">
        <v>6.2827209922765179E-2</v>
      </c>
      <c r="EO374" s="7">
        <v>0.78066050515673724</v>
      </c>
      <c r="EP374" s="7">
        <v>6.4378774884199366E-2</v>
      </c>
      <c r="EQ374" s="7">
        <v>6.0237389260109082E-2</v>
      </c>
      <c r="ER374" s="7">
        <v>3.1896120776189037E-2</v>
      </c>
      <c r="ES374" s="7">
        <v>9.9221389389190354E-2</v>
      </c>
      <c r="ET374" s="7">
        <v>0.16051555457612865</v>
      </c>
      <c r="EU374" s="6">
        <v>2611</v>
      </c>
      <c r="EV374" s="6">
        <v>0</v>
      </c>
      <c r="EW374" s="6">
        <v>2611</v>
      </c>
      <c r="EX374" s="6">
        <v>0</v>
      </c>
      <c r="EY374" s="6">
        <v>4010.6767817710261</v>
      </c>
      <c r="EZ374" s="6">
        <v>2289</v>
      </c>
      <c r="FA374" s="6">
        <v>0</v>
      </c>
      <c r="FB374" s="6">
        <v>0</v>
      </c>
      <c r="FC374" s="6">
        <v>0</v>
      </c>
      <c r="FD374" s="6">
        <v>0</v>
      </c>
      <c r="FE374" s="6">
        <v>0</v>
      </c>
      <c r="FF374" s="6">
        <v>0</v>
      </c>
      <c r="FG374" s="6">
        <v>0</v>
      </c>
      <c r="FH374" s="6">
        <v>1172.0422375057044</v>
      </c>
      <c r="FI374" s="6">
        <v>1553.9796069512397</v>
      </c>
      <c r="FJ374" s="6">
        <v>2101.211011744741</v>
      </c>
      <c r="FK374" s="6">
        <v>838.19585232978295</v>
      </c>
      <c r="FL374" s="6">
        <v>907.07682140966347</v>
      </c>
      <c r="FM374" s="6">
        <v>1399.6767817710261</v>
      </c>
      <c r="FN374" s="6">
        <v>0</v>
      </c>
      <c r="FO374" s="6">
        <v>0</v>
      </c>
      <c r="FP374" s="6">
        <v>0</v>
      </c>
      <c r="FQ374" s="6">
        <v>0</v>
      </c>
      <c r="FR374" s="6">
        <v>0</v>
      </c>
      <c r="FS374" s="6">
        <v>0</v>
      </c>
      <c r="FT374" s="7">
        <v>0.83948444542387135</v>
      </c>
      <c r="FU374" s="7">
        <v>6.1294165186938414E-2</v>
      </c>
      <c r="FV374" s="7">
        <v>9.9221389389190354E-2</v>
      </c>
      <c r="FW374" s="6">
        <v>2611</v>
      </c>
      <c r="FX374" s="6">
        <v>4010.6767817710261</v>
      </c>
      <c r="FY374" s="6">
        <v>2289</v>
      </c>
      <c r="FZ374" s="6">
        <v>1858.9243755539039</v>
      </c>
      <c r="GA374" s="6">
        <v>2664.8427324868767</v>
      </c>
      <c r="GB374" s="6">
        <v>17320.157267513125</v>
      </c>
      <c r="GC374" s="7">
        <v>2.9156573141622111E-2</v>
      </c>
      <c r="GD374" s="7">
        <v>3.2670371534779793E-2</v>
      </c>
      <c r="GE374" s="7"/>
      <c r="GF374" s="7"/>
      <c r="GG374" s="7">
        <v>0.12051479356267701</v>
      </c>
      <c r="GH374" s="42">
        <v>2.988501414108391</v>
      </c>
      <c r="GI374" s="6">
        <v>9352.1408899021571</v>
      </c>
      <c r="GJ374" s="14">
        <v>0.50394797582841722</v>
      </c>
      <c r="GK374" s="14">
        <v>0.50887573065309744</v>
      </c>
      <c r="GL374" s="14">
        <v>0.49605202417158273</v>
      </c>
      <c r="GM374" s="14">
        <v>0.4911242693469024</v>
      </c>
      <c r="GO374" s="5">
        <v>343.14810671672558</v>
      </c>
      <c r="GP374" s="5">
        <v>293.33520778489498</v>
      </c>
      <c r="GQ374" s="5">
        <v>535.04305713031317</v>
      </c>
      <c r="GR374" s="5">
        <v>410.15490233172511</v>
      </c>
      <c r="GS374" s="5">
        <v>339.42744393800166</v>
      </c>
      <c r="GT374" s="5">
        <v>293.4407446948278</v>
      </c>
      <c r="GU374" s="5">
        <v>258.04012322764959</v>
      </c>
      <c r="GV374" s="39" t="s">
        <v>392</v>
      </c>
      <c r="GW374" s="5">
        <v>427.09722222222223</v>
      </c>
      <c r="GX374" s="5">
        <v>320.32291666666669</v>
      </c>
      <c r="GY374" s="5">
        <v>256.25833333333333</v>
      </c>
      <c r="GZ374" s="5">
        <v>239.15392745664155</v>
      </c>
      <c r="HA374" s="5">
        <v>209.45771593376008</v>
      </c>
      <c r="HB374" s="39">
        <v>247.19372418269526</v>
      </c>
      <c r="HC374" s="5">
        <v>187.140625</v>
      </c>
      <c r="HD374" s="5">
        <v>171.45330774853798</v>
      </c>
      <c r="HE374" s="5">
        <v>177.50180921052629</v>
      </c>
      <c r="HF374" s="5">
        <v>167.9756304824561</v>
      </c>
      <c r="HG374" s="5">
        <v>166.75888157894735</v>
      </c>
      <c r="HH374" s="39">
        <v>172.46907305335051</v>
      </c>
      <c r="HI374" s="16"/>
      <c r="HJ374" s="19" t="str">
        <f t="shared" ref="HJ374:HK375" si="1083">HJ373</f>
        <v>On</v>
      </c>
      <c r="HK374" s="1" t="str">
        <f t="shared" si="1067"/>
        <v>On</v>
      </c>
      <c r="HL374" s="16"/>
      <c r="HM374" s="639">
        <f t="shared" si="1023"/>
        <v>2.2758057894877178E-2</v>
      </c>
      <c r="HN374" s="639">
        <f t="shared" si="1024"/>
        <v>1.416759231746561E-3</v>
      </c>
      <c r="HO374" s="639">
        <f t="shared" si="1025"/>
        <v>4.5732401537654987E-3</v>
      </c>
      <c r="HP374" s="644">
        <f>(FT374*$GD374-HM374)/$JF374*INDEX(Input!$1:$1048576,$JG$93,$C374*2+6)</f>
        <v>261.43747282491034</v>
      </c>
      <c r="HQ374" s="644">
        <f>(FU374*$GD374-HN374)/$JF374*INDEX(Input!$1:$1048576,$JG$93,$C374*2+6)</f>
        <v>32.803876049786837</v>
      </c>
      <c r="HR374" s="644">
        <f>(FV374*$GD374-HO374)/$JF374*INDEX(Input!$1:$1048576,$JG$93,$C374*2+6)</f>
        <v>-74.576907275139391</v>
      </c>
      <c r="HS374" s="644">
        <f t="shared" si="1014"/>
        <v>-112.47864132894772</v>
      </c>
      <c r="HT374" s="644">
        <f t="shared" si="1026"/>
        <v>206.02724495322374</v>
      </c>
      <c r="HU374" s="644">
        <f t="shared" si="1027"/>
        <v>25.897809347113377</v>
      </c>
      <c r="HV374" s="648">
        <f t="shared" si="1028"/>
        <v>0</v>
      </c>
      <c r="HW374" s="648">
        <f t="shared" si="1029"/>
        <v>0</v>
      </c>
      <c r="HX374" s="648">
        <f t="shared" si="1030"/>
        <v>0</v>
      </c>
      <c r="HY374" s="644">
        <f>INDEX(Input!$1:$1048576,HY$93,$C374*2+6)*INDEX(Input!$1:$1048576,$JG$93,$C374*2+6)</f>
        <v>509.00000000000006</v>
      </c>
      <c r="HZ374" s="644">
        <f>INDEX(Input!$1:$1048576,HZ$93,$C374*2+6)*INDEX(Input!$1:$1048576,$JG$93,$C374*2+6)</f>
        <v>844</v>
      </c>
      <c r="IA374" s="644">
        <f>INDEX(Input!$1:$1048576,IA$93,$C374*2+6)*INDEX(Input!$1:$1048576,$JG$93,$C374*2+6)</f>
        <v>257</v>
      </c>
      <c r="IB374" s="644">
        <f t="shared" si="1051"/>
        <v>657.95883149596261</v>
      </c>
      <c r="IC374" s="644">
        <f t="shared" si="1052"/>
        <v>1082.8311210030106</v>
      </c>
      <c r="ID374" s="644">
        <f>IF(AND(INDEX(Input!$1:$1048576,IA$93,$C374*2+7)="TOS",Y374&lt;=INDEX(Y:Y,MATCH(C374*1000+2,A:A))),0,1)*MAX(IA374+HR374+HU374+HX374,0%)</f>
        <v>208.32090207197399</v>
      </c>
      <c r="IE374" s="128">
        <f t="shared" si="1015"/>
        <v>0.33756870726616389</v>
      </c>
      <c r="IF374" s="128">
        <f t="shared" si="1016"/>
        <v>0.55555132662855722</v>
      </c>
      <c r="IG374" s="128">
        <f t="shared" si="1031"/>
        <v>0.10687996610527889</v>
      </c>
      <c r="IH374" s="21"/>
      <c r="II374" s="19">
        <f t="shared" si="1032"/>
        <v>1410.4999999999998</v>
      </c>
      <c r="IJ374" s="19">
        <f t="shared" si="1033"/>
        <v>2134.9731585778086</v>
      </c>
      <c r="IK374" s="19">
        <f t="shared" si="1034"/>
        <v>2103.5</v>
      </c>
      <c r="IL374" s="19">
        <f t="shared" si="1053"/>
        <v>1200.5000000000002</v>
      </c>
      <c r="IM374" s="19">
        <f t="shared" si="1035"/>
        <v>1875.7036231932175</v>
      </c>
      <c r="IN374" s="19">
        <f t="shared" si="1036"/>
        <v>185.5</v>
      </c>
      <c r="IO374" s="39">
        <f t="shared" si="1037"/>
        <v>0</v>
      </c>
      <c r="IP374" s="39">
        <f t="shared" si="1038"/>
        <v>0</v>
      </c>
      <c r="IQ374" s="39">
        <f t="shared" si="1039"/>
        <v>0</v>
      </c>
      <c r="IR374" s="39">
        <v>0</v>
      </c>
      <c r="IS374" s="39">
        <v>0</v>
      </c>
      <c r="IT374" s="39">
        <v>0</v>
      </c>
      <c r="IU374" s="39">
        <v>0</v>
      </c>
      <c r="IV374" s="39">
        <v>0</v>
      </c>
      <c r="IW374" s="39">
        <v>0</v>
      </c>
      <c r="IX374" s="39">
        <f>INDEX(Input!$1:$1048576,IX$93,$C374*2+6)+INDEX(Input!$1:$1048576,IX$94,$C374*2+6)</f>
        <v>1611</v>
      </c>
      <c r="IY374" s="39">
        <f>INDEX(Input!$1:$1048576,IY$93,$C374*2+6)+INDEX(Input!$1:$1048576,IY$94,$C374*2+6)</f>
        <v>2471.0624533823611</v>
      </c>
      <c r="IZ374" s="39">
        <f>INDEX(Input!$1:$1048576,IZ$93,$C374*2+6)+INDEX(Input!$1:$1048576,IZ$94,$C374*2+6)</f>
        <v>3994.7164157747857</v>
      </c>
      <c r="JA374" s="19">
        <f t="shared" si="1054"/>
        <v>2811.5</v>
      </c>
      <c r="JB374" s="19">
        <f t="shared" si="1055"/>
        <v>4346.7660765755791</v>
      </c>
      <c r="JC374" s="19">
        <f t="shared" si="1056"/>
        <v>4180.2164157747857</v>
      </c>
      <c r="JD374" s="19">
        <f t="shared" si="1057"/>
        <v>3810.7074696951313</v>
      </c>
      <c r="JE374" s="21"/>
      <c r="JF374" s="1">
        <f t="shared" si="1040"/>
        <v>2.8748057280389237E-2</v>
      </c>
      <c r="JG374" s="15">
        <f>INDEX(Input!$1:$1048576,JG$93,$C374*2+6)/(1+VLOOKUP(C374*1000+INDEX(Input!$1:$1048576,JG$93+1,$C374*2+6),$A:$KK,$JK$92,FALSE))</f>
        <v>1610</v>
      </c>
      <c r="JH374" s="1">
        <f t="shared" si="1058"/>
        <v>0.13643754136618497</v>
      </c>
      <c r="JI374" s="1">
        <f t="shared" si="1059"/>
        <v>7.4190318615769815E-2</v>
      </c>
      <c r="JJ374" s="1">
        <f t="shared" si="1017"/>
        <v>0</v>
      </c>
      <c r="JK374" s="1">
        <f t="shared" si="1018"/>
        <v>0.21062785998195477</v>
      </c>
      <c r="JL374" s="15">
        <f t="shared" si="1060"/>
        <v>339.1108545709472</v>
      </c>
      <c r="JM374" s="15">
        <f t="shared" si="1079"/>
        <v>1949.1108545709471</v>
      </c>
      <c r="JN374" s="21"/>
      <c r="JO374" s="19">
        <f>INDEX(Input!$1:$1048576,JO$93,$C374*2+6)</f>
        <v>5995.5</v>
      </c>
      <c r="JP374" s="19">
        <f>INDEX(Input!$1:$1048576,JP$93,$C374*2+6)</f>
        <v>2442.3713226762939</v>
      </c>
      <c r="JQ374" s="39">
        <f t="shared" si="1068"/>
        <v>2184.7925303048687</v>
      </c>
      <c r="JR374" s="39">
        <f t="shared" si="1082"/>
        <v>1368.3361470188374</v>
      </c>
      <c r="JS374" s="39">
        <f t="shared" si="1069"/>
        <v>7.4274912927773684</v>
      </c>
      <c r="JT374" s="39">
        <f t="shared" si="1061"/>
        <v>3.4952734632685356</v>
      </c>
      <c r="JU374" s="385">
        <f>(JQ374*JM374-INDEX(Input!$1:$1048576,Input!A$18,$C374*2+6)*JL374*INDEX(Input!$1:$1048576,Input!A$19,$C374*2+6))/1000000</f>
        <v>4.2584028358027437</v>
      </c>
      <c r="JV374" s="39">
        <f t="shared" si="958"/>
        <v>-1.4621343346884235</v>
      </c>
      <c r="JW374" s="1">
        <f t="shared" si="1080"/>
        <v>-0.25559388762137597</v>
      </c>
      <c r="JX374" s="19">
        <f t="shared" si="1073"/>
        <v>10307.170697000709</v>
      </c>
      <c r="JZ374" s="341"/>
      <c r="KA374" s="342"/>
      <c r="KB374" s="469">
        <f t="shared" si="1070"/>
        <v>2.5190675447988795</v>
      </c>
      <c r="KI374" s="473">
        <f t="shared" si="1019"/>
        <v>148.95883149596256</v>
      </c>
      <c r="KJ374" s="473">
        <f t="shared" si="1020"/>
        <v>238.83112100301059</v>
      </c>
      <c r="KK374" s="473">
        <f t="shared" si="1062"/>
        <v>-48.67909792802601</v>
      </c>
      <c r="KN374" s="544">
        <f t="shared" si="1074"/>
        <v>3002</v>
      </c>
      <c r="KO374" s="541">
        <f t="shared" si="1041"/>
        <v>0.17477787699319447</v>
      </c>
      <c r="KP374" s="546">
        <f t="shared" si="1042"/>
        <v>1268.2033011768162</v>
      </c>
      <c r="KQ374" s="546">
        <f t="shared" si="1043"/>
        <v>1174.7940443064331</v>
      </c>
      <c r="KR374" s="548">
        <f t="shared" si="1044"/>
        <v>2.3909703723905804</v>
      </c>
      <c r="KS374" s="548">
        <f t="shared" si="1045"/>
        <v>2.5810792402100118</v>
      </c>
      <c r="KT374" s="473">
        <f t="shared" si="1071"/>
        <v>1026.1618045255443</v>
      </c>
      <c r="KU374" s="663">
        <f t="shared" si="1063"/>
        <v>4.7170147711668617</v>
      </c>
    </row>
    <row r="375" spans="1:307" s="26" customFormat="1" ht="15" outlineLevel="1">
      <c r="A375" s="561">
        <f t="shared" si="1046"/>
        <v>3075</v>
      </c>
      <c r="B375" s="561">
        <f t="shared" si="1064"/>
        <v>75</v>
      </c>
      <c r="C375" s="561">
        <f t="shared" si="1065"/>
        <v>3</v>
      </c>
      <c r="D375" s="561" t="str">
        <f t="shared" si="974"/>
        <v xml:space="preserve">-500 OLP/CBP, </v>
      </c>
      <c r="E375" s="475">
        <f>INDEX(Input!$1:$1048576,E$93,$C375*2+MIN($B375,2)+5)
+INDEX(Scenarios!E$121:E$200,MATCH($B375,Scenarios!$B$121:$B$200,0))</f>
        <v>1287.0236024844721</v>
      </c>
      <c r="F375" s="475">
        <f>INDEX(Input!$1:$1048576,F$93,$C375*2+MIN($B375,2)+5)
+INDEX(Scenarios!F$121:F$200,MATCH($B375,Scenarios!$B$121:$B$200,0))</f>
        <v>0</v>
      </c>
      <c r="G375" s="475">
        <f>INDEX(Input!$1:$1048576,G$93,$C375*2+MIN($B375,2)+5)
+INDEX(Scenarios!G$121:G$200,MATCH($B375,Scenarios!$B$121:$B$200,0))</f>
        <v>0</v>
      </c>
      <c r="H375" s="475">
        <f>INDEX(Input!$1:$1048576,H$93,$C375*2+MIN($B375,2)+5)
+INDEX(Scenarios!H$121:H$200,MATCH($B375,Scenarios!$B$121:$B$200,0))</f>
        <v>0</v>
      </c>
      <c r="I375" s="476">
        <f>INDEX(Input!$1:$1048576,I$93,$C375*2+MIN($B375,2)+5)</f>
        <v>0.7</v>
      </c>
      <c r="J375" s="476" t="str">
        <f>INDEX(Input!$1:$1048576,J$93,$C375*2+MIN($B375,2)+5)</f>
        <v>Market</v>
      </c>
      <c r="K375" s="476" t="str">
        <f>INDEX(Input!$1:$1048576,K$93,$C375*2+MIN($B375,2)+5)</f>
        <v>Market</v>
      </c>
      <c r="L375" s="476" t="str">
        <f>INDEX(Input!$1:$1048576,L$93,$C375*2+MIN($B375,2)+5)</f>
        <v>Market</v>
      </c>
      <c r="M375" s="476" t="str">
        <f>INDEX(Input!$1:$1048576,M$93,$C375*2+MIN($B375,2)+5)</f>
        <v>Market</v>
      </c>
      <c r="N375" s="476" t="str">
        <f>INDEX(Input!$1:$1048576,N$93,$C375*2+MIN($B375,2)+5)</f>
        <v>Market</v>
      </c>
      <c r="O375" s="476" t="str">
        <f>INDEX(Input!$1:$1048576,O$93,$C375*2+MIN($B375,2)+5)</f>
        <v>Market</v>
      </c>
      <c r="P375" s="476" t="str">
        <f>INDEX(Input!$1:$1048576,P$93,$C375*2+MIN($B375,2)+5)</f>
        <v>N</v>
      </c>
      <c r="Q375" s="477">
        <f>INDEX(Input!$1:$1048576,Q$93,$C375*2+MIN($B375,2)+5)
+INDEX(Scenarios!Q$121:Q$200,MATCH($B375,Scenarios!$B$121:$B$200,0))</f>
        <v>0</v>
      </c>
      <c r="R375" s="478">
        <f>IFERROR(MAX(0,INDEX(Input!$1:$1048576,R$93,$C375*2+MIN($B375,2)+5)
+INDEX(Scenarios!R$121:R$200,MATCH($B375,Scenarios!$B$121:$B$200,0)),),"Market")</f>
        <v>0</v>
      </c>
      <c r="S375" s="478">
        <f>IFERROR(MAX(0,INDEX(Input!$1:$1048576,S$93,$C375*2+MIN($B375,2)+5)
+INDEX(Scenarios!S$121:S$200,MATCH($B375,Scenarios!$B$121:$B$200,0)),),"Market")</f>
        <v>0</v>
      </c>
      <c r="T375" s="478">
        <f>IFERROR(MAX(0,INDEX(Input!$1:$1048576,T$93,$C375*2+MIN($B375,2)+5)
+INDEX(Scenarios!T$121:T$200,MATCH($B375,Scenarios!$B$121:$B$200,0)),),"Market")</f>
        <v>0</v>
      </c>
      <c r="U375" s="478">
        <f>IFERROR(MAX(0,INDEX(Input!$1:$1048576,U$93,$C375*2+MIN($B375,2)+5)
+INDEX(Scenarios!U$121:U$200,MATCH($B375,Scenarios!$B$121:$B$200,0)),),"Market")</f>
        <v>0</v>
      </c>
      <c r="V375" s="478">
        <f>IFERROR(MAX(0,INDEX(Input!$1:$1048576,V$93,$C375*2+MIN($B375,2)+5)
+INDEX(Scenarios!V$121:V$200,MATCH($B375,Scenarios!$B$121:$B$200,0)),),"Market")</f>
        <v>1.9E-2</v>
      </c>
      <c r="W375" s="885">
        <f>IFERROR(MAX(0,INDEX(Input!$1:$1048576,W$93,$C375*2+MIN($B375,2)+5)-0%,),"Market")</f>
        <v>3.9E-2</v>
      </c>
      <c r="X375" s="476" t="str">
        <f>INDEX(Input!$1:$1048576,X$93,$C375*2+MIN($B375,2)+5)</f>
        <v>Y</v>
      </c>
      <c r="Y375" s="475">
        <f>INDEX(Input!$1:$1048576,Y$93,$C375*2+MIN($B375,2)+5)
++INDEX(Scenarios!Y$121:Y$200,MATCH($B375,Scenarios!$B$121:$B$200,0))</f>
        <v>1554.9999999999991</v>
      </c>
      <c r="Z375" s="477">
        <f>INDEX(Input!$1:$1048576,Z$93,$C375*2+MIN($B375,2)+5)
+INDEX(Scenarios!Z$121:Z$200,MATCH($B375,Scenarios!$B$121:$B$200,0))</f>
        <v>0</v>
      </c>
      <c r="AA375" s="475">
        <f>INDEX(Input!$1:$1048576,AA$93,$C375*2+MIN($B375,2)+5)
+INDEX(Scenarios!AA$121:AA$200,MATCH($B375,Scenarios!$B$121:$B$200,0))</f>
        <v>0</v>
      </c>
      <c r="AB375" s="476">
        <f>INDEX(Input!$1:$1048576,AB$93,$C375*2+MIN($B375,2)+5)</f>
        <v>0.27</v>
      </c>
      <c r="AC375" s="475">
        <f>INDEX(Input!$1:$1048576,AC$93,$C375*2+MIN($B375,2)+5)
+INDEX(Scenarios!AC$121:AC$200,MATCH($B375,Scenarios!$B$121:$B$200,0))</f>
        <v>0</v>
      </c>
      <c r="AD375" s="476">
        <f>INDEX(Input!$1:$1048576,AD$93,$C375*2+MIN($B375,2)+5)</f>
        <v>0.27</v>
      </c>
      <c r="AE375" s="475">
        <f>INDEX(Input!$1:$1048576,AE$93,$C375*2+MIN($B375,2)+5)
+INDEX(Scenarios!AE$121:AE$200,MATCH($B375,Scenarios!$B$121:$B$200,0))</f>
        <v>-500</v>
      </c>
      <c r="AF375" s="476">
        <f>INDEX(Input!$1:$1048576,AF$93,$C375*2+MIN($B375,2)+5)</f>
        <v>0.68200000000000005</v>
      </c>
      <c r="AG375" s="475">
        <f>INDEX(Input!$1:$1048576,AG$93,$C375*2+MIN($B375,2)+5)
+INDEX(Scenarios!AG$121:AG$200,MATCH($B375,Scenarios!$B$121:$B$200,0))</f>
        <v>500</v>
      </c>
      <c r="AH375" s="476">
        <f>INDEX(Input!$1:$1048576,AH$93,$C375*2+MIN($B375,2)+5)</f>
        <v>1</v>
      </c>
      <c r="AI375" s="475">
        <f>INDEX(Input!$1:$1048576,AI$93,$C375*2+MIN($B375,2)+5)
+INDEX(Scenarios!AI$121:AI$200,MATCH($B375,Scenarios!$B$121:$B$200,0))</f>
        <v>0</v>
      </c>
      <c r="AJ375" s="476">
        <f>INDEX(Input!$1:$1048576,AJ$93,$C375*2+MIN($B375,2)+5)</f>
        <v>0.27</v>
      </c>
      <c r="AK375" s="150">
        <f>ROUND(INDEX(Input!$1:$1048576,AK$93,$C374*2+MIN($B375,1)+5)+(Y375-VLOOKUP($C375*1000+1,$A:$HH,Y$92,FALSE)),0)</f>
        <v>2977</v>
      </c>
      <c r="AL375" s="150">
        <f>ROUND(INDEX(Input!$1:$1048576,AL$93,$C374*2+MIN($B375,1)+5)-(Y375-VLOOKUP($C375*1000+1,$A:$HH,Y$92,FALSE))/36,0)</f>
        <v>3395</v>
      </c>
      <c r="AM375" s="32" t="str">
        <f t="shared" si="1047"/>
        <v>std/std/std/std</v>
      </c>
      <c r="AN375" s="32" t="str">
        <f t="shared" si="1048"/>
        <v>$0 + 0/0/0/1.9/3.9</v>
      </c>
      <c r="AO375" s="32" t="str">
        <f t="shared" si="1049"/>
        <v>0/0/0/1.9/3.9</v>
      </c>
      <c r="AP375" s="32" t="str">
        <f t="shared" si="993"/>
        <v>0/0.9/1.9/3.9</v>
      </c>
      <c r="AQ375" s="536">
        <f t="shared" si="992"/>
        <v>-340.68020408072886</v>
      </c>
      <c r="AR375" s="32"/>
      <c r="AS375" s="302"/>
      <c r="AT375" s="3">
        <f t="shared" si="1066"/>
        <v>75</v>
      </c>
      <c r="AU375" s="41" t="s">
        <v>121</v>
      </c>
      <c r="AV375" s="41" t="s">
        <v>116</v>
      </c>
      <c r="AW375" s="41" t="str">
        <f>INDEX(Input!$1:$1048576,AW$93,$C375*2+6)</f>
        <v>Kia</v>
      </c>
      <c r="AX375" s="41" t="str">
        <f>INDEX(Input!$1:$1048576,AX$93,$C375*2+6)</f>
        <v>Kia-LR - L3</v>
      </c>
      <c r="AY375" s="41" t="str">
        <f>IF(LEN(D375)=0,"",INDEX(Input!$1:$1048576,AY$93,$C375*2+6))</f>
        <v>Compact SUV (52)</v>
      </c>
      <c r="AZ375" s="41" t="str">
        <f>INDEX(Input!$1:$1048576,AZ$93,$C375*2+6)</f>
        <v>Kia Soul</v>
      </c>
      <c r="BA375" s="3">
        <f>INDEX(Input!$1:$1048576,BA$93,$C375*2+6)</f>
        <v>2020</v>
      </c>
      <c r="BB375" s="128">
        <f>INDEX(Input!$1:$1048576,BB$93,$C375*2+6)</f>
        <v>1</v>
      </c>
      <c r="BC375" s="128">
        <f>INDEX(Input!$1:$1048576,BC$93,$C375*2+6)</f>
        <v>0.7</v>
      </c>
      <c r="BD375" s="1">
        <f>INDEX(Input!$1:$1048576,BD$93,$C375*2+6)</f>
        <v>4.4999999999999998E-2</v>
      </c>
      <c r="BE375" s="1">
        <f>INDEX(Input!$1:$1048576,BE$93,$C375*2+6)</f>
        <v>4.4999999999999998E-2</v>
      </c>
      <c r="BF375" s="1">
        <f>INDEX(Input!$1:$1048576,BF$93,$C375*2+6)</f>
        <v>0.05</v>
      </c>
      <c r="BG375" s="1">
        <f>INDEX(Input!$1:$1048576,BG$93,$C375*2+6)</f>
        <v>5.45E-2</v>
      </c>
      <c r="BH375" s="1">
        <f>INDEX(Input!$1:$1048576,BH$93,$C375*2+6)</f>
        <v>5.45E-2</v>
      </c>
      <c r="BI375" s="1">
        <f>INDEX(Input!$1:$1048576,BI$93,$C375*2+6)</f>
        <v>0.05</v>
      </c>
      <c r="BJ375" s="1">
        <f>INDEX(Input!$1:$1048576,BJ$93,$C375*2+6)</f>
        <v>0.05</v>
      </c>
      <c r="BK375" s="1">
        <f>INDEX(Input!$1:$1048576,BK$93,$C375*2+6)</f>
        <v>0.05</v>
      </c>
      <c r="BL375" s="1">
        <f>INDEX(Input!$1:$1048576,BL$93,$C375*2+6)</f>
        <v>5.5E-2</v>
      </c>
      <c r="BM375" s="1">
        <f>INDEX(Input!$1:$1048576,BM$93,$C375*2+6)</f>
        <v>0.06</v>
      </c>
      <c r="BN375" s="1">
        <f>INDEX(Input!$1:$1048576,BN$93,$C375*2+6)</f>
        <v>4.4999999999999998E-2</v>
      </c>
      <c r="BO375" s="1">
        <f>INDEX(Input!$1:$1048576,BO$93,$C375*2+6)</f>
        <v>4.4999999999999998E-2</v>
      </c>
      <c r="BP375" s="1">
        <f>INDEX(Input!$1:$1048576,BP$93,$C375*2+6)</f>
        <v>0.05</v>
      </c>
      <c r="BQ375" s="1">
        <f>INDEX(Input!$1:$1048576,BQ$93,$C375*2+6)</f>
        <v>5.45E-2</v>
      </c>
      <c r="BR375" s="1">
        <f>INDEX(Input!$1:$1048576,BR$93,$C375*2+6)</f>
        <v>5.45E-2</v>
      </c>
      <c r="BS375" s="1">
        <f>INDEX(Input!$1:$1048576,BS$93,$C375*2+6)</f>
        <v>0.05</v>
      </c>
      <c r="BT375" s="1">
        <f>INDEX(Input!$1:$1048576,BT$93,$C375*2+6)</f>
        <v>0.05</v>
      </c>
      <c r="BU375" s="1">
        <f>INDEX(Input!$1:$1048576,BU$93,$C375*2+6)</f>
        <v>0.05</v>
      </c>
      <c r="BV375" s="1">
        <f>INDEX(Input!$1:$1048576,BV$93,$C375*2+6)</f>
        <v>5.5E-2</v>
      </c>
      <c r="BW375" s="1">
        <f>INDEX(Input!$1:$1048576,BW$93,$C375*2+6)</f>
        <v>0.06</v>
      </c>
      <c r="BX375" s="127">
        <f>INDEX(Input!$1:$1048576,BX$93,$C375*2+6)</f>
        <v>19985</v>
      </c>
      <c r="BY375" s="20">
        <f>INDEX(Input!$1:$1048576,BY$93,$C375*2+6)</f>
        <v>0.1</v>
      </c>
      <c r="BZ375" s="20">
        <f>INDEX(Input!$1:$1048576,BZ$93,$C375*2+6)</f>
        <v>0.1</v>
      </c>
      <c r="CA375" s="20">
        <f>INDEX(Input!$1:$1048576,CA$93,$C375*2+6)</f>
        <v>0.1</v>
      </c>
      <c r="CB375" s="20">
        <f>INDEX(Input!$1:$1048576,CB$93,$C375*2+6)</f>
        <v>0.1</v>
      </c>
      <c r="CC375" s="20">
        <f>INDEX(Input!$1:$1048576,CC$93,$C375*2+6)</f>
        <v>0.1</v>
      </c>
      <c r="CD375" s="384">
        <f>INDEX(Input!$1:$1048576,CD$93,$C375*2+6)</f>
        <v>0.1</v>
      </c>
      <c r="CE375" s="384">
        <f>INDEX(Input!$1:$1048576,CE$93,$C375*2+6)</f>
        <v>0.1</v>
      </c>
      <c r="CF375" s="384">
        <f>INDEX(Input!$1:$1048576,CF$93,$C375*2+6)</f>
        <v>0.1</v>
      </c>
      <c r="CG375" s="384">
        <f>INDEX(Input!$1:$1048576,CG$93,$C375*2+6)</f>
        <v>0.1</v>
      </c>
      <c r="CH375" s="384">
        <f>INDEX(Input!$1:$1048576,CH$93,$C375*2+6)</f>
        <v>0.1</v>
      </c>
      <c r="CI375" s="304">
        <f t="shared" si="994"/>
        <v>1287.0236024844721</v>
      </c>
      <c r="CJ375" s="16" t="str">
        <f>INDEX(Input!$1:$1048576,CJ$93,$C375*2+6)</f>
        <v>N</v>
      </c>
      <c r="CK375" s="1" t="str">
        <f t="shared" si="995"/>
        <v>Market</v>
      </c>
      <c r="CL375" s="1" t="str">
        <f t="shared" si="996"/>
        <v>Market</v>
      </c>
      <c r="CM375" s="1" t="str">
        <f t="shared" si="997"/>
        <v>Market</v>
      </c>
      <c r="CN375" s="1" t="str">
        <f t="shared" si="998"/>
        <v>Market</v>
      </c>
      <c r="CO375" s="1" t="str">
        <f t="shared" si="999"/>
        <v>Market</v>
      </c>
      <c r="CP375" s="304">
        <f t="shared" si="1000"/>
        <v>500</v>
      </c>
      <c r="CQ375" s="1">
        <f t="shared" si="1001"/>
        <v>0</v>
      </c>
      <c r="CR375" s="1">
        <f t="shared" si="1002"/>
        <v>0</v>
      </c>
      <c r="CS375" s="1">
        <f t="shared" si="1003"/>
        <v>0</v>
      </c>
      <c r="CT375" s="1">
        <f t="shared" si="1004"/>
        <v>1.9E-2</v>
      </c>
      <c r="CU375" s="1">
        <f t="shared" si="1005"/>
        <v>3.9E-2</v>
      </c>
      <c r="CV375" s="304">
        <f t="shared" si="1006"/>
        <v>1554.9999999999991</v>
      </c>
      <c r="CW375" s="20" t="s">
        <v>122</v>
      </c>
      <c r="CX375" s="20" t="s">
        <v>122</v>
      </c>
      <c r="CY375" s="20" t="s">
        <v>122</v>
      </c>
      <c r="CZ375" s="20" t="s">
        <v>122</v>
      </c>
      <c r="DA375" s="20" t="s">
        <v>122</v>
      </c>
      <c r="DB375" s="503">
        <f t="shared" si="1007"/>
        <v>-341</v>
      </c>
      <c r="DC375" s="127">
        <v>0</v>
      </c>
      <c r="DD375" s="127">
        <v>0</v>
      </c>
      <c r="DE375" s="127">
        <v>0</v>
      </c>
      <c r="DF375" s="127">
        <v>0</v>
      </c>
      <c r="DG375" s="127">
        <v>0</v>
      </c>
      <c r="DH375" s="127">
        <v>0</v>
      </c>
      <c r="DI375" s="127">
        <v>0</v>
      </c>
      <c r="DJ375" s="127">
        <v>0</v>
      </c>
      <c r="DK375" s="127">
        <v>0</v>
      </c>
      <c r="DL375" s="127">
        <v>0</v>
      </c>
      <c r="DM375" s="304">
        <f>INDEX(Input!$1:$1048576,DM$93,$C375*2+6)</f>
        <v>21036.84210526316</v>
      </c>
      <c r="DN375" s="20">
        <v>0</v>
      </c>
      <c r="DO375" s="20">
        <v>0</v>
      </c>
      <c r="DP375" s="20">
        <v>0</v>
      </c>
      <c r="DQ375" s="20">
        <v>0</v>
      </c>
      <c r="DR375" s="20">
        <v>0</v>
      </c>
      <c r="DS375" s="20">
        <f>INDEX(Input!$1:$1048576,DS$93,$C375*2+6)</f>
        <v>0.6</v>
      </c>
      <c r="DT375" s="20">
        <f>INDEX(Input!$1:$1048576,DT$93,$C375*2+6)</f>
        <v>0.55000000000000004</v>
      </c>
      <c r="DU375" s="20">
        <f>INDEX(Input!$1:$1048576,DU$93,$C375*2+6)</f>
        <v>0.52</v>
      </c>
      <c r="DV375" s="20">
        <f>INDEX(Input!$1:$1048576,DV$93,$C375*2+6)</f>
        <v>0.5</v>
      </c>
      <c r="DW375" s="20">
        <f>INDEX(Input!$1:$1048576,DW$93,$C375*2+6)</f>
        <v>0.45</v>
      </c>
      <c r="DX375" s="20"/>
      <c r="DY375" s="7">
        <v>9.758097207380019E-2</v>
      </c>
      <c r="DZ375" s="7">
        <v>0</v>
      </c>
      <c r="EA375" s="7">
        <v>0.69625466980901041</v>
      </c>
      <c r="EB375" s="7">
        <v>0</v>
      </c>
      <c r="EC375" s="7">
        <v>0</v>
      </c>
      <c r="ED375" s="7">
        <v>0</v>
      </c>
      <c r="EE375" s="7">
        <v>0</v>
      </c>
      <c r="EF375" s="7">
        <v>0</v>
      </c>
      <c r="EG375" s="7">
        <v>0</v>
      </c>
      <c r="EH375" s="7">
        <v>1.2000022141669255E-2</v>
      </c>
      <c r="EI375" s="7">
        <v>3.3595941682280125E-2</v>
      </c>
      <c r="EJ375" s="7">
        <v>0.27024101111970344</v>
      </c>
      <c r="EK375" s="7">
        <v>0.54267642977855568</v>
      </c>
      <c r="EL375" s="7">
        <v>0.14148659527779198</v>
      </c>
      <c r="EM375" s="7">
        <v>4.94896548524962E-2</v>
      </c>
      <c r="EN375" s="7">
        <v>6.1253211708596128E-2</v>
      </c>
      <c r="EO375" s="7">
        <v>0.77047866441251911</v>
      </c>
      <c r="EP375" s="7">
        <v>6.9323756436199591E-2</v>
      </c>
      <c r="EQ375" s="7">
        <v>6.5026122155915356E-2</v>
      </c>
      <c r="ER375" s="7">
        <v>3.3918245286769948E-2</v>
      </c>
      <c r="ES375" s="7">
        <v>0.15667470326469321</v>
      </c>
      <c r="ET375" s="7">
        <v>0.2061643581171895</v>
      </c>
      <c r="EU375" s="6">
        <v>1270</v>
      </c>
      <c r="EV375" s="6">
        <v>0</v>
      </c>
      <c r="EW375" s="6">
        <v>1270</v>
      </c>
      <c r="EX375" s="6">
        <v>0</v>
      </c>
      <c r="EY375" s="6">
        <v>1994.45413528009</v>
      </c>
      <c r="EZ375" s="6">
        <v>1948</v>
      </c>
      <c r="FA375" s="6">
        <v>0</v>
      </c>
      <c r="FB375" s="6">
        <v>0</v>
      </c>
      <c r="FC375" s="6">
        <v>0</v>
      </c>
      <c r="FD375" s="6">
        <v>0</v>
      </c>
      <c r="FE375" s="6">
        <v>0</v>
      </c>
      <c r="FF375" s="6">
        <v>0</v>
      </c>
      <c r="FG375" s="6">
        <v>0</v>
      </c>
      <c r="FH375" s="6">
        <v>1171.9998495555183</v>
      </c>
      <c r="FI375" s="6">
        <v>1553.9796069512404</v>
      </c>
      <c r="FJ375" s="6">
        <v>2101.211011744741</v>
      </c>
      <c r="FK375" s="6">
        <v>1772.7139978623227</v>
      </c>
      <c r="FL375" s="6">
        <v>907.07682140966347</v>
      </c>
      <c r="FM375" s="6">
        <v>1724.45413528009</v>
      </c>
      <c r="FN375" s="6">
        <v>0</v>
      </c>
      <c r="FO375" s="6">
        <v>0</v>
      </c>
      <c r="FP375" s="6">
        <v>0</v>
      </c>
      <c r="FQ375" s="6">
        <v>0</v>
      </c>
      <c r="FR375" s="6">
        <v>0</v>
      </c>
      <c r="FS375" s="6">
        <v>0</v>
      </c>
      <c r="FT375" s="7">
        <v>0.79383564188281064</v>
      </c>
      <c r="FU375" s="7">
        <v>4.94896548524962E-2</v>
      </c>
      <c r="FV375" s="7">
        <v>0.15667470326469321</v>
      </c>
      <c r="FW375" s="6">
        <v>1270</v>
      </c>
      <c r="FX375" s="6">
        <v>1994.4541352800902</v>
      </c>
      <c r="FY375" s="6">
        <v>1948</v>
      </c>
      <c r="FZ375" s="6">
        <v>1858.9243755539039</v>
      </c>
      <c r="GA375" s="6">
        <v>1412.0784339249374</v>
      </c>
      <c r="GB375" s="6">
        <v>18572.921566075063</v>
      </c>
      <c r="GC375" s="7">
        <v>2.9156573141622111E-2</v>
      </c>
      <c r="GD375" s="7">
        <v>2.8253138518501104E-2</v>
      </c>
      <c r="GE375" s="7"/>
      <c r="GF375" s="7"/>
      <c r="GG375" s="7">
        <v>-3.0985624364453197E-2</v>
      </c>
      <c r="GH375" s="42">
        <v>1.3858192393247299</v>
      </c>
      <c r="GI375" s="6">
        <v>15833.151134386308</v>
      </c>
      <c r="GJ375" s="14">
        <v>0.50394797582841722</v>
      </c>
      <c r="GK375" s="14">
        <v>0.50887573065309744</v>
      </c>
      <c r="GL375" s="14">
        <v>0.49605202417158262</v>
      </c>
      <c r="GM375" s="14">
        <v>0.49112426934690251</v>
      </c>
      <c r="GO375" s="5">
        <v>343.14810671672558</v>
      </c>
      <c r="GP375" s="5">
        <v>318.91892952659737</v>
      </c>
      <c r="GQ375" s="5">
        <v>535.04305713031317</v>
      </c>
      <c r="GR375" s="5">
        <v>410.15490233172511</v>
      </c>
      <c r="GS375" s="5">
        <v>339.42744393800166</v>
      </c>
      <c r="GT375" s="5">
        <v>293.4407446948278</v>
      </c>
      <c r="GU375" s="5">
        <v>258.04012322764959</v>
      </c>
      <c r="GV375" s="39" t="s">
        <v>392</v>
      </c>
      <c r="GW375" s="5">
        <v>492.125</v>
      </c>
      <c r="GX375" s="5">
        <v>369.09375</v>
      </c>
      <c r="GY375" s="5">
        <v>295.27499999999998</v>
      </c>
      <c r="GZ375" s="5">
        <v>260.54902799031458</v>
      </c>
      <c r="HA375" s="5">
        <v>241.34874471337258</v>
      </c>
      <c r="HB375" s="39">
        <v>273.64240601125448</v>
      </c>
      <c r="HC375" s="5">
        <v>202.05937499999999</v>
      </c>
      <c r="HD375" s="5">
        <v>181.63594663742685</v>
      </c>
      <c r="HE375" s="5">
        <v>186.95581562078269</v>
      </c>
      <c r="HF375" s="5">
        <v>175.8612554824561</v>
      </c>
      <c r="HG375" s="5">
        <v>173.29471491228068</v>
      </c>
      <c r="HH375" s="39">
        <v>182.59731480430648</v>
      </c>
      <c r="HI375" s="16"/>
      <c r="HJ375" s="19" t="str">
        <f t="shared" si="1083"/>
        <v>On</v>
      </c>
      <c r="HK375" s="1" t="str">
        <f t="shared" si="1083"/>
        <v>On</v>
      </c>
      <c r="HL375" s="16"/>
      <c r="HM375" s="639">
        <f t="shared" si="1023"/>
        <v>2.2758057894877178E-2</v>
      </c>
      <c r="HN375" s="639">
        <f t="shared" si="1024"/>
        <v>1.416759231746561E-3</v>
      </c>
      <c r="HO375" s="639">
        <f t="shared" si="1025"/>
        <v>4.5732401537654987E-3</v>
      </c>
      <c r="HP375" s="644">
        <f>(FT375*$GD375-HM375)/$JF375*INDEX(Input!$1:$1048576,$JG$93,$C375*2+6)</f>
        <v>-18.46498218656075</v>
      </c>
      <c r="HQ375" s="644">
        <f>(FU375*$GD375-HN375)/$JF375*INDEX(Input!$1:$1048576,$JG$93,$C375*2+6)</f>
        <v>-1.0372549363843122</v>
      </c>
      <c r="HR375" s="644">
        <f>(FV375*$GD375-HO375)/$JF375*INDEX(Input!$1:$1048576,$JG$93,$C375*2+6)</f>
        <v>-8.2150864815076581</v>
      </c>
      <c r="HS375" s="644">
        <f t="shared" si="1014"/>
        <v>13.072045769392018</v>
      </c>
      <c r="HT375" s="644">
        <f t="shared" ref="HT375" si="1084">IF(AND(HJ375="On",HK375="On"),IM375/1000*INDEX(KG:KG,MATCH(C375*1000+4,$KF:$KF,0))*SUM(HY375:IA375)*1.1
+INDEX(HR:HR,MATCH(C375*1000+3,$KF:$KF,0))/INDEX(IL:IL,MATCH(C375*1000+3,$KF:$KF,0))*IL375*20%,0)</f>
        <v>-14.612415987557121</v>
      </c>
      <c r="HU375" s="644">
        <f t="shared" si="1027"/>
        <v>-5.9659152509242332</v>
      </c>
      <c r="HV375" s="648">
        <f t="shared" si="1028"/>
        <v>0</v>
      </c>
      <c r="HW375" s="648">
        <f t="shared" si="1029"/>
        <v>0</v>
      </c>
      <c r="HX375" s="648">
        <f t="shared" si="1030"/>
        <v>0</v>
      </c>
      <c r="HY375" s="644">
        <f>INDEX(Input!$1:$1048576,HY$93,$C375*2+6)*INDEX(Input!$1:$1048576,$JG$93,$C375*2+6)</f>
        <v>509.00000000000006</v>
      </c>
      <c r="HZ375" s="644">
        <f>INDEX(Input!$1:$1048576,HZ$93,$C375*2+6)*INDEX(Input!$1:$1048576,$JG$93,$C375*2+6)</f>
        <v>844</v>
      </c>
      <c r="IA375" s="644">
        <f>INDEX(Input!$1:$1048576,IA$93,$C375*2+6)*INDEX(Input!$1:$1048576,$JG$93,$C375*2+6)</f>
        <v>257</v>
      </c>
      <c r="IB375" s="644">
        <f t="shared" si="1051"/>
        <v>503.60706358283153</v>
      </c>
      <c r="IC375" s="644">
        <f t="shared" si="1052"/>
        <v>828.35032907605853</v>
      </c>
      <c r="ID375" s="644">
        <f>IF(AND(INDEX(Input!$1:$1048576,IA$93,$C375*2+7)="TOS",Y375&lt;=INDEX(Y:Y,MATCH(C375*1000+2,A:A))),0,1)*MAX(IA375+HR375+HU375+HX375,0%)</f>
        <v>242.81899826756811</v>
      </c>
      <c r="IE375" s="128">
        <f t="shared" ref="IE375" si="1085">IB375/SUM($IB375:$ID375)</f>
        <v>0.31979591927115064</v>
      </c>
      <c r="IF375" s="128">
        <f t="shared" ref="IF375" si="1086">IC375/SUM($IB375:$ID375)</f>
        <v>0.52601139682360298</v>
      </c>
      <c r="IG375" s="128">
        <f t="shared" ref="IG375:IG383" si="1087">ID375/SUM($IB375:$ID375)</f>
        <v>0.1541926839052464</v>
      </c>
      <c r="IH375" s="21"/>
      <c r="II375" s="19">
        <f t="shared" si="1032"/>
        <v>1410.4999999999998</v>
      </c>
      <c r="IJ375" s="19">
        <f t="shared" si="1033"/>
        <v>2134.9731585778086</v>
      </c>
      <c r="IK375" s="19">
        <f t="shared" si="1034"/>
        <v>2103.5</v>
      </c>
      <c r="IL375" s="19">
        <f t="shared" si="1053"/>
        <v>-140.49999999999977</v>
      </c>
      <c r="IM375" s="19">
        <f t="shared" si="1035"/>
        <v>-140.51902329771838</v>
      </c>
      <c r="IN375" s="19">
        <f t="shared" si="1036"/>
        <v>-155.5</v>
      </c>
      <c r="IO375" s="39">
        <f t="shared" si="1037"/>
        <v>0</v>
      </c>
      <c r="IP375" s="39">
        <f t="shared" si="1038"/>
        <v>0</v>
      </c>
      <c r="IQ375" s="39">
        <f t="shared" si="1039"/>
        <v>0</v>
      </c>
      <c r="IR375" s="39">
        <v>0</v>
      </c>
      <c r="IS375" s="39">
        <v>0</v>
      </c>
      <c r="IT375" s="39">
        <v>0</v>
      </c>
      <c r="IU375" s="39">
        <v>0</v>
      </c>
      <c r="IV375" s="39">
        <v>0</v>
      </c>
      <c r="IW375" s="39">
        <v>0</v>
      </c>
      <c r="IX375" s="39">
        <f>INDEX(Input!$1:$1048576,IX$93,$C375*2+6)+INDEX(Input!$1:$1048576,IX$94,$C375*2+6)</f>
        <v>1611</v>
      </c>
      <c r="IY375" s="39">
        <f>INDEX(Input!$1:$1048576,IY$93,$C375*2+6)+INDEX(Input!$1:$1048576,IY$94,$C375*2+6)</f>
        <v>2471.0624533823611</v>
      </c>
      <c r="IZ375" s="39">
        <f>INDEX(Input!$1:$1048576,IZ$93,$C375*2+6)+INDEX(Input!$1:$1048576,IZ$94,$C375*2+6)</f>
        <v>3994.7164157747857</v>
      </c>
      <c r="JA375" s="19">
        <f t="shared" si="1054"/>
        <v>1470.5000000000002</v>
      </c>
      <c r="JB375" s="19">
        <f t="shared" si="1055"/>
        <v>2330.5434300846428</v>
      </c>
      <c r="JC375" s="19">
        <f t="shared" si="1056"/>
        <v>3839.2164157747857</v>
      </c>
      <c r="JD375" s="19">
        <f t="shared" si="1057"/>
        <v>2288.1313875465157</v>
      </c>
      <c r="JE375" s="21"/>
      <c r="JF375" s="1">
        <f t="shared" si="1040"/>
        <v>2.8748057280389237E-2</v>
      </c>
      <c r="JG375" s="15">
        <f>INDEX(Input!$1:$1048576,JG$93,$C375*2+6)/(1+VLOOKUP(C375*1000+INDEX(Input!$1:$1048576,JG$93+1,$C375*2+6),$A:$KK,$JK$92,FALSE))</f>
        <v>1610</v>
      </c>
      <c r="JH375" s="1">
        <f t="shared" si="1058"/>
        <v>-1.7215728946865044E-2</v>
      </c>
      <c r="JI375" s="1">
        <f t="shared" si="1059"/>
        <v>-4.6622891112356128E-3</v>
      </c>
      <c r="JJ375" s="1">
        <f t="shared" ref="JJ375" si="1088">SUM(HV375:HX375)/SUM(HY375:IA375)</f>
        <v>0</v>
      </c>
      <c r="JK375" s="1">
        <f t="shared" ref="JK375" si="1089">SUM(JH375:JJ375)</f>
        <v>-2.1878018058100655E-2</v>
      </c>
      <c r="JL375" s="15">
        <f t="shared" si="1060"/>
        <v>-35.223609073542058</v>
      </c>
      <c r="JM375" s="15">
        <f t="shared" si="1079"/>
        <v>1574.7763909264579</v>
      </c>
      <c r="JN375" s="21"/>
      <c r="JO375" s="19">
        <f>INDEX(Input!$1:$1048576,JO$93,$C375*2+6)</f>
        <v>5995.5</v>
      </c>
      <c r="JP375" s="19">
        <f>INDEX(Input!$1:$1048576,JP$93,$C375*2+6)</f>
        <v>2442.3713226762939</v>
      </c>
      <c r="JQ375" s="39">
        <f t="shared" si="1068"/>
        <v>3707.3686124534843</v>
      </c>
      <c r="JR375" s="39">
        <f t="shared" si="1082"/>
        <v>-154.23993512977813</v>
      </c>
      <c r="JS375" s="39">
        <f t="shared" si="1069"/>
        <v>3.6032952884460507</v>
      </c>
      <c r="JT375" s="39">
        <f t="shared" si="1061"/>
        <v>-0.32892254106278251</v>
      </c>
      <c r="JU375" s="385">
        <f>(JQ375*JM375-INDEX(Input!$1:$1048576,Input!A$18,$C375*2+6)*JL375*INDEX(Input!$1:$1048576,Input!A$19,$C375*2+6))/1000000</f>
        <v>5.8382765633535278</v>
      </c>
      <c r="JV375" s="39">
        <f t="shared" si="958"/>
        <v>0.11773939286236068</v>
      </c>
      <c r="JW375" s="1">
        <f t="shared" si="1080"/>
        <v>2.0581877077856928E-2</v>
      </c>
      <c r="JX375" s="19">
        <f t="shared" si="1073"/>
        <v>9338.1271741926685</v>
      </c>
      <c r="JZ375" s="341"/>
      <c r="KA375" s="342"/>
      <c r="KB375" s="469">
        <f t="shared" si="1070"/>
        <v>2.5190675447988795</v>
      </c>
      <c r="KI375" s="473">
        <f t="shared" ref="KI375" si="1090">$JM375*IE375-$JG375*HY375/SUM($HY375:$IA375)</f>
        <v>-5.3929364171685847</v>
      </c>
      <c r="KJ375" s="473">
        <f t="shared" ref="KJ375" si="1091">$JM375*IF375-$JG375*HZ375/SUM($HY375:$IA375)</f>
        <v>-15.649670923941585</v>
      </c>
      <c r="KK375" s="473">
        <f t="shared" ref="KK375:KK383" si="1092">$JM375*IG375-$JG375*IA375/SUM($HY375:$IA375)</f>
        <v>-14.181001732431923</v>
      </c>
      <c r="KN375" s="544">
        <f t="shared" si="1074"/>
        <v>3002</v>
      </c>
      <c r="KO375" s="541">
        <f t="shared" si="1041"/>
        <v>-5.0842869745944874E-2</v>
      </c>
      <c r="KP375" s="546">
        <f t="shared" si="1042"/>
        <v>-341.03557207661771</v>
      </c>
      <c r="KQ375" s="546">
        <f t="shared" si="1043"/>
        <v>-347.78203784218249</v>
      </c>
      <c r="KR375" s="548">
        <f t="shared" si="1044"/>
        <v>2.5864672812662315</v>
      </c>
      <c r="KS375" s="548">
        <f t="shared" si="1045"/>
        <v>2.5362935774283857</v>
      </c>
      <c r="KT375" s="473">
        <f t="shared" si="1071"/>
        <v>1026.1618045255443</v>
      </c>
      <c r="KU375" s="663">
        <f t="shared" si="1063"/>
        <v>4.6696214390890987</v>
      </c>
    </row>
    <row r="376" spans="1:307" s="26" customFormat="1" ht="15" outlineLevel="1">
      <c r="A376" s="561">
        <f t="shared" si="1046"/>
        <v>3076</v>
      </c>
      <c r="B376" s="561">
        <f t="shared" si="1064"/>
        <v>76</v>
      </c>
      <c r="C376" s="561">
        <f t="shared" si="1065"/>
        <v>3</v>
      </c>
      <c r="D376" s="561" t="str">
        <f t="shared" si="974"/>
        <v xml:space="preserve">-1000 Event (RBC), -500 Event (L), </v>
      </c>
      <c r="E376" s="475">
        <f>INDEX(Input!$1:$1048576,E$93,$C376*2+MIN($B376,2)+5)
+INDEX(Scenarios!E$121:E$200,MATCH($B376,Scenarios!$B$121:$B$200,0))</f>
        <v>1287.0236024844721</v>
      </c>
      <c r="F376" s="475">
        <f>INDEX(Input!$1:$1048576,F$93,$C376*2+MIN($B376,2)+5)
+INDEX(Scenarios!F$121:F$200,MATCH($B376,Scenarios!$B$121:$B$200,0))</f>
        <v>0</v>
      </c>
      <c r="G376" s="475">
        <f>INDEX(Input!$1:$1048576,G$93,$C376*2+MIN($B376,2)+5)
+INDEX(Scenarios!G$121:G$200,MATCH($B376,Scenarios!$B$121:$B$200,0))</f>
        <v>0</v>
      </c>
      <c r="H376" s="475">
        <f>INDEX(Input!$1:$1048576,H$93,$C376*2+MIN($B376,2)+5)
+INDEX(Scenarios!H$121:H$200,MATCH($B376,Scenarios!$B$121:$B$200,0))</f>
        <v>0</v>
      </c>
      <c r="I376" s="476">
        <f>INDEX(Input!$1:$1048576,I$93,$C376*2+MIN($B376,2)+5)</f>
        <v>0.7</v>
      </c>
      <c r="J376" s="476" t="str">
        <f>INDEX(Input!$1:$1048576,J$93,$C376*2+MIN($B376,2)+5)</f>
        <v>Market</v>
      </c>
      <c r="K376" s="476" t="str">
        <f>INDEX(Input!$1:$1048576,K$93,$C376*2+MIN($B376,2)+5)</f>
        <v>Market</v>
      </c>
      <c r="L376" s="476" t="str">
        <f>INDEX(Input!$1:$1048576,L$93,$C376*2+MIN($B376,2)+5)</f>
        <v>Market</v>
      </c>
      <c r="M376" s="476" t="str">
        <f>INDEX(Input!$1:$1048576,M$93,$C376*2+MIN($B376,2)+5)</f>
        <v>Market</v>
      </c>
      <c r="N376" s="476" t="str">
        <f>INDEX(Input!$1:$1048576,N$93,$C376*2+MIN($B376,2)+5)</f>
        <v>Market</v>
      </c>
      <c r="O376" s="476" t="str">
        <f>INDEX(Input!$1:$1048576,O$93,$C376*2+MIN($B376,2)+5)</f>
        <v>Market</v>
      </c>
      <c r="P376" s="476" t="str">
        <f>INDEX(Input!$1:$1048576,P$93,$C376*2+MIN($B376,2)+5)</f>
        <v>N</v>
      </c>
      <c r="Q376" s="477">
        <f>INDEX(Input!$1:$1048576,Q$93,$C376*2+MIN($B376,2)+5)
+INDEX(Scenarios!Q$121:Q$200,MATCH($B376,Scenarios!$B$121:$B$200,0))</f>
        <v>0</v>
      </c>
      <c r="R376" s="478">
        <f>IFERROR(MAX(0,INDEX(Input!$1:$1048576,R$93,$C376*2+MIN($B376,2)+5)
+INDEX(Scenarios!R$121:R$200,MATCH($B376,Scenarios!$B$121:$B$200,0)),),"Market")</f>
        <v>0</v>
      </c>
      <c r="S376" s="478">
        <f>IFERROR(MAX(0,INDEX(Input!$1:$1048576,S$93,$C376*2+MIN($B376,2)+5)
+INDEX(Scenarios!S$121:S$200,MATCH($B376,Scenarios!$B$121:$B$200,0)),),"Market")</f>
        <v>0</v>
      </c>
      <c r="T376" s="478">
        <f>IFERROR(MAX(0,INDEX(Input!$1:$1048576,T$93,$C376*2+MIN($B376,2)+5)
+INDEX(Scenarios!T$121:T$200,MATCH($B376,Scenarios!$B$121:$B$200,0)),),"Market")</f>
        <v>0</v>
      </c>
      <c r="U376" s="478">
        <f>IFERROR(MAX(0,INDEX(Input!$1:$1048576,U$93,$C376*2+MIN($B376,2)+5)
+INDEX(Scenarios!U$121:U$200,MATCH($B376,Scenarios!$B$121:$B$200,0)),),"Market")</f>
        <v>0</v>
      </c>
      <c r="V376" s="478">
        <f>IFERROR(MAX(0,INDEX(Input!$1:$1048576,V$93,$C376*2+MIN($B376,2)+5)
+INDEX(Scenarios!V$121:V$200,MATCH($B376,Scenarios!$B$121:$B$200,0)),),"Market")</f>
        <v>1.9E-2</v>
      </c>
      <c r="W376" s="885">
        <f>IFERROR(MAX(0,INDEX(Input!$1:$1048576,W$93,$C376*2+MIN($B376,2)+5)-0%,),"Market")</f>
        <v>3.9E-2</v>
      </c>
      <c r="X376" s="476" t="str">
        <f>INDEX(Input!$1:$1048576,X$93,$C376*2+MIN($B376,2)+5)</f>
        <v>Y</v>
      </c>
      <c r="Y376" s="475">
        <f>INDEX(Input!$1:$1048576,Y$93,$C376*2+MIN($B376,2)+5)
++INDEX(Scenarios!Y$121:Y$200,MATCH($B376,Scenarios!$B$121:$B$200,0))</f>
        <v>1554.9999999999991</v>
      </c>
      <c r="Z376" s="477">
        <f>INDEX(Input!$1:$1048576,Z$93,$C376*2+MIN($B376,2)+5)
+INDEX(Scenarios!Z$121:Z$200,MATCH($B376,Scenarios!$B$121:$B$200,0))</f>
        <v>0</v>
      </c>
      <c r="AA376" s="475">
        <f>INDEX(Input!$1:$1048576,AA$93,$C376*2+MIN($B376,2)+5)
+INDEX(Scenarios!AA$121:AA$200,MATCH($B376,Scenarios!$B$121:$B$200,0))</f>
        <v>-1000</v>
      </c>
      <c r="AB376" s="476">
        <f>INDEX(Input!$1:$1048576,AB$93,$C376*2+MIN($B376,2)+5)</f>
        <v>0.27</v>
      </c>
      <c r="AC376" s="475">
        <f>INDEX(Input!$1:$1048576,AC$93,$C376*2+MIN($B376,2)+5)
+INDEX(Scenarios!AC$121:AC$200,MATCH($B376,Scenarios!$B$121:$B$200,0))</f>
        <v>-500</v>
      </c>
      <c r="AD376" s="476">
        <f>INDEX(Input!$1:$1048576,AD$93,$C376*2+MIN($B376,2)+5)</f>
        <v>0.27</v>
      </c>
      <c r="AE376" s="475">
        <f>INDEX(Input!$1:$1048576,AE$93,$C376*2+MIN($B376,2)+5)
+INDEX(Scenarios!AE$121:AE$200,MATCH($B376,Scenarios!$B$121:$B$200,0))</f>
        <v>0</v>
      </c>
      <c r="AF376" s="476">
        <f>INDEX(Input!$1:$1048576,AF$93,$C376*2+MIN($B376,2)+5)</f>
        <v>0.68200000000000005</v>
      </c>
      <c r="AG376" s="475">
        <f>INDEX(Input!$1:$1048576,AG$93,$C376*2+MIN($B376,2)+5)
+INDEX(Scenarios!AG$121:AG$200,MATCH($B376,Scenarios!$B$121:$B$200,0))</f>
        <v>500</v>
      </c>
      <c r="AH376" s="476">
        <f>INDEX(Input!$1:$1048576,AH$93,$C376*2+MIN($B376,2)+5)</f>
        <v>1</v>
      </c>
      <c r="AI376" s="475">
        <f>INDEX(Input!$1:$1048576,AI$93,$C376*2+MIN($B376,2)+5)
+INDEX(Scenarios!AI$121:AI$200,MATCH($B376,Scenarios!$B$121:$B$200,0))</f>
        <v>0</v>
      </c>
      <c r="AJ376" s="476">
        <f>INDEX(Input!$1:$1048576,AJ$93,$C376*2+MIN($B376,2)+5)</f>
        <v>0.27</v>
      </c>
      <c r="AK376" s="150">
        <f>ROUND(INDEX(Input!$1:$1048576,AK$93,$C375*2+MIN($B376,1)+5)+(Y376-VLOOKUP($C376*1000+1,$A:$HH,Y$92,FALSE)),0)</f>
        <v>2977</v>
      </c>
      <c r="AL376" s="150">
        <f>ROUND(INDEX(Input!$1:$1048576,AL$93,$C375*2+MIN($B376,1)+5)-(Y376-VLOOKUP($C376*1000+1,$A:$HH,Y$92,FALSE))/36,0)</f>
        <v>3395</v>
      </c>
      <c r="AM376" s="32" t="str">
        <f t="shared" si="1047"/>
        <v>std/std/std/std</v>
      </c>
      <c r="AN376" s="32" t="str">
        <f t="shared" si="1048"/>
        <v>$0 + 0/0/0/1.9/3.9</v>
      </c>
      <c r="AO376" s="32" t="str">
        <f t="shared" si="1049"/>
        <v>0/0/0/1.9/3.9</v>
      </c>
      <c r="AP376" s="32" t="str">
        <f t="shared" si="993"/>
        <v>0/0.9/1.9/3.9</v>
      </c>
      <c r="AQ376" s="536">
        <f t="shared" si="992"/>
        <v>-134.69120871179544</v>
      </c>
      <c r="AR376" s="32"/>
      <c r="AS376" s="302"/>
      <c r="AT376" s="3">
        <f t="shared" si="1066"/>
        <v>76</v>
      </c>
      <c r="AU376" s="41" t="s">
        <v>121</v>
      </c>
      <c r="AV376" s="41" t="s">
        <v>116</v>
      </c>
      <c r="AW376" s="41" t="str">
        <f>INDEX(Input!$1:$1048576,AW$93,$C376*2+6)</f>
        <v>Kia</v>
      </c>
      <c r="AX376" s="41" t="str">
        <f>INDEX(Input!$1:$1048576,AX$93,$C376*2+6)</f>
        <v>Kia-LR - L3</v>
      </c>
      <c r="AY376" s="41" t="str">
        <f>IF(LEN(D376)=0,"",INDEX(Input!$1:$1048576,AY$93,$C376*2+6))</f>
        <v>Compact SUV (52)</v>
      </c>
      <c r="AZ376" s="41" t="str">
        <f>INDEX(Input!$1:$1048576,AZ$93,$C376*2+6)</f>
        <v>Kia Soul</v>
      </c>
      <c r="BA376" s="3">
        <f>INDEX(Input!$1:$1048576,BA$93,$C376*2+6)</f>
        <v>2020</v>
      </c>
      <c r="BB376" s="128">
        <f>INDEX(Input!$1:$1048576,BB$93,$C376*2+6)</f>
        <v>1</v>
      </c>
      <c r="BC376" s="128">
        <f>INDEX(Input!$1:$1048576,BC$93,$C376*2+6)</f>
        <v>0.7</v>
      </c>
      <c r="BD376" s="1">
        <f>INDEX(Input!$1:$1048576,BD$93,$C376*2+6)</f>
        <v>4.4999999999999998E-2</v>
      </c>
      <c r="BE376" s="1">
        <f>INDEX(Input!$1:$1048576,BE$93,$C376*2+6)</f>
        <v>4.4999999999999998E-2</v>
      </c>
      <c r="BF376" s="1">
        <f>INDEX(Input!$1:$1048576,BF$93,$C376*2+6)</f>
        <v>0.05</v>
      </c>
      <c r="BG376" s="1">
        <f>INDEX(Input!$1:$1048576,BG$93,$C376*2+6)</f>
        <v>5.45E-2</v>
      </c>
      <c r="BH376" s="1">
        <f>INDEX(Input!$1:$1048576,BH$93,$C376*2+6)</f>
        <v>5.45E-2</v>
      </c>
      <c r="BI376" s="1">
        <f>INDEX(Input!$1:$1048576,BI$93,$C376*2+6)</f>
        <v>0.05</v>
      </c>
      <c r="BJ376" s="1">
        <f>INDEX(Input!$1:$1048576,BJ$93,$C376*2+6)</f>
        <v>0.05</v>
      </c>
      <c r="BK376" s="1">
        <f>INDEX(Input!$1:$1048576,BK$93,$C376*2+6)</f>
        <v>0.05</v>
      </c>
      <c r="BL376" s="1">
        <f>INDEX(Input!$1:$1048576,BL$93,$C376*2+6)</f>
        <v>5.5E-2</v>
      </c>
      <c r="BM376" s="1">
        <f>INDEX(Input!$1:$1048576,BM$93,$C376*2+6)</f>
        <v>0.06</v>
      </c>
      <c r="BN376" s="1">
        <f>INDEX(Input!$1:$1048576,BN$93,$C376*2+6)</f>
        <v>4.4999999999999998E-2</v>
      </c>
      <c r="BO376" s="1">
        <f>INDEX(Input!$1:$1048576,BO$93,$C376*2+6)</f>
        <v>4.4999999999999998E-2</v>
      </c>
      <c r="BP376" s="1">
        <f>INDEX(Input!$1:$1048576,BP$93,$C376*2+6)</f>
        <v>0.05</v>
      </c>
      <c r="BQ376" s="1">
        <f>INDEX(Input!$1:$1048576,BQ$93,$C376*2+6)</f>
        <v>5.45E-2</v>
      </c>
      <c r="BR376" s="1">
        <f>INDEX(Input!$1:$1048576,BR$93,$C376*2+6)</f>
        <v>5.45E-2</v>
      </c>
      <c r="BS376" s="1">
        <f>INDEX(Input!$1:$1048576,BS$93,$C376*2+6)</f>
        <v>0.05</v>
      </c>
      <c r="BT376" s="1">
        <f>INDEX(Input!$1:$1048576,BT$93,$C376*2+6)</f>
        <v>0.05</v>
      </c>
      <c r="BU376" s="1">
        <f>INDEX(Input!$1:$1048576,BU$93,$C376*2+6)</f>
        <v>0.05</v>
      </c>
      <c r="BV376" s="1">
        <f>INDEX(Input!$1:$1048576,BV$93,$C376*2+6)</f>
        <v>5.5E-2</v>
      </c>
      <c r="BW376" s="1">
        <f>INDEX(Input!$1:$1048576,BW$93,$C376*2+6)</f>
        <v>0.06</v>
      </c>
      <c r="BX376" s="127">
        <f>INDEX(Input!$1:$1048576,BX$93,$C376*2+6)</f>
        <v>19985</v>
      </c>
      <c r="BY376" s="20">
        <f>INDEX(Input!$1:$1048576,BY$93,$C376*2+6)</f>
        <v>0.1</v>
      </c>
      <c r="BZ376" s="20">
        <f>INDEX(Input!$1:$1048576,BZ$93,$C376*2+6)</f>
        <v>0.1</v>
      </c>
      <c r="CA376" s="20">
        <f>INDEX(Input!$1:$1048576,CA$93,$C376*2+6)</f>
        <v>0.1</v>
      </c>
      <c r="CB376" s="20">
        <f>INDEX(Input!$1:$1048576,CB$93,$C376*2+6)</f>
        <v>0.1</v>
      </c>
      <c r="CC376" s="20">
        <f>INDEX(Input!$1:$1048576,CC$93,$C376*2+6)</f>
        <v>0.1</v>
      </c>
      <c r="CD376" s="384">
        <f>INDEX(Input!$1:$1048576,CD$93,$C376*2+6)</f>
        <v>0.1</v>
      </c>
      <c r="CE376" s="384">
        <f>INDEX(Input!$1:$1048576,CE$93,$C376*2+6)</f>
        <v>0.1</v>
      </c>
      <c r="CF376" s="384">
        <f>INDEX(Input!$1:$1048576,CF$93,$C376*2+6)</f>
        <v>0.1</v>
      </c>
      <c r="CG376" s="384">
        <f>INDEX(Input!$1:$1048576,CG$93,$C376*2+6)</f>
        <v>0.1</v>
      </c>
      <c r="CH376" s="384">
        <f>INDEX(Input!$1:$1048576,CH$93,$C376*2+6)</f>
        <v>0.1</v>
      </c>
      <c r="CI376" s="304">
        <f t="shared" si="994"/>
        <v>1017.0236024844721</v>
      </c>
      <c r="CJ376" s="16" t="str">
        <f>INDEX(Input!$1:$1048576,CJ$93,$C376*2+6)</f>
        <v>N</v>
      </c>
      <c r="CK376" s="1" t="str">
        <f t="shared" si="995"/>
        <v>Market</v>
      </c>
      <c r="CL376" s="1" t="str">
        <f t="shared" si="996"/>
        <v>Market</v>
      </c>
      <c r="CM376" s="1" t="str">
        <f t="shared" si="997"/>
        <v>Market</v>
      </c>
      <c r="CN376" s="1" t="str">
        <f t="shared" si="998"/>
        <v>Market</v>
      </c>
      <c r="CO376" s="1" t="str">
        <f t="shared" si="999"/>
        <v>Market</v>
      </c>
      <c r="CP376" s="304">
        <f t="shared" si="1000"/>
        <v>500</v>
      </c>
      <c r="CQ376" s="1">
        <f t="shared" si="1001"/>
        <v>0</v>
      </c>
      <c r="CR376" s="1">
        <f t="shared" si="1002"/>
        <v>0</v>
      </c>
      <c r="CS376" s="1">
        <f t="shared" si="1003"/>
        <v>0</v>
      </c>
      <c r="CT376" s="1">
        <f t="shared" si="1004"/>
        <v>1.9E-2</v>
      </c>
      <c r="CU376" s="1">
        <f t="shared" si="1005"/>
        <v>3.9E-2</v>
      </c>
      <c r="CV376" s="304">
        <f t="shared" si="1006"/>
        <v>1419.9999999999991</v>
      </c>
      <c r="CW376" s="20" t="s">
        <v>122</v>
      </c>
      <c r="CX376" s="20" t="s">
        <v>122</v>
      </c>
      <c r="CY376" s="20" t="s">
        <v>122</v>
      </c>
      <c r="CZ376" s="20" t="s">
        <v>122</v>
      </c>
      <c r="DA376" s="20" t="s">
        <v>122</v>
      </c>
      <c r="DB376" s="503">
        <f t="shared" si="1007"/>
        <v>0</v>
      </c>
      <c r="DC376" s="127">
        <v>0</v>
      </c>
      <c r="DD376" s="127">
        <v>0</v>
      </c>
      <c r="DE376" s="127">
        <v>0</v>
      </c>
      <c r="DF376" s="127">
        <v>0</v>
      </c>
      <c r="DG376" s="127">
        <v>0</v>
      </c>
      <c r="DH376" s="127">
        <v>0</v>
      </c>
      <c r="DI376" s="127">
        <v>0</v>
      </c>
      <c r="DJ376" s="127">
        <v>0</v>
      </c>
      <c r="DK376" s="127">
        <v>0</v>
      </c>
      <c r="DL376" s="127">
        <v>0</v>
      </c>
      <c r="DM376" s="304">
        <f>INDEX(Input!$1:$1048576,DM$93,$C376*2+6)</f>
        <v>21036.84210526316</v>
      </c>
      <c r="DN376" s="20">
        <v>0</v>
      </c>
      <c r="DO376" s="20">
        <v>0</v>
      </c>
      <c r="DP376" s="20">
        <v>0</v>
      </c>
      <c r="DQ376" s="20">
        <v>0</v>
      </c>
      <c r="DR376" s="20">
        <v>0</v>
      </c>
      <c r="DS376" s="20">
        <f>INDEX(Input!$1:$1048576,DS$93,$C376*2+6)</f>
        <v>0.6</v>
      </c>
      <c r="DT376" s="20">
        <f>INDEX(Input!$1:$1048576,DT$93,$C376*2+6)</f>
        <v>0.55000000000000004</v>
      </c>
      <c r="DU376" s="20">
        <f>INDEX(Input!$1:$1048576,DU$93,$C376*2+6)</f>
        <v>0.52</v>
      </c>
      <c r="DV376" s="20">
        <f>INDEX(Input!$1:$1048576,DV$93,$C376*2+6)</f>
        <v>0.5</v>
      </c>
      <c r="DW376" s="20">
        <f>INDEX(Input!$1:$1048576,DW$93,$C376*2+6)</f>
        <v>0.45</v>
      </c>
      <c r="DX376" s="20"/>
      <c r="DY376" s="7">
        <v>9.6779289811108893E-2</v>
      </c>
      <c r="DZ376" s="7">
        <v>0</v>
      </c>
      <c r="EA376" s="7">
        <v>0.68604234345627058</v>
      </c>
      <c r="EB376" s="7">
        <v>0</v>
      </c>
      <c r="EC376" s="7">
        <v>0</v>
      </c>
      <c r="ED376" s="7">
        <v>0</v>
      </c>
      <c r="EE376" s="7">
        <v>0</v>
      </c>
      <c r="EF376" s="7">
        <v>0</v>
      </c>
      <c r="EG376" s="7">
        <v>0</v>
      </c>
      <c r="EH376" s="7">
        <v>1.1999613941171702E-2</v>
      </c>
      <c r="EI376" s="7">
        <v>3.3592673614448863E-2</v>
      </c>
      <c r="EJ376" s="7">
        <v>0.27011747700723998</v>
      </c>
      <c r="EK376" s="7">
        <v>0.54275734337010595</v>
      </c>
      <c r="EL376" s="7">
        <v>0.14153289206703379</v>
      </c>
      <c r="EM376" s="7">
        <v>4.8698379593462016E-2</v>
      </c>
      <c r="EN376" s="7">
        <v>6.2164294068788296E-2</v>
      </c>
      <c r="EO376" s="7">
        <v>0.77660611878077501</v>
      </c>
      <c r="EP376" s="7">
        <v>6.637433874408645E-2</v>
      </c>
      <c r="EQ376" s="7">
        <v>6.2154351800725913E-2</v>
      </c>
      <c r="ER376" s="7">
        <v>3.2700896605624336E-2</v>
      </c>
      <c r="ES376" s="7">
        <v>0.16847998713915846</v>
      </c>
      <c r="ET376" s="7">
        <v>0.21717836673262056</v>
      </c>
      <c r="EU376" s="6">
        <v>1341</v>
      </c>
      <c r="EV376" s="6">
        <v>0</v>
      </c>
      <c r="EW376" s="6">
        <v>1341</v>
      </c>
      <c r="EX376" s="6">
        <v>0</v>
      </c>
      <c r="EY376" s="6">
        <v>2065.3744065796832</v>
      </c>
      <c r="EZ376" s="6">
        <v>2154</v>
      </c>
      <c r="FA376" s="6">
        <v>0</v>
      </c>
      <c r="FB376" s="6">
        <v>0</v>
      </c>
      <c r="FC376" s="6">
        <v>0</v>
      </c>
      <c r="FD376" s="6">
        <v>0</v>
      </c>
      <c r="FE376" s="6">
        <v>0</v>
      </c>
      <c r="FF376" s="6">
        <v>0</v>
      </c>
      <c r="FG376" s="6">
        <v>0</v>
      </c>
      <c r="FH376" s="6">
        <v>1171.997187630458</v>
      </c>
      <c r="FI376" s="6">
        <v>1553.9796069512395</v>
      </c>
      <c r="FJ376" s="6">
        <v>2101.2110117447414</v>
      </c>
      <c r="FK376" s="6">
        <v>1772.7139978623236</v>
      </c>
      <c r="FL376" s="6">
        <v>907.07682140966324</v>
      </c>
      <c r="FM376" s="6">
        <v>1724.3744065796832</v>
      </c>
      <c r="FN376" s="6">
        <v>0</v>
      </c>
      <c r="FO376" s="6">
        <v>0</v>
      </c>
      <c r="FP376" s="6">
        <v>0</v>
      </c>
      <c r="FQ376" s="6">
        <v>0</v>
      </c>
      <c r="FR376" s="6">
        <v>0</v>
      </c>
      <c r="FS376" s="6">
        <v>0</v>
      </c>
      <c r="FT376" s="7">
        <v>0.78282163326737941</v>
      </c>
      <c r="FU376" s="7">
        <v>4.8698379593462016E-2</v>
      </c>
      <c r="FV376" s="7">
        <v>0.16847998713915846</v>
      </c>
      <c r="FW376" s="6">
        <v>1341.0000000000002</v>
      </c>
      <c r="FX376" s="6">
        <v>2065.3744065796832</v>
      </c>
      <c r="FY376" s="6">
        <v>2154</v>
      </c>
      <c r="FZ376" s="6">
        <v>1858.9243755539039</v>
      </c>
      <c r="GA376" s="6">
        <v>1513.250089363542</v>
      </c>
      <c r="GB376" s="6">
        <v>18471.749910636459</v>
      </c>
      <c r="GC376" s="7">
        <v>2.9156573141622111E-2</v>
      </c>
      <c r="GD376" s="7">
        <v>2.8583161679478924E-2</v>
      </c>
      <c r="GE376" s="7"/>
      <c r="GF376" s="7"/>
      <c r="GG376" s="7">
        <v>-1.966662746537319E-2</v>
      </c>
      <c r="GH376" s="42">
        <v>1.1370170290278359</v>
      </c>
      <c r="GI376" s="6">
        <v>19089.943744591765</v>
      </c>
      <c r="GJ376" s="14">
        <v>0.50394797582841722</v>
      </c>
      <c r="GK376" s="14">
        <v>0.50887573065309732</v>
      </c>
      <c r="GL376" s="14">
        <v>0.49605202417158278</v>
      </c>
      <c r="GM376" s="14">
        <v>0.49112426934690234</v>
      </c>
      <c r="GO376" s="5">
        <v>343.14810671672558</v>
      </c>
      <c r="GP376" s="5">
        <v>317.56438497502324</v>
      </c>
      <c r="GQ376" s="5">
        <v>535.04305713031317</v>
      </c>
      <c r="GR376" s="5">
        <v>410.15490233172511</v>
      </c>
      <c r="GS376" s="5">
        <v>339.42744393800166</v>
      </c>
      <c r="GT376" s="5">
        <v>293.4407446948278</v>
      </c>
      <c r="GU376" s="5">
        <v>258.04012322764959</v>
      </c>
      <c r="GV376" s="39" t="s">
        <v>392</v>
      </c>
      <c r="GW376" s="5">
        <v>490.15277777777777</v>
      </c>
      <c r="GX376" s="5">
        <v>367.61458333333331</v>
      </c>
      <c r="GY376" s="5">
        <v>294.09166666666664</v>
      </c>
      <c r="GZ376" s="5">
        <v>259.50486119736382</v>
      </c>
      <c r="HA376" s="5">
        <v>240.38152427622927</v>
      </c>
      <c r="HB376" s="39">
        <v>272.54016121361462</v>
      </c>
      <c r="HC376" s="5">
        <v>193.046875</v>
      </c>
      <c r="HD376" s="5">
        <v>175.48455774853798</v>
      </c>
      <c r="HE376" s="5">
        <v>181.24459767206474</v>
      </c>
      <c r="HF376" s="5">
        <v>171.09750548245611</v>
      </c>
      <c r="HG376" s="5">
        <v>169.34638157894736</v>
      </c>
      <c r="HH376" s="39">
        <v>176.48522738956774</v>
      </c>
      <c r="HI376" s="16"/>
      <c r="HJ376" s="19" t="str">
        <f t="shared" ref="HJ376:HK376" si="1093">HJ375</f>
        <v>On</v>
      </c>
      <c r="HK376" s="1" t="str">
        <f t="shared" si="1093"/>
        <v>On</v>
      </c>
      <c r="HL376" s="16"/>
      <c r="HM376" s="639">
        <f t="shared" si="1023"/>
        <v>2.2758057894877178E-2</v>
      </c>
      <c r="HN376" s="639">
        <f t="shared" si="1024"/>
        <v>1.416759231746561E-3</v>
      </c>
      <c r="HO376" s="639">
        <f t="shared" si="1025"/>
        <v>4.5732401537654987E-3</v>
      </c>
      <c r="HP376" s="644">
        <f>(FT376*$GD376-HM376)/$JF376*INDEX(Input!$1:$1048576,$JG$93,$C376*2+6)</f>
        <v>-21.423720422082912</v>
      </c>
      <c r="HQ376" s="644">
        <f>(FU376*$GD376-HN376)/$JF376*INDEX(Input!$1:$1048576,$JG$93,$C376*2+6)</f>
        <v>-1.3892060333072269</v>
      </c>
      <c r="HR376" s="644">
        <f>(FV376*$GD376-HO376)/$JF376*INDEX(Input!$1:$1048576,$JG$93,$C376*2+6)</f>
        <v>13.578148784110358</v>
      </c>
      <c r="HS376" s="644">
        <f t="shared" si="1014"/>
        <v>6.4663471435917756</v>
      </c>
      <c r="HT376" s="644">
        <f t="shared" ref="HT376:HT383" si="1094">IF(AND(HJ376="On",HK376="On"),IM376/1000*INDEX(KG:KG,MATCH(C376*1000+4,$KF:$KF,0))*SUM(HY376:IA376)*1.1
+INDEX(HR:HR,MATCH(C376*1000+3,$KF:$KF,0))/INDEX(IL:IL,MATCH(C376*1000+3,$KF:$KF,0))*IL376*20%,0)</f>
        <v>-7.2389488717399058</v>
      </c>
      <c r="HU376" s="644">
        <f t="shared" si="1027"/>
        <v>-6.8511361358938344E-2</v>
      </c>
      <c r="HV376" s="648">
        <f t="shared" si="1028"/>
        <v>0</v>
      </c>
      <c r="HW376" s="648">
        <f t="shared" si="1029"/>
        <v>0</v>
      </c>
      <c r="HX376" s="648">
        <f t="shared" si="1030"/>
        <v>0</v>
      </c>
      <c r="HY376" s="644">
        <f>INDEX(Input!$1:$1048576,HY$93,$C376*2+6)*INDEX(Input!$1:$1048576,$JG$93,$C376*2+6)</f>
        <v>509.00000000000006</v>
      </c>
      <c r="HZ376" s="644">
        <f>INDEX(Input!$1:$1048576,HZ$93,$C376*2+6)*INDEX(Input!$1:$1048576,$JG$93,$C376*2+6)</f>
        <v>844</v>
      </c>
      <c r="IA376" s="644">
        <f>INDEX(Input!$1:$1048576,IA$93,$C376*2+6)*INDEX(Input!$1:$1048576,$JG$93,$C376*2+6)</f>
        <v>257</v>
      </c>
      <c r="IB376" s="644">
        <f t="shared" si="1051"/>
        <v>494.04262672150884</v>
      </c>
      <c r="IC376" s="644">
        <f t="shared" si="1052"/>
        <v>835.37184509495285</v>
      </c>
      <c r="ID376" s="644">
        <f>IF(AND(INDEX(Input!$1:$1048576,IA$93,$C376*2+7)="TOS",Y376&lt;=INDEX(Y:Y,MATCH(C376*1000+2,A:A))),0,1)*MAX(IA376+HR376+HU376+HX376,0%)</f>
        <v>270.50963742275138</v>
      </c>
      <c r="IE376" s="128">
        <f t="shared" ref="IE376:IE383" si="1095">IB376/SUM($IB376:$ID376)</f>
        <v>0.30879128820455942</v>
      </c>
      <c r="IF376" s="128">
        <f t="shared" ref="IF376:IF383" si="1096">IC376/SUM($IB376:$ID376)</f>
        <v>0.52213216881404723</v>
      </c>
      <c r="IG376" s="128">
        <f t="shared" si="1087"/>
        <v>0.16907654298139341</v>
      </c>
      <c r="IH376" s="21"/>
      <c r="II376" s="19">
        <f t="shared" si="1032"/>
        <v>1410.4999999999998</v>
      </c>
      <c r="IJ376" s="19">
        <f t="shared" si="1033"/>
        <v>2134.9731585778086</v>
      </c>
      <c r="IK376" s="19">
        <f t="shared" si="1034"/>
        <v>2103.5</v>
      </c>
      <c r="IL376" s="19">
        <f t="shared" si="1053"/>
        <v>-69.499999999999545</v>
      </c>
      <c r="IM376" s="19">
        <f t="shared" si="1035"/>
        <v>-69.598751998125408</v>
      </c>
      <c r="IN376" s="19">
        <f t="shared" si="1036"/>
        <v>50.5</v>
      </c>
      <c r="IO376" s="39">
        <f t="shared" si="1037"/>
        <v>0</v>
      </c>
      <c r="IP376" s="39">
        <f t="shared" si="1038"/>
        <v>0</v>
      </c>
      <c r="IQ376" s="39">
        <f t="shared" si="1039"/>
        <v>0</v>
      </c>
      <c r="IR376" s="39">
        <v>0</v>
      </c>
      <c r="IS376" s="39">
        <v>0</v>
      </c>
      <c r="IT376" s="39">
        <v>0</v>
      </c>
      <c r="IU376" s="39">
        <v>0</v>
      </c>
      <c r="IV376" s="39">
        <v>0</v>
      </c>
      <c r="IW376" s="39">
        <v>0</v>
      </c>
      <c r="IX376" s="39">
        <f>INDEX(Input!$1:$1048576,IX$93,$C376*2+6)+INDEX(Input!$1:$1048576,IX$94,$C376*2+6)</f>
        <v>1611</v>
      </c>
      <c r="IY376" s="39">
        <f>INDEX(Input!$1:$1048576,IY$93,$C376*2+6)+INDEX(Input!$1:$1048576,IY$94,$C376*2+6)</f>
        <v>2471.0624533823611</v>
      </c>
      <c r="IZ376" s="39">
        <f>INDEX(Input!$1:$1048576,IZ$93,$C376*2+6)+INDEX(Input!$1:$1048576,IZ$94,$C376*2+6)</f>
        <v>3994.7164157747857</v>
      </c>
      <c r="JA376" s="19">
        <f t="shared" si="1054"/>
        <v>1541.5000000000005</v>
      </c>
      <c r="JB376" s="19">
        <f t="shared" si="1055"/>
        <v>2401.4637013842357</v>
      </c>
      <c r="JC376" s="19">
        <f t="shared" si="1056"/>
        <v>4045.2164157747857</v>
      </c>
      <c r="JD376" s="19">
        <f t="shared" si="1057"/>
        <v>2413.8344286900729</v>
      </c>
      <c r="JE376" s="21"/>
      <c r="JF376" s="1">
        <f t="shared" si="1040"/>
        <v>2.8748057280389237E-2</v>
      </c>
      <c r="JG376" s="15">
        <f>INDEX(Input!$1:$1048576,JG$93,$C376*2+6)/(1+VLOOKUP(C376*1000+INDEX(Input!$1:$1048576,JG$93+1,$C376*2+6),$A:$KK,$JK$92,FALSE))</f>
        <v>1610</v>
      </c>
      <c r="JH376" s="1">
        <f t="shared" si="1058"/>
        <v>-5.735886752347691E-3</v>
      </c>
      <c r="JI376" s="1">
        <f t="shared" si="1059"/>
        <v>-5.2243049037706117E-4</v>
      </c>
      <c r="JJ376" s="1">
        <f t="shared" ref="JJ376:JJ383" si="1097">SUM(HV376:HX376)/SUM(HY376:IA376)</f>
        <v>0</v>
      </c>
      <c r="JK376" s="1">
        <f t="shared" ref="JK376:JK383" si="1098">SUM(JH376:JJ376)</f>
        <v>-6.258317242724752E-3</v>
      </c>
      <c r="JL376" s="15">
        <f t="shared" si="1060"/>
        <v>-10.075890760786852</v>
      </c>
      <c r="JM376" s="15">
        <f t="shared" si="1079"/>
        <v>1599.9241092392131</v>
      </c>
      <c r="JN376" s="21"/>
      <c r="JO376" s="19">
        <f>INDEX(Input!$1:$1048576,JO$93,$C376*2+6)</f>
        <v>5995.5</v>
      </c>
      <c r="JP376" s="19">
        <f>INDEX(Input!$1:$1048576,JP$93,$C376*2+6)</f>
        <v>2442.3713226762939</v>
      </c>
      <c r="JQ376" s="39">
        <f t="shared" si="1068"/>
        <v>3581.6655713099271</v>
      </c>
      <c r="JR376" s="39">
        <f t="shared" si="1082"/>
        <v>-28.536893986221003</v>
      </c>
      <c r="JS376" s="39">
        <f t="shared" si="1069"/>
        <v>3.8619518981729093</v>
      </c>
      <c r="JT376" s="39">
        <f t="shared" si="1061"/>
        <v>-7.0265931335923723E-2</v>
      </c>
      <c r="JU376" s="385">
        <f>(JQ376*JM376-INDEX(Input!$1:$1048576,Input!A$18,$C376*2+6)*JL376*INDEX(Input!$1:$1048576,Input!A$19,$C376*2+6))/1000000</f>
        <v>5.7303930987707927</v>
      </c>
      <c r="JV376" s="39">
        <f t="shared" si="958"/>
        <v>9.8559282796255587E-3</v>
      </c>
      <c r="JW376" s="1">
        <f t="shared" si="1080"/>
        <v>1.7229025851744138E-3</v>
      </c>
      <c r="JX376" s="19">
        <f t="shared" si="1073"/>
        <v>6973.669425772584</v>
      </c>
      <c r="JZ376" s="341"/>
      <c r="KA376" s="342"/>
      <c r="KB376" s="469">
        <f t="shared" si="1070"/>
        <v>2.5190675447988795</v>
      </c>
      <c r="KI376" s="473">
        <f t="shared" ref="KI376:KI383" si="1099">$JM376*IE376-$JG376*HY376/SUM($HY376:$IA376)</f>
        <v>-14.957373278491218</v>
      </c>
      <c r="KJ376" s="473">
        <f t="shared" ref="KJ376:KJ383" si="1100">$JM376*IF376-$JG376*HZ376/SUM($HY376:$IA376)</f>
        <v>-8.6281549050470403</v>
      </c>
      <c r="KK376" s="473">
        <f t="shared" si="1092"/>
        <v>13.509637422751382</v>
      </c>
      <c r="KN376" s="544">
        <f t="shared" si="1074"/>
        <v>3002</v>
      </c>
      <c r="KO376" s="541">
        <f t="shared" si="1041"/>
        <v>-3.5685710746291788E-2</v>
      </c>
      <c r="KP376" s="546">
        <f t="shared" si="1042"/>
        <v>-247.25160535649587</v>
      </c>
      <c r="KQ376" s="546">
        <f t="shared" si="1043"/>
        <v>-222.07899669862536</v>
      </c>
      <c r="KR376" s="548">
        <f t="shared" si="1044"/>
        <v>2.503985704445852</v>
      </c>
      <c r="KS376" s="548">
        <f t="shared" si="1045"/>
        <v>2.7878119696935091</v>
      </c>
      <c r="KT376" s="473">
        <f t="shared" si="1071"/>
        <v>1026.1618045255443</v>
      </c>
      <c r="KU376" s="663">
        <f t="shared" si="1063"/>
        <v>4.6293495241030476</v>
      </c>
    </row>
    <row r="377" spans="1:307" s="26" customFormat="1" ht="15" outlineLevel="1">
      <c r="A377" s="561">
        <f t="shared" si="1046"/>
        <v>3077</v>
      </c>
      <c r="B377" s="561">
        <f t="shared" si="1064"/>
        <v>77</v>
      </c>
      <c r="C377" s="561">
        <f t="shared" si="1065"/>
        <v>3</v>
      </c>
      <c r="D377" s="561" t="str">
        <f t="shared" si="974"/>
        <v xml:space="preserve">-250 CC, -360 Lease, </v>
      </c>
      <c r="E377" s="475">
        <f>INDEX(Input!$1:$1048576,E$93,$C377*2+MIN($B377,2)+5)
+INDEX(Scenarios!E$121:E$200,MATCH($B377,Scenarios!$B$121:$B$200,0))</f>
        <v>1037.0236024844721</v>
      </c>
      <c r="F377" s="475">
        <f>INDEX(Input!$1:$1048576,F$93,$C377*2+MIN($B377,2)+5)
+INDEX(Scenarios!F$121:F$200,MATCH($B377,Scenarios!$B$121:$B$200,0))</f>
        <v>0</v>
      </c>
      <c r="G377" s="475">
        <f>INDEX(Input!$1:$1048576,G$93,$C377*2+MIN($B377,2)+5)
+INDEX(Scenarios!G$121:G$200,MATCH($B377,Scenarios!$B$121:$B$200,0))</f>
        <v>0</v>
      </c>
      <c r="H377" s="475">
        <f>INDEX(Input!$1:$1048576,H$93,$C377*2+MIN($B377,2)+5)
+INDEX(Scenarios!H$121:H$200,MATCH($B377,Scenarios!$B$121:$B$200,0))</f>
        <v>0</v>
      </c>
      <c r="I377" s="476">
        <f>INDEX(Input!$1:$1048576,I$93,$C377*2+MIN($B377,2)+5)</f>
        <v>0.7</v>
      </c>
      <c r="J377" s="476" t="str">
        <f>INDEX(Input!$1:$1048576,J$93,$C377*2+MIN($B377,2)+5)</f>
        <v>Market</v>
      </c>
      <c r="K377" s="476" t="str">
        <f>INDEX(Input!$1:$1048576,K$93,$C377*2+MIN($B377,2)+5)</f>
        <v>Market</v>
      </c>
      <c r="L377" s="476" t="str">
        <f>INDEX(Input!$1:$1048576,L$93,$C377*2+MIN($B377,2)+5)</f>
        <v>Market</v>
      </c>
      <c r="M377" s="476" t="str">
        <f>INDEX(Input!$1:$1048576,M$93,$C377*2+MIN($B377,2)+5)</f>
        <v>Market</v>
      </c>
      <c r="N377" s="476" t="str">
        <f>INDEX(Input!$1:$1048576,N$93,$C377*2+MIN($B377,2)+5)</f>
        <v>Market</v>
      </c>
      <c r="O377" s="476" t="str">
        <f>INDEX(Input!$1:$1048576,O$93,$C377*2+MIN($B377,2)+5)</f>
        <v>Market</v>
      </c>
      <c r="P377" s="476" t="str">
        <f>INDEX(Input!$1:$1048576,P$93,$C377*2+MIN($B377,2)+5)</f>
        <v>N</v>
      </c>
      <c r="Q377" s="477">
        <f>INDEX(Input!$1:$1048576,Q$93,$C377*2+MIN($B377,2)+5)
+INDEX(Scenarios!Q$121:Q$200,MATCH($B377,Scenarios!$B$121:$B$200,0))</f>
        <v>0</v>
      </c>
      <c r="R377" s="478">
        <f>IFERROR(MAX(0,INDEX(Input!$1:$1048576,R$93,$C377*2+MIN($B377,2)+5)
+INDEX(Scenarios!R$121:R$200,MATCH($B377,Scenarios!$B$121:$B$200,0)),),"Market")</f>
        <v>0</v>
      </c>
      <c r="S377" s="478">
        <f>IFERROR(MAX(0,INDEX(Input!$1:$1048576,S$93,$C377*2+MIN($B377,2)+5)
+INDEX(Scenarios!S$121:S$200,MATCH($B377,Scenarios!$B$121:$B$200,0)),),"Market")</f>
        <v>0</v>
      </c>
      <c r="T377" s="478">
        <f>IFERROR(MAX(0,INDEX(Input!$1:$1048576,T$93,$C377*2+MIN($B377,2)+5)
+INDEX(Scenarios!T$121:T$200,MATCH($B377,Scenarios!$B$121:$B$200,0)),),"Market")</f>
        <v>0</v>
      </c>
      <c r="U377" s="478">
        <f>IFERROR(MAX(0,INDEX(Input!$1:$1048576,U$93,$C377*2+MIN($B377,2)+5)
+INDEX(Scenarios!U$121:U$200,MATCH($B377,Scenarios!$B$121:$B$200,0)),),"Market")</f>
        <v>0</v>
      </c>
      <c r="V377" s="478">
        <f>IFERROR(MAX(0,INDEX(Input!$1:$1048576,V$93,$C377*2+MIN($B377,2)+5)
+INDEX(Scenarios!V$121:V$200,MATCH($B377,Scenarios!$B$121:$B$200,0)),),"Market")</f>
        <v>1.9E-2</v>
      </c>
      <c r="W377" s="885">
        <f>IFERROR(MAX(0,INDEX(Input!$1:$1048576,W$93,$C377*2+MIN($B377,2)+5)-0%,),"Market")</f>
        <v>3.9E-2</v>
      </c>
      <c r="X377" s="476" t="str">
        <f>INDEX(Input!$1:$1048576,X$93,$C377*2+MIN($B377,2)+5)</f>
        <v>Y</v>
      </c>
      <c r="Y377" s="475">
        <f>INDEX(Input!$1:$1048576,Y$93,$C377*2+MIN($B377,2)+5)
++INDEX(Scenarios!Y$121:Y$200,MATCH($B377,Scenarios!$B$121:$B$200,0))</f>
        <v>1194.9999999999991</v>
      </c>
      <c r="Z377" s="477">
        <f>INDEX(Input!$1:$1048576,Z$93,$C377*2+MIN($B377,2)+5)
+INDEX(Scenarios!Z$121:Z$200,MATCH($B377,Scenarios!$B$121:$B$200,0))</f>
        <v>0</v>
      </c>
      <c r="AA377" s="475">
        <f>INDEX(Input!$1:$1048576,AA$93,$C377*2+MIN($B377,2)+5)
+INDEX(Scenarios!AA$121:AA$200,MATCH($B377,Scenarios!$B$121:$B$200,0))</f>
        <v>0</v>
      </c>
      <c r="AB377" s="476">
        <f>INDEX(Input!$1:$1048576,AB$93,$C377*2+MIN($B377,2)+5)</f>
        <v>0.27</v>
      </c>
      <c r="AC377" s="475">
        <f>INDEX(Input!$1:$1048576,AC$93,$C377*2+MIN($B377,2)+5)
+INDEX(Scenarios!AC$121:AC$200,MATCH($B377,Scenarios!$B$121:$B$200,0))</f>
        <v>0</v>
      </c>
      <c r="AD377" s="476">
        <f>INDEX(Input!$1:$1048576,AD$93,$C377*2+MIN($B377,2)+5)</f>
        <v>0.27</v>
      </c>
      <c r="AE377" s="475">
        <f>INDEX(Input!$1:$1048576,AE$93,$C377*2+MIN($B377,2)+5)
+INDEX(Scenarios!AE$121:AE$200,MATCH($B377,Scenarios!$B$121:$B$200,0))</f>
        <v>0</v>
      </c>
      <c r="AF377" s="476">
        <f>INDEX(Input!$1:$1048576,AF$93,$C377*2+MIN($B377,2)+5)</f>
        <v>0.68200000000000005</v>
      </c>
      <c r="AG377" s="475">
        <f>INDEX(Input!$1:$1048576,AG$93,$C377*2+MIN($B377,2)+5)
+INDEX(Scenarios!AG$121:AG$200,MATCH($B377,Scenarios!$B$121:$B$200,0))</f>
        <v>500</v>
      </c>
      <c r="AH377" s="476">
        <f>INDEX(Input!$1:$1048576,AH$93,$C377*2+MIN($B377,2)+5)</f>
        <v>1</v>
      </c>
      <c r="AI377" s="475">
        <f>INDEX(Input!$1:$1048576,AI$93,$C377*2+MIN($B377,2)+5)
+INDEX(Scenarios!AI$121:AI$200,MATCH($B377,Scenarios!$B$121:$B$200,0))</f>
        <v>0</v>
      </c>
      <c r="AJ377" s="476">
        <f>INDEX(Input!$1:$1048576,AJ$93,$C377*2+MIN($B377,2)+5)</f>
        <v>0.27</v>
      </c>
      <c r="AK377" s="150">
        <f>ROUND(INDEX(Input!$1:$1048576,AK$93,$C376*2+MIN($B377,1)+5)+(Y377-VLOOKUP($C377*1000+1,$A:$HH,Y$92,FALSE)),0)</f>
        <v>2617</v>
      </c>
      <c r="AL377" s="150">
        <f>ROUND(INDEX(Input!$1:$1048576,AL$93,$C376*2+MIN($B377,1)+5)-(Y377-VLOOKUP($C377*1000+1,$A:$HH,Y$92,FALSE))/36,0)</f>
        <v>3405</v>
      </c>
      <c r="AM377" s="32" t="str">
        <f t="shared" si="1047"/>
        <v>std/std/std/std</v>
      </c>
      <c r="AN377" s="32" t="str">
        <f t="shared" si="1048"/>
        <v>$0 + 0/0/0/1.9/3.9</v>
      </c>
      <c r="AO377" s="32" t="str">
        <f t="shared" si="1049"/>
        <v>0/0/0/1.9/3.9</v>
      </c>
      <c r="AP377" s="32" t="str">
        <f t="shared" si="993"/>
        <v>0/0.9/1.9/3.9</v>
      </c>
      <c r="AQ377" s="536">
        <f t="shared" si="992"/>
        <v>0.31431100590206612</v>
      </c>
      <c r="AR377" s="32"/>
      <c r="AS377" s="302"/>
      <c r="AT377" s="3">
        <f t="shared" si="1066"/>
        <v>77</v>
      </c>
      <c r="AU377" s="41" t="s">
        <v>121</v>
      </c>
      <c r="AV377" s="41" t="s">
        <v>116</v>
      </c>
      <c r="AW377" s="41" t="str">
        <f>INDEX(Input!$1:$1048576,AW$93,$C377*2+6)</f>
        <v>Kia</v>
      </c>
      <c r="AX377" s="41" t="str">
        <f>INDEX(Input!$1:$1048576,AX$93,$C377*2+6)</f>
        <v>Kia-LR - L3</v>
      </c>
      <c r="AY377" s="41" t="str">
        <f>IF(LEN(D377)=0,"",INDEX(Input!$1:$1048576,AY$93,$C377*2+6))</f>
        <v>Compact SUV (52)</v>
      </c>
      <c r="AZ377" s="41" t="str">
        <f>INDEX(Input!$1:$1048576,AZ$93,$C377*2+6)</f>
        <v>Kia Soul</v>
      </c>
      <c r="BA377" s="3">
        <f>INDEX(Input!$1:$1048576,BA$93,$C377*2+6)</f>
        <v>2020</v>
      </c>
      <c r="BB377" s="128">
        <f>INDEX(Input!$1:$1048576,BB$93,$C377*2+6)</f>
        <v>1</v>
      </c>
      <c r="BC377" s="128">
        <f>INDEX(Input!$1:$1048576,BC$93,$C377*2+6)</f>
        <v>0.7</v>
      </c>
      <c r="BD377" s="1">
        <f>INDEX(Input!$1:$1048576,BD$93,$C377*2+6)</f>
        <v>4.4999999999999998E-2</v>
      </c>
      <c r="BE377" s="1">
        <f>INDEX(Input!$1:$1048576,BE$93,$C377*2+6)</f>
        <v>4.4999999999999998E-2</v>
      </c>
      <c r="BF377" s="1">
        <f>INDEX(Input!$1:$1048576,BF$93,$C377*2+6)</f>
        <v>0.05</v>
      </c>
      <c r="BG377" s="1">
        <f>INDEX(Input!$1:$1048576,BG$93,$C377*2+6)</f>
        <v>5.45E-2</v>
      </c>
      <c r="BH377" s="1">
        <f>INDEX(Input!$1:$1048576,BH$93,$C377*2+6)</f>
        <v>5.45E-2</v>
      </c>
      <c r="BI377" s="1">
        <f>INDEX(Input!$1:$1048576,BI$93,$C377*2+6)</f>
        <v>0.05</v>
      </c>
      <c r="BJ377" s="1">
        <f>INDEX(Input!$1:$1048576,BJ$93,$C377*2+6)</f>
        <v>0.05</v>
      </c>
      <c r="BK377" s="1">
        <f>INDEX(Input!$1:$1048576,BK$93,$C377*2+6)</f>
        <v>0.05</v>
      </c>
      <c r="BL377" s="1">
        <f>INDEX(Input!$1:$1048576,BL$93,$C377*2+6)</f>
        <v>5.5E-2</v>
      </c>
      <c r="BM377" s="1">
        <f>INDEX(Input!$1:$1048576,BM$93,$C377*2+6)</f>
        <v>0.06</v>
      </c>
      <c r="BN377" s="1">
        <f>INDEX(Input!$1:$1048576,BN$93,$C377*2+6)</f>
        <v>4.4999999999999998E-2</v>
      </c>
      <c r="BO377" s="1">
        <f>INDEX(Input!$1:$1048576,BO$93,$C377*2+6)</f>
        <v>4.4999999999999998E-2</v>
      </c>
      <c r="BP377" s="1">
        <f>INDEX(Input!$1:$1048576,BP$93,$C377*2+6)</f>
        <v>0.05</v>
      </c>
      <c r="BQ377" s="1">
        <f>INDEX(Input!$1:$1048576,BQ$93,$C377*2+6)</f>
        <v>5.45E-2</v>
      </c>
      <c r="BR377" s="1">
        <f>INDEX(Input!$1:$1048576,BR$93,$C377*2+6)</f>
        <v>5.45E-2</v>
      </c>
      <c r="BS377" s="1">
        <f>INDEX(Input!$1:$1048576,BS$93,$C377*2+6)</f>
        <v>0.05</v>
      </c>
      <c r="BT377" s="1">
        <f>INDEX(Input!$1:$1048576,BT$93,$C377*2+6)</f>
        <v>0.05</v>
      </c>
      <c r="BU377" s="1">
        <f>INDEX(Input!$1:$1048576,BU$93,$C377*2+6)</f>
        <v>0.05</v>
      </c>
      <c r="BV377" s="1">
        <f>INDEX(Input!$1:$1048576,BV$93,$C377*2+6)</f>
        <v>5.5E-2</v>
      </c>
      <c r="BW377" s="1">
        <f>INDEX(Input!$1:$1048576,BW$93,$C377*2+6)</f>
        <v>0.06</v>
      </c>
      <c r="BX377" s="127">
        <f>INDEX(Input!$1:$1048576,BX$93,$C377*2+6)</f>
        <v>19985</v>
      </c>
      <c r="BY377" s="20">
        <f>INDEX(Input!$1:$1048576,BY$93,$C377*2+6)</f>
        <v>0.1</v>
      </c>
      <c r="BZ377" s="20">
        <f>INDEX(Input!$1:$1048576,BZ$93,$C377*2+6)</f>
        <v>0.1</v>
      </c>
      <c r="CA377" s="20">
        <f>INDEX(Input!$1:$1048576,CA$93,$C377*2+6)</f>
        <v>0.1</v>
      </c>
      <c r="CB377" s="20">
        <f>INDEX(Input!$1:$1048576,CB$93,$C377*2+6)</f>
        <v>0.1</v>
      </c>
      <c r="CC377" s="20">
        <f>INDEX(Input!$1:$1048576,CC$93,$C377*2+6)</f>
        <v>0.1</v>
      </c>
      <c r="CD377" s="384">
        <f>INDEX(Input!$1:$1048576,CD$93,$C377*2+6)</f>
        <v>0.1</v>
      </c>
      <c r="CE377" s="384">
        <f>INDEX(Input!$1:$1048576,CE$93,$C377*2+6)</f>
        <v>0.1</v>
      </c>
      <c r="CF377" s="384">
        <f>INDEX(Input!$1:$1048576,CF$93,$C377*2+6)</f>
        <v>0.1</v>
      </c>
      <c r="CG377" s="384">
        <f>INDEX(Input!$1:$1048576,CG$93,$C377*2+6)</f>
        <v>0.1</v>
      </c>
      <c r="CH377" s="384">
        <f>INDEX(Input!$1:$1048576,CH$93,$C377*2+6)</f>
        <v>0.1</v>
      </c>
      <c r="CI377" s="304">
        <f t="shared" si="994"/>
        <v>1037.0236024844721</v>
      </c>
      <c r="CJ377" s="16" t="str">
        <f>INDEX(Input!$1:$1048576,CJ$93,$C377*2+6)</f>
        <v>N</v>
      </c>
      <c r="CK377" s="1" t="str">
        <f t="shared" si="995"/>
        <v>Market</v>
      </c>
      <c r="CL377" s="1" t="str">
        <f t="shared" si="996"/>
        <v>Market</v>
      </c>
      <c r="CM377" s="1" t="str">
        <f t="shared" si="997"/>
        <v>Market</v>
      </c>
      <c r="CN377" s="1" t="str">
        <f t="shared" si="998"/>
        <v>Market</v>
      </c>
      <c r="CO377" s="1" t="str">
        <f t="shared" si="999"/>
        <v>Market</v>
      </c>
      <c r="CP377" s="304">
        <f t="shared" si="1000"/>
        <v>500</v>
      </c>
      <c r="CQ377" s="1">
        <f t="shared" si="1001"/>
        <v>0</v>
      </c>
      <c r="CR377" s="1">
        <f t="shared" si="1002"/>
        <v>0</v>
      </c>
      <c r="CS377" s="1">
        <f t="shared" si="1003"/>
        <v>0</v>
      </c>
      <c r="CT377" s="1">
        <f t="shared" si="1004"/>
        <v>1.9E-2</v>
      </c>
      <c r="CU377" s="1">
        <f t="shared" si="1005"/>
        <v>3.9E-2</v>
      </c>
      <c r="CV377" s="304">
        <f t="shared" si="1006"/>
        <v>1194.9999999999991</v>
      </c>
      <c r="CW377" s="20" t="s">
        <v>122</v>
      </c>
      <c r="CX377" s="20" t="s">
        <v>122</v>
      </c>
      <c r="CY377" s="20" t="s">
        <v>122</v>
      </c>
      <c r="CZ377" s="20" t="s">
        <v>122</v>
      </c>
      <c r="DA377" s="20" t="s">
        <v>122</v>
      </c>
      <c r="DB377" s="503">
        <f t="shared" si="1007"/>
        <v>0</v>
      </c>
      <c r="DC377" s="127">
        <v>0</v>
      </c>
      <c r="DD377" s="127">
        <v>0</v>
      </c>
      <c r="DE377" s="127">
        <v>0</v>
      </c>
      <c r="DF377" s="127">
        <v>0</v>
      </c>
      <c r="DG377" s="127">
        <v>0</v>
      </c>
      <c r="DH377" s="127">
        <v>0</v>
      </c>
      <c r="DI377" s="127">
        <v>0</v>
      </c>
      <c r="DJ377" s="127">
        <v>0</v>
      </c>
      <c r="DK377" s="127">
        <v>0</v>
      </c>
      <c r="DL377" s="127">
        <v>0</v>
      </c>
      <c r="DM377" s="304">
        <f>INDEX(Input!$1:$1048576,DM$93,$C377*2+6)</f>
        <v>21036.84210526316</v>
      </c>
      <c r="DN377" s="20">
        <v>0</v>
      </c>
      <c r="DO377" s="20">
        <v>0</v>
      </c>
      <c r="DP377" s="20">
        <v>0</v>
      </c>
      <c r="DQ377" s="20">
        <v>0</v>
      </c>
      <c r="DR377" s="20">
        <v>0</v>
      </c>
      <c r="DS377" s="20">
        <f>INDEX(Input!$1:$1048576,DS$93,$C377*2+6)</f>
        <v>0.6</v>
      </c>
      <c r="DT377" s="20">
        <f>INDEX(Input!$1:$1048576,DT$93,$C377*2+6)</f>
        <v>0.55000000000000004</v>
      </c>
      <c r="DU377" s="20">
        <f>INDEX(Input!$1:$1048576,DU$93,$C377*2+6)</f>
        <v>0.52</v>
      </c>
      <c r="DV377" s="20">
        <f>INDEX(Input!$1:$1048576,DV$93,$C377*2+6)</f>
        <v>0.5</v>
      </c>
      <c r="DW377" s="20">
        <f>INDEX(Input!$1:$1048576,DW$93,$C377*2+6)</f>
        <v>0.45</v>
      </c>
      <c r="DX377" s="20"/>
      <c r="DY377" s="7">
        <v>9.8684337733814867E-2</v>
      </c>
      <c r="DZ377" s="7">
        <v>0</v>
      </c>
      <c r="EA377" s="7">
        <v>0.69671559940158267</v>
      </c>
      <c r="EB377" s="7">
        <v>0</v>
      </c>
      <c r="EC377" s="7">
        <v>0</v>
      </c>
      <c r="ED377" s="7">
        <v>0</v>
      </c>
      <c r="EE377" s="7">
        <v>0</v>
      </c>
      <c r="EF377" s="7">
        <v>0</v>
      </c>
      <c r="EG377" s="7">
        <v>0</v>
      </c>
      <c r="EH377" s="7">
        <v>1.2000794619949601E-2</v>
      </c>
      <c r="EI377" s="7">
        <v>3.3602126171112259E-2</v>
      </c>
      <c r="EJ377" s="7">
        <v>0.27047478697086857</v>
      </c>
      <c r="EK377" s="7">
        <v>0.54252330896554013</v>
      </c>
      <c r="EL377" s="7">
        <v>0.14139898327252953</v>
      </c>
      <c r="EM377" s="7">
        <v>5.6793782052485302E-2</v>
      </c>
      <c r="EN377" s="7">
        <v>6.116417855254451E-2</v>
      </c>
      <c r="EO377" s="7">
        <v>0.76989909242885446</v>
      </c>
      <c r="EP377" s="7">
        <v>6.9610314933346906E-2</v>
      </c>
      <c r="EQ377" s="7">
        <v>6.5298382355746698E-2</v>
      </c>
      <c r="ER377" s="7">
        <v>3.4028031729507455E-2</v>
      </c>
      <c r="ES377" s="7">
        <v>0.14780628081211722</v>
      </c>
      <c r="ET377" s="7">
        <v>0.20460006286460256</v>
      </c>
      <c r="EU377" s="6">
        <v>1361</v>
      </c>
      <c r="EV377" s="6">
        <v>0</v>
      </c>
      <c r="EW377" s="6">
        <v>1361</v>
      </c>
      <c r="EX377" s="6">
        <v>0</v>
      </c>
      <c r="EY377" s="6">
        <v>2335.6050138060959</v>
      </c>
      <c r="EZ377" s="6">
        <v>1929</v>
      </c>
      <c r="FA377" s="6">
        <v>0</v>
      </c>
      <c r="FB377" s="6">
        <v>0</v>
      </c>
      <c r="FC377" s="6">
        <v>0</v>
      </c>
      <c r="FD377" s="6">
        <v>0</v>
      </c>
      <c r="FE377" s="6">
        <v>0</v>
      </c>
      <c r="FF377" s="6">
        <v>0</v>
      </c>
      <c r="FG377" s="6">
        <v>0</v>
      </c>
      <c r="FH377" s="6">
        <v>1172.0048864846788</v>
      </c>
      <c r="FI377" s="6">
        <v>1553.9796069512402</v>
      </c>
      <c r="FJ377" s="6">
        <v>2101.2110117447405</v>
      </c>
      <c r="FK377" s="6">
        <v>1772.7139978623229</v>
      </c>
      <c r="FL377" s="6">
        <v>907.07682140966324</v>
      </c>
      <c r="FM377" s="6">
        <v>1724.6050138060959</v>
      </c>
      <c r="FN377" s="6">
        <v>0</v>
      </c>
      <c r="FO377" s="6">
        <v>0</v>
      </c>
      <c r="FP377" s="6">
        <v>0</v>
      </c>
      <c r="FQ377" s="6">
        <v>0</v>
      </c>
      <c r="FR377" s="6">
        <v>0</v>
      </c>
      <c r="FS377" s="6">
        <v>0</v>
      </c>
      <c r="FT377" s="7">
        <v>0.79539993713539758</v>
      </c>
      <c r="FU377" s="7">
        <v>5.6793782052485302E-2</v>
      </c>
      <c r="FV377" s="7">
        <v>0.14780628081211722</v>
      </c>
      <c r="FW377" s="6">
        <v>1360.9999999999998</v>
      </c>
      <c r="FX377" s="6">
        <v>2335.6050138060959</v>
      </c>
      <c r="FY377" s="6">
        <v>1929</v>
      </c>
      <c r="FZ377" s="6">
        <v>1858.9243755539039</v>
      </c>
      <c r="GA377" s="6">
        <v>1500.3054722426455</v>
      </c>
      <c r="GB377" s="6">
        <v>18484.694527757354</v>
      </c>
      <c r="GC377" s="7">
        <v>2.9156573141622111E-2</v>
      </c>
      <c r="GD377" s="7">
        <v>2.8541731704938438E-2</v>
      </c>
      <c r="GE377" s="7"/>
      <c r="GF377" s="7"/>
      <c r="GG377" s="7">
        <v>-2.1087575473880495E-2</v>
      </c>
      <c r="GH377" s="42">
        <v>1.1751616882273566</v>
      </c>
      <c r="GI377" s="6">
        <v>18506.475942406531</v>
      </c>
      <c r="GJ377" s="14">
        <v>0.50394797582841722</v>
      </c>
      <c r="GK377" s="14">
        <v>0.50887573065309755</v>
      </c>
      <c r="GL377" s="14">
        <v>0.49605202417158284</v>
      </c>
      <c r="GM377" s="14">
        <v>0.4911242693469024</v>
      </c>
      <c r="GO377" s="5">
        <v>343.14810671672558</v>
      </c>
      <c r="GP377" s="5">
        <v>317.18282312950942</v>
      </c>
      <c r="GQ377" s="5">
        <v>535.04305713031317</v>
      </c>
      <c r="GR377" s="5">
        <v>410.15490233172511</v>
      </c>
      <c r="GS377" s="5">
        <v>339.42744393800166</v>
      </c>
      <c r="GT377" s="5">
        <v>293.4407446948278</v>
      </c>
      <c r="GU377" s="5">
        <v>258.04012322764959</v>
      </c>
      <c r="GV377" s="39" t="s">
        <v>392</v>
      </c>
      <c r="GW377" s="5">
        <v>482.65277777777777</v>
      </c>
      <c r="GX377" s="5">
        <v>361.98958333333331</v>
      </c>
      <c r="GY377" s="5">
        <v>289.59166666666664</v>
      </c>
      <c r="GZ377" s="5">
        <v>255.53408606924114</v>
      </c>
      <c r="HA377" s="5">
        <v>236.70336205047303</v>
      </c>
      <c r="HB377" s="39">
        <v>268.38589351975594</v>
      </c>
      <c r="HC377" s="5">
        <v>202.890625</v>
      </c>
      <c r="HD377" s="5">
        <v>182.20330774853798</v>
      </c>
      <c r="HE377" s="5">
        <v>187.48257844129552</v>
      </c>
      <c r="HF377" s="5">
        <v>176.30063048245611</v>
      </c>
      <c r="HG377" s="5">
        <v>173.65888157894736</v>
      </c>
      <c r="HH377" s="39">
        <v>183.15993692836835</v>
      </c>
      <c r="HI377" s="16"/>
      <c r="HJ377" s="19" t="str">
        <f t="shared" ref="HJ377:HK377" si="1101">HJ376</f>
        <v>On</v>
      </c>
      <c r="HK377" s="1" t="str">
        <f t="shared" si="1101"/>
        <v>On</v>
      </c>
      <c r="HL377" s="16"/>
      <c r="HM377" s="639">
        <f t="shared" si="1023"/>
        <v>2.2758057894877178E-2</v>
      </c>
      <c r="HN377" s="639">
        <f t="shared" si="1024"/>
        <v>1.416759231746561E-3</v>
      </c>
      <c r="HO377" s="639">
        <f t="shared" si="1025"/>
        <v>4.5732401537654987E-3</v>
      </c>
      <c r="HP377" s="644">
        <f>(FT377*$GD377-HM377)/$JF377*INDEX(Input!$1:$1048576,$JG$93,$C377*2+6)</f>
        <v>-3.1343240931212804</v>
      </c>
      <c r="HQ377" s="644">
        <f>(FU377*$GD377-HN377)/$JF377*INDEX(Input!$1:$1048576,$JG$93,$C377*2+6)</f>
        <v>11.437857742550946</v>
      </c>
      <c r="HR377" s="644">
        <f>(FV377*$GD377-HO377)/$JF377*INDEX(Input!$1:$1048576,$JG$93,$C377*2+6)</f>
        <v>-19.858546679906198</v>
      </c>
      <c r="HS377" s="644">
        <f t="shared" si="1014"/>
        <v>4.3146602387045556</v>
      </c>
      <c r="HT377" s="644">
        <f t="shared" si="1094"/>
        <v>24.930274162850083</v>
      </c>
      <c r="HU377" s="644">
        <f t="shared" si="1027"/>
        <v>-4.5194737395155649</v>
      </c>
      <c r="HV377" s="648">
        <f t="shared" si="1028"/>
        <v>0</v>
      </c>
      <c r="HW377" s="648">
        <f t="shared" si="1029"/>
        <v>0</v>
      </c>
      <c r="HX377" s="648">
        <f t="shared" si="1030"/>
        <v>0</v>
      </c>
      <c r="HY377" s="644">
        <f>INDEX(Input!$1:$1048576,HY$93,$C377*2+6)*INDEX(Input!$1:$1048576,$JG$93,$C377*2+6)</f>
        <v>509.00000000000006</v>
      </c>
      <c r="HZ377" s="644">
        <f>INDEX(Input!$1:$1048576,HZ$93,$C377*2+6)*INDEX(Input!$1:$1048576,$JG$93,$C377*2+6)</f>
        <v>844</v>
      </c>
      <c r="IA377" s="644">
        <f>INDEX(Input!$1:$1048576,IA$93,$C377*2+6)*INDEX(Input!$1:$1048576,$JG$93,$C377*2+6)</f>
        <v>257</v>
      </c>
      <c r="IB377" s="644">
        <f t="shared" si="1051"/>
        <v>510.1803361455834</v>
      </c>
      <c r="IC377" s="644">
        <f t="shared" si="1052"/>
        <v>880.36813190540101</v>
      </c>
      <c r="ID377" s="644">
        <f>IF(AND(INDEX(Input!$1:$1048576,IA$93,$C377*2+7)="TOS",Y377&lt;=INDEX(Y:Y,MATCH(C377*1000+2,A:A))),0,1)*MAX(IA377+HR377+HU377+HX377,0%)</f>
        <v>232.62197958057823</v>
      </c>
      <c r="IE377" s="128">
        <f t="shared" si="1095"/>
        <v>0.31431100590206612</v>
      </c>
      <c r="IF377" s="128">
        <f t="shared" si="1096"/>
        <v>0.54237565327164738</v>
      </c>
      <c r="IG377" s="128">
        <f t="shared" si="1087"/>
        <v>0.14331334082628655</v>
      </c>
      <c r="IH377" s="21"/>
      <c r="II377" s="19">
        <f t="shared" si="1032"/>
        <v>1410.4999999999998</v>
      </c>
      <c r="IJ377" s="19">
        <f t="shared" si="1033"/>
        <v>2134.9731585778086</v>
      </c>
      <c r="IK377" s="19">
        <f t="shared" si="1034"/>
        <v>2103.5</v>
      </c>
      <c r="IL377" s="19">
        <f t="shared" si="1053"/>
        <v>-49.5</v>
      </c>
      <c r="IM377" s="19">
        <f t="shared" si="1035"/>
        <v>200.63185522828735</v>
      </c>
      <c r="IN377" s="19">
        <f t="shared" si="1036"/>
        <v>-174.5</v>
      </c>
      <c r="IO377" s="39">
        <f t="shared" si="1037"/>
        <v>0</v>
      </c>
      <c r="IP377" s="39">
        <f t="shared" si="1038"/>
        <v>0</v>
      </c>
      <c r="IQ377" s="39">
        <f t="shared" si="1039"/>
        <v>0</v>
      </c>
      <c r="IR377" s="39">
        <v>0</v>
      </c>
      <c r="IS377" s="39">
        <v>0</v>
      </c>
      <c r="IT377" s="39">
        <v>0</v>
      </c>
      <c r="IU377" s="39">
        <v>0</v>
      </c>
      <c r="IV377" s="39">
        <v>0</v>
      </c>
      <c r="IW377" s="39">
        <v>0</v>
      </c>
      <c r="IX377" s="39">
        <f>INDEX(Input!$1:$1048576,IX$93,$C377*2+6)+INDEX(Input!$1:$1048576,IX$94,$C377*2+6)</f>
        <v>1611</v>
      </c>
      <c r="IY377" s="39">
        <f>INDEX(Input!$1:$1048576,IY$93,$C377*2+6)+INDEX(Input!$1:$1048576,IY$94,$C377*2+6)</f>
        <v>2471.0624533823611</v>
      </c>
      <c r="IZ377" s="39">
        <f>INDEX(Input!$1:$1048576,IZ$93,$C377*2+6)+INDEX(Input!$1:$1048576,IZ$94,$C377*2+6)</f>
        <v>3994.7164157747857</v>
      </c>
      <c r="JA377" s="19">
        <f t="shared" si="1054"/>
        <v>1561.5</v>
      </c>
      <c r="JB377" s="19">
        <f t="shared" si="1055"/>
        <v>2671.6943086106485</v>
      </c>
      <c r="JC377" s="19">
        <f t="shared" si="1056"/>
        <v>3820.2164157747857</v>
      </c>
      <c r="JD377" s="19">
        <f t="shared" si="1057"/>
        <v>2487.3465589150255</v>
      </c>
      <c r="JE377" s="21"/>
      <c r="JF377" s="1">
        <f t="shared" si="1040"/>
        <v>2.8748057280389237E-2</v>
      </c>
      <c r="JG377" s="15">
        <f>INDEX(Input!$1:$1048576,JG$93,$C377*2+6)/(1+VLOOKUP(C377*1000+INDEX(Input!$1:$1048576,JG$93+1,$C377*2+6),$A:$KK,$JK$92,FALSE))</f>
        <v>1610</v>
      </c>
      <c r="JH377" s="1">
        <f t="shared" si="1058"/>
        <v>-7.1770267270040572E-3</v>
      </c>
      <c r="JI377" s="1">
        <f t="shared" si="1059"/>
        <v>1.5357428982632964E-2</v>
      </c>
      <c r="JJ377" s="1">
        <f t="shared" si="1097"/>
        <v>0</v>
      </c>
      <c r="JK377" s="1">
        <f t="shared" si="1098"/>
        <v>8.1804022556289067E-3</v>
      </c>
      <c r="JL377" s="15">
        <f t="shared" si="1060"/>
        <v>13.17044763156254</v>
      </c>
      <c r="JM377" s="15">
        <f t="shared" si="1079"/>
        <v>1623.1704476315626</v>
      </c>
      <c r="JN377" s="21"/>
      <c r="JO377" s="19">
        <f>INDEX(Input!$1:$1048576,JO$93,$C377*2+6)</f>
        <v>5995.5</v>
      </c>
      <c r="JP377" s="19">
        <f>INDEX(Input!$1:$1048576,JP$93,$C377*2+6)</f>
        <v>2442.3713226762939</v>
      </c>
      <c r="JQ377" s="39">
        <f t="shared" si="1068"/>
        <v>3508.1534410849745</v>
      </c>
      <c r="JR377" s="39">
        <f t="shared" si="1082"/>
        <v>44.975236238731668</v>
      </c>
      <c r="JS377" s="39">
        <f t="shared" si="1069"/>
        <v>4.0373874274489285</v>
      </c>
      <c r="JT377" s="39">
        <f t="shared" si="1061"/>
        <v>0.1051695979400957</v>
      </c>
      <c r="JU377" s="385">
        <f>(JQ377*JM377-INDEX(Input!$1:$1048576,Input!A$18,$C377*2+6)*JL377*INDEX(Input!$1:$1048576,Input!A$19,$C377*2+6))/1000000</f>
        <v>5.6943309913261047</v>
      </c>
      <c r="JV377" s="39">
        <f t="shared" si="958"/>
        <v>-2.6206179165062515E-2</v>
      </c>
      <c r="JW377" s="1">
        <f t="shared" si="1080"/>
        <v>-4.5810696415442475E-3</v>
      </c>
      <c r="JX377" s="19">
        <f t="shared" si="1073"/>
        <v>7985.2713348983107</v>
      </c>
      <c r="JZ377" s="341"/>
      <c r="KA377" s="342"/>
      <c r="KB377" s="469">
        <f t="shared" si="1070"/>
        <v>2.5190675447988795</v>
      </c>
      <c r="KI377" s="473">
        <f t="shared" si="1099"/>
        <v>1.1803361455833397</v>
      </c>
      <c r="KJ377" s="473">
        <f t="shared" si="1100"/>
        <v>36.368131905401128</v>
      </c>
      <c r="KK377" s="473">
        <f t="shared" si="1092"/>
        <v>-24.378020419421773</v>
      </c>
      <c r="KN377" s="544">
        <f t="shared" si="1074"/>
        <v>3002</v>
      </c>
      <c r="KO377" s="541">
        <f t="shared" si="1041"/>
        <v>-2.1674560995426972E-2</v>
      </c>
      <c r="KP377" s="546">
        <f t="shared" si="1042"/>
        <v>-130.12540006062702</v>
      </c>
      <c r="KQ377" s="546">
        <f t="shared" si="1043"/>
        <v>-148.56686647367269</v>
      </c>
      <c r="KR377" s="548">
        <f t="shared" si="1044"/>
        <v>2.8897804348817151</v>
      </c>
      <c r="KS377" s="548">
        <f t="shared" si="1045"/>
        <v>2.5310746877938106</v>
      </c>
      <c r="KT377" s="473">
        <f t="shared" si="1071"/>
        <v>1026.1618045255443</v>
      </c>
      <c r="KU377" s="663">
        <f t="shared" si="1063"/>
        <v>4.674549687275432</v>
      </c>
    </row>
    <row r="378" spans="1:307" s="26" customFormat="1" ht="15" outlineLevel="1">
      <c r="A378" s="561">
        <f t="shared" si="1046"/>
        <v>3078</v>
      </c>
      <c r="B378" s="561">
        <f t="shared" si="1064"/>
        <v>78</v>
      </c>
      <c r="C378" s="561">
        <f t="shared" si="1065"/>
        <v>3</v>
      </c>
      <c r="D378" s="561" t="str">
        <f t="shared" si="974"/>
        <v xml:space="preserve">-500 CC, -360 Lease, </v>
      </c>
      <c r="E378" s="475">
        <f>INDEX(Input!$1:$1048576,E$93,$C378*2+MIN($B378,2)+5)
+INDEX(Scenarios!E$121:E$200,MATCH($B378,Scenarios!$B$121:$B$200,0))</f>
        <v>787.02360248447212</v>
      </c>
      <c r="F378" s="475">
        <f>INDEX(Input!$1:$1048576,F$93,$C378*2+MIN($B378,2)+5)
+INDEX(Scenarios!F$121:F$200,MATCH($B378,Scenarios!$B$121:$B$200,0))</f>
        <v>0</v>
      </c>
      <c r="G378" s="475">
        <f>INDEX(Input!$1:$1048576,G$93,$C378*2+MIN($B378,2)+5)
+INDEX(Scenarios!G$121:G$200,MATCH($B378,Scenarios!$B$121:$B$200,0))</f>
        <v>0</v>
      </c>
      <c r="H378" s="475">
        <f>INDEX(Input!$1:$1048576,H$93,$C378*2+MIN($B378,2)+5)
+INDEX(Scenarios!H$121:H$200,MATCH($B378,Scenarios!$B$121:$B$200,0))</f>
        <v>0</v>
      </c>
      <c r="I378" s="476">
        <f>INDEX(Input!$1:$1048576,I$93,$C378*2+MIN($B378,2)+5)</f>
        <v>0.7</v>
      </c>
      <c r="J378" s="476" t="str">
        <f>INDEX(Input!$1:$1048576,J$93,$C378*2+MIN($B378,2)+5)</f>
        <v>Market</v>
      </c>
      <c r="K378" s="476" t="str">
        <f>INDEX(Input!$1:$1048576,K$93,$C378*2+MIN($B378,2)+5)</f>
        <v>Market</v>
      </c>
      <c r="L378" s="476" t="str">
        <f>INDEX(Input!$1:$1048576,L$93,$C378*2+MIN($B378,2)+5)</f>
        <v>Market</v>
      </c>
      <c r="M378" s="476" t="str">
        <f>INDEX(Input!$1:$1048576,M$93,$C378*2+MIN($B378,2)+5)</f>
        <v>Market</v>
      </c>
      <c r="N378" s="476" t="str">
        <f>INDEX(Input!$1:$1048576,N$93,$C378*2+MIN($B378,2)+5)</f>
        <v>Market</v>
      </c>
      <c r="O378" s="476" t="str">
        <f>INDEX(Input!$1:$1048576,O$93,$C378*2+MIN($B378,2)+5)</f>
        <v>Market</v>
      </c>
      <c r="P378" s="476" t="str">
        <f>INDEX(Input!$1:$1048576,P$93,$C378*2+MIN($B378,2)+5)</f>
        <v>N</v>
      </c>
      <c r="Q378" s="477">
        <f>INDEX(Input!$1:$1048576,Q$93,$C378*2+MIN($B378,2)+5)
+INDEX(Scenarios!Q$121:Q$200,MATCH($B378,Scenarios!$B$121:$B$200,0))</f>
        <v>0</v>
      </c>
      <c r="R378" s="478">
        <f>IFERROR(MAX(0,INDEX(Input!$1:$1048576,R$93,$C378*2+MIN($B378,2)+5)
+INDEX(Scenarios!R$121:R$200,MATCH($B378,Scenarios!$B$121:$B$200,0)),),"Market")</f>
        <v>0</v>
      </c>
      <c r="S378" s="478">
        <f>IFERROR(MAX(0,INDEX(Input!$1:$1048576,S$93,$C378*2+MIN($B378,2)+5)
+INDEX(Scenarios!S$121:S$200,MATCH($B378,Scenarios!$B$121:$B$200,0)),),"Market")</f>
        <v>0</v>
      </c>
      <c r="T378" s="478">
        <f>IFERROR(MAX(0,INDEX(Input!$1:$1048576,T$93,$C378*2+MIN($B378,2)+5)
+INDEX(Scenarios!T$121:T$200,MATCH($B378,Scenarios!$B$121:$B$200,0)),),"Market")</f>
        <v>0</v>
      </c>
      <c r="U378" s="478">
        <f>IFERROR(MAX(0,INDEX(Input!$1:$1048576,U$93,$C378*2+MIN($B378,2)+5)
+INDEX(Scenarios!U$121:U$200,MATCH($B378,Scenarios!$B$121:$B$200,0)),),"Market")</f>
        <v>0</v>
      </c>
      <c r="V378" s="478">
        <f>IFERROR(MAX(0,INDEX(Input!$1:$1048576,V$93,$C378*2+MIN($B378,2)+5)
+INDEX(Scenarios!V$121:V$200,MATCH($B378,Scenarios!$B$121:$B$200,0)),),"Market")</f>
        <v>1.9E-2</v>
      </c>
      <c r="W378" s="885">
        <f>IFERROR(MAX(0,INDEX(Input!$1:$1048576,W$93,$C378*2+MIN($B378,2)+5)-0%,),"Market")</f>
        <v>3.9E-2</v>
      </c>
      <c r="X378" s="476" t="str">
        <f>INDEX(Input!$1:$1048576,X$93,$C378*2+MIN($B378,2)+5)</f>
        <v>Y</v>
      </c>
      <c r="Y378" s="475">
        <f>INDEX(Input!$1:$1048576,Y$93,$C378*2+MIN($B378,2)+5)
++INDEX(Scenarios!Y$121:Y$200,MATCH($B378,Scenarios!$B$121:$B$200,0))</f>
        <v>1194.9999999999991</v>
      </c>
      <c r="Z378" s="477">
        <f>INDEX(Input!$1:$1048576,Z$93,$C378*2+MIN($B378,2)+5)
+INDEX(Scenarios!Z$121:Z$200,MATCH($B378,Scenarios!$B$121:$B$200,0))</f>
        <v>0</v>
      </c>
      <c r="AA378" s="475">
        <f>INDEX(Input!$1:$1048576,AA$93,$C378*2+MIN($B378,2)+5)
+INDEX(Scenarios!AA$121:AA$200,MATCH($B378,Scenarios!$B$121:$B$200,0))</f>
        <v>0</v>
      </c>
      <c r="AB378" s="476">
        <f>INDEX(Input!$1:$1048576,AB$93,$C378*2+MIN($B378,2)+5)</f>
        <v>0.27</v>
      </c>
      <c r="AC378" s="475">
        <f>INDEX(Input!$1:$1048576,AC$93,$C378*2+MIN($B378,2)+5)
+INDEX(Scenarios!AC$121:AC$200,MATCH($B378,Scenarios!$B$121:$B$200,0))</f>
        <v>0</v>
      </c>
      <c r="AD378" s="476">
        <f>INDEX(Input!$1:$1048576,AD$93,$C378*2+MIN($B378,2)+5)</f>
        <v>0.27</v>
      </c>
      <c r="AE378" s="475">
        <f>INDEX(Input!$1:$1048576,AE$93,$C378*2+MIN($B378,2)+5)
+INDEX(Scenarios!AE$121:AE$200,MATCH($B378,Scenarios!$B$121:$B$200,0))</f>
        <v>0</v>
      </c>
      <c r="AF378" s="476">
        <f>INDEX(Input!$1:$1048576,AF$93,$C378*2+MIN($B378,2)+5)</f>
        <v>0.68200000000000005</v>
      </c>
      <c r="AG378" s="475">
        <f>INDEX(Input!$1:$1048576,AG$93,$C378*2+MIN($B378,2)+5)
+INDEX(Scenarios!AG$121:AG$200,MATCH($B378,Scenarios!$B$121:$B$200,0))</f>
        <v>500</v>
      </c>
      <c r="AH378" s="476">
        <f>INDEX(Input!$1:$1048576,AH$93,$C378*2+MIN($B378,2)+5)</f>
        <v>1</v>
      </c>
      <c r="AI378" s="475">
        <f>INDEX(Input!$1:$1048576,AI$93,$C378*2+MIN($B378,2)+5)
+INDEX(Scenarios!AI$121:AI$200,MATCH($B378,Scenarios!$B$121:$B$200,0))</f>
        <v>0</v>
      </c>
      <c r="AJ378" s="476">
        <f>INDEX(Input!$1:$1048576,AJ$93,$C378*2+MIN($B378,2)+5)</f>
        <v>0.27</v>
      </c>
      <c r="AK378" s="150">
        <f>ROUND(INDEX(Input!$1:$1048576,AK$93,$C377*2+MIN($B378,1)+5)+(Y378-VLOOKUP($C378*1000+1,$A:$HH,Y$92,FALSE)),0)</f>
        <v>2617</v>
      </c>
      <c r="AL378" s="150">
        <f>ROUND(INDEX(Input!$1:$1048576,AL$93,$C377*2+MIN($B378,1)+5)-(Y378-VLOOKUP($C378*1000+1,$A:$HH,Y$92,FALSE))/36,0)</f>
        <v>3405</v>
      </c>
      <c r="AM378" s="32" t="str">
        <f t="shared" si="1047"/>
        <v>std/std/std/std</v>
      </c>
      <c r="AN378" s="32" t="str">
        <f t="shared" si="1048"/>
        <v>$0 + 0/0/0/1.9/3.9</v>
      </c>
      <c r="AO378" s="32" t="str">
        <f t="shared" si="1049"/>
        <v>0/0/0/1.9/3.9</v>
      </c>
      <c r="AP378" s="32" t="str">
        <f t="shared" si="993"/>
        <v>0/0.9/1.9/3.9</v>
      </c>
      <c r="AQ378" s="536">
        <f t="shared" si="992"/>
        <v>0.29074455720830689</v>
      </c>
      <c r="AR378" s="32"/>
      <c r="AS378" s="302"/>
      <c r="AT378" s="3">
        <f t="shared" si="1066"/>
        <v>78</v>
      </c>
      <c r="AU378" s="41" t="s">
        <v>121</v>
      </c>
      <c r="AV378" s="41" t="s">
        <v>116</v>
      </c>
      <c r="AW378" s="41" t="str">
        <f>INDEX(Input!$1:$1048576,AW$93,$C378*2+6)</f>
        <v>Kia</v>
      </c>
      <c r="AX378" s="41" t="str">
        <f>INDEX(Input!$1:$1048576,AX$93,$C378*2+6)</f>
        <v>Kia-LR - L3</v>
      </c>
      <c r="AY378" s="41" t="str">
        <f>IF(LEN(D378)=0,"",INDEX(Input!$1:$1048576,AY$93,$C378*2+6))</f>
        <v>Compact SUV (52)</v>
      </c>
      <c r="AZ378" s="41" t="str">
        <f>INDEX(Input!$1:$1048576,AZ$93,$C378*2+6)</f>
        <v>Kia Soul</v>
      </c>
      <c r="BA378" s="3">
        <f>INDEX(Input!$1:$1048576,BA$93,$C378*2+6)</f>
        <v>2020</v>
      </c>
      <c r="BB378" s="128">
        <f>INDEX(Input!$1:$1048576,BB$93,$C378*2+6)</f>
        <v>1</v>
      </c>
      <c r="BC378" s="128">
        <f>INDEX(Input!$1:$1048576,BC$93,$C378*2+6)</f>
        <v>0.7</v>
      </c>
      <c r="BD378" s="1">
        <f>INDEX(Input!$1:$1048576,BD$93,$C378*2+6)</f>
        <v>4.4999999999999998E-2</v>
      </c>
      <c r="BE378" s="1">
        <f>INDEX(Input!$1:$1048576,BE$93,$C378*2+6)</f>
        <v>4.4999999999999998E-2</v>
      </c>
      <c r="BF378" s="1">
        <f>INDEX(Input!$1:$1048576,BF$93,$C378*2+6)</f>
        <v>0.05</v>
      </c>
      <c r="BG378" s="1">
        <f>INDEX(Input!$1:$1048576,BG$93,$C378*2+6)</f>
        <v>5.45E-2</v>
      </c>
      <c r="BH378" s="1">
        <f>INDEX(Input!$1:$1048576,BH$93,$C378*2+6)</f>
        <v>5.45E-2</v>
      </c>
      <c r="BI378" s="1">
        <f>INDEX(Input!$1:$1048576,BI$93,$C378*2+6)</f>
        <v>0.05</v>
      </c>
      <c r="BJ378" s="1">
        <f>INDEX(Input!$1:$1048576,BJ$93,$C378*2+6)</f>
        <v>0.05</v>
      </c>
      <c r="BK378" s="1">
        <f>INDEX(Input!$1:$1048576,BK$93,$C378*2+6)</f>
        <v>0.05</v>
      </c>
      <c r="BL378" s="1">
        <f>INDEX(Input!$1:$1048576,BL$93,$C378*2+6)</f>
        <v>5.5E-2</v>
      </c>
      <c r="BM378" s="1">
        <f>INDEX(Input!$1:$1048576,BM$93,$C378*2+6)</f>
        <v>0.06</v>
      </c>
      <c r="BN378" s="1">
        <f>INDEX(Input!$1:$1048576,BN$93,$C378*2+6)</f>
        <v>4.4999999999999998E-2</v>
      </c>
      <c r="BO378" s="1">
        <f>INDEX(Input!$1:$1048576,BO$93,$C378*2+6)</f>
        <v>4.4999999999999998E-2</v>
      </c>
      <c r="BP378" s="1">
        <f>INDEX(Input!$1:$1048576,BP$93,$C378*2+6)</f>
        <v>0.05</v>
      </c>
      <c r="BQ378" s="1">
        <f>INDEX(Input!$1:$1048576,BQ$93,$C378*2+6)</f>
        <v>5.45E-2</v>
      </c>
      <c r="BR378" s="1">
        <f>INDEX(Input!$1:$1048576,BR$93,$C378*2+6)</f>
        <v>5.45E-2</v>
      </c>
      <c r="BS378" s="1">
        <f>INDEX(Input!$1:$1048576,BS$93,$C378*2+6)</f>
        <v>0.05</v>
      </c>
      <c r="BT378" s="1">
        <f>INDEX(Input!$1:$1048576,BT$93,$C378*2+6)</f>
        <v>0.05</v>
      </c>
      <c r="BU378" s="1">
        <f>INDEX(Input!$1:$1048576,BU$93,$C378*2+6)</f>
        <v>0.05</v>
      </c>
      <c r="BV378" s="1">
        <f>INDEX(Input!$1:$1048576,BV$93,$C378*2+6)</f>
        <v>5.5E-2</v>
      </c>
      <c r="BW378" s="1">
        <f>INDEX(Input!$1:$1048576,BW$93,$C378*2+6)</f>
        <v>0.06</v>
      </c>
      <c r="BX378" s="127">
        <f>INDEX(Input!$1:$1048576,BX$93,$C378*2+6)</f>
        <v>19985</v>
      </c>
      <c r="BY378" s="20">
        <f>INDEX(Input!$1:$1048576,BY$93,$C378*2+6)</f>
        <v>0.1</v>
      </c>
      <c r="BZ378" s="20">
        <f>INDEX(Input!$1:$1048576,BZ$93,$C378*2+6)</f>
        <v>0.1</v>
      </c>
      <c r="CA378" s="20">
        <f>INDEX(Input!$1:$1048576,CA$93,$C378*2+6)</f>
        <v>0.1</v>
      </c>
      <c r="CB378" s="20">
        <f>INDEX(Input!$1:$1048576,CB$93,$C378*2+6)</f>
        <v>0.1</v>
      </c>
      <c r="CC378" s="20">
        <f>INDEX(Input!$1:$1048576,CC$93,$C378*2+6)</f>
        <v>0.1</v>
      </c>
      <c r="CD378" s="384">
        <f>INDEX(Input!$1:$1048576,CD$93,$C378*2+6)</f>
        <v>0.1</v>
      </c>
      <c r="CE378" s="384">
        <f>INDEX(Input!$1:$1048576,CE$93,$C378*2+6)</f>
        <v>0.1</v>
      </c>
      <c r="CF378" s="384">
        <f>INDEX(Input!$1:$1048576,CF$93,$C378*2+6)</f>
        <v>0.1</v>
      </c>
      <c r="CG378" s="384">
        <f>INDEX(Input!$1:$1048576,CG$93,$C378*2+6)</f>
        <v>0.1</v>
      </c>
      <c r="CH378" s="384">
        <f>INDEX(Input!$1:$1048576,CH$93,$C378*2+6)</f>
        <v>0.1</v>
      </c>
      <c r="CI378" s="304">
        <f t="shared" si="994"/>
        <v>787.02360248447212</v>
      </c>
      <c r="CJ378" s="16" t="str">
        <f>INDEX(Input!$1:$1048576,CJ$93,$C378*2+6)</f>
        <v>N</v>
      </c>
      <c r="CK378" s="1" t="str">
        <f t="shared" si="995"/>
        <v>Market</v>
      </c>
      <c r="CL378" s="1" t="str">
        <f t="shared" si="996"/>
        <v>Market</v>
      </c>
      <c r="CM378" s="1" t="str">
        <f t="shared" si="997"/>
        <v>Market</v>
      </c>
      <c r="CN378" s="1" t="str">
        <f t="shared" si="998"/>
        <v>Market</v>
      </c>
      <c r="CO378" s="1" t="str">
        <f t="shared" si="999"/>
        <v>Market</v>
      </c>
      <c r="CP378" s="304">
        <f t="shared" si="1000"/>
        <v>500</v>
      </c>
      <c r="CQ378" s="1">
        <f t="shared" si="1001"/>
        <v>0</v>
      </c>
      <c r="CR378" s="1">
        <f t="shared" si="1002"/>
        <v>0</v>
      </c>
      <c r="CS378" s="1">
        <f t="shared" si="1003"/>
        <v>0</v>
      </c>
      <c r="CT378" s="1">
        <f t="shared" si="1004"/>
        <v>1.9E-2</v>
      </c>
      <c r="CU378" s="1">
        <f t="shared" si="1005"/>
        <v>3.9E-2</v>
      </c>
      <c r="CV378" s="304">
        <f t="shared" si="1006"/>
        <v>1194.9999999999991</v>
      </c>
      <c r="CW378" s="20" t="s">
        <v>122</v>
      </c>
      <c r="CX378" s="20" t="s">
        <v>122</v>
      </c>
      <c r="CY378" s="20" t="s">
        <v>122</v>
      </c>
      <c r="CZ378" s="20" t="s">
        <v>122</v>
      </c>
      <c r="DA378" s="20" t="s">
        <v>122</v>
      </c>
      <c r="DB378" s="503">
        <f t="shared" si="1007"/>
        <v>0</v>
      </c>
      <c r="DC378" s="127">
        <v>0</v>
      </c>
      <c r="DD378" s="127">
        <v>0</v>
      </c>
      <c r="DE378" s="127">
        <v>0</v>
      </c>
      <c r="DF378" s="127">
        <v>0</v>
      </c>
      <c r="DG378" s="127">
        <v>0</v>
      </c>
      <c r="DH378" s="127">
        <v>0</v>
      </c>
      <c r="DI378" s="127">
        <v>0</v>
      </c>
      <c r="DJ378" s="127">
        <v>0</v>
      </c>
      <c r="DK378" s="127">
        <v>0</v>
      </c>
      <c r="DL378" s="127">
        <v>0</v>
      </c>
      <c r="DM378" s="304">
        <f>INDEX(Input!$1:$1048576,DM$93,$C378*2+6)</f>
        <v>21036.84210526316</v>
      </c>
      <c r="DN378" s="20">
        <v>0</v>
      </c>
      <c r="DO378" s="20">
        <v>0</v>
      </c>
      <c r="DP378" s="20">
        <v>0</v>
      </c>
      <c r="DQ378" s="20">
        <v>0</v>
      </c>
      <c r="DR378" s="20">
        <v>0</v>
      </c>
      <c r="DS378" s="20">
        <f>INDEX(Input!$1:$1048576,DS$93,$C378*2+6)</f>
        <v>0.6</v>
      </c>
      <c r="DT378" s="20">
        <f>INDEX(Input!$1:$1048576,DT$93,$C378*2+6)</f>
        <v>0.55000000000000004</v>
      </c>
      <c r="DU378" s="20">
        <f>INDEX(Input!$1:$1048576,DU$93,$C378*2+6)</f>
        <v>0.52</v>
      </c>
      <c r="DV378" s="20">
        <f>INDEX(Input!$1:$1048576,DV$93,$C378*2+6)</f>
        <v>0.5</v>
      </c>
      <c r="DW378" s="20">
        <f>INDEX(Input!$1:$1048576,DW$93,$C378*2+6)</f>
        <v>0.45</v>
      </c>
      <c r="DX378" s="20"/>
      <c r="DY378" s="7">
        <v>9.3707791368459095E-2</v>
      </c>
      <c r="DZ378" s="7">
        <v>0</v>
      </c>
      <c r="EA378" s="7">
        <v>0.67872842753614326</v>
      </c>
      <c r="EB378" s="7">
        <v>0</v>
      </c>
      <c r="EC378" s="7">
        <v>0</v>
      </c>
      <c r="ED378" s="7">
        <v>0</v>
      </c>
      <c r="EE378" s="7">
        <v>0</v>
      </c>
      <c r="EF378" s="7">
        <v>0</v>
      </c>
      <c r="EG378" s="7">
        <v>0</v>
      </c>
      <c r="EH378" s="7">
        <v>1.1999946460627929E-2</v>
      </c>
      <c r="EI378" s="7">
        <v>3.3595335777147552E-2</v>
      </c>
      <c r="EJ378" s="7">
        <v>0.27021810769276966</v>
      </c>
      <c r="EK378" s="7">
        <v>0.54269143129105291</v>
      </c>
      <c r="EL378" s="7">
        <v>0.14149517877840168</v>
      </c>
      <c r="EM378" s="7">
        <v>6.3121559619458284E-2</v>
      </c>
      <c r="EN378" s="7">
        <v>6.1135966523064078E-2</v>
      </c>
      <c r="EO378" s="7">
        <v>0.769850337642496</v>
      </c>
      <c r="EP378" s="7">
        <v>6.9664138868969855E-2</v>
      </c>
      <c r="EQ378" s="7">
        <v>6.5326498487153939E-2</v>
      </c>
      <c r="ER378" s="7">
        <v>3.4023058478316284E-2</v>
      </c>
      <c r="ES378" s="7">
        <v>0.16444222147593934</v>
      </c>
      <c r="ET378" s="7">
        <v>0.22756378109539763</v>
      </c>
      <c r="EU378" s="6">
        <v>1111</v>
      </c>
      <c r="EV378" s="6">
        <v>0</v>
      </c>
      <c r="EW378" s="6">
        <v>1111</v>
      </c>
      <c r="EX378" s="6">
        <v>0</v>
      </c>
      <c r="EY378" s="6">
        <v>2335.4393534483515</v>
      </c>
      <c r="EZ378" s="6">
        <v>1929</v>
      </c>
      <c r="FA378" s="6">
        <v>0</v>
      </c>
      <c r="FB378" s="6">
        <v>0</v>
      </c>
      <c r="FC378" s="6">
        <v>0</v>
      </c>
      <c r="FD378" s="6">
        <v>0</v>
      </c>
      <c r="FE378" s="6">
        <v>0</v>
      </c>
      <c r="FF378" s="6">
        <v>0</v>
      </c>
      <c r="FG378" s="6">
        <v>0</v>
      </c>
      <c r="FH378" s="6">
        <v>1171.9993560439245</v>
      </c>
      <c r="FI378" s="6">
        <v>1553.9796069512392</v>
      </c>
      <c r="FJ378" s="6">
        <v>2101.2110117447405</v>
      </c>
      <c r="FK378" s="6">
        <v>1772.7139978623238</v>
      </c>
      <c r="FL378" s="6">
        <v>907.07682140966324</v>
      </c>
      <c r="FM378" s="6">
        <v>1724.4393534483515</v>
      </c>
      <c r="FN378" s="6">
        <v>0</v>
      </c>
      <c r="FO378" s="6">
        <v>0</v>
      </c>
      <c r="FP378" s="6">
        <v>0</v>
      </c>
      <c r="FQ378" s="6">
        <v>0</v>
      </c>
      <c r="FR378" s="6">
        <v>0</v>
      </c>
      <c r="FS378" s="6">
        <v>0</v>
      </c>
      <c r="FT378" s="7">
        <v>0.77243621890460235</v>
      </c>
      <c r="FU378" s="7">
        <v>6.3121559619458284E-2</v>
      </c>
      <c r="FV378" s="7">
        <v>0.16444222147593934</v>
      </c>
      <c r="FW378" s="6">
        <v>1111</v>
      </c>
      <c r="FX378" s="6">
        <v>2335.4393534483515</v>
      </c>
      <c r="FY378" s="6">
        <v>1929</v>
      </c>
      <c r="FZ378" s="6">
        <v>1858.9243755539039</v>
      </c>
      <c r="GA378" s="6">
        <v>1322.8022588164195</v>
      </c>
      <c r="GB378" s="6">
        <v>18662.19774118358</v>
      </c>
      <c r="GC378" s="7">
        <v>2.9156573141622111E-2</v>
      </c>
      <c r="GD378" s="7">
        <v>2.7880300557180448E-2</v>
      </c>
      <c r="GE378" s="7"/>
      <c r="GF378" s="7"/>
      <c r="GG378" s="7">
        <v>-4.377306545053939E-2</v>
      </c>
      <c r="GH378" s="42">
        <v>1.631726589368413</v>
      </c>
      <c r="GI378" s="6">
        <v>13570.56492335419</v>
      </c>
      <c r="GJ378" s="14">
        <v>0.50394797582841744</v>
      </c>
      <c r="GK378" s="14">
        <v>0.50887573065309755</v>
      </c>
      <c r="GL378" s="14">
        <v>0.49605202417158295</v>
      </c>
      <c r="GM378" s="14">
        <v>0.49112426934690245</v>
      </c>
      <c r="GO378" s="5">
        <v>343.14810671672558</v>
      </c>
      <c r="GP378" s="5">
        <v>321.95234619843228</v>
      </c>
      <c r="GQ378" s="5">
        <v>535.04305713031317</v>
      </c>
      <c r="GR378" s="5">
        <v>410.15490233172511</v>
      </c>
      <c r="GS378" s="5">
        <v>339.42744393800166</v>
      </c>
      <c r="GT378" s="5">
        <v>293.4407446948278</v>
      </c>
      <c r="GU378" s="5">
        <v>258.04012322764959</v>
      </c>
      <c r="GV378" s="39" t="s">
        <v>392</v>
      </c>
      <c r="GW378" s="5">
        <v>482.65277777777777</v>
      </c>
      <c r="GX378" s="5">
        <v>361.98958333333331</v>
      </c>
      <c r="GY378" s="5">
        <v>289.59166666666664</v>
      </c>
      <c r="GZ378" s="5">
        <v>255.53408606924114</v>
      </c>
      <c r="HA378" s="5">
        <v>236.70336205047303</v>
      </c>
      <c r="HB378" s="39">
        <v>268.37442470592975</v>
      </c>
      <c r="HC378" s="5">
        <v>202.890625</v>
      </c>
      <c r="HD378" s="5">
        <v>182.20330774853798</v>
      </c>
      <c r="HE378" s="5">
        <v>187.48257844129552</v>
      </c>
      <c r="HF378" s="5">
        <v>176.30063048245611</v>
      </c>
      <c r="HG378" s="5">
        <v>173.65888157894736</v>
      </c>
      <c r="HH378" s="39">
        <v>183.159513981418</v>
      </c>
      <c r="HI378" s="16"/>
      <c r="HJ378" s="19" t="str">
        <f t="shared" ref="HJ378:HK378" si="1102">HJ377</f>
        <v>On</v>
      </c>
      <c r="HK378" s="1" t="str">
        <f t="shared" si="1102"/>
        <v>On</v>
      </c>
      <c r="HL378" s="16"/>
      <c r="HM378" s="639">
        <f t="shared" si="1023"/>
        <v>2.2758057894877178E-2</v>
      </c>
      <c r="HN378" s="639">
        <f t="shared" si="1024"/>
        <v>1.416759231746561E-3</v>
      </c>
      <c r="HO378" s="639">
        <f t="shared" si="1025"/>
        <v>4.5732401537654987E-3</v>
      </c>
      <c r="HP378" s="644">
        <f>(FT378*$GD378-HM378)/$JF378*INDEX(Input!$1:$1048576,$JG$93,$C378*2+6)</f>
        <v>-68.453646840053054</v>
      </c>
      <c r="HQ378" s="644">
        <f>(FU378*$GD378-HN378)/$JF378*INDEX(Input!$1:$1048576,$JG$93,$C378*2+6)</f>
        <v>19.214272399850085</v>
      </c>
      <c r="HR378" s="644">
        <f>(FV378*$GD378-HO378)/$JF378*INDEX(Input!$1:$1048576,$JG$93,$C378*2+6)</f>
        <v>0.64171405780257851</v>
      </c>
      <c r="HS378" s="644">
        <f t="shared" si="1014"/>
        <v>27.284048858377624</v>
      </c>
      <c r="HT378" s="644">
        <f t="shared" si="1094"/>
        <v>28.97544368560083</v>
      </c>
      <c r="HU378" s="644">
        <f t="shared" si="1027"/>
        <v>-8.5847560148256381</v>
      </c>
      <c r="HV378" s="648">
        <f t="shared" si="1028"/>
        <v>0</v>
      </c>
      <c r="HW378" s="648">
        <f t="shared" si="1029"/>
        <v>0</v>
      </c>
      <c r="HX378" s="648">
        <f t="shared" si="1030"/>
        <v>0</v>
      </c>
      <c r="HY378" s="644">
        <f>INDEX(Input!$1:$1048576,HY$93,$C378*2+6)*INDEX(Input!$1:$1048576,$JG$93,$C378*2+6)</f>
        <v>509.00000000000006</v>
      </c>
      <c r="HZ378" s="644">
        <f>INDEX(Input!$1:$1048576,HZ$93,$C378*2+6)*INDEX(Input!$1:$1048576,$JG$93,$C378*2+6)</f>
        <v>844</v>
      </c>
      <c r="IA378" s="644">
        <f>INDEX(Input!$1:$1048576,IA$93,$C378*2+6)*INDEX(Input!$1:$1048576,$JG$93,$C378*2+6)</f>
        <v>257</v>
      </c>
      <c r="IB378" s="644">
        <f t="shared" si="1051"/>
        <v>467.83040201832466</v>
      </c>
      <c r="IC378" s="644">
        <f t="shared" si="1052"/>
        <v>892.18971608545087</v>
      </c>
      <c r="ID378" s="644">
        <f>IF(AND(INDEX(Input!$1:$1048576,IA$93,$C378*2+7)="TOS",Y378&lt;=INDEX(Y:Y,MATCH(C378*1000+2,A:A))),0,1)*MAX(IA378+HR378+HU378+HX378,0%)</f>
        <v>249.05695804297693</v>
      </c>
      <c r="IE378" s="128">
        <f t="shared" si="1095"/>
        <v>0.29074455720830689</v>
      </c>
      <c r="IF378" s="128">
        <f t="shared" si="1096"/>
        <v>0.55447295180040246</v>
      </c>
      <c r="IG378" s="128">
        <f t="shared" si="1087"/>
        <v>0.1547824909912906</v>
      </c>
      <c r="IH378" s="21"/>
      <c r="II378" s="19">
        <f t="shared" si="1032"/>
        <v>1410.4999999999998</v>
      </c>
      <c r="IJ378" s="19">
        <f t="shared" si="1033"/>
        <v>2134.9731585778086</v>
      </c>
      <c r="IK378" s="19">
        <f t="shared" si="1034"/>
        <v>2103.5</v>
      </c>
      <c r="IL378" s="19">
        <f t="shared" si="1053"/>
        <v>-299.49999999999977</v>
      </c>
      <c r="IM378" s="19">
        <f t="shared" si="1035"/>
        <v>200.46619487054295</v>
      </c>
      <c r="IN378" s="19">
        <f t="shared" si="1036"/>
        <v>-174.5</v>
      </c>
      <c r="IO378" s="39">
        <f t="shared" si="1037"/>
        <v>0</v>
      </c>
      <c r="IP378" s="39">
        <f t="shared" si="1038"/>
        <v>0</v>
      </c>
      <c r="IQ378" s="39">
        <f t="shared" si="1039"/>
        <v>0</v>
      </c>
      <c r="IR378" s="39">
        <v>0</v>
      </c>
      <c r="IS378" s="39">
        <v>0</v>
      </c>
      <c r="IT378" s="39">
        <v>0</v>
      </c>
      <c r="IU378" s="39">
        <v>0</v>
      </c>
      <c r="IV378" s="39">
        <v>0</v>
      </c>
      <c r="IW378" s="39">
        <v>0</v>
      </c>
      <c r="IX378" s="39">
        <f>INDEX(Input!$1:$1048576,IX$93,$C378*2+6)+INDEX(Input!$1:$1048576,IX$94,$C378*2+6)</f>
        <v>1611</v>
      </c>
      <c r="IY378" s="39">
        <f>INDEX(Input!$1:$1048576,IY$93,$C378*2+6)+INDEX(Input!$1:$1048576,IY$94,$C378*2+6)</f>
        <v>2471.0624533823611</v>
      </c>
      <c r="IZ378" s="39">
        <f>INDEX(Input!$1:$1048576,IZ$93,$C378*2+6)+INDEX(Input!$1:$1048576,IZ$94,$C378*2+6)</f>
        <v>3994.7164157747857</v>
      </c>
      <c r="JA378" s="19">
        <f t="shared" si="1054"/>
        <v>1311.5000000000002</v>
      </c>
      <c r="JB378" s="19">
        <f t="shared" si="1055"/>
        <v>2671.5286482529041</v>
      </c>
      <c r="JC378" s="19">
        <f t="shared" si="1056"/>
        <v>3820.2164157747857</v>
      </c>
      <c r="JD378" s="19">
        <f t="shared" si="1057"/>
        <v>2453.9044751542629</v>
      </c>
      <c r="JE378" s="21"/>
      <c r="JF378" s="1">
        <f t="shared" si="1040"/>
        <v>2.8748057280389237E-2</v>
      </c>
      <c r="JG378" s="15">
        <f>INDEX(Input!$1:$1048576,JG$93,$C378*2+6)/(1+VLOOKUP(C378*1000+INDEX(Input!$1:$1048576,JG$93+1,$C378*2+6),$A:$KK,$JK$92,FALSE))</f>
        <v>1610</v>
      </c>
      <c r="JH378" s="1">
        <f t="shared" si="1058"/>
        <v>-3.0184882225093405E-2</v>
      </c>
      <c r="JI378" s="1">
        <f t="shared" si="1059"/>
        <v>2.961163759574709E-2</v>
      </c>
      <c r="JJ378" s="1">
        <f t="shared" si="1097"/>
        <v>0</v>
      </c>
      <c r="JK378" s="1">
        <f t="shared" si="1098"/>
        <v>-5.7324462934631518E-4</v>
      </c>
      <c r="JL378" s="15">
        <f t="shared" si="1060"/>
        <v>-0.92292385324756743</v>
      </c>
      <c r="JM378" s="15">
        <f t="shared" si="1079"/>
        <v>1609.0770761467525</v>
      </c>
      <c r="JN378" s="21"/>
      <c r="JO378" s="19">
        <f>INDEX(Input!$1:$1048576,JO$93,$C378*2+6)</f>
        <v>5995.5</v>
      </c>
      <c r="JP378" s="19">
        <f>INDEX(Input!$1:$1048576,JP$93,$C378*2+6)</f>
        <v>2442.3713226762939</v>
      </c>
      <c r="JQ378" s="39">
        <f t="shared" si="1068"/>
        <v>3541.5955248457371</v>
      </c>
      <c r="JR378" s="39">
        <f t="shared" si="1082"/>
        <v>11.533152477968997</v>
      </c>
      <c r="JS378" s="39">
        <f t="shared" si="1069"/>
        <v>3.9485214380246525</v>
      </c>
      <c r="JT378" s="39">
        <f t="shared" si="1061"/>
        <v>1.6303608515819534E-2</v>
      </c>
      <c r="JU378" s="385">
        <f>(JQ378*JM378-INDEX(Input!$1:$1048576,Input!A$18,$C378*2+6)*JL378*INDEX(Input!$1:$1048576,Input!A$19,$C378*2+6))/1000000</f>
        <v>5.6987001720132016</v>
      </c>
      <c r="JV378" s="39">
        <f t="shared" ref="JV378:JV383" si="1103">JU378-(JO378-JP378)*JG378/1000000</f>
        <v>-2.1836998477965608E-2</v>
      </c>
      <c r="JW378" s="1">
        <f t="shared" si="1080"/>
        <v>-3.817298590525665E-3</v>
      </c>
      <c r="JX378" s="19">
        <f t="shared" si="1073"/>
        <v>-17665.17189738969</v>
      </c>
      <c r="JZ378" s="341"/>
      <c r="KA378" s="342"/>
      <c r="KB378" s="469">
        <f t="shared" si="1070"/>
        <v>2.5190675447988795</v>
      </c>
      <c r="KI378" s="473">
        <f t="shared" si="1099"/>
        <v>-41.169597981675395</v>
      </c>
      <c r="KJ378" s="473">
        <f t="shared" si="1100"/>
        <v>48.189716085450755</v>
      </c>
      <c r="KK378" s="473">
        <f t="shared" si="1092"/>
        <v>-7.9430419570230697</v>
      </c>
      <c r="KN378" s="544">
        <f t="shared" si="1074"/>
        <v>3002</v>
      </c>
      <c r="KO378" s="541">
        <f t="shared" si="1041"/>
        <v>-3.0168988592386925E-2</v>
      </c>
      <c r="KP378" s="546">
        <f t="shared" si="1042"/>
        <v>-201.13966830624736</v>
      </c>
      <c r="KQ378" s="546">
        <f t="shared" si="1043"/>
        <v>-182.00895023443536</v>
      </c>
      <c r="KR378" s="548">
        <f t="shared" si="1044"/>
        <v>2.6021937858665778</v>
      </c>
      <c r="KS378" s="548">
        <f t="shared" si="1045"/>
        <v>2.8757069049824975</v>
      </c>
      <c r="KT378" s="473">
        <f t="shared" si="1071"/>
        <v>1026.1618045255443</v>
      </c>
      <c r="KU378" s="663">
        <f t="shared" si="1063"/>
        <v>4.626402458585356</v>
      </c>
    </row>
    <row r="379" spans="1:307" s="26" customFormat="1" ht="15" outlineLevel="1">
      <c r="A379" s="561">
        <f t="shared" si="1046"/>
        <v>3079</v>
      </c>
      <c r="B379" s="561">
        <f t="shared" si="1064"/>
        <v>79</v>
      </c>
      <c r="C379" s="561">
        <f t="shared" si="1065"/>
        <v>3</v>
      </c>
      <c r="D379" s="561" t="str">
        <f t="shared" si="974"/>
        <v xml:space="preserve">0.9/1.9/2.9/3.9, -360 Lease, </v>
      </c>
      <c r="E379" s="475">
        <f>INDEX(Input!$1:$1048576,E$93,$C379*2+MIN($B379,2)+5)
+INDEX(Scenarios!E$121:E$200,MATCH($B379,Scenarios!$B$121:$B$200,0))</f>
        <v>1287.0236024844721</v>
      </c>
      <c r="F379" s="475">
        <f>INDEX(Input!$1:$1048576,F$93,$C379*2+MIN($B379,2)+5)
+INDEX(Scenarios!F$121:F$200,MATCH($B379,Scenarios!$B$121:$B$200,0))</f>
        <v>0</v>
      </c>
      <c r="G379" s="475">
        <f>INDEX(Input!$1:$1048576,G$93,$C379*2+MIN($B379,2)+5)
+INDEX(Scenarios!G$121:G$200,MATCH($B379,Scenarios!$B$121:$B$200,0))</f>
        <v>0</v>
      </c>
      <c r="H379" s="475">
        <f>INDEX(Input!$1:$1048576,H$93,$C379*2+MIN($B379,2)+5)
+INDEX(Scenarios!H$121:H$200,MATCH($B379,Scenarios!$B$121:$B$200,0))</f>
        <v>0</v>
      </c>
      <c r="I379" s="476">
        <f>INDEX(Input!$1:$1048576,I$93,$C379*2+MIN($B379,2)+5)</f>
        <v>0.7</v>
      </c>
      <c r="J379" s="476" t="str">
        <f>INDEX(Input!$1:$1048576,J$93,$C379*2+MIN($B379,2)+5)</f>
        <v>Market</v>
      </c>
      <c r="K379" s="476" t="str">
        <f>INDEX(Input!$1:$1048576,K$93,$C379*2+MIN($B379,2)+5)</f>
        <v>Market</v>
      </c>
      <c r="L379" s="476" t="str">
        <f>INDEX(Input!$1:$1048576,L$93,$C379*2+MIN($B379,2)+5)</f>
        <v>Market</v>
      </c>
      <c r="M379" s="476" t="str">
        <f>INDEX(Input!$1:$1048576,M$93,$C379*2+MIN($B379,2)+5)</f>
        <v>Market</v>
      </c>
      <c r="N379" s="476" t="str">
        <f>INDEX(Input!$1:$1048576,N$93,$C379*2+MIN($B379,2)+5)</f>
        <v>Market</v>
      </c>
      <c r="O379" s="476" t="str">
        <f>INDEX(Input!$1:$1048576,O$93,$C379*2+MIN($B379,2)+5)</f>
        <v>Market</v>
      </c>
      <c r="P379" s="476" t="str">
        <f>INDEX(Input!$1:$1048576,P$93,$C379*2+MIN($B379,2)+5)</f>
        <v>N</v>
      </c>
      <c r="Q379" s="477">
        <f>INDEX(Input!$1:$1048576,Q$93,$C379*2+MIN($B379,2)+5)
+INDEX(Scenarios!Q$121:Q$200,MATCH($B379,Scenarios!$B$121:$B$200,0))</f>
        <v>0</v>
      </c>
      <c r="R379" s="478">
        <f>IFERROR(MAX(0,INDEX(Input!$1:$1048576,R$93,$C379*2+MIN($B379,2)+5)
+INDEX(Scenarios!R$121:R$200,MATCH($B379,Scenarios!$B$121:$B$200,0)),),"Market")</f>
        <v>0</v>
      </c>
      <c r="S379" s="478">
        <f>IFERROR(MAX(0,INDEX(Input!$1:$1048576,S$93,$C379*2+MIN($B379,2)+5)
+INDEX(Scenarios!S$121:S$200,MATCH($B379,Scenarios!$B$121:$B$200,0)),),"Market")</f>
        <v>0</v>
      </c>
      <c r="T379" s="478">
        <f>IFERROR(MAX(0,INDEX(Input!$1:$1048576,T$93,$C379*2+MIN($B379,2)+5)
+INDEX(Scenarios!T$121:T$200,MATCH($B379,Scenarios!$B$121:$B$200,0)),),"Market")</f>
        <v>0</v>
      </c>
      <c r="U379" s="478">
        <f>IFERROR(MAX(0,INDEX(Input!$1:$1048576,U$93,$C379*2+MIN($B379,2)+5)
+INDEX(Scenarios!U$121:U$200,MATCH($B379,Scenarios!$B$121:$B$200,0)),),"Market")</f>
        <v>9.0000000000000011E-3</v>
      </c>
      <c r="V379" s="478">
        <f>IFERROR(MAX(0,INDEX(Input!$1:$1048576,V$93,$C379*2+MIN($B379,2)+5)
+INDEX(Scenarios!V$121:V$200,MATCH($B379,Scenarios!$B$121:$B$200,0)),),"Market")</f>
        <v>2.8999999999999998E-2</v>
      </c>
      <c r="W379" s="885">
        <f>IFERROR(MAX(0,INDEX(Input!$1:$1048576,W$93,$C379*2+MIN($B379,2)+5)-0%,),"Market")</f>
        <v>3.9E-2</v>
      </c>
      <c r="X379" s="476" t="str">
        <f>INDEX(Input!$1:$1048576,X$93,$C379*2+MIN($B379,2)+5)</f>
        <v>Y</v>
      </c>
      <c r="Y379" s="475">
        <f>INDEX(Input!$1:$1048576,Y$93,$C379*2+MIN($B379,2)+5)
++INDEX(Scenarios!Y$121:Y$200,MATCH($B379,Scenarios!$B$121:$B$200,0))</f>
        <v>1194.9999999999991</v>
      </c>
      <c r="Z379" s="477">
        <f>INDEX(Input!$1:$1048576,Z$93,$C379*2+MIN($B379,2)+5)
+INDEX(Scenarios!Z$121:Z$200,MATCH($B379,Scenarios!$B$121:$B$200,0))</f>
        <v>0</v>
      </c>
      <c r="AA379" s="475">
        <f>INDEX(Input!$1:$1048576,AA$93,$C379*2+MIN($B379,2)+5)
+INDEX(Scenarios!AA$121:AA$200,MATCH($B379,Scenarios!$B$121:$B$200,0))</f>
        <v>0</v>
      </c>
      <c r="AB379" s="476">
        <f>INDEX(Input!$1:$1048576,AB$93,$C379*2+MIN($B379,2)+5)</f>
        <v>0.27</v>
      </c>
      <c r="AC379" s="475">
        <f>INDEX(Input!$1:$1048576,AC$93,$C379*2+MIN($B379,2)+5)
+INDEX(Scenarios!AC$121:AC$200,MATCH($B379,Scenarios!$B$121:$B$200,0))</f>
        <v>0</v>
      </c>
      <c r="AD379" s="476">
        <f>INDEX(Input!$1:$1048576,AD$93,$C379*2+MIN($B379,2)+5)</f>
        <v>0.27</v>
      </c>
      <c r="AE379" s="475">
        <f>INDEX(Input!$1:$1048576,AE$93,$C379*2+MIN($B379,2)+5)
+INDEX(Scenarios!AE$121:AE$200,MATCH($B379,Scenarios!$B$121:$B$200,0))</f>
        <v>0</v>
      </c>
      <c r="AF379" s="476">
        <f>INDEX(Input!$1:$1048576,AF$93,$C379*2+MIN($B379,2)+5)</f>
        <v>0.68200000000000005</v>
      </c>
      <c r="AG379" s="475">
        <f>INDEX(Input!$1:$1048576,AG$93,$C379*2+MIN($B379,2)+5)
+INDEX(Scenarios!AG$121:AG$200,MATCH($B379,Scenarios!$B$121:$B$200,0))</f>
        <v>500</v>
      </c>
      <c r="AH379" s="476">
        <f>INDEX(Input!$1:$1048576,AH$93,$C379*2+MIN($B379,2)+5)</f>
        <v>1</v>
      </c>
      <c r="AI379" s="475">
        <f>INDEX(Input!$1:$1048576,AI$93,$C379*2+MIN($B379,2)+5)
+INDEX(Scenarios!AI$121:AI$200,MATCH($B379,Scenarios!$B$121:$B$200,0))</f>
        <v>0</v>
      </c>
      <c r="AJ379" s="476">
        <f>INDEX(Input!$1:$1048576,AJ$93,$C379*2+MIN($B379,2)+5)</f>
        <v>0.27</v>
      </c>
      <c r="AK379" s="150">
        <f>ROUND(INDEX(Input!$1:$1048576,AK$93,$C378*2+MIN($B379,1)+5)+(Y379-VLOOKUP($C379*1000+1,$A:$HH,Y$92,FALSE)),0)</f>
        <v>2617</v>
      </c>
      <c r="AL379" s="150">
        <f>ROUND(INDEX(Input!$1:$1048576,AL$93,$C378*2+MIN($B379,1)+5)-(Y379-VLOOKUP($C379*1000+1,$A:$HH,Y$92,FALSE))/36,0)</f>
        <v>3405</v>
      </c>
      <c r="AM379" s="32" t="str">
        <f t="shared" si="1047"/>
        <v>std/std/std/std</v>
      </c>
      <c r="AN379" s="32" t="str">
        <f t="shared" si="1048"/>
        <v>$0 + 0/0/0.9/2.9/3.9</v>
      </c>
      <c r="AO379" s="32" t="str">
        <f t="shared" si="1049"/>
        <v>0/0/0.9/2.9/3.9</v>
      </c>
      <c r="AP379" s="32" t="str">
        <f t="shared" si="993"/>
        <v>0.9/1.9/2.9/3.9</v>
      </c>
      <c r="AQ379" s="536">
        <f t="shared" si="992"/>
        <v>0.35683018395647126</v>
      </c>
      <c r="AR379" s="32"/>
      <c r="AS379" s="302"/>
      <c r="AT379" s="3">
        <f t="shared" si="1066"/>
        <v>79</v>
      </c>
      <c r="AU379" s="41" t="s">
        <v>121</v>
      </c>
      <c r="AV379" s="41" t="s">
        <v>116</v>
      </c>
      <c r="AW379" s="41" t="str">
        <f>INDEX(Input!$1:$1048576,AW$93,$C379*2+6)</f>
        <v>Kia</v>
      </c>
      <c r="AX379" s="41" t="str">
        <f>INDEX(Input!$1:$1048576,AX$93,$C379*2+6)</f>
        <v>Kia-LR - L3</v>
      </c>
      <c r="AY379" s="41" t="str">
        <f>IF(LEN(D379)=0,"",INDEX(Input!$1:$1048576,AY$93,$C379*2+6))</f>
        <v>Compact SUV (52)</v>
      </c>
      <c r="AZ379" s="41" t="str">
        <f>INDEX(Input!$1:$1048576,AZ$93,$C379*2+6)</f>
        <v>Kia Soul</v>
      </c>
      <c r="BA379" s="3">
        <f>INDEX(Input!$1:$1048576,BA$93,$C379*2+6)</f>
        <v>2020</v>
      </c>
      <c r="BB379" s="128">
        <f>INDEX(Input!$1:$1048576,BB$93,$C379*2+6)</f>
        <v>1</v>
      </c>
      <c r="BC379" s="128">
        <f>INDEX(Input!$1:$1048576,BC$93,$C379*2+6)</f>
        <v>0.7</v>
      </c>
      <c r="BD379" s="1">
        <f>INDEX(Input!$1:$1048576,BD$93,$C379*2+6)</f>
        <v>4.4999999999999998E-2</v>
      </c>
      <c r="BE379" s="1">
        <f>INDEX(Input!$1:$1048576,BE$93,$C379*2+6)</f>
        <v>4.4999999999999998E-2</v>
      </c>
      <c r="BF379" s="1">
        <f>INDEX(Input!$1:$1048576,BF$93,$C379*2+6)</f>
        <v>0.05</v>
      </c>
      <c r="BG379" s="1">
        <f>INDEX(Input!$1:$1048576,BG$93,$C379*2+6)</f>
        <v>5.45E-2</v>
      </c>
      <c r="BH379" s="1">
        <f>INDEX(Input!$1:$1048576,BH$93,$C379*2+6)</f>
        <v>5.45E-2</v>
      </c>
      <c r="BI379" s="1">
        <f>INDEX(Input!$1:$1048576,BI$93,$C379*2+6)</f>
        <v>0.05</v>
      </c>
      <c r="BJ379" s="1">
        <f>INDEX(Input!$1:$1048576,BJ$93,$C379*2+6)</f>
        <v>0.05</v>
      </c>
      <c r="BK379" s="1">
        <f>INDEX(Input!$1:$1048576,BK$93,$C379*2+6)</f>
        <v>0.05</v>
      </c>
      <c r="BL379" s="1">
        <f>INDEX(Input!$1:$1048576,BL$93,$C379*2+6)</f>
        <v>5.5E-2</v>
      </c>
      <c r="BM379" s="1">
        <f>INDEX(Input!$1:$1048576,BM$93,$C379*2+6)</f>
        <v>0.06</v>
      </c>
      <c r="BN379" s="1">
        <f>INDEX(Input!$1:$1048576,BN$93,$C379*2+6)</f>
        <v>4.4999999999999998E-2</v>
      </c>
      <c r="BO379" s="1">
        <f>INDEX(Input!$1:$1048576,BO$93,$C379*2+6)</f>
        <v>4.4999999999999998E-2</v>
      </c>
      <c r="BP379" s="1">
        <f>INDEX(Input!$1:$1048576,BP$93,$C379*2+6)</f>
        <v>0.05</v>
      </c>
      <c r="BQ379" s="1">
        <f>INDEX(Input!$1:$1048576,BQ$93,$C379*2+6)</f>
        <v>5.45E-2</v>
      </c>
      <c r="BR379" s="1">
        <f>INDEX(Input!$1:$1048576,BR$93,$C379*2+6)</f>
        <v>5.45E-2</v>
      </c>
      <c r="BS379" s="1">
        <f>INDEX(Input!$1:$1048576,BS$93,$C379*2+6)</f>
        <v>0.05</v>
      </c>
      <c r="BT379" s="1">
        <f>INDEX(Input!$1:$1048576,BT$93,$C379*2+6)</f>
        <v>0.05</v>
      </c>
      <c r="BU379" s="1">
        <f>INDEX(Input!$1:$1048576,BU$93,$C379*2+6)</f>
        <v>0.05</v>
      </c>
      <c r="BV379" s="1">
        <f>INDEX(Input!$1:$1048576,BV$93,$C379*2+6)</f>
        <v>5.5E-2</v>
      </c>
      <c r="BW379" s="1">
        <f>INDEX(Input!$1:$1048576,BW$93,$C379*2+6)</f>
        <v>0.06</v>
      </c>
      <c r="BX379" s="127">
        <f>INDEX(Input!$1:$1048576,BX$93,$C379*2+6)</f>
        <v>19985</v>
      </c>
      <c r="BY379" s="20">
        <f>INDEX(Input!$1:$1048576,BY$93,$C379*2+6)</f>
        <v>0.1</v>
      </c>
      <c r="BZ379" s="20">
        <f>INDEX(Input!$1:$1048576,BZ$93,$C379*2+6)</f>
        <v>0.1</v>
      </c>
      <c r="CA379" s="20">
        <f>INDEX(Input!$1:$1048576,CA$93,$C379*2+6)</f>
        <v>0.1</v>
      </c>
      <c r="CB379" s="20">
        <f>INDEX(Input!$1:$1048576,CB$93,$C379*2+6)</f>
        <v>0.1</v>
      </c>
      <c r="CC379" s="20">
        <f>INDEX(Input!$1:$1048576,CC$93,$C379*2+6)</f>
        <v>0.1</v>
      </c>
      <c r="CD379" s="384">
        <f>INDEX(Input!$1:$1048576,CD$93,$C379*2+6)</f>
        <v>0.1</v>
      </c>
      <c r="CE379" s="384">
        <f>INDEX(Input!$1:$1048576,CE$93,$C379*2+6)</f>
        <v>0.1</v>
      </c>
      <c r="CF379" s="384">
        <f>INDEX(Input!$1:$1048576,CF$93,$C379*2+6)</f>
        <v>0.1</v>
      </c>
      <c r="CG379" s="384">
        <f>INDEX(Input!$1:$1048576,CG$93,$C379*2+6)</f>
        <v>0.1</v>
      </c>
      <c r="CH379" s="384">
        <f>INDEX(Input!$1:$1048576,CH$93,$C379*2+6)</f>
        <v>0.1</v>
      </c>
      <c r="CI379" s="304">
        <f t="shared" si="994"/>
        <v>1287.0236024844721</v>
      </c>
      <c r="CJ379" s="16" t="str">
        <f>INDEX(Input!$1:$1048576,CJ$93,$C379*2+6)</f>
        <v>N</v>
      </c>
      <c r="CK379" s="1" t="str">
        <f t="shared" si="995"/>
        <v>Market</v>
      </c>
      <c r="CL379" s="1" t="str">
        <f t="shared" si="996"/>
        <v>Market</v>
      </c>
      <c r="CM379" s="1" t="str">
        <f t="shared" si="997"/>
        <v>Market</v>
      </c>
      <c r="CN379" s="1" t="str">
        <f t="shared" si="998"/>
        <v>Market</v>
      </c>
      <c r="CO379" s="1" t="str">
        <f t="shared" si="999"/>
        <v>Market</v>
      </c>
      <c r="CP379" s="304">
        <f t="shared" si="1000"/>
        <v>500</v>
      </c>
      <c r="CQ379" s="1">
        <f t="shared" si="1001"/>
        <v>0</v>
      </c>
      <c r="CR379" s="1">
        <f t="shared" si="1002"/>
        <v>0</v>
      </c>
      <c r="CS379" s="1">
        <f t="shared" si="1003"/>
        <v>9.0000000000000011E-3</v>
      </c>
      <c r="CT379" s="1">
        <f t="shared" si="1004"/>
        <v>2.8999999999999998E-2</v>
      </c>
      <c r="CU379" s="1">
        <f t="shared" si="1005"/>
        <v>3.9E-2</v>
      </c>
      <c r="CV379" s="304">
        <f t="shared" si="1006"/>
        <v>1194.9999999999991</v>
      </c>
      <c r="CW379" s="20" t="s">
        <v>122</v>
      </c>
      <c r="CX379" s="20" t="s">
        <v>122</v>
      </c>
      <c r="CY379" s="20" t="s">
        <v>122</v>
      </c>
      <c r="CZ379" s="20" t="s">
        <v>122</v>
      </c>
      <c r="DA379" s="20" t="s">
        <v>122</v>
      </c>
      <c r="DB379" s="503">
        <f t="shared" si="1007"/>
        <v>0</v>
      </c>
      <c r="DC379" s="127">
        <v>0</v>
      </c>
      <c r="DD379" s="127">
        <v>0</v>
      </c>
      <c r="DE379" s="127">
        <v>0</v>
      </c>
      <c r="DF379" s="127">
        <v>0</v>
      </c>
      <c r="DG379" s="127">
        <v>0</v>
      </c>
      <c r="DH379" s="127">
        <v>0</v>
      </c>
      <c r="DI379" s="127">
        <v>0</v>
      </c>
      <c r="DJ379" s="127">
        <v>0</v>
      </c>
      <c r="DK379" s="127">
        <v>0</v>
      </c>
      <c r="DL379" s="127">
        <v>0</v>
      </c>
      <c r="DM379" s="304">
        <f>INDEX(Input!$1:$1048576,DM$93,$C379*2+6)</f>
        <v>21036.84210526316</v>
      </c>
      <c r="DN379" s="20">
        <v>0</v>
      </c>
      <c r="DO379" s="20">
        <v>0</v>
      </c>
      <c r="DP379" s="20">
        <v>0</v>
      </c>
      <c r="DQ379" s="20">
        <v>0</v>
      </c>
      <c r="DR379" s="20">
        <v>0</v>
      </c>
      <c r="DS379" s="20">
        <f>INDEX(Input!$1:$1048576,DS$93,$C379*2+6)</f>
        <v>0.6</v>
      </c>
      <c r="DT379" s="20">
        <f>INDEX(Input!$1:$1048576,DT$93,$C379*2+6)</f>
        <v>0.55000000000000004</v>
      </c>
      <c r="DU379" s="20">
        <f>INDEX(Input!$1:$1048576,DU$93,$C379*2+6)</f>
        <v>0.52</v>
      </c>
      <c r="DV379" s="20">
        <f>INDEX(Input!$1:$1048576,DV$93,$C379*2+6)</f>
        <v>0.5</v>
      </c>
      <c r="DW379" s="20">
        <f>INDEX(Input!$1:$1048576,DW$93,$C379*2+6)</f>
        <v>0.45</v>
      </c>
      <c r="DX379" s="20"/>
      <c r="DY379" s="7">
        <v>0.1051516033964235</v>
      </c>
      <c r="DZ379" s="7">
        <v>0</v>
      </c>
      <c r="EA379" s="7">
        <v>0.72219917012598867</v>
      </c>
      <c r="EB379" s="7">
        <v>0</v>
      </c>
      <c r="EC379" s="7">
        <v>0</v>
      </c>
      <c r="ED379" s="7">
        <v>0</v>
      </c>
      <c r="EE379" s="7">
        <v>0</v>
      </c>
      <c r="EF379" s="7">
        <v>0</v>
      </c>
      <c r="EG379" s="7">
        <v>0</v>
      </c>
      <c r="EH379" s="7">
        <v>1.6274550658301634E-2</v>
      </c>
      <c r="EI379" s="7">
        <v>4.5579722306683799E-2</v>
      </c>
      <c r="EJ379" s="7">
        <v>0.26774805652385586</v>
      </c>
      <c r="EK379" s="7">
        <v>0.4789105801078653</v>
      </c>
      <c r="EL379" s="7">
        <v>0.19148709040329345</v>
      </c>
      <c r="EM379" s="7">
        <v>3.8178450923715891E-2</v>
      </c>
      <c r="EN379" s="7">
        <v>6.1216702952266416E-2</v>
      </c>
      <c r="EO379" s="7">
        <v>0.76998986278228909</v>
      </c>
      <c r="EP379" s="7">
        <v>6.9510106973787553E-2</v>
      </c>
      <c r="EQ379" s="7">
        <v>6.5246036496485096E-2</v>
      </c>
      <c r="ER379" s="7">
        <v>3.4037290795171739E-2</v>
      </c>
      <c r="ES379" s="7">
        <v>0.13447077555387191</v>
      </c>
      <c r="ET379" s="7">
        <v>0.17264922647758787</v>
      </c>
      <c r="EU379" s="6">
        <v>1611</v>
      </c>
      <c r="EV379" s="6">
        <v>0</v>
      </c>
      <c r="EW379" s="6">
        <v>1611</v>
      </c>
      <c r="EX379" s="6">
        <v>0</v>
      </c>
      <c r="EY379" s="6">
        <v>1954.5673147700923</v>
      </c>
      <c r="EZ379" s="6">
        <v>1929</v>
      </c>
      <c r="FA379" s="6">
        <v>0</v>
      </c>
      <c r="FB379" s="6">
        <v>0</v>
      </c>
      <c r="FC379" s="6">
        <v>0</v>
      </c>
      <c r="FD379" s="6">
        <v>0</v>
      </c>
      <c r="FE379" s="6">
        <v>0</v>
      </c>
      <c r="FF379" s="6">
        <v>0</v>
      </c>
      <c r="FG379" s="6">
        <v>0</v>
      </c>
      <c r="FH379" s="6">
        <v>1172.015150819431</v>
      </c>
      <c r="FI379" s="6">
        <v>1553.9796069512399</v>
      </c>
      <c r="FJ379" s="6">
        <v>1735.1562230702793</v>
      </c>
      <c r="FK379" s="6">
        <v>1284.968747058685</v>
      </c>
      <c r="FL379" s="6">
        <v>907.07682140966335</v>
      </c>
      <c r="FM379" s="6">
        <v>1343.5673147700923</v>
      </c>
      <c r="FN379" s="6">
        <v>0</v>
      </c>
      <c r="FO379" s="6">
        <v>0</v>
      </c>
      <c r="FP379" s="6">
        <v>0</v>
      </c>
      <c r="FQ379" s="6">
        <v>0</v>
      </c>
      <c r="FR379" s="6">
        <v>0</v>
      </c>
      <c r="FS379" s="6">
        <v>0</v>
      </c>
      <c r="FT379" s="7">
        <v>0.82735077352241215</v>
      </c>
      <c r="FU379" s="7">
        <v>3.8178450923715891E-2</v>
      </c>
      <c r="FV379" s="7">
        <v>0.13447077555387191</v>
      </c>
      <c r="FW379" s="6">
        <v>1611.0000000000002</v>
      </c>
      <c r="FX379" s="6">
        <v>1954.5673147700923</v>
      </c>
      <c r="FY379" s="6">
        <v>1929</v>
      </c>
      <c r="FZ379" s="6">
        <v>1858.9243755539039</v>
      </c>
      <c r="GA379" s="6">
        <v>1666.8785744920742</v>
      </c>
      <c r="GB379" s="6">
        <v>18318.121425507925</v>
      </c>
      <c r="GC379" s="7">
        <v>2.9156573141622111E-2</v>
      </c>
      <c r="GD379" s="7">
        <v>2.9146069524633361E-2</v>
      </c>
      <c r="GE379" s="7"/>
      <c r="GF379" s="7"/>
      <c r="GG379" s="7">
        <v>-3.6024868003969776E-4</v>
      </c>
      <c r="GH379" s="42">
        <v>3.7488816890484562E-2</v>
      </c>
      <c r="GI379" s="6">
        <v>534759.18869945139</v>
      </c>
      <c r="GJ379" s="14">
        <v>0.50394797582841733</v>
      </c>
      <c r="GK379" s="14">
        <v>0.50887573065309744</v>
      </c>
      <c r="GL379" s="14">
        <v>0.49605202417158273</v>
      </c>
      <c r="GM379" s="14">
        <v>0.49112426934690251</v>
      </c>
      <c r="GO379" s="5">
        <v>343.14810671672558</v>
      </c>
      <c r="GP379" s="5">
        <v>312.41330006058649</v>
      </c>
      <c r="GQ379" s="5">
        <v>535.04305713031317</v>
      </c>
      <c r="GR379" s="5">
        <v>410.15490233172511</v>
      </c>
      <c r="GS379" s="5">
        <v>339.42744393800166</v>
      </c>
      <c r="GT379" s="5">
        <v>293.4407446948278</v>
      </c>
      <c r="GU379" s="5">
        <v>258.04012322764959</v>
      </c>
      <c r="GV379" s="39" t="s">
        <v>392</v>
      </c>
      <c r="GW379" s="5">
        <v>482.65277777777777</v>
      </c>
      <c r="GX379" s="5">
        <v>361.98958333333331</v>
      </c>
      <c r="GY379" s="5">
        <v>296.26491110195894</v>
      </c>
      <c r="GZ379" s="5">
        <v>263.22109617794104</v>
      </c>
      <c r="HA379" s="5">
        <v>236.70336205047303</v>
      </c>
      <c r="HB379" s="39">
        <v>275.06370188725077</v>
      </c>
      <c r="HC379" s="5">
        <v>202.890625</v>
      </c>
      <c r="HD379" s="5">
        <v>182.20330774853798</v>
      </c>
      <c r="HE379" s="5">
        <v>187.48257844129552</v>
      </c>
      <c r="HF379" s="5">
        <v>176.30063048245611</v>
      </c>
      <c r="HG379" s="5">
        <v>173.65888157894736</v>
      </c>
      <c r="HH379" s="39">
        <v>183.16072435965518</v>
      </c>
      <c r="HI379" s="16"/>
      <c r="HJ379" s="19" t="str">
        <f t="shared" ref="HJ379:HK379" si="1104">HJ378</f>
        <v>On</v>
      </c>
      <c r="HK379" s="1" t="str">
        <f t="shared" si="1104"/>
        <v>On</v>
      </c>
      <c r="HL379" s="16"/>
      <c r="HM379" s="639">
        <f t="shared" si="1023"/>
        <v>2.2758057894877178E-2</v>
      </c>
      <c r="HN379" s="639">
        <f t="shared" si="1024"/>
        <v>1.416759231746561E-3</v>
      </c>
      <c r="HO379" s="639">
        <f t="shared" si="1025"/>
        <v>4.5732401537654987E-3</v>
      </c>
      <c r="HP379" s="644">
        <f>(FT379*$GD379-HM379)/$JF379*INDEX(Input!$1:$1048576,$JG$93,$C379*2+6)</f>
        <v>75.939186629834296</v>
      </c>
      <c r="HQ379" s="644">
        <f>(FU379*$GD379-HN379)/$JF379*INDEX(Input!$1:$1048576,$JG$93,$C379*2+6)</f>
        <v>-17.025567485964054</v>
      </c>
      <c r="HR379" s="644">
        <f>(FV379*$GD379-HO379)/$JF379*INDEX(Input!$1:$1048576,$JG$93,$C379*2+6)</f>
        <v>-36.62342725427191</v>
      </c>
      <c r="HS379" s="644">
        <f t="shared" si="1014"/>
        <v>-18.211567991177027</v>
      </c>
      <c r="HT379" s="644">
        <f t="shared" si="1094"/>
        <v>-24.953470363300926</v>
      </c>
      <c r="HU379" s="644">
        <f t="shared" si="1027"/>
        <v>-0.8973518539970311</v>
      </c>
      <c r="HV379" s="648">
        <f t="shared" si="1028"/>
        <v>0</v>
      </c>
      <c r="HW379" s="648">
        <f t="shared" si="1029"/>
        <v>0</v>
      </c>
      <c r="HX379" s="648">
        <f t="shared" si="1030"/>
        <v>0</v>
      </c>
      <c r="HY379" s="644">
        <f>INDEX(Input!$1:$1048576,HY$93,$C379*2+6)*INDEX(Input!$1:$1048576,$JG$93,$C379*2+6)</f>
        <v>509.00000000000006</v>
      </c>
      <c r="HZ379" s="644">
        <f>INDEX(Input!$1:$1048576,HZ$93,$C379*2+6)*INDEX(Input!$1:$1048576,$JG$93,$C379*2+6)</f>
        <v>844</v>
      </c>
      <c r="IA379" s="644">
        <f>INDEX(Input!$1:$1048576,IA$93,$C379*2+6)*INDEX(Input!$1:$1048576,$JG$93,$C379*2+6)</f>
        <v>257</v>
      </c>
      <c r="IB379" s="644">
        <f t="shared" si="1051"/>
        <v>566.72761863865719</v>
      </c>
      <c r="IC379" s="644">
        <f t="shared" si="1052"/>
        <v>802.02096215073504</v>
      </c>
      <c r="ID379" s="644">
        <f>IF(AND(INDEX(Input!$1:$1048576,IA$93,$C379*2+7)="TOS",Y379&lt;=INDEX(Y:Y,MATCH(C379*1000+2,A:A))),0,1)*MAX(IA379+HR379+HU379+HX379,0%)</f>
        <v>219.47922089173105</v>
      </c>
      <c r="IE379" s="128">
        <f t="shared" si="1095"/>
        <v>0.35683018395647126</v>
      </c>
      <c r="IF379" s="128">
        <f t="shared" si="1096"/>
        <v>0.50497854357026362</v>
      </c>
      <c r="IG379" s="128">
        <f t="shared" si="1087"/>
        <v>0.13819127247326515</v>
      </c>
      <c r="IH379" s="21"/>
      <c r="II379" s="19">
        <f t="shared" si="1032"/>
        <v>1410.4999999999998</v>
      </c>
      <c r="IJ379" s="19">
        <f t="shared" si="1033"/>
        <v>2134.9731585778086</v>
      </c>
      <c r="IK379" s="19">
        <f t="shared" si="1034"/>
        <v>2103.5</v>
      </c>
      <c r="IL379" s="19">
        <f t="shared" si="1053"/>
        <v>200.50000000000045</v>
      </c>
      <c r="IM379" s="19">
        <f t="shared" si="1035"/>
        <v>-180.40584380771634</v>
      </c>
      <c r="IN379" s="19">
        <f t="shared" si="1036"/>
        <v>-174.5</v>
      </c>
      <c r="IO379" s="39">
        <f t="shared" si="1037"/>
        <v>0</v>
      </c>
      <c r="IP379" s="39">
        <f t="shared" si="1038"/>
        <v>0</v>
      </c>
      <c r="IQ379" s="39">
        <f t="shared" si="1039"/>
        <v>0</v>
      </c>
      <c r="IR379" s="39">
        <v>0</v>
      </c>
      <c r="IS379" s="39">
        <v>0</v>
      </c>
      <c r="IT379" s="39">
        <v>0</v>
      </c>
      <c r="IU379" s="39">
        <v>0</v>
      </c>
      <c r="IV379" s="39">
        <v>0</v>
      </c>
      <c r="IW379" s="39">
        <v>0</v>
      </c>
      <c r="IX379" s="39">
        <f>INDEX(Input!$1:$1048576,IX$93,$C379*2+6)+INDEX(Input!$1:$1048576,IX$94,$C379*2+6)</f>
        <v>1611</v>
      </c>
      <c r="IY379" s="39">
        <f>INDEX(Input!$1:$1048576,IY$93,$C379*2+6)+INDEX(Input!$1:$1048576,IY$94,$C379*2+6)</f>
        <v>2471.0624533823611</v>
      </c>
      <c r="IZ379" s="39">
        <f>INDEX(Input!$1:$1048576,IZ$93,$C379*2+6)+INDEX(Input!$1:$1048576,IZ$94,$C379*2+6)</f>
        <v>3994.7164157747857</v>
      </c>
      <c r="JA379" s="19">
        <f t="shared" si="1054"/>
        <v>1811.5000000000005</v>
      </c>
      <c r="JB379" s="19">
        <f t="shared" si="1055"/>
        <v>2290.6566095746448</v>
      </c>
      <c r="JC379" s="19">
        <f t="shared" si="1056"/>
        <v>3820.2164157747857</v>
      </c>
      <c r="JD379" s="19">
        <f t="shared" si="1057"/>
        <v>2331.0508843789235</v>
      </c>
      <c r="JE379" s="21"/>
      <c r="JF379" s="1">
        <f t="shared" si="1040"/>
        <v>2.8748057280389237E-2</v>
      </c>
      <c r="JG379" s="15">
        <f>INDEX(Input!$1:$1048576,JG$93,$C379*2+6)/(1+VLOOKUP(C379*1000+INDEX(Input!$1:$1048576,JG$93+1,$C379*2+6),$A:$KK,$JK$92,FALSE))</f>
        <v>1610</v>
      </c>
      <c r="JH379" s="1">
        <f t="shared" si="1058"/>
        <v>1.3844839682980331E-2</v>
      </c>
      <c r="JI379" s="1">
        <f t="shared" si="1059"/>
        <v>-2.7367944228866452E-2</v>
      </c>
      <c r="JJ379" s="1">
        <f t="shared" si="1097"/>
        <v>0</v>
      </c>
      <c r="JK379" s="1">
        <f t="shared" si="1098"/>
        <v>-1.352310454588612E-2</v>
      </c>
      <c r="JL379" s="15">
        <f t="shared" si="1060"/>
        <v>-21.772198318876654</v>
      </c>
      <c r="JM379" s="15">
        <f t="shared" si="1079"/>
        <v>1588.2278016811233</v>
      </c>
      <c r="JN379" s="21"/>
      <c r="JO379" s="19">
        <f>INDEX(Input!$1:$1048576,JO$93,$C379*2+6)</f>
        <v>5995.5</v>
      </c>
      <c r="JP379" s="19">
        <f>INDEX(Input!$1:$1048576,JP$93,$C379*2+6)</f>
        <v>2442.3713226762939</v>
      </c>
      <c r="JQ379" s="39">
        <f t="shared" si="1068"/>
        <v>3664.4491156210765</v>
      </c>
      <c r="JR379" s="39">
        <f t="shared" si="1082"/>
        <v>-111.3204382973704</v>
      </c>
      <c r="JS379" s="39">
        <f t="shared" si="1069"/>
        <v>3.702239821703976</v>
      </c>
      <c r="JT379" s="39">
        <f t="shared" si="1061"/>
        <v>-0.22997800780485711</v>
      </c>
      <c r="JU379" s="385">
        <f>(JQ379*JM379-INDEX(Input!$1:$1048576,Input!A$18,$C379*2+6)*JL379*INDEX(Input!$1:$1048576,Input!A$19,$C379*2+6))/1000000</f>
        <v>5.8199799632751992</v>
      </c>
      <c r="JV379" s="39">
        <f t="shared" si="1103"/>
        <v>9.9442792784032008E-2</v>
      </c>
      <c r="JW379" s="1">
        <f t="shared" si="1080"/>
        <v>1.7383471135717456E-2</v>
      </c>
      <c r="JX379" s="19">
        <f t="shared" si="1073"/>
        <v>10562.920860658545</v>
      </c>
      <c r="JZ379" s="341"/>
      <c r="KA379" s="342"/>
      <c r="KB379" s="469">
        <f t="shared" si="1070"/>
        <v>2.5190675447988795</v>
      </c>
      <c r="KI379" s="473">
        <f t="shared" si="1099"/>
        <v>57.727618638657134</v>
      </c>
      <c r="KJ379" s="473">
        <f t="shared" si="1100"/>
        <v>-41.979037849264841</v>
      </c>
      <c r="KK379" s="473">
        <f t="shared" si="1092"/>
        <v>-37.520779108268954</v>
      </c>
      <c r="KN379" s="544">
        <f t="shared" si="1074"/>
        <v>3002</v>
      </c>
      <c r="KO379" s="541">
        <f t="shared" si="1041"/>
        <v>-4.273536794230437E-2</v>
      </c>
      <c r="KP379" s="546">
        <f t="shared" si="1042"/>
        <v>-242.1226796843107</v>
      </c>
      <c r="KQ379" s="546">
        <f t="shared" si="1043"/>
        <v>-304.86254100977476</v>
      </c>
      <c r="KR379" s="548">
        <f t="shared" si="1044"/>
        <v>3.0621650115371253</v>
      </c>
      <c r="KS379" s="548">
        <f t="shared" si="1045"/>
        <v>2.4319799860394617</v>
      </c>
      <c r="KT379" s="473">
        <f t="shared" si="1071"/>
        <v>1026.1618045255443</v>
      </c>
      <c r="KU379" s="663">
        <f t="shared" si="1063"/>
        <v>4.696033348289359</v>
      </c>
    </row>
    <row r="380" spans="1:307" s="26" customFormat="1" ht="15" outlineLevel="1">
      <c r="A380" s="561">
        <f t="shared" si="1046"/>
        <v>3080</v>
      </c>
      <c r="B380" s="561">
        <f t="shared" si="1064"/>
        <v>80</v>
      </c>
      <c r="C380" s="561">
        <f t="shared" si="1065"/>
        <v>3</v>
      </c>
      <c r="D380" s="561" t="str">
        <f t="shared" si="974"/>
        <v xml:space="preserve">0.9/1.9/2.9/3.9, -360 Lease, </v>
      </c>
      <c r="E380" s="475">
        <f>INDEX(Input!$1:$1048576,E$93,$C380*2+MIN($B380,2)+5)
+INDEX(Scenarios!E$121:E$200,MATCH($B380,Scenarios!$B$121:$B$200,0))</f>
        <v>1287.0236024844721</v>
      </c>
      <c r="F380" s="475">
        <f>INDEX(Input!$1:$1048576,F$93,$C380*2+MIN($B380,2)+5)
+INDEX(Scenarios!F$121:F$200,MATCH($B380,Scenarios!$B$121:$B$200,0))</f>
        <v>0</v>
      </c>
      <c r="G380" s="475">
        <f>INDEX(Input!$1:$1048576,G$93,$C380*2+MIN($B380,2)+5)
+INDEX(Scenarios!G$121:G$200,MATCH($B380,Scenarios!$B$121:$B$200,0))</f>
        <v>0</v>
      </c>
      <c r="H380" s="475">
        <f>INDEX(Input!$1:$1048576,H$93,$C380*2+MIN($B380,2)+5)
+INDEX(Scenarios!H$121:H$200,MATCH($B380,Scenarios!$B$121:$B$200,0))</f>
        <v>0</v>
      </c>
      <c r="I380" s="476">
        <f>INDEX(Input!$1:$1048576,I$93,$C380*2+MIN($B380,2)+5)</f>
        <v>0.7</v>
      </c>
      <c r="J380" s="476" t="str">
        <f>INDEX(Input!$1:$1048576,J$93,$C380*2+MIN($B380,2)+5)</f>
        <v>Market</v>
      </c>
      <c r="K380" s="476" t="str">
        <f>INDEX(Input!$1:$1048576,K$93,$C380*2+MIN($B380,2)+5)</f>
        <v>Market</v>
      </c>
      <c r="L380" s="476" t="str">
        <f>INDEX(Input!$1:$1048576,L$93,$C380*2+MIN($B380,2)+5)</f>
        <v>Market</v>
      </c>
      <c r="M380" s="476" t="str">
        <f>INDEX(Input!$1:$1048576,M$93,$C380*2+MIN($B380,2)+5)</f>
        <v>Market</v>
      </c>
      <c r="N380" s="476" t="str">
        <f>INDEX(Input!$1:$1048576,N$93,$C380*2+MIN($B380,2)+5)</f>
        <v>Market</v>
      </c>
      <c r="O380" s="476" t="str">
        <f>INDEX(Input!$1:$1048576,O$93,$C380*2+MIN($B380,2)+5)</f>
        <v>Market</v>
      </c>
      <c r="P380" s="476" t="str">
        <f>INDEX(Input!$1:$1048576,P$93,$C380*2+MIN($B380,2)+5)</f>
        <v>N</v>
      </c>
      <c r="Q380" s="477">
        <f>INDEX(Input!$1:$1048576,Q$93,$C380*2+MIN($B380,2)+5)
+INDEX(Scenarios!Q$121:Q$200,MATCH($B380,Scenarios!$B$121:$B$200,0))</f>
        <v>0</v>
      </c>
      <c r="R380" s="478">
        <f>IFERROR(MAX(0,INDEX(Input!$1:$1048576,R$93,$C380*2+MIN($B380,2)+5)
+INDEX(Scenarios!R$121:R$200,MATCH($B380,Scenarios!$B$121:$B$200,0)),),"Market")</f>
        <v>0</v>
      </c>
      <c r="S380" s="478">
        <f>IFERROR(MAX(0,INDEX(Input!$1:$1048576,S$93,$C380*2+MIN($B380,2)+5)
+INDEX(Scenarios!S$121:S$200,MATCH($B380,Scenarios!$B$121:$B$200,0)),),"Market")</f>
        <v>0</v>
      </c>
      <c r="T380" s="478">
        <f>IFERROR(MAX(0,INDEX(Input!$1:$1048576,T$93,$C380*2+MIN($B380,2)+5)
+INDEX(Scenarios!T$121:T$200,MATCH($B380,Scenarios!$B$121:$B$200,0)),),"Market")</f>
        <v>0</v>
      </c>
      <c r="U380" s="478">
        <f>IFERROR(MAX(0,INDEX(Input!$1:$1048576,U$93,$C380*2+MIN($B380,2)+5)
+INDEX(Scenarios!U$121:U$200,MATCH($B380,Scenarios!$B$121:$B$200,0)),),"Market")</f>
        <v>9.0000000000000011E-3</v>
      </c>
      <c r="V380" s="478">
        <f>IFERROR(MAX(0,INDEX(Input!$1:$1048576,V$93,$C380*2+MIN($B380,2)+5)
+INDEX(Scenarios!V$121:V$200,MATCH($B380,Scenarios!$B$121:$B$200,0)),),"Market")</f>
        <v>2.8999999999999998E-2</v>
      </c>
      <c r="W380" s="885">
        <f>IFERROR(MAX(0,INDEX(Input!$1:$1048576,W$93,$C380*2+MIN($B380,2)+5)-0%,),"Market")</f>
        <v>3.9E-2</v>
      </c>
      <c r="X380" s="476" t="str">
        <f>INDEX(Input!$1:$1048576,X$93,$C380*2+MIN($B380,2)+5)</f>
        <v>Y</v>
      </c>
      <c r="Y380" s="475">
        <f>INDEX(Input!$1:$1048576,Y$93,$C380*2+MIN($B380,2)+5)
++INDEX(Scenarios!Y$121:Y$200,MATCH($B380,Scenarios!$B$121:$B$200,0))</f>
        <v>1194.9999999999991</v>
      </c>
      <c r="Z380" s="477">
        <f>INDEX(Input!$1:$1048576,Z$93,$C380*2+MIN($B380,2)+5)
+INDEX(Scenarios!Z$121:Z$200,MATCH($B380,Scenarios!$B$121:$B$200,0))</f>
        <v>0</v>
      </c>
      <c r="AA380" s="475">
        <f>INDEX(Input!$1:$1048576,AA$93,$C380*2+MIN($B380,2)+5)
+INDEX(Scenarios!AA$121:AA$200,MATCH($B380,Scenarios!$B$121:$B$200,0))</f>
        <v>0</v>
      </c>
      <c r="AB380" s="476">
        <f>INDEX(Input!$1:$1048576,AB$93,$C380*2+MIN($B380,2)+5)</f>
        <v>0.27</v>
      </c>
      <c r="AC380" s="475">
        <f>INDEX(Input!$1:$1048576,AC$93,$C380*2+MIN($B380,2)+5)
+INDEX(Scenarios!AC$121:AC$200,MATCH($B380,Scenarios!$B$121:$B$200,0))</f>
        <v>0</v>
      </c>
      <c r="AD380" s="476">
        <f>INDEX(Input!$1:$1048576,AD$93,$C380*2+MIN($B380,2)+5)</f>
        <v>0.27</v>
      </c>
      <c r="AE380" s="475">
        <f>INDEX(Input!$1:$1048576,AE$93,$C380*2+MIN($B380,2)+5)
+INDEX(Scenarios!AE$121:AE$200,MATCH($B380,Scenarios!$B$121:$B$200,0))</f>
        <v>0</v>
      </c>
      <c r="AF380" s="476">
        <f>INDEX(Input!$1:$1048576,AF$93,$C380*2+MIN($B380,2)+5)</f>
        <v>0.68200000000000005</v>
      </c>
      <c r="AG380" s="475">
        <f>INDEX(Input!$1:$1048576,AG$93,$C380*2+MIN($B380,2)+5)
+INDEX(Scenarios!AG$121:AG$200,MATCH($B380,Scenarios!$B$121:$B$200,0))</f>
        <v>500</v>
      </c>
      <c r="AH380" s="476">
        <f>INDEX(Input!$1:$1048576,AH$93,$C380*2+MIN($B380,2)+5)</f>
        <v>1</v>
      </c>
      <c r="AI380" s="475">
        <f>INDEX(Input!$1:$1048576,AI$93,$C380*2+MIN($B380,2)+5)
+INDEX(Scenarios!AI$121:AI$200,MATCH($B380,Scenarios!$B$121:$B$200,0))</f>
        <v>0</v>
      </c>
      <c r="AJ380" s="476">
        <f>INDEX(Input!$1:$1048576,AJ$93,$C380*2+MIN($B380,2)+5)</f>
        <v>0.27</v>
      </c>
      <c r="AK380" s="150">
        <f>ROUND(INDEX(Input!$1:$1048576,AK$93,$C379*2+MIN($B380,1)+5)+(Y380-VLOOKUP($C380*1000+1,$A:$HH,Y$92,FALSE)),0)</f>
        <v>2617</v>
      </c>
      <c r="AL380" s="150">
        <f>ROUND(INDEX(Input!$1:$1048576,AL$93,$C379*2+MIN($B380,1)+5)-(Y380-VLOOKUP($C380*1000+1,$A:$HH,Y$92,FALSE))/36,0)</f>
        <v>3405</v>
      </c>
      <c r="AM380" s="32" t="str">
        <f t="shared" si="1047"/>
        <v>std/std/std/std</v>
      </c>
      <c r="AN380" s="32" t="str">
        <f t="shared" si="1048"/>
        <v>$0 + 0/0/0.9/2.9/3.9</v>
      </c>
      <c r="AO380" s="32" t="str">
        <f t="shared" si="1049"/>
        <v>0/0/0.9/2.9/3.9</v>
      </c>
      <c r="AP380" s="32" t="str">
        <f t="shared" si="993"/>
        <v>0.9/1.9/2.9/3.9</v>
      </c>
      <c r="AQ380" s="536">
        <f t="shared" si="992"/>
        <v>0.35683018395647126</v>
      </c>
      <c r="AR380" s="32"/>
      <c r="AS380" s="302"/>
      <c r="AT380" s="3">
        <f t="shared" si="1066"/>
        <v>80</v>
      </c>
      <c r="AU380" s="41" t="s">
        <v>121</v>
      </c>
      <c r="AV380" s="41" t="s">
        <v>116</v>
      </c>
      <c r="AW380" s="41" t="str">
        <f>INDEX(Input!$1:$1048576,AW$93,$C380*2+6)</f>
        <v>Kia</v>
      </c>
      <c r="AX380" s="41" t="str">
        <f>INDEX(Input!$1:$1048576,AX$93,$C380*2+6)</f>
        <v>Kia-LR - L3</v>
      </c>
      <c r="AY380" s="41" t="str">
        <f>IF(LEN(D380)=0,"",INDEX(Input!$1:$1048576,AY$93,$C380*2+6))</f>
        <v>Compact SUV (52)</v>
      </c>
      <c r="AZ380" s="41" t="str">
        <f>INDEX(Input!$1:$1048576,AZ$93,$C380*2+6)</f>
        <v>Kia Soul</v>
      </c>
      <c r="BA380" s="3">
        <f>INDEX(Input!$1:$1048576,BA$93,$C380*2+6)</f>
        <v>2020</v>
      </c>
      <c r="BB380" s="128">
        <f>INDEX(Input!$1:$1048576,BB$93,$C380*2+6)</f>
        <v>1</v>
      </c>
      <c r="BC380" s="128">
        <f>INDEX(Input!$1:$1048576,BC$93,$C380*2+6)</f>
        <v>0.7</v>
      </c>
      <c r="BD380" s="1">
        <f>INDEX(Input!$1:$1048576,BD$93,$C380*2+6)</f>
        <v>4.4999999999999998E-2</v>
      </c>
      <c r="BE380" s="1">
        <f>INDEX(Input!$1:$1048576,BE$93,$C380*2+6)</f>
        <v>4.4999999999999998E-2</v>
      </c>
      <c r="BF380" s="1">
        <f>INDEX(Input!$1:$1048576,BF$93,$C380*2+6)</f>
        <v>0.05</v>
      </c>
      <c r="BG380" s="1">
        <f>INDEX(Input!$1:$1048576,BG$93,$C380*2+6)</f>
        <v>5.45E-2</v>
      </c>
      <c r="BH380" s="1">
        <f>INDEX(Input!$1:$1048576,BH$93,$C380*2+6)</f>
        <v>5.45E-2</v>
      </c>
      <c r="BI380" s="1">
        <f>INDEX(Input!$1:$1048576,BI$93,$C380*2+6)</f>
        <v>0.05</v>
      </c>
      <c r="BJ380" s="1">
        <f>INDEX(Input!$1:$1048576,BJ$93,$C380*2+6)</f>
        <v>0.05</v>
      </c>
      <c r="BK380" s="1">
        <f>INDEX(Input!$1:$1048576,BK$93,$C380*2+6)</f>
        <v>0.05</v>
      </c>
      <c r="BL380" s="1">
        <f>INDEX(Input!$1:$1048576,BL$93,$C380*2+6)</f>
        <v>5.5E-2</v>
      </c>
      <c r="BM380" s="1">
        <f>INDEX(Input!$1:$1048576,BM$93,$C380*2+6)</f>
        <v>0.06</v>
      </c>
      <c r="BN380" s="1">
        <f>INDEX(Input!$1:$1048576,BN$93,$C380*2+6)</f>
        <v>4.4999999999999998E-2</v>
      </c>
      <c r="BO380" s="1">
        <f>INDEX(Input!$1:$1048576,BO$93,$C380*2+6)</f>
        <v>4.4999999999999998E-2</v>
      </c>
      <c r="BP380" s="1">
        <f>INDEX(Input!$1:$1048576,BP$93,$C380*2+6)</f>
        <v>0.05</v>
      </c>
      <c r="BQ380" s="1">
        <f>INDEX(Input!$1:$1048576,BQ$93,$C380*2+6)</f>
        <v>5.45E-2</v>
      </c>
      <c r="BR380" s="1">
        <f>INDEX(Input!$1:$1048576,BR$93,$C380*2+6)</f>
        <v>5.45E-2</v>
      </c>
      <c r="BS380" s="1">
        <f>INDEX(Input!$1:$1048576,BS$93,$C380*2+6)</f>
        <v>0.05</v>
      </c>
      <c r="BT380" s="1">
        <f>INDEX(Input!$1:$1048576,BT$93,$C380*2+6)</f>
        <v>0.05</v>
      </c>
      <c r="BU380" s="1">
        <f>INDEX(Input!$1:$1048576,BU$93,$C380*2+6)</f>
        <v>0.05</v>
      </c>
      <c r="BV380" s="1">
        <f>INDEX(Input!$1:$1048576,BV$93,$C380*2+6)</f>
        <v>5.5E-2</v>
      </c>
      <c r="BW380" s="1">
        <f>INDEX(Input!$1:$1048576,BW$93,$C380*2+6)</f>
        <v>0.06</v>
      </c>
      <c r="BX380" s="127">
        <f>INDEX(Input!$1:$1048576,BX$93,$C380*2+6)</f>
        <v>19985</v>
      </c>
      <c r="BY380" s="20">
        <f>INDEX(Input!$1:$1048576,BY$93,$C380*2+6)</f>
        <v>0.1</v>
      </c>
      <c r="BZ380" s="20">
        <f>INDEX(Input!$1:$1048576,BZ$93,$C380*2+6)</f>
        <v>0.1</v>
      </c>
      <c r="CA380" s="20">
        <f>INDEX(Input!$1:$1048576,CA$93,$C380*2+6)</f>
        <v>0.1</v>
      </c>
      <c r="CB380" s="20">
        <f>INDEX(Input!$1:$1048576,CB$93,$C380*2+6)</f>
        <v>0.1</v>
      </c>
      <c r="CC380" s="20">
        <f>INDEX(Input!$1:$1048576,CC$93,$C380*2+6)</f>
        <v>0.1</v>
      </c>
      <c r="CD380" s="384">
        <f>INDEX(Input!$1:$1048576,CD$93,$C380*2+6)</f>
        <v>0.1</v>
      </c>
      <c r="CE380" s="384">
        <f>INDEX(Input!$1:$1048576,CE$93,$C380*2+6)</f>
        <v>0.1</v>
      </c>
      <c r="CF380" s="384">
        <f>INDEX(Input!$1:$1048576,CF$93,$C380*2+6)</f>
        <v>0.1</v>
      </c>
      <c r="CG380" s="384">
        <f>INDEX(Input!$1:$1048576,CG$93,$C380*2+6)</f>
        <v>0.1</v>
      </c>
      <c r="CH380" s="384">
        <f>INDEX(Input!$1:$1048576,CH$93,$C380*2+6)</f>
        <v>0.1</v>
      </c>
      <c r="CI380" s="304">
        <f t="shared" si="994"/>
        <v>1287.0236024844721</v>
      </c>
      <c r="CJ380" s="16" t="str">
        <f>INDEX(Input!$1:$1048576,CJ$93,$C380*2+6)</f>
        <v>N</v>
      </c>
      <c r="CK380" s="1" t="str">
        <f t="shared" si="995"/>
        <v>Market</v>
      </c>
      <c r="CL380" s="1" t="str">
        <f t="shared" si="996"/>
        <v>Market</v>
      </c>
      <c r="CM380" s="1" t="str">
        <f t="shared" si="997"/>
        <v>Market</v>
      </c>
      <c r="CN380" s="1" t="str">
        <f t="shared" si="998"/>
        <v>Market</v>
      </c>
      <c r="CO380" s="1" t="str">
        <f t="shared" si="999"/>
        <v>Market</v>
      </c>
      <c r="CP380" s="304">
        <f t="shared" si="1000"/>
        <v>500</v>
      </c>
      <c r="CQ380" s="1">
        <f t="shared" si="1001"/>
        <v>0</v>
      </c>
      <c r="CR380" s="1">
        <f t="shared" si="1002"/>
        <v>0</v>
      </c>
      <c r="CS380" s="1">
        <f t="shared" si="1003"/>
        <v>9.0000000000000011E-3</v>
      </c>
      <c r="CT380" s="1">
        <f t="shared" si="1004"/>
        <v>2.8999999999999998E-2</v>
      </c>
      <c r="CU380" s="1">
        <f t="shared" si="1005"/>
        <v>3.9E-2</v>
      </c>
      <c r="CV380" s="304">
        <f t="shared" si="1006"/>
        <v>1194.9999999999991</v>
      </c>
      <c r="CW380" s="20" t="s">
        <v>122</v>
      </c>
      <c r="CX380" s="20" t="s">
        <v>122</v>
      </c>
      <c r="CY380" s="20" t="s">
        <v>122</v>
      </c>
      <c r="CZ380" s="20" t="s">
        <v>122</v>
      </c>
      <c r="DA380" s="20" t="s">
        <v>122</v>
      </c>
      <c r="DB380" s="503">
        <f t="shared" si="1007"/>
        <v>0</v>
      </c>
      <c r="DC380" s="127">
        <v>0</v>
      </c>
      <c r="DD380" s="127">
        <v>0</v>
      </c>
      <c r="DE380" s="127">
        <v>0</v>
      </c>
      <c r="DF380" s="127">
        <v>0</v>
      </c>
      <c r="DG380" s="127">
        <v>0</v>
      </c>
      <c r="DH380" s="127">
        <v>0</v>
      </c>
      <c r="DI380" s="127">
        <v>0</v>
      </c>
      <c r="DJ380" s="127">
        <v>0</v>
      </c>
      <c r="DK380" s="127">
        <v>0</v>
      </c>
      <c r="DL380" s="127">
        <v>0</v>
      </c>
      <c r="DM380" s="304">
        <f>INDEX(Input!$1:$1048576,DM$93,$C380*2+6)</f>
        <v>21036.84210526316</v>
      </c>
      <c r="DN380" s="20">
        <v>0</v>
      </c>
      <c r="DO380" s="20">
        <v>0</v>
      </c>
      <c r="DP380" s="20">
        <v>0</v>
      </c>
      <c r="DQ380" s="20">
        <v>0</v>
      </c>
      <c r="DR380" s="20">
        <v>0</v>
      </c>
      <c r="DS380" s="20">
        <f>INDEX(Input!$1:$1048576,DS$93,$C380*2+6)</f>
        <v>0.6</v>
      </c>
      <c r="DT380" s="20">
        <f>INDEX(Input!$1:$1048576,DT$93,$C380*2+6)</f>
        <v>0.55000000000000004</v>
      </c>
      <c r="DU380" s="20">
        <f>INDEX(Input!$1:$1048576,DU$93,$C380*2+6)</f>
        <v>0.52</v>
      </c>
      <c r="DV380" s="20">
        <f>INDEX(Input!$1:$1048576,DV$93,$C380*2+6)</f>
        <v>0.5</v>
      </c>
      <c r="DW380" s="20">
        <f>INDEX(Input!$1:$1048576,DW$93,$C380*2+6)</f>
        <v>0.45</v>
      </c>
      <c r="DX380" s="20"/>
      <c r="DY380" s="7">
        <v>0.1051516033964235</v>
      </c>
      <c r="DZ380" s="7">
        <v>0</v>
      </c>
      <c r="EA380" s="7">
        <v>0.72219917012598867</v>
      </c>
      <c r="EB380" s="7">
        <v>0</v>
      </c>
      <c r="EC380" s="7">
        <v>0</v>
      </c>
      <c r="ED380" s="7">
        <v>0</v>
      </c>
      <c r="EE380" s="7">
        <v>0</v>
      </c>
      <c r="EF380" s="7">
        <v>0</v>
      </c>
      <c r="EG380" s="7">
        <v>0</v>
      </c>
      <c r="EH380" s="7">
        <v>1.6274550658301634E-2</v>
      </c>
      <c r="EI380" s="7">
        <v>4.5579722306683799E-2</v>
      </c>
      <c r="EJ380" s="7">
        <v>0.26774805652385586</v>
      </c>
      <c r="EK380" s="7">
        <v>0.4789105801078653</v>
      </c>
      <c r="EL380" s="7">
        <v>0.19148709040329345</v>
      </c>
      <c r="EM380" s="7">
        <v>3.8178450923715891E-2</v>
      </c>
      <c r="EN380" s="7">
        <v>6.1216702952266416E-2</v>
      </c>
      <c r="EO380" s="7">
        <v>0.76998986278228909</v>
      </c>
      <c r="EP380" s="7">
        <v>6.9510106973787553E-2</v>
      </c>
      <c r="EQ380" s="7">
        <v>6.5246036496485096E-2</v>
      </c>
      <c r="ER380" s="7">
        <v>3.4037290795171739E-2</v>
      </c>
      <c r="ES380" s="7">
        <v>0.13447077555387191</v>
      </c>
      <c r="ET380" s="7">
        <v>0.17264922647758787</v>
      </c>
      <c r="EU380" s="6">
        <v>1611</v>
      </c>
      <c r="EV380" s="6">
        <v>0</v>
      </c>
      <c r="EW380" s="6">
        <v>1611</v>
      </c>
      <c r="EX380" s="6">
        <v>0</v>
      </c>
      <c r="EY380" s="6">
        <v>1954.5673147700923</v>
      </c>
      <c r="EZ380" s="6">
        <v>1929</v>
      </c>
      <c r="FA380" s="6">
        <v>0</v>
      </c>
      <c r="FB380" s="6">
        <v>0</v>
      </c>
      <c r="FC380" s="6">
        <v>0</v>
      </c>
      <c r="FD380" s="6">
        <v>0</v>
      </c>
      <c r="FE380" s="6">
        <v>0</v>
      </c>
      <c r="FF380" s="6">
        <v>0</v>
      </c>
      <c r="FG380" s="6">
        <v>0</v>
      </c>
      <c r="FH380" s="6">
        <v>1172.015150819431</v>
      </c>
      <c r="FI380" s="6">
        <v>1553.9796069512399</v>
      </c>
      <c r="FJ380" s="6">
        <v>1735.1562230702793</v>
      </c>
      <c r="FK380" s="6">
        <v>1284.968747058685</v>
      </c>
      <c r="FL380" s="6">
        <v>907.07682140966335</v>
      </c>
      <c r="FM380" s="6">
        <v>1343.5673147700923</v>
      </c>
      <c r="FN380" s="6">
        <v>0</v>
      </c>
      <c r="FO380" s="6">
        <v>0</v>
      </c>
      <c r="FP380" s="6">
        <v>0</v>
      </c>
      <c r="FQ380" s="6">
        <v>0</v>
      </c>
      <c r="FR380" s="6">
        <v>0</v>
      </c>
      <c r="FS380" s="6">
        <v>0</v>
      </c>
      <c r="FT380" s="7">
        <v>0.82735077352241215</v>
      </c>
      <c r="FU380" s="7">
        <v>3.8178450923715891E-2</v>
      </c>
      <c r="FV380" s="7">
        <v>0.13447077555387191</v>
      </c>
      <c r="FW380" s="6">
        <v>1611.0000000000002</v>
      </c>
      <c r="FX380" s="6">
        <v>1954.5673147700923</v>
      </c>
      <c r="FY380" s="6">
        <v>1929</v>
      </c>
      <c r="FZ380" s="6">
        <v>1858.9243755539039</v>
      </c>
      <c r="GA380" s="6">
        <v>1666.8785744920742</v>
      </c>
      <c r="GB380" s="6">
        <v>18318.121425507925</v>
      </c>
      <c r="GC380" s="7">
        <v>2.9156573141622111E-2</v>
      </c>
      <c r="GD380" s="7">
        <v>2.9146069524633361E-2</v>
      </c>
      <c r="GE380" s="7"/>
      <c r="GF380" s="7"/>
      <c r="GG380" s="7">
        <v>-3.6024868003969776E-4</v>
      </c>
      <c r="GH380" s="42">
        <v>3.7488816890484562E-2</v>
      </c>
      <c r="GI380" s="6">
        <v>534759.18869945139</v>
      </c>
      <c r="GJ380" s="14">
        <v>0.50394797582841733</v>
      </c>
      <c r="GK380" s="14">
        <v>0.50887573065309744</v>
      </c>
      <c r="GL380" s="14">
        <v>0.49605202417158273</v>
      </c>
      <c r="GM380" s="14">
        <v>0.49112426934690251</v>
      </c>
      <c r="GO380" s="5">
        <v>343.14810671672558</v>
      </c>
      <c r="GP380" s="5">
        <v>312.41330006058649</v>
      </c>
      <c r="GQ380" s="5">
        <v>535.04305713031317</v>
      </c>
      <c r="GR380" s="5">
        <v>410.15490233172511</v>
      </c>
      <c r="GS380" s="5">
        <v>339.42744393800166</v>
      </c>
      <c r="GT380" s="5">
        <v>293.4407446948278</v>
      </c>
      <c r="GU380" s="5">
        <v>258.04012322764959</v>
      </c>
      <c r="GV380" s="39" t="s">
        <v>392</v>
      </c>
      <c r="GW380" s="5">
        <v>482.65277777777777</v>
      </c>
      <c r="GX380" s="5">
        <v>361.98958333333331</v>
      </c>
      <c r="GY380" s="5">
        <v>296.26491110195894</v>
      </c>
      <c r="GZ380" s="5">
        <v>263.22109617794104</v>
      </c>
      <c r="HA380" s="5">
        <v>236.70336205047303</v>
      </c>
      <c r="HB380" s="39">
        <v>275.06370188725077</v>
      </c>
      <c r="HC380" s="5">
        <v>202.890625</v>
      </c>
      <c r="HD380" s="5">
        <v>182.20330774853798</v>
      </c>
      <c r="HE380" s="5">
        <v>187.48257844129552</v>
      </c>
      <c r="HF380" s="5">
        <v>176.30063048245611</v>
      </c>
      <c r="HG380" s="5">
        <v>173.65888157894736</v>
      </c>
      <c r="HH380" s="39">
        <v>183.16072435965518</v>
      </c>
      <c r="HI380" s="16"/>
      <c r="HJ380" s="19" t="str">
        <f t="shared" ref="HJ380:HK380" si="1105">HJ379</f>
        <v>On</v>
      </c>
      <c r="HK380" s="1" t="str">
        <f t="shared" si="1105"/>
        <v>On</v>
      </c>
      <c r="HL380" s="16"/>
      <c r="HM380" s="639">
        <f t="shared" si="1023"/>
        <v>2.2758057894877178E-2</v>
      </c>
      <c r="HN380" s="639">
        <f t="shared" si="1024"/>
        <v>1.416759231746561E-3</v>
      </c>
      <c r="HO380" s="639">
        <f t="shared" si="1025"/>
        <v>4.5732401537654987E-3</v>
      </c>
      <c r="HP380" s="644">
        <f>(FT380*$GD380-HM380)/$JF380*INDEX(Input!$1:$1048576,$JG$93,$C380*2+6)</f>
        <v>75.939186629834296</v>
      </c>
      <c r="HQ380" s="644">
        <f>(FU380*$GD380-HN380)/$JF380*INDEX(Input!$1:$1048576,$JG$93,$C380*2+6)</f>
        <v>-17.025567485964054</v>
      </c>
      <c r="HR380" s="644">
        <f>(FV380*$GD380-HO380)/$JF380*INDEX(Input!$1:$1048576,$JG$93,$C380*2+6)</f>
        <v>-36.62342725427191</v>
      </c>
      <c r="HS380" s="644">
        <f t="shared" si="1014"/>
        <v>-18.211567991177027</v>
      </c>
      <c r="HT380" s="644">
        <f t="shared" si="1094"/>
        <v>-24.953470363300926</v>
      </c>
      <c r="HU380" s="644">
        <f t="shared" si="1027"/>
        <v>-0.8973518539970311</v>
      </c>
      <c r="HV380" s="648">
        <f t="shared" si="1028"/>
        <v>0</v>
      </c>
      <c r="HW380" s="648">
        <f t="shared" si="1029"/>
        <v>0</v>
      </c>
      <c r="HX380" s="648">
        <f t="shared" si="1030"/>
        <v>0</v>
      </c>
      <c r="HY380" s="644">
        <f>INDEX(Input!$1:$1048576,HY$93,$C380*2+6)*INDEX(Input!$1:$1048576,$JG$93,$C380*2+6)</f>
        <v>509.00000000000006</v>
      </c>
      <c r="HZ380" s="644">
        <f>INDEX(Input!$1:$1048576,HZ$93,$C380*2+6)*INDEX(Input!$1:$1048576,$JG$93,$C380*2+6)</f>
        <v>844</v>
      </c>
      <c r="IA380" s="644">
        <f>INDEX(Input!$1:$1048576,IA$93,$C380*2+6)*INDEX(Input!$1:$1048576,$JG$93,$C380*2+6)</f>
        <v>257</v>
      </c>
      <c r="IB380" s="644">
        <f t="shared" si="1051"/>
        <v>566.72761863865719</v>
      </c>
      <c r="IC380" s="644">
        <f t="shared" si="1052"/>
        <v>802.02096215073504</v>
      </c>
      <c r="ID380" s="644">
        <f>IF(AND(INDEX(Input!$1:$1048576,IA$93,$C380*2+7)="TOS",Y380&lt;=INDEX(Y:Y,MATCH(C380*1000+2,A:A))),0,1)*MAX(IA380+HR380+HU380+HX380,0%)</f>
        <v>219.47922089173105</v>
      </c>
      <c r="IE380" s="128">
        <f t="shared" si="1095"/>
        <v>0.35683018395647126</v>
      </c>
      <c r="IF380" s="128">
        <f t="shared" si="1096"/>
        <v>0.50497854357026362</v>
      </c>
      <c r="IG380" s="128">
        <f t="shared" si="1087"/>
        <v>0.13819127247326515</v>
      </c>
      <c r="IH380" s="21"/>
      <c r="II380" s="19">
        <f t="shared" si="1032"/>
        <v>1410.4999999999998</v>
      </c>
      <c r="IJ380" s="19">
        <f t="shared" si="1033"/>
        <v>2134.9731585778086</v>
      </c>
      <c r="IK380" s="19">
        <f t="shared" si="1034"/>
        <v>2103.5</v>
      </c>
      <c r="IL380" s="19">
        <f t="shared" si="1053"/>
        <v>200.50000000000045</v>
      </c>
      <c r="IM380" s="19">
        <f t="shared" si="1035"/>
        <v>-180.40584380771634</v>
      </c>
      <c r="IN380" s="19">
        <f t="shared" si="1036"/>
        <v>-174.5</v>
      </c>
      <c r="IO380" s="39">
        <f t="shared" si="1037"/>
        <v>0</v>
      </c>
      <c r="IP380" s="39">
        <f t="shared" si="1038"/>
        <v>0</v>
      </c>
      <c r="IQ380" s="39">
        <f t="shared" si="1039"/>
        <v>0</v>
      </c>
      <c r="IR380" s="39">
        <v>0</v>
      </c>
      <c r="IS380" s="39">
        <v>0</v>
      </c>
      <c r="IT380" s="39">
        <v>0</v>
      </c>
      <c r="IU380" s="39">
        <v>0</v>
      </c>
      <c r="IV380" s="39">
        <v>0</v>
      </c>
      <c r="IW380" s="39">
        <v>0</v>
      </c>
      <c r="IX380" s="39">
        <f>INDEX(Input!$1:$1048576,IX$93,$C380*2+6)+INDEX(Input!$1:$1048576,IX$94,$C380*2+6)</f>
        <v>1611</v>
      </c>
      <c r="IY380" s="39">
        <f>INDEX(Input!$1:$1048576,IY$93,$C380*2+6)+INDEX(Input!$1:$1048576,IY$94,$C380*2+6)</f>
        <v>2471.0624533823611</v>
      </c>
      <c r="IZ380" s="39">
        <f>INDEX(Input!$1:$1048576,IZ$93,$C380*2+6)+INDEX(Input!$1:$1048576,IZ$94,$C380*2+6)</f>
        <v>3994.7164157747857</v>
      </c>
      <c r="JA380" s="19">
        <f t="shared" si="1054"/>
        <v>1811.5000000000005</v>
      </c>
      <c r="JB380" s="19">
        <f t="shared" si="1055"/>
        <v>2290.6566095746448</v>
      </c>
      <c r="JC380" s="19">
        <f t="shared" si="1056"/>
        <v>3820.2164157747857</v>
      </c>
      <c r="JD380" s="19">
        <f t="shared" si="1057"/>
        <v>2331.0508843789235</v>
      </c>
      <c r="JE380" s="21"/>
      <c r="JF380" s="1">
        <f t="shared" si="1040"/>
        <v>2.8748057280389237E-2</v>
      </c>
      <c r="JG380" s="15">
        <f>INDEX(Input!$1:$1048576,JG$93,$C380*2+6)/(1+VLOOKUP(C380*1000+INDEX(Input!$1:$1048576,JG$93+1,$C380*2+6),$A:$KK,$JK$92,FALSE))</f>
        <v>1610</v>
      </c>
      <c r="JH380" s="1">
        <f t="shared" si="1058"/>
        <v>1.3844839682980331E-2</v>
      </c>
      <c r="JI380" s="1">
        <f t="shared" si="1059"/>
        <v>-2.7367944228866452E-2</v>
      </c>
      <c r="JJ380" s="1">
        <f t="shared" si="1097"/>
        <v>0</v>
      </c>
      <c r="JK380" s="1">
        <f t="shared" si="1098"/>
        <v>-1.352310454588612E-2</v>
      </c>
      <c r="JL380" s="15">
        <f t="shared" si="1060"/>
        <v>-21.772198318876654</v>
      </c>
      <c r="JM380" s="15">
        <f t="shared" si="1079"/>
        <v>1588.2278016811233</v>
      </c>
      <c r="JN380" s="21"/>
      <c r="JO380" s="19">
        <f>INDEX(Input!$1:$1048576,JO$93,$C380*2+6)</f>
        <v>5995.5</v>
      </c>
      <c r="JP380" s="19">
        <f>INDEX(Input!$1:$1048576,JP$93,$C380*2+6)</f>
        <v>2442.3713226762939</v>
      </c>
      <c r="JQ380" s="39">
        <f t="shared" si="1068"/>
        <v>3664.4491156210765</v>
      </c>
      <c r="JR380" s="39">
        <f t="shared" si="1082"/>
        <v>-111.3204382973704</v>
      </c>
      <c r="JS380" s="39">
        <f t="shared" si="1069"/>
        <v>3.702239821703976</v>
      </c>
      <c r="JT380" s="39">
        <f t="shared" si="1061"/>
        <v>-0.22997800780485711</v>
      </c>
      <c r="JU380" s="385">
        <f>(JQ380*JM380-INDEX(Input!$1:$1048576,Input!A$18,$C380*2+6)*JL380*INDEX(Input!$1:$1048576,Input!A$19,$C380*2+6))/1000000</f>
        <v>5.8199799632751992</v>
      </c>
      <c r="JV380" s="39">
        <f t="shared" si="1103"/>
        <v>9.9442792784032008E-2</v>
      </c>
      <c r="JW380" s="1">
        <f t="shared" si="1080"/>
        <v>1.7383471135717456E-2</v>
      </c>
      <c r="JX380" s="19">
        <f t="shared" si="1073"/>
        <v>10562.920860658545</v>
      </c>
      <c r="JZ380" s="341"/>
      <c r="KA380" s="342"/>
      <c r="KB380" s="469">
        <f t="shared" si="1070"/>
        <v>2.5190675447988795</v>
      </c>
      <c r="KI380" s="473">
        <f t="shared" si="1099"/>
        <v>57.727618638657134</v>
      </c>
      <c r="KJ380" s="473">
        <f t="shared" si="1100"/>
        <v>-41.979037849264841</v>
      </c>
      <c r="KK380" s="473">
        <f t="shared" si="1092"/>
        <v>-37.520779108268954</v>
      </c>
      <c r="KN380" s="544">
        <f t="shared" si="1074"/>
        <v>3002</v>
      </c>
      <c r="KO380" s="541">
        <f t="shared" si="1041"/>
        <v>-4.273536794230437E-2</v>
      </c>
      <c r="KP380" s="546">
        <f t="shared" si="1042"/>
        <v>-242.1226796843107</v>
      </c>
      <c r="KQ380" s="546">
        <f t="shared" si="1043"/>
        <v>-304.86254100977476</v>
      </c>
      <c r="KR380" s="548">
        <f t="shared" si="1044"/>
        <v>3.0621650115371253</v>
      </c>
      <c r="KS380" s="548">
        <f t="shared" si="1045"/>
        <v>2.4319799860394617</v>
      </c>
      <c r="KT380" s="473">
        <f t="shared" si="1071"/>
        <v>1026.1618045255443</v>
      </c>
      <c r="KU380" s="663">
        <f t="shared" si="1063"/>
        <v>4.6960343482893583</v>
      </c>
    </row>
    <row r="381" spans="1:307" s="26" customFormat="1" ht="15" outlineLevel="1">
      <c r="A381" s="561">
        <f t="shared" si="1046"/>
        <v>3081</v>
      </c>
      <c r="B381" s="561">
        <f t="shared" si="1064"/>
        <v>81</v>
      </c>
      <c r="C381" s="561">
        <f t="shared" si="1065"/>
        <v>3</v>
      </c>
      <c r="D381" s="561" t="str">
        <f t="shared" si="974"/>
        <v xml:space="preserve">-250 CC, 0.9/1.9/2.9/3.9, -360 Lease, </v>
      </c>
      <c r="E381" s="475">
        <f>INDEX(Input!$1:$1048576,E$93,$C381*2+MIN($B381,2)+5)
+INDEX(Scenarios!E$121:E$200,MATCH($B381,Scenarios!$B$121:$B$200,0))</f>
        <v>1037.0236024844721</v>
      </c>
      <c r="F381" s="475">
        <f>INDEX(Input!$1:$1048576,F$93,$C381*2+MIN($B381,2)+5)
+INDEX(Scenarios!F$121:F$200,MATCH($B381,Scenarios!$B$121:$B$200,0))</f>
        <v>0</v>
      </c>
      <c r="G381" s="475">
        <f>INDEX(Input!$1:$1048576,G$93,$C381*2+MIN($B381,2)+5)
+INDEX(Scenarios!G$121:G$200,MATCH($B381,Scenarios!$B$121:$B$200,0))</f>
        <v>0</v>
      </c>
      <c r="H381" s="475">
        <f>INDEX(Input!$1:$1048576,H$93,$C381*2+MIN($B381,2)+5)
+INDEX(Scenarios!H$121:H$200,MATCH($B381,Scenarios!$B$121:$B$200,0))</f>
        <v>0</v>
      </c>
      <c r="I381" s="476">
        <f>INDEX(Input!$1:$1048576,I$93,$C381*2+MIN($B381,2)+5)</f>
        <v>0.7</v>
      </c>
      <c r="J381" s="476" t="str">
        <f>INDEX(Input!$1:$1048576,J$93,$C381*2+MIN($B381,2)+5)</f>
        <v>Market</v>
      </c>
      <c r="K381" s="476" t="str">
        <f>INDEX(Input!$1:$1048576,K$93,$C381*2+MIN($B381,2)+5)</f>
        <v>Market</v>
      </c>
      <c r="L381" s="476" t="str">
        <f>INDEX(Input!$1:$1048576,L$93,$C381*2+MIN($B381,2)+5)</f>
        <v>Market</v>
      </c>
      <c r="M381" s="476" t="str">
        <f>INDEX(Input!$1:$1048576,M$93,$C381*2+MIN($B381,2)+5)</f>
        <v>Market</v>
      </c>
      <c r="N381" s="476" t="str">
        <f>INDEX(Input!$1:$1048576,N$93,$C381*2+MIN($B381,2)+5)</f>
        <v>Market</v>
      </c>
      <c r="O381" s="476" t="str">
        <f>INDEX(Input!$1:$1048576,O$93,$C381*2+MIN($B381,2)+5)</f>
        <v>Market</v>
      </c>
      <c r="P381" s="476" t="str">
        <f>INDEX(Input!$1:$1048576,P$93,$C381*2+MIN($B381,2)+5)</f>
        <v>N</v>
      </c>
      <c r="Q381" s="477">
        <f>INDEX(Input!$1:$1048576,Q$93,$C381*2+MIN($B381,2)+5)
+INDEX(Scenarios!Q$121:Q$200,MATCH($B381,Scenarios!$B$121:$B$200,0))</f>
        <v>0</v>
      </c>
      <c r="R381" s="478">
        <f>IFERROR(MAX(0,INDEX(Input!$1:$1048576,R$93,$C381*2+MIN($B381,2)+5)
+INDEX(Scenarios!R$121:R$200,MATCH($B381,Scenarios!$B$121:$B$200,0)),),"Market")</f>
        <v>0</v>
      </c>
      <c r="S381" s="478">
        <f>IFERROR(MAX(0,INDEX(Input!$1:$1048576,S$93,$C381*2+MIN($B381,2)+5)
+INDEX(Scenarios!S$121:S$200,MATCH($B381,Scenarios!$B$121:$B$200,0)),),"Market")</f>
        <v>0</v>
      </c>
      <c r="T381" s="478">
        <f>IFERROR(MAX(0,INDEX(Input!$1:$1048576,T$93,$C381*2+MIN($B381,2)+5)
+INDEX(Scenarios!T$121:T$200,MATCH($B381,Scenarios!$B$121:$B$200,0)),),"Market")</f>
        <v>0</v>
      </c>
      <c r="U381" s="478">
        <f>IFERROR(MAX(0,INDEX(Input!$1:$1048576,U$93,$C381*2+MIN($B381,2)+5)
+INDEX(Scenarios!U$121:U$200,MATCH($B381,Scenarios!$B$121:$B$200,0)),),"Market")</f>
        <v>9.0000000000000011E-3</v>
      </c>
      <c r="V381" s="478">
        <f>IFERROR(MAX(0,INDEX(Input!$1:$1048576,V$93,$C381*2+MIN($B381,2)+5)
+INDEX(Scenarios!V$121:V$200,MATCH($B381,Scenarios!$B$121:$B$200,0)),),"Market")</f>
        <v>2.8999999999999998E-2</v>
      </c>
      <c r="W381" s="885">
        <f>IFERROR(MAX(0,INDEX(Input!$1:$1048576,W$93,$C381*2+MIN($B381,2)+5)-0%,),"Market")</f>
        <v>3.9E-2</v>
      </c>
      <c r="X381" s="476" t="str">
        <f>INDEX(Input!$1:$1048576,X$93,$C381*2+MIN($B381,2)+5)</f>
        <v>Y</v>
      </c>
      <c r="Y381" s="475">
        <f>INDEX(Input!$1:$1048576,Y$93,$C381*2+MIN($B381,2)+5)
++INDEX(Scenarios!Y$121:Y$200,MATCH($B381,Scenarios!$B$121:$B$200,0))</f>
        <v>1194.9999999999991</v>
      </c>
      <c r="Z381" s="477">
        <f>INDEX(Input!$1:$1048576,Z$93,$C381*2+MIN($B381,2)+5)
+INDEX(Scenarios!Z$121:Z$200,MATCH($B381,Scenarios!$B$121:$B$200,0))</f>
        <v>0</v>
      </c>
      <c r="AA381" s="475">
        <f>INDEX(Input!$1:$1048576,AA$93,$C381*2+MIN($B381,2)+5)
+INDEX(Scenarios!AA$121:AA$200,MATCH($B381,Scenarios!$B$121:$B$200,0))</f>
        <v>0</v>
      </c>
      <c r="AB381" s="476">
        <f>INDEX(Input!$1:$1048576,AB$93,$C381*2+MIN($B381,2)+5)</f>
        <v>0.27</v>
      </c>
      <c r="AC381" s="475">
        <f>INDEX(Input!$1:$1048576,AC$93,$C381*2+MIN($B381,2)+5)
+INDEX(Scenarios!AC$121:AC$200,MATCH($B381,Scenarios!$B$121:$B$200,0))</f>
        <v>0</v>
      </c>
      <c r="AD381" s="476">
        <f>INDEX(Input!$1:$1048576,AD$93,$C381*2+MIN($B381,2)+5)</f>
        <v>0.27</v>
      </c>
      <c r="AE381" s="475">
        <f>INDEX(Input!$1:$1048576,AE$93,$C381*2+MIN($B381,2)+5)
+INDEX(Scenarios!AE$121:AE$200,MATCH($B381,Scenarios!$B$121:$B$200,0))</f>
        <v>0</v>
      </c>
      <c r="AF381" s="476">
        <f>INDEX(Input!$1:$1048576,AF$93,$C381*2+MIN($B381,2)+5)</f>
        <v>0.68200000000000005</v>
      </c>
      <c r="AG381" s="475">
        <f>INDEX(Input!$1:$1048576,AG$93,$C381*2+MIN($B381,2)+5)
+INDEX(Scenarios!AG$121:AG$200,MATCH($B381,Scenarios!$B$121:$B$200,0))</f>
        <v>500</v>
      </c>
      <c r="AH381" s="476">
        <f>INDEX(Input!$1:$1048576,AH$93,$C381*2+MIN($B381,2)+5)</f>
        <v>1</v>
      </c>
      <c r="AI381" s="475">
        <f>INDEX(Input!$1:$1048576,AI$93,$C381*2+MIN($B381,2)+5)
+INDEX(Scenarios!AI$121:AI$200,MATCH($B381,Scenarios!$B$121:$B$200,0))</f>
        <v>0</v>
      </c>
      <c r="AJ381" s="476">
        <f>INDEX(Input!$1:$1048576,AJ$93,$C381*2+MIN($B381,2)+5)</f>
        <v>0.27</v>
      </c>
      <c r="AK381" s="150">
        <f>ROUND(INDEX(Input!$1:$1048576,AK$93,$C380*2+MIN($B381,1)+5)+(Y381-VLOOKUP($C381*1000+1,$A:$HH,Y$92,FALSE)),0)</f>
        <v>2617</v>
      </c>
      <c r="AL381" s="150">
        <f>ROUND(INDEX(Input!$1:$1048576,AL$93,$C380*2+MIN($B381,1)+5)-(Y381-VLOOKUP($C381*1000+1,$A:$HH,Y$92,FALSE))/36,0)</f>
        <v>3405</v>
      </c>
      <c r="AM381" s="32" t="str">
        <f t="shared" si="1047"/>
        <v>std/std/std/std</v>
      </c>
      <c r="AN381" s="32" t="str">
        <f t="shared" si="1048"/>
        <v>$0 + 0/0/0.9/2.9/3.9</v>
      </c>
      <c r="AO381" s="32" t="str">
        <f t="shared" si="1049"/>
        <v>0/0/0.9/2.9/3.9</v>
      </c>
      <c r="AP381" s="32" t="str">
        <f t="shared" si="993"/>
        <v>0.9/1.9/2.9/3.9</v>
      </c>
      <c r="AQ381" s="536">
        <f t="shared" si="992"/>
        <v>0.3338178601812099</v>
      </c>
      <c r="AR381" s="32"/>
      <c r="AS381" s="302"/>
      <c r="AT381" s="3">
        <f t="shared" si="1066"/>
        <v>81</v>
      </c>
      <c r="AU381" s="41" t="s">
        <v>121</v>
      </c>
      <c r="AV381" s="41" t="s">
        <v>116</v>
      </c>
      <c r="AW381" s="41" t="str">
        <f>INDEX(Input!$1:$1048576,AW$93,$C381*2+6)</f>
        <v>Kia</v>
      </c>
      <c r="AX381" s="41" t="str">
        <f>INDEX(Input!$1:$1048576,AX$93,$C381*2+6)</f>
        <v>Kia-LR - L3</v>
      </c>
      <c r="AY381" s="41" t="str">
        <f>IF(LEN(D381)=0,"",INDEX(Input!$1:$1048576,AY$93,$C381*2+6))</f>
        <v>Compact SUV (52)</v>
      </c>
      <c r="AZ381" s="41" t="str">
        <f>INDEX(Input!$1:$1048576,AZ$93,$C381*2+6)</f>
        <v>Kia Soul</v>
      </c>
      <c r="BA381" s="3">
        <f>INDEX(Input!$1:$1048576,BA$93,$C381*2+6)</f>
        <v>2020</v>
      </c>
      <c r="BB381" s="128">
        <f>INDEX(Input!$1:$1048576,BB$93,$C381*2+6)</f>
        <v>1</v>
      </c>
      <c r="BC381" s="128">
        <f>INDEX(Input!$1:$1048576,BC$93,$C381*2+6)</f>
        <v>0.7</v>
      </c>
      <c r="BD381" s="1">
        <f>INDEX(Input!$1:$1048576,BD$93,$C381*2+6)</f>
        <v>4.4999999999999998E-2</v>
      </c>
      <c r="BE381" s="1">
        <f>INDEX(Input!$1:$1048576,BE$93,$C381*2+6)</f>
        <v>4.4999999999999998E-2</v>
      </c>
      <c r="BF381" s="1">
        <f>INDEX(Input!$1:$1048576,BF$93,$C381*2+6)</f>
        <v>0.05</v>
      </c>
      <c r="BG381" s="1">
        <f>INDEX(Input!$1:$1048576,BG$93,$C381*2+6)</f>
        <v>5.45E-2</v>
      </c>
      <c r="BH381" s="1">
        <f>INDEX(Input!$1:$1048576,BH$93,$C381*2+6)</f>
        <v>5.45E-2</v>
      </c>
      <c r="BI381" s="1">
        <f>INDEX(Input!$1:$1048576,BI$93,$C381*2+6)</f>
        <v>0.05</v>
      </c>
      <c r="BJ381" s="1">
        <f>INDEX(Input!$1:$1048576,BJ$93,$C381*2+6)</f>
        <v>0.05</v>
      </c>
      <c r="BK381" s="1">
        <f>INDEX(Input!$1:$1048576,BK$93,$C381*2+6)</f>
        <v>0.05</v>
      </c>
      <c r="BL381" s="1">
        <f>INDEX(Input!$1:$1048576,BL$93,$C381*2+6)</f>
        <v>5.5E-2</v>
      </c>
      <c r="BM381" s="1">
        <f>INDEX(Input!$1:$1048576,BM$93,$C381*2+6)</f>
        <v>0.06</v>
      </c>
      <c r="BN381" s="1">
        <f>INDEX(Input!$1:$1048576,BN$93,$C381*2+6)</f>
        <v>4.4999999999999998E-2</v>
      </c>
      <c r="BO381" s="1">
        <f>INDEX(Input!$1:$1048576,BO$93,$C381*2+6)</f>
        <v>4.4999999999999998E-2</v>
      </c>
      <c r="BP381" s="1">
        <f>INDEX(Input!$1:$1048576,BP$93,$C381*2+6)</f>
        <v>0.05</v>
      </c>
      <c r="BQ381" s="1">
        <f>INDEX(Input!$1:$1048576,BQ$93,$C381*2+6)</f>
        <v>5.45E-2</v>
      </c>
      <c r="BR381" s="1">
        <f>INDEX(Input!$1:$1048576,BR$93,$C381*2+6)</f>
        <v>5.45E-2</v>
      </c>
      <c r="BS381" s="1">
        <f>INDEX(Input!$1:$1048576,BS$93,$C381*2+6)</f>
        <v>0.05</v>
      </c>
      <c r="BT381" s="1">
        <f>INDEX(Input!$1:$1048576,BT$93,$C381*2+6)</f>
        <v>0.05</v>
      </c>
      <c r="BU381" s="1">
        <f>INDEX(Input!$1:$1048576,BU$93,$C381*2+6)</f>
        <v>0.05</v>
      </c>
      <c r="BV381" s="1">
        <f>INDEX(Input!$1:$1048576,BV$93,$C381*2+6)</f>
        <v>5.5E-2</v>
      </c>
      <c r="BW381" s="1">
        <f>INDEX(Input!$1:$1048576,BW$93,$C381*2+6)</f>
        <v>0.06</v>
      </c>
      <c r="BX381" s="127">
        <f>INDEX(Input!$1:$1048576,BX$93,$C381*2+6)</f>
        <v>19985</v>
      </c>
      <c r="BY381" s="20">
        <f>INDEX(Input!$1:$1048576,BY$93,$C381*2+6)</f>
        <v>0.1</v>
      </c>
      <c r="BZ381" s="20">
        <f>INDEX(Input!$1:$1048576,BZ$93,$C381*2+6)</f>
        <v>0.1</v>
      </c>
      <c r="CA381" s="20">
        <f>INDEX(Input!$1:$1048576,CA$93,$C381*2+6)</f>
        <v>0.1</v>
      </c>
      <c r="CB381" s="20">
        <f>INDEX(Input!$1:$1048576,CB$93,$C381*2+6)</f>
        <v>0.1</v>
      </c>
      <c r="CC381" s="20">
        <f>INDEX(Input!$1:$1048576,CC$93,$C381*2+6)</f>
        <v>0.1</v>
      </c>
      <c r="CD381" s="384">
        <f>INDEX(Input!$1:$1048576,CD$93,$C381*2+6)</f>
        <v>0.1</v>
      </c>
      <c r="CE381" s="384">
        <f>INDEX(Input!$1:$1048576,CE$93,$C381*2+6)</f>
        <v>0.1</v>
      </c>
      <c r="CF381" s="384">
        <f>INDEX(Input!$1:$1048576,CF$93,$C381*2+6)</f>
        <v>0.1</v>
      </c>
      <c r="CG381" s="384">
        <f>INDEX(Input!$1:$1048576,CG$93,$C381*2+6)</f>
        <v>0.1</v>
      </c>
      <c r="CH381" s="384">
        <f>INDEX(Input!$1:$1048576,CH$93,$C381*2+6)</f>
        <v>0.1</v>
      </c>
      <c r="CI381" s="304">
        <f t="shared" si="994"/>
        <v>1037.0236024844721</v>
      </c>
      <c r="CJ381" s="16" t="str">
        <f>INDEX(Input!$1:$1048576,CJ$93,$C381*2+6)</f>
        <v>N</v>
      </c>
      <c r="CK381" s="1" t="str">
        <f t="shared" si="995"/>
        <v>Market</v>
      </c>
      <c r="CL381" s="1" t="str">
        <f t="shared" si="996"/>
        <v>Market</v>
      </c>
      <c r="CM381" s="1" t="str">
        <f t="shared" si="997"/>
        <v>Market</v>
      </c>
      <c r="CN381" s="1" t="str">
        <f t="shared" si="998"/>
        <v>Market</v>
      </c>
      <c r="CO381" s="1" t="str">
        <f t="shared" si="999"/>
        <v>Market</v>
      </c>
      <c r="CP381" s="304">
        <f t="shared" si="1000"/>
        <v>500</v>
      </c>
      <c r="CQ381" s="1">
        <f t="shared" si="1001"/>
        <v>0</v>
      </c>
      <c r="CR381" s="1">
        <f t="shared" si="1002"/>
        <v>0</v>
      </c>
      <c r="CS381" s="1">
        <f t="shared" si="1003"/>
        <v>9.0000000000000011E-3</v>
      </c>
      <c r="CT381" s="1">
        <f t="shared" si="1004"/>
        <v>2.8999999999999998E-2</v>
      </c>
      <c r="CU381" s="1">
        <f t="shared" si="1005"/>
        <v>3.9E-2</v>
      </c>
      <c r="CV381" s="304">
        <f t="shared" si="1006"/>
        <v>1194.9999999999991</v>
      </c>
      <c r="CW381" s="20" t="s">
        <v>122</v>
      </c>
      <c r="CX381" s="20" t="s">
        <v>122</v>
      </c>
      <c r="CY381" s="20" t="s">
        <v>122</v>
      </c>
      <c r="CZ381" s="20" t="s">
        <v>122</v>
      </c>
      <c r="DA381" s="20" t="s">
        <v>122</v>
      </c>
      <c r="DB381" s="503">
        <f t="shared" si="1007"/>
        <v>0</v>
      </c>
      <c r="DC381" s="127">
        <v>0</v>
      </c>
      <c r="DD381" s="127">
        <v>0</v>
      </c>
      <c r="DE381" s="127">
        <v>0</v>
      </c>
      <c r="DF381" s="127">
        <v>0</v>
      </c>
      <c r="DG381" s="127">
        <v>0</v>
      </c>
      <c r="DH381" s="127">
        <v>0</v>
      </c>
      <c r="DI381" s="127">
        <v>0</v>
      </c>
      <c r="DJ381" s="127">
        <v>0</v>
      </c>
      <c r="DK381" s="127">
        <v>0</v>
      </c>
      <c r="DL381" s="127">
        <v>0</v>
      </c>
      <c r="DM381" s="304">
        <f>INDEX(Input!$1:$1048576,DM$93,$C381*2+6)</f>
        <v>21036.84210526316</v>
      </c>
      <c r="DN381" s="20">
        <v>0</v>
      </c>
      <c r="DO381" s="20">
        <v>0</v>
      </c>
      <c r="DP381" s="20">
        <v>0</v>
      </c>
      <c r="DQ381" s="20">
        <v>0</v>
      </c>
      <c r="DR381" s="20">
        <v>0</v>
      </c>
      <c r="DS381" s="20">
        <f>INDEX(Input!$1:$1048576,DS$93,$C381*2+6)</f>
        <v>0.6</v>
      </c>
      <c r="DT381" s="20">
        <f>INDEX(Input!$1:$1048576,DT$93,$C381*2+6)</f>
        <v>0.55000000000000004</v>
      </c>
      <c r="DU381" s="20">
        <f>INDEX(Input!$1:$1048576,DU$93,$C381*2+6)</f>
        <v>0.52</v>
      </c>
      <c r="DV381" s="20">
        <f>INDEX(Input!$1:$1048576,DV$93,$C381*2+6)</f>
        <v>0.5</v>
      </c>
      <c r="DW381" s="20">
        <f>INDEX(Input!$1:$1048576,DW$93,$C381*2+6)</f>
        <v>0.45</v>
      </c>
      <c r="DX381" s="20"/>
      <c r="DY381" s="7">
        <v>0.1003080633803671</v>
      </c>
      <c r="DZ381" s="7">
        <v>0</v>
      </c>
      <c r="EA381" s="7">
        <v>0.70670294801519928</v>
      </c>
      <c r="EB381" s="7">
        <v>0</v>
      </c>
      <c r="EC381" s="7">
        <v>0</v>
      </c>
      <c r="ED381" s="7">
        <v>0</v>
      </c>
      <c r="EE381" s="7">
        <v>0</v>
      </c>
      <c r="EF381" s="7">
        <v>0</v>
      </c>
      <c r="EG381" s="7">
        <v>0</v>
      </c>
      <c r="EH381" s="7">
        <v>1.6273019760210842E-2</v>
      </c>
      <c r="EI381" s="7">
        <v>4.5570897229711978E-2</v>
      </c>
      <c r="EJ381" s="7">
        <v>0.26755168871445822</v>
      </c>
      <c r="EK381" s="7">
        <v>0.47902619424593329</v>
      </c>
      <c r="EL381" s="7">
        <v>0.19157820004968593</v>
      </c>
      <c r="EM381" s="7">
        <v>4.2651813927631677E-2</v>
      </c>
      <c r="EN381" s="7">
        <v>6.1195231731842402E-2</v>
      </c>
      <c r="EO381" s="7">
        <v>0.76995275716514977</v>
      </c>
      <c r="EP381" s="7">
        <v>6.955107054879904E-2</v>
      </c>
      <c r="EQ381" s="7">
        <v>6.5267434732132604E-2</v>
      </c>
      <c r="ER381" s="7">
        <v>3.4033505822076371E-2</v>
      </c>
      <c r="ES381" s="7">
        <v>0.15033717467680191</v>
      </c>
      <c r="ET381" s="7">
        <v>0.19298898860443353</v>
      </c>
      <c r="EU381" s="6">
        <v>1361</v>
      </c>
      <c r="EV381" s="6">
        <v>0</v>
      </c>
      <c r="EW381" s="6">
        <v>1361</v>
      </c>
      <c r="EX381" s="6">
        <v>0</v>
      </c>
      <c r="EY381" s="6">
        <v>1954.4422135225411</v>
      </c>
      <c r="EZ381" s="6">
        <v>1929</v>
      </c>
      <c r="FA381" s="6">
        <v>0</v>
      </c>
      <c r="FB381" s="6">
        <v>0</v>
      </c>
      <c r="FC381" s="6">
        <v>0</v>
      </c>
      <c r="FD381" s="6">
        <v>0</v>
      </c>
      <c r="FE381" s="6">
        <v>0</v>
      </c>
      <c r="FF381" s="6">
        <v>0</v>
      </c>
      <c r="FG381" s="6">
        <v>0</v>
      </c>
      <c r="FH381" s="6">
        <v>1172.0109599409211</v>
      </c>
      <c r="FI381" s="6">
        <v>1553.9796069512397</v>
      </c>
      <c r="FJ381" s="6">
        <v>1735.1562230702814</v>
      </c>
      <c r="FK381" s="6">
        <v>1284.9687470586846</v>
      </c>
      <c r="FL381" s="6">
        <v>907.07682140966347</v>
      </c>
      <c r="FM381" s="6">
        <v>1343.4422135225411</v>
      </c>
      <c r="FN381" s="6">
        <v>0</v>
      </c>
      <c r="FO381" s="6">
        <v>0</v>
      </c>
      <c r="FP381" s="6">
        <v>0</v>
      </c>
      <c r="FQ381" s="6">
        <v>0</v>
      </c>
      <c r="FR381" s="6">
        <v>0</v>
      </c>
      <c r="FS381" s="6">
        <v>0</v>
      </c>
      <c r="FT381" s="7">
        <v>0.80701101139556641</v>
      </c>
      <c r="FU381" s="7">
        <v>4.2651813927631677E-2</v>
      </c>
      <c r="FV381" s="7">
        <v>0.15033717467680191</v>
      </c>
      <c r="FW381" s="6">
        <v>1361</v>
      </c>
      <c r="FX381" s="6">
        <v>1954.4422135225414</v>
      </c>
      <c r="FY381" s="6">
        <v>1929</v>
      </c>
      <c r="FZ381" s="6">
        <v>1858.9243755539039</v>
      </c>
      <c r="GA381" s="6">
        <v>1471.7029020843886</v>
      </c>
      <c r="GB381" s="6">
        <v>18513.297097915613</v>
      </c>
      <c r="GC381" s="7">
        <v>2.9156573141622111E-2</v>
      </c>
      <c r="GD381" s="7">
        <v>2.8442113827278286E-2</v>
      </c>
      <c r="GE381" s="7"/>
      <c r="GF381" s="7"/>
      <c r="GG381" s="7">
        <v>-2.4504227944535367E-2</v>
      </c>
      <c r="GH381" s="42">
        <v>1.2646948297666996</v>
      </c>
      <c r="GI381" s="6">
        <v>17273.934025055511</v>
      </c>
      <c r="GJ381" s="14">
        <v>0.50394797582841733</v>
      </c>
      <c r="GK381" s="14">
        <v>0.50887573065309744</v>
      </c>
      <c r="GL381" s="14">
        <v>0.49605202417158295</v>
      </c>
      <c r="GM381" s="14">
        <v>0.4911242693469024</v>
      </c>
      <c r="GO381" s="5">
        <v>343.14810671672558</v>
      </c>
      <c r="GP381" s="5">
        <v>317.18282312950942</v>
      </c>
      <c r="GQ381" s="5">
        <v>535.04305713031317</v>
      </c>
      <c r="GR381" s="5">
        <v>410.15490233172511</v>
      </c>
      <c r="GS381" s="5">
        <v>339.42744393800166</v>
      </c>
      <c r="GT381" s="5">
        <v>293.4407446948278</v>
      </c>
      <c r="GU381" s="5">
        <v>258.04012322764959</v>
      </c>
      <c r="GV381" s="39" t="s">
        <v>392</v>
      </c>
      <c r="GW381" s="5">
        <v>482.65277777777777</v>
      </c>
      <c r="GX381" s="5">
        <v>361.98958333333331</v>
      </c>
      <c r="GY381" s="5">
        <v>296.26491110195894</v>
      </c>
      <c r="GZ381" s="5">
        <v>263.22109617794104</v>
      </c>
      <c r="HA381" s="5">
        <v>236.70336205047303</v>
      </c>
      <c r="HB381" s="39">
        <v>275.05358955727661</v>
      </c>
      <c r="HC381" s="5">
        <v>202.890625</v>
      </c>
      <c r="HD381" s="5">
        <v>182.20330774853798</v>
      </c>
      <c r="HE381" s="5">
        <v>187.48257844129552</v>
      </c>
      <c r="HF381" s="5">
        <v>176.30063048245611</v>
      </c>
      <c r="HG381" s="5">
        <v>173.65888157894736</v>
      </c>
      <c r="HH381" s="39">
        <v>183.16040246905166</v>
      </c>
      <c r="HI381" s="16"/>
      <c r="HJ381" s="19" t="str">
        <f t="shared" ref="HJ381:HK381" si="1106">HJ380</f>
        <v>On</v>
      </c>
      <c r="HK381" s="1" t="str">
        <f t="shared" si="1106"/>
        <v>On</v>
      </c>
      <c r="HL381" s="16"/>
      <c r="HM381" s="639">
        <f t="shared" si="1023"/>
        <v>2.2758057894877178E-2</v>
      </c>
      <c r="HN381" s="639">
        <f t="shared" si="1024"/>
        <v>1.416759231746561E-3</v>
      </c>
      <c r="HO381" s="639">
        <f t="shared" si="1025"/>
        <v>4.5732401537654987E-3</v>
      </c>
      <c r="HP381" s="644">
        <f>(FT381*$GD381-HM381)/$JF381*INDEX(Input!$1:$1048576,$JG$93,$C381*2+6)</f>
        <v>10.9230425629222</v>
      </c>
      <c r="HQ381" s="644">
        <f>(FU381*$GD381-HN381)/$JF381*INDEX(Input!$1:$1048576,$JG$93,$C381*2+6)</f>
        <v>-11.405253849886526</v>
      </c>
      <c r="HR381" s="644">
        <f>(FV381*$GD381-HO381)/$JF381*INDEX(Input!$1:$1048576,$JG$93,$C381*2+6)</f>
        <v>-16.651779879967325</v>
      </c>
      <c r="HS381" s="644">
        <f t="shared" si="1014"/>
        <v>4.7577734773085618</v>
      </c>
      <c r="HT381" s="644">
        <f t="shared" si="1094"/>
        <v>-20.903423727668383</v>
      </c>
      <c r="HU381" s="644">
        <f t="shared" si="1027"/>
        <v>-4.9625869781195897</v>
      </c>
      <c r="HV381" s="648">
        <f t="shared" si="1028"/>
        <v>0</v>
      </c>
      <c r="HW381" s="648">
        <f t="shared" si="1029"/>
        <v>0</v>
      </c>
      <c r="HX381" s="648">
        <f t="shared" si="1030"/>
        <v>0</v>
      </c>
      <c r="HY381" s="644">
        <f>INDEX(Input!$1:$1048576,HY$93,$C381*2+6)*INDEX(Input!$1:$1048576,$JG$93,$C381*2+6)</f>
        <v>509.00000000000006</v>
      </c>
      <c r="HZ381" s="644">
        <f>INDEX(Input!$1:$1048576,HZ$93,$C381*2+6)*INDEX(Input!$1:$1048576,$JG$93,$C381*2+6)</f>
        <v>844</v>
      </c>
      <c r="IA381" s="644">
        <f>INDEX(Input!$1:$1048576,IA$93,$C381*2+6)*INDEX(Input!$1:$1048576,$JG$93,$C381*2+6)</f>
        <v>257</v>
      </c>
      <c r="IB381" s="644">
        <f t="shared" si="1051"/>
        <v>524.68081604023075</v>
      </c>
      <c r="IC381" s="644">
        <f t="shared" si="1052"/>
        <v>811.69132242244507</v>
      </c>
      <c r="ID381" s="644">
        <f>IF(AND(INDEX(Input!$1:$1048576,IA$93,$C381*2+7)="TOS",Y381&lt;=INDEX(Y:Y,MATCH(C381*1000+2,A:A))),0,1)*MAX(IA381+HR381+HU381+HX381,0%)</f>
        <v>235.38563314191308</v>
      </c>
      <c r="IE381" s="128">
        <f t="shared" si="1095"/>
        <v>0.3338178601812099</v>
      </c>
      <c r="IF381" s="128">
        <f t="shared" si="1096"/>
        <v>0.51642265563210732</v>
      </c>
      <c r="IG381" s="128">
        <f t="shared" si="1087"/>
        <v>0.1497594841866827</v>
      </c>
      <c r="IH381" s="21"/>
      <c r="II381" s="19">
        <f t="shared" si="1032"/>
        <v>1410.4999999999998</v>
      </c>
      <c r="IJ381" s="19">
        <f t="shared" si="1033"/>
        <v>2134.9731585778086</v>
      </c>
      <c r="IK381" s="19">
        <f t="shared" si="1034"/>
        <v>2103.5</v>
      </c>
      <c r="IL381" s="19">
        <f t="shared" si="1053"/>
        <v>-49.499999999999773</v>
      </c>
      <c r="IM381" s="19">
        <f t="shared" si="1035"/>
        <v>-180.53094505526724</v>
      </c>
      <c r="IN381" s="19">
        <f t="shared" si="1036"/>
        <v>-174.5</v>
      </c>
      <c r="IO381" s="39">
        <f t="shared" si="1037"/>
        <v>0</v>
      </c>
      <c r="IP381" s="39">
        <f t="shared" si="1038"/>
        <v>0</v>
      </c>
      <c r="IQ381" s="39">
        <f t="shared" si="1039"/>
        <v>0</v>
      </c>
      <c r="IR381" s="39">
        <v>0</v>
      </c>
      <c r="IS381" s="39">
        <v>0</v>
      </c>
      <c r="IT381" s="39">
        <v>0</v>
      </c>
      <c r="IU381" s="39">
        <v>0</v>
      </c>
      <c r="IV381" s="39">
        <v>0</v>
      </c>
      <c r="IW381" s="39">
        <v>0</v>
      </c>
      <c r="IX381" s="39">
        <f>INDEX(Input!$1:$1048576,IX$93,$C381*2+6)+INDEX(Input!$1:$1048576,IX$94,$C381*2+6)</f>
        <v>1611</v>
      </c>
      <c r="IY381" s="39">
        <f>INDEX(Input!$1:$1048576,IY$93,$C381*2+6)+INDEX(Input!$1:$1048576,IY$94,$C381*2+6)</f>
        <v>2471.0624533823611</v>
      </c>
      <c r="IZ381" s="39">
        <f>INDEX(Input!$1:$1048576,IZ$93,$C381*2+6)+INDEX(Input!$1:$1048576,IZ$94,$C381*2+6)</f>
        <v>3994.7164157747857</v>
      </c>
      <c r="JA381" s="19">
        <f t="shared" si="1054"/>
        <v>1561.5000000000002</v>
      </c>
      <c r="JB381" s="19">
        <f t="shared" si="1055"/>
        <v>2290.5315083270939</v>
      </c>
      <c r="JC381" s="19">
        <f t="shared" si="1056"/>
        <v>3820.2164157747857</v>
      </c>
      <c r="JD381" s="19">
        <f t="shared" si="1057"/>
        <v>2276.2525929201829</v>
      </c>
      <c r="JE381" s="21"/>
      <c r="JF381" s="1">
        <f t="shared" si="1040"/>
        <v>2.8748057280389237E-2</v>
      </c>
      <c r="JG381" s="15">
        <f>INDEX(Input!$1:$1048576,JG$93,$C381*2+6)/(1+VLOOKUP(C381*1000+INDEX(Input!$1:$1048576,JG$93+1,$C381*2+6),$A:$KK,$JK$92,FALSE))</f>
        <v>1610</v>
      </c>
      <c r="JH381" s="1">
        <f t="shared" si="1058"/>
        <v>-1.0642230538466864E-2</v>
      </c>
      <c r="JI381" s="1">
        <f t="shared" si="1059"/>
        <v>-1.3110706353092801E-2</v>
      </c>
      <c r="JJ381" s="1">
        <f t="shared" si="1097"/>
        <v>0</v>
      </c>
      <c r="JK381" s="1">
        <f t="shared" si="1098"/>
        <v>-2.3752936891559665E-2</v>
      </c>
      <c r="JL381" s="15">
        <f t="shared" si="1060"/>
        <v>-38.242228395411061</v>
      </c>
      <c r="JM381" s="15">
        <f t="shared" si="1079"/>
        <v>1571.7577716045889</v>
      </c>
      <c r="JN381" s="21"/>
      <c r="JO381" s="19">
        <f>INDEX(Input!$1:$1048576,JO$93,$C381*2+6)</f>
        <v>5995.5</v>
      </c>
      <c r="JP381" s="19">
        <f>INDEX(Input!$1:$1048576,JP$93,$C381*2+6)</f>
        <v>2442.3713226762939</v>
      </c>
      <c r="JQ381" s="39">
        <f t="shared" si="1068"/>
        <v>3719.2474070798171</v>
      </c>
      <c r="JR381" s="39">
        <f t="shared" si="1082"/>
        <v>-166.11872975611095</v>
      </c>
      <c r="JS381" s="39">
        <f t="shared" si="1069"/>
        <v>3.5777177030573943</v>
      </c>
      <c r="JT381" s="39">
        <f t="shared" si="1061"/>
        <v>-0.35450012645143875</v>
      </c>
      <c r="JU381" s="385">
        <f>(JQ381*JM381-INDEX(Input!$1:$1048576,Input!A$18,$C381*2+6)*JL381*INDEX(Input!$1:$1048576,Input!A$19,$C381*2+6))/1000000</f>
        <v>5.8457560165979192</v>
      </c>
      <c r="JV381" s="39">
        <f t="shared" si="1103"/>
        <v>0.12521884610675205</v>
      </c>
      <c r="JW381" s="1">
        <f t="shared" si="1080"/>
        <v>2.1889351012817686E-2</v>
      </c>
      <c r="JX381" s="19">
        <f t="shared" si="1073"/>
        <v>9269.8606050367489</v>
      </c>
      <c r="JZ381" s="341"/>
      <c r="KA381" s="342"/>
      <c r="KB381" s="469">
        <f t="shared" si="1070"/>
        <v>2.5190675447988795</v>
      </c>
      <c r="KI381" s="473">
        <f t="shared" si="1099"/>
        <v>15.680816040230695</v>
      </c>
      <c r="KJ381" s="473">
        <f t="shared" si="1100"/>
        <v>-32.308677577554931</v>
      </c>
      <c r="KK381" s="473">
        <f t="shared" si="1092"/>
        <v>-21.614366858086925</v>
      </c>
      <c r="KN381" s="544">
        <f t="shared" si="1074"/>
        <v>3002</v>
      </c>
      <c r="KO381" s="541">
        <f t="shared" si="1041"/>
        <v>-5.2662267134287122E-2</v>
      </c>
      <c r="KP381" s="546">
        <f t="shared" si="1042"/>
        <v>-334.16599144189519</v>
      </c>
      <c r="KQ381" s="546">
        <f t="shared" si="1043"/>
        <v>-359.66083246851531</v>
      </c>
      <c r="KR381" s="548">
        <f t="shared" si="1044"/>
        <v>2.7340969910964708</v>
      </c>
      <c r="KS381" s="548">
        <f t="shared" si="1045"/>
        <v>2.5402883751820124</v>
      </c>
      <c r="KT381" s="473">
        <f t="shared" si="1071"/>
        <v>1026.1618045255443</v>
      </c>
      <c r="KU381" s="663">
        <f t="shared" si="1063"/>
        <v>4.6681686837545469</v>
      </c>
    </row>
    <row r="382" spans="1:307" s="26" customFormat="1" ht="15" outlineLevel="1">
      <c r="A382" s="561">
        <f t="shared" si="1046"/>
        <v>3082</v>
      </c>
      <c r="B382" s="561">
        <f t="shared" si="1064"/>
        <v>82</v>
      </c>
      <c r="C382" s="561">
        <f t="shared" si="1065"/>
        <v>3</v>
      </c>
      <c r="D382" s="561" t="str">
        <f t="shared" si="974"/>
        <v xml:space="preserve">-500 CC, 0.9/1.9/2.9/3.9, -360 Lease, </v>
      </c>
      <c r="E382" s="475">
        <f>INDEX(Input!$1:$1048576,E$93,$C382*2+MIN($B382,2)+5)
+INDEX(Scenarios!E$121:E$200,MATCH($B382,Scenarios!$B$121:$B$200,0))</f>
        <v>787.02360248447212</v>
      </c>
      <c r="F382" s="475">
        <f>INDEX(Input!$1:$1048576,F$93,$C382*2+MIN($B382,2)+5)
+INDEX(Scenarios!F$121:F$200,MATCH($B382,Scenarios!$B$121:$B$200,0))</f>
        <v>0</v>
      </c>
      <c r="G382" s="475">
        <f>INDEX(Input!$1:$1048576,G$93,$C382*2+MIN($B382,2)+5)
+INDEX(Scenarios!G$121:G$200,MATCH($B382,Scenarios!$B$121:$B$200,0))</f>
        <v>0</v>
      </c>
      <c r="H382" s="475">
        <f>INDEX(Input!$1:$1048576,H$93,$C382*2+MIN($B382,2)+5)
+INDEX(Scenarios!H$121:H$200,MATCH($B382,Scenarios!$B$121:$B$200,0))</f>
        <v>0</v>
      </c>
      <c r="I382" s="476">
        <f>INDEX(Input!$1:$1048576,I$93,$C382*2+MIN($B382,2)+5)</f>
        <v>0.7</v>
      </c>
      <c r="J382" s="476" t="str">
        <f>INDEX(Input!$1:$1048576,J$93,$C382*2+MIN($B382,2)+5)</f>
        <v>Market</v>
      </c>
      <c r="K382" s="476" t="str">
        <f>INDEX(Input!$1:$1048576,K$93,$C382*2+MIN($B382,2)+5)</f>
        <v>Market</v>
      </c>
      <c r="L382" s="476" t="str">
        <f>INDEX(Input!$1:$1048576,L$93,$C382*2+MIN($B382,2)+5)</f>
        <v>Market</v>
      </c>
      <c r="M382" s="476" t="str">
        <f>INDEX(Input!$1:$1048576,M$93,$C382*2+MIN($B382,2)+5)</f>
        <v>Market</v>
      </c>
      <c r="N382" s="476" t="str">
        <f>INDEX(Input!$1:$1048576,N$93,$C382*2+MIN($B382,2)+5)</f>
        <v>Market</v>
      </c>
      <c r="O382" s="476" t="str">
        <f>INDEX(Input!$1:$1048576,O$93,$C382*2+MIN($B382,2)+5)</f>
        <v>Market</v>
      </c>
      <c r="P382" s="476" t="str">
        <f>INDEX(Input!$1:$1048576,P$93,$C382*2+MIN($B382,2)+5)</f>
        <v>N</v>
      </c>
      <c r="Q382" s="477">
        <f>INDEX(Input!$1:$1048576,Q$93,$C382*2+MIN($B382,2)+5)
+INDEX(Scenarios!Q$121:Q$200,MATCH($B382,Scenarios!$B$121:$B$200,0))</f>
        <v>0</v>
      </c>
      <c r="R382" s="478">
        <f>IFERROR(MAX(0,INDEX(Input!$1:$1048576,R$93,$C382*2+MIN($B382,2)+5)
+INDEX(Scenarios!R$121:R$200,MATCH($B382,Scenarios!$B$121:$B$200,0)),),"Market")</f>
        <v>0</v>
      </c>
      <c r="S382" s="478">
        <f>IFERROR(MAX(0,INDEX(Input!$1:$1048576,S$93,$C382*2+MIN($B382,2)+5)
+INDEX(Scenarios!S$121:S$200,MATCH($B382,Scenarios!$B$121:$B$200,0)),),"Market")</f>
        <v>0</v>
      </c>
      <c r="T382" s="478">
        <f>IFERROR(MAX(0,INDEX(Input!$1:$1048576,T$93,$C382*2+MIN($B382,2)+5)
+INDEX(Scenarios!T$121:T$200,MATCH($B382,Scenarios!$B$121:$B$200,0)),),"Market")</f>
        <v>0</v>
      </c>
      <c r="U382" s="478">
        <f>IFERROR(MAX(0,INDEX(Input!$1:$1048576,U$93,$C382*2+MIN($B382,2)+5)
+INDEX(Scenarios!U$121:U$200,MATCH($B382,Scenarios!$B$121:$B$200,0)),),"Market")</f>
        <v>9.0000000000000011E-3</v>
      </c>
      <c r="V382" s="478">
        <f>IFERROR(MAX(0,INDEX(Input!$1:$1048576,V$93,$C382*2+MIN($B382,2)+5)
+INDEX(Scenarios!V$121:V$200,MATCH($B382,Scenarios!$B$121:$B$200,0)),),"Market")</f>
        <v>2.8999999999999998E-2</v>
      </c>
      <c r="W382" s="885">
        <f>IFERROR(MAX(0,INDEX(Input!$1:$1048576,W$93,$C382*2+MIN($B382,2)+5)-0%,),"Market")</f>
        <v>3.9E-2</v>
      </c>
      <c r="X382" s="476" t="str">
        <f>INDEX(Input!$1:$1048576,X$93,$C382*2+MIN($B382,2)+5)</f>
        <v>Y</v>
      </c>
      <c r="Y382" s="475">
        <f>INDEX(Input!$1:$1048576,Y$93,$C382*2+MIN($B382,2)+5)
++INDEX(Scenarios!Y$121:Y$200,MATCH($B382,Scenarios!$B$121:$B$200,0))</f>
        <v>1194.9999999999991</v>
      </c>
      <c r="Z382" s="477">
        <f>INDEX(Input!$1:$1048576,Z$93,$C382*2+MIN($B382,2)+5)
+INDEX(Scenarios!Z$121:Z$200,MATCH($B382,Scenarios!$B$121:$B$200,0))</f>
        <v>0</v>
      </c>
      <c r="AA382" s="475">
        <f>INDEX(Input!$1:$1048576,AA$93,$C382*2+MIN($B382,2)+5)
+INDEX(Scenarios!AA$121:AA$200,MATCH($B382,Scenarios!$B$121:$B$200,0))</f>
        <v>0</v>
      </c>
      <c r="AB382" s="476">
        <f>INDEX(Input!$1:$1048576,AB$93,$C382*2+MIN($B382,2)+5)</f>
        <v>0.27</v>
      </c>
      <c r="AC382" s="475">
        <f>INDEX(Input!$1:$1048576,AC$93,$C382*2+MIN($B382,2)+5)
+INDEX(Scenarios!AC$121:AC$200,MATCH($B382,Scenarios!$B$121:$B$200,0))</f>
        <v>0</v>
      </c>
      <c r="AD382" s="476">
        <f>INDEX(Input!$1:$1048576,AD$93,$C382*2+MIN($B382,2)+5)</f>
        <v>0.27</v>
      </c>
      <c r="AE382" s="475">
        <f>INDEX(Input!$1:$1048576,AE$93,$C382*2+MIN($B382,2)+5)
+INDEX(Scenarios!AE$121:AE$200,MATCH($B382,Scenarios!$B$121:$B$200,0))</f>
        <v>0</v>
      </c>
      <c r="AF382" s="476">
        <f>INDEX(Input!$1:$1048576,AF$93,$C382*2+MIN($B382,2)+5)</f>
        <v>0.68200000000000005</v>
      </c>
      <c r="AG382" s="475">
        <f>INDEX(Input!$1:$1048576,AG$93,$C382*2+MIN($B382,2)+5)
+INDEX(Scenarios!AG$121:AG$200,MATCH($B382,Scenarios!$B$121:$B$200,0))</f>
        <v>500</v>
      </c>
      <c r="AH382" s="476">
        <f>INDEX(Input!$1:$1048576,AH$93,$C382*2+MIN($B382,2)+5)</f>
        <v>1</v>
      </c>
      <c r="AI382" s="475">
        <f>INDEX(Input!$1:$1048576,AI$93,$C382*2+MIN($B382,2)+5)
+INDEX(Scenarios!AI$121:AI$200,MATCH($B382,Scenarios!$B$121:$B$200,0))</f>
        <v>0</v>
      </c>
      <c r="AJ382" s="476">
        <f>INDEX(Input!$1:$1048576,AJ$93,$C382*2+MIN($B382,2)+5)</f>
        <v>0.27</v>
      </c>
      <c r="AK382" s="150">
        <f>ROUND(INDEX(Input!$1:$1048576,AK$93,$C381*2+MIN($B382,1)+5)+(Y382-VLOOKUP($C382*1000+1,$A:$HH,Y$92,FALSE)),0)</f>
        <v>2617</v>
      </c>
      <c r="AL382" s="150">
        <f>ROUND(INDEX(Input!$1:$1048576,AL$93,$C381*2+MIN($B382,1)+5)-(Y382-VLOOKUP($C382*1000+1,$A:$HH,Y$92,FALSE))/36,0)</f>
        <v>3405</v>
      </c>
      <c r="AM382" s="32" t="str">
        <f t="shared" si="1047"/>
        <v>std/std/std/std</v>
      </c>
      <c r="AN382" s="32" t="str">
        <f t="shared" si="1048"/>
        <v>$0 + 0/0/0.9/2.9/3.9</v>
      </c>
      <c r="AO382" s="32" t="str">
        <f t="shared" si="1049"/>
        <v>0/0/0.9/2.9/3.9</v>
      </c>
      <c r="AP382" s="32" t="str">
        <f t="shared" si="993"/>
        <v>0.9/1.9/2.9/3.9</v>
      </c>
      <c r="AQ382" s="536">
        <f t="shared" si="992"/>
        <v>0.3101879585714854</v>
      </c>
      <c r="AR382" s="32"/>
      <c r="AS382" s="302"/>
      <c r="AT382" s="3">
        <f t="shared" si="1066"/>
        <v>82</v>
      </c>
      <c r="AU382" s="41" t="s">
        <v>121</v>
      </c>
      <c r="AV382" s="41" t="s">
        <v>116</v>
      </c>
      <c r="AW382" s="41" t="str">
        <f>INDEX(Input!$1:$1048576,AW$93,$C382*2+6)</f>
        <v>Kia</v>
      </c>
      <c r="AX382" s="41" t="str">
        <f>INDEX(Input!$1:$1048576,AX$93,$C382*2+6)</f>
        <v>Kia-LR - L3</v>
      </c>
      <c r="AY382" s="41" t="str">
        <f>IF(LEN(D382)=0,"",INDEX(Input!$1:$1048576,AY$93,$C382*2+6))</f>
        <v>Compact SUV (52)</v>
      </c>
      <c r="AZ382" s="41" t="str">
        <f>INDEX(Input!$1:$1048576,AZ$93,$C382*2+6)</f>
        <v>Kia Soul</v>
      </c>
      <c r="BA382" s="3">
        <f>INDEX(Input!$1:$1048576,BA$93,$C382*2+6)</f>
        <v>2020</v>
      </c>
      <c r="BB382" s="128">
        <f>INDEX(Input!$1:$1048576,BB$93,$C382*2+6)</f>
        <v>1</v>
      </c>
      <c r="BC382" s="128">
        <f>INDEX(Input!$1:$1048576,BC$93,$C382*2+6)</f>
        <v>0.7</v>
      </c>
      <c r="BD382" s="1">
        <f>INDEX(Input!$1:$1048576,BD$93,$C382*2+6)</f>
        <v>4.4999999999999998E-2</v>
      </c>
      <c r="BE382" s="1">
        <f>INDEX(Input!$1:$1048576,BE$93,$C382*2+6)</f>
        <v>4.4999999999999998E-2</v>
      </c>
      <c r="BF382" s="1">
        <f>INDEX(Input!$1:$1048576,BF$93,$C382*2+6)</f>
        <v>0.05</v>
      </c>
      <c r="BG382" s="1">
        <f>INDEX(Input!$1:$1048576,BG$93,$C382*2+6)</f>
        <v>5.45E-2</v>
      </c>
      <c r="BH382" s="1">
        <f>INDEX(Input!$1:$1048576,BH$93,$C382*2+6)</f>
        <v>5.45E-2</v>
      </c>
      <c r="BI382" s="1">
        <f>INDEX(Input!$1:$1048576,BI$93,$C382*2+6)</f>
        <v>0.05</v>
      </c>
      <c r="BJ382" s="1">
        <f>INDEX(Input!$1:$1048576,BJ$93,$C382*2+6)</f>
        <v>0.05</v>
      </c>
      <c r="BK382" s="1">
        <f>INDEX(Input!$1:$1048576,BK$93,$C382*2+6)</f>
        <v>0.05</v>
      </c>
      <c r="BL382" s="1">
        <f>INDEX(Input!$1:$1048576,BL$93,$C382*2+6)</f>
        <v>5.5E-2</v>
      </c>
      <c r="BM382" s="1">
        <f>INDEX(Input!$1:$1048576,BM$93,$C382*2+6)</f>
        <v>0.06</v>
      </c>
      <c r="BN382" s="1">
        <f>INDEX(Input!$1:$1048576,BN$93,$C382*2+6)</f>
        <v>4.4999999999999998E-2</v>
      </c>
      <c r="BO382" s="1">
        <f>INDEX(Input!$1:$1048576,BO$93,$C382*2+6)</f>
        <v>4.4999999999999998E-2</v>
      </c>
      <c r="BP382" s="1">
        <f>INDEX(Input!$1:$1048576,BP$93,$C382*2+6)</f>
        <v>0.05</v>
      </c>
      <c r="BQ382" s="1">
        <f>INDEX(Input!$1:$1048576,BQ$93,$C382*2+6)</f>
        <v>5.45E-2</v>
      </c>
      <c r="BR382" s="1">
        <f>INDEX(Input!$1:$1048576,BR$93,$C382*2+6)</f>
        <v>5.45E-2</v>
      </c>
      <c r="BS382" s="1">
        <f>INDEX(Input!$1:$1048576,BS$93,$C382*2+6)</f>
        <v>0.05</v>
      </c>
      <c r="BT382" s="1">
        <f>INDEX(Input!$1:$1048576,BT$93,$C382*2+6)</f>
        <v>0.05</v>
      </c>
      <c r="BU382" s="1">
        <f>INDEX(Input!$1:$1048576,BU$93,$C382*2+6)</f>
        <v>0.05</v>
      </c>
      <c r="BV382" s="1">
        <f>INDEX(Input!$1:$1048576,BV$93,$C382*2+6)</f>
        <v>5.5E-2</v>
      </c>
      <c r="BW382" s="1">
        <f>INDEX(Input!$1:$1048576,BW$93,$C382*2+6)</f>
        <v>0.06</v>
      </c>
      <c r="BX382" s="127">
        <f>INDEX(Input!$1:$1048576,BX$93,$C382*2+6)</f>
        <v>19985</v>
      </c>
      <c r="BY382" s="20">
        <f>INDEX(Input!$1:$1048576,BY$93,$C382*2+6)</f>
        <v>0.1</v>
      </c>
      <c r="BZ382" s="20">
        <f>INDEX(Input!$1:$1048576,BZ$93,$C382*2+6)</f>
        <v>0.1</v>
      </c>
      <c r="CA382" s="20">
        <f>INDEX(Input!$1:$1048576,CA$93,$C382*2+6)</f>
        <v>0.1</v>
      </c>
      <c r="CB382" s="20">
        <f>INDEX(Input!$1:$1048576,CB$93,$C382*2+6)</f>
        <v>0.1</v>
      </c>
      <c r="CC382" s="20">
        <f>INDEX(Input!$1:$1048576,CC$93,$C382*2+6)</f>
        <v>0.1</v>
      </c>
      <c r="CD382" s="384">
        <f>INDEX(Input!$1:$1048576,CD$93,$C382*2+6)</f>
        <v>0.1</v>
      </c>
      <c r="CE382" s="384">
        <f>INDEX(Input!$1:$1048576,CE$93,$C382*2+6)</f>
        <v>0.1</v>
      </c>
      <c r="CF382" s="384">
        <f>INDEX(Input!$1:$1048576,CF$93,$C382*2+6)</f>
        <v>0.1</v>
      </c>
      <c r="CG382" s="384">
        <f>INDEX(Input!$1:$1048576,CG$93,$C382*2+6)</f>
        <v>0.1</v>
      </c>
      <c r="CH382" s="384">
        <f>INDEX(Input!$1:$1048576,CH$93,$C382*2+6)</f>
        <v>0.1</v>
      </c>
      <c r="CI382" s="304">
        <f t="shared" si="994"/>
        <v>787.02360248447212</v>
      </c>
      <c r="CJ382" s="16" t="str">
        <f>INDEX(Input!$1:$1048576,CJ$93,$C382*2+6)</f>
        <v>N</v>
      </c>
      <c r="CK382" s="1" t="str">
        <f t="shared" si="995"/>
        <v>Market</v>
      </c>
      <c r="CL382" s="1" t="str">
        <f t="shared" si="996"/>
        <v>Market</v>
      </c>
      <c r="CM382" s="1" t="str">
        <f t="shared" si="997"/>
        <v>Market</v>
      </c>
      <c r="CN382" s="1" t="str">
        <f t="shared" si="998"/>
        <v>Market</v>
      </c>
      <c r="CO382" s="1" t="str">
        <f t="shared" si="999"/>
        <v>Market</v>
      </c>
      <c r="CP382" s="304">
        <f t="shared" si="1000"/>
        <v>500</v>
      </c>
      <c r="CQ382" s="1">
        <f t="shared" si="1001"/>
        <v>0</v>
      </c>
      <c r="CR382" s="1">
        <f t="shared" si="1002"/>
        <v>0</v>
      </c>
      <c r="CS382" s="1">
        <f t="shared" si="1003"/>
        <v>9.0000000000000011E-3</v>
      </c>
      <c r="CT382" s="1">
        <f t="shared" si="1004"/>
        <v>2.8999999999999998E-2</v>
      </c>
      <c r="CU382" s="1">
        <f t="shared" si="1005"/>
        <v>3.9E-2</v>
      </c>
      <c r="CV382" s="304">
        <f t="shared" si="1006"/>
        <v>1194.9999999999991</v>
      </c>
      <c r="CW382" s="20" t="s">
        <v>122</v>
      </c>
      <c r="CX382" s="20" t="s">
        <v>122</v>
      </c>
      <c r="CY382" s="20" t="s">
        <v>122</v>
      </c>
      <c r="CZ382" s="20" t="s">
        <v>122</v>
      </c>
      <c r="DA382" s="20" t="s">
        <v>122</v>
      </c>
      <c r="DB382" s="503">
        <f t="shared" si="1007"/>
        <v>0</v>
      </c>
      <c r="DC382" s="127">
        <v>0</v>
      </c>
      <c r="DD382" s="127">
        <v>0</v>
      </c>
      <c r="DE382" s="127">
        <v>0</v>
      </c>
      <c r="DF382" s="127">
        <v>0</v>
      </c>
      <c r="DG382" s="127">
        <v>0</v>
      </c>
      <c r="DH382" s="127">
        <v>0</v>
      </c>
      <c r="DI382" s="127">
        <v>0</v>
      </c>
      <c r="DJ382" s="127">
        <v>0</v>
      </c>
      <c r="DK382" s="127">
        <v>0</v>
      </c>
      <c r="DL382" s="127">
        <v>0</v>
      </c>
      <c r="DM382" s="304">
        <f>INDEX(Input!$1:$1048576,DM$93,$C382*2+6)</f>
        <v>21036.84210526316</v>
      </c>
      <c r="DN382" s="20">
        <v>0</v>
      </c>
      <c r="DO382" s="20">
        <v>0</v>
      </c>
      <c r="DP382" s="20">
        <v>0</v>
      </c>
      <c r="DQ382" s="20">
        <v>0</v>
      </c>
      <c r="DR382" s="20">
        <v>0</v>
      </c>
      <c r="DS382" s="20">
        <f>INDEX(Input!$1:$1048576,DS$93,$C382*2+6)</f>
        <v>0.6</v>
      </c>
      <c r="DT382" s="20">
        <f>INDEX(Input!$1:$1048576,DT$93,$C382*2+6)</f>
        <v>0.55000000000000004</v>
      </c>
      <c r="DU382" s="20">
        <f>INDEX(Input!$1:$1048576,DU$93,$C382*2+6)</f>
        <v>0.52</v>
      </c>
      <c r="DV382" s="20">
        <f>INDEX(Input!$1:$1048576,DV$93,$C382*2+6)</f>
        <v>0.5</v>
      </c>
      <c r="DW382" s="20">
        <f>INDEX(Input!$1:$1048576,DW$93,$C382*2+6)</f>
        <v>0.45</v>
      </c>
      <c r="DX382" s="20"/>
      <c r="DY382" s="7">
        <v>9.5417165930581707E-2</v>
      </c>
      <c r="DZ382" s="7">
        <v>0</v>
      </c>
      <c r="EA382" s="7">
        <v>0.6895117614475812</v>
      </c>
      <c r="EB382" s="7">
        <v>0</v>
      </c>
      <c r="EC382" s="7">
        <v>0</v>
      </c>
      <c r="ED382" s="7">
        <v>0</v>
      </c>
      <c r="EE382" s="7">
        <v>0</v>
      </c>
      <c r="EF382" s="7">
        <v>0</v>
      </c>
      <c r="EG382" s="7">
        <v>0</v>
      </c>
      <c r="EH382" s="7">
        <v>1.6271235546115637E-2</v>
      </c>
      <c r="EI382" s="7">
        <v>4.5560611877068939E-2</v>
      </c>
      <c r="EJ382" s="7">
        <v>0.26732282814204128</v>
      </c>
      <c r="EK382" s="7">
        <v>0.47916093892683997</v>
      </c>
      <c r="EL382" s="7">
        <v>0.1916843855079341</v>
      </c>
      <c r="EM382" s="7">
        <v>4.7500405323622326E-2</v>
      </c>
      <c r="EN382" s="7">
        <v>6.1170247480634841E-2</v>
      </c>
      <c r="EO382" s="7">
        <v>0.7699095804829903</v>
      </c>
      <c r="EP382" s="7">
        <v>6.9598736411672038E-2</v>
      </c>
      <c r="EQ382" s="7">
        <v>6.5292334057101428E-2</v>
      </c>
      <c r="ER382" s="7">
        <v>3.4029101567601694E-2</v>
      </c>
      <c r="ES382" s="7">
        <v>0.16757066729821476</v>
      </c>
      <c r="ET382" s="7">
        <v>0.21507107262183703</v>
      </c>
      <c r="EU382" s="6">
        <v>1111</v>
      </c>
      <c r="EV382" s="6">
        <v>0</v>
      </c>
      <c r="EW382" s="6">
        <v>1111</v>
      </c>
      <c r="EX382" s="6">
        <v>0</v>
      </c>
      <c r="EY382" s="6">
        <v>1954.296411910695</v>
      </c>
      <c r="EZ382" s="6">
        <v>1929</v>
      </c>
      <c r="FA382" s="6">
        <v>0</v>
      </c>
      <c r="FB382" s="6">
        <v>0</v>
      </c>
      <c r="FC382" s="6">
        <v>0</v>
      </c>
      <c r="FD382" s="6">
        <v>0</v>
      </c>
      <c r="FE382" s="6">
        <v>0</v>
      </c>
      <c r="FF382" s="6">
        <v>0</v>
      </c>
      <c r="FG382" s="6">
        <v>0</v>
      </c>
      <c r="FH382" s="6">
        <v>1172.0060746072668</v>
      </c>
      <c r="FI382" s="6">
        <v>1553.9796069512399</v>
      </c>
      <c r="FJ382" s="6">
        <v>1735.1562230702812</v>
      </c>
      <c r="FK382" s="6">
        <v>1284.9687470586853</v>
      </c>
      <c r="FL382" s="6">
        <v>907.07682140966347</v>
      </c>
      <c r="FM382" s="6">
        <v>1343.296411910695</v>
      </c>
      <c r="FN382" s="6">
        <v>0</v>
      </c>
      <c r="FO382" s="6">
        <v>0</v>
      </c>
      <c r="FP382" s="6">
        <v>0</v>
      </c>
      <c r="FQ382" s="6">
        <v>0</v>
      </c>
      <c r="FR382" s="6">
        <v>0</v>
      </c>
      <c r="FS382" s="6">
        <v>0</v>
      </c>
      <c r="FT382" s="7">
        <v>0.78492892737816289</v>
      </c>
      <c r="FU382" s="7">
        <v>4.7500405323622326E-2</v>
      </c>
      <c r="FV382" s="7">
        <v>0.16757066729821476</v>
      </c>
      <c r="FW382" s="6">
        <v>1111</v>
      </c>
      <c r="FX382" s="6">
        <v>1954.296411910695</v>
      </c>
      <c r="FY382" s="6">
        <v>1929</v>
      </c>
      <c r="FZ382" s="6">
        <v>1858.9243755539039</v>
      </c>
      <c r="GA382" s="6">
        <v>1288.1297272236538</v>
      </c>
      <c r="GB382" s="6">
        <v>18696.870272776345</v>
      </c>
      <c r="GC382" s="7">
        <v>2.9156573141622111E-2</v>
      </c>
      <c r="GD382" s="7">
        <v>2.7771992288362246E-2</v>
      </c>
      <c r="GE382" s="7"/>
      <c r="GF382" s="7"/>
      <c r="GG382" s="7">
        <v>-4.7487777337019206E-2</v>
      </c>
      <c r="GH382" s="42">
        <v>1.6626701614259563</v>
      </c>
      <c r="GI382" s="6">
        <v>13307.952097079777</v>
      </c>
      <c r="GJ382" s="14">
        <v>0.50394797582841733</v>
      </c>
      <c r="GK382" s="14">
        <v>0.50887573065309732</v>
      </c>
      <c r="GL382" s="14">
        <v>0.49605202417158262</v>
      </c>
      <c r="GM382" s="14">
        <v>0.4911242693469024</v>
      </c>
      <c r="GO382" s="5">
        <v>343.14810671672558</v>
      </c>
      <c r="GP382" s="5">
        <v>321.95234619843228</v>
      </c>
      <c r="GQ382" s="5">
        <v>535.04305713031317</v>
      </c>
      <c r="GR382" s="5">
        <v>410.15490233172511</v>
      </c>
      <c r="GS382" s="5">
        <v>339.42744393800166</v>
      </c>
      <c r="GT382" s="5">
        <v>293.4407446948278</v>
      </c>
      <c r="GU382" s="5">
        <v>258.04012322764959</v>
      </c>
      <c r="GV382" s="39" t="s">
        <v>392</v>
      </c>
      <c r="GW382" s="5">
        <v>482.65277777777777</v>
      </c>
      <c r="GX382" s="5">
        <v>361.98958333333331</v>
      </c>
      <c r="GY382" s="5">
        <v>296.26491110195894</v>
      </c>
      <c r="GZ382" s="5">
        <v>263.22109617794104</v>
      </c>
      <c r="HA382" s="5">
        <v>236.70336205047303</v>
      </c>
      <c r="HB382" s="39">
        <v>275.04180395130845</v>
      </c>
      <c r="HC382" s="5">
        <v>202.890625</v>
      </c>
      <c r="HD382" s="5">
        <v>182.20330774853798</v>
      </c>
      <c r="HE382" s="5">
        <v>187.48257844129552</v>
      </c>
      <c r="HF382" s="5">
        <v>176.30063048245611</v>
      </c>
      <c r="HG382" s="5">
        <v>173.65888157894736</v>
      </c>
      <c r="HH382" s="39">
        <v>183.16002791206137</v>
      </c>
      <c r="HI382" s="16"/>
      <c r="HJ382" s="19" t="str">
        <f t="shared" ref="HJ382:HK382" si="1107">HJ381</f>
        <v>On</v>
      </c>
      <c r="HK382" s="1" t="str">
        <f t="shared" si="1107"/>
        <v>On</v>
      </c>
      <c r="HL382" s="16"/>
      <c r="HM382" s="639">
        <f t="shared" si="1023"/>
        <v>2.2758057894877178E-2</v>
      </c>
      <c r="HN382" s="639">
        <f t="shared" si="1024"/>
        <v>1.416759231746561E-3</v>
      </c>
      <c r="HO382" s="639">
        <f t="shared" si="1025"/>
        <v>4.5732401537654987E-3</v>
      </c>
      <c r="HP382" s="644">
        <f>(FT382*$GD382-HM382)/$JF382*INDEX(Input!$1:$1048576,$JG$93,$C382*2+6)</f>
        <v>-53.708624746997081</v>
      </c>
      <c r="HQ382" s="644">
        <f>(FU382*$GD382-HN382)/$JF382*INDEX(Input!$1:$1048576,$JG$93,$C382*2+6)</f>
        <v>-5.4647563878677072</v>
      </c>
      <c r="HR382" s="644">
        <f>(FV382*$GD382-HO382)/$JF382*INDEX(Input!$1:$1048576,$JG$93,$C382*2+6)</f>
        <v>4.5100478238015702</v>
      </c>
      <c r="HS382" s="644">
        <f t="shared" si="1014"/>
        <v>27.727139010591262</v>
      </c>
      <c r="HT382" s="644">
        <f t="shared" si="1094"/>
        <v>-16.855866249536618</v>
      </c>
      <c r="HU382" s="644">
        <f t="shared" si="1027"/>
        <v>-9.0278461670392769</v>
      </c>
      <c r="HV382" s="648">
        <f t="shared" si="1028"/>
        <v>0</v>
      </c>
      <c r="HW382" s="648">
        <f t="shared" si="1029"/>
        <v>0</v>
      </c>
      <c r="HX382" s="648">
        <f t="shared" si="1030"/>
        <v>0</v>
      </c>
      <c r="HY382" s="644">
        <f>INDEX(Input!$1:$1048576,HY$93,$C382*2+6)*INDEX(Input!$1:$1048576,$JG$93,$C382*2+6)</f>
        <v>509.00000000000006</v>
      </c>
      <c r="HZ382" s="644">
        <f>INDEX(Input!$1:$1048576,HZ$93,$C382*2+6)*INDEX(Input!$1:$1048576,$JG$93,$C382*2+6)</f>
        <v>844</v>
      </c>
      <c r="IA382" s="644">
        <f>INDEX(Input!$1:$1048576,IA$93,$C382*2+6)*INDEX(Input!$1:$1048576,$JG$93,$C382*2+6)</f>
        <v>257</v>
      </c>
      <c r="IB382" s="644">
        <f t="shared" si="1051"/>
        <v>483.01851426359417</v>
      </c>
      <c r="IC382" s="644">
        <f t="shared" si="1052"/>
        <v>821.67937736259569</v>
      </c>
      <c r="ID382" s="644">
        <f>IF(AND(INDEX(Input!$1:$1048576,IA$93,$C382*2+7)="TOS",Y382&lt;=INDEX(Y:Y,MATCH(C382*1000+2,A:A))),0,1)*MAX(IA382+HR382+HU382+HX382,0%)</f>
        <v>252.4822016567623</v>
      </c>
      <c r="IE382" s="128">
        <f t="shared" si="1095"/>
        <v>0.3101879585714854</v>
      </c>
      <c r="IF382" s="128">
        <f t="shared" si="1096"/>
        <v>0.52767138554300153</v>
      </c>
      <c r="IG382" s="128">
        <f t="shared" si="1087"/>
        <v>0.16214065588551307</v>
      </c>
      <c r="IH382" s="21"/>
      <c r="II382" s="19">
        <f t="shared" si="1032"/>
        <v>1410.4999999999998</v>
      </c>
      <c r="IJ382" s="19">
        <f t="shared" si="1033"/>
        <v>2134.9731585778086</v>
      </c>
      <c r="IK382" s="19">
        <f t="shared" si="1034"/>
        <v>2103.5</v>
      </c>
      <c r="IL382" s="19">
        <f t="shared" si="1053"/>
        <v>-299.49999999999977</v>
      </c>
      <c r="IM382" s="19">
        <f t="shared" si="1035"/>
        <v>-180.67674666711355</v>
      </c>
      <c r="IN382" s="19">
        <f t="shared" si="1036"/>
        <v>-174.5</v>
      </c>
      <c r="IO382" s="39">
        <f t="shared" si="1037"/>
        <v>0</v>
      </c>
      <c r="IP382" s="39">
        <f t="shared" si="1038"/>
        <v>0</v>
      </c>
      <c r="IQ382" s="39">
        <f t="shared" si="1039"/>
        <v>0</v>
      </c>
      <c r="IR382" s="39">
        <v>0</v>
      </c>
      <c r="IS382" s="39">
        <v>0</v>
      </c>
      <c r="IT382" s="39">
        <v>0</v>
      </c>
      <c r="IU382" s="39">
        <v>0</v>
      </c>
      <c r="IV382" s="39">
        <v>0</v>
      </c>
      <c r="IW382" s="39">
        <v>0</v>
      </c>
      <c r="IX382" s="39">
        <f>INDEX(Input!$1:$1048576,IX$93,$C382*2+6)+INDEX(Input!$1:$1048576,IX$94,$C382*2+6)</f>
        <v>1611</v>
      </c>
      <c r="IY382" s="39">
        <f>INDEX(Input!$1:$1048576,IY$93,$C382*2+6)+INDEX(Input!$1:$1048576,IY$94,$C382*2+6)</f>
        <v>2471.0624533823611</v>
      </c>
      <c r="IZ382" s="39">
        <f>INDEX(Input!$1:$1048576,IZ$93,$C382*2+6)+INDEX(Input!$1:$1048576,IZ$94,$C382*2+6)</f>
        <v>3994.7164157747857</v>
      </c>
      <c r="JA382" s="19">
        <f t="shared" si="1054"/>
        <v>1311.5000000000002</v>
      </c>
      <c r="JB382" s="19">
        <f t="shared" si="1055"/>
        <v>2290.3857067152476</v>
      </c>
      <c r="JC382" s="19">
        <f t="shared" si="1056"/>
        <v>3820.2164157747857</v>
      </c>
      <c r="JD382" s="19">
        <f t="shared" si="1057"/>
        <v>2234.7949022351522</v>
      </c>
      <c r="JE382" s="21"/>
      <c r="JF382" s="1">
        <f t="shared" si="1040"/>
        <v>2.8748057280389237E-2</v>
      </c>
      <c r="JG382" s="15">
        <f>INDEX(Input!$1:$1048576,JG$93,$C382*2+6)/(1+VLOOKUP(C382*1000+INDEX(Input!$1:$1048576,JG$93+1,$C382*2+6),$A:$KK,$JK$92,FALSE))</f>
        <v>1610</v>
      </c>
      <c r="JH382" s="1">
        <f t="shared" si="1058"/>
        <v>-3.3952380938548583E-2</v>
      </c>
      <c r="JI382" s="1">
        <f t="shared" si="1059"/>
        <v>1.1449854621213462E-3</v>
      </c>
      <c r="JJ382" s="1">
        <f t="shared" si="1097"/>
        <v>0</v>
      </c>
      <c r="JK382" s="1">
        <f t="shared" si="1098"/>
        <v>-3.2807395476427234E-2</v>
      </c>
      <c r="JL382" s="15">
        <f t="shared" si="1060"/>
        <v>-52.81990671704785</v>
      </c>
      <c r="JM382" s="15">
        <f t="shared" si="1079"/>
        <v>1557.1800932829522</v>
      </c>
      <c r="JN382" s="21"/>
      <c r="JO382" s="19">
        <f>INDEX(Input!$1:$1048576,JO$93,$C382*2+6)</f>
        <v>5995.5</v>
      </c>
      <c r="JP382" s="19">
        <f>INDEX(Input!$1:$1048576,JP$93,$C382*2+6)</f>
        <v>2442.3713226762939</v>
      </c>
      <c r="JQ382" s="39">
        <f t="shared" si="1068"/>
        <v>3760.7050977648478</v>
      </c>
      <c r="JR382" s="39">
        <f t="shared" si="1082"/>
        <v>-207.57642044114164</v>
      </c>
      <c r="JS382" s="39">
        <f t="shared" si="1069"/>
        <v>3.4799781343308003</v>
      </c>
      <c r="JT382" s="39">
        <f t="shared" si="1061"/>
        <v>-0.45223969517803286</v>
      </c>
      <c r="JU382" s="385">
        <f>(JQ382*JM382-INDEX(Input!$1:$1048576,Input!A$18,$C382*2+6)*JL382*INDEX(Input!$1:$1048576,Input!A$19,$C382*2+6))/1000000</f>
        <v>5.8560951149471396</v>
      </c>
      <c r="JV382" s="39">
        <f t="shared" si="1103"/>
        <v>0.13555794445597247</v>
      </c>
      <c r="JW382" s="1">
        <f t="shared" si="1080"/>
        <v>2.3696715957940959E-2</v>
      </c>
      <c r="JX382" s="19">
        <f t="shared" si="1073"/>
        <v>8561.9177178908303</v>
      </c>
      <c r="JZ382" s="341"/>
      <c r="KA382" s="342"/>
      <c r="KB382" s="469">
        <f t="shared" si="1070"/>
        <v>2.5190675447988795</v>
      </c>
      <c r="KI382" s="473">
        <f t="shared" si="1099"/>
        <v>-25.981485736405943</v>
      </c>
      <c r="KJ382" s="473">
        <f t="shared" si="1100"/>
        <v>-22.320622637404313</v>
      </c>
      <c r="KK382" s="473">
        <f t="shared" si="1092"/>
        <v>-4.5177983432377005</v>
      </c>
      <c r="KN382" s="544">
        <f t="shared" si="1074"/>
        <v>3002</v>
      </c>
      <c r="KO382" s="541">
        <f t="shared" si="1041"/>
        <v>-6.1448598578709657E-2</v>
      </c>
      <c r="KP382" s="546">
        <f t="shared" si="1042"/>
        <v>-414.62632374038139</v>
      </c>
      <c r="KQ382" s="546">
        <f t="shared" si="1043"/>
        <v>-401.11852315354599</v>
      </c>
      <c r="KR382" s="548">
        <f t="shared" si="1044"/>
        <v>2.571175527432493</v>
      </c>
      <c r="KS382" s="548">
        <f t="shared" si="1045"/>
        <v>2.6577607243096133</v>
      </c>
      <c r="KT382" s="473">
        <f t="shared" si="1071"/>
        <v>1026.1618045255443</v>
      </c>
      <c r="KU382" s="663">
        <f t="shared" si="1063"/>
        <v>4.6277278352824824</v>
      </c>
    </row>
    <row r="383" spans="1:307" s="26" customFormat="1" ht="15" outlineLevel="1">
      <c r="A383" s="561">
        <f t="shared" si="1046"/>
        <v>3083</v>
      </c>
      <c r="B383" s="561">
        <f t="shared" si="1064"/>
        <v>83</v>
      </c>
      <c r="C383" s="561">
        <f t="shared" si="1065"/>
        <v>3</v>
      </c>
      <c r="D383" s="561" t="str">
        <f t="shared" si="974"/>
        <v xml:space="preserve">250 CC, 0.9/1.9/2.9/3.9, -360 Lease, </v>
      </c>
      <c r="E383" s="475">
        <f>INDEX(Input!$1:$1048576,E$93,$C383*2+MIN($B383,2)+5)
+INDEX(Scenarios!E$121:E$200,MATCH($B383,Scenarios!$B$121:$B$200,0))</f>
        <v>1537.0236024844721</v>
      </c>
      <c r="F383" s="475">
        <f>INDEX(Input!$1:$1048576,F$93,$C383*2+MIN($B383,2)+5)
+INDEX(Scenarios!F$121:F$200,MATCH($B383,Scenarios!$B$121:$B$200,0))</f>
        <v>0</v>
      </c>
      <c r="G383" s="475">
        <f>INDEX(Input!$1:$1048576,G$93,$C383*2+MIN($B383,2)+5)
+INDEX(Scenarios!G$121:G$200,MATCH($B383,Scenarios!$B$121:$B$200,0))</f>
        <v>0</v>
      </c>
      <c r="H383" s="475">
        <f>INDEX(Input!$1:$1048576,H$93,$C383*2+MIN($B383,2)+5)
+INDEX(Scenarios!H$121:H$200,MATCH($B383,Scenarios!$B$121:$B$200,0))</f>
        <v>0</v>
      </c>
      <c r="I383" s="476">
        <f>INDEX(Input!$1:$1048576,I$93,$C383*2+MIN($B383,2)+5)</f>
        <v>0.7</v>
      </c>
      <c r="J383" s="476" t="str">
        <f>INDEX(Input!$1:$1048576,J$93,$C383*2+MIN($B383,2)+5)</f>
        <v>Market</v>
      </c>
      <c r="K383" s="476" t="str">
        <f>INDEX(Input!$1:$1048576,K$93,$C383*2+MIN($B383,2)+5)</f>
        <v>Market</v>
      </c>
      <c r="L383" s="476" t="str">
        <f>INDEX(Input!$1:$1048576,L$93,$C383*2+MIN($B383,2)+5)</f>
        <v>Market</v>
      </c>
      <c r="M383" s="476" t="str">
        <f>INDEX(Input!$1:$1048576,M$93,$C383*2+MIN($B383,2)+5)</f>
        <v>Market</v>
      </c>
      <c r="N383" s="476" t="str">
        <f>INDEX(Input!$1:$1048576,N$93,$C383*2+MIN($B383,2)+5)</f>
        <v>Market</v>
      </c>
      <c r="O383" s="476" t="str">
        <f>INDEX(Input!$1:$1048576,O$93,$C383*2+MIN($B383,2)+5)</f>
        <v>Market</v>
      </c>
      <c r="P383" s="476" t="str">
        <f>INDEX(Input!$1:$1048576,P$93,$C383*2+MIN($B383,2)+5)</f>
        <v>N</v>
      </c>
      <c r="Q383" s="477">
        <f>INDEX(Input!$1:$1048576,Q$93,$C383*2+MIN($B383,2)+5)
+INDEX(Scenarios!Q$121:Q$200,MATCH($B383,Scenarios!$B$121:$B$200,0))</f>
        <v>0</v>
      </c>
      <c r="R383" s="478">
        <f>IFERROR(MAX(0,INDEX(Input!$1:$1048576,R$93,$C383*2+MIN($B383,2)+5)
+INDEX(Scenarios!R$121:R$200,MATCH($B383,Scenarios!$B$121:$B$200,0)),),"Market")</f>
        <v>0</v>
      </c>
      <c r="S383" s="478">
        <f>IFERROR(MAX(0,INDEX(Input!$1:$1048576,S$93,$C383*2+MIN($B383,2)+5)
+INDEX(Scenarios!S$121:S$200,MATCH($B383,Scenarios!$B$121:$B$200,0)),),"Market")</f>
        <v>0</v>
      </c>
      <c r="T383" s="478">
        <f>IFERROR(MAX(0,INDEX(Input!$1:$1048576,T$93,$C383*2+MIN($B383,2)+5)
+INDEX(Scenarios!T$121:T$200,MATCH($B383,Scenarios!$B$121:$B$200,0)),),"Market")</f>
        <v>0</v>
      </c>
      <c r="U383" s="478">
        <f>IFERROR(MAX(0,INDEX(Input!$1:$1048576,U$93,$C383*2+MIN($B383,2)+5)
+INDEX(Scenarios!U$121:U$200,MATCH($B383,Scenarios!$B$121:$B$200,0)),),"Market")</f>
        <v>9.0000000000000011E-3</v>
      </c>
      <c r="V383" s="478">
        <f>IFERROR(MAX(0,INDEX(Input!$1:$1048576,V$93,$C383*2+MIN($B383,2)+5)
+INDEX(Scenarios!V$121:V$200,MATCH($B383,Scenarios!$B$121:$B$200,0)),),"Market")</f>
        <v>2.8999999999999998E-2</v>
      </c>
      <c r="W383" s="885">
        <f>IFERROR(MAX(0,INDEX(Input!$1:$1048576,W$93,$C383*2+MIN($B383,2)+5)-0%,),"Market")</f>
        <v>3.9E-2</v>
      </c>
      <c r="X383" s="476" t="str">
        <f>INDEX(Input!$1:$1048576,X$93,$C383*2+MIN($B383,2)+5)</f>
        <v>Y</v>
      </c>
      <c r="Y383" s="475">
        <f>INDEX(Input!$1:$1048576,Y$93,$C383*2+MIN($B383,2)+5)
++INDEX(Scenarios!Y$121:Y$200,MATCH($B383,Scenarios!$B$121:$B$200,0))</f>
        <v>1194.9999999999991</v>
      </c>
      <c r="Z383" s="477">
        <f>INDEX(Input!$1:$1048576,Z$93,$C383*2+MIN($B383,2)+5)
+INDEX(Scenarios!Z$121:Z$200,MATCH($B383,Scenarios!$B$121:$B$200,0))</f>
        <v>0</v>
      </c>
      <c r="AA383" s="475">
        <f>INDEX(Input!$1:$1048576,AA$93,$C383*2+MIN($B383,2)+5)
+INDEX(Scenarios!AA$121:AA$200,MATCH($B383,Scenarios!$B$121:$B$200,0))</f>
        <v>0</v>
      </c>
      <c r="AB383" s="476">
        <f>INDEX(Input!$1:$1048576,AB$93,$C383*2+MIN($B383,2)+5)</f>
        <v>0.27</v>
      </c>
      <c r="AC383" s="475">
        <f>INDEX(Input!$1:$1048576,AC$93,$C383*2+MIN($B383,2)+5)
+INDEX(Scenarios!AC$121:AC$200,MATCH($B383,Scenarios!$B$121:$B$200,0))</f>
        <v>0</v>
      </c>
      <c r="AD383" s="476">
        <f>INDEX(Input!$1:$1048576,AD$93,$C383*2+MIN($B383,2)+5)</f>
        <v>0.27</v>
      </c>
      <c r="AE383" s="475">
        <f>INDEX(Input!$1:$1048576,AE$93,$C383*2+MIN($B383,2)+5)
+INDEX(Scenarios!AE$121:AE$200,MATCH($B383,Scenarios!$B$121:$B$200,0))</f>
        <v>0</v>
      </c>
      <c r="AF383" s="476">
        <f>INDEX(Input!$1:$1048576,AF$93,$C383*2+MIN($B383,2)+5)</f>
        <v>0.68200000000000005</v>
      </c>
      <c r="AG383" s="475">
        <f>INDEX(Input!$1:$1048576,AG$93,$C383*2+MIN($B383,2)+5)
+INDEX(Scenarios!AG$121:AG$200,MATCH($B383,Scenarios!$B$121:$B$200,0))</f>
        <v>500</v>
      </c>
      <c r="AH383" s="476">
        <f>INDEX(Input!$1:$1048576,AH$93,$C383*2+MIN($B383,2)+5)</f>
        <v>1</v>
      </c>
      <c r="AI383" s="475">
        <f>INDEX(Input!$1:$1048576,AI$93,$C383*2+MIN($B383,2)+5)
+INDEX(Scenarios!AI$121:AI$200,MATCH($B383,Scenarios!$B$121:$B$200,0))</f>
        <v>0</v>
      </c>
      <c r="AJ383" s="476">
        <f>INDEX(Input!$1:$1048576,AJ$93,$C383*2+MIN($B383,2)+5)</f>
        <v>0.27</v>
      </c>
      <c r="AK383" s="150">
        <f>ROUND(INDEX(Input!$1:$1048576,AK$93,$C382*2+MIN($B383,1)+5)+(Y383-VLOOKUP($C383*1000+1,$A:$HH,Y$92,FALSE)),0)</f>
        <v>2617</v>
      </c>
      <c r="AL383" s="150">
        <f>ROUND(INDEX(Input!$1:$1048576,AL$93,$C382*2+MIN($B383,1)+5)-(Y383-VLOOKUP($C383*1000+1,$A:$HH,Y$92,FALSE))/36,0)</f>
        <v>3405</v>
      </c>
      <c r="AM383" s="32" t="str">
        <f t="shared" si="1047"/>
        <v>std/std/std/std</v>
      </c>
      <c r="AN383" s="32" t="str">
        <f t="shared" si="1048"/>
        <v>$0 + 0/0/0.9/2.9/3.9</v>
      </c>
      <c r="AO383" s="32" t="str">
        <f t="shared" si="1049"/>
        <v>0/0/0.9/2.9/3.9</v>
      </c>
      <c r="AP383" s="32" t="str">
        <f t="shared" si="993"/>
        <v>0.9/1.9/2.9/3.9</v>
      </c>
      <c r="AQ383" s="536">
        <f t="shared" si="992"/>
        <v>0.37914296266508124</v>
      </c>
      <c r="AR383" s="32"/>
      <c r="AS383" s="302"/>
      <c r="AT383" s="3">
        <f t="shared" si="1066"/>
        <v>83</v>
      </c>
      <c r="AU383" s="41" t="s">
        <v>121</v>
      </c>
      <c r="AV383" s="41" t="s">
        <v>116</v>
      </c>
      <c r="AW383" s="41" t="str">
        <f>INDEX(Input!$1:$1048576,AW$93,$C383*2+6)</f>
        <v>Kia</v>
      </c>
      <c r="AX383" s="41" t="str">
        <f>INDEX(Input!$1:$1048576,AX$93,$C383*2+6)</f>
        <v>Kia-LR - L3</v>
      </c>
      <c r="AY383" s="41" t="str">
        <f>IF(LEN(D383)=0,"",INDEX(Input!$1:$1048576,AY$93,$C383*2+6))</f>
        <v>Compact SUV (52)</v>
      </c>
      <c r="AZ383" s="41" t="str">
        <f>INDEX(Input!$1:$1048576,AZ$93,$C383*2+6)</f>
        <v>Kia Soul</v>
      </c>
      <c r="BA383" s="3">
        <f>INDEX(Input!$1:$1048576,BA$93,$C383*2+6)</f>
        <v>2020</v>
      </c>
      <c r="BB383" s="128">
        <f>INDEX(Input!$1:$1048576,BB$93,$C383*2+6)</f>
        <v>1</v>
      </c>
      <c r="BC383" s="128">
        <f>INDEX(Input!$1:$1048576,BC$93,$C383*2+6)</f>
        <v>0.7</v>
      </c>
      <c r="BD383" s="1">
        <f>INDEX(Input!$1:$1048576,BD$93,$C383*2+6)</f>
        <v>4.4999999999999998E-2</v>
      </c>
      <c r="BE383" s="1">
        <f>INDEX(Input!$1:$1048576,BE$93,$C383*2+6)</f>
        <v>4.4999999999999998E-2</v>
      </c>
      <c r="BF383" s="1">
        <f>INDEX(Input!$1:$1048576,BF$93,$C383*2+6)</f>
        <v>0.05</v>
      </c>
      <c r="BG383" s="1">
        <f>INDEX(Input!$1:$1048576,BG$93,$C383*2+6)</f>
        <v>5.45E-2</v>
      </c>
      <c r="BH383" s="1">
        <f>INDEX(Input!$1:$1048576,BH$93,$C383*2+6)</f>
        <v>5.45E-2</v>
      </c>
      <c r="BI383" s="1">
        <f>INDEX(Input!$1:$1048576,BI$93,$C383*2+6)</f>
        <v>0.05</v>
      </c>
      <c r="BJ383" s="1">
        <f>INDEX(Input!$1:$1048576,BJ$93,$C383*2+6)</f>
        <v>0.05</v>
      </c>
      <c r="BK383" s="1">
        <f>INDEX(Input!$1:$1048576,BK$93,$C383*2+6)</f>
        <v>0.05</v>
      </c>
      <c r="BL383" s="1">
        <f>INDEX(Input!$1:$1048576,BL$93,$C383*2+6)</f>
        <v>5.5E-2</v>
      </c>
      <c r="BM383" s="1">
        <f>INDEX(Input!$1:$1048576,BM$93,$C383*2+6)</f>
        <v>0.06</v>
      </c>
      <c r="BN383" s="1">
        <f>INDEX(Input!$1:$1048576,BN$93,$C383*2+6)</f>
        <v>4.4999999999999998E-2</v>
      </c>
      <c r="BO383" s="1">
        <f>INDEX(Input!$1:$1048576,BO$93,$C383*2+6)</f>
        <v>4.4999999999999998E-2</v>
      </c>
      <c r="BP383" s="1">
        <f>INDEX(Input!$1:$1048576,BP$93,$C383*2+6)</f>
        <v>0.05</v>
      </c>
      <c r="BQ383" s="1">
        <f>INDEX(Input!$1:$1048576,BQ$93,$C383*2+6)</f>
        <v>5.45E-2</v>
      </c>
      <c r="BR383" s="1">
        <f>INDEX(Input!$1:$1048576,BR$93,$C383*2+6)</f>
        <v>5.45E-2</v>
      </c>
      <c r="BS383" s="1">
        <f>INDEX(Input!$1:$1048576,BS$93,$C383*2+6)</f>
        <v>0.05</v>
      </c>
      <c r="BT383" s="1">
        <f>INDEX(Input!$1:$1048576,BT$93,$C383*2+6)</f>
        <v>0.05</v>
      </c>
      <c r="BU383" s="1">
        <f>INDEX(Input!$1:$1048576,BU$93,$C383*2+6)</f>
        <v>0.05</v>
      </c>
      <c r="BV383" s="1">
        <f>INDEX(Input!$1:$1048576,BV$93,$C383*2+6)</f>
        <v>5.5E-2</v>
      </c>
      <c r="BW383" s="1">
        <f>INDEX(Input!$1:$1048576,BW$93,$C383*2+6)</f>
        <v>0.06</v>
      </c>
      <c r="BX383" s="127">
        <f>INDEX(Input!$1:$1048576,BX$93,$C383*2+6)</f>
        <v>19985</v>
      </c>
      <c r="BY383" s="20">
        <f>INDEX(Input!$1:$1048576,BY$93,$C383*2+6)</f>
        <v>0.1</v>
      </c>
      <c r="BZ383" s="20">
        <f>INDEX(Input!$1:$1048576,BZ$93,$C383*2+6)</f>
        <v>0.1</v>
      </c>
      <c r="CA383" s="20">
        <f>INDEX(Input!$1:$1048576,CA$93,$C383*2+6)</f>
        <v>0.1</v>
      </c>
      <c r="CB383" s="20">
        <f>INDEX(Input!$1:$1048576,CB$93,$C383*2+6)</f>
        <v>0.1</v>
      </c>
      <c r="CC383" s="20">
        <f>INDEX(Input!$1:$1048576,CC$93,$C383*2+6)</f>
        <v>0.1</v>
      </c>
      <c r="CD383" s="384">
        <f>INDEX(Input!$1:$1048576,CD$93,$C383*2+6)</f>
        <v>0.1</v>
      </c>
      <c r="CE383" s="384">
        <f>INDEX(Input!$1:$1048576,CE$93,$C383*2+6)</f>
        <v>0.1</v>
      </c>
      <c r="CF383" s="384">
        <f>INDEX(Input!$1:$1048576,CF$93,$C383*2+6)</f>
        <v>0.1</v>
      </c>
      <c r="CG383" s="384">
        <f>INDEX(Input!$1:$1048576,CG$93,$C383*2+6)</f>
        <v>0.1</v>
      </c>
      <c r="CH383" s="384">
        <f>INDEX(Input!$1:$1048576,CH$93,$C383*2+6)</f>
        <v>0.1</v>
      </c>
      <c r="CI383" s="304">
        <f t="shared" si="994"/>
        <v>1537.0236024844721</v>
      </c>
      <c r="CJ383" s="16" t="str">
        <f>INDEX(Input!$1:$1048576,CJ$93,$C383*2+6)</f>
        <v>N</v>
      </c>
      <c r="CK383" s="1" t="str">
        <f t="shared" si="995"/>
        <v>Market</v>
      </c>
      <c r="CL383" s="1" t="str">
        <f t="shared" si="996"/>
        <v>Market</v>
      </c>
      <c r="CM383" s="1" t="str">
        <f t="shared" si="997"/>
        <v>Market</v>
      </c>
      <c r="CN383" s="1" t="str">
        <f t="shared" si="998"/>
        <v>Market</v>
      </c>
      <c r="CO383" s="1" t="str">
        <f t="shared" si="999"/>
        <v>Market</v>
      </c>
      <c r="CP383" s="304">
        <f t="shared" si="1000"/>
        <v>500</v>
      </c>
      <c r="CQ383" s="1">
        <f t="shared" si="1001"/>
        <v>0</v>
      </c>
      <c r="CR383" s="1">
        <f t="shared" si="1002"/>
        <v>0</v>
      </c>
      <c r="CS383" s="1">
        <f t="shared" si="1003"/>
        <v>9.0000000000000011E-3</v>
      </c>
      <c r="CT383" s="1">
        <f t="shared" si="1004"/>
        <v>2.8999999999999998E-2</v>
      </c>
      <c r="CU383" s="1">
        <f t="shared" si="1005"/>
        <v>3.9E-2</v>
      </c>
      <c r="CV383" s="304">
        <f t="shared" si="1006"/>
        <v>1194.9999999999991</v>
      </c>
      <c r="CW383" s="20" t="s">
        <v>122</v>
      </c>
      <c r="CX383" s="20" t="s">
        <v>122</v>
      </c>
      <c r="CY383" s="20" t="s">
        <v>122</v>
      </c>
      <c r="CZ383" s="20" t="s">
        <v>122</v>
      </c>
      <c r="DA383" s="20" t="s">
        <v>122</v>
      </c>
      <c r="DB383" s="503">
        <f t="shared" si="1007"/>
        <v>0</v>
      </c>
      <c r="DC383" s="127">
        <v>0</v>
      </c>
      <c r="DD383" s="127">
        <v>0</v>
      </c>
      <c r="DE383" s="127">
        <v>0</v>
      </c>
      <c r="DF383" s="127">
        <v>0</v>
      </c>
      <c r="DG383" s="127">
        <v>0</v>
      </c>
      <c r="DH383" s="127">
        <v>0</v>
      </c>
      <c r="DI383" s="127">
        <v>0</v>
      </c>
      <c r="DJ383" s="127">
        <v>0</v>
      </c>
      <c r="DK383" s="127">
        <v>0</v>
      </c>
      <c r="DL383" s="127">
        <v>0</v>
      </c>
      <c r="DM383" s="304">
        <f>INDEX(Input!$1:$1048576,DM$93,$C383*2+6)</f>
        <v>21036.84210526316</v>
      </c>
      <c r="DN383" s="20">
        <v>0</v>
      </c>
      <c r="DO383" s="20">
        <v>0</v>
      </c>
      <c r="DP383" s="20">
        <v>0</v>
      </c>
      <c r="DQ383" s="20">
        <v>0</v>
      </c>
      <c r="DR383" s="20">
        <v>0</v>
      </c>
      <c r="DS383" s="20">
        <f>INDEX(Input!$1:$1048576,DS$93,$C383*2+6)</f>
        <v>0.6</v>
      </c>
      <c r="DT383" s="20">
        <f>INDEX(Input!$1:$1048576,DT$93,$C383*2+6)</f>
        <v>0.55000000000000004</v>
      </c>
      <c r="DU383" s="20">
        <f>INDEX(Input!$1:$1048576,DU$93,$C383*2+6)</f>
        <v>0.52</v>
      </c>
      <c r="DV383" s="20">
        <f>INDEX(Input!$1:$1048576,DV$93,$C383*2+6)</f>
        <v>0.5</v>
      </c>
      <c r="DW383" s="20">
        <f>INDEX(Input!$1:$1048576,DW$93,$C383*2+6)</f>
        <v>0.45</v>
      </c>
      <c r="DX383" s="20"/>
      <c r="DY383" s="7">
        <v>0.10994019805635685</v>
      </c>
      <c r="DZ383" s="7">
        <v>0</v>
      </c>
      <c r="EA383" s="7">
        <v>0.73604038293591056</v>
      </c>
      <c r="EB383" s="7">
        <v>0</v>
      </c>
      <c r="EC383" s="7">
        <v>0</v>
      </c>
      <c r="ED383" s="7">
        <v>0</v>
      </c>
      <c r="EE383" s="7">
        <v>0</v>
      </c>
      <c r="EF383" s="7">
        <v>0</v>
      </c>
      <c r="EG383" s="7">
        <v>0</v>
      </c>
      <c r="EH383" s="7">
        <v>1.6275840039866114E-2</v>
      </c>
      <c r="EI383" s="7">
        <v>4.5587155127732447E-2</v>
      </c>
      <c r="EJ383" s="7">
        <v>0.26791344508552206</v>
      </c>
      <c r="EK383" s="7">
        <v>0.47881320541054612</v>
      </c>
      <c r="EL383" s="7">
        <v>0.19141035433633322</v>
      </c>
      <c r="EM383" s="7">
        <v>3.4075223587925967E-2</v>
      </c>
      <c r="EN383" s="7">
        <v>6.1234811359903517E-2</v>
      </c>
      <c r="EO383" s="7">
        <v>0.77002115693453188</v>
      </c>
      <c r="EP383" s="7">
        <v>6.9475559095281789E-2</v>
      </c>
      <c r="EQ383" s="7">
        <v>6.5227989642782064E-2</v>
      </c>
      <c r="ER383" s="7">
        <v>3.4040482967500688E-2</v>
      </c>
      <c r="ES383" s="7">
        <v>0.11994419541980673</v>
      </c>
      <c r="ET383" s="7">
        <v>0.15401941900773264</v>
      </c>
      <c r="EU383" s="6">
        <v>1861</v>
      </c>
      <c r="EV383" s="6">
        <v>0</v>
      </c>
      <c r="EW383" s="6">
        <v>1861</v>
      </c>
      <c r="EX383" s="6">
        <v>0</v>
      </c>
      <c r="EY383" s="6">
        <v>1954.6726798778398</v>
      </c>
      <c r="EZ383" s="6">
        <v>1929</v>
      </c>
      <c r="FA383" s="6">
        <v>0</v>
      </c>
      <c r="FB383" s="6">
        <v>0</v>
      </c>
      <c r="FC383" s="6">
        <v>0</v>
      </c>
      <c r="FD383" s="6">
        <v>0</v>
      </c>
      <c r="FE383" s="6">
        <v>0</v>
      </c>
      <c r="FF383" s="6">
        <v>0</v>
      </c>
      <c r="FG383" s="6">
        <v>0</v>
      </c>
      <c r="FH383" s="6">
        <v>1172.018679927723</v>
      </c>
      <c r="FI383" s="6">
        <v>1553.9796069512397</v>
      </c>
      <c r="FJ383" s="6">
        <v>1735.1562230702807</v>
      </c>
      <c r="FK383" s="6">
        <v>1284.968747058685</v>
      </c>
      <c r="FL383" s="6">
        <v>907.07682140966335</v>
      </c>
      <c r="FM383" s="6">
        <v>1343.6726798778398</v>
      </c>
      <c r="FN383" s="6">
        <v>0</v>
      </c>
      <c r="FO383" s="6">
        <v>0</v>
      </c>
      <c r="FP383" s="6">
        <v>0</v>
      </c>
      <c r="FQ383" s="6">
        <v>0</v>
      </c>
      <c r="FR383" s="6">
        <v>0</v>
      </c>
      <c r="FS383" s="6">
        <v>0</v>
      </c>
      <c r="FT383" s="7">
        <v>0.84598058099226736</v>
      </c>
      <c r="FU383" s="7">
        <v>3.4075223587925967E-2</v>
      </c>
      <c r="FV383" s="7">
        <v>0.11994419541980673</v>
      </c>
      <c r="FW383" s="6">
        <v>1861</v>
      </c>
      <c r="FX383" s="6">
        <v>1954.6726798778398</v>
      </c>
      <c r="FY383" s="6">
        <v>1929</v>
      </c>
      <c r="FZ383" s="6">
        <v>1858.9243755539039</v>
      </c>
      <c r="GA383" s="6">
        <v>1872.3481227994648</v>
      </c>
      <c r="GB383" s="6">
        <v>18112.651877200537</v>
      </c>
      <c r="GC383" s="7">
        <v>2.9156573141622111E-2</v>
      </c>
      <c r="GD383" s="7">
        <v>2.9884041516887321E-2</v>
      </c>
      <c r="GE383" s="7"/>
      <c r="GF383" s="7"/>
      <c r="GG383" s="7">
        <v>2.4950407296895981E-2</v>
      </c>
      <c r="GH383" s="42">
        <v>37.145655434875671</v>
      </c>
      <c r="GI383" s="6">
        <v>2410.3652816308081</v>
      </c>
      <c r="GJ383" s="14">
        <v>0.50394797582841733</v>
      </c>
      <c r="GK383" s="14">
        <v>0.50887573065309744</v>
      </c>
      <c r="GL383" s="14">
        <v>0.49605202417158267</v>
      </c>
      <c r="GM383" s="14">
        <v>0.49112426934690234</v>
      </c>
      <c r="GO383" s="5">
        <v>343.14810671672558</v>
      </c>
      <c r="GP383" s="5">
        <v>307.64377699166363</v>
      </c>
      <c r="GQ383" s="5">
        <v>535.04305713031317</v>
      </c>
      <c r="GR383" s="5">
        <v>410.15490233172511</v>
      </c>
      <c r="GS383" s="5">
        <v>339.42744393800166</v>
      </c>
      <c r="GT383" s="5">
        <v>293.4407446948278</v>
      </c>
      <c r="GU383" s="5">
        <v>258.04012322764959</v>
      </c>
      <c r="GV383" s="39" t="s">
        <v>392</v>
      </c>
      <c r="GW383" s="5">
        <v>482.65277777777777</v>
      </c>
      <c r="GX383" s="5">
        <v>361.98958333333331</v>
      </c>
      <c r="GY383" s="5">
        <v>296.26491110195894</v>
      </c>
      <c r="GZ383" s="5">
        <v>263.22109617794104</v>
      </c>
      <c r="HA383" s="5">
        <v>236.70336205047303</v>
      </c>
      <c r="HB383" s="39">
        <v>275.07221888254981</v>
      </c>
      <c r="HC383" s="5">
        <v>202.890625</v>
      </c>
      <c r="HD383" s="5">
        <v>182.20330774853798</v>
      </c>
      <c r="HE383" s="5">
        <v>187.48257844129552</v>
      </c>
      <c r="HF383" s="5">
        <v>176.30063048245611</v>
      </c>
      <c r="HG383" s="5">
        <v>173.65888157894736</v>
      </c>
      <c r="HH383" s="39">
        <v>183.16099583589869</v>
      </c>
      <c r="HI383" s="16"/>
      <c r="HJ383" s="19" t="str">
        <f t="shared" ref="HJ383:HK383" si="1108">HJ382</f>
        <v>On</v>
      </c>
      <c r="HK383" s="1" t="str">
        <f t="shared" si="1108"/>
        <v>On</v>
      </c>
      <c r="HL383" s="16"/>
      <c r="HM383" s="639">
        <f t="shared" si="1023"/>
        <v>2.2758057894877178E-2</v>
      </c>
      <c r="HN383" s="639">
        <f t="shared" si="1024"/>
        <v>1.416759231746561E-3</v>
      </c>
      <c r="HO383" s="639">
        <f t="shared" si="1025"/>
        <v>4.5732401537654987E-3</v>
      </c>
      <c r="HP383" s="644">
        <f>(FT383*$GD383-HM383)/$JF383*INDEX(Input!$1:$1048576,$JG$93,$C383*2+6)</f>
        <v>141.31215982489772</v>
      </c>
      <c r="HQ383" s="644">
        <f>(FU383*$GD383-HN383)/$JF383*INDEX(Input!$1:$1048576,$JG$93,$C383*2+6)</f>
        <v>-22.314922662531067</v>
      </c>
      <c r="HR383" s="644">
        <f>(FV383*$GD383-HO383)/$JF383*INDEX(Input!$1:$1048576,$JG$93,$C383*2+6)</f>
        <v>-55.377820972823152</v>
      </c>
      <c r="HS383" s="644">
        <f t="shared" si="1014"/>
        <v>-41.180886515805454</v>
      </c>
      <c r="HT383" s="644">
        <f t="shared" si="1094"/>
        <v>-29.005890211294684</v>
      </c>
      <c r="HU383" s="644">
        <f t="shared" si="1027"/>
        <v>3.1678603262684093</v>
      </c>
      <c r="HV383" s="648">
        <f t="shared" si="1028"/>
        <v>0</v>
      </c>
      <c r="HW383" s="648">
        <f t="shared" si="1029"/>
        <v>0</v>
      </c>
      <c r="HX383" s="648">
        <f t="shared" si="1030"/>
        <v>0</v>
      </c>
      <c r="HY383" s="644">
        <f>INDEX(Input!$1:$1048576,HY$93,$C383*2+6)*INDEX(Input!$1:$1048576,$JG$93,$C383*2+6)</f>
        <v>509.00000000000006</v>
      </c>
      <c r="HZ383" s="644">
        <f>INDEX(Input!$1:$1048576,HZ$93,$C383*2+6)*INDEX(Input!$1:$1048576,$JG$93,$C383*2+6)</f>
        <v>844</v>
      </c>
      <c r="IA383" s="644">
        <f>INDEX(Input!$1:$1048576,IA$93,$C383*2+6)*INDEX(Input!$1:$1048576,$JG$93,$C383*2+6)</f>
        <v>257</v>
      </c>
      <c r="IB383" s="644">
        <f t="shared" si="1051"/>
        <v>609.13127330909242</v>
      </c>
      <c r="IC383" s="644">
        <f t="shared" si="1052"/>
        <v>792.67918712617416</v>
      </c>
      <c r="ID383" s="644">
        <f>IF(AND(INDEX(Input!$1:$1048576,IA$93,$C383*2+7)="TOS",Y383&lt;=INDEX(Y:Y,MATCH(C383*1000+2,A:A))),0,1)*MAX(IA383+HR383+HU383+HX383,0%)</f>
        <v>204.79003935344525</v>
      </c>
      <c r="IE383" s="128">
        <f t="shared" si="1095"/>
        <v>0.37914296266508124</v>
      </c>
      <c r="IF383" s="128">
        <f t="shared" si="1096"/>
        <v>0.49338910776538497</v>
      </c>
      <c r="IG383" s="128">
        <f t="shared" si="1087"/>
        <v>0.12746792956953376</v>
      </c>
      <c r="IH383" s="21"/>
      <c r="II383" s="19">
        <f t="shared" si="1032"/>
        <v>1410.4999999999998</v>
      </c>
      <c r="IJ383" s="19">
        <f t="shared" si="1033"/>
        <v>2134.9731585778086</v>
      </c>
      <c r="IK383" s="19">
        <f t="shared" si="1034"/>
        <v>2103.5</v>
      </c>
      <c r="IL383" s="19">
        <f t="shared" si="1053"/>
        <v>450.50000000000023</v>
      </c>
      <c r="IM383" s="19">
        <f t="shared" si="1035"/>
        <v>-180.30047869996883</v>
      </c>
      <c r="IN383" s="19">
        <f t="shared" si="1036"/>
        <v>-174.5</v>
      </c>
      <c r="IO383" s="39">
        <f t="shared" si="1037"/>
        <v>0</v>
      </c>
      <c r="IP383" s="39">
        <f t="shared" si="1038"/>
        <v>0</v>
      </c>
      <c r="IQ383" s="39">
        <f t="shared" si="1039"/>
        <v>0</v>
      </c>
      <c r="IR383" s="39">
        <v>0</v>
      </c>
      <c r="IS383" s="39">
        <v>0</v>
      </c>
      <c r="IT383" s="39">
        <v>0</v>
      </c>
      <c r="IU383" s="39">
        <v>0</v>
      </c>
      <c r="IV383" s="39">
        <v>0</v>
      </c>
      <c r="IW383" s="39">
        <v>0</v>
      </c>
      <c r="IX383" s="39">
        <f>INDEX(Input!$1:$1048576,IX$93,$C383*2+6)+INDEX(Input!$1:$1048576,IX$94,$C383*2+6)</f>
        <v>1611</v>
      </c>
      <c r="IY383" s="39">
        <f>INDEX(Input!$1:$1048576,IY$93,$C383*2+6)+INDEX(Input!$1:$1048576,IY$94,$C383*2+6)</f>
        <v>2471.0624533823611</v>
      </c>
      <c r="IZ383" s="39">
        <f>INDEX(Input!$1:$1048576,IZ$93,$C383*2+6)+INDEX(Input!$1:$1048576,IZ$94,$C383*2+6)</f>
        <v>3994.7164157747857</v>
      </c>
      <c r="JA383" s="19">
        <f t="shared" si="1054"/>
        <v>2061.5</v>
      </c>
      <c r="JB383" s="19">
        <f t="shared" si="1055"/>
        <v>2290.7619746823921</v>
      </c>
      <c r="JC383" s="19">
        <f t="shared" si="1056"/>
        <v>3820.2164157747857</v>
      </c>
      <c r="JD383" s="19">
        <f t="shared" si="1057"/>
        <v>2398.795301351839</v>
      </c>
      <c r="JE383" s="21"/>
      <c r="JF383" s="1">
        <f t="shared" si="1040"/>
        <v>2.8748057280389237E-2</v>
      </c>
      <c r="JG383" s="15">
        <f>INDEX(Input!$1:$1048576,JG$93,$C383*2+6)/(1+VLOOKUP(C383*1000+INDEX(Input!$1:$1048576,JG$93+1,$C383*2+6),$A:$KK,$JK$92,FALSE))</f>
        <v>1610</v>
      </c>
      <c r="JH383" s="1">
        <f t="shared" si="1058"/>
        <v>3.951516533512018E-2</v>
      </c>
      <c r="JI383" s="1">
        <f t="shared" si="1059"/>
        <v>-4.1626656149584926E-2</v>
      </c>
      <c r="JJ383" s="1">
        <f t="shared" si="1097"/>
        <v>0</v>
      </c>
      <c r="JK383" s="1">
        <f t="shared" si="1098"/>
        <v>-2.1114908144647462E-3</v>
      </c>
      <c r="JL383" s="15">
        <f t="shared" si="1060"/>
        <v>-3.3995002112882413</v>
      </c>
      <c r="JM383" s="15">
        <f t="shared" si="1079"/>
        <v>1606.6004997887117</v>
      </c>
      <c r="JN383" s="21"/>
      <c r="JO383" s="19">
        <f>INDEX(Input!$1:$1048576,JO$93,$C383*2+6)</f>
        <v>5995.5</v>
      </c>
      <c r="JP383" s="19">
        <f>INDEX(Input!$1:$1048576,JP$93,$C383*2+6)</f>
        <v>2442.3713226762939</v>
      </c>
      <c r="JQ383" s="39">
        <f t="shared" si="1068"/>
        <v>3596.704698648161</v>
      </c>
      <c r="JR383" s="39">
        <f t="shared" si="1082"/>
        <v>-43.576021324454814</v>
      </c>
      <c r="JS383" s="39">
        <f t="shared" si="1069"/>
        <v>3.853905730042678</v>
      </c>
      <c r="JT383" s="39">
        <f t="shared" si="1061"/>
        <v>-7.8312099466155277E-2</v>
      </c>
      <c r="JU383" s="385">
        <f>(JQ383*JM383-INDEX(Input!$1:$1048576,Input!A$18,$C383*2+6)*JL383*INDEX(Input!$1:$1048576,Input!A$19,$C383*2+6))/1000000</f>
        <v>5.7784675664405434</v>
      </c>
      <c r="JV383" s="39">
        <f t="shared" si="1103"/>
        <v>5.7930395949376212E-2</v>
      </c>
      <c r="JW383" s="1">
        <f t="shared" si="1080"/>
        <v>1.0126740587965149E-2</v>
      </c>
      <c r="JX383" s="19">
        <f t="shared" si="1073"/>
        <v>23036.356699174579</v>
      </c>
      <c r="JZ383" s="341"/>
      <c r="KA383" s="342"/>
      <c r="KB383" s="469">
        <f t="shared" si="1070"/>
        <v>2.5190675447988795</v>
      </c>
      <c r="KI383" s="473">
        <f t="shared" si="1099"/>
        <v>100.13127330909236</v>
      </c>
      <c r="KJ383" s="473">
        <f t="shared" si="1100"/>
        <v>-51.320812873825957</v>
      </c>
      <c r="KK383" s="473">
        <f t="shared" si="1092"/>
        <v>-52.209960646554748</v>
      </c>
      <c r="KN383" s="544">
        <f t="shared" si="1074"/>
        <v>3002</v>
      </c>
      <c r="KO383" s="541">
        <f t="shared" si="1041"/>
        <v>-3.1661683125018381E-2</v>
      </c>
      <c r="KP383" s="546">
        <f t="shared" si="1042"/>
        <v>-139.00950247312664</v>
      </c>
      <c r="KQ383" s="546">
        <f t="shared" si="1043"/>
        <v>-237.11812403685917</v>
      </c>
      <c r="KR383" s="548">
        <f t="shared" si="1044"/>
        <v>3.9515376421122337</v>
      </c>
      <c r="KS383" s="548">
        <f t="shared" si="1045"/>
        <v>2.3165723154442071</v>
      </c>
      <c r="KT383" s="473">
        <f t="shared" si="1071"/>
        <v>1026.1618045255443</v>
      </c>
      <c r="KU383" s="663">
        <f t="shared" si="1063"/>
        <v>4.7125842115604337</v>
      </c>
    </row>
    <row r="384" spans="1:307" s="26" customFormat="1" ht="15" outlineLevel="1">
      <c r="A384" s="561">
        <f t="shared" si="1046"/>
        <v>3084</v>
      </c>
      <c r="B384" s="561">
        <f t="shared" si="1064"/>
        <v>84</v>
      </c>
      <c r="C384" s="561">
        <f t="shared" si="1065"/>
        <v>3</v>
      </c>
      <c r="D384" s="561" t="str">
        <f t="shared" si="974"/>
        <v xml:space="preserve">250 CC, 0.9/1.9/2.9/3.9, </v>
      </c>
      <c r="E384" s="475">
        <f>INDEX(Input!$1:$1048576,E$93,$C384*2+MIN($B384,2)+5)
+INDEX(Scenarios!E$121:E$200,MATCH($B384,Scenarios!$B$121:$B$200,0))</f>
        <v>1537.0236024844721</v>
      </c>
      <c r="F384" s="475">
        <f>INDEX(Input!$1:$1048576,F$93,$C384*2+MIN($B384,2)+5)
+INDEX(Scenarios!F$121:F$200,MATCH($B384,Scenarios!$B$121:$B$200,0))</f>
        <v>0</v>
      </c>
      <c r="G384" s="475">
        <f>INDEX(Input!$1:$1048576,G$93,$C384*2+MIN($B384,2)+5)
+INDEX(Scenarios!G$121:G$200,MATCH($B384,Scenarios!$B$121:$B$200,0))</f>
        <v>0</v>
      </c>
      <c r="H384" s="475">
        <f>INDEX(Input!$1:$1048576,H$93,$C384*2+MIN($B384,2)+5)
+INDEX(Scenarios!H$121:H$200,MATCH($B384,Scenarios!$B$121:$B$200,0))</f>
        <v>0</v>
      </c>
      <c r="I384" s="476">
        <f>INDEX(Input!$1:$1048576,I$93,$C384*2+MIN($B384,2)+5)</f>
        <v>0.7</v>
      </c>
      <c r="J384" s="476" t="str">
        <f>INDEX(Input!$1:$1048576,J$93,$C384*2+MIN($B384,2)+5)</f>
        <v>Market</v>
      </c>
      <c r="K384" s="476" t="str">
        <f>INDEX(Input!$1:$1048576,K$93,$C384*2+MIN($B384,2)+5)</f>
        <v>Market</v>
      </c>
      <c r="L384" s="476" t="str">
        <f>INDEX(Input!$1:$1048576,L$93,$C384*2+MIN($B384,2)+5)</f>
        <v>Market</v>
      </c>
      <c r="M384" s="476" t="str">
        <f>INDEX(Input!$1:$1048576,M$93,$C384*2+MIN($B384,2)+5)</f>
        <v>Market</v>
      </c>
      <c r="N384" s="476" t="str">
        <f>INDEX(Input!$1:$1048576,N$93,$C384*2+MIN($B384,2)+5)</f>
        <v>Market</v>
      </c>
      <c r="O384" s="476" t="str">
        <f>INDEX(Input!$1:$1048576,O$93,$C384*2+MIN($B384,2)+5)</f>
        <v>Market</v>
      </c>
      <c r="P384" s="476" t="str">
        <f>INDEX(Input!$1:$1048576,P$93,$C384*2+MIN($B384,2)+5)</f>
        <v>N</v>
      </c>
      <c r="Q384" s="477">
        <f>INDEX(Input!$1:$1048576,Q$93,$C384*2+MIN($B384,2)+5)
+INDEX(Scenarios!Q$121:Q$200,MATCH($B384,Scenarios!$B$121:$B$200,0))</f>
        <v>0</v>
      </c>
      <c r="R384" s="478">
        <f>IFERROR(MAX(0,INDEX(Input!$1:$1048576,R$93,$C384*2+MIN($B384,2)+5)
+INDEX(Scenarios!R$121:R$200,MATCH($B384,Scenarios!$B$121:$B$200,0)),),"Market")</f>
        <v>9.0000000000000011E-3</v>
      </c>
      <c r="S384" s="478">
        <f>IFERROR(MAX(0,INDEX(Input!$1:$1048576,S$93,$C384*2+MIN($B384,2)+5)
+INDEX(Scenarios!S$121:S$200,MATCH($B384,Scenarios!$B$121:$B$200,0)),),"Market")</f>
        <v>9.0000000000000011E-3</v>
      </c>
      <c r="T384" s="478">
        <f>IFERROR(MAX(0,INDEX(Input!$1:$1048576,T$93,$C384*2+MIN($B384,2)+5)
+INDEX(Scenarios!T$121:T$200,MATCH($B384,Scenarios!$B$121:$B$200,0)),),"Market")</f>
        <v>9.0000000000000011E-3</v>
      </c>
      <c r="U384" s="478">
        <f>IFERROR(MAX(0,INDEX(Input!$1:$1048576,U$93,$C384*2+MIN($B384,2)+5)
+INDEX(Scenarios!U$121:U$200,MATCH($B384,Scenarios!$B$121:$B$200,0)),),"Market")</f>
        <v>9.0000000000000011E-3</v>
      </c>
      <c r="V384" s="478">
        <f>IFERROR(MAX(0,INDEX(Input!$1:$1048576,V$93,$C384*2+MIN($B384,2)+5)
+INDEX(Scenarios!V$121:V$200,MATCH($B384,Scenarios!$B$121:$B$200,0)),),"Market")</f>
        <v>2.8999999999999998E-2</v>
      </c>
      <c r="W384" s="885">
        <f>IFERROR(MAX(0,INDEX(Input!$1:$1048576,W$93,$C384*2+MIN($B384,2)+5)-0%,),"Market")</f>
        <v>3.9E-2</v>
      </c>
      <c r="X384" s="476" t="str">
        <f>INDEX(Input!$1:$1048576,X$93,$C384*2+MIN($B384,2)+5)</f>
        <v>Y</v>
      </c>
      <c r="Y384" s="475">
        <f>INDEX(Input!$1:$1048576,Y$93,$C384*2+MIN($B384,2)+5)
++INDEX(Scenarios!Y$121:Y$200,MATCH($B384,Scenarios!$B$121:$B$200,0))</f>
        <v>1554.9999999999991</v>
      </c>
      <c r="Z384" s="477">
        <f>INDEX(Input!$1:$1048576,Z$93,$C384*2+MIN($B384,2)+5)
+INDEX(Scenarios!Z$121:Z$200,MATCH($B384,Scenarios!$B$121:$B$200,0))</f>
        <v>0</v>
      </c>
      <c r="AA384" s="475">
        <f>INDEX(Input!$1:$1048576,AA$93,$C384*2+MIN($B384,2)+5)
+INDEX(Scenarios!AA$121:AA$200,MATCH($B384,Scenarios!$B$121:$B$200,0))</f>
        <v>0</v>
      </c>
      <c r="AB384" s="476">
        <f>INDEX(Input!$1:$1048576,AB$93,$C384*2+MIN($B384,2)+5)</f>
        <v>0.27</v>
      </c>
      <c r="AC384" s="475">
        <f>INDEX(Input!$1:$1048576,AC$93,$C384*2+MIN($B384,2)+5)
+INDEX(Scenarios!AC$121:AC$200,MATCH($B384,Scenarios!$B$121:$B$200,0))</f>
        <v>0</v>
      </c>
      <c r="AD384" s="476">
        <f>INDEX(Input!$1:$1048576,AD$93,$C384*2+MIN($B384,2)+5)</f>
        <v>0.27</v>
      </c>
      <c r="AE384" s="475">
        <f>INDEX(Input!$1:$1048576,AE$93,$C384*2+MIN($B384,2)+5)
+INDEX(Scenarios!AE$121:AE$200,MATCH($B384,Scenarios!$B$121:$B$200,0))</f>
        <v>0</v>
      </c>
      <c r="AF384" s="476">
        <f>INDEX(Input!$1:$1048576,AF$93,$C384*2+MIN($B384,2)+5)</f>
        <v>0.68200000000000005</v>
      </c>
      <c r="AG384" s="475">
        <f>INDEX(Input!$1:$1048576,AG$93,$C384*2+MIN($B384,2)+5)
+INDEX(Scenarios!AG$121:AG$200,MATCH($B384,Scenarios!$B$121:$B$200,0))</f>
        <v>500</v>
      </c>
      <c r="AH384" s="476">
        <f>INDEX(Input!$1:$1048576,AH$93,$C384*2+MIN($B384,2)+5)</f>
        <v>1</v>
      </c>
      <c r="AI384" s="475">
        <f>INDEX(Input!$1:$1048576,AI$93,$C384*2+MIN($B384,2)+5)
+INDEX(Scenarios!AI$121:AI$200,MATCH($B384,Scenarios!$B$121:$B$200,0))</f>
        <v>0</v>
      </c>
      <c r="AJ384" s="476">
        <f>INDEX(Input!$1:$1048576,AJ$93,$C384*2+MIN($B384,2)+5)</f>
        <v>0.27</v>
      </c>
      <c r="AK384" s="150">
        <f>ROUND(INDEX(Input!$1:$1048576,AK$93,$C383*2+MIN($B384,1)+5)+(Y384-VLOOKUP($C384*1000+1,$A:$HH,Y$92,FALSE)),0)</f>
        <v>2977</v>
      </c>
      <c r="AL384" s="150">
        <f>ROUND(INDEX(Input!$1:$1048576,AL$93,$C383*2+MIN($B384,1)+5)-(Y384-VLOOKUP($C384*1000+1,$A:$HH,Y$92,FALSE))/36,0)</f>
        <v>3395</v>
      </c>
      <c r="AM384" s="32" t="str">
        <f t="shared" si="1047"/>
        <v>std/std/std/std</v>
      </c>
      <c r="AN384" s="32" t="str">
        <f t="shared" si="1048"/>
        <v>$0 + 0.9/0.9/0.9/2.9/3.9</v>
      </c>
      <c r="AO384" s="32" t="str">
        <f t="shared" si="1049"/>
        <v>0.9/0.9/0.9/2.9/3.9</v>
      </c>
      <c r="AP384" s="32" t="str">
        <f t="shared" si="993"/>
        <v>0.9/1.9/2.9/3.9</v>
      </c>
      <c r="AQ384" s="536">
        <f t="shared" si="992"/>
        <v>0</v>
      </c>
      <c r="AR384" s="32"/>
      <c r="AS384" s="302"/>
      <c r="AT384" s="3">
        <f t="shared" si="1066"/>
        <v>84</v>
      </c>
      <c r="AU384" s="41" t="s">
        <v>121</v>
      </c>
      <c r="AV384" s="41" t="s">
        <v>116</v>
      </c>
      <c r="AW384" s="41" t="str">
        <f>INDEX(Input!$1:$1048576,AW$93,$C384*2+6)</f>
        <v>Kia</v>
      </c>
      <c r="AX384" s="41" t="str">
        <f>INDEX(Input!$1:$1048576,AX$93,$C384*2+6)</f>
        <v>Kia-LR - L3</v>
      </c>
      <c r="AY384" s="41" t="str">
        <f>IF(LEN(D384)=0,"",INDEX(Input!$1:$1048576,AY$93,$C384*2+6))</f>
        <v>Compact SUV (52)</v>
      </c>
      <c r="AZ384" s="41" t="str">
        <f>INDEX(Input!$1:$1048576,AZ$93,$C384*2+6)</f>
        <v>Kia Soul</v>
      </c>
      <c r="BA384" s="3">
        <f>INDEX(Input!$1:$1048576,BA$93,$C384*2+6)</f>
        <v>2020</v>
      </c>
      <c r="BB384" s="128">
        <f>INDEX(Input!$1:$1048576,BB$93,$C384*2+6)</f>
        <v>1</v>
      </c>
      <c r="BC384" s="128">
        <f>INDEX(Input!$1:$1048576,BC$93,$C384*2+6)</f>
        <v>0.7</v>
      </c>
      <c r="BD384" s="1">
        <f>INDEX(Input!$1:$1048576,BD$93,$C384*2+6)</f>
        <v>4.4999999999999998E-2</v>
      </c>
      <c r="BE384" s="1">
        <f>INDEX(Input!$1:$1048576,BE$93,$C384*2+6)</f>
        <v>4.4999999999999998E-2</v>
      </c>
      <c r="BF384" s="1">
        <f>INDEX(Input!$1:$1048576,BF$93,$C384*2+6)</f>
        <v>0.05</v>
      </c>
      <c r="BG384" s="1">
        <f>INDEX(Input!$1:$1048576,BG$93,$C384*2+6)</f>
        <v>5.45E-2</v>
      </c>
      <c r="BH384" s="1">
        <f>INDEX(Input!$1:$1048576,BH$93,$C384*2+6)</f>
        <v>5.45E-2</v>
      </c>
      <c r="BI384" s="1">
        <f>INDEX(Input!$1:$1048576,BI$93,$C384*2+6)</f>
        <v>0.05</v>
      </c>
      <c r="BJ384" s="1">
        <f>INDEX(Input!$1:$1048576,BJ$93,$C384*2+6)</f>
        <v>0.05</v>
      </c>
      <c r="BK384" s="1">
        <f>INDEX(Input!$1:$1048576,BK$93,$C384*2+6)</f>
        <v>0.05</v>
      </c>
      <c r="BL384" s="1">
        <f>INDEX(Input!$1:$1048576,BL$93,$C384*2+6)</f>
        <v>5.5E-2</v>
      </c>
      <c r="BM384" s="1">
        <f>INDEX(Input!$1:$1048576,BM$93,$C384*2+6)</f>
        <v>0.06</v>
      </c>
      <c r="BN384" s="1">
        <f>INDEX(Input!$1:$1048576,BN$93,$C384*2+6)</f>
        <v>4.4999999999999998E-2</v>
      </c>
      <c r="BO384" s="1">
        <f>INDEX(Input!$1:$1048576,BO$93,$C384*2+6)</f>
        <v>4.4999999999999998E-2</v>
      </c>
      <c r="BP384" s="1">
        <f>INDEX(Input!$1:$1048576,BP$93,$C384*2+6)</f>
        <v>0.05</v>
      </c>
      <c r="BQ384" s="1">
        <f>INDEX(Input!$1:$1048576,BQ$93,$C384*2+6)</f>
        <v>5.45E-2</v>
      </c>
      <c r="BR384" s="1">
        <f>INDEX(Input!$1:$1048576,BR$93,$C384*2+6)</f>
        <v>5.45E-2</v>
      </c>
      <c r="BS384" s="1">
        <f>INDEX(Input!$1:$1048576,BS$93,$C384*2+6)</f>
        <v>0.05</v>
      </c>
      <c r="BT384" s="1">
        <f>INDEX(Input!$1:$1048576,BT$93,$C384*2+6)</f>
        <v>0.05</v>
      </c>
      <c r="BU384" s="1">
        <f>INDEX(Input!$1:$1048576,BU$93,$C384*2+6)</f>
        <v>0.05</v>
      </c>
      <c r="BV384" s="1">
        <f>INDEX(Input!$1:$1048576,BV$93,$C384*2+6)</f>
        <v>5.5E-2</v>
      </c>
      <c r="BW384" s="1">
        <f>INDEX(Input!$1:$1048576,BW$93,$C384*2+6)</f>
        <v>0.06</v>
      </c>
      <c r="BX384" s="127">
        <f>INDEX(Input!$1:$1048576,BX$93,$C384*2+6)</f>
        <v>19985</v>
      </c>
      <c r="BY384" s="20">
        <f>INDEX(Input!$1:$1048576,BY$93,$C384*2+6)</f>
        <v>0.1</v>
      </c>
      <c r="BZ384" s="20">
        <f>INDEX(Input!$1:$1048576,BZ$93,$C384*2+6)</f>
        <v>0.1</v>
      </c>
      <c r="CA384" s="20">
        <f>INDEX(Input!$1:$1048576,CA$93,$C384*2+6)</f>
        <v>0.1</v>
      </c>
      <c r="CB384" s="20">
        <f>INDEX(Input!$1:$1048576,CB$93,$C384*2+6)</f>
        <v>0.1</v>
      </c>
      <c r="CC384" s="20">
        <f>INDEX(Input!$1:$1048576,CC$93,$C384*2+6)</f>
        <v>0.1</v>
      </c>
      <c r="CD384" s="384">
        <f>INDEX(Input!$1:$1048576,CD$93,$C384*2+6)</f>
        <v>0.1</v>
      </c>
      <c r="CE384" s="384">
        <f>INDEX(Input!$1:$1048576,CE$93,$C384*2+6)</f>
        <v>0.1</v>
      </c>
      <c r="CF384" s="384">
        <f>INDEX(Input!$1:$1048576,CF$93,$C384*2+6)</f>
        <v>0.1</v>
      </c>
      <c r="CG384" s="384">
        <f>INDEX(Input!$1:$1048576,CG$93,$C384*2+6)</f>
        <v>0.1</v>
      </c>
      <c r="CH384" s="384">
        <f>INDEX(Input!$1:$1048576,CH$93,$C384*2+6)</f>
        <v>0.1</v>
      </c>
      <c r="CI384" s="304">
        <f t="shared" si="994"/>
        <v>1537.0236024844721</v>
      </c>
      <c r="CJ384" s="16" t="str">
        <f>INDEX(Input!$1:$1048576,CJ$93,$C384*2+6)</f>
        <v>N</v>
      </c>
      <c r="CK384" s="1" t="str">
        <f t="shared" si="995"/>
        <v>Market</v>
      </c>
      <c r="CL384" s="1" t="str">
        <f t="shared" si="996"/>
        <v>Market</v>
      </c>
      <c r="CM384" s="1" t="str">
        <f t="shared" si="997"/>
        <v>Market</v>
      </c>
      <c r="CN384" s="1" t="str">
        <f t="shared" si="998"/>
        <v>Market</v>
      </c>
      <c r="CO384" s="1" t="str">
        <f t="shared" si="999"/>
        <v>Market</v>
      </c>
      <c r="CP384" s="304">
        <f t="shared" si="1000"/>
        <v>500</v>
      </c>
      <c r="CQ384" s="1">
        <f t="shared" si="1001"/>
        <v>9.0000000000000011E-3</v>
      </c>
      <c r="CR384" s="1">
        <f t="shared" si="1002"/>
        <v>9.0000000000000011E-3</v>
      </c>
      <c r="CS384" s="1">
        <f t="shared" si="1003"/>
        <v>9.0000000000000011E-3</v>
      </c>
      <c r="CT384" s="1">
        <f t="shared" si="1004"/>
        <v>2.8999999999999998E-2</v>
      </c>
      <c r="CU384" s="1">
        <f t="shared" si="1005"/>
        <v>3.9E-2</v>
      </c>
      <c r="CV384" s="304">
        <f t="shared" si="1006"/>
        <v>1554.9999999999991</v>
      </c>
      <c r="CW384" s="20" t="s">
        <v>122</v>
      </c>
      <c r="CX384" s="20" t="s">
        <v>122</v>
      </c>
      <c r="CY384" s="20" t="s">
        <v>122</v>
      </c>
      <c r="CZ384" s="20" t="s">
        <v>122</v>
      </c>
      <c r="DA384" s="20" t="s">
        <v>122</v>
      </c>
      <c r="DB384" s="503">
        <f t="shared" si="1007"/>
        <v>0</v>
      </c>
      <c r="DC384" s="127">
        <v>0</v>
      </c>
      <c r="DD384" s="127">
        <v>0</v>
      </c>
      <c r="DE384" s="127">
        <v>0</v>
      </c>
      <c r="DF384" s="127">
        <v>0</v>
      </c>
      <c r="DG384" s="127">
        <v>0</v>
      </c>
      <c r="DH384" s="127">
        <v>0</v>
      </c>
      <c r="DI384" s="127">
        <v>0</v>
      </c>
      <c r="DJ384" s="127">
        <v>0</v>
      </c>
      <c r="DK384" s="127">
        <v>0</v>
      </c>
      <c r="DL384" s="127">
        <v>0</v>
      </c>
      <c r="DM384" s="304">
        <f>INDEX(Input!$1:$1048576,DM$93,$C384*2+6)</f>
        <v>21036.84210526316</v>
      </c>
      <c r="DN384" s="20">
        <v>0</v>
      </c>
      <c r="DO384" s="20">
        <v>0</v>
      </c>
      <c r="DP384" s="20">
        <v>0</v>
      </c>
      <c r="DQ384" s="20">
        <v>0</v>
      </c>
      <c r="DR384" s="20">
        <v>0</v>
      </c>
      <c r="DS384" s="20">
        <f>INDEX(Input!$1:$1048576,DS$93,$C384*2+6)</f>
        <v>0.6</v>
      </c>
      <c r="DT384" s="20">
        <f>INDEX(Input!$1:$1048576,DT$93,$C384*2+6)</f>
        <v>0.55000000000000004</v>
      </c>
      <c r="DU384" s="20">
        <f>INDEX(Input!$1:$1048576,DU$93,$C384*2+6)</f>
        <v>0.52</v>
      </c>
      <c r="DV384" s="20">
        <f>INDEX(Input!$1:$1048576,DV$93,$C384*2+6)</f>
        <v>0.5</v>
      </c>
      <c r="DW384" s="20">
        <f>INDEX(Input!$1:$1048576,DW$93,$C384*2+6)</f>
        <v>0.45</v>
      </c>
      <c r="DX384" s="20"/>
      <c r="DY384" s="7"/>
      <c r="DZ384" s="7"/>
      <c r="EA384" s="7"/>
      <c r="EB384" s="7"/>
      <c r="EC384" s="7"/>
      <c r="ED384" s="7"/>
      <c r="EE384" s="7"/>
      <c r="EF384" s="7"/>
      <c r="EG384" s="7"/>
      <c r="EH384" s="7"/>
      <c r="EI384" s="7"/>
      <c r="EJ384" s="7"/>
      <c r="EK384" s="7"/>
      <c r="EL384" s="7"/>
      <c r="EM384" s="7"/>
      <c r="EN384" s="7"/>
      <c r="EO384" s="7"/>
      <c r="EP384" s="7"/>
      <c r="EQ384" s="7"/>
      <c r="ER384" s="7"/>
      <c r="ES384" s="7"/>
      <c r="ET384" s="7"/>
      <c r="EU384" s="6"/>
      <c r="EV384" s="6"/>
      <c r="EW384" s="6"/>
      <c r="EX384" s="6"/>
      <c r="EY384" s="6"/>
      <c r="EZ384" s="6"/>
      <c r="FA384" s="6"/>
      <c r="FB384" s="6"/>
      <c r="FC384" s="6"/>
      <c r="FD384" s="6"/>
      <c r="FE384" s="6"/>
      <c r="FF384" s="6"/>
      <c r="FG384" s="6"/>
      <c r="FH384" s="6"/>
      <c r="FI384" s="6"/>
      <c r="FJ384" s="6"/>
      <c r="FK384" s="6"/>
      <c r="FL384" s="6"/>
      <c r="FM384" s="6"/>
      <c r="FN384" s="6"/>
      <c r="FO384" s="6"/>
      <c r="FP384" s="6"/>
      <c r="FQ384" s="6"/>
      <c r="FR384" s="6"/>
      <c r="FS384" s="6"/>
      <c r="FT384" s="7"/>
      <c r="FU384" s="7"/>
      <c r="FV384" s="7"/>
      <c r="FW384" s="6"/>
      <c r="FX384" s="6"/>
      <c r="FY384" s="6"/>
      <c r="FZ384" s="6"/>
      <c r="GA384" s="6"/>
      <c r="GB384" s="6"/>
      <c r="GC384" s="7"/>
      <c r="GD384" s="7"/>
      <c r="GE384" s="7"/>
      <c r="GF384" s="7"/>
      <c r="GG384" s="7"/>
      <c r="GH384" s="42"/>
      <c r="GI384" s="6"/>
      <c r="GJ384" s="14"/>
      <c r="GK384" s="14"/>
      <c r="GL384" s="14"/>
      <c r="GM384" s="14"/>
      <c r="GO384" s="5"/>
      <c r="GP384" s="5"/>
      <c r="GQ384" s="5"/>
      <c r="GR384" s="5"/>
      <c r="GS384" s="5"/>
      <c r="GT384" s="5"/>
      <c r="GU384" s="5"/>
      <c r="GV384" s="39"/>
      <c r="GW384" s="5"/>
      <c r="GX384" s="5"/>
      <c r="GY384" s="5"/>
      <c r="GZ384" s="5"/>
      <c r="HA384" s="5"/>
      <c r="HB384" s="39"/>
      <c r="HC384" s="5"/>
      <c r="HD384" s="5"/>
      <c r="HE384" s="5"/>
      <c r="HF384" s="5"/>
      <c r="HG384" s="5"/>
      <c r="HH384" s="39"/>
      <c r="HI384" s="16"/>
      <c r="HJ384" s="19"/>
      <c r="HK384" s="1"/>
      <c r="HL384" s="16"/>
      <c r="HM384" s="1"/>
      <c r="HN384" s="1"/>
      <c r="HO384" s="1"/>
      <c r="HP384" s="1"/>
      <c r="HQ384" s="1"/>
      <c r="HR384" s="1"/>
      <c r="HS384" s="1"/>
      <c r="HT384" s="1"/>
      <c r="HU384" s="1"/>
      <c r="HV384" s="1"/>
      <c r="HW384" s="1"/>
      <c r="HX384" s="1"/>
      <c r="HY384" s="1"/>
      <c r="HZ384" s="1"/>
      <c r="IA384" s="1"/>
      <c r="IB384" s="1"/>
      <c r="IC384" s="1"/>
      <c r="ID384" s="1"/>
      <c r="IE384" s="1"/>
      <c r="IF384" s="1"/>
      <c r="IG384" s="1"/>
      <c r="IH384" s="21"/>
      <c r="II384" s="19"/>
      <c r="IJ384" s="19"/>
      <c r="IK384" s="19"/>
      <c r="IL384" s="19"/>
      <c r="IM384" s="19"/>
      <c r="IN384" s="19"/>
      <c r="IO384" s="39"/>
      <c r="IP384" s="39"/>
      <c r="IQ384" s="39"/>
      <c r="IR384" s="39"/>
      <c r="IS384" s="39"/>
      <c r="IT384" s="39"/>
      <c r="IU384" s="39"/>
      <c r="IV384" s="39"/>
      <c r="IW384" s="39"/>
      <c r="IX384" s="39"/>
      <c r="IY384" s="39"/>
      <c r="IZ384" s="39"/>
      <c r="JA384" s="19"/>
      <c r="JB384" s="19"/>
      <c r="JC384" s="19"/>
      <c r="JD384" s="19"/>
      <c r="JE384" s="21"/>
      <c r="JF384" s="1"/>
      <c r="JG384" s="15"/>
      <c r="JH384" s="1"/>
      <c r="JI384" s="1"/>
      <c r="JJ384" s="1"/>
      <c r="JK384" s="1"/>
      <c r="JL384" s="15"/>
      <c r="JM384" s="15"/>
      <c r="JN384" s="21"/>
      <c r="JO384" s="19"/>
      <c r="JP384" s="19"/>
      <c r="JQ384" s="39"/>
      <c r="JR384" s="39"/>
      <c r="JS384" s="39"/>
      <c r="JT384" s="39"/>
      <c r="JU384" s="385"/>
      <c r="JV384" s="39"/>
      <c r="JW384" s="1"/>
      <c r="JX384" s="19"/>
      <c r="JZ384" s="341"/>
      <c r="KA384" s="342"/>
      <c r="KB384" s="469"/>
      <c r="KI384" s="473"/>
      <c r="KJ384" s="473"/>
      <c r="KK384" s="473"/>
    </row>
    <row r="385" spans="1:297" s="26" customFormat="1" ht="15" outlineLevel="1">
      <c r="A385" s="561">
        <f t="shared" si="1046"/>
        <v>3085</v>
      </c>
      <c r="B385" s="561">
        <f t="shared" si="1064"/>
        <v>85</v>
      </c>
      <c r="C385" s="561">
        <f t="shared" si="1065"/>
        <v>3</v>
      </c>
      <c r="D385" s="561" t="str">
        <f t="shared" ref="D385:D400" si="1109">IF(E385=INDEX(E:E,MATCH(C385*1000+2,A:A,0)),"",E385-INDEX(E:E,MATCH(C385*1000+2,A:A,0))&amp;E$100&amp;", ")
&amp;IF(F385=INDEX(F:F,MATCH(C385*1000+2,A:A,0)),"",F385-INDEX(F:F,MATCH(C385*1000+2,A:A,0))&amp;F$100&amp;", ")
&amp;IF(AM385=INDEX(AM:AM,MATCH(C385*1000+2,A:A,0)),"",AM385&amp;AM$100&amp;", ")
&amp;IF(AP385=INDEX(AP:AP,MATCH(C385*1000+2,A:A,0)),"",AP385&amp;AP$100&amp;", ")
&amp;IF(Q385=INDEX(Q:Q,MATCH(C385*1000+2,A:A,0)),"",Q385-INDEX(Q:Q,MATCH(C385*1000+2,A:A,0))&amp;Q$100&amp;", ")
&amp;IF(Y385=INDEX(Y:Y,MATCH(C385*1000+2,A:A,0)),"",Y385-INDEX(Y:Y,MATCH(C385*1000+2,A:A,0))&amp;Y$100&amp;", ")
&amp;IF(Z385=INDEX(Z:Z,MATCH(C385*1000+2,A:A,0)),"",Z385-INDEX(Z:Z,MATCH(C385*1000+2,A:A,0))&amp;Z$100&amp;", ")
&amp;IF(AA385=INDEX(AA:AA,MATCH(C385*1000+2,A:A,0)),"",AA385-INDEX(AA:AA,MATCH(C385*1000+2,A:A,0))&amp;AA$100&amp;", ")
&amp;IF(AC385=INDEX(AC:AC,MATCH(C385*1000+2,A:A,0)),"",AC385-INDEX(AC:AC,MATCH(C385*1000+2,A:A,0))&amp;AC$100&amp;", ")
&amp;IF(AE385=INDEX(AE:AE,MATCH(C385*1000+2,A:A,0)),"",AE385-INDEX(AE:AE,MATCH(C385*1000+2,A:A,0))&amp;AE$100&amp;", ")
&amp;IF(AG385=INDEX(AG:AG,MATCH(C385*1000+2,A:A,0)),"",AG385-INDEX(AG:AG,MATCH(C385*1000+2,A:A,0))&amp;AG$100&amp;", ")
&amp;IF(AI385=INDEX(AI:AI,MATCH(C385*1000+2,A:A,0)),"",AI385-INDEX(AI:AI,MATCH(C385*1000+2,A:A,0))&amp;AI$100&amp;", ")</f>
        <v xml:space="preserve">500 CC, 1.9/2.9/3.9/3.9, </v>
      </c>
      <c r="E385" s="475">
        <f>INDEX(Input!$1:$1048576,E$93,$C385*2+MIN($B385,2)+5)
+INDEX(Scenarios!E$121:E$200,MATCH($B385,Scenarios!$B$121:$B$200,0))</f>
        <v>1787.0236024844721</v>
      </c>
      <c r="F385" s="475">
        <f>INDEX(Input!$1:$1048576,F$93,$C385*2+MIN($B385,2)+5)
+INDEX(Scenarios!F$121:F$200,MATCH($B385,Scenarios!$B$121:$B$200,0))</f>
        <v>0</v>
      </c>
      <c r="G385" s="475">
        <f>INDEX(Input!$1:$1048576,G$93,$C385*2+MIN($B385,2)+5)
+INDEX(Scenarios!G$121:G$200,MATCH($B385,Scenarios!$B$121:$B$200,0))</f>
        <v>0</v>
      </c>
      <c r="H385" s="475">
        <f>INDEX(Input!$1:$1048576,H$93,$C385*2+MIN($B385,2)+5)
+INDEX(Scenarios!H$121:H$200,MATCH($B385,Scenarios!$B$121:$B$200,0))</f>
        <v>0</v>
      </c>
      <c r="I385" s="476">
        <f>INDEX(Input!$1:$1048576,I$93,$C385*2+MIN($B385,2)+5)</f>
        <v>0.7</v>
      </c>
      <c r="J385" s="476" t="str">
        <f>INDEX(Input!$1:$1048576,J$93,$C385*2+MIN($B385,2)+5)</f>
        <v>Market</v>
      </c>
      <c r="K385" s="476" t="str">
        <f>INDEX(Input!$1:$1048576,K$93,$C385*2+MIN($B385,2)+5)</f>
        <v>Market</v>
      </c>
      <c r="L385" s="476" t="str">
        <f>INDEX(Input!$1:$1048576,L$93,$C385*2+MIN($B385,2)+5)</f>
        <v>Market</v>
      </c>
      <c r="M385" s="476" t="str">
        <f>INDEX(Input!$1:$1048576,M$93,$C385*2+MIN($B385,2)+5)</f>
        <v>Market</v>
      </c>
      <c r="N385" s="476" t="str">
        <f>INDEX(Input!$1:$1048576,N$93,$C385*2+MIN($B385,2)+5)</f>
        <v>Market</v>
      </c>
      <c r="O385" s="476" t="str">
        <f>INDEX(Input!$1:$1048576,O$93,$C385*2+MIN($B385,2)+5)</f>
        <v>Market</v>
      </c>
      <c r="P385" s="476" t="str">
        <f>INDEX(Input!$1:$1048576,P$93,$C385*2+MIN($B385,2)+5)</f>
        <v>N</v>
      </c>
      <c r="Q385" s="477">
        <f>INDEX(Input!$1:$1048576,Q$93,$C385*2+MIN($B385,2)+5)
+INDEX(Scenarios!Q$121:Q$200,MATCH($B385,Scenarios!$B$121:$B$200,0))</f>
        <v>0</v>
      </c>
      <c r="R385" s="478">
        <f>IFERROR(MAX(0,INDEX(Input!$1:$1048576,R$93,$C385*2+MIN($B385,2)+5)
+INDEX(Scenarios!R$121:R$200,MATCH($B385,Scenarios!$B$121:$B$200,0)),),"Market")</f>
        <v>1.9E-2</v>
      </c>
      <c r="S385" s="478">
        <f>IFERROR(MAX(0,INDEX(Input!$1:$1048576,S$93,$C385*2+MIN($B385,2)+5)
+INDEX(Scenarios!S$121:S$200,MATCH($B385,Scenarios!$B$121:$B$200,0)),),"Market")</f>
        <v>1.9E-2</v>
      </c>
      <c r="T385" s="478">
        <f>IFERROR(MAX(0,INDEX(Input!$1:$1048576,T$93,$C385*2+MIN($B385,2)+5)
+INDEX(Scenarios!T$121:T$200,MATCH($B385,Scenarios!$B$121:$B$200,0)),),"Market")</f>
        <v>1.9E-2</v>
      </c>
      <c r="U385" s="478">
        <f>IFERROR(MAX(0,INDEX(Input!$1:$1048576,U$93,$C385*2+MIN($B385,2)+5)
+INDEX(Scenarios!U$121:U$200,MATCH($B385,Scenarios!$B$121:$B$200,0)),),"Market")</f>
        <v>1.9E-2</v>
      </c>
      <c r="V385" s="478">
        <f>IFERROR(MAX(0,INDEX(Input!$1:$1048576,V$93,$C385*2+MIN($B385,2)+5)
+INDEX(Scenarios!V$121:V$200,MATCH($B385,Scenarios!$B$121:$B$200,0)),),"Market")</f>
        <v>3.9E-2</v>
      </c>
      <c r="W385" s="885">
        <f>IFERROR(MAX(0,INDEX(Input!$1:$1048576,W$93,$C385*2+MIN($B385,2)+5)-0%,),"Market")</f>
        <v>3.9E-2</v>
      </c>
      <c r="X385" s="476" t="str">
        <f>INDEX(Input!$1:$1048576,X$93,$C385*2+MIN($B385,2)+5)</f>
        <v>Y</v>
      </c>
      <c r="Y385" s="475">
        <f>INDEX(Input!$1:$1048576,Y$93,$C385*2+MIN($B385,2)+5)
++INDEX(Scenarios!Y$121:Y$200,MATCH($B385,Scenarios!$B$121:$B$200,0))</f>
        <v>1554.9999999999991</v>
      </c>
      <c r="Z385" s="477">
        <f>INDEX(Input!$1:$1048576,Z$93,$C385*2+MIN($B385,2)+5)
+INDEX(Scenarios!Z$121:Z$200,MATCH($B385,Scenarios!$B$121:$B$200,0))</f>
        <v>0</v>
      </c>
      <c r="AA385" s="475">
        <f>INDEX(Input!$1:$1048576,AA$93,$C385*2+MIN($B385,2)+5)
+INDEX(Scenarios!AA$121:AA$200,MATCH($B385,Scenarios!$B$121:$B$200,0))</f>
        <v>0</v>
      </c>
      <c r="AB385" s="476">
        <f>INDEX(Input!$1:$1048576,AB$93,$C385*2+MIN($B385,2)+5)</f>
        <v>0.27</v>
      </c>
      <c r="AC385" s="475">
        <f>INDEX(Input!$1:$1048576,AC$93,$C385*2+MIN($B385,2)+5)
+INDEX(Scenarios!AC$121:AC$200,MATCH($B385,Scenarios!$B$121:$B$200,0))</f>
        <v>0</v>
      </c>
      <c r="AD385" s="476">
        <f>INDEX(Input!$1:$1048576,AD$93,$C385*2+MIN($B385,2)+5)</f>
        <v>0.27</v>
      </c>
      <c r="AE385" s="475">
        <f>INDEX(Input!$1:$1048576,AE$93,$C385*2+MIN($B385,2)+5)
+INDEX(Scenarios!AE$121:AE$200,MATCH($B385,Scenarios!$B$121:$B$200,0))</f>
        <v>0</v>
      </c>
      <c r="AF385" s="476">
        <f>INDEX(Input!$1:$1048576,AF$93,$C385*2+MIN($B385,2)+5)</f>
        <v>0.68200000000000005</v>
      </c>
      <c r="AG385" s="475">
        <f>INDEX(Input!$1:$1048576,AG$93,$C385*2+MIN($B385,2)+5)
+INDEX(Scenarios!AG$121:AG$200,MATCH($B385,Scenarios!$B$121:$B$200,0))</f>
        <v>500</v>
      </c>
      <c r="AH385" s="476">
        <f>INDEX(Input!$1:$1048576,AH$93,$C385*2+MIN($B385,2)+5)</f>
        <v>1</v>
      </c>
      <c r="AI385" s="475">
        <f>INDEX(Input!$1:$1048576,AI$93,$C385*2+MIN($B385,2)+5)
+INDEX(Scenarios!AI$121:AI$200,MATCH($B385,Scenarios!$B$121:$B$200,0))</f>
        <v>0</v>
      </c>
      <c r="AJ385" s="476">
        <f>INDEX(Input!$1:$1048576,AJ$93,$C385*2+MIN($B385,2)+5)</f>
        <v>0.27</v>
      </c>
      <c r="AK385" s="150">
        <f>ROUND(INDEX(Input!$1:$1048576,AK$93,$C384*2+MIN($B385,1)+5)+(Y385-VLOOKUP($C385*1000+1,$A:$HH,Y$92,FALSE)),0)</f>
        <v>2977</v>
      </c>
      <c r="AL385" s="150">
        <f>ROUND(INDEX(Input!$1:$1048576,AL$93,$C384*2+MIN($B385,1)+5)-(Y385-VLOOKUP($C385*1000+1,$A:$HH,Y$92,FALSE))/36,0)</f>
        <v>3395</v>
      </c>
      <c r="AM385" s="32" t="str">
        <f t="shared" si="1047"/>
        <v>std/std/std/std</v>
      </c>
      <c r="AN385" s="32" t="str">
        <f t="shared" si="1048"/>
        <v>$0 + 1.9/1.9/1.9/3.9/3.9</v>
      </c>
      <c r="AO385" s="32" t="str">
        <f t="shared" si="1049"/>
        <v>1.9/1.9/1.9/3.9/3.9</v>
      </c>
      <c r="AP385" s="32" t="str">
        <f t="shared" si="993"/>
        <v>1.9/2.9/3.9/3.9</v>
      </c>
      <c r="AQ385" s="536">
        <f t="shared" si="992"/>
        <v>0</v>
      </c>
      <c r="AR385" s="32"/>
      <c r="AS385" s="302"/>
      <c r="AT385" s="3">
        <f t="shared" si="1066"/>
        <v>85</v>
      </c>
      <c r="AU385" s="41" t="s">
        <v>121</v>
      </c>
      <c r="AV385" s="41" t="s">
        <v>116</v>
      </c>
      <c r="AW385" s="41" t="str">
        <f>INDEX(Input!$1:$1048576,AW$93,$C385*2+6)</f>
        <v>Kia</v>
      </c>
      <c r="AX385" s="41" t="str">
        <f>INDEX(Input!$1:$1048576,AX$93,$C385*2+6)</f>
        <v>Kia-LR - L3</v>
      </c>
      <c r="AY385" s="41" t="str">
        <f>IF(LEN(D385)=0,"",INDEX(Input!$1:$1048576,AY$93,$C385*2+6))</f>
        <v>Compact SUV (52)</v>
      </c>
      <c r="AZ385" s="41" t="str">
        <f>INDEX(Input!$1:$1048576,AZ$93,$C385*2+6)</f>
        <v>Kia Soul</v>
      </c>
      <c r="BA385" s="3">
        <f>INDEX(Input!$1:$1048576,BA$93,$C385*2+6)</f>
        <v>2020</v>
      </c>
      <c r="BB385" s="128">
        <f>INDEX(Input!$1:$1048576,BB$93,$C385*2+6)</f>
        <v>1</v>
      </c>
      <c r="BC385" s="128">
        <f>INDEX(Input!$1:$1048576,BC$93,$C385*2+6)</f>
        <v>0.7</v>
      </c>
      <c r="BD385" s="1">
        <f>INDEX(Input!$1:$1048576,BD$93,$C385*2+6)</f>
        <v>4.4999999999999998E-2</v>
      </c>
      <c r="BE385" s="1">
        <f>INDEX(Input!$1:$1048576,BE$93,$C385*2+6)</f>
        <v>4.4999999999999998E-2</v>
      </c>
      <c r="BF385" s="1">
        <f>INDEX(Input!$1:$1048576,BF$93,$C385*2+6)</f>
        <v>0.05</v>
      </c>
      <c r="BG385" s="1">
        <f>INDEX(Input!$1:$1048576,BG$93,$C385*2+6)</f>
        <v>5.45E-2</v>
      </c>
      <c r="BH385" s="1">
        <f>INDEX(Input!$1:$1048576,BH$93,$C385*2+6)</f>
        <v>5.45E-2</v>
      </c>
      <c r="BI385" s="1">
        <f>INDEX(Input!$1:$1048576,BI$93,$C385*2+6)</f>
        <v>0.05</v>
      </c>
      <c r="BJ385" s="1">
        <f>INDEX(Input!$1:$1048576,BJ$93,$C385*2+6)</f>
        <v>0.05</v>
      </c>
      <c r="BK385" s="1">
        <f>INDEX(Input!$1:$1048576,BK$93,$C385*2+6)</f>
        <v>0.05</v>
      </c>
      <c r="BL385" s="1">
        <f>INDEX(Input!$1:$1048576,BL$93,$C385*2+6)</f>
        <v>5.5E-2</v>
      </c>
      <c r="BM385" s="1">
        <f>INDEX(Input!$1:$1048576,BM$93,$C385*2+6)</f>
        <v>0.06</v>
      </c>
      <c r="BN385" s="1">
        <f>INDEX(Input!$1:$1048576,BN$93,$C385*2+6)</f>
        <v>4.4999999999999998E-2</v>
      </c>
      <c r="BO385" s="1">
        <f>INDEX(Input!$1:$1048576,BO$93,$C385*2+6)</f>
        <v>4.4999999999999998E-2</v>
      </c>
      <c r="BP385" s="1">
        <f>INDEX(Input!$1:$1048576,BP$93,$C385*2+6)</f>
        <v>0.05</v>
      </c>
      <c r="BQ385" s="1">
        <f>INDEX(Input!$1:$1048576,BQ$93,$C385*2+6)</f>
        <v>5.45E-2</v>
      </c>
      <c r="BR385" s="1">
        <f>INDEX(Input!$1:$1048576,BR$93,$C385*2+6)</f>
        <v>5.45E-2</v>
      </c>
      <c r="BS385" s="1">
        <f>INDEX(Input!$1:$1048576,BS$93,$C385*2+6)</f>
        <v>0.05</v>
      </c>
      <c r="BT385" s="1">
        <f>INDEX(Input!$1:$1048576,BT$93,$C385*2+6)</f>
        <v>0.05</v>
      </c>
      <c r="BU385" s="1">
        <f>INDEX(Input!$1:$1048576,BU$93,$C385*2+6)</f>
        <v>0.05</v>
      </c>
      <c r="BV385" s="1">
        <f>INDEX(Input!$1:$1048576,BV$93,$C385*2+6)</f>
        <v>5.5E-2</v>
      </c>
      <c r="BW385" s="1">
        <f>INDEX(Input!$1:$1048576,BW$93,$C385*2+6)</f>
        <v>0.06</v>
      </c>
      <c r="BX385" s="127">
        <f>INDEX(Input!$1:$1048576,BX$93,$C385*2+6)</f>
        <v>19985</v>
      </c>
      <c r="BY385" s="20">
        <f>INDEX(Input!$1:$1048576,BY$93,$C385*2+6)</f>
        <v>0.1</v>
      </c>
      <c r="BZ385" s="20">
        <f>INDEX(Input!$1:$1048576,BZ$93,$C385*2+6)</f>
        <v>0.1</v>
      </c>
      <c r="CA385" s="20">
        <f>INDEX(Input!$1:$1048576,CA$93,$C385*2+6)</f>
        <v>0.1</v>
      </c>
      <c r="CB385" s="20">
        <f>INDEX(Input!$1:$1048576,CB$93,$C385*2+6)</f>
        <v>0.1</v>
      </c>
      <c r="CC385" s="20">
        <f>INDEX(Input!$1:$1048576,CC$93,$C385*2+6)</f>
        <v>0.1</v>
      </c>
      <c r="CD385" s="384">
        <f>INDEX(Input!$1:$1048576,CD$93,$C385*2+6)</f>
        <v>0.1</v>
      </c>
      <c r="CE385" s="384">
        <f>INDEX(Input!$1:$1048576,CE$93,$C385*2+6)</f>
        <v>0.1</v>
      </c>
      <c r="CF385" s="384">
        <f>INDEX(Input!$1:$1048576,CF$93,$C385*2+6)</f>
        <v>0.1</v>
      </c>
      <c r="CG385" s="384">
        <f>INDEX(Input!$1:$1048576,CG$93,$C385*2+6)</f>
        <v>0.1</v>
      </c>
      <c r="CH385" s="384">
        <f>INDEX(Input!$1:$1048576,CH$93,$C385*2+6)</f>
        <v>0.1</v>
      </c>
      <c r="CI385" s="304">
        <f t="shared" si="994"/>
        <v>1787.0236024844721</v>
      </c>
      <c r="CJ385" s="16" t="str">
        <f>INDEX(Input!$1:$1048576,CJ$93,$C385*2+6)</f>
        <v>N</v>
      </c>
      <c r="CK385" s="1" t="str">
        <f t="shared" si="995"/>
        <v>Market</v>
      </c>
      <c r="CL385" s="1" t="str">
        <f t="shared" si="996"/>
        <v>Market</v>
      </c>
      <c r="CM385" s="1" t="str">
        <f t="shared" si="997"/>
        <v>Market</v>
      </c>
      <c r="CN385" s="1" t="str">
        <f t="shared" si="998"/>
        <v>Market</v>
      </c>
      <c r="CO385" s="1" t="str">
        <f t="shared" si="999"/>
        <v>Market</v>
      </c>
      <c r="CP385" s="304">
        <f t="shared" si="1000"/>
        <v>500</v>
      </c>
      <c r="CQ385" s="1">
        <f t="shared" si="1001"/>
        <v>1.9E-2</v>
      </c>
      <c r="CR385" s="1">
        <f t="shared" si="1002"/>
        <v>1.9E-2</v>
      </c>
      <c r="CS385" s="1">
        <f t="shared" si="1003"/>
        <v>1.9E-2</v>
      </c>
      <c r="CT385" s="1">
        <f t="shared" si="1004"/>
        <v>3.9E-2</v>
      </c>
      <c r="CU385" s="1">
        <f t="shared" si="1005"/>
        <v>3.9E-2</v>
      </c>
      <c r="CV385" s="304">
        <f t="shared" si="1006"/>
        <v>1554.9999999999991</v>
      </c>
      <c r="CW385" s="20" t="s">
        <v>122</v>
      </c>
      <c r="CX385" s="20" t="s">
        <v>122</v>
      </c>
      <c r="CY385" s="20" t="s">
        <v>122</v>
      </c>
      <c r="CZ385" s="20" t="s">
        <v>122</v>
      </c>
      <c r="DA385" s="20" t="s">
        <v>122</v>
      </c>
      <c r="DB385" s="503">
        <f t="shared" si="1007"/>
        <v>0</v>
      </c>
      <c r="DC385" s="127">
        <v>0</v>
      </c>
      <c r="DD385" s="127">
        <v>0</v>
      </c>
      <c r="DE385" s="127">
        <v>0</v>
      </c>
      <c r="DF385" s="127">
        <v>0</v>
      </c>
      <c r="DG385" s="127">
        <v>0</v>
      </c>
      <c r="DH385" s="127">
        <v>0</v>
      </c>
      <c r="DI385" s="127">
        <v>0</v>
      </c>
      <c r="DJ385" s="127">
        <v>0</v>
      </c>
      <c r="DK385" s="127">
        <v>0</v>
      </c>
      <c r="DL385" s="127">
        <v>0</v>
      </c>
      <c r="DM385" s="304">
        <f>INDEX(Input!$1:$1048576,DM$93,$C385*2+6)</f>
        <v>21036.84210526316</v>
      </c>
      <c r="DN385" s="20">
        <v>0</v>
      </c>
      <c r="DO385" s="20">
        <v>0</v>
      </c>
      <c r="DP385" s="20">
        <v>0</v>
      </c>
      <c r="DQ385" s="20">
        <v>0</v>
      </c>
      <c r="DR385" s="20">
        <v>0</v>
      </c>
      <c r="DS385" s="20">
        <f>INDEX(Input!$1:$1048576,DS$93,$C385*2+6)</f>
        <v>0.6</v>
      </c>
      <c r="DT385" s="20">
        <f>INDEX(Input!$1:$1048576,DT$93,$C385*2+6)</f>
        <v>0.55000000000000004</v>
      </c>
      <c r="DU385" s="20">
        <f>INDEX(Input!$1:$1048576,DU$93,$C385*2+6)</f>
        <v>0.52</v>
      </c>
      <c r="DV385" s="20">
        <f>INDEX(Input!$1:$1048576,DV$93,$C385*2+6)</f>
        <v>0.5</v>
      </c>
      <c r="DW385" s="20">
        <f>INDEX(Input!$1:$1048576,DW$93,$C385*2+6)</f>
        <v>0.45</v>
      </c>
      <c r="DX385" s="20"/>
      <c r="DY385" s="7"/>
      <c r="DZ385" s="7"/>
      <c r="EA385" s="7"/>
      <c r="EB385" s="7"/>
      <c r="EC385" s="7"/>
      <c r="ED385" s="7"/>
      <c r="EE385" s="7"/>
      <c r="EF385" s="7"/>
      <c r="EG385" s="7"/>
      <c r="EH385" s="7"/>
      <c r="EI385" s="7"/>
      <c r="EJ385" s="7"/>
      <c r="EK385" s="7"/>
      <c r="EL385" s="7"/>
      <c r="EM385" s="7"/>
      <c r="EN385" s="7"/>
      <c r="EO385" s="7"/>
      <c r="EP385" s="7"/>
      <c r="EQ385" s="7"/>
      <c r="ER385" s="7"/>
      <c r="ES385" s="7"/>
      <c r="ET385" s="7"/>
      <c r="EU385" s="6"/>
      <c r="EV385" s="6"/>
      <c r="EW385" s="6"/>
      <c r="EX385" s="6"/>
      <c r="EY385" s="6"/>
      <c r="EZ385" s="6"/>
      <c r="FA385" s="6"/>
      <c r="FB385" s="6"/>
      <c r="FC385" s="6"/>
      <c r="FD385" s="6"/>
      <c r="FE385" s="6"/>
      <c r="FF385" s="6"/>
      <c r="FG385" s="6"/>
      <c r="FH385" s="6"/>
      <c r="FI385" s="6"/>
      <c r="FJ385" s="6"/>
      <c r="FK385" s="6"/>
      <c r="FL385" s="6"/>
      <c r="FM385" s="6"/>
      <c r="FN385" s="6"/>
      <c r="FO385" s="6"/>
      <c r="FP385" s="6"/>
      <c r="FQ385" s="6"/>
      <c r="FR385" s="6"/>
      <c r="FS385" s="6"/>
      <c r="FT385" s="7"/>
      <c r="FU385" s="7"/>
      <c r="FV385" s="7"/>
      <c r="FW385" s="6"/>
      <c r="FX385" s="6"/>
      <c r="FY385" s="6"/>
      <c r="FZ385" s="6"/>
      <c r="GA385" s="6"/>
      <c r="GB385" s="6"/>
      <c r="GC385" s="7"/>
      <c r="GD385" s="7"/>
      <c r="GE385" s="7"/>
      <c r="GF385" s="7"/>
      <c r="GG385" s="7"/>
      <c r="GH385" s="42"/>
      <c r="GI385" s="6"/>
      <c r="GJ385" s="14"/>
      <c r="GK385" s="14"/>
      <c r="GL385" s="14"/>
      <c r="GM385" s="14"/>
      <c r="GO385" s="5"/>
      <c r="GP385" s="5"/>
      <c r="GQ385" s="5"/>
      <c r="GR385" s="5"/>
      <c r="GS385" s="5"/>
      <c r="GT385" s="5"/>
      <c r="GU385" s="5"/>
      <c r="GV385" s="39"/>
      <c r="GW385" s="5"/>
      <c r="GX385" s="5"/>
      <c r="GY385" s="5"/>
      <c r="GZ385" s="5"/>
      <c r="HA385" s="5"/>
      <c r="HB385" s="39"/>
      <c r="HC385" s="5"/>
      <c r="HD385" s="5"/>
      <c r="HE385" s="5"/>
      <c r="HF385" s="5"/>
      <c r="HG385" s="5"/>
      <c r="HH385" s="39"/>
      <c r="HI385" s="16"/>
      <c r="HJ385" s="19"/>
      <c r="HK385" s="1"/>
      <c r="HL385" s="16"/>
      <c r="HM385" s="1"/>
      <c r="HN385" s="1"/>
      <c r="HO385" s="1"/>
      <c r="HP385" s="1"/>
      <c r="HQ385" s="1"/>
      <c r="HR385" s="1"/>
      <c r="HS385" s="1"/>
      <c r="HT385" s="1"/>
      <c r="HU385" s="1"/>
      <c r="HV385" s="1"/>
      <c r="HW385" s="1"/>
      <c r="HX385" s="1"/>
      <c r="HY385" s="1"/>
      <c r="HZ385" s="1"/>
      <c r="IA385" s="1"/>
      <c r="IB385" s="1"/>
      <c r="IC385" s="1"/>
      <c r="ID385" s="1"/>
      <c r="IE385" s="1"/>
      <c r="IF385" s="1"/>
      <c r="IG385" s="1"/>
      <c r="IH385" s="21"/>
      <c r="II385" s="19"/>
      <c r="IJ385" s="19"/>
      <c r="IK385" s="19"/>
      <c r="IL385" s="19"/>
      <c r="IM385" s="19"/>
      <c r="IN385" s="19"/>
      <c r="IO385" s="39"/>
      <c r="IP385" s="39"/>
      <c r="IQ385" s="39"/>
      <c r="IR385" s="39"/>
      <c r="IS385" s="39"/>
      <c r="IT385" s="39"/>
      <c r="IU385" s="39"/>
      <c r="IV385" s="39"/>
      <c r="IW385" s="39"/>
      <c r="IX385" s="39"/>
      <c r="IY385" s="39"/>
      <c r="IZ385" s="39"/>
      <c r="JA385" s="19"/>
      <c r="JB385" s="19"/>
      <c r="JC385" s="19"/>
      <c r="JD385" s="19"/>
      <c r="JE385" s="21"/>
      <c r="JF385" s="1"/>
      <c r="JG385" s="15"/>
      <c r="JH385" s="1"/>
      <c r="JI385" s="1"/>
      <c r="JJ385" s="1"/>
      <c r="JK385" s="1"/>
      <c r="JL385" s="15"/>
      <c r="JM385" s="15"/>
      <c r="JN385" s="21"/>
      <c r="JO385" s="19"/>
      <c r="JP385" s="19"/>
      <c r="JQ385" s="39"/>
      <c r="JR385" s="39"/>
      <c r="JS385" s="39"/>
      <c r="JT385" s="39"/>
      <c r="JU385" s="385"/>
      <c r="JV385" s="39"/>
      <c r="JW385" s="1"/>
      <c r="JX385" s="19"/>
      <c r="JZ385" s="341"/>
      <c r="KA385" s="342"/>
      <c r="KB385" s="469"/>
      <c r="KI385" s="473"/>
      <c r="KJ385" s="473"/>
      <c r="KK385" s="473"/>
    </row>
    <row r="386" spans="1:297" s="26" customFormat="1" ht="15" outlineLevel="1">
      <c r="A386" s="561">
        <f t="shared" si="1046"/>
        <v>3086</v>
      </c>
      <c r="B386" s="561">
        <f t="shared" si="1064"/>
        <v>86</v>
      </c>
      <c r="C386" s="561">
        <f t="shared" si="1065"/>
        <v>3</v>
      </c>
      <c r="D386" s="561" t="str">
        <f t="shared" si="1109"/>
        <v xml:space="preserve">-250 CC, 0/0/0.9/3.9, </v>
      </c>
      <c r="E386" s="475">
        <f>INDEX(Input!$1:$1048576,E$93,$C386*2+MIN($B386,2)+5)
+INDEX(Scenarios!E$121:E$200,MATCH($B386,Scenarios!$B$121:$B$200,0))</f>
        <v>1037.0236024844721</v>
      </c>
      <c r="F386" s="475">
        <f>INDEX(Input!$1:$1048576,F$93,$C386*2+MIN($B386,2)+5)
+INDEX(Scenarios!F$121:F$200,MATCH($B386,Scenarios!$B$121:$B$200,0))</f>
        <v>0</v>
      </c>
      <c r="G386" s="475">
        <f>INDEX(Input!$1:$1048576,G$93,$C386*2+MIN($B386,2)+5)
+INDEX(Scenarios!G$121:G$200,MATCH($B386,Scenarios!$B$121:$B$200,0))</f>
        <v>0</v>
      </c>
      <c r="H386" s="475">
        <f>INDEX(Input!$1:$1048576,H$93,$C386*2+MIN($B386,2)+5)
+INDEX(Scenarios!H$121:H$200,MATCH($B386,Scenarios!$B$121:$B$200,0))</f>
        <v>0</v>
      </c>
      <c r="I386" s="476">
        <f>INDEX(Input!$1:$1048576,I$93,$C386*2+MIN($B386,2)+5)</f>
        <v>0.7</v>
      </c>
      <c r="J386" s="476" t="str">
        <f>INDEX(Input!$1:$1048576,J$93,$C386*2+MIN($B386,2)+5)</f>
        <v>Market</v>
      </c>
      <c r="K386" s="476" t="str">
        <f>INDEX(Input!$1:$1048576,K$93,$C386*2+MIN($B386,2)+5)</f>
        <v>Market</v>
      </c>
      <c r="L386" s="476" t="str">
        <f>INDEX(Input!$1:$1048576,L$93,$C386*2+MIN($B386,2)+5)</f>
        <v>Market</v>
      </c>
      <c r="M386" s="476" t="str">
        <f>INDEX(Input!$1:$1048576,M$93,$C386*2+MIN($B386,2)+5)</f>
        <v>Market</v>
      </c>
      <c r="N386" s="476" t="str">
        <f>INDEX(Input!$1:$1048576,N$93,$C386*2+MIN($B386,2)+5)</f>
        <v>Market</v>
      </c>
      <c r="O386" s="476" t="str">
        <f>INDEX(Input!$1:$1048576,O$93,$C386*2+MIN($B386,2)+5)</f>
        <v>Market</v>
      </c>
      <c r="P386" s="476" t="str">
        <f>INDEX(Input!$1:$1048576,P$93,$C386*2+MIN($B386,2)+5)</f>
        <v>N</v>
      </c>
      <c r="Q386" s="477">
        <f>INDEX(Input!$1:$1048576,Q$93,$C386*2+MIN($B386,2)+5)
+INDEX(Scenarios!Q$121:Q$200,MATCH($B386,Scenarios!$B$121:$B$200,0))</f>
        <v>0</v>
      </c>
      <c r="R386" s="478">
        <f>IFERROR(MAX(0,INDEX(Input!$1:$1048576,R$93,$C386*2+MIN($B386,2)+5)
+INDEX(Scenarios!R$121:R$200,MATCH($B386,Scenarios!$B$121:$B$200,0)),),"Market")</f>
        <v>0</v>
      </c>
      <c r="S386" s="478">
        <f>IFERROR(MAX(0,INDEX(Input!$1:$1048576,S$93,$C386*2+MIN($B386,2)+5)
+INDEX(Scenarios!S$121:S$200,MATCH($B386,Scenarios!$B$121:$B$200,0)),),"Market")</f>
        <v>0</v>
      </c>
      <c r="T386" s="478">
        <f>IFERROR(MAX(0,INDEX(Input!$1:$1048576,T$93,$C386*2+MIN($B386,2)+5)
+INDEX(Scenarios!T$121:T$200,MATCH($B386,Scenarios!$B$121:$B$200,0)),),"Market")</f>
        <v>0</v>
      </c>
      <c r="U386" s="478">
        <f>IFERROR(MAX(0,INDEX(Input!$1:$1048576,U$93,$C386*2+MIN($B386,2)+5)
+INDEX(Scenarios!U$121:U$200,MATCH($B386,Scenarios!$B$121:$B$200,0)),),"Market")</f>
        <v>0</v>
      </c>
      <c r="V386" s="478">
        <f>IFERROR(MAX(0,INDEX(Input!$1:$1048576,V$93,$C386*2+MIN($B386,2)+5)
+INDEX(Scenarios!V$121:V$200,MATCH($B386,Scenarios!$B$121:$B$200,0)),),"Market")</f>
        <v>8.9999999999999993E-3</v>
      </c>
      <c r="W386" s="885">
        <f>IFERROR(MAX(0,INDEX(Input!$1:$1048576,W$93,$C386*2+MIN($B386,2)+5)-0%,),"Market")</f>
        <v>3.9E-2</v>
      </c>
      <c r="X386" s="476" t="str">
        <f>INDEX(Input!$1:$1048576,X$93,$C386*2+MIN($B386,2)+5)</f>
        <v>Y</v>
      </c>
      <c r="Y386" s="475">
        <f>INDEX(Input!$1:$1048576,Y$93,$C386*2+MIN($B386,2)+5)
++INDEX(Scenarios!Y$121:Y$200,MATCH($B386,Scenarios!$B$121:$B$200,0))</f>
        <v>1554.9999999999991</v>
      </c>
      <c r="Z386" s="477">
        <f>INDEX(Input!$1:$1048576,Z$93,$C386*2+MIN($B386,2)+5)
+INDEX(Scenarios!Z$121:Z$200,MATCH($B386,Scenarios!$B$121:$B$200,0))</f>
        <v>0</v>
      </c>
      <c r="AA386" s="475">
        <f>INDEX(Input!$1:$1048576,AA$93,$C386*2+MIN($B386,2)+5)
+INDEX(Scenarios!AA$121:AA$200,MATCH($B386,Scenarios!$B$121:$B$200,0))</f>
        <v>0</v>
      </c>
      <c r="AB386" s="476">
        <f>INDEX(Input!$1:$1048576,AB$93,$C386*2+MIN($B386,2)+5)</f>
        <v>0.27</v>
      </c>
      <c r="AC386" s="475">
        <f>INDEX(Input!$1:$1048576,AC$93,$C386*2+MIN($B386,2)+5)
+INDEX(Scenarios!AC$121:AC$200,MATCH($B386,Scenarios!$B$121:$B$200,0))</f>
        <v>0</v>
      </c>
      <c r="AD386" s="476">
        <f>INDEX(Input!$1:$1048576,AD$93,$C386*2+MIN($B386,2)+5)</f>
        <v>0.27</v>
      </c>
      <c r="AE386" s="475">
        <f>INDEX(Input!$1:$1048576,AE$93,$C386*2+MIN($B386,2)+5)
+INDEX(Scenarios!AE$121:AE$200,MATCH($B386,Scenarios!$B$121:$B$200,0))</f>
        <v>0</v>
      </c>
      <c r="AF386" s="476">
        <f>INDEX(Input!$1:$1048576,AF$93,$C386*2+MIN($B386,2)+5)</f>
        <v>0.68200000000000005</v>
      </c>
      <c r="AG386" s="475">
        <f>INDEX(Input!$1:$1048576,AG$93,$C386*2+MIN($B386,2)+5)
+INDEX(Scenarios!AG$121:AG$200,MATCH($B386,Scenarios!$B$121:$B$200,0))</f>
        <v>500</v>
      </c>
      <c r="AH386" s="476">
        <f>INDEX(Input!$1:$1048576,AH$93,$C386*2+MIN($B386,2)+5)</f>
        <v>1</v>
      </c>
      <c r="AI386" s="475">
        <f>INDEX(Input!$1:$1048576,AI$93,$C386*2+MIN($B386,2)+5)
+INDEX(Scenarios!AI$121:AI$200,MATCH($B386,Scenarios!$B$121:$B$200,0))</f>
        <v>0</v>
      </c>
      <c r="AJ386" s="476">
        <f>INDEX(Input!$1:$1048576,AJ$93,$C386*2+MIN($B386,2)+5)</f>
        <v>0.27</v>
      </c>
      <c r="AK386" s="150">
        <f>ROUND(INDEX(Input!$1:$1048576,AK$93,$C385*2+MIN($B386,1)+5)+(Y386-VLOOKUP($C386*1000+1,$A:$HH,Y$92,FALSE)),0)</f>
        <v>2977</v>
      </c>
      <c r="AL386" s="150">
        <f>ROUND(INDEX(Input!$1:$1048576,AL$93,$C385*2+MIN($B386,1)+5)-(Y386-VLOOKUP($C386*1000+1,$A:$HH,Y$92,FALSE))/36,0)</f>
        <v>3395</v>
      </c>
      <c r="AM386" s="32" t="str">
        <f t="shared" si="1047"/>
        <v>std/std/std/std</v>
      </c>
      <c r="AN386" s="32" t="str">
        <f t="shared" si="1048"/>
        <v>$0 + 0/0/0/0.9/3.9</v>
      </c>
      <c r="AO386" s="32" t="str">
        <f t="shared" si="1049"/>
        <v>0/0/0/0.9/3.9</v>
      </c>
      <c r="AP386" s="32" t="str">
        <f t="shared" si="993"/>
        <v>0/0/0.9/3.9</v>
      </c>
      <c r="AQ386" s="536">
        <f t="shared" si="992"/>
        <v>0</v>
      </c>
      <c r="AR386" s="32"/>
      <c r="AS386" s="302"/>
      <c r="AT386" s="3">
        <f t="shared" si="1066"/>
        <v>86</v>
      </c>
      <c r="AU386" s="41" t="s">
        <v>121</v>
      </c>
      <c r="AV386" s="41" t="s">
        <v>116</v>
      </c>
      <c r="AW386" s="41" t="str">
        <f>INDEX(Input!$1:$1048576,AW$93,$C386*2+6)</f>
        <v>Kia</v>
      </c>
      <c r="AX386" s="41" t="str">
        <f>INDEX(Input!$1:$1048576,AX$93,$C386*2+6)</f>
        <v>Kia-LR - L3</v>
      </c>
      <c r="AY386" s="41" t="str">
        <f>IF(LEN(D386)=0,"",INDEX(Input!$1:$1048576,AY$93,$C386*2+6))</f>
        <v>Compact SUV (52)</v>
      </c>
      <c r="AZ386" s="41" t="str">
        <f>INDEX(Input!$1:$1048576,AZ$93,$C386*2+6)</f>
        <v>Kia Soul</v>
      </c>
      <c r="BA386" s="3">
        <f>INDEX(Input!$1:$1048576,BA$93,$C386*2+6)</f>
        <v>2020</v>
      </c>
      <c r="BB386" s="128">
        <f>INDEX(Input!$1:$1048576,BB$93,$C386*2+6)</f>
        <v>1</v>
      </c>
      <c r="BC386" s="128">
        <f>INDEX(Input!$1:$1048576,BC$93,$C386*2+6)</f>
        <v>0.7</v>
      </c>
      <c r="BD386" s="1">
        <f>INDEX(Input!$1:$1048576,BD$93,$C386*2+6)</f>
        <v>4.4999999999999998E-2</v>
      </c>
      <c r="BE386" s="1">
        <f>INDEX(Input!$1:$1048576,BE$93,$C386*2+6)</f>
        <v>4.4999999999999998E-2</v>
      </c>
      <c r="BF386" s="1">
        <f>INDEX(Input!$1:$1048576,BF$93,$C386*2+6)</f>
        <v>0.05</v>
      </c>
      <c r="BG386" s="1">
        <f>INDEX(Input!$1:$1048576,BG$93,$C386*2+6)</f>
        <v>5.45E-2</v>
      </c>
      <c r="BH386" s="1">
        <f>INDEX(Input!$1:$1048576,BH$93,$C386*2+6)</f>
        <v>5.45E-2</v>
      </c>
      <c r="BI386" s="1">
        <f>INDEX(Input!$1:$1048576,BI$93,$C386*2+6)</f>
        <v>0.05</v>
      </c>
      <c r="BJ386" s="1">
        <f>INDEX(Input!$1:$1048576,BJ$93,$C386*2+6)</f>
        <v>0.05</v>
      </c>
      <c r="BK386" s="1">
        <f>INDEX(Input!$1:$1048576,BK$93,$C386*2+6)</f>
        <v>0.05</v>
      </c>
      <c r="BL386" s="1">
        <f>INDEX(Input!$1:$1048576,BL$93,$C386*2+6)</f>
        <v>5.5E-2</v>
      </c>
      <c r="BM386" s="1">
        <f>INDEX(Input!$1:$1048576,BM$93,$C386*2+6)</f>
        <v>0.06</v>
      </c>
      <c r="BN386" s="1">
        <f>INDEX(Input!$1:$1048576,BN$93,$C386*2+6)</f>
        <v>4.4999999999999998E-2</v>
      </c>
      <c r="BO386" s="1">
        <f>INDEX(Input!$1:$1048576,BO$93,$C386*2+6)</f>
        <v>4.4999999999999998E-2</v>
      </c>
      <c r="BP386" s="1">
        <f>INDEX(Input!$1:$1048576,BP$93,$C386*2+6)</f>
        <v>0.05</v>
      </c>
      <c r="BQ386" s="1">
        <f>INDEX(Input!$1:$1048576,BQ$93,$C386*2+6)</f>
        <v>5.45E-2</v>
      </c>
      <c r="BR386" s="1">
        <f>INDEX(Input!$1:$1048576,BR$93,$C386*2+6)</f>
        <v>5.45E-2</v>
      </c>
      <c r="BS386" s="1">
        <f>INDEX(Input!$1:$1048576,BS$93,$C386*2+6)</f>
        <v>0.05</v>
      </c>
      <c r="BT386" s="1">
        <f>INDEX(Input!$1:$1048576,BT$93,$C386*2+6)</f>
        <v>0.05</v>
      </c>
      <c r="BU386" s="1">
        <f>INDEX(Input!$1:$1048576,BU$93,$C386*2+6)</f>
        <v>0.05</v>
      </c>
      <c r="BV386" s="1">
        <f>INDEX(Input!$1:$1048576,BV$93,$C386*2+6)</f>
        <v>5.5E-2</v>
      </c>
      <c r="BW386" s="1">
        <f>INDEX(Input!$1:$1048576,BW$93,$C386*2+6)</f>
        <v>0.06</v>
      </c>
      <c r="BX386" s="127">
        <f>INDEX(Input!$1:$1048576,BX$93,$C386*2+6)</f>
        <v>19985</v>
      </c>
      <c r="BY386" s="20">
        <f>INDEX(Input!$1:$1048576,BY$93,$C386*2+6)</f>
        <v>0.1</v>
      </c>
      <c r="BZ386" s="20">
        <f>INDEX(Input!$1:$1048576,BZ$93,$C386*2+6)</f>
        <v>0.1</v>
      </c>
      <c r="CA386" s="20">
        <f>INDEX(Input!$1:$1048576,CA$93,$C386*2+6)</f>
        <v>0.1</v>
      </c>
      <c r="CB386" s="20">
        <f>INDEX(Input!$1:$1048576,CB$93,$C386*2+6)</f>
        <v>0.1</v>
      </c>
      <c r="CC386" s="20">
        <f>INDEX(Input!$1:$1048576,CC$93,$C386*2+6)</f>
        <v>0.1</v>
      </c>
      <c r="CD386" s="384">
        <f>INDEX(Input!$1:$1048576,CD$93,$C386*2+6)</f>
        <v>0.1</v>
      </c>
      <c r="CE386" s="384">
        <f>INDEX(Input!$1:$1048576,CE$93,$C386*2+6)</f>
        <v>0.1</v>
      </c>
      <c r="CF386" s="384">
        <f>INDEX(Input!$1:$1048576,CF$93,$C386*2+6)</f>
        <v>0.1</v>
      </c>
      <c r="CG386" s="384">
        <f>INDEX(Input!$1:$1048576,CG$93,$C386*2+6)</f>
        <v>0.1</v>
      </c>
      <c r="CH386" s="384">
        <f>INDEX(Input!$1:$1048576,CH$93,$C386*2+6)</f>
        <v>0.1</v>
      </c>
      <c r="CI386" s="304">
        <f t="shared" si="994"/>
        <v>1037.0236024844721</v>
      </c>
      <c r="CJ386" s="16" t="str">
        <f>INDEX(Input!$1:$1048576,CJ$93,$C386*2+6)</f>
        <v>N</v>
      </c>
      <c r="CK386" s="1" t="str">
        <f t="shared" si="995"/>
        <v>Market</v>
      </c>
      <c r="CL386" s="1" t="str">
        <f t="shared" si="996"/>
        <v>Market</v>
      </c>
      <c r="CM386" s="1" t="str">
        <f t="shared" si="997"/>
        <v>Market</v>
      </c>
      <c r="CN386" s="1" t="str">
        <f t="shared" si="998"/>
        <v>Market</v>
      </c>
      <c r="CO386" s="1" t="str">
        <f t="shared" si="999"/>
        <v>Market</v>
      </c>
      <c r="CP386" s="304">
        <f t="shared" si="1000"/>
        <v>500</v>
      </c>
      <c r="CQ386" s="1">
        <f t="shared" si="1001"/>
        <v>0</v>
      </c>
      <c r="CR386" s="1">
        <f t="shared" si="1002"/>
        <v>0</v>
      </c>
      <c r="CS386" s="1">
        <f t="shared" si="1003"/>
        <v>0</v>
      </c>
      <c r="CT386" s="1">
        <f t="shared" si="1004"/>
        <v>8.9999999999999993E-3</v>
      </c>
      <c r="CU386" s="1">
        <f t="shared" si="1005"/>
        <v>3.9E-2</v>
      </c>
      <c r="CV386" s="304">
        <f t="shared" si="1006"/>
        <v>1554.9999999999991</v>
      </c>
      <c r="CW386" s="20" t="s">
        <v>122</v>
      </c>
      <c r="CX386" s="20" t="s">
        <v>122</v>
      </c>
      <c r="CY386" s="20" t="s">
        <v>122</v>
      </c>
      <c r="CZ386" s="20" t="s">
        <v>122</v>
      </c>
      <c r="DA386" s="20" t="s">
        <v>122</v>
      </c>
      <c r="DB386" s="503">
        <f t="shared" si="1007"/>
        <v>0</v>
      </c>
      <c r="DC386" s="127">
        <v>0</v>
      </c>
      <c r="DD386" s="127">
        <v>0</v>
      </c>
      <c r="DE386" s="127">
        <v>0</v>
      </c>
      <c r="DF386" s="127">
        <v>0</v>
      </c>
      <c r="DG386" s="127">
        <v>0</v>
      </c>
      <c r="DH386" s="127">
        <v>0</v>
      </c>
      <c r="DI386" s="127">
        <v>0</v>
      </c>
      <c r="DJ386" s="127">
        <v>0</v>
      </c>
      <c r="DK386" s="127">
        <v>0</v>
      </c>
      <c r="DL386" s="127">
        <v>0</v>
      </c>
      <c r="DM386" s="304">
        <f>INDEX(Input!$1:$1048576,DM$93,$C386*2+6)</f>
        <v>21036.84210526316</v>
      </c>
      <c r="DN386" s="20">
        <v>0</v>
      </c>
      <c r="DO386" s="20">
        <v>0</v>
      </c>
      <c r="DP386" s="20">
        <v>0</v>
      </c>
      <c r="DQ386" s="20">
        <v>0</v>
      </c>
      <c r="DR386" s="20">
        <v>0</v>
      </c>
      <c r="DS386" s="20">
        <f>INDEX(Input!$1:$1048576,DS$93,$C386*2+6)</f>
        <v>0.6</v>
      </c>
      <c r="DT386" s="20">
        <f>INDEX(Input!$1:$1048576,DT$93,$C386*2+6)</f>
        <v>0.55000000000000004</v>
      </c>
      <c r="DU386" s="20">
        <f>INDEX(Input!$1:$1048576,DU$93,$C386*2+6)</f>
        <v>0.52</v>
      </c>
      <c r="DV386" s="20">
        <f>INDEX(Input!$1:$1048576,DV$93,$C386*2+6)</f>
        <v>0.5</v>
      </c>
      <c r="DW386" s="20">
        <f>INDEX(Input!$1:$1048576,DW$93,$C386*2+6)</f>
        <v>0.45</v>
      </c>
      <c r="DX386" s="20"/>
      <c r="DY386" s="7"/>
      <c r="DZ386" s="7"/>
      <c r="EA386" s="7"/>
      <c r="EB386" s="7"/>
      <c r="EC386" s="7"/>
      <c r="ED386" s="7"/>
      <c r="EE386" s="7"/>
      <c r="EF386" s="7"/>
      <c r="EG386" s="7"/>
      <c r="EH386" s="7"/>
      <c r="EI386" s="7"/>
      <c r="EJ386" s="7"/>
      <c r="EK386" s="7"/>
      <c r="EL386" s="7"/>
      <c r="EM386" s="7"/>
      <c r="EN386" s="7"/>
      <c r="EO386" s="7"/>
      <c r="EP386" s="7"/>
      <c r="EQ386" s="7"/>
      <c r="ER386" s="7"/>
      <c r="ES386" s="7"/>
      <c r="ET386" s="7"/>
      <c r="EU386" s="6"/>
      <c r="EV386" s="6"/>
      <c r="EW386" s="6"/>
      <c r="EX386" s="6"/>
      <c r="EY386" s="6"/>
      <c r="EZ386" s="6"/>
      <c r="FA386" s="6"/>
      <c r="FB386" s="6"/>
      <c r="FC386" s="6"/>
      <c r="FD386" s="6"/>
      <c r="FE386" s="6"/>
      <c r="FF386" s="6"/>
      <c r="FG386" s="6"/>
      <c r="FH386" s="6"/>
      <c r="FI386" s="6"/>
      <c r="FJ386" s="6"/>
      <c r="FK386" s="6"/>
      <c r="FL386" s="6"/>
      <c r="FM386" s="6"/>
      <c r="FN386" s="6"/>
      <c r="FO386" s="6"/>
      <c r="FP386" s="6"/>
      <c r="FQ386" s="6"/>
      <c r="FR386" s="6"/>
      <c r="FS386" s="6"/>
      <c r="FT386" s="7"/>
      <c r="FU386" s="7"/>
      <c r="FV386" s="7"/>
      <c r="FW386" s="6"/>
      <c r="FX386" s="6"/>
      <c r="FY386" s="6"/>
      <c r="FZ386" s="6"/>
      <c r="GA386" s="6"/>
      <c r="GB386" s="6"/>
      <c r="GC386" s="7"/>
      <c r="GD386" s="7"/>
      <c r="GE386" s="7"/>
      <c r="GF386" s="7"/>
      <c r="GG386" s="7"/>
      <c r="GH386" s="42"/>
      <c r="GI386" s="6"/>
      <c r="GJ386" s="14"/>
      <c r="GK386" s="14"/>
      <c r="GL386" s="14"/>
      <c r="GM386" s="14"/>
      <c r="GO386" s="5"/>
      <c r="GP386" s="5"/>
      <c r="GQ386" s="5"/>
      <c r="GR386" s="5"/>
      <c r="GS386" s="5"/>
      <c r="GT386" s="5"/>
      <c r="GU386" s="5"/>
      <c r="GV386" s="39"/>
      <c r="GW386" s="5"/>
      <c r="GX386" s="5"/>
      <c r="GY386" s="5"/>
      <c r="GZ386" s="5"/>
      <c r="HA386" s="5"/>
      <c r="HB386" s="39"/>
      <c r="HC386" s="5"/>
      <c r="HD386" s="5"/>
      <c r="HE386" s="5"/>
      <c r="HF386" s="5"/>
      <c r="HG386" s="5"/>
      <c r="HH386" s="39"/>
      <c r="HI386" s="16"/>
      <c r="HJ386" s="19"/>
      <c r="HK386" s="1"/>
      <c r="HL386" s="16"/>
      <c r="HM386" s="1"/>
      <c r="HN386" s="1"/>
      <c r="HO386" s="1"/>
      <c r="HP386" s="1"/>
      <c r="HQ386" s="1"/>
      <c r="HR386" s="1"/>
      <c r="HS386" s="1"/>
      <c r="HT386" s="1"/>
      <c r="HU386" s="1"/>
      <c r="HV386" s="1"/>
      <c r="HW386" s="1"/>
      <c r="HX386" s="1"/>
      <c r="HY386" s="1"/>
      <c r="HZ386" s="1"/>
      <c r="IA386" s="1"/>
      <c r="IB386" s="1"/>
      <c r="IC386" s="1"/>
      <c r="ID386" s="1"/>
      <c r="IE386" s="1"/>
      <c r="IF386" s="1"/>
      <c r="IG386" s="1"/>
      <c r="IH386" s="21"/>
      <c r="II386" s="19"/>
      <c r="IJ386" s="19"/>
      <c r="IK386" s="19"/>
      <c r="IL386" s="19"/>
      <c r="IM386" s="19"/>
      <c r="IN386" s="19"/>
      <c r="IO386" s="39"/>
      <c r="IP386" s="39"/>
      <c r="IQ386" s="39"/>
      <c r="IR386" s="39"/>
      <c r="IS386" s="39"/>
      <c r="IT386" s="39"/>
      <c r="IU386" s="39"/>
      <c r="IV386" s="39"/>
      <c r="IW386" s="39"/>
      <c r="IX386" s="39"/>
      <c r="IY386" s="39"/>
      <c r="IZ386" s="39"/>
      <c r="JA386" s="19"/>
      <c r="JB386" s="19"/>
      <c r="JC386" s="19"/>
      <c r="JD386" s="19"/>
      <c r="JE386" s="21"/>
      <c r="JF386" s="1"/>
      <c r="JG386" s="15"/>
      <c r="JH386" s="1"/>
      <c r="JI386" s="1"/>
      <c r="JJ386" s="1"/>
      <c r="JK386" s="1"/>
      <c r="JL386" s="15"/>
      <c r="JM386" s="15"/>
      <c r="JN386" s="21"/>
      <c r="JO386" s="19"/>
      <c r="JP386" s="19"/>
      <c r="JQ386" s="39"/>
      <c r="JR386" s="39"/>
      <c r="JS386" s="39"/>
      <c r="JT386" s="39"/>
      <c r="JU386" s="385"/>
      <c r="JV386" s="39"/>
      <c r="JW386" s="1"/>
      <c r="JX386" s="19"/>
      <c r="JZ386" s="341"/>
      <c r="KA386" s="342"/>
      <c r="KB386" s="469"/>
      <c r="KI386" s="473"/>
      <c r="KJ386" s="473"/>
      <c r="KK386" s="473"/>
    </row>
    <row r="387" spans="1:297" s="26" customFormat="1" ht="15" outlineLevel="1">
      <c r="A387" s="561">
        <f t="shared" si="1046"/>
        <v>3087</v>
      </c>
      <c r="B387" s="561">
        <f t="shared" si="1064"/>
        <v>87</v>
      </c>
      <c r="C387" s="561">
        <f t="shared" si="1065"/>
        <v>3</v>
      </c>
      <c r="D387" s="561" t="str">
        <f t="shared" si="1109"/>
        <v xml:space="preserve">-500 CC, 0/0/0.9/3.9, </v>
      </c>
      <c r="E387" s="475">
        <f>INDEX(Input!$1:$1048576,E$93,$C387*2+MIN($B387,2)+5)
+INDEX(Scenarios!E$121:E$200,MATCH($B387,Scenarios!$B$121:$B$200,0))</f>
        <v>787.02360248447212</v>
      </c>
      <c r="F387" s="475">
        <f>INDEX(Input!$1:$1048576,F$93,$C387*2+MIN($B387,2)+5)
+INDEX(Scenarios!F$121:F$200,MATCH($B387,Scenarios!$B$121:$B$200,0))</f>
        <v>0</v>
      </c>
      <c r="G387" s="475">
        <f>INDEX(Input!$1:$1048576,G$93,$C387*2+MIN($B387,2)+5)
+INDEX(Scenarios!G$121:G$200,MATCH($B387,Scenarios!$B$121:$B$200,0))</f>
        <v>0</v>
      </c>
      <c r="H387" s="475">
        <f>INDEX(Input!$1:$1048576,H$93,$C387*2+MIN($B387,2)+5)
+INDEX(Scenarios!H$121:H$200,MATCH($B387,Scenarios!$B$121:$B$200,0))</f>
        <v>0</v>
      </c>
      <c r="I387" s="476">
        <f>INDEX(Input!$1:$1048576,I$93,$C387*2+MIN($B387,2)+5)</f>
        <v>0.7</v>
      </c>
      <c r="J387" s="476" t="str">
        <f>INDEX(Input!$1:$1048576,J$93,$C387*2+MIN($B387,2)+5)</f>
        <v>Market</v>
      </c>
      <c r="K387" s="476" t="str">
        <f>INDEX(Input!$1:$1048576,K$93,$C387*2+MIN($B387,2)+5)</f>
        <v>Market</v>
      </c>
      <c r="L387" s="476" t="str">
        <f>INDEX(Input!$1:$1048576,L$93,$C387*2+MIN($B387,2)+5)</f>
        <v>Market</v>
      </c>
      <c r="M387" s="476" t="str">
        <f>INDEX(Input!$1:$1048576,M$93,$C387*2+MIN($B387,2)+5)</f>
        <v>Market</v>
      </c>
      <c r="N387" s="476" t="str">
        <f>INDEX(Input!$1:$1048576,N$93,$C387*2+MIN($B387,2)+5)</f>
        <v>Market</v>
      </c>
      <c r="O387" s="476" t="str">
        <f>INDEX(Input!$1:$1048576,O$93,$C387*2+MIN($B387,2)+5)</f>
        <v>Market</v>
      </c>
      <c r="P387" s="476" t="str">
        <f>INDEX(Input!$1:$1048576,P$93,$C387*2+MIN($B387,2)+5)</f>
        <v>N</v>
      </c>
      <c r="Q387" s="477">
        <f>INDEX(Input!$1:$1048576,Q$93,$C387*2+MIN($B387,2)+5)
+INDEX(Scenarios!Q$121:Q$200,MATCH($B387,Scenarios!$B$121:$B$200,0))</f>
        <v>0</v>
      </c>
      <c r="R387" s="478">
        <f>IFERROR(MAX(0,INDEX(Input!$1:$1048576,R$93,$C387*2+MIN($B387,2)+5)
+INDEX(Scenarios!R$121:R$200,MATCH($B387,Scenarios!$B$121:$B$200,0)),),"Market")</f>
        <v>0</v>
      </c>
      <c r="S387" s="478">
        <f>IFERROR(MAX(0,INDEX(Input!$1:$1048576,S$93,$C387*2+MIN($B387,2)+5)
+INDEX(Scenarios!S$121:S$200,MATCH($B387,Scenarios!$B$121:$B$200,0)),),"Market")</f>
        <v>0</v>
      </c>
      <c r="T387" s="478">
        <f>IFERROR(MAX(0,INDEX(Input!$1:$1048576,T$93,$C387*2+MIN($B387,2)+5)
+INDEX(Scenarios!T$121:T$200,MATCH($B387,Scenarios!$B$121:$B$200,0)),),"Market")</f>
        <v>0</v>
      </c>
      <c r="U387" s="478">
        <f>IFERROR(MAX(0,INDEX(Input!$1:$1048576,U$93,$C387*2+MIN($B387,2)+5)
+INDEX(Scenarios!U$121:U$200,MATCH($B387,Scenarios!$B$121:$B$200,0)),),"Market")</f>
        <v>0</v>
      </c>
      <c r="V387" s="478">
        <f>IFERROR(MAX(0,INDEX(Input!$1:$1048576,V$93,$C387*2+MIN($B387,2)+5)
+INDEX(Scenarios!V$121:V$200,MATCH($B387,Scenarios!$B$121:$B$200,0)),),"Market")</f>
        <v>8.9999999999999993E-3</v>
      </c>
      <c r="W387" s="885">
        <f>IFERROR(MAX(0,INDEX(Input!$1:$1048576,W$93,$C387*2+MIN($B387,2)+5)-0%,),"Market")</f>
        <v>3.9E-2</v>
      </c>
      <c r="X387" s="476" t="str">
        <f>INDEX(Input!$1:$1048576,X$93,$C387*2+MIN($B387,2)+5)</f>
        <v>Y</v>
      </c>
      <c r="Y387" s="475">
        <f>INDEX(Input!$1:$1048576,Y$93,$C387*2+MIN($B387,2)+5)
++INDEX(Scenarios!Y$121:Y$200,MATCH($B387,Scenarios!$B$121:$B$200,0))</f>
        <v>1554.9999999999991</v>
      </c>
      <c r="Z387" s="477">
        <f>INDEX(Input!$1:$1048576,Z$93,$C387*2+MIN($B387,2)+5)
+INDEX(Scenarios!Z$121:Z$200,MATCH($B387,Scenarios!$B$121:$B$200,0))</f>
        <v>0</v>
      </c>
      <c r="AA387" s="475">
        <f>INDEX(Input!$1:$1048576,AA$93,$C387*2+MIN($B387,2)+5)
+INDEX(Scenarios!AA$121:AA$200,MATCH($B387,Scenarios!$B$121:$B$200,0))</f>
        <v>0</v>
      </c>
      <c r="AB387" s="476">
        <f>INDEX(Input!$1:$1048576,AB$93,$C387*2+MIN($B387,2)+5)</f>
        <v>0.27</v>
      </c>
      <c r="AC387" s="475">
        <f>INDEX(Input!$1:$1048576,AC$93,$C387*2+MIN($B387,2)+5)
+INDEX(Scenarios!AC$121:AC$200,MATCH($B387,Scenarios!$B$121:$B$200,0))</f>
        <v>0</v>
      </c>
      <c r="AD387" s="476">
        <f>INDEX(Input!$1:$1048576,AD$93,$C387*2+MIN($B387,2)+5)</f>
        <v>0.27</v>
      </c>
      <c r="AE387" s="475">
        <f>INDEX(Input!$1:$1048576,AE$93,$C387*2+MIN($B387,2)+5)
+INDEX(Scenarios!AE$121:AE$200,MATCH($B387,Scenarios!$B$121:$B$200,0))</f>
        <v>0</v>
      </c>
      <c r="AF387" s="476">
        <f>INDEX(Input!$1:$1048576,AF$93,$C387*2+MIN($B387,2)+5)</f>
        <v>0.68200000000000005</v>
      </c>
      <c r="AG387" s="475">
        <f>INDEX(Input!$1:$1048576,AG$93,$C387*2+MIN($B387,2)+5)
+INDEX(Scenarios!AG$121:AG$200,MATCH($B387,Scenarios!$B$121:$B$200,0))</f>
        <v>500</v>
      </c>
      <c r="AH387" s="476">
        <f>INDEX(Input!$1:$1048576,AH$93,$C387*2+MIN($B387,2)+5)</f>
        <v>1</v>
      </c>
      <c r="AI387" s="475">
        <f>INDEX(Input!$1:$1048576,AI$93,$C387*2+MIN($B387,2)+5)
+INDEX(Scenarios!AI$121:AI$200,MATCH($B387,Scenarios!$B$121:$B$200,0))</f>
        <v>0</v>
      </c>
      <c r="AJ387" s="476">
        <f>INDEX(Input!$1:$1048576,AJ$93,$C387*2+MIN($B387,2)+5)</f>
        <v>0.27</v>
      </c>
      <c r="AK387" s="150">
        <f>ROUND(INDEX(Input!$1:$1048576,AK$93,$C386*2+MIN($B387,1)+5)+(Y387-VLOOKUP($C387*1000+1,$A:$HH,Y$92,FALSE)),0)</f>
        <v>2977</v>
      </c>
      <c r="AL387" s="150">
        <f>ROUND(INDEX(Input!$1:$1048576,AL$93,$C386*2+MIN($B387,1)+5)-(Y387-VLOOKUP($C387*1000+1,$A:$HH,Y$92,FALSE))/36,0)</f>
        <v>3395</v>
      </c>
      <c r="AM387" s="32" t="str">
        <f t="shared" si="1047"/>
        <v>std/std/std/std</v>
      </c>
      <c r="AN387" s="32" t="str">
        <f t="shared" si="1048"/>
        <v>$0 + 0/0/0/0.9/3.9</v>
      </c>
      <c r="AO387" s="32" t="str">
        <f t="shared" si="1049"/>
        <v>0/0/0/0.9/3.9</v>
      </c>
      <c r="AP387" s="32" t="str">
        <f t="shared" si="993"/>
        <v>0/0/0.9/3.9</v>
      </c>
      <c r="AQ387" s="536">
        <f t="shared" si="992"/>
        <v>0</v>
      </c>
      <c r="AR387" s="32"/>
      <c r="AS387" s="302"/>
      <c r="AT387" s="3">
        <f t="shared" si="1066"/>
        <v>87</v>
      </c>
      <c r="AU387" s="41" t="s">
        <v>121</v>
      </c>
      <c r="AV387" s="41" t="s">
        <v>116</v>
      </c>
      <c r="AW387" s="41" t="str">
        <f>INDEX(Input!$1:$1048576,AW$93,$C387*2+6)</f>
        <v>Kia</v>
      </c>
      <c r="AX387" s="41" t="str">
        <f>INDEX(Input!$1:$1048576,AX$93,$C387*2+6)</f>
        <v>Kia-LR - L3</v>
      </c>
      <c r="AY387" s="41" t="str">
        <f>IF(LEN(D387)=0,"",INDEX(Input!$1:$1048576,AY$93,$C387*2+6))</f>
        <v>Compact SUV (52)</v>
      </c>
      <c r="AZ387" s="41" t="str">
        <f>INDEX(Input!$1:$1048576,AZ$93,$C387*2+6)</f>
        <v>Kia Soul</v>
      </c>
      <c r="BA387" s="3">
        <f>INDEX(Input!$1:$1048576,BA$93,$C387*2+6)</f>
        <v>2020</v>
      </c>
      <c r="BB387" s="128">
        <f>INDEX(Input!$1:$1048576,BB$93,$C387*2+6)</f>
        <v>1</v>
      </c>
      <c r="BC387" s="128">
        <f>INDEX(Input!$1:$1048576,BC$93,$C387*2+6)</f>
        <v>0.7</v>
      </c>
      <c r="BD387" s="1">
        <f>INDEX(Input!$1:$1048576,BD$93,$C387*2+6)</f>
        <v>4.4999999999999998E-2</v>
      </c>
      <c r="BE387" s="1">
        <f>INDEX(Input!$1:$1048576,BE$93,$C387*2+6)</f>
        <v>4.4999999999999998E-2</v>
      </c>
      <c r="BF387" s="1">
        <f>INDEX(Input!$1:$1048576,BF$93,$C387*2+6)</f>
        <v>0.05</v>
      </c>
      <c r="BG387" s="1">
        <f>INDEX(Input!$1:$1048576,BG$93,$C387*2+6)</f>
        <v>5.45E-2</v>
      </c>
      <c r="BH387" s="1">
        <f>INDEX(Input!$1:$1048576,BH$93,$C387*2+6)</f>
        <v>5.45E-2</v>
      </c>
      <c r="BI387" s="1">
        <f>INDEX(Input!$1:$1048576,BI$93,$C387*2+6)</f>
        <v>0.05</v>
      </c>
      <c r="BJ387" s="1">
        <f>INDEX(Input!$1:$1048576,BJ$93,$C387*2+6)</f>
        <v>0.05</v>
      </c>
      <c r="BK387" s="1">
        <f>INDEX(Input!$1:$1048576,BK$93,$C387*2+6)</f>
        <v>0.05</v>
      </c>
      <c r="BL387" s="1">
        <f>INDEX(Input!$1:$1048576,BL$93,$C387*2+6)</f>
        <v>5.5E-2</v>
      </c>
      <c r="BM387" s="1">
        <f>INDEX(Input!$1:$1048576,BM$93,$C387*2+6)</f>
        <v>0.06</v>
      </c>
      <c r="BN387" s="1">
        <f>INDEX(Input!$1:$1048576,BN$93,$C387*2+6)</f>
        <v>4.4999999999999998E-2</v>
      </c>
      <c r="BO387" s="1">
        <f>INDEX(Input!$1:$1048576,BO$93,$C387*2+6)</f>
        <v>4.4999999999999998E-2</v>
      </c>
      <c r="BP387" s="1">
        <f>INDEX(Input!$1:$1048576,BP$93,$C387*2+6)</f>
        <v>0.05</v>
      </c>
      <c r="BQ387" s="1">
        <f>INDEX(Input!$1:$1048576,BQ$93,$C387*2+6)</f>
        <v>5.45E-2</v>
      </c>
      <c r="BR387" s="1">
        <f>INDEX(Input!$1:$1048576,BR$93,$C387*2+6)</f>
        <v>5.45E-2</v>
      </c>
      <c r="BS387" s="1">
        <f>INDEX(Input!$1:$1048576,BS$93,$C387*2+6)</f>
        <v>0.05</v>
      </c>
      <c r="BT387" s="1">
        <f>INDEX(Input!$1:$1048576,BT$93,$C387*2+6)</f>
        <v>0.05</v>
      </c>
      <c r="BU387" s="1">
        <f>INDEX(Input!$1:$1048576,BU$93,$C387*2+6)</f>
        <v>0.05</v>
      </c>
      <c r="BV387" s="1">
        <f>INDEX(Input!$1:$1048576,BV$93,$C387*2+6)</f>
        <v>5.5E-2</v>
      </c>
      <c r="BW387" s="1">
        <f>INDEX(Input!$1:$1048576,BW$93,$C387*2+6)</f>
        <v>0.06</v>
      </c>
      <c r="BX387" s="127">
        <f>INDEX(Input!$1:$1048576,BX$93,$C387*2+6)</f>
        <v>19985</v>
      </c>
      <c r="BY387" s="20">
        <f>INDEX(Input!$1:$1048576,BY$93,$C387*2+6)</f>
        <v>0.1</v>
      </c>
      <c r="BZ387" s="20">
        <f>INDEX(Input!$1:$1048576,BZ$93,$C387*2+6)</f>
        <v>0.1</v>
      </c>
      <c r="CA387" s="20">
        <f>INDEX(Input!$1:$1048576,CA$93,$C387*2+6)</f>
        <v>0.1</v>
      </c>
      <c r="CB387" s="20">
        <f>INDEX(Input!$1:$1048576,CB$93,$C387*2+6)</f>
        <v>0.1</v>
      </c>
      <c r="CC387" s="20">
        <f>INDEX(Input!$1:$1048576,CC$93,$C387*2+6)</f>
        <v>0.1</v>
      </c>
      <c r="CD387" s="384">
        <f>INDEX(Input!$1:$1048576,CD$93,$C387*2+6)</f>
        <v>0.1</v>
      </c>
      <c r="CE387" s="384">
        <f>INDEX(Input!$1:$1048576,CE$93,$C387*2+6)</f>
        <v>0.1</v>
      </c>
      <c r="CF387" s="384">
        <f>INDEX(Input!$1:$1048576,CF$93,$C387*2+6)</f>
        <v>0.1</v>
      </c>
      <c r="CG387" s="384">
        <f>INDEX(Input!$1:$1048576,CG$93,$C387*2+6)</f>
        <v>0.1</v>
      </c>
      <c r="CH387" s="384">
        <f>INDEX(Input!$1:$1048576,CH$93,$C387*2+6)</f>
        <v>0.1</v>
      </c>
      <c r="CI387" s="304">
        <f t="shared" si="994"/>
        <v>787.02360248447212</v>
      </c>
      <c r="CJ387" s="16" t="str">
        <f>INDEX(Input!$1:$1048576,CJ$93,$C387*2+6)</f>
        <v>N</v>
      </c>
      <c r="CK387" s="1" t="str">
        <f t="shared" si="995"/>
        <v>Market</v>
      </c>
      <c r="CL387" s="1" t="str">
        <f t="shared" si="996"/>
        <v>Market</v>
      </c>
      <c r="CM387" s="1" t="str">
        <f t="shared" si="997"/>
        <v>Market</v>
      </c>
      <c r="CN387" s="1" t="str">
        <f t="shared" si="998"/>
        <v>Market</v>
      </c>
      <c r="CO387" s="1" t="str">
        <f t="shared" si="999"/>
        <v>Market</v>
      </c>
      <c r="CP387" s="304">
        <f t="shared" si="1000"/>
        <v>500</v>
      </c>
      <c r="CQ387" s="1">
        <f t="shared" si="1001"/>
        <v>0</v>
      </c>
      <c r="CR387" s="1">
        <f t="shared" si="1002"/>
        <v>0</v>
      </c>
      <c r="CS387" s="1">
        <f t="shared" si="1003"/>
        <v>0</v>
      </c>
      <c r="CT387" s="1">
        <f t="shared" si="1004"/>
        <v>8.9999999999999993E-3</v>
      </c>
      <c r="CU387" s="1">
        <f t="shared" si="1005"/>
        <v>3.9E-2</v>
      </c>
      <c r="CV387" s="304">
        <f t="shared" si="1006"/>
        <v>1554.9999999999991</v>
      </c>
      <c r="CW387" s="20" t="s">
        <v>122</v>
      </c>
      <c r="CX387" s="20" t="s">
        <v>122</v>
      </c>
      <c r="CY387" s="20" t="s">
        <v>122</v>
      </c>
      <c r="CZ387" s="20" t="s">
        <v>122</v>
      </c>
      <c r="DA387" s="20" t="s">
        <v>122</v>
      </c>
      <c r="DB387" s="503">
        <f t="shared" si="1007"/>
        <v>0</v>
      </c>
      <c r="DC387" s="127">
        <v>0</v>
      </c>
      <c r="DD387" s="127">
        <v>0</v>
      </c>
      <c r="DE387" s="127">
        <v>0</v>
      </c>
      <c r="DF387" s="127">
        <v>0</v>
      </c>
      <c r="DG387" s="127">
        <v>0</v>
      </c>
      <c r="DH387" s="127">
        <v>0</v>
      </c>
      <c r="DI387" s="127">
        <v>0</v>
      </c>
      <c r="DJ387" s="127">
        <v>0</v>
      </c>
      <c r="DK387" s="127">
        <v>0</v>
      </c>
      <c r="DL387" s="127">
        <v>0</v>
      </c>
      <c r="DM387" s="304">
        <f>INDEX(Input!$1:$1048576,DM$93,$C387*2+6)</f>
        <v>21036.84210526316</v>
      </c>
      <c r="DN387" s="20">
        <v>0</v>
      </c>
      <c r="DO387" s="20">
        <v>0</v>
      </c>
      <c r="DP387" s="20">
        <v>0</v>
      </c>
      <c r="DQ387" s="20">
        <v>0</v>
      </c>
      <c r="DR387" s="20">
        <v>0</v>
      </c>
      <c r="DS387" s="20">
        <f>INDEX(Input!$1:$1048576,DS$93,$C387*2+6)</f>
        <v>0.6</v>
      </c>
      <c r="DT387" s="20">
        <f>INDEX(Input!$1:$1048576,DT$93,$C387*2+6)</f>
        <v>0.55000000000000004</v>
      </c>
      <c r="DU387" s="20">
        <f>INDEX(Input!$1:$1048576,DU$93,$C387*2+6)</f>
        <v>0.52</v>
      </c>
      <c r="DV387" s="20">
        <f>INDEX(Input!$1:$1048576,DV$93,$C387*2+6)</f>
        <v>0.5</v>
      </c>
      <c r="DW387" s="20">
        <f>INDEX(Input!$1:$1048576,DW$93,$C387*2+6)</f>
        <v>0.45</v>
      </c>
      <c r="DX387" s="20"/>
      <c r="DY387" s="7"/>
      <c r="DZ387" s="7"/>
      <c r="EA387" s="7"/>
      <c r="EB387" s="7"/>
      <c r="EC387" s="7"/>
      <c r="ED387" s="7"/>
      <c r="EE387" s="7"/>
      <c r="EF387" s="7"/>
      <c r="EG387" s="7"/>
      <c r="EH387" s="7"/>
      <c r="EI387" s="7"/>
      <c r="EJ387" s="7"/>
      <c r="EK387" s="7"/>
      <c r="EL387" s="7"/>
      <c r="EM387" s="7"/>
      <c r="EN387" s="7"/>
      <c r="EO387" s="7"/>
      <c r="EP387" s="7"/>
      <c r="EQ387" s="7"/>
      <c r="ER387" s="7"/>
      <c r="ES387" s="7"/>
      <c r="ET387" s="7"/>
      <c r="EU387" s="6"/>
      <c r="EV387" s="6"/>
      <c r="EW387" s="6"/>
      <c r="EX387" s="6"/>
      <c r="EY387" s="6"/>
      <c r="EZ387" s="6"/>
      <c r="FA387" s="6"/>
      <c r="FB387" s="6"/>
      <c r="FC387" s="6"/>
      <c r="FD387" s="6"/>
      <c r="FE387" s="6"/>
      <c r="FF387" s="6"/>
      <c r="FG387" s="6"/>
      <c r="FH387" s="6"/>
      <c r="FI387" s="6"/>
      <c r="FJ387" s="6"/>
      <c r="FK387" s="6"/>
      <c r="FL387" s="6"/>
      <c r="FM387" s="6"/>
      <c r="FN387" s="6"/>
      <c r="FO387" s="6"/>
      <c r="FP387" s="6"/>
      <c r="FQ387" s="6"/>
      <c r="FR387" s="6"/>
      <c r="FS387" s="6"/>
      <c r="FT387" s="7"/>
      <c r="FU387" s="7"/>
      <c r="FV387" s="7"/>
      <c r="FW387" s="6"/>
      <c r="FX387" s="6"/>
      <c r="FY387" s="6"/>
      <c r="FZ387" s="6"/>
      <c r="GA387" s="6"/>
      <c r="GB387" s="6"/>
      <c r="GC387" s="7"/>
      <c r="GD387" s="7"/>
      <c r="GE387" s="7"/>
      <c r="GF387" s="7"/>
      <c r="GG387" s="7"/>
      <c r="GH387" s="42"/>
      <c r="GI387" s="6"/>
      <c r="GJ387" s="14"/>
      <c r="GK387" s="14"/>
      <c r="GL387" s="14"/>
      <c r="GM387" s="14"/>
      <c r="GO387" s="5"/>
      <c r="GP387" s="5"/>
      <c r="GQ387" s="5"/>
      <c r="GR387" s="5"/>
      <c r="GS387" s="5"/>
      <c r="GT387" s="5"/>
      <c r="GU387" s="5"/>
      <c r="GV387" s="39"/>
      <c r="GW387" s="5"/>
      <c r="GX387" s="5"/>
      <c r="GY387" s="5"/>
      <c r="GZ387" s="5"/>
      <c r="HA387" s="5"/>
      <c r="HB387" s="39"/>
      <c r="HC387" s="5"/>
      <c r="HD387" s="5"/>
      <c r="HE387" s="5"/>
      <c r="HF387" s="5"/>
      <c r="HG387" s="5"/>
      <c r="HH387" s="39"/>
      <c r="HI387" s="16"/>
      <c r="HJ387" s="19"/>
      <c r="HK387" s="1"/>
      <c r="HL387" s="16"/>
      <c r="HM387" s="1"/>
      <c r="HN387" s="1"/>
      <c r="HO387" s="1"/>
      <c r="HP387" s="1"/>
      <c r="HQ387" s="1"/>
      <c r="HR387" s="1"/>
      <c r="HS387" s="1"/>
      <c r="HT387" s="1"/>
      <c r="HU387" s="1"/>
      <c r="HV387" s="1"/>
      <c r="HW387" s="1"/>
      <c r="HX387" s="1"/>
      <c r="HY387" s="1"/>
      <c r="HZ387" s="1"/>
      <c r="IA387" s="1"/>
      <c r="IB387" s="1"/>
      <c r="IC387" s="1"/>
      <c r="ID387" s="1"/>
      <c r="IE387" s="1"/>
      <c r="IF387" s="1"/>
      <c r="IG387" s="1"/>
      <c r="IH387" s="21"/>
      <c r="II387" s="19"/>
      <c r="IJ387" s="19"/>
      <c r="IK387" s="19"/>
      <c r="IL387" s="19"/>
      <c r="IM387" s="19"/>
      <c r="IN387" s="19"/>
      <c r="IO387" s="39"/>
      <c r="IP387" s="39"/>
      <c r="IQ387" s="39"/>
      <c r="IR387" s="39"/>
      <c r="IS387" s="39"/>
      <c r="IT387" s="39"/>
      <c r="IU387" s="39"/>
      <c r="IV387" s="39"/>
      <c r="IW387" s="39"/>
      <c r="IX387" s="39"/>
      <c r="IY387" s="39"/>
      <c r="IZ387" s="39"/>
      <c r="JA387" s="19"/>
      <c r="JB387" s="19"/>
      <c r="JC387" s="19"/>
      <c r="JD387" s="19"/>
      <c r="JE387" s="21"/>
      <c r="JF387" s="1"/>
      <c r="JG387" s="15"/>
      <c r="JH387" s="1"/>
      <c r="JI387" s="1"/>
      <c r="JJ387" s="1"/>
      <c r="JK387" s="1"/>
      <c r="JL387" s="15"/>
      <c r="JM387" s="15"/>
      <c r="JN387" s="21"/>
      <c r="JO387" s="19"/>
      <c r="JP387" s="19"/>
      <c r="JQ387" s="39"/>
      <c r="JR387" s="39"/>
      <c r="JS387" s="39"/>
      <c r="JT387" s="39"/>
      <c r="JU387" s="385"/>
      <c r="JV387" s="39"/>
      <c r="JW387" s="1"/>
      <c r="JX387" s="19"/>
      <c r="JZ387" s="341"/>
      <c r="KA387" s="342"/>
      <c r="KB387" s="469"/>
      <c r="KI387" s="473"/>
      <c r="KJ387" s="473"/>
      <c r="KK387" s="473"/>
    </row>
    <row r="388" spans="1:297" s="26" customFormat="1" ht="15" outlineLevel="1">
      <c r="A388" s="561">
        <f t="shared" si="1046"/>
        <v>3088</v>
      </c>
      <c r="B388" s="561">
        <f t="shared" si="1064"/>
        <v>88</v>
      </c>
      <c r="C388" s="561">
        <f t="shared" si="1065"/>
        <v>3</v>
      </c>
      <c r="D388" s="561" t="str">
        <f t="shared" si="1109"/>
        <v/>
      </c>
      <c r="E388" s="475">
        <f>INDEX(Input!$1:$1048576,E$93,$C388*2+MIN($B388,2)+5)
+INDEX(Scenarios!E$121:E$200,MATCH($B388,Scenarios!$B$121:$B$200,0))</f>
        <v>1287.0236024844721</v>
      </c>
      <c r="F388" s="475">
        <f>INDEX(Input!$1:$1048576,F$93,$C388*2+MIN($B388,2)+5)
+INDEX(Scenarios!F$121:F$200,MATCH($B388,Scenarios!$B$121:$B$200,0))</f>
        <v>0</v>
      </c>
      <c r="G388" s="475">
        <f>INDEX(Input!$1:$1048576,G$93,$C388*2+MIN($B388,2)+5)
+INDEX(Scenarios!G$121:G$200,MATCH($B388,Scenarios!$B$121:$B$200,0))</f>
        <v>0</v>
      </c>
      <c r="H388" s="475">
        <f>INDEX(Input!$1:$1048576,H$93,$C388*2+MIN($B388,2)+5)
+INDEX(Scenarios!H$121:H$200,MATCH($B388,Scenarios!$B$121:$B$200,0))</f>
        <v>0</v>
      </c>
      <c r="I388" s="476">
        <f>INDEX(Input!$1:$1048576,I$93,$C388*2+MIN($B388,2)+5)</f>
        <v>0.7</v>
      </c>
      <c r="J388" s="476" t="str">
        <f>INDEX(Input!$1:$1048576,J$93,$C388*2+MIN($B388,2)+5)</f>
        <v>Market</v>
      </c>
      <c r="K388" s="476" t="str">
        <f>INDEX(Input!$1:$1048576,K$93,$C388*2+MIN($B388,2)+5)</f>
        <v>Market</v>
      </c>
      <c r="L388" s="476" t="str">
        <f>INDEX(Input!$1:$1048576,L$93,$C388*2+MIN($B388,2)+5)</f>
        <v>Market</v>
      </c>
      <c r="M388" s="476" t="str">
        <f>INDEX(Input!$1:$1048576,M$93,$C388*2+MIN($B388,2)+5)</f>
        <v>Market</v>
      </c>
      <c r="N388" s="476" t="str">
        <f>INDEX(Input!$1:$1048576,N$93,$C388*2+MIN($B388,2)+5)</f>
        <v>Market</v>
      </c>
      <c r="O388" s="476" t="str">
        <f>INDEX(Input!$1:$1048576,O$93,$C388*2+MIN($B388,2)+5)</f>
        <v>Market</v>
      </c>
      <c r="P388" s="476" t="str">
        <f>INDEX(Input!$1:$1048576,P$93,$C388*2+MIN($B388,2)+5)</f>
        <v>N</v>
      </c>
      <c r="Q388" s="477">
        <f>INDEX(Input!$1:$1048576,Q$93,$C388*2+MIN($B388,2)+5)
+INDEX(Scenarios!Q$121:Q$200,MATCH($B388,Scenarios!$B$121:$B$200,0))</f>
        <v>0</v>
      </c>
      <c r="R388" s="478">
        <f>IFERROR(MAX(0,INDEX(Input!$1:$1048576,R$93,$C388*2+MIN($B388,2)+5)
+INDEX(Scenarios!R$121:R$200,MATCH($B388,Scenarios!$B$121:$B$200,0)),),"Market")</f>
        <v>0</v>
      </c>
      <c r="S388" s="478">
        <f>IFERROR(MAX(0,INDEX(Input!$1:$1048576,S$93,$C388*2+MIN($B388,2)+5)
+INDEX(Scenarios!S$121:S$200,MATCH($B388,Scenarios!$B$121:$B$200,0)),),"Market")</f>
        <v>0</v>
      </c>
      <c r="T388" s="478">
        <f>IFERROR(MAX(0,INDEX(Input!$1:$1048576,T$93,$C388*2+MIN($B388,2)+5)
+INDEX(Scenarios!T$121:T$200,MATCH($B388,Scenarios!$B$121:$B$200,0)),),"Market")</f>
        <v>0</v>
      </c>
      <c r="U388" s="478">
        <f>IFERROR(MAX(0,INDEX(Input!$1:$1048576,U$93,$C388*2+MIN($B388,2)+5)
+INDEX(Scenarios!U$121:U$200,MATCH($B388,Scenarios!$B$121:$B$200,0)),),"Market")</f>
        <v>0</v>
      </c>
      <c r="V388" s="478">
        <f>IFERROR(MAX(0,INDEX(Input!$1:$1048576,V$93,$C388*2+MIN($B388,2)+5)
+INDEX(Scenarios!V$121:V$200,MATCH($B388,Scenarios!$B$121:$B$200,0)),),"Market")</f>
        <v>1.9E-2</v>
      </c>
      <c r="W388" s="885">
        <f>IFERROR(MAX(0,INDEX(Input!$1:$1048576,W$93,$C388*2+MIN($B388,2)+5)-0%,),"Market")</f>
        <v>3.9E-2</v>
      </c>
      <c r="X388" s="476" t="str">
        <f>INDEX(Input!$1:$1048576,X$93,$C388*2+MIN($B388,2)+5)</f>
        <v>Y</v>
      </c>
      <c r="Y388" s="475">
        <f>INDEX(Input!$1:$1048576,Y$93,$C388*2+MIN($B388,2)+5)
++INDEX(Scenarios!Y$121:Y$200,MATCH($B388,Scenarios!$B$121:$B$200,0))</f>
        <v>1554.9999999999991</v>
      </c>
      <c r="Z388" s="477">
        <f>INDEX(Input!$1:$1048576,Z$93,$C388*2+MIN($B388,2)+5)
+INDEX(Scenarios!Z$121:Z$200,MATCH($B388,Scenarios!$B$121:$B$200,0))</f>
        <v>0</v>
      </c>
      <c r="AA388" s="475">
        <f>INDEX(Input!$1:$1048576,AA$93,$C388*2+MIN($B388,2)+5)
+INDEX(Scenarios!AA$121:AA$200,MATCH($B388,Scenarios!$B$121:$B$200,0))</f>
        <v>0</v>
      </c>
      <c r="AB388" s="476">
        <f>INDEX(Input!$1:$1048576,AB$93,$C388*2+MIN($B388,2)+5)</f>
        <v>0.27</v>
      </c>
      <c r="AC388" s="475">
        <f>INDEX(Input!$1:$1048576,AC$93,$C388*2+MIN($B388,2)+5)
+INDEX(Scenarios!AC$121:AC$200,MATCH($B388,Scenarios!$B$121:$B$200,0))</f>
        <v>0</v>
      </c>
      <c r="AD388" s="476">
        <f>INDEX(Input!$1:$1048576,AD$93,$C388*2+MIN($B388,2)+5)</f>
        <v>0.27</v>
      </c>
      <c r="AE388" s="475">
        <f>INDEX(Input!$1:$1048576,AE$93,$C388*2+MIN($B388,2)+5)
+INDEX(Scenarios!AE$121:AE$200,MATCH($B388,Scenarios!$B$121:$B$200,0))</f>
        <v>0</v>
      </c>
      <c r="AF388" s="476">
        <f>INDEX(Input!$1:$1048576,AF$93,$C388*2+MIN($B388,2)+5)</f>
        <v>0.68200000000000005</v>
      </c>
      <c r="AG388" s="475">
        <f>INDEX(Input!$1:$1048576,AG$93,$C388*2+MIN($B388,2)+5)
+INDEX(Scenarios!AG$121:AG$200,MATCH($B388,Scenarios!$B$121:$B$200,0))</f>
        <v>500</v>
      </c>
      <c r="AH388" s="476">
        <f>INDEX(Input!$1:$1048576,AH$93,$C388*2+MIN($B388,2)+5)</f>
        <v>1</v>
      </c>
      <c r="AI388" s="475">
        <f>INDEX(Input!$1:$1048576,AI$93,$C388*2+MIN($B388,2)+5)
+INDEX(Scenarios!AI$121:AI$200,MATCH($B388,Scenarios!$B$121:$B$200,0))</f>
        <v>0</v>
      </c>
      <c r="AJ388" s="476">
        <f>INDEX(Input!$1:$1048576,AJ$93,$C388*2+MIN($B388,2)+5)</f>
        <v>0.27</v>
      </c>
      <c r="AK388" s="150">
        <f>ROUND(INDEX(Input!$1:$1048576,AK$93,$C387*2+MIN($B388,1)+5)+(Y388-VLOOKUP($C388*1000+1,$A:$HH,Y$92,FALSE)),0)</f>
        <v>2977</v>
      </c>
      <c r="AL388" s="150">
        <f>ROUND(INDEX(Input!$1:$1048576,AL$93,$C387*2+MIN($B388,1)+5)-(Y388-VLOOKUP($C388*1000+1,$A:$HH,Y$92,FALSE))/36,0)</f>
        <v>3395</v>
      </c>
      <c r="AM388" s="32" t="str">
        <f t="shared" si="1047"/>
        <v>std/std/std/std</v>
      </c>
      <c r="AN388" s="32" t="str">
        <f t="shared" si="1048"/>
        <v>$0 + 0/0/0/1.9/3.9</v>
      </c>
      <c r="AO388" s="32" t="str">
        <f t="shared" si="1049"/>
        <v>0/0/0/1.9/3.9</v>
      </c>
      <c r="AP388" s="32" t="str">
        <f t="shared" si="993"/>
        <v>0/0.9/1.9/3.9</v>
      </c>
      <c r="AQ388" s="536">
        <f t="shared" si="992"/>
        <v>0</v>
      </c>
      <c r="AR388" s="32"/>
      <c r="AS388" s="302"/>
      <c r="AT388" s="3">
        <f t="shared" si="1066"/>
        <v>88</v>
      </c>
      <c r="AU388" s="41" t="s">
        <v>121</v>
      </c>
      <c r="AV388" s="41" t="s">
        <v>116</v>
      </c>
      <c r="AW388" s="41" t="str">
        <f>INDEX(Input!$1:$1048576,AW$93,$C388*2+6)</f>
        <v>Kia</v>
      </c>
      <c r="AX388" s="41" t="str">
        <f>INDEX(Input!$1:$1048576,AX$93,$C388*2+6)</f>
        <v>Kia-LR - L3</v>
      </c>
      <c r="AY388" s="41" t="str">
        <f>IF(LEN(D388)=0,"",INDEX(Input!$1:$1048576,AY$93,$C388*2+6))</f>
        <v/>
      </c>
      <c r="AZ388" s="41" t="str">
        <f>INDEX(Input!$1:$1048576,AZ$93,$C388*2+6)</f>
        <v>Kia Soul</v>
      </c>
      <c r="BA388" s="3">
        <f>INDEX(Input!$1:$1048576,BA$93,$C388*2+6)</f>
        <v>2020</v>
      </c>
      <c r="BB388" s="128">
        <f>INDEX(Input!$1:$1048576,BB$93,$C388*2+6)</f>
        <v>1</v>
      </c>
      <c r="BC388" s="128">
        <f>INDEX(Input!$1:$1048576,BC$93,$C388*2+6)</f>
        <v>0.7</v>
      </c>
      <c r="BD388" s="1">
        <f>INDEX(Input!$1:$1048576,BD$93,$C388*2+6)</f>
        <v>4.4999999999999998E-2</v>
      </c>
      <c r="BE388" s="1">
        <f>INDEX(Input!$1:$1048576,BE$93,$C388*2+6)</f>
        <v>4.4999999999999998E-2</v>
      </c>
      <c r="BF388" s="1">
        <f>INDEX(Input!$1:$1048576,BF$93,$C388*2+6)</f>
        <v>0.05</v>
      </c>
      <c r="BG388" s="1">
        <f>INDEX(Input!$1:$1048576,BG$93,$C388*2+6)</f>
        <v>5.45E-2</v>
      </c>
      <c r="BH388" s="1">
        <f>INDEX(Input!$1:$1048576,BH$93,$C388*2+6)</f>
        <v>5.45E-2</v>
      </c>
      <c r="BI388" s="1">
        <f>INDEX(Input!$1:$1048576,BI$93,$C388*2+6)</f>
        <v>0.05</v>
      </c>
      <c r="BJ388" s="1">
        <f>INDEX(Input!$1:$1048576,BJ$93,$C388*2+6)</f>
        <v>0.05</v>
      </c>
      <c r="BK388" s="1">
        <f>INDEX(Input!$1:$1048576,BK$93,$C388*2+6)</f>
        <v>0.05</v>
      </c>
      <c r="BL388" s="1">
        <f>INDEX(Input!$1:$1048576,BL$93,$C388*2+6)</f>
        <v>5.5E-2</v>
      </c>
      <c r="BM388" s="1">
        <f>INDEX(Input!$1:$1048576,BM$93,$C388*2+6)</f>
        <v>0.06</v>
      </c>
      <c r="BN388" s="1">
        <f>INDEX(Input!$1:$1048576,BN$93,$C388*2+6)</f>
        <v>4.4999999999999998E-2</v>
      </c>
      <c r="BO388" s="1">
        <f>INDEX(Input!$1:$1048576,BO$93,$C388*2+6)</f>
        <v>4.4999999999999998E-2</v>
      </c>
      <c r="BP388" s="1">
        <f>INDEX(Input!$1:$1048576,BP$93,$C388*2+6)</f>
        <v>0.05</v>
      </c>
      <c r="BQ388" s="1">
        <f>INDEX(Input!$1:$1048576,BQ$93,$C388*2+6)</f>
        <v>5.45E-2</v>
      </c>
      <c r="BR388" s="1">
        <f>INDEX(Input!$1:$1048576,BR$93,$C388*2+6)</f>
        <v>5.45E-2</v>
      </c>
      <c r="BS388" s="1">
        <f>INDEX(Input!$1:$1048576,BS$93,$C388*2+6)</f>
        <v>0.05</v>
      </c>
      <c r="BT388" s="1">
        <f>INDEX(Input!$1:$1048576,BT$93,$C388*2+6)</f>
        <v>0.05</v>
      </c>
      <c r="BU388" s="1">
        <f>INDEX(Input!$1:$1048576,BU$93,$C388*2+6)</f>
        <v>0.05</v>
      </c>
      <c r="BV388" s="1">
        <f>INDEX(Input!$1:$1048576,BV$93,$C388*2+6)</f>
        <v>5.5E-2</v>
      </c>
      <c r="BW388" s="1">
        <f>INDEX(Input!$1:$1048576,BW$93,$C388*2+6)</f>
        <v>0.06</v>
      </c>
      <c r="BX388" s="127">
        <f>INDEX(Input!$1:$1048576,BX$93,$C388*2+6)</f>
        <v>19985</v>
      </c>
      <c r="BY388" s="20">
        <f>INDEX(Input!$1:$1048576,BY$93,$C388*2+6)</f>
        <v>0.1</v>
      </c>
      <c r="BZ388" s="20">
        <f>INDEX(Input!$1:$1048576,BZ$93,$C388*2+6)</f>
        <v>0.1</v>
      </c>
      <c r="CA388" s="20">
        <f>INDEX(Input!$1:$1048576,CA$93,$C388*2+6)</f>
        <v>0.1</v>
      </c>
      <c r="CB388" s="20">
        <f>INDEX(Input!$1:$1048576,CB$93,$C388*2+6)</f>
        <v>0.1</v>
      </c>
      <c r="CC388" s="20">
        <f>INDEX(Input!$1:$1048576,CC$93,$C388*2+6)</f>
        <v>0.1</v>
      </c>
      <c r="CD388" s="384">
        <f>INDEX(Input!$1:$1048576,CD$93,$C388*2+6)</f>
        <v>0.1</v>
      </c>
      <c r="CE388" s="384">
        <f>INDEX(Input!$1:$1048576,CE$93,$C388*2+6)</f>
        <v>0.1</v>
      </c>
      <c r="CF388" s="384">
        <f>INDEX(Input!$1:$1048576,CF$93,$C388*2+6)</f>
        <v>0.1</v>
      </c>
      <c r="CG388" s="384">
        <f>INDEX(Input!$1:$1048576,CG$93,$C388*2+6)</f>
        <v>0.1</v>
      </c>
      <c r="CH388" s="384">
        <f>INDEX(Input!$1:$1048576,CH$93,$C388*2+6)</f>
        <v>0.1</v>
      </c>
      <c r="CI388" s="304">
        <f t="shared" si="994"/>
        <v>1287.0236024844721</v>
      </c>
      <c r="CJ388" s="16" t="str">
        <f>INDEX(Input!$1:$1048576,CJ$93,$C388*2+6)</f>
        <v>N</v>
      </c>
      <c r="CK388" s="1" t="str">
        <f t="shared" si="995"/>
        <v>Market</v>
      </c>
      <c r="CL388" s="1" t="str">
        <f t="shared" si="996"/>
        <v>Market</v>
      </c>
      <c r="CM388" s="1" t="str">
        <f t="shared" si="997"/>
        <v>Market</v>
      </c>
      <c r="CN388" s="1" t="str">
        <f t="shared" si="998"/>
        <v>Market</v>
      </c>
      <c r="CO388" s="1" t="str">
        <f t="shared" si="999"/>
        <v>Market</v>
      </c>
      <c r="CP388" s="304">
        <f t="shared" si="1000"/>
        <v>500</v>
      </c>
      <c r="CQ388" s="1">
        <f t="shared" si="1001"/>
        <v>0</v>
      </c>
      <c r="CR388" s="1">
        <f t="shared" si="1002"/>
        <v>0</v>
      </c>
      <c r="CS388" s="1">
        <f t="shared" si="1003"/>
        <v>0</v>
      </c>
      <c r="CT388" s="1">
        <f t="shared" si="1004"/>
        <v>1.9E-2</v>
      </c>
      <c r="CU388" s="1">
        <f t="shared" si="1005"/>
        <v>3.9E-2</v>
      </c>
      <c r="CV388" s="304">
        <f t="shared" si="1006"/>
        <v>1554.9999999999991</v>
      </c>
      <c r="CW388" s="20" t="s">
        <v>122</v>
      </c>
      <c r="CX388" s="20" t="s">
        <v>122</v>
      </c>
      <c r="CY388" s="20" t="s">
        <v>122</v>
      </c>
      <c r="CZ388" s="20" t="s">
        <v>122</v>
      </c>
      <c r="DA388" s="20" t="s">
        <v>122</v>
      </c>
      <c r="DB388" s="503">
        <f t="shared" si="1007"/>
        <v>0</v>
      </c>
      <c r="DC388" s="127">
        <v>0</v>
      </c>
      <c r="DD388" s="127">
        <v>0</v>
      </c>
      <c r="DE388" s="127">
        <v>0</v>
      </c>
      <c r="DF388" s="127">
        <v>0</v>
      </c>
      <c r="DG388" s="127">
        <v>0</v>
      </c>
      <c r="DH388" s="127">
        <v>0</v>
      </c>
      <c r="DI388" s="127">
        <v>0</v>
      </c>
      <c r="DJ388" s="127">
        <v>0</v>
      </c>
      <c r="DK388" s="127">
        <v>0</v>
      </c>
      <c r="DL388" s="127">
        <v>0</v>
      </c>
      <c r="DM388" s="304">
        <f>INDEX(Input!$1:$1048576,DM$93,$C388*2+6)</f>
        <v>21036.84210526316</v>
      </c>
      <c r="DN388" s="20">
        <v>0</v>
      </c>
      <c r="DO388" s="20">
        <v>0</v>
      </c>
      <c r="DP388" s="20">
        <v>0</v>
      </c>
      <c r="DQ388" s="20">
        <v>0</v>
      </c>
      <c r="DR388" s="20">
        <v>0</v>
      </c>
      <c r="DS388" s="20">
        <f>INDEX(Input!$1:$1048576,DS$93,$C388*2+6)</f>
        <v>0.6</v>
      </c>
      <c r="DT388" s="20">
        <f>INDEX(Input!$1:$1048576,DT$93,$C388*2+6)</f>
        <v>0.55000000000000004</v>
      </c>
      <c r="DU388" s="20">
        <f>INDEX(Input!$1:$1048576,DU$93,$C388*2+6)</f>
        <v>0.52</v>
      </c>
      <c r="DV388" s="20">
        <f>INDEX(Input!$1:$1048576,DV$93,$C388*2+6)</f>
        <v>0.5</v>
      </c>
      <c r="DW388" s="20">
        <f>INDEX(Input!$1:$1048576,DW$93,$C388*2+6)</f>
        <v>0.45</v>
      </c>
      <c r="DX388" s="20"/>
      <c r="DY388" s="7"/>
      <c r="DZ388" s="7"/>
      <c r="EA388" s="7"/>
      <c r="EB388" s="7"/>
      <c r="EC388" s="7"/>
      <c r="ED388" s="7"/>
      <c r="EE388" s="7"/>
      <c r="EF388" s="7"/>
      <c r="EG388" s="7"/>
      <c r="EH388" s="7"/>
      <c r="EI388" s="7"/>
      <c r="EJ388" s="7"/>
      <c r="EK388" s="7"/>
      <c r="EL388" s="7"/>
      <c r="EM388" s="7"/>
      <c r="EN388" s="7"/>
      <c r="EO388" s="7"/>
      <c r="EP388" s="7"/>
      <c r="EQ388" s="7"/>
      <c r="ER388" s="7"/>
      <c r="ES388" s="7"/>
      <c r="ET388" s="7"/>
      <c r="EU388" s="6"/>
      <c r="EV388" s="6"/>
      <c r="EW388" s="6"/>
      <c r="EX388" s="6"/>
      <c r="EY388" s="6"/>
      <c r="EZ388" s="6"/>
      <c r="FA388" s="6"/>
      <c r="FB388" s="6"/>
      <c r="FC388" s="6"/>
      <c r="FD388" s="6"/>
      <c r="FE388" s="6"/>
      <c r="FF388" s="6"/>
      <c r="FG388" s="6"/>
      <c r="FH388" s="6"/>
      <c r="FI388" s="6"/>
      <c r="FJ388" s="6"/>
      <c r="FK388" s="6"/>
      <c r="FL388" s="6"/>
      <c r="FM388" s="6"/>
      <c r="FN388" s="6"/>
      <c r="FO388" s="6"/>
      <c r="FP388" s="6"/>
      <c r="FQ388" s="6"/>
      <c r="FR388" s="6"/>
      <c r="FS388" s="6"/>
      <c r="FT388" s="7"/>
      <c r="FU388" s="7"/>
      <c r="FV388" s="7"/>
      <c r="FW388" s="6"/>
      <c r="FX388" s="6"/>
      <c r="FY388" s="6"/>
      <c r="FZ388" s="6"/>
      <c r="GA388" s="6"/>
      <c r="GB388" s="6"/>
      <c r="GC388" s="7"/>
      <c r="GD388" s="7"/>
      <c r="GE388" s="7"/>
      <c r="GF388" s="7"/>
      <c r="GG388" s="7"/>
      <c r="GH388" s="42"/>
      <c r="GI388" s="6"/>
      <c r="GJ388" s="14"/>
      <c r="GK388" s="14"/>
      <c r="GL388" s="14"/>
      <c r="GM388" s="14"/>
      <c r="GO388" s="5"/>
      <c r="GP388" s="5"/>
      <c r="GQ388" s="5"/>
      <c r="GR388" s="5"/>
      <c r="GS388" s="5"/>
      <c r="GT388" s="5"/>
      <c r="GU388" s="5"/>
      <c r="GV388" s="39"/>
      <c r="GW388" s="5"/>
      <c r="GX388" s="5"/>
      <c r="GY388" s="5"/>
      <c r="GZ388" s="5"/>
      <c r="HA388" s="5"/>
      <c r="HB388" s="39"/>
      <c r="HC388" s="5"/>
      <c r="HD388" s="5"/>
      <c r="HE388" s="5"/>
      <c r="HF388" s="5"/>
      <c r="HG388" s="5"/>
      <c r="HH388" s="39"/>
      <c r="HI388" s="16"/>
      <c r="HJ388" s="19"/>
      <c r="HK388" s="1"/>
      <c r="HL388" s="16"/>
      <c r="HM388" s="1"/>
      <c r="HN388" s="1"/>
      <c r="HO388" s="1"/>
      <c r="HP388" s="1"/>
      <c r="HQ388" s="1"/>
      <c r="HR388" s="1"/>
      <c r="HS388" s="1"/>
      <c r="HT388" s="1"/>
      <c r="HU388" s="1"/>
      <c r="HV388" s="1"/>
      <c r="HW388" s="1"/>
      <c r="HX388" s="1"/>
      <c r="HY388" s="1"/>
      <c r="HZ388" s="1"/>
      <c r="IA388" s="1"/>
      <c r="IB388" s="1"/>
      <c r="IC388" s="1"/>
      <c r="ID388" s="1"/>
      <c r="IE388" s="1"/>
      <c r="IF388" s="1"/>
      <c r="IG388" s="1"/>
      <c r="IH388" s="21"/>
      <c r="II388" s="19"/>
      <c r="IJ388" s="19"/>
      <c r="IK388" s="19"/>
      <c r="IL388" s="19"/>
      <c r="IM388" s="19"/>
      <c r="IN388" s="19"/>
      <c r="IO388" s="39"/>
      <c r="IP388" s="39"/>
      <c r="IQ388" s="39"/>
      <c r="IR388" s="39"/>
      <c r="IS388" s="39"/>
      <c r="IT388" s="39"/>
      <c r="IU388" s="39"/>
      <c r="IV388" s="39"/>
      <c r="IW388" s="39"/>
      <c r="IX388" s="39"/>
      <c r="IY388" s="39"/>
      <c r="IZ388" s="39"/>
      <c r="JA388" s="19"/>
      <c r="JB388" s="19"/>
      <c r="JC388" s="19"/>
      <c r="JD388" s="19"/>
      <c r="JE388" s="21"/>
      <c r="JF388" s="1"/>
      <c r="JG388" s="15"/>
      <c r="JH388" s="1"/>
      <c r="JI388" s="1"/>
      <c r="JJ388" s="1"/>
      <c r="JK388" s="1"/>
      <c r="JL388" s="15"/>
      <c r="JM388" s="15"/>
      <c r="JN388" s="21"/>
      <c r="JO388" s="19"/>
      <c r="JP388" s="19"/>
      <c r="JQ388" s="39"/>
      <c r="JR388" s="39"/>
      <c r="JS388" s="39"/>
      <c r="JT388" s="39"/>
      <c r="JU388" s="385"/>
      <c r="JV388" s="39"/>
      <c r="JW388" s="1"/>
      <c r="JX388" s="19"/>
      <c r="JZ388" s="341"/>
      <c r="KA388" s="342"/>
      <c r="KB388" s="469"/>
      <c r="KI388" s="473"/>
      <c r="KJ388" s="473"/>
      <c r="KK388" s="473"/>
    </row>
    <row r="389" spans="1:297" s="26" customFormat="1" ht="15" outlineLevel="1">
      <c r="A389" s="561">
        <f t="shared" si="1046"/>
        <v>3089</v>
      </c>
      <c r="B389" s="561">
        <f t="shared" si="1064"/>
        <v>89</v>
      </c>
      <c r="C389" s="561">
        <f t="shared" si="1065"/>
        <v>3</v>
      </c>
      <c r="D389" s="561" t="str">
        <f t="shared" si="1109"/>
        <v/>
      </c>
      <c r="E389" s="475">
        <f>INDEX(Input!$1:$1048576,E$93,$C389*2+MIN($B389,2)+5)
+INDEX(Scenarios!E$121:E$200,MATCH($B389,Scenarios!$B$121:$B$200,0))</f>
        <v>1287.0236024844721</v>
      </c>
      <c r="F389" s="475">
        <f>INDEX(Input!$1:$1048576,F$93,$C389*2+MIN($B389,2)+5)
+INDEX(Scenarios!F$121:F$200,MATCH($B389,Scenarios!$B$121:$B$200,0))</f>
        <v>0</v>
      </c>
      <c r="G389" s="475">
        <f>INDEX(Input!$1:$1048576,G$93,$C389*2+MIN($B389,2)+5)
+INDEX(Scenarios!G$121:G$200,MATCH($B389,Scenarios!$B$121:$B$200,0))</f>
        <v>0</v>
      </c>
      <c r="H389" s="475">
        <f>INDEX(Input!$1:$1048576,H$93,$C389*2+MIN($B389,2)+5)
+INDEX(Scenarios!H$121:H$200,MATCH($B389,Scenarios!$B$121:$B$200,0))</f>
        <v>0</v>
      </c>
      <c r="I389" s="476">
        <f>INDEX(Input!$1:$1048576,I$93,$C389*2+MIN($B389,2)+5)</f>
        <v>0.7</v>
      </c>
      <c r="J389" s="476" t="str">
        <f>INDEX(Input!$1:$1048576,J$93,$C389*2+MIN($B389,2)+5)</f>
        <v>Market</v>
      </c>
      <c r="K389" s="476" t="str">
        <f>INDEX(Input!$1:$1048576,K$93,$C389*2+MIN($B389,2)+5)</f>
        <v>Market</v>
      </c>
      <c r="L389" s="476" t="str">
        <f>INDEX(Input!$1:$1048576,L$93,$C389*2+MIN($B389,2)+5)</f>
        <v>Market</v>
      </c>
      <c r="M389" s="476" t="str">
        <f>INDEX(Input!$1:$1048576,M$93,$C389*2+MIN($B389,2)+5)</f>
        <v>Market</v>
      </c>
      <c r="N389" s="476" t="str">
        <f>INDEX(Input!$1:$1048576,N$93,$C389*2+MIN($B389,2)+5)</f>
        <v>Market</v>
      </c>
      <c r="O389" s="476" t="str">
        <f>INDEX(Input!$1:$1048576,O$93,$C389*2+MIN($B389,2)+5)</f>
        <v>Market</v>
      </c>
      <c r="P389" s="476" t="str">
        <f>INDEX(Input!$1:$1048576,P$93,$C389*2+MIN($B389,2)+5)</f>
        <v>N</v>
      </c>
      <c r="Q389" s="477">
        <f>INDEX(Input!$1:$1048576,Q$93,$C389*2+MIN($B389,2)+5)
+INDEX(Scenarios!Q$121:Q$200,MATCH($B389,Scenarios!$B$121:$B$200,0))</f>
        <v>0</v>
      </c>
      <c r="R389" s="478">
        <f>IFERROR(MAX(0,INDEX(Input!$1:$1048576,R$93,$C389*2+MIN($B389,2)+5)
+INDEX(Scenarios!R$121:R$200,MATCH($B389,Scenarios!$B$121:$B$200,0)),),"Market")</f>
        <v>0</v>
      </c>
      <c r="S389" s="478">
        <f>IFERROR(MAX(0,INDEX(Input!$1:$1048576,S$93,$C389*2+MIN($B389,2)+5)
+INDEX(Scenarios!S$121:S$200,MATCH($B389,Scenarios!$B$121:$B$200,0)),),"Market")</f>
        <v>0</v>
      </c>
      <c r="T389" s="478">
        <f>IFERROR(MAX(0,INDEX(Input!$1:$1048576,T$93,$C389*2+MIN($B389,2)+5)
+INDEX(Scenarios!T$121:T$200,MATCH($B389,Scenarios!$B$121:$B$200,0)),),"Market")</f>
        <v>0</v>
      </c>
      <c r="U389" s="478">
        <f>IFERROR(MAX(0,INDEX(Input!$1:$1048576,U$93,$C389*2+MIN($B389,2)+5)
+INDEX(Scenarios!U$121:U$200,MATCH($B389,Scenarios!$B$121:$B$200,0)),),"Market")</f>
        <v>0</v>
      </c>
      <c r="V389" s="478">
        <f>IFERROR(MAX(0,INDEX(Input!$1:$1048576,V$93,$C389*2+MIN($B389,2)+5)
+INDEX(Scenarios!V$121:V$200,MATCH($B389,Scenarios!$B$121:$B$200,0)),),"Market")</f>
        <v>1.9E-2</v>
      </c>
      <c r="W389" s="885">
        <f>IFERROR(MAX(0,INDEX(Input!$1:$1048576,W$93,$C389*2+MIN($B389,2)+5)-0%,),"Market")</f>
        <v>3.9E-2</v>
      </c>
      <c r="X389" s="476" t="str">
        <f>INDEX(Input!$1:$1048576,X$93,$C389*2+MIN($B389,2)+5)</f>
        <v>Y</v>
      </c>
      <c r="Y389" s="475">
        <f>INDEX(Input!$1:$1048576,Y$93,$C389*2+MIN($B389,2)+5)
++INDEX(Scenarios!Y$121:Y$200,MATCH($B389,Scenarios!$B$121:$B$200,0))</f>
        <v>1554.9999999999991</v>
      </c>
      <c r="Z389" s="477">
        <f>INDEX(Input!$1:$1048576,Z$93,$C389*2+MIN($B389,2)+5)
+INDEX(Scenarios!Z$121:Z$200,MATCH($B389,Scenarios!$B$121:$B$200,0))</f>
        <v>0</v>
      </c>
      <c r="AA389" s="475">
        <f>INDEX(Input!$1:$1048576,AA$93,$C389*2+MIN($B389,2)+5)
+INDEX(Scenarios!AA$121:AA$200,MATCH($B389,Scenarios!$B$121:$B$200,0))</f>
        <v>0</v>
      </c>
      <c r="AB389" s="476">
        <f>INDEX(Input!$1:$1048576,AB$93,$C389*2+MIN($B389,2)+5)</f>
        <v>0.27</v>
      </c>
      <c r="AC389" s="475">
        <f>INDEX(Input!$1:$1048576,AC$93,$C389*2+MIN($B389,2)+5)
+INDEX(Scenarios!AC$121:AC$200,MATCH($B389,Scenarios!$B$121:$B$200,0))</f>
        <v>0</v>
      </c>
      <c r="AD389" s="476">
        <f>INDEX(Input!$1:$1048576,AD$93,$C389*2+MIN($B389,2)+5)</f>
        <v>0.27</v>
      </c>
      <c r="AE389" s="475">
        <f>INDEX(Input!$1:$1048576,AE$93,$C389*2+MIN($B389,2)+5)
+INDEX(Scenarios!AE$121:AE$200,MATCH($B389,Scenarios!$B$121:$B$200,0))</f>
        <v>0</v>
      </c>
      <c r="AF389" s="476">
        <f>INDEX(Input!$1:$1048576,AF$93,$C389*2+MIN($B389,2)+5)</f>
        <v>0.68200000000000005</v>
      </c>
      <c r="AG389" s="475">
        <f>INDEX(Input!$1:$1048576,AG$93,$C389*2+MIN($B389,2)+5)
+INDEX(Scenarios!AG$121:AG$200,MATCH($B389,Scenarios!$B$121:$B$200,0))</f>
        <v>500</v>
      </c>
      <c r="AH389" s="476">
        <f>INDEX(Input!$1:$1048576,AH$93,$C389*2+MIN($B389,2)+5)</f>
        <v>1</v>
      </c>
      <c r="AI389" s="475">
        <f>INDEX(Input!$1:$1048576,AI$93,$C389*2+MIN($B389,2)+5)
+INDEX(Scenarios!AI$121:AI$200,MATCH($B389,Scenarios!$B$121:$B$200,0))</f>
        <v>0</v>
      </c>
      <c r="AJ389" s="476">
        <f>INDEX(Input!$1:$1048576,AJ$93,$C389*2+MIN($B389,2)+5)</f>
        <v>0.27</v>
      </c>
      <c r="AK389" s="150">
        <f>ROUND(INDEX(Input!$1:$1048576,AK$93,$C388*2+MIN($B389,1)+5)+(Y389-VLOOKUP($C389*1000+1,$A:$HH,Y$92,FALSE)),0)</f>
        <v>2977</v>
      </c>
      <c r="AL389" s="150">
        <f>ROUND(INDEX(Input!$1:$1048576,AL$93,$C388*2+MIN($B389,1)+5)-(Y389-VLOOKUP($C389*1000+1,$A:$HH,Y$92,FALSE))/36,0)</f>
        <v>3395</v>
      </c>
      <c r="AM389" s="32" t="str">
        <f t="shared" si="1047"/>
        <v>std/std/std/std</v>
      </c>
      <c r="AN389" s="32" t="str">
        <f t="shared" si="1048"/>
        <v>$0 + 0/0/0/1.9/3.9</v>
      </c>
      <c r="AO389" s="32" t="str">
        <f t="shared" si="1049"/>
        <v>0/0/0/1.9/3.9</v>
      </c>
      <c r="AP389" s="32" t="str">
        <f t="shared" si="993"/>
        <v>0/0.9/1.9/3.9</v>
      </c>
      <c r="AQ389" s="536">
        <f t="shared" si="992"/>
        <v>0</v>
      </c>
      <c r="AR389" s="32"/>
      <c r="AS389" s="302"/>
      <c r="AT389" s="3">
        <f t="shared" si="1066"/>
        <v>89</v>
      </c>
      <c r="AU389" s="41" t="s">
        <v>121</v>
      </c>
      <c r="AV389" s="41" t="s">
        <v>116</v>
      </c>
      <c r="AW389" s="41" t="str">
        <f>INDEX(Input!$1:$1048576,AW$93,$C389*2+6)</f>
        <v>Kia</v>
      </c>
      <c r="AX389" s="41" t="str">
        <f>INDEX(Input!$1:$1048576,AX$93,$C389*2+6)</f>
        <v>Kia-LR - L3</v>
      </c>
      <c r="AY389" s="41" t="str">
        <f>IF(LEN(D389)=0,"",INDEX(Input!$1:$1048576,AY$93,$C389*2+6))</f>
        <v/>
      </c>
      <c r="AZ389" s="41" t="str">
        <f>INDEX(Input!$1:$1048576,AZ$93,$C389*2+6)</f>
        <v>Kia Soul</v>
      </c>
      <c r="BA389" s="3">
        <f>INDEX(Input!$1:$1048576,BA$93,$C389*2+6)</f>
        <v>2020</v>
      </c>
      <c r="BB389" s="128">
        <f>INDEX(Input!$1:$1048576,BB$93,$C389*2+6)</f>
        <v>1</v>
      </c>
      <c r="BC389" s="128">
        <f>INDEX(Input!$1:$1048576,BC$93,$C389*2+6)</f>
        <v>0.7</v>
      </c>
      <c r="BD389" s="1">
        <f>INDEX(Input!$1:$1048576,BD$93,$C389*2+6)</f>
        <v>4.4999999999999998E-2</v>
      </c>
      <c r="BE389" s="1">
        <f>INDEX(Input!$1:$1048576,BE$93,$C389*2+6)</f>
        <v>4.4999999999999998E-2</v>
      </c>
      <c r="BF389" s="1">
        <f>INDEX(Input!$1:$1048576,BF$93,$C389*2+6)</f>
        <v>0.05</v>
      </c>
      <c r="BG389" s="1">
        <f>INDEX(Input!$1:$1048576,BG$93,$C389*2+6)</f>
        <v>5.45E-2</v>
      </c>
      <c r="BH389" s="1">
        <f>INDEX(Input!$1:$1048576,BH$93,$C389*2+6)</f>
        <v>5.45E-2</v>
      </c>
      <c r="BI389" s="1">
        <f>INDEX(Input!$1:$1048576,BI$93,$C389*2+6)</f>
        <v>0.05</v>
      </c>
      <c r="BJ389" s="1">
        <f>INDEX(Input!$1:$1048576,BJ$93,$C389*2+6)</f>
        <v>0.05</v>
      </c>
      <c r="BK389" s="1">
        <f>INDEX(Input!$1:$1048576,BK$93,$C389*2+6)</f>
        <v>0.05</v>
      </c>
      <c r="BL389" s="1">
        <f>INDEX(Input!$1:$1048576,BL$93,$C389*2+6)</f>
        <v>5.5E-2</v>
      </c>
      <c r="BM389" s="1">
        <f>INDEX(Input!$1:$1048576,BM$93,$C389*2+6)</f>
        <v>0.06</v>
      </c>
      <c r="BN389" s="1">
        <f>INDEX(Input!$1:$1048576,BN$93,$C389*2+6)</f>
        <v>4.4999999999999998E-2</v>
      </c>
      <c r="BO389" s="1">
        <f>INDEX(Input!$1:$1048576,BO$93,$C389*2+6)</f>
        <v>4.4999999999999998E-2</v>
      </c>
      <c r="BP389" s="1">
        <f>INDEX(Input!$1:$1048576,BP$93,$C389*2+6)</f>
        <v>0.05</v>
      </c>
      <c r="BQ389" s="1">
        <f>INDEX(Input!$1:$1048576,BQ$93,$C389*2+6)</f>
        <v>5.45E-2</v>
      </c>
      <c r="BR389" s="1">
        <f>INDEX(Input!$1:$1048576,BR$93,$C389*2+6)</f>
        <v>5.45E-2</v>
      </c>
      <c r="BS389" s="1">
        <f>INDEX(Input!$1:$1048576,BS$93,$C389*2+6)</f>
        <v>0.05</v>
      </c>
      <c r="BT389" s="1">
        <f>INDEX(Input!$1:$1048576,BT$93,$C389*2+6)</f>
        <v>0.05</v>
      </c>
      <c r="BU389" s="1">
        <f>INDEX(Input!$1:$1048576,BU$93,$C389*2+6)</f>
        <v>0.05</v>
      </c>
      <c r="BV389" s="1">
        <f>INDEX(Input!$1:$1048576,BV$93,$C389*2+6)</f>
        <v>5.5E-2</v>
      </c>
      <c r="BW389" s="1">
        <f>INDEX(Input!$1:$1048576,BW$93,$C389*2+6)</f>
        <v>0.06</v>
      </c>
      <c r="BX389" s="127">
        <f>INDEX(Input!$1:$1048576,BX$93,$C389*2+6)</f>
        <v>19985</v>
      </c>
      <c r="BY389" s="20">
        <f>INDEX(Input!$1:$1048576,BY$93,$C389*2+6)</f>
        <v>0.1</v>
      </c>
      <c r="BZ389" s="20">
        <f>INDEX(Input!$1:$1048576,BZ$93,$C389*2+6)</f>
        <v>0.1</v>
      </c>
      <c r="CA389" s="20">
        <f>INDEX(Input!$1:$1048576,CA$93,$C389*2+6)</f>
        <v>0.1</v>
      </c>
      <c r="CB389" s="20">
        <f>INDEX(Input!$1:$1048576,CB$93,$C389*2+6)</f>
        <v>0.1</v>
      </c>
      <c r="CC389" s="20">
        <f>INDEX(Input!$1:$1048576,CC$93,$C389*2+6)</f>
        <v>0.1</v>
      </c>
      <c r="CD389" s="384">
        <f>INDEX(Input!$1:$1048576,CD$93,$C389*2+6)</f>
        <v>0.1</v>
      </c>
      <c r="CE389" s="384">
        <f>INDEX(Input!$1:$1048576,CE$93,$C389*2+6)</f>
        <v>0.1</v>
      </c>
      <c r="CF389" s="384">
        <f>INDEX(Input!$1:$1048576,CF$93,$C389*2+6)</f>
        <v>0.1</v>
      </c>
      <c r="CG389" s="384">
        <f>INDEX(Input!$1:$1048576,CG$93,$C389*2+6)</f>
        <v>0.1</v>
      </c>
      <c r="CH389" s="384">
        <f>INDEX(Input!$1:$1048576,CH$93,$C389*2+6)</f>
        <v>0.1</v>
      </c>
      <c r="CI389" s="304">
        <f t="shared" si="994"/>
        <v>1287.0236024844721</v>
      </c>
      <c r="CJ389" s="16" t="str">
        <f>INDEX(Input!$1:$1048576,CJ$93,$C389*2+6)</f>
        <v>N</v>
      </c>
      <c r="CK389" s="1" t="str">
        <f t="shared" si="995"/>
        <v>Market</v>
      </c>
      <c r="CL389" s="1" t="str">
        <f t="shared" si="996"/>
        <v>Market</v>
      </c>
      <c r="CM389" s="1" t="str">
        <f t="shared" si="997"/>
        <v>Market</v>
      </c>
      <c r="CN389" s="1" t="str">
        <f t="shared" si="998"/>
        <v>Market</v>
      </c>
      <c r="CO389" s="1" t="str">
        <f t="shared" si="999"/>
        <v>Market</v>
      </c>
      <c r="CP389" s="304">
        <f t="shared" si="1000"/>
        <v>500</v>
      </c>
      <c r="CQ389" s="1">
        <f t="shared" si="1001"/>
        <v>0</v>
      </c>
      <c r="CR389" s="1">
        <f t="shared" si="1002"/>
        <v>0</v>
      </c>
      <c r="CS389" s="1">
        <f t="shared" si="1003"/>
        <v>0</v>
      </c>
      <c r="CT389" s="1">
        <f t="shared" si="1004"/>
        <v>1.9E-2</v>
      </c>
      <c r="CU389" s="1">
        <f t="shared" si="1005"/>
        <v>3.9E-2</v>
      </c>
      <c r="CV389" s="304">
        <f t="shared" si="1006"/>
        <v>1554.9999999999991</v>
      </c>
      <c r="CW389" s="20" t="s">
        <v>122</v>
      </c>
      <c r="CX389" s="20" t="s">
        <v>122</v>
      </c>
      <c r="CY389" s="20" t="s">
        <v>122</v>
      </c>
      <c r="CZ389" s="20" t="s">
        <v>122</v>
      </c>
      <c r="DA389" s="20" t="s">
        <v>122</v>
      </c>
      <c r="DB389" s="503">
        <f t="shared" si="1007"/>
        <v>0</v>
      </c>
      <c r="DC389" s="127">
        <v>0</v>
      </c>
      <c r="DD389" s="127">
        <v>0</v>
      </c>
      <c r="DE389" s="127">
        <v>0</v>
      </c>
      <c r="DF389" s="127">
        <v>0</v>
      </c>
      <c r="DG389" s="127">
        <v>0</v>
      </c>
      <c r="DH389" s="127">
        <v>0</v>
      </c>
      <c r="DI389" s="127">
        <v>0</v>
      </c>
      <c r="DJ389" s="127">
        <v>0</v>
      </c>
      <c r="DK389" s="127">
        <v>0</v>
      </c>
      <c r="DL389" s="127">
        <v>0</v>
      </c>
      <c r="DM389" s="304">
        <f>INDEX(Input!$1:$1048576,DM$93,$C389*2+6)</f>
        <v>21036.84210526316</v>
      </c>
      <c r="DN389" s="20">
        <v>0</v>
      </c>
      <c r="DO389" s="20">
        <v>0</v>
      </c>
      <c r="DP389" s="20">
        <v>0</v>
      </c>
      <c r="DQ389" s="20">
        <v>0</v>
      </c>
      <c r="DR389" s="20">
        <v>0</v>
      </c>
      <c r="DS389" s="20">
        <f>INDEX(Input!$1:$1048576,DS$93,$C389*2+6)</f>
        <v>0.6</v>
      </c>
      <c r="DT389" s="20">
        <f>INDEX(Input!$1:$1048576,DT$93,$C389*2+6)</f>
        <v>0.55000000000000004</v>
      </c>
      <c r="DU389" s="20">
        <f>INDEX(Input!$1:$1048576,DU$93,$C389*2+6)</f>
        <v>0.52</v>
      </c>
      <c r="DV389" s="20">
        <f>INDEX(Input!$1:$1048576,DV$93,$C389*2+6)</f>
        <v>0.5</v>
      </c>
      <c r="DW389" s="20">
        <f>INDEX(Input!$1:$1048576,DW$93,$C389*2+6)</f>
        <v>0.45</v>
      </c>
      <c r="DX389" s="20"/>
      <c r="DY389" s="7"/>
      <c r="DZ389" s="7"/>
      <c r="EA389" s="7"/>
      <c r="EB389" s="7"/>
      <c r="EC389" s="7"/>
      <c r="ED389" s="7"/>
      <c r="EE389" s="7"/>
      <c r="EF389" s="7"/>
      <c r="EG389" s="7"/>
      <c r="EH389" s="7"/>
      <c r="EI389" s="7"/>
      <c r="EJ389" s="7"/>
      <c r="EK389" s="7"/>
      <c r="EL389" s="7"/>
      <c r="EM389" s="7"/>
      <c r="EN389" s="7"/>
      <c r="EO389" s="7"/>
      <c r="EP389" s="7"/>
      <c r="EQ389" s="7"/>
      <c r="ER389" s="7"/>
      <c r="ES389" s="7"/>
      <c r="ET389" s="7"/>
      <c r="EU389" s="6"/>
      <c r="EV389" s="6"/>
      <c r="EW389" s="6"/>
      <c r="EX389" s="6"/>
      <c r="EY389" s="6"/>
      <c r="EZ389" s="6"/>
      <c r="FA389" s="6"/>
      <c r="FB389" s="6"/>
      <c r="FC389" s="6"/>
      <c r="FD389" s="6"/>
      <c r="FE389" s="6"/>
      <c r="FF389" s="6"/>
      <c r="FG389" s="6"/>
      <c r="FH389" s="6"/>
      <c r="FI389" s="6"/>
      <c r="FJ389" s="6"/>
      <c r="FK389" s="6"/>
      <c r="FL389" s="6"/>
      <c r="FM389" s="6"/>
      <c r="FN389" s="6"/>
      <c r="FO389" s="6"/>
      <c r="FP389" s="6"/>
      <c r="FQ389" s="6"/>
      <c r="FR389" s="6"/>
      <c r="FS389" s="6"/>
      <c r="FT389" s="7"/>
      <c r="FU389" s="7"/>
      <c r="FV389" s="7"/>
      <c r="FW389" s="6"/>
      <c r="FX389" s="6"/>
      <c r="FY389" s="6"/>
      <c r="FZ389" s="6"/>
      <c r="GA389" s="6"/>
      <c r="GB389" s="6"/>
      <c r="GC389" s="7"/>
      <c r="GD389" s="7"/>
      <c r="GE389" s="7"/>
      <c r="GF389" s="7"/>
      <c r="GG389" s="7"/>
      <c r="GH389" s="42"/>
      <c r="GI389" s="6"/>
      <c r="GJ389" s="14"/>
      <c r="GK389" s="14"/>
      <c r="GL389" s="14"/>
      <c r="GM389" s="14"/>
      <c r="GO389" s="5"/>
      <c r="GP389" s="5"/>
      <c r="GQ389" s="5"/>
      <c r="GR389" s="5"/>
      <c r="GS389" s="5"/>
      <c r="GT389" s="5"/>
      <c r="GU389" s="5"/>
      <c r="GV389" s="39"/>
      <c r="GW389" s="5"/>
      <c r="GX389" s="5"/>
      <c r="GY389" s="5"/>
      <c r="GZ389" s="5"/>
      <c r="HA389" s="5"/>
      <c r="HB389" s="39"/>
      <c r="HC389" s="5"/>
      <c r="HD389" s="5"/>
      <c r="HE389" s="5"/>
      <c r="HF389" s="5"/>
      <c r="HG389" s="5"/>
      <c r="HH389" s="39"/>
      <c r="HI389" s="16"/>
      <c r="HJ389" s="19"/>
      <c r="HK389" s="1"/>
      <c r="HL389" s="16"/>
      <c r="HM389" s="1"/>
      <c r="HN389" s="1"/>
      <c r="HO389" s="1"/>
      <c r="HP389" s="1"/>
      <c r="HQ389" s="1"/>
      <c r="HR389" s="1"/>
      <c r="HS389" s="1"/>
      <c r="HT389" s="1"/>
      <c r="HU389" s="1"/>
      <c r="HV389" s="1"/>
      <c r="HW389" s="1"/>
      <c r="HX389" s="1"/>
      <c r="HY389" s="1"/>
      <c r="HZ389" s="1"/>
      <c r="IA389" s="1"/>
      <c r="IB389" s="1"/>
      <c r="IC389" s="1"/>
      <c r="ID389" s="1"/>
      <c r="IE389" s="1"/>
      <c r="IF389" s="1"/>
      <c r="IG389" s="1"/>
      <c r="IH389" s="21"/>
      <c r="II389" s="19"/>
      <c r="IJ389" s="19"/>
      <c r="IK389" s="19"/>
      <c r="IL389" s="19"/>
      <c r="IM389" s="19"/>
      <c r="IN389" s="19"/>
      <c r="IO389" s="39"/>
      <c r="IP389" s="39"/>
      <c r="IQ389" s="39"/>
      <c r="IR389" s="39"/>
      <c r="IS389" s="39"/>
      <c r="IT389" s="39"/>
      <c r="IU389" s="39"/>
      <c r="IV389" s="39"/>
      <c r="IW389" s="39"/>
      <c r="IX389" s="39"/>
      <c r="IY389" s="39"/>
      <c r="IZ389" s="39"/>
      <c r="JA389" s="19"/>
      <c r="JB389" s="19"/>
      <c r="JC389" s="19"/>
      <c r="JD389" s="19"/>
      <c r="JE389" s="21"/>
      <c r="JF389" s="1"/>
      <c r="JG389" s="15"/>
      <c r="JH389" s="1"/>
      <c r="JI389" s="1"/>
      <c r="JJ389" s="1"/>
      <c r="JK389" s="1"/>
      <c r="JL389" s="15"/>
      <c r="JM389" s="15"/>
      <c r="JN389" s="21"/>
      <c r="JO389" s="19"/>
      <c r="JP389" s="19"/>
      <c r="JQ389" s="39"/>
      <c r="JR389" s="39"/>
      <c r="JS389" s="39"/>
      <c r="JT389" s="39"/>
      <c r="JU389" s="385"/>
      <c r="JV389" s="39"/>
      <c r="JW389" s="1"/>
      <c r="JX389" s="19"/>
      <c r="JZ389" s="341"/>
      <c r="KA389" s="342"/>
      <c r="KB389" s="469"/>
      <c r="KI389" s="473"/>
      <c r="KJ389" s="473"/>
      <c r="KK389" s="473"/>
    </row>
    <row r="390" spans="1:297" s="26" customFormat="1" ht="15" outlineLevel="1">
      <c r="A390" s="561">
        <f t="shared" si="1046"/>
        <v>3090</v>
      </c>
      <c r="B390" s="561">
        <f t="shared" si="1064"/>
        <v>90</v>
      </c>
      <c r="C390" s="561">
        <f t="shared" si="1065"/>
        <v>3</v>
      </c>
      <c r="D390" s="561" t="str">
        <f t="shared" si="1109"/>
        <v/>
      </c>
      <c r="E390" s="475">
        <f>INDEX(Input!$1:$1048576,E$93,$C390*2+MIN($B390,2)+5)
+INDEX(Scenarios!E$121:E$200,MATCH($B390,Scenarios!$B$121:$B$200,0))</f>
        <v>1287.0236024844721</v>
      </c>
      <c r="F390" s="475">
        <f>INDEX(Input!$1:$1048576,F$93,$C390*2+MIN($B390,2)+5)
+INDEX(Scenarios!F$121:F$200,MATCH($B390,Scenarios!$B$121:$B$200,0))</f>
        <v>0</v>
      </c>
      <c r="G390" s="475">
        <f>INDEX(Input!$1:$1048576,G$93,$C390*2+MIN($B390,2)+5)
+INDEX(Scenarios!G$121:G$200,MATCH($B390,Scenarios!$B$121:$B$200,0))</f>
        <v>0</v>
      </c>
      <c r="H390" s="475">
        <f>INDEX(Input!$1:$1048576,H$93,$C390*2+MIN($B390,2)+5)
+INDEX(Scenarios!H$121:H$200,MATCH($B390,Scenarios!$B$121:$B$200,0))</f>
        <v>0</v>
      </c>
      <c r="I390" s="476">
        <f>INDEX(Input!$1:$1048576,I$93,$C390*2+MIN($B390,2)+5)</f>
        <v>0.7</v>
      </c>
      <c r="J390" s="476" t="str">
        <f>INDEX(Input!$1:$1048576,J$93,$C390*2+MIN($B390,2)+5)</f>
        <v>Market</v>
      </c>
      <c r="K390" s="476" t="str">
        <f>INDEX(Input!$1:$1048576,K$93,$C390*2+MIN($B390,2)+5)</f>
        <v>Market</v>
      </c>
      <c r="L390" s="476" t="str">
        <f>INDEX(Input!$1:$1048576,L$93,$C390*2+MIN($B390,2)+5)</f>
        <v>Market</v>
      </c>
      <c r="M390" s="476" t="str">
        <f>INDEX(Input!$1:$1048576,M$93,$C390*2+MIN($B390,2)+5)</f>
        <v>Market</v>
      </c>
      <c r="N390" s="476" t="str">
        <f>INDEX(Input!$1:$1048576,N$93,$C390*2+MIN($B390,2)+5)</f>
        <v>Market</v>
      </c>
      <c r="O390" s="476" t="str">
        <f>INDEX(Input!$1:$1048576,O$93,$C390*2+MIN($B390,2)+5)</f>
        <v>Market</v>
      </c>
      <c r="P390" s="476" t="str">
        <f>INDEX(Input!$1:$1048576,P$93,$C390*2+MIN($B390,2)+5)</f>
        <v>N</v>
      </c>
      <c r="Q390" s="477">
        <f>INDEX(Input!$1:$1048576,Q$93,$C390*2+MIN($B390,2)+5)
+INDEX(Scenarios!Q$121:Q$200,MATCH($B390,Scenarios!$B$121:$B$200,0))</f>
        <v>0</v>
      </c>
      <c r="R390" s="478">
        <f>IFERROR(MAX(0,INDEX(Input!$1:$1048576,R$93,$C390*2+MIN($B390,2)+5)
+INDEX(Scenarios!R$121:R$200,MATCH($B390,Scenarios!$B$121:$B$200,0)),),"Market")</f>
        <v>0</v>
      </c>
      <c r="S390" s="478">
        <f>IFERROR(MAX(0,INDEX(Input!$1:$1048576,S$93,$C390*2+MIN($B390,2)+5)
+INDEX(Scenarios!S$121:S$200,MATCH($B390,Scenarios!$B$121:$B$200,0)),),"Market")</f>
        <v>0</v>
      </c>
      <c r="T390" s="478">
        <f>IFERROR(MAX(0,INDEX(Input!$1:$1048576,T$93,$C390*2+MIN($B390,2)+5)
+INDEX(Scenarios!T$121:T$200,MATCH($B390,Scenarios!$B$121:$B$200,0)),),"Market")</f>
        <v>0</v>
      </c>
      <c r="U390" s="478">
        <f>IFERROR(MAX(0,INDEX(Input!$1:$1048576,U$93,$C390*2+MIN($B390,2)+5)
+INDEX(Scenarios!U$121:U$200,MATCH($B390,Scenarios!$B$121:$B$200,0)),),"Market")</f>
        <v>0</v>
      </c>
      <c r="V390" s="478">
        <f>IFERROR(MAX(0,INDEX(Input!$1:$1048576,V$93,$C390*2+MIN($B390,2)+5)
+INDEX(Scenarios!V$121:V$200,MATCH($B390,Scenarios!$B$121:$B$200,0)),),"Market")</f>
        <v>1.9E-2</v>
      </c>
      <c r="W390" s="885">
        <f>IFERROR(MAX(0,INDEX(Input!$1:$1048576,W$93,$C390*2+MIN($B390,2)+5)-0%,),"Market")</f>
        <v>3.9E-2</v>
      </c>
      <c r="X390" s="476" t="str">
        <f>INDEX(Input!$1:$1048576,X$93,$C390*2+MIN($B390,2)+5)</f>
        <v>Y</v>
      </c>
      <c r="Y390" s="475">
        <f>INDEX(Input!$1:$1048576,Y$93,$C390*2+MIN($B390,2)+5)
++INDEX(Scenarios!Y$121:Y$200,MATCH($B390,Scenarios!$B$121:$B$200,0))</f>
        <v>1554.9999999999991</v>
      </c>
      <c r="Z390" s="477">
        <f>INDEX(Input!$1:$1048576,Z$93,$C390*2+MIN($B390,2)+5)
+INDEX(Scenarios!Z$121:Z$200,MATCH($B390,Scenarios!$B$121:$B$200,0))</f>
        <v>0</v>
      </c>
      <c r="AA390" s="475">
        <f>INDEX(Input!$1:$1048576,AA$93,$C390*2+MIN($B390,2)+5)
+INDEX(Scenarios!AA$121:AA$200,MATCH($B390,Scenarios!$B$121:$B$200,0))</f>
        <v>0</v>
      </c>
      <c r="AB390" s="476">
        <f>INDEX(Input!$1:$1048576,AB$93,$C390*2+MIN($B390,2)+5)</f>
        <v>0.27</v>
      </c>
      <c r="AC390" s="475">
        <f>INDEX(Input!$1:$1048576,AC$93,$C390*2+MIN($B390,2)+5)
+INDEX(Scenarios!AC$121:AC$200,MATCH($B390,Scenarios!$B$121:$B$200,0))</f>
        <v>0</v>
      </c>
      <c r="AD390" s="476">
        <f>INDEX(Input!$1:$1048576,AD$93,$C390*2+MIN($B390,2)+5)</f>
        <v>0.27</v>
      </c>
      <c r="AE390" s="475">
        <f>INDEX(Input!$1:$1048576,AE$93,$C390*2+MIN($B390,2)+5)
+INDEX(Scenarios!AE$121:AE$200,MATCH($B390,Scenarios!$B$121:$B$200,0))</f>
        <v>0</v>
      </c>
      <c r="AF390" s="476">
        <f>INDEX(Input!$1:$1048576,AF$93,$C390*2+MIN($B390,2)+5)</f>
        <v>0.68200000000000005</v>
      </c>
      <c r="AG390" s="475">
        <f>INDEX(Input!$1:$1048576,AG$93,$C390*2+MIN($B390,2)+5)
+INDEX(Scenarios!AG$121:AG$200,MATCH($B390,Scenarios!$B$121:$B$200,0))</f>
        <v>500</v>
      </c>
      <c r="AH390" s="476">
        <f>INDEX(Input!$1:$1048576,AH$93,$C390*2+MIN($B390,2)+5)</f>
        <v>1</v>
      </c>
      <c r="AI390" s="475">
        <f>INDEX(Input!$1:$1048576,AI$93,$C390*2+MIN($B390,2)+5)
+INDEX(Scenarios!AI$121:AI$200,MATCH($B390,Scenarios!$B$121:$B$200,0))</f>
        <v>0</v>
      </c>
      <c r="AJ390" s="476">
        <f>INDEX(Input!$1:$1048576,AJ$93,$C390*2+MIN($B390,2)+5)</f>
        <v>0.27</v>
      </c>
      <c r="AK390" s="150">
        <f>ROUND(INDEX(Input!$1:$1048576,AK$93,$C389*2+MIN($B390,1)+5)+(Y390-VLOOKUP($C390*1000+1,$A:$HH,Y$92,FALSE)),0)</f>
        <v>2977</v>
      </c>
      <c r="AL390" s="150">
        <f>ROUND(INDEX(Input!$1:$1048576,AL$93,$C389*2+MIN($B390,1)+5)-(Y390-VLOOKUP($C390*1000+1,$A:$HH,Y$92,FALSE))/36,0)</f>
        <v>3395</v>
      </c>
      <c r="AM390" s="32" t="str">
        <f t="shared" si="1047"/>
        <v>std/std/std/std</v>
      </c>
      <c r="AN390" s="32" t="str">
        <f t="shared" si="1048"/>
        <v>$0 + 0/0/0/1.9/3.9</v>
      </c>
      <c r="AO390" s="32" t="str">
        <f t="shared" si="1049"/>
        <v>0/0/0/1.9/3.9</v>
      </c>
      <c r="AP390" s="32" t="str">
        <f t="shared" si="993"/>
        <v>0/0.9/1.9/3.9</v>
      </c>
      <c r="AQ390" s="536">
        <f t="shared" si="992"/>
        <v>0</v>
      </c>
      <c r="AR390" s="32"/>
      <c r="AS390" s="302"/>
      <c r="AT390" s="3">
        <f t="shared" si="1066"/>
        <v>90</v>
      </c>
      <c r="AU390" s="41" t="s">
        <v>121</v>
      </c>
      <c r="AV390" s="41" t="s">
        <v>116</v>
      </c>
      <c r="AW390" s="41" t="str">
        <f>INDEX(Input!$1:$1048576,AW$93,$C390*2+6)</f>
        <v>Kia</v>
      </c>
      <c r="AX390" s="41" t="str">
        <f>INDEX(Input!$1:$1048576,AX$93,$C390*2+6)</f>
        <v>Kia-LR - L3</v>
      </c>
      <c r="AY390" s="41" t="str">
        <f>IF(LEN(D390)=0,"",INDEX(Input!$1:$1048576,AY$93,$C390*2+6))</f>
        <v/>
      </c>
      <c r="AZ390" s="41" t="str">
        <f>INDEX(Input!$1:$1048576,AZ$93,$C390*2+6)</f>
        <v>Kia Soul</v>
      </c>
      <c r="BA390" s="3">
        <f>INDEX(Input!$1:$1048576,BA$93,$C390*2+6)</f>
        <v>2020</v>
      </c>
      <c r="BB390" s="128">
        <f>INDEX(Input!$1:$1048576,BB$93,$C390*2+6)</f>
        <v>1</v>
      </c>
      <c r="BC390" s="128">
        <f>INDEX(Input!$1:$1048576,BC$93,$C390*2+6)</f>
        <v>0.7</v>
      </c>
      <c r="BD390" s="1">
        <f>INDEX(Input!$1:$1048576,BD$93,$C390*2+6)</f>
        <v>4.4999999999999998E-2</v>
      </c>
      <c r="BE390" s="1">
        <f>INDEX(Input!$1:$1048576,BE$93,$C390*2+6)</f>
        <v>4.4999999999999998E-2</v>
      </c>
      <c r="BF390" s="1">
        <f>INDEX(Input!$1:$1048576,BF$93,$C390*2+6)</f>
        <v>0.05</v>
      </c>
      <c r="BG390" s="1">
        <f>INDEX(Input!$1:$1048576,BG$93,$C390*2+6)</f>
        <v>5.45E-2</v>
      </c>
      <c r="BH390" s="1">
        <f>INDEX(Input!$1:$1048576,BH$93,$C390*2+6)</f>
        <v>5.45E-2</v>
      </c>
      <c r="BI390" s="1">
        <f>INDEX(Input!$1:$1048576,BI$93,$C390*2+6)</f>
        <v>0.05</v>
      </c>
      <c r="BJ390" s="1">
        <f>INDEX(Input!$1:$1048576,BJ$93,$C390*2+6)</f>
        <v>0.05</v>
      </c>
      <c r="BK390" s="1">
        <f>INDEX(Input!$1:$1048576,BK$93,$C390*2+6)</f>
        <v>0.05</v>
      </c>
      <c r="BL390" s="1">
        <f>INDEX(Input!$1:$1048576,BL$93,$C390*2+6)</f>
        <v>5.5E-2</v>
      </c>
      <c r="BM390" s="1">
        <f>INDEX(Input!$1:$1048576,BM$93,$C390*2+6)</f>
        <v>0.06</v>
      </c>
      <c r="BN390" s="1">
        <f>INDEX(Input!$1:$1048576,BN$93,$C390*2+6)</f>
        <v>4.4999999999999998E-2</v>
      </c>
      <c r="BO390" s="1">
        <f>INDEX(Input!$1:$1048576,BO$93,$C390*2+6)</f>
        <v>4.4999999999999998E-2</v>
      </c>
      <c r="BP390" s="1">
        <f>INDEX(Input!$1:$1048576,BP$93,$C390*2+6)</f>
        <v>0.05</v>
      </c>
      <c r="BQ390" s="1">
        <f>INDEX(Input!$1:$1048576,BQ$93,$C390*2+6)</f>
        <v>5.45E-2</v>
      </c>
      <c r="BR390" s="1">
        <f>INDEX(Input!$1:$1048576,BR$93,$C390*2+6)</f>
        <v>5.45E-2</v>
      </c>
      <c r="BS390" s="1">
        <f>INDEX(Input!$1:$1048576,BS$93,$C390*2+6)</f>
        <v>0.05</v>
      </c>
      <c r="BT390" s="1">
        <f>INDEX(Input!$1:$1048576,BT$93,$C390*2+6)</f>
        <v>0.05</v>
      </c>
      <c r="BU390" s="1">
        <f>INDEX(Input!$1:$1048576,BU$93,$C390*2+6)</f>
        <v>0.05</v>
      </c>
      <c r="BV390" s="1">
        <f>INDEX(Input!$1:$1048576,BV$93,$C390*2+6)</f>
        <v>5.5E-2</v>
      </c>
      <c r="BW390" s="1">
        <f>INDEX(Input!$1:$1048576,BW$93,$C390*2+6)</f>
        <v>0.06</v>
      </c>
      <c r="BX390" s="127">
        <f>INDEX(Input!$1:$1048576,BX$93,$C390*2+6)</f>
        <v>19985</v>
      </c>
      <c r="BY390" s="20">
        <f>INDEX(Input!$1:$1048576,BY$93,$C390*2+6)</f>
        <v>0.1</v>
      </c>
      <c r="BZ390" s="20">
        <f>INDEX(Input!$1:$1048576,BZ$93,$C390*2+6)</f>
        <v>0.1</v>
      </c>
      <c r="CA390" s="20">
        <f>INDEX(Input!$1:$1048576,CA$93,$C390*2+6)</f>
        <v>0.1</v>
      </c>
      <c r="CB390" s="20">
        <f>INDEX(Input!$1:$1048576,CB$93,$C390*2+6)</f>
        <v>0.1</v>
      </c>
      <c r="CC390" s="20">
        <f>INDEX(Input!$1:$1048576,CC$93,$C390*2+6)</f>
        <v>0.1</v>
      </c>
      <c r="CD390" s="384">
        <f>INDEX(Input!$1:$1048576,CD$93,$C390*2+6)</f>
        <v>0.1</v>
      </c>
      <c r="CE390" s="384">
        <f>INDEX(Input!$1:$1048576,CE$93,$C390*2+6)</f>
        <v>0.1</v>
      </c>
      <c r="CF390" s="384">
        <f>INDEX(Input!$1:$1048576,CF$93,$C390*2+6)</f>
        <v>0.1</v>
      </c>
      <c r="CG390" s="384">
        <f>INDEX(Input!$1:$1048576,CG$93,$C390*2+6)</f>
        <v>0.1</v>
      </c>
      <c r="CH390" s="384">
        <f>INDEX(Input!$1:$1048576,CH$93,$C390*2+6)</f>
        <v>0.1</v>
      </c>
      <c r="CI390" s="304">
        <f t="shared" si="994"/>
        <v>1287.0236024844721</v>
      </c>
      <c r="CJ390" s="16" t="str">
        <f>INDEX(Input!$1:$1048576,CJ$93,$C390*2+6)</f>
        <v>N</v>
      </c>
      <c r="CK390" s="1" t="str">
        <f t="shared" si="995"/>
        <v>Market</v>
      </c>
      <c r="CL390" s="1" t="str">
        <f t="shared" si="996"/>
        <v>Market</v>
      </c>
      <c r="CM390" s="1" t="str">
        <f t="shared" si="997"/>
        <v>Market</v>
      </c>
      <c r="CN390" s="1" t="str">
        <f t="shared" si="998"/>
        <v>Market</v>
      </c>
      <c r="CO390" s="1" t="str">
        <f t="shared" si="999"/>
        <v>Market</v>
      </c>
      <c r="CP390" s="304">
        <f t="shared" si="1000"/>
        <v>500</v>
      </c>
      <c r="CQ390" s="1">
        <f t="shared" si="1001"/>
        <v>0</v>
      </c>
      <c r="CR390" s="1">
        <f t="shared" si="1002"/>
        <v>0</v>
      </c>
      <c r="CS390" s="1">
        <f t="shared" si="1003"/>
        <v>0</v>
      </c>
      <c r="CT390" s="1">
        <f t="shared" si="1004"/>
        <v>1.9E-2</v>
      </c>
      <c r="CU390" s="1">
        <f t="shared" si="1005"/>
        <v>3.9E-2</v>
      </c>
      <c r="CV390" s="304">
        <f t="shared" si="1006"/>
        <v>1554.9999999999991</v>
      </c>
      <c r="CW390" s="20" t="s">
        <v>122</v>
      </c>
      <c r="CX390" s="20" t="s">
        <v>122</v>
      </c>
      <c r="CY390" s="20" t="s">
        <v>122</v>
      </c>
      <c r="CZ390" s="20" t="s">
        <v>122</v>
      </c>
      <c r="DA390" s="20" t="s">
        <v>122</v>
      </c>
      <c r="DB390" s="503">
        <f t="shared" si="1007"/>
        <v>0</v>
      </c>
      <c r="DC390" s="127">
        <v>0</v>
      </c>
      <c r="DD390" s="127">
        <v>0</v>
      </c>
      <c r="DE390" s="127">
        <v>0</v>
      </c>
      <c r="DF390" s="127">
        <v>0</v>
      </c>
      <c r="DG390" s="127">
        <v>0</v>
      </c>
      <c r="DH390" s="127">
        <v>0</v>
      </c>
      <c r="DI390" s="127">
        <v>0</v>
      </c>
      <c r="DJ390" s="127">
        <v>0</v>
      </c>
      <c r="DK390" s="127">
        <v>0</v>
      </c>
      <c r="DL390" s="127">
        <v>0</v>
      </c>
      <c r="DM390" s="304">
        <f>INDEX(Input!$1:$1048576,DM$93,$C390*2+6)</f>
        <v>21036.84210526316</v>
      </c>
      <c r="DN390" s="20">
        <v>0</v>
      </c>
      <c r="DO390" s="20">
        <v>0</v>
      </c>
      <c r="DP390" s="20">
        <v>0</v>
      </c>
      <c r="DQ390" s="20">
        <v>0</v>
      </c>
      <c r="DR390" s="20">
        <v>0</v>
      </c>
      <c r="DS390" s="20">
        <f>INDEX(Input!$1:$1048576,DS$93,$C390*2+6)</f>
        <v>0.6</v>
      </c>
      <c r="DT390" s="20">
        <f>INDEX(Input!$1:$1048576,DT$93,$C390*2+6)</f>
        <v>0.55000000000000004</v>
      </c>
      <c r="DU390" s="20">
        <f>INDEX(Input!$1:$1048576,DU$93,$C390*2+6)</f>
        <v>0.52</v>
      </c>
      <c r="DV390" s="20">
        <f>INDEX(Input!$1:$1048576,DV$93,$C390*2+6)</f>
        <v>0.5</v>
      </c>
      <c r="DW390" s="20">
        <f>INDEX(Input!$1:$1048576,DW$93,$C390*2+6)</f>
        <v>0.45</v>
      </c>
      <c r="DX390" s="20"/>
      <c r="DY390" s="7"/>
      <c r="DZ390" s="7"/>
      <c r="EA390" s="7"/>
      <c r="EB390" s="7"/>
      <c r="EC390" s="7"/>
      <c r="ED390" s="7"/>
      <c r="EE390" s="7"/>
      <c r="EF390" s="7"/>
      <c r="EG390" s="7"/>
      <c r="EH390" s="7"/>
      <c r="EI390" s="7"/>
      <c r="EJ390" s="7"/>
      <c r="EK390" s="7"/>
      <c r="EL390" s="7"/>
      <c r="EM390" s="7"/>
      <c r="EN390" s="7"/>
      <c r="EO390" s="7"/>
      <c r="EP390" s="7"/>
      <c r="EQ390" s="7"/>
      <c r="ER390" s="7"/>
      <c r="ES390" s="7"/>
      <c r="ET390" s="7"/>
      <c r="EU390" s="6"/>
      <c r="EV390" s="6"/>
      <c r="EW390" s="6"/>
      <c r="EX390" s="6"/>
      <c r="EY390" s="6"/>
      <c r="EZ390" s="6"/>
      <c r="FA390" s="6"/>
      <c r="FB390" s="6"/>
      <c r="FC390" s="6"/>
      <c r="FD390" s="6"/>
      <c r="FE390" s="6"/>
      <c r="FF390" s="6"/>
      <c r="FG390" s="6"/>
      <c r="FH390" s="6"/>
      <c r="FI390" s="6"/>
      <c r="FJ390" s="6"/>
      <c r="FK390" s="6"/>
      <c r="FL390" s="6"/>
      <c r="FM390" s="6"/>
      <c r="FN390" s="6"/>
      <c r="FO390" s="6"/>
      <c r="FP390" s="6"/>
      <c r="FQ390" s="6"/>
      <c r="FR390" s="6"/>
      <c r="FS390" s="6"/>
      <c r="FT390" s="7"/>
      <c r="FU390" s="7"/>
      <c r="FV390" s="7"/>
      <c r="FW390" s="6"/>
      <c r="FX390" s="6"/>
      <c r="FY390" s="6"/>
      <c r="FZ390" s="6"/>
      <c r="GA390" s="6"/>
      <c r="GB390" s="6"/>
      <c r="GC390" s="7"/>
      <c r="GD390" s="7"/>
      <c r="GE390" s="7"/>
      <c r="GF390" s="7"/>
      <c r="GG390" s="7"/>
      <c r="GH390" s="42"/>
      <c r="GI390" s="6"/>
      <c r="GJ390" s="14"/>
      <c r="GK390" s="14"/>
      <c r="GL390" s="14"/>
      <c r="GM390" s="14"/>
      <c r="GO390" s="5"/>
      <c r="GP390" s="5"/>
      <c r="GQ390" s="5"/>
      <c r="GR390" s="5"/>
      <c r="GS390" s="5"/>
      <c r="GT390" s="5"/>
      <c r="GU390" s="5"/>
      <c r="GV390" s="39"/>
      <c r="GW390" s="5"/>
      <c r="GX390" s="5"/>
      <c r="GY390" s="5"/>
      <c r="GZ390" s="5"/>
      <c r="HA390" s="5"/>
      <c r="HB390" s="39"/>
      <c r="HC390" s="5"/>
      <c r="HD390" s="5"/>
      <c r="HE390" s="5"/>
      <c r="HF390" s="5"/>
      <c r="HG390" s="5"/>
      <c r="HH390" s="39"/>
      <c r="HI390" s="16"/>
      <c r="HJ390" s="19"/>
      <c r="HK390" s="1"/>
      <c r="HL390" s="16"/>
      <c r="HM390" s="1"/>
      <c r="HN390" s="1"/>
      <c r="HO390" s="1"/>
      <c r="HP390" s="1"/>
      <c r="HQ390" s="1"/>
      <c r="HR390" s="1"/>
      <c r="HS390" s="1"/>
      <c r="HT390" s="1"/>
      <c r="HU390" s="1"/>
      <c r="HV390" s="1"/>
      <c r="HW390" s="1"/>
      <c r="HX390" s="1"/>
      <c r="HY390" s="1"/>
      <c r="HZ390" s="1"/>
      <c r="IA390" s="1"/>
      <c r="IB390" s="1"/>
      <c r="IC390" s="1"/>
      <c r="ID390" s="1"/>
      <c r="IE390" s="1"/>
      <c r="IF390" s="1"/>
      <c r="IG390" s="1"/>
      <c r="IH390" s="21"/>
      <c r="II390" s="19"/>
      <c r="IJ390" s="19"/>
      <c r="IK390" s="19"/>
      <c r="IL390" s="19"/>
      <c r="IM390" s="19"/>
      <c r="IN390" s="19"/>
      <c r="IO390" s="39"/>
      <c r="IP390" s="39"/>
      <c r="IQ390" s="39"/>
      <c r="IR390" s="39"/>
      <c r="IS390" s="39"/>
      <c r="IT390" s="39"/>
      <c r="IU390" s="39"/>
      <c r="IV390" s="39"/>
      <c r="IW390" s="39"/>
      <c r="IX390" s="39"/>
      <c r="IY390" s="39"/>
      <c r="IZ390" s="39"/>
      <c r="JA390" s="19"/>
      <c r="JB390" s="19"/>
      <c r="JC390" s="19"/>
      <c r="JD390" s="19"/>
      <c r="JE390" s="21"/>
      <c r="JF390" s="1"/>
      <c r="JG390" s="15"/>
      <c r="JH390" s="1"/>
      <c r="JI390" s="1"/>
      <c r="JJ390" s="1"/>
      <c r="JK390" s="1"/>
      <c r="JL390" s="15"/>
      <c r="JM390" s="15"/>
      <c r="JN390" s="21"/>
      <c r="JO390" s="19"/>
      <c r="JP390" s="19"/>
      <c r="JQ390" s="39"/>
      <c r="JR390" s="39"/>
      <c r="JS390" s="39"/>
      <c r="JT390" s="39"/>
      <c r="JU390" s="385"/>
      <c r="JV390" s="39"/>
      <c r="JW390" s="1"/>
      <c r="JX390" s="19"/>
      <c r="JZ390" s="341"/>
      <c r="KA390" s="342"/>
      <c r="KB390" s="469"/>
      <c r="KI390" s="473"/>
      <c r="KJ390" s="473"/>
      <c r="KK390" s="473"/>
    </row>
    <row r="391" spans="1:297" s="26" customFormat="1" ht="15" outlineLevel="1">
      <c r="A391" s="561">
        <f t="shared" si="1046"/>
        <v>3091</v>
      </c>
      <c r="B391" s="561">
        <f t="shared" si="1064"/>
        <v>91</v>
      </c>
      <c r="C391" s="561">
        <f t="shared" si="1065"/>
        <v>3</v>
      </c>
      <c r="D391" s="561" t="str">
        <f t="shared" si="1109"/>
        <v/>
      </c>
      <c r="E391" s="475">
        <f>INDEX(Input!$1:$1048576,E$93,$C391*2+MIN($B391,2)+5)
+INDEX(Scenarios!E$121:E$200,MATCH($B391,Scenarios!$B$121:$B$200,0))</f>
        <v>1287.0236024844721</v>
      </c>
      <c r="F391" s="475">
        <f>INDEX(Input!$1:$1048576,F$93,$C391*2+MIN($B391,2)+5)
+INDEX(Scenarios!F$121:F$200,MATCH($B391,Scenarios!$B$121:$B$200,0))</f>
        <v>0</v>
      </c>
      <c r="G391" s="475">
        <f>INDEX(Input!$1:$1048576,G$93,$C391*2+MIN($B391,2)+5)
+INDEX(Scenarios!G$121:G$200,MATCH($B391,Scenarios!$B$121:$B$200,0))</f>
        <v>0</v>
      </c>
      <c r="H391" s="475">
        <f>INDEX(Input!$1:$1048576,H$93,$C391*2+MIN($B391,2)+5)
+INDEX(Scenarios!H$121:H$200,MATCH($B391,Scenarios!$B$121:$B$200,0))</f>
        <v>0</v>
      </c>
      <c r="I391" s="476">
        <f>INDEX(Input!$1:$1048576,I$93,$C391*2+MIN($B391,2)+5)</f>
        <v>0.7</v>
      </c>
      <c r="J391" s="476" t="str">
        <f>INDEX(Input!$1:$1048576,J$93,$C391*2+MIN($B391,2)+5)</f>
        <v>Market</v>
      </c>
      <c r="K391" s="476" t="str">
        <f>INDEX(Input!$1:$1048576,K$93,$C391*2+MIN($B391,2)+5)</f>
        <v>Market</v>
      </c>
      <c r="L391" s="476" t="str">
        <f>INDEX(Input!$1:$1048576,L$93,$C391*2+MIN($B391,2)+5)</f>
        <v>Market</v>
      </c>
      <c r="M391" s="476" t="str">
        <f>INDEX(Input!$1:$1048576,M$93,$C391*2+MIN($B391,2)+5)</f>
        <v>Market</v>
      </c>
      <c r="N391" s="476" t="str">
        <f>INDEX(Input!$1:$1048576,N$93,$C391*2+MIN($B391,2)+5)</f>
        <v>Market</v>
      </c>
      <c r="O391" s="476" t="str">
        <f>INDEX(Input!$1:$1048576,O$93,$C391*2+MIN($B391,2)+5)</f>
        <v>Market</v>
      </c>
      <c r="P391" s="476" t="str">
        <f>INDEX(Input!$1:$1048576,P$93,$C391*2+MIN($B391,2)+5)</f>
        <v>N</v>
      </c>
      <c r="Q391" s="477">
        <f>INDEX(Input!$1:$1048576,Q$93,$C391*2+MIN($B391,2)+5)
+INDEX(Scenarios!Q$121:Q$200,MATCH($B391,Scenarios!$B$121:$B$200,0))</f>
        <v>0</v>
      </c>
      <c r="R391" s="478">
        <f>IFERROR(MAX(0,INDEX(Input!$1:$1048576,R$93,$C391*2+MIN($B391,2)+5)
+INDEX(Scenarios!R$121:R$200,MATCH($B391,Scenarios!$B$121:$B$200,0)),),"Market")</f>
        <v>0</v>
      </c>
      <c r="S391" s="478">
        <f>IFERROR(MAX(0,INDEX(Input!$1:$1048576,S$93,$C391*2+MIN($B391,2)+5)
+INDEX(Scenarios!S$121:S$200,MATCH($B391,Scenarios!$B$121:$B$200,0)),),"Market")</f>
        <v>0</v>
      </c>
      <c r="T391" s="478">
        <f>IFERROR(MAX(0,INDEX(Input!$1:$1048576,T$93,$C391*2+MIN($B391,2)+5)
+INDEX(Scenarios!T$121:T$200,MATCH($B391,Scenarios!$B$121:$B$200,0)),),"Market")</f>
        <v>0</v>
      </c>
      <c r="U391" s="478">
        <f>IFERROR(MAX(0,INDEX(Input!$1:$1048576,U$93,$C391*2+MIN($B391,2)+5)
+INDEX(Scenarios!U$121:U$200,MATCH($B391,Scenarios!$B$121:$B$200,0)),),"Market")</f>
        <v>0</v>
      </c>
      <c r="V391" s="478">
        <f>IFERROR(MAX(0,INDEX(Input!$1:$1048576,V$93,$C391*2+MIN($B391,2)+5)
+INDEX(Scenarios!V$121:V$200,MATCH($B391,Scenarios!$B$121:$B$200,0)),),"Market")</f>
        <v>1.9E-2</v>
      </c>
      <c r="W391" s="885">
        <f>IFERROR(MAX(0,INDEX(Input!$1:$1048576,W$93,$C391*2+MIN($B391,2)+5)-0%,),"Market")</f>
        <v>3.9E-2</v>
      </c>
      <c r="X391" s="476" t="str">
        <f>INDEX(Input!$1:$1048576,X$93,$C391*2+MIN($B391,2)+5)</f>
        <v>Y</v>
      </c>
      <c r="Y391" s="475">
        <f>INDEX(Input!$1:$1048576,Y$93,$C391*2+MIN($B391,2)+5)
++INDEX(Scenarios!Y$121:Y$200,MATCH($B391,Scenarios!$B$121:$B$200,0))</f>
        <v>1554.9999999999991</v>
      </c>
      <c r="Z391" s="477">
        <f>INDEX(Input!$1:$1048576,Z$93,$C391*2+MIN($B391,2)+5)
+INDEX(Scenarios!Z$121:Z$200,MATCH($B391,Scenarios!$B$121:$B$200,0))</f>
        <v>0</v>
      </c>
      <c r="AA391" s="475">
        <f>INDEX(Input!$1:$1048576,AA$93,$C391*2+MIN($B391,2)+5)
+INDEX(Scenarios!AA$121:AA$200,MATCH($B391,Scenarios!$B$121:$B$200,0))</f>
        <v>0</v>
      </c>
      <c r="AB391" s="476">
        <f>INDEX(Input!$1:$1048576,AB$93,$C391*2+MIN($B391,2)+5)</f>
        <v>0.27</v>
      </c>
      <c r="AC391" s="475">
        <f>INDEX(Input!$1:$1048576,AC$93,$C391*2+MIN($B391,2)+5)
+INDEX(Scenarios!AC$121:AC$200,MATCH($B391,Scenarios!$B$121:$B$200,0))</f>
        <v>0</v>
      </c>
      <c r="AD391" s="476">
        <f>INDEX(Input!$1:$1048576,AD$93,$C391*2+MIN($B391,2)+5)</f>
        <v>0.27</v>
      </c>
      <c r="AE391" s="475">
        <f>INDEX(Input!$1:$1048576,AE$93,$C391*2+MIN($B391,2)+5)
+INDEX(Scenarios!AE$121:AE$200,MATCH($B391,Scenarios!$B$121:$B$200,0))</f>
        <v>0</v>
      </c>
      <c r="AF391" s="476">
        <f>INDEX(Input!$1:$1048576,AF$93,$C391*2+MIN($B391,2)+5)</f>
        <v>0.68200000000000005</v>
      </c>
      <c r="AG391" s="475">
        <f>INDEX(Input!$1:$1048576,AG$93,$C391*2+MIN($B391,2)+5)
+INDEX(Scenarios!AG$121:AG$200,MATCH($B391,Scenarios!$B$121:$B$200,0))</f>
        <v>500</v>
      </c>
      <c r="AH391" s="476">
        <f>INDEX(Input!$1:$1048576,AH$93,$C391*2+MIN($B391,2)+5)</f>
        <v>1</v>
      </c>
      <c r="AI391" s="475">
        <f>INDEX(Input!$1:$1048576,AI$93,$C391*2+MIN($B391,2)+5)
+INDEX(Scenarios!AI$121:AI$200,MATCH($B391,Scenarios!$B$121:$B$200,0))</f>
        <v>0</v>
      </c>
      <c r="AJ391" s="476">
        <f>INDEX(Input!$1:$1048576,AJ$93,$C391*2+MIN($B391,2)+5)</f>
        <v>0.27</v>
      </c>
      <c r="AK391" s="150">
        <f>ROUND(INDEX(Input!$1:$1048576,AK$93,$C390*2+MIN($B391,1)+5)+(Y391-VLOOKUP($C391*1000+1,$A:$HH,Y$92,FALSE)),0)</f>
        <v>2977</v>
      </c>
      <c r="AL391" s="150">
        <f>ROUND(INDEX(Input!$1:$1048576,AL$93,$C390*2+MIN($B391,1)+5)-(Y391-VLOOKUP($C391*1000+1,$A:$HH,Y$92,FALSE))/36,0)</f>
        <v>3395</v>
      </c>
      <c r="AM391" s="32" t="str">
        <f t="shared" si="1047"/>
        <v>std/std/std/std</v>
      </c>
      <c r="AN391" s="32" t="str">
        <f t="shared" si="1048"/>
        <v>$0 + 0/0/0/1.9/3.9</v>
      </c>
      <c r="AO391" s="32" t="str">
        <f t="shared" si="1049"/>
        <v>0/0/0/1.9/3.9</v>
      </c>
      <c r="AP391" s="32" t="str">
        <f t="shared" si="993"/>
        <v>0/0.9/1.9/3.9</v>
      </c>
      <c r="AQ391" s="536">
        <f t="shared" si="992"/>
        <v>0</v>
      </c>
      <c r="AR391" s="32"/>
      <c r="AS391" s="302"/>
      <c r="AT391" s="3">
        <f t="shared" si="1066"/>
        <v>91</v>
      </c>
      <c r="AU391" s="41" t="s">
        <v>121</v>
      </c>
      <c r="AV391" s="41" t="s">
        <v>116</v>
      </c>
      <c r="AW391" s="41" t="str">
        <f>INDEX(Input!$1:$1048576,AW$93,$C391*2+6)</f>
        <v>Kia</v>
      </c>
      <c r="AX391" s="41" t="str">
        <f>INDEX(Input!$1:$1048576,AX$93,$C391*2+6)</f>
        <v>Kia-LR - L3</v>
      </c>
      <c r="AY391" s="41" t="str">
        <f>IF(LEN(D391)=0,"",INDEX(Input!$1:$1048576,AY$93,$C391*2+6))</f>
        <v/>
      </c>
      <c r="AZ391" s="41" t="str">
        <f>INDEX(Input!$1:$1048576,AZ$93,$C391*2+6)</f>
        <v>Kia Soul</v>
      </c>
      <c r="BA391" s="3">
        <f>INDEX(Input!$1:$1048576,BA$93,$C391*2+6)</f>
        <v>2020</v>
      </c>
      <c r="BB391" s="128">
        <f>INDEX(Input!$1:$1048576,BB$93,$C391*2+6)</f>
        <v>1</v>
      </c>
      <c r="BC391" s="128">
        <f>INDEX(Input!$1:$1048576,BC$93,$C391*2+6)</f>
        <v>0.7</v>
      </c>
      <c r="BD391" s="1">
        <f>INDEX(Input!$1:$1048576,BD$93,$C391*2+6)</f>
        <v>4.4999999999999998E-2</v>
      </c>
      <c r="BE391" s="1">
        <f>INDEX(Input!$1:$1048576,BE$93,$C391*2+6)</f>
        <v>4.4999999999999998E-2</v>
      </c>
      <c r="BF391" s="1">
        <f>INDEX(Input!$1:$1048576,BF$93,$C391*2+6)</f>
        <v>0.05</v>
      </c>
      <c r="BG391" s="1">
        <f>INDEX(Input!$1:$1048576,BG$93,$C391*2+6)</f>
        <v>5.45E-2</v>
      </c>
      <c r="BH391" s="1">
        <f>INDEX(Input!$1:$1048576,BH$93,$C391*2+6)</f>
        <v>5.45E-2</v>
      </c>
      <c r="BI391" s="1">
        <f>INDEX(Input!$1:$1048576,BI$93,$C391*2+6)</f>
        <v>0.05</v>
      </c>
      <c r="BJ391" s="1">
        <f>INDEX(Input!$1:$1048576,BJ$93,$C391*2+6)</f>
        <v>0.05</v>
      </c>
      <c r="BK391" s="1">
        <f>INDEX(Input!$1:$1048576,BK$93,$C391*2+6)</f>
        <v>0.05</v>
      </c>
      <c r="BL391" s="1">
        <f>INDEX(Input!$1:$1048576,BL$93,$C391*2+6)</f>
        <v>5.5E-2</v>
      </c>
      <c r="BM391" s="1">
        <f>INDEX(Input!$1:$1048576,BM$93,$C391*2+6)</f>
        <v>0.06</v>
      </c>
      <c r="BN391" s="1">
        <f>INDEX(Input!$1:$1048576,BN$93,$C391*2+6)</f>
        <v>4.4999999999999998E-2</v>
      </c>
      <c r="BO391" s="1">
        <f>INDEX(Input!$1:$1048576,BO$93,$C391*2+6)</f>
        <v>4.4999999999999998E-2</v>
      </c>
      <c r="BP391" s="1">
        <f>INDEX(Input!$1:$1048576,BP$93,$C391*2+6)</f>
        <v>0.05</v>
      </c>
      <c r="BQ391" s="1">
        <f>INDEX(Input!$1:$1048576,BQ$93,$C391*2+6)</f>
        <v>5.45E-2</v>
      </c>
      <c r="BR391" s="1">
        <f>INDEX(Input!$1:$1048576,BR$93,$C391*2+6)</f>
        <v>5.45E-2</v>
      </c>
      <c r="BS391" s="1">
        <f>INDEX(Input!$1:$1048576,BS$93,$C391*2+6)</f>
        <v>0.05</v>
      </c>
      <c r="BT391" s="1">
        <f>INDEX(Input!$1:$1048576,BT$93,$C391*2+6)</f>
        <v>0.05</v>
      </c>
      <c r="BU391" s="1">
        <f>INDEX(Input!$1:$1048576,BU$93,$C391*2+6)</f>
        <v>0.05</v>
      </c>
      <c r="BV391" s="1">
        <f>INDEX(Input!$1:$1048576,BV$93,$C391*2+6)</f>
        <v>5.5E-2</v>
      </c>
      <c r="BW391" s="1">
        <f>INDEX(Input!$1:$1048576,BW$93,$C391*2+6)</f>
        <v>0.06</v>
      </c>
      <c r="BX391" s="127">
        <f>INDEX(Input!$1:$1048576,BX$93,$C391*2+6)</f>
        <v>19985</v>
      </c>
      <c r="BY391" s="20">
        <f>INDEX(Input!$1:$1048576,BY$93,$C391*2+6)</f>
        <v>0.1</v>
      </c>
      <c r="BZ391" s="20">
        <f>INDEX(Input!$1:$1048576,BZ$93,$C391*2+6)</f>
        <v>0.1</v>
      </c>
      <c r="CA391" s="20">
        <f>INDEX(Input!$1:$1048576,CA$93,$C391*2+6)</f>
        <v>0.1</v>
      </c>
      <c r="CB391" s="20">
        <f>INDEX(Input!$1:$1048576,CB$93,$C391*2+6)</f>
        <v>0.1</v>
      </c>
      <c r="CC391" s="20">
        <f>INDEX(Input!$1:$1048576,CC$93,$C391*2+6)</f>
        <v>0.1</v>
      </c>
      <c r="CD391" s="384">
        <f>INDEX(Input!$1:$1048576,CD$93,$C391*2+6)</f>
        <v>0.1</v>
      </c>
      <c r="CE391" s="384">
        <f>INDEX(Input!$1:$1048576,CE$93,$C391*2+6)</f>
        <v>0.1</v>
      </c>
      <c r="CF391" s="384">
        <f>INDEX(Input!$1:$1048576,CF$93,$C391*2+6)</f>
        <v>0.1</v>
      </c>
      <c r="CG391" s="384">
        <f>INDEX(Input!$1:$1048576,CG$93,$C391*2+6)</f>
        <v>0.1</v>
      </c>
      <c r="CH391" s="384">
        <f>INDEX(Input!$1:$1048576,CH$93,$C391*2+6)</f>
        <v>0.1</v>
      </c>
      <c r="CI391" s="304">
        <f t="shared" si="994"/>
        <v>1287.0236024844721</v>
      </c>
      <c r="CJ391" s="16" t="str">
        <f>INDEX(Input!$1:$1048576,CJ$93,$C391*2+6)</f>
        <v>N</v>
      </c>
      <c r="CK391" s="1" t="str">
        <f t="shared" si="995"/>
        <v>Market</v>
      </c>
      <c r="CL391" s="1" t="str">
        <f t="shared" si="996"/>
        <v>Market</v>
      </c>
      <c r="CM391" s="1" t="str">
        <f t="shared" si="997"/>
        <v>Market</v>
      </c>
      <c r="CN391" s="1" t="str">
        <f t="shared" si="998"/>
        <v>Market</v>
      </c>
      <c r="CO391" s="1" t="str">
        <f t="shared" si="999"/>
        <v>Market</v>
      </c>
      <c r="CP391" s="304">
        <f t="shared" si="1000"/>
        <v>500</v>
      </c>
      <c r="CQ391" s="1">
        <f t="shared" si="1001"/>
        <v>0</v>
      </c>
      <c r="CR391" s="1">
        <f t="shared" si="1002"/>
        <v>0</v>
      </c>
      <c r="CS391" s="1">
        <f t="shared" si="1003"/>
        <v>0</v>
      </c>
      <c r="CT391" s="1">
        <f t="shared" si="1004"/>
        <v>1.9E-2</v>
      </c>
      <c r="CU391" s="1">
        <f t="shared" si="1005"/>
        <v>3.9E-2</v>
      </c>
      <c r="CV391" s="304">
        <f t="shared" si="1006"/>
        <v>1554.9999999999991</v>
      </c>
      <c r="CW391" s="20" t="s">
        <v>122</v>
      </c>
      <c r="CX391" s="20" t="s">
        <v>122</v>
      </c>
      <c r="CY391" s="20" t="s">
        <v>122</v>
      </c>
      <c r="CZ391" s="20" t="s">
        <v>122</v>
      </c>
      <c r="DA391" s="20" t="s">
        <v>122</v>
      </c>
      <c r="DB391" s="503">
        <f t="shared" si="1007"/>
        <v>0</v>
      </c>
      <c r="DC391" s="127">
        <v>0</v>
      </c>
      <c r="DD391" s="127">
        <v>0</v>
      </c>
      <c r="DE391" s="127">
        <v>0</v>
      </c>
      <c r="DF391" s="127">
        <v>0</v>
      </c>
      <c r="DG391" s="127">
        <v>0</v>
      </c>
      <c r="DH391" s="127">
        <v>0</v>
      </c>
      <c r="DI391" s="127">
        <v>0</v>
      </c>
      <c r="DJ391" s="127">
        <v>0</v>
      </c>
      <c r="DK391" s="127">
        <v>0</v>
      </c>
      <c r="DL391" s="127">
        <v>0</v>
      </c>
      <c r="DM391" s="304">
        <f>INDEX(Input!$1:$1048576,DM$93,$C391*2+6)</f>
        <v>21036.84210526316</v>
      </c>
      <c r="DN391" s="20">
        <v>0</v>
      </c>
      <c r="DO391" s="20">
        <v>0</v>
      </c>
      <c r="DP391" s="20">
        <v>0</v>
      </c>
      <c r="DQ391" s="20">
        <v>0</v>
      </c>
      <c r="DR391" s="20">
        <v>0</v>
      </c>
      <c r="DS391" s="20">
        <f>INDEX(Input!$1:$1048576,DS$93,$C391*2+6)</f>
        <v>0.6</v>
      </c>
      <c r="DT391" s="20">
        <f>INDEX(Input!$1:$1048576,DT$93,$C391*2+6)</f>
        <v>0.55000000000000004</v>
      </c>
      <c r="DU391" s="20">
        <f>INDEX(Input!$1:$1048576,DU$93,$C391*2+6)</f>
        <v>0.52</v>
      </c>
      <c r="DV391" s="20">
        <f>INDEX(Input!$1:$1048576,DV$93,$C391*2+6)</f>
        <v>0.5</v>
      </c>
      <c r="DW391" s="20">
        <f>INDEX(Input!$1:$1048576,DW$93,$C391*2+6)</f>
        <v>0.45</v>
      </c>
      <c r="DX391" s="20"/>
      <c r="DY391" s="7"/>
      <c r="DZ391" s="7"/>
      <c r="EA391" s="7"/>
      <c r="EB391" s="7"/>
      <c r="EC391" s="7"/>
      <c r="ED391" s="7"/>
      <c r="EE391" s="7"/>
      <c r="EF391" s="7"/>
      <c r="EG391" s="7"/>
      <c r="EH391" s="7"/>
      <c r="EI391" s="7"/>
      <c r="EJ391" s="7"/>
      <c r="EK391" s="7"/>
      <c r="EL391" s="7"/>
      <c r="EM391" s="7"/>
      <c r="EN391" s="7"/>
      <c r="EO391" s="7"/>
      <c r="EP391" s="7"/>
      <c r="EQ391" s="7"/>
      <c r="ER391" s="7"/>
      <c r="ES391" s="7"/>
      <c r="ET391" s="7"/>
      <c r="EU391" s="6"/>
      <c r="EV391" s="6"/>
      <c r="EW391" s="6"/>
      <c r="EX391" s="6"/>
      <c r="EY391" s="6"/>
      <c r="EZ391" s="6"/>
      <c r="FA391" s="6"/>
      <c r="FB391" s="6"/>
      <c r="FC391" s="6"/>
      <c r="FD391" s="6"/>
      <c r="FE391" s="6"/>
      <c r="FF391" s="6"/>
      <c r="FG391" s="6"/>
      <c r="FH391" s="6"/>
      <c r="FI391" s="6"/>
      <c r="FJ391" s="6"/>
      <c r="FK391" s="6"/>
      <c r="FL391" s="6"/>
      <c r="FM391" s="6"/>
      <c r="FN391" s="6"/>
      <c r="FO391" s="6"/>
      <c r="FP391" s="6"/>
      <c r="FQ391" s="6"/>
      <c r="FR391" s="6"/>
      <c r="FS391" s="6"/>
      <c r="FT391" s="7"/>
      <c r="FU391" s="7"/>
      <c r="FV391" s="7"/>
      <c r="FW391" s="6"/>
      <c r="FX391" s="6"/>
      <c r="FY391" s="6"/>
      <c r="FZ391" s="6"/>
      <c r="GA391" s="6"/>
      <c r="GB391" s="6"/>
      <c r="GC391" s="7"/>
      <c r="GD391" s="7"/>
      <c r="GE391" s="7"/>
      <c r="GF391" s="7"/>
      <c r="GG391" s="7"/>
      <c r="GH391" s="42"/>
      <c r="GI391" s="6"/>
      <c r="GJ391" s="14"/>
      <c r="GK391" s="14"/>
      <c r="GL391" s="14"/>
      <c r="GM391" s="14"/>
      <c r="GO391" s="5"/>
      <c r="GP391" s="5"/>
      <c r="GQ391" s="5"/>
      <c r="GR391" s="5"/>
      <c r="GS391" s="5"/>
      <c r="GT391" s="5"/>
      <c r="GU391" s="5"/>
      <c r="GV391" s="39"/>
      <c r="GW391" s="5"/>
      <c r="GX391" s="5"/>
      <c r="GY391" s="5"/>
      <c r="GZ391" s="5"/>
      <c r="HA391" s="5"/>
      <c r="HB391" s="39"/>
      <c r="HC391" s="5"/>
      <c r="HD391" s="5"/>
      <c r="HE391" s="5"/>
      <c r="HF391" s="5"/>
      <c r="HG391" s="5"/>
      <c r="HH391" s="39"/>
      <c r="HI391" s="16"/>
      <c r="HJ391" s="19"/>
      <c r="HK391" s="1"/>
      <c r="HL391" s="16"/>
      <c r="HM391" s="1"/>
      <c r="HN391" s="1"/>
      <c r="HO391" s="1"/>
      <c r="HP391" s="1"/>
      <c r="HQ391" s="1"/>
      <c r="HR391" s="1"/>
      <c r="HS391" s="1"/>
      <c r="HT391" s="1"/>
      <c r="HU391" s="1"/>
      <c r="HV391" s="1"/>
      <c r="HW391" s="1"/>
      <c r="HX391" s="1"/>
      <c r="HY391" s="1"/>
      <c r="HZ391" s="1"/>
      <c r="IA391" s="1"/>
      <c r="IB391" s="1"/>
      <c r="IC391" s="1"/>
      <c r="ID391" s="1"/>
      <c r="IE391" s="1"/>
      <c r="IF391" s="1"/>
      <c r="IG391" s="1"/>
      <c r="IH391" s="21"/>
      <c r="II391" s="19"/>
      <c r="IJ391" s="19"/>
      <c r="IK391" s="19"/>
      <c r="IL391" s="19"/>
      <c r="IM391" s="19"/>
      <c r="IN391" s="19"/>
      <c r="IO391" s="39"/>
      <c r="IP391" s="39"/>
      <c r="IQ391" s="39"/>
      <c r="IR391" s="39"/>
      <c r="IS391" s="39"/>
      <c r="IT391" s="39"/>
      <c r="IU391" s="39"/>
      <c r="IV391" s="39"/>
      <c r="IW391" s="39"/>
      <c r="IX391" s="39"/>
      <c r="IY391" s="39"/>
      <c r="IZ391" s="39"/>
      <c r="JA391" s="19"/>
      <c r="JB391" s="19"/>
      <c r="JC391" s="19"/>
      <c r="JD391" s="19"/>
      <c r="JE391" s="21"/>
      <c r="JF391" s="1"/>
      <c r="JG391" s="15"/>
      <c r="JH391" s="1"/>
      <c r="JI391" s="1"/>
      <c r="JJ391" s="1"/>
      <c r="JK391" s="1"/>
      <c r="JL391" s="15"/>
      <c r="JM391" s="15"/>
      <c r="JN391" s="21"/>
      <c r="JO391" s="19"/>
      <c r="JP391" s="19"/>
      <c r="JQ391" s="39"/>
      <c r="JR391" s="39"/>
      <c r="JS391" s="39"/>
      <c r="JT391" s="39"/>
      <c r="JU391" s="385"/>
      <c r="JV391" s="39"/>
      <c r="JW391" s="1"/>
      <c r="JX391" s="19"/>
      <c r="JZ391" s="341"/>
      <c r="KA391" s="342"/>
      <c r="KB391" s="469"/>
      <c r="KI391" s="473"/>
      <c r="KJ391" s="473"/>
      <c r="KK391" s="473"/>
    </row>
    <row r="392" spans="1:297" s="26" customFormat="1" ht="15" outlineLevel="1">
      <c r="A392" s="561">
        <f t="shared" si="1046"/>
        <v>3092</v>
      </c>
      <c r="B392" s="561">
        <f t="shared" si="1064"/>
        <v>92</v>
      </c>
      <c r="C392" s="561">
        <f t="shared" si="1065"/>
        <v>3</v>
      </c>
      <c r="D392" s="561" t="str">
        <f t="shared" si="1109"/>
        <v/>
      </c>
      <c r="E392" s="475">
        <f>INDEX(Input!$1:$1048576,E$93,$C392*2+MIN($B392,2)+5)
+INDEX(Scenarios!E$121:E$200,MATCH($B392,Scenarios!$B$121:$B$200,0))</f>
        <v>1287.0236024844721</v>
      </c>
      <c r="F392" s="475">
        <f>INDEX(Input!$1:$1048576,F$93,$C392*2+MIN($B392,2)+5)
+INDEX(Scenarios!F$121:F$200,MATCH($B392,Scenarios!$B$121:$B$200,0))</f>
        <v>0</v>
      </c>
      <c r="G392" s="475">
        <f>INDEX(Input!$1:$1048576,G$93,$C392*2+MIN($B392,2)+5)
+INDEX(Scenarios!G$121:G$200,MATCH($B392,Scenarios!$B$121:$B$200,0))</f>
        <v>0</v>
      </c>
      <c r="H392" s="475">
        <f>INDEX(Input!$1:$1048576,H$93,$C392*2+MIN($B392,2)+5)
+INDEX(Scenarios!H$121:H$200,MATCH($B392,Scenarios!$B$121:$B$200,0))</f>
        <v>0</v>
      </c>
      <c r="I392" s="476">
        <f>INDEX(Input!$1:$1048576,I$93,$C392*2+MIN($B392,2)+5)</f>
        <v>0.7</v>
      </c>
      <c r="J392" s="476" t="str">
        <f>INDEX(Input!$1:$1048576,J$93,$C392*2+MIN($B392,2)+5)</f>
        <v>Market</v>
      </c>
      <c r="K392" s="476" t="str">
        <f>INDEX(Input!$1:$1048576,K$93,$C392*2+MIN($B392,2)+5)</f>
        <v>Market</v>
      </c>
      <c r="L392" s="476" t="str">
        <f>INDEX(Input!$1:$1048576,L$93,$C392*2+MIN($B392,2)+5)</f>
        <v>Market</v>
      </c>
      <c r="M392" s="476" t="str">
        <f>INDEX(Input!$1:$1048576,M$93,$C392*2+MIN($B392,2)+5)</f>
        <v>Market</v>
      </c>
      <c r="N392" s="476" t="str">
        <f>INDEX(Input!$1:$1048576,N$93,$C392*2+MIN($B392,2)+5)</f>
        <v>Market</v>
      </c>
      <c r="O392" s="476" t="str">
        <f>INDEX(Input!$1:$1048576,O$93,$C392*2+MIN($B392,2)+5)</f>
        <v>Market</v>
      </c>
      <c r="P392" s="476" t="str">
        <f>INDEX(Input!$1:$1048576,P$93,$C392*2+MIN($B392,2)+5)</f>
        <v>N</v>
      </c>
      <c r="Q392" s="477">
        <f>INDEX(Input!$1:$1048576,Q$93,$C392*2+MIN($B392,2)+5)
+INDEX(Scenarios!Q$121:Q$200,MATCH($B392,Scenarios!$B$121:$B$200,0))</f>
        <v>0</v>
      </c>
      <c r="R392" s="478">
        <f>IFERROR(MAX(0,INDEX(Input!$1:$1048576,R$93,$C392*2+MIN($B392,2)+5)
+INDEX(Scenarios!R$121:R$200,MATCH($B392,Scenarios!$B$121:$B$200,0)),),"Market")</f>
        <v>0</v>
      </c>
      <c r="S392" s="478">
        <f>IFERROR(MAX(0,INDEX(Input!$1:$1048576,S$93,$C392*2+MIN($B392,2)+5)
+INDEX(Scenarios!S$121:S$200,MATCH($B392,Scenarios!$B$121:$B$200,0)),),"Market")</f>
        <v>0</v>
      </c>
      <c r="T392" s="478">
        <f>IFERROR(MAX(0,INDEX(Input!$1:$1048576,T$93,$C392*2+MIN($B392,2)+5)
+INDEX(Scenarios!T$121:T$200,MATCH($B392,Scenarios!$B$121:$B$200,0)),),"Market")</f>
        <v>0</v>
      </c>
      <c r="U392" s="478">
        <f>IFERROR(MAX(0,INDEX(Input!$1:$1048576,U$93,$C392*2+MIN($B392,2)+5)
+INDEX(Scenarios!U$121:U$200,MATCH($B392,Scenarios!$B$121:$B$200,0)),),"Market")</f>
        <v>0</v>
      </c>
      <c r="V392" s="478">
        <f>IFERROR(MAX(0,INDEX(Input!$1:$1048576,V$93,$C392*2+MIN($B392,2)+5)
+INDEX(Scenarios!V$121:V$200,MATCH($B392,Scenarios!$B$121:$B$200,0)),),"Market")</f>
        <v>1.9E-2</v>
      </c>
      <c r="W392" s="885">
        <f>IFERROR(MAX(0,INDEX(Input!$1:$1048576,W$93,$C392*2+MIN($B392,2)+5)-0%,),"Market")</f>
        <v>3.9E-2</v>
      </c>
      <c r="X392" s="476" t="str">
        <f>INDEX(Input!$1:$1048576,X$93,$C392*2+MIN($B392,2)+5)</f>
        <v>Y</v>
      </c>
      <c r="Y392" s="475">
        <f>INDEX(Input!$1:$1048576,Y$93,$C392*2+MIN($B392,2)+5)
++INDEX(Scenarios!Y$121:Y$200,MATCH($B392,Scenarios!$B$121:$B$200,0))</f>
        <v>1554.9999999999991</v>
      </c>
      <c r="Z392" s="477">
        <f>INDEX(Input!$1:$1048576,Z$93,$C392*2+MIN($B392,2)+5)
+INDEX(Scenarios!Z$121:Z$200,MATCH($B392,Scenarios!$B$121:$B$200,0))</f>
        <v>0</v>
      </c>
      <c r="AA392" s="475">
        <f>INDEX(Input!$1:$1048576,AA$93,$C392*2+MIN($B392,2)+5)
+INDEX(Scenarios!AA$121:AA$200,MATCH($B392,Scenarios!$B$121:$B$200,0))</f>
        <v>0</v>
      </c>
      <c r="AB392" s="476">
        <f>INDEX(Input!$1:$1048576,AB$93,$C392*2+MIN($B392,2)+5)</f>
        <v>0.27</v>
      </c>
      <c r="AC392" s="475">
        <f>INDEX(Input!$1:$1048576,AC$93,$C392*2+MIN($B392,2)+5)
+INDEX(Scenarios!AC$121:AC$200,MATCH($B392,Scenarios!$B$121:$B$200,0))</f>
        <v>0</v>
      </c>
      <c r="AD392" s="476">
        <f>INDEX(Input!$1:$1048576,AD$93,$C392*2+MIN($B392,2)+5)</f>
        <v>0.27</v>
      </c>
      <c r="AE392" s="475">
        <f>INDEX(Input!$1:$1048576,AE$93,$C392*2+MIN($B392,2)+5)
+INDEX(Scenarios!AE$121:AE$200,MATCH($B392,Scenarios!$B$121:$B$200,0))</f>
        <v>0</v>
      </c>
      <c r="AF392" s="476">
        <f>INDEX(Input!$1:$1048576,AF$93,$C392*2+MIN($B392,2)+5)</f>
        <v>0.68200000000000005</v>
      </c>
      <c r="AG392" s="475">
        <f>INDEX(Input!$1:$1048576,AG$93,$C392*2+MIN($B392,2)+5)
+INDEX(Scenarios!AG$121:AG$200,MATCH($B392,Scenarios!$B$121:$B$200,0))</f>
        <v>500</v>
      </c>
      <c r="AH392" s="476">
        <f>INDEX(Input!$1:$1048576,AH$93,$C392*2+MIN($B392,2)+5)</f>
        <v>1</v>
      </c>
      <c r="AI392" s="475">
        <f>INDEX(Input!$1:$1048576,AI$93,$C392*2+MIN($B392,2)+5)
+INDEX(Scenarios!AI$121:AI$200,MATCH($B392,Scenarios!$B$121:$B$200,0))</f>
        <v>0</v>
      </c>
      <c r="AJ392" s="476">
        <f>INDEX(Input!$1:$1048576,AJ$93,$C392*2+MIN($B392,2)+5)</f>
        <v>0.27</v>
      </c>
      <c r="AK392" s="150">
        <f>ROUND(INDEX(Input!$1:$1048576,AK$93,$C391*2+MIN($B392,1)+5)+(Y392-VLOOKUP($C392*1000+1,$A:$HH,Y$92,FALSE)),0)</f>
        <v>2977</v>
      </c>
      <c r="AL392" s="150">
        <f>ROUND(INDEX(Input!$1:$1048576,AL$93,$C391*2+MIN($B392,1)+5)-(Y392-VLOOKUP($C392*1000+1,$A:$HH,Y$92,FALSE))/36,0)</f>
        <v>3395</v>
      </c>
      <c r="AM392" s="32" t="str">
        <f t="shared" si="1047"/>
        <v>std/std/std/std</v>
      </c>
      <c r="AN392" s="32" t="str">
        <f t="shared" si="1048"/>
        <v>$0 + 0/0/0/1.9/3.9</v>
      </c>
      <c r="AO392" s="32" t="str">
        <f t="shared" si="1049"/>
        <v>0/0/0/1.9/3.9</v>
      </c>
      <c r="AP392" s="32" t="str">
        <f t="shared" si="993"/>
        <v>0/0.9/1.9/3.9</v>
      </c>
      <c r="AQ392" s="536">
        <f t="shared" si="992"/>
        <v>0</v>
      </c>
      <c r="AR392" s="32"/>
      <c r="AS392" s="302"/>
      <c r="AT392" s="3">
        <f t="shared" si="1066"/>
        <v>92</v>
      </c>
      <c r="AU392" s="41" t="s">
        <v>121</v>
      </c>
      <c r="AV392" s="41" t="s">
        <v>116</v>
      </c>
      <c r="AW392" s="41" t="str">
        <f>INDEX(Input!$1:$1048576,AW$93,$C392*2+6)</f>
        <v>Kia</v>
      </c>
      <c r="AX392" s="41" t="str">
        <f>INDEX(Input!$1:$1048576,AX$93,$C392*2+6)</f>
        <v>Kia-LR - L3</v>
      </c>
      <c r="AY392" s="41" t="str">
        <f>IF(LEN(D392)=0,"",INDEX(Input!$1:$1048576,AY$93,$C392*2+6))</f>
        <v/>
      </c>
      <c r="AZ392" s="41" t="str">
        <f>INDEX(Input!$1:$1048576,AZ$93,$C392*2+6)</f>
        <v>Kia Soul</v>
      </c>
      <c r="BA392" s="3">
        <f>INDEX(Input!$1:$1048576,BA$93,$C392*2+6)</f>
        <v>2020</v>
      </c>
      <c r="BB392" s="128">
        <f>INDEX(Input!$1:$1048576,BB$93,$C392*2+6)</f>
        <v>1</v>
      </c>
      <c r="BC392" s="128">
        <f>INDEX(Input!$1:$1048576,BC$93,$C392*2+6)</f>
        <v>0.7</v>
      </c>
      <c r="BD392" s="1">
        <f>INDEX(Input!$1:$1048576,BD$93,$C392*2+6)</f>
        <v>4.4999999999999998E-2</v>
      </c>
      <c r="BE392" s="1">
        <f>INDEX(Input!$1:$1048576,BE$93,$C392*2+6)</f>
        <v>4.4999999999999998E-2</v>
      </c>
      <c r="BF392" s="1">
        <f>INDEX(Input!$1:$1048576,BF$93,$C392*2+6)</f>
        <v>0.05</v>
      </c>
      <c r="BG392" s="1">
        <f>INDEX(Input!$1:$1048576,BG$93,$C392*2+6)</f>
        <v>5.45E-2</v>
      </c>
      <c r="BH392" s="1">
        <f>INDEX(Input!$1:$1048576,BH$93,$C392*2+6)</f>
        <v>5.45E-2</v>
      </c>
      <c r="BI392" s="1">
        <f>INDEX(Input!$1:$1048576,BI$93,$C392*2+6)</f>
        <v>0.05</v>
      </c>
      <c r="BJ392" s="1">
        <f>INDEX(Input!$1:$1048576,BJ$93,$C392*2+6)</f>
        <v>0.05</v>
      </c>
      <c r="BK392" s="1">
        <f>INDEX(Input!$1:$1048576,BK$93,$C392*2+6)</f>
        <v>0.05</v>
      </c>
      <c r="BL392" s="1">
        <f>INDEX(Input!$1:$1048576,BL$93,$C392*2+6)</f>
        <v>5.5E-2</v>
      </c>
      <c r="BM392" s="1">
        <f>INDEX(Input!$1:$1048576,BM$93,$C392*2+6)</f>
        <v>0.06</v>
      </c>
      <c r="BN392" s="1">
        <f>INDEX(Input!$1:$1048576,BN$93,$C392*2+6)</f>
        <v>4.4999999999999998E-2</v>
      </c>
      <c r="BO392" s="1">
        <f>INDEX(Input!$1:$1048576,BO$93,$C392*2+6)</f>
        <v>4.4999999999999998E-2</v>
      </c>
      <c r="BP392" s="1">
        <f>INDEX(Input!$1:$1048576,BP$93,$C392*2+6)</f>
        <v>0.05</v>
      </c>
      <c r="BQ392" s="1">
        <f>INDEX(Input!$1:$1048576,BQ$93,$C392*2+6)</f>
        <v>5.45E-2</v>
      </c>
      <c r="BR392" s="1">
        <f>INDEX(Input!$1:$1048576,BR$93,$C392*2+6)</f>
        <v>5.45E-2</v>
      </c>
      <c r="BS392" s="1">
        <f>INDEX(Input!$1:$1048576,BS$93,$C392*2+6)</f>
        <v>0.05</v>
      </c>
      <c r="BT392" s="1">
        <f>INDEX(Input!$1:$1048576,BT$93,$C392*2+6)</f>
        <v>0.05</v>
      </c>
      <c r="BU392" s="1">
        <f>INDEX(Input!$1:$1048576,BU$93,$C392*2+6)</f>
        <v>0.05</v>
      </c>
      <c r="BV392" s="1">
        <f>INDEX(Input!$1:$1048576,BV$93,$C392*2+6)</f>
        <v>5.5E-2</v>
      </c>
      <c r="BW392" s="1">
        <f>INDEX(Input!$1:$1048576,BW$93,$C392*2+6)</f>
        <v>0.06</v>
      </c>
      <c r="BX392" s="127">
        <f>INDEX(Input!$1:$1048576,BX$93,$C392*2+6)</f>
        <v>19985</v>
      </c>
      <c r="BY392" s="20">
        <f>INDEX(Input!$1:$1048576,BY$93,$C392*2+6)</f>
        <v>0.1</v>
      </c>
      <c r="BZ392" s="20">
        <f>INDEX(Input!$1:$1048576,BZ$93,$C392*2+6)</f>
        <v>0.1</v>
      </c>
      <c r="CA392" s="20">
        <f>INDEX(Input!$1:$1048576,CA$93,$C392*2+6)</f>
        <v>0.1</v>
      </c>
      <c r="CB392" s="20">
        <f>INDEX(Input!$1:$1048576,CB$93,$C392*2+6)</f>
        <v>0.1</v>
      </c>
      <c r="CC392" s="20">
        <f>INDEX(Input!$1:$1048576,CC$93,$C392*2+6)</f>
        <v>0.1</v>
      </c>
      <c r="CD392" s="384">
        <f>INDEX(Input!$1:$1048576,CD$93,$C392*2+6)</f>
        <v>0.1</v>
      </c>
      <c r="CE392" s="384">
        <f>INDEX(Input!$1:$1048576,CE$93,$C392*2+6)</f>
        <v>0.1</v>
      </c>
      <c r="CF392" s="384">
        <f>INDEX(Input!$1:$1048576,CF$93,$C392*2+6)</f>
        <v>0.1</v>
      </c>
      <c r="CG392" s="384">
        <f>INDEX(Input!$1:$1048576,CG$93,$C392*2+6)</f>
        <v>0.1</v>
      </c>
      <c r="CH392" s="384">
        <f>INDEX(Input!$1:$1048576,CH$93,$C392*2+6)</f>
        <v>0.1</v>
      </c>
      <c r="CI392" s="304">
        <f t="shared" si="994"/>
        <v>1287.0236024844721</v>
      </c>
      <c r="CJ392" s="16" t="str">
        <f>INDEX(Input!$1:$1048576,CJ$93,$C392*2+6)</f>
        <v>N</v>
      </c>
      <c r="CK392" s="1" t="str">
        <f t="shared" si="995"/>
        <v>Market</v>
      </c>
      <c r="CL392" s="1" t="str">
        <f t="shared" si="996"/>
        <v>Market</v>
      </c>
      <c r="CM392" s="1" t="str">
        <f t="shared" si="997"/>
        <v>Market</v>
      </c>
      <c r="CN392" s="1" t="str">
        <f t="shared" si="998"/>
        <v>Market</v>
      </c>
      <c r="CO392" s="1" t="str">
        <f t="shared" si="999"/>
        <v>Market</v>
      </c>
      <c r="CP392" s="304">
        <f t="shared" si="1000"/>
        <v>500</v>
      </c>
      <c r="CQ392" s="1">
        <f t="shared" si="1001"/>
        <v>0</v>
      </c>
      <c r="CR392" s="1">
        <f t="shared" si="1002"/>
        <v>0</v>
      </c>
      <c r="CS392" s="1">
        <f t="shared" si="1003"/>
        <v>0</v>
      </c>
      <c r="CT392" s="1">
        <f t="shared" si="1004"/>
        <v>1.9E-2</v>
      </c>
      <c r="CU392" s="1">
        <f t="shared" si="1005"/>
        <v>3.9E-2</v>
      </c>
      <c r="CV392" s="304">
        <f t="shared" si="1006"/>
        <v>1554.9999999999991</v>
      </c>
      <c r="CW392" s="20" t="s">
        <v>122</v>
      </c>
      <c r="CX392" s="20" t="s">
        <v>122</v>
      </c>
      <c r="CY392" s="20" t="s">
        <v>122</v>
      </c>
      <c r="CZ392" s="20" t="s">
        <v>122</v>
      </c>
      <c r="DA392" s="20" t="s">
        <v>122</v>
      </c>
      <c r="DB392" s="503">
        <f t="shared" si="1007"/>
        <v>0</v>
      </c>
      <c r="DC392" s="127">
        <v>0</v>
      </c>
      <c r="DD392" s="127">
        <v>0</v>
      </c>
      <c r="DE392" s="127">
        <v>0</v>
      </c>
      <c r="DF392" s="127">
        <v>0</v>
      </c>
      <c r="DG392" s="127">
        <v>0</v>
      </c>
      <c r="DH392" s="127">
        <v>0</v>
      </c>
      <c r="DI392" s="127">
        <v>0</v>
      </c>
      <c r="DJ392" s="127">
        <v>0</v>
      </c>
      <c r="DK392" s="127">
        <v>0</v>
      </c>
      <c r="DL392" s="127">
        <v>0</v>
      </c>
      <c r="DM392" s="304">
        <f>INDEX(Input!$1:$1048576,DM$93,$C392*2+6)</f>
        <v>21036.84210526316</v>
      </c>
      <c r="DN392" s="20">
        <v>0</v>
      </c>
      <c r="DO392" s="20">
        <v>0</v>
      </c>
      <c r="DP392" s="20">
        <v>0</v>
      </c>
      <c r="DQ392" s="20">
        <v>0</v>
      </c>
      <c r="DR392" s="20">
        <v>0</v>
      </c>
      <c r="DS392" s="20">
        <f>INDEX(Input!$1:$1048576,DS$93,$C392*2+6)</f>
        <v>0.6</v>
      </c>
      <c r="DT392" s="20">
        <f>INDEX(Input!$1:$1048576,DT$93,$C392*2+6)</f>
        <v>0.55000000000000004</v>
      </c>
      <c r="DU392" s="20">
        <f>INDEX(Input!$1:$1048576,DU$93,$C392*2+6)</f>
        <v>0.52</v>
      </c>
      <c r="DV392" s="20">
        <f>INDEX(Input!$1:$1048576,DV$93,$C392*2+6)</f>
        <v>0.5</v>
      </c>
      <c r="DW392" s="20">
        <f>INDEX(Input!$1:$1048576,DW$93,$C392*2+6)</f>
        <v>0.45</v>
      </c>
      <c r="DX392" s="20"/>
      <c r="DY392" s="7"/>
      <c r="DZ392" s="7"/>
      <c r="EA392" s="7"/>
      <c r="EB392" s="7"/>
      <c r="EC392" s="7"/>
      <c r="ED392" s="7"/>
      <c r="EE392" s="7"/>
      <c r="EF392" s="7"/>
      <c r="EG392" s="7"/>
      <c r="EH392" s="7"/>
      <c r="EI392" s="7"/>
      <c r="EJ392" s="7"/>
      <c r="EK392" s="7"/>
      <c r="EL392" s="7"/>
      <c r="EM392" s="7"/>
      <c r="EN392" s="7"/>
      <c r="EO392" s="7"/>
      <c r="EP392" s="7"/>
      <c r="EQ392" s="7"/>
      <c r="ER392" s="7"/>
      <c r="ES392" s="7"/>
      <c r="ET392" s="7"/>
      <c r="EU392" s="6"/>
      <c r="EV392" s="6"/>
      <c r="EW392" s="6"/>
      <c r="EX392" s="6"/>
      <c r="EY392" s="6"/>
      <c r="EZ392" s="6"/>
      <c r="FA392" s="6"/>
      <c r="FB392" s="6"/>
      <c r="FC392" s="6"/>
      <c r="FD392" s="6"/>
      <c r="FE392" s="6"/>
      <c r="FF392" s="6"/>
      <c r="FG392" s="6"/>
      <c r="FH392" s="6"/>
      <c r="FI392" s="6"/>
      <c r="FJ392" s="6"/>
      <c r="FK392" s="6"/>
      <c r="FL392" s="6"/>
      <c r="FM392" s="6"/>
      <c r="FN392" s="6"/>
      <c r="FO392" s="6"/>
      <c r="FP392" s="6"/>
      <c r="FQ392" s="6"/>
      <c r="FR392" s="6"/>
      <c r="FS392" s="6"/>
      <c r="FT392" s="7"/>
      <c r="FU392" s="7"/>
      <c r="FV392" s="7"/>
      <c r="FW392" s="6"/>
      <c r="FX392" s="6"/>
      <c r="FY392" s="6"/>
      <c r="FZ392" s="6"/>
      <c r="GA392" s="6"/>
      <c r="GB392" s="6"/>
      <c r="GC392" s="7"/>
      <c r="GD392" s="7"/>
      <c r="GE392" s="7"/>
      <c r="GF392" s="7"/>
      <c r="GG392" s="7"/>
      <c r="GH392" s="42"/>
      <c r="GI392" s="6"/>
      <c r="GJ392" s="14"/>
      <c r="GK392" s="14"/>
      <c r="GL392" s="14"/>
      <c r="GM392" s="14"/>
      <c r="GO392" s="5"/>
      <c r="GP392" s="5"/>
      <c r="GQ392" s="5"/>
      <c r="GR392" s="5"/>
      <c r="GS392" s="5"/>
      <c r="GT392" s="5"/>
      <c r="GU392" s="5"/>
      <c r="GV392" s="39"/>
      <c r="GW392" s="5"/>
      <c r="GX392" s="5"/>
      <c r="GY392" s="5"/>
      <c r="GZ392" s="5"/>
      <c r="HA392" s="5"/>
      <c r="HB392" s="39"/>
      <c r="HC392" s="5"/>
      <c r="HD392" s="5"/>
      <c r="HE392" s="5"/>
      <c r="HF392" s="5"/>
      <c r="HG392" s="5"/>
      <c r="HH392" s="39"/>
      <c r="HI392" s="16"/>
      <c r="HJ392" s="19"/>
      <c r="HK392" s="1"/>
      <c r="HL392" s="16"/>
      <c r="HM392" s="1"/>
      <c r="HN392" s="1"/>
      <c r="HO392" s="1"/>
      <c r="HP392" s="1"/>
      <c r="HQ392" s="1"/>
      <c r="HR392" s="1"/>
      <c r="HS392" s="1"/>
      <c r="HT392" s="1"/>
      <c r="HU392" s="1"/>
      <c r="HV392" s="1"/>
      <c r="HW392" s="1"/>
      <c r="HX392" s="1"/>
      <c r="HY392" s="1"/>
      <c r="HZ392" s="1"/>
      <c r="IA392" s="1"/>
      <c r="IB392" s="1"/>
      <c r="IC392" s="1"/>
      <c r="ID392" s="1"/>
      <c r="IE392" s="1"/>
      <c r="IF392" s="1"/>
      <c r="IG392" s="1"/>
      <c r="IH392" s="21"/>
      <c r="II392" s="19"/>
      <c r="IJ392" s="19"/>
      <c r="IK392" s="19"/>
      <c r="IL392" s="19"/>
      <c r="IM392" s="19"/>
      <c r="IN392" s="19"/>
      <c r="IO392" s="39"/>
      <c r="IP392" s="39"/>
      <c r="IQ392" s="39"/>
      <c r="IR392" s="39"/>
      <c r="IS392" s="39"/>
      <c r="IT392" s="39"/>
      <c r="IU392" s="39"/>
      <c r="IV392" s="39"/>
      <c r="IW392" s="39"/>
      <c r="IX392" s="39"/>
      <c r="IY392" s="39"/>
      <c r="IZ392" s="39"/>
      <c r="JA392" s="19"/>
      <c r="JB392" s="19"/>
      <c r="JC392" s="19"/>
      <c r="JD392" s="19"/>
      <c r="JE392" s="21"/>
      <c r="JF392" s="1"/>
      <c r="JG392" s="15"/>
      <c r="JH392" s="1"/>
      <c r="JI392" s="1"/>
      <c r="JJ392" s="1"/>
      <c r="JK392" s="1"/>
      <c r="JL392" s="15"/>
      <c r="JM392" s="15"/>
      <c r="JN392" s="21"/>
      <c r="JO392" s="19"/>
      <c r="JP392" s="19"/>
      <c r="JQ392" s="39"/>
      <c r="JR392" s="39"/>
      <c r="JS392" s="39"/>
      <c r="JT392" s="39"/>
      <c r="JU392" s="385"/>
      <c r="JV392" s="39"/>
      <c r="JW392" s="1"/>
      <c r="JX392" s="19"/>
      <c r="JZ392" s="341"/>
      <c r="KA392" s="342"/>
      <c r="KB392" s="469"/>
      <c r="KI392" s="473"/>
      <c r="KJ392" s="473"/>
      <c r="KK392" s="473"/>
    </row>
    <row r="393" spans="1:297" s="26" customFormat="1" ht="15" outlineLevel="1">
      <c r="A393" s="561">
        <f t="shared" si="1046"/>
        <v>3093</v>
      </c>
      <c r="B393" s="561">
        <f t="shared" si="1064"/>
        <v>93</v>
      </c>
      <c r="C393" s="561">
        <f t="shared" si="1065"/>
        <v>3</v>
      </c>
      <c r="D393" s="561" t="str">
        <f t="shared" si="1109"/>
        <v/>
      </c>
      <c r="E393" s="475">
        <f>INDEX(Input!$1:$1048576,E$93,$C393*2+MIN($B393,2)+5)
+INDEX(Scenarios!E$121:E$200,MATCH($B393,Scenarios!$B$121:$B$200,0))</f>
        <v>1287.0236024844721</v>
      </c>
      <c r="F393" s="475">
        <f>INDEX(Input!$1:$1048576,F$93,$C393*2+MIN($B393,2)+5)
+INDEX(Scenarios!F$121:F$200,MATCH($B393,Scenarios!$B$121:$B$200,0))</f>
        <v>0</v>
      </c>
      <c r="G393" s="475">
        <f>INDEX(Input!$1:$1048576,G$93,$C393*2+MIN($B393,2)+5)
+INDEX(Scenarios!G$121:G$200,MATCH($B393,Scenarios!$B$121:$B$200,0))</f>
        <v>0</v>
      </c>
      <c r="H393" s="475">
        <f>INDEX(Input!$1:$1048576,H$93,$C393*2+MIN($B393,2)+5)
+INDEX(Scenarios!H$121:H$200,MATCH($B393,Scenarios!$B$121:$B$200,0))</f>
        <v>0</v>
      </c>
      <c r="I393" s="476">
        <f>INDEX(Input!$1:$1048576,I$93,$C393*2+MIN($B393,2)+5)</f>
        <v>0.7</v>
      </c>
      <c r="J393" s="476" t="str">
        <f>INDEX(Input!$1:$1048576,J$93,$C393*2+MIN($B393,2)+5)</f>
        <v>Market</v>
      </c>
      <c r="K393" s="476" t="str">
        <f>INDEX(Input!$1:$1048576,K$93,$C393*2+MIN($B393,2)+5)</f>
        <v>Market</v>
      </c>
      <c r="L393" s="476" t="str">
        <f>INDEX(Input!$1:$1048576,L$93,$C393*2+MIN($B393,2)+5)</f>
        <v>Market</v>
      </c>
      <c r="M393" s="476" t="str">
        <f>INDEX(Input!$1:$1048576,M$93,$C393*2+MIN($B393,2)+5)</f>
        <v>Market</v>
      </c>
      <c r="N393" s="476" t="str">
        <f>INDEX(Input!$1:$1048576,N$93,$C393*2+MIN($B393,2)+5)</f>
        <v>Market</v>
      </c>
      <c r="O393" s="476" t="str">
        <f>INDEX(Input!$1:$1048576,O$93,$C393*2+MIN($B393,2)+5)</f>
        <v>Market</v>
      </c>
      <c r="P393" s="476" t="str">
        <f>INDEX(Input!$1:$1048576,P$93,$C393*2+MIN($B393,2)+5)</f>
        <v>N</v>
      </c>
      <c r="Q393" s="477">
        <f>INDEX(Input!$1:$1048576,Q$93,$C393*2+MIN($B393,2)+5)
+INDEX(Scenarios!Q$121:Q$200,MATCH($B393,Scenarios!$B$121:$B$200,0))</f>
        <v>0</v>
      </c>
      <c r="R393" s="478">
        <f>IFERROR(MAX(0,INDEX(Input!$1:$1048576,R$93,$C393*2+MIN($B393,2)+5)
+INDEX(Scenarios!R$121:R$200,MATCH($B393,Scenarios!$B$121:$B$200,0)),),"Market")</f>
        <v>0</v>
      </c>
      <c r="S393" s="478">
        <f>IFERROR(MAX(0,INDEX(Input!$1:$1048576,S$93,$C393*2+MIN($B393,2)+5)
+INDEX(Scenarios!S$121:S$200,MATCH($B393,Scenarios!$B$121:$B$200,0)),),"Market")</f>
        <v>0</v>
      </c>
      <c r="T393" s="478">
        <f>IFERROR(MAX(0,INDEX(Input!$1:$1048576,T$93,$C393*2+MIN($B393,2)+5)
+INDEX(Scenarios!T$121:T$200,MATCH($B393,Scenarios!$B$121:$B$200,0)),),"Market")</f>
        <v>0</v>
      </c>
      <c r="U393" s="478">
        <f>IFERROR(MAX(0,INDEX(Input!$1:$1048576,U$93,$C393*2+MIN($B393,2)+5)
+INDEX(Scenarios!U$121:U$200,MATCH($B393,Scenarios!$B$121:$B$200,0)),),"Market")</f>
        <v>0</v>
      </c>
      <c r="V393" s="478">
        <f>IFERROR(MAX(0,INDEX(Input!$1:$1048576,V$93,$C393*2+MIN($B393,2)+5)
+INDEX(Scenarios!V$121:V$200,MATCH($B393,Scenarios!$B$121:$B$200,0)),),"Market")</f>
        <v>1.9E-2</v>
      </c>
      <c r="W393" s="885">
        <f>IFERROR(MAX(0,INDEX(Input!$1:$1048576,W$93,$C393*2+MIN($B393,2)+5)-0%,),"Market")</f>
        <v>3.9E-2</v>
      </c>
      <c r="X393" s="476" t="str">
        <f>INDEX(Input!$1:$1048576,X$93,$C393*2+MIN($B393,2)+5)</f>
        <v>Y</v>
      </c>
      <c r="Y393" s="475">
        <f>INDEX(Input!$1:$1048576,Y$93,$C393*2+MIN($B393,2)+5)
++INDEX(Scenarios!Y$121:Y$200,MATCH($B393,Scenarios!$B$121:$B$200,0))</f>
        <v>1554.9999999999991</v>
      </c>
      <c r="Z393" s="477">
        <f>INDEX(Input!$1:$1048576,Z$93,$C393*2+MIN($B393,2)+5)
+INDEX(Scenarios!Z$121:Z$200,MATCH($B393,Scenarios!$B$121:$B$200,0))</f>
        <v>0</v>
      </c>
      <c r="AA393" s="475">
        <f>INDEX(Input!$1:$1048576,AA$93,$C393*2+MIN($B393,2)+5)
+INDEX(Scenarios!AA$121:AA$200,MATCH($B393,Scenarios!$B$121:$B$200,0))</f>
        <v>0</v>
      </c>
      <c r="AB393" s="476">
        <f>INDEX(Input!$1:$1048576,AB$93,$C393*2+MIN($B393,2)+5)</f>
        <v>0.27</v>
      </c>
      <c r="AC393" s="475">
        <f>INDEX(Input!$1:$1048576,AC$93,$C393*2+MIN($B393,2)+5)
+INDEX(Scenarios!AC$121:AC$200,MATCH($B393,Scenarios!$B$121:$B$200,0))</f>
        <v>0</v>
      </c>
      <c r="AD393" s="476">
        <f>INDEX(Input!$1:$1048576,AD$93,$C393*2+MIN($B393,2)+5)</f>
        <v>0.27</v>
      </c>
      <c r="AE393" s="475">
        <f>INDEX(Input!$1:$1048576,AE$93,$C393*2+MIN($B393,2)+5)
+INDEX(Scenarios!AE$121:AE$200,MATCH($B393,Scenarios!$B$121:$B$200,0))</f>
        <v>0</v>
      </c>
      <c r="AF393" s="476">
        <f>INDEX(Input!$1:$1048576,AF$93,$C393*2+MIN($B393,2)+5)</f>
        <v>0.68200000000000005</v>
      </c>
      <c r="AG393" s="475">
        <f>INDEX(Input!$1:$1048576,AG$93,$C393*2+MIN($B393,2)+5)
+INDEX(Scenarios!AG$121:AG$200,MATCH($B393,Scenarios!$B$121:$B$200,0))</f>
        <v>500</v>
      </c>
      <c r="AH393" s="476">
        <f>INDEX(Input!$1:$1048576,AH$93,$C393*2+MIN($B393,2)+5)</f>
        <v>1</v>
      </c>
      <c r="AI393" s="475">
        <f>INDEX(Input!$1:$1048576,AI$93,$C393*2+MIN($B393,2)+5)
+INDEX(Scenarios!AI$121:AI$200,MATCH($B393,Scenarios!$B$121:$B$200,0))</f>
        <v>0</v>
      </c>
      <c r="AJ393" s="476">
        <f>INDEX(Input!$1:$1048576,AJ$93,$C393*2+MIN($B393,2)+5)</f>
        <v>0.27</v>
      </c>
      <c r="AK393" s="150">
        <f>ROUND(INDEX(Input!$1:$1048576,AK$93,$C392*2+MIN($B393,1)+5)+(Y393-VLOOKUP($C393*1000+1,$A:$HH,Y$92,FALSE)),0)</f>
        <v>2977</v>
      </c>
      <c r="AL393" s="150">
        <f>ROUND(INDEX(Input!$1:$1048576,AL$93,$C392*2+MIN($B393,1)+5)-(Y393-VLOOKUP($C393*1000+1,$A:$HH,Y$92,FALSE))/36,0)</f>
        <v>3395</v>
      </c>
      <c r="AM393" s="32" t="str">
        <f t="shared" si="1047"/>
        <v>std/std/std/std</v>
      </c>
      <c r="AN393" s="32" t="str">
        <f t="shared" si="1048"/>
        <v>$0 + 0/0/0/1.9/3.9</v>
      </c>
      <c r="AO393" s="32" t="str">
        <f t="shared" si="1049"/>
        <v>0/0/0/1.9/3.9</v>
      </c>
      <c r="AP393" s="32" t="str">
        <f t="shared" si="993"/>
        <v>0/0.9/1.9/3.9</v>
      </c>
      <c r="AQ393" s="536">
        <f t="shared" si="992"/>
        <v>0</v>
      </c>
      <c r="AR393" s="32"/>
      <c r="AS393" s="302"/>
      <c r="AT393" s="3">
        <f t="shared" si="1066"/>
        <v>93</v>
      </c>
      <c r="AU393" s="41" t="s">
        <v>121</v>
      </c>
      <c r="AV393" s="41" t="s">
        <v>116</v>
      </c>
      <c r="AW393" s="41" t="str">
        <f>INDEX(Input!$1:$1048576,AW$93,$C393*2+6)</f>
        <v>Kia</v>
      </c>
      <c r="AX393" s="41" t="str">
        <f>INDEX(Input!$1:$1048576,AX$93,$C393*2+6)</f>
        <v>Kia-LR - L3</v>
      </c>
      <c r="AY393" s="41" t="str">
        <f>IF(LEN(D393)=0,"",INDEX(Input!$1:$1048576,AY$93,$C393*2+6))</f>
        <v/>
      </c>
      <c r="AZ393" s="41" t="str">
        <f>INDEX(Input!$1:$1048576,AZ$93,$C393*2+6)</f>
        <v>Kia Soul</v>
      </c>
      <c r="BA393" s="3">
        <f>INDEX(Input!$1:$1048576,BA$93,$C393*2+6)</f>
        <v>2020</v>
      </c>
      <c r="BB393" s="128">
        <f>INDEX(Input!$1:$1048576,BB$93,$C393*2+6)</f>
        <v>1</v>
      </c>
      <c r="BC393" s="128">
        <f>INDEX(Input!$1:$1048576,BC$93,$C393*2+6)</f>
        <v>0.7</v>
      </c>
      <c r="BD393" s="1">
        <f>INDEX(Input!$1:$1048576,BD$93,$C393*2+6)</f>
        <v>4.4999999999999998E-2</v>
      </c>
      <c r="BE393" s="1">
        <f>INDEX(Input!$1:$1048576,BE$93,$C393*2+6)</f>
        <v>4.4999999999999998E-2</v>
      </c>
      <c r="BF393" s="1">
        <f>INDEX(Input!$1:$1048576,BF$93,$C393*2+6)</f>
        <v>0.05</v>
      </c>
      <c r="BG393" s="1">
        <f>INDEX(Input!$1:$1048576,BG$93,$C393*2+6)</f>
        <v>5.45E-2</v>
      </c>
      <c r="BH393" s="1">
        <f>INDEX(Input!$1:$1048576,BH$93,$C393*2+6)</f>
        <v>5.45E-2</v>
      </c>
      <c r="BI393" s="1">
        <f>INDEX(Input!$1:$1048576,BI$93,$C393*2+6)</f>
        <v>0.05</v>
      </c>
      <c r="BJ393" s="1">
        <f>INDEX(Input!$1:$1048576,BJ$93,$C393*2+6)</f>
        <v>0.05</v>
      </c>
      <c r="BK393" s="1">
        <f>INDEX(Input!$1:$1048576,BK$93,$C393*2+6)</f>
        <v>0.05</v>
      </c>
      <c r="BL393" s="1">
        <f>INDEX(Input!$1:$1048576,BL$93,$C393*2+6)</f>
        <v>5.5E-2</v>
      </c>
      <c r="BM393" s="1">
        <f>INDEX(Input!$1:$1048576,BM$93,$C393*2+6)</f>
        <v>0.06</v>
      </c>
      <c r="BN393" s="1">
        <f>INDEX(Input!$1:$1048576,BN$93,$C393*2+6)</f>
        <v>4.4999999999999998E-2</v>
      </c>
      <c r="BO393" s="1">
        <f>INDEX(Input!$1:$1048576,BO$93,$C393*2+6)</f>
        <v>4.4999999999999998E-2</v>
      </c>
      <c r="BP393" s="1">
        <f>INDEX(Input!$1:$1048576,BP$93,$C393*2+6)</f>
        <v>0.05</v>
      </c>
      <c r="BQ393" s="1">
        <f>INDEX(Input!$1:$1048576,BQ$93,$C393*2+6)</f>
        <v>5.45E-2</v>
      </c>
      <c r="BR393" s="1">
        <f>INDEX(Input!$1:$1048576,BR$93,$C393*2+6)</f>
        <v>5.45E-2</v>
      </c>
      <c r="BS393" s="1">
        <f>INDEX(Input!$1:$1048576,BS$93,$C393*2+6)</f>
        <v>0.05</v>
      </c>
      <c r="BT393" s="1">
        <f>INDEX(Input!$1:$1048576,BT$93,$C393*2+6)</f>
        <v>0.05</v>
      </c>
      <c r="BU393" s="1">
        <f>INDEX(Input!$1:$1048576,BU$93,$C393*2+6)</f>
        <v>0.05</v>
      </c>
      <c r="BV393" s="1">
        <f>INDEX(Input!$1:$1048576,BV$93,$C393*2+6)</f>
        <v>5.5E-2</v>
      </c>
      <c r="BW393" s="1">
        <f>INDEX(Input!$1:$1048576,BW$93,$C393*2+6)</f>
        <v>0.06</v>
      </c>
      <c r="BX393" s="127">
        <f>INDEX(Input!$1:$1048576,BX$93,$C393*2+6)</f>
        <v>19985</v>
      </c>
      <c r="BY393" s="20">
        <f>INDEX(Input!$1:$1048576,BY$93,$C393*2+6)</f>
        <v>0.1</v>
      </c>
      <c r="BZ393" s="20">
        <f>INDEX(Input!$1:$1048576,BZ$93,$C393*2+6)</f>
        <v>0.1</v>
      </c>
      <c r="CA393" s="20">
        <f>INDEX(Input!$1:$1048576,CA$93,$C393*2+6)</f>
        <v>0.1</v>
      </c>
      <c r="CB393" s="20">
        <f>INDEX(Input!$1:$1048576,CB$93,$C393*2+6)</f>
        <v>0.1</v>
      </c>
      <c r="CC393" s="20">
        <f>INDEX(Input!$1:$1048576,CC$93,$C393*2+6)</f>
        <v>0.1</v>
      </c>
      <c r="CD393" s="384">
        <f>INDEX(Input!$1:$1048576,CD$93,$C393*2+6)</f>
        <v>0.1</v>
      </c>
      <c r="CE393" s="384">
        <f>INDEX(Input!$1:$1048576,CE$93,$C393*2+6)</f>
        <v>0.1</v>
      </c>
      <c r="CF393" s="384">
        <f>INDEX(Input!$1:$1048576,CF$93,$C393*2+6)</f>
        <v>0.1</v>
      </c>
      <c r="CG393" s="384">
        <f>INDEX(Input!$1:$1048576,CG$93,$C393*2+6)</f>
        <v>0.1</v>
      </c>
      <c r="CH393" s="384">
        <f>INDEX(Input!$1:$1048576,CH$93,$C393*2+6)</f>
        <v>0.1</v>
      </c>
      <c r="CI393" s="304">
        <f t="shared" si="994"/>
        <v>1287.0236024844721</v>
      </c>
      <c r="CJ393" s="16" t="str">
        <f>INDEX(Input!$1:$1048576,CJ$93,$C393*2+6)</f>
        <v>N</v>
      </c>
      <c r="CK393" s="1" t="str">
        <f t="shared" si="995"/>
        <v>Market</v>
      </c>
      <c r="CL393" s="1" t="str">
        <f t="shared" si="996"/>
        <v>Market</v>
      </c>
      <c r="CM393" s="1" t="str">
        <f t="shared" si="997"/>
        <v>Market</v>
      </c>
      <c r="CN393" s="1" t="str">
        <f t="shared" si="998"/>
        <v>Market</v>
      </c>
      <c r="CO393" s="1" t="str">
        <f t="shared" si="999"/>
        <v>Market</v>
      </c>
      <c r="CP393" s="304">
        <f t="shared" si="1000"/>
        <v>500</v>
      </c>
      <c r="CQ393" s="1">
        <f t="shared" si="1001"/>
        <v>0</v>
      </c>
      <c r="CR393" s="1">
        <f t="shared" si="1002"/>
        <v>0</v>
      </c>
      <c r="CS393" s="1">
        <f t="shared" si="1003"/>
        <v>0</v>
      </c>
      <c r="CT393" s="1">
        <f t="shared" si="1004"/>
        <v>1.9E-2</v>
      </c>
      <c r="CU393" s="1">
        <f t="shared" si="1005"/>
        <v>3.9E-2</v>
      </c>
      <c r="CV393" s="304">
        <f t="shared" si="1006"/>
        <v>1554.9999999999991</v>
      </c>
      <c r="CW393" s="20" t="s">
        <v>122</v>
      </c>
      <c r="CX393" s="20" t="s">
        <v>122</v>
      </c>
      <c r="CY393" s="20" t="s">
        <v>122</v>
      </c>
      <c r="CZ393" s="20" t="s">
        <v>122</v>
      </c>
      <c r="DA393" s="20" t="s">
        <v>122</v>
      </c>
      <c r="DB393" s="503">
        <f t="shared" si="1007"/>
        <v>0</v>
      </c>
      <c r="DC393" s="127">
        <v>0</v>
      </c>
      <c r="DD393" s="127">
        <v>0</v>
      </c>
      <c r="DE393" s="127">
        <v>0</v>
      </c>
      <c r="DF393" s="127">
        <v>0</v>
      </c>
      <c r="DG393" s="127">
        <v>0</v>
      </c>
      <c r="DH393" s="127">
        <v>0</v>
      </c>
      <c r="DI393" s="127">
        <v>0</v>
      </c>
      <c r="DJ393" s="127">
        <v>0</v>
      </c>
      <c r="DK393" s="127">
        <v>0</v>
      </c>
      <c r="DL393" s="127">
        <v>0</v>
      </c>
      <c r="DM393" s="304">
        <f>INDEX(Input!$1:$1048576,DM$93,$C393*2+6)</f>
        <v>21036.84210526316</v>
      </c>
      <c r="DN393" s="20">
        <v>0</v>
      </c>
      <c r="DO393" s="20">
        <v>0</v>
      </c>
      <c r="DP393" s="20">
        <v>0</v>
      </c>
      <c r="DQ393" s="20">
        <v>0</v>
      </c>
      <c r="DR393" s="20">
        <v>0</v>
      </c>
      <c r="DS393" s="20">
        <f>INDEX(Input!$1:$1048576,DS$93,$C393*2+6)</f>
        <v>0.6</v>
      </c>
      <c r="DT393" s="20">
        <f>INDEX(Input!$1:$1048576,DT$93,$C393*2+6)</f>
        <v>0.55000000000000004</v>
      </c>
      <c r="DU393" s="20">
        <f>INDEX(Input!$1:$1048576,DU$93,$C393*2+6)</f>
        <v>0.52</v>
      </c>
      <c r="DV393" s="20">
        <f>INDEX(Input!$1:$1048576,DV$93,$C393*2+6)</f>
        <v>0.5</v>
      </c>
      <c r="DW393" s="20">
        <f>INDEX(Input!$1:$1048576,DW$93,$C393*2+6)</f>
        <v>0.45</v>
      </c>
      <c r="DX393" s="20"/>
      <c r="DY393" s="7"/>
      <c r="DZ393" s="7"/>
      <c r="EA393" s="7"/>
      <c r="EB393" s="7"/>
      <c r="EC393" s="7"/>
      <c r="ED393" s="7"/>
      <c r="EE393" s="7"/>
      <c r="EF393" s="7"/>
      <c r="EG393" s="7"/>
      <c r="EH393" s="7"/>
      <c r="EI393" s="7"/>
      <c r="EJ393" s="7"/>
      <c r="EK393" s="7"/>
      <c r="EL393" s="7"/>
      <c r="EM393" s="7"/>
      <c r="EN393" s="7"/>
      <c r="EO393" s="7"/>
      <c r="EP393" s="7"/>
      <c r="EQ393" s="7"/>
      <c r="ER393" s="7"/>
      <c r="ES393" s="7"/>
      <c r="ET393" s="7"/>
      <c r="EU393" s="6"/>
      <c r="EV393" s="6"/>
      <c r="EW393" s="6"/>
      <c r="EX393" s="6"/>
      <c r="EY393" s="6"/>
      <c r="EZ393" s="6"/>
      <c r="FA393" s="6"/>
      <c r="FB393" s="6"/>
      <c r="FC393" s="6"/>
      <c r="FD393" s="6"/>
      <c r="FE393" s="6"/>
      <c r="FF393" s="6"/>
      <c r="FG393" s="6"/>
      <c r="FH393" s="6"/>
      <c r="FI393" s="6"/>
      <c r="FJ393" s="6"/>
      <c r="FK393" s="6"/>
      <c r="FL393" s="6"/>
      <c r="FM393" s="6"/>
      <c r="FN393" s="6"/>
      <c r="FO393" s="6"/>
      <c r="FP393" s="6"/>
      <c r="FQ393" s="6"/>
      <c r="FR393" s="6"/>
      <c r="FS393" s="6"/>
      <c r="FT393" s="7"/>
      <c r="FU393" s="7"/>
      <c r="FV393" s="7"/>
      <c r="FW393" s="6"/>
      <c r="FX393" s="6"/>
      <c r="FY393" s="6"/>
      <c r="FZ393" s="6"/>
      <c r="GA393" s="6"/>
      <c r="GB393" s="6"/>
      <c r="GC393" s="7"/>
      <c r="GD393" s="7"/>
      <c r="GE393" s="7"/>
      <c r="GF393" s="7"/>
      <c r="GG393" s="7"/>
      <c r="GH393" s="42"/>
      <c r="GI393" s="6"/>
      <c r="GJ393" s="14"/>
      <c r="GK393" s="14"/>
      <c r="GL393" s="14"/>
      <c r="GM393" s="14"/>
      <c r="GO393" s="5"/>
      <c r="GP393" s="5"/>
      <c r="GQ393" s="5"/>
      <c r="GR393" s="5"/>
      <c r="GS393" s="5"/>
      <c r="GT393" s="5"/>
      <c r="GU393" s="5"/>
      <c r="GV393" s="39"/>
      <c r="GW393" s="5"/>
      <c r="GX393" s="5"/>
      <c r="GY393" s="5"/>
      <c r="GZ393" s="5"/>
      <c r="HA393" s="5"/>
      <c r="HB393" s="39"/>
      <c r="HC393" s="5"/>
      <c r="HD393" s="5"/>
      <c r="HE393" s="5"/>
      <c r="HF393" s="5"/>
      <c r="HG393" s="5"/>
      <c r="HH393" s="39"/>
      <c r="HI393" s="16"/>
      <c r="HJ393" s="19"/>
      <c r="HK393" s="1"/>
      <c r="HL393" s="16"/>
      <c r="HM393" s="1"/>
      <c r="HN393" s="1"/>
      <c r="HO393" s="1"/>
      <c r="HP393" s="1"/>
      <c r="HQ393" s="1"/>
      <c r="HR393" s="1"/>
      <c r="HS393" s="1"/>
      <c r="HT393" s="1"/>
      <c r="HU393" s="1"/>
      <c r="HV393" s="1"/>
      <c r="HW393" s="1"/>
      <c r="HX393" s="1"/>
      <c r="HY393" s="1"/>
      <c r="HZ393" s="1"/>
      <c r="IA393" s="1"/>
      <c r="IB393" s="1"/>
      <c r="IC393" s="1"/>
      <c r="ID393" s="1"/>
      <c r="IE393" s="1"/>
      <c r="IF393" s="1"/>
      <c r="IG393" s="1"/>
      <c r="IH393" s="21"/>
      <c r="II393" s="19"/>
      <c r="IJ393" s="19"/>
      <c r="IK393" s="19"/>
      <c r="IL393" s="19"/>
      <c r="IM393" s="19"/>
      <c r="IN393" s="19"/>
      <c r="IO393" s="39"/>
      <c r="IP393" s="39"/>
      <c r="IQ393" s="39"/>
      <c r="IR393" s="39"/>
      <c r="IS393" s="39"/>
      <c r="IT393" s="39"/>
      <c r="IU393" s="39"/>
      <c r="IV393" s="39"/>
      <c r="IW393" s="39"/>
      <c r="IX393" s="39"/>
      <c r="IY393" s="39"/>
      <c r="IZ393" s="39"/>
      <c r="JA393" s="19"/>
      <c r="JB393" s="19"/>
      <c r="JC393" s="19"/>
      <c r="JD393" s="19"/>
      <c r="JE393" s="21"/>
      <c r="JF393" s="1"/>
      <c r="JG393" s="15"/>
      <c r="JH393" s="1"/>
      <c r="JI393" s="1"/>
      <c r="JJ393" s="1"/>
      <c r="JK393" s="1"/>
      <c r="JL393" s="15"/>
      <c r="JM393" s="15"/>
      <c r="JN393" s="21"/>
      <c r="JO393" s="19"/>
      <c r="JP393" s="19"/>
      <c r="JQ393" s="39"/>
      <c r="JR393" s="39"/>
      <c r="JS393" s="39"/>
      <c r="JT393" s="39"/>
      <c r="JU393" s="385"/>
      <c r="JV393" s="39"/>
      <c r="JW393" s="1"/>
      <c r="JX393" s="19"/>
      <c r="JZ393" s="341"/>
      <c r="KA393" s="342"/>
      <c r="KB393" s="469"/>
      <c r="KI393" s="473"/>
      <c r="KJ393" s="473"/>
      <c r="KK393" s="473"/>
    </row>
    <row r="394" spans="1:297" s="26" customFormat="1" ht="15" outlineLevel="1">
      <c r="A394" s="561">
        <f t="shared" si="1046"/>
        <v>3094</v>
      </c>
      <c r="B394" s="561">
        <f t="shared" si="1064"/>
        <v>94</v>
      </c>
      <c r="C394" s="561">
        <f t="shared" si="1065"/>
        <v>3</v>
      </c>
      <c r="D394" s="561" t="str">
        <f t="shared" si="1109"/>
        <v/>
      </c>
      <c r="E394" s="475">
        <f>INDEX(Input!$1:$1048576,E$93,$C394*2+MIN($B394,2)+5)
+INDEX(Scenarios!E$121:E$200,MATCH($B394,Scenarios!$B$121:$B$200,0))</f>
        <v>1287.0236024844721</v>
      </c>
      <c r="F394" s="475">
        <f>INDEX(Input!$1:$1048576,F$93,$C394*2+MIN($B394,2)+5)
+INDEX(Scenarios!F$121:F$200,MATCH($B394,Scenarios!$B$121:$B$200,0))</f>
        <v>0</v>
      </c>
      <c r="G394" s="475">
        <f>INDEX(Input!$1:$1048576,G$93,$C394*2+MIN($B394,2)+5)
+INDEX(Scenarios!G$121:G$200,MATCH($B394,Scenarios!$B$121:$B$200,0))</f>
        <v>0</v>
      </c>
      <c r="H394" s="475">
        <f>INDEX(Input!$1:$1048576,H$93,$C394*2+MIN($B394,2)+5)
+INDEX(Scenarios!H$121:H$200,MATCH($B394,Scenarios!$B$121:$B$200,0))</f>
        <v>0</v>
      </c>
      <c r="I394" s="476">
        <f>INDEX(Input!$1:$1048576,I$93,$C394*2+MIN($B394,2)+5)</f>
        <v>0.7</v>
      </c>
      <c r="J394" s="476" t="str">
        <f>INDEX(Input!$1:$1048576,J$93,$C394*2+MIN($B394,2)+5)</f>
        <v>Market</v>
      </c>
      <c r="K394" s="476" t="str">
        <f>INDEX(Input!$1:$1048576,K$93,$C394*2+MIN($B394,2)+5)</f>
        <v>Market</v>
      </c>
      <c r="L394" s="476" t="str">
        <f>INDEX(Input!$1:$1048576,L$93,$C394*2+MIN($B394,2)+5)</f>
        <v>Market</v>
      </c>
      <c r="M394" s="476" t="str">
        <f>INDEX(Input!$1:$1048576,M$93,$C394*2+MIN($B394,2)+5)</f>
        <v>Market</v>
      </c>
      <c r="N394" s="476" t="str">
        <f>INDEX(Input!$1:$1048576,N$93,$C394*2+MIN($B394,2)+5)</f>
        <v>Market</v>
      </c>
      <c r="O394" s="476" t="str">
        <f>INDEX(Input!$1:$1048576,O$93,$C394*2+MIN($B394,2)+5)</f>
        <v>Market</v>
      </c>
      <c r="P394" s="476" t="str">
        <f>INDEX(Input!$1:$1048576,P$93,$C394*2+MIN($B394,2)+5)</f>
        <v>N</v>
      </c>
      <c r="Q394" s="477">
        <f>INDEX(Input!$1:$1048576,Q$93,$C394*2+MIN($B394,2)+5)
+INDEX(Scenarios!Q$121:Q$200,MATCH($B394,Scenarios!$B$121:$B$200,0))</f>
        <v>0</v>
      </c>
      <c r="R394" s="478">
        <f>IFERROR(MAX(0,INDEX(Input!$1:$1048576,R$93,$C394*2+MIN($B394,2)+5)
+INDEX(Scenarios!R$121:R$200,MATCH($B394,Scenarios!$B$121:$B$200,0)),),"Market")</f>
        <v>0</v>
      </c>
      <c r="S394" s="478">
        <f>IFERROR(MAX(0,INDEX(Input!$1:$1048576,S$93,$C394*2+MIN($B394,2)+5)
+INDEX(Scenarios!S$121:S$200,MATCH($B394,Scenarios!$B$121:$B$200,0)),),"Market")</f>
        <v>0</v>
      </c>
      <c r="T394" s="478">
        <f>IFERROR(MAX(0,INDEX(Input!$1:$1048576,T$93,$C394*2+MIN($B394,2)+5)
+INDEX(Scenarios!T$121:T$200,MATCH($B394,Scenarios!$B$121:$B$200,0)),),"Market")</f>
        <v>0</v>
      </c>
      <c r="U394" s="478">
        <f>IFERROR(MAX(0,INDEX(Input!$1:$1048576,U$93,$C394*2+MIN($B394,2)+5)
+INDEX(Scenarios!U$121:U$200,MATCH($B394,Scenarios!$B$121:$B$200,0)),),"Market")</f>
        <v>0</v>
      </c>
      <c r="V394" s="478">
        <f>IFERROR(MAX(0,INDEX(Input!$1:$1048576,V$93,$C394*2+MIN($B394,2)+5)
+INDEX(Scenarios!V$121:V$200,MATCH($B394,Scenarios!$B$121:$B$200,0)),),"Market")</f>
        <v>1.9E-2</v>
      </c>
      <c r="W394" s="885">
        <f>IFERROR(MAX(0,INDEX(Input!$1:$1048576,W$93,$C394*2+MIN($B394,2)+5)-0%,),"Market")</f>
        <v>3.9E-2</v>
      </c>
      <c r="X394" s="476" t="str">
        <f>INDEX(Input!$1:$1048576,X$93,$C394*2+MIN($B394,2)+5)</f>
        <v>Y</v>
      </c>
      <c r="Y394" s="475">
        <f>INDEX(Input!$1:$1048576,Y$93,$C394*2+MIN($B394,2)+5)
++INDEX(Scenarios!Y$121:Y$200,MATCH($B394,Scenarios!$B$121:$B$200,0))</f>
        <v>1554.9999999999991</v>
      </c>
      <c r="Z394" s="477">
        <f>INDEX(Input!$1:$1048576,Z$93,$C394*2+MIN($B394,2)+5)
+INDEX(Scenarios!Z$121:Z$200,MATCH($B394,Scenarios!$B$121:$B$200,0))</f>
        <v>0</v>
      </c>
      <c r="AA394" s="475">
        <f>INDEX(Input!$1:$1048576,AA$93,$C394*2+MIN($B394,2)+5)
+INDEX(Scenarios!AA$121:AA$200,MATCH($B394,Scenarios!$B$121:$B$200,0))</f>
        <v>0</v>
      </c>
      <c r="AB394" s="476">
        <f>INDEX(Input!$1:$1048576,AB$93,$C394*2+MIN($B394,2)+5)</f>
        <v>0.27</v>
      </c>
      <c r="AC394" s="475">
        <f>INDEX(Input!$1:$1048576,AC$93,$C394*2+MIN($B394,2)+5)
+INDEX(Scenarios!AC$121:AC$200,MATCH($B394,Scenarios!$B$121:$B$200,0))</f>
        <v>0</v>
      </c>
      <c r="AD394" s="476">
        <f>INDEX(Input!$1:$1048576,AD$93,$C394*2+MIN($B394,2)+5)</f>
        <v>0.27</v>
      </c>
      <c r="AE394" s="475">
        <f>INDEX(Input!$1:$1048576,AE$93,$C394*2+MIN($B394,2)+5)
+INDEX(Scenarios!AE$121:AE$200,MATCH($B394,Scenarios!$B$121:$B$200,0))</f>
        <v>0</v>
      </c>
      <c r="AF394" s="476">
        <f>INDEX(Input!$1:$1048576,AF$93,$C394*2+MIN($B394,2)+5)</f>
        <v>0.68200000000000005</v>
      </c>
      <c r="AG394" s="475">
        <f>INDEX(Input!$1:$1048576,AG$93,$C394*2+MIN($B394,2)+5)
+INDEX(Scenarios!AG$121:AG$200,MATCH($B394,Scenarios!$B$121:$B$200,0))</f>
        <v>500</v>
      </c>
      <c r="AH394" s="476">
        <f>INDEX(Input!$1:$1048576,AH$93,$C394*2+MIN($B394,2)+5)</f>
        <v>1</v>
      </c>
      <c r="AI394" s="475">
        <f>INDEX(Input!$1:$1048576,AI$93,$C394*2+MIN($B394,2)+5)
+INDEX(Scenarios!AI$121:AI$200,MATCH($B394,Scenarios!$B$121:$B$200,0))</f>
        <v>0</v>
      </c>
      <c r="AJ394" s="476">
        <f>INDEX(Input!$1:$1048576,AJ$93,$C394*2+MIN($B394,2)+5)</f>
        <v>0.27</v>
      </c>
      <c r="AK394" s="150">
        <f>ROUND(INDEX(Input!$1:$1048576,AK$93,$C393*2+MIN($B394,1)+5)+(Y394-VLOOKUP($C394*1000+1,$A:$HH,Y$92,FALSE)),0)</f>
        <v>2977</v>
      </c>
      <c r="AL394" s="150">
        <f>ROUND(INDEX(Input!$1:$1048576,AL$93,$C393*2+MIN($B394,1)+5)-(Y394-VLOOKUP($C394*1000+1,$A:$HH,Y$92,FALSE))/36,0)</f>
        <v>3395</v>
      </c>
      <c r="AM394" s="32" t="str">
        <f t="shared" si="1047"/>
        <v>std/std/std/std</v>
      </c>
      <c r="AN394" s="32" t="str">
        <f t="shared" si="1048"/>
        <v>$0 + 0/0/0/1.9/3.9</v>
      </c>
      <c r="AO394" s="32" t="str">
        <f t="shared" si="1049"/>
        <v>0/0/0/1.9/3.9</v>
      </c>
      <c r="AP394" s="32" t="str">
        <f t="shared" si="993"/>
        <v>0/0.9/1.9/3.9</v>
      </c>
      <c r="AQ394" s="536">
        <f t="shared" si="992"/>
        <v>0</v>
      </c>
      <c r="AR394" s="32"/>
      <c r="AS394" s="302"/>
      <c r="AT394" s="3">
        <f t="shared" si="1066"/>
        <v>94</v>
      </c>
      <c r="AU394" s="41" t="s">
        <v>121</v>
      </c>
      <c r="AV394" s="41" t="s">
        <v>116</v>
      </c>
      <c r="AW394" s="41" t="str">
        <f>INDEX(Input!$1:$1048576,AW$93,$C394*2+6)</f>
        <v>Kia</v>
      </c>
      <c r="AX394" s="41" t="str">
        <f>INDEX(Input!$1:$1048576,AX$93,$C394*2+6)</f>
        <v>Kia-LR - L3</v>
      </c>
      <c r="AY394" s="41" t="str">
        <f>IF(LEN(D394)=0,"",INDEX(Input!$1:$1048576,AY$93,$C394*2+6))</f>
        <v/>
      </c>
      <c r="AZ394" s="41" t="str">
        <f>INDEX(Input!$1:$1048576,AZ$93,$C394*2+6)</f>
        <v>Kia Soul</v>
      </c>
      <c r="BA394" s="3">
        <f>INDEX(Input!$1:$1048576,BA$93,$C394*2+6)</f>
        <v>2020</v>
      </c>
      <c r="BB394" s="128">
        <f>INDEX(Input!$1:$1048576,BB$93,$C394*2+6)</f>
        <v>1</v>
      </c>
      <c r="BC394" s="128">
        <f>INDEX(Input!$1:$1048576,BC$93,$C394*2+6)</f>
        <v>0.7</v>
      </c>
      <c r="BD394" s="1">
        <f>INDEX(Input!$1:$1048576,BD$93,$C394*2+6)</f>
        <v>4.4999999999999998E-2</v>
      </c>
      <c r="BE394" s="1">
        <f>INDEX(Input!$1:$1048576,BE$93,$C394*2+6)</f>
        <v>4.4999999999999998E-2</v>
      </c>
      <c r="BF394" s="1">
        <f>INDEX(Input!$1:$1048576,BF$93,$C394*2+6)</f>
        <v>0.05</v>
      </c>
      <c r="BG394" s="1">
        <f>INDEX(Input!$1:$1048576,BG$93,$C394*2+6)</f>
        <v>5.45E-2</v>
      </c>
      <c r="BH394" s="1">
        <f>INDEX(Input!$1:$1048576,BH$93,$C394*2+6)</f>
        <v>5.45E-2</v>
      </c>
      <c r="BI394" s="1">
        <f>INDEX(Input!$1:$1048576,BI$93,$C394*2+6)</f>
        <v>0.05</v>
      </c>
      <c r="BJ394" s="1">
        <f>INDEX(Input!$1:$1048576,BJ$93,$C394*2+6)</f>
        <v>0.05</v>
      </c>
      <c r="BK394" s="1">
        <f>INDEX(Input!$1:$1048576,BK$93,$C394*2+6)</f>
        <v>0.05</v>
      </c>
      <c r="BL394" s="1">
        <f>INDEX(Input!$1:$1048576,BL$93,$C394*2+6)</f>
        <v>5.5E-2</v>
      </c>
      <c r="BM394" s="1">
        <f>INDEX(Input!$1:$1048576,BM$93,$C394*2+6)</f>
        <v>0.06</v>
      </c>
      <c r="BN394" s="1">
        <f>INDEX(Input!$1:$1048576,BN$93,$C394*2+6)</f>
        <v>4.4999999999999998E-2</v>
      </c>
      <c r="BO394" s="1">
        <f>INDEX(Input!$1:$1048576,BO$93,$C394*2+6)</f>
        <v>4.4999999999999998E-2</v>
      </c>
      <c r="BP394" s="1">
        <f>INDEX(Input!$1:$1048576,BP$93,$C394*2+6)</f>
        <v>0.05</v>
      </c>
      <c r="BQ394" s="1">
        <f>INDEX(Input!$1:$1048576,BQ$93,$C394*2+6)</f>
        <v>5.45E-2</v>
      </c>
      <c r="BR394" s="1">
        <f>INDEX(Input!$1:$1048576,BR$93,$C394*2+6)</f>
        <v>5.45E-2</v>
      </c>
      <c r="BS394" s="1">
        <f>INDEX(Input!$1:$1048576,BS$93,$C394*2+6)</f>
        <v>0.05</v>
      </c>
      <c r="BT394" s="1">
        <f>INDEX(Input!$1:$1048576,BT$93,$C394*2+6)</f>
        <v>0.05</v>
      </c>
      <c r="BU394" s="1">
        <f>INDEX(Input!$1:$1048576,BU$93,$C394*2+6)</f>
        <v>0.05</v>
      </c>
      <c r="BV394" s="1">
        <f>INDEX(Input!$1:$1048576,BV$93,$C394*2+6)</f>
        <v>5.5E-2</v>
      </c>
      <c r="BW394" s="1">
        <f>INDEX(Input!$1:$1048576,BW$93,$C394*2+6)</f>
        <v>0.06</v>
      </c>
      <c r="BX394" s="127">
        <f>INDEX(Input!$1:$1048576,BX$93,$C394*2+6)</f>
        <v>19985</v>
      </c>
      <c r="BY394" s="20">
        <f>INDEX(Input!$1:$1048576,BY$93,$C394*2+6)</f>
        <v>0.1</v>
      </c>
      <c r="BZ394" s="20">
        <f>INDEX(Input!$1:$1048576,BZ$93,$C394*2+6)</f>
        <v>0.1</v>
      </c>
      <c r="CA394" s="20">
        <f>INDEX(Input!$1:$1048576,CA$93,$C394*2+6)</f>
        <v>0.1</v>
      </c>
      <c r="CB394" s="20">
        <f>INDEX(Input!$1:$1048576,CB$93,$C394*2+6)</f>
        <v>0.1</v>
      </c>
      <c r="CC394" s="20">
        <f>INDEX(Input!$1:$1048576,CC$93,$C394*2+6)</f>
        <v>0.1</v>
      </c>
      <c r="CD394" s="384">
        <f>INDEX(Input!$1:$1048576,CD$93,$C394*2+6)</f>
        <v>0.1</v>
      </c>
      <c r="CE394" s="384">
        <f>INDEX(Input!$1:$1048576,CE$93,$C394*2+6)</f>
        <v>0.1</v>
      </c>
      <c r="CF394" s="384">
        <f>INDEX(Input!$1:$1048576,CF$93,$C394*2+6)</f>
        <v>0.1</v>
      </c>
      <c r="CG394" s="384">
        <f>INDEX(Input!$1:$1048576,CG$93,$C394*2+6)</f>
        <v>0.1</v>
      </c>
      <c r="CH394" s="384">
        <f>INDEX(Input!$1:$1048576,CH$93,$C394*2+6)</f>
        <v>0.1</v>
      </c>
      <c r="CI394" s="304">
        <f t="shared" si="994"/>
        <v>1287.0236024844721</v>
      </c>
      <c r="CJ394" s="16" t="str">
        <f>INDEX(Input!$1:$1048576,CJ$93,$C394*2+6)</f>
        <v>N</v>
      </c>
      <c r="CK394" s="1" t="str">
        <f t="shared" si="995"/>
        <v>Market</v>
      </c>
      <c r="CL394" s="1" t="str">
        <f t="shared" si="996"/>
        <v>Market</v>
      </c>
      <c r="CM394" s="1" t="str">
        <f t="shared" si="997"/>
        <v>Market</v>
      </c>
      <c r="CN394" s="1" t="str">
        <f t="shared" si="998"/>
        <v>Market</v>
      </c>
      <c r="CO394" s="1" t="str">
        <f t="shared" si="999"/>
        <v>Market</v>
      </c>
      <c r="CP394" s="304">
        <f t="shared" si="1000"/>
        <v>500</v>
      </c>
      <c r="CQ394" s="1">
        <f t="shared" si="1001"/>
        <v>0</v>
      </c>
      <c r="CR394" s="1">
        <f t="shared" si="1002"/>
        <v>0</v>
      </c>
      <c r="CS394" s="1">
        <f t="shared" si="1003"/>
        <v>0</v>
      </c>
      <c r="CT394" s="1">
        <f t="shared" si="1004"/>
        <v>1.9E-2</v>
      </c>
      <c r="CU394" s="1">
        <f t="shared" si="1005"/>
        <v>3.9E-2</v>
      </c>
      <c r="CV394" s="304">
        <f t="shared" si="1006"/>
        <v>1554.9999999999991</v>
      </c>
      <c r="CW394" s="20" t="s">
        <v>122</v>
      </c>
      <c r="CX394" s="20" t="s">
        <v>122</v>
      </c>
      <c r="CY394" s="20" t="s">
        <v>122</v>
      </c>
      <c r="CZ394" s="20" t="s">
        <v>122</v>
      </c>
      <c r="DA394" s="20" t="s">
        <v>122</v>
      </c>
      <c r="DB394" s="503">
        <f t="shared" si="1007"/>
        <v>0</v>
      </c>
      <c r="DC394" s="127">
        <v>0</v>
      </c>
      <c r="DD394" s="127">
        <v>0</v>
      </c>
      <c r="DE394" s="127">
        <v>0</v>
      </c>
      <c r="DF394" s="127">
        <v>0</v>
      </c>
      <c r="DG394" s="127">
        <v>0</v>
      </c>
      <c r="DH394" s="127">
        <v>0</v>
      </c>
      <c r="DI394" s="127">
        <v>0</v>
      </c>
      <c r="DJ394" s="127">
        <v>0</v>
      </c>
      <c r="DK394" s="127">
        <v>0</v>
      </c>
      <c r="DL394" s="127">
        <v>0</v>
      </c>
      <c r="DM394" s="304">
        <f>INDEX(Input!$1:$1048576,DM$93,$C394*2+6)</f>
        <v>21036.84210526316</v>
      </c>
      <c r="DN394" s="20">
        <v>0</v>
      </c>
      <c r="DO394" s="20">
        <v>0</v>
      </c>
      <c r="DP394" s="20">
        <v>0</v>
      </c>
      <c r="DQ394" s="20">
        <v>0</v>
      </c>
      <c r="DR394" s="20">
        <v>0</v>
      </c>
      <c r="DS394" s="20">
        <f>INDEX(Input!$1:$1048576,DS$93,$C394*2+6)</f>
        <v>0.6</v>
      </c>
      <c r="DT394" s="20">
        <f>INDEX(Input!$1:$1048576,DT$93,$C394*2+6)</f>
        <v>0.55000000000000004</v>
      </c>
      <c r="DU394" s="20">
        <f>INDEX(Input!$1:$1048576,DU$93,$C394*2+6)</f>
        <v>0.52</v>
      </c>
      <c r="DV394" s="20">
        <f>INDEX(Input!$1:$1048576,DV$93,$C394*2+6)</f>
        <v>0.5</v>
      </c>
      <c r="DW394" s="20">
        <f>INDEX(Input!$1:$1048576,DW$93,$C394*2+6)</f>
        <v>0.45</v>
      </c>
      <c r="DX394" s="20"/>
      <c r="DY394" s="7"/>
      <c r="DZ394" s="7"/>
      <c r="EA394" s="7"/>
      <c r="EB394" s="7"/>
      <c r="EC394" s="7"/>
      <c r="ED394" s="7"/>
      <c r="EE394" s="7"/>
      <c r="EF394" s="7"/>
      <c r="EG394" s="7"/>
      <c r="EH394" s="7"/>
      <c r="EI394" s="7"/>
      <c r="EJ394" s="7"/>
      <c r="EK394" s="7"/>
      <c r="EL394" s="7"/>
      <c r="EM394" s="7"/>
      <c r="EN394" s="7"/>
      <c r="EO394" s="7"/>
      <c r="EP394" s="7"/>
      <c r="EQ394" s="7"/>
      <c r="ER394" s="7"/>
      <c r="ES394" s="7"/>
      <c r="ET394" s="7"/>
      <c r="EU394" s="6"/>
      <c r="EV394" s="6"/>
      <c r="EW394" s="6"/>
      <c r="EX394" s="6"/>
      <c r="EY394" s="6"/>
      <c r="EZ394" s="6"/>
      <c r="FA394" s="6"/>
      <c r="FB394" s="6"/>
      <c r="FC394" s="6"/>
      <c r="FD394" s="6"/>
      <c r="FE394" s="6"/>
      <c r="FF394" s="6"/>
      <c r="FG394" s="6"/>
      <c r="FH394" s="6"/>
      <c r="FI394" s="6"/>
      <c r="FJ394" s="6"/>
      <c r="FK394" s="6"/>
      <c r="FL394" s="6"/>
      <c r="FM394" s="6"/>
      <c r="FN394" s="6"/>
      <c r="FO394" s="6"/>
      <c r="FP394" s="6"/>
      <c r="FQ394" s="6"/>
      <c r="FR394" s="6"/>
      <c r="FS394" s="6"/>
      <c r="FT394" s="7"/>
      <c r="FU394" s="7"/>
      <c r="FV394" s="7"/>
      <c r="FW394" s="6"/>
      <c r="FX394" s="6"/>
      <c r="FY394" s="6"/>
      <c r="FZ394" s="6"/>
      <c r="GA394" s="6"/>
      <c r="GB394" s="6"/>
      <c r="GC394" s="7"/>
      <c r="GD394" s="7"/>
      <c r="GE394" s="7"/>
      <c r="GF394" s="7"/>
      <c r="GG394" s="7"/>
      <c r="GH394" s="42"/>
      <c r="GI394" s="6"/>
      <c r="GJ394" s="14"/>
      <c r="GK394" s="14"/>
      <c r="GL394" s="14"/>
      <c r="GM394" s="14"/>
      <c r="GO394" s="5"/>
      <c r="GP394" s="5"/>
      <c r="GQ394" s="5"/>
      <c r="GR394" s="5"/>
      <c r="GS394" s="5"/>
      <c r="GT394" s="5"/>
      <c r="GU394" s="5"/>
      <c r="GV394" s="39"/>
      <c r="GW394" s="5"/>
      <c r="GX394" s="5"/>
      <c r="GY394" s="5"/>
      <c r="GZ394" s="5"/>
      <c r="HA394" s="5"/>
      <c r="HB394" s="39"/>
      <c r="HC394" s="5"/>
      <c r="HD394" s="5"/>
      <c r="HE394" s="5"/>
      <c r="HF394" s="5"/>
      <c r="HG394" s="5"/>
      <c r="HH394" s="39"/>
      <c r="HI394" s="16"/>
      <c r="HJ394" s="19"/>
      <c r="HK394" s="1"/>
      <c r="HL394" s="16"/>
      <c r="HM394" s="1"/>
      <c r="HN394" s="1"/>
      <c r="HO394" s="1"/>
      <c r="HP394" s="1"/>
      <c r="HQ394" s="1"/>
      <c r="HR394" s="1"/>
      <c r="HS394" s="1"/>
      <c r="HT394" s="1"/>
      <c r="HU394" s="1"/>
      <c r="HV394" s="1"/>
      <c r="HW394" s="1"/>
      <c r="HX394" s="1"/>
      <c r="HY394" s="1"/>
      <c r="HZ394" s="1"/>
      <c r="IA394" s="1"/>
      <c r="IB394" s="1"/>
      <c r="IC394" s="1"/>
      <c r="ID394" s="1"/>
      <c r="IE394" s="1"/>
      <c r="IF394" s="1"/>
      <c r="IG394" s="1"/>
      <c r="IH394" s="21"/>
      <c r="II394" s="19"/>
      <c r="IJ394" s="19"/>
      <c r="IK394" s="19"/>
      <c r="IL394" s="19"/>
      <c r="IM394" s="19"/>
      <c r="IN394" s="19"/>
      <c r="IO394" s="39"/>
      <c r="IP394" s="39"/>
      <c r="IQ394" s="39"/>
      <c r="IR394" s="39"/>
      <c r="IS394" s="39"/>
      <c r="IT394" s="39"/>
      <c r="IU394" s="39"/>
      <c r="IV394" s="39"/>
      <c r="IW394" s="39"/>
      <c r="IX394" s="39"/>
      <c r="IY394" s="39"/>
      <c r="IZ394" s="39"/>
      <c r="JA394" s="19"/>
      <c r="JB394" s="19"/>
      <c r="JC394" s="19"/>
      <c r="JD394" s="19"/>
      <c r="JE394" s="21"/>
      <c r="JF394" s="1"/>
      <c r="JG394" s="15"/>
      <c r="JH394" s="1"/>
      <c r="JI394" s="1"/>
      <c r="JJ394" s="1"/>
      <c r="JK394" s="1"/>
      <c r="JL394" s="15"/>
      <c r="JM394" s="15"/>
      <c r="JN394" s="21"/>
      <c r="JO394" s="19"/>
      <c r="JP394" s="19"/>
      <c r="JQ394" s="39"/>
      <c r="JR394" s="39"/>
      <c r="JS394" s="39"/>
      <c r="JT394" s="39"/>
      <c r="JU394" s="385"/>
      <c r="JV394" s="39"/>
      <c r="JW394" s="1"/>
      <c r="JX394" s="19"/>
      <c r="JZ394" s="341"/>
      <c r="KA394" s="342"/>
      <c r="KB394" s="469"/>
      <c r="KI394" s="473"/>
      <c r="KJ394" s="473"/>
      <c r="KK394" s="473"/>
    </row>
    <row r="395" spans="1:297" s="26" customFormat="1" ht="15" outlineLevel="1">
      <c r="A395" s="561">
        <f t="shared" si="1046"/>
        <v>3095</v>
      </c>
      <c r="B395" s="561">
        <f t="shared" si="1064"/>
        <v>95</v>
      </c>
      <c r="C395" s="561">
        <f t="shared" si="1065"/>
        <v>3</v>
      </c>
      <c r="D395" s="561" t="str">
        <f t="shared" si="1109"/>
        <v/>
      </c>
      <c r="E395" s="475">
        <f>INDEX(Input!$1:$1048576,E$93,$C395*2+MIN($B395,2)+5)
+INDEX(Scenarios!E$121:E$200,MATCH($B395,Scenarios!$B$121:$B$200,0))</f>
        <v>1287.0236024844721</v>
      </c>
      <c r="F395" s="475">
        <f>INDEX(Input!$1:$1048576,F$93,$C395*2+MIN($B395,2)+5)
+INDEX(Scenarios!F$121:F$200,MATCH($B395,Scenarios!$B$121:$B$200,0))</f>
        <v>0</v>
      </c>
      <c r="G395" s="475">
        <f>INDEX(Input!$1:$1048576,G$93,$C395*2+MIN($B395,2)+5)
+INDEX(Scenarios!G$121:G$200,MATCH($B395,Scenarios!$B$121:$B$200,0))</f>
        <v>0</v>
      </c>
      <c r="H395" s="475">
        <f>INDEX(Input!$1:$1048576,H$93,$C395*2+MIN($B395,2)+5)
+INDEX(Scenarios!H$121:H$200,MATCH($B395,Scenarios!$B$121:$B$200,0))</f>
        <v>0</v>
      </c>
      <c r="I395" s="476">
        <f>INDEX(Input!$1:$1048576,I$93,$C395*2+MIN($B395,2)+5)</f>
        <v>0.7</v>
      </c>
      <c r="J395" s="476" t="str">
        <f>INDEX(Input!$1:$1048576,J$93,$C395*2+MIN($B395,2)+5)</f>
        <v>Market</v>
      </c>
      <c r="K395" s="476" t="str">
        <f>INDEX(Input!$1:$1048576,K$93,$C395*2+MIN($B395,2)+5)</f>
        <v>Market</v>
      </c>
      <c r="L395" s="476" t="str">
        <f>INDEX(Input!$1:$1048576,L$93,$C395*2+MIN($B395,2)+5)</f>
        <v>Market</v>
      </c>
      <c r="M395" s="476" t="str">
        <f>INDEX(Input!$1:$1048576,M$93,$C395*2+MIN($B395,2)+5)</f>
        <v>Market</v>
      </c>
      <c r="N395" s="476" t="str">
        <f>INDEX(Input!$1:$1048576,N$93,$C395*2+MIN($B395,2)+5)</f>
        <v>Market</v>
      </c>
      <c r="O395" s="476" t="str">
        <f>INDEX(Input!$1:$1048576,O$93,$C395*2+MIN($B395,2)+5)</f>
        <v>Market</v>
      </c>
      <c r="P395" s="476" t="str">
        <f>INDEX(Input!$1:$1048576,P$93,$C395*2+MIN($B395,2)+5)</f>
        <v>N</v>
      </c>
      <c r="Q395" s="477">
        <f>INDEX(Input!$1:$1048576,Q$93,$C395*2+MIN($B395,2)+5)
+INDEX(Scenarios!Q$121:Q$200,MATCH($B395,Scenarios!$B$121:$B$200,0))</f>
        <v>0</v>
      </c>
      <c r="R395" s="478">
        <f>IFERROR(MAX(0,INDEX(Input!$1:$1048576,R$93,$C395*2+MIN($B395,2)+5)
+INDEX(Scenarios!R$121:R$200,MATCH($B395,Scenarios!$B$121:$B$200,0)),),"Market")</f>
        <v>0</v>
      </c>
      <c r="S395" s="478">
        <f>IFERROR(MAX(0,INDEX(Input!$1:$1048576,S$93,$C395*2+MIN($B395,2)+5)
+INDEX(Scenarios!S$121:S$200,MATCH($B395,Scenarios!$B$121:$B$200,0)),),"Market")</f>
        <v>0</v>
      </c>
      <c r="T395" s="478">
        <f>IFERROR(MAX(0,INDEX(Input!$1:$1048576,T$93,$C395*2+MIN($B395,2)+5)
+INDEX(Scenarios!T$121:T$200,MATCH($B395,Scenarios!$B$121:$B$200,0)),),"Market")</f>
        <v>0</v>
      </c>
      <c r="U395" s="478">
        <f>IFERROR(MAX(0,INDEX(Input!$1:$1048576,U$93,$C395*2+MIN($B395,2)+5)
+INDEX(Scenarios!U$121:U$200,MATCH($B395,Scenarios!$B$121:$B$200,0)),),"Market")</f>
        <v>0</v>
      </c>
      <c r="V395" s="478">
        <f>IFERROR(MAX(0,INDEX(Input!$1:$1048576,V$93,$C395*2+MIN($B395,2)+5)
+INDEX(Scenarios!V$121:V$200,MATCH($B395,Scenarios!$B$121:$B$200,0)),),"Market")</f>
        <v>1.9E-2</v>
      </c>
      <c r="W395" s="885">
        <f>IFERROR(MAX(0,INDEX(Input!$1:$1048576,W$93,$C395*2+MIN($B395,2)+5)-0%,),"Market")</f>
        <v>3.9E-2</v>
      </c>
      <c r="X395" s="476" t="str">
        <f>INDEX(Input!$1:$1048576,X$93,$C395*2+MIN($B395,2)+5)</f>
        <v>Y</v>
      </c>
      <c r="Y395" s="475">
        <f>INDEX(Input!$1:$1048576,Y$93,$C395*2+MIN($B395,2)+5)
++INDEX(Scenarios!Y$121:Y$200,MATCH($B395,Scenarios!$B$121:$B$200,0))</f>
        <v>1554.9999999999991</v>
      </c>
      <c r="Z395" s="477">
        <f>INDEX(Input!$1:$1048576,Z$93,$C395*2+MIN($B395,2)+5)
+INDEX(Scenarios!Z$121:Z$200,MATCH($B395,Scenarios!$B$121:$B$200,0))</f>
        <v>0</v>
      </c>
      <c r="AA395" s="475">
        <f>INDEX(Input!$1:$1048576,AA$93,$C395*2+MIN($B395,2)+5)
+INDEX(Scenarios!AA$121:AA$200,MATCH($B395,Scenarios!$B$121:$B$200,0))</f>
        <v>0</v>
      </c>
      <c r="AB395" s="476">
        <f>INDEX(Input!$1:$1048576,AB$93,$C395*2+MIN($B395,2)+5)</f>
        <v>0.27</v>
      </c>
      <c r="AC395" s="475">
        <f>INDEX(Input!$1:$1048576,AC$93,$C395*2+MIN($B395,2)+5)
+INDEX(Scenarios!AC$121:AC$200,MATCH($B395,Scenarios!$B$121:$B$200,0))</f>
        <v>0</v>
      </c>
      <c r="AD395" s="476">
        <f>INDEX(Input!$1:$1048576,AD$93,$C395*2+MIN($B395,2)+5)</f>
        <v>0.27</v>
      </c>
      <c r="AE395" s="475">
        <f>INDEX(Input!$1:$1048576,AE$93,$C395*2+MIN($B395,2)+5)
+INDEX(Scenarios!AE$121:AE$200,MATCH($B395,Scenarios!$B$121:$B$200,0))</f>
        <v>0</v>
      </c>
      <c r="AF395" s="476">
        <f>INDEX(Input!$1:$1048576,AF$93,$C395*2+MIN($B395,2)+5)</f>
        <v>0.68200000000000005</v>
      </c>
      <c r="AG395" s="475">
        <f>INDEX(Input!$1:$1048576,AG$93,$C395*2+MIN($B395,2)+5)
+INDEX(Scenarios!AG$121:AG$200,MATCH($B395,Scenarios!$B$121:$B$200,0))</f>
        <v>500</v>
      </c>
      <c r="AH395" s="476">
        <f>INDEX(Input!$1:$1048576,AH$93,$C395*2+MIN($B395,2)+5)</f>
        <v>1</v>
      </c>
      <c r="AI395" s="475">
        <f>INDEX(Input!$1:$1048576,AI$93,$C395*2+MIN($B395,2)+5)
+INDEX(Scenarios!AI$121:AI$200,MATCH($B395,Scenarios!$B$121:$B$200,0))</f>
        <v>0</v>
      </c>
      <c r="AJ395" s="476">
        <f>INDEX(Input!$1:$1048576,AJ$93,$C395*2+MIN($B395,2)+5)</f>
        <v>0.27</v>
      </c>
      <c r="AK395" s="150">
        <f>ROUND(INDEX(Input!$1:$1048576,AK$93,$C394*2+MIN($B395,1)+5)+(Y395-VLOOKUP($C395*1000+1,$A:$HH,Y$92,FALSE)),0)</f>
        <v>2977</v>
      </c>
      <c r="AL395" s="150">
        <f>ROUND(INDEX(Input!$1:$1048576,AL$93,$C394*2+MIN($B395,1)+5)-(Y395-VLOOKUP($C395*1000+1,$A:$HH,Y$92,FALSE))/36,0)</f>
        <v>3395</v>
      </c>
      <c r="AM395" s="32" t="str">
        <f t="shared" si="1047"/>
        <v>std/std/std/std</v>
      </c>
      <c r="AN395" s="32" t="str">
        <f t="shared" si="1048"/>
        <v>$0 + 0/0/0/1.9/3.9</v>
      </c>
      <c r="AO395" s="32" t="str">
        <f t="shared" si="1049"/>
        <v>0/0/0/1.9/3.9</v>
      </c>
      <c r="AP395" s="32" t="str">
        <f t="shared" si="993"/>
        <v>0/0.9/1.9/3.9</v>
      </c>
      <c r="AQ395" s="536">
        <f t="shared" si="992"/>
        <v>0</v>
      </c>
      <c r="AR395" s="32"/>
      <c r="AS395" s="302"/>
      <c r="AT395" s="3">
        <f t="shared" si="1066"/>
        <v>95</v>
      </c>
      <c r="AU395" s="41" t="s">
        <v>121</v>
      </c>
      <c r="AV395" s="41" t="s">
        <v>116</v>
      </c>
      <c r="AW395" s="41" t="str">
        <f>INDEX(Input!$1:$1048576,AW$93,$C395*2+6)</f>
        <v>Kia</v>
      </c>
      <c r="AX395" s="41" t="str">
        <f>INDEX(Input!$1:$1048576,AX$93,$C395*2+6)</f>
        <v>Kia-LR - L3</v>
      </c>
      <c r="AY395" s="41" t="str">
        <f>IF(LEN(D395)=0,"",INDEX(Input!$1:$1048576,AY$93,$C395*2+6))</f>
        <v/>
      </c>
      <c r="AZ395" s="41" t="str">
        <f>INDEX(Input!$1:$1048576,AZ$93,$C395*2+6)</f>
        <v>Kia Soul</v>
      </c>
      <c r="BA395" s="3">
        <f>INDEX(Input!$1:$1048576,BA$93,$C395*2+6)</f>
        <v>2020</v>
      </c>
      <c r="BB395" s="128">
        <f>INDEX(Input!$1:$1048576,BB$93,$C395*2+6)</f>
        <v>1</v>
      </c>
      <c r="BC395" s="128">
        <f>INDEX(Input!$1:$1048576,BC$93,$C395*2+6)</f>
        <v>0.7</v>
      </c>
      <c r="BD395" s="1">
        <f>INDEX(Input!$1:$1048576,BD$93,$C395*2+6)</f>
        <v>4.4999999999999998E-2</v>
      </c>
      <c r="BE395" s="1">
        <f>INDEX(Input!$1:$1048576,BE$93,$C395*2+6)</f>
        <v>4.4999999999999998E-2</v>
      </c>
      <c r="BF395" s="1">
        <f>INDEX(Input!$1:$1048576,BF$93,$C395*2+6)</f>
        <v>0.05</v>
      </c>
      <c r="BG395" s="1">
        <f>INDEX(Input!$1:$1048576,BG$93,$C395*2+6)</f>
        <v>5.45E-2</v>
      </c>
      <c r="BH395" s="1">
        <f>INDEX(Input!$1:$1048576,BH$93,$C395*2+6)</f>
        <v>5.45E-2</v>
      </c>
      <c r="BI395" s="1">
        <f>INDEX(Input!$1:$1048576,BI$93,$C395*2+6)</f>
        <v>0.05</v>
      </c>
      <c r="BJ395" s="1">
        <f>INDEX(Input!$1:$1048576,BJ$93,$C395*2+6)</f>
        <v>0.05</v>
      </c>
      <c r="BK395" s="1">
        <f>INDEX(Input!$1:$1048576,BK$93,$C395*2+6)</f>
        <v>0.05</v>
      </c>
      <c r="BL395" s="1">
        <f>INDEX(Input!$1:$1048576,BL$93,$C395*2+6)</f>
        <v>5.5E-2</v>
      </c>
      <c r="BM395" s="1">
        <f>INDEX(Input!$1:$1048576,BM$93,$C395*2+6)</f>
        <v>0.06</v>
      </c>
      <c r="BN395" s="1">
        <f>INDEX(Input!$1:$1048576,BN$93,$C395*2+6)</f>
        <v>4.4999999999999998E-2</v>
      </c>
      <c r="BO395" s="1">
        <f>INDEX(Input!$1:$1048576,BO$93,$C395*2+6)</f>
        <v>4.4999999999999998E-2</v>
      </c>
      <c r="BP395" s="1">
        <f>INDEX(Input!$1:$1048576,BP$93,$C395*2+6)</f>
        <v>0.05</v>
      </c>
      <c r="BQ395" s="1">
        <f>INDEX(Input!$1:$1048576,BQ$93,$C395*2+6)</f>
        <v>5.45E-2</v>
      </c>
      <c r="BR395" s="1">
        <f>INDEX(Input!$1:$1048576,BR$93,$C395*2+6)</f>
        <v>5.45E-2</v>
      </c>
      <c r="BS395" s="1">
        <f>INDEX(Input!$1:$1048576,BS$93,$C395*2+6)</f>
        <v>0.05</v>
      </c>
      <c r="BT395" s="1">
        <f>INDEX(Input!$1:$1048576,BT$93,$C395*2+6)</f>
        <v>0.05</v>
      </c>
      <c r="BU395" s="1">
        <f>INDEX(Input!$1:$1048576,BU$93,$C395*2+6)</f>
        <v>0.05</v>
      </c>
      <c r="BV395" s="1">
        <f>INDEX(Input!$1:$1048576,BV$93,$C395*2+6)</f>
        <v>5.5E-2</v>
      </c>
      <c r="BW395" s="1">
        <f>INDEX(Input!$1:$1048576,BW$93,$C395*2+6)</f>
        <v>0.06</v>
      </c>
      <c r="BX395" s="127">
        <f>INDEX(Input!$1:$1048576,BX$93,$C395*2+6)</f>
        <v>19985</v>
      </c>
      <c r="BY395" s="20">
        <f>INDEX(Input!$1:$1048576,BY$93,$C395*2+6)</f>
        <v>0.1</v>
      </c>
      <c r="BZ395" s="20">
        <f>INDEX(Input!$1:$1048576,BZ$93,$C395*2+6)</f>
        <v>0.1</v>
      </c>
      <c r="CA395" s="20">
        <f>INDEX(Input!$1:$1048576,CA$93,$C395*2+6)</f>
        <v>0.1</v>
      </c>
      <c r="CB395" s="20">
        <f>INDEX(Input!$1:$1048576,CB$93,$C395*2+6)</f>
        <v>0.1</v>
      </c>
      <c r="CC395" s="20">
        <f>INDEX(Input!$1:$1048576,CC$93,$C395*2+6)</f>
        <v>0.1</v>
      </c>
      <c r="CD395" s="384">
        <f>INDEX(Input!$1:$1048576,CD$93,$C395*2+6)</f>
        <v>0.1</v>
      </c>
      <c r="CE395" s="384">
        <f>INDEX(Input!$1:$1048576,CE$93,$C395*2+6)</f>
        <v>0.1</v>
      </c>
      <c r="CF395" s="384">
        <f>INDEX(Input!$1:$1048576,CF$93,$C395*2+6)</f>
        <v>0.1</v>
      </c>
      <c r="CG395" s="384">
        <f>INDEX(Input!$1:$1048576,CG$93,$C395*2+6)</f>
        <v>0.1</v>
      </c>
      <c r="CH395" s="384">
        <f>INDEX(Input!$1:$1048576,CH$93,$C395*2+6)</f>
        <v>0.1</v>
      </c>
      <c r="CI395" s="304">
        <f t="shared" si="994"/>
        <v>1287.0236024844721</v>
      </c>
      <c r="CJ395" s="16" t="str">
        <f>INDEX(Input!$1:$1048576,CJ$93,$C395*2+6)</f>
        <v>N</v>
      </c>
      <c r="CK395" s="1" t="str">
        <f t="shared" si="995"/>
        <v>Market</v>
      </c>
      <c r="CL395" s="1" t="str">
        <f t="shared" si="996"/>
        <v>Market</v>
      </c>
      <c r="CM395" s="1" t="str">
        <f t="shared" si="997"/>
        <v>Market</v>
      </c>
      <c r="CN395" s="1" t="str">
        <f t="shared" si="998"/>
        <v>Market</v>
      </c>
      <c r="CO395" s="1" t="str">
        <f t="shared" si="999"/>
        <v>Market</v>
      </c>
      <c r="CP395" s="304">
        <f t="shared" si="1000"/>
        <v>500</v>
      </c>
      <c r="CQ395" s="1">
        <f t="shared" si="1001"/>
        <v>0</v>
      </c>
      <c r="CR395" s="1">
        <f t="shared" si="1002"/>
        <v>0</v>
      </c>
      <c r="CS395" s="1">
        <f t="shared" si="1003"/>
        <v>0</v>
      </c>
      <c r="CT395" s="1">
        <f t="shared" si="1004"/>
        <v>1.9E-2</v>
      </c>
      <c r="CU395" s="1">
        <f t="shared" si="1005"/>
        <v>3.9E-2</v>
      </c>
      <c r="CV395" s="304">
        <f t="shared" si="1006"/>
        <v>1554.9999999999991</v>
      </c>
      <c r="CW395" s="20" t="s">
        <v>122</v>
      </c>
      <c r="CX395" s="20" t="s">
        <v>122</v>
      </c>
      <c r="CY395" s="20" t="s">
        <v>122</v>
      </c>
      <c r="CZ395" s="20" t="s">
        <v>122</v>
      </c>
      <c r="DA395" s="20" t="s">
        <v>122</v>
      </c>
      <c r="DB395" s="503">
        <f t="shared" si="1007"/>
        <v>0</v>
      </c>
      <c r="DC395" s="127">
        <v>0</v>
      </c>
      <c r="DD395" s="127">
        <v>0</v>
      </c>
      <c r="DE395" s="127">
        <v>0</v>
      </c>
      <c r="DF395" s="127">
        <v>0</v>
      </c>
      <c r="DG395" s="127">
        <v>0</v>
      </c>
      <c r="DH395" s="127">
        <v>0</v>
      </c>
      <c r="DI395" s="127">
        <v>0</v>
      </c>
      <c r="DJ395" s="127">
        <v>0</v>
      </c>
      <c r="DK395" s="127">
        <v>0</v>
      </c>
      <c r="DL395" s="127">
        <v>0</v>
      </c>
      <c r="DM395" s="304">
        <f>INDEX(Input!$1:$1048576,DM$93,$C395*2+6)</f>
        <v>21036.84210526316</v>
      </c>
      <c r="DN395" s="20">
        <v>0</v>
      </c>
      <c r="DO395" s="20">
        <v>0</v>
      </c>
      <c r="DP395" s="20">
        <v>0</v>
      </c>
      <c r="DQ395" s="20">
        <v>0</v>
      </c>
      <c r="DR395" s="20">
        <v>0</v>
      </c>
      <c r="DS395" s="20">
        <f>INDEX(Input!$1:$1048576,DS$93,$C395*2+6)</f>
        <v>0.6</v>
      </c>
      <c r="DT395" s="20">
        <f>INDEX(Input!$1:$1048576,DT$93,$C395*2+6)</f>
        <v>0.55000000000000004</v>
      </c>
      <c r="DU395" s="20">
        <f>INDEX(Input!$1:$1048576,DU$93,$C395*2+6)</f>
        <v>0.52</v>
      </c>
      <c r="DV395" s="20">
        <f>INDEX(Input!$1:$1048576,DV$93,$C395*2+6)</f>
        <v>0.5</v>
      </c>
      <c r="DW395" s="20">
        <f>INDEX(Input!$1:$1048576,DW$93,$C395*2+6)</f>
        <v>0.45</v>
      </c>
      <c r="DX395" s="20"/>
      <c r="DY395" s="7"/>
      <c r="DZ395" s="7"/>
      <c r="EA395" s="7"/>
      <c r="EB395" s="7"/>
      <c r="EC395" s="7"/>
      <c r="ED395" s="7"/>
      <c r="EE395" s="7"/>
      <c r="EF395" s="7"/>
      <c r="EG395" s="7"/>
      <c r="EH395" s="7"/>
      <c r="EI395" s="7"/>
      <c r="EJ395" s="7"/>
      <c r="EK395" s="7"/>
      <c r="EL395" s="7"/>
      <c r="EM395" s="7"/>
      <c r="EN395" s="7"/>
      <c r="EO395" s="7"/>
      <c r="EP395" s="7"/>
      <c r="EQ395" s="7"/>
      <c r="ER395" s="7"/>
      <c r="ES395" s="7"/>
      <c r="ET395" s="7"/>
      <c r="EU395" s="6"/>
      <c r="EV395" s="6"/>
      <c r="EW395" s="6"/>
      <c r="EX395" s="6"/>
      <c r="EY395" s="6"/>
      <c r="EZ395" s="6"/>
      <c r="FA395" s="6"/>
      <c r="FB395" s="6"/>
      <c r="FC395" s="6"/>
      <c r="FD395" s="6"/>
      <c r="FE395" s="6"/>
      <c r="FF395" s="6"/>
      <c r="FG395" s="6"/>
      <c r="FH395" s="6"/>
      <c r="FI395" s="6"/>
      <c r="FJ395" s="6"/>
      <c r="FK395" s="6"/>
      <c r="FL395" s="6"/>
      <c r="FM395" s="6"/>
      <c r="FN395" s="6"/>
      <c r="FO395" s="6"/>
      <c r="FP395" s="6"/>
      <c r="FQ395" s="6"/>
      <c r="FR395" s="6"/>
      <c r="FS395" s="6"/>
      <c r="FT395" s="7"/>
      <c r="FU395" s="7"/>
      <c r="FV395" s="7"/>
      <c r="FW395" s="6"/>
      <c r="FX395" s="6"/>
      <c r="FY395" s="6"/>
      <c r="FZ395" s="6"/>
      <c r="GA395" s="6"/>
      <c r="GB395" s="6"/>
      <c r="GC395" s="7"/>
      <c r="GD395" s="7"/>
      <c r="GE395" s="7"/>
      <c r="GF395" s="7"/>
      <c r="GG395" s="7"/>
      <c r="GH395" s="42"/>
      <c r="GI395" s="6"/>
      <c r="GJ395" s="14"/>
      <c r="GK395" s="14"/>
      <c r="GL395" s="14"/>
      <c r="GM395" s="14"/>
      <c r="GO395" s="5"/>
      <c r="GP395" s="5"/>
      <c r="GQ395" s="5"/>
      <c r="GR395" s="5"/>
      <c r="GS395" s="5"/>
      <c r="GT395" s="5"/>
      <c r="GU395" s="5"/>
      <c r="GV395" s="39"/>
      <c r="GW395" s="5"/>
      <c r="GX395" s="5"/>
      <c r="GY395" s="5"/>
      <c r="GZ395" s="5"/>
      <c r="HA395" s="5"/>
      <c r="HB395" s="39"/>
      <c r="HC395" s="5"/>
      <c r="HD395" s="5"/>
      <c r="HE395" s="5"/>
      <c r="HF395" s="5"/>
      <c r="HG395" s="5"/>
      <c r="HH395" s="39"/>
      <c r="HI395" s="16"/>
      <c r="HJ395" s="19"/>
      <c r="HK395" s="1"/>
      <c r="HL395" s="16"/>
      <c r="HM395" s="1"/>
      <c r="HN395" s="1"/>
      <c r="HO395" s="1"/>
      <c r="HP395" s="1"/>
      <c r="HQ395" s="1"/>
      <c r="HR395" s="1"/>
      <c r="HS395" s="1"/>
      <c r="HT395" s="1"/>
      <c r="HU395" s="1"/>
      <c r="HV395" s="1"/>
      <c r="HW395" s="1"/>
      <c r="HX395" s="1"/>
      <c r="HY395" s="1"/>
      <c r="HZ395" s="1"/>
      <c r="IA395" s="1"/>
      <c r="IB395" s="1"/>
      <c r="IC395" s="1"/>
      <c r="ID395" s="1"/>
      <c r="IE395" s="1"/>
      <c r="IF395" s="1"/>
      <c r="IG395" s="1"/>
      <c r="IH395" s="21"/>
      <c r="II395" s="19"/>
      <c r="IJ395" s="19"/>
      <c r="IK395" s="19"/>
      <c r="IL395" s="19"/>
      <c r="IM395" s="19"/>
      <c r="IN395" s="19"/>
      <c r="IO395" s="39"/>
      <c r="IP395" s="39"/>
      <c r="IQ395" s="39"/>
      <c r="IR395" s="39"/>
      <c r="IS395" s="39"/>
      <c r="IT395" s="39"/>
      <c r="IU395" s="39"/>
      <c r="IV395" s="39"/>
      <c r="IW395" s="39"/>
      <c r="IX395" s="39"/>
      <c r="IY395" s="39"/>
      <c r="IZ395" s="39"/>
      <c r="JA395" s="19"/>
      <c r="JB395" s="19"/>
      <c r="JC395" s="19"/>
      <c r="JD395" s="19"/>
      <c r="JE395" s="21"/>
      <c r="JF395" s="1"/>
      <c r="JG395" s="15"/>
      <c r="JH395" s="1"/>
      <c r="JI395" s="1"/>
      <c r="JJ395" s="1"/>
      <c r="JK395" s="1"/>
      <c r="JL395" s="15"/>
      <c r="JM395" s="15"/>
      <c r="JN395" s="21"/>
      <c r="JO395" s="19"/>
      <c r="JP395" s="19"/>
      <c r="JQ395" s="39"/>
      <c r="JR395" s="39"/>
      <c r="JS395" s="39"/>
      <c r="JT395" s="39"/>
      <c r="JU395" s="385"/>
      <c r="JV395" s="39"/>
      <c r="JW395" s="1"/>
      <c r="JX395" s="19"/>
      <c r="JZ395" s="341"/>
      <c r="KA395" s="342"/>
      <c r="KB395" s="469"/>
      <c r="KI395" s="473"/>
      <c r="KJ395" s="473"/>
      <c r="KK395" s="473"/>
    </row>
    <row r="396" spans="1:297" s="26" customFormat="1" ht="15" outlineLevel="1">
      <c r="A396" s="561">
        <f t="shared" si="1046"/>
        <v>3096</v>
      </c>
      <c r="B396" s="561">
        <f t="shared" si="1064"/>
        <v>96</v>
      </c>
      <c r="C396" s="561">
        <f t="shared" si="1065"/>
        <v>3</v>
      </c>
      <c r="D396" s="561" t="str">
        <f t="shared" si="1109"/>
        <v/>
      </c>
      <c r="E396" s="475">
        <f>INDEX(Input!$1:$1048576,E$93,$C396*2+MIN($B396,2)+5)
+INDEX(Scenarios!E$121:E$200,MATCH($B396,Scenarios!$B$121:$B$200,0))</f>
        <v>1287.0236024844721</v>
      </c>
      <c r="F396" s="475">
        <f>INDEX(Input!$1:$1048576,F$93,$C396*2+MIN($B396,2)+5)
+INDEX(Scenarios!F$121:F$200,MATCH($B396,Scenarios!$B$121:$B$200,0))</f>
        <v>0</v>
      </c>
      <c r="G396" s="475">
        <f>INDEX(Input!$1:$1048576,G$93,$C396*2+MIN($B396,2)+5)
+INDEX(Scenarios!G$121:G$200,MATCH($B396,Scenarios!$B$121:$B$200,0))</f>
        <v>0</v>
      </c>
      <c r="H396" s="475">
        <f>INDEX(Input!$1:$1048576,H$93,$C396*2+MIN($B396,2)+5)
+INDEX(Scenarios!H$121:H$200,MATCH($B396,Scenarios!$B$121:$B$200,0))</f>
        <v>0</v>
      </c>
      <c r="I396" s="476">
        <f>INDEX(Input!$1:$1048576,I$93,$C396*2+MIN($B396,2)+5)</f>
        <v>0.7</v>
      </c>
      <c r="J396" s="476" t="str">
        <f>INDEX(Input!$1:$1048576,J$93,$C396*2+MIN($B396,2)+5)</f>
        <v>Market</v>
      </c>
      <c r="K396" s="476" t="str">
        <f>INDEX(Input!$1:$1048576,K$93,$C396*2+MIN($B396,2)+5)</f>
        <v>Market</v>
      </c>
      <c r="L396" s="476" t="str">
        <f>INDEX(Input!$1:$1048576,L$93,$C396*2+MIN($B396,2)+5)</f>
        <v>Market</v>
      </c>
      <c r="M396" s="476" t="str">
        <f>INDEX(Input!$1:$1048576,M$93,$C396*2+MIN($B396,2)+5)</f>
        <v>Market</v>
      </c>
      <c r="N396" s="476" t="str">
        <f>INDEX(Input!$1:$1048576,N$93,$C396*2+MIN($B396,2)+5)</f>
        <v>Market</v>
      </c>
      <c r="O396" s="476" t="str">
        <f>INDEX(Input!$1:$1048576,O$93,$C396*2+MIN($B396,2)+5)</f>
        <v>Market</v>
      </c>
      <c r="P396" s="476" t="str">
        <f>INDEX(Input!$1:$1048576,P$93,$C396*2+MIN($B396,2)+5)</f>
        <v>N</v>
      </c>
      <c r="Q396" s="477">
        <f>INDEX(Input!$1:$1048576,Q$93,$C396*2+MIN($B396,2)+5)
+INDEX(Scenarios!Q$121:Q$200,MATCH($B396,Scenarios!$B$121:$B$200,0))</f>
        <v>0</v>
      </c>
      <c r="R396" s="478">
        <f>IFERROR(MAX(0,INDEX(Input!$1:$1048576,R$93,$C396*2+MIN($B396,2)+5)
+INDEX(Scenarios!R$121:R$200,MATCH($B396,Scenarios!$B$121:$B$200,0)),),"Market")</f>
        <v>0</v>
      </c>
      <c r="S396" s="478">
        <f>IFERROR(MAX(0,INDEX(Input!$1:$1048576,S$93,$C396*2+MIN($B396,2)+5)
+INDEX(Scenarios!S$121:S$200,MATCH($B396,Scenarios!$B$121:$B$200,0)),),"Market")</f>
        <v>0</v>
      </c>
      <c r="T396" s="478">
        <f>IFERROR(MAX(0,INDEX(Input!$1:$1048576,T$93,$C396*2+MIN($B396,2)+5)
+INDEX(Scenarios!T$121:T$200,MATCH($B396,Scenarios!$B$121:$B$200,0)),),"Market")</f>
        <v>0</v>
      </c>
      <c r="U396" s="478">
        <f>IFERROR(MAX(0,INDEX(Input!$1:$1048576,U$93,$C396*2+MIN($B396,2)+5)
+INDEX(Scenarios!U$121:U$200,MATCH($B396,Scenarios!$B$121:$B$200,0)),),"Market")</f>
        <v>0</v>
      </c>
      <c r="V396" s="478">
        <f>IFERROR(MAX(0,INDEX(Input!$1:$1048576,V$93,$C396*2+MIN($B396,2)+5)
+INDEX(Scenarios!V$121:V$200,MATCH($B396,Scenarios!$B$121:$B$200,0)),),"Market")</f>
        <v>1.9E-2</v>
      </c>
      <c r="W396" s="885">
        <f>IFERROR(MAX(0,INDEX(Input!$1:$1048576,W$93,$C396*2+MIN($B396,2)+5)-0%,),"Market")</f>
        <v>3.9E-2</v>
      </c>
      <c r="X396" s="476" t="str">
        <f>INDEX(Input!$1:$1048576,X$93,$C396*2+MIN($B396,2)+5)</f>
        <v>Y</v>
      </c>
      <c r="Y396" s="475">
        <f>INDEX(Input!$1:$1048576,Y$93,$C396*2+MIN($B396,2)+5)
++INDEX(Scenarios!Y$121:Y$200,MATCH($B396,Scenarios!$B$121:$B$200,0))</f>
        <v>1554.9999999999991</v>
      </c>
      <c r="Z396" s="477">
        <f>INDEX(Input!$1:$1048576,Z$93,$C396*2+MIN($B396,2)+5)
+INDEX(Scenarios!Z$121:Z$200,MATCH($B396,Scenarios!$B$121:$B$200,0))</f>
        <v>0</v>
      </c>
      <c r="AA396" s="475">
        <f>INDEX(Input!$1:$1048576,AA$93,$C396*2+MIN($B396,2)+5)
+INDEX(Scenarios!AA$121:AA$200,MATCH($B396,Scenarios!$B$121:$B$200,0))</f>
        <v>0</v>
      </c>
      <c r="AB396" s="476">
        <f>INDEX(Input!$1:$1048576,AB$93,$C396*2+MIN($B396,2)+5)</f>
        <v>0.27</v>
      </c>
      <c r="AC396" s="475">
        <f>INDEX(Input!$1:$1048576,AC$93,$C396*2+MIN($B396,2)+5)
+INDEX(Scenarios!AC$121:AC$200,MATCH($B396,Scenarios!$B$121:$B$200,0))</f>
        <v>0</v>
      </c>
      <c r="AD396" s="476">
        <f>INDEX(Input!$1:$1048576,AD$93,$C396*2+MIN($B396,2)+5)</f>
        <v>0.27</v>
      </c>
      <c r="AE396" s="475">
        <f>INDEX(Input!$1:$1048576,AE$93,$C396*2+MIN($B396,2)+5)
+INDEX(Scenarios!AE$121:AE$200,MATCH($B396,Scenarios!$B$121:$B$200,0))</f>
        <v>0</v>
      </c>
      <c r="AF396" s="476">
        <f>INDEX(Input!$1:$1048576,AF$93,$C396*2+MIN($B396,2)+5)</f>
        <v>0.68200000000000005</v>
      </c>
      <c r="AG396" s="475">
        <f>INDEX(Input!$1:$1048576,AG$93,$C396*2+MIN($B396,2)+5)
+INDEX(Scenarios!AG$121:AG$200,MATCH($B396,Scenarios!$B$121:$B$200,0))</f>
        <v>500</v>
      </c>
      <c r="AH396" s="476">
        <f>INDEX(Input!$1:$1048576,AH$93,$C396*2+MIN($B396,2)+5)</f>
        <v>1</v>
      </c>
      <c r="AI396" s="475">
        <f>INDEX(Input!$1:$1048576,AI$93,$C396*2+MIN($B396,2)+5)
+INDEX(Scenarios!AI$121:AI$200,MATCH($B396,Scenarios!$B$121:$B$200,0))</f>
        <v>0</v>
      </c>
      <c r="AJ396" s="476">
        <f>INDEX(Input!$1:$1048576,AJ$93,$C396*2+MIN($B396,2)+5)</f>
        <v>0.27</v>
      </c>
      <c r="AK396" s="150">
        <f>ROUND(INDEX(Input!$1:$1048576,AK$93,$C395*2+MIN($B396,1)+5)+(Y396-VLOOKUP($C396*1000+1,$A:$HH,Y$92,FALSE)),0)</f>
        <v>2977</v>
      </c>
      <c r="AL396" s="150">
        <f>ROUND(INDEX(Input!$1:$1048576,AL$93,$C395*2+MIN($B396,1)+5)-(Y396-VLOOKUP($C396*1000+1,$A:$HH,Y$92,FALSE))/36,0)</f>
        <v>3395</v>
      </c>
      <c r="AM396" s="32" t="str">
        <f t="shared" si="1047"/>
        <v>std/std/std/std</v>
      </c>
      <c r="AN396" s="32" t="str">
        <f t="shared" si="1048"/>
        <v>$0 + 0/0/0/1.9/3.9</v>
      </c>
      <c r="AO396" s="32" t="str">
        <f t="shared" si="1049"/>
        <v>0/0/0/1.9/3.9</v>
      </c>
      <c r="AP396" s="32" t="str">
        <f t="shared" si="993"/>
        <v>0/0.9/1.9/3.9</v>
      </c>
      <c r="AQ396" s="536">
        <f t="shared" si="992"/>
        <v>0</v>
      </c>
      <c r="AR396" s="32"/>
      <c r="AS396" s="302"/>
      <c r="AT396" s="3">
        <f t="shared" si="1066"/>
        <v>96</v>
      </c>
      <c r="AU396" s="41" t="s">
        <v>121</v>
      </c>
      <c r="AV396" s="41" t="s">
        <v>116</v>
      </c>
      <c r="AW396" s="41" t="str">
        <f>INDEX(Input!$1:$1048576,AW$93,$C396*2+6)</f>
        <v>Kia</v>
      </c>
      <c r="AX396" s="41" t="str">
        <f>INDEX(Input!$1:$1048576,AX$93,$C396*2+6)</f>
        <v>Kia-LR - L3</v>
      </c>
      <c r="AY396" s="41" t="str">
        <f>IF(LEN(D396)=0,"",INDEX(Input!$1:$1048576,AY$93,$C396*2+6))</f>
        <v/>
      </c>
      <c r="AZ396" s="41" t="str">
        <f>INDEX(Input!$1:$1048576,AZ$93,$C396*2+6)</f>
        <v>Kia Soul</v>
      </c>
      <c r="BA396" s="3">
        <f>INDEX(Input!$1:$1048576,BA$93,$C396*2+6)</f>
        <v>2020</v>
      </c>
      <c r="BB396" s="128">
        <f>INDEX(Input!$1:$1048576,BB$93,$C396*2+6)</f>
        <v>1</v>
      </c>
      <c r="BC396" s="128">
        <f>INDEX(Input!$1:$1048576,BC$93,$C396*2+6)</f>
        <v>0.7</v>
      </c>
      <c r="BD396" s="1">
        <f>INDEX(Input!$1:$1048576,BD$93,$C396*2+6)</f>
        <v>4.4999999999999998E-2</v>
      </c>
      <c r="BE396" s="1">
        <f>INDEX(Input!$1:$1048576,BE$93,$C396*2+6)</f>
        <v>4.4999999999999998E-2</v>
      </c>
      <c r="BF396" s="1">
        <f>INDEX(Input!$1:$1048576,BF$93,$C396*2+6)</f>
        <v>0.05</v>
      </c>
      <c r="BG396" s="1">
        <f>INDEX(Input!$1:$1048576,BG$93,$C396*2+6)</f>
        <v>5.45E-2</v>
      </c>
      <c r="BH396" s="1">
        <f>INDEX(Input!$1:$1048576,BH$93,$C396*2+6)</f>
        <v>5.45E-2</v>
      </c>
      <c r="BI396" s="1">
        <f>INDEX(Input!$1:$1048576,BI$93,$C396*2+6)</f>
        <v>0.05</v>
      </c>
      <c r="BJ396" s="1">
        <f>INDEX(Input!$1:$1048576,BJ$93,$C396*2+6)</f>
        <v>0.05</v>
      </c>
      <c r="BK396" s="1">
        <f>INDEX(Input!$1:$1048576,BK$93,$C396*2+6)</f>
        <v>0.05</v>
      </c>
      <c r="BL396" s="1">
        <f>INDEX(Input!$1:$1048576,BL$93,$C396*2+6)</f>
        <v>5.5E-2</v>
      </c>
      <c r="BM396" s="1">
        <f>INDEX(Input!$1:$1048576,BM$93,$C396*2+6)</f>
        <v>0.06</v>
      </c>
      <c r="BN396" s="1">
        <f>INDEX(Input!$1:$1048576,BN$93,$C396*2+6)</f>
        <v>4.4999999999999998E-2</v>
      </c>
      <c r="BO396" s="1">
        <f>INDEX(Input!$1:$1048576,BO$93,$C396*2+6)</f>
        <v>4.4999999999999998E-2</v>
      </c>
      <c r="BP396" s="1">
        <f>INDEX(Input!$1:$1048576,BP$93,$C396*2+6)</f>
        <v>0.05</v>
      </c>
      <c r="BQ396" s="1">
        <f>INDEX(Input!$1:$1048576,BQ$93,$C396*2+6)</f>
        <v>5.45E-2</v>
      </c>
      <c r="BR396" s="1">
        <f>INDEX(Input!$1:$1048576,BR$93,$C396*2+6)</f>
        <v>5.45E-2</v>
      </c>
      <c r="BS396" s="1">
        <f>INDEX(Input!$1:$1048576,BS$93,$C396*2+6)</f>
        <v>0.05</v>
      </c>
      <c r="BT396" s="1">
        <f>INDEX(Input!$1:$1048576,BT$93,$C396*2+6)</f>
        <v>0.05</v>
      </c>
      <c r="BU396" s="1">
        <f>INDEX(Input!$1:$1048576,BU$93,$C396*2+6)</f>
        <v>0.05</v>
      </c>
      <c r="BV396" s="1">
        <f>INDEX(Input!$1:$1048576,BV$93,$C396*2+6)</f>
        <v>5.5E-2</v>
      </c>
      <c r="BW396" s="1">
        <f>INDEX(Input!$1:$1048576,BW$93,$C396*2+6)</f>
        <v>0.06</v>
      </c>
      <c r="BX396" s="127">
        <f>INDEX(Input!$1:$1048576,BX$93,$C396*2+6)</f>
        <v>19985</v>
      </c>
      <c r="BY396" s="20">
        <f>INDEX(Input!$1:$1048576,BY$93,$C396*2+6)</f>
        <v>0.1</v>
      </c>
      <c r="BZ396" s="20">
        <f>INDEX(Input!$1:$1048576,BZ$93,$C396*2+6)</f>
        <v>0.1</v>
      </c>
      <c r="CA396" s="20">
        <f>INDEX(Input!$1:$1048576,CA$93,$C396*2+6)</f>
        <v>0.1</v>
      </c>
      <c r="CB396" s="20">
        <f>INDEX(Input!$1:$1048576,CB$93,$C396*2+6)</f>
        <v>0.1</v>
      </c>
      <c r="CC396" s="20">
        <f>INDEX(Input!$1:$1048576,CC$93,$C396*2+6)</f>
        <v>0.1</v>
      </c>
      <c r="CD396" s="384">
        <f>INDEX(Input!$1:$1048576,CD$93,$C396*2+6)</f>
        <v>0.1</v>
      </c>
      <c r="CE396" s="384">
        <f>INDEX(Input!$1:$1048576,CE$93,$C396*2+6)</f>
        <v>0.1</v>
      </c>
      <c r="CF396" s="384">
        <f>INDEX(Input!$1:$1048576,CF$93,$C396*2+6)</f>
        <v>0.1</v>
      </c>
      <c r="CG396" s="384">
        <f>INDEX(Input!$1:$1048576,CG$93,$C396*2+6)</f>
        <v>0.1</v>
      </c>
      <c r="CH396" s="384">
        <f>INDEX(Input!$1:$1048576,CH$93,$C396*2+6)</f>
        <v>0.1</v>
      </c>
      <c r="CI396" s="304">
        <f t="shared" si="994"/>
        <v>1287.0236024844721</v>
      </c>
      <c r="CJ396" s="16" t="str">
        <f>INDEX(Input!$1:$1048576,CJ$93,$C396*2+6)</f>
        <v>N</v>
      </c>
      <c r="CK396" s="1" t="str">
        <f t="shared" si="995"/>
        <v>Market</v>
      </c>
      <c r="CL396" s="1" t="str">
        <f t="shared" si="996"/>
        <v>Market</v>
      </c>
      <c r="CM396" s="1" t="str">
        <f t="shared" si="997"/>
        <v>Market</v>
      </c>
      <c r="CN396" s="1" t="str">
        <f t="shared" si="998"/>
        <v>Market</v>
      </c>
      <c r="CO396" s="1" t="str">
        <f t="shared" si="999"/>
        <v>Market</v>
      </c>
      <c r="CP396" s="304">
        <f t="shared" si="1000"/>
        <v>500</v>
      </c>
      <c r="CQ396" s="1">
        <f t="shared" si="1001"/>
        <v>0</v>
      </c>
      <c r="CR396" s="1">
        <f t="shared" si="1002"/>
        <v>0</v>
      </c>
      <c r="CS396" s="1">
        <f t="shared" si="1003"/>
        <v>0</v>
      </c>
      <c r="CT396" s="1">
        <f t="shared" si="1004"/>
        <v>1.9E-2</v>
      </c>
      <c r="CU396" s="1">
        <f t="shared" si="1005"/>
        <v>3.9E-2</v>
      </c>
      <c r="CV396" s="304">
        <f t="shared" si="1006"/>
        <v>1554.9999999999991</v>
      </c>
      <c r="CW396" s="20" t="s">
        <v>122</v>
      </c>
      <c r="CX396" s="20" t="s">
        <v>122</v>
      </c>
      <c r="CY396" s="20" t="s">
        <v>122</v>
      </c>
      <c r="CZ396" s="20" t="s">
        <v>122</v>
      </c>
      <c r="DA396" s="20" t="s">
        <v>122</v>
      </c>
      <c r="DB396" s="503">
        <f t="shared" si="1007"/>
        <v>0</v>
      </c>
      <c r="DC396" s="127">
        <v>0</v>
      </c>
      <c r="DD396" s="127">
        <v>0</v>
      </c>
      <c r="DE396" s="127">
        <v>0</v>
      </c>
      <c r="DF396" s="127">
        <v>0</v>
      </c>
      <c r="DG396" s="127">
        <v>0</v>
      </c>
      <c r="DH396" s="127">
        <v>0</v>
      </c>
      <c r="DI396" s="127">
        <v>0</v>
      </c>
      <c r="DJ396" s="127">
        <v>0</v>
      </c>
      <c r="DK396" s="127">
        <v>0</v>
      </c>
      <c r="DL396" s="127">
        <v>0</v>
      </c>
      <c r="DM396" s="304">
        <f>INDEX(Input!$1:$1048576,DM$93,$C396*2+6)</f>
        <v>21036.84210526316</v>
      </c>
      <c r="DN396" s="20">
        <v>0</v>
      </c>
      <c r="DO396" s="20">
        <v>0</v>
      </c>
      <c r="DP396" s="20">
        <v>0</v>
      </c>
      <c r="DQ396" s="20">
        <v>0</v>
      </c>
      <c r="DR396" s="20">
        <v>0</v>
      </c>
      <c r="DS396" s="20">
        <f>INDEX(Input!$1:$1048576,DS$93,$C396*2+6)</f>
        <v>0.6</v>
      </c>
      <c r="DT396" s="20">
        <f>INDEX(Input!$1:$1048576,DT$93,$C396*2+6)</f>
        <v>0.55000000000000004</v>
      </c>
      <c r="DU396" s="20">
        <f>INDEX(Input!$1:$1048576,DU$93,$C396*2+6)</f>
        <v>0.52</v>
      </c>
      <c r="DV396" s="20">
        <f>INDEX(Input!$1:$1048576,DV$93,$C396*2+6)</f>
        <v>0.5</v>
      </c>
      <c r="DW396" s="20">
        <f>INDEX(Input!$1:$1048576,DW$93,$C396*2+6)</f>
        <v>0.45</v>
      </c>
      <c r="DX396" s="20"/>
      <c r="DY396" s="7"/>
      <c r="DZ396" s="7"/>
      <c r="EA396" s="7"/>
      <c r="EB396" s="7"/>
      <c r="EC396" s="7"/>
      <c r="ED396" s="7"/>
      <c r="EE396" s="7"/>
      <c r="EF396" s="7"/>
      <c r="EG396" s="7"/>
      <c r="EH396" s="7"/>
      <c r="EI396" s="7"/>
      <c r="EJ396" s="7"/>
      <c r="EK396" s="7"/>
      <c r="EL396" s="7"/>
      <c r="EM396" s="7"/>
      <c r="EN396" s="7"/>
      <c r="EO396" s="7"/>
      <c r="EP396" s="7"/>
      <c r="EQ396" s="7"/>
      <c r="ER396" s="7"/>
      <c r="ES396" s="7"/>
      <c r="ET396" s="7"/>
      <c r="EU396" s="6"/>
      <c r="EV396" s="6"/>
      <c r="EW396" s="6"/>
      <c r="EX396" s="6"/>
      <c r="EY396" s="6"/>
      <c r="EZ396" s="6"/>
      <c r="FA396" s="6"/>
      <c r="FB396" s="6"/>
      <c r="FC396" s="6"/>
      <c r="FD396" s="6"/>
      <c r="FE396" s="6"/>
      <c r="FF396" s="6"/>
      <c r="FG396" s="6"/>
      <c r="FH396" s="6"/>
      <c r="FI396" s="6"/>
      <c r="FJ396" s="6"/>
      <c r="FK396" s="6"/>
      <c r="FL396" s="6"/>
      <c r="FM396" s="6"/>
      <c r="FN396" s="6"/>
      <c r="FO396" s="6"/>
      <c r="FP396" s="6"/>
      <c r="FQ396" s="6"/>
      <c r="FR396" s="6"/>
      <c r="FS396" s="6"/>
      <c r="FT396" s="7"/>
      <c r="FU396" s="7"/>
      <c r="FV396" s="7"/>
      <c r="FW396" s="6"/>
      <c r="FX396" s="6"/>
      <c r="FY396" s="6"/>
      <c r="FZ396" s="6"/>
      <c r="GA396" s="6"/>
      <c r="GB396" s="6"/>
      <c r="GC396" s="7"/>
      <c r="GD396" s="7"/>
      <c r="GE396" s="7"/>
      <c r="GF396" s="7"/>
      <c r="GG396" s="7"/>
      <c r="GH396" s="42"/>
      <c r="GI396" s="6"/>
      <c r="GJ396" s="14"/>
      <c r="GK396" s="14"/>
      <c r="GL396" s="14"/>
      <c r="GM396" s="14"/>
      <c r="GO396" s="5"/>
      <c r="GP396" s="5"/>
      <c r="GQ396" s="5"/>
      <c r="GR396" s="5"/>
      <c r="GS396" s="5"/>
      <c r="GT396" s="5"/>
      <c r="GU396" s="5"/>
      <c r="GV396" s="39"/>
      <c r="GW396" s="5"/>
      <c r="GX396" s="5"/>
      <c r="GY396" s="5"/>
      <c r="GZ396" s="5"/>
      <c r="HA396" s="5"/>
      <c r="HB396" s="39"/>
      <c r="HC396" s="5"/>
      <c r="HD396" s="5"/>
      <c r="HE396" s="5"/>
      <c r="HF396" s="5"/>
      <c r="HG396" s="5"/>
      <c r="HH396" s="39"/>
      <c r="HI396" s="16"/>
      <c r="HJ396" s="19"/>
      <c r="HK396" s="1"/>
      <c r="HL396" s="16"/>
      <c r="HM396" s="1"/>
      <c r="HN396" s="1"/>
      <c r="HO396" s="1"/>
      <c r="HP396" s="1"/>
      <c r="HQ396" s="1"/>
      <c r="HR396" s="1"/>
      <c r="HS396" s="1"/>
      <c r="HT396" s="1"/>
      <c r="HU396" s="1"/>
      <c r="HV396" s="1"/>
      <c r="HW396" s="1"/>
      <c r="HX396" s="1"/>
      <c r="HY396" s="1"/>
      <c r="HZ396" s="1"/>
      <c r="IA396" s="1"/>
      <c r="IB396" s="1"/>
      <c r="IC396" s="1"/>
      <c r="ID396" s="1"/>
      <c r="IE396" s="1"/>
      <c r="IF396" s="1"/>
      <c r="IG396" s="1"/>
      <c r="IH396" s="21"/>
      <c r="II396" s="19"/>
      <c r="IJ396" s="19"/>
      <c r="IK396" s="19"/>
      <c r="IL396" s="19"/>
      <c r="IM396" s="19"/>
      <c r="IN396" s="19"/>
      <c r="IO396" s="39"/>
      <c r="IP396" s="39"/>
      <c r="IQ396" s="39"/>
      <c r="IR396" s="39"/>
      <c r="IS396" s="39"/>
      <c r="IT396" s="39"/>
      <c r="IU396" s="39"/>
      <c r="IV396" s="39"/>
      <c r="IW396" s="39"/>
      <c r="IX396" s="39"/>
      <c r="IY396" s="39"/>
      <c r="IZ396" s="39"/>
      <c r="JA396" s="19"/>
      <c r="JB396" s="19"/>
      <c r="JC396" s="19"/>
      <c r="JD396" s="19"/>
      <c r="JE396" s="21"/>
      <c r="JF396" s="1"/>
      <c r="JG396" s="15"/>
      <c r="JH396" s="1"/>
      <c r="JI396" s="1"/>
      <c r="JJ396" s="1"/>
      <c r="JK396" s="1"/>
      <c r="JL396" s="15"/>
      <c r="JM396" s="15"/>
      <c r="JN396" s="21"/>
      <c r="JO396" s="19"/>
      <c r="JP396" s="19"/>
      <c r="JQ396" s="39"/>
      <c r="JR396" s="39"/>
      <c r="JS396" s="39"/>
      <c r="JT396" s="39"/>
      <c r="JU396" s="385"/>
      <c r="JV396" s="39"/>
      <c r="JW396" s="1"/>
      <c r="JX396" s="19"/>
      <c r="JZ396" s="341"/>
      <c r="KA396" s="342"/>
      <c r="KB396" s="469"/>
      <c r="KI396" s="473"/>
      <c r="KJ396" s="473"/>
      <c r="KK396" s="473"/>
    </row>
    <row r="397" spans="1:297" s="26" customFormat="1" ht="15" outlineLevel="1">
      <c r="A397" s="561">
        <f t="shared" si="1046"/>
        <v>3097</v>
      </c>
      <c r="B397" s="561">
        <f t="shared" si="1064"/>
        <v>97</v>
      </c>
      <c r="C397" s="561">
        <f t="shared" si="1065"/>
        <v>3</v>
      </c>
      <c r="D397" s="561" t="str">
        <f t="shared" si="1109"/>
        <v/>
      </c>
      <c r="E397" s="475">
        <f>INDEX(Input!$1:$1048576,E$93,$C397*2+MIN($B397,2)+5)
+INDEX(Scenarios!E$121:E$200,MATCH($B397,Scenarios!$B$121:$B$200,0))</f>
        <v>1287.0236024844721</v>
      </c>
      <c r="F397" s="475">
        <f>INDEX(Input!$1:$1048576,F$93,$C397*2+MIN($B397,2)+5)
+INDEX(Scenarios!F$121:F$200,MATCH($B397,Scenarios!$B$121:$B$200,0))</f>
        <v>0</v>
      </c>
      <c r="G397" s="475">
        <f>INDEX(Input!$1:$1048576,G$93,$C397*2+MIN($B397,2)+5)
+INDEX(Scenarios!G$121:G$200,MATCH($B397,Scenarios!$B$121:$B$200,0))</f>
        <v>0</v>
      </c>
      <c r="H397" s="475">
        <f>INDEX(Input!$1:$1048576,H$93,$C397*2+MIN($B397,2)+5)
+INDEX(Scenarios!H$121:H$200,MATCH($B397,Scenarios!$B$121:$B$200,0))</f>
        <v>0</v>
      </c>
      <c r="I397" s="476">
        <f>INDEX(Input!$1:$1048576,I$93,$C397*2+MIN($B397,2)+5)</f>
        <v>0.7</v>
      </c>
      <c r="J397" s="476" t="str">
        <f>INDEX(Input!$1:$1048576,J$93,$C397*2+MIN($B397,2)+5)</f>
        <v>Market</v>
      </c>
      <c r="K397" s="476" t="str">
        <f>INDEX(Input!$1:$1048576,K$93,$C397*2+MIN($B397,2)+5)</f>
        <v>Market</v>
      </c>
      <c r="L397" s="476" t="str">
        <f>INDEX(Input!$1:$1048576,L$93,$C397*2+MIN($B397,2)+5)</f>
        <v>Market</v>
      </c>
      <c r="M397" s="476" t="str">
        <f>INDEX(Input!$1:$1048576,M$93,$C397*2+MIN($B397,2)+5)</f>
        <v>Market</v>
      </c>
      <c r="N397" s="476" t="str">
        <f>INDEX(Input!$1:$1048576,N$93,$C397*2+MIN($B397,2)+5)</f>
        <v>Market</v>
      </c>
      <c r="O397" s="476" t="str">
        <f>INDEX(Input!$1:$1048576,O$93,$C397*2+MIN($B397,2)+5)</f>
        <v>Market</v>
      </c>
      <c r="P397" s="476" t="str">
        <f>INDEX(Input!$1:$1048576,P$93,$C397*2+MIN($B397,2)+5)</f>
        <v>N</v>
      </c>
      <c r="Q397" s="477">
        <f>INDEX(Input!$1:$1048576,Q$93,$C397*2+MIN($B397,2)+5)
+INDEX(Scenarios!Q$121:Q$200,MATCH($B397,Scenarios!$B$121:$B$200,0))</f>
        <v>0</v>
      </c>
      <c r="R397" s="478">
        <f>IFERROR(MAX(0,INDEX(Input!$1:$1048576,R$93,$C397*2+MIN($B397,2)+5)
+INDEX(Scenarios!R$121:R$200,MATCH($B397,Scenarios!$B$121:$B$200,0)),),"Market")</f>
        <v>0</v>
      </c>
      <c r="S397" s="478">
        <f>IFERROR(MAX(0,INDEX(Input!$1:$1048576,S$93,$C397*2+MIN($B397,2)+5)
+INDEX(Scenarios!S$121:S$200,MATCH($B397,Scenarios!$B$121:$B$200,0)),),"Market")</f>
        <v>0</v>
      </c>
      <c r="T397" s="478">
        <f>IFERROR(MAX(0,INDEX(Input!$1:$1048576,T$93,$C397*2+MIN($B397,2)+5)
+INDEX(Scenarios!T$121:T$200,MATCH($B397,Scenarios!$B$121:$B$200,0)),),"Market")</f>
        <v>0</v>
      </c>
      <c r="U397" s="478">
        <f>IFERROR(MAX(0,INDEX(Input!$1:$1048576,U$93,$C397*2+MIN($B397,2)+5)
+INDEX(Scenarios!U$121:U$200,MATCH($B397,Scenarios!$B$121:$B$200,0)),),"Market")</f>
        <v>0</v>
      </c>
      <c r="V397" s="478">
        <f>IFERROR(MAX(0,INDEX(Input!$1:$1048576,V$93,$C397*2+MIN($B397,2)+5)
+INDEX(Scenarios!V$121:V$200,MATCH($B397,Scenarios!$B$121:$B$200,0)),),"Market")</f>
        <v>1.9E-2</v>
      </c>
      <c r="W397" s="885">
        <f>IFERROR(MAX(0,INDEX(Input!$1:$1048576,W$93,$C397*2+MIN($B397,2)+5)-0%,),"Market")</f>
        <v>3.9E-2</v>
      </c>
      <c r="X397" s="476" t="str">
        <f>INDEX(Input!$1:$1048576,X$93,$C397*2+MIN($B397,2)+5)</f>
        <v>Y</v>
      </c>
      <c r="Y397" s="475">
        <f>INDEX(Input!$1:$1048576,Y$93,$C397*2+MIN($B397,2)+5)
++INDEX(Scenarios!Y$121:Y$200,MATCH($B397,Scenarios!$B$121:$B$200,0))</f>
        <v>1554.9999999999991</v>
      </c>
      <c r="Z397" s="477">
        <f>INDEX(Input!$1:$1048576,Z$93,$C397*2+MIN($B397,2)+5)
+INDEX(Scenarios!Z$121:Z$200,MATCH($B397,Scenarios!$B$121:$B$200,0))</f>
        <v>0</v>
      </c>
      <c r="AA397" s="475">
        <f>INDEX(Input!$1:$1048576,AA$93,$C397*2+MIN($B397,2)+5)
+INDEX(Scenarios!AA$121:AA$200,MATCH($B397,Scenarios!$B$121:$B$200,0))</f>
        <v>0</v>
      </c>
      <c r="AB397" s="476">
        <f>INDEX(Input!$1:$1048576,AB$93,$C397*2+MIN($B397,2)+5)</f>
        <v>0.27</v>
      </c>
      <c r="AC397" s="475">
        <f>INDEX(Input!$1:$1048576,AC$93,$C397*2+MIN($B397,2)+5)
+INDEX(Scenarios!AC$121:AC$200,MATCH($B397,Scenarios!$B$121:$B$200,0))</f>
        <v>0</v>
      </c>
      <c r="AD397" s="476">
        <f>INDEX(Input!$1:$1048576,AD$93,$C397*2+MIN($B397,2)+5)</f>
        <v>0.27</v>
      </c>
      <c r="AE397" s="475">
        <f>INDEX(Input!$1:$1048576,AE$93,$C397*2+MIN($B397,2)+5)
+INDEX(Scenarios!AE$121:AE$200,MATCH($B397,Scenarios!$B$121:$B$200,0))</f>
        <v>0</v>
      </c>
      <c r="AF397" s="476">
        <f>INDEX(Input!$1:$1048576,AF$93,$C397*2+MIN($B397,2)+5)</f>
        <v>0.68200000000000005</v>
      </c>
      <c r="AG397" s="475">
        <f>INDEX(Input!$1:$1048576,AG$93,$C397*2+MIN($B397,2)+5)
+INDEX(Scenarios!AG$121:AG$200,MATCH($B397,Scenarios!$B$121:$B$200,0))</f>
        <v>500</v>
      </c>
      <c r="AH397" s="476">
        <f>INDEX(Input!$1:$1048576,AH$93,$C397*2+MIN($B397,2)+5)</f>
        <v>1</v>
      </c>
      <c r="AI397" s="475">
        <f>INDEX(Input!$1:$1048576,AI$93,$C397*2+MIN($B397,2)+5)
+INDEX(Scenarios!AI$121:AI$200,MATCH($B397,Scenarios!$B$121:$B$200,0))</f>
        <v>0</v>
      </c>
      <c r="AJ397" s="476">
        <f>INDEX(Input!$1:$1048576,AJ$93,$C397*2+MIN($B397,2)+5)</f>
        <v>0.27</v>
      </c>
      <c r="AK397" s="150">
        <f>ROUND(INDEX(Input!$1:$1048576,AK$93,$C396*2+MIN($B397,1)+5)+(Y397-VLOOKUP($C397*1000+1,$A:$HH,Y$92,FALSE)),0)</f>
        <v>2977</v>
      </c>
      <c r="AL397" s="150">
        <f>ROUND(INDEX(Input!$1:$1048576,AL$93,$C396*2+MIN($B397,1)+5)-(Y397-VLOOKUP($C397*1000+1,$A:$HH,Y$92,FALSE))/36,0)</f>
        <v>3395</v>
      </c>
      <c r="AM397" s="32" t="str">
        <f t="shared" si="1047"/>
        <v>std/std/std/std</v>
      </c>
      <c r="AN397" s="32" t="str">
        <f t="shared" si="1048"/>
        <v>$0 + 0/0/0/1.9/3.9</v>
      </c>
      <c r="AO397" s="32" t="str">
        <f t="shared" si="1049"/>
        <v>0/0/0/1.9/3.9</v>
      </c>
      <c r="AP397" s="32" t="str">
        <f t="shared" si="993"/>
        <v>0/0.9/1.9/3.9</v>
      </c>
      <c r="AQ397" s="536">
        <f t="shared" si="992"/>
        <v>0</v>
      </c>
      <c r="AR397" s="32"/>
      <c r="AS397" s="302"/>
      <c r="AT397" s="3">
        <f t="shared" si="1066"/>
        <v>97</v>
      </c>
      <c r="AU397" s="41" t="s">
        <v>121</v>
      </c>
      <c r="AV397" s="41" t="s">
        <v>116</v>
      </c>
      <c r="AW397" s="41" t="str">
        <f>INDEX(Input!$1:$1048576,AW$93,$C397*2+6)</f>
        <v>Kia</v>
      </c>
      <c r="AX397" s="41" t="str">
        <f>INDEX(Input!$1:$1048576,AX$93,$C397*2+6)</f>
        <v>Kia-LR - L3</v>
      </c>
      <c r="AY397" s="41" t="str">
        <f>IF(LEN(D397)=0,"",INDEX(Input!$1:$1048576,AY$93,$C397*2+6))</f>
        <v/>
      </c>
      <c r="AZ397" s="41" t="str">
        <f>INDEX(Input!$1:$1048576,AZ$93,$C397*2+6)</f>
        <v>Kia Soul</v>
      </c>
      <c r="BA397" s="3">
        <f>INDEX(Input!$1:$1048576,BA$93,$C397*2+6)</f>
        <v>2020</v>
      </c>
      <c r="BB397" s="128">
        <f>INDEX(Input!$1:$1048576,BB$93,$C397*2+6)</f>
        <v>1</v>
      </c>
      <c r="BC397" s="128">
        <f>INDEX(Input!$1:$1048576,BC$93,$C397*2+6)</f>
        <v>0.7</v>
      </c>
      <c r="BD397" s="1">
        <f>INDEX(Input!$1:$1048576,BD$93,$C397*2+6)</f>
        <v>4.4999999999999998E-2</v>
      </c>
      <c r="BE397" s="1">
        <f>INDEX(Input!$1:$1048576,BE$93,$C397*2+6)</f>
        <v>4.4999999999999998E-2</v>
      </c>
      <c r="BF397" s="1">
        <f>INDEX(Input!$1:$1048576,BF$93,$C397*2+6)</f>
        <v>0.05</v>
      </c>
      <c r="BG397" s="1">
        <f>INDEX(Input!$1:$1048576,BG$93,$C397*2+6)</f>
        <v>5.45E-2</v>
      </c>
      <c r="BH397" s="1">
        <f>INDEX(Input!$1:$1048576,BH$93,$C397*2+6)</f>
        <v>5.45E-2</v>
      </c>
      <c r="BI397" s="1">
        <f>INDEX(Input!$1:$1048576,BI$93,$C397*2+6)</f>
        <v>0.05</v>
      </c>
      <c r="BJ397" s="1">
        <f>INDEX(Input!$1:$1048576,BJ$93,$C397*2+6)</f>
        <v>0.05</v>
      </c>
      <c r="BK397" s="1">
        <f>INDEX(Input!$1:$1048576,BK$93,$C397*2+6)</f>
        <v>0.05</v>
      </c>
      <c r="BL397" s="1">
        <f>INDEX(Input!$1:$1048576,BL$93,$C397*2+6)</f>
        <v>5.5E-2</v>
      </c>
      <c r="BM397" s="1">
        <f>INDEX(Input!$1:$1048576,BM$93,$C397*2+6)</f>
        <v>0.06</v>
      </c>
      <c r="BN397" s="1">
        <f>INDEX(Input!$1:$1048576,BN$93,$C397*2+6)</f>
        <v>4.4999999999999998E-2</v>
      </c>
      <c r="BO397" s="1">
        <f>INDEX(Input!$1:$1048576,BO$93,$C397*2+6)</f>
        <v>4.4999999999999998E-2</v>
      </c>
      <c r="BP397" s="1">
        <f>INDEX(Input!$1:$1048576,BP$93,$C397*2+6)</f>
        <v>0.05</v>
      </c>
      <c r="BQ397" s="1">
        <f>INDEX(Input!$1:$1048576,BQ$93,$C397*2+6)</f>
        <v>5.45E-2</v>
      </c>
      <c r="BR397" s="1">
        <f>INDEX(Input!$1:$1048576,BR$93,$C397*2+6)</f>
        <v>5.45E-2</v>
      </c>
      <c r="BS397" s="1">
        <f>INDEX(Input!$1:$1048576,BS$93,$C397*2+6)</f>
        <v>0.05</v>
      </c>
      <c r="BT397" s="1">
        <f>INDEX(Input!$1:$1048576,BT$93,$C397*2+6)</f>
        <v>0.05</v>
      </c>
      <c r="BU397" s="1">
        <f>INDEX(Input!$1:$1048576,BU$93,$C397*2+6)</f>
        <v>0.05</v>
      </c>
      <c r="BV397" s="1">
        <f>INDEX(Input!$1:$1048576,BV$93,$C397*2+6)</f>
        <v>5.5E-2</v>
      </c>
      <c r="BW397" s="1">
        <f>INDEX(Input!$1:$1048576,BW$93,$C397*2+6)</f>
        <v>0.06</v>
      </c>
      <c r="BX397" s="127">
        <f>INDEX(Input!$1:$1048576,BX$93,$C397*2+6)</f>
        <v>19985</v>
      </c>
      <c r="BY397" s="20">
        <f>INDEX(Input!$1:$1048576,BY$93,$C397*2+6)</f>
        <v>0.1</v>
      </c>
      <c r="BZ397" s="20">
        <f>INDEX(Input!$1:$1048576,BZ$93,$C397*2+6)</f>
        <v>0.1</v>
      </c>
      <c r="CA397" s="20">
        <f>INDEX(Input!$1:$1048576,CA$93,$C397*2+6)</f>
        <v>0.1</v>
      </c>
      <c r="CB397" s="20">
        <f>INDEX(Input!$1:$1048576,CB$93,$C397*2+6)</f>
        <v>0.1</v>
      </c>
      <c r="CC397" s="20">
        <f>INDEX(Input!$1:$1048576,CC$93,$C397*2+6)</f>
        <v>0.1</v>
      </c>
      <c r="CD397" s="384">
        <f>INDEX(Input!$1:$1048576,CD$93,$C397*2+6)</f>
        <v>0.1</v>
      </c>
      <c r="CE397" s="384">
        <f>INDEX(Input!$1:$1048576,CE$93,$C397*2+6)</f>
        <v>0.1</v>
      </c>
      <c r="CF397" s="384">
        <f>INDEX(Input!$1:$1048576,CF$93,$C397*2+6)</f>
        <v>0.1</v>
      </c>
      <c r="CG397" s="384">
        <f>INDEX(Input!$1:$1048576,CG$93,$C397*2+6)</f>
        <v>0.1</v>
      </c>
      <c r="CH397" s="384">
        <f>INDEX(Input!$1:$1048576,CH$93,$C397*2+6)</f>
        <v>0.1</v>
      </c>
      <c r="CI397" s="304">
        <f t="shared" si="994"/>
        <v>1287.0236024844721</v>
      </c>
      <c r="CJ397" s="16" t="str">
        <f>INDEX(Input!$1:$1048576,CJ$93,$C397*2+6)</f>
        <v>N</v>
      </c>
      <c r="CK397" s="1" t="str">
        <f t="shared" si="995"/>
        <v>Market</v>
      </c>
      <c r="CL397" s="1" t="str">
        <f t="shared" si="996"/>
        <v>Market</v>
      </c>
      <c r="CM397" s="1" t="str">
        <f t="shared" si="997"/>
        <v>Market</v>
      </c>
      <c r="CN397" s="1" t="str">
        <f t="shared" si="998"/>
        <v>Market</v>
      </c>
      <c r="CO397" s="1" t="str">
        <f t="shared" si="999"/>
        <v>Market</v>
      </c>
      <c r="CP397" s="304">
        <f t="shared" si="1000"/>
        <v>500</v>
      </c>
      <c r="CQ397" s="1">
        <f t="shared" si="1001"/>
        <v>0</v>
      </c>
      <c r="CR397" s="1">
        <f t="shared" si="1002"/>
        <v>0</v>
      </c>
      <c r="CS397" s="1">
        <f t="shared" si="1003"/>
        <v>0</v>
      </c>
      <c r="CT397" s="1">
        <f t="shared" si="1004"/>
        <v>1.9E-2</v>
      </c>
      <c r="CU397" s="1">
        <f t="shared" si="1005"/>
        <v>3.9E-2</v>
      </c>
      <c r="CV397" s="304">
        <f t="shared" si="1006"/>
        <v>1554.9999999999991</v>
      </c>
      <c r="CW397" s="20" t="s">
        <v>122</v>
      </c>
      <c r="CX397" s="20" t="s">
        <v>122</v>
      </c>
      <c r="CY397" s="20" t="s">
        <v>122</v>
      </c>
      <c r="CZ397" s="20" t="s">
        <v>122</v>
      </c>
      <c r="DA397" s="20" t="s">
        <v>122</v>
      </c>
      <c r="DB397" s="503">
        <f t="shared" si="1007"/>
        <v>0</v>
      </c>
      <c r="DC397" s="127">
        <v>0</v>
      </c>
      <c r="DD397" s="127">
        <v>0</v>
      </c>
      <c r="DE397" s="127">
        <v>0</v>
      </c>
      <c r="DF397" s="127">
        <v>0</v>
      </c>
      <c r="DG397" s="127">
        <v>0</v>
      </c>
      <c r="DH397" s="127">
        <v>0</v>
      </c>
      <c r="DI397" s="127">
        <v>0</v>
      </c>
      <c r="DJ397" s="127">
        <v>0</v>
      </c>
      <c r="DK397" s="127">
        <v>0</v>
      </c>
      <c r="DL397" s="127">
        <v>0</v>
      </c>
      <c r="DM397" s="304">
        <f>INDEX(Input!$1:$1048576,DM$93,$C397*2+6)</f>
        <v>21036.84210526316</v>
      </c>
      <c r="DN397" s="20">
        <v>0</v>
      </c>
      <c r="DO397" s="20">
        <v>0</v>
      </c>
      <c r="DP397" s="20">
        <v>0</v>
      </c>
      <c r="DQ397" s="20">
        <v>0</v>
      </c>
      <c r="DR397" s="20">
        <v>0</v>
      </c>
      <c r="DS397" s="20">
        <f>INDEX(Input!$1:$1048576,DS$93,$C397*2+6)</f>
        <v>0.6</v>
      </c>
      <c r="DT397" s="20">
        <f>INDEX(Input!$1:$1048576,DT$93,$C397*2+6)</f>
        <v>0.55000000000000004</v>
      </c>
      <c r="DU397" s="20">
        <f>INDEX(Input!$1:$1048576,DU$93,$C397*2+6)</f>
        <v>0.52</v>
      </c>
      <c r="DV397" s="20">
        <f>INDEX(Input!$1:$1048576,DV$93,$C397*2+6)</f>
        <v>0.5</v>
      </c>
      <c r="DW397" s="20">
        <f>INDEX(Input!$1:$1048576,DW$93,$C397*2+6)</f>
        <v>0.45</v>
      </c>
      <c r="DX397" s="20"/>
      <c r="DY397" s="7"/>
      <c r="DZ397" s="7"/>
      <c r="EA397" s="7"/>
      <c r="EB397" s="7"/>
      <c r="EC397" s="7"/>
      <c r="ED397" s="7"/>
      <c r="EE397" s="7"/>
      <c r="EF397" s="7"/>
      <c r="EG397" s="7"/>
      <c r="EH397" s="7"/>
      <c r="EI397" s="7"/>
      <c r="EJ397" s="7"/>
      <c r="EK397" s="7"/>
      <c r="EL397" s="7"/>
      <c r="EM397" s="7"/>
      <c r="EN397" s="7"/>
      <c r="EO397" s="7"/>
      <c r="EP397" s="7"/>
      <c r="EQ397" s="7"/>
      <c r="ER397" s="7"/>
      <c r="ES397" s="7"/>
      <c r="ET397" s="7"/>
      <c r="EU397" s="6"/>
      <c r="EV397" s="6"/>
      <c r="EW397" s="6"/>
      <c r="EX397" s="6"/>
      <c r="EY397" s="6"/>
      <c r="EZ397" s="6"/>
      <c r="FA397" s="6"/>
      <c r="FB397" s="6"/>
      <c r="FC397" s="6"/>
      <c r="FD397" s="6"/>
      <c r="FE397" s="6"/>
      <c r="FF397" s="6"/>
      <c r="FG397" s="6"/>
      <c r="FH397" s="6"/>
      <c r="FI397" s="6"/>
      <c r="FJ397" s="6"/>
      <c r="FK397" s="6"/>
      <c r="FL397" s="6"/>
      <c r="FM397" s="6"/>
      <c r="FN397" s="6"/>
      <c r="FO397" s="6"/>
      <c r="FP397" s="6"/>
      <c r="FQ397" s="6"/>
      <c r="FR397" s="6"/>
      <c r="FS397" s="6"/>
      <c r="FT397" s="7"/>
      <c r="FU397" s="7"/>
      <c r="FV397" s="7"/>
      <c r="FW397" s="6"/>
      <c r="FX397" s="6"/>
      <c r="FY397" s="6"/>
      <c r="FZ397" s="6"/>
      <c r="GA397" s="6"/>
      <c r="GB397" s="6"/>
      <c r="GC397" s="7"/>
      <c r="GD397" s="7"/>
      <c r="GE397" s="7"/>
      <c r="GF397" s="7"/>
      <c r="GG397" s="7"/>
      <c r="GH397" s="42"/>
      <c r="GI397" s="6"/>
      <c r="GJ397" s="14"/>
      <c r="GK397" s="14"/>
      <c r="GL397" s="14"/>
      <c r="GM397" s="14"/>
      <c r="GO397" s="5"/>
      <c r="GP397" s="5"/>
      <c r="GQ397" s="5"/>
      <c r="GR397" s="5"/>
      <c r="GS397" s="5"/>
      <c r="GT397" s="5"/>
      <c r="GU397" s="5"/>
      <c r="GV397" s="39"/>
      <c r="GW397" s="5"/>
      <c r="GX397" s="5"/>
      <c r="GY397" s="5"/>
      <c r="GZ397" s="5"/>
      <c r="HA397" s="5"/>
      <c r="HB397" s="39"/>
      <c r="HC397" s="5"/>
      <c r="HD397" s="5"/>
      <c r="HE397" s="5"/>
      <c r="HF397" s="5"/>
      <c r="HG397" s="5"/>
      <c r="HH397" s="39"/>
      <c r="HI397" s="16"/>
      <c r="HJ397" s="19"/>
      <c r="HK397" s="1"/>
      <c r="HL397" s="16"/>
      <c r="HM397" s="1"/>
      <c r="HN397" s="1"/>
      <c r="HO397" s="1"/>
      <c r="HP397" s="1"/>
      <c r="HQ397" s="1"/>
      <c r="HR397" s="1"/>
      <c r="HS397" s="1"/>
      <c r="HT397" s="1"/>
      <c r="HU397" s="1"/>
      <c r="HV397" s="1"/>
      <c r="HW397" s="1"/>
      <c r="HX397" s="1"/>
      <c r="HY397" s="1"/>
      <c r="HZ397" s="1"/>
      <c r="IA397" s="1"/>
      <c r="IB397" s="1"/>
      <c r="IC397" s="1"/>
      <c r="ID397" s="1"/>
      <c r="IE397" s="1"/>
      <c r="IF397" s="1"/>
      <c r="IG397" s="1"/>
      <c r="IH397" s="21"/>
      <c r="II397" s="19"/>
      <c r="IJ397" s="19"/>
      <c r="IK397" s="19"/>
      <c r="IL397" s="19"/>
      <c r="IM397" s="19"/>
      <c r="IN397" s="19"/>
      <c r="IO397" s="39"/>
      <c r="IP397" s="39"/>
      <c r="IQ397" s="39"/>
      <c r="IR397" s="39"/>
      <c r="IS397" s="39"/>
      <c r="IT397" s="39"/>
      <c r="IU397" s="39"/>
      <c r="IV397" s="39"/>
      <c r="IW397" s="39"/>
      <c r="IX397" s="39"/>
      <c r="IY397" s="39"/>
      <c r="IZ397" s="39"/>
      <c r="JA397" s="19"/>
      <c r="JB397" s="19"/>
      <c r="JC397" s="19"/>
      <c r="JD397" s="19"/>
      <c r="JE397" s="21"/>
      <c r="JF397" s="1"/>
      <c r="JG397" s="15"/>
      <c r="JH397" s="1"/>
      <c r="JI397" s="1"/>
      <c r="JJ397" s="1"/>
      <c r="JK397" s="1"/>
      <c r="JL397" s="15"/>
      <c r="JM397" s="15"/>
      <c r="JN397" s="21"/>
      <c r="JO397" s="19"/>
      <c r="JP397" s="19"/>
      <c r="JQ397" s="39"/>
      <c r="JR397" s="39"/>
      <c r="JS397" s="39"/>
      <c r="JT397" s="39"/>
      <c r="JU397" s="385"/>
      <c r="JV397" s="39"/>
      <c r="JW397" s="1"/>
      <c r="JX397" s="19"/>
      <c r="JZ397" s="341"/>
      <c r="KA397" s="342"/>
      <c r="KB397" s="469"/>
      <c r="KI397" s="473"/>
      <c r="KJ397" s="473"/>
      <c r="KK397" s="473"/>
    </row>
    <row r="398" spans="1:297" s="26" customFormat="1" ht="15" outlineLevel="1">
      <c r="A398" s="561">
        <f t="shared" si="1046"/>
        <v>3098</v>
      </c>
      <c r="B398" s="561">
        <f t="shared" si="1064"/>
        <v>98</v>
      </c>
      <c r="C398" s="561">
        <f t="shared" si="1065"/>
        <v>3</v>
      </c>
      <c r="D398" s="561" t="str">
        <f t="shared" si="1109"/>
        <v/>
      </c>
      <c r="E398" s="475">
        <f>INDEX(Input!$1:$1048576,E$93,$C398*2+MIN($B398,2)+5)
+INDEX(Scenarios!E$121:E$200,MATCH($B398,Scenarios!$B$121:$B$200,0))</f>
        <v>1287.0236024844721</v>
      </c>
      <c r="F398" s="475">
        <f>INDEX(Input!$1:$1048576,F$93,$C398*2+MIN($B398,2)+5)
+INDEX(Scenarios!F$121:F$200,MATCH($B398,Scenarios!$B$121:$B$200,0))</f>
        <v>0</v>
      </c>
      <c r="G398" s="475">
        <f>INDEX(Input!$1:$1048576,G$93,$C398*2+MIN($B398,2)+5)
+INDEX(Scenarios!G$121:G$200,MATCH($B398,Scenarios!$B$121:$B$200,0))</f>
        <v>0</v>
      </c>
      <c r="H398" s="475">
        <f>INDEX(Input!$1:$1048576,H$93,$C398*2+MIN($B398,2)+5)
+INDEX(Scenarios!H$121:H$200,MATCH($B398,Scenarios!$B$121:$B$200,0))</f>
        <v>0</v>
      </c>
      <c r="I398" s="476">
        <f>INDEX(Input!$1:$1048576,I$93,$C398*2+MIN($B398,2)+5)</f>
        <v>0.7</v>
      </c>
      <c r="J398" s="476" t="str">
        <f>INDEX(Input!$1:$1048576,J$93,$C398*2+MIN($B398,2)+5)</f>
        <v>Market</v>
      </c>
      <c r="K398" s="476" t="str">
        <f>INDEX(Input!$1:$1048576,K$93,$C398*2+MIN($B398,2)+5)</f>
        <v>Market</v>
      </c>
      <c r="L398" s="476" t="str">
        <f>INDEX(Input!$1:$1048576,L$93,$C398*2+MIN($B398,2)+5)</f>
        <v>Market</v>
      </c>
      <c r="M398" s="476" t="str">
        <f>INDEX(Input!$1:$1048576,M$93,$C398*2+MIN($B398,2)+5)</f>
        <v>Market</v>
      </c>
      <c r="N398" s="476" t="str">
        <f>INDEX(Input!$1:$1048576,N$93,$C398*2+MIN($B398,2)+5)</f>
        <v>Market</v>
      </c>
      <c r="O398" s="476" t="str">
        <f>INDEX(Input!$1:$1048576,O$93,$C398*2+MIN($B398,2)+5)</f>
        <v>Market</v>
      </c>
      <c r="P398" s="476" t="str">
        <f>INDEX(Input!$1:$1048576,P$93,$C398*2+MIN($B398,2)+5)</f>
        <v>N</v>
      </c>
      <c r="Q398" s="477">
        <f>INDEX(Input!$1:$1048576,Q$93,$C398*2+MIN($B398,2)+5)
+INDEX(Scenarios!Q$121:Q$200,MATCH($B398,Scenarios!$B$121:$B$200,0))</f>
        <v>0</v>
      </c>
      <c r="R398" s="478">
        <f>IFERROR(MAX(0,INDEX(Input!$1:$1048576,R$93,$C398*2+MIN($B398,2)+5)
+INDEX(Scenarios!R$121:R$200,MATCH($B398,Scenarios!$B$121:$B$200,0)),),"Market")</f>
        <v>0</v>
      </c>
      <c r="S398" s="478">
        <f>IFERROR(MAX(0,INDEX(Input!$1:$1048576,S$93,$C398*2+MIN($B398,2)+5)
+INDEX(Scenarios!S$121:S$200,MATCH($B398,Scenarios!$B$121:$B$200,0)),),"Market")</f>
        <v>0</v>
      </c>
      <c r="T398" s="478">
        <f>IFERROR(MAX(0,INDEX(Input!$1:$1048576,T$93,$C398*2+MIN($B398,2)+5)
+INDEX(Scenarios!T$121:T$200,MATCH($B398,Scenarios!$B$121:$B$200,0)),),"Market")</f>
        <v>0</v>
      </c>
      <c r="U398" s="478">
        <f>IFERROR(MAX(0,INDEX(Input!$1:$1048576,U$93,$C398*2+MIN($B398,2)+5)
+INDEX(Scenarios!U$121:U$200,MATCH($B398,Scenarios!$B$121:$B$200,0)),),"Market")</f>
        <v>0</v>
      </c>
      <c r="V398" s="478">
        <f>IFERROR(MAX(0,INDEX(Input!$1:$1048576,V$93,$C398*2+MIN($B398,2)+5)
+INDEX(Scenarios!V$121:V$200,MATCH($B398,Scenarios!$B$121:$B$200,0)),),"Market")</f>
        <v>1.9E-2</v>
      </c>
      <c r="W398" s="885">
        <f>IFERROR(MAX(0,INDEX(Input!$1:$1048576,W$93,$C398*2+MIN($B398,2)+5)-0%,),"Market")</f>
        <v>3.9E-2</v>
      </c>
      <c r="X398" s="476" t="str">
        <f>INDEX(Input!$1:$1048576,X$93,$C398*2+MIN($B398,2)+5)</f>
        <v>Y</v>
      </c>
      <c r="Y398" s="475">
        <f>INDEX(Input!$1:$1048576,Y$93,$C398*2+MIN($B398,2)+5)
++INDEX(Scenarios!Y$121:Y$200,MATCH($B398,Scenarios!$B$121:$B$200,0))</f>
        <v>1554.9999999999991</v>
      </c>
      <c r="Z398" s="477">
        <f>INDEX(Input!$1:$1048576,Z$93,$C398*2+MIN($B398,2)+5)
+INDEX(Scenarios!Z$121:Z$200,MATCH($B398,Scenarios!$B$121:$B$200,0))</f>
        <v>0</v>
      </c>
      <c r="AA398" s="475">
        <f>INDEX(Input!$1:$1048576,AA$93,$C398*2+MIN($B398,2)+5)
+INDEX(Scenarios!AA$121:AA$200,MATCH($B398,Scenarios!$B$121:$B$200,0))</f>
        <v>0</v>
      </c>
      <c r="AB398" s="476">
        <f>INDEX(Input!$1:$1048576,AB$93,$C398*2+MIN($B398,2)+5)</f>
        <v>0.27</v>
      </c>
      <c r="AC398" s="475">
        <f>INDEX(Input!$1:$1048576,AC$93,$C398*2+MIN($B398,2)+5)
+INDEX(Scenarios!AC$121:AC$200,MATCH($B398,Scenarios!$B$121:$B$200,0))</f>
        <v>0</v>
      </c>
      <c r="AD398" s="476">
        <f>INDEX(Input!$1:$1048576,AD$93,$C398*2+MIN($B398,2)+5)</f>
        <v>0.27</v>
      </c>
      <c r="AE398" s="475">
        <f>INDEX(Input!$1:$1048576,AE$93,$C398*2+MIN($B398,2)+5)
+INDEX(Scenarios!AE$121:AE$200,MATCH($B398,Scenarios!$B$121:$B$200,0))</f>
        <v>0</v>
      </c>
      <c r="AF398" s="476">
        <f>INDEX(Input!$1:$1048576,AF$93,$C398*2+MIN($B398,2)+5)</f>
        <v>0.68200000000000005</v>
      </c>
      <c r="AG398" s="475">
        <f>INDEX(Input!$1:$1048576,AG$93,$C398*2+MIN($B398,2)+5)
+INDEX(Scenarios!AG$121:AG$200,MATCH($B398,Scenarios!$B$121:$B$200,0))</f>
        <v>500</v>
      </c>
      <c r="AH398" s="476">
        <f>INDEX(Input!$1:$1048576,AH$93,$C398*2+MIN($B398,2)+5)</f>
        <v>1</v>
      </c>
      <c r="AI398" s="475">
        <f>INDEX(Input!$1:$1048576,AI$93,$C398*2+MIN($B398,2)+5)
+INDEX(Scenarios!AI$121:AI$200,MATCH($B398,Scenarios!$B$121:$B$200,0))</f>
        <v>0</v>
      </c>
      <c r="AJ398" s="476">
        <f>INDEX(Input!$1:$1048576,AJ$93,$C398*2+MIN($B398,2)+5)</f>
        <v>0.27</v>
      </c>
      <c r="AK398" s="150">
        <f>ROUND(INDEX(Input!$1:$1048576,AK$93,$C397*2+MIN($B398,1)+5)+(Y398-VLOOKUP($C398*1000+1,$A:$HH,Y$92,FALSE)),0)</f>
        <v>2977</v>
      </c>
      <c r="AL398" s="150">
        <f>ROUND(INDEX(Input!$1:$1048576,AL$93,$C397*2+MIN($B398,1)+5)-(Y398-VLOOKUP($C398*1000+1,$A:$HH,Y$92,FALSE))/36,0)</f>
        <v>3395</v>
      </c>
      <c r="AM398" s="32" t="str">
        <f t="shared" si="1047"/>
        <v>std/std/std/std</v>
      </c>
      <c r="AN398" s="32" t="str">
        <f t="shared" si="1048"/>
        <v>$0 + 0/0/0/1.9/3.9</v>
      </c>
      <c r="AO398" s="32" t="str">
        <f t="shared" si="1049"/>
        <v>0/0/0/1.9/3.9</v>
      </c>
      <c r="AP398" s="32" t="str">
        <f t="shared" si="993"/>
        <v>0/0.9/1.9/3.9</v>
      </c>
      <c r="AQ398" s="536">
        <f t="shared" si="992"/>
        <v>0</v>
      </c>
      <c r="AR398" s="32"/>
      <c r="AS398" s="302"/>
      <c r="AT398" s="3">
        <f t="shared" si="1066"/>
        <v>98</v>
      </c>
      <c r="AU398" s="41" t="s">
        <v>121</v>
      </c>
      <c r="AV398" s="41" t="s">
        <v>116</v>
      </c>
      <c r="AW398" s="41" t="str">
        <f>INDEX(Input!$1:$1048576,AW$93,$C398*2+6)</f>
        <v>Kia</v>
      </c>
      <c r="AX398" s="41" t="str">
        <f>INDEX(Input!$1:$1048576,AX$93,$C398*2+6)</f>
        <v>Kia-LR - L3</v>
      </c>
      <c r="AY398" s="41" t="str">
        <f>IF(LEN(D398)=0,"",INDEX(Input!$1:$1048576,AY$93,$C398*2+6))</f>
        <v/>
      </c>
      <c r="AZ398" s="41" t="str">
        <f>INDEX(Input!$1:$1048576,AZ$93,$C398*2+6)</f>
        <v>Kia Soul</v>
      </c>
      <c r="BA398" s="3">
        <f>INDEX(Input!$1:$1048576,BA$93,$C398*2+6)</f>
        <v>2020</v>
      </c>
      <c r="BB398" s="128">
        <f>INDEX(Input!$1:$1048576,BB$93,$C398*2+6)</f>
        <v>1</v>
      </c>
      <c r="BC398" s="128">
        <f>INDEX(Input!$1:$1048576,BC$93,$C398*2+6)</f>
        <v>0.7</v>
      </c>
      <c r="BD398" s="1">
        <f>INDEX(Input!$1:$1048576,BD$93,$C398*2+6)</f>
        <v>4.4999999999999998E-2</v>
      </c>
      <c r="BE398" s="1">
        <f>INDEX(Input!$1:$1048576,BE$93,$C398*2+6)</f>
        <v>4.4999999999999998E-2</v>
      </c>
      <c r="BF398" s="1">
        <f>INDEX(Input!$1:$1048576,BF$93,$C398*2+6)</f>
        <v>0.05</v>
      </c>
      <c r="BG398" s="1">
        <f>INDEX(Input!$1:$1048576,BG$93,$C398*2+6)</f>
        <v>5.45E-2</v>
      </c>
      <c r="BH398" s="1">
        <f>INDEX(Input!$1:$1048576,BH$93,$C398*2+6)</f>
        <v>5.45E-2</v>
      </c>
      <c r="BI398" s="1">
        <f>INDEX(Input!$1:$1048576,BI$93,$C398*2+6)</f>
        <v>0.05</v>
      </c>
      <c r="BJ398" s="1">
        <f>INDEX(Input!$1:$1048576,BJ$93,$C398*2+6)</f>
        <v>0.05</v>
      </c>
      <c r="BK398" s="1">
        <f>INDEX(Input!$1:$1048576,BK$93,$C398*2+6)</f>
        <v>0.05</v>
      </c>
      <c r="BL398" s="1">
        <f>INDEX(Input!$1:$1048576,BL$93,$C398*2+6)</f>
        <v>5.5E-2</v>
      </c>
      <c r="BM398" s="1">
        <f>INDEX(Input!$1:$1048576,BM$93,$C398*2+6)</f>
        <v>0.06</v>
      </c>
      <c r="BN398" s="1">
        <f>INDEX(Input!$1:$1048576,BN$93,$C398*2+6)</f>
        <v>4.4999999999999998E-2</v>
      </c>
      <c r="BO398" s="1">
        <f>INDEX(Input!$1:$1048576,BO$93,$C398*2+6)</f>
        <v>4.4999999999999998E-2</v>
      </c>
      <c r="BP398" s="1">
        <f>INDEX(Input!$1:$1048576,BP$93,$C398*2+6)</f>
        <v>0.05</v>
      </c>
      <c r="BQ398" s="1">
        <f>INDEX(Input!$1:$1048576,BQ$93,$C398*2+6)</f>
        <v>5.45E-2</v>
      </c>
      <c r="BR398" s="1">
        <f>INDEX(Input!$1:$1048576,BR$93,$C398*2+6)</f>
        <v>5.45E-2</v>
      </c>
      <c r="BS398" s="1">
        <f>INDEX(Input!$1:$1048576,BS$93,$C398*2+6)</f>
        <v>0.05</v>
      </c>
      <c r="BT398" s="1">
        <f>INDEX(Input!$1:$1048576,BT$93,$C398*2+6)</f>
        <v>0.05</v>
      </c>
      <c r="BU398" s="1">
        <f>INDEX(Input!$1:$1048576,BU$93,$C398*2+6)</f>
        <v>0.05</v>
      </c>
      <c r="BV398" s="1">
        <f>INDEX(Input!$1:$1048576,BV$93,$C398*2+6)</f>
        <v>5.5E-2</v>
      </c>
      <c r="BW398" s="1">
        <f>INDEX(Input!$1:$1048576,BW$93,$C398*2+6)</f>
        <v>0.06</v>
      </c>
      <c r="BX398" s="127">
        <f>INDEX(Input!$1:$1048576,BX$93,$C398*2+6)</f>
        <v>19985</v>
      </c>
      <c r="BY398" s="20">
        <f>INDEX(Input!$1:$1048576,BY$93,$C398*2+6)</f>
        <v>0.1</v>
      </c>
      <c r="BZ398" s="20">
        <f>INDEX(Input!$1:$1048576,BZ$93,$C398*2+6)</f>
        <v>0.1</v>
      </c>
      <c r="CA398" s="20">
        <f>INDEX(Input!$1:$1048576,CA$93,$C398*2+6)</f>
        <v>0.1</v>
      </c>
      <c r="CB398" s="20">
        <f>INDEX(Input!$1:$1048576,CB$93,$C398*2+6)</f>
        <v>0.1</v>
      </c>
      <c r="CC398" s="20">
        <f>INDEX(Input!$1:$1048576,CC$93,$C398*2+6)</f>
        <v>0.1</v>
      </c>
      <c r="CD398" s="384">
        <f>INDEX(Input!$1:$1048576,CD$93,$C398*2+6)</f>
        <v>0.1</v>
      </c>
      <c r="CE398" s="384">
        <f>INDEX(Input!$1:$1048576,CE$93,$C398*2+6)</f>
        <v>0.1</v>
      </c>
      <c r="CF398" s="384">
        <f>INDEX(Input!$1:$1048576,CF$93,$C398*2+6)</f>
        <v>0.1</v>
      </c>
      <c r="CG398" s="384">
        <f>INDEX(Input!$1:$1048576,CG$93,$C398*2+6)</f>
        <v>0.1</v>
      </c>
      <c r="CH398" s="384">
        <f>INDEX(Input!$1:$1048576,CH$93,$C398*2+6)</f>
        <v>0.1</v>
      </c>
      <c r="CI398" s="304">
        <f t="shared" si="994"/>
        <v>1287.0236024844721</v>
      </c>
      <c r="CJ398" s="16" t="str">
        <f>INDEX(Input!$1:$1048576,CJ$93,$C398*2+6)</f>
        <v>N</v>
      </c>
      <c r="CK398" s="1" t="str">
        <f t="shared" si="995"/>
        <v>Market</v>
      </c>
      <c r="CL398" s="1" t="str">
        <f t="shared" si="996"/>
        <v>Market</v>
      </c>
      <c r="CM398" s="1" t="str">
        <f t="shared" si="997"/>
        <v>Market</v>
      </c>
      <c r="CN398" s="1" t="str">
        <f t="shared" si="998"/>
        <v>Market</v>
      </c>
      <c r="CO398" s="1" t="str">
        <f t="shared" si="999"/>
        <v>Market</v>
      </c>
      <c r="CP398" s="304">
        <f t="shared" si="1000"/>
        <v>500</v>
      </c>
      <c r="CQ398" s="1">
        <f t="shared" si="1001"/>
        <v>0</v>
      </c>
      <c r="CR398" s="1">
        <f t="shared" si="1002"/>
        <v>0</v>
      </c>
      <c r="CS398" s="1">
        <f t="shared" si="1003"/>
        <v>0</v>
      </c>
      <c r="CT398" s="1">
        <f t="shared" si="1004"/>
        <v>1.9E-2</v>
      </c>
      <c r="CU398" s="1">
        <f t="shared" si="1005"/>
        <v>3.9E-2</v>
      </c>
      <c r="CV398" s="304">
        <f t="shared" si="1006"/>
        <v>1554.9999999999991</v>
      </c>
      <c r="CW398" s="20" t="s">
        <v>122</v>
      </c>
      <c r="CX398" s="20" t="s">
        <v>122</v>
      </c>
      <c r="CY398" s="20" t="s">
        <v>122</v>
      </c>
      <c r="CZ398" s="20" t="s">
        <v>122</v>
      </c>
      <c r="DA398" s="20" t="s">
        <v>122</v>
      </c>
      <c r="DB398" s="503">
        <f t="shared" si="1007"/>
        <v>0</v>
      </c>
      <c r="DC398" s="127">
        <v>0</v>
      </c>
      <c r="DD398" s="127">
        <v>0</v>
      </c>
      <c r="DE398" s="127">
        <v>0</v>
      </c>
      <c r="DF398" s="127">
        <v>0</v>
      </c>
      <c r="DG398" s="127">
        <v>0</v>
      </c>
      <c r="DH398" s="127">
        <v>0</v>
      </c>
      <c r="DI398" s="127">
        <v>0</v>
      </c>
      <c r="DJ398" s="127">
        <v>0</v>
      </c>
      <c r="DK398" s="127">
        <v>0</v>
      </c>
      <c r="DL398" s="127">
        <v>0</v>
      </c>
      <c r="DM398" s="304">
        <f>INDEX(Input!$1:$1048576,DM$93,$C398*2+6)</f>
        <v>21036.84210526316</v>
      </c>
      <c r="DN398" s="20">
        <v>0</v>
      </c>
      <c r="DO398" s="20">
        <v>0</v>
      </c>
      <c r="DP398" s="20">
        <v>0</v>
      </c>
      <c r="DQ398" s="20">
        <v>0</v>
      </c>
      <c r="DR398" s="20">
        <v>0</v>
      </c>
      <c r="DS398" s="20">
        <f>INDEX(Input!$1:$1048576,DS$93,$C398*2+6)</f>
        <v>0.6</v>
      </c>
      <c r="DT398" s="20">
        <f>INDEX(Input!$1:$1048576,DT$93,$C398*2+6)</f>
        <v>0.55000000000000004</v>
      </c>
      <c r="DU398" s="20">
        <f>INDEX(Input!$1:$1048576,DU$93,$C398*2+6)</f>
        <v>0.52</v>
      </c>
      <c r="DV398" s="20">
        <f>INDEX(Input!$1:$1048576,DV$93,$C398*2+6)</f>
        <v>0.5</v>
      </c>
      <c r="DW398" s="20">
        <f>INDEX(Input!$1:$1048576,DW$93,$C398*2+6)</f>
        <v>0.45</v>
      </c>
      <c r="DX398" s="20"/>
      <c r="DY398" s="7"/>
      <c r="DZ398" s="7"/>
      <c r="EA398" s="7"/>
      <c r="EB398" s="7"/>
      <c r="EC398" s="7"/>
      <c r="ED398" s="7"/>
      <c r="EE398" s="7"/>
      <c r="EF398" s="7"/>
      <c r="EG398" s="7"/>
      <c r="EH398" s="7"/>
      <c r="EI398" s="7"/>
      <c r="EJ398" s="7"/>
      <c r="EK398" s="7"/>
      <c r="EL398" s="7"/>
      <c r="EM398" s="7"/>
      <c r="EN398" s="7"/>
      <c r="EO398" s="7"/>
      <c r="EP398" s="7"/>
      <c r="EQ398" s="7"/>
      <c r="ER398" s="7"/>
      <c r="ES398" s="7"/>
      <c r="ET398" s="7"/>
      <c r="EU398" s="6"/>
      <c r="EV398" s="6"/>
      <c r="EW398" s="6"/>
      <c r="EX398" s="6"/>
      <c r="EY398" s="6"/>
      <c r="EZ398" s="6"/>
      <c r="FA398" s="6"/>
      <c r="FB398" s="6"/>
      <c r="FC398" s="6"/>
      <c r="FD398" s="6"/>
      <c r="FE398" s="6"/>
      <c r="FF398" s="6"/>
      <c r="FG398" s="6"/>
      <c r="FH398" s="6"/>
      <c r="FI398" s="6"/>
      <c r="FJ398" s="6"/>
      <c r="FK398" s="6"/>
      <c r="FL398" s="6"/>
      <c r="FM398" s="6"/>
      <c r="FN398" s="6"/>
      <c r="FO398" s="6"/>
      <c r="FP398" s="6"/>
      <c r="FQ398" s="6"/>
      <c r="FR398" s="6"/>
      <c r="FS398" s="6"/>
      <c r="FT398" s="7"/>
      <c r="FU398" s="7"/>
      <c r="FV398" s="7"/>
      <c r="FW398" s="6"/>
      <c r="FX398" s="6"/>
      <c r="FY398" s="6"/>
      <c r="FZ398" s="6"/>
      <c r="GA398" s="6"/>
      <c r="GB398" s="6"/>
      <c r="GC398" s="7"/>
      <c r="GD398" s="7"/>
      <c r="GE398" s="7"/>
      <c r="GF398" s="7"/>
      <c r="GG398" s="7"/>
      <c r="GH398" s="42"/>
      <c r="GI398" s="6"/>
      <c r="GJ398" s="14"/>
      <c r="GK398" s="14"/>
      <c r="GL398" s="14"/>
      <c r="GM398" s="14"/>
      <c r="GO398" s="5"/>
      <c r="GP398" s="5"/>
      <c r="GQ398" s="5"/>
      <c r="GR398" s="5"/>
      <c r="GS398" s="5"/>
      <c r="GT398" s="5"/>
      <c r="GU398" s="5"/>
      <c r="GV398" s="39"/>
      <c r="GW398" s="5"/>
      <c r="GX398" s="5"/>
      <c r="GY398" s="5"/>
      <c r="GZ398" s="5"/>
      <c r="HA398" s="5"/>
      <c r="HB398" s="39"/>
      <c r="HC398" s="5"/>
      <c r="HD398" s="5"/>
      <c r="HE398" s="5"/>
      <c r="HF398" s="5"/>
      <c r="HG398" s="5"/>
      <c r="HH398" s="39"/>
      <c r="HI398" s="16"/>
      <c r="HJ398" s="19"/>
      <c r="HK398" s="1"/>
      <c r="HL398" s="16"/>
      <c r="HM398" s="1"/>
      <c r="HN398" s="1"/>
      <c r="HO398" s="1"/>
      <c r="HP398" s="1"/>
      <c r="HQ398" s="1"/>
      <c r="HR398" s="1"/>
      <c r="HS398" s="1"/>
      <c r="HT398" s="1"/>
      <c r="HU398" s="1"/>
      <c r="HV398" s="1"/>
      <c r="HW398" s="1"/>
      <c r="HX398" s="1"/>
      <c r="HY398" s="1"/>
      <c r="HZ398" s="1"/>
      <c r="IA398" s="1"/>
      <c r="IB398" s="1"/>
      <c r="IC398" s="1"/>
      <c r="ID398" s="1"/>
      <c r="IE398" s="1"/>
      <c r="IF398" s="1"/>
      <c r="IG398" s="1"/>
      <c r="IH398" s="21"/>
      <c r="II398" s="19"/>
      <c r="IJ398" s="19"/>
      <c r="IK398" s="19"/>
      <c r="IL398" s="19"/>
      <c r="IM398" s="19"/>
      <c r="IN398" s="19"/>
      <c r="IO398" s="39"/>
      <c r="IP398" s="39"/>
      <c r="IQ398" s="39"/>
      <c r="IR398" s="39"/>
      <c r="IS398" s="39"/>
      <c r="IT398" s="39"/>
      <c r="IU398" s="39"/>
      <c r="IV398" s="39"/>
      <c r="IW398" s="39"/>
      <c r="IX398" s="39"/>
      <c r="IY398" s="39"/>
      <c r="IZ398" s="39"/>
      <c r="JA398" s="19"/>
      <c r="JB398" s="19"/>
      <c r="JC398" s="19"/>
      <c r="JD398" s="19"/>
      <c r="JE398" s="21"/>
      <c r="JF398" s="1"/>
      <c r="JG398" s="15"/>
      <c r="JH398" s="1"/>
      <c r="JI398" s="1"/>
      <c r="JJ398" s="1"/>
      <c r="JK398" s="1"/>
      <c r="JL398" s="15"/>
      <c r="JM398" s="15"/>
      <c r="JN398" s="21"/>
      <c r="JO398" s="19"/>
      <c r="JP398" s="19"/>
      <c r="JQ398" s="39"/>
      <c r="JR398" s="39"/>
      <c r="JS398" s="39"/>
      <c r="JT398" s="39"/>
      <c r="JU398" s="385"/>
      <c r="JV398" s="39"/>
      <c r="JW398" s="1"/>
      <c r="JX398" s="19"/>
      <c r="JZ398" s="341"/>
      <c r="KA398" s="342"/>
      <c r="KB398" s="469"/>
      <c r="KI398" s="473"/>
      <c r="KJ398" s="473"/>
      <c r="KK398" s="473"/>
    </row>
    <row r="399" spans="1:297" s="26" customFormat="1" ht="15" outlineLevel="1">
      <c r="A399" s="561">
        <f t="shared" si="1046"/>
        <v>3099</v>
      </c>
      <c r="B399" s="561">
        <f t="shared" si="1064"/>
        <v>99</v>
      </c>
      <c r="C399" s="561">
        <f t="shared" si="1065"/>
        <v>3</v>
      </c>
      <c r="D399" s="561" t="str">
        <f t="shared" si="1109"/>
        <v/>
      </c>
      <c r="E399" s="475">
        <f>INDEX(Input!$1:$1048576,E$93,$C399*2+MIN($B399,2)+5)
+INDEX(Scenarios!E$121:E$200,MATCH($B399,Scenarios!$B$121:$B$200,0))</f>
        <v>1287.0236024844721</v>
      </c>
      <c r="F399" s="475">
        <f>INDEX(Input!$1:$1048576,F$93,$C399*2+MIN($B399,2)+5)
+INDEX(Scenarios!F$121:F$200,MATCH($B399,Scenarios!$B$121:$B$200,0))</f>
        <v>0</v>
      </c>
      <c r="G399" s="475">
        <f>INDEX(Input!$1:$1048576,G$93,$C399*2+MIN($B399,2)+5)
+INDEX(Scenarios!G$121:G$200,MATCH($B399,Scenarios!$B$121:$B$200,0))</f>
        <v>0</v>
      </c>
      <c r="H399" s="475">
        <f>INDEX(Input!$1:$1048576,H$93,$C399*2+MIN($B399,2)+5)
+INDEX(Scenarios!H$121:H$200,MATCH($B399,Scenarios!$B$121:$B$200,0))</f>
        <v>0</v>
      </c>
      <c r="I399" s="476">
        <f>INDEX(Input!$1:$1048576,I$93,$C399*2+MIN($B399,2)+5)</f>
        <v>0.7</v>
      </c>
      <c r="J399" s="476" t="str">
        <f>INDEX(Input!$1:$1048576,J$93,$C399*2+MIN($B399,2)+5)</f>
        <v>Market</v>
      </c>
      <c r="K399" s="476" t="str">
        <f>INDEX(Input!$1:$1048576,K$93,$C399*2+MIN($B399,2)+5)</f>
        <v>Market</v>
      </c>
      <c r="L399" s="476" t="str">
        <f>INDEX(Input!$1:$1048576,L$93,$C399*2+MIN($B399,2)+5)</f>
        <v>Market</v>
      </c>
      <c r="M399" s="476" t="str">
        <f>INDEX(Input!$1:$1048576,M$93,$C399*2+MIN($B399,2)+5)</f>
        <v>Market</v>
      </c>
      <c r="N399" s="476" t="str">
        <f>INDEX(Input!$1:$1048576,N$93,$C399*2+MIN($B399,2)+5)</f>
        <v>Market</v>
      </c>
      <c r="O399" s="476" t="str">
        <f>INDEX(Input!$1:$1048576,O$93,$C399*2+MIN($B399,2)+5)</f>
        <v>Market</v>
      </c>
      <c r="P399" s="476" t="str">
        <f>INDEX(Input!$1:$1048576,P$93,$C399*2+MIN($B399,2)+5)</f>
        <v>N</v>
      </c>
      <c r="Q399" s="477">
        <f>INDEX(Input!$1:$1048576,Q$93,$C399*2+MIN($B399,2)+5)
+INDEX(Scenarios!Q$121:Q$200,MATCH($B399,Scenarios!$B$121:$B$200,0))</f>
        <v>0</v>
      </c>
      <c r="R399" s="478">
        <f>IFERROR(MAX(0,INDEX(Input!$1:$1048576,R$93,$C399*2+MIN($B399,2)+5)
+INDEX(Scenarios!R$121:R$200,MATCH($B399,Scenarios!$B$121:$B$200,0)),),"Market")</f>
        <v>0</v>
      </c>
      <c r="S399" s="478">
        <f>IFERROR(MAX(0,INDEX(Input!$1:$1048576,S$93,$C399*2+MIN($B399,2)+5)
+INDEX(Scenarios!S$121:S$200,MATCH($B399,Scenarios!$B$121:$B$200,0)),),"Market")</f>
        <v>0</v>
      </c>
      <c r="T399" s="478">
        <f>IFERROR(MAX(0,INDEX(Input!$1:$1048576,T$93,$C399*2+MIN($B399,2)+5)
+INDEX(Scenarios!T$121:T$200,MATCH($B399,Scenarios!$B$121:$B$200,0)),),"Market")</f>
        <v>0</v>
      </c>
      <c r="U399" s="478">
        <f>IFERROR(MAX(0,INDEX(Input!$1:$1048576,U$93,$C399*2+MIN($B399,2)+5)
+INDEX(Scenarios!U$121:U$200,MATCH($B399,Scenarios!$B$121:$B$200,0)),),"Market")</f>
        <v>0</v>
      </c>
      <c r="V399" s="478">
        <f>IFERROR(MAX(0,INDEX(Input!$1:$1048576,V$93,$C399*2+MIN($B399,2)+5)
+INDEX(Scenarios!V$121:V$200,MATCH($B399,Scenarios!$B$121:$B$200,0)),),"Market")</f>
        <v>1.9E-2</v>
      </c>
      <c r="W399" s="885">
        <f>IFERROR(MAX(0,INDEX(Input!$1:$1048576,W$93,$C399*2+MIN($B399,2)+5)-0%,),"Market")</f>
        <v>3.9E-2</v>
      </c>
      <c r="X399" s="476" t="str">
        <f>INDEX(Input!$1:$1048576,X$93,$C399*2+MIN($B399,2)+5)</f>
        <v>Y</v>
      </c>
      <c r="Y399" s="475">
        <f>INDEX(Input!$1:$1048576,Y$93,$C399*2+MIN($B399,2)+5)
++INDEX(Scenarios!Y$121:Y$200,MATCH($B399,Scenarios!$B$121:$B$200,0))</f>
        <v>1554.9999999999991</v>
      </c>
      <c r="Z399" s="477">
        <f>INDEX(Input!$1:$1048576,Z$93,$C399*2+MIN($B399,2)+5)
+INDEX(Scenarios!Z$121:Z$200,MATCH($B399,Scenarios!$B$121:$B$200,0))</f>
        <v>0</v>
      </c>
      <c r="AA399" s="475">
        <f>INDEX(Input!$1:$1048576,AA$93,$C399*2+MIN($B399,2)+5)
+INDEX(Scenarios!AA$121:AA$200,MATCH($B399,Scenarios!$B$121:$B$200,0))</f>
        <v>0</v>
      </c>
      <c r="AB399" s="476">
        <f>INDEX(Input!$1:$1048576,AB$93,$C399*2+MIN($B399,2)+5)</f>
        <v>0.27</v>
      </c>
      <c r="AC399" s="475">
        <f>INDEX(Input!$1:$1048576,AC$93,$C399*2+MIN($B399,2)+5)
+INDEX(Scenarios!AC$121:AC$200,MATCH($B399,Scenarios!$B$121:$B$200,0))</f>
        <v>0</v>
      </c>
      <c r="AD399" s="476">
        <f>INDEX(Input!$1:$1048576,AD$93,$C399*2+MIN($B399,2)+5)</f>
        <v>0.27</v>
      </c>
      <c r="AE399" s="475">
        <f>INDEX(Input!$1:$1048576,AE$93,$C399*2+MIN($B399,2)+5)
+INDEX(Scenarios!AE$121:AE$200,MATCH($B399,Scenarios!$B$121:$B$200,0))</f>
        <v>0</v>
      </c>
      <c r="AF399" s="476">
        <f>INDEX(Input!$1:$1048576,AF$93,$C399*2+MIN($B399,2)+5)</f>
        <v>0.68200000000000005</v>
      </c>
      <c r="AG399" s="475">
        <f>INDEX(Input!$1:$1048576,AG$93,$C399*2+MIN($B399,2)+5)
+INDEX(Scenarios!AG$121:AG$200,MATCH($B399,Scenarios!$B$121:$B$200,0))</f>
        <v>500</v>
      </c>
      <c r="AH399" s="476">
        <f>INDEX(Input!$1:$1048576,AH$93,$C399*2+MIN($B399,2)+5)</f>
        <v>1</v>
      </c>
      <c r="AI399" s="475">
        <f>INDEX(Input!$1:$1048576,AI$93,$C399*2+MIN($B399,2)+5)
+INDEX(Scenarios!AI$121:AI$200,MATCH($B399,Scenarios!$B$121:$B$200,0))</f>
        <v>0</v>
      </c>
      <c r="AJ399" s="476">
        <f>INDEX(Input!$1:$1048576,AJ$93,$C399*2+MIN($B399,2)+5)</f>
        <v>0.27</v>
      </c>
      <c r="AK399" s="150">
        <f>ROUND(INDEX(Input!$1:$1048576,AK$93,$C398*2+MIN($B399,1)+5)+(Y399-VLOOKUP($C399*1000+1,$A:$HH,Y$92,FALSE)),0)</f>
        <v>2977</v>
      </c>
      <c r="AL399" s="150">
        <f>ROUND(INDEX(Input!$1:$1048576,AL$93,$C398*2+MIN($B399,1)+5)-(Y399-VLOOKUP($C399*1000+1,$A:$HH,Y$92,FALSE))/36,0)</f>
        <v>3395</v>
      </c>
      <c r="AM399" s="32" t="str">
        <f t="shared" si="1047"/>
        <v>std/std/std/std</v>
      </c>
      <c r="AN399" s="32" t="str">
        <f t="shared" si="1048"/>
        <v>$0 + 0/0/0/1.9/3.9</v>
      </c>
      <c r="AO399" s="32" t="str">
        <f t="shared" si="1049"/>
        <v>0/0/0/1.9/3.9</v>
      </c>
      <c r="AP399" s="32" t="str">
        <f t="shared" si="993"/>
        <v>0/0.9/1.9/3.9</v>
      </c>
      <c r="AQ399" s="536">
        <f t="shared" si="992"/>
        <v>0</v>
      </c>
      <c r="AR399" s="32"/>
      <c r="AS399" s="302"/>
      <c r="AT399" s="3">
        <f t="shared" si="1066"/>
        <v>99</v>
      </c>
      <c r="AU399" s="41" t="s">
        <v>121</v>
      </c>
      <c r="AV399" s="41" t="s">
        <v>116</v>
      </c>
      <c r="AW399" s="41" t="str">
        <f>INDEX(Input!$1:$1048576,AW$93,$C399*2+6)</f>
        <v>Kia</v>
      </c>
      <c r="AX399" s="41" t="str">
        <f>INDEX(Input!$1:$1048576,AX$93,$C399*2+6)</f>
        <v>Kia-LR - L3</v>
      </c>
      <c r="AY399" s="41" t="str">
        <f>IF(LEN(D399)=0,"",INDEX(Input!$1:$1048576,AY$93,$C399*2+6))</f>
        <v/>
      </c>
      <c r="AZ399" s="41" t="str">
        <f>INDEX(Input!$1:$1048576,AZ$93,$C399*2+6)</f>
        <v>Kia Soul</v>
      </c>
      <c r="BA399" s="3">
        <f>INDEX(Input!$1:$1048576,BA$93,$C399*2+6)</f>
        <v>2020</v>
      </c>
      <c r="BB399" s="128">
        <f>INDEX(Input!$1:$1048576,BB$93,$C399*2+6)</f>
        <v>1</v>
      </c>
      <c r="BC399" s="128">
        <f>INDEX(Input!$1:$1048576,BC$93,$C399*2+6)</f>
        <v>0.7</v>
      </c>
      <c r="BD399" s="1">
        <f>INDEX(Input!$1:$1048576,BD$93,$C399*2+6)</f>
        <v>4.4999999999999998E-2</v>
      </c>
      <c r="BE399" s="1">
        <f>INDEX(Input!$1:$1048576,BE$93,$C399*2+6)</f>
        <v>4.4999999999999998E-2</v>
      </c>
      <c r="BF399" s="1">
        <f>INDEX(Input!$1:$1048576,BF$93,$C399*2+6)</f>
        <v>0.05</v>
      </c>
      <c r="BG399" s="1">
        <f>INDEX(Input!$1:$1048576,BG$93,$C399*2+6)</f>
        <v>5.45E-2</v>
      </c>
      <c r="BH399" s="1">
        <f>INDEX(Input!$1:$1048576,BH$93,$C399*2+6)</f>
        <v>5.45E-2</v>
      </c>
      <c r="BI399" s="1">
        <f>INDEX(Input!$1:$1048576,BI$93,$C399*2+6)</f>
        <v>0.05</v>
      </c>
      <c r="BJ399" s="1">
        <f>INDEX(Input!$1:$1048576,BJ$93,$C399*2+6)</f>
        <v>0.05</v>
      </c>
      <c r="BK399" s="1">
        <f>INDEX(Input!$1:$1048576,BK$93,$C399*2+6)</f>
        <v>0.05</v>
      </c>
      <c r="BL399" s="1">
        <f>INDEX(Input!$1:$1048576,BL$93,$C399*2+6)</f>
        <v>5.5E-2</v>
      </c>
      <c r="BM399" s="1">
        <f>INDEX(Input!$1:$1048576,BM$93,$C399*2+6)</f>
        <v>0.06</v>
      </c>
      <c r="BN399" s="1">
        <f>INDEX(Input!$1:$1048576,BN$93,$C399*2+6)</f>
        <v>4.4999999999999998E-2</v>
      </c>
      <c r="BO399" s="1">
        <f>INDEX(Input!$1:$1048576,BO$93,$C399*2+6)</f>
        <v>4.4999999999999998E-2</v>
      </c>
      <c r="BP399" s="1">
        <f>INDEX(Input!$1:$1048576,BP$93,$C399*2+6)</f>
        <v>0.05</v>
      </c>
      <c r="BQ399" s="1">
        <f>INDEX(Input!$1:$1048576,BQ$93,$C399*2+6)</f>
        <v>5.45E-2</v>
      </c>
      <c r="BR399" s="1">
        <f>INDEX(Input!$1:$1048576,BR$93,$C399*2+6)</f>
        <v>5.45E-2</v>
      </c>
      <c r="BS399" s="1">
        <f>INDEX(Input!$1:$1048576,BS$93,$C399*2+6)</f>
        <v>0.05</v>
      </c>
      <c r="BT399" s="1">
        <f>INDEX(Input!$1:$1048576,BT$93,$C399*2+6)</f>
        <v>0.05</v>
      </c>
      <c r="BU399" s="1">
        <f>INDEX(Input!$1:$1048576,BU$93,$C399*2+6)</f>
        <v>0.05</v>
      </c>
      <c r="BV399" s="1">
        <f>INDEX(Input!$1:$1048576,BV$93,$C399*2+6)</f>
        <v>5.5E-2</v>
      </c>
      <c r="BW399" s="1">
        <f>INDEX(Input!$1:$1048576,BW$93,$C399*2+6)</f>
        <v>0.06</v>
      </c>
      <c r="BX399" s="127">
        <f>INDEX(Input!$1:$1048576,BX$93,$C399*2+6)</f>
        <v>19985</v>
      </c>
      <c r="BY399" s="20">
        <f>INDEX(Input!$1:$1048576,BY$93,$C399*2+6)</f>
        <v>0.1</v>
      </c>
      <c r="BZ399" s="20">
        <f>INDEX(Input!$1:$1048576,BZ$93,$C399*2+6)</f>
        <v>0.1</v>
      </c>
      <c r="CA399" s="20">
        <f>INDEX(Input!$1:$1048576,CA$93,$C399*2+6)</f>
        <v>0.1</v>
      </c>
      <c r="CB399" s="20">
        <f>INDEX(Input!$1:$1048576,CB$93,$C399*2+6)</f>
        <v>0.1</v>
      </c>
      <c r="CC399" s="20">
        <f>INDEX(Input!$1:$1048576,CC$93,$C399*2+6)</f>
        <v>0.1</v>
      </c>
      <c r="CD399" s="384">
        <f>INDEX(Input!$1:$1048576,CD$93,$C399*2+6)</f>
        <v>0.1</v>
      </c>
      <c r="CE399" s="384">
        <f>INDEX(Input!$1:$1048576,CE$93,$C399*2+6)</f>
        <v>0.1</v>
      </c>
      <c r="CF399" s="384">
        <f>INDEX(Input!$1:$1048576,CF$93,$C399*2+6)</f>
        <v>0.1</v>
      </c>
      <c r="CG399" s="384">
        <f>INDEX(Input!$1:$1048576,CG$93,$C399*2+6)</f>
        <v>0.1</v>
      </c>
      <c r="CH399" s="384">
        <f>INDEX(Input!$1:$1048576,CH$93,$C399*2+6)</f>
        <v>0.1</v>
      </c>
      <c r="CI399" s="304">
        <f t="shared" si="994"/>
        <v>1287.0236024844721</v>
      </c>
      <c r="CJ399" s="16" t="str">
        <f>INDEX(Input!$1:$1048576,CJ$93,$C399*2+6)</f>
        <v>N</v>
      </c>
      <c r="CK399" s="1" t="str">
        <f t="shared" si="995"/>
        <v>Market</v>
      </c>
      <c r="CL399" s="1" t="str">
        <f t="shared" si="996"/>
        <v>Market</v>
      </c>
      <c r="CM399" s="1" t="str">
        <f t="shared" si="997"/>
        <v>Market</v>
      </c>
      <c r="CN399" s="1" t="str">
        <f t="shared" si="998"/>
        <v>Market</v>
      </c>
      <c r="CO399" s="1" t="str">
        <f t="shared" si="999"/>
        <v>Market</v>
      </c>
      <c r="CP399" s="304">
        <f t="shared" si="1000"/>
        <v>500</v>
      </c>
      <c r="CQ399" s="1">
        <f t="shared" si="1001"/>
        <v>0</v>
      </c>
      <c r="CR399" s="1">
        <f t="shared" si="1002"/>
        <v>0</v>
      </c>
      <c r="CS399" s="1">
        <f t="shared" si="1003"/>
        <v>0</v>
      </c>
      <c r="CT399" s="1">
        <f t="shared" si="1004"/>
        <v>1.9E-2</v>
      </c>
      <c r="CU399" s="1">
        <f t="shared" si="1005"/>
        <v>3.9E-2</v>
      </c>
      <c r="CV399" s="304">
        <f t="shared" si="1006"/>
        <v>1554.9999999999991</v>
      </c>
      <c r="CW399" s="20" t="s">
        <v>122</v>
      </c>
      <c r="CX399" s="20" t="s">
        <v>122</v>
      </c>
      <c r="CY399" s="20" t="s">
        <v>122</v>
      </c>
      <c r="CZ399" s="20" t="s">
        <v>122</v>
      </c>
      <c r="DA399" s="20" t="s">
        <v>122</v>
      </c>
      <c r="DB399" s="503">
        <f t="shared" si="1007"/>
        <v>0</v>
      </c>
      <c r="DC399" s="127">
        <v>0</v>
      </c>
      <c r="DD399" s="127">
        <v>0</v>
      </c>
      <c r="DE399" s="127">
        <v>0</v>
      </c>
      <c r="DF399" s="127">
        <v>0</v>
      </c>
      <c r="DG399" s="127">
        <v>0</v>
      </c>
      <c r="DH399" s="127">
        <v>0</v>
      </c>
      <c r="DI399" s="127">
        <v>0</v>
      </c>
      <c r="DJ399" s="127">
        <v>0</v>
      </c>
      <c r="DK399" s="127">
        <v>0</v>
      </c>
      <c r="DL399" s="127">
        <v>0</v>
      </c>
      <c r="DM399" s="304">
        <f>INDEX(Input!$1:$1048576,DM$93,$C399*2+6)</f>
        <v>21036.84210526316</v>
      </c>
      <c r="DN399" s="20">
        <v>0</v>
      </c>
      <c r="DO399" s="20">
        <v>0</v>
      </c>
      <c r="DP399" s="20">
        <v>0</v>
      </c>
      <c r="DQ399" s="20">
        <v>0</v>
      </c>
      <c r="DR399" s="20">
        <v>0</v>
      </c>
      <c r="DS399" s="20">
        <f>INDEX(Input!$1:$1048576,DS$93,$C399*2+6)</f>
        <v>0.6</v>
      </c>
      <c r="DT399" s="20">
        <f>INDEX(Input!$1:$1048576,DT$93,$C399*2+6)</f>
        <v>0.55000000000000004</v>
      </c>
      <c r="DU399" s="20">
        <f>INDEX(Input!$1:$1048576,DU$93,$C399*2+6)</f>
        <v>0.52</v>
      </c>
      <c r="DV399" s="20">
        <f>INDEX(Input!$1:$1048576,DV$93,$C399*2+6)</f>
        <v>0.5</v>
      </c>
      <c r="DW399" s="20">
        <f>INDEX(Input!$1:$1048576,DW$93,$C399*2+6)</f>
        <v>0.45</v>
      </c>
      <c r="DX399" s="20"/>
      <c r="DY399" s="7"/>
      <c r="DZ399" s="7"/>
      <c r="EA399" s="7"/>
      <c r="EB399" s="7"/>
      <c r="EC399" s="7"/>
      <c r="ED399" s="7"/>
      <c r="EE399" s="7"/>
      <c r="EF399" s="7"/>
      <c r="EG399" s="7"/>
      <c r="EH399" s="7"/>
      <c r="EI399" s="7"/>
      <c r="EJ399" s="7"/>
      <c r="EK399" s="7"/>
      <c r="EL399" s="7"/>
      <c r="EM399" s="7"/>
      <c r="EN399" s="7"/>
      <c r="EO399" s="7"/>
      <c r="EP399" s="7"/>
      <c r="EQ399" s="7"/>
      <c r="ER399" s="7"/>
      <c r="ES399" s="7"/>
      <c r="ET399" s="7"/>
      <c r="EU399" s="6"/>
      <c r="EV399" s="6"/>
      <c r="EW399" s="6"/>
      <c r="EX399" s="6"/>
      <c r="EY399" s="6"/>
      <c r="EZ399" s="6"/>
      <c r="FA399" s="6"/>
      <c r="FB399" s="6"/>
      <c r="FC399" s="6"/>
      <c r="FD399" s="6"/>
      <c r="FE399" s="6"/>
      <c r="FF399" s="6"/>
      <c r="FG399" s="6"/>
      <c r="FH399" s="6"/>
      <c r="FI399" s="6"/>
      <c r="FJ399" s="6"/>
      <c r="FK399" s="6"/>
      <c r="FL399" s="6"/>
      <c r="FM399" s="6"/>
      <c r="FN399" s="6"/>
      <c r="FO399" s="6"/>
      <c r="FP399" s="6"/>
      <c r="FQ399" s="6"/>
      <c r="FR399" s="6"/>
      <c r="FS399" s="6"/>
      <c r="FT399" s="7"/>
      <c r="FU399" s="7"/>
      <c r="FV399" s="7"/>
      <c r="FW399" s="6"/>
      <c r="FX399" s="6"/>
      <c r="FY399" s="6"/>
      <c r="FZ399" s="6"/>
      <c r="GA399" s="6"/>
      <c r="GB399" s="6"/>
      <c r="GC399" s="7"/>
      <c r="GD399" s="7"/>
      <c r="GE399" s="7"/>
      <c r="GF399" s="7"/>
      <c r="GG399" s="7"/>
      <c r="GH399" s="42"/>
      <c r="GI399" s="6"/>
      <c r="GJ399" s="14"/>
      <c r="GK399" s="14"/>
      <c r="GL399" s="14"/>
      <c r="GM399" s="14"/>
      <c r="GO399" s="5"/>
      <c r="GP399" s="5"/>
      <c r="GQ399" s="5"/>
      <c r="GR399" s="5"/>
      <c r="GS399" s="5"/>
      <c r="GT399" s="5"/>
      <c r="GU399" s="5"/>
      <c r="GV399" s="39"/>
      <c r="GW399" s="5"/>
      <c r="GX399" s="5"/>
      <c r="GY399" s="5"/>
      <c r="GZ399" s="5"/>
      <c r="HA399" s="5"/>
      <c r="HB399" s="39"/>
      <c r="HC399" s="5"/>
      <c r="HD399" s="5"/>
      <c r="HE399" s="5"/>
      <c r="HF399" s="5"/>
      <c r="HG399" s="5"/>
      <c r="HH399" s="39"/>
      <c r="HI399" s="16"/>
      <c r="HJ399" s="19"/>
      <c r="HK399" s="1"/>
      <c r="HL399" s="16"/>
      <c r="HM399" s="1"/>
      <c r="HN399" s="1"/>
      <c r="HO399" s="1"/>
      <c r="HP399" s="1"/>
      <c r="HQ399" s="1"/>
      <c r="HR399" s="1"/>
      <c r="HS399" s="1"/>
      <c r="HT399" s="1"/>
      <c r="HU399" s="1"/>
      <c r="HV399" s="1"/>
      <c r="HW399" s="1"/>
      <c r="HX399" s="1"/>
      <c r="HY399" s="1"/>
      <c r="HZ399" s="1"/>
      <c r="IA399" s="1"/>
      <c r="IB399" s="1"/>
      <c r="IC399" s="1"/>
      <c r="ID399" s="1"/>
      <c r="IE399" s="1"/>
      <c r="IF399" s="1"/>
      <c r="IG399" s="1"/>
      <c r="IH399" s="21"/>
      <c r="II399" s="19"/>
      <c r="IJ399" s="19"/>
      <c r="IK399" s="19"/>
      <c r="IL399" s="19"/>
      <c r="IM399" s="19"/>
      <c r="IN399" s="19"/>
      <c r="IO399" s="39"/>
      <c r="IP399" s="39"/>
      <c r="IQ399" s="39"/>
      <c r="IR399" s="39"/>
      <c r="IS399" s="39"/>
      <c r="IT399" s="39"/>
      <c r="IU399" s="39"/>
      <c r="IV399" s="39"/>
      <c r="IW399" s="39"/>
      <c r="IX399" s="39"/>
      <c r="IY399" s="39"/>
      <c r="IZ399" s="39"/>
      <c r="JA399" s="19"/>
      <c r="JB399" s="19"/>
      <c r="JC399" s="19"/>
      <c r="JD399" s="19"/>
      <c r="JE399" s="21"/>
      <c r="JF399" s="1"/>
      <c r="JG399" s="15"/>
      <c r="JH399" s="1"/>
      <c r="JI399" s="1"/>
      <c r="JJ399" s="1"/>
      <c r="JK399" s="1"/>
      <c r="JL399" s="15"/>
      <c r="JM399" s="15"/>
      <c r="JN399" s="21"/>
      <c r="JO399" s="19"/>
      <c r="JP399" s="19"/>
      <c r="JQ399" s="39"/>
      <c r="JR399" s="39"/>
      <c r="JS399" s="39"/>
      <c r="JT399" s="39"/>
      <c r="JU399" s="385"/>
      <c r="JV399" s="39"/>
      <c r="JW399" s="1"/>
      <c r="JX399" s="19"/>
      <c r="JZ399" s="341"/>
      <c r="KA399" s="342"/>
      <c r="KB399" s="469"/>
      <c r="KI399" s="473"/>
      <c r="KJ399" s="473"/>
      <c r="KK399" s="473"/>
    </row>
    <row r="400" spans="1:297" s="26" customFormat="1" ht="15.75" outlineLevel="1" thickBot="1">
      <c r="A400" s="561">
        <f t="shared" si="1046"/>
        <v>3100</v>
      </c>
      <c r="B400" s="561">
        <f t="shared" si="1064"/>
        <v>100</v>
      </c>
      <c r="C400" s="561">
        <f t="shared" si="1065"/>
        <v>3</v>
      </c>
      <c r="D400" s="561" t="str">
        <f t="shared" si="1109"/>
        <v/>
      </c>
      <c r="E400" s="475">
        <f>INDEX(Input!$1:$1048576,E$93,$C400*2+MIN($B400,2)+5)
+INDEX(Scenarios!E$121:E$200,MATCH($B400,Scenarios!$B$121:$B$200,0))</f>
        <v>1287.0236024844721</v>
      </c>
      <c r="F400" s="475">
        <f>INDEX(Input!$1:$1048576,F$93,$C400*2+MIN($B400,2)+5)
+INDEX(Scenarios!F$121:F$200,MATCH($B400,Scenarios!$B$121:$B$200,0))</f>
        <v>0</v>
      </c>
      <c r="G400" s="475">
        <f>INDEX(Input!$1:$1048576,G$93,$C400*2+MIN($B400,2)+5)
+INDEX(Scenarios!G$121:G$200,MATCH($B400,Scenarios!$B$121:$B$200,0))</f>
        <v>0</v>
      </c>
      <c r="H400" s="475">
        <f>INDEX(Input!$1:$1048576,H$93,$C400*2+MIN($B400,2)+5)
+INDEX(Scenarios!H$121:H$200,MATCH($B400,Scenarios!$B$121:$B$200,0))</f>
        <v>0</v>
      </c>
      <c r="I400" s="476">
        <f>INDEX(Input!$1:$1048576,I$93,$C400*2+MIN($B400,2)+5)</f>
        <v>0.7</v>
      </c>
      <c r="J400" s="476" t="str">
        <f>INDEX(Input!$1:$1048576,J$93,$C400*2+MIN($B400,2)+5)</f>
        <v>Market</v>
      </c>
      <c r="K400" s="476" t="str">
        <f>INDEX(Input!$1:$1048576,K$93,$C400*2+MIN($B400,2)+5)</f>
        <v>Market</v>
      </c>
      <c r="L400" s="476" t="str">
        <f>INDEX(Input!$1:$1048576,L$93,$C400*2+MIN($B400,2)+5)</f>
        <v>Market</v>
      </c>
      <c r="M400" s="476" t="str">
        <f>INDEX(Input!$1:$1048576,M$93,$C400*2+MIN($B400,2)+5)</f>
        <v>Market</v>
      </c>
      <c r="N400" s="476" t="str">
        <f>INDEX(Input!$1:$1048576,N$93,$C400*2+MIN($B400,2)+5)</f>
        <v>Market</v>
      </c>
      <c r="O400" s="476" t="str">
        <f>INDEX(Input!$1:$1048576,O$93,$C400*2+MIN($B400,2)+5)</f>
        <v>Market</v>
      </c>
      <c r="P400" s="476" t="str">
        <f>INDEX(Input!$1:$1048576,P$93,$C400*2+MIN($B400,2)+5)</f>
        <v>N</v>
      </c>
      <c r="Q400" s="477">
        <f>INDEX(Input!$1:$1048576,Q$93,$C400*2+MIN($B400,2)+5)
+INDEX(Scenarios!Q$121:Q$200,MATCH($B400,Scenarios!$B$121:$B$200,0))</f>
        <v>0</v>
      </c>
      <c r="R400" s="478">
        <f>IFERROR(MAX(0,INDEX(Input!$1:$1048576,R$93,$C400*2+MIN($B400,2)+5)
+INDEX(Scenarios!R$121:R$200,MATCH($B400,Scenarios!$B$121:$B$200,0)),),"Market")</f>
        <v>0</v>
      </c>
      <c r="S400" s="478">
        <f>IFERROR(MAX(0,INDEX(Input!$1:$1048576,S$93,$C400*2+MIN($B400,2)+5)
+INDEX(Scenarios!S$121:S$200,MATCH($B400,Scenarios!$B$121:$B$200,0)),),"Market")</f>
        <v>0</v>
      </c>
      <c r="T400" s="478">
        <f>IFERROR(MAX(0,INDEX(Input!$1:$1048576,T$93,$C400*2+MIN($B400,2)+5)
+INDEX(Scenarios!T$121:T$200,MATCH($B400,Scenarios!$B$121:$B$200,0)),),"Market")</f>
        <v>0</v>
      </c>
      <c r="U400" s="478">
        <f>IFERROR(MAX(0,INDEX(Input!$1:$1048576,U$93,$C400*2+MIN($B400,2)+5)
+INDEX(Scenarios!U$121:U$200,MATCH($B400,Scenarios!$B$121:$B$200,0)),),"Market")</f>
        <v>0</v>
      </c>
      <c r="V400" s="478">
        <f>IFERROR(MAX(0,INDEX(Input!$1:$1048576,V$93,$C400*2+MIN($B400,2)+5)
+INDEX(Scenarios!V$121:V$200,MATCH($B400,Scenarios!$B$121:$B$200,0)),),"Market")</f>
        <v>1.9E-2</v>
      </c>
      <c r="W400" s="885">
        <f>IFERROR(MAX(0,INDEX(Input!$1:$1048576,W$93,$C400*2+MIN($B400,2)+5)-0%,),"Market")</f>
        <v>3.9E-2</v>
      </c>
      <c r="X400" s="476" t="str">
        <f>INDEX(Input!$1:$1048576,X$93,$C400*2+MIN($B400,2)+5)</f>
        <v>Y</v>
      </c>
      <c r="Y400" s="475">
        <f>INDEX(Input!$1:$1048576,Y$93,$C400*2+MIN($B400,2)+5)
++INDEX(Scenarios!Y$121:Y$200,MATCH($B400,Scenarios!$B$121:$B$200,0))</f>
        <v>1554.9999999999991</v>
      </c>
      <c r="Z400" s="477">
        <f>INDEX(Input!$1:$1048576,Z$93,$C400*2+MIN($B400,2)+5)
+INDEX(Scenarios!Z$121:Z$200,MATCH($B400,Scenarios!$B$121:$B$200,0))</f>
        <v>0</v>
      </c>
      <c r="AA400" s="475">
        <f>INDEX(Input!$1:$1048576,AA$93,$C400*2+MIN($B400,2)+5)
+INDEX(Scenarios!AA$121:AA$200,MATCH($B400,Scenarios!$B$121:$B$200,0))</f>
        <v>0</v>
      </c>
      <c r="AB400" s="476">
        <f>INDEX(Input!$1:$1048576,AB$93,$C400*2+MIN($B400,2)+5)</f>
        <v>0.27</v>
      </c>
      <c r="AC400" s="475">
        <f>INDEX(Input!$1:$1048576,AC$93,$C400*2+MIN($B400,2)+5)
+INDEX(Scenarios!AC$121:AC$200,MATCH($B400,Scenarios!$B$121:$B$200,0))</f>
        <v>0</v>
      </c>
      <c r="AD400" s="476">
        <f>INDEX(Input!$1:$1048576,AD$93,$C400*2+MIN($B400,2)+5)</f>
        <v>0.27</v>
      </c>
      <c r="AE400" s="475">
        <f>INDEX(Input!$1:$1048576,AE$93,$C400*2+MIN($B400,2)+5)
+INDEX(Scenarios!AE$121:AE$200,MATCH($B400,Scenarios!$B$121:$B$200,0))</f>
        <v>0</v>
      </c>
      <c r="AF400" s="476">
        <f>INDEX(Input!$1:$1048576,AF$93,$C400*2+MIN($B400,2)+5)</f>
        <v>0.68200000000000005</v>
      </c>
      <c r="AG400" s="475">
        <f>INDEX(Input!$1:$1048576,AG$93,$C400*2+MIN($B400,2)+5)
+INDEX(Scenarios!AG$121:AG$200,MATCH($B400,Scenarios!$B$121:$B$200,0))</f>
        <v>500</v>
      </c>
      <c r="AH400" s="476">
        <f>INDEX(Input!$1:$1048576,AH$93,$C400*2+MIN($B400,2)+5)</f>
        <v>1</v>
      </c>
      <c r="AI400" s="475">
        <f>INDEX(Input!$1:$1048576,AI$93,$C400*2+MIN($B400,2)+5)
+INDEX(Scenarios!AI$121:AI$200,MATCH($B400,Scenarios!$B$121:$B$200,0))</f>
        <v>0</v>
      </c>
      <c r="AJ400" s="476">
        <f>INDEX(Input!$1:$1048576,AJ$93,$C400*2+MIN($B400,2)+5)</f>
        <v>0.27</v>
      </c>
      <c r="AK400" s="150">
        <f>ROUND(INDEX(Input!$1:$1048576,AK$93,$C399*2+MIN($B400,1)+5)+(Y400-VLOOKUP($C400*1000+1,$A:$HH,Y$92,FALSE)),0)</f>
        <v>2977</v>
      </c>
      <c r="AL400" s="150">
        <f>ROUND(INDEX(Input!$1:$1048576,AL$93,$C399*2+MIN($B400,1)+5)-(Y400-VLOOKUP($C400*1000+1,$A:$HH,Y$92,FALSE))/36,0)</f>
        <v>3395</v>
      </c>
      <c r="AM400" s="32" t="str">
        <f t="shared" si="1047"/>
        <v>std/std/std/std</v>
      </c>
      <c r="AN400" s="32" t="str">
        <f t="shared" si="1048"/>
        <v>$0 + 0/0/0/1.9/3.9</v>
      </c>
      <c r="AO400" s="32" t="str">
        <f t="shared" si="1049"/>
        <v>0/0/0/1.9/3.9</v>
      </c>
      <c r="AP400" s="32" t="str">
        <f t="shared" si="993"/>
        <v>0/0.9/1.9/3.9</v>
      </c>
      <c r="AQ400" s="536">
        <f t="shared" si="992"/>
        <v>0</v>
      </c>
      <c r="AR400" s="32"/>
      <c r="AS400" s="302"/>
      <c r="AT400" s="3">
        <f t="shared" si="1066"/>
        <v>100</v>
      </c>
      <c r="AU400" s="41" t="s">
        <v>121</v>
      </c>
      <c r="AV400" s="41" t="s">
        <v>116</v>
      </c>
      <c r="AW400" s="41" t="str">
        <f>INDEX(Input!$1:$1048576,AW$93,$C400*2+6)</f>
        <v>Kia</v>
      </c>
      <c r="AX400" s="41" t="str">
        <f>INDEX(Input!$1:$1048576,AX$93,$C400*2+6)</f>
        <v>Kia-LR - L3</v>
      </c>
      <c r="AY400" s="41" t="str">
        <f>IF(LEN(D400)=0,"",INDEX(Input!$1:$1048576,AY$93,$C400*2+6))</f>
        <v/>
      </c>
      <c r="AZ400" s="41" t="str">
        <f>INDEX(Input!$1:$1048576,AZ$93,$C400*2+6)</f>
        <v>Kia Soul</v>
      </c>
      <c r="BA400" s="3">
        <f>INDEX(Input!$1:$1048576,BA$93,$C400*2+6)</f>
        <v>2020</v>
      </c>
      <c r="BB400" s="128">
        <f>INDEX(Input!$1:$1048576,BB$93,$C400*2+6)</f>
        <v>1</v>
      </c>
      <c r="BC400" s="128">
        <f>INDEX(Input!$1:$1048576,BC$93,$C400*2+6)</f>
        <v>0.7</v>
      </c>
      <c r="BD400" s="1">
        <f>INDEX(Input!$1:$1048576,BD$93,$C400*2+6)</f>
        <v>4.4999999999999998E-2</v>
      </c>
      <c r="BE400" s="1">
        <f>INDEX(Input!$1:$1048576,BE$93,$C400*2+6)</f>
        <v>4.4999999999999998E-2</v>
      </c>
      <c r="BF400" s="1">
        <f>INDEX(Input!$1:$1048576,BF$93,$C400*2+6)</f>
        <v>0.05</v>
      </c>
      <c r="BG400" s="1">
        <f>INDEX(Input!$1:$1048576,BG$93,$C400*2+6)</f>
        <v>5.45E-2</v>
      </c>
      <c r="BH400" s="1">
        <f>INDEX(Input!$1:$1048576,BH$93,$C400*2+6)</f>
        <v>5.45E-2</v>
      </c>
      <c r="BI400" s="1">
        <f>INDEX(Input!$1:$1048576,BI$93,$C400*2+6)</f>
        <v>0.05</v>
      </c>
      <c r="BJ400" s="1">
        <f>INDEX(Input!$1:$1048576,BJ$93,$C400*2+6)</f>
        <v>0.05</v>
      </c>
      <c r="BK400" s="1">
        <f>INDEX(Input!$1:$1048576,BK$93,$C400*2+6)</f>
        <v>0.05</v>
      </c>
      <c r="BL400" s="1">
        <f>INDEX(Input!$1:$1048576,BL$93,$C400*2+6)</f>
        <v>5.5E-2</v>
      </c>
      <c r="BM400" s="1">
        <f>INDEX(Input!$1:$1048576,BM$93,$C400*2+6)</f>
        <v>0.06</v>
      </c>
      <c r="BN400" s="1">
        <f>INDEX(Input!$1:$1048576,BN$93,$C400*2+6)</f>
        <v>4.4999999999999998E-2</v>
      </c>
      <c r="BO400" s="1">
        <f>INDEX(Input!$1:$1048576,BO$93,$C400*2+6)</f>
        <v>4.4999999999999998E-2</v>
      </c>
      <c r="BP400" s="1">
        <f>INDEX(Input!$1:$1048576,BP$93,$C400*2+6)</f>
        <v>0.05</v>
      </c>
      <c r="BQ400" s="1">
        <f>INDEX(Input!$1:$1048576,BQ$93,$C400*2+6)</f>
        <v>5.45E-2</v>
      </c>
      <c r="BR400" s="1">
        <f>INDEX(Input!$1:$1048576,BR$93,$C400*2+6)</f>
        <v>5.45E-2</v>
      </c>
      <c r="BS400" s="1">
        <f>INDEX(Input!$1:$1048576,BS$93,$C400*2+6)</f>
        <v>0.05</v>
      </c>
      <c r="BT400" s="1">
        <f>INDEX(Input!$1:$1048576,BT$93,$C400*2+6)</f>
        <v>0.05</v>
      </c>
      <c r="BU400" s="1">
        <f>INDEX(Input!$1:$1048576,BU$93,$C400*2+6)</f>
        <v>0.05</v>
      </c>
      <c r="BV400" s="1">
        <f>INDEX(Input!$1:$1048576,BV$93,$C400*2+6)</f>
        <v>5.5E-2</v>
      </c>
      <c r="BW400" s="1">
        <f>INDEX(Input!$1:$1048576,BW$93,$C400*2+6)</f>
        <v>0.06</v>
      </c>
      <c r="BX400" s="127">
        <f>INDEX(Input!$1:$1048576,BX$93,$C400*2+6)</f>
        <v>19985</v>
      </c>
      <c r="BY400" s="20">
        <f>INDEX(Input!$1:$1048576,BY$93,$C400*2+6)</f>
        <v>0.1</v>
      </c>
      <c r="BZ400" s="20">
        <f>INDEX(Input!$1:$1048576,BZ$93,$C400*2+6)</f>
        <v>0.1</v>
      </c>
      <c r="CA400" s="20">
        <f>INDEX(Input!$1:$1048576,CA$93,$C400*2+6)</f>
        <v>0.1</v>
      </c>
      <c r="CB400" s="20">
        <f>INDEX(Input!$1:$1048576,CB$93,$C400*2+6)</f>
        <v>0.1</v>
      </c>
      <c r="CC400" s="20">
        <f>INDEX(Input!$1:$1048576,CC$93,$C400*2+6)</f>
        <v>0.1</v>
      </c>
      <c r="CD400" s="384">
        <f>INDEX(Input!$1:$1048576,CD$93,$C400*2+6)</f>
        <v>0.1</v>
      </c>
      <c r="CE400" s="384">
        <f>INDEX(Input!$1:$1048576,CE$93,$C400*2+6)</f>
        <v>0.1</v>
      </c>
      <c r="CF400" s="384">
        <f>INDEX(Input!$1:$1048576,CF$93,$C400*2+6)</f>
        <v>0.1</v>
      </c>
      <c r="CG400" s="384">
        <f>INDEX(Input!$1:$1048576,CG$93,$C400*2+6)</f>
        <v>0.1</v>
      </c>
      <c r="CH400" s="384">
        <f>INDEX(Input!$1:$1048576,CH$93,$C400*2+6)</f>
        <v>0.1</v>
      </c>
      <c r="CI400" s="304">
        <f t="shared" si="994"/>
        <v>1287.0236024844721</v>
      </c>
      <c r="CJ400" s="16" t="str">
        <f>INDEX(Input!$1:$1048576,CJ$93,$C400*2+6)</f>
        <v>N</v>
      </c>
      <c r="CK400" s="1" t="str">
        <f t="shared" si="995"/>
        <v>Market</v>
      </c>
      <c r="CL400" s="1" t="str">
        <f t="shared" si="996"/>
        <v>Market</v>
      </c>
      <c r="CM400" s="1" t="str">
        <f t="shared" si="997"/>
        <v>Market</v>
      </c>
      <c r="CN400" s="1" t="str">
        <f t="shared" si="998"/>
        <v>Market</v>
      </c>
      <c r="CO400" s="1" t="str">
        <f t="shared" si="999"/>
        <v>Market</v>
      </c>
      <c r="CP400" s="304">
        <f t="shared" si="1000"/>
        <v>500</v>
      </c>
      <c r="CQ400" s="1">
        <f t="shared" si="1001"/>
        <v>0</v>
      </c>
      <c r="CR400" s="1">
        <f t="shared" si="1002"/>
        <v>0</v>
      </c>
      <c r="CS400" s="1">
        <f t="shared" si="1003"/>
        <v>0</v>
      </c>
      <c r="CT400" s="1">
        <f t="shared" si="1004"/>
        <v>1.9E-2</v>
      </c>
      <c r="CU400" s="1">
        <f t="shared" si="1005"/>
        <v>3.9E-2</v>
      </c>
      <c r="CV400" s="304">
        <f t="shared" si="1006"/>
        <v>1554.9999999999991</v>
      </c>
      <c r="CW400" s="20" t="s">
        <v>122</v>
      </c>
      <c r="CX400" s="20" t="s">
        <v>122</v>
      </c>
      <c r="CY400" s="20" t="s">
        <v>122</v>
      </c>
      <c r="CZ400" s="20" t="s">
        <v>122</v>
      </c>
      <c r="DA400" s="20" t="s">
        <v>122</v>
      </c>
      <c r="DB400" s="503">
        <f t="shared" si="1007"/>
        <v>0</v>
      </c>
      <c r="DC400" s="127">
        <v>0</v>
      </c>
      <c r="DD400" s="127">
        <v>0</v>
      </c>
      <c r="DE400" s="127">
        <v>0</v>
      </c>
      <c r="DF400" s="127">
        <v>0</v>
      </c>
      <c r="DG400" s="127">
        <v>0</v>
      </c>
      <c r="DH400" s="127">
        <v>0</v>
      </c>
      <c r="DI400" s="127">
        <v>0</v>
      </c>
      <c r="DJ400" s="127">
        <v>0</v>
      </c>
      <c r="DK400" s="127">
        <v>0</v>
      </c>
      <c r="DL400" s="127">
        <v>0</v>
      </c>
      <c r="DM400" s="304">
        <f>INDEX(Input!$1:$1048576,DM$93,$C400*2+6)</f>
        <v>21036.84210526316</v>
      </c>
      <c r="DN400" s="20">
        <v>0</v>
      </c>
      <c r="DO400" s="20">
        <v>0</v>
      </c>
      <c r="DP400" s="20">
        <v>0</v>
      </c>
      <c r="DQ400" s="20">
        <v>0</v>
      </c>
      <c r="DR400" s="20">
        <v>0</v>
      </c>
      <c r="DS400" s="20">
        <f>INDEX(Input!$1:$1048576,DS$93,$C400*2+6)</f>
        <v>0.6</v>
      </c>
      <c r="DT400" s="20">
        <f>INDEX(Input!$1:$1048576,DT$93,$C400*2+6)</f>
        <v>0.55000000000000004</v>
      </c>
      <c r="DU400" s="20">
        <f>INDEX(Input!$1:$1048576,DU$93,$C400*2+6)</f>
        <v>0.52</v>
      </c>
      <c r="DV400" s="20">
        <f>INDEX(Input!$1:$1048576,DV$93,$C400*2+6)</f>
        <v>0.5</v>
      </c>
      <c r="DW400" s="20">
        <f>INDEX(Input!$1:$1048576,DW$93,$C400*2+6)</f>
        <v>0.45</v>
      </c>
      <c r="DX400" s="20"/>
      <c r="DY400" s="7"/>
      <c r="DZ400" s="7"/>
      <c r="EA400" s="7"/>
      <c r="EB400" s="7"/>
      <c r="EC400" s="7"/>
      <c r="ED400" s="7"/>
      <c r="EE400" s="7"/>
      <c r="EF400" s="7"/>
      <c r="EG400" s="7"/>
      <c r="EH400" s="7"/>
      <c r="EI400" s="7"/>
      <c r="EJ400" s="7"/>
      <c r="EK400" s="7"/>
      <c r="EL400" s="7"/>
      <c r="EM400" s="7"/>
      <c r="EN400" s="7"/>
      <c r="EO400" s="7"/>
      <c r="EP400" s="7"/>
      <c r="EQ400" s="7"/>
      <c r="ER400" s="7"/>
      <c r="ES400" s="7"/>
      <c r="ET400" s="7"/>
      <c r="EU400" s="6"/>
      <c r="EV400" s="6"/>
      <c r="EW400" s="6"/>
      <c r="EX400" s="6"/>
      <c r="EY400" s="6"/>
      <c r="EZ400" s="6"/>
      <c r="FA400" s="6"/>
      <c r="FB400" s="6"/>
      <c r="FC400" s="6"/>
      <c r="FD400" s="6"/>
      <c r="FE400" s="6"/>
      <c r="FF400" s="6"/>
      <c r="FG400" s="6"/>
      <c r="FH400" s="6"/>
      <c r="FI400" s="6"/>
      <c r="FJ400" s="6"/>
      <c r="FK400" s="6"/>
      <c r="FL400" s="6"/>
      <c r="FM400" s="6"/>
      <c r="FN400" s="6"/>
      <c r="FO400" s="6"/>
      <c r="FP400" s="6"/>
      <c r="FQ400" s="6"/>
      <c r="FR400" s="6"/>
      <c r="FS400" s="6"/>
      <c r="FT400" s="7"/>
      <c r="FU400" s="7"/>
      <c r="FV400" s="7"/>
      <c r="FW400" s="6"/>
      <c r="FX400" s="6"/>
      <c r="FY400" s="6"/>
      <c r="FZ400" s="6"/>
      <c r="GA400" s="6"/>
      <c r="GB400" s="6"/>
      <c r="GC400" s="7"/>
      <c r="GD400" s="7"/>
      <c r="GE400" s="7"/>
      <c r="GF400" s="7"/>
      <c r="GG400" s="7"/>
      <c r="GH400" s="42"/>
      <c r="GI400" s="6"/>
      <c r="GJ400" s="14"/>
      <c r="GK400" s="14"/>
      <c r="GL400" s="14"/>
      <c r="GM400" s="14"/>
      <c r="GO400" s="5"/>
      <c r="GP400" s="5"/>
      <c r="GQ400" s="5"/>
      <c r="GR400" s="5"/>
      <c r="GS400" s="5"/>
      <c r="GT400" s="5"/>
      <c r="GU400" s="5"/>
      <c r="GV400" s="39"/>
      <c r="GW400" s="5"/>
      <c r="GX400" s="5"/>
      <c r="GY400" s="5"/>
      <c r="GZ400" s="5"/>
      <c r="HA400" s="5"/>
      <c r="HB400" s="39"/>
      <c r="HC400" s="5"/>
      <c r="HD400" s="5"/>
      <c r="HE400" s="5"/>
      <c r="HF400" s="5"/>
      <c r="HG400" s="5"/>
      <c r="HH400" s="39"/>
      <c r="HI400" s="16"/>
      <c r="HJ400" s="19"/>
      <c r="HK400" s="1"/>
      <c r="HL400" s="16"/>
      <c r="HM400" s="1"/>
      <c r="HN400" s="1"/>
      <c r="HO400" s="1"/>
      <c r="HP400" s="1"/>
      <c r="HQ400" s="1"/>
      <c r="HR400" s="1"/>
      <c r="HS400" s="1"/>
      <c r="HT400" s="1"/>
      <c r="HU400" s="1"/>
      <c r="HV400" s="1"/>
      <c r="HW400" s="1"/>
      <c r="HX400" s="1"/>
      <c r="HY400" s="1"/>
      <c r="HZ400" s="1"/>
      <c r="IA400" s="1"/>
      <c r="IB400" s="1"/>
      <c r="IC400" s="1"/>
      <c r="ID400" s="1"/>
      <c r="IE400" s="1"/>
      <c r="IF400" s="1"/>
      <c r="IG400" s="1"/>
      <c r="IH400" s="21"/>
      <c r="II400" s="19"/>
      <c r="IJ400" s="19"/>
      <c r="IK400" s="19"/>
      <c r="IL400" s="19"/>
      <c r="IM400" s="19"/>
      <c r="IN400" s="19"/>
      <c r="IO400" s="39"/>
      <c r="IP400" s="39"/>
      <c r="IQ400" s="39"/>
      <c r="IR400" s="39"/>
      <c r="IS400" s="39"/>
      <c r="IT400" s="39"/>
      <c r="IU400" s="39"/>
      <c r="IV400" s="39"/>
      <c r="IW400" s="39"/>
      <c r="IX400" s="39"/>
      <c r="IY400" s="39"/>
      <c r="IZ400" s="39"/>
      <c r="JA400" s="19"/>
      <c r="JB400" s="19"/>
      <c r="JC400" s="19"/>
      <c r="JD400" s="19"/>
      <c r="JE400" s="21"/>
      <c r="JF400" s="1"/>
      <c r="JG400" s="15"/>
      <c r="JH400" s="1"/>
      <c r="JI400" s="1"/>
      <c r="JJ400" s="1"/>
      <c r="JK400" s="1"/>
      <c r="JL400" s="15"/>
      <c r="JM400" s="15"/>
      <c r="JN400" s="21"/>
      <c r="JO400" s="19"/>
      <c r="JP400" s="19"/>
      <c r="JQ400" s="39"/>
      <c r="JR400" s="39"/>
      <c r="JS400" s="39"/>
      <c r="JT400" s="39"/>
      <c r="JU400" s="385"/>
      <c r="JV400" s="39"/>
      <c r="JW400" s="1"/>
      <c r="JX400" s="19"/>
      <c r="JZ400" s="341"/>
      <c r="KA400" s="342"/>
      <c r="KB400" s="469"/>
      <c r="KI400" s="473"/>
      <c r="KJ400" s="473"/>
      <c r="KK400" s="473"/>
    </row>
    <row r="401" spans="1:310" s="60" customFormat="1" ht="15.75" thickBot="1">
      <c r="A401" s="560">
        <f>C401*1000+B401</f>
        <v>4001</v>
      </c>
      <c r="B401" s="560">
        <v>1</v>
      </c>
      <c r="C401" s="559">
        <v>4</v>
      </c>
      <c r="D401" s="560" t="s">
        <v>566</v>
      </c>
      <c r="E401" s="365">
        <f>INDEX(Input!$1:$1048576,E$93,$C401*2+MIN($B401,1)+5)</f>
        <v>1000</v>
      </c>
      <c r="F401" s="366">
        <f>INDEX(Input!$1:$1048576,F$93,$C401*2+MIN($B401,1)+5)</f>
        <v>0</v>
      </c>
      <c r="G401" s="49">
        <f>INDEX(Input!$1:$1048576,G$93,$C401*2+MIN($B401,1)+5)</f>
        <v>0</v>
      </c>
      <c r="H401" s="49">
        <f>INDEX(Input!$1:$1048576,H$93,$C401*2+MIN($B401,1)+5)</f>
        <v>0</v>
      </c>
      <c r="I401" s="367">
        <f>INDEX(Input!$1:$1048576,I$93,$C401*2+MIN($B401,1)+5)</f>
        <v>0.7</v>
      </c>
      <c r="J401" s="367" t="str">
        <f>INDEX(Input!$1:$1048576,J$93,$C401*2+MIN($B401,1)+5)</f>
        <v>Market</v>
      </c>
      <c r="K401" s="367" t="str">
        <f>INDEX(Input!$1:$1048576,K$93,$C401*2+MIN($B401,1)+5)</f>
        <v>Market</v>
      </c>
      <c r="L401" s="367" t="str">
        <f>INDEX(Input!$1:$1048576,L$93,$C401*2+MIN($B401,1)+5)</f>
        <v>Market</v>
      </c>
      <c r="M401" s="367" t="str">
        <f>INDEX(Input!$1:$1048576,M$93,$C401*2+MIN($B401,1)+5)</f>
        <v>Market</v>
      </c>
      <c r="N401" s="367" t="str">
        <f>INDEX(Input!$1:$1048576,N$93,$C401*2+MIN($B401,1)+5)</f>
        <v>Market</v>
      </c>
      <c r="O401" s="367" t="str">
        <f>INDEX(Input!$1:$1048576,O$93,$C401*2+MIN($B401,1)+5)</f>
        <v>Market</v>
      </c>
      <c r="P401" s="367" t="str">
        <f>INDEX(Input!$1:$1048576,P$93,$C401*2+MIN($B401,1)+5)</f>
        <v>N</v>
      </c>
      <c r="Q401" s="47">
        <f>INDEX(Input!$1:$1048576,Q$93,$C401*2+MIN($B401,1)+5)</f>
        <v>0</v>
      </c>
      <c r="R401" s="38">
        <f>INDEX(Input!$1:$1048576,R$93,$C401*2+MIN($B401,1)+5)</f>
        <v>0</v>
      </c>
      <c r="S401" s="38">
        <f>INDEX(Input!$1:$1048576,S$93,$C401*2+MIN($B401,1)+5)</f>
        <v>0</v>
      </c>
      <c r="T401" s="38">
        <f>INDEX(Input!$1:$1048576,T$93,$C401*2+MIN($B401,1)+5)</f>
        <v>0</v>
      </c>
      <c r="U401" s="38">
        <f>INDEX(Input!$1:$1048576,U$93,$C401*2+MIN($B401,1)+5)</f>
        <v>0</v>
      </c>
      <c r="V401" s="38">
        <f>INDEX(Input!$1:$1048576,V$93,$C401*2+MIN($B401,1)+5)</f>
        <v>1.9E-2</v>
      </c>
      <c r="W401" s="22">
        <f>INDEX(Input!$1:$1048576,W$93,$C401*2+MIN($B401,1)+5)</f>
        <v>3.9E-2</v>
      </c>
      <c r="X401" s="367" t="str">
        <f>INDEX(Input!$1:$1048576,X$93,$C401*2+MIN($B401,1)+5)</f>
        <v>Y</v>
      </c>
      <c r="Y401" s="49">
        <f>INDEX(Input!$1:$1048576,Y$93,$C401*2+MIN($B401,1)+5)</f>
        <v>-73</v>
      </c>
      <c r="Z401" s="584">
        <f>INDEX(Input!$1:$1048576,Z$93,$C401*2+MIN($B401,1)+5)</f>
        <v>0</v>
      </c>
      <c r="AA401" s="49">
        <f>INDEX(Input!$1:$1048576,AA$93,$C401*2+MIN($B401,1)+5)</f>
        <v>1000</v>
      </c>
      <c r="AB401" s="367">
        <f>INDEX(Input!$1:$1048576,AB$93,$C401*2+MIN($B401,1)+5)</f>
        <v>0.27</v>
      </c>
      <c r="AC401" s="49">
        <f>INDEX(Input!$1:$1048576,AC$93,$C401*2+MIN($B401,1)+5)</f>
        <v>1000</v>
      </c>
      <c r="AD401" s="367">
        <f>INDEX(Input!$1:$1048576,AD$93,$C401*2+MIN($B401,1)+5)</f>
        <v>0.27</v>
      </c>
      <c r="AE401" s="49">
        <f>INDEX(Input!$1:$1048576,AE$93,$C401*2+MIN($B401,1)+5)</f>
        <v>500</v>
      </c>
      <c r="AF401" s="367">
        <f>INDEX(Input!$1:$1048576,AF$93,$C401*2+MIN($B401,1)+5)</f>
        <v>1</v>
      </c>
      <c r="AG401" s="49">
        <f>INDEX(Input!$1:$1048576,AG$93,$C401*2+MIN($B401,1)+5)</f>
        <v>0</v>
      </c>
      <c r="AH401" s="367">
        <f>INDEX(Input!$1:$1048576,AH$93,$C401*2+MIN($B401,1)+5)</f>
        <v>0.83199999999999996</v>
      </c>
      <c r="AI401" s="49">
        <f>INDEX(Input!$1:$1048576,AI$93,$C401*2+MIN($B401,1)+5)</f>
        <v>0</v>
      </c>
      <c r="AJ401" s="367">
        <f>INDEX(Input!$1:$1048576,AJ$93,$C401*2+MIN($B401,1)+5)</f>
        <v>0.27</v>
      </c>
      <c r="AK401" s="298">
        <f>ROUND(INDEX(Input!$1:$1048576,AK$93,$C401*2+MIN($B401,1)+5),0)</f>
        <v>3384</v>
      </c>
      <c r="AL401" s="49">
        <f>ROUND(INDEX(Input!$1:$1048576,AL$93,$C401*2+MIN($B401,1)+5),0)</f>
        <v>3384</v>
      </c>
      <c r="AM401" s="46" t="str">
        <f>IF(K401="market","std",ROUND(K401*1000,0)/10)&amp;"/"&amp;IF(L401="market","std",ROUND(L401*1000,0)/10)&amp;"/"&amp;IF(M401="market","std",ROUND(M401*1000,0)/10)&amp;"/"&amp;IF(N401="market","std",ROUND(N401*1000,0)/10)&amp;IF(P401="N","","/"&amp;IF(O401="market","std",ROUND(O401*1000,0)/10))</f>
        <v>std/std/std/std</v>
      </c>
      <c r="AN401" s="46" t="str">
        <f>"$"&amp;ROUND(Q401,0)&amp;" + "&amp;IF(S401="market","std",ROUND(S401*1000,0)/10)&amp;"/"&amp;IF(T401="market","std",ROUND(T401*1000,0)/10)&amp;"/"&amp;IF(U401="market","std",ROUND(U401*1000,0)/10)&amp;"/"&amp;IF(V401="market","std",ROUND(V401*1000,0)/10)&amp;IF(X401="N","","/"&amp;IF(W401="market","std",ROUND(W401*1000,0)/10))</f>
        <v>$0 + 0/0/0/1.9/3.9</v>
      </c>
      <c r="AO401" s="44" t="str">
        <f>IF(S401="market","std",ROUND(S401*1000,0)/10)&amp;"/"&amp;IF(T401="market","std",ROUND(T401*1000,0)/10)&amp;"/"&amp;IF(U401="market","std",ROUND(U401*1000,0)/10)&amp;"/"&amp;IF(V401="market","std",ROUND(V401*1000,0)/10)&amp;IF(X401="N","","/"&amp;IF(W401="market","std",ROUND(W401*1000,0)/10))</f>
        <v>0/0/0/1.9/3.9</v>
      </c>
      <c r="AP401" s="44" t="str">
        <f t="shared" si="993"/>
        <v>0/0.9/1.9/3.9</v>
      </c>
      <c r="AQ401" s="507">
        <f t="shared" si="992"/>
        <v>770.42636324602836</v>
      </c>
      <c r="AR401" s="44"/>
      <c r="AS401" s="368"/>
      <c r="AT401" s="579">
        <v>1</v>
      </c>
      <c r="AU401" s="45" t="s">
        <v>121</v>
      </c>
      <c r="AV401" s="45" t="s">
        <v>116</v>
      </c>
      <c r="AW401" s="45" t="str">
        <f>INDEX(Input!$1:$1048576,AW$93,$C401*2+6)</f>
        <v>Kia</v>
      </c>
      <c r="AX401" s="45" t="str">
        <f>INDEX(Input!$1:$1048576,AX$93,$C401*2+6)</f>
        <v>Kia-LR - R1</v>
      </c>
      <c r="AY401" s="10" t="str">
        <f>IF(LEN(D401)=0,"",INDEX(Input!$1:$1048576,AY$93,$C401*2+6))</f>
        <v>Compact SUV (52)</v>
      </c>
      <c r="AZ401" s="45" t="str">
        <f>INDEX(Input!$1:$1048576,AZ$93,$C401*2+6)</f>
        <v>Kia Soul</v>
      </c>
      <c r="BA401" s="50">
        <f>INDEX(Input!$1:$1048576,BA$93,$C401*2+6)</f>
        <v>2020</v>
      </c>
      <c r="BB401" s="48">
        <f>INDEX(Input!$1:$1048576,BB$93,$C401*2+6)</f>
        <v>1</v>
      </c>
      <c r="BC401" s="578">
        <f>INDEX(Input!$1:$1048576,BC$93,$C401*2+6)</f>
        <v>0.7</v>
      </c>
      <c r="BD401" s="38">
        <f>INDEX(Input!$1:$1048576,BD$93,$C401*2+6)</f>
        <v>4.4999999999999998E-2</v>
      </c>
      <c r="BE401" s="38">
        <f>INDEX(Input!$1:$1048576,BE$93,$C401*2+6)</f>
        <v>4.4999999999999998E-2</v>
      </c>
      <c r="BF401" s="38">
        <f>INDEX(Input!$1:$1048576,BF$93,$C401*2+6)</f>
        <v>0.05</v>
      </c>
      <c r="BG401" s="38">
        <f>INDEX(Input!$1:$1048576,BG$93,$C401*2+6)</f>
        <v>5.45E-2</v>
      </c>
      <c r="BH401" s="38">
        <f>INDEX(Input!$1:$1048576,BH$93,$C401*2+6)</f>
        <v>5.45E-2</v>
      </c>
      <c r="BI401" s="38">
        <f>INDEX(Input!$1:$1048576,BI$93,$C401*2+6)</f>
        <v>0.05</v>
      </c>
      <c r="BJ401" s="38">
        <f>INDEX(Input!$1:$1048576,BJ$93,$C401*2+6)</f>
        <v>0.05</v>
      </c>
      <c r="BK401" s="38">
        <f>INDEX(Input!$1:$1048576,BK$93,$C401*2+6)</f>
        <v>0.05</v>
      </c>
      <c r="BL401" s="38">
        <f>INDEX(Input!$1:$1048576,BL$93,$C401*2+6)</f>
        <v>5.5E-2</v>
      </c>
      <c r="BM401" s="38">
        <f>INDEX(Input!$1:$1048576,BM$93,$C401*2+6)</f>
        <v>0.06</v>
      </c>
      <c r="BN401" s="38">
        <f>INDEX(Input!$1:$1048576,BN$93,$C401*2+6)</f>
        <v>4.4999999999999998E-2</v>
      </c>
      <c r="BO401" s="38">
        <f>INDEX(Input!$1:$1048576,BO$93,$C401*2+6)</f>
        <v>4.4999999999999998E-2</v>
      </c>
      <c r="BP401" s="38">
        <f>INDEX(Input!$1:$1048576,BP$93,$C401*2+6)</f>
        <v>0.05</v>
      </c>
      <c r="BQ401" s="38">
        <f>INDEX(Input!$1:$1048576,BQ$93,$C401*2+6)</f>
        <v>5.45E-2</v>
      </c>
      <c r="BR401" s="38">
        <f>INDEX(Input!$1:$1048576,BR$93,$C401*2+6)</f>
        <v>5.45E-2</v>
      </c>
      <c r="BS401" s="38">
        <f>INDEX(Input!$1:$1048576,BS$93,$C401*2+6)</f>
        <v>0.05</v>
      </c>
      <c r="BT401" s="38">
        <f>INDEX(Input!$1:$1048576,BT$93,$C401*2+6)</f>
        <v>0.05</v>
      </c>
      <c r="BU401" s="38">
        <f>INDEX(Input!$1:$1048576,BU$93,$C401*2+6)</f>
        <v>0.05</v>
      </c>
      <c r="BV401" s="38">
        <f>INDEX(Input!$1:$1048576,BV$93,$C401*2+6)</f>
        <v>5.5E-2</v>
      </c>
      <c r="BW401" s="38">
        <f>INDEX(Input!$1:$1048576,BW$93,$C401*2+6)</f>
        <v>0.06</v>
      </c>
      <c r="BX401" s="29">
        <f>INDEX(Input!$1:$1048576,BX$93,$C401*2+6)</f>
        <v>19985</v>
      </c>
      <c r="BY401" s="367">
        <f>INDEX(Input!$1:$1048576,BY$93,$C401*2+6)</f>
        <v>0.1</v>
      </c>
      <c r="BZ401" s="367">
        <f>INDEX(Input!$1:$1048576,BZ$93,$C401*2+6)</f>
        <v>0.1</v>
      </c>
      <c r="CA401" s="367">
        <f>INDEX(Input!$1:$1048576,CA$93,$C401*2+6)</f>
        <v>0.1</v>
      </c>
      <c r="CB401" s="367">
        <f>INDEX(Input!$1:$1048576,CB$93,$C401*2+6)</f>
        <v>0.1</v>
      </c>
      <c r="CC401" s="367">
        <f>INDEX(Input!$1:$1048576,CC$93,$C401*2+6)</f>
        <v>0.1</v>
      </c>
      <c r="CD401" s="367">
        <f>INDEX(Input!$1:$1048576,CD$93,$C401*2+6)</f>
        <v>0.1</v>
      </c>
      <c r="CE401" s="367">
        <f>INDEX(Input!$1:$1048576,CE$93,$C401*2+6)</f>
        <v>0.1</v>
      </c>
      <c r="CF401" s="367">
        <f>INDEX(Input!$1:$1048576,CF$93,$C401*2+6)</f>
        <v>0.1</v>
      </c>
      <c r="CG401" s="367">
        <f>INDEX(Input!$1:$1048576,CG$93,$C401*2+6)</f>
        <v>0.1</v>
      </c>
      <c r="CH401" s="48">
        <f>INDEX(Input!$1:$1048576,CH$93,$C401*2+6)</f>
        <v>0.1</v>
      </c>
      <c r="CI401" s="298">
        <f t="shared" si="994"/>
        <v>1270</v>
      </c>
      <c r="CJ401" s="46" t="str">
        <f>INDEX(Input!$1:$1048576,CJ$93,$C401*2+6)</f>
        <v>N</v>
      </c>
      <c r="CK401" s="38" t="str">
        <f t="shared" si="995"/>
        <v>Market</v>
      </c>
      <c r="CL401" s="38" t="str">
        <f t="shared" si="996"/>
        <v>Market</v>
      </c>
      <c r="CM401" s="38" t="str">
        <f t="shared" si="997"/>
        <v>Market</v>
      </c>
      <c r="CN401" s="38" t="str">
        <f t="shared" si="998"/>
        <v>Market</v>
      </c>
      <c r="CO401" s="38" t="str">
        <f t="shared" si="999"/>
        <v>Market</v>
      </c>
      <c r="CP401" s="49">
        <f t="shared" si="1000"/>
        <v>0</v>
      </c>
      <c r="CQ401" s="38">
        <f t="shared" si="1001"/>
        <v>0</v>
      </c>
      <c r="CR401" s="38">
        <f t="shared" si="1002"/>
        <v>0</v>
      </c>
      <c r="CS401" s="38">
        <f t="shared" si="1003"/>
        <v>0</v>
      </c>
      <c r="CT401" s="38">
        <f t="shared" si="1004"/>
        <v>1.9E-2</v>
      </c>
      <c r="CU401" s="38">
        <f t="shared" si="1005"/>
        <v>3.9E-2</v>
      </c>
      <c r="CV401" s="49">
        <f t="shared" si="1006"/>
        <v>197</v>
      </c>
      <c r="CW401" s="22" t="s">
        <v>122</v>
      </c>
      <c r="CX401" s="22" t="s">
        <v>122</v>
      </c>
      <c r="CY401" s="22" t="s">
        <v>122</v>
      </c>
      <c r="CZ401" s="22" t="s">
        <v>122</v>
      </c>
      <c r="DA401" s="22" t="s">
        <v>122</v>
      </c>
      <c r="DB401" s="502">
        <f t="shared" si="1007"/>
        <v>500</v>
      </c>
      <c r="DC401" s="29">
        <v>0</v>
      </c>
      <c r="DD401" s="29">
        <v>0</v>
      </c>
      <c r="DE401" s="29">
        <v>0</v>
      </c>
      <c r="DF401" s="49">
        <v>0</v>
      </c>
      <c r="DG401" s="49">
        <v>0</v>
      </c>
      <c r="DH401" s="49">
        <v>0</v>
      </c>
      <c r="DI401" s="49">
        <v>0</v>
      </c>
      <c r="DJ401" s="49">
        <v>0</v>
      </c>
      <c r="DK401" s="29">
        <v>0</v>
      </c>
      <c r="DL401" s="29">
        <v>0</v>
      </c>
      <c r="DM401" s="49">
        <f>INDEX(Input!$1:$1048576,DM$93,$C401*2+6)</f>
        <v>21036.84210526316</v>
      </c>
      <c r="DN401" s="367">
        <v>0</v>
      </c>
      <c r="DO401" s="367">
        <v>0</v>
      </c>
      <c r="DP401" s="367">
        <v>0</v>
      </c>
      <c r="DQ401" s="367">
        <v>0</v>
      </c>
      <c r="DR401" s="367">
        <v>0</v>
      </c>
      <c r="DS401" s="367">
        <f>INDEX(Input!$1:$1048576,DS$93,$C401*2+6)</f>
        <v>0.6</v>
      </c>
      <c r="DT401" s="367">
        <f>INDEX(Input!$1:$1048576,DT$93,$C401*2+6)</f>
        <v>0.55000000000000004</v>
      </c>
      <c r="DU401" s="367">
        <f>INDEX(Input!$1:$1048576,DU$93,$C401*2+6)</f>
        <v>0.52</v>
      </c>
      <c r="DV401" s="367">
        <f>INDEX(Input!$1:$1048576,DV$93,$C401*2+6)</f>
        <v>0.5</v>
      </c>
      <c r="DW401" s="48">
        <f>INDEX(Input!$1:$1048576,DW$93,$C401*2+6)</f>
        <v>0.45</v>
      </c>
      <c r="DX401" s="577"/>
      <c r="DY401" s="4">
        <v>0.10035321407922697</v>
      </c>
      <c r="DZ401" s="37">
        <v>0</v>
      </c>
      <c r="EA401" s="37">
        <v>0.80309146284785815</v>
      </c>
      <c r="EB401" s="37">
        <v>0</v>
      </c>
      <c r="EC401" s="37">
        <v>0</v>
      </c>
      <c r="ED401" s="37">
        <v>0</v>
      </c>
      <c r="EE401" s="37">
        <v>0</v>
      </c>
      <c r="EF401" s="37">
        <v>0</v>
      </c>
      <c r="EG401" s="37">
        <v>0</v>
      </c>
      <c r="EH401" s="37">
        <v>1.2260048418014225E-2</v>
      </c>
      <c r="EI401" s="37">
        <v>3.2022749539880227E-2</v>
      </c>
      <c r="EJ401" s="37">
        <v>0.22481841951500101</v>
      </c>
      <c r="EK401" s="37">
        <v>0.59352737256710786</v>
      </c>
      <c r="EL401" s="37">
        <v>0.13737140995999655</v>
      </c>
      <c r="EM401" s="37">
        <v>4.3344444434296484E-2</v>
      </c>
      <c r="EN401" s="37">
        <v>4.9698879596091677E-2</v>
      </c>
      <c r="EO401" s="37">
        <v>0.70433894802748287</v>
      </c>
      <c r="EP401" s="37">
        <v>0.10665976432111687</v>
      </c>
      <c r="EQ401" s="37">
        <v>9.3690597052850932E-2</v>
      </c>
      <c r="ER401" s="37">
        <v>4.5611811002457432E-2</v>
      </c>
      <c r="ES401" s="37">
        <v>5.3210878638618467E-2</v>
      </c>
      <c r="ET401" s="37">
        <v>9.6555323072914978E-2</v>
      </c>
      <c r="EU401" s="36">
        <v>1490</v>
      </c>
      <c r="EV401" s="36">
        <v>0</v>
      </c>
      <c r="EW401" s="36">
        <v>1490</v>
      </c>
      <c r="EX401" s="36">
        <v>0</v>
      </c>
      <c r="EY401" s="36">
        <v>2203.2561351629856</v>
      </c>
      <c r="EZ401" s="36">
        <v>242</v>
      </c>
      <c r="FA401" s="36">
        <v>0</v>
      </c>
      <c r="FB401" s="36">
        <v>0</v>
      </c>
      <c r="FC401" s="36">
        <v>0</v>
      </c>
      <c r="FD401" s="36">
        <v>0</v>
      </c>
      <c r="FE401" s="36">
        <v>0</v>
      </c>
      <c r="FF401" s="36">
        <v>0</v>
      </c>
      <c r="FG401" s="36">
        <v>0</v>
      </c>
      <c r="FH401" s="36">
        <v>1169.7990774022464</v>
      </c>
      <c r="FI401" s="36">
        <v>1553.979606951239</v>
      </c>
      <c r="FJ401" s="36">
        <v>2101.2110117447419</v>
      </c>
      <c r="FK401" s="36">
        <v>1772.7139978623229</v>
      </c>
      <c r="FL401" s="36">
        <v>907.07682140966335</v>
      </c>
      <c r="FM401" s="36">
        <v>1713.2561351629859</v>
      </c>
      <c r="FN401" s="36">
        <v>0</v>
      </c>
      <c r="FO401" s="36">
        <v>0</v>
      </c>
      <c r="FP401" s="36">
        <v>0</v>
      </c>
      <c r="FQ401" s="36">
        <v>0</v>
      </c>
      <c r="FR401" s="36">
        <v>0</v>
      </c>
      <c r="FS401" s="36">
        <v>0</v>
      </c>
      <c r="FT401" s="37">
        <v>0.90344467692708508</v>
      </c>
      <c r="FU401" s="37">
        <v>4.3344444434296484E-2</v>
      </c>
      <c r="FV401" s="37">
        <v>5.3210878638618467E-2</v>
      </c>
      <c r="FW401" s="36">
        <v>1490</v>
      </c>
      <c r="FX401" s="36">
        <v>2203.2561351629856</v>
      </c>
      <c r="FY401" s="36">
        <v>242</v>
      </c>
      <c r="FZ401" s="36">
        <v>1949.5716051445115</v>
      </c>
      <c r="GA401" s="36">
        <v>1454.5085143769973</v>
      </c>
      <c r="GB401" s="36">
        <v>18530.491485623003</v>
      </c>
      <c r="GC401" s="37">
        <v>3.3872851927908169E-2</v>
      </c>
      <c r="GD401" s="37">
        <v>3.2545831732385969E-2</v>
      </c>
      <c r="GE401" s="37"/>
      <c r="GF401" s="37"/>
      <c r="GG401" s="37">
        <v>-3.917651216220315E-2</v>
      </c>
      <c r="GH401" s="35">
        <v>1.5815006413582673</v>
      </c>
      <c r="GI401" s="36">
        <v>14091.240664441721</v>
      </c>
      <c r="GJ401" s="34">
        <v>0.50394797582841688</v>
      </c>
      <c r="GK401" s="34">
        <v>0.50887573065309688</v>
      </c>
      <c r="GL401" s="34">
        <v>0.49605202417158256</v>
      </c>
      <c r="GM401" s="33">
        <v>0.49112426934690212</v>
      </c>
      <c r="GN401" s="61"/>
      <c r="GO401" s="13">
        <v>343.14810671672558</v>
      </c>
      <c r="GP401" s="27">
        <v>314.72174922594519</v>
      </c>
      <c r="GQ401" s="27">
        <v>535.04305713031317</v>
      </c>
      <c r="GR401" s="27">
        <v>410.15490233172511</v>
      </c>
      <c r="GS401" s="27">
        <v>339.42744393800166</v>
      </c>
      <c r="GT401" s="27">
        <v>293.4407446948278</v>
      </c>
      <c r="GU401" s="27">
        <v>258.04012322764959</v>
      </c>
      <c r="GV401" s="29" t="s">
        <v>392</v>
      </c>
      <c r="GW401" s="27">
        <v>486.01388888888891</v>
      </c>
      <c r="GX401" s="27">
        <v>364.51041666666669</v>
      </c>
      <c r="GY401" s="27">
        <v>291.60833333333335</v>
      </c>
      <c r="GZ401" s="27">
        <v>257.31358158962206</v>
      </c>
      <c r="HA401" s="27">
        <v>238.35172364053415</v>
      </c>
      <c r="HB401" s="29">
        <v>268.65547055421894</v>
      </c>
      <c r="HC401" s="27">
        <v>276.69687499999998</v>
      </c>
      <c r="HD401" s="27">
        <v>232.57900219298241</v>
      </c>
      <c r="HE401" s="27">
        <v>234.25357203103911</v>
      </c>
      <c r="HF401" s="27">
        <v>215.31250548245612</v>
      </c>
      <c r="HG401" s="27">
        <v>205.99304824561403</v>
      </c>
      <c r="HH401" s="12">
        <v>232.11987837333268</v>
      </c>
      <c r="HI401" s="94"/>
      <c r="HJ401" s="335" t="s">
        <v>353</v>
      </c>
      <c r="HK401" s="335" t="s">
        <v>353</v>
      </c>
      <c r="HL401" s="94"/>
      <c r="HM401" s="640">
        <f t="shared" ref="HM401:HM464" si="1110">VLOOKUP($C401*1000+1,$A:$HH,FT$92,FALSE)*$JF401</f>
        <v>2.9403358434788716E-2</v>
      </c>
      <c r="HN401" s="22">
        <f t="shared" ref="HN401:HN464" si="1111">VLOOKUP($C401*1000+1,$A:$HH,FU$92,FALSE)*$JF401</f>
        <v>1.4106809950923669E-3</v>
      </c>
      <c r="HO401" s="638">
        <f t="shared" ref="HO401:HO464" si="1112">VLOOKUP($C401*1000+1,$A:$HH,FV$92,FALSE)*$JF401</f>
        <v>1.7317923025048877E-3</v>
      </c>
      <c r="HP401" s="649">
        <f>(FT401*$GD401-HM401)/$JF401*INDEX(Input!$1:$1048576,$JG$93,$C401*2+6)</f>
        <v>0</v>
      </c>
      <c r="HQ401" s="650">
        <f>(FU401*$GD401-HN401)/$JF401*INDEX(Input!$1:$1048576,$JG$93,$C401*2+6)</f>
        <v>0</v>
      </c>
      <c r="HR401" s="651">
        <f>(FV401*$GD401-HO401)/$JF401*INDEX(Input!$1:$1048576,$JG$93,$C401*2+6)</f>
        <v>0</v>
      </c>
      <c r="HS401" s="650">
        <f t="shared" ref="HS401:HS420" si="1113">IF(AND(HJ401="On",HK401="On"),IL401/1000*INDEX(KG:KG,MATCH(C401*1000+3,$KF:$KF,0))*SUM(HY401:IA401)*1.1
+INDEX(HR:HR,MATCH(C401*1000+4,$KF:$KF,0))/INDEX(IM:IM,MATCH(C401*1000+4,$KF:$KF,0))*IM401*20%,0)</f>
        <v>0</v>
      </c>
      <c r="HT401" s="650">
        <f t="shared" ref="HT401:HT464" si="1114">IF(AND(HJ401="On",HK401="On"),IM401/1000*INDEX(KG:KG,MATCH(C401*1000+4,$KF:$KF,0))*SUM(HY401:IA401)*1.1
+INDEX(HR:HR,MATCH(C401*1000+3,$KF:$KF,0))/INDEX(IL:IL,MATCH(C401*1000+3,$KF:$KF,0))*IL401*20%,0)</f>
        <v>0</v>
      </c>
      <c r="HU401" s="651">
        <f t="shared" ref="HU401:HU464" si="1115">IF(HJ401="On",IN401/1000*INDEX(KG:KG,MATCH(C401*1000+5,$KF:$KF,0))*SUM(HY401:IA401)*1.1
-INDEX(HR:HR,MATCH(C401*1000+3,$KF:$KF,0))/INDEX(IL:IL,MATCH(C401*1000+3,$KF:$KF,0))*IL401*20%
-INDEX(HR:HR,MATCH(C401*1000+4,$KF:$KF,0))/INDEX(IM:IM,MATCH(C401*1000+4,$KF:$KF,0))*IM401*20%,0)</f>
        <v>0</v>
      </c>
      <c r="HV401" s="649">
        <f t="shared" ref="HV401:HV464" si="1116">IL401/1000*0+IM401/1000*0+IN401/1000*0
+(CP401-INDEX(CP:CP,MATCH(C401*1000+1,A:A,0)))/1000*0+IF(FU401&gt;0,0,0)</f>
        <v>0</v>
      </c>
      <c r="HW401" s="650">
        <f t="shared" ref="HW401:HW464" si="1117">IL401/1000*0+IM401/1000*0+IN401/1000*0
+(CP401-INDEX(CP:CP,MATCH(C401*1000+1,A:A,0)))/1000*0+IF(FU401&gt;0,0,0)</f>
        <v>0</v>
      </c>
      <c r="HX401" s="651">
        <f t="shared" ref="HX401:HX464" si="1118">IL401/1000*0+IM401/1000*0+IN401/1000*0
+(CP401-INDEX(CP:CP,MATCH(C401*1000+1,A:A,0)))/1000*0+IF(FU401&gt;0,0,0)</f>
        <v>0</v>
      </c>
      <c r="HY401" s="641">
        <f>INDEX(Input!$1:$1048576,HY$93,$C401*2+6)*INDEX(Input!$1:$1048576,$JG$93,$C401*2+6)</f>
        <v>993</v>
      </c>
      <c r="HZ401" s="641">
        <f>INDEX(Input!$1:$1048576,HZ$93,$C401*2+6)*INDEX(Input!$1:$1048576,$JG$93,$C401*2+6)</f>
        <v>1216</v>
      </c>
      <c r="IA401" s="642">
        <f>INDEX(Input!$1:$1048576,IA$93,$C401*2+6)*INDEX(Input!$1:$1048576,$JG$93,$C401*2+6)</f>
        <v>120</v>
      </c>
      <c r="IB401" s="649">
        <f>SUM(HP401:IA401)-IC401-ID401</f>
        <v>993</v>
      </c>
      <c r="IC401" s="650">
        <f>IF(FU401=0,0,1)*MAX(HZ401+HQ401+HT401+HW401,0%)</f>
        <v>1216</v>
      </c>
      <c r="ID401" s="651">
        <f>IF(AND(INDEX(Input!$1:$1048576,IA$93,$C401*2+7)="TOS",Y401&lt;=INDEX(Y:Y,MATCH(C401*1000+2,A:A))),0,1)*MAX(IA401+HR401+HU401+HX401,0%)</f>
        <v>120</v>
      </c>
      <c r="IE401" s="129">
        <f>IB401/SUM($IB401:$ID401)</f>
        <v>0.42636324602833836</v>
      </c>
      <c r="IF401" s="652">
        <f t="shared" ref="IF401:IF402" si="1119">IC401/SUM($IB401:$ID401)</f>
        <v>0.52211249463288967</v>
      </c>
      <c r="IG401" s="653">
        <f t="shared" ref="IG401:IG464" si="1120">ID401/SUM($IB401:$ID401)</f>
        <v>5.1524259338772006E-2</v>
      </c>
      <c r="IH401" s="95"/>
      <c r="II401" s="298">
        <f t="shared" ref="II401:II464" si="1121">VLOOKUP($C401*1000+1,$A:$HH,FW$92,FALSE)-VLOOKUP($C401*1000+1,$A:$HH,FA$92,FALSE)*VLOOKUP($C401*1000+1,$A:$HH,DZ$92,FALSE)/VLOOKUP($C401*1000+1,$A:$HH,FT$92,FALSE)</f>
        <v>1490</v>
      </c>
      <c r="IJ401" s="49">
        <f t="shared" ref="IJ401:IJ464" si="1122">VLOOKUP($C401*1000+1,$A:$HH,FX$92,FALSE)</f>
        <v>2203.2561351629856</v>
      </c>
      <c r="IK401" s="40">
        <f t="shared" ref="IK401:IK464" si="1123">VLOOKUP($C401*1000+1,$A:$HH,FY$92,FALSE)</f>
        <v>242</v>
      </c>
      <c r="IL401" s="298">
        <f>(FW401-FA401*DZ401/FT401)-II401</f>
        <v>0</v>
      </c>
      <c r="IM401" s="49">
        <f t="shared" ref="IM401:IM464" si="1124">FX401-IJ401</f>
        <v>0</v>
      </c>
      <c r="IN401" s="40">
        <f t="shared" ref="IN401:IN464" si="1125">FY401-IK401</f>
        <v>0</v>
      </c>
      <c r="IO401" s="25">
        <f t="shared" ref="IO401:IO464" si="1126">(F401-VLOOKUP($C401*1000+1,$A:$HH,F$92,FALSE))*(1-$I401)</f>
        <v>0</v>
      </c>
      <c r="IP401" s="29">
        <f t="shared" ref="IP401:IP464" si="1127">(G401-VLOOKUP($C401*1000+1,$A:$HH,G$92,FALSE))*(1-$I401)</f>
        <v>0</v>
      </c>
      <c r="IQ401" s="29">
        <f t="shared" ref="IQ401:IQ464" si="1128">(H401-VLOOKUP($C401*1000+1,$A:$HH,H$92,FALSE))*(1-$I401)</f>
        <v>0</v>
      </c>
      <c r="IR401" s="17">
        <v>0</v>
      </c>
      <c r="IS401" s="29">
        <v>0</v>
      </c>
      <c r="IT401" s="12">
        <v>0</v>
      </c>
      <c r="IU401" s="25">
        <v>0</v>
      </c>
      <c r="IV401" s="29">
        <v>0</v>
      </c>
      <c r="IW401" s="12">
        <v>0</v>
      </c>
      <c r="IX401" s="372">
        <f>INDEX(Input!$1:$1048576,IX$93,$C401*2+6)+INDEX(Input!$1:$1048576,IX$94,$C401*2+6)</f>
        <v>1770</v>
      </c>
      <c r="IY401" s="373">
        <f>INDEX(Input!$1:$1048576,IY$93,$C401*2+6)+INDEX(Input!$1:$1048576,IY$94,$C401*2+6)</f>
        <v>2630.0624533823611</v>
      </c>
      <c r="IZ401" s="374">
        <f>INDEX(Input!$1:$1048576,IZ$93,$C401*2+6)+INDEX(Input!$1:$1048576,IZ$94,$C401*2+6)</f>
        <v>4153.7164157747848</v>
      </c>
      <c r="JA401" s="298">
        <f>(IL401+IO401+IR401+IU401+IX401)</f>
        <v>1770</v>
      </c>
      <c r="JB401" s="49">
        <f>(IM401+IP401+IS401+IV401+IY401)</f>
        <v>2630.0624533823611</v>
      </c>
      <c r="JC401" s="49">
        <f>(IN401+IQ401+IT401+IW401+IZ401)</f>
        <v>4153.7164157747848</v>
      </c>
      <c r="JD401" s="40">
        <f>SUMPRODUCT(IE401:IG401,JA401:JC401)</f>
        <v>2341.8685758720162</v>
      </c>
      <c r="JE401" s="95"/>
      <c r="JF401" s="28">
        <f t="shared" ref="JF401:JF464" si="1129">VLOOKUP($C401*1000+1,$A:$HH,GD$92,FALSE)</f>
        <v>3.2545831732385969E-2</v>
      </c>
      <c r="JG401" s="23">
        <f>INDEX(Input!$1:$1048576,JG$93,$C401*2+6)/(1+VLOOKUP(C401*1000+INDEX(Input!$1:$1048576,JG$93+1,$C401*2+6),$A:$KK,$JK$92,FALSE))</f>
        <v>2329</v>
      </c>
      <c r="JH401" s="38">
        <f>SUM(HP401:HR401)/SUM(HY401:IA401)</f>
        <v>0</v>
      </c>
      <c r="JI401" s="38">
        <f>SUM(HS401:HU401)/SUM(HY401:IA401)</f>
        <v>0</v>
      </c>
      <c r="JJ401" s="11">
        <f>SUM(HV401:HX401)/SUM(HY401:IA401)</f>
        <v>0</v>
      </c>
      <c r="JK401" s="2">
        <f>SUM(JH401:JJ401)</f>
        <v>0</v>
      </c>
      <c r="JL401" s="9">
        <f>JG401*JK401</f>
        <v>0</v>
      </c>
      <c r="JM401" s="8">
        <f>JG401+JL401</f>
        <v>2329</v>
      </c>
      <c r="JN401" s="95"/>
      <c r="JO401" s="375">
        <f>INDEX(Input!$1:$1048576,JO$93,$C401*2+6)</f>
        <v>5995.5</v>
      </c>
      <c r="JP401" s="375">
        <f>INDEX(Input!$1:$1048576,JP$93,$C401*2+6)</f>
        <v>2341.8685758720158</v>
      </c>
      <c r="JQ401" s="25">
        <f>JO401-JD401</f>
        <v>3653.6314241279838</v>
      </c>
      <c r="JR401" s="29">
        <f t="shared" ref="JR401" si="1130">JD401-JP401</f>
        <v>0</v>
      </c>
      <c r="JS401" s="29">
        <f t="shared" ref="JS401" si="1131">JM401*JD401/1000000</f>
        <v>5.454211913205925</v>
      </c>
      <c r="JT401" s="29">
        <f>(JD401*JM401-JP401*JG401)/1000000</f>
        <v>9.3132257461547847E-16</v>
      </c>
      <c r="JU401" s="376">
        <f>(JQ401*JM401-INDEX(Input!$1:$1048576,Input!A$18,$C401*2+6)*JL401*INDEX(Input!$1:$1048576,Input!A$19,$C401*2+6))/1000000</f>
        <v>8.5093075867940744</v>
      </c>
      <c r="JV401" s="29">
        <f t="shared" ref="JV401:JV412" si="1132">JU401-(JO401-JP401)*JG401/1000000</f>
        <v>0</v>
      </c>
      <c r="JW401" s="38">
        <f>JV401/(JU401-JV401)</f>
        <v>0</v>
      </c>
      <c r="JX401" s="40">
        <f>IF(JL401=0,0,JT401/JL401)*1000000</f>
        <v>0</v>
      </c>
      <c r="JZ401" s="377"/>
      <c r="KA401" s="378"/>
      <c r="KB401" s="474">
        <f>KA406</f>
        <v>2.3434325605641804</v>
      </c>
      <c r="KC401" s="379"/>
      <c r="KD401" s="379"/>
      <c r="KE401" s="379"/>
      <c r="KF401" s="379"/>
      <c r="KG401" s="380"/>
      <c r="KI401" s="381"/>
      <c r="KJ401" s="379"/>
      <c r="KK401" s="379"/>
      <c r="KL401" s="380"/>
      <c r="KN401" s="542">
        <f>C401*1000+$KN$97</f>
        <v>4002</v>
      </c>
      <c r="KO401" s="540">
        <f t="shared" ref="KO401:KO464" si="1133">JM401/INDEX(JM:JM,MATCH(KN401,A:A,0))-1</f>
        <v>-3.7050915527428563E-2</v>
      </c>
      <c r="KP401" s="545">
        <f t="shared" ref="KP401:KP464" si="1134">(IL401-INDEX(IL:IL,MATCH(KN401,A:A,0)))*IE401
+(IM401-IF(HN401=0,INDEX(IX:IX,MATCH(KN401,A:A,0)),INDEX(IM:IM,MATCH(KN401,A:A,0))))*IF401
+(IN401-INDEX(IN:IN,MATCH(KN401,A:A,0)))*IG401</f>
        <v>-279.25166521516184</v>
      </c>
      <c r="KQ401" s="545">
        <f t="shared" ref="KQ401:KQ464" si="1135">JD401-INDEX(JD:JD,MATCH(KN401,A:A,0))</f>
        <v>-282.90261216400495</v>
      </c>
      <c r="KR401" s="549">
        <f t="shared" ref="KR401:KR464" si="1136">KO401/(KP401/(BX401-INDEX(JD:JD,MATCH(KN401,A:A,0))))</f>
        <v>2.3033430105181911</v>
      </c>
      <c r="KS401" s="549">
        <f t="shared" ref="KS401:KS464" si="1137">KO401/(KQ401/(BX401-INDEX(JD:JD,MATCH(KN401,A:A,0))))</f>
        <v>2.2736176464713034</v>
      </c>
      <c r="KT401" s="661">
        <f>(1+JK406/(JD406-JD401)*(0-JD401))*JM401</f>
        <v>1580.0986321700548</v>
      </c>
      <c r="KU401" s="662">
        <f>IF(D401="",0,IFERROR((JM401/KT401-1)/(JD401/BX401)+B401*10^-6,0))</f>
        <v>4.0446613736314587</v>
      </c>
      <c r="KV401" s="568"/>
      <c r="KW401" s="26"/>
    </row>
    <row r="402" spans="1:310" s="60" customFormat="1" ht="15.75" thickBot="1">
      <c r="A402" s="560">
        <f t="shared" ref="A402:A465" si="1138">C402*1000+B402</f>
        <v>4002</v>
      </c>
      <c r="B402" s="560">
        <f>B401+1</f>
        <v>2</v>
      </c>
      <c r="C402" s="560">
        <f>C401</f>
        <v>4</v>
      </c>
      <c r="D402" s="560" t="s">
        <v>567</v>
      </c>
      <c r="E402" s="365">
        <f>INDEX(Input!$1:$1048576,E$93,$C402*2+MIN($B402,2)+5)</f>
        <v>1256.832975525977</v>
      </c>
      <c r="F402" s="49">
        <f>INDEX(Input!$1:$1048576,F$93,$C402*2+MIN($B402,2)+5)</f>
        <v>0</v>
      </c>
      <c r="G402" s="49">
        <f>INDEX(Input!$1:$1048576,G$93,$C402*2+MIN($B402,2)+5)</f>
        <v>0</v>
      </c>
      <c r="H402" s="49">
        <f>INDEX(Input!$1:$1048576,H$93,$C402*2+MIN($B402,2)+5)</f>
        <v>0</v>
      </c>
      <c r="I402" s="367">
        <f>INDEX(Input!$1:$1048576,I$93,$C402*2+MIN($B402,2)+5)</f>
        <v>0.7</v>
      </c>
      <c r="J402" s="367" t="str">
        <f>INDEX(Input!$1:$1048576,J$93,$C402*2+MIN($B402,2)+5)</f>
        <v>Market</v>
      </c>
      <c r="K402" s="367" t="str">
        <f>INDEX(Input!$1:$1048576,K$93,$C402*2+MIN($B402,2)+5)</f>
        <v>Market</v>
      </c>
      <c r="L402" s="367" t="str">
        <f>INDEX(Input!$1:$1048576,L$93,$C402*2+MIN($B402,2)+5)</f>
        <v>Market</v>
      </c>
      <c r="M402" s="367" t="str">
        <f>INDEX(Input!$1:$1048576,M$93,$C402*2+MIN($B402,2)+5)</f>
        <v>Market</v>
      </c>
      <c r="N402" s="367" t="str">
        <f>INDEX(Input!$1:$1048576,N$93,$C402*2+MIN($B402,2)+5)</f>
        <v>Market</v>
      </c>
      <c r="O402" s="367" t="str">
        <f>INDEX(Input!$1:$1048576,O$93,$C402*2+MIN($B402,2)+5)</f>
        <v>Market</v>
      </c>
      <c r="P402" s="367" t="str">
        <f>INDEX(Input!$1:$1048576,P$93,$C402*2+MIN($B402,2)+5)</f>
        <v>N</v>
      </c>
      <c r="Q402" s="47">
        <f>INDEX(Input!$1:$1048576,Q$93,$C402*2+MIN($B402,2)+5)</f>
        <v>0</v>
      </c>
      <c r="R402" s="38">
        <f>INDEX(Input!$1:$1048576,R$93,$C402*2+MIN($B402,2)+5)</f>
        <v>0</v>
      </c>
      <c r="S402" s="38">
        <f>INDEX(Input!$1:$1048576,S$93,$C402*2+MIN($B402,2)+5)</f>
        <v>0</v>
      </c>
      <c r="T402" s="38">
        <f>INDEX(Input!$1:$1048576,T$93,$C402*2+MIN($B402,2)+5)</f>
        <v>0</v>
      </c>
      <c r="U402" s="38">
        <f>INDEX(Input!$1:$1048576,U$93,$C402*2+MIN($B402,2)+5)</f>
        <v>0</v>
      </c>
      <c r="V402" s="38">
        <f>INDEX(Input!$1:$1048576,V$93,$C402*2+MIN($B402,2)+5)</f>
        <v>1.9E-2</v>
      </c>
      <c r="W402" s="22">
        <f>INDEX(Input!$1:$1048576,W$93,$C402*2+MIN($B402,2)+5)</f>
        <v>3.9E-2</v>
      </c>
      <c r="X402" s="367" t="str">
        <f>INDEX(Input!$1:$1048576,X$93,$C402*2+MIN($B402,2)+5)</f>
        <v>Y</v>
      </c>
      <c r="Y402" s="49">
        <f>INDEX(Input!$1:$1048576,Y$93,$C402*2+MIN($B402,2)+5)</f>
        <v>-870</v>
      </c>
      <c r="Z402" s="584">
        <f>INDEX(Input!$1:$1048576,Z$93,$C402*2+MIN($B402,2)+5)</f>
        <v>0</v>
      </c>
      <c r="AA402" s="49">
        <f>INDEX(Input!$1:$1048576,AA$93,$C402*2+MIN($B402,2)+5)</f>
        <v>0</v>
      </c>
      <c r="AB402" s="367">
        <f>INDEX(Input!$1:$1048576,AB$93,$C402*2+MIN($B402,2)+5)</f>
        <v>0.27</v>
      </c>
      <c r="AC402" s="49">
        <f>INDEX(Input!$1:$1048576,AC$93,$C402*2+MIN($B402,2)+5)</f>
        <v>0</v>
      </c>
      <c r="AD402" s="367">
        <f>INDEX(Input!$1:$1048576,AD$93,$C402*2+MIN($B402,2)+5)</f>
        <v>0.27</v>
      </c>
      <c r="AE402" s="49">
        <f>INDEX(Input!$1:$1048576,AE$93,$C402*2+MIN($B402,2)+5)</f>
        <v>0</v>
      </c>
      <c r="AF402" s="367">
        <f>INDEX(Input!$1:$1048576,AF$93,$C402*2+MIN($B402,2)+5)</f>
        <v>1</v>
      </c>
      <c r="AG402" s="49">
        <f>INDEX(Input!$1:$1048576,AG$93,$C402*2+MIN($B402,2)+5)</f>
        <v>500</v>
      </c>
      <c r="AH402" s="367">
        <f>INDEX(Input!$1:$1048576,AH$93,$C402*2+MIN($B402,2)+5)</f>
        <v>0.83199999999999996</v>
      </c>
      <c r="AI402" s="49">
        <f>INDEX(Input!$1:$1048576,AI$93,$C402*2+MIN($B402,2)+5)</f>
        <v>0</v>
      </c>
      <c r="AJ402" s="367">
        <f>INDEX(Input!$1:$1048576,AJ$93,$C402*2+MIN($B402,2)+5)</f>
        <v>0.27</v>
      </c>
      <c r="AK402" s="298">
        <f>ROUND(INDEX(Input!$1:$1048576,AK$93,$C402*2+MIN($B402,2)+5),0)</f>
        <v>2587</v>
      </c>
      <c r="AL402" s="49">
        <f>ROUND(INDEX(Input!$1:$1048576,AL$93,$C401*2+6)-(Y402-VLOOKUP($C402*1000+1,$A:$HH,Y$92,FALSE))/36,0)</f>
        <v>3406</v>
      </c>
      <c r="AM402" s="46" t="str">
        <f t="shared" ref="AM402:AM465" si="1139">IF(K402="market","std",ROUND(K402*1000,0)/10)&amp;"/"&amp;IF(L402="market","std",ROUND(L402*1000,0)/10)&amp;"/"&amp;IF(M402="market","std",ROUND(M402*1000,0)/10)&amp;"/"&amp;IF(N402="market","std",ROUND(N402*1000,0)/10)&amp;IF(P402="N","","/"&amp;IF(O402="market","std",ROUND(O402*1000,0)/10))</f>
        <v>std/std/std/std</v>
      </c>
      <c r="AN402" s="46" t="str">
        <f t="shared" ref="AN402:AN465" si="1140">"$"&amp;ROUND(Q402,0)&amp;" + "&amp;IF(S402="market","std",ROUND(S402*1000,0)/10)&amp;"/"&amp;IF(T402="market","std",ROUND(T402*1000,0)/10)&amp;"/"&amp;IF(U402="market","std",ROUND(U402*1000,0)/10)&amp;"/"&amp;IF(V402="market","std",ROUND(V402*1000,0)/10)&amp;IF(X402="N","","/"&amp;IF(W402="market","std",ROUND(W402*1000,0)/10))</f>
        <v>$0 + 0/0/0/1.9/3.9</v>
      </c>
      <c r="AO402" s="44" t="str">
        <f t="shared" ref="AO402:AO465" si="1141">IF(S402="market","std",ROUND(S402*1000,0)/10)&amp;"/"&amp;IF(T402="market","std",ROUND(T402*1000,0)/10)&amp;"/"&amp;IF(U402="market","std",ROUND(U402*1000,0)/10)&amp;"/"&amp;IF(V402="market","std",ROUND(V402*1000,0)/10)&amp;IF(X402="N","","/"&amp;IF(W402="market","std",ROUND(W402*1000,0)/10))</f>
        <v>0/0/0/1.9/3.9</v>
      </c>
      <c r="AP402" s="44" t="str">
        <f t="shared" si="993"/>
        <v>0/0.9/1.9/3.9</v>
      </c>
      <c r="AQ402" s="507">
        <f t="shared" si="992"/>
        <v>0.42451509721784414</v>
      </c>
      <c r="AR402" s="44"/>
      <c r="AS402" s="368"/>
      <c r="AT402" s="579">
        <f>AT401+1</f>
        <v>2</v>
      </c>
      <c r="AU402" s="45" t="s">
        <v>121</v>
      </c>
      <c r="AV402" s="45" t="s">
        <v>116</v>
      </c>
      <c r="AW402" s="45" t="str">
        <f>INDEX(Input!$1:$1048576,AW$93,$C402*2+6)</f>
        <v>Kia</v>
      </c>
      <c r="AX402" s="45" t="str">
        <f>INDEX(Input!$1:$1048576,AX$93,$C402*2+6)</f>
        <v>Kia-LR - R1</v>
      </c>
      <c r="AY402" s="10" t="str">
        <f>IF(LEN(D402)=0,"",INDEX(Input!$1:$1048576,AY$93,$C402*2+6))</f>
        <v>Compact SUV (52)</v>
      </c>
      <c r="AZ402" s="45" t="str">
        <f>INDEX(Input!$1:$1048576,AZ$93,$C402*2+6)</f>
        <v>Kia Soul</v>
      </c>
      <c r="BA402" s="50">
        <f>INDEX(Input!$1:$1048576,BA$93,$C402*2+6)</f>
        <v>2020</v>
      </c>
      <c r="BB402" s="48">
        <f>INDEX(Input!$1:$1048576,BB$93,$C402*2+6)</f>
        <v>1</v>
      </c>
      <c r="BC402" s="129">
        <f>INDEX(Input!$1:$1048576,BC$93,$C402*2+6)</f>
        <v>0.7</v>
      </c>
      <c r="BD402" s="38">
        <f>INDEX(Input!$1:$1048576,BD$93,$C402*2+6)</f>
        <v>4.4999999999999998E-2</v>
      </c>
      <c r="BE402" s="38">
        <f>INDEX(Input!$1:$1048576,BE$93,$C402*2+6)</f>
        <v>4.4999999999999998E-2</v>
      </c>
      <c r="BF402" s="38">
        <f>INDEX(Input!$1:$1048576,BF$93,$C402*2+6)</f>
        <v>0.05</v>
      </c>
      <c r="BG402" s="38">
        <f>INDEX(Input!$1:$1048576,BG$93,$C402*2+6)</f>
        <v>5.45E-2</v>
      </c>
      <c r="BH402" s="38">
        <f>INDEX(Input!$1:$1048576,BH$93,$C402*2+6)</f>
        <v>5.45E-2</v>
      </c>
      <c r="BI402" s="38">
        <f>INDEX(Input!$1:$1048576,BI$93,$C402*2+6)</f>
        <v>0.05</v>
      </c>
      <c r="BJ402" s="38">
        <f>INDEX(Input!$1:$1048576,BJ$93,$C402*2+6)</f>
        <v>0.05</v>
      </c>
      <c r="BK402" s="38">
        <f>INDEX(Input!$1:$1048576,BK$93,$C402*2+6)</f>
        <v>0.05</v>
      </c>
      <c r="BL402" s="38">
        <f>INDEX(Input!$1:$1048576,BL$93,$C402*2+6)</f>
        <v>5.5E-2</v>
      </c>
      <c r="BM402" s="38">
        <f>INDEX(Input!$1:$1048576,BM$93,$C402*2+6)</f>
        <v>0.06</v>
      </c>
      <c r="BN402" s="38">
        <f>INDEX(Input!$1:$1048576,BN$93,$C402*2+6)</f>
        <v>4.4999999999999998E-2</v>
      </c>
      <c r="BO402" s="38">
        <f>INDEX(Input!$1:$1048576,BO$93,$C402*2+6)</f>
        <v>4.4999999999999998E-2</v>
      </c>
      <c r="BP402" s="38">
        <f>INDEX(Input!$1:$1048576,BP$93,$C402*2+6)</f>
        <v>0.05</v>
      </c>
      <c r="BQ402" s="38">
        <f>INDEX(Input!$1:$1048576,BQ$93,$C402*2+6)</f>
        <v>5.45E-2</v>
      </c>
      <c r="BR402" s="38">
        <f>INDEX(Input!$1:$1048576,BR$93,$C402*2+6)</f>
        <v>5.45E-2</v>
      </c>
      <c r="BS402" s="38">
        <f>INDEX(Input!$1:$1048576,BS$93,$C402*2+6)</f>
        <v>0.05</v>
      </c>
      <c r="BT402" s="38">
        <f>INDEX(Input!$1:$1048576,BT$93,$C402*2+6)</f>
        <v>0.05</v>
      </c>
      <c r="BU402" s="38">
        <f>INDEX(Input!$1:$1048576,BU$93,$C402*2+6)</f>
        <v>0.05</v>
      </c>
      <c r="BV402" s="38">
        <f>INDEX(Input!$1:$1048576,BV$93,$C402*2+6)</f>
        <v>5.5E-2</v>
      </c>
      <c r="BW402" s="38">
        <f>INDEX(Input!$1:$1048576,BW$93,$C402*2+6)</f>
        <v>0.06</v>
      </c>
      <c r="BX402" s="29">
        <f>INDEX(Input!$1:$1048576,BX$93,$C402*2+6)</f>
        <v>19985</v>
      </c>
      <c r="BY402" s="367">
        <f>INDEX(Input!$1:$1048576,BY$93,$C402*2+6)</f>
        <v>0.1</v>
      </c>
      <c r="BZ402" s="367">
        <f>INDEX(Input!$1:$1048576,BZ$93,$C402*2+6)</f>
        <v>0.1</v>
      </c>
      <c r="CA402" s="367">
        <f>INDEX(Input!$1:$1048576,CA$93,$C402*2+6)</f>
        <v>0.1</v>
      </c>
      <c r="CB402" s="367">
        <f>INDEX(Input!$1:$1048576,CB$93,$C402*2+6)</f>
        <v>0.1</v>
      </c>
      <c r="CC402" s="367">
        <f>INDEX(Input!$1:$1048576,CC$93,$C402*2+6)</f>
        <v>0.1</v>
      </c>
      <c r="CD402" s="367">
        <f>INDEX(Input!$1:$1048576,CD$93,$C402*2+6)</f>
        <v>0.1</v>
      </c>
      <c r="CE402" s="367">
        <f>INDEX(Input!$1:$1048576,CE$93,$C402*2+6)</f>
        <v>0.1</v>
      </c>
      <c r="CF402" s="367">
        <f>INDEX(Input!$1:$1048576,CF$93,$C402*2+6)</f>
        <v>0.1</v>
      </c>
      <c r="CG402" s="367">
        <f>INDEX(Input!$1:$1048576,CG$93,$C402*2+6)</f>
        <v>0.1</v>
      </c>
      <c r="CH402" s="48">
        <f>INDEX(Input!$1:$1048576,CH$93,$C402*2+6)</f>
        <v>0.1</v>
      </c>
      <c r="CI402" s="298">
        <f t="shared" si="994"/>
        <v>1256.832975525977</v>
      </c>
      <c r="CJ402" s="46" t="str">
        <f>INDEX(Input!$1:$1048576,CJ$93,$C402*2+6)</f>
        <v>N</v>
      </c>
      <c r="CK402" s="38" t="str">
        <f t="shared" si="995"/>
        <v>Market</v>
      </c>
      <c r="CL402" s="38" t="str">
        <f t="shared" si="996"/>
        <v>Market</v>
      </c>
      <c r="CM402" s="38" t="str">
        <f t="shared" si="997"/>
        <v>Market</v>
      </c>
      <c r="CN402" s="38" t="str">
        <f t="shared" si="998"/>
        <v>Market</v>
      </c>
      <c r="CO402" s="38" t="str">
        <f t="shared" si="999"/>
        <v>Market</v>
      </c>
      <c r="CP402" s="49">
        <f t="shared" si="1000"/>
        <v>416</v>
      </c>
      <c r="CQ402" s="38">
        <f t="shared" si="1001"/>
        <v>0</v>
      </c>
      <c r="CR402" s="38">
        <f t="shared" si="1002"/>
        <v>0</v>
      </c>
      <c r="CS402" s="38">
        <f t="shared" si="1003"/>
        <v>0</v>
      </c>
      <c r="CT402" s="38">
        <f t="shared" si="1004"/>
        <v>1.9E-2</v>
      </c>
      <c r="CU402" s="38">
        <f t="shared" si="1005"/>
        <v>3.9E-2</v>
      </c>
      <c r="CV402" s="49">
        <f t="shared" si="1006"/>
        <v>-870</v>
      </c>
      <c r="CW402" s="22" t="s">
        <v>122</v>
      </c>
      <c r="CX402" s="22" t="s">
        <v>122</v>
      </c>
      <c r="CY402" s="22" t="s">
        <v>122</v>
      </c>
      <c r="CZ402" s="22" t="s">
        <v>122</v>
      </c>
      <c r="DA402" s="22" t="s">
        <v>122</v>
      </c>
      <c r="DB402" s="502">
        <f t="shared" si="1007"/>
        <v>0</v>
      </c>
      <c r="DC402" s="29">
        <v>0</v>
      </c>
      <c r="DD402" s="29">
        <v>0</v>
      </c>
      <c r="DE402" s="29">
        <v>0</v>
      </c>
      <c r="DF402" s="49">
        <v>0</v>
      </c>
      <c r="DG402" s="49">
        <v>0</v>
      </c>
      <c r="DH402" s="49">
        <v>0</v>
      </c>
      <c r="DI402" s="49">
        <v>0</v>
      </c>
      <c r="DJ402" s="49">
        <v>0</v>
      </c>
      <c r="DK402" s="29">
        <v>0</v>
      </c>
      <c r="DL402" s="29">
        <v>0</v>
      </c>
      <c r="DM402" s="49">
        <f>INDEX(Input!$1:$1048576,DM$93,$C402*2+6)</f>
        <v>21036.84210526316</v>
      </c>
      <c r="DN402" s="367">
        <v>0</v>
      </c>
      <c r="DO402" s="367">
        <v>0</v>
      </c>
      <c r="DP402" s="367">
        <v>0</v>
      </c>
      <c r="DQ402" s="367">
        <v>0</v>
      </c>
      <c r="DR402" s="367">
        <v>0</v>
      </c>
      <c r="DS402" s="367">
        <f>INDEX(Input!$1:$1048576,DS$93,$C402*2+6)</f>
        <v>0.6</v>
      </c>
      <c r="DT402" s="367">
        <f>INDEX(Input!$1:$1048576,DT$93,$C402*2+6)</f>
        <v>0.55000000000000004</v>
      </c>
      <c r="DU402" s="367">
        <f>INDEX(Input!$1:$1048576,DU$93,$C402*2+6)</f>
        <v>0.52</v>
      </c>
      <c r="DV402" s="367">
        <f>INDEX(Input!$1:$1048576,DV$93,$C402*2+6)</f>
        <v>0.5</v>
      </c>
      <c r="DW402" s="48">
        <f>INDEX(Input!$1:$1048576,DW$93,$C402*2+6)</f>
        <v>0.45</v>
      </c>
      <c r="DX402" s="577"/>
      <c r="DY402" s="4">
        <v>0.10291711575259833</v>
      </c>
      <c r="DZ402" s="37">
        <v>0</v>
      </c>
      <c r="EA402" s="37">
        <v>0.80155800508931163</v>
      </c>
      <c r="EB402" s="37">
        <v>0</v>
      </c>
      <c r="EC402" s="37">
        <v>0</v>
      </c>
      <c r="ED402" s="37">
        <v>0</v>
      </c>
      <c r="EE402" s="37">
        <v>0</v>
      </c>
      <c r="EF402" s="37">
        <v>0</v>
      </c>
      <c r="EG402" s="37">
        <v>0</v>
      </c>
      <c r="EH402" s="37">
        <v>1.2261360713264327E-2</v>
      </c>
      <c r="EI402" s="37">
        <v>3.2025960002865179E-2</v>
      </c>
      <c r="EJ402" s="37">
        <v>0.22486525192740023</v>
      </c>
      <c r="EK402" s="37">
        <v>0.59351424657119012</v>
      </c>
      <c r="EL402" s="37">
        <v>0.13733318078528051</v>
      </c>
      <c r="EM402" s="37">
        <v>4.3281979305335908E-2</v>
      </c>
      <c r="EN402" s="37">
        <v>5.04702383394642E-2</v>
      </c>
      <c r="EO402" s="37">
        <v>0.71270780937656308</v>
      </c>
      <c r="EP402" s="37">
        <v>0.10248383114125095</v>
      </c>
      <c r="EQ402" s="37">
        <v>9.0018181543692996E-2</v>
      </c>
      <c r="ER402" s="37">
        <v>4.4319939599028385E-2</v>
      </c>
      <c r="ES402" s="37">
        <v>5.2242899852754106E-2</v>
      </c>
      <c r="ET402" s="37">
        <v>9.5524879158090076E-2</v>
      </c>
      <c r="EU402" s="36">
        <v>1770</v>
      </c>
      <c r="EV402" s="36">
        <v>0</v>
      </c>
      <c r="EW402" s="36">
        <v>1770</v>
      </c>
      <c r="EX402" s="36">
        <v>0</v>
      </c>
      <c r="EY402" s="36">
        <v>2483.3031156614329</v>
      </c>
      <c r="EZ402" s="36">
        <v>507</v>
      </c>
      <c r="FA402" s="36">
        <v>0</v>
      </c>
      <c r="FB402" s="36">
        <v>0</v>
      </c>
      <c r="FC402" s="36">
        <v>0</v>
      </c>
      <c r="FD402" s="36">
        <v>0</v>
      </c>
      <c r="FE402" s="36">
        <v>0</v>
      </c>
      <c r="FF402" s="36">
        <v>0</v>
      </c>
      <c r="FG402" s="36">
        <v>0</v>
      </c>
      <c r="FH402" s="36">
        <v>1169.7988357498739</v>
      </c>
      <c r="FI402" s="36">
        <v>1553.9796069512392</v>
      </c>
      <c r="FJ402" s="36">
        <v>2101.211011744741</v>
      </c>
      <c r="FK402" s="36">
        <v>1772.7139978623229</v>
      </c>
      <c r="FL402" s="36">
        <v>907.07682140966358</v>
      </c>
      <c r="FM402" s="36">
        <v>1713.3031156614329</v>
      </c>
      <c r="FN402" s="36">
        <v>0</v>
      </c>
      <c r="FO402" s="36">
        <v>0</v>
      </c>
      <c r="FP402" s="36">
        <v>0</v>
      </c>
      <c r="FQ402" s="36">
        <v>0</v>
      </c>
      <c r="FR402" s="36">
        <v>0</v>
      </c>
      <c r="FS402" s="36">
        <v>0</v>
      </c>
      <c r="FT402" s="37">
        <v>0.90447512084190995</v>
      </c>
      <c r="FU402" s="37">
        <v>4.3281979305335908E-2</v>
      </c>
      <c r="FV402" s="37">
        <v>5.2242899852754106E-2</v>
      </c>
      <c r="FW402" s="36">
        <v>1770</v>
      </c>
      <c r="FX402" s="36">
        <v>2483.3031156614329</v>
      </c>
      <c r="FY402" s="36">
        <v>507</v>
      </c>
      <c r="FZ402" s="36">
        <v>1949.5716051445115</v>
      </c>
      <c r="GA402" s="36">
        <v>1734.8903881764613</v>
      </c>
      <c r="GB402" s="36">
        <v>18250.10961182354</v>
      </c>
      <c r="GC402" s="37">
        <v>3.3872851927908169E-2</v>
      </c>
      <c r="GD402" s="37">
        <v>3.3598045882186636E-2</v>
      </c>
      <c r="GE402" s="37"/>
      <c r="GF402" s="37"/>
      <c r="GG402" s="37">
        <v>-8.1128700443176393E-3</v>
      </c>
      <c r="GH402" s="35">
        <v>0.75523937364216531</v>
      </c>
      <c r="GI402" s="36">
        <v>28196.699315883332</v>
      </c>
      <c r="GJ402" s="34">
        <v>0.50394797582841744</v>
      </c>
      <c r="GK402" s="34">
        <v>0.50887573065309755</v>
      </c>
      <c r="GL402" s="34">
        <v>0.49605202417158273</v>
      </c>
      <c r="GM402" s="33">
        <v>0.49112426934690295</v>
      </c>
      <c r="GN402" s="61"/>
      <c r="GO402" s="13">
        <v>343.14810671672558</v>
      </c>
      <c r="GP402" s="27">
        <v>309.37988338875158</v>
      </c>
      <c r="GQ402" s="27">
        <v>535.04305713031317</v>
      </c>
      <c r="GR402" s="27">
        <v>410.15490233172511</v>
      </c>
      <c r="GS402" s="27">
        <v>339.42744393800166</v>
      </c>
      <c r="GT402" s="27">
        <v>293.4407446948278</v>
      </c>
      <c r="GU402" s="27">
        <v>258.04012322764959</v>
      </c>
      <c r="GV402" s="29" t="s">
        <v>392</v>
      </c>
      <c r="GW402" s="27">
        <v>478.23611111111109</v>
      </c>
      <c r="GX402" s="27">
        <v>358.67708333333331</v>
      </c>
      <c r="GY402" s="27">
        <v>286.94166666666666</v>
      </c>
      <c r="GZ402" s="27">
        <v>253.19574071601335</v>
      </c>
      <c r="HA402" s="27">
        <v>234.53733318419432</v>
      </c>
      <c r="HB402" s="29">
        <v>264.3590508178695</v>
      </c>
      <c r="HC402" s="27">
        <v>265.10312499999998</v>
      </c>
      <c r="HD402" s="27">
        <v>224.66580774853799</v>
      </c>
      <c r="HE402" s="27">
        <v>226.90661690283397</v>
      </c>
      <c r="HF402" s="27">
        <v>209.18438048245613</v>
      </c>
      <c r="HG402" s="27">
        <v>200.91388157894738</v>
      </c>
      <c r="HH402" s="12">
        <v>224.49004163162587</v>
      </c>
      <c r="HI402" s="94"/>
      <c r="HJ402" s="370" t="str">
        <f>HJ401</f>
        <v>On</v>
      </c>
      <c r="HK402" s="371" t="str">
        <f>HK401</f>
        <v>On</v>
      </c>
      <c r="HL402" s="94"/>
      <c r="HM402" s="640">
        <f t="shared" si="1110"/>
        <v>2.9403358434788716E-2</v>
      </c>
      <c r="HN402" s="22">
        <f t="shared" si="1111"/>
        <v>1.4106809950923669E-3</v>
      </c>
      <c r="HO402" s="638">
        <f t="shared" si="1112"/>
        <v>1.7317923025048877E-3</v>
      </c>
      <c r="HP402" s="650">
        <f>(FT402*$GD402-HM402)/$JF402*INDEX(Input!$1:$1048576,$JG$93,$C402*2+6)</f>
        <v>70.504257731201051</v>
      </c>
      <c r="HQ402" s="650">
        <f>(FU402*$GD402-HN402)/$JF402*INDEX(Input!$1:$1048576,$JG$93,$C402*2+6)</f>
        <v>3.1135262497059357</v>
      </c>
      <c r="HR402" s="651">
        <f>(FV402*$GD402-HO402)/$JF402*INDEX(Input!$1:$1048576,$JG$93,$C402*2+6)</f>
        <v>1.6793162756267859</v>
      </c>
      <c r="HS402" s="650">
        <f t="shared" si="1113"/>
        <v>-36.767042479690986</v>
      </c>
      <c r="HT402" s="650">
        <f t="shared" si="1114"/>
        <v>44.839105761971567</v>
      </c>
      <c r="HU402" s="651">
        <f t="shared" si="1115"/>
        <v>6.2426172446369526</v>
      </c>
      <c r="HV402" s="645">
        <f t="shared" si="1116"/>
        <v>0</v>
      </c>
      <c r="HW402" s="646">
        <f t="shared" si="1117"/>
        <v>0</v>
      </c>
      <c r="HX402" s="647">
        <f t="shared" si="1118"/>
        <v>0</v>
      </c>
      <c r="HY402" s="643">
        <f>INDEX(Input!$1:$1048576,HY$93,$C402*2+6)*INDEX(Input!$1:$1048576,$JG$93,$C402*2+6)</f>
        <v>993</v>
      </c>
      <c r="HZ402" s="641">
        <f>INDEX(Input!$1:$1048576,HZ$93,$C402*2+6)*INDEX(Input!$1:$1048576,$JG$93,$C402*2+6)</f>
        <v>1216</v>
      </c>
      <c r="IA402" s="642">
        <f>INDEX(Input!$1:$1048576,IA$93,$C402*2+6)*INDEX(Input!$1:$1048576,$JG$93,$C402*2+6)</f>
        <v>120</v>
      </c>
      <c r="IB402" s="649">
        <f t="shared" ref="IB402:IB465" si="1142">SUM(HP402:IA402)-IC402-ID402</f>
        <v>1026.73721525151</v>
      </c>
      <c r="IC402" s="650">
        <f t="shared" ref="IC402:IC465" si="1143">MAX(HZ402+HQ402+HT402+HW402,0%)</f>
        <v>1263.9526320116775</v>
      </c>
      <c r="ID402" s="651">
        <f>IF(AND(INDEX(Input!$1:$1048576,IA$93,$C402*2+7)="TOS",Y402&lt;=INDEX(Y:Y,MATCH(C402*1000+2,A:A))),0,1)*MAX(IA402+HR402+HU402+HX402,0%)</f>
        <v>127.92193352026374</v>
      </c>
      <c r="IE402" s="129">
        <f t="shared" ref="IE402" si="1144">IB402/SUM($IB402:$ID402)</f>
        <v>0.42451509721784414</v>
      </c>
      <c r="IF402" s="652">
        <f t="shared" si="1119"/>
        <v>0.52259425925819747</v>
      </c>
      <c r="IG402" s="653">
        <f t="shared" si="1120"/>
        <v>5.2890643523958399E-2</v>
      </c>
      <c r="IH402" s="95"/>
      <c r="II402" s="298">
        <f t="shared" si="1121"/>
        <v>1490</v>
      </c>
      <c r="IJ402" s="49">
        <f t="shared" si="1122"/>
        <v>2203.2561351629856</v>
      </c>
      <c r="IK402" s="40">
        <f t="shared" si="1123"/>
        <v>242</v>
      </c>
      <c r="IL402" s="298">
        <f t="shared" ref="IL402:IL465" si="1145">(FW402-FA402*DZ402/FT402)-II402</f>
        <v>280</v>
      </c>
      <c r="IM402" s="49">
        <f t="shared" si="1124"/>
        <v>280.04698049844728</v>
      </c>
      <c r="IN402" s="40">
        <f t="shared" si="1125"/>
        <v>265</v>
      </c>
      <c r="IO402" s="25">
        <f t="shared" si="1126"/>
        <v>0</v>
      </c>
      <c r="IP402" s="29">
        <f t="shared" si="1127"/>
        <v>0</v>
      </c>
      <c r="IQ402" s="29">
        <f t="shared" si="1128"/>
        <v>0</v>
      </c>
      <c r="IR402" s="17">
        <v>0</v>
      </c>
      <c r="IS402" s="29">
        <v>0</v>
      </c>
      <c r="IT402" s="12">
        <v>0</v>
      </c>
      <c r="IU402" s="25">
        <v>0</v>
      </c>
      <c r="IV402" s="29">
        <v>0</v>
      </c>
      <c r="IW402" s="12">
        <v>0</v>
      </c>
      <c r="IX402" s="372">
        <f>INDEX(Input!$1:$1048576,IX$93,$C402*2+6)+INDEX(Input!$1:$1048576,IX$94,$C402*2+6)</f>
        <v>1770</v>
      </c>
      <c r="IY402" s="373">
        <f>INDEX(Input!$1:$1048576,IY$93,$C402*2+6)+INDEX(Input!$1:$1048576,IY$94,$C402*2+6)</f>
        <v>2630.0624533823611</v>
      </c>
      <c r="IZ402" s="374">
        <f>INDEX(Input!$1:$1048576,IZ$93,$C402*2+6)+INDEX(Input!$1:$1048576,IZ$94,$C402*2+6)</f>
        <v>4153.7164157747848</v>
      </c>
      <c r="JA402" s="298">
        <f t="shared" ref="JA402:JA465" si="1146">(IL402+IO402+IR402+IU402+IX402)</f>
        <v>2050</v>
      </c>
      <c r="JB402" s="49">
        <f t="shared" ref="JB402:JB465" si="1147">(IM402+IP402+IS402+IV402+IY402)</f>
        <v>2910.1094338808084</v>
      </c>
      <c r="JC402" s="49">
        <f t="shared" ref="JC402:JC465" si="1148">(IN402+IQ402+IT402+IW402+IZ402)</f>
        <v>4418.7164157747848</v>
      </c>
      <c r="JD402" s="40">
        <f t="shared" ref="JD402:JD465" si="1149">SUMPRODUCT(IE402:IG402,JA402:JC402)</f>
        <v>2624.7711880360212</v>
      </c>
      <c r="JE402" s="382"/>
      <c r="JF402" s="28">
        <f t="shared" si="1129"/>
        <v>3.2545831732385969E-2</v>
      </c>
      <c r="JG402" s="23">
        <f>INDEX(Input!$1:$1048576,JG$93,$C402*2+6)/(1+VLOOKUP(C402*1000+INDEX(Input!$1:$1048576,JG$93+1,$C402*2+6),$A:$KK,$JK$92,FALSE))</f>
        <v>2329</v>
      </c>
      <c r="JH402" s="38">
        <f t="shared" ref="JH402:JH465" si="1150">SUM(HP402:HR402)/SUM(HY402:IA402)</f>
        <v>3.2330227675626357E-2</v>
      </c>
      <c r="JI402" s="38">
        <f t="shared" ref="JI402:JI465" si="1151">SUM(HS402:HU402)/SUM(HY402:IA402)</f>
        <v>6.1462775985047383E-3</v>
      </c>
      <c r="JJ402" s="11">
        <f t="shared" ref="JJ402:JJ412" si="1152">SUM(HV402:HX402)/SUM(HY402:IA402)</f>
        <v>0</v>
      </c>
      <c r="JK402" s="2">
        <f t="shared" ref="JK402:JK404" si="1153">SUM(JH402:JJ402)</f>
        <v>3.8476505274131094E-2</v>
      </c>
      <c r="JL402" s="9">
        <f t="shared" ref="JL402:JL465" si="1154">JG402*JK402</f>
        <v>89.611780783451323</v>
      </c>
      <c r="JM402" s="8">
        <f t="shared" ref="JM402:JM405" si="1155">JG402+JL402</f>
        <v>2418.6117807834512</v>
      </c>
      <c r="JN402" s="95"/>
      <c r="JO402" s="375">
        <f>INDEX(Input!$1:$1048576,JO$93,$C402*2+6)</f>
        <v>5995.5</v>
      </c>
      <c r="JP402" s="375">
        <f>INDEX(Input!$1:$1048576,JP$93,$C402*2+6)</f>
        <v>2341.8685758720158</v>
      </c>
      <c r="JQ402" s="25">
        <f>JO402-JD402</f>
        <v>3370.7288119639788</v>
      </c>
      <c r="JR402" s="29">
        <f>JD402-JP402</f>
        <v>282.9026121640054</v>
      </c>
      <c r="JS402" s="29">
        <f>JM402*JD402/1000000</f>
        <v>6.3483025172448961</v>
      </c>
      <c r="JT402" s="29">
        <f t="shared" ref="JT402:JT465" si="1156">(JD402*JM402-JP402*JG402)/1000000</f>
        <v>0.89409060403897145</v>
      </c>
      <c r="JU402" s="376">
        <f>(JQ402*JM402-INDEX(Input!$1:$1048576,Input!A$18,$C402*2+6)*JL402*INDEX(Input!$1:$1048576,Input!A$19,$C402*2+6))/1000000</f>
        <v>8.1524844144422861</v>
      </c>
      <c r="JV402" s="29">
        <f t="shared" si="1132"/>
        <v>-0.35682317235178829</v>
      </c>
      <c r="JW402" s="38">
        <f>JV402/(JU402-JV402)</f>
        <v>-4.1933279378166571E-2</v>
      </c>
      <c r="JX402" s="40">
        <f>IF(JL402=0,0,JT402/JL402)*1000000</f>
        <v>9977.3779320328376</v>
      </c>
      <c r="JZ402" s="377"/>
      <c r="KA402" s="378"/>
      <c r="KB402" s="474">
        <f>KB401</f>
        <v>2.3434325605641804</v>
      </c>
      <c r="KC402" s="379"/>
      <c r="KD402" s="379"/>
      <c r="KE402" s="379"/>
      <c r="KF402" s="379"/>
      <c r="KG402" s="380"/>
      <c r="KI402" s="513">
        <f>$JM402*IE402-$JG402*HY402/SUM($HY402:$IA402)</f>
        <v>33.737215251509951</v>
      </c>
      <c r="KJ402" s="514">
        <f t="shared" ref="KJ402:KJ415" si="1157">$JM402*IF402-$JG402*HZ402/SUM($HY402:$IA402)</f>
        <v>47.952632011677451</v>
      </c>
      <c r="KK402" s="514">
        <f t="shared" ref="KK402:KK465" si="1158">$JM402*IG402-$JG402*IA402/SUM($HY402:$IA402)</f>
        <v>7.9219335202637353</v>
      </c>
      <c r="KL402" s="380"/>
      <c r="KN402" s="543">
        <f>KM402+(KN401-KM401)</f>
        <v>4002</v>
      </c>
      <c r="KO402" s="540">
        <f t="shared" si="1133"/>
        <v>0</v>
      </c>
      <c r="KP402" s="545">
        <f t="shared" si="1134"/>
        <v>0</v>
      </c>
      <c r="KQ402" s="545">
        <f t="shared" si="1135"/>
        <v>0</v>
      </c>
      <c r="KR402" s="547" t="e">
        <f t="shared" si="1136"/>
        <v>#DIV/0!</v>
      </c>
      <c r="KS402" s="547" t="e">
        <f t="shared" si="1137"/>
        <v>#DIV/0!</v>
      </c>
      <c r="KT402" s="661">
        <f>KT401</f>
        <v>1580.0986321700548</v>
      </c>
      <c r="KU402" s="662">
        <f t="shared" ref="KU402:KU465" si="1159">IF(D402="",0,IFERROR((JM402/KT402-1)/(JD402/BX402)+B402*10^-6,0))</f>
        <v>4.0405324349659102</v>
      </c>
      <c r="KV402" s="568"/>
      <c r="KW402" s="26"/>
      <c r="KX402" s="582"/>
    </row>
    <row r="403" spans="1:310" s="26" customFormat="1" ht="15">
      <c r="A403" s="561">
        <f t="shared" si="1138"/>
        <v>4003</v>
      </c>
      <c r="B403" s="561">
        <f t="shared" ref="B403:B466" si="1160">B402+1</f>
        <v>3</v>
      </c>
      <c r="C403" s="561">
        <f t="shared" ref="C403:C466" si="1161">C402</f>
        <v>4</v>
      </c>
      <c r="D403" s="561" t="s">
        <v>740</v>
      </c>
      <c r="E403" s="475">
        <f>INDEX(Input!$1:$1048576,E$93,$C403*2+MIN($B403,1)+5)+500</f>
        <v>1500</v>
      </c>
      <c r="F403" s="115">
        <f>INDEX(Input!$1:$1048576,F$93,$C403*2+MIN($B403,1)+5)</f>
        <v>0</v>
      </c>
      <c r="G403" s="115">
        <f>INDEX(Input!$1:$1048576,G$93,$C403*2+MIN($B403,1)+5)</f>
        <v>0</v>
      </c>
      <c r="H403" s="115">
        <f>INDEX(Input!$1:$1048576,H$93,$C403*2+MIN($B403,1)+5)</f>
        <v>0</v>
      </c>
      <c r="I403" s="118">
        <f>INDEX(Input!$1:$1048576,I$93,$C403*2+MIN($B403,1)+5)</f>
        <v>0.7</v>
      </c>
      <c r="J403" s="118" t="str">
        <f>INDEX(Input!$1:$1048576,J$93,$C403*2+MIN($B403,1)+5)</f>
        <v>Market</v>
      </c>
      <c r="K403" s="118" t="str">
        <f>INDEX(Input!$1:$1048576,K$93,$C403*2+MIN($B403,1)+5)</f>
        <v>Market</v>
      </c>
      <c r="L403" s="118" t="str">
        <f>INDEX(Input!$1:$1048576,L$93,$C403*2+MIN($B403,1)+5)</f>
        <v>Market</v>
      </c>
      <c r="M403" s="118" t="str">
        <f>INDEX(Input!$1:$1048576,M$93,$C403*2+MIN($B403,1)+5)</f>
        <v>Market</v>
      </c>
      <c r="N403" s="118" t="str">
        <f>INDEX(Input!$1:$1048576,N$93,$C403*2+MIN($B403,1)+5)</f>
        <v>Market</v>
      </c>
      <c r="O403" s="118" t="str">
        <f>INDEX(Input!$1:$1048576,O$93,$C403*2+MIN($B403,1)+5)</f>
        <v>Market</v>
      </c>
      <c r="P403" s="118" t="str">
        <f>INDEX(Input!$1:$1048576,P$93,$C403*2+MIN($B403,1)+5)</f>
        <v>N</v>
      </c>
      <c r="Q403" s="30">
        <f>INDEX(Input!$1:$1048576,Q$93,$C403*2+MIN($B403,1)+5)</f>
        <v>0</v>
      </c>
      <c r="R403" s="383">
        <f>INDEX(Input!$1:$1048576,R$93,$C403*2+MIN($B403,1)+5)</f>
        <v>0</v>
      </c>
      <c r="S403" s="383">
        <f>INDEX(Input!$1:$1048576,S$93,$C403*2+MIN($B403,1)+5)</f>
        <v>0</v>
      </c>
      <c r="T403" s="383">
        <f>INDEX(Input!$1:$1048576,T$93,$C403*2+MIN($B403,1)+5)</f>
        <v>0</v>
      </c>
      <c r="U403" s="383">
        <f>INDEX(Input!$1:$1048576,U$93,$C403*2+MIN($B403,1)+5)</f>
        <v>0</v>
      </c>
      <c r="V403" s="383">
        <f>INDEX(Input!$1:$1048576,V$93,$C403*2+MIN($B403,1)+5)</f>
        <v>1.9E-2</v>
      </c>
      <c r="W403" s="884">
        <f>INDEX(Input!$1:$1048576,W$93,$C403*2+MIN($B403,1)+5)</f>
        <v>3.9E-2</v>
      </c>
      <c r="X403" s="118" t="str">
        <f>INDEX(Input!$1:$1048576,X$93,$C403*2+MIN($B403,1)+5)</f>
        <v>Y</v>
      </c>
      <c r="Y403" s="150">
        <f>INDEX(Input!$1:$1048576,Y$93,$C403*2+MIN($B403,1)+5)</f>
        <v>-73</v>
      </c>
      <c r="Z403" s="30">
        <f>INDEX(Input!$1:$1048576,Z$93,$C403*2+MIN($B403,1)+5)</f>
        <v>0</v>
      </c>
      <c r="AA403" s="115">
        <f>INDEX(Input!$1:$1048576,AA$93,$C403*2+MIN($B403,1)+5)</f>
        <v>1000</v>
      </c>
      <c r="AB403" s="118">
        <f>INDEX(Input!$1:$1048576,AB$93,$C403*2+MIN($B403,1)+5)</f>
        <v>0.27</v>
      </c>
      <c r="AC403" s="115">
        <f>INDEX(Input!$1:$1048576,AC$93,$C403*2+MIN($B403,1)+5)</f>
        <v>1000</v>
      </c>
      <c r="AD403" s="118">
        <f>INDEX(Input!$1:$1048576,AD$93,$C403*2+MIN($B403,1)+5)</f>
        <v>0.27</v>
      </c>
      <c r="AE403" s="115">
        <f>INDEX(Input!$1:$1048576,AE$93,$C403*2+MIN($B403,1)+5)</f>
        <v>500</v>
      </c>
      <c r="AF403" s="118">
        <f>INDEX(Input!$1:$1048576,AF$93,$C403*2+MIN($B403,1)+5)</f>
        <v>1</v>
      </c>
      <c r="AG403" s="115">
        <f>INDEX(Input!$1:$1048576,AG$93,$C403*2+MIN($B403,1)+5)</f>
        <v>0</v>
      </c>
      <c r="AH403" s="118">
        <f>INDEX(Input!$1:$1048576,AH$93,$C403*2+MIN($B403,1)+5)</f>
        <v>0.83199999999999996</v>
      </c>
      <c r="AI403" s="115">
        <f>INDEX(Input!$1:$1048576,AI$93,$C403*2+MIN($B403,1)+5)</f>
        <v>0</v>
      </c>
      <c r="AJ403" s="118">
        <f>INDEX(Input!$1:$1048576,AJ$93,$C403*2+MIN($B403,1)+5)</f>
        <v>0.27</v>
      </c>
      <c r="AK403" s="150">
        <f>ROUND(INDEX(Input!$1:$1048576,AK$93,$C402*2+MIN($B403,1)+5)+(Y403-VLOOKUP($C403*1000+1,$A:$HH,Y$92,FALSE)),0)</f>
        <v>3384</v>
      </c>
      <c r="AL403" s="150">
        <f>ROUND(INDEX(Input!$1:$1048576,AL$93,$C402*2+MIN($B403,1)+5)-(Y403-VLOOKUP($C403*1000+1,$A:$HH,Y$92,FALSE))/36,0)</f>
        <v>3384</v>
      </c>
      <c r="AM403" s="32" t="str">
        <f t="shared" si="1139"/>
        <v>std/std/std/std</v>
      </c>
      <c r="AN403" s="32" t="str">
        <f t="shared" si="1140"/>
        <v>$0 + 0/0/0/1.9/3.9</v>
      </c>
      <c r="AO403" s="32" t="str">
        <f t="shared" si="1141"/>
        <v>0/0/0/1.9/3.9</v>
      </c>
      <c r="AP403" s="32" t="str">
        <f t="shared" si="993"/>
        <v>0/0.9/1.9/3.9</v>
      </c>
      <c r="AQ403" s="536">
        <f t="shared" si="992"/>
        <v>770.45723905343698</v>
      </c>
      <c r="AR403" s="32"/>
      <c r="AS403" s="302"/>
      <c r="AT403" s="3">
        <f t="shared" ref="AT403:AT466" si="1162">AT402+1</f>
        <v>3</v>
      </c>
      <c r="AU403" s="41" t="s">
        <v>121</v>
      </c>
      <c r="AV403" s="41" t="s">
        <v>116</v>
      </c>
      <c r="AW403" s="41" t="str">
        <f>INDEX(Input!$1:$1048576,AW$93,$C403*2+6)</f>
        <v>Kia</v>
      </c>
      <c r="AX403" s="41" t="str">
        <f>INDEX(Input!$1:$1048576,AX$93,$C403*2+6)</f>
        <v>Kia-LR - R1</v>
      </c>
      <c r="AY403" s="41" t="str">
        <f>IF(LEN(D403)=0,"",INDEX(Input!$1:$1048576,AY$93,$C403*2+6))</f>
        <v>Compact SUV (52)</v>
      </c>
      <c r="AZ403" s="41" t="str">
        <f>INDEX(Input!$1:$1048576,AZ$93,$C403*2+6)</f>
        <v>Kia Soul</v>
      </c>
      <c r="BA403" s="3">
        <f>INDEX(Input!$1:$1048576,BA$93,$C403*2+6)</f>
        <v>2020</v>
      </c>
      <c r="BB403" s="128">
        <f>INDEX(Input!$1:$1048576,BB$93,$C403*2+6)</f>
        <v>1</v>
      </c>
      <c r="BC403" s="128">
        <f>INDEX(Input!$1:$1048576,BC$93,$C403*2+6)</f>
        <v>0.7</v>
      </c>
      <c r="BD403" s="1">
        <f>INDEX(Input!$1:$1048576,BD$93,$C403*2+6)</f>
        <v>4.4999999999999998E-2</v>
      </c>
      <c r="BE403" s="1">
        <f>INDEX(Input!$1:$1048576,BE$93,$C403*2+6)</f>
        <v>4.4999999999999998E-2</v>
      </c>
      <c r="BF403" s="1">
        <f>INDEX(Input!$1:$1048576,BF$93,$C403*2+6)</f>
        <v>0.05</v>
      </c>
      <c r="BG403" s="1">
        <f>INDEX(Input!$1:$1048576,BG$93,$C403*2+6)</f>
        <v>5.45E-2</v>
      </c>
      <c r="BH403" s="1">
        <f>INDEX(Input!$1:$1048576,BH$93,$C403*2+6)</f>
        <v>5.45E-2</v>
      </c>
      <c r="BI403" s="1">
        <f>INDEX(Input!$1:$1048576,BI$93,$C403*2+6)</f>
        <v>0.05</v>
      </c>
      <c r="BJ403" s="1">
        <f>INDEX(Input!$1:$1048576,BJ$93,$C403*2+6)</f>
        <v>0.05</v>
      </c>
      <c r="BK403" s="1">
        <f>INDEX(Input!$1:$1048576,BK$93,$C403*2+6)</f>
        <v>0.05</v>
      </c>
      <c r="BL403" s="1">
        <f>INDEX(Input!$1:$1048576,BL$93,$C403*2+6)</f>
        <v>5.5E-2</v>
      </c>
      <c r="BM403" s="1">
        <f>INDEX(Input!$1:$1048576,BM$93,$C403*2+6)</f>
        <v>0.06</v>
      </c>
      <c r="BN403" s="1">
        <f>INDEX(Input!$1:$1048576,BN$93,$C403*2+6)</f>
        <v>4.4999999999999998E-2</v>
      </c>
      <c r="BO403" s="1">
        <f>INDEX(Input!$1:$1048576,BO$93,$C403*2+6)</f>
        <v>4.4999999999999998E-2</v>
      </c>
      <c r="BP403" s="1">
        <f>INDEX(Input!$1:$1048576,BP$93,$C403*2+6)</f>
        <v>0.05</v>
      </c>
      <c r="BQ403" s="1">
        <f>INDEX(Input!$1:$1048576,BQ$93,$C403*2+6)</f>
        <v>5.45E-2</v>
      </c>
      <c r="BR403" s="1">
        <f>INDEX(Input!$1:$1048576,BR$93,$C403*2+6)</f>
        <v>5.45E-2</v>
      </c>
      <c r="BS403" s="1">
        <f>INDEX(Input!$1:$1048576,BS$93,$C403*2+6)</f>
        <v>0.05</v>
      </c>
      <c r="BT403" s="1">
        <f>INDEX(Input!$1:$1048576,BT$93,$C403*2+6)</f>
        <v>0.05</v>
      </c>
      <c r="BU403" s="1">
        <f>INDEX(Input!$1:$1048576,BU$93,$C403*2+6)</f>
        <v>0.05</v>
      </c>
      <c r="BV403" s="1">
        <f>INDEX(Input!$1:$1048576,BV$93,$C403*2+6)</f>
        <v>5.5E-2</v>
      </c>
      <c r="BW403" s="1">
        <f>INDEX(Input!$1:$1048576,BW$93,$C403*2+6)</f>
        <v>0.06</v>
      </c>
      <c r="BX403" s="127">
        <f>INDEX(Input!$1:$1048576,BX$93,$C403*2+6)</f>
        <v>19985</v>
      </c>
      <c r="BY403" s="20">
        <f>INDEX(Input!$1:$1048576,BY$93,$C403*2+6)</f>
        <v>0.1</v>
      </c>
      <c r="BZ403" s="20">
        <f>INDEX(Input!$1:$1048576,BZ$93,$C403*2+6)</f>
        <v>0.1</v>
      </c>
      <c r="CA403" s="20">
        <f>INDEX(Input!$1:$1048576,CA$93,$C403*2+6)</f>
        <v>0.1</v>
      </c>
      <c r="CB403" s="20">
        <f>INDEX(Input!$1:$1048576,CB$93,$C403*2+6)</f>
        <v>0.1</v>
      </c>
      <c r="CC403" s="20">
        <f>INDEX(Input!$1:$1048576,CC$93,$C403*2+6)</f>
        <v>0.1</v>
      </c>
      <c r="CD403" s="384">
        <f>INDEX(Input!$1:$1048576,CD$93,$C403*2+6)</f>
        <v>0.1</v>
      </c>
      <c r="CE403" s="384">
        <f>INDEX(Input!$1:$1048576,CE$93,$C403*2+6)</f>
        <v>0.1</v>
      </c>
      <c r="CF403" s="384">
        <f>INDEX(Input!$1:$1048576,CF$93,$C403*2+6)</f>
        <v>0.1</v>
      </c>
      <c r="CG403" s="384">
        <f>INDEX(Input!$1:$1048576,CG$93,$C403*2+6)</f>
        <v>0.1</v>
      </c>
      <c r="CH403" s="384">
        <f>INDEX(Input!$1:$1048576,CH$93,$C403*2+6)</f>
        <v>0.1</v>
      </c>
      <c r="CI403" s="304">
        <f t="shared" si="994"/>
        <v>1770</v>
      </c>
      <c r="CJ403" s="16" t="str">
        <f>INDEX(Input!$1:$1048576,CJ$93,$C403*2+6)</f>
        <v>N</v>
      </c>
      <c r="CK403" s="1" t="str">
        <f t="shared" si="995"/>
        <v>Market</v>
      </c>
      <c r="CL403" s="1" t="str">
        <f t="shared" si="996"/>
        <v>Market</v>
      </c>
      <c r="CM403" s="1" t="str">
        <f t="shared" si="997"/>
        <v>Market</v>
      </c>
      <c r="CN403" s="1" t="str">
        <f t="shared" si="998"/>
        <v>Market</v>
      </c>
      <c r="CO403" s="1" t="str">
        <f t="shared" si="999"/>
        <v>Market</v>
      </c>
      <c r="CP403" s="304">
        <f t="shared" si="1000"/>
        <v>0</v>
      </c>
      <c r="CQ403" s="1">
        <f t="shared" si="1001"/>
        <v>0</v>
      </c>
      <c r="CR403" s="1">
        <f t="shared" si="1002"/>
        <v>0</v>
      </c>
      <c r="CS403" s="1">
        <f t="shared" si="1003"/>
        <v>0</v>
      </c>
      <c r="CT403" s="1">
        <f t="shared" si="1004"/>
        <v>1.9E-2</v>
      </c>
      <c r="CU403" s="1">
        <f t="shared" si="1005"/>
        <v>3.9E-2</v>
      </c>
      <c r="CV403" s="304">
        <f t="shared" si="1006"/>
        <v>197</v>
      </c>
      <c r="CW403" s="20" t="s">
        <v>122</v>
      </c>
      <c r="CX403" s="20" t="s">
        <v>122</v>
      </c>
      <c r="CY403" s="20" t="s">
        <v>122</v>
      </c>
      <c r="CZ403" s="20" t="s">
        <v>122</v>
      </c>
      <c r="DA403" s="20" t="s">
        <v>122</v>
      </c>
      <c r="DB403" s="503">
        <f t="shared" si="1007"/>
        <v>500</v>
      </c>
      <c r="DC403" s="127">
        <v>0</v>
      </c>
      <c r="DD403" s="127">
        <v>0</v>
      </c>
      <c r="DE403" s="127">
        <v>0</v>
      </c>
      <c r="DF403" s="127">
        <v>0</v>
      </c>
      <c r="DG403" s="127">
        <v>0</v>
      </c>
      <c r="DH403" s="127">
        <v>0</v>
      </c>
      <c r="DI403" s="127">
        <v>0</v>
      </c>
      <c r="DJ403" s="127">
        <v>0</v>
      </c>
      <c r="DK403" s="127">
        <v>0</v>
      </c>
      <c r="DL403" s="127">
        <v>0</v>
      </c>
      <c r="DM403" s="304">
        <f>INDEX(Input!$1:$1048576,DM$93,$C403*2+6)</f>
        <v>21036.84210526316</v>
      </c>
      <c r="DN403" s="20">
        <v>0</v>
      </c>
      <c r="DO403" s="20">
        <v>0</v>
      </c>
      <c r="DP403" s="20">
        <v>0</v>
      </c>
      <c r="DQ403" s="20">
        <v>0</v>
      </c>
      <c r="DR403" s="20">
        <v>0</v>
      </c>
      <c r="DS403" s="20">
        <f>INDEX(Input!$1:$1048576,DS$93,$C403*2+6)</f>
        <v>0.6</v>
      </c>
      <c r="DT403" s="20">
        <f>INDEX(Input!$1:$1048576,DT$93,$C403*2+6)</f>
        <v>0.55000000000000004</v>
      </c>
      <c r="DU403" s="20">
        <f>INDEX(Input!$1:$1048576,DU$93,$C403*2+6)</f>
        <v>0.52</v>
      </c>
      <c r="DV403" s="20">
        <f>INDEX(Input!$1:$1048576,DV$93,$C403*2+6)</f>
        <v>0.5</v>
      </c>
      <c r="DW403" s="20">
        <f>INDEX(Input!$1:$1048576,DW$93,$C403*2+6)</f>
        <v>0.45</v>
      </c>
      <c r="DX403" s="20"/>
      <c r="DY403" s="7">
        <v>0.10710846753363347</v>
      </c>
      <c r="DZ403" s="7">
        <v>0</v>
      </c>
      <c r="EA403" s="7">
        <v>0.81725315329871884</v>
      </c>
      <c r="EB403" s="7">
        <v>0</v>
      </c>
      <c r="EC403" s="7">
        <v>0</v>
      </c>
      <c r="ED403" s="7">
        <v>0</v>
      </c>
      <c r="EE403" s="7">
        <v>0</v>
      </c>
      <c r="EF403" s="7">
        <v>0</v>
      </c>
      <c r="EG403" s="7">
        <v>0</v>
      </c>
      <c r="EH403" s="7">
        <v>1.2276738574142096E-2</v>
      </c>
      <c r="EI403" s="7">
        <v>3.2082946790081078E-2</v>
      </c>
      <c r="EJ403" s="7">
        <v>0.22513614376260174</v>
      </c>
      <c r="EK403" s="7">
        <v>0.59320655064242789</v>
      </c>
      <c r="EL403" s="7">
        <v>0.1372976202307476</v>
      </c>
      <c r="EM403" s="7">
        <v>3.3899231404865872E-2</v>
      </c>
      <c r="EN403" s="7">
        <v>4.9670948077607129E-2</v>
      </c>
      <c r="EO403" s="7">
        <v>0.7043583053644682</v>
      </c>
      <c r="EP403" s="7">
        <v>0.10667611291119457</v>
      </c>
      <c r="EQ403" s="7">
        <v>9.3636245100264151E-2</v>
      </c>
      <c r="ER403" s="7">
        <v>4.5658388546465992E-2</v>
      </c>
      <c r="ES403" s="7">
        <v>4.1739147762781918E-2</v>
      </c>
      <c r="ET403" s="7">
        <v>7.5638379167647735E-2</v>
      </c>
      <c r="EU403" s="6">
        <v>1990</v>
      </c>
      <c r="EV403" s="6">
        <v>0</v>
      </c>
      <c r="EW403" s="6">
        <v>1990</v>
      </c>
      <c r="EX403" s="6">
        <v>0</v>
      </c>
      <c r="EY403" s="6">
        <v>2203.4012366014722</v>
      </c>
      <c r="EZ403" s="6">
        <v>242</v>
      </c>
      <c r="FA403" s="6">
        <v>0</v>
      </c>
      <c r="FB403" s="6">
        <v>0</v>
      </c>
      <c r="FC403" s="6">
        <v>0</v>
      </c>
      <c r="FD403" s="6">
        <v>0</v>
      </c>
      <c r="FE403" s="6">
        <v>0</v>
      </c>
      <c r="FF403" s="6">
        <v>0</v>
      </c>
      <c r="FG403" s="6">
        <v>0</v>
      </c>
      <c r="FH403" s="6">
        <v>1169.8059841261384</v>
      </c>
      <c r="FI403" s="6">
        <v>1553.9796069512392</v>
      </c>
      <c r="FJ403" s="6">
        <v>2101.2110117447419</v>
      </c>
      <c r="FK403" s="6">
        <v>1772.7139978623234</v>
      </c>
      <c r="FL403" s="6">
        <v>907.07682140966278</v>
      </c>
      <c r="FM403" s="6">
        <v>1713.4012366014722</v>
      </c>
      <c r="FN403" s="6">
        <v>0</v>
      </c>
      <c r="FO403" s="6">
        <v>0</v>
      </c>
      <c r="FP403" s="6">
        <v>0</v>
      </c>
      <c r="FQ403" s="6">
        <v>0</v>
      </c>
      <c r="FR403" s="6">
        <v>0</v>
      </c>
      <c r="FS403" s="6">
        <v>0</v>
      </c>
      <c r="FT403" s="7">
        <v>0.92436162083235229</v>
      </c>
      <c r="FU403" s="7">
        <v>3.3899231404865872E-2</v>
      </c>
      <c r="FV403" s="7">
        <v>4.1739147762781918E-2</v>
      </c>
      <c r="FW403" s="6">
        <v>1990.0000000000002</v>
      </c>
      <c r="FX403" s="6">
        <v>2203.4012366014722</v>
      </c>
      <c r="FY403" s="6">
        <v>242</v>
      </c>
      <c r="FZ403" s="6">
        <v>1949.5716051445115</v>
      </c>
      <c r="GA403" s="6">
        <v>1924.2741076122954</v>
      </c>
      <c r="GB403" s="6">
        <v>18060.725892387705</v>
      </c>
      <c r="GC403" s="7">
        <v>3.3872851927908169E-2</v>
      </c>
      <c r="GD403" s="7">
        <v>3.4302367936413433E-2</v>
      </c>
      <c r="GE403" s="7"/>
      <c r="GF403" s="7"/>
      <c r="GG403" s="7">
        <v>1.2680243441544448E-2</v>
      </c>
      <c r="GH403" s="42">
        <v>-10.017380764897595</v>
      </c>
      <c r="GI403" s="6">
        <v>-70.758373336263915</v>
      </c>
      <c r="GJ403" s="14">
        <v>0.50394797582841733</v>
      </c>
      <c r="GK403" s="14">
        <v>0.50887573065309755</v>
      </c>
      <c r="GL403" s="14">
        <v>0.49605202417158289</v>
      </c>
      <c r="GM403" s="14">
        <v>0.49112426934690234</v>
      </c>
      <c r="GO403" s="5">
        <v>343.14810671672558</v>
      </c>
      <c r="GP403" s="5">
        <v>305.18270308809946</v>
      </c>
      <c r="GQ403" s="5">
        <v>535.04305713031317</v>
      </c>
      <c r="GR403" s="5">
        <v>410.15490233172511</v>
      </c>
      <c r="GS403" s="5">
        <v>339.42744393800166</v>
      </c>
      <c r="GT403" s="5">
        <v>293.4407446948278</v>
      </c>
      <c r="GU403" s="5">
        <v>258.04012322764959</v>
      </c>
      <c r="GV403" s="39" t="s">
        <v>392</v>
      </c>
      <c r="GW403" s="5">
        <v>486.01388888888891</v>
      </c>
      <c r="GX403" s="5">
        <v>364.51041666666669</v>
      </c>
      <c r="GY403" s="5">
        <v>291.60833333333335</v>
      </c>
      <c r="GZ403" s="5">
        <v>257.31358158962206</v>
      </c>
      <c r="HA403" s="5">
        <v>238.35172364053415</v>
      </c>
      <c r="HB403" s="39">
        <v>268.67803601731481</v>
      </c>
      <c r="HC403" s="5">
        <v>276.69687499999998</v>
      </c>
      <c r="HD403" s="5">
        <v>232.57900219298241</v>
      </c>
      <c r="HE403" s="5">
        <v>234.25357203103911</v>
      </c>
      <c r="HF403" s="5">
        <v>215.31250548245612</v>
      </c>
      <c r="HG403" s="5">
        <v>205.99304824561403</v>
      </c>
      <c r="HH403" s="39">
        <v>232.11837363037935</v>
      </c>
      <c r="HI403" s="16"/>
      <c r="HJ403" s="19" t="str">
        <f t="shared" ref="HJ403:HK418" si="1163">HJ402</f>
        <v>On</v>
      </c>
      <c r="HK403" s="1" t="str">
        <f t="shared" si="1163"/>
        <v>On</v>
      </c>
      <c r="HL403" s="16"/>
      <c r="HM403" s="639">
        <f t="shared" si="1110"/>
        <v>2.9403358434788716E-2</v>
      </c>
      <c r="HN403" s="639">
        <f t="shared" si="1111"/>
        <v>1.4106809950923669E-3</v>
      </c>
      <c r="HO403" s="639">
        <f t="shared" si="1112"/>
        <v>1.7317923025048877E-3</v>
      </c>
      <c r="HP403" s="644">
        <f>(FT403*$GD403-HM403)/$JF403*INDEX(Input!$1:$1048576,$JG$93,$C403*2+6)</f>
        <v>164.9067323034169</v>
      </c>
      <c r="HQ403" s="644">
        <f>(FU403*$GD403-HN403)/$JF403*INDEX(Input!$1:$1048576,$JG$93,$C403*2+6)</f>
        <v>-17.736807577288314</v>
      </c>
      <c r="HR403" s="644">
        <f>(FV403*$GD403-HO403)/$JF403*INDEX(Input!$1:$1048576,$JG$93,$C403*2+6)</f>
        <v>-21.471099364443845</v>
      </c>
      <c r="HS403" s="644">
        <f t="shared" si="1113"/>
        <v>-65.427224080289591</v>
      </c>
      <c r="HT403" s="644">
        <f t="shared" si="1114"/>
        <v>-4.2697412896041973</v>
      </c>
      <c r="HU403" s="644">
        <f t="shared" si="1115"/>
        <v>4.2942861078818417</v>
      </c>
      <c r="HV403" s="648">
        <f t="shared" si="1116"/>
        <v>0</v>
      </c>
      <c r="HW403" s="648">
        <f t="shared" si="1117"/>
        <v>0</v>
      </c>
      <c r="HX403" s="648">
        <f t="shared" si="1118"/>
        <v>0</v>
      </c>
      <c r="HY403" s="644">
        <f>INDEX(Input!$1:$1048576,HY$93,$C403*2+6)*INDEX(Input!$1:$1048576,$JG$93,$C403*2+6)</f>
        <v>993</v>
      </c>
      <c r="HZ403" s="644">
        <f>INDEX(Input!$1:$1048576,HZ$93,$C403*2+6)*INDEX(Input!$1:$1048576,$JG$93,$C403*2+6)</f>
        <v>1216</v>
      </c>
      <c r="IA403" s="644">
        <f>INDEX(Input!$1:$1048576,IA$93,$C403*2+6)*INDEX(Input!$1:$1048576,$JG$93,$C403*2+6)</f>
        <v>120</v>
      </c>
      <c r="IB403" s="644">
        <f t="shared" si="1142"/>
        <v>1092.4795082231274</v>
      </c>
      <c r="IC403" s="644">
        <f t="shared" si="1143"/>
        <v>1193.9934511331076</v>
      </c>
      <c r="ID403" s="644">
        <f>IF(AND(INDEX(Input!$1:$1048576,IA$93,$C403*2+7)="TOS",Y403&lt;=INDEX(Y:Y,MATCH(C403*1000+2,A:A))),0,1)*MAX(IA403+HR403+HU403+HX403,0%)</f>
        <v>102.823186743438</v>
      </c>
      <c r="IE403" s="128">
        <f t="shared" ref="IE403:IE404" si="1164">IB403/SUM($IB403:$ID403)</f>
        <v>0.45723905343693338</v>
      </c>
      <c r="IF403" s="128">
        <f t="shared" ref="IF403:IF420" si="1165">IC403/SUM($IB403:$ID403)</f>
        <v>0.4997260189291321</v>
      </c>
      <c r="IG403" s="128">
        <f t="shared" si="1120"/>
        <v>4.3034927633934489E-2</v>
      </c>
      <c r="IH403" s="21"/>
      <c r="II403" s="19">
        <f t="shared" si="1121"/>
        <v>1490</v>
      </c>
      <c r="IJ403" s="19">
        <f t="shared" si="1122"/>
        <v>2203.2561351629856</v>
      </c>
      <c r="IK403" s="19">
        <f t="shared" si="1123"/>
        <v>242</v>
      </c>
      <c r="IL403" s="19">
        <f t="shared" si="1145"/>
        <v>500.00000000000023</v>
      </c>
      <c r="IM403" s="19">
        <f t="shared" si="1124"/>
        <v>0.14510143848656298</v>
      </c>
      <c r="IN403" s="19">
        <f t="shared" si="1125"/>
        <v>0</v>
      </c>
      <c r="IO403" s="39">
        <f t="shared" si="1126"/>
        <v>0</v>
      </c>
      <c r="IP403" s="39">
        <f t="shared" si="1127"/>
        <v>0</v>
      </c>
      <c r="IQ403" s="39">
        <f t="shared" si="1128"/>
        <v>0</v>
      </c>
      <c r="IR403" s="39">
        <v>0</v>
      </c>
      <c r="IS403" s="39">
        <v>0</v>
      </c>
      <c r="IT403" s="39">
        <v>0</v>
      </c>
      <c r="IU403" s="39">
        <v>0</v>
      </c>
      <c r="IV403" s="39">
        <v>0</v>
      </c>
      <c r="IW403" s="39">
        <v>0</v>
      </c>
      <c r="IX403" s="39">
        <f>INDEX(Input!$1:$1048576,IX$93,$C403*2+6)+INDEX(Input!$1:$1048576,IX$94,$C403*2+6)</f>
        <v>1770</v>
      </c>
      <c r="IY403" s="39">
        <f>INDEX(Input!$1:$1048576,IY$93,$C403*2+6)+INDEX(Input!$1:$1048576,IY$94,$C403*2+6)</f>
        <v>2630.0624533823611</v>
      </c>
      <c r="IZ403" s="39">
        <f>INDEX(Input!$1:$1048576,IZ$93,$C403*2+6)+INDEX(Input!$1:$1048576,IZ$94,$C403*2+6)</f>
        <v>4153.7164157747848</v>
      </c>
      <c r="JA403" s="19">
        <f t="shared" si="1146"/>
        <v>2270</v>
      </c>
      <c r="JB403" s="19">
        <f t="shared" si="1147"/>
        <v>2630.2075548208477</v>
      </c>
      <c r="JC403" s="19">
        <f t="shared" si="1148"/>
        <v>4153.7164157747848</v>
      </c>
      <c r="JD403" s="19">
        <f t="shared" si="1149"/>
        <v>2531.0706869945416</v>
      </c>
      <c r="JE403" s="21"/>
      <c r="JF403" s="1">
        <f t="shared" si="1129"/>
        <v>3.2545831732385969E-2</v>
      </c>
      <c r="JG403" s="15">
        <f>INDEX(Input!$1:$1048576,JG$93,$C403*2+6)/(1+VLOOKUP(C403*1000+INDEX(Input!$1:$1048576,JG$93+1,$C403*2+6),$A:$KK,$JK$92,FALSE))</f>
        <v>2329</v>
      </c>
      <c r="JH403" s="1">
        <f t="shared" si="1150"/>
        <v>5.3971157304287136E-2</v>
      </c>
      <c r="JI403" s="1">
        <f t="shared" si="1151"/>
        <v>-2.8081871731220242E-2</v>
      </c>
      <c r="JJ403" s="1">
        <f t="shared" si="1152"/>
        <v>0</v>
      </c>
      <c r="JK403" s="1">
        <f t="shared" si="1153"/>
        <v>2.5889285573066894E-2</v>
      </c>
      <c r="JL403" s="15">
        <f t="shared" si="1154"/>
        <v>60.296146099672796</v>
      </c>
      <c r="JM403" s="15">
        <f t="shared" si="1155"/>
        <v>2389.296146099673</v>
      </c>
      <c r="JN403" s="21"/>
      <c r="JO403" s="19">
        <f>INDEX(Input!$1:$1048576,JO$93,$C403*2+6)</f>
        <v>5995.5</v>
      </c>
      <c r="JP403" s="19">
        <f>INDEX(Input!$1:$1048576,JP$93,$C403*2+6)</f>
        <v>2341.8685758720158</v>
      </c>
      <c r="JQ403" s="39">
        <f t="shared" ref="JQ403:JQ466" si="1166">JO403-JD403</f>
        <v>3464.4293130054584</v>
      </c>
      <c r="JR403" s="39">
        <f t="shared" ref="JR403:JR405" si="1167">JD403-JP403</f>
        <v>189.20211112252582</v>
      </c>
      <c r="JS403" s="39">
        <f t="shared" ref="JS403:JS466" si="1168">JM403*JD403/1000000</f>
        <v>6.0474774379419101</v>
      </c>
      <c r="JT403" s="39">
        <f t="shared" si="1156"/>
        <v>0.59326552473598537</v>
      </c>
      <c r="JU403" s="385">
        <f>(JQ403*JM403-INDEX(Input!$1:$1048576,Input!A$18,$C403*2+6)*JL403*INDEX(Input!$1:$1048576,Input!A$19,$C403*2+6))/1000000</f>
        <v>8.2775476059986808</v>
      </c>
      <c r="JV403" s="39">
        <f t="shared" si="1132"/>
        <v>-0.23175998079539362</v>
      </c>
      <c r="JW403" s="1">
        <f>JV403/(JU403-JV403)</f>
        <v>-2.7236056333781018E-2</v>
      </c>
      <c r="JX403" s="19">
        <f>IF(JL403=0,0,JT403/JL403)*1000000</f>
        <v>9839.1947597328235</v>
      </c>
      <c r="JZ403" s="468">
        <f>(HY403+HP403)/SUM(HP403:HR403,HY403:IA403)*IL403</f>
        <v>235.85515264439968</v>
      </c>
      <c r="KA403" s="469">
        <f>JH403/(JZ403/BX403)</f>
        <v>4.5732033692408285</v>
      </c>
      <c r="KB403" s="469">
        <f t="shared" ref="KB403:KB466" si="1169">KB402</f>
        <v>2.3434325605641804</v>
      </c>
      <c r="KC403" s="469">
        <f>MIN(AVERAGE(KB403*0.8,VLOOKUP(AZ401,Lookup!$B:$E,4,FALSE)*0.8),$KC$97)</f>
        <v>1.9273730242256719</v>
      </c>
      <c r="KD403" s="469">
        <f>AVERAGE(KB403,VLOOKUP(AZ401,Lookup!$B:$E,4,FALSE))</f>
        <v>2.4092162802820898</v>
      </c>
      <c r="KE403" s="469">
        <f>MIN(MAX(KA403,KC403),KD403)</f>
        <v>2.4092162802820898</v>
      </c>
      <c r="KF403" s="470">
        <f>A403</f>
        <v>4003</v>
      </c>
      <c r="KG403" s="471">
        <f>(JH403/KA403*KE403-JH403)/MAX(IL403:IN403)*1000</f>
        <v>-5.1077058312421632E-2</v>
      </c>
      <c r="KH403" s="472"/>
      <c r="KI403" s="473">
        <f t="shared" ref="KI403:KI414" si="1170">$JM403*IE403-$JG403*HY403/SUM($HY403:$IA403)</f>
        <v>99.479508223127368</v>
      </c>
      <c r="KJ403" s="473">
        <f t="shared" si="1157"/>
        <v>-22.006548866892444</v>
      </c>
      <c r="KK403" s="473">
        <f t="shared" si="1158"/>
        <v>-17.176813256561999</v>
      </c>
      <c r="KL403" s="472" t="str">
        <f>IF(OR(KJ403&gt;0,KK403&gt;0),"Error - Adjust TR","ok")</f>
        <v>ok</v>
      </c>
      <c r="KN403" s="544">
        <f>KM403+(KN402-KM402)</f>
        <v>4002</v>
      </c>
      <c r="KO403" s="541">
        <f t="shared" si="1133"/>
        <v>-1.2120851687194789E-2</v>
      </c>
      <c r="KP403" s="546">
        <f t="shared" si="1134"/>
        <v>-50.685915780284773</v>
      </c>
      <c r="KQ403" s="546">
        <f t="shared" si="1135"/>
        <v>-93.700501041479583</v>
      </c>
      <c r="KR403" s="548">
        <f t="shared" si="1136"/>
        <v>4.151464079246808</v>
      </c>
      <c r="KS403" s="548">
        <f t="shared" si="1137"/>
        <v>2.2456737834564149</v>
      </c>
      <c r="KT403" s="473">
        <f t="shared" ref="KT403:KT466" si="1171">KT402</f>
        <v>1580.0986321700548</v>
      </c>
      <c r="KU403" s="663">
        <f t="shared" si="1159"/>
        <v>4.0436219311405415</v>
      </c>
      <c r="KV403" s="117"/>
    </row>
    <row r="404" spans="1:310" s="26" customFormat="1" ht="15">
      <c r="A404" s="561">
        <f t="shared" si="1138"/>
        <v>4004</v>
      </c>
      <c r="B404" s="561">
        <f t="shared" si="1160"/>
        <v>4</v>
      </c>
      <c r="C404" s="561">
        <f t="shared" si="1161"/>
        <v>4</v>
      </c>
      <c r="D404" s="561" t="s">
        <v>741</v>
      </c>
      <c r="E404" s="115">
        <f>INDEX(Input!$1:$1048576,E$93,$C404*2+MIN($B404,1)+5)</f>
        <v>1000</v>
      </c>
      <c r="F404" s="115">
        <f>INDEX(Input!$1:$1048576,F$93,$C404*2+MIN($B404,1)+5)</f>
        <v>0</v>
      </c>
      <c r="G404" s="115">
        <f>INDEX(Input!$1:$1048576,G$93,$C404*2+MIN($B404,1)+5)</f>
        <v>0</v>
      </c>
      <c r="H404" s="115">
        <f>INDEX(Input!$1:$1048576,H$93,$C404*2+MIN($B404,1)+5)</f>
        <v>0</v>
      </c>
      <c r="I404" s="118">
        <f>INDEX(Input!$1:$1048576,I$93,$C404*2+MIN($B404,1)+5)</f>
        <v>0.7</v>
      </c>
      <c r="J404" s="478">
        <f>IF(INDEX(Input!$1:$1048576,J$93,$C404*2+MIN($B404,1)+5)="Market",BD402-1%,MAX(INDEX(Input!$1:$1048576,J$93,$C404*2+MIN($B404,1)+5)-1%,0))</f>
        <v>3.4999999999999996E-2</v>
      </c>
      <c r="K404" s="478">
        <f>IF(INDEX(Input!$1:$1048576,K$93,$C404*2+MIN($B404,1)+5)="Market",BE402-1%,MAX(INDEX(Input!$1:$1048576,K$93,$C404*2+MIN($B404,1)+5)-1%,0))</f>
        <v>3.4999999999999996E-2</v>
      </c>
      <c r="L404" s="478">
        <f>IF(INDEX(Input!$1:$1048576,L$93,$C404*2+MIN($B404,1)+5)="Market",BF402-1%,MAX(INDEX(Input!$1:$1048576,L$93,$C404*2+MIN($B404,1)+5)-1%,0))</f>
        <v>0.04</v>
      </c>
      <c r="M404" s="478">
        <f>IF(INDEX(Input!$1:$1048576,M$93,$C404*2+MIN($B404,1)+5)="Market",BG402-1%,MAX(INDEX(Input!$1:$1048576,M$93,$C404*2+MIN($B404,1)+5)-1%,0))</f>
        <v>4.4499999999999998E-2</v>
      </c>
      <c r="N404" s="478">
        <f>IF(INDEX(Input!$1:$1048576,N$93,$C404*2+MIN($B404,1)+5)="Market",BH402-1%,MAX(INDEX(Input!$1:$1048576,N$93,$C404*2+6)-IF(INDEX(Input!$1:$1048576,M$93,$C404*2+MIN($B404,1)+5)=0,0,1%),0))</f>
        <v>4.4499999999999998E-2</v>
      </c>
      <c r="O404" s="476" t="str">
        <f>INDEX(Input!$1:$1048576,O$93,$C404*2+MIN($B404,1)+5)</f>
        <v>Market</v>
      </c>
      <c r="P404" s="476" t="str">
        <f>INDEX(Input!$1:$1048576,P$93,$C404*2+MIN($B404,1)+5)</f>
        <v>N</v>
      </c>
      <c r="Q404" s="477">
        <f>INDEX(Input!$1:$1048576,Q$93,$C404*2+MIN($B404,1)+5)+IF(U402&gt;1.8%,0,500)</f>
        <v>500</v>
      </c>
      <c r="R404" s="478">
        <f>IF(INDEX(Input!$1:$1048576,R$93,$C404*2+MIN($B404,1)+5)="Market",BD402-1%,MAX(INDEX(Input!$1:$1048576,R$93,$C404*2+MIN($B404,1)+5)-1%,0))</f>
        <v>0</v>
      </c>
      <c r="S404" s="478">
        <f>IF(INDEX(Input!$1:$1048576,S$93,$C404*2+MIN($B404,1)+5)="Market",BE402-1%,MAX(INDEX(Input!$1:$1048576,S$93,$C404*2+MIN($B404,1)+5)-1%,0))</f>
        <v>0</v>
      </c>
      <c r="T404" s="478">
        <f>IF(INDEX(Input!$1:$1048576,T$93,$C404*2+MIN($B404,1)+5)="Market",BF402-1%,MAX(INDEX(Input!$1:$1048576,T$93,$C404*2+MIN($B404,1)+5)-1%,0))</f>
        <v>0</v>
      </c>
      <c r="U404" s="478">
        <f>IF(INDEX(Input!$1:$1048576,U$93,$C404*2+MIN($B404,1)+5)="Market",BG402-1%,MAX(INDEX(Input!$1:$1048576,U$93,$C404*2+MIN($B404,1)+5)-1%,0))</f>
        <v>0</v>
      </c>
      <c r="V404" s="478">
        <f>IF(INDEX(Input!$1:$1048576,V$93,$C404*2+MIN($B404,1)+5)="Market",BH402-1%,MAX(INDEX(Input!$1:$1048576,V$93,$C404*2+MIN($B404,1)+5)-IF(INDEX(Input!$1:$1048576,U$93,$C404*2+MIN($B404,1)+5)=0,0,1%),0))</f>
        <v>1.9E-2</v>
      </c>
      <c r="W404" s="885">
        <f>INDEX(Input!$1:$1048576,W$93,$C404*2+MIN($B404,1)+5)</f>
        <v>3.9E-2</v>
      </c>
      <c r="X404" s="476" t="str">
        <f>INDEX(Input!$1:$1048576,X$93,$C404*2+MIN($B404,1)+5)</f>
        <v>Y</v>
      </c>
      <c r="Y404" s="150">
        <f>INDEX(Input!$1:$1048576,Y$93,$C404*2+MIN($B404,1)+5)</f>
        <v>-73</v>
      </c>
      <c r="Z404" s="30">
        <f>INDEX(Input!$1:$1048576,Z$93,$C404*2+MIN($B404,1)+5)</f>
        <v>0</v>
      </c>
      <c r="AA404" s="115">
        <f>INDEX(Input!$1:$1048576,AA$93,$C404*2+MIN($B404,1)+5)</f>
        <v>1000</v>
      </c>
      <c r="AB404" s="118">
        <f>INDEX(Input!$1:$1048576,AB$93,$C404*2+MIN($B404,1)+5)</f>
        <v>0.27</v>
      </c>
      <c r="AC404" s="115">
        <f>INDEX(Input!$1:$1048576,AC$93,$C404*2+MIN($B404,1)+5)</f>
        <v>1000</v>
      </c>
      <c r="AD404" s="118">
        <f>INDEX(Input!$1:$1048576,AD$93,$C404*2+MIN($B404,1)+5)</f>
        <v>0.27</v>
      </c>
      <c r="AE404" s="115">
        <f>INDEX(Input!$1:$1048576,AE$93,$C404*2+MIN($B404,1)+5)</f>
        <v>500</v>
      </c>
      <c r="AF404" s="118">
        <f>INDEX(Input!$1:$1048576,AF$93,$C404*2+MIN($B404,1)+5)</f>
        <v>1</v>
      </c>
      <c r="AG404" s="115">
        <f>INDEX(Input!$1:$1048576,AG$93,$C404*2+MIN($B404,1)+5)</f>
        <v>0</v>
      </c>
      <c r="AH404" s="118">
        <f>INDEX(Input!$1:$1048576,AH$93,$C404*2+MIN($B404,1)+5)</f>
        <v>0.83199999999999996</v>
      </c>
      <c r="AI404" s="115">
        <f>INDEX(Input!$1:$1048576,AI$93,$C404*2+MIN($B404,1)+5)</f>
        <v>0</v>
      </c>
      <c r="AJ404" s="118">
        <f>INDEX(Input!$1:$1048576,AJ$93,$C404*2+MIN($B404,1)+5)</f>
        <v>0.27</v>
      </c>
      <c r="AK404" s="150">
        <f>ROUND(INDEX(Input!$1:$1048576,AK$93,$C403*2+MIN($B404,1)+5)+(Y404-VLOOKUP($C404*1000+1,$A:$HH,Y$92,FALSE)),0)</f>
        <v>3384</v>
      </c>
      <c r="AL404" s="150">
        <f>ROUND(INDEX(Input!$1:$1048576,AL$93,$C403*2+MIN($B404,1)+5)-(Y404-VLOOKUP($C404*1000+1,$A:$HH,Y$92,FALSE))/36,0)</f>
        <v>3384</v>
      </c>
      <c r="AM404" s="32" t="str">
        <f t="shared" si="1139"/>
        <v>3.5/4/4.5/4.5</v>
      </c>
      <c r="AN404" s="32" t="str">
        <f t="shared" si="1140"/>
        <v>$500 + 0/0/0/1.9/3.9</v>
      </c>
      <c r="AO404" s="32" t="str">
        <f t="shared" si="1141"/>
        <v>0/0/0/1.9/3.9</v>
      </c>
      <c r="AP404" s="32" t="str">
        <f t="shared" si="993"/>
        <v>0/0.9/1.9/3.9</v>
      </c>
      <c r="AQ404" s="536">
        <f t="shared" si="992"/>
        <v>770.40113956176833</v>
      </c>
      <c r="AR404" s="32"/>
      <c r="AS404" s="302"/>
      <c r="AT404" s="3">
        <f t="shared" si="1162"/>
        <v>4</v>
      </c>
      <c r="AU404" s="41" t="s">
        <v>121</v>
      </c>
      <c r="AV404" s="41" t="s">
        <v>116</v>
      </c>
      <c r="AW404" s="41" t="str">
        <f>INDEX(Input!$1:$1048576,AW$93,$C404*2+6)</f>
        <v>Kia</v>
      </c>
      <c r="AX404" s="41" t="str">
        <f>INDEX(Input!$1:$1048576,AX$93,$C404*2+6)</f>
        <v>Kia-LR - R1</v>
      </c>
      <c r="AY404" s="41" t="str">
        <f>IF(LEN(D404)=0,"",INDEX(Input!$1:$1048576,AY$93,$C404*2+6))</f>
        <v>Compact SUV (52)</v>
      </c>
      <c r="AZ404" s="41" t="str">
        <f>INDEX(Input!$1:$1048576,AZ$93,$C404*2+6)</f>
        <v>Kia Soul</v>
      </c>
      <c r="BA404" s="3">
        <f>INDEX(Input!$1:$1048576,BA$93,$C404*2+6)</f>
        <v>2020</v>
      </c>
      <c r="BB404" s="128">
        <f>INDEX(Input!$1:$1048576,BB$93,$C404*2+6)</f>
        <v>1</v>
      </c>
      <c r="BC404" s="128">
        <f>INDEX(Input!$1:$1048576,BC$93,$C404*2+6)</f>
        <v>0.7</v>
      </c>
      <c r="BD404" s="1">
        <f>INDEX(Input!$1:$1048576,BD$93,$C404*2+6)</f>
        <v>4.4999999999999998E-2</v>
      </c>
      <c r="BE404" s="1">
        <f>INDEX(Input!$1:$1048576,BE$93,$C404*2+6)</f>
        <v>4.4999999999999998E-2</v>
      </c>
      <c r="BF404" s="1">
        <f>INDEX(Input!$1:$1048576,BF$93,$C404*2+6)</f>
        <v>0.05</v>
      </c>
      <c r="BG404" s="1">
        <f>INDEX(Input!$1:$1048576,BG$93,$C404*2+6)</f>
        <v>5.45E-2</v>
      </c>
      <c r="BH404" s="1">
        <f>INDEX(Input!$1:$1048576,BH$93,$C404*2+6)</f>
        <v>5.45E-2</v>
      </c>
      <c r="BI404" s="1">
        <f>INDEX(Input!$1:$1048576,BI$93,$C404*2+6)</f>
        <v>0.05</v>
      </c>
      <c r="BJ404" s="1">
        <f>INDEX(Input!$1:$1048576,BJ$93,$C404*2+6)</f>
        <v>0.05</v>
      </c>
      <c r="BK404" s="1">
        <f>INDEX(Input!$1:$1048576,BK$93,$C404*2+6)</f>
        <v>0.05</v>
      </c>
      <c r="BL404" s="1">
        <f>INDEX(Input!$1:$1048576,BL$93,$C404*2+6)</f>
        <v>5.5E-2</v>
      </c>
      <c r="BM404" s="1">
        <f>INDEX(Input!$1:$1048576,BM$93,$C404*2+6)</f>
        <v>0.06</v>
      </c>
      <c r="BN404" s="1">
        <f>INDEX(Input!$1:$1048576,BN$93,$C404*2+6)</f>
        <v>4.4999999999999998E-2</v>
      </c>
      <c r="BO404" s="1">
        <f>INDEX(Input!$1:$1048576,BO$93,$C404*2+6)</f>
        <v>4.4999999999999998E-2</v>
      </c>
      <c r="BP404" s="1">
        <f>INDEX(Input!$1:$1048576,BP$93,$C404*2+6)</f>
        <v>0.05</v>
      </c>
      <c r="BQ404" s="1">
        <f>INDEX(Input!$1:$1048576,BQ$93,$C404*2+6)</f>
        <v>5.45E-2</v>
      </c>
      <c r="BR404" s="1">
        <f>INDEX(Input!$1:$1048576,BR$93,$C404*2+6)</f>
        <v>5.45E-2</v>
      </c>
      <c r="BS404" s="1">
        <f>INDEX(Input!$1:$1048576,BS$93,$C404*2+6)</f>
        <v>0.05</v>
      </c>
      <c r="BT404" s="1">
        <f>INDEX(Input!$1:$1048576,BT$93,$C404*2+6)</f>
        <v>0.05</v>
      </c>
      <c r="BU404" s="1">
        <f>INDEX(Input!$1:$1048576,BU$93,$C404*2+6)</f>
        <v>0.05</v>
      </c>
      <c r="BV404" s="1">
        <f>INDEX(Input!$1:$1048576,BV$93,$C404*2+6)</f>
        <v>5.5E-2</v>
      </c>
      <c r="BW404" s="1">
        <f>INDEX(Input!$1:$1048576,BW$93,$C404*2+6)</f>
        <v>0.06</v>
      </c>
      <c r="BX404" s="127">
        <f>INDEX(Input!$1:$1048576,BX$93,$C404*2+6)</f>
        <v>19985</v>
      </c>
      <c r="BY404" s="20">
        <f>INDEX(Input!$1:$1048576,BY$93,$C404*2+6)</f>
        <v>0.1</v>
      </c>
      <c r="BZ404" s="20">
        <f>INDEX(Input!$1:$1048576,BZ$93,$C404*2+6)</f>
        <v>0.1</v>
      </c>
      <c r="CA404" s="20">
        <f>INDEX(Input!$1:$1048576,CA$93,$C404*2+6)</f>
        <v>0.1</v>
      </c>
      <c r="CB404" s="20">
        <f>INDEX(Input!$1:$1048576,CB$93,$C404*2+6)</f>
        <v>0.1</v>
      </c>
      <c r="CC404" s="20">
        <f>INDEX(Input!$1:$1048576,CC$93,$C404*2+6)</f>
        <v>0.1</v>
      </c>
      <c r="CD404" s="384">
        <f>INDEX(Input!$1:$1048576,CD$93,$C404*2+6)</f>
        <v>0.1</v>
      </c>
      <c r="CE404" s="384">
        <f>INDEX(Input!$1:$1048576,CE$93,$C404*2+6)</f>
        <v>0.1</v>
      </c>
      <c r="CF404" s="384">
        <f>INDEX(Input!$1:$1048576,CF$93,$C404*2+6)</f>
        <v>0.1</v>
      </c>
      <c r="CG404" s="384">
        <f>INDEX(Input!$1:$1048576,CG$93,$C404*2+6)</f>
        <v>0.1</v>
      </c>
      <c r="CH404" s="384">
        <f>INDEX(Input!$1:$1048576,CH$93,$C404*2+6)</f>
        <v>0.1</v>
      </c>
      <c r="CI404" s="304">
        <f t="shared" si="994"/>
        <v>1270</v>
      </c>
      <c r="CJ404" s="16" t="str">
        <f>INDEX(Input!$1:$1048576,CJ$93,$C404*2+6)</f>
        <v>N</v>
      </c>
      <c r="CK404" s="1">
        <f t="shared" si="995"/>
        <v>3.4999999999999996E-2</v>
      </c>
      <c r="CL404" s="1">
        <f t="shared" si="996"/>
        <v>0.04</v>
      </c>
      <c r="CM404" s="1">
        <f t="shared" si="997"/>
        <v>4.4499999999999998E-2</v>
      </c>
      <c r="CN404" s="1">
        <f t="shared" si="998"/>
        <v>4.4499999999999998E-2</v>
      </c>
      <c r="CO404" s="1" t="str">
        <f t="shared" si="999"/>
        <v>Market</v>
      </c>
      <c r="CP404" s="304">
        <f t="shared" si="1000"/>
        <v>500</v>
      </c>
      <c r="CQ404" s="1">
        <f t="shared" si="1001"/>
        <v>0</v>
      </c>
      <c r="CR404" s="1">
        <f t="shared" si="1002"/>
        <v>0</v>
      </c>
      <c r="CS404" s="1">
        <f t="shared" si="1003"/>
        <v>0</v>
      </c>
      <c r="CT404" s="1">
        <f t="shared" si="1004"/>
        <v>1.9E-2</v>
      </c>
      <c r="CU404" s="1">
        <f t="shared" si="1005"/>
        <v>3.9E-2</v>
      </c>
      <c r="CV404" s="304">
        <f t="shared" si="1006"/>
        <v>197</v>
      </c>
      <c r="CW404" s="20" t="s">
        <v>122</v>
      </c>
      <c r="CX404" s="20" t="s">
        <v>122</v>
      </c>
      <c r="CY404" s="20" t="s">
        <v>122</v>
      </c>
      <c r="CZ404" s="20" t="s">
        <v>122</v>
      </c>
      <c r="DA404" s="20" t="s">
        <v>122</v>
      </c>
      <c r="DB404" s="503">
        <f t="shared" si="1007"/>
        <v>500</v>
      </c>
      <c r="DC404" s="127">
        <v>0</v>
      </c>
      <c r="DD404" s="127">
        <v>0</v>
      </c>
      <c r="DE404" s="127">
        <v>0</v>
      </c>
      <c r="DF404" s="127">
        <v>0</v>
      </c>
      <c r="DG404" s="127">
        <v>0</v>
      </c>
      <c r="DH404" s="127">
        <v>0</v>
      </c>
      <c r="DI404" s="127">
        <v>0</v>
      </c>
      <c r="DJ404" s="127">
        <v>0</v>
      </c>
      <c r="DK404" s="127">
        <v>0</v>
      </c>
      <c r="DL404" s="127">
        <v>0</v>
      </c>
      <c r="DM404" s="304">
        <f>INDEX(Input!$1:$1048576,DM$93,$C404*2+6)</f>
        <v>21036.84210526316</v>
      </c>
      <c r="DN404" s="20">
        <v>0</v>
      </c>
      <c r="DO404" s="20">
        <v>0</v>
      </c>
      <c r="DP404" s="20">
        <v>0</v>
      </c>
      <c r="DQ404" s="20">
        <v>0</v>
      </c>
      <c r="DR404" s="20">
        <v>0</v>
      </c>
      <c r="DS404" s="20">
        <f>INDEX(Input!$1:$1048576,DS$93,$C404*2+6)</f>
        <v>0.6</v>
      </c>
      <c r="DT404" s="20">
        <f>INDEX(Input!$1:$1048576,DT$93,$C404*2+6)</f>
        <v>0.55000000000000004</v>
      </c>
      <c r="DU404" s="20">
        <f>INDEX(Input!$1:$1048576,DU$93,$C404*2+6)</f>
        <v>0.52</v>
      </c>
      <c r="DV404" s="20">
        <f>INDEX(Input!$1:$1048576,DV$93,$C404*2+6)</f>
        <v>0.5</v>
      </c>
      <c r="DW404" s="20">
        <f>INDEX(Input!$1:$1048576,DW$93,$C404*2+6)</f>
        <v>0.45</v>
      </c>
      <c r="DX404" s="20"/>
      <c r="DY404" s="7">
        <v>9.9211300217728934E-2</v>
      </c>
      <c r="DZ404" s="7">
        <v>0</v>
      </c>
      <c r="EA404" s="7">
        <v>0.79243980931166724</v>
      </c>
      <c r="EB404" s="7">
        <v>0</v>
      </c>
      <c r="EC404" s="7">
        <v>0</v>
      </c>
      <c r="ED404" s="7">
        <v>0</v>
      </c>
      <c r="EE404" s="7">
        <v>0</v>
      </c>
      <c r="EF404" s="7">
        <v>0</v>
      </c>
      <c r="EG404" s="7">
        <v>0</v>
      </c>
      <c r="EH404" s="7">
        <v>1.2255880406033556E-2</v>
      </c>
      <c r="EI404" s="7">
        <v>3.2006018592953482E-2</v>
      </c>
      <c r="EJ404" s="7">
        <v>0.22476674665122193</v>
      </c>
      <c r="EK404" s="7">
        <v>0.59361960997494079</v>
      </c>
      <c r="EL404" s="7">
        <v>0.13735174437485043</v>
      </c>
      <c r="EM404" s="7">
        <v>5.5756265578628589E-2</v>
      </c>
      <c r="EN404" s="7">
        <v>4.9698361008173521E-2</v>
      </c>
      <c r="EO404" s="7">
        <v>0.7043412461249865</v>
      </c>
      <c r="EP404" s="7">
        <v>0.10666612021219762</v>
      </c>
      <c r="EQ404" s="7">
        <v>9.3698171627217289E-2</v>
      </c>
      <c r="ER404" s="7">
        <v>4.559610102742475E-2</v>
      </c>
      <c r="ES404" s="7">
        <v>5.2592624891975241E-2</v>
      </c>
      <c r="ET404" s="7">
        <v>0.10834889047060385</v>
      </c>
      <c r="EU404" s="6">
        <v>1490</v>
      </c>
      <c r="EV404" s="6">
        <v>0</v>
      </c>
      <c r="EW404" s="6">
        <v>1490</v>
      </c>
      <c r="EX404" s="6">
        <v>0</v>
      </c>
      <c r="EY404" s="6">
        <v>2703.2623251729365</v>
      </c>
      <c r="EZ404" s="6">
        <v>242</v>
      </c>
      <c r="FA404" s="6">
        <v>0</v>
      </c>
      <c r="FB404" s="6">
        <v>0</v>
      </c>
      <c r="FC404" s="6">
        <v>0</v>
      </c>
      <c r="FD404" s="6">
        <v>0</v>
      </c>
      <c r="FE404" s="6">
        <v>0</v>
      </c>
      <c r="FF404" s="6">
        <v>0</v>
      </c>
      <c r="FG404" s="6">
        <v>0</v>
      </c>
      <c r="FH404" s="6">
        <v>1169.7965104470247</v>
      </c>
      <c r="FI404" s="6">
        <v>1553.9796069512408</v>
      </c>
      <c r="FJ404" s="6">
        <v>2101.211011744741</v>
      </c>
      <c r="FK404" s="6">
        <v>1772.7139978623234</v>
      </c>
      <c r="FL404" s="6">
        <v>907.07682140966278</v>
      </c>
      <c r="FM404" s="6">
        <v>1713.2623251729362</v>
      </c>
      <c r="FN404" s="6">
        <v>0</v>
      </c>
      <c r="FO404" s="6">
        <v>0</v>
      </c>
      <c r="FP404" s="6">
        <v>0</v>
      </c>
      <c r="FQ404" s="6">
        <v>0</v>
      </c>
      <c r="FR404" s="6">
        <v>0</v>
      </c>
      <c r="FS404" s="6">
        <v>0</v>
      </c>
      <c r="FT404" s="7">
        <v>0.89165110952939619</v>
      </c>
      <c r="FU404" s="7">
        <v>5.5756265578628589E-2</v>
      </c>
      <c r="FV404" s="7">
        <v>5.2592624891975241E-2</v>
      </c>
      <c r="FW404" s="6">
        <v>1490.0000000000002</v>
      </c>
      <c r="FX404" s="6">
        <v>2703.2623251729365</v>
      </c>
      <c r="FY404" s="6">
        <v>242</v>
      </c>
      <c r="FZ404" s="6">
        <v>1949.5716051445115</v>
      </c>
      <c r="GA404" s="6">
        <v>1492.0113805537019</v>
      </c>
      <c r="GB404" s="6">
        <v>18492.9886194463</v>
      </c>
      <c r="GC404" s="7">
        <v>3.3872851927908169E-2</v>
      </c>
      <c r="GD404" s="7">
        <v>3.2625201922714307E-2</v>
      </c>
      <c r="GE404" s="7"/>
      <c r="GF404" s="7"/>
      <c r="GG404" s="7">
        <v>-3.6833332128314571E-2</v>
      </c>
      <c r="GH404" s="42">
        <v>1.608780883964869</v>
      </c>
      <c r="GI404" s="6">
        <v>13914.461323361706</v>
      </c>
      <c r="GJ404" s="14">
        <v>0.50394797582841733</v>
      </c>
      <c r="GK404" s="14">
        <v>0.50887573065309766</v>
      </c>
      <c r="GL404" s="14">
        <v>0.49605202417158289</v>
      </c>
      <c r="GM404" s="14">
        <v>0.49112426934690234</v>
      </c>
      <c r="GO404" s="5">
        <v>343.14810671672558</v>
      </c>
      <c r="GP404" s="5">
        <v>314.72174922594519</v>
      </c>
      <c r="GQ404" s="5">
        <v>527.04185700808205</v>
      </c>
      <c r="GR404" s="5">
        <v>406.11816631274644</v>
      </c>
      <c r="GS404" s="5">
        <v>334.91388563620632</v>
      </c>
      <c r="GT404" s="5">
        <v>285.1049551080626</v>
      </c>
      <c r="GU404" s="5">
        <v>258.04012322764959</v>
      </c>
      <c r="GV404" s="39" t="s">
        <v>392</v>
      </c>
      <c r="GW404" s="5">
        <v>472.125</v>
      </c>
      <c r="GX404" s="5">
        <v>354.09375</v>
      </c>
      <c r="GY404" s="5">
        <v>283.27499999999998</v>
      </c>
      <c r="GZ404" s="5">
        <v>249.96029431532082</v>
      </c>
      <c r="HA404" s="5">
        <v>231.54031211135592</v>
      </c>
      <c r="HB404" s="39">
        <v>260.9740370227463</v>
      </c>
      <c r="HC404" s="5">
        <v>276.69687499999998</v>
      </c>
      <c r="HD404" s="5">
        <v>232.57900219298241</v>
      </c>
      <c r="HE404" s="5">
        <v>234.25357203103911</v>
      </c>
      <c r="HF404" s="5">
        <v>215.31250548245612</v>
      </c>
      <c r="HG404" s="5">
        <v>205.99304824561403</v>
      </c>
      <c r="HH404" s="39">
        <v>232.12015301602975</v>
      </c>
      <c r="HI404" s="16"/>
      <c r="HJ404" s="19" t="str">
        <f t="shared" si="1163"/>
        <v>On</v>
      </c>
      <c r="HK404" s="1" t="str">
        <f t="shared" si="1163"/>
        <v>On</v>
      </c>
      <c r="HL404" s="16"/>
      <c r="HM404" s="639">
        <f t="shared" si="1110"/>
        <v>2.9403358434788716E-2</v>
      </c>
      <c r="HN404" s="639">
        <f t="shared" si="1111"/>
        <v>1.4106809950923669E-3</v>
      </c>
      <c r="HO404" s="639">
        <f t="shared" si="1112"/>
        <v>1.7317923025048877E-3</v>
      </c>
      <c r="HP404" s="644">
        <f>(FT404*$GD404-HM404)/$JF404*INDEX(Input!$1:$1048576,$JG$93,$C404*2+6)</f>
        <v>-22.402836080538208</v>
      </c>
      <c r="HQ404" s="644">
        <f>(FU404*$GD404-HN404)/$JF404*INDEX(Input!$1:$1048576,$JG$93,$C404*2+6)</f>
        <v>29.223814782877795</v>
      </c>
      <c r="HR404" s="644">
        <f>(FV404*$GD404-HO404)/$JF404*INDEX(Input!$1:$1048576,$JG$93,$C404*2+6)</f>
        <v>-1.1411984221892892</v>
      </c>
      <c r="HS404" s="644">
        <f t="shared" si="1113"/>
        <v>-0.22823968443785786</v>
      </c>
      <c r="HT404" s="644">
        <f t="shared" si="1114"/>
        <v>84.350942985954319</v>
      </c>
      <c r="HU404" s="644">
        <f t="shared" si="1115"/>
        <v>0.22823968443785786</v>
      </c>
      <c r="HV404" s="648">
        <f t="shared" si="1116"/>
        <v>0</v>
      </c>
      <c r="HW404" s="648">
        <f t="shared" si="1117"/>
        <v>0</v>
      </c>
      <c r="HX404" s="648">
        <f t="shared" si="1118"/>
        <v>0</v>
      </c>
      <c r="HY404" s="644">
        <f>INDEX(Input!$1:$1048576,HY$93,$C404*2+6)*INDEX(Input!$1:$1048576,$JG$93,$C404*2+6)</f>
        <v>993</v>
      </c>
      <c r="HZ404" s="644">
        <f>INDEX(Input!$1:$1048576,HZ$93,$C404*2+6)*INDEX(Input!$1:$1048576,$JG$93,$C404*2+6)</f>
        <v>1216</v>
      </c>
      <c r="IA404" s="644">
        <f>INDEX(Input!$1:$1048576,IA$93,$C404*2+6)*INDEX(Input!$1:$1048576,$JG$93,$C404*2+6)</f>
        <v>120</v>
      </c>
      <c r="IB404" s="644">
        <f t="shared" si="1142"/>
        <v>970.36892423502366</v>
      </c>
      <c r="IC404" s="644">
        <f t="shared" si="1143"/>
        <v>1329.5747577688321</v>
      </c>
      <c r="ID404" s="644">
        <f>IF(AND(INDEX(Input!$1:$1048576,IA$93,$C404*2+7)="TOS",Y404&lt;=INDEX(Y:Y,MATCH(C404*1000+2,A:A))),0,1)*MAX(IA404+HR404+HU404+HX404,0%)</f>
        <v>119.08704126224856</v>
      </c>
      <c r="IE404" s="128">
        <f t="shared" si="1164"/>
        <v>0.40113956176830196</v>
      </c>
      <c r="IF404" s="128">
        <f t="shared" si="1165"/>
        <v>0.54963119938124605</v>
      </c>
      <c r="IG404" s="128">
        <f t="shared" si="1120"/>
        <v>4.922923885045194E-2</v>
      </c>
      <c r="IH404" s="21"/>
      <c r="II404" s="19">
        <f t="shared" si="1121"/>
        <v>1490</v>
      </c>
      <c r="IJ404" s="19">
        <f t="shared" si="1122"/>
        <v>2203.2561351629856</v>
      </c>
      <c r="IK404" s="19">
        <f t="shared" si="1123"/>
        <v>242</v>
      </c>
      <c r="IL404" s="19">
        <f t="shared" si="1145"/>
        <v>0</v>
      </c>
      <c r="IM404" s="19">
        <f t="shared" si="1124"/>
        <v>500.00619000995084</v>
      </c>
      <c r="IN404" s="19">
        <f t="shared" si="1125"/>
        <v>0</v>
      </c>
      <c r="IO404" s="39">
        <f t="shared" si="1126"/>
        <v>0</v>
      </c>
      <c r="IP404" s="39">
        <f t="shared" si="1127"/>
        <v>0</v>
      </c>
      <c r="IQ404" s="39">
        <f t="shared" si="1128"/>
        <v>0</v>
      </c>
      <c r="IR404" s="39">
        <v>0</v>
      </c>
      <c r="IS404" s="39">
        <v>0</v>
      </c>
      <c r="IT404" s="39">
        <v>0</v>
      </c>
      <c r="IU404" s="39">
        <v>0</v>
      </c>
      <c r="IV404" s="39">
        <v>0</v>
      </c>
      <c r="IW404" s="39">
        <v>0</v>
      </c>
      <c r="IX404" s="39">
        <f>INDEX(Input!$1:$1048576,IX$93,$C404*2+6)+INDEX(Input!$1:$1048576,IX$94,$C404*2+6)</f>
        <v>1770</v>
      </c>
      <c r="IY404" s="39">
        <f>INDEX(Input!$1:$1048576,IY$93,$C404*2+6)+INDEX(Input!$1:$1048576,IY$94,$C404*2+6)</f>
        <v>2630.0624533823611</v>
      </c>
      <c r="IZ404" s="39">
        <f>INDEX(Input!$1:$1048576,IZ$93,$C404*2+6)+INDEX(Input!$1:$1048576,IZ$94,$C404*2+6)</f>
        <v>4153.7164157747848</v>
      </c>
      <c r="JA404" s="19">
        <f t="shared" si="1146"/>
        <v>1770</v>
      </c>
      <c r="JB404" s="19">
        <f t="shared" si="1147"/>
        <v>3130.068643392312</v>
      </c>
      <c r="JC404" s="19">
        <f t="shared" si="1148"/>
        <v>4153.7164157747848</v>
      </c>
      <c r="JD404" s="19">
        <f t="shared" si="1149"/>
        <v>2634.8847044924605</v>
      </c>
      <c r="JE404" s="21"/>
      <c r="JF404" s="1">
        <f t="shared" si="1129"/>
        <v>3.2545831732385969E-2</v>
      </c>
      <c r="JG404" s="15">
        <f>INDEX(Input!$1:$1048576,JG$93,$C404*2+6)/(1+VLOOKUP(C404*1000+INDEX(Input!$1:$1048576,JG$93+1,$C404*2+6),$A:$KK,$JK$92,FALSE))</f>
        <v>2329</v>
      </c>
      <c r="JH404" s="1">
        <f t="shared" si="1150"/>
        <v>2.4387206011808925E-3</v>
      </c>
      <c r="JI404" s="1">
        <f t="shared" si="1151"/>
        <v>3.621766551565235E-2</v>
      </c>
      <c r="JJ404" s="1">
        <f t="shared" si="1152"/>
        <v>0</v>
      </c>
      <c r="JK404" s="1">
        <f t="shared" si="1153"/>
        <v>3.8656386116833245E-2</v>
      </c>
      <c r="JL404" s="15">
        <f t="shared" si="1154"/>
        <v>90.03072326610463</v>
      </c>
      <c r="JM404" s="15">
        <f t="shared" si="1155"/>
        <v>2419.0307232661048</v>
      </c>
      <c r="JN404" s="21"/>
      <c r="JO404" s="19">
        <f>INDEX(Input!$1:$1048576,JO$93,$C404*2+6)</f>
        <v>5995.5</v>
      </c>
      <c r="JP404" s="19">
        <f>INDEX(Input!$1:$1048576,JP$93,$C404*2+6)</f>
        <v>2341.8685758720158</v>
      </c>
      <c r="JQ404" s="39">
        <f t="shared" si="1166"/>
        <v>3360.6152955075395</v>
      </c>
      <c r="JR404" s="39">
        <f t="shared" si="1167"/>
        <v>293.01612862044476</v>
      </c>
      <c r="JS404" s="39">
        <f t="shared" si="1168"/>
        <v>6.3738670524311933</v>
      </c>
      <c r="JT404" s="39">
        <f t="shared" si="1156"/>
        <v>0.91965513922526876</v>
      </c>
      <c r="JU404" s="385">
        <f>(JQ404*JM404-INDEX(Input!$1:$1048576,Input!A$18,$C404*2+6)*JL404*INDEX(Input!$1:$1048576,Input!A$19,$C404*2+6))/1000000</f>
        <v>8.129431648910737</v>
      </c>
      <c r="JV404" s="39">
        <f t="shared" si="1132"/>
        <v>-0.3798759378833374</v>
      </c>
      <c r="JW404" s="1">
        <f>JV404/(JU404-JV404)</f>
        <v>-4.4642402922757389E-2</v>
      </c>
      <c r="JX404" s="19">
        <f t="shared" ref="JX404:JX467" si="1172">IF(JL404=0,0,JT404/JL404)*1000000</f>
        <v>10214.903378117218</v>
      </c>
      <c r="JZ404" s="468">
        <f>(HZ404+HQ404)/SUM(HP404:HR404,HY404:IA404)*IM404</f>
        <v>266.68308887505424</v>
      </c>
      <c r="KA404" s="469">
        <f>JH404/(JZ404/BX404)</f>
        <v>0.18275561236443708</v>
      </c>
      <c r="KB404" s="469">
        <f t="shared" si="1169"/>
        <v>2.3434325605641804</v>
      </c>
      <c r="KC404" s="469">
        <f>MIN(KE403+0.5,KE403*1.1)</f>
        <v>2.6501379083102989</v>
      </c>
      <c r="KD404" s="469">
        <f>KC404+2</f>
        <v>4.6501379083102989</v>
      </c>
      <c r="KE404" s="469">
        <f>MIN(MAX(KA404,KC404),KD404)</f>
        <v>2.6501379083102989</v>
      </c>
      <c r="KF404" s="470">
        <f>A404</f>
        <v>4004</v>
      </c>
      <c r="KG404" s="471">
        <f>IF(HK404="Off",0,(JH404/KA404*KE404-JH404)/MAX(IL404:IN404)*1000)</f>
        <v>6.5849485719605999E-2</v>
      </c>
      <c r="KH404" s="472"/>
      <c r="KI404" s="473">
        <f t="shared" si="1170"/>
        <v>-22.631075764976231</v>
      </c>
      <c r="KJ404" s="473">
        <f t="shared" si="1157"/>
        <v>113.57475776883234</v>
      </c>
      <c r="KK404" s="473">
        <f t="shared" si="1158"/>
        <v>-0.91295873775142411</v>
      </c>
      <c r="KL404" s="472" t="str">
        <f>IF(OR(KI404&gt;0,KK404&gt;0),"Error - Adjust TR","ok")</f>
        <v>ok</v>
      </c>
      <c r="KN404" s="544">
        <f t="shared" ref="KN404:KN467" si="1173">KM404+(KN403-KM403)</f>
        <v>4002</v>
      </c>
      <c r="KO404" s="541">
        <f t="shared" si="1133"/>
        <v>1.7321609279430383E-4</v>
      </c>
      <c r="KP404" s="546">
        <f t="shared" si="1134"/>
        <v>-4.4683814517358247</v>
      </c>
      <c r="KQ404" s="546">
        <f t="shared" si="1135"/>
        <v>10.113516456439356</v>
      </c>
      <c r="KR404" s="548">
        <f t="shared" si="1136"/>
        <v>-0.67296649520719587</v>
      </c>
      <c r="KS404" s="548">
        <f t="shared" si="1137"/>
        <v>0.29733189418096745</v>
      </c>
      <c r="KT404" s="473">
        <f t="shared" si="1171"/>
        <v>1580.0986321700548</v>
      </c>
      <c r="KU404" s="663">
        <f t="shared" si="1159"/>
        <v>4.0270366110706455</v>
      </c>
      <c r="KV404" s="117"/>
    </row>
    <row r="405" spans="1:310" s="26" customFormat="1" ht="15">
      <c r="A405" s="561">
        <f t="shared" si="1138"/>
        <v>4005</v>
      </c>
      <c r="B405" s="561">
        <f t="shared" si="1160"/>
        <v>5</v>
      </c>
      <c r="C405" s="561">
        <f t="shared" si="1161"/>
        <v>4</v>
      </c>
      <c r="D405" s="561" t="s">
        <v>568</v>
      </c>
      <c r="E405" s="115">
        <f>INDEX(Input!$1:$1048576,E$93,$C405*2+MIN($B405,1)+5)</f>
        <v>1000</v>
      </c>
      <c r="F405" s="115">
        <f>INDEX(Input!$1:$1048576,F$93,$C405*2+MIN($B405,1)+5)</f>
        <v>0</v>
      </c>
      <c r="G405" s="115">
        <f>INDEX(Input!$1:$1048576,G$93,$C405*2+MIN($B405,1)+5)</f>
        <v>0</v>
      </c>
      <c r="H405" s="115">
        <f>INDEX(Input!$1:$1048576,H$93,$C405*2+MIN($B405,1)+5)</f>
        <v>0</v>
      </c>
      <c r="I405" s="118">
        <f>INDEX(Input!$1:$1048576,I$93,$C405*2+MIN($B405,1)+5)</f>
        <v>0.7</v>
      </c>
      <c r="J405" s="118" t="str">
        <f>INDEX(Input!$1:$1048576,J$93,$C405*2+MIN($B405,1)+5)</f>
        <v>Market</v>
      </c>
      <c r="K405" s="118" t="str">
        <f>INDEX(Input!$1:$1048576,K$93,$C405*2+MIN($B405,1)+5)</f>
        <v>Market</v>
      </c>
      <c r="L405" s="118" t="str">
        <f>INDEX(Input!$1:$1048576,L$93,$C405*2+MIN($B405,1)+5)</f>
        <v>Market</v>
      </c>
      <c r="M405" s="118" t="str">
        <f>INDEX(Input!$1:$1048576,M$93,$C405*2+MIN($B405,1)+5)</f>
        <v>Market</v>
      </c>
      <c r="N405" s="118" t="str">
        <f>INDEX(Input!$1:$1048576,N$93,$C405*2+MIN($B405,1)+5)</f>
        <v>Market</v>
      </c>
      <c r="O405" s="118" t="str">
        <f>INDEX(Input!$1:$1048576,O$93,$C405*2+MIN($B405,1)+5)</f>
        <v>Market</v>
      </c>
      <c r="P405" s="118" t="str">
        <f>INDEX(Input!$1:$1048576,P$93,$C405*2+MIN($B405,1)+5)</f>
        <v>N</v>
      </c>
      <c r="Q405" s="30">
        <f>INDEX(Input!$1:$1048576,Q$93,$C405*2+MIN($B405,1)+5)</f>
        <v>0</v>
      </c>
      <c r="R405" s="383">
        <f>INDEX(Input!$1:$1048576,R$93,$C405*2+MIN($B405,1)+5)</f>
        <v>0</v>
      </c>
      <c r="S405" s="383">
        <f>INDEX(Input!$1:$1048576,S$93,$C405*2+MIN($B405,1)+5)</f>
        <v>0</v>
      </c>
      <c r="T405" s="383">
        <f>INDEX(Input!$1:$1048576,T$93,$C405*2+MIN($B405,1)+5)</f>
        <v>0</v>
      </c>
      <c r="U405" s="383">
        <f>INDEX(Input!$1:$1048576,U$93,$C405*2+MIN($B405,1)+5)</f>
        <v>0</v>
      </c>
      <c r="V405" s="383">
        <f>INDEX(Input!$1:$1048576,V$93,$C405*2+MIN($B405,1)+5)</f>
        <v>1.9E-2</v>
      </c>
      <c r="W405" s="884">
        <f>INDEX(Input!$1:$1048576,W$93,$C405*2+MIN($B405,1)+5)</f>
        <v>3.9E-2</v>
      </c>
      <c r="X405" s="118" t="str">
        <f>INDEX(Input!$1:$1048576,X$93,$C405*2+MIN($B405,1)+5)</f>
        <v>Y</v>
      </c>
      <c r="Y405" s="475">
        <f>INDEX(Input!$1:$1048576,Y$93,$C405*2+MIN($B405,1)+5)+500</f>
        <v>427</v>
      </c>
      <c r="Z405" s="30">
        <f>INDEX(Input!$1:$1048576,Z$93,$C405*2+MIN($B405,1)+5)</f>
        <v>0</v>
      </c>
      <c r="AA405" s="115">
        <f>INDEX(Input!$1:$1048576,AA$93,$C405*2+MIN($B405,1)+5)</f>
        <v>1000</v>
      </c>
      <c r="AB405" s="118">
        <f>INDEX(Input!$1:$1048576,AB$93,$C405*2+MIN($B405,1)+5)</f>
        <v>0.27</v>
      </c>
      <c r="AC405" s="115">
        <f>INDEX(Input!$1:$1048576,AC$93,$C405*2+MIN($B405,1)+5)</f>
        <v>1000</v>
      </c>
      <c r="AD405" s="118">
        <f>INDEX(Input!$1:$1048576,AD$93,$C405*2+MIN($B405,1)+5)</f>
        <v>0.27</v>
      </c>
      <c r="AE405" s="115">
        <f>INDEX(Input!$1:$1048576,AE$93,$C405*2+MIN($B405,1)+5)</f>
        <v>500</v>
      </c>
      <c r="AF405" s="118">
        <f>INDEX(Input!$1:$1048576,AF$93,$C405*2+MIN($B405,1)+5)</f>
        <v>1</v>
      </c>
      <c r="AG405" s="115">
        <f>INDEX(Input!$1:$1048576,AG$93,$C405*2+MIN($B405,1)+5)</f>
        <v>0</v>
      </c>
      <c r="AH405" s="118">
        <f>INDEX(Input!$1:$1048576,AH$93,$C405*2+MIN($B405,1)+5)</f>
        <v>0.83199999999999996</v>
      </c>
      <c r="AI405" s="115">
        <f>INDEX(Input!$1:$1048576,AI$93,$C405*2+MIN($B405,1)+5)</f>
        <v>0</v>
      </c>
      <c r="AJ405" s="118">
        <f>INDEX(Input!$1:$1048576,AJ$93,$C405*2+MIN($B405,1)+5)</f>
        <v>0.27</v>
      </c>
      <c r="AK405" s="150">
        <f>ROUND(INDEX(Input!$1:$1048576,AK$93,$C404*2+MIN($B405,1)+5)+(Y405-VLOOKUP($C405*1000+1,$A:$HH,Y$92,FALSE)),0)</f>
        <v>3884</v>
      </c>
      <c r="AL405" s="150">
        <f>ROUND(INDEX(Input!$1:$1048576,AL$93,$C404*2+MIN($B405,1)+5)-(Y405-VLOOKUP($C405*1000+1,$A:$HH,Y$92,FALSE))/36,0)</f>
        <v>3370</v>
      </c>
      <c r="AM405" s="32" t="str">
        <f t="shared" si="1139"/>
        <v>std/std/std/std</v>
      </c>
      <c r="AN405" s="32" t="str">
        <f t="shared" si="1140"/>
        <v>$0 + 0/0/0/1.9/3.9</v>
      </c>
      <c r="AO405" s="32" t="str">
        <f t="shared" si="1141"/>
        <v>0/0/0/1.9/3.9</v>
      </c>
      <c r="AP405" s="32" t="str">
        <f t="shared" si="993"/>
        <v>0/0.9/1.9/3.9</v>
      </c>
      <c r="AQ405" s="536">
        <f t="shared" si="992"/>
        <v>770.41352526716855</v>
      </c>
      <c r="AR405" s="32"/>
      <c r="AS405" s="302"/>
      <c r="AT405" s="3">
        <f t="shared" si="1162"/>
        <v>5</v>
      </c>
      <c r="AU405" s="41" t="s">
        <v>121</v>
      </c>
      <c r="AV405" s="41" t="s">
        <v>116</v>
      </c>
      <c r="AW405" s="41" t="str">
        <f>INDEX(Input!$1:$1048576,AW$93,$C405*2+6)</f>
        <v>Kia</v>
      </c>
      <c r="AX405" s="41" t="str">
        <f>INDEX(Input!$1:$1048576,AX$93,$C405*2+6)</f>
        <v>Kia-LR - R1</v>
      </c>
      <c r="AY405" s="41" t="str">
        <f>IF(LEN(D405)=0,"",INDEX(Input!$1:$1048576,AY$93,$C405*2+6))</f>
        <v>Compact SUV (52)</v>
      </c>
      <c r="AZ405" s="41" t="str">
        <f>INDEX(Input!$1:$1048576,AZ$93,$C405*2+6)</f>
        <v>Kia Soul</v>
      </c>
      <c r="BA405" s="3">
        <f>INDEX(Input!$1:$1048576,BA$93,$C405*2+6)</f>
        <v>2020</v>
      </c>
      <c r="BB405" s="128">
        <f>INDEX(Input!$1:$1048576,BB$93,$C405*2+6)</f>
        <v>1</v>
      </c>
      <c r="BC405" s="128">
        <f>INDEX(Input!$1:$1048576,BC$93,$C405*2+6)</f>
        <v>0.7</v>
      </c>
      <c r="BD405" s="1">
        <f>INDEX(Input!$1:$1048576,BD$93,$C405*2+6)</f>
        <v>4.4999999999999998E-2</v>
      </c>
      <c r="BE405" s="1">
        <f>INDEX(Input!$1:$1048576,BE$93,$C405*2+6)</f>
        <v>4.4999999999999998E-2</v>
      </c>
      <c r="BF405" s="1">
        <f>INDEX(Input!$1:$1048576,BF$93,$C405*2+6)</f>
        <v>0.05</v>
      </c>
      <c r="BG405" s="1">
        <f>INDEX(Input!$1:$1048576,BG$93,$C405*2+6)</f>
        <v>5.45E-2</v>
      </c>
      <c r="BH405" s="1">
        <f>INDEX(Input!$1:$1048576,BH$93,$C405*2+6)</f>
        <v>5.45E-2</v>
      </c>
      <c r="BI405" s="1">
        <f>INDEX(Input!$1:$1048576,BI$93,$C405*2+6)</f>
        <v>0.05</v>
      </c>
      <c r="BJ405" s="1">
        <f>INDEX(Input!$1:$1048576,BJ$93,$C405*2+6)</f>
        <v>0.05</v>
      </c>
      <c r="BK405" s="1">
        <f>INDEX(Input!$1:$1048576,BK$93,$C405*2+6)</f>
        <v>0.05</v>
      </c>
      <c r="BL405" s="1">
        <f>INDEX(Input!$1:$1048576,BL$93,$C405*2+6)</f>
        <v>5.5E-2</v>
      </c>
      <c r="BM405" s="1">
        <f>INDEX(Input!$1:$1048576,BM$93,$C405*2+6)</f>
        <v>0.06</v>
      </c>
      <c r="BN405" s="1">
        <f>INDEX(Input!$1:$1048576,BN$93,$C405*2+6)</f>
        <v>4.4999999999999998E-2</v>
      </c>
      <c r="BO405" s="1">
        <f>INDEX(Input!$1:$1048576,BO$93,$C405*2+6)</f>
        <v>4.4999999999999998E-2</v>
      </c>
      <c r="BP405" s="1">
        <f>INDEX(Input!$1:$1048576,BP$93,$C405*2+6)</f>
        <v>0.05</v>
      </c>
      <c r="BQ405" s="1">
        <f>INDEX(Input!$1:$1048576,BQ$93,$C405*2+6)</f>
        <v>5.45E-2</v>
      </c>
      <c r="BR405" s="1">
        <f>INDEX(Input!$1:$1048576,BR$93,$C405*2+6)</f>
        <v>5.45E-2</v>
      </c>
      <c r="BS405" s="1">
        <f>INDEX(Input!$1:$1048576,BS$93,$C405*2+6)</f>
        <v>0.05</v>
      </c>
      <c r="BT405" s="1">
        <f>INDEX(Input!$1:$1048576,BT$93,$C405*2+6)</f>
        <v>0.05</v>
      </c>
      <c r="BU405" s="1">
        <f>INDEX(Input!$1:$1048576,BU$93,$C405*2+6)</f>
        <v>0.05</v>
      </c>
      <c r="BV405" s="1">
        <f>INDEX(Input!$1:$1048576,BV$93,$C405*2+6)</f>
        <v>5.5E-2</v>
      </c>
      <c r="BW405" s="1">
        <f>INDEX(Input!$1:$1048576,BW$93,$C405*2+6)</f>
        <v>0.06</v>
      </c>
      <c r="BX405" s="127">
        <f>INDEX(Input!$1:$1048576,BX$93,$C405*2+6)</f>
        <v>19985</v>
      </c>
      <c r="BY405" s="20">
        <f>INDEX(Input!$1:$1048576,BY$93,$C405*2+6)</f>
        <v>0.1</v>
      </c>
      <c r="BZ405" s="20">
        <f>INDEX(Input!$1:$1048576,BZ$93,$C405*2+6)</f>
        <v>0.1</v>
      </c>
      <c r="CA405" s="20">
        <f>INDEX(Input!$1:$1048576,CA$93,$C405*2+6)</f>
        <v>0.1</v>
      </c>
      <c r="CB405" s="20">
        <f>INDEX(Input!$1:$1048576,CB$93,$C405*2+6)</f>
        <v>0.1</v>
      </c>
      <c r="CC405" s="20">
        <f>INDEX(Input!$1:$1048576,CC$93,$C405*2+6)</f>
        <v>0.1</v>
      </c>
      <c r="CD405" s="384">
        <f>INDEX(Input!$1:$1048576,CD$93,$C405*2+6)</f>
        <v>0.1</v>
      </c>
      <c r="CE405" s="384">
        <f>INDEX(Input!$1:$1048576,CE$93,$C405*2+6)</f>
        <v>0.1</v>
      </c>
      <c r="CF405" s="384">
        <f>INDEX(Input!$1:$1048576,CF$93,$C405*2+6)</f>
        <v>0.1</v>
      </c>
      <c r="CG405" s="384">
        <f>INDEX(Input!$1:$1048576,CG$93,$C405*2+6)</f>
        <v>0.1</v>
      </c>
      <c r="CH405" s="384">
        <f>INDEX(Input!$1:$1048576,CH$93,$C405*2+6)</f>
        <v>0.1</v>
      </c>
      <c r="CI405" s="304">
        <f t="shared" si="994"/>
        <v>1270</v>
      </c>
      <c r="CJ405" s="16" t="str">
        <f>INDEX(Input!$1:$1048576,CJ$93,$C405*2+6)</f>
        <v>N</v>
      </c>
      <c r="CK405" s="1" t="str">
        <f t="shared" si="995"/>
        <v>Market</v>
      </c>
      <c r="CL405" s="1" t="str">
        <f t="shared" si="996"/>
        <v>Market</v>
      </c>
      <c r="CM405" s="1" t="str">
        <f t="shared" si="997"/>
        <v>Market</v>
      </c>
      <c r="CN405" s="1" t="str">
        <f t="shared" si="998"/>
        <v>Market</v>
      </c>
      <c r="CO405" s="1" t="str">
        <f t="shared" si="999"/>
        <v>Market</v>
      </c>
      <c r="CP405" s="304">
        <f t="shared" si="1000"/>
        <v>0</v>
      </c>
      <c r="CQ405" s="1">
        <f t="shared" si="1001"/>
        <v>0</v>
      </c>
      <c r="CR405" s="1">
        <f t="shared" si="1002"/>
        <v>0</v>
      </c>
      <c r="CS405" s="1">
        <f t="shared" si="1003"/>
        <v>0</v>
      </c>
      <c r="CT405" s="1">
        <f t="shared" si="1004"/>
        <v>1.9E-2</v>
      </c>
      <c r="CU405" s="1">
        <f t="shared" si="1005"/>
        <v>3.9E-2</v>
      </c>
      <c r="CV405" s="304">
        <f t="shared" si="1006"/>
        <v>697</v>
      </c>
      <c r="CW405" s="20" t="s">
        <v>122</v>
      </c>
      <c r="CX405" s="20" t="s">
        <v>122</v>
      </c>
      <c r="CY405" s="20" t="s">
        <v>122</v>
      </c>
      <c r="CZ405" s="20" t="s">
        <v>122</v>
      </c>
      <c r="DA405" s="20" t="s">
        <v>122</v>
      </c>
      <c r="DB405" s="503">
        <f t="shared" si="1007"/>
        <v>500</v>
      </c>
      <c r="DC405" s="127">
        <v>0</v>
      </c>
      <c r="DD405" s="127">
        <v>0</v>
      </c>
      <c r="DE405" s="127">
        <v>0</v>
      </c>
      <c r="DF405" s="127">
        <v>0</v>
      </c>
      <c r="DG405" s="127">
        <v>0</v>
      </c>
      <c r="DH405" s="127">
        <v>0</v>
      </c>
      <c r="DI405" s="127">
        <v>0</v>
      </c>
      <c r="DJ405" s="127">
        <v>0</v>
      </c>
      <c r="DK405" s="127">
        <v>0</v>
      </c>
      <c r="DL405" s="127">
        <v>0</v>
      </c>
      <c r="DM405" s="304">
        <f>INDEX(Input!$1:$1048576,DM$93,$C405*2+6)</f>
        <v>21036.84210526316</v>
      </c>
      <c r="DN405" s="20">
        <v>0</v>
      </c>
      <c r="DO405" s="20">
        <v>0</v>
      </c>
      <c r="DP405" s="20">
        <v>0</v>
      </c>
      <c r="DQ405" s="20">
        <v>0</v>
      </c>
      <c r="DR405" s="20">
        <v>0</v>
      </c>
      <c r="DS405" s="20">
        <f>INDEX(Input!$1:$1048576,DS$93,$C405*2+6)</f>
        <v>0.6</v>
      </c>
      <c r="DT405" s="20">
        <f>INDEX(Input!$1:$1048576,DT$93,$C405*2+6)</f>
        <v>0.55000000000000004</v>
      </c>
      <c r="DU405" s="20">
        <f>INDEX(Input!$1:$1048576,DU$93,$C405*2+6)</f>
        <v>0.52</v>
      </c>
      <c r="DV405" s="20">
        <f>INDEX(Input!$1:$1048576,DV$93,$C405*2+6)</f>
        <v>0.5</v>
      </c>
      <c r="DW405" s="20">
        <f>INDEX(Input!$1:$1048576,DW$93,$C405*2+6)</f>
        <v>0.45</v>
      </c>
      <c r="DX405" s="20"/>
      <c r="DY405" s="7">
        <v>9.8822308935016895E-2</v>
      </c>
      <c r="DZ405" s="7">
        <v>0</v>
      </c>
      <c r="EA405" s="7">
        <v>0.79148170356770409</v>
      </c>
      <c r="EB405" s="7">
        <v>0</v>
      </c>
      <c r="EC405" s="7">
        <v>0</v>
      </c>
      <c r="ED405" s="7">
        <v>0</v>
      </c>
      <c r="EE405" s="7">
        <v>0</v>
      </c>
      <c r="EF405" s="7">
        <v>0</v>
      </c>
      <c r="EG405" s="7">
        <v>0</v>
      </c>
      <c r="EH405" s="7">
        <v>1.2246628073868391E-2</v>
      </c>
      <c r="EI405" s="7">
        <v>3.1973971627003092E-2</v>
      </c>
      <c r="EJ405" s="7">
        <v>0.22456209732430005</v>
      </c>
      <c r="EK405" s="7">
        <v>0.59379089446872957</v>
      </c>
      <c r="EL405" s="7">
        <v>0.13742640850609883</v>
      </c>
      <c r="EM405" s="7">
        <v>4.2675478544246845E-2</v>
      </c>
      <c r="EN405" s="7">
        <v>5.1223674467977494E-2</v>
      </c>
      <c r="EO405" s="7">
        <v>0.72016681152629292</v>
      </c>
      <c r="EP405" s="7">
        <v>9.8736838749980863E-2</v>
      </c>
      <c r="EQ405" s="7">
        <v>8.6781841236776805E-2</v>
      </c>
      <c r="ER405" s="7">
        <v>4.3090834018970993E-2</v>
      </c>
      <c r="ES405" s="7">
        <v>6.7020508953032285E-2</v>
      </c>
      <c r="ET405" s="7">
        <v>0.10969598749727907</v>
      </c>
      <c r="EU405" s="6">
        <v>1490</v>
      </c>
      <c r="EV405" s="6">
        <v>0</v>
      </c>
      <c r="EW405" s="6">
        <v>1490</v>
      </c>
      <c r="EX405" s="6">
        <v>0</v>
      </c>
      <c r="EY405" s="6">
        <v>2203.1430146375424</v>
      </c>
      <c r="EZ405" s="6">
        <v>742</v>
      </c>
      <c r="FA405" s="6">
        <v>0</v>
      </c>
      <c r="FB405" s="6">
        <v>0</v>
      </c>
      <c r="FC405" s="6">
        <v>0</v>
      </c>
      <c r="FD405" s="6">
        <v>0</v>
      </c>
      <c r="FE405" s="6">
        <v>0</v>
      </c>
      <c r="FF405" s="6">
        <v>0</v>
      </c>
      <c r="FG405" s="6">
        <v>0</v>
      </c>
      <c r="FH405" s="6">
        <v>1169.7932474027391</v>
      </c>
      <c r="FI405" s="6">
        <v>1553.9796069512402</v>
      </c>
      <c r="FJ405" s="6">
        <v>2101.2110117447419</v>
      </c>
      <c r="FK405" s="6">
        <v>1772.7139978623231</v>
      </c>
      <c r="FL405" s="6">
        <v>907.07682140966381</v>
      </c>
      <c r="FM405" s="6">
        <v>1713.1430146375426</v>
      </c>
      <c r="FN405" s="6">
        <v>0</v>
      </c>
      <c r="FO405" s="6">
        <v>0</v>
      </c>
      <c r="FP405" s="6">
        <v>0</v>
      </c>
      <c r="FQ405" s="6">
        <v>0</v>
      </c>
      <c r="FR405" s="6">
        <v>0</v>
      </c>
      <c r="FS405" s="6">
        <v>0</v>
      </c>
      <c r="FT405" s="7">
        <v>0.89030401250272095</v>
      </c>
      <c r="FU405" s="7">
        <v>4.2675478544246845E-2</v>
      </c>
      <c r="FV405" s="7">
        <v>6.7020508953032285E-2</v>
      </c>
      <c r="FW405" s="6">
        <v>1490</v>
      </c>
      <c r="FX405" s="6">
        <v>2203.1430146375424</v>
      </c>
      <c r="FY405" s="6">
        <v>742</v>
      </c>
      <c r="FZ405" s="6">
        <v>1949.5716051445115</v>
      </c>
      <c r="GA405" s="6">
        <v>1470.302378723276</v>
      </c>
      <c r="GB405" s="6">
        <v>18514.697621276726</v>
      </c>
      <c r="GC405" s="7">
        <v>3.3872851927908169E-2</v>
      </c>
      <c r="GD405" s="7">
        <v>3.2651102925819492E-2</v>
      </c>
      <c r="GE405" s="7"/>
      <c r="GF405" s="7"/>
      <c r="GG405" s="7">
        <v>-3.6068678382585991E-2</v>
      </c>
      <c r="GH405" s="42">
        <v>1.5040242472034551</v>
      </c>
      <c r="GI405" s="6">
        <v>14757.987093354441</v>
      </c>
      <c r="GJ405" s="14">
        <v>0.50394797582841744</v>
      </c>
      <c r="GK405" s="14">
        <v>0.50887573065309721</v>
      </c>
      <c r="GL405" s="14">
        <v>0.49605202417158251</v>
      </c>
      <c r="GM405" s="14">
        <v>0.49112426934690229</v>
      </c>
      <c r="GO405" s="5">
        <v>343.14810671672558</v>
      </c>
      <c r="GP405" s="5">
        <v>314.72174922594519</v>
      </c>
      <c r="GQ405" s="5">
        <v>535.04305713031317</v>
      </c>
      <c r="GR405" s="5">
        <v>410.15490233172511</v>
      </c>
      <c r="GS405" s="5">
        <v>339.42744393800166</v>
      </c>
      <c r="GT405" s="5">
        <v>293.4407446948278</v>
      </c>
      <c r="GU405" s="5">
        <v>258.04012322764959</v>
      </c>
      <c r="GV405" s="39" t="s">
        <v>392</v>
      </c>
      <c r="GW405" s="5">
        <v>486.01388888888891</v>
      </c>
      <c r="GX405" s="5">
        <v>364.51041666666669</v>
      </c>
      <c r="GY405" s="5">
        <v>291.60833333333335</v>
      </c>
      <c r="GZ405" s="5">
        <v>257.31358158962206</v>
      </c>
      <c r="HA405" s="5">
        <v>238.35172364053415</v>
      </c>
      <c r="HB405" s="39">
        <v>268.63733909899156</v>
      </c>
      <c r="HC405" s="5">
        <v>254.82187499999998</v>
      </c>
      <c r="HD405" s="5">
        <v>217.64844663742687</v>
      </c>
      <c r="HE405" s="5">
        <v>220.39139254385964</v>
      </c>
      <c r="HF405" s="5">
        <v>203.75000548245612</v>
      </c>
      <c r="HG405" s="5">
        <v>196.40971491228066</v>
      </c>
      <c r="HH405" s="39">
        <v>217.70210906110208</v>
      </c>
      <c r="HI405" s="16"/>
      <c r="HJ405" s="19" t="str">
        <f t="shared" si="1163"/>
        <v>On</v>
      </c>
      <c r="HK405" s="1" t="str">
        <f t="shared" si="1163"/>
        <v>On</v>
      </c>
      <c r="HL405" s="16"/>
      <c r="HM405" s="639">
        <f t="shared" si="1110"/>
        <v>2.9403358434788716E-2</v>
      </c>
      <c r="HN405" s="639">
        <f t="shared" si="1111"/>
        <v>1.4106809950923669E-3</v>
      </c>
      <c r="HO405" s="639">
        <f t="shared" si="1112"/>
        <v>1.7317923025048877E-3</v>
      </c>
      <c r="HP405" s="644">
        <f>(FT405*$GD405-HM405)/$JF405*INDEX(Input!$1:$1048576,$JG$93,$C405*2+6)</f>
        <v>-23.89770497491363</v>
      </c>
      <c r="HQ405" s="644">
        <f>(FU405*$GD405-HN405)/$JF405*INDEX(Input!$1:$1048576,$JG$93,$C405*2+6)</f>
        <v>-1.2365355616669336</v>
      </c>
      <c r="HR405" s="644">
        <f>(FV405*$GD405-HO405)/$JF405*INDEX(Input!$1:$1048576,$JG$93,$C405*2+6)</f>
        <v>32.667512739383348</v>
      </c>
      <c r="HS405" s="644">
        <f t="shared" si="1113"/>
        <v>5.163654679975362E-5</v>
      </c>
      <c r="HT405" s="644">
        <f t="shared" si="1114"/>
        <v>-1.9083409731419705E-2</v>
      </c>
      <c r="HU405" s="644">
        <f t="shared" si="1115"/>
        <v>6.9999861549518698</v>
      </c>
      <c r="HV405" s="648">
        <f t="shared" si="1116"/>
        <v>0</v>
      </c>
      <c r="HW405" s="648">
        <f t="shared" si="1117"/>
        <v>0</v>
      </c>
      <c r="HX405" s="648">
        <f t="shared" si="1118"/>
        <v>0</v>
      </c>
      <c r="HY405" s="644">
        <f>INDEX(Input!$1:$1048576,HY$93,$C405*2+6)*INDEX(Input!$1:$1048576,$JG$93,$C405*2+6)</f>
        <v>993</v>
      </c>
      <c r="HZ405" s="644">
        <f>INDEX(Input!$1:$1048576,HZ$93,$C405*2+6)*INDEX(Input!$1:$1048576,$JG$93,$C405*2+6)</f>
        <v>1216</v>
      </c>
      <c r="IA405" s="644">
        <f>INDEX(Input!$1:$1048576,IA$93,$C405*2+6)*INDEX(Input!$1:$1048576,$JG$93,$C405*2+6)</f>
        <v>120</v>
      </c>
      <c r="IB405" s="644">
        <f t="shared" si="1142"/>
        <v>969.10234666163274</v>
      </c>
      <c r="IC405" s="644">
        <f t="shared" si="1143"/>
        <v>1214.7443810286018</v>
      </c>
      <c r="ID405" s="644">
        <f>IF(AND(INDEX(Input!$1:$1048576,IA$93,$C405*2+7)="TOS",Y405&lt;=INDEX(Y:Y,MATCH(C405*1000+2,A:A))),0,1)*MAX(IA405+HR405+HU405+HX405,0%)</f>
        <v>159.66749889433521</v>
      </c>
      <c r="IE405" s="128">
        <f t="shared" ref="IE405:IE406" si="1174">IB405/SUM($IB405:$ID405)</f>
        <v>0.41352526716852894</v>
      </c>
      <c r="IF405" s="128">
        <f t="shared" si="1165"/>
        <v>0.51834307948664193</v>
      </c>
      <c r="IG405" s="128">
        <f t="shared" si="1120"/>
        <v>6.813165334482911E-2</v>
      </c>
      <c r="IH405" s="21"/>
      <c r="II405" s="19">
        <f t="shared" si="1121"/>
        <v>1490</v>
      </c>
      <c r="IJ405" s="19">
        <f t="shared" si="1122"/>
        <v>2203.2561351629856</v>
      </c>
      <c r="IK405" s="19">
        <f t="shared" si="1123"/>
        <v>242</v>
      </c>
      <c r="IL405" s="19">
        <f t="shared" si="1145"/>
        <v>0</v>
      </c>
      <c r="IM405" s="19">
        <f t="shared" si="1124"/>
        <v>-0.11312052544326434</v>
      </c>
      <c r="IN405" s="19">
        <f t="shared" si="1125"/>
        <v>500</v>
      </c>
      <c r="IO405" s="39">
        <f t="shared" si="1126"/>
        <v>0</v>
      </c>
      <c r="IP405" s="39">
        <f t="shared" si="1127"/>
        <v>0</v>
      </c>
      <c r="IQ405" s="39">
        <f t="shared" si="1128"/>
        <v>0</v>
      </c>
      <c r="IR405" s="39">
        <v>0</v>
      </c>
      <c r="IS405" s="39">
        <v>0</v>
      </c>
      <c r="IT405" s="39">
        <v>0</v>
      </c>
      <c r="IU405" s="39">
        <v>0</v>
      </c>
      <c r="IV405" s="39">
        <v>0</v>
      </c>
      <c r="IW405" s="39">
        <v>0</v>
      </c>
      <c r="IX405" s="39">
        <f>INDEX(Input!$1:$1048576,IX$93,$C405*2+6)+INDEX(Input!$1:$1048576,IX$94,$C405*2+6)</f>
        <v>1770</v>
      </c>
      <c r="IY405" s="39">
        <f>INDEX(Input!$1:$1048576,IY$93,$C405*2+6)+INDEX(Input!$1:$1048576,IY$94,$C405*2+6)</f>
        <v>2630.0624533823611</v>
      </c>
      <c r="IZ405" s="39">
        <f>INDEX(Input!$1:$1048576,IZ$93,$C405*2+6)+INDEX(Input!$1:$1048576,IZ$94,$C405*2+6)</f>
        <v>4153.7164157747848</v>
      </c>
      <c r="JA405" s="19">
        <f t="shared" si="1146"/>
        <v>1770</v>
      </c>
      <c r="JB405" s="19">
        <f t="shared" si="1147"/>
        <v>2629.9493328569179</v>
      </c>
      <c r="JC405" s="19">
        <f t="shared" si="1148"/>
        <v>4653.7164157747848</v>
      </c>
      <c r="JD405" s="19">
        <f t="shared" si="1149"/>
        <v>2412.2211525798989</v>
      </c>
      <c r="JE405" s="21"/>
      <c r="JF405" s="1">
        <f t="shared" si="1129"/>
        <v>3.2545831732385969E-2</v>
      </c>
      <c r="JG405" s="15">
        <f>INDEX(Input!$1:$1048576,JG$93,$C405*2+6)/(1+VLOOKUP(C405*1000+INDEX(Input!$1:$1048576,JG$93+1,$C405*2+6),$A:$KK,$JK$92,FALSE))</f>
        <v>2329</v>
      </c>
      <c r="JH405" s="1">
        <f t="shared" si="1150"/>
        <v>3.2345522553897743E-3</v>
      </c>
      <c r="JI405" s="1">
        <f t="shared" si="1151"/>
        <v>2.9974041999859379E-3</v>
      </c>
      <c r="JJ405" s="1">
        <f t="shared" si="1152"/>
        <v>0</v>
      </c>
      <c r="JK405" s="1">
        <f>SUM(JH405:JJ405)</f>
        <v>6.2319564553757123E-3</v>
      </c>
      <c r="JL405" s="15">
        <f t="shared" si="1154"/>
        <v>14.514226584570034</v>
      </c>
      <c r="JM405" s="15">
        <f t="shared" si="1155"/>
        <v>2343.5142265845702</v>
      </c>
      <c r="JN405" s="21"/>
      <c r="JO405" s="19">
        <f>INDEX(Input!$1:$1048576,JO$93,$C405*2+6)</f>
        <v>5995.5</v>
      </c>
      <c r="JP405" s="19">
        <f>INDEX(Input!$1:$1048576,JP$93,$C405*2+6)</f>
        <v>2341.8685758720158</v>
      </c>
      <c r="JQ405" s="39">
        <f t="shared" si="1166"/>
        <v>3583.2788474201011</v>
      </c>
      <c r="JR405" s="39">
        <f t="shared" si="1167"/>
        <v>70.352576707883145</v>
      </c>
      <c r="JS405" s="39">
        <f t="shared" si="1168"/>
        <v>5.653074588739222</v>
      </c>
      <c r="JT405" s="39">
        <f t="shared" si="1156"/>
        <v>0.19886267553329748</v>
      </c>
      <c r="JU405" s="385">
        <f>(JQ405*JM405-INDEX(Input!$1:$1048576,Input!A$18,$C405*2+6)*JL405*INDEX(Input!$1:$1048576,Input!A$19,$C405*2+6))/1000000</f>
        <v>8.3974649567485677</v>
      </c>
      <c r="JV405" s="39">
        <f t="shared" si="1132"/>
        <v>-0.11184263004550665</v>
      </c>
      <c r="JW405" s="1">
        <f t="shared" ref="JW405" si="1175">JV405/(JU405-JV405)</f>
        <v>-1.3143564138999933E-2</v>
      </c>
      <c r="JX405" s="19">
        <f t="shared" si="1172"/>
        <v>13701.224407279607</v>
      </c>
      <c r="JZ405" s="468">
        <f>(IA405+HR405)/SUM(HP405:HR405,HY405:IA405)*IN405</f>
        <v>32.669663761187032</v>
      </c>
      <c r="KA405" s="469">
        <f>JH405/(JZ405/BX405)</f>
        <v>1.9786713232342092</v>
      </c>
      <c r="KB405" s="469">
        <f>KB404</f>
        <v>2.3434325605641804</v>
      </c>
      <c r="KC405" s="469">
        <f>MIN(KE404+1)</f>
        <v>3.6501379083102989</v>
      </c>
      <c r="KD405" s="469">
        <f>KC405+2</f>
        <v>5.6501379083102989</v>
      </c>
      <c r="KE405" s="469">
        <f>MIN(MAX(KA405,KC405),KD405)</f>
        <v>3.6501379083102989</v>
      </c>
      <c r="KF405" s="470">
        <f>A405</f>
        <v>4005</v>
      </c>
      <c r="KG405" s="471">
        <f>(JH405/KA405*KE405-JH405)/MAX(IL405:IN405)*1000</f>
        <v>5.464723675005792E-3</v>
      </c>
      <c r="KH405" s="472"/>
      <c r="KI405" s="473">
        <f t="shared" si="1170"/>
        <v>-23.897653338367149</v>
      </c>
      <c r="KJ405" s="473">
        <f t="shared" si="1157"/>
        <v>-1.2556189713980075</v>
      </c>
      <c r="KK405" s="473">
        <f t="shared" si="1158"/>
        <v>39.667498894335239</v>
      </c>
      <c r="KL405" s="472" t="str">
        <f>IF(OR(KI405&gt;0,KJ405&gt;0),"Error - Adjust TR","ok")</f>
        <v>ok</v>
      </c>
      <c r="KN405" s="544">
        <f t="shared" si="1173"/>
        <v>4002</v>
      </c>
      <c r="KO405" s="541">
        <f t="shared" si="1133"/>
        <v>-3.1049858764251481E-2</v>
      </c>
      <c r="KP405" s="546">
        <f t="shared" si="1134"/>
        <v>-244.99518578516538</v>
      </c>
      <c r="KQ405" s="546">
        <f t="shared" si="1135"/>
        <v>-212.55003545612226</v>
      </c>
      <c r="KR405" s="548">
        <f t="shared" si="1136"/>
        <v>2.2001765095876</v>
      </c>
      <c r="KS405" s="548">
        <f t="shared" si="1137"/>
        <v>2.5360271127211642</v>
      </c>
      <c r="KT405" s="473">
        <f t="shared" si="1171"/>
        <v>1580.0986321700548</v>
      </c>
      <c r="KU405" s="663">
        <f t="shared" si="1159"/>
        <v>4.0028047237549975</v>
      </c>
      <c r="KV405" s="117"/>
    </row>
    <row r="406" spans="1:310" s="26" customFormat="1" ht="15">
      <c r="A406" s="561">
        <f t="shared" si="1138"/>
        <v>4006</v>
      </c>
      <c r="B406" s="561">
        <f t="shared" si="1160"/>
        <v>6</v>
      </c>
      <c r="C406" s="561">
        <f t="shared" si="1161"/>
        <v>4</v>
      </c>
      <c r="D406" s="561" t="s">
        <v>742</v>
      </c>
      <c r="E406" s="115">
        <f>INDEX(Input!$1:$1048576,E$93,$C406*2+MIN($B406,1)+5)</f>
        <v>1000</v>
      </c>
      <c r="F406" s="115">
        <f>INDEX(Input!$1:$1048576,F$93,$C406*2+MIN($B406,1)+5)</f>
        <v>0</v>
      </c>
      <c r="G406" s="115">
        <f>INDEX(Input!$1:$1048576,G$93,$C406*2+MIN($B406,1)+5)</f>
        <v>0</v>
      </c>
      <c r="H406" s="115">
        <f>INDEX(Input!$1:$1048576,H$93,$C406*2+MIN($B406,1)+5)</f>
        <v>0</v>
      </c>
      <c r="I406" s="118">
        <f>INDEX(Input!$1:$1048576,I$93,$C406*2+MIN($B406,1)+5)</f>
        <v>0.7</v>
      </c>
      <c r="J406" s="118" t="str">
        <f>INDEX(Input!$1:$1048576,J$93,$C406*2+MIN($B406,1)+5)</f>
        <v>Market</v>
      </c>
      <c r="K406" s="118" t="str">
        <f>INDEX(Input!$1:$1048576,K$93,$C406*2+MIN($B406,1)+5)</f>
        <v>Market</v>
      </c>
      <c r="L406" s="118" t="str">
        <f>INDEX(Input!$1:$1048576,L$93,$C406*2+MIN($B406,1)+5)</f>
        <v>Market</v>
      </c>
      <c r="M406" s="118" t="str">
        <f>INDEX(Input!$1:$1048576,M$93,$C406*2+MIN($B406,1)+5)</f>
        <v>Market</v>
      </c>
      <c r="N406" s="118" t="str">
        <f>INDEX(Input!$1:$1048576,N$93,$C406*2+MIN($B406,1)+5)</f>
        <v>Market</v>
      </c>
      <c r="O406" s="118" t="str">
        <f>INDEX(Input!$1:$1048576,O$93,$C406*2+MIN($B406,1)+5)</f>
        <v>Market</v>
      </c>
      <c r="P406" s="118" t="str">
        <f>INDEX(Input!$1:$1048576,P$93,$C406*2+MIN($B406,1)+5)</f>
        <v>N</v>
      </c>
      <c r="Q406" s="30">
        <f>INDEX(Input!$1:$1048576,Q$93,$C406*2+MIN($B406,1)+5)</f>
        <v>0</v>
      </c>
      <c r="R406" s="383">
        <f>INDEX(Input!$1:$1048576,R$93,$C406*2+MIN($B406,1)+5)</f>
        <v>0</v>
      </c>
      <c r="S406" s="383">
        <f>INDEX(Input!$1:$1048576,S$93,$C406*2+MIN($B406,1)+5)</f>
        <v>0</v>
      </c>
      <c r="T406" s="383">
        <f>INDEX(Input!$1:$1048576,T$93,$C406*2+MIN($B406,1)+5)</f>
        <v>0</v>
      </c>
      <c r="U406" s="383">
        <f>INDEX(Input!$1:$1048576,U$93,$C406*2+MIN($B406,1)+5)</f>
        <v>0</v>
      </c>
      <c r="V406" s="383">
        <f>INDEX(Input!$1:$1048576,V$93,$C406*2+MIN($B406,1)+5)</f>
        <v>1.9E-2</v>
      </c>
      <c r="W406" s="884">
        <f>INDEX(Input!$1:$1048576,W$93,$C406*2+MIN($B406,1)+5)</f>
        <v>3.9E-2</v>
      </c>
      <c r="X406" s="118" t="str">
        <f>INDEX(Input!$1:$1048576,X$93,$C406*2+MIN($B406,1)+5)</f>
        <v>Y</v>
      </c>
      <c r="Y406" s="150">
        <f>INDEX(Input!$1:$1048576,Y$93,$C406*2+MIN($B406,1)+5)</f>
        <v>-73</v>
      </c>
      <c r="Z406" s="477">
        <f>INDEX(Input!$1:$1048576,Z$93,$C406*2+MIN($B406,1)+5)+500</f>
        <v>500</v>
      </c>
      <c r="AA406" s="115">
        <f>INDEX(Input!$1:$1048576,AA$93,$C406*2+MIN($B406,1)+5)</f>
        <v>1000</v>
      </c>
      <c r="AB406" s="118">
        <f>INDEX(Input!$1:$1048576,AB$93,$C406*2+MIN($B406,1)+5)</f>
        <v>0.27</v>
      </c>
      <c r="AC406" s="115">
        <f>INDEX(Input!$1:$1048576,AC$93,$C406*2+MIN($B406,1)+5)</f>
        <v>1000</v>
      </c>
      <c r="AD406" s="118">
        <f>INDEX(Input!$1:$1048576,AD$93,$C406*2+MIN($B406,1)+5)</f>
        <v>0.27</v>
      </c>
      <c r="AE406" s="115">
        <f>INDEX(Input!$1:$1048576,AE$93,$C406*2+MIN($B406,1)+5)</f>
        <v>500</v>
      </c>
      <c r="AF406" s="118">
        <f>INDEX(Input!$1:$1048576,AF$93,$C406*2+MIN($B406,1)+5)</f>
        <v>1</v>
      </c>
      <c r="AG406" s="115">
        <f>INDEX(Input!$1:$1048576,AG$93,$C406*2+MIN($B406,1)+5)</f>
        <v>0</v>
      </c>
      <c r="AH406" s="118">
        <f>INDEX(Input!$1:$1048576,AH$93,$C406*2+MIN($B406,1)+5)</f>
        <v>0.83199999999999996</v>
      </c>
      <c r="AI406" s="115">
        <f>INDEX(Input!$1:$1048576,AI$93,$C406*2+MIN($B406,1)+5)</f>
        <v>0</v>
      </c>
      <c r="AJ406" s="118">
        <f>INDEX(Input!$1:$1048576,AJ$93,$C406*2+MIN($B406,1)+5)</f>
        <v>0.27</v>
      </c>
      <c r="AK406" s="150">
        <f>ROUND(INDEX(Input!$1:$1048576,AK$93,$C405*2+MIN($B406,1)+5)+(Y406-VLOOKUP($C406*1000+1,$A:$HH,Y$92,FALSE)),0)</f>
        <v>3384</v>
      </c>
      <c r="AL406" s="150">
        <f>ROUND(INDEX(Input!$1:$1048576,AL$93,$C405*2+MIN($B406,1)+5)-(Y406-VLOOKUP($C406*1000+1,$A:$HH,Y$92,FALSE))/36,0)</f>
        <v>3384</v>
      </c>
      <c r="AM406" s="32" t="str">
        <f t="shared" si="1139"/>
        <v>std/std/std/std</v>
      </c>
      <c r="AN406" s="32" t="str">
        <f t="shared" si="1140"/>
        <v>$0 + 0/0/0/1.9/3.9</v>
      </c>
      <c r="AO406" s="32" t="str">
        <f t="shared" si="1141"/>
        <v>0/0/0/1.9/3.9</v>
      </c>
      <c r="AP406" s="32" t="str">
        <f t="shared" si="993"/>
        <v>0/0.9/1.9/3.9</v>
      </c>
      <c r="AQ406" s="536">
        <f t="shared" si="992"/>
        <v>770.4227827592083</v>
      </c>
      <c r="AR406" s="32"/>
      <c r="AS406" s="302"/>
      <c r="AT406" s="3">
        <f t="shared" si="1162"/>
        <v>6</v>
      </c>
      <c r="AU406" s="41" t="s">
        <v>121</v>
      </c>
      <c r="AV406" s="41" t="s">
        <v>116</v>
      </c>
      <c r="AW406" s="41" t="str">
        <f>INDEX(Input!$1:$1048576,AW$93,$C406*2+6)</f>
        <v>Kia</v>
      </c>
      <c r="AX406" s="41" t="str">
        <f>INDEX(Input!$1:$1048576,AX$93,$C406*2+6)</f>
        <v>Kia-LR - R1</v>
      </c>
      <c r="AY406" s="41" t="str">
        <f>IF(LEN(D406)=0,"",INDEX(Input!$1:$1048576,AY$93,$C406*2+6))</f>
        <v>Compact SUV (52)</v>
      </c>
      <c r="AZ406" s="41" t="str">
        <f>INDEX(Input!$1:$1048576,AZ$93,$C406*2+6)</f>
        <v>Kia Soul</v>
      </c>
      <c r="BA406" s="3">
        <f>INDEX(Input!$1:$1048576,BA$93,$C406*2+6)</f>
        <v>2020</v>
      </c>
      <c r="BB406" s="128">
        <f>INDEX(Input!$1:$1048576,BB$93,$C406*2+6)</f>
        <v>1</v>
      </c>
      <c r="BC406" s="128">
        <f>INDEX(Input!$1:$1048576,BC$93,$C406*2+6)</f>
        <v>0.7</v>
      </c>
      <c r="BD406" s="1">
        <f>INDEX(Input!$1:$1048576,BD$93,$C406*2+6)</f>
        <v>4.4999999999999998E-2</v>
      </c>
      <c r="BE406" s="1">
        <f>INDEX(Input!$1:$1048576,BE$93,$C406*2+6)</f>
        <v>4.4999999999999998E-2</v>
      </c>
      <c r="BF406" s="1">
        <f>INDEX(Input!$1:$1048576,BF$93,$C406*2+6)</f>
        <v>0.05</v>
      </c>
      <c r="BG406" s="1">
        <f>INDEX(Input!$1:$1048576,BG$93,$C406*2+6)</f>
        <v>5.45E-2</v>
      </c>
      <c r="BH406" s="1">
        <f>INDEX(Input!$1:$1048576,BH$93,$C406*2+6)</f>
        <v>5.45E-2</v>
      </c>
      <c r="BI406" s="1">
        <f>INDEX(Input!$1:$1048576,BI$93,$C406*2+6)</f>
        <v>0.05</v>
      </c>
      <c r="BJ406" s="1">
        <f>INDEX(Input!$1:$1048576,BJ$93,$C406*2+6)</f>
        <v>0.05</v>
      </c>
      <c r="BK406" s="1">
        <f>INDEX(Input!$1:$1048576,BK$93,$C406*2+6)</f>
        <v>0.05</v>
      </c>
      <c r="BL406" s="1">
        <f>INDEX(Input!$1:$1048576,BL$93,$C406*2+6)</f>
        <v>5.5E-2</v>
      </c>
      <c r="BM406" s="1">
        <f>INDEX(Input!$1:$1048576,BM$93,$C406*2+6)</f>
        <v>0.06</v>
      </c>
      <c r="BN406" s="1">
        <f>INDEX(Input!$1:$1048576,BN$93,$C406*2+6)</f>
        <v>4.4999999999999998E-2</v>
      </c>
      <c r="BO406" s="1">
        <f>INDEX(Input!$1:$1048576,BO$93,$C406*2+6)</f>
        <v>4.4999999999999998E-2</v>
      </c>
      <c r="BP406" s="1">
        <f>INDEX(Input!$1:$1048576,BP$93,$C406*2+6)</f>
        <v>0.05</v>
      </c>
      <c r="BQ406" s="1">
        <f>INDEX(Input!$1:$1048576,BQ$93,$C406*2+6)</f>
        <v>5.45E-2</v>
      </c>
      <c r="BR406" s="1">
        <f>INDEX(Input!$1:$1048576,BR$93,$C406*2+6)</f>
        <v>5.45E-2</v>
      </c>
      <c r="BS406" s="1">
        <f>INDEX(Input!$1:$1048576,BS$93,$C406*2+6)</f>
        <v>0.05</v>
      </c>
      <c r="BT406" s="1">
        <f>INDEX(Input!$1:$1048576,BT$93,$C406*2+6)</f>
        <v>0.05</v>
      </c>
      <c r="BU406" s="1">
        <f>INDEX(Input!$1:$1048576,BU$93,$C406*2+6)</f>
        <v>0.05</v>
      </c>
      <c r="BV406" s="1">
        <f>INDEX(Input!$1:$1048576,BV$93,$C406*2+6)</f>
        <v>5.5E-2</v>
      </c>
      <c r="BW406" s="1">
        <f>INDEX(Input!$1:$1048576,BW$93,$C406*2+6)</f>
        <v>0.06</v>
      </c>
      <c r="BX406" s="127">
        <f>INDEX(Input!$1:$1048576,BX$93,$C406*2+6)</f>
        <v>19985</v>
      </c>
      <c r="BY406" s="20">
        <f>INDEX(Input!$1:$1048576,BY$93,$C406*2+6)</f>
        <v>0.1</v>
      </c>
      <c r="BZ406" s="20">
        <f>INDEX(Input!$1:$1048576,BZ$93,$C406*2+6)</f>
        <v>0.1</v>
      </c>
      <c r="CA406" s="20">
        <f>INDEX(Input!$1:$1048576,CA$93,$C406*2+6)</f>
        <v>0.1</v>
      </c>
      <c r="CB406" s="20">
        <f>INDEX(Input!$1:$1048576,CB$93,$C406*2+6)</f>
        <v>0.1</v>
      </c>
      <c r="CC406" s="20">
        <f>INDEX(Input!$1:$1048576,CC$93,$C406*2+6)</f>
        <v>0.1</v>
      </c>
      <c r="CD406" s="384">
        <f>INDEX(Input!$1:$1048576,CD$93,$C406*2+6)</f>
        <v>0.1</v>
      </c>
      <c r="CE406" s="384">
        <f>INDEX(Input!$1:$1048576,CE$93,$C406*2+6)</f>
        <v>0.1</v>
      </c>
      <c r="CF406" s="384">
        <f>INDEX(Input!$1:$1048576,CF$93,$C406*2+6)</f>
        <v>0.1</v>
      </c>
      <c r="CG406" s="384">
        <f>INDEX(Input!$1:$1048576,CG$93,$C406*2+6)</f>
        <v>0.1</v>
      </c>
      <c r="CH406" s="384">
        <f>INDEX(Input!$1:$1048576,CH$93,$C406*2+6)</f>
        <v>0.1</v>
      </c>
      <c r="CI406" s="304">
        <f t="shared" si="994"/>
        <v>1270</v>
      </c>
      <c r="CJ406" s="16" t="str">
        <f>INDEX(Input!$1:$1048576,CJ$93,$C406*2+6)</f>
        <v>N</v>
      </c>
      <c r="CK406" s="1" t="str">
        <f t="shared" si="995"/>
        <v>Market</v>
      </c>
      <c r="CL406" s="1" t="str">
        <f t="shared" si="996"/>
        <v>Market</v>
      </c>
      <c r="CM406" s="1" t="str">
        <f t="shared" si="997"/>
        <v>Market</v>
      </c>
      <c r="CN406" s="1" t="str">
        <f t="shared" si="998"/>
        <v>Market</v>
      </c>
      <c r="CO406" s="1" t="str">
        <f t="shared" si="999"/>
        <v>Market</v>
      </c>
      <c r="CP406" s="304">
        <f t="shared" si="1000"/>
        <v>0</v>
      </c>
      <c r="CQ406" s="1">
        <f t="shared" si="1001"/>
        <v>0</v>
      </c>
      <c r="CR406" s="1">
        <f t="shared" si="1002"/>
        <v>0</v>
      </c>
      <c r="CS406" s="1">
        <f t="shared" si="1003"/>
        <v>0</v>
      </c>
      <c r="CT406" s="1">
        <f t="shared" si="1004"/>
        <v>1.9E-2</v>
      </c>
      <c r="CU406" s="1">
        <f t="shared" si="1005"/>
        <v>3.9E-2</v>
      </c>
      <c r="CV406" s="304">
        <f t="shared" si="1006"/>
        <v>197</v>
      </c>
      <c r="CW406" s="20" t="s">
        <v>122</v>
      </c>
      <c r="CX406" s="20" t="s">
        <v>122</v>
      </c>
      <c r="CY406" s="20" t="s">
        <v>122</v>
      </c>
      <c r="CZ406" s="20" t="s">
        <v>122</v>
      </c>
      <c r="DA406" s="20" t="s">
        <v>122</v>
      </c>
      <c r="DB406" s="503">
        <f t="shared" si="1007"/>
        <v>1000</v>
      </c>
      <c r="DC406" s="127">
        <v>0</v>
      </c>
      <c r="DD406" s="127">
        <v>0</v>
      </c>
      <c r="DE406" s="127">
        <v>0</v>
      </c>
      <c r="DF406" s="127">
        <v>0</v>
      </c>
      <c r="DG406" s="127">
        <v>0</v>
      </c>
      <c r="DH406" s="127">
        <v>0</v>
      </c>
      <c r="DI406" s="127">
        <v>0</v>
      </c>
      <c r="DJ406" s="127">
        <v>0</v>
      </c>
      <c r="DK406" s="127">
        <v>0</v>
      </c>
      <c r="DL406" s="127">
        <v>0</v>
      </c>
      <c r="DM406" s="304">
        <f>INDEX(Input!$1:$1048576,DM$93,$C406*2+6)</f>
        <v>21036.84210526316</v>
      </c>
      <c r="DN406" s="20">
        <v>0</v>
      </c>
      <c r="DO406" s="20">
        <v>0</v>
      </c>
      <c r="DP406" s="20">
        <v>0</v>
      </c>
      <c r="DQ406" s="20">
        <v>0</v>
      </c>
      <c r="DR406" s="20">
        <v>0</v>
      </c>
      <c r="DS406" s="20">
        <f>INDEX(Input!$1:$1048576,DS$93,$C406*2+6)</f>
        <v>0.6</v>
      </c>
      <c r="DT406" s="20">
        <f>INDEX(Input!$1:$1048576,DT$93,$C406*2+6)</f>
        <v>0.55000000000000004</v>
      </c>
      <c r="DU406" s="20">
        <f>INDEX(Input!$1:$1048576,DU$93,$C406*2+6)</f>
        <v>0.52</v>
      </c>
      <c r="DV406" s="20">
        <f>INDEX(Input!$1:$1048576,DV$93,$C406*2+6)</f>
        <v>0.5</v>
      </c>
      <c r="DW406" s="20">
        <f>INDEX(Input!$1:$1048576,DW$93,$C406*2+6)</f>
        <v>0.45</v>
      </c>
      <c r="DX406" s="20"/>
      <c r="DY406" s="7">
        <v>0.1048792868612001</v>
      </c>
      <c r="DZ406" s="7">
        <v>0</v>
      </c>
      <c r="EA406" s="7">
        <v>0.79963934004136483</v>
      </c>
      <c r="EB406" s="7">
        <v>0</v>
      </c>
      <c r="EC406" s="7">
        <v>0</v>
      </c>
      <c r="ED406" s="7">
        <v>0</v>
      </c>
      <c r="EE406" s="7">
        <v>0</v>
      </c>
      <c r="EF406" s="7">
        <v>0</v>
      </c>
      <c r="EG406" s="7">
        <v>0</v>
      </c>
      <c r="EH406" s="7">
        <v>1.2261578744781338E-2</v>
      </c>
      <c r="EI406" s="7">
        <v>3.2025531601451281E-2</v>
      </c>
      <c r="EJ406" s="7">
        <v>0.22488651283144953</v>
      </c>
      <c r="EK406" s="7">
        <v>0.59351984226457521</v>
      </c>
      <c r="EL406" s="7">
        <v>0.13730653455774219</v>
      </c>
      <c r="EM406" s="7">
        <v>4.3191679771199247E-2</v>
      </c>
      <c r="EN406" s="7">
        <v>5.1191173266756713E-2</v>
      </c>
      <c r="EO406" s="7">
        <v>0.72019309401334375</v>
      </c>
      <c r="EP406" s="7">
        <v>9.8757720530237861E-2</v>
      </c>
      <c r="EQ406" s="7">
        <v>8.6729677219652218E-2</v>
      </c>
      <c r="ER406" s="7">
        <v>4.3128334970009563E-2</v>
      </c>
      <c r="ES406" s="7">
        <v>5.2289693326235731E-2</v>
      </c>
      <c r="ET406" s="7">
        <v>9.5481373097435054E-2</v>
      </c>
      <c r="EU406" s="6">
        <v>1990</v>
      </c>
      <c r="EV406" s="6">
        <v>0</v>
      </c>
      <c r="EW406" s="6">
        <v>1990</v>
      </c>
      <c r="EX406" s="6">
        <v>0</v>
      </c>
      <c r="EY406" s="6">
        <v>2703.3331214024311</v>
      </c>
      <c r="EZ406" s="6">
        <v>742</v>
      </c>
      <c r="FA406" s="6">
        <v>0</v>
      </c>
      <c r="FB406" s="6">
        <v>0</v>
      </c>
      <c r="FC406" s="6">
        <v>0</v>
      </c>
      <c r="FD406" s="6">
        <v>0</v>
      </c>
      <c r="FE406" s="6">
        <v>0</v>
      </c>
      <c r="FF406" s="6">
        <v>0</v>
      </c>
      <c r="FG406" s="6">
        <v>0</v>
      </c>
      <c r="FH406" s="6">
        <v>1169.7982959109779</v>
      </c>
      <c r="FI406" s="6">
        <v>1553.9796069512406</v>
      </c>
      <c r="FJ406" s="6">
        <v>2101.2110117447405</v>
      </c>
      <c r="FK406" s="6">
        <v>1772.7139978623227</v>
      </c>
      <c r="FL406" s="6">
        <v>907.07682140966358</v>
      </c>
      <c r="FM406" s="6">
        <v>1713.3331214024311</v>
      </c>
      <c r="FN406" s="6">
        <v>0</v>
      </c>
      <c r="FO406" s="6">
        <v>0</v>
      </c>
      <c r="FP406" s="6">
        <v>0</v>
      </c>
      <c r="FQ406" s="6">
        <v>0</v>
      </c>
      <c r="FR406" s="6">
        <v>0</v>
      </c>
      <c r="FS406" s="6">
        <v>0</v>
      </c>
      <c r="FT406" s="7">
        <v>0.9045186269025649</v>
      </c>
      <c r="FU406" s="7">
        <v>4.3191679771199247E-2</v>
      </c>
      <c r="FV406" s="7">
        <v>5.2289693326235731E-2</v>
      </c>
      <c r="FW406" s="6">
        <v>1990.0000000000002</v>
      </c>
      <c r="FX406" s="6">
        <v>2703.3331214024311</v>
      </c>
      <c r="FY406" s="6">
        <v>742</v>
      </c>
      <c r="FZ406" s="6">
        <v>1949.5716051445115</v>
      </c>
      <c r="GA406" s="6">
        <v>1955.5525184786616</v>
      </c>
      <c r="GB406" s="6">
        <v>18029.44748152134</v>
      </c>
      <c r="GC406" s="7">
        <v>3.3872851927908169E-2</v>
      </c>
      <c r="GD406" s="7">
        <v>3.4453986893564763E-2</v>
      </c>
      <c r="GE406" s="7"/>
      <c r="GF406" s="7"/>
      <c r="GG406" s="7">
        <v>1.7156363653507152E-2</v>
      </c>
      <c r="GH406" s="42">
        <v>57.327352606433664</v>
      </c>
      <c r="GI406" s="6">
        <v>2304.1644653306635</v>
      </c>
      <c r="GJ406" s="14">
        <v>0.50394797582841733</v>
      </c>
      <c r="GK406" s="14">
        <v>0.5088757306530971</v>
      </c>
      <c r="GL406" s="14">
        <v>0.49605202417158267</v>
      </c>
      <c r="GM406" s="14">
        <v>0.49112426934690256</v>
      </c>
      <c r="GO406" s="5">
        <v>343.14810671672558</v>
      </c>
      <c r="GP406" s="5">
        <v>305.18270308809946</v>
      </c>
      <c r="GQ406" s="5">
        <v>535.04305713031317</v>
      </c>
      <c r="GR406" s="5">
        <v>410.15490233172511</v>
      </c>
      <c r="GS406" s="5">
        <v>339.42744393800166</v>
      </c>
      <c r="GT406" s="5">
        <v>293.4407446948278</v>
      </c>
      <c r="GU406" s="5">
        <v>258.04012322764959</v>
      </c>
      <c r="GV406" s="39" t="s">
        <v>392</v>
      </c>
      <c r="GW406" s="5">
        <v>472.125</v>
      </c>
      <c r="GX406" s="5">
        <v>354.09375</v>
      </c>
      <c r="GY406" s="5">
        <v>283.27499999999998</v>
      </c>
      <c r="GZ406" s="5">
        <v>249.96029431532082</v>
      </c>
      <c r="HA406" s="5">
        <v>231.54031211135592</v>
      </c>
      <c r="HB406" s="39">
        <v>260.98215768857443</v>
      </c>
      <c r="HC406" s="5">
        <v>254.82187499999998</v>
      </c>
      <c r="HD406" s="5">
        <v>217.64844663742687</v>
      </c>
      <c r="HE406" s="5">
        <v>220.39139254385964</v>
      </c>
      <c r="HF406" s="5">
        <v>203.75000548245612</v>
      </c>
      <c r="HG406" s="5">
        <v>196.40971491228066</v>
      </c>
      <c r="HH406" s="39">
        <v>217.70088668350456</v>
      </c>
      <c r="HI406" s="16"/>
      <c r="HJ406" s="19" t="str">
        <f t="shared" si="1163"/>
        <v>On</v>
      </c>
      <c r="HK406" s="1" t="str">
        <f t="shared" si="1163"/>
        <v>On</v>
      </c>
      <c r="HL406" s="16"/>
      <c r="HM406" s="639">
        <f t="shared" si="1110"/>
        <v>2.9403358434788716E-2</v>
      </c>
      <c r="HN406" s="639">
        <f t="shared" si="1111"/>
        <v>1.4106809950923669E-3</v>
      </c>
      <c r="HO406" s="639">
        <f t="shared" si="1112"/>
        <v>1.7317923025048877E-3</v>
      </c>
      <c r="HP406" s="644">
        <f>(FT406*$GD406-HM406)/$JF406*INDEX(Input!$1:$1048576,$JG$93,$C406*2+6)</f>
        <v>126.01213762580049</v>
      </c>
      <c r="HQ406" s="644">
        <f>(FU406*$GD406-HN406)/$JF406*INDEX(Input!$1:$1048576,$JG$93,$C406*2+6)</f>
        <v>5.5419819510822075</v>
      </c>
      <c r="HR406" s="644">
        <f>(FV406*$GD406-HO406)/$JF406*INDEX(Input!$1:$1048576,$JG$93,$C406*2+6)</f>
        <v>4.9946528412803275</v>
      </c>
      <c r="HS406" s="644">
        <f t="shared" si="1113"/>
        <v>-65.655429846352462</v>
      </c>
      <c r="HT406" s="644">
        <f t="shared" si="1114"/>
        <v>80.068666422642565</v>
      </c>
      <c r="HU406" s="644">
        <f t="shared" si="1115"/>
        <v>11.522529665443376</v>
      </c>
      <c r="HV406" s="648">
        <f t="shared" si="1116"/>
        <v>0</v>
      </c>
      <c r="HW406" s="648">
        <f t="shared" si="1117"/>
        <v>0</v>
      </c>
      <c r="HX406" s="648">
        <f t="shared" si="1118"/>
        <v>0</v>
      </c>
      <c r="HY406" s="644">
        <f>INDEX(Input!$1:$1048576,HY$93,$C406*2+6)*INDEX(Input!$1:$1048576,$JG$93,$C406*2+6)</f>
        <v>993</v>
      </c>
      <c r="HZ406" s="644">
        <f>INDEX(Input!$1:$1048576,HZ$93,$C406*2+6)*INDEX(Input!$1:$1048576,$JG$93,$C406*2+6)</f>
        <v>1216</v>
      </c>
      <c r="IA406" s="644">
        <f>INDEX(Input!$1:$1048576,IA$93,$C406*2+6)*INDEX(Input!$1:$1048576,$JG$93,$C406*2+6)</f>
        <v>120</v>
      </c>
      <c r="IB406" s="644">
        <f t="shared" si="1142"/>
        <v>1053.356707779448</v>
      </c>
      <c r="IC406" s="644">
        <f t="shared" si="1143"/>
        <v>1301.6106483737246</v>
      </c>
      <c r="ID406" s="644">
        <f>IF(AND(INDEX(Input!$1:$1048576,IA$93,$C406*2+7)="TOS",Y406&lt;=INDEX(Y:Y,MATCH(C406*1000+2,A:A))),0,1)*MAX(IA406+HR406+HU406+HX406,0%)</f>
        <v>136.51718250672371</v>
      </c>
      <c r="IE406" s="128">
        <f t="shared" si="1174"/>
        <v>0.42278275920829944</v>
      </c>
      <c r="IF406" s="128">
        <f t="shared" si="1165"/>
        <v>0.52242373098322603</v>
      </c>
      <c r="IG406" s="128">
        <f t="shared" si="1120"/>
        <v>5.4793509808474548E-2</v>
      </c>
      <c r="IH406" s="21"/>
      <c r="II406" s="19">
        <f t="shared" si="1121"/>
        <v>1490</v>
      </c>
      <c r="IJ406" s="19">
        <f t="shared" si="1122"/>
        <v>2203.2561351629856</v>
      </c>
      <c r="IK406" s="19">
        <f t="shared" si="1123"/>
        <v>242</v>
      </c>
      <c r="IL406" s="19">
        <f t="shared" si="1145"/>
        <v>500.00000000000023</v>
      </c>
      <c r="IM406" s="19">
        <f t="shared" si="1124"/>
        <v>500.07698623944543</v>
      </c>
      <c r="IN406" s="19">
        <f t="shared" si="1125"/>
        <v>500</v>
      </c>
      <c r="IO406" s="39">
        <f t="shared" si="1126"/>
        <v>0</v>
      </c>
      <c r="IP406" s="39">
        <f t="shared" si="1127"/>
        <v>0</v>
      </c>
      <c r="IQ406" s="39">
        <f t="shared" si="1128"/>
        <v>0</v>
      </c>
      <c r="IR406" s="39">
        <v>0</v>
      </c>
      <c r="IS406" s="39">
        <v>0</v>
      </c>
      <c r="IT406" s="39">
        <v>0</v>
      </c>
      <c r="IU406" s="39">
        <v>0</v>
      </c>
      <c r="IV406" s="39">
        <v>0</v>
      </c>
      <c r="IW406" s="39">
        <v>0</v>
      </c>
      <c r="IX406" s="39">
        <f>INDEX(Input!$1:$1048576,IX$93,$C406*2+6)+INDEX(Input!$1:$1048576,IX$94,$C406*2+6)</f>
        <v>1770</v>
      </c>
      <c r="IY406" s="39">
        <f>INDEX(Input!$1:$1048576,IY$93,$C406*2+6)+INDEX(Input!$1:$1048576,IY$94,$C406*2+6)</f>
        <v>2630.0624533823611</v>
      </c>
      <c r="IZ406" s="39">
        <f>INDEX(Input!$1:$1048576,IZ$93,$C406*2+6)+INDEX(Input!$1:$1048576,IZ$94,$C406*2+6)</f>
        <v>4153.7164157747848</v>
      </c>
      <c r="JA406" s="19">
        <f t="shared" si="1146"/>
        <v>2270</v>
      </c>
      <c r="JB406" s="19">
        <f t="shared" si="1147"/>
        <v>3130.1394396218066</v>
      </c>
      <c r="JC406" s="19">
        <f t="shared" si="1148"/>
        <v>4653.7164157747848</v>
      </c>
      <c r="JD406" s="19">
        <f t="shared" si="1149"/>
        <v>2849.969444021423</v>
      </c>
      <c r="JE406" s="21"/>
      <c r="JF406" s="1">
        <f t="shared" si="1129"/>
        <v>3.2545831732385969E-2</v>
      </c>
      <c r="JG406" s="15">
        <f>INDEX(Input!$1:$1048576,JG$93,$C406*2+6)/(1+VLOOKUP(C406*1000+INDEX(Input!$1:$1048576,JG$93+1,$C406*2+6),$A:$KK,$JK$92,FALSE))</f>
        <v>2329</v>
      </c>
      <c r="JH406" s="1">
        <f t="shared" si="1150"/>
        <v>5.8629786353869909E-2</v>
      </c>
      <c r="JI406" s="1">
        <f t="shared" si="1151"/>
        <v>1.1136009549907032E-2</v>
      </c>
      <c r="JJ406" s="1">
        <f t="shared" si="1152"/>
        <v>0</v>
      </c>
      <c r="JK406" s="1">
        <f t="shared" ref="JK406:JK407" si="1176">SUM(JH406:JJ406)</f>
        <v>6.9765795903776934E-2</v>
      </c>
      <c r="JL406" s="15">
        <f t="shared" si="1154"/>
        <v>162.48453865989649</v>
      </c>
      <c r="JM406" s="15">
        <f>JG406+JL406</f>
        <v>2491.4845386598963</v>
      </c>
      <c r="JN406" s="21"/>
      <c r="JO406" s="19">
        <f>INDEX(Input!$1:$1048576,JO$93,$C406*2+6)</f>
        <v>5995.5</v>
      </c>
      <c r="JP406" s="19">
        <f>INDEX(Input!$1:$1048576,JP$93,$C406*2+6)</f>
        <v>2341.8685758720158</v>
      </c>
      <c r="JQ406" s="39">
        <f t="shared" si="1166"/>
        <v>3145.530555978577</v>
      </c>
      <c r="JR406" s="39">
        <f>JD406-JP406</f>
        <v>508.10086814940723</v>
      </c>
      <c r="JS406" s="39">
        <f t="shared" si="1168"/>
        <v>7.1006548054325158</v>
      </c>
      <c r="JT406" s="39">
        <f t="shared" si="1156"/>
        <v>1.6464428922265917</v>
      </c>
      <c r="JU406" s="385">
        <f>(JQ406*JM406-INDEX(Input!$1:$1048576,Input!A$18,$C406*2+6)*JL406*INDEX(Input!$1:$1048576,Input!A$19,$C406*2+6))/1000000</f>
        <v>7.8370407461028915</v>
      </c>
      <c r="JV406" s="39">
        <f t="shared" si="1132"/>
        <v>-0.67226684069118292</v>
      </c>
      <c r="JW406" s="1">
        <f>JV406/(JU406-JV406)</f>
        <v>-7.9003706686370107E-2</v>
      </c>
      <c r="JX406" s="19">
        <f t="shared" si="1172"/>
        <v>10132.920373875288</v>
      </c>
      <c r="JZ406" s="468">
        <f>DB406-DB401</f>
        <v>500</v>
      </c>
      <c r="KA406" s="469">
        <f>JH406/(JZ406/BX406)</f>
        <v>2.3434325605641804</v>
      </c>
      <c r="KB406" s="469">
        <f t="shared" si="1169"/>
        <v>2.3434325605641804</v>
      </c>
      <c r="KI406" s="473">
        <f t="shared" si="1170"/>
        <v>60.356707779448016</v>
      </c>
      <c r="KJ406" s="473">
        <f t="shared" si="1157"/>
        <v>85.610648373724644</v>
      </c>
      <c r="KK406" s="473">
        <f t="shared" si="1158"/>
        <v>16.517182506723714</v>
      </c>
      <c r="KN406" s="544">
        <f t="shared" si="1173"/>
        <v>4002</v>
      </c>
      <c r="KO406" s="541">
        <f t="shared" si="1133"/>
        <v>3.012999376561365E-2</v>
      </c>
      <c r="KP406" s="546">
        <f t="shared" si="1134"/>
        <v>220.83757835829039</v>
      </c>
      <c r="KQ406" s="546">
        <f t="shared" si="1135"/>
        <v>225.19825598540183</v>
      </c>
      <c r="KR406" s="548">
        <f t="shared" si="1136"/>
        <v>2.3685442928806006</v>
      </c>
      <c r="KS406" s="548">
        <f t="shared" si="1137"/>
        <v>2.3226804469924849</v>
      </c>
      <c r="KT406" s="473">
        <f t="shared" si="1171"/>
        <v>1580.0986321700548</v>
      </c>
      <c r="KU406" s="663">
        <f t="shared" si="1159"/>
        <v>4.0446663736314568</v>
      </c>
      <c r="KV406" s="117"/>
    </row>
    <row r="407" spans="1:310" s="26" customFormat="1" ht="15">
      <c r="A407" s="561">
        <f t="shared" si="1138"/>
        <v>4007</v>
      </c>
      <c r="B407" s="561">
        <f t="shared" si="1160"/>
        <v>7</v>
      </c>
      <c r="C407" s="561">
        <f t="shared" si="1161"/>
        <v>4</v>
      </c>
      <c r="D407" s="561" t="s">
        <v>634</v>
      </c>
      <c r="E407" s="475">
        <f>INDEX(Input!$1:$1048576,E$93,$C407*2+MIN($B407,1)+5)</f>
        <v>1000</v>
      </c>
      <c r="F407" s="475">
        <f>INDEX(Input!$1:$1048576,F$93,$C407*2+MIN($B407,1)+5)</f>
        <v>0</v>
      </c>
      <c r="G407" s="475">
        <f>INDEX(Input!$1:$1048576,G$93,$C407*2+MIN($B407,1)+5)</f>
        <v>0</v>
      </c>
      <c r="H407" s="475">
        <f>INDEX(Input!$1:$1048576,H$93,$C407*2+MIN($B407,1)+5)</f>
        <v>0</v>
      </c>
      <c r="I407" s="476">
        <f>INDEX(Input!$1:$1048576,I$93,$C407*2+MIN($B407,1)+5)</f>
        <v>0.7</v>
      </c>
      <c r="J407" s="476" t="str">
        <f>INDEX(Input!$1:$1048576,J$93,$C407*2+MIN($B407,1)+5)</f>
        <v>Market</v>
      </c>
      <c r="K407" s="476" t="str">
        <f>INDEX(Input!$1:$1048576,K$93,$C407*2+MIN($B407,1)+5)</f>
        <v>Market</v>
      </c>
      <c r="L407" s="476" t="str">
        <f>INDEX(Input!$1:$1048576,L$93,$C407*2+MIN($B407,1)+5)</f>
        <v>Market</v>
      </c>
      <c r="M407" s="476" t="str">
        <f>INDEX(Input!$1:$1048576,M$93,$C407*2+MIN($B407,1)+5)</f>
        <v>Market</v>
      </c>
      <c r="N407" s="476" t="str">
        <f>INDEX(Input!$1:$1048576,N$93,$C407*2+MIN($B407,1)+5)</f>
        <v>Market</v>
      </c>
      <c r="O407" s="476" t="str">
        <f>INDEX(Input!$1:$1048576,O$93,$C407*2+MIN($B407,1)+5)</f>
        <v>Market</v>
      </c>
      <c r="P407" s="476" t="str">
        <f>INDEX(Input!$1:$1048576,P$93,$C407*2+MIN($B407,1)+5)</f>
        <v>N</v>
      </c>
      <c r="Q407" s="477">
        <f>INDEX(Input!$1:$1048576,Q$93,$C407*2+MIN($B407,1)+5)</f>
        <v>0</v>
      </c>
      <c r="R407" s="478">
        <f>IFERROR(MAX(0,INDEX(Input!$1:$1048576,R$93,$C407*2+MIN($B407,1)+5)-0%),"Market")</f>
        <v>0</v>
      </c>
      <c r="S407" s="478">
        <f>IFERROR(MAX(0,INDEX(Input!$1:$1048576,S$93,$C407*2+MIN($B407,1)+5)-0%),"Market")</f>
        <v>0</v>
      </c>
      <c r="T407" s="478">
        <f>IFERROR(MAX(0,INDEX(Input!$1:$1048576,T$93,$C407*2+MIN($B407,1)+5)-0%),"Market")</f>
        <v>0</v>
      </c>
      <c r="U407" s="478">
        <f>IFERROR(MAX(0,INDEX(Input!$1:$1048576,U$93,$C407*2+MIN($B407,1)+5)-0%),"Market")</f>
        <v>0</v>
      </c>
      <c r="V407" s="478">
        <f>IFERROR(MAX(0,INDEX(Input!$1:$1048576,V$93,$C407*2+MIN($B407,1)+5)-0%),"Market")</f>
        <v>1.9E-2</v>
      </c>
      <c r="W407" s="885">
        <f>IFERROR(MAX(0,INDEX(Input!$1:$1048576,W$93,$C407*2+MIN($B407,1)+5)-0%),"Market")</f>
        <v>3.9E-2</v>
      </c>
      <c r="X407" s="476" t="str">
        <f>INDEX(Input!$1:$1048576,X$93,$C407*2+MIN($B407,1)+5)</f>
        <v>Y</v>
      </c>
      <c r="Y407" s="475">
        <f>INDEX(Input!$1:$1048576,Y$93,$C407*2+MIN($B407,1)+5)</f>
        <v>-73</v>
      </c>
      <c r="Z407" s="477">
        <f>INDEX(Input!$1:$1048576,Z$93,$C407*2+MIN($B407,1)+5)</f>
        <v>0</v>
      </c>
      <c r="AA407" s="475">
        <f>INDEX(Input!$1:$1048576,AA$93,$C407*2+MIN($B407,1)+5)</f>
        <v>1000</v>
      </c>
      <c r="AB407" s="476">
        <f>INDEX(Input!$1:$1048576,AB$93,$C407*2+MIN($B407,1)+5)</f>
        <v>0.27</v>
      </c>
      <c r="AC407" s="475">
        <f>INDEX(Input!$1:$1048576,AC$93,$C407*2+MIN($B407,1)+5)</f>
        <v>1000</v>
      </c>
      <c r="AD407" s="476">
        <f>INDEX(Input!$1:$1048576,AD$93,$C407*2+MIN($B407,1)+5)</f>
        <v>0.27</v>
      </c>
      <c r="AE407" s="475">
        <f>INDEX(Input!$1:$1048576,AE$93,$C407*2+MIN($B407,1)+5)</f>
        <v>500</v>
      </c>
      <c r="AF407" s="476">
        <f>INDEX(Input!$1:$1048576,AF$93,$C407*2+MIN($B407,1)+5)</f>
        <v>1</v>
      </c>
      <c r="AG407" s="475">
        <f>INDEX(Input!$1:$1048576,AG$93,$C407*2+MIN($B407,1)+5)</f>
        <v>0</v>
      </c>
      <c r="AH407" s="476">
        <f>INDEX(Input!$1:$1048576,AH$93,$C407*2+MIN($B407,1)+5)</f>
        <v>0.83199999999999996</v>
      </c>
      <c r="AI407" s="475">
        <f>INDEX(Input!$1:$1048576,AI$93,$C407*2+MIN($B407,1)+5)</f>
        <v>0</v>
      </c>
      <c r="AJ407" s="476">
        <f>INDEX(Input!$1:$1048576,AJ$93,$C407*2+MIN($B407,1)+5)</f>
        <v>0.27</v>
      </c>
      <c r="AK407" s="150">
        <f>ROUND(INDEX(Input!$1:$1048576,AK$93,$C406*2+MIN($B407,1)+5)+(Y407-VLOOKUP($C407*1000+1,$A:$HH,Y$92,FALSE)),0)</f>
        <v>3384</v>
      </c>
      <c r="AL407" s="150">
        <f>ROUND(INDEX(Input!$1:$1048576,AL$93,$C406*2+MIN($B407,1)+5)-(Y407-VLOOKUP($C407*1000+1,$A:$HH,Y$92,FALSE))/36,0)</f>
        <v>3384</v>
      </c>
      <c r="AM407" s="32" t="str">
        <f t="shared" si="1139"/>
        <v>std/std/std/std</v>
      </c>
      <c r="AN407" s="32" t="str">
        <f t="shared" si="1140"/>
        <v>$0 + 0/0/0/1.9/3.9</v>
      </c>
      <c r="AO407" s="32" t="str">
        <f t="shared" si="1141"/>
        <v>0/0/0/1.9/3.9</v>
      </c>
      <c r="AP407" s="32" t="str">
        <f t="shared" si="993"/>
        <v>0/0.9/1.9/3.9</v>
      </c>
      <c r="AQ407" s="536">
        <f t="shared" si="992"/>
        <v>770.42636324602836</v>
      </c>
      <c r="AR407" s="32"/>
      <c r="AS407" s="302"/>
      <c r="AT407" s="3">
        <f t="shared" si="1162"/>
        <v>7</v>
      </c>
      <c r="AU407" s="41" t="s">
        <v>121</v>
      </c>
      <c r="AV407" s="41" t="s">
        <v>116</v>
      </c>
      <c r="AW407" s="41" t="str">
        <f>INDEX(Input!$1:$1048576,AW$93,$C407*2+6)</f>
        <v>Kia</v>
      </c>
      <c r="AX407" s="41" t="str">
        <f>INDEX(Input!$1:$1048576,AX$93,$C407*2+6)</f>
        <v>Kia-LR - R1</v>
      </c>
      <c r="AY407" s="41" t="str">
        <f>IF(LEN(D407)=0,"",INDEX(Input!$1:$1048576,AY$93,$C407*2+6))</f>
        <v>Compact SUV (52)</v>
      </c>
      <c r="AZ407" s="41" t="str">
        <f>INDEX(Input!$1:$1048576,AZ$93,$C407*2+6)</f>
        <v>Kia Soul</v>
      </c>
      <c r="BA407" s="3">
        <f>INDEX(Input!$1:$1048576,BA$93,$C407*2+6)</f>
        <v>2020</v>
      </c>
      <c r="BB407" s="128">
        <f>INDEX(Input!$1:$1048576,BB$93,$C407*2+6)</f>
        <v>1</v>
      </c>
      <c r="BC407" s="128">
        <f>INDEX(Input!$1:$1048576,BC$93,$C407*2+6)</f>
        <v>0.7</v>
      </c>
      <c r="BD407" s="1">
        <f>INDEX(Input!$1:$1048576,BD$93,$C407*2+6)</f>
        <v>4.4999999999999998E-2</v>
      </c>
      <c r="BE407" s="1">
        <f>INDEX(Input!$1:$1048576,BE$93,$C407*2+6)</f>
        <v>4.4999999999999998E-2</v>
      </c>
      <c r="BF407" s="1">
        <f>INDEX(Input!$1:$1048576,BF$93,$C407*2+6)</f>
        <v>0.05</v>
      </c>
      <c r="BG407" s="1">
        <f>INDEX(Input!$1:$1048576,BG$93,$C407*2+6)</f>
        <v>5.45E-2</v>
      </c>
      <c r="BH407" s="1">
        <f>INDEX(Input!$1:$1048576,BH$93,$C407*2+6)</f>
        <v>5.45E-2</v>
      </c>
      <c r="BI407" s="1">
        <f>INDEX(Input!$1:$1048576,BI$93,$C407*2+6)</f>
        <v>0.05</v>
      </c>
      <c r="BJ407" s="1">
        <f>INDEX(Input!$1:$1048576,BJ$93,$C407*2+6)</f>
        <v>0.05</v>
      </c>
      <c r="BK407" s="1">
        <f>INDEX(Input!$1:$1048576,BK$93,$C407*2+6)</f>
        <v>0.05</v>
      </c>
      <c r="BL407" s="1">
        <f>INDEX(Input!$1:$1048576,BL$93,$C407*2+6)</f>
        <v>5.5E-2</v>
      </c>
      <c r="BM407" s="1">
        <f>INDEX(Input!$1:$1048576,BM$93,$C407*2+6)</f>
        <v>0.06</v>
      </c>
      <c r="BN407" s="1">
        <f>INDEX(Input!$1:$1048576,BN$93,$C407*2+6)</f>
        <v>4.4999999999999998E-2</v>
      </c>
      <c r="BO407" s="1">
        <f>INDEX(Input!$1:$1048576,BO$93,$C407*2+6)</f>
        <v>4.4999999999999998E-2</v>
      </c>
      <c r="BP407" s="1">
        <f>INDEX(Input!$1:$1048576,BP$93,$C407*2+6)</f>
        <v>0.05</v>
      </c>
      <c r="BQ407" s="1">
        <f>INDEX(Input!$1:$1048576,BQ$93,$C407*2+6)</f>
        <v>5.45E-2</v>
      </c>
      <c r="BR407" s="1">
        <f>INDEX(Input!$1:$1048576,BR$93,$C407*2+6)</f>
        <v>5.45E-2</v>
      </c>
      <c r="BS407" s="1">
        <f>INDEX(Input!$1:$1048576,BS$93,$C407*2+6)</f>
        <v>0.05</v>
      </c>
      <c r="BT407" s="1">
        <f>INDEX(Input!$1:$1048576,BT$93,$C407*2+6)</f>
        <v>0.05</v>
      </c>
      <c r="BU407" s="1">
        <f>INDEX(Input!$1:$1048576,BU$93,$C407*2+6)</f>
        <v>0.05</v>
      </c>
      <c r="BV407" s="1">
        <f>INDEX(Input!$1:$1048576,BV$93,$C407*2+6)</f>
        <v>5.5E-2</v>
      </c>
      <c r="BW407" s="1">
        <f>INDEX(Input!$1:$1048576,BW$93,$C407*2+6)</f>
        <v>0.06</v>
      </c>
      <c r="BX407" s="127">
        <f>INDEX(Input!$1:$1048576,BX$93,$C407*2+6)</f>
        <v>19985</v>
      </c>
      <c r="BY407" s="20">
        <f>INDEX(Input!$1:$1048576,BY$93,$C407*2+6)</f>
        <v>0.1</v>
      </c>
      <c r="BZ407" s="20">
        <f>INDEX(Input!$1:$1048576,BZ$93,$C407*2+6)</f>
        <v>0.1</v>
      </c>
      <c r="CA407" s="20">
        <f>INDEX(Input!$1:$1048576,CA$93,$C407*2+6)</f>
        <v>0.1</v>
      </c>
      <c r="CB407" s="20">
        <f>INDEX(Input!$1:$1048576,CB$93,$C407*2+6)</f>
        <v>0.1</v>
      </c>
      <c r="CC407" s="20">
        <f>INDEX(Input!$1:$1048576,CC$93,$C407*2+6)</f>
        <v>0.1</v>
      </c>
      <c r="CD407" s="384">
        <f>INDEX(Input!$1:$1048576,CD$93,$C407*2+6)</f>
        <v>0.1</v>
      </c>
      <c r="CE407" s="384">
        <f>INDEX(Input!$1:$1048576,CE$93,$C407*2+6)</f>
        <v>0.1</v>
      </c>
      <c r="CF407" s="384">
        <f>INDEX(Input!$1:$1048576,CF$93,$C407*2+6)</f>
        <v>0.1</v>
      </c>
      <c r="CG407" s="384">
        <f>INDEX(Input!$1:$1048576,CG$93,$C407*2+6)</f>
        <v>0.1</v>
      </c>
      <c r="CH407" s="384">
        <f>INDEX(Input!$1:$1048576,CH$93,$C407*2+6)</f>
        <v>0.1</v>
      </c>
      <c r="CI407" s="304">
        <f t="shared" si="994"/>
        <v>1270</v>
      </c>
      <c r="CJ407" s="16" t="str">
        <f>INDEX(Input!$1:$1048576,CJ$93,$C407*2+6)</f>
        <v>N</v>
      </c>
      <c r="CK407" s="1" t="str">
        <f t="shared" si="995"/>
        <v>Market</v>
      </c>
      <c r="CL407" s="1" t="str">
        <f t="shared" si="996"/>
        <v>Market</v>
      </c>
      <c r="CM407" s="1" t="str">
        <f t="shared" si="997"/>
        <v>Market</v>
      </c>
      <c r="CN407" s="1" t="str">
        <f t="shared" si="998"/>
        <v>Market</v>
      </c>
      <c r="CO407" s="1" t="str">
        <f t="shared" si="999"/>
        <v>Market</v>
      </c>
      <c r="CP407" s="304">
        <f t="shared" si="1000"/>
        <v>0</v>
      </c>
      <c r="CQ407" s="1">
        <f t="shared" si="1001"/>
        <v>0</v>
      </c>
      <c r="CR407" s="1">
        <f t="shared" si="1002"/>
        <v>0</v>
      </c>
      <c r="CS407" s="1">
        <f t="shared" si="1003"/>
        <v>0</v>
      </c>
      <c r="CT407" s="1">
        <f t="shared" si="1004"/>
        <v>1.9E-2</v>
      </c>
      <c r="CU407" s="1">
        <f t="shared" si="1005"/>
        <v>3.9E-2</v>
      </c>
      <c r="CV407" s="304">
        <f t="shared" si="1006"/>
        <v>197</v>
      </c>
      <c r="CW407" s="20" t="s">
        <v>122</v>
      </c>
      <c r="CX407" s="20" t="s">
        <v>122</v>
      </c>
      <c r="CY407" s="20" t="s">
        <v>122</v>
      </c>
      <c r="CZ407" s="20" t="s">
        <v>122</v>
      </c>
      <c r="DA407" s="20" t="s">
        <v>122</v>
      </c>
      <c r="DB407" s="503">
        <f t="shared" si="1007"/>
        <v>500</v>
      </c>
      <c r="DC407" s="127">
        <v>0</v>
      </c>
      <c r="DD407" s="127">
        <v>0</v>
      </c>
      <c r="DE407" s="127">
        <v>0</v>
      </c>
      <c r="DF407" s="127">
        <v>0</v>
      </c>
      <c r="DG407" s="127">
        <v>0</v>
      </c>
      <c r="DH407" s="127">
        <v>0</v>
      </c>
      <c r="DI407" s="127">
        <v>0</v>
      </c>
      <c r="DJ407" s="127">
        <v>0</v>
      </c>
      <c r="DK407" s="127">
        <v>0</v>
      </c>
      <c r="DL407" s="127">
        <v>0</v>
      </c>
      <c r="DM407" s="304">
        <f>INDEX(Input!$1:$1048576,DM$93,$C407*2+6)</f>
        <v>21036.84210526316</v>
      </c>
      <c r="DN407" s="20">
        <v>0</v>
      </c>
      <c r="DO407" s="20">
        <v>0</v>
      </c>
      <c r="DP407" s="20">
        <v>0</v>
      </c>
      <c r="DQ407" s="20">
        <v>0</v>
      </c>
      <c r="DR407" s="20">
        <v>0</v>
      </c>
      <c r="DS407" s="20">
        <f>INDEX(Input!$1:$1048576,DS$93,$C407*2+6)</f>
        <v>0.6</v>
      </c>
      <c r="DT407" s="20">
        <f>INDEX(Input!$1:$1048576,DT$93,$C407*2+6)</f>
        <v>0.55000000000000004</v>
      </c>
      <c r="DU407" s="20">
        <f>INDEX(Input!$1:$1048576,DU$93,$C407*2+6)</f>
        <v>0.52</v>
      </c>
      <c r="DV407" s="20">
        <f>INDEX(Input!$1:$1048576,DV$93,$C407*2+6)</f>
        <v>0.5</v>
      </c>
      <c r="DW407" s="20">
        <f>INDEX(Input!$1:$1048576,DW$93,$C407*2+6)</f>
        <v>0.45</v>
      </c>
      <c r="DX407" s="20"/>
      <c r="DY407" s="7">
        <v>0.10035321407922697</v>
      </c>
      <c r="DZ407" s="7">
        <v>0</v>
      </c>
      <c r="EA407" s="7">
        <v>0.80309146284785815</v>
      </c>
      <c r="EB407" s="7">
        <v>0</v>
      </c>
      <c r="EC407" s="7">
        <v>0</v>
      </c>
      <c r="ED407" s="7">
        <v>0</v>
      </c>
      <c r="EE407" s="7">
        <v>0</v>
      </c>
      <c r="EF407" s="7">
        <v>0</v>
      </c>
      <c r="EG407" s="7">
        <v>0</v>
      </c>
      <c r="EH407" s="7">
        <v>1.2260048418014225E-2</v>
      </c>
      <c r="EI407" s="7">
        <v>3.2022749539880227E-2</v>
      </c>
      <c r="EJ407" s="7">
        <v>0.22481841951500101</v>
      </c>
      <c r="EK407" s="7">
        <v>0.59352737256710786</v>
      </c>
      <c r="EL407" s="7">
        <v>0.13737140995999655</v>
      </c>
      <c r="EM407" s="7">
        <v>4.3344444434296484E-2</v>
      </c>
      <c r="EN407" s="7">
        <v>4.9698879596091677E-2</v>
      </c>
      <c r="EO407" s="7">
        <v>0.70433894802748287</v>
      </c>
      <c r="EP407" s="7">
        <v>0.10665976432111687</v>
      </c>
      <c r="EQ407" s="7">
        <v>9.3690597052850932E-2</v>
      </c>
      <c r="ER407" s="7">
        <v>4.5611811002457432E-2</v>
      </c>
      <c r="ES407" s="7">
        <v>5.3210878638618467E-2</v>
      </c>
      <c r="ET407" s="7">
        <v>9.6555323072914978E-2</v>
      </c>
      <c r="EU407" s="6">
        <v>1490</v>
      </c>
      <c r="EV407" s="6">
        <v>0</v>
      </c>
      <c r="EW407" s="6">
        <v>1490</v>
      </c>
      <c r="EX407" s="6">
        <v>0</v>
      </c>
      <c r="EY407" s="6">
        <v>2203.2561351629856</v>
      </c>
      <c r="EZ407" s="6">
        <v>242</v>
      </c>
      <c r="FA407" s="6">
        <v>0</v>
      </c>
      <c r="FB407" s="6">
        <v>0</v>
      </c>
      <c r="FC407" s="6">
        <v>0</v>
      </c>
      <c r="FD407" s="6">
        <v>0</v>
      </c>
      <c r="FE407" s="6">
        <v>0</v>
      </c>
      <c r="FF407" s="6">
        <v>0</v>
      </c>
      <c r="FG407" s="6">
        <v>0</v>
      </c>
      <c r="FH407" s="6">
        <v>1169.7990774022464</v>
      </c>
      <c r="FI407" s="6">
        <v>1553.979606951239</v>
      </c>
      <c r="FJ407" s="6">
        <v>2101.2110117447419</v>
      </c>
      <c r="FK407" s="6">
        <v>1772.7139978623229</v>
      </c>
      <c r="FL407" s="6">
        <v>907.07682140966335</v>
      </c>
      <c r="FM407" s="6">
        <v>1713.2561351629859</v>
      </c>
      <c r="FN407" s="6">
        <v>0</v>
      </c>
      <c r="FO407" s="6">
        <v>0</v>
      </c>
      <c r="FP407" s="6">
        <v>0</v>
      </c>
      <c r="FQ407" s="6">
        <v>0</v>
      </c>
      <c r="FR407" s="6">
        <v>0</v>
      </c>
      <c r="FS407" s="6">
        <v>0</v>
      </c>
      <c r="FT407" s="7">
        <v>0.90344467692708508</v>
      </c>
      <c r="FU407" s="7">
        <v>4.3344444434296484E-2</v>
      </c>
      <c r="FV407" s="7">
        <v>5.3210878638618467E-2</v>
      </c>
      <c r="FW407" s="6">
        <v>1490</v>
      </c>
      <c r="FX407" s="6">
        <v>2203.2561351629856</v>
      </c>
      <c r="FY407" s="6">
        <v>242</v>
      </c>
      <c r="FZ407" s="6">
        <v>1949.5716051445115</v>
      </c>
      <c r="GA407" s="6">
        <v>1454.5085143769973</v>
      </c>
      <c r="GB407" s="6">
        <v>18530.491485623003</v>
      </c>
      <c r="GC407" s="7">
        <v>3.3872851927908169E-2</v>
      </c>
      <c r="GD407" s="7">
        <v>3.2545831732385969E-2</v>
      </c>
      <c r="GE407" s="7"/>
      <c r="GF407" s="7"/>
      <c r="GG407" s="7">
        <v>-3.917651216220315E-2</v>
      </c>
      <c r="GH407" s="42">
        <v>1.5815006413582673</v>
      </c>
      <c r="GI407" s="6">
        <v>14091.240664441721</v>
      </c>
      <c r="GJ407" s="14">
        <v>0.50394797582841688</v>
      </c>
      <c r="GK407" s="14">
        <v>0.50887573065309688</v>
      </c>
      <c r="GL407" s="14">
        <v>0.49605202417158256</v>
      </c>
      <c r="GM407" s="14">
        <v>0.49112426934690212</v>
      </c>
      <c r="GO407" s="5">
        <v>343.14810671672558</v>
      </c>
      <c r="GP407" s="5">
        <v>314.72174922594519</v>
      </c>
      <c r="GQ407" s="5">
        <v>535.04305713031317</v>
      </c>
      <c r="GR407" s="5">
        <v>410.15490233172511</v>
      </c>
      <c r="GS407" s="5">
        <v>339.42744393800166</v>
      </c>
      <c r="GT407" s="5">
        <v>293.4407446948278</v>
      </c>
      <c r="GU407" s="5">
        <v>258.04012322764959</v>
      </c>
      <c r="GV407" s="39" t="s">
        <v>392</v>
      </c>
      <c r="GW407" s="5">
        <v>486.01388888888891</v>
      </c>
      <c r="GX407" s="5">
        <v>364.51041666666669</v>
      </c>
      <c r="GY407" s="5">
        <v>291.60833333333335</v>
      </c>
      <c r="GZ407" s="5">
        <v>257.31358158962206</v>
      </c>
      <c r="HA407" s="5">
        <v>238.35172364053415</v>
      </c>
      <c r="HB407" s="39">
        <v>268.65547055421894</v>
      </c>
      <c r="HC407" s="5">
        <v>276.69687499999998</v>
      </c>
      <c r="HD407" s="5">
        <v>232.57900219298241</v>
      </c>
      <c r="HE407" s="5">
        <v>234.25357203103911</v>
      </c>
      <c r="HF407" s="5">
        <v>215.31250548245612</v>
      </c>
      <c r="HG407" s="5">
        <v>205.99304824561403</v>
      </c>
      <c r="HH407" s="39">
        <v>232.11987837333268</v>
      </c>
      <c r="HI407" s="16"/>
      <c r="HJ407" s="19" t="str">
        <f t="shared" si="1163"/>
        <v>On</v>
      </c>
      <c r="HK407" s="1" t="str">
        <f t="shared" si="1163"/>
        <v>On</v>
      </c>
      <c r="HL407" s="16"/>
      <c r="HM407" s="639">
        <f t="shared" si="1110"/>
        <v>2.9403358434788716E-2</v>
      </c>
      <c r="HN407" s="639">
        <f t="shared" si="1111"/>
        <v>1.4106809950923669E-3</v>
      </c>
      <c r="HO407" s="639">
        <f t="shared" si="1112"/>
        <v>1.7317923025048877E-3</v>
      </c>
      <c r="HP407" s="644">
        <f>(FT407*$GD407-HM407)/$JF407*INDEX(Input!$1:$1048576,$JG$93,$C407*2+6)</f>
        <v>0</v>
      </c>
      <c r="HQ407" s="644">
        <f>(FU407*$GD407-HN407)/$JF407*INDEX(Input!$1:$1048576,$JG$93,$C407*2+6)</f>
        <v>0</v>
      </c>
      <c r="HR407" s="644">
        <f>(FV407*$GD407-HO407)/$JF407*INDEX(Input!$1:$1048576,$JG$93,$C407*2+6)</f>
        <v>0</v>
      </c>
      <c r="HS407" s="644">
        <f t="shared" si="1113"/>
        <v>0</v>
      </c>
      <c r="HT407" s="644">
        <f t="shared" si="1114"/>
        <v>0</v>
      </c>
      <c r="HU407" s="644">
        <f t="shared" si="1115"/>
        <v>0</v>
      </c>
      <c r="HV407" s="648">
        <f t="shared" si="1116"/>
        <v>0</v>
      </c>
      <c r="HW407" s="648">
        <f t="shared" si="1117"/>
        <v>0</v>
      </c>
      <c r="HX407" s="648">
        <f t="shared" si="1118"/>
        <v>0</v>
      </c>
      <c r="HY407" s="644">
        <f>INDEX(Input!$1:$1048576,HY$93,$C407*2+6)*INDEX(Input!$1:$1048576,$JG$93,$C407*2+6)</f>
        <v>993</v>
      </c>
      <c r="HZ407" s="644">
        <f>INDEX(Input!$1:$1048576,HZ$93,$C407*2+6)*INDEX(Input!$1:$1048576,$JG$93,$C407*2+6)</f>
        <v>1216</v>
      </c>
      <c r="IA407" s="644">
        <f>INDEX(Input!$1:$1048576,IA$93,$C407*2+6)*INDEX(Input!$1:$1048576,$JG$93,$C407*2+6)</f>
        <v>120</v>
      </c>
      <c r="IB407" s="644">
        <f t="shared" si="1142"/>
        <v>993</v>
      </c>
      <c r="IC407" s="644">
        <f t="shared" si="1143"/>
        <v>1216</v>
      </c>
      <c r="ID407" s="644">
        <f>IF(AND(INDEX(Input!$1:$1048576,IA$93,$C407*2+7)="TOS",Y407&lt;=INDEX(Y:Y,MATCH(C407*1000+2,A:A))),0,1)*MAX(IA407+HR407+HU407+HX407,0%)</f>
        <v>120</v>
      </c>
      <c r="IE407" s="128">
        <f t="shared" ref="IE407" si="1177">IB407/SUM($IB407:$ID407)</f>
        <v>0.42636324602833836</v>
      </c>
      <c r="IF407" s="128">
        <f t="shared" si="1165"/>
        <v>0.52211249463288967</v>
      </c>
      <c r="IG407" s="128">
        <f t="shared" si="1120"/>
        <v>5.1524259338772006E-2</v>
      </c>
      <c r="IH407" s="21"/>
      <c r="II407" s="19">
        <f t="shared" si="1121"/>
        <v>1490</v>
      </c>
      <c r="IJ407" s="19">
        <f t="shared" si="1122"/>
        <v>2203.2561351629856</v>
      </c>
      <c r="IK407" s="19">
        <f t="shared" si="1123"/>
        <v>242</v>
      </c>
      <c r="IL407" s="19">
        <f t="shared" si="1145"/>
        <v>0</v>
      </c>
      <c r="IM407" s="19">
        <f t="shared" si="1124"/>
        <v>0</v>
      </c>
      <c r="IN407" s="19">
        <f t="shared" si="1125"/>
        <v>0</v>
      </c>
      <c r="IO407" s="39">
        <f t="shared" si="1126"/>
        <v>0</v>
      </c>
      <c r="IP407" s="39">
        <f t="shared" si="1127"/>
        <v>0</v>
      </c>
      <c r="IQ407" s="39">
        <f t="shared" si="1128"/>
        <v>0</v>
      </c>
      <c r="IR407" s="39">
        <v>0</v>
      </c>
      <c r="IS407" s="39">
        <v>0</v>
      </c>
      <c r="IT407" s="39">
        <v>0</v>
      </c>
      <c r="IU407" s="39">
        <v>0</v>
      </c>
      <c r="IV407" s="39">
        <v>0</v>
      </c>
      <c r="IW407" s="39">
        <v>0</v>
      </c>
      <c r="IX407" s="39">
        <f>INDEX(Input!$1:$1048576,IX$93,$C407*2+6)+INDEX(Input!$1:$1048576,IX$94,$C407*2+6)</f>
        <v>1770</v>
      </c>
      <c r="IY407" s="39">
        <f>INDEX(Input!$1:$1048576,IY$93,$C407*2+6)+INDEX(Input!$1:$1048576,IY$94,$C407*2+6)</f>
        <v>2630.0624533823611</v>
      </c>
      <c r="IZ407" s="39">
        <f>INDEX(Input!$1:$1048576,IZ$93,$C407*2+6)+INDEX(Input!$1:$1048576,IZ$94,$C407*2+6)</f>
        <v>4153.7164157747848</v>
      </c>
      <c r="JA407" s="19">
        <f t="shared" si="1146"/>
        <v>1770</v>
      </c>
      <c r="JB407" s="19">
        <f t="shared" si="1147"/>
        <v>2630.0624533823611</v>
      </c>
      <c r="JC407" s="19">
        <f t="shared" si="1148"/>
        <v>4153.7164157747848</v>
      </c>
      <c r="JD407" s="19">
        <f t="shared" si="1149"/>
        <v>2341.8685758720162</v>
      </c>
      <c r="JE407" s="21"/>
      <c r="JF407" s="1">
        <f t="shared" si="1129"/>
        <v>3.2545831732385969E-2</v>
      </c>
      <c r="JG407" s="15">
        <f>INDEX(Input!$1:$1048576,JG$93,$C407*2+6)/(1+VLOOKUP(C407*1000+INDEX(Input!$1:$1048576,JG$93+1,$C407*2+6),$A:$KK,$JK$92,FALSE))</f>
        <v>2329</v>
      </c>
      <c r="JH407" s="1">
        <f t="shared" si="1150"/>
        <v>0</v>
      </c>
      <c r="JI407" s="1">
        <f t="shared" si="1151"/>
        <v>0</v>
      </c>
      <c r="JJ407" s="1">
        <f t="shared" si="1152"/>
        <v>0</v>
      </c>
      <c r="JK407" s="1">
        <f t="shared" si="1176"/>
        <v>0</v>
      </c>
      <c r="JL407" s="15">
        <f t="shared" si="1154"/>
        <v>0</v>
      </c>
      <c r="JM407" s="15">
        <f>JG407+JL407</f>
        <v>2329</v>
      </c>
      <c r="JN407" s="21"/>
      <c r="JO407" s="19">
        <f>INDEX(Input!$1:$1048576,JO$93,$C407*2+6)</f>
        <v>5995.5</v>
      </c>
      <c r="JP407" s="19">
        <f>INDEX(Input!$1:$1048576,JP$93,$C407*2+6)</f>
        <v>2341.8685758720158</v>
      </c>
      <c r="JQ407" s="39">
        <f t="shared" si="1166"/>
        <v>3653.6314241279838</v>
      </c>
      <c r="JR407" s="39">
        <f>JD407-JP407</f>
        <v>0</v>
      </c>
      <c r="JS407" s="39">
        <f t="shared" si="1168"/>
        <v>5.454211913205925</v>
      </c>
      <c r="JT407" s="39">
        <f t="shared" si="1156"/>
        <v>9.3132257461547847E-16</v>
      </c>
      <c r="JU407" s="385">
        <f>(JQ407*JM407-INDEX(Input!$1:$1048576,Input!A$18,$C407*2+6)*JL407*INDEX(Input!$1:$1048576,Input!A$19,$C407*2+6))/1000000</f>
        <v>8.5093075867940744</v>
      </c>
      <c r="JV407" s="39">
        <f t="shared" si="1132"/>
        <v>0</v>
      </c>
      <c r="JW407" s="1">
        <f>JV407/(JU407-JV407)</f>
        <v>0</v>
      </c>
      <c r="JX407" s="19">
        <f t="shared" si="1172"/>
        <v>0</v>
      </c>
      <c r="JZ407" s="468"/>
      <c r="KA407" s="469"/>
      <c r="KB407" s="469">
        <f t="shared" si="1169"/>
        <v>2.3434325605641804</v>
      </c>
      <c r="KI407" s="473">
        <f t="shared" si="1170"/>
        <v>0</v>
      </c>
      <c r="KJ407" s="473">
        <f t="shared" si="1157"/>
        <v>0</v>
      </c>
      <c r="KK407" s="473">
        <f t="shared" si="1158"/>
        <v>0</v>
      </c>
      <c r="KN407" s="544">
        <f t="shared" si="1173"/>
        <v>4002</v>
      </c>
      <c r="KO407" s="541">
        <f t="shared" si="1133"/>
        <v>-3.7050915527428563E-2</v>
      </c>
      <c r="KP407" s="546">
        <f t="shared" si="1134"/>
        <v>-279.25166521516184</v>
      </c>
      <c r="KQ407" s="546">
        <f t="shared" si="1135"/>
        <v>-282.90261216400495</v>
      </c>
      <c r="KR407" s="548">
        <f t="shared" si="1136"/>
        <v>2.3033430105181911</v>
      </c>
      <c r="KS407" s="548">
        <f t="shared" si="1137"/>
        <v>2.2736176464713034</v>
      </c>
      <c r="KT407" s="473">
        <f t="shared" si="1171"/>
        <v>1580.0986321700548</v>
      </c>
      <c r="KU407" s="663">
        <f t="shared" si="1159"/>
        <v>4.0446673736314587</v>
      </c>
      <c r="KV407" s="117"/>
    </row>
    <row r="408" spans="1:310" s="26" customFormat="1" ht="15">
      <c r="A408" s="561">
        <f t="shared" si="1138"/>
        <v>4008</v>
      </c>
      <c r="B408" s="561">
        <f t="shared" si="1160"/>
        <v>8</v>
      </c>
      <c r="C408" s="561">
        <f t="shared" si="1161"/>
        <v>4</v>
      </c>
      <c r="D408" s="561" t="s">
        <v>569</v>
      </c>
      <c r="E408" s="475">
        <f>INDEX(Input!$1:$1048576,E$93,$C408*2+MIN($B408,2)+5)</f>
        <v>1256.832975525977</v>
      </c>
      <c r="F408" s="475">
        <f>INDEX(Input!$1:$1048576,F$93,$C408*2+MIN($B408,2)+5)</f>
        <v>0</v>
      </c>
      <c r="G408" s="475">
        <f>INDEX(Input!$1:$1048576,G$93,$C408*2+MIN($B408,2)+5)</f>
        <v>0</v>
      </c>
      <c r="H408" s="475">
        <f>INDEX(Input!$1:$1048576,H$93,$C408*2+MIN($B408,2)+5)</f>
        <v>0</v>
      </c>
      <c r="I408" s="476">
        <f>INDEX(Input!$1:$1048576,I$93,$C408*2+MIN($B408,2)+5)</f>
        <v>0.7</v>
      </c>
      <c r="J408" s="476" t="str">
        <f>INDEX(Input!$1:$1048576,J$93,$C408*2+MIN($B408,2)+5)</f>
        <v>Market</v>
      </c>
      <c r="K408" s="476" t="str">
        <f>INDEX(Input!$1:$1048576,K$93,$C408*2+MIN($B408,2)+5)</f>
        <v>Market</v>
      </c>
      <c r="L408" s="476" t="str">
        <f>INDEX(Input!$1:$1048576,L$93,$C408*2+MIN($B408,2)+5)</f>
        <v>Market</v>
      </c>
      <c r="M408" s="476" t="str">
        <f>INDEX(Input!$1:$1048576,M$93,$C408*2+MIN($B408,2)+5)</f>
        <v>Market</v>
      </c>
      <c r="N408" s="476" t="str">
        <f>INDEX(Input!$1:$1048576,N$93,$C408*2+MIN($B408,2)+5)</f>
        <v>Market</v>
      </c>
      <c r="O408" s="476" t="str">
        <f>INDEX(Input!$1:$1048576,O$93,$C408*2+MIN($B408,2)+5)</f>
        <v>Market</v>
      </c>
      <c r="P408" s="476" t="str">
        <f>INDEX(Input!$1:$1048576,P$93,$C408*2+MIN($B408,2)+5)</f>
        <v>N</v>
      </c>
      <c r="Q408" s="477">
        <f>INDEX(Input!$1:$1048576,Q$93,$C408*2+MIN($B408,2)+5)</f>
        <v>0</v>
      </c>
      <c r="R408" s="478">
        <f>IFERROR(MAX(0,INDEX(Input!$1:$1048576,R$93,$C408*2+MIN($B408,2)+5)-0%,),"Market")</f>
        <v>0</v>
      </c>
      <c r="S408" s="478">
        <f>IFERROR(MAX(0,INDEX(Input!$1:$1048576,S$93,$C408*2+MIN($B408,2)+5)-0%,),"Market")</f>
        <v>0</v>
      </c>
      <c r="T408" s="478">
        <f>IFERROR(MAX(0,INDEX(Input!$1:$1048576,T$93,$C408*2+MIN($B408,2)+5)-0%,),"Market")</f>
        <v>0</v>
      </c>
      <c r="U408" s="478">
        <f>IFERROR(MAX(0,INDEX(Input!$1:$1048576,U$93,$C408*2+MIN($B408,2)+5)-0%,),"Market")</f>
        <v>0</v>
      </c>
      <c r="V408" s="478">
        <f>IFERROR(MAX(0,INDEX(Input!$1:$1048576,V$93,$C408*2+MIN($B408,2)+5)-0%,),"Market")</f>
        <v>1.9E-2</v>
      </c>
      <c r="W408" s="885">
        <f>IFERROR(MAX(0,INDEX(Input!$1:$1048576,W$93,$C408*2+MIN($B408,2)+5)-0%,),"Market")</f>
        <v>3.9E-2</v>
      </c>
      <c r="X408" s="476" t="str">
        <f>INDEX(Input!$1:$1048576,X$93,$C408*2+MIN($B408,2)+5)</f>
        <v>Y</v>
      </c>
      <c r="Y408" s="475">
        <f>INDEX(Input!$1:$1048576,Y$93,$C408*2+MIN($B408,2)+5)</f>
        <v>-870</v>
      </c>
      <c r="Z408" s="477">
        <f>INDEX(Input!$1:$1048576,Z$93,$C408*2+MIN($B408,2)+5)</f>
        <v>0</v>
      </c>
      <c r="AA408" s="475">
        <f>INDEX(Input!$1:$1048576,AA$93,$C408*2+MIN($B408,2)+5)</f>
        <v>0</v>
      </c>
      <c r="AB408" s="476">
        <f>INDEX(Input!$1:$1048576,AB$93,$C408*2+MIN($B408,2)+5)</f>
        <v>0.27</v>
      </c>
      <c r="AC408" s="475">
        <f>INDEX(Input!$1:$1048576,AC$93,$C408*2+MIN($B408,2)+5)</f>
        <v>0</v>
      </c>
      <c r="AD408" s="476">
        <f>INDEX(Input!$1:$1048576,AD$93,$C408*2+MIN($B408,2)+5)</f>
        <v>0.27</v>
      </c>
      <c r="AE408" s="475">
        <f>INDEX(Input!$1:$1048576,AE$93,$C408*2+MIN($B408,2)+5)</f>
        <v>0</v>
      </c>
      <c r="AF408" s="476">
        <f>INDEX(Input!$1:$1048576,AF$93,$C408*2+MIN($B408,2)+5)</f>
        <v>1</v>
      </c>
      <c r="AG408" s="475">
        <f>INDEX(Input!$1:$1048576,AG$93,$C408*2+MIN($B408,2)+5)</f>
        <v>500</v>
      </c>
      <c r="AH408" s="476">
        <f>INDEX(Input!$1:$1048576,AH$93,$C408*2+MIN($B408,2)+5)</f>
        <v>0.83199999999999996</v>
      </c>
      <c r="AI408" s="475">
        <f>INDEX(Input!$1:$1048576,AI$93,$C408*2+MIN($B408,2)+5)</f>
        <v>0</v>
      </c>
      <c r="AJ408" s="476">
        <f>INDEX(Input!$1:$1048576,AJ$93,$C408*2+MIN($B408,2)+5)</f>
        <v>0.27</v>
      </c>
      <c r="AK408" s="150">
        <f>ROUND(INDEX(Input!$1:$1048576,AK$93,$C407*2+MIN($B408,1)+5)+(Y408-VLOOKUP($C408*1000+1,$A:$HH,Y$92,FALSE)),0)</f>
        <v>2587</v>
      </c>
      <c r="AL408" s="150">
        <f>ROUND(INDEX(Input!$1:$1048576,AL$93,$C407*2+MIN($B408,1)+5)-(Y408-VLOOKUP($C408*1000+1,$A:$HH,Y$92,FALSE))/36,0)</f>
        <v>3406</v>
      </c>
      <c r="AM408" s="32" t="str">
        <f t="shared" si="1139"/>
        <v>std/std/std/std</v>
      </c>
      <c r="AN408" s="32" t="str">
        <f t="shared" si="1140"/>
        <v>$0 + 0/0/0/1.9/3.9</v>
      </c>
      <c r="AO408" s="32" t="str">
        <f t="shared" si="1141"/>
        <v>0/0/0/1.9/3.9</v>
      </c>
      <c r="AP408" s="32" t="str">
        <f t="shared" si="993"/>
        <v>0/0.9/1.9/3.9</v>
      </c>
      <c r="AQ408" s="536">
        <f t="shared" si="992"/>
        <v>0.42451509721784414</v>
      </c>
      <c r="AR408" s="32"/>
      <c r="AS408" s="302"/>
      <c r="AT408" s="3">
        <f t="shared" si="1162"/>
        <v>8</v>
      </c>
      <c r="AU408" s="41" t="s">
        <v>121</v>
      </c>
      <c r="AV408" s="41" t="s">
        <v>116</v>
      </c>
      <c r="AW408" s="41" t="str">
        <f>INDEX(Input!$1:$1048576,AW$93,$C408*2+6)</f>
        <v>Kia</v>
      </c>
      <c r="AX408" s="41" t="str">
        <f>INDEX(Input!$1:$1048576,AX$93,$C408*2+6)</f>
        <v>Kia-LR - R1</v>
      </c>
      <c r="AY408" s="41" t="str">
        <f>IF(LEN(D408)=0,"",INDEX(Input!$1:$1048576,AY$93,$C408*2+6))</f>
        <v>Compact SUV (52)</v>
      </c>
      <c r="AZ408" s="41" t="str">
        <f>INDEX(Input!$1:$1048576,AZ$93,$C408*2+6)</f>
        <v>Kia Soul</v>
      </c>
      <c r="BA408" s="3">
        <f>INDEX(Input!$1:$1048576,BA$93,$C408*2+6)</f>
        <v>2020</v>
      </c>
      <c r="BB408" s="128">
        <f>INDEX(Input!$1:$1048576,BB$93,$C408*2+6)</f>
        <v>1</v>
      </c>
      <c r="BC408" s="128">
        <f>INDEX(Input!$1:$1048576,BC$93,$C408*2+6)</f>
        <v>0.7</v>
      </c>
      <c r="BD408" s="1">
        <f>INDEX(Input!$1:$1048576,BD$93,$C408*2+6)</f>
        <v>4.4999999999999998E-2</v>
      </c>
      <c r="BE408" s="1">
        <f>INDEX(Input!$1:$1048576,BE$93,$C408*2+6)</f>
        <v>4.4999999999999998E-2</v>
      </c>
      <c r="BF408" s="1">
        <f>INDEX(Input!$1:$1048576,BF$93,$C408*2+6)</f>
        <v>0.05</v>
      </c>
      <c r="BG408" s="1">
        <f>INDEX(Input!$1:$1048576,BG$93,$C408*2+6)</f>
        <v>5.45E-2</v>
      </c>
      <c r="BH408" s="1">
        <f>INDEX(Input!$1:$1048576,BH$93,$C408*2+6)</f>
        <v>5.45E-2</v>
      </c>
      <c r="BI408" s="1">
        <f>INDEX(Input!$1:$1048576,BI$93,$C408*2+6)</f>
        <v>0.05</v>
      </c>
      <c r="BJ408" s="1">
        <f>INDEX(Input!$1:$1048576,BJ$93,$C408*2+6)</f>
        <v>0.05</v>
      </c>
      <c r="BK408" s="1">
        <f>INDEX(Input!$1:$1048576,BK$93,$C408*2+6)</f>
        <v>0.05</v>
      </c>
      <c r="BL408" s="1">
        <f>INDEX(Input!$1:$1048576,BL$93,$C408*2+6)</f>
        <v>5.5E-2</v>
      </c>
      <c r="BM408" s="1">
        <f>INDEX(Input!$1:$1048576,BM$93,$C408*2+6)</f>
        <v>0.06</v>
      </c>
      <c r="BN408" s="1">
        <f>INDEX(Input!$1:$1048576,BN$93,$C408*2+6)</f>
        <v>4.4999999999999998E-2</v>
      </c>
      <c r="BO408" s="1">
        <f>INDEX(Input!$1:$1048576,BO$93,$C408*2+6)</f>
        <v>4.4999999999999998E-2</v>
      </c>
      <c r="BP408" s="1">
        <f>INDEX(Input!$1:$1048576,BP$93,$C408*2+6)</f>
        <v>0.05</v>
      </c>
      <c r="BQ408" s="1">
        <f>INDEX(Input!$1:$1048576,BQ$93,$C408*2+6)</f>
        <v>5.45E-2</v>
      </c>
      <c r="BR408" s="1">
        <f>INDEX(Input!$1:$1048576,BR$93,$C408*2+6)</f>
        <v>5.45E-2</v>
      </c>
      <c r="BS408" s="1">
        <f>INDEX(Input!$1:$1048576,BS$93,$C408*2+6)</f>
        <v>0.05</v>
      </c>
      <c r="BT408" s="1">
        <f>INDEX(Input!$1:$1048576,BT$93,$C408*2+6)</f>
        <v>0.05</v>
      </c>
      <c r="BU408" s="1">
        <f>INDEX(Input!$1:$1048576,BU$93,$C408*2+6)</f>
        <v>0.05</v>
      </c>
      <c r="BV408" s="1">
        <f>INDEX(Input!$1:$1048576,BV$93,$C408*2+6)</f>
        <v>5.5E-2</v>
      </c>
      <c r="BW408" s="1">
        <f>INDEX(Input!$1:$1048576,BW$93,$C408*2+6)</f>
        <v>0.06</v>
      </c>
      <c r="BX408" s="127">
        <f>INDEX(Input!$1:$1048576,BX$93,$C408*2+6)</f>
        <v>19985</v>
      </c>
      <c r="BY408" s="20">
        <f>INDEX(Input!$1:$1048576,BY$93,$C408*2+6)</f>
        <v>0.1</v>
      </c>
      <c r="BZ408" s="20">
        <f>INDEX(Input!$1:$1048576,BZ$93,$C408*2+6)</f>
        <v>0.1</v>
      </c>
      <c r="CA408" s="20">
        <f>INDEX(Input!$1:$1048576,CA$93,$C408*2+6)</f>
        <v>0.1</v>
      </c>
      <c r="CB408" s="20">
        <f>INDEX(Input!$1:$1048576,CB$93,$C408*2+6)</f>
        <v>0.1</v>
      </c>
      <c r="CC408" s="20">
        <f>INDEX(Input!$1:$1048576,CC$93,$C408*2+6)</f>
        <v>0.1</v>
      </c>
      <c r="CD408" s="384">
        <f>INDEX(Input!$1:$1048576,CD$93,$C408*2+6)</f>
        <v>0.1</v>
      </c>
      <c r="CE408" s="384">
        <f>INDEX(Input!$1:$1048576,CE$93,$C408*2+6)</f>
        <v>0.1</v>
      </c>
      <c r="CF408" s="384">
        <f>INDEX(Input!$1:$1048576,CF$93,$C408*2+6)</f>
        <v>0.1</v>
      </c>
      <c r="CG408" s="384">
        <f>INDEX(Input!$1:$1048576,CG$93,$C408*2+6)</f>
        <v>0.1</v>
      </c>
      <c r="CH408" s="384">
        <f>INDEX(Input!$1:$1048576,CH$93,$C408*2+6)</f>
        <v>0.1</v>
      </c>
      <c r="CI408" s="304">
        <f t="shared" si="994"/>
        <v>1256.832975525977</v>
      </c>
      <c r="CJ408" s="16" t="str">
        <f>INDEX(Input!$1:$1048576,CJ$93,$C408*2+6)</f>
        <v>N</v>
      </c>
      <c r="CK408" s="1" t="str">
        <f t="shared" si="995"/>
        <v>Market</v>
      </c>
      <c r="CL408" s="1" t="str">
        <f t="shared" si="996"/>
        <v>Market</v>
      </c>
      <c r="CM408" s="1" t="str">
        <f t="shared" si="997"/>
        <v>Market</v>
      </c>
      <c r="CN408" s="1" t="str">
        <f t="shared" si="998"/>
        <v>Market</v>
      </c>
      <c r="CO408" s="1" t="str">
        <f t="shared" si="999"/>
        <v>Market</v>
      </c>
      <c r="CP408" s="304">
        <f t="shared" si="1000"/>
        <v>416</v>
      </c>
      <c r="CQ408" s="1">
        <f t="shared" si="1001"/>
        <v>0</v>
      </c>
      <c r="CR408" s="1">
        <f t="shared" si="1002"/>
        <v>0</v>
      </c>
      <c r="CS408" s="1">
        <f t="shared" si="1003"/>
        <v>0</v>
      </c>
      <c r="CT408" s="1">
        <f t="shared" si="1004"/>
        <v>1.9E-2</v>
      </c>
      <c r="CU408" s="1">
        <f t="shared" si="1005"/>
        <v>3.9E-2</v>
      </c>
      <c r="CV408" s="304">
        <f t="shared" si="1006"/>
        <v>-870</v>
      </c>
      <c r="CW408" s="20" t="s">
        <v>122</v>
      </c>
      <c r="CX408" s="20" t="s">
        <v>122</v>
      </c>
      <c r="CY408" s="20" t="s">
        <v>122</v>
      </c>
      <c r="CZ408" s="20" t="s">
        <v>122</v>
      </c>
      <c r="DA408" s="20" t="s">
        <v>122</v>
      </c>
      <c r="DB408" s="503">
        <f t="shared" si="1007"/>
        <v>0</v>
      </c>
      <c r="DC408" s="127">
        <v>0</v>
      </c>
      <c r="DD408" s="127">
        <v>0</v>
      </c>
      <c r="DE408" s="127">
        <v>0</v>
      </c>
      <c r="DF408" s="127">
        <v>0</v>
      </c>
      <c r="DG408" s="127">
        <v>0</v>
      </c>
      <c r="DH408" s="127">
        <v>0</v>
      </c>
      <c r="DI408" s="127">
        <v>0</v>
      </c>
      <c r="DJ408" s="127">
        <v>0</v>
      </c>
      <c r="DK408" s="127">
        <v>0</v>
      </c>
      <c r="DL408" s="127">
        <v>0</v>
      </c>
      <c r="DM408" s="304">
        <f>INDEX(Input!$1:$1048576,DM$93,$C408*2+6)</f>
        <v>21036.84210526316</v>
      </c>
      <c r="DN408" s="20">
        <v>0</v>
      </c>
      <c r="DO408" s="20">
        <v>0</v>
      </c>
      <c r="DP408" s="20">
        <v>0</v>
      </c>
      <c r="DQ408" s="20">
        <v>0</v>
      </c>
      <c r="DR408" s="20">
        <v>0</v>
      </c>
      <c r="DS408" s="20">
        <f>INDEX(Input!$1:$1048576,DS$93,$C408*2+6)</f>
        <v>0.6</v>
      </c>
      <c r="DT408" s="20">
        <f>INDEX(Input!$1:$1048576,DT$93,$C408*2+6)</f>
        <v>0.55000000000000004</v>
      </c>
      <c r="DU408" s="20">
        <f>INDEX(Input!$1:$1048576,DU$93,$C408*2+6)</f>
        <v>0.52</v>
      </c>
      <c r="DV408" s="20">
        <f>INDEX(Input!$1:$1048576,DV$93,$C408*2+6)</f>
        <v>0.5</v>
      </c>
      <c r="DW408" s="20">
        <f>INDEX(Input!$1:$1048576,DW$93,$C408*2+6)</f>
        <v>0.45</v>
      </c>
      <c r="DX408" s="20"/>
      <c r="DY408" s="7">
        <v>0.10291711575259833</v>
      </c>
      <c r="DZ408" s="7">
        <v>0</v>
      </c>
      <c r="EA408" s="7">
        <v>0.80155800508931163</v>
      </c>
      <c r="EB408" s="7">
        <v>0</v>
      </c>
      <c r="EC408" s="7">
        <v>0</v>
      </c>
      <c r="ED408" s="7">
        <v>0</v>
      </c>
      <c r="EE408" s="7">
        <v>0</v>
      </c>
      <c r="EF408" s="7">
        <v>0</v>
      </c>
      <c r="EG408" s="7">
        <v>0</v>
      </c>
      <c r="EH408" s="7">
        <v>1.2261360713264327E-2</v>
      </c>
      <c r="EI408" s="7">
        <v>3.2025960002865179E-2</v>
      </c>
      <c r="EJ408" s="7">
        <v>0.22486525192740023</v>
      </c>
      <c r="EK408" s="7">
        <v>0.59351424657119012</v>
      </c>
      <c r="EL408" s="7">
        <v>0.13733318078528051</v>
      </c>
      <c r="EM408" s="7">
        <v>4.3281979305335908E-2</v>
      </c>
      <c r="EN408" s="7">
        <v>5.04702383394642E-2</v>
      </c>
      <c r="EO408" s="7">
        <v>0.71270780937656308</v>
      </c>
      <c r="EP408" s="7">
        <v>0.10248383114125095</v>
      </c>
      <c r="EQ408" s="7">
        <v>9.0018181543692996E-2</v>
      </c>
      <c r="ER408" s="7">
        <v>4.4319939599028385E-2</v>
      </c>
      <c r="ES408" s="7">
        <v>5.2242899852754106E-2</v>
      </c>
      <c r="ET408" s="7">
        <v>9.5524879158090076E-2</v>
      </c>
      <c r="EU408" s="6">
        <v>1770</v>
      </c>
      <c r="EV408" s="6">
        <v>0</v>
      </c>
      <c r="EW408" s="6">
        <v>1770</v>
      </c>
      <c r="EX408" s="6">
        <v>0</v>
      </c>
      <c r="EY408" s="6">
        <v>2483.3031156614329</v>
      </c>
      <c r="EZ408" s="6">
        <v>507</v>
      </c>
      <c r="FA408" s="6">
        <v>0</v>
      </c>
      <c r="FB408" s="6">
        <v>0</v>
      </c>
      <c r="FC408" s="6">
        <v>0</v>
      </c>
      <c r="FD408" s="6">
        <v>0</v>
      </c>
      <c r="FE408" s="6">
        <v>0</v>
      </c>
      <c r="FF408" s="6">
        <v>0</v>
      </c>
      <c r="FG408" s="6">
        <v>0</v>
      </c>
      <c r="FH408" s="6">
        <v>1169.7988357498739</v>
      </c>
      <c r="FI408" s="6">
        <v>1553.9796069512392</v>
      </c>
      <c r="FJ408" s="6">
        <v>2101.211011744741</v>
      </c>
      <c r="FK408" s="6">
        <v>1772.7139978623229</v>
      </c>
      <c r="FL408" s="6">
        <v>907.07682140966358</v>
      </c>
      <c r="FM408" s="6">
        <v>1713.3031156614329</v>
      </c>
      <c r="FN408" s="6">
        <v>0</v>
      </c>
      <c r="FO408" s="6">
        <v>0</v>
      </c>
      <c r="FP408" s="6">
        <v>0</v>
      </c>
      <c r="FQ408" s="6">
        <v>0</v>
      </c>
      <c r="FR408" s="6">
        <v>0</v>
      </c>
      <c r="FS408" s="6">
        <v>0</v>
      </c>
      <c r="FT408" s="7">
        <v>0.90447512084190995</v>
      </c>
      <c r="FU408" s="7">
        <v>4.3281979305335908E-2</v>
      </c>
      <c r="FV408" s="7">
        <v>5.2242899852754106E-2</v>
      </c>
      <c r="FW408" s="6">
        <v>1770</v>
      </c>
      <c r="FX408" s="6">
        <v>2483.3031156614329</v>
      </c>
      <c r="FY408" s="6">
        <v>507</v>
      </c>
      <c r="FZ408" s="6">
        <v>1949.5716051445115</v>
      </c>
      <c r="GA408" s="6">
        <v>1734.8903881764613</v>
      </c>
      <c r="GB408" s="6">
        <v>18250.10961182354</v>
      </c>
      <c r="GC408" s="7">
        <v>3.3872851927908169E-2</v>
      </c>
      <c r="GD408" s="7">
        <v>3.3598045882186636E-2</v>
      </c>
      <c r="GE408" s="7"/>
      <c r="GF408" s="7"/>
      <c r="GG408" s="7">
        <v>-8.1128700443176393E-3</v>
      </c>
      <c r="GH408" s="42">
        <v>0.75523937364216531</v>
      </c>
      <c r="GI408" s="6">
        <v>28196.699315883332</v>
      </c>
      <c r="GJ408" s="14">
        <v>0.50394797582841744</v>
      </c>
      <c r="GK408" s="14">
        <v>0.50887573065309755</v>
      </c>
      <c r="GL408" s="14">
        <v>0.49605202417158273</v>
      </c>
      <c r="GM408" s="14">
        <v>0.49112426934690295</v>
      </c>
      <c r="GO408" s="5">
        <v>343.14810671672558</v>
      </c>
      <c r="GP408" s="5">
        <v>309.37988338875158</v>
      </c>
      <c r="GQ408" s="5">
        <v>535.04305713031317</v>
      </c>
      <c r="GR408" s="5">
        <v>410.15490233172511</v>
      </c>
      <c r="GS408" s="5">
        <v>339.42744393800166</v>
      </c>
      <c r="GT408" s="5">
        <v>293.4407446948278</v>
      </c>
      <c r="GU408" s="5">
        <v>258.04012322764959</v>
      </c>
      <c r="GV408" s="39" t="s">
        <v>392</v>
      </c>
      <c r="GW408" s="5">
        <v>478.23611111111109</v>
      </c>
      <c r="GX408" s="5">
        <v>358.67708333333331</v>
      </c>
      <c r="GY408" s="5">
        <v>286.94166666666666</v>
      </c>
      <c r="GZ408" s="5">
        <v>253.19574071601335</v>
      </c>
      <c r="HA408" s="5">
        <v>234.53733318419432</v>
      </c>
      <c r="HB408" s="39">
        <v>264.3590508178695</v>
      </c>
      <c r="HC408" s="5">
        <v>265.10312499999998</v>
      </c>
      <c r="HD408" s="5">
        <v>224.66580774853799</v>
      </c>
      <c r="HE408" s="5">
        <v>226.90661690283397</v>
      </c>
      <c r="HF408" s="5">
        <v>209.18438048245613</v>
      </c>
      <c r="HG408" s="5">
        <v>200.91388157894738</v>
      </c>
      <c r="HH408" s="39">
        <v>224.49004163162587</v>
      </c>
      <c r="HI408" s="16"/>
      <c r="HJ408" s="19" t="str">
        <f t="shared" si="1163"/>
        <v>On</v>
      </c>
      <c r="HK408" s="1" t="str">
        <f t="shared" si="1163"/>
        <v>On</v>
      </c>
      <c r="HL408" s="16"/>
      <c r="HM408" s="639">
        <f t="shared" si="1110"/>
        <v>2.9403358434788716E-2</v>
      </c>
      <c r="HN408" s="639">
        <f t="shared" si="1111"/>
        <v>1.4106809950923669E-3</v>
      </c>
      <c r="HO408" s="639">
        <f t="shared" si="1112"/>
        <v>1.7317923025048877E-3</v>
      </c>
      <c r="HP408" s="644">
        <f>(FT408*$GD408-HM408)/$JF408*INDEX(Input!$1:$1048576,$JG$93,$C408*2+6)</f>
        <v>70.504257731201051</v>
      </c>
      <c r="HQ408" s="644">
        <f>(FU408*$GD408-HN408)/$JF408*INDEX(Input!$1:$1048576,$JG$93,$C408*2+6)</f>
        <v>3.1135262497059357</v>
      </c>
      <c r="HR408" s="644">
        <f>(FV408*$GD408-HO408)/$JF408*INDEX(Input!$1:$1048576,$JG$93,$C408*2+6)</f>
        <v>1.6793162756267859</v>
      </c>
      <c r="HS408" s="644">
        <f t="shared" si="1113"/>
        <v>-36.767042479690986</v>
      </c>
      <c r="HT408" s="644">
        <f t="shared" si="1114"/>
        <v>44.839105761971567</v>
      </c>
      <c r="HU408" s="644">
        <f t="shared" si="1115"/>
        <v>6.2426172446369526</v>
      </c>
      <c r="HV408" s="648">
        <f t="shared" si="1116"/>
        <v>0</v>
      </c>
      <c r="HW408" s="648">
        <f t="shared" si="1117"/>
        <v>0</v>
      </c>
      <c r="HX408" s="648">
        <f t="shared" si="1118"/>
        <v>0</v>
      </c>
      <c r="HY408" s="644">
        <f>INDEX(Input!$1:$1048576,HY$93,$C408*2+6)*INDEX(Input!$1:$1048576,$JG$93,$C408*2+6)</f>
        <v>993</v>
      </c>
      <c r="HZ408" s="644">
        <f>INDEX(Input!$1:$1048576,HZ$93,$C408*2+6)*INDEX(Input!$1:$1048576,$JG$93,$C408*2+6)</f>
        <v>1216</v>
      </c>
      <c r="IA408" s="644">
        <f>INDEX(Input!$1:$1048576,IA$93,$C408*2+6)*INDEX(Input!$1:$1048576,$JG$93,$C408*2+6)</f>
        <v>120</v>
      </c>
      <c r="IB408" s="644">
        <f t="shared" si="1142"/>
        <v>1026.73721525151</v>
      </c>
      <c r="IC408" s="644">
        <f t="shared" si="1143"/>
        <v>1263.9526320116775</v>
      </c>
      <c r="ID408" s="644">
        <f>IF(AND(INDEX(Input!$1:$1048576,IA$93,$C408*2+7)="TOS",Y408&lt;=INDEX(Y:Y,MATCH(C408*1000+2,A:A))),0,1)*MAX(IA408+HR408+HU408+HX408,0%)</f>
        <v>127.92193352026374</v>
      </c>
      <c r="IE408" s="128">
        <f t="shared" ref="IE408:IE411" si="1178">IB408/SUM($IB408:$ID408)</f>
        <v>0.42451509721784414</v>
      </c>
      <c r="IF408" s="128">
        <f t="shared" si="1165"/>
        <v>0.52259425925819747</v>
      </c>
      <c r="IG408" s="128">
        <f t="shared" si="1120"/>
        <v>5.2890643523958399E-2</v>
      </c>
      <c r="IH408" s="21"/>
      <c r="II408" s="19">
        <f t="shared" si="1121"/>
        <v>1490</v>
      </c>
      <c r="IJ408" s="19">
        <f t="shared" si="1122"/>
        <v>2203.2561351629856</v>
      </c>
      <c r="IK408" s="19">
        <f t="shared" si="1123"/>
        <v>242</v>
      </c>
      <c r="IL408" s="19">
        <f t="shared" si="1145"/>
        <v>280</v>
      </c>
      <c r="IM408" s="19">
        <f t="shared" si="1124"/>
        <v>280.04698049844728</v>
      </c>
      <c r="IN408" s="19">
        <f t="shared" si="1125"/>
        <v>265</v>
      </c>
      <c r="IO408" s="39">
        <f t="shared" si="1126"/>
        <v>0</v>
      </c>
      <c r="IP408" s="39">
        <f t="shared" si="1127"/>
        <v>0</v>
      </c>
      <c r="IQ408" s="39">
        <f t="shared" si="1128"/>
        <v>0</v>
      </c>
      <c r="IR408" s="39">
        <v>0</v>
      </c>
      <c r="IS408" s="39">
        <v>0</v>
      </c>
      <c r="IT408" s="39">
        <v>0</v>
      </c>
      <c r="IU408" s="39">
        <v>0</v>
      </c>
      <c r="IV408" s="39">
        <v>0</v>
      </c>
      <c r="IW408" s="39">
        <v>0</v>
      </c>
      <c r="IX408" s="39">
        <f>INDEX(Input!$1:$1048576,IX$93,$C408*2+6)+INDEX(Input!$1:$1048576,IX$94,$C408*2+6)</f>
        <v>1770</v>
      </c>
      <c r="IY408" s="39">
        <f>INDEX(Input!$1:$1048576,IY$93,$C408*2+6)+INDEX(Input!$1:$1048576,IY$94,$C408*2+6)</f>
        <v>2630.0624533823611</v>
      </c>
      <c r="IZ408" s="39">
        <f>INDEX(Input!$1:$1048576,IZ$93,$C408*2+6)+INDEX(Input!$1:$1048576,IZ$94,$C408*2+6)</f>
        <v>4153.7164157747848</v>
      </c>
      <c r="JA408" s="19">
        <f t="shared" si="1146"/>
        <v>2050</v>
      </c>
      <c r="JB408" s="19">
        <f t="shared" si="1147"/>
        <v>2910.1094338808084</v>
      </c>
      <c r="JC408" s="19">
        <f t="shared" si="1148"/>
        <v>4418.7164157747848</v>
      </c>
      <c r="JD408" s="19">
        <f t="shared" si="1149"/>
        <v>2624.7711880360212</v>
      </c>
      <c r="JE408" s="21"/>
      <c r="JF408" s="1">
        <f t="shared" si="1129"/>
        <v>3.2545831732385969E-2</v>
      </c>
      <c r="JG408" s="15">
        <f>INDEX(Input!$1:$1048576,JG$93,$C408*2+6)/(1+VLOOKUP(C408*1000+INDEX(Input!$1:$1048576,JG$93+1,$C408*2+6),$A:$KK,$JK$92,FALSE))</f>
        <v>2329</v>
      </c>
      <c r="JH408" s="1">
        <f t="shared" si="1150"/>
        <v>3.2330227675626357E-2</v>
      </c>
      <c r="JI408" s="1">
        <f t="shared" si="1151"/>
        <v>6.1462775985047383E-3</v>
      </c>
      <c r="JJ408" s="1">
        <f t="shared" si="1152"/>
        <v>0</v>
      </c>
      <c r="JK408" s="1">
        <f t="shared" ref="JK408:JK411" si="1179">SUM(JH408:JJ408)</f>
        <v>3.8476505274131094E-2</v>
      </c>
      <c r="JL408" s="15">
        <f t="shared" si="1154"/>
        <v>89.611780783451323</v>
      </c>
      <c r="JM408" s="15">
        <f t="shared" ref="JM408:JM471" si="1180">JG408+JL408</f>
        <v>2418.6117807834512</v>
      </c>
      <c r="JN408" s="21"/>
      <c r="JO408" s="19">
        <f>INDEX(Input!$1:$1048576,JO$93,$C408*2+6)</f>
        <v>5995.5</v>
      </c>
      <c r="JP408" s="19">
        <f>INDEX(Input!$1:$1048576,JP$93,$C408*2+6)</f>
        <v>2341.8685758720158</v>
      </c>
      <c r="JQ408" s="39">
        <f t="shared" si="1166"/>
        <v>3370.7288119639788</v>
      </c>
      <c r="JR408" s="39">
        <f>JD408-JP408</f>
        <v>282.9026121640054</v>
      </c>
      <c r="JS408" s="39">
        <f t="shared" si="1168"/>
        <v>6.3483025172448961</v>
      </c>
      <c r="JT408" s="39">
        <f t="shared" si="1156"/>
        <v>0.89409060403897145</v>
      </c>
      <c r="JU408" s="385">
        <f>(JQ408*JM408-INDEX(Input!$1:$1048576,Input!A$18,$C408*2+6)*JL408*INDEX(Input!$1:$1048576,Input!A$19,$C408*2+6))/1000000</f>
        <v>8.1524844144422861</v>
      </c>
      <c r="JV408" s="39">
        <f t="shared" si="1132"/>
        <v>-0.35682317235178829</v>
      </c>
      <c r="JW408" s="1">
        <f t="shared" ref="JW408:JW471" si="1181">JV408/(JU408-JV408)</f>
        <v>-4.1933279378166571E-2</v>
      </c>
      <c r="JX408" s="19">
        <f t="shared" si="1172"/>
        <v>9977.3779320328376</v>
      </c>
      <c r="JZ408" s="341"/>
      <c r="KA408" s="342"/>
      <c r="KB408" s="469">
        <f t="shared" si="1169"/>
        <v>2.3434325605641804</v>
      </c>
      <c r="KI408" s="473">
        <f t="shared" si="1170"/>
        <v>33.737215251509951</v>
      </c>
      <c r="KJ408" s="473">
        <f t="shared" si="1157"/>
        <v>47.952632011677451</v>
      </c>
      <c r="KK408" s="473">
        <f t="shared" si="1158"/>
        <v>7.9219335202637353</v>
      </c>
      <c r="KN408" s="544">
        <f t="shared" si="1173"/>
        <v>4002</v>
      </c>
      <c r="KO408" s="541">
        <f t="shared" si="1133"/>
        <v>0</v>
      </c>
      <c r="KP408" s="546">
        <f t="shared" si="1134"/>
        <v>0</v>
      </c>
      <c r="KQ408" s="546">
        <f t="shared" si="1135"/>
        <v>0</v>
      </c>
      <c r="KR408" s="548" t="e">
        <f t="shared" si="1136"/>
        <v>#DIV/0!</v>
      </c>
      <c r="KS408" s="548" t="e">
        <f t="shared" si="1137"/>
        <v>#DIV/0!</v>
      </c>
      <c r="KT408" s="473">
        <f>KT407</f>
        <v>1580.0986321700548</v>
      </c>
      <c r="KU408" s="663">
        <f t="shared" si="1159"/>
        <v>4.0405384349659101</v>
      </c>
      <c r="KV408" s="117"/>
    </row>
    <row r="409" spans="1:310" s="26" customFormat="1" ht="15">
      <c r="A409" s="561">
        <f t="shared" si="1138"/>
        <v>4009</v>
      </c>
      <c r="B409" s="561">
        <f t="shared" si="1160"/>
        <v>9</v>
      </c>
      <c r="C409" s="561">
        <f t="shared" si="1161"/>
        <v>4</v>
      </c>
      <c r="D409" s="561" t="str">
        <f t="shared" ref="D409:D418" si="1182">IF(E409=INDEX(E:E,MATCH(C409*1000+2,A:A,0)),"",E409-INDEX(E:E,MATCH(C409*1000+2,A:A,0))&amp;E$100&amp;", ")
&amp;IF(F409=INDEX(F:F,MATCH(C409*1000+2,A:A,0)),"",F409-INDEX(F:F,MATCH(C409*1000+2,A:A,0))&amp;F$100&amp;", ")
&amp;IF(AM409=INDEX(AM:AM,MATCH(C409*1000+2,A:A,0)),"",AM409&amp;AM$100&amp;", ")
&amp;IF(AP409=INDEX(AP:AP,MATCH(C409*1000+2,A:A,0)),"",AP409&amp;AP$100&amp;", ")
&amp;IF(Q409=INDEX(Q:Q,MATCH(C409*1000+2,A:A,0)),"",Q409-INDEX(Q:Q,MATCH(C409*1000+2,A:A,0))&amp;Q$100&amp;", ")
&amp;IF(Y409=INDEX(Y:Y,MATCH(C409*1000+2,A:A,0)),"",Y409-INDEX(Y:Y,MATCH(C409*1000+2,A:A,0))&amp;Y$100&amp;", ")
&amp;IF(Z409=INDEX(Z:Z,MATCH(C409*1000+2,A:A,0)),"",Z409-INDEX(Z:Z,MATCH(C409*1000+2,A:A,0))&amp;Z$100&amp;", ")
&amp;IF(AA409=INDEX(AA:AA,MATCH(C409*1000+2,A:A,0)),"",AA409-INDEX(AA:AA,MATCH(C409*1000+2,A:A,0))&amp;AA$100&amp;", ")
&amp;IF(AC409=INDEX(AC:AC,MATCH(C409*1000+2,A:A,0)),"",AC409-INDEX(AC:AC,MATCH(C409*1000+2,A:A,0))&amp;AC$100&amp;", ")
&amp;IF(AE409=INDEX(AE:AE,MATCH(C409*1000+2,A:A,0)),"",AE409-INDEX(AE:AE,MATCH(C409*1000+2,A:A,0))&amp;AE$100&amp;", ")
&amp;IF(AG409=INDEX(AG:AG,MATCH(C409*1000+2,A:A,0)),"",AG409-INDEX(AG:AG,MATCH(C409*1000+2,A:A,0))&amp;AG$100&amp;", ")
&amp;IF(AI409=INDEX(AI:AI,MATCH(C409*1000+2,A:A,0)),"",AI409-INDEX(AI:AI,MATCH(C409*1000+2,A:A,0))&amp;AI$100&amp;", ")</f>
        <v xml:space="preserve">250 CC, </v>
      </c>
      <c r="E409" s="475">
        <f>INDEX(Input!$1:$1048576,E$93,$C409*2+MIN($B409,2)+5)+IF(OR(BX409&gt;50000,INDEX(Input!$1:$1048576,E$93,$C409*2+MIN($B409,2)+5)&gt;0),0,250)+IF(BX409&gt;50000,500,250)*1</f>
        <v>1506.832975525977</v>
      </c>
      <c r="F409" s="475">
        <f>INDEX(Input!$1:$1048576,F$93,$C409*2+MIN($B409,2)+5)</f>
        <v>0</v>
      </c>
      <c r="G409" s="475">
        <f>INDEX(Input!$1:$1048576,G$93,$C409*2+MIN($B409,2)+5)</f>
        <v>0</v>
      </c>
      <c r="H409" s="115">
        <f>INDEX(Input!$1:$1048576,H$93,$C409*2+MIN($B409,2)+5)</f>
        <v>0</v>
      </c>
      <c r="I409" s="118">
        <f>INDEX(Input!$1:$1048576,I$93,$C409*2+MIN($B409,2)+5)</f>
        <v>0.7</v>
      </c>
      <c r="J409" s="118" t="str">
        <f>INDEX(Input!$1:$1048576,J$93,$C409*2+MIN($B409,2)+5)</f>
        <v>Market</v>
      </c>
      <c r="K409" s="118" t="str">
        <f>INDEX(Input!$1:$1048576,K$93,$C409*2+MIN($B409,2)+5)</f>
        <v>Market</v>
      </c>
      <c r="L409" s="118" t="str">
        <f>INDEX(Input!$1:$1048576,L$93,$C409*2+MIN($B409,2)+5)</f>
        <v>Market</v>
      </c>
      <c r="M409" s="118" t="str">
        <f>INDEX(Input!$1:$1048576,M$93,$C409*2+MIN($B409,2)+5)</f>
        <v>Market</v>
      </c>
      <c r="N409" s="118" t="str">
        <f>INDEX(Input!$1:$1048576,N$93,$C409*2+MIN($B409,2)+5)</f>
        <v>Market</v>
      </c>
      <c r="O409" s="118" t="str">
        <f>INDEX(Input!$1:$1048576,O$93,$C409*2+MIN($B409,2)+5)</f>
        <v>Market</v>
      </c>
      <c r="P409" s="118" t="str">
        <f>INDEX(Input!$1:$1048576,P$93,$C409*2+MIN($B409,2)+5)</f>
        <v>N</v>
      </c>
      <c r="Q409" s="30">
        <f>INDEX(Input!$1:$1048576,Q$93,$C409*2+MIN($B409,2)+5)</f>
        <v>0</v>
      </c>
      <c r="R409" s="383">
        <f>INDEX(Input!$1:$1048576,R$93,$C409*2+MIN($B409,2)+5)</f>
        <v>0</v>
      </c>
      <c r="S409" s="383">
        <f>INDEX(Input!$1:$1048576,S$93,$C409*2+MIN($B409,2)+5)</f>
        <v>0</v>
      </c>
      <c r="T409" s="383">
        <f>INDEX(Input!$1:$1048576,T$93,$C409*2+MIN($B409,2)+5)</f>
        <v>0</v>
      </c>
      <c r="U409" s="383">
        <f>INDEX(Input!$1:$1048576,U$93,$C409*2+MIN($B409,2)+5)</f>
        <v>0</v>
      </c>
      <c r="V409" s="383">
        <f>INDEX(Input!$1:$1048576,V$93,$C409*2+MIN($B409,2)+5)</f>
        <v>1.9E-2</v>
      </c>
      <c r="W409" s="884">
        <f>INDEX(Input!$1:$1048576,W$93,$C409*2+MIN($B409,2)+5)</f>
        <v>3.9E-2</v>
      </c>
      <c r="X409" s="118" t="str">
        <f>INDEX(Input!$1:$1048576,X$93,$C409*2+MIN($B409,2)+5)</f>
        <v>Y</v>
      </c>
      <c r="Y409" s="150">
        <f>INDEX(Input!$1:$1048576,Y$93,$C409*2+MIN($B409,2)+5)</f>
        <v>-870</v>
      </c>
      <c r="Z409" s="30">
        <f>INDEX(Input!$1:$1048576,Z$93,$C409*2+MIN($B409,2)+5)</f>
        <v>0</v>
      </c>
      <c r="AA409" s="115">
        <f>INDEX(Input!$1:$1048576,AA$93,$C409*2+MIN($B409,2)+5)</f>
        <v>0</v>
      </c>
      <c r="AB409" s="118">
        <f>INDEX(Input!$1:$1048576,AB$93,$C409*2+MIN($B409,2)+5)</f>
        <v>0.27</v>
      </c>
      <c r="AC409" s="115">
        <f>INDEX(Input!$1:$1048576,AC$93,$C409*2+MIN($B409,2)+5)</f>
        <v>0</v>
      </c>
      <c r="AD409" s="118">
        <f>INDEX(Input!$1:$1048576,AD$93,$C409*2+MIN($B409,2)+5)</f>
        <v>0.27</v>
      </c>
      <c r="AE409" s="115">
        <f>INDEX(Input!$1:$1048576,AE$93,$C409*2+MIN($B409,2)+5)</f>
        <v>0</v>
      </c>
      <c r="AF409" s="118">
        <f>INDEX(Input!$1:$1048576,AF$93,$C409*2+MIN($B409,2)+5)</f>
        <v>1</v>
      </c>
      <c r="AG409" s="115">
        <f>INDEX(Input!$1:$1048576,AG$93,$C409*2+MIN($B409,2)+5)</f>
        <v>500</v>
      </c>
      <c r="AH409" s="118">
        <f>INDEX(Input!$1:$1048576,AH$93,$C409*2+MIN($B409,2)+5)</f>
        <v>0.83199999999999996</v>
      </c>
      <c r="AI409" s="115">
        <f>INDEX(Input!$1:$1048576,AI$93,$C409*2+MIN($B409,2)+5)</f>
        <v>0</v>
      </c>
      <c r="AJ409" s="118">
        <f>INDEX(Input!$1:$1048576,AJ$93,$C409*2+MIN($B409,2)+5)</f>
        <v>0.27</v>
      </c>
      <c r="AK409" s="150">
        <f>ROUND(INDEX(Input!$1:$1048576,AK$93,$C408*2+MIN($B409,1)+5)+(Y409-VLOOKUP($C409*1000+1,$A:$HH,Y$92,FALSE)),0)</f>
        <v>2587</v>
      </c>
      <c r="AL409" s="150">
        <f>ROUND(INDEX(Input!$1:$1048576,AL$93,$C408*2+MIN($B409,1)+5)-(Y409-VLOOKUP($C409*1000+1,$A:$HH,Y$92,FALSE))/36,0)</f>
        <v>3406</v>
      </c>
      <c r="AM409" s="32" t="str">
        <f t="shared" si="1139"/>
        <v>std/std/std/std</v>
      </c>
      <c r="AN409" s="32" t="str">
        <f t="shared" si="1140"/>
        <v>$0 + 0/0/0/1.9/3.9</v>
      </c>
      <c r="AO409" s="32" t="str">
        <f t="shared" si="1141"/>
        <v>0/0/0/1.9/3.9</v>
      </c>
      <c r="AP409" s="32" t="str">
        <f t="shared" si="993"/>
        <v>0/0.9/1.9/3.9</v>
      </c>
      <c r="AQ409" s="536">
        <f t="shared" si="992"/>
        <v>0.44032245345229104</v>
      </c>
      <c r="AR409" s="32"/>
      <c r="AS409" s="302"/>
      <c r="AT409" s="3">
        <f t="shared" si="1162"/>
        <v>9</v>
      </c>
      <c r="AU409" s="41" t="s">
        <v>121</v>
      </c>
      <c r="AV409" s="41" t="s">
        <v>116</v>
      </c>
      <c r="AW409" s="41" t="str">
        <f>INDEX(Input!$1:$1048576,AW$93,$C409*2+6)</f>
        <v>Kia</v>
      </c>
      <c r="AX409" s="41" t="str">
        <f>INDEX(Input!$1:$1048576,AX$93,$C409*2+6)</f>
        <v>Kia-LR - R1</v>
      </c>
      <c r="AY409" s="41" t="str">
        <f>IF(LEN(D409)=0,"",INDEX(Input!$1:$1048576,AY$93,$C409*2+6))</f>
        <v>Compact SUV (52)</v>
      </c>
      <c r="AZ409" s="41" t="str">
        <f>INDEX(Input!$1:$1048576,AZ$93,$C409*2+6)</f>
        <v>Kia Soul</v>
      </c>
      <c r="BA409" s="3">
        <f>INDEX(Input!$1:$1048576,BA$93,$C409*2+6)</f>
        <v>2020</v>
      </c>
      <c r="BB409" s="128">
        <f>INDEX(Input!$1:$1048576,BB$93,$C409*2+6)</f>
        <v>1</v>
      </c>
      <c r="BC409" s="128">
        <f>INDEX(Input!$1:$1048576,BC$93,$C409*2+6)</f>
        <v>0.7</v>
      </c>
      <c r="BD409" s="1">
        <f>INDEX(Input!$1:$1048576,BD$93,$C409*2+6)</f>
        <v>4.4999999999999998E-2</v>
      </c>
      <c r="BE409" s="1">
        <f>INDEX(Input!$1:$1048576,BE$93,$C409*2+6)</f>
        <v>4.4999999999999998E-2</v>
      </c>
      <c r="BF409" s="1">
        <f>INDEX(Input!$1:$1048576,BF$93,$C409*2+6)</f>
        <v>0.05</v>
      </c>
      <c r="BG409" s="1">
        <f>INDEX(Input!$1:$1048576,BG$93,$C409*2+6)</f>
        <v>5.45E-2</v>
      </c>
      <c r="BH409" s="1">
        <f>INDEX(Input!$1:$1048576,BH$93,$C409*2+6)</f>
        <v>5.45E-2</v>
      </c>
      <c r="BI409" s="1">
        <f>INDEX(Input!$1:$1048576,BI$93,$C409*2+6)</f>
        <v>0.05</v>
      </c>
      <c r="BJ409" s="1">
        <f>INDEX(Input!$1:$1048576,BJ$93,$C409*2+6)</f>
        <v>0.05</v>
      </c>
      <c r="BK409" s="1">
        <f>INDEX(Input!$1:$1048576,BK$93,$C409*2+6)</f>
        <v>0.05</v>
      </c>
      <c r="BL409" s="1">
        <f>INDEX(Input!$1:$1048576,BL$93,$C409*2+6)</f>
        <v>5.5E-2</v>
      </c>
      <c r="BM409" s="1">
        <f>INDEX(Input!$1:$1048576,BM$93,$C409*2+6)</f>
        <v>0.06</v>
      </c>
      <c r="BN409" s="1">
        <f>INDEX(Input!$1:$1048576,BN$93,$C409*2+6)</f>
        <v>4.4999999999999998E-2</v>
      </c>
      <c r="BO409" s="1">
        <f>INDEX(Input!$1:$1048576,BO$93,$C409*2+6)</f>
        <v>4.4999999999999998E-2</v>
      </c>
      <c r="BP409" s="1">
        <f>INDEX(Input!$1:$1048576,BP$93,$C409*2+6)</f>
        <v>0.05</v>
      </c>
      <c r="BQ409" s="1">
        <f>INDEX(Input!$1:$1048576,BQ$93,$C409*2+6)</f>
        <v>5.45E-2</v>
      </c>
      <c r="BR409" s="1">
        <f>INDEX(Input!$1:$1048576,BR$93,$C409*2+6)</f>
        <v>5.45E-2</v>
      </c>
      <c r="BS409" s="1">
        <f>INDEX(Input!$1:$1048576,BS$93,$C409*2+6)</f>
        <v>0.05</v>
      </c>
      <c r="BT409" s="1">
        <f>INDEX(Input!$1:$1048576,BT$93,$C409*2+6)</f>
        <v>0.05</v>
      </c>
      <c r="BU409" s="1">
        <f>INDEX(Input!$1:$1048576,BU$93,$C409*2+6)</f>
        <v>0.05</v>
      </c>
      <c r="BV409" s="1">
        <f>INDEX(Input!$1:$1048576,BV$93,$C409*2+6)</f>
        <v>5.5E-2</v>
      </c>
      <c r="BW409" s="1">
        <f>INDEX(Input!$1:$1048576,BW$93,$C409*2+6)</f>
        <v>0.06</v>
      </c>
      <c r="BX409" s="127">
        <f>INDEX(Input!$1:$1048576,BX$93,$C409*2+6)</f>
        <v>19985</v>
      </c>
      <c r="BY409" s="20">
        <f>INDEX(Input!$1:$1048576,BY$93,$C409*2+6)</f>
        <v>0.1</v>
      </c>
      <c r="BZ409" s="20">
        <f>INDEX(Input!$1:$1048576,BZ$93,$C409*2+6)</f>
        <v>0.1</v>
      </c>
      <c r="CA409" s="20">
        <f>INDEX(Input!$1:$1048576,CA$93,$C409*2+6)</f>
        <v>0.1</v>
      </c>
      <c r="CB409" s="20">
        <f>INDEX(Input!$1:$1048576,CB$93,$C409*2+6)</f>
        <v>0.1</v>
      </c>
      <c r="CC409" s="20">
        <f>INDEX(Input!$1:$1048576,CC$93,$C409*2+6)</f>
        <v>0.1</v>
      </c>
      <c r="CD409" s="384">
        <f>INDEX(Input!$1:$1048576,CD$93,$C409*2+6)</f>
        <v>0.1</v>
      </c>
      <c r="CE409" s="384">
        <f>INDEX(Input!$1:$1048576,CE$93,$C409*2+6)</f>
        <v>0.1</v>
      </c>
      <c r="CF409" s="384">
        <f>INDEX(Input!$1:$1048576,CF$93,$C409*2+6)</f>
        <v>0.1</v>
      </c>
      <c r="CG409" s="384">
        <f>INDEX(Input!$1:$1048576,CG$93,$C409*2+6)</f>
        <v>0.1</v>
      </c>
      <c r="CH409" s="384">
        <f>INDEX(Input!$1:$1048576,CH$93,$C409*2+6)</f>
        <v>0.1</v>
      </c>
      <c r="CI409" s="304">
        <f t="shared" si="994"/>
        <v>1506.832975525977</v>
      </c>
      <c r="CJ409" s="16" t="str">
        <f>INDEX(Input!$1:$1048576,CJ$93,$C409*2+6)</f>
        <v>N</v>
      </c>
      <c r="CK409" s="1" t="str">
        <f t="shared" si="995"/>
        <v>Market</v>
      </c>
      <c r="CL409" s="1" t="str">
        <f t="shared" si="996"/>
        <v>Market</v>
      </c>
      <c r="CM409" s="1" t="str">
        <f t="shared" si="997"/>
        <v>Market</v>
      </c>
      <c r="CN409" s="1" t="str">
        <f t="shared" si="998"/>
        <v>Market</v>
      </c>
      <c r="CO409" s="1" t="str">
        <f t="shared" si="999"/>
        <v>Market</v>
      </c>
      <c r="CP409" s="304">
        <f t="shared" si="1000"/>
        <v>416</v>
      </c>
      <c r="CQ409" s="1">
        <f t="shared" si="1001"/>
        <v>0</v>
      </c>
      <c r="CR409" s="1">
        <f t="shared" si="1002"/>
        <v>0</v>
      </c>
      <c r="CS409" s="1">
        <f t="shared" si="1003"/>
        <v>0</v>
      </c>
      <c r="CT409" s="1">
        <f t="shared" si="1004"/>
        <v>1.9E-2</v>
      </c>
      <c r="CU409" s="1">
        <f t="shared" si="1005"/>
        <v>3.9E-2</v>
      </c>
      <c r="CV409" s="304">
        <f t="shared" si="1006"/>
        <v>-870</v>
      </c>
      <c r="CW409" s="20" t="s">
        <v>122</v>
      </c>
      <c r="CX409" s="20" t="s">
        <v>122</v>
      </c>
      <c r="CY409" s="20" t="s">
        <v>122</v>
      </c>
      <c r="CZ409" s="20" t="s">
        <v>122</v>
      </c>
      <c r="DA409" s="20" t="s">
        <v>122</v>
      </c>
      <c r="DB409" s="503">
        <f t="shared" si="1007"/>
        <v>0</v>
      </c>
      <c r="DC409" s="127">
        <v>0</v>
      </c>
      <c r="DD409" s="127">
        <v>0</v>
      </c>
      <c r="DE409" s="127">
        <v>0</v>
      </c>
      <c r="DF409" s="127">
        <v>0</v>
      </c>
      <c r="DG409" s="127">
        <v>0</v>
      </c>
      <c r="DH409" s="127">
        <v>0</v>
      </c>
      <c r="DI409" s="127">
        <v>0</v>
      </c>
      <c r="DJ409" s="127">
        <v>0</v>
      </c>
      <c r="DK409" s="127">
        <v>0</v>
      </c>
      <c r="DL409" s="127">
        <v>0</v>
      </c>
      <c r="DM409" s="304">
        <f>INDEX(Input!$1:$1048576,DM$93,$C409*2+6)</f>
        <v>21036.84210526316</v>
      </c>
      <c r="DN409" s="20">
        <v>0</v>
      </c>
      <c r="DO409" s="20">
        <v>0</v>
      </c>
      <c r="DP409" s="20">
        <v>0</v>
      </c>
      <c r="DQ409" s="20">
        <v>0</v>
      </c>
      <c r="DR409" s="20">
        <v>0</v>
      </c>
      <c r="DS409" s="20">
        <f>INDEX(Input!$1:$1048576,DS$93,$C409*2+6)</f>
        <v>0.6</v>
      </c>
      <c r="DT409" s="20">
        <f>INDEX(Input!$1:$1048576,DT$93,$C409*2+6)</f>
        <v>0.55000000000000004</v>
      </c>
      <c r="DU409" s="20">
        <f>INDEX(Input!$1:$1048576,DU$93,$C409*2+6)</f>
        <v>0.52</v>
      </c>
      <c r="DV409" s="20">
        <f>INDEX(Input!$1:$1048576,DV$93,$C409*2+6)</f>
        <v>0.5</v>
      </c>
      <c r="DW409" s="20">
        <f>INDEX(Input!$1:$1048576,DW$93,$C409*2+6)</f>
        <v>0.45</v>
      </c>
      <c r="DX409" s="20"/>
      <c r="DY409" s="7">
        <v>0.10637864364541667</v>
      </c>
      <c r="DZ409" s="7">
        <v>0</v>
      </c>
      <c r="EA409" s="7">
        <v>0.80902931501409292</v>
      </c>
      <c r="EB409" s="7">
        <v>0</v>
      </c>
      <c r="EC409" s="7">
        <v>0</v>
      </c>
      <c r="ED409" s="7">
        <v>0</v>
      </c>
      <c r="EE409" s="7">
        <v>0</v>
      </c>
      <c r="EF409" s="7">
        <v>0</v>
      </c>
      <c r="EG409" s="7">
        <v>0</v>
      </c>
      <c r="EH409" s="7">
        <v>1.2269911025256319E-2</v>
      </c>
      <c r="EI409" s="7">
        <v>3.2056728469320291E-2</v>
      </c>
      <c r="EJ409" s="7">
        <v>0.22502921607634185</v>
      </c>
      <c r="EK409" s="7">
        <v>0.5933503730041555</v>
      </c>
      <c r="EL409" s="7">
        <v>0.13729377142492563</v>
      </c>
      <c r="EM409" s="7">
        <v>3.8296522404049266E-2</v>
      </c>
      <c r="EN409" s="7">
        <v>5.0455850649633802E-2</v>
      </c>
      <c r="EO409" s="7">
        <v>0.7127183558344885</v>
      </c>
      <c r="EP409" s="7">
        <v>0.10249151000843529</v>
      </c>
      <c r="EQ409" s="7">
        <v>8.999105958941199E-2</v>
      </c>
      <c r="ER409" s="7">
        <v>4.4343223918030084E-2</v>
      </c>
      <c r="ES409" s="7">
        <v>4.6295518936441092E-2</v>
      </c>
      <c r="ET409" s="7">
        <v>8.4592041340490337E-2</v>
      </c>
      <c r="EU409" s="6">
        <v>2020</v>
      </c>
      <c r="EV409" s="6">
        <v>0</v>
      </c>
      <c r="EW409" s="6">
        <v>2020</v>
      </c>
      <c r="EX409" s="6">
        <v>0</v>
      </c>
      <c r="EY409" s="6">
        <v>2483.3792493886231</v>
      </c>
      <c r="EZ409" s="6">
        <v>507</v>
      </c>
      <c r="FA409" s="6">
        <v>0</v>
      </c>
      <c r="FB409" s="6">
        <v>0</v>
      </c>
      <c r="FC409" s="6">
        <v>0</v>
      </c>
      <c r="FD409" s="6">
        <v>0</v>
      </c>
      <c r="FE409" s="6">
        <v>0</v>
      </c>
      <c r="FF409" s="6">
        <v>0</v>
      </c>
      <c r="FG409" s="6">
        <v>0</v>
      </c>
      <c r="FH409" s="6">
        <v>1169.8023419665813</v>
      </c>
      <c r="FI409" s="6">
        <v>1553.9796069512404</v>
      </c>
      <c r="FJ409" s="6">
        <v>2101.2110117447419</v>
      </c>
      <c r="FK409" s="6">
        <v>1772.7139978623229</v>
      </c>
      <c r="FL409" s="6">
        <v>907.07682140966324</v>
      </c>
      <c r="FM409" s="6">
        <v>1713.3792493886233</v>
      </c>
      <c r="FN409" s="6">
        <v>0</v>
      </c>
      <c r="FO409" s="6">
        <v>0</v>
      </c>
      <c r="FP409" s="6">
        <v>0</v>
      </c>
      <c r="FQ409" s="6">
        <v>0</v>
      </c>
      <c r="FR409" s="6">
        <v>0</v>
      </c>
      <c r="FS409" s="6">
        <v>0</v>
      </c>
      <c r="FT409" s="7">
        <v>0.91540795865950964</v>
      </c>
      <c r="FU409" s="7">
        <v>3.8296522404049266E-2</v>
      </c>
      <c r="FV409" s="7">
        <v>4.6295518936441092E-2</v>
      </c>
      <c r="FW409" s="6">
        <v>2019.9999999999998</v>
      </c>
      <c r="FX409" s="6">
        <v>2483.3792493886231</v>
      </c>
      <c r="FY409" s="6">
        <v>507</v>
      </c>
      <c r="FZ409" s="6">
        <v>1949.5716051445115</v>
      </c>
      <c r="GA409" s="6">
        <v>1967.7006936549474</v>
      </c>
      <c r="GB409" s="6">
        <v>18017.299306345052</v>
      </c>
      <c r="GC409" s="7">
        <v>3.3872851927908169E-2</v>
      </c>
      <c r="GD409" s="7">
        <v>3.4488137486321693E-2</v>
      </c>
      <c r="GE409" s="7"/>
      <c r="GF409" s="7"/>
      <c r="GG409" s="7">
        <v>1.8164563164714931E-2</v>
      </c>
      <c r="GH409" s="42">
        <v>20.024106266449046</v>
      </c>
      <c r="GI409" s="6">
        <v>2965.7477342604843</v>
      </c>
      <c r="GJ409" s="14">
        <v>0.50394797582841744</v>
      </c>
      <c r="GK409" s="14">
        <v>0.50887573065309755</v>
      </c>
      <c r="GL409" s="14">
        <v>0.49605202417158312</v>
      </c>
      <c r="GM409" s="14">
        <v>0.49112426934690262</v>
      </c>
      <c r="GO409" s="5">
        <v>343.14810671672558</v>
      </c>
      <c r="GP409" s="5">
        <v>304.61036031982871</v>
      </c>
      <c r="GQ409" s="5">
        <v>535.04305713031317</v>
      </c>
      <c r="GR409" s="5">
        <v>410.15490233172511</v>
      </c>
      <c r="GS409" s="5">
        <v>339.42744393800166</v>
      </c>
      <c r="GT409" s="5">
        <v>293.4407446948278</v>
      </c>
      <c r="GU409" s="5">
        <v>258.04012322764959</v>
      </c>
      <c r="GV409" s="39" t="s">
        <v>392</v>
      </c>
      <c r="GW409" s="5">
        <v>478.23611111111109</v>
      </c>
      <c r="GX409" s="5">
        <v>358.67708333333331</v>
      </c>
      <c r="GY409" s="5">
        <v>286.94166666666666</v>
      </c>
      <c r="GZ409" s="5">
        <v>253.19574071601335</v>
      </c>
      <c r="HA409" s="5">
        <v>234.53733318419432</v>
      </c>
      <c r="HB409" s="39">
        <v>264.37048892033368</v>
      </c>
      <c r="HC409" s="5">
        <v>265.10312499999998</v>
      </c>
      <c r="HD409" s="5">
        <v>224.66580774853799</v>
      </c>
      <c r="HE409" s="5">
        <v>226.90661690283397</v>
      </c>
      <c r="HF409" s="5">
        <v>209.18438048245613</v>
      </c>
      <c r="HG409" s="5">
        <v>200.91388157894738</v>
      </c>
      <c r="HH409" s="39">
        <v>224.48934387806025</v>
      </c>
      <c r="HI409" s="16"/>
      <c r="HJ409" s="19" t="str">
        <f t="shared" si="1163"/>
        <v>On</v>
      </c>
      <c r="HK409" s="1" t="str">
        <f t="shared" si="1163"/>
        <v>On</v>
      </c>
      <c r="HL409" s="16"/>
      <c r="HM409" s="639">
        <f t="shared" si="1110"/>
        <v>2.9403358434788716E-2</v>
      </c>
      <c r="HN409" s="639">
        <f t="shared" si="1111"/>
        <v>1.4106809950923669E-3</v>
      </c>
      <c r="HO409" s="639">
        <f t="shared" si="1112"/>
        <v>1.7317923025048877E-3</v>
      </c>
      <c r="HP409" s="644">
        <f>(FT409*$GD409-HM409)/$JF409*INDEX(Input!$1:$1048576,$JG$93,$C409*2+6)</f>
        <v>155.09742465086933</v>
      </c>
      <c r="HQ409" s="644">
        <f>(FU409*$GD409-HN409)/$JF409*INDEX(Input!$1:$1048576,$JG$93,$C409*2+6)</f>
        <v>-6.4336768010989154</v>
      </c>
      <c r="HR409" s="644">
        <f>(FV409*$GD409-HO409)/$JF409*INDEX(Input!$1:$1048576,$JG$93,$C409*2+6)</f>
        <v>-9.6711377326694858</v>
      </c>
      <c r="HS409" s="644">
        <f t="shared" si="1113"/>
        <v>-69.480656155384708</v>
      </c>
      <c r="HT409" s="644">
        <f t="shared" si="1114"/>
        <v>42.704839569884427</v>
      </c>
      <c r="HU409" s="644">
        <f t="shared" si="1115"/>
        <v>8.3897619341268292</v>
      </c>
      <c r="HV409" s="648">
        <f t="shared" si="1116"/>
        <v>0</v>
      </c>
      <c r="HW409" s="648">
        <f t="shared" si="1117"/>
        <v>0</v>
      </c>
      <c r="HX409" s="648">
        <f t="shared" si="1118"/>
        <v>0</v>
      </c>
      <c r="HY409" s="644">
        <f>INDEX(Input!$1:$1048576,HY$93,$C409*2+6)*INDEX(Input!$1:$1048576,$JG$93,$C409*2+6)</f>
        <v>993</v>
      </c>
      <c r="HZ409" s="644">
        <f>INDEX(Input!$1:$1048576,HZ$93,$C409*2+6)*INDEX(Input!$1:$1048576,$JG$93,$C409*2+6)</f>
        <v>1216</v>
      </c>
      <c r="IA409" s="644">
        <f>INDEX(Input!$1:$1048576,IA$93,$C409*2+6)*INDEX(Input!$1:$1048576,$JG$93,$C409*2+6)</f>
        <v>120</v>
      </c>
      <c r="IB409" s="644">
        <f t="shared" si="1142"/>
        <v>1078.6167684954848</v>
      </c>
      <c r="IC409" s="644">
        <f t="shared" si="1143"/>
        <v>1252.2711627687854</v>
      </c>
      <c r="ID409" s="644">
        <f>IF(AND(INDEX(Input!$1:$1048576,IA$93,$C409*2+7)="TOS",Y409&lt;=INDEX(Y:Y,MATCH(C409*1000+2,A:A))),0,1)*MAX(IA409+HR409+HU409+HX409,0%)</f>
        <v>118.71862420145735</v>
      </c>
      <c r="IE409" s="128">
        <f t="shared" si="1178"/>
        <v>0.44032245345229104</v>
      </c>
      <c r="IF409" s="128">
        <f t="shared" si="1165"/>
        <v>0.51121318236785152</v>
      </c>
      <c r="IG409" s="128">
        <f t="shared" si="1120"/>
        <v>4.8464364179857514E-2</v>
      </c>
      <c r="IH409" s="21"/>
      <c r="II409" s="19">
        <f t="shared" si="1121"/>
        <v>1490</v>
      </c>
      <c r="IJ409" s="19">
        <f t="shared" si="1122"/>
        <v>2203.2561351629856</v>
      </c>
      <c r="IK409" s="19">
        <f t="shared" si="1123"/>
        <v>242</v>
      </c>
      <c r="IL409" s="19">
        <f t="shared" si="1145"/>
        <v>529.99999999999977</v>
      </c>
      <c r="IM409" s="19">
        <f t="shared" si="1124"/>
        <v>280.12311422563744</v>
      </c>
      <c r="IN409" s="19">
        <f t="shared" si="1125"/>
        <v>265</v>
      </c>
      <c r="IO409" s="39">
        <f t="shared" si="1126"/>
        <v>0</v>
      </c>
      <c r="IP409" s="39">
        <f t="shared" si="1127"/>
        <v>0</v>
      </c>
      <c r="IQ409" s="39">
        <f t="shared" si="1128"/>
        <v>0</v>
      </c>
      <c r="IR409" s="39">
        <v>0</v>
      </c>
      <c r="IS409" s="39">
        <v>0</v>
      </c>
      <c r="IT409" s="39">
        <v>0</v>
      </c>
      <c r="IU409" s="39">
        <v>0</v>
      </c>
      <c r="IV409" s="39">
        <v>0</v>
      </c>
      <c r="IW409" s="39">
        <v>0</v>
      </c>
      <c r="IX409" s="39">
        <f>INDEX(Input!$1:$1048576,IX$93,$C409*2+6)+INDEX(Input!$1:$1048576,IX$94,$C409*2+6)</f>
        <v>1770</v>
      </c>
      <c r="IY409" s="39">
        <f>INDEX(Input!$1:$1048576,IY$93,$C409*2+6)+INDEX(Input!$1:$1048576,IY$94,$C409*2+6)</f>
        <v>2630.0624533823611</v>
      </c>
      <c r="IZ409" s="39">
        <f>INDEX(Input!$1:$1048576,IZ$93,$C409*2+6)+INDEX(Input!$1:$1048576,IZ$94,$C409*2+6)</f>
        <v>4153.7164157747848</v>
      </c>
      <c r="JA409" s="19">
        <f t="shared" si="1146"/>
        <v>2300</v>
      </c>
      <c r="JB409" s="19">
        <f t="shared" si="1147"/>
        <v>2910.1855676079986</v>
      </c>
      <c r="JC409" s="19">
        <f t="shared" si="1148"/>
        <v>4418.7164157747848</v>
      </c>
      <c r="JD409" s="19">
        <f t="shared" si="1149"/>
        <v>2714.6171498197705</v>
      </c>
      <c r="JE409" s="21"/>
      <c r="JF409" s="1">
        <f t="shared" si="1129"/>
        <v>3.2545831732385969E-2</v>
      </c>
      <c r="JG409" s="15">
        <f>INDEX(Input!$1:$1048576,JG$93,$C409*2+6)/(1+VLOOKUP(C409*1000+INDEX(Input!$1:$1048576,JG$93+1,$C409*2+6),$A:$KK,$JK$92,FALSE))</f>
        <v>2329</v>
      </c>
      <c r="JH409" s="1">
        <f t="shared" si="1150"/>
        <v>5.9679094082052776E-2</v>
      </c>
      <c r="JI409" s="1">
        <f t="shared" si="1151"/>
        <v>-7.8943987339516741E-3</v>
      </c>
      <c r="JJ409" s="1">
        <f t="shared" si="1152"/>
        <v>0</v>
      </c>
      <c r="JK409" s="1">
        <f t="shared" si="1179"/>
        <v>5.1784695348101102E-2</v>
      </c>
      <c r="JL409" s="15">
        <f t="shared" si="1154"/>
        <v>120.60655546572747</v>
      </c>
      <c r="JM409" s="15">
        <f t="shared" si="1180"/>
        <v>2449.6065554657275</v>
      </c>
      <c r="JN409" s="21"/>
      <c r="JO409" s="19">
        <f>INDEX(Input!$1:$1048576,JO$93,$C409*2+6)</f>
        <v>5995.5</v>
      </c>
      <c r="JP409" s="19">
        <f>INDEX(Input!$1:$1048576,JP$93,$C409*2+6)</f>
        <v>2341.8685758720158</v>
      </c>
      <c r="JQ409" s="39">
        <f t="shared" si="1166"/>
        <v>3280.8828501802295</v>
      </c>
      <c r="JR409" s="39">
        <f t="shared" ref="JR409:JR472" si="1183">JD409-JP409</f>
        <v>372.74857394775472</v>
      </c>
      <c r="JS409" s="39">
        <f t="shared" si="1168"/>
        <v>6.6497439657781987</v>
      </c>
      <c r="JT409" s="39">
        <f t="shared" si="1156"/>
        <v>1.1955320525722746</v>
      </c>
      <c r="JU409" s="385">
        <f>(JQ409*JM409-INDEX(Input!$1:$1048576,Input!A$18,$C409*2+6)*JL409*INDEX(Input!$1:$1048576,Input!A$19,$C409*2+6))/1000000</f>
        <v>8.0368721375165695</v>
      </c>
      <c r="JV409" s="39">
        <f t="shared" si="1132"/>
        <v>-0.47243544927750492</v>
      </c>
      <c r="JW409" s="1">
        <f t="shared" si="1181"/>
        <v>-5.5519846292863578E-2</v>
      </c>
      <c r="JX409" s="19">
        <f t="shared" si="1172"/>
        <v>9912.6622757417736</v>
      </c>
      <c r="JZ409" s="341"/>
      <c r="KA409" s="342"/>
      <c r="KB409" s="469">
        <f t="shared" si="1169"/>
        <v>2.3434325605641804</v>
      </c>
      <c r="KI409" s="473">
        <f t="shared" si="1170"/>
        <v>85.616768495484848</v>
      </c>
      <c r="KJ409" s="473">
        <f t="shared" si="1157"/>
        <v>36.271162768785643</v>
      </c>
      <c r="KK409" s="473">
        <f t="shared" si="1158"/>
        <v>-1.2813757985426406</v>
      </c>
      <c r="KN409" s="544">
        <f t="shared" si="1173"/>
        <v>4002</v>
      </c>
      <c r="KO409" s="541">
        <f t="shared" si="1133"/>
        <v>1.2815109447716466E-2</v>
      </c>
      <c r="KP409" s="546">
        <f t="shared" si="1134"/>
        <v>110.11953392803507</v>
      </c>
      <c r="KQ409" s="546">
        <f t="shared" si="1135"/>
        <v>89.845961783749317</v>
      </c>
      <c r="KR409" s="548">
        <f t="shared" si="1136"/>
        <v>2.0202885385267715</v>
      </c>
      <c r="KS409" s="548">
        <f t="shared" si="1137"/>
        <v>2.4761628441152546</v>
      </c>
      <c r="KT409" s="473">
        <f t="shared" si="1171"/>
        <v>1580.0986321700548</v>
      </c>
      <c r="KU409" s="663">
        <f t="shared" si="1159"/>
        <v>4.0512204441711486</v>
      </c>
      <c r="KV409" s="117" t="e">
        <f>RANK(KU409,$KU$109:$KU$200)</f>
        <v>#N/A</v>
      </c>
    </row>
    <row r="410" spans="1:310" s="26" customFormat="1" ht="15">
      <c r="A410" s="561">
        <f t="shared" si="1138"/>
        <v>4010</v>
      </c>
      <c r="B410" s="561">
        <f t="shared" si="1160"/>
        <v>10</v>
      </c>
      <c r="C410" s="561">
        <f t="shared" si="1161"/>
        <v>4</v>
      </c>
      <c r="D410" s="561" t="str">
        <f t="shared" si="1182"/>
        <v xml:space="preserve">500 CC, </v>
      </c>
      <c r="E410" s="475">
        <f>INDEX(Input!$1:$1048576,E$93,$C410*2+MIN($B410,2)+5)+IF(OR(BX410&gt;50000,INDEX(Input!$1:$1048576,E$93,$C410*2+MIN($B410,2)+5)&gt;0),0,250)+IF(BX410&gt;50000,500,250)*2</f>
        <v>1756.832975525977</v>
      </c>
      <c r="F410" s="475">
        <f>INDEX(Input!$1:$1048576,F$93,$C410*2+MIN($B410,2)+5)</f>
        <v>0</v>
      </c>
      <c r="G410" s="475">
        <f>INDEX(Input!$1:$1048576,G$93,$C410*2+MIN($B410,2)+5)</f>
        <v>0</v>
      </c>
      <c r="H410" s="115">
        <f>INDEX(Input!$1:$1048576,H$93,$C410*2+MIN($B410,2)+5)</f>
        <v>0</v>
      </c>
      <c r="I410" s="118">
        <f>INDEX(Input!$1:$1048576,I$93,$C410*2+MIN($B410,2)+5)</f>
        <v>0.7</v>
      </c>
      <c r="J410" s="118" t="str">
        <f>INDEX(Input!$1:$1048576,J$93,$C410*2+MIN($B410,2)+5)</f>
        <v>Market</v>
      </c>
      <c r="K410" s="118" t="str">
        <f>INDEX(Input!$1:$1048576,K$93,$C410*2+MIN($B410,2)+5)</f>
        <v>Market</v>
      </c>
      <c r="L410" s="118" t="str">
        <f>INDEX(Input!$1:$1048576,L$93,$C410*2+MIN($B410,2)+5)</f>
        <v>Market</v>
      </c>
      <c r="M410" s="118" t="str">
        <f>INDEX(Input!$1:$1048576,M$93,$C410*2+MIN($B410,2)+5)</f>
        <v>Market</v>
      </c>
      <c r="N410" s="118" t="str">
        <f>INDEX(Input!$1:$1048576,N$93,$C410*2+MIN($B410,2)+5)</f>
        <v>Market</v>
      </c>
      <c r="O410" s="118" t="str">
        <f>INDEX(Input!$1:$1048576,O$93,$C410*2+MIN($B410,2)+5)</f>
        <v>Market</v>
      </c>
      <c r="P410" s="118" t="str">
        <f>INDEX(Input!$1:$1048576,P$93,$C410*2+MIN($B410,2)+5)</f>
        <v>N</v>
      </c>
      <c r="Q410" s="30">
        <f>INDEX(Input!$1:$1048576,Q$93,$C410*2+MIN($B410,2)+5)</f>
        <v>0</v>
      </c>
      <c r="R410" s="383">
        <f>INDEX(Input!$1:$1048576,R$93,$C410*2+MIN($B410,2)+5)</f>
        <v>0</v>
      </c>
      <c r="S410" s="383">
        <f>INDEX(Input!$1:$1048576,S$93,$C410*2+MIN($B410,2)+5)</f>
        <v>0</v>
      </c>
      <c r="T410" s="383">
        <f>INDEX(Input!$1:$1048576,T$93,$C410*2+MIN($B410,2)+5)</f>
        <v>0</v>
      </c>
      <c r="U410" s="383">
        <f>INDEX(Input!$1:$1048576,U$93,$C410*2+MIN($B410,2)+5)</f>
        <v>0</v>
      </c>
      <c r="V410" s="383">
        <f>INDEX(Input!$1:$1048576,V$93,$C410*2+MIN($B410,2)+5)</f>
        <v>1.9E-2</v>
      </c>
      <c r="W410" s="884">
        <f>INDEX(Input!$1:$1048576,W$93,$C410*2+MIN($B410,2)+5)</f>
        <v>3.9E-2</v>
      </c>
      <c r="X410" s="118" t="str">
        <f>INDEX(Input!$1:$1048576,X$93,$C410*2+MIN($B410,2)+5)</f>
        <v>Y</v>
      </c>
      <c r="Y410" s="150">
        <f>INDEX(Input!$1:$1048576,Y$93,$C410*2+MIN($B410,2)+5)</f>
        <v>-870</v>
      </c>
      <c r="Z410" s="30">
        <f>INDEX(Input!$1:$1048576,Z$93,$C410*2+MIN($B410,2)+5)</f>
        <v>0</v>
      </c>
      <c r="AA410" s="115">
        <f>INDEX(Input!$1:$1048576,AA$93,$C410*2+MIN($B410,2)+5)</f>
        <v>0</v>
      </c>
      <c r="AB410" s="118">
        <f>INDEX(Input!$1:$1048576,AB$93,$C410*2+MIN($B410,2)+5)</f>
        <v>0.27</v>
      </c>
      <c r="AC410" s="115">
        <f>INDEX(Input!$1:$1048576,AC$93,$C410*2+MIN($B410,2)+5)</f>
        <v>0</v>
      </c>
      <c r="AD410" s="118">
        <f>INDEX(Input!$1:$1048576,AD$93,$C410*2+MIN($B410,2)+5)</f>
        <v>0.27</v>
      </c>
      <c r="AE410" s="115">
        <f>INDEX(Input!$1:$1048576,AE$93,$C410*2+MIN($B410,2)+5)</f>
        <v>0</v>
      </c>
      <c r="AF410" s="118">
        <f>INDEX(Input!$1:$1048576,AF$93,$C410*2+MIN($B410,2)+5)</f>
        <v>1</v>
      </c>
      <c r="AG410" s="115">
        <f>INDEX(Input!$1:$1048576,AG$93,$C410*2+MIN($B410,2)+5)</f>
        <v>500</v>
      </c>
      <c r="AH410" s="118">
        <f>INDEX(Input!$1:$1048576,AH$93,$C410*2+MIN($B410,2)+5)</f>
        <v>0.83199999999999996</v>
      </c>
      <c r="AI410" s="115">
        <f>INDEX(Input!$1:$1048576,AI$93,$C410*2+MIN($B410,2)+5)</f>
        <v>0</v>
      </c>
      <c r="AJ410" s="118">
        <f>INDEX(Input!$1:$1048576,AJ$93,$C410*2+MIN($B410,2)+5)</f>
        <v>0.27</v>
      </c>
      <c r="AK410" s="150">
        <f>ROUND(INDEX(Input!$1:$1048576,AK$93,$C409*2+MIN($B410,1)+5)+(Y410-VLOOKUP($C410*1000+1,$A:$HH,Y$92,FALSE)),0)</f>
        <v>2587</v>
      </c>
      <c r="AL410" s="150">
        <f>ROUND(INDEX(Input!$1:$1048576,AL$93,$C409*2+MIN($B410,1)+5)-(Y410-VLOOKUP($C410*1000+1,$A:$HH,Y$92,FALSE))/36,0)</f>
        <v>3406</v>
      </c>
      <c r="AM410" s="32" t="str">
        <f t="shared" si="1139"/>
        <v>std/std/std/std</v>
      </c>
      <c r="AN410" s="32" t="str">
        <f t="shared" si="1140"/>
        <v>$0 + 0/0/0/1.9/3.9</v>
      </c>
      <c r="AO410" s="32" t="str">
        <f t="shared" si="1141"/>
        <v>0/0/0/1.9/3.9</v>
      </c>
      <c r="AP410" s="32" t="str">
        <f t="shared" si="993"/>
        <v>0/0.9/1.9/3.9</v>
      </c>
      <c r="AQ410" s="536">
        <f t="shared" si="992"/>
        <v>0.45557125972587914</v>
      </c>
      <c r="AR410" s="32"/>
      <c r="AS410" s="302"/>
      <c r="AT410" s="3">
        <f t="shared" si="1162"/>
        <v>10</v>
      </c>
      <c r="AU410" s="41" t="s">
        <v>121</v>
      </c>
      <c r="AV410" s="41" t="s">
        <v>116</v>
      </c>
      <c r="AW410" s="41" t="str">
        <f>INDEX(Input!$1:$1048576,AW$93,$C410*2+6)</f>
        <v>Kia</v>
      </c>
      <c r="AX410" s="41" t="str">
        <f>INDEX(Input!$1:$1048576,AX$93,$C410*2+6)</f>
        <v>Kia-LR - R1</v>
      </c>
      <c r="AY410" s="41" t="str">
        <f>IF(LEN(D410)=0,"",INDEX(Input!$1:$1048576,AY$93,$C410*2+6))</f>
        <v>Compact SUV (52)</v>
      </c>
      <c r="AZ410" s="41" t="str">
        <f>INDEX(Input!$1:$1048576,AZ$93,$C410*2+6)</f>
        <v>Kia Soul</v>
      </c>
      <c r="BA410" s="3">
        <f>INDEX(Input!$1:$1048576,BA$93,$C410*2+6)</f>
        <v>2020</v>
      </c>
      <c r="BB410" s="128">
        <f>INDEX(Input!$1:$1048576,BB$93,$C410*2+6)</f>
        <v>1</v>
      </c>
      <c r="BC410" s="128">
        <f>INDEX(Input!$1:$1048576,BC$93,$C410*2+6)</f>
        <v>0.7</v>
      </c>
      <c r="BD410" s="1">
        <f>INDEX(Input!$1:$1048576,BD$93,$C410*2+6)</f>
        <v>4.4999999999999998E-2</v>
      </c>
      <c r="BE410" s="1">
        <f>INDEX(Input!$1:$1048576,BE$93,$C410*2+6)</f>
        <v>4.4999999999999998E-2</v>
      </c>
      <c r="BF410" s="1">
        <f>INDEX(Input!$1:$1048576,BF$93,$C410*2+6)</f>
        <v>0.05</v>
      </c>
      <c r="BG410" s="1">
        <f>INDEX(Input!$1:$1048576,BG$93,$C410*2+6)</f>
        <v>5.45E-2</v>
      </c>
      <c r="BH410" s="1">
        <f>INDEX(Input!$1:$1048576,BH$93,$C410*2+6)</f>
        <v>5.45E-2</v>
      </c>
      <c r="BI410" s="1">
        <f>INDEX(Input!$1:$1048576,BI$93,$C410*2+6)</f>
        <v>0.05</v>
      </c>
      <c r="BJ410" s="1">
        <f>INDEX(Input!$1:$1048576,BJ$93,$C410*2+6)</f>
        <v>0.05</v>
      </c>
      <c r="BK410" s="1">
        <f>INDEX(Input!$1:$1048576,BK$93,$C410*2+6)</f>
        <v>0.05</v>
      </c>
      <c r="BL410" s="1">
        <f>INDEX(Input!$1:$1048576,BL$93,$C410*2+6)</f>
        <v>5.5E-2</v>
      </c>
      <c r="BM410" s="1">
        <f>INDEX(Input!$1:$1048576,BM$93,$C410*2+6)</f>
        <v>0.06</v>
      </c>
      <c r="BN410" s="1">
        <f>INDEX(Input!$1:$1048576,BN$93,$C410*2+6)</f>
        <v>4.4999999999999998E-2</v>
      </c>
      <c r="BO410" s="1">
        <f>INDEX(Input!$1:$1048576,BO$93,$C410*2+6)</f>
        <v>4.4999999999999998E-2</v>
      </c>
      <c r="BP410" s="1">
        <f>INDEX(Input!$1:$1048576,BP$93,$C410*2+6)</f>
        <v>0.05</v>
      </c>
      <c r="BQ410" s="1">
        <f>INDEX(Input!$1:$1048576,BQ$93,$C410*2+6)</f>
        <v>5.45E-2</v>
      </c>
      <c r="BR410" s="1">
        <f>INDEX(Input!$1:$1048576,BR$93,$C410*2+6)</f>
        <v>5.45E-2</v>
      </c>
      <c r="BS410" s="1">
        <f>INDEX(Input!$1:$1048576,BS$93,$C410*2+6)</f>
        <v>0.05</v>
      </c>
      <c r="BT410" s="1">
        <f>INDEX(Input!$1:$1048576,BT$93,$C410*2+6)</f>
        <v>0.05</v>
      </c>
      <c r="BU410" s="1">
        <f>INDEX(Input!$1:$1048576,BU$93,$C410*2+6)</f>
        <v>0.05</v>
      </c>
      <c r="BV410" s="1">
        <f>INDEX(Input!$1:$1048576,BV$93,$C410*2+6)</f>
        <v>5.5E-2</v>
      </c>
      <c r="BW410" s="1">
        <f>INDEX(Input!$1:$1048576,BW$93,$C410*2+6)</f>
        <v>0.06</v>
      </c>
      <c r="BX410" s="127">
        <f>INDEX(Input!$1:$1048576,BX$93,$C410*2+6)</f>
        <v>19985</v>
      </c>
      <c r="BY410" s="20">
        <f>INDEX(Input!$1:$1048576,BY$93,$C410*2+6)</f>
        <v>0.1</v>
      </c>
      <c r="BZ410" s="20">
        <f>INDEX(Input!$1:$1048576,BZ$93,$C410*2+6)</f>
        <v>0.1</v>
      </c>
      <c r="CA410" s="20">
        <f>INDEX(Input!$1:$1048576,CA$93,$C410*2+6)</f>
        <v>0.1</v>
      </c>
      <c r="CB410" s="20">
        <f>INDEX(Input!$1:$1048576,CB$93,$C410*2+6)</f>
        <v>0.1</v>
      </c>
      <c r="CC410" s="20">
        <f>INDEX(Input!$1:$1048576,CC$93,$C410*2+6)</f>
        <v>0.1</v>
      </c>
      <c r="CD410" s="384">
        <f>INDEX(Input!$1:$1048576,CD$93,$C410*2+6)</f>
        <v>0.1</v>
      </c>
      <c r="CE410" s="384">
        <f>INDEX(Input!$1:$1048576,CE$93,$C410*2+6)</f>
        <v>0.1</v>
      </c>
      <c r="CF410" s="384">
        <f>INDEX(Input!$1:$1048576,CF$93,$C410*2+6)</f>
        <v>0.1</v>
      </c>
      <c r="CG410" s="384">
        <f>INDEX(Input!$1:$1048576,CG$93,$C410*2+6)</f>
        <v>0.1</v>
      </c>
      <c r="CH410" s="384">
        <f>INDEX(Input!$1:$1048576,CH$93,$C410*2+6)</f>
        <v>0.1</v>
      </c>
      <c r="CI410" s="304">
        <f t="shared" si="994"/>
        <v>1756.832975525977</v>
      </c>
      <c r="CJ410" s="16" t="str">
        <f>INDEX(Input!$1:$1048576,CJ$93,$C410*2+6)</f>
        <v>N</v>
      </c>
      <c r="CK410" s="1" t="str">
        <f t="shared" si="995"/>
        <v>Market</v>
      </c>
      <c r="CL410" s="1" t="str">
        <f t="shared" si="996"/>
        <v>Market</v>
      </c>
      <c r="CM410" s="1" t="str">
        <f t="shared" si="997"/>
        <v>Market</v>
      </c>
      <c r="CN410" s="1" t="str">
        <f t="shared" si="998"/>
        <v>Market</v>
      </c>
      <c r="CO410" s="1" t="str">
        <f t="shared" si="999"/>
        <v>Market</v>
      </c>
      <c r="CP410" s="304">
        <f t="shared" si="1000"/>
        <v>416</v>
      </c>
      <c r="CQ410" s="1">
        <f t="shared" si="1001"/>
        <v>0</v>
      </c>
      <c r="CR410" s="1">
        <f t="shared" si="1002"/>
        <v>0</v>
      </c>
      <c r="CS410" s="1">
        <f t="shared" si="1003"/>
        <v>0</v>
      </c>
      <c r="CT410" s="1">
        <f t="shared" si="1004"/>
        <v>1.9E-2</v>
      </c>
      <c r="CU410" s="1">
        <f t="shared" si="1005"/>
        <v>3.9E-2</v>
      </c>
      <c r="CV410" s="304">
        <f t="shared" si="1006"/>
        <v>-870</v>
      </c>
      <c r="CW410" s="20" t="s">
        <v>122</v>
      </c>
      <c r="CX410" s="20" t="s">
        <v>122</v>
      </c>
      <c r="CY410" s="20" t="s">
        <v>122</v>
      </c>
      <c r="CZ410" s="20" t="s">
        <v>122</v>
      </c>
      <c r="DA410" s="20" t="s">
        <v>122</v>
      </c>
      <c r="DB410" s="503">
        <f t="shared" si="1007"/>
        <v>0</v>
      </c>
      <c r="DC410" s="127">
        <v>0</v>
      </c>
      <c r="DD410" s="127">
        <v>0</v>
      </c>
      <c r="DE410" s="127">
        <v>0</v>
      </c>
      <c r="DF410" s="127">
        <v>0</v>
      </c>
      <c r="DG410" s="127">
        <v>0</v>
      </c>
      <c r="DH410" s="127">
        <v>0</v>
      </c>
      <c r="DI410" s="127">
        <v>0</v>
      </c>
      <c r="DJ410" s="127">
        <v>0</v>
      </c>
      <c r="DK410" s="127">
        <v>0</v>
      </c>
      <c r="DL410" s="127">
        <v>0</v>
      </c>
      <c r="DM410" s="304">
        <f>INDEX(Input!$1:$1048576,DM$93,$C410*2+6)</f>
        <v>21036.84210526316</v>
      </c>
      <c r="DN410" s="20">
        <v>0</v>
      </c>
      <c r="DO410" s="20">
        <v>0</v>
      </c>
      <c r="DP410" s="20">
        <v>0</v>
      </c>
      <c r="DQ410" s="20">
        <v>0</v>
      </c>
      <c r="DR410" s="20">
        <v>0</v>
      </c>
      <c r="DS410" s="20">
        <f>INDEX(Input!$1:$1048576,DS$93,$C410*2+6)</f>
        <v>0.6</v>
      </c>
      <c r="DT410" s="20">
        <f>INDEX(Input!$1:$1048576,DT$93,$C410*2+6)</f>
        <v>0.55000000000000004</v>
      </c>
      <c r="DU410" s="20">
        <f>INDEX(Input!$1:$1048576,DU$93,$C410*2+6)</f>
        <v>0.52</v>
      </c>
      <c r="DV410" s="20">
        <f>INDEX(Input!$1:$1048576,DV$93,$C410*2+6)</f>
        <v>0.5</v>
      </c>
      <c r="DW410" s="20">
        <f>INDEX(Input!$1:$1048576,DW$93,$C410*2+6)</f>
        <v>0.45</v>
      </c>
      <c r="DX410" s="20"/>
      <c r="DY410" s="7">
        <v>0.10980755081046148</v>
      </c>
      <c r="DZ410" s="7">
        <v>0</v>
      </c>
      <c r="EA410" s="7">
        <v>0.81539090948369009</v>
      </c>
      <c r="EB410" s="7">
        <v>0</v>
      </c>
      <c r="EC410" s="7">
        <v>0</v>
      </c>
      <c r="ED410" s="7">
        <v>0</v>
      </c>
      <c r="EE410" s="7">
        <v>0</v>
      </c>
      <c r="EF410" s="7">
        <v>0</v>
      </c>
      <c r="EG410" s="7">
        <v>0</v>
      </c>
      <c r="EH410" s="7">
        <v>1.2277909153096392E-2</v>
      </c>
      <c r="EI410" s="7">
        <v>3.2085645127933007E-2</v>
      </c>
      <c r="EJ410" s="7">
        <v>0.22517999613401546</v>
      </c>
      <c r="EK410" s="7">
        <v>0.59319627976422795</v>
      </c>
      <c r="EL410" s="7">
        <v>0.13726016982072767</v>
      </c>
      <c r="EM410" s="7">
        <v>3.3837247670157874E-2</v>
      </c>
      <c r="EN410" s="7">
        <v>5.0442238213342178E-2</v>
      </c>
      <c r="EO410" s="7">
        <v>0.71272828148963374</v>
      </c>
      <c r="EP410" s="7">
        <v>0.10249910517927152</v>
      </c>
      <c r="EQ410" s="7">
        <v>8.9965887738680972E-2</v>
      </c>
      <c r="ER410" s="7">
        <v>4.4364487379071491E-2</v>
      </c>
      <c r="ES410" s="7">
        <v>4.0964292035690519E-2</v>
      </c>
      <c r="ET410" s="7">
        <v>7.4801539705848463E-2</v>
      </c>
      <c r="EU410" s="6">
        <v>2270</v>
      </c>
      <c r="EV410" s="6">
        <v>0</v>
      </c>
      <c r="EW410" s="6">
        <v>2270</v>
      </c>
      <c r="EX410" s="6">
        <v>0</v>
      </c>
      <c r="EY410" s="6">
        <v>2483.446760733048</v>
      </c>
      <c r="EZ410" s="6">
        <v>507</v>
      </c>
      <c r="FA410" s="6">
        <v>0</v>
      </c>
      <c r="FB410" s="6">
        <v>0</v>
      </c>
      <c r="FC410" s="6">
        <v>0</v>
      </c>
      <c r="FD410" s="6">
        <v>0</v>
      </c>
      <c r="FE410" s="6">
        <v>0</v>
      </c>
      <c r="FF410" s="6">
        <v>0</v>
      </c>
      <c r="FG410" s="6">
        <v>0</v>
      </c>
      <c r="FH410" s="6">
        <v>1169.8056796806845</v>
      </c>
      <c r="FI410" s="6">
        <v>1553.9796069512413</v>
      </c>
      <c r="FJ410" s="6">
        <v>2101.2110117447423</v>
      </c>
      <c r="FK410" s="6">
        <v>1772.7139978623234</v>
      </c>
      <c r="FL410" s="6">
        <v>907.07682140966335</v>
      </c>
      <c r="FM410" s="6">
        <v>1713.4467607330478</v>
      </c>
      <c r="FN410" s="6">
        <v>0</v>
      </c>
      <c r="FO410" s="6">
        <v>0</v>
      </c>
      <c r="FP410" s="6">
        <v>0</v>
      </c>
      <c r="FQ410" s="6">
        <v>0</v>
      </c>
      <c r="FR410" s="6">
        <v>0</v>
      </c>
      <c r="FS410" s="6">
        <v>0</v>
      </c>
      <c r="FT410" s="7">
        <v>0.92519846029415154</v>
      </c>
      <c r="FU410" s="7">
        <v>3.3837247670157874E-2</v>
      </c>
      <c r="FV410" s="7">
        <v>4.0964292035690519E-2</v>
      </c>
      <c r="FW410" s="6">
        <v>2270.0000000000005</v>
      </c>
      <c r="FX410" s="6">
        <v>2483.446760733048</v>
      </c>
      <c r="FY410" s="6">
        <v>507</v>
      </c>
      <c r="FZ410" s="6">
        <v>1949.5716051445115</v>
      </c>
      <c r="GA410" s="6">
        <v>2205.0024040483945</v>
      </c>
      <c r="GB410" s="6">
        <v>17779.997595951605</v>
      </c>
      <c r="GC410" s="7">
        <v>3.3872851927908169E-2</v>
      </c>
      <c r="GD410" s="7">
        <v>3.5410751603758263E-2</v>
      </c>
      <c r="GE410" s="7"/>
      <c r="GF410" s="7"/>
      <c r="GG410" s="7">
        <v>4.5402131450968941E-2</v>
      </c>
      <c r="GH410" s="42">
        <v>3.5522795251838395</v>
      </c>
      <c r="GI410" s="6">
        <v>7830.9673255351745</v>
      </c>
      <c r="GJ410" s="14">
        <v>0.50394797582841744</v>
      </c>
      <c r="GK410" s="14">
        <v>0.50887573065309766</v>
      </c>
      <c r="GL410" s="14">
        <v>0.49605202417158284</v>
      </c>
      <c r="GM410" s="14">
        <v>0.49112426934690256</v>
      </c>
      <c r="GO410" s="5">
        <v>343.14810671672558</v>
      </c>
      <c r="GP410" s="5">
        <v>299.84083725090579</v>
      </c>
      <c r="GQ410" s="5">
        <v>535.04305713031317</v>
      </c>
      <c r="GR410" s="5">
        <v>410.15490233172511</v>
      </c>
      <c r="GS410" s="5">
        <v>339.42744393800166</v>
      </c>
      <c r="GT410" s="5">
        <v>293.4407446948278</v>
      </c>
      <c r="GU410" s="5">
        <v>258.04012322764959</v>
      </c>
      <c r="GV410" s="39" t="s">
        <v>392</v>
      </c>
      <c r="GW410" s="5">
        <v>478.23611111111109</v>
      </c>
      <c r="GX410" s="5">
        <v>358.67708333333331</v>
      </c>
      <c r="GY410" s="5">
        <v>286.94166666666666</v>
      </c>
      <c r="GZ410" s="5">
        <v>253.19574071601335</v>
      </c>
      <c r="HA410" s="5">
        <v>234.53733318419432</v>
      </c>
      <c r="HB410" s="39">
        <v>264.38105415504594</v>
      </c>
      <c r="HC410" s="5">
        <v>265.10312499999998</v>
      </c>
      <c r="HD410" s="5">
        <v>224.66580774853799</v>
      </c>
      <c r="HE410" s="5">
        <v>226.90661690283397</v>
      </c>
      <c r="HF410" s="5">
        <v>209.18438048245613</v>
      </c>
      <c r="HG410" s="5">
        <v>200.91388157894738</v>
      </c>
      <c r="HH410" s="39">
        <v>224.48869509500324</v>
      </c>
      <c r="HI410" s="16"/>
      <c r="HJ410" s="19" t="str">
        <f t="shared" si="1163"/>
        <v>On</v>
      </c>
      <c r="HK410" s="1" t="str">
        <f t="shared" si="1163"/>
        <v>On</v>
      </c>
      <c r="HL410" s="16"/>
      <c r="HM410" s="639">
        <f t="shared" si="1110"/>
        <v>2.9403358434788716E-2</v>
      </c>
      <c r="HN410" s="639">
        <f t="shared" si="1111"/>
        <v>1.4106809950923669E-3</v>
      </c>
      <c r="HO410" s="639">
        <f t="shared" si="1112"/>
        <v>1.7317923025048877E-3</v>
      </c>
      <c r="HP410" s="644">
        <f>(FT410*$GD410-HM410)/$JF410*INDEX(Input!$1:$1048576,$JG$93,$C410*2+6)</f>
        <v>240.34454133767466</v>
      </c>
      <c r="HQ410" s="644">
        <f>(FU410*$GD410-HN410)/$JF410*INDEX(Input!$1:$1048576,$JG$93,$C410*2+6)</f>
        <v>-15.205102661959303</v>
      </c>
      <c r="HR410" s="644">
        <f>(FV410*$GD410-HO410)/$JF410*INDEX(Input!$1:$1048576,$JG$93,$C410*2+6)</f>
        <v>-20.123987379491801</v>
      </c>
      <c r="HS410" s="644">
        <f t="shared" si="1113"/>
        <v>-102.19426589518741</v>
      </c>
      <c r="HT410" s="644">
        <f t="shared" si="1114"/>
        <v>40.569118783571113</v>
      </c>
      <c r="HU410" s="644">
        <f t="shared" si="1115"/>
        <v>10.536902687725597</v>
      </c>
      <c r="HV410" s="648">
        <f t="shared" si="1116"/>
        <v>0</v>
      </c>
      <c r="HW410" s="648">
        <f t="shared" si="1117"/>
        <v>0</v>
      </c>
      <c r="HX410" s="648">
        <f t="shared" si="1118"/>
        <v>0</v>
      </c>
      <c r="HY410" s="644">
        <f>INDEX(Input!$1:$1048576,HY$93,$C410*2+6)*INDEX(Input!$1:$1048576,$JG$93,$C410*2+6)</f>
        <v>993</v>
      </c>
      <c r="HZ410" s="644">
        <f>INDEX(Input!$1:$1048576,HZ$93,$C410*2+6)*INDEX(Input!$1:$1048576,$JG$93,$C410*2+6)</f>
        <v>1216</v>
      </c>
      <c r="IA410" s="644">
        <f>INDEX(Input!$1:$1048576,IA$93,$C410*2+6)*INDEX(Input!$1:$1048576,$JG$93,$C410*2+6)</f>
        <v>120</v>
      </c>
      <c r="IB410" s="644">
        <f t="shared" si="1142"/>
        <v>1131.1502754424873</v>
      </c>
      <c r="IC410" s="644">
        <f t="shared" si="1143"/>
        <v>1241.3640161216119</v>
      </c>
      <c r="ID410" s="644">
        <f>IF(AND(INDEX(Input!$1:$1048576,IA$93,$C410*2+7)="TOS",Y410&lt;=INDEX(Y:Y,MATCH(C410*1000+2,A:A))),0,1)*MAX(IA410+HR410+HU410+HX410,0%)</f>
        <v>110.41291530823379</v>
      </c>
      <c r="IE410" s="128">
        <f t="shared" si="1178"/>
        <v>0.45557125972587914</v>
      </c>
      <c r="IF410" s="128">
        <f t="shared" si="1165"/>
        <v>0.49995989116624967</v>
      </c>
      <c r="IG410" s="128">
        <f t="shared" si="1120"/>
        <v>4.4468849107871168E-2</v>
      </c>
      <c r="IH410" s="21"/>
      <c r="II410" s="19">
        <f t="shared" si="1121"/>
        <v>1490</v>
      </c>
      <c r="IJ410" s="19">
        <f t="shared" si="1122"/>
        <v>2203.2561351629856</v>
      </c>
      <c r="IK410" s="19">
        <f t="shared" si="1123"/>
        <v>242</v>
      </c>
      <c r="IL410" s="19">
        <f t="shared" si="1145"/>
        <v>780.00000000000045</v>
      </c>
      <c r="IM410" s="19">
        <f t="shared" si="1124"/>
        <v>280.19062557006237</v>
      </c>
      <c r="IN410" s="19">
        <f t="shared" si="1125"/>
        <v>265</v>
      </c>
      <c r="IO410" s="39">
        <f t="shared" si="1126"/>
        <v>0</v>
      </c>
      <c r="IP410" s="39">
        <f t="shared" si="1127"/>
        <v>0</v>
      </c>
      <c r="IQ410" s="39">
        <f t="shared" si="1128"/>
        <v>0</v>
      </c>
      <c r="IR410" s="39">
        <v>0</v>
      </c>
      <c r="IS410" s="39">
        <v>0</v>
      </c>
      <c r="IT410" s="39">
        <v>0</v>
      </c>
      <c r="IU410" s="39">
        <v>0</v>
      </c>
      <c r="IV410" s="39">
        <v>0</v>
      </c>
      <c r="IW410" s="39">
        <v>0</v>
      </c>
      <c r="IX410" s="39">
        <f>INDEX(Input!$1:$1048576,IX$93,$C410*2+6)+INDEX(Input!$1:$1048576,IX$94,$C410*2+6)</f>
        <v>1770</v>
      </c>
      <c r="IY410" s="39">
        <f>INDEX(Input!$1:$1048576,IY$93,$C410*2+6)+INDEX(Input!$1:$1048576,IY$94,$C410*2+6)</f>
        <v>2630.0624533823611</v>
      </c>
      <c r="IZ410" s="39">
        <f>INDEX(Input!$1:$1048576,IZ$93,$C410*2+6)+INDEX(Input!$1:$1048576,IZ$94,$C410*2+6)</f>
        <v>4153.7164157747848</v>
      </c>
      <c r="JA410" s="19">
        <f t="shared" si="1146"/>
        <v>2550.0000000000005</v>
      </c>
      <c r="JB410" s="19">
        <f t="shared" si="1147"/>
        <v>2910.2530789524235</v>
      </c>
      <c r="JC410" s="19">
        <f t="shared" si="1148"/>
        <v>4418.7164157747848</v>
      </c>
      <c r="JD410" s="19">
        <f t="shared" si="1149"/>
        <v>2813.2117584638509</v>
      </c>
      <c r="JE410" s="21"/>
      <c r="JF410" s="1">
        <f t="shared" si="1129"/>
        <v>3.2545831732385969E-2</v>
      </c>
      <c r="JG410" s="15">
        <f>INDEX(Input!$1:$1048576,JG$93,$C410*2+6)/(1+VLOOKUP(C410*1000+INDEX(Input!$1:$1048576,JG$93+1,$C410*2+6),$A:$KK,$JK$92,FALSE))</f>
        <v>2329</v>
      </c>
      <c r="JH410" s="1">
        <f t="shared" si="1150"/>
        <v>8.8027244008683364E-2</v>
      </c>
      <c r="JI410" s="1">
        <f t="shared" si="1151"/>
        <v>-2.1935699623825976E-2</v>
      </c>
      <c r="JJ410" s="1">
        <f t="shared" si="1152"/>
        <v>0</v>
      </c>
      <c r="JK410" s="1">
        <f t="shared" si="1179"/>
        <v>6.6091544384857384E-2</v>
      </c>
      <c r="JL410" s="15">
        <f t="shared" si="1154"/>
        <v>153.92720687233285</v>
      </c>
      <c r="JM410" s="15">
        <f t="shared" si="1180"/>
        <v>2482.927206872333</v>
      </c>
      <c r="JN410" s="21"/>
      <c r="JO410" s="19">
        <f>INDEX(Input!$1:$1048576,JO$93,$C410*2+6)</f>
        <v>5995.5</v>
      </c>
      <c r="JP410" s="19">
        <f>INDEX(Input!$1:$1048576,JP$93,$C410*2+6)</f>
        <v>2341.8685758720158</v>
      </c>
      <c r="JQ410" s="39">
        <f t="shared" si="1166"/>
        <v>3182.2882415361491</v>
      </c>
      <c r="JR410" s="39">
        <f t="shared" si="1183"/>
        <v>471.3431825918351</v>
      </c>
      <c r="JS410" s="39">
        <f t="shared" si="1168"/>
        <v>6.9850000137830532</v>
      </c>
      <c r="JT410" s="39">
        <f t="shared" si="1156"/>
        <v>1.5307881005771291</v>
      </c>
      <c r="JU410" s="385">
        <f>(JQ410*JM410-INDEX(Input!$1:$1048576,Input!A$18,$C410*2+6)*JL410*INDEX(Input!$1:$1048576,Input!A$19,$C410*2+6))/1000000</f>
        <v>7.9013900550200198</v>
      </c>
      <c r="JV410" s="39">
        <f t="shared" si="1132"/>
        <v>-0.60791753177405461</v>
      </c>
      <c r="JW410" s="1">
        <f t="shared" si="1181"/>
        <v>-7.1441480469868715E-2</v>
      </c>
      <c r="JX410" s="19">
        <f t="shared" si="1172"/>
        <v>9944.8832450183017</v>
      </c>
      <c r="JZ410" s="341"/>
      <c r="KA410" s="342"/>
      <c r="KB410" s="469">
        <f t="shared" si="1169"/>
        <v>2.3434325605641804</v>
      </c>
      <c r="KI410" s="473">
        <f t="shared" si="1170"/>
        <v>138.15027544248733</v>
      </c>
      <c r="KJ410" s="473">
        <f t="shared" si="1157"/>
        <v>25.36401612161194</v>
      </c>
      <c r="KK410" s="473">
        <f t="shared" si="1158"/>
        <v>-9.5870846917662078</v>
      </c>
      <c r="KN410" s="544">
        <f t="shared" si="1173"/>
        <v>4002</v>
      </c>
      <c r="KO410" s="541">
        <f t="shared" si="1133"/>
        <v>2.6591876629348254E-2</v>
      </c>
      <c r="KP410" s="546">
        <f t="shared" si="1134"/>
        <v>227.85744663731103</v>
      </c>
      <c r="KQ410" s="546">
        <f t="shared" si="1135"/>
        <v>188.4405704278297</v>
      </c>
      <c r="KR410" s="548">
        <f t="shared" si="1136"/>
        <v>2.026008232944934</v>
      </c>
      <c r="KS410" s="548">
        <f t="shared" si="1137"/>
        <v>2.4497965686312</v>
      </c>
      <c r="KT410" s="473">
        <f t="shared" si="1171"/>
        <v>1580.0986321700548</v>
      </c>
      <c r="KU410" s="663">
        <f t="shared" si="1159"/>
        <v>4.0590452942189099</v>
      </c>
      <c r="KV410" s="117" t="e">
        <f t="shared" ref="KV410:KV411" si="1184">RANK(KU410,$KU$109:$KU$200)</f>
        <v>#N/A</v>
      </c>
    </row>
    <row r="411" spans="1:310" s="26" customFormat="1" ht="15">
      <c r="A411" s="561">
        <f t="shared" si="1138"/>
        <v>4011</v>
      </c>
      <c r="B411" s="561">
        <f t="shared" si="1160"/>
        <v>11</v>
      </c>
      <c r="C411" s="561">
        <f t="shared" si="1161"/>
        <v>4</v>
      </c>
      <c r="D411" s="561" t="str">
        <f t="shared" si="1182"/>
        <v xml:space="preserve">750 CC, </v>
      </c>
      <c r="E411" s="475">
        <f>INDEX(Input!$1:$1048576,E$93,$C411*2+MIN($B411,2)+5)+IF(OR(BX411&gt;50000,INDEX(Input!$1:$1048576,E$93,$C411*2+MIN($B411,2)+5)&gt;0),0,250)+IF(BX411&gt;50000,500,250)*3</f>
        <v>2006.832975525977</v>
      </c>
      <c r="F411" s="475">
        <f>INDEX(Input!$1:$1048576,F$93,$C411*2+MIN($B411,2)+5)</f>
        <v>0</v>
      </c>
      <c r="G411" s="475">
        <f>INDEX(Input!$1:$1048576,G$93,$C411*2+MIN($B411,2)+5)</f>
        <v>0</v>
      </c>
      <c r="H411" s="115">
        <f>INDEX(Input!$1:$1048576,H$93,$C411*2+MIN($B411,2)+5)</f>
        <v>0</v>
      </c>
      <c r="I411" s="118">
        <f>INDEX(Input!$1:$1048576,I$93,$C411*2+MIN($B411,2)+5)</f>
        <v>0.7</v>
      </c>
      <c r="J411" s="118" t="str">
        <f>INDEX(Input!$1:$1048576,J$93,$C411*2+MIN($B411,2)+5)</f>
        <v>Market</v>
      </c>
      <c r="K411" s="118" t="str">
        <f>INDEX(Input!$1:$1048576,K$93,$C411*2+MIN($B411,2)+5)</f>
        <v>Market</v>
      </c>
      <c r="L411" s="118" t="str">
        <f>INDEX(Input!$1:$1048576,L$93,$C411*2+MIN($B411,2)+5)</f>
        <v>Market</v>
      </c>
      <c r="M411" s="118" t="str">
        <f>INDEX(Input!$1:$1048576,M$93,$C411*2+MIN($B411,2)+5)</f>
        <v>Market</v>
      </c>
      <c r="N411" s="118" t="str">
        <f>INDEX(Input!$1:$1048576,N$93,$C411*2+MIN($B411,2)+5)</f>
        <v>Market</v>
      </c>
      <c r="O411" s="118" t="str">
        <f>INDEX(Input!$1:$1048576,O$93,$C411*2+MIN($B411,2)+5)</f>
        <v>Market</v>
      </c>
      <c r="P411" s="118" t="str">
        <f>INDEX(Input!$1:$1048576,P$93,$C411*2+MIN($B411,2)+5)</f>
        <v>N</v>
      </c>
      <c r="Q411" s="30">
        <f>INDEX(Input!$1:$1048576,Q$93,$C411*2+MIN($B411,2)+5)</f>
        <v>0</v>
      </c>
      <c r="R411" s="383">
        <f>INDEX(Input!$1:$1048576,R$93,$C411*2+MIN($B411,2)+5)</f>
        <v>0</v>
      </c>
      <c r="S411" s="383">
        <f>INDEX(Input!$1:$1048576,S$93,$C411*2+MIN($B411,2)+5)</f>
        <v>0</v>
      </c>
      <c r="T411" s="383">
        <f>INDEX(Input!$1:$1048576,T$93,$C411*2+MIN($B411,2)+5)</f>
        <v>0</v>
      </c>
      <c r="U411" s="383">
        <f>INDEX(Input!$1:$1048576,U$93,$C411*2+MIN($B411,2)+5)</f>
        <v>0</v>
      </c>
      <c r="V411" s="383">
        <f>INDEX(Input!$1:$1048576,V$93,$C411*2+MIN($B411,2)+5)</f>
        <v>1.9E-2</v>
      </c>
      <c r="W411" s="884">
        <f>INDEX(Input!$1:$1048576,W$93,$C411*2+MIN($B411,2)+5)</f>
        <v>3.9E-2</v>
      </c>
      <c r="X411" s="118" t="str">
        <f>INDEX(Input!$1:$1048576,X$93,$C411*2+MIN($B411,2)+5)</f>
        <v>Y</v>
      </c>
      <c r="Y411" s="150">
        <f>INDEX(Input!$1:$1048576,Y$93,$C411*2+MIN($B411,2)+5)</f>
        <v>-870</v>
      </c>
      <c r="Z411" s="30">
        <f>INDEX(Input!$1:$1048576,Z$93,$C411*2+MIN($B411,2)+5)</f>
        <v>0</v>
      </c>
      <c r="AA411" s="115">
        <f>INDEX(Input!$1:$1048576,AA$93,$C411*2+MIN($B411,2)+5)</f>
        <v>0</v>
      </c>
      <c r="AB411" s="118">
        <f>INDEX(Input!$1:$1048576,AB$93,$C411*2+MIN($B411,2)+5)</f>
        <v>0.27</v>
      </c>
      <c r="AC411" s="115">
        <f>INDEX(Input!$1:$1048576,AC$93,$C411*2+MIN($B411,2)+5)</f>
        <v>0</v>
      </c>
      <c r="AD411" s="118">
        <f>INDEX(Input!$1:$1048576,AD$93,$C411*2+MIN($B411,2)+5)</f>
        <v>0.27</v>
      </c>
      <c r="AE411" s="115">
        <f>INDEX(Input!$1:$1048576,AE$93,$C411*2+MIN($B411,2)+5)</f>
        <v>0</v>
      </c>
      <c r="AF411" s="118">
        <f>INDEX(Input!$1:$1048576,AF$93,$C411*2+MIN($B411,2)+5)</f>
        <v>1</v>
      </c>
      <c r="AG411" s="115">
        <f>INDEX(Input!$1:$1048576,AG$93,$C411*2+MIN($B411,2)+5)</f>
        <v>500</v>
      </c>
      <c r="AH411" s="118">
        <f>INDEX(Input!$1:$1048576,AH$93,$C411*2+MIN($B411,2)+5)</f>
        <v>0.83199999999999996</v>
      </c>
      <c r="AI411" s="115">
        <f>INDEX(Input!$1:$1048576,AI$93,$C411*2+MIN($B411,2)+5)</f>
        <v>0</v>
      </c>
      <c r="AJ411" s="118">
        <f>INDEX(Input!$1:$1048576,AJ$93,$C411*2+MIN($B411,2)+5)</f>
        <v>0.27</v>
      </c>
      <c r="AK411" s="150">
        <f>ROUND(INDEX(Input!$1:$1048576,AK$93,$C410*2+MIN($B411,1)+5)+(Y411-VLOOKUP($C411*1000+1,$A:$HH,Y$92,FALSE)),0)</f>
        <v>2587</v>
      </c>
      <c r="AL411" s="150">
        <f>ROUND(INDEX(Input!$1:$1048576,AL$93,$C410*2+MIN($B411,1)+5)-(Y411-VLOOKUP($C411*1000+1,$A:$HH,Y$92,FALSE))/36,0)</f>
        <v>3406</v>
      </c>
      <c r="AM411" s="32" t="str">
        <f t="shared" si="1139"/>
        <v>std/std/std/std</v>
      </c>
      <c r="AN411" s="32" t="str">
        <f t="shared" si="1140"/>
        <v>$0 + 0/0/0/1.9/3.9</v>
      </c>
      <c r="AO411" s="32" t="str">
        <f t="shared" si="1141"/>
        <v>0/0/0/1.9/3.9</v>
      </c>
      <c r="AP411" s="32" t="str">
        <f t="shared" si="993"/>
        <v>0/0.9/1.9/3.9</v>
      </c>
      <c r="AQ411" s="536">
        <f t="shared" si="992"/>
        <v>0.4702814178044053</v>
      </c>
      <c r="AR411" s="32"/>
      <c r="AS411" s="302"/>
      <c r="AT411" s="3">
        <f t="shared" si="1162"/>
        <v>11</v>
      </c>
      <c r="AU411" s="41" t="s">
        <v>121</v>
      </c>
      <c r="AV411" s="41" t="s">
        <v>116</v>
      </c>
      <c r="AW411" s="41" t="str">
        <f>INDEX(Input!$1:$1048576,AW$93,$C411*2+6)</f>
        <v>Kia</v>
      </c>
      <c r="AX411" s="41" t="str">
        <f>INDEX(Input!$1:$1048576,AX$93,$C411*2+6)</f>
        <v>Kia-LR - R1</v>
      </c>
      <c r="AY411" s="41" t="str">
        <f>IF(LEN(D411)=0,"",INDEX(Input!$1:$1048576,AY$93,$C411*2+6))</f>
        <v>Compact SUV (52)</v>
      </c>
      <c r="AZ411" s="41" t="str">
        <f>INDEX(Input!$1:$1048576,AZ$93,$C411*2+6)</f>
        <v>Kia Soul</v>
      </c>
      <c r="BA411" s="3">
        <f>INDEX(Input!$1:$1048576,BA$93,$C411*2+6)</f>
        <v>2020</v>
      </c>
      <c r="BB411" s="128">
        <f>INDEX(Input!$1:$1048576,BB$93,$C411*2+6)</f>
        <v>1</v>
      </c>
      <c r="BC411" s="128">
        <f>INDEX(Input!$1:$1048576,BC$93,$C411*2+6)</f>
        <v>0.7</v>
      </c>
      <c r="BD411" s="1">
        <f>INDEX(Input!$1:$1048576,BD$93,$C411*2+6)</f>
        <v>4.4999999999999998E-2</v>
      </c>
      <c r="BE411" s="1">
        <f>INDEX(Input!$1:$1048576,BE$93,$C411*2+6)</f>
        <v>4.4999999999999998E-2</v>
      </c>
      <c r="BF411" s="1">
        <f>INDEX(Input!$1:$1048576,BF$93,$C411*2+6)</f>
        <v>0.05</v>
      </c>
      <c r="BG411" s="1">
        <f>INDEX(Input!$1:$1048576,BG$93,$C411*2+6)</f>
        <v>5.45E-2</v>
      </c>
      <c r="BH411" s="1">
        <f>INDEX(Input!$1:$1048576,BH$93,$C411*2+6)</f>
        <v>5.45E-2</v>
      </c>
      <c r="BI411" s="1">
        <f>INDEX(Input!$1:$1048576,BI$93,$C411*2+6)</f>
        <v>0.05</v>
      </c>
      <c r="BJ411" s="1">
        <f>INDEX(Input!$1:$1048576,BJ$93,$C411*2+6)</f>
        <v>0.05</v>
      </c>
      <c r="BK411" s="1">
        <f>INDEX(Input!$1:$1048576,BK$93,$C411*2+6)</f>
        <v>0.05</v>
      </c>
      <c r="BL411" s="1">
        <f>INDEX(Input!$1:$1048576,BL$93,$C411*2+6)</f>
        <v>5.5E-2</v>
      </c>
      <c r="BM411" s="1">
        <f>INDEX(Input!$1:$1048576,BM$93,$C411*2+6)</f>
        <v>0.06</v>
      </c>
      <c r="BN411" s="1">
        <f>INDEX(Input!$1:$1048576,BN$93,$C411*2+6)</f>
        <v>4.4999999999999998E-2</v>
      </c>
      <c r="BO411" s="1">
        <f>INDEX(Input!$1:$1048576,BO$93,$C411*2+6)</f>
        <v>4.4999999999999998E-2</v>
      </c>
      <c r="BP411" s="1">
        <f>INDEX(Input!$1:$1048576,BP$93,$C411*2+6)</f>
        <v>0.05</v>
      </c>
      <c r="BQ411" s="1">
        <f>INDEX(Input!$1:$1048576,BQ$93,$C411*2+6)</f>
        <v>5.45E-2</v>
      </c>
      <c r="BR411" s="1">
        <f>INDEX(Input!$1:$1048576,BR$93,$C411*2+6)</f>
        <v>5.45E-2</v>
      </c>
      <c r="BS411" s="1">
        <f>INDEX(Input!$1:$1048576,BS$93,$C411*2+6)</f>
        <v>0.05</v>
      </c>
      <c r="BT411" s="1">
        <f>INDEX(Input!$1:$1048576,BT$93,$C411*2+6)</f>
        <v>0.05</v>
      </c>
      <c r="BU411" s="1">
        <f>INDEX(Input!$1:$1048576,BU$93,$C411*2+6)</f>
        <v>0.05</v>
      </c>
      <c r="BV411" s="1">
        <f>INDEX(Input!$1:$1048576,BV$93,$C411*2+6)</f>
        <v>5.5E-2</v>
      </c>
      <c r="BW411" s="1">
        <f>INDEX(Input!$1:$1048576,BW$93,$C411*2+6)</f>
        <v>0.06</v>
      </c>
      <c r="BX411" s="127">
        <f>INDEX(Input!$1:$1048576,BX$93,$C411*2+6)</f>
        <v>19985</v>
      </c>
      <c r="BY411" s="20">
        <f>INDEX(Input!$1:$1048576,BY$93,$C411*2+6)</f>
        <v>0.1</v>
      </c>
      <c r="BZ411" s="20">
        <f>INDEX(Input!$1:$1048576,BZ$93,$C411*2+6)</f>
        <v>0.1</v>
      </c>
      <c r="CA411" s="20">
        <f>INDEX(Input!$1:$1048576,CA$93,$C411*2+6)</f>
        <v>0.1</v>
      </c>
      <c r="CB411" s="20">
        <f>INDEX(Input!$1:$1048576,CB$93,$C411*2+6)</f>
        <v>0.1</v>
      </c>
      <c r="CC411" s="20">
        <f>INDEX(Input!$1:$1048576,CC$93,$C411*2+6)</f>
        <v>0.1</v>
      </c>
      <c r="CD411" s="384">
        <f>INDEX(Input!$1:$1048576,CD$93,$C411*2+6)</f>
        <v>0.1</v>
      </c>
      <c r="CE411" s="384">
        <f>INDEX(Input!$1:$1048576,CE$93,$C411*2+6)</f>
        <v>0.1</v>
      </c>
      <c r="CF411" s="384">
        <f>INDEX(Input!$1:$1048576,CF$93,$C411*2+6)</f>
        <v>0.1</v>
      </c>
      <c r="CG411" s="384">
        <f>INDEX(Input!$1:$1048576,CG$93,$C411*2+6)</f>
        <v>0.1</v>
      </c>
      <c r="CH411" s="384">
        <f>INDEX(Input!$1:$1048576,CH$93,$C411*2+6)</f>
        <v>0.1</v>
      </c>
      <c r="CI411" s="304">
        <f t="shared" si="994"/>
        <v>2006.832975525977</v>
      </c>
      <c r="CJ411" s="16" t="str">
        <f>INDEX(Input!$1:$1048576,CJ$93,$C411*2+6)</f>
        <v>N</v>
      </c>
      <c r="CK411" s="1" t="str">
        <f t="shared" si="995"/>
        <v>Market</v>
      </c>
      <c r="CL411" s="1" t="str">
        <f t="shared" si="996"/>
        <v>Market</v>
      </c>
      <c r="CM411" s="1" t="str">
        <f t="shared" si="997"/>
        <v>Market</v>
      </c>
      <c r="CN411" s="1" t="str">
        <f t="shared" si="998"/>
        <v>Market</v>
      </c>
      <c r="CO411" s="1" t="str">
        <f t="shared" si="999"/>
        <v>Market</v>
      </c>
      <c r="CP411" s="304">
        <f t="shared" si="1000"/>
        <v>416</v>
      </c>
      <c r="CQ411" s="1">
        <f t="shared" si="1001"/>
        <v>0</v>
      </c>
      <c r="CR411" s="1">
        <f t="shared" si="1002"/>
        <v>0</v>
      </c>
      <c r="CS411" s="1">
        <f t="shared" si="1003"/>
        <v>0</v>
      </c>
      <c r="CT411" s="1">
        <f t="shared" si="1004"/>
        <v>1.9E-2</v>
      </c>
      <c r="CU411" s="1">
        <f t="shared" si="1005"/>
        <v>3.9E-2</v>
      </c>
      <c r="CV411" s="304">
        <f t="shared" si="1006"/>
        <v>-870</v>
      </c>
      <c r="CW411" s="20" t="s">
        <v>122</v>
      </c>
      <c r="CX411" s="20" t="s">
        <v>122</v>
      </c>
      <c r="CY411" s="20" t="s">
        <v>122</v>
      </c>
      <c r="CZ411" s="20" t="s">
        <v>122</v>
      </c>
      <c r="DA411" s="20" t="s">
        <v>122</v>
      </c>
      <c r="DB411" s="503">
        <f t="shared" si="1007"/>
        <v>0</v>
      </c>
      <c r="DC411" s="127">
        <v>0</v>
      </c>
      <c r="DD411" s="127">
        <v>0</v>
      </c>
      <c r="DE411" s="127">
        <v>0</v>
      </c>
      <c r="DF411" s="127">
        <v>0</v>
      </c>
      <c r="DG411" s="127">
        <v>0</v>
      </c>
      <c r="DH411" s="127">
        <v>0</v>
      </c>
      <c r="DI411" s="127">
        <v>0</v>
      </c>
      <c r="DJ411" s="127">
        <v>0</v>
      </c>
      <c r="DK411" s="127">
        <v>0</v>
      </c>
      <c r="DL411" s="127">
        <v>0</v>
      </c>
      <c r="DM411" s="304">
        <f>INDEX(Input!$1:$1048576,DM$93,$C411*2+6)</f>
        <v>21036.84210526316</v>
      </c>
      <c r="DN411" s="20">
        <v>0</v>
      </c>
      <c r="DO411" s="20">
        <v>0</v>
      </c>
      <c r="DP411" s="20">
        <v>0</v>
      </c>
      <c r="DQ411" s="20">
        <v>0</v>
      </c>
      <c r="DR411" s="20">
        <v>0</v>
      </c>
      <c r="DS411" s="20">
        <f>INDEX(Input!$1:$1048576,DS$93,$C411*2+6)</f>
        <v>0.6</v>
      </c>
      <c r="DT411" s="20">
        <f>INDEX(Input!$1:$1048576,DT$93,$C411*2+6)</f>
        <v>0.55000000000000004</v>
      </c>
      <c r="DU411" s="20">
        <f>INDEX(Input!$1:$1048576,DU$93,$C411*2+6)</f>
        <v>0.52</v>
      </c>
      <c r="DV411" s="20">
        <f>INDEX(Input!$1:$1048576,DV$93,$C411*2+6)</f>
        <v>0.5</v>
      </c>
      <c r="DW411" s="20">
        <f>INDEX(Input!$1:$1048576,DW$93,$C411*2+6)</f>
        <v>0.45</v>
      </c>
      <c r="DX411" s="20"/>
      <c r="DY411" s="7">
        <v>0.1132082348707846</v>
      </c>
      <c r="DZ411" s="7">
        <v>0</v>
      </c>
      <c r="EA411" s="7">
        <v>0.82073477331120315</v>
      </c>
      <c r="EB411" s="7">
        <v>0</v>
      </c>
      <c r="EC411" s="7">
        <v>0</v>
      </c>
      <c r="ED411" s="7">
        <v>0</v>
      </c>
      <c r="EE411" s="7">
        <v>0</v>
      </c>
      <c r="EF411" s="7">
        <v>0</v>
      </c>
      <c r="EG411" s="7">
        <v>0</v>
      </c>
      <c r="EH411" s="7">
        <v>1.228536567938375E-2</v>
      </c>
      <c r="EI411" s="7">
        <v>3.2112734552426796E-2</v>
      </c>
      <c r="EJ411" s="7">
        <v>0.22531806595635007</v>
      </c>
      <c r="EK411" s="7">
        <v>0.59305183934376327</v>
      </c>
      <c r="EL411" s="7">
        <v>0.13723199446807624</v>
      </c>
      <c r="EM411" s="7">
        <v>2.9858895227159534E-2</v>
      </c>
      <c r="EN411" s="7">
        <v>5.0429397572836369E-2</v>
      </c>
      <c r="EO411" s="7">
        <v>0.71273759640219891</v>
      </c>
      <c r="EP411" s="7">
        <v>0.10250658249019871</v>
      </c>
      <c r="EQ411" s="7">
        <v>8.994260601490156E-2</v>
      </c>
      <c r="ER411" s="7">
        <v>4.4383817519864283E-2</v>
      </c>
      <c r="ES411" s="7">
        <v>3.6198096590852692E-2</v>
      </c>
      <c r="ET411" s="7">
        <v>6.6056991818012251E-2</v>
      </c>
      <c r="EU411" s="6">
        <v>2520</v>
      </c>
      <c r="EV411" s="6">
        <v>0</v>
      </c>
      <c r="EW411" s="6">
        <v>2520</v>
      </c>
      <c r="EX411" s="6">
        <v>0</v>
      </c>
      <c r="EY411" s="6">
        <v>2483.5061238223898</v>
      </c>
      <c r="EZ411" s="6">
        <v>507</v>
      </c>
      <c r="FA411" s="6">
        <v>0</v>
      </c>
      <c r="FB411" s="6">
        <v>0</v>
      </c>
      <c r="FC411" s="6">
        <v>0</v>
      </c>
      <c r="FD411" s="6">
        <v>0</v>
      </c>
      <c r="FE411" s="6">
        <v>0</v>
      </c>
      <c r="FF411" s="6">
        <v>0</v>
      </c>
      <c r="FG411" s="6">
        <v>0</v>
      </c>
      <c r="FH411" s="6">
        <v>1169.8088479034141</v>
      </c>
      <c r="FI411" s="6">
        <v>1553.9796069512399</v>
      </c>
      <c r="FJ411" s="6">
        <v>2101.2110117447405</v>
      </c>
      <c r="FK411" s="6">
        <v>1772.7139978623225</v>
      </c>
      <c r="FL411" s="6">
        <v>907.07682140966301</v>
      </c>
      <c r="FM411" s="6">
        <v>1713.5061238223898</v>
      </c>
      <c r="FN411" s="6">
        <v>0</v>
      </c>
      <c r="FO411" s="6">
        <v>0</v>
      </c>
      <c r="FP411" s="6">
        <v>0</v>
      </c>
      <c r="FQ411" s="6">
        <v>0</v>
      </c>
      <c r="FR411" s="6">
        <v>0</v>
      </c>
      <c r="FS411" s="6">
        <v>0</v>
      </c>
      <c r="FT411" s="7">
        <v>0.93394300818198772</v>
      </c>
      <c r="FU411" s="7">
        <v>2.9858895227159534E-2</v>
      </c>
      <c r="FV411" s="7">
        <v>3.6198096590852692E-2</v>
      </c>
      <c r="FW411" s="6">
        <v>2519.9999999999995</v>
      </c>
      <c r="FX411" s="6">
        <v>2483.5061238223898</v>
      </c>
      <c r="FY411" s="6">
        <v>507</v>
      </c>
      <c r="FZ411" s="6">
        <v>1949.5716051445115</v>
      </c>
      <c r="GA411" s="6">
        <v>2446.0435647373929</v>
      </c>
      <c r="GB411" s="6">
        <v>17538.956435262608</v>
      </c>
      <c r="GC411" s="7">
        <v>3.3872851927908169E-2</v>
      </c>
      <c r="GD411" s="7">
        <v>3.6366123616705971E-2</v>
      </c>
      <c r="GE411" s="7"/>
      <c r="GF411" s="7"/>
      <c r="GG411" s="7">
        <v>7.3606783807405693E-2</v>
      </c>
      <c r="GH411" s="42">
        <v>2.9629701052951369</v>
      </c>
      <c r="GI411" s="6">
        <v>9190.9648058544462</v>
      </c>
      <c r="GJ411" s="14">
        <v>0.50394797582841722</v>
      </c>
      <c r="GK411" s="14">
        <v>0.50887573065309732</v>
      </c>
      <c r="GL411" s="14">
        <v>0.49605202417158256</v>
      </c>
      <c r="GM411" s="14">
        <v>0.49112426934690218</v>
      </c>
      <c r="GO411" s="5">
        <v>343.14810671672558</v>
      </c>
      <c r="GP411" s="5">
        <v>295.07131418198298</v>
      </c>
      <c r="GQ411" s="5">
        <v>535.04305713031317</v>
      </c>
      <c r="GR411" s="5">
        <v>410.15490233172511</v>
      </c>
      <c r="GS411" s="5">
        <v>339.42744393800166</v>
      </c>
      <c r="GT411" s="5">
        <v>293.4407446948278</v>
      </c>
      <c r="GU411" s="5">
        <v>258.04012322764959</v>
      </c>
      <c r="GV411" s="39" t="s">
        <v>392</v>
      </c>
      <c r="GW411" s="5">
        <v>478.23611111111109</v>
      </c>
      <c r="GX411" s="5">
        <v>358.67708333333331</v>
      </c>
      <c r="GY411" s="5">
        <v>286.94166666666666</v>
      </c>
      <c r="GZ411" s="5">
        <v>253.19574071601335</v>
      </c>
      <c r="HA411" s="5">
        <v>234.53733318419432</v>
      </c>
      <c r="HB411" s="39">
        <v>264.39077460456241</v>
      </c>
      <c r="HC411" s="5">
        <v>265.10312499999998</v>
      </c>
      <c r="HD411" s="5">
        <v>224.66580774853799</v>
      </c>
      <c r="HE411" s="5">
        <v>226.90661690283397</v>
      </c>
      <c r="HF411" s="5">
        <v>209.18438048245613</v>
      </c>
      <c r="HG411" s="5">
        <v>200.91388157894738</v>
      </c>
      <c r="HH411" s="39">
        <v>224.48809391541255</v>
      </c>
      <c r="HI411" s="16"/>
      <c r="HJ411" s="19" t="str">
        <f t="shared" si="1163"/>
        <v>On</v>
      </c>
      <c r="HK411" s="1" t="str">
        <f t="shared" si="1163"/>
        <v>On</v>
      </c>
      <c r="HL411" s="16"/>
      <c r="HM411" s="639">
        <f t="shared" si="1110"/>
        <v>2.9403358434788716E-2</v>
      </c>
      <c r="HN411" s="639">
        <f t="shared" si="1111"/>
        <v>1.4106809950923669E-3</v>
      </c>
      <c r="HO411" s="639">
        <f t="shared" si="1112"/>
        <v>1.7317923025048877E-3</v>
      </c>
      <c r="HP411" s="644">
        <f>(FT411*$GD411-HM411)/$JF411*INDEX(Input!$1:$1048576,$JG$93,$C411*2+6)</f>
        <v>326.35425793947479</v>
      </c>
      <c r="HQ411" s="644">
        <f>(FU411*$GD411-HN411)/$JF411*INDEX(Input!$1:$1048576,$JG$93,$C411*2+6)</f>
        <v>-23.24494563770725</v>
      </c>
      <c r="HR411" s="644">
        <f>(FV411*$GD411-HO411)/$JF411*INDEX(Input!$1:$1048576,$JG$93,$C411*2+6)</f>
        <v>-29.726844410264164</v>
      </c>
      <c r="HS411" s="644">
        <f t="shared" si="1113"/>
        <v>-134.90787191552565</v>
      </c>
      <c r="HT411" s="644">
        <f t="shared" si="1114"/>
        <v>38.432023388275603</v>
      </c>
      <c r="HU411" s="644">
        <f t="shared" si="1115"/>
        <v>12.684039721860058</v>
      </c>
      <c r="HV411" s="648">
        <f t="shared" si="1116"/>
        <v>0</v>
      </c>
      <c r="HW411" s="648">
        <f t="shared" si="1117"/>
        <v>0</v>
      </c>
      <c r="HX411" s="648">
        <f t="shared" si="1118"/>
        <v>0</v>
      </c>
      <c r="HY411" s="644">
        <f>INDEX(Input!$1:$1048576,HY$93,$C411*2+6)*INDEX(Input!$1:$1048576,$JG$93,$C411*2+6)</f>
        <v>993</v>
      </c>
      <c r="HZ411" s="644">
        <f>INDEX(Input!$1:$1048576,HZ$93,$C411*2+6)*INDEX(Input!$1:$1048576,$JG$93,$C411*2+6)</f>
        <v>1216</v>
      </c>
      <c r="IA411" s="644">
        <f>INDEX(Input!$1:$1048576,IA$93,$C411*2+6)*INDEX(Input!$1:$1048576,$JG$93,$C411*2+6)</f>
        <v>120</v>
      </c>
      <c r="IB411" s="644">
        <f t="shared" si="1142"/>
        <v>1184.4463860239491</v>
      </c>
      <c r="IC411" s="644">
        <f t="shared" si="1143"/>
        <v>1231.1870777505683</v>
      </c>
      <c r="ID411" s="644">
        <f>IF(AND(INDEX(Input!$1:$1048576,IA$93,$C411*2+7)="TOS",Y411&lt;=INDEX(Y:Y,MATCH(C411*1000+2,A:A))),0,1)*MAX(IA411+HR411+HU411+HX411,0%)</f>
        <v>102.9571953115959</v>
      </c>
      <c r="IE411" s="128">
        <f t="shared" si="1178"/>
        <v>0.4702814178044053</v>
      </c>
      <c r="IF411" s="128">
        <f t="shared" si="1165"/>
        <v>0.48883969028826313</v>
      </c>
      <c r="IG411" s="128">
        <f t="shared" si="1120"/>
        <v>4.087889190733144E-2</v>
      </c>
      <c r="IH411" s="21"/>
      <c r="II411" s="19">
        <f t="shared" si="1121"/>
        <v>1490</v>
      </c>
      <c r="IJ411" s="19">
        <f t="shared" si="1122"/>
        <v>2203.2561351629856</v>
      </c>
      <c r="IK411" s="19">
        <f t="shared" si="1123"/>
        <v>242</v>
      </c>
      <c r="IL411" s="19">
        <f t="shared" si="1145"/>
        <v>1029.9999999999995</v>
      </c>
      <c r="IM411" s="19">
        <f t="shared" si="1124"/>
        <v>280.24998865940415</v>
      </c>
      <c r="IN411" s="19">
        <f t="shared" si="1125"/>
        <v>265</v>
      </c>
      <c r="IO411" s="39">
        <f t="shared" si="1126"/>
        <v>0</v>
      </c>
      <c r="IP411" s="39">
        <f t="shared" si="1127"/>
        <v>0</v>
      </c>
      <c r="IQ411" s="39">
        <f t="shared" si="1128"/>
        <v>0</v>
      </c>
      <c r="IR411" s="39">
        <v>0</v>
      </c>
      <c r="IS411" s="39">
        <v>0</v>
      </c>
      <c r="IT411" s="39">
        <v>0</v>
      </c>
      <c r="IU411" s="39">
        <v>0</v>
      </c>
      <c r="IV411" s="39">
        <v>0</v>
      </c>
      <c r="IW411" s="39">
        <v>0</v>
      </c>
      <c r="IX411" s="39">
        <f>INDEX(Input!$1:$1048576,IX$93,$C411*2+6)+INDEX(Input!$1:$1048576,IX$94,$C411*2+6)</f>
        <v>1770</v>
      </c>
      <c r="IY411" s="39">
        <f>INDEX(Input!$1:$1048576,IY$93,$C411*2+6)+INDEX(Input!$1:$1048576,IY$94,$C411*2+6)</f>
        <v>2630.0624533823611</v>
      </c>
      <c r="IZ411" s="39">
        <f>INDEX(Input!$1:$1048576,IZ$93,$C411*2+6)+INDEX(Input!$1:$1048576,IZ$94,$C411*2+6)</f>
        <v>4153.7164157747848</v>
      </c>
      <c r="JA411" s="19">
        <f t="shared" si="1146"/>
        <v>2799.9999999999995</v>
      </c>
      <c r="JB411" s="19">
        <f t="shared" si="1147"/>
        <v>2910.3124420417653</v>
      </c>
      <c r="JC411" s="19">
        <f t="shared" si="1148"/>
        <v>4418.7164157747848</v>
      </c>
      <c r="JD411" s="19">
        <f t="shared" si="1149"/>
        <v>2920.0964333917182</v>
      </c>
      <c r="JE411" s="21"/>
      <c r="JF411" s="1">
        <f t="shared" si="1129"/>
        <v>3.2545831732385969E-2</v>
      </c>
      <c r="JG411" s="15">
        <f>INDEX(Input!$1:$1048576,JG$93,$C411*2+6)/(1+VLOOKUP(C411*1000+INDEX(Input!$1:$1048576,JG$93+1,$C411*2+6),$A:$KK,$JK$92,FALSE))</f>
        <v>2329</v>
      </c>
      <c r="JH411" s="1">
        <f t="shared" si="1150"/>
        <v>0.11738190978596109</v>
      </c>
      <c r="JI411" s="1">
        <f t="shared" si="1151"/>
        <v>-3.5977590727947609E-2</v>
      </c>
      <c r="JJ411" s="1">
        <f t="shared" si="1152"/>
        <v>0</v>
      </c>
      <c r="JK411" s="1">
        <f t="shared" si="1179"/>
        <v>8.1404319058013486E-2</v>
      </c>
      <c r="JL411" s="15">
        <f t="shared" si="1154"/>
        <v>189.59065908611342</v>
      </c>
      <c r="JM411" s="15">
        <f t="shared" si="1180"/>
        <v>2518.5906590861132</v>
      </c>
      <c r="JN411" s="21"/>
      <c r="JO411" s="19">
        <f>INDEX(Input!$1:$1048576,JO$93,$C411*2+6)</f>
        <v>5995.5</v>
      </c>
      <c r="JP411" s="19">
        <f>INDEX(Input!$1:$1048576,JP$93,$C411*2+6)</f>
        <v>2341.8685758720158</v>
      </c>
      <c r="JQ411" s="39">
        <f t="shared" si="1166"/>
        <v>3075.4035666082818</v>
      </c>
      <c r="JR411" s="39">
        <f t="shared" si="1183"/>
        <v>578.22785751970241</v>
      </c>
      <c r="JS411" s="39">
        <f t="shared" si="1168"/>
        <v>7.3545276007710552</v>
      </c>
      <c r="JT411" s="39">
        <f t="shared" si="1156"/>
        <v>1.900315687565131</v>
      </c>
      <c r="JU411" s="385">
        <f>(JQ411*JM411-INDEX(Input!$1:$1048576,Input!A$18,$C411*2+6)*JL411*INDEX(Input!$1:$1048576,Input!A$19,$C411*2+6))/1000000</f>
        <v>7.7456826957797364</v>
      </c>
      <c r="JV411" s="39">
        <f t="shared" si="1132"/>
        <v>-0.76362489101433795</v>
      </c>
      <c r="JW411" s="1">
        <f t="shared" si="1181"/>
        <v>-8.9739956303781648E-2</v>
      </c>
      <c r="JX411" s="19">
        <f t="shared" si="1172"/>
        <v>10023.255875185254</v>
      </c>
      <c r="JZ411" s="341"/>
      <c r="KA411" s="342"/>
      <c r="KB411" s="469">
        <f t="shared" si="1169"/>
        <v>2.3434325605641804</v>
      </c>
      <c r="KI411" s="473">
        <f t="shared" si="1170"/>
        <v>191.44638602394889</v>
      </c>
      <c r="KJ411" s="473">
        <f t="shared" si="1157"/>
        <v>15.187077750568051</v>
      </c>
      <c r="KK411" s="473">
        <f t="shared" si="1158"/>
        <v>-17.042804688404132</v>
      </c>
      <c r="KN411" s="544">
        <f t="shared" si="1173"/>
        <v>4002</v>
      </c>
      <c r="KO411" s="541">
        <f t="shared" si="1133"/>
        <v>4.1337298981598547E-2</v>
      </c>
      <c r="KP411" s="546">
        <f t="shared" si="1134"/>
        <v>352.8103017998319</v>
      </c>
      <c r="KQ411" s="546">
        <f t="shared" si="1135"/>
        <v>295.32524535569701</v>
      </c>
      <c r="KR411" s="548">
        <f t="shared" si="1136"/>
        <v>2.0340249848947529</v>
      </c>
      <c r="KS411" s="548">
        <f t="shared" si="1137"/>
        <v>2.4299479305427854</v>
      </c>
      <c r="KT411" s="473">
        <f t="shared" si="1171"/>
        <v>1580.0986321700548</v>
      </c>
      <c r="KU411" s="663">
        <f t="shared" si="1159"/>
        <v>4.0649435997178109</v>
      </c>
      <c r="KV411" s="117" t="e">
        <f t="shared" si="1184"/>
        <v>#N/A</v>
      </c>
    </row>
    <row r="412" spans="1:310" s="26" customFormat="1" ht="15">
      <c r="A412" s="561">
        <f t="shared" si="1138"/>
        <v>4012</v>
      </c>
      <c r="B412" s="561">
        <f t="shared" si="1160"/>
        <v>12</v>
      </c>
      <c r="C412" s="561">
        <f t="shared" si="1161"/>
        <v>4</v>
      </c>
      <c r="D412" s="561" t="str">
        <f t="shared" si="1182"/>
        <v xml:space="preserve">1000 CC, </v>
      </c>
      <c r="E412" s="475">
        <f>INDEX(Input!$1:$1048576,E$93,$C412*2+MIN($B412,2)+5)+IF(OR(BX412&gt;50000,INDEX(Input!$1:$1048576,E$93,$C412*2+MIN($B412,2)+5)&gt;0),0,250)+IF(BX412&gt;50000,500,250)*4</f>
        <v>2256.832975525977</v>
      </c>
      <c r="F412" s="475">
        <f>INDEX(Input!$1:$1048576,F$93,$C412*2+MIN($B412,2)+5)</f>
        <v>0</v>
      </c>
      <c r="G412" s="475">
        <f>INDEX(Input!$1:$1048576,G$93,$C412*2+MIN($B412,2)+5)</f>
        <v>0</v>
      </c>
      <c r="H412" s="115">
        <f>INDEX(Input!$1:$1048576,H$93,$C412*2+MIN($B412,2)+5)</f>
        <v>0</v>
      </c>
      <c r="I412" s="118">
        <f>INDEX(Input!$1:$1048576,I$93,$C412*2+MIN($B412,2)+5)</f>
        <v>0.7</v>
      </c>
      <c r="J412" s="118" t="str">
        <f>INDEX(Input!$1:$1048576,J$93,$C412*2+MIN($B412,2)+5)</f>
        <v>Market</v>
      </c>
      <c r="K412" s="118" t="str">
        <f>INDEX(Input!$1:$1048576,K$93,$C412*2+MIN($B412,2)+5)</f>
        <v>Market</v>
      </c>
      <c r="L412" s="118" t="str">
        <f>INDEX(Input!$1:$1048576,L$93,$C412*2+MIN($B412,2)+5)</f>
        <v>Market</v>
      </c>
      <c r="M412" s="118" t="str">
        <f>INDEX(Input!$1:$1048576,M$93,$C412*2+MIN($B412,2)+5)</f>
        <v>Market</v>
      </c>
      <c r="N412" s="118" t="str">
        <f>INDEX(Input!$1:$1048576,N$93,$C412*2+MIN($B412,2)+5)</f>
        <v>Market</v>
      </c>
      <c r="O412" s="118" t="str">
        <f>INDEX(Input!$1:$1048576,O$93,$C412*2+MIN($B412,2)+5)</f>
        <v>Market</v>
      </c>
      <c r="P412" s="118" t="str">
        <f>INDEX(Input!$1:$1048576,P$93,$C412*2+MIN($B412,2)+5)</f>
        <v>N</v>
      </c>
      <c r="Q412" s="30">
        <f>INDEX(Input!$1:$1048576,Q$93,$C412*2+MIN($B412,2)+5)</f>
        <v>0</v>
      </c>
      <c r="R412" s="383">
        <f>INDEX(Input!$1:$1048576,R$93,$C412*2+MIN($B412,2)+5)</f>
        <v>0</v>
      </c>
      <c r="S412" s="383">
        <f>INDEX(Input!$1:$1048576,S$93,$C412*2+MIN($B412,2)+5)</f>
        <v>0</v>
      </c>
      <c r="T412" s="383">
        <f>INDEX(Input!$1:$1048576,T$93,$C412*2+MIN($B412,2)+5)</f>
        <v>0</v>
      </c>
      <c r="U412" s="383">
        <f>INDEX(Input!$1:$1048576,U$93,$C412*2+MIN($B412,2)+5)</f>
        <v>0</v>
      </c>
      <c r="V412" s="383">
        <f>INDEX(Input!$1:$1048576,V$93,$C412*2+MIN($B412,2)+5)</f>
        <v>1.9E-2</v>
      </c>
      <c r="W412" s="884">
        <f>INDEX(Input!$1:$1048576,W$93,$C412*2+MIN($B412,2)+5)</f>
        <v>3.9E-2</v>
      </c>
      <c r="X412" s="118" t="str">
        <f>INDEX(Input!$1:$1048576,X$93,$C412*2+MIN($B412,2)+5)</f>
        <v>Y</v>
      </c>
      <c r="Y412" s="150">
        <f>INDEX(Input!$1:$1048576,Y$93,$C412*2+MIN($B412,2)+5)</f>
        <v>-870</v>
      </c>
      <c r="Z412" s="30">
        <f>INDEX(Input!$1:$1048576,Z$93,$C412*2+MIN($B412,2)+5)</f>
        <v>0</v>
      </c>
      <c r="AA412" s="115">
        <f>INDEX(Input!$1:$1048576,AA$93,$C412*2+MIN($B412,2)+5)</f>
        <v>0</v>
      </c>
      <c r="AB412" s="118">
        <f>INDEX(Input!$1:$1048576,AB$93,$C412*2+MIN($B412,2)+5)</f>
        <v>0.27</v>
      </c>
      <c r="AC412" s="115">
        <f>INDEX(Input!$1:$1048576,AC$93,$C412*2+MIN($B412,2)+5)</f>
        <v>0</v>
      </c>
      <c r="AD412" s="118">
        <f>INDEX(Input!$1:$1048576,AD$93,$C412*2+MIN($B412,2)+5)</f>
        <v>0.27</v>
      </c>
      <c r="AE412" s="115">
        <f>INDEX(Input!$1:$1048576,AE$93,$C412*2+MIN($B412,2)+5)</f>
        <v>0</v>
      </c>
      <c r="AF412" s="118">
        <f>INDEX(Input!$1:$1048576,AF$93,$C412*2+MIN($B412,2)+5)</f>
        <v>1</v>
      </c>
      <c r="AG412" s="115">
        <f>INDEX(Input!$1:$1048576,AG$93,$C412*2+MIN($B412,2)+5)</f>
        <v>500</v>
      </c>
      <c r="AH412" s="118">
        <f>INDEX(Input!$1:$1048576,AH$93,$C412*2+MIN($B412,2)+5)</f>
        <v>0.83199999999999996</v>
      </c>
      <c r="AI412" s="115">
        <f>INDEX(Input!$1:$1048576,AI$93,$C412*2+MIN($B412,2)+5)</f>
        <v>0</v>
      </c>
      <c r="AJ412" s="118">
        <f>INDEX(Input!$1:$1048576,AJ$93,$C412*2+MIN($B412,2)+5)</f>
        <v>0.27</v>
      </c>
      <c r="AK412" s="150">
        <f>ROUND(INDEX(Input!$1:$1048576,AK$93,$C411*2+MIN($B412,1)+5)+(Y412-VLOOKUP($C412*1000+1,$A:$HH,Y$92,FALSE)),0)</f>
        <v>2587</v>
      </c>
      <c r="AL412" s="150">
        <f>ROUND(INDEX(Input!$1:$1048576,AL$93,$C411*2+MIN($B412,1)+5)-(Y412-VLOOKUP($C412*1000+1,$A:$HH,Y$92,FALSE))/36,0)</f>
        <v>3406</v>
      </c>
      <c r="AM412" s="32" t="str">
        <f t="shared" si="1139"/>
        <v>std/std/std/std</v>
      </c>
      <c r="AN412" s="32" t="str">
        <f t="shared" si="1140"/>
        <v>$0 + 0/0/0/1.9/3.9</v>
      </c>
      <c r="AO412" s="32" t="str">
        <f t="shared" si="1141"/>
        <v>0/0/0/1.9/3.9</v>
      </c>
      <c r="AP412" s="32" t="str">
        <f t="shared" si="993"/>
        <v>0/0.9/1.9/3.9</v>
      </c>
      <c r="AQ412" s="536">
        <f t="shared" si="992"/>
        <v>0.48447616846607694</v>
      </c>
      <c r="AR412" s="32"/>
      <c r="AS412" s="302"/>
      <c r="AT412" s="3">
        <f t="shared" si="1162"/>
        <v>12</v>
      </c>
      <c r="AU412" s="41" t="s">
        <v>121</v>
      </c>
      <c r="AV412" s="41" t="s">
        <v>116</v>
      </c>
      <c r="AW412" s="41" t="str">
        <f>INDEX(Input!$1:$1048576,AW$93,$C412*2+6)</f>
        <v>Kia</v>
      </c>
      <c r="AX412" s="41" t="str">
        <f>INDEX(Input!$1:$1048576,AX$93,$C412*2+6)</f>
        <v>Kia-LR - R1</v>
      </c>
      <c r="AY412" s="41" t="str">
        <f>IF(LEN(D412)=0,"",INDEX(Input!$1:$1048576,AY$93,$C412*2+6))</f>
        <v>Compact SUV (52)</v>
      </c>
      <c r="AZ412" s="41" t="str">
        <f>INDEX(Input!$1:$1048576,AZ$93,$C412*2+6)</f>
        <v>Kia Soul</v>
      </c>
      <c r="BA412" s="3">
        <f>INDEX(Input!$1:$1048576,BA$93,$C412*2+6)</f>
        <v>2020</v>
      </c>
      <c r="BB412" s="128">
        <f>INDEX(Input!$1:$1048576,BB$93,$C412*2+6)</f>
        <v>1</v>
      </c>
      <c r="BC412" s="128">
        <f>INDEX(Input!$1:$1048576,BC$93,$C412*2+6)</f>
        <v>0.7</v>
      </c>
      <c r="BD412" s="1">
        <f>INDEX(Input!$1:$1048576,BD$93,$C412*2+6)</f>
        <v>4.4999999999999998E-2</v>
      </c>
      <c r="BE412" s="1">
        <f>INDEX(Input!$1:$1048576,BE$93,$C412*2+6)</f>
        <v>4.4999999999999998E-2</v>
      </c>
      <c r="BF412" s="1">
        <f>INDEX(Input!$1:$1048576,BF$93,$C412*2+6)</f>
        <v>0.05</v>
      </c>
      <c r="BG412" s="1">
        <f>INDEX(Input!$1:$1048576,BG$93,$C412*2+6)</f>
        <v>5.45E-2</v>
      </c>
      <c r="BH412" s="1">
        <f>INDEX(Input!$1:$1048576,BH$93,$C412*2+6)</f>
        <v>5.45E-2</v>
      </c>
      <c r="BI412" s="1">
        <f>INDEX(Input!$1:$1048576,BI$93,$C412*2+6)</f>
        <v>0.05</v>
      </c>
      <c r="BJ412" s="1">
        <f>INDEX(Input!$1:$1048576,BJ$93,$C412*2+6)</f>
        <v>0.05</v>
      </c>
      <c r="BK412" s="1">
        <f>INDEX(Input!$1:$1048576,BK$93,$C412*2+6)</f>
        <v>0.05</v>
      </c>
      <c r="BL412" s="1">
        <f>INDEX(Input!$1:$1048576,BL$93,$C412*2+6)</f>
        <v>5.5E-2</v>
      </c>
      <c r="BM412" s="1">
        <f>INDEX(Input!$1:$1048576,BM$93,$C412*2+6)</f>
        <v>0.06</v>
      </c>
      <c r="BN412" s="1">
        <f>INDEX(Input!$1:$1048576,BN$93,$C412*2+6)</f>
        <v>4.4999999999999998E-2</v>
      </c>
      <c r="BO412" s="1">
        <f>INDEX(Input!$1:$1048576,BO$93,$C412*2+6)</f>
        <v>4.4999999999999998E-2</v>
      </c>
      <c r="BP412" s="1">
        <f>INDEX(Input!$1:$1048576,BP$93,$C412*2+6)</f>
        <v>0.05</v>
      </c>
      <c r="BQ412" s="1">
        <f>INDEX(Input!$1:$1048576,BQ$93,$C412*2+6)</f>
        <v>5.45E-2</v>
      </c>
      <c r="BR412" s="1">
        <f>INDEX(Input!$1:$1048576,BR$93,$C412*2+6)</f>
        <v>5.45E-2</v>
      </c>
      <c r="BS412" s="1">
        <f>INDEX(Input!$1:$1048576,BS$93,$C412*2+6)</f>
        <v>0.05</v>
      </c>
      <c r="BT412" s="1">
        <f>INDEX(Input!$1:$1048576,BT$93,$C412*2+6)</f>
        <v>0.05</v>
      </c>
      <c r="BU412" s="1">
        <f>INDEX(Input!$1:$1048576,BU$93,$C412*2+6)</f>
        <v>0.05</v>
      </c>
      <c r="BV412" s="1">
        <f>INDEX(Input!$1:$1048576,BV$93,$C412*2+6)</f>
        <v>5.5E-2</v>
      </c>
      <c r="BW412" s="1">
        <f>INDEX(Input!$1:$1048576,BW$93,$C412*2+6)</f>
        <v>0.06</v>
      </c>
      <c r="BX412" s="127">
        <f>INDEX(Input!$1:$1048576,BX$93,$C412*2+6)</f>
        <v>19985</v>
      </c>
      <c r="BY412" s="20">
        <f>INDEX(Input!$1:$1048576,BY$93,$C412*2+6)</f>
        <v>0.1</v>
      </c>
      <c r="BZ412" s="20">
        <f>INDEX(Input!$1:$1048576,BZ$93,$C412*2+6)</f>
        <v>0.1</v>
      </c>
      <c r="CA412" s="20">
        <f>INDEX(Input!$1:$1048576,CA$93,$C412*2+6)</f>
        <v>0.1</v>
      </c>
      <c r="CB412" s="20">
        <f>INDEX(Input!$1:$1048576,CB$93,$C412*2+6)</f>
        <v>0.1</v>
      </c>
      <c r="CC412" s="20">
        <f>INDEX(Input!$1:$1048576,CC$93,$C412*2+6)</f>
        <v>0.1</v>
      </c>
      <c r="CD412" s="384">
        <f>INDEX(Input!$1:$1048576,CD$93,$C412*2+6)</f>
        <v>0.1</v>
      </c>
      <c r="CE412" s="384">
        <f>INDEX(Input!$1:$1048576,CE$93,$C412*2+6)</f>
        <v>0.1</v>
      </c>
      <c r="CF412" s="384">
        <f>INDEX(Input!$1:$1048576,CF$93,$C412*2+6)</f>
        <v>0.1</v>
      </c>
      <c r="CG412" s="384">
        <f>INDEX(Input!$1:$1048576,CG$93,$C412*2+6)</f>
        <v>0.1</v>
      </c>
      <c r="CH412" s="384">
        <f>INDEX(Input!$1:$1048576,CH$93,$C412*2+6)</f>
        <v>0.1</v>
      </c>
      <c r="CI412" s="304">
        <f t="shared" si="994"/>
        <v>2256.832975525977</v>
      </c>
      <c r="CJ412" s="16" t="str">
        <f>INDEX(Input!$1:$1048576,CJ$93,$C412*2+6)</f>
        <v>N</v>
      </c>
      <c r="CK412" s="1" t="str">
        <f t="shared" si="995"/>
        <v>Market</v>
      </c>
      <c r="CL412" s="1" t="str">
        <f t="shared" si="996"/>
        <v>Market</v>
      </c>
      <c r="CM412" s="1" t="str">
        <f t="shared" si="997"/>
        <v>Market</v>
      </c>
      <c r="CN412" s="1" t="str">
        <f t="shared" si="998"/>
        <v>Market</v>
      </c>
      <c r="CO412" s="1" t="str">
        <f t="shared" si="999"/>
        <v>Market</v>
      </c>
      <c r="CP412" s="304">
        <f t="shared" si="1000"/>
        <v>416</v>
      </c>
      <c r="CQ412" s="1">
        <f t="shared" si="1001"/>
        <v>0</v>
      </c>
      <c r="CR412" s="1">
        <f t="shared" si="1002"/>
        <v>0</v>
      </c>
      <c r="CS412" s="1">
        <f t="shared" si="1003"/>
        <v>0</v>
      </c>
      <c r="CT412" s="1">
        <f t="shared" si="1004"/>
        <v>1.9E-2</v>
      </c>
      <c r="CU412" s="1">
        <f t="shared" si="1005"/>
        <v>3.9E-2</v>
      </c>
      <c r="CV412" s="304">
        <f t="shared" si="1006"/>
        <v>-870</v>
      </c>
      <c r="CW412" s="20" t="s">
        <v>122</v>
      </c>
      <c r="CX412" s="20" t="s">
        <v>122</v>
      </c>
      <c r="CY412" s="20" t="s">
        <v>122</v>
      </c>
      <c r="CZ412" s="20" t="s">
        <v>122</v>
      </c>
      <c r="DA412" s="20" t="s">
        <v>122</v>
      </c>
      <c r="DB412" s="503">
        <f t="shared" si="1007"/>
        <v>0</v>
      </c>
      <c r="DC412" s="127">
        <v>0</v>
      </c>
      <c r="DD412" s="127">
        <v>0</v>
      </c>
      <c r="DE412" s="127">
        <v>0</v>
      </c>
      <c r="DF412" s="127">
        <v>0</v>
      </c>
      <c r="DG412" s="127">
        <v>0</v>
      </c>
      <c r="DH412" s="127">
        <v>0</v>
      </c>
      <c r="DI412" s="127">
        <v>0</v>
      </c>
      <c r="DJ412" s="127">
        <v>0</v>
      </c>
      <c r="DK412" s="127">
        <v>0</v>
      </c>
      <c r="DL412" s="127">
        <v>0</v>
      </c>
      <c r="DM412" s="304">
        <f>INDEX(Input!$1:$1048576,DM$93,$C412*2+6)</f>
        <v>21036.84210526316</v>
      </c>
      <c r="DN412" s="20">
        <v>0</v>
      </c>
      <c r="DO412" s="20">
        <v>0</v>
      </c>
      <c r="DP412" s="20">
        <v>0</v>
      </c>
      <c r="DQ412" s="20">
        <v>0</v>
      </c>
      <c r="DR412" s="20">
        <v>0</v>
      </c>
      <c r="DS412" s="20">
        <f>INDEX(Input!$1:$1048576,DS$93,$C412*2+6)</f>
        <v>0.6</v>
      </c>
      <c r="DT412" s="20">
        <f>INDEX(Input!$1:$1048576,DT$93,$C412*2+6)</f>
        <v>0.55000000000000004</v>
      </c>
      <c r="DU412" s="20">
        <f>INDEX(Input!$1:$1048576,DU$93,$C412*2+6)</f>
        <v>0.52</v>
      </c>
      <c r="DV412" s="20">
        <f>INDEX(Input!$1:$1048576,DV$93,$C412*2+6)</f>
        <v>0.5</v>
      </c>
      <c r="DW412" s="20">
        <f>INDEX(Input!$1:$1048576,DW$93,$C412*2+6)</f>
        <v>0.45</v>
      </c>
      <c r="DX412" s="20"/>
      <c r="DY412" s="7">
        <v>0.11658543885978273</v>
      </c>
      <c r="DZ412" s="7">
        <v>0</v>
      </c>
      <c r="EA412" s="7">
        <v>0.82514940063107789</v>
      </c>
      <c r="EB412" s="7">
        <v>0</v>
      </c>
      <c r="EC412" s="7">
        <v>0</v>
      </c>
      <c r="ED412" s="7">
        <v>0</v>
      </c>
      <c r="EE412" s="7">
        <v>0</v>
      </c>
      <c r="EF412" s="7">
        <v>0</v>
      </c>
      <c r="EG412" s="7">
        <v>0</v>
      </c>
      <c r="EH412" s="7">
        <v>1.2292297817890228E-2</v>
      </c>
      <c r="EI412" s="7">
        <v>3.2138046208906625E-2</v>
      </c>
      <c r="EJ412" s="7">
        <v>0.22544400969764961</v>
      </c>
      <c r="EK412" s="7">
        <v>0.59291678982445306</v>
      </c>
      <c r="EL412" s="7">
        <v>0.13720885645110079</v>
      </c>
      <c r="EM412" s="7">
        <v>2.631783396850837E-2</v>
      </c>
      <c r="EN412" s="7">
        <v>5.0417313227625472E-2</v>
      </c>
      <c r="EO412" s="7">
        <v>0.71274631951278622</v>
      </c>
      <c r="EP412" s="7">
        <v>0.10251391660620059</v>
      </c>
      <c r="EQ412" s="7">
        <v>8.9921135260187371E-2</v>
      </c>
      <c r="ER412" s="7">
        <v>4.4401315393199921E-2</v>
      </c>
      <c r="ES412" s="7">
        <v>3.194732654063092E-2</v>
      </c>
      <c r="ET412" s="7">
        <v>5.8265160509139435E-2</v>
      </c>
      <c r="EU412" s="6">
        <v>2770</v>
      </c>
      <c r="EV412" s="6">
        <v>0</v>
      </c>
      <c r="EW412" s="6">
        <v>2770</v>
      </c>
      <c r="EX412" s="6">
        <v>0</v>
      </c>
      <c r="EY412" s="6">
        <v>2483.5578460292327</v>
      </c>
      <c r="EZ412" s="6">
        <v>507</v>
      </c>
      <c r="FA412" s="6">
        <v>0</v>
      </c>
      <c r="FB412" s="6">
        <v>0</v>
      </c>
      <c r="FC412" s="6">
        <v>0</v>
      </c>
      <c r="FD412" s="6">
        <v>0</v>
      </c>
      <c r="FE412" s="6">
        <v>0</v>
      </c>
      <c r="FF412" s="6">
        <v>0</v>
      </c>
      <c r="FG412" s="6">
        <v>0</v>
      </c>
      <c r="FH412" s="6">
        <v>1169.8118488064326</v>
      </c>
      <c r="FI412" s="6">
        <v>1553.9796069512406</v>
      </c>
      <c r="FJ412" s="6">
        <v>2101.2110117447405</v>
      </c>
      <c r="FK412" s="6">
        <v>1772.7139978623227</v>
      </c>
      <c r="FL412" s="6">
        <v>907.07682140966347</v>
      </c>
      <c r="FM412" s="6">
        <v>1713.5578460292325</v>
      </c>
      <c r="FN412" s="6">
        <v>0</v>
      </c>
      <c r="FO412" s="6">
        <v>0</v>
      </c>
      <c r="FP412" s="6">
        <v>0</v>
      </c>
      <c r="FQ412" s="6">
        <v>0</v>
      </c>
      <c r="FR412" s="6">
        <v>0</v>
      </c>
      <c r="FS412" s="6">
        <v>0</v>
      </c>
      <c r="FT412" s="7">
        <v>0.94173483949086068</v>
      </c>
      <c r="FU412" s="7">
        <v>2.631783396850837E-2</v>
      </c>
      <c r="FV412" s="7">
        <v>3.194732654063092E-2</v>
      </c>
      <c r="FW412" s="6">
        <v>2770</v>
      </c>
      <c r="FX412" s="6">
        <v>2483.5578460292327</v>
      </c>
      <c r="FY412" s="6">
        <v>507</v>
      </c>
      <c r="FZ412" s="6">
        <v>1949.5716051445115</v>
      </c>
      <c r="GA412" s="6">
        <v>2690.1646629887673</v>
      </c>
      <c r="GB412" s="6">
        <v>17294.835337011231</v>
      </c>
      <c r="GC412" s="7">
        <v>3.3872851927908169E-2</v>
      </c>
      <c r="GD412" s="7">
        <v>3.7354529061341603E-2</v>
      </c>
      <c r="GE412" s="7"/>
      <c r="GF412" s="7"/>
      <c r="GG412" s="7">
        <v>0.10278665465912086</v>
      </c>
      <c r="GH412" s="42">
        <v>2.7737112461490558</v>
      </c>
      <c r="GI412" s="6">
        <v>9895.3126493722175</v>
      </c>
      <c r="GJ412" s="14">
        <v>0.50394797582841711</v>
      </c>
      <c r="GK412" s="14">
        <v>0.50887573065309755</v>
      </c>
      <c r="GL412" s="14">
        <v>0.49605202417158267</v>
      </c>
      <c r="GM412" s="14">
        <v>0.49112426934690245</v>
      </c>
      <c r="GO412" s="5">
        <v>343.14810671672558</v>
      </c>
      <c r="GP412" s="5">
        <v>290.30179111306006</v>
      </c>
      <c r="GQ412" s="5">
        <v>535.04305713031317</v>
      </c>
      <c r="GR412" s="5">
        <v>410.15490233172511</v>
      </c>
      <c r="GS412" s="5">
        <v>339.42744393800166</v>
      </c>
      <c r="GT412" s="5">
        <v>293.4407446948278</v>
      </c>
      <c r="GU412" s="5">
        <v>258.04012322764959</v>
      </c>
      <c r="GV412" s="39" t="s">
        <v>392</v>
      </c>
      <c r="GW412" s="5">
        <v>478.23611111111109</v>
      </c>
      <c r="GX412" s="5">
        <v>358.67708333333331</v>
      </c>
      <c r="GY412" s="5">
        <v>286.94166666666666</v>
      </c>
      <c r="GZ412" s="5">
        <v>253.19574071601335</v>
      </c>
      <c r="HA412" s="5">
        <v>234.53733318419432</v>
      </c>
      <c r="HB412" s="39">
        <v>264.39968632980697</v>
      </c>
      <c r="HC412" s="5">
        <v>265.10312499999998</v>
      </c>
      <c r="HD412" s="5">
        <v>224.66580774853799</v>
      </c>
      <c r="HE412" s="5">
        <v>226.90661690283397</v>
      </c>
      <c r="HF412" s="5">
        <v>209.18438048245613</v>
      </c>
      <c r="HG412" s="5">
        <v>200.91388157894738</v>
      </c>
      <c r="HH412" s="39">
        <v>224.48753848099753</v>
      </c>
      <c r="HI412" s="16"/>
      <c r="HJ412" s="19" t="str">
        <f t="shared" si="1163"/>
        <v>On</v>
      </c>
      <c r="HK412" s="1" t="str">
        <f t="shared" si="1163"/>
        <v>On</v>
      </c>
      <c r="HL412" s="16"/>
      <c r="HM412" s="639">
        <f t="shared" si="1110"/>
        <v>2.9403358434788716E-2</v>
      </c>
      <c r="HN412" s="639">
        <f t="shared" si="1111"/>
        <v>1.4106809950923669E-3</v>
      </c>
      <c r="HO412" s="639">
        <f t="shared" si="1112"/>
        <v>1.7317923025048877E-3</v>
      </c>
      <c r="HP412" s="644">
        <f>(FT412*$GD412-HM412)/$JF412*INDEX(Input!$1:$1048576,$JG$93,$C412*2+6)</f>
        <v>413.24134488440217</v>
      </c>
      <c r="HQ412" s="644">
        <f>(FU412*$GD412-HN412)/$JF412*INDEX(Input!$1:$1048576,$JG$93,$C412*2+6)</f>
        <v>-30.59865704092104</v>
      </c>
      <c r="HR412" s="644">
        <f>(FV412*$GD412-HO412)/$JF412*INDEX(Input!$1:$1048576,$JG$93,$C412*2+6)</f>
        <v>-38.529310400027605</v>
      </c>
      <c r="HS412" s="644">
        <f t="shared" si="1113"/>
        <v>-167.621474448002</v>
      </c>
      <c r="HT412" s="644">
        <f t="shared" si="1114"/>
        <v>36.293638977650055</v>
      </c>
      <c r="HU412" s="644">
        <f t="shared" si="1115"/>
        <v>14.831173268132492</v>
      </c>
      <c r="HV412" s="648">
        <f t="shared" si="1116"/>
        <v>0</v>
      </c>
      <c r="HW412" s="648">
        <f t="shared" si="1117"/>
        <v>0</v>
      </c>
      <c r="HX412" s="648">
        <f t="shared" si="1118"/>
        <v>0</v>
      </c>
      <c r="HY412" s="644">
        <f>INDEX(Input!$1:$1048576,HY$93,$C412*2+6)*INDEX(Input!$1:$1048576,$JG$93,$C412*2+6)</f>
        <v>993</v>
      </c>
      <c r="HZ412" s="644">
        <f>INDEX(Input!$1:$1048576,HZ$93,$C412*2+6)*INDEX(Input!$1:$1048576,$JG$93,$C412*2+6)</f>
        <v>1216</v>
      </c>
      <c r="IA412" s="644">
        <f>INDEX(Input!$1:$1048576,IA$93,$C412*2+6)*INDEX(Input!$1:$1048576,$JG$93,$C412*2+6)</f>
        <v>120</v>
      </c>
      <c r="IB412" s="644">
        <f t="shared" si="1142"/>
        <v>1238.6198704364001</v>
      </c>
      <c r="IC412" s="644">
        <f t="shared" si="1143"/>
        <v>1221.6949819367289</v>
      </c>
      <c r="ID412" s="644">
        <f>IF(AND(INDEX(Input!$1:$1048576,IA$93,$C412*2+7)="TOS",Y412&lt;=INDEX(Y:Y,MATCH(C412*1000+2,A:A))),0,1)*MAX(IA412+HR412+HU412+HX412,0%)</f>
        <v>96.301862868104877</v>
      </c>
      <c r="IE412" s="128">
        <f t="shared" ref="IE412" si="1185">IB412/SUM($IB412:$ID412)</f>
        <v>0.48447616846607694</v>
      </c>
      <c r="IF412" s="128">
        <f t="shared" si="1165"/>
        <v>0.47785613488858614</v>
      </c>
      <c r="IG412" s="128">
        <f t="shared" si="1120"/>
        <v>3.7667696645337062E-2</v>
      </c>
      <c r="IH412" s="21"/>
      <c r="II412" s="19">
        <f t="shared" si="1121"/>
        <v>1490</v>
      </c>
      <c r="IJ412" s="19">
        <f t="shared" si="1122"/>
        <v>2203.2561351629856</v>
      </c>
      <c r="IK412" s="19">
        <f t="shared" si="1123"/>
        <v>242</v>
      </c>
      <c r="IL412" s="19">
        <f t="shared" si="1145"/>
        <v>1280</v>
      </c>
      <c r="IM412" s="19">
        <f t="shared" si="1124"/>
        <v>280.30171086624705</v>
      </c>
      <c r="IN412" s="19">
        <f t="shared" si="1125"/>
        <v>265</v>
      </c>
      <c r="IO412" s="39">
        <f t="shared" si="1126"/>
        <v>0</v>
      </c>
      <c r="IP412" s="39">
        <f t="shared" si="1127"/>
        <v>0</v>
      </c>
      <c r="IQ412" s="39">
        <f t="shared" si="1128"/>
        <v>0</v>
      </c>
      <c r="IR412" s="39">
        <v>0</v>
      </c>
      <c r="IS412" s="39">
        <v>0</v>
      </c>
      <c r="IT412" s="39">
        <v>0</v>
      </c>
      <c r="IU412" s="39">
        <v>0</v>
      </c>
      <c r="IV412" s="39">
        <v>0</v>
      </c>
      <c r="IW412" s="39">
        <v>0</v>
      </c>
      <c r="IX412" s="39">
        <f>INDEX(Input!$1:$1048576,IX$93,$C412*2+6)+INDEX(Input!$1:$1048576,IX$94,$C412*2+6)</f>
        <v>1770</v>
      </c>
      <c r="IY412" s="39">
        <f>INDEX(Input!$1:$1048576,IY$93,$C412*2+6)+INDEX(Input!$1:$1048576,IY$94,$C412*2+6)</f>
        <v>2630.0624533823611</v>
      </c>
      <c r="IZ412" s="39">
        <f>INDEX(Input!$1:$1048576,IZ$93,$C412*2+6)+INDEX(Input!$1:$1048576,IZ$94,$C412*2+6)</f>
        <v>4153.7164157747848</v>
      </c>
      <c r="JA412" s="19">
        <f t="shared" si="1146"/>
        <v>3050</v>
      </c>
      <c r="JB412" s="19">
        <f t="shared" si="1147"/>
        <v>2910.3641642486082</v>
      </c>
      <c r="JC412" s="19">
        <f t="shared" si="1148"/>
        <v>4418.7164157747848</v>
      </c>
      <c r="JD412" s="19">
        <f t="shared" si="1149"/>
        <v>3034.8305539788003</v>
      </c>
      <c r="JE412" s="21"/>
      <c r="JF412" s="1">
        <f t="shared" si="1129"/>
        <v>3.2545831732385969E-2</v>
      </c>
      <c r="JG412" s="15">
        <f>INDEX(Input!$1:$1048576,JG$93,$C412*2+6)/(1+VLOOKUP(C412*1000+INDEX(Input!$1:$1048576,JG$93+1,$C412*2+6),$A:$KK,$JK$92,FALSE))</f>
        <v>2329</v>
      </c>
      <c r="JH412" s="1">
        <f t="shared" si="1150"/>
        <v>0.14775155751114361</v>
      </c>
      <c r="JI412" s="1">
        <f t="shared" si="1151"/>
        <v>-5.0020035295070611E-2</v>
      </c>
      <c r="JJ412" s="1">
        <f t="shared" si="1152"/>
        <v>0</v>
      </c>
      <c r="JK412" s="1">
        <f t="shared" ref="JK412" si="1186">SUM(JH412:JJ412)</f>
        <v>9.7731522216072994E-2</v>
      </c>
      <c r="JL412" s="15">
        <f t="shared" si="1154"/>
        <v>227.616715241234</v>
      </c>
      <c r="JM412" s="15">
        <f t="shared" si="1180"/>
        <v>2556.616715241234</v>
      </c>
      <c r="JN412" s="21"/>
      <c r="JO412" s="19">
        <f>INDEX(Input!$1:$1048576,JO$93,$C412*2+6)</f>
        <v>5995.5</v>
      </c>
      <c r="JP412" s="19">
        <f>INDEX(Input!$1:$1048576,JP$93,$C412*2+6)</f>
        <v>2341.8685758720158</v>
      </c>
      <c r="JQ412" s="39">
        <f t="shared" si="1166"/>
        <v>2960.6694460211997</v>
      </c>
      <c r="JR412" s="39">
        <f t="shared" si="1183"/>
        <v>692.9619781067845</v>
      </c>
      <c r="JS412" s="39">
        <f t="shared" si="1168"/>
        <v>7.7588985222270157</v>
      </c>
      <c r="JT412" s="39">
        <f t="shared" si="1156"/>
        <v>2.3046866090210907</v>
      </c>
      <c r="JU412" s="385">
        <f>(JQ412*JM412-INDEX(Input!$1:$1048576,Input!A$18,$C412*2+6)*JL412*INDEX(Input!$1:$1048576,Input!A$19,$C412*2+6))/1000000</f>
        <v>7.569296994001804</v>
      </c>
      <c r="JV412" s="39">
        <f t="shared" si="1132"/>
        <v>-0.94001059279227039</v>
      </c>
      <c r="JW412" s="1">
        <f t="shared" si="1181"/>
        <v>-0.11046851735047272</v>
      </c>
      <c r="JX412" s="19">
        <f t="shared" si="1172"/>
        <v>10125.295967734728</v>
      </c>
      <c r="JZ412" s="341"/>
      <c r="KA412" s="342"/>
      <c r="KB412" s="469">
        <f t="shared" si="1169"/>
        <v>2.3434325605641804</v>
      </c>
      <c r="KI412" s="473">
        <f t="shared" si="1170"/>
        <v>245.61987043640033</v>
      </c>
      <c r="KJ412" s="473">
        <f t="shared" si="1157"/>
        <v>5.6949819367291639</v>
      </c>
      <c r="KK412" s="473">
        <f t="shared" si="1158"/>
        <v>-23.698137131895109</v>
      </c>
      <c r="KN412" s="544">
        <f t="shared" si="1173"/>
        <v>4002</v>
      </c>
      <c r="KO412" s="541">
        <f t="shared" si="1133"/>
        <v>5.7059564314649647E-2</v>
      </c>
      <c r="KP412" s="546">
        <f t="shared" si="1134"/>
        <v>484.59789293507248</v>
      </c>
      <c r="KQ412" s="546">
        <f t="shared" si="1135"/>
        <v>410.0593659427791</v>
      </c>
      <c r="KR412" s="548">
        <f t="shared" si="1136"/>
        <v>2.0441011132213296</v>
      </c>
      <c r="KS412" s="548">
        <f t="shared" si="1137"/>
        <v>2.415667522032698</v>
      </c>
      <c r="KT412" s="473">
        <f t="shared" si="1171"/>
        <v>1580.0986321700548</v>
      </c>
      <c r="KU412" s="663">
        <f t="shared" si="1159"/>
        <v>4.0697438743995926</v>
      </c>
      <c r="KV412" s="117" t="e">
        <f>RANK(KU412,$KU$109:$KU$200)</f>
        <v>#N/A</v>
      </c>
    </row>
    <row r="413" spans="1:310" s="26" customFormat="1" ht="15">
      <c r="A413" s="561">
        <f t="shared" si="1138"/>
        <v>4013</v>
      </c>
      <c r="B413" s="561">
        <f t="shared" si="1160"/>
        <v>13</v>
      </c>
      <c r="C413" s="561">
        <f t="shared" si="1161"/>
        <v>4</v>
      </c>
      <c r="D413" s="561" t="str">
        <f t="shared" si="1182"/>
        <v xml:space="preserve">0/0/0.9/3.9, </v>
      </c>
      <c r="E413" s="115">
        <f>INDEX(Input!$1:$1048576,E$93,$C413*2+MIN($B413,2)+5)</f>
        <v>1256.832975525977</v>
      </c>
      <c r="F413" s="115">
        <f>INDEX(Input!$1:$1048576,F$93,$C413*2+MIN($B413,2)+5)</f>
        <v>0</v>
      </c>
      <c r="G413" s="115">
        <f>INDEX(Input!$1:$1048576,G$93,$C413*2+MIN($B413,2)+5)</f>
        <v>0</v>
      </c>
      <c r="H413" s="115">
        <f>INDEX(Input!$1:$1048576,H$93,$C413*2+MIN($B413,2)+5)</f>
        <v>0</v>
      </c>
      <c r="I413" s="118">
        <f>INDEX(Input!$1:$1048576,I$93,$C413*2+MIN($B413,2)+5)</f>
        <v>0.7</v>
      </c>
      <c r="J413" s="476" t="str">
        <f>INDEX(Input!$1:$1048576,J$93,$C413*2+MIN($B413,2)+5)</f>
        <v>Market</v>
      </c>
      <c r="K413" s="476" t="str">
        <f>INDEX(Input!$1:$1048576,K$93,$C413*2+MIN($B413,2)+5)</f>
        <v>Market</v>
      </c>
      <c r="L413" s="476" t="str">
        <f>INDEX(Input!$1:$1048576,L$93,$C413*2+MIN($B413,2)+5)</f>
        <v>Market</v>
      </c>
      <c r="M413" s="476" t="str">
        <f>INDEX(Input!$1:$1048576,M$93,$C413*2+MIN($B413,2)+5)</f>
        <v>Market</v>
      </c>
      <c r="N413" s="476" t="str">
        <f>INDEX(Input!$1:$1048576,N$93,$C413*2+MIN($B413,2)+5)</f>
        <v>Market</v>
      </c>
      <c r="O413" s="476" t="str">
        <f>INDEX(Input!$1:$1048576,O$93,$C413*2+MIN($B413,2)+5)</f>
        <v>Market</v>
      </c>
      <c r="P413" s="476" t="str">
        <f>INDEX(Input!$1:$1048576,P$93,$C413*2+MIN($B413,2)+5)</f>
        <v>N</v>
      </c>
      <c r="Q413" s="477">
        <f>INDEX(Input!$1:$1048576,Q$93,$C413*2+MIN($B413,2)+5)</f>
        <v>0</v>
      </c>
      <c r="R413" s="478">
        <f>IFERROR(MAX(0,INDEX(Input!$1:$1048576,R$93,$C413*2+MIN($B413,2)+5)-1%,),"Market")</f>
        <v>0</v>
      </c>
      <c r="S413" s="478">
        <f>IFERROR(MAX(0,INDEX(Input!$1:$1048576,S$93,$C413*2+MIN($B413,2)+5)-1%,),"Market")</f>
        <v>0</v>
      </c>
      <c r="T413" s="478">
        <f>IFERROR(MAX(0,INDEX(Input!$1:$1048576,T$93,$C413*2+MIN($B413,2)+5)-1%,),"Market")</f>
        <v>0</v>
      </c>
      <c r="U413" s="478">
        <f>IFERROR(MAX(0,INDEX(Input!$1:$1048576,U$93,$C413*2+MIN($B413,2)+5)-1%,),"Market")</f>
        <v>0</v>
      </c>
      <c r="V413" s="478">
        <f>IFERROR(MAX(0,INDEX(Input!$1:$1048576,V$93,$C413*2+MIN($B413,2)+5)-1%,),"Market")</f>
        <v>8.9999999999999993E-3</v>
      </c>
      <c r="W413" s="885">
        <f>IFERROR(MAX(0,INDEX(Input!$1:$1048576,W$93,$C413*2+MIN($B413,2)+5)-0%,),"Market")</f>
        <v>3.9E-2</v>
      </c>
      <c r="X413" s="476" t="str">
        <f>INDEX(Input!$1:$1048576,X$93,$C413*2+MIN($B413,2)+5)</f>
        <v>Y</v>
      </c>
      <c r="Y413" s="150">
        <f>INDEX(Input!$1:$1048576,Y$93,$C413*2+MIN($B413,2)+5)</f>
        <v>-870</v>
      </c>
      <c r="Z413" s="30">
        <f>INDEX(Input!$1:$1048576,Z$93,$C413*2+MIN($B413,2)+5)</f>
        <v>0</v>
      </c>
      <c r="AA413" s="475">
        <f>INDEX(Input!$1:$1048576,AA$93,$C413*2+MIN($B413,2)+5)</f>
        <v>0</v>
      </c>
      <c r="AB413" s="118">
        <f>INDEX(Input!$1:$1048576,AB$93,$C413*2+MIN($B413,2)+5)</f>
        <v>0.27</v>
      </c>
      <c r="AC413" s="115">
        <f>INDEX(Input!$1:$1048576,AC$93,$C413*2+MIN($B413,2)+5)</f>
        <v>0</v>
      </c>
      <c r="AD413" s="118">
        <f>INDEX(Input!$1:$1048576,AD$93,$C413*2+MIN($B413,2)+5)</f>
        <v>0.27</v>
      </c>
      <c r="AE413" s="115">
        <f>INDEX(Input!$1:$1048576,AE$93,$C413*2+MIN($B413,2)+5)</f>
        <v>0</v>
      </c>
      <c r="AF413" s="118">
        <f>INDEX(Input!$1:$1048576,AF$93,$C413*2+MIN($B413,2)+5)</f>
        <v>1</v>
      </c>
      <c r="AG413" s="115">
        <f>INDEX(Input!$1:$1048576,AG$93,$C413*2+MIN($B413,2)+5)</f>
        <v>500</v>
      </c>
      <c r="AH413" s="118">
        <f>INDEX(Input!$1:$1048576,AH$93,$C413*2+MIN($B413,2)+5)</f>
        <v>0.83199999999999996</v>
      </c>
      <c r="AI413" s="115">
        <f>INDEX(Input!$1:$1048576,AI$93,$C413*2+MIN($B413,2)+5)</f>
        <v>0</v>
      </c>
      <c r="AJ413" s="118">
        <f>INDEX(Input!$1:$1048576,AJ$93,$C413*2+MIN($B413,2)+5)</f>
        <v>0.27</v>
      </c>
      <c r="AK413" s="150">
        <f>ROUND(INDEX(Input!$1:$1048576,AK$93,$C412*2+MIN($B413,1)+5)+(Y413-VLOOKUP($C413*1000+1,$A:$HH,Y$92,FALSE)),0)</f>
        <v>2587</v>
      </c>
      <c r="AL413" s="150">
        <f>ROUND(INDEX(Input!$1:$1048576,AL$93,$C412*2+MIN($B413,1)+5)-(Y413-VLOOKUP($C413*1000+1,$A:$HH,Y$92,FALSE))/36,0)</f>
        <v>3406</v>
      </c>
      <c r="AM413" s="32" t="str">
        <f t="shared" si="1139"/>
        <v>std/std/std/std</v>
      </c>
      <c r="AN413" s="32" t="str">
        <f t="shared" si="1140"/>
        <v>$0 + 0/0/0/0.9/3.9</v>
      </c>
      <c r="AO413" s="32" t="str">
        <f t="shared" si="1141"/>
        <v>0/0/0/0.9/3.9</v>
      </c>
      <c r="AP413" s="32" t="str">
        <f t="shared" si="993"/>
        <v>0/0/0.9/3.9</v>
      </c>
      <c r="AQ413" s="536">
        <f t="shared" si="992"/>
        <v>0.40509571496178742</v>
      </c>
      <c r="AR413" s="32"/>
      <c r="AS413" s="302"/>
      <c r="AT413" s="3">
        <f t="shared" si="1162"/>
        <v>13</v>
      </c>
      <c r="AU413" s="41" t="s">
        <v>121</v>
      </c>
      <c r="AV413" s="41" t="s">
        <v>116</v>
      </c>
      <c r="AW413" s="41" t="str">
        <f>INDEX(Input!$1:$1048576,AW$93,$C413*2+6)</f>
        <v>Kia</v>
      </c>
      <c r="AX413" s="41" t="str">
        <f>INDEX(Input!$1:$1048576,AX$93,$C413*2+6)</f>
        <v>Kia-LR - R1</v>
      </c>
      <c r="AY413" s="41" t="str">
        <f>IF(LEN(D413)=0,"",INDEX(Input!$1:$1048576,AY$93,$C413*2+6))</f>
        <v>Compact SUV (52)</v>
      </c>
      <c r="AZ413" s="41" t="str">
        <f>INDEX(Input!$1:$1048576,AZ$93,$C413*2+6)</f>
        <v>Kia Soul</v>
      </c>
      <c r="BA413" s="3">
        <f>INDEX(Input!$1:$1048576,BA$93,$C413*2+6)</f>
        <v>2020</v>
      </c>
      <c r="BB413" s="128">
        <f>INDEX(Input!$1:$1048576,BB$93,$C413*2+6)</f>
        <v>1</v>
      </c>
      <c r="BC413" s="128">
        <f>INDEX(Input!$1:$1048576,BC$93,$C413*2+6)</f>
        <v>0.7</v>
      </c>
      <c r="BD413" s="1">
        <f>INDEX(Input!$1:$1048576,BD$93,$C413*2+6)</f>
        <v>4.4999999999999998E-2</v>
      </c>
      <c r="BE413" s="1">
        <f>INDEX(Input!$1:$1048576,BE$93,$C413*2+6)</f>
        <v>4.4999999999999998E-2</v>
      </c>
      <c r="BF413" s="1">
        <f>INDEX(Input!$1:$1048576,BF$93,$C413*2+6)</f>
        <v>0.05</v>
      </c>
      <c r="BG413" s="1">
        <f>INDEX(Input!$1:$1048576,BG$93,$C413*2+6)</f>
        <v>5.45E-2</v>
      </c>
      <c r="BH413" s="1">
        <f>INDEX(Input!$1:$1048576,BH$93,$C413*2+6)</f>
        <v>5.45E-2</v>
      </c>
      <c r="BI413" s="1">
        <f>INDEX(Input!$1:$1048576,BI$93,$C413*2+6)</f>
        <v>0.05</v>
      </c>
      <c r="BJ413" s="1">
        <f>INDEX(Input!$1:$1048576,BJ$93,$C413*2+6)</f>
        <v>0.05</v>
      </c>
      <c r="BK413" s="1">
        <f>INDEX(Input!$1:$1048576,BK$93,$C413*2+6)</f>
        <v>0.05</v>
      </c>
      <c r="BL413" s="1">
        <f>INDEX(Input!$1:$1048576,BL$93,$C413*2+6)</f>
        <v>5.5E-2</v>
      </c>
      <c r="BM413" s="1">
        <f>INDEX(Input!$1:$1048576,BM$93,$C413*2+6)</f>
        <v>0.06</v>
      </c>
      <c r="BN413" s="1">
        <f>INDEX(Input!$1:$1048576,BN$93,$C413*2+6)</f>
        <v>4.4999999999999998E-2</v>
      </c>
      <c r="BO413" s="1">
        <f>INDEX(Input!$1:$1048576,BO$93,$C413*2+6)</f>
        <v>4.4999999999999998E-2</v>
      </c>
      <c r="BP413" s="1">
        <f>INDEX(Input!$1:$1048576,BP$93,$C413*2+6)</f>
        <v>0.05</v>
      </c>
      <c r="BQ413" s="1">
        <f>INDEX(Input!$1:$1048576,BQ$93,$C413*2+6)</f>
        <v>5.45E-2</v>
      </c>
      <c r="BR413" s="1">
        <f>INDEX(Input!$1:$1048576,BR$93,$C413*2+6)</f>
        <v>5.45E-2</v>
      </c>
      <c r="BS413" s="1">
        <f>INDEX(Input!$1:$1048576,BS$93,$C413*2+6)</f>
        <v>0.05</v>
      </c>
      <c r="BT413" s="1">
        <f>INDEX(Input!$1:$1048576,BT$93,$C413*2+6)</f>
        <v>0.05</v>
      </c>
      <c r="BU413" s="1">
        <f>INDEX(Input!$1:$1048576,BU$93,$C413*2+6)</f>
        <v>0.05</v>
      </c>
      <c r="BV413" s="1">
        <f>INDEX(Input!$1:$1048576,BV$93,$C413*2+6)</f>
        <v>5.5E-2</v>
      </c>
      <c r="BW413" s="1">
        <f>INDEX(Input!$1:$1048576,BW$93,$C413*2+6)</f>
        <v>0.06</v>
      </c>
      <c r="BX413" s="127">
        <f>INDEX(Input!$1:$1048576,BX$93,$C413*2+6)</f>
        <v>19985</v>
      </c>
      <c r="BY413" s="20">
        <f>INDEX(Input!$1:$1048576,BY$93,$C413*2+6)</f>
        <v>0.1</v>
      </c>
      <c r="BZ413" s="20">
        <f>INDEX(Input!$1:$1048576,BZ$93,$C413*2+6)</f>
        <v>0.1</v>
      </c>
      <c r="CA413" s="20">
        <f>INDEX(Input!$1:$1048576,CA$93,$C413*2+6)</f>
        <v>0.1</v>
      </c>
      <c r="CB413" s="20">
        <f>INDEX(Input!$1:$1048576,CB$93,$C413*2+6)</f>
        <v>0.1</v>
      </c>
      <c r="CC413" s="20">
        <f>INDEX(Input!$1:$1048576,CC$93,$C413*2+6)</f>
        <v>0.1</v>
      </c>
      <c r="CD413" s="384">
        <f>INDEX(Input!$1:$1048576,CD$93,$C413*2+6)</f>
        <v>0.1</v>
      </c>
      <c r="CE413" s="384">
        <f>INDEX(Input!$1:$1048576,CE$93,$C413*2+6)</f>
        <v>0.1</v>
      </c>
      <c r="CF413" s="384">
        <f>INDEX(Input!$1:$1048576,CF$93,$C413*2+6)</f>
        <v>0.1</v>
      </c>
      <c r="CG413" s="384">
        <f>INDEX(Input!$1:$1048576,CG$93,$C413*2+6)</f>
        <v>0.1</v>
      </c>
      <c r="CH413" s="384">
        <f>INDEX(Input!$1:$1048576,CH$93,$C413*2+6)</f>
        <v>0.1</v>
      </c>
      <c r="CI413" s="304">
        <f t="shared" si="994"/>
        <v>1256.832975525977</v>
      </c>
      <c r="CJ413" s="16" t="str">
        <f>INDEX(Input!$1:$1048576,CJ$93,$C413*2+6)</f>
        <v>N</v>
      </c>
      <c r="CK413" s="1" t="str">
        <f t="shared" si="995"/>
        <v>Market</v>
      </c>
      <c r="CL413" s="1" t="str">
        <f t="shared" si="996"/>
        <v>Market</v>
      </c>
      <c r="CM413" s="1" t="str">
        <f t="shared" si="997"/>
        <v>Market</v>
      </c>
      <c r="CN413" s="1" t="str">
        <f t="shared" si="998"/>
        <v>Market</v>
      </c>
      <c r="CO413" s="1" t="str">
        <f t="shared" si="999"/>
        <v>Market</v>
      </c>
      <c r="CP413" s="304">
        <f t="shared" si="1000"/>
        <v>416</v>
      </c>
      <c r="CQ413" s="1">
        <f t="shared" si="1001"/>
        <v>0</v>
      </c>
      <c r="CR413" s="1">
        <f t="shared" si="1002"/>
        <v>0</v>
      </c>
      <c r="CS413" s="1">
        <f t="shared" si="1003"/>
        <v>0</v>
      </c>
      <c r="CT413" s="1">
        <f t="shared" si="1004"/>
        <v>8.9999999999999993E-3</v>
      </c>
      <c r="CU413" s="1">
        <f t="shared" si="1005"/>
        <v>3.9E-2</v>
      </c>
      <c r="CV413" s="304">
        <f t="shared" si="1006"/>
        <v>-870</v>
      </c>
      <c r="CW413" s="20" t="s">
        <v>122</v>
      </c>
      <c r="CX413" s="20" t="s">
        <v>122</v>
      </c>
      <c r="CY413" s="20" t="s">
        <v>122</v>
      </c>
      <c r="CZ413" s="20" t="s">
        <v>122</v>
      </c>
      <c r="DA413" s="20" t="s">
        <v>122</v>
      </c>
      <c r="DB413" s="503">
        <f t="shared" si="1007"/>
        <v>0</v>
      </c>
      <c r="DC413" s="127">
        <v>0</v>
      </c>
      <c r="DD413" s="127">
        <v>0</v>
      </c>
      <c r="DE413" s="127">
        <v>0</v>
      </c>
      <c r="DF413" s="127">
        <v>0</v>
      </c>
      <c r="DG413" s="127">
        <v>0</v>
      </c>
      <c r="DH413" s="127">
        <v>0</v>
      </c>
      <c r="DI413" s="127">
        <v>0</v>
      </c>
      <c r="DJ413" s="127">
        <v>0</v>
      </c>
      <c r="DK413" s="127">
        <v>0</v>
      </c>
      <c r="DL413" s="127">
        <v>0</v>
      </c>
      <c r="DM413" s="304">
        <f>INDEX(Input!$1:$1048576,DM$93,$C413*2+6)</f>
        <v>21036.84210526316</v>
      </c>
      <c r="DN413" s="20">
        <v>0</v>
      </c>
      <c r="DO413" s="20">
        <v>0</v>
      </c>
      <c r="DP413" s="20">
        <v>0</v>
      </c>
      <c r="DQ413" s="20">
        <v>0</v>
      </c>
      <c r="DR413" s="20">
        <v>0</v>
      </c>
      <c r="DS413" s="20">
        <f>INDEX(Input!$1:$1048576,DS$93,$C413*2+6)</f>
        <v>0.6</v>
      </c>
      <c r="DT413" s="20">
        <f>INDEX(Input!$1:$1048576,DT$93,$C413*2+6)</f>
        <v>0.55000000000000004</v>
      </c>
      <c r="DU413" s="20">
        <f>INDEX(Input!$1:$1048576,DU$93,$C413*2+6)</f>
        <v>0.52</v>
      </c>
      <c r="DV413" s="20">
        <f>INDEX(Input!$1:$1048576,DV$93,$C413*2+6)</f>
        <v>0.5</v>
      </c>
      <c r="DW413" s="20">
        <f>INDEX(Input!$1:$1048576,DW$93,$C413*2+6)</f>
        <v>0.45</v>
      </c>
      <c r="DX413" s="20"/>
      <c r="DY413" s="7">
        <v>0.10161432996273168</v>
      </c>
      <c r="DZ413" s="7">
        <v>0</v>
      </c>
      <c r="EA413" s="7">
        <v>0.7917548932985623</v>
      </c>
      <c r="EB413" s="7">
        <v>0</v>
      </c>
      <c r="EC413" s="7">
        <v>0</v>
      </c>
      <c r="ED413" s="7">
        <v>0</v>
      </c>
      <c r="EE413" s="7">
        <v>0</v>
      </c>
      <c r="EF413" s="7">
        <v>0</v>
      </c>
      <c r="EG413" s="7">
        <v>0</v>
      </c>
      <c r="EH413" s="7">
        <v>9.5106526601495441E-3</v>
      </c>
      <c r="EI413" s="7">
        <v>2.4843968889660714E-2</v>
      </c>
      <c r="EJ413" s="7">
        <v>0.17437754986078841</v>
      </c>
      <c r="EK413" s="7">
        <v>0.68466984822954446</v>
      </c>
      <c r="EL413" s="7">
        <v>0.10659798035985622</v>
      </c>
      <c r="EM413" s="7">
        <v>5.504946622748675E-2</v>
      </c>
      <c r="EN413" s="7">
        <v>5.0467591177057687E-2</v>
      </c>
      <c r="EO413" s="7">
        <v>0.71271288303800373</v>
      </c>
      <c r="EP413" s="7">
        <v>0.10249146835247709</v>
      </c>
      <c r="EQ413" s="7">
        <v>9.0022075938586826E-2</v>
      </c>
      <c r="ER413" s="7">
        <v>4.4305981493874956E-2</v>
      </c>
      <c r="ES413" s="7">
        <v>5.1581310511219246E-2</v>
      </c>
      <c r="ET413" s="7">
        <v>0.10663077673870609</v>
      </c>
      <c r="EU413" s="6">
        <v>1770</v>
      </c>
      <c r="EV413" s="6">
        <v>0</v>
      </c>
      <c r="EW413" s="6">
        <v>1770</v>
      </c>
      <c r="EX413" s="6">
        <v>0</v>
      </c>
      <c r="EY413" s="6">
        <v>2824.231768572336</v>
      </c>
      <c r="EZ413" s="6">
        <v>507</v>
      </c>
      <c r="FA413" s="6">
        <v>0</v>
      </c>
      <c r="FB413" s="6">
        <v>0</v>
      </c>
      <c r="FC413" s="6">
        <v>0</v>
      </c>
      <c r="FD413" s="6">
        <v>0</v>
      </c>
      <c r="FE413" s="6">
        <v>0</v>
      </c>
      <c r="FF413" s="6">
        <v>0</v>
      </c>
      <c r="FG413" s="6">
        <v>0</v>
      </c>
      <c r="FH413" s="6">
        <v>1169.800772322347</v>
      </c>
      <c r="FI413" s="6">
        <v>1553.9796069512402</v>
      </c>
      <c r="FJ413" s="6">
        <v>2101.2110117447423</v>
      </c>
      <c r="FK413" s="6">
        <v>2251.3078348034683</v>
      </c>
      <c r="FL413" s="6">
        <v>907.07682140966381</v>
      </c>
      <c r="FM413" s="6">
        <v>2054.231768572336</v>
      </c>
      <c r="FN413" s="6">
        <v>0</v>
      </c>
      <c r="FO413" s="6">
        <v>0</v>
      </c>
      <c r="FP413" s="6">
        <v>0</v>
      </c>
      <c r="FQ413" s="6">
        <v>0</v>
      </c>
      <c r="FR413" s="6">
        <v>0</v>
      </c>
      <c r="FS413" s="6">
        <v>0</v>
      </c>
      <c r="FT413" s="7">
        <v>0.89336922326129398</v>
      </c>
      <c r="FU413" s="7">
        <v>5.504946622748675E-2</v>
      </c>
      <c r="FV413" s="7">
        <v>5.1581310511219246E-2</v>
      </c>
      <c r="FW413" s="6">
        <v>1770</v>
      </c>
      <c r="FX413" s="6">
        <v>2824.231768572336</v>
      </c>
      <c r="FY413" s="6">
        <v>507</v>
      </c>
      <c r="FZ413" s="6">
        <v>1949.5716051445115</v>
      </c>
      <c r="GA413" s="6">
        <v>1762.8877009642963</v>
      </c>
      <c r="GB413" s="6">
        <v>18222.112299035703</v>
      </c>
      <c r="GC413" s="7">
        <v>3.3872851927908169E-2</v>
      </c>
      <c r="GD413" s="7">
        <v>3.3689298484980201E-2</v>
      </c>
      <c r="GE413" s="7"/>
      <c r="GF413" s="7"/>
      <c r="GG413" s="7">
        <v>-5.418895442244609E-3</v>
      </c>
      <c r="GH413" s="42">
        <v>0.58010692399444574</v>
      </c>
      <c r="GI413" s="6">
        <v>36213.433235551522</v>
      </c>
      <c r="GJ413" s="14">
        <v>0.50394797582841733</v>
      </c>
      <c r="GK413" s="14">
        <v>0.50887573065309744</v>
      </c>
      <c r="GL413" s="14">
        <v>0.49605202417158284</v>
      </c>
      <c r="GM413" s="14">
        <v>0.49112426934690251</v>
      </c>
      <c r="GO413" s="5">
        <v>343.14810671672558</v>
      </c>
      <c r="GP413" s="5">
        <v>309.37988338875158</v>
      </c>
      <c r="GQ413" s="5">
        <v>535.04305713031317</v>
      </c>
      <c r="GR413" s="5">
        <v>410.15490233172511</v>
      </c>
      <c r="GS413" s="5">
        <v>339.42744393800166</v>
      </c>
      <c r="GT413" s="5">
        <v>293.4407446948278</v>
      </c>
      <c r="GU413" s="5">
        <v>258.04012322764959</v>
      </c>
      <c r="GV413" s="39" t="s">
        <v>392</v>
      </c>
      <c r="GW413" s="5">
        <v>478.23611111111109</v>
      </c>
      <c r="GX413" s="5">
        <v>358.67708333333331</v>
      </c>
      <c r="GY413" s="5">
        <v>286.94166666666666</v>
      </c>
      <c r="GZ413" s="5">
        <v>245.72198221012883</v>
      </c>
      <c r="HA413" s="5">
        <v>234.53733318419432</v>
      </c>
      <c r="HB413" s="39">
        <v>256.73512293128397</v>
      </c>
      <c r="HC413" s="5">
        <v>265.10312499999998</v>
      </c>
      <c r="HD413" s="5">
        <v>224.66580774853799</v>
      </c>
      <c r="HE413" s="5">
        <v>226.90661690283397</v>
      </c>
      <c r="HF413" s="5">
        <v>209.18438048245613</v>
      </c>
      <c r="HG413" s="5">
        <v>200.91388157894738</v>
      </c>
      <c r="HH413" s="39">
        <v>224.49022294210457</v>
      </c>
      <c r="HI413" s="16"/>
      <c r="HJ413" s="19" t="str">
        <f t="shared" si="1163"/>
        <v>On</v>
      </c>
      <c r="HK413" s="1" t="str">
        <f t="shared" si="1163"/>
        <v>On</v>
      </c>
      <c r="HL413" s="16"/>
      <c r="HM413" s="639">
        <f t="shared" si="1110"/>
        <v>2.9403358434788716E-2</v>
      </c>
      <c r="HN413" s="639">
        <f t="shared" si="1111"/>
        <v>1.4106809950923669E-3</v>
      </c>
      <c r="HO413" s="639">
        <f t="shared" si="1112"/>
        <v>1.7317923025048877E-3</v>
      </c>
      <c r="HP413" s="644">
        <f>(FT413*$GD413-HM413)/$JF413*INDEX(Input!$1:$1048576,$JG$93,$C413*2+6)</f>
        <v>49.636164601528812</v>
      </c>
      <c r="HQ413" s="644">
        <f>(FU413*$GD413-HN413)/$JF413*INDEX(Input!$1:$1048576,$JG$93,$C413*2+6)</f>
        <v>31.765539074655447</v>
      </c>
      <c r="HR413" s="644">
        <f>(FV413*$GD413-HO413)/$JF413*INDEX(Input!$1:$1048576,$JG$93,$C413*2+6)</f>
        <v>0.42548970114480972</v>
      </c>
      <c r="HS413" s="644">
        <f t="shared" si="1113"/>
        <v>-36.922667449363182</v>
      </c>
      <c r="HT413" s="644">
        <f t="shared" si="1114"/>
        <v>102.35370045807619</v>
      </c>
      <c r="HU413" s="644">
        <f t="shared" si="1115"/>
        <v>6.398242214309148</v>
      </c>
      <c r="HV413" s="648">
        <f t="shared" si="1116"/>
        <v>0</v>
      </c>
      <c r="HW413" s="648">
        <f t="shared" si="1117"/>
        <v>0</v>
      </c>
      <c r="HX413" s="648">
        <f t="shared" si="1118"/>
        <v>0</v>
      </c>
      <c r="HY413" s="644">
        <f>INDEX(Input!$1:$1048576,HY$93,$C413*2+6)*INDEX(Input!$1:$1048576,$JG$93,$C413*2+6)</f>
        <v>993</v>
      </c>
      <c r="HZ413" s="644">
        <f>INDEX(Input!$1:$1048576,HZ$93,$C413*2+6)*INDEX(Input!$1:$1048576,$JG$93,$C413*2+6)</f>
        <v>1216</v>
      </c>
      <c r="IA413" s="644">
        <f>INDEX(Input!$1:$1048576,IA$93,$C413*2+6)*INDEX(Input!$1:$1048576,$JG$93,$C413*2+6)</f>
        <v>120</v>
      </c>
      <c r="IB413" s="644">
        <f t="shared" si="1142"/>
        <v>1005.7134971521656</v>
      </c>
      <c r="IC413" s="644">
        <f t="shared" si="1143"/>
        <v>1350.1192395327316</v>
      </c>
      <c r="ID413" s="644">
        <f>IF(AND(INDEX(Input!$1:$1048576,IA$93,$C413*2+7)="TOS",Y413&lt;=INDEX(Y:Y,MATCH(C413*1000+2,A:A))),0,1)*MAX(IA413+HR413+HU413+HX413,0%)</f>
        <v>126.82373191545396</v>
      </c>
      <c r="IE413" s="128">
        <f t="shared" ref="IE413:IE414" si="1187">IB413/SUM($IB413:$ID413)</f>
        <v>0.40509571496178742</v>
      </c>
      <c r="IF413" s="128">
        <f t="shared" si="1165"/>
        <v>0.54382040230233275</v>
      </c>
      <c r="IG413" s="128">
        <f t="shared" si="1120"/>
        <v>5.1083882735879868E-2</v>
      </c>
      <c r="IH413" s="21"/>
      <c r="II413" s="19">
        <f t="shared" si="1121"/>
        <v>1490</v>
      </c>
      <c r="IJ413" s="19">
        <f t="shared" si="1122"/>
        <v>2203.2561351629856</v>
      </c>
      <c r="IK413" s="19">
        <f t="shared" si="1123"/>
        <v>242</v>
      </c>
      <c r="IL413" s="19">
        <f t="shared" si="1145"/>
        <v>280</v>
      </c>
      <c r="IM413" s="19">
        <f t="shared" si="1124"/>
        <v>620.97563340935039</v>
      </c>
      <c r="IN413" s="19">
        <f t="shared" si="1125"/>
        <v>265</v>
      </c>
      <c r="IO413" s="39">
        <f t="shared" si="1126"/>
        <v>0</v>
      </c>
      <c r="IP413" s="39">
        <f t="shared" si="1127"/>
        <v>0</v>
      </c>
      <c r="IQ413" s="39">
        <f t="shared" si="1128"/>
        <v>0</v>
      </c>
      <c r="IR413" s="39">
        <v>0</v>
      </c>
      <c r="IS413" s="39">
        <v>0</v>
      </c>
      <c r="IT413" s="39">
        <v>0</v>
      </c>
      <c r="IU413" s="39">
        <v>0</v>
      </c>
      <c r="IV413" s="39">
        <v>0</v>
      </c>
      <c r="IW413" s="39">
        <v>0</v>
      </c>
      <c r="IX413" s="39">
        <f>INDEX(Input!$1:$1048576,IX$93,$C413*2+6)+INDEX(Input!$1:$1048576,IX$94,$C413*2+6)</f>
        <v>1770</v>
      </c>
      <c r="IY413" s="39">
        <f>INDEX(Input!$1:$1048576,IY$93,$C413*2+6)+INDEX(Input!$1:$1048576,IY$94,$C413*2+6)</f>
        <v>2630.0624533823611</v>
      </c>
      <c r="IZ413" s="39">
        <f>INDEX(Input!$1:$1048576,IZ$93,$C413*2+6)+INDEX(Input!$1:$1048576,IZ$94,$C413*2+6)</f>
        <v>4153.7164157747848</v>
      </c>
      <c r="JA413" s="19">
        <f t="shared" si="1146"/>
        <v>2050</v>
      </c>
      <c r="JB413" s="19">
        <f t="shared" si="1147"/>
        <v>3251.0380867917115</v>
      </c>
      <c r="JC413" s="19">
        <f t="shared" si="1148"/>
        <v>4418.7164157747848</v>
      </c>
      <c r="JD413" s="19">
        <f t="shared" si="1149"/>
        <v>2824.1522471574854</v>
      </c>
      <c r="JE413" s="21"/>
      <c r="JF413" s="1">
        <f t="shared" si="1129"/>
        <v>3.2545831732385969E-2</v>
      </c>
      <c r="JG413" s="15">
        <f>INDEX(Input!$1:$1048576,JG$93,$C413*2+6)/(1+VLOOKUP(C413*1000+INDEX(Input!$1:$1048576,JG$93+1,$C413*2+6),$A:$KK,$JK$92,FALSE))</f>
        <v>2329</v>
      </c>
      <c r="JH413" s="1">
        <f t="shared" si="1150"/>
        <v>3.5134046104477915E-2</v>
      </c>
      <c r="JI413" s="1">
        <f t="shared" si="1151"/>
        <v>3.0841251705891862E-2</v>
      </c>
      <c r="JJ413" s="1">
        <f>SUM(HV413:HX413)/SUM(HY413:IA413)</f>
        <v>0</v>
      </c>
      <c r="JK413" s="1">
        <f t="shared" ref="JK413:JK414" si="1188">SUM(JH413:JJ413)</f>
        <v>6.5975297810369773E-2</v>
      </c>
      <c r="JL413" s="15">
        <f t="shared" si="1154"/>
        <v>153.65646860035119</v>
      </c>
      <c r="JM413" s="15">
        <f t="shared" si="1180"/>
        <v>2482.6564686003512</v>
      </c>
      <c r="JN413" s="21"/>
      <c r="JO413" s="19">
        <f>INDEX(Input!$1:$1048576,JO$93,$C413*2+6)</f>
        <v>5995.5</v>
      </c>
      <c r="JP413" s="19">
        <f>INDEX(Input!$1:$1048576,JP$93,$C413*2+6)</f>
        <v>2341.8685758720158</v>
      </c>
      <c r="JQ413" s="39">
        <f t="shared" si="1166"/>
        <v>3171.3477528425146</v>
      </c>
      <c r="JR413" s="39">
        <f t="shared" si="1183"/>
        <v>482.28367128546961</v>
      </c>
      <c r="JS413" s="39">
        <f t="shared" si="1168"/>
        <v>7.0113998447177481</v>
      </c>
      <c r="JT413" s="39">
        <f t="shared" si="1156"/>
        <v>1.557187931511824</v>
      </c>
      <c r="JU413" s="385">
        <f>(JQ413*JM413-INDEX(Input!$1:$1048576,Input!A$18,$C413*2+6)*JL413*INDEX(Input!$1:$1048576,Input!A$19,$C413*2+6))/1000000</f>
        <v>7.873367012775657</v>
      </c>
      <c r="JV413" s="39">
        <f>JU413-(JO413-JP413)*JG413/1000000</f>
        <v>-0.63594057401841741</v>
      </c>
      <c r="JW413" s="1">
        <f t="shared" si="1181"/>
        <v>-7.4734702857064225E-2</v>
      </c>
      <c r="JX413" s="19">
        <f t="shared" si="1172"/>
        <v>10134.216578684698</v>
      </c>
      <c r="JZ413" s="341"/>
      <c r="KA413" s="342"/>
      <c r="KB413" s="469">
        <f t="shared" si="1169"/>
        <v>2.3434325605641804</v>
      </c>
      <c r="KI413" s="473">
        <f t="shared" si="1170"/>
        <v>12.713497152165587</v>
      </c>
      <c r="KJ413" s="473">
        <f t="shared" si="1157"/>
        <v>134.11923953273163</v>
      </c>
      <c r="KK413" s="473">
        <f t="shared" si="1158"/>
        <v>6.823731915453962</v>
      </c>
      <c r="KN413" s="544">
        <f t="shared" si="1173"/>
        <v>4002</v>
      </c>
      <c r="KO413" s="541">
        <f t="shared" si="1133"/>
        <v>2.6479937096872241E-2</v>
      </c>
      <c r="KP413" s="546">
        <f t="shared" si="1134"/>
        <v>185.40395718239969</v>
      </c>
      <c r="KQ413" s="546">
        <f t="shared" si="1135"/>
        <v>199.3810591214642</v>
      </c>
      <c r="KR413" s="548">
        <f t="shared" si="1136"/>
        <v>2.4794388097977134</v>
      </c>
      <c r="KS413" s="548">
        <f t="shared" si="1137"/>
        <v>2.3056240595455182</v>
      </c>
      <c r="KT413" s="473">
        <f t="shared" si="1171"/>
        <v>1580.0986321700548</v>
      </c>
      <c r="KU413" s="663">
        <f t="shared" si="1159"/>
        <v>4.0421114904530349</v>
      </c>
      <c r="KV413" s="117" t="e">
        <f>RANK(KU413,$KU$109:$KU$200)</f>
        <v>#N/A</v>
      </c>
    </row>
    <row r="414" spans="1:310" s="26" customFormat="1" ht="15">
      <c r="A414" s="561">
        <f t="shared" si="1138"/>
        <v>4014</v>
      </c>
      <c r="B414" s="561">
        <f t="shared" si="1160"/>
        <v>14</v>
      </c>
      <c r="C414" s="561">
        <f t="shared" si="1161"/>
        <v>4</v>
      </c>
      <c r="D414" s="561" t="str">
        <f t="shared" si="1182"/>
        <v xml:space="preserve">0/0/0/3.9, </v>
      </c>
      <c r="E414" s="115">
        <f>INDEX(Input!$1:$1048576,E$93,$C414*2+MIN($B414,2)+5)</f>
        <v>1256.832975525977</v>
      </c>
      <c r="F414" s="115">
        <f>INDEX(Input!$1:$1048576,F$93,$C414*2+MIN($B414,2)+5)</f>
        <v>0</v>
      </c>
      <c r="G414" s="115">
        <f>INDEX(Input!$1:$1048576,G$93,$C414*2+MIN($B414,2)+5)</f>
        <v>0</v>
      </c>
      <c r="H414" s="115">
        <f>INDEX(Input!$1:$1048576,H$93,$C414*2+MIN($B414,2)+5)</f>
        <v>0</v>
      </c>
      <c r="I414" s="118">
        <f>INDEX(Input!$1:$1048576,I$93,$C414*2+MIN($B414,2)+5)</f>
        <v>0.7</v>
      </c>
      <c r="J414" s="476" t="str">
        <f>INDEX(Input!$1:$1048576,J$93,$C414*2+MIN($B414,2)+5)</f>
        <v>Market</v>
      </c>
      <c r="K414" s="476" t="str">
        <f>INDEX(Input!$1:$1048576,K$93,$C414*2+MIN($B414,2)+5)</f>
        <v>Market</v>
      </c>
      <c r="L414" s="476" t="str">
        <f>INDEX(Input!$1:$1048576,L$93,$C414*2+MIN($B414,2)+5)</f>
        <v>Market</v>
      </c>
      <c r="M414" s="476" t="str">
        <f>INDEX(Input!$1:$1048576,M$93,$C414*2+MIN($B414,2)+5)</f>
        <v>Market</v>
      </c>
      <c r="N414" s="476" t="str">
        <f>INDEX(Input!$1:$1048576,N$93,$C414*2+MIN($B414,2)+5)</f>
        <v>Market</v>
      </c>
      <c r="O414" s="476" t="str">
        <f>INDEX(Input!$1:$1048576,O$93,$C414*2+MIN($B414,2)+5)</f>
        <v>Market</v>
      </c>
      <c r="P414" s="476" t="str">
        <f>INDEX(Input!$1:$1048576,P$93,$C414*2+MIN($B414,2)+5)</f>
        <v>N</v>
      </c>
      <c r="Q414" s="477">
        <f>INDEX(Input!$1:$1048576,Q$93,$C414*2+MIN($B414,2)+5)</f>
        <v>0</v>
      </c>
      <c r="R414" s="478">
        <f>IFERROR(MAX(0,INDEX(Input!$1:$1048576,R$93,$C414*2+MIN($B414,2)+5)-2%,),"Market")</f>
        <v>0</v>
      </c>
      <c r="S414" s="478">
        <f>IFERROR(MAX(0,INDEX(Input!$1:$1048576,S$93,$C414*2+MIN($B414,2)+5)-2%,),"Market")</f>
        <v>0</v>
      </c>
      <c r="T414" s="478">
        <f>IFERROR(MAX(0,INDEX(Input!$1:$1048576,T$93,$C414*2+MIN($B414,2)+5)-2%,),"Market")</f>
        <v>0</v>
      </c>
      <c r="U414" s="478">
        <f>IFERROR(MAX(0,INDEX(Input!$1:$1048576,U$93,$C414*2+MIN($B414,2)+5)-2%,),"Market")</f>
        <v>0</v>
      </c>
      <c r="V414" s="478">
        <f>IFERROR(MAX(0,INDEX(Input!$1:$1048576,V$93,$C414*2+MIN($B414,2)+5)-2%,),"Market")</f>
        <v>0</v>
      </c>
      <c r="W414" s="885">
        <f>IFERROR(MAX(0,INDEX(Input!$1:$1048576,W$93,$C414*2+MIN($B414,2)+5)-0%,),"Market")</f>
        <v>3.9E-2</v>
      </c>
      <c r="X414" s="476" t="str">
        <f>INDEX(Input!$1:$1048576,X$93,$C414*2+MIN($B414,2)+5)</f>
        <v>Y</v>
      </c>
      <c r="Y414" s="150">
        <f>INDEX(Input!$1:$1048576,Y$93,$C414*2+MIN($B414,2)+5)</f>
        <v>-870</v>
      </c>
      <c r="Z414" s="30">
        <f>INDEX(Input!$1:$1048576,Z$93,$C414*2+MIN($B414,2)+5)</f>
        <v>0</v>
      </c>
      <c r="AA414" s="475">
        <f>INDEX(Input!$1:$1048576,AA$93,$C414*2+MIN($B414,2)+5)</f>
        <v>0</v>
      </c>
      <c r="AB414" s="118">
        <f>INDEX(Input!$1:$1048576,AB$93,$C414*2+MIN($B414,2)+5)</f>
        <v>0.27</v>
      </c>
      <c r="AC414" s="115">
        <f>INDEX(Input!$1:$1048576,AC$93,$C414*2+MIN($B414,2)+5)</f>
        <v>0</v>
      </c>
      <c r="AD414" s="118">
        <f>INDEX(Input!$1:$1048576,AD$93,$C414*2+MIN($B414,2)+5)</f>
        <v>0.27</v>
      </c>
      <c r="AE414" s="115">
        <f>INDEX(Input!$1:$1048576,AE$93,$C414*2+MIN($B414,2)+5)</f>
        <v>0</v>
      </c>
      <c r="AF414" s="118">
        <f>INDEX(Input!$1:$1048576,AF$93,$C414*2+MIN($B414,2)+5)</f>
        <v>1</v>
      </c>
      <c r="AG414" s="115">
        <f>INDEX(Input!$1:$1048576,AG$93,$C414*2+MIN($B414,2)+5)</f>
        <v>500</v>
      </c>
      <c r="AH414" s="118">
        <f>INDEX(Input!$1:$1048576,AH$93,$C414*2+MIN($B414,2)+5)</f>
        <v>0.83199999999999996</v>
      </c>
      <c r="AI414" s="115">
        <f>INDEX(Input!$1:$1048576,AI$93,$C414*2+MIN($B414,2)+5)</f>
        <v>0</v>
      </c>
      <c r="AJ414" s="118">
        <f>INDEX(Input!$1:$1048576,AJ$93,$C414*2+MIN($B414,2)+5)</f>
        <v>0.27</v>
      </c>
      <c r="AK414" s="150">
        <f>ROUND(INDEX(Input!$1:$1048576,AK$93,$C413*2+MIN($B414,1)+5)+(Y414-VLOOKUP($C414*1000+1,$A:$HH,Y$92,FALSE)),0)</f>
        <v>2587</v>
      </c>
      <c r="AL414" s="150">
        <f>ROUND(INDEX(Input!$1:$1048576,AL$93,$C413*2+MIN($B414,1)+5)-(Y414-VLOOKUP($C414*1000+1,$A:$HH,Y$92,FALSE))/36,0)</f>
        <v>3406</v>
      </c>
      <c r="AM414" s="32" t="str">
        <f t="shared" si="1139"/>
        <v>std/std/std/std</v>
      </c>
      <c r="AN414" s="32" t="str">
        <f t="shared" si="1140"/>
        <v>$0 + 0/0/0/0/3.9</v>
      </c>
      <c r="AO414" s="32" t="str">
        <f t="shared" si="1141"/>
        <v>0/0/0/0/3.9</v>
      </c>
      <c r="AP414" s="32" t="str">
        <f t="shared" si="993"/>
        <v>0/0/0/3.9</v>
      </c>
      <c r="AQ414" s="536">
        <f t="shared" si="992"/>
        <v>0.38367277518692688</v>
      </c>
      <c r="AR414" s="32"/>
      <c r="AS414" s="302"/>
      <c r="AT414" s="3">
        <f t="shared" si="1162"/>
        <v>14</v>
      </c>
      <c r="AU414" s="41" t="s">
        <v>121</v>
      </c>
      <c r="AV414" s="41" t="s">
        <v>116</v>
      </c>
      <c r="AW414" s="41" t="str">
        <f>INDEX(Input!$1:$1048576,AW$93,$C414*2+6)</f>
        <v>Kia</v>
      </c>
      <c r="AX414" s="41" t="str">
        <f>INDEX(Input!$1:$1048576,AX$93,$C414*2+6)</f>
        <v>Kia-LR - R1</v>
      </c>
      <c r="AY414" s="41" t="str">
        <f>IF(LEN(D414)=0,"",INDEX(Input!$1:$1048576,AY$93,$C414*2+6))</f>
        <v>Compact SUV (52)</v>
      </c>
      <c r="AZ414" s="41" t="str">
        <f>INDEX(Input!$1:$1048576,AZ$93,$C414*2+6)</f>
        <v>Kia Soul</v>
      </c>
      <c r="BA414" s="3">
        <f>INDEX(Input!$1:$1048576,BA$93,$C414*2+6)</f>
        <v>2020</v>
      </c>
      <c r="BB414" s="128">
        <f>INDEX(Input!$1:$1048576,BB$93,$C414*2+6)</f>
        <v>1</v>
      </c>
      <c r="BC414" s="128">
        <f>INDEX(Input!$1:$1048576,BC$93,$C414*2+6)</f>
        <v>0.7</v>
      </c>
      <c r="BD414" s="1">
        <f>INDEX(Input!$1:$1048576,BD$93,$C414*2+6)</f>
        <v>4.4999999999999998E-2</v>
      </c>
      <c r="BE414" s="1">
        <f>INDEX(Input!$1:$1048576,BE$93,$C414*2+6)</f>
        <v>4.4999999999999998E-2</v>
      </c>
      <c r="BF414" s="1">
        <f>INDEX(Input!$1:$1048576,BF$93,$C414*2+6)</f>
        <v>0.05</v>
      </c>
      <c r="BG414" s="1">
        <f>INDEX(Input!$1:$1048576,BG$93,$C414*2+6)</f>
        <v>5.45E-2</v>
      </c>
      <c r="BH414" s="1">
        <f>INDEX(Input!$1:$1048576,BH$93,$C414*2+6)</f>
        <v>5.45E-2</v>
      </c>
      <c r="BI414" s="1">
        <f>INDEX(Input!$1:$1048576,BI$93,$C414*2+6)</f>
        <v>0.05</v>
      </c>
      <c r="BJ414" s="1">
        <f>INDEX(Input!$1:$1048576,BJ$93,$C414*2+6)</f>
        <v>0.05</v>
      </c>
      <c r="BK414" s="1">
        <f>INDEX(Input!$1:$1048576,BK$93,$C414*2+6)</f>
        <v>0.05</v>
      </c>
      <c r="BL414" s="1">
        <f>INDEX(Input!$1:$1048576,BL$93,$C414*2+6)</f>
        <v>5.5E-2</v>
      </c>
      <c r="BM414" s="1">
        <f>INDEX(Input!$1:$1048576,BM$93,$C414*2+6)</f>
        <v>0.06</v>
      </c>
      <c r="BN414" s="1">
        <f>INDEX(Input!$1:$1048576,BN$93,$C414*2+6)</f>
        <v>4.4999999999999998E-2</v>
      </c>
      <c r="BO414" s="1">
        <f>INDEX(Input!$1:$1048576,BO$93,$C414*2+6)</f>
        <v>4.4999999999999998E-2</v>
      </c>
      <c r="BP414" s="1">
        <f>INDEX(Input!$1:$1048576,BP$93,$C414*2+6)</f>
        <v>0.05</v>
      </c>
      <c r="BQ414" s="1">
        <f>INDEX(Input!$1:$1048576,BQ$93,$C414*2+6)</f>
        <v>5.45E-2</v>
      </c>
      <c r="BR414" s="1">
        <f>INDEX(Input!$1:$1048576,BR$93,$C414*2+6)</f>
        <v>5.45E-2</v>
      </c>
      <c r="BS414" s="1">
        <f>INDEX(Input!$1:$1048576,BS$93,$C414*2+6)</f>
        <v>0.05</v>
      </c>
      <c r="BT414" s="1">
        <f>INDEX(Input!$1:$1048576,BT$93,$C414*2+6)</f>
        <v>0.05</v>
      </c>
      <c r="BU414" s="1">
        <f>INDEX(Input!$1:$1048576,BU$93,$C414*2+6)</f>
        <v>0.05</v>
      </c>
      <c r="BV414" s="1">
        <f>INDEX(Input!$1:$1048576,BV$93,$C414*2+6)</f>
        <v>5.5E-2</v>
      </c>
      <c r="BW414" s="1">
        <f>INDEX(Input!$1:$1048576,BW$93,$C414*2+6)</f>
        <v>0.06</v>
      </c>
      <c r="BX414" s="127">
        <f>INDEX(Input!$1:$1048576,BX$93,$C414*2+6)</f>
        <v>19985</v>
      </c>
      <c r="BY414" s="20">
        <f>INDEX(Input!$1:$1048576,BY$93,$C414*2+6)</f>
        <v>0.1</v>
      </c>
      <c r="BZ414" s="20">
        <f>INDEX(Input!$1:$1048576,BZ$93,$C414*2+6)</f>
        <v>0.1</v>
      </c>
      <c r="CA414" s="20">
        <f>INDEX(Input!$1:$1048576,CA$93,$C414*2+6)</f>
        <v>0.1</v>
      </c>
      <c r="CB414" s="20">
        <f>INDEX(Input!$1:$1048576,CB$93,$C414*2+6)</f>
        <v>0.1</v>
      </c>
      <c r="CC414" s="20">
        <f>INDEX(Input!$1:$1048576,CC$93,$C414*2+6)</f>
        <v>0.1</v>
      </c>
      <c r="CD414" s="384">
        <f>INDEX(Input!$1:$1048576,CD$93,$C414*2+6)</f>
        <v>0.1</v>
      </c>
      <c r="CE414" s="384">
        <f>INDEX(Input!$1:$1048576,CE$93,$C414*2+6)</f>
        <v>0.1</v>
      </c>
      <c r="CF414" s="384">
        <f>INDEX(Input!$1:$1048576,CF$93,$C414*2+6)</f>
        <v>0.1</v>
      </c>
      <c r="CG414" s="384">
        <f>INDEX(Input!$1:$1048576,CG$93,$C414*2+6)</f>
        <v>0.1</v>
      </c>
      <c r="CH414" s="384">
        <f>INDEX(Input!$1:$1048576,CH$93,$C414*2+6)</f>
        <v>0.1</v>
      </c>
      <c r="CI414" s="304">
        <f t="shared" si="994"/>
        <v>1256.832975525977</v>
      </c>
      <c r="CJ414" s="16" t="str">
        <f>INDEX(Input!$1:$1048576,CJ$93,$C414*2+6)</f>
        <v>N</v>
      </c>
      <c r="CK414" s="1" t="str">
        <f t="shared" si="995"/>
        <v>Market</v>
      </c>
      <c r="CL414" s="1" t="str">
        <f t="shared" si="996"/>
        <v>Market</v>
      </c>
      <c r="CM414" s="1" t="str">
        <f t="shared" si="997"/>
        <v>Market</v>
      </c>
      <c r="CN414" s="1" t="str">
        <f t="shared" si="998"/>
        <v>Market</v>
      </c>
      <c r="CO414" s="1" t="str">
        <f t="shared" si="999"/>
        <v>Market</v>
      </c>
      <c r="CP414" s="304">
        <f t="shared" si="1000"/>
        <v>416</v>
      </c>
      <c r="CQ414" s="1">
        <f t="shared" si="1001"/>
        <v>0</v>
      </c>
      <c r="CR414" s="1">
        <f t="shared" si="1002"/>
        <v>0</v>
      </c>
      <c r="CS414" s="1">
        <f t="shared" si="1003"/>
        <v>0</v>
      </c>
      <c r="CT414" s="1">
        <f t="shared" si="1004"/>
        <v>0</v>
      </c>
      <c r="CU414" s="1">
        <f t="shared" si="1005"/>
        <v>3.9E-2</v>
      </c>
      <c r="CV414" s="304">
        <f t="shared" si="1006"/>
        <v>-870</v>
      </c>
      <c r="CW414" s="20" t="s">
        <v>122</v>
      </c>
      <c r="CX414" s="20" t="s">
        <v>122</v>
      </c>
      <c r="CY414" s="20" t="s">
        <v>122</v>
      </c>
      <c r="CZ414" s="20" t="s">
        <v>122</v>
      </c>
      <c r="DA414" s="20" t="s">
        <v>122</v>
      </c>
      <c r="DB414" s="503">
        <f t="shared" si="1007"/>
        <v>0</v>
      </c>
      <c r="DC414" s="127">
        <v>0</v>
      </c>
      <c r="DD414" s="127">
        <v>0</v>
      </c>
      <c r="DE414" s="127">
        <v>0</v>
      </c>
      <c r="DF414" s="127">
        <v>0</v>
      </c>
      <c r="DG414" s="127">
        <v>0</v>
      </c>
      <c r="DH414" s="127">
        <v>0</v>
      </c>
      <c r="DI414" s="127">
        <v>0</v>
      </c>
      <c r="DJ414" s="127">
        <v>0</v>
      </c>
      <c r="DK414" s="127">
        <v>0</v>
      </c>
      <c r="DL414" s="127">
        <v>0</v>
      </c>
      <c r="DM414" s="304">
        <f>INDEX(Input!$1:$1048576,DM$93,$C414*2+6)</f>
        <v>21036.84210526316</v>
      </c>
      <c r="DN414" s="20">
        <v>0</v>
      </c>
      <c r="DO414" s="20">
        <v>0</v>
      </c>
      <c r="DP414" s="20">
        <v>0</v>
      </c>
      <c r="DQ414" s="20">
        <v>0</v>
      </c>
      <c r="DR414" s="20">
        <v>0</v>
      </c>
      <c r="DS414" s="20">
        <f>INDEX(Input!$1:$1048576,DS$93,$C414*2+6)</f>
        <v>0.6</v>
      </c>
      <c r="DT414" s="20">
        <f>INDEX(Input!$1:$1048576,DT$93,$C414*2+6)</f>
        <v>0.55000000000000004</v>
      </c>
      <c r="DU414" s="20">
        <f>INDEX(Input!$1:$1048576,DU$93,$C414*2+6)</f>
        <v>0.52</v>
      </c>
      <c r="DV414" s="20">
        <f>INDEX(Input!$1:$1048576,DV$93,$C414*2+6)</f>
        <v>0.5</v>
      </c>
      <c r="DW414" s="20">
        <f>INDEX(Input!$1:$1048576,DW$93,$C414*2+6)</f>
        <v>0.45</v>
      </c>
      <c r="DX414" s="20"/>
      <c r="DY414" s="7">
        <v>0.1000072900467943</v>
      </c>
      <c r="DZ414" s="7">
        <v>0</v>
      </c>
      <c r="EA414" s="7">
        <v>0.77944407026890949</v>
      </c>
      <c r="EB414" s="7">
        <v>0</v>
      </c>
      <c r="EC414" s="7">
        <v>0</v>
      </c>
      <c r="ED414" s="7">
        <v>0</v>
      </c>
      <c r="EE414" s="7">
        <v>0</v>
      </c>
      <c r="EF414" s="7">
        <v>0</v>
      </c>
      <c r="EG414" s="7">
        <v>0</v>
      </c>
      <c r="EH414" s="7">
        <v>7.3762975399615698E-3</v>
      </c>
      <c r="EI414" s="7">
        <v>1.927111840277778E-2</v>
      </c>
      <c r="EJ414" s="7">
        <v>0.13520356673197642</v>
      </c>
      <c r="EK414" s="7">
        <v>0.75540036688237355</v>
      </c>
      <c r="EL414" s="7">
        <v>8.2748650442910868E-2</v>
      </c>
      <c r="EM414" s="7">
        <v>6.97843950835942E-2</v>
      </c>
      <c r="EN414" s="7">
        <v>5.0464418012409286E-2</v>
      </c>
      <c r="EO414" s="7">
        <v>0.71271907821604641</v>
      </c>
      <c r="EP414" s="7">
        <v>0.10250100071107572</v>
      </c>
      <c r="EQ414" s="7">
        <v>9.0027289304966701E-2</v>
      </c>
      <c r="ER414" s="7">
        <v>4.4288213755501772E-2</v>
      </c>
      <c r="ES414" s="7">
        <v>5.0764244600702155E-2</v>
      </c>
      <c r="ET414" s="7">
        <v>0.12054863968429613</v>
      </c>
      <c r="EU414" s="6">
        <v>1770</v>
      </c>
      <c r="EV414" s="6">
        <v>0</v>
      </c>
      <c r="EW414" s="6">
        <v>1770</v>
      </c>
      <c r="EX414" s="6">
        <v>0</v>
      </c>
      <c r="EY414" s="6">
        <v>3187.8184813362723</v>
      </c>
      <c r="EZ414" s="6">
        <v>507</v>
      </c>
      <c r="FA414" s="6">
        <v>0</v>
      </c>
      <c r="FB414" s="6">
        <v>0</v>
      </c>
      <c r="FC414" s="6">
        <v>0</v>
      </c>
      <c r="FD414" s="6">
        <v>0</v>
      </c>
      <c r="FE414" s="6">
        <v>0</v>
      </c>
      <c r="FF414" s="6">
        <v>0</v>
      </c>
      <c r="FG414" s="6">
        <v>0</v>
      </c>
      <c r="FH414" s="6">
        <v>1169.8031575631164</v>
      </c>
      <c r="FI414" s="6">
        <v>1553.9796069512395</v>
      </c>
      <c r="FJ414" s="6">
        <v>2101.211011744741</v>
      </c>
      <c r="FK414" s="6">
        <v>2674.2006261592255</v>
      </c>
      <c r="FL414" s="6">
        <v>907.07682140966335</v>
      </c>
      <c r="FM414" s="6">
        <v>2417.8184813362723</v>
      </c>
      <c r="FN414" s="6">
        <v>0</v>
      </c>
      <c r="FO414" s="6">
        <v>0</v>
      </c>
      <c r="FP414" s="6">
        <v>0</v>
      </c>
      <c r="FQ414" s="6">
        <v>0</v>
      </c>
      <c r="FR414" s="6">
        <v>0</v>
      </c>
      <c r="FS414" s="6">
        <v>0</v>
      </c>
      <c r="FT414" s="7">
        <v>0.87945136031570381</v>
      </c>
      <c r="FU414" s="7">
        <v>6.97843950835942E-2</v>
      </c>
      <c r="FV414" s="7">
        <v>5.0764244600702155E-2</v>
      </c>
      <c r="FW414" s="6">
        <v>1770</v>
      </c>
      <c r="FX414" s="6">
        <v>3187.8184813362723</v>
      </c>
      <c r="FY414" s="6">
        <v>507</v>
      </c>
      <c r="FZ414" s="6">
        <v>1949.5716051445115</v>
      </c>
      <c r="GA414" s="6">
        <v>1804.8263641277056</v>
      </c>
      <c r="GB414" s="6">
        <v>18180.173635872296</v>
      </c>
      <c r="GC414" s="7">
        <v>3.3872851927908169E-2</v>
      </c>
      <c r="GD414" s="7">
        <v>3.3803934128253284E-2</v>
      </c>
      <c r="GE414" s="7"/>
      <c r="GF414" s="7"/>
      <c r="GG414" s="7">
        <v>-2.0346028082183303E-3</v>
      </c>
      <c r="GH414" s="42">
        <v>0.2809179551369308</v>
      </c>
      <c r="GI414" s="6">
        <v>72946.594394791624</v>
      </c>
      <c r="GJ414" s="14">
        <v>0.50394797582841699</v>
      </c>
      <c r="GK414" s="14">
        <v>0.50887573065309755</v>
      </c>
      <c r="GL414" s="14">
        <v>0.49605202417158251</v>
      </c>
      <c r="GM414" s="14">
        <v>0.49112426934690229</v>
      </c>
      <c r="GO414" s="5">
        <v>343.14810671672558</v>
      </c>
      <c r="GP414" s="5">
        <v>309.37988338875158</v>
      </c>
      <c r="GQ414" s="5">
        <v>535.04305713031317</v>
      </c>
      <c r="GR414" s="5">
        <v>410.15490233172511</v>
      </c>
      <c r="GS414" s="5">
        <v>339.42744393800166</v>
      </c>
      <c r="GT414" s="5">
        <v>293.4407446948278</v>
      </c>
      <c r="GU414" s="5">
        <v>258.04012322764959</v>
      </c>
      <c r="GV414" s="39" t="s">
        <v>392</v>
      </c>
      <c r="GW414" s="5">
        <v>478.23611111111109</v>
      </c>
      <c r="GX414" s="5">
        <v>358.67708333333331</v>
      </c>
      <c r="GY414" s="5">
        <v>286.94166666666666</v>
      </c>
      <c r="GZ414" s="5">
        <v>239.11805555555554</v>
      </c>
      <c r="HA414" s="5">
        <v>234.53733318419432</v>
      </c>
      <c r="HB414" s="39">
        <v>249.27277186287841</v>
      </c>
      <c r="HC414" s="5">
        <v>265.10312499999998</v>
      </c>
      <c r="HD414" s="5">
        <v>224.66580774853799</v>
      </c>
      <c r="HE414" s="5">
        <v>226.90661690283397</v>
      </c>
      <c r="HF414" s="5">
        <v>209.18438048245613</v>
      </c>
      <c r="HG414" s="5">
        <v>200.91388157894738</v>
      </c>
      <c r="HH414" s="39">
        <v>224.49045729569295</v>
      </c>
      <c r="HI414" s="16"/>
      <c r="HJ414" s="19" t="str">
        <f t="shared" si="1163"/>
        <v>On</v>
      </c>
      <c r="HK414" s="1" t="str">
        <f t="shared" si="1163"/>
        <v>On</v>
      </c>
      <c r="HL414" s="16"/>
      <c r="HM414" s="639">
        <f t="shared" si="1110"/>
        <v>2.9403358434788716E-2</v>
      </c>
      <c r="HN414" s="639">
        <f t="shared" si="1111"/>
        <v>1.4106809950923669E-3</v>
      </c>
      <c r="HO414" s="639">
        <f t="shared" si="1112"/>
        <v>1.7317923025048877E-3</v>
      </c>
      <c r="HP414" s="644">
        <f>(FT414*$GD414-HM414)/$JF414*INDEX(Input!$1:$1048576,$JG$93,$C414*2+6)</f>
        <v>23.297091729474523</v>
      </c>
      <c r="HQ414" s="644">
        <f>(FU414*$GD414-HN414)/$JF414*INDEX(Input!$1:$1048576,$JG$93,$C414*2+6)</f>
        <v>67.86137542530517</v>
      </c>
      <c r="HR414" s="644">
        <f>(FV414*$GD414-HO414)/$JF414*INDEX(Input!$1:$1048576,$JG$93,$C414*2+6)</f>
        <v>-1.1278757085866831</v>
      </c>
      <c r="HS414" s="644">
        <f t="shared" si="1113"/>
        <v>-37.088635227852862</v>
      </c>
      <c r="HT414" s="644">
        <f t="shared" si="1114"/>
        <v>163.6907052623387</v>
      </c>
      <c r="HU414" s="644">
        <f t="shared" si="1115"/>
        <v>6.5642099927988253</v>
      </c>
      <c r="HV414" s="648">
        <f t="shared" si="1116"/>
        <v>0</v>
      </c>
      <c r="HW414" s="648">
        <f t="shared" si="1117"/>
        <v>0</v>
      </c>
      <c r="HX414" s="648">
        <f t="shared" si="1118"/>
        <v>0</v>
      </c>
      <c r="HY414" s="644">
        <f>INDEX(Input!$1:$1048576,HY$93,$C414*2+6)*INDEX(Input!$1:$1048576,$JG$93,$C414*2+6)</f>
        <v>993</v>
      </c>
      <c r="HZ414" s="644">
        <f>INDEX(Input!$1:$1048576,HZ$93,$C414*2+6)*INDEX(Input!$1:$1048576,$JG$93,$C414*2+6)</f>
        <v>1216</v>
      </c>
      <c r="IA414" s="644">
        <f>INDEX(Input!$1:$1048576,IA$93,$C414*2+6)*INDEX(Input!$1:$1048576,$JG$93,$C414*2+6)</f>
        <v>120</v>
      </c>
      <c r="IB414" s="644">
        <f t="shared" si="1142"/>
        <v>979.20845650162164</v>
      </c>
      <c r="IC414" s="644">
        <f t="shared" si="1143"/>
        <v>1447.5520806876439</v>
      </c>
      <c r="ID414" s="644">
        <f>IF(AND(INDEX(Input!$1:$1048576,IA$93,$C414*2+7)="TOS",Y414&lt;=INDEX(Y:Y,MATCH(C414*1000+2,A:A))),0,1)*MAX(IA414+HR414+HU414+HX414,0%)</f>
        <v>125.43633428421214</v>
      </c>
      <c r="IE414" s="128">
        <f t="shared" si="1187"/>
        <v>0.38367277518692688</v>
      </c>
      <c r="IF414" s="128">
        <f t="shared" si="1165"/>
        <v>0.56717884770853066</v>
      </c>
      <c r="IG414" s="128">
        <f t="shared" si="1120"/>
        <v>4.9148377104542527E-2</v>
      </c>
      <c r="IH414" s="21"/>
      <c r="II414" s="19">
        <f t="shared" si="1121"/>
        <v>1490</v>
      </c>
      <c r="IJ414" s="19">
        <f t="shared" si="1122"/>
        <v>2203.2561351629856</v>
      </c>
      <c r="IK414" s="19">
        <f t="shared" si="1123"/>
        <v>242</v>
      </c>
      <c r="IL414" s="19">
        <f t="shared" si="1145"/>
        <v>280</v>
      </c>
      <c r="IM414" s="19">
        <f t="shared" si="1124"/>
        <v>984.56234617328664</v>
      </c>
      <c r="IN414" s="19">
        <f t="shared" si="1125"/>
        <v>265</v>
      </c>
      <c r="IO414" s="39">
        <f t="shared" si="1126"/>
        <v>0</v>
      </c>
      <c r="IP414" s="39">
        <f t="shared" si="1127"/>
        <v>0</v>
      </c>
      <c r="IQ414" s="39">
        <f t="shared" si="1128"/>
        <v>0</v>
      </c>
      <c r="IR414" s="39">
        <v>0</v>
      </c>
      <c r="IS414" s="39">
        <v>0</v>
      </c>
      <c r="IT414" s="39">
        <v>0</v>
      </c>
      <c r="IU414" s="39">
        <v>0</v>
      </c>
      <c r="IV414" s="39">
        <v>0</v>
      </c>
      <c r="IW414" s="39">
        <v>0</v>
      </c>
      <c r="IX414" s="39">
        <f>INDEX(Input!$1:$1048576,IX$93,$C414*2+6)+INDEX(Input!$1:$1048576,IX$94,$C414*2+6)</f>
        <v>1770</v>
      </c>
      <c r="IY414" s="39">
        <f>INDEX(Input!$1:$1048576,IY$93,$C414*2+6)+INDEX(Input!$1:$1048576,IY$94,$C414*2+6)</f>
        <v>2630.0624533823611</v>
      </c>
      <c r="IZ414" s="39">
        <f>INDEX(Input!$1:$1048576,IZ$93,$C414*2+6)+INDEX(Input!$1:$1048576,IZ$94,$C414*2+6)</f>
        <v>4153.7164157747848</v>
      </c>
      <c r="JA414" s="19">
        <f t="shared" si="1146"/>
        <v>2050</v>
      </c>
      <c r="JB414" s="19">
        <f t="shared" si="1147"/>
        <v>3614.6247995556478</v>
      </c>
      <c r="JC414" s="19">
        <f t="shared" si="1148"/>
        <v>4418.7164157747848</v>
      </c>
      <c r="JD414" s="19">
        <f t="shared" si="1149"/>
        <v>3053.8406585643825</v>
      </c>
      <c r="JE414" s="21"/>
      <c r="JF414" s="1">
        <f t="shared" si="1129"/>
        <v>3.2545831732385969E-2</v>
      </c>
      <c r="JG414" s="15">
        <f>INDEX(Input!$1:$1048576,JG$93,$C414*2+6)/(1+VLOOKUP(C414*1000+INDEX(Input!$1:$1048576,JG$93+1,$C414*2+6),$A:$KK,$JK$92,FALSE))</f>
        <v>2329</v>
      </c>
      <c r="JH414" s="1">
        <f t="shared" si="1150"/>
        <v>3.8656329517472304E-2</v>
      </c>
      <c r="JI414" s="1">
        <f t="shared" si="1151"/>
        <v>5.7177449560877919E-2</v>
      </c>
      <c r="JJ414" s="1">
        <f t="shared" ref="JJ414:JJ420" si="1189">SUM(HV414:HX414)/SUM(HY414:IA414)</f>
        <v>0</v>
      </c>
      <c r="JK414" s="1">
        <f t="shared" si="1188"/>
        <v>9.5833779078350223E-2</v>
      </c>
      <c r="JL414" s="15">
        <f t="shared" si="1154"/>
        <v>223.19687147347767</v>
      </c>
      <c r="JM414" s="15">
        <f t="shared" si="1180"/>
        <v>2552.1968714734776</v>
      </c>
      <c r="JN414" s="21"/>
      <c r="JO414" s="19">
        <f>INDEX(Input!$1:$1048576,JO$93,$C414*2+6)</f>
        <v>5995.5</v>
      </c>
      <c r="JP414" s="19">
        <f>INDEX(Input!$1:$1048576,JP$93,$C414*2+6)</f>
        <v>2341.8685758720158</v>
      </c>
      <c r="JQ414" s="39">
        <f t="shared" si="1166"/>
        <v>2941.6593414356175</v>
      </c>
      <c r="JR414" s="39">
        <f t="shared" si="1183"/>
        <v>711.97208269236671</v>
      </c>
      <c r="JS414" s="39">
        <f t="shared" si="1168"/>
        <v>7.7940025747665214</v>
      </c>
      <c r="JT414" s="39">
        <f t="shared" si="1156"/>
        <v>2.3397906615605968</v>
      </c>
      <c r="JU414" s="385">
        <f>(JQ414*JM414-INDEX(Input!$1:$1048576,Input!A$18,$C414*2+6)*JL414*INDEX(Input!$1:$1048576,Input!A$19,$C414*2+6))/1000000</f>
        <v>7.5076937681527136</v>
      </c>
      <c r="JV414" s="39">
        <f t="shared" ref="JV414:JV477" si="1190">JU414-(JO414-JP414)*JG414/1000000</f>
        <v>-1.0016138186413608</v>
      </c>
      <c r="JW414" s="1">
        <f t="shared" si="1181"/>
        <v>-0.11770802834719528</v>
      </c>
      <c r="JX414" s="19">
        <f t="shared" si="1172"/>
        <v>10483.08000965252</v>
      </c>
      <c r="JZ414" s="341"/>
      <c r="KA414" s="342"/>
      <c r="KB414" s="469">
        <f t="shared" si="1169"/>
        <v>2.3434325605641804</v>
      </c>
      <c r="KI414" s="473">
        <f t="shared" si="1170"/>
        <v>-13.79154349837836</v>
      </c>
      <c r="KJ414" s="473">
        <f t="shared" si="1157"/>
        <v>231.55208068764387</v>
      </c>
      <c r="KK414" s="473">
        <f t="shared" si="1158"/>
        <v>5.4363342842121369</v>
      </c>
      <c r="KN414" s="544">
        <f t="shared" si="1173"/>
        <v>4002</v>
      </c>
      <c r="KO414" s="541">
        <f t="shared" si="1133"/>
        <v>5.5232134297615421E-2</v>
      </c>
      <c r="KP414" s="546">
        <f t="shared" si="1134"/>
        <v>399.58621329640948</v>
      </c>
      <c r="KQ414" s="546">
        <f t="shared" si="1135"/>
        <v>429.06947052836131</v>
      </c>
      <c r="KR414" s="548">
        <f t="shared" si="1136"/>
        <v>2.3995885175058986</v>
      </c>
      <c r="KS414" s="548">
        <f t="shared" si="1137"/>
        <v>2.2347021986882378</v>
      </c>
      <c r="KT414" s="473">
        <f t="shared" si="1171"/>
        <v>1580.0986321700548</v>
      </c>
      <c r="KU414" s="663">
        <f t="shared" si="1159"/>
        <v>4.0261064109538571</v>
      </c>
      <c r="KV414" s="117" t="e">
        <f t="shared" ref="KV414:KV418" si="1191">RANK(KU414,$KU$109:$KU$200)</f>
        <v>#N/A</v>
      </c>
    </row>
    <row r="415" spans="1:310" s="26" customFormat="1" ht="15">
      <c r="A415" s="561">
        <f t="shared" si="1138"/>
        <v>4015</v>
      </c>
      <c r="B415" s="561">
        <f t="shared" si="1160"/>
        <v>15</v>
      </c>
      <c r="C415" s="561">
        <f t="shared" si="1161"/>
        <v>4</v>
      </c>
      <c r="D415" s="561" t="str">
        <f t="shared" si="1182"/>
        <v xml:space="preserve">500 Combo, </v>
      </c>
      <c r="E415" s="115">
        <f>INDEX(Input!$1:$1048576,E$93,$C415*2+MIN($B415,2)+5)</f>
        <v>1256.832975525977</v>
      </c>
      <c r="F415" s="115">
        <f>INDEX(Input!$1:$1048576,F$93,$C415*2+MIN($B415,2)+5)</f>
        <v>0</v>
      </c>
      <c r="G415" s="115">
        <f>INDEX(Input!$1:$1048576,G$93,$C415*2+MIN($B415,2)+5)</f>
        <v>0</v>
      </c>
      <c r="H415" s="115">
        <f>INDEX(Input!$1:$1048576,H$93,$C415*2+MIN($B415,2)+5)</f>
        <v>0</v>
      </c>
      <c r="I415" s="118">
        <f>INDEX(Input!$1:$1048576,I$93,$C415*2+MIN($B415,2)+5)</f>
        <v>0.7</v>
      </c>
      <c r="J415" s="476" t="str">
        <f>INDEX(Input!$1:$1048576,J$93,$C415*2+MIN($B415,2)+5)</f>
        <v>Market</v>
      </c>
      <c r="K415" s="476" t="str">
        <f>INDEX(Input!$1:$1048576,K$93,$C415*2+MIN($B415,2)+5)</f>
        <v>Market</v>
      </c>
      <c r="L415" s="476" t="str">
        <f>INDEX(Input!$1:$1048576,L$93,$C415*2+MIN($B415,2)+5)</f>
        <v>Market</v>
      </c>
      <c r="M415" s="476" t="str">
        <f>INDEX(Input!$1:$1048576,M$93,$C415*2+MIN($B415,2)+5)</f>
        <v>Market</v>
      </c>
      <c r="N415" s="476" t="str">
        <f>INDEX(Input!$1:$1048576,N$93,$C415*2+MIN($B415,2)+5)</f>
        <v>Market</v>
      </c>
      <c r="O415" s="476" t="str">
        <f>INDEX(Input!$1:$1048576,O$93,$C415*2+MIN($B415,2)+5)</f>
        <v>Market</v>
      </c>
      <c r="P415" s="476" t="str">
        <f>INDEX(Input!$1:$1048576,P$93,$C415*2+MIN($B415,2)+5)</f>
        <v>N</v>
      </c>
      <c r="Q415" s="477">
        <f>INDEX(Input!$1:$1048576,Q$93,$C415*2+MIN($B415,2)+5)+500</f>
        <v>500</v>
      </c>
      <c r="R415" s="478">
        <f>IFERROR(MAX(0,INDEX(Input!$1:$1048576,R$93,$C415*2+MIN($B415,2)+5)-0%,),"Market")</f>
        <v>0</v>
      </c>
      <c r="S415" s="478">
        <f>IFERROR(MAX(0,INDEX(Input!$1:$1048576,S$93,$C415*2+MIN($B415,2)+5)-0%,),"Market")</f>
        <v>0</v>
      </c>
      <c r="T415" s="478">
        <f>IFERROR(MAX(0,INDEX(Input!$1:$1048576,T$93,$C415*2+MIN($B415,2)+5)-0%,),"Market")</f>
        <v>0</v>
      </c>
      <c r="U415" s="478">
        <f>IFERROR(MAX(0,INDEX(Input!$1:$1048576,U$93,$C415*2+MIN($B415,2)+5)-0%,),"Market")</f>
        <v>0</v>
      </c>
      <c r="V415" s="478">
        <f>IFERROR(MAX(0,INDEX(Input!$1:$1048576,V$93,$C415*2+MIN($B415,2)+5)-0%,),"Market")</f>
        <v>1.9E-2</v>
      </c>
      <c r="W415" s="885">
        <f>IFERROR(MAX(0,INDEX(Input!$1:$1048576,W$93,$C415*2+MIN($B415,2)+5)-0%,),"Market")</f>
        <v>3.9E-2</v>
      </c>
      <c r="X415" s="476" t="str">
        <f>INDEX(Input!$1:$1048576,X$93,$C415*2+MIN($B415,2)+5)</f>
        <v>Y</v>
      </c>
      <c r="Y415" s="150">
        <f>INDEX(Input!$1:$1048576,Y$93,$C415*2+MIN($B415,2)+5)</f>
        <v>-870</v>
      </c>
      <c r="Z415" s="30">
        <f>INDEX(Input!$1:$1048576,Z$93,$C415*2+MIN($B415,2)+5)</f>
        <v>0</v>
      </c>
      <c r="AA415" s="475">
        <f>INDEX(Input!$1:$1048576,AA$93,$C415*2+MIN($B415,2)+5)</f>
        <v>0</v>
      </c>
      <c r="AB415" s="118">
        <f>INDEX(Input!$1:$1048576,AB$93,$C415*2+MIN($B415,2)+5)</f>
        <v>0.27</v>
      </c>
      <c r="AC415" s="115">
        <f>INDEX(Input!$1:$1048576,AC$93,$C415*2+MIN($B415,2)+5)</f>
        <v>0</v>
      </c>
      <c r="AD415" s="118">
        <f>INDEX(Input!$1:$1048576,AD$93,$C415*2+MIN($B415,2)+5)</f>
        <v>0.27</v>
      </c>
      <c r="AE415" s="115">
        <f>INDEX(Input!$1:$1048576,AE$93,$C415*2+MIN($B415,2)+5)</f>
        <v>0</v>
      </c>
      <c r="AF415" s="118">
        <f>INDEX(Input!$1:$1048576,AF$93,$C415*2+MIN($B415,2)+5)</f>
        <v>1</v>
      </c>
      <c r="AG415" s="115">
        <f>INDEX(Input!$1:$1048576,AG$93,$C415*2+MIN($B415,2)+5)</f>
        <v>500</v>
      </c>
      <c r="AH415" s="118">
        <f>INDEX(Input!$1:$1048576,AH$93,$C415*2+MIN($B415,2)+5)</f>
        <v>0.83199999999999996</v>
      </c>
      <c r="AI415" s="115">
        <f>INDEX(Input!$1:$1048576,AI$93,$C415*2+MIN($B415,2)+5)</f>
        <v>0</v>
      </c>
      <c r="AJ415" s="118">
        <f>INDEX(Input!$1:$1048576,AJ$93,$C415*2+MIN($B415,2)+5)</f>
        <v>0.27</v>
      </c>
      <c r="AK415" s="150">
        <f>ROUND(INDEX(Input!$1:$1048576,AK$93,$C414*2+MIN($B415,1)+5)+(Y415-VLOOKUP($C415*1000+1,$A:$HH,Y$92,FALSE)),0)</f>
        <v>2587</v>
      </c>
      <c r="AL415" s="150">
        <f>ROUND(INDEX(Input!$1:$1048576,AL$93,$C414*2+MIN($B415,1)+5)-(Y415-VLOOKUP($C415*1000+1,$A:$HH,Y$92,FALSE))/36,0)</f>
        <v>3406</v>
      </c>
      <c r="AM415" s="32" t="str">
        <f t="shared" si="1139"/>
        <v>std/std/std/std</v>
      </c>
      <c r="AN415" s="32" t="str">
        <f t="shared" si="1140"/>
        <v>$500 + 0/0/0/1.9/3.9</v>
      </c>
      <c r="AO415" s="32" t="str">
        <f t="shared" si="1141"/>
        <v>0/0/0/1.9/3.9</v>
      </c>
      <c r="AP415" s="32" t="str">
        <f t="shared" si="993"/>
        <v>0/0.9/1.9/3.9</v>
      </c>
      <c r="AQ415" s="536">
        <f t="shared" si="992"/>
        <v>0.39994406768602075</v>
      </c>
      <c r="AR415" s="32"/>
      <c r="AS415" s="302"/>
      <c r="AT415" s="3">
        <f t="shared" si="1162"/>
        <v>15</v>
      </c>
      <c r="AU415" s="41" t="s">
        <v>121</v>
      </c>
      <c r="AV415" s="41" t="s">
        <v>116</v>
      </c>
      <c r="AW415" s="41" t="str">
        <f>INDEX(Input!$1:$1048576,AW$93,$C415*2+6)</f>
        <v>Kia</v>
      </c>
      <c r="AX415" s="41" t="str">
        <f>INDEX(Input!$1:$1048576,AX$93,$C415*2+6)</f>
        <v>Kia-LR - R1</v>
      </c>
      <c r="AY415" s="41" t="str">
        <f>IF(LEN(D415)=0,"",INDEX(Input!$1:$1048576,AY$93,$C415*2+6))</f>
        <v>Compact SUV (52)</v>
      </c>
      <c r="AZ415" s="41" t="str">
        <f>INDEX(Input!$1:$1048576,AZ$93,$C415*2+6)</f>
        <v>Kia Soul</v>
      </c>
      <c r="BA415" s="3">
        <f>INDEX(Input!$1:$1048576,BA$93,$C415*2+6)</f>
        <v>2020</v>
      </c>
      <c r="BB415" s="128">
        <f>INDEX(Input!$1:$1048576,BB$93,$C415*2+6)</f>
        <v>1</v>
      </c>
      <c r="BC415" s="128">
        <f>INDEX(Input!$1:$1048576,BC$93,$C415*2+6)</f>
        <v>0.7</v>
      </c>
      <c r="BD415" s="1">
        <f>INDEX(Input!$1:$1048576,BD$93,$C415*2+6)</f>
        <v>4.4999999999999998E-2</v>
      </c>
      <c r="BE415" s="1">
        <f>INDEX(Input!$1:$1048576,BE$93,$C415*2+6)</f>
        <v>4.4999999999999998E-2</v>
      </c>
      <c r="BF415" s="1">
        <f>INDEX(Input!$1:$1048576,BF$93,$C415*2+6)</f>
        <v>0.05</v>
      </c>
      <c r="BG415" s="1">
        <f>INDEX(Input!$1:$1048576,BG$93,$C415*2+6)</f>
        <v>5.45E-2</v>
      </c>
      <c r="BH415" s="1">
        <f>INDEX(Input!$1:$1048576,BH$93,$C415*2+6)</f>
        <v>5.45E-2</v>
      </c>
      <c r="BI415" s="1">
        <f>INDEX(Input!$1:$1048576,BI$93,$C415*2+6)</f>
        <v>0.05</v>
      </c>
      <c r="BJ415" s="1">
        <f>INDEX(Input!$1:$1048576,BJ$93,$C415*2+6)</f>
        <v>0.05</v>
      </c>
      <c r="BK415" s="1">
        <f>INDEX(Input!$1:$1048576,BK$93,$C415*2+6)</f>
        <v>0.05</v>
      </c>
      <c r="BL415" s="1">
        <f>INDEX(Input!$1:$1048576,BL$93,$C415*2+6)</f>
        <v>5.5E-2</v>
      </c>
      <c r="BM415" s="1">
        <f>INDEX(Input!$1:$1048576,BM$93,$C415*2+6)</f>
        <v>0.06</v>
      </c>
      <c r="BN415" s="1">
        <f>INDEX(Input!$1:$1048576,BN$93,$C415*2+6)</f>
        <v>4.4999999999999998E-2</v>
      </c>
      <c r="BO415" s="1">
        <f>INDEX(Input!$1:$1048576,BO$93,$C415*2+6)</f>
        <v>4.4999999999999998E-2</v>
      </c>
      <c r="BP415" s="1">
        <f>INDEX(Input!$1:$1048576,BP$93,$C415*2+6)</f>
        <v>0.05</v>
      </c>
      <c r="BQ415" s="1">
        <f>INDEX(Input!$1:$1048576,BQ$93,$C415*2+6)</f>
        <v>5.45E-2</v>
      </c>
      <c r="BR415" s="1">
        <f>INDEX(Input!$1:$1048576,BR$93,$C415*2+6)</f>
        <v>5.45E-2</v>
      </c>
      <c r="BS415" s="1">
        <f>INDEX(Input!$1:$1048576,BS$93,$C415*2+6)</f>
        <v>0.05</v>
      </c>
      <c r="BT415" s="1">
        <f>INDEX(Input!$1:$1048576,BT$93,$C415*2+6)</f>
        <v>0.05</v>
      </c>
      <c r="BU415" s="1">
        <f>INDEX(Input!$1:$1048576,BU$93,$C415*2+6)</f>
        <v>0.05</v>
      </c>
      <c r="BV415" s="1">
        <f>INDEX(Input!$1:$1048576,BV$93,$C415*2+6)</f>
        <v>5.5E-2</v>
      </c>
      <c r="BW415" s="1">
        <f>INDEX(Input!$1:$1048576,BW$93,$C415*2+6)</f>
        <v>0.06</v>
      </c>
      <c r="BX415" s="127">
        <f>INDEX(Input!$1:$1048576,BX$93,$C415*2+6)</f>
        <v>19985</v>
      </c>
      <c r="BY415" s="20">
        <f>INDEX(Input!$1:$1048576,BY$93,$C415*2+6)</f>
        <v>0.1</v>
      </c>
      <c r="BZ415" s="20">
        <f>INDEX(Input!$1:$1048576,BZ$93,$C415*2+6)</f>
        <v>0.1</v>
      </c>
      <c r="CA415" s="20">
        <f>INDEX(Input!$1:$1048576,CA$93,$C415*2+6)</f>
        <v>0.1</v>
      </c>
      <c r="CB415" s="20">
        <f>INDEX(Input!$1:$1048576,CB$93,$C415*2+6)</f>
        <v>0.1</v>
      </c>
      <c r="CC415" s="20">
        <f>INDEX(Input!$1:$1048576,CC$93,$C415*2+6)</f>
        <v>0.1</v>
      </c>
      <c r="CD415" s="384">
        <f>INDEX(Input!$1:$1048576,CD$93,$C415*2+6)</f>
        <v>0.1</v>
      </c>
      <c r="CE415" s="384">
        <f>INDEX(Input!$1:$1048576,CE$93,$C415*2+6)</f>
        <v>0.1</v>
      </c>
      <c r="CF415" s="384">
        <f>INDEX(Input!$1:$1048576,CF$93,$C415*2+6)</f>
        <v>0.1</v>
      </c>
      <c r="CG415" s="384">
        <f>INDEX(Input!$1:$1048576,CG$93,$C415*2+6)</f>
        <v>0.1</v>
      </c>
      <c r="CH415" s="384">
        <f>INDEX(Input!$1:$1048576,CH$93,$C415*2+6)</f>
        <v>0.1</v>
      </c>
      <c r="CI415" s="304">
        <f t="shared" si="994"/>
        <v>1256.832975525977</v>
      </c>
      <c r="CJ415" s="16" t="str">
        <f>INDEX(Input!$1:$1048576,CJ$93,$C415*2+6)</f>
        <v>N</v>
      </c>
      <c r="CK415" s="1" t="str">
        <f t="shared" si="995"/>
        <v>Market</v>
      </c>
      <c r="CL415" s="1" t="str">
        <f t="shared" si="996"/>
        <v>Market</v>
      </c>
      <c r="CM415" s="1" t="str">
        <f t="shared" si="997"/>
        <v>Market</v>
      </c>
      <c r="CN415" s="1" t="str">
        <f t="shared" si="998"/>
        <v>Market</v>
      </c>
      <c r="CO415" s="1" t="str">
        <f t="shared" si="999"/>
        <v>Market</v>
      </c>
      <c r="CP415" s="304">
        <f t="shared" si="1000"/>
        <v>916</v>
      </c>
      <c r="CQ415" s="1">
        <f t="shared" si="1001"/>
        <v>0</v>
      </c>
      <c r="CR415" s="1">
        <f t="shared" si="1002"/>
        <v>0</v>
      </c>
      <c r="CS415" s="1">
        <f t="shared" si="1003"/>
        <v>0</v>
      </c>
      <c r="CT415" s="1">
        <f t="shared" si="1004"/>
        <v>1.9E-2</v>
      </c>
      <c r="CU415" s="1">
        <f t="shared" si="1005"/>
        <v>3.9E-2</v>
      </c>
      <c r="CV415" s="304">
        <f t="shared" si="1006"/>
        <v>-870</v>
      </c>
      <c r="CW415" s="20" t="s">
        <v>122</v>
      </c>
      <c r="CX415" s="20" t="s">
        <v>122</v>
      </c>
      <c r="CY415" s="20" t="s">
        <v>122</v>
      </c>
      <c r="CZ415" s="20" t="s">
        <v>122</v>
      </c>
      <c r="DA415" s="20" t="s">
        <v>122</v>
      </c>
      <c r="DB415" s="503">
        <f t="shared" si="1007"/>
        <v>0</v>
      </c>
      <c r="DC415" s="127">
        <v>0</v>
      </c>
      <c r="DD415" s="127">
        <v>0</v>
      </c>
      <c r="DE415" s="127">
        <v>0</v>
      </c>
      <c r="DF415" s="127">
        <v>0</v>
      </c>
      <c r="DG415" s="127">
        <v>0</v>
      </c>
      <c r="DH415" s="127">
        <v>0</v>
      </c>
      <c r="DI415" s="127">
        <v>0</v>
      </c>
      <c r="DJ415" s="127">
        <v>0</v>
      </c>
      <c r="DK415" s="127">
        <v>0</v>
      </c>
      <c r="DL415" s="127">
        <v>0</v>
      </c>
      <c r="DM415" s="304">
        <f>INDEX(Input!$1:$1048576,DM$93,$C415*2+6)</f>
        <v>21036.84210526316</v>
      </c>
      <c r="DN415" s="20">
        <v>0</v>
      </c>
      <c r="DO415" s="20">
        <v>0</v>
      </c>
      <c r="DP415" s="20">
        <v>0</v>
      </c>
      <c r="DQ415" s="20">
        <v>0</v>
      </c>
      <c r="DR415" s="20">
        <v>0</v>
      </c>
      <c r="DS415" s="20">
        <f>INDEX(Input!$1:$1048576,DS$93,$C415*2+6)</f>
        <v>0.6</v>
      </c>
      <c r="DT415" s="20">
        <f>INDEX(Input!$1:$1048576,DT$93,$C415*2+6)</f>
        <v>0.55000000000000004</v>
      </c>
      <c r="DU415" s="20">
        <f>INDEX(Input!$1:$1048576,DU$93,$C415*2+6)</f>
        <v>0.52</v>
      </c>
      <c r="DV415" s="20">
        <f>INDEX(Input!$1:$1048576,DV$93,$C415*2+6)</f>
        <v>0.5</v>
      </c>
      <c r="DW415" s="20">
        <f>INDEX(Input!$1:$1048576,DW$93,$C415*2+6)</f>
        <v>0.45</v>
      </c>
      <c r="DX415" s="20"/>
      <c r="DY415" s="7">
        <v>0.10174709421482152</v>
      </c>
      <c r="DZ415" s="7">
        <v>0</v>
      </c>
      <c r="EA415" s="7">
        <v>0.79093919577152205</v>
      </c>
      <c r="EB415" s="7">
        <v>0</v>
      </c>
      <c r="EC415" s="7">
        <v>0</v>
      </c>
      <c r="ED415" s="7">
        <v>0</v>
      </c>
      <c r="EE415" s="7">
        <v>0</v>
      </c>
      <c r="EF415" s="7">
        <v>0</v>
      </c>
      <c r="EG415" s="7">
        <v>0</v>
      </c>
      <c r="EH415" s="7">
        <v>1.2257191278066997E-2</v>
      </c>
      <c r="EI415" s="7">
        <v>3.2009215633820809E-2</v>
      </c>
      <c r="EJ415" s="7">
        <v>0.22481372951797621</v>
      </c>
      <c r="EK415" s="7">
        <v>0.59360655285759689</v>
      </c>
      <c r="EL415" s="7">
        <v>0.13731331071253902</v>
      </c>
      <c r="EM415" s="7">
        <v>5.5677228502846579E-2</v>
      </c>
      <c r="EN415" s="7">
        <v>5.0469663161530919E-2</v>
      </c>
      <c r="EO415" s="7">
        <v>0.71270968552920366</v>
      </c>
      <c r="EP415" s="7">
        <v>0.10249007046211116</v>
      </c>
      <c r="EQ415" s="7">
        <v>9.0025687955012673E-2</v>
      </c>
      <c r="ER415" s="7">
        <v>4.4304892892141817E-2</v>
      </c>
      <c r="ES415" s="7">
        <v>5.1636481510809858E-2</v>
      </c>
      <c r="ET415" s="7">
        <v>0.10731371001365646</v>
      </c>
      <c r="EU415" s="6">
        <v>1770</v>
      </c>
      <c r="EV415" s="6">
        <v>0</v>
      </c>
      <c r="EW415" s="6">
        <v>1770</v>
      </c>
      <c r="EX415" s="6">
        <v>0</v>
      </c>
      <c r="EY415" s="6">
        <v>2983.3095358495939</v>
      </c>
      <c r="EZ415" s="6">
        <v>507</v>
      </c>
      <c r="FA415" s="6">
        <v>0</v>
      </c>
      <c r="FB415" s="6">
        <v>0</v>
      </c>
      <c r="FC415" s="6">
        <v>0</v>
      </c>
      <c r="FD415" s="6">
        <v>0</v>
      </c>
      <c r="FE415" s="6">
        <v>0</v>
      </c>
      <c r="FF415" s="6">
        <v>0</v>
      </c>
      <c r="FG415" s="6">
        <v>0</v>
      </c>
      <c r="FH415" s="6">
        <v>1169.7962647758147</v>
      </c>
      <c r="FI415" s="6">
        <v>1553.9796069512404</v>
      </c>
      <c r="FJ415" s="6">
        <v>2101.2110117447423</v>
      </c>
      <c r="FK415" s="6">
        <v>1772.7139978623231</v>
      </c>
      <c r="FL415" s="6">
        <v>907.07682140966324</v>
      </c>
      <c r="FM415" s="6">
        <v>1713.3095358495939</v>
      </c>
      <c r="FN415" s="6">
        <v>0</v>
      </c>
      <c r="FO415" s="6">
        <v>0</v>
      </c>
      <c r="FP415" s="6">
        <v>0</v>
      </c>
      <c r="FQ415" s="6">
        <v>0</v>
      </c>
      <c r="FR415" s="6">
        <v>0</v>
      </c>
      <c r="FS415" s="6">
        <v>0</v>
      </c>
      <c r="FT415" s="7">
        <v>0.89268628998634358</v>
      </c>
      <c r="FU415" s="7">
        <v>5.5677228502846579E-2</v>
      </c>
      <c r="FV415" s="7">
        <v>5.1636481510809858E-2</v>
      </c>
      <c r="FW415" s="6">
        <v>1770</v>
      </c>
      <c r="FX415" s="6">
        <v>2983.3095358495939</v>
      </c>
      <c r="FY415" s="6">
        <v>507</v>
      </c>
      <c r="FZ415" s="6">
        <v>1949.5716051445115</v>
      </c>
      <c r="GA415" s="6">
        <v>1772.3368361240277</v>
      </c>
      <c r="GB415" s="6">
        <v>18212.663163875972</v>
      </c>
      <c r="GC415" s="7">
        <v>3.3872851927908169E-2</v>
      </c>
      <c r="GD415" s="7">
        <v>3.367972223230447E-2</v>
      </c>
      <c r="GE415" s="7"/>
      <c r="GF415" s="7"/>
      <c r="GG415" s="7">
        <v>-5.701607175408175E-3</v>
      </c>
      <c r="GH415" s="42">
        <v>0.64291346461124155</v>
      </c>
      <c r="GI415" s="6">
        <v>32857.391202009123</v>
      </c>
      <c r="GJ415" s="14">
        <v>0.50394797582841677</v>
      </c>
      <c r="GK415" s="14">
        <v>0.50887573065309744</v>
      </c>
      <c r="GL415" s="14">
        <v>0.49605202417158251</v>
      </c>
      <c r="GM415" s="14">
        <v>0.49112426934690218</v>
      </c>
      <c r="GO415" s="5">
        <v>343.14810671672558</v>
      </c>
      <c r="GP415" s="5">
        <v>309.37988338875158</v>
      </c>
      <c r="GQ415" s="5">
        <v>535.04305713031317</v>
      </c>
      <c r="GR415" s="5">
        <v>410.15490233172511</v>
      </c>
      <c r="GS415" s="5">
        <v>339.42744393800166</v>
      </c>
      <c r="GT415" s="5">
        <v>293.4407446948278</v>
      </c>
      <c r="GU415" s="5">
        <v>258.04012322764959</v>
      </c>
      <c r="GV415" s="39" t="s">
        <v>392</v>
      </c>
      <c r="GW415" s="5">
        <v>464.34722222222223</v>
      </c>
      <c r="GX415" s="5">
        <v>348.26041666666669</v>
      </c>
      <c r="GY415" s="5">
        <v>278.60833333333335</v>
      </c>
      <c r="GZ415" s="5">
        <v>245.84245344171217</v>
      </c>
      <c r="HA415" s="5">
        <v>227.72592165501609</v>
      </c>
      <c r="HB415" s="39">
        <v>256.67760555858217</v>
      </c>
      <c r="HC415" s="5">
        <v>265.10312499999998</v>
      </c>
      <c r="HD415" s="5">
        <v>224.66580774853799</v>
      </c>
      <c r="HE415" s="5">
        <v>226.90661690283397</v>
      </c>
      <c r="HF415" s="5">
        <v>209.18438048245613</v>
      </c>
      <c r="HG415" s="5">
        <v>200.91388157894738</v>
      </c>
      <c r="HH415" s="39">
        <v>224.49027353241098</v>
      </c>
      <c r="HI415" s="16"/>
      <c r="HJ415" s="19" t="str">
        <f t="shared" si="1163"/>
        <v>On</v>
      </c>
      <c r="HK415" s="1" t="str">
        <f t="shared" si="1163"/>
        <v>On</v>
      </c>
      <c r="HL415" s="16"/>
      <c r="HM415" s="639">
        <f t="shared" si="1110"/>
        <v>2.9403358434788716E-2</v>
      </c>
      <c r="HN415" s="639">
        <f t="shared" si="1111"/>
        <v>1.4106809950923669E-3</v>
      </c>
      <c r="HO415" s="639">
        <f t="shared" si="1112"/>
        <v>1.7317923025048877E-3</v>
      </c>
      <c r="HP415" s="644">
        <f>(FT415*$GD415-HM415)/$JF415*INDEX(Input!$1:$1048576,$JG$93,$C415*2+6)</f>
        <v>47.377988101192074</v>
      </c>
      <c r="HQ415" s="644">
        <f>(FU415*$GD415-HN415)/$JF415*INDEX(Input!$1:$1048576,$JG$93,$C415*2+6)</f>
        <v>33.240810802658807</v>
      </c>
      <c r="HR415" s="644">
        <f>(FV415*$GD415-HO415)/$JF415*INDEX(Input!$1:$1048576,$JG$93,$C415*2+6)</f>
        <v>0.52311186447415592</v>
      </c>
      <c r="HS415" s="644">
        <f t="shared" si="1113"/>
        <v>-36.995282269199151</v>
      </c>
      <c r="HT415" s="644">
        <f t="shared" si="1114"/>
        <v>129.19008757894332</v>
      </c>
      <c r="HU415" s="644">
        <f t="shared" si="1115"/>
        <v>6.4708570341451139</v>
      </c>
      <c r="HV415" s="648">
        <f t="shared" si="1116"/>
        <v>0</v>
      </c>
      <c r="HW415" s="648">
        <f t="shared" si="1117"/>
        <v>0</v>
      </c>
      <c r="HX415" s="648">
        <f t="shared" si="1118"/>
        <v>0</v>
      </c>
      <c r="HY415" s="644">
        <f>INDEX(Input!$1:$1048576,HY$93,$C415*2+6)*INDEX(Input!$1:$1048576,$JG$93,$C415*2+6)</f>
        <v>993</v>
      </c>
      <c r="HZ415" s="644">
        <f>INDEX(Input!$1:$1048576,HZ$93,$C415*2+6)*INDEX(Input!$1:$1048576,$JG$93,$C415*2+6)</f>
        <v>1216</v>
      </c>
      <c r="IA415" s="644">
        <f>INDEX(Input!$1:$1048576,IA$93,$C415*2+6)*INDEX(Input!$1:$1048576,$JG$93,$C415*2+6)</f>
        <v>120</v>
      </c>
      <c r="IB415" s="644">
        <f t="shared" si="1142"/>
        <v>1003.3827058319929</v>
      </c>
      <c r="IC415" s="644">
        <f t="shared" si="1143"/>
        <v>1378.4308983816022</v>
      </c>
      <c r="ID415" s="644">
        <f>IF(AND(INDEX(Input!$1:$1048576,IA$93,$C415*2+7)="TOS",Y415&lt;=INDEX(Y:Y,MATCH(C415*1000+2,A:A))),0,1)*MAX(IA415+HR415+HU415+HX415,0%)</f>
        <v>126.99396889861927</v>
      </c>
      <c r="IE415" s="128">
        <f t="shared" ref="IE415" si="1192">IB415/SUM($IB415:$ID415)</f>
        <v>0.39994406768602075</v>
      </c>
      <c r="IF415" s="128">
        <f t="shared" si="1165"/>
        <v>0.54943667786829797</v>
      </c>
      <c r="IG415" s="128">
        <f t="shared" si="1120"/>
        <v>5.0619254445681258E-2</v>
      </c>
      <c r="IH415" s="21"/>
      <c r="II415" s="19">
        <f t="shared" si="1121"/>
        <v>1490</v>
      </c>
      <c r="IJ415" s="19">
        <f t="shared" si="1122"/>
        <v>2203.2561351629856</v>
      </c>
      <c r="IK415" s="19">
        <f t="shared" si="1123"/>
        <v>242</v>
      </c>
      <c r="IL415" s="19">
        <f t="shared" si="1145"/>
        <v>280</v>
      </c>
      <c r="IM415" s="19">
        <f t="shared" si="1124"/>
        <v>780.05340068660826</v>
      </c>
      <c r="IN415" s="19">
        <f t="shared" si="1125"/>
        <v>265</v>
      </c>
      <c r="IO415" s="39">
        <f t="shared" si="1126"/>
        <v>0</v>
      </c>
      <c r="IP415" s="39">
        <f t="shared" si="1127"/>
        <v>0</v>
      </c>
      <c r="IQ415" s="39">
        <f t="shared" si="1128"/>
        <v>0</v>
      </c>
      <c r="IR415" s="39">
        <v>0</v>
      </c>
      <c r="IS415" s="39">
        <v>0</v>
      </c>
      <c r="IT415" s="39">
        <v>0</v>
      </c>
      <c r="IU415" s="39">
        <v>0</v>
      </c>
      <c r="IV415" s="39">
        <v>0</v>
      </c>
      <c r="IW415" s="39">
        <v>0</v>
      </c>
      <c r="IX415" s="39">
        <f>INDEX(Input!$1:$1048576,IX$93,$C415*2+6)+INDEX(Input!$1:$1048576,IX$94,$C415*2+6)</f>
        <v>1770</v>
      </c>
      <c r="IY415" s="39">
        <f>INDEX(Input!$1:$1048576,IY$93,$C415*2+6)+INDEX(Input!$1:$1048576,IY$94,$C415*2+6)</f>
        <v>2630.0624533823611</v>
      </c>
      <c r="IZ415" s="39">
        <f>INDEX(Input!$1:$1048576,IZ$93,$C415*2+6)+INDEX(Input!$1:$1048576,IZ$94,$C415*2+6)</f>
        <v>4153.7164157747848</v>
      </c>
      <c r="JA415" s="19">
        <f t="shared" si="1146"/>
        <v>2050</v>
      </c>
      <c r="JB415" s="19">
        <f t="shared" si="1147"/>
        <v>3410.1158540689694</v>
      </c>
      <c r="JC415" s="19">
        <f t="shared" si="1148"/>
        <v>4418.7164157747848</v>
      </c>
      <c r="JD415" s="19">
        <f t="shared" si="1149"/>
        <v>2917.2001953354234</v>
      </c>
      <c r="JE415" s="21"/>
      <c r="JF415" s="1">
        <f t="shared" si="1129"/>
        <v>3.2545831732385969E-2</v>
      </c>
      <c r="JG415" s="15">
        <f>INDEX(Input!$1:$1048576,JG$93,$C415*2+6)/(1+VLOOKUP(C415*1000+INDEX(Input!$1:$1048576,JG$93+1,$C415*2+6),$A:$KK,$JK$92,FALSE))</f>
        <v>2329</v>
      </c>
      <c r="JH415" s="1">
        <f t="shared" si="1150"/>
        <v>3.4839807113922303E-2</v>
      </c>
      <c r="JI415" s="1">
        <f t="shared" si="1151"/>
        <v>4.2363959786985525E-2</v>
      </c>
      <c r="JJ415" s="1">
        <f t="shared" si="1189"/>
        <v>0</v>
      </c>
      <c r="JK415" s="1">
        <f t="shared" ref="JK415:JK420" si="1193">SUM(JH415:JJ415)</f>
        <v>7.7203766900907828E-2</v>
      </c>
      <c r="JL415" s="15">
        <f t="shared" si="1154"/>
        <v>179.80757311221433</v>
      </c>
      <c r="JM415" s="15">
        <f t="shared" si="1180"/>
        <v>2508.8075731122144</v>
      </c>
      <c r="JN415" s="21"/>
      <c r="JO415" s="19">
        <f>INDEX(Input!$1:$1048576,JO$93,$C415*2+6)</f>
        <v>5995.5</v>
      </c>
      <c r="JP415" s="19">
        <f>INDEX(Input!$1:$1048576,JP$93,$C415*2+6)</f>
        <v>2341.8685758720158</v>
      </c>
      <c r="JQ415" s="39">
        <f t="shared" si="1166"/>
        <v>3078.2998046645766</v>
      </c>
      <c r="JR415" s="39">
        <f t="shared" si="1183"/>
        <v>575.33161946340761</v>
      </c>
      <c r="JS415" s="39">
        <f t="shared" si="1168"/>
        <v>7.318693942341941</v>
      </c>
      <c r="JT415" s="39">
        <f t="shared" si="1156"/>
        <v>1.8644820291360169</v>
      </c>
      <c r="JU415" s="385">
        <f>(JQ415*JM415-INDEX(Input!$1:$1048576,Input!A$18,$C415*2+6)*JL415*INDEX(Input!$1:$1048576,Input!A$19,$C415*2+6))/1000000</f>
        <v>7.7228618622523406</v>
      </c>
      <c r="JV415" s="39">
        <f t="shared" si="1190"/>
        <v>-0.78644572454173378</v>
      </c>
      <c r="JW415" s="1">
        <f t="shared" si="1181"/>
        <v>-9.2421823576133211E-2</v>
      </c>
      <c r="JX415" s="19">
        <f t="shared" si="1172"/>
        <v>10369.318693670544</v>
      </c>
      <c r="JZ415" s="341"/>
      <c r="KA415" s="342"/>
      <c r="KB415" s="469">
        <f t="shared" si="1169"/>
        <v>2.3434325605641804</v>
      </c>
      <c r="KI415" s="473">
        <f t="shared" ref="KI415" si="1194">$JM415*IE415-$JG415*HY415/SUM($HY415:$IA415)</f>
        <v>10.382705831992894</v>
      </c>
      <c r="KJ415" s="473">
        <f t="shared" si="1157"/>
        <v>162.43089838160222</v>
      </c>
      <c r="KK415" s="473">
        <f t="shared" si="1158"/>
        <v>6.9939688986192721</v>
      </c>
      <c r="KN415" s="544">
        <f t="shared" si="1173"/>
        <v>4002</v>
      </c>
      <c r="KO415" s="541">
        <f t="shared" si="1133"/>
        <v>3.7292381127634444E-2</v>
      </c>
      <c r="KP415" s="546">
        <f t="shared" si="1134"/>
        <v>274.72186642100343</v>
      </c>
      <c r="KQ415" s="546">
        <f t="shared" si="1135"/>
        <v>292.4290072994022</v>
      </c>
      <c r="KR415" s="548">
        <f t="shared" si="1136"/>
        <v>2.3565807765974212</v>
      </c>
      <c r="KS415" s="548">
        <f t="shared" si="1137"/>
        <v>2.2138852615802884</v>
      </c>
      <c r="KT415" s="473">
        <f t="shared" si="1171"/>
        <v>1580.0986321700548</v>
      </c>
      <c r="KU415" s="663">
        <f t="shared" si="1159"/>
        <v>4.0265673345113786</v>
      </c>
      <c r="KV415" s="117" t="e">
        <f t="shared" si="1191"/>
        <v>#N/A</v>
      </c>
    </row>
    <row r="416" spans="1:310" s="26" customFormat="1" ht="15">
      <c r="A416" s="561">
        <f t="shared" si="1138"/>
        <v>4016</v>
      </c>
      <c r="B416" s="561">
        <f t="shared" si="1160"/>
        <v>16</v>
      </c>
      <c r="C416" s="561">
        <f t="shared" si="1161"/>
        <v>4</v>
      </c>
      <c r="D416" s="561" t="str">
        <f t="shared" si="1182"/>
        <v xml:space="preserve">-360 Lease, </v>
      </c>
      <c r="E416" s="115">
        <f>INDEX(Input!$1:$1048576,E$93,$C416*2+MIN($B416,2)+5)</f>
        <v>1256.832975525977</v>
      </c>
      <c r="F416" s="115">
        <f>INDEX(Input!$1:$1048576,F$93,$C416*2+MIN($B416,2)+5)</f>
        <v>0</v>
      </c>
      <c r="G416" s="115">
        <f>INDEX(Input!$1:$1048576,G$93,$C416*2+MIN($B416,2)+5)</f>
        <v>0</v>
      </c>
      <c r="H416" s="115">
        <f>INDEX(Input!$1:$1048576,H$93,$C416*2+MIN($B416,2)+5)</f>
        <v>0</v>
      </c>
      <c r="I416" s="118">
        <f>INDEX(Input!$1:$1048576,I$93,$C416*2+MIN($B416,2)+5)</f>
        <v>0.7</v>
      </c>
      <c r="J416" s="118" t="str">
        <f>INDEX(Input!$1:$1048576,J$93,$C416*2+MIN($B416,2)+5)</f>
        <v>Market</v>
      </c>
      <c r="K416" s="118" t="str">
        <f>INDEX(Input!$1:$1048576,K$93,$C416*2+MIN($B416,2)+5)</f>
        <v>Market</v>
      </c>
      <c r="L416" s="118" t="str">
        <f>INDEX(Input!$1:$1048576,L$93,$C416*2+MIN($B416,2)+5)</f>
        <v>Market</v>
      </c>
      <c r="M416" s="118" t="str">
        <f>INDEX(Input!$1:$1048576,M$93,$C416*2+MIN($B416,2)+5)</f>
        <v>Market</v>
      </c>
      <c r="N416" s="118" t="str">
        <f>INDEX(Input!$1:$1048576,N$93,$C416*2+MIN($B416,2)+5)</f>
        <v>Market</v>
      </c>
      <c r="O416" s="118" t="str">
        <f>INDEX(Input!$1:$1048576,O$93,$C416*2+MIN($B416,2)+5)</f>
        <v>Market</v>
      </c>
      <c r="P416" s="118" t="str">
        <f>INDEX(Input!$1:$1048576,P$93,$C416*2+MIN($B416,2)+5)</f>
        <v>N</v>
      </c>
      <c r="Q416" s="30">
        <f>INDEX(Input!$1:$1048576,Q$93,$C416*2+MIN($B416,2)+5)</f>
        <v>0</v>
      </c>
      <c r="R416" s="383">
        <f>INDEX(Input!$1:$1048576,R$93,$C416*2+MIN($B416,2)+5)</f>
        <v>0</v>
      </c>
      <c r="S416" s="383">
        <f>INDEX(Input!$1:$1048576,S$93,$C416*2+MIN($B416,2)+5)</f>
        <v>0</v>
      </c>
      <c r="T416" s="383">
        <f>INDEX(Input!$1:$1048576,T$93,$C416*2+MIN($B416,2)+5)</f>
        <v>0</v>
      </c>
      <c r="U416" s="383">
        <f>INDEX(Input!$1:$1048576,U$93,$C416*2+MIN($B416,2)+5)</f>
        <v>0</v>
      </c>
      <c r="V416" s="383">
        <f>INDEX(Input!$1:$1048576,V$93,$C416*2+MIN($B416,2)+5)</f>
        <v>1.9E-2</v>
      </c>
      <c r="W416" s="884">
        <f>INDEX(Input!$1:$1048576,W$93,$C416*2+MIN($B416,2)+5)</f>
        <v>3.9E-2</v>
      </c>
      <c r="X416" s="118" t="str">
        <f>INDEX(Input!$1:$1048576,X$93,$C416*2+MIN($B416,2)+5)</f>
        <v>Y</v>
      </c>
      <c r="Y416" s="475">
        <f>INDEX(Input!$1:$1048576,Y$93,$C416*2+MIN($B416,2)+5)-360</f>
        <v>-1230</v>
      </c>
      <c r="Z416" s="30">
        <f>INDEX(Input!$1:$1048576,Z$93,$C416*2+MIN($B416,2)+5)</f>
        <v>0</v>
      </c>
      <c r="AA416" s="115">
        <f>INDEX(Input!$1:$1048576,AA$93,$C416*2+MIN($B416,2)+5)</f>
        <v>0</v>
      </c>
      <c r="AB416" s="118">
        <f>INDEX(Input!$1:$1048576,AB$93,$C416*2+MIN($B416,2)+5)</f>
        <v>0.27</v>
      </c>
      <c r="AC416" s="115">
        <f>INDEX(Input!$1:$1048576,AC$93,$C416*2+MIN($B416,2)+5)</f>
        <v>0</v>
      </c>
      <c r="AD416" s="118">
        <f>INDEX(Input!$1:$1048576,AD$93,$C416*2+MIN($B416,2)+5)</f>
        <v>0.27</v>
      </c>
      <c r="AE416" s="115">
        <f>INDEX(Input!$1:$1048576,AE$93,$C416*2+MIN($B416,2)+5)</f>
        <v>0</v>
      </c>
      <c r="AF416" s="118">
        <f>INDEX(Input!$1:$1048576,AF$93,$C416*2+MIN($B416,2)+5)</f>
        <v>1</v>
      </c>
      <c r="AG416" s="115">
        <f>INDEX(Input!$1:$1048576,AG$93,$C416*2+MIN($B416,2)+5)</f>
        <v>500</v>
      </c>
      <c r="AH416" s="118">
        <f>INDEX(Input!$1:$1048576,AH$93,$C416*2+MIN($B416,2)+5)</f>
        <v>0.83199999999999996</v>
      </c>
      <c r="AI416" s="115">
        <f>INDEX(Input!$1:$1048576,AI$93,$C416*2+MIN($B416,2)+5)</f>
        <v>0</v>
      </c>
      <c r="AJ416" s="118">
        <f>INDEX(Input!$1:$1048576,AJ$93,$C416*2+MIN($B416,2)+5)</f>
        <v>0.27</v>
      </c>
      <c r="AK416" s="150">
        <f>ROUND(INDEX(Input!$1:$1048576,AK$93,$C415*2+MIN($B416,1)+5)+(Y416-VLOOKUP($C416*1000+1,$A:$HH,Y$92,FALSE)),0)</f>
        <v>2227</v>
      </c>
      <c r="AL416" s="150">
        <f>ROUND(INDEX(Input!$1:$1048576,AL$93,$C415*2+MIN($B416,1)+5)-(Y416-VLOOKUP($C416*1000+1,$A:$HH,Y$92,FALSE))/36,0)</f>
        <v>3416</v>
      </c>
      <c r="AM416" s="32" t="str">
        <f t="shared" si="1139"/>
        <v>std/std/std/std</v>
      </c>
      <c r="AN416" s="32" t="str">
        <f t="shared" si="1140"/>
        <v>$0 + 0/0/0/1.9/3.9</v>
      </c>
      <c r="AO416" s="32" t="str">
        <f t="shared" si="1141"/>
        <v>0/0/0/1.9/3.9</v>
      </c>
      <c r="AP416" s="32" t="str">
        <f t="shared" si="993"/>
        <v>0/0.9/1.9/3.9</v>
      </c>
      <c r="AQ416" s="536">
        <f t="shared" si="992"/>
        <v>0.43207698236784631</v>
      </c>
      <c r="AR416" s="32"/>
      <c r="AS416" s="302"/>
      <c r="AT416" s="3">
        <f t="shared" si="1162"/>
        <v>16</v>
      </c>
      <c r="AU416" s="41" t="s">
        <v>121</v>
      </c>
      <c r="AV416" s="41" t="s">
        <v>116</v>
      </c>
      <c r="AW416" s="41" t="str">
        <f>INDEX(Input!$1:$1048576,AW$93,$C416*2+6)</f>
        <v>Kia</v>
      </c>
      <c r="AX416" s="41" t="str">
        <f>INDEX(Input!$1:$1048576,AX$93,$C416*2+6)</f>
        <v>Kia-LR - R1</v>
      </c>
      <c r="AY416" s="41" t="str">
        <f>IF(LEN(D416)=0,"",INDEX(Input!$1:$1048576,AY$93,$C416*2+6))</f>
        <v>Compact SUV (52)</v>
      </c>
      <c r="AZ416" s="41" t="str">
        <f>INDEX(Input!$1:$1048576,AZ$93,$C416*2+6)</f>
        <v>Kia Soul</v>
      </c>
      <c r="BA416" s="3">
        <f>INDEX(Input!$1:$1048576,BA$93,$C416*2+6)</f>
        <v>2020</v>
      </c>
      <c r="BB416" s="128">
        <f>INDEX(Input!$1:$1048576,BB$93,$C416*2+6)</f>
        <v>1</v>
      </c>
      <c r="BC416" s="128">
        <f>INDEX(Input!$1:$1048576,BC$93,$C416*2+6)</f>
        <v>0.7</v>
      </c>
      <c r="BD416" s="1">
        <f>INDEX(Input!$1:$1048576,BD$93,$C416*2+6)</f>
        <v>4.4999999999999998E-2</v>
      </c>
      <c r="BE416" s="1">
        <f>INDEX(Input!$1:$1048576,BE$93,$C416*2+6)</f>
        <v>4.4999999999999998E-2</v>
      </c>
      <c r="BF416" s="1">
        <f>INDEX(Input!$1:$1048576,BF$93,$C416*2+6)</f>
        <v>0.05</v>
      </c>
      <c r="BG416" s="1">
        <f>INDEX(Input!$1:$1048576,BG$93,$C416*2+6)</f>
        <v>5.45E-2</v>
      </c>
      <c r="BH416" s="1">
        <f>INDEX(Input!$1:$1048576,BH$93,$C416*2+6)</f>
        <v>5.45E-2</v>
      </c>
      <c r="BI416" s="1">
        <f>INDEX(Input!$1:$1048576,BI$93,$C416*2+6)</f>
        <v>0.05</v>
      </c>
      <c r="BJ416" s="1">
        <f>INDEX(Input!$1:$1048576,BJ$93,$C416*2+6)</f>
        <v>0.05</v>
      </c>
      <c r="BK416" s="1">
        <f>INDEX(Input!$1:$1048576,BK$93,$C416*2+6)</f>
        <v>0.05</v>
      </c>
      <c r="BL416" s="1">
        <f>INDEX(Input!$1:$1048576,BL$93,$C416*2+6)</f>
        <v>5.5E-2</v>
      </c>
      <c r="BM416" s="1">
        <f>INDEX(Input!$1:$1048576,BM$93,$C416*2+6)</f>
        <v>0.06</v>
      </c>
      <c r="BN416" s="1">
        <f>INDEX(Input!$1:$1048576,BN$93,$C416*2+6)</f>
        <v>4.4999999999999998E-2</v>
      </c>
      <c r="BO416" s="1">
        <f>INDEX(Input!$1:$1048576,BO$93,$C416*2+6)</f>
        <v>4.4999999999999998E-2</v>
      </c>
      <c r="BP416" s="1">
        <f>INDEX(Input!$1:$1048576,BP$93,$C416*2+6)</f>
        <v>0.05</v>
      </c>
      <c r="BQ416" s="1">
        <f>INDEX(Input!$1:$1048576,BQ$93,$C416*2+6)</f>
        <v>5.45E-2</v>
      </c>
      <c r="BR416" s="1">
        <f>INDEX(Input!$1:$1048576,BR$93,$C416*2+6)</f>
        <v>5.45E-2</v>
      </c>
      <c r="BS416" s="1">
        <f>INDEX(Input!$1:$1048576,BS$93,$C416*2+6)</f>
        <v>0.05</v>
      </c>
      <c r="BT416" s="1">
        <f>INDEX(Input!$1:$1048576,BT$93,$C416*2+6)</f>
        <v>0.05</v>
      </c>
      <c r="BU416" s="1">
        <f>INDEX(Input!$1:$1048576,BU$93,$C416*2+6)</f>
        <v>0.05</v>
      </c>
      <c r="BV416" s="1">
        <f>INDEX(Input!$1:$1048576,BV$93,$C416*2+6)</f>
        <v>5.5E-2</v>
      </c>
      <c r="BW416" s="1">
        <f>INDEX(Input!$1:$1048576,BW$93,$C416*2+6)</f>
        <v>0.06</v>
      </c>
      <c r="BX416" s="127">
        <f>INDEX(Input!$1:$1048576,BX$93,$C416*2+6)</f>
        <v>19985</v>
      </c>
      <c r="BY416" s="20">
        <f>INDEX(Input!$1:$1048576,BY$93,$C416*2+6)</f>
        <v>0.1</v>
      </c>
      <c r="BZ416" s="20">
        <f>INDEX(Input!$1:$1048576,BZ$93,$C416*2+6)</f>
        <v>0.1</v>
      </c>
      <c r="CA416" s="20">
        <f>INDEX(Input!$1:$1048576,CA$93,$C416*2+6)</f>
        <v>0.1</v>
      </c>
      <c r="CB416" s="20">
        <f>INDEX(Input!$1:$1048576,CB$93,$C416*2+6)</f>
        <v>0.1</v>
      </c>
      <c r="CC416" s="20">
        <f>INDEX(Input!$1:$1048576,CC$93,$C416*2+6)</f>
        <v>0.1</v>
      </c>
      <c r="CD416" s="384">
        <f>INDEX(Input!$1:$1048576,CD$93,$C416*2+6)</f>
        <v>0.1</v>
      </c>
      <c r="CE416" s="384">
        <f>INDEX(Input!$1:$1048576,CE$93,$C416*2+6)</f>
        <v>0.1</v>
      </c>
      <c r="CF416" s="384">
        <f>INDEX(Input!$1:$1048576,CF$93,$C416*2+6)</f>
        <v>0.1</v>
      </c>
      <c r="CG416" s="384">
        <f>INDEX(Input!$1:$1048576,CG$93,$C416*2+6)</f>
        <v>0.1</v>
      </c>
      <c r="CH416" s="384">
        <f>INDEX(Input!$1:$1048576,CH$93,$C416*2+6)</f>
        <v>0.1</v>
      </c>
      <c r="CI416" s="304">
        <f t="shared" si="994"/>
        <v>1256.832975525977</v>
      </c>
      <c r="CJ416" s="16" t="str">
        <f>INDEX(Input!$1:$1048576,CJ$93,$C416*2+6)</f>
        <v>N</v>
      </c>
      <c r="CK416" s="1" t="str">
        <f t="shared" si="995"/>
        <v>Market</v>
      </c>
      <c r="CL416" s="1" t="str">
        <f t="shared" si="996"/>
        <v>Market</v>
      </c>
      <c r="CM416" s="1" t="str">
        <f t="shared" si="997"/>
        <v>Market</v>
      </c>
      <c r="CN416" s="1" t="str">
        <f t="shared" si="998"/>
        <v>Market</v>
      </c>
      <c r="CO416" s="1" t="str">
        <f t="shared" si="999"/>
        <v>Market</v>
      </c>
      <c r="CP416" s="304">
        <f t="shared" si="1000"/>
        <v>416</v>
      </c>
      <c r="CQ416" s="1">
        <f t="shared" si="1001"/>
        <v>0</v>
      </c>
      <c r="CR416" s="1">
        <f t="shared" si="1002"/>
        <v>0</v>
      </c>
      <c r="CS416" s="1">
        <f t="shared" si="1003"/>
        <v>0</v>
      </c>
      <c r="CT416" s="1">
        <f t="shared" si="1004"/>
        <v>1.9E-2</v>
      </c>
      <c r="CU416" s="1">
        <f t="shared" si="1005"/>
        <v>3.9E-2</v>
      </c>
      <c r="CV416" s="304">
        <f t="shared" si="1006"/>
        <v>-1230</v>
      </c>
      <c r="CW416" s="20" t="s">
        <v>122</v>
      </c>
      <c r="CX416" s="20" t="s">
        <v>122</v>
      </c>
      <c r="CY416" s="20" t="s">
        <v>122</v>
      </c>
      <c r="CZ416" s="20" t="s">
        <v>122</v>
      </c>
      <c r="DA416" s="20" t="s">
        <v>122</v>
      </c>
      <c r="DB416" s="503">
        <f t="shared" si="1007"/>
        <v>0</v>
      </c>
      <c r="DC416" s="127">
        <v>0</v>
      </c>
      <c r="DD416" s="127">
        <v>0</v>
      </c>
      <c r="DE416" s="127">
        <v>0</v>
      </c>
      <c r="DF416" s="127">
        <v>0</v>
      </c>
      <c r="DG416" s="127">
        <v>0</v>
      </c>
      <c r="DH416" s="127">
        <v>0</v>
      </c>
      <c r="DI416" s="127">
        <v>0</v>
      </c>
      <c r="DJ416" s="127">
        <v>0</v>
      </c>
      <c r="DK416" s="127">
        <v>0</v>
      </c>
      <c r="DL416" s="127">
        <v>0</v>
      </c>
      <c r="DM416" s="304">
        <f>INDEX(Input!$1:$1048576,DM$93,$C416*2+6)</f>
        <v>21036.84210526316</v>
      </c>
      <c r="DN416" s="20">
        <v>0</v>
      </c>
      <c r="DO416" s="20">
        <v>0</v>
      </c>
      <c r="DP416" s="20">
        <v>0</v>
      </c>
      <c r="DQ416" s="20">
        <v>0</v>
      </c>
      <c r="DR416" s="20">
        <v>0</v>
      </c>
      <c r="DS416" s="20">
        <f>INDEX(Input!$1:$1048576,DS$93,$C416*2+6)</f>
        <v>0.6</v>
      </c>
      <c r="DT416" s="20">
        <f>INDEX(Input!$1:$1048576,DT$93,$C416*2+6)</f>
        <v>0.55000000000000004</v>
      </c>
      <c r="DU416" s="20">
        <f>INDEX(Input!$1:$1048576,DU$93,$C416*2+6)</f>
        <v>0.52</v>
      </c>
      <c r="DV416" s="20">
        <f>INDEX(Input!$1:$1048576,DV$93,$C416*2+6)</f>
        <v>0.5</v>
      </c>
      <c r="DW416" s="20">
        <f>INDEX(Input!$1:$1048576,DW$93,$C416*2+6)</f>
        <v>0.45</v>
      </c>
      <c r="DX416" s="20"/>
      <c r="DY416" s="7">
        <v>0.10382509435236711</v>
      </c>
      <c r="DZ416" s="7">
        <v>0</v>
      </c>
      <c r="EA416" s="7">
        <v>0.80823263454228245</v>
      </c>
      <c r="EB416" s="7">
        <v>0</v>
      </c>
      <c r="EC416" s="7">
        <v>0</v>
      </c>
      <c r="ED416" s="7">
        <v>0</v>
      </c>
      <c r="EE416" s="7">
        <v>0</v>
      </c>
      <c r="EF416" s="7">
        <v>0</v>
      </c>
      <c r="EG416" s="7">
        <v>0</v>
      </c>
      <c r="EH416" s="7">
        <v>1.2269386646869992E-2</v>
      </c>
      <c r="EI416" s="7">
        <v>3.2055130920416203E-2</v>
      </c>
      <c r="EJ416" s="7">
        <v>0.22501790733444554</v>
      </c>
      <c r="EK416" s="7">
        <v>0.59335691828614712</v>
      </c>
      <c r="EL416" s="7">
        <v>0.1373006568121215</v>
      </c>
      <c r="EM416" s="7">
        <v>4.366805018785825E-2</v>
      </c>
      <c r="EN416" s="7">
        <v>4.9410324305287356E-2</v>
      </c>
      <c r="EO416" s="7">
        <v>0.70137551443895585</v>
      </c>
      <c r="EP416" s="7">
        <v>0.10816643769310627</v>
      </c>
      <c r="EQ416" s="7">
        <v>9.4958927086401745E-2</v>
      </c>
      <c r="ER416" s="7">
        <v>4.6088796476248584E-2</v>
      </c>
      <c r="ES416" s="7">
        <v>4.4274220917492328E-2</v>
      </c>
      <c r="ET416" s="7">
        <v>8.794227110535055E-2</v>
      </c>
      <c r="EU416" s="6">
        <v>1770</v>
      </c>
      <c r="EV416" s="6">
        <v>0</v>
      </c>
      <c r="EW416" s="6">
        <v>1770</v>
      </c>
      <c r="EX416" s="6">
        <v>0</v>
      </c>
      <c r="EY416" s="6">
        <v>2483.370239437977</v>
      </c>
      <c r="EZ416" s="6">
        <v>147</v>
      </c>
      <c r="FA416" s="6">
        <v>0</v>
      </c>
      <c r="FB416" s="6">
        <v>0</v>
      </c>
      <c r="FC416" s="6">
        <v>0</v>
      </c>
      <c r="FD416" s="6">
        <v>0</v>
      </c>
      <c r="FE416" s="6">
        <v>0</v>
      </c>
      <c r="FF416" s="6">
        <v>0</v>
      </c>
      <c r="FG416" s="6">
        <v>0</v>
      </c>
      <c r="FH416" s="6">
        <v>1169.8023086886894</v>
      </c>
      <c r="FI416" s="6">
        <v>1553.9796069512399</v>
      </c>
      <c r="FJ416" s="6">
        <v>2101.2110117447401</v>
      </c>
      <c r="FK416" s="6">
        <v>1772.7139978623213</v>
      </c>
      <c r="FL416" s="6">
        <v>907.07682140966392</v>
      </c>
      <c r="FM416" s="6">
        <v>1713.3702394379773</v>
      </c>
      <c r="FN416" s="6">
        <v>0</v>
      </c>
      <c r="FO416" s="6">
        <v>0</v>
      </c>
      <c r="FP416" s="6">
        <v>0</v>
      </c>
      <c r="FQ416" s="6">
        <v>0</v>
      </c>
      <c r="FR416" s="6">
        <v>0</v>
      </c>
      <c r="FS416" s="6">
        <v>0</v>
      </c>
      <c r="FT416" s="7">
        <v>0.91205772889464953</v>
      </c>
      <c r="FU416" s="7">
        <v>4.366805018785825E-2</v>
      </c>
      <c r="FV416" s="7">
        <v>4.4274220917492328E-2</v>
      </c>
      <c r="FW416" s="6">
        <v>1770</v>
      </c>
      <c r="FX416" s="6">
        <v>2483.370239437977</v>
      </c>
      <c r="FY416" s="6">
        <v>147</v>
      </c>
      <c r="FZ416" s="6">
        <v>1949.5716051445115</v>
      </c>
      <c r="GA416" s="6">
        <v>1729.2944268692122</v>
      </c>
      <c r="GB416" s="6">
        <v>18255.705573130788</v>
      </c>
      <c r="GC416" s="7">
        <v>3.3872851927908169E-2</v>
      </c>
      <c r="GD416" s="7">
        <v>3.3536489122913925E-2</v>
      </c>
      <c r="GE416" s="7"/>
      <c r="GF416" s="7"/>
      <c r="GG416" s="7">
        <v>-9.9301589872068628E-3</v>
      </c>
      <c r="GH416" s="42">
        <v>0.90092958750045304</v>
      </c>
      <c r="GI416" s="6">
        <v>23911.938084345875</v>
      </c>
      <c r="GJ416" s="14">
        <v>0.50394797582841722</v>
      </c>
      <c r="GK416" s="14">
        <v>0.50887573065309732</v>
      </c>
      <c r="GL416" s="14">
        <v>0.49605202417158262</v>
      </c>
      <c r="GM416" s="14">
        <v>0.49112426934690245</v>
      </c>
      <c r="GO416" s="5">
        <v>343.14810671672558</v>
      </c>
      <c r="GP416" s="5">
        <v>309.37988338875158</v>
      </c>
      <c r="GQ416" s="5">
        <v>535.04305713031317</v>
      </c>
      <c r="GR416" s="5">
        <v>410.15490233172511</v>
      </c>
      <c r="GS416" s="5">
        <v>339.42744393800166</v>
      </c>
      <c r="GT416" s="5">
        <v>293.4407446948278</v>
      </c>
      <c r="GU416" s="5">
        <v>258.04012322764959</v>
      </c>
      <c r="GV416" s="39" t="s">
        <v>392</v>
      </c>
      <c r="GW416" s="5">
        <v>478.23611111111109</v>
      </c>
      <c r="GX416" s="5">
        <v>358.67708333333331</v>
      </c>
      <c r="GY416" s="5">
        <v>286.94166666666666</v>
      </c>
      <c r="GZ416" s="5">
        <v>253.19574071601335</v>
      </c>
      <c r="HA416" s="5">
        <v>234.53733318419432</v>
      </c>
      <c r="HB416" s="39">
        <v>264.3696923080974</v>
      </c>
      <c r="HC416" s="5">
        <v>280.85312499999998</v>
      </c>
      <c r="HD416" s="5">
        <v>235.41580774853799</v>
      </c>
      <c r="HE416" s="5">
        <v>236.8873861336032</v>
      </c>
      <c r="HF416" s="5">
        <v>217.50938048245612</v>
      </c>
      <c r="HG416" s="5">
        <v>207.81388157894736</v>
      </c>
      <c r="HH416" s="39">
        <v>234.84754104247307</v>
      </c>
      <c r="HI416" s="16"/>
      <c r="HJ416" s="19" t="str">
        <f t="shared" si="1163"/>
        <v>On</v>
      </c>
      <c r="HK416" s="1" t="str">
        <f t="shared" si="1163"/>
        <v>On</v>
      </c>
      <c r="HL416" s="16"/>
      <c r="HM416" s="639">
        <f t="shared" si="1110"/>
        <v>2.9403358434788716E-2</v>
      </c>
      <c r="HN416" s="639">
        <f t="shared" si="1111"/>
        <v>1.4106809950923669E-3</v>
      </c>
      <c r="HO416" s="639">
        <f t="shared" si="1112"/>
        <v>1.7317923025048877E-3</v>
      </c>
      <c r="HP416" s="644">
        <f>(FT416*$GD416-HM416)/$JF416*INDEX(Input!$1:$1048576,$JG$93,$C416*2+6)</f>
        <v>84.717449458165476</v>
      </c>
      <c r="HQ416" s="644">
        <f>(FU416*$GD416-HN416)/$JF416*INDEX(Input!$1:$1048576,$JG$93,$C416*2+6)</f>
        <v>3.849395842924844</v>
      </c>
      <c r="HR416" s="644">
        <f>(FV416*$GD416-HO416)/$JF416*INDEX(Input!$1:$1048576,$JG$93,$C416*2+6)</f>
        <v>-17.674785097764588</v>
      </c>
      <c r="HS416" s="644">
        <f t="shared" si="1113"/>
        <v>-36.767073119930814</v>
      </c>
      <c r="HT416" s="644">
        <f t="shared" si="1114"/>
        <v>44.850429529479655</v>
      </c>
      <c r="HU416" s="644">
        <f t="shared" si="1115"/>
        <v>1.2026206749977373</v>
      </c>
      <c r="HV416" s="648">
        <f t="shared" si="1116"/>
        <v>0</v>
      </c>
      <c r="HW416" s="648">
        <f t="shared" si="1117"/>
        <v>0</v>
      </c>
      <c r="HX416" s="648">
        <f t="shared" si="1118"/>
        <v>0</v>
      </c>
      <c r="HY416" s="644">
        <f>INDEX(Input!$1:$1048576,HY$93,$C416*2+6)*INDEX(Input!$1:$1048576,$JG$93,$C416*2+6)</f>
        <v>993</v>
      </c>
      <c r="HZ416" s="644">
        <f>INDEX(Input!$1:$1048576,HZ$93,$C416*2+6)*INDEX(Input!$1:$1048576,$JG$93,$C416*2+6)</f>
        <v>1216</v>
      </c>
      <c r="IA416" s="644">
        <f>INDEX(Input!$1:$1048576,IA$93,$C416*2+6)*INDEX(Input!$1:$1048576,$JG$93,$C416*2+6)</f>
        <v>120</v>
      </c>
      <c r="IB416" s="644">
        <f t="shared" si="1142"/>
        <v>1040.9503763382343</v>
      </c>
      <c r="IC416" s="644">
        <f t="shared" si="1143"/>
        <v>1264.6998253724046</v>
      </c>
      <c r="ID416" s="644">
        <f>IF(AND(INDEX(Input!$1:$1048576,IA$93,$C416*2+7)="TOS",Y416&lt;=INDEX(Y:Y,MATCH(C416*1000+2,A:A))),0,1)*MAX(IA416+HR416+HU416+HX416,0%)</f>
        <v>103.52783557723315</v>
      </c>
      <c r="IE416" s="128">
        <f t="shared" ref="IE416:IE418" si="1195">IB416/SUM($IB416:$ID416)</f>
        <v>0.43207698236784631</v>
      </c>
      <c r="IF416" s="128">
        <f t="shared" si="1165"/>
        <v>0.52495075324368246</v>
      </c>
      <c r="IG416" s="128">
        <f t="shared" si="1120"/>
        <v>4.2972264388471453E-2</v>
      </c>
      <c r="IH416" s="21"/>
      <c r="II416" s="19">
        <f t="shared" si="1121"/>
        <v>1490</v>
      </c>
      <c r="IJ416" s="19">
        <f t="shared" si="1122"/>
        <v>2203.2561351629856</v>
      </c>
      <c r="IK416" s="19">
        <f t="shared" si="1123"/>
        <v>242</v>
      </c>
      <c r="IL416" s="19">
        <f t="shared" si="1145"/>
        <v>280</v>
      </c>
      <c r="IM416" s="19">
        <f t="shared" si="1124"/>
        <v>280.1141042749914</v>
      </c>
      <c r="IN416" s="19">
        <f t="shared" si="1125"/>
        <v>-95</v>
      </c>
      <c r="IO416" s="39">
        <f t="shared" si="1126"/>
        <v>0</v>
      </c>
      <c r="IP416" s="39">
        <f t="shared" si="1127"/>
        <v>0</v>
      </c>
      <c r="IQ416" s="39">
        <f t="shared" si="1128"/>
        <v>0</v>
      </c>
      <c r="IR416" s="39">
        <v>0</v>
      </c>
      <c r="IS416" s="39">
        <v>0</v>
      </c>
      <c r="IT416" s="39">
        <v>0</v>
      </c>
      <c r="IU416" s="39">
        <v>0</v>
      </c>
      <c r="IV416" s="39">
        <v>0</v>
      </c>
      <c r="IW416" s="39">
        <v>0</v>
      </c>
      <c r="IX416" s="39">
        <f>INDEX(Input!$1:$1048576,IX$93,$C416*2+6)+INDEX(Input!$1:$1048576,IX$94,$C416*2+6)</f>
        <v>1770</v>
      </c>
      <c r="IY416" s="39">
        <f>INDEX(Input!$1:$1048576,IY$93,$C416*2+6)+INDEX(Input!$1:$1048576,IY$94,$C416*2+6)</f>
        <v>2630.0624533823611</v>
      </c>
      <c r="IZ416" s="39">
        <f>INDEX(Input!$1:$1048576,IZ$93,$C416*2+6)+INDEX(Input!$1:$1048576,IZ$94,$C416*2+6)</f>
        <v>4153.7164157747848</v>
      </c>
      <c r="JA416" s="19">
        <f t="shared" si="1146"/>
        <v>2050</v>
      </c>
      <c r="JB416" s="19">
        <f t="shared" si="1147"/>
        <v>2910.1765576573525</v>
      </c>
      <c r="JC416" s="19">
        <f t="shared" si="1148"/>
        <v>4058.7164157747848</v>
      </c>
      <c r="JD416" s="19">
        <f t="shared" si="1149"/>
        <v>2587.8694247649223</v>
      </c>
      <c r="JE416" s="21"/>
      <c r="JF416" s="1">
        <f t="shared" si="1129"/>
        <v>3.2545831732385969E-2</v>
      </c>
      <c r="JG416" s="15">
        <f>INDEX(Input!$1:$1048576,JG$93,$C416*2+6)/(1+VLOOKUP(C416*1000+INDEX(Input!$1:$1048576,JG$93+1,$C416*2+6),$A:$KK,$JK$92,FALSE))</f>
        <v>2329</v>
      </c>
      <c r="JH416" s="1">
        <f t="shared" si="1150"/>
        <v>3.0438840791466613E-2</v>
      </c>
      <c r="JI416" s="1">
        <f t="shared" si="1151"/>
        <v>3.9871090959839326E-3</v>
      </c>
      <c r="JJ416" s="1">
        <f t="shared" si="1189"/>
        <v>0</v>
      </c>
      <c r="JK416" s="1">
        <f t="shared" si="1193"/>
        <v>3.4425949887450548E-2</v>
      </c>
      <c r="JL416" s="15">
        <f t="shared" si="1154"/>
        <v>80.178037287872328</v>
      </c>
      <c r="JM416" s="15">
        <f t="shared" si="1180"/>
        <v>2409.1780372878725</v>
      </c>
      <c r="JN416" s="21"/>
      <c r="JO416" s="19">
        <f>INDEX(Input!$1:$1048576,JO$93,$C416*2+6)</f>
        <v>5995.5</v>
      </c>
      <c r="JP416" s="19">
        <f>INDEX(Input!$1:$1048576,JP$93,$C416*2+6)</f>
        <v>2341.8685758720158</v>
      </c>
      <c r="JQ416" s="39">
        <f t="shared" si="1166"/>
        <v>3407.6305752350777</v>
      </c>
      <c r="JR416" s="39">
        <f t="shared" si="1183"/>
        <v>246.00084889290656</v>
      </c>
      <c r="JS416" s="39">
        <f t="shared" si="1168"/>
        <v>6.2346381815124507</v>
      </c>
      <c r="JT416" s="39">
        <f t="shared" si="1156"/>
        <v>0.78042626830652639</v>
      </c>
      <c r="JU416" s="385">
        <f>(JQ416*JM416-INDEX(Input!$1:$1048576,Input!A$18,$C416*2+6)*JL416*INDEX(Input!$1:$1048576,Input!A$19,$C416*2+6))/1000000</f>
        <v>8.2095887410469892</v>
      </c>
      <c r="JV416" s="39">
        <f t="shared" si="1190"/>
        <v>-0.29971884574708518</v>
      </c>
      <c r="JW416" s="1">
        <f t="shared" si="1181"/>
        <v>-3.5222471709946239E-2</v>
      </c>
      <c r="JX416" s="19">
        <f t="shared" si="1172"/>
        <v>9733.6664092246756</v>
      </c>
      <c r="JZ416" s="341"/>
      <c r="KA416" s="342"/>
      <c r="KB416" s="469">
        <f t="shared" si="1169"/>
        <v>2.3434325605641804</v>
      </c>
      <c r="KI416" s="473">
        <f t="shared" ref="KI416:KI432" si="1196">$JM416*IE416-$JG416*HY416/SUM($HY416:$IA416)</f>
        <v>47.950376338234719</v>
      </c>
      <c r="KJ416" s="473">
        <f t="shared" ref="KJ416:KJ432" si="1197">$JM416*IF416-$JG416*HZ416/SUM($HY416:$IA416)</f>
        <v>48.699825372405257</v>
      </c>
      <c r="KK416" s="473">
        <f t="shared" si="1158"/>
        <v>-16.472164422766809</v>
      </c>
      <c r="KN416" s="544">
        <f t="shared" si="1173"/>
        <v>4002</v>
      </c>
      <c r="KO416" s="541">
        <f t="shared" si="1133"/>
        <v>-3.9004786012093451E-3</v>
      </c>
      <c r="KP416" s="546">
        <f t="shared" si="1134"/>
        <v>-15.434778502792325</v>
      </c>
      <c r="KQ416" s="546">
        <f t="shared" si="1135"/>
        <v>-36.901763271098844</v>
      </c>
      <c r="KR416" s="548">
        <f t="shared" si="1136"/>
        <v>4.3870536257396475</v>
      </c>
      <c r="KS416" s="548">
        <f t="shared" si="1137"/>
        <v>1.834958413659215</v>
      </c>
      <c r="KT416" s="473">
        <f t="shared" si="1171"/>
        <v>1580.0986321700548</v>
      </c>
      <c r="KU416" s="663">
        <f t="shared" si="1159"/>
        <v>4.052055992591777</v>
      </c>
      <c r="KV416" s="117" t="e">
        <f t="shared" si="1191"/>
        <v>#N/A</v>
      </c>
    </row>
    <row r="417" spans="1:308" s="26" customFormat="1" ht="15">
      <c r="A417" s="561">
        <f t="shared" si="1138"/>
        <v>4017</v>
      </c>
      <c r="B417" s="561">
        <f t="shared" si="1160"/>
        <v>17</v>
      </c>
      <c r="C417" s="561">
        <f t="shared" si="1161"/>
        <v>4</v>
      </c>
      <c r="D417" s="561" t="str">
        <f t="shared" si="1182"/>
        <v xml:space="preserve">360 Lease, </v>
      </c>
      <c r="E417" s="115">
        <f>INDEX(Input!$1:$1048576,E$93,$C417*2+MIN($B417,2)+5)</f>
        <v>1256.832975525977</v>
      </c>
      <c r="F417" s="115">
        <f>INDEX(Input!$1:$1048576,F$93,$C417*2+MIN($B417,2)+5)</f>
        <v>0</v>
      </c>
      <c r="G417" s="115">
        <f>INDEX(Input!$1:$1048576,G$93,$C417*2+MIN($B417,2)+5)</f>
        <v>0</v>
      </c>
      <c r="H417" s="115">
        <f>INDEX(Input!$1:$1048576,H$93,$C417*2+MIN($B417,2)+5)</f>
        <v>0</v>
      </c>
      <c r="I417" s="118">
        <f>INDEX(Input!$1:$1048576,I$93,$C417*2+MIN($B417,2)+5)</f>
        <v>0.7</v>
      </c>
      <c r="J417" s="118" t="str">
        <f>INDEX(Input!$1:$1048576,J$93,$C417*2+MIN($B417,2)+5)</f>
        <v>Market</v>
      </c>
      <c r="K417" s="118" t="str">
        <f>INDEX(Input!$1:$1048576,K$93,$C417*2+MIN($B417,2)+5)</f>
        <v>Market</v>
      </c>
      <c r="L417" s="118" t="str">
        <f>INDEX(Input!$1:$1048576,L$93,$C417*2+MIN($B417,2)+5)</f>
        <v>Market</v>
      </c>
      <c r="M417" s="118" t="str">
        <f>INDEX(Input!$1:$1048576,M$93,$C417*2+MIN($B417,2)+5)</f>
        <v>Market</v>
      </c>
      <c r="N417" s="118" t="str">
        <f>INDEX(Input!$1:$1048576,N$93,$C417*2+MIN($B417,2)+5)</f>
        <v>Market</v>
      </c>
      <c r="O417" s="118" t="str">
        <f>INDEX(Input!$1:$1048576,O$93,$C417*2+MIN($B417,2)+5)</f>
        <v>Market</v>
      </c>
      <c r="P417" s="118" t="str">
        <f>INDEX(Input!$1:$1048576,P$93,$C417*2+MIN($B417,2)+5)</f>
        <v>N</v>
      </c>
      <c r="Q417" s="30">
        <f>INDEX(Input!$1:$1048576,Q$93,$C417*2+MIN($B417,2)+5)</f>
        <v>0</v>
      </c>
      <c r="R417" s="383">
        <f>INDEX(Input!$1:$1048576,R$93,$C417*2+MIN($B417,2)+5)</f>
        <v>0</v>
      </c>
      <c r="S417" s="383">
        <f>INDEX(Input!$1:$1048576,S$93,$C417*2+MIN($B417,2)+5)</f>
        <v>0</v>
      </c>
      <c r="T417" s="383">
        <f>INDEX(Input!$1:$1048576,T$93,$C417*2+MIN($B417,2)+5)</f>
        <v>0</v>
      </c>
      <c r="U417" s="383">
        <f>INDEX(Input!$1:$1048576,U$93,$C417*2+MIN($B417,2)+5)</f>
        <v>0</v>
      </c>
      <c r="V417" s="383">
        <f>INDEX(Input!$1:$1048576,V$93,$C417*2+MIN($B417,2)+5)</f>
        <v>1.9E-2</v>
      </c>
      <c r="W417" s="884">
        <f>INDEX(Input!$1:$1048576,W$93,$C417*2+MIN($B417,2)+5)</f>
        <v>3.9E-2</v>
      </c>
      <c r="X417" s="118" t="str">
        <f>INDEX(Input!$1:$1048576,X$93,$C417*2+MIN($B417,2)+5)</f>
        <v>Y</v>
      </c>
      <c r="Y417" s="475">
        <f>INDEX(Input!$1:$1048576,Y$93,$C417*2+MIN($B417,2)+5)+360</f>
        <v>-510</v>
      </c>
      <c r="Z417" s="30">
        <f>INDEX(Input!$1:$1048576,Z$93,$C417*2+MIN($B417,2)+5)</f>
        <v>0</v>
      </c>
      <c r="AA417" s="115">
        <f>INDEX(Input!$1:$1048576,AA$93,$C417*2+MIN($B417,2)+5)</f>
        <v>0</v>
      </c>
      <c r="AB417" s="118">
        <f>INDEX(Input!$1:$1048576,AB$93,$C417*2+MIN($B417,2)+5)</f>
        <v>0.27</v>
      </c>
      <c r="AC417" s="115">
        <f>INDEX(Input!$1:$1048576,AC$93,$C417*2+MIN($B417,2)+5)</f>
        <v>0</v>
      </c>
      <c r="AD417" s="118">
        <f>INDEX(Input!$1:$1048576,AD$93,$C417*2+MIN($B417,2)+5)</f>
        <v>0.27</v>
      </c>
      <c r="AE417" s="115">
        <f>INDEX(Input!$1:$1048576,AE$93,$C417*2+MIN($B417,2)+5)</f>
        <v>0</v>
      </c>
      <c r="AF417" s="118">
        <f>INDEX(Input!$1:$1048576,AF$93,$C417*2+MIN($B417,2)+5)</f>
        <v>1</v>
      </c>
      <c r="AG417" s="115">
        <f>INDEX(Input!$1:$1048576,AG$93,$C417*2+MIN($B417,2)+5)</f>
        <v>500</v>
      </c>
      <c r="AH417" s="118">
        <f>INDEX(Input!$1:$1048576,AH$93,$C417*2+MIN($B417,2)+5)</f>
        <v>0.83199999999999996</v>
      </c>
      <c r="AI417" s="115">
        <f>INDEX(Input!$1:$1048576,AI$93,$C417*2+MIN($B417,2)+5)</f>
        <v>0</v>
      </c>
      <c r="AJ417" s="118">
        <f>INDEX(Input!$1:$1048576,AJ$93,$C417*2+MIN($B417,2)+5)</f>
        <v>0.27</v>
      </c>
      <c r="AK417" s="150">
        <f>ROUND(INDEX(Input!$1:$1048576,AK$93,$C416*2+MIN($B417,1)+5)+(Y417-VLOOKUP($C417*1000+1,$A:$HH,Y$92,FALSE)),0)</f>
        <v>2947</v>
      </c>
      <c r="AL417" s="150">
        <f>ROUND(INDEX(Input!$1:$1048576,AL$93,$C416*2+MIN($B417,1)+5)-(Y417-VLOOKUP($C417*1000+1,$A:$HH,Y$92,FALSE))/36,0)</f>
        <v>3396</v>
      </c>
      <c r="AM417" s="32" t="str">
        <f t="shared" si="1139"/>
        <v>std/std/std/std</v>
      </c>
      <c r="AN417" s="32" t="str">
        <f t="shared" si="1140"/>
        <v>$0 + 0/0/0/1.9/3.9</v>
      </c>
      <c r="AO417" s="32" t="str">
        <f t="shared" si="1141"/>
        <v>0/0/0/1.9/3.9</v>
      </c>
      <c r="AP417" s="32" t="str">
        <f t="shared" si="993"/>
        <v>0/0.9/1.9/3.9</v>
      </c>
      <c r="AQ417" s="536">
        <f t="shared" si="992"/>
        <v>0.41554778697255645</v>
      </c>
      <c r="AR417" s="32"/>
      <c r="AS417" s="302"/>
      <c r="AT417" s="3">
        <f t="shared" si="1162"/>
        <v>17</v>
      </c>
      <c r="AU417" s="41" t="s">
        <v>121</v>
      </c>
      <c r="AV417" s="41" t="s">
        <v>116</v>
      </c>
      <c r="AW417" s="41" t="str">
        <f>INDEX(Input!$1:$1048576,AW$93,$C417*2+6)</f>
        <v>Kia</v>
      </c>
      <c r="AX417" s="41" t="str">
        <f>INDEX(Input!$1:$1048576,AX$93,$C417*2+6)</f>
        <v>Kia-LR - R1</v>
      </c>
      <c r="AY417" s="41" t="str">
        <f>IF(LEN(D417)=0,"",INDEX(Input!$1:$1048576,AY$93,$C417*2+6))</f>
        <v>Compact SUV (52)</v>
      </c>
      <c r="AZ417" s="41" t="str">
        <f>INDEX(Input!$1:$1048576,AZ$93,$C417*2+6)</f>
        <v>Kia Soul</v>
      </c>
      <c r="BA417" s="3">
        <f>INDEX(Input!$1:$1048576,BA$93,$C417*2+6)</f>
        <v>2020</v>
      </c>
      <c r="BB417" s="128">
        <f>INDEX(Input!$1:$1048576,BB$93,$C417*2+6)</f>
        <v>1</v>
      </c>
      <c r="BC417" s="128">
        <f>INDEX(Input!$1:$1048576,BC$93,$C417*2+6)</f>
        <v>0.7</v>
      </c>
      <c r="BD417" s="1">
        <f>INDEX(Input!$1:$1048576,BD$93,$C417*2+6)</f>
        <v>4.4999999999999998E-2</v>
      </c>
      <c r="BE417" s="1">
        <f>INDEX(Input!$1:$1048576,BE$93,$C417*2+6)</f>
        <v>4.4999999999999998E-2</v>
      </c>
      <c r="BF417" s="1">
        <f>INDEX(Input!$1:$1048576,BF$93,$C417*2+6)</f>
        <v>0.05</v>
      </c>
      <c r="BG417" s="1">
        <f>INDEX(Input!$1:$1048576,BG$93,$C417*2+6)</f>
        <v>5.45E-2</v>
      </c>
      <c r="BH417" s="1">
        <f>INDEX(Input!$1:$1048576,BH$93,$C417*2+6)</f>
        <v>5.45E-2</v>
      </c>
      <c r="BI417" s="1">
        <f>INDEX(Input!$1:$1048576,BI$93,$C417*2+6)</f>
        <v>0.05</v>
      </c>
      <c r="BJ417" s="1">
        <f>INDEX(Input!$1:$1048576,BJ$93,$C417*2+6)</f>
        <v>0.05</v>
      </c>
      <c r="BK417" s="1">
        <f>INDEX(Input!$1:$1048576,BK$93,$C417*2+6)</f>
        <v>0.05</v>
      </c>
      <c r="BL417" s="1">
        <f>INDEX(Input!$1:$1048576,BL$93,$C417*2+6)</f>
        <v>5.5E-2</v>
      </c>
      <c r="BM417" s="1">
        <f>INDEX(Input!$1:$1048576,BM$93,$C417*2+6)</f>
        <v>0.06</v>
      </c>
      <c r="BN417" s="1">
        <f>INDEX(Input!$1:$1048576,BN$93,$C417*2+6)</f>
        <v>4.4999999999999998E-2</v>
      </c>
      <c r="BO417" s="1">
        <f>INDEX(Input!$1:$1048576,BO$93,$C417*2+6)</f>
        <v>4.4999999999999998E-2</v>
      </c>
      <c r="BP417" s="1">
        <f>INDEX(Input!$1:$1048576,BP$93,$C417*2+6)</f>
        <v>0.05</v>
      </c>
      <c r="BQ417" s="1">
        <f>INDEX(Input!$1:$1048576,BQ$93,$C417*2+6)</f>
        <v>5.45E-2</v>
      </c>
      <c r="BR417" s="1">
        <f>INDEX(Input!$1:$1048576,BR$93,$C417*2+6)</f>
        <v>5.45E-2</v>
      </c>
      <c r="BS417" s="1">
        <f>INDEX(Input!$1:$1048576,BS$93,$C417*2+6)</f>
        <v>0.05</v>
      </c>
      <c r="BT417" s="1">
        <f>INDEX(Input!$1:$1048576,BT$93,$C417*2+6)</f>
        <v>0.05</v>
      </c>
      <c r="BU417" s="1">
        <f>INDEX(Input!$1:$1048576,BU$93,$C417*2+6)</f>
        <v>0.05</v>
      </c>
      <c r="BV417" s="1">
        <f>INDEX(Input!$1:$1048576,BV$93,$C417*2+6)</f>
        <v>5.5E-2</v>
      </c>
      <c r="BW417" s="1">
        <f>INDEX(Input!$1:$1048576,BW$93,$C417*2+6)</f>
        <v>0.06</v>
      </c>
      <c r="BX417" s="127">
        <f>INDEX(Input!$1:$1048576,BX$93,$C417*2+6)</f>
        <v>19985</v>
      </c>
      <c r="BY417" s="20">
        <f>INDEX(Input!$1:$1048576,BY$93,$C417*2+6)</f>
        <v>0.1</v>
      </c>
      <c r="BZ417" s="20">
        <f>INDEX(Input!$1:$1048576,BZ$93,$C417*2+6)</f>
        <v>0.1</v>
      </c>
      <c r="CA417" s="20">
        <f>INDEX(Input!$1:$1048576,CA$93,$C417*2+6)</f>
        <v>0.1</v>
      </c>
      <c r="CB417" s="20">
        <f>INDEX(Input!$1:$1048576,CB$93,$C417*2+6)</f>
        <v>0.1</v>
      </c>
      <c r="CC417" s="20">
        <f>INDEX(Input!$1:$1048576,CC$93,$C417*2+6)</f>
        <v>0.1</v>
      </c>
      <c r="CD417" s="384">
        <f>INDEX(Input!$1:$1048576,CD$93,$C417*2+6)</f>
        <v>0.1</v>
      </c>
      <c r="CE417" s="384">
        <f>INDEX(Input!$1:$1048576,CE$93,$C417*2+6)</f>
        <v>0.1</v>
      </c>
      <c r="CF417" s="384">
        <f>INDEX(Input!$1:$1048576,CF$93,$C417*2+6)</f>
        <v>0.1</v>
      </c>
      <c r="CG417" s="384">
        <f>INDEX(Input!$1:$1048576,CG$93,$C417*2+6)</f>
        <v>0.1</v>
      </c>
      <c r="CH417" s="384">
        <f>INDEX(Input!$1:$1048576,CH$93,$C417*2+6)</f>
        <v>0.1</v>
      </c>
      <c r="CI417" s="304">
        <f t="shared" si="994"/>
        <v>1256.832975525977</v>
      </c>
      <c r="CJ417" s="16" t="str">
        <f>INDEX(Input!$1:$1048576,CJ$93,$C417*2+6)</f>
        <v>N</v>
      </c>
      <c r="CK417" s="1" t="str">
        <f t="shared" si="995"/>
        <v>Market</v>
      </c>
      <c r="CL417" s="1" t="str">
        <f t="shared" si="996"/>
        <v>Market</v>
      </c>
      <c r="CM417" s="1" t="str">
        <f t="shared" si="997"/>
        <v>Market</v>
      </c>
      <c r="CN417" s="1" t="str">
        <f t="shared" si="998"/>
        <v>Market</v>
      </c>
      <c r="CO417" s="1" t="str">
        <f t="shared" si="999"/>
        <v>Market</v>
      </c>
      <c r="CP417" s="304">
        <f t="shared" si="1000"/>
        <v>416</v>
      </c>
      <c r="CQ417" s="1">
        <f t="shared" si="1001"/>
        <v>0</v>
      </c>
      <c r="CR417" s="1">
        <f t="shared" si="1002"/>
        <v>0</v>
      </c>
      <c r="CS417" s="1">
        <f t="shared" si="1003"/>
        <v>0</v>
      </c>
      <c r="CT417" s="1">
        <f t="shared" si="1004"/>
        <v>1.9E-2</v>
      </c>
      <c r="CU417" s="1">
        <f t="shared" si="1005"/>
        <v>3.9E-2</v>
      </c>
      <c r="CV417" s="304">
        <f t="shared" si="1006"/>
        <v>-510</v>
      </c>
      <c r="CW417" s="20" t="s">
        <v>122</v>
      </c>
      <c r="CX417" s="20" t="s">
        <v>122</v>
      </c>
      <c r="CY417" s="20" t="s">
        <v>122</v>
      </c>
      <c r="CZ417" s="20" t="s">
        <v>122</v>
      </c>
      <c r="DA417" s="20" t="s">
        <v>122</v>
      </c>
      <c r="DB417" s="503">
        <f t="shared" si="1007"/>
        <v>0</v>
      </c>
      <c r="DC417" s="127">
        <v>0</v>
      </c>
      <c r="DD417" s="127">
        <v>0</v>
      </c>
      <c r="DE417" s="127">
        <v>0</v>
      </c>
      <c r="DF417" s="127">
        <v>0</v>
      </c>
      <c r="DG417" s="127">
        <v>0</v>
      </c>
      <c r="DH417" s="127">
        <v>0</v>
      </c>
      <c r="DI417" s="127">
        <v>0</v>
      </c>
      <c r="DJ417" s="127">
        <v>0</v>
      </c>
      <c r="DK417" s="127">
        <v>0</v>
      </c>
      <c r="DL417" s="127">
        <v>0</v>
      </c>
      <c r="DM417" s="304">
        <f>INDEX(Input!$1:$1048576,DM$93,$C417*2+6)</f>
        <v>21036.84210526316</v>
      </c>
      <c r="DN417" s="20">
        <v>0</v>
      </c>
      <c r="DO417" s="20">
        <v>0</v>
      </c>
      <c r="DP417" s="20">
        <v>0</v>
      </c>
      <c r="DQ417" s="20">
        <v>0</v>
      </c>
      <c r="DR417" s="20">
        <v>0</v>
      </c>
      <c r="DS417" s="20">
        <f>INDEX(Input!$1:$1048576,DS$93,$C417*2+6)</f>
        <v>0.6</v>
      </c>
      <c r="DT417" s="20">
        <f>INDEX(Input!$1:$1048576,DT$93,$C417*2+6)</f>
        <v>0.55000000000000004</v>
      </c>
      <c r="DU417" s="20">
        <f>INDEX(Input!$1:$1048576,DU$93,$C417*2+6)</f>
        <v>0.52</v>
      </c>
      <c r="DV417" s="20">
        <f>INDEX(Input!$1:$1048576,DV$93,$C417*2+6)</f>
        <v>0.5</v>
      </c>
      <c r="DW417" s="20">
        <f>INDEX(Input!$1:$1048576,DW$93,$C417*2+6)</f>
        <v>0.45</v>
      </c>
      <c r="DX417" s="20"/>
      <c r="DY417" s="7">
        <v>0.10181321078467476</v>
      </c>
      <c r="DZ417" s="7">
        <v>0</v>
      </c>
      <c r="EA417" s="7">
        <v>0.79342555911061063</v>
      </c>
      <c r="EB417" s="7">
        <v>0</v>
      </c>
      <c r="EC417" s="7">
        <v>0</v>
      </c>
      <c r="ED417" s="7">
        <v>0</v>
      </c>
      <c r="EE417" s="7">
        <v>0</v>
      </c>
      <c r="EF417" s="7">
        <v>0</v>
      </c>
      <c r="EG417" s="7">
        <v>0</v>
      </c>
      <c r="EH417" s="7">
        <v>1.2251802789006672E-2</v>
      </c>
      <c r="EI417" s="7">
        <v>3.1991231017375714E-2</v>
      </c>
      <c r="EJ417" s="7">
        <v>0.224682825038971</v>
      </c>
      <c r="EK417" s="7">
        <v>0.59370172832580237</v>
      </c>
      <c r="EL417" s="7">
        <v>0.1373724128288443</v>
      </c>
      <c r="EM417" s="7">
        <v>4.281257617744065E-2</v>
      </c>
      <c r="EN417" s="7">
        <v>5.1610816041057245E-2</v>
      </c>
      <c r="EO417" s="7">
        <v>0.7241790607455888</v>
      </c>
      <c r="EP417" s="7">
        <v>9.6754729482999416E-2</v>
      </c>
      <c r="EQ417" s="7">
        <v>8.5001878548260232E-2</v>
      </c>
      <c r="ER417" s="7">
        <v>4.2453515182094656E-2</v>
      </c>
      <c r="ES417" s="7">
        <v>6.1948653927274028E-2</v>
      </c>
      <c r="ET417" s="7">
        <v>0.10476123010471453</v>
      </c>
      <c r="EU417" s="6">
        <v>1770</v>
      </c>
      <c r="EV417" s="6">
        <v>0</v>
      </c>
      <c r="EW417" s="6">
        <v>1770</v>
      </c>
      <c r="EX417" s="6">
        <v>0</v>
      </c>
      <c r="EY417" s="6">
        <v>2483.2225365512904</v>
      </c>
      <c r="EZ417" s="6">
        <v>867</v>
      </c>
      <c r="FA417" s="6">
        <v>0</v>
      </c>
      <c r="FB417" s="6">
        <v>0</v>
      </c>
      <c r="FC417" s="6">
        <v>0</v>
      </c>
      <c r="FD417" s="6">
        <v>0</v>
      </c>
      <c r="FE417" s="6">
        <v>0</v>
      </c>
      <c r="FF417" s="6">
        <v>0</v>
      </c>
      <c r="FG417" s="6">
        <v>0</v>
      </c>
      <c r="FH417" s="6">
        <v>1169.7946937009988</v>
      </c>
      <c r="FI417" s="6">
        <v>1553.9796069512395</v>
      </c>
      <c r="FJ417" s="6">
        <v>2101.2110117447405</v>
      </c>
      <c r="FK417" s="6">
        <v>1772.7139978623238</v>
      </c>
      <c r="FL417" s="6">
        <v>907.0768214096629</v>
      </c>
      <c r="FM417" s="6">
        <v>1713.2225365512902</v>
      </c>
      <c r="FN417" s="6">
        <v>0</v>
      </c>
      <c r="FO417" s="6">
        <v>0</v>
      </c>
      <c r="FP417" s="6">
        <v>0</v>
      </c>
      <c r="FQ417" s="6">
        <v>0</v>
      </c>
      <c r="FR417" s="6">
        <v>0</v>
      </c>
      <c r="FS417" s="6">
        <v>0</v>
      </c>
      <c r="FT417" s="7">
        <v>0.89523876989528539</v>
      </c>
      <c r="FU417" s="7">
        <v>4.281257617744065E-2</v>
      </c>
      <c r="FV417" s="7">
        <v>6.1948653927274028E-2</v>
      </c>
      <c r="FW417" s="6">
        <v>1770</v>
      </c>
      <c r="FX417" s="6">
        <v>2483.2225365512904</v>
      </c>
      <c r="FY417" s="6">
        <v>867</v>
      </c>
      <c r="FZ417" s="6">
        <v>1949.5716051445115</v>
      </c>
      <c r="GA417" s="6">
        <v>1744.5952596812413</v>
      </c>
      <c r="GB417" s="6">
        <v>18240.404740318758</v>
      </c>
      <c r="GC417" s="7">
        <v>3.3872851927908169E-2</v>
      </c>
      <c r="GD417" s="7">
        <v>3.3673997093576456E-2</v>
      </c>
      <c r="GE417" s="7"/>
      <c r="GF417" s="7"/>
      <c r="GG417" s="7">
        <v>-5.870625678491356E-3</v>
      </c>
      <c r="GH417" s="42">
        <v>0.57238045648380986</v>
      </c>
      <c r="GI417" s="6">
        <v>36660.182914035897</v>
      </c>
      <c r="GJ417" s="14">
        <v>0.50394797582841711</v>
      </c>
      <c r="GK417" s="14">
        <v>0.50887573065309744</v>
      </c>
      <c r="GL417" s="14">
        <v>0.49605202417158278</v>
      </c>
      <c r="GM417" s="14">
        <v>0.49112426934690218</v>
      </c>
      <c r="GO417" s="5">
        <v>343.14810671672558</v>
      </c>
      <c r="GP417" s="5">
        <v>309.37988338875158</v>
      </c>
      <c r="GQ417" s="5">
        <v>535.04305713031317</v>
      </c>
      <c r="GR417" s="5">
        <v>410.15490233172511</v>
      </c>
      <c r="GS417" s="5">
        <v>339.42744393800166</v>
      </c>
      <c r="GT417" s="5">
        <v>293.4407446948278</v>
      </c>
      <c r="GU417" s="5">
        <v>258.04012322764959</v>
      </c>
      <c r="GV417" s="39" t="s">
        <v>392</v>
      </c>
      <c r="GW417" s="5">
        <v>478.23611111111109</v>
      </c>
      <c r="GX417" s="5">
        <v>358.67708333333331</v>
      </c>
      <c r="GY417" s="5">
        <v>286.94166666666666</v>
      </c>
      <c r="GZ417" s="5">
        <v>253.19574071601335</v>
      </c>
      <c r="HA417" s="5">
        <v>234.53733318419432</v>
      </c>
      <c r="HB417" s="39">
        <v>264.3463484673116</v>
      </c>
      <c r="HC417" s="5">
        <v>249.35312499999998</v>
      </c>
      <c r="HD417" s="5">
        <v>213.91580774853799</v>
      </c>
      <c r="HE417" s="5">
        <v>216.92584767206475</v>
      </c>
      <c r="HF417" s="5">
        <v>200.85938048245612</v>
      </c>
      <c r="HG417" s="5">
        <v>194.01388157894735</v>
      </c>
      <c r="HH417" s="39">
        <v>214.08126463918637</v>
      </c>
      <c r="HI417" s="16"/>
      <c r="HJ417" s="19" t="str">
        <f t="shared" si="1163"/>
        <v>On</v>
      </c>
      <c r="HK417" s="1" t="str">
        <f t="shared" si="1163"/>
        <v>On</v>
      </c>
      <c r="HL417" s="16"/>
      <c r="HM417" s="639">
        <f t="shared" si="1110"/>
        <v>2.9403358434788716E-2</v>
      </c>
      <c r="HN417" s="639">
        <f t="shared" si="1111"/>
        <v>1.4106809950923669E-3</v>
      </c>
      <c r="HO417" s="639">
        <f t="shared" si="1112"/>
        <v>1.7317923025048877E-3</v>
      </c>
      <c r="HP417" s="644">
        <f>(FT417*$GD417-HM417)/$JF417*INDEX(Input!$1:$1048576,$JG$93,$C417*2+6)</f>
        <v>53.163052510346553</v>
      </c>
      <c r="HQ417" s="644">
        <f>(FU417*$GD417-HN417)/$JF417*INDEX(Input!$1:$1048576,$JG$93,$C417*2+6)</f>
        <v>2.2176329889560198</v>
      </c>
      <c r="HR417" s="644">
        <f>(FV417*$GD417-HO417)/$JF417*INDEX(Input!$1:$1048576,$JG$93,$C417*2+6)</f>
        <v>25.351530773973835</v>
      </c>
      <c r="HS417" s="644">
        <f t="shared" si="1113"/>
        <v>-36.767005697445008</v>
      </c>
      <c r="HT417" s="644">
        <f t="shared" si="1114"/>
        <v>44.825512082410626</v>
      </c>
      <c r="HU417" s="644">
        <f t="shared" si="1115"/>
        <v>11.282607672270018</v>
      </c>
      <c r="HV417" s="648">
        <f t="shared" si="1116"/>
        <v>0</v>
      </c>
      <c r="HW417" s="648">
        <f t="shared" si="1117"/>
        <v>0</v>
      </c>
      <c r="HX417" s="648">
        <f t="shared" si="1118"/>
        <v>0</v>
      </c>
      <c r="HY417" s="644">
        <f>INDEX(Input!$1:$1048576,HY$93,$C417*2+6)*INDEX(Input!$1:$1048576,$JG$93,$C417*2+6)</f>
        <v>993</v>
      </c>
      <c r="HZ417" s="644">
        <f>INDEX(Input!$1:$1048576,HZ$93,$C417*2+6)*INDEX(Input!$1:$1048576,$JG$93,$C417*2+6)</f>
        <v>1216</v>
      </c>
      <c r="IA417" s="644">
        <f>INDEX(Input!$1:$1048576,IA$93,$C417*2+6)*INDEX(Input!$1:$1048576,$JG$93,$C417*2+6)</f>
        <v>120</v>
      </c>
      <c r="IB417" s="644">
        <f t="shared" si="1142"/>
        <v>1009.396046812902</v>
      </c>
      <c r="IC417" s="644">
        <f t="shared" si="1143"/>
        <v>1263.0431450713666</v>
      </c>
      <c r="ID417" s="644">
        <f>IF(AND(INDEX(Input!$1:$1048576,IA$93,$C417*2+7)="TOS",Y417&lt;=INDEX(Y:Y,MATCH(C417*1000+2,A:A))),0,1)*MAX(IA417+HR417+HU417+HX417,0%)</f>
        <v>156.63413844624384</v>
      </c>
      <c r="IE417" s="128">
        <f t="shared" si="1195"/>
        <v>0.41554778697255645</v>
      </c>
      <c r="IF417" s="128">
        <f t="shared" si="1165"/>
        <v>0.51996912950318808</v>
      </c>
      <c r="IG417" s="128">
        <f t="shared" si="1120"/>
        <v>6.4483083524255469E-2</v>
      </c>
      <c r="IH417" s="21"/>
      <c r="II417" s="19">
        <f t="shared" si="1121"/>
        <v>1490</v>
      </c>
      <c r="IJ417" s="19">
        <f t="shared" si="1122"/>
        <v>2203.2561351629856</v>
      </c>
      <c r="IK417" s="19">
        <f t="shared" si="1123"/>
        <v>242</v>
      </c>
      <c r="IL417" s="19">
        <f t="shared" si="1145"/>
        <v>280</v>
      </c>
      <c r="IM417" s="19">
        <f t="shared" si="1124"/>
        <v>279.9664013883048</v>
      </c>
      <c r="IN417" s="19">
        <f t="shared" si="1125"/>
        <v>625</v>
      </c>
      <c r="IO417" s="39">
        <f t="shared" si="1126"/>
        <v>0</v>
      </c>
      <c r="IP417" s="39">
        <f t="shared" si="1127"/>
        <v>0</v>
      </c>
      <c r="IQ417" s="39">
        <f t="shared" si="1128"/>
        <v>0</v>
      </c>
      <c r="IR417" s="39">
        <v>0</v>
      </c>
      <c r="IS417" s="39">
        <v>0</v>
      </c>
      <c r="IT417" s="39">
        <v>0</v>
      </c>
      <c r="IU417" s="39">
        <v>0</v>
      </c>
      <c r="IV417" s="39">
        <v>0</v>
      </c>
      <c r="IW417" s="39">
        <v>0</v>
      </c>
      <c r="IX417" s="39">
        <f>INDEX(Input!$1:$1048576,IX$93,$C417*2+6)+INDEX(Input!$1:$1048576,IX$94,$C417*2+6)</f>
        <v>1770</v>
      </c>
      <c r="IY417" s="39">
        <f>INDEX(Input!$1:$1048576,IY$93,$C417*2+6)+INDEX(Input!$1:$1048576,IY$94,$C417*2+6)</f>
        <v>2630.0624533823611</v>
      </c>
      <c r="IZ417" s="39">
        <f>INDEX(Input!$1:$1048576,IZ$93,$C417*2+6)+INDEX(Input!$1:$1048576,IZ$94,$C417*2+6)</f>
        <v>4153.7164157747848</v>
      </c>
      <c r="JA417" s="19">
        <f t="shared" si="1146"/>
        <v>2050</v>
      </c>
      <c r="JB417" s="19">
        <f t="shared" si="1147"/>
        <v>2910.0288547706659</v>
      </c>
      <c r="JC417" s="19">
        <f t="shared" si="1148"/>
        <v>4778.7164157747848</v>
      </c>
      <c r="JD417" s="19">
        <f t="shared" si="1149"/>
        <v>2673.1445035151391</v>
      </c>
      <c r="JE417" s="21"/>
      <c r="JF417" s="1">
        <f t="shared" si="1129"/>
        <v>3.2545831732385969E-2</v>
      </c>
      <c r="JG417" s="15">
        <f>INDEX(Input!$1:$1048576,JG$93,$C417*2+6)/(1+VLOOKUP(C417*1000+INDEX(Input!$1:$1048576,JG$93+1,$C417*2+6),$A:$KK,$JK$92,FALSE))</f>
        <v>2329</v>
      </c>
      <c r="JH417" s="1">
        <f t="shared" si="1150"/>
        <v>3.4663897068817694E-2</v>
      </c>
      <c r="JI417" s="1">
        <f t="shared" si="1151"/>
        <v>8.3044714715481485E-3</v>
      </c>
      <c r="JJ417" s="1">
        <f t="shared" si="1189"/>
        <v>0</v>
      </c>
      <c r="JK417" s="1">
        <f t="shared" si="1193"/>
        <v>4.2968368540365842E-2</v>
      </c>
      <c r="JL417" s="15">
        <f t="shared" si="1154"/>
        <v>100.07333033051205</v>
      </c>
      <c r="JM417" s="15">
        <f t="shared" si="1180"/>
        <v>2429.0733303305119</v>
      </c>
      <c r="JN417" s="21"/>
      <c r="JO417" s="19">
        <f>INDEX(Input!$1:$1048576,JO$93,$C417*2+6)</f>
        <v>5995.5</v>
      </c>
      <c r="JP417" s="19">
        <f>INDEX(Input!$1:$1048576,JP$93,$C417*2+6)</f>
        <v>2341.8685758720158</v>
      </c>
      <c r="JQ417" s="39">
        <f t="shared" si="1166"/>
        <v>3322.3554964848609</v>
      </c>
      <c r="JR417" s="39">
        <f t="shared" si="1183"/>
        <v>331.2759276431234</v>
      </c>
      <c r="JS417" s="39">
        <f t="shared" si="1168"/>
        <v>6.4932640216082227</v>
      </c>
      <c r="JT417" s="39">
        <f t="shared" si="1156"/>
        <v>1.0390521084022979</v>
      </c>
      <c r="JU417" s="385">
        <f>(JQ417*JM417-INDEX(Input!$1:$1048576,Input!A$18,$C417*2+6)*JL417*INDEX(Input!$1:$1048576,Input!A$19,$C417*2+6))/1000000</f>
        <v>8.0702451303883631</v>
      </c>
      <c r="JV417" s="39">
        <f t="shared" si="1190"/>
        <v>-0.43906245640571129</v>
      </c>
      <c r="JW417" s="1">
        <f t="shared" si="1181"/>
        <v>-5.1597906401586589E-2</v>
      </c>
      <c r="JX417" s="19">
        <f t="shared" si="1172"/>
        <v>10382.907263809668</v>
      </c>
      <c r="JZ417" s="341"/>
      <c r="KA417" s="342"/>
      <c r="KB417" s="469">
        <f t="shared" si="1169"/>
        <v>2.3434325605641804</v>
      </c>
      <c r="KI417" s="473">
        <f t="shared" si="1196"/>
        <v>16.396046812901773</v>
      </c>
      <c r="KJ417" s="473">
        <f t="shared" si="1197"/>
        <v>47.043145071366325</v>
      </c>
      <c r="KK417" s="473">
        <f t="shared" si="1158"/>
        <v>36.634138446243782</v>
      </c>
      <c r="KN417" s="544">
        <f t="shared" si="1173"/>
        <v>4002</v>
      </c>
      <c r="KO417" s="541">
        <f t="shared" si="1133"/>
        <v>4.3254356197968136E-3</v>
      </c>
      <c r="KP417" s="546">
        <f t="shared" si="1134"/>
        <v>23.172011418975043</v>
      </c>
      <c r="KQ417" s="546">
        <f t="shared" si="1135"/>
        <v>48.373315479117991</v>
      </c>
      <c r="KR417" s="548">
        <f t="shared" si="1136"/>
        <v>3.2405711663684893</v>
      </c>
      <c r="KS417" s="548">
        <f t="shared" si="1137"/>
        <v>1.5523135292123471</v>
      </c>
      <c r="KT417" s="473">
        <f t="shared" si="1171"/>
        <v>1580.0986321700548</v>
      </c>
      <c r="KU417" s="663">
        <f t="shared" si="1159"/>
        <v>4.0169285269723218</v>
      </c>
      <c r="KV417" s="117" t="e">
        <f t="shared" si="1191"/>
        <v>#N/A</v>
      </c>
    </row>
    <row r="418" spans="1:308" s="26" customFormat="1" ht="15">
      <c r="A418" s="561">
        <f t="shared" si="1138"/>
        <v>4018</v>
      </c>
      <c r="B418" s="561">
        <f t="shared" si="1160"/>
        <v>18</v>
      </c>
      <c r="C418" s="561">
        <f t="shared" si="1161"/>
        <v>4</v>
      </c>
      <c r="D418" s="561" t="str">
        <f t="shared" si="1182"/>
        <v xml:space="preserve">720 Lease, </v>
      </c>
      <c r="E418" s="115">
        <f>INDEX(Input!$1:$1048576,E$93,$C418*2+MIN($B418,2)+5)</f>
        <v>1256.832975525977</v>
      </c>
      <c r="F418" s="115">
        <f>INDEX(Input!$1:$1048576,F$93,$C418*2+MIN($B418,2)+5)</f>
        <v>0</v>
      </c>
      <c r="G418" s="115">
        <f>INDEX(Input!$1:$1048576,G$93,$C418*2+MIN($B418,2)+5)</f>
        <v>0</v>
      </c>
      <c r="H418" s="115">
        <f>INDEX(Input!$1:$1048576,H$93,$C418*2+MIN($B418,2)+5)</f>
        <v>0</v>
      </c>
      <c r="I418" s="118">
        <f>INDEX(Input!$1:$1048576,I$93,$C418*2+MIN($B418,2)+5)</f>
        <v>0.7</v>
      </c>
      <c r="J418" s="118" t="str">
        <f>INDEX(Input!$1:$1048576,J$93,$C418*2+MIN($B418,2)+5)</f>
        <v>Market</v>
      </c>
      <c r="K418" s="118" t="str">
        <f>INDEX(Input!$1:$1048576,K$93,$C418*2+MIN($B418,2)+5)</f>
        <v>Market</v>
      </c>
      <c r="L418" s="118" t="str">
        <f>INDEX(Input!$1:$1048576,L$93,$C418*2+MIN($B418,2)+5)</f>
        <v>Market</v>
      </c>
      <c r="M418" s="118" t="str">
        <f>INDEX(Input!$1:$1048576,M$93,$C418*2+MIN($B418,2)+5)</f>
        <v>Market</v>
      </c>
      <c r="N418" s="118" t="str">
        <f>INDEX(Input!$1:$1048576,N$93,$C418*2+MIN($B418,2)+5)</f>
        <v>Market</v>
      </c>
      <c r="O418" s="118" t="str">
        <f>INDEX(Input!$1:$1048576,O$93,$C418*2+MIN($B418,2)+5)</f>
        <v>Market</v>
      </c>
      <c r="P418" s="118" t="str">
        <f>INDEX(Input!$1:$1048576,P$93,$C418*2+MIN($B418,2)+5)</f>
        <v>N</v>
      </c>
      <c r="Q418" s="30">
        <f>INDEX(Input!$1:$1048576,Q$93,$C418*2+MIN($B418,2)+5)</f>
        <v>0</v>
      </c>
      <c r="R418" s="383">
        <f>INDEX(Input!$1:$1048576,R$93,$C418*2+MIN($B418,2)+5)</f>
        <v>0</v>
      </c>
      <c r="S418" s="383">
        <f>INDEX(Input!$1:$1048576,S$93,$C418*2+MIN($B418,2)+5)</f>
        <v>0</v>
      </c>
      <c r="T418" s="383">
        <f>INDEX(Input!$1:$1048576,T$93,$C418*2+MIN($B418,2)+5)</f>
        <v>0</v>
      </c>
      <c r="U418" s="383">
        <f>INDEX(Input!$1:$1048576,U$93,$C418*2+MIN($B418,2)+5)</f>
        <v>0</v>
      </c>
      <c r="V418" s="383">
        <f>INDEX(Input!$1:$1048576,V$93,$C418*2+MIN($B418,2)+5)</f>
        <v>1.9E-2</v>
      </c>
      <c r="W418" s="884">
        <f>INDEX(Input!$1:$1048576,W$93,$C418*2+MIN($B418,2)+5)</f>
        <v>3.9E-2</v>
      </c>
      <c r="X418" s="118" t="str">
        <f>INDEX(Input!$1:$1048576,X$93,$C418*2+MIN($B418,2)+5)</f>
        <v>Y</v>
      </c>
      <c r="Y418" s="475">
        <f>INDEX(Input!$1:$1048576,Y$93,$C418*2+MIN($B418,2)+5)+720</f>
        <v>-150</v>
      </c>
      <c r="Z418" s="30">
        <f>INDEX(Input!$1:$1048576,Z$93,$C418*2+MIN($B418,2)+5)</f>
        <v>0</v>
      </c>
      <c r="AA418" s="115">
        <f>INDEX(Input!$1:$1048576,AA$93,$C418*2+MIN($B418,2)+5)</f>
        <v>0</v>
      </c>
      <c r="AB418" s="118">
        <f>INDEX(Input!$1:$1048576,AB$93,$C418*2+MIN($B418,2)+5)</f>
        <v>0.27</v>
      </c>
      <c r="AC418" s="115">
        <f>INDEX(Input!$1:$1048576,AC$93,$C418*2+MIN($B418,2)+5)</f>
        <v>0</v>
      </c>
      <c r="AD418" s="118">
        <f>INDEX(Input!$1:$1048576,AD$93,$C418*2+MIN($B418,2)+5)</f>
        <v>0.27</v>
      </c>
      <c r="AE418" s="115">
        <f>INDEX(Input!$1:$1048576,AE$93,$C418*2+MIN($B418,2)+5)</f>
        <v>0</v>
      </c>
      <c r="AF418" s="118">
        <f>INDEX(Input!$1:$1048576,AF$93,$C418*2+MIN($B418,2)+5)</f>
        <v>1</v>
      </c>
      <c r="AG418" s="115">
        <f>INDEX(Input!$1:$1048576,AG$93,$C418*2+MIN($B418,2)+5)</f>
        <v>500</v>
      </c>
      <c r="AH418" s="118">
        <f>INDEX(Input!$1:$1048576,AH$93,$C418*2+MIN($B418,2)+5)</f>
        <v>0.83199999999999996</v>
      </c>
      <c r="AI418" s="115">
        <f>INDEX(Input!$1:$1048576,AI$93,$C418*2+MIN($B418,2)+5)</f>
        <v>0</v>
      </c>
      <c r="AJ418" s="118">
        <f>INDEX(Input!$1:$1048576,AJ$93,$C418*2+MIN($B418,2)+5)</f>
        <v>0.27</v>
      </c>
      <c r="AK418" s="150">
        <f>ROUND(INDEX(Input!$1:$1048576,AK$93,$C417*2+MIN($B418,1)+5)+(Y418-VLOOKUP($C418*1000+1,$A:$HH,Y$92,FALSE)),0)</f>
        <v>3307</v>
      </c>
      <c r="AL418" s="150">
        <f>ROUND(INDEX(Input!$1:$1048576,AL$93,$C417*2+MIN($B418,1)+5)-(Y418-VLOOKUP($C418*1000+1,$A:$HH,Y$92,FALSE))/36,0)</f>
        <v>3386</v>
      </c>
      <c r="AM418" s="32" t="str">
        <f t="shared" si="1139"/>
        <v>std/std/std/std</v>
      </c>
      <c r="AN418" s="32" t="str">
        <f t="shared" si="1140"/>
        <v>$0 + 0/0/0/1.9/3.9</v>
      </c>
      <c r="AO418" s="32" t="str">
        <f t="shared" si="1141"/>
        <v>0/0/0/1.9/3.9</v>
      </c>
      <c r="AP418" s="32" t="str">
        <f t="shared" si="993"/>
        <v>0/0.9/1.9/3.9</v>
      </c>
      <c r="AQ418" s="536">
        <f t="shared" si="992"/>
        <v>0.40483543777614511</v>
      </c>
      <c r="AR418" s="32"/>
      <c r="AS418" s="302"/>
      <c r="AT418" s="3">
        <f t="shared" si="1162"/>
        <v>18</v>
      </c>
      <c r="AU418" s="41" t="s">
        <v>121</v>
      </c>
      <c r="AV418" s="41" t="s">
        <v>116</v>
      </c>
      <c r="AW418" s="41" t="str">
        <f>INDEX(Input!$1:$1048576,AW$93,$C418*2+6)</f>
        <v>Kia</v>
      </c>
      <c r="AX418" s="41" t="str">
        <f>INDEX(Input!$1:$1048576,AX$93,$C418*2+6)</f>
        <v>Kia-LR - R1</v>
      </c>
      <c r="AY418" s="41" t="str">
        <f>IF(LEN(D418)=0,"",INDEX(Input!$1:$1048576,AY$93,$C418*2+6))</f>
        <v>Compact SUV (52)</v>
      </c>
      <c r="AZ418" s="41" t="str">
        <f>INDEX(Input!$1:$1048576,AZ$93,$C418*2+6)</f>
        <v>Kia Soul</v>
      </c>
      <c r="BA418" s="3">
        <f>INDEX(Input!$1:$1048576,BA$93,$C418*2+6)</f>
        <v>2020</v>
      </c>
      <c r="BB418" s="128">
        <f>INDEX(Input!$1:$1048576,BB$93,$C418*2+6)</f>
        <v>1</v>
      </c>
      <c r="BC418" s="128">
        <f>INDEX(Input!$1:$1048576,BC$93,$C418*2+6)</f>
        <v>0.7</v>
      </c>
      <c r="BD418" s="1">
        <f>INDEX(Input!$1:$1048576,BD$93,$C418*2+6)</f>
        <v>4.4999999999999998E-2</v>
      </c>
      <c r="BE418" s="1">
        <f>INDEX(Input!$1:$1048576,BE$93,$C418*2+6)</f>
        <v>4.4999999999999998E-2</v>
      </c>
      <c r="BF418" s="1">
        <f>INDEX(Input!$1:$1048576,BF$93,$C418*2+6)</f>
        <v>0.05</v>
      </c>
      <c r="BG418" s="1">
        <f>INDEX(Input!$1:$1048576,BG$93,$C418*2+6)</f>
        <v>5.45E-2</v>
      </c>
      <c r="BH418" s="1">
        <f>INDEX(Input!$1:$1048576,BH$93,$C418*2+6)</f>
        <v>5.45E-2</v>
      </c>
      <c r="BI418" s="1">
        <f>INDEX(Input!$1:$1048576,BI$93,$C418*2+6)</f>
        <v>0.05</v>
      </c>
      <c r="BJ418" s="1">
        <f>INDEX(Input!$1:$1048576,BJ$93,$C418*2+6)</f>
        <v>0.05</v>
      </c>
      <c r="BK418" s="1">
        <f>INDEX(Input!$1:$1048576,BK$93,$C418*2+6)</f>
        <v>0.05</v>
      </c>
      <c r="BL418" s="1">
        <f>INDEX(Input!$1:$1048576,BL$93,$C418*2+6)</f>
        <v>5.5E-2</v>
      </c>
      <c r="BM418" s="1">
        <f>INDEX(Input!$1:$1048576,BM$93,$C418*2+6)</f>
        <v>0.06</v>
      </c>
      <c r="BN418" s="1">
        <f>INDEX(Input!$1:$1048576,BN$93,$C418*2+6)</f>
        <v>4.4999999999999998E-2</v>
      </c>
      <c r="BO418" s="1">
        <f>INDEX(Input!$1:$1048576,BO$93,$C418*2+6)</f>
        <v>4.4999999999999998E-2</v>
      </c>
      <c r="BP418" s="1">
        <f>INDEX(Input!$1:$1048576,BP$93,$C418*2+6)</f>
        <v>0.05</v>
      </c>
      <c r="BQ418" s="1">
        <f>INDEX(Input!$1:$1048576,BQ$93,$C418*2+6)</f>
        <v>5.45E-2</v>
      </c>
      <c r="BR418" s="1">
        <f>INDEX(Input!$1:$1048576,BR$93,$C418*2+6)</f>
        <v>5.45E-2</v>
      </c>
      <c r="BS418" s="1">
        <f>INDEX(Input!$1:$1048576,BS$93,$C418*2+6)</f>
        <v>0.05</v>
      </c>
      <c r="BT418" s="1">
        <f>INDEX(Input!$1:$1048576,BT$93,$C418*2+6)</f>
        <v>0.05</v>
      </c>
      <c r="BU418" s="1">
        <f>INDEX(Input!$1:$1048576,BU$93,$C418*2+6)</f>
        <v>0.05</v>
      </c>
      <c r="BV418" s="1">
        <f>INDEX(Input!$1:$1048576,BV$93,$C418*2+6)</f>
        <v>5.5E-2</v>
      </c>
      <c r="BW418" s="1">
        <f>INDEX(Input!$1:$1048576,BW$93,$C418*2+6)</f>
        <v>0.06</v>
      </c>
      <c r="BX418" s="127">
        <f>INDEX(Input!$1:$1048576,BX$93,$C418*2+6)</f>
        <v>19985</v>
      </c>
      <c r="BY418" s="20">
        <f>INDEX(Input!$1:$1048576,BY$93,$C418*2+6)</f>
        <v>0.1</v>
      </c>
      <c r="BZ418" s="20">
        <f>INDEX(Input!$1:$1048576,BZ$93,$C418*2+6)</f>
        <v>0.1</v>
      </c>
      <c r="CA418" s="20">
        <f>INDEX(Input!$1:$1048576,CA$93,$C418*2+6)</f>
        <v>0.1</v>
      </c>
      <c r="CB418" s="20">
        <f>INDEX(Input!$1:$1048576,CB$93,$C418*2+6)</f>
        <v>0.1</v>
      </c>
      <c r="CC418" s="20">
        <f>INDEX(Input!$1:$1048576,CC$93,$C418*2+6)</f>
        <v>0.1</v>
      </c>
      <c r="CD418" s="384">
        <f>INDEX(Input!$1:$1048576,CD$93,$C418*2+6)</f>
        <v>0.1</v>
      </c>
      <c r="CE418" s="384">
        <f>INDEX(Input!$1:$1048576,CE$93,$C418*2+6)</f>
        <v>0.1</v>
      </c>
      <c r="CF418" s="384">
        <f>INDEX(Input!$1:$1048576,CF$93,$C418*2+6)</f>
        <v>0.1</v>
      </c>
      <c r="CG418" s="384">
        <f>INDEX(Input!$1:$1048576,CG$93,$C418*2+6)</f>
        <v>0.1</v>
      </c>
      <c r="CH418" s="384">
        <f>INDEX(Input!$1:$1048576,CH$93,$C418*2+6)</f>
        <v>0.1</v>
      </c>
      <c r="CI418" s="304">
        <f t="shared" si="994"/>
        <v>1256.832975525977</v>
      </c>
      <c r="CJ418" s="16" t="str">
        <f>INDEX(Input!$1:$1048576,CJ$93,$C418*2+6)</f>
        <v>N</v>
      </c>
      <c r="CK418" s="1" t="str">
        <f t="shared" si="995"/>
        <v>Market</v>
      </c>
      <c r="CL418" s="1" t="str">
        <f t="shared" si="996"/>
        <v>Market</v>
      </c>
      <c r="CM418" s="1" t="str">
        <f t="shared" si="997"/>
        <v>Market</v>
      </c>
      <c r="CN418" s="1" t="str">
        <f t="shared" si="998"/>
        <v>Market</v>
      </c>
      <c r="CO418" s="1" t="str">
        <f t="shared" si="999"/>
        <v>Market</v>
      </c>
      <c r="CP418" s="304">
        <f t="shared" si="1000"/>
        <v>416</v>
      </c>
      <c r="CQ418" s="1">
        <f t="shared" si="1001"/>
        <v>0</v>
      </c>
      <c r="CR418" s="1">
        <f t="shared" si="1002"/>
        <v>0</v>
      </c>
      <c r="CS418" s="1">
        <f t="shared" si="1003"/>
        <v>0</v>
      </c>
      <c r="CT418" s="1">
        <f t="shared" si="1004"/>
        <v>1.9E-2</v>
      </c>
      <c r="CU418" s="1">
        <f t="shared" si="1005"/>
        <v>3.9E-2</v>
      </c>
      <c r="CV418" s="304">
        <f t="shared" si="1006"/>
        <v>-150</v>
      </c>
      <c r="CW418" s="20" t="s">
        <v>122</v>
      </c>
      <c r="CX418" s="20" t="s">
        <v>122</v>
      </c>
      <c r="CY418" s="20" t="s">
        <v>122</v>
      </c>
      <c r="CZ418" s="20" t="s">
        <v>122</v>
      </c>
      <c r="DA418" s="20" t="s">
        <v>122</v>
      </c>
      <c r="DB418" s="503">
        <f t="shared" si="1007"/>
        <v>0</v>
      </c>
      <c r="DC418" s="127">
        <v>0</v>
      </c>
      <c r="DD418" s="127">
        <v>0</v>
      </c>
      <c r="DE418" s="127">
        <v>0</v>
      </c>
      <c r="DF418" s="127">
        <v>0</v>
      </c>
      <c r="DG418" s="127">
        <v>0</v>
      </c>
      <c r="DH418" s="127">
        <v>0</v>
      </c>
      <c r="DI418" s="127">
        <v>0</v>
      </c>
      <c r="DJ418" s="127">
        <v>0</v>
      </c>
      <c r="DK418" s="127">
        <v>0</v>
      </c>
      <c r="DL418" s="127">
        <v>0</v>
      </c>
      <c r="DM418" s="304">
        <f>INDEX(Input!$1:$1048576,DM$93,$C418*2+6)</f>
        <v>21036.84210526316</v>
      </c>
      <c r="DN418" s="20">
        <v>0</v>
      </c>
      <c r="DO418" s="20">
        <v>0</v>
      </c>
      <c r="DP418" s="20">
        <v>0</v>
      </c>
      <c r="DQ418" s="20">
        <v>0</v>
      </c>
      <c r="DR418" s="20">
        <v>0</v>
      </c>
      <c r="DS418" s="20">
        <f>INDEX(Input!$1:$1048576,DS$93,$C418*2+6)</f>
        <v>0.6</v>
      </c>
      <c r="DT418" s="20">
        <f>INDEX(Input!$1:$1048576,DT$93,$C418*2+6)</f>
        <v>0.55000000000000004</v>
      </c>
      <c r="DU418" s="20">
        <f>INDEX(Input!$1:$1048576,DU$93,$C418*2+6)</f>
        <v>0.52</v>
      </c>
      <c r="DV418" s="20">
        <f>INDEX(Input!$1:$1048576,DV$93,$C418*2+6)</f>
        <v>0.5</v>
      </c>
      <c r="DW418" s="20">
        <f>INDEX(Input!$1:$1048576,DW$93,$C418*2+6)</f>
        <v>0.45</v>
      </c>
      <c r="DX418" s="20"/>
      <c r="DY418" s="7">
        <v>0.10046619641571829</v>
      </c>
      <c r="DZ418" s="7">
        <v>0</v>
      </c>
      <c r="EA418" s="7">
        <v>0.78347571859369791</v>
      </c>
      <c r="EB418" s="7">
        <v>0</v>
      </c>
      <c r="EC418" s="7">
        <v>0</v>
      </c>
      <c r="ED418" s="7">
        <v>0</v>
      </c>
      <c r="EE418" s="7">
        <v>0</v>
      </c>
      <c r="EF418" s="7">
        <v>0</v>
      </c>
      <c r="EG418" s="7">
        <v>0</v>
      </c>
      <c r="EH418" s="7">
        <v>1.224044533832705E-2</v>
      </c>
      <c r="EI418" s="7">
        <v>3.1949972341411698E-2</v>
      </c>
      <c r="EJ418" s="7">
        <v>0.22446521182631241</v>
      </c>
      <c r="EK418" s="7">
        <v>0.59392473290203207</v>
      </c>
      <c r="EL418" s="7">
        <v>0.13741963759191664</v>
      </c>
      <c r="EM418" s="7">
        <v>4.2239831149185433E-2</v>
      </c>
      <c r="EN418" s="7">
        <v>5.2843861307359567E-2</v>
      </c>
      <c r="EO418" s="7">
        <v>0.7357584511521823</v>
      </c>
      <c r="EP418" s="7">
        <v>9.0987695666570445E-2</v>
      </c>
      <c r="EQ418" s="7">
        <v>7.9919821109054809E-2</v>
      </c>
      <c r="ER418" s="7">
        <v>4.0490170764833792E-2</v>
      </c>
      <c r="ES418" s="7">
        <v>7.3818253841398479E-2</v>
      </c>
      <c r="ET418" s="7">
        <v>0.11605808499058376</v>
      </c>
      <c r="EU418" s="6">
        <v>1770</v>
      </c>
      <c r="EV418" s="6">
        <v>0</v>
      </c>
      <c r="EW418" s="6">
        <v>1770</v>
      </c>
      <c r="EX418" s="6">
        <v>0</v>
      </c>
      <c r="EY418" s="6">
        <v>2483.1259836776198</v>
      </c>
      <c r="EZ418" s="6">
        <v>1227</v>
      </c>
      <c r="FA418" s="6">
        <v>0</v>
      </c>
      <c r="FB418" s="6">
        <v>0</v>
      </c>
      <c r="FC418" s="6">
        <v>0</v>
      </c>
      <c r="FD418" s="6">
        <v>0</v>
      </c>
      <c r="FE418" s="6">
        <v>0</v>
      </c>
      <c r="FF418" s="6">
        <v>0</v>
      </c>
      <c r="FG418" s="6">
        <v>0</v>
      </c>
      <c r="FH418" s="6">
        <v>1169.7897600420306</v>
      </c>
      <c r="FI418" s="6">
        <v>1553.979606951239</v>
      </c>
      <c r="FJ418" s="6">
        <v>2101.2110117447423</v>
      </c>
      <c r="FK418" s="6">
        <v>1772.7139978623229</v>
      </c>
      <c r="FL418" s="6">
        <v>907.07682140966324</v>
      </c>
      <c r="FM418" s="6">
        <v>1713.1259836776201</v>
      </c>
      <c r="FN418" s="6">
        <v>0</v>
      </c>
      <c r="FO418" s="6">
        <v>0</v>
      </c>
      <c r="FP418" s="6">
        <v>0</v>
      </c>
      <c r="FQ418" s="6">
        <v>0</v>
      </c>
      <c r="FR418" s="6">
        <v>0</v>
      </c>
      <c r="FS418" s="6">
        <v>0</v>
      </c>
      <c r="FT418" s="7">
        <v>0.88394191500941621</v>
      </c>
      <c r="FU418" s="7">
        <v>4.2239831149185433E-2</v>
      </c>
      <c r="FV418" s="7">
        <v>7.3818253841398479E-2</v>
      </c>
      <c r="FW418" s="6">
        <v>1770</v>
      </c>
      <c r="FX418" s="6">
        <v>2483.1259836776198</v>
      </c>
      <c r="FY418" s="6">
        <v>1227</v>
      </c>
      <c r="FZ418" s="6">
        <v>1949.5716051445115</v>
      </c>
      <c r="GA418" s="6">
        <v>1760.0390093027602</v>
      </c>
      <c r="GB418" s="6">
        <v>18224.96099069724</v>
      </c>
      <c r="GC418" s="7">
        <v>3.3872851927908169E-2</v>
      </c>
      <c r="GD418" s="7">
        <v>3.376835444851118E-2</v>
      </c>
      <c r="GE418" s="7"/>
      <c r="GF418" s="7"/>
      <c r="GG418" s="7">
        <v>-3.0849920644235129E-3</v>
      </c>
      <c r="GH418" s="42">
        <v>0.32529268189299237</v>
      </c>
      <c r="GI418" s="6">
        <v>63197.019035106779</v>
      </c>
      <c r="GJ418" s="14">
        <v>0.50394797582841711</v>
      </c>
      <c r="GK418" s="14">
        <v>0.50887573065309744</v>
      </c>
      <c r="GL418" s="14">
        <v>0.49605202417158262</v>
      </c>
      <c r="GM418" s="14">
        <v>0.49112426934690229</v>
      </c>
      <c r="GO418" s="5">
        <v>343.14810671672558</v>
      </c>
      <c r="GP418" s="5">
        <v>309.37988338875158</v>
      </c>
      <c r="GQ418" s="5">
        <v>535.04305713031317</v>
      </c>
      <c r="GR418" s="5">
        <v>410.15490233172511</v>
      </c>
      <c r="GS418" s="5">
        <v>339.42744393800166</v>
      </c>
      <c r="GT418" s="5">
        <v>293.4407446948278</v>
      </c>
      <c r="GU418" s="5">
        <v>258.04012322764959</v>
      </c>
      <c r="GV418" s="39" t="s">
        <v>392</v>
      </c>
      <c r="GW418" s="5">
        <v>478.23611111111109</v>
      </c>
      <c r="GX418" s="5">
        <v>358.67708333333331</v>
      </c>
      <c r="GY418" s="5">
        <v>286.94166666666666</v>
      </c>
      <c r="GZ418" s="5">
        <v>253.19574071601335</v>
      </c>
      <c r="HA418" s="5">
        <v>234.53733318419432</v>
      </c>
      <c r="HB418" s="39">
        <v>264.33121586363336</v>
      </c>
      <c r="HC418" s="5">
        <v>233.60312499999998</v>
      </c>
      <c r="HD418" s="5">
        <v>203.16580774853799</v>
      </c>
      <c r="HE418" s="5">
        <v>206.94507844129549</v>
      </c>
      <c r="HF418" s="5">
        <v>192.53438048245613</v>
      </c>
      <c r="HG418" s="5">
        <v>187.11388157894737</v>
      </c>
      <c r="HH418" s="39">
        <v>203.61849325462632</v>
      </c>
      <c r="HI418" s="16"/>
      <c r="HJ418" s="19" t="str">
        <f t="shared" si="1163"/>
        <v>On</v>
      </c>
      <c r="HK418" s="1" t="str">
        <f t="shared" si="1163"/>
        <v>On</v>
      </c>
      <c r="HL418" s="16"/>
      <c r="HM418" s="639">
        <f t="shared" si="1110"/>
        <v>2.9403358434788716E-2</v>
      </c>
      <c r="HN418" s="639">
        <f t="shared" si="1111"/>
        <v>1.4106809950923669E-3</v>
      </c>
      <c r="HO418" s="639">
        <f t="shared" si="1112"/>
        <v>1.7317923025048877E-3</v>
      </c>
      <c r="HP418" s="644">
        <f>(FT418*$GD418-HM418)/$JF418*INDEX(Input!$1:$1048576,$JG$93,$C418*2+6)</f>
        <v>31.909272812692613</v>
      </c>
      <c r="HQ418" s="644">
        <f>(FU418*$GD418-HN418)/$JF418*INDEX(Input!$1:$1048576,$JG$93,$C418*2+6)</f>
        <v>1.122685634589488</v>
      </c>
      <c r="HR418" s="644">
        <f>(FV418*$GD418-HO418)/$JF418*INDEX(Input!$1:$1048576,$JG$93,$C418*2+6)</f>
        <v>54.452528944765419</v>
      </c>
      <c r="HS418" s="644">
        <f t="shared" si="1113"/>
        <v>-36.766961623595812</v>
      </c>
      <c r="HT418" s="644">
        <f t="shared" si="1114"/>
        <v>44.809223632177719</v>
      </c>
      <c r="HU418" s="644">
        <f t="shared" si="1115"/>
        <v>16.322590808299857</v>
      </c>
      <c r="HV418" s="648">
        <f t="shared" si="1116"/>
        <v>0</v>
      </c>
      <c r="HW418" s="648">
        <f t="shared" si="1117"/>
        <v>0</v>
      </c>
      <c r="HX418" s="648">
        <f t="shared" si="1118"/>
        <v>0</v>
      </c>
      <c r="HY418" s="644">
        <f>INDEX(Input!$1:$1048576,HY$93,$C418*2+6)*INDEX(Input!$1:$1048576,$JG$93,$C418*2+6)</f>
        <v>993</v>
      </c>
      <c r="HZ418" s="644">
        <f>INDEX(Input!$1:$1048576,HZ$93,$C418*2+6)*INDEX(Input!$1:$1048576,$JG$93,$C418*2+6)</f>
        <v>1216</v>
      </c>
      <c r="IA418" s="644">
        <f>INDEX(Input!$1:$1048576,IA$93,$C418*2+6)*INDEX(Input!$1:$1048576,$JG$93,$C418*2+6)</f>
        <v>120</v>
      </c>
      <c r="IB418" s="644">
        <f t="shared" si="1142"/>
        <v>988.14231118909686</v>
      </c>
      <c r="IC418" s="644">
        <f t="shared" si="1143"/>
        <v>1261.9319092667672</v>
      </c>
      <c r="ID418" s="644">
        <f>IF(AND(INDEX(Input!$1:$1048576,IA$93,$C418*2+7)="TOS",Y418&lt;=INDEX(Y:Y,MATCH(C418*1000+2,A:A))),0,1)*MAX(IA418+HR418+HU418+HX418,0%)</f>
        <v>190.77511975306527</v>
      </c>
      <c r="IE418" s="128">
        <f t="shared" si="1195"/>
        <v>0.40483543777614511</v>
      </c>
      <c r="IF418" s="128">
        <f t="shared" si="1165"/>
        <v>0.51700524423139926</v>
      </c>
      <c r="IG418" s="128">
        <f t="shared" si="1120"/>
        <v>7.8159317992455651E-2</v>
      </c>
      <c r="IH418" s="21"/>
      <c r="II418" s="19">
        <f t="shared" si="1121"/>
        <v>1490</v>
      </c>
      <c r="IJ418" s="19">
        <f t="shared" si="1122"/>
        <v>2203.2561351629856</v>
      </c>
      <c r="IK418" s="19">
        <f t="shared" si="1123"/>
        <v>242</v>
      </c>
      <c r="IL418" s="19">
        <f t="shared" si="1145"/>
        <v>280</v>
      </c>
      <c r="IM418" s="19">
        <f t="shared" si="1124"/>
        <v>279.86984851463421</v>
      </c>
      <c r="IN418" s="19">
        <f t="shared" si="1125"/>
        <v>985</v>
      </c>
      <c r="IO418" s="39">
        <f t="shared" si="1126"/>
        <v>0</v>
      </c>
      <c r="IP418" s="39">
        <f t="shared" si="1127"/>
        <v>0</v>
      </c>
      <c r="IQ418" s="39">
        <f t="shared" si="1128"/>
        <v>0</v>
      </c>
      <c r="IR418" s="39">
        <v>0</v>
      </c>
      <c r="IS418" s="39">
        <v>0</v>
      </c>
      <c r="IT418" s="39">
        <v>0</v>
      </c>
      <c r="IU418" s="39">
        <v>0</v>
      </c>
      <c r="IV418" s="39">
        <v>0</v>
      </c>
      <c r="IW418" s="39">
        <v>0</v>
      </c>
      <c r="IX418" s="39">
        <f>INDEX(Input!$1:$1048576,IX$93,$C418*2+6)+INDEX(Input!$1:$1048576,IX$94,$C418*2+6)</f>
        <v>1770</v>
      </c>
      <c r="IY418" s="39">
        <f>INDEX(Input!$1:$1048576,IY$93,$C418*2+6)+INDEX(Input!$1:$1048576,IY$94,$C418*2+6)</f>
        <v>2630.0624533823611</v>
      </c>
      <c r="IZ418" s="39">
        <f>INDEX(Input!$1:$1048576,IZ$93,$C418*2+6)+INDEX(Input!$1:$1048576,IZ$94,$C418*2+6)</f>
        <v>4153.7164157747848</v>
      </c>
      <c r="JA418" s="19">
        <f t="shared" si="1146"/>
        <v>2050</v>
      </c>
      <c r="JB418" s="19">
        <f t="shared" si="1147"/>
        <v>2909.9323018969953</v>
      </c>
      <c r="JC418" s="19">
        <f t="shared" si="1148"/>
        <v>5138.7164157747848</v>
      </c>
      <c r="JD418" s="19">
        <f t="shared" si="1149"/>
        <v>2736.0014782937847</v>
      </c>
      <c r="JE418" s="21"/>
      <c r="JF418" s="1">
        <f t="shared" si="1129"/>
        <v>3.2545831732385969E-2</v>
      </c>
      <c r="JG418" s="15">
        <f>INDEX(Input!$1:$1048576,JG$93,$C418*2+6)/(1+VLOOKUP(C418*1000+INDEX(Input!$1:$1048576,JG$93+1,$C418*2+6),$A:$KK,$JK$92,FALSE))</f>
        <v>2329</v>
      </c>
      <c r="JH418" s="1">
        <f t="shared" si="1150"/>
        <v>3.7563111804228222E-2</v>
      </c>
      <c r="JI418" s="1">
        <f t="shared" si="1151"/>
        <v>1.046150829406688E-2</v>
      </c>
      <c r="JJ418" s="1">
        <f t="shared" si="1189"/>
        <v>0</v>
      </c>
      <c r="JK418" s="1">
        <f t="shared" si="1193"/>
        <v>4.8024620098295098E-2</v>
      </c>
      <c r="JL418" s="15">
        <f t="shared" si="1154"/>
        <v>111.84934020892928</v>
      </c>
      <c r="JM418" s="15">
        <f t="shared" si="1180"/>
        <v>2440.8493402089293</v>
      </c>
      <c r="JN418" s="21"/>
      <c r="JO418" s="19">
        <f>INDEX(Input!$1:$1048576,JO$93,$C418*2+6)</f>
        <v>5995.5</v>
      </c>
      <c r="JP418" s="19">
        <f>INDEX(Input!$1:$1048576,JP$93,$C418*2+6)</f>
        <v>2341.8685758720158</v>
      </c>
      <c r="JQ418" s="39">
        <f t="shared" si="1166"/>
        <v>3259.4985217062153</v>
      </c>
      <c r="JR418" s="39">
        <f t="shared" si="1183"/>
        <v>394.1329024217689</v>
      </c>
      <c r="JS418" s="39">
        <f t="shared" si="1168"/>
        <v>6.6781674031040401</v>
      </c>
      <c r="JT418" s="39">
        <f t="shared" si="1156"/>
        <v>1.2239554898981153</v>
      </c>
      <c r="JU418" s="385">
        <f>(JQ418*JM418-INDEX(Input!$1:$1048576,Input!A$18,$C418*2+6)*JL418*INDEX(Input!$1:$1048576,Input!A$19,$C418*2+6))/1000000</f>
        <v>7.9559448161185964</v>
      </c>
      <c r="JV418" s="39">
        <f t="shared" si="1190"/>
        <v>-0.55336277067547801</v>
      </c>
      <c r="JW418" s="1">
        <f t="shared" si="1181"/>
        <v>-6.5030293596891858E-2</v>
      </c>
      <c r="JX418" s="19">
        <f t="shared" si="1172"/>
        <v>10942.894143245052</v>
      </c>
      <c r="JZ418" s="341"/>
      <c r="KA418" s="342"/>
      <c r="KB418" s="469">
        <f t="shared" si="1169"/>
        <v>2.3434325605641804</v>
      </c>
      <c r="KI418" s="473">
        <f t="shared" si="1196"/>
        <v>-4.8576888109031415</v>
      </c>
      <c r="KJ418" s="473">
        <f t="shared" si="1197"/>
        <v>45.931909266767207</v>
      </c>
      <c r="KK418" s="473">
        <f t="shared" si="1158"/>
        <v>70.775119753065269</v>
      </c>
      <c r="KN418" s="544">
        <f t="shared" si="1173"/>
        <v>4002</v>
      </c>
      <c r="KO418" s="541">
        <f t="shared" si="1133"/>
        <v>9.19434842836786E-3</v>
      </c>
      <c r="KP418" s="546">
        <f t="shared" si="1134"/>
        <v>56.183130790015603</v>
      </c>
      <c r="KQ418" s="546">
        <f t="shared" si="1135"/>
        <v>111.2302902577635</v>
      </c>
      <c r="KR418" s="548">
        <f t="shared" si="1136"/>
        <v>2.8409949792572449</v>
      </c>
      <c r="KS418" s="548">
        <f t="shared" si="1137"/>
        <v>1.435004728689421</v>
      </c>
      <c r="KT418" s="473">
        <f t="shared" si="1171"/>
        <v>1580.0986321700548</v>
      </c>
      <c r="KU418" s="663">
        <f t="shared" si="1159"/>
        <v>3.9790828421193942</v>
      </c>
      <c r="KV418" s="117" t="e">
        <f t="shared" si="1191"/>
        <v>#N/A</v>
      </c>
    </row>
    <row r="419" spans="1:308" s="26" customFormat="1" ht="15">
      <c r="A419" s="561">
        <f t="shared" si="1138"/>
        <v>4019</v>
      </c>
      <c r="B419" s="561">
        <f t="shared" si="1160"/>
        <v>19</v>
      </c>
      <c r="C419" s="561">
        <f t="shared" si="1161"/>
        <v>4</v>
      </c>
      <c r="D419" s="765" t="str">
        <f>"Plan A: "&amp;IF(E419=INDEX(E:E,MATCH(C419*1000+2,A:A,0)),"",E419-INDEX(E:E,MATCH(C419*1000+2,A:A,0))&amp;E$100&amp;", ")
&amp;IF(F419=INDEX(F:F,MATCH(C419*1000+2,A:A,0)),"",F419-INDEX(F:F,MATCH(C419*1000+2,A:A,0))&amp;F$100&amp;", ")
&amp;IF(AM419=INDEX(AM:AM,MATCH(C419*1000+2,A:A,0)),"",AM419&amp;AM$100&amp;", ")
&amp;IF(AP419=INDEX(AP:AP,MATCH(C419*1000+2,A:A,0)),"",AP419&amp;AP$100&amp;", ")
&amp;IF(Q419=INDEX(Q:Q,MATCH(C419*1000+2,A:A,0)),"",Q419-INDEX(Q:Q,MATCH(C419*1000+2,A:A,0))&amp;Q$100&amp;", ")
&amp;IF(Y419=INDEX(Y:Y,MATCH(C419*1000+2,A:A,0)),"",Y419-INDEX(Y:Y,MATCH(C419*1000+2,A:A,0))&amp;Y$100&amp;", ")
&amp;IF(Z419=INDEX(Z:Z,MATCH(C419*1000+2,A:A,0)),"",Z419-INDEX(Z:Z,MATCH(C419*1000+2,A:A,0))&amp;Z$100&amp;", ")
&amp;IF(AA419=INDEX(AA:AA,MATCH(C419*1000+2,A:A,0)),"",AA419-INDEX(AA:AA,MATCH(C419*1000+2,A:A,0))&amp;AA$100&amp;", ")
&amp;IF(AC419=INDEX(AC:AC,MATCH(C419*1000+2,A:A,0)),"",AC419-INDEX(AC:AC,MATCH(C419*1000+2,A:A,0))&amp;AC$100&amp;", ")
&amp;IF(AE419=INDEX(AE:AE,MATCH(C419*1000+2,A:A,0)),"",AE419-INDEX(AE:AE,MATCH(C419*1000+2,A:A,0))&amp;AE$100&amp;", ")
&amp;IF(AG419=INDEX(AG:AG,MATCH(C419*1000+2,A:A,0)),"",AG419-INDEX(AG:AG,MATCH(C419*1000+2,A:A,0))&amp;AG$100&amp;", ")
&amp;IF(AI419=INDEX(AI:AI,MATCH(C419*1000+2,A:A,0)),"",AI419-INDEX(AI:AI,MATCH(C419*1000+2,A:A,0))&amp;AI$100&amp;", ")</f>
        <v xml:space="preserve">Plan A: </v>
      </c>
      <c r="E419" s="475">
        <f>INDEX(Input!$1:$1048576,E$93,$C419*2+MIN($B419,2)+5)</f>
        <v>1256.832975525977</v>
      </c>
      <c r="F419" s="475">
        <f>INDEX(Input!$1:$1048576,F$93,$C419*2+MIN($B419,2)+5)</f>
        <v>0</v>
      </c>
      <c r="G419" s="475">
        <f>INDEX(Input!$1:$1048576,G$93,$C419*2+MIN($B419,2)+5)</f>
        <v>0</v>
      </c>
      <c r="H419" s="475">
        <f>INDEX(Input!$1:$1048576,H$93,$C419*2+MIN($B419,2)+5)</f>
        <v>0</v>
      </c>
      <c r="I419" s="476">
        <f>INDEX(Input!$1:$1048576,I$93,$C419*2+MIN($B419,2)+5)</f>
        <v>0.7</v>
      </c>
      <c r="J419" s="476" t="str">
        <f>INDEX(Input!$1:$1048576,J$93,$C419*2+MIN($B419,2)+5)</f>
        <v>Market</v>
      </c>
      <c r="K419" s="476" t="str">
        <f>INDEX(Input!$1:$1048576,K$93,$C419*2+MIN($B419,2)+5)</f>
        <v>Market</v>
      </c>
      <c r="L419" s="476" t="str">
        <f>INDEX(Input!$1:$1048576,L$93,$C419*2+MIN($B419,2)+5)</f>
        <v>Market</v>
      </c>
      <c r="M419" s="476" t="str">
        <f>INDEX(Input!$1:$1048576,M$93,$C419*2+MIN($B419,2)+5)</f>
        <v>Market</v>
      </c>
      <c r="N419" s="476" t="str">
        <f>INDEX(Input!$1:$1048576,N$93,$C419*2+MIN($B419,2)+5)</f>
        <v>Market</v>
      </c>
      <c r="O419" s="476" t="str">
        <f>INDEX(Input!$1:$1048576,O$93,$C419*2+MIN($B419,2)+5)</f>
        <v>Market</v>
      </c>
      <c r="P419" s="476" t="str">
        <f>INDEX(Input!$1:$1048576,P$93,$C419*2+MIN($B419,2)+5)</f>
        <v>N</v>
      </c>
      <c r="Q419" s="477">
        <f>INDEX(Input!$1:$1048576,Q$93,$C419*2+MIN($B419,2)+5)</f>
        <v>0</v>
      </c>
      <c r="R419" s="478">
        <f>IFERROR(MAX(0,INDEX(Input!$1:$1048576,R$93,$C419*2+MIN($B419,2)+5)-0%,),"Market")</f>
        <v>0</v>
      </c>
      <c r="S419" s="478">
        <f>IFERROR(MAX(0,INDEX(Input!$1:$1048576,S$93,$C419*2+MIN($B419,2)+5)-0%,),"Market")</f>
        <v>0</v>
      </c>
      <c r="T419" s="478">
        <f>IFERROR(MAX(0,INDEX(Input!$1:$1048576,T$93,$C419*2+MIN($B419,2)+5)-0%,),"Market")</f>
        <v>0</v>
      </c>
      <c r="U419" s="478">
        <f>IFERROR(MAX(0,INDEX(Input!$1:$1048576,U$93,$C419*2+MIN($B419,2)+5)-0%,),"Market")</f>
        <v>0</v>
      </c>
      <c r="V419" s="478">
        <f>IFERROR(MAX(0,INDEX(Input!$1:$1048576,V$93,$C419*2+MIN($B419,2)+5)-0%,),"Market")</f>
        <v>1.9E-2</v>
      </c>
      <c r="W419" s="885">
        <f>IFERROR(MAX(0,INDEX(Input!$1:$1048576,W$93,$C419*2+MIN($B419,2)+5)-0%,),"Market")</f>
        <v>3.9E-2</v>
      </c>
      <c r="X419" s="476" t="str">
        <f>INDEX(Input!$1:$1048576,X$93,$C419*2+MIN($B419,2)+5)</f>
        <v>Y</v>
      </c>
      <c r="Y419" s="475">
        <f>INDEX(Input!$1:$1048576,Y$93,$C419*2+MIN($B419,2)+5)</f>
        <v>-870</v>
      </c>
      <c r="Z419" s="477">
        <f>INDEX(Input!$1:$1048576,Z$93,$C419*2+MIN($B419,2)+5)</f>
        <v>0</v>
      </c>
      <c r="AA419" s="475">
        <f>INDEX(Input!$1:$1048576,AA$93,$C419*2+MIN($B419,2)+5)-AA$102</f>
        <v>0</v>
      </c>
      <c r="AB419" s="476">
        <f>INDEX(Input!$1:$1048576,AB$93,$C419*2+MIN($B419,2)+5)</f>
        <v>0.27</v>
      </c>
      <c r="AC419" s="475">
        <f>INDEX(Input!$1:$1048576,AC$93,$C419*2+MIN($B419,2)+5)-AC$102</f>
        <v>0</v>
      </c>
      <c r="AD419" s="476">
        <f>INDEX(Input!$1:$1048576,AD$93,$C419*2+MIN($B419,2)+5)</f>
        <v>0.27</v>
      </c>
      <c r="AE419" s="475">
        <f>INDEX(Input!$1:$1048576,AE$93,$C419*2+MIN($B419,2)+5)</f>
        <v>0</v>
      </c>
      <c r="AF419" s="476">
        <f>INDEX(Input!$1:$1048576,AF$93,$C419*2+MIN($B419,2)+5)</f>
        <v>1</v>
      </c>
      <c r="AG419" s="475">
        <f>INDEX(Input!$1:$1048576,AG$93,$C419*2+MIN($B419,2)+5)</f>
        <v>500</v>
      </c>
      <c r="AH419" s="476">
        <f>INDEX(Input!$1:$1048576,AH$93,$C419*2+MIN($B419,2)+5)</f>
        <v>0.83199999999999996</v>
      </c>
      <c r="AI419" s="475">
        <f>INDEX(Input!$1:$1048576,AI$93,$C419*2+MIN($B419,2)+5)</f>
        <v>0</v>
      </c>
      <c r="AJ419" s="476">
        <f>INDEX(Input!$1:$1048576,AJ$93,$C419*2+MIN($B419,2)+5)</f>
        <v>0.27</v>
      </c>
      <c r="AK419" s="150">
        <f>ROUND(INDEX(Input!$1:$1048576,AK$93,$C418*2+MIN($B419,1)+5)+(Y419-VLOOKUP($C419*1000+1,$A:$HH,Y$92,FALSE)),0)</f>
        <v>2587</v>
      </c>
      <c r="AL419" s="150">
        <f>ROUND(INDEX(Input!$1:$1048576,AL$93,$C418*2+MIN($B419,1)+5)-(Y419-VLOOKUP($C419*1000+1,$A:$HH,Y$92,FALSE))/36,0)</f>
        <v>3406</v>
      </c>
      <c r="AM419" s="32" t="str">
        <f t="shared" si="1139"/>
        <v>std/std/std/std</v>
      </c>
      <c r="AN419" s="32" t="str">
        <f t="shared" si="1140"/>
        <v>$0 + 0/0/0/1.9/3.9</v>
      </c>
      <c r="AO419" s="32" t="str">
        <f t="shared" si="1141"/>
        <v>0/0/0/1.9/3.9</v>
      </c>
      <c r="AP419" s="32" t="str">
        <f t="shared" si="993"/>
        <v>0/0.9/1.9/3.9</v>
      </c>
      <c r="AQ419" s="536">
        <f t="shared" si="992"/>
        <v>0.42346222709977865</v>
      </c>
      <c r="AR419" s="32"/>
      <c r="AS419" s="302"/>
      <c r="AT419" s="3">
        <f t="shared" si="1162"/>
        <v>19</v>
      </c>
      <c r="AU419" s="41" t="s">
        <v>121</v>
      </c>
      <c r="AV419" s="41" t="s">
        <v>116</v>
      </c>
      <c r="AW419" s="41" t="str">
        <f>INDEX(Input!$1:$1048576,AW$93,$C419*2+6)</f>
        <v>Kia</v>
      </c>
      <c r="AX419" s="41" t="str">
        <f>INDEX(Input!$1:$1048576,AX$93,$C419*2+6)</f>
        <v>Kia-LR - R1</v>
      </c>
      <c r="AY419" s="41" t="str">
        <f>IF(LEN(D419)=0,"",INDEX(Input!$1:$1048576,AY$93,$C419*2+6))</f>
        <v>Compact SUV (52)</v>
      </c>
      <c r="AZ419" s="41" t="str">
        <f>INDEX(Input!$1:$1048576,AZ$93,$C419*2+6)</f>
        <v>Kia Soul</v>
      </c>
      <c r="BA419" s="3">
        <f>INDEX(Input!$1:$1048576,BA$93,$C419*2+6)</f>
        <v>2020</v>
      </c>
      <c r="BB419" s="128">
        <f>INDEX(Input!$1:$1048576,BB$93,$C419*2+6)</f>
        <v>1</v>
      </c>
      <c r="BC419" s="128">
        <f>INDEX(Input!$1:$1048576,BC$93,$C419*2+6)</f>
        <v>0.7</v>
      </c>
      <c r="BD419" s="1">
        <f>INDEX(Input!$1:$1048576,BD$93,$C419*2+6)</f>
        <v>4.4999999999999998E-2</v>
      </c>
      <c r="BE419" s="1">
        <f>INDEX(Input!$1:$1048576,BE$93,$C419*2+6)</f>
        <v>4.4999999999999998E-2</v>
      </c>
      <c r="BF419" s="1">
        <f>INDEX(Input!$1:$1048576,BF$93,$C419*2+6)</f>
        <v>0.05</v>
      </c>
      <c r="BG419" s="1">
        <f>INDEX(Input!$1:$1048576,BG$93,$C419*2+6)</f>
        <v>5.45E-2</v>
      </c>
      <c r="BH419" s="1">
        <f>INDEX(Input!$1:$1048576,BH$93,$C419*2+6)</f>
        <v>5.45E-2</v>
      </c>
      <c r="BI419" s="1">
        <f>INDEX(Input!$1:$1048576,BI$93,$C419*2+6)</f>
        <v>0.05</v>
      </c>
      <c r="BJ419" s="1">
        <f>INDEX(Input!$1:$1048576,BJ$93,$C419*2+6)</f>
        <v>0.05</v>
      </c>
      <c r="BK419" s="1">
        <f>INDEX(Input!$1:$1048576,BK$93,$C419*2+6)</f>
        <v>0.05</v>
      </c>
      <c r="BL419" s="1">
        <f>INDEX(Input!$1:$1048576,BL$93,$C419*2+6)</f>
        <v>5.5E-2</v>
      </c>
      <c r="BM419" s="1">
        <f>INDEX(Input!$1:$1048576,BM$93,$C419*2+6)</f>
        <v>0.06</v>
      </c>
      <c r="BN419" s="1">
        <f>INDEX(Input!$1:$1048576,BN$93,$C419*2+6)</f>
        <v>4.4999999999999998E-2</v>
      </c>
      <c r="BO419" s="1">
        <f>INDEX(Input!$1:$1048576,BO$93,$C419*2+6)</f>
        <v>4.4999999999999998E-2</v>
      </c>
      <c r="BP419" s="1">
        <f>INDEX(Input!$1:$1048576,BP$93,$C419*2+6)</f>
        <v>0.05</v>
      </c>
      <c r="BQ419" s="1">
        <f>INDEX(Input!$1:$1048576,BQ$93,$C419*2+6)</f>
        <v>5.45E-2</v>
      </c>
      <c r="BR419" s="1">
        <f>INDEX(Input!$1:$1048576,BR$93,$C419*2+6)</f>
        <v>5.45E-2</v>
      </c>
      <c r="BS419" s="1">
        <f>INDEX(Input!$1:$1048576,BS$93,$C419*2+6)</f>
        <v>0.05</v>
      </c>
      <c r="BT419" s="1">
        <f>INDEX(Input!$1:$1048576,BT$93,$C419*2+6)</f>
        <v>0.05</v>
      </c>
      <c r="BU419" s="1">
        <f>INDEX(Input!$1:$1048576,BU$93,$C419*2+6)</f>
        <v>0.05</v>
      </c>
      <c r="BV419" s="1">
        <f>INDEX(Input!$1:$1048576,BV$93,$C419*2+6)</f>
        <v>5.5E-2</v>
      </c>
      <c r="BW419" s="1">
        <f>INDEX(Input!$1:$1048576,BW$93,$C419*2+6)</f>
        <v>0.06</v>
      </c>
      <c r="BX419" s="127">
        <f>INDEX(Input!$1:$1048576,BX$93,$C419*2+6)</f>
        <v>19985</v>
      </c>
      <c r="BY419" s="20">
        <f>INDEX(Input!$1:$1048576,BY$93,$C419*2+6)</f>
        <v>0.1</v>
      </c>
      <c r="BZ419" s="20">
        <f>INDEX(Input!$1:$1048576,BZ$93,$C419*2+6)</f>
        <v>0.1</v>
      </c>
      <c r="CA419" s="20">
        <f>INDEX(Input!$1:$1048576,CA$93,$C419*2+6)</f>
        <v>0.1</v>
      </c>
      <c r="CB419" s="20">
        <f>INDEX(Input!$1:$1048576,CB$93,$C419*2+6)</f>
        <v>0.1</v>
      </c>
      <c r="CC419" s="20">
        <f>INDEX(Input!$1:$1048576,CC$93,$C419*2+6)</f>
        <v>0.1</v>
      </c>
      <c r="CD419" s="384">
        <f>INDEX(Input!$1:$1048576,CD$93,$C419*2+6)</f>
        <v>0.1</v>
      </c>
      <c r="CE419" s="384">
        <f>INDEX(Input!$1:$1048576,CE$93,$C419*2+6)</f>
        <v>0.1</v>
      </c>
      <c r="CF419" s="384">
        <f>INDEX(Input!$1:$1048576,CF$93,$C419*2+6)</f>
        <v>0.1</v>
      </c>
      <c r="CG419" s="384">
        <f>INDEX(Input!$1:$1048576,CG$93,$C419*2+6)</f>
        <v>0.1</v>
      </c>
      <c r="CH419" s="384">
        <f>INDEX(Input!$1:$1048576,CH$93,$C419*2+6)</f>
        <v>0.1</v>
      </c>
      <c r="CI419" s="304">
        <f t="shared" si="994"/>
        <v>1256.832975525977</v>
      </c>
      <c r="CJ419" s="16" t="str">
        <f>INDEX(Input!$1:$1048576,CJ$93,$C419*2+6)</f>
        <v>N</v>
      </c>
      <c r="CK419" s="1" t="str">
        <f t="shared" si="995"/>
        <v>Market</v>
      </c>
      <c r="CL419" s="1" t="str">
        <f t="shared" si="996"/>
        <v>Market</v>
      </c>
      <c r="CM419" s="1" t="str">
        <f t="shared" si="997"/>
        <v>Market</v>
      </c>
      <c r="CN419" s="1" t="str">
        <f t="shared" si="998"/>
        <v>Market</v>
      </c>
      <c r="CO419" s="1" t="str">
        <f t="shared" si="999"/>
        <v>Market</v>
      </c>
      <c r="CP419" s="304">
        <f t="shared" si="1000"/>
        <v>416</v>
      </c>
      <c r="CQ419" s="1">
        <f t="shared" si="1001"/>
        <v>0</v>
      </c>
      <c r="CR419" s="1">
        <f t="shared" si="1002"/>
        <v>0</v>
      </c>
      <c r="CS419" s="1">
        <f t="shared" si="1003"/>
        <v>0</v>
      </c>
      <c r="CT419" s="1">
        <f t="shared" si="1004"/>
        <v>1.9E-2</v>
      </c>
      <c r="CU419" s="1">
        <f t="shared" si="1005"/>
        <v>3.9E-2</v>
      </c>
      <c r="CV419" s="304">
        <f t="shared" si="1006"/>
        <v>-870</v>
      </c>
      <c r="CW419" s="20" t="s">
        <v>122</v>
      </c>
      <c r="CX419" s="20" t="s">
        <v>122</v>
      </c>
      <c r="CY419" s="20" t="s">
        <v>122</v>
      </c>
      <c r="CZ419" s="20" t="s">
        <v>122</v>
      </c>
      <c r="DA419" s="20" t="s">
        <v>122</v>
      </c>
      <c r="DB419" s="503">
        <f t="shared" si="1007"/>
        <v>0</v>
      </c>
      <c r="DC419" s="127">
        <v>0</v>
      </c>
      <c r="DD419" s="127">
        <v>0</v>
      </c>
      <c r="DE419" s="127">
        <v>0</v>
      </c>
      <c r="DF419" s="127">
        <v>0</v>
      </c>
      <c r="DG419" s="127">
        <v>0</v>
      </c>
      <c r="DH419" s="127">
        <v>0</v>
      </c>
      <c r="DI419" s="127">
        <v>0</v>
      </c>
      <c r="DJ419" s="127">
        <v>0</v>
      </c>
      <c r="DK419" s="127">
        <v>0</v>
      </c>
      <c r="DL419" s="127">
        <v>0</v>
      </c>
      <c r="DM419" s="304">
        <f>INDEX(Input!$1:$1048576,DM$93,$C419*2+6)</f>
        <v>21036.84210526316</v>
      </c>
      <c r="DN419" s="20">
        <v>0</v>
      </c>
      <c r="DO419" s="20">
        <v>0</v>
      </c>
      <c r="DP419" s="20">
        <v>0</v>
      </c>
      <c r="DQ419" s="20">
        <v>0</v>
      </c>
      <c r="DR419" s="20">
        <v>0</v>
      </c>
      <c r="DS419" s="20">
        <f>INDEX(Input!$1:$1048576,DS$93,$C419*2+6)</f>
        <v>0.6</v>
      </c>
      <c r="DT419" s="20">
        <f>INDEX(Input!$1:$1048576,DT$93,$C419*2+6)</f>
        <v>0.55000000000000004</v>
      </c>
      <c r="DU419" s="20">
        <f>INDEX(Input!$1:$1048576,DU$93,$C419*2+6)</f>
        <v>0.52</v>
      </c>
      <c r="DV419" s="20">
        <f>INDEX(Input!$1:$1048576,DV$93,$C419*2+6)</f>
        <v>0.5</v>
      </c>
      <c r="DW419" s="20">
        <f>INDEX(Input!$1:$1048576,DW$93,$C419*2+6)</f>
        <v>0.45</v>
      </c>
      <c r="DX419" s="20"/>
      <c r="DY419" s="7">
        <v>0.10011102324513715</v>
      </c>
      <c r="DZ419" s="7">
        <v>0</v>
      </c>
      <c r="EA419" s="7">
        <v>0.80052003581441178</v>
      </c>
      <c r="EB419" s="7">
        <v>0</v>
      </c>
      <c r="EC419" s="7">
        <v>0</v>
      </c>
      <c r="ED419" s="7">
        <v>0</v>
      </c>
      <c r="EE419" s="7">
        <v>0</v>
      </c>
      <c r="EF419" s="7">
        <v>0</v>
      </c>
      <c r="EG419" s="7">
        <v>0</v>
      </c>
      <c r="EH419" s="7">
        <v>1.2257142074439826E-2</v>
      </c>
      <c r="EI419" s="7">
        <v>3.2012129094843356E-2</v>
      </c>
      <c r="EJ419" s="7">
        <v>0.22476379982833364</v>
      </c>
      <c r="EK419" s="7">
        <v>0.59358486418458722</v>
      </c>
      <c r="EL419" s="7">
        <v>0.13738206481779638</v>
      </c>
      <c r="EM419" s="7">
        <v>4.3197001005441965E-2</v>
      </c>
      <c r="EN419" s="7">
        <v>5.0080009144756202E-2</v>
      </c>
      <c r="EO419" s="7">
        <v>0.70842814657900932</v>
      </c>
      <c r="EP419" s="7">
        <v>0.10460908438275419</v>
      </c>
      <c r="EQ419" s="7">
        <v>9.1907535152966402E-2</v>
      </c>
      <c r="ER419" s="7">
        <v>4.4975224740513763E-2</v>
      </c>
      <c r="ES419" s="7">
        <v>5.6171939935009019E-2</v>
      </c>
      <c r="ET419" s="7">
        <v>9.9368940940451081E-2</v>
      </c>
      <c r="EU419" s="6">
        <v>1500</v>
      </c>
      <c r="EV419" s="6">
        <v>0</v>
      </c>
      <c r="EW419" s="6">
        <v>1500</v>
      </c>
      <c r="EX419" s="6">
        <v>0</v>
      </c>
      <c r="EY419" s="6">
        <v>2213.2330290399696</v>
      </c>
      <c r="EZ419" s="6">
        <v>372</v>
      </c>
      <c r="FA419" s="6">
        <v>0</v>
      </c>
      <c r="FB419" s="6">
        <v>0</v>
      </c>
      <c r="FC419" s="6">
        <v>0</v>
      </c>
      <c r="FD419" s="6">
        <v>0</v>
      </c>
      <c r="FE419" s="6">
        <v>0</v>
      </c>
      <c r="FF419" s="6">
        <v>0</v>
      </c>
      <c r="FG419" s="6">
        <v>0</v>
      </c>
      <c r="FH419" s="6">
        <v>1169.7977873374925</v>
      </c>
      <c r="FI419" s="6">
        <v>1553.9796069512395</v>
      </c>
      <c r="FJ419" s="6">
        <v>2101.2110117447396</v>
      </c>
      <c r="FK419" s="6">
        <v>1772.7139978623225</v>
      </c>
      <c r="FL419" s="6">
        <v>907.07682140966347</v>
      </c>
      <c r="FM419" s="6">
        <v>1713.2330290399696</v>
      </c>
      <c r="FN419" s="6">
        <v>0</v>
      </c>
      <c r="FO419" s="6">
        <v>0</v>
      </c>
      <c r="FP419" s="6">
        <v>0</v>
      </c>
      <c r="FQ419" s="6">
        <v>0</v>
      </c>
      <c r="FR419" s="6">
        <v>0</v>
      </c>
      <c r="FS419" s="6">
        <v>0</v>
      </c>
      <c r="FT419" s="7">
        <v>0.90063105905954899</v>
      </c>
      <c r="FU419" s="7">
        <v>4.3197001005441965E-2</v>
      </c>
      <c r="FV419" s="7">
        <v>5.6171939935009019E-2</v>
      </c>
      <c r="FW419" s="6">
        <v>1499.9999999999998</v>
      </c>
      <c r="FX419" s="6">
        <v>2213.2330290399696</v>
      </c>
      <c r="FY419" s="6">
        <v>372</v>
      </c>
      <c r="FZ419" s="6">
        <v>1949.5716051445115</v>
      </c>
      <c r="GA419" s="6">
        <v>1467.4475796258637</v>
      </c>
      <c r="GB419" s="6">
        <v>18517.552420374137</v>
      </c>
      <c r="GC419" s="7">
        <v>3.3872851927908169E-2</v>
      </c>
      <c r="GD419" s="7">
        <v>3.2605540821645899E-2</v>
      </c>
      <c r="GE419" s="7"/>
      <c r="GF419" s="7"/>
      <c r="GG419" s="7">
        <v>-3.7413770442462219E-2</v>
      </c>
      <c r="GH419" s="42">
        <v>1.5508752161609232</v>
      </c>
      <c r="GI419" s="6">
        <v>14353.719661187255</v>
      </c>
      <c r="GJ419" s="14">
        <v>0.50394797582841722</v>
      </c>
      <c r="GK419" s="14">
        <v>0.50887573065309766</v>
      </c>
      <c r="GL419" s="14">
        <v>0.49605202417158278</v>
      </c>
      <c r="GM419" s="14">
        <v>0.4911242693469024</v>
      </c>
      <c r="GO419" s="5">
        <v>343.14810671672558</v>
      </c>
      <c r="GP419" s="5">
        <v>314.53096830318827</v>
      </c>
      <c r="GQ419" s="5">
        <v>535.04305713031317</v>
      </c>
      <c r="GR419" s="5">
        <v>410.15490233172511</v>
      </c>
      <c r="GS419" s="5">
        <v>339.42744393800166</v>
      </c>
      <c r="GT419" s="5">
        <v>293.4407446948278</v>
      </c>
      <c r="GU419" s="5">
        <v>258.04012322764959</v>
      </c>
      <c r="GV419" s="39" t="s">
        <v>392</v>
      </c>
      <c r="GW419" s="5">
        <v>485.73611111111109</v>
      </c>
      <c r="GX419" s="5">
        <v>364.30208333333331</v>
      </c>
      <c r="GY419" s="5">
        <v>291.44166666666666</v>
      </c>
      <c r="GZ419" s="5">
        <v>257.16651584413603</v>
      </c>
      <c r="HA419" s="5">
        <v>238.21549540995059</v>
      </c>
      <c r="HB419" s="39">
        <v>268.49804628524271</v>
      </c>
      <c r="HC419" s="5">
        <v>271.00937499999998</v>
      </c>
      <c r="HD419" s="5">
        <v>228.69705774853799</v>
      </c>
      <c r="HE419" s="5">
        <v>230.64940536437243</v>
      </c>
      <c r="HF419" s="5">
        <v>212.30625548245612</v>
      </c>
      <c r="HG419" s="5">
        <v>203.50138157894736</v>
      </c>
      <c r="HH419" s="39">
        <v>228.38067284624447</v>
      </c>
      <c r="HI419" s="16"/>
      <c r="HJ419" s="19" t="str">
        <f t="shared" ref="HJ419:HK419" si="1198">HJ418</f>
        <v>On</v>
      </c>
      <c r="HK419" s="1" t="str">
        <f t="shared" si="1198"/>
        <v>On</v>
      </c>
      <c r="HL419" s="16"/>
      <c r="HM419" s="639">
        <f t="shared" si="1110"/>
        <v>2.9403358434788716E-2</v>
      </c>
      <c r="HN419" s="639">
        <f t="shared" si="1111"/>
        <v>1.4106809950923669E-3</v>
      </c>
      <c r="HO419" s="639">
        <f t="shared" si="1112"/>
        <v>1.7317923025048877E-3</v>
      </c>
      <c r="HP419" s="644">
        <f>(FT419*$GD419-HM419)/$JF419*INDEX(Input!$1:$1048576,$JG$93,$C419*2+6)</f>
        <v>-2.7046819398193698</v>
      </c>
      <c r="HQ419" s="644">
        <f>(FU419*$GD419-HN419)/$JF419*INDEX(Input!$1:$1048576,$JG$93,$C419*2+6)</f>
        <v>-0.15882275170270657</v>
      </c>
      <c r="HR419" s="644">
        <f>(FV419*$GD419-HO419)/$JF419*INDEX(Input!$1:$1048576,$JG$93,$C419*2+6)</f>
        <v>7.136324327223349</v>
      </c>
      <c r="HS419" s="644">
        <f t="shared" ref="HS419" si="1199">IF(AND(HJ419="On",HK419="On"),IL419/1000*INDEX(KG:KG,MATCH(C419*1000+3,$KF:$KF,0))*SUM(HY419:IA419)*1.1
+INDEX(HR:HR,MATCH(C419*1000+4,$KF:$KF,0))/INDEX(IM:IM,MATCH(C419*1000+4,$KF:$KF,0))*IM419*20%,0)</f>
        <v>-1.3130973467452451</v>
      </c>
      <c r="HT419" s="644">
        <f t="shared" si="1114"/>
        <v>1.5972155789197979</v>
      </c>
      <c r="HU419" s="644">
        <f t="shared" si="1115"/>
        <v>1.9104484130867727</v>
      </c>
      <c r="HV419" s="648">
        <f t="shared" si="1116"/>
        <v>0</v>
      </c>
      <c r="HW419" s="648">
        <f t="shared" si="1117"/>
        <v>0</v>
      </c>
      <c r="HX419" s="648">
        <f t="shared" si="1118"/>
        <v>0</v>
      </c>
      <c r="HY419" s="644">
        <f>INDEX(Input!$1:$1048576,HY$93,$C419*2+6)*INDEX(Input!$1:$1048576,$JG$93,$C419*2+6)</f>
        <v>993</v>
      </c>
      <c r="HZ419" s="644">
        <f>INDEX(Input!$1:$1048576,HZ$93,$C419*2+6)*INDEX(Input!$1:$1048576,$JG$93,$C419*2+6)</f>
        <v>1216</v>
      </c>
      <c r="IA419" s="644">
        <f>INDEX(Input!$1:$1048576,IA$93,$C419*2+6)*INDEX(Input!$1:$1048576,$JG$93,$C419*2+6)</f>
        <v>120</v>
      </c>
      <c r="IB419" s="644">
        <f t="shared" si="1142"/>
        <v>988.98222071343548</v>
      </c>
      <c r="IC419" s="644">
        <f t="shared" si="1143"/>
        <v>1217.4383928272171</v>
      </c>
      <c r="ID419" s="644">
        <f>IF(AND(INDEX(Input!$1:$1048576,IA$93,$C419*2+7)="TOS",Y419&lt;=INDEX(Y:Y,MATCH(C419*1000+2,A:A))),0,1)*MAX(IA419+HR419+HU419+HX419,0%)</f>
        <v>129.04677274031013</v>
      </c>
      <c r="IE419" s="128">
        <f t="shared" ref="IE419" si="1200">IB419/SUM($IB419:$ID419)</f>
        <v>0.42346222709977865</v>
      </c>
      <c r="IF419" s="128">
        <f t="shared" ref="IF419" si="1201">IC419/SUM($IB419:$ID419)</f>
        <v>0.52128254925704032</v>
      </c>
      <c r="IG419" s="128">
        <f t="shared" si="1120"/>
        <v>5.5255223643181063E-2</v>
      </c>
      <c r="IH419" s="21"/>
      <c r="II419" s="19">
        <f t="shared" si="1121"/>
        <v>1490</v>
      </c>
      <c r="IJ419" s="19">
        <f t="shared" si="1122"/>
        <v>2203.2561351629856</v>
      </c>
      <c r="IK419" s="19">
        <f t="shared" si="1123"/>
        <v>242</v>
      </c>
      <c r="IL419" s="19">
        <f t="shared" si="1145"/>
        <v>9.9999999999997726</v>
      </c>
      <c r="IM419" s="19">
        <f t="shared" si="1124"/>
        <v>9.9768938769839224</v>
      </c>
      <c r="IN419" s="19">
        <f t="shared" si="1125"/>
        <v>130</v>
      </c>
      <c r="IO419" s="39">
        <f t="shared" si="1126"/>
        <v>0</v>
      </c>
      <c r="IP419" s="39">
        <f t="shared" si="1127"/>
        <v>0</v>
      </c>
      <c r="IQ419" s="39">
        <f t="shared" si="1128"/>
        <v>0</v>
      </c>
      <c r="IR419" s="39">
        <v>0</v>
      </c>
      <c r="IS419" s="39">
        <v>0</v>
      </c>
      <c r="IT419" s="39">
        <v>0</v>
      </c>
      <c r="IU419" s="39">
        <v>0</v>
      </c>
      <c r="IV419" s="39">
        <v>0</v>
      </c>
      <c r="IW419" s="39">
        <v>0</v>
      </c>
      <c r="IX419" s="39">
        <f>INDEX(Input!$1:$1048576,IX$93,$C419*2+6)+INDEX(Input!$1:$1048576,IX$94,$C419*2+6)</f>
        <v>1770</v>
      </c>
      <c r="IY419" s="39">
        <f>INDEX(Input!$1:$1048576,IY$93,$C419*2+6)+INDEX(Input!$1:$1048576,IY$94,$C419*2+6)</f>
        <v>2630.0624533823611</v>
      </c>
      <c r="IZ419" s="39">
        <f>INDEX(Input!$1:$1048576,IZ$93,$C419*2+6)+INDEX(Input!$1:$1048576,IZ$94,$C419*2+6)</f>
        <v>4153.7164157747848</v>
      </c>
      <c r="JA419" s="19">
        <f t="shared" si="1146"/>
        <v>1779.9999999999998</v>
      </c>
      <c r="JB419" s="19">
        <f t="shared" si="1147"/>
        <v>2640.039347259345</v>
      </c>
      <c r="JC419" s="19">
        <f t="shared" si="1148"/>
        <v>4283.7164157747848</v>
      </c>
      <c r="JD419" s="19">
        <f t="shared" si="1149"/>
        <v>2366.6669138934517</v>
      </c>
      <c r="JE419" s="21"/>
      <c r="JF419" s="1">
        <f t="shared" si="1129"/>
        <v>3.2545831732385969E-2</v>
      </c>
      <c r="JG419" s="15">
        <f>INDEX(Input!$1:$1048576,JG$93,$C419*2+6)/(1+VLOOKUP(C419*1000+INDEX(Input!$1:$1048576,JG$93+1,$C419*2+6),$A:$KK,$JK$92,FALSE))</f>
        <v>2329</v>
      </c>
      <c r="JH419" s="1">
        <f t="shared" si="1150"/>
        <v>1.834615558480581E-3</v>
      </c>
      <c r="JI419" s="1">
        <f t="shared" si="1151"/>
        <v>9.4227850805552826E-4</v>
      </c>
      <c r="JJ419" s="1">
        <f t="shared" ref="JJ419" si="1202">SUM(HV419:HX419)/SUM(HY419:IA419)</f>
        <v>0</v>
      </c>
      <c r="JK419" s="1">
        <f t="shared" ref="JK419" si="1203">SUM(JH419:JJ419)</f>
        <v>2.7768940665361093E-3</v>
      </c>
      <c r="JL419" s="15">
        <f t="shared" si="1154"/>
        <v>6.4673862809625984</v>
      </c>
      <c r="JM419" s="15">
        <f t="shared" si="1180"/>
        <v>2335.4673862809627</v>
      </c>
      <c r="JN419" s="21"/>
      <c r="JO419" s="19">
        <f>INDEX(Input!$1:$1048576,JO$93,$C419*2+6)</f>
        <v>5995.5</v>
      </c>
      <c r="JP419" s="19">
        <f>INDEX(Input!$1:$1048576,JP$93,$C419*2+6)</f>
        <v>2341.8685758720158</v>
      </c>
      <c r="JQ419" s="39">
        <f t="shared" si="1166"/>
        <v>3628.8330861065483</v>
      </c>
      <c r="JR419" s="39">
        <f t="shared" si="1183"/>
        <v>24.798338021435939</v>
      </c>
      <c r="JS419" s="39">
        <f t="shared" si="1168"/>
        <v>5.5272733915883725</v>
      </c>
      <c r="JT419" s="39">
        <f t="shared" si="1156"/>
        <v>7.3061478382447739E-2</v>
      </c>
      <c r="JU419" s="385">
        <f>(JQ419*JM419-INDEX(Input!$1:$1048576,Input!A$18,$C419*2+6)*JL419*INDEX(Input!$1:$1048576,Input!A$19,$C419*2+6))/1000000</f>
        <v>8.4750213228591402</v>
      </c>
      <c r="JV419" s="39">
        <f t="shared" si="1190"/>
        <v>-3.4286263934934169E-2</v>
      </c>
      <c r="JW419" s="1">
        <f t="shared" si="1181"/>
        <v>-4.0292660225544506E-3</v>
      </c>
      <c r="JX419" s="19">
        <f t="shared" si="1172"/>
        <v>11296.909633728164</v>
      </c>
      <c r="JZ419" s="341"/>
      <c r="KA419" s="342"/>
      <c r="KB419" s="469">
        <f t="shared" si="1169"/>
        <v>2.3434325605641804</v>
      </c>
      <c r="KI419" s="473">
        <f t="shared" si="1196"/>
        <v>-4.0177792865645188</v>
      </c>
      <c r="KJ419" s="473">
        <f t="shared" si="1197"/>
        <v>1.4383928272170579</v>
      </c>
      <c r="KK419" s="473">
        <f t="shared" si="1158"/>
        <v>9.0467727403101321</v>
      </c>
      <c r="KN419" s="544">
        <f t="shared" si="1173"/>
        <v>4002</v>
      </c>
      <c r="KO419" s="541">
        <f t="shared" si="1133"/>
        <v>-3.4376907928380218E-2</v>
      </c>
      <c r="KP419" s="546">
        <f t="shared" si="1134"/>
        <v>-262.57707974087589</v>
      </c>
      <c r="KQ419" s="546">
        <f t="shared" si="1135"/>
        <v>-258.10427414256947</v>
      </c>
      <c r="KR419" s="548">
        <f t="shared" si="1136"/>
        <v>2.2728220912253354</v>
      </c>
      <c r="KS419" s="548">
        <f t="shared" si="1137"/>
        <v>2.312208852282891</v>
      </c>
      <c r="KT419" s="473">
        <f t="shared" si="1171"/>
        <v>1580.0986321700548</v>
      </c>
      <c r="KU419" s="663">
        <f t="shared" si="1159"/>
        <v>4.0368617498350696</v>
      </c>
      <c r="KV419" s="117"/>
    </row>
    <row r="420" spans="1:308" s="26" customFormat="1" ht="15">
      <c r="A420" s="561">
        <f t="shared" si="1138"/>
        <v>4020</v>
      </c>
      <c r="B420" s="561">
        <f t="shared" si="1160"/>
        <v>20</v>
      </c>
      <c r="C420" s="561">
        <f t="shared" si="1161"/>
        <v>4</v>
      </c>
      <c r="D420" s="765" t="str">
        <f>"Plan B: "&amp;IF(E420=INDEX(E:E,MATCH(C420*1000+2,A:A,0)),"",E420-INDEX(E:E,MATCH(C420*1000+2,A:A,0))&amp;E$100&amp;", ")
&amp;IF(F420=INDEX(F:F,MATCH(C420*1000+2,A:A,0)),"",F420-INDEX(F:F,MATCH(C420*1000+2,A:A,0))&amp;F$100&amp;", ")
&amp;IF(AM420=INDEX(AM:AM,MATCH(C420*1000+2,A:A,0)),"",AM420&amp;AM$100&amp;", ")
&amp;IF(AP420=INDEX(AP:AP,MATCH(C420*1000+2,A:A,0)),"",AP420&amp;AP$100&amp;", ")
&amp;IF(Q420=INDEX(Q:Q,MATCH(C420*1000+2,A:A,0)),"",Q420-INDEX(Q:Q,MATCH(C420*1000+2,A:A,0))&amp;Q$100&amp;", ")
&amp;IF(Y420=INDEX(Y:Y,MATCH(C420*1000+2,A:A,0)),"",Y420-INDEX(Y:Y,MATCH(C420*1000+2,A:A,0))&amp;Y$100&amp;", ")
&amp;IF(Z420=INDEX(Z:Z,MATCH(C420*1000+2,A:A,0)),"",Z420-INDEX(Z:Z,MATCH(C420*1000+2,A:A,0))&amp;Z$100&amp;", ")
&amp;IF(AA420=INDEX(AA:AA,MATCH(C420*1000+2,A:A,0)),"",AA420-INDEX(AA:AA,MATCH(C420*1000+2,A:A,0))&amp;AA$100&amp;", ")
&amp;IF(AC420=INDEX(AC:AC,MATCH(C420*1000+2,A:A,0)),"",AC420-INDEX(AC:AC,MATCH(C420*1000+2,A:A,0))&amp;AC$100&amp;", ")
&amp;IF(AE420=INDEX(AE:AE,MATCH(C420*1000+2,A:A,0)),"",AE420-INDEX(AE:AE,MATCH(C420*1000+2,A:A,0))&amp;AE$100&amp;", ")
&amp;IF(AG420=INDEX(AG:AG,MATCH(C420*1000+2,A:A,0)),"",AG420-INDEX(AG:AG,MATCH(C420*1000+2,A:A,0))&amp;AG$100&amp;", ")
&amp;IF(AI420=INDEX(AI:AI,MATCH(C420*1000+2,A:A,0)),"",AI420-INDEX(AI:AI,MATCH(C420*1000+2,A:A,0))&amp;AI$100&amp;", ")</f>
        <v xml:space="preserve">Plan B: </v>
      </c>
      <c r="E420" s="475">
        <f>INDEX(Input!$1:$1048576,E$93,$C420*2+MIN($B420,2)+5)</f>
        <v>1256.832975525977</v>
      </c>
      <c r="F420" s="475">
        <f>INDEX(Input!$1:$1048576,F$93,$C420*2+MIN($B420,2)+5)</f>
        <v>0</v>
      </c>
      <c r="G420" s="475">
        <f>INDEX(Input!$1:$1048576,G$93,$C420*2+MIN($B420,2)+5)</f>
        <v>0</v>
      </c>
      <c r="H420" s="475">
        <f>INDEX(Input!$1:$1048576,H$93,$C420*2+MIN($B420,2)+5)</f>
        <v>0</v>
      </c>
      <c r="I420" s="476">
        <f>INDEX(Input!$1:$1048576,I$93,$C420*2+MIN($B420,2)+5)</f>
        <v>0.7</v>
      </c>
      <c r="J420" s="476" t="str">
        <f>INDEX(Input!$1:$1048576,J$93,$C420*2+MIN($B420,2)+5)</f>
        <v>Market</v>
      </c>
      <c r="K420" s="476" t="str">
        <f>INDEX(Input!$1:$1048576,K$93,$C420*2+MIN($B420,2)+5)</f>
        <v>Market</v>
      </c>
      <c r="L420" s="476" t="str">
        <f>INDEX(Input!$1:$1048576,L$93,$C420*2+MIN($B420,2)+5)</f>
        <v>Market</v>
      </c>
      <c r="M420" s="476" t="str">
        <f>INDEX(Input!$1:$1048576,M$93,$C420*2+MIN($B420,2)+5)</f>
        <v>Market</v>
      </c>
      <c r="N420" s="476" t="str">
        <f>INDEX(Input!$1:$1048576,N$93,$C420*2+MIN($B420,2)+5)</f>
        <v>Market</v>
      </c>
      <c r="O420" s="476" t="str">
        <f>INDEX(Input!$1:$1048576,O$93,$C420*2+MIN($B420,2)+5)</f>
        <v>Market</v>
      </c>
      <c r="P420" s="476" t="str">
        <f>INDEX(Input!$1:$1048576,P$93,$C420*2+MIN($B420,2)+5)</f>
        <v>N</v>
      </c>
      <c r="Q420" s="477">
        <f>INDEX(Input!$1:$1048576,Q$93,$C420*2+MIN($B420,2)+5)</f>
        <v>0</v>
      </c>
      <c r="R420" s="478">
        <f>IFERROR(MAX(0,INDEX(Input!$1:$1048576,R$93,$C420*2+MIN($B420,2)+5)-0%,),"Market")</f>
        <v>0</v>
      </c>
      <c r="S420" s="478">
        <f>IFERROR(MAX(0,INDEX(Input!$1:$1048576,S$93,$C420*2+MIN($B420,2)+5)-0%,),"Market")</f>
        <v>0</v>
      </c>
      <c r="T420" s="478">
        <f>IFERROR(MAX(0,INDEX(Input!$1:$1048576,T$93,$C420*2+MIN($B420,2)+5)-0%,),"Market")</f>
        <v>0</v>
      </c>
      <c r="U420" s="478">
        <f>IFERROR(MAX(0,INDEX(Input!$1:$1048576,U$93,$C420*2+MIN($B420,2)+5)-0%,),"Market")</f>
        <v>0</v>
      </c>
      <c r="V420" s="478">
        <f>IFERROR(MAX(0,INDEX(Input!$1:$1048576,V$93,$C420*2+MIN($B420,2)+5)-0%,),"Market")</f>
        <v>1.9E-2</v>
      </c>
      <c r="W420" s="885">
        <f>IFERROR(MAX(0,INDEX(Input!$1:$1048576,W$93,$C420*2+MIN($B420,2)+5)-0%,),"Market")</f>
        <v>3.9E-2</v>
      </c>
      <c r="X420" s="476" t="str">
        <f>INDEX(Input!$1:$1048576,X$93,$C420*2+MIN($B420,2)+5)</f>
        <v>Y</v>
      </c>
      <c r="Y420" s="475">
        <f>INDEX(Input!$1:$1048576,Y$93,$C420*2+MIN($B420,2)+5)</f>
        <v>-870</v>
      </c>
      <c r="Z420" s="477">
        <f>INDEX(Input!$1:$1048576,Z$93,$C420*2+MIN($B420,2)+5)</f>
        <v>0</v>
      </c>
      <c r="AA420" s="475">
        <f>INDEX(Input!$1:$1048576,AA$93,$C420*2+MIN($B420,2)+5)</f>
        <v>0</v>
      </c>
      <c r="AB420" s="476">
        <f>INDEX(Input!$1:$1048576,AB$93,$C420*2+MIN($B420,2)+5)</f>
        <v>0.27</v>
      </c>
      <c r="AC420" s="475">
        <f>INDEX(Input!$1:$1048576,AC$93,$C420*2+MIN($B420,2)+5)</f>
        <v>0</v>
      </c>
      <c r="AD420" s="476">
        <f>INDEX(Input!$1:$1048576,AD$93,$C420*2+MIN($B420,2)+5)</f>
        <v>0.27</v>
      </c>
      <c r="AE420" s="475">
        <f>INDEX(Input!$1:$1048576,AE$93,$C420*2+MIN($B420,2)+5)</f>
        <v>0</v>
      </c>
      <c r="AF420" s="476">
        <f>INDEX(Input!$1:$1048576,AF$93,$C420*2+MIN($B420,2)+5)</f>
        <v>1</v>
      </c>
      <c r="AG420" s="475">
        <f>INDEX(Input!$1:$1048576,AG$93,$C420*2+MIN($B420,2)+5)</f>
        <v>500</v>
      </c>
      <c r="AH420" s="476">
        <f>INDEX(Input!$1:$1048576,AH$93,$C420*2+MIN($B420,2)+5)</f>
        <v>0.83199999999999996</v>
      </c>
      <c r="AI420" s="475">
        <f>INDEX(Input!$1:$1048576,AI$93,$C420*2+MIN($B420,2)+5)</f>
        <v>0</v>
      </c>
      <c r="AJ420" s="476">
        <f>INDEX(Input!$1:$1048576,AJ$93,$C420*2+MIN($B420,2)+5)</f>
        <v>0.27</v>
      </c>
      <c r="AK420" s="150">
        <f>ROUND(INDEX(Input!$1:$1048576,AK$93,$C419*2+MIN($B420,1)+5)+(Y420-VLOOKUP($C420*1000+1,$A:$HH,Y$92,FALSE)),0)</f>
        <v>2587</v>
      </c>
      <c r="AL420" s="150">
        <f>ROUND(INDEX(Input!$1:$1048576,AL$93,$C419*2+MIN($B420,1)+5)-(Y420-VLOOKUP($C420*1000+1,$A:$HH,Y$92,FALSE))/36,0)</f>
        <v>3406</v>
      </c>
      <c r="AM420" s="32" t="str">
        <f t="shared" si="1139"/>
        <v>std/std/std/std</v>
      </c>
      <c r="AN420" s="32" t="str">
        <f t="shared" si="1140"/>
        <v>$0 + 0/0/0/1.9/3.9</v>
      </c>
      <c r="AO420" s="32" t="str">
        <f t="shared" si="1141"/>
        <v>0/0/0/1.9/3.9</v>
      </c>
      <c r="AP420" s="32" t="str">
        <f t="shared" si="993"/>
        <v>0/0.9/1.9/3.9</v>
      </c>
      <c r="AQ420" s="536">
        <f t="shared" si="992"/>
        <v>0.42451509721784414</v>
      </c>
      <c r="AR420" s="32"/>
      <c r="AS420" s="302"/>
      <c r="AT420" s="3">
        <f t="shared" si="1162"/>
        <v>20</v>
      </c>
      <c r="AU420" s="41" t="s">
        <v>121</v>
      </c>
      <c r="AV420" s="41" t="s">
        <v>116</v>
      </c>
      <c r="AW420" s="41" t="str">
        <f>INDEX(Input!$1:$1048576,AW$93,$C420*2+6)</f>
        <v>Kia</v>
      </c>
      <c r="AX420" s="41" t="str">
        <f>INDEX(Input!$1:$1048576,AX$93,$C420*2+6)</f>
        <v>Kia-LR - R1</v>
      </c>
      <c r="AY420" s="41" t="str">
        <f>IF(LEN(D420)=0,"",INDEX(Input!$1:$1048576,AY$93,$C420*2+6))</f>
        <v>Compact SUV (52)</v>
      </c>
      <c r="AZ420" s="41" t="str">
        <f>INDEX(Input!$1:$1048576,AZ$93,$C420*2+6)</f>
        <v>Kia Soul</v>
      </c>
      <c r="BA420" s="3">
        <f>INDEX(Input!$1:$1048576,BA$93,$C420*2+6)</f>
        <v>2020</v>
      </c>
      <c r="BB420" s="128">
        <f>INDEX(Input!$1:$1048576,BB$93,$C420*2+6)</f>
        <v>1</v>
      </c>
      <c r="BC420" s="128">
        <f>INDEX(Input!$1:$1048576,BC$93,$C420*2+6)</f>
        <v>0.7</v>
      </c>
      <c r="BD420" s="1">
        <f>INDEX(Input!$1:$1048576,BD$93,$C420*2+6)</f>
        <v>4.4999999999999998E-2</v>
      </c>
      <c r="BE420" s="1">
        <f>INDEX(Input!$1:$1048576,BE$93,$C420*2+6)</f>
        <v>4.4999999999999998E-2</v>
      </c>
      <c r="BF420" s="1">
        <f>INDEX(Input!$1:$1048576,BF$93,$C420*2+6)</f>
        <v>0.05</v>
      </c>
      <c r="BG420" s="1">
        <f>INDEX(Input!$1:$1048576,BG$93,$C420*2+6)</f>
        <v>5.45E-2</v>
      </c>
      <c r="BH420" s="1">
        <f>INDEX(Input!$1:$1048576,BH$93,$C420*2+6)</f>
        <v>5.45E-2</v>
      </c>
      <c r="BI420" s="1">
        <f>INDEX(Input!$1:$1048576,BI$93,$C420*2+6)</f>
        <v>0.05</v>
      </c>
      <c r="BJ420" s="1">
        <f>INDEX(Input!$1:$1048576,BJ$93,$C420*2+6)</f>
        <v>0.05</v>
      </c>
      <c r="BK420" s="1">
        <f>INDEX(Input!$1:$1048576,BK$93,$C420*2+6)</f>
        <v>0.05</v>
      </c>
      <c r="BL420" s="1">
        <f>INDEX(Input!$1:$1048576,BL$93,$C420*2+6)</f>
        <v>5.5E-2</v>
      </c>
      <c r="BM420" s="1">
        <f>INDEX(Input!$1:$1048576,BM$93,$C420*2+6)</f>
        <v>0.06</v>
      </c>
      <c r="BN420" s="1">
        <f>INDEX(Input!$1:$1048576,BN$93,$C420*2+6)</f>
        <v>4.4999999999999998E-2</v>
      </c>
      <c r="BO420" s="1">
        <f>INDEX(Input!$1:$1048576,BO$93,$C420*2+6)</f>
        <v>4.4999999999999998E-2</v>
      </c>
      <c r="BP420" s="1">
        <f>INDEX(Input!$1:$1048576,BP$93,$C420*2+6)</f>
        <v>0.05</v>
      </c>
      <c r="BQ420" s="1">
        <f>INDEX(Input!$1:$1048576,BQ$93,$C420*2+6)</f>
        <v>5.45E-2</v>
      </c>
      <c r="BR420" s="1">
        <f>INDEX(Input!$1:$1048576,BR$93,$C420*2+6)</f>
        <v>5.45E-2</v>
      </c>
      <c r="BS420" s="1">
        <f>INDEX(Input!$1:$1048576,BS$93,$C420*2+6)</f>
        <v>0.05</v>
      </c>
      <c r="BT420" s="1">
        <f>INDEX(Input!$1:$1048576,BT$93,$C420*2+6)</f>
        <v>0.05</v>
      </c>
      <c r="BU420" s="1">
        <f>INDEX(Input!$1:$1048576,BU$93,$C420*2+6)</f>
        <v>0.05</v>
      </c>
      <c r="BV420" s="1">
        <f>INDEX(Input!$1:$1048576,BV$93,$C420*2+6)</f>
        <v>5.5E-2</v>
      </c>
      <c r="BW420" s="1">
        <f>INDEX(Input!$1:$1048576,BW$93,$C420*2+6)</f>
        <v>0.06</v>
      </c>
      <c r="BX420" s="127">
        <f>INDEX(Input!$1:$1048576,BX$93,$C420*2+6)</f>
        <v>19985</v>
      </c>
      <c r="BY420" s="20">
        <f>INDEX(Input!$1:$1048576,BY$93,$C420*2+6)</f>
        <v>0.1</v>
      </c>
      <c r="BZ420" s="20">
        <f>INDEX(Input!$1:$1048576,BZ$93,$C420*2+6)</f>
        <v>0.1</v>
      </c>
      <c r="CA420" s="20">
        <f>INDEX(Input!$1:$1048576,CA$93,$C420*2+6)</f>
        <v>0.1</v>
      </c>
      <c r="CB420" s="20">
        <f>INDEX(Input!$1:$1048576,CB$93,$C420*2+6)</f>
        <v>0.1</v>
      </c>
      <c r="CC420" s="20">
        <f>INDEX(Input!$1:$1048576,CC$93,$C420*2+6)</f>
        <v>0.1</v>
      </c>
      <c r="CD420" s="384">
        <f>INDEX(Input!$1:$1048576,CD$93,$C420*2+6)</f>
        <v>0.1</v>
      </c>
      <c r="CE420" s="384">
        <f>INDEX(Input!$1:$1048576,CE$93,$C420*2+6)</f>
        <v>0.1</v>
      </c>
      <c r="CF420" s="384">
        <f>INDEX(Input!$1:$1048576,CF$93,$C420*2+6)</f>
        <v>0.1</v>
      </c>
      <c r="CG420" s="384">
        <f>INDEX(Input!$1:$1048576,CG$93,$C420*2+6)</f>
        <v>0.1</v>
      </c>
      <c r="CH420" s="384">
        <f>INDEX(Input!$1:$1048576,CH$93,$C420*2+6)</f>
        <v>0.1</v>
      </c>
      <c r="CI420" s="304">
        <f t="shared" si="994"/>
        <v>1256.832975525977</v>
      </c>
      <c r="CJ420" s="16" t="str">
        <f>INDEX(Input!$1:$1048576,CJ$93,$C420*2+6)</f>
        <v>N</v>
      </c>
      <c r="CK420" s="1" t="str">
        <f t="shared" si="995"/>
        <v>Market</v>
      </c>
      <c r="CL420" s="1" t="str">
        <f t="shared" si="996"/>
        <v>Market</v>
      </c>
      <c r="CM420" s="1" t="str">
        <f t="shared" si="997"/>
        <v>Market</v>
      </c>
      <c r="CN420" s="1" t="str">
        <f t="shared" si="998"/>
        <v>Market</v>
      </c>
      <c r="CO420" s="1" t="str">
        <f t="shared" si="999"/>
        <v>Market</v>
      </c>
      <c r="CP420" s="304">
        <f t="shared" si="1000"/>
        <v>416</v>
      </c>
      <c r="CQ420" s="1">
        <f t="shared" si="1001"/>
        <v>0</v>
      </c>
      <c r="CR420" s="1">
        <f t="shared" si="1002"/>
        <v>0</v>
      </c>
      <c r="CS420" s="1">
        <f t="shared" si="1003"/>
        <v>0</v>
      </c>
      <c r="CT420" s="1">
        <f t="shared" si="1004"/>
        <v>1.9E-2</v>
      </c>
      <c r="CU420" s="1">
        <f t="shared" si="1005"/>
        <v>3.9E-2</v>
      </c>
      <c r="CV420" s="304">
        <f t="shared" si="1006"/>
        <v>-870</v>
      </c>
      <c r="CW420" s="20" t="s">
        <v>122</v>
      </c>
      <c r="CX420" s="20" t="s">
        <v>122</v>
      </c>
      <c r="CY420" s="20" t="s">
        <v>122</v>
      </c>
      <c r="CZ420" s="20" t="s">
        <v>122</v>
      </c>
      <c r="DA420" s="20" t="s">
        <v>122</v>
      </c>
      <c r="DB420" s="503">
        <f t="shared" si="1007"/>
        <v>0</v>
      </c>
      <c r="DC420" s="127">
        <v>0</v>
      </c>
      <c r="DD420" s="127">
        <v>0</v>
      </c>
      <c r="DE420" s="127">
        <v>0</v>
      </c>
      <c r="DF420" s="127">
        <v>0</v>
      </c>
      <c r="DG420" s="127">
        <v>0</v>
      </c>
      <c r="DH420" s="127">
        <v>0</v>
      </c>
      <c r="DI420" s="127">
        <v>0</v>
      </c>
      <c r="DJ420" s="127">
        <v>0</v>
      </c>
      <c r="DK420" s="127">
        <v>0</v>
      </c>
      <c r="DL420" s="127">
        <v>0</v>
      </c>
      <c r="DM420" s="304">
        <f>INDEX(Input!$1:$1048576,DM$93,$C420*2+6)</f>
        <v>21036.84210526316</v>
      </c>
      <c r="DN420" s="20">
        <v>0</v>
      </c>
      <c r="DO420" s="20">
        <v>0</v>
      </c>
      <c r="DP420" s="20">
        <v>0</v>
      </c>
      <c r="DQ420" s="20">
        <v>0</v>
      </c>
      <c r="DR420" s="20">
        <v>0</v>
      </c>
      <c r="DS420" s="20">
        <f>INDEX(Input!$1:$1048576,DS$93,$C420*2+6)</f>
        <v>0.6</v>
      </c>
      <c r="DT420" s="20">
        <f>INDEX(Input!$1:$1048576,DT$93,$C420*2+6)</f>
        <v>0.55000000000000004</v>
      </c>
      <c r="DU420" s="20">
        <f>INDEX(Input!$1:$1048576,DU$93,$C420*2+6)</f>
        <v>0.52</v>
      </c>
      <c r="DV420" s="20">
        <f>INDEX(Input!$1:$1048576,DV$93,$C420*2+6)</f>
        <v>0.5</v>
      </c>
      <c r="DW420" s="20">
        <f>INDEX(Input!$1:$1048576,DW$93,$C420*2+6)</f>
        <v>0.45</v>
      </c>
      <c r="DX420" s="20"/>
      <c r="DY420" s="7">
        <v>0.10291711575259833</v>
      </c>
      <c r="DZ420" s="7">
        <v>0</v>
      </c>
      <c r="EA420" s="7">
        <v>0.80155800508931163</v>
      </c>
      <c r="EB420" s="7">
        <v>0</v>
      </c>
      <c r="EC420" s="7">
        <v>0</v>
      </c>
      <c r="ED420" s="7">
        <v>0</v>
      </c>
      <c r="EE420" s="7">
        <v>0</v>
      </c>
      <c r="EF420" s="7">
        <v>0</v>
      </c>
      <c r="EG420" s="7">
        <v>0</v>
      </c>
      <c r="EH420" s="7">
        <v>1.2261360713264327E-2</v>
      </c>
      <c r="EI420" s="7">
        <v>3.2025960002865179E-2</v>
      </c>
      <c r="EJ420" s="7">
        <v>0.22486525192740023</v>
      </c>
      <c r="EK420" s="7">
        <v>0.59351424657119012</v>
      </c>
      <c r="EL420" s="7">
        <v>0.13733318078528051</v>
      </c>
      <c r="EM420" s="7">
        <v>4.3281979305335908E-2</v>
      </c>
      <c r="EN420" s="7">
        <v>5.04702383394642E-2</v>
      </c>
      <c r="EO420" s="7">
        <v>0.71270780937656308</v>
      </c>
      <c r="EP420" s="7">
        <v>0.10248383114125095</v>
      </c>
      <c r="EQ420" s="7">
        <v>9.0018181543692996E-2</v>
      </c>
      <c r="ER420" s="7">
        <v>4.4319939599028385E-2</v>
      </c>
      <c r="ES420" s="7">
        <v>5.2242899852754106E-2</v>
      </c>
      <c r="ET420" s="7">
        <v>9.5524879158090076E-2</v>
      </c>
      <c r="EU420" s="6">
        <v>1770</v>
      </c>
      <c r="EV420" s="6">
        <v>0</v>
      </c>
      <c r="EW420" s="6">
        <v>1770</v>
      </c>
      <c r="EX420" s="6">
        <v>0</v>
      </c>
      <c r="EY420" s="6">
        <v>2483.3031156614329</v>
      </c>
      <c r="EZ420" s="6">
        <v>507</v>
      </c>
      <c r="FA420" s="6">
        <v>0</v>
      </c>
      <c r="FB420" s="6">
        <v>0</v>
      </c>
      <c r="FC420" s="6">
        <v>0</v>
      </c>
      <c r="FD420" s="6">
        <v>0</v>
      </c>
      <c r="FE420" s="6">
        <v>0</v>
      </c>
      <c r="FF420" s="6">
        <v>0</v>
      </c>
      <c r="FG420" s="6">
        <v>0</v>
      </c>
      <c r="FH420" s="6">
        <v>1169.7988357498739</v>
      </c>
      <c r="FI420" s="6">
        <v>1553.9796069512392</v>
      </c>
      <c r="FJ420" s="6">
        <v>2101.211011744741</v>
      </c>
      <c r="FK420" s="6">
        <v>1772.7139978623229</v>
      </c>
      <c r="FL420" s="6">
        <v>907.07682140966358</v>
      </c>
      <c r="FM420" s="6">
        <v>1713.3031156614329</v>
      </c>
      <c r="FN420" s="6">
        <v>0</v>
      </c>
      <c r="FO420" s="6">
        <v>0</v>
      </c>
      <c r="FP420" s="6">
        <v>0</v>
      </c>
      <c r="FQ420" s="6">
        <v>0</v>
      </c>
      <c r="FR420" s="6">
        <v>0</v>
      </c>
      <c r="FS420" s="6">
        <v>0</v>
      </c>
      <c r="FT420" s="7">
        <v>0.90447512084190995</v>
      </c>
      <c r="FU420" s="7">
        <v>4.3281979305335908E-2</v>
      </c>
      <c r="FV420" s="7">
        <v>5.2242899852754106E-2</v>
      </c>
      <c r="FW420" s="6">
        <v>1770</v>
      </c>
      <c r="FX420" s="6">
        <v>2483.3031156614329</v>
      </c>
      <c r="FY420" s="6">
        <v>507</v>
      </c>
      <c r="FZ420" s="6">
        <v>1949.5716051445115</v>
      </c>
      <c r="GA420" s="6">
        <v>1734.8903881764613</v>
      </c>
      <c r="GB420" s="6">
        <v>18250.10961182354</v>
      </c>
      <c r="GC420" s="7">
        <v>3.3872851927908169E-2</v>
      </c>
      <c r="GD420" s="7">
        <v>3.3598045882186636E-2</v>
      </c>
      <c r="GE420" s="7"/>
      <c r="GF420" s="7"/>
      <c r="GG420" s="7">
        <v>-8.1128700443176393E-3</v>
      </c>
      <c r="GH420" s="42">
        <v>0.75523937364216531</v>
      </c>
      <c r="GI420" s="6">
        <v>28196.699315883332</v>
      </c>
      <c r="GJ420" s="14">
        <v>0.50394797582841744</v>
      </c>
      <c r="GK420" s="14">
        <v>0.50887573065309755</v>
      </c>
      <c r="GL420" s="14">
        <v>0.49605202417158273</v>
      </c>
      <c r="GM420" s="14">
        <v>0.49112426934690295</v>
      </c>
      <c r="GO420" s="5">
        <v>343.14810671672558</v>
      </c>
      <c r="GP420" s="5">
        <v>309.37988338875158</v>
      </c>
      <c r="GQ420" s="5">
        <v>535.04305713031317</v>
      </c>
      <c r="GR420" s="5">
        <v>410.15490233172511</v>
      </c>
      <c r="GS420" s="5">
        <v>339.42744393800166</v>
      </c>
      <c r="GT420" s="5">
        <v>293.4407446948278</v>
      </c>
      <c r="GU420" s="5">
        <v>258.04012322764959</v>
      </c>
      <c r="GV420" s="39" t="s">
        <v>392</v>
      </c>
      <c r="GW420" s="5">
        <v>478.23611111111109</v>
      </c>
      <c r="GX420" s="5">
        <v>358.67708333333331</v>
      </c>
      <c r="GY420" s="5">
        <v>286.94166666666666</v>
      </c>
      <c r="GZ420" s="5">
        <v>253.19574071601335</v>
      </c>
      <c r="HA420" s="5">
        <v>234.53733318419432</v>
      </c>
      <c r="HB420" s="39">
        <v>264.3590508178695</v>
      </c>
      <c r="HC420" s="5">
        <v>265.10312499999998</v>
      </c>
      <c r="HD420" s="5">
        <v>224.66580774853799</v>
      </c>
      <c r="HE420" s="5">
        <v>226.90661690283397</v>
      </c>
      <c r="HF420" s="5">
        <v>209.18438048245613</v>
      </c>
      <c r="HG420" s="5">
        <v>200.91388157894738</v>
      </c>
      <c r="HH420" s="39">
        <v>224.49004163162587</v>
      </c>
      <c r="HI420" s="16"/>
      <c r="HJ420" s="19" t="str">
        <f t="shared" ref="HJ420:HK434" si="1204">HJ419</f>
        <v>On</v>
      </c>
      <c r="HK420" s="1" t="str">
        <f t="shared" si="1204"/>
        <v>On</v>
      </c>
      <c r="HL420" s="16"/>
      <c r="HM420" s="639">
        <f t="shared" si="1110"/>
        <v>2.9403358434788716E-2</v>
      </c>
      <c r="HN420" s="639">
        <f t="shared" si="1111"/>
        <v>1.4106809950923669E-3</v>
      </c>
      <c r="HO420" s="639">
        <f t="shared" si="1112"/>
        <v>1.7317923025048877E-3</v>
      </c>
      <c r="HP420" s="644">
        <f>(FT420*$GD420-HM420)/$JF420*INDEX(Input!$1:$1048576,$JG$93,$C420*2+6)</f>
        <v>70.504257731201051</v>
      </c>
      <c r="HQ420" s="644">
        <f>(FU420*$GD420-HN420)/$JF420*INDEX(Input!$1:$1048576,$JG$93,$C420*2+6)</f>
        <v>3.1135262497059357</v>
      </c>
      <c r="HR420" s="644">
        <f>(FV420*$GD420-HO420)/$JF420*INDEX(Input!$1:$1048576,$JG$93,$C420*2+6)</f>
        <v>1.6793162756267859</v>
      </c>
      <c r="HS420" s="644">
        <f t="shared" si="1113"/>
        <v>-36.767042479690986</v>
      </c>
      <c r="HT420" s="644">
        <f t="shared" si="1114"/>
        <v>44.839105761971567</v>
      </c>
      <c r="HU420" s="644">
        <f t="shared" si="1115"/>
        <v>6.2426172446369526</v>
      </c>
      <c r="HV420" s="648">
        <f t="shared" si="1116"/>
        <v>0</v>
      </c>
      <c r="HW420" s="648">
        <f t="shared" si="1117"/>
        <v>0</v>
      </c>
      <c r="HX420" s="648">
        <f t="shared" si="1118"/>
        <v>0</v>
      </c>
      <c r="HY420" s="644">
        <f>INDEX(Input!$1:$1048576,HY$93,$C420*2+6)*INDEX(Input!$1:$1048576,$JG$93,$C420*2+6)</f>
        <v>993</v>
      </c>
      <c r="HZ420" s="644">
        <f>INDEX(Input!$1:$1048576,HZ$93,$C420*2+6)*INDEX(Input!$1:$1048576,$JG$93,$C420*2+6)</f>
        <v>1216</v>
      </c>
      <c r="IA420" s="644">
        <f>INDEX(Input!$1:$1048576,IA$93,$C420*2+6)*INDEX(Input!$1:$1048576,$JG$93,$C420*2+6)</f>
        <v>120</v>
      </c>
      <c r="IB420" s="644">
        <f t="shared" si="1142"/>
        <v>1026.73721525151</v>
      </c>
      <c r="IC420" s="644">
        <f t="shared" si="1143"/>
        <v>1263.9526320116775</v>
      </c>
      <c r="ID420" s="644">
        <f>IF(AND(INDEX(Input!$1:$1048576,IA$93,$C420*2+7)="TOS",Y420&lt;=INDEX(Y:Y,MATCH(C420*1000+2,A:A))),0,1)*MAX(IA420+HR420+HU420+HX420,0%)</f>
        <v>127.92193352026374</v>
      </c>
      <c r="IE420" s="128">
        <f t="shared" ref="IE420" si="1205">IB420/SUM($IB420:$ID420)</f>
        <v>0.42451509721784414</v>
      </c>
      <c r="IF420" s="128">
        <f t="shared" si="1165"/>
        <v>0.52259425925819747</v>
      </c>
      <c r="IG420" s="128">
        <f t="shared" si="1120"/>
        <v>5.2890643523958399E-2</v>
      </c>
      <c r="IH420" s="21"/>
      <c r="II420" s="19">
        <f t="shared" si="1121"/>
        <v>1490</v>
      </c>
      <c r="IJ420" s="19">
        <f t="shared" si="1122"/>
        <v>2203.2561351629856</v>
      </c>
      <c r="IK420" s="19">
        <f t="shared" si="1123"/>
        <v>242</v>
      </c>
      <c r="IL420" s="19">
        <f t="shared" si="1145"/>
        <v>280</v>
      </c>
      <c r="IM420" s="19">
        <f t="shared" si="1124"/>
        <v>280.04698049844728</v>
      </c>
      <c r="IN420" s="19">
        <f t="shared" si="1125"/>
        <v>265</v>
      </c>
      <c r="IO420" s="39">
        <f t="shared" si="1126"/>
        <v>0</v>
      </c>
      <c r="IP420" s="39">
        <f t="shared" si="1127"/>
        <v>0</v>
      </c>
      <c r="IQ420" s="39">
        <f t="shared" si="1128"/>
        <v>0</v>
      </c>
      <c r="IR420" s="39">
        <v>0</v>
      </c>
      <c r="IS420" s="39">
        <v>0</v>
      </c>
      <c r="IT420" s="39">
        <v>0</v>
      </c>
      <c r="IU420" s="39">
        <v>0</v>
      </c>
      <c r="IV420" s="39">
        <v>0</v>
      </c>
      <c r="IW420" s="39">
        <v>0</v>
      </c>
      <c r="IX420" s="39">
        <f>INDEX(Input!$1:$1048576,IX$93,$C420*2+6)+INDEX(Input!$1:$1048576,IX$94,$C420*2+6)</f>
        <v>1770</v>
      </c>
      <c r="IY420" s="39">
        <f>INDEX(Input!$1:$1048576,IY$93,$C420*2+6)+INDEX(Input!$1:$1048576,IY$94,$C420*2+6)</f>
        <v>2630.0624533823611</v>
      </c>
      <c r="IZ420" s="39">
        <f>INDEX(Input!$1:$1048576,IZ$93,$C420*2+6)+INDEX(Input!$1:$1048576,IZ$94,$C420*2+6)</f>
        <v>4153.7164157747848</v>
      </c>
      <c r="JA420" s="19">
        <f t="shared" si="1146"/>
        <v>2050</v>
      </c>
      <c r="JB420" s="19">
        <f t="shared" si="1147"/>
        <v>2910.1094338808084</v>
      </c>
      <c r="JC420" s="19">
        <f t="shared" si="1148"/>
        <v>4418.7164157747848</v>
      </c>
      <c r="JD420" s="19">
        <f t="shared" si="1149"/>
        <v>2624.7711880360212</v>
      </c>
      <c r="JE420" s="21"/>
      <c r="JF420" s="1">
        <f t="shared" si="1129"/>
        <v>3.2545831732385969E-2</v>
      </c>
      <c r="JG420" s="15">
        <f>INDEX(Input!$1:$1048576,JG$93,$C420*2+6)/(1+VLOOKUP(C420*1000+INDEX(Input!$1:$1048576,JG$93+1,$C420*2+6),$A:$KK,$JK$92,FALSE))</f>
        <v>2329</v>
      </c>
      <c r="JH420" s="1">
        <f t="shared" si="1150"/>
        <v>3.2330227675626357E-2</v>
      </c>
      <c r="JI420" s="1">
        <f t="shared" si="1151"/>
        <v>6.1462775985047383E-3</v>
      </c>
      <c r="JJ420" s="1">
        <f t="shared" si="1189"/>
        <v>0</v>
      </c>
      <c r="JK420" s="1">
        <f t="shared" si="1193"/>
        <v>3.8476505274131094E-2</v>
      </c>
      <c r="JL420" s="15">
        <f t="shared" si="1154"/>
        <v>89.611780783451323</v>
      </c>
      <c r="JM420" s="15">
        <f t="shared" si="1180"/>
        <v>2418.6117807834512</v>
      </c>
      <c r="JN420" s="21"/>
      <c r="JO420" s="19">
        <f>INDEX(Input!$1:$1048576,JO$93,$C420*2+6)</f>
        <v>5995.5</v>
      </c>
      <c r="JP420" s="19">
        <f>INDEX(Input!$1:$1048576,JP$93,$C420*2+6)</f>
        <v>2341.8685758720158</v>
      </c>
      <c r="JQ420" s="39">
        <f t="shared" si="1166"/>
        <v>3370.7288119639788</v>
      </c>
      <c r="JR420" s="39">
        <f t="shared" si="1183"/>
        <v>282.9026121640054</v>
      </c>
      <c r="JS420" s="39">
        <f t="shared" si="1168"/>
        <v>6.3483025172448961</v>
      </c>
      <c r="JT420" s="39">
        <f t="shared" si="1156"/>
        <v>0.89409060403897145</v>
      </c>
      <c r="JU420" s="385">
        <f>(JQ420*JM420-INDEX(Input!$1:$1048576,Input!A$18,$C420*2+6)*JL420*INDEX(Input!$1:$1048576,Input!A$19,$C420*2+6))/1000000</f>
        <v>8.1524844144422861</v>
      </c>
      <c r="JV420" s="39">
        <f t="shared" si="1190"/>
        <v>-0.35682317235178829</v>
      </c>
      <c r="JW420" s="1">
        <f t="shared" si="1181"/>
        <v>-4.1933279378166571E-2</v>
      </c>
      <c r="JX420" s="19">
        <f t="shared" si="1172"/>
        <v>9977.3779320328376</v>
      </c>
      <c r="JZ420" s="341"/>
      <c r="KA420" s="342"/>
      <c r="KB420" s="469">
        <f t="shared" si="1169"/>
        <v>2.3434325605641804</v>
      </c>
      <c r="KI420" s="473">
        <f t="shared" si="1196"/>
        <v>33.737215251509951</v>
      </c>
      <c r="KJ420" s="473">
        <f t="shared" si="1197"/>
        <v>47.952632011677451</v>
      </c>
      <c r="KK420" s="473">
        <f t="shared" si="1158"/>
        <v>7.9219335202637353</v>
      </c>
      <c r="KN420" s="544">
        <f t="shared" si="1173"/>
        <v>4002</v>
      </c>
      <c r="KO420" s="541">
        <f t="shared" si="1133"/>
        <v>0</v>
      </c>
      <c r="KP420" s="546">
        <f t="shared" si="1134"/>
        <v>0</v>
      </c>
      <c r="KQ420" s="546">
        <f t="shared" si="1135"/>
        <v>0</v>
      </c>
      <c r="KR420" s="548" t="e">
        <f t="shared" si="1136"/>
        <v>#DIV/0!</v>
      </c>
      <c r="KS420" s="548" t="e">
        <f t="shared" si="1137"/>
        <v>#DIV/0!</v>
      </c>
      <c r="KT420" s="473">
        <f t="shared" si="1171"/>
        <v>1580.0986321700548</v>
      </c>
      <c r="KU420" s="663">
        <f t="shared" si="1159"/>
        <v>4.04055043496591</v>
      </c>
      <c r="KV420" s="117"/>
    </row>
    <row r="421" spans="1:308" s="26" customFormat="1" ht="15">
      <c r="A421" s="561">
        <f t="shared" si="1138"/>
        <v>4021</v>
      </c>
      <c r="B421" s="561">
        <f t="shared" si="1160"/>
        <v>21</v>
      </c>
      <c r="C421" s="561">
        <f t="shared" si="1161"/>
        <v>4</v>
      </c>
      <c r="D421" s="561" t="str">
        <f t="shared" ref="D421:D484" si="1206">IF(E421=INDEX(E:E,MATCH(C421*1000+2,A:A,0)),"",E421-INDEX(E:E,MATCH(C421*1000+2,A:A,0))&amp;E$100&amp;", ")
&amp;IF(F421=INDEX(F:F,MATCH(C421*1000+2,A:A,0)),"",F421-INDEX(F:F,MATCH(C421*1000+2,A:A,0))&amp;F$100&amp;", ")
&amp;IF(AM421=INDEX(AM:AM,MATCH(C421*1000+2,A:A,0)),"",AM421&amp;AM$100&amp;", ")
&amp;IF(AP421=INDEX(AP:AP,MATCH(C421*1000+2,A:A,0)),"",AP421&amp;AP$100&amp;", ")
&amp;IF(Q421=INDEX(Q:Q,MATCH(C421*1000+2,A:A,0)),"",Q421-INDEX(Q:Q,MATCH(C421*1000+2,A:A,0))&amp;Q$100&amp;", ")
&amp;IF(Y421=INDEX(Y:Y,MATCH(C421*1000+2,A:A,0)),"",Y421-INDEX(Y:Y,MATCH(C421*1000+2,A:A,0))&amp;Y$100&amp;", ")
&amp;IF(Z421=INDEX(Z:Z,MATCH(C421*1000+2,A:A,0)),"",Z421-INDEX(Z:Z,MATCH(C421*1000+2,A:A,0))&amp;Z$100&amp;", ")
&amp;IF(AA421=INDEX(AA:AA,MATCH(C421*1000+2,A:A,0)),"",AA421-INDEX(AA:AA,MATCH(C421*1000+2,A:A,0))&amp;AA$100&amp;", ")
&amp;IF(AC421=INDEX(AC:AC,MATCH(C421*1000+2,A:A,0)),"",AC421-INDEX(AC:AC,MATCH(C421*1000+2,A:A,0))&amp;AC$100&amp;", ")
&amp;IF(AE421=INDEX(AE:AE,MATCH(C421*1000+2,A:A,0)),"",AE421-INDEX(AE:AE,MATCH(C421*1000+2,A:A,0))&amp;AE$100&amp;", ")
&amp;IF(AG421=INDEX(AG:AG,MATCH(C421*1000+2,A:A,0)),"",AG421-INDEX(AG:AG,MATCH(C421*1000+2,A:A,0))&amp;AG$100&amp;", ")
&amp;IF(AI421=INDEX(AI:AI,MATCH(C421*1000+2,A:A,0)),"",AI421-INDEX(AI:AI,MATCH(C421*1000+2,A:A,0))&amp;AI$100&amp;", ")</f>
        <v xml:space="preserve">0/0/0.9/3.9, </v>
      </c>
      <c r="E421" s="475">
        <f>INDEX(Input!$1:$1048576,E$93,$C421*2+MIN($B421,2)+5)
+INDEX(Scenarios!E$121:E$200,MATCH($B421,Scenarios!$B$121:$B$200,0))</f>
        <v>1256.832975525977</v>
      </c>
      <c r="F421" s="475">
        <f>INDEX(Input!$1:$1048576,F$93,$C421*2+MIN($B421,2)+5)
+INDEX(Scenarios!F$121:F$200,MATCH($B421,Scenarios!$B$121:$B$200,0))</f>
        <v>0</v>
      </c>
      <c r="G421" s="475">
        <f>INDEX(Input!$1:$1048576,G$93,$C421*2+MIN($B421,2)+5)
+INDEX(Scenarios!G$121:G$200,MATCH($B421,Scenarios!$B$121:$B$200,0))</f>
        <v>0</v>
      </c>
      <c r="H421" s="475">
        <f>INDEX(Input!$1:$1048576,H$93,$C421*2+MIN($B421,2)+5)
+INDEX(Scenarios!H$121:H$200,MATCH($B421,Scenarios!$B$121:$B$200,0))</f>
        <v>0</v>
      </c>
      <c r="I421" s="476">
        <f>INDEX(Input!$1:$1048576,I$93,$C421*2+MIN($B421,2)+5)</f>
        <v>0.7</v>
      </c>
      <c r="J421" s="476" t="str">
        <f>INDEX(Input!$1:$1048576,J$93,$C421*2+MIN($B421,2)+5)</f>
        <v>Market</v>
      </c>
      <c r="K421" s="476" t="str">
        <f>INDEX(Input!$1:$1048576,K$93,$C421*2+MIN($B421,2)+5)</f>
        <v>Market</v>
      </c>
      <c r="L421" s="476" t="str">
        <f>INDEX(Input!$1:$1048576,L$93,$C421*2+MIN($B421,2)+5)</f>
        <v>Market</v>
      </c>
      <c r="M421" s="476" t="str">
        <f>INDEX(Input!$1:$1048576,M$93,$C421*2+MIN($B421,2)+5)</f>
        <v>Market</v>
      </c>
      <c r="N421" s="476" t="str">
        <f>INDEX(Input!$1:$1048576,N$93,$C421*2+MIN($B421,2)+5)</f>
        <v>Market</v>
      </c>
      <c r="O421" s="476" t="str">
        <f>INDEX(Input!$1:$1048576,O$93,$C421*2+MIN($B421,2)+5)</f>
        <v>Market</v>
      </c>
      <c r="P421" s="476" t="str">
        <f>INDEX(Input!$1:$1048576,P$93,$C421*2+MIN($B421,2)+5)</f>
        <v>N</v>
      </c>
      <c r="Q421" s="477">
        <f>INDEX(Input!$1:$1048576,Q$93,$C421*2+MIN($B421,2)+5)
+INDEX(Scenarios!Q$121:Q$200,MATCH($B421,Scenarios!$B$121:$B$200,0))</f>
        <v>0</v>
      </c>
      <c r="R421" s="478">
        <f>IFERROR(MAX(0,INDEX(Input!$1:$1048576,R$93,$C421*2+MIN($B421,2)+5)
+INDEX(Scenarios!R$121:R$200,MATCH($B421,Scenarios!$B$121:$B$200,0)),),"Market")</f>
        <v>0</v>
      </c>
      <c r="S421" s="478">
        <f>IFERROR(MAX(0,INDEX(Input!$1:$1048576,S$93,$C421*2+MIN($B421,2)+5)
+INDEX(Scenarios!S$121:S$200,MATCH($B421,Scenarios!$B$121:$B$200,0)),),"Market")</f>
        <v>0</v>
      </c>
      <c r="T421" s="478">
        <f>IFERROR(MAX(0,INDEX(Input!$1:$1048576,T$93,$C421*2+MIN($B421,2)+5)
+INDEX(Scenarios!T$121:T$200,MATCH($B421,Scenarios!$B$121:$B$200,0)),),"Market")</f>
        <v>0</v>
      </c>
      <c r="U421" s="478">
        <f>IFERROR(MAX(0,INDEX(Input!$1:$1048576,U$93,$C421*2+MIN($B421,2)+5)
+INDEX(Scenarios!U$121:U$200,MATCH($B421,Scenarios!$B$121:$B$200,0)),),"Market")</f>
        <v>0</v>
      </c>
      <c r="V421" s="478">
        <f>IFERROR(MAX(0,INDEX(Input!$1:$1048576,V$93,$C421*2+MIN($B421,2)+5)
+INDEX(Scenarios!V$121:V$200,MATCH($B421,Scenarios!$B$121:$B$200,0)),),"Market")</f>
        <v>8.9999999999999993E-3</v>
      </c>
      <c r="W421" s="885">
        <f>IFERROR(MAX(0,INDEX(Input!$1:$1048576,W$93,$C421*2+MIN($B421,2)+5)-0%,),"Market")</f>
        <v>3.9E-2</v>
      </c>
      <c r="X421" s="476" t="str">
        <f>INDEX(Input!$1:$1048576,X$93,$C421*2+MIN($B421,2)+5)</f>
        <v>Y</v>
      </c>
      <c r="Y421" s="475">
        <f>INDEX(Input!$1:$1048576,Y$93,$C421*2+MIN($B421,2)+5)
++INDEX(Scenarios!Y$121:Y$200,MATCH($B421,Scenarios!$B$121:$B$200,0))</f>
        <v>-870</v>
      </c>
      <c r="Z421" s="477">
        <f>INDEX(Input!$1:$1048576,Z$93,$C421*2+MIN($B421,2)+5)
+INDEX(Scenarios!Z$121:Z$200,MATCH($B421,Scenarios!$B$121:$B$200,0))</f>
        <v>0</v>
      </c>
      <c r="AA421" s="475">
        <f>INDEX(Input!$1:$1048576,AA$93,$C421*2+MIN($B421,2)+5)
+INDEX(Scenarios!AA$121:AA$200,MATCH($B421,Scenarios!$B$121:$B$200,0))</f>
        <v>0</v>
      </c>
      <c r="AB421" s="476">
        <f>INDEX(Input!$1:$1048576,AB$93,$C421*2+MIN($B421,2)+5)</f>
        <v>0.27</v>
      </c>
      <c r="AC421" s="475">
        <f>INDEX(Input!$1:$1048576,AC$93,$C421*2+MIN($B421,2)+5)
+INDEX(Scenarios!AC$121:AC$200,MATCH($B421,Scenarios!$B$121:$B$200,0))</f>
        <v>0</v>
      </c>
      <c r="AD421" s="476">
        <f>INDEX(Input!$1:$1048576,AD$93,$C421*2+MIN($B421,2)+5)</f>
        <v>0.27</v>
      </c>
      <c r="AE421" s="475">
        <f>INDEX(Input!$1:$1048576,AE$93,$C421*2+MIN($B421,2)+5)
+INDEX(Scenarios!AE$121:AE$200,MATCH($B421,Scenarios!$B$121:$B$200,0))</f>
        <v>0</v>
      </c>
      <c r="AF421" s="476">
        <f>INDEX(Input!$1:$1048576,AF$93,$C421*2+MIN($B421,2)+5)</f>
        <v>1</v>
      </c>
      <c r="AG421" s="475">
        <f>INDEX(Input!$1:$1048576,AG$93,$C421*2+MIN($B421,2)+5)
+INDEX(Scenarios!AG$121:AG$200,MATCH($B421,Scenarios!$B$121:$B$200,0))</f>
        <v>500</v>
      </c>
      <c r="AH421" s="476">
        <f>INDEX(Input!$1:$1048576,AH$93,$C421*2+MIN($B421,2)+5)</f>
        <v>0.83199999999999996</v>
      </c>
      <c r="AI421" s="475">
        <f>INDEX(Input!$1:$1048576,AI$93,$C421*2+MIN($B421,2)+5)
+INDEX(Scenarios!AI$121:AI$200,MATCH($B421,Scenarios!$B$121:$B$200,0))</f>
        <v>0</v>
      </c>
      <c r="AJ421" s="476">
        <f>INDEX(Input!$1:$1048576,AJ$93,$C421*2+MIN($B421,2)+5)</f>
        <v>0.27</v>
      </c>
      <c r="AK421" s="150">
        <f>ROUND(INDEX(Input!$1:$1048576,AK$93,$C420*2+MIN($B421,1)+5)+(Y421-VLOOKUP($C421*1000+1,$A:$HH,Y$92,FALSE)),0)</f>
        <v>2587</v>
      </c>
      <c r="AL421" s="150">
        <f>ROUND(INDEX(Input!$1:$1048576,AL$93,$C420*2+MIN($B421,1)+5)-(Y421-VLOOKUP($C421*1000+1,$A:$HH,Y$92,FALSE))/36,0)</f>
        <v>3406</v>
      </c>
      <c r="AM421" s="32" t="str">
        <f t="shared" si="1139"/>
        <v>std/std/std/std</v>
      </c>
      <c r="AN421" s="32" t="str">
        <f t="shared" si="1140"/>
        <v>$0 + 0/0/0/0.9/3.9</v>
      </c>
      <c r="AO421" s="32" t="str">
        <f t="shared" si="1141"/>
        <v>0/0/0/0.9/3.9</v>
      </c>
      <c r="AP421" s="32" t="str">
        <f t="shared" si="993"/>
        <v>0/0/0.9/3.9</v>
      </c>
      <c r="AQ421" s="536">
        <f t="shared" ref="AQ421:AQ484" si="1207">SUM(IE421,G421*IF421,H421*IG421,AC421*AD421,AE421*AF421,AI421)</f>
        <v>0.40509571496178742</v>
      </c>
      <c r="AR421" s="32"/>
      <c r="AS421" s="302"/>
      <c r="AT421" s="3">
        <f t="shared" si="1162"/>
        <v>21</v>
      </c>
      <c r="AU421" s="41" t="s">
        <v>121</v>
      </c>
      <c r="AV421" s="41" t="s">
        <v>116</v>
      </c>
      <c r="AW421" s="41" t="str">
        <f>INDEX(Input!$1:$1048576,AW$93,$C421*2+6)</f>
        <v>Kia</v>
      </c>
      <c r="AX421" s="41" t="str">
        <f>INDEX(Input!$1:$1048576,AX$93,$C421*2+6)</f>
        <v>Kia-LR - R1</v>
      </c>
      <c r="AY421" s="41" t="str">
        <f>IF(LEN(D421)=0,"",INDEX(Input!$1:$1048576,AY$93,$C421*2+6))</f>
        <v>Compact SUV (52)</v>
      </c>
      <c r="AZ421" s="41" t="str">
        <f>INDEX(Input!$1:$1048576,AZ$93,$C421*2+6)</f>
        <v>Kia Soul</v>
      </c>
      <c r="BA421" s="3">
        <f>INDEX(Input!$1:$1048576,BA$93,$C421*2+6)</f>
        <v>2020</v>
      </c>
      <c r="BB421" s="128">
        <f>INDEX(Input!$1:$1048576,BB$93,$C421*2+6)</f>
        <v>1</v>
      </c>
      <c r="BC421" s="128">
        <f>INDEX(Input!$1:$1048576,BC$93,$C421*2+6)</f>
        <v>0.7</v>
      </c>
      <c r="BD421" s="1">
        <f>INDEX(Input!$1:$1048576,BD$93,$C421*2+6)</f>
        <v>4.4999999999999998E-2</v>
      </c>
      <c r="BE421" s="1">
        <f>INDEX(Input!$1:$1048576,BE$93,$C421*2+6)</f>
        <v>4.4999999999999998E-2</v>
      </c>
      <c r="BF421" s="1">
        <f>INDEX(Input!$1:$1048576,BF$93,$C421*2+6)</f>
        <v>0.05</v>
      </c>
      <c r="BG421" s="1">
        <f>INDEX(Input!$1:$1048576,BG$93,$C421*2+6)</f>
        <v>5.45E-2</v>
      </c>
      <c r="BH421" s="1">
        <f>INDEX(Input!$1:$1048576,BH$93,$C421*2+6)</f>
        <v>5.45E-2</v>
      </c>
      <c r="BI421" s="1">
        <f>INDEX(Input!$1:$1048576,BI$93,$C421*2+6)</f>
        <v>0.05</v>
      </c>
      <c r="BJ421" s="1">
        <f>INDEX(Input!$1:$1048576,BJ$93,$C421*2+6)</f>
        <v>0.05</v>
      </c>
      <c r="BK421" s="1">
        <f>INDEX(Input!$1:$1048576,BK$93,$C421*2+6)</f>
        <v>0.05</v>
      </c>
      <c r="BL421" s="1">
        <f>INDEX(Input!$1:$1048576,BL$93,$C421*2+6)</f>
        <v>5.5E-2</v>
      </c>
      <c r="BM421" s="1">
        <f>INDEX(Input!$1:$1048576,BM$93,$C421*2+6)</f>
        <v>0.06</v>
      </c>
      <c r="BN421" s="1">
        <f>INDEX(Input!$1:$1048576,BN$93,$C421*2+6)</f>
        <v>4.4999999999999998E-2</v>
      </c>
      <c r="BO421" s="1">
        <f>INDEX(Input!$1:$1048576,BO$93,$C421*2+6)</f>
        <v>4.4999999999999998E-2</v>
      </c>
      <c r="BP421" s="1">
        <f>INDEX(Input!$1:$1048576,BP$93,$C421*2+6)</f>
        <v>0.05</v>
      </c>
      <c r="BQ421" s="1">
        <f>INDEX(Input!$1:$1048576,BQ$93,$C421*2+6)</f>
        <v>5.45E-2</v>
      </c>
      <c r="BR421" s="1">
        <f>INDEX(Input!$1:$1048576,BR$93,$C421*2+6)</f>
        <v>5.45E-2</v>
      </c>
      <c r="BS421" s="1">
        <f>INDEX(Input!$1:$1048576,BS$93,$C421*2+6)</f>
        <v>0.05</v>
      </c>
      <c r="BT421" s="1">
        <f>INDEX(Input!$1:$1048576,BT$93,$C421*2+6)</f>
        <v>0.05</v>
      </c>
      <c r="BU421" s="1">
        <f>INDEX(Input!$1:$1048576,BU$93,$C421*2+6)</f>
        <v>0.05</v>
      </c>
      <c r="BV421" s="1">
        <f>INDEX(Input!$1:$1048576,BV$93,$C421*2+6)</f>
        <v>5.5E-2</v>
      </c>
      <c r="BW421" s="1">
        <f>INDEX(Input!$1:$1048576,BW$93,$C421*2+6)</f>
        <v>0.06</v>
      </c>
      <c r="BX421" s="127">
        <f>INDEX(Input!$1:$1048576,BX$93,$C421*2+6)</f>
        <v>19985</v>
      </c>
      <c r="BY421" s="20">
        <f>INDEX(Input!$1:$1048576,BY$93,$C421*2+6)</f>
        <v>0.1</v>
      </c>
      <c r="BZ421" s="20">
        <f>INDEX(Input!$1:$1048576,BZ$93,$C421*2+6)</f>
        <v>0.1</v>
      </c>
      <c r="CA421" s="20">
        <f>INDEX(Input!$1:$1048576,CA$93,$C421*2+6)</f>
        <v>0.1</v>
      </c>
      <c r="CB421" s="20">
        <f>INDEX(Input!$1:$1048576,CB$93,$C421*2+6)</f>
        <v>0.1</v>
      </c>
      <c r="CC421" s="20">
        <f>INDEX(Input!$1:$1048576,CC$93,$C421*2+6)</f>
        <v>0.1</v>
      </c>
      <c r="CD421" s="384">
        <f>INDEX(Input!$1:$1048576,CD$93,$C421*2+6)</f>
        <v>0.1</v>
      </c>
      <c r="CE421" s="384">
        <f>INDEX(Input!$1:$1048576,CE$93,$C421*2+6)</f>
        <v>0.1</v>
      </c>
      <c r="CF421" s="384">
        <f>INDEX(Input!$1:$1048576,CF$93,$C421*2+6)</f>
        <v>0.1</v>
      </c>
      <c r="CG421" s="384">
        <f>INDEX(Input!$1:$1048576,CG$93,$C421*2+6)</f>
        <v>0.1</v>
      </c>
      <c r="CH421" s="384">
        <f>INDEX(Input!$1:$1048576,CH$93,$C421*2+6)</f>
        <v>0.1</v>
      </c>
      <c r="CI421" s="304">
        <f t="shared" si="994"/>
        <v>1256.832975525977</v>
      </c>
      <c r="CJ421" s="16" t="str">
        <f>INDEX(Input!$1:$1048576,CJ$93,$C421*2+6)</f>
        <v>N</v>
      </c>
      <c r="CK421" s="1" t="str">
        <f t="shared" si="995"/>
        <v>Market</v>
      </c>
      <c r="CL421" s="1" t="str">
        <f t="shared" si="996"/>
        <v>Market</v>
      </c>
      <c r="CM421" s="1" t="str">
        <f t="shared" si="997"/>
        <v>Market</v>
      </c>
      <c r="CN421" s="1" t="str">
        <f t="shared" si="998"/>
        <v>Market</v>
      </c>
      <c r="CO421" s="1" t="str">
        <f t="shared" si="999"/>
        <v>Market</v>
      </c>
      <c r="CP421" s="304">
        <f t="shared" si="1000"/>
        <v>416</v>
      </c>
      <c r="CQ421" s="1">
        <f t="shared" si="1001"/>
        <v>0</v>
      </c>
      <c r="CR421" s="1">
        <f t="shared" si="1002"/>
        <v>0</v>
      </c>
      <c r="CS421" s="1">
        <f t="shared" si="1003"/>
        <v>0</v>
      </c>
      <c r="CT421" s="1">
        <f t="shared" si="1004"/>
        <v>8.9999999999999993E-3</v>
      </c>
      <c r="CU421" s="1">
        <f t="shared" si="1005"/>
        <v>3.9E-2</v>
      </c>
      <c r="CV421" s="304">
        <f t="shared" si="1006"/>
        <v>-870</v>
      </c>
      <c r="CW421" s="20" t="s">
        <v>122</v>
      </c>
      <c r="CX421" s="20" t="s">
        <v>122</v>
      </c>
      <c r="CY421" s="20" t="s">
        <v>122</v>
      </c>
      <c r="CZ421" s="20" t="s">
        <v>122</v>
      </c>
      <c r="DA421" s="20" t="s">
        <v>122</v>
      </c>
      <c r="DB421" s="503">
        <f t="shared" si="1007"/>
        <v>0</v>
      </c>
      <c r="DC421" s="127">
        <v>0</v>
      </c>
      <c r="DD421" s="127">
        <v>0</v>
      </c>
      <c r="DE421" s="127">
        <v>0</v>
      </c>
      <c r="DF421" s="127">
        <v>0</v>
      </c>
      <c r="DG421" s="127">
        <v>0</v>
      </c>
      <c r="DH421" s="127">
        <v>0</v>
      </c>
      <c r="DI421" s="127">
        <v>0</v>
      </c>
      <c r="DJ421" s="127">
        <v>0</v>
      </c>
      <c r="DK421" s="127">
        <v>0</v>
      </c>
      <c r="DL421" s="127">
        <v>0</v>
      </c>
      <c r="DM421" s="304">
        <f>INDEX(Input!$1:$1048576,DM$93,$C421*2+6)</f>
        <v>21036.84210526316</v>
      </c>
      <c r="DN421" s="20">
        <v>0</v>
      </c>
      <c r="DO421" s="20">
        <v>0</v>
      </c>
      <c r="DP421" s="20">
        <v>0</v>
      </c>
      <c r="DQ421" s="20">
        <v>0</v>
      </c>
      <c r="DR421" s="20">
        <v>0</v>
      </c>
      <c r="DS421" s="20">
        <f>INDEX(Input!$1:$1048576,DS$93,$C421*2+6)</f>
        <v>0.6</v>
      </c>
      <c r="DT421" s="20">
        <f>INDEX(Input!$1:$1048576,DT$93,$C421*2+6)</f>
        <v>0.55000000000000004</v>
      </c>
      <c r="DU421" s="20">
        <f>INDEX(Input!$1:$1048576,DU$93,$C421*2+6)</f>
        <v>0.52</v>
      </c>
      <c r="DV421" s="20">
        <f>INDEX(Input!$1:$1048576,DV$93,$C421*2+6)</f>
        <v>0.5</v>
      </c>
      <c r="DW421" s="20">
        <f>INDEX(Input!$1:$1048576,DW$93,$C421*2+6)</f>
        <v>0.45</v>
      </c>
      <c r="DX421" s="20"/>
      <c r="DY421" s="7">
        <v>0.10161432996273168</v>
      </c>
      <c r="DZ421" s="7">
        <v>0</v>
      </c>
      <c r="EA421" s="7">
        <v>0.7917548932985623</v>
      </c>
      <c r="EB421" s="7">
        <v>0</v>
      </c>
      <c r="EC421" s="7">
        <v>0</v>
      </c>
      <c r="ED421" s="7">
        <v>0</v>
      </c>
      <c r="EE421" s="7">
        <v>0</v>
      </c>
      <c r="EF421" s="7">
        <v>0</v>
      </c>
      <c r="EG421" s="7">
        <v>0</v>
      </c>
      <c r="EH421" s="7">
        <v>9.5106526601495441E-3</v>
      </c>
      <c r="EI421" s="7">
        <v>2.4843968889660714E-2</v>
      </c>
      <c r="EJ421" s="7">
        <v>0.17437754986078841</v>
      </c>
      <c r="EK421" s="7">
        <v>0.68466984822954446</v>
      </c>
      <c r="EL421" s="7">
        <v>0.10659798035985622</v>
      </c>
      <c r="EM421" s="7">
        <v>5.504946622748675E-2</v>
      </c>
      <c r="EN421" s="7">
        <v>5.0467591177057687E-2</v>
      </c>
      <c r="EO421" s="7">
        <v>0.71271288303800373</v>
      </c>
      <c r="EP421" s="7">
        <v>0.10249146835247709</v>
      </c>
      <c r="EQ421" s="7">
        <v>9.0022075938586826E-2</v>
      </c>
      <c r="ER421" s="7">
        <v>4.4305981493874956E-2</v>
      </c>
      <c r="ES421" s="7">
        <v>5.1581310511219246E-2</v>
      </c>
      <c r="ET421" s="7">
        <v>0.10663077673870609</v>
      </c>
      <c r="EU421" s="6">
        <v>1770</v>
      </c>
      <c r="EV421" s="6">
        <v>0</v>
      </c>
      <c r="EW421" s="6">
        <v>1770</v>
      </c>
      <c r="EX421" s="6">
        <v>0</v>
      </c>
      <c r="EY421" s="6">
        <v>2824.231768572336</v>
      </c>
      <c r="EZ421" s="6">
        <v>507</v>
      </c>
      <c r="FA421" s="6">
        <v>0</v>
      </c>
      <c r="FB421" s="6">
        <v>0</v>
      </c>
      <c r="FC421" s="6">
        <v>0</v>
      </c>
      <c r="FD421" s="6">
        <v>0</v>
      </c>
      <c r="FE421" s="6">
        <v>0</v>
      </c>
      <c r="FF421" s="6">
        <v>0</v>
      </c>
      <c r="FG421" s="6">
        <v>0</v>
      </c>
      <c r="FH421" s="6">
        <v>1169.800772322347</v>
      </c>
      <c r="FI421" s="6">
        <v>1553.9796069512402</v>
      </c>
      <c r="FJ421" s="6">
        <v>2101.2110117447423</v>
      </c>
      <c r="FK421" s="6">
        <v>2251.3078348034683</v>
      </c>
      <c r="FL421" s="6">
        <v>907.07682140966381</v>
      </c>
      <c r="FM421" s="6">
        <v>2054.231768572336</v>
      </c>
      <c r="FN421" s="6">
        <v>0</v>
      </c>
      <c r="FO421" s="6">
        <v>0</v>
      </c>
      <c r="FP421" s="6">
        <v>0</v>
      </c>
      <c r="FQ421" s="6">
        <v>0</v>
      </c>
      <c r="FR421" s="6">
        <v>0</v>
      </c>
      <c r="FS421" s="6">
        <v>0</v>
      </c>
      <c r="FT421" s="7">
        <v>0.89336922326129398</v>
      </c>
      <c r="FU421" s="7">
        <v>5.504946622748675E-2</v>
      </c>
      <c r="FV421" s="7">
        <v>5.1581310511219246E-2</v>
      </c>
      <c r="FW421" s="6">
        <v>1770</v>
      </c>
      <c r="FX421" s="6">
        <v>2824.231768572336</v>
      </c>
      <c r="FY421" s="6">
        <v>507</v>
      </c>
      <c r="FZ421" s="6">
        <v>1949.5716051445115</v>
      </c>
      <c r="GA421" s="6">
        <v>1762.8877009642963</v>
      </c>
      <c r="GB421" s="6">
        <v>18222.112299035703</v>
      </c>
      <c r="GC421" s="7">
        <v>3.3872851927908169E-2</v>
      </c>
      <c r="GD421" s="7">
        <v>3.3689298484980201E-2</v>
      </c>
      <c r="GE421" s="7"/>
      <c r="GF421" s="7"/>
      <c r="GG421" s="7">
        <v>-5.418895442244609E-3</v>
      </c>
      <c r="GH421" s="42">
        <v>0.58010692399444574</v>
      </c>
      <c r="GI421" s="6">
        <v>36213.433235551522</v>
      </c>
      <c r="GJ421" s="14">
        <v>0.50394797582841733</v>
      </c>
      <c r="GK421" s="14">
        <v>0.50887573065309744</v>
      </c>
      <c r="GL421" s="14">
        <v>0.49605202417158284</v>
      </c>
      <c r="GM421" s="14">
        <v>0.49112426934690251</v>
      </c>
      <c r="GO421" s="5">
        <v>343.14810671672558</v>
      </c>
      <c r="GP421" s="5">
        <v>309.37988338875158</v>
      </c>
      <c r="GQ421" s="5">
        <v>535.04305713031317</v>
      </c>
      <c r="GR421" s="5">
        <v>410.15490233172511</v>
      </c>
      <c r="GS421" s="5">
        <v>339.42744393800166</v>
      </c>
      <c r="GT421" s="5">
        <v>293.4407446948278</v>
      </c>
      <c r="GU421" s="5">
        <v>258.04012322764959</v>
      </c>
      <c r="GV421" s="39" t="s">
        <v>392</v>
      </c>
      <c r="GW421" s="5">
        <v>478.23611111111109</v>
      </c>
      <c r="GX421" s="5">
        <v>358.67708333333331</v>
      </c>
      <c r="GY421" s="5">
        <v>286.94166666666666</v>
      </c>
      <c r="GZ421" s="5">
        <v>245.72198221012883</v>
      </c>
      <c r="HA421" s="5">
        <v>234.53733318419432</v>
      </c>
      <c r="HB421" s="39">
        <v>256.73512293128397</v>
      </c>
      <c r="HC421" s="5">
        <v>265.10312499999998</v>
      </c>
      <c r="HD421" s="5">
        <v>224.66580774853799</v>
      </c>
      <c r="HE421" s="5">
        <v>226.90661690283397</v>
      </c>
      <c r="HF421" s="5">
        <v>209.18438048245613</v>
      </c>
      <c r="HG421" s="5">
        <v>200.91388157894738</v>
      </c>
      <c r="HH421" s="39">
        <v>224.49022294210457</v>
      </c>
      <c r="HI421" s="16"/>
      <c r="HJ421" s="19" t="str">
        <f t="shared" si="1204"/>
        <v>On</v>
      </c>
      <c r="HK421" s="1" t="str">
        <f t="shared" si="1204"/>
        <v>On</v>
      </c>
      <c r="HL421" s="16"/>
      <c r="HM421" s="639">
        <f t="shared" si="1110"/>
        <v>2.9403358434788716E-2</v>
      </c>
      <c r="HN421" s="639">
        <f t="shared" si="1111"/>
        <v>1.4106809950923669E-3</v>
      </c>
      <c r="HO421" s="639">
        <f t="shared" si="1112"/>
        <v>1.7317923025048877E-3</v>
      </c>
      <c r="HP421" s="644">
        <f>(FT421*$GD421-HM421)/$JF421*INDEX(Input!$1:$1048576,$JG$93,$C421*2+6)</f>
        <v>49.636164601528812</v>
      </c>
      <c r="HQ421" s="644">
        <f>(FU421*$GD421-HN421)/$JF421*INDEX(Input!$1:$1048576,$JG$93,$C421*2+6)</f>
        <v>31.765539074655447</v>
      </c>
      <c r="HR421" s="644">
        <f>(FV421*$GD421-HO421)/$JF421*INDEX(Input!$1:$1048576,$JG$93,$C421*2+6)</f>
        <v>0.42548970114480972</v>
      </c>
      <c r="HS421" s="644">
        <f t="shared" ref="HS421:HS432" si="1208">IF(AND(HJ421="On",HK421="On"),IL421/1000*INDEX(KG:KG,MATCH(C421*1000+3,$KF:$KF,0))*SUM(HY421:IA421)*1.1
+INDEX(HR:HR,MATCH(C421*1000+4,$KF:$KF,0))/INDEX(IM:IM,MATCH(C421*1000+4,$KF:$KF,0))*IM421*20%,0)</f>
        <v>-36.922667449363182</v>
      </c>
      <c r="HT421" s="644">
        <f t="shared" si="1114"/>
        <v>102.35370045807619</v>
      </c>
      <c r="HU421" s="644">
        <f t="shared" si="1115"/>
        <v>6.398242214309148</v>
      </c>
      <c r="HV421" s="648">
        <f t="shared" si="1116"/>
        <v>0</v>
      </c>
      <c r="HW421" s="648">
        <f t="shared" si="1117"/>
        <v>0</v>
      </c>
      <c r="HX421" s="648">
        <f t="shared" si="1118"/>
        <v>0</v>
      </c>
      <c r="HY421" s="644">
        <f>INDEX(Input!$1:$1048576,HY$93,$C421*2+6)*INDEX(Input!$1:$1048576,$JG$93,$C421*2+6)</f>
        <v>993</v>
      </c>
      <c r="HZ421" s="644">
        <f>INDEX(Input!$1:$1048576,HZ$93,$C421*2+6)*INDEX(Input!$1:$1048576,$JG$93,$C421*2+6)</f>
        <v>1216</v>
      </c>
      <c r="IA421" s="644">
        <f>INDEX(Input!$1:$1048576,IA$93,$C421*2+6)*INDEX(Input!$1:$1048576,$JG$93,$C421*2+6)</f>
        <v>120</v>
      </c>
      <c r="IB421" s="644">
        <f t="shared" si="1142"/>
        <v>1005.7134971521656</v>
      </c>
      <c r="IC421" s="644">
        <f t="shared" si="1143"/>
        <v>1350.1192395327316</v>
      </c>
      <c r="ID421" s="644">
        <f>IF(AND(INDEX(Input!$1:$1048576,IA$93,$C421*2+7)="TOS",Y421&lt;=INDEX(Y:Y,MATCH(C421*1000+2,A:A))),0,1)*MAX(IA421+HR421+HU421+HX421,0%)</f>
        <v>126.82373191545396</v>
      </c>
      <c r="IE421" s="128">
        <f t="shared" ref="IE421:IE432" si="1209">IB421/SUM($IB421:$ID421)</f>
        <v>0.40509571496178742</v>
      </c>
      <c r="IF421" s="128">
        <f t="shared" ref="IF421:IF461" si="1210">IC421/SUM($IB421:$ID421)</f>
        <v>0.54382040230233275</v>
      </c>
      <c r="IG421" s="128">
        <f t="shared" si="1120"/>
        <v>5.1083882735879868E-2</v>
      </c>
      <c r="IH421" s="21"/>
      <c r="II421" s="19">
        <f t="shared" si="1121"/>
        <v>1490</v>
      </c>
      <c r="IJ421" s="19">
        <f t="shared" si="1122"/>
        <v>2203.2561351629856</v>
      </c>
      <c r="IK421" s="19">
        <f t="shared" si="1123"/>
        <v>242</v>
      </c>
      <c r="IL421" s="19">
        <f t="shared" si="1145"/>
        <v>280</v>
      </c>
      <c r="IM421" s="19">
        <f t="shared" si="1124"/>
        <v>620.97563340935039</v>
      </c>
      <c r="IN421" s="19">
        <f t="shared" si="1125"/>
        <v>265</v>
      </c>
      <c r="IO421" s="39">
        <f t="shared" si="1126"/>
        <v>0</v>
      </c>
      <c r="IP421" s="39">
        <f t="shared" si="1127"/>
        <v>0</v>
      </c>
      <c r="IQ421" s="39">
        <f t="shared" si="1128"/>
        <v>0</v>
      </c>
      <c r="IR421" s="39">
        <v>0</v>
      </c>
      <c r="IS421" s="39">
        <v>0</v>
      </c>
      <c r="IT421" s="39">
        <v>0</v>
      </c>
      <c r="IU421" s="39">
        <v>0</v>
      </c>
      <c r="IV421" s="39">
        <v>0</v>
      </c>
      <c r="IW421" s="39">
        <v>0</v>
      </c>
      <c r="IX421" s="39">
        <f>INDEX(Input!$1:$1048576,IX$93,$C421*2+6)+INDEX(Input!$1:$1048576,IX$94,$C421*2+6)</f>
        <v>1770</v>
      </c>
      <c r="IY421" s="39">
        <f>INDEX(Input!$1:$1048576,IY$93,$C421*2+6)+INDEX(Input!$1:$1048576,IY$94,$C421*2+6)</f>
        <v>2630.0624533823611</v>
      </c>
      <c r="IZ421" s="39">
        <f>INDEX(Input!$1:$1048576,IZ$93,$C421*2+6)+INDEX(Input!$1:$1048576,IZ$94,$C421*2+6)</f>
        <v>4153.7164157747848</v>
      </c>
      <c r="JA421" s="19">
        <f t="shared" si="1146"/>
        <v>2050</v>
      </c>
      <c r="JB421" s="19">
        <f t="shared" si="1147"/>
        <v>3251.0380867917115</v>
      </c>
      <c r="JC421" s="19">
        <f t="shared" si="1148"/>
        <v>4418.7164157747848</v>
      </c>
      <c r="JD421" s="19">
        <f t="shared" si="1149"/>
        <v>2824.1522471574854</v>
      </c>
      <c r="JE421" s="21"/>
      <c r="JF421" s="1">
        <f t="shared" si="1129"/>
        <v>3.2545831732385969E-2</v>
      </c>
      <c r="JG421" s="15">
        <f>INDEX(Input!$1:$1048576,JG$93,$C421*2+6)/(1+VLOOKUP(C421*1000+INDEX(Input!$1:$1048576,JG$93+1,$C421*2+6),$A:$KK,$JK$92,FALSE))</f>
        <v>2329</v>
      </c>
      <c r="JH421" s="1">
        <f t="shared" si="1150"/>
        <v>3.5134046104477915E-2</v>
      </c>
      <c r="JI421" s="1">
        <f t="shared" si="1151"/>
        <v>3.0841251705891862E-2</v>
      </c>
      <c r="JJ421" s="1">
        <f t="shared" ref="JJ421:JJ461" si="1211">SUM(HV421:HX421)/SUM(HY421:IA421)</f>
        <v>0</v>
      </c>
      <c r="JK421" s="1">
        <f t="shared" ref="JK421:JK461" si="1212">SUM(JH421:JJ421)</f>
        <v>6.5975297810369773E-2</v>
      </c>
      <c r="JL421" s="15">
        <f t="shared" si="1154"/>
        <v>153.65646860035119</v>
      </c>
      <c r="JM421" s="15">
        <f t="shared" si="1180"/>
        <v>2482.6564686003512</v>
      </c>
      <c r="JN421" s="21"/>
      <c r="JO421" s="19">
        <f>INDEX(Input!$1:$1048576,JO$93,$C421*2+6)</f>
        <v>5995.5</v>
      </c>
      <c r="JP421" s="19">
        <f>INDEX(Input!$1:$1048576,JP$93,$C421*2+6)</f>
        <v>2341.8685758720158</v>
      </c>
      <c r="JQ421" s="39">
        <f t="shared" si="1166"/>
        <v>3171.3477528425146</v>
      </c>
      <c r="JR421" s="39">
        <f t="shared" si="1183"/>
        <v>482.28367128546961</v>
      </c>
      <c r="JS421" s="39">
        <f t="shared" si="1168"/>
        <v>7.0113998447177481</v>
      </c>
      <c r="JT421" s="39">
        <f t="shared" si="1156"/>
        <v>1.557187931511824</v>
      </c>
      <c r="JU421" s="385">
        <f>(JQ421*JM421-INDEX(Input!$1:$1048576,Input!A$18,$C421*2+6)*JL421*INDEX(Input!$1:$1048576,Input!A$19,$C421*2+6))/1000000</f>
        <v>7.873367012775657</v>
      </c>
      <c r="JV421" s="39">
        <f t="shared" si="1190"/>
        <v>-0.63594057401841741</v>
      </c>
      <c r="JW421" s="1">
        <f t="shared" si="1181"/>
        <v>-7.4734702857064225E-2</v>
      </c>
      <c r="JX421" s="19">
        <f t="shared" si="1172"/>
        <v>10134.216578684698</v>
      </c>
      <c r="JZ421" s="341"/>
      <c r="KA421" s="342"/>
      <c r="KB421" s="469">
        <f t="shared" si="1169"/>
        <v>2.3434325605641804</v>
      </c>
      <c r="KI421" s="473">
        <f t="shared" si="1196"/>
        <v>12.713497152165587</v>
      </c>
      <c r="KJ421" s="473">
        <f t="shared" si="1197"/>
        <v>134.11923953273163</v>
      </c>
      <c r="KK421" s="473">
        <f t="shared" si="1158"/>
        <v>6.823731915453962</v>
      </c>
      <c r="KN421" s="544">
        <f t="shared" si="1173"/>
        <v>4002</v>
      </c>
      <c r="KO421" s="541">
        <f t="shared" si="1133"/>
        <v>2.6479937096872241E-2</v>
      </c>
      <c r="KP421" s="546">
        <f t="shared" si="1134"/>
        <v>185.40395718239969</v>
      </c>
      <c r="KQ421" s="546">
        <f t="shared" si="1135"/>
        <v>199.3810591214642</v>
      </c>
      <c r="KR421" s="548">
        <f t="shared" si="1136"/>
        <v>2.4794388097977134</v>
      </c>
      <c r="KS421" s="548">
        <f t="shared" si="1137"/>
        <v>2.3056240595455182</v>
      </c>
      <c r="KT421" s="473">
        <f t="shared" si="1171"/>
        <v>1580.0986321700548</v>
      </c>
      <c r="KU421" s="663">
        <f t="shared" si="1159"/>
        <v>4.0421194904530351</v>
      </c>
      <c r="KV421" s="117"/>
    </row>
    <row r="422" spans="1:308" s="26" customFormat="1" ht="15">
      <c r="A422" s="561">
        <f t="shared" si="1138"/>
        <v>4022</v>
      </c>
      <c r="B422" s="561">
        <f t="shared" si="1160"/>
        <v>22</v>
      </c>
      <c r="C422" s="561">
        <f t="shared" si="1161"/>
        <v>4</v>
      </c>
      <c r="D422" s="561" t="str">
        <f t="shared" si="1206"/>
        <v xml:space="preserve">0/1.9/2.9/3.9, </v>
      </c>
      <c r="E422" s="475">
        <f>INDEX(Input!$1:$1048576,E$93,$C422*2+MIN($B422,2)+5)
+INDEX(Scenarios!E$121:E$200,MATCH($B422,Scenarios!$B$121:$B$200,0))</f>
        <v>1256.832975525977</v>
      </c>
      <c r="F422" s="475">
        <f>INDEX(Input!$1:$1048576,F$93,$C422*2+MIN($B422,2)+5)
+INDEX(Scenarios!F$121:F$200,MATCH($B422,Scenarios!$B$121:$B$200,0))</f>
        <v>0</v>
      </c>
      <c r="G422" s="475">
        <f>INDEX(Input!$1:$1048576,G$93,$C422*2+MIN($B422,2)+5)
+INDEX(Scenarios!G$121:G$200,MATCH($B422,Scenarios!$B$121:$B$200,0))</f>
        <v>0</v>
      </c>
      <c r="H422" s="475">
        <f>INDEX(Input!$1:$1048576,H$93,$C422*2+MIN($B422,2)+5)
+INDEX(Scenarios!H$121:H$200,MATCH($B422,Scenarios!$B$121:$B$200,0))</f>
        <v>0</v>
      </c>
      <c r="I422" s="476">
        <f>INDEX(Input!$1:$1048576,I$93,$C422*2+MIN($B422,2)+5)</f>
        <v>0.7</v>
      </c>
      <c r="J422" s="476" t="str">
        <f>INDEX(Input!$1:$1048576,J$93,$C422*2+MIN($B422,2)+5)</f>
        <v>Market</v>
      </c>
      <c r="K422" s="476" t="str">
        <f>INDEX(Input!$1:$1048576,K$93,$C422*2+MIN($B422,2)+5)</f>
        <v>Market</v>
      </c>
      <c r="L422" s="476" t="str">
        <f>INDEX(Input!$1:$1048576,L$93,$C422*2+MIN($B422,2)+5)</f>
        <v>Market</v>
      </c>
      <c r="M422" s="476" t="str">
        <f>INDEX(Input!$1:$1048576,M$93,$C422*2+MIN($B422,2)+5)</f>
        <v>Market</v>
      </c>
      <c r="N422" s="476" t="str">
        <f>INDEX(Input!$1:$1048576,N$93,$C422*2+MIN($B422,2)+5)</f>
        <v>Market</v>
      </c>
      <c r="O422" s="476" t="str">
        <f>INDEX(Input!$1:$1048576,O$93,$C422*2+MIN($B422,2)+5)</f>
        <v>Market</v>
      </c>
      <c r="P422" s="476" t="str">
        <f>INDEX(Input!$1:$1048576,P$93,$C422*2+MIN($B422,2)+5)</f>
        <v>N</v>
      </c>
      <c r="Q422" s="477">
        <f>INDEX(Input!$1:$1048576,Q$93,$C422*2+MIN($B422,2)+5)
+INDEX(Scenarios!Q$121:Q$200,MATCH($B422,Scenarios!$B$121:$B$200,0))</f>
        <v>0</v>
      </c>
      <c r="R422" s="478">
        <f>IFERROR(MAX(0,INDEX(Input!$1:$1048576,R$93,$C422*2+MIN($B422,2)+5)
+INDEX(Scenarios!R$121:R$200,MATCH($B422,Scenarios!$B$121:$B$200,0)),),"Market")</f>
        <v>0</v>
      </c>
      <c r="S422" s="478">
        <f>IFERROR(MAX(0,INDEX(Input!$1:$1048576,S$93,$C422*2+MIN($B422,2)+5)
+INDEX(Scenarios!S$121:S$200,MATCH($B422,Scenarios!$B$121:$B$200,0)),),"Market")</f>
        <v>0</v>
      </c>
      <c r="T422" s="478">
        <f>IFERROR(MAX(0,INDEX(Input!$1:$1048576,T$93,$C422*2+MIN($B422,2)+5)
+INDEX(Scenarios!T$121:T$200,MATCH($B422,Scenarios!$B$121:$B$200,0)),),"Market")</f>
        <v>0</v>
      </c>
      <c r="U422" s="478">
        <f>IFERROR(MAX(0,INDEX(Input!$1:$1048576,U$93,$C422*2+MIN($B422,2)+5)
+INDEX(Scenarios!U$121:U$200,MATCH($B422,Scenarios!$B$121:$B$200,0)),),"Market")</f>
        <v>0</v>
      </c>
      <c r="V422" s="478">
        <f>IFERROR(MAX(0,INDEX(Input!$1:$1048576,V$93,$C422*2+MIN($B422,2)+5)
+INDEX(Scenarios!V$121:V$200,MATCH($B422,Scenarios!$B$121:$B$200,0)),),"Market")</f>
        <v>2.8999999999999998E-2</v>
      </c>
      <c r="W422" s="885">
        <f>IFERROR(MAX(0,INDEX(Input!$1:$1048576,W$93,$C422*2+MIN($B422,2)+5)-0%,),"Market")</f>
        <v>3.9E-2</v>
      </c>
      <c r="X422" s="476" t="str">
        <f>INDEX(Input!$1:$1048576,X$93,$C422*2+MIN($B422,2)+5)</f>
        <v>Y</v>
      </c>
      <c r="Y422" s="475">
        <f>INDEX(Input!$1:$1048576,Y$93,$C422*2+MIN($B422,2)+5)
++INDEX(Scenarios!Y$121:Y$200,MATCH($B422,Scenarios!$B$121:$B$200,0))</f>
        <v>-870</v>
      </c>
      <c r="Z422" s="477">
        <f>INDEX(Input!$1:$1048576,Z$93,$C422*2+MIN($B422,2)+5)
+INDEX(Scenarios!Z$121:Z$200,MATCH($B422,Scenarios!$B$121:$B$200,0))</f>
        <v>0</v>
      </c>
      <c r="AA422" s="475">
        <f>INDEX(Input!$1:$1048576,AA$93,$C422*2+MIN($B422,2)+5)
+INDEX(Scenarios!AA$121:AA$200,MATCH($B422,Scenarios!$B$121:$B$200,0))</f>
        <v>0</v>
      </c>
      <c r="AB422" s="476">
        <f>INDEX(Input!$1:$1048576,AB$93,$C422*2+MIN($B422,2)+5)</f>
        <v>0.27</v>
      </c>
      <c r="AC422" s="475">
        <f>INDEX(Input!$1:$1048576,AC$93,$C422*2+MIN($B422,2)+5)
+INDEX(Scenarios!AC$121:AC$200,MATCH($B422,Scenarios!$B$121:$B$200,0))</f>
        <v>0</v>
      </c>
      <c r="AD422" s="476">
        <f>INDEX(Input!$1:$1048576,AD$93,$C422*2+MIN($B422,2)+5)</f>
        <v>0.27</v>
      </c>
      <c r="AE422" s="475">
        <f>INDEX(Input!$1:$1048576,AE$93,$C422*2+MIN($B422,2)+5)
+INDEX(Scenarios!AE$121:AE$200,MATCH($B422,Scenarios!$B$121:$B$200,0))</f>
        <v>0</v>
      </c>
      <c r="AF422" s="476">
        <f>INDEX(Input!$1:$1048576,AF$93,$C422*2+MIN($B422,2)+5)</f>
        <v>1</v>
      </c>
      <c r="AG422" s="475">
        <f>INDEX(Input!$1:$1048576,AG$93,$C422*2+MIN($B422,2)+5)
+INDEX(Scenarios!AG$121:AG$200,MATCH($B422,Scenarios!$B$121:$B$200,0))</f>
        <v>500</v>
      </c>
      <c r="AH422" s="476">
        <f>INDEX(Input!$1:$1048576,AH$93,$C422*2+MIN($B422,2)+5)</f>
        <v>0.83199999999999996</v>
      </c>
      <c r="AI422" s="475">
        <f>INDEX(Input!$1:$1048576,AI$93,$C422*2+MIN($B422,2)+5)
+INDEX(Scenarios!AI$121:AI$200,MATCH($B422,Scenarios!$B$121:$B$200,0))</f>
        <v>0</v>
      </c>
      <c r="AJ422" s="476">
        <f>INDEX(Input!$1:$1048576,AJ$93,$C422*2+MIN($B422,2)+5)</f>
        <v>0.27</v>
      </c>
      <c r="AK422" s="150">
        <f>ROUND(INDEX(Input!$1:$1048576,AK$93,$C421*2+MIN($B422,1)+5)+(Y422-VLOOKUP($C422*1000+1,$A:$HH,Y$92,FALSE)),0)</f>
        <v>2587</v>
      </c>
      <c r="AL422" s="150">
        <f>ROUND(INDEX(Input!$1:$1048576,AL$93,$C421*2+MIN($B422,1)+5)-(Y422-VLOOKUP($C422*1000+1,$A:$HH,Y$92,FALSE))/36,0)</f>
        <v>3406</v>
      </c>
      <c r="AM422" s="32" t="str">
        <f t="shared" si="1139"/>
        <v>std/std/std/std</v>
      </c>
      <c r="AN422" s="32" t="str">
        <f t="shared" si="1140"/>
        <v>$0 + 0/0/0/2.9/3.9</v>
      </c>
      <c r="AO422" s="32" t="str">
        <f t="shared" si="1141"/>
        <v>0/0/0/2.9/3.9</v>
      </c>
      <c r="AP422" s="32" t="str">
        <f t="shared" ref="AP422:AP485" si="1213">IF(X422="Y",
IF(U422="market","std",ROUND(U422*1000,0)/10)&amp;"/"
&amp;MAX(IF(V422="market","std",ROUND(V422*1000,0)/10-1),0)&amp;"/"
&amp;IF(V422="market","std",ROUND(V422*1000,0)/10)&amp;"/"
&amp;IF(W422="market","std",ROUND(W422*1000,0)/10),
IF(U422="market","std",ROUND(U422*1000,0)/10)&amp;"/"
&amp;MAX(IF(V422="market","std",ROUND(V422*1000,0)/10-1),0)&amp;"/"
&amp;IF(V422="market","std",ROUND(V422*1000,0)/10)&amp;"/"
&amp;IF(W422="market","std",ROUND(W422*1000,0)/10))</f>
        <v>0/1.9/2.9/3.9</v>
      </c>
      <c r="AQ422" s="536">
        <f t="shared" si="1207"/>
        <v>0.43931916617343375</v>
      </c>
      <c r="AR422" s="32"/>
      <c r="AS422" s="302"/>
      <c r="AT422" s="3">
        <f t="shared" si="1162"/>
        <v>22</v>
      </c>
      <c r="AU422" s="41" t="s">
        <v>121</v>
      </c>
      <c r="AV422" s="41" t="s">
        <v>116</v>
      </c>
      <c r="AW422" s="41" t="str">
        <f>INDEX(Input!$1:$1048576,AW$93,$C422*2+6)</f>
        <v>Kia</v>
      </c>
      <c r="AX422" s="41" t="str">
        <f>INDEX(Input!$1:$1048576,AX$93,$C422*2+6)</f>
        <v>Kia-LR - R1</v>
      </c>
      <c r="AY422" s="41" t="str">
        <f>IF(LEN(D422)=0,"",INDEX(Input!$1:$1048576,AY$93,$C422*2+6))</f>
        <v>Compact SUV (52)</v>
      </c>
      <c r="AZ422" s="41" t="str">
        <f>INDEX(Input!$1:$1048576,AZ$93,$C422*2+6)</f>
        <v>Kia Soul</v>
      </c>
      <c r="BA422" s="3">
        <f>INDEX(Input!$1:$1048576,BA$93,$C422*2+6)</f>
        <v>2020</v>
      </c>
      <c r="BB422" s="128">
        <f>INDEX(Input!$1:$1048576,BB$93,$C422*2+6)</f>
        <v>1</v>
      </c>
      <c r="BC422" s="128">
        <f>INDEX(Input!$1:$1048576,BC$93,$C422*2+6)</f>
        <v>0.7</v>
      </c>
      <c r="BD422" s="1">
        <f>INDEX(Input!$1:$1048576,BD$93,$C422*2+6)</f>
        <v>4.4999999999999998E-2</v>
      </c>
      <c r="BE422" s="1">
        <f>INDEX(Input!$1:$1048576,BE$93,$C422*2+6)</f>
        <v>4.4999999999999998E-2</v>
      </c>
      <c r="BF422" s="1">
        <f>INDEX(Input!$1:$1048576,BF$93,$C422*2+6)</f>
        <v>0.05</v>
      </c>
      <c r="BG422" s="1">
        <f>INDEX(Input!$1:$1048576,BG$93,$C422*2+6)</f>
        <v>5.45E-2</v>
      </c>
      <c r="BH422" s="1">
        <f>INDEX(Input!$1:$1048576,BH$93,$C422*2+6)</f>
        <v>5.45E-2</v>
      </c>
      <c r="BI422" s="1">
        <f>INDEX(Input!$1:$1048576,BI$93,$C422*2+6)</f>
        <v>0.05</v>
      </c>
      <c r="BJ422" s="1">
        <f>INDEX(Input!$1:$1048576,BJ$93,$C422*2+6)</f>
        <v>0.05</v>
      </c>
      <c r="BK422" s="1">
        <f>INDEX(Input!$1:$1048576,BK$93,$C422*2+6)</f>
        <v>0.05</v>
      </c>
      <c r="BL422" s="1">
        <f>INDEX(Input!$1:$1048576,BL$93,$C422*2+6)</f>
        <v>5.5E-2</v>
      </c>
      <c r="BM422" s="1">
        <f>INDEX(Input!$1:$1048576,BM$93,$C422*2+6)</f>
        <v>0.06</v>
      </c>
      <c r="BN422" s="1">
        <f>INDEX(Input!$1:$1048576,BN$93,$C422*2+6)</f>
        <v>4.4999999999999998E-2</v>
      </c>
      <c r="BO422" s="1">
        <f>INDEX(Input!$1:$1048576,BO$93,$C422*2+6)</f>
        <v>4.4999999999999998E-2</v>
      </c>
      <c r="BP422" s="1">
        <f>INDEX(Input!$1:$1048576,BP$93,$C422*2+6)</f>
        <v>0.05</v>
      </c>
      <c r="BQ422" s="1">
        <f>INDEX(Input!$1:$1048576,BQ$93,$C422*2+6)</f>
        <v>5.45E-2</v>
      </c>
      <c r="BR422" s="1">
        <f>INDEX(Input!$1:$1048576,BR$93,$C422*2+6)</f>
        <v>5.45E-2</v>
      </c>
      <c r="BS422" s="1">
        <f>INDEX(Input!$1:$1048576,BS$93,$C422*2+6)</f>
        <v>0.05</v>
      </c>
      <c r="BT422" s="1">
        <f>INDEX(Input!$1:$1048576,BT$93,$C422*2+6)</f>
        <v>0.05</v>
      </c>
      <c r="BU422" s="1">
        <f>INDEX(Input!$1:$1048576,BU$93,$C422*2+6)</f>
        <v>0.05</v>
      </c>
      <c r="BV422" s="1">
        <f>INDEX(Input!$1:$1048576,BV$93,$C422*2+6)</f>
        <v>5.5E-2</v>
      </c>
      <c r="BW422" s="1">
        <f>INDEX(Input!$1:$1048576,BW$93,$C422*2+6)</f>
        <v>0.06</v>
      </c>
      <c r="BX422" s="127">
        <f>INDEX(Input!$1:$1048576,BX$93,$C422*2+6)</f>
        <v>19985</v>
      </c>
      <c r="BY422" s="20">
        <f>INDEX(Input!$1:$1048576,BY$93,$C422*2+6)</f>
        <v>0.1</v>
      </c>
      <c r="BZ422" s="20">
        <f>INDEX(Input!$1:$1048576,BZ$93,$C422*2+6)</f>
        <v>0.1</v>
      </c>
      <c r="CA422" s="20">
        <f>INDEX(Input!$1:$1048576,CA$93,$C422*2+6)</f>
        <v>0.1</v>
      </c>
      <c r="CB422" s="20">
        <f>INDEX(Input!$1:$1048576,CB$93,$C422*2+6)</f>
        <v>0.1</v>
      </c>
      <c r="CC422" s="20">
        <f>INDEX(Input!$1:$1048576,CC$93,$C422*2+6)</f>
        <v>0.1</v>
      </c>
      <c r="CD422" s="384">
        <f>INDEX(Input!$1:$1048576,CD$93,$C422*2+6)</f>
        <v>0.1</v>
      </c>
      <c r="CE422" s="384">
        <f>INDEX(Input!$1:$1048576,CE$93,$C422*2+6)</f>
        <v>0.1</v>
      </c>
      <c r="CF422" s="384">
        <f>INDEX(Input!$1:$1048576,CF$93,$C422*2+6)</f>
        <v>0.1</v>
      </c>
      <c r="CG422" s="384">
        <f>INDEX(Input!$1:$1048576,CG$93,$C422*2+6)</f>
        <v>0.1</v>
      </c>
      <c r="CH422" s="384">
        <f>INDEX(Input!$1:$1048576,CH$93,$C422*2+6)</f>
        <v>0.1</v>
      </c>
      <c r="CI422" s="304">
        <f t="shared" ref="CI422:CI485" si="1214">E422+F422*I422+AA422*AB422</f>
        <v>1256.832975525977</v>
      </c>
      <c r="CJ422" s="16" t="str">
        <f>INDEX(Input!$1:$1048576,CJ$93,$C422*2+6)</f>
        <v>N</v>
      </c>
      <c r="CK422" s="1" t="str">
        <f t="shared" ref="CK422:CK485" si="1215">K422</f>
        <v>Market</v>
      </c>
      <c r="CL422" s="1" t="str">
        <f t="shared" ref="CL422:CL485" si="1216">L422</f>
        <v>Market</v>
      </c>
      <c r="CM422" s="1" t="str">
        <f t="shared" ref="CM422:CM485" si="1217">M422</f>
        <v>Market</v>
      </c>
      <c r="CN422" s="1" t="str">
        <f t="shared" ref="CN422:CN485" si="1218">N422</f>
        <v>Market</v>
      </c>
      <c r="CO422" s="1" t="str">
        <f t="shared" ref="CO422:CO485" si="1219">O422</f>
        <v>Market</v>
      </c>
      <c r="CP422" s="304">
        <f t="shared" ref="CP422:CP485" si="1220">Q422+G422*I422+AG422*AH422</f>
        <v>416</v>
      </c>
      <c r="CQ422" s="1">
        <f t="shared" ref="CQ422:CQ485" si="1221">S422</f>
        <v>0</v>
      </c>
      <c r="CR422" s="1">
        <f t="shared" ref="CR422:CR485" si="1222">T422</f>
        <v>0</v>
      </c>
      <c r="CS422" s="1">
        <f t="shared" ref="CS422:CS485" si="1223">U422</f>
        <v>0</v>
      </c>
      <c r="CT422" s="1">
        <f t="shared" ref="CT422:CT485" si="1224">V422</f>
        <v>2.8999999999999998E-2</v>
      </c>
      <c r="CU422" s="1">
        <f t="shared" ref="CU422:CU485" si="1225">W422</f>
        <v>3.9E-2</v>
      </c>
      <c r="CV422" s="304">
        <f t="shared" ref="CV422:CV485" si="1226">Y422+H422*I422+AC422*AD422</f>
        <v>-870</v>
      </c>
      <c r="CW422" s="20" t="s">
        <v>122</v>
      </c>
      <c r="CX422" s="20" t="s">
        <v>122</v>
      </c>
      <c r="CY422" s="20" t="s">
        <v>122</v>
      </c>
      <c r="CZ422" s="20" t="s">
        <v>122</v>
      </c>
      <c r="DA422" s="20" t="s">
        <v>122</v>
      </c>
      <c r="DB422" s="503">
        <f t="shared" ref="DB422:DB485" si="1227">Z422+AE422*AF422</f>
        <v>0</v>
      </c>
      <c r="DC422" s="127">
        <v>0</v>
      </c>
      <c r="DD422" s="127">
        <v>0</v>
      </c>
      <c r="DE422" s="127">
        <v>0</v>
      </c>
      <c r="DF422" s="127">
        <v>0</v>
      </c>
      <c r="DG422" s="127">
        <v>0</v>
      </c>
      <c r="DH422" s="127">
        <v>0</v>
      </c>
      <c r="DI422" s="127">
        <v>0</v>
      </c>
      <c r="DJ422" s="127">
        <v>0</v>
      </c>
      <c r="DK422" s="127">
        <v>0</v>
      </c>
      <c r="DL422" s="127">
        <v>0</v>
      </c>
      <c r="DM422" s="304">
        <f>INDEX(Input!$1:$1048576,DM$93,$C422*2+6)</f>
        <v>21036.84210526316</v>
      </c>
      <c r="DN422" s="20">
        <v>0</v>
      </c>
      <c r="DO422" s="20">
        <v>0</v>
      </c>
      <c r="DP422" s="20">
        <v>0</v>
      </c>
      <c r="DQ422" s="20">
        <v>0</v>
      </c>
      <c r="DR422" s="20">
        <v>0</v>
      </c>
      <c r="DS422" s="20">
        <f>INDEX(Input!$1:$1048576,DS$93,$C422*2+6)</f>
        <v>0.6</v>
      </c>
      <c r="DT422" s="20">
        <f>INDEX(Input!$1:$1048576,DT$93,$C422*2+6)</f>
        <v>0.55000000000000004</v>
      </c>
      <c r="DU422" s="20">
        <f>INDEX(Input!$1:$1048576,DU$93,$C422*2+6)</f>
        <v>0.52</v>
      </c>
      <c r="DV422" s="20">
        <f>INDEX(Input!$1:$1048576,DV$93,$C422*2+6)</f>
        <v>0.5</v>
      </c>
      <c r="DW422" s="20">
        <f>INDEX(Input!$1:$1048576,DW$93,$C422*2+6)</f>
        <v>0.45</v>
      </c>
      <c r="DX422" s="20"/>
      <c r="DY422" s="7">
        <v>0.10388896655231317</v>
      </c>
      <c r="DZ422" s="7">
        <v>0</v>
      </c>
      <c r="EA422" s="7">
        <v>0.80854633937226339</v>
      </c>
      <c r="EB422" s="7">
        <v>0</v>
      </c>
      <c r="EC422" s="7">
        <v>0</v>
      </c>
      <c r="ED422" s="7">
        <v>0</v>
      </c>
      <c r="EE422" s="7">
        <v>0</v>
      </c>
      <c r="EF422" s="7">
        <v>0</v>
      </c>
      <c r="EG422" s="7">
        <v>0</v>
      </c>
      <c r="EH422" s="7">
        <v>1.5390015285013478E-2</v>
      </c>
      <c r="EI422" s="7">
        <v>4.0194543190941616E-2</v>
      </c>
      <c r="EJ422" s="7">
        <v>0.28229141108638156</v>
      </c>
      <c r="EK422" s="7">
        <v>0.48983447817125658</v>
      </c>
      <c r="EL422" s="7">
        <v>0.17228955226640699</v>
      </c>
      <c r="EM422" s="7">
        <v>3.482897267682953E-2</v>
      </c>
      <c r="EN422" s="7">
        <v>5.0472268885226192E-2</v>
      </c>
      <c r="EO422" s="7">
        <v>0.7127039688260759</v>
      </c>
      <c r="EP422" s="7">
        <v>0.10247823389785428</v>
      </c>
      <c r="EQ422" s="7">
        <v>9.0015573258608178E-2</v>
      </c>
      <c r="ER422" s="7">
        <v>4.4329955132235775E-2</v>
      </c>
      <c r="ES422" s="7">
        <v>5.2735721398593977E-2</v>
      </c>
      <c r="ET422" s="7">
        <v>8.7564694075423541E-2</v>
      </c>
      <c r="EU422" s="6">
        <v>1770</v>
      </c>
      <c r="EV422" s="6">
        <v>0</v>
      </c>
      <c r="EW422" s="6">
        <v>1770</v>
      </c>
      <c r="EX422" s="6">
        <v>0</v>
      </c>
      <c r="EY422" s="6">
        <v>2229.3203767025584</v>
      </c>
      <c r="EZ422" s="6">
        <v>507</v>
      </c>
      <c r="FA422" s="6">
        <v>0</v>
      </c>
      <c r="FB422" s="6">
        <v>0</v>
      </c>
      <c r="FC422" s="6">
        <v>0</v>
      </c>
      <c r="FD422" s="6">
        <v>0</v>
      </c>
      <c r="FE422" s="6">
        <v>0</v>
      </c>
      <c r="FF422" s="6">
        <v>0</v>
      </c>
      <c r="FG422" s="6">
        <v>0</v>
      </c>
      <c r="FH422" s="6">
        <v>1169.7973868296253</v>
      </c>
      <c r="FI422" s="6">
        <v>1553.9796069512404</v>
      </c>
      <c r="FJ422" s="6">
        <v>2101.2110117447414</v>
      </c>
      <c r="FK422" s="6">
        <v>1284.9687470586855</v>
      </c>
      <c r="FL422" s="6">
        <v>907.07682140966335</v>
      </c>
      <c r="FM422" s="6">
        <v>1459.3203767025584</v>
      </c>
      <c r="FN422" s="6">
        <v>0</v>
      </c>
      <c r="FO422" s="6">
        <v>0</v>
      </c>
      <c r="FP422" s="6">
        <v>0</v>
      </c>
      <c r="FQ422" s="6">
        <v>0</v>
      </c>
      <c r="FR422" s="6">
        <v>0</v>
      </c>
      <c r="FS422" s="6">
        <v>0</v>
      </c>
      <c r="FT422" s="7">
        <v>0.91243530592457656</v>
      </c>
      <c r="FU422" s="7">
        <v>3.482897267682953E-2</v>
      </c>
      <c r="FV422" s="7">
        <v>5.2735721398593977E-2</v>
      </c>
      <c r="FW422" s="6">
        <v>1770</v>
      </c>
      <c r="FX422" s="6">
        <v>2229.3203767025584</v>
      </c>
      <c r="FY422" s="6">
        <v>507</v>
      </c>
      <c r="FZ422" s="6">
        <v>1949.5716051445115</v>
      </c>
      <c r="GA422" s="6">
        <v>1719.3924407236605</v>
      </c>
      <c r="GB422" s="6">
        <v>18265.607559276341</v>
      </c>
      <c r="GC422" s="7">
        <v>3.3872851927908169E-2</v>
      </c>
      <c r="GD422" s="7">
        <v>3.353091761230198E-2</v>
      </c>
      <c r="GE422" s="7"/>
      <c r="GF422" s="7"/>
      <c r="GG422" s="7">
        <v>-1.0094642055352479E-2</v>
      </c>
      <c r="GH422" s="42">
        <v>0.87645387880269976</v>
      </c>
      <c r="GI422" s="6">
        <v>24521.505002882634</v>
      </c>
      <c r="GJ422" s="14">
        <v>0.50394797582841755</v>
      </c>
      <c r="GK422" s="14">
        <v>0.50887573065309755</v>
      </c>
      <c r="GL422" s="14">
        <v>0.49605202417158295</v>
      </c>
      <c r="GM422" s="14">
        <v>0.49112426934690256</v>
      </c>
      <c r="GO422" s="5">
        <v>343.14810671672558</v>
      </c>
      <c r="GP422" s="5">
        <v>309.37988338875158</v>
      </c>
      <c r="GQ422" s="5">
        <v>535.04305713031317</v>
      </c>
      <c r="GR422" s="5">
        <v>410.15490233172511</v>
      </c>
      <c r="GS422" s="5">
        <v>339.42744393800166</v>
      </c>
      <c r="GT422" s="5">
        <v>293.4407446948278</v>
      </c>
      <c r="GU422" s="5">
        <v>258.04012322764959</v>
      </c>
      <c r="GV422" s="39" t="s">
        <v>392</v>
      </c>
      <c r="GW422" s="5">
        <v>478.23611111111109</v>
      </c>
      <c r="GX422" s="5">
        <v>358.67708333333331</v>
      </c>
      <c r="GY422" s="5">
        <v>286.94166666666666</v>
      </c>
      <c r="GZ422" s="5">
        <v>260.81240841112611</v>
      </c>
      <c r="HA422" s="5">
        <v>234.53733318419432</v>
      </c>
      <c r="HB422" s="39">
        <v>270.94133265901405</v>
      </c>
      <c r="HC422" s="5">
        <v>265.10312499999998</v>
      </c>
      <c r="HD422" s="5">
        <v>224.66580774853799</v>
      </c>
      <c r="HE422" s="5">
        <v>226.90661690283397</v>
      </c>
      <c r="HF422" s="5">
        <v>209.18438048245613</v>
      </c>
      <c r="HG422" s="5">
        <v>200.91388157894738</v>
      </c>
      <c r="HH422" s="39">
        <v>224.48991369086548</v>
      </c>
      <c r="HI422" s="16"/>
      <c r="HJ422" s="19" t="str">
        <f t="shared" si="1204"/>
        <v>On</v>
      </c>
      <c r="HK422" s="1" t="str">
        <f t="shared" si="1204"/>
        <v>On</v>
      </c>
      <c r="HL422" s="16"/>
      <c r="HM422" s="639">
        <f t="shared" si="1110"/>
        <v>2.9403358434788716E-2</v>
      </c>
      <c r="HN422" s="639">
        <f t="shared" si="1111"/>
        <v>1.4106809950923669E-3</v>
      </c>
      <c r="HO422" s="639">
        <f t="shared" si="1112"/>
        <v>1.7317923025048877E-3</v>
      </c>
      <c r="HP422" s="644">
        <f>(FT422*$GD422-HM422)/$JF422*INDEX(Input!$1:$1048576,$JG$93,$C422*2+6)</f>
        <v>85.259804914143274</v>
      </c>
      <c r="HQ422" s="644">
        <f>(FU422*$GD422-HN422)/$JF422*INDEX(Input!$1:$1048576,$JG$93,$C422*2+6)</f>
        <v>-17.377322433585579</v>
      </c>
      <c r="HR422" s="644">
        <f>(FV422*$GD422-HO422)/$JF422*INDEX(Input!$1:$1048576,$JG$93,$C422*2+6)</f>
        <v>2.6108769514397241</v>
      </c>
      <c r="HS422" s="644">
        <f t="shared" si="1208"/>
        <v>-36.651106034601213</v>
      </c>
      <c r="HT422" s="644">
        <f t="shared" si="1114"/>
        <v>1.9922691399885855</v>
      </c>
      <c r="HU422" s="644">
        <f t="shared" si="1115"/>
        <v>6.1266807995471773</v>
      </c>
      <c r="HV422" s="648">
        <f t="shared" si="1116"/>
        <v>0</v>
      </c>
      <c r="HW422" s="648">
        <f t="shared" si="1117"/>
        <v>0</v>
      </c>
      <c r="HX422" s="648">
        <f t="shared" si="1118"/>
        <v>0</v>
      </c>
      <c r="HY422" s="644">
        <f>INDEX(Input!$1:$1048576,HY$93,$C422*2+6)*INDEX(Input!$1:$1048576,$JG$93,$C422*2+6)</f>
        <v>993</v>
      </c>
      <c r="HZ422" s="644">
        <f>INDEX(Input!$1:$1048576,HZ$93,$C422*2+6)*INDEX(Input!$1:$1048576,$JG$93,$C422*2+6)</f>
        <v>1216</v>
      </c>
      <c r="IA422" s="644">
        <f>INDEX(Input!$1:$1048576,IA$93,$C422*2+6)*INDEX(Input!$1:$1048576,$JG$93,$C422*2+6)</f>
        <v>120</v>
      </c>
      <c r="IB422" s="644">
        <f t="shared" si="1142"/>
        <v>1041.6086988795421</v>
      </c>
      <c r="IC422" s="644">
        <f t="shared" si="1143"/>
        <v>1200.6149467064031</v>
      </c>
      <c r="ID422" s="644">
        <f>IF(AND(INDEX(Input!$1:$1048576,IA$93,$C422*2+7)="TOS",Y422&lt;=INDEX(Y:Y,MATCH(C422*1000+2,A:A))),0,1)*MAX(IA422+HR422+HU422+HX422,0%)</f>
        <v>128.73755775098689</v>
      </c>
      <c r="IE422" s="128">
        <f t="shared" si="1209"/>
        <v>0.43931916617343375</v>
      </c>
      <c r="IF422" s="128">
        <f t="shared" si="1210"/>
        <v>0.50638321074871939</v>
      </c>
      <c r="IG422" s="128">
        <f t="shared" si="1120"/>
        <v>5.4297623077846829E-2</v>
      </c>
      <c r="IH422" s="21"/>
      <c r="II422" s="19">
        <f t="shared" si="1121"/>
        <v>1490</v>
      </c>
      <c r="IJ422" s="19">
        <f t="shared" si="1122"/>
        <v>2203.2561351629856</v>
      </c>
      <c r="IK422" s="19">
        <f t="shared" si="1123"/>
        <v>242</v>
      </c>
      <c r="IL422" s="19">
        <f t="shared" si="1145"/>
        <v>280</v>
      </c>
      <c r="IM422" s="19">
        <f t="shared" si="1124"/>
        <v>26.064241539572777</v>
      </c>
      <c r="IN422" s="19">
        <f t="shared" si="1125"/>
        <v>265</v>
      </c>
      <c r="IO422" s="39">
        <f t="shared" si="1126"/>
        <v>0</v>
      </c>
      <c r="IP422" s="39">
        <f t="shared" si="1127"/>
        <v>0</v>
      </c>
      <c r="IQ422" s="39">
        <f t="shared" si="1128"/>
        <v>0</v>
      </c>
      <c r="IR422" s="39">
        <v>0</v>
      </c>
      <c r="IS422" s="39">
        <v>0</v>
      </c>
      <c r="IT422" s="39">
        <v>0</v>
      </c>
      <c r="IU422" s="39">
        <v>0</v>
      </c>
      <c r="IV422" s="39">
        <v>0</v>
      </c>
      <c r="IW422" s="39">
        <v>0</v>
      </c>
      <c r="IX422" s="39">
        <f>INDEX(Input!$1:$1048576,IX$93,$C422*2+6)+INDEX(Input!$1:$1048576,IX$94,$C422*2+6)</f>
        <v>1770</v>
      </c>
      <c r="IY422" s="39">
        <f>INDEX(Input!$1:$1048576,IY$93,$C422*2+6)+INDEX(Input!$1:$1048576,IY$94,$C422*2+6)</f>
        <v>2630.0624533823611</v>
      </c>
      <c r="IZ422" s="39">
        <f>INDEX(Input!$1:$1048576,IZ$93,$C422*2+6)+INDEX(Input!$1:$1048576,IZ$94,$C422*2+6)</f>
        <v>4153.7164157747848</v>
      </c>
      <c r="JA422" s="19">
        <f t="shared" si="1146"/>
        <v>2050</v>
      </c>
      <c r="JB422" s="19">
        <f t="shared" si="1147"/>
        <v>2656.1266949219339</v>
      </c>
      <c r="JC422" s="19">
        <f t="shared" si="1148"/>
        <v>4418.7164157747848</v>
      </c>
      <c r="JD422" s="19">
        <f t="shared" si="1149"/>
        <v>2485.5480530171262</v>
      </c>
      <c r="JE422" s="21"/>
      <c r="JF422" s="1">
        <f t="shared" si="1129"/>
        <v>3.2545831732385969E-2</v>
      </c>
      <c r="JG422" s="15">
        <f>INDEX(Input!$1:$1048576,JG$93,$C422*2+6)/(1+VLOOKUP(C422*1000+INDEX(Input!$1:$1048576,JG$93+1,$C422*2+6),$A:$KK,$JK$92,FALSE))</f>
        <v>2329</v>
      </c>
      <c r="JH422" s="1">
        <f t="shared" si="1150"/>
        <v>3.0267651108629206E-2</v>
      </c>
      <c r="JI422" s="1">
        <f t="shared" si="1151"/>
        <v>-1.2250818417803972E-2</v>
      </c>
      <c r="JJ422" s="1">
        <f t="shared" si="1211"/>
        <v>0</v>
      </c>
      <c r="JK422" s="1">
        <f t="shared" si="1212"/>
        <v>1.8016832690825234E-2</v>
      </c>
      <c r="JL422" s="15">
        <f t="shared" si="1154"/>
        <v>41.961203336931966</v>
      </c>
      <c r="JM422" s="15">
        <f t="shared" si="1180"/>
        <v>2370.9612033369322</v>
      </c>
      <c r="JN422" s="21"/>
      <c r="JO422" s="19">
        <f>INDEX(Input!$1:$1048576,JO$93,$C422*2+6)</f>
        <v>5995.5</v>
      </c>
      <c r="JP422" s="19">
        <f>INDEX(Input!$1:$1048576,JP$93,$C422*2+6)</f>
        <v>2341.8685758720158</v>
      </c>
      <c r="JQ422" s="39">
        <f t="shared" si="1166"/>
        <v>3509.9519469828738</v>
      </c>
      <c r="JR422" s="39">
        <f t="shared" si="1183"/>
        <v>143.67947714511047</v>
      </c>
      <c r="JS422" s="39">
        <f t="shared" si="1168"/>
        <v>5.8931380027332549</v>
      </c>
      <c r="JT422" s="39">
        <f t="shared" si="1156"/>
        <v>0.43892608952733037</v>
      </c>
      <c r="JU422" s="385">
        <f>(JQ422*JM422-INDEX(Input!$1:$1048576,Input!A$18,$C422*2+6)*JL422*INDEX(Input!$1:$1048576,Input!A$19,$C422*2+6))/1000000</f>
        <v>8.3219598918733233</v>
      </c>
      <c r="JV422" s="39">
        <f t="shared" si="1190"/>
        <v>-0.1873476949207511</v>
      </c>
      <c r="JW422" s="1">
        <f t="shared" si="1181"/>
        <v>-2.2016796667628194E-2</v>
      </c>
      <c r="JX422" s="19">
        <f t="shared" si="1172"/>
        <v>10460.283657809487</v>
      </c>
      <c r="JZ422" s="341"/>
      <c r="KA422" s="342"/>
      <c r="KB422" s="469">
        <f t="shared" si="1169"/>
        <v>2.3434325605641804</v>
      </c>
      <c r="KI422" s="473">
        <f t="shared" si="1196"/>
        <v>48.608698879542089</v>
      </c>
      <c r="KJ422" s="473">
        <f t="shared" si="1197"/>
        <v>-15.385053293596911</v>
      </c>
      <c r="KK422" s="473">
        <f t="shared" si="1158"/>
        <v>8.7375577509868947</v>
      </c>
      <c r="KN422" s="544">
        <f t="shared" si="1173"/>
        <v>4002</v>
      </c>
      <c r="KO422" s="541">
        <f t="shared" si="1133"/>
        <v>-1.9701622982702838E-2</v>
      </c>
      <c r="KP422" s="546">
        <f t="shared" si="1134"/>
        <v>-128.61259482874874</v>
      </c>
      <c r="KQ422" s="546">
        <f t="shared" si="1135"/>
        <v>-139.22313501889494</v>
      </c>
      <c r="KR422" s="548">
        <f t="shared" si="1136"/>
        <v>2.6593405055094714</v>
      </c>
      <c r="KS422" s="548">
        <f t="shared" si="1137"/>
        <v>2.4566655742980568</v>
      </c>
      <c r="KT422" s="473">
        <f t="shared" si="1171"/>
        <v>1580.0986321700548</v>
      </c>
      <c r="KU422" s="663">
        <f t="shared" si="1159"/>
        <v>4.0244004436588519</v>
      </c>
      <c r="KV422" s="117"/>
    </row>
    <row r="423" spans="1:308" s="26" customFormat="1" ht="15">
      <c r="A423" s="561">
        <f t="shared" si="1138"/>
        <v>4023</v>
      </c>
      <c r="B423" s="561">
        <f t="shared" si="1160"/>
        <v>23</v>
      </c>
      <c r="C423" s="561">
        <f t="shared" si="1161"/>
        <v>4</v>
      </c>
      <c r="D423" s="561" t="str">
        <f t="shared" si="1206"/>
        <v xml:space="preserve">0/0/0.9/3.9, </v>
      </c>
      <c r="E423" s="475">
        <f>INDEX(Input!$1:$1048576,E$93,$C423*2+MIN($B423,2)+5)
+INDEX(Scenarios!E$121:E$200,MATCH($B423,Scenarios!$B$121:$B$200,0))</f>
        <v>1256.832975525977</v>
      </c>
      <c r="F423" s="475">
        <f>INDEX(Input!$1:$1048576,F$93,$C423*2+MIN($B423,2)+5)
+INDEX(Scenarios!F$121:F$200,MATCH($B423,Scenarios!$B$121:$B$200,0))</f>
        <v>0</v>
      </c>
      <c r="G423" s="475">
        <f>INDEX(Input!$1:$1048576,G$93,$C423*2+MIN($B423,2)+5)
+INDEX(Scenarios!G$121:G$200,MATCH($B423,Scenarios!$B$121:$B$200,0))</f>
        <v>0</v>
      </c>
      <c r="H423" s="475">
        <f>INDEX(Input!$1:$1048576,H$93,$C423*2+MIN($B423,2)+5)
+INDEX(Scenarios!H$121:H$200,MATCH($B423,Scenarios!$B$121:$B$200,0))</f>
        <v>0</v>
      </c>
      <c r="I423" s="476">
        <f>INDEX(Input!$1:$1048576,I$93,$C423*2+MIN($B423,2)+5)</f>
        <v>0.7</v>
      </c>
      <c r="J423" s="476" t="str">
        <f>INDEX(Input!$1:$1048576,J$93,$C423*2+MIN($B423,2)+5)</f>
        <v>Market</v>
      </c>
      <c r="K423" s="476" t="str">
        <f>INDEX(Input!$1:$1048576,K$93,$C423*2+MIN($B423,2)+5)</f>
        <v>Market</v>
      </c>
      <c r="L423" s="476" t="str">
        <f>INDEX(Input!$1:$1048576,L$93,$C423*2+MIN($B423,2)+5)</f>
        <v>Market</v>
      </c>
      <c r="M423" s="476" t="str">
        <f>INDEX(Input!$1:$1048576,M$93,$C423*2+MIN($B423,2)+5)</f>
        <v>Market</v>
      </c>
      <c r="N423" s="476" t="str">
        <f>INDEX(Input!$1:$1048576,N$93,$C423*2+MIN($B423,2)+5)</f>
        <v>Market</v>
      </c>
      <c r="O423" s="476" t="str">
        <f>INDEX(Input!$1:$1048576,O$93,$C423*2+MIN($B423,2)+5)</f>
        <v>Market</v>
      </c>
      <c r="P423" s="476" t="str">
        <f>INDEX(Input!$1:$1048576,P$93,$C423*2+MIN($B423,2)+5)</f>
        <v>N</v>
      </c>
      <c r="Q423" s="477">
        <f>INDEX(Input!$1:$1048576,Q$93,$C423*2+MIN($B423,2)+5)
+INDEX(Scenarios!Q$121:Q$200,MATCH($B423,Scenarios!$B$121:$B$200,0))</f>
        <v>0</v>
      </c>
      <c r="R423" s="478">
        <f>IFERROR(MAX(0,INDEX(Input!$1:$1048576,R$93,$C423*2+MIN($B423,2)+5)
+INDEX(Scenarios!R$121:R$200,MATCH($B423,Scenarios!$B$121:$B$200,0)),),"Market")</f>
        <v>0</v>
      </c>
      <c r="S423" s="478">
        <f>IFERROR(MAX(0,INDEX(Input!$1:$1048576,S$93,$C423*2+MIN($B423,2)+5)
+INDEX(Scenarios!S$121:S$200,MATCH($B423,Scenarios!$B$121:$B$200,0)),),"Market")</f>
        <v>0</v>
      </c>
      <c r="T423" s="478">
        <f>IFERROR(MAX(0,INDEX(Input!$1:$1048576,T$93,$C423*2+MIN($B423,2)+5)
+INDEX(Scenarios!T$121:T$200,MATCH($B423,Scenarios!$B$121:$B$200,0)),),"Market")</f>
        <v>0</v>
      </c>
      <c r="U423" s="478">
        <f>IFERROR(MAX(0,INDEX(Input!$1:$1048576,U$93,$C423*2+MIN($B423,2)+5)
+INDEX(Scenarios!U$121:U$200,MATCH($B423,Scenarios!$B$121:$B$200,0)),),"Market")</f>
        <v>0</v>
      </c>
      <c r="V423" s="478">
        <f>IFERROR(MAX(0,INDEX(Input!$1:$1048576,V$93,$C423*2+MIN($B423,2)+5)
+INDEX(Scenarios!V$121:V$200,MATCH($B423,Scenarios!$B$121:$B$200,0)),),"Market")</f>
        <v>8.9999999999999993E-3</v>
      </c>
      <c r="W423" s="885">
        <f>IFERROR(MAX(0,INDEX(Input!$1:$1048576,W$93,$C423*2+MIN($B423,2)+5)-0%,),"Market")</f>
        <v>3.9E-2</v>
      </c>
      <c r="X423" s="476" t="str">
        <f>INDEX(Input!$1:$1048576,X$93,$C423*2+MIN($B423,2)+5)</f>
        <v>Y</v>
      </c>
      <c r="Y423" s="475">
        <f>INDEX(Input!$1:$1048576,Y$93,$C423*2+MIN($B423,2)+5)
++INDEX(Scenarios!Y$121:Y$200,MATCH($B423,Scenarios!$B$121:$B$200,0))</f>
        <v>-870</v>
      </c>
      <c r="Z423" s="477">
        <f>INDEX(Input!$1:$1048576,Z$93,$C423*2+MIN($B423,2)+5)
+INDEX(Scenarios!Z$121:Z$200,MATCH($B423,Scenarios!$B$121:$B$200,0))</f>
        <v>0</v>
      </c>
      <c r="AA423" s="475">
        <f>INDEX(Input!$1:$1048576,AA$93,$C423*2+MIN($B423,2)+5)
+INDEX(Scenarios!AA$121:AA$200,MATCH($B423,Scenarios!$B$121:$B$200,0))</f>
        <v>0</v>
      </c>
      <c r="AB423" s="476">
        <f>INDEX(Input!$1:$1048576,AB$93,$C423*2+MIN($B423,2)+5)</f>
        <v>0.27</v>
      </c>
      <c r="AC423" s="475">
        <f>INDEX(Input!$1:$1048576,AC$93,$C423*2+MIN($B423,2)+5)
+INDEX(Scenarios!AC$121:AC$200,MATCH($B423,Scenarios!$B$121:$B$200,0))</f>
        <v>0</v>
      </c>
      <c r="AD423" s="476">
        <f>INDEX(Input!$1:$1048576,AD$93,$C423*2+MIN($B423,2)+5)</f>
        <v>0.27</v>
      </c>
      <c r="AE423" s="475">
        <f>INDEX(Input!$1:$1048576,AE$93,$C423*2+MIN($B423,2)+5)
+INDEX(Scenarios!AE$121:AE$200,MATCH($B423,Scenarios!$B$121:$B$200,0))</f>
        <v>0</v>
      </c>
      <c r="AF423" s="476">
        <f>INDEX(Input!$1:$1048576,AF$93,$C423*2+MIN($B423,2)+5)</f>
        <v>1</v>
      </c>
      <c r="AG423" s="475">
        <f>INDEX(Input!$1:$1048576,AG$93,$C423*2+MIN($B423,2)+5)
+INDEX(Scenarios!AG$121:AG$200,MATCH($B423,Scenarios!$B$121:$B$200,0))</f>
        <v>500</v>
      </c>
      <c r="AH423" s="476">
        <f>INDEX(Input!$1:$1048576,AH$93,$C423*2+MIN($B423,2)+5)</f>
        <v>0.83199999999999996</v>
      </c>
      <c r="AI423" s="475">
        <f>INDEX(Input!$1:$1048576,AI$93,$C423*2+MIN($B423,2)+5)
+INDEX(Scenarios!AI$121:AI$200,MATCH($B423,Scenarios!$B$121:$B$200,0))</f>
        <v>0</v>
      </c>
      <c r="AJ423" s="476">
        <f>INDEX(Input!$1:$1048576,AJ$93,$C423*2+MIN($B423,2)+5)</f>
        <v>0.27</v>
      </c>
      <c r="AK423" s="150">
        <f>ROUND(INDEX(Input!$1:$1048576,AK$93,$C422*2+MIN($B423,1)+5)+(Y423-VLOOKUP($C423*1000+1,$A:$HH,Y$92,FALSE)),0)</f>
        <v>2587</v>
      </c>
      <c r="AL423" s="150">
        <f>ROUND(INDEX(Input!$1:$1048576,AL$93,$C422*2+MIN($B423,1)+5)-(Y423-VLOOKUP($C423*1000+1,$A:$HH,Y$92,FALSE))/36,0)</f>
        <v>3406</v>
      </c>
      <c r="AM423" s="32" t="str">
        <f t="shared" si="1139"/>
        <v>std/std/std/std</v>
      </c>
      <c r="AN423" s="32" t="str">
        <f t="shared" si="1140"/>
        <v>$0 + 0/0/0/0.9/3.9</v>
      </c>
      <c r="AO423" s="32" t="str">
        <f t="shared" si="1141"/>
        <v>0/0/0/0.9/3.9</v>
      </c>
      <c r="AP423" s="32" t="str">
        <f t="shared" si="1213"/>
        <v>0/0/0.9/3.9</v>
      </c>
      <c r="AQ423" s="536">
        <f t="shared" si="1207"/>
        <v>0.40509571496178742</v>
      </c>
      <c r="AR423" s="32"/>
      <c r="AS423" s="302"/>
      <c r="AT423" s="3">
        <f t="shared" si="1162"/>
        <v>23</v>
      </c>
      <c r="AU423" s="41" t="s">
        <v>121</v>
      </c>
      <c r="AV423" s="41" t="s">
        <v>116</v>
      </c>
      <c r="AW423" s="41" t="str">
        <f>INDEX(Input!$1:$1048576,AW$93,$C423*2+6)</f>
        <v>Kia</v>
      </c>
      <c r="AX423" s="41" t="str">
        <f>INDEX(Input!$1:$1048576,AX$93,$C423*2+6)</f>
        <v>Kia-LR - R1</v>
      </c>
      <c r="AY423" s="41" t="str">
        <f>IF(LEN(D423)=0,"",INDEX(Input!$1:$1048576,AY$93,$C423*2+6))</f>
        <v>Compact SUV (52)</v>
      </c>
      <c r="AZ423" s="41" t="str">
        <f>INDEX(Input!$1:$1048576,AZ$93,$C423*2+6)</f>
        <v>Kia Soul</v>
      </c>
      <c r="BA423" s="3">
        <f>INDEX(Input!$1:$1048576,BA$93,$C423*2+6)</f>
        <v>2020</v>
      </c>
      <c r="BB423" s="128">
        <f>INDEX(Input!$1:$1048576,BB$93,$C423*2+6)</f>
        <v>1</v>
      </c>
      <c r="BC423" s="128">
        <f>INDEX(Input!$1:$1048576,BC$93,$C423*2+6)</f>
        <v>0.7</v>
      </c>
      <c r="BD423" s="1">
        <f>INDEX(Input!$1:$1048576,BD$93,$C423*2+6)</f>
        <v>4.4999999999999998E-2</v>
      </c>
      <c r="BE423" s="1">
        <f>INDEX(Input!$1:$1048576,BE$93,$C423*2+6)</f>
        <v>4.4999999999999998E-2</v>
      </c>
      <c r="BF423" s="1">
        <f>INDEX(Input!$1:$1048576,BF$93,$C423*2+6)</f>
        <v>0.05</v>
      </c>
      <c r="BG423" s="1">
        <f>INDEX(Input!$1:$1048576,BG$93,$C423*2+6)</f>
        <v>5.45E-2</v>
      </c>
      <c r="BH423" s="1">
        <f>INDEX(Input!$1:$1048576,BH$93,$C423*2+6)</f>
        <v>5.45E-2</v>
      </c>
      <c r="BI423" s="1">
        <f>INDEX(Input!$1:$1048576,BI$93,$C423*2+6)</f>
        <v>0.05</v>
      </c>
      <c r="BJ423" s="1">
        <f>INDEX(Input!$1:$1048576,BJ$93,$C423*2+6)</f>
        <v>0.05</v>
      </c>
      <c r="BK423" s="1">
        <f>INDEX(Input!$1:$1048576,BK$93,$C423*2+6)</f>
        <v>0.05</v>
      </c>
      <c r="BL423" s="1">
        <f>INDEX(Input!$1:$1048576,BL$93,$C423*2+6)</f>
        <v>5.5E-2</v>
      </c>
      <c r="BM423" s="1">
        <f>INDEX(Input!$1:$1048576,BM$93,$C423*2+6)</f>
        <v>0.06</v>
      </c>
      <c r="BN423" s="1">
        <f>INDEX(Input!$1:$1048576,BN$93,$C423*2+6)</f>
        <v>4.4999999999999998E-2</v>
      </c>
      <c r="BO423" s="1">
        <f>INDEX(Input!$1:$1048576,BO$93,$C423*2+6)</f>
        <v>4.4999999999999998E-2</v>
      </c>
      <c r="BP423" s="1">
        <f>INDEX(Input!$1:$1048576,BP$93,$C423*2+6)</f>
        <v>0.05</v>
      </c>
      <c r="BQ423" s="1">
        <f>INDEX(Input!$1:$1048576,BQ$93,$C423*2+6)</f>
        <v>5.45E-2</v>
      </c>
      <c r="BR423" s="1">
        <f>INDEX(Input!$1:$1048576,BR$93,$C423*2+6)</f>
        <v>5.45E-2</v>
      </c>
      <c r="BS423" s="1">
        <f>INDEX(Input!$1:$1048576,BS$93,$C423*2+6)</f>
        <v>0.05</v>
      </c>
      <c r="BT423" s="1">
        <f>INDEX(Input!$1:$1048576,BT$93,$C423*2+6)</f>
        <v>0.05</v>
      </c>
      <c r="BU423" s="1">
        <f>INDEX(Input!$1:$1048576,BU$93,$C423*2+6)</f>
        <v>0.05</v>
      </c>
      <c r="BV423" s="1">
        <f>INDEX(Input!$1:$1048576,BV$93,$C423*2+6)</f>
        <v>5.5E-2</v>
      </c>
      <c r="BW423" s="1">
        <f>INDEX(Input!$1:$1048576,BW$93,$C423*2+6)</f>
        <v>0.06</v>
      </c>
      <c r="BX423" s="127">
        <f>INDEX(Input!$1:$1048576,BX$93,$C423*2+6)</f>
        <v>19985</v>
      </c>
      <c r="BY423" s="20">
        <f>INDEX(Input!$1:$1048576,BY$93,$C423*2+6)</f>
        <v>0.1</v>
      </c>
      <c r="BZ423" s="20">
        <f>INDEX(Input!$1:$1048576,BZ$93,$C423*2+6)</f>
        <v>0.1</v>
      </c>
      <c r="CA423" s="20">
        <f>INDEX(Input!$1:$1048576,CA$93,$C423*2+6)</f>
        <v>0.1</v>
      </c>
      <c r="CB423" s="20">
        <f>INDEX(Input!$1:$1048576,CB$93,$C423*2+6)</f>
        <v>0.1</v>
      </c>
      <c r="CC423" s="20">
        <f>INDEX(Input!$1:$1048576,CC$93,$C423*2+6)</f>
        <v>0.1</v>
      </c>
      <c r="CD423" s="384">
        <f>INDEX(Input!$1:$1048576,CD$93,$C423*2+6)</f>
        <v>0.1</v>
      </c>
      <c r="CE423" s="384">
        <f>INDEX(Input!$1:$1048576,CE$93,$C423*2+6)</f>
        <v>0.1</v>
      </c>
      <c r="CF423" s="384">
        <f>INDEX(Input!$1:$1048576,CF$93,$C423*2+6)</f>
        <v>0.1</v>
      </c>
      <c r="CG423" s="384">
        <f>INDEX(Input!$1:$1048576,CG$93,$C423*2+6)</f>
        <v>0.1</v>
      </c>
      <c r="CH423" s="384">
        <f>INDEX(Input!$1:$1048576,CH$93,$C423*2+6)</f>
        <v>0.1</v>
      </c>
      <c r="CI423" s="304">
        <f t="shared" si="1214"/>
        <v>1256.832975525977</v>
      </c>
      <c r="CJ423" s="16" t="str">
        <f>INDEX(Input!$1:$1048576,CJ$93,$C423*2+6)</f>
        <v>N</v>
      </c>
      <c r="CK423" s="1" t="str">
        <f t="shared" si="1215"/>
        <v>Market</v>
      </c>
      <c r="CL423" s="1" t="str">
        <f t="shared" si="1216"/>
        <v>Market</v>
      </c>
      <c r="CM423" s="1" t="str">
        <f t="shared" si="1217"/>
        <v>Market</v>
      </c>
      <c r="CN423" s="1" t="str">
        <f t="shared" si="1218"/>
        <v>Market</v>
      </c>
      <c r="CO423" s="1" t="str">
        <f t="shared" si="1219"/>
        <v>Market</v>
      </c>
      <c r="CP423" s="304">
        <f t="shared" si="1220"/>
        <v>416</v>
      </c>
      <c r="CQ423" s="1">
        <f t="shared" si="1221"/>
        <v>0</v>
      </c>
      <c r="CR423" s="1">
        <f t="shared" si="1222"/>
        <v>0</v>
      </c>
      <c r="CS423" s="1">
        <f t="shared" si="1223"/>
        <v>0</v>
      </c>
      <c r="CT423" s="1">
        <f t="shared" si="1224"/>
        <v>8.9999999999999993E-3</v>
      </c>
      <c r="CU423" s="1">
        <f t="shared" si="1225"/>
        <v>3.9E-2</v>
      </c>
      <c r="CV423" s="304">
        <f t="shared" si="1226"/>
        <v>-870</v>
      </c>
      <c r="CW423" s="20" t="s">
        <v>122</v>
      </c>
      <c r="CX423" s="20" t="s">
        <v>122</v>
      </c>
      <c r="CY423" s="20" t="s">
        <v>122</v>
      </c>
      <c r="CZ423" s="20" t="s">
        <v>122</v>
      </c>
      <c r="DA423" s="20" t="s">
        <v>122</v>
      </c>
      <c r="DB423" s="503">
        <f t="shared" si="1227"/>
        <v>0</v>
      </c>
      <c r="DC423" s="127">
        <v>0</v>
      </c>
      <c r="DD423" s="127">
        <v>0</v>
      </c>
      <c r="DE423" s="127">
        <v>0</v>
      </c>
      <c r="DF423" s="127">
        <v>0</v>
      </c>
      <c r="DG423" s="127">
        <v>0</v>
      </c>
      <c r="DH423" s="127">
        <v>0</v>
      </c>
      <c r="DI423" s="127">
        <v>0</v>
      </c>
      <c r="DJ423" s="127">
        <v>0</v>
      </c>
      <c r="DK423" s="127">
        <v>0</v>
      </c>
      <c r="DL423" s="127">
        <v>0</v>
      </c>
      <c r="DM423" s="304">
        <f>INDEX(Input!$1:$1048576,DM$93,$C423*2+6)</f>
        <v>21036.84210526316</v>
      </c>
      <c r="DN423" s="20">
        <v>0</v>
      </c>
      <c r="DO423" s="20">
        <v>0</v>
      </c>
      <c r="DP423" s="20">
        <v>0</v>
      </c>
      <c r="DQ423" s="20">
        <v>0</v>
      </c>
      <c r="DR423" s="20">
        <v>0</v>
      </c>
      <c r="DS423" s="20">
        <f>INDEX(Input!$1:$1048576,DS$93,$C423*2+6)</f>
        <v>0.6</v>
      </c>
      <c r="DT423" s="20">
        <f>INDEX(Input!$1:$1048576,DT$93,$C423*2+6)</f>
        <v>0.55000000000000004</v>
      </c>
      <c r="DU423" s="20">
        <f>INDEX(Input!$1:$1048576,DU$93,$C423*2+6)</f>
        <v>0.52</v>
      </c>
      <c r="DV423" s="20">
        <f>INDEX(Input!$1:$1048576,DV$93,$C423*2+6)</f>
        <v>0.5</v>
      </c>
      <c r="DW423" s="20">
        <f>INDEX(Input!$1:$1048576,DW$93,$C423*2+6)</f>
        <v>0.45</v>
      </c>
      <c r="DX423" s="20"/>
      <c r="DY423" s="7">
        <v>0.10161432996273168</v>
      </c>
      <c r="DZ423" s="7">
        <v>0</v>
      </c>
      <c r="EA423" s="7">
        <v>0.7917548932985623</v>
      </c>
      <c r="EB423" s="7">
        <v>0</v>
      </c>
      <c r="EC423" s="7">
        <v>0</v>
      </c>
      <c r="ED423" s="7">
        <v>0</v>
      </c>
      <c r="EE423" s="7">
        <v>0</v>
      </c>
      <c r="EF423" s="7">
        <v>0</v>
      </c>
      <c r="EG423" s="7">
        <v>0</v>
      </c>
      <c r="EH423" s="7">
        <v>9.5106526601495441E-3</v>
      </c>
      <c r="EI423" s="7">
        <v>2.4843968889660714E-2</v>
      </c>
      <c r="EJ423" s="7">
        <v>0.17437754986078841</v>
      </c>
      <c r="EK423" s="7">
        <v>0.68466984822954446</v>
      </c>
      <c r="EL423" s="7">
        <v>0.10659798035985622</v>
      </c>
      <c r="EM423" s="7">
        <v>5.504946622748675E-2</v>
      </c>
      <c r="EN423" s="7">
        <v>5.0467591177057687E-2</v>
      </c>
      <c r="EO423" s="7">
        <v>0.71271288303800373</v>
      </c>
      <c r="EP423" s="7">
        <v>0.10249146835247709</v>
      </c>
      <c r="EQ423" s="7">
        <v>9.0022075938586826E-2</v>
      </c>
      <c r="ER423" s="7">
        <v>4.4305981493874956E-2</v>
      </c>
      <c r="ES423" s="7">
        <v>5.1581310511219246E-2</v>
      </c>
      <c r="ET423" s="7">
        <v>0.10663077673870609</v>
      </c>
      <c r="EU423" s="6">
        <v>1770</v>
      </c>
      <c r="EV423" s="6">
        <v>0</v>
      </c>
      <c r="EW423" s="6">
        <v>1770</v>
      </c>
      <c r="EX423" s="6">
        <v>0</v>
      </c>
      <c r="EY423" s="6">
        <v>2824.231768572336</v>
      </c>
      <c r="EZ423" s="6">
        <v>507</v>
      </c>
      <c r="FA423" s="6">
        <v>0</v>
      </c>
      <c r="FB423" s="6">
        <v>0</v>
      </c>
      <c r="FC423" s="6">
        <v>0</v>
      </c>
      <c r="FD423" s="6">
        <v>0</v>
      </c>
      <c r="FE423" s="6">
        <v>0</v>
      </c>
      <c r="FF423" s="6">
        <v>0</v>
      </c>
      <c r="FG423" s="6">
        <v>0</v>
      </c>
      <c r="FH423" s="6">
        <v>1169.800772322347</v>
      </c>
      <c r="FI423" s="6">
        <v>1553.9796069512402</v>
      </c>
      <c r="FJ423" s="6">
        <v>2101.2110117447423</v>
      </c>
      <c r="FK423" s="6">
        <v>2251.3078348034683</v>
      </c>
      <c r="FL423" s="6">
        <v>907.07682140966381</v>
      </c>
      <c r="FM423" s="6">
        <v>2054.231768572336</v>
      </c>
      <c r="FN423" s="6">
        <v>0</v>
      </c>
      <c r="FO423" s="6">
        <v>0</v>
      </c>
      <c r="FP423" s="6">
        <v>0</v>
      </c>
      <c r="FQ423" s="6">
        <v>0</v>
      </c>
      <c r="FR423" s="6">
        <v>0</v>
      </c>
      <c r="FS423" s="6">
        <v>0</v>
      </c>
      <c r="FT423" s="7">
        <v>0.89336922326129398</v>
      </c>
      <c r="FU423" s="7">
        <v>5.504946622748675E-2</v>
      </c>
      <c r="FV423" s="7">
        <v>5.1581310511219246E-2</v>
      </c>
      <c r="FW423" s="6">
        <v>1770</v>
      </c>
      <c r="FX423" s="6">
        <v>2824.231768572336</v>
      </c>
      <c r="FY423" s="6">
        <v>507</v>
      </c>
      <c r="FZ423" s="6">
        <v>1949.5716051445115</v>
      </c>
      <c r="GA423" s="6">
        <v>1762.8877009642963</v>
      </c>
      <c r="GB423" s="6">
        <v>18222.112299035703</v>
      </c>
      <c r="GC423" s="7">
        <v>3.3872851927908169E-2</v>
      </c>
      <c r="GD423" s="7">
        <v>3.3689298484980201E-2</v>
      </c>
      <c r="GE423" s="7"/>
      <c r="GF423" s="7"/>
      <c r="GG423" s="7">
        <v>-5.418895442244609E-3</v>
      </c>
      <c r="GH423" s="42">
        <v>0.58010692399444574</v>
      </c>
      <c r="GI423" s="6">
        <v>36213.433235551522</v>
      </c>
      <c r="GJ423" s="14">
        <v>0.50394797582841733</v>
      </c>
      <c r="GK423" s="14">
        <v>0.50887573065309744</v>
      </c>
      <c r="GL423" s="14">
        <v>0.49605202417158284</v>
      </c>
      <c r="GM423" s="14">
        <v>0.49112426934690251</v>
      </c>
      <c r="GO423" s="5">
        <v>343.14810671672558</v>
      </c>
      <c r="GP423" s="5">
        <v>309.37988338875158</v>
      </c>
      <c r="GQ423" s="5">
        <v>535.04305713031317</v>
      </c>
      <c r="GR423" s="5">
        <v>410.15490233172511</v>
      </c>
      <c r="GS423" s="5">
        <v>339.42744393800166</v>
      </c>
      <c r="GT423" s="5">
        <v>293.4407446948278</v>
      </c>
      <c r="GU423" s="5">
        <v>258.04012322764959</v>
      </c>
      <c r="GV423" s="39" t="s">
        <v>392</v>
      </c>
      <c r="GW423" s="5">
        <v>478.23611111111109</v>
      </c>
      <c r="GX423" s="5">
        <v>358.67708333333331</v>
      </c>
      <c r="GY423" s="5">
        <v>286.94166666666666</v>
      </c>
      <c r="GZ423" s="5">
        <v>245.72198221012883</v>
      </c>
      <c r="HA423" s="5">
        <v>234.53733318419432</v>
      </c>
      <c r="HB423" s="39">
        <v>256.73512293128397</v>
      </c>
      <c r="HC423" s="5">
        <v>265.10312499999998</v>
      </c>
      <c r="HD423" s="5">
        <v>224.66580774853799</v>
      </c>
      <c r="HE423" s="5">
        <v>226.90661690283397</v>
      </c>
      <c r="HF423" s="5">
        <v>209.18438048245613</v>
      </c>
      <c r="HG423" s="5">
        <v>200.91388157894738</v>
      </c>
      <c r="HH423" s="39">
        <v>224.49022294210457</v>
      </c>
      <c r="HI423" s="16"/>
      <c r="HJ423" s="19" t="str">
        <f t="shared" si="1204"/>
        <v>On</v>
      </c>
      <c r="HK423" s="1" t="str">
        <f t="shared" si="1204"/>
        <v>On</v>
      </c>
      <c r="HL423" s="16"/>
      <c r="HM423" s="639">
        <f t="shared" si="1110"/>
        <v>2.9403358434788716E-2</v>
      </c>
      <c r="HN423" s="639">
        <f t="shared" si="1111"/>
        <v>1.4106809950923669E-3</v>
      </c>
      <c r="HO423" s="639">
        <f t="shared" si="1112"/>
        <v>1.7317923025048877E-3</v>
      </c>
      <c r="HP423" s="644">
        <f>(FT423*$GD423-HM423)/$JF423*INDEX(Input!$1:$1048576,$JG$93,$C423*2+6)</f>
        <v>49.636164601528812</v>
      </c>
      <c r="HQ423" s="644">
        <f>(FU423*$GD423-HN423)/$JF423*INDEX(Input!$1:$1048576,$JG$93,$C423*2+6)</f>
        <v>31.765539074655447</v>
      </c>
      <c r="HR423" s="644">
        <f>(FV423*$GD423-HO423)/$JF423*INDEX(Input!$1:$1048576,$JG$93,$C423*2+6)</f>
        <v>0.42548970114480972</v>
      </c>
      <c r="HS423" s="644">
        <f t="shared" si="1208"/>
        <v>-36.922667449363182</v>
      </c>
      <c r="HT423" s="644">
        <f t="shared" si="1114"/>
        <v>102.35370045807619</v>
      </c>
      <c r="HU423" s="644">
        <f t="shared" si="1115"/>
        <v>6.398242214309148</v>
      </c>
      <c r="HV423" s="648">
        <f t="shared" si="1116"/>
        <v>0</v>
      </c>
      <c r="HW423" s="648">
        <f t="shared" si="1117"/>
        <v>0</v>
      </c>
      <c r="HX423" s="648">
        <f t="shared" si="1118"/>
        <v>0</v>
      </c>
      <c r="HY423" s="644">
        <f>INDEX(Input!$1:$1048576,HY$93,$C423*2+6)*INDEX(Input!$1:$1048576,$JG$93,$C423*2+6)</f>
        <v>993</v>
      </c>
      <c r="HZ423" s="644">
        <f>INDEX(Input!$1:$1048576,HZ$93,$C423*2+6)*INDEX(Input!$1:$1048576,$JG$93,$C423*2+6)</f>
        <v>1216</v>
      </c>
      <c r="IA423" s="644">
        <f>INDEX(Input!$1:$1048576,IA$93,$C423*2+6)*INDEX(Input!$1:$1048576,$JG$93,$C423*2+6)</f>
        <v>120</v>
      </c>
      <c r="IB423" s="644">
        <f t="shared" si="1142"/>
        <v>1005.7134971521656</v>
      </c>
      <c r="IC423" s="644">
        <f t="shared" si="1143"/>
        <v>1350.1192395327316</v>
      </c>
      <c r="ID423" s="644">
        <f>IF(AND(INDEX(Input!$1:$1048576,IA$93,$C423*2+7)="TOS",Y423&lt;=INDEX(Y:Y,MATCH(C423*1000+2,A:A))),0,1)*MAX(IA423+HR423+HU423+HX423,0%)</f>
        <v>126.82373191545396</v>
      </c>
      <c r="IE423" s="128">
        <f t="shared" si="1209"/>
        <v>0.40509571496178742</v>
      </c>
      <c r="IF423" s="128">
        <f t="shared" si="1210"/>
        <v>0.54382040230233275</v>
      </c>
      <c r="IG423" s="128">
        <f t="shared" si="1120"/>
        <v>5.1083882735879868E-2</v>
      </c>
      <c r="IH423" s="21"/>
      <c r="II423" s="19">
        <f t="shared" si="1121"/>
        <v>1490</v>
      </c>
      <c r="IJ423" s="19">
        <f t="shared" si="1122"/>
        <v>2203.2561351629856</v>
      </c>
      <c r="IK423" s="19">
        <f t="shared" si="1123"/>
        <v>242</v>
      </c>
      <c r="IL423" s="19">
        <f t="shared" si="1145"/>
        <v>280</v>
      </c>
      <c r="IM423" s="19">
        <f t="shared" si="1124"/>
        <v>620.97563340935039</v>
      </c>
      <c r="IN423" s="19">
        <f t="shared" si="1125"/>
        <v>265</v>
      </c>
      <c r="IO423" s="39">
        <f t="shared" si="1126"/>
        <v>0</v>
      </c>
      <c r="IP423" s="39">
        <f t="shared" si="1127"/>
        <v>0</v>
      </c>
      <c r="IQ423" s="39">
        <f t="shared" si="1128"/>
        <v>0</v>
      </c>
      <c r="IR423" s="39">
        <v>0</v>
      </c>
      <c r="IS423" s="39">
        <v>0</v>
      </c>
      <c r="IT423" s="39">
        <v>0</v>
      </c>
      <c r="IU423" s="39">
        <v>0</v>
      </c>
      <c r="IV423" s="39">
        <v>0</v>
      </c>
      <c r="IW423" s="39">
        <v>0</v>
      </c>
      <c r="IX423" s="39">
        <f>INDEX(Input!$1:$1048576,IX$93,$C423*2+6)+INDEX(Input!$1:$1048576,IX$94,$C423*2+6)</f>
        <v>1770</v>
      </c>
      <c r="IY423" s="39">
        <f>INDEX(Input!$1:$1048576,IY$93,$C423*2+6)+INDEX(Input!$1:$1048576,IY$94,$C423*2+6)</f>
        <v>2630.0624533823611</v>
      </c>
      <c r="IZ423" s="39">
        <f>INDEX(Input!$1:$1048576,IZ$93,$C423*2+6)+INDEX(Input!$1:$1048576,IZ$94,$C423*2+6)</f>
        <v>4153.7164157747848</v>
      </c>
      <c r="JA423" s="19">
        <f t="shared" si="1146"/>
        <v>2050</v>
      </c>
      <c r="JB423" s="19">
        <f t="shared" si="1147"/>
        <v>3251.0380867917115</v>
      </c>
      <c r="JC423" s="19">
        <f t="shared" si="1148"/>
        <v>4418.7164157747848</v>
      </c>
      <c r="JD423" s="19">
        <f t="shared" si="1149"/>
        <v>2824.1522471574854</v>
      </c>
      <c r="JE423" s="21"/>
      <c r="JF423" s="1">
        <f t="shared" si="1129"/>
        <v>3.2545831732385969E-2</v>
      </c>
      <c r="JG423" s="15">
        <f>INDEX(Input!$1:$1048576,JG$93,$C423*2+6)/(1+VLOOKUP(C423*1000+INDEX(Input!$1:$1048576,JG$93+1,$C423*2+6),$A:$KK,$JK$92,FALSE))</f>
        <v>2329</v>
      </c>
      <c r="JH423" s="1">
        <f t="shared" si="1150"/>
        <v>3.5134046104477915E-2</v>
      </c>
      <c r="JI423" s="1">
        <f t="shared" si="1151"/>
        <v>3.0841251705891862E-2</v>
      </c>
      <c r="JJ423" s="1">
        <f t="shared" si="1211"/>
        <v>0</v>
      </c>
      <c r="JK423" s="1">
        <f t="shared" si="1212"/>
        <v>6.5975297810369773E-2</v>
      </c>
      <c r="JL423" s="15">
        <f t="shared" si="1154"/>
        <v>153.65646860035119</v>
      </c>
      <c r="JM423" s="15">
        <f t="shared" si="1180"/>
        <v>2482.6564686003512</v>
      </c>
      <c r="JN423" s="21"/>
      <c r="JO423" s="19">
        <f>INDEX(Input!$1:$1048576,JO$93,$C423*2+6)</f>
        <v>5995.5</v>
      </c>
      <c r="JP423" s="19">
        <f>INDEX(Input!$1:$1048576,JP$93,$C423*2+6)</f>
        <v>2341.8685758720158</v>
      </c>
      <c r="JQ423" s="39">
        <f t="shared" si="1166"/>
        <v>3171.3477528425146</v>
      </c>
      <c r="JR423" s="39">
        <f t="shared" si="1183"/>
        <v>482.28367128546961</v>
      </c>
      <c r="JS423" s="39">
        <f t="shared" si="1168"/>
        <v>7.0113998447177481</v>
      </c>
      <c r="JT423" s="39">
        <f t="shared" si="1156"/>
        <v>1.557187931511824</v>
      </c>
      <c r="JU423" s="385">
        <f>(JQ423*JM423-INDEX(Input!$1:$1048576,Input!A$18,$C423*2+6)*JL423*INDEX(Input!$1:$1048576,Input!A$19,$C423*2+6))/1000000</f>
        <v>7.873367012775657</v>
      </c>
      <c r="JV423" s="39">
        <f t="shared" si="1190"/>
        <v>-0.63594057401841741</v>
      </c>
      <c r="JW423" s="1">
        <f t="shared" si="1181"/>
        <v>-7.4734702857064225E-2</v>
      </c>
      <c r="JX423" s="19">
        <f t="shared" si="1172"/>
        <v>10134.216578684698</v>
      </c>
      <c r="JZ423" s="341"/>
      <c r="KA423" s="342"/>
      <c r="KB423" s="469">
        <f t="shared" si="1169"/>
        <v>2.3434325605641804</v>
      </c>
      <c r="KI423" s="473">
        <f t="shared" si="1196"/>
        <v>12.713497152165587</v>
      </c>
      <c r="KJ423" s="473">
        <f t="shared" si="1197"/>
        <v>134.11923953273163</v>
      </c>
      <c r="KK423" s="473">
        <f t="shared" si="1158"/>
        <v>6.823731915453962</v>
      </c>
      <c r="KN423" s="544">
        <f t="shared" si="1173"/>
        <v>4002</v>
      </c>
      <c r="KO423" s="541">
        <f t="shared" si="1133"/>
        <v>2.6479937096872241E-2</v>
      </c>
      <c r="KP423" s="546">
        <f t="shared" si="1134"/>
        <v>185.40395718239969</v>
      </c>
      <c r="KQ423" s="546">
        <f t="shared" si="1135"/>
        <v>199.3810591214642</v>
      </c>
      <c r="KR423" s="548">
        <f t="shared" si="1136"/>
        <v>2.4794388097977134</v>
      </c>
      <c r="KS423" s="548">
        <f t="shared" si="1137"/>
        <v>2.3056240595455182</v>
      </c>
      <c r="KT423" s="473">
        <f t="shared" si="1171"/>
        <v>1580.0986321700548</v>
      </c>
      <c r="KU423" s="663">
        <f t="shared" si="1159"/>
        <v>4.0421214904530345</v>
      </c>
      <c r="KV423" s="117"/>
    </row>
    <row r="424" spans="1:308" s="26" customFormat="1" ht="15">
      <c r="A424" s="561">
        <f t="shared" si="1138"/>
        <v>4024</v>
      </c>
      <c r="B424" s="561">
        <f t="shared" si="1160"/>
        <v>24</v>
      </c>
      <c r="C424" s="561">
        <f t="shared" si="1161"/>
        <v>4</v>
      </c>
      <c r="D424" s="561" t="str">
        <f t="shared" si="1206"/>
        <v xml:space="preserve">0/0/0/3.9, </v>
      </c>
      <c r="E424" s="475">
        <f>INDEX(Input!$1:$1048576,E$93,$C424*2+MIN($B424,2)+5)
+INDEX(Scenarios!E$121:E$200,MATCH($B424,Scenarios!$B$121:$B$200,0))</f>
        <v>1256.832975525977</v>
      </c>
      <c r="F424" s="475">
        <f>INDEX(Input!$1:$1048576,F$93,$C424*2+MIN($B424,2)+5)
+INDEX(Scenarios!F$121:F$200,MATCH($B424,Scenarios!$B$121:$B$200,0))</f>
        <v>0</v>
      </c>
      <c r="G424" s="475">
        <f>INDEX(Input!$1:$1048576,G$93,$C424*2+MIN($B424,2)+5)
+INDEX(Scenarios!G$121:G$200,MATCH($B424,Scenarios!$B$121:$B$200,0))</f>
        <v>0</v>
      </c>
      <c r="H424" s="475">
        <f>INDEX(Input!$1:$1048576,H$93,$C424*2+MIN($B424,2)+5)
+INDEX(Scenarios!H$121:H$200,MATCH($B424,Scenarios!$B$121:$B$200,0))</f>
        <v>0</v>
      </c>
      <c r="I424" s="476">
        <f>INDEX(Input!$1:$1048576,I$93,$C424*2+MIN($B424,2)+5)</f>
        <v>0.7</v>
      </c>
      <c r="J424" s="476" t="str">
        <f>INDEX(Input!$1:$1048576,J$93,$C424*2+MIN($B424,2)+5)</f>
        <v>Market</v>
      </c>
      <c r="K424" s="476" t="str">
        <f>INDEX(Input!$1:$1048576,K$93,$C424*2+MIN($B424,2)+5)</f>
        <v>Market</v>
      </c>
      <c r="L424" s="476" t="str">
        <f>INDEX(Input!$1:$1048576,L$93,$C424*2+MIN($B424,2)+5)</f>
        <v>Market</v>
      </c>
      <c r="M424" s="476" t="str">
        <f>INDEX(Input!$1:$1048576,M$93,$C424*2+MIN($B424,2)+5)</f>
        <v>Market</v>
      </c>
      <c r="N424" s="476" t="str">
        <f>INDEX(Input!$1:$1048576,N$93,$C424*2+MIN($B424,2)+5)</f>
        <v>Market</v>
      </c>
      <c r="O424" s="476" t="str">
        <f>INDEX(Input!$1:$1048576,O$93,$C424*2+MIN($B424,2)+5)</f>
        <v>Market</v>
      </c>
      <c r="P424" s="476" t="str">
        <f>INDEX(Input!$1:$1048576,P$93,$C424*2+MIN($B424,2)+5)</f>
        <v>N</v>
      </c>
      <c r="Q424" s="477">
        <f>INDEX(Input!$1:$1048576,Q$93,$C424*2+MIN($B424,2)+5)
+INDEX(Scenarios!Q$121:Q$200,MATCH($B424,Scenarios!$B$121:$B$200,0))</f>
        <v>0</v>
      </c>
      <c r="R424" s="478">
        <f>IFERROR(MAX(0,INDEX(Input!$1:$1048576,R$93,$C424*2+MIN($B424,2)+5)
+INDEX(Scenarios!R$121:R$200,MATCH($B424,Scenarios!$B$121:$B$200,0)),),"Market")</f>
        <v>0</v>
      </c>
      <c r="S424" s="478">
        <f>IFERROR(MAX(0,INDEX(Input!$1:$1048576,S$93,$C424*2+MIN($B424,2)+5)
+INDEX(Scenarios!S$121:S$200,MATCH($B424,Scenarios!$B$121:$B$200,0)),),"Market")</f>
        <v>0</v>
      </c>
      <c r="T424" s="478">
        <f>IFERROR(MAX(0,INDEX(Input!$1:$1048576,T$93,$C424*2+MIN($B424,2)+5)
+INDEX(Scenarios!T$121:T$200,MATCH($B424,Scenarios!$B$121:$B$200,0)),),"Market")</f>
        <v>0</v>
      </c>
      <c r="U424" s="478">
        <f>IFERROR(MAX(0,INDEX(Input!$1:$1048576,U$93,$C424*2+MIN($B424,2)+5)
+INDEX(Scenarios!U$121:U$200,MATCH($B424,Scenarios!$B$121:$B$200,0)),),"Market")</f>
        <v>0</v>
      </c>
      <c r="V424" s="478">
        <f>IFERROR(MAX(0,INDEX(Input!$1:$1048576,V$93,$C424*2+MIN($B424,2)+5)
+INDEX(Scenarios!V$121:V$200,MATCH($B424,Scenarios!$B$121:$B$200,0)),),"Market")</f>
        <v>0</v>
      </c>
      <c r="W424" s="885">
        <f>IFERROR(MAX(0,INDEX(Input!$1:$1048576,W$93,$C424*2+MIN($B424,2)+5)-0%,),"Market")</f>
        <v>3.9E-2</v>
      </c>
      <c r="X424" s="476" t="str">
        <f>INDEX(Input!$1:$1048576,X$93,$C424*2+MIN($B424,2)+5)</f>
        <v>Y</v>
      </c>
      <c r="Y424" s="475">
        <f>INDEX(Input!$1:$1048576,Y$93,$C424*2+MIN($B424,2)+5)
++INDEX(Scenarios!Y$121:Y$200,MATCH($B424,Scenarios!$B$121:$B$200,0))</f>
        <v>-870</v>
      </c>
      <c r="Z424" s="477">
        <f>INDEX(Input!$1:$1048576,Z$93,$C424*2+MIN($B424,2)+5)
+INDEX(Scenarios!Z$121:Z$200,MATCH($B424,Scenarios!$B$121:$B$200,0))</f>
        <v>0</v>
      </c>
      <c r="AA424" s="475">
        <f>INDEX(Input!$1:$1048576,AA$93,$C424*2+MIN($B424,2)+5)
+INDEX(Scenarios!AA$121:AA$200,MATCH($B424,Scenarios!$B$121:$B$200,0))</f>
        <v>0</v>
      </c>
      <c r="AB424" s="476">
        <f>INDEX(Input!$1:$1048576,AB$93,$C424*2+MIN($B424,2)+5)</f>
        <v>0.27</v>
      </c>
      <c r="AC424" s="475">
        <f>INDEX(Input!$1:$1048576,AC$93,$C424*2+MIN($B424,2)+5)
+INDEX(Scenarios!AC$121:AC$200,MATCH($B424,Scenarios!$B$121:$B$200,0))</f>
        <v>0</v>
      </c>
      <c r="AD424" s="476">
        <f>INDEX(Input!$1:$1048576,AD$93,$C424*2+MIN($B424,2)+5)</f>
        <v>0.27</v>
      </c>
      <c r="AE424" s="475">
        <f>INDEX(Input!$1:$1048576,AE$93,$C424*2+MIN($B424,2)+5)
+INDEX(Scenarios!AE$121:AE$200,MATCH($B424,Scenarios!$B$121:$B$200,0))</f>
        <v>0</v>
      </c>
      <c r="AF424" s="476">
        <f>INDEX(Input!$1:$1048576,AF$93,$C424*2+MIN($B424,2)+5)</f>
        <v>1</v>
      </c>
      <c r="AG424" s="475">
        <f>INDEX(Input!$1:$1048576,AG$93,$C424*2+MIN($B424,2)+5)
+INDEX(Scenarios!AG$121:AG$200,MATCH($B424,Scenarios!$B$121:$B$200,0))</f>
        <v>500</v>
      </c>
      <c r="AH424" s="476">
        <f>INDEX(Input!$1:$1048576,AH$93,$C424*2+MIN($B424,2)+5)</f>
        <v>0.83199999999999996</v>
      </c>
      <c r="AI424" s="475">
        <f>INDEX(Input!$1:$1048576,AI$93,$C424*2+MIN($B424,2)+5)
+INDEX(Scenarios!AI$121:AI$200,MATCH($B424,Scenarios!$B$121:$B$200,0))</f>
        <v>0</v>
      </c>
      <c r="AJ424" s="476">
        <f>INDEX(Input!$1:$1048576,AJ$93,$C424*2+MIN($B424,2)+5)</f>
        <v>0.27</v>
      </c>
      <c r="AK424" s="150">
        <f>ROUND(INDEX(Input!$1:$1048576,AK$93,$C423*2+MIN($B424,1)+5)+(Y424-VLOOKUP($C424*1000+1,$A:$HH,Y$92,FALSE)),0)</f>
        <v>2587</v>
      </c>
      <c r="AL424" s="150">
        <f>ROUND(INDEX(Input!$1:$1048576,AL$93,$C423*2+MIN($B424,1)+5)-(Y424-VLOOKUP($C424*1000+1,$A:$HH,Y$92,FALSE))/36,0)</f>
        <v>3406</v>
      </c>
      <c r="AM424" s="32" t="str">
        <f t="shared" si="1139"/>
        <v>std/std/std/std</v>
      </c>
      <c r="AN424" s="32" t="str">
        <f t="shared" si="1140"/>
        <v>$0 + 0/0/0/0/3.9</v>
      </c>
      <c r="AO424" s="32" t="str">
        <f t="shared" si="1141"/>
        <v>0/0/0/0/3.9</v>
      </c>
      <c r="AP424" s="32" t="str">
        <f t="shared" si="1213"/>
        <v>0/0/0/3.9</v>
      </c>
      <c r="AQ424" s="536">
        <f t="shared" si="1207"/>
        <v>0.38367277518692688</v>
      </c>
      <c r="AR424" s="32"/>
      <c r="AS424" s="302"/>
      <c r="AT424" s="3">
        <f t="shared" si="1162"/>
        <v>24</v>
      </c>
      <c r="AU424" s="41" t="s">
        <v>121</v>
      </c>
      <c r="AV424" s="41" t="s">
        <v>116</v>
      </c>
      <c r="AW424" s="41" t="str">
        <f>INDEX(Input!$1:$1048576,AW$93,$C424*2+6)</f>
        <v>Kia</v>
      </c>
      <c r="AX424" s="41" t="str">
        <f>INDEX(Input!$1:$1048576,AX$93,$C424*2+6)</f>
        <v>Kia-LR - R1</v>
      </c>
      <c r="AY424" s="41" t="str">
        <f>IF(LEN(D424)=0,"",INDEX(Input!$1:$1048576,AY$93,$C424*2+6))</f>
        <v>Compact SUV (52)</v>
      </c>
      <c r="AZ424" s="41" t="str">
        <f>INDEX(Input!$1:$1048576,AZ$93,$C424*2+6)</f>
        <v>Kia Soul</v>
      </c>
      <c r="BA424" s="3">
        <f>INDEX(Input!$1:$1048576,BA$93,$C424*2+6)</f>
        <v>2020</v>
      </c>
      <c r="BB424" s="128">
        <f>INDEX(Input!$1:$1048576,BB$93,$C424*2+6)</f>
        <v>1</v>
      </c>
      <c r="BC424" s="128">
        <f>INDEX(Input!$1:$1048576,BC$93,$C424*2+6)</f>
        <v>0.7</v>
      </c>
      <c r="BD424" s="1">
        <f>INDEX(Input!$1:$1048576,BD$93,$C424*2+6)</f>
        <v>4.4999999999999998E-2</v>
      </c>
      <c r="BE424" s="1">
        <f>INDEX(Input!$1:$1048576,BE$93,$C424*2+6)</f>
        <v>4.4999999999999998E-2</v>
      </c>
      <c r="BF424" s="1">
        <f>INDEX(Input!$1:$1048576,BF$93,$C424*2+6)</f>
        <v>0.05</v>
      </c>
      <c r="BG424" s="1">
        <f>INDEX(Input!$1:$1048576,BG$93,$C424*2+6)</f>
        <v>5.45E-2</v>
      </c>
      <c r="BH424" s="1">
        <f>INDEX(Input!$1:$1048576,BH$93,$C424*2+6)</f>
        <v>5.45E-2</v>
      </c>
      <c r="BI424" s="1">
        <f>INDEX(Input!$1:$1048576,BI$93,$C424*2+6)</f>
        <v>0.05</v>
      </c>
      <c r="BJ424" s="1">
        <f>INDEX(Input!$1:$1048576,BJ$93,$C424*2+6)</f>
        <v>0.05</v>
      </c>
      <c r="BK424" s="1">
        <f>INDEX(Input!$1:$1048576,BK$93,$C424*2+6)</f>
        <v>0.05</v>
      </c>
      <c r="BL424" s="1">
        <f>INDEX(Input!$1:$1048576,BL$93,$C424*2+6)</f>
        <v>5.5E-2</v>
      </c>
      <c r="BM424" s="1">
        <f>INDEX(Input!$1:$1048576,BM$93,$C424*2+6)</f>
        <v>0.06</v>
      </c>
      <c r="BN424" s="1">
        <f>INDEX(Input!$1:$1048576,BN$93,$C424*2+6)</f>
        <v>4.4999999999999998E-2</v>
      </c>
      <c r="BO424" s="1">
        <f>INDEX(Input!$1:$1048576,BO$93,$C424*2+6)</f>
        <v>4.4999999999999998E-2</v>
      </c>
      <c r="BP424" s="1">
        <f>INDEX(Input!$1:$1048576,BP$93,$C424*2+6)</f>
        <v>0.05</v>
      </c>
      <c r="BQ424" s="1">
        <f>INDEX(Input!$1:$1048576,BQ$93,$C424*2+6)</f>
        <v>5.45E-2</v>
      </c>
      <c r="BR424" s="1">
        <f>INDEX(Input!$1:$1048576,BR$93,$C424*2+6)</f>
        <v>5.45E-2</v>
      </c>
      <c r="BS424" s="1">
        <f>INDEX(Input!$1:$1048576,BS$93,$C424*2+6)</f>
        <v>0.05</v>
      </c>
      <c r="BT424" s="1">
        <f>INDEX(Input!$1:$1048576,BT$93,$C424*2+6)</f>
        <v>0.05</v>
      </c>
      <c r="BU424" s="1">
        <f>INDEX(Input!$1:$1048576,BU$93,$C424*2+6)</f>
        <v>0.05</v>
      </c>
      <c r="BV424" s="1">
        <f>INDEX(Input!$1:$1048576,BV$93,$C424*2+6)</f>
        <v>5.5E-2</v>
      </c>
      <c r="BW424" s="1">
        <f>INDEX(Input!$1:$1048576,BW$93,$C424*2+6)</f>
        <v>0.06</v>
      </c>
      <c r="BX424" s="127">
        <f>INDEX(Input!$1:$1048576,BX$93,$C424*2+6)</f>
        <v>19985</v>
      </c>
      <c r="BY424" s="20">
        <f>INDEX(Input!$1:$1048576,BY$93,$C424*2+6)</f>
        <v>0.1</v>
      </c>
      <c r="BZ424" s="20">
        <f>INDEX(Input!$1:$1048576,BZ$93,$C424*2+6)</f>
        <v>0.1</v>
      </c>
      <c r="CA424" s="20">
        <f>INDEX(Input!$1:$1048576,CA$93,$C424*2+6)</f>
        <v>0.1</v>
      </c>
      <c r="CB424" s="20">
        <f>INDEX(Input!$1:$1048576,CB$93,$C424*2+6)</f>
        <v>0.1</v>
      </c>
      <c r="CC424" s="20">
        <f>INDEX(Input!$1:$1048576,CC$93,$C424*2+6)</f>
        <v>0.1</v>
      </c>
      <c r="CD424" s="384">
        <f>INDEX(Input!$1:$1048576,CD$93,$C424*2+6)</f>
        <v>0.1</v>
      </c>
      <c r="CE424" s="384">
        <f>INDEX(Input!$1:$1048576,CE$93,$C424*2+6)</f>
        <v>0.1</v>
      </c>
      <c r="CF424" s="384">
        <f>INDEX(Input!$1:$1048576,CF$93,$C424*2+6)</f>
        <v>0.1</v>
      </c>
      <c r="CG424" s="384">
        <f>INDEX(Input!$1:$1048576,CG$93,$C424*2+6)</f>
        <v>0.1</v>
      </c>
      <c r="CH424" s="384">
        <f>INDEX(Input!$1:$1048576,CH$93,$C424*2+6)</f>
        <v>0.1</v>
      </c>
      <c r="CI424" s="304">
        <f t="shared" si="1214"/>
        <v>1256.832975525977</v>
      </c>
      <c r="CJ424" s="16" t="str">
        <f>INDEX(Input!$1:$1048576,CJ$93,$C424*2+6)</f>
        <v>N</v>
      </c>
      <c r="CK424" s="1" t="str">
        <f t="shared" si="1215"/>
        <v>Market</v>
      </c>
      <c r="CL424" s="1" t="str">
        <f t="shared" si="1216"/>
        <v>Market</v>
      </c>
      <c r="CM424" s="1" t="str">
        <f t="shared" si="1217"/>
        <v>Market</v>
      </c>
      <c r="CN424" s="1" t="str">
        <f t="shared" si="1218"/>
        <v>Market</v>
      </c>
      <c r="CO424" s="1" t="str">
        <f t="shared" si="1219"/>
        <v>Market</v>
      </c>
      <c r="CP424" s="304">
        <f t="shared" si="1220"/>
        <v>416</v>
      </c>
      <c r="CQ424" s="1">
        <f t="shared" si="1221"/>
        <v>0</v>
      </c>
      <c r="CR424" s="1">
        <f t="shared" si="1222"/>
        <v>0</v>
      </c>
      <c r="CS424" s="1">
        <f t="shared" si="1223"/>
        <v>0</v>
      </c>
      <c r="CT424" s="1">
        <f t="shared" si="1224"/>
        <v>0</v>
      </c>
      <c r="CU424" s="1">
        <f t="shared" si="1225"/>
        <v>3.9E-2</v>
      </c>
      <c r="CV424" s="304">
        <f t="shared" si="1226"/>
        <v>-870</v>
      </c>
      <c r="CW424" s="20" t="s">
        <v>122</v>
      </c>
      <c r="CX424" s="20" t="s">
        <v>122</v>
      </c>
      <c r="CY424" s="20" t="s">
        <v>122</v>
      </c>
      <c r="CZ424" s="20" t="s">
        <v>122</v>
      </c>
      <c r="DA424" s="20" t="s">
        <v>122</v>
      </c>
      <c r="DB424" s="503">
        <f t="shared" si="1227"/>
        <v>0</v>
      </c>
      <c r="DC424" s="127">
        <v>0</v>
      </c>
      <c r="DD424" s="127">
        <v>0</v>
      </c>
      <c r="DE424" s="127">
        <v>0</v>
      </c>
      <c r="DF424" s="127">
        <v>0</v>
      </c>
      <c r="DG424" s="127">
        <v>0</v>
      </c>
      <c r="DH424" s="127">
        <v>0</v>
      </c>
      <c r="DI424" s="127">
        <v>0</v>
      </c>
      <c r="DJ424" s="127">
        <v>0</v>
      </c>
      <c r="DK424" s="127">
        <v>0</v>
      </c>
      <c r="DL424" s="127">
        <v>0</v>
      </c>
      <c r="DM424" s="304">
        <f>INDEX(Input!$1:$1048576,DM$93,$C424*2+6)</f>
        <v>21036.84210526316</v>
      </c>
      <c r="DN424" s="20">
        <v>0</v>
      </c>
      <c r="DO424" s="20">
        <v>0</v>
      </c>
      <c r="DP424" s="20">
        <v>0</v>
      </c>
      <c r="DQ424" s="20">
        <v>0</v>
      </c>
      <c r="DR424" s="20">
        <v>0</v>
      </c>
      <c r="DS424" s="20">
        <f>INDEX(Input!$1:$1048576,DS$93,$C424*2+6)</f>
        <v>0.6</v>
      </c>
      <c r="DT424" s="20">
        <f>INDEX(Input!$1:$1048576,DT$93,$C424*2+6)</f>
        <v>0.55000000000000004</v>
      </c>
      <c r="DU424" s="20">
        <f>INDEX(Input!$1:$1048576,DU$93,$C424*2+6)</f>
        <v>0.52</v>
      </c>
      <c r="DV424" s="20">
        <f>INDEX(Input!$1:$1048576,DV$93,$C424*2+6)</f>
        <v>0.5</v>
      </c>
      <c r="DW424" s="20">
        <f>INDEX(Input!$1:$1048576,DW$93,$C424*2+6)</f>
        <v>0.45</v>
      </c>
      <c r="DX424" s="20"/>
      <c r="DY424" s="7">
        <v>0.1000072900467943</v>
      </c>
      <c r="DZ424" s="7">
        <v>0</v>
      </c>
      <c r="EA424" s="7">
        <v>0.77944407026890949</v>
      </c>
      <c r="EB424" s="7">
        <v>0</v>
      </c>
      <c r="EC424" s="7">
        <v>0</v>
      </c>
      <c r="ED424" s="7">
        <v>0</v>
      </c>
      <c r="EE424" s="7">
        <v>0</v>
      </c>
      <c r="EF424" s="7">
        <v>0</v>
      </c>
      <c r="EG424" s="7">
        <v>0</v>
      </c>
      <c r="EH424" s="7">
        <v>7.3762975399615698E-3</v>
      </c>
      <c r="EI424" s="7">
        <v>1.927111840277778E-2</v>
      </c>
      <c r="EJ424" s="7">
        <v>0.13520356673197642</v>
      </c>
      <c r="EK424" s="7">
        <v>0.75540036688237355</v>
      </c>
      <c r="EL424" s="7">
        <v>8.2748650442910868E-2</v>
      </c>
      <c r="EM424" s="7">
        <v>6.97843950835942E-2</v>
      </c>
      <c r="EN424" s="7">
        <v>5.0464418012409286E-2</v>
      </c>
      <c r="EO424" s="7">
        <v>0.71271907821604641</v>
      </c>
      <c r="EP424" s="7">
        <v>0.10250100071107572</v>
      </c>
      <c r="EQ424" s="7">
        <v>9.0027289304966701E-2</v>
      </c>
      <c r="ER424" s="7">
        <v>4.4288213755501772E-2</v>
      </c>
      <c r="ES424" s="7">
        <v>5.0764244600702155E-2</v>
      </c>
      <c r="ET424" s="7">
        <v>0.12054863968429613</v>
      </c>
      <c r="EU424" s="6">
        <v>1770</v>
      </c>
      <c r="EV424" s="6">
        <v>0</v>
      </c>
      <c r="EW424" s="6">
        <v>1770</v>
      </c>
      <c r="EX424" s="6">
        <v>0</v>
      </c>
      <c r="EY424" s="6">
        <v>3187.8184813362723</v>
      </c>
      <c r="EZ424" s="6">
        <v>507</v>
      </c>
      <c r="FA424" s="6">
        <v>0</v>
      </c>
      <c r="FB424" s="6">
        <v>0</v>
      </c>
      <c r="FC424" s="6">
        <v>0</v>
      </c>
      <c r="FD424" s="6">
        <v>0</v>
      </c>
      <c r="FE424" s="6">
        <v>0</v>
      </c>
      <c r="FF424" s="6">
        <v>0</v>
      </c>
      <c r="FG424" s="6">
        <v>0</v>
      </c>
      <c r="FH424" s="6">
        <v>1169.8031575631164</v>
      </c>
      <c r="FI424" s="6">
        <v>1553.9796069512395</v>
      </c>
      <c r="FJ424" s="6">
        <v>2101.211011744741</v>
      </c>
      <c r="FK424" s="6">
        <v>2674.2006261592255</v>
      </c>
      <c r="FL424" s="6">
        <v>907.07682140966335</v>
      </c>
      <c r="FM424" s="6">
        <v>2417.8184813362723</v>
      </c>
      <c r="FN424" s="6">
        <v>0</v>
      </c>
      <c r="FO424" s="6">
        <v>0</v>
      </c>
      <c r="FP424" s="6">
        <v>0</v>
      </c>
      <c r="FQ424" s="6">
        <v>0</v>
      </c>
      <c r="FR424" s="6">
        <v>0</v>
      </c>
      <c r="FS424" s="6">
        <v>0</v>
      </c>
      <c r="FT424" s="7">
        <v>0.87945136031570381</v>
      </c>
      <c r="FU424" s="7">
        <v>6.97843950835942E-2</v>
      </c>
      <c r="FV424" s="7">
        <v>5.0764244600702155E-2</v>
      </c>
      <c r="FW424" s="6">
        <v>1770</v>
      </c>
      <c r="FX424" s="6">
        <v>3187.8184813362723</v>
      </c>
      <c r="FY424" s="6">
        <v>507</v>
      </c>
      <c r="FZ424" s="6">
        <v>1949.5716051445115</v>
      </c>
      <c r="GA424" s="6">
        <v>1804.8263641277056</v>
      </c>
      <c r="GB424" s="6">
        <v>18180.173635872296</v>
      </c>
      <c r="GC424" s="7">
        <v>3.3872851927908169E-2</v>
      </c>
      <c r="GD424" s="7">
        <v>3.3803934128253284E-2</v>
      </c>
      <c r="GE424" s="7"/>
      <c r="GF424" s="7"/>
      <c r="GG424" s="7">
        <v>-2.0346028082183303E-3</v>
      </c>
      <c r="GH424" s="42">
        <v>0.2809179551369308</v>
      </c>
      <c r="GI424" s="6">
        <v>72946.594394791624</v>
      </c>
      <c r="GJ424" s="14">
        <v>0.50394797582841699</v>
      </c>
      <c r="GK424" s="14">
        <v>0.50887573065309755</v>
      </c>
      <c r="GL424" s="14">
        <v>0.49605202417158251</v>
      </c>
      <c r="GM424" s="14">
        <v>0.49112426934690229</v>
      </c>
      <c r="GO424" s="5">
        <v>343.14810671672558</v>
      </c>
      <c r="GP424" s="5">
        <v>309.37988338875158</v>
      </c>
      <c r="GQ424" s="5">
        <v>535.04305713031317</v>
      </c>
      <c r="GR424" s="5">
        <v>410.15490233172511</v>
      </c>
      <c r="GS424" s="5">
        <v>339.42744393800166</v>
      </c>
      <c r="GT424" s="5">
        <v>293.4407446948278</v>
      </c>
      <c r="GU424" s="5">
        <v>258.04012322764959</v>
      </c>
      <c r="GV424" s="39" t="s">
        <v>392</v>
      </c>
      <c r="GW424" s="5">
        <v>478.23611111111109</v>
      </c>
      <c r="GX424" s="5">
        <v>358.67708333333331</v>
      </c>
      <c r="GY424" s="5">
        <v>286.94166666666666</v>
      </c>
      <c r="GZ424" s="5">
        <v>239.11805555555554</v>
      </c>
      <c r="HA424" s="5">
        <v>234.53733318419432</v>
      </c>
      <c r="HB424" s="39">
        <v>249.27277186287841</v>
      </c>
      <c r="HC424" s="5">
        <v>265.10312499999998</v>
      </c>
      <c r="HD424" s="5">
        <v>224.66580774853799</v>
      </c>
      <c r="HE424" s="5">
        <v>226.90661690283397</v>
      </c>
      <c r="HF424" s="5">
        <v>209.18438048245613</v>
      </c>
      <c r="HG424" s="5">
        <v>200.91388157894738</v>
      </c>
      <c r="HH424" s="39">
        <v>224.49045729569295</v>
      </c>
      <c r="HI424" s="16"/>
      <c r="HJ424" s="19" t="str">
        <f t="shared" si="1204"/>
        <v>On</v>
      </c>
      <c r="HK424" s="1" t="str">
        <f t="shared" si="1204"/>
        <v>On</v>
      </c>
      <c r="HL424" s="16"/>
      <c r="HM424" s="639">
        <f t="shared" si="1110"/>
        <v>2.9403358434788716E-2</v>
      </c>
      <c r="HN424" s="639">
        <f t="shared" si="1111"/>
        <v>1.4106809950923669E-3</v>
      </c>
      <c r="HO424" s="639">
        <f t="shared" si="1112"/>
        <v>1.7317923025048877E-3</v>
      </c>
      <c r="HP424" s="644">
        <f>(FT424*$GD424-HM424)/$JF424*INDEX(Input!$1:$1048576,$JG$93,$C424*2+6)</f>
        <v>23.297091729474523</v>
      </c>
      <c r="HQ424" s="644">
        <f>(FU424*$GD424-HN424)/$JF424*INDEX(Input!$1:$1048576,$JG$93,$C424*2+6)</f>
        <v>67.86137542530517</v>
      </c>
      <c r="HR424" s="644">
        <f>(FV424*$GD424-HO424)/$JF424*INDEX(Input!$1:$1048576,$JG$93,$C424*2+6)</f>
        <v>-1.1278757085866831</v>
      </c>
      <c r="HS424" s="644">
        <f t="shared" si="1208"/>
        <v>-37.088635227852862</v>
      </c>
      <c r="HT424" s="644">
        <f t="shared" si="1114"/>
        <v>163.6907052623387</v>
      </c>
      <c r="HU424" s="644">
        <f t="shared" si="1115"/>
        <v>6.5642099927988253</v>
      </c>
      <c r="HV424" s="648">
        <f t="shared" si="1116"/>
        <v>0</v>
      </c>
      <c r="HW424" s="648">
        <f t="shared" si="1117"/>
        <v>0</v>
      </c>
      <c r="HX424" s="648">
        <f t="shared" si="1118"/>
        <v>0</v>
      </c>
      <c r="HY424" s="644">
        <f>INDEX(Input!$1:$1048576,HY$93,$C424*2+6)*INDEX(Input!$1:$1048576,$JG$93,$C424*2+6)</f>
        <v>993</v>
      </c>
      <c r="HZ424" s="644">
        <f>INDEX(Input!$1:$1048576,HZ$93,$C424*2+6)*INDEX(Input!$1:$1048576,$JG$93,$C424*2+6)</f>
        <v>1216</v>
      </c>
      <c r="IA424" s="644">
        <f>INDEX(Input!$1:$1048576,IA$93,$C424*2+6)*INDEX(Input!$1:$1048576,$JG$93,$C424*2+6)</f>
        <v>120</v>
      </c>
      <c r="IB424" s="644">
        <f t="shared" si="1142"/>
        <v>979.20845650162164</v>
      </c>
      <c r="IC424" s="644">
        <f t="shared" si="1143"/>
        <v>1447.5520806876439</v>
      </c>
      <c r="ID424" s="644">
        <f>IF(AND(INDEX(Input!$1:$1048576,IA$93,$C424*2+7)="TOS",Y424&lt;=INDEX(Y:Y,MATCH(C424*1000+2,A:A))),0,1)*MAX(IA424+HR424+HU424+HX424,0%)</f>
        <v>125.43633428421214</v>
      </c>
      <c r="IE424" s="128">
        <f t="shared" si="1209"/>
        <v>0.38367277518692688</v>
      </c>
      <c r="IF424" s="128">
        <f t="shared" si="1210"/>
        <v>0.56717884770853066</v>
      </c>
      <c r="IG424" s="128">
        <f t="shared" si="1120"/>
        <v>4.9148377104542527E-2</v>
      </c>
      <c r="IH424" s="21"/>
      <c r="II424" s="19">
        <f t="shared" si="1121"/>
        <v>1490</v>
      </c>
      <c r="IJ424" s="19">
        <f t="shared" si="1122"/>
        <v>2203.2561351629856</v>
      </c>
      <c r="IK424" s="19">
        <f t="shared" si="1123"/>
        <v>242</v>
      </c>
      <c r="IL424" s="19">
        <f t="shared" si="1145"/>
        <v>280</v>
      </c>
      <c r="IM424" s="19">
        <f t="shared" si="1124"/>
        <v>984.56234617328664</v>
      </c>
      <c r="IN424" s="19">
        <f t="shared" si="1125"/>
        <v>265</v>
      </c>
      <c r="IO424" s="39">
        <f t="shared" si="1126"/>
        <v>0</v>
      </c>
      <c r="IP424" s="39">
        <f t="shared" si="1127"/>
        <v>0</v>
      </c>
      <c r="IQ424" s="39">
        <f t="shared" si="1128"/>
        <v>0</v>
      </c>
      <c r="IR424" s="39">
        <v>0</v>
      </c>
      <c r="IS424" s="39">
        <v>0</v>
      </c>
      <c r="IT424" s="39">
        <v>0</v>
      </c>
      <c r="IU424" s="39">
        <v>0</v>
      </c>
      <c r="IV424" s="39">
        <v>0</v>
      </c>
      <c r="IW424" s="39">
        <v>0</v>
      </c>
      <c r="IX424" s="39">
        <f>INDEX(Input!$1:$1048576,IX$93,$C424*2+6)+INDEX(Input!$1:$1048576,IX$94,$C424*2+6)</f>
        <v>1770</v>
      </c>
      <c r="IY424" s="39">
        <f>INDEX(Input!$1:$1048576,IY$93,$C424*2+6)+INDEX(Input!$1:$1048576,IY$94,$C424*2+6)</f>
        <v>2630.0624533823611</v>
      </c>
      <c r="IZ424" s="39">
        <f>INDEX(Input!$1:$1048576,IZ$93,$C424*2+6)+INDEX(Input!$1:$1048576,IZ$94,$C424*2+6)</f>
        <v>4153.7164157747848</v>
      </c>
      <c r="JA424" s="19">
        <f t="shared" si="1146"/>
        <v>2050</v>
      </c>
      <c r="JB424" s="19">
        <f t="shared" si="1147"/>
        <v>3614.6247995556478</v>
      </c>
      <c r="JC424" s="19">
        <f t="shared" si="1148"/>
        <v>4418.7164157747848</v>
      </c>
      <c r="JD424" s="19">
        <f t="shared" si="1149"/>
        <v>3053.8406585643825</v>
      </c>
      <c r="JE424" s="21"/>
      <c r="JF424" s="1">
        <f t="shared" si="1129"/>
        <v>3.2545831732385969E-2</v>
      </c>
      <c r="JG424" s="15">
        <f>INDEX(Input!$1:$1048576,JG$93,$C424*2+6)/(1+VLOOKUP(C424*1000+INDEX(Input!$1:$1048576,JG$93+1,$C424*2+6),$A:$KK,$JK$92,FALSE))</f>
        <v>2329</v>
      </c>
      <c r="JH424" s="1">
        <f t="shared" si="1150"/>
        <v>3.8656329517472304E-2</v>
      </c>
      <c r="JI424" s="1">
        <f t="shared" si="1151"/>
        <v>5.7177449560877919E-2</v>
      </c>
      <c r="JJ424" s="1">
        <f t="shared" si="1211"/>
        <v>0</v>
      </c>
      <c r="JK424" s="1">
        <f t="shared" si="1212"/>
        <v>9.5833779078350223E-2</v>
      </c>
      <c r="JL424" s="15">
        <f t="shared" si="1154"/>
        <v>223.19687147347767</v>
      </c>
      <c r="JM424" s="15">
        <f t="shared" si="1180"/>
        <v>2552.1968714734776</v>
      </c>
      <c r="JN424" s="21"/>
      <c r="JO424" s="19">
        <f>INDEX(Input!$1:$1048576,JO$93,$C424*2+6)</f>
        <v>5995.5</v>
      </c>
      <c r="JP424" s="19">
        <f>INDEX(Input!$1:$1048576,JP$93,$C424*2+6)</f>
        <v>2341.8685758720158</v>
      </c>
      <c r="JQ424" s="39">
        <f t="shared" si="1166"/>
        <v>2941.6593414356175</v>
      </c>
      <c r="JR424" s="39">
        <f t="shared" si="1183"/>
        <v>711.97208269236671</v>
      </c>
      <c r="JS424" s="39">
        <f t="shared" si="1168"/>
        <v>7.7940025747665214</v>
      </c>
      <c r="JT424" s="39">
        <f t="shared" si="1156"/>
        <v>2.3397906615605968</v>
      </c>
      <c r="JU424" s="385">
        <f>(JQ424*JM424-INDEX(Input!$1:$1048576,Input!A$18,$C424*2+6)*JL424*INDEX(Input!$1:$1048576,Input!A$19,$C424*2+6))/1000000</f>
        <v>7.5076937681527136</v>
      </c>
      <c r="JV424" s="39">
        <f t="shared" si="1190"/>
        <v>-1.0016138186413608</v>
      </c>
      <c r="JW424" s="1">
        <f t="shared" si="1181"/>
        <v>-0.11770802834719528</v>
      </c>
      <c r="JX424" s="19">
        <f t="shared" si="1172"/>
        <v>10483.08000965252</v>
      </c>
      <c r="JZ424" s="341"/>
      <c r="KA424" s="342"/>
      <c r="KB424" s="469">
        <f t="shared" si="1169"/>
        <v>2.3434325605641804</v>
      </c>
      <c r="KI424" s="473">
        <f t="shared" si="1196"/>
        <v>-13.79154349837836</v>
      </c>
      <c r="KJ424" s="473">
        <f t="shared" si="1197"/>
        <v>231.55208068764387</v>
      </c>
      <c r="KK424" s="473">
        <f t="shared" si="1158"/>
        <v>5.4363342842121369</v>
      </c>
      <c r="KN424" s="544">
        <f t="shared" si="1173"/>
        <v>4002</v>
      </c>
      <c r="KO424" s="541">
        <f t="shared" si="1133"/>
        <v>5.5232134297615421E-2</v>
      </c>
      <c r="KP424" s="546">
        <f t="shared" si="1134"/>
        <v>399.58621329640948</v>
      </c>
      <c r="KQ424" s="546">
        <f t="shared" si="1135"/>
        <v>429.06947052836131</v>
      </c>
      <c r="KR424" s="548">
        <f t="shared" si="1136"/>
        <v>2.3995885175058986</v>
      </c>
      <c r="KS424" s="548">
        <f t="shared" si="1137"/>
        <v>2.2347021986882378</v>
      </c>
      <c r="KT424" s="473">
        <f t="shared" si="1171"/>
        <v>1580.0986321700548</v>
      </c>
      <c r="KU424" s="663">
        <f t="shared" si="1159"/>
        <v>4.0261164109538568</v>
      </c>
      <c r="KV424" s="117"/>
    </row>
    <row r="425" spans="1:308" s="26" customFormat="1" ht="15">
      <c r="A425" s="561">
        <f t="shared" si="1138"/>
        <v>4025</v>
      </c>
      <c r="B425" s="561">
        <f t="shared" si="1160"/>
        <v>25</v>
      </c>
      <c r="C425" s="561">
        <f t="shared" si="1161"/>
        <v>4</v>
      </c>
      <c r="D425" s="561" t="str">
        <f t="shared" si="1206"/>
        <v xml:space="preserve">0.9/1.9/2.9/3.9, </v>
      </c>
      <c r="E425" s="475">
        <f>INDEX(Input!$1:$1048576,E$93,$C425*2+MIN($B425,2)+5)
+INDEX(Scenarios!E$121:E$200,MATCH($B425,Scenarios!$B$121:$B$200,0))</f>
        <v>1256.832975525977</v>
      </c>
      <c r="F425" s="475">
        <f>INDEX(Input!$1:$1048576,F$93,$C425*2+MIN($B425,2)+5)
+INDEX(Scenarios!F$121:F$200,MATCH($B425,Scenarios!$B$121:$B$200,0))</f>
        <v>0</v>
      </c>
      <c r="G425" s="475">
        <f>INDEX(Input!$1:$1048576,G$93,$C425*2+MIN($B425,2)+5)
+INDEX(Scenarios!G$121:G$200,MATCH($B425,Scenarios!$B$121:$B$200,0))</f>
        <v>0</v>
      </c>
      <c r="H425" s="475">
        <f>INDEX(Input!$1:$1048576,H$93,$C425*2+MIN($B425,2)+5)
+INDEX(Scenarios!H$121:H$200,MATCH($B425,Scenarios!$B$121:$B$200,0))</f>
        <v>0</v>
      </c>
      <c r="I425" s="476">
        <f>INDEX(Input!$1:$1048576,I$93,$C425*2+MIN($B425,2)+5)</f>
        <v>0.7</v>
      </c>
      <c r="J425" s="476" t="str">
        <f>INDEX(Input!$1:$1048576,J$93,$C425*2+MIN($B425,2)+5)</f>
        <v>Market</v>
      </c>
      <c r="K425" s="476" t="str">
        <f>INDEX(Input!$1:$1048576,K$93,$C425*2+MIN($B425,2)+5)</f>
        <v>Market</v>
      </c>
      <c r="L425" s="476" t="str">
        <f>INDEX(Input!$1:$1048576,L$93,$C425*2+MIN($B425,2)+5)</f>
        <v>Market</v>
      </c>
      <c r="M425" s="476" t="str">
        <f>INDEX(Input!$1:$1048576,M$93,$C425*2+MIN($B425,2)+5)</f>
        <v>Market</v>
      </c>
      <c r="N425" s="476" t="str">
        <f>INDEX(Input!$1:$1048576,N$93,$C425*2+MIN($B425,2)+5)</f>
        <v>Market</v>
      </c>
      <c r="O425" s="476" t="str">
        <f>INDEX(Input!$1:$1048576,O$93,$C425*2+MIN($B425,2)+5)</f>
        <v>Market</v>
      </c>
      <c r="P425" s="476" t="str">
        <f>INDEX(Input!$1:$1048576,P$93,$C425*2+MIN($B425,2)+5)</f>
        <v>N</v>
      </c>
      <c r="Q425" s="477">
        <f>INDEX(Input!$1:$1048576,Q$93,$C425*2+MIN($B425,2)+5)
+INDEX(Scenarios!Q$121:Q$200,MATCH($B425,Scenarios!$B$121:$B$200,0))</f>
        <v>0</v>
      </c>
      <c r="R425" s="478">
        <f>IFERROR(MAX(0,INDEX(Input!$1:$1048576,R$93,$C425*2+MIN($B425,2)+5)
+INDEX(Scenarios!R$121:R$200,MATCH($B425,Scenarios!$B$121:$B$200,0)),),"Market")</f>
        <v>9.0000000000000011E-3</v>
      </c>
      <c r="S425" s="478">
        <f>IFERROR(MAX(0,INDEX(Input!$1:$1048576,S$93,$C425*2+MIN($B425,2)+5)
+INDEX(Scenarios!S$121:S$200,MATCH($B425,Scenarios!$B$121:$B$200,0)),),"Market")</f>
        <v>9.0000000000000011E-3</v>
      </c>
      <c r="T425" s="478">
        <f>IFERROR(MAX(0,INDEX(Input!$1:$1048576,T$93,$C425*2+MIN($B425,2)+5)
+INDEX(Scenarios!T$121:T$200,MATCH($B425,Scenarios!$B$121:$B$200,0)),),"Market")</f>
        <v>9.0000000000000011E-3</v>
      </c>
      <c r="U425" s="478">
        <f>IFERROR(MAX(0,INDEX(Input!$1:$1048576,U$93,$C425*2+MIN($B425,2)+5)
+INDEX(Scenarios!U$121:U$200,MATCH($B425,Scenarios!$B$121:$B$200,0)),),"Market")</f>
        <v>9.0000000000000011E-3</v>
      </c>
      <c r="V425" s="478">
        <f>IFERROR(MAX(0,INDEX(Input!$1:$1048576,V$93,$C425*2+MIN($B425,2)+5)
+INDEX(Scenarios!V$121:V$200,MATCH($B425,Scenarios!$B$121:$B$200,0)),),"Market")</f>
        <v>2.8999999999999998E-2</v>
      </c>
      <c r="W425" s="885">
        <f>IFERROR(MAX(0,INDEX(Input!$1:$1048576,W$93,$C425*2+MIN($B425,2)+5)-0%,),"Market")</f>
        <v>3.9E-2</v>
      </c>
      <c r="X425" s="476" t="str">
        <f>INDEX(Input!$1:$1048576,X$93,$C425*2+MIN($B425,2)+5)</f>
        <v>Y</v>
      </c>
      <c r="Y425" s="475">
        <f>INDEX(Input!$1:$1048576,Y$93,$C425*2+MIN($B425,2)+5)
++INDEX(Scenarios!Y$121:Y$200,MATCH($B425,Scenarios!$B$121:$B$200,0))</f>
        <v>-870</v>
      </c>
      <c r="Z425" s="477">
        <f>INDEX(Input!$1:$1048576,Z$93,$C425*2+MIN($B425,2)+5)
+INDEX(Scenarios!Z$121:Z$200,MATCH($B425,Scenarios!$B$121:$B$200,0))</f>
        <v>0</v>
      </c>
      <c r="AA425" s="475">
        <f>INDEX(Input!$1:$1048576,AA$93,$C425*2+MIN($B425,2)+5)
+INDEX(Scenarios!AA$121:AA$200,MATCH($B425,Scenarios!$B$121:$B$200,0))</f>
        <v>0</v>
      </c>
      <c r="AB425" s="476">
        <f>INDEX(Input!$1:$1048576,AB$93,$C425*2+MIN($B425,2)+5)</f>
        <v>0.27</v>
      </c>
      <c r="AC425" s="475">
        <f>INDEX(Input!$1:$1048576,AC$93,$C425*2+MIN($B425,2)+5)
+INDEX(Scenarios!AC$121:AC$200,MATCH($B425,Scenarios!$B$121:$B$200,0))</f>
        <v>0</v>
      </c>
      <c r="AD425" s="476">
        <f>INDEX(Input!$1:$1048576,AD$93,$C425*2+MIN($B425,2)+5)</f>
        <v>0.27</v>
      </c>
      <c r="AE425" s="475">
        <f>INDEX(Input!$1:$1048576,AE$93,$C425*2+MIN($B425,2)+5)
+INDEX(Scenarios!AE$121:AE$200,MATCH($B425,Scenarios!$B$121:$B$200,0))</f>
        <v>0</v>
      </c>
      <c r="AF425" s="476">
        <f>INDEX(Input!$1:$1048576,AF$93,$C425*2+MIN($B425,2)+5)</f>
        <v>1</v>
      </c>
      <c r="AG425" s="475">
        <f>INDEX(Input!$1:$1048576,AG$93,$C425*2+MIN($B425,2)+5)
+INDEX(Scenarios!AG$121:AG$200,MATCH($B425,Scenarios!$B$121:$B$200,0))</f>
        <v>500</v>
      </c>
      <c r="AH425" s="476">
        <f>INDEX(Input!$1:$1048576,AH$93,$C425*2+MIN($B425,2)+5)</f>
        <v>0.83199999999999996</v>
      </c>
      <c r="AI425" s="475">
        <f>INDEX(Input!$1:$1048576,AI$93,$C425*2+MIN($B425,2)+5)
+INDEX(Scenarios!AI$121:AI$200,MATCH($B425,Scenarios!$B$121:$B$200,0))</f>
        <v>0</v>
      </c>
      <c r="AJ425" s="476">
        <f>INDEX(Input!$1:$1048576,AJ$93,$C425*2+MIN($B425,2)+5)</f>
        <v>0.27</v>
      </c>
      <c r="AK425" s="150">
        <f>ROUND(INDEX(Input!$1:$1048576,AK$93,$C424*2+MIN($B425,1)+5)+(Y425-VLOOKUP($C425*1000+1,$A:$HH,Y$92,FALSE)),0)</f>
        <v>2587</v>
      </c>
      <c r="AL425" s="150">
        <f>ROUND(INDEX(Input!$1:$1048576,AL$93,$C424*2+MIN($B425,1)+5)-(Y425-VLOOKUP($C425*1000+1,$A:$HH,Y$92,FALSE))/36,0)</f>
        <v>3406</v>
      </c>
      <c r="AM425" s="32" t="str">
        <f t="shared" si="1139"/>
        <v>std/std/std/std</v>
      </c>
      <c r="AN425" s="32" t="str">
        <f t="shared" si="1140"/>
        <v>$0 + 0.9/0.9/0.9/2.9/3.9</v>
      </c>
      <c r="AO425" s="32" t="str">
        <f t="shared" si="1141"/>
        <v>0.9/0.9/0.9/2.9/3.9</v>
      </c>
      <c r="AP425" s="32" t="str">
        <f t="shared" si="1213"/>
        <v>0.9/1.9/2.9/3.9</v>
      </c>
      <c r="AQ425" s="536">
        <f t="shared" si="1207"/>
        <v>0.44654551745241011</v>
      </c>
      <c r="AR425" s="32"/>
      <c r="AS425" s="302"/>
      <c r="AT425" s="3">
        <f t="shared" si="1162"/>
        <v>25</v>
      </c>
      <c r="AU425" s="41" t="s">
        <v>121</v>
      </c>
      <c r="AV425" s="41" t="s">
        <v>116</v>
      </c>
      <c r="AW425" s="41" t="str">
        <f>INDEX(Input!$1:$1048576,AW$93,$C425*2+6)</f>
        <v>Kia</v>
      </c>
      <c r="AX425" s="41" t="str">
        <f>INDEX(Input!$1:$1048576,AX$93,$C425*2+6)</f>
        <v>Kia-LR - R1</v>
      </c>
      <c r="AY425" s="41" t="str">
        <f>IF(LEN(D425)=0,"",INDEX(Input!$1:$1048576,AY$93,$C425*2+6))</f>
        <v>Compact SUV (52)</v>
      </c>
      <c r="AZ425" s="41" t="str">
        <f>INDEX(Input!$1:$1048576,AZ$93,$C425*2+6)</f>
        <v>Kia Soul</v>
      </c>
      <c r="BA425" s="3">
        <f>INDEX(Input!$1:$1048576,BA$93,$C425*2+6)</f>
        <v>2020</v>
      </c>
      <c r="BB425" s="128">
        <f>INDEX(Input!$1:$1048576,BB$93,$C425*2+6)</f>
        <v>1</v>
      </c>
      <c r="BC425" s="128">
        <f>INDEX(Input!$1:$1048576,BC$93,$C425*2+6)</f>
        <v>0.7</v>
      </c>
      <c r="BD425" s="1">
        <f>INDEX(Input!$1:$1048576,BD$93,$C425*2+6)</f>
        <v>4.4999999999999998E-2</v>
      </c>
      <c r="BE425" s="1">
        <f>INDEX(Input!$1:$1048576,BE$93,$C425*2+6)</f>
        <v>4.4999999999999998E-2</v>
      </c>
      <c r="BF425" s="1">
        <f>INDEX(Input!$1:$1048576,BF$93,$C425*2+6)</f>
        <v>0.05</v>
      </c>
      <c r="BG425" s="1">
        <f>INDEX(Input!$1:$1048576,BG$93,$C425*2+6)</f>
        <v>5.45E-2</v>
      </c>
      <c r="BH425" s="1">
        <f>INDEX(Input!$1:$1048576,BH$93,$C425*2+6)</f>
        <v>5.45E-2</v>
      </c>
      <c r="BI425" s="1">
        <f>INDEX(Input!$1:$1048576,BI$93,$C425*2+6)</f>
        <v>0.05</v>
      </c>
      <c r="BJ425" s="1">
        <f>INDEX(Input!$1:$1048576,BJ$93,$C425*2+6)</f>
        <v>0.05</v>
      </c>
      <c r="BK425" s="1">
        <f>INDEX(Input!$1:$1048576,BK$93,$C425*2+6)</f>
        <v>0.05</v>
      </c>
      <c r="BL425" s="1">
        <f>INDEX(Input!$1:$1048576,BL$93,$C425*2+6)</f>
        <v>5.5E-2</v>
      </c>
      <c r="BM425" s="1">
        <f>INDEX(Input!$1:$1048576,BM$93,$C425*2+6)</f>
        <v>0.06</v>
      </c>
      <c r="BN425" s="1">
        <f>INDEX(Input!$1:$1048576,BN$93,$C425*2+6)</f>
        <v>4.4999999999999998E-2</v>
      </c>
      <c r="BO425" s="1">
        <f>INDEX(Input!$1:$1048576,BO$93,$C425*2+6)</f>
        <v>4.4999999999999998E-2</v>
      </c>
      <c r="BP425" s="1">
        <f>INDEX(Input!$1:$1048576,BP$93,$C425*2+6)</f>
        <v>0.05</v>
      </c>
      <c r="BQ425" s="1">
        <f>INDEX(Input!$1:$1048576,BQ$93,$C425*2+6)</f>
        <v>5.45E-2</v>
      </c>
      <c r="BR425" s="1">
        <f>INDEX(Input!$1:$1048576,BR$93,$C425*2+6)</f>
        <v>5.45E-2</v>
      </c>
      <c r="BS425" s="1">
        <f>INDEX(Input!$1:$1048576,BS$93,$C425*2+6)</f>
        <v>0.05</v>
      </c>
      <c r="BT425" s="1">
        <f>INDEX(Input!$1:$1048576,BT$93,$C425*2+6)</f>
        <v>0.05</v>
      </c>
      <c r="BU425" s="1">
        <f>INDEX(Input!$1:$1048576,BU$93,$C425*2+6)</f>
        <v>0.05</v>
      </c>
      <c r="BV425" s="1">
        <f>INDEX(Input!$1:$1048576,BV$93,$C425*2+6)</f>
        <v>5.5E-2</v>
      </c>
      <c r="BW425" s="1">
        <f>INDEX(Input!$1:$1048576,BW$93,$C425*2+6)</f>
        <v>0.06</v>
      </c>
      <c r="BX425" s="127">
        <f>INDEX(Input!$1:$1048576,BX$93,$C425*2+6)</f>
        <v>19985</v>
      </c>
      <c r="BY425" s="20">
        <f>INDEX(Input!$1:$1048576,BY$93,$C425*2+6)</f>
        <v>0.1</v>
      </c>
      <c r="BZ425" s="20">
        <f>INDEX(Input!$1:$1048576,BZ$93,$C425*2+6)</f>
        <v>0.1</v>
      </c>
      <c r="CA425" s="20">
        <f>INDEX(Input!$1:$1048576,CA$93,$C425*2+6)</f>
        <v>0.1</v>
      </c>
      <c r="CB425" s="20">
        <f>INDEX(Input!$1:$1048576,CB$93,$C425*2+6)</f>
        <v>0.1</v>
      </c>
      <c r="CC425" s="20">
        <f>INDEX(Input!$1:$1048576,CC$93,$C425*2+6)</f>
        <v>0.1</v>
      </c>
      <c r="CD425" s="384">
        <f>INDEX(Input!$1:$1048576,CD$93,$C425*2+6)</f>
        <v>0.1</v>
      </c>
      <c r="CE425" s="384">
        <f>INDEX(Input!$1:$1048576,CE$93,$C425*2+6)</f>
        <v>0.1</v>
      </c>
      <c r="CF425" s="384">
        <f>INDEX(Input!$1:$1048576,CF$93,$C425*2+6)</f>
        <v>0.1</v>
      </c>
      <c r="CG425" s="384">
        <f>INDEX(Input!$1:$1048576,CG$93,$C425*2+6)</f>
        <v>0.1</v>
      </c>
      <c r="CH425" s="384">
        <f>INDEX(Input!$1:$1048576,CH$93,$C425*2+6)</f>
        <v>0.1</v>
      </c>
      <c r="CI425" s="304">
        <f t="shared" si="1214"/>
        <v>1256.832975525977</v>
      </c>
      <c r="CJ425" s="16" t="str">
        <f>INDEX(Input!$1:$1048576,CJ$93,$C425*2+6)</f>
        <v>N</v>
      </c>
      <c r="CK425" s="1" t="str">
        <f t="shared" si="1215"/>
        <v>Market</v>
      </c>
      <c r="CL425" s="1" t="str">
        <f t="shared" si="1216"/>
        <v>Market</v>
      </c>
      <c r="CM425" s="1" t="str">
        <f t="shared" si="1217"/>
        <v>Market</v>
      </c>
      <c r="CN425" s="1" t="str">
        <f t="shared" si="1218"/>
        <v>Market</v>
      </c>
      <c r="CO425" s="1" t="str">
        <f t="shared" si="1219"/>
        <v>Market</v>
      </c>
      <c r="CP425" s="304">
        <f t="shared" si="1220"/>
        <v>416</v>
      </c>
      <c r="CQ425" s="1">
        <f t="shared" si="1221"/>
        <v>9.0000000000000011E-3</v>
      </c>
      <c r="CR425" s="1">
        <f t="shared" si="1222"/>
        <v>9.0000000000000011E-3</v>
      </c>
      <c r="CS425" s="1">
        <f t="shared" si="1223"/>
        <v>9.0000000000000011E-3</v>
      </c>
      <c r="CT425" s="1">
        <f t="shared" si="1224"/>
        <v>2.8999999999999998E-2</v>
      </c>
      <c r="CU425" s="1">
        <f t="shared" si="1225"/>
        <v>3.9E-2</v>
      </c>
      <c r="CV425" s="304">
        <f t="shared" si="1226"/>
        <v>-870</v>
      </c>
      <c r="CW425" s="20" t="s">
        <v>122</v>
      </c>
      <c r="CX425" s="20" t="s">
        <v>122</v>
      </c>
      <c r="CY425" s="20" t="s">
        <v>122</v>
      </c>
      <c r="CZ425" s="20" t="s">
        <v>122</v>
      </c>
      <c r="DA425" s="20" t="s">
        <v>122</v>
      </c>
      <c r="DB425" s="503">
        <f t="shared" si="1227"/>
        <v>0</v>
      </c>
      <c r="DC425" s="127">
        <v>0</v>
      </c>
      <c r="DD425" s="127">
        <v>0</v>
      </c>
      <c r="DE425" s="127">
        <v>0</v>
      </c>
      <c r="DF425" s="127">
        <v>0</v>
      </c>
      <c r="DG425" s="127">
        <v>0</v>
      </c>
      <c r="DH425" s="127">
        <v>0</v>
      </c>
      <c r="DI425" s="127">
        <v>0</v>
      </c>
      <c r="DJ425" s="127">
        <v>0</v>
      </c>
      <c r="DK425" s="127">
        <v>0</v>
      </c>
      <c r="DL425" s="127">
        <v>0</v>
      </c>
      <c r="DM425" s="304">
        <f>INDEX(Input!$1:$1048576,DM$93,$C425*2+6)</f>
        <v>21036.84210526316</v>
      </c>
      <c r="DN425" s="20">
        <v>0</v>
      </c>
      <c r="DO425" s="20">
        <v>0</v>
      </c>
      <c r="DP425" s="20">
        <v>0</v>
      </c>
      <c r="DQ425" s="20">
        <v>0</v>
      </c>
      <c r="DR425" s="20">
        <v>0</v>
      </c>
      <c r="DS425" s="20">
        <f>INDEX(Input!$1:$1048576,DS$93,$C425*2+6)</f>
        <v>0.6</v>
      </c>
      <c r="DT425" s="20">
        <f>INDEX(Input!$1:$1048576,DT$93,$C425*2+6)</f>
        <v>0.55000000000000004</v>
      </c>
      <c r="DU425" s="20">
        <f>INDEX(Input!$1:$1048576,DU$93,$C425*2+6)</f>
        <v>0.52</v>
      </c>
      <c r="DV425" s="20">
        <f>INDEX(Input!$1:$1048576,DV$93,$C425*2+6)</f>
        <v>0.5</v>
      </c>
      <c r="DW425" s="20">
        <f>INDEX(Input!$1:$1048576,DW$93,$C425*2+6)</f>
        <v>0.45</v>
      </c>
      <c r="DX425" s="20"/>
      <c r="DY425" s="7">
        <v>0.10422157113986012</v>
      </c>
      <c r="DZ425" s="7">
        <v>0</v>
      </c>
      <c r="EA425" s="7">
        <v>0.81094594865282488</v>
      </c>
      <c r="EB425" s="7">
        <v>0</v>
      </c>
      <c r="EC425" s="7">
        <v>0</v>
      </c>
      <c r="ED425" s="7">
        <v>0</v>
      </c>
      <c r="EE425" s="7">
        <v>0</v>
      </c>
      <c r="EF425" s="7">
        <v>0</v>
      </c>
      <c r="EG425" s="7">
        <v>0</v>
      </c>
      <c r="EH425" s="7">
        <v>1.3980310539185687E-2</v>
      </c>
      <c r="EI425" s="7">
        <v>3.4138105186910288E-2</v>
      </c>
      <c r="EJ425" s="7">
        <v>0.22684995649320858</v>
      </c>
      <c r="EK425" s="7">
        <v>0.53639568661983361</v>
      </c>
      <c r="EL425" s="7">
        <v>0.18863594116086166</v>
      </c>
      <c r="EM425" s="7">
        <v>3.1913060126354788E-2</v>
      </c>
      <c r="EN425" s="7">
        <v>5.0470782981902752E-2</v>
      </c>
      <c r="EO425" s="7">
        <v>0.71270509975598828</v>
      </c>
      <c r="EP425" s="7">
        <v>0.10247699917574342</v>
      </c>
      <c r="EQ425" s="7">
        <v>9.0009792505483827E-2</v>
      </c>
      <c r="ER425" s="7">
        <v>4.4337325580882041E-2</v>
      </c>
      <c r="ES425" s="7">
        <v>5.2919420080960268E-2</v>
      </c>
      <c r="ET425" s="7">
        <v>8.4832480207315028E-2</v>
      </c>
      <c r="EU425" s="6">
        <v>1770</v>
      </c>
      <c r="EV425" s="6">
        <v>0</v>
      </c>
      <c r="EW425" s="6">
        <v>1770</v>
      </c>
      <c r="EX425" s="6">
        <v>0</v>
      </c>
      <c r="EY425" s="6">
        <v>2079.7844871325919</v>
      </c>
      <c r="EZ425" s="6">
        <v>507</v>
      </c>
      <c r="FA425" s="6">
        <v>0</v>
      </c>
      <c r="FB425" s="6">
        <v>0</v>
      </c>
      <c r="FC425" s="6">
        <v>0</v>
      </c>
      <c r="FD425" s="6">
        <v>0</v>
      </c>
      <c r="FE425" s="6">
        <v>0</v>
      </c>
      <c r="FF425" s="6">
        <v>0</v>
      </c>
      <c r="FG425" s="6">
        <v>0</v>
      </c>
      <c r="FH425" s="6">
        <v>938.74334753643916</v>
      </c>
      <c r="FI425" s="6">
        <v>1250.2588059868267</v>
      </c>
      <c r="FJ425" s="6">
        <v>1735.1562230702798</v>
      </c>
      <c r="FK425" s="6">
        <v>1284.9687470586855</v>
      </c>
      <c r="FL425" s="6">
        <v>907.07682140966313</v>
      </c>
      <c r="FM425" s="6">
        <v>1309.7844871325919</v>
      </c>
      <c r="FN425" s="6">
        <v>0</v>
      </c>
      <c r="FO425" s="6">
        <v>0</v>
      </c>
      <c r="FP425" s="6">
        <v>0</v>
      </c>
      <c r="FQ425" s="6">
        <v>0</v>
      </c>
      <c r="FR425" s="6">
        <v>0</v>
      </c>
      <c r="FS425" s="6">
        <v>0</v>
      </c>
      <c r="FT425" s="7">
        <v>0.91516751979268496</v>
      </c>
      <c r="FU425" s="7">
        <v>3.1913060126354788E-2</v>
      </c>
      <c r="FV425" s="7">
        <v>5.2919420080960268E-2</v>
      </c>
      <c r="FW425" s="6">
        <v>1770.0000000000002</v>
      </c>
      <c r="FX425" s="6">
        <v>2079.7844871325919</v>
      </c>
      <c r="FY425" s="6">
        <v>507</v>
      </c>
      <c r="FZ425" s="6">
        <v>1949.5716051445115</v>
      </c>
      <c r="GA425" s="6">
        <v>1713.0489434018216</v>
      </c>
      <c r="GB425" s="6">
        <v>18271.95105659818</v>
      </c>
      <c r="GC425" s="7">
        <v>3.3872851927908169E-2</v>
      </c>
      <c r="GD425" s="7">
        <v>3.3508384417682217E-2</v>
      </c>
      <c r="GE425" s="7"/>
      <c r="GF425" s="7"/>
      <c r="GG425" s="7">
        <v>-1.0759870795693578E-2</v>
      </c>
      <c r="GH425" s="42">
        <v>0.90915608790954316</v>
      </c>
      <c r="GI425" s="6">
        <v>23694.972911982666</v>
      </c>
      <c r="GJ425" s="14">
        <v>0.50394797582841722</v>
      </c>
      <c r="GK425" s="14">
        <v>0.50887573065309744</v>
      </c>
      <c r="GL425" s="14">
        <v>0.49605202417158251</v>
      </c>
      <c r="GM425" s="14">
        <v>0.4911242693469024</v>
      </c>
      <c r="GO425" s="5">
        <v>343.14810671672558</v>
      </c>
      <c r="GP425" s="5">
        <v>309.37988338875158</v>
      </c>
      <c r="GQ425" s="5">
        <v>535.04305713031317</v>
      </c>
      <c r="GR425" s="5">
        <v>410.15490233172511</v>
      </c>
      <c r="GS425" s="5">
        <v>339.42744393800166</v>
      </c>
      <c r="GT425" s="5">
        <v>293.4407446948278</v>
      </c>
      <c r="GU425" s="5">
        <v>258.04012322764959</v>
      </c>
      <c r="GV425" s="39" t="s">
        <v>392</v>
      </c>
      <c r="GW425" s="5">
        <v>484.90065634566969</v>
      </c>
      <c r="GX425" s="5">
        <v>365.30647970299401</v>
      </c>
      <c r="GY425" s="5">
        <v>293.55384547131746</v>
      </c>
      <c r="GZ425" s="5">
        <v>260.81240841112611</v>
      </c>
      <c r="HA425" s="5">
        <v>234.53733318419432</v>
      </c>
      <c r="HB425" s="39">
        <v>269.98343133072814</v>
      </c>
      <c r="HC425" s="5">
        <v>265.10312499999998</v>
      </c>
      <c r="HD425" s="5">
        <v>224.66580774853799</v>
      </c>
      <c r="HE425" s="5">
        <v>226.90661690283397</v>
      </c>
      <c r="HF425" s="5">
        <v>209.18438048245613</v>
      </c>
      <c r="HG425" s="5">
        <v>200.91388157894738</v>
      </c>
      <c r="HH425" s="39">
        <v>224.4897652701018</v>
      </c>
      <c r="HI425" s="16"/>
      <c r="HJ425" s="19" t="str">
        <f t="shared" si="1204"/>
        <v>On</v>
      </c>
      <c r="HK425" s="1" t="str">
        <f t="shared" si="1204"/>
        <v>On</v>
      </c>
      <c r="HL425" s="16"/>
      <c r="HM425" s="639">
        <f t="shared" si="1110"/>
        <v>2.9403358434788716E-2</v>
      </c>
      <c r="HN425" s="639">
        <f t="shared" si="1111"/>
        <v>1.4106809950923669E-3</v>
      </c>
      <c r="HO425" s="639">
        <f t="shared" si="1112"/>
        <v>1.7317923025048877E-3</v>
      </c>
      <c r="HP425" s="644">
        <f>(FT425*$GD425-HM425)/$JF425*INDEX(Input!$1:$1048576,$JG$93,$C425*2+6)</f>
        <v>90.340035977708396</v>
      </c>
      <c r="HQ425" s="644">
        <f>(FU425*$GD425-HN425)/$JF425*INDEX(Input!$1:$1048576,$JG$93,$C425*2+6)</f>
        <v>-24.425494707865361</v>
      </c>
      <c r="HR425" s="644">
        <f>(FV425*$GD425-HO425)/$JF425*INDEX(Input!$1:$1048576,$JG$93,$C425*2+6)</f>
        <v>2.9663287133992577</v>
      </c>
      <c r="HS425" s="644">
        <f t="shared" si="1208"/>
        <v>-36.582846831156367</v>
      </c>
      <c r="HT425" s="644">
        <f t="shared" si="1114"/>
        <v>-23.23440514422213</v>
      </c>
      <c r="HU425" s="644">
        <f t="shared" si="1115"/>
        <v>6.0584215961023098</v>
      </c>
      <c r="HV425" s="648">
        <f t="shared" si="1116"/>
        <v>0</v>
      </c>
      <c r="HW425" s="648">
        <f t="shared" si="1117"/>
        <v>0</v>
      </c>
      <c r="HX425" s="648">
        <f t="shared" si="1118"/>
        <v>0</v>
      </c>
      <c r="HY425" s="644">
        <f>INDEX(Input!$1:$1048576,HY$93,$C425*2+6)*INDEX(Input!$1:$1048576,$JG$93,$C425*2+6)</f>
        <v>993</v>
      </c>
      <c r="HZ425" s="644">
        <f>INDEX(Input!$1:$1048576,HZ$93,$C425*2+6)*INDEX(Input!$1:$1048576,$JG$93,$C425*2+6)</f>
        <v>1216</v>
      </c>
      <c r="IA425" s="644">
        <f>INDEX(Input!$1:$1048576,IA$93,$C425*2+6)*INDEX(Input!$1:$1048576,$JG$93,$C425*2+6)</f>
        <v>120</v>
      </c>
      <c r="IB425" s="644">
        <f t="shared" si="1142"/>
        <v>1046.757189146552</v>
      </c>
      <c r="IC425" s="644">
        <f t="shared" si="1143"/>
        <v>1168.3401001479126</v>
      </c>
      <c r="ID425" s="644">
        <f>IF(AND(INDEX(Input!$1:$1048576,IA$93,$C425*2+7)="TOS",Y425&lt;=INDEX(Y:Y,MATCH(C425*1000+2,A:A))),0,1)*MAX(IA425+HR425+HU425+HX425,0%)</f>
        <v>129.02475030950157</v>
      </c>
      <c r="IE425" s="128">
        <f t="shared" si="1209"/>
        <v>0.44654551745241011</v>
      </c>
      <c r="IF425" s="128">
        <f t="shared" si="1210"/>
        <v>0.49841265958375652</v>
      </c>
      <c r="IG425" s="128">
        <f t="shared" si="1120"/>
        <v>5.5041822963833399E-2</v>
      </c>
      <c r="IH425" s="21"/>
      <c r="II425" s="19">
        <f t="shared" si="1121"/>
        <v>1490</v>
      </c>
      <c r="IJ425" s="19">
        <f t="shared" si="1122"/>
        <v>2203.2561351629856</v>
      </c>
      <c r="IK425" s="19">
        <f t="shared" si="1123"/>
        <v>242</v>
      </c>
      <c r="IL425" s="19">
        <f t="shared" si="1145"/>
        <v>280.00000000000023</v>
      </c>
      <c r="IM425" s="19">
        <f t="shared" si="1124"/>
        <v>-123.47164803039368</v>
      </c>
      <c r="IN425" s="19">
        <f t="shared" si="1125"/>
        <v>265</v>
      </c>
      <c r="IO425" s="39">
        <f t="shared" si="1126"/>
        <v>0</v>
      </c>
      <c r="IP425" s="39">
        <f t="shared" si="1127"/>
        <v>0</v>
      </c>
      <c r="IQ425" s="39">
        <f t="shared" si="1128"/>
        <v>0</v>
      </c>
      <c r="IR425" s="39">
        <v>0</v>
      </c>
      <c r="IS425" s="39">
        <v>0</v>
      </c>
      <c r="IT425" s="39">
        <v>0</v>
      </c>
      <c r="IU425" s="39">
        <v>0</v>
      </c>
      <c r="IV425" s="39">
        <v>0</v>
      </c>
      <c r="IW425" s="39">
        <v>0</v>
      </c>
      <c r="IX425" s="39">
        <f>INDEX(Input!$1:$1048576,IX$93,$C425*2+6)+INDEX(Input!$1:$1048576,IX$94,$C425*2+6)</f>
        <v>1770</v>
      </c>
      <c r="IY425" s="39">
        <f>INDEX(Input!$1:$1048576,IY$93,$C425*2+6)+INDEX(Input!$1:$1048576,IY$94,$C425*2+6)</f>
        <v>2630.0624533823611</v>
      </c>
      <c r="IZ425" s="39">
        <f>INDEX(Input!$1:$1048576,IZ$93,$C425*2+6)+INDEX(Input!$1:$1048576,IZ$94,$C425*2+6)</f>
        <v>4153.7164157747848</v>
      </c>
      <c r="JA425" s="19">
        <f t="shared" si="1146"/>
        <v>2050</v>
      </c>
      <c r="JB425" s="19">
        <f t="shared" si="1147"/>
        <v>2506.5908053519674</v>
      </c>
      <c r="JC425" s="19">
        <f t="shared" si="1148"/>
        <v>4418.7164157747848</v>
      </c>
      <c r="JD425" s="19">
        <f t="shared" si="1149"/>
        <v>2407.9491072455653</v>
      </c>
      <c r="JE425" s="21"/>
      <c r="JF425" s="1">
        <f t="shared" si="1129"/>
        <v>3.2545831732385969E-2</v>
      </c>
      <c r="JG425" s="15">
        <f>INDEX(Input!$1:$1048576,JG$93,$C425*2+6)/(1+VLOOKUP(C425*1000+INDEX(Input!$1:$1048576,JG$93+1,$C425*2+6),$A:$KK,$JK$92,FALSE))</f>
        <v>2329</v>
      </c>
      <c r="JH425" s="1">
        <f t="shared" si="1150"/>
        <v>2.95752984041401E-2</v>
      </c>
      <c r="JI425" s="1">
        <f t="shared" si="1151"/>
        <v>-2.308236598509068E-2</v>
      </c>
      <c r="JJ425" s="1">
        <f t="shared" si="1211"/>
        <v>0</v>
      </c>
      <c r="JK425" s="1">
        <f t="shared" si="1212"/>
        <v>6.49293241904942E-3</v>
      </c>
      <c r="JL425" s="15">
        <f t="shared" si="1154"/>
        <v>15.122039603966099</v>
      </c>
      <c r="JM425" s="15">
        <f t="shared" si="1180"/>
        <v>2344.1220396039662</v>
      </c>
      <c r="JN425" s="21"/>
      <c r="JO425" s="19">
        <f>INDEX(Input!$1:$1048576,JO$93,$C425*2+6)</f>
        <v>5995.5</v>
      </c>
      <c r="JP425" s="19">
        <f>INDEX(Input!$1:$1048576,JP$93,$C425*2+6)</f>
        <v>2341.8685758720158</v>
      </c>
      <c r="JQ425" s="39">
        <f t="shared" si="1166"/>
        <v>3587.5508927544347</v>
      </c>
      <c r="JR425" s="39">
        <f t="shared" si="1183"/>
        <v>66.080531373549547</v>
      </c>
      <c r="JS425" s="39">
        <f t="shared" si="1168"/>
        <v>5.6445265725390241</v>
      </c>
      <c r="JT425" s="39">
        <f t="shared" si="1156"/>
        <v>0.1903146593330996</v>
      </c>
      <c r="JU425" s="385">
        <f>(JQ425*JM425-INDEX(Input!$1:$1048576,Input!A$18,$C425*2+6)*JL425*INDEX(Input!$1:$1048576,Input!A$19,$C425*2+6))/1000000</f>
        <v>8.4096571159065547</v>
      </c>
      <c r="JV425" s="39">
        <f t="shared" si="1190"/>
        <v>-9.965047088751966E-2</v>
      </c>
      <c r="JW425" s="1">
        <f t="shared" si="1181"/>
        <v>-1.1710761406976414E-2</v>
      </c>
      <c r="JX425" s="19">
        <f t="shared" si="1172"/>
        <v>12585.250688219679</v>
      </c>
      <c r="JZ425" s="341"/>
      <c r="KA425" s="342"/>
      <c r="KB425" s="469">
        <f t="shared" si="1169"/>
        <v>2.3434325605641804</v>
      </c>
      <c r="KI425" s="473">
        <f t="shared" si="1196"/>
        <v>53.757189146552037</v>
      </c>
      <c r="KJ425" s="473">
        <f t="shared" si="1197"/>
        <v>-47.659899852087392</v>
      </c>
      <c r="KK425" s="473">
        <f t="shared" si="1158"/>
        <v>9.0247503095015702</v>
      </c>
      <c r="KN425" s="544">
        <f t="shared" si="1173"/>
        <v>4002</v>
      </c>
      <c r="KO425" s="541">
        <f t="shared" si="1133"/>
        <v>-3.0798552198962548E-2</v>
      </c>
      <c r="KP425" s="546">
        <f t="shared" si="1134"/>
        <v>-201.11879283664939</v>
      </c>
      <c r="KQ425" s="546">
        <f t="shared" si="1135"/>
        <v>-216.82208079045586</v>
      </c>
      <c r="KR425" s="548">
        <f t="shared" si="1136"/>
        <v>2.6584781347880813</v>
      </c>
      <c r="KS425" s="548">
        <f t="shared" si="1137"/>
        <v>2.4659384842262866</v>
      </c>
      <c r="KT425" s="473">
        <f t="shared" si="1171"/>
        <v>1580.0986321700548</v>
      </c>
      <c r="KU425" s="663">
        <f t="shared" si="1159"/>
        <v>4.0131188480039546</v>
      </c>
      <c r="KV425" s="117"/>
    </row>
    <row r="426" spans="1:308" s="26" customFormat="1" ht="15">
      <c r="A426" s="561">
        <f t="shared" si="1138"/>
        <v>4026</v>
      </c>
      <c r="B426" s="561">
        <f t="shared" si="1160"/>
        <v>26</v>
      </c>
      <c r="C426" s="561">
        <f t="shared" si="1161"/>
        <v>4</v>
      </c>
      <c r="D426" s="561" t="str">
        <f t="shared" si="1206"/>
        <v xml:space="preserve">1.9/2.9/3.9/3.9, </v>
      </c>
      <c r="E426" s="475">
        <f>INDEX(Input!$1:$1048576,E$93,$C426*2+MIN($B426,2)+5)
+INDEX(Scenarios!E$121:E$200,MATCH($B426,Scenarios!$B$121:$B$200,0))</f>
        <v>1256.832975525977</v>
      </c>
      <c r="F426" s="475">
        <f>INDEX(Input!$1:$1048576,F$93,$C426*2+MIN($B426,2)+5)
+INDEX(Scenarios!F$121:F$200,MATCH($B426,Scenarios!$B$121:$B$200,0))</f>
        <v>0</v>
      </c>
      <c r="G426" s="475">
        <f>INDEX(Input!$1:$1048576,G$93,$C426*2+MIN($B426,2)+5)
+INDEX(Scenarios!G$121:G$200,MATCH($B426,Scenarios!$B$121:$B$200,0))</f>
        <v>0</v>
      </c>
      <c r="H426" s="475">
        <f>INDEX(Input!$1:$1048576,H$93,$C426*2+MIN($B426,2)+5)
+INDEX(Scenarios!H$121:H$200,MATCH($B426,Scenarios!$B$121:$B$200,0))</f>
        <v>0</v>
      </c>
      <c r="I426" s="476">
        <f>INDEX(Input!$1:$1048576,I$93,$C426*2+MIN($B426,2)+5)</f>
        <v>0.7</v>
      </c>
      <c r="J426" s="476" t="str">
        <f>INDEX(Input!$1:$1048576,J$93,$C426*2+MIN($B426,2)+5)</f>
        <v>Market</v>
      </c>
      <c r="K426" s="476" t="str">
        <f>INDEX(Input!$1:$1048576,K$93,$C426*2+MIN($B426,2)+5)</f>
        <v>Market</v>
      </c>
      <c r="L426" s="476" t="str">
        <f>INDEX(Input!$1:$1048576,L$93,$C426*2+MIN($B426,2)+5)</f>
        <v>Market</v>
      </c>
      <c r="M426" s="476" t="str">
        <f>INDEX(Input!$1:$1048576,M$93,$C426*2+MIN($B426,2)+5)</f>
        <v>Market</v>
      </c>
      <c r="N426" s="476" t="str">
        <f>INDEX(Input!$1:$1048576,N$93,$C426*2+MIN($B426,2)+5)</f>
        <v>Market</v>
      </c>
      <c r="O426" s="476" t="str">
        <f>INDEX(Input!$1:$1048576,O$93,$C426*2+MIN($B426,2)+5)</f>
        <v>Market</v>
      </c>
      <c r="P426" s="476" t="str">
        <f>INDEX(Input!$1:$1048576,P$93,$C426*2+MIN($B426,2)+5)</f>
        <v>N</v>
      </c>
      <c r="Q426" s="477">
        <f>INDEX(Input!$1:$1048576,Q$93,$C426*2+MIN($B426,2)+5)
+INDEX(Scenarios!Q$121:Q$200,MATCH($B426,Scenarios!$B$121:$B$200,0))</f>
        <v>0</v>
      </c>
      <c r="R426" s="478">
        <f>IFERROR(MAX(0,INDEX(Input!$1:$1048576,R$93,$C426*2+MIN($B426,2)+5)
+INDEX(Scenarios!R$121:R$200,MATCH($B426,Scenarios!$B$121:$B$200,0)),),"Market")</f>
        <v>1.9E-2</v>
      </c>
      <c r="S426" s="478">
        <f>IFERROR(MAX(0,INDEX(Input!$1:$1048576,S$93,$C426*2+MIN($B426,2)+5)
+INDEX(Scenarios!S$121:S$200,MATCH($B426,Scenarios!$B$121:$B$200,0)),),"Market")</f>
        <v>1.9E-2</v>
      </c>
      <c r="T426" s="478">
        <f>IFERROR(MAX(0,INDEX(Input!$1:$1048576,T$93,$C426*2+MIN($B426,2)+5)
+INDEX(Scenarios!T$121:T$200,MATCH($B426,Scenarios!$B$121:$B$200,0)),),"Market")</f>
        <v>1.9E-2</v>
      </c>
      <c r="U426" s="478">
        <f>IFERROR(MAX(0,INDEX(Input!$1:$1048576,U$93,$C426*2+MIN($B426,2)+5)
+INDEX(Scenarios!U$121:U$200,MATCH($B426,Scenarios!$B$121:$B$200,0)),),"Market")</f>
        <v>1.9E-2</v>
      </c>
      <c r="V426" s="478">
        <f>IFERROR(MAX(0,INDEX(Input!$1:$1048576,V$93,$C426*2+MIN($B426,2)+5)
+INDEX(Scenarios!V$121:V$200,MATCH($B426,Scenarios!$B$121:$B$200,0)),),"Market")</f>
        <v>3.9E-2</v>
      </c>
      <c r="W426" s="885">
        <f>IFERROR(MAX(0,INDEX(Input!$1:$1048576,W$93,$C426*2+MIN($B426,2)+5)-0%,),"Market")</f>
        <v>3.9E-2</v>
      </c>
      <c r="X426" s="476" t="str">
        <f>INDEX(Input!$1:$1048576,X$93,$C426*2+MIN($B426,2)+5)</f>
        <v>Y</v>
      </c>
      <c r="Y426" s="475">
        <f>INDEX(Input!$1:$1048576,Y$93,$C426*2+MIN($B426,2)+5)
++INDEX(Scenarios!Y$121:Y$200,MATCH($B426,Scenarios!$B$121:$B$200,0))</f>
        <v>-870</v>
      </c>
      <c r="Z426" s="477">
        <f>INDEX(Input!$1:$1048576,Z$93,$C426*2+MIN($B426,2)+5)
+INDEX(Scenarios!Z$121:Z$200,MATCH($B426,Scenarios!$B$121:$B$200,0))</f>
        <v>0</v>
      </c>
      <c r="AA426" s="475">
        <f>INDEX(Input!$1:$1048576,AA$93,$C426*2+MIN($B426,2)+5)
+INDEX(Scenarios!AA$121:AA$200,MATCH($B426,Scenarios!$B$121:$B$200,0))</f>
        <v>0</v>
      </c>
      <c r="AB426" s="476">
        <f>INDEX(Input!$1:$1048576,AB$93,$C426*2+MIN($B426,2)+5)</f>
        <v>0.27</v>
      </c>
      <c r="AC426" s="475">
        <f>INDEX(Input!$1:$1048576,AC$93,$C426*2+MIN($B426,2)+5)
+INDEX(Scenarios!AC$121:AC$200,MATCH($B426,Scenarios!$B$121:$B$200,0))</f>
        <v>0</v>
      </c>
      <c r="AD426" s="476">
        <f>INDEX(Input!$1:$1048576,AD$93,$C426*2+MIN($B426,2)+5)</f>
        <v>0.27</v>
      </c>
      <c r="AE426" s="475">
        <f>INDEX(Input!$1:$1048576,AE$93,$C426*2+MIN($B426,2)+5)
+INDEX(Scenarios!AE$121:AE$200,MATCH($B426,Scenarios!$B$121:$B$200,0))</f>
        <v>0</v>
      </c>
      <c r="AF426" s="476">
        <f>INDEX(Input!$1:$1048576,AF$93,$C426*2+MIN($B426,2)+5)</f>
        <v>1</v>
      </c>
      <c r="AG426" s="475">
        <f>INDEX(Input!$1:$1048576,AG$93,$C426*2+MIN($B426,2)+5)
+INDEX(Scenarios!AG$121:AG$200,MATCH($B426,Scenarios!$B$121:$B$200,0))</f>
        <v>500</v>
      </c>
      <c r="AH426" s="476">
        <f>INDEX(Input!$1:$1048576,AH$93,$C426*2+MIN($B426,2)+5)</f>
        <v>0.83199999999999996</v>
      </c>
      <c r="AI426" s="475">
        <f>INDEX(Input!$1:$1048576,AI$93,$C426*2+MIN($B426,2)+5)
+INDEX(Scenarios!AI$121:AI$200,MATCH($B426,Scenarios!$B$121:$B$200,0))</f>
        <v>0</v>
      </c>
      <c r="AJ426" s="476">
        <f>INDEX(Input!$1:$1048576,AJ$93,$C426*2+MIN($B426,2)+5)</f>
        <v>0.27</v>
      </c>
      <c r="AK426" s="150">
        <f>ROUND(INDEX(Input!$1:$1048576,AK$93,$C425*2+MIN($B426,1)+5)+(Y426-VLOOKUP($C426*1000+1,$A:$HH,Y$92,FALSE)),0)</f>
        <v>2587</v>
      </c>
      <c r="AL426" s="150">
        <f>ROUND(INDEX(Input!$1:$1048576,AL$93,$C425*2+MIN($B426,1)+5)-(Y426-VLOOKUP($C426*1000+1,$A:$HH,Y$92,FALSE))/36,0)</f>
        <v>3406</v>
      </c>
      <c r="AM426" s="32" t="str">
        <f t="shared" si="1139"/>
        <v>std/std/std/std</v>
      </c>
      <c r="AN426" s="32" t="str">
        <f t="shared" si="1140"/>
        <v>$0 + 1.9/1.9/1.9/3.9/3.9</v>
      </c>
      <c r="AO426" s="32" t="str">
        <f t="shared" si="1141"/>
        <v>1.9/1.9/1.9/3.9/3.9</v>
      </c>
      <c r="AP426" s="32" t="str">
        <f t="shared" si="1213"/>
        <v>1.9/2.9/3.9/3.9</v>
      </c>
      <c r="AQ426" s="536">
        <f t="shared" si="1207"/>
        <v>0.46675241598710371</v>
      </c>
      <c r="AR426" s="32"/>
      <c r="AS426" s="302"/>
      <c r="AT426" s="3">
        <f t="shared" si="1162"/>
        <v>26</v>
      </c>
      <c r="AU426" s="41" t="s">
        <v>121</v>
      </c>
      <c r="AV426" s="41" t="s">
        <v>116</v>
      </c>
      <c r="AW426" s="41" t="str">
        <f>INDEX(Input!$1:$1048576,AW$93,$C426*2+6)</f>
        <v>Kia</v>
      </c>
      <c r="AX426" s="41" t="str">
        <f>INDEX(Input!$1:$1048576,AX$93,$C426*2+6)</f>
        <v>Kia-LR - R1</v>
      </c>
      <c r="AY426" s="41" t="str">
        <f>IF(LEN(D426)=0,"",INDEX(Input!$1:$1048576,AY$93,$C426*2+6))</f>
        <v>Compact SUV (52)</v>
      </c>
      <c r="AZ426" s="41" t="str">
        <f>INDEX(Input!$1:$1048576,AZ$93,$C426*2+6)</f>
        <v>Kia Soul</v>
      </c>
      <c r="BA426" s="3">
        <f>INDEX(Input!$1:$1048576,BA$93,$C426*2+6)</f>
        <v>2020</v>
      </c>
      <c r="BB426" s="128">
        <f>INDEX(Input!$1:$1048576,BB$93,$C426*2+6)</f>
        <v>1</v>
      </c>
      <c r="BC426" s="128">
        <f>INDEX(Input!$1:$1048576,BC$93,$C426*2+6)</f>
        <v>0.7</v>
      </c>
      <c r="BD426" s="1">
        <f>INDEX(Input!$1:$1048576,BD$93,$C426*2+6)</f>
        <v>4.4999999999999998E-2</v>
      </c>
      <c r="BE426" s="1">
        <f>INDEX(Input!$1:$1048576,BE$93,$C426*2+6)</f>
        <v>4.4999999999999998E-2</v>
      </c>
      <c r="BF426" s="1">
        <f>INDEX(Input!$1:$1048576,BF$93,$C426*2+6)</f>
        <v>0.05</v>
      </c>
      <c r="BG426" s="1">
        <f>INDEX(Input!$1:$1048576,BG$93,$C426*2+6)</f>
        <v>5.45E-2</v>
      </c>
      <c r="BH426" s="1">
        <f>INDEX(Input!$1:$1048576,BH$93,$C426*2+6)</f>
        <v>5.45E-2</v>
      </c>
      <c r="BI426" s="1">
        <f>INDEX(Input!$1:$1048576,BI$93,$C426*2+6)</f>
        <v>0.05</v>
      </c>
      <c r="BJ426" s="1">
        <f>INDEX(Input!$1:$1048576,BJ$93,$C426*2+6)</f>
        <v>0.05</v>
      </c>
      <c r="BK426" s="1">
        <f>INDEX(Input!$1:$1048576,BK$93,$C426*2+6)</f>
        <v>0.05</v>
      </c>
      <c r="BL426" s="1">
        <f>INDEX(Input!$1:$1048576,BL$93,$C426*2+6)</f>
        <v>5.5E-2</v>
      </c>
      <c r="BM426" s="1">
        <f>INDEX(Input!$1:$1048576,BM$93,$C426*2+6)</f>
        <v>0.06</v>
      </c>
      <c r="BN426" s="1">
        <f>INDEX(Input!$1:$1048576,BN$93,$C426*2+6)</f>
        <v>4.4999999999999998E-2</v>
      </c>
      <c r="BO426" s="1">
        <f>INDEX(Input!$1:$1048576,BO$93,$C426*2+6)</f>
        <v>4.4999999999999998E-2</v>
      </c>
      <c r="BP426" s="1">
        <f>INDEX(Input!$1:$1048576,BP$93,$C426*2+6)</f>
        <v>0.05</v>
      </c>
      <c r="BQ426" s="1">
        <f>INDEX(Input!$1:$1048576,BQ$93,$C426*2+6)</f>
        <v>5.45E-2</v>
      </c>
      <c r="BR426" s="1">
        <f>INDEX(Input!$1:$1048576,BR$93,$C426*2+6)</f>
        <v>5.45E-2</v>
      </c>
      <c r="BS426" s="1">
        <f>INDEX(Input!$1:$1048576,BS$93,$C426*2+6)</f>
        <v>0.05</v>
      </c>
      <c r="BT426" s="1">
        <f>INDEX(Input!$1:$1048576,BT$93,$C426*2+6)</f>
        <v>0.05</v>
      </c>
      <c r="BU426" s="1">
        <f>INDEX(Input!$1:$1048576,BU$93,$C426*2+6)</f>
        <v>0.05</v>
      </c>
      <c r="BV426" s="1">
        <f>INDEX(Input!$1:$1048576,BV$93,$C426*2+6)</f>
        <v>5.5E-2</v>
      </c>
      <c r="BW426" s="1">
        <f>INDEX(Input!$1:$1048576,BW$93,$C426*2+6)</f>
        <v>0.06</v>
      </c>
      <c r="BX426" s="127">
        <f>INDEX(Input!$1:$1048576,BX$93,$C426*2+6)</f>
        <v>19985</v>
      </c>
      <c r="BY426" s="20">
        <f>INDEX(Input!$1:$1048576,BY$93,$C426*2+6)</f>
        <v>0.1</v>
      </c>
      <c r="BZ426" s="20">
        <f>INDEX(Input!$1:$1048576,BZ$93,$C426*2+6)</f>
        <v>0.1</v>
      </c>
      <c r="CA426" s="20">
        <f>INDEX(Input!$1:$1048576,CA$93,$C426*2+6)</f>
        <v>0.1</v>
      </c>
      <c r="CB426" s="20">
        <f>INDEX(Input!$1:$1048576,CB$93,$C426*2+6)</f>
        <v>0.1</v>
      </c>
      <c r="CC426" s="20">
        <f>INDEX(Input!$1:$1048576,CC$93,$C426*2+6)</f>
        <v>0.1</v>
      </c>
      <c r="CD426" s="384">
        <f>INDEX(Input!$1:$1048576,CD$93,$C426*2+6)</f>
        <v>0.1</v>
      </c>
      <c r="CE426" s="384">
        <f>INDEX(Input!$1:$1048576,CE$93,$C426*2+6)</f>
        <v>0.1</v>
      </c>
      <c r="CF426" s="384">
        <f>INDEX(Input!$1:$1048576,CF$93,$C426*2+6)</f>
        <v>0.1</v>
      </c>
      <c r="CG426" s="384">
        <f>INDEX(Input!$1:$1048576,CG$93,$C426*2+6)</f>
        <v>0.1</v>
      </c>
      <c r="CH426" s="384">
        <f>INDEX(Input!$1:$1048576,CH$93,$C426*2+6)</f>
        <v>0.1</v>
      </c>
      <c r="CI426" s="304">
        <f t="shared" si="1214"/>
        <v>1256.832975525977</v>
      </c>
      <c r="CJ426" s="16" t="str">
        <f>INDEX(Input!$1:$1048576,CJ$93,$C426*2+6)</f>
        <v>N</v>
      </c>
      <c r="CK426" s="1" t="str">
        <f t="shared" si="1215"/>
        <v>Market</v>
      </c>
      <c r="CL426" s="1" t="str">
        <f t="shared" si="1216"/>
        <v>Market</v>
      </c>
      <c r="CM426" s="1" t="str">
        <f t="shared" si="1217"/>
        <v>Market</v>
      </c>
      <c r="CN426" s="1" t="str">
        <f t="shared" si="1218"/>
        <v>Market</v>
      </c>
      <c r="CO426" s="1" t="str">
        <f t="shared" si="1219"/>
        <v>Market</v>
      </c>
      <c r="CP426" s="304">
        <f t="shared" si="1220"/>
        <v>416</v>
      </c>
      <c r="CQ426" s="1">
        <f t="shared" si="1221"/>
        <v>1.9E-2</v>
      </c>
      <c r="CR426" s="1">
        <f t="shared" si="1222"/>
        <v>1.9E-2</v>
      </c>
      <c r="CS426" s="1">
        <f t="shared" si="1223"/>
        <v>1.9E-2</v>
      </c>
      <c r="CT426" s="1">
        <f t="shared" si="1224"/>
        <v>3.9E-2</v>
      </c>
      <c r="CU426" s="1">
        <f t="shared" si="1225"/>
        <v>3.9E-2</v>
      </c>
      <c r="CV426" s="304">
        <f t="shared" si="1226"/>
        <v>-870</v>
      </c>
      <c r="CW426" s="20" t="s">
        <v>122</v>
      </c>
      <c r="CX426" s="20" t="s">
        <v>122</v>
      </c>
      <c r="CY426" s="20" t="s">
        <v>122</v>
      </c>
      <c r="CZ426" s="20" t="s">
        <v>122</v>
      </c>
      <c r="DA426" s="20" t="s">
        <v>122</v>
      </c>
      <c r="DB426" s="503">
        <f t="shared" si="1227"/>
        <v>0</v>
      </c>
      <c r="DC426" s="127">
        <v>0</v>
      </c>
      <c r="DD426" s="127">
        <v>0</v>
      </c>
      <c r="DE426" s="127">
        <v>0</v>
      </c>
      <c r="DF426" s="127">
        <v>0</v>
      </c>
      <c r="DG426" s="127">
        <v>0</v>
      </c>
      <c r="DH426" s="127">
        <v>0</v>
      </c>
      <c r="DI426" s="127">
        <v>0</v>
      </c>
      <c r="DJ426" s="127">
        <v>0</v>
      </c>
      <c r="DK426" s="127">
        <v>0</v>
      </c>
      <c r="DL426" s="127">
        <v>0</v>
      </c>
      <c r="DM426" s="304">
        <f>INDEX(Input!$1:$1048576,DM$93,$C426*2+6)</f>
        <v>21036.84210526316</v>
      </c>
      <c r="DN426" s="20">
        <v>0</v>
      </c>
      <c r="DO426" s="20">
        <v>0</v>
      </c>
      <c r="DP426" s="20">
        <v>0</v>
      </c>
      <c r="DQ426" s="20">
        <v>0</v>
      </c>
      <c r="DR426" s="20">
        <v>0</v>
      </c>
      <c r="DS426" s="20">
        <f>INDEX(Input!$1:$1048576,DS$93,$C426*2+6)</f>
        <v>0.6</v>
      </c>
      <c r="DT426" s="20">
        <f>INDEX(Input!$1:$1048576,DT$93,$C426*2+6)</f>
        <v>0.55000000000000004</v>
      </c>
      <c r="DU426" s="20">
        <f>INDEX(Input!$1:$1048576,DU$93,$C426*2+6)</f>
        <v>0.52</v>
      </c>
      <c r="DV426" s="20">
        <f>INDEX(Input!$1:$1048576,DV$93,$C426*2+6)</f>
        <v>0.5</v>
      </c>
      <c r="DW426" s="20">
        <f>INDEX(Input!$1:$1048576,DW$93,$C426*2+6)</f>
        <v>0.45</v>
      </c>
      <c r="DX426" s="20"/>
      <c r="DY426" s="7">
        <v>0.10533136278273376</v>
      </c>
      <c r="DZ426" s="7">
        <v>0</v>
      </c>
      <c r="EA426" s="7">
        <v>0.81852449341341482</v>
      </c>
      <c r="EB426" s="7">
        <v>0</v>
      </c>
      <c r="EC426" s="7">
        <v>0</v>
      </c>
      <c r="ED426" s="7">
        <v>0</v>
      </c>
      <c r="EE426" s="7">
        <v>0</v>
      </c>
      <c r="EF426" s="7">
        <v>0</v>
      </c>
      <c r="EG426" s="7">
        <v>0</v>
      </c>
      <c r="EH426" s="7">
        <v>1.581557098278031E-2</v>
      </c>
      <c r="EI426" s="7">
        <v>3.5857061872516187E-2</v>
      </c>
      <c r="EJ426" s="7">
        <v>0.22663045640681814</v>
      </c>
      <c r="EK426" s="7">
        <v>0.45305398152515164</v>
      </c>
      <c r="EL426" s="7">
        <v>0.26864292921273419</v>
      </c>
      <c r="EM426" s="7">
        <v>2.2649093991693736E-2</v>
      </c>
      <c r="EN426" s="7">
        <v>5.0471213462322979E-2</v>
      </c>
      <c r="EO426" s="7">
        <v>0.71270285139085365</v>
      </c>
      <c r="EP426" s="7">
        <v>0.10247135650265901</v>
      </c>
      <c r="EQ426" s="7">
        <v>9.0002814148262889E-2</v>
      </c>
      <c r="ER426" s="7">
        <v>4.4351764495901495E-2</v>
      </c>
      <c r="ES426" s="7">
        <v>5.3495049812157761E-2</v>
      </c>
      <c r="ET426" s="7">
        <v>7.6144143803851497E-2</v>
      </c>
      <c r="EU426" s="6">
        <v>1770</v>
      </c>
      <c r="EV426" s="6">
        <v>0</v>
      </c>
      <c r="EW426" s="6">
        <v>1770</v>
      </c>
      <c r="EX426" s="6">
        <v>0</v>
      </c>
      <c r="EY426" s="6">
        <v>1713.7106231311463</v>
      </c>
      <c r="EZ426" s="6">
        <v>507</v>
      </c>
      <c r="FA426" s="6">
        <v>0</v>
      </c>
      <c r="FB426" s="6">
        <v>0</v>
      </c>
      <c r="FC426" s="6">
        <v>0</v>
      </c>
      <c r="FD426" s="6">
        <v>0</v>
      </c>
      <c r="FE426" s="6">
        <v>0</v>
      </c>
      <c r="FF426" s="6">
        <v>0</v>
      </c>
      <c r="FG426" s="6">
        <v>0</v>
      </c>
      <c r="FH426" s="6">
        <v>680.25214660295273</v>
      </c>
      <c r="FI426" s="6">
        <v>908.63567840587177</v>
      </c>
      <c r="FJ426" s="6">
        <v>1322.1514264406355</v>
      </c>
      <c r="FK426" s="6">
        <v>788.09921179939249</v>
      </c>
      <c r="FL426" s="6">
        <v>907.07682140966267</v>
      </c>
      <c r="FM426" s="6">
        <v>943.71062313114624</v>
      </c>
      <c r="FN426" s="6">
        <v>0</v>
      </c>
      <c r="FO426" s="6">
        <v>0</v>
      </c>
      <c r="FP426" s="6">
        <v>0</v>
      </c>
      <c r="FQ426" s="6">
        <v>0</v>
      </c>
      <c r="FR426" s="6">
        <v>0</v>
      </c>
      <c r="FS426" s="6">
        <v>0</v>
      </c>
      <c r="FT426" s="7">
        <v>0.92385585619614863</v>
      </c>
      <c r="FU426" s="7">
        <v>2.2649093991693736E-2</v>
      </c>
      <c r="FV426" s="7">
        <v>5.3495049812157761E-2</v>
      </c>
      <c r="FW426" s="6">
        <v>1770</v>
      </c>
      <c r="FX426" s="6">
        <v>1713.7106231311463</v>
      </c>
      <c r="FY426" s="6">
        <v>507</v>
      </c>
      <c r="FZ426" s="6">
        <v>1949.5716051445115</v>
      </c>
      <c r="GA426" s="6">
        <v>1701.1608486998082</v>
      </c>
      <c r="GB426" s="6">
        <v>18283.839151300192</v>
      </c>
      <c r="GC426" s="7">
        <v>3.3872851927908169E-2</v>
      </c>
      <c r="GD426" s="7">
        <v>3.3433231468240288E-2</v>
      </c>
      <c r="GE426" s="7"/>
      <c r="GF426" s="7"/>
      <c r="GG426" s="7">
        <v>-1.2978548738781404E-2</v>
      </c>
      <c r="GH426" s="42">
        <v>1.0441427748813445</v>
      </c>
      <c r="GI426" s="6">
        <v>20841.263601669649</v>
      </c>
      <c r="GJ426" s="14">
        <v>0.50394797582841733</v>
      </c>
      <c r="GK426" s="14">
        <v>0.50887573065309744</v>
      </c>
      <c r="GL426" s="14">
        <v>0.49605202417158251</v>
      </c>
      <c r="GM426" s="14">
        <v>0.49112426934690234</v>
      </c>
      <c r="GO426" s="5">
        <v>343.14810671672558</v>
      </c>
      <c r="GP426" s="5">
        <v>309.37988338875158</v>
      </c>
      <c r="GQ426" s="5">
        <v>535.04305713031317</v>
      </c>
      <c r="GR426" s="5">
        <v>410.15490233172511</v>
      </c>
      <c r="GS426" s="5">
        <v>339.42744393800166</v>
      </c>
      <c r="GT426" s="5">
        <v>293.4407446948278</v>
      </c>
      <c r="GU426" s="5">
        <v>258.04012322764959</v>
      </c>
      <c r="GV426" s="39" t="s">
        <v>392</v>
      </c>
      <c r="GW426" s="5">
        <v>492.37371706940723</v>
      </c>
      <c r="GX426" s="5">
        <v>372.76318044448084</v>
      </c>
      <c r="GY426" s="5">
        <v>301.01409909172185</v>
      </c>
      <c r="GZ426" s="5">
        <v>268.571561640526</v>
      </c>
      <c r="HA426" s="5">
        <v>234.53733318419432</v>
      </c>
      <c r="HB426" s="39">
        <v>274.05653808141733</v>
      </c>
      <c r="HC426" s="5">
        <v>265.10312499999998</v>
      </c>
      <c r="HD426" s="5">
        <v>224.66580774853799</v>
      </c>
      <c r="HE426" s="5">
        <v>226.90661690283397</v>
      </c>
      <c r="HF426" s="5">
        <v>209.18438048245613</v>
      </c>
      <c r="HG426" s="5">
        <v>200.91388157894738</v>
      </c>
      <c r="HH426" s="39">
        <v>224.48953511630774</v>
      </c>
      <c r="HI426" s="16"/>
      <c r="HJ426" s="19" t="str">
        <f t="shared" si="1204"/>
        <v>On</v>
      </c>
      <c r="HK426" s="1" t="str">
        <f t="shared" si="1204"/>
        <v>On</v>
      </c>
      <c r="HL426" s="16"/>
      <c r="HM426" s="639">
        <f t="shared" si="1110"/>
        <v>2.9403358434788716E-2</v>
      </c>
      <c r="HN426" s="639">
        <f t="shared" si="1111"/>
        <v>1.4106809950923669E-3</v>
      </c>
      <c r="HO426" s="639">
        <f t="shared" si="1112"/>
        <v>1.7317923025048877E-3</v>
      </c>
      <c r="HP426" s="644">
        <f>(FT426*$GD426-HM426)/$JF426*INDEX(Input!$1:$1048576,$JG$93,$C426*2+6)</f>
        <v>106.205142325422</v>
      </c>
      <c r="HQ426" s="644">
        <f>(FU426*$GD426-HN426)/$JF426*INDEX(Input!$1:$1048576,$JG$93,$C426*2+6)</f>
        <v>-46.761188526242442</v>
      </c>
      <c r="HR426" s="644">
        <f>(FV426*$GD426-HO426)/$JF426*INDEX(Input!$1:$1048576,$JG$93,$C426*2+6)</f>
        <v>4.0589242897559865</v>
      </c>
      <c r="HS426" s="644">
        <f t="shared" si="1208"/>
        <v>-36.415743733494743</v>
      </c>
      <c r="HT426" s="644">
        <f t="shared" si="1114"/>
        <v>-84.990991858517404</v>
      </c>
      <c r="HU426" s="644">
        <f t="shared" si="1115"/>
        <v>5.8913184984407083</v>
      </c>
      <c r="HV426" s="648">
        <f t="shared" si="1116"/>
        <v>0</v>
      </c>
      <c r="HW426" s="648">
        <f t="shared" si="1117"/>
        <v>0</v>
      </c>
      <c r="HX426" s="648">
        <f t="shared" si="1118"/>
        <v>0</v>
      </c>
      <c r="HY426" s="644">
        <f>INDEX(Input!$1:$1048576,HY$93,$C426*2+6)*INDEX(Input!$1:$1048576,$JG$93,$C426*2+6)</f>
        <v>993</v>
      </c>
      <c r="HZ426" s="644">
        <f>INDEX(Input!$1:$1048576,HZ$93,$C426*2+6)*INDEX(Input!$1:$1048576,$JG$93,$C426*2+6)</f>
        <v>1216</v>
      </c>
      <c r="IA426" s="644">
        <f>INDEX(Input!$1:$1048576,IA$93,$C426*2+6)*INDEX(Input!$1:$1048576,$JG$93,$C426*2+6)</f>
        <v>120</v>
      </c>
      <c r="IB426" s="644">
        <f t="shared" si="1142"/>
        <v>1062.7893985919272</v>
      </c>
      <c r="IC426" s="644">
        <f t="shared" si="1143"/>
        <v>1084.2478196152401</v>
      </c>
      <c r="ID426" s="644">
        <f>IF(AND(INDEX(Input!$1:$1048576,IA$93,$C426*2+7)="TOS",Y426&lt;=INDEX(Y:Y,MATCH(C426*1000+2,A:A))),0,1)*MAX(IA426+HR426+HU426+HX426,0%)</f>
        <v>129.9502427881967</v>
      </c>
      <c r="IE426" s="128">
        <f t="shared" si="1209"/>
        <v>0.46675241598710371</v>
      </c>
      <c r="IF426" s="128">
        <f t="shared" si="1210"/>
        <v>0.47617645603602543</v>
      </c>
      <c r="IG426" s="128">
        <f t="shared" si="1120"/>
        <v>5.7071127976870875E-2</v>
      </c>
      <c r="IH426" s="21"/>
      <c r="II426" s="19">
        <f t="shared" si="1121"/>
        <v>1490</v>
      </c>
      <c r="IJ426" s="19">
        <f t="shared" si="1122"/>
        <v>2203.2561351629856</v>
      </c>
      <c r="IK426" s="19">
        <f t="shared" si="1123"/>
        <v>242</v>
      </c>
      <c r="IL426" s="19">
        <f t="shared" si="1145"/>
        <v>280</v>
      </c>
      <c r="IM426" s="19">
        <f t="shared" si="1124"/>
        <v>-489.54551203183928</v>
      </c>
      <c r="IN426" s="19">
        <f t="shared" si="1125"/>
        <v>265</v>
      </c>
      <c r="IO426" s="39">
        <f t="shared" si="1126"/>
        <v>0</v>
      </c>
      <c r="IP426" s="39">
        <f t="shared" si="1127"/>
        <v>0</v>
      </c>
      <c r="IQ426" s="39">
        <f t="shared" si="1128"/>
        <v>0</v>
      </c>
      <c r="IR426" s="39">
        <v>0</v>
      </c>
      <c r="IS426" s="39">
        <v>0</v>
      </c>
      <c r="IT426" s="39">
        <v>0</v>
      </c>
      <c r="IU426" s="39">
        <v>0</v>
      </c>
      <c r="IV426" s="39">
        <v>0</v>
      </c>
      <c r="IW426" s="39">
        <v>0</v>
      </c>
      <c r="IX426" s="39">
        <f>INDEX(Input!$1:$1048576,IX$93,$C426*2+6)+INDEX(Input!$1:$1048576,IX$94,$C426*2+6)</f>
        <v>1770</v>
      </c>
      <c r="IY426" s="39">
        <f>INDEX(Input!$1:$1048576,IY$93,$C426*2+6)+INDEX(Input!$1:$1048576,IY$94,$C426*2+6)</f>
        <v>2630.0624533823611</v>
      </c>
      <c r="IZ426" s="39">
        <f>INDEX(Input!$1:$1048576,IZ$93,$C426*2+6)+INDEX(Input!$1:$1048576,IZ$94,$C426*2+6)</f>
        <v>4153.7164157747848</v>
      </c>
      <c r="JA426" s="19">
        <f t="shared" si="1146"/>
        <v>2050</v>
      </c>
      <c r="JB426" s="19">
        <f t="shared" si="1147"/>
        <v>2140.5169413505218</v>
      </c>
      <c r="JC426" s="19">
        <f t="shared" si="1148"/>
        <v>4418.7164157747848</v>
      </c>
      <c r="JD426" s="19">
        <f t="shared" si="1149"/>
        <v>2228.28735404911</v>
      </c>
      <c r="JE426" s="21"/>
      <c r="JF426" s="1">
        <f t="shared" si="1129"/>
        <v>3.2545831732385969E-2</v>
      </c>
      <c r="JG426" s="15">
        <f>INDEX(Input!$1:$1048576,JG$93,$C426*2+6)/(1+VLOOKUP(C426*1000+INDEX(Input!$1:$1048576,JG$93+1,$C426*2+6),$A:$KK,$JK$92,FALSE))</f>
        <v>2329</v>
      </c>
      <c r="JH426" s="1">
        <f t="shared" si="1150"/>
        <v>2.726615632843948E-2</v>
      </c>
      <c r="JI426" s="1">
        <f t="shared" si="1151"/>
        <v>-4.9598719232963266E-2</v>
      </c>
      <c r="JJ426" s="1">
        <f t="shared" si="1211"/>
        <v>0</v>
      </c>
      <c r="JK426" s="1">
        <f t="shared" si="1212"/>
        <v>-2.2332562904523786E-2</v>
      </c>
      <c r="JL426" s="15">
        <f t="shared" si="1154"/>
        <v>-52.012539004635897</v>
      </c>
      <c r="JM426" s="15">
        <f t="shared" si="1180"/>
        <v>2276.987460995364</v>
      </c>
      <c r="JN426" s="21"/>
      <c r="JO426" s="19">
        <f>INDEX(Input!$1:$1048576,JO$93,$C426*2+6)</f>
        <v>5995.5</v>
      </c>
      <c r="JP426" s="19">
        <f>INDEX(Input!$1:$1048576,JP$93,$C426*2+6)</f>
        <v>2341.8685758720158</v>
      </c>
      <c r="JQ426" s="39">
        <f t="shared" si="1166"/>
        <v>3767.21264595089</v>
      </c>
      <c r="JR426" s="39">
        <f t="shared" si="1183"/>
        <v>-113.58122182290572</v>
      </c>
      <c r="JS426" s="39">
        <f t="shared" si="1168"/>
        <v>5.0737823646643605</v>
      </c>
      <c r="JT426" s="39">
        <f t="shared" si="1156"/>
        <v>-0.38042954854156358</v>
      </c>
      <c r="JU426" s="385">
        <f>(JQ426*JM426-INDEX(Input!$1:$1048576,Input!A$18,$C426*2+6)*JL426*INDEX(Input!$1:$1048576,Input!A$19,$C426*2+6))/1000000</f>
        <v>8.5778959577333449</v>
      </c>
      <c r="JV426" s="39">
        <f t="shared" si="1190"/>
        <v>6.8588370939270504E-2</v>
      </c>
      <c r="JW426" s="1">
        <f t="shared" si="1181"/>
        <v>8.0603938968801022E-3</v>
      </c>
      <c r="JX426" s="19">
        <f t="shared" si="1172"/>
        <v>7314.1891517285039</v>
      </c>
      <c r="JZ426" s="341"/>
      <c r="KA426" s="342"/>
      <c r="KB426" s="469">
        <f t="shared" si="1169"/>
        <v>2.3434325605641804</v>
      </c>
      <c r="KI426" s="473">
        <f t="shared" si="1196"/>
        <v>69.789398591927238</v>
      </c>
      <c r="KJ426" s="473">
        <f t="shared" si="1197"/>
        <v>-131.75218038475987</v>
      </c>
      <c r="KK426" s="473">
        <f t="shared" si="1158"/>
        <v>9.9502427881967037</v>
      </c>
      <c r="KN426" s="544">
        <f t="shared" si="1173"/>
        <v>4002</v>
      </c>
      <c r="KO426" s="541">
        <f t="shared" si="1133"/>
        <v>-5.8556036530265865E-2</v>
      </c>
      <c r="KP426" s="546">
        <f t="shared" si="1134"/>
        <v>-366.46182568500325</v>
      </c>
      <c r="KQ426" s="546">
        <f t="shared" si="1135"/>
        <v>-396.48383398691112</v>
      </c>
      <c r="KR426" s="548">
        <f t="shared" si="1136"/>
        <v>2.7739483930883471</v>
      </c>
      <c r="KS426" s="548">
        <f t="shared" si="1137"/>
        <v>2.5639032549324452</v>
      </c>
      <c r="KT426" s="473">
        <f t="shared" si="1171"/>
        <v>1580.0986321700548</v>
      </c>
      <c r="KU426" s="663">
        <f t="shared" si="1159"/>
        <v>3.9556250388699739</v>
      </c>
      <c r="KV426" s="117"/>
    </row>
    <row r="427" spans="1:308" s="26" customFormat="1" ht="15">
      <c r="A427" s="561">
        <f t="shared" si="1138"/>
        <v>4027</v>
      </c>
      <c r="B427" s="561">
        <f t="shared" si="1160"/>
        <v>27</v>
      </c>
      <c r="C427" s="561">
        <f t="shared" si="1161"/>
        <v>4</v>
      </c>
      <c r="D427" s="561" t="str">
        <f t="shared" si="1206"/>
        <v xml:space="preserve">750 Combo, </v>
      </c>
      <c r="E427" s="475">
        <f>INDEX(Input!$1:$1048576,E$93,$C427*2+MIN($B427,2)+5)
+INDEX(Scenarios!E$121:E$200,MATCH($B427,Scenarios!$B$121:$B$200,0))</f>
        <v>1256.832975525977</v>
      </c>
      <c r="F427" s="475">
        <f>INDEX(Input!$1:$1048576,F$93,$C427*2+MIN($B427,2)+5)
+INDEX(Scenarios!F$121:F$200,MATCH($B427,Scenarios!$B$121:$B$200,0))</f>
        <v>0</v>
      </c>
      <c r="G427" s="475">
        <f>INDEX(Input!$1:$1048576,G$93,$C427*2+MIN($B427,2)+5)
+INDEX(Scenarios!G$121:G$200,MATCH($B427,Scenarios!$B$121:$B$200,0))</f>
        <v>0</v>
      </c>
      <c r="H427" s="475">
        <f>INDEX(Input!$1:$1048576,H$93,$C427*2+MIN($B427,2)+5)
+INDEX(Scenarios!H$121:H$200,MATCH($B427,Scenarios!$B$121:$B$200,0))</f>
        <v>0</v>
      </c>
      <c r="I427" s="476">
        <f>INDEX(Input!$1:$1048576,I$93,$C427*2+MIN($B427,2)+5)</f>
        <v>0.7</v>
      </c>
      <c r="J427" s="476" t="str">
        <f>INDEX(Input!$1:$1048576,J$93,$C427*2+MIN($B427,2)+5)</f>
        <v>Market</v>
      </c>
      <c r="K427" s="476" t="str">
        <f>INDEX(Input!$1:$1048576,K$93,$C427*2+MIN($B427,2)+5)</f>
        <v>Market</v>
      </c>
      <c r="L427" s="476" t="str">
        <f>INDEX(Input!$1:$1048576,L$93,$C427*2+MIN($B427,2)+5)</f>
        <v>Market</v>
      </c>
      <c r="M427" s="476" t="str">
        <f>INDEX(Input!$1:$1048576,M$93,$C427*2+MIN($B427,2)+5)</f>
        <v>Market</v>
      </c>
      <c r="N427" s="476" t="str">
        <f>INDEX(Input!$1:$1048576,N$93,$C427*2+MIN($B427,2)+5)</f>
        <v>Market</v>
      </c>
      <c r="O427" s="476" t="str">
        <f>INDEX(Input!$1:$1048576,O$93,$C427*2+MIN($B427,2)+5)</f>
        <v>Market</v>
      </c>
      <c r="P427" s="476" t="str">
        <f>INDEX(Input!$1:$1048576,P$93,$C427*2+MIN($B427,2)+5)</f>
        <v>N</v>
      </c>
      <c r="Q427" s="477">
        <f>INDEX(Input!$1:$1048576,Q$93,$C427*2+MIN($B427,2)+5)
+INDEX(Scenarios!Q$121:Q$200,MATCH($B427,Scenarios!$B$121:$B$200,0))</f>
        <v>750</v>
      </c>
      <c r="R427" s="478">
        <f>IFERROR(MAX(0,INDEX(Input!$1:$1048576,R$93,$C427*2+MIN($B427,2)+5)
+INDEX(Scenarios!R$121:R$200,MATCH($B427,Scenarios!$B$121:$B$200,0)),),"Market")</f>
        <v>0</v>
      </c>
      <c r="S427" s="478">
        <f>IFERROR(MAX(0,INDEX(Input!$1:$1048576,S$93,$C427*2+MIN($B427,2)+5)
+INDEX(Scenarios!S$121:S$200,MATCH($B427,Scenarios!$B$121:$B$200,0)),),"Market")</f>
        <v>0</v>
      </c>
      <c r="T427" s="478">
        <f>IFERROR(MAX(0,INDEX(Input!$1:$1048576,T$93,$C427*2+MIN($B427,2)+5)
+INDEX(Scenarios!T$121:T$200,MATCH($B427,Scenarios!$B$121:$B$200,0)),),"Market")</f>
        <v>0</v>
      </c>
      <c r="U427" s="478">
        <f>IFERROR(MAX(0,INDEX(Input!$1:$1048576,U$93,$C427*2+MIN($B427,2)+5)
+INDEX(Scenarios!U$121:U$200,MATCH($B427,Scenarios!$B$121:$B$200,0)),),"Market")</f>
        <v>0</v>
      </c>
      <c r="V427" s="478">
        <f>IFERROR(MAX(0,INDEX(Input!$1:$1048576,V$93,$C427*2+MIN($B427,2)+5)
+INDEX(Scenarios!V$121:V$200,MATCH($B427,Scenarios!$B$121:$B$200,0)),),"Market")</f>
        <v>1.9E-2</v>
      </c>
      <c r="W427" s="885">
        <f>IFERROR(MAX(0,INDEX(Input!$1:$1048576,W$93,$C427*2+MIN($B427,2)+5)-0%,),"Market")</f>
        <v>3.9E-2</v>
      </c>
      <c r="X427" s="476" t="str">
        <f>INDEX(Input!$1:$1048576,X$93,$C427*2+MIN($B427,2)+5)</f>
        <v>Y</v>
      </c>
      <c r="Y427" s="475">
        <f>INDEX(Input!$1:$1048576,Y$93,$C427*2+MIN($B427,2)+5)
++INDEX(Scenarios!Y$121:Y$200,MATCH($B427,Scenarios!$B$121:$B$200,0))</f>
        <v>-870</v>
      </c>
      <c r="Z427" s="477">
        <f>INDEX(Input!$1:$1048576,Z$93,$C427*2+MIN($B427,2)+5)
+INDEX(Scenarios!Z$121:Z$200,MATCH($B427,Scenarios!$B$121:$B$200,0))</f>
        <v>0</v>
      </c>
      <c r="AA427" s="475">
        <f>INDEX(Input!$1:$1048576,AA$93,$C427*2+MIN($B427,2)+5)
+INDEX(Scenarios!AA$121:AA$200,MATCH($B427,Scenarios!$B$121:$B$200,0))</f>
        <v>0</v>
      </c>
      <c r="AB427" s="476">
        <f>INDEX(Input!$1:$1048576,AB$93,$C427*2+MIN($B427,2)+5)</f>
        <v>0.27</v>
      </c>
      <c r="AC427" s="475">
        <f>INDEX(Input!$1:$1048576,AC$93,$C427*2+MIN($B427,2)+5)
+INDEX(Scenarios!AC$121:AC$200,MATCH($B427,Scenarios!$B$121:$B$200,0))</f>
        <v>0</v>
      </c>
      <c r="AD427" s="476">
        <f>INDEX(Input!$1:$1048576,AD$93,$C427*2+MIN($B427,2)+5)</f>
        <v>0.27</v>
      </c>
      <c r="AE427" s="475">
        <f>INDEX(Input!$1:$1048576,AE$93,$C427*2+MIN($B427,2)+5)
+INDEX(Scenarios!AE$121:AE$200,MATCH($B427,Scenarios!$B$121:$B$200,0))</f>
        <v>0</v>
      </c>
      <c r="AF427" s="476">
        <f>INDEX(Input!$1:$1048576,AF$93,$C427*2+MIN($B427,2)+5)</f>
        <v>1</v>
      </c>
      <c r="AG427" s="475">
        <f>INDEX(Input!$1:$1048576,AG$93,$C427*2+MIN($B427,2)+5)
+INDEX(Scenarios!AG$121:AG$200,MATCH($B427,Scenarios!$B$121:$B$200,0))</f>
        <v>500</v>
      </c>
      <c r="AH427" s="476">
        <f>INDEX(Input!$1:$1048576,AH$93,$C427*2+MIN($B427,2)+5)</f>
        <v>0.83199999999999996</v>
      </c>
      <c r="AI427" s="475">
        <f>INDEX(Input!$1:$1048576,AI$93,$C427*2+MIN($B427,2)+5)
+INDEX(Scenarios!AI$121:AI$200,MATCH($B427,Scenarios!$B$121:$B$200,0))</f>
        <v>0</v>
      </c>
      <c r="AJ427" s="476">
        <f>INDEX(Input!$1:$1048576,AJ$93,$C427*2+MIN($B427,2)+5)</f>
        <v>0.27</v>
      </c>
      <c r="AK427" s="150">
        <f>ROUND(INDEX(Input!$1:$1048576,AK$93,$C426*2+MIN($B427,1)+5)+(Y427-VLOOKUP($C427*1000+1,$A:$HH,Y$92,FALSE)),0)</f>
        <v>2587</v>
      </c>
      <c r="AL427" s="150">
        <f>ROUND(INDEX(Input!$1:$1048576,AL$93,$C426*2+MIN($B427,1)+5)-(Y427-VLOOKUP($C427*1000+1,$A:$HH,Y$92,FALSE))/36,0)</f>
        <v>3406</v>
      </c>
      <c r="AM427" s="32" t="str">
        <f t="shared" si="1139"/>
        <v>std/std/std/std</v>
      </c>
      <c r="AN427" s="32" t="str">
        <f t="shared" si="1140"/>
        <v>$750 + 0/0/0/1.9/3.9</v>
      </c>
      <c r="AO427" s="32" t="str">
        <f t="shared" si="1141"/>
        <v>0/0/0/1.9/3.9</v>
      </c>
      <c r="AP427" s="32" t="str">
        <f t="shared" si="1213"/>
        <v>0/0.9/1.9/3.9</v>
      </c>
      <c r="AQ427" s="536">
        <f t="shared" si="1207"/>
        <v>0.3873327047552515</v>
      </c>
      <c r="AR427" s="32"/>
      <c r="AS427" s="302"/>
      <c r="AT427" s="3">
        <f t="shared" si="1162"/>
        <v>27</v>
      </c>
      <c r="AU427" s="41" t="s">
        <v>121</v>
      </c>
      <c r="AV427" s="41" t="s">
        <v>116</v>
      </c>
      <c r="AW427" s="41" t="str">
        <f>INDEX(Input!$1:$1048576,AW$93,$C427*2+6)</f>
        <v>Kia</v>
      </c>
      <c r="AX427" s="41" t="str">
        <f>INDEX(Input!$1:$1048576,AX$93,$C427*2+6)</f>
        <v>Kia-LR - R1</v>
      </c>
      <c r="AY427" s="41" t="str">
        <f>IF(LEN(D427)=0,"",INDEX(Input!$1:$1048576,AY$93,$C427*2+6))</f>
        <v>Compact SUV (52)</v>
      </c>
      <c r="AZ427" s="41" t="str">
        <f>INDEX(Input!$1:$1048576,AZ$93,$C427*2+6)</f>
        <v>Kia Soul</v>
      </c>
      <c r="BA427" s="3">
        <f>INDEX(Input!$1:$1048576,BA$93,$C427*2+6)</f>
        <v>2020</v>
      </c>
      <c r="BB427" s="128">
        <f>INDEX(Input!$1:$1048576,BB$93,$C427*2+6)</f>
        <v>1</v>
      </c>
      <c r="BC427" s="128">
        <f>INDEX(Input!$1:$1048576,BC$93,$C427*2+6)</f>
        <v>0.7</v>
      </c>
      <c r="BD427" s="1">
        <f>INDEX(Input!$1:$1048576,BD$93,$C427*2+6)</f>
        <v>4.4999999999999998E-2</v>
      </c>
      <c r="BE427" s="1">
        <f>INDEX(Input!$1:$1048576,BE$93,$C427*2+6)</f>
        <v>4.4999999999999998E-2</v>
      </c>
      <c r="BF427" s="1">
        <f>INDEX(Input!$1:$1048576,BF$93,$C427*2+6)</f>
        <v>0.05</v>
      </c>
      <c r="BG427" s="1">
        <f>INDEX(Input!$1:$1048576,BG$93,$C427*2+6)</f>
        <v>5.45E-2</v>
      </c>
      <c r="BH427" s="1">
        <f>INDEX(Input!$1:$1048576,BH$93,$C427*2+6)</f>
        <v>5.45E-2</v>
      </c>
      <c r="BI427" s="1">
        <f>INDEX(Input!$1:$1048576,BI$93,$C427*2+6)</f>
        <v>0.05</v>
      </c>
      <c r="BJ427" s="1">
        <f>INDEX(Input!$1:$1048576,BJ$93,$C427*2+6)</f>
        <v>0.05</v>
      </c>
      <c r="BK427" s="1">
        <f>INDEX(Input!$1:$1048576,BK$93,$C427*2+6)</f>
        <v>0.05</v>
      </c>
      <c r="BL427" s="1">
        <f>INDEX(Input!$1:$1048576,BL$93,$C427*2+6)</f>
        <v>5.5E-2</v>
      </c>
      <c r="BM427" s="1">
        <f>INDEX(Input!$1:$1048576,BM$93,$C427*2+6)</f>
        <v>0.06</v>
      </c>
      <c r="BN427" s="1">
        <f>INDEX(Input!$1:$1048576,BN$93,$C427*2+6)</f>
        <v>4.4999999999999998E-2</v>
      </c>
      <c r="BO427" s="1">
        <f>INDEX(Input!$1:$1048576,BO$93,$C427*2+6)</f>
        <v>4.4999999999999998E-2</v>
      </c>
      <c r="BP427" s="1">
        <f>INDEX(Input!$1:$1048576,BP$93,$C427*2+6)</f>
        <v>0.05</v>
      </c>
      <c r="BQ427" s="1">
        <f>INDEX(Input!$1:$1048576,BQ$93,$C427*2+6)</f>
        <v>5.45E-2</v>
      </c>
      <c r="BR427" s="1">
        <f>INDEX(Input!$1:$1048576,BR$93,$C427*2+6)</f>
        <v>5.45E-2</v>
      </c>
      <c r="BS427" s="1">
        <f>INDEX(Input!$1:$1048576,BS$93,$C427*2+6)</f>
        <v>0.05</v>
      </c>
      <c r="BT427" s="1">
        <f>INDEX(Input!$1:$1048576,BT$93,$C427*2+6)</f>
        <v>0.05</v>
      </c>
      <c r="BU427" s="1">
        <f>INDEX(Input!$1:$1048576,BU$93,$C427*2+6)</f>
        <v>0.05</v>
      </c>
      <c r="BV427" s="1">
        <f>INDEX(Input!$1:$1048576,BV$93,$C427*2+6)</f>
        <v>5.5E-2</v>
      </c>
      <c r="BW427" s="1">
        <f>INDEX(Input!$1:$1048576,BW$93,$C427*2+6)</f>
        <v>0.06</v>
      </c>
      <c r="BX427" s="127">
        <f>INDEX(Input!$1:$1048576,BX$93,$C427*2+6)</f>
        <v>19985</v>
      </c>
      <c r="BY427" s="20">
        <f>INDEX(Input!$1:$1048576,BY$93,$C427*2+6)</f>
        <v>0.1</v>
      </c>
      <c r="BZ427" s="20">
        <f>INDEX(Input!$1:$1048576,BZ$93,$C427*2+6)</f>
        <v>0.1</v>
      </c>
      <c r="CA427" s="20">
        <f>INDEX(Input!$1:$1048576,CA$93,$C427*2+6)</f>
        <v>0.1</v>
      </c>
      <c r="CB427" s="20">
        <f>INDEX(Input!$1:$1048576,CB$93,$C427*2+6)</f>
        <v>0.1</v>
      </c>
      <c r="CC427" s="20">
        <f>INDEX(Input!$1:$1048576,CC$93,$C427*2+6)</f>
        <v>0.1</v>
      </c>
      <c r="CD427" s="384">
        <f>INDEX(Input!$1:$1048576,CD$93,$C427*2+6)</f>
        <v>0.1</v>
      </c>
      <c r="CE427" s="384">
        <f>INDEX(Input!$1:$1048576,CE$93,$C427*2+6)</f>
        <v>0.1</v>
      </c>
      <c r="CF427" s="384">
        <f>INDEX(Input!$1:$1048576,CF$93,$C427*2+6)</f>
        <v>0.1</v>
      </c>
      <c r="CG427" s="384">
        <f>INDEX(Input!$1:$1048576,CG$93,$C427*2+6)</f>
        <v>0.1</v>
      </c>
      <c r="CH427" s="384">
        <f>INDEX(Input!$1:$1048576,CH$93,$C427*2+6)</f>
        <v>0.1</v>
      </c>
      <c r="CI427" s="304">
        <f t="shared" si="1214"/>
        <v>1256.832975525977</v>
      </c>
      <c r="CJ427" s="16" t="str">
        <f>INDEX(Input!$1:$1048576,CJ$93,$C427*2+6)</f>
        <v>N</v>
      </c>
      <c r="CK427" s="1" t="str">
        <f t="shared" si="1215"/>
        <v>Market</v>
      </c>
      <c r="CL427" s="1" t="str">
        <f t="shared" si="1216"/>
        <v>Market</v>
      </c>
      <c r="CM427" s="1" t="str">
        <f t="shared" si="1217"/>
        <v>Market</v>
      </c>
      <c r="CN427" s="1" t="str">
        <f t="shared" si="1218"/>
        <v>Market</v>
      </c>
      <c r="CO427" s="1" t="str">
        <f t="shared" si="1219"/>
        <v>Market</v>
      </c>
      <c r="CP427" s="304">
        <f t="shared" si="1220"/>
        <v>1166</v>
      </c>
      <c r="CQ427" s="1">
        <f t="shared" si="1221"/>
        <v>0</v>
      </c>
      <c r="CR427" s="1">
        <f t="shared" si="1222"/>
        <v>0</v>
      </c>
      <c r="CS427" s="1">
        <f t="shared" si="1223"/>
        <v>0</v>
      </c>
      <c r="CT427" s="1">
        <f t="shared" si="1224"/>
        <v>1.9E-2</v>
      </c>
      <c r="CU427" s="1">
        <f t="shared" si="1225"/>
        <v>3.9E-2</v>
      </c>
      <c r="CV427" s="304">
        <f t="shared" si="1226"/>
        <v>-870</v>
      </c>
      <c r="CW427" s="20" t="s">
        <v>122</v>
      </c>
      <c r="CX427" s="20" t="s">
        <v>122</v>
      </c>
      <c r="CY427" s="20" t="s">
        <v>122</v>
      </c>
      <c r="CZ427" s="20" t="s">
        <v>122</v>
      </c>
      <c r="DA427" s="20" t="s">
        <v>122</v>
      </c>
      <c r="DB427" s="503">
        <f t="shared" si="1227"/>
        <v>0</v>
      </c>
      <c r="DC427" s="127">
        <v>0</v>
      </c>
      <c r="DD427" s="127">
        <v>0</v>
      </c>
      <c r="DE427" s="127">
        <v>0</v>
      </c>
      <c r="DF427" s="127">
        <v>0</v>
      </c>
      <c r="DG427" s="127">
        <v>0</v>
      </c>
      <c r="DH427" s="127">
        <v>0</v>
      </c>
      <c r="DI427" s="127">
        <v>0</v>
      </c>
      <c r="DJ427" s="127">
        <v>0</v>
      </c>
      <c r="DK427" s="127">
        <v>0</v>
      </c>
      <c r="DL427" s="127">
        <v>0</v>
      </c>
      <c r="DM427" s="304">
        <f>INDEX(Input!$1:$1048576,DM$93,$C427*2+6)</f>
        <v>21036.84210526316</v>
      </c>
      <c r="DN427" s="20">
        <v>0</v>
      </c>
      <c r="DO427" s="20">
        <v>0</v>
      </c>
      <c r="DP427" s="20">
        <v>0</v>
      </c>
      <c r="DQ427" s="20">
        <v>0</v>
      </c>
      <c r="DR427" s="20">
        <v>0</v>
      </c>
      <c r="DS427" s="20">
        <f>INDEX(Input!$1:$1048576,DS$93,$C427*2+6)</f>
        <v>0.6</v>
      </c>
      <c r="DT427" s="20">
        <f>INDEX(Input!$1:$1048576,DT$93,$C427*2+6)</f>
        <v>0.55000000000000004</v>
      </c>
      <c r="DU427" s="20">
        <f>INDEX(Input!$1:$1048576,DU$93,$C427*2+6)</f>
        <v>0.52</v>
      </c>
      <c r="DV427" s="20">
        <f>INDEX(Input!$1:$1048576,DV$93,$C427*2+6)</f>
        <v>0.5</v>
      </c>
      <c r="DW427" s="20">
        <f>INDEX(Input!$1:$1048576,DW$93,$C427*2+6)</f>
        <v>0.45</v>
      </c>
      <c r="DX427" s="20"/>
      <c r="DY427" s="7">
        <v>0.10104926010048626</v>
      </c>
      <c r="DZ427" s="7">
        <v>0</v>
      </c>
      <c r="EA427" s="7">
        <v>0.7846050981171625</v>
      </c>
      <c r="EB427" s="7">
        <v>0</v>
      </c>
      <c r="EC427" s="7">
        <v>0</v>
      </c>
      <c r="ED427" s="7">
        <v>0</v>
      </c>
      <c r="EE427" s="7">
        <v>0</v>
      </c>
      <c r="EF427" s="7">
        <v>0</v>
      </c>
      <c r="EG427" s="7">
        <v>0</v>
      </c>
      <c r="EH427" s="7">
        <v>1.2254964658177464E-2</v>
      </c>
      <c r="EI427" s="7">
        <v>3.2000677410251352E-2</v>
      </c>
      <c r="EJ427" s="7">
        <v>0.2247801816904795</v>
      </c>
      <c r="EK427" s="7">
        <v>0.59365273743216862</v>
      </c>
      <c r="EL427" s="7">
        <v>0.13731143880892277</v>
      </c>
      <c r="EM427" s="7">
        <v>6.3070470823275479E-2</v>
      </c>
      <c r="EN427" s="7">
        <v>5.0469266595720375E-2</v>
      </c>
      <c r="EO427" s="7">
        <v>0.71271086599701616</v>
      </c>
      <c r="EP427" s="7">
        <v>0.10249385296675294</v>
      </c>
      <c r="EQ427" s="7">
        <v>9.003011023065792E-2</v>
      </c>
      <c r="ER427" s="7">
        <v>4.4295904209852119E-2</v>
      </c>
      <c r="ES427" s="7">
        <v>5.1275170959075717E-2</v>
      </c>
      <c r="ET427" s="7">
        <v>0.11434564178235124</v>
      </c>
      <c r="EU427" s="6">
        <v>1770</v>
      </c>
      <c r="EV427" s="6">
        <v>0</v>
      </c>
      <c r="EW427" s="6">
        <v>1770</v>
      </c>
      <c r="EX427" s="6">
        <v>0</v>
      </c>
      <c r="EY427" s="6">
        <v>3233.3033316362653</v>
      </c>
      <c r="EZ427" s="6">
        <v>507</v>
      </c>
      <c r="FA427" s="6">
        <v>0</v>
      </c>
      <c r="FB427" s="6">
        <v>0</v>
      </c>
      <c r="FC427" s="6">
        <v>0</v>
      </c>
      <c r="FD427" s="6">
        <v>0</v>
      </c>
      <c r="FE427" s="6">
        <v>0</v>
      </c>
      <c r="FF427" s="6">
        <v>0</v>
      </c>
      <c r="FG427" s="6">
        <v>0</v>
      </c>
      <c r="FH427" s="6">
        <v>1169.7950968178973</v>
      </c>
      <c r="FI427" s="6">
        <v>1553.9796069512392</v>
      </c>
      <c r="FJ427" s="6">
        <v>2101.2110117447428</v>
      </c>
      <c r="FK427" s="6">
        <v>1772.7139978623236</v>
      </c>
      <c r="FL427" s="6">
        <v>907.07682140966301</v>
      </c>
      <c r="FM427" s="6">
        <v>1713.3033316362651</v>
      </c>
      <c r="FN427" s="6">
        <v>0</v>
      </c>
      <c r="FO427" s="6">
        <v>0</v>
      </c>
      <c r="FP427" s="6">
        <v>0</v>
      </c>
      <c r="FQ427" s="6">
        <v>0</v>
      </c>
      <c r="FR427" s="6">
        <v>0</v>
      </c>
      <c r="FS427" s="6">
        <v>0</v>
      </c>
      <c r="FT427" s="7">
        <v>0.88565435821764882</v>
      </c>
      <c r="FU427" s="7">
        <v>6.3070470823275479E-2</v>
      </c>
      <c r="FV427" s="7">
        <v>5.1275170959075717E-2</v>
      </c>
      <c r="FW427" s="6">
        <v>1770</v>
      </c>
      <c r="FX427" s="6">
        <v>3233.3033316362653</v>
      </c>
      <c r="FY427" s="6">
        <v>507</v>
      </c>
      <c r="FZ427" s="6">
        <v>1949.5716051445115</v>
      </c>
      <c r="GA427" s="6">
        <v>1797.5306891622542</v>
      </c>
      <c r="GB427" s="6">
        <v>18187.469310837747</v>
      </c>
      <c r="GC427" s="7">
        <v>3.3872851927908169E-2</v>
      </c>
      <c r="GD427" s="7">
        <v>3.3729018580923878E-2</v>
      </c>
      <c r="GE427" s="7"/>
      <c r="GF427" s="7"/>
      <c r="GG427" s="7">
        <v>-4.2462721264336697E-3</v>
      </c>
      <c r="GH427" s="42">
        <v>0.55815073132471793</v>
      </c>
      <c r="GI427" s="6">
        <v>37603.270748962008</v>
      </c>
      <c r="GJ427" s="14">
        <v>0.50394797582841711</v>
      </c>
      <c r="GK427" s="14">
        <v>0.50887573065309744</v>
      </c>
      <c r="GL427" s="14">
        <v>0.49605202417158262</v>
      </c>
      <c r="GM427" s="14">
        <v>0.49112426934690223</v>
      </c>
      <c r="GO427" s="5">
        <v>343.14810671672558</v>
      </c>
      <c r="GP427" s="5">
        <v>309.37988338875158</v>
      </c>
      <c r="GQ427" s="5">
        <v>535.04305713031317</v>
      </c>
      <c r="GR427" s="5">
        <v>410.15490233172511</v>
      </c>
      <c r="GS427" s="5">
        <v>339.42744393800166</v>
      </c>
      <c r="GT427" s="5">
        <v>293.4407446948278</v>
      </c>
      <c r="GU427" s="5">
        <v>258.04012322764959</v>
      </c>
      <c r="GV427" s="39" t="s">
        <v>392</v>
      </c>
      <c r="GW427" s="5">
        <v>457.40277777777777</v>
      </c>
      <c r="GX427" s="5">
        <v>343.05208333333331</v>
      </c>
      <c r="GY427" s="5">
        <v>274.44166666666666</v>
      </c>
      <c r="GZ427" s="5">
        <v>242.16580980456155</v>
      </c>
      <c r="HA427" s="5">
        <v>224.32021589042697</v>
      </c>
      <c r="HB427" s="39">
        <v>252.83652912745345</v>
      </c>
      <c r="HC427" s="5">
        <v>265.10312499999998</v>
      </c>
      <c r="HD427" s="5">
        <v>224.66580774853799</v>
      </c>
      <c r="HE427" s="5">
        <v>226.90661690283397</v>
      </c>
      <c r="HF427" s="5">
        <v>209.18438048245613</v>
      </c>
      <c r="HG427" s="5">
        <v>200.91388157894738</v>
      </c>
      <c r="HH427" s="39">
        <v>224.49041100760371</v>
      </c>
      <c r="HI427" s="16"/>
      <c r="HJ427" s="19" t="str">
        <f t="shared" si="1204"/>
        <v>On</v>
      </c>
      <c r="HK427" s="1" t="str">
        <f t="shared" si="1204"/>
        <v>On</v>
      </c>
      <c r="HL427" s="16"/>
      <c r="HM427" s="639">
        <f t="shared" si="1110"/>
        <v>2.9403358434788716E-2</v>
      </c>
      <c r="HN427" s="639">
        <f t="shared" si="1111"/>
        <v>1.4106809950923669E-3</v>
      </c>
      <c r="HO427" s="639">
        <f t="shared" si="1112"/>
        <v>1.7317923025048877E-3</v>
      </c>
      <c r="HP427" s="644">
        <f>(FT427*$GD427-HM427)/$JF427*INDEX(Input!$1:$1048576,$JG$93,$C427*2+6)</f>
        <v>33.554337519115634</v>
      </c>
      <c r="HQ427" s="644">
        <f>(FU427*$GD427-HN427)/$JF427*INDEX(Input!$1:$1048576,$JG$93,$C427*2+6)</f>
        <v>51.2820662518034</v>
      </c>
      <c r="HR427" s="644">
        <f>(FV427*$GD427-HO427)/$JF427*INDEX(Input!$1:$1048576,$JG$93,$C427*2+6)</f>
        <v>-0.16681557592205384</v>
      </c>
      <c r="HS427" s="644">
        <f t="shared" si="1208"/>
        <v>-37.109397866569324</v>
      </c>
      <c r="HT427" s="644">
        <f t="shared" si="1114"/>
        <v>171.36399029567602</v>
      </c>
      <c r="HU427" s="644">
        <f t="shared" si="1115"/>
        <v>6.5849726315152921</v>
      </c>
      <c r="HV427" s="648">
        <f t="shared" si="1116"/>
        <v>0</v>
      </c>
      <c r="HW427" s="648">
        <f t="shared" si="1117"/>
        <v>0</v>
      </c>
      <c r="HX427" s="648">
        <f t="shared" si="1118"/>
        <v>0</v>
      </c>
      <c r="HY427" s="644">
        <f>INDEX(Input!$1:$1048576,HY$93,$C427*2+6)*INDEX(Input!$1:$1048576,$JG$93,$C427*2+6)</f>
        <v>993</v>
      </c>
      <c r="HZ427" s="644">
        <f>INDEX(Input!$1:$1048576,HZ$93,$C427*2+6)*INDEX(Input!$1:$1048576,$JG$93,$C427*2+6)</f>
        <v>1216</v>
      </c>
      <c r="IA427" s="644">
        <f>INDEX(Input!$1:$1048576,IA$93,$C427*2+6)*INDEX(Input!$1:$1048576,$JG$93,$C427*2+6)</f>
        <v>120</v>
      </c>
      <c r="IB427" s="644">
        <f t="shared" si="1142"/>
        <v>989.44493965254617</v>
      </c>
      <c r="IC427" s="644">
        <f t="shared" si="1143"/>
        <v>1438.6460565474795</v>
      </c>
      <c r="ID427" s="644">
        <f>IF(AND(INDEX(Input!$1:$1048576,IA$93,$C427*2+7)="TOS",Y427&lt;=INDEX(Y:Y,MATCH(C427*1000+2,A:A))),0,1)*MAX(IA427+HR427+HU427+HX427,0%)</f>
        <v>126.41815705559324</v>
      </c>
      <c r="IE427" s="128">
        <f t="shared" si="1209"/>
        <v>0.3873327047552515</v>
      </c>
      <c r="IF427" s="128">
        <f t="shared" si="1210"/>
        <v>0.56317905720321382</v>
      </c>
      <c r="IG427" s="128">
        <f t="shared" si="1120"/>
        <v>4.9488238041534668E-2</v>
      </c>
      <c r="IH427" s="21"/>
      <c r="II427" s="19">
        <f t="shared" si="1121"/>
        <v>1490</v>
      </c>
      <c r="IJ427" s="19">
        <f t="shared" si="1122"/>
        <v>2203.2561351629856</v>
      </c>
      <c r="IK427" s="19">
        <f t="shared" si="1123"/>
        <v>242</v>
      </c>
      <c r="IL427" s="19">
        <f t="shared" si="1145"/>
        <v>280</v>
      </c>
      <c r="IM427" s="19">
        <f t="shared" si="1124"/>
        <v>1030.0471964732797</v>
      </c>
      <c r="IN427" s="19">
        <f t="shared" si="1125"/>
        <v>265</v>
      </c>
      <c r="IO427" s="39">
        <f t="shared" si="1126"/>
        <v>0</v>
      </c>
      <c r="IP427" s="39">
        <f t="shared" si="1127"/>
        <v>0</v>
      </c>
      <c r="IQ427" s="39">
        <f t="shared" si="1128"/>
        <v>0</v>
      </c>
      <c r="IR427" s="39">
        <v>0</v>
      </c>
      <c r="IS427" s="39">
        <v>0</v>
      </c>
      <c r="IT427" s="39">
        <v>0</v>
      </c>
      <c r="IU427" s="39">
        <v>0</v>
      </c>
      <c r="IV427" s="39">
        <v>0</v>
      </c>
      <c r="IW427" s="39">
        <v>0</v>
      </c>
      <c r="IX427" s="39">
        <f>INDEX(Input!$1:$1048576,IX$93,$C427*2+6)+INDEX(Input!$1:$1048576,IX$94,$C427*2+6)</f>
        <v>1770</v>
      </c>
      <c r="IY427" s="39">
        <f>INDEX(Input!$1:$1048576,IY$93,$C427*2+6)+INDEX(Input!$1:$1048576,IY$94,$C427*2+6)</f>
        <v>2630.0624533823611</v>
      </c>
      <c r="IZ427" s="39">
        <f>INDEX(Input!$1:$1048576,IZ$93,$C427*2+6)+INDEX(Input!$1:$1048576,IZ$94,$C427*2+6)</f>
        <v>4153.7164157747848</v>
      </c>
      <c r="JA427" s="19">
        <f t="shared" si="1146"/>
        <v>2050</v>
      </c>
      <c r="JB427" s="19">
        <f t="shared" si="1147"/>
        <v>3660.1096498556408</v>
      </c>
      <c r="JC427" s="19">
        <f t="shared" si="1148"/>
        <v>4418.7164157747848</v>
      </c>
      <c r="JD427" s="19">
        <f t="shared" si="1149"/>
        <v>3074.0036364362495</v>
      </c>
      <c r="JE427" s="21"/>
      <c r="JF427" s="1">
        <f t="shared" si="1129"/>
        <v>3.2545831732385969E-2</v>
      </c>
      <c r="JG427" s="15">
        <f>INDEX(Input!$1:$1048576,JG$93,$C427*2+6)/(1+VLOOKUP(C427*1000+INDEX(Input!$1:$1048576,JG$93+1,$C427*2+6),$A:$KK,$JK$92,FALSE))</f>
        <v>2329</v>
      </c>
      <c r="JH427" s="1">
        <f t="shared" si="1150"/>
        <v>3.6354481835550442E-2</v>
      </c>
      <c r="JI427" s="1">
        <f t="shared" si="1151"/>
        <v>6.0472118961194504E-2</v>
      </c>
      <c r="JJ427" s="1">
        <f t="shared" si="1211"/>
        <v>0</v>
      </c>
      <c r="JK427" s="1">
        <f t="shared" si="1212"/>
        <v>9.6826600796744947E-2</v>
      </c>
      <c r="JL427" s="15">
        <f t="shared" si="1154"/>
        <v>225.50915325561897</v>
      </c>
      <c r="JM427" s="15">
        <f t="shared" si="1180"/>
        <v>2554.5091532556189</v>
      </c>
      <c r="JN427" s="21"/>
      <c r="JO427" s="19">
        <f>INDEX(Input!$1:$1048576,JO$93,$C427*2+6)</f>
        <v>5995.5</v>
      </c>
      <c r="JP427" s="19">
        <f>INDEX(Input!$1:$1048576,JP$93,$C427*2+6)</f>
        <v>2341.8685758720158</v>
      </c>
      <c r="JQ427" s="39">
        <f t="shared" si="1166"/>
        <v>2921.4963635637505</v>
      </c>
      <c r="JR427" s="39">
        <f t="shared" si="1183"/>
        <v>732.13506056423375</v>
      </c>
      <c r="JS427" s="39">
        <f t="shared" si="1168"/>
        <v>7.852570426417457</v>
      </c>
      <c r="JT427" s="39">
        <f t="shared" si="1156"/>
        <v>2.3983585132115324</v>
      </c>
      <c r="JU427" s="385">
        <f>(JQ427*JM427-INDEX(Input!$1:$1048576,Input!A$18,$C427*2+6)*JL427*INDEX(Input!$1:$1048576,Input!A$19,$C427*2+6))/1000000</f>
        <v>7.4629892019266055</v>
      </c>
      <c r="JV427" s="39">
        <f t="shared" si="1190"/>
        <v>-1.0463183848674689</v>
      </c>
      <c r="JW427" s="1">
        <f t="shared" si="1181"/>
        <v>-0.12296163632529762</v>
      </c>
      <c r="JX427" s="19">
        <f t="shared" si="1172"/>
        <v>10635.304503551335</v>
      </c>
      <c r="JZ427" s="341"/>
      <c r="KA427" s="342"/>
      <c r="KB427" s="469">
        <f t="shared" si="1169"/>
        <v>2.3434325605641804</v>
      </c>
      <c r="KI427" s="473">
        <f t="shared" si="1196"/>
        <v>-3.555060347453832</v>
      </c>
      <c r="KJ427" s="473">
        <f t="shared" si="1197"/>
        <v>222.64605654747947</v>
      </c>
      <c r="KK427" s="473">
        <f t="shared" si="1158"/>
        <v>6.418157055593241</v>
      </c>
      <c r="KN427" s="544">
        <f t="shared" si="1173"/>
        <v>4002</v>
      </c>
      <c r="KO427" s="541">
        <f t="shared" si="1133"/>
        <v>5.6188171062388159E-2</v>
      </c>
      <c r="KP427" s="546">
        <f t="shared" si="1134"/>
        <v>422.38441453491282</v>
      </c>
      <c r="KQ427" s="546">
        <f t="shared" si="1135"/>
        <v>449.23244840022835</v>
      </c>
      <c r="KR427" s="548">
        <f t="shared" si="1136"/>
        <v>2.3093643434805409</v>
      </c>
      <c r="KS427" s="548">
        <f t="shared" si="1137"/>
        <v>2.1713469488735528</v>
      </c>
      <c r="KT427" s="473">
        <f t="shared" si="1171"/>
        <v>1580.0986321700548</v>
      </c>
      <c r="KU427" s="663">
        <f t="shared" si="1159"/>
        <v>4.0092253514800156</v>
      </c>
      <c r="KV427" s="117"/>
    </row>
    <row r="428" spans="1:308" s="26" customFormat="1" ht="15">
      <c r="A428" s="561">
        <f t="shared" si="1138"/>
        <v>4028</v>
      </c>
      <c r="B428" s="561">
        <f t="shared" si="1160"/>
        <v>28</v>
      </c>
      <c r="C428" s="561">
        <f t="shared" si="1161"/>
        <v>4</v>
      </c>
      <c r="D428" s="561" t="str">
        <f t="shared" si="1206"/>
        <v xml:space="preserve">1000 Combo, </v>
      </c>
      <c r="E428" s="475">
        <f>INDEX(Input!$1:$1048576,E$93,$C428*2+MIN($B428,2)+5)
+INDEX(Scenarios!E$121:E$200,MATCH($B428,Scenarios!$B$121:$B$200,0))</f>
        <v>1256.832975525977</v>
      </c>
      <c r="F428" s="475">
        <f>INDEX(Input!$1:$1048576,F$93,$C428*2+MIN($B428,2)+5)
+INDEX(Scenarios!F$121:F$200,MATCH($B428,Scenarios!$B$121:$B$200,0))</f>
        <v>0</v>
      </c>
      <c r="G428" s="475">
        <f>INDEX(Input!$1:$1048576,G$93,$C428*2+MIN($B428,2)+5)
+INDEX(Scenarios!G$121:G$200,MATCH($B428,Scenarios!$B$121:$B$200,0))</f>
        <v>0</v>
      </c>
      <c r="H428" s="475">
        <f>INDEX(Input!$1:$1048576,H$93,$C428*2+MIN($B428,2)+5)
+INDEX(Scenarios!H$121:H$200,MATCH($B428,Scenarios!$B$121:$B$200,0))</f>
        <v>0</v>
      </c>
      <c r="I428" s="476">
        <f>INDEX(Input!$1:$1048576,I$93,$C428*2+MIN($B428,2)+5)</f>
        <v>0.7</v>
      </c>
      <c r="J428" s="476" t="str">
        <f>INDEX(Input!$1:$1048576,J$93,$C428*2+MIN($B428,2)+5)</f>
        <v>Market</v>
      </c>
      <c r="K428" s="476" t="str">
        <f>INDEX(Input!$1:$1048576,K$93,$C428*2+MIN($B428,2)+5)</f>
        <v>Market</v>
      </c>
      <c r="L428" s="476" t="str">
        <f>INDEX(Input!$1:$1048576,L$93,$C428*2+MIN($B428,2)+5)</f>
        <v>Market</v>
      </c>
      <c r="M428" s="476" t="str">
        <f>INDEX(Input!$1:$1048576,M$93,$C428*2+MIN($B428,2)+5)</f>
        <v>Market</v>
      </c>
      <c r="N428" s="476" t="str">
        <f>INDEX(Input!$1:$1048576,N$93,$C428*2+MIN($B428,2)+5)</f>
        <v>Market</v>
      </c>
      <c r="O428" s="476" t="str">
        <f>INDEX(Input!$1:$1048576,O$93,$C428*2+MIN($B428,2)+5)</f>
        <v>Market</v>
      </c>
      <c r="P428" s="476" t="str">
        <f>INDEX(Input!$1:$1048576,P$93,$C428*2+MIN($B428,2)+5)</f>
        <v>N</v>
      </c>
      <c r="Q428" s="477">
        <f>INDEX(Input!$1:$1048576,Q$93,$C428*2+MIN($B428,2)+5)
+INDEX(Scenarios!Q$121:Q$200,MATCH($B428,Scenarios!$B$121:$B$200,0))</f>
        <v>1000</v>
      </c>
      <c r="R428" s="478">
        <f>IFERROR(MAX(0,INDEX(Input!$1:$1048576,R$93,$C428*2+MIN($B428,2)+5)
+INDEX(Scenarios!R$121:R$200,MATCH($B428,Scenarios!$B$121:$B$200,0)),),"Market")</f>
        <v>0</v>
      </c>
      <c r="S428" s="478">
        <f>IFERROR(MAX(0,INDEX(Input!$1:$1048576,S$93,$C428*2+MIN($B428,2)+5)
+INDEX(Scenarios!S$121:S$200,MATCH($B428,Scenarios!$B$121:$B$200,0)),),"Market")</f>
        <v>0</v>
      </c>
      <c r="T428" s="478">
        <f>IFERROR(MAX(0,INDEX(Input!$1:$1048576,T$93,$C428*2+MIN($B428,2)+5)
+INDEX(Scenarios!T$121:T$200,MATCH($B428,Scenarios!$B$121:$B$200,0)),),"Market")</f>
        <v>0</v>
      </c>
      <c r="U428" s="478">
        <f>IFERROR(MAX(0,INDEX(Input!$1:$1048576,U$93,$C428*2+MIN($B428,2)+5)
+INDEX(Scenarios!U$121:U$200,MATCH($B428,Scenarios!$B$121:$B$200,0)),),"Market")</f>
        <v>0</v>
      </c>
      <c r="V428" s="478">
        <f>IFERROR(MAX(0,INDEX(Input!$1:$1048576,V$93,$C428*2+MIN($B428,2)+5)
+INDEX(Scenarios!V$121:V$200,MATCH($B428,Scenarios!$B$121:$B$200,0)),),"Market")</f>
        <v>1.9E-2</v>
      </c>
      <c r="W428" s="885">
        <f>IFERROR(MAX(0,INDEX(Input!$1:$1048576,W$93,$C428*2+MIN($B428,2)+5)-0%,),"Market")</f>
        <v>3.9E-2</v>
      </c>
      <c r="X428" s="476" t="str">
        <f>INDEX(Input!$1:$1048576,X$93,$C428*2+MIN($B428,2)+5)</f>
        <v>Y</v>
      </c>
      <c r="Y428" s="475">
        <f>INDEX(Input!$1:$1048576,Y$93,$C428*2+MIN($B428,2)+5)
++INDEX(Scenarios!Y$121:Y$200,MATCH($B428,Scenarios!$B$121:$B$200,0))</f>
        <v>-870</v>
      </c>
      <c r="Z428" s="477">
        <f>INDEX(Input!$1:$1048576,Z$93,$C428*2+MIN($B428,2)+5)
+INDEX(Scenarios!Z$121:Z$200,MATCH($B428,Scenarios!$B$121:$B$200,0))</f>
        <v>0</v>
      </c>
      <c r="AA428" s="475">
        <f>INDEX(Input!$1:$1048576,AA$93,$C428*2+MIN($B428,2)+5)
+INDEX(Scenarios!AA$121:AA$200,MATCH($B428,Scenarios!$B$121:$B$200,0))</f>
        <v>0</v>
      </c>
      <c r="AB428" s="476">
        <f>INDEX(Input!$1:$1048576,AB$93,$C428*2+MIN($B428,2)+5)</f>
        <v>0.27</v>
      </c>
      <c r="AC428" s="475">
        <f>INDEX(Input!$1:$1048576,AC$93,$C428*2+MIN($B428,2)+5)
+INDEX(Scenarios!AC$121:AC$200,MATCH($B428,Scenarios!$B$121:$B$200,0))</f>
        <v>0</v>
      </c>
      <c r="AD428" s="476">
        <f>INDEX(Input!$1:$1048576,AD$93,$C428*2+MIN($B428,2)+5)</f>
        <v>0.27</v>
      </c>
      <c r="AE428" s="475">
        <f>INDEX(Input!$1:$1048576,AE$93,$C428*2+MIN($B428,2)+5)
+INDEX(Scenarios!AE$121:AE$200,MATCH($B428,Scenarios!$B$121:$B$200,0))</f>
        <v>0</v>
      </c>
      <c r="AF428" s="476">
        <f>INDEX(Input!$1:$1048576,AF$93,$C428*2+MIN($B428,2)+5)</f>
        <v>1</v>
      </c>
      <c r="AG428" s="475">
        <f>INDEX(Input!$1:$1048576,AG$93,$C428*2+MIN($B428,2)+5)
+INDEX(Scenarios!AG$121:AG$200,MATCH($B428,Scenarios!$B$121:$B$200,0))</f>
        <v>500</v>
      </c>
      <c r="AH428" s="476">
        <f>INDEX(Input!$1:$1048576,AH$93,$C428*2+MIN($B428,2)+5)</f>
        <v>0.83199999999999996</v>
      </c>
      <c r="AI428" s="475">
        <f>INDEX(Input!$1:$1048576,AI$93,$C428*2+MIN($B428,2)+5)
+INDEX(Scenarios!AI$121:AI$200,MATCH($B428,Scenarios!$B$121:$B$200,0))</f>
        <v>0</v>
      </c>
      <c r="AJ428" s="476">
        <f>INDEX(Input!$1:$1048576,AJ$93,$C428*2+MIN($B428,2)+5)</f>
        <v>0.27</v>
      </c>
      <c r="AK428" s="150">
        <f>ROUND(INDEX(Input!$1:$1048576,AK$93,$C427*2+MIN($B428,1)+5)+(Y428-VLOOKUP($C428*1000+1,$A:$HH,Y$92,FALSE)),0)</f>
        <v>2587</v>
      </c>
      <c r="AL428" s="150">
        <f>ROUND(INDEX(Input!$1:$1048576,AL$93,$C427*2+MIN($B428,1)+5)-(Y428-VLOOKUP($C428*1000+1,$A:$HH,Y$92,FALSE))/36,0)</f>
        <v>3406</v>
      </c>
      <c r="AM428" s="32" t="str">
        <f t="shared" si="1139"/>
        <v>std/std/std/std</v>
      </c>
      <c r="AN428" s="32" t="str">
        <f t="shared" si="1140"/>
        <v>$1000 + 0/0/0/1.9/3.9</v>
      </c>
      <c r="AO428" s="32" t="str">
        <f t="shared" si="1141"/>
        <v>0/0/0/1.9/3.9</v>
      </c>
      <c r="AP428" s="32" t="str">
        <f t="shared" si="1213"/>
        <v>0/0.9/1.9/3.9</v>
      </c>
      <c r="AQ428" s="536">
        <f t="shared" si="1207"/>
        <v>0.37442981844226358</v>
      </c>
      <c r="AR428" s="32"/>
      <c r="AS428" s="302"/>
      <c r="AT428" s="3">
        <f t="shared" si="1162"/>
        <v>28</v>
      </c>
      <c r="AU428" s="41" t="s">
        <v>121</v>
      </c>
      <c r="AV428" s="41" t="s">
        <v>116</v>
      </c>
      <c r="AW428" s="41" t="str">
        <f>INDEX(Input!$1:$1048576,AW$93,$C428*2+6)</f>
        <v>Kia</v>
      </c>
      <c r="AX428" s="41" t="str">
        <f>INDEX(Input!$1:$1048576,AX$93,$C428*2+6)</f>
        <v>Kia-LR - R1</v>
      </c>
      <c r="AY428" s="41" t="str">
        <f>IF(LEN(D428)=0,"",INDEX(Input!$1:$1048576,AY$93,$C428*2+6))</f>
        <v>Compact SUV (52)</v>
      </c>
      <c r="AZ428" s="41" t="str">
        <f>INDEX(Input!$1:$1048576,AZ$93,$C428*2+6)</f>
        <v>Kia Soul</v>
      </c>
      <c r="BA428" s="3">
        <f>INDEX(Input!$1:$1048576,BA$93,$C428*2+6)</f>
        <v>2020</v>
      </c>
      <c r="BB428" s="128">
        <f>INDEX(Input!$1:$1048576,BB$93,$C428*2+6)</f>
        <v>1</v>
      </c>
      <c r="BC428" s="128">
        <f>INDEX(Input!$1:$1048576,BC$93,$C428*2+6)</f>
        <v>0.7</v>
      </c>
      <c r="BD428" s="1">
        <f>INDEX(Input!$1:$1048576,BD$93,$C428*2+6)</f>
        <v>4.4999999999999998E-2</v>
      </c>
      <c r="BE428" s="1">
        <f>INDEX(Input!$1:$1048576,BE$93,$C428*2+6)</f>
        <v>4.4999999999999998E-2</v>
      </c>
      <c r="BF428" s="1">
        <f>INDEX(Input!$1:$1048576,BF$93,$C428*2+6)</f>
        <v>0.05</v>
      </c>
      <c r="BG428" s="1">
        <f>INDEX(Input!$1:$1048576,BG$93,$C428*2+6)</f>
        <v>5.45E-2</v>
      </c>
      <c r="BH428" s="1">
        <f>INDEX(Input!$1:$1048576,BH$93,$C428*2+6)</f>
        <v>5.45E-2</v>
      </c>
      <c r="BI428" s="1">
        <f>INDEX(Input!$1:$1048576,BI$93,$C428*2+6)</f>
        <v>0.05</v>
      </c>
      <c r="BJ428" s="1">
        <f>INDEX(Input!$1:$1048576,BJ$93,$C428*2+6)</f>
        <v>0.05</v>
      </c>
      <c r="BK428" s="1">
        <f>INDEX(Input!$1:$1048576,BK$93,$C428*2+6)</f>
        <v>0.05</v>
      </c>
      <c r="BL428" s="1">
        <f>INDEX(Input!$1:$1048576,BL$93,$C428*2+6)</f>
        <v>5.5E-2</v>
      </c>
      <c r="BM428" s="1">
        <f>INDEX(Input!$1:$1048576,BM$93,$C428*2+6)</f>
        <v>0.06</v>
      </c>
      <c r="BN428" s="1">
        <f>INDEX(Input!$1:$1048576,BN$93,$C428*2+6)</f>
        <v>4.4999999999999998E-2</v>
      </c>
      <c r="BO428" s="1">
        <f>INDEX(Input!$1:$1048576,BO$93,$C428*2+6)</f>
        <v>4.4999999999999998E-2</v>
      </c>
      <c r="BP428" s="1">
        <f>INDEX(Input!$1:$1048576,BP$93,$C428*2+6)</f>
        <v>0.05</v>
      </c>
      <c r="BQ428" s="1">
        <f>INDEX(Input!$1:$1048576,BQ$93,$C428*2+6)</f>
        <v>5.45E-2</v>
      </c>
      <c r="BR428" s="1">
        <f>INDEX(Input!$1:$1048576,BR$93,$C428*2+6)</f>
        <v>5.45E-2</v>
      </c>
      <c r="BS428" s="1">
        <f>INDEX(Input!$1:$1048576,BS$93,$C428*2+6)</f>
        <v>0.05</v>
      </c>
      <c r="BT428" s="1">
        <f>INDEX(Input!$1:$1048576,BT$93,$C428*2+6)</f>
        <v>0.05</v>
      </c>
      <c r="BU428" s="1">
        <f>INDEX(Input!$1:$1048576,BU$93,$C428*2+6)</f>
        <v>0.05</v>
      </c>
      <c r="BV428" s="1">
        <f>INDEX(Input!$1:$1048576,BV$93,$C428*2+6)</f>
        <v>5.5E-2</v>
      </c>
      <c r="BW428" s="1">
        <f>INDEX(Input!$1:$1048576,BW$93,$C428*2+6)</f>
        <v>0.06</v>
      </c>
      <c r="BX428" s="127">
        <f>INDEX(Input!$1:$1048576,BX$93,$C428*2+6)</f>
        <v>19985</v>
      </c>
      <c r="BY428" s="20">
        <f>INDEX(Input!$1:$1048576,BY$93,$C428*2+6)</f>
        <v>0.1</v>
      </c>
      <c r="BZ428" s="20">
        <f>INDEX(Input!$1:$1048576,BZ$93,$C428*2+6)</f>
        <v>0.1</v>
      </c>
      <c r="CA428" s="20">
        <f>INDEX(Input!$1:$1048576,CA$93,$C428*2+6)</f>
        <v>0.1</v>
      </c>
      <c r="CB428" s="20">
        <f>INDEX(Input!$1:$1048576,CB$93,$C428*2+6)</f>
        <v>0.1</v>
      </c>
      <c r="CC428" s="20">
        <f>INDEX(Input!$1:$1048576,CC$93,$C428*2+6)</f>
        <v>0.1</v>
      </c>
      <c r="CD428" s="384">
        <f>INDEX(Input!$1:$1048576,CD$93,$C428*2+6)</f>
        <v>0.1</v>
      </c>
      <c r="CE428" s="384">
        <f>INDEX(Input!$1:$1048576,CE$93,$C428*2+6)</f>
        <v>0.1</v>
      </c>
      <c r="CF428" s="384">
        <f>INDEX(Input!$1:$1048576,CF$93,$C428*2+6)</f>
        <v>0.1</v>
      </c>
      <c r="CG428" s="384">
        <f>INDEX(Input!$1:$1048576,CG$93,$C428*2+6)</f>
        <v>0.1</v>
      </c>
      <c r="CH428" s="384">
        <f>INDEX(Input!$1:$1048576,CH$93,$C428*2+6)</f>
        <v>0.1</v>
      </c>
      <c r="CI428" s="304">
        <f t="shared" si="1214"/>
        <v>1256.832975525977</v>
      </c>
      <c r="CJ428" s="16" t="str">
        <f>INDEX(Input!$1:$1048576,CJ$93,$C428*2+6)</f>
        <v>N</v>
      </c>
      <c r="CK428" s="1" t="str">
        <f t="shared" si="1215"/>
        <v>Market</v>
      </c>
      <c r="CL428" s="1" t="str">
        <f t="shared" si="1216"/>
        <v>Market</v>
      </c>
      <c r="CM428" s="1" t="str">
        <f t="shared" si="1217"/>
        <v>Market</v>
      </c>
      <c r="CN428" s="1" t="str">
        <f t="shared" si="1218"/>
        <v>Market</v>
      </c>
      <c r="CO428" s="1" t="str">
        <f t="shared" si="1219"/>
        <v>Market</v>
      </c>
      <c r="CP428" s="304">
        <f t="shared" si="1220"/>
        <v>1416</v>
      </c>
      <c r="CQ428" s="1">
        <f t="shared" si="1221"/>
        <v>0</v>
      </c>
      <c r="CR428" s="1">
        <f t="shared" si="1222"/>
        <v>0</v>
      </c>
      <c r="CS428" s="1">
        <f t="shared" si="1223"/>
        <v>0</v>
      </c>
      <c r="CT428" s="1">
        <f t="shared" si="1224"/>
        <v>1.9E-2</v>
      </c>
      <c r="CU428" s="1">
        <f t="shared" si="1225"/>
        <v>3.9E-2</v>
      </c>
      <c r="CV428" s="304">
        <f t="shared" si="1226"/>
        <v>-870</v>
      </c>
      <c r="CW428" s="20" t="s">
        <v>122</v>
      </c>
      <c r="CX428" s="20" t="s">
        <v>122</v>
      </c>
      <c r="CY428" s="20" t="s">
        <v>122</v>
      </c>
      <c r="CZ428" s="20" t="s">
        <v>122</v>
      </c>
      <c r="DA428" s="20" t="s">
        <v>122</v>
      </c>
      <c r="DB428" s="503">
        <f t="shared" si="1227"/>
        <v>0</v>
      </c>
      <c r="DC428" s="127">
        <v>0</v>
      </c>
      <c r="DD428" s="127">
        <v>0</v>
      </c>
      <c r="DE428" s="127">
        <v>0</v>
      </c>
      <c r="DF428" s="127">
        <v>0</v>
      </c>
      <c r="DG428" s="127">
        <v>0</v>
      </c>
      <c r="DH428" s="127">
        <v>0</v>
      </c>
      <c r="DI428" s="127">
        <v>0</v>
      </c>
      <c r="DJ428" s="127">
        <v>0</v>
      </c>
      <c r="DK428" s="127">
        <v>0</v>
      </c>
      <c r="DL428" s="127">
        <v>0</v>
      </c>
      <c r="DM428" s="304">
        <f>INDEX(Input!$1:$1048576,DM$93,$C428*2+6)</f>
        <v>21036.84210526316</v>
      </c>
      <c r="DN428" s="20">
        <v>0</v>
      </c>
      <c r="DO428" s="20">
        <v>0</v>
      </c>
      <c r="DP428" s="20">
        <v>0</v>
      </c>
      <c r="DQ428" s="20">
        <v>0</v>
      </c>
      <c r="DR428" s="20">
        <v>0</v>
      </c>
      <c r="DS428" s="20">
        <f>INDEX(Input!$1:$1048576,DS$93,$C428*2+6)</f>
        <v>0.6</v>
      </c>
      <c r="DT428" s="20">
        <f>INDEX(Input!$1:$1048576,DT$93,$C428*2+6)</f>
        <v>0.55000000000000004</v>
      </c>
      <c r="DU428" s="20">
        <f>INDEX(Input!$1:$1048576,DU$93,$C428*2+6)</f>
        <v>0.52</v>
      </c>
      <c r="DV428" s="20">
        <f>INDEX(Input!$1:$1048576,DV$93,$C428*2+6)</f>
        <v>0.5</v>
      </c>
      <c r="DW428" s="20">
        <f>INDEX(Input!$1:$1048576,DW$93,$C428*2+6)</f>
        <v>0.45</v>
      </c>
      <c r="DX428" s="20"/>
      <c r="DY428" s="7">
        <v>0.1002652833771349</v>
      </c>
      <c r="DZ428" s="7">
        <v>0</v>
      </c>
      <c r="EA428" s="7">
        <v>0.77748844234277692</v>
      </c>
      <c r="EB428" s="7">
        <v>0</v>
      </c>
      <c r="EC428" s="7">
        <v>0</v>
      </c>
      <c r="ED428" s="7">
        <v>0</v>
      </c>
      <c r="EE428" s="7">
        <v>0</v>
      </c>
      <c r="EF428" s="7">
        <v>0</v>
      </c>
      <c r="EG428" s="7">
        <v>0</v>
      </c>
      <c r="EH428" s="7">
        <v>1.2252633037129732E-2</v>
      </c>
      <c r="EI428" s="7">
        <v>3.1992028101631091E-2</v>
      </c>
      <c r="EJ428" s="7">
        <v>0.22474070469032056</v>
      </c>
      <c r="EK428" s="7">
        <v>0.59369885104045694</v>
      </c>
      <c r="EL428" s="7">
        <v>0.13731578313046208</v>
      </c>
      <c r="EM428" s="7">
        <v>7.1376711921220068E-2</v>
      </c>
      <c r="EN428" s="7">
        <v>5.0468780968541016E-2</v>
      </c>
      <c r="EO428" s="7">
        <v>0.71271224397302568</v>
      </c>
      <c r="EP428" s="7">
        <v>0.10249814618034371</v>
      </c>
      <c r="EQ428" s="7">
        <v>9.0035033848208296E-2</v>
      </c>
      <c r="ER428" s="7">
        <v>4.4285795029880899E-2</v>
      </c>
      <c r="ES428" s="7">
        <v>5.0869562358867929E-2</v>
      </c>
      <c r="ET428" s="7">
        <v>0.12224627428008809</v>
      </c>
      <c r="EU428" s="6">
        <v>1770</v>
      </c>
      <c r="EV428" s="6">
        <v>0</v>
      </c>
      <c r="EW428" s="6">
        <v>1770</v>
      </c>
      <c r="EX428" s="6">
        <v>0</v>
      </c>
      <c r="EY428" s="6">
        <v>3483.2898874635539</v>
      </c>
      <c r="EZ428" s="6">
        <v>507</v>
      </c>
      <c r="FA428" s="6">
        <v>0</v>
      </c>
      <c r="FB428" s="6">
        <v>0</v>
      </c>
      <c r="FC428" s="6">
        <v>0</v>
      </c>
      <c r="FD428" s="6">
        <v>0</v>
      </c>
      <c r="FE428" s="6">
        <v>0</v>
      </c>
      <c r="FF428" s="6">
        <v>0</v>
      </c>
      <c r="FG428" s="6">
        <v>0</v>
      </c>
      <c r="FH428" s="6">
        <v>1169.7940219906541</v>
      </c>
      <c r="FI428" s="6">
        <v>1553.9796069512404</v>
      </c>
      <c r="FJ428" s="6">
        <v>2101.2110117447401</v>
      </c>
      <c r="FK428" s="6">
        <v>1772.7139978623229</v>
      </c>
      <c r="FL428" s="6">
        <v>907.07682140966324</v>
      </c>
      <c r="FM428" s="6">
        <v>1713.2898874635541</v>
      </c>
      <c r="FN428" s="6">
        <v>0</v>
      </c>
      <c r="FO428" s="6">
        <v>0</v>
      </c>
      <c r="FP428" s="6">
        <v>0</v>
      </c>
      <c r="FQ428" s="6">
        <v>0</v>
      </c>
      <c r="FR428" s="6">
        <v>0</v>
      </c>
      <c r="FS428" s="6">
        <v>0</v>
      </c>
      <c r="FT428" s="7">
        <v>0.87775372571991184</v>
      </c>
      <c r="FU428" s="7">
        <v>7.1376711921220068E-2</v>
      </c>
      <c r="FV428" s="7">
        <v>5.0869562358867929E-2</v>
      </c>
      <c r="FW428" s="6">
        <v>1770</v>
      </c>
      <c r="FX428" s="6">
        <v>3483.2898874635539</v>
      </c>
      <c r="FY428" s="6">
        <v>507</v>
      </c>
      <c r="FZ428" s="6">
        <v>1949.5716051445115</v>
      </c>
      <c r="GA428" s="6">
        <v>1828.0407414757751</v>
      </c>
      <c r="GB428" s="6">
        <v>18156.959258524224</v>
      </c>
      <c r="GC428" s="7">
        <v>3.3872851927908169E-2</v>
      </c>
      <c r="GD428" s="7">
        <v>3.3784929160745839E-2</v>
      </c>
      <c r="GE428" s="7"/>
      <c r="GF428" s="7"/>
      <c r="GG428" s="7">
        <v>-2.595670637637998E-3</v>
      </c>
      <c r="GH428" s="42">
        <v>0.4268420064436686</v>
      </c>
      <c r="GI428" s="6">
        <v>48648.643442952016</v>
      </c>
      <c r="GJ428" s="14">
        <v>0.50394797582841755</v>
      </c>
      <c r="GK428" s="14">
        <v>0.50887573065309766</v>
      </c>
      <c r="GL428" s="14">
        <v>0.49605202417158345</v>
      </c>
      <c r="GM428" s="14">
        <v>0.49112426934690273</v>
      </c>
      <c r="GO428" s="5">
        <v>343.14810671672558</v>
      </c>
      <c r="GP428" s="5">
        <v>309.37988338875158</v>
      </c>
      <c r="GQ428" s="5">
        <v>535.04305713031317</v>
      </c>
      <c r="GR428" s="5">
        <v>410.15490233172511</v>
      </c>
      <c r="GS428" s="5">
        <v>339.42744393800166</v>
      </c>
      <c r="GT428" s="5">
        <v>293.4407446948278</v>
      </c>
      <c r="GU428" s="5">
        <v>258.04012322764959</v>
      </c>
      <c r="GV428" s="39" t="s">
        <v>392</v>
      </c>
      <c r="GW428" s="5">
        <v>450.45833333333331</v>
      </c>
      <c r="GX428" s="5">
        <v>337.84375</v>
      </c>
      <c r="GY428" s="5">
        <v>270.27499999999998</v>
      </c>
      <c r="GZ428" s="5">
        <v>238.48916616741096</v>
      </c>
      <c r="HA428" s="5">
        <v>220.91451012583784</v>
      </c>
      <c r="HB428" s="39">
        <v>248.99519426298752</v>
      </c>
      <c r="HC428" s="5">
        <v>265.10312499999998</v>
      </c>
      <c r="HD428" s="5">
        <v>224.66580774853799</v>
      </c>
      <c r="HE428" s="5">
        <v>226.90661690283397</v>
      </c>
      <c r="HF428" s="5">
        <v>209.18438048245613</v>
      </c>
      <c r="HG428" s="5">
        <v>200.91388157894738</v>
      </c>
      <c r="HH428" s="39">
        <v>224.49056487828503</v>
      </c>
      <c r="HI428" s="16"/>
      <c r="HJ428" s="19" t="str">
        <f t="shared" si="1204"/>
        <v>On</v>
      </c>
      <c r="HK428" s="1" t="str">
        <f t="shared" si="1204"/>
        <v>On</v>
      </c>
      <c r="HL428" s="16"/>
      <c r="HM428" s="639">
        <f t="shared" si="1110"/>
        <v>2.9403358434788716E-2</v>
      </c>
      <c r="HN428" s="639">
        <f t="shared" si="1111"/>
        <v>1.4106809950923669E-3</v>
      </c>
      <c r="HO428" s="639">
        <f t="shared" si="1112"/>
        <v>1.7317923025048877E-3</v>
      </c>
      <c r="HP428" s="644">
        <f>(FT428*$GD428-HM428)/$JF428*INDEX(Input!$1:$1048576,$JG$93,$C428*2+6)</f>
        <v>17.996710218818755</v>
      </c>
      <c r="HQ428" s="644">
        <f>(FU428*$GD428-HN428)/$JF428*INDEX(Input!$1:$1048576,$JG$93,$C428*2+6)</f>
        <v>71.61616571625288</v>
      </c>
      <c r="HR428" s="644">
        <f>(FV428*$GD428-HO428)/$JF428*INDEX(Input!$1:$1048576,$JG$93,$C428*2+6)</f>
        <v>-0.9422918068301569</v>
      </c>
      <c r="HS428" s="644">
        <f t="shared" si="1208"/>
        <v>-37.223510159088327</v>
      </c>
      <c r="HT428" s="644">
        <f t="shared" si="1114"/>
        <v>213.53667163272718</v>
      </c>
      <c r="HU428" s="644">
        <f t="shared" si="1115"/>
        <v>6.6990849240342936</v>
      </c>
      <c r="HV428" s="648">
        <f t="shared" si="1116"/>
        <v>0</v>
      </c>
      <c r="HW428" s="648">
        <f t="shared" si="1117"/>
        <v>0</v>
      </c>
      <c r="HX428" s="648">
        <f t="shared" si="1118"/>
        <v>0</v>
      </c>
      <c r="HY428" s="644">
        <f>INDEX(Input!$1:$1048576,HY$93,$C428*2+6)*INDEX(Input!$1:$1048576,$JG$93,$C428*2+6)</f>
        <v>993</v>
      </c>
      <c r="HZ428" s="644">
        <f>INDEX(Input!$1:$1048576,HZ$93,$C428*2+6)*INDEX(Input!$1:$1048576,$JG$93,$C428*2+6)</f>
        <v>1216</v>
      </c>
      <c r="IA428" s="644">
        <f>INDEX(Input!$1:$1048576,IA$93,$C428*2+6)*INDEX(Input!$1:$1048576,$JG$93,$C428*2+6)</f>
        <v>120</v>
      </c>
      <c r="IB428" s="644">
        <f t="shared" si="1142"/>
        <v>973.77320005973047</v>
      </c>
      <c r="IC428" s="644">
        <f t="shared" si="1143"/>
        <v>1501.15283734898</v>
      </c>
      <c r="ID428" s="644">
        <f>IF(AND(INDEX(Input!$1:$1048576,IA$93,$C428*2+7)="TOS",Y428&lt;=INDEX(Y:Y,MATCH(C428*1000+2,A:A))),0,1)*MAX(IA428+HR428+HU428+HX428,0%)</f>
        <v>125.75679311720414</v>
      </c>
      <c r="IE428" s="128">
        <f t="shared" si="1209"/>
        <v>0.37442981844226358</v>
      </c>
      <c r="IF428" s="128">
        <f t="shared" si="1210"/>
        <v>0.577214883617859</v>
      </c>
      <c r="IG428" s="128">
        <f t="shared" si="1120"/>
        <v>4.8355297939877334E-2</v>
      </c>
      <c r="IH428" s="21"/>
      <c r="II428" s="19">
        <f t="shared" si="1121"/>
        <v>1490</v>
      </c>
      <c r="IJ428" s="19">
        <f t="shared" si="1122"/>
        <v>2203.2561351629856</v>
      </c>
      <c r="IK428" s="19">
        <f t="shared" si="1123"/>
        <v>242</v>
      </c>
      <c r="IL428" s="19">
        <f t="shared" si="1145"/>
        <v>280</v>
      </c>
      <c r="IM428" s="19">
        <f t="shared" si="1124"/>
        <v>1280.0337523005683</v>
      </c>
      <c r="IN428" s="19">
        <f t="shared" si="1125"/>
        <v>265</v>
      </c>
      <c r="IO428" s="39">
        <f t="shared" si="1126"/>
        <v>0</v>
      </c>
      <c r="IP428" s="39">
        <f t="shared" si="1127"/>
        <v>0</v>
      </c>
      <c r="IQ428" s="39">
        <f t="shared" si="1128"/>
        <v>0</v>
      </c>
      <c r="IR428" s="39">
        <v>0</v>
      </c>
      <c r="IS428" s="39">
        <v>0</v>
      </c>
      <c r="IT428" s="39">
        <v>0</v>
      </c>
      <c r="IU428" s="39">
        <v>0</v>
      </c>
      <c r="IV428" s="39">
        <v>0</v>
      </c>
      <c r="IW428" s="39">
        <v>0</v>
      </c>
      <c r="IX428" s="39">
        <f>INDEX(Input!$1:$1048576,IX$93,$C428*2+6)+INDEX(Input!$1:$1048576,IX$94,$C428*2+6)</f>
        <v>1770</v>
      </c>
      <c r="IY428" s="39">
        <f>INDEX(Input!$1:$1048576,IY$93,$C428*2+6)+INDEX(Input!$1:$1048576,IY$94,$C428*2+6)</f>
        <v>2630.0624533823611</v>
      </c>
      <c r="IZ428" s="39">
        <f>INDEX(Input!$1:$1048576,IZ$93,$C428*2+6)+INDEX(Input!$1:$1048576,IZ$94,$C428*2+6)</f>
        <v>4153.7164157747848</v>
      </c>
      <c r="JA428" s="19">
        <f t="shared" si="1146"/>
        <v>2050</v>
      </c>
      <c r="JB428" s="19">
        <f t="shared" si="1147"/>
        <v>3910.0962056829294</v>
      </c>
      <c r="JC428" s="19">
        <f t="shared" si="1148"/>
        <v>4418.7164157747848</v>
      </c>
      <c r="JD428" s="19">
        <f t="shared" si="1149"/>
        <v>3238.2152029011609</v>
      </c>
      <c r="JE428" s="21"/>
      <c r="JF428" s="1">
        <f t="shared" si="1129"/>
        <v>3.2545831732385969E-2</v>
      </c>
      <c r="JG428" s="15">
        <f>INDEX(Input!$1:$1048576,JG$93,$C428*2+6)/(1+VLOOKUP(C428*1000+INDEX(Input!$1:$1048576,JG$93+1,$C428*2+6),$A:$KK,$JK$92,FALSE))</f>
        <v>2329</v>
      </c>
      <c r="JH428" s="1">
        <f t="shared" si="1150"/>
        <v>3.8072384769532619E-2</v>
      </c>
      <c r="JI428" s="1">
        <f t="shared" si="1151"/>
        <v>7.8579753713041267E-2</v>
      </c>
      <c r="JJ428" s="1">
        <f t="shared" si="1211"/>
        <v>0</v>
      </c>
      <c r="JK428" s="1">
        <f t="shared" si="1212"/>
        <v>0.11665213848257389</v>
      </c>
      <c r="JL428" s="15">
        <f t="shared" si="1154"/>
        <v>271.6828305259146</v>
      </c>
      <c r="JM428" s="15">
        <f t="shared" si="1180"/>
        <v>2600.6828305259146</v>
      </c>
      <c r="JN428" s="21"/>
      <c r="JO428" s="19">
        <f>INDEX(Input!$1:$1048576,JO$93,$C428*2+6)</f>
        <v>5995.5</v>
      </c>
      <c r="JP428" s="19">
        <f>INDEX(Input!$1:$1048576,JP$93,$C428*2+6)</f>
        <v>2341.8685758720158</v>
      </c>
      <c r="JQ428" s="39">
        <f t="shared" si="1166"/>
        <v>2757.2847970988391</v>
      </c>
      <c r="JR428" s="39">
        <f t="shared" si="1183"/>
        <v>896.34662702914511</v>
      </c>
      <c r="JS428" s="39">
        <f t="shared" si="1168"/>
        <v>8.4215706797330405</v>
      </c>
      <c r="JT428" s="39">
        <f t="shared" si="1156"/>
        <v>2.9673587665271155</v>
      </c>
      <c r="JU428" s="385">
        <f>(JQ428*JM428-INDEX(Input!$1:$1048576,Input!A$18,$C428*2+6)*JL428*INDEX(Input!$1:$1048576,Input!A$19,$C428*2+6))/1000000</f>
        <v>7.1708232306850812</v>
      </c>
      <c r="JV428" s="39">
        <f t="shared" si="1190"/>
        <v>-1.3384843561089932</v>
      </c>
      <c r="JW428" s="1">
        <f t="shared" si="1181"/>
        <v>-0.15729650649674942</v>
      </c>
      <c r="JX428" s="19">
        <f t="shared" si="1172"/>
        <v>10922.143150463358</v>
      </c>
      <c r="JZ428" s="341"/>
      <c r="KA428" s="342"/>
      <c r="KB428" s="469">
        <f t="shared" si="1169"/>
        <v>2.3434325605641804</v>
      </c>
      <c r="KI428" s="473">
        <f t="shared" si="1196"/>
        <v>-19.226799940269643</v>
      </c>
      <c r="KJ428" s="473">
        <f t="shared" si="1197"/>
        <v>285.1528373489798</v>
      </c>
      <c r="KK428" s="473">
        <f t="shared" si="1158"/>
        <v>5.7567931172041114</v>
      </c>
      <c r="KN428" s="544">
        <f t="shared" si="1173"/>
        <v>4002</v>
      </c>
      <c r="KO428" s="541">
        <f t="shared" si="1133"/>
        <v>7.5279154426133532E-2</v>
      </c>
      <c r="KP428" s="546">
        <f t="shared" si="1134"/>
        <v>577.20724810515981</v>
      </c>
      <c r="KQ428" s="546">
        <f t="shared" si="1135"/>
        <v>613.44401486513971</v>
      </c>
      <c r="KR428" s="548">
        <f t="shared" si="1136"/>
        <v>2.2641145791203843</v>
      </c>
      <c r="KS428" s="548">
        <f t="shared" si="1137"/>
        <v>2.1303710101339099</v>
      </c>
      <c r="KT428" s="473">
        <f t="shared" si="1171"/>
        <v>1580.0986321700548</v>
      </c>
      <c r="KU428" s="663">
        <f t="shared" si="1159"/>
        <v>3.9862647433998761</v>
      </c>
      <c r="KV428" s="117"/>
    </row>
    <row r="429" spans="1:308" s="26" customFormat="1" ht="15">
      <c r="A429" s="561">
        <f t="shared" si="1138"/>
        <v>4029</v>
      </c>
      <c r="B429" s="561">
        <f t="shared" si="1160"/>
        <v>29</v>
      </c>
      <c r="C429" s="561">
        <f t="shared" si="1161"/>
        <v>4</v>
      </c>
      <c r="D429" s="561" t="str">
        <f t="shared" si="1206"/>
        <v xml:space="preserve">-720 Lease, </v>
      </c>
      <c r="E429" s="475">
        <f>INDEX(Input!$1:$1048576,E$93,$C429*2+MIN($B429,2)+5)
+INDEX(Scenarios!E$121:E$200,MATCH($B429,Scenarios!$B$121:$B$200,0))</f>
        <v>1256.832975525977</v>
      </c>
      <c r="F429" s="475">
        <f>INDEX(Input!$1:$1048576,F$93,$C429*2+MIN($B429,2)+5)
+INDEX(Scenarios!F$121:F$200,MATCH($B429,Scenarios!$B$121:$B$200,0))</f>
        <v>0</v>
      </c>
      <c r="G429" s="475">
        <f>INDEX(Input!$1:$1048576,G$93,$C429*2+MIN($B429,2)+5)
+INDEX(Scenarios!G$121:G$200,MATCH($B429,Scenarios!$B$121:$B$200,0))</f>
        <v>0</v>
      </c>
      <c r="H429" s="475">
        <f>INDEX(Input!$1:$1048576,H$93,$C429*2+MIN($B429,2)+5)
+INDEX(Scenarios!H$121:H$200,MATCH($B429,Scenarios!$B$121:$B$200,0))</f>
        <v>0</v>
      </c>
      <c r="I429" s="476">
        <f>INDEX(Input!$1:$1048576,I$93,$C429*2+MIN($B429,2)+5)</f>
        <v>0.7</v>
      </c>
      <c r="J429" s="476" t="str">
        <f>INDEX(Input!$1:$1048576,J$93,$C429*2+MIN($B429,2)+5)</f>
        <v>Market</v>
      </c>
      <c r="K429" s="476" t="str">
        <f>INDEX(Input!$1:$1048576,K$93,$C429*2+MIN($B429,2)+5)</f>
        <v>Market</v>
      </c>
      <c r="L429" s="476" t="str">
        <f>INDEX(Input!$1:$1048576,L$93,$C429*2+MIN($B429,2)+5)</f>
        <v>Market</v>
      </c>
      <c r="M429" s="476" t="str">
        <f>INDEX(Input!$1:$1048576,M$93,$C429*2+MIN($B429,2)+5)</f>
        <v>Market</v>
      </c>
      <c r="N429" s="476" t="str">
        <f>INDEX(Input!$1:$1048576,N$93,$C429*2+MIN($B429,2)+5)</f>
        <v>Market</v>
      </c>
      <c r="O429" s="476" t="str">
        <f>INDEX(Input!$1:$1048576,O$93,$C429*2+MIN($B429,2)+5)</f>
        <v>Market</v>
      </c>
      <c r="P429" s="476" t="str">
        <f>INDEX(Input!$1:$1048576,P$93,$C429*2+MIN($B429,2)+5)</f>
        <v>N</v>
      </c>
      <c r="Q429" s="477">
        <f>INDEX(Input!$1:$1048576,Q$93,$C429*2+MIN($B429,2)+5)
+INDEX(Scenarios!Q$121:Q$200,MATCH($B429,Scenarios!$B$121:$B$200,0))</f>
        <v>0</v>
      </c>
      <c r="R429" s="478">
        <f>IFERROR(MAX(0,INDEX(Input!$1:$1048576,R$93,$C429*2+MIN($B429,2)+5)
+INDEX(Scenarios!R$121:R$200,MATCH($B429,Scenarios!$B$121:$B$200,0)),),"Market")</f>
        <v>0</v>
      </c>
      <c r="S429" s="478">
        <f>IFERROR(MAX(0,INDEX(Input!$1:$1048576,S$93,$C429*2+MIN($B429,2)+5)
+INDEX(Scenarios!S$121:S$200,MATCH($B429,Scenarios!$B$121:$B$200,0)),),"Market")</f>
        <v>0</v>
      </c>
      <c r="T429" s="478">
        <f>IFERROR(MAX(0,INDEX(Input!$1:$1048576,T$93,$C429*2+MIN($B429,2)+5)
+INDEX(Scenarios!T$121:T$200,MATCH($B429,Scenarios!$B$121:$B$200,0)),),"Market")</f>
        <v>0</v>
      </c>
      <c r="U429" s="478">
        <f>IFERROR(MAX(0,INDEX(Input!$1:$1048576,U$93,$C429*2+MIN($B429,2)+5)
+INDEX(Scenarios!U$121:U$200,MATCH($B429,Scenarios!$B$121:$B$200,0)),),"Market")</f>
        <v>0</v>
      </c>
      <c r="V429" s="478">
        <f>IFERROR(MAX(0,INDEX(Input!$1:$1048576,V$93,$C429*2+MIN($B429,2)+5)
+INDEX(Scenarios!V$121:V$200,MATCH($B429,Scenarios!$B$121:$B$200,0)),),"Market")</f>
        <v>1.9E-2</v>
      </c>
      <c r="W429" s="885">
        <f>IFERROR(MAX(0,INDEX(Input!$1:$1048576,W$93,$C429*2+MIN($B429,2)+5)-0%,),"Market")</f>
        <v>3.9E-2</v>
      </c>
      <c r="X429" s="476" t="str">
        <f>INDEX(Input!$1:$1048576,X$93,$C429*2+MIN($B429,2)+5)</f>
        <v>Y</v>
      </c>
      <c r="Y429" s="475">
        <f>INDEX(Input!$1:$1048576,Y$93,$C429*2+MIN($B429,2)+5)
++INDEX(Scenarios!Y$121:Y$200,MATCH($B429,Scenarios!$B$121:$B$200,0))</f>
        <v>-1590</v>
      </c>
      <c r="Z429" s="477">
        <f>INDEX(Input!$1:$1048576,Z$93,$C429*2+MIN($B429,2)+5)
+INDEX(Scenarios!Z$121:Z$200,MATCH($B429,Scenarios!$B$121:$B$200,0))</f>
        <v>0</v>
      </c>
      <c r="AA429" s="475">
        <f>INDEX(Input!$1:$1048576,AA$93,$C429*2+MIN($B429,2)+5)
+INDEX(Scenarios!AA$121:AA$200,MATCH($B429,Scenarios!$B$121:$B$200,0))</f>
        <v>0</v>
      </c>
      <c r="AB429" s="476">
        <f>INDEX(Input!$1:$1048576,AB$93,$C429*2+MIN($B429,2)+5)</f>
        <v>0.27</v>
      </c>
      <c r="AC429" s="475">
        <f>INDEX(Input!$1:$1048576,AC$93,$C429*2+MIN($B429,2)+5)
+INDEX(Scenarios!AC$121:AC$200,MATCH($B429,Scenarios!$B$121:$B$200,0))</f>
        <v>0</v>
      </c>
      <c r="AD429" s="476">
        <f>INDEX(Input!$1:$1048576,AD$93,$C429*2+MIN($B429,2)+5)</f>
        <v>0.27</v>
      </c>
      <c r="AE429" s="475">
        <f>INDEX(Input!$1:$1048576,AE$93,$C429*2+MIN($B429,2)+5)
+INDEX(Scenarios!AE$121:AE$200,MATCH($B429,Scenarios!$B$121:$B$200,0))</f>
        <v>0</v>
      </c>
      <c r="AF429" s="476">
        <f>INDEX(Input!$1:$1048576,AF$93,$C429*2+MIN($B429,2)+5)</f>
        <v>1</v>
      </c>
      <c r="AG429" s="475">
        <f>INDEX(Input!$1:$1048576,AG$93,$C429*2+MIN($B429,2)+5)
+INDEX(Scenarios!AG$121:AG$200,MATCH($B429,Scenarios!$B$121:$B$200,0))</f>
        <v>500</v>
      </c>
      <c r="AH429" s="476">
        <f>INDEX(Input!$1:$1048576,AH$93,$C429*2+MIN($B429,2)+5)</f>
        <v>0.83199999999999996</v>
      </c>
      <c r="AI429" s="475">
        <f>INDEX(Input!$1:$1048576,AI$93,$C429*2+MIN($B429,2)+5)
+INDEX(Scenarios!AI$121:AI$200,MATCH($B429,Scenarios!$B$121:$B$200,0))</f>
        <v>0</v>
      </c>
      <c r="AJ429" s="476">
        <f>INDEX(Input!$1:$1048576,AJ$93,$C429*2+MIN($B429,2)+5)</f>
        <v>0.27</v>
      </c>
      <c r="AK429" s="150">
        <f>ROUND(INDEX(Input!$1:$1048576,AK$93,$C428*2+MIN($B429,1)+5)+(Y429-VLOOKUP($C429*1000+1,$A:$HH,Y$92,FALSE)),0)</f>
        <v>1867</v>
      </c>
      <c r="AL429" s="150">
        <f>ROUND(INDEX(Input!$1:$1048576,AL$93,$C428*2+MIN($B429,1)+5)-(Y429-VLOOKUP($C429*1000+1,$A:$HH,Y$92,FALSE))/36,0)</f>
        <v>3426</v>
      </c>
      <c r="AM429" s="32" t="str">
        <f t="shared" si="1139"/>
        <v>std/std/std/std</v>
      </c>
      <c r="AN429" s="32" t="str">
        <f t="shared" si="1140"/>
        <v>$0 + 0/0/0/1.9/3.9</v>
      </c>
      <c r="AO429" s="32" t="str">
        <f t="shared" si="1141"/>
        <v>0/0/0/1.9/3.9</v>
      </c>
      <c r="AP429" s="32" t="str">
        <f t="shared" si="1213"/>
        <v>0/0.9/1.9/3.9</v>
      </c>
      <c r="AQ429" s="536">
        <f t="shared" si="1207"/>
        <v>0.43850524619887765</v>
      </c>
      <c r="AR429" s="32"/>
      <c r="AS429" s="302"/>
      <c r="AT429" s="3">
        <f t="shared" si="1162"/>
        <v>29</v>
      </c>
      <c r="AU429" s="41" t="s">
        <v>121</v>
      </c>
      <c r="AV429" s="41" t="s">
        <v>116</v>
      </c>
      <c r="AW429" s="41" t="str">
        <f>INDEX(Input!$1:$1048576,AW$93,$C429*2+6)</f>
        <v>Kia</v>
      </c>
      <c r="AX429" s="41" t="str">
        <f>INDEX(Input!$1:$1048576,AX$93,$C429*2+6)</f>
        <v>Kia-LR - R1</v>
      </c>
      <c r="AY429" s="41" t="str">
        <f>IF(LEN(D429)=0,"",INDEX(Input!$1:$1048576,AY$93,$C429*2+6))</f>
        <v>Compact SUV (52)</v>
      </c>
      <c r="AZ429" s="41" t="str">
        <f>INDEX(Input!$1:$1048576,AZ$93,$C429*2+6)</f>
        <v>Kia Soul</v>
      </c>
      <c r="BA429" s="3">
        <f>INDEX(Input!$1:$1048576,BA$93,$C429*2+6)</f>
        <v>2020</v>
      </c>
      <c r="BB429" s="128">
        <f>INDEX(Input!$1:$1048576,BB$93,$C429*2+6)</f>
        <v>1</v>
      </c>
      <c r="BC429" s="128">
        <f>INDEX(Input!$1:$1048576,BC$93,$C429*2+6)</f>
        <v>0.7</v>
      </c>
      <c r="BD429" s="1">
        <f>INDEX(Input!$1:$1048576,BD$93,$C429*2+6)</f>
        <v>4.4999999999999998E-2</v>
      </c>
      <c r="BE429" s="1">
        <f>INDEX(Input!$1:$1048576,BE$93,$C429*2+6)</f>
        <v>4.4999999999999998E-2</v>
      </c>
      <c r="BF429" s="1">
        <f>INDEX(Input!$1:$1048576,BF$93,$C429*2+6)</f>
        <v>0.05</v>
      </c>
      <c r="BG429" s="1">
        <f>INDEX(Input!$1:$1048576,BG$93,$C429*2+6)</f>
        <v>5.45E-2</v>
      </c>
      <c r="BH429" s="1">
        <f>INDEX(Input!$1:$1048576,BH$93,$C429*2+6)</f>
        <v>5.45E-2</v>
      </c>
      <c r="BI429" s="1">
        <f>INDEX(Input!$1:$1048576,BI$93,$C429*2+6)</f>
        <v>0.05</v>
      </c>
      <c r="BJ429" s="1">
        <f>INDEX(Input!$1:$1048576,BJ$93,$C429*2+6)</f>
        <v>0.05</v>
      </c>
      <c r="BK429" s="1">
        <f>INDEX(Input!$1:$1048576,BK$93,$C429*2+6)</f>
        <v>0.05</v>
      </c>
      <c r="BL429" s="1">
        <f>INDEX(Input!$1:$1048576,BL$93,$C429*2+6)</f>
        <v>5.5E-2</v>
      </c>
      <c r="BM429" s="1">
        <f>INDEX(Input!$1:$1048576,BM$93,$C429*2+6)</f>
        <v>0.06</v>
      </c>
      <c r="BN429" s="1">
        <f>INDEX(Input!$1:$1048576,BN$93,$C429*2+6)</f>
        <v>4.4999999999999998E-2</v>
      </c>
      <c r="BO429" s="1">
        <f>INDEX(Input!$1:$1048576,BO$93,$C429*2+6)</f>
        <v>4.4999999999999998E-2</v>
      </c>
      <c r="BP429" s="1">
        <f>INDEX(Input!$1:$1048576,BP$93,$C429*2+6)</f>
        <v>0.05</v>
      </c>
      <c r="BQ429" s="1">
        <f>INDEX(Input!$1:$1048576,BQ$93,$C429*2+6)</f>
        <v>5.45E-2</v>
      </c>
      <c r="BR429" s="1">
        <f>INDEX(Input!$1:$1048576,BR$93,$C429*2+6)</f>
        <v>5.45E-2</v>
      </c>
      <c r="BS429" s="1">
        <f>INDEX(Input!$1:$1048576,BS$93,$C429*2+6)</f>
        <v>0.05</v>
      </c>
      <c r="BT429" s="1">
        <f>INDEX(Input!$1:$1048576,BT$93,$C429*2+6)</f>
        <v>0.05</v>
      </c>
      <c r="BU429" s="1">
        <f>INDEX(Input!$1:$1048576,BU$93,$C429*2+6)</f>
        <v>0.05</v>
      </c>
      <c r="BV429" s="1">
        <f>INDEX(Input!$1:$1048576,BV$93,$C429*2+6)</f>
        <v>5.5E-2</v>
      </c>
      <c r="BW429" s="1">
        <f>INDEX(Input!$1:$1048576,BW$93,$C429*2+6)</f>
        <v>0.06</v>
      </c>
      <c r="BX429" s="127">
        <f>INDEX(Input!$1:$1048576,BX$93,$C429*2+6)</f>
        <v>19985</v>
      </c>
      <c r="BY429" s="20">
        <f>INDEX(Input!$1:$1048576,BY$93,$C429*2+6)</f>
        <v>0.1</v>
      </c>
      <c r="BZ429" s="20">
        <f>INDEX(Input!$1:$1048576,BZ$93,$C429*2+6)</f>
        <v>0.1</v>
      </c>
      <c r="CA429" s="20">
        <f>INDEX(Input!$1:$1048576,CA$93,$C429*2+6)</f>
        <v>0.1</v>
      </c>
      <c r="CB429" s="20">
        <f>INDEX(Input!$1:$1048576,CB$93,$C429*2+6)</f>
        <v>0.1</v>
      </c>
      <c r="CC429" s="20">
        <f>INDEX(Input!$1:$1048576,CC$93,$C429*2+6)</f>
        <v>0.1</v>
      </c>
      <c r="CD429" s="384">
        <f>INDEX(Input!$1:$1048576,CD$93,$C429*2+6)</f>
        <v>0.1</v>
      </c>
      <c r="CE429" s="384">
        <f>INDEX(Input!$1:$1048576,CE$93,$C429*2+6)</f>
        <v>0.1</v>
      </c>
      <c r="CF429" s="384">
        <f>INDEX(Input!$1:$1048576,CF$93,$C429*2+6)</f>
        <v>0.1</v>
      </c>
      <c r="CG429" s="384">
        <f>INDEX(Input!$1:$1048576,CG$93,$C429*2+6)</f>
        <v>0.1</v>
      </c>
      <c r="CH429" s="384">
        <f>INDEX(Input!$1:$1048576,CH$93,$C429*2+6)</f>
        <v>0.1</v>
      </c>
      <c r="CI429" s="304">
        <f t="shared" si="1214"/>
        <v>1256.832975525977</v>
      </c>
      <c r="CJ429" s="16" t="str">
        <f>INDEX(Input!$1:$1048576,CJ$93,$C429*2+6)</f>
        <v>N</v>
      </c>
      <c r="CK429" s="1" t="str">
        <f t="shared" si="1215"/>
        <v>Market</v>
      </c>
      <c r="CL429" s="1" t="str">
        <f t="shared" si="1216"/>
        <v>Market</v>
      </c>
      <c r="CM429" s="1" t="str">
        <f t="shared" si="1217"/>
        <v>Market</v>
      </c>
      <c r="CN429" s="1" t="str">
        <f t="shared" si="1218"/>
        <v>Market</v>
      </c>
      <c r="CO429" s="1" t="str">
        <f t="shared" si="1219"/>
        <v>Market</v>
      </c>
      <c r="CP429" s="304">
        <f t="shared" si="1220"/>
        <v>416</v>
      </c>
      <c r="CQ429" s="1">
        <f t="shared" si="1221"/>
        <v>0</v>
      </c>
      <c r="CR429" s="1">
        <f t="shared" si="1222"/>
        <v>0</v>
      </c>
      <c r="CS429" s="1">
        <f t="shared" si="1223"/>
        <v>0</v>
      </c>
      <c r="CT429" s="1">
        <f t="shared" si="1224"/>
        <v>1.9E-2</v>
      </c>
      <c r="CU429" s="1">
        <f t="shared" si="1225"/>
        <v>3.9E-2</v>
      </c>
      <c r="CV429" s="304">
        <f t="shared" si="1226"/>
        <v>-1590</v>
      </c>
      <c r="CW429" s="20" t="s">
        <v>122</v>
      </c>
      <c r="CX429" s="20" t="s">
        <v>122</v>
      </c>
      <c r="CY429" s="20" t="s">
        <v>122</v>
      </c>
      <c r="CZ429" s="20" t="s">
        <v>122</v>
      </c>
      <c r="DA429" s="20" t="s">
        <v>122</v>
      </c>
      <c r="DB429" s="503">
        <f t="shared" si="1227"/>
        <v>0</v>
      </c>
      <c r="DC429" s="127">
        <v>0</v>
      </c>
      <c r="DD429" s="127">
        <v>0</v>
      </c>
      <c r="DE429" s="127">
        <v>0</v>
      </c>
      <c r="DF429" s="127">
        <v>0</v>
      </c>
      <c r="DG429" s="127">
        <v>0</v>
      </c>
      <c r="DH429" s="127">
        <v>0</v>
      </c>
      <c r="DI429" s="127">
        <v>0</v>
      </c>
      <c r="DJ429" s="127">
        <v>0</v>
      </c>
      <c r="DK429" s="127">
        <v>0</v>
      </c>
      <c r="DL429" s="127">
        <v>0</v>
      </c>
      <c r="DM429" s="304">
        <f>INDEX(Input!$1:$1048576,DM$93,$C429*2+6)</f>
        <v>21036.84210526316</v>
      </c>
      <c r="DN429" s="20">
        <v>0</v>
      </c>
      <c r="DO429" s="20">
        <v>0</v>
      </c>
      <c r="DP429" s="20">
        <v>0</v>
      </c>
      <c r="DQ429" s="20">
        <v>0</v>
      </c>
      <c r="DR429" s="20">
        <v>0</v>
      </c>
      <c r="DS429" s="20">
        <f>INDEX(Input!$1:$1048576,DS$93,$C429*2+6)</f>
        <v>0.6</v>
      </c>
      <c r="DT429" s="20">
        <f>INDEX(Input!$1:$1048576,DT$93,$C429*2+6)</f>
        <v>0.55000000000000004</v>
      </c>
      <c r="DU429" s="20">
        <f>INDEX(Input!$1:$1048576,DU$93,$C429*2+6)</f>
        <v>0.52</v>
      </c>
      <c r="DV429" s="20">
        <f>INDEX(Input!$1:$1048576,DV$93,$C429*2+6)</f>
        <v>0.5</v>
      </c>
      <c r="DW429" s="20">
        <f>INDEX(Input!$1:$1048576,DW$93,$C429*2+6)</f>
        <v>0.45</v>
      </c>
      <c r="DX429" s="20"/>
      <c r="DY429" s="7">
        <v>0.10457494233640161</v>
      </c>
      <c r="DZ429" s="7">
        <v>0</v>
      </c>
      <c r="EA429" s="7">
        <v>0.81373528762285863</v>
      </c>
      <c r="EB429" s="7">
        <v>0</v>
      </c>
      <c r="EC429" s="7">
        <v>0</v>
      </c>
      <c r="ED429" s="7">
        <v>0</v>
      </c>
      <c r="EE429" s="7">
        <v>0</v>
      </c>
      <c r="EF429" s="7">
        <v>0</v>
      </c>
      <c r="EG429" s="7">
        <v>0</v>
      </c>
      <c r="EH429" s="7">
        <v>1.2276121731611359E-2</v>
      </c>
      <c r="EI429" s="7">
        <v>3.2079618814819043E-2</v>
      </c>
      <c r="EJ429" s="7">
        <v>0.22514560485835919</v>
      </c>
      <c r="EK429" s="7">
        <v>0.59322494172045981</v>
      </c>
      <c r="EL429" s="7">
        <v>0.13727371287475057</v>
      </c>
      <c r="EM429" s="7">
        <v>4.3986838172411627E-2</v>
      </c>
      <c r="EN429" s="7">
        <v>4.84212944315046E-2</v>
      </c>
      <c r="EO429" s="7">
        <v>0.69020667073096187</v>
      </c>
      <c r="EP429" s="7">
        <v>0.11379548405384289</v>
      </c>
      <c r="EQ429" s="7">
        <v>9.9816057763487107E-2</v>
      </c>
      <c r="ER429" s="7">
        <v>4.776049302020384E-2</v>
      </c>
      <c r="ES429" s="7">
        <v>3.7702931868328154E-2</v>
      </c>
      <c r="ET429" s="7">
        <v>8.1689770040739698E-2</v>
      </c>
      <c r="EU429" s="6">
        <v>1770</v>
      </c>
      <c r="EV429" s="6">
        <v>0</v>
      </c>
      <c r="EW429" s="6">
        <v>1770</v>
      </c>
      <c r="EX429" s="6">
        <v>0</v>
      </c>
      <c r="EY429" s="6">
        <v>2483.4261301115876</v>
      </c>
      <c r="EZ429" s="6">
        <v>-213</v>
      </c>
      <c r="FA429" s="6">
        <v>0</v>
      </c>
      <c r="FB429" s="6">
        <v>0</v>
      </c>
      <c r="FC429" s="6">
        <v>0</v>
      </c>
      <c r="FD429" s="6">
        <v>0</v>
      </c>
      <c r="FE429" s="6">
        <v>0</v>
      </c>
      <c r="FF429" s="6">
        <v>0</v>
      </c>
      <c r="FG429" s="6">
        <v>0</v>
      </c>
      <c r="FH429" s="6">
        <v>1169.8052208820311</v>
      </c>
      <c r="FI429" s="6">
        <v>1553.9796069512411</v>
      </c>
      <c r="FJ429" s="6">
        <v>2101.2110117447419</v>
      </c>
      <c r="FK429" s="6">
        <v>1772.713997862325</v>
      </c>
      <c r="FL429" s="6">
        <v>907.07682140966313</v>
      </c>
      <c r="FM429" s="6">
        <v>1713.4261301115878</v>
      </c>
      <c r="FN429" s="6">
        <v>0</v>
      </c>
      <c r="FO429" s="6">
        <v>0</v>
      </c>
      <c r="FP429" s="6">
        <v>0</v>
      </c>
      <c r="FQ429" s="6">
        <v>0</v>
      </c>
      <c r="FR429" s="6">
        <v>0</v>
      </c>
      <c r="FS429" s="6">
        <v>0</v>
      </c>
      <c r="FT429" s="7">
        <v>0.91831022995926026</v>
      </c>
      <c r="FU429" s="7">
        <v>4.3986838172411627E-2</v>
      </c>
      <c r="FV429" s="7">
        <v>3.7702931868328154E-2</v>
      </c>
      <c r="FW429" s="6">
        <v>1769.9999999999998</v>
      </c>
      <c r="FX429" s="6">
        <v>2483.4261301115876</v>
      </c>
      <c r="FY429" s="6">
        <v>-213</v>
      </c>
      <c r="FZ429" s="6">
        <v>1949.5716051445115</v>
      </c>
      <c r="GA429" s="6">
        <v>1726.6164458382934</v>
      </c>
      <c r="GB429" s="6">
        <v>18258.383554161708</v>
      </c>
      <c r="GC429" s="7">
        <v>3.3872851927908169E-2</v>
      </c>
      <c r="GD429" s="7">
        <v>3.3486266122660549E-2</v>
      </c>
      <c r="GE429" s="7"/>
      <c r="GF429" s="7"/>
      <c r="GG429" s="7">
        <v>-1.1412850800705936E-2</v>
      </c>
      <c r="GH429" s="42">
        <v>1.0230120888965091</v>
      </c>
      <c r="GI429" s="6">
        <v>21262.064967817314</v>
      </c>
      <c r="GJ429" s="14">
        <v>0.50394797582841699</v>
      </c>
      <c r="GK429" s="14">
        <v>0.50887573065309744</v>
      </c>
      <c r="GL429" s="14">
        <v>0.49605202417158251</v>
      </c>
      <c r="GM429" s="14">
        <v>0.4911242693469024</v>
      </c>
      <c r="GO429" s="5">
        <v>343.14810671672558</v>
      </c>
      <c r="GP429" s="5">
        <v>309.37988338875158</v>
      </c>
      <c r="GQ429" s="5">
        <v>535.04305713031317</v>
      </c>
      <c r="GR429" s="5">
        <v>410.15490233172511</v>
      </c>
      <c r="GS429" s="5">
        <v>339.42744393800166</v>
      </c>
      <c r="GT429" s="5">
        <v>293.4407446948278</v>
      </c>
      <c r="GU429" s="5">
        <v>258.04012322764959</v>
      </c>
      <c r="GV429" s="39" t="s">
        <v>392</v>
      </c>
      <c r="GW429" s="5">
        <v>478.23611111111109</v>
      </c>
      <c r="GX429" s="5">
        <v>358.67708333333331</v>
      </c>
      <c r="GY429" s="5">
        <v>286.94166666666666</v>
      </c>
      <c r="GZ429" s="5">
        <v>253.19574071601335</v>
      </c>
      <c r="HA429" s="5">
        <v>234.53733318419432</v>
      </c>
      <c r="HB429" s="39">
        <v>264.37860299219165</v>
      </c>
      <c r="HC429" s="5">
        <v>296.60312499999998</v>
      </c>
      <c r="HD429" s="5">
        <v>246.16580774853799</v>
      </c>
      <c r="HE429" s="5">
        <v>246.86815536437243</v>
      </c>
      <c r="HF429" s="5">
        <v>225.83438048245614</v>
      </c>
      <c r="HG429" s="5">
        <v>214.71388157894737</v>
      </c>
      <c r="HH429" s="39">
        <v>245.15640950572421</v>
      </c>
      <c r="HI429" s="16"/>
      <c r="HJ429" s="19" t="str">
        <f t="shared" si="1204"/>
        <v>On</v>
      </c>
      <c r="HK429" s="1" t="str">
        <f t="shared" si="1204"/>
        <v>On</v>
      </c>
      <c r="HL429" s="16"/>
      <c r="HM429" s="639">
        <f t="shared" si="1110"/>
        <v>2.9403358434788716E-2</v>
      </c>
      <c r="HN429" s="639">
        <f t="shared" si="1111"/>
        <v>1.4106809950923669E-3</v>
      </c>
      <c r="HO429" s="639">
        <f t="shared" si="1112"/>
        <v>1.7317923025048877E-3</v>
      </c>
      <c r="HP429" s="644">
        <f>(FT429*$GD429-HM429)/$JF429*INDEX(Input!$1:$1048576,$JG$93,$C429*2+6)</f>
        <v>96.422380075360081</v>
      </c>
      <c r="HQ429" s="644">
        <f>(FU429*$GD429-HN429)/$JF429*INDEX(Input!$1:$1048576,$JG$93,$C429*2+6)</f>
        <v>4.4563643748266504</v>
      </c>
      <c r="HR429" s="644">
        <f>(FV429*$GD429-HO429)/$JF429*INDEX(Input!$1:$1048576,$JG$93,$C429*2+6)</f>
        <v>-33.580673441911223</v>
      </c>
      <c r="HS429" s="644">
        <f t="shared" si="1208"/>
        <v>-36.767098632554358</v>
      </c>
      <c r="HT429" s="644">
        <f t="shared" si="1114"/>
        <v>44.859858274797936</v>
      </c>
      <c r="HU429" s="644">
        <f t="shared" si="1115"/>
        <v>-3.8373810222577389</v>
      </c>
      <c r="HV429" s="648">
        <f t="shared" si="1116"/>
        <v>0</v>
      </c>
      <c r="HW429" s="648">
        <f t="shared" si="1117"/>
        <v>0</v>
      </c>
      <c r="HX429" s="648">
        <f t="shared" si="1118"/>
        <v>0</v>
      </c>
      <c r="HY429" s="644">
        <f>INDEX(Input!$1:$1048576,HY$93,$C429*2+6)*INDEX(Input!$1:$1048576,$JG$93,$C429*2+6)</f>
        <v>993</v>
      </c>
      <c r="HZ429" s="644">
        <f>INDEX(Input!$1:$1048576,HZ$93,$C429*2+6)*INDEX(Input!$1:$1048576,$JG$93,$C429*2+6)</f>
        <v>1216</v>
      </c>
      <c r="IA429" s="644">
        <f>INDEX(Input!$1:$1048576,IA$93,$C429*2+6)*INDEX(Input!$1:$1048576,$JG$93,$C429*2+6)</f>
        <v>120</v>
      </c>
      <c r="IB429" s="644">
        <f t="shared" si="1142"/>
        <v>1052.655281442806</v>
      </c>
      <c r="IC429" s="644">
        <f t="shared" si="1143"/>
        <v>1265.3162226496247</v>
      </c>
      <c r="ID429" s="644">
        <f>IF(AND(INDEX(Input!$1:$1048576,IA$93,$C429*2+7)="TOS",Y429&lt;=INDEX(Y:Y,MATCH(C429*1000+2,A:A))),0,1)*MAX(IA429+HR429+HU429+HX429,0%)</f>
        <v>82.581945535831039</v>
      </c>
      <c r="IE429" s="128">
        <f t="shared" si="1209"/>
        <v>0.43850524619887765</v>
      </c>
      <c r="IF429" s="128">
        <f t="shared" si="1210"/>
        <v>0.52709354288510657</v>
      </c>
      <c r="IG429" s="128">
        <f t="shared" si="1120"/>
        <v>3.4401210916015758E-2</v>
      </c>
      <c r="IH429" s="21"/>
      <c r="II429" s="19">
        <f t="shared" si="1121"/>
        <v>1490</v>
      </c>
      <c r="IJ429" s="19">
        <f t="shared" si="1122"/>
        <v>2203.2561351629856</v>
      </c>
      <c r="IK429" s="19">
        <f t="shared" si="1123"/>
        <v>242</v>
      </c>
      <c r="IL429" s="19">
        <f t="shared" si="1145"/>
        <v>279.99999999999977</v>
      </c>
      <c r="IM429" s="19">
        <f t="shared" si="1124"/>
        <v>280.16999494860192</v>
      </c>
      <c r="IN429" s="19">
        <f t="shared" si="1125"/>
        <v>-455</v>
      </c>
      <c r="IO429" s="39">
        <f t="shared" si="1126"/>
        <v>0</v>
      </c>
      <c r="IP429" s="39">
        <f t="shared" si="1127"/>
        <v>0</v>
      </c>
      <c r="IQ429" s="39">
        <f t="shared" si="1128"/>
        <v>0</v>
      </c>
      <c r="IR429" s="39">
        <v>0</v>
      </c>
      <c r="IS429" s="39">
        <v>0</v>
      </c>
      <c r="IT429" s="39">
        <v>0</v>
      </c>
      <c r="IU429" s="39">
        <v>0</v>
      </c>
      <c r="IV429" s="39">
        <v>0</v>
      </c>
      <c r="IW429" s="39">
        <v>0</v>
      </c>
      <c r="IX429" s="39">
        <f>INDEX(Input!$1:$1048576,IX$93,$C429*2+6)+INDEX(Input!$1:$1048576,IX$94,$C429*2+6)</f>
        <v>1770</v>
      </c>
      <c r="IY429" s="39">
        <f>INDEX(Input!$1:$1048576,IY$93,$C429*2+6)+INDEX(Input!$1:$1048576,IY$94,$C429*2+6)</f>
        <v>2630.0624533823611</v>
      </c>
      <c r="IZ429" s="39">
        <f>INDEX(Input!$1:$1048576,IZ$93,$C429*2+6)+INDEX(Input!$1:$1048576,IZ$94,$C429*2+6)</f>
        <v>4153.7164157747848</v>
      </c>
      <c r="JA429" s="19">
        <f t="shared" si="1146"/>
        <v>2050</v>
      </c>
      <c r="JB429" s="19">
        <f t="shared" si="1147"/>
        <v>2910.2324483309631</v>
      </c>
      <c r="JC429" s="19">
        <f t="shared" si="1148"/>
        <v>3698.7164157747848</v>
      </c>
      <c r="JD429" s="19">
        <f t="shared" si="1149"/>
        <v>2560.1408100552626</v>
      </c>
      <c r="JE429" s="21"/>
      <c r="JF429" s="1">
        <f t="shared" si="1129"/>
        <v>3.2545831732385969E-2</v>
      </c>
      <c r="JG429" s="15">
        <f>INDEX(Input!$1:$1048576,JG$93,$C429*2+6)/(1+VLOOKUP(C429*1000+INDEX(Input!$1:$1048576,JG$93+1,$C429*2+6),$A:$KK,$JK$92,FALSE))</f>
        <v>2329</v>
      </c>
      <c r="JH429" s="1">
        <f t="shared" si="1150"/>
        <v>2.889569386357901E-2</v>
      </c>
      <c r="JI429" s="1">
        <f t="shared" si="1151"/>
        <v>1.8271269300068008E-3</v>
      </c>
      <c r="JJ429" s="1">
        <f t="shared" si="1211"/>
        <v>0</v>
      </c>
      <c r="JK429" s="1">
        <f t="shared" si="1212"/>
        <v>3.0722820793585813E-2</v>
      </c>
      <c r="JL429" s="15">
        <f t="shared" si="1154"/>
        <v>71.553449628261362</v>
      </c>
      <c r="JM429" s="15">
        <f t="shared" si="1180"/>
        <v>2400.5534496282612</v>
      </c>
      <c r="JN429" s="21"/>
      <c r="JO429" s="19">
        <f>INDEX(Input!$1:$1048576,JO$93,$C429*2+6)</f>
        <v>5995.5</v>
      </c>
      <c r="JP429" s="19">
        <f>INDEX(Input!$1:$1048576,JP$93,$C429*2+6)</f>
        <v>2341.8685758720158</v>
      </c>
      <c r="JQ429" s="39">
        <f t="shared" si="1166"/>
        <v>3435.3591899447374</v>
      </c>
      <c r="JR429" s="39">
        <f t="shared" si="1183"/>
        <v>218.27223418324684</v>
      </c>
      <c r="JS429" s="39">
        <f t="shared" si="1168"/>
        <v>6.1457548531122512</v>
      </c>
      <c r="JT429" s="39">
        <f t="shared" si="1156"/>
        <v>0.69154293990632709</v>
      </c>
      <c r="JU429" s="385">
        <f>(JQ429*JM429-INDEX(Input!$1:$1048576,Input!A$18,$C429*2+6)*JL429*INDEX(Input!$1:$1048576,Input!A$19,$C429*2+6))/1000000</f>
        <v>8.2467633541339893</v>
      </c>
      <c r="JV429" s="39">
        <f t="shared" si="1190"/>
        <v>-0.26254423266008509</v>
      </c>
      <c r="JW429" s="1">
        <f t="shared" si="1181"/>
        <v>-3.0853771588599959E-2</v>
      </c>
      <c r="JX429" s="19">
        <f t="shared" si="1172"/>
        <v>9664.7044062735076</v>
      </c>
      <c r="JZ429" s="341"/>
      <c r="KA429" s="342"/>
      <c r="KB429" s="469">
        <f t="shared" si="1169"/>
        <v>2.3434325605641804</v>
      </c>
      <c r="KI429" s="473">
        <f t="shared" si="1196"/>
        <v>59.655281442805745</v>
      </c>
      <c r="KJ429" s="473">
        <f t="shared" si="1197"/>
        <v>49.316222649624478</v>
      </c>
      <c r="KK429" s="473">
        <f t="shared" si="1158"/>
        <v>-37.418054464168975</v>
      </c>
      <c r="KN429" s="544">
        <f t="shared" si="1173"/>
        <v>4002</v>
      </c>
      <c r="KO429" s="541">
        <f t="shared" si="1133"/>
        <v>-7.4664033718302436E-3</v>
      </c>
      <c r="KP429" s="546">
        <f t="shared" si="1134"/>
        <v>-24.70403173717337</v>
      </c>
      <c r="KQ429" s="546">
        <f t="shared" si="1135"/>
        <v>-64.630377980758567</v>
      </c>
      <c r="KR429" s="548">
        <f t="shared" si="1136"/>
        <v>5.2468549391615751</v>
      </c>
      <c r="KS429" s="548">
        <f t="shared" si="1137"/>
        <v>2.0055347808113044</v>
      </c>
      <c r="KT429" s="473">
        <f t="shared" si="1171"/>
        <v>1580.0986321700548</v>
      </c>
      <c r="KU429" s="663">
        <f t="shared" si="1159"/>
        <v>4.0533478865522357</v>
      </c>
      <c r="KV429" s="117"/>
    </row>
    <row r="430" spans="1:308" s="26" customFormat="1" ht="15">
      <c r="A430" s="561">
        <f t="shared" si="1138"/>
        <v>4030</v>
      </c>
      <c r="B430" s="561">
        <f t="shared" si="1160"/>
        <v>30</v>
      </c>
      <c r="C430" s="561">
        <f t="shared" si="1161"/>
        <v>4</v>
      </c>
      <c r="D430" s="561" t="str">
        <f t="shared" si="1206"/>
        <v xml:space="preserve">1080 Lease, </v>
      </c>
      <c r="E430" s="475">
        <f>INDEX(Input!$1:$1048576,E$93,$C430*2+MIN($B430,2)+5)
+INDEX(Scenarios!E$121:E$200,MATCH($B430,Scenarios!$B$121:$B$200,0))</f>
        <v>1256.832975525977</v>
      </c>
      <c r="F430" s="475">
        <f>INDEX(Input!$1:$1048576,F$93,$C430*2+MIN($B430,2)+5)
+INDEX(Scenarios!F$121:F$200,MATCH($B430,Scenarios!$B$121:$B$200,0))</f>
        <v>0</v>
      </c>
      <c r="G430" s="475">
        <f>INDEX(Input!$1:$1048576,G$93,$C430*2+MIN($B430,2)+5)
+INDEX(Scenarios!G$121:G$200,MATCH($B430,Scenarios!$B$121:$B$200,0))</f>
        <v>0</v>
      </c>
      <c r="H430" s="475">
        <f>INDEX(Input!$1:$1048576,H$93,$C430*2+MIN($B430,2)+5)
+INDEX(Scenarios!H$121:H$200,MATCH($B430,Scenarios!$B$121:$B$200,0))</f>
        <v>0</v>
      </c>
      <c r="I430" s="476">
        <f>INDEX(Input!$1:$1048576,I$93,$C430*2+MIN($B430,2)+5)</f>
        <v>0.7</v>
      </c>
      <c r="J430" s="476" t="str">
        <f>INDEX(Input!$1:$1048576,J$93,$C430*2+MIN($B430,2)+5)</f>
        <v>Market</v>
      </c>
      <c r="K430" s="476" t="str">
        <f>INDEX(Input!$1:$1048576,K$93,$C430*2+MIN($B430,2)+5)</f>
        <v>Market</v>
      </c>
      <c r="L430" s="476" t="str">
        <f>INDEX(Input!$1:$1048576,L$93,$C430*2+MIN($B430,2)+5)</f>
        <v>Market</v>
      </c>
      <c r="M430" s="476" t="str">
        <f>INDEX(Input!$1:$1048576,M$93,$C430*2+MIN($B430,2)+5)</f>
        <v>Market</v>
      </c>
      <c r="N430" s="476" t="str">
        <f>INDEX(Input!$1:$1048576,N$93,$C430*2+MIN($B430,2)+5)</f>
        <v>Market</v>
      </c>
      <c r="O430" s="476" t="str">
        <f>INDEX(Input!$1:$1048576,O$93,$C430*2+MIN($B430,2)+5)</f>
        <v>Market</v>
      </c>
      <c r="P430" s="476" t="str">
        <f>INDEX(Input!$1:$1048576,P$93,$C430*2+MIN($B430,2)+5)</f>
        <v>N</v>
      </c>
      <c r="Q430" s="477">
        <f>INDEX(Input!$1:$1048576,Q$93,$C430*2+MIN($B430,2)+5)
+INDEX(Scenarios!Q$121:Q$200,MATCH($B430,Scenarios!$B$121:$B$200,0))</f>
        <v>0</v>
      </c>
      <c r="R430" s="478">
        <f>IFERROR(MAX(0,INDEX(Input!$1:$1048576,R$93,$C430*2+MIN($B430,2)+5)
+INDEX(Scenarios!R$121:R$200,MATCH($B430,Scenarios!$B$121:$B$200,0)),),"Market")</f>
        <v>0</v>
      </c>
      <c r="S430" s="478">
        <f>IFERROR(MAX(0,INDEX(Input!$1:$1048576,S$93,$C430*2+MIN($B430,2)+5)
+INDEX(Scenarios!S$121:S$200,MATCH($B430,Scenarios!$B$121:$B$200,0)),),"Market")</f>
        <v>0</v>
      </c>
      <c r="T430" s="478">
        <f>IFERROR(MAX(0,INDEX(Input!$1:$1048576,T$93,$C430*2+MIN($B430,2)+5)
+INDEX(Scenarios!T$121:T$200,MATCH($B430,Scenarios!$B$121:$B$200,0)),),"Market")</f>
        <v>0</v>
      </c>
      <c r="U430" s="478">
        <f>IFERROR(MAX(0,INDEX(Input!$1:$1048576,U$93,$C430*2+MIN($B430,2)+5)
+INDEX(Scenarios!U$121:U$200,MATCH($B430,Scenarios!$B$121:$B$200,0)),),"Market")</f>
        <v>0</v>
      </c>
      <c r="V430" s="478">
        <f>IFERROR(MAX(0,INDEX(Input!$1:$1048576,V$93,$C430*2+MIN($B430,2)+5)
+INDEX(Scenarios!V$121:V$200,MATCH($B430,Scenarios!$B$121:$B$200,0)),),"Market")</f>
        <v>1.9E-2</v>
      </c>
      <c r="W430" s="885">
        <f>IFERROR(MAX(0,INDEX(Input!$1:$1048576,W$93,$C430*2+MIN($B430,2)+5)-0%,),"Market")</f>
        <v>3.9E-2</v>
      </c>
      <c r="X430" s="476" t="str">
        <f>INDEX(Input!$1:$1048576,X$93,$C430*2+MIN($B430,2)+5)</f>
        <v>Y</v>
      </c>
      <c r="Y430" s="475">
        <f>INDEX(Input!$1:$1048576,Y$93,$C430*2+MIN($B430,2)+5)
++INDEX(Scenarios!Y$121:Y$200,MATCH($B430,Scenarios!$B$121:$B$200,0))</f>
        <v>210</v>
      </c>
      <c r="Z430" s="477">
        <f>INDEX(Input!$1:$1048576,Z$93,$C430*2+MIN($B430,2)+5)
+INDEX(Scenarios!Z$121:Z$200,MATCH($B430,Scenarios!$B$121:$B$200,0))</f>
        <v>0</v>
      </c>
      <c r="AA430" s="475">
        <f>INDEX(Input!$1:$1048576,AA$93,$C430*2+MIN($B430,2)+5)
+INDEX(Scenarios!AA$121:AA$200,MATCH($B430,Scenarios!$B$121:$B$200,0))</f>
        <v>0</v>
      </c>
      <c r="AB430" s="476">
        <f>INDEX(Input!$1:$1048576,AB$93,$C430*2+MIN($B430,2)+5)</f>
        <v>0.27</v>
      </c>
      <c r="AC430" s="475">
        <f>INDEX(Input!$1:$1048576,AC$93,$C430*2+MIN($B430,2)+5)
+INDEX(Scenarios!AC$121:AC$200,MATCH($B430,Scenarios!$B$121:$B$200,0))</f>
        <v>0</v>
      </c>
      <c r="AD430" s="476">
        <f>INDEX(Input!$1:$1048576,AD$93,$C430*2+MIN($B430,2)+5)</f>
        <v>0.27</v>
      </c>
      <c r="AE430" s="475">
        <f>INDEX(Input!$1:$1048576,AE$93,$C430*2+MIN($B430,2)+5)
+INDEX(Scenarios!AE$121:AE$200,MATCH($B430,Scenarios!$B$121:$B$200,0))</f>
        <v>0</v>
      </c>
      <c r="AF430" s="476">
        <f>INDEX(Input!$1:$1048576,AF$93,$C430*2+MIN($B430,2)+5)</f>
        <v>1</v>
      </c>
      <c r="AG430" s="475">
        <f>INDEX(Input!$1:$1048576,AG$93,$C430*2+MIN($B430,2)+5)
+INDEX(Scenarios!AG$121:AG$200,MATCH($B430,Scenarios!$B$121:$B$200,0))</f>
        <v>500</v>
      </c>
      <c r="AH430" s="476">
        <f>INDEX(Input!$1:$1048576,AH$93,$C430*2+MIN($B430,2)+5)</f>
        <v>0.83199999999999996</v>
      </c>
      <c r="AI430" s="475">
        <f>INDEX(Input!$1:$1048576,AI$93,$C430*2+MIN($B430,2)+5)
+INDEX(Scenarios!AI$121:AI$200,MATCH($B430,Scenarios!$B$121:$B$200,0))</f>
        <v>0</v>
      </c>
      <c r="AJ430" s="476">
        <f>INDEX(Input!$1:$1048576,AJ$93,$C430*2+MIN($B430,2)+5)</f>
        <v>0.27</v>
      </c>
      <c r="AK430" s="150">
        <f>ROUND(INDEX(Input!$1:$1048576,AK$93,$C429*2+MIN($B430,1)+5)+(Y430-VLOOKUP($C430*1000+1,$A:$HH,Y$92,FALSE)),0)</f>
        <v>3667</v>
      </c>
      <c r="AL430" s="150">
        <f>ROUND(INDEX(Input!$1:$1048576,AL$93,$C429*2+MIN($B430,1)+5)-(Y430-VLOOKUP($C430*1000+1,$A:$HH,Y$92,FALSE))/36,0)</f>
        <v>3376</v>
      </c>
      <c r="AM430" s="32" t="str">
        <f t="shared" si="1139"/>
        <v>std/std/std/std</v>
      </c>
      <c r="AN430" s="32" t="str">
        <f t="shared" si="1140"/>
        <v>$0 + 0/0/0/1.9/3.9</v>
      </c>
      <c r="AO430" s="32" t="str">
        <f t="shared" si="1141"/>
        <v>0/0/0/1.9/3.9</v>
      </c>
      <c r="AP430" s="32" t="str">
        <f t="shared" si="1213"/>
        <v>0/0.9/1.9/3.9</v>
      </c>
      <c r="AQ430" s="536">
        <f t="shared" si="1207"/>
        <v>0.39195598486689454</v>
      </c>
      <c r="AR430" s="32"/>
      <c r="AS430" s="302"/>
      <c r="AT430" s="3">
        <f t="shared" si="1162"/>
        <v>30</v>
      </c>
      <c r="AU430" s="41" t="s">
        <v>121</v>
      </c>
      <c r="AV430" s="41" t="s">
        <v>116</v>
      </c>
      <c r="AW430" s="41" t="str">
        <f>INDEX(Input!$1:$1048576,AW$93,$C430*2+6)</f>
        <v>Kia</v>
      </c>
      <c r="AX430" s="41" t="str">
        <f>INDEX(Input!$1:$1048576,AX$93,$C430*2+6)</f>
        <v>Kia-LR - R1</v>
      </c>
      <c r="AY430" s="41" t="str">
        <f>IF(LEN(D430)=0,"",INDEX(Input!$1:$1048576,AY$93,$C430*2+6))</f>
        <v>Compact SUV (52)</v>
      </c>
      <c r="AZ430" s="41" t="str">
        <f>INDEX(Input!$1:$1048576,AZ$93,$C430*2+6)</f>
        <v>Kia Soul</v>
      </c>
      <c r="BA430" s="3">
        <f>INDEX(Input!$1:$1048576,BA$93,$C430*2+6)</f>
        <v>2020</v>
      </c>
      <c r="BB430" s="128">
        <f>INDEX(Input!$1:$1048576,BB$93,$C430*2+6)</f>
        <v>1</v>
      </c>
      <c r="BC430" s="128">
        <f>INDEX(Input!$1:$1048576,BC$93,$C430*2+6)</f>
        <v>0.7</v>
      </c>
      <c r="BD430" s="1">
        <f>INDEX(Input!$1:$1048576,BD$93,$C430*2+6)</f>
        <v>4.4999999999999998E-2</v>
      </c>
      <c r="BE430" s="1">
        <f>INDEX(Input!$1:$1048576,BE$93,$C430*2+6)</f>
        <v>4.4999999999999998E-2</v>
      </c>
      <c r="BF430" s="1">
        <f>INDEX(Input!$1:$1048576,BF$93,$C430*2+6)</f>
        <v>0.05</v>
      </c>
      <c r="BG430" s="1">
        <f>INDEX(Input!$1:$1048576,BG$93,$C430*2+6)</f>
        <v>5.45E-2</v>
      </c>
      <c r="BH430" s="1">
        <f>INDEX(Input!$1:$1048576,BH$93,$C430*2+6)</f>
        <v>5.45E-2</v>
      </c>
      <c r="BI430" s="1">
        <f>INDEX(Input!$1:$1048576,BI$93,$C430*2+6)</f>
        <v>0.05</v>
      </c>
      <c r="BJ430" s="1">
        <f>INDEX(Input!$1:$1048576,BJ$93,$C430*2+6)</f>
        <v>0.05</v>
      </c>
      <c r="BK430" s="1">
        <f>INDEX(Input!$1:$1048576,BK$93,$C430*2+6)</f>
        <v>0.05</v>
      </c>
      <c r="BL430" s="1">
        <f>INDEX(Input!$1:$1048576,BL$93,$C430*2+6)</f>
        <v>5.5E-2</v>
      </c>
      <c r="BM430" s="1">
        <f>INDEX(Input!$1:$1048576,BM$93,$C430*2+6)</f>
        <v>0.06</v>
      </c>
      <c r="BN430" s="1">
        <f>INDEX(Input!$1:$1048576,BN$93,$C430*2+6)</f>
        <v>4.4999999999999998E-2</v>
      </c>
      <c r="BO430" s="1">
        <f>INDEX(Input!$1:$1048576,BO$93,$C430*2+6)</f>
        <v>4.4999999999999998E-2</v>
      </c>
      <c r="BP430" s="1">
        <f>INDEX(Input!$1:$1048576,BP$93,$C430*2+6)</f>
        <v>0.05</v>
      </c>
      <c r="BQ430" s="1">
        <f>INDEX(Input!$1:$1048576,BQ$93,$C430*2+6)</f>
        <v>5.45E-2</v>
      </c>
      <c r="BR430" s="1">
        <f>INDEX(Input!$1:$1048576,BR$93,$C430*2+6)</f>
        <v>5.45E-2</v>
      </c>
      <c r="BS430" s="1">
        <f>INDEX(Input!$1:$1048576,BS$93,$C430*2+6)</f>
        <v>0.05</v>
      </c>
      <c r="BT430" s="1">
        <f>INDEX(Input!$1:$1048576,BT$93,$C430*2+6)</f>
        <v>0.05</v>
      </c>
      <c r="BU430" s="1">
        <f>INDEX(Input!$1:$1048576,BU$93,$C430*2+6)</f>
        <v>0.05</v>
      </c>
      <c r="BV430" s="1">
        <f>INDEX(Input!$1:$1048576,BV$93,$C430*2+6)</f>
        <v>5.5E-2</v>
      </c>
      <c r="BW430" s="1">
        <f>INDEX(Input!$1:$1048576,BW$93,$C430*2+6)</f>
        <v>0.06</v>
      </c>
      <c r="BX430" s="127">
        <f>INDEX(Input!$1:$1048576,BX$93,$C430*2+6)</f>
        <v>19985</v>
      </c>
      <c r="BY430" s="20">
        <f>INDEX(Input!$1:$1048576,BY$93,$C430*2+6)</f>
        <v>0.1</v>
      </c>
      <c r="BZ430" s="20">
        <f>INDEX(Input!$1:$1048576,BZ$93,$C430*2+6)</f>
        <v>0.1</v>
      </c>
      <c r="CA430" s="20">
        <f>INDEX(Input!$1:$1048576,CA$93,$C430*2+6)</f>
        <v>0.1</v>
      </c>
      <c r="CB430" s="20">
        <f>INDEX(Input!$1:$1048576,CB$93,$C430*2+6)</f>
        <v>0.1</v>
      </c>
      <c r="CC430" s="20">
        <f>INDEX(Input!$1:$1048576,CC$93,$C430*2+6)</f>
        <v>0.1</v>
      </c>
      <c r="CD430" s="384">
        <f>INDEX(Input!$1:$1048576,CD$93,$C430*2+6)</f>
        <v>0.1</v>
      </c>
      <c r="CE430" s="384">
        <f>INDEX(Input!$1:$1048576,CE$93,$C430*2+6)</f>
        <v>0.1</v>
      </c>
      <c r="CF430" s="384">
        <f>INDEX(Input!$1:$1048576,CF$93,$C430*2+6)</f>
        <v>0.1</v>
      </c>
      <c r="CG430" s="384">
        <f>INDEX(Input!$1:$1048576,CG$93,$C430*2+6)</f>
        <v>0.1</v>
      </c>
      <c r="CH430" s="384">
        <f>INDEX(Input!$1:$1048576,CH$93,$C430*2+6)</f>
        <v>0.1</v>
      </c>
      <c r="CI430" s="304">
        <f t="shared" si="1214"/>
        <v>1256.832975525977</v>
      </c>
      <c r="CJ430" s="16" t="str">
        <f>INDEX(Input!$1:$1048576,CJ$93,$C430*2+6)</f>
        <v>N</v>
      </c>
      <c r="CK430" s="1" t="str">
        <f t="shared" si="1215"/>
        <v>Market</v>
      </c>
      <c r="CL430" s="1" t="str">
        <f t="shared" si="1216"/>
        <v>Market</v>
      </c>
      <c r="CM430" s="1" t="str">
        <f t="shared" si="1217"/>
        <v>Market</v>
      </c>
      <c r="CN430" s="1" t="str">
        <f t="shared" si="1218"/>
        <v>Market</v>
      </c>
      <c r="CO430" s="1" t="str">
        <f t="shared" si="1219"/>
        <v>Market</v>
      </c>
      <c r="CP430" s="304">
        <f t="shared" si="1220"/>
        <v>416</v>
      </c>
      <c r="CQ430" s="1">
        <f t="shared" si="1221"/>
        <v>0</v>
      </c>
      <c r="CR430" s="1">
        <f t="shared" si="1222"/>
        <v>0</v>
      </c>
      <c r="CS430" s="1">
        <f t="shared" si="1223"/>
        <v>0</v>
      </c>
      <c r="CT430" s="1">
        <f t="shared" si="1224"/>
        <v>1.9E-2</v>
      </c>
      <c r="CU430" s="1">
        <f t="shared" si="1225"/>
        <v>3.9E-2</v>
      </c>
      <c r="CV430" s="304">
        <f t="shared" si="1226"/>
        <v>210</v>
      </c>
      <c r="CW430" s="20" t="s">
        <v>122</v>
      </c>
      <c r="CX430" s="20" t="s">
        <v>122</v>
      </c>
      <c r="CY430" s="20" t="s">
        <v>122</v>
      </c>
      <c r="CZ430" s="20" t="s">
        <v>122</v>
      </c>
      <c r="DA430" s="20" t="s">
        <v>122</v>
      </c>
      <c r="DB430" s="503">
        <f t="shared" si="1227"/>
        <v>0</v>
      </c>
      <c r="DC430" s="127">
        <v>0</v>
      </c>
      <c r="DD430" s="127">
        <v>0</v>
      </c>
      <c r="DE430" s="127">
        <v>0</v>
      </c>
      <c r="DF430" s="127">
        <v>0</v>
      </c>
      <c r="DG430" s="127">
        <v>0</v>
      </c>
      <c r="DH430" s="127">
        <v>0</v>
      </c>
      <c r="DI430" s="127">
        <v>0</v>
      </c>
      <c r="DJ430" s="127">
        <v>0</v>
      </c>
      <c r="DK430" s="127">
        <v>0</v>
      </c>
      <c r="DL430" s="127">
        <v>0</v>
      </c>
      <c r="DM430" s="304">
        <f>INDEX(Input!$1:$1048576,DM$93,$C430*2+6)</f>
        <v>21036.84210526316</v>
      </c>
      <c r="DN430" s="20">
        <v>0</v>
      </c>
      <c r="DO430" s="20">
        <v>0</v>
      </c>
      <c r="DP430" s="20">
        <v>0</v>
      </c>
      <c r="DQ430" s="20">
        <v>0</v>
      </c>
      <c r="DR430" s="20">
        <v>0</v>
      </c>
      <c r="DS430" s="20">
        <f>INDEX(Input!$1:$1048576,DS$93,$C430*2+6)</f>
        <v>0.6</v>
      </c>
      <c r="DT430" s="20">
        <f>INDEX(Input!$1:$1048576,DT$93,$C430*2+6)</f>
        <v>0.55000000000000004</v>
      </c>
      <c r="DU430" s="20">
        <f>INDEX(Input!$1:$1048576,DU$93,$C430*2+6)</f>
        <v>0.52</v>
      </c>
      <c r="DV430" s="20">
        <f>INDEX(Input!$1:$1048576,DV$93,$C430*2+6)</f>
        <v>0.5</v>
      </c>
      <c r="DW430" s="20">
        <f>INDEX(Input!$1:$1048576,DW$93,$C430*2+6)</f>
        <v>0.45</v>
      </c>
      <c r="DX430" s="20"/>
      <c r="DY430" s="7">
        <v>9.8817480460553692E-2</v>
      </c>
      <c r="DZ430" s="7">
        <v>0</v>
      </c>
      <c r="EA430" s="7">
        <v>0.7712579499709834</v>
      </c>
      <c r="EB430" s="7">
        <v>0</v>
      </c>
      <c r="EC430" s="7">
        <v>0</v>
      </c>
      <c r="ED430" s="7">
        <v>0</v>
      </c>
      <c r="EE430" s="7">
        <v>0</v>
      </c>
      <c r="EF430" s="7">
        <v>0</v>
      </c>
      <c r="EG430" s="7">
        <v>0</v>
      </c>
      <c r="EH430" s="7">
        <v>1.2227005655252867E-2</v>
      </c>
      <c r="EI430" s="7">
        <v>3.1901156105987358E-2</v>
      </c>
      <c r="EJ430" s="7">
        <v>0.22420657153578685</v>
      </c>
      <c r="EK430" s="7">
        <v>0.59418899951828297</v>
      </c>
      <c r="EL430" s="7">
        <v>0.13747626718469036</v>
      </c>
      <c r="EM430" s="7">
        <v>4.1538935876048934E-2</v>
      </c>
      <c r="EN430" s="7">
        <v>5.4183737394964127E-2</v>
      </c>
      <c r="EO430" s="7">
        <v>0.74740764375855928</v>
      </c>
      <c r="EP430" s="7">
        <v>8.519300762680998E-2</v>
      </c>
      <c r="EQ430" s="7">
        <v>7.4783744945413011E-2</v>
      </c>
      <c r="ER430" s="7">
        <v>3.8431866274253657E-2</v>
      </c>
      <c r="ES430" s="7">
        <v>8.8385633692414034E-2</v>
      </c>
      <c r="ET430" s="7">
        <v>0.12992456956846296</v>
      </c>
      <c r="EU430" s="6">
        <v>1770</v>
      </c>
      <c r="EV430" s="6">
        <v>0</v>
      </c>
      <c r="EW430" s="6">
        <v>1770</v>
      </c>
      <c r="EX430" s="6">
        <v>0</v>
      </c>
      <c r="EY430" s="6">
        <v>2483.0107097058162</v>
      </c>
      <c r="EZ430" s="6">
        <v>1587</v>
      </c>
      <c r="FA430" s="6">
        <v>0</v>
      </c>
      <c r="FB430" s="6">
        <v>0</v>
      </c>
      <c r="FC430" s="6">
        <v>0</v>
      </c>
      <c r="FD430" s="6">
        <v>0</v>
      </c>
      <c r="FE430" s="6">
        <v>0</v>
      </c>
      <c r="FF430" s="6">
        <v>0</v>
      </c>
      <c r="FG430" s="6">
        <v>0</v>
      </c>
      <c r="FH430" s="6">
        <v>1169.7839018537413</v>
      </c>
      <c r="FI430" s="6">
        <v>1553.9796069512395</v>
      </c>
      <c r="FJ430" s="6">
        <v>2101.2110117447405</v>
      </c>
      <c r="FK430" s="6">
        <v>1772.7139978623231</v>
      </c>
      <c r="FL430" s="6">
        <v>907.07682140966313</v>
      </c>
      <c r="FM430" s="6">
        <v>1713.010709705816</v>
      </c>
      <c r="FN430" s="6">
        <v>0</v>
      </c>
      <c r="FO430" s="6">
        <v>0</v>
      </c>
      <c r="FP430" s="6">
        <v>0</v>
      </c>
      <c r="FQ430" s="6">
        <v>0</v>
      </c>
      <c r="FR430" s="6">
        <v>0</v>
      </c>
      <c r="FS430" s="6">
        <v>0</v>
      </c>
      <c r="FT430" s="7">
        <v>0.87007543043153712</v>
      </c>
      <c r="FU430" s="7">
        <v>4.1538935876048934E-2</v>
      </c>
      <c r="FV430" s="7">
        <v>8.8385633692414034E-2</v>
      </c>
      <c r="FW430" s="6">
        <v>1770</v>
      </c>
      <c r="FX430" s="6">
        <v>2483.0107097058162</v>
      </c>
      <c r="FY430" s="6">
        <v>1587</v>
      </c>
      <c r="FZ430" s="6">
        <v>1949.5716051445115</v>
      </c>
      <c r="GA430" s="6">
        <v>1783.4431351836943</v>
      </c>
      <c r="GB430" s="6">
        <v>18201.556864816306</v>
      </c>
      <c r="GC430" s="7">
        <v>3.3872851927908169E-2</v>
      </c>
      <c r="GD430" s="7">
        <v>3.3886407662648596E-2</v>
      </c>
      <c r="GE430" s="7"/>
      <c r="GF430" s="7"/>
      <c r="GG430" s="7">
        <v>4.0019466826346408E-4</v>
      </c>
      <c r="GH430" s="42">
        <v>-4.8142804464109595E-2</v>
      </c>
      <c r="GI430" s="6">
        <v>-413335.70545739128</v>
      </c>
      <c r="GJ430" s="14">
        <v>0.50394797582841733</v>
      </c>
      <c r="GK430" s="14">
        <v>0.5088757306530971</v>
      </c>
      <c r="GL430" s="14">
        <v>0.49605202417158273</v>
      </c>
      <c r="GM430" s="14">
        <v>0.49112426934690256</v>
      </c>
      <c r="GO430" s="5">
        <v>343.14810671672558</v>
      </c>
      <c r="GP430" s="5">
        <v>309.37988338875158</v>
      </c>
      <c r="GQ430" s="5">
        <v>535.04305713031317</v>
      </c>
      <c r="GR430" s="5">
        <v>410.15490233172511</v>
      </c>
      <c r="GS430" s="5">
        <v>339.42744393800166</v>
      </c>
      <c r="GT430" s="5">
        <v>293.4407446948278</v>
      </c>
      <c r="GU430" s="5">
        <v>258.04012322764959</v>
      </c>
      <c r="GV430" s="39" t="s">
        <v>392</v>
      </c>
      <c r="GW430" s="5">
        <v>478.23611111111109</v>
      </c>
      <c r="GX430" s="5">
        <v>358.67708333333331</v>
      </c>
      <c r="GY430" s="5">
        <v>286.94166666666666</v>
      </c>
      <c r="GZ430" s="5">
        <v>253.19574071601335</v>
      </c>
      <c r="HA430" s="5">
        <v>234.53733318419432</v>
      </c>
      <c r="HB430" s="39">
        <v>264.31325751621011</v>
      </c>
      <c r="HC430" s="5">
        <v>217.85312499999998</v>
      </c>
      <c r="HD430" s="5">
        <v>192.41580774853799</v>
      </c>
      <c r="HE430" s="5">
        <v>196.96430921052627</v>
      </c>
      <c r="HF430" s="5">
        <v>184.20938048245611</v>
      </c>
      <c r="HG430" s="5">
        <v>180.21388157894734</v>
      </c>
      <c r="HH430" s="39">
        <v>193.09894702784754</v>
      </c>
      <c r="HI430" s="16"/>
      <c r="HJ430" s="19" t="str">
        <f t="shared" si="1204"/>
        <v>On</v>
      </c>
      <c r="HK430" s="1" t="str">
        <f t="shared" si="1204"/>
        <v>On</v>
      </c>
      <c r="HL430" s="16"/>
      <c r="HM430" s="639">
        <f t="shared" si="1110"/>
        <v>2.9403358434788716E-2</v>
      </c>
      <c r="HN430" s="639">
        <f t="shared" si="1111"/>
        <v>1.4106809950923669E-3</v>
      </c>
      <c r="HO430" s="639">
        <f t="shared" si="1112"/>
        <v>1.7317923025048877E-3</v>
      </c>
      <c r="HP430" s="644">
        <f>(FT430*$GD430-HM430)/$JF430*INDEX(Input!$1:$1048576,$JG$93,$C430*2+6)</f>
        <v>5.7514917345302239</v>
      </c>
      <c r="HQ430" s="644">
        <f>(FU430*$GD430-HN430)/$JF430*INDEX(Input!$1:$1048576,$JG$93,$C430*2+6)</f>
        <v>-0.22009758630810916</v>
      </c>
      <c r="HR430" s="644">
        <f>(FV430*$GD430-HO430)/$JF430*INDEX(Input!$1:$1048576,$JG$93,$C430*2+6)</f>
        <v>90.401054813430719</v>
      </c>
      <c r="HS430" s="644">
        <f t="shared" si="1208"/>
        <v>-36.766909004057347</v>
      </c>
      <c r="HT430" s="644">
        <f t="shared" si="1114"/>
        <v>44.789776936481459</v>
      </c>
      <c r="HU430" s="644">
        <f t="shared" si="1115"/>
        <v>21.362565398640434</v>
      </c>
      <c r="HV430" s="648">
        <f t="shared" si="1116"/>
        <v>0</v>
      </c>
      <c r="HW430" s="648">
        <f t="shared" si="1117"/>
        <v>0</v>
      </c>
      <c r="HX430" s="648">
        <f t="shared" si="1118"/>
        <v>0</v>
      </c>
      <c r="HY430" s="644">
        <f>INDEX(Input!$1:$1048576,HY$93,$C430*2+6)*INDEX(Input!$1:$1048576,$JG$93,$C430*2+6)</f>
        <v>993</v>
      </c>
      <c r="HZ430" s="644">
        <f>INDEX(Input!$1:$1048576,HZ$93,$C430*2+6)*INDEX(Input!$1:$1048576,$JG$93,$C430*2+6)</f>
        <v>1216</v>
      </c>
      <c r="IA430" s="644">
        <f>INDEX(Input!$1:$1048576,IA$93,$C430*2+6)*INDEX(Input!$1:$1048576,$JG$93,$C430*2+6)</f>
        <v>120</v>
      </c>
      <c r="IB430" s="644">
        <f t="shared" si="1142"/>
        <v>961.98458273047299</v>
      </c>
      <c r="IC430" s="644">
        <f t="shared" si="1143"/>
        <v>1260.5696793501734</v>
      </c>
      <c r="ID430" s="644">
        <f>IF(AND(INDEX(Input!$1:$1048576,IA$93,$C430*2+7)="TOS",Y430&lt;=INDEX(Y:Y,MATCH(C430*1000+2,A:A))),0,1)*MAX(IA430+HR430+HU430+HX430,0%)</f>
        <v>231.76362021207117</v>
      </c>
      <c r="IE430" s="128">
        <f t="shared" si="1209"/>
        <v>0.39195598486689454</v>
      </c>
      <c r="IF430" s="128">
        <f t="shared" si="1210"/>
        <v>0.51361304435943878</v>
      </c>
      <c r="IG430" s="128">
        <f t="shared" si="1120"/>
        <v>9.4430970773666703E-2</v>
      </c>
      <c r="IH430" s="21"/>
      <c r="II430" s="19">
        <f t="shared" si="1121"/>
        <v>1490</v>
      </c>
      <c r="IJ430" s="19">
        <f t="shared" si="1122"/>
        <v>2203.2561351629856</v>
      </c>
      <c r="IK430" s="19">
        <f t="shared" si="1123"/>
        <v>242</v>
      </c>
      <c r="IL430" s="19">
        <f t="shared" si="1145"/>
        <v>280</v>
      </c>
      <c r="IM430" s="19">
        <f t="shared" si="1124"/>
        <v>279.7545745428306</v>
      </c>
      <c r="IN430" s="19">
        <f t="shared" si="1125"/>
        <v>1345</v>
      </c>
      <c r="IO430" s="39">
        <f t="shared" si="1126"/>
        <v>0</v>
      </c>
      <c r="IP430" s="39">
        <f t="shared" si="1127"/>
        <v>0</v>
      </c>
      <c r="IQ430" s="39">
        <f t="shared" si="1128"/>
        <v>0</v>
      </c>
      <c r="IR430" s="39">
        <v>0</v>
      </c>
      <c r="IS430" s="39">
        <v>0</v>
      </c>
      <c r="IT430" s="39">
        <v>0</v>
      </c>
      <c r="IU430" s="39">
        <v>0</v>
      </c>
      <c r="IV430" s="39">
        <v>0</v>
      </c>
      <c r="IW430" s="39">
        <v>0</v>
      </c>
      <c r="IX430" s="39">
        <f>INDEX(Input!$1:$1048576,IX$93,$C430*2+6)+INDEX(Input!$1:$1048576,IX$94,$C430*2+6)</f>
        <v>1770</v>
      </c>
      <c r="IY430" s="39">
        <f>INDEX(Input!$1:$1048576,IY$93,$C430*2+6)+INDEX(Input!$1:$1048576,IY$94,$C430*2+6)</f>
        <v>2630.0624533823611</v>
      </c>
      <c r="IZ430" s="39">
        <f>INDEX(Input!$1:$1048576,IZ$93,$C430*2+6)+INDEX(Input!$1:$1048576,IZ$94,$C430*2+6)</f>
        <v>4153.7164157747848</v>
      </c>
      <c r="JA430" s="19">
        <f t="shared" si="1146"/>
        <v>2050</v>
      </c>
      <c r="JB430" s="19">
        <f t="shared" si="1147"/>
        <v>2909.8170279251917</v>
      </c>
      <c r="JC430" s="19">
        <f t="shared" si="1148"/>
        <v>5498.7164157747848</v>
      </c>
      <c r="JD430" s="19">
        <f t="shared" si="1149"/>
        <v>2817.2788803694357</v>
      </c>
      <c r="JE430" s="21"/>
      <c r="JF430" s="1">
        <f t="shared" si="1129"/>
        <v>3.2545831732385969E-2</v>
      </c>
      <c r="JG430" s="15">
        <f>INDEX(Input!$1:$1048576,JG$93,$C430*2+6)/(1+VLOOKUP(C430*1000+INDEX(Input!$1:$1048576,JG$93+1,$C430*2+6),$A:$KK,$JK$92,FALSE))</f>
        <v>2329</v>
      </c>
      <c r="JH430" s="1">
        <f t="shared" si="1150"/>
        <v>4.1190403160864253E-2</v>
      </c>
      <c r="JI430" s="1">
        <f t="shared" si="1151"/>
        <v>1.2617189064433038E-2</v>
      </c>
      <c r="JJ430" s="1">
        <f t="shared" si="1211"/>
        <v>0</v>
      </c>
      <c r="JK430" s="1">
        <f t="shared" si="1212"/>
        <v>5.3807592225297289E-2</v>
      </c>
      <c r="JL430" s="15">
        <f t="shared" si="1154"/>
        <v>125.31788229271739</v>
      </c>
      <c r="JM430" s="15">
        <f t="shared" si="1180"/>
        <v>2454.3178822927175</v>
      </c>
      <c r="JN430" s="21"/>
      <c r="JO430" s="19">
        <f>INDEX(Input!$1:$1048576,JO$93,$C430*2+6)</f>
        <v>5995.5</v>
      </c>
      <c r="JP430" s="19">
        <f>INDEX(Input!$1:$1048576,JP$93,$C430*2+6)</f>
        <v>2341.8685758720158</v>
      </c>
      <c r="JQ430" s="39">
        <f t="shared" si="1166"/>
        <v>3178.2211196305643</v>
      </c>
      <c r="JR430" s="39">
        <f t="shared" si="1183"/>
        <v>475.41030449741993</v>
      </c>
      <c r="JS430" s="39">
        <f t="shared" si="1168"/>
        <v>6.9144979354963114</v>
      </c>
      <c r="JT430" s="39">
        <f t="shared" si="1156"/>
        <v>1.4602860222903873</v>
      </c>
      <c r="JU430" s="385">
        <f>(JQ430*JM430-INDEX(Input!$1:$1048576,Input!A$18,$C430*2+6)*JL430*INDEX(Input!$1:$1048576,Input!A$19,$C430*2+6))/1000000</f>
        <v>7.8003649277896763</v>
      </c>
      <c r="JV430" s="39">
        <f t="shared" si="1190"/>
        <v>-0.70894265900439812</v>
      </c>
      <c r="JW430" s="1">
        <f t="shared" si="1181"/>
        <v>-8.3313789256441242E-2</v>
      </c>
      <c r="JX430" s="19">
        <f t="shared" si="1172"/>
        <v>11652.654797337324</v>
      </c>
      <c r="JZ430" s="341"/>
      <c r="KA430" s="342"/>
      <c r="KB430" s="469">
        <f t="shared" si="1169"/>
        <v>2.3434325605641804</v>
      </c>
      <c r="KI430" s="473">
        <f t="shared" si="1196"/>
        <v>-31.015417269527006</v>
      </c>
      <c r="KJ430" s="473">
        <f t="shared" si="1197"/>
        <v>44.569679350173374</v>
      </c>
      <c r="KK430" s="473">
        <f t="shared" si="1158"/>
        <v>111.76362021207117</v>
      </c>
      <c r="KN430" s="544">
        <f t="shared" si="1173"/>
        <v>4002</v>
      </c>
      <c r="KO430" s="541">
        <f t="shared" si="1133"/>
        <v>1.4763056143594966E-2</v>
      </c>
      <c r="KP430" s="546">
        <f t="shared" si="1134"/>
        <v>101.83526492250692</v>
      </c>
      <c r="KQ430" s="546">
        <f t="shared" si="1135"/>
        <v>192.50769233341452</v>
      </c>
      <c r="KR430" s="548">
        <f t="shared" si="1136"/>
        <v>2.5167119937450635</v>
      </c>
      <c r="KS430" s="548">
        <f t="shared" si="1137"/>
        <v>1.3313235928920519</v>
      </c>
      <c r="KT430" s="473">
        <f t="shared" si="1171"/>
        <v>1580.0986321700548</v>
      </c>
      <c r="KU430" s="663">
        <f t="shared" si="1159"/>
        <v>3.9247662913734991</v>
      </c>
      <c r="KV430" s="117"/>
    </row>
    <row r="431" spans="1:308" s="26" customFormat="1" ht="15">
      <c r="A431" s="561">
        <f t="shared" si="1138"/>
        <v>4031</v>
      </c>
      <c r="B431" s="561">
        <f t="shared" si="1160"/>
        <v>31</v>
      </c>
      <c r="C431" s="561">
        <f t="shared" si="1161"/>
        <v>4</v>
      </c>
      <c r="D431" s="561" t="str">
        <f t="shared" si="1206"/>
        <v xml:space="preserve">250 CC, 250 Combo, </v>
      </c>
      <c r="E431" s="475">
        <f>INDEX(Input!$1:$1048576,E$93,$C431*2+MIN($B431,2)+5)
+INDEX(Scenarios!E$121:E$200,MATCH($B431,Scenarios!$B$121:$B$200,0))</f>
        <v>1506.832975525977</v>
      </c>
      <c r="F431" s="475">
        <f>INDEX(Input!$1:$1048576,F$93,$C431*2+MIN($B431,2)+5)
+INDEX(Scenarios!F$121:F$200,MATCH($B431,Scenarios!$B$121:$B$200,0))</f>
        <v>0</v>
      </c>
      <c r="G431" s="475">
        <f>INDEX(Input!$1:$1048576,G$93,$C431*2+MIN($B431,2)+5)
+INDEX(Scenarios!G$121:G$200,MATCH($B431,Scenarios!$B$121:$B$200,0))</f>
        <v>0</v>
      </c>
      <c r="H431" s="475">
        <f>INDEX(Input!$1:$1048576,H$93,$C431*2+MIN($B431,2)+5)
+INDEX(Scenarios!H$121:H$200,MATCH($B431,Scenarios!$B$121:$B$200,0))</f>
        <v>0</v>
      </c>
      <c r="I431" s="476">
        <f>INDEX(Input!$1:$1048576,I$93,$C431*2+MIN($B431,2)+5)</f>
        <v>0.7</v>
      </c>
      <c r="J431" s="476" t="str">
        <f>INDEX(Input!$1:$1048576,J$93,$C431*2+MIN($B431,2)+5)</f>
        <v>Market</v>
      </c>
      <c r="K431" s="476" t="str">
        <f>INDEX(Input!$1:$1048576,K$93,$C431*2+MIN($B431,2)+5)</f>
        <v>Market</v>
      </c>
      <c r="L431" s="476" t="str">
        <f>INDEX(Input!$1:$1048576,L$93,$C431*2+MIN($B431,2)+5)</f>
        <v>Market</v>
      </c>
      <c r="M431" s="476" t="str">
        <f>INDEX(Input!$1:$1048576,M$93,$C431*2+MIN($B431,2)+5)</f>
        <v>Market</v>
      </c>
      <c r="N431" s="476" t="str">
        <f>INDEX(Input!$1:$1048576,N$93,$C431*2+MIN($B431,2)+5)</f>
        <v>Market</v>
      </c>
      <c r="O431" s="476" t="str">
        <f>INDEX(Input!$1:$1048576,O$93,$C431*2+MIN($B431,2)+5)</f>
        <v>Market</v>
      </c>
      <c r="P431" s="476" t="str">
        <f>INDEX(Input!$1:$1048576,P$93,$C431*2+MIN($B431,2)+5)</f>
        <v>N</v>
      </c>
      <c r="Q431" s="477">
        <f>INDEX(Input!$1:$1048576,Q$93,$C431*2+MIN($B431,2)+5)
+INDEX(Scenarios!Q$121:Q$200,MATCH($B431,Scenarios!$B$121:$B$200,0))</f>
        <v>250</v>
      </c>
      <c r="R431" s="478">
        <f>IFERROR(MAX(0,INDEX(Input!$1:$1048576,R$93,$C431*2+MIN($B431,2)+5)
+INDEX(Scenarios!R$121:R$200,MATCH($B431,Scenarios!$B$121:$B$200,0)),),"Market")</f>
        <v>0</v>
      </c>
      <c r="S431" s="478">
        <f>IFERROR(MAX(0,INDEX(Input!$1:$1048576,S$93,$C431*2+MIN($B431,2)+5)
+INDEX(Scenarios!S$121:S$200,MATCH($B431,Scenarios!$B$121:$B$200,0)),),"Market")</f>
        <v>0</v>
      </c>
      <c r="T431" s="478">
        <f>IFERROR(MAX(0,INDEX(Input!$1:$1048576,T$93,$C431*2+MIN($B431,2)+5)
+INDEX(Scenarios!T$121:T$200,MATCH($B431,Scenarios!$B$121:$B$200,0)),),"Market")</f>
        <v>0</v>
      </c>
      <c r="U431" s="478">
        <f>IFERROR(MAX(0,INDEX(Input!$1:$1048576,U$93,$C431*2+MIN($B431,2)+5)
+INDEX(Scenarios!U$121:U$200,MATCH($B431,Scenarios!$B$121:$B$200,0)),),"Market")</f>
        <v>0</v>
      </c>
      <c r="V431" s="478">
        <f>IFERROR(MAX(0,INDEX(Input!$1:$1048576,V$93,$C431*2+MIN($B431,2)+5)
+INDEX(Scenarios!V$121:V$200,MATCH($B431,Scenarios!$B$121:$B$200,0)),),"Market")</f>
        <v>1.9E-2</v>
      </c>
      <c r="W431" s="885">
        <f>IFERROR(MAX(0,INDEX(Input!$1:$1048576,W$93,$C431*2+MIN($B431,2)+5)-0%,),"Market")</f>
        <v>3.9E-2</v>
      </c>
      <c r="X431" s="476" t="str">
        <f>INDEX(Input!$1:$1048576,X$93,$C431*2+MIN($B431,2)+5)</f>
        <v>Y</v>
      </c>
      <c r="Y431" s="475">
        <f>INDEX(Input!$1:$1048576,Y$93,$C431*2+MIN($B431,2)+5)
++INDEX(Scenarios!Y$121:Y$200,MATCH($B431,Scenarios!$B$121:$B$200,0))</f>
        <v>-870</v>
      </c>
      <c r="Z431" s="477">
        <f>INDEX(Input!$1:$1048576,Z$93,$C431*2+MIN($B431,2)+5)
+INDEX(Scenarios!Z$121:Z$200,MATCH($B431,Scenarios!$B$121:$B$200,0))</f>
        <v>0</v>
      </c>
      <c r="AA431" s="475">
        <f>INDEX(Input!$1:$1048576,AA$93,$C431*2+MIN($B431,2)+5)
+INDEX(Scenarios!AA$121:AA$200,MATCH($B431,Scenarios!$B$121:$B$200,0))</f>
        <v>0</v>
      </c>
      <c r="AB431" s="476">
        <f>INDEX(Input!$1:$1048576,AB$93,$C431*2+MIN($B431,2)+5)</f>
        <v>0.27</v>
      </c>
      <c r="AC431" s="475">
        <f>INDEX(Input!$1:$1048576,AC$93,$C431*2+MIN($B431,2)+5)
+INDEX(Scenarios!AC$121:AC$200,MATCH($B431,Scenarios!$B$121:$B$200,0))</f>
        <v>0</v>
      </c>
      <c r="AD431" s="476">
        <f>INDEX(Input!$1:$1048576,AD$93,$C431*2+MIN($B431,2)+5)</f>
        <v>0.27</v>
      </c>
      <c r="AE431" s="475">
        <f>INDEX(Input!$1:$1048576,AE$93,$C431*2+MIN($B431,2)+5)
+INDEX(Scenarios!AE$121:AE$200,MATCH($B431,Scenarios!$B$121:$B$200,0))</f>
        <v>0</v>
      </c>
      <c r="AF431" s="476">
        <f>INDEX(Input!$1:$1048576,AF$93,$C431*2+MIN($B431,2)+5)</f>
        <v>1</v>
      </c>
      <c r="AG431" s="475">
        <f>INDEX(Input!$1:$1048576,AG$93,$C431*2+MIN($B431,2)+5)
+INDEX(Scenarios!AG$121:AG$200,MATCH($B431,Scenarios!$B$121:$B$200,0))</f>
        <v>500</v>
      </c>
      <c r="AH431" s="476">
        <f>INDEX(Input!$1:$1048576,AH$93,$C431*2+MIN($B431,2)+5)</f>
        <v>0.83199999999999996</v>
      </c>
      <c r="AI431" s="475">
        <f>INDEX(Input!$1:$1048576,AI$93,$C431*2+MIN($B431,2)+5)
+INDEX(Scenarios!AI$121:AI$200,MATCH($B431,Scenarios!$B$121:$B$200,0))</f>
        <v>0</v>
      </c>
      <c r="AJ431" s="476">
        <f>INDEX(Input!$1:$1048576,AJ$93,$C431*2+MIN($B431,2)+5)</f>
        <v>0.27</v>
      </c>
      <c r="AK431" s="150">
        <f>ROUND(INDEX(Input!$1:$1048576,AK$93,$C430*2+MIN($B431,1)+5)+(Y431-VLOOKUP($C431*1000+1,$A:$HH,Y$92,FALSE)),0)</f>
        <v>2587</v>
      </c>
      <c r="AL431" s="150">
        <f>ROUND(INDEX(Input!$1:$1048576,AL$93,$C430*2+MIN($B431,1)+5)-(Y431-VLOOKUP($C431*1000+1,$A:$HH,Y$92,FALSE))/36,0)</f>
        <v>3406</v>
      </c>
      <c r="AM431" s="32" t="str">
        <f t="shared" si="1139"/>
        <v>std/std/std/std</v>
      </c>
      <c r="AN431" s="32" t="str">
        <f t="shared" si="1140"/>
        <v>$250 + 0/0/0/1.9/3.9</v>
      </c>
      <c r="AO431" s="32" t="str">
        <f t="shared" si="1141"/>
        <v>0/0/0/1.9/3.9</v>
      </c>
      <c r="AP431" s="32" t="str">
        <f t="shared" si="1213"/>
        <v>0/0.9/1.9/3.9</v>
      </c>
      <c r="AQ431" s="536">
        <f t="shared" si="1207"/>
        <v>0.42839199768776481</v>
      </c>
      <c r="AR431" s="32"/>
      <c r="AS431" s="302"/>
      <c r="AT431" s="3">
        <f t="shared" si="1162"/>
        <v>31</v>
      </c>
      <c r="AU431" s="41" t="s">
        <v>121</v>
      </c>
      <c r="AV431" s="41" t="s">
        <v>116</v>
      </c>
      <c r="AW431" s="41" t="str">
        <f>INDEX(Input!$1:$1048576,AW$93,$C431*2+6)</f>
        <v>Kia</v>
      </c>
      <c r="AX431" s="41" t="str">
        <f>INDEX(Input!$1:$1048576,AX$93,$C431*2+6)</f>
        <v>Kia-LR - R1</v>
      </c>
      <c r="AY431" s="41" t="str">
        <f>IF(LEN(D431)=0,"",INDEX(Input!$1:$1048576,AY$93,$C431*2+6))</f>
        <v>Compact SUV (52)</v>
      </c>
      <c r="AZ431" s="41" t="str">
        <f>INDEX(Input!$1:$1048576,AZ$93,$C431*2+6)</f>
        <v>Kia Soul</v>
      </c>
      <c r="BA431" s="3">
        <f>INDEX(Input!$1:$1048576,BA$93,$C431*2+6)</f>
        <v>2020</v>
      </c>
      <c r="BB431" s="128">
        <f>INDEX(Input!$1:$1048576,BB$93,$C431*2+6)</f>
        <v>1</v>
      </c>
      <c r="BC431" s="128">
        <f>INDEX(Input!$1:$1048576,BC$93,$C431*2+6)</f>
        <v>0.7</v>
      </c>
      <c r="BD431" s="1">
        <f>INDEX(Input!$1:$1048576,BD$93,$C431*2+6)</f>
        <v>4.4999999999999998E-2</v>
      </c>
      <c r="BE431" s="1">
        <f>INDEX(Input!$1:$1048576,BE$93,$C431*2+6)</f>
        <v>4.4999999999999998E-2</v>
      </c>
      <c r="BF431" s="1">
        <f>INDEX(Input!$1:$1048576,BF$93,$C431*2+6)</f>
        <v>0.05</v>
      </c>
      <c r="BG431" s="1">
        <f>INDEX(Input!$1:$1048576,BG$93,$C431*2+6)</f>
        <v>5.45E-2</v>
      </c>
      <c r="BH431" s="1">
        <f>INDEX(Input!$1:$1048576,BH$93,$C431*2+6)</f>
        <v>5.45E-2</v>
      </c>
      <c r="BI431" s="1">
        <f>INDEX(Input!$1:$1048576,BI$93,$C431*2+6)</f>
        <v>0.05</v>
      </c>
      <c r="BJ431" s="1">
        <f>INDEX(Input!$1:$1048576,BJ$93,$C431*2+6)</f>
        <v>0.05</v>
      </c>
      <c r="BK431" s="1">
        <f>INDEX(Input!$1:$1048576,BK$93,$C431*2+6)</f>
        <v>0.05</v>
      </c>
      <c r="BL431" s="1">
        <f>INDEX(Input!$1:$1048576,BL$93,$C431*2+6)</f>
        <v>5.5E-2</v>
      </c>
      <c r="BM431" s="1">
        <f>INDEX(Input!$1:$1048576,BM$93,$C431*2+6)</f>
        <v>0.06</v>
      </c>
      <c r="BN431" s="1">
        <f>INDEX(Input!$1:$1048576,BN$93,$C431*2+6)</f>
        <v>4.4999999999999998E-2</v>
      </c>
      <c r="BO431" s="1">
        <f>INDEX(Input!$1:$1048576,BO$93,$C431*2+6)</f>
        <v>4.4999999999999998E-2</v>
      </c>
      <c r="BP431" s="1">
        <f>INDEX(Input!$1:$1048576,BP$93,$C431*2+6)</f>
        <v>0.05</v>
      </c>
      <c r="BQ431" s="1">
        <f>INDEX(Input!$1:$1048576,BQ$93,$C431*2+6)</f>
        <v>5.45E-2</v>
      </c>
      <c r="BR431" s="1">
        <f>INDEX(Input!$1:$1048576,BR$93,$C431*2+6)</f>
        <v>5.45E-2</v>
      </c>
      <c r="BS431" s="1">
        <f>INDEX(Input!$1:$1048576,BS$93,$C431*2+6)</f>
        <v>0.05</v>
      </c>
      <c r="BT431" s="1">
        <f>INDEX(Input!$1:$1048576,BT$93,$C431*2+6)</f>
        <v>0.05</v>
      </c>
      <c r="BU431" s="1">
        <f>INDEX(Input!$1:$1048576,BU$93,$C431*2+6)</f>
        <v>0.05</v>
      </c>
      <c r="BV431" s="1">
        <f>INDEX(Input!$1:$1048576,BV$93,$C431*2+6)</f>
        <v>5.5E-2</v>
      </c>
      <c r="BW431" s="1">
        <f>INDEX(Input!$1:$1048576,BW$93,$C431*2+6)</f>
        <v>0.06</v>
      </c>
      <c r="BX431" s="127">
        <f>INDEX(Input!$1:$1048576,BX$93,$C431*2+6)</f>
        <v>19985</v>
      </c>
      <c r="BY431" s="20">
        <f>INDEX(Input!$1:$1048576,BY$93,$C431*2+6)</f>
        <v>0.1</v>
      </c>
      <c r="BZ431" s="20">
        <f>INDEX(Input!$1:$1048576,BZ$93,$C431*2+6)</f>
        <v>0.1</v>
      </c>
      <c r="CA431" s="20">
        <f>INDEX(Input!$1:$1048576,CA$93,$C431*2+6)</f>
        <v>0.1</v>
      </c>
      <c r="CB431" s="20">
        <f>INDEX(Input!$1:$1048576,CB$93,$C431*2+6)</f>
        <v>0.1</v>
      </c>
      <c r="CC431" s="20">
        <f>INDEX(Input!$1:$1048576,CC$93,$C431*2+6)</f>
        <v>0.1</v>
      </c>
      <c r="CD431" s="384">
        <f>INDEX(Input!$1:$1048576,CD$93,$C431*2+6)</f>
        <v>0.1</v>
      </c>
      <c r="CE431" s="384">
        <f>INDEX(Input!$1:$1048576,CE$93,$C431*2+6)</f>
        <v>0.1</v>
      </c>
      <c r="CF431" s="384">
        <f>INDEX(Input!$1:$1048576,CF$93,$C431*2+6)</f>
        <v>0.1</v>
      </c>
      <c r="CG431" s="384">
        <f>INDEX(Input!$1:$1048576,CG$93,$C431*2+6)</f>
        <v>0.1</v>
      </c>
      <c r="CH431" s="384">
        <f>INDEX(Input!$1:$1048576,CH$93,$C431*2+6)</f>
        <v>0.1</v>
      </c>
      <c r="CI431" s="304">
        <f t="shared" si="1214"/>
        <v>1506.832975525977</v>
      </c>
      <c r="CJ431" s="16" t="str">
        <f>INDEX(Input!$1:$1048576,CJ$93,$C431*2+6)</f>
        <v>N</v>
      </c>
      <c r="CK431" s="1" t="str">
        <f t="shared" si="1215"/>
        <v>Market</v>
      </c>
      <c r="CL431" s="1" t="str">
        <f t="shared" si="1216"/>
        <v>Market</v>
      </c>
      <c r="CM431" s="1" t="str">
        <f t="shared" si="1217"/>
        <v>Market</v>
      </c>
      <c r="CN431" s="1" t="str">
        <f t="shared" si="1218"/>
        <v>Market</v>
      </c>
      <c r="CO431" s="1" t="str">
        <f t="shared" si="1219"/>
        <v>Market</v>
      </c>
      <c r="CP431" s="304">
        <f t="shared" si="1220"/>
        <v>666</v>
      </c>
      <c r="CQ431" s="1">
        <f t="shared" si="1221"/>
        <v>0</v>
      </c>
      <c r="CR431" s="1">
        <f t="shared" si="1222"/>
        <v>0</v>
      </c>
      <c r="CS431" s="1">
        <f t="shared" si="1223"/>
        <v>0</v>
      </c>
      <c r="CT431" s="1">
        <f t="shared" si="1224"/>
        <v>1.9E-2</v>
      </c>
      <c r="CU431" s="1">
        <f t="shared" si="1225"/>
        <v>3.9E-2</v>
      </c>
      <c r="CV431" s="304">
        <f t="shared" si="1226"/>
        <v>-870</v>
      </c>
      <c r="CW431" s="20" t="s">
        <v>122</v>
      </c>
      <c r="CX431" s="20" t="s">
        <v>122</v>
      </c>
      <c r="CY431" s="20" t="s">
        <v>122</v>
      </c>
      <c r="CZ431" s="20" t="s">
        <v>122</v>
      </c>
      <c r="DA431" s="20" t="s">
        <v>122</v>
      </c>
      <c r="DB431" s="503">
        <f t="shared" si="1227"/>
        <v>0</v>
      </c>
      <c r="DC431" s="127">
        <v>0</v>
      </c>
      <c r="DD431" s="127">
        <v>0</v>
      </c>
      <c r="DE431" s="127">
        <v>0</v>
      </c>
      <c r="DF431" s="127">
        <v>0</v>
      </c>
      <c r="DG431" s="127">
        <v>0</v>
      </c>
      <c r="DH431" s="127">
        <v>0</v>
      </c>
      <c r="DI431" s="127">
        <v>0</v>
      </c>
      <c r="DJ431" s="127">
        <v>0</v>
      </c>
      <c r="DK431" s="127">
        <v>0</v>
      </c>
      <c r="DL431" s="127">
        <v>0</v>
      </c>
      <c r="DM431" s="304">
        <f>INDEX(Input!$1:$1048576,DM$93,$C431*2+6)</f>
        <v>21036.84210526316</v>
      </c>
      <c r="DN431" s="20">
        <v>0</v>
      </c>
      <c r="DO431" s="20">
        <v>0</v>
      </c>
      <c r="DP431" s="20">
        <v>0</v>
      </c>
      <c r="DQ431" s="20">
        <v>0</v>
      </c>
      <c r="DR431" s="20">
        <v>0</v>
      </c>
      <c r="DS431" s="20">
        <f>INDEX(Input!$1:$1048576,DS$93,$C431*2+6)</f>
        <v>0.6</v>
      </c>
      <c r="DT431" s="20">
        <f>INDEX(Input!$1:$1048576,DT$93,$C431*2+6)</f>
        <v>0.55000000000000004</v>
      </c>
      <c r="DU431" s="20">
        <f>INDEX(Input!$1:$1048576,DU$93,$C431*2+6)</f>
        <v>0.52</v>
      </c>
      <c r="DV431" s="20">
        <f>INDEX(Input!$1:$1048576,DV$93,$C431*2+6)</f>
        <v>0.5</v>
      </c>
      <c r="DW431" s="20">
        <f>INDEX(Input!$1:$1048576,DW$93,$C431*2+6)</f>
        <v>0.45</v>
      </c>
      <c r="DX431" s="20"/>
      <c r="DY431" s="7">
        <v>0.10587459583146921</v>
      </c>
      <c r="DZ431" s="7">
        <v>0</v>
      </c>
      <c r="EA431" s="7">
        <v>0.80457414586483367</v>
      </c>
      <c r="EB431" s="7">
        <v>0</v>
      </c>
      <c r="EC431" s="7">
        <v>0</v>
      </c>
      <c r="ED431" s="7">
        <v>0</v>
      </c>
      <c r="EE431" s="7">
        <v>0</v>
      </c>
      <c r="EF431" s="7">
        <v>0</v>
      </c>
      <c r="EG431" s="7">
        <v>0</v>
      </c>
      <c r="EH431" s="7">
        <v>1.2267892787316022E-2</v>
      </c>
      <c r="EI431" s="7">
        <v>3.2048306184900774E-2</v>
      </c>
      <c r="EJ431" s="7">
        <v>0.22500902617875659</v>
      </c>
      <c r="EK431" s="7">
        <v>0.59339749101852923</v>
      </c>
      <c r="EL431" s="7">
        <v>0.13727728383049664</v>
      </c>
      <c r="EM431" s="7">
        <v>4.3480136086896722E-2</v>
      </c>
      <c r="EN431" s="7">
        <v>5.0455735528578904E-2</v>
      </c>
      <c r="EO431" s="7">
        <v>0.71271903069129994</v>
      </c>
      <c r="EP431" s="7">
        <v>0.10249401587937793</v>
      </c>
      <c r="EQ431" s="7">
        <v>8.9994383085952978E-2</v>
      </c>
      <c r="ER431" s="7">
        <v>4.4336834814790185E-2</v>
      </c>
      <c r="ES431" s="7">
        <v>4.6071122216800396E-2</v>
      </c>
      <c r="ET431" s="7">
        <v>8.9551258303697159E-2</v>
      </c>
      <c r="EU431" s="6">
        <v>2020</v>
      </c>
      <c r="EV431" s="6">
        <v>0</v>
      </c>
      <c r="EW431" s="6">
        <v>2020</v>
      </c>
      <c r="EX431" s="6">
        <v>0</v>
      </c>
      <c r="EY431" s="6">
        <v>2733.3899311797709</v>
      </c>
      <c r="EZ431" s="6">
        <v>507</v>
      </c>
      <c r="FA431" s="6">
        <v>0</v>
      </c>
      <c r="FB431" s="6">
        <v>0</v>
      </c>
      <c r="FC431" s="6">
        <v>0</v>
      </c>
      <c r="FD431" s="6">
        <v>0</v>
      </c>
      <c r="FE431" s="6">
        <v>0</v>
      </c>
      <c r="FF431" s="6">
        <v>0</v>
      </c>
      <c r="FG431" s="6">
        <v>0</v>
      </c>
      <c r="FH431" s="6">
        <v>1169.8009379027417</v>
      </c>
      <c r="FI431" s="6">
        <v>1553.9796069512406</v>
      </c>
      <c r="FJ431" s="6">
        <v>2101.2110117447414</v>
      </c>
      <c r="FK431" s="6">
        <v>1772.7139978623245</v>
      </c>
      <c r="FL431" s="6">
        <v>907.07682140966347</v>
      </c>
      <c r="FM431" s="6">
        <v>1713.3899311797709</v>
      </c>
      <c r="FN431" s="6">
        <v>0</v>
      </c>
      <c r="FO431" s="6">
        <v>0</v>
      </c>
      <c r="FP431" s="6">
        <v>0</v>
      </c>
      <c r="FQ431" s="6">
        <v>0</v>
      </c>
      <c r="FR431" s="6">
        <v>0</v>
      </c>
      <c r="FS431" s="6">
        <v>0</v>
      </c>
      <c r="FT431" s="7">
        <v>0.91044874169630285</v>
      </c>
      <c r="FU431" s="7">
        <v>4.3480136086896722E-2</v>
      </c>
      <c r="FV431" s="7">
        <v>4.6071122216800396E-2</v>
      </c>
      <c r="FW431" s="6">
        <v>2020</v>
      </c>
      <c r="FX431" s="6">
        <v>2733.3899311797709</v>
      </c>
      <c r="FY431" s="6">
        <v>507</v>
      </c>
      <c r="FZ431" s="6">
        <v>1949.5716051445115</v>
      </c>
      <c r="GA431" s="6">
        <v>1981.3126833766992</v>
      </c>
      <c r="GB431" s="6">
        <v>18003.687316623302</v>
      </c>
      <c r="GC431" s="7">
        <v>3.3872851927908169E-2</v>
      </c>
      <c r="GD431" s="7">
        <v>3.4522828015794316E-2</v>
      </c>
      <c r="GE431" s="7"/>
      <c r="GF431" s="7"/>
      <c r="GG431" s="7">
        <v>1.9188702777950171E-2</v>
      </c>
      <c r="GH431" s="42">
        <v>12.081701264591972</v>
      </c>
      <c r="GI431" s="6">
        <v>3635.467140793251</v>
      </c>
      <c r="GJ431" s="14">
        <v>0.50394797582841733</v>
      </c>
      <c r="GK431" s="14">
        <v>0.50887573065309766</v>
      </c>
      <c r="GL431" s="14">
        <v>0.49605202417158306</v>
      </c>
      <c r="GM431" s="14">
        <v>0.49112426934690262</v>
      </c>
      <c r="GO431" s="5">
        <v>343.14810671672558</v>
      </c>
      <c r="GP431" s="5">
        <v>304.61036031982871</v>
      </c>
      <c r="GQ431" s="5">
        <v>535.04305713031317</v>
      </c>
      <c r="GR431" s="5">
        <v>410.15490233172511</v>
      </c>
      <c r="GS431" s="5">
        <v>339.42744393800166</v>
      </c>
      <c r="GT431" s="5">
        <v>293.4407446948278</v>
      </c>
      <c r="GU431" s="5">
        <v>258.04012322764959</v>
      </c>
      <c r="GV431" s="39" t="s">
        <v>392</v>
      </c>
      <c r="GW431" s="5">
        <v>471.29166666666669</v>
      </c>
      <c r="GX431" s="5">
        <v>353.46875</v>
      </c>
      <c r="GY431" s="5">
        <v>282.77499999999998</v>
      </c>
      <c r="GZ431" s="5">
        <v>249.51909707886276</v>
      </c>
      <c r="HA431" s="5">
        <v>231.13162741960519</v>
      </c>
      <c r="HB431" s="39">
        <v>260.52988593000589</v>
      </c>
      <c r="HC431" s="5">
        <v>265.10312499999998</v>
      </c>
      <c r="HD431" s="5">
        <v>224.66580774853799</v>
      </c>
      <c r="HE431" s="5">
        <v>226.90661690283397</v>
      </c>
      <c r="HF431" s="5">
        <v>209.18438048245613</v>
      </c>
      <c r="HG431" s="5">
        <v>200.91388157894738</v>
      </c>
      <c r="HH431" s="39">
        <v>224.48944513909072</v>
      </c>
      <c r="HI431" s="16"/>
      <c r="HJ431" s="19" t="str">
        <f t="shared" si="1204"/>
        <v>On</v>
      </c>
      <c r="HK431" s="1" t="str">
        <f t="shared" si="1204"/>
        <v>On</v>
      </c>
      <c r="HL431" s="16"/>
      <c r="HM431" s="639">
        <f t="shared" si="1110"/>
        <v>2.9403358434788716E-2</v>
      </c>
      <c r="HN431" s="639">
        <f t="shared" si="1111"/>
        <v>1.4106809950923669E-3</v>
      </c>
      <c r="HO431" s="639">
        <f t="shared" si="1112"/>
        <v>1.7317923025048877E-3</v>
      </c>
      <c r="HP431" s="644">
        <f>(FT431*$GD431-HM431)/$JF431*INDEX(Input!$1:$1048576,$JG$93,$C431*2+6)</f>
        <v>145.11828089932615</v>
      </c>
      <c r="HQ431" s="644">
        <f>(FU431*$GD431-HN431)/$JF431*INDEX(Input!$1:$1048576,$JG$93,$C431*2+6)</f>
        <v>6.4673818521296953</v>
      </c>
      <c r="HR431" s="644">
        <f>(FV431*$GD431-HO431)/$JF431*INDEX(Input!$1:$1048576,$JG$93,$C431*2+6)</f>
        <v>-10.110576727575749</v>
      </c>
      <c r="HS431" s="644">
        <f t="shared" si="1208"/>
        <v>-69.594779460772145</v>
      </c>
      <c r="HT431" s="644">
        <f t="shared" si="1114"/>
        <v>84.881590952152294</v>
      </c>
      <c r="HU431" s="644">
        <f t="shared" si="1115"/>
        <v>8.5038852395142488</v>
      </c>
      <c r="HV431" s="648">
        <f t="shared" si="1116"/>
        <v>0</v>
      </c>
      <c r="HW431" s="648">
        <f t="shared" si="1117"/>
        <v>0</v>
      </c>
      <c r="HX431" s="648">
        <f t="shared" si="1118"/>
        <v>0</v>
      </c>
      <c r="HY431" s="644">
        <f>INDEX(Input!$1:$1048576,HY$93,$C431*2+6)*INDEX(Input!$1:$1048576,$JG$93,$C431*2+6)</f>
        <v>993</v>
      </c>
      <c r="HZ431" s="644">
        <f>INDEX(Input!$1:$1048576,HZ$93,$C431*2+6)*INDEX(Input!$1:$1048576,$JG$93,$C431*2+6)</f>
        <v>1216</v>
      </c>
      <c r="IA431" s="644">
        <f>INDEX(Input!$1:$1048576,IA$93,$C431*2+6)*INDEX(Input!$1:$1048576,$JG$93,$C431*2+6)</f>
        <v>120</v>
      </c>
      <c r="IB431" s="644">
        <f t="shared" si="1142"/>
        <v>1068.5235014385541</v>
      </c>
      <c r="IC431" s="644">
        <f t="shared" si="1143"/>
        <v>1307.3489728042819</v>
      </c>
      <c r="ID431" s="644">
        <f>IF(AND(INDEX(Input!$1:$1048576,IA$93,$C431*2+7)="TOS",Y431&lt;=INDEX(Y:Y,MATCH(C431*1000+2,A:A))),0,1)*MAX(IA431+HR431+HU431+HX431,0%)</f>
        <v>118.3933085119385</v>
      </c>
      <c r="IE431" s="128">
        <f t="shared" si="1209"/>
        <v>0.42839199768776481</v>
      </c>
      <c r="IF431" s="128">
        <f t="shared" si="1210"/>
        <v>0.52414180631560026</v>
      </c>
      <c r="IG431" s="128">
        <f t="shared" si="1120"/>
        <v>4.7466195996635069E-2</v>
      </c>
      <c r="IH431" s="21"/>
      <c r="II431" s="19">
        <f t="shared" si="1121"/>
        <v>1490</v>
      </c>
      <c r="IJ431" s="19">
        <f t="shared" si="1122"/>
        <v>2203.2561351629856</v>
      </c>
      <c r="IK431" s="19">
        <f t="shared" si="1123"/>
        <v>242</v>
      </c>
      <c r="IL431" s="19">
        <f t="shared" si="1145"/>
        <v>530</v>
      </c>
      <c r="IM431" s="19">
        <f t="shared" si="1124"/>
        <v>530.13379601678525</v>
      </c>
      <c r="IN431" s="19">
        <f t="shared" si="1125"/>
        <v>265</v>
      </c>
      <c r="IO431" s="39">
        <f t="shared" si="1126"/>
        <v>0</v>
      </c>
      <c r="IP431" s="39">
        <f t="shared" si="1127"/>
        <v>0</v>
      </c>
      <c r="IQ431" s="39">
        <f t="shared" si="1128"/>
        <v>0</v>
      </c>
      <c r="IR431" s="39">
        <v>0</v>
      </c>
      <c r="IS431" s="39">
        <v>0</v>
      </c>
      <c r="IT431" s="39">
        <v>0</v>
      </c>
      <c r="IU431" s="39">
        <v>0</v>
      </c>
      <c r="IV431" s="39">
        <v>0</v>
      </c>
      <c r="IW431" s="39">
        <v>0</v>
      </c>
      <c r="IX431" s="39">
        <f>INDEX(Input!$1:$1048576,IX$93,$C431*2+6)+INDEX(Input!$1:$1048576,IX$94,$C431*2+6)</f>
        <v>1770</v>
      </c>
      <c r="IY431" s="39">
        <f>INDEX(Input!$1:$1048576,IY$93,$C431*2+6)+INDEX(Input!$1:$1048576,IY$94,$C431*2+6)</f>
        <v>2630.0624533823611</v>
      </c>
      <c r="IZ431" s="39">
        <f>INDEX(Input!$1:$1048576,IZ$93,$C431*2+6)+INDEX(Input!$1:$1048576,IZ$94,$C431*2+6)</f>
        <v>4153.7164157747848</v>
      </c>
      <c r="JA431" s="19">
        <f t="shared" si="1146"/>
        <v>2300</v>
      </c>
      <c r="JB431" s="19">
        <f t="shared" si="1147"/>
        <v>3160.1962493991464</v>
      </c>
      <c r="JC431" s="19">
        <f t="shared" si="1148"/>
        <v>4418.7164157747848</v>
      </c>
      <c r="JD431" s="19">
        <f t="shared" si="1149"/>
        <v>2851.4322245984276</v>
      </c>
      <c r="JE431" s="21"/>
      <c r="JF431" s="1">
        <f t="shared" si="1129"/>
        <v>3.2545831732385969E-2</v>
      </c>
      <c r="JG431" s="15">
        <f>INDEX(Input!$1:$1048576,JG$93,$C431*2+6)/(1+VLOOKUP(C431*1000+INDEX(Input!$1:$1048576,JG$93+1,$C431*2+6),$A:$KK,$JK$92,FALSE))</f>
        <v>2329</v>
      </c>
      <c r="JH431" s="1">
        <f t="shared" si="1150"/>
        <v>6.074499185224564E-2</v>
      </c>
      <c r="JI431" s="1">
        <f t="shared" si="1151"/>
        <v>1.0214983568438986E-2</v>
      </c>
      <c r="JJ431" s="1">
        <f t="shared" si="1211"/>
        <v>0</v>
      </c>
      <c r="JK431" s="1">
        <f t="shared" si="1212"/>
        <v>7.0959975420684621E-2</v>
      </c>
      <c r="JL431" s="15">
        <f t="shared" si="1154"/>
        <v>165.26578275477448</v>
      </c>
      <c r="JM431" s="15">
        <f t="shared" si="1180"/>
        <v>2494.2657827547746</v>
      </c>
      <c r="JN431" s="21"/>
      <c r="JO431" s="19">
        <f>INDEX(Input!$1:$1048576,JO$93,$C431*2+6)</f>
        <v>5995.5</v>
      </c>
      <c r="JP431" s="19">
        <f>INDEX(Input!$1:$1048576,JP$93,$C431*2+6)</f>
        <v>2341.8685758720158</v>
      </c>
      <c r="JQ431" s="39">
        <f t="shared" si="1166"/>
        <v>3144.0677754015724</v>
      </c>
      <c r="JR431" s="39">
        <f t="shared" si="1183"/>
        <v>509.56364872641188</v>
      </c>
      <c r="JS431" s="39">
        <f t="shared" si="1168"/>
        <v>7.112229829660186</v>
      </c>
      <c r="JT431" s="39">
        <f t="shared" si="1156"/>
        <v>1.6580179164542612</v>
      </c>
      <c r="JU431" s="385">
        <f>(JQ431*JM431-INDEX(Input!$1:$1048576,Input!A$18,$C431*2+6)*JL431*INDEX(Input!$1:$1048576,Input!A$19,$C431*2+6))/1000000</f>
        <v>7.8421406708460655</v>
      </c>
      <c r="JV431" s="39">
        <f t="shared" si="1190"/>
        <v>-0.66716691594800892</v>
      </c>
      <c r="JW431" s="1">
        <f t="shared" si="1181"/>
        <v>-7.8404371817915153E-2</v>
      </c>
      <c r="JX431" s="19">
        <f t="shared" si="1172"/>
        <v>10032.433143855736</v>
      </c>
      <c r="JZ431" s="341"/>
      <c r="KA431" s="342"/>
      <c r="KB431" s="469">
        <f t="shared" si="1169"/>
        <v>2.3434325605641804</v>
      </c>
      <c r="KI431" s="473">
        <f t="shared" si="1196"/>
        <v>75.523501438554376</v>
      </c>
      <c r="KJ431" s="473">
        <f t="shared" si="1197"/>
        <v>91.348972804282084</v>
      </c>
      <c r="KK431" s="473">
        <f t="shared" si="1158"/>
        <v>-1.606691488061486</v>
      </c>
      <c r="KN431" s="544">
        <f t="shared" si="1173"/>
        <v>4002</v>
      </c>
      <c r="KO431" s="541">
        <f t="shared" si="1133"/>
        <v>3.1279927838115951E-2</v>
      </c>
      <c r="KP431" s="546">
        <f t="shared" si="1134"/>
        <v>238.17895464343917</v>
      </c>
      <c r="KQ431" s="546">
        <f t="shared" si="1135"/>
        <v>226.66103656240648</v>
      </c>
      <c r="KR431" s="548">
        <f t="shared" si="1136"/>
        <v>2.2799105206601542</v>
      </c>
      <c r="KS431" s="548">
        <f t="shared" si="1137"/>
        <v>2.3957655569174254</v>
      </c>
      <c r="KT431" s="473">
        <f t="shared" si="1171"/>
        <v>1580.0986321700548</v>
      </c>
      <c r="KU431" s="663">
        <f t="shared" si="1159"/>
        <v>4.0549530836626628</v>
      </c>
      <c r="KV431" s="117"/>
    </row>
    <row r="432" spans="1:308" s="26" customFormat="1" ht="15">
      <c r="A432" s="561">
        <f t="shared" si="1138"/>
        <v>4032</v>
      </c>
      <c r="B432" s="561">
        <f t="shared" si="1160"/>
        <v>32</v>
      </c>
      <c r="C432" s="561">
        <f t="shared" si="1161"/>
        <v>4</v>
      </c>
      <c r="D432" s="561" t="str">
        <f t="shared" si="1206"/>
        <v xml:space="preserve">500 CC, 500 Combo, </v>
      </c>
      <c r="E432" s="475">
        <f>INDEX(Input!$1:$1048576,E$93,$C432*2+MIN($B432,2)+5)
+INDEX(Scenarios!E$121:E$200,MATCH($B432,Scenarios!$B$121:$B$200,0))</f>
        <v>1756.832975525977</v>
      </c>
      <c r="F432" s="475">
        <f>INDEX(Input!$1:$1048576,F$93,$C432*2+MIN($B432,2)+5)
+INDEX(Scenarios!F$121:F$200,MATCH($B432,Scenarios!$B$121:$B$200,0))</f>
        <v>0</v>
      </c>
      <c r="G432" s="475">
        <f>INDEX(Input!$1:$1048576,G$93,$C432*2+MIN($B432,2)+5)
+INDEX(Scenarios!G$121:G$200,MATCH($B432,Scenarios!$B$121:$B$200,0))</f>
        <v>0</v>
      </c>
      <c r="H432" s="475">
        <f>INDEX(Input!$1:$1048576,H$93,$C432*2+MIN($B432,2)+5)
+INDEX(Scenarios!H$121:H$200,MATCH($B432,Scenarios!$B$121:$B$200,0))</f>
        <v>0</v>
      </c>
      <c r="I432" s="476">
        <f>INDEX(Input!$1:$1048576,I$93,$C432*2+MIN($B432,2)+5)</f>
        <v>0.7</v>
      </c>
      <c r="J432" s="476" t="str">
        <f>INDEX(Input!$1:$1048576,J$93,$C432*2+MIN($B432,2)+5)</f>
        <v>Market</v>
      </c>
      <c r="K432" s="476" t="str">
        <f>INDEX(Input!$1:$1048576,K$93,$C432*2+MIN($B432,2)+5)</f>
        <v>Market</v>
      </c>
      <c r="L432" s="476" t="str">
        <f>INDEX(Input!$1:$1048576,L$93,$C432*2+MIN($B432,2)+5)</f>
        <v>Market</v>
      </c>
      <c r="M432" s="476" t="str">
        <f>INDEX(Input!$1:$1048576,M$93,$C432*2+MIN($B432,2)+5)</f>
        <v>Market</v>
      </c>
      <c r="N432" s="476" t="str">
        <f>INDEX(Input!$1:$1048576,N$93,$C432*2+MIN($B432,2)+5)</f>
        <v>Market</v>
      </c>
      <c r="O432" s="476" t="str">
        <f>INDEX(Input!$1:$1048576,O$93,$C432*2+MIN($B432,2)+5)</f>
        <v>Market</v>
      </c>
      <c r="P432" s="476" t="str">
        <f>INDEX(Input!$1:$1048576,P$93,$C432*2+MIN($B432,2)+5)</f>
        <v>N</v>
      </c>
      <c r="Q432" s="477">
        <f>INDEX(Input!$1:$1048576,Q$93,$C432*2+MIN($B432,2)+5)
+INDEX(Scenarios!Q$121:Q$200,MATCH($B432,Scenarios!$B$121:$B$200,0))</f>
        <v>500</v>
      </c>
      <c r="R432" s="478">
        <f>IFERROR(MAX(0,INDEX(Input!$1:$1048576,R$93,$C432*2+MIN($B432,2)+5)
+INDEX(Scenarios!R$121:R$200,MATCH($B432,Scenarios!$B$121:$B$200,0)),),"Market")</f>
        <v>0</v>
      </c>
      <c r="S432" s="478">
        <f>IFERROR(MAX(0,INDEX(Input!$1:$1048576,S$93,$C432*2+MIN($B432,2)+5)
+INDEX(Scenarios!S$121:S$200,MATCH($B432,Scenarios!$B$121:$B$200,0)),),"Market")</f>
        <v>0</v>
      </c>
      <c r="T432" s="478">
        <f>IFERROR(MAX(0,INDEX(Input!$1:$1048576,T$93,$C432*2+MIN($B432,2)+5)
+INDEX(Scenarios!T$121:T$200,MATCH($B432,Scenarios!$B$121:$B$200,0)),),"Market")</f>
        <v>0</v>
      </c>
      <c r="U432" s="478">
        <f>IFERROR(MAX(0,INDEX(Input!$1:$1048576,U$93,$C432*2+MIN($B432,2)+5)
+INDEX(Scenarios!U$121:U$200,MATCH($B432,Scenarios!$B$121:$B$200,0)),),"Market")</f>
        <v>0</v>
      </c>
      <c r="V432" s="478">
        <f>IFERROR(MAX(0,INDEX(Input!$1:$1048576,V$93,$C432*2+MIN($B432,2)+5)
+INDEX(Scenarios!V$121:V$200,MATCH($B432,Scenarios!$B$121:$B$200,0)),),"Market")</f>
        <v>1.9E-2</v>
      </c>
      <c r="W432" s="885">
        <f>IFERROR(MAX(0,INDEX(Input!$1:$1048576,W$93,$C432*2+MIN($B432,2)+5)-0%,),"Market")</f>
        <v>3.9E-2</v>
      </c>
      <c r="X432" s="476" t="str">
        <f>INDEX(Input!$1:$1048576,X$93,$C432*2+MIN($B432,2)+5)</f>
        <v>Y</v>
      </c>
      <c r="Y432" s="475">
        <f>INDEX(Input!$1:$1048576,Y$93,$C432*2+MIN($B432,2)+5)
++INDEX(Scenarios!Y$121:Y$200,MATCH($B432,Scenarios!$B$121:$B$200,0))</f>
        <v>-870</v>
      </c>
      <c r="Z432" s="477">
        <f>INDEX(Input!$1:$1048576,Z$93,$C432*2+MIN($B432,2)+5)
+INDEX(Scenarios!Z$121:Z$200,MATCH($B432,Scenarios!$B$121:$B$200,0))</f>
        <v>0</v>
      </c>
      <c r="AA432" s="475">
        <f>INDEX(Input!$1:$1048576,AA$93,$C432*2+MIN($B432,2)+5)
+INDEX(Scenarios!AA$121:AA$200,MATCH($B432,Scenarios!$B$121:$B$200,0))</f>
        <v>0</v>
      </c>
      <c r="AB432" s="476">
        <f>INDEX(Input!$1:$1048576,AB$93,$C432*2+MIN($B432,2)+5)</f>
        <v>0.27</v>
      </c>
      <c r="AC432" s="475">
        <f>INDEX(Input!$1:$1048576,AC$93,$C432*2+MIN($B432,2)+5)
+INDEX(Scenarios!AC$121:AC$200,MATCH($B432,Scenarios!$B$121:$B$200,0))</f>
        <v>0</v>
      </c>
      <c r="AD432" s="476">
        <f>INDEX(Input!$1:$1048576,AD$93,$C432*2+MIN($B432,2)+5)</f>
        <v>0.27</v>
      </c>
      <c r="AE432" s="475">
        <f>INDEX(Input!$1:$1048576,AE$93,$C432*2+MIN($B432,2)+5)
+INDEX(Scenarios!AE$121:AE$200,MATCH($B432,Scenarios!$B$121:$B$200,0))</f>
        <v>0</v>
      </c>
      <c r="AF432" s="476">
        <f>INDEX(Input!$1:$1048576,AF$93,$C432*2+MIN($B432,2)+5)</f>
        <v>1</v>
      </c>
      <c r="AG432" s="475">
        <f>INDEX(Input!$1:$1048576,AG$93,$C432*2+MIN($B432,2)+5)
+INDEX(Scenarios!AG$121:AG$200,MATCH($B432,Scenarios!$B$121:$B$200,0))</f>
        <v>500</v>
      </c>
      <c r="AH432" s="476">
        <f>INDEX(Input!$1:$1048576,AH$93,$C432*2+MIN($B432,2)+5)</f>
        <v>0.83199999999999996</v>
      </c>
      <c r="AI432" s="475">
        <f>INDEX(Input!$1:$1048576,AI$93,$C432*2+MIN($B432,2)+5)
+INDEX(Scenarios!AI$121:AI$200,MATCH($B432,Scenarios!$B$121:$B$200,0))</f>
        <v>0</v>
      </c>
      <c r="AJ432" s="476">
        <f>INDEX(Input!$1:$1048576,AJ$93,$C432*2+MIN($B432,2)+5)</f>
        <v>0.27</v>
      </c>
      <c r="AK432" s="150">
        <f>ROUND(INDEX(Input!$1:$1048576,AK$93,$C431*2+MIN($B432,1)+5)+(Y432-VLOOKUP($C432*1000+1,$A:$HH,Y$92,FALSE)),0)</f>
        <v>2587</v>
      </c>
      <c r="AL432" s="150">
        <f>ROUND(INDEX(Input!$1:$1048576,AL$93,$C431*2+MIN($B432,1)+5)-(Y432-VLOOKUP($C432*1000+1,$A:$HH,Y$92,FALSE))/36,0)</f>
        <v>3406</v>
      </c>
      <c r="AM432" s="32" t="str">
        <f t="shared" si="1139"/>
        <v>std/std/std/std</v>
      </c>
      <c r="AN432" s="32" t="str">
        <f t="shared" si="1140"/>
        <v>$500 + 0/0/0/1.9/3.9</v>
      </c>
      <c r="AO432" s="32" t="str">
        <f t="shared" si="1141"/>
        <v>0/0/0/1.9/3.9</v>
      </c>
      <c r="AP432" s="32" t="str">
        <f t="shared" si="1213"/>
        <v>0/0.9/1.9/3.9</v>
      </c>
      <c r="AQ432" s="536">
        <f t="shared" si="1207"/>
        <v>0.43211154593619505</v>
      </c>
      <c r="AR432" s="32"/>
      <c r="AS432" s="302"/>
      <c r="AT432" s="3">
        <f t="shared" si="1162"/>
        <v>32</v>
      </c>
      <c r="AU432" s="41" t="s">
        <v>121</v>
      </c>
      <c r="AV432" s="41" t="s">
        <v>116</v>
      </c>
      <c r="AW432" s="41" t="str">
        <f>INDEX(Input!$1:$1048576,AW$93,$C432*2+6)</f>
        <v>Kia</v>
      </c>
      <c r="AX432" s="41" t="str">
        <f>INDEX(Input!$1:$1048576,AX$93,$C432*2+6)</f>
        <v>Kia-LR - R1</v>
      </c>
      <c r="AY432" s="41" t="str">
        <f>IF(LEN(D432)=0,"",INDEX(Input!$1:$1048576,AY$93,$C432*2+6))</f>
        <v>Compact SUV (52)</v>
      </c>
      <c r="AZ432" s="41" t="str">
        <f>INDEX(Input!$1:$1048576,AZ$93,$C432*2+6)</f>
        <v>Kia Soul</v>
      </c>
      <c r="BA432" s="3">
        <f>INDEX(Input!$1:$1048576,BA$93,$C432*2+6)</f>
        <v>2020</v>
      </c>
      <c r="BB432" s="128">
        <f>INDEX(Input!$1:$1048576,BB$93,$C432*2+6)</f>
        <v>1</v>
      </c>
      <c r="BC432" s="128">
        <f>INDEX(Input!$1:$1048576,BC$93,$C432*2+6)</f>
        <v>0.7</v>
      </c>
      <c r="BD432" s="1">
        <f>INDEX(Input!$1:$1048576,BD$93,$C432*2+6)</f>
        <v>4.4999999999999998E-2</v>
      </c>
      <c r="BE432" s="1">
        <f>INDEX(Input!$1:$1048576,BE$93,$C432*2+6)</f>
        <v>4.4999999999999998E-2</v>
      </c>
      <c r="BF432" s="1">
        <f>INDEX(Input!$1:$1048576,BF$93,$C432*2+6)</f>
        <v>0.05</v>
      </c>
      <c r="BG432" s="1">
        <f>INDEX(Input!$1:$1048576,BG$93,$C432*2+6)</f>
        <v>5.45E-2</v>
      </c>
      <c r="BH432" s="1">
        <f>INDEX(Input!$1:$1048576,BH$93,$C432*2+6)</f>
        <v>5.45E-2</v>
      </c>
      <c r="BI432" s="1">
        <f>INDEX(Input!$1:$1048576,BI$93,$C432*2+6)</f>
        <v>0.05</v>
      </c>
      <c r="BJ432" s="1">
        <f>INDEX(Input!$1:$1048576,BJ$93,$C432*2+6)</f>
        <v>0.05</v>
      </c>
      <c r="BK432" s="1">
        <f>INDEX(Input!$1:$1048576,BK$93,$C432*2+6)</f>
        <v>0.05</v>
      </c>
      <c r="BL432" s="1">
        <f>INDEX(Input!$1:$1048576,BL$93,$C432*2+6)</f>
        <v>5.5E-2</v>
      </c>
      <c r="BM432" s="1">
        <f>INDEX(Input!$1:$1048576,BM$93,$C432*2+6)</f>
        <v>0.06</v>
      </c>
      <c r="BN432" s="1">
        <f>INDEX(Input!$1:$1048576,BN$93,$C432*2+6)</f>
        <v>4.4999999999999998E-2</v>
      </c>
      <c r="BO432" s="1">
        <f>INDEX(Input!$1:$1048576,BO$93,$C432*2+6)</f>
        <v>4.4999999999999998E-2</v>
      </c>
      <c r="BP432" s="1">
        <f>INDEX(Input!$1:$1048576,BP$93,$C432*2+6)</f>
        <v>0.05</v>
      </c>
      <c r="BQ432" s="1">
        <f>INDEX(Input!$1:$1048576,BQ$93,$C432*2+6)</f>
        <v>5.45E-2</v>
      </c>
      <c r="BR432" s="1">
        <f>INDEX(Input!$1:$1048576,BR$93,$C432*2+6)</f>
        <v>5.45E-2</v>
      </c>
      <c r="BS432" s="1">
        <f>INDEX(Input!$1:$1048576,BS$93,$C432*2+6)</f>
        <v>0.05</v>
      </c>
      <c r="BT432" s="1">
        <f>INDEX(Input!$1:$1048576,BT$93,$C432*2+6)</f>
        <v>0.05</v>
      </c>
      <c r="BU432" s="1">
        <f>INDEX(Input!$1:$1048576,BU$93,$C432*2+6)</f>
        <v>0.05</v>
      </c>
      <c r="BV432" s="1">
        <f>INDEX(Input!$1:$1048576,BV$93,$C432*2+6)</f>
        <v>5.5E-2</v>
      </c>
      <c r="BW432" s="1">
        <f>INDEX(Input!$1:$1048576,BW$93,$C432*2+6)</f>
        <v>0.06</v>
      </c>
      <c r="BX432" s="127">
        <f>INDEX(Input!$1:$1048576,BX$93,$C432*2+6)</f>
        <v>19985</v>
      </c>
      <c r="BY432" s="20">
        <f>INDEX(Input!$1:$1048576,BY$93,$C432*2+6)</f>
        <v>0.1</v>
      </c>
      <c r="BZ432" s="20">
        <f>INDEX(Input!$1:$1048576,BZ$93,$C432*2+6)</f>
        <v>0.1</v>
      </c>
      <c r="CA432" s="20">
        <f>INDEX(Input!$1:$1048576,CA$93,$C432*2+6)</f>
        <v>0.1</v>
      </c>
      <c r="CB432" s="20">
        <f>INDEX(Input!$1:$1048576,CB$93,$C432*2+6)</f>
        <v>0.1</v>
      </c>
      <c r="CC432" s="20">
        <f>INDEX(Input!$1:$1048576,CC$93,$C432*2+6)</f>
        <v>0.1</v>
      </c>
      <c r="CD432" s="384">
        <f>INDEX(Input!$1:$1048576,CD$93,$C432*2+6)</f>
        <v>0.1</v>
      </c>
      <c r="CE432" s="384">
        <f>INDEX(Input!$1:$1048576,CE$93,$C432*2+6)</f>
        <v>0.1</v>
      </c>
      <c r="CF432" s="384">
        <f>INDEX(Input!$1:$1048576,CF$93,$C432*2+6)</f>
        <v>0.1</v>
      </c>
      <c r="CG432" s="384">
        <f>INDEX(Input!$1:$1048576,CG$93,$C432*2+6)</f>
        <v>0.1</v>
      </c>
      <c r="CH432" s="384">
        <f>INDEX(Input!$1:$1048576,CH$93,$C432*2+6)</f>
        <v>0.1</v>
      </c>
      <c r="CI432" s="304">
        <f t="shared" si="1214"/>
        <v>1756.832975525977</v>
      </c>
      <c r="CJ432" s="16" t="str">
        <f>INDEX(Input!$1:$1048576,CJ$93,$C432*2+6)</f>
        <v>N</v>
      </c>
      <c r="CK432" s="1" t="str">
        <f t="shared" si="1215"/>
        <v>Market</v>
      </c>
      <c r="CL432" s="1" t="str">
        <f t="shared" si="1216"/>
        <v>Market</v>
      </c>
      <c r="CM432" s="1" t="str">
        <f t="shared" si="1217"/>
        <v>Market</v>
      </c>
      <c r="CN432" s="1" t="str">
        <f t="shared" si="1218"/>
        <v>Market</v>
      </c>
      <c r="CO432" s="1" t="str">
        <f t="shared" si="1219"/>
        <v>Market</v>
      </c>
      <c r="CP432" s="304">
        <f t="shared" si="1220"/>
        <v>916</v>
      </c>
      <c r="CQ432" s="1">
        <f t="shared" si="1221"/>
        <v>0</v>
      </c>
      <c r="CR432" s="1">
        <f t="shared" si="1222"/>
        <v>0</v>
      </c>
      <c r="CS432" s="1">
        <f t="shared" si="1223"/>
        <v>0</v>
      </c>
      <c r="CT432" s="1">
        <f t="shared" si="1224"/>
        <v>1.9E-2</v>
      </c>
      <c r="CU432" s="1">
        <f t="shared" si="1225"/>
        <v>3.9E-2</v>
      </c>
      <c r="CV432" s="304">
        <f t="shared" si="1226"/>
        <v>-870</v>
      </c>
      <c r="CW432" s="20" t="s">
        <v>122</v>
      </c>
      <c r="CX432" s="20" t="s">
        <v>122</v>
      </c>
      <c r="CY432" s="20" t="s">
        <v>122</v>
      </c>
      <c r="CZ432" s="20" t="s">
        <v>122</v>
      </c>
      <c r="DA432" s="20" t="s">
        <v>122</v>
      </c>
      <c r="DB432" s="503">
        <f t="shared" si="1227"/>
        <v>0</v>
      </c>
      <c r="DC432" s="127">
        <v>0</v>
      </c>
      <c r="DD432" s="127">
        <v>0</v>
      </c>
      <c r="DE432" s="127">
        <v>0</v>
      </c>
      <c r="DF432" s="127">
        <v>0</v>
      </c>
      <c r="DG432" s="127">
        <v>0</v>
      </c>
      <c r="DH432" s="127">
        <v>0</v>
      </c>
      <c r="DI432" s="127">
        <v>0</v>
      </c>
      <c r="DJ432" s="127">
        <v>0</v>
      </c>
      <c r="DK432" s="127">
        <v>0</v>
      </c>
      <c r="DL432" s="127">
        <v>0</v>
      </c>
      <c r="DM432" s="304">
        <f>INDEX(Input!$1:$1048576,DM$93,$C432*2+6)</f>
        <v>21036.84210526316</v>
      </c>
      <c r="DN432" s="20">
        <v>0</v>
      </c>
      <c r="DO432" s="20">
        <v>0</v>
      </c>
      <c r="DP432" s="20">
        <v>0</v>
      </c>
      <c r="DQ432" s="20">
        <v>0</v>
      </c>
      <c r="DR432" s="20">
        <v>0</v>
      </c>
      <c r="DS432" s="20">
        <f>INDEX(Input!$1:$1048576,DS$93,$C432*2+6)</f>
        <v>0.6</v>
      </c>
      <c r="DT432" s="20">
        <f>INDEX(Input!$1:$1048576,DT$93,$C432*2+6)</f>
        <v>0.55000000000000004</v>
      </c>
      <c r="DU432" s="20">
        <f>INDEX(Input!$1:$1048576,DU$93,$C432*2+6)</f>
        <v>0.52</v>
      </c>
      <c r="DV432" s="20">
        <f>INDEX(Input!$1:$1048576,DV$93,$C432*2+6)</f>
        <v>0.5</v>
      </c>
      <c r="DW432" s="20">
        <f>INDEX(Input!$1:$1048576,DW$93,$C432*2+6)</f>
        <v>0.45</v>
      </c>
      <c r="DX432" s="20"/>
      <c r="DY432" s="7">
        <v>0.10882635509602051</v>
      </c>
      <c r="DZ432" s="7">
        <v>0</v>
      </c>
      <c r="EA432" s="7">
        <v>0.8069425411018909</v>
      </c>
      <c r="EB432" s="7">
        <v>0</v>
      </c>
      <c r="EC432" s="7">
        <v>0</v>
      </c>
      <c r="ED432" s="7">
        <v>0</v>
      </c>
      <c r="EE432" s="7">
        <v>0</v>
      </c>
      <c r="EF432" s="7">
        <v>0</v>
      </c>
      <c r="EG432" s="7">
        <v>0</v>
      </c>
      <c r="EH432" s="7">
        <v>1.2273847997366773E-2</v>
      </c>
      <c r="EI432" s="7">
        <v>3.2068553598374641E-2</v>
      </c>
      <c r="EJ432" s="7">
        <v>0.22514157315225367</v>
      </c>
      <c r="EK432" s="7">
        <v>0.59329217877076434</v>
      </c>
      <c r="EL432" s="7">
        <v>0.137223846481241</v>
      </c>
      <c r="EM432" s="7">
        <v>4.364163236359031E-2</v>
      </c>
      <c r="EN432" s="7">
        <v>5.0442192554743429E-2</v>
      </c>
      <c r="EO432" s="7">
        <v>0.71272942013361573</v>
      </c>
      <c r="EP432" s="7">
        <v>0.10250371606758703</v>
      </c>
      <c r="EQ432" s="7">
        <v>8.9972444998186032E-2</v>
      </c>
      <c r="ER432" s="7">
        <v>4.4352226245867751E-2</v>
      </c>
      <c r="ES432" s="7">
        <v>4.0589471438498448E-2</v>
      </c>
      <c r="ET432" s="7">
        <v>8.4231103802088717E-2</v>
      </c>
      <c r="EU432" s="6">
        <v>2270</v>
      </c>
      <c r="EV432" s="6">
        <v>0</v>
      </c>
      <c r="EW432" s="6">
        <v>2270</v>
      </c>
      <c r="EX432" s="6">
        <v>0</v>
      </c>
      <c r="EY432" s="6">
        <v>2983.4717332026576</v>
      </c>
      <c r="EZ432" s="6">
        <v>507</v>
      </c>
      <c r="FA432" s="6">
        <v>0</v>
      </c>
      <c r="FB432" s="6">
        <v>0</v>
      </c>
      <c r="FC432" s="6">
        <v>0</v>
      </c>
      <c r="FD432" s="6">
        <v>0</v>
      </c>
      <c r="FE432" s="6">
        <v>0</v>
      </c>
      <c r="FF432" s="6">
        <v>0</v>
      </c>
      <c r="FG432" s="6">
        <v>0</v>
      </c>
      <c r="FH432" s="6">
        <v>1169.8027842132144</v>
      </c>
      <c r="FI432" s="6">
        <v>1553.9796069512397</v>
      </c>
      <c r="FJ432" s="6">
        <v>2101.211011744741</v>
      </c>
      <c r="FK432" s="6">
        <v>1772.7139978623238</v>
      </c>
      <c r="FL432" s="6">
        <v>907.07682140966381</v>
      </c>
      <c r="FM432" s="6">
        <v>1713.4717332026578</v>
      </c>
      <c r="FN432" s="6">
        <v>0</v>
      </c>
      <c r="FO432" s="6">
        <v>0</v>
      </c>
      <c r="FP432" s="6">
        <v>0</v>
      </c>
      <c r="FQ432" s="6">
        <v>0</v>
      </c>
      <c r="FR432" s="6">
        <v>0</v>
      </c>
      <c r="FS432" s="6">
        <v>0</v>
      </c>
      <c r="FT432" s="7">
        <v>0.91576889619791135</v>
      </c>
      <c r="FU432" s="7">
        <v>4.364163236359031E-2</v>
      </c>
      <c r="FV432" s="7">
        <v>4.0589471438498448E-2</v>
      </c>
      <c r="FW432" s="6">
        <v>2270</v>
      </c>
      <c r="FX432" s="6">
        <v>2983.4717332026576</v>
      </c>
      <c r="FY432" s="6">
        <v>507</v>
      </c>
      <c r="FZ432" s="6">
        <v>1949.5716051445115</v>
      </c>
      <c r="GA432" s="6">
        <v>2229.5778329361715</v>
      </c>
      <c r="GB432" s="6">
        <v>17755.422167063829</v>
      </c>
      <c r="GC432" s="7">
        <v>3.3872851927908169E-2</v>
      </c>
      <c r="GD432" s="7">
        <v>3.5477913641892629E-2</v>
      </c>
      <c r="GE432" s="7"/>
      <c r="GF432" s="7"/>
      <c r="GG432" s="7">
        <v>4.7384900373919618E-2</v>
      </c>
      <c r="GH432" s="42">
        <v>3.38202204087187</v>
      </c>
      <c r="GI432" s="6">
        <v>8138.7646325727437</v>
      </c>
      <c r="GJ432" s="14">
        <v>0.50394797582841699</v>
      </c>
      <c r="GK432" s="14">
        <v>0.50887573065309721</v>
      </c>
      <c r="GL432" s="14">
        <v>0.49605202417158278</v>
      </c>
      <c r="GM432" s="14">
        <v>0.49112426934690223</v>
      </c>
      <c r="GO432" s="5">
        <v>343.14810671672558</v>
      </c>
      <c r="GP432" s="5">
        <v>299.84083725090579</v>
      </c>
      <c r="GQ432" s="5">
        <v>535.04305713031317</v>
      </c>
      <c r="GR432" s="5">
        <v>410.15490233172511</v>
      </c>
      <c r="GS432" s="5">
        <v>339.42744393800166</v>
      </c>
      <c r="GT432" s="5">
        <v>293.4407446948278</v>
      </c>
      <c r="GU432" s="5">
        <v>258.04012322764959</v>
      </c>
      <c r="GV432" s="39" t="s">
        <v>392</v>
      </c>
      <c r="GW432" s="5">
        <v>464.34722222222223</v>
      </c>
      <c r="GX432" s="5">
        <v>348.26041666666669</v>
      </c>
      <c r="GY432" s="5">
        <v>278.60833333333335</v>
      </c>
      <c r="GZ432" s="5">
        <v>245.84245344171217</v>
      </c>
      <c r="HA432" s="5">
        <v>227.72592165501609</v>
      </c>
      <c r="HB432" s="39">
        <v>256.69968527138712</v>
      </c>
      <c r="HC432" s="5">
        <v>265.10312499999998</v>
      </c>
      <c r="HD432" s="5">
        <v>224.66580774853799</v>
      </c>
      <c r="HE432" s="5">
        <v>226.90661690283397</v>
      </c>
      <c r="HF432" s="5">
        <v>209.18438048245613</v>
      </c>
      <c r="HG432" s="5">
        <v>200.91388157894738</v>
      </c>
      <c r="HH432" s="39">
        <v>224.48889329060728</v>
      </c>
      <c r="HI432" s="16"/>
      <c r="HJ432" s="19" t="str">
        <f t="shared" si="1204"/>
        <v>On</v>
      </c>
      <c r="HK432" s="1" t="str">
        <f t="shared" si="1204"/>
        <v>On</v>
      </c>
      <c r="HL432" s="16"/>
      <c r="HM432" s="639">
        <f t="shared" si="1110"/>
        <v>2.9403358434788716E-2</v>
      </c>
      <c r="HN432" s="639">
        <f t="shared" si="1111"/>
        <v>1.4106809950923669E-3</v>
      </c>
      <c r="HO432" s="639">
        <f t="shared" si="1112"/>
        <v>1.7317923025048877E-3</v>
      </c>
      <c r="HP432" s="644">
        <f>(FT432*$GD432-HM432)/$JF432*INDEX(Input!$1:$1048576,$JG$93,$C432*2+6)</f>
        <v>220.85120958578872</v>
      </c>
      <c r="HQ432" s="644">
        <f>(FU432*$GD432-HN432)/$JF432*INDEX(Input!$1:$1048576,$JG$93,$C432*2+6)</f>
        <v>9.8491081916855947</v>
      </c>
      <c r="HR432" s="644">
        <f>(FV432*$GD432-HO432)/$JF432*INDEX(Input!$1:$1048576,$JG$93,$C432*2+6)</f>
        <v>-20.878709179721241</v>
      </c>
      <c r="HS432" s="644">
        <f t="shared" si="1208"/>
        <v>-102.4225141533244</v>
      </c>
      <c r="HT432" s="644">
        <f t="shared" si="1114"/>
        <v>124.92323036666575</v>
      </c>
      <c r="HU432" s="644">
        <f t="shared" si="1115"/>
        <v>10.76515094586264</v>
      </c>
      <c r="HV432" s="648">
        <f t="shared" si="1116"/>
        <v>0</v>
      </c>
      <c r="HW432" s="648">
        <f t="shared" si="1117"/>
        <v>0</v>
      </c>
      <c r="HX432" s="648">
        <f t="shared" si="1118"/>
        <v>0</v>
      </c>
      <c r="HY432" s="644">
        <f>INDEX(Input!$1:$1048576,HY$93,$C432*2+6)*INDEX(Input!$1:$1048576,$JG$93,$C432*2+6)</f>
        <v>993</v>
      </c>
      <c r="HZ432" s="644">
        <f>INDEX(Input!$1:$1048576,HZ$93,$C432*2+6)*INDEX(Input!$1:$1048576,$JG$93,$C432*2+6)</f>
        <v>1216</v>
      </c>
      <c r="IA432" s="644">
        <f>INDEX(Input!$1:$1048576,IA$93,$C432*2+6)*INDEX(Input!$1:$1048576,$JG$93,$C432*2+6)</f>
        <v>120</v>
      </c>
      <c r="IB432" s="644">
        <f t="shared" si="1142"/>
        <v>1111.4286954324643</v>
      </c>
      <c r="IC432" s="644">
        <f t="shared" si="1143"/>
        <v>1350.7723385583515</v>
      </c>
      <c r="ID432" s="644">
        <f>IF(AND(INDEX(Input!$1:$1048576,IA$93,$C432*2+7)="TOS",Y432&lt;=INDEX(Y:Y,MATCH(C432*1000+2,A:A))),0,1)*MAX(IA432+HR432+HU432+HX432,0%)</f>
        <v>109.8864417661414</v>
      </c>
      <c r="IE432" s="128">
        <f t="shared" si="1209"/>
        <v>0.43211154593619505</v>
      </c>
      <c r="IF432" s="128">
        <f t="shared" si="1210"/>
        <v>0.52516578510255507</v>
      </c>
      <c r="IG432" s="128">
        <f t="shared" si="1120"/>
        <v>4.2722668961249918E-2</v>
      </c>
      <c r="IH432" s="21"/>
      <c r="II432" s="19">
        <f t="shared" si="1121"/>
        <v>1490</v>
      </c>
      <c r="IJ432" s="19">
        <f t="shared" si="1122"/>
        <v>2203.2561351629856</v>
      </c>
      <c r="IK432" s="19">
        <f t="shared" si="1123"/>
        <v>242</v>
      </c>
      <c r="IL432" s="19">
        <f t="shared" si="1145"/>
        <v>780</v>
      </c>
      <c r="IM432" s="19">
        <f t="shared" si="1124"/>
        <v>780.21559803967193</v>
      </c>
      <c r="IN432" s="19">
        <f t="shared" si="1125"/>
        <v>265</v>
      </c>
      <c r="IO432" s="39">
        <f t="shared" si="1126"/>
        <v>0</v>
      </c>
      <c r="IP432" s="39">
        <f t="shared" si="1127"/>
        <v>0</v>
      </c>
      <c r="IQ432" s="39">
        <f t="shared" si="1128"/>
        <v>0</v>
      </c>
      <c r="IR432" s="39">
        <v>0</v>
      </c>
      <c r="IS432" s="39">
        <v>0</v>
      </c>
      <c r="IT432" s="39">
        <v>0</v>
      </c>
      <c r="IU432" s="39">
        <v>0</v>
      </c>
      <c r="IV432" s="39">
        <v>0</v>
      </c>
      <c r="IW432" s="39">
        <v>0</v>
      </c>
      <c r="IX432" s="39">
        <f>INDEX(Input!$1:$1048576,IX$93,$C432*2+6)+INDEX(Input!$1:$1048576,IX$94,$C432*2+6)</f>
        <v>1770</v>
      </c>
      <c r="IY432" s="39">
        <f>INDEX(Input!$1:$1048576,IY$93,$C432*2+6)+INDEX(Input!$1:$1048576,IY$94,$C432*2+6)</f>
        <v>2630.0624533823611</v>
      </c>
      <c r="IZ432" s="39">
        <f>INDEX(Input!$1:$1048576,IZ$93,$C432*2+6)+INDEX(Input!$1:$1048576,IZ$94,$C432*2+6)</f>
        <v>4153.7164157747848</v>
      </c>
      <c r="JA432" s="19">
        <f t="shared" si="1146"/>
        <v>2550</v>
      </c>
      <c r="JB432" s="19">
        <f t="shared" si="1147"/>
        <v>3410.2780514220331</v>
      </c>
      <c r="JC432" s="19">
        <f t="shared" si="1148"/>
        <v>4418.7164157747848</v>
      </c>
      <c r="JD432" s="19">
        <f t="shared" si="1149"/>
        <v>3081.6251510951479</v>
      </c>
      <c r="JE432" s="21"/>
      <c r="JF432" s="1">
        <f t="shared" si="1129"/>
        <v>3.2545831732385969E-2</v>
      </c>
      <c r="JG432" s="15">
        <f>INDEX(Input!$1:$1048576,JG$93,$C432*2+6)/(1+VLOOKUP(C432*1000+INDEX(Input!$1:$1048576,JG$93+1,$C432*2+6),$A:$KK,$JK$92,FALSE))</f>
        <v>2329</v>
      </c>
      <c r="JH432" s="1">
        <f t="shared" si="1150"/>
        <v>9.0090858135574534E-2</v>
      </c>
      <c r="JI432" s="1">
        <f t="shared" si="1151"/>
        <v>1.4283326388666378E-2</v>
      </c>
      <c r="JJ432" s="1">
        <f t="shared" si="1211"/>
        <v>0</v>
      </c>
      <c r="JK432" s="1">
        <f t="shared" si="1212"/>
        <v>0.10437418452424091</v>
      </c>
      <c r="JL432" s="15">
        <f t="shared" si="1154"/>
        <v>243.08747575695708</v>
      </c>
      <c r="JM432" s="15">
        <f t="shared" si="1180"/>
        <v>2572.0874757569572</v>
      </c>
      <c r="JN432" s="21"/>
      <c r="JO432" s="19">
        <f>INDEX(Input!$1:$1048576,JO$93,$C432*2+6)</f>
        <v>5995.5</v>
      </c>
      <c r="JP432" s="19">
        <f>INDEX(Input!$1:$1048576,JP$93,$C432*2+6)</f>
        <v>2341.8685758720158</v>
      </c>
      <c r="JQ432" s="39">
        <f t="shared" si="1166"/>
        <v>2913.8748489048521</v>
      </c>
      <c r="JR432" s="39">
        <f t="shared" si="1183"/>
        <v>739.75657522313213</v>
      </c>
      <c r="JS432" s="39">
        <f t="shared" si="1168"/>
        <v>7.9262094561094703</v>
      </c>
      <c r="JT432" s="39">
        <f t="shared" si="1156"/>
        <v>2.4719975429035461</v>
      </c>
      <c r="JU432" s="385">
        <f>(JQ432*JM432-INDEX(Input!$1:$1048576,Input!A$18,$C432*2+6)*JL432*INDEX(Input!$1:$1048576,Input!A$19,$C432*2+6))/1000000</f>
        <v>7.4947410047913658</v>
      </c>
      <c r="JV432" s="39">
        <f t="shared" si="1190"/>
        <v>-1.0145665820027086</v>
      </c>
      <c r="JW432" s="1">
        <f t="shared" si="1181"/>
        <v>-0.11923021604921814</v>
      </c>
      <c r="JX432" s="19">
        <f t="shared" si="1172"/>
        <v>10169.168671507745</v>
      </c>
      <c r="JZ432" s="341"/>
      <c r="KA432" s="342"/>
      <c r="KB432" s="469">
        <f t="shared" si="1169"/>
        <v>2.3434325605641804</v>
      </c>
      <c r="KI432" s="473">
        <f t="shared" si="1196"/>
        <v>118.42869543246434</v>
      </c>
      <c r="KJ432" s="473">
        <f t="shared" si="1197"/>
        <v>134.77233855835152</v>
      </c>
      <c r="KK432" s="473">
        <f t="shared" si="1158"/>
        <v>-10.113558233858598</v>
      </c>
      <c r="KN432" s="544">
        <f t="shared" si="1173"/>
        <v>4002</v>
      </c>
      <c r="KO432" s="541">
        <f t="shared" si="1133"/>
        <v>6.3456109902760627E-2</v>
      </c>
      <c r="KP432" s="546">
        <f t="shared" si="1134"/>
        <v>478.72721768279439</v>
      </c>
      <c r="KQ432" s="546">
        <f t="shared" si="1135"/>
        <v>456.85396305912673</v>
      </c>
      <c r="KR432" s="548">
        <f t="shared" si="1136"/>
        <v>2.3011279633550905</v>
      </c>
      <c r="KS432" s="548">
        <f t="shared" si="1137"/>
        <v>2.4113013709076339</v>
      </c>
      <c r="KT432" s="473">
        <f t="shared" si="1171"/>
        <v>1580.0986321700548</v>
      </c>
      <c r="KU432" s="663">
        <f t="shared" si="1159"/>
        <v>4.0714616340562682</v>
      </c>
      <c r="KV432" s="117"/>
    </row>
    <row r="433" spans="1:308" s="26" customFormat="1" ht="15">
      <c r="A433" s="561">
        <f t="shared" si="1138"/>
        <v>4033</v>
      </c>
      <c r="B433" s="561">
        <f t="shared" si="1160"/>
        <v>33</v>
      </c>
      <c r="C433" s="561">
        <f t="shared" si="1161"/>
        <v>4</v>
      </c>
      <c r="D433" s="561" t="str">
        <f t="shared" si="1206"/>
        <v xml:space="preserve">750 CC, 750 Combo, </v>
      </c>
      <c r="E433" s="475">
        <f>INDEX(Input!$1:$1048576,E$93,$C433*2+MIN($B433,2)+5)
+INDEX(Scenarios!E$121:E$200,MATCH($B433,Scenarios!$B$121:$B$200,0))</f>
        <v>2006.832975525977</v>
      </c>
      <c r="F433" s="475">
        <f>INDEX(Input!$1:$1048576,F$93,$C433*2+MIN($B433,2)+5)
+INDEX(Scenarios!F$121:F$200,MATCH($B433,Scenarios!$B$121:$B$200,0))</f>
        <v>0</v>
      </c>
      <c r="G433" s="475">
        <f>INDEX(Input!$1:$1048576,G$93,$C433*2+MIN($B433,2)+5)
+INDEX(Scenarios!G$121:G$200,MATCH($B433,Scenarios!$B$121:$B$200,0))</f>
        <v>0</v>
      </c>
      <c r="H433" s="475">
        <f>INDEX(Input!$1:$1048576,H$93,$C433*2+MIN($B433,2)+5)
+INDEX(Scenarios!H$121:H$200,MATCH($B433,Scenarios!$B$121:$B$200,0))</f>
        <v>0</v>
      </c>
      <c r="I433" s="476">
        <f>INDEX(Input!$1:$1048576,I$93,$C433*2+MIN($B433,2)+5)</f>
        <v>0.7</v>
      </c>
      <c r="J433" s="476" t="str">
        <f>INDEX(Input!$1:$1048576,J$93,$C433*2+MIN($B433,2)+5)</f>
        <v>Market</v>
      </c>
      <c r="K433" s="476" t="str">
        <f>INDEX(Input!$1:$1048576,K$93,$C433*2+MIN($B433,2)+5)</f>
        <v>Market</v>
      </c>
      <c r="L433" s="476" t="str">
        <f>INDEX(Input!$1:$1048576,L$93,$C433*2+MIN($B433,2)+5)</f>
        <v>Market</v>
      </c>
      <c r="M433" s="476" t="str">
        <f>INDEX(Input!$1:$1048576,M$93,$C433*2+MIN($B433,2)+5)</f>
        <v>Market</v>
      </c>
      <c r="N433" s="476" t="str">
        <f>INDEX(Input!$1:$1048576,N$93,$C433*2+MIN($B433,2)+5)</f>
        <v>Market</v>
      </c>
      <c r="O433" s="476" t="str">
        <f>INDEX(Input!$1:$1048576,O$93,$C433*2+MIN($B433,2)+5)</f>
        <v>Market</v>
      </c>
      <c r="P433" s="476" t="str">
        <f>INDEX(Input!$1:$1048576,P$93,$C433*2+MIN($B433,2)+5)</f>
        <v>N</v>
      </c>
      <c r="Q433" s="477">
        <f>INDEX(Input!$1:$1048576,Q$93,$C433*2+MIN($B433,2)+5)
+INDEX(Scenarios!Q$121:Q$200,MATCH($B433,Scenarios!$B$121:$B$200,0))</f>
        <v>750</v>
      </c>
      <c r="R433" s="478">
        <f>IFERROR(MAX(0,INDEX(Input!$1:$1048576,R$93,$C433*2+MIN($B433,2)+5)
+INDEX(Scenarios!R$121:R$200,MATCH($B433,Scenarios!$B$121:$B$200,0)),),"Market")</f>
        <v>0</v>
      </c>
      <c r="S433" s="478">
        <f>IFERROR(MAX(0,INDEX(Input!$1:$1048576,S$93,$C433*2+MIN($B433,2)+5)
+INDEX(Scenarios!S$121:S$200,MATCH($B433,Scenarios!$B$121:$B$200,0)),),"Market")</f>
        <v>0</v>
      </c>
      <c r="T433" s="478">
        <f>IFERROR(MAX(0,INDEX(Input!$1:$1048576,T$93,$C433*2+MIN($B433,2)+5)
+INDEX(Scenarios!T$121:T$200,MATCH($B433,Scenarios!$B$121:$B$200,0)),),"Market")</f>
        <v>0</v>
      </c>
      <c r="U433" s="478">
        <f>IFERROR(MAX(0,INDEX(Input!$1:$1048576,U$93,$C433*2+MIN($B433,2)+5)
+INDEX(Scenarios!U$121:U$200,MATCH($B433,Scenarios!$B$121:$B$200,0)),),"Market")</f>
        <v>0</v>
      </c>
      <c r="V433" s="478">
        <f>IFERROR(MAX(0,INDEX(Input!$1:$1048576,V$93,$C433*2+MIN($B433,2)+5)
+INDEX(Scenarios!V$121:V$200,MATCH($B433,Scenarios!$B$121:$B$200,0)),),"Market")</f>
        <v>1.9E-2</v>
      </c>
      <c r="W433" s="885">
        <f>IFERROR(MAX(0,INDEX(Input!$1:$1048576,W$93,$C433*2+MIN($B433,2)+5)-0%,),"Market")</f>
        <v>3.9E-2</v>
      </c>
      <c r="X433" s="476" t="str">
        <f>INDEX(Input!$1:$1048576,X$93,$C433*2+MIN($B433,2)+5)</f>
        <v>Y</v>
      </c>
      <c r="Y433" s="475">
        <f>INDEX(Input!$1:$1048576,Y$93,$C433*2+MIN($B433,2)+5)
++INDEX(Scenarios!Y$121:Y$200,MATCH($B433,Scenarios!$B$121:$B$200,0))</f>
        <v>-870</v>
      </c>
      <c r="Z433" s="477">
        <f>INDEX(Input!$1:$1048576,Z$93,$C433*2+MIN($B433,2)+5)
+INDEX(Scenarios!Z$121:Z$200,MATCH($B433,Scenarios!$B$121:$B$200,0))</f>
        <v>0</v>
      </c>
      <c r="AA433" s="475">
        <f>INDEX(Input!$1:$1048576,AA$93,$C433*2+MIN($B433,2)+5)
+INDEX(Scenarios!AA$121:AA$200,MATCH($B433,Scenarios!$B$121:$B$200,0))</f>
        <v>0</v>
      </c>
      <c r="AB433" s="476">
        <f>INDEX(Input!$1:$1048576,AB$93,$C433*2+MIN($B433,2)+5)</f>
        <v>0.27</v>
      </c>
      <c r="AC433" s="475">
        <f>INDEX(Input!$1:$1048576,AC$93,$C433*2+MIN($B433,2)+5)
+INDEX(Scenarios!AC$121:AC$200,MATCH($B433,Scenarios!$B$121:$B$200,0))</f>
        <v>0</v>
      </c>
      <c r="AD433" s="476">
        <f>INDEX(Input!$1:$1048576,AD$93,$C433*2+MIN($B433,2)+5)</f>
        <v>0.27</v>
      </c>
      <c r="AE433" s="475">
        <f>INDEX(Input!$1:$1048576,AE$93,$C433*2+MIN($B433,2)+5)
+INDEX(Scenarios!AE$121:AE$200,MATCH($B433,Scenarios!$B$121:$B$200,0))</f>
        <v>0</v>
      </c>
      <c r="AF433" s="476">
        <f>INDEX(Input!$1:$1048576,AF$93,$C433*2+MIN($B433,2)+5)</f>
        <v>1</v>
      </c>
      <c r="AG433" s="475">
        <f>INDEX(Input!$1:$1048576,AG$93,$C433*2+MIN($B433,2)+5)
+INDEX(Scenarios!AG$121:AG$200,MATCH($B433,Scenarios!$B$121:$B$200,0))</f>
        <v>500</v>
      </c>
      <c r="AH433" s="476">
        <f>INDEX(Input!$1:$1048576,AH$93,$C433*2+MIN($B433,2)+5)</f>
        <v>0.83199999999999996</v>
      </c>
      <c r="AI433" s="475">
        <f>INDEX(Input!$1:$1048576,AI$93,$C433*2+MIN($B433,2)+5)
+INDEX(Scenarios!AI$121:AI$200,MATCH($B433,Scenarios!$B$121:$B$200,0))</f>
        <v>0</v>
      </c>
      <c r="AJ433" s="476">
        <f>INDEX(Input!$1:$1048576,AJ$93,$C433*2+MIN($B433,2)+5)</f>
        <v>0.27</v>
      </c>
      <c r="AK433" s="150">
        <f>ROUND(INDEX(Input!$1:$1048576,AK$93,$C432*2+MIN($B433,1)+5)+(Y433-VLOOKUP($C433*1000+1,$A:$HH,Y$92,FALSE)),0)</f>
        <v>2587</v>
      </c>
      <c r="AL433" s="150">
        <f>ROUND(INDEX(Input!$1:$1048576,AL$93,$C432*2+MIN($B433,1)+5)-(Y433-VLOOKUP($C433*1000+1,$A:$HH,Y$92,FALSE))/36,0)</f>
        <v>3406</v>
      </c>
      <c r="AM433" s="32" t="str">
        <f t="shared" si="1139"/>
        <v>std/std/std/std</v>
      </c>
      <c r="AN433" s="32" t="str">
        <f t="shared" si="1140"/>
        <v>$750 + 0/0/0/1.9/3.9</v>
      </c>
      <c r="AO433" s="32" t="str">
        <f t="shared" si="1141"/>
        <v>0/0/0/1.9/3.9</v>
      </c>
      <c r="AP433" s="32" t="str">
        <f t="shared" si="1213"/>
        <v>0/0.9/1.9/3.9</v>
      </c>
      <c r="AQ433" s="536">
        <f t="shared" si="1207"/>
        <v>0.43571076782349172</v>
      </c>
      <c r="AR433" s="32"/>
      <c r="AS433" s="302"/>
      <c r="AT433" s="3">
        <f t="shared" si="1162"/>
        <v>33</v>
      </c>
      <c r="AU433" s="41" t="s">
        <v>121</v>
      </c>
      <c r="AV433" s="41" t="s">
        <v>116</v>
      </c>
      <c r="AW433" s="41" t="str">
        <f>INDEX(Input!$1:$1048576,AW$93,$C433*2+6)</f>
        <v>Kia</v>
      </c>
      <c r="AX433" s="41" t="str">
        <f>INDEX(Input!$1:$1048576,AX$93,$C433*2+6)</f>
        <v>Kia-LR - R1</v>
      </c>
      <c r="AY433" s="41" t="str">
        <f>IF(LEN(D433)=0,"",INDEX(Input!$1:$1048576,AY$93,$C433*2+6))</f>
        <v>Compact SUV (52)</v>
      </c>
      <c r="AZ433" s="41" t="str">
        <f>INDEX(Input!$1:$1048576,AZ$93,$C433*2+6)</f>
        <v>Kia Soul</v>
      </c>
      <c r="BA433" s="3">
        <f>INDEX(Input!$1:$1048576,BA$93,$C433*2+6)</f>
        <v>2020</v>
      </c>
      <c r="BB433" s="128">
        <f>INDEX(Input!$1:$1048576,BB$93,$C433*2+6)</f>
        <v>1</v>
      </c>
      <c r="BC433" s="128">
        <f>INDEX(Input!$1:$1048576,BC$93,$C433*2+6)</f>
        <v>0.7</v>
      </c>
      <c r="BD433" s="1">
        <f>INDEX(Input!$1:$1048576,BD$93,$C433*2+6)</f>
        <v>4.4999999999999998E-2</v>
      </c>
      <c r="BE433" s="1">
        <f>INDEX(Input!$1:$1048576,BE$93,$C433*2+6)</f>
        <v>4.4999999999999998E-2</v>
      </c>
      <c r="BF433" s="1">
        <f>INDEX(Input!$1:$1048576,BF$93,$C433*2+6)</f>
        <v>0.05</v>
      </c>
      <c r="BG433" s="1">
        <f>INDEX(Input!$1:$1048576,BG$93,$C433*2+6)</f>
        <v>5.45E-2</v>
      </c>
      <c r="BH433" s="1">
        <f>INDEX(Input!$1:$1048576,BH$93,$C433*2+6)</f>
        <v>5.45E-2</v>
      </c>
      <c r="BI433" s="1">
        <f>INDEX(Input!$1:$1048576,BI$93,$C433*2+6)</f>
        <v>0.05</v>
      </c>
      <c r="BJ433" s="1">
        <f>INDEX(Input!$1:$1048576,BJ$93,$C433*2+6)</f>
        <v>0.05</v>
      </c>
      <c r="BK433" s="1">
        <f>INDEX(Input!$1:$1048576,BK$93,$C433*2+6)</f>
        <v>0.05</v>
      </c>
      <c r="BL433" s="1">
        <f>INDEX(Input!$1:$1048576,BL$93,$C433*2+6)</f>
        <v>5.5E-2</v>
      </c>
      <c r="BM433" s="1">
        <f>INDEX(Input!$1:$1048576,BM$93,$C433*2+6)</f>
        <v>0.06</v>
      </c>
      <c r="BN433" s="1">
        <f>INDEX(Input!$1:$1048576,BN$93,$C433*2+6)</f>
        <v>4.4999999999999998E-2</v>
      </c>
      <c r="BO433" s="1">
        <f>INDEX(Input!$1:$1048576,BO$93,$C433*2+6)</f>
        <v>4.4999999999999998E-2</v>
      </c>
      <c r="BP433" s="1">
        <f>INDEX(Input!$1:$1048576,BP$93,$C433*2+6)</f>
        <v>0.05</v>
      </c>
      <c r="BQ433" s="1">
        <f>INDEX(Input!$1:$1048576,BQ$93,$C433*2+6)</f>
        <v>5.45E-2</v>
      </c>
      <c r="BR433" s="1">
        <f>INDEX(Input!$1:$1048576,BR$93,$C433*2+6)</f>
        <v>5.45E-2</v>
      </c>
      <c r="BS433" s="1">
        <f>INDEX(Input!$1:$1048576,BS$93,$C433*2+6)</f>
        <v>0.05</v>
      </c>
      <c r="BT433" s="1">
        <f>INDEX(Input!$1:$1048576,BT$93,$C433*2+6)</f>
        <v>0.05</v>
      </c>
      <c r="BU433" s="1">
        <f>INDEX(Input!$1:$1048576,BU$93,$C433*2+6)</f>
        <v>0.05</v>
      </c>
      <c r="BV433" s="1">
        <f>INDEX(Input!$1:$1048576,BV$93,$C433*2+6)</f>
        <v>5.5E-2</v>
      </c>
      <c r="BW433" s="1">
        <f>INDEX(Input!$1:$1048576,BW$93,$C433*2+6)</f>
        <v>0.06</v>
      </c>
      <c r="BX433" s="127">
        <f>INDEX(Input!$1:$1048576,BX$93,$C433*2+6)</f>
        <v>19985</v>
      </c>
      <c r="BY433" s="20">
        <f>INDEX(Input!$1:$1048576,BY$93,$C433*2+6)</f>
        <v>0.1</v>
      </c>
      <c r="BZ433" s="20">
        <f>INDEX(Input!$1:$1048576,BZ$93,$C433*2+6)</f>
        <v>0.1</v>
      </c>
      <c r="CA433" s="20">
        <f>INDEX(Input!$1:$1048576,CA$93,$C433*2+6)</f>
        <v>0.1</v>
      </c>
      <c r="CB433" s="20">
        <f>INDEX(Input!$1:$1048576,CB$93,$C433*2+6)</f>
        <v>0.1</v>
      </c>
      <c r="CC433" s="20">
        <f>INDEX(Input!$1:$1048576,CC$93,$C433*2+6)</f>
        <v>0.1</v>
      </c>
      <c r="CD433" s="384">
        <f>INDEX(Input!$1:$1048576,CD$93,$C433*2+6)</f>
        <v>0.1</v>
      </c>
      <c r="CE433" s="384">
        <f>INDEX(Input!$1:$1048576,CE$93,$C433*2+6)</f>
        <v>0.1</v>
      </c>
      <c r="CF433" s="384">
        <f>INDEX(Input!$1:$1048576,CF$93,$C433*2+6)</f>
        <v>0.1</v>
      </c>
      <c r="CG433" s="384">
        <f>INDEX(Input!$1:$1048576,CG$93,$C433*2+6)</f>
        <v>0.1</v>
      </c>
      <c r="CH433" s="384">
        <f>INDEX(Input!$1:$1048576,CH$93,$C433*2+6)</f>
        <v>0.1</v>
      </c>
      <c r="CI433" s="304">
        <f t="shared" si="1214"/>
        <v>2006.832975525977</v>
      </c>
      <c r="CJ433" s="16" t="str">
        <f>INDEX(Input!$1:$1048576,CJ$93,$C433*2+6)</f>
        <v>N</v>
      </c>
      <c r="CK433" s="1" t="str">
        <f t="shared" si="1215"/>
        <v>Market</v>
      </c>
      <c r="CL433" s="1" t="str">
        <f t="shared" si="1216"/>
        <v>Market</v>
      </c>
      <c r="CM433" s="1" t="str">
        <f t="shared" si="1217"/>
        <v>Market</v>
      </c>
      <c r="CN433" s="1" t="str">
        <f t="shared" si="1218"/>
        <v>Market</v>
      </c>
      <c r="CO433" s="1" t="str">
        <f t="shared" si="1219"/>
        <v>Market</v>
      </c>
      <c r="CP433" s="304">
        <f t="shared" si="1220"/>
        <v>1166</v>
      </c>
      <c r="CQ433" s="1">
        <f t="shared" si="1221"/>
        <v>0</v>
      </c>
      <c r="CR433" s="1">
        <f t="shared" si="1222"/>
        <v>0</v>
      </c>
      <c r="CS433" s="1">
        <f t="shared" si="1223"/>
        <v>0</v>
      </c>
      <c r="CT433" s="1">
        <f t="shared" si="1224"/>
        <v>1.9E-2</v>
      </c>
      <c r="CU433" s="1">
        <f t="shared" si="1225"/>
        <v>3.9E-2</v>
      </c>
      <c r="CV433" s="304">
        <f t="shared" si="1226"/>
        <v>-870</v>
      </c>
      <c r="CW433" s="20" t="s">
        <v>122</v>
      </c>
      <c r="CX433" s="20" t="s">
        <v>122</v>
      </c>
      <c r="CY433" s="20" t="s">
        <v>122</v>
      </c>
      <c r="CZ433" s="20" t="s">
        <v>122</v>
      </c>
      <c r="DA433" s="20" t="s">
        <v>122</v>
      </c>
      <c r="DB433" s="503">
        <f t="shared" si="1227"/>
        <v>0</v>
      </c>
      <c r="DC433" s="127">
        <v>0</v>
      </c>
      <c r="DD433" s="127">
        <v>0</v>
      </c>
      <c r="DE433" s="127">
        <v>0</v>
      </c>
      <c r="DF433" s="127">
        <v>0</v>
      </c>
      <c r="DG433" s="127">
        <v>0</v>
      </c>
      <c r="DH433" s="127">
        <v>0</v>
      </c>
      <c r="DI433" s="127">
        <v>0</v>
      </c>
      <c r="DJ433" s="127">
        <v>0</v>
      </c>
      <c r="DK433" s="127">
        <v>0</v>
      </c>
      <c r="DL433" s="127">
        <v>0</v>
      </c>
      <c r="DM433" s="304">
        <f>INDEX(Input!$1:$1048576,DM$93,$C433*2+6)</f>
        <v>21036.84210526316</v>
      </c>
      <c r="DN433" s="20">
        <v>0</v>
      </c>
      <c r="DO433" s="20">
        <v>0</v>
      </c>
      <c r="DP433" s="20">
        <v>0</v>
      </c>
      <c r="DQ433" s="20">
        <v>0</v>
      </c>
      <c r="DR433" s="20">
        <v>0</v>
      </c>
      <c r="DS433" s="20">
        <f>INDEX(Input!$1:$1048576,DS$93,$C433*2+6)</f>
        <v>0.6</v>
      </c>
      <c r="DT433" s="20">
        <f>INDEX(Input!$1:$1048576,DT$93,$C433*2+6)</f>
        <v>0.55000000000000004</v>
      </c>
      <c r="DU433" s="20">
        <f>INDEX(Input!$1:$1048576,DU$93,$C433*2+6)</f>
        <v>0.52</v>
      </c>
      <c r="DV433" s="20">
        <f>INDEX(Input!$1:$1048576,DV$93,$C433*2+6)</f>
        <v>0.5</v>
      </c>
      <c r="DW433" s="20">
        <f>INDEX(Input!$1:$1048576,DW$93,$C433*2+6)</f>
        <v>0.45</v>
      </c>
      <c r="DX433" s="20"/>
      <c r="DY433" s="7">
        <v>0.11177661343326591</v>
      </c>
      <c r="DZ433" s="7">
        <v>0</v>
      </c>
      <c r="EA433" s="7">
        <v>0.80872461018088804</v>
      </c>
      <c r="EB433" s="7">
        <v>0</v>
      </c>
      <c r="EC433" s="7">
        <v>0</v>
      </c>
      <c r="ED433" s="7">
        <v>0</v>
      </c>
      <c r="EE433" s="7">
        <v>0</v>
      </c>
      <c r="EF433" s="7">
        <v>0</v>
      </c>
      <c r="EG433" s="7">
        <v>0</v>
      </c>
      <c r="EH433" s="7">
        <v>1.2279258107583978E-2</v>
      </c>
      <c r="EI433" s="7">
        <v>3.2086819594324724E-2</v>
      </c>
      <c r="EJ433" s="7">
        <v>0.22526354167011092</v>
      </c>
      <c r="EK433" s="7">
        <v>0.59319764217201376</v>
      </c>
      <c r="EL433" s="7">
        <v>0.13717273845596714</v>
      </c>
      <c r="EM433" s="7">
        <v>4.3769799602842462E-2</v>
      </c>
      <c r="EN433" s="7">
        <v>5.0429556576029475E-2</v>
      </c>
      <c r="EO433" s="7">
        <v>0.71273903834224972</v>
      </c>
      <c r="EP433" s="7">
        <v>0.10251295237347958</v>
      </c>
      <c r="EQ433" s="7">
        <v>8.9952254850327276E-2</v>
      </c>
      <c r="ER433" s="7">
        <v>4.4366197857914104E-2</v>
      </c>
      <c r="ES433" s="7">
        <v>3.5728976783003671E-2</v>
      </c>
      <c r="ET433" s="7">
        <v>7.9498776385846168E-2</v>
      </c>
      <c r="EU433" s="6">
        <v>2520</v>
      </c>
      <c r="EV433" s="6">
        <v>0</v>
      </c>
      <c r="EW433" s="6">
        <v>2520</v>
      </c>
      <c r="EX433" s="6">
        <v>0</v>
      </c>
      <c r="EY433" s="6">
        <v>3233.5488030135293</v>
      </c>
      <c r="EZ433" s="6">
        <v>507</v>
      </c>
      <c r="FA433" s="6">
        <v>0</v>
      </c>
      <c r="FB433" s="6">
        <v>0</v>
      </c>
      <c r="FC433" s="6">
        <v>0</v>
      </c>
      <c r="FD433" s="6">
        <v>0</v>
      </c>
      <c r="FE433" s="6">
        <v>0</v>
      </c>
      <c r="FF433" s="6">
        <v>0</v>
      </c>
      <c r="FG433" s="6">
        <v>0</v>
      </c>
      <c r="FH433" s="6">
        <v>1169.8043908160853</v>
      </c>
      <c r="FI433" s="6">
        <v>1553.9796069512422</v>
      </c>
      <c r="FJ433" s="6">
        <v>2101.2110117447401</v>
      </c>
      <c r="FK433" s="6">
        <v>1772.7139978623234</v>
      </c>
      <c r="FL433" s="6">
        <v>907.07682140966415</v>
      </c>
      <c r="FM433" s="6">
        <v>1713.5488030135293</v>
      </c>
      <c r="FN433" s="6">
        <v>0</v>
      </c>
      <c r="FO433" s="6">
        <v>0</v>
      </c>
      <c r="FP433" s="6">
        <v>0</v>
      </c>
      <c r="FQ433" s="6">
        <v>0</v>
      </c>
      <c r="FR433" s="6">
        <v>0</v>
      </c>
      <c r="FS433" s="6">
        <v>0</v>
      </c>
      <c r="FT433" s="7">
        <v>0.92050122361415398</v>
      </c>
      <c r="FU433" s="7">
        <v>4.3769799602842462E-2</v>
      </c>
      <c r="FV433" s="7">
        <v>3.5728976783003671E-2</v>
      </c>
      <c r="FW433" s="6">
        <v>2520</v>
      </c>
      <c r="FX433" s="6">
        <v>3233.5488030135293</v>
      </c>
      <c r="FY433" s="6">
        <v>507</v>
      </c>
      <c r="FZ433" s="6">
        <v>1949.5716051445115</v>
      </c>
      <c r="GA433" s="6">
        <v>2479.3094578505643</v>
      </c>
      <c r="GB433" s="6">
        <v>17505.690542149438</v>
      </c>
      <c r="GC433" s="7">
        <v>3.3872851927908169E-2</v>
      </c>
      <c r="GD433" s="7">
        <v>3.6463699658100229E-2</v>
      </c>
      <c r="GE433" s="7"/>
      <c r="GF433" s="7"/>
      <c r="GG433" s="7">
        <v>7.6487440021471453E-2</v>
      </c>
      <c r="GH433" s="42">
        <v>2.8855810114768516</v>
      </c>
      <c r="GI433" s="6">
        <v>9405.1243701727108</v>
      </c>
      <c r="GJ433" s="14">
        <v>0.50394797582841744</v>
      </c>
      <c r="GK433" s="14">
        <v>0.50887573065309766</v>
      </c>
      <c r="GL433" s="14">
        <v>0.49605202417158312</v>
      </c>
      <c r="GM433" s="14">
        <v>0.49112426934690268</v>
      </c>
      <c r="GO433" s="5">
        <v>343.14810671672558</v>
      </c>
      <c r="GP433" s="5">
        <v>295.07131418198298</v>
      </c>
      <c r="GQ433" s="5">
        <v>535.04305713031317</v>
      </c>
      <c r="GR433" s="5">
        <v>410.15490233172511</v>
      </c>
      <c r="GS433" s="5">
        <v>339.42744393800166</v>
      </c>
      <c r="GT433" s="5">
        <v>293.4407446948278</v>
      </c>
      <c r="GU433" s="5">
        <v>258.04012322764959</v>
      </c>
      <c r="GV433" s="39" t="s">
        <v>392</v>
      </c>
      <c r="GW433" s="5">
        <v>457.40277777777777</v>
      </c>
      <c r="GX433" s="5">
        <v>343.05208333333331</v>
      </c>
      <c r="GY433" s="5">
        <v>274.44166666666666</v>
      </c>
      <c r="GZ433" s="5">
        <v>242.16580980456155</v>
      </c>
      <c r="HA433" s="5">
        <v>224.32021589042697</v>
      </c>
      <c r="HB433" s="39">
        <v>252.86852458748038</v>
      </c>
      <c r="HC433" s="5">
        <v>265.10312499999998</v>
      </c>
      <c r="HD433" s="5">
        <v>224.66580774853799</v>
      </c>
      <c r="HE433" s="5">
        <v>226.90661690283397</v>
      </c>
      <c r="HF433" s="5">
        <v>209.18438048245613</v>
      </c>
      <c r="HG433" s="5">
        <v>200.91388157894738</v>
      </c>
      <c r="HH433" s="39">
        <v>224.48838374193383</v>
      </c>
      <c r="HI433" s="16"/>
      <c r="HJ433" s="19" t="str">
        <f t="shared" si="1204"/>
        <v>On</v>
      </c>
      <c r="HK433" s="1" t="str">
        <f t="shared" si="1204"/>
        <v>On</v>
      </c>
      <c r="HL433" s="16"/>
      <c r="HM433" s="639">
        <f t="shared" si="1110"/>
        <v>2.9403358434788716E-2</v>
      </c>
      <c r="HN433" s="639">
        <f t="shared" si="1111"/>
        <v>1.4106809950923669E-3</v>
      </c>
      <c r="HO433" s="639">
        <f t="shared" si="1112"/>
        <v>1.7317923025048877E-3</v>
      </c>
      <c r="HP433" s="644">
        <f>(FT433*$GD433-HM433)/$JF433*INDEX(Input!$1:$1048576,$JG$93,$C433*2+6)</f>
        <v>297.80108742950767</v>
      </c>
      <c r="HQ433" s="644">
        <f>(FU433*$GD433-HN433)/$JF433*INDEX(Input!$1:$1048576,$JG$93,$C433*2+6)</f>
        <v>13.262175126669245</v>
      </c>
      <c r="HR433" s="644">
        <f>(FV433*$GD433-HO433)/$JF433*INDEX(Input!$1:$1048576,$JG$93,$C433*2+6)</f>
        <v>-30.698192337104427</v>
      </c>
      <c r="HS433" s="644">
        <f t="shared" ref="HS433:HS436" si="1228">IF(AND(HJ433="On",HK433="On"),IL433/1000*INDEX(KG:KG,MATCH(C433*1000+3,$KF:$KF,0))*SUM(HY433:IA433)*1.1
+INDEX(HR:HR,MATCH(C433*1000+4,$KF:$KF,0))/INDEX(IM:IM,MATCH(C433*1000+4,$KF:$KF,0))*IM433*20%,0)</f>
        <v>-135.25024668574622</v>
      </c>
      <c r="HT433" s="644">
        <f t="shared" si="1114"/>
        <v>164.96407145797079</v>
      </c>
      <c r="HU433" s="644">
        <f t="shared" si="1115"/>
        <v>13.026414492080615</v>
      </c>
      <c r="HV433" s="648">
        <f t="shared" si="1116"/>
        <v>0</v>
      </c>
      <c r="HW433" s="648">
        <f t="shared" si="1117"/>
        <v>0</v>
      </c>
      <c r="HX433" s="648">
        <f t="shared" si="1118"/>
        <v>0</v>
      </c>
      <c r="HY433" s="644">
        <f>INDEX(Input!$1:$1048576,HY$93,$C433*2+6)*INDEX(Input!$1:$1048576,$JG$93,$C433*2+6)</f>
        <v>993</v>
      </c>
      <c r="HZ433" s="644">
        <f>INDEX(Input!$1:$1048576,HZ$93,$C433*2+6)*INDEX(Input!$1:$1048576,$JG$93,$C433*2+6)</f>
        <v>1216</v>
      </c>
      <c r="IA433" s="644">
        <f>INDEX(Input!$1:$1048576,IA$93,$C433*2+6)*INDEX(Input!$1:$1048576,$JG$93,$C433*2+6)</f>
        <v>120</v>
      </c>
      <c r="IB433" s="644">
        <f t="shared" si="1142"/>
        <v>1155.5508407437617</v>
      </c>
      <c r="IC433" s="644">
        <f t="shared" si="1143"/>
        <v>1394.22624658464</v>
      </c>
      <c r="ID433" s="644">
        <f>IF(AND(INDEX(Input!$1:$1048576,IA$93,$C433*2+7)="TOS",Y433&lt;=INDEX(Y:Y,MATCH(C433*1000+2,A:A))),0,1)*MAX(IA433+HR433+HU433+HX433,0%)</f>
        <v>102.32822215497619</v>
      </c>
      <c r="IE433" s="128">
        <f t="shared" ref="IE433:IE436" si="1229">IB433/SUM($IB433:$ID433)</f>
        <v>0.43571076782349172</v>
      </c>
      <c r="IF433" s="128">
        <f t="shared" si="1210"/>
        <v>0.52570546184541633</v>
      </c>
      <c r="IG433" s="128">
        <f t="shared" si="1120"/>
        <v>3.8583770331091949E-2</v>
      </c>
      <c r="IH433" s="21"/>
      <c r="II433" s="19">
        <f t="shared" si="1121"/>
        <v>1490</v>
      </c>
      <c r="IJ433" s="19">
        <f t="shared" si="1122"/>
        <v>2203.2561351629856</v>
      </c>
      <c r="IK433" s="19">
        <f t="shared" si="1123"/>
        <v>242</v>
      </c>
      <c r="IL433" s="19">
        <f t="shared" si="1145"/>
        <v>1030</v>
      </c>
      <c r="IM433" s="19">
        <f t="shared" si="1124"/>
        <v>1030.2926678505437</v>
      </c>
      <c r="IN433" s="19">
        <f t="shared" si="1125"/>
        <v>265</v>
      </c>
      <c r="IO433" s="39">
        <f t="shared" si="1126"/>
        <v>0</v>
      </c>
      <c r="IP433" s="39">
        <f t="shared" si="1127"/>
        <v>0</v>
      </c>
      <c r="IQ433" s="39">
        <f t="shared" si="1128"/>
        <v>0</v>
      </c>
      <c r="IR433" s="39">
        <v>0</v>
      </c>
      <c r="IS433" s="39">
        <v>0</v>
      </c>
      <c r="IT433" s="39">
        <v>0</v>
      </c>
      <c r="IU433" s="39">
        <v>0</v>
      </c>
      <c r="IV433" s="39">
        <v>0</v>
      </c>
      <c r="IW433" s="39">
        <v>0</v>
      </c>
      <c r="IX433" s="39">
        <f>INDEX(Input!$1:$1048576,IX$93,$C433*2+6)+INDEX(Input!$1:$1048576,IX$94,$C433*2+6)</f>
        <v>1770</v>
      </c>
      <c r="IY433" s="39">
        <f>INDEX(Input!$1:$1048576,IY$93,$C433*2+6)+INDEX(Input!$1:$1048576,IY$94,$C433*2+6)</f>
        <v>2630.0624533823611</v>
      </c>
      <c r="IZ433" s="39">
        <f>INDEX(Input!$1:$1048576,IZ$93,$C433*2+6)+INDEX(Input!$1:$1048576,IZ$94,$C433*2+6)</f>
        <v>4153.7164157747848</v>
      </c>
      <c r="JA433" s="19">
        <f t="shared" si="1146"/>
        <v>2800</v>
      </c>
      <c r="JB433" s="19">
        <f t="shared" si="1147"/>
        <v>3660.3551212329048</v>
      </c>
      <c r="JC433" s="19">
        <f t="shared" si="1148"/>
        <v>4418.7164157747848</v>
      </c>
      <c r="JD433" s="19">
        <f t="shared" si="1149"/>
        <v>3314.7495687762362</v>
      </c>
      <c r="JE433" s="21"/>
      <c r="JF433" s="1">
        <f t="shared" si="1129"/>
        <v>3.2545831732385969E-2</v>
      </c>
      <c r="JG433" s="15">
        <f>INDEX(Input!$1:$1048576,JG$93,$C433*2+6)/(1+VLOOKUP(C433*1000+INDEX(Input!$1:$1048576,JG$93+1,$C433*2+6),$A:$KK,$JK$92,FALSE))</f>
        <v>2329</v>
      </c>
      <c r="JH433" s="1">
        <f t="shared" si="1150"/>
        <v>0.1203800215625043</v>
      </c>
      <c r="JI433" s="1">
        <f t="shared" si="1151"/>
        <v>1.8351326433793554E-2</v>
      </c>
      <c r="JJ433" s="1">
        <f t="shared" si="1211"/>
        <v>0</v>
      </c>
      <c r="JK433" s="1">
        <f t="shared" si="1212"/>
        <v>0.13873134799629785</v>
      </c>
      <c r="JL433" s="15">
        <f t="shared" si="1154"/>
        <v>323.10530948337771</v>
      </c>
      <c r="JM433" s="15">
        <f t="shared" si="1180"/>
        <v>2652.1053094833778</v>
      </c>
      <c r="JN433" s="21"/>
      <c r="JO433" s="19">
        <f>INDEX(Input!$1:$1048576,JO$93,$C433*2+6)</f>
        <v>5995.5</v>
      </c>
      <c r="JP433" s="19">
        <f>INDEX(Input!$1:$1048576,JP$93,$C433*2+6)</f>
        <v>2341.8685758720158</v>
      </c>
      <c r="JQ433" s="39">
        <f t="shared" si="1166"/>
        <v>2680.7504312237638</v>
      </c>
      <c r="JR433" s="39">
        <f t="shared" si="1183"/>
        <v>972.88099290422042</v>
      </c>
      <c r="JS433" s="39">
        <f t="shared" si="1168"/>
        <v>8.7910649309591928</v>
      </c>
      <c r="JT433" s="39">
        <f t="shared" si="1156"/>
        <v>3.3368530177532687</v>
      </c>
      <c r="JU433" s="385">
        <f>(JQ433*JM433-INDEX(Input!$1:$1048576,Input!A$18,$C433*2+6)*JL433*INDEX(Input!$1:$1048576,Input!A$19,$C433*2+6))/1000000</f>
        <v>7.1096324520483982</v>
      </c>
      <c r="JV433" s="39">
        <f t="shared" si="1190"/>
        <v>-1.3996751347456762</v>
      </c>
      <c r="JW433" s="1">
        <f t="shared" si="1181"/>
        <v>-0.16448754736729537</v>
      </c>
      <c r="JX433" s="19">
        <f t="shared" si="1172"/>
        <v>10327.447181504564</v>
      </c>
      <c r="JZ433" s="341"/>
      <c r="KA433" s="342"/>
      <c r="KB433" s="469">
        <f t="shared" si="1169"/>
        <v>2.3434325605641804</v>
      </c>
      <c r="KI433" s="473">
        <f t="shared" ref="KI433:KI436" si="1230">$JM433*IE433-$JG433*HY433/SUM($HY433:$IA433)</f>
        <v>162.55084074376168</v>
      </c>
      <c r="KJ433" s="473">
        <f t="shared" ref="KJ433:KJ436" si="1231">$JM433*IF433-$JG433*HZ433/SUM($HY433:$IA433)</f>
        <v>178.22624658463997</v>
      </c>
      <c r="KK433" s="473">
        <f t="shared" si="1158"/>
        <v>-17.671777845023811</v>
      </c>
      <c r="KN433" s="544">
        <f t="shared" si="1173"/>
        <v>4002</v>
      </c>
      <c r="KO433" s="541">
        <f t="shared" si="1133"/>
        <v>9.6540309013252168E-2</v>
      </c>
      <c r="KP433" s="546">
        <f t="shared" si="1134"/>
        <v>721.19133143458453</v>
      </c>
      <c r="KQ433" s="546">
        <f t="shared" si="1135"/>
        <v>689.97838074021502</v>
      </c>
      <c r="KR433" s="548">
        <f t="shared" si="1136"/>
        <v>2.3238796433034827</v>
      </c>
      <c r="KS433" s="548">
        <f t="shared" si="1137"/>
        <v>2.4290063295168451</v>
      </c>
      <c r="KT433" s="473">
        <f t="shared" si="1171"/>
        <v>1580.0986321700548</v>
      </c>
      <c r="KU433" s="663">
        <f t="shared" si="1159"/>
        <v>4.0904418860397591</v>
      </c>
      <c r="KV433" s="117"/>
    </row>
    <row r="434" spans="1:308" s="26" customFormat="1" ht="15">
      <c r="A434" s="561">
        <f t="shared" si="1138"/>
        <v>4034</v>
      </c>
      <c r="B434" s="561">
        <f t="shared" si="1160"/>
        <v>34</v>
      </c>
      <c r="C434" s="561">
        <f t="shared" si="1161"/>
        <v>4</v>
      </c>
      <c r="D434" s="561" t="str">
        <f t="shared" si="1206"/>
        <v xml:space="preserve">1000 CC, 1000 Combo, </v>
      </c>
      <c r="E434" s="475">
        <f>INDEX(Input!$1:$1048576,E$93,$C434*2+MIN($B434,2)+5)
+INDEX(Scenarios!E$121:E$200,MATCH($B434,Scenarios!$B$121:$B$200,0))</f>
        <v>2256.832975525977</v>
      </c>
      <c r="F434" s="475">
        <f>INDEX(Input!$1:$1048576,F$93,$C434*2+MIN($B434,2)+5)
+INDEX(Scenarios!F$121:F$200,MATCH($B434,Scenarios!$B$121:$B$200,0))</f>
        <v>0</v>
      </c>
      <c r="G434" s="475">
        <f>INDEX(Input!$1:$1048576,G$93,$C434*2+MIN($B434,2)+5)
+INDEX(Scenarios!G$121:G$200,MATCH($B434,Scenarios!$B$121:$B$200,0))</f>
        <v>0</v>
      </c>
      <c r="H434" s="475">
        <f>INDEX(Input!$1:$1048576,H$93,$C434*2+MIN($B434,2)+5)
+INDEX(Scenarios!H$121:H$200,MATCH($B434,Scenarios!$B$121:$B$200,0))</f>
        <v>0</v>
      </c>
      <c r="I434" s="476">
        <f>INDEX(Input!$1:$1048576,I$93,$C434*2+MIN($B434,2)+5)</f>
        <v>0.7</v>
      </c>
      <c r="J434" s="476" t="str">
        <f>INDEX(Input!$1:$1048576,J$93,$C434*2+MIN($B434,2)+5)</f>
        <v>Market</v>
      </c>
      <c r="K434" s="476" t="str">
        <f>INDEX(Input!$1:$1048576,K$93,$C434*2+MIN($B434,2)+5)</f>
        <v>Market</v>
      </c>
      <c r="L434" s="476" t="str">
        <f>INDEX(Input!$1:$1048576,L$93,$C434*2+MIN($B434,2)+5)</f>
        <v>Market</v>
      </c>
      <c r="M434" s="476" t="str">
        <f>INDEX(Input!$1:$1048576,M$93,$C434*2+MIN($B434,2)+5)</f>
        <v>Market</v>
      </c>
      <c r="N434" s="476" t="str">
        <f>INDEX(Input!$1:$1048576,N$93,$C434*2+MIN($B434,2)+5)</f>
        <v>Market</v>
      </c>
      <c r="O434" s="476" t="str">
        <f>INDEX(Input!$1:$1048576,O$93,$C434*2+MIN($B434,2)+5)</f>
        <v>Market</v>
      </c>
      <c r="P434" s="476" t="str">
        <f>INDEX(Input!$1:$1048576,P$93,$C434*2+MIN($B434,2)+5)</f>
        <v>N</v>
      </c>
      <c r="Q434" s="477">
        <f>INDEX(Input!$1:$1048576,Q$93,$C434*2+MIN($B434,2)+5)
+INDEX(Scenarios!Q$121:Q$200,MATCH($B434,Scenarios!$B$121:$B$200,0))</f>
        <v>1000</v>
      </c>
      <c r="R434" s="478">
        <f>IFERROR(MAX(0,INDEX(Input!$1:$1048576,R$93,$C434*2+MIN($B434,2)+5)
+INDEX(Scenarios!R$121:R$200,MATCH($B434,Scenarios!$B$121:$B$200,0)),),"Market")</f>
        <v>0</v>
      </c>
      <c r="S434" s="478">
        <f>IFERROR(MAX(0,INDEX(Input!$1:$1048576,S$93,$C434*2+MIN($B434,2)+5)
+INDEX(Scenarios!S$121:S$200,MATCH($B434,Scenarios!$B$121:$B$200,0)),),"Market")</f>
        <v>0</v>
      </c>
      <c r="T434" s="478">
        <f>IFERROR(MAX(0,INDEX(Input!$1:$1048576,T$93,$C434*2+MIN($B434,2)+5)
+INDEX(Scenarios!T$121:T$200,MATCH($B434,Scenarios!$B$121:$B$200,0)),),"Market")</f>
        <v>0</v>
      </c>
      <c r="U434" s="478">
        <f>IFERROR(MAX(0,INDEX(Input!$1:$1048576,U$93,$C434*2+MIN($B434,2)+5)
+INDEX(Scenarios!U$121:U$200,MATCH($B434,Scenarios!$B$121:$B$200,0)),),"Market")</f>
        <v>0</v>
      </c>
      <c r="V434" s="478">
        <f>IFERROR(MAX(0,INDEX(Input!$1:$1048576,V$93,$C434*2+MIN($B434,2)+5)
+INDEX(Scenarios!V$121:V$200,MATCH($B434,Scenarios!$B$121:$B$200,0)),),"Market")</f>
        <v>1.9E-2</v>
      </c>
      <c r="W434" s="885">
        <f>IFERROR(MAX(0,INDEX(Input!$1:$1048576,W$93,$C434*2+MIN($B434,2)+5)-0%,),"Market")</f>
        <v>3.9E-2</v>
      </c>
      <c r="X434" s="476" t="str">
        <f>INDEX(Input!$1:$1048576,X$93,$C434*2+MIN($B434,2)+5)</f>
        <v>Y</v>
      </c>
      <c r="Y434" s="475">
        <f>INDEX(Input!$1:$1048576,Y$93,$C434*2+MIN($B434,2)+5)
++INDEX(Scenarios!Y$121:Y$200,MATCH($B434,Scenarios!$B$121:$B$200,0))</f>
        <v>-870</v>
      </c>
      <c r="Z434" s="477">
        <f>INDEX(Input!$1:$1048576,Z$93,$C434*2+MIN($B434,2)+5)
+INDEX(Scenarios!Z$121:Z$200,MATCH($B434,Scenarios!$B$121:$B$200,0))</f>
        <v>0</v>
      </c>
      <c r="AA434" s="475">
        <f>INDEX(Input!$1:$1048576,AA$93,$C434*2+MIN($B434,2)+5)
+INDEX(Scenarios!AA$121:AA$200,MATCH($B434,Scenarios!$B$121:$B$200,0))</f>
        <v>0</v>
      </c>
      <c r="AB434" s="476">
        <f>INDEX(Input!$1:$1048576,AB$93,$C434*2+MIN($B434,2)+5)</f>
        <v>0.27</v>
      </c>
      <c r="AC434" s="475">
        <f>INDEX(Input!$1:$1048576,AC$93,$C434*2+MIN($B434,2)+5)
+INDEX(Scenarios!AC$121:AC$200,MATCH($B434,Scenarios!$B$121:$B$200,0))</f>
        <v>0</v>
      </c>
      <c r="AD434" s="476">
        <f>INDEX(Input!$1:$1048576,AD$93,$C434*2+MIN($B434,2)+5)</f>
        <v>0.27</v>
      </c>
      <c r="AE434" s="475">
        <f>INDEX(Input!$1:$1048576,AE$93,$C434*2+MIN($B434,2)+5)
+INDEX(Scenarios!AE$121:AE$200,MATCH($B434,Scenarios!$B$121:$B$200,0))</f>
        <v>0</v>
      </c>
      <c r="AF434" s="476">
        <f>INDEX(Input!$1:$1048576,AF$93,$C434*2+MIN($B434,2)+5)</f>
        <v>1</v>
      </c>
      <c r="AG434" s="475">
        <f>INDEX(Input!$1:$1048576,AG$93,$C434*2+MIN($B434,2)+5)
+INDEX(Scenarios!AG$121:AG$200,MATCH($B434,Scenarios!$B$121:$B$200,0))</f>
        <v>500</v>
      </c>
      <c r="AH434" s="476">
        <f>INDEX(Input!$1:$1048576,AH$93,$C434*2+MIN($B434,2)+5)</f>
        <v>0.83199999999999996</v>
      </c>
      <c r="AI434" s="475">
        <f>INDEX(Input!$1:$1048576,AI$93,$C434*2+MIN($B434,2)+5)
+INDEX(Scenarios!AI$121:AI$200,MATCH($B434,Scenarios!$B$121:$B$200,0))</f>
        <v>0</v>
      </c>
      <c r="AJ434" s="476">
        <f>INDEX(Input!$1:$1048576,AJ$93,$C434*2+MIN($B434,2)+5)</f>
        <v>0.27</v>
      </c>
      <c r="AK434" s="150">
        <f>ROUND(INDEX(Input!$1:$1048576,AK$93,$C433*2+MIN($B434,1)+5)+(Y434-VLOOKUP($C434*1000+1,$A:$HH,Y$92,FALSE)),0)</f>
        <v>2587</v>
      </c>
      <c r="AL434" s="150">
        <f>ROUND(INDEX(Input!$1:$1048576,AL$93,$C433*2+MIN($B434,1)+5)-(Y434-VLOOKUP($C434*1000+1,$A:$HH,Y$92,FALSE))/36,0)</f>
        <v>3406</v>
      </c>
      <c r="AM434" s="32" t="str">
        <f t="shared" si="1139"/>
        <v>std/std/std/std</v>
      </c>
      <c r="AN434" s="32" t="str">
        <f t="shared" si="1140"/>
        <v>$1000 + 0/0/0/1.9/3.9</v>
      </c>
      <c r="AO434" s="32" t="str">
        <f t="shared" si="1141"/>
        <v>0/0/0/1.9/3.9</v>
      </c>
      <c r="AP434" s="32" t="str">
        <f t="shared" si="1213"/>
        <v>0/0.9/1.9/3.9</v>
      </c>
      <c r="AQ434" s="536">
        <f t="shared" si="1207"/>
        <v>0.43922255657492243</v>
      </c>
      <c r="AR434" s="32"/>
      <c r="AS434" s="302"/>
      <c r="AT434" s="3">
        <f t="shared" si="1162"/>
        <v>34</v>
      </c>
      <c r="AU434" s="41" t="s">
        <v>121</v>
      </c>
      <c r="AV434" s="41" t="s">
        <v>116</v>
      </c>
      <c r="AW434" s="41" t="str">
        <f>INDEX(Input!$1:$1048576,AW$93,$C434*2+6)</f>
        <v>Kia</v>
      </c>
      <c r="AX434" s="41" t="str">
        <f>INDEX(Input!$1:$1048576,AX$93,$C434*2+6)</f>
        <v>Kia-LR - R1</v>
      </c>
      <c r="AY434" s="41" t="str">
        <f>IF(LEN(D434)=0,"",INDEX(Input!$1:$1048576,AY$93,$C434*2+6))</f>
        <v>Compact SUV (52)</v>
      </c>
      <c r="AZ434" s="41" t="str">
        <f>INDEX(Input!$1:$1048576,AZ$93,$C434*2+6)</f>
        <v>Kia Soul</v>
      </c>
      <c r="BA434" s="3">
        <f>INDEX(Input!$1:$1048576,BA$93,$C434*2+6)</f>
        <v>2020</v>
      </c>
      <c r="BB434" s="128">
        <f>INDEX(Input!$1:$1048576,BB$93,$C434*2+6)</f>
        <v>1</v>
      </c>
      <c r="BC434" s="128">
        <f>INDEX(Input!$1:$1048576,BC$93,$C434*2+6)</f>
        <v>0.7</v>
      </c>
      <c r="BD434" s="1">
        <f>INDEX(Input!$1:$1048576,BD$93,$C434*2+6)</f>
        <v>4.4999999999999998E-2</v>
      </c>
      <c r="BE434" s="1">
        <f>INDEX(Input!$1:$1048576,BE$93,$C434*2+6)</f>
        <v>4.4999999999999998E-2</v>
      </c>
      <c r="BF434" s="1">
        <f>INDEX(Input!$1:$1048576,BF$93,$C434*2+6)</f>
        <v>0.05</v>
      </c>
      <c r="BG434" s="1">
        <f>INDEX(Input!$1:$1048576,BG$93,$C434*2+6)</f>
        <v>5.45E-2</v>
      </c>
      <c r="BH434" s="1">
        <f>INDEX(Input!$1:$1048576,BH$93,$C434*2+6)</f>
        <v>5.45E-2</v>
      </c>
      <c r="BI434" s="1">
        <f>INDEX(Input!$1:$1048576,BI$93,$C434*2+6)</f>
        <v>0.05</v>
      </c>
      <c r="BJ434" s="1">
        <f>INDEX(Input!$1:$1048576,BJ$93,$C434*2+6)</f>
        <v>0.05</v>
      </c>
      <c r="BK434" s="1">
        <f>INDEX(Input!$1:$1048576,BK$93,$C434*2+6)</f>
        <v>0.05</v>
      </c>
      <c r="BL434" s="1">
        <f>INDEX(Input!$1:$1048576,BL$93,$C434*2+6)</f>
        <v>5.5E-2</v>
      </c>
      <c r="BM434" s="1">
        <f>INDEX(Input!$1:$1048576,BM$93,$C434*2+6)</f>
        <v>0.06</v>
      </c>
      <c r="BN434" s="1">
        <f>INDEX(Input!$1:$1048576,BN$93,$C434*2+6)</f>
        <v>4.4999999999999998E-2</v>
      </c>
      <c r="BO434" s="1">
        <f>INDEX(Input!$1:$1048576,BO$93,$C434*2+6)</f>
        <v>4.4999999999999998E-2</v>
      </c>
      <c r="BP434" s="1">
        <f>INDEX(Input!$1:$1048576,BP$93,$C434*2+6)</f>
        <v>0.05</v>
      </c>
      <c r="BQ434" s="1">
        <f>INDEX(Input!$1:$1048576,BQ$93,$C434*2+6)</f>
        <v>5.45E-2</v>
      </c>
      <c r="BR434" s="1">
        <f>INDEX(Input!$1:$1048576,BR$93,$C434*2+6)</f>
        <v>5.45E-2</v>
      </c>
      <c r="BS434" s="1">
        <f>INDEX(Input!$1:$1048576,BS$93,$C434*2+6)</f>
        <v>0.05</v>
      </c>
      <c r="BT434" s="1">
        <f>INDEX(Input!$1:$1048576,BT$93,$C434*2+6)</f>
        <v>0.05</v>
      </c>
      <c r="BU434" s="1">
        <f>INDEX(Input!$1:$1048576,BU$93,$C434*2+6)</f>
        <v>0.05</v>
      </c>
      <c r="BV434" s="1">
        <f>INDEX(Input!$1:$1048576,BV$93,$C434*2+6)</f>
        <v>5.5E-2</v>
      </c>
      <c r="BW434" s="1">
        <f>INDEX(Input!$1:$1048576,BW$93,$C434*2+6)</f>
        <v>0.06</v>
      </c>
      <c r="BX434" s="127">
        <f>INDEX(Input!$1:$1048576,BX$93,$C434*2+6)</f>
        <v>19985</v>
      </c>
      <c r="BY434" s="20">
        <f>INDEX(Input!$1:$1048576,BY$93,$C434*2+6)</f>
        <v>0.1</v>
      </c>
      <c r="BZ434" s="20">
        <f>INDEX(Input!$1:$1048576,BZ$93,$C434*2+6)</f>
        <v>0.1</v>
      </c>
      <c r="CA434" s="20">
        <f>INDEX(Input!$1:$1048576,CA$93,$C434*2+6)</f>
        <v>0.1</v>
      </c>
      <c r="CB434" s="20">
        <f>INDEX(Input!$1:$1048576,CB$93,$C434*2+6)</f>
        <v>0.1</v>
      </c>
      <c r="CC434" s="20">
        <f>INDEX(Input!$1:$1048576,CC$93,$C434*2+6)</f>
        <v>0.1</v>
      </c>
      <c r="CD434" s="384">
        <f>INDEX(Input!$1:$1048576,CD$93,$C434*2+6)</f>
        <v>0.1</v>
      </c>
      <c r="CE434" s="384">
        <f>INDEX(Input!$1:$1048576,CE$93,$C434*2+6)</f>
        <v>0.1</v>
      </c>
      <c r="CF434" s="384">
        <f>INDEX(Input!$1:$1048576,CF$93,$C434*2+6)</f>
        <v>0.1</v>
      </c>
      <c r="CG434" s="384">
        <f>INDEX(Input!$1:$1048576,CG$93,$C434*2+6)</f>
        <v>0.1</v>
      </c>
      <c r="CH434" s="384">
        <f>INDEX(Input!$1:$1048576,CH$93,$C434*2+6)</f>
        <v>0.1</v>
      </c>
      <c r="CI434" s="304">
        <f t="shared" si="1214"/>
        <v>2256.832975525977</v>
      </c>
      <c r="CJ434" s="16" t="str">
        <f>INDEX(Input!$1:$1048576,CJ$93,$C434*2+6)</f>
        <v>N</v>
      </c>
      <c r="CK434" s="1" t="str">
        <f t="shared" si="1215"/>
        <v>Market</v>
      </c>
      <c r="CL434" s="1" t="str">
        <f t="shared" si="1216"/>
        <v>Market</v>
      </c>
      <c r="CM434" s="1" t="str">
        <f t="shared" si="1217"/>
        <v>Market</v>
      </c>
      <c r="CN434" s="1" t="str">
        <f t="shared" si="1218"/>
        <v>Market</v>
      </c>
      <c r="CO434" s="1" t="str">
        <f t="shared" si="1219"/>
        <v>Market</v>
      </c>
      <c r="CP434" s="304">
        <f t="shared" si="1220"/>
        <v>1416</v>
      </c>
      <c r="CQ434" s="1">
        <f t="shared" si="1221"/>
        <v>0</v>
      </c>
      <c r="CR434" s="1">
        <f t="shared" si="1222"/>
        <v>0</v>
      </c>
      <c r="CS434" s="1">
        <f t="shared" si="1223"/>
        <v>0</v>
      </c>
      <c r="CT434" s="1">
        <f t="shared" si="1224"/>
        <v>1.9E-2</v>
      </c>
      <c r="CU434" s="1">
        <f t="shared" si="1225"/>
        <v>3.9E-2</v>
      </c>
      <c r="CV434" s="304">
        <f t="shared" si="1226"/>
        <v>-870</v>
      </c>
      <c r="CW434" s="20" t="s">
        <v>122</v>
      </c>
      <c r="CX434" s="20" t="s">
        <v>122</v>
      </c>
      <c r="CY434" s="20" t="s">
        <v>122</v>
      </c>
      <c r="CZ434" s="20" t="s">
        <v>122</v>
      </c>
      <c r="DA434" s="20" t="s">
        <v>122</v>
      </c>
      <c r="DB434" s="503">
        <f t="shared" si="1227"/>
        <v>0</v>
      </c>
      <c r="DC434" s="127">
        <v>0</v>
      </c>
      <c r="DD434" s="127">
        <v>0</v>
      </c>
      <c r="DE434" s="127">
        <v>0</v>
      </c>
      <c r="DF434" s="127">
        <v>0</v>
      </c>
      <c r="DG434" s="127">
        <v>0</v>
      </c>
      <c r="DH434" s="127">
        <v>0</v>
      </c>
      <c r="DI434" s="127">
        <v>0</v>
      </c>
      <c r="DJ434" s="127">
        <v>0</v>
      </c>
      <c r="DK434" s="127">
        <v>0</v>
      </c>
      <c r="DL434" s="127">
        <v>0</v>
      </c>
      <c r="DM434" s="304">
        <f>INDEX(Input!$1:$1048576,DM$93,$C434*2+6)</f>
        <v>21036.84210526316</v>
      </c>
      <c r="DN434" s="20">
        <v>0</v>
      </c>
      <c r="DO434" s="20">
        <v>0</v>
      </c>
      <c r="DP434" s="20">
        <v>0</v>
      </c>
      <c r="DQ434" s="20">
        <v>0</v>
      </c>
      <c r="DR434" s="20">
        <v>0</v>
      </c>
      <c r="DS434" s="20">
        <f>INDEX(Input!$1:$1048576,DS$93,$C434*2+6)</f>
        <v>0.6</v>
      </c>
      <c r="DT434" s="20">
        <f>INDEX(Input!$1:$1048576,DT$93,$C434*2+6)</f>
        <v>0.55000000000000004</v>
      </c>
      <c r="DU434" s="20">
        <f>INDEX(Input!$1:$1048576,DU$93,$C434*2+6)</f>
        <v>0.52</v>
      </c>
      <c r="DV434" s="20">
        <f>INDEX(Input!$1:$1048576,DV$93,$C434*2+6)</f>
        <v>0.5</v>
      </c>
      <c r="DW434" s="20">
        <f>INDEX(Input!$1:$1048576,DW$93,$C434*2+6)</f>
        <v>0.45</v>
      </c>
      <c r="DX434" s="20"/>
      <c r="DY434" s="7">
        <v>0.11472952527836096</v>
      </c>
      <c r="DZ434" s="7">
        <v>0</v>
      </c>
      <c r="EA434" s="7">
        <v>0.8099769341923917</v>
      </c>
      <c r="EB434" s="7">
        <v>0</v>
      </c>
      <c r="EC434" s="7">
        <v>0</v>
      </c>
      <c r="ED434" s="7">
        <v>0</v>
      </c>
      <c r="EE434" s="7">
        <v>0</v>
      </c>
      <c r="EF434" s="7">
        <v>0</v>
      </c>
      <c r="EG434" s="7">
        <v>0</v>
      </c>
      <c r="EH434" s="7">
        <v>1.2284157255505634E-2</v>
      </c>
      <c r="EI434" s="7">
        <v>3.2103229684779466E-2</v>
      </c>
      <c r="EJ434" s="7">
        <v>0.22537561894114541</v>
      </c>
      <c r="EK434" s="7">
        <v>0.59311317631904903</v>
      </c>
      <c r="EL434" s="7">
        <v>0.13712381779952065</v>
      </c>
      <c r="EM434" s="7">
        <v>4.3867733815162631E-2</v>
      </c>
      <c r="EN434" s="7">
        <v>5.0417770777945937E-2</v>
      </c>
      <c r="EO434" s="7">
        <v>0.71274794562633403</v>
      </c>
      <c r="EP434" s="7">
        <v>0.10252174898700225</v>
      </c>
      <c r="EQ434" s="7">
        <v>8.9933695042135095E-2</v>
      </c>
      <c r="ER434" s="7">
        <v>4.4378839566583089E-2</v>
      </c>
      <c r="ES434" s="7">
        <v>3.142580671408475E-2</v>
      </c>
      <c r="ET434" s="7">
        <v>7.529354052924736E-2</v>
      </c>
      <c r="EU434" s="6">
        <v>2770</v>
      </c>
      <c r="EV434" s="6">
        <v>0</v>
      </c>
      <c r="EW434" s="6">
        <v>2770</v>
      </c>
      <c r="EX434" s="6">
        <v>0</v>
      </c>
      <c r="EY434" s="6">
        <v>3483.6214414026026</v>
      </c>
      <c r="EZ434" s="6">
        <v>507</v>
      </c>
      <c r="FA434" s="6">
        <v>0</v>
      </c>
      <c r="FB434" s="6">
        <v>0</v>
      </c>
      <c r="FC434" s="6">
        <v>0</v>
      </c>
      <c r="FD434" s="6">
        <v>0</v>
      </c>
      <c r="FE434" s="6">
        <v>0</v>
      </c>
      <c r="FF434" s="6">
        <v>0</v>
      </c>
      <c r="FG434" s="6">
        <v>0</v>
      </c>
      <c r="FH434" s="6">
        <v>1169.805774369486</v>
      </c>
      <c r="FI434" s="6">
        <v>1553.9796069512397</v>
      </c>
      <c r="FJ434" s="6">
        <v>2101.2110117447401</v>
      </c>
      <c r="FK434" s="6">
        <v>1772.7139978623234</v>
      </c>
      <c r="FL434" s="6">
        <v>907.07682140966335</v>
      </c>
      <c r="FM434" s="6">
        <v>1713.6214414026028</v>
      </c>
      <c r="FN434" s="6">
        <v>0</v>
      </c>
      <c r="FO434" s="6">
        <v>0</v>
      </c>
      <c r="FP434" s="6">
        <v>0</v>
      </c>
      <c r="FQ434" s="6">
        <v>0</v>
      </c>
      <c r="FR434" s="6">
        <v>0</v>
      </c>
      <c r="FS434" s="6">
        <v>0</v>
      </c>
      <c r="FT434" s="7">
        <v>0.9247064594707527</v>
      </c>
      <c r="FU434" s="7">
        <v>4.3867733815162631E-2</v>
      </c>
      <c r="FV434" s="7">
        <v>3.142580671408475E-2</v>
      </c>
      <c r="FW434" s="6">
        <v>2769.9999999999995</v>
      </c>
      <c r="FX434" s="6">
        <v>3483.6214414026026</v>
      </c>
      <c r="FY434" s="6">
        <v>507</v>
      </c>
      <c r="FZ434" s="6">
        <v>1949.5716051445115</v>
      </c>
      <c r="GA434" s="6">
        <v>2730.1883548422684</v>
      </c>
      <c r="GB434" s="6">
        <v>17254.81164515773</v>
      </c>
      <c r="GC434" s="7">
        <v>3.3872851927908169E-2</v>
      </c>
      <c r="GD434" s="7">
        <v>3.7480620832707937E-2</v>
      </c>
      <c r="GE434" s="7"/>
      <c r="GF434" s="7"/>
      <c r="GG434" s="7">
        <v>0.1065091570228042</v>
      </c>
      <c r="GH434" s="42">
        <v>2.7267996797723062</v>
      </c>
      <c r="GI434" s="6">
        <v>10059.292926861577</v>
      </c>
      <c r="GJ434" s="14">
        <v>0.50394797582841722</v>
      </c>
      <c r="GK434" s="14">
        <v>0.50887573065309766</v>
      </c>
      <c r="GL434" s="14">
        <v>0.49605202417158312</v>
      </c>
      <c r="GM434" s="14">
        <v>0.49112426934690223</v>
      </c>
      <c r="GO434" s="5">
        <v>343.14810671672558</v>
      </c>
      <c r="GP434" s="5">
        <v>290.30179111306006</v>
      </c>
      <c r="GQ434" s="5">
        <v>535.04305713031317</v>
      </c>
      <c r="GR434" s="5">
        <v>410.15490233172511</v>
      </c>
      <c r="GS434" s="5">
        <v>339.42744393800166</v>
      </c>
      <c r="GT434" s="5">
        <v>293.4407446948278</v>
      </c>
      <c r="GU434" s="5">
        <v>258.04012322764959</v>
      </c>
      <c r="GV434" s="39" t="s">
        <v>392</v>
      </c>
      <c r="GW434" s="5">
        <v>450.45833333333331</v>
      </c>
      <c r="GX434" s="5">
        <v>337.84375</v>
      </c>
      <c r="GY434" s="5">
        <v>270.27499999999998</v>
      </c>
      <c r="GZ434" s="5">
        <v>238.48916616741096</v>
      </c>
      <c r="HA434" s="5">
        <v>220.91451012583784</v>
      </c>
      <c r="HB434" s="39">
        <v>249.03647981585524</v>
      </c>
      <c r="HC434" s="5">
        <v>265.10312499999998</v>
      </c>
      <c r="HD434" s="5">
        <v>224.66580774853799</v>
      </c>
      <c r="HE434" s="5">
        <v>226.90661690283397</v>
      </c>
      <c r="HF434" s="5">
        <v>209.18438048245613</v>
      </c>
      <c r="HG434" s="5">
        <v>200.91388157894738</v>
      </c>
      <c r="HH434" s="39">
        <v>224.48791393479951</v>
      </c>
      <c r="HI434" s="16"/>
      <c r="HJ434" s="19" t="str">
        <f t="shared" si="1204"/>
        <v>On</v>
      </c>
      <c r="HK434" s="1" t="str">
        <f t="shared" si="1204"/>
        <v>On</v>
      </c>
      <c r="HL434" s="16"/>
      <c r="HM434" s="639">
        <f t="shared" si="1110"/>
        <v>2.9403358434788716E-2</v>
      </c>
      <c r="HN434" s="639">
        <f t="shared" si="1111"/>
        <v>1.4106809950923669E-3</v>
      </c>
      <c r="HO434" s="639">
        <f t="shared" si="1112"/>
        <v>1.7317923025048877E-3</v>
      </c>
      <c r="HP434" s="644">
        <f>(FT434*$GD434-HM434)/$JF434*INDEX(Input!$1:$1048576,$JG$93,$C434*2+6)</f>
        <v>376.06637108401509</v>
      </c>
      <c r="HQ434" s="644">
        <f>(FU434*$GD434-HN434)/$JF434*INDEX(Input!$1:$1048576,$JG$93,$C434*2+6)</f>
        <v>16.710042599270913</v>
      </c>
      <c r="HR434" s="644">
        <f>(FV434*$GD434-HO434)/$JF434*INDEX(Input!$1:$1048576,$JG$93,$C434*2+6)</f>
        <v>-39.639830505625561</v>
      </c>
      <c r="HS434" s="644">
        <f t="shared" si="1228"/>
        <v>-168.07797719534045</v>
      </c>
      <c r="HT434" s="644">
        <f t="shared" si="1114"/>
        <v>205.00416496931592</v>
      </c>
      <c r="HU434" s="644">
        <f t="shared" si="1115"/>
        <v>15.287676015471009</v>
      </c>
      <c r="HV434" s="648">
        <f t="shared" si="1116"/>
        <v>0</v>
      </c>
      <c r="HW434" s="648">
        <f t="shared" si="1117"/>
        <v>0</v>
      </c>
      <c r="HX434" s="648">
        <f t="shared" si="1118"/>
        <v>0</v>
      </c>
      <c r="HY434" s="644">
        <f>INDEX(Input!$1:$1048576,HY$93,$C434*2+6)*INDEX(Input!$1:$1048576,$JG$93,$C434*2+6)</f>
        <v>993</v>
      </c>
      <c r="HZ434" s="644">
        <f>INDEX(Input!$1:$1048576,HZ$93,$C434*2+6)*INDEX(Input!$1:$1048576,$JG$93,$C434*2+6)</f>
        <v>1216</v>
      </c>
      <c r="IA434" s="644">
        <f>INDEX(Input!$1:$1048576,IA$93,$C434*2+6)*INDEX(Input!$1:$1048576,$JG$93,$C434*2+6)</f>
        <v>120</v>
      </c>
      <c r="IB434" s="644">
        <f t="shared" si="1142"/>
        <v>1200.9883938886746</v>
      </c>
      <c r="IC434" s="644">
        <f t="shared" si="1143"/>
        <v>1437.714207568587</v>
      </c>
      <c r="ID434" s="644">
        <f>IF(AND(INDEX(Input!$1:$1048576,IA$93,$C434*2+7)="TOS",Y434&lt;=INDEX(Y:Y,MATCH(C434*1000+2,A:A))),0,1)*MAX(IA434+HR434+HU434+HX434,0%)</f>
        <v>95.647845509845453</v>
      </c>
      <c r="IE434" s="128">
        <f t="shared" si="1229"/>
        <v>0.43922255657492243</v>
      </c>
      <c r="IF434" s="128">
        <f t="shared" si="1210"/>
        <v>0.52579734582422455</v>
      </c>
      <c r="IG434" s="128">
        <f t="shared" si="1120"/>
        <v>3.4980097600853008E-2</v>
      </c>
      <c r="IH434" s="21"/>
      <c r="II434" s="19">
        <f t="shared" si="1121"/>
        <v>1490</v>
      </c>
      <c r="IJ434" s="19">
        <f t="shared" si="1122"/>
        <v>2203.2561351629856</v>
      </c>
      <c r="IK434" s="19">
        <f t="shared" si="1123"/>
        <v>242</v>
      </c>
      <c r="IL434" s="19">
        <f t="shared" si="1145"/>
        <v>1279.9999999999995</v>
      </c>
      <c r="IM434" s="19">
        <f t="shared" si="1124"/>
        <v>1280.365306239617</v>
      </c>
      <c r="IN434" s="19">
        <f t="shared" si="1125"/>
        <v>265</v>
      </c>
      <c r="IO434" s="39">
        <f t="shared" si="1126"/>
        <v>0</v>
      </c>
      <c r="IP434" s="39">
        <f t="shared" si="1127"/>
        <v>0</v>
      </c>
      <c r="IQ434" s="39">
        <f t="shared" si="1128"/>
        <v>0</v>
      </c>
      <c r="IR434" s="39">
        <v>0</v>
      </c>
      <c r="IS434" s="39">
        <v>0</v>
      </c>
      <c r="IT434" s="39">
        <v>0</v>
      </c>
      <c r="IU434" s="39">
        <v>0</v>
      </c>
      <c r="IV434" s="39">
        <v>0</v>
      </c>
      <c r="IW434" s="39">
        <v>0</v>
      </c>
      <c r="IX434" s="39">
        <f>INDEX(Input!$1:$1048576,IX$93,$C434*2+6)+INDEX(Input!$1:$1048576,IX$94,$C434*2+6)</f>
        <v>1770</v>
      </c>
      <c r="IY434" s="39">
        <f>INDEX(Input!$1:$1048576,IY$93,$C434*2+6)+INDEX(Input!$1:$1048576,IY$94,$C434*2+6)</f>
        <v>2630.0624533823611</v>
      </c>
      <c r="IZ434" s="39">
        <f>INDEX(Input!$1:$1048576,IZ$93,$C434*2+6)+INDEX(Input!$1:$1048576,IZ$94,$C434*2+6)</f>
        <v>4153.7164157747848</v>
      </c>
      <c r="JA434" s="19">
        <f t="shared" si="1146"/>
        <v>3049.9999999999995</v>
      </c>
      <c r="JB434" s="19">
        <f t="shared" si="1147"/>
        <v>3910.4277596219781</v>
      </c>
      <c r="JC434" s="19">
        <f t="shared" si="1148"/>
        <v>4418.7164157747848</v>
      </c>
      <c r="JD434" s="19">
        <f t="shared" si="1149"/>
        <v>3550.2884660944114</v>
      </c>
      <c r="JE434" s="21"/>
      <c r="JF434" s="1">
        <f t="shared" si="1129"/>
        <v>3.2545831732385969E-2</v>
      </c>
      <c r="JG434" s="15">
        <f>INDEX(Input!$1:$1048576,JG$93,$C434*2+6)/(1+VLOOKUP(C434*1000+INDEX(Input!$1:$1048576,JG$93+1,$C434*2+6),$A:$KK,$JK$92,FALSE))</f>
        <v>2329</v>
      </c>
      <c r="JH434" s="1">
        <f t="shared" si="1150"/>
        <v>0.15162584078044675</v>
      </c>
      <c r="JI434" s="1">
        <f t="shared" si="1151"/>
        <v>2.2419005491389643E-2</v>
      </c>
      <c r="JJ434" s="1">
        <f t="shared" si="1211"/>
        <v>0</v>
      </c>
      <c r="JK434" s="1">
        <f t="shared" si="1212"/>
        <v>0.17404484627183639</v>
      </c>
      <c r="JL434" s="15">
        <f t="shared" si="1154"/>
        <v>405.35044696710696</v>
      </c>
      <c r="JM434" s="15">
        <f t="shared" si="1180"/>
        <v>2734.350446967107</v>
      </c>
      <c r="JN434" s="21"/>
      <c r="JO434" s="19">
        <f>INDEX(Input!$1:$1048576,JO$93,$C434*2+6)</f>
        <v>5995.5</v>
      </c>
      <c r="JP434" s="19">
        <f>INDEX(Input!$1:$1048576,JP$93,$C434*2+6)</f>
        <v>2341.8685758720158</v>
      </c>
      <c r="JQ434" s="39">
        <f t="shared" si="1166"/>
        <v>2445.2115339055886</v>
      </c>
      <c r="JR434" s="39">
        <f t="shared" si="1183"/>
        <v>1208.4198902223957</v>
      </c>
      <c r="JS434" s="39">
        <f t="shared" si="1168"/>
        <v>9.7077328541274177</v>
      </c>
      <c r="JT434" s="39">
        <f t="shared" si="1156"/>
        <v>4.2535209409214936</v>
      </c>
      <c r="JU434" s="385">
        <f>(JQ434*JM434-INDEX(Input!$1:$1048576,Input!A$18,$C434*2+6)*JL434*INDEX(Input!$1:$1048576,Input!A$19,$C434*2+6))/1000000</f>
        <v>6.686065250663872</v>
      </c>
      <c r="JV434" s="39">
        <f t="shared" si="1190"/>
        <v>-1.8232423361302024</v>
      </c>
      <c r="JW434" s="1">
        <f t="shared" si="1181"/>
        <v>-0.21426447657853656</v>
      </c>
      <c r="JX434" s="19">
        <f t="shared" si="1172"/>
        <v>10493.440855306753</v>
      </c>
      <c r="JZ434" s="341"/>
      <c r="KA434" s="342"/>
      <c r="KB434" s="469">
        <f t="shared" si="1169"/>
        <v>2.3434325605641804</v>
      </c>
      <c r="KI434" s="473">
        <f t="shared" si="1230"/>
        <v>207.98839388867464</v>
      </c>
      <c r="KJ434" s="473">
        <f t="shared" si="1231"/>
        <v>221.71420756858697</v>
      </c>
      <c r="KK434" s="473">
        <f t="shared" si="1158"/>
        <v>-24.352154490154547</v>
      </c>
      <c r="KN434" s="544">
        <f t="shared" si="1173"/>
        <v>4002</v>
      </c>
      <c r="KO434" s="541">
        <f t="shared" si="1133"/>
        <v>0.13054540984720586</v>
      </c>
      <c r="KP434" s="546">
        <f t="shared" si="1134"/>
        <v>965.18727722896131</v>
      </c>
      <c r="KQ434" s="546">
        <f t="shared" si="1135"/>
        <v>925.51727805839027</v>
      </c>
      <c r="KR434" s="548">
        <f t="shared" si="1136"/>
        <v>2.3480398454957037</v>
      </c>
      <c r="KS434" s="548">
        <f t="shared" si="1137"/>
        <v>2.4486827410218592</v>
      </c>
      <c r="KT434" s="473">
        <f t="shared" si="1171"/>
        <v>1580.0986321700548</v>
      </c>
      <c r="KU434" s="663">
        <f t="shared" si="1159"/>
        <v>4.1120697331579379</v>
      </c>
      <c r="KV434" s="117"/>
    </row>
    <row r="435" spans="1:308" s="26" customFormat="1" ht="15">
      <c r="A435" s="561">
        <f t="shared" si="1138"/>
        <v>4035</v>
      </c>
      <c r="B435" s="561">
        <f t="shared" si="1160"/>
        <v>35</v>
      </c>
      <c r="C435" s="561">
        <f t="shared" si="1161"/>
        <v>4</v>
      </c>
      <c r="D435" s="561" t="str">
        <f t="shared" si="1206"/>
        <v xml:space="preserve">250 CC, 0/0/0.9/3.9, </v>
      </c>
      <c r="E435" s="475">
        <f>INDEX(Input!$1:$1048576,E$93,$C435*2+MIN($B435,2)+5)
+INDEX(Scenarios!E$121:E$200,MATCH($B435,Scenarios!$B$121:$B$200,0))</f>
        <v>1506.832975525977</v>
      </c>
      <c r="F435" s="475">
        <f>INDEX(Input!$1:$1048576,F$93,$C435*2+MIN($B435,2)+5)
+INDEX(Scenarios!F$121:F$200,MATCH($B435,Scenarios!$B$121:$B$200,0))</f>
        <v>0</v>
      </c>
      <c r="G435" s="475">
        <f>INDEX(Input!$1:$1048576,G$93,$C435*2+MIN($B435,2)+5)
+INDEX(Scenarios!G$121:G$200,MATCH($B435,Scenarios!$B$121:$B$200,0))</f>
        <v>0</v>
      </c>
      <c r="H435" s="475">
        <f>INDEX(Input!$1:$1048576,H$93,$C435*2+MIN($B435,2)+5)
+INDEX(Scenarios!H$121:H$200,MATCH($B435,Scenarios!$B$121:$B$200,0))</f>
        <v>0</v>
      </c>
      <c r="I435" s="476">
        <f>INDEX(Input!$1:$1048576,I$93,$C435*2+MIN($B435,2)+5)</f>
        <v>0.7</v>
      </c>
      <c r="J435" s="476" t="str">
        <f>INDEX(Input!$1:$1048576,J$93,$C435*2+MIN($B435,2)+5)</f>
        <v>Market</v>
      </c>
      <c r="K435" s="476" t="str">
        <f>INDEX(Input!$1:$1048576,K$93,$C435*2+MIN($B435,2)+5)</f>
        <v>Market</v>
      </c>
      <c r="L435" s="476" t="str">
        <f>INDEX(Input!$1:$1048576,L$93,$C435*2+MIN($B435,2)+5)</f>
        <v>Market</v>
      </c>
      <c r="M435" s="476" t="str">
        <f>INDEX(Input!$1:$1048576,M$93,$C435*2+MIN($B435,2)+5)</f>
        <v>Market</v>
      </c>
      <c r="N435" s="476" t="str">
        <f>INDEX(Input!$1:$1048576,N$93,$C435*2+MIN($B435,2)+5)</f>
        <v>Market</v>
      </c>
      <c r="O435" s="476" t="str">
        <f>INDEX(Input!$1:$1048576,O$93,$C435*2+MIN($B435,2)+5)</f>
        <v>Market</v>
      </c>
      <c r="P435" s="476" t="str">
        <f>INDEX(Input!$1:$1048576,P$93,$C435*2+MIN($B435,2)+5)</f>
        <v>N</v>
      </c>
      <c r="Q435" s="477">
        <f>INDEX(Input!$1:$1048576,Q$93,$C435*2+MIN($B435,2)+5)
+INDEX(Scenarios!Q$121:Q$200,MATCH($B435,Scenarios!$B$121:$B$200,0))</f>
        <v>0</v>
      </c>
      <c r="R435" s="478">
        <f>IFERROR(MAX(0,INDEX(Input!$1:$1048576,R$93,$C435*2+MIN($B435,2)+5)
+INDEX(Scenarios!R$121:R$200,MATCH($B435,Scenarios!$B$121:$B$200,0)),),"Market")</f>
        <v>0</v>
      </c>
      <c r="S435" s="478">
        <f>IFERROR(MAX(0,INDEX(Input!$1:$1048576,S$93,$C435*2+MIN($B435,2)+5)
+INDEX(Scenarios!S$121:S$200,MATCH($B435,Scenarios!$B$121:$B$200,0)),),"Market")</f>
        <v>0</v>
      </c>
      <c r="T435" s="478">
        <f>IFERROR(MAX(0,INDEX(Input!$1:$1048576,T$93,$C435*2+MIN($B435,2)+5)
+INDEX(Scenarios!T$121:T$200,MATCH($B435,Scenarios!$B$121:$B$200,0)),),"Market")</f>
        <v>0</v>
      </c>
      <c r="U435" s="478">
        <f>IFERROR(MAX(0,INDEX(Input!$1:$1048576,U$93,$C435*2+MIN($B435,2)+5)
+INDEX(Scenarios!U$121:U$200,MATCH($B435,Scenarios!$B$121:$B$200,0)),),"Market")</f>
        <v>0</v>
      </c>
      <c r="V435" s="478">
        <f>IFERROR(MAX(0,INDEX(Input!$1:$1048576,V$93,$C435*2+MIN($B435,2)+5)
+INDEX(Scenarios!V$121:V$200,MATCH($B435,Scenarios!$B$121:$B$200,0)),),"Market")</f>
        <v>8.9999999999999993E-3</v>
      </c>
      <c r="W435" s="885">
        <f>IFERROR(MAX(0,INDEX(Input!$1:$1048576,W$93,$C435*2+MIN($B435,2)+5)-0%,),"Market")</f>
        <v>3.9E-2</v>
      </c>
      <c r="X435" s="476" t="str">
        <f>INDEX(Input!$1:$1048576,X$93,$C435*2+MIN($B435,2)+5)</f>
        <v>Y</v>
      </c>
      <c r="Y435" s="475">
        <f>INDEX(Input!$1:$1048576,Y$93,$C435*2+MIN($B435,2)+5)
++INDEX(Scenarios!Y$121:Y$200,MATCH($B435,Scenarios!$B$121:$B$200,0))</f>
        <v>-870</v>
      </c>
      <c r="Z435" s="477">
        <f>INDEX(Input!$1:$1048576,Z$93,$C435*2+MIN($B435,2)+5)
+INDEX(Scenarios!Z$121:Z$200,MATCH($B435,Scenarios!$B$121:$B$200,0))</f>
        <v>0</v>
      </c>
      <c r="AA435" s="475">
        <f>INDEX(Input!$1:$1048576,AA$93,$C435*2+MIN($B435,2)+5)
+INDEX(Scenarios!AA$121:AA$200,MATCH($B435,Scenarios!$B$121:$B$200,0))</f>
        <v>0</v>
      </c>
      <c r="AB435" s="476">
        <f>INDEX(Input!$1:$1048576,AB$93,$C435*2+MIN($B435,2)+5)</f>
        <v>0.27</v>
      </c>
      <c r="AC435" s="475">
        <f>INDEX(Input!$1:$1048576,AC$93,$C435*2+MIN($B435,2)+5)
+INDEX(Scenarios!AC$121:AC$200,MATCH($B435,Scenarios!$B$121:$B$200,0))</f>
        <v>0</v>
      </c>
      <c r="AD435" s="476">
        <f>INDEX(Input!$1:$1048576,AD$93,$C435*2+MIN($B435,2)+5)</f>
        <v>0.27</v>
      </c>
      <c r="AE435" s="475">
        <f>INDEX(Input!$1:$1048576,AE$93,$C435*2+MIN($B435,2)+5)
+INDEX(Scenarios!AE$121:AE$200,MATCH($B435,Scenarios!$B$121:$B$200,0))</f>
        <v>0</v>
      </c>
      <c r="AF435" s="476">
        <f>INDEX(Input!$1:$1048576,AF$93,$C435*2+MIN($B435,2)+5)</f>
        <v>1</v>
      </c>
      <c r="AG435" s="475">
        <f>INDEX(Input!$1:$1048576,AG$93,$C435*2+MIN($B435,2)+5)
+INDEX(Scenarios!AG$121:AG$200,MATCH($B435,Scenarios!$B$121:$B$200,0))</f>
        <v>500</v>
      </c>
      <c r="AH435" s="476">
        <f>INDEX(Input!$1:$1048576,AH$93,$C435*2+MIN($B435,2)+5)</f>
        <v>0.83199999999999996</v>
      </c>
      <c r="AI435" s="475">
        <f>INDEX(Input!$1:$1048576,AI$93,$C435*2+MIN($B435,2)+5)
+INDEX(Scenarios!AI$121:AI$200,MATCH($B435,Scenarios!$B$121:$B$200,0))</f>
        <v>0</v>
      </c>
      <c r="AJ435" s="476">
        <f>INDEX(Input!$1:$1048576,AJ$93,$C435*2+MIN($B435,2)+5)</f>
        <v>0.27</v>
      </c>
      <c r="AK435" s="150">
        <f>ROUND(INDEX(Input!$1:$1048576,AK$93,$C434*2+MIN($B435,1)+5)+(Y435-VLOOKUP($C435*1000+1,$A:$HH,Y$92,FALSE)),0)</f>
        <v>2587</v>
      </c>
      <c r="AL435" s="150">
        <f>ROUND(INDEX(Input!$1:$1048576,AL$93,$C434*2+MIN($B435,1)+5)-(Y435-VLOOKUP($C435*1000+1,$A:$HH,Y$92,FALSE))/36,0)</f>
        <v>3406</v>
      </c>
      <c r="AM435" s="32" t="str">
        <f t="shared" si="1139"/>
        <v>std/std/std/std</v>
      </c>
      <c r="AN435" s="32" t="str">
        <f t="shared" si="1140"/>
        <v>$0 + 0/0/0/0.9/3.9</v>
      </c>
      <c r="AO435" s="32" t="str">
        <f t="shared" si="1141"/>
        <v>0/0/0/0.9/3.9</v>
      </c>
      <c r="AP435" s="32" t="str">
        <f t="shared" si="1213"/>
        <v>0/0/0.9/3.9</v>
      </c>
      <c r="AQ435" s="536">
        <f t="shared" si="1207"/>
        <v>0.42149630839182223</v>
      </c>
      <c r="AR435" s="32"/>
      <c r="AS435" s="302"/>
      <c r="AT435" s="3">
        <f t="shared" si="1162"/>
        <v>35</v>
      </c>
      <c r="AU435" s="41" t="s">
        <v>121</v>
      </c>
      <c r="AV435" s="41" t="s">
        <v>116</v>
      </c>
      <c r="AW435" s="41" t="str">
        <f>INDEX(Input!$1:$1048576,AW$93,$C435*2+6)</f>
        <v>Kia</v>
      </c>
      <c r="AX435" s="41" t="str">
        <f>INDEX(Input!$1:$1048576,AX$93,$C435*2+6)</f>
        <v>Kia-LR - R1</v>
      </c>
      <c r="AY435" s="41" t="str">
        <f>IF(LEN(D435)=0,"",INDEX(Input!$1:$1048576,AY$93,$C435*2+6))</f>
        <v>Compact SUV (52)</v>
      </c>
      <c r="AZ435" s="41" t="str">
        <f>INDEX(Input!$1:$1048576,AZ$93,$C435*2+6)</f>
        <v>Kia Soul</v>
      </c>
      <c r="BA435" s="3">
        <f>INDEX(Input!$1:$1048576,BA$93,$C435*2+6)</f>
        <v>2020</v>
      </c>
      <c r="BB435" s="128">
        <f>INDEX(Input!$1:$1048576,BB$93,$C435*2+6)</f>
        <v>1</v>
      </c>
      <c r="BC435" s="128">
        <f>INDEX(Input!$1:$1048576,BC$93,$C435*2+6)</f>
        <v>0.7</v>
      </c>
      <c r="BD435" s="1">
        <f>INDEX(Input!$1:$1048576,BD$93,$C435*2+6)</f>
        <v>4.4999999999999998E-2</v>
      </c>
      <c r="BE435" s="1">
        <f>INDEX(Input!$1:$1048576,BE$93,$C435*2+6)</f>
        <v>4.4999999999999998E-2</v>
      </c>
      <c r="BF435" s="1">
        <f>INDEX(Input!$1:$1048576,BF$93,$C435*2+6)</f>
        <v>0.05</v>
      </c>
      <c r="BG435" s="1">
        <f>INDEX(Input!$1:$1048576,BG$93,$C435*2+6)</f>
        <v>5.45E-2</v>
      </c>
      <c r="BH435" s="1">
        <f>INDEX(Input!$1:$1048576,BH$93,$C435*2+6)</f>
        <v>5.45E-2</v>
      </c>
      <c r="BI435" s="1">
        <f>INDEX(Input!$1:$1048576,BI$93,$C435*2+6)</f>
        <v>0.05</v>
      </c>
      <c r="BJ435" s="1">
        <f>INDEX(Input!$1:$1048576,BJ$93,$C435*2+6)</f>
        <v>0.05</v>
      </c>
      <c r="BK435" s="1">
        <f>INDEX(Input!$1:$1048576,BK$93,$C435*2+6)</f>
        <v>0.05</v>
      </c>
      <c r="BL435" s="1">
        <f>INDEX(Input!$1:$1048576,BL$93,$C435*2+6)</f>
        <v>5.5E-2</v>
      </c>
      <c r="BM435" s="1">
        <f>INDEX(Input!$1:$1048576,BM$93,$C435*2+6)</f>
        <v>0.06</v>
      </c>
      <c r="BN435" s="1">
        <f>INDEX(Input!$1:$1048576,BN$93,$C435*2+6)</f>
        <v>4.4999999999999998E-2</v>
      </c>
      <c r="BO435" s="1">
        <f>INDEX(Input!$1:$1048576,BO$93,$C435*2+6)</f>
        <v>4.4999999999999998E-2</v>
      </c>
      <c r="BP435" s="1">
        <f>INDEX(Input!$1:$1048576,BP$93,$C435*2+6)</f>
        <v>0.05</v>
      </c>
      <c r="BQ435" s="1">
        <f>INDEX(Input!$1:$1048576,BQ$93,$C435*2+6)</f>
        <v>5.45E-2</v>
      </c>
      <c r="BR435" s="1">
        <f>INDEX(Input!$1:$1048576,BR$93,$C435*2+6)</f>
        <v>5.45E-2</v>
      </c>
      <c r="BS435" s="1">
        <f>INDEX(Input!$1:$1048576,BS$93,$C435*2+6)</f>
        <v>0.05</v>
      </c>
      <c r="BT435" s="1">
        <f>INDEX(Input!$1:$1048576,BT$93,$C435*2+6)</f>
        <v>0.05</v>
      </c>
      <c r="BU435" s="1">
        <f>INDEX(Input!$1:$1048576,BU$93,$C435*2+6)</f>
        <v>0.05</v>
      </c>
      <c r="BV435" s="1">
        <f>INDEX(Input!$1:$1048576,BV$93,$C435*2+6)</f>
        <v>5.5E-2</v>
      </c>
      <c r="BW435" s="1">
        <f>INDEX(Input!$1:$1048576,BW$93,$C435*2+6)</f>
        <v>0.06</v>
      </c>
      <c r="BX435" s="127">
        <f>INDEX(Input!$1:$1048576,BX$93,$C435*2+6)</f>
        <v>19985</v>
      </c>
      <c r="BY435" s="20">
        <f>INDEX(Input!$1:$1048576,BY$93,$C435*2+6)</f>
        <v>0.1</v>
      </c>
      <c r="BZ435" s="20">
        <f>INDEX(Input!$1:$1048576,BZ$93,$C435*2+6)</f>
        <v>0.1</v>
      </c>
      <c r="CA435" s="20">
        <f>INDEX(Input!$1:$1048576,CA$93,$C435*2+6)</f>
        <v>0.1</v>
      </c>
      <c r="CB435" s="20">
        <f>INDEX(Input!$1:$1048576,CB$93,$C435*2+6)</f>
        <v>0.1</v>
      </c>
      <c r="CC435" s="20">
        <f>INDEX(Input!$1:$1048576,CC$93,$C435*2+6)</f>
        <v>0.1</v>
      </c>
      <c r="CD435" s="384">
        <f>INDEX(Input!$1:$1048576,CD$93,$C435*2+6)</f>
        <v>0.1</v>
      </c>
      <c r="CE435" s="384">
        <f>INDEX(Input!$1:$1048576,CE$93,$C435*2+6)</f>
        <v>0.1</v>
      </c>
      <c r="CF435" s="384">
        <f>INDEX(Input!$1:$1048576,CF$93,$C435*2+6)</f>
        <v>0.1</v>
      </c>
      <c r="CG435" s="384">
        <f>INDEX(Input!$1:$1048576,CG$93,$C435*2+6)</f>
        <v>0.1</v>
      </c>
      <c r="CH435" s="384">
        <f>INDEX(Input!$1:$1048576,CH$93,$C435*2+6)</f>
        <v>0.1</v>
      </c>
      <c r="CI435" s="304">
        <f t="shared" si="1214"/>
        <v>1506.832975525977</v>
      </c>
      <c r="CJ435" s="16" t="str">
        <f>INDEX(Input!$1:$1048576,CJ$93,$C435*2+6)</f>
        <v>N</v>
      </c>
      <c r="CK435" s="1" t="str">
        <f t="shared" si="1215"/>
        <v>Market</v>
      </c>
      <c r="CL435" s="1" t="str">
        <f t="shared" si="1216"/>
        <v>Market</v>
      </c>
      <c r="CM435" s="1" t="str">
        <f t="shared" si="1217"/>
        <v>Market</v>
      </c>
      <c r="CN435" s="1" t="str">
        <f t="shared" si="1218"/>
        <v>Market</v>
      </c>
      <c r="CO435" s="1" t="str">
        <f t="shared" si="1219"/>
        <v>Market</v>
      </c>
      <c r="CP435" s="304">
        <f t="shared" si="1220"/>
        <v>416</v>
      </c>
      <c r="CQ435" s="1">
        <f t="shared" si="1221"/>
        <v>0</v>
      </c>
      <c r="CR435" s="1">
        <f t="shared" si="1222"/>
        <v>0</v>
      </c>
      <c r="CS435" s="1">
        <f t="shared" si="1223"/>
        <v>0</v>
      </c>
      <c r="CT435" s="1">
        <f t="shared" si="1224"/>
        <v>8.9999999999999993E-3</v>
      </c>
      <c r="CU435" s="1">
        <f t="shared" si="1225"/>
        <v>3.9E-2</v>
      </c>
      <c r="CV435" s="304">
        <f t="shared" si="1226"/>
        <v>-870</v>
      </c>
      <c r="CW435" s="20" t="s">
        <v>122</v>
      </c>
      <c r="CX435" s="20" t="s">
        <v>122</v>
      </c>
      <c r="CY435" s="20" t="s">
        <v>122</v>
      </c>
      <c r="CZ435" s="20" t="s">
        <v>122</v>
      </c>
      <c r="DA435" s="20" t="s">
        <v>122</v>
      </c>
      <c r="DB435" s="503">
        <f t="shared" si="1227"/>
        <v>0</v>
      </c>
      <c r="DC435" s="127">
        <v>0</v>
      </c>
      <c r="DD435" s="127">
        <v>0</v>
      </c>
      <c r="DE435" s="127">
        <v>0</v>
      </c>
      <c r="DF435" s="127">
        <v>0</v>
      </c>
      <c r="DG435" s="127">
        <v>0</v>
      </c>
      <c r="DH435" s="127">
        <v>0</v>
      </c>
      <c r="DI435" s="127">
        <v>0</v>
      </c>
      <c r="DJ435" s="127">
        <v>0</v>
      </c>
      <c r="DK435" s="127">
        <v>0</v>
      </c>
      <c r="DL435" s="127">
        <v>0</v>
      </c>
      <c r="DM435" s="304">
        <f>INDEX(Input!$1:$1048576,DM$93,$C435*2+6)</f>
        <v>21036.84210526316</v>
      </c>
      <c r="DN435" s="20">
        <v>0</v>
      </c>
      <c r="DO435" s="20">
        <v>0</v>
      </c>
      <c r="DP435" s="20">
        <v>0</v>
      </c>
      <c r="DQ435" s="20">
        <v>0</v>
      </c>
      <c r="DR435" s="20">
        <v>0</v>
      </c>
      <c r="DS435" s="20">
        <f>INDEX(Input!$1:$1048576,DS$93,$C435*2+6)</f>
        <v>0.6</v>
      </c>
      <c r="DT435" s="20">
        <f>INDEX(Input!$1:$1048576,DT$93,$C435*2+6)</f>
        <v>0.55000000000000004</v>
      </c>
      <c r="DU435" s="20">
        <f>INDEX(Input!$1:$1048576,DU$93,$C435*2+6)</f>
        <v>0.52</v>
      </c>
      <c r="DV435" s="20">
        <f>INDEX(Input!$1:$1048576,DV$93,$C435*2+6)</f>
        <v>0.5</v>
      </c>
      <c r="DW435" s="20">
        <f>INDEX(Input!$1:$1048576,DW$93,$C435*2+6)</f>
        <v>0.45</v>
      </c>
      <c r="DX435" s="20"/>
      <c r="DY435" s="7">
        <v>0.10518409343003551</v>
      </c>
      <c r="DZ435" s="7">
        <v>0</v>
      </c>
      <c r="EA435" s="7">
        <v>0.80025955314205566</v>
      </c>
      <c r="EB435" s="7">
        <v>0</v>
      </c>
      <c r="EC435" s="7">
        <v>0</v>
      </c>
      <c r="ED435" s="7">
        <v>0</v>
      </c>
      <c r="EE435" s="7">
        <v>0</v>
      </c>
      <c r="EF435" s="7">
        <v>0</v>
      </c>
      <c r="EG435" s="7">
        <v>0</v>
      </c>
      <c r="EH435" s="7">
        <v>9.5177216227942743E-3</v>
      </c>
      <c r="EI435" s="7">
        <v>2.4868566364659884E-2</v>
      </c>
      <c r="EJ435" s="7">
        <v>0.17451758535430295</v>
      </c>
      <c r="EK435" s="7">
        <v>0.68453126711640067</v>
      </c>
      <c r="EL435" s="7">
        <v>0.10656485954184235</v>
      </c>
      <c r="EM435" s="7">
        <v>4.8781485010978516E-2</v>
      </c>
      <c r="EN435" s="7">
        <v>5.0453718837332878E-2</v>
      </c>
      <c r="EO435" s="7">
        <v>0.71272266077751645</v>
      </c>
      <c r="EP435" s="7">
        <v>0.10249812935796333</v>
      </c>
      <c r="EQ435" s="7">
        <v>8.9994866559332198E-2</v>
      </c>
      <c r="ER435" s="7">
        <v>4.4330624467855455E-2</v>
      </c>
      <c r="ES435" s="7">
        <v>4.5774868416930244E-2</v>
      </c>
      <c r="ET435" s="7">
        <v>9.4556353427908843E-2</v>
      </c>
      <c r="EU435" s="6">
        <v>2020</v>
      </c>
      <c r="EV435" s="6">
        <v>0</v>
      </c>
      <c r="EW435" s="6">
        <v>2020</v>
      </c>
      <c r="EX435" s="6">
        <v>0</v>
      </c>
      <c r="EY435" s="6">
        <v>2824.2305047773798</v>
      </c>
      <c r="EZ435" s="6">
        <v>507</v>
      </c>
      <c r="FA435" s="6">
        <v>0</v>
      </c>
      <c r="FB435" s="6">
        <v>0</v>
      </c>
      <c r="FC435" s="6">
        <v>0</v>
      </c>
      <c r="FD435" s="6">
        <v>0</v>
      </c>
      <c r="FE435" s="6">
        <v>0</v>
      </c>
      <c r="FF435" s="6">
        <v>0</v>
      </c>
      <c r="FG435" s="6">
        <v>0</v>
      </c>
      <c r="FH435" s="6">
        <v>1169.8039982675007</v>
      </c>
      <c r="FI435" s="6">
        <v>1553.9796069512392</v>
      </c>
      <c r="FJ435" s="6">
        <v>2101.2110117447401</v>
      </c>
      <c r="FK435" s="6">
        <v>2251.3078348034664</v>
      </c>
      <c r="FL435" s="6">
        <v>907.07682140966335</v>
      </c>
      <c r="FM435" s="6">
        <v>2054.2305047773798</v>
      </c>
      <c r="FN435" s="6">
        <v>0</v>
      </c>
      <c r="FO435" s="6">
        <v>0</v>
      </c>
      <c r="FP435" s="6">
        <v>0</v>
      </c>
      <c r="FQ435" s="6">
        <v>0</v>
      </c>
      <c r="FR435" s="6">
        <v>0</v>
      </c>
      <c r="FS435" s="6">
        <v>0</v>
      </c>
      <c r="FT435" s="7">
        <v>0.9054436465720912</v>
      </c>
      <c r="FU435" s="7">
        <v>4.8781485010978516E-2</v>
      </c>
      <c r="FV435" s="7">
        <v>4.5774868416930244E-2</v>
      </c>
      <c r="FW435" s="6">
        <v>2020</v>
      </c>
      <c r="FX435" s="6">
        <v>2824.2305047773798</v>
      </c>
      <c r="FY435" s="6">
        <v>507</v>
      </c>
      <c r="FZ435" s="6">
        <v>1949.5716051445115</v>
      </c>
      <c r="GA435" s="6">
        <v>1989.9741823993538</v>
      </c>
      <c r="GB435" s="6">
        <v>17995.025817600646</v>
      </c>
      <c r="GC435" s="7">
        <v>3.3872851927908169E-2</v>
      </c>
      <c r="GD435" s="7">
        <v>3.4570936952650497E-2</v>
      </c>
      <c r="GE435" s="7"/>
      <c r="GF435" s="7"/>
      <c r="GG435" s="7">
        <v>2.0608982858250809E-2</v>
      </c>
      <c r="GH435" s="42">
        <v>10.194164590645743</v>
      </c>
      <c r="GI435" s="6">
        <v>3950.4094708719917</v>
      </c>
      <c r="GJ435" s="14">
        <v>0.50394797582841688</v>
      </c>
      <c r="GK435" s="14">
        <v>0.50887573065309755</v>
      </c>
      <c r="GL435" s="14">
        <v>0.49605202417158245</v>
      </c>
      <c r="GM435" s="14">
        <v>0.49112426934690223</v>
      </c>
      <c r="GO435" s="5">
        <v>343.14810671672558</v>
      </c>
      <c r="GP435" s="5">
        <v>304.61036031982871</v>
      </c>
      <c r="GQ435" s="5">
        <v>535.04305713031317</v>
      </c>
      <c r="GR435" s="5">
        <v>410.15490233172511</v>
      </c>
      <c r="GS435" s="5">
        <v>339.42744393800166</v>
      </c>
      <c r="GT435" s="5">
        <v>293.4407446948278</v>
      </c>
      <c r="GU435" s="5">
        <v>258.04012322764959</v>
      </c>
      <c r="GV435" s="39" t="s">
        <v>392</v>
      </c>
      <c r="GW435" s="5">
        <v>478.23611111111109</v>
      </c>
      <c r="GX435" s="5">
        <v>358.67708333333331</v>
      </c>
      <c r="GY435" s="5">
        <v>286.94166666666666</v>
      </c>
      <c r="GZ435" s="5">
        <v>245.72198221012883</v>
      </c>
      <c r="HA435" s="5">
        <v>234.53733318419432</v>
      </c>
      <c r="HB435" s="39">
        <v>256.74568763883195</v>
      </c>
      <c r="HC435" s="5">
        <v>265.10312499999998</v>
      </c>
      <c r="HD435" s="5">
        <v>224.66580774853799</v>
      </c>
      <c r="HE435" s="5">
        <v>226.90661690283397</v>
      </c>
      <c r="HF435" s="5">
        <v>209.18438048245613</v>
      </c>
      <c r="HG435" s="5">
        <v>200.91388157894738</v>
      </c>
      <c r="HH435" s="39">
        <v>224.4895128298715</v>
      </c>
      <c r="HI435" s="16"/>
      <c r="HJ435" s="19" t="str">
        <f t="shared" ref="HJ435:HK450" si="1232">HJ434</f>
        <v>On</v>
      </c>
      <c r="HK435" s="1" t="str">
        <f t="shared" si="1232"/>
        <v>On</v>
      </c>
      <c r="HL435" s="16"/>
      <c r="HM435" s="639">
        <f t="shared" si="1110"/>
        <v>2.9403358434788716E-2</v>
      </c>
      <c r="HN435" s="639">
        <f t="shared" si="1111"/>
        <v>1.4106809950923669E-3</v>
      </c>
      <c r="HO435" s="639">
        <f t="shared" si="1112"/>
        <v>1.7317923025048877E-3</v>
      </c>
      <c r="HP435" s="644">
        <f>(FT435*$GD435-HM435)/$JF435*INDEX(Input!$1:$1048576,$JG$93,$C435*2+6)</f>
        <v>135.87049391463464</v>
      </c>
      <c r="HQ435" s="644">
        <f>(FU435*$GD435-HN435)/$JF435*INDEX(Input!$1:$1048576,$JG$93,$C435*2+6)</f>
        <v>19.732172578185022</v>
      </c>
      <c r="HR435" s="644">
        <f>(FV435*$GD435-HO435)/$JF435*INDEX(Input!$1:$1048576,$JG$93,$C435*2+6)</f>
        <v>-10.684874967990678</v>
      </c>
      <c r="HS435" s="644">
        <f t="shared" si="1228"/>
        <v>-69.63624579512225</v>
      </c>
      <c r="HT435" s="644">
        <f t="shared" si="1114"/>
        <v>100.20637731967865</v>
      </c>
      <c r="HU435" s="644">
        <f t="shared" si="1115"/>
        <v>8.54535157386435</v>
      </c>
      <c r="HV435" s="648">
        <f t="shared" si="1116"/>
        <v>0</v>
      </c>
      <c r="HW435" s="648">
        <f t="shared" si="1117"/>
        <v>0</v>
      </c>
      <c r="HX435" s="648">
        <f t="shared" si="1118"/>
        <v>0</v>
      </c>
      <c r="HY435" s="644">
        <f>INDEX(Input!$1:$1048576,HY$93,$C435*2+6)*INDEX(Input!$1:$1048576,$JG$93,$C435*2+6)</f>
        <v>993</v>
      </c>
      <c r="HZ435" s="644">
        <f>INDEX(Input!$1:$1048576,HZ$93,$C435*2+6)*INDEX(Input!$1:$1048576,$JG$93,$C435*2+6)</f>
        <v>1216</v>
      </c>
      <c r="IA435" s="644">
        <f>INDEX(Input!$1:$1048576,IA$93,$C435*2+6)*INDEX(Input!$1:$1048576,$JG$93,$C435*2+6)</f>
        <v>120</v>
      </c>
      <c r="IB435" s="644">
        <f t="shared" si="1142"/>
        <v>1059.2342481195124</v>
      </c>
      <c r="IC435" s="644">
        <f t="shared" si="1143"/>
        <v>1335.9385498978638</v>
      </c>
      <c r="ID435" s="644">
        <f>IF(AND(INDEX(Input!$1:$1048576,IA$93,$C435*2+7)="TOS",Y435&lt;=INDEX(Y:Y,MATCH(C435*1000+2,A:A))),0,1)*MAX(IA435+HR435+HU435+HX435,0%)</f>
        <v>117.86047660587367</v>
      </c>
      <c r="IE435" s="128">
        <f t="shared" si="1229"/>
        <v>0.42149630839182223</v>
      </c>
      <c r="IF435" s="128">
        <f t="shared" si="1210"/>
        <v>0.53160400357139936</v>
      </c>
      <c r="IG435" s="128">
        <f t="shared" si="1120"/>
        <v>4.6899688036778228E-2</v>
      </c>
      <c r="IH435" s="21"/>
      <c r="II435" s="19">
        <f t="shared" si="1121"/>
        <v>1490</v>
      </c>
      <c r="IJ435" s="19">
        <f t="shared" si="1122"/>
        <v>2203.2561351629856</v>
      </c>
      <c r="IK435" s="19">
        <f t="shared" si="1123"/>
        <v>242</v>
      </c>
      <c r="IL435" s="19">
        <f t="shared" si="1145"/>
        <v>530</v>
      </c>
      <c r="IM435" s="19">
        <f t="shared" si="1124"/>
        <v>620.97436961439416</v>
      </c>
      <c r="IN435" s="19">
        <f t="shared" si="1125"/>
        <v>265</v>
      </c>
      <c r="IO435" s="39">
        <f t="shared" si="1126"/>
        <v>0</v>
      </c>
      <c r="IP435" s="39">
        <f t="shared" si="1127"/>
        <v>0</v>
      </c>
      <c r="IQ435" s="39">
        <f t="shared" si="1128"/>
        <v>0</v>
      </c>
      <c r="IR435" s="39">
        <v>0</v>
      </c>
      <c r="IS435" s="39">
        <v>0</v>
      </c>
      <c r="IT435" s="39">
        <v>0</v>
      </c>
      <c r="IU435" s="39">
        <v>0</v>
      </c>
      <c r="IV435" s="39">
        <v>0</v>
      </c>
      <c r="IW435" s="39">
        <v>0</v>
      </c>
      <c r="IX435" s="39">
        <f>INDEX(Input!$1:$1048576,IX$93,$C435*2+6)+INDEX(Input!$1:$1048576,IX$94,$C435*2+6)</f>
        <v>1770</v>
      </c>
      <c r="IY435" s="39">
        <f>INDEX(Input!$1:$1048576,IY$93,$C435*2+6)+INDEX(Input!$1:$1048576,IY$94,$C435*2+6)</f>
        <v>2630.0624533823611</v>
      </c>
      <c r="IZ435" s="39">
        <f>INDEX(Input!$1:$1048576,IZ$93,$C435*2+6)+INDEX(Input!$1:$1048576,IZ$94,$C435*2+6)</f>
        <v>4153.7164157747848</v>
      </c>
      <c r="JA435" s="19">
        <f t="shared" si="1146"/>
        <v>2300</v>
      </c>
      <c r="JB435" s="19">
        <f t="shared" si="1147"/>
        <v>3251.0368229967553</v>
      </c>
      <c r="JC435" s="19">
        <f t="shared" si="1148"/>
        <v>4418.7164157747848</v>
      </c>
      <c r="JD435" s="19">
        <f t="shared" si="1149"/>
        <v>2904.9421215871371</v>
      </c>
      <c r="JE435" s="21"/>
      <c r="JF435" s="1">
        <f t="shared" si="1129"/>
        <v>3.2545831732385969E-2</v>
      </c>
      <c r="JG435" s="15">
        <f>INDEX(Input!$1:$1048576,JG$93,$C435*2+6)/(1+VLOOKUP(C435*1000+INDEX(Input!$1:$1048576,JG$93+1,$C435*2+6),$A:$KK,$JK$92,FALSE))</f>
        <v>2329</v>
      </c>
      <c r="JH435" s="1">
        <f t="shared" si="1150"/>
        <v>6.2223182277728196E-2</v>
      </c>
      <c r="JI435" s="1">
        <f t="shared" si="1151"/>
        <v>1.6794969127703202E-2</v>
      </c>
      <c r="JJ435" s="1">
        <f t="shared" si="1211"/>
        <v>0</v>
      </c>
      <c r="JK435" s="1">
        <f t="shared" si="1212"/>
        <v>7.9018151405431392E-2</v>
      </c>
      <c r="JL435" s="15">
        <f t="shared" si="1154"/>
        <v>184.03327462324972</v>
      </c>
      <c r="JM435" s="15">
        <f t="shared" si="1180"/>
        <v>2513.0332746232498</v>
      </c>
      <c r="JN435" s="21"/>
      <c r="JO435" s="19">
        <f>INDEX(Input!$1:$1048576,JO$93,$C435*2+6)</f>
        <v>5995.5</v>
      </c>
      <c r="JP435" s="19">
        <f>INDEX(Input!$1:$1048576,JP$93,$C435*2+6)</f>
        <v>2341.8685758720158</v>
      </c>
      <c r="JQ435" s="39">
        <f t="shared" si="1166"/>
        <v>3090.5578784128629</v>
      </c>
      <c r="JR435" s="39">
        <f t="shared" si="1183"/>
        <v>563.07354571512133</v>
      </c>
      <c r="JS435" s="39">
        <f t="shared" si="1168"/>
        <v>7.3002162124031331</v>
      </c>
      <c r="JT435" s="39">
        <f t="shared" si="1156"/>
        <v>1.846004299197209</v>
      </c>
      <c r="JU435" s="385">
        <f>(JQ435*JM435-INDEX(Input!$1:$1048576,Input!A$18,$C435*2+6)*JL435*INDEX(Input!$1:$1048576,Input!A$19,$C435*2+6))/1000000</f>
        <v>7.7666747856005607</v>
      </c>
      <c r="JV435" s="39">
        <f t="shared" si="1190"/>
        <v>-0.74263280119351371</v>
      </c>
      <c r="JW435" s="1">
        <f t="shared" si="1181"/>
        <v>-8.7273000020123198E-2</v>
      </c>
      <c r="JX435" s="19">
        <f t="shared" si="1172"/>
        <v>10030.818084263959</v>
      </c>
      <c r="JZ435" s="341"/>
      <c r="KA435" s="342"/>
      <c r="KB435" s="469">
        <f t="shared" si="1169"/>
        <v>2.3434325605641804</v>
      </c>
      <c r="KI435" s="473">
        <f t="shared" si="1230"/>
        <v>66.234248119512131</v>
      </c>
      <c r="KJ435" s="473">
        <f t="shared" si="1231"/>
        <v>119.9385498978636</v>
      </c>
      <c r="KK435" s="473">
        <f t="shared" si="1158"/>
        <v>-2.1395233941263569</v>
      </c>
      <c r="KN435" s="544">
        <f t="shared" si="1173"/>
        <v>4002</v>
      </c>
      <c r="KO435" s="541">
        <f t="shared" si="1133"/>
        <v>3.9039541025146729E-2</v>
      </c>
      <c r="KP435" s="546">
        <f t="shared" si="1134"/>
        <v>286.61244207913728</v>
      </c>
      <c r="KQ435" s="546">
        <f t="shared" si="1135"/>
        <v>280.17093355111592</v>
      </c>
      <c r="KR435" s="548">
        <f t="shared" si="1136"/>
        <v>2.3646404182393126</v>
      </c>
      <c r="KS435" s="548">
        <f t="shared" si="1137"/>
        <v>2.4190066982339276</v>
      </c>
      <c r="KT435" s="473">
        <f t="shared" si="1171"/>
        <v>1580.0986321700548</v>
      </c>
      <c r="KU435" s="663">
        <f t="shared" si="1159"/>
        <v>4.0619767536025746</v>
      </c>
      <c r="KV435" s="117"/>
    </row>
    <row r="436" spans="1:308" s="26" customFormat="1" ht="15">
      <c r="A436" s="561">
        <f t="shared" si="1138"/>
        <v>4036</v>
      </c>
      <c r="B436" s="561">
        <f t="shared" si="1160"/>
        <v>36</v>
      </c>
      <c r="C436" s="561">
        <f t="shared" si="1161"/>
        <v>4</v>
      </c>
      <c r="D436" s="561" t="str">
        <f t="shared" si="1206"/>
        <v xml:space="preserve">500 CC, 0/0/0.9/3.9, </v>
      </c>
      <c r="E436" s="475">
        <f>INDEX(Input!$1:$1048576,E$93,$C436*2+MIN($B436,2)+5)
+INDEX(Scenarios!E$121:E$200,MATCH($B436,Scenarios!$B$121:$B$200,0))</f>
        <v>1756.832975525977</v>
      </c>
      <c r="F436" s="475">
        <f>INDEX(Input!$1:$1048576,F$93,$C436*2+MIN($B436,2)+5)
+INDEX(Scenarios!F$121:F$200,MATCH($B436,Scenarios!$B$121:$B$200,0))</f>
        <v>0</v>
      </c>
      <c r="G436" s="475">
        <f>INDEX(Input!$1:$1048576,G$93,$C436*2+MIN($B436,2)+5)
+INDEX(Scenarios!G$121:G$200,MATCH($B436,Scenarios!$B$121:$B$200,0))</f>
        <v>0</v>
      </c>
      <c r="H436" s="475">
        <f>INDEX(Input!$1:$1048576,H$93,$C436*2+MIN($B436,2)+5)
+INDEX(Scenarios!H$121:H$200,MATCH($B436,Scenarios!$B$121:$B$200,0))</f>
        <v>0</v>
      </c>
      <c r="I436" s="476">
        <f>INDEX(Input!$1:$1048576,I$93,$C436*2+MIN($B436,2)+5)</f>
        <v>0.7</v>
      </c>
      <c r="J436" s="476" t="str">
        <f>INDEX(Input!$1:$1048576,J$93,$C436*2+MIN($B436,2)+5)</f>
        <v>Market</v>
      </c>
      <c r="K436" s="476" t="str">
        <f>INDEX(Input!$1:$1048576,K$93,$C436*2+MIN($B436,2)+5)</f>
        <v>Market</v>
      </c>
      <c r="L436" s="476" t="str">
        <f>INDEX(Input!$1:$1048576,L$93,$C436*2+MIN($B436,2)+5)</f>
        <v>Market</v>
      </c>
      <c r="M436" s="476" t="str">
        <f>INDEX(Input!$1:$1048576,M$93,$C436*2+MIN($B436,2)+5)</f>
        <v>Market</v>
      </c>
      <c r="N436" s="476" t="str">
        <f>INDEX(Input!$1:$1048576,N$93,$C436*2+MIN($B436,2)+5)</f>
        <v>Market</v>
      </c>
      <c r="O436" s="476" t="str">
        <f>INDEX(Input!$1:$1048576,O$93,$C436*2+MIN($B436,2)+5)</f>
        <v>Market</v>
      </c>
      <c r="P436" s="476" t="str">
        <f>INDEX(Input!$1:$1048576,P$93,$C436*2+MIN($B436,2)+5)</f>
        <v>N</v>
      </c>
      <c r="Q436" s="477">
        <f>INDEX(Input!$1:$1048576,Q$93,$C436*2+MIN($B436,2)+5)
+INDEX(Scenarios!Q$121:Q$200,MATCH($B436,Scenarios!$B$121:$B$200,0))</f>
        <v>0</v>
      </c>
      <c r="R436" s="478">
        <f>IFERROR(MAX(0,INDEX(Input!$1:$1048576,R$93,$C436*2+MIN($B436,2)+5)
+INDEX(Scenarios!R$121:R$200,MATCH($B436,Scenarios!$B$121:$B$200,0)),),"Market")</f>
        <v>0</v>
      </c>
      <c r="S436" s="478">
        <f>IFERROR(MAX(0,INDEX(Input!$1:$1048576,S$93,$C436*2+MIN($B436,2)+5)
+INDEX(Scenarios!S$121:S$200,MATCH($B436,Scenarios!$B$121:$B$200,0)),),"Market")</f>
        <v>0</v>
      </c>
      <c r="T436" s="478">
        <f>IFERROR(MAX(0,INDEX(Input!$1:$1048576,T$93,$C436*2+MIN($B436,2)+5)
+INDEX(Scenarios!T$121:T$200,MATCH($B436,Scenarios!$B$121:$B$200,0)),),"Market")</f>
        <v>0</v>
      </c>
      <c r="U436" s="478">
        <f>IFERROR(MAX(0,INDEX(Input!$1:$1048576,U$93,$C436*2+MIN($B436,2)+5)
+INDEX(Scenarios!U$121:U$200,MATCH($B436,Scenarios!$B$121:$B$200,0)),),"Market")</f>
        <v>0</v>
      </c>
      <c r="V436" s="478">
        <f>IFERROR(MAX(0,INDEX(Input!$1:$1048576,V$93,$C436*2+MIN($B436,2)+5)
+INDEX(Scenarios!V$121:V$200,MATCH($B436,Scenarios!$B$121:$B$200,0)),),"Market")</f>
        <v>8.9999999999999993E-3</v>
      </c>
      <c r="W436" s="885">
        <f>IFERROR(MAX(0,INDEX(Input!$1:$1048576,W$93,$C436*2+MIN($B436,2)+5)-0%,),"Market")</f>
        <v>3.9E-2</v>
      </c>
      <c r="X436" s="476" t="str">
        <f>INDEX(Input!$1:$1048576,X$93,$C436*2+MIN($B436,2)+5)</f>
        <v>Y</v>
      </c>
      <c r="Y436" s="475">
        <f>INDEX(Input!$1:$1048576,Y$93,$C436*2+MIN($B436,2)+5)
++INDEX(Scenarios!Y$121:Y$200,MATCH($B436,Scenarios!$B$121:$B$200,0))</f>
        <v>-870</v>
      </c>
      <c r="Z436" s="477">
        <f>INDEX(Input!$1:$1048576,Z$93,$C436*2+MIN($B436,2)+5)
+INDEX(Scenarios!Z$121:Z$200,MATCH($B436,Scenarios!$B$121:$B$200,0))</f>
        <v>0</v>
      </c>
      <c r="AA436" s="475">
        <f>INDEX(Input!$1:$1048576,AA$93,$C436*2+MIN($B436,2)+5)
+INDEX(Scenarios!AA$121:AA$200,MATCH($B436,Scenarios!$B$121:$B$200,0))</f>
        <v>0</v>
      </c>
      <c r="AB436" s="476">
        <f>INDEX(Input!$1:$1048576,AB$93,$C436*2+MIN($B436,2)+5)</f>
        <v>0.27</v>
      </c>
      <c r="AC436" s="475">
        <f>INDEX(Input!$1:$1048576,AC$93,$C436*2+MIN($B436,2)+5)
+INDEX(Scenarios!AC$121:AC$200,MATCH($B436,Scenarios!$B$121:$B$200,0))</f>
        <v>0</v>
      </c>
      <c r="AD436" s="476">
        <f>INDEX(Input!$1:$1048576,AD$93,$C436*2+MIN($B436,2)+5)</f>
        <v>0.27</v>
      </c>
      <c r="AE436" s="475">
        <f>INDEX(Input!$1:$1048576,AE$93,$C436*2+MIN($B436,2)+5)
+INDEX(Scenarios!AE$121:AE$200,MATCH($B436,Scenarios!$B$121:$B$200,0))</f>
        <v>0</v>
      </c>
      <c r="AF436" s="476">
        <f>INDEX(Input!$1:$1048576,AF$93,$C436*2+MIN($B436,2)+5)</f>
        <v>1</v>
      </c>
      <c r="AG436" s="475">
        <f>INDEX(Input!$1:$1048576,AG$93,$C436*2+MIN($B436,2)+5)
+INDEX(Scenarios!AG$121:AG$200,MATCH($B436,Scenarios!$B$121:$B$200,0))</f>
        <v>500</v>
      </c>
      <c r="AH436" s="476">
        <f>INDEX(Input!$1:$1048576,AH$93,$C436*2+MIN($B436,2)+5)</f>
        <v>0.83199999999999996</v>
      </c>
      <c r="AI436" s="475">
        <f>INDEX(Input!$1:$1048576,AI$93,$C436*2+MIN($B436,2)+5)
+INDEX(Scenarios!AI$121:AI$200,MATCH($B436,Scenarios!$B$121:$B$200,0))</f>
        <v>0</v>
      </c>
      <c r="AJ436" s="476">
        <f>INDEX(Input!$1:$1048576,AJ$93,$C436*2+MIN($B436,2)+5)</f>
        <v>0.27</v>
      </c>
      <c r="AK436" s="150">
        <f>ROUND(INDEX(Input!$1:$1048576,AK$93,$C435*2+MIN($B436,1)+5)+(Y436-VLOOKUP($C436*1000+1,$A:$HH,Y$92,FALSE)),0)</f>
        <v>2587</v>
      </c>
      <c r="AL436" s="150">
        <f>ROUND(INDEX(Input!$1:$1048576,AL$93,$C435*2+MIN($B436,1)+5)-(Y436-VLOOKUP($C436*1000+1,$A:$HH,Y$92,FALSE))/36,0)</f>
        <v>3406</v>
      </c>
      <c r="AM436" s="32" t="str">
        <f t="shared" si="1139"/>
        <v>std/std/std/std</v>
      </c>
      <c r="AN436" s="32" t="str">
        <f t="shared" si="1140"/>
        <v>$0 + 0/0/0/0.9/3.9</v>
      </c>
      <c r="AO436" s="32" t="str">
        <f t="shared" si="1141"/>
        <v>0/0/0/0.9/3.9</v>
      </c>
      <c r="AP436" s="32" t="str">
        <f t="shared" si="1213"/>
        <v>0/0/0.9/3.9</v>
      </c>
      <c r="AQ436" s="536">
        <f t="shared" si="1207"/>
        <v>0.43732194098383798</v>
      </c>
      <c r="AR436" s="32"/>
      <c r="AS436" s="302"/>
      <c r="AT436" s="3">
        <f t="shared" si="1162"/>
        <v>36</v>
      </c>
      <c r="AU436" s="41" t="s">
        <v>121</v>
      </c>
      <c r="AV436" s="41" t="s">
        <v>116</v>
      </c>
      <c r="AW436" s="41" t="str">
        <f>INDEX(Input!$1:$1048576,AW$93,$C436*2+6)</f>
        <v>Kia</v>
      </c>
      <c r="AX436" s="41" t="str">
        <f>INDEX(Input!$1:$1048576,AX$93,$C436*2+6)</f>
        <v>Kia-LR - R1</v>
      </c>
      <c r="AY436" s="41" t="str">
        <f>IF(LEN(D436)=0,"",INDEX(Input!$1:$1048576,AY$93,$C436*2+6))</f>
        <v>Compact SUV (52)</v>
      </c>
      <c r="AZ436" s="41" t="str">
        <f>INDEX(Input!$1:$1048576,AZ$93,$C436*2+6)</f>
        <v>Kia Soul</v>
      </c>
      <c r="BA436" s="3">
        <f>INDEX(Input!$1:$1048576,BA$93,$C436*2+6)</f>
        <v>2020</v>
      </c>
      <c r="BB436" s="128">
        <f>INDEX(Input!$1:$1048576,BB$93,$C436*2+6)</f>
        <v>1</v>
      </c>
      <c r="BC436" s="128">
        <f>INDEX(Input!$1:$1048576,BC$93,$C436*2+6)</f>
        <v>0.7</v>
      </c>
      <c r="BD436" s="1">
        <f>INDEX(Input!$1:$1048576,BD$93,$C436*2+6)</f>
        <v>4.4999999999999998E-2</v>
      </c>
      <c r="BE436" s="1">
        <f>INDEX(Input!$1:$1048576,BE$93,$C436*2+6)</f>
        <v>4.4999999999999998E-2</v>
      </c>
      <c r="BF436" s="1">
        <f>INDEX(Input!$1:$1048576,BF$93,$C436*2+6)</f>
        <v>0.05</v>
      </c>
      <c r="BG436" s="1">
        <f>INDEX(Input!$1:$1048576,BG$93,$C436*2+6)</f>
        <v>5.45E-2</v>
      </c>
      <c r="BH436" s="1">
        <f>INDEX(Input!$1:$1048576,BH$93,$C436*2+6)</f>
        <v>5.45E-2</v>
      </c>
      <c r="BI436" s="1">
        <f>INDEX(Input!$1:$1048576,BI$93,$C436*2+6)</f>
        <v>0.05</v>
      </c>
      <c r="BJ436" s="1">
        <f>INDEX(Input!$1:$1048576,BJ$93,$C436*2+6)</f>
        <v>0.05</v>
      </c>
      <c r="BK436" s="1">
        <f>INDEX(Input!$1:$1048576,BK$93,$C436*2+6)</f>
        <v>0.05</v>
      </c>
      <c r="BL436" s="1">
        <f>INDEX(Input!$1:$1048576,BL$93,$C436*2+6)</f>
        <v>5.5E-2</v>
      </c>
      <c r="BM436" s="1">
        <f>INDEX(Input!$1:$1048576,BM$93,$C436*2+6)</f>
        <v>0.06</v>
      </c>
      <c r="BN436" s="1">
        <f>INDEX(Input!$1:$1048576,BN$93,$C436*2+6)</f>
        <v>4.4999999999999998E-2</v>
      </c>
      <c r="BO436" s="1">
        <f>INDEX(Input!$1:$1048576,BO$93,$C436*2+6)</f>
        <v>4.4999999999999998E-2</v>
      </c>
      <c r="BP436" s="1">
        <f>INDEX(Input!$1:$1048576,BP$93,$C436*2+6)</f>
        <v>0.05</v>
      </c>
      <c r="BQ436" s="1">
        <f>INDEX(Input!$1:$1048576,BQ$93,$C436*2+6)</f>
        <v>5.45E-2</v>
      </c>
      <c r="BR436" s="1">
        <f>INDEX(Input!$1:$1048576,BR$93,$C436*2+6)</f>
        <v>5.45E-2</v>
      </c>
      <c r="BS436" s="1">
        <f>INDEX(Input!$1:$1048576,BS$93,$C436*2+6)</f>
        <v>0.05</v>
      </c>
      <c r="BT436" s="1">
        <f>INDEX(Input!$1:$1048576,BT$93,$C436*2+6)</f>
        <v>0.05</v>
      </c>
      <c r="BU436" s="1">
        <f>INDEX(Input!$1:$1048576,BU$93,$C436*2+6)</f>
        <v>0.05</v>
      </c>
      <c r="BV436" s="1">
        <f>INDEX(Input!$1:$1048576,BV$93,$C436*2+6)</f>
        <v>5.5E-2</v>
      </c>
      <c r="BW436" s="1">
        <f>INDEX(Input!$1:$1048576,BW$93,$C436*2+6)</f>
        <v>0.06</v>
      </c>
      <c r="BX436" s="127">
        <f>INDEX(Input!$1:$1048576,BX$93,$C436*2+6)</f>
        <v>19985</v>
      </c>
      <c r="BY436" s="20">
        <f>INDEX(Input!$1:$1048576,BY$93,$C436*2+6)</f>
        <v>0.1</v>
      </c>
      <c r="BZ436" s="20">
        <f>INDEX(Input!$1:$1048576,BZ$93,$C436*2+6)</f>
        <v>0.1</v>
      </c>
      <c r="CA436" s="20">
        <f>INDEX(Input!$1:$1048576,CA$93,$C436*2+6)</f>
        <v>0.1</v>
      </c>
      <c r="CB436" s="20">
        <f>INDEX(Input!$1:$1048576,CB$93,$C436*2+6)</f>
        <v>0.1</v>
      </c>
      <c r="CC436" s="20">
        <f>INDEX(Input!$1:$1048576,CC$93,$C436*2+6)</f>
        <v>0.1</v>
      </c>
      <c r="CD436" s="384">
        <f>INDEX(Input!$1:$1048576,CD$93,$C436*2+6)</f>
        <v>0.1</v>
      </c>
      <c r="CE436" s="384">
        <f>INDEX(Input!$1:$1048576,CE$93,$C436*2+6)</f>
        <v>0.1</v>
      </c>
      <c r="CF436" s="384">
        <f>INDEX(Input!$1:$1048576,CF$93,$C436*2+6)</f>
        <v>0.1</v>
      </c>
      <c r="CG436" s="384">
        <f>INDEX(Input!$1:$1048576,CG$93,$C436*2+6)</f>
        <v>0.1</v>
      </c>
      <c r="CH436" s="384">
        <f>INDEX(Input!$1:$1048576,CH$93,$C436*2+6)</f>
        <v>0.1</v>
      </c>
      <c r="CI436" s="304">
        <f t="shared" si="1214"/>
        <v>1756.832975525977</v>
      </c>
      <c r="CJ436" s="16" t="str">
        <f>INDEX(Input!$1:$1048576,CJ$93,$C436*2+6)</f>
        <v>N</v>
      </c>
      <c r="CK436" s="1" t="str">
        <f t="shared" si="1215"/>
        <v>Market</v>
      </c>
      <c r="CL436" s="1" t="str">
        <f t="shared" si="1216"/>
        <v>Market</v>
      </c>
      <c r="CM436" s="1" t="str">
        <f t="shared" si="1217"/>
        <v>Market</v>
      </c>
      <c r="CN436" s="1" t="str">
        <f t="shared" si="1218"/>
        <v>Market</v>
      </c>
      <c r="CO436" s="1" t="str">
        <f t="shared" si="1219"/>
        <v>Market</v>
      </c>
      <c r="CP436" s="304">
        <f t="shared" si="1220"/>
        <v>416</v>
      </c>
      <c r="CQ436" s="1">
        <f t="shared" si="1221"/>
        <v>0</v>
      </c>
      <c r="CR436" s="1">
        <f t="shared" si="1222"/>
        <v>0</v>
      </c>
      <c r="CS436" s="1">
        <f t="shared" si="1223"/>
        <v>0</v>
      </c>
      <c r="CT436" s="1">
        <f t="shared" si="1224"/>
        <v>8.9999999999999993E-3</v>
      </c>
      <c r="CU436" s="1">
        <f t="shared" si="1225"/>
        <v>3.9E-2</v>
      </c>
      <c r="CV436" s="304">
        <f t="shared" si="1226"/>
        <v>-870</v>
      </c>
      <c r="CW436" s="20" t="s">
        <v>122</v>
      </c>
      <c r="CX436" s="20" t="s">
        <v>122</v>
      </c>
      <c r="CY436" s="20" t="s">
        <v>122</v>
      </c>
      <c r="CZ436" s="20" t="s">
        <v>122</v>
      </c>
      <c r="DA436" s="20" t="s">
        <v>122</v>
      </c>
      <c r="DB436" s="503">
        <f t="shared" si="1227"/>
        <v>0</v>
      </c>
      <c r="DC436" s="127">
        <v>0</v>
      </c>
      <c r="DD436" s="127">
        <v>0</v>
      </c>
      <c r="DE436" s="127">
        <v>0</v>
      </c>
      <c r="DF436" s="127">
        <v>0</v>
      </c>
      <c r="DG436" s="127">
        <v>0</v>
      </c>
      <c r="DH436" s="127">
        <v>0</v>
      </c>
      <c r="DI436" s="127">
        <v>0</v>
      </c>
      <c r="DJ436" s="127">
        <v>0</v>
      </c>
      <c r="DK436" s="127">
        <v>0</v>
      </c>
      <c r="DL436" s="127">
        <v>0</v>
      </c>
      <c r="DM436" s="304">
        <f>INDEX(Input!$1:$1048576,DM$93,$C436*2+6)</f>
        <v>21036.84210526316</v>
      </c>
      <c r="DN436" s="20">
        <v>0</v>
      </c>
      <c r="DO436" s="20">
        <v>0</v>
      </c>
      <c r="DP436" s="20">
        <v>0</v>
      </c>
      <c r="DQ436" s="20">
        <v>0</v>
      </c>
      <c r="DR436" s="20">
        <v>0</v>
      </c>
      <c r="DS436" s="20">
        <f>INDEX(Input!$1:$1048576,DS$93,$C436*2+6)</f>
        <v>0.6</v>
      </c>
      <c r="DT436" s="20">
        <f>INDEX(Input!$1:$1048576,DT$93,$C436*2+6)</f>
        <v>0.55000000000000004</v>
      </c>
      <c r="DU436" s="20">
        <f>INDEX(Input!$1:$1048576,DU$93,$C436*2+6)</f>
        <v>0.52</v>
      </c>
      <c r="DV436" s="20">
        <f>INDEX(Input!$1:$1048576,DV$93,$C436*2+6)</f>
        <v>0.5</v>
      </c>
      <c r="DW436" s="20">
        <f>INDEX(Input!$1:$1048576,DW$93,$C436*2+6)</f>
        <v>0.45</v>
      </c>
      <c r="DX436" s="20"/>
      <c r="DY436" s="7">
        <v>0.10871550991856227</v>
      </c>
      <c r="DZ436" s="7">
        <v>0</v>
      </c>
      <c r="EA436" s="7">
        <v>0.80756956546194547</v>
      </c>
      <c r="EB436" s="7">
        <v>0</v>
      </c>
      <c r="EC436" s="7">
        <v>0</v>
      </c>
      <c r="ED436" s="7">
        <v>0</v>
      </c>
      <c r="EE436" s="7">
        <v>0</v>
      </c>
      <c r="EF436" s="7">
        <v>0</v>
      </c>
      <c r="EG436" s="7">
        <v>0</v>
      </c>
      <c r="EH436" s="7">
        <v>9.5243613467473742E-3</v>
      </c>
      <c r="EI436" s="7">
        <v>2.4891785166237981E-2</v>
      </c>
      <c r="EJ436" s="7">
        <v>0.17464689789482568</v>
      </c>
      <c r="EK436" s="7">
        <v>0.68440018072337594</v>
      </c>
      <c r="EL436" s="7">
        <v>0.10653677486881288</v>
      </c>
      <c r="EM436" s="7">
        <v>4.315904331353225E-2</v>
      </c>
      <c r="EN436" s="7">
        <v>5.0440533378365418E-2</v>
      </c>
      <c r="EO436" s="7">
        <v>0.71273193381737465</v>
      </c>
      <c r="EP436" s="7">
        <v>0.10250482920061843</v>
      </c>
      <c r="EQ436" s="7">
        <v>8.9969547196749294E-2</v>
      </c>
      <c r="ER436" s="7">
        <v>4.435315640689149E-2</v>
      </c>
      <c r="ES436" s="7">
        <v>4.0555881305960127E-2</v>
      </c>
      <c r="ET436" s="7">
        <v>8.3714924619492398E-2</v>
      </c>
      <c r="EU436" s="6">
        <v>2270</v>
      </c>
      <c r="EV436" s="6">
        <v>0</v>
      </c>
      <c r="EW436" s="6">
        <v>2270</v>
      </c>
      <c r="EX436" s="6">
        <v>0</v>
      </c>
      <c r="EY436" s="6">
        <v>2824.2255051464927</v>
      </c>
      <c r="EZ436" s="6">
        <v>507</v>
      </c>
      <c r="FA436" s="6">
        <v>0</v>
      </c>
      <c r="FB436" s="6">
        <v>0</v>
      </c>
      <c r="FC436" s="6">
        <v>0</v>
      </c>
      <c r="FD436" s="6">
        <v>0</v>
      </c>
      <c r="FE436" s="6">
        <v>0</v>
      </c>
      <c r="FF436" s="6">
        <v>0</v>
      </c>
      <c r="FG436" s="6">
        <v>0</v>
      </c>
      <c r="FH436" s="6">
        <v>1169.8070950448282</v>
      </c>
      <c r="FI436" s="6">
        <v>1553.9796069512397</v>
      </c>
      <c r="FJ436" s="6">
        <v>2101.2110117447396</v>
      </c>
      <c r="FK436" s="6">
        <v>2251.3078348034669</v>
      </c>
      <c r="FL436" s="6">
        <v>907.0768214096629</v>
      </c>
      <c r="FM436" s="6">
        <v>2054.2255051464927</v>
      </c>
      <c r="FN436" s="6">
        <v>0</v>
      </c>
      <c r="FO436" s="6">
        <v>0</v>
      </c>
      <c r="FP436" s="6">
        <v>0</v>
      </c>
      <c r="FQ436" s="6">
        <v>0</v>
      </c>
      <c r="FR436" s="6">
        <v>0</v>
      </c>
      <c r="FS436" s="6">
        <v>0</v>
      </c>
      <c r="FT436" s="7">
        <v>0.91628507538050774</v>
      </c>
      <c r="FU436" s="7">
        <v>4.315904331353225E-2</v>
      </c>
      <c r="FV436" s="7">
        <v>4.0555881305960127E-2</v>
      </c>
      <c r="FW436" s="6">
        <v>2270.0000000000005</v>
      </c>
      <c r="FX436" s="6">
        <v>2824.2255051464927</v>
      </c>
      <c r="FY436" s="6">
        <v>507</v>
      </c>
      <c r="FZ436" s="6">
        <v>1949.5716051445115</v>
      </c>
      <c r="GA436" s="6">
        <v>2222.4198238396748</v>
      </c>
      <c r="GB436" s="6">
        <v>17762.580176160325</v>
      </c>
      <c r="GC436" s="7">
        <v>3.3872851927908169E-2</v>
      </c>
      <c r="GD436" s="7">
        <v>3.5485786574407138E-2</v>
      </c>
      <c r="GE436" s="7"/>
      <c r="GF436" s="7"/>
      <c r="GG436" s="7">
        <v>4.7617326404395741E-2</v>
      </c>
      <c r="GH436" s="42">
        <v>3.4877715996931236</v>
      </c>
      <c r="GI436" s="6">
        <v>7952.4395309094889</v>
      </c>
      <c r="GJ436" s="14">
        <v>0.50394797582841722</v>
      </c>
      <c r="GK436" s="14">
        <v>0.5088757306530971</v>
      </c>
      <c r="GL436" s="14">
        <v>0.49605202417158223</v>
      </c>
      <c r="GM436" s="14">
        <v>0.49112426934690206</v>
      </c>
      <c r="GO436" s="5">
        <v>343.14810671672558</v>
      </c>
      <c r="GP436" s="5">
        <v>299.84083725090579</v>
      </c>
      <c r="GQ436" s="5">
        <v>535.04305713031317</v>
      </c>
      <c r="GR436" s="5">
        <v>410.15490233172511</v>
      </c>
      <c r="GS436" s="5">
        <v>339.42744393800166</v>
      </c>
      <c r="GT436" s="5">
        <v>293.4407446948278</v>
      </c>
      <c r="GU436" s="5">
        <v>258.04012322764959</v>
      </c>
      <c r="GV436" s="39" t="s">
        <v>392</v>
      </c>
      <c r="GW436" s="5">
        <v>478.23611111111109</v>
      </c>
      <c r="GX436" s="5">
        <v>358.67708333333331</v>
      </c>
      <c r="GY436" s="5">
        <v>286.94166666666666</v>
      </c>
      <c r="GZ436" s="5">
        <v>245.72198221012883</v>
      </c>
      <c r="HA436" s="5">
        <v>234.53733318419432</v>
      </c>
      <c r="HB436" s="39">
        <v>256.75549848987066</v>
      </c>
      <c r="HC436" s="5">
        <v>265.10312499999998</v>
      </c>
      <c r="HD436" s="5">
        <v>224.66580774853799</v>
      </c>
      <c r="HE436" s="5">
        <v>226.90661690283397</v>
      </c>
      <c r="HF436" s="5">
        <v>209.18438048245613</v>
      </c>
      <c r="HG436" s="5">
        <v>200.91388157894738</v>
      </c>
      <c r="HH436" s="39">
        <v>224.48885146127043</v>
      </c>
      <c r="HI436" s="16"/>
      <c r="HJ436" s="19" t="str">
        <f t="shared" si="1232"/>
        <v>On</v>
      </c>
      <c r="HK436" s="1" t="str">
        <f t="shared" si="1232"/>
        <v>On</v>
      </c>
      <c r="HL436" s="16"/>
      <c r="HM436" s="639">
        <f t="shared" si="1110"/>
        <v>2.9403358434788716E-2</v>
      </c>
      <c r="HN436" s="639">
        <f t="shared" si="1111"/>
        <v>1.4106809950923669E-3</v>
      </c>
      <c r="HO436" s="639">
        <f t="shared" si="1112"/>
        <v>1.7317923025048877E-3</v>
      </c>
      <c r="HP436" s="644">
        <f>(FT436*$GD436-HM436)/$JF436*INDEX(Input!$1:$1048576,$JG$93,$C436*2+6)</f>
        <v>222.67792409010318</v>
      </c>
      <c r="HQ436" s="644">
        <f>(FU436*$GD436-HN436)/$JF436*INDEX(Input!$1:$1048576,$JG$93,$C436*2+6)</f>
        <v>8.6482161411927496</v>
      </c>
      <c r="HR436" s="644">
        <f>(FV436*$GD436-HO436)/$JF436*INDEX(Input!$1:$1048576,$JG$93,$C436*2+6)</f>
        <v>-20.941139676715355</v>
      </c>
      <c r="HS436" s="644">
        <f t="shared" si="1228"/>
        <v>-102.34982243557046</v>
      </c>
      <c r="HT436" s="644">
        <f t="shared" si="1114"/>
        <v>98.058423946516214</v>
      </c>
      <c r="HU436" s="644">
        <f t="shared" si="1115"/>
        <v>10.692459228108639</v>
      </c>
      <c r="HV436" s="648">
        <f t="shared" si="1116"/>
        <v>0</v>
      </c>
      <c r="HW436" s="648">
        <f t="shared" si="1117"/>
        <v>0</v>
      </c>
      <c r="HX436" s="648">
        <f t="shared" si="1118"/>
        <v>0</v>
      </c>
      <c r="HY436" s="644">
        <f>INDEX(Input!$1:$1048576,HY$93,$C436*2+6)*INDEX(Input!$1:$1048576,$JG$93,$C436*2+6)</f>
        <v>993</v>
      </c>
      <c r="HZ436" s="644">
        <f>INDEX(Input!$1:$1048576,HZ$93,$C436*2+6)*INDEX(Input!$1:$1048576,$JG$93,$C436*2+6)</f>
        <v>1216</v>
      </c>
      <c r="IA436" s="644">
        <f>INDEX(Input!$1:$1048576,IA$93,$C436*2+6)*INDEX(Input!$1:$1048576,$JG$93,$C436*2+6)</f>
        <v>120</v>
      </c>
      <c r="IB436" s="644">
        <f t="shared" si="1142"/>
        <v>1113.3281016545325</v>
      </c>
      <c r="IC436" s="644">
        <f t="shared" si="1143"/>
        <v>1322.706640087709</v>
      </c>
      <c r="ID436" s="644">
        <f>IF(AND(INDEX(Input!$1:$1048576,IA$93,$C436*2+7)="TOS",Y436&lt;=INDEX(Y:Y,MATCH(C436*1000+2,A:A))),0,1)*MAX(IA436+HR436+HU436+HX436,0%)</f>
        <v>109.75131955139329</v>
      </c>
      <c r="IE436" s="128">
        <f t="shared" si="1229"/>
        <v>0.43732194098383798</v>
      </c>
      <c r="IF436" s="128">
        <f t="shared" si="1210"/>
        <v>0.51956708389532891</v>
      </c>
      <c r="IG436" s="128">
        <f t="shared" si="1120"/>
        <v>4.3110975120832985E-2</v>
      </c>
      <c r="IH436" s="21"/>
      <c r="II436" s="19">
        <f t="shared" si="1121"/>
        <v>1490</v>
      </c>
      <c r="IJ436" s="19">
        <f t="shared" si="1122"/>
        <v>2203.2561351629856</v>
      </c>
      <c r="IK436" s="19">
        <f t="shared" si="1123"/>
        <v>242</v>
      </c>
      <c r="IL436" s="19">
        <f t="shared" si="1145"/>
        <v>780.00000000000045</v>
      </c>
      <c r="IM436" s="19">
        <f t="shared" si="1124"/>
        <v>620.96936998350702</v>
      </c>
      <c r="IN436" s="19">
        <f t="shared" si="1125"/>
        <v>265</v>
      </c>
      <c r="IO436" s="39">
        <f t="shared" si="1126"/>
        <v>0</v>
      </c>
      <c r="IP436" s="39">
        <f t="shared" si="1127"/>
        <v>0</v>
      </c>
      <c r="IQ436" s="39">
        <f t="shared" si="1128"/>
        <v>0</v>
      </c>
      <c r="IR436" s="39">
        <v>0</v>
      </c>
      <c r="IS436" s="39">
        <v>0</v>
      </c>
      <c r="IT436" s="39">
        <v>0</v>
      </c>
      <c r="IU436" s="39">
        <v>0</v>
      </c>
      <c r="IV436" s="39">
        <v>0</v>
      </c>
      <c r="IW436" s="39">
        <v>0</v>
      </c>
      <c r="IX436" s="39">
        <f>INDEX(Input!$1:$1048576,IX$93,$C436*2+6)+INDEX(Input!$1:$1048576,IX$94,$C436*2+6)</f>
        <v>1770</v>
      </c>
      <c r="IY436" s="39">
        <f>INDEX(Input!$1:$1048576,IY$93,$C436*2+6)+INDEX(Input!$1:$1048576,IY$94,$C436*2+6)</f>
        <v>2630.0624533823611</v>
      </c>
      <c r="IZ436" s="39">
        <f>INDEX(Input!$1:$1048576,IZ$93,$C436*2+6)+INDEX(Input!$1:$1048576,IZ$94,$C436*2+6)</f>
        <v>4153.7164157747848</v>
      </c>
      <c r="JA436" s="19">
        <f t="shared" si="1146"/>
        <v>2550.0000000000005</v>
      </c>
      <c r="JB436" s="19">
        <f t="shared" si="1147"/>
        <v>3251.0318233658681</v>
      </c>
      <c r="JC436" s="19">
        <f t="shared" si="1148"/>
        <v>4418.7164157747848</v>
      </c>
      <c r="JD436" s="19">
        <f t="shared" si="1149"/>
        <v>2994.7952470923883</v>
      </c>
      <c r="JE436" s="21"/>
      <c r="JF436" s="1">
        <f t="shared" si="1129"/>
        <v>3.2545831732385969E-2</v>
      </c>
      <c r="JG436" s="15">
        <f>INDEX(Input!$1:$1048576,JG$93,$C436*2+6)/(1+VLOOKUP(C436*1000+INDEX(Input!$1:$1048576,JG$93+1,$C436*2+6),$A:$KK,$JK$92,FALSE))</f>
        <v>2329</v>
      </c>
      <c r="JH436" s="1">
        <f t="shared" si="1150"/>
        <v>9.0332761079682522E-2</v>
      </c>
      <c r="JI436" s="1">
        <f t="shared" si="1151"/>
        <v>2.7484159463522515E-3</v>
      </c>
      <c r="JJ436" s="1">
        <f t="shared" si="1211"/>
        <v>0</v>
      </c>
      <c r="JK436" s="1">
        <f t="shared" si="1212"/>
        <v>9.3081177026034773E-2</v>
      </c>
      <c r="JL436" s="15">
        <f t="shared" si="1154"/>
        <v>216.78606129363499</v>
      </c>
      <c r="JM436" s="15">
        <f t="shared" si="1180"/>
        <v>2545.7860612936352</v>
      </c>
      <c r="JN436" s="21"/>
      <c r="JO436" s="19">
        <f>INDEX(Input!$1:$1048576,JO$93,$C436*2+6)</f>
        <v>5995.5</v>
      </c>
      <c r="JP436" s="19">
        <f>INDEX(Input!$1:$1048576,JP$93,$C436*2+6)</f>
        <v>2341.8685758720158</v>
      </c>
      <c r="JQ436" s="39">
        <f t="shared" si="1166"/>
        <v>3000.7047529076117</v>
      </c>
      <c r="JR436" s="39">
        <f t="shared" si="1183"/>
        <v>652.92667122037255</v>
      </c>
      <c r="JS436" s="39">
        <f t="shared" si="1168"/>
        <v>7.6241079964762299</v>
      </c>
      <c r="JT436" s="39">
        <f t="shared" si="1156"/>
        <v>2.1698960832703058</v>
      </c>
      <c r="JU436" s="385">
        <f>(JQ436*JM436-INDEX(Input!$1:$1048576,Input!A$18,$C436*2+6)*JL436*INDEX(Input!$1:$1048576,Input!A$19,$C436*2+6))/1000000</f>
        <v>7.6391523340097596</v>
      </c>
      <c r="JV436" s="39">
        <f t="shared" si="1190"/>
        <v>-0.87015525278431483</v>
      </c>
      <c r="JW436" s="1">
        <f t="shared" si="1181"/>
        <v>-0.1022592313074618</v>
      </c>
      <c r="JX436" s="19">
        <f t="shared" si="1172"/>
        <v>10009.389304468237</v>
      </c>
      <c r="JZ436" s="341"/>
      <c r="KA436" s="342"/>
      <c r="KB436" s="469">
        <f t="shared" si="1169"/>
        <v>2.3434325605641804</v>
      </c>
      <c r="KI436" s="473">
        <f t="shared" si="1230"/>
        <v>120.32810165453247</v>
      </c>
      <c r="KJ436" s="473">
        <f t="shared" si="1231"/>
        <v>106.70664008770905</v>
      </c>
      <c r="KK436" s="473">
        <f t="shared" si="1158"/>
        <v>-10.248680448606692</v>
      </c>
      <c r="KN436" s="544">
        <f t="shared" si="1173"/>
        <v>4002</v>
      </c>
      <c r="KO436" s="541">
        <f t="shared" si="1133"/>
        <v>5.2581518671421135E-2</v>
      </c>
      <c r="KP436" s="546">
        <f t="shared" si="1134"/>
        <v>395.79302223129923</v>
      </c>
      <c r="KQ436" s="546">
        <f t="shared" si="1135"/>
        <v>370.02405905636715</v>
      </c>
      <c r="KR436" s="548">
        <f t="shared" si="1136"/>
        <v>2.3063246296519497</v>
      </c>
      <c r="KS436" s="548">
        <f t="shared" si="1137"/>
        <v>2.4669401166624483</v>
      </c>
      <c r="KT436" s="473">
        <f t="shared" si="1171"/>
        <v>1580.0986321700548</v>
      </c>
      <c r="KU436" s="663">
        <f t="shared" si="1159"/>
        <v>4.0784320570986425</v>
      </c>
      <c r="KV436" s="117"/>
    </row>
    <row r="437" spans="1:308" s="26" customFormat="1" ht="15">
      <c r="A437" s="561">
        <f t="shared" si="1138"/>
        <v>4037</v>
      </c>
      <c r="B437" s="561">
        <f t="shared" si="1160"/>
        <v>37</v>
      </c>
      <c r="C437" s="561">
        <f t="shared" si="1161"/>
        <v>4</v>
      </c>
      <c r="D437" s="561" t="str">
        <f t="shared" si="1206"/>
        <v xml:space="preserve">750 CC, 0/0/0.9/3.9, </v>
      </c>
      <c r="E437" s="475">
        <f>INDEX(Input!$1:$1048576,E$93,$C437*2+MIN($B437,2)+5)
+INDEX(Scenarios!E$121:E$200,MATCH($B437,Scenarios!$B$121:$B$200,0))</f>
        <v>2006.832975525977</v>
      </c>
      <c r="F437" s="475">
        <f>INDEX(Input!$1:$1048576,F$93,$C437*2+MIN($B437,2)+5)
+INDEX(Scenarios!F$121:F$200,MATCH($B437,Scenarios!$B$121:$B$200,0))</f>
        <v>0</v>
      </c>
      <c r="G437" s="475">
        <f>INDEX(Input!$1:$1048576,G$93,$C437*2+MIN($B437,2)+5)
+INDEX(Scenarios!G$121:G$200,MATCH($B437,Scenarios!$B$121:$B$200,0))</f>
        <v>0</v>
      </c>
      <c r="H437" s="475">
        <f>INDEX(Input!$1:$1048576,H$93,$C437*2+MIN($B437,2)+5)
+INDEX(Scenarios!H$121:H$200,MATCH($B437,Scenarios!$B$121:$B$200,0))</f>
        <v>0</v>
      </c>
      <c r="I437" s="476">
        <f>INDEX(Input!$1:$1048576,I$93,$C437*2+MIN($B437,2)+5)</f>
        <v>0.7</v>
      </c>
      <c r="J437" s="476" t="str">
        <f>INDEX(Input!$1:$1048576,J$93,$C437*2+MIN($B437,2)+5)</f>
        <v>Market</v>
      </c>
      <c r="K437" s="476" t="str">
        <f>INDEX(Input!$1:$1048576,K$93,$C437*2+MIN($B437,2)+5)</f>
        <v>Market</v>
      </c>
      <c r="L437" s="476" t="str">
        <f>INDEX(Input!$1:$1048576,L$93,$C437*2+MIN($B437,2)+5)</f>
        <v>Market</v>
      </c>
      <c r="M437" s="476" t="str">
        <f>INDEX(Input!$1:$1048576,M$93,$C437*2+MIN($B437,2)+5)</f>
        <v>Market</v>
      </c>
      <c r="N437" s="476" t="str">
        <f>INDEX(Input!$1:$1048576,N$93,$C437*2+MIN($B437,2)+5)</f>
        <v>Market</v>
      </c>
      <c r="O437" s="476" t="str">
        <f>INDEX(Input!$1:$1048576,O$93,$C437*2+MIN($B437,2)+5)</f>
        <v>Market</v>
      </c>
      <c r="P437" s="476" t="str">
        <f>INDEX(Input!$1:$1048576,P$93,$C437*2+MIN($B437,2)+5)</f>
        <v>N</v>
      </c>
      <c r="Q437" s="477">
        <f>INDEX(Input!$1:$1048576,Q$93,$C437*2+MIN($B437,2)+5)
+INDEX(Scenarios!Q$121:Q$200,MATCH($B437,Scenarios!$B$121:$B$200,0))</f>
        <v>0</v>
      </c>
      <c r="R437" s="478">
        <f>IFERROR(MAX(0,INDEX(Input!$1:$1048576,R$93,$C437*2+MIN($B437,2)+5)
+INDEX(Scenarios!R$121:R$200,MATCH($B437,Scenarios!$B$121:$B$200,0)),),"Market")</f>
        <v>0</v>
      </c>
      <c r="S437" s="478">
        <f>IFERROR(MAX(0,INDEX(Input!$1:$1048576,S$93,$C437*2+MIN($B437,2)+5)
+INDEX(Scenarios!S$121:S$200,MATCH($B437,Scenarios!$B$121:$B$200,0)),),"Market")</f>
        <v>0</v>
      </c>
      <c r="T437" s="478">
        <f>IFERROR(MAX(0,INDEX(Input!$1:$1048576,T$93,$C437*2+MIN($B437,2)+5)
+INDEX(Scenarios!T$121:T$200,MATCH($B437,Scenarios!$B$121:$B$200,0)),),"Market")</f>
        <v>0</v>
      </c>
      <c r="U437" s="478">
        <f>IFERROR(MAX(0,INDEX(Input!$1:$1048576,U$93,$C437*2+MIN($B437,2)+5)
+INDEX(Scenarios!U$121:U$200,MATCH($B437,Scenarios!$B$121:$B$200,0)),),"Market")</f>
        <v>0</v>
      </c>
      <c r="V437" s="478">
        <f>IFERROR(MAX(0,INDEX(Input!$1:$1048576,V$93,$C437*2+MIN($B437,2)+5)
+INDEX(Scenarios!V$121:V$200,MATCH($B437,Scenarios!$B$121:$B$200,0)),),"Market")</f>
        <v>8.9999999999999993E-3</v>
      </c>
      <c r="W437" s="885">
        <f>IFERROR(MAX(0,INDEX(Input!$1:$1048576,W$93,$C437*2+MIN($B437,2)+5)-0%,),"Market")</f>
        <v>3.9E-2</v>
      </c>
      <c r="X437" s="476" t="str">
        <f>INDEX(Input!$1:$1048576,X$93,$C437*2+MIN($B437,2)+5)</f>
        <v>Y</v>
      </c>
      <c r="Y437" s="475">
        <f>INDEX(Input!$1:$1048576,Y$93,$C437*2+MIN($B437,2)+5)
++INDEX(Scenarios!Y$121:Y$200,MATCH($B437,Scenarios!$B$121:$B$200,0))</f>
        <v>-870</v>
      </c>
      <c r="Z437" s="477">
        <f>INDEX(Input!$1:$1048576,Z$93,$C437*2+MIN($B437,2)+5)
+INDEX(Scenarios!Z$121:Z$200,MATCH($B437,Scenarios!$B$121:$B$200,0))</f>
        <v>0</v>
      </c>
      <c r="AA437" s="475">
        <f>INDEX(Input!$1:$1048576,AA$93,$C437*2+MIN($B437,2)+5)
+INDEX(Scenarios!AA$121:AA$200,MATCH($B437,Scenarios!$B$121:$B$200,0))</f>
        <v>0</v>
      </c>
      <c r="AB437" s="476">
        <f>INDEX(Input!$1:$1048576,AB$93,$C437*2+MIN($B437,2)+5)</f>
        <v>0.27</v>
      </c>
      <c r="AC437" s="475">
        <f>INDEX(Input!$1:$1048576,AC$93,$C437*2+MIN($B437,2)+5)
+INDEX(Scenarios!AC$121:AC$200,MATCH($B437,Scenarios!$B$121:$B$200,0))</f>
        <v>0</v>
      </c>
      <c r="AD437" s="476">
        <f>INDEX(Input!$1:$1048576,AD$93,$C437*2+MIN($B437,2)+5)</f>
        <v>0.27</v>
      </c>
      <c r="AE437" s="475">
        <f>INDEX(Input!$1:$1048576,AE$93,$C437*2+MIN($B437,2)+5)
+INDEX(Scenarios!AE$121:AE$200,MATCH($B437,Scenarios!$B$121:$B$200,0))</f>
        <v>0</v>
      </c>
      <c r="AF437" s="476">
        <f>INDEX(Input!$1:$1048576,AF$93,$C437*2+MIN($B437,2)+5)</f>
        <v>1</v>
      </c>
      <c r="AG437" s="475">
        <f>INDEX(Input!$1:$1048576,AG$93,$C437*2+MIN($B437,2)+5)
+INDEX(Scenarios!AG$121:AG$200,MATCH($B437,Scenarios!$B$121:$B$200,0))</f>
        <v>500</v>
      </c>
      <c r="AH437" s="476">
        <f>INDEX(Input!$1:$1048576,AH$93,$C437*2+MIN($B437,2)+5)</f>
        <v>0.83199999999999996</v>
      </c>
      <c r="AI437" s="475">
        <f>INDEX(Input!$1:$1048576,AI$93,$C437*2+MIN($B437,2)+5)
+INDEX(Scenarios!AI$121:AI$200,MATCH($B437,Scenarios!$B$121:$B$200,0))</f>
        <v>0</v>
      </c>
      <c r="AJ437" s="476">
        <f>INDEX(Input!$1:$1048576,AJ$93,$C437*2+MIN($B437,2)+5)</f>
        <v>0.27</v>
      </c>
      <c r="AK437" s="150">
        <f>ROUND(INDEX(Input!$1:$1048576,AK$93,$C436*2+MIN($B437,1)+5)+(Y437-VLOOKUP($C437*1000+1,$A:$HH,Y$92,FALSE)),0)</f>
        <v>2587</v>
      </c>
      <c r="AL437" s="150">
        <f>ROUND(INDEX(Input!$1:$1048576,AL$93,$C436*2+MIN($B437,1)+5)-(Y437-VLOOKUP($C437*1000+1,$A:$HH,Y$92,FALSE))/36,0)</f>
        <v>3406</v>
      </c>
      <c r="AM437" s="32" t="str">
        <f t="shared" si="1139"/>
        <v>std/std/std/std</v>
      </c>
      <c r="AN437" s="32" t="str">
        <f t="shared" si="1140"/>
        <v>$0 + 0/0/0/0.9/3.9</v>
      </c>
      <c r="AO437" s="32" t="str">
        <f t="shared" si="1141"/>
        <v>0/0/0/0.9/3.9</v>
      </c>
      <c r="AP437" s="32" t="str">
        <f t="shared" si="1213"/>
        <v>0/0/0.9/3.9</v>
      </c>
      <c r="AQ437" s="536">
        <f t="shared" si="1207"/>
        <v>0.45258813163862632</v>
      </c>
      <c r="AR437" s="32"/>
      <c r="AS437" s="302"/>
      <c r="AT437" s="3">
        <f t="shared" si="1162"/>
        <v>37</v>
      </c>
      <c r="AU437" s="41" t="s">
        <v>121</v>
      </c>
      <c r="AV437" s="41" t="s">
        <v>116</v>
      </c>
      <c r="AW437" s="41" t="str">
        <f>INDEX(Input!$1:$1048576,AW$93,$C437*2+6)</f>
        <v>Kia</v>
      </c>
      <c r="AX437" s="41" t="str">
        <f>INDEX(Input!$1:$1048576,AX$93,$C437*2+6)</f>
        <v>Kia-LR - R1</v>
      </c>
      <c r="AY437" s="41" t="str">
        <f>IF(LEN(D437)=0,"",INDEX(Input!$1:$1048576,AY$93,$C437*2+6))</f>
        <v>Compact SUV (52)</v>
      </c>
      <c r="AZ437" s="41" t="str">
        <f>INDEX(Input!$1:$1048576,AZ$93,$C437*2+6)</f>
        <v>Kia Soul</v>
      </c>
      <c r="BA437" s="3">
        <f>INDEX(Input!$1:$1048576,BA$93,$C437*2+6)</f>
        <v>2020</v>
      </c>
      <c r="BB437" s="128">
        <f>INDEX(Input!$1:$1048576,BB$93,$C437*2+6)</f>
        <v>1</v>
      </c>
      <c r="BC437" s="128">
        <f>INDEX(Input!$1:$1048576,BC$93,$C437*2+6)</f>
        <v>0.7</v>
      </c>
      <c r="BD437" s="1">
        <f>INDEX(Input!$1:$1048576,BD$93,$C437*2+6)</f>
        <v>4.4999999999999998E-2</v>
      </c>
      <c r="BE437" s="1">
        <f>INDEX(Input!$1:$1048576,BE$93,$C437*2+6)</f>
        <v>4.4999999999999998E-2</v>
      </c>
      <c r="BF437" s="1">
        <f>INDEX(Input!$1:$1048576,BF$93,$C437*2+6)</f>
        <v>0.05</v>
      </c>
      <c r="BG437" s="1">
        <f>INDEX(Input!$1:$1048576,BG$93,$C437*2+6)</f>
        <v>5.45E-2</v>
      </c>
      <c r="BH437" s="1">
        <f>INDEX(Input!$1:$1048576,BH$93,$C437*2+6)</f>
        <v>5.45E-2</v>
      </c>
      <c r="BI437" s="1">
        <f>INDEX(Input!$1:$1048576,BI$93,$C437*2+6)</f>
        <v>0.05</v>
      </c>
      <c r="BJ437" s="1">
        <f>INDEX(Input!$1:$1048576,BJ$93,$C437*2+6)</f>
        <v>0.05</v>
      </c>
      <c r="BK437" s="1">
        <f>INDEX(Input!$1:$1048576,BK$93,$C437*2+6)</f>
        <v>0.05</v>
      </c>
      <c r="BL437" s="1">
        <f>INDEX(Input!$1:$1048576,BL$93,$C437*2+6)</f>
        <v>5.5E-2</v>
      </c>
      <c r="BM437" s="1">
        <f>INDEX(Input!$1:$1048576,BM$93,$C437*2+6)</f>
        <v>0.06</v>
      </c>
      <c r="BN437" s="1">
        <f>INDEX(Input!$1:$1048576,BN$93,$C437*2+6)</f>
        <v>4.4999999999999998E-2</v>
      </c>
      <c r="BO437" s="1">
        <f>INDEX(Input!$1:$1048576,BO$93,$C437*2+6)</f>
        <v>4.4999999999999998E-2</v>
      </c>
      <c r="BP437" s="1">
        <f>INDEX(Input!$1:$1048576,BP$93,$C437*2+6)</f>
        <v>0.05</v>
      </c>
      <c r="BQ437" s="1">
        <f>INDEX(Input!$1:$1048576,BQ$93,$C437*2+6)</f>
        <v>5.45E-2</v>
      </c>
      <c r="BR437" s="1">
        <f>INDEX(Input!$1:$1048576,BR$93,$C437*2+6)</f>
        <v>5.45E-2</v>
      </c>
      <c r="BS437" s="1">
        <f>INDEX(Input!$1:$1048576,BS$93,$C437*2+6)</f>
        <v>0.05</v>
      </c>
      <c r="BT437" s="1">
        <f>INDEX(Input!$1:$1048576,BT$93,$C437*2+6)</f>
        <v>0.05</v>
      </c>
      <c r="BU437" s="1">
        <f>INDEX(Input!$1:$1048576,BU$93,$C437*2+6)</f>
        <v>0.05</v>
      </c>
      <c r="BV437" s="1">
        <f>INDEX(Input!$1:$1048576,BV$93,$C437*2+6)</f>
        <v>5.5E-2</v>
      </c>
      <c r="BW437" s="1">
        <f>INDEX(Input!$1:$1048576,BW$93,$C437*2+6)</f>
        <v>0.06</v>
      </c>
      <c r="BX437" s="127">
        <f>INDEX(Input!$1:$1048576,BX$93,$C437*2+6)</f>
        <v>19985</v>
      </c>
      <c r="BY437" s="20">
        <f>INDEX(Input!$1:$1048576,BY$93,$C437*2+6)</f>
        <v>0.1</v>
      </c>
      <c r="BZ437" s="20">
        <f>INDEX(Input!$1:$1048576,BZ$93,$C437*2+6)</f>
        <v>0.1</v>
      </c>
      <c r="CA437" s="20">
        <f>INDEX(Input!$1:$1048576,CA$93,$C437*2+6)</f>
        <v>0.1</v>
      </c>
      <c r="CB437" s="20">
        <f>INDEX(Input!$1:$1048576,CB$93,$C437*2+6)</f>
        <v>0.1</v>
      </c>
      <c r="CC437" s="20">
        <f>INDEX(Input!$1:$1048576,CC$93,$C437*2+6)</f>
        <v>0.1</v>
      </c>
      <c r="CD437" s="384">
        <f>INDEX(Input!$1:$1048576,CD$93,$C437*2+6)</f>
        <v>0.1</v>
      </c>
      <c r="CE437" s="384">
        <f>INDEX(Input!$1:$1048576,CE$93,$C437*2+6)</f>
        <v>0.1</v>
      </c>
      <c r="CF437" s="384">
        <f>INDEX(Input!$1:$1048576,CF$93,$C437*2+6)</f>
        <v>0.1</v>
      </c>
      <c r="CG437" s="384">
        <f>INDEX(Input!$1:$1048576,CG$93,$C437*2+6)</f>
        <v>0.1</v>
      </c>
      <c r="CH437" s="384">
        <f>INDEX(Input!$1:$1048576,CH$93,$C437*2+6)</f>
        <v>0.1</v>
      </c>
      <c r="CI437" s="304">
        <f t="shared" si="1214"/>
        <v>2006.832975525977</v>
      </c>
      <c r="CJ437" s="16" t="str">
        <f>INDEX(Input!$1:$1048576,CJ$93,$C437*2+6)</f>
        <v>N</v>
      </c>
      <c r="CK437" s="1" t="str">
        <f t="shared" si="1215"/>
        <v>Market</v>
      </c>
      <c r="CL437" s="1" t="str">
        <f t="shared" si="1216"/>
        <v>Market</v>
      </c>
      <c r="CM437" s="1" t="str">
        <f t="shared" si="1217"/>
        <v>Market</v>
      </c>
      <c r="CN437" s="1" t="str">
        <f t="shared" si="1218"/>
        <v>Market</v>
      </c>
      <c r="CO437" s="1" t="str">
        <f t="shared" si="1219"/>
        <v>Market</v>
      </c>
      <c r="CP437" s="304">
        <f t="shared" si="1220"/>
        <v>416</v>
      </c>
      <c r="CQ437" s="1">
        <f t="shared" si="1221"/>
        <v>0</v>
      </c>
      <c r="CR437" s="1">
        <f t="shared" si="1222"/>
        <v>0</v>
      </c>
      <c r="CS437" s="1">
        <f t="shared" si="1223"/>
        <v>0</v>
      </c>
      <c r="CT437" s="1">
        <f t="shared" si="1224"/>
        <v>8.9999999999999993E-3</v>
      </c>
      <c r="CU437" s="1">
        <f t="shared" si="1225"/>
        <v>3.9E-2</v>
      </c>
      <c r="CV437" s="304">
        <f t="shared" si="1226"/>
        <v>-870</v>
      </c>
      <c r="CW437" s="20" t="s">
        <v>122</v>
      </c>
      <c r="CX437" s="20" t="s">
        <v>122</v>
      </c>
      <c r="CY437" s="20" t="s">
        <v>122</v>
      </c>
      <c r="CZ437" s="20" t="s">
        <v>122</v>
      </c>
      <c r="DA437" s="20" t="s">
        <v>122</v>
      </c>
      <c r="DB437" s="503">
        <f t="shared" si="1227"/>
        <v>0</v>
      </c>
      <c r="DC437" s="127">
        <v>0</v>
      </c>
      <c r="DD437" s="127">
        <v>0</v>
      </c>
      <c r="DE437" s="127">
        <v>0</v>
      </c>
      <c r="DF437" s="127">
        <v>0</v>
      </c>
      <c r="DG437" s="127">
        <v>0</v>
      </c>
      <c r="DH437" s="127">
        <v>0</v>
      </c>
      <c r="DI437" s="127">
        <v>0</v>
      </c>
      <c r="DJ437" s="127">
        <v>0</v>
      </c>
      <c r="DK437" s="127">
        <v>0</v>
      </c>
      <c r="DL437" s="127">
        <v>0</v>
      </c>
      <c r="DM437" s="304">
        <f>INDEX(Input!$1:$1048576,DM$93,$C437*2+6)</f>
        <v>21036.84210526316</v>
      </c>
      <c r="DN437" s="20">
        <v>0</v>
      </c>
      <c r="DO437" s="20">
        <v>0</v>
      </c>
      <c r="DP437" s="20">
        <v>0</v>
      </c>
      <c r="DQ437" s="20">
        <v>0</v>
      </c>
      <c r="DR437" s="20">
        <v>0</v>
      </c>
      <c r="DS437" s="20">
        <f>INDEX(Input!$1:$1048576,DS$93,$C437*2+6)</f>
        <v>0.6</v>
      </c>
      <c r="DT437" s="20">
        <f>INDEX(Input!$1:$1048576,DT$93,$C437*2+6)</f>
        <v>0.55000000000000004</v>
      </c>
      <c r="DU437" s="20">
        <f>INDEX(Input!$1:$1048576,DU$93,$C437*2+6)</f>
        <v>0.52</v>
      </c>
      <c r="DV437" s="20">
        <f>INDEX(Input!$1:$1048576,DV$93,$C437*2+6)</f>
        <v>0.5</v>
      </c>
      <c r="DW437" s="20">
        <f>INDEX(Input!$1:$1048576,DW$93,$C437*2+6)</f>
        <v>0.45</v>
      </c>
      <c r="DX437" s="20"/>
      <c r="DY437" s="7">
        <v>0.11221260765664622</v>
      </c>
      <c r="DZ437" s="7">
        <v>0</v>
      </c>
      <c r="EA437" s="7">
        <v>0.81377854684245821</v>
      </c>
      <c r="EB437" s="7">
        <v>0</v>
      </c>
      <c r="EC437" s="7">
        <v>0</v>
      </c>
      <c r="ED437" s="7">
        <v>0</v>
      </c>
      <c r="EE437" s="7">
        <v>0</v>
      </c>
      <c r="EF437" s="7">
        <v>0</v>
      </c>
      <c r="EG437" s="7">
        <v>0</v>
      </c>
      <c r="EH437" s="7">
        <v>9.530575306962441E-3</v>
      </c>
      <c r="EI437" s="7">
        <v>2.4913624424206318E-2</v>
      </c>
      <c r="EJ437" s="7">
        <v>0.17476579662984798</v>
      </c>
      <c r="EK437" s="7">
        <v>0.68427662885760809</v>
      </c>
      <c r="EL437" s="7">
        <v>0.10651337478137567</v>
      </c>
      <c r="EM437" s="7">
        <v>3.8130168416333883E-2</v>
      </c>
      <c r="EN437" s="7">
        <v>5.0428043693197824E-2</v>
      </c>
      <c r="EO437" s="7">
        <v>0.71274069603309753</v>
      </c>
      <c r="EP437" s="7">
        <v>0.10251152255062002</v>
      </c>
      <c r="EQ437" s="7">
        <v>8.9946075014790364E-2</v>
      </c>
      <c r="ER437" s="7">
        <v>4.4373662708294404E-2</v>
      </c>
      <c r="ES437" s="7">
        <v>3.5878677084561668E-2</v>
      </c>
      <c r="ET437" s="7">
        <v>7.400884550089562E-2</v>
      </c>
      <c r="EU437" s="6">
        <v>2520</v>
      </c>
      <c r="EV437" s="6">
        <v>0</v>
      </c>
      <c r="EW437" s="6">
        <v>2520</v>
      </c>
      <c r="EX437" s="6">
        <v>0</v>
      </c>
      <c r="EY437" s="6">
        <v>2824.2171926406445</v>
      </c>
      <c r="EZ437" s="6">
        <v>507</v>
      </c>
      <c r="FA437" s="6">
        <v>0</v>
      </c>
      <c r="FB437" s="6">
        <v>0</v>
      </c>
      <c r="FC437" s="6">
        <v>0</v>
      </c>
      <c r="FD437" s="6">
        <v>0</v>
      </c>
      <c r="FE437" s="6">
        <v>0</v>
      </c>
      <c r="FF437" s="6">
        <v>0</v>
      </c>
      <c r="FG437" s="6">
        <v>0</v>
      </c>
      <c r="FH437" s="6">
        <v>1169.8100567673587</v>
      </c>
      <c r="FI437" s="6">
        <v>1553.9796069512404</v>
      </c>
      <c r="FJ437" s="6">
        <v>2101.2110117447414</v>
      </c>
      <c r="FK437" s="6">
        <v>2251.3078348034674</v>
      </c>
      <c r="FL437" s="6">
        <v>907.0768214096629</v>
      </c>
      <c r="FM437" s="6">
        <v>2054.2171926406445</v>
      </c>
      <c r="FN437" s="6">
        <v>0</v>
      </c>
      <c r="FO437" s="6">
        <v>0</v>
      </c>
      <c r="FP437" s="6">
        <v>0</v>
      </c>
      <c r="FQ437" s="6">
        <v>0</v>
      </c>
      <c r="FR437" s="6">
        <v>0</v>
      </c>
      <c r="FS437" s="6">
        <v>0</v>
      </c>
      <c r="FT437" s="7">
        <v>0.92599115449910441</v>
      </c>
      <c r="FU437" s="7">
        <v>3.8130168416333883E-2</v>
      </c>
      <c r="FV437" s="7">
        <v>3.5878677084561668E-2</v>
      </c>
      <c r="FW437" s="6">
        <v>2519.9999999999995</v>
      </c>
      <c r="FX437" s="6">
        <v>2824.2171926406445</v>
      </c>
      <c r="FY437" s="6">
        <v>507</v>
      </c>
      <c r="FZ437" s="6">
        <v>1949.5716051445115</v>
      </c>
      <c r="GA437" s="6">
        <v>2459.3760758193093</v>
      </c>
      <c r="GB437" s="6">
        <v>17525.623924180691</v>
      </c>
      <c r="GC437" s="7">
        <v>3.3872851927908169E-2</v>
      </c>
      <c r="GD437" s="7">
        <v>3.6434044448876719E-2</v>
      </c>
      <c r="GE437" s="7"/>
      <c r="GF437" s="7"/>
      <c r="GG437" s="7">
        <v>7.5611953974810089E-2</v>
      </c>
      <c r="GH437" s="42">
        <v>2.9640871885380293</v>
      </c>
      <c r="GI437" s="6">
        <v>9201.7553409370666</v>
      </c>
      <c r="GJ437" s="14">
        <v>0.50394797582841699</v>
      </c>
      <c r="GK437" s="14">
        <v>0.50887573065309721</v>
      </c>
      <c r="GL437" s="14">
        <v>0.49605202417158267</v>
      </c>
      <c r="GM437" s="14">
        <v>0.49112426934690262</v>
      </c>
      <c r="GO437" s="5">
        <v>343.14810671672558</v>
      </c>
      <c r="GP437" s="5">
        <v>295.07131418198298</v>
      </c>
      <c r="GQ437" s="5">
        <v>535.04305713031317</v>
      </c>
      <c r="GR437" s="5">
        <v>410.15490233172511</v>
      </c>
      <c r="GS437" s="5">
        <v>339.42744393800166</v>
      </c>
      <c r="GT437" s="5">
        <v>293.4407446948278</v>
      </c>
      <c r="GU437" s="5">
        <v>258.04012322764959</v>
      </c>
      <c r="GV437" s="39" t="s">
        <v>392</v>
      </c>
      <c r="GW437" s="5">
        <v>478.23611111111109</v>
      </c>
      <c r="GX437" s="5">
        <v>358.67708333333331</v>
      </c>
      <c r="GY437" s="5">
        <v>286.94166666666666</v>
      </c>
      <c r="GZ437" s="5">
        <v>245.72198221012883</v>
      </c>
      <c r="HA437" s="5">
        <v>234.53733318419432</v>
      </c>
      <c r="HB437" s="39">
        <v>256.7645728691146</v>
      </c>
      <c r="HC437" s="5">
        <v>265.10312499999998</v>
      </c>
      <c r="HD437" s="5">
        <v>224.66580774853799</v>
      </c>
      <c r="HE437" s="5">
        <v>226.90661690283397</v>
      </c>
      <c r="HF437" s="5">
        <v>209.18438048245613</v>
      </c>
      <c r="HG437" s="5">
        <v>200.91388157894738</v>
      </c>
      <c r="HH437" s="39">
        <v>224.48823772914994</v>
      </c>
      <c r="HI437" s="16"/>
      <c r="HJ437" s="19" t="str">
        <f t="shared" si="1232"/>
        <v>On</v>
      </c>
      <c r="HK437" s="1" t="str">
        <f t="shared" si="1232"/>
        <v>On</v>
      </c>
      <c r="HL437" s="16"/>
      <c r="HM437" s="639">
        <f t="shared" si="1110"/>
        <v>2.9403358434788716E-2</v>
      </c>
      <c r="HN437" s="639">
        <f t="shared" si="1111"/>
        <v>1.4106809950923669E-3</v>
      </c>
      <c r="HO437" s="639">
        <f t="shared" si="1112"/>
        <v>1.7317923025048877E-3</v>
      </c>
      <c r="HP437" s="644">
        <f>(FT437*$GD437-HM437)/$JF437*INDEX(Input!$1:$1048576,$JG$93,$C437*2+6)</f>
        <v>310.16123358674912</v>
      </c>
      <c r="HQ437" s="644">
        <f>(FU437*$GD437-HN437)/$JF437*INDEX(Input!$1:$1048576,$JG$93,$C437*2+6)</f>
        <v>-1.534599256185047</v>
      </c>
      <c r="HR437" s="644">
        <f>(FV437*$GD437-HO437)/$JF437*INDEX(Input!$1:$1048576,$JG$93,$C437*2+6)</f>
        <v>-30.383709363438882</v>
      </c>
      <c r="HS437" s="644">
        <f t="shared" ref="HS437:HS461" si="1233">IF(AND(HJ437="On",HK437="On"),IL437/1000*INDEX(KG:KG,MATCH(C437*1000+3,$KF:$KF,0))*SUM(HY437:IA437)*1.1
+INDEX(HR:HR,MATCH(C437*1000+4,$KF:$KF,0))/INDEX(IM:IM,MATCH(C437*1000+4,$KF:$KF,0))*IM437*20%,0)</f>
        <v>-135.06339756377815</v>
      </c>
      <c r="HT437" s="644">
        <f t="shared" si="1114"/>
        <v>95.90991169201881</v>
      </c>
      <c r="HU437" s="644">
        <f t="shared" si="1115"/>
        <v>12.839565370112565</v>
      </c>
      <c r="HV437" s="648">
        <f t="shared" si="1116"/>
        <v>0</v>
      </c>
      <c r="HW437" s="648">
        <f t="shared" si="1117"/>
        <v>0</v>
      </c>
      <c r="HX437" s="648">
        <f t="shared" si="1118"/>
        <v>0</v>
      </c>
      <c r="HY437" s="644">
        <f>INDEX(Input!$1:$1048576,HY$93,$C437*2+6)*INDEX(Input!$1:$1048576,$JG$93,$C437*2+6)</f>
        <v>993</v>
      </c>
      <c r="HZ437" s="644">
        <f>INDEX(Input!$1:$1048576,HZ$93,$C437*2+6)*INDEX(Input!$1:$1048576,$JG$93,$C437*2+6)</f>
        <v>1216</v>
      </c>
      <c r="IA437" s="644">
        <f>INDEX(Input!$1:$1048576,IA$93,$C437*2+6)*INDEX(Input!$1:$1048576,$JG$93,$C437*2+6)</f>
        <v>120</v>
      </c>
      <c r="IB437" s="644">
        <f t="shared" si="1142"/>
        <v>1168.0978360229706</v>
      </c>
      <c r="IC437" s="644">
        <f t="shared" si="1143"/>
        <v>1310.3753124358338</v>
      </c>
      <c r="ID437" s="644">
        <f>IF(AND(INDEX(Input!$1:$1048576,IA$93,$C437*2+7)="TOS",Y437&lt;=INDEX(Y:Y,MATCH(C437*1000+2,A:A))),0,1)*MAX(IA437+HR437+HU437+HX437,0%)</f>
        <v>102.45585600667368</v>
      </c>
      <c r="IE437" s="128">
        <f t="shared" ref="IE437:IE440" si="1234">IB437/SUM($IB437:$ID437)</f>
        <v>0.45258813163862632</v>
      </c>
      <c r="IF437" s="128">
        <f t="shared" si="1210"/>
        <v>0.50771459043183498</v>
      </c>
      <c r="IG437" s="128">
        <f t="shared" si="1120"/>
        <v>3.9697277929538692E-2</v>
      </c>
      <c r="IH437" s="21"/>
      <c r="II437" s="19">
        <f t="shared" si="1121"/>
        <v>1490</v>
      </c>
      <c r="IJ437" s="19">
        <f t="shared" si="1122"/>
        <v>2203.2561351629856</v>
      </c>
      <c r="IK437" s="19">
        <f t="shared" si="1123"/>
        <v>242</v>
      </c>
      <c r="IL437" s="19">
        <f t="shared" si="1145"/>
        <v>1029.9999999999995</v>
      </c>
      <c r="IM437" s="19">
        <f t="shared" si="1124"/>
        <v>620.96105747765887</v>
      </c>
      <c r="IN437" s="19">
        <f t="shared" si="1125"/>
        <v>265</v>
      </c>
      <c r="IO437" s="39">
        <f t="shared" si="1126"/>
        <v>0</v>
      </c>
      <c r="IP437" s="39">
        <f t="shared" si="1127"/>
        <v>0</v>
      </c>
      <c r="IQ437" s="39">
        <f t="shared" si="1128"/>
        <v>0</v>
      </c>
      <c r="IR437" s="39">
        <v>0</v>
      </c>
      <c r="IS437" s="39">
        <v>0</v>
      </c>
      <c r="IT437" s="39">
        <v>0</v>
      </c>
      <c r="IU437" s="39">
        <v>0</v>
      </c>
      <c r="IV437" s="39">
        <v>0</v>
      </c>
      <c r="IW437" s="39">
        <v>0</v>
      </c>
      <c r="IX437" s="39">
        <f>INDEX(Input!$1:$1048576,IX$93,$C437*2+6)+INDEX(Input!$1:$1048576,IX$94,$C437*2+6)</f>
        <v>1770</v>
      </c>
      <c r="IY437" s="39">
        <f>INDEX(Input!$1:$1048576,IY$93,$C437*2+6)+INDEX(Input!$1:$1048576,IY$94,$C437*2+6)</f>
        <v>2630.0624533823611</v>
      </c>
      <c r="IZ437" s="39">
        <f>INDEX(Input!$1:$1048576,IZ$93,$C437*2+6)+INDEX(Input!$1:$1048576,IZ$94,$C437*2+6)</f>
        <v>4153.7164157747848</v>
      </c>
      <c r="JA437" s="19">
        <f t="shared" si="1146"/>
        <v>2799.9999999999995</v>
      </c>
      <c r="JB437" s="19">
        <f t="shared" si="1147"/>
        <v>3251.02351086002</v>
      </c>
      <c r="JC437" s="19">
        <f t="shared" si="1148"/>
        <v>4418.7164157747848</v>
      </c>
      <c r="JD437" s="19">
        <f t="shared" si="1149"/>
        <v>3093.2498525375418</v>
      </c>
      <c r="JE437" s="21"/>
      <c r="JF437" s="1">
        <f t="shared" si="1129"/>
        <v>3.2545831732385969E-2</v>
      </c>
      <c r="JG437" s="15">
        <f>INDEX(Input!$1:$1048576,JG$93,$C437*2+6)/(1+VLOOKUP(C437*1000+INDEX(Input!$1:$1048576,JG$93+1,$C437*2+6),$A:$KK,$JK$92,FALSE))</f>
        <v>2329</v>
      </c>
      <c r="JH437" s="1">
        <f t="shared" si="1150"/>
        <v>0.11946883854320532</v>
      </c>
      <c r="JI437" s="1">
        <f t="shared" si="1151"/>
        <v>-1.1298377201222317E-2</v>
      </c>
      <c r="JJ437" s="1">
        <f t="shared" si="1211"/>
        <v>0</v>
      </c>
      <c r="JK437" s="1">
        <f t="shared" si="1212"/>
        <v>0.10817046134198301</v>
      </c>
      <c r="JL437" s="15">
        <f t="shared" si="1154"/>
        <v>251.92900446547841</v>
      </c>
      <c r="JM437" s="15">
        <f t="shared" si="1180"/>
        <v>2580.9290044654786</v>
      </c>
      <c r="JN437" s="21"/>
      <c r="JO437" s="19">
        <f>INDEX(Input!$1:$1048576,JO$93,$C437*2+6)</f>
        <v>5995.5</v>
      </c>
      <c r="JP437" s="19">
        <f>INDEX(Input!$1:$1048576,JP$93,$C437*2+6)</f>
        <v>2341.8685758720158</v>
      </c>
      <c r="JQ437" s="39">
        <f t="shared" si="1166"/>
        <v>2902.2501474624582</v>
      </c>
      <c r="JR437" s="39">
        <f t="shared" si="1183"/>
        <v>751.381276665526</v>
      </c>
      <c r="JS437" s="39">
        <f t="shared" si="1168"/>
        <v>7.9834582624727055</v>
      </c>
      <c r="JT437" s="39">
        <f t="shared" si="1156"/>
        <v>2.5292463492667814</v>
      </c>
      <c r="JU437" s="385">
        <f>(JQ437*JM437-INDEX(Input!$1:$1048576,Input!A$18,$C437*2+6)*JL437*INDEX(Input!$1:$1048576,Input!A$19,$C437*2+6))/1000000</f>
        <v>7.4905015838000706</v>
      </c>
      <c r="JV437" s="39">
        <f t="shared" si="1190"/>
        <v>-1.0188060029940038</v>
      </c>
      <c r="JW437" s="1">
        <f t="shared" si="1181"/>
        <v>-0.1197284259150684</v>
      </c>
      <c r="JX437" s="19">
        <f t="shared" si="1172"/>
        <v>10039.520279267255</v>
      </c>
      <c r="JZ437" s="341"/>
      <c r="KA437" s="342"/>
      <c r="KB437" s="469">
        <f t="shared" si="1169"/>
        <v>2.3434325605641804</v>
      </c>
      <c r="KI437" s="473">
        <f t="shared" ref="KI437:KI462" si="1235">$JM437*IE437-$JG437*HY437/SUM($HY437:$IA437)</f>
        <v>175.0978360229708</v>
      </c>
      <c r="KJ437" s="473">
        <f t="shared" ref="KJ437:KJ462" si="1236">$JM437*IF437-$JG437*HZ437/SUM($HY437:$IA437)</f>
        <v>94.375312435834076</v>
      </c>
      <c r="KK437" s="473">
        <f t="shared" si="1158"/>
        <v>-17.544143993326287</v>
      </c>
      <c r="KN437" s="544">
        <f t="shared" si="1173"/>
        <v>4002</v>
      </c>
      <c r="KO437" s="541">
        <f t="shared" si="1133"/>
        <v>6.7111731188809642E-2</v>
      </c>
      <c r="KP437" s="546">
        <f t="shared" si="1134"/>
        <v>512.52814969491703</v>
      </c>
      <c r="KQ437" s="546">
        <f t="shared" si="1135"/>
        <v>468.4786645015206</v>
      </c>
      <c r="KR437" s="548">
        <f t="shared" si="1136"/>
        <v>2.2731922336329564</v>
      </c>
      <c r="KS437" s="548">
        <f t="shared" si="1137"/>
        <v>2.4869329121838226</v>
      </c>
      <c r="KT437" s="473">
        <f t="shared" si="1171"/>
        <v>1580.0986321700548</v>
      </c>
      <c r="KU437" s="663">
        <f t="shared" si="1159"/>
        <v>4.092317847062402</v>
      </c>
      <c r="KV437" s="117"/>
    </row>
    <row r="438" spans="1:308" s="26" customFormat="1" ht="15">
      <c r="A438" s="561">
        <f t="shared" si="1138"/>
        <v>4038</v>
      </c>
      <c r="B438" s="561">
        <f t="shared" si="1160"/>
        <v>38</v>
      </c>
      <c r="C438" s="561">
        <f t="shared" si="1161"/>
        <v>4</v>
      </c>
      <c r="D438" s="561" t="str">
        <f t="shared" si="1206"/>
        <v xml:space="preserve">1000 CC, 0/0/0.9/3.9, </v>
      </c>
      <c r="E438" s="475">
        <f>INDEX(Input!$1:$1048576,E$93,$C438*2+MIN($B438,2)+5)
+INDEX(Scenarios!E$121:E$200,MATCH($B438,Scenarios!$B$121:$B$200,0))</f>
        <v>2256.832975525977</v>
      </c>
      <c r="F438" s="475">
        <f>INDEX(Input!$1:$1048576,F$93,$C438*2+MIN($B438,2)+5)
+INDEX(Scenarios!F$121:F$200,MATCH($B438,Scenarios!$B$121:$B$200,0))</f>
        <v>0</v>
      </c>
      <c r="G438" s="475">
        <f>INDEX(Input!$1:$1048576,G$93,$C438*2+MIN($B438,2)+5)
+INDEX(Scenarios!G$121:G$200,MATCH($B438,Scenarios!$B$121:$B$200,0))</f>
        <v>0</v>
      </c>
      <c r="H438" s="475">
        <f>INDEX(Input!$1:$1048576,H$93,$C438*2+MIN($B438,2)+5)
+INDEX(Scenarios!H$121:H$200,MATCH($B438,Scenarios!$B$121:$B$200,0))</f>
        <v>0</v>
      </c>
      <c r="I438" s="476">
        <f>INDEX(Input!$1:$1048576,I$93,$C438*2+MIN($B438,2)+5)</f>
        <v>0.7</v>
      </c>
      <c r="J438" s="476" t="str">
        <f>INDEX(Input!$1:$1048576,J$93,$C438*2+MIN($B438,2)+5)</f>
        <v>Market</v>
      </c>
      <c r="K438" s="476" t="str">
        <f>INDEX(Input!$1:$1048576,K$93,$C438*2+MIN($B438,2)+5)</f>
        <v>Market</v>
      </c>
      <c r="L438" s="476" t="str">
        <f>INDEX(Input!$1:$1048576,L$93,$C438*2+MIN($B438,2)+5)</f>
        <v>Market</v>
      </c>
      <c r="M438" s="476" t="str">
        <f>INDEX(Input!$1:$1048576,M$93,$C438*2+MIN($B438,2)+5)</f>
        <v>Market</v>
      </c>
      <c r="N438" s="476" t="str">
        <f>INDEX(Input!$1:$1048576,N$93,$C438*2+MIN($B438,2)+5)</f>
        <v>Market</v>
      </c>
      <c r="O438" s="476" t="str">
        <f>INDEX(Input!$1:$1048576,O$93,$C438*2+MIN($B438,2)+5)</f>
        <v>Market</v>
      </c>
      <c r="P438" s="476" t="str">
        <f>INDEX(Input!$1:$1048576,P$93,$C438*2+MIN($B438,2)+5)</f>
        <v>N</v>
      </c>
      <c r="Q438" s="477">
        <f>INDEX(Input!$1:$1048576,Q$93,$C438*2+MIN($B438,2)+5)
+INDEX(Scenarios!Q$121:Q$200,MATCH($B438,Scenarios!$B$121:$B$200,0))</f>
        <v>0</v>
      </c>
      <c r="R438" s="478">
        <f>IFERROR(MAX(0,INDEX(Input!$1:$1048576,R$93,$C438*2+MIN($B438,2)+5)
+INDEX(Scenarios!R$121:R$200,MATCH($B438,Scenarios!$B$121:$B$200,0)),),"Market")</f>
        <v>0</v>
      </c>
      <c r="S438" s="478">
        <f>IFERROR(MAX(0,INDEX(Input!$1:$1048576,S$93,$C438*2+MIN($B438,2)+5)
+INDEX(Scenarios!S$121:S$200,MATCH($B438,Scenarios!$B$121:$B$200,0)),),"Market")</f>
        <v>0</v>
      </c>
      <c r="T438" s="478">
        <f>IFERROR(MAX(0,INDEX(Input!$1:$1048576,T$93,$C438*2+MIN($B438,2)+5)
+INDEX(Scenarios!T$121:T$200,MATCH($B438,Scenarios!$B$121:$B$200,0)),),"Market")</f>
        <v>0</v>
      </c>
      <c r="U438" s="478">
        <f>IFERROR(MAX(0,INDEX(Input!$1:$1048576,U$93,$C438*2+MIN($B438,2)+5)
+INDEX(Scenarios!U$121:U$200,MATCH($B438,Scenarios!$B$121:$B$200,0)),),"Market")</f>
        <v>0</v>
      </c>
      <c r="V438" s="478">
        <f>IFERROR(MAX(0,INDEX(Input!$1:$1048576,V$93,$C438*2+MIN($B438,2)+5)
+INDEX(Scenarios!V$121:V$200,MATCH($B438,Scenarios!$B$121:$B$200,0)),),"Market")</f>
        <v>8.9999999999999993E-3</v>
      </c>
      <c r="W438" s="885">
        <f>IFERROR(MAX(0,INDEX(Input!$1:$1048576,W$93,$C438*2+MIN($B438,2)+5)-0%,),"Market")</f>
        <v>3.9E-2</v>
      </c>
      <c r="X438" s="476" t="str">
        <f>INDEX(Input!$1:$1048576,X$93,$C438*2+MIN($B438,2)+5)</f>
        <v>Y</v>
      </c>
      <c r="Y438" s="475">
        <f>INDEX(Input!$1:$1048576,Y$93,$C438*2+MIN($B438,2)+5)
++INDEX(Scenarios!Y$121:Y$200,MATCH($B438,Scenarios!$B$121:$B$200,0))</f>
        <v>-870</v>
      </c>
      <c r="Z438" s="477">
        <f>INDEX(Input!$1:$1048576,Z$93,$C438*2+MIN($B438,2)+5)
+INDEX(Scenarios!Z$121:Z$200,MATCH($B438,Scenarios!$B$121:$B$200,0))</f>
        <v>0</v>
      </c>
      <c r="AA438" s="475">
        <f>INDEX(Input!$1:$1048576,AA$93,$C438*2+MIN($B438,2)+5)
+INDEX(Scenarios!AA$121:AA$200,MATCH($B438,Scenarios!$B$121:$B$200,0))</f>
        <v>0</v>
      </c>
      <c r="AB438" s="476">
        <f>INDEX(Input!$1:$1048576,AB$93,$C438*2+MIN($B438,2)+5)</f>
        <v>0.27</v>
      </c>
      <c r="AC438" s="475">
        <f>INDEX(Input!$1:$1048576,AC$93,$C438*2+MIN($B438,2)+5)
+INDEX(Scenarios!AC$121:AC$200,MATCH($B438,Scenarios!$B$121:$B$200,0))</f>
        <v>0</v>
      </c>
      <c r="AD438" s="476">
        <f>INDEX(Input!$1:$1048576,AD$93,$C438*2+MIN($B438,2)+5)</f>
        <v>0.27</v>
      </c>
      <c r="AE438" s="475">
        <f>INDEX(Input!$1:$1048576,AE$93,$C438*2+MIN($B438,2)+5)
+INDEX(Scenarios!AE$121:AE$200,MATCH($B438,Scenarios!$B$121:$B$200,0))</f>
        <v>0</v>
      </c>
      <c r="AF438" s="476">
        <f>INDEX(Input!$1:$1048576,AF$93,$C438*2+MIN($B438,2)+5)</f>
        <v>1</v>
      </c>
      <c r="AG438" s="475">
        <f>INDEX(Input!$1:$1048576,AG$93,$C438*2+MIN($B438,2)+5)
+INDEX(Scenarios!AG$121:AG$200,MATCH($B438,Scenarios!$B$121:$B$200,0))</f>
        <v>500</v>
      </c>
      <c r="AH438" s="476">
        <f>INDEX(Input!$1:$1048576,AH$93,$C438*2+MIN($B438,2)+5)</f>
        <v>0.83199999999999996</v>
      </c>
      <c r="AI438" s="475">
        <f>INDEX(Input!$1:$1048576,AI$93,$C438*2+MIN($B438,2)+5)
+INDEX(Scenarios!AI$121:AI$200,MATCH($B438,Scenarios!$B$121:$B$200,0))</f>
        <v>0</v>
      </c>
      <c r="AJ438" s="476">
        <f>INDEX(Input!$1:$1048576,AJ$93,$C438*2+MIN($B438,2)+5)</f>
        <v>0.27</v>
      </c>
      <c r="AK438" s="150">
        <f>ROUND(INDEX(Input!$1:$1048576,AK$93,$C437*2+MIN($B438,1)+5)+(Y438-VLOOKUP($C438*1000+1,$A:$HH,Y$92,FALSE)),0)</f>
        <v>2587</v>
      </c>
      <c r="AL438" s="150">
        <f>ROUND(INDEX(Input!$1:$1048576,AL$93,$C437*2+MIN($B438,1)+5)-(Y438-VLOOKUP($C438*1000+1,$A:$HH,Y$92,FALSE))/36,0)</f>
        <v>3406</v>
      </c>
      <c r="AM438" s="32" t="str">
        <f t="shared" si="1139"/>
        <v>std/std/std/std</v>
      </c>
      <c r="AN438" s="32" t="str">
        <f t="shared" si="1140"/>
        <v>$0 + 0/0/0/0.9/3.9</v>
      </c>
      <c r="AO438" s="32" t="str">
        <f t="shared" si="1141"/>
        <v>0/0/0/0.9/3.9</v>
      </c>
      <c r="AP438" s="32" t="str">
        <f t="shared" si="1213"/>
        <v>0/0/0.9/3.9</v>
      </c>
      <c r="AQ438" s="536">
        <f t="shared" si="1207"/>
        <v>0.46731514398058638</v>
      </c>
      <c r="AR438" s="32"/>
      <c r="AS438" s="302"/>
      <c r="AT438" s="3">
        <f t="shared" si="1162"/>
        <v>38</v>
      </c>
      <c r="AU438" s="41" t="s">
        <v>121</v>
      </c>
      <c r="AV438" s="41" t="s">
        <v>116</v>
      </c>
      <c r="AW438" s="41" t="str">
        <f>INDEX(Input!$1:$1048576,AW$93,$C438*2+6)</f>
        <v>Kia</v>
      </c>
      <c r="AX438" s="41" t="str">
        <f>INDEX(Input!$1:$1048576,AX$93,$C438*2+6)</f>
        <v>Kia-LR - R1</v>
      </c>
      <c r="AY438" s="41" t="str">
        <f>IF(LEN(D438)=0,"",INDEX(Input!$1:$1048576,AY$93,$C438*2+6))</f>
        <v>Compact SUV (52)</v>
      </c>
      <c r="AZ438" s="41" t="str">
        <f>INDEX(Input!$1:$1048576,AZ$93,$C438*2+6)</f>
        <v>Kia Soul</v>
      </c>
      <c r="BA438" s="3">
        <f>INDEX(Input!$1:$1048576,BA$93,$C438*2+6)</f>
        <v>2020</v>
      </c>
      <c r="BB438" s="128">
        <f>INDEX(Input!$1:$1048576,BB$93,$C438*2+6)</f>
        <v>1</v>
      </c>
      <c r="BC438" s="128">
        <f>INDEX(Input!$1:$1048576,BC$93,$C438*2+6)</f>
        <v>0.7</v>
      </c>
      <c r="BD438" s="1">
        <f>INDEX(Input!$1:$1048576,BD$93,$C438*2+6)</f>
        <v>4.4999999999999998E-2</v>
      </c>
      <c r="BE438" s="1">
        <f>INDEX(Input!$1:$1048576,BE$93,$C438*2+6)</f>
        <v>4.4999999999999998E-2</v>
      </c>
      <c r="BF438" s="1">
        <f>INDEX(Input!$1:$1048576,BF$93,$C438*2+6)</f>
        <v>0.05</v>
      </c>
      <c r="BG438" s="1">
        <f>INDEX(Input!$1:$1048576,BG$93,$C438*2+6)</f>
        <v>5.45E-2</v>
      </c>
      <c r="BH438" s="1">
        <f>INDEX(Input!$1:$1048576,BH$93,$C438*2+6)</f>
        <v>5.45E-2</v>
      </c>
      <c r="BI438" s="1">
        <f>INDEX(Input!$1:$1048576,BI$93,$C438*2+6)</f>
        <v>0.05</v>
      </c>
      <c r="BJ438" s="1">
        <f>INDEX(Input!$1:$1048576,BJ$93,$C438*2+6)</f>
        <v>0.05</v>
      </c>
      <c r="BK438" s="1">
        <f>INDEX(Input!$1:$1048576,BK$93,$C438*2+6)</f>
        <v>0.05</v>
      </c>
      <c r="BL438" s="1">
        <f>INDEX(Input!$1:$1048576,BL$93,$C438*2+6)</f>
        <v>5.5E-2</v>
      </c>
      <c r="BM438" s="1">
        <f>INDEX(Input!$1:$1048576,BM$93,$C438*2+6)</f>
        <v>0.06</v>
      </c>
      <c r="BN438" s="1">
        <f>INDEX(Input!$1:$1048576,BN$93,$C438*2+6)</f>
        <v>4.4999999999999998E-2</v>
      </c>
      <c r="BO438" s="1">
        <f>INDEX(Input!$1:$1048576,BO$93,$C438*2+6)</f>
        <v>4.4999999999999998E-2</v>
      </c>
      <c r="BP438" s="1">
        <f>INDEX(Input!$1:$1048576,BP$93,$C438*2+6)</f>
        <v>0.05</v>
      </c>
      <c r="BQ438" s="1">
        <f>INDEX(Input!$1:$1048576,BQ$93,$C438*2+6)</f>
        <v>5.45E-2</v>
      </c>
      <c r="BR438" s="1">
        <f>INDEX(Input!$1:$1048576,BR$93,$C438*2+6)</f>
        <v>5.45E-2</v>
      </c>
      <c r="BS438" s="1">
        <f>INDEX(Input!$1:$1048576,BS$93,$C438*2+6)</f>
        <v>0.05</v>
      </c>
      <c r="BT438" s="1">
        <f>INDEX(Input!$1:$1048576,BT$93,$C438*2+6)</f>
        <v>0.05</v>
      </c>
      <c r="BU438" s="1">
        <f>INDEX(Input!$1:$1048576,BU$93,$C438*2+6)</f>
        <v>0.05</v>
      </c>
      <c r="BV438" s="1">
        <f>INDEX(Input!$1:$1048576,BV$93,$C438*2+6)</f>
        <v>5.5E-2</v>
      </c>
      <c r="BW438" s="1">
        <f>INDEX(Input!$1:$1048576,BW$93,$C438*2+6)</f>
        <v>0.06</v>
      </c>
      <c r="BX438" s="127">
        <f>INDEX(Input!$1:$1048576,BX$93,$C438*2+6)</f>
        <v>19985</v>
      </c>
      <c r="BY438" s="20">
        <f>INDEX(Input!$1:$1048576,BY$93,$C438*2+6)</f>
        <v>0.1</v>
      </c>
      <c r="BZ438" s="20">
        <f>INDEX(Input!$1:$1048576,BZ$93,$C438*2+6)</f>
        <v>0.1</v>
      </c>
      <c r="CA438" s="20">
        <f>INDEX(Input!$1:$1048576,CA$93,$C438*2+6)</f>
        <v>0.1</v>
      </c>
      <c r="CB438" s="20">
        <f>INDEX(Input!$1:$1048576,CB$93,$C438*2+6)</f>
        <v>0.1</v>
      </c>
      <c r="CC438" s="20">
        <f>INDEX(Input!$1:$1048576,CC$93,$C438*2+6)</f>
        <v>0.1</v>
      </c>
      <c r="CD438" s="384">
        <f>INDEX(Input!$1:$1048576,CD$93,$C438*2+6)</f>
        <v>0.1</v>
      </c>
      <c r="CE438" s="384">
        <f>INDEX(Input!$1:$1048576,CE$93,$C438*2+6)</f>
        <v>0.1</v>
      </c>
      <c r="CF438" s="384">
        <f>INDEX(Input!$1:$1048576,CF$93,$C438*2+6)</f>
        <v>0.1</v>
      </c>
      <c r="CG438" s="384">
        <f>INDEX(Input!$1:$1048576,CG$93,$C438*2+6)</f>
        <v>0.1</v>
      </c>
      <c r="CH438" s="384">
        <f>INDEX(Input!$1:$1048576,CH$93,$C438*2+6)</f>
        <v>0.1</v>
      </c>
      <c r="CI438" s="304">
        <f t="shared" si="1214"/>
        <v>2256.832975525977</v>
      </c>
      <c r="CJ438" s="16" t="str">
        <f>INDEX(Input!$1:$1048576,CJ$93,$C438*2+6)</f>
        <v>N</v>
      </c>
      <c r="CK438" s="1" t="str">
        <f t="shared" si="1215"/>
        <v>Market</v>
      </c>
      <c r="CL438" s="1" t="str">
        <f t="shared" si="1216"/>
        <v>Market</v>
      </c>
      <c r="CM438" s="1" t="str">
        <f t="shared" si="1217"/>
        <v>Market</v>
      </c>
      <c r="CN438" s="1" t="str">
        <f t="shared" si="1218"/>
        <v>Market</v>
      </c>
      <c r="CO438" s="1" t="str">
        <f t="shared" si="1219"/>
        <v>Market</v>
      </c>
      <c r="CP438" s="304">
        <f t="shared" si="1220"/>
        <v>416</v>
      </c>
      <c r="CQ438" s="1">
        <f t="shared" si="1221"/>
        <v>0</v>
      </c>
      <c r="CR438" s="1">
        <f t="shared" si="1222"/>
        <v>0</v>
      </c>
      <c r="CS438" s="1">
        <f t="shared" si="1223"/>
        <v>0</v>
      </c>
      <c r="CT438" s="1">
        <f t="shared" si="1224"/>
        <v>8.9999999999999993E-3</v>
      </c>
      <c r="CU438" s="1">
        <f t="shared" si="1225"/>
        <v>3.9E-2</v>
      </c>
      <c r="CV438" s="304">
        <f t="shared" si="1226"/>
        <v>-870</v>
      </c>
      <c r="CW438" s="20" t="s">
        <v>122</v>
      </c>
      <c r="CX438" s="20" t="s">
        <v>122</v>
      </c>
      <c r="CY438" s="20" t="s">
        <v>122</v>
      </c>
      <c r="CZ438" s="20" t="s">
        <v>122</v>
      </c>
      <c r="DA438" s="20" t="s">
        <v>122</v>
      </c>
      <c r="DB438" s="503">
        <f t="shared" si="1227"/>
        <v>0</v>
      </c>
      <c r="DC438" s="127">
        <v>0</v>
      </c>
      <c r="DD438" s="127">
        <v>0</v>
      </c>
      <c r="DE438" s="127">
        <v>0</v>
      </c>
      <c r="DF438" s="127">
        <v>0</v>
      </c>
      <c r="DG438" s="127">
        <v>0</v>
      </c>
      <c r="DH438" s="127">
        <v>0</v>
      </c>
      <c r="DI438" s="127">
        <v>0</v>
      </c>
      <c r="DJ438" s="127">
        <v>0</v>
      </c>
      <c r="DK438" s="127">
        <v>0</v>
      </c>
      <c r="DL438" s="127">
        <v>0</v>
      </c>
      <c r="DM438" s="304">
        <f>INDEX(Input!$1:$1048576,DM$93,$C438*2+6)</f>
        <v>21036.84210526316</v>
      </c>
      <c r="DN438" s="20">
        <v>0</v>
      </c>
      <c r="DO438" s="20">
        <v>0</v>
      </c>
      <c r="DP438" s="20">
        <v>0</v>
      </c>
      <c r="DQ438" s="20">
        <v>0</v>
      </c>
      <c r="DR438" s="20">
        <v>0</v>
      </c>
      <c r="DS438" s="20">
        <f>INDEX(Input!$1:$1048576,DS$93,$C438*2+6)</f>
        <v>0.6</v>
      </c>
      <c r="DT438" s="20">
        <f>INDEX(Input!$1:$1048576,DT$93,$C438*2+6)</f>
        <v>0.55000000000000004</v>
      </c>
      <c r="DU438" s="20">
        <f>INDEX(Input!$1:$1048576,DU$93,$C438*2+6)</f>
        <v>0.52</v>
      </c>
      <c r="DV438" s="20">
        <f>INDEX(Input!$1:$1048576,DV$93,$C438*2+6)</f>
        <v>0.5</v>
      </c>
      <c r="DW438" s="20">
        <f>INDEX(Input!$1:$1048576,DW$93,$C438*2+6)</f>
        <v>0.45</v>
      </c>
      <c r="DX438" s="20"/>
      <c r="DY438" s="7">
        <v>0.11567993732624385</v>
      </c>
      <c r="DZ438" s="7">
        <v>0</v>
      </c>
      <c r="EA438" s="7">
        <v>0.8189780080133916</v>
      </c>
      <c r="EB438" s="7">
        <v>0</v>
      </c>
      <c r="EC438" s="7">
        <v>0</v>
      </c>
      <c r="ED438" s="7">
        <v>0</v>
      </c>
      <c r="EE438" s="7">
        <v>0</v>
      </c>
      <c r="EF438" s="7">
        <v>0</v>
      </c>
      <c r="EG438" s="7">
        <v>0</v>
      </c>
      <c r="EH438" s="7">
        <v>9.5363730723187264E-3</v>
      </c>
      <c r="EI438" s="7">
        <v>2.4934105613164132E-2</v>
      </c>
      <c r="EJ438" s="7">
        <v>0.17487469650106843</v>
      </c>
      <c r="EK438" s="7">
        <v>0.68416051980029702</v>
      </c>
      <c r="EL438" s="7">
        <v>0.10649430501315195</v>
      </c>
      <c r="EM438" s="7">
        <v>3.3643873215751324E-2</v>
      </c>
      <c r="EN438" s="7">
        <v>5.0416245670996201E-2</v>
      </c>
      <c r="EO438" s="7">
        <v>0.71274895184506959</v>
      </c>
      <c r="EP438" s="7">
        <v>0.10251817292751941</v>
      </c>
      <c r="EQ438" s="7">
        <v>8.9924385384833036E-2</v>
      </c>
      <c r="ER438" s="7">
        <v>4.4392244171581725E-2</v>
      </c>
      <c r="ES438" s="7">
        <v>3.169818144461331E-2</v>
      </c>
      <c r="ET438" s="7">
        <v>6.5342054660364648E-2</v>
      </c>
      <c r="EU438" s="6">
        <v>2770</v>
      </c>
      <c r="EV438" s="6">
        <v>0</v>
      </c>
      <c r="EW438" s="6">
        <v>2770</v>
      </c>
      <c r="EX438" s="6">
        <v>0</v>
      </c>
      <c r="EY438" s="6">
        <v>2824.2059558421197</v>
      </c>
      <c r="EZ438" s="6">
        <v>507</v>
      </c>
      <c r="FA438" s="6">
        <v>0</v>
      </c>
      <c r="FB438" s="6">
        <v>0</v>
      </c>
      <c r="FC438" s="6">
        <v>0</v>
      </c>
      <c r="FD438" s="6">
        <v>0</v>
      </c>
      <c r="FE438" s="6">
        <v>0</v>
      </c>
      <c r="FF438" s="6">
        <v>0</v>
      </c>
      <c r="FG438" s="6">
        <v>0</v>
      </c>
      <c r="FH438" s="6">
        <v>1169.8128810972757</v>
      </c>
      <c r="FI438" s="6">
        <v>1553.9796069512404</v>
      </c>
      <c r="FJ438" s="6">
        <v>2101.2110117447405</v>
      </c>
      <c r="FK438" s="6">
        <v>2251.3078348034669</v>
      </c>
      <c r="FL438" s="6">
        <v>907.07682140966324</v>
      </c>
      <c r="FM438" s="6">
        <v>2054.2059558421197</v>
      </c>
      <c r="FN438" s="6">
        <v>0</v>
      </c>
      <c r="FO438" s="6">
        <v>0</v>
      </c>
      <c r="FP438" s="6">
        <v>0</v>
      </c>
      <c r="FQ438" s="6">
        <v>0</v>
      </c>
      <c r="FR438" s="6">
        <v>0</v>
      </c>
      <c r="FS438" s="6">
        <v>0</v>
      </c>
      <c r="FT438" s="7">
        <v>0.93465794533963542</v>
      </c>
      <c r="FU438" s="7">
        <v>3.3643873215751324E-2</v>
      </c>
      <c r="FV438" s="7">
        <v>3.169818144461331E-2</v>
      </c>
      <c r="FW438" s="6">
        <v>2770</v>
      </c>
      <c r="FX438" s="6">
        <v>2824.2059558421197</v>
      </c>
      <c r="FY438" s="6">
        <v>507</v>
      </c>
      <c r="FZ438" s="6">
        <v>1949.5716051445115</v>
      </c>
      <c r="GA438" s="6">
        <v>2700.0907136967312</v>
      </c>
      <c r="GB438" s="6">
        <v>17284.909286303267</v>
      </c>
      <c r="GC438" s="7">
        <v>3.3872851927908169E-2</v>
      </c>
      <c r="GD438" s="7">
        <v>3.7415946353116972E-2</v>
      </c>
      <c r="GE438" s="7"/>
      <c r="GF438" s="7"/>
      <c r="GG438" s="7">
        <v>0.10459982621922699</v>
      </c>
      <c r="GH438" s="42">
        <v>2.7853088657845992</v>
      </c>
      <c r="GI438" s="6">
        <v>9875.2375153676458</v>
      </c>
      <c r="GJ438" s="14">
        <v>0.50394797582841733</v>
      </c>
      <c r="GK438" s="14">
        <v>0.50887573065309744</v>
      </c>
      <c r="GL438" s="14">
        <v>0.49605202417158273</v>
      </c>
      <c r="GM438" s="14">
        <v>0.49112426934690229</v>
      </c>
      <c r="GO438" s="5">
        <v>343.14810671672558</v>
      </c>
      <c r="GP438" s="5">
        <v>290.30179111306006</v>
      </c>
      <c r="GQ438" s="5">
        <v>535.04305713031317</v>
      </c>
      <c r="GR438" s="5">
        <v>410.15490233172511</v>
      </c>
      <c r="GS438" s="5">
        <v>339.42744393800166</v>
      </c>
      <c r="GT438" s="5">
        <v>293.4407446948278</v>
      </c>
      <c r="GU438" s="5">
        <v>258.04012322764959</v>
      </c>
      <c r="GV438" s="39" t="s">
        <v>392</v>
      </c>
      <c r="GW438" s="5">
        <v>478.23611111111109</v>
      </c>
      <c r="GX438" s="5">
        <v>358.67708333333331</v>
      </c>
      <c r="GY438" s="5">
        <v>286.94166666666666</v>
      </c>
      <c r="GZ438" s="5">
        <v>245.72198221012883</v>
      </c>
      <c r="HA438" s="5">
        <v>234.53733318419432</v>
      </c>
      <c r="HB438" s="39">
        <v>256.77293649323946</v>
      </c>
      <c r="HC438" s="5">
        <v>265.10312499999998</v>
      </c>
      <c r="HD438" s="5">
        <v>224.66580774853799</v>
      </c>
      <c r="HE438" s="5">
        <v>226.90661690283397</v>
      </c>
      <c r="HF438" s="5">
        <v>209.18438048245613</v>
      </c>
      <c r="HG438" s="5">
        <v>200.91388157894738</v>
      </c>
      <c r="HH438" s="39">
        <v>224.48766999189314</v>
      </c>
      <c r="HI438" s="16"/>
      <c r="HJ438" s="19" t="str">
        <f t="shared" si="1232"/>
        <v>On</v>
      </c>
      <c r="HK438" s="1" t="str">
        <f t="shared" si="1232"/>
        <v>On</v>
      </c>
      <c r="HL438" s="16"/>
      <c r="HM438" s="639">
        <f t="shared" si="1110"/>
        <v>2.9403358434788716E-2</v>
      </c>
      <c r="HN438" s="639">
        <f t="shared" si="1111"/>
        <v>1.4106809950923669E-3</v>
      </c>
      <c r="HO438" s="639">
        <f t="shared" si="1112"/>
        <v>1.7317923025048877E-3</v>
      </c>
      <c r="HP438" s="644">
        <f>(FT438*$GD438-HM438)/$JF438*INDEX(Input!$1:$1048576,$JG$93,$C438*2+6)</f>
        <v>398.43188190086312</v>
      </c>
      <c r="HQ438" s="644">
        <f>(FU438*$GD438-HN438)/$JF438*INDEX(Input!$1:$1048576,$JG$93,$C438*2+6)</f>
        <v>-10.867456695053372</v>
      </c>
      <c r="HR438" s="644">
        <f>(FV438*$GD438-HO438)/$JF438*INDEX(Input!$1:$1048576,$JG$93,$C438*2+6)</f>
        <v>-39.05598809016778</v>
      </c>
      <c r="HS438" s="644">
        <f t="shared" si="1233"/>
        <v>-167.77697135712327</v>
      </c>
      <c r="HT438" s="644">
        <f t="shared" si="1114"/>
        <v>93.760906109939143</v>
      </c>
      <c r="HU438" s="644">
        <f t="shared" si="1115"/>
        <v>14.986670177253755</v>
      </c>
      <c r="HV438" s="648">
        <f t="shared" si="1116"/>
        <v>0</v>
      </c>
      <c r="HW438" s="648">
        <f t="shared" si="1117"/>
        <v>0</v>
      </c>
      <c r="HX438" s="648">
        <f t="shared" si="1118"/>
        <v>0</v>
      </c>
      <c r="HY438" s="644">
        <f>INDEX(Input!$1:$1048576,HY$93,$C438*2+6)*INDEX(Input!$1:$1048576,$JG$93,$C438*2+6)</f>
        <v>993</v>
      </c>
      <c r="HZ438" s="644">
        <f>INDEX(Input!$1:$1048576,HZ$93,$C438*2+6)*INDEX(Input!$1:$1048576,$JG$93,$C438*2+6)</f>
        <v>1216</v>
      </c>
      <c r="IA438" s="644">
        <f>INDEX(Input!$1:$1048576,IA$93,$C438*2+6)*INDEX(Input!$1:$1048576,$JG$93,$C438*2+6)</f>
        <v>120</v>
      </c>
      <c r="IB438" s="644">
        <f t="shared" si="1142"/>
        <v>1223.6549105437398</v>
      </c>
      <c r="IC438" s="644">
        <f t="shared" si="1143"/>
        <v>1298.8934494148859</v>
      </c>
      <c r="ID438" s="644">
        <f>IF(AND(INDEX(Input!$1:$1048576,IA$93,$C438*2+7)="TOS",Y438&lt;=INDEX(Y:Y,MATCH(C438*1000+2,A:A))),0,1)*MAX(IA438+HR438+HU438+HX438,0%)</f>
        <v>95.930682087085984</v>
      </c>
      <c r="IE438" s="128">
        <f t="shared" si="1234"/>
        <v>0.46731514398058638</v>
      </c>
      <c r="IF438" s="128">
        <f t="shared" si="1210"/>
        <v>0.49604882397688121</v>
      </c>
      <c r="IG438" s="128">
        <f t="shared" si="1120"/>
        <v>3.6636032042532296E-2</v>
      </c>
      <c r="IH438" s="21"/>
      <c r="II438" s="19">
        <f t="shared" si="1121"/>
        <v>1490</v>
      </c>
      <c r="IJ438" s="19">
        <f t="shared" si="1122"/>
        <v>2203.2561351629856</v>
      </c>
      <c r="IK438" s="19">
        <f t="shared" si="1123"/>
        <v>242</v>
      </c>
      <c r="IL438" s="19">
        <f t="shared" si="1145"/>
        <v>1280</v>
      </c>
      <c r="IM438" s="19">
        <f t="shared" si="1124"/>
        <v>620.94982067913406</v>
      </c>
      <c r="IN438" s="19">
        <f t="shared" si="1125"/>
        <v>265</v>
      </c>
      <c r="IO438" s="39">
        <f t="shared" si="1126"/>
        <v>0</v>
      </c>
      <c r="IP438" s="39">
        <f t="shared" si="1127"/>
        <v>0</v>
      </c>
      <c r="IQ438" s="39">
        <f t="shared" si="1128"/>
        <v>0</v>
      </c>
      <c r="IR438" s="39">
        <v>0</v>
      </c>
      <c r="IS438" s="39">
        <v>0</v>
      </c>
      <c r="IT438" s="39">
        <v>0</v>
      </c>
      <c r="IU438" s="39">
        <v>0</v>
      </c>
      <c r="IV438" s="39">
        <v>0</v>
      </c>
      <c r="IW438" s="39">
        <v>0</v>
      </c>
      <c r="IX438" s="39">
        <f>INDEX(Input!$1:$1048576,IX$93,$C438*2+6)+INDEX(Input!$1:$1048576,IX$94,$C438*2+6)</f>
        <v>1770</v>
      </c>
      <c r="IY438" s="39">
        <f>INDEX(Input!$1:$1048576,IY$93,$C438*2+6)+INDEX(Input!$1:$1048576,IY$94,$C438*2+6)</f>
        <v>2630.0624533823611</v>
      </c>
      <c r="IZ438" s="39">
        <f>INDEX(Input!$1:$1048576,IZ$93,$C438*2+6)+INDEX(Input!$1:$1048576,IZ$94,$C438*2+6)</f>
        <v>4153.7164157747848</v>
      </c>
      <c r="JA438" s="19">
        <f t="shared" si="1146"/>
        <v>3050</v>
      </c>
      <c r="JB438" s="19">
        <f t="shared" si="1147"/>
        <v>3251.0122740614952</v>
      </c>
      <c r="JC438" s="19">
        <f t="shared" si="1148"/>
        <v>4418.7164157747848</v>
      </c>
      <c r="JD438" s="19">
        <f t="shared" si="1149"/>
        <v>3199.8562406185874</v>
      </c>
      <c r="JE438" s="21"/>
      <c r="JF438" s="1">
        <f t="shared" si="1129"/>
        <v>3.2545831732385969E-2</v>
      </c>
      <c r="JG438" s="15">
        <f>INDEX(Input!$1:$1048576,JG$93,$C438*2+6)/(1+VLOOKUP(C438*1000+INDEX(Input!$1:$1048576,JG$93+1,$C438*2+6),$A:$KK,$JK$92,FALSE))</f>
        <v>2329</v>
      </c>
      <c r="JH438" s="1">
        <f t="shared" si="1150"/>
        <v>0.14963865913080376</v>
      </c>
      <c r="JI438" s="1">
        <f t="shared" si="1151"/>
        <v>-2.5345382168282686E-2</v>
      </c>
      <c r="JJ438" s="1">
        <f t="shared" si="1211"/>
        <v>0</v>
      </c>
      <c r="JK438" s="1">
        <f t="shared" si="1212"/>
        <v>0.12429327696252107</v>
      </c>
      <c r="JL438" s="15">
        <f t="shared" si="1154"/>
        <v>289.47904204571159</v>
      </c>
      <c r="JM438" s="15">
        <f t="shared" si="1180"/>
        <v>2618.4790420457116</v>
      </c>
      <c r="JN438" s="21"/>
      <c r="JO438" s="19">
        <f>INDEX(Input!$1:$1048576,JO$93,$C438*2+6)</f>
        <v>5995.5</v>
      </c>
      <c r="JP438" s="19">
        <f>INDEX(Input!$1:$1048576,JP$93,$C438*2+6)</f>
        <v>2341.8685758720158</v>
      </c>
      <c r="JQ438" s="39">
        <f t="shared" si="1166"/>
        <v>2795.6437593814126</v>
      </c>
      <c r="JR438" s="39">
        <f t="shared" si="1183"/>
        <v>857.98766474657168</v>
      </c>
      <c r="JS438" s="39">
        <f t="shared" si="1168"/>
        <v>8.3787565036189502</v>
      </c>
      <c r="JT438" s="39">
        <f t="shared" si="1156"/>
        <v>2.9245445904130265</v>
      </c>
      <c r="JU438" s="385">
        <f>(JQ438*JM438-INDEX(Input!$1:$1048576,Input!A$18,$C438*2+6)*JL438*INDEX(Input!$1:$1048576,Input!A$19,$C438*2+6))/1000000</f>
        <v>7.3203345929661134</v>
      </c>
      <c r="JV438" s="39">
        <f t="shared" si="1190"/>
        <v>-1.188972993827961</v>
      </c>
      <c r="JW438" s="1">
        <f t="shared" si="1181"/>
        <v>-0.13972617415701066</v>
      </c>
      <c r="JX438" s="19">
        <f t="shared" si="1172"/>
        <v>10102.785230134939</v>
      </c>
      <c r="JZ438" s="341"/>
      <c r="KA438" s="342"/>
      <c r="KB438" s="469">
        <f t="shared" si="1169"/>
        <v>2.3434325605641804</v>
      </c>
      <c r="KI438" s="473">
        <f t="shared" si="1235"/>
        <v>230.65491054373956</v>
      </c>
      <c r="KJ438" s="473">
        <f t="shared" si="1236"/>
        <v>82.893449414885708</v>
      </c>
      <c r="KK438" s="473">
        <f t="shared" si="1158"/>
        <v>-24.069317912914045</v>
      </c>
      <c r="KN438" s="544">
        <f t="shared" si="1173"/>
        <v>4002</v>
      </c>
      <c r="KO438" s="541">
        <f t="shared" si="1133"/>
        <v>8.2637181729726894E-2</v>
      </c>
      <c r="KP438" s="546">
        <f t="shared" si="1134"/>
        <v>636.41959694259469</v>
      </c>
      <c r="KQ438" s="546">
        <f t="shared" si="1135"/>
        <v>575.08505258256628</v>
      </c>
      <c r="KR438" s="548">
        <f t="shared" si="1136"/>
        <v>2.2541738030944223</v>
      </c>
      <c r="KS438" s="548">
        <f t="shared" si="1137"/>
        <v>2.4945881948443431</v>
      </c>
      <c r="KT438" s="473">
        <f t="shared" si="1171"/>
        <v>1580.0986321700548</v>
      </c>
      <c r="KU438" s="663">
        <f t="shared" si="1159"/>
        <v>4.104402988634468</v>
      </c>
      <c r="KV438" s="117"/>
    </row>
    <row r="439" spans="1:308" s="26" customFormat="1" ht="15">
      <c r="A439" s="561">
        <f t="shared" si="1138"/>
        <v>4039</v>
      </c>
      <c r="B439" s="561">
        <f t="shared" si="1160"/>
        <v>39</v>
      </c>
      <c r="C439" s="561">
        <f t="shared" si="1161"/>
        <v>4</v>
      </c>
      <c r="D439" s="561" t="str">
        <f t="shared" si="1206"/>
        <v xml:space="preserve">250 CC, 360 Lease, </v>
      </c>
      <c r="E439" s="475">
        <f>INDEX(Input!$1:$1048576,E$93,$C439*2+MIN($B439,2)+5)
+INDEX(Scenarios!E$121:E$200,MATCH($B439,Scenarios!$B$121:$B$200,0))</f>
        <v>1506.832975525977</v>
      </c>
      <c r="F439" s="475">
        <f>INDEX(Input!$1:$1048576,F$93,$C439*2+MIN($B439,2)+5)
+INDEX(Scenarios!F$121:F$200,MATCH($B439,Scenarios!$B$121:$B$200,0))</f>
        <v>0</v>
      </c>
      <c r="G439" s="475">
        <f>INDEX(Input!$1:$1048576,G$93,$C439*2+MIN($B439,2)+5)
+INDEX(Scenarios!G$121:G$200,MATCH($B439,Scenarios!$B$121:$B$200,0))</f>
        <v>0</v>
      </c>
      <c r="H439" s="475">
        <f>INDEX(Input!$1:$1048576,H$93,$C439*2+MIN($B439,2)+5)
+INDEX(Scenarios!H$121:H$200,MATCH($B439,Scenarios!$B$121:$B$200,0))</f>
        <v>0</v>
      </c>
      <c r="I439" s="476">
        <f>INDEX(Input!$1:$1048576,I$93,$C439*2+MIN($B439,2)+5)</f>
        <v>0.7</v>
      </c>
      <c r="J439" s="476" t="str">
        <f>INDEX(Input!$1:$1048576,J$93,$C439*2+MIN($B439,2)+5)</f>
        <v>Market</v>
      </c>
      <c r="K439" s="476" t="str">
        <f>INDEX(Input!$1:$1048576,K$93,$C439*2+MIN($B439,2)+5)</f>
        <v>Market</v>
      </c>
      <c r="L439" s="476" t="str">
        <f>INDEX(Input!$1:$1048576,L$93,$C439*2+MIN($B439,2)+5)</f>
        <v>Market</v>
      </c>
      <c r="M439" s="476" t="str">
        <f>INDEX(Input!$1:$1048576,M$93,$C439*2+MIN($B439,2)+5)</f>
        <v>Market</v>
      </c>
      <c r="N439" s="476" t="str">
        <f>INDEX(Input!$1:$1048576,N$93,$C439*2+MIN($B439,2)+5)</f>
        <v>Market</v>
      </c>
      <c r="O439" s="476" t="str">
        <f>INDEX(Input!$1:$1048576,O$93,$C439*2+MIN($B439,2)+5)</f>
        <v>Market</v>
      </c>
      <c r="P439" s="476" t="str">
        <f>INDEX(Input!$1:$1048576,P$93,$C439*2+MIN($B439,2)+5)</f>
        <v>N</v>
      </c>
      <c r="Q439" s="477">
        <f>INDEX(Input!$1:$1048576,Q$93,$C439*2+MIN($B439,2)+5)
+INDEX(Scenarios!Q$121:Q$200,MATCH($B439,Scenarios!$B$121:$B$200,0))</f>
        <v>0</v>
      </c>
      <c r="R439" s="478">
        <f>IFERROR(MAX(0,INDEX(Input!$1:$1048576,R$93,$C439*2+MIN($B439,2)+5)
+INDEX(Scenarios!R$121:R$200,MATCH($B439,Scenarios!$B$121:$B$200,0)),),"Market")</f>
        <v>0</v>
      </c>
      <c r="S439" s="478">
        <f>IFERROR(MAX(0,INDEX(Input!$1:$1048576,S$93,$C439*2+MIN($B439,2)+5)
+INDEX(Scenarios!S$121:S$200,MATCH($B439,Scenarios!$B$121:$B$200,0)),),"Market")</f>
        <v>0</v>
      </c>
      <c r="T439" s="478">
        <f>IFERROR(MAX(0,INDEX(Input!$1:$1048576,T$93,$C439*2+MIN($B439,2)+5)
+INDEX(Scenarios!T$121:T$200,MATCH($B439,Scenarios!$B$121:$B$200,0)),),"Market")</f>
        <v>0</v>
      </c>
      <c r="U439" s="478">
        <f>IFERROR(MAX(0,INDEX(Input!$1:$1048576,U$93,$C439*2+MIN($B439,2)+5)
+INDEX(Scenarios!U$121:U$200,MATCH($B439,Scenarios!$B$121:$B$200,0)),),"Market")</f>
        <v>0</v>
      </c>
      <c r="V439" s="478">
        <f>IFERROR(MAX(0,INDEX(Input!$1:$1048576,V$93,$C439*2+MIN($B439,2)+5)
+INDEX(Scenarios!V$121:V$200,MATCH($B439,Scenarios!$B$121:$B$200,0)),),"Market")</f>
        <v>1.9E-2</v>
      </c>
      <c r="W439" s="885">
        <f>IFERROR(MAX(0,INDEX(Input!$1:$1048576,W$93,$C439*2+MIN($B439,2)+5)-0%,),"Market")</f>
        <v>3.9E-2</v>
      </c>
      <c r="X439" s="476" t="str">
        <f>INDEX(Input!$1:$1048576,X$93,$C439*2+MIN($B439,2)+5)</f>
        <v>Y</v>
      </c>
      <c r="Y439" s="475">
        <f>INDEX(Input!$1:$1048576,Y$93,$C439*2+MIN($B439,2)+5)
++INDEX(Scenarios!Y$121:Y$200,MATCH($B439,Scenarios!$B$121:$B$200,0))</f>
        <v>-510</v>
      </c>
      <c r="Z439" s="477">
        <f>INDEX(Input!$1:$1048576,Z$93,$C439*2+MIN($B439,2)+5)
+INDEX(Scenarios!Z$121:Z$200,MATCH($B439,Scenarios!$B$121:$B$200,0))</f>
        <v>0</v>
      </c>
      <c r="AA439" s="475">
        <f>INDEX(Input!$1:$1048576,AA$93,$C439*2+MIN($B439,2)+5)
+INDEX(Scenarios!AA$121:AA$200,MATCH($B439,Scenarios!$B$121:$B$200,0))</f>
        <v>0</v>
      </c>
      <c r="AB439" s="476">
        <f>INDEX(Input!$1:$1048576,AB$93,$C439*2+MIN($B439,2)+5)</f>
        <v>0.27</v>
      </c>
      <c r="AC439" s="475">
        <f>INDEX(Input!$1:$1048576,AC$93,$C439*2+MIN($B439,2)+5)
+INDEX(Scenarios!AC$121:AC$200,MATCH($B439,Scenarios!$B$121:$B$200,0))</f>
        <v>0</v>
      </c>
      <c r="AD439" s="476">
        <f>INDEX(Input!$1:$1048576,AD$93,$C439*2+MIN($B439,2)+5)</f>
        <v>0.27</v>
      </c>
      <c r="AE439" s="475">
        <f>INDEX(Input!$1:$1048576,AE$93,$C439*2+MIN($B439,2)+5)
+INDEX(Scenarios!AE$121:AE$200,MATCH($B439,Scenarios!$B$121:$B$200,0))</f>
        <v>0</v>
      </c>
      <c r="AF439" s="476">
        <f>INDEX(Input!$1:$1048576,AF$93,$C439*2+MIN($B439,2)+5)</f>
        <v>1</v>
      </c>
      <c r="AG439" s="475">
        <f>INDEX(Input!$1:$1048576,AG$93,$C439*2+MIN($B439,2)+5)
+INDEX(Scenarios!AG$121:AG$200,MATCH($B439,Scenarios!$B$121:$B$200,0))</f>
        <v>500</v>
      </c>
      <c r="AH439" s="476">
        <f>INDEX(Input!$1:$1048576,AH$93,$C439*2+MIN($B439,2)+5)</f>
        <v>0.83199999999999996</v>
      </c>
      <c r="AI439" s="475">
        <f>INDEX(Input!$1:$1048576,AI$93,$C439*2+MIN($B439,2)+5)
+INDEX(Scenarios!AI$121:AI$200,MATCH($B439,Scenarios!$B$121:$B$200,0))</f>
        <v>0</v>
      </c>
      <c r="AJ439" s="476">
        <f>INDEX(Input!$1:$1048576,AJ$93,$C439*2+MIN($B439,2)+5)</f>
        <v>0.27</v>
      </c>
      <c r="AK439" s="150">
        <f>ROUND(INDEX(Input!$1:$1048576,AK$93,$C438*2+MIN($B439,1)+5)+(Y439-VLOOKUP($C439*1000+1,$A:$HH,Y$92,FALSE)),0)</f>
        <v>2947</v>
      </c>
      <c r="AL439" s="150">
        <f>ROUND(INDEX(Input!$1:$1048576,AL$93,$C438*2+MIN($B439,1)+5)-(Y439-VLOOKUP($C439*1000+1,$A:$HH,Y$92,FALSE))/36,0)</f>
        <v>3396</v>
      </c>
      <c r="AM439" s="32" t="str">
        <f t="shared" si="1139"/>
        <v>std/std/std/std</v>
      </c>
      <c r="AN439" s="32" t="str">
        <f t="shared" si="1140"/>
        <v>$0 + 0/0/0/1.9/3.9</v>
      </c>
      <c r="AO439" s="32" t="str">
        <f t="shared" si="1141"/>
        <v>0/0/0/1.9/3.9</v>
      </c>
      <c r="AP439" s="32" t="str">
        <f t="shared" si="1213"/>
        <v>0/0.9/1.9/3.9</v>
      </c>
      <c r="AQ439" s="536">
        <f t="shared" si="1207"/>
        <v>0.43202581077719732</v>
      </c>
      <c r="AR439" s="32"/>
      <c r="AS439" s="302"/>
      <c r="AT439" s="3">
        <f t="shared" si="1162"/>
        <v>39</v>
      </c>
      <c r="AU439" s="41" t="s">
        <v>121</v>
      </c>
      <c r="AV439" s="41" t="s">
        <v>116</v>
      </c>
      <c r="AW439" s="41" t="str">
        <f>INDEX(Input!$1:$1048576,AW$93,$C439*2+6)</f>
        <v>Kia</v>
      </c>
      <c r="AX439" s="41" t="str">
        <f>INDEX(Input!$1:$1048576,AX$93,$C439*2+6)</f>
        <v>Kia-LR - R1</v>
      </c>
      <c r="AY439" s="41" t="str">
        <f>IF(LEN(D439)=0,"",INDEX(Input!$1:$1048576,AY$93,$C439*2+6))</f>
        <v>Compact SUV (52)</v>
      </c>
      <c r="AZ439" s="41" t="str">
        <f>INDEX(Input!$1:$1048576,AZ$93,$C439*2+6)</f>
        <v>Kia Soul</v>
      </c>
      <c r="BA439" s="3">
        <f>INDEX(Input!$1:$1048576,BA$93,$C439*2+6)</f>
        <v>2020</v>
      </c>
      <c r="BB439" s="128">
        <f>INDEX(Input!$1:$1048576,BB$93,$C439*2+6)</f>
        <v>1</v>
      </c>
      <c r="BC439" s="128">
        <f>INDEX(Input!$1:$1048576,BC$93,$C439*2+6)</f>
        <v>0.7</v>
      </c>
      <c r="BD439" s="1">
        <f>INDEX(Input!$1:$1048576,BD$93,$C439*2+6)</f>
        <v>4.4999999999999998E-2</v>
      </c>
      <c r="BE439" s="1">
        <f>INDEX(Input!$1:$1048576,BE$93,$C439*2+6)</f>
        <v>4.4999999999999998E-2</v>
      </c>
      <c r="BF439" s="1">
        <f>INDEX(Input!$1:$1048576,BF$93,$C439*2+6)</f>
        <v>0.05</v>
      </c>
      <c r="BG439" s="1">
        <f>INDEX(Input!$1:$1048576,BG$93,$C439*2+6)</f>
        <v>5.45E-2</v>
      </c>
      <c r="BH439" s="1">
        <f>INDEX(Input!$1:$1048576,BH$93,$C439*2+6)</f>
        <v>5.45E-2</v>
      </c>
      <c r="BI439" s="1">
        <f>INDEX(Input!$1:$1048576,BI$93,$C439*2+6)</f>
        <v>0.05</v>
      </c>
      <c r="BJ439" s="1">
        <f>INDEX(Input!$1:$1048576,BJ$93,$C439*2+6)</f>
        <v>0.05</v>
      </c>
      <c r="BK439" s="1">
        <f>INDEX(Input!$1:$1048576,BK$93,$C439*2+6)</f>
        <v>0.05</v>
      </c>
      <c r="BL439" s="1">
        <f>INDEX(Input!$1:$1048576,BL$93,$C439*2+6)</f>
        <v>5.5E-2</v>
      </c>
      <c r="BM439" s="1">
        <f>INDEX(Input!$1:$1048576,BM$93,$C439*2+6)</f>
        <v>0.06</v>
      </c>
      <c r="BN439" s="1">
        <f>INDEX(Input!$1:$1048576,BN$93,$C439*2+6)</f>
        <v>4.4999999999999998E-2</v>
      </c>
      <c r="BO439" s="1">
        <f>INDEX(Input!$1:$1048576,BO$93,$C439*2+6)</f>
        <v>4.4999999999999998E-2</v>
      </c>
      <c r="BP439" s="1">
        <f>INDEX(Input!$1:$1048576,BP$93,$C439*2+6)</f>
        <v>0.05</v>
      </c>
      <c r="BQ439" s="1">
        <f>INDEX(Input!$1:$1048576,BQ$93,$C439*2+6)</f>
        <v>5.45E-2</v>
      </c>
      <c r="BR439" s="1">
        <f>INDEX(Input!$1:$1048576,BR$93,$C439*2+6)</f>
        <v>5.45E-2</v>
      </c>
      <c r="BS439" s="1">
        <f>INDEX(Input!$1:$1048576,BS$93,$C439*2+6)</f>
        <v>0.05</v>
      </c>
      <c r="BT439" s="1">
        <f>INDEX(Input!$1:$1048576,BT$93,$C439*2+6)</f>
        <v>0.05</v>
      </c>
      <c r="BU439" s="1">
        <f>INDEX(Input!$1:$1048576,BU$93,$C439*2+6)</f>
        <v>0.05</v>
      </c>
      <c r="BV439" s="1">
        <f>INDEX(Input!$1:$1048576,BV$93,$C439*2+6)</f>
        <v>5.5E-2</v>
      </c>
      <c r="BW439" s="1">
        <f>INDEX(Input!$1:$1048576,BW$93,$C439*2+6)</f>
        <v>0.06</v>
      </c>
      <c r="BX439" s="127">
        <f>INDEX(Input!$1:$1048576,BX$93,$C439*2+6)</f>
        <v>19985</v>
      </c>
      <c r="BY439" s="20">
        <f>INDEX(Input!$1:$1048576,BY$93,$C439*2+6)</f>
        <v>0.1</v>
      </c>
      <c r="BZ439" s="20">
        <f>INDEX(Input!$1:$1048576,BZ$93,$C439*2+6)</f>
        <v>0.1</v>
      </c>
      <c r="CA439" s="20">
        <f>INDEX(Input!$1:$1048576,CA$93,$C439*2+6)</f>
        <v>0.1</v>
      </c>
      <c r="CB439" s="20">
        <f>INDEX(Input!$1:$1048576,CB$93,$C439*2+6)</f>
        <v>0.1</v>
      </c>
      <c r="CC439" s="20">
        <f>INDEX(Input!$1:$1048576,CC$93,$C439*2+6)</f>
        <v>0.1</v>
      </c>
      <c r="CD439" s="384">
        <f>INDEX(Input!$1:$1048576,CD$93,$C439*2+6)</f>
        <v>0.1</v>
      </c>
      <c r="CE439" s="384">
        <f>INDEX(Input!$1:$1048576,CE$93,$C439*2+6)</f>
        <v>0.1</v>
      </c>
      <c r="CF439" s="384">
        <f>INDEX(Input!$1:$1048576,CF$93,$C439*2+6)</f>
        <v>0.1</v>
      </c>
      <c r="CG439" s="384">
        <f>INDEX(Input!$1:$1048576,CG$93,$C439*2+6)</f>
        <v>0.1</v>
      </c>
      <c r="CH439" s="384">
        <f>INDEX(Input!$1:$1048576,CH$93,$C439*2+6)</f>
        <v>0.1</v>
      </c>
      <c r="CI439" s="304">
        <f t="shared" si="1214"/>
        <v>1506.832975525977</v>
      </c>
      <c r="CJ439" s="16" t="str">
        <f>INDEX(Input!$1:$1048576,CJ$93,$C439*2+6)</f>
        <v>N</v>
      </c>
      <c r="CK439" s="1" t="str">
        <f t="shared" si="1215"/>
        <v>Market</v>
      </c>
      <c r="CL439" s="1" t="str">
        <f t="shared" si="1216"/>
        <v>Market</v>
      </c>
      <c r="CM439" s="1" t="str">
        <f t="shared" si="1217"/>
        <v>Market</v>
      </c>
      <c r="CN439" s="1" t="str">
        <f t="shared" si="1218"/>
        <v>Market</v>
      </c>
      <c r="CO439" s="1" t="str">
        <f t="shared" si="1219"/>
        <v>Market</v>
      </c>
      <c r="CP439" s="304">
        <f t="shared" si="1220"/>
        <v>416</v>
      </c>
      <c r="CQ439" s="1">
        <f t="shared" si="1221"/>
        <v>0</v>
      </c>
      <c r="CR439" s="1">
        <f t="shared" si="1222"/>
        <v>0</v>
      </c>
      <c r="CS439" s="1">
        <f t="shared" si="1223"/>
        <v>0</v>
      </c>
      <c r="CT439" s="1">
        <f t="shared" si="1224"/>
        <v>1.9E-2</v>
      </c>
      <c r="CU439" s="1">
        <f t="shared" si="1225"/>
        <v>3.9E-2</v>
      </c>
      <c r="CV439" s="304">
        <f t="shared" si="1226"/>
        <v>-510</v>
      </c>
      <c r="CW439" s="20" t="s">
        <v>122</v>
      </c>
      <c r="CX439" s="20" t="s">
        <v>122</v>
      </c>
      <c r="CY439" s="20" t="s">
        <v>122</v>
      </c>
      <c r="CZ439" s="20" t="s">
        <v>122</v>
      </c>
      <c r="DA439" s="20" t="s">
        <v>122</v>
      </c>
      <c r="DB439" s="503">
        <f t="shared" si="1227"/>
        <v>0</v>
      </c>
      <c r="DC439" s="127">
        <v>0</v>
      </c>
      <c r="DD439" s="127">
        <v>0</v>
      </c>
      <c r="DE439" s="127">
        <v>0</v>
      </c>
      <c r="DF439" s="127">
        <v>0</v>
      </c>
      <c r="DG439" s="127">
        <v>0</v>
      </c>
      <c r="DH439" s="127">
        <v>0</v>
      </c>
      <c r="DI439" s="127">
        <v>0</v>
      </c>
      <c r="DJ439" s="127">
        <v>0</v>
      </c>
      <c r="DK439" s="127">
        <v>0</v>
      </c>
      <c r="DL439" s="127">
        <v>0</v>
      </c>
      <c r="DM439" s="304">
        <f>INDEX(Input!$1:$1048576,DM$93,$C439*2+6)</f>
        <v>21036.84210526316</v>
      </c>
      <c r="DN439" s="20">
        <v>0</v>
      </c>
      <c r="DO439" s="20">
        <v>0</v>
      </c>
      <c r="DP439" s="20">
        <v>0</v>
      </c>
      <c r="DQ439" s="20">
        <v>0</v>
      </c>
      <c r="DR439" s="20">
        <v>0</v>
      </c>
      <c r="DS439" s="20">
        <f>INDEX(Input!$1:$1048576,DS$93,$C439*2+6)</f>
        <v>0.6</v>
      </c>
      <c r="DT439" s="20">
        <f>INDEX(Input!$1:$1048576,DT$93,$C439*2+6)</f>
        <v>0.55000000000000004</v>
      </c>
      <c r="DU439" s="20">
        <f>INDEX(Input!$1:$1048576,DU$93,$C439*2+6)</f>
        <v>0.52</v>
      </c>
      <c r="DV439" s="20">
        <f>INDEX(Input!$1:$1048576,DV$93,$C439*2+6)</f>
        <v>0.5</v>
      </c>
      <c r="DW439" s="20">
        <f>INDEX(Input!$1:$1048576,DW$93,$C439*2+6)</f>
        <v>0.45</v>
      </c>
      <c r="DX439" s="20"/>
      <c r="DY439" s="7">
        <v>0.10536259143746335</v>
      </c>
      <c r="DZ439" s="7">
        <v>0</v>
      </c>
      <c r="EA439" s="7">
        <v>0.80173937053282585</v>
      </c>
      <c r="EB439" s="7">
        <v>0</v>
      </c>
      <c r="EC439" s="7">
        <v>0</v>
      </c>
      <c r="ED439" s="7">
        <v>0</v>
      </c>
      <c r="EE439" s="7">
        <v>0</v>
      </c>
      <c r="EF439" s="7">
        <v>0</v>
      </c>
      <c r="EG439" s="7">
        <v>0</v>
      </c>
      <c r="EH439" s="7">
        <v>1.2261121148572394E-2</v>
      </c>
      <c r="EI439" s="7">
        <v>3.2024811104504218E-2</v>
      </c>
      <c r="EJ439" s="7">
        <v>0.22486163464751471</v>
      </c>
      <c r="EK439" s="7">
        <v>0.59352242127690202</v>
      </c>
      <c r="EL439" s="7">
        <v>0.13733001182250679</v>
      </c>
      <c r="EM439" s="7">
        <v>3.7926718445499129E-2</v>
      </c>
      <c r="EN439" s="7">
        <v>5.1594887879848235E-2</v>
      </c>
      <c r="EO439" s="7">
        <v>0.72419180485946266</v>
      </c>
      <c r="EP439" s="7">
        <v>9.6762327056642797E-2</v>
      </c>
      <c r="EQ439" s="7">
        <v>8.4973451299877434E-2</v>
      </c>
      <c r="ER439" s="7">
        <v>4.2477528904168727E-2</v>
      </c>
      <c r="ES439" s="7">
        <v>5.4971319584211649E-2</v>
      </c>
      <c r="ET439" s="7">
        <v>9.2898038029710764E-2</v>
      </c>
      <c r="EU439" s="6">
        <v>2020</v>
      </c>
      <c r="EV439" s="6">
        <v>0</v>
      </c>
      <c r="EW439" s="6">
        <v>2020</v>
      </c>
      <c r="EX439" s="6">
        <v>0</v>
      </c>
      <c r="EY439" s="6">
        <v>2483.3050628587025</v>
      </c>
      <c r="EZ439" s="6">
        <v>867</v>
      </c>
      <c r="FA439" s="6">
        <v>0</v>
      </c>
      <c r="FB439" s="6">
        <v>0</v>
      </c>
      <c r="FC439" s="6">
        <v>0</v>
      </c>
      <c r="FD439" s="6">
        <v>0</v>
      </c>
      <c r="FE439" s="6">
        <v>0</v>
      </c>
      <c r="FF439" s="6">
        <v>0</v>
      </c>
      <c r="FG439" s="6">
        <v>0</v>
      </c>
      <c r="FH439" s="6">
        <v>1169.7985543853531</v>
      </c>
      <c r="FI439" s="6">
        <v>1553.9796069512399</v>
      </c>
      <c r="FJ439" s="6">
        <v>2101.2110117447401</v>
      </c>
      <c r="FK439" s="6">
        <v>1772.7139978623222</v>
      </c>
      <c r="FL439" s="6">
        <v>907.07682140966347</v>
      </c>
      <c r="FM439" s="6">
        <v>1713.3050628587025</v>
      </c>
      <c r="FN439" s="6">
        <v>0</v>
      </c>
      <c r="FO439" s="6">
        <v>0</v>
      </c>
      <c r="FP439" s="6">
        <v>0</v>
      </c>
      <c r="FQ439" s="6">
        <v>0</v>
      </c>
      <c r="FR439" s="6">
        <v>0</v>
      </c>
      <c r="FS439" s="6">
        <v>0</v>
      </c>
      <c r="FT439" s="7">
        <v>0.90710196197028914</v>
      </c>
      <c r="FU439" s="7">
        <v>3.7926718445499129E-2</v>
      </c>
      <c r="FV439" s="7">
        <v>5.4971319584211649E-2</v>
      </c>
      <c r="FW439" s="6">
        <v>2020.0000000000002</v>
      </c>
      <c r="FX439" s="6">
        <v>2483.3050628587025</v>
      </c>
      <c r="FY439" s="6">
        <v>867</v>
      </c>
      <c r="FZ439" s="6">
        <v>1949.5716051445115</v>
      </c>
      <c r="GA439" s="6">
        <v>1974.1897091928201</v>
      </c>
      <c r="GB439" s="6">
        <v>18010.810290807181</v>
      </c>
      <c r="GC439" s="7">
        <v>3.3872851927908169E-2</v>
      </c>
      <c r="GD439" s="7">
        <v>3.4557191426609818E-2</v>
      </c>
      <c r="GE439" s="7"/>
      <c r="GF439" s="7"/>
      <c r="GG439" s="7">
        <v>2.0203185139477865E-2</v>
      </c>
      <c r="GH439" s="42">
        <v>16.400964681120737</v>
      </c>
      <c r="GI439" s="6">
        <v>3192.7155940150046</v>
      </c>
      <c r="GJ439" s="14">
        <v>0.50394797582841711</v>
      </c>
      <c r="GK439" s="14">
        <v>0.50887573065309755</v>
      </c>
      <c r="GL439" s="14">
        <v>0.49605202417158267</v>
      </c>
      <c r="GM439" s="14">
        <v>0.49112426934690251</v>
      </c>
      <c r="GO439" s="5">
        <v>343.14810671672558</v>
      </c>
      <c r="GP439" s="5">
        <v>304.61036031982871</v>
      </c>
      <c r="GQ439" s="5">
        <v>535.04305713031317</v>
      </c>
      <c r="GR439" s="5">
        <v>410.15490233172511</v>
      </c>
      <c r="GS439" s="5">
        <v>339.42744393800166</v>
      </c>
      <c r="GT439" s="5">
        <v>293.4407446948278</v>
      </c>
      <c r="GU439" s="5">
        <v>258.04012322764959</v>
      </c>
      <c r="GV439" s="39" t="s">
        <v>392</v>
      </c>
      <c r="GW439" s="5">
        <v>478.23611111111109</v>
      </c>
      <c r="GX439" s="5">
        <v>358.67708333333331</v>
      </c>
      <c r="GY439" s="5">
        <v>286.94166666666666</v>
      </c>
      <c r="GZ439" s="5">
        <v>253.19574071601335</v>
      </c>
      <c r="HA439" s="5">
        <v>234.53733318419432</v>
      </c>
      <c r="HB439" s="39">
        <v>264.35881277814048</v>
      </c>
      <c r="HC439" s="5">
        <v>249.35312499999998</v>
      </c>
      <c r="HD439" s="5">
        <v>213.91580774853799</v>
      </c>
      <c r="HE439" s="5">
        <v>216.92584767206475</v>
      </c>
      <c r="HF439" s="5">
        <v>200.85938048245612</v>
      </c>
      <c r="HG439" s="5">
        <v>194.01388157894735</v>
      </c>
      <c r="HH439" s="39">
        <v>214.08061629586138</v>
      </c>
      <c r="HI439" s="16"/>
      <c r="HJ439" s="19" t="str">
        <f t="shared" si="1232"/>
        <v>On</v>
      </c>
      <c r="HK439" s="1" t="str">
        <f t="shared" si="1232"/>
        <v>On</v>
      </c>
      <c r="HL439" s="16"/>
      <c r="HM439" s="639">
        <f t="shared" si="1110"/>
        <v>2.9403358434788716E-2</v>
      </c>
      <c r="HN439" s="639">
        <f t="shared" si="1111"/>
        <v>1.4106809950923669E-3</v>
      </c>
      <c r="HO439" s="639">
        <f t="shared" si="1112"/>
        <v>1.7317923025048877E-3</v>
      </c>
      <c r="HP439" s="644">
        <f>(FT439*$GD439-HM439)/$JF439*INDEX(Input!$1:$1048576,$JG$93,$C439*2+6)</f>
        <v>139.08076955141365</v>
      </c>
      <c r="HQ439" s="644">
        <f>(FU439*$GD439-HN439)/$JF439*INDEX(Input!$1:$1048576,$JG$93,$C439*2+6)</f>
        <v>-7.1589337279981846</v>
      </c>
      <c r="HR439" s="644">
        <f>(FV439*$GD439-HO439)/$JF439*INDEX(Input!$1:$1048576,$JG$93,$C439*2+6)</f>
        <v>12.012317292293012</v>
      </c>
      <c r="HS439" s="644">
        <f t="shared" si="1233"/>
        <v>-69.480622291183636</v>
      </c>
      <c r="HT439" s="644">
        <f t="shared" si="1114"/>
        <v>42.692324317312192</v>
      </c>
      <c r="HU439" s="644">
        <f t="shared" si="1115"/>
        <v>13.429755279804757</v>
      </c>
      <c r="HV439" s="648">
        <f t="shared" si="1116"/>
        <v>0</v>
      </c>
      <c r="HW439" s="648">
        <f t="shared" si="1117"/>
        <v>0</v>
      </c>
      <c r="HX439" s="648">
        <f t="shared" si="1118"/>
        <v>0</v>
      </c>
      <c r="HY439" s="644">
        <f>INDEX(Input!$1:$1048576,HY$93,$C439*2+6)*INDEX(Input!$1:$1048576,$JG$93,$C439*2+6)</f>
        <v>993</v>
      </c>
      <c r="HZ439" s="644">
        <f>INDEX(Input!$1:$1048576,HZ$93,$C439*2+6)*INDEX(Input!$1:$1048576,$JG$93,$C439*2+6)</f>
        <v>1216</v>
      </c>
      <c r="IA439" s="644">
        <f>INDEX(Input!$1:$1048576,IA$93,$C439*2+6)*INDEX(Input!$1:$1048576,$JG$93,$C439*2+6)</f>
        <v>120</v>
      </c>
      <c r="IB439" s="644">
        <f t="shared" si="1142"/>
        <v>1062.60014726023</v>
      </c>
      <c r="IC439" s="644">
        <f t="shared" si="1143"/>
        <v>1251.533390589314</v>
      </c>
      <c r="ID439" s="644">
        <f>IF(AND(INDEX(Input!$1:$1048576,IA$93,$C439*2+7)="TOS",Y439&lt;=INDEX(Y:Y,MATCH(C439*1000+2,A:A))),0,1)*MAX(IA439+HR439+HU439+HX439,0%)</f>
        <v>145.44207257209777</v>
      </c>
      <c r="IE439" s="128">
        <f t="shared" si="1234"/>
        <v>0.43202581077719732</v>
      </c>
      <c r="IF439" s="128">
        <f t="shared" si="1210"/>
        <v>0.50884119410127227</v>
      </c>
      <c r="IG439" s="128">
        <f t="shared" si="1120"/>
        <v>5.9132995121530259E-2</v>
      </c>
      <c r="IH439" s="21"/>
      <c r="II439" s="19">
        <f t="shared" si="1121"/>
        <v>1490</v>
      </c>
      <c r="IJ439" s="19">
        <f t="shared" si="1122"/>
        <v>2203.2561351629856</v>
      </c>
      <c r="IK439" s="19">
        <f t="shared" si="1123"/>
        <v>242</v>
      </c>
      <c r="IL439" s="19">
        <f t="shared" si="1145"/>
        <v>530.00000000000023</v>
      </c>
      <c r="IM439" s="19">
        <f t="shared" si="1124"/>
        <v>280.04892769571688</v>
      </c>
      <c r="IN439" s="19">
        <f t="shared" si="1125"/>
        <v>625</v>
      </c>
      <c r="IO439" s="39">
        <f t="shared" si="1126"/>
        <v>0</v>
      </c>
      <c r="IP439" s="39">
        <f t="shared" si="1127"/>
        <v>0</v>
      </c>
      <c r="IQ439" s="39">
        <f t="shared" si="1128"/>
        <v>0</v>
      </c>
      <c r="IR439" s="39">
        <v>0</v>
      </c>
      <c r="IS439" s="39">
        <v>0</v>
      </c>
      <c r="IT439" s="39">
        <v>0</v>
      </c>
      <c r="IU439" s="39">
        <v>0</v>
      </c>
      <c r="IV439" s="39">
        <v>0</v>
      </c>
      <c r="IW439" s="39">
        <v>0</v>
      </c>
      <c r="IX439" s="39">
        <f>INDEX(Input!$1:$1048576,IX$93,$C439*2+6)+INDEX(Input!$1:$1048576,IX$94,$C439*2+6)</f>
        <v>1770</v>
      </c>
      <c r="IY439" s="39">
        <f>INDEX(Input!$1:$1048576,IY$93,$C439*2+6)+INDEX(Input!$1:$1048576,IY$94,$C439*2+6)</f>
        <v>2630.0624533823611</v>
      </c>
      <c r="IZ439" s="39">
        <f>INDEX(Input!$1:$1048576,IZ$93,$C439*2+6)+INDEX(Input!$1:$1048576,IZ$94,$C439*2+6)</f>
        <v>4153.7164157747848</v>
      </c>
      <c r="JA439" s="19">
        <f t="shared" si="1146"/>
        <v>2300</v>
      </c>
      <c r="JB439" s="19">
        <f t="shared" si="1147"/>
        <v>2910.111381078078</v>
      </c>
      <c r="JC439" s="19">
        <f t="shared" si="1148"/>
        <v>4778.7164157747848</v>
      </c>
      <c r="JD439" s="19">
        <f t="shared" si="1149"/>
        <v>2757.0237294042126</v>
      </c>
      <c r="JE439" s="21"/>
      <c r="JF439" s="1">
        <f t="shared" si="1129"/>
        <v>3.2545831732385969E-2</v>
      </c>
      <c r="JG439" s="15">
        <f>INDEX(Input!$1:$1048576,JG$93,$C439*2+6)/(1+VLOOKUP(C439*1000+INDEX(Input!$1:$1048576,JG$93+1,$C439*2+6),$A:$KK,$JK$92,FALSE))</f>
        <v>2329</v>
      </c>
      <c r="JH439" s="1">
        <f t="shared" si="1150"/>
        <v>6.1800838607002355E-2</v>
      </c>
      <c r="JI439" s="1">
        <f t="shared" si="1151"/>
        <v>-5.73574181797625E-3</v>
      </c>
      <c r="JJ439" s="1">
        <f t="shared" si="1211"/>
        <v>0</v>
      </c>
      <c r="JK439" s="1">
        <f t="shared" si="1212"/>
        <v>5.6065096789026103E-2</v>
      </c>
      <c r="JL439" s="15">
        <f t="shared" si="1154"/>
        <v>130.57561042164178</v>
      </c>
      <c r="JM439" s="15">
        <f t="shared" si="1180"/>
        <v>2459.5756104216416</v>
      </c>
      <c r="JN439" s="21"/>
      <c r="JO439" s="19">
        <f>INDEX(Input!$1:$1048576,JO$93,$C439*2+6)</f>
        <v>5995.5</v>
      </c>
      <c r="JP439" s="19">
        <f>INDEX(Input!$1:$1048576,JP$93,$C439*2+6)</f>
        <v>2341.8685758720158</v>
      </c>
      <c r="JQ439" s="39">
        <f t="shared" si="1166"/>
        <v>3238.4762705957874</v>
      </c>
      <c r="JR439" s="39">
        <f t="shared" si="1183"/>
        <v>415.15515353219689</v>
      </c>
      <c r="JS439" s="39">
        <f t="shared" si="1168"/>
        <v>6.7811083221963173</v>
      </c>
      <c r="JT439" s="39">
        <f t="shared" si="1156"/>
        <v>1.3268964089903925</v>
      </c>
      <c r="JU439" s="385">
        <f>(JQ439*JM439-INDEX(Input!$1:$1048576,Input!A$18,$C439*2+6)*JL439*INDEX(Input!$1:$1048576,Input!A$19,$C439*2+6))/1000000</f>
        <v>7.9652772500866353</v>
      </c>
      <c r="JV439" s="39">
        <f t="shared" si="1190"/>
        <v>-0.54403033670743906</v>
      </c>
      <c r="JW439" s="1">
        <f t="shared" si="1181"/>
        <v>-6.3933561122145932E-2</v>
      </c>
      <c r="JX439" s="19">
        <f t="shared" si="1172"/>
        <v>10161.90086882007</v>
      </c>
      <c r="JZ439" s="341"/>
      <c r="KA439" s="342"/>
      <c r="KB439" s="469">
        <f t="shared" si="1169"/>
        <v>2.3434325605641804</v>
      </c>
      <c r="KI439" s="473">
        <f t="shared" si="1235"/>
        <v>69.600147260229733</v>
      </c>
      <c r="KJ439" s="473">
        <f t="shared" si="1236"/>
        <v>35.53339058931374</v>
      </c>
      <c r="KK439" s="473">
        <f t="shared" si="1158"/>
        <v>25.442072572097743</v>
      </c>
      <c r="KN439" s="544">
        <f t="shared" si="1173"/>
        <v>4002</v>
      </c>
      <c r="KO439" s="541">
        <f t="shared" si="1133"/>
        <v>1.6936918096430054E-2</v>
      </c>
      <c r="KP439" s="546">
        <f t="shared" si="1134"/>
        <v>129.29532175223412</v>
      </c>
      <c r="KQ439" s="546">
        <f t="shared" si="1135"/>
        <v>132.25254136819149</v>
      </c>
      <c r="KR439" s="548">
        <f t="shared" si="1136"/>
        <v>2.2740867151168871</v>
      </c>
      <c r="KS439" s="548">
        <f t="shared" si="1137"/>
        <v>2.2232372284245345</v>
      </c>
      <c r="KT439" s="473">
        <f t="shared" si="1171"/>
        <v>1580.0986321700548</v>
      </c>
      <c r="KU439" s="663">
        <f t="shared" si="1159"/>
        <v>4.034670983864717</v>
      </c>
      <c r="KV439" s="117"/>
    </row>
    <row r="440" spans="1:308" s="26" customFormat="1" ht="15">
      <c r="A440" s="561">
        <f t="shared" si="1138"/>
        <v>4040</v>
      </c>
      <c r="B440" s="561">
        <f t="shared" si="1160"/>
        <v>40</v>
      </c>
      <c r="C440" s="561">
        <f t="shared" si="1161"/>
        <v>4</v>
      </c>
      <c r="D440" s="561" t="str">
        <f t="shared" si="1206"/>
        <v xml:space="preserve">500 CC, 360 Lease, </v>
      </c>
      <c r="E440" s="475">
        <f>INDEX(Input!$1:$1048576,E$93,$C440*2+MIN($B440,2)+5)
+INDEX(Scenarios!E$121:E$200,MATCH($B440,Scenarios!$B$121:$B$200,0))</f>
        <v>1756.832975525977</v>
      </c>
      <c r="F440" s="475">
        <f>INDEX(Input!$1:$1048576,F$93,$C440*2+MIN($B440,2)+5)
+INDEX(Scenarios!F$121:F$200,MATCH($B440,Scenarios!$B$121:$B$200,0))</f>
        <v>0</v>
      </c>
      <c r="G440" s="475">
        <f>INDEX(Input!$1:$1048576,G$93,$C440*2+MIN($B440,2)+5)
+INDEX(Scenarios!G$121:G$200,MATCH($B440,Scenarios!$B$121:$B$200,0))</f>
        <v>0</v>
      </c>
      <c r="H440" s="475">
        <f>INDEX(Input!$1:$1048576,H$93,$C440*2+MIN($B440,2)+5)
+INDEX(Scenarios!H$121:H$200,MATCH($B440,Scenarios!$B$121:$B$200,0))</f>
        <v>0</v>
      </c>
      <c r="I440" s="476">
        <f>INDEX(Input!$1:$1048576,I$93,$C440*2+MIN($B440,2)+5)</f>
        <v>0.7</v>
      </c>
      <c r="J440" s="476" t="str">
        <f>INDEX(Input!$1:$1048576,J$93,$C440*2+MIN($B440,2)+5)</f>
        <v>Market</v>
      </c>
      <c r="K440" s="476" t="str">
        <f>INDEX(Input!$1:$1048576,K$93,$C440*2+MIN($B440,2)+5)</f>
        <v>Market</v>
      </c>
      <c r="L440" s="476" t="str">
        <f>INDEX(Input!$1:$1048576,L$93,$C440*2+MIN($B440,2)+5)</f>
        <v>Market</v>
      </c>
      <c r="M440" s="476" t="str">
        <f>INDEX(Input!$1:$1048576,M$93,$C440*2+MIN($B440,2)+5)</f>
        <v>Market</v>
      </c>
      <c r="N440" s="476" t="str">
        <f>INDEX(Input!$1:$1048576,N$93,$C440*2+MIN($B440,2)+5)</f>
        <v>Market</v>
      </c>
      <c r="O440" s="476" t="str">
        <f>INDEX(Input!$1:$1048576,O$93,$C440*2+MIN($B440,2)+5)</f>
        <v>Market</v>
      </c>
      <c r="P440" s="476" t="str">
        <f>INDEX(Input!$1:$1048576,P$93,$C440*2+MIN($B440,2)+5)</f>
        <v>N</v>
      </c>
      <c r="Q440" s="477">
        <f>INDEX(Input!$1:$1048576,Q$93,$C440*2+MIN($B440,2)+5)
+INDEX(Scenarios!Q$121:Q$200,MATCH($B440,Scenarios!$B$121:$B$200,0))</f>
        <v>0</v>
      </c>
      <c r="R440" s="478">
        <f>IFERROR(MAX(0,INDEX(Input!$1:$1048576,R$93,$C440*2+MIN($B440,2)+5)
+INDEX(Scenarios!R$121:R$200,MATCH($B440,Scenarios!$B$121:$B$200,0)),),"Market")</f>
        <v>0</v>
      </c>
      <c r="S440" s="478">
        <f>IFERROR(MAX(0,INDEX(Input!$1:$1048576,S$93,$C440*2+MIN($B440,2)+5)
+INDEX(Scenarios!S$121:S$200,MATCH($B440,Scenarios!$B$121:$B$200,0)),),"Market")</f>
        <v>0</v>
      </c>
      <c r="T440" s="478">
        <f>IFERROR(MAX(0,INDEX(Input!$1:$1048576,T$93,$C440*2+MIN($B440,2)+5)
+INDEX(Scenarios!T$121:T$200,MATCH($B440,Scenarios!$B$121:$B$200,0)),),"Market")</f>
        <v>0</v>
      </c>
      <c r="U440" s="478">
        <f>IFERROR(MAX(0,INDEX(Input!$1:$1048576,U$93,$C440*2+MIN($B440,2)+5)
+INDEX(Scenarios!U$121:U$200,MATCH($B440,Scenarios!$B$121:$B$200,0)),),"Market")</f>
        <v>0</v>
      </c>
      <c r="V440" s="478">
        <f>IFERROR(MAX(0,INDEX(Input!$1:$1048576,V$93,$C440*2+MIN($B440,2)+5)
+INDEX(Scenarios!V$121:V$200,MATCH($B440,Scenarios!$B$121:$B$200,0)),),"Market")</f>
        <v>1.9E-2</v>
      </c>
      <c r="W440" s="885">
        <f>IFERROR(MAX(0,INDEX(Input!$1:$1048576,W$93,$C440*2+MIN($B440,2)+5)-0%,),"Market")</f>
        <v>3.9E-2</v>
      </c>
      <c r="X440" s="476" t="str">
        <f>INDEX(Input!$1:$1048576,X$93,$C440*2+MIN($B440,2)+5)</f>
        <v>Y</v>
      </c>
      <c r="Y440" s="475">
        <f>INDEX(Input!$1:$1048576,Y$93,$C440*2+MIN($B440,2)+5)
++INDEX(Scenarios!Y$121:Y$200,MATCH($B440,Scenarios!$B$121:$B$200,0))</f>
        <v>-510</v>
      </c>
      <c r="Z440" s="477">
        <f>INDEX(Input!$1:$1048576,Z$93,$C440*2+MIN($B440,2)+5)
+INDEX(Scenarios!Z$121:Z$200,MATCH($B440,Scenarios!$B$121:$B$200,0))</f>
        <v>0</v>
      </c>
      <c r="AA440" s="475">
        <f>INDEX(Input!$1:$1048576,AA$93,$C440*2+MIN($B440,2)+5)
+INDEX(Scenarios!AA$121:AA$200,MATCH($B440,Scenarios!$B$121:$B$200,0))</f>
        <v>0</v>
      </c>
      <c r="AB440" s="476">
        <f>INDEX(Input!$1:$1048576,AB$93,$C440*2+MIN($B440,2)+5)</f>
        <v>0.27</v>
      </c>
      <c r="AC440" s="475">
        <f>INDEX(Input!$1:$1048576,AC$93,$C440*2+MIN($B440,2)+5)
+INDEX(Scenarios!AC$121:AC$200,MATCH($B440,Scenarios!$B$121:$B$200,0))</f>
        <v>0</v>
      </c>
      <c r="AD440" s="476">
        <f>INDEX(Input!$1:$1048576,AD$93,$C440*2+MIN($B440,2)+5)</f>
        <v>0.27</v>
      </c>
      <c r="AE440" s="475">
        <f>INDEX(Input!$1:$1048576,AE$93,$C440*2+MIN($B440,2)+5)
+INDEX(Scenarios!AE$121:AE$200,MATCH($B440,Scenarios!$B$121:$B$200,0))</f>
        <v>0</v>
      </c>
      <c r="AF440" s="476">
        <f>INDEX(Input!$1:$1048576,AF$93,$C440*2+MIN($B440,2)+5)</f>
        <v>1</v>
      </c>
      <c r="AG440" s="475">
        <f>INDEX(Input!$1:$1048576,AG$93,$C440*2+MIN($B440,2)+5)
+INDEX(Scenarios!AG$121:AG$200,MATCH($B440,Scenarios!$B$121:$B$200,0))</f>
        <v>500</v>
      </c>
      <c r="AH440" s="476">
        <f>INDEX(Input!$1:$1048576,AH$93,$C440*2+MIN($B440,2)+5)</f>
        <v>0.83199999999999996</v>
      </c>
      <c r="AI440" s="475">
        <f>INDEX(Input!$1:$1048576,AI$93,$C440*2+MIN($B440,2)+5)
+INDEX(Scenarios!AI$121:AI$200,MATCH($B440,Scenarios!$B$121:$B$200,0))</f>
        <v>0</v>
      </c>
      <c r="AJ440" s="476">
        <f>INDEX(Input!$1:$1048576,AJ$93,$C440*2+MIN($B440,2)+5)</f>
        <v>0.27</v>
      </c>
      <c r="AK440" s="150">
        <f>ROUND(INDEX(Input!$1:$1048576,AK$93,$C439*2+MIN($B440,1)+5)+(Y440-VLOOKUP($C440*1000+1,$A:$HH,Y$92,FALSE)),0)</f>
        <v>2947</v>
      </c>
      <c r="AL440" s="150">
        <f>ROUND(INDEX(Input!$1:$1048576,AL$93,$C439*2+MIN($B440,1)+5)-(Y440-VLOOKUP($C440*1000+1,$A:$HH,Y$92,FALSE))/36,0)</f>
        <v>3396</v>
      </c>
      <c r="AM440" s="32" t="str">
        <f t="shared" si="1139"/>
        <v>std/std/std/std</v>
      </c>
      <c r="AN440" s="32" t="str">
        <f t="shared" si="1140"/>
        <v>$0 + 0/0/0/1.9/3.9</v>
      </c>
      <c r="AO440" s="32" t="str">
        <f t="shared" si="1141"/>
        <v>0/0/0/1.9/3.9</v>
      </c>
      <c r="AP440" s="32" t="str">
        <f t="shared" si="1213"/>
        <v>0/0.9/1.9/3.9</v>
      </c>
      <c r="AQ440" s="536">
        <f t="shared" si="1207"/>
        <v>0.44791318354106013</v>
      </c>
      <c r="AR440" s="32"/>
      <c r="AS440" s="302"/>
      <c r="AT440" s="3">
        <f t="shared" si="1162"/>
        <v>40</v>
      </c>
      <c r="AU440" s="41" t="s">
        <v>121</v>
      </c>
      <c r="AV440" s="41" t="s">
        <v>116</v>
      </c>
      <c r="AW440" s="41" t="str">
        <f>INDEX(Input!$1:$1048576,AW$93,$C440*2+6)</f>
        <v>Kia</v>
      </c>
      <c r="AX440" s="41" t="str">
        <f>INDEX(Input!$1:$1048576,AX$93,$C440*2+6)</f>
        <v>Kia-LR - R1</v>
      </c>
      <c r="AY440" s="41" t="str">
        <f>IF(LEN(D440)=0,"",INDEX(Input!$1:$1048576,AY$93,$C440*2+6))</f>
        <v>Compact SUV (52)</v>
      </c>
      <c r="AZ440" s="41" t="str">
        <f>INDEX(Input!$1:$1048576,AZ$93,$C440*2+6)</f>
        <v>Kia Soul</v>
      </c>
      <c r="BA440" s="3">
        <f>INDEX(Input!$1:$1048576,BA$93,$C440*2+6)</f>
        <v>2020</v>
      </c>
      <c r="BB440" s="128">
        <f>INDEX(Input!$1:$1048576,BB$93,$C440*2+6)</f>
        <v>1</v>
      </c>
      <c r="BC440" s="128">
        <f>INDEX(Input!$1:$1048576,BC$93,$C440*2+6)</f>
        <v>0.7</v>
      </c>
      <c r="BD440" s="1">
        <f>INDEX(Input!$1:$1048576,BD$93,$C440*2+6)</f>
        <v>4.4999999999999998E-2</v>
      </c>
      <c r="BE440" s="1">
        <f>INDEX(Input!$1:$1048576,BE$93,$C440*2+6)</f>
        <v>4.4999999999999998E-2</v>
      </c>
      <c r="BF440" s="1">
        <f>INDEX(Input!$1:$1048576,BF$93,$C440*2+6)</f>
        <v>0.05</v>
      </c>
      <c r="BG440" s="1">
        <f>INDEX(Input!$1:$1048576,BG$93,$C440*2+6)</f>
        <v>5.45E-2</v>
      </c>
      <c r="BH440" s="1">
        <f>INDEX(Input!$1:$1048576,BH$93,$C440*2+6)</f>
        <v>5.45E-2</v>
      </c>
      <c r="BI440" s="1">
        <f>INDEX(Input!$1:$1048576,BI$93,$C440*2+6)</f>
        <v>0.05</v>
      </c>
      <c r="BJ440" s="1">
        <f>INDEX(Input!$1:$1048576,BJ$93,$C440*2+6)</f>
        <v>0.05</v>
      </c>
      <c r="BK440" s="1">
        <f>INDEX(Input!$1:$1048576,BK$93,$C440*2+6)</f>
        <v>0.05</v>
      </c>
      <c r="BL440" s="1">
        <f>INDEX(Input!$1:$1048576,BL$93,$C440*2+6)</f>
        <v>5.5E-2</v>
      </c>
      <c r="BM440" s="1">
        <f>INDEX(Input!$1:$1048576,BM$93,$C440*2+6)</f>
        <v>0.06</v>
      </c>
      <c r="BN440" s="1">
        <f>INDEX(Input!$1:$1048576,BN$93,$C440*2+6)</f>
        <v>4.4999999999999998E-2</v>
      </c>
      <c r="BO440" s="1">
        <f>INDEX(Input!$1:$1048576,BO$93,$C440*2+6)</f>
        <v>4.4999999999999998E-2</v>
      </c>
      <c r="BP440" s="1">
        <f>INDEX(Input!$1:$1048576,BP$93,$C440*2+6)</f>
        <v>0.05</v>
      </c>
      <c r="BQ440" s="1">
        <f>INDEX(Input!$1:$1048576,BQ$93,$C440*2+6)</f>
        <v>5.45E-2</v>
      </c>
      <c r="BR440" s="1">
        <f>INDEX(Input!$1:$1048576,BR$93,$C440*2+6)</f>
        <v>5.45E-2</v>
      </c>
      <c r="BS440" s="1">
        <f>INDEX(Input!$1:$1048576,BS$93,$C440*2+6)</f>
        <v>0.05</v>
      </c>
      <c r="BT440" s="1">
        <f>INDEX(Input!$1:$1048576,BT$93,$C440*2+6)</f>
        <v>0.05</v>
      </c>
      <c r="BU440" s="1">
        <f>INDEX(Input!$1:$1048576,BU$93,$C440*2+6)</f>
        <v>0.05</v>
      </c>
      <c r="BV440" s="1">
        <f>INDEX(Input!$1:$1048576,BV$93,$C440*2+6)</f>
        <v>5.5E-2</v>
      </c>
      <c r="BW440" s="1">
        <f>INDEX(Input!$1:$1048576,BW$93,$C440*2+6)</f>
        <v>0.06</v>
      </c>
      <c r="BX440" s="127">
        <f>INDEX(Input!$1:$1048576,BX$93,$C440*2+6)</f>
        <v>19985</v>
      </c>
      <c r="BY440" s="20">
        <f>INDEX(Input!$1:$1048576,BY$93,$C440*2+6)</f>
        <v>0.1</v>
      </c>
      <c r="BZ440" s="20">
        <f>INDEX(Input!$1:$1048576,BZ$93,$C440*2+6)</f>
        <v>0.1</v>
      </c>
      <c r="CA440" s="20">
        <f>INDEX(Input!$1:$1048576,CA$93,$C440*2+6)</f>
        <v>0.1</v>
      </c>
      <c r="CB440" s="20">
        <f>INDEX(Input!$1:$1048576,CB$93,$C440*2+6)</f>
        <v>0.1</v>
      </c>
      <c r="CC440" s="20">
        <f>INDEX(Input!$1:$1048576,CC$93,$C440*2+6)</f>
        <v>0.1</v>
      </c>
      <c r="CD440" s="384">
        <f>INDEX(Input!$1:$1048576,CD$93,$C440*2+6)</f>
        <v>0.1</v>
      </c>
      <c r="CE440" s="384">
        <f>INDEX(Input!$1:$1048576,CE$93,$C440*2+6)</f>
        <v>0.1</v>
      </c>
      <c r="CF440" s="384">
        <f>INDEX(Input!$1:$1048576,CF$93,$C440*2+6)</f>
        <v>0.1</v>
      </c>
      <c r="CG440" s="384">
        <f>INDEX(Input!$1:$1048576,CG$93,$C440*2+6)</f>
        <v>0.1</v>
      </c>
      <c r="CH440" s="384">
        <f>INDEX(Input!$1:$1048576,CH$93,$C440*2+6)</f>
        <v>0.1</v>
      </c>
      <c r="CI440" s="304">
        <f t="shared" si="1214"/>
        <v>1756.832975525977</v>
      </c>
      <c r="CJ440" s="16" t="str">
        <f>INDEX(Input!$1:$1048576,CJ$93,$C440*2+6)</f>
        <v>N</v>
      </c>
      <c r="CK440" s="1" t="str">
        <f t="shared" si="1215"/>
        <v>Market</v>
      </c>
      <c r="CL440" s="1" t="str">
        <f t="shared" si="1216"/>
        <v>Market</v>
      </c>
      <c r="CM440" s="1" t="str">
        <f t="shared" si="1217"/>
        <v>Market</v>
      </c>
      <c r="CN440" s="1" t="str">
        <f t="shared" si="1218"/>
        <v>Market</v>
      </c>
      <c r="CO440" s="1" t="str">
        <f t="shared" si="1219"/>
        <v>Market</v>
      </c>
      <c r="CP440" s="304">
        <f t="shared" si="1220"/>
        <v>416</v>
      </c>
      <c r="CQ440" s="1">
        <f t="shared" si="1221"/>
        <v>0</v>
      </c>
      <c r="CR440" s="1">
        <f t="shared" si="1222"/>
        <v>0</v>
      </c>
      <c r="CS440" s="1">
        <f t="shared" si="1223"/>
        <v>0</v>
      </c>
      <c r="CT440" s="1">
        <f t="shared" si="1224"/>
        <v>1.9E-2</v>
      </c>
      <c r="CU440" s="1">
        <f t="shared" si="1225"/>
        <v>3.9E-2</v>
      </c>
      <c r="CV440" s="304">
        <f t="shared" si="1226"/>
        <v>-510</v>
      </c>
      <c r="CW440" s="20" t="s">
        <v>122</v>
      </c>
      <c r="CX440" s="20" t="s">
        <v>122</v>
      </c>
      <c r="CY440" s="20" t="s">
        <v>122</v>
      </c>
      <c r="CZ440" s="20" t="s">
        <v>122</v>
      </c>
      <c r="DA440" s="20" t="s">
        <v>122</v>
      </c>
      <c r="DB440" s="503">
        <f t="shared" si="1227"/>
        <v>0</v>
      </c>
      <c r="DC440" s="127">
        <v>0</v>
      </c>
      <c r="DD440" s="127">
        <v>0</v>
      </c>
      <c r="DE440" s="127">
        <v>0</v>
      </c>
      <c r="DF440" s="127">
        <v>0</v>
      </c>
      <c r="DG440" s="127">
        <v>0</v>
      </c>
      <c r="DH440" s="127">
        <v>0</v>
      </c>
      <c r="DI440" s="127">
        <v>0</v>
      </c>
      <c r="DJ440" s="127">
        <v>0</v>
      </c>
      <c r="DK440" s="127">
        <v>0</v>
      </c>
      <c r="DL440" s="127">
        <v>0</v>
      </c>
      <c r="DM440" s="304">
        <f>INDEX(Input!$1:$1048576,DM$93,$C440*2+6)</f>
        <v>21036.84210526316</v>
      </c>
      <c r="DN440" s="20">
        <v>0</v>
      </c>
      <c r="DO440" s="20">
        <v>0</v>
      </c>
      <c r="DP440" s="20">
        <v>0</v>
      </c>
      <c r="DQ440" s="20">
        <v>0</v>
      </c>
      <c r="DR440" s="20">
        <v>0</v>
      </c>
      <c r="DS440" s="20">
        <f>INDEX(Input!$1:$1048576,DS$93,$C440*2+6)</f>
        <v>0.6</v>
      </c>
      <c r="DT440" s="20">
        <f>INDEX(Input!$1:$1048576,DT$93,$C440*2+6)</f>
        <v>0.55000000000000004</v>
      </c>
      <c r="DU440" s="20">
        <f>INDEX(Input!$1:$1048576,DU$93,$C440*2+6)</f>
        <v>0.52</v>
      </c>
      <c r="DV440" s="20">
        <f>INDEX(Input!$1:$1048576,DV$93,$C440*2+6)</f>
        <v>0.5</v>
      </c>
      <c r="DW440" s="20">
        <f>INDEX(Input!$1:$1048576,DW$93,$C440*2+6)</f>
        <v>0.45</v>
      </c>
      <c r="DX440" s="20"/>
      <c r="DY440" s="7">
        <v>0.10887527349106833</v>
      </c>
      <c r="DZ440" s="7">
        <v>0</v>
      </c>
      <c r="EA440" s="7">
        <v>0.80887644042596474</v>
      </c>
      <c r="EB440" s="7">
        <v>0</v>
      </c>
      <c r="EC440" s="7">
        <v>0</v>
      </c>
      <c r="ED440" s="7">
        <v>0</v>
      </c>
      <c r="EE440" s="7">
        <v>0</v>
      </c>
      <c r="EF440" s="7">
        <v>0</v>
      </c>
      <c r="EG440" s="7">
        <v>0</v>
      </c>
      <c r="EH440" s="7">
        <v>1.2269866805473241E-2</v>
      </c>
      <c r="EI440" s="7">
        <v>3.2056458076651147E-2</v>
      </c>
      <c r="EJ440" s="7">
        <v>0.22502685069326772</v>
      </c>
      <c r="EK440" s="7">
        <v>0.59335339835855816</v>
      </c>
      <c r="EL440" s="7">
        <v>0.13729342606605013</v>
      </c>
      <c r="EM440" s="7">
        <v>3.354686524404684E-2</v>
      </c>
      <c r="EN440" s="7">
        <v>5.1579784538703377E-2</v>
      </c>
      <c r="EO440" s="7">
        <v>0.72420379056760964</v>
      </c>
      <c r="EP440" s="7">
        <v>9.6769857977977575E-2</v>
      </c>
      <c r="EQ440" s="7">
        <v>8.4946990244028159E-2</v>
      </c>
      <c r="ER440" s="7">
        <v>4.2499576671680882E-2</v>
      </c>
      <c r="ES440" s="7">
        <v>4.8701420838920068E-2</v>
      </c>
      <c r="ET440" s="7">
        <v>8.2248286082966929E-2</v>
      </c>
      <c r="EU440" s="6">
        <v>2270</v>
      </c>
      <c r="EV440" s="6">
        <v>0</v>
      </c>
      <c r="EW440" s="6">
        <v>2270</v>
      </c>
      <c r="EX440" s="6">
        <v>0</v>
      </c>
      <c r="EY440" s="6">
        <v>2483.3788557745361</v>
      </c>
      <c r="EZ440" s="6">
        <v>867</v>
      </c>
      <c r="FA440" s="6">
        <v>0</v>
      </c>
      <c r="FB440" s="6">
        <v>0</v>
      </c>
      <c r="FC440" s="6">
        <v>0</v>
      </c>
      <c r="FD440" s="6">
        <v>0</v>
      </c>
      <c r="FE440" s="6">
        <v>0</v>
      </c>
      <c r="FF440" s="6">
        <v>0</v>
      </c>
      <c r="FG440" s="6">
        <v>0</v>
      </c>
      <c r="FH440" s="6">
        <v>1169.8022316888826</v>
      </c>
      <c r="FI440" s="6">
        <v>1553.9796069512408</v>
      </c>
      <c r="FJ440" s="6">
        <v>2101.211011744741</v>
      </c>
      <c r="FK440" s="6">
        <v>1772.7139978623238</v>
      </c>
      <c r="FL440" s="6">
        <v>907.0768214096629</v>
      </c>
      <c r="FM440" s="6">
        <v>1713.3788557745361</v>
      </c>
      <c r="FN440" s="6">
        <v>0</v>
      </c>
      <c r="FO440" s="6">
        <v>0</v>
      </c>
      <c r="FP440" s="6">
        <v>0</v>
      </c>
      <c r="FQ440" s="6">
        <v>0</v>
      </c>
      <c r="FR440" s="6">
        <v>0</v>
      </c>
      <c r="FS440" s="6">
        <v>0</v>
      </c>
      <c r="FT440" s="7">
        <v>0.91775171391703303</v>
      </c>
      <c r="FU440" s="7">
        <v>3.354686524404684E-2</v>
      </c>
      <c r="FV440" s="7">
        <v>4.8701420838920068E-2</v>
      </c>
      <c r="FW440" s="6">
        <v>2270</v>
      </c>
      <c r="FX440" s="6">
        <v>2483.3788557745361</v>
      </c>
      <c r="FY440" s="6">
        <v>867</v>
      </c>
      <c r="FZ440" s="6">
        <v>1949.5716051445115</v>
      </c>
      <c r="GA440" s="6">
        <v>2208.8300982835922</v>
      </c>
      <c r="GB440" s="6">
        <v>17776.169901716406</v>
      </c>
      <c r="GC440" s="7">
        <v>3.3872851927908169E-2</v>
      </c>
      <c r="GD440" s="7">
        <v>3.547345046459062E-2</v>
      </c>
      <c r="GE440" s="7"/>
      <c r="GF440" s="7"/>
      <c r="GG440" s="7">
        <v>4.7253137707123548E-2</v>
      </c>
      <c r="GH440" s="42">
        <v>3.6425188839243163</v>
      </c>
      <c r="GI440" s="6">
        <v>7695.4179889327443</v>
      </c>
      <c r="GJ440" s="14">
        <v>0.50394797582841755</v>
      </c>
      <c r="GK440" s="14">
        <v>0.50887573065309766</v>
      </c>
      <c r="GL440" s="14">
        <v>0.49605202417158301</v>
      </c>
      <c r="GM440" s="14">
        <v>0.49112426934690273</v>
      </c>
      <c r="GO440" s="5">
        <v>343.14810671672558</v>
      </c>
      <c r="GP440" s="5">
        <v>299.84083725090579</v>
      </c>
      <c r="GQ440" s="5">
        <v>535.04305713031317</v>
      </c>
      <c r="GR440" s="5">
        <v>410.15490233172511</v>
      </c>
      <c r="GS440" s="5">
        <v>339.42744393800166</v>
      </c>
      <c r="GT440" s="5">
        <v>293.4407446948278</v>
      </c>
      <c r="GU440" s="5">
        <v>258.04012322764959</v>
      </c>
      <c r="GV440" s="39" t="s">
        <v>392</v>
      </c>
      <c r="GW440" s="5">
        <v>478.23611111111109</v>
      </c>
      <c r="GX440" s="5">
        <v>358.67708333333331</v>
      </c>
      <c r="GY440" s="5">
        <v>286.94166666666666</v>
      </c>
      <c r="GZ440" s="5">
        <v>253.19574071601335</v>
      </c>
      <c r="HA440" s="5">
        <v>234.53733318419432</v>
      </c>
      <c r="HB440" s="39">
        <v>264.37037706952037</v>
      </c>
      <c r="HC440" s="5">
        <v>249.35312499999998</v>
      </c>
      <c r="HD440" s="5">
        <v>213.91580774853799</v>
      </c>
      <c r="HE440" s="5">
        <v>216.92584767206475</v>
      </c>
      <c r="HF440" s="5">
        <v>200.85938048245612</v>
      </c>
      <c r="HG440" s="5">
        <v>194.01388157894735</v>
      </c>
      <c r="HH440" s="39">
        <v>214.08001043615334</v>
      </c>
      <c r="HI440" s="16"/>
      <c r="HJ440" s="19" t="str">
        <f t="shared" si="1232"/>
        <v>On</v>
      </c>
      <c r="HK440" s="1" t="str">
        <f t="shared" si="1232"/>
        <v>On</v>
      </c>
      <c r="HL440" s="16"/>
      <c r="HM440" s="639">
        <f t="shared" si="1110"/>
        <v>2.9403358434788716E-2</v>
      </c>
      <c r="HN440" s="639">
        <f t="shared" si="1111"/>
        <v>1.4106809950923669E-3</v>
      </c>
      <c r="HO440" s="639">
        <f t="shared" si="1112"/>
        <v>1.7317923025048877E-3</v>
      </c>
      <c r="HP440" s="644">
        <f>(FT440*$GD440-HM440)/$JF440*INDEX(Input!$1:$1048576,$JG$93,$C440*2+6)</f>
        <v>225.59211140295508</v>
      </c>
      <c r="HQ440" s="644">
        <f>(FU440*$GD440-HN440)/$JF440*INDEX(Input!$1:$1048576,$JG$93,$C440*2+6)</f>
        <v>-15.790419162949815</v>
      </c>
      <c r="HR440" s="644">
        <f>(FV440*$GD440-HO440)/$JF440*INDEX(Input!$1:$1048576,$JG$93,$C440*2+6)</f>
        <v>-0.2994713912541494</v>
      </c>
      <c r="HS440" s="644">
        <f t="shared" si="1233"/>
        <v>-102.1942348983585</v>
      </c>
      <c r="HT440" s="644">
        <f t="shared" si="1114"/>
        <v>40.557663230823294</v>
      </c>
      <c r="HU440" s="644">
        <f t="shared" si="1115"/>
        <v>15.576898900775772</v>
      </c>
      <c r="HV440" s="648">
        <f t="shared" si="1116"/>
        <v>0</v>
      </c>
      <c r="HW440" s="648">
        <f t="shared" si="1117"/>
        <v>0</v>
      </c>
      <c r="HX440" s="648">
        <f t="shared" si="1118"/>
        <v>0</v>
      </c>
      <c r="HY440" s="644">
        <f>INDEX(Input!$1:$1048576,HY$93,$C440*2+6)*INDEX(Input!$1:$1048576,$JG$93,$C440*2+6)</f>
        <v>993</v>
      </c>
      <c r="HZ440" s="644">
        <f>INDEX(Input!$1:$1048576,HZ$93,$C440*2+6)*INDEX(Input!$1:$1048576,$JG$93,$C440*2+6)</f>
        <v>1216</v>
      </c>
      <c r="IA440" s="644">
        <f>INDEX(Input!$1:$1048576,IA$93,$C440*2+6)*INDEX(Input!$1:$1048576,$JG$93,$C440*2+6)</f>
        <v>120</v>
      </c>
      <c r="IB440" s="644">
        <f t="shared" si="1142"/>
        <v>1116.3978765045968</v>
      </c>
      <c r="IC440" s="644">
        <f t="shared" si="1143"/>
        <v>1240.7672440678734</v>
      </c>
      <c r="ID440" s="644">
        <f>IF(AND(INDEX(Input!$1:$1048576,IA$93,$C440*2+7)="TOS",Y440&lt;=INDEX(Y:Y,MATCH(C440*1000+2,A:A))),0,1)*MAX(IA440+HR440+HU440+HX440,0%)</f>
        <v>135.27742750952163</v>
      </c>
      <c r="IE440" s="128">
        <f t="shared" si="1234"/>
        <v>0.44791318354106013</v>
      </c>
      <c r="IF440" s="128">
        <f t="shared" si="1210"/>
        <v>0.49781177304274493</v>
      </c>
      <c r="IG440" s="128">
        <f t="shared" si="1120"/>
        <v>5.4275043416194928E-2</v>
      </c>
      <c r="IH440" s="21"/>
      <c r="II440" s="19">
        <f t="shared" si="1121"/>
        <v>1490</v>
      </c>
      <c r="IJ440" s="19">
        <f t="shared" si="1122"/>
        <v>2203.2561351629856</v>
      </c>
      <c r="IK440" s="19">
        <f t="shared" si="1123"/>
        <v>242</v>
      </c>
      <c r="IL440" s="19">
        <f t="shared" si="1145"/>
        <v>780</v>
      </c>
      <c r="IM440" s="19">
        <f t="shared" si="1124"/>
        <v>280.12272061155045</v>
      </c>
      <c r="IN440" s="19">
        <f t="shared" si="1125"/>
        <v>625</v>
      </c>
      <c r="IO440" s="39">
        <f t="shared" si="1126"/>
        <v>0</v>
      </c>
      <c r="IP440" s="39">
        <f t="shared" si="1127"/>
        <v>0</v>
      </c>
      <c r="IQ440" s="39">
        <f t="shared" si="1128"/>
        <v>0</v>
      </c>
      <c r="IR440" s="39">
        <v>0</v>
      </c>
      <c r="IS440" s="39">
        <v>0</v>
      </c>
      <c r="IT440" s="39">
        <v>0</v>
      </c>
      <c r="IU440" s="39">
        <v>0</v>
      </c>
      <c r="IV440" s="39">
        <v>0</v>
      </c>
      <c r="IW440" s="39">
        <v>0</v>
      </c>
      <c r="IX440" s="39">
        <f>INDEX(Input!$1:$1048576,IX$93,$C440*2+6)+INDEX(Input!$1:$1048576,IX$94,$C440*2+6)</f>
        <v>1770</v>
      </c>
      <c r="IY440" s="39">
        <f>INDEX(Input!$1:$1048576,IY$93,$C440*2+6)+INDEX(Input!$1:$1048576,IY$94,$C440*2+6)</f>
        <v>2630.0624533823611</v>
      </c>
      <c r="IZ440" s="39">
        <f>INDEX(Input!$1:$1048576,IZ$93,$C440*2+6)+INDEX(Input!$1:$1048576,IZ$94,$C440*2+6)</f>
        <v>4153.7164157747848</v>
      </c>
      <c r="JA440" s="19">
        <f t="shared" si="1146"/>
        <v>2550</v>
      </c>
      <c r="JB440" s="19">
        <f t="shared" si="1147"/>
        <v>2910.1851739939116</v>
      </c>
      <c r="JC440" s="19">
        <f t="shared" si="1148"/>
        <v>4778.7164157747848</v>
      </c>
      <c r="JD440" s="19">
        <f t="shared" si="1149"/>
        <v>2850.2681003181815</v>
      </c>
      <c r="JE440" s="21"/>
      <c r="JF440" s="1">
        <f t="shared" si="1129"/>
        <v>3.2545831732385969E-2</v>
      </c>
      <c r="JG440" s="15">
        <f>INDEX(Input!$1:$1048576,JG$93,$C440*2+6)/(1+VLOOKUP(C440*1000+INDEX(Input!$1:$1048576,JG$93+1,$C440*2+6),$A:$KK,$JK$92,FALSE))</f>
        <v>2329</v>
      </c>
      <c r="JH440" s="1">
        <f t="shared" si="1150"/>
        <v>8.9953722992164503E-2</v>
      </c>
      <c r="JI440" s="1">
        <f t="shared" si="1151"/>
        <v>-1.9776587705779062E-2</v>
      </c>
      <c r="JJ440" s="1">
        <f t="shared" si="1211"/>
        <v>0</v>
      </c>
      <c r="JK440" s="1">
        <f t="shared" si="1212"/>
        <v>7.0177135286385445E-2</v>
      </c>
      <c r="JL440" s="15">
        <f t="shared" si="1154"/>
        <v>163.4425480819917</v>
      </c>
      <c r="JM440" s="15">
        <f t="shared" si="1180"/>
        <v>2492.4425480819918</v>
      </c>
      <c r="JN440" s="21"/>
      <c r="JO440" s="19">
        <f>INDEX(Input!$1:$1048576,JO$93,$C440*2+6)</f>
        <v>5995.5</v>
      </c>
      <c r="JP440" s="19">
        <f>INDEX(Input!$1:$1048576,JP$93,$C440*2+6)</f>
        <v>2341.8685758720158</v>
      </c>
      <c r="JQ440" s="39">
        <f t="shared" si="1166"/>
        <v>3145.2318996818185</v>
      </c>
      <c r="JR440" s="39">
        <f t="shared" si="1183"/>
        <v>508.39952444616574</v>
      </c>
      <c r="JS440" s="39">
        <f t="shared" si="1168"/>
        <v>7.104129486673866</v>
      </c>
      <c r="JT440" s="39">
        <f t="shared" si="1156"/>
        <v>1.6499175734679419</v>
      </c>
      <c r="JU440" s="385">
        <f>(JQ440*JM440-INDEX(Input!$1:$1048576,Input!A$18,$C440*2+6)*JL440*INDEX(Input!$1:$1048576,Input!A$19,$C440*2+6))/1000000</f>
        <v>7.8393098103517156</v>
      </c>
      <c r="JV440" s="39">
        <f t="shared" si="1190"/>
        <v>-0.66999777644235881</v>
      </c>
      <c r="JW440" s="1">
        <f t="shared" si="1181"/>
        <v>-7.8737049943071097E-2</v>
      </c>
      <c r="JX440" s="19">
        <f t="shared" si="1172"/>
        <v>10094.786166942607</v>
      </c>
      <c r="JZ440" s="341"/>
      <c r="KA440" s="342"/>
      <c r="KB440" s="469">
        <f t="shared" si="1169"/>
        <v>2.3434325605641804</v>
      </c>
      <c r="KI440" s="473">
        <f t="shared" si="1235"/>
        <v>123.39787650459675</v>
      </c>
      <c r="KJ440" s="473">
        <f t="shared" si="1236"/>
        <v>24.767244067873435</v>
      </c>
      <c r="KK440" s="473">
        <f t="shared" si="1158"/>
        <v>15.27742750952163</v>
      </c>
      <c r="KN440" s="544">
        <f t="shared" si="1173"/>
        <v>4002</v>
      </c>
      <c r="KO440" s="541">
        <f t="shared" si="1133"/>
        <v>3.0526092647504166E-2</v>
      </c>
      <c r="KP440" s="546">
        <f t="shared" si="1134"/>
        <v>243.53331172035456</v>
      </c>
      <c r="KQ440" s="546">
        <f t="shared" si="1135"/>
        <v>225.49691228216034</v>
      </c>
      <c r="KR440" s="548">
        <f t="shared" si="1136"/>
        <v>2.1760470851084439</v>
      </c>
      <c r="KS440" s="548">
        <f t="shared" si="1137"/>
        <v>2.3500984901858835</v>
      </c>
      <c r="KT440" s="473">
        <f t="shared" si="1171"/>
        <v>1580.0986321700548</v>
      </c>
      <c r="KU440" s="663">
        <f t="shared" si="1159"/>
        <v>4.048527693184238</v>
      </c>
      <c r="KV440" s="117"/>
    </row>
    <row r="441" spans="1:308" s="26" customFormat="1" ht="15">
      <c r="A441" s="561">
        <f t="shared" si="1138"/>
        <v>4041</v>
      </c>
      <c r="B441" s="561">
        <f t="shared" si="1160"/>
        <v>41</v>
      </c>
      <c r="C441" s="561">
        <f t="shared" si="1161"/>
        <v>4</v>
      </c>
      <c r="D441" s="561" t="str">
        <f t="shared" si="1206"/>
        <v xml:space="preserve">750 CC, 360 Lease, </v>
      </c>
      <c r="E441" s="475">
        <f>INDEX(Input!$1:$1048576,E$93,$C441*2+MIN($B441,2)+5)
+INDEX(Scenarios!E$121:E$200,MATCH($B441,Scenarios!$B$121:$B$200,0))</f>
        <v>2006.832975525977</v>
      </c>
      <c r="F441" s="475">
        <f>INDEX(Input!$1:$1048576,F$93,$C441*2+MIN($B441,2)+5)
+INDEX(Scenarios!F$121:F$200,MATCH($B441,Scenarios!$B$121:$B$200,0))</f>
        <v>0</v>
      </c>
      <c r="G441" s="475">
        <f>INDEX(Input!$1:$1048576,G$93,$C441*2+MIN($B441,2)+5)
+INDEX(Scenarios!G$121:G$200,MATCH($B441,Scenarios!$B$121:$B$200,0))</f>
        <v>0</v>
      </c>
      <c r="H441" s="475">
        <f>INDEX(Input!$1:$1048576,H$93,$C441*2+MIN($B441,2)+5)
+INDEX(Scenarios!H$121:H$200,MATCH($B441,Scenarios!$B$121:$B$200,0))</f>
        <v>0</v>
      </c>
      <c r="I441" s="476">
        <f>INDEX(Input!$1:$1048576,I$93,$C441*2+MIN($B441,2)+5)</f>
        <v>0.7</v>
      </c>
      <c r="J441" s="476" t="str">
        <f>INDEX(Input!$1:$1048576,J$93,$C441*2+MIN($B441,2)+5)</f>
        <v>Market</v>
      </c>
      <c r="K441" s="476" t="str">
        <f>INDEX(Input!$1:$1048576,K$93,$C441*2+MIN($B441,2)+5)</f>
        <v>Market</v>
      </c>
      <c r="L441" s="476" t="str">
        <f>INDEX(Input!$1:$1048576,L$93,$C441*2+MIN($B441,2)+5)</f>
        <v>Market</v>
      </c>
      <c r="M441" s="476" t="str">
        <f>INDEX(Input!$1:$1048576,M$93,$C441*2+MIN($B441,2)+5)</f>
        <v>Market</v>
      </c>
      <c r="N441" s="476" t="str">
        <f>INDEX(Input!$1:$1048576,N$93,$C441*2+MIN($B441,2)+5)</f>
        <v>Market</v>
      </c>
      <c r="O441" s="476" t="str">
        <f>INDEX(Input!$1:$1048576,O$93,$C441*2+MIN($B441,2)+5)</f>
        <v>Market</v>
      </c>
      <c r="P441" s="476" t="str">
        <f>INDEX(Input!$1:$1048576,P$93,$C441*2+MIN($B441,2)+5)</f>
        <v>N</v>
      </c>
      <c r="Q441" s="477">
        <f>INDEX(Input!$1:$1048576,Q$93,$C441*2+MIN($B441,2)+5)
+INDEX(Scenarios!Q$121:Q$200,MATCH($B441,Scenarios!$B$121:$B$200,0))</f>
        <v>0</v>
      </c>
      <c r="R441" s="478">
        <f>IFERROR(MAX(0,INDEX(Input!$1:$1048576,R$93,$C441*2+MIN($B441,2)+5)
+INDEX(Scenarios!R$121:R$200,MATCH($B441,Scenarios!$B$121:$B$200,0)),),"Market")</f>
        <v>0</v>
      </c>
      <c r="S441" s="478">
        <f>IFERROR(MAX(0,INDEX(Input!$1:$1048576,S$93,$C441*2+MIN($B441,2)+5)
+INDEX(Scenarios!S$121:S$200,MATCH($B441,Scenarios!$B$121:$B$200,0)),),"Market")</f>
        <v>0</v>
      </c>
      <c r="T441" s="478">
        <f>IFERROR(MAX(0,INDEX(Input!$1:$1048576,T$93,$C441*2+MIN($B441,2)+5)
+INDEX(Scenarios!T$121:T$200,MATCH($B441,Scenarios!$B$121:$B$200,0)),),"Market")</f>
        <v>0</v>
      </c>
      <c r="U441" s="478">
        <f>IFERROR(MAX(0,INDEX(Input!$1:$1048576,U$93,$C441*2+MIN($B441,2)+5)
+INDEX(Scenarios!U$121:U$200,MATCH($B441,Scenarios!$B$121:$B$200,0)),),"Market")</f>
        <v>0</v>
      </c>
      <c r="V441" s="478">
        <f>IFERROR(MAX(0,INDEX(Input!$1:$1048576,V$93,$C441*2+MIN($B441,2)+5)
+INDEX(Scenarios!V$121:V$200,MATCH($B441,Scenarios!$B$121:$B$200,0)),),"Market")</f>
        <v>1.9E-2</v>
      </c>
      <c r="W441" s="885">
        <f>IFERROR(MAX(0,INDEX(Input!$1:$1048576,W$93,$C441*2+MIN($B441,2)+5)-0%,),"Market")</f>
        <v>3.9E-2</v>
      </c>
      <c r="X441" s="476" t="str">
        <f>INDEX(Input!$1:$1048576,X$93,$C441*2+MIN($B441,2)+5)</f>
        <v>Y</v>
      </c>
      <c r="Y441" s="475">
        <f>INDEX(Input!$1:$1048576,Y$93,$C441*2+MIN($B441,2)+5)
++INDEX(Scenarios!Y$121:Y$200,MATCH($B441,Scenarios!$B$121:$B$200,0))</f>
        <v>-510</v>
      </c>
      <c r="Z441" s="477">
        <f>INDEX(Input!$1:$1048576,Z$93,$C441*2+MIN($B441,2)+5)
+INDEX(Scenarios!Z$121:Z$200,MATCH($B441,Scenarios!$B$121:$B$200,0))</f>
        <v>0</v>
      </c>
      <c r="AA441" s="475">
        <f>INDEX(Input!$1:$1048576,AA$93,$C441*2+MIN($B441,2)+5)
+INDEX(Scenarios!AA$121:AA$200,MATCH($B441,Scenarios!$B$121:$B$200,0))</f>
        <v>0</v>
      </c>
      <c r="AB441" s="476">
        <f>INDEX(Input!$1:$1048576,AB$93,$C441*2+MIN($B441,2)+5)</f>
        <v>0.27</v>
      </c>
      <c r="AC441" s="475">
        <f>INDEX(Input!$1:$1048576,AC$93,$C441*2+MIN($B441,2)+5)
+INDEX(Scenarios!AC$121:AC$200,MATCH($B441,Scenarios!$B$121:$B$200,0))</f>
        <v>0</v>
      </c>
      <c r="AD441" s="476">
        <f>INDEX(Input!$1:$1048576,AD$93,$C441*2+MIN($B441,2)+5)</f>
        <v>0.27</v>
      </c>
      <c r="AE441" s="475">
        <f>INDEX(Input!$1:$1048576,AE$93,$C441*2+MIN($B441,2)+5)
+INDEX(Scenarios!AE$121:AE$200,MATCH($B441,Scenarios!$B$121:$B$200,0))</f>
        <v>0</v>
      </c>
      <c r="AF441" s="476">
        <f>INDEX(Input!$1:$1048576,AF$93,$C441*2+MIN($B441,2)+5)</f>
        <v>1</v>
      </c>
      <c r="AG441" s="475">
        <f>INDEX(Input!$1:$1048576,AG$93,$C441*2+MIN($B441,2)+5)
+INDEX(Scenarios!AG$121:AG$200,MATCH($B441,Scenarios!$B$121:$B$200,0))</f>
        <v>500</v>
      </c>
      <c r="AH441" s="476">
        <f>INDEX(Input!$1:$1048576,AH$93,$C441*2+MIN($B441,2)+5)</f>
        <v>0.83199999999999996</v>
      </c>
      <c r="AI441" s="475">
        <f>INDEX(Input!$1:$1048576,AI$93,$C441*2+MIN($B441,2)+5)
+INDEX(Scenarios!AI$121:AI$200,MATCH($B441,Scenarios!$B$121:$B$200,0))</f>
        <v>0</v>
      </c>
      <c r="AJ441" s="476">
        <f>INDEX(Input!$1:$1048576,AJ$93,$C441*2+MIN($B441,2)+5)</f>
        <v>0.27</v>
      </c>
      <c r="AK441" s="150">
        <f>ROUND(INDEX(Input!$1:$1048576,AK$93,$C440*2+MIN($B441,1)+5)+(Y441-VLOOKUP($C441*1000+1,$A:$HH,Y$92,FALSE)),0)</f>
        <v>2947</v>
      </c>
      <c r="AL441" s="150">
        <f>ROUND(INDEX(Input!$1:$1048576,AL$93,$C440*2+MIN($B441,1)+5)-(Y441-VLOOKUP($C441*1000+1,$A:$HH,Y$92,FALSE))/36,0)</f>
        <v>3396</v>
      </c>
      <c r="AM441" s="32" t="str">
        <f t="shared" si="1139"/>
        <v>std/std/std/std</v>
      </c>
      <c r="AN441" s="32" t="str">
        <f t="shared" si="1140"/>
        <v>$0 + 0/0/0/1.9/3.9</v>
      </c>
      <c r="AO441" s="32" t="str">
        <f t="shared" si="1141"/>
        <v>0/0/0/1.9/3.9</v>
      </c>
      <c r="AP441" s="32" t="str">
        <f t="shared" si="1213"/>
        <v>0/0.9/1.9/3.9</v>
      </c>
      <c r="AQ441" s="536">
        <f t="shared" si="1207"/>
        <v>0.46322654650096451</v>
      </c>
      <c r="AR441" s="32"/>
      <c r="AS441" s="302"/>
      <c r="AT441" s="3">
        <f t="shared" si="1162"/>
        <v>41</v>
      </c>
      <c r="AU441" s="41" t="s">
        <v>121</v>
      </c>
      <c r="AV441" s="41" t="s">
        <v>116</v>
      </c>
      <c r="AW441" s="41" t="str">
        <f>INDEX(Input!$1:$1048576,AW$93,$C441*2+6)</f>
        <v>Kia</v>
      </c>
      <c r="AX441" s="41" t="str">
        <f>INDEX(Input!$1:$1048576,AX$93,$C441*2+6)</f>
        <v>Kia-LR - R1</v>
      </c>
      <c r="AY441" s="41" t="str">
        <f>IF(LEN(D441)=0,"",INDEX(Input!$1:$1048576,AY$93,$C441*2+6))</f>
        <v>Compact SUV (52)</v>
      </c>
      <c r="AZ441" s="41" t="str">
        <f>INDEX(Input!$1:$1048576,AZ$93,$C441*2+6)</f>
        <v>Kia Soul</v>
      </c>
      <c r="BA441" s="3">
        <f>INDEX(Input!$1:$1048576,BA$93,$C441*2+6)</f>
        <v>2020</v>
      </c>
      <c r="BB441" s="128">
        <f>INDEX(Input!$1:$1048576,BB$93,$C441*2+6)</f>
        <v>1</v>
      </c>
      <c r="BC441" s="128">
        <f>INDEX(Input!$1:$1048576,BC$93,$C441*2+6)</f>
        <v>0.7</v>
      </c>
      <c r="BD441" s="1">
        <f>INDEX(Input!$1:$1048576,BD$93,$C441*2+6)</f>
        <v>4.4999999999999998E-2</v>
      </c>
      <c r="BE441" s="1">
        <f>INDEX(Input!$1:$1048576,BE$93,$C441*2+6)</f>
        <v>4.4999999999999998E-2</v>
      </c>
      <c r="BF441" s="1">
        <f>INDEX(Input!$1:$1048576,BF$93,$C441*2+6)</f>
        <v>0.05</v>
      </c>
      <c r="BG441" s="1">
        <f>INDEX(Input!$1:$1048576,BG$93,$C441*2+6)</f>
        <v>5.45E-2</v>
      </c>
      <c r="BH441" s="1">
        <f>INDEX(Input!$1:$1048576,BH$93,$C441*2+6)</f>
        <v>5.45E-2</v>
      </c>
      <c r="BI441" s="1">
        <f>INDEX(Input!$1:$1048576,BI$93,$C441*2+6)</f>
        <v>0.05</v>
      </c>
      <c r="BJ441" s="1">
        <f>INDEX(Input!$1:$1048576,BJ$93,$C441*2+6)</f>
        <v>0.05</v>
      </c>
      <c r="BK441" s="1">
        <f>INDEX(Input!$1:$1048576,BK$93,$C441*2+6)</f>
        <v>0.05</v>
      </c>
      <c r="BL441" s="1">
        <f>INDEX(Input!$1:$1048576,BL$93,$C441*2+6)</f>
        <v>5.5E-2</v>
      </c>
      <c r="BM441" s="1">
        <f>INDEX(Input!$1:$1048576,BM$93,$C441*2+6)</f>
        <v>0.06</v>
      </c>
      <c r="BN441" s="1">
        <f>INDEX(Input!$1:$1048576,BN$93,$C441*2+6)</f>
        <v>4.4999999999999998E-2</v>
      </c>
      <c r="BO441" s="1">
        <f>INDEX(Input!$1:$1048576,BO$93,$C441*2+6)</f>
        <v>4.4999999999999998E-2</v>
      </c>
      <c r="BP441" s="1">
        <f>INDEX(Input!$1:$1048576,BP$93,$C441*2+6)</f>
        <v>0.05</v>
      </c>
      <c r="BQ441" s="1">
        <f>INDEX(Input!$1:$1048576,BQ$93,$C441*2+6)</f>
        <v>5.45E-2</v>
      </c>
      <c r="BR441" s="1">
        <f>INDEX(Input!$1:$1048576,BR$93,$C441*2+6)</f>
        <v>5.45E-2</v>
      </c>
      <c r="BS441" s="1">
        <f>INDEX(Input!$1:$1048576,BS$93,$C441*2+6)</f>
        <v>0.05</v>
      </c>
      <c r="BT441" s="1">
        <f>INDEX(Input!$1:$1048576,BT$93,$C441*2+6)</f>
        <v>0.05</v>
      </c>
      <c r="BU441" s="1">
        <f>INDEX(Input!$1:$1048576,BU$93,$C441*2+6)</f>
        <v>0.05</v>
      </c>
      <c r="BV441" s="1">
        <f>INDEX(Input!$1:$1048576,BV$93,$C441*2+6)</f>
        <v>5.5E-2</v>
      </c>
      <c r="BW441" s="1">
        <f>INDEX(Input!$1:$1048576,BW$93,$C441*2+6)</f>
        <v>0.06</v>
      </c>
      <c r="BX441" s="127">
        <f>INDEX(Input!$1:$1048576,BX$93,$C441*2+6)</f>
        <v>19985</v>
      </c>
      <c r="BY441" s="20">
        <f>INDEX(Input!$1:$1048576,BY$93,$C441*2+6)</f>
        <v>0.1</v>
      </c>
      <c r="BZ441" s="20">
        <f>INDEX(Input!$1:$1048576,BZ$93,$C441*2+6)</f>
        <v>0.1</v>
      </c>
      <c r="CA441" s="20">
        <f>INDEX(Input!$1:$1048576,CA$93,$C441*2+6)</f>
        <v>0.1</v>
      </c>
      <c r="CB441" s="20">
        <f>INDEX(Input!$1:$1048576,CB$93,$C441*2+6)</f>
        <v>0.1</v>
      </c>
      <c r="CC441" s="20">
        <f>INDEX(Input!$1:$1048576,CC$93,$C441*2+6)</f>
        <v>0.1</v>
      </c>
      <c r="CD441" s="384">
        <f>INDEX(Input!$1:$1048576,CD$93,$C441*2+6)</f>
        <v>0.1</v>
      </c>
      <c r="CE441" s="384">
        <f>INDEX(Input!$1:$1048576,CE$93,$C441*2+6)</f>
        <v>0.1</v>
      </c>
      <c r="CF441" s="384">
        <f>INDEX(Input!$1:$1048576,CF$93,$C441*2+6)</f>
        <v>0.1</v>
      </c>
      <c r="CG441" s="384">
        <f>INDEX(Input!$1:$1048576,CG$93,$C441*2+6)</f>
        <v>0.1</v>
      </c>
      <c r="CH441" s="384">
        <f>INDEX(Input!$1:$1048576,CH$93,$C441*2+6)</f>
        <v>0.1</v>
      </c>
      <c r="CI441" s="304">
        <f t="shared" si="1214"/>
        <v>2006.832975525977</v>
      </c>
      <c r="CJ441" s="16" t="str">
        <f>INDEX(Input!$1:$1048576,CJ$93,$C441*2+6)</f>
        <v>N</v>
      </c>
      <c r="CK441" s="1" t="str">
        <f t="shared" si="1215"/>
        <v>Market</v>
      </c>
      <c r="CL441" s="1" t="str">
        <f t="shared" si="1216"/>
        <v>Market</v>
      </c>
      <c r="CM441" s="1" t="str">
        <f t="shared" si="1217"/>
        <v>Market</v>
      </c>
      <c r="CN441" s="1" t="str">
        <f t="shared" si="1218"/>
        <v>Market</v>
      </c>
      <c r="CO441" s="1" t="str">
        <f t="shared" si="1219"/>
        <v>Market</v>
      </c>
      <c r="CP441" s="304">
        <f t="shared" si="1220"/>
        <v>416</v>
      </c>
      <c r="CQ441" s="1">
        <f t="shared" si="1221"/>
        <v>0</v>
      </c>
      <c r="CR441" s="1">
        <f t="shared" si="1222"/>
        <v>0</v>
      </c>
      <c r="CS441" s="1">
        <f t="shared" si="1223"/>
        <v>0</v>
      </c>
      <c r="CT441" s="1">
        <f t="shared" si="1224"/>
        <v>1.9E-2</v>
      </c>
      <c r="CU441" s="1">
        <f t="shared" si="1225"/>
        <v>3.9E-2</v>
      </c>
      <c r="CV441" s="304">
        <f t="shared" si="1226"/>
        <v>-510</v>
      </c>
      <c r="CW441" s="20" t="s">
        <v>122</v>
      </c>
      <c r="CX441" s="20" t="s">
        <v>122</v>
      </c>
      <c r="CY441" s="20" t="s">
        <v>122</v>
      </c>
      <c r="CZ441" s="20" t="s">
        <v>122</v>
      </c>
      <c r="DA441" s="20" t="s">
        <v>122</v>
      </c>
      <c r="DB441" s="503">
        <f t="shared" si="1227"/>
        <v>0</v>
      </c>
      <c r="DC441" s="127">
        <v>0</v>
      </c>
      <c r="DD441" s="127">
        <v>0</v>
      </c>
      <c r="DE441" s="127">
        <v>0</v>
      </c>
      <c r="DF441" s="127">
        <v>0</v>
      </c>
      <c r="DG441" s="127">
        <v>0</v>
      </c>
      <c r="DH441" s="127">
        <v>0</v>
      </c>
      <c r="DI441" s="127">
        <v>0</v>
      </c>
      <c r="DJ441" s="127">
        <v>0</v>
      </c>
      <c r="DK441" s="127">
        <v>0</v>
      </c>
      <c r="DL441" s="127">
        <v>0</v>
      </c>
      <c r="DM441" s="304">
        <f>INDEX(Input!$1:$1048576,DM$93,$C441*2+6)</f>
        <v>21036.84210526316</v>
      </c>
      <c r="DN441" s="20">
        <v>0</v>
      </c>
      <c r="DO441" s="20">
        <v>0</v>
      </c>
      <c r="DP441" s="20">
        <v>0</v>
      </c>
      <c r="DQ441" s="20">
        <v>0</v>
      </c>
      <c r="DR441" s="20">
        <v>0</v>
      </c>
      <c r="DS441" s="20">
        <f>INDEX(Input!$1:$1048576,DS$93,$C441*2+6)</f>
        <v>0.6</v>
      </c>
      <c r="DT441" s="20">
        <f>INDEX(Input!$1:$1048576,DT$93,$C441*2+6)</f>
        <v>0.55000000000000004</v>
      </c>
      <c r="DU441" s="20">
        <f>INDEX(Input!$1:$1048576,DU$93,$C441*2+6)</f>
        <v>0.52</v>
      </c>
      <c r="DV441" s="20">
        <f>INDEX(Input!$1:$1048576,DV$93,$C441*2+6)</f>
        <v>0.5</v>
      </c>
      <c r="DW441" s="20">
        <f>INDEX(Input!$1:$1048576,DW$93,$C441*2+6)</f>
        <v>0.45</v>
      </c>
      <c r="DX441" s="20"/>
      <c r="DY441" s="7">
        <v>0.11235527202584877</v>
      </c>
      <c r="DZ441" s="7">
        <v>0</v>
      </c>
      <c r="EA441" s="7">
        <v>0.81492972391391649</v>
      </c>
      <c r="EB441" s="7">
        <v>0</v>
      </c>
      <c r="EC441" s="7">
        <v>0</v>
      </c>
      <c r="ED441" s="7">
        <v>0</v>
      </c>
      <c r="EE441" s="7">
        <v>0</v>
      </c>
      <c r="EF441" s="7">
        <v>0</v>
      </c>
      <c r="EG441" s="7">
        <v>0</v>
      </c>
      <c r="EH441" s="7">
        <v>1.2278042121687821E-2</v>
      </c>
      <c r="EI441" s="7">
        <v>3.208616805051228E-2</v>
      </c>
      <c r="EJ441" s="7">
        <v>0.22517878501184635</v>
      </c>
      <c r="EK441" s="7">
        <v>0.59319467579013962</v>
      </c>
      <c r="EL441" s="7">
        <v>0.1372623290258134</v>
      </c>
      <c r="EM441" s="7">
        <v>2.9631563800462959E-2</v>
      </c>
      <c r="EN441" s="7">
        <v>5.1565515653397336E-2</v>
      </c>
      <c r="EO441" s="7">
        <v>0.72421502347058408</v>
      </c>
      <c r="EP441" s="7">
        <v>9.6777282394641964E-2</v>
      </c>
      <c r="EQ441" s="7">
        <v>8.4922459115202659E-2</v>
      </c>
      <c r="ER441" s="7">
        <v>4.2519719366174193E-2</v>
      </c>
      <c r="ES441" s="7">
        <v>4.3083440259771753E-2</v>
      </c>
      <c r="ET441" s="7">
        <v>7.2715004060234747E-2</v>
      </c>
      <c r="EU441" s="6">
        <v>2520</v>
      </c>
      <c r="EV441" s="6">
        <v>0</v>
      </c>
      <c r="EW441" s="6">
        <v>2520</v>
      </c>
      <c r="EX441" s="6">
        <v>0</v>
      </c>
      <c r="EY441" s="6">
        <v>2483.444299766621</v>
      </c>
      <c r="EZ441" s="6">
        <v>867</v>
      </c>
      <c r="FA441" s="6">
        <v>0</v>
      </c>
      <c r="FB441" s="6">
        <v>0</v>
      </c>
      <c r="FC441" s="6">
        <v>0</v>
      </c>
      <c r="FD441" s="6">
        <v>0</v>
      </c>
      <c r="FE441" s="6">
        <v>0</v>
      </c>
      <c r="FF441" s="6">
        <v>0</v>
      </c>
      <c r="FG441" s="6">
        <v>0</v>
      </c>
      <c r="FH441" s="6">
        <v>1169.8057220984929</v>
      </c>
      <c r="FI441" s="6">
        <v>1553.9796069512388</v>
      </c>
      <c r="FJ441" s="6">
        <v>2101.211011744741</v>
      </c>
      <c r="FK441" s="6">
        <v>1772.7139978623225</v>
      </c>
      <c r="FL441" s="6">
        <v>907.07682140966267</v>
      </c>
      <c r="FM441" s="6">
        <v>1713.444299766621</v>
      </c>
      <c r="FN441" s="6">
        <v>0</v>
      </c>
      <c r="FO441" s="6">
        <v>0</v>
      </c>
      <c r="FP441" s="6">
        <v>0</v>
      </c>
      <c r="FQ441" s="6">
        <v>0</v>
      </c>
      <c r="FR441" s="6">
        <v>0</v>
      </c>
      <c r="FS441" s="6">
        <v>0</v>
      </c>
      <c r="FT441" s="7">
        <v>0.92728499593976532</v>
      </c>
      <c r="FU441" s="7">
        <v>2.9631563800462959E-2</v>
      </c>
      <c r="FV441" s="7">
        <v>4.3083440259771753E-2</v>
      </c>
      <c r="FW441" s="6">
        <v>2520</v>
      </c>
      <c r="FX441" s="6">
        <v>2483.444299766621</v>
      </c>
      <c r="FY441" s="6">
        <v>867</v>
      </c>
      <c r="FZ441" s="6">
        <v>1949.5716051445115</v>
      </c>
      <c r="GA441" s="6">
        <v>2447.6998706868612</v>
      </c>
      <c r="GB441" s="6">
        <v>17537.300129313138</v>
      </c>
      <c r="GC441" s="7">
        <v>3.3872851927908169E-2</v>
      </c>
      <c r="GD441" s="7">
        <v>3.642298215969271E-2</v>
      </c>
      <c r="GE441" s="7"/>
      <c r="GF441" s="7"/>
      <c r="GG441" s="7">
        <v>7.5285371223302977E-2</v>
      </c>
      <c r="GH441" s="42">
        <v>3.0204632982622708</v>
      </c>
      <c r="GI441" s="6">
        <v>9064.2344968476045</v>
      </c>
      <c r="GJ441" s="14">
        <v>0.50394797582841711</v>
      </c>
      <c r="GK441" s="14">
        <v>0.50887573065309732</v>
      </c>
      <c r="GL441" s="14">
        <v>0.49605202417158262</v>
      </c>
      <c r="GM441" s="14">
        <v>0.49112426934690245</v>
      </c>
      <c r="GO441" s="5">
        <v>343.14810671672558</v>
      </c>
      <c r="GP441" s="5">
        <v>295.07131418198298</v>
      </c>
      <c r="GQ441" s="5">
        <v>535.04305713031317</v>
      </c>
      <c r="GR441" s="5">
        <v>410.15490233172511</v>
      </c>
      <c r="GS441" s="5">
        <v>339.42744393800166</v>
      </c>
      <c r="GT441" s="5">
        <v>293.4407446948278</v>
      </c>
      <c r="GU441" s="5">
        <v>258.04012322764959</v>
      </c>
      <c r="GV441" s="39" t="s">
        <v>392</v>
      </c>
      <c r="GW441" s="5">
        <v>478.23611111111109</v>
      </c>
      <c r="GX441" s="5">
        <v>358.67708333333331</v>
      </c>
      <c r="GY441" s="5">
        <v>286.94166666666666</v>
      </c>
      <c r="GZ441" s="5">
        <v>253.19574071601335</v>
      </c>
      <c r="HA441" s="5">
        <v>234.53733318419432</v>
      </c>
      <c r="HB441" s="39">
        <v>264.38105807915503</v>
      </c>
      <c r="HC441" s="5">
        <v>249.35312499999998</v>
      </c>
      <c r="HD441" s="5">
        <v>213.91580774853799</v>
      </c>
      <c r="HE441" s="5">
        <v>216.92584767206475</v>
      </c>
      <c r="HF441" s="5">
        <v>200.85938048245612</v>
      </c>
      <c r="HG441" s="5">
        <v>194.01388157894735</v>
      </c>
      <c r="HH441" s="39">
        <v>214.07944654340923</v>
      </c>
      <c r="HI441" s="16"/>
      <c r="HJ441" s="19" t="str">
        <f t="shared" si="1232"/>
        <v>On</v>
      </c>
      <c r="HK441" s="1" t="str">
        <f t="shared" si="1232"/>
        <v>On</v>
      </c>
      <c r="HL441" s="16"/>
      <c r="HM441" s="639">
        <f t="shared" si="1110"/>
        <v>2.9403358434788716E-2</v>
      </c>
      <c r="HN441" s="639">
        <f t="shared" si="1111"/>
        <v>1.4106809950923669E-3</v>
      </c>
      <c r="HO441" s="639">
        <f t="shared" si="1112"/>
        <v>1.7317923025048877E-3</v>
      </c>
      <c r="HP441" s="644">
        <f>(FT441*$GD441-HM441)/$JF441*INDEX(Input!$1:$1048576,$JG$93,$C441*2+6)</f>
        <v>312.80053118610726</v>
      </c>
      <c r="HQ441" s="644">
        <f>(FU441*$GD441-HN441)/$JF441*INDEX(Input!$1:$1048576,$JG$93,$C441*2+6)</f>
        <v>-23.715983079183346</v>
      </c>
      <c r="HR441" s="644">
        <f>(FV441*$GD441-HO441)/$JF441*INDEX(Input!$1:$1048576,$JG$93,$C441*2+6)</f>
        <v>-11.633247447372236</v>
      </c>
      <c r="HS441" s="644">
        <f t="shared" si="1233"/>
        <v>-134.90784369446908</v>
      </c>
      <c r="HT441" s="644">
        <f t="shared" si="1114"/>
        <v>38.421593682588941</v>
      </c>
      <c r="HU441" s="644">
        <f t="shared" si="1115"/>
        <v>17.724038710682525</v>
      </c>
      <c r="HV441" s="648">
        <f t="shared" si="1116"/>
        <v>0</v>
      </c>
      <c r="HW441" s="648">
        <f t="shared" si="1117"/>
        <v>0</v>
      </c>
      <c r="HX441" s="648">
        <f t="shared" si="1118"/>
        <v>0</v>
      </c>
      <c r="HY441" s="644">
        <f>INDEX(Input!$1:$1048576,HY$93,$C441*2+6)*INDEX(Input!$1:$1048576,$JG$93,$C441*2+6)</f>
        <v>993</v>
      </c>
      <c r="HZ441" s="644">
        <f>INDEX(Input!$1:$1048576,HZ$93,$C441*2+6)*INDEX(Input!$1:$1048576,$JG$93,$C441*2+6)</f>
        <v>1216</v>
      </c>
      <c r="IA441" s="644">
        <f>INDEX(Input!$1:$1048576,IA$93,$C441*2+6)*INDEX(Input!$1:$1048576,$JG$93,$C441*2+6)</f>
        <v>120</v>
      </c>
      <c r="IB441" s="644">
        <f t="shared" si="1142"/>
        <v>1170.8926874916383</v>
      </c>
      <c r="IC441" s="644">
        <f t="shared" si="1143"/>
        <v>1230.7056106034056</v>
      </c>
      <c r="ID441" s="644">
        <f>IF(AND(INDEX(Input!$1:$1048576,IA$93,$C441*2+7)="TOS",Y441&lt;=INDEX(Y:Y,MATCH(C441*1000+2,A:A))),0,1)*MAX(IA441+HR441+HU441+HX441,0%)</f>
        <v>126.09079126331028</v>
      </c>
      <c r="IE441" s="128">
        <f t="shared" ref="IE441:IE442" si="1237">IB441/SUM($IB441:$ID441)</f>
        <v>0.46322654650096451</v>
      </c>
      <c r="IF441" s="128">
        <f t="shared" si="1210"/>
        <v>0.48688963202979063</v>
      </c>
      <c r="IG441" s="128">
        <f t="shared" si="1120"/>
        <v>4.9883821469244874E-2</v>
      </c>
      <c r="IH441" s="21"/>
      <c r="II441" s="19">
        <f t="shared" si="1121"/>
        <v>1490</v>
      </c>
      <c r="IJ441" s="19">
        <f t="shared" si="1122"/>
        <v>2203.2561351629856</v>
      </c>
      <c r="IK441" s="19">
        <f t="shared" si="1123"/>
        <v>242</v>
      </c>
      <c r="IL441" s="19">
        <f t="shared" si="1145"/>
        <v>1030</v>
      </c>
      <c r="IM441" s="19">
        <f t="shared" si="1124"/>
        <v>280.18816460363541</v>
      </c>
      <c r="IN441" s="19">
        <f t="shared" si="1125"/>
        <v>625</v>
      </c>
      <c r="IO441" s="39">
        <f t="shared" si="1126"/>
        <v>0</v>
      </c>
      <c r="IP441" s="39">
        <f t="shared" si="1127"/>
        <v>0</v>
      </c>
      <c r="IQ441" s="39">
        <f t="shared" si="1128"/>
        <v>0</v>
      </c>
      <c r="IR441" s="39">
        <v>0</v>
      </c>
      <c r="IS441" s="39">
        <v>0</v>
      </c>
      <c r="IT441" s="39">
        <v>0</v>
      </c>
      <c r="IU441" s="39">
        <v>0</v>
      </c>
      <c r="IV441" s="39">
        <v>0</v>
      </c>
      <c r="IW441" s="39">
        <v>0</v>
      </c>
      <c r="IX441" s="39">
        <f>INDEX(Input!$1:$1048576,IX$93,$C441*2+6)+INDEX(Input!$1:$1048576,IX$94,$C441*2+6)</f>
        <v>1770</v>
      </c>
      <c r="IY441" s="39">
        <f>INDEX(Input!$1:$1048576,IY$93,$C441*2+6)+INDEX(Input!$1:$1048576,IY$94,$C441*2+6)</f>
        <v>2630.0624533823611</v>
      </c>
      <c r="IZ441" s="39">
        <f>INDEX(Input!$1:$1048576,IZ$93,$C441*2+6)+INDEX(Input!$1:$1048576,IZ$94,$C441*2+6)</f>
        <v>4153.7164157747848</v>
      </c>
      <c r="JA441" s="19">
        <f t="shared" si="1146"/>
        <v>2800</v>
      </c>
      <c r="JB441" s="19">
        <f t="shared" si="1147"/>
        <v>2910.2506179859965</v>
      </c>
      <c r="JC441" s="19">
        <f t="shared" si="1148"/>
        <v>4778.7164157747848</v>
      </c>
      <c r="JD441" s="19">
        <f t="shared" si="1149"/>
        <v>2952.3858192450325</v>
      </c>
      <c r="JE441" s="21"/>
      <c r="JF441" s="1">
        <f t="shared" si="1129"/>
        <v>3.2545831732385969E-2</v>
      </c>
      <c r="JG441" s="15">
        <f>INDEX(Input!$1:$1048576,JG$93,$C441*2+6)/(1+VLOOKUP(C441*1000+INDEX(Input!$1:$1048576,JG$93+1,$C441*2+6),$A:$KK,$JK$92,FALSE))</f>
        <v>2329</v>
      </c>
      <c r="JH441" s="1">
        <f t="shared" si="1150"/>
        <v>0.11912893974218622</v>
      </c>
      <c r="JI441" s="1">
        <f t="shared" si="1151"/>
        <v>-3.3818038343150544E-2</v>
      </c>
      <c r="JJ441" s="1">
        <f t="shared" si="1211"/>
        <v>0</v>
      </c>
      <c r="JK441" s="1">
        <f t="shared" si="1212"/>
        <v>8.5310901399035674E-2</v>
      </c>
      <c r="JL441" s="15">
        <f t="shared" si="1154"/>
        <v>198.6890893583541</v>
      </c>
      <c r="JM441" s="15">
        <f t="shared" si="1180"/>
        <v>2527.6890893583541</v>
      </c>
      <c r="JN441" s="21"/>
      <c r="JO441" s="19">
        <f>INDEX(Input!$1:$1048576,JO$93,$C441*2+6)</f>
        <v>5995.5</v>
      </c>
      <c r="JP441" s="19">
        <f>INDEX(Input!$1:$1048576,JP$93,$C441*2+6)</f>
        <v>2341.8685758720158</v>
      </c>
      <c r="JQ441" s="39">
        <f t="shared" si="1166"/>
        <v>3043.1141807549675</v>
      </c>
      <c r="JR441" s="39">
        <f t="shared" si="1183"/>
        <v>610.51724337301675</v>
      </c>
      <c r="JS441" s="39">
        <f t="shared" si="1168"/>
        <v>7.4627134228819942</v>
      </c>
      <c r="JT441" s="39">
        <f t="shared" si="1156"/>
        <v>2.0085015096760701</v>
      </c>
      <c r="JU441" s="385">
        <f>(JQ441*JM441-INDEX(Input!$1:$1048576,Input!A$18,$C441*2+6)*JL441*INDEX(Input!$1:$1048576,Input!A$19,$C441*2+6))/1000000</f>
        <v>7.6920465123660176</v>
      </c>
      <c r="JV441" s="39">
        <f t="shared" si="1190"/>
        <v>-0.81726107442805684</v>
      </c>
      <c r="JW441" s="1">
        <f t="shared" si="1181"/>
        <v>-9.6043193419920098E-2</v>
      </c>
      <c r="JX441" s="19">
        <f t="shared" si="1172"/>
        <v>10108.765992950688</v>
      </c>
      <c r="JZ441" s="341"/>
      <c r="KA441" s="342"/>
      <c r="KB441" s="469">
        <f t="shared" si="1169"/>
        <v>2.3434325605641804</v>
      </c>
      <c r="KI441" s="473">
        <f t="shared" si="1235"/>
        <v>177.8926874916383</v>
      </c>
      <c r="KJ441" s="473">
        <f t="shared" si="1236"/>
        <v>14.705610603405603</v>
      </c>
      <c r="KK441" s="473">
        <f t="shared" si="1158"/>
        <v>6.0907912633102939</v>
      </c>
      <c r="KN441" s="544">
        <f t="shared" si="1173"/>
        <v>4002</v>
      </c>
      <c r="KO441" s="541">
        <f t="shared" si="1133"/>
        <v>4.5099138870302591E-2</v>
      </c>
      <c r="KP441" s="546">
        <f t="shared" si="1134"/>
        <v>365.44682668167502</v>
      </c>
      <c r="KQ441" s="546">
        <f t="shared" si="1135"/>
        <v>327.61463120901135</v>
      </c>
      <c r="KR441" s="548">
        <f t="shared" si="1136"/>
        <v>2.1423947694939747</v>
      </c>
      <c r="KS441" s="548">
        <f t="shared" si="1137"/>
        <v>2.3897936643479687</v>
      </c>
      <c r="KT441" s="473">
        <f t="shared" si="1171"/>
        <v>1580.0986321700548</v>
      </c>
      <c r="KU441" s="663">
        <f t="shared" si="1159"/>
        <v>4.0594940533703259</v>
      </c>
      <c r="KV441" s="117"/>
    </row>
    <row r="442" spans="1:308" s="26" customFormat="1" ht="15">
      <c r="A442" s="561">
        <f t="shared" si="1138"/>
        <v>4042</v>
      </c>
      <c r="B442" s="561">
        <f t="shared" si="1160"/>
        <v>42</v>
      </c>
      <c r="C442" s="561">
        <f t="shared" si="1161"/>
        <v>4</v>
      </c>
      <c r="D442" s="561" t="str">
        <f t="shared" si="1206"/>
        <v xml:space="preserve">1000 CC, 360 Lease, </v>
      </c>
      <c r="E442" s="475">
        <f>INDEX(Input!$1:$1048576,E$93,$C442*2+MIN($B442,2)+5)
+INDEX(Scenarios!E$121:E$200,MATCH($B442,Scenarios!$B$121:$B$200,0))</f>
        <v>2256.832975525977</v>
      </c>
      <c r="F442" s="475">
        <f>INDEX(Input!$1:$1048576,F$93,$C442*2+MIN($B442,2)+5)
+INDEX(Scenarios!F$121:F$200,MATCH($B442,Scenarios!$B$121:$B$200,0))</f>
        <v>0</v>
      </c>
      <c r="G442" s="475">
        <f>INDEX(Input!$1:$1048576,G$93,$C442*2+MIN($B442,2)+5)
+INDEX(Scenarios!G$121:G$200,MATCH($B442,Scenarios!$B$121:$B$200,0))</f>
        <v>0</v>
      </c>
      <c r="H442" s="475">
        <f>INDEX(Input!$1:$1048576,H$93,$C442*2+MIN($B442,2)+5)
+INDEX(Scenarios!H$121:H$200,MATCH($B442,Scenarios!$B$121:$B$200,0))</f>
        <v>0</v>
      </c>
      <c r="I442" s="476">
        <f>INDEX(Input!$1:$1048576,I$93,$C442*2+MIN($B442,2)+5)</f>
        <v>0.7</v>
      </c>
      <c r="J442" s="476" t="str">
        <f>INDEX(Input!$1:$1048576,J$93,$C442*2+MIN($B442,2)+5)</f>
        <v>Market</v>
      </c>
      <c r="K442" s="476" t="str">
        <f>INDEX(Input!$1:$1048576,K$93,$C442*2+MIN($B442,2)+5)</f>
        <v>Market</v>
      </c>
      <c r="L442" s="476" t="str">
        <f>INDEX(Input!$1:$1048576,L$93,$C442*2+MIN($B442,2)+5)</f>
        <v>Market</v>
      </c>
      <c r="M442" s="476" t="str">
        <f>INDEX(Input!$1:$1048576,M$93,$C442*2+MIN($B442,2)+5)</f>
        <v>Market</v>
      </c>
      <c r="N442" s="476" t="str">
        <f>INDEX(Input!$1:$1048576,N$93,$C442*2+MIN($B442,2)+5)</f>
        <v>Market</v>
      </c>
      <c r="O442" s="476" t="str">
        <f>INDEX(Input!$1:$1048576,O$93,$C442*2+MIN($B442,2)+5)</f>
        <v>Market</v>
      </c>
      <c r="P442" s="476" t="str">
        <f>INDEX(Input!$1:$1048576,P$93,$C442*2+MIN($B442,2)+5)</f>
        <v>N</v>
      </c>
      <c r="Q442" s="477">
        <f>INDEX(Input!$1:$1048576,Q$93,$C442*2+MIN($B442,2)+5)
+INDEX(Scenarios!Q$121:Q$200,MATCH($B442,Scenarios!$B$121:$B$200,0))</f>
        <v>0</v>
      </c>
      <c r="R442" s="478">
        <f>IFERROR(MAX(0,INDEX(Input!$1:$1048576,R$93,$C442*2+MIN($B442,2)+5)
+INDEX(Scenarios!R$121:R$200,MATCH($B442,Scenarios!$B$121:$B$200,0)),),"Market")</f>
        <v>0</v>
      </c>
      <c r="S442" s="478">
        <f>IFERROR(MAX(0,INDEX(Input!$1:$1048576,S$93,$C442*2+MIN($B442,2)+5)
+INDEX(Scenarios!S$121:S$200,MATCH($B442,Scenarios!$B$121:$B$200,0)),),"Market")</f>
        <v>0</v>
      </c>
      <c r="T442" s="478">
        <f>IFERROR(MAX(0,INDEX(Input!$1:$1048576,T$93,$C442*2+MIN($B442,2)+5)
+INDEX(Scenarios!T$121:T$200,MATCH($B442,Scenarios!$B$121:$B$200,0)),),"Market")</f>
        <v>0</v>
      </c>
      <c r="U442" s="478">
        <f>IFERROR(MAX(0,INDEX(Input!$1:$1048576,U$93,$C442*2+MIN($B442,2)+5)
+INDEX(Scenarios!U$121:U$200,MATCH($B442,Scenarios!$B$121:$B$200,0)),),"Market")</f>
        <v>0</v>
      </c>
      <c r="V442" s="478">
        <f>IFERROR(MAX(0,INDEX(Input!$1:$1048576,V$93,$C442*2+MIN($B442,2)+5)
+INDEX(Scenarios!V$121:V$200,MATCH($B442,Scenarios!$B$121:$B$200,0)),),"Market")</f>
        <v>1.9E-2</v>
      </c>
      <c r="W442" s="885">
        <f>IFERROR(MAX(0,INDEX(Input!$1:$1048576,W$93,$C442*2+MIN($B442,2)+5)-0%,),"Market")</f>
        <v>3.9E-2</v>
      </c>
      <c r="X442" s="476" t="str">
        <f>INDEX(Input!$1:$1048576,X$93,$C442*2+MIN($B442,2)+5)</f>
        <v>Y</v>
      </c>
      <c r="Y442" s="475">
        <f>INDEX(Input!$1:$1048576,Y$93,$C442*2+MIN($B442,2)+5)
++INDEX(Scenarios!Y$121:Y$200,MATCH($B442,Scenarios!$B$121:$B$200,0))</f>
        <v>-510</v>
      </c>
      <c r="Z442" s="477">
        <f>INDEX(Input!$1:$1048576,Z$93,$C442*2+MIN($B442,2)+5)
+INDEX(Scenarios!Z$121:Z$200,MATCH($B442,Scenarios!$B$121:$B$200,0))</f>
        <v>0</v>
      </c>
      <c r="AA442" s="475">
        <f>INDEX(Input!$1:$1048576,AA$93,$C442*2+MIN($B442,2)+5)
+INDEX(Scenarios!AA$121:AA$200,MATCH($B442,Scenarios!$B$121:$B$200,0))</f>
        <v>0</v>
      </c>
      <c r="AB442" s="476">
        <f>INDEX(Input!$1:$1048576,AB$93,$C442*2+MIN($B442,2)+5)</f>
        <v>0.27</v>
      </c>
      <c r="AC442" s="475">
        <f>INDEX(Input!$1:$1048576,AC$93,$C442*2+MIN($B442,2)+5)
+INDEX(Scenarios!AC$121:AC$200,MATCH($B442,Scenarios!$B$121:$B$200,0))</f>
        <v>0</v>
      </c>
      <c r="AD442" s="476">
        <f>INDEX(Input!$1:$1048576,AD$93,$C442*2+MIN($B442,2)+5)</f>
        <v>0.27</v>
      </c>
      <c r="AE442" s="475">
        <f>INDEX(Input!$1:$1048576,AE$93,$C442*2+MIN($B442,2)+5)
+INDEX(Scenarios!AE$121:AE$200,MATCH($B442,Scenarios!$B$121:$B$200,0))</f>
        <v>0</v>
      </c>
      <c r="AF442" s="476">
        <f>INDEX(Input!$1:$1048576,AF$93,$C442*2+MIN($B442,2)+5)</f>
        <v>1</v>
      </c>
      <c r="AG442" s="475">
        <f>INDEX(Input!$1:$1048576,AG$93,$C442*2+MIN($B442,2)+5)
+INDEX(Scenarios!AG$121:AG$200,MATCH($B442,Scenarios!$B$121:$B$200,0))</f>
        <v>500</v>
      </c>
      <c r="AH442" s="476">
        <f>INDEX(Input!$1:$1048576,AH$93,$C442*2+MIN($B442,2)+5)</f>
        <v>0.83199999999999996</v>
      </c>
      <c r="AI442" s="475">
        <f>INDEX(Input!$1:$1048576,AI$93,$C442*2+MIN($B442,2)+5)
+INDEX(Scenarios!AI$121:AI$200,MATCH($B442,Scenarios!$B$121:$B$200,0))</f>
        <v>0</v>
      </c>
      <c r="AJ442" s="476">
        <f>INDEX(Input!$1:$1048576,AJ$93,$C442*2+MIN($B442,2)+5)</f>
        <v>0.27</v>
      </c>
      <c r="AK442" s="150">
        <f>ROUND(INDEX(Input!$1:$1048576,AK$93,$C441*2+MIN($B442,1)+5)+(Y442-VLOOKUP($C442*1000+1,$A:$HH,Y$92,FALSE)),0)</f>
        <v>2947</v>
      </c>
      <c r="AL442" s="150">
        <f>ROUND(INDEX(Input!$1:$1048576,AL$93,$C441*2+MIN($B442,1)+5)-(Y442-VLOOKUP($C442*1000+1,$A:$HH,Y$92,FALSE))/36,0)</f>
        <v>3396</v>
      </c>
      <c r="AM442" s="32" t="str">
        <f t="shared" si="1139"/>
        <v>std/std/std/std</v>
      </c>
      <c r="AN442" s="32" t="str">
        <f t="shared" si="1140"/>
        <v>$0 + 0/0/0/1.9/3.9</v>
      </c>
      <c r="AO442" s="32" t="str">
        <f t="shared" si="1141"/>
        <v>0/0/0/1.9/3.9</v>
      </c>
      <c r="AP442" s="32" t="str">
        <f t="shared" si="1213"/>
        <v>0/0.9/1.9/3.9</v>
      </c>
      <c r="AQ442" s="536">
        <f t="shared" si="1207"/>
        <v>0.47798710929630434</v>
      </c>
      <c r="AR442" s="32"/>
      <c r="AS442" s="302"/>
      <c r="AT442" s="3">
        <f t="shared" si="1162"/>
        <v>42</v>
      </c>
      <c r="AU442" s="41" t="s">
        <v>121</v>
      </c>
      <c r="AV442" s="41" t="s">
        <v>116</v>
      </c>
      <c r="AW442" s="41" t="str">
        <f>INDEX(Input!$1:$1048576,AW$93,$C442*2+6)</f>
        <v>Kia</v>
      </c>
      <c r="AX442" s="41" t="str">
        <f>INDEX(Input!$1:$1048576,AX$93,$C442*2+6)</f>
        <v>Kia-LR - R1</v>
      </c>
      <c r="AY442" s="41" t="str">
        <f>IF(LEN(D442)=0,"",INDEX(Input!$1:$1048576,AY$93,$C442*2+6))</f>
        <v>Compact SUV (52)</v>
      </c>
      <c r="AZ442" s="41" t="str">
        <f>INDEX(Input!$1:$1048576,AZ$93,$C442*2+6)</f>
        <v>Kia Soul</v>
      </c>
      <c r="BA442" s="3">
        <f>INDEX(Input!$1:$1048576,BA$93,$C442*2+6)</f>
        <v>2020</v>
      </c>
      <c r="BB442" s="128">
        <f>INDEX(Input!$1:$1048576,BB$93,$C442*2+6)</f>
        <v>1</v>
      </c>
      <c r="BC442" s="128">
        <f>INDEX(Input!$1:$1048576,BC$93,$C442*2+6)</f>
        <v>0.7</v>
      </c>
      <c r="BD442" s="1">
        <f>INDEX(Input!$1:$1048576,BD$93,$C442*2+6)</f>
        <v>4.4999999999999998E-2</v>
      </c>
      <c r="BE442" s="1">
        <f>INDEX(Input!$1:$1048576,BE$93,$C442*2+6)</f>
        <v>4.4999999999999998E-2</v>
      </c>
      <c r="BF442" s="1">
        <f>INDEX(Input!$1:$1048576,BF$93,$C442*2+6)</f>
        <v>0.05</v>
      </c>
      <c r="BG442" s="1">
        <f>INDEX(Input!$1:$1048576,BG$93,$C442*2+6)</f>
        <v>5.45E-2</v>
      </c>
      <c r="BH442" s="1">
        <f>INDEX(Input!$1:$1048576,BH$93,$C442*2+6)</f>
        <v>5.45E-2</v>
      </c>
      <c r="BI442" s="1">
        <f>INDEX(Input!$1:$1048576,BI$93,$C442*2+6)</f>
        <v>0.05</v>
      </c>
      <c r="BJ442" s="1">
        <f>INDEX(Input!$1:$1048576,BJ$93,$C442*2+6)</f>
        <v>0.05</v>
      </c>
      <c r="BK442" s="1">
        <f>INDEX(Input!$1:$1048576,BK$93,$C442*2+6)</f>
        <v>0.05</v>
      </c>
      <c r="BL442" s="1">
        <f>INDEX(Input!$1:$1048576,BL$93,$C442*2+6)</f>
        <v>5.5E-2</v>
      </c>
      <c r="BM442" s="1">
        <f>INDEX(Input!$1:$1048576,BM$93,$C442*2+6)</f>
        <v>0.06</v>
      </c>
      <c r="BN442" s="1">
        <f>INDEX(Input!$1:$1048576,BN$93,$C442*2+6)</f>
        <v>4.4999999999999998E-2</v>
      </c>
      <c r="BO442" s="1">
        <f>INDEX(Input!$1:$1048576,BO$93,$C442*2+6)</f>
        <v>4.4999999999999998E-2</v>
      </c>
      <c r="BP442" s="1">
        <f>INDEX(Input!$1:$1048576,BP$93,$C442*2+6)</f>
        <v>0.05</v>
      </c>
      <c r="BQ442" s="1">
        <f>INDEX(Input!$1:$1048576,BQ$93,$C442*2+6)</f>
        <v>5.45E-2</v>
      </c>
      <c r="BR442" s="1">
        <f>INDEX(Input!$1:$1048576,BR$93,$C442*2+6)</f>
        <v>5.45E-2</v>
      </c>
      <c r="BS442" s="1">
        <f>INDEX(Input!$1:$1048576,BS$93,$C442*2+6)</f>
        <v>0.05</v>
      </c>
      <c r="BT442" s="1">
        <f>INDEX(Input!$1:$1048576,BT$93,$C442*2+6)</f>
        <v>0.05</v>
      </c>
      <c r="BU442" s="1">
        <f>INDEX(Input!$1:$1048576,BU$93,$C442*2+6)</f>
        <v>0.05</v>
      </c>
      <c r="BV442" s="1">
        <f>INDEX(Input!$1:$1048576,BV$93,$C442*2+6)</f>
        <v>5.5E-2</v>
      </c>
      <c r="BW442" s="1">
        <f>INDEX(Input!$1:$1048576,BW$93,$C442*2+6)</f>
        <v>0.06</v>
      </c>
      <c r="BX442" s="127">
        <f>INDEX(Input!$1:$1048576,BX$93,$C442*2+6)</f>
        <v>19985</v>
      </c>
      <c r="BY442" s="20">
        <f>INDEX(Input!$1:$1048576,BY$93,$C442*2+6)</f>
        <v>0.1</v>
      </c>
      <c r="BZ442" s="20">
        <f>INDEX(Input!$1:$1048576,BZ$93,$C442*2+6)</f>
        <v>0.1</v>
      </c>
      <c r="CA442" s="20">
        <f>INDEX(Input!$1:$1048576,CA$93,$C442*2+6)</f>
        <v>0.1</v>
      </c>
      <c r="CB442" s="20">
        <f>INDEX(Input!$1:$1048576,CB$93,$C442*2+6)</f>
        <v>0.1</v>
      </c>
      <c r="CC442" s="20">
        <f>INDEX(Input!$1:$1048576,CC$93,$C442*2+6)</f>
        <v>0.1</v>
      </c>
      <c r="CD442" s="384">
        <f>INDEX(Input!$1:$1048576,CD$93,$C442*2+6)</f>
        <v>0.1</v>
      </c>
      <c r="CE442" s="384">
        <f>INDEX(Input!$1:$1048576,CE$93,$C442*2+6)</f>
        <v>0.1</v>
      </c>
      <c r="CF442" s="384">
        <f>INDEX(Input!$1:$1048576,CF$93,$C442*2+6)</f>
        <v>0.1</v>
      </c>
      <c r="CG442" s="384">
        <f>INDEX(Input!$1:$1048576,CG$93,$C442*2+6)</f>
        <v>0.1</v>
      </c>
      <c r="CH442" s="384">
        <f>INDEX(Input!$1:$1048576,CH$93,$C442*2+6)</f>
        <v>0.1</v>
      </c>
      <c r="CI442" s="304">
        <f t="shared" si="1214"/>
        <v>2256.832975525977</v>
      </c>
      <c r="CJ442" s="16" t="str">
        <f>INDEX(Input!$1:$1048576,CJ$93,$C442*2+6)</f>
        <v>N</v>
      </c>
      <c r="CK442" s="1" t="str">
        <f t="shared" si="1215"/>
        <v>Market</v>
      </c>
      <c r="CL442" s="1" t="str">
        <f t="shared" si="1216"/>
        <v>Market</v>
      </c>
      <c r="CM442" s="1" t="str">
        <f t="shared" si="1217"/>
        <v>Market</v>
      </c>
      <c r="CN442" s="1" t="str">
        <f t="shared" si="1218"/>
        <v>Market</v>
      </c>
      <c r="CO442" s="1" t="str">
        <f t="shared" si="1219"/>
        <v>Market</v>
      </c>
      <c r="CP442" s="304">
        <f t="shared" si="1220"/>
        <v>416</v>
      </c>
      <c r="CQ442" s="1">
        <f t="shared" si="1221"/>
        <v>0</v>
      </c>
      <c r="CR442" s="1">
        <f t="shared" si="1222"/>
        <v>0</v>
      </c>
      <c r="CS442" s="1">
        <f t="shared" si="1223"/>
        <v>0</v>
      </c>
      <c r="CT442" s="1">
        <f t="shared" si="1224"/>
        <v>1.9E-2</v>
      </c>
      <c r="CU442" s="1">
        <f t="shared" si="1225"/>
        <v>3.9E-2</v>
      </c>
      <c r="CV442" s="304">
        <f t="shared" si="1226"/>
        <v>-510</v>
      </c>
      <c r="CW442" s="20" t="s">
        <v>122</v>
      </c>
      <c r="CX442" s="20" t="s">
        <v>122</v>
      </c>
      <c r="CY442" s="20" t="s">
        <v>122</v>
      </c>
      <c r="CZ442" s="20" t="s">
        <v>122</v>
      </c>
      <c r="DA442" s="20" t="s">
        <v>122</v>
      </c>
      <c r="DB442" s="503">
        <f t="shared" si="1227"/>
        <v>0</v>
      </c>
      <c r="DC442" s="127">
        <v>0</v>
      </c>
      <c r="DD442" s="127">
        <v>0</v>
      </c>
      <c r="DE442" s="127">
        <v>0</v>
      </c>
      <c r="DF442" s="127">
        <v>0</v>
      </c>
      <c r="DG442" s="127">
        <v>0</v>
      </c>
      <c r="DH442" s="127">
        <v>0</v>
      </c>
      <c r="DI442" s="127">
        <v>0</v>
      </c>
      <c r="DJ442" s="127">
        <v>0</v>
      </c>
      <c r="DK442" s="127">
        <v>0</v>
      </c>
      <c r="DL442" s="127">
        <v>0</v>
      </c>
      <c r="DM442" s="304">
        <f>INDEX(Input!$1:$1048576,DM$93,$C442*2+6)</f>
        <v>21036.84210526316</v>
      </c>
      <c r="DN442" s="20">
        <v>0</v>
      </c>
      <c r="DO442" s="20">
        <v>0</v>
      </c>
      <c r="DP442" s="20">
        <v>0</v>
      </c>
      <c r="DQ442" s="20">
        <v>0</v>
      </c>
      <c r="DR442" s="20">
        <v>0</v>
      </c>
      <c r="DS442" s="20">
        <f>INDEX(Input!$1:$1048576,DS$93,$C442*2+6)</f>
        <v>0.6</v>
      </c>
      <c r="DT442" s="20">
        <f>INDEX(Input!$1:$1048576,DT$93,$C442*2+6)</f>
        <v>0.55000000000000004</v>
      </c>
      <c r="DU442" s="20">
        <f>INDEX(Input!$1:$1048576,DU$93,$C442*2+6)</f>
        <v>0.52</v>
      </c>
      <c r="DV442" s="20">
        <f>INDEX(Input!$1:$1048576,DV$93,$C442*2+6)</f>
        <v>0.5</v>
      </c>
      <c r="DW442" s="20">
        <f>INDEX(Input!$1:$1048576,DW$93,$C442*2+6)</f>
        <v>0.45</v>
      </c>
      <c r="DX442" s="20"/>
      <c r="DY442" s="7">
        <v>0.1158070871605716</v>
      </c>
      <c r="DZ442" s="7">
        <v>0</v>
      </c>
      <c r="EA442" s="7">
        <v>0.819989791448827</v>
      </c>
      <c r="EB442" s="7">
        <v>0</v>
      </c>
      <c r="EC442" s="7">
        <v>0</v>
      </c>
      <c r="ED442" s="7">
        <v>0</v>
      </c>
      <c r="EE442" s="7">
        <v>0</v>
      </c>
      <c r="EF442" s="7">
        <v>0</v>
      </c>
      <c r="EG442" s="7">
        <v>0</v>
      </c>
      <c r="EH442" s="7">
        <v>1.228565797510987E-2</v>
      </c>
      <c r="EI442" s="7">
        <v>3.2113968681473835E-2</v>
      </c>
      <c r="EJ442" s="7">
        <v>0.22531789853632833</v>
      </c>
      <c r="EK442" s="7">
        <v>0.5930461000452415</v>
      </c>
      <c r="EL442" s="7">
        <v>0.13723637476184669</v>
      </c>
      <c r="EM442" s="7">
        <v>2.6140353782020623E-2</v>
      </c>
      <c r="EN442" s="7">
        <v>5.1552075504040347E-2</v>
      </c>
      <c r="EO442" s="7">
        <v>0.72422552116895145</v>
      </c>
      <c r="EP442" s="7">
        <v>9.6784569871308873E-2</v>
      </c>
      <c r="EQ442" s="7">
        <v>8.4899797387069625E-2</v>
      </c>
      <c r="ER442" s="7">
        <v>4.2538036068630047E-2</v>
      </c>
      <c r="ES442" s="7">
        <v>3.8062767608580732E-2</v>
      </c>
      <c r="ET442" s="7">
        <v>6.4203121390601373E-2</v>
      </c>
      <c r="EU442" s="6">
        <v>2770</v>
      </c>
      <c r="EV442" s="6">
        <v>0</v>
      </c>
      <c r="EW442" s="6">
        <v>2770</v>
      </c>
      <c r="EX442" s="6">
        <v>0</v>
      </c>
      <c r="EY442" s="6">
        <v>2483.5018330950215</v>
      </c>
      <c r="EZ442" s="6">
        <v>867</v>
      </c>
      <c r="FA442" s="6">
        <v>0</v>
      </c>
      <c r="FB442" s="6">
        <v>0</v>
      </c>
      <c r="FC442" s="6">
        <v>0</v>
      </c>
      <c r="FD442" s="6">
        <v>0</v>
      </c>
      <c r="FE442" s="6">
        <v>0</v>
      </c>
      <c r="FF442" s="6">
        <v>0</v>
      </c>
      <c r="FG442" s="6">
        <v>0</v>
      </c>
      <c r="FH442" s="6">
        <v>1169.8090259813655</v>
      </c>
      <c r="FI442" s="6">
        <v>1553.9796069512408</v>
      </c>
      <c r="FJ442" s="6">
        <v>2101.211011744741</v>
      </c>
      <c r="FK442" s="6">
        <v>1772.7139978623218</v>
      </c>
      <c r="FL442" s="6">
        <v>907.07682140966324</v>
      </c>
      <c r="FM442" s="6">
        <v>1713.5018330950218</v>
      </c>
      <c r="FN442" s="6">
        <v>0</v>
      </c>
      <c r="FO442" s="6">
        <v>0</v>
      </c>
      <c r="FP442" s="6">
        <v>0</v>
      </c>
      <c r="FQ442" s="6">
        <v>0</v>
      </c>
      <c r="FR442" s="6">
        <v>0</v>
      </c>
      <c r="FS442" s="6">
        <v>0</v>
      </c>
      <c r="FT442" s="7">
        <v>0.93579687860939864</v>
      </c>
      <c r="FU442" s="7">
        <v>2.6140353782020623E-2</v>
      </c>
      <c r="FV442" s="7">
        <v>3.8062767608580732E-2</v>
      </c>
      <c r="FW442" s="6">
        <v>2769.9999999999995</v>
      </c>
      <c r="FX442" s="6">
        <v>2483.5018330950215</v>
      </c>
      <c r="FY442" s="6">
        <v>867</v>
      </c>
      <c r="FZ442" s="6">
        <v>1949.5716051445115</v>
      </c>
      <c r="GA442" s="6">
        <v>2690.0773898000739</v>
      </c>
      <c r="GB442" s="6">
        <v>17294.922610199927</v>
      </c>
      <c r="GC442" s="7">
        <v>3.3872851927908169E-2</v>
      </c>
      <c r="GD442" s="7">
        <v>3.7406033089612031E-2</v>
      </c>
      <c r="GE442" s="7"/>
      <c r="GF442" s="7"/>
      <c r="GG442" s="7">
        <v>0.10430716519599698</v>
      </c>
      <c r="GH442" s="42">
        <v>2.8150741555808603</v>
      </c>
      <c r="GI442" s="6">
        <v>9789.3575136930485</v>
      </c>
      <c r="GJ442" s="14">
        <v>0.50394797582841744</v>
      </c>
      <c r="GK442" s="14">
        <v>0.50887573065309744</v>
      </c>
      <c r="GL442" s="14">
        <v>0.49605202417158262</v>
      </c>
      <c r="GM442" s="14">
        <v>0.49112426934690256</v>
      </c>
      <c r="GO442" s="5">
        <v>343.14810671672558</v>
      </c>
      <c r="GP442" s="5">
        <v>290.30179111306006</v>
      </c>
      <c r="GQ442" s="5">
        <v>535.04305713031317</v>
      </c>
      <c r="GR442" s="5">
        <v>410.15490233172511</v>
      </c>
      <c r="GS442" s="5">
        <v>339.42744393800166</v>
      </c>
      <c r="GT442" s="5">
        <v>293.4407446948278</v>
      </c>
      <c r="GU442" s="5">
        <v>258.04012322764959</v>
      </c>
      <c r="GV442" s="39" t="s">
        <v>392</v>
      </c>
      <c r="GW442" s="5">
        <v>478.23611111111109</v>
      </c>
      <c r="GX442" s="5">
        <v>358.67708333333331</v>
      </c>
      <c r="GY442" s="5">
        <v>286.94166666666666</v>
      </c>
      <c r="GZ442" s="5">
        <v>253.19574071601335</v>
      </c>
      <c r="HA442" s="5">
        <v>234.53733318419432</v>
      </c>
      <c r="HB442" s="39">
        <v>264.39088318143985</v>
      </c>
      <c r="HC442" s="5">
        <v>249.35312499999998</v>
      </c>
      <c r="HD442" s="5">
        <v>213.91580774853799</v>
      </c>
      <c r="HE442" s="5">
        <v>216.92584767206475</v>
      </c>
      <c r="HF442" s="5">
        <v>200.85938048245612</v>
      </c>
      <c r="HG442" s="5">
        <v>194.01388157894735</v>
      </c>
      <c r="HH442" s="39">
        <v>214.07892353971346</v>
      </c>
      <c r="HI442" s="16"/>
      <c r="HJ442" s="19" t="str">
        <f t="shared" si="1232"/>
        <v>On</v>
      </c>
      <c r="HK442" s="1" t="str">
        <f t="shared" si="1232"/>
        <v>On</v>
      </c>
      <c r="HL442" s="16"/>
      <c r="HM442" s="639">
        <f t="shared" si="1110"/>
        <v>2.9403358434788716E-2</v>
      </c>
      <c r="HN442" s="639">
        <f t="shared" si="1111"/>
        <v>1.4106809950923669E-3</v>
      </c>
      <c r="HO442" s="639">
        <f t="shared" si="1112"/>
        <v>1.7317923025048877E-3</v>
      </c>
      <c r="HP442" s="644">
        <f>(FT442*$GD442-HM442)/$JF442*INDEX(Input!$1:$1048576,$JG$93,$C442*2+6)</f>
        <v>400.8175316762804</v>
      </c>
      <c r="HQ442" s="644">
        <f>(FU442*$GD442-HN442)/$JF442*INDEX(Input!$1:$1048576,$JG$93,$C442*2+6)</f>
        <v>-30.976737235967974</v>
      </c>
      <c r="HR442" s="644">
        <f>(FV442*$GD442-HO442)/$JF442*INDEX(Input!$1:$1048576,$JG$93,$C442*2+6)</f>
        <v>-22.041756638624243</v>
      </c>
      <c r="HS442" s="644">
        <f t="shared" si="1233"/>
        <v>-167.62144887956961</v>
      </c>
      <c r="HT442" s="644">
        <f t="shared" si="1114"/>
        <v>36.284189606993223</v>
      </c>
      <c r="HU442" s="644">
        <f t="shared" si="1115"/>
        <v>19.871174909579214</v>
      </c>
      <c r="HV442" s="648">
        <f t="shared" si="1116"/>
        <v>0</v>
      </c>
      <c r="HW442" s="648">
        <f t="shared" si="1117"/>
        <v>0</v>
      </c>
      <c r="HX442" s="648">
        <f t="shared" si="1118"/>
        <v>0</v>
      </c>
      <c r="HY442" s="644">
        <f>INDEX(Input!$1:$1048576,HY$93,$C442*2+6)*INDEX(Input!$1:$1048576,$JG$93,$C442*2+6)</f>
        <v>993</v>
      </c>
      <c r="HZ442" s="644">
        <f>INDEX(Input!$1:$1048576,HZ$93,$C442*2+6)*INDEX(Input!$1:$1048576,$JG$93,$C442*2+6)</f>
        <v>1216</v>
      </c>
      <c r="IA442" s="644">
        <f>INDEX(Input!$1:$1048576,IA$93,$C442*2+6)*INDEX(Input!$1:$1048576,$JG$93,$C442*2+6)</f>
        <v>120</v>
      </c>
      <c r="IB442" s="644">
        <f t="shared" si="1142"/>
        <v>1226.1960827967109</v>
      </c>
      <c r="IC442" s="644">
        <f t="shared" si="1143"/>
        <v>1221.3074523710254</v>
      </c>
      <c r="ID442" s="644">
        <f>IF(AND(INDEX(Input!$1:$1048576,IA$93,$C442*2+7)="TOS",Y442&lt;=INDEX(Y:Y,MATCH(C442*1000+2,A:A))),0,1)*MAX(IA442+HR442+HU442+HX442,0%)</f>
        <v>117.82941827095497</v>
      </c>
      <c r="IE442" s="128">
        <f t="shared" si="1237"/>
        <v>0.47798710929630434</v>
      </c>
      <c r="IF442" s="128">
        <f t="shared" si="1210"/>
        <v>0.47608145786063688</v>
      </c>
      <c r="IG442" s="128">
        <f t="shared" si="1120"/>
        <v>4.5931432843058818E-2</v>
      </c>
      <c r="IH442" s="21"/>
      <c r="II442" s="19">
        <f t="shared" si="1121"/>
        <v>1490</v>
      </c>
      <c r="IJ442" s="19">
        <f t="shared" si="1122"/>
        <v>2203.2561351629856</v>
      </c>
      <c r="IK442" s="19">
        <f t="shared" si="1123"/>
        <v>242</v>
      </c>
      <c r="IL442" s="19">
        <f t="shared" si="1145"/>
        <v>1279.9999999999995</v>
      </c>
      <c r="IM442" s="19">
        <f t="shared" si="1124"/>
        <v>280.24569793203591</v>
      </c>
      <c r="IN442" s="19">
        <f t="shared" si="1125"/>
        <v>625</v>
      </c>
      <c r="IO442" s="39">
        <f t="shared" si="1126"/>
        <v>0</v>
      </c>
      <c r="IP442" s="39">
        <f t="shared" si="1127"/>
        <v>0</v>
      </c>
      <c r="IQ442" s="39">
        <f t="shared" si="1128"/>
        <v>0</v>
      </c>
      <c r="IR442" s="39">
        <v>0</v>
      </c>
      <c r="IS442" s="39">
        <v>0</v>
      </c>
      <c r="IT442" s="39">
        <v>0</v>
      </c>
      <c r="IU442" s="39">
        <v>0</v>
      </c>
      <c r="IV442" s="39">
        <v>0</v>
      </c>
      <c r="IW442" s="39">
        <v>0</v>
      </c>
      <c r="IX442" s="39">
        <f>INDEX(Input!$1:$1048576,IX$93,$C442*2+6)+INDEX(Input!$1:$1048576,IX$94,$C442*2+6)</f>
        <v>1770</v>
      </c>
      <c r="IY442" s="39">
        <f>INDEX(Input!$1:$1048576,IY$93,$C442*2+6)+INDEX(Input!$1:$1048576,IY$94,$C442*2+6)</f>
        <v>2630.0624533823611</v>
      </c>
      <c r="IZ442" s="39">
        <f>INDEX(Input!$1:$1048576,IZ$93,$C442*2+6)+INDEX(Input!$1:$1048576,IZ$94,$C442*2+6)</f>
        <v>4153.7164157747848</v>
      </c>
      <c r="JA442" s="19">
        <f t="shared" si="1146"/>
        <v>3049.9999999999995</v>
      </c>
      <c r="JB442" s="19">
        <f t="shared" si="1147"/>
        <v>2910.308151314397</v>
      </c>
      <c r="JC442" s="19">
        <f t="shared" si="1148"/>
        <v>4778.7164157747848</v>
      </c>
      <c r="JD442" s="19">
        <f t="shared" si="1149"/>
        <v>3062.8977229823631</v>
      </c>
      <c r="JE442" s="21"/>
      <c r="JF442" s="1">
        <f t="shared" si="1129"/>
        <v>3.2545831732385969E-2</v>
      </c>
      <c r="JG442" s="15">
        <f>INDEX(Input!$1:$1048576,JG$93,$C442*2+6)/(1+VLOOKUP(C442*1000+INDEX(Input!$1:$1048576,JG$93+1,$C442*2+6),$A:$KK,$JK$92,FALSE))</f>
        <v>2329</v>
      </c>
      <c r="JH442" s="1">
        <f t="shared" si="1150"/>
        <v>0.14933406517891293</v>
      </c>
      <c r="JI442" s="1">
        <f t="shared" si="1151"/>
        <v>-4.7860061984970871E-2</v>
      </c>
      <c r="JJ442" s="1">
        <f t="shared" si="1211"/>
        <v>0</v>
      </c>
      <c r="JK442" s="1">
        <f t="shared" si="1212"/>
        <v>0.10147400319394206</v>
      </c>
      <c r="JL442" s="15">
        <f t="shared" si="1154"/>
        <v>236.33295343869108</v>
      </c>
      <c r="JM442" s="15">
        <f t="shared" si="1180"/>
        <v>2565.3329534386912</v>
      </c>
      <c r="JN442" s="21"/>
      <c r="JO442" s="19">
        <f>INDEX(Input!$1:$1048576,JO$93,$C442*2+6)</f>
        <v>5995.5</v>
      </c>
      <c r="JP442" s="19">
        <f>INDEX(Input!$1:$1048576,JP$93,$C442*2+6)</f>
        <v>2341.8685758720158</v>
      </c>
      <c r="JQ442" s="39">
        <f t="shared" si="1166"/>
        <v>2932.6022770176369</v>
      </c>
      <c r="JR442" s="39">
        <f t="shared" si="1183"/>
        <v>721.02914711034737</v>
      </c>
      <c r="JS442" s="39">
        <f t="shared" si="1168"/>
        <v>7.8573524617789881</v>
      </c>
      <c r="JT442" s="39">
        <f t="shared" si="1156"/>
        <v>2.4031405485730635</v>
      </c>
      <c r="JU442" s="385">
        <f>(JQ442*JM442-INDEX(Input!$1:$1048576,Input!A$18,$C442*2+6)*JL442*INDEX(Input!$1:$1048576,Input!A$19,$C442*2+6))/1000000</f>
        <v>7.5231012605626857</v>
      </c>
      <c r="JV442" s="39">
        <f t="shared" si="1190"/>
        <v>-0.98620632623138871</v>
      </c>
      <c r="JW442" s="1">
        <f t="shared" si="1181"/>
        <v>-0.11589736487630564</v>
      </c>
      <c r="JX442" s="19">
        <f t="shared" si="1172"/>
        <v>10168.453081158994</v>
      </c>
      <c r="JZ442" s="341"/>
      <c r="KA442" s="342"/>
      <c r="KB442" s="469">
        <f t="shared" si="1169"/>
        <v>2.3434325605641804</v>
      </c>
      <c r="KI442" s="473">
        <f t="shared" si="1235"/>
        <v>233.19608279671093</v>
      </c>
      <c r="KJ442" s="473">
        <f t="shared" si="1236"/>
        <v>5.3074523710254198</v>
      </c>
      <c r="KK442" s="473">
        <f t="shared" si="1158"/>
        <v>-2.1705817290450256</v>
      </c>
      <c r="KN442" s="544">
        <f t="shared" si="1173"/>
        <v>4002</v>
      </c>
      <c r="KO442" s="541">
        <f t="shared" si="1133"/>
        <v>6.0663382945944866E-2</v>
      </c>
      <c r="KP442" s="546">
        <f t="shared" si="1134"/>
        <v>494.61703080529048</v>
      </c>
      <c r="KQ442" s="546">
        <f t="shared" si="1135"/>
        <v>438.12653494634196</v>
      </c>
      <c r="KR442" s="548">
        <f t="shared" si="1136"/>
        <v>2.129183070657283</v>
      </c>
      <c r="KS442" s="548">
        <f t="shared" si="1137"/>
        <v>2.403712453933827</v>
      </c>
      <c r="KT442" s="473">
        <f t="shared" si="1171"/>
        <v>1580.0986321700548</v>
      </c>
      <c r="KU442" s="663">
        <f t="shared" si="1159"/>
        <v>4.0684733561884094</v>
      </c>
      <c r="KV442" s="117"/>
    </row>
    <row r="443" spans="1:308" s="26" customFormat="1" ht="15">
      <c r="A443" s="561">
        <f t="shared" si="1138"/>
        <v>4043</v>
      </c>
      <c r="B443" s="561">
        <f t="shared" si="1160"/>
        <v>43</v>
      </c>
      <c r="C443" s="561">
        <f t="shared" si="1161"/>
        <v>4</v>
      </c>
      <c r="D443" s="561" t="str">
        <f t="shared" si="1206"/>
        <v xml:space="preserve">0/0/0.9/3.9, 360 Lease, </v>
      </c>
      <c r="E443" s="475">
        <f>INDEX(Input!$1:$1048576,E$93,$C443*2+MIN($B443,2)+5)
+INDEX(Scenarios!E$121:E$200,MATCH($B443,Scenarios!$B$121:$B$200,0))</f>
        <v>1256.832975525977</v>
      </c>
      <c r="F443" s="475">
        <f>INDEX(Input!$1:$1048576,F$93,$C443*2+MIN($B443,2)+5)
+INDEX(Scenarios!F$121:F$200,MATCH($B443,Scenarios!$B$121:$B$200,0))</f>
        <v>0</v>
      </c>
      <c r="G443" s="475">
        <f>INDEX(Input!$1:$1048576,G$93,$C443*2+MIN($B443,2)+5)
+INDEX(Scenarios!G$121:G$200,MATCH($B443,Scenarios!$B$121:$B$200,0))</f>
        <v>0</v>
      </c>
      <c r="H443" s="475">
        <f>INDEX(Input!$1:$1048576,H$93,$C443*2+MIN($B443,2)+5)
+INDEX(Scenarios!H$121:H$200,MATCH($B443,Scenarios!$B$121:$B$200,0))</f>
        <v>0</v>
      </c>
      <c r="I443" s="476">
        <f>INDEX(Input!$1:$1048576,I$93,$C443*2+MIN($B443,2)+5)</f>
        <v>0.7</v>
      </c>
      <c r="J443" s="476" t="str">
        <f>INDEX(Input!$1:$1048576,J$93,$C443*2+MIN($B443,2)+5)</f>
        <v>Market</v>
      </c>
      <c r="K443" s="476" t="str">
        <f>INDEX(Input!$1:$1048576,K$93,$C443*2+MIN($B443,2)+5)</f>
        <v>Market</v>
      </c>
      <c r="L443" s="476" t="str">
        <f>INDEX(Input!$1:$1048576,L$93,$C443*2+MIN($B443,2)+5)</f>
        <v>Market</v>
      </c>
      <c r="M443" s="476" t="str">
        <f>INDEX(Input!$1:$1048576,M$93,$C443*2+MIN($B443,2)+5)</f>
        <v>Market</v>
      </c>
      <c r="N443" s="476" t="str">
        <f>INDEX(Input!$1:$1048576,N$93,$C443*2+MIN($B443,2)+5)</f>
        <v>Market</v>
      </c>
      <c r="O443" s="476" t="str">
        <f>INDEX(Input!$1:$1048576,O$93,$C443*2+MIN($B443,2)+5)</f>
        <v>Market</v>
      </c>
      <c r="P443" s="476" t="str">
        <f>INDEX(Input!$1:$1048576,P$93,$C443*2+MIN($B443,2)+5)</f>
        <v>N</v>
      </c>
      <c r="Q443" s="477">
        <f>INDEX(Input!$1:$1048576,Q$93,$C443*2+MIN($B443,2)+5)
+INDEX(Scenarios!Q$121:Q$200,MATCH($B443,Scenarios!$B$121:$B$200,0))</f>
        <v>0</v>
      </c>
      <c r="R443" s="478">
        <f>IFERROR(MAX(0,INDEX(Input!$1:$1048576,R$93,$C443*2+MIN($B443,2)+5)
+INDEX(Scenarios!R$121:R$200,MATCH($B443,Scenarios!$B$121:$B$200,0)),),"Market")</f>
        <v>0</v>
      </c>
      <c r="S443" s="478">
        <f>IFERROR(MAX(0,INDEX(Input!$1:$1048576,S$93,$C443*2+MIN($B443,2)+5)
+INDEX(Scenarios!S$121:S$200,MATCH($B443,Scenarios!$B$121:$B$200,0)),),"Market")</f>
        <v>0</v>
      </c>
      <c r="T443" s="478">
        <f>IFERROR(MAX(0,INDEX(Input!$1:$1048576,T$93,$C443*2+MIN($B443,2)+5)
+INDEX(Scenarios!T$121:T$200,MATCH($B443,Scenarios!$B$121:$B$200,0)),),"Market")</f>
        <v>0</v>
      </c>
      <c r="U443" s="478">
        <f>IFERROR(MAX(0,INDEX(Input!$1:$1048576,U$93,$C443*2+MIN($B443,2)+5)
+INDEX(Scenarios!U$121:U$200,MATCH($B443,Scenarios!$B$121:$B$200,0)),),"Market")</f>
        <v>0</v>
      </c>
      <c r="V443" s="478">
        <f>IFERROR(MAX(0,INDEX(Input!$1:$1048576,V$93,$C443*2+MIN($B443,2)+5)
+INDEX(Scenarios!V$121:V$200,MATCH($B443,Scenarios!$B$121:$B$200,0)),),"Market")</f>
        <v>8.9999999999999993E-3</v>
      </c>
      <c r="W443" s="885">
        <f>IFERROR(MAX(0,INDEX(Input!$1:$1048576,W$93,$C443*2+MIN($B443,2)+5)-0%,),"Market")</f>
        <v>3.9E-2</v>
      </c>
      <c r="X443" s="476" t="str">
        <f>INDEX(Input!$1:$1048576,X$93,$C443*2+MIN($B443,2)+5)</f>
        <v>Y</v>
      </c>
      <c r="Y443" s="475">
        <f>INDEX(Input!$1:$1048576,Y$93,$C443*2+MIN($B443,2)+5)
++INDEX(Scenarios!Y$121:Y$200,MATCH($B443,Scenarios!$B$121:$B$200,0))</f>
        <v>-510</v>
      </c>
      <c r="Z443" s="477">
        <f>INDEX(Input!$1:$1048576,Z$93,$C443*2+MIN($B443,2)+5)
+INDEX(Scenarios!Z$121:Z$200,MATCH($B443,Scenarios!$B$121:$B$200,0))</f>
        <v>0</v>
      </c>
      <c r="AA443" s="475">
        <f>INDEX(Input!$1:$1048576,AA$93,$C443*2+MIN($B443,2)+5)
+INDEX(Scenarios!AA$121:AA$200,MATCH($B443,Scenarios!$B$121:$B$200,0))</f>
        <v>0</v>
      </c>
      <c r="AB443" s="476">
        <f>INDEX(Input!$1:$1048576,AB$93,$C443*2+MIN($B443,2)+5)</f>
        <v>0.27</v>
      </c>
      <c r="AC443" s="475">
        <f>INDEX(Input!$1:$1048576,AC$93,$C443*2+MIN($B443,2)+5)
+INDEX(Scenarios!AC$121:AC$200,MATCH($B443,Scenarios!$B$121:$B$200,0))</f>
        <v>0</v>
      </c>
      <c r="AD443" s="476">
        <f>INDEX(Input!$1:$1048576,AD$93,$C443*2+MIN($B443,2)+5)</f>
        <v>0.27</v>
      </c>
      <c r="AE443" s="475">
        <f>INDEX(Input!$1:$1048576,AE$93,$C443*2+MIN($B443,2)+5)
+INDEX(Scenarios!AE$121:AE$200,MATCH($B443,Scenarios!$B$121:$B$200,0))</f>
        <v>0</v>
      </c>
      <c r="AF443" s="476">
        <f>INDEX(Input!$1:$1048576,AF$93,$C443*2+MIN($B443,2)+5)</f>
        <v>1</v>
      </c>
      <c r="AG443" s="475">
        <f>INDEX(Input!$1:$1048576,AG$93,$C443*2+MIN($B443,2)+5)
+INDEX(Scenarios!AG$121:AG$200,MATCH($B443,Scenarios!$B$121:$B$200,0))</f>
        <v>500</v>
      </c>
      <c r="AH443" s="476">
        <f>INDEX(Input!$1:$1048576,AH$93,$C443*2+MIN($B443,2)+5)</f>
        <v>0.83199999999999996</v>
      </c>
      <c r="AI443" s="475">
        <f>INDEX(Input!$1:$1048576,AI$93,$C443*2+MIN($B443,2)+5)
+INDEX(Scenarios!AI$121:AI$200,MATCH($B443,Scenarios!$B$121:$B$200,0))</f>
        <v>0</v>
      </c>
      <c r="AJ443" s="476">
        <f>INDEX(Input!$1:$1048576,AJ$93,$C443*2+MIN($B443,2)+5)</f>
        <v>0.27</v>
      </c>
      <c r="AK443" s="150">
        <f>ROUND(INDEX(Input!$1:$1048576,AK$93,$C442*2+MIN($B443,1)+5)+(Y443-VLOOKUP($C443*1000+1,$A:$HH,Y$92,FALSE)),0)</f>
        <v>2947</v>
      </c>
      <c r="AL443" s="150">
        <f>ROUND(INDEX(Input!$1:$1048576,AL$93,$C442*2+MIN($B443,1)+5)-(Y443-VLOOKUP($C443*1000+1,$A:$HH,Y$92,FALSE))/36,0)</f>
        <v>3396</v>
      </c>
      <c r="AM443" s="32" t="str">
        <f t="shared" si="1139"/>
        <v>std/std/std/std</v>
      </c>
      <c r="AN443" s="32" t="str">
        <f t="shared" si="1140"/>
        <v>$0 + 0/0/0/0.9/3.9</v>
      </c>
      <c r="AO443" s="32" t="str">
        <f t="shared" si="1141"/>
        <v>0/0/0/0.9/3.9</v>
      </c>
      <c r="AP443" s="32" t="str">
        <f t="shared" si="1213"/>
        <v>0/0/0.9/3.9</v>
      </c>
      <c r="AQ443" s="536">
        <f t="shared" si="1207"/>
        <v>0.39660036005316807</v>
      </c>
      <c r="AR443" s="32"/>
      <c r="AS443" s="302"/>
      <c r="AT443" s="3">
        <f t="shared" si="1162"/>
        <v>43</v>
      </c>
      <c r="AU443" s="41" t="s">
        <v>121</v>
      </c>
      <c r="AV443" s="41" t="s">
        <v>116</v>
      </c>
      <c r="AW443" s="41" t="str">
        <f>INDEX(Input!$1:$1048576,AW$93,$C443*2+6)</f>
        <v>Kia</v>
      </c>
      <c r="AX443" s="41" t="str">
        <f>INDEX(Input!$1:$1048576,AX$93,$C443*2+6)</f>
        <v>Kia-LR - R1</v>
      </c>
      <c r="AY443" s="41" t="str">
        <f>IF(LEN(D443)=0,"",INDEX(Input!$1:$1048576,AY$93,$C443*2+6))</f>
        <v>Compact SUV (52)</v>
      </c>
      <c r="AZ443" s="41" t="str">
        <f>INDEX(Input!$1:$1048576,AZ$93,$C443*2+6)</f>
        <v>Kia Soul</v>
      </c>
      <c r="BA443" s="3">
        <f>INDEX(Input!$1:$1048576,BA$93,$C443*2+6)</f>
        <v>2020</v>
      </c>
      <c r="BB443" s="128">
        <f>INDEX(Input!$1:$1048576,BB$93,$C443*2+6)</f>
        <v>1</v>
      </c>
      <c r="BC443" s="128">
        <f>INDEX(Input!$1:$1048576,BC$93,$C443*2+6)</f>
        <v>0.7</v>
      </c>
      <c r="BD443" s="1">
        <f>INDEX(Input!$1:$1048576,BD$93,$C443*2+6)</f>
        <v>4.4999999999999998E-2</v>
      </c>
      <c r="BE443" s="1">
        <f>INDEX(Input!$1:$1048576,BE$93,$C443*2+6)</f>
        <v>4.4999999999999998E-2</v>
      </c>
      <c r="BF443" s="1">
        <f>INDEX(Input!$1:$1048576,BF$93,$C443*2+6)</f>
        <v>0.05</v>
      </c>
      <c r="BG443" s="1">
        <f>INDEX(Input!$1:$1048576,BG$93,$C443*2+6)</f>
        <v>5.45E-2</v>
      </c>
      <c r="BH443" s="1">
        <f>INDEX(Input!$1:$1048576,BH$93,$C443*2+6)</f>
        <v>5.45E-2</v>
      </c>
      <c r="BI443" s="1">
        <f>INDEX(Input!$1:$1048576,BI$93,$C443*2+6)</f>
        <v>0.05</v>
      </c>
      <c r="BJ443" s="1">
        <f>INDEX(Input!$1:$1048576,BJ$93,$C443*2+6)</f>
        <v>0.05</v>
      </c>
      <c r="BK443" s="1">
        <f>INDEX(Input!$1:$1048576,BK$93,$C443*2+6)</f>
        <v>0.05</v>
      </c>
      <c r="BL443" s="1">
        <f>INDEX(Input!$1:$1048576,BL$93,$C443*2+6)</f>
        <v>5.5E-2</v>
      </c>
      <c r="BM443" s="1">
        <f>INDEX(Input!$1:$1048576,BM$93,$C443*2+6)</f>
        <v>0.06</v>
      </c>
      <c r="BN443" s="1">
        <f>INDEX(Input!$1:$1048576,BN$93,$C443*2+6)</f>
        <v>4.4999999999999998E-2</v>
      </c>
      <c r="BO443" s="1">
        <f>INDEX(Input!$1:$1048576,BO$93,$C443*2+6)</f>
        <v>4.4999999999999998E-2</v>
      </c>
      <c r="BP443" s="1">
        <f>INDEX(Input!$1:$1048576,BP$93,$C443*2+6)</f>
        <v>0.05</v>
      </c>
      <c r="BQ443" s="1">
        <f>INDEX(Input!$1:$1048576,BQ$93,$C443*2+6)</f>
        <v>5.45E-2</v>
      </c>
      <c r="BR443" s="1">
        <f>INDEX(Input!$1:$1048576,BR$93,$C443*2+6)</f>
        <v>5.45E-2</v>
      </c>
      <c r="BS443" s="1">
        <f>INDEX(Input!$1:$1048576,BS$93,$C443*2+6)</f>
        <v>0.05</v>
      </c>
      <c r="BT443" s="1">
        <f>INDEX(Input!$1:$1048576,BT$93,$C443*2+6)</f>
        <v>0.05</v>
      </c>
      <c r="BU443" s="1">
        <f>INDEX(Input!$1:$1048576,BU$93,$C443*2+6)</f>
        <v>0.05</v>
      </c>
      <c r="BV443" s="1">
        <f>INDEX(Input!$1:$1048576,BV$93,$C443*2+6)</f>
        <v>5.5E-2</v>
      </c>
      <c r="BW443" s="1">
        <f>INDEX(Input!$1:$1048576,BW$93,$C443*2+6)</f>
        <v>0.06</v>
      </c>
      <c r="BX443" s="127">
        <f>INDEX(Input!$1:$1048576,BX$93,$C443*2+6)</f>
        <v>19985</v>
      </c>
      <c r="BY443" s="20">
        <f>INDEX(Input!$1:$1048576,BY$93,$C443*2+6)</f>
        <v>0.1</v>
      </c>
      <c r="BZ443" s="20">
        <f>INDEX(Input!$1:$1048576,BZ$93,$C443*2+6)</f>
        <v>0.1</v>
      </c>
      <c r="CA443" s="20">
        <f>INDEX(Input!$1:$1048576,CA$93,$C443*2+6)</f>
        <v>0.1</v>
      </c>
      <c r="CB443" s="20">
        <f>INDEX(Input!$1:$1048576,CB$93,$C443*2+6)</f>
        <v>0.1</v>
      </c>
      <c r="CC443" s="20">
        <f>INDEX(Input!$1:$1048576,CC$93,$C443*2+6)</f>
        <v>0.1</v>
      </c>
      <c r="CD443" s="384">
        <f>INDEX(Input!$1:$1048576,CD$93,$C443*2+6)</f>
        <v>0.1</v>
      </c>
      <c r="CE443" s="384">
        <f>INDEX(Input!$1:$1048576,CE$93,$C443*2+6)</f>
        <v>0.1</v>
      </c>
      <c r="CF443" s="384">
        <f>INDEX(Input!$1:$1048576,CF$93,$C443*2+6)</f>
        <v>0.1</v>
      </c>
      <c r="CG443" s="384">
        <f>INDEX(Input!$1:$1048576,CG$93,$C443*2+6)</f>
        <v>0.1</v>
      </c>
      <c r="CH443" s="384">
        <f>INDEX(Input!$1:$1048576,CH$93,$C443*2+6)</f>
        <v>0.1</v>
      </c>
      <c r="CI443" s="304">
        <f t="shared" si="1214"/>
        <v>1256.832975525977</v>
      </c>
      <c r="CJ443" s="16" t="str">
        <f>INDEX(Input!$1:$1048576,CJ$93,$C443*2+6)</f>
        <v>N</v>
      </c>
      <c r="CK443" s="1" t="str">
        <f t="shared" si="1215"/>
        <v>Market</v>
      </c>
      <c r="CL443" s="1" t="str">
        <f t="shared" si="1216"/>
        <v>Market</v>
      </c>
      <c r="CM443" s="1" t="str">
        <f t="shared" si="1217"/>
        <v>Market</v>
      </c>
      <c r="CN443" s="1" t="str">
        <f t="shared" si="1218"/>
        <v>Market</v>
      </c>
      <c r="CO443" s="1" t="str">
        <f t="shared" si="1219"/>
        <v>Market</v>
      </c>
      <c r="CP443" s="304">
        <f t="shared" si="1220"/>
        <v>416</v>
      </c>
      <c r="CQ443" s="1">
        <f t="shared" si="1221"/>
        <v>0</v>
      </c>
      <c r="CR443" s="1">
        <f t="shared" si="1222"/>
        <v>0</v>
      </c>
      <c r="CS443" s="1">
        <f t="shared" si="1223"/>
        <v>0</v>
      </c>
      <c r="CT443" s="1">
        <f t="shared" si="1224"/>
        <v>8.9999999999999993E-3</v>
      </c>
      <c r="CU443" s="1">
        <f t="shared" si="1225"/>
        <v>3.9E-2</v>
      </c>
      <c r="CV443" s="304">
        <f t="shared" si="1226"/>
        <v>-510</v>
      </c>
      <c r="CW443" s="20" t="s">
        <v>122</v>
      </c>
      <c r="CX443" s="20" t="s">
        <v>122</v>
      </c>
      <c r="CY443" s="20" t="s">
        <v>122</v>
      </c>
      <c r="CZ443" s="20" t="s">
        <v>122</v>
      </c>
      <c r="DA443" s="20" t="s">
        <v>122</v>
      </c>
      <c r="DB443" s="503">
        <f t="shared" si="1227"/>
        <v>0</v>
      </c>
      <c r="DC443" s="127">
        <v>0</v>
      </c>
      <c r="DD443" s="127">
        <v>0</v>
      </c>
      <c r="DE443" s="127">
        <v>0</v>
      </c>
      <c r="DF443" s="127">
        <v>0</v>
      </c>
      <c r="DG443" s="127">
        <v>0</v>
      </c>
      <c r="DH443" s="127">
        <v>0</v>
      </c>
      <c r="DI443" s="127">
        <v>0</v>
      </c>
      <c r="DJ443" s="127">
        <v>0</v>
      </c>
      <c r="DK443" s="127">
        <v>0</v>
      </c>
      <c r="DL443" s="127">
        <v>0</v>
      </c>
      <c r="DM443" s="304">
        <f>INDEX(Input!$1:$1048576,DM$93,$C443*2+6)</f>
        <v>21036.84210526316</v>
      </c>
      <c r="DN443" s="20">
        <v>0</v>
      </c>
      <c r="DO443" s="20">
        <v>0</v>
      </c>
      <c r="DP443" s="20">
        <v>0</v>
      </c>
      <c r="DQ443" s="20">
        <v>0</v>
      </c>
      <c r="DR443" s="20">
        <v>0</v>
      </c>
      <c r="DS443" s="20">
        <f>INDEX(Input!$1:$1048576,DS$93,$C443*2+6)</f>
        <v>0.6</v>
      </c>
      <c r="DT443" s="20">
        <f>INDEX(Input!$1:$1048576,DT$93,$C443*2+6)</f>
        <v>0.55000000000000004</v>
      </c>
      <c r="DU443" s="20">
        <f>INDEX(Input!$1:$1048576,DU$93,$C443*2+6)</f>
        <v>0.52</v>
      </c>
      <c r="DV443" s="20">
        <f>INDEX(Input!$1:$1048576,DV$93,$C443*2+6)</f>
        <v>0.5</v>
      </c>
      <c r="DW443" s="20">
        <f>INDEX(Input!$1:$1048576,DW$93,$C443*2+6)</f>
        <v>0.45</v>
      </c>
      <c r="DX443" s="20"/>
      <c r="DY443" s="7">
        <v>0.1005387162523096</v>
      </c>
      <c r="DZ443" s="7">
        <v>0</v>
      </c>
      <c r="EA443" s="7">
        <v>0.78382335401154413</v>
      </c>
      <c r="EB443" s="7">
        <v>0</v>
      </c>
      <c r="EC443" s="7">
        <v>0</v>
      </c>
      <c r="ED443" s="7">
        <v>0</v>
      </c>
      <c r="EE443" s="7">
        <v>0</v>
      </c>
      <c r="EF443" s="7">
        <v>0</v>
      </c>
      <c r="EG443" s="7">
        <v>0</v>
      </c>
      <c r="EH443" s="7">
        <v>9.5028112738385368E-3</v>
      </c>
      <c r="EI443" s="7">
        <v>2.4816026874998526E-2</v>
      </c>
      <c r="EJ443" s="7">
        <v>0.174228715973301</v>
      </c>
      <c r="EK443" s="7">
        <v>0.68483138494910312</v>
      </c>
      <c r="EL443" s="7">
        <v>0.10662106092875914</v>
      </c>
      <c r="EM443" s="7">
        <v>5.4463867082601786E-2</v>
      </c>
      <c r="EN443" s="7">
        <v>5.1607742585243518E-2</v>
      </c>
      <c r="EO443" s="7">
        <v>0.72418382777646939</v>
      </c>
      <c r="EP443" s="7">
        <v>9.6762240671368197E-2</v>
      </c>
      <c r="EQ443" s="7">
        <v>8.5005301112250492E-2</v>
      </c>
      <c r="ER443" s="7">
        <v>4.2440887854669075E-2</v>
      </c>
      <c r="ES443" s="7">
        <v>6.1174062653544393E-2</v>
      </c>
      <c r="ET443" s="7">
        <v>0.1156379297361462</v>
      </c>
      <c r="EU443" s="6">
        <v>1770</v>
      </c>
      <c r="EV443" s="6">
        <v>0</v>
      </c>
      <c r="EW443" s="6">
        <v>1770</v>
      </c>
      <c r="EX443" s="6">
        <v>0</v>
      </c>
      <c r="EY443" s="6">
        <v>2824.2510089460761</v>
      </c>
      <c r="EZ443" s="6">
        <v>867</v>
      </c>
      <c r="FA443" s="6">
        <v>0</v>
      </c>
      <c r="FB443" s="6">
        <v>0</v>
      </c>
      <c r="FC443" s="6">
        <v>0</v>
      </c>
      <c r="FD443" s="6">
        <v>0</v>
      </c>
      <c r="FE443" s="6">
        <v>0</v>
      </c>
      <c r="FF443" s="6">
        <v>0</v>
      </c>
      <c r="FG443" s="6">
        <v>0</v>
      </c>
      <c r="FH443" s="6">
        <v>1169.7966920927495</v>
      </c>
      <c r="FI443" s="6">
        <v>1553.9796069512404</v>
      </c>
      <c r="FJ443" s="6">
        <v>2101.2110117447401</v>
      </c>
      <c r="FK443" s="6">
        <v>2251.3078348034669</v>
      </c>
      <c r="FL443" s="6">
        <v>907.07682140966335</v>
      </c>
      <c r="FM443" s="6">
        <v>2054.2510089460761</v>
      </c>
      <c r="FN443" s="6">
        <v>0</v>
      </c>
      <c r="FO443" s="6">
        <v>0</v>
      </c>
      <c r="FP443" s="6">
        <v>0</v>
      </c>
      <c r="FQ443" s="6">
        <v>0</v>
      </c>
      <c r="FR443" s="6">
        <v>0</v>
      </c>
      <c r="FS443" s="6">
        <v>0</v>
      </c>
      <c r="FT443" s="7">
        <v>0.88436207026385372</v>
      </c>
      <c r="FU443" s="7">
        <v>5.4463867082601786E-2</v>
      </c>
      <c r="FV443" s="7">
        <v>6.1174062653544393E-2</v>
      </c>
      <c r="FW443" s="6">
        <v>1770</v>
      </c>
      <c r="FX443" s="6">
        <v>2824.2510089460766</v>
      </c>
      <c r="FY443" s="6">
        <v>867</v>
      </c>
      <c r="FZ443" s="6">
        <v>1949.5716051445115</v>
      </c>
      <c r="GA443" s="6">
        <v>1772.1784082467873</v>
      </c>
      <c r="GB443" s="6">
        <v>18212.821591753214</v>
      </c>
      <c r="GC443" s="7">
        <v>3.3872851927908169E-2</v>
      </c>
      <c r="GD443" s="7">
        <v>3.3764469647911556E-2</v>
      </c>
      <c r="GE443" s="7"/>
      <c r="GF443" s="7"/>
      <c r="GG443" s="7">
        <v>-3.1996797974756922E-3</v>
      </c>
      <c r="GH443" s="42">
        <v>0.36047380548319136</v>
      </c>
      <c r="GI443" s="6">
        <v>57213.100039740661</v>
      </c>
      <c r="GJ443" s="14">
        <v>0.50394797582841722</v>
      </c>
      <c r="GK443" s="14">
        <v>0.50887573065309732</v>
      </c>
      <c r="GL443" s="14">
        <v>0.49605202417158278</v>
      </c>
      <c r="GM443" s="14">
        <v>0.49112426934690201</v>
      </c>
      <c r="GO443" s="5">
        <v>343.14810671672558</v>
      </c>
      <c r="GP443" s="5">
        <v>309.37988338875158</v>
      </c>
      <c r="GQ443" s="5">
        <v>535.04305713031317</v>
      </c>
      <c r="GR443" s="5">
        <v>410.15490233172511</v>
      </c>
      <c r="GS443" s="5">
        <v>339.42744393800166</v>
      </c>
      <c r="GT443" s="5">
        <v>293.4407446948278</v>
      </c>
      <c r="GU443" s="5">
        <v>258.04012322764959</v>
      </c>
      <c r="GV443" s="39" t="s">
        <v>392</v>
      </c>
      <c r="GW443" s="5">
        <v>478.23611111111109</v>
      </c>
      <c r="GX443" s="5">
        <v>358.67708333333331</v>
      </c>
      <c r="GY443" s="5">
        <v>286.94166666666666</v>
      </c>
      <c r="GZ443" s="5">
        <v>245.72198221012883</v>
      </c>
      <c r="HA443" s="5">
        <v>234.53733318419432</v>
      </c>
      <c r="HB443" s="39">
        <v>256.72375047114377</v>
      </c>
      <c r="HC443" s="5">
        <v>249.35312499999998</v>
      </c>
      <c r="HD443" s="5">
        <v>213.91580774853799</v>
      </c>
      <c r="HE443" s="5">
        <v>216.92584767206475</v>
      </c>
      <c r="HF443" s="5">
        <v>200.85938048245612</v>
      </c>
      <c r="HG443" s="5">
        <v>194.01388157894735</v>
      </c>
      <c r="HH443" s="39">
        <v>214.08138495481489</v>
      </c>
      <c r="HI443" s="16"/>
      <c r="HJ443" s="19" t="str">
        <f t="shared" si="1232"/>
        <v>On</v>
      </c>
      <c r="HK443" s="1" t="str">
        <f t="shared" si="1232"/>
        <v>On</v>
      </c>
      <c r="HL443" s="16"/>
      <c r="HM443" s="639">
        <f t="shared" si="1110"/>
        <v>2.9403358434788716E-2</v>
      </c>
      <c r="HN443" s="639">
        <f t="shared" si="1111"/>
        <v>1.4106809950923669E-3</v>
      </c>
      <c r="HO443" s="639">
        <f t="shared" si="1112"/>
        <v>1.7317923025048877E-3</v>
      </c>
      <c r="HP443" s="644">
        <f>(FT443*$GD443-HM443)/$JF443*INDEX(Input!$1:$1048576,$JG$93,$C443*2+6)</f>
        <v>32.678719915701869</v>
      </c>
      <c r="HQ443" s="644">
        <f>(FU443*$GD443-HN443)/$JF443*INDEX(Input!$1:$1048576,$JG$93,$C443*2+6)</f>
        <v>30.646737953948197</v>
      </c>
      <c r="HR443" s="644">
        <f>(FV443*$GD443-HO443)/$JF443*INDEX(Input!$1:$1048576,$JG$93,$C443*2+6)</f>
        <v>23.881030770639143</v>
      </c>
      <c r="HS443" s="644">
        <f t="shared" si="1233"/>
        <v>-36.922676232088115</v>
      </c>
      <c r="HT443" s="644">
        <f t="shared" si="1114"/>
        <v>102.35694630522939</v>
      </c>
      <c r="HU443" s="644">
        <f t="shared" si="1115"/>
        <v>11.438278206913122</v>
      </c>
      <c r="HV443" s="648">
        <f t="shared" si="1116"/>
        <v>0</v>
      </c>
      <c r="HW443" s="648">
        <f t="shared" si="1117"/>
        <v>0</v>
      </c>
      <c r="HX443" s="648">
        <f t="shared" si="1118"/>
        <v>0</v>
      </c>
      <c r="HY443" s="644">
        <f>INDEX(Input!$1:$1048576,HY$93,$C443*2+6)*INDEX(Input!$1:$1048576,$JG$93,$C443*2+6)</f>
        <v>993</v>
      </c>
      <c r="HZ443" s="644">
        <f>INDEX(Input!$1:$1048576,HZ$93,$C443*2+6)*INDEX(Input!$1:$1048576,$JG$93,$C443*2+6)</f>
        <v>1216</v>
      </c>
      <c r="IA443" s="644">
        <f>INDEX(Input!$1:$1048576,IA$93,$C443*2+6)*INDEX(Input!$1:$1048576,$JG$93,$C443*2+6)</f>
        <v>120</v>
      </c>
      <c r="IB443" s="644">
        <f t="shared" si="1142"/>
        <v>988.75604368361383</v>
      </c>
      <c r="IC443" s="644">
        <f t="shared" si="1143"/>
        <v>1349.0036842591776</v>
      </c>
      <c r="ID443" s="644">
        <f>IF(AND(INDEX(Input!$1:$1048576,IA$93,$C443*2+7)="TOS",Y443&lt;=INDEX(Y:Y,MATCH(C443*1000+2,A:A))),0,1)*MAX(IA443+HR443+HU443+HX443,0%)</f>
        <v>155.31930897755225</v>
      </c>
      <c r="IE443" s="128">
        <f t="shared" ref="IE443:IE461" si="1238">IB443/SUM($IB443:$ID443)</f>
        <v>0.39660036005316807</v>
      </c>
      <c r="IF443" s="128">
        <f t="shared" si="1210"/>
        <v>0.54109944541733335</v>
      </c>
      <c r="IG443" s="128">
        <f t="shared" si="1120"/>
        <v>6.2300194529498525E-2</v>
      </c>
      <c r="IH443" s="21"/>
      <c r="II443" s="19">
        <f t="shared" si="1121"/>
        <v>1490</v>
      </c>
      <c r="IJ443" s="19">
        <f t="shared" si="1122"/>
        <v>2203.2561351629856</v>
      </c>
      <c r="IK443" s="19">
        <f t="shared" si="1123"/>
        <v>242</v>
      </c>
      <c r="IL443" s="19">
        <f t="shared" si="1145"/>
        <v>280</v>
      </c>
      <c r="IM443" s="19">
        <f t="shared" si="1124"/>
        <v>620.99487378309095</v>
      </c>
      <c r="IN443" s="19">
        <f t="shared" si="1125"/>
        <v>625</v>
      </c>
      <c r="IO443" s="39">
        <f t="shared" si="1126"/>
        <v>0</v>
      </c>
      <c r="IP443" s="39">
        <f t="shared" si="1127"/>
        <v>0</v>
      </c>
      <c r="IQ443" s="39">
        <f t="shared" si="1128"/>
        <v>0</v>
      </c>
      <c r="IR443" s="39">
        <v>0</v>
      </c>
      <c r="IS443" s="39">
        <v>0</v>
      </c>
      <c r="IT443" s="39">
        <v>0</v>
      </c>
      <c r="IU443" s="39">
        <v>0</v>
      </c>
      <c r="IV443" s="39">
        <v>0</v>
      </c>
      <c r="IW443" s="39">
        <v>0</v>
      </c>
      <c r="IX443" s="39">
        <f>INDEX(Input!$1:$1048576,IX$93,$C443*2+6)+INDEX(Input!$1:$1048576,IX$94,$C443*2+6)</f>
        <v>1770</v>
      </c>
      <c r="IY443" s="39">
        <f>INDEX(Input!$1:$1048576,IY$93,$C443*2+6)+INDEX(Input!$1:$1048576,IY$94,$C443*2+6)</f>
        <v>2630.0624533823611</v>
      </c>
      <c r="IZ443" s="39">
        <f>INDEX(Input!$1:$1048576,IZ$93,$C443*2+6)+INDEX(Input!$1:$1048576,IZ$94,$C443*2+6)</f>
        <v>4153.7164157747848</v>
      </c>
      <c r="JA443" s="19">
        <f t="shared" si="1146"/>
        <v>2050</v>
      </c>
      <c r="JB443" s="19">
        <f t="shared" si="1147"/>
        <v>3251.0573271654521</v>
      </c>
      <c r="JC443" s="19">
        <f t="shared" si="1148"/>
        <v>4778.7164157747848</v>
      </c>
      <c r="JD443" s="19">
        <f t="shared" si="1149"/>
        <v>2869.8910171622556</v>
      </c>
      <c r="JE443" s="21"/>
      <c r="JF443" s="1">
        <f t="shared" si="1129"/>
        <v>3.2545831732385969E-2</v>
      </c>
      <c r="JG443" s="15">
        <f>INDEX(Input!$1:$1048576,JG$93,$C443*2+6)/(1+VLOOKUP(C443*1000+INDEX(Input!$1:$1048576,JG$93+1,$C443*2+6),$A:$KK,$JK$92,FALSE))</f>
        <v>2329</v>
      </c>
      <c r="JH443" s="1">
        <f t="shared" si="1150"/>
        <v>3.744374780604947E-2</v>
      </c>
      <c r="JI443" s="1">
        <f t="shared" si="1151"/>
        <v>3.3006675946781625E-2</v>
      </c>
      <c r="JJ443" s="1">
        <f t="shared" si="1211"/>
        <v>0</v>
      </c>
      <c r="JK443" s="1">
        <f t="shared" si="1212"/>
        <v>7.0450423752831087E-2</v>
      </c>
      <c r="JL443" s="15">
        <f t="shared" si="1154"/>
        <v>164.07903692034361</v>
      </c>
      <c r="JM443" s="15">
        <f t="shared" si="1180"/>
        <v>2493.0790369203437</v>
      </c>
      <c r="JN443" s="21"/>
      <c r="JO443" s="19">
        <f>INDEX(Input!$1:$1048576,JO$93,$C443*2+6)</f>
        <v>5995.5</v>
      </c>
      <c r="JP443" s="19">
        <f>INDEX(Input!$1:$1048576,JP$93,$C443*2+6)</f>
        <v>2341.8685758720158</v>
      </c>
      <c r="JQ443" s="39">
        <f t="shared" si="1166"/>
        <v>3125.6089828377444</v>
      </c>
      <c r="JR443" s="39">
        <f t="shared" si="1183"/>
        <v>528.02244129023984</v>
      </c>
      <c r="JS443" s="39">
        <f t="shared" si="1168"/>
        <v>7.1548651331332218</v>
      </c>
      <c r="JT443" s="39">
        <f t="shared" si="1156"/>
        <v>1.700653219927297</v>
      </c>
      <c r="JU443" s="385">
        <f>(JQ443*JM443-INDEX(Input!$1:$1048576,Input!A$18,$C443*2+6)*JL443*INDEX(Input!$1:$1048576,Input!A$19,$C443*2+6))/1000000</f>
        <v>7.792390232722699</v>
      </c>
      <c r="JV443" s="39">
        <f t="shared" si="1190"/>
        <v>-0.71691735407137536</v>
      </c>
      <c r="JW443" s="1">
        <f t="shared" si="1181"/>
        <v>-8.4250962461856149E-2</v>
      </c>
      <c r="JX443" s="19">
        <f t="shared" si="1172"/>
        <v>10364.841553482076</v>
      </c>
      <c r="JZ443" s="341"/>
      <c r="KA443" s="342"/>
      <c r="KB443" s="469">
        <f t="shared" si="1169"/>
        <v>2.3434325605641804</v>
      </c>
      <c r="KI443" s="473">
        <f t="shared" si="1235"/>
        <v>-4.2439563163861749</v>
      </c>
      <c r="KJ443" s="473">
        <f t="shared" si="1236"/>
        <v>133.00368425917759</v>
      </c>
      <c r="KK443" s="473">
        <f t="shared" si="1158"/>
        <v>35.319308977552254</v>
      </c>
      <c r="KN443" s="544">
        <f t="shared" si="1173"/>
        <v>4002</v>
      </c>
      <c r="KO443" s="541">
        <f t="shared" si="1133"/>
        <v>3.0789255526064929E-2</v>
      </c>
      <c r="KP443" s="546">
        <f t="shared" si="1134"/>
        <v>206.91478600314832</v>
      </c>
      <c r="KQ443" s="546">
        <f t="shared" si="1135"/>
        <v>245.11982912623444</v>
      </c>
      <c r="KR443" s="548">
        <f t="shared" si="1136"/>
        <v>2.5832301847891173</v>
      </c>
      <c r="KS443" s="548">
        <f t="shared" si="1137"/>
        <v>2.1806009035982421</v>
      </c>
      <c r="KT443" s="473">
        <f t="shared" si="1171"/>
        <v>1580.0986321700548</v>
      </c>
      <c r="KU443" s="663">
        <f t="shared" si="1159"/>
        <v>4.0236541869547446</v>
      </c>
      <c r="KV443" s="117"/>
    </row>
    <row r="444" spans="1:308" s="26" customFormat="1" ht="15">
      <c r="A444" s="561">
        <f t="shared" si="1138"/>
        <v>4044</v>
      </c>
      <c r="B444" s="561">
        <f t="shared" si="1160"/>
        <v>44</v>
      </c>
      <c r="C444" s="561">
        <f t="shared" si="1161"/>
        <v>4</v>
      </c>
      <c r="D444" s="561" t="str">
        <f t="shared" si="1206"/>
        <v xml:space="preserve">0/0/0/3.9, 360 Lease, </v>
      </c>
      <c r="E444" s="475">
        <f>INDEX(Input!$1:$1048576,E$93,$C444*2+MIN($B444,2)+5)
+INDEX(Scenarios!E$121:E$200,MATCH($B444,Scenarios!$B$121:$B$200,0))</f>
        <v>1256.832975525977</v>
      </c>
      <c r="F444" s="475">
        <f>INDEX(Input!$1:$1048576,F$93,$C444*2+MIN($B444,2)+5)
+INDEX(Scenarios!F$121:F$200,MATCH($B444,Scenarios!$B$121:$B$200,0))</f>
        <v>0</v>
      </c>
      <c r="G444" s="475">
        <f>INDEX(Input!$1:$1048576,G$93,$C444*2+MIN($B444,2)+5)
+INDEX(Scenarios!G$121:G$200,MATCH($B444,Scenarios!$B$121:$B$200,0))</f>
        <v>0</v>
      </c>
      <c r="H444" s="475">
        <f>INDEX(Input!$1:$1048576,H$93,$C444*2+MIN($B444,2)+5)
+INDEX(Scenarios!H$121:H$200,MATCH($B444,Scenarios!$B$121:$B$200,0))</f>
        <v>0</v>
      </c>
      <c r="I444" s="476">
        <f>INDEX(Input!$1:$1048576,I$93,$C444*2+MIN($B444,2)+5)</f>
        <v>0.7</v>
      </c>
      <c r="J444" s="476" t="str">
        <f>INDEX(Input!$1:$1048576,J$93,$C444*2+MIN($B444,2)+5)</f>
        <v>Market</v>
      </c>
      <c r="K444" s="476" t="str">
        <f>INDEX(Input!$1:$1048576,K$93,$C444*2+MIN($B444,2)+5)</f>
        <v>Market</v>
      </c>
      <c r="L444" s="476" t="str">
        <f>INDEX(Input!$1:$1048576,L$93,$C444*2+MIN($B444,2)+5)</f>
        <v>Market</v>
      </c>
      <c r="M444" s="476" t="str">
        <f>INDEX(Input!$1:$1048576,M$93,$C444*2+MIN($B444,2)+5)</f>
        <v>Market</v>
      </c>
      <c r="N444" s="476" t="str">
        <f>INDEX(Input!$1:$1048576,N$93,$C444*2+MIN($B444,2)+5)</f>
        <v>Market</v>
      </c>
      <c r="O444" s="476" t="str">
        <f>INDEX(Input!$1:$1048576,O$93,$C444*2+MIN($B444,2)+5)</f>
        <v>Market</v>
      </c>
      <c r="P444" s="476" t="str">
        <f>INDEX(Input!$1:$1048576,P$93,$C444*2+MIN($B444,2)+5)</f>
        <v>N</v>
      </c>
      <c r="Q444" s="477">
        <f>INDEX(Input!$1:$1048576,Q$93,$C444*2+MIN($B444,2)+5)
+INDEX(Scenarios!Q$121:Q$200,MATCH($B444,Scenarios!$B$121:$B$200,0))</f>
        <v>0</v>
      </c>
      <c r="R444" s="478">
        <f>IFERROR(MAX(0,INDEX(Input!$1:$1048576,R$93,$C444*2+MIN($B444,2)+5)
+INDEX(Scenarios!R$121:R$200,MATCH($B444,Scenarios!$B$121:$B$200,0)),),"Market")</f>
        <v>0</v>
      </c>
      <c r="S444" s="478">
        <f>IFERROR(MAX(0,INDEX(Input!$1:$1048576,S$93,$C444*2+MIN($B444,2)+5)
+INDEX(Scenarios!S$121:S$200,MATCH($B444,Scenarios!$B$121:$B$200,0)),),"Market")</f>
        <v>0</v>
      </c>
      <c r="T444" s="478">
        <f>IFERROR(MAX(0,INDEX(Input!$1:$1048576,T$93,$C444*2+MIN($B444,2)+5)
+INDEX(Scenarios!T$121:T$200,MATCH($B444,Scenarios!$B$121:$B$200,0)),),"Market")</f>
        <v>0</v>
      </c>
      <c r="U444" s="478">
        <f>IFERROR(MAX(0,INDEX(Input!$1:$1048576,U$93,$C444*2+MIN($B444,2)+5)
+INDEX(Scenarios!U$121:U$200,MATCH($B444,Scenarios!$B$121:$B$200,0)),),"Market")</f>
        <v>0</v>
      </c>
      <c r="V444" s="478">
        <f>IFERROR(MAX(0,INDEX(Input!$1:$1048576,V$93,$C444*2+MIN($B444,2)+5)
+INDEX(Scenarios!V$121:V$200,MATCH($B444,Scenarios!$B$121:$B$200,0)),),"Market")</f>
        <v>0</v>
      </c>
      <c r="W444" s="885">
        <f>IFERROR(MAX(0,INDEX(Input!$1:$1048576,W$93,$C444*2+MIN($B444,2)+5)-0%,),"Market")</f>
        <v>3.9E-2</v>
      </c>
      <c r="X444" s="476" t="str">
        <f>INDEX(Input!$1:$1048576,X$93,$C444*2+MIN($B444,2)+5)</f>
        <v>Y</v>
      </c>
      <c r="Y444" s="475">
        <f>INDEX(Input!$1:$1048576,Y$93,$C444*2+MIN($B444,2)+5)
++INDEX(Scenarios!Y$121:Y$200,MATCH($B444,Scenarios!$B$121:$B$200,0))</f>
        <v>-510</v>
      </c>
      <c r="Z444" s="477">
        <f>INDEX(Input!$1:$1048576,Z$93,$C444*2+MIN($B444,2)+5)
+INDEX(Scenarios!Z$121:Z$200,MATCH($B444,Scenarios!$B$121:$B$200,0))</f>
        <v>0</v>
      </c>
      <c r="AA444" s="475">
        <f>INDEX(Input!$1:$1048576,AA$93,$C444*2+MIN($B444,2)+5)
+INDEX(Scenarios!AA$121:AA$200,MATCH($B444,Scenarios!$B$121:$B$200,0))</f>
        <v>0</v>
      </c>
      <c r="AB444" s="476">
        <f>INDEX(Input!$1:$1048576,AB$93,$C444*2+MIN($B444,2)+5)</f>
        <v>0.27</v>
      </c>
      <c r="AC444" s="475">
        <f>INDEX(Input!$1:$1048576,AC$93,$C444*2+MIN($B444,2)+5)
+INDEX(Scenarios!AC$121:AC$200,MATCH($B444,Scenarios!$B$121:$B$200,0))</f>
        <v>0</v>
      </c>
      <c r="AD444" s="476">
        <f>INDEX(Input!$1:$1048576,AD$93,$C444*2+MIN($B444,2)+5)</f>
        <v>0.27</v>
      </c>
      <c r="AE444" s="475">
        <f>INDEX(Input!$1:$1048576,AE$93,$C444*2+MIN($B444,2)+5)
+INDEX(Scenarios!AE$121:AE$200,MATCH($B444,Scenarios!$B$121:$B$200,0))</f>
        <v>0</v>
      </c>
      <c r="AF444" s="476">
        <f>INDEX(Input!$1:$1048576,AF$93,$C444*2+MIN($B444,2)+5)</f>
        <v>1</v>
      </c>
      <c r="AG444" s="475">
        <f>INDEX(Input!$1:$1048576,AG$93,$C444*2+MIN($B444,2)+5)
+INDEX(Scenarios!AG$121:AG$200,MATCH($B444,Scenarios!$B$121:$B$200,0))</f>
        <v>500</v>
      </c>
      <c r="AH444" s="476">
        <f>INDEX(Input!$1:$1048576,AH$93,$C444*2+MIN($B444,2)+5)</f>
        <v>0.83199999999999996</v>
      </c>
      <c r="AI444" s="475">
        <f>INDEX(Input!$1:$1048576,AI$93,$C444*2+MIN($B444,2)+5)
+INDEX(Scenarios!AI$121:AI$200,MATCH($B444,Scenarios!$B$121:$B$200,0))</f>
        <v>0</v>
      </c>
      <c r="AJ444" s="476">
        <f>INDEX(Input!$1:$1048576,AJ$93,$C444*2+MIN($B444,2)+5)</f>
        <v>0.27</v>
      </c>
      <c r="AK444" s="150">
        <f>ROUND(INDEX(Input!$1:$1048576,AK$93,$C443*2+MIN($B444,1)+5)+(Y444-VLOOKUP($C444*1000+1,$A:$HH,Y$92,FALSE)),0)</f>
        <v>2947</v>
      </c>
      <c r="AL444" s="150">
        <f>ROUND(INDEX(Input!$1:$1048576,AL$93,$C443*2+MIN($B444,1)+5)-(Y444-VLOOKUP($C444*1000+1,$A:$HH,Y$92,FALSE))/36,0)</f>
        <v>3396</v>
      </c>
      <c r="AM444" s="32" t="str">
        <f t="shared" si="1139"/>
        <v>std/std/std/std</v>
      </c>
      <c r="AN444" s="32" t="str">
        <f t="shared" si="1140"/>
        <v>$0 + 0/0/0/0/3.9</v>
      </c>
      <c r="AO444" s="32" t="str">
        <f t="shared" si="1141"/>
        <v>0/0/0/0/3.9</v>
      </c>
      <c r="AP444" s="32" t="str">
        <f t="shared" si="1213"/>
        <v>0/0/0/3.9</v>
      </c>
      <c r="AQ444" s="536">
        <f t="shared" si="1207"/>
        <v>0.37568807379758717</v>
      </c>
      <c r="AR444" s="32"/>
      <c r="AS444" s="302"/>
      <c r="AT444" s="3">
        <f t="shared" si="1162"/>
        <v>44</v>
      </c>
      <c r="AU444" s="41" t="s">
        <v>121</v>
      </c>
      <c r="AV444" s="41" t="s">
        <v>116</v>
      </c>
      <c r="AW444" s="41" t="str">
        <f>INDEX(Input!$1:$1048576,AW$93,$C444*2+6)</f>
        <v>Kia</v>
      </c>
      <c r="AX444" s="41" t="str">
        <f>INDEX(Input!$1:$1048576,AX$93,$C444*2+6)</f>
        <v>Kia-LR - R1</v>
      </c>
      <c r="AY444" s="41" t="str">
        <f>IF(LEN(D444)=0,"",INDEX(Input!$1:$1048576,AY$93,$C444*2+6))</f>
        <v>Compact SUV (52)</v>
      </c>
      <c r="AZ444" s="41" t="str">
        <f>INDEX(Input!$1:$1048576,AZ$93,$C444*2+6)</f>
        <v>Kia Soul</v>
      </c>
      <c r="BA444" s="3">
        <f>INDEX(Input!$1:$1048576,BA$93,$C444*2+6)</f>
        <v>2020</v>
      </c>
      <c r="BB444" s="128">
        <f>INDEX(Input!$1:$1048576,BB$93,$C444*2+6)</f>
        <v>1</v>
      </c>
      <c r="BC444" s="128">
        <f>INDEX(Input!$1:$1048576,BC$93,$C444*2+6)</f>
        <v>0.7</v>
      </c>
      <c r="BD444" s="1">
        <f>INDEX(Input!$1:$1048576,BD$93,$C444*2+6)</f>
        <v>4.4999999999999998E-2</v>
      </c>
      <c r="BE444" s="1">
        <f>INDEX(Input!$1:$1048576,BE$93,$C444*2+6)</f>
        <v>4.4999999999999998E-2</v>
      </c>
      <c r="BF444" s="1">
        <f>INDEX(Input!$1:$1048576,BF$93,$C444*2+6)</f>
        <v>0.05</v>
      </c>
      <c r="BG444" s="1">
        <f>INDEX(Input!$1:$1048576,BG$93,$C444*2+6)</f>
        <v>5.45E-2</v>
      </c>
      <c r="BH444" s="1">
        <f>INDEX(Input!$1:$1048576,BH$93,$C444*2+6)</f>
        <v>5.45E-2</v>
      </c>
      <c r="BI444" s="1">
        <f>INDEX(Input!$1:$1048576,BI$93,$C444*2+6)</f>
        <v>0.05</v>
      </c>
      <c r="BJ444" s="1">
        <f>INDEX(Input!$1:$1048576,BJ$93,$C444*2+6)</f>
        <v>0.05</v>
      </c>
      <c r="BK444" s="1">
        <f>INDEX(Input!$1:$1048576,BK$93,$C444*2+6)</f>
        <v>0.05</v>
      </c>
      <c r="BL444" s="1">
        <f>INDEX(Input!$1:$1048576,BL$93,$C444*2+6)</f>
        <v>5.5E-2</v>
      </c>
      <c r="BM444" s="1">
        <f>INDEX(Input!$1:$1048576,BM$93,$C444*2+6)</f>
        <v>0.06</v>
      </c>
      <c r="BN444" s="1">
        <f>INDEX(Input!$1:$1048576,BN$93,$C444*2+6)</f>
        <v>4.4999999999999998E-2</v>
      </c>
      <c r="BO444" s="1">
        <f>INDEX(Input!$1:$1048576,BO$93,$C444*2+6)</f>
        <v>4.4999999999999998E-2</v>
      </c>
      <c r="BP444" s="1">
        <f>INDEX(Input!$1:$1048576,BP$93,$C444*2+6)</f>
        <v>0.05</v>
      </c>
      <c r="BQ444" s="1">
        <f>INDEX(Input!$1:$1048576,BQ$93,$C444*2+6)</f>
        <v>5.45E-2</v>
      </c>
      <c r="BR444" s="1">
        <f>INDEX(Input!$1:$1048576,BR$93,$C444*2+6)</f>
        <v>5.45E-2</v>
      </c>
      <c r="BS444" s="1">
        <f>INDEX(Input!$1:$1048576,BS$93,$C444*2+6)</f>
        <v>0.05</v>
      </c>
      <c r="BT444" s="1">
        <f>INDEX(Input!$1:$1048576,BT$93,$C444*2+6)</f>
        <v>0.05</v>
      </c>
      <c r="BU444" s="1">
        <f>INDEX(Input!$1:$1048576,BU$93,$C444*2+6)</f>
        <v>0.05</v>
      </c>
      <c r="BV444" s="1">
        <f>INDEX(Input!$1:$1048576,BV$93,$C444*2+6)</f>
        <v>5.5E-2</v>
      </c>
      <c r="BW444" s="1">
        <f>INDEX(Input!$1:$1048576,BW$93,$C444*2+6)</f>
        <v>0.06</v>
      </c>
      <c r="BX444" s="127">
        <f>INDEX(Input!$1:$1048576,BX$93,$C444*2+6)</f>
        <v>19985</v>
      </c>
      <c r="BY444" s="20">
        <f>INDEX(Input!$1:$1048576,BY$93,$C444*2+6)</f>
        <v>0.1</v>
      </c>
      <c r="BZ444" s="20">
        <f>INDEX(Input!$1:$1048576,BZ$93,$C444*2+6)</f>
        <v>0.1</v>
      </c>
      <c r="CA444" s="20">
        <f>INDEX(Input!$1:$1048576,CA$93,$C444*2+6)</f>
        <v>0.1</v>
      </c>
      <c r="CB444" s="20">
        <f>INDEX(Input!$1:$1048576,CB$93,$C444*2+6)</f>
        <v>0.1</v>
      </c>
      <c r="CC444" s="20">
        <f>INDEX(Input!$1:$1048576,CC$93,$C444*2+6)</f>
        <v>0.1</v>
      </c>
      <c r="CD444" s="384">
        <f>INDEX(Input!$1:$1048576,CD$93,$C444*2+6)</f>
        <v>0.1</v>
      </c>
      <c r="CE444" s="384">
        <f>INDEX(Input!$1:$1048576,CE$93,$C444*2+6)</f>
        <v>0.1</v>
      </c>
      <c r="CF444" s="384">
        <f>INDEX(Input!$1:$1048576,CF$93,$C444*2+6)</f>
        <v>0.1</v>
      </c>
      <c r="CG444" s="384">
        <f>INDEX(Input!$1:$1048576,CG$93,$C444*2+6)</f>
        <v>0.1</v>
      </c>
      <c r="CH444" s="384">
        <f>INDEX(Input!$1:$1048576,CH$93,$C444*2+6)</f>
        <v>0.1</v>
      </c>
      <c r="CI444" s="304">
        <f t="shared" si="1214"/>
        <v>1256.832975525977</v>
      </c>
      <c r="CJ444" s="16" t="str">
        <f>INDEX(Input!$1:$1048576,CJ$93,$C444*2+6)</f>
        <v>N</v>
      </c>
      <c r="CK444" s="1" t="str">
        <f t="shared" si="1215"/>
        <v>Market</v>
      </c>
      <c r="CL444" s="1" t="str">
        <f t="shared" si="1216"/>
        <v>Market</v>
      </c>
      <c r="CM444" s="1" t="str">
        <f t="shared" si="1217"/>
        <v>Market</v>
      </c>
      <c r="CN444" s="1" t="str">
        <f t="shared" si="1218"/>
        <v>Market</v>
      </c>
      <c r="CO444" s="1" t="str">
        <f t="shared" si="1219"/>
        <v>Market</v>
      </c>
      <c r="CP444" s="304">
        <f t="shared" si="1220"/>
        <v>416</v>
      </c>
      <c r="CQ444" s="1">
        <f t="shared" si="1221"/>
        <v>0</v>
      </c>
      <c r="CR444" s="1">
        <f t="shared" si="1222"/>
        <v>0</v>
      </c>
      <c r="CS444" s="1">
        <f t="shared" si="1223"/>
        <v>0</v>
      </c>
      <c r="CT444" s="1">
        <f t="shared" si="1224"/>
        <v>0</v>
      </c>
      <c r="CU444" s="1">
        <f t="shared" si="1225"/>
        <v>3.9E-2</v>
      </c>
      <c r="CV444" s="304">
        <f t="shared" si="1226"/>
        <v>-510</v>
      </c>
      <c r="CW444" s="20" t="s">
        <v>122</v>
      </c>
      <c r="CX444" s="20" t="s">
        <v>122</v>
      </c>
      <c r="CY444" s="20" t="s">
        <v>122</v>
      </c>
      <c r="CZ444" s="20" t="s">
        <v>122</v>
      </c>
      <c r="DA444" s="20" t="s">
        <v>122</v>
      </c>
      <c r="DB444" s="503">
        <f t="shared" si="1227"/>
        <v>0</v>
      </c>
      <c r="DC444" s="127">
        <v>0</v>
      </c>
      <c r="DD444" s="127">
        <v>0</v>
      </c>
      <c r="DE444" s="127">
        <v>0</v>
      </c>
      <c r="DF444" s="127">
        <v>0</v>
      </c>
      <c r="DG444" s="127">
        <v>0</v>
      </c>
      <c r="DH444" s="127">
        <v>0</v>
      </c>
      <c r="DI444" s="127">
        <v>0</v>
      </c>
      <c r="DJ444" s="127">
        <v>0</v>
      </c>
      <c r="DK444" s="127">
        <v>0</v>
      </c>
      <c r="DL444" s="127">
        <v>0</v>
      </c>
      <c r="DM444" s="304">
        <f>INDEX(Input!$1:$1048576,DM$93,$C444*2+6)</f>
        <v>21036.84210526316</v>
      </c>
      <c r="DN444" s="20">
        <v>0</v>
      </c>
      <c r="DO444" s="20">
        <v>0</v>
      </c>
      <c r="DP444" s="20">
        <v>0</v>
      </c>
      <c r="DQ444" s="20">
        <v>0</v>
      </c>
      <c r="DR444" s="20">
        <v>0</v>
      </c>
      <c r="DS444" s="20">
        <f>INDEX(Input!$1:$1048576,DS$93,$C444*2+6)</f>
        <v>0.6</v>
      </c>
      <c r="DT444" s="20">
        <f>INDEX(Input!$1:$1048576,DT$93,$C444*2+6)</f>
        <v>0.55000000000000004</v>
      </c>
      <c r="DU444" s="20">
        <f>INDEX(Input!$1:$1048576,DU$93,$C444*2+6)</f>
        <v>0.52</v>
      </c>
      <c r="DV444" s="20">
        <f>INDEX(Input!$1:$1048576,DV$93,$C444*2+6)</f>
        <v>0.5</v>
      </c>
      <c r="DW444" s="20">
        <f>INDEX(Input!$1:$1048576,DW$93,$C444*2+6)</f>
        <v>0.45</v>
      </c>
      <c r="DX444" s="20"/>
      <c r="DY444" s="7">
        <v>9.8966088793871809E-2</v>
      </c>
      <c r="DZ444" s="7">
        <v>0</v>
      </c>
      <c r="EA444" s="7">
        <v>0.77175913079911551</v>
      </c>
      <c r="EB444" s="7">
        <v>0</v>
      </c>
      <c r="EC444" s="7">
        <v>0</v>
      </c>
      <c r="ED444" s="7">
        <v>0</v>
      </c>
      <c r="EE444" s="7">
        <v>0</v>
      </c>
      <c r="EF444" s="7">
        <v>0</v>
      </c>
      <c r="EG444" s="7">
        <v>0</v>
      </c>
      <c r="EH444" s="7">
        <v>7.370048273345327E-3</v>
      </c>
      <c r="EI444" s="7">
        <v>1.9249119065363644E-2</v>
      </c>
      <c r="EJ444" s="7">
        <v>0.13508554835476072</v>
      </c>
      <c r="EK444" s="7">
        <v>0.7555330921482889</v>
      </c>
      <c r="EL444" s="7">
        <v>8.2762192158241155E-2</v>
      </c>
      <c r="EM444" s="7">
        <v>6.9057687453097719E-2</v>
      </c>
      <c r="EN444" s="7">
        <v>5.1604036283089655E-2</v>
      </c>
      <c r="EO444" s="7">
        <v>0.724189627622851</v>
      </c>
      <c r="EP444" s="7">
        <v>9.6771623962130904E-2</v>
      </c>
      <c r="EQ444" s="7">
        <v>8.5009912158847553E-2</v>
      </c>
      <c r="ER444" s="7">
        <v>4.242479997308074E-2</v>
      </c>
      <c r="ES444" s="7">
        <v>6.0217092953914975E-2</v>
      </c>
      <c r="ET444" s="7">
        <v>0.12927478040701265</v>
      </c>
      <c r="EU444" s="6">
        <v>1770</v>
      </c>
      <c r="EV444" s="6">
        <v>0</v>
      </c>
      <c r="EW444" s="6">
        <v>1770</v>
      </c>
      <c r="EX444" s="6">
        <v>0</v>
      </c>
      <c r="EY444" s="6">
        <v>3187.8961907546018</v>
      </c>
      <c r="EZ444" s="6">
        <v>867</v>
      </c>
      <c r="FA444" s="6">
        <v>0</v>
      </c>
      <c r="FB444" s="6">
        <v>0</v>
      </c>
      <c r="FC444" s="6">
        <v>0</v>
      </c>
      <c r="FD444" s="6">
        <v>0</v>
      </c>
      <c r="FE444" s="6">
        <v>0</v>
      </c>
      <c r="FF444" s="6">
        <v>0</v>
      </c>
      <c r="FG444" s="6">
        <v>0</v>
      </c>
      <c r="FH444" s="6">
        <v>1169.7991549209585</v>
      </c>
      <c r="FI444" s="6">
        <v>1553.9796069512402</v>
      </c>
      <c r="FJ444" s="6">
        <v>2101.211011744741</v>
      </c>
      <c r="FK444" s="6">
        <v>2674.2006261592273</v>
      </c>
      <c r="FL444" s="6">
        <v>907.07682140966324</v>
      </c>
      <c r="FM444" s="6">
        <v>2417.8961907546018</v>
      </c>
      <c r="FN444" s="6">
        <v>0</v>
      </c>
      <c r="FO444" s="6">
        <v>0</v>
      </c>
      <c r="FP444" s="6">
        <v>0</v>
      </c>
      <c r="FQ444" s="6">
        <v>0</v>
      </c>
      <c r="FR444" s="6">
        <v>0</v>
      </c>
      <c r="FS444" s="6">
        <v>0</v>
      </c>
      <c r="FT444" s="7">
        <v>0.87072521959298732</v>
      </c>
      <c r="FU444" s="7">
        <v>6.9057687453097719E-2</v>
      </c>
      <c r="FV444" s="7">
        <v>6.0217092953914975E-2</v>
      </c>
      <c r="FW444" s="6">
        <v>1770</v>
      </c>
      <c r="FX444" s="6">
        <v>3187.8961907546018</v>
      </c>
      <c r="FY444" s="6">
        <v>867</v>
      </c>
      <c r="FZ444" s="6">
        <v>1949.5716051445115</v>
      </c>
      <c r="GA444" s="6">
        <v>1813.5405970446841</v>
      </c>
      <c r="GB444" s="6">
        <v>18171.459402955315</v>
      </c>
      <c r="GC444" s="7">
        <v>3.3872851927908169E-2</v>
      </c>
      <c r="GD444" s="7">
        <v>3.3878138723192848E-2</v>
      </c>
      <c r="GE444" s="7"/>
      <c r="GF444" s="7"/>
      <c r="GG444" s="7">
        <v>1.5607765463417409E-4</v>
      </c>
      <c r="GH444" s="42">
        <v>-2.2930153730647284E-2</v>
      </c>
      <c r="GI444" s="6">
        <v>-869746.25070470537</v>
      </c>
      <c r="GJ444" s="14">
        <v>0.50394797582841733</v>
      </c>
      <c r="GK444" s="14">
        <v>0.50887573065309732</v>
      </c>
      <c r="GL444" s="14">
        <v>0.49605202417158273</v>
      </c>
      <c r="GM444" s="14">
        <v>0.49112426934690234</v>
      </c>
      <c r="GO444" s="5">
        <v>343.14810671672558</v>
      </c>
      <c r="GP444" s="5">
        <v>309.37988338875158</v>
      </c>
      <c r="GQ444" s="5">
        <v>535.04305713031317</v>
      </c>
      <c r="GR444" s="5">
        <v>410.15490233172511</v>
      </c>
      <c r="GS444" s="5">
        <v>339.42744393800166</v>
      </c>
      <c r="GT444" s="5">
        <v>293.4407446948278</v>
      </c>
      <c r="GU444" s="5">
        <v>258.04012322764959</v>
      </c>
      <c r="GV444" s="39" t="s">
        <v>392</v>
      </c>
      <c r="GW444" s="5">
        <v>478.23611111111109</v>
      </c>
      <c r="GX444" s="5">
        <v>358.67708333333331</v>
      </c>
      <c r="GY444" s="5">
        <v>286.94166666666666</v>
      </c>
      <c r="GZ444" s="5">
        <v>239.11805555555554</v>
      </c>
      <c r="HA444" s="5">
        <v>234.53733318419432</v>
      </c>
      <c r="HB444" s="39">
        <v>249.26294123518909</v>
      </c>
      <c r="HC444" s="5">
        <v>249.35312499999998</v>
      </c>
      <c r="HD444" s="5">
        <v>213.91580774853799</v>
      </c>
      <c r="HE444" s="5">
        <v>216.92584767206475</v>
      </c>
      <c r="HF444" s="5">
        <v>200.85938048245612</v>
      </c>
      <c r="HG444" s="5">
        <v>194.01388157894735</v>
      </c>
      <c r="HH444" s="39">
        <v>214.08154183352636</v>
      </c>
      <c r="HI444" s="16"/>
      <c r="HJ444" s="19" t="str">
        <f t="shared" si="1232"/>
        <v>On</v>
      </c>
      <c r="HK444" s="1" t="str">
        <f t="shared" si="1232"/>
        <v>On</v>
      </c>
      <c r="HL444" s="16"/>
      <c r="HM444" s="639">
        <f t="shared" si="1110"/>
        <v>2.9403358434788716E-2</v>
      </c>
      <c r="HN444" s="639">
        <f t="shared" si="1111"/>
        <v>1.4106809950923669E-3</v>
      </c>
      <c r="HO444" s="639">
        <f t="shared" si="1112"/>
        <v>1.7317923025048877E-3</v>
      </c>
      <c r="HP444" s="644">
        <f>(FT444*$GD444-HM444)/$JF444*INDEX(Input!$1:$1048576,$JG$93,$C444*2+6)</f>
        <v>6.8119519221141358</v>
      </c>
      <c r="HQ444" s="644">
        <f>(FU444*$GD444-HN444)/$JF444*INDEX(Input!$1:$1048576,$JG$93,$C444*2+6)</f>
        <v>66.470152530607038</v>
      </c>
      <c r="HR444" s="644">
        <f>(FV444*$GD444-HO444)/$JF444*INDEX(Input!$1:$1048576,$JG$93,$C444*2+6)</f>
        <v>22.058614048613485</v>
      </c>
      <c r="HS444" s="644">
        <f t="shared" si="1233"/>
        <v>-37.088670700159945</v>
      </c>
      <c r="HT444" s="644">
        <f t="shared" si="1114"/>
        <v>163.70381482547199</v>
      </c>
      <c r="HU444" s="644">
        <f t="shared" si="1115"/>
        <v>11.604272674984955</v>
      </c>
      <c r="HV444" s="648">
        <f t="shared" si="1116"/>
        <v>0</v>
      </c>
      <c r="HW444" s="648">
        <f t="shared" si="1117"/>
        <v>0</v>
      </c>
      <c r="HX444" s="648">
        <f t="shared" si="1118"/>
        <v>0</v>
      </c>
      <c r="HY444" s="644">
        <f>INDEX(Input!$1:$1048576,HY$93,$C444*2+6)*INDEX(Input!$1:$1048576,$JG$93,$C444*2+6)</f>
        <v>993</v>
      </c>
      <c r="HZ444" s="644">
        <f>INDEX(Input!$1:$1048576,HZ$93,$C444*2+6)*INDEX(Input!$1:$1048576,$JG$93,$C444*2+6)</f>
        <v>1216</v>
      </c>
      <c r="IA444" s="644">
        <f>INDEX(Input!$1:$1048576,IA$93,$C444*2+6)*INDEX(Input!$1:$1048576,$JG$93,$C444*2+6)</f>
        <v>120</v>
      </c>
      <c r="IB444" s="644">
        <f t="shared" si="1142"/>
        <v>962.72328122195449</v>
      </c>
      <c r="IC444" s="644">
        <f t="shared" si="1143"/>
        <v>1446.1739673560789</v>
      </c>
      <c r="ID444" s="644">
        <f>IF(AND(INDEX(Input!$1:$1048576,IA$93,$C444*2+7)="TOS",Y444&lt;=INDEX(Y:Y,MATCH(C444*1000+2,A:A))),0,1)*MAX(IA444+HR444+HU444+HX444,0%)</f>
        <v>153.66288672359843</v>
      </c>
      <c r="IE444" s="128">
        <f t="shared" si="1238"/>
        <v>0.37568807379758717</v>
      </c>
      <c r="IF444" s="128">
        <f t="shared" si="1210"/>
        <v>0.56434732884262784</v>
      </c>
      <c r="IG444" s="128">
        <f t="shared" si="1120"/>
        <v>5.9964597359784967E-2</v>
      </c>
      <c r="IH444" s="21"/>
      <c r="II444" s="19">
        <f t="shared" si="1121"/>
        <v>1490</v>
      </c>
      <c r="IJ444" s="19">
        <f t="shared" si="1122"/>
        <v>2203.2561351629856</v>
      </c>
      <c r="IK444" s="19">
        <f t="shared" si="1123"/>
        <v>242</v>
      </c>
      <c r="IL444" s="19">
        <f t="shared" si="1145"/>
        <v>280</v>
      </c>
      <c r="IM444" s="19">
        <f t="shared" si="1124"/>
        <v>984.64005559161615</v>
      </c>
      <c r="IN444" s="19">
        <f t="shared" si="1125"/>
        <v>625</v>
      </c>
      <c r="IO444" s="39">
        <f t="shared" si="1126"/>
        <v>0</v>
      </c>
      <c r="IP444" s="39">
        <f t="shared" si="1127"/>
        <v>0</v>
      </c>
      <c r="IQ444" s="39">
        <f t="shared" si="1128"/>
        <v>0</v>
      </c>
      <c r="IR444" s="39">
        <v>0</v>
      </c>
      <c r="IS444" s="39">
        <v>0</v>
      </c>
      <c r="IT444" s="39">
        <v>0</v>
      </c>
      <c r="IU444" s="39">
        <v>0</v>
      </c>
      <c r="IV444" s="39">
        <v>0</v>
      </c>
      <c r="IW444" s="39">
        <v>0</v>
      </c>
      <c r="IX444" s="39">
        <f>INDEX(Input!$1:$1048576,IX$93,$C444*2+6)+INDEX(Input!$1:$1048576,IX$94,$C444*2+6)</f>
        <v>1770</v>
      </c>
      <c r="IY444" s="39">
        <f>INDEX(Input!$1:$1048576,IY$93,$C444*2+6)+INDEX(Input!$1:$1048576,IY$94,$C444*2+6)</f>
        <v>2630.0624533823611</v>
      </c>
      <c r="IZ444" s="39">
        <f>INDEX(Input!$1:$1048576,IZ$93,$C444*2+6)+INDEX(Input!$1:$1048576,IZ$94,$C444*2+6)</f>
        <v>4153.7164157747848</v>
      </c>
      <c r="JA444" s="19">
        <f t="shared" si="1146"/>
        <v>2050</v>
      </c>
      <c r="JB444" s="19">
        <f t="shared" si="1147"/>
        <v>3614.7025089739773</v>
      </c>
      <c r="JC444" s="19">
        <f t="shared" si="1148"/>
        <v>4778.7164157747848</v>
      </c>
      <c r="JD444" s="19">
        <f t="shared" si="1149"/>
        <v>3096.6620625537926</v>
      </c>
      <c r="JE444" s="21"/>
      <c r="JF444" s="1">
        <f t="shared" si="1129"/>
        <v>3.2545831732385969E-2</v>
      </c>
      <c r="JG444" s="15">
        <f>INDEX(Input!$1:$1048576,JG$93,$C444*2+6)/(1+VLOOKUP(C444*1000+INDEX(Input!$1:$1048576,JG$93+1,$C444*2+6),$A:$KK,$JK$92,FALSE))</f>
        <v>2329</v>
      </c>
      <c r="JH444" s="1">
        <f t="shared" si="1150"/>
        <v>4.0936332546730209E-2</v>
      </c>
      <c r="JI444" s="1">
        <f t="shared" si="1151"/>
        <v>5.9347108973936018E-2</v>
      </c>
      <c r="JJ444" s="1">
        <f t="shared" si="1211"/>
        <v>0</v>
      </c>
      <c r="JK444" s="1">
        <f t="shared" si="1212"/>
        <v>0.10028344152066623</v>
      </c>
      <c r="JL444" s="15">
        <f t="shared" si="1154"/>
        <v>233.56013530163165</v>
      </c>
      <c r="JM444" s="15">
        <f t="shared" si="1180"/>
        <v>2562.5601353016318</v>
      </c>
      <c r="JN444" s="21"/>
      <c r="JO444" s="19">
        <f>INDEX(Input!$1:$1048576,JO$93,$C444*2+6)</f>
        <v>5995.5</v>
      </c>
      <c r="JP444" s="19">
        <f>INDEX(Input!$1:$1048576,JP$93,$C444*2+6)</f>
        <v>2341.8685758720158</v>
      </c>
      <c r="JQ444" s="39">
        <f t="shared" si="1166"/>
        <v>2898.8379374462074</v>
      </c>
      <c r="JR444" s="39">
        <f t="shared" si="1183"/>
        <v>754.79348668177681</v>
      </c>
      <c r="JS444" s="39">
        <f t="shared" si="1168"/>
        <v>7.9353827540012762</v>
      </c>
      <c r="JT444" s="39">
        <f t="shared" si="1156"/>
        <v>2.4811708407953521</v>
      </c>
      <c r="JU444" s="385">
        <f>(JQ444*JM444-INDEX(Input!$1:$1048576,Input!A$18,$C444*2+6)*JL444*INDEX(Input!$1:$1048576,Input!A$19,$C444*2+6))/1000000</f>
        <v>7.4284465371996564</v>
      </c>
      <c r="JV444" s="39">
        <f t="shared" si="1190"/>
        <v>-1.080861049594418</v>
      </c>
      <c r="JW444" s="1">
        <f t="shared" si="1181"/>
        <v>-0.12702103415227911</v>
      </c>
      <c r="JX444" s="19">
        <f t="shared" si="1172"/>
        <v>10623.263416040754</v>
      </c>
      <c r="JZ444" s="341"/>
      <c r="KA444" s="342"/>
      <c r="KB444" s="469">
        <f t="shared" si="1169"/>
        <v>2.3434325605641804</v>
      </c>
      <c r="KI444" s="473">
        <f t="shared" si="1235"/>
        <v>-30.27671877804562</v>
      </c>
      <c r="KJ444" s="473">
        <f t="shared" si="1236"/>
        <v>230.17396735607895</v>
      </c>
      <c r="KK444" s="473">
        <f t="shared" si="1158"/>
        <v>33.662886723598433</v>
      </c>
      <c r="KN444" s="544">
        <f t="shared" si="1173"/>
        <v>4002</v>
      </c>
      <c r="KO444" s="541">
        <f t="shared" si="1133"/>
        <v>5.9516932672655676E-2</v>
      </c>
      <c r="KP444" s="546">
        <f t="shared" si="1134"/>
        <v>419.22247489936552</v>
      </c>
      <c r="KQ444" s="546">
        <f t="shared" si="1135"/>
        <v>471.89087451777141</v>
      </c>
      <c r="KR444" s="548">
        <f t="shared" si="1136"/>
        <v>2.4646282850927395</v>
      </c>
      <c r="KS444" s="548">
        <f t="shared" si="1137"/>
        <v>2.1895476797245124</v>
      </c>
      <c r="KT444" s="473">
        <f t="shared" si="1171"/>
        <v>1580.0986321700548</v>
      </c>
      <c r="KU444" s="663">
        <f t="shared" si="1159"/>
        <v>4.0127901233151517</v>
      </c>
      <c r="KV444" s="117"/>
    </row>
    <row r="445" spans="1:308" s="26" customFormat="1" ht="15">
      <c r="A445" s="561">
        <f t="shared" si="1138"/>
        <v>4045</v>
      </c>
      <c r="B445" s="561">
        <f t="shared" si="1160"/>
        <v>45</v>
      </c>
      <c r="C445" s="561">
        <f t="shared" si="1161"/>
        <v>4</v>
      </c>
      <c r="D445" s="561" t="str">
        <f t="shared" si="1206"/>
        <v xml:space="preserve">0/0/0/3.9, 360 Lease, </v>
      </c>
      <c r="E445" s="475">
        <f>INDEX(Input!$1:$1048576,E$93,$C445*2+MIN($B445,2)+5)
+INDEX(Scenarios!E$121:E$200,MATCH($B445,Scenarios!$B$121:$B$200,0))</f>
        <v>1256.832975525977</v>
      </c>
      <c r="F445" s="475">
        <f>INDEX(Input!$1:$1048576,F$93,$C445*2+MIN($B445,2)+5)
+INDEX(Scenarios!F$121:F$200,MATCH($B445,Scenarios!$B$121:$B$200,0))</f>
        <v>0</v>
      </c>
      <c r="G445" s="475">
        <f>INDEX(Input!$1:$1048576,G$93,$C445*2+MIN($B445,2)+5)
+INDEX(Scenarios!G$121:G$200,MATCH($B445,Scenarios!$B$121:$B$200,0))</f>
        <v>0</v>
      </c>
      <c r="H445" s="475">
        <f>INDEX(Input!$1:$1048576,H$93,$C445*2+MIN($B445,2)+5)
+INDEX(Scenarios!H$121:H$200,MATCH($B445,Scenarios!$B$121:$B$200,0))</f>
        <v>0</v>
      </c>
      <c r="I445" s="476">
        <f>INDEX(Input!$1:$1048576,I$93,$C445*2+MIN($B445,2)+5)</f>
        <v>0.7</v>
      </c>
      <c r="J445" s="476" t="str">
        <f>INDEX(Input!$1:$1048576,J$93,$C445*2+MIN($B445,2)+5)</f>
        <v>Market</v>
      </c>
      <c r="K445" s="476" t="str">
        <f>INDEX(Input!$1:$1048576,K$93,$C445*2+MIN($B445,2)+5)</f>
        <v>Market</v>
      </c>
      <c r="L445" s="476" t="str">
        <f>INDEX(Input!$1:$1048576,L$93,$C445*2+MIN($B445,2)+5)</f>
        <v>Market</v>
      </c>
      <c r="M445" s="476" t="str">
        <f>INDEX(Input!$1:$1048576,M$93,$C445*2+MIN($B445,2)+5)</f>
        <v>Market</v>
      </c>
      <c r="N445" s="476" t="str">
        <f>INDEX(Input!$1:$1048576,N$93,$C445*2+MIN($B445,2)+5)</f>
        <v>Market</v>
      </c>
      <c r="O445" s="476" t="str">
        <f>INDEX(Input!$1:$1048576,O$93,$C445*2+MIN($B445,2)+5)</f>
        <v>Market</v>
      </c>
      <c r="P445" s="476" t="str">
        <f>INDEX(Input!$1:$1048576,P$93,$C445*2+MIN($B445,2)+5)</f>
        <v>N</v>
      </c>
      <c r="Q445" s="477">
        <f>INDEX(Input!$1:$1048576,Q$93,$C445*2+MIN($B445,2)+5)
+INDEX(Scenarios!Q$121:Q$200,MATCH($B445,Scenarios!$B$121:$B$200,0))</f>
        <v>0</v>
      </c>
      <c r="R445" s="478">
        <f>IFERROR(MAX(0,INDEX(Input!$1:$1048576,R$93,$C445*2+MIN($B445,2)+5)
+INDEX(Scenarios!R$121:R$200,MATCH($B445,Scenarios!$B$121:$B$200,0)),),"Market")</f>
        <v>0</v>
      </c>
      <c r="S445" s="478">
        <f>IFERROR(MAX(0,INDEX(Input!$1:$1048576,S$93,$C445*2+MIN($B445,2)+5)
+INDEX(Scenarios!S$121:S$200,MATCH($B445,Scenarios!$B$121:$B$200,0)),),"Market")</f>
        <v>0</v>
      </c>
      <c r="T445" s="478">
        <f>IFERROR(MAX(0,INDEX(Input!$1:$1048576,T$93,$C445*2+MIN($B445,2)+5)
+INDEX(Scenarios!T$121:T$200,MATCH($B445,Scenarios!$B$121:$B$200,0)),),"Market")</f>
        <v>0</v>
      </c>
      <c r="U445" s="478">
        <f>IFERROR(MAX(0,INDEX(Input!$1:$1048576,U$93,$C445*2+MIN($B445,2)+5)
+INDEX(Scenarios!U$121:U$200,MATCH($B445,Scenarios!$B$121:$B$200,0)),),"Market")</f>
        <v>0</v>
      </c>
      <c r="V445" s="478">
        <f>IFERROR(MAX(0,INDEX(Input!$1:$1048576,V$93,$C445*2+MIN($B445,2)+5)
+INDEX(Scenarios!V$121:V$200,MATCH($B445,Scenarios!$B$121:$B$200,0)),),"Market")</f>
        <v>0</v>
      </c>
      <c r="W445" s="885">
        <f>IFERROR(MAX(0,INDEX(Input!$1:$1048576,W$93,$C445*2+MIN($B445,2)+5)-0%,),"Market")</f>
        <v>3.9E-2</v>
      </c>
      <c r="X445" s="476" t="str">
        <f>INDEX(Input!$1:$1048576,X$93,$C445*2+MIN($B445,2)+5)</f>
        <v>Y</v>
      </c>
      <c r="Y445" s="475">
        <f>INDEX(Input!$1:$1048576,Y$93,$C445*2+MIN($B445,2)+5)
++INDEX(Scenarios!Y$121:Y$200,MATCH($B445,Scenarios!$B$121:$B$200,0))</f>
        <v>-510</v>
      </c>
      <c r="Z445" s="477">
        <f>INDEX(Input!$1:$1048576,Z$93,$C445*2+MIN($B445,2)+5)
+INDEX(Scenarios!Z$121:Z$200,MATCH($B445,Scenarios!$B$121:$B$200,0))</f>
        <v>0</v>
      </c>
      <c r="AA445" s="475">
        <f>INDEX(Input!$1:$1048576,AA$93,$C445*2+MIN($B445,2)+5)
+INDEX(Scenarios!AA$121:AA$200,MATCH($B445,Scenarios!$B$121:$B$200,0))</f>
        <v>0</v>
      </c>
      <c r="AB445" s="476">
        <f>INDEX(Input!$1:$1048576,AB$93,$C445*2+MIN($B445,2)+5)</f>
        <v>0.27</v>
      </c>
      <c r="AC445" s="475">
        <f>INDEX(Input!$1:$1048576,AC$93,$C445*2+MIN($B445,2)+5)
+INDEX(Scenarios!AC$121:AC$200,MATCH($B445,Scenarios!$B$121:$B$200,0))</f>
        <v>0</v>
      </c>
      <c r="AD445" s="476">
        <f>INDEX(Input!$1:$1048576,AD$93,$C445*2+MIN($B445,2)+5)</f>
        <v>0.27</v>
      </c>
      <c r="AE445" s="475">
        <f>INDEX(Input!$1:$1048576,AE$93,$C445*2+MIN($B445,2)+5)
+INDEX(Scenarios!AE$121:AE$200,MATCH($B445,Scenarios!$B$121:$B$200,0))</f>
        <v>0</v>
      </c>
      <c r="AF445" s="476">
        <f>INDEX(Input!$1:$1048576,AF$93,$C445*2+MIN($B445,2)+5)</f>
        <v>1</v>
      </c>
      <c r="AG445" s="475">
        <f>INDEX(Input!$1:$1048576,AG$93,$C445*2+MIN($B445,2)+5)
+INDEX(Scenarios!AG$121:AG$200,MATCH($B445,Scenarios!$B$121:$B$200,0))</f>
        <v>500</v>
      </c>
      <c r="AH445" s="476">
        <f>INDEX(Input!$1:$1048576,AH$93,$C445*2+MIN($B445,2)+5)</f>
        <v>0.83199999999999996</v>
      </c>
      <c r="AI445" s="475">
        <f>INDEX(Input!$1:$1048576,AI$93,$C445*2+MIN($B445,2)+5)
+INDEX(Scenarios!AI$121:AI$200,MATCH($B445,Scenarios!$B$121:$B$200,0))</f>
        <v>0</v>
      </c>
      <c r="AJ445" s="476">
        <f>INDEX(Input!$1:$1048576,AJ$93,$C445*2+MIN($B445,2)+5)</f>
        <v>0.27</v>
      </c>
      <c r="AK445" s="150">
        <f>ROUND(INDEX(Input!$1:$1048576,AK$93,$C444*2+MIN($B445,1)+5)+(Y445-VLOOKUP($C445*1000+1,$A:$HH,Y$92,FALSE)),0)</f>
        <v>2947</v>
      </c>
      <c r="AL445" s="150">
        <f>ROUND(INDEX(Input!$1:$1048576,AL$93,$C444*2+MIN($B445,1)+5)-(Y445-VLOOKUP($C445*1000+1,$A:$HH,Y$92,FALSE))/36,0)</f>
        <v>3396</v>
      </c>
      <c r="AM445" s="32" t="str">
        <f t="shared" si="1139"/>
        <v>std/std/std/std</v>
      </c>
      <c r="AN445" s="32" t="str">
        <f t="shared" si="1140"/>
        <v>$0 + 0/0/0/0/3.9</v>
      </c>
      <c r="AO445" s="32" t="str">
        <f t="shared" si="1141"/>
        <v>0/0/0/0/3.9</v>
      </c>
      <c r="AP445" s="32" t="str">
        <f t="shared" si="1213"/>
        <v>0/0/0/3.9</v>
      </c>
      <c r="AQ445" s="536">
        <f t="shared" si="1207"/>
        <v>0.37568807379758717</v>
      </c>
      <c r="AR445" s="32"/>
      <c r="AS445" s="302"/>
      <c r="AT445" s="3">
        <f t="shared" si="1162"/>
        <v>45</v>
      </c>
      <c r="AU445" s="41" t="s">
        <v>121</v>
      </c>
      <c r="AV445" s="41" t="s">
        <v>116</v>
      </c>
      <c r="AW445" s="41" t="str">
        <f>INDEX(Input!$1:$1048576,AW$93,$C445*2+6)</f>
        <v>Kia</v>
      </c>
      <c r="AX445" s="41" t="str">
        <f>INDEX(Input!$1:$1048576,AX$93,$C445*2+6)</f>
        <v>Kia-LR - R1</v>
      </c>
      <c r="AY445" s="41" t="str">
        <f>IF(LEN(D445)=0,"",INDEX(Input!$1:$1048576,AY$93,$C445*2+6))</f>
        <v>Compact SUV (52)</v>
      </c>
      <c r="AZ445" s="41" t="str">
        <f>INDEX(Input!$1:$1048576,AZ$93,$C445*2+6)</f>
        <v>Kia Soul</v>
      </c>
      <c r="BA445" s="3">
        <f>INDEX(Input!$1:$1048576,BA$93,$C445*2+6)</f>
        <v>2020</v>
      </c>
      <c r="BB445" s="128">
        <f>INDEX(Input!$1:$1048576,BB$93,$C445*2+6)</f>
        <v>1</v>
      </c>
      <c r="BC445" s="128">
        <f>INDEX(Input!$1:$1048576,BC$93,$C445*2+6)</f>
        <v>0.7</v>
      </c>
      <c r="BD445" s="1">
        <f>INDEX(Input!$1:$1048576,BD$93,$C445*2+6)</f>
        <v>4.4999999999999998E-2</v>
      </c>
      <c r="BE445" s="1">
        <f>INDEX(Input!$1:$1048576,BE$93,$C445*2+6)</f>
        <v>4.4999999999999998E-2</v>
      </c>
      <c r="BF445" s="1">
        <f>INDEX(Input!$1:$1048576,BF$93,$C445*2+6)</f>
        <v>0.05</v>
      </c>
      <c r="BG445" s="1">
        <f>INDEX(Input!$1:$1048576,BG$93,$C445*2+6)</f>
        <v>5.45E-2</v>
      </c>
      <c r="BH445" s="1">
        <f>INDEX(Input!$1:$1048576,BH$93,$C445*2+6)</f>
        <v>5.45E-2</v>
      </c>
      <c r="BI445" s="1">
        <f>INDEX(Input!$1:$1048576,BI$93,$C445*2+6)</f>
        <v>0.05</v>
      </c>
      <c r="BJ445" s="1">
        <f>INDEX(Input!$1:$1048576,BJ$93,$C445*2+6)</f>
        <v>0.05</v>
      </c>
      <c r="BK445" s="1">
        <f>INDEX(Input!$1:$1048576,BK$93,$C445*2+6)</f>
        <v>0.05</v>
      </c>
      <c r="BL445" s="1">
        <f>INDEX(Input!$1:$1048576,BL$93,$C445*2+6)</f>
        <v>5.5E-2</v>
      </c>
      <c r="BM445" s="1">
        <f>INDEX(Input!$1:$1048576,BM$93,$C445*2+6)</f>
        <v>0.06</v>
      </c>
      <c r="BN445" s="1">
        <f>INDEX(Input!$1:$1048576,BN$93,$C445*2+6)</f>
        <v>4.4999999999999998E-2</v>
      </c>
      <c r="BO445" s="1">
        <f>INDEX(Input!$1:$1048576,BO$93,$C445*2+6)</f>
        <v>4.4999999999999998E-2</v>
      </c>
      <c r="BP445" s="1">
        <f>INDEX(Input!$1:$1048576,BP$93,$C445*2+6)</f>
        <v>0.05</v>
      </c>
      <c r="BQ445" s="1">
        <f>INDEX(Input!$1:$1048576,BQ$93,$C445*2+6)</f>
        <v>5.45E-2</v>
      </c>
      <c r="BR445" s="1">
        <f>INDEX(Input!$1:$1048576,BR$93,$C445*2+6)</f>
        <v>5.45E-2</v>
      </c>
      <c r="BS445" s="1">
        <f>INDEX(Input!$1:$1048576,BS$93,$C445*2+6)</f>
        <v>0.05</v>
      </c>
      <c r="BT445" s="1">
        <f>INDEX(Input!$1:$1048576,BT$93,$C445*2+6)</f>
        <v>0.05</v>
      </c>
      <c r="BU445" s="1">
        <f>INDEX(Input!$1:$1048576,BU$93,$C445*2+6)</f>
        <v>0.05</v>
      </c>
      <c r="BV445" s="1">
        <f>INDEX(Input!$1:$1048576,BV$93,$C445*2+6)</f>
        <v>5.5E-2</v>
      </c>
      <c r="BW445" s="1">
        <f>INDEX(Input!$1:$1048576,BW$93,$C445*2+6)</f>
        <v>0.06</v>
      </c>
      <c r="BX445" s="127">
        <f>INDEX(Input!$1:$1048576,BX$93,$C445*2+6)</f>
        <v>19985</v>
      </c>
      <c r="BY445" s="20">
        <f>INDEX(Input!$1:$1048576,BY$93,$C445*2+6)</f>
        <v>0.1</v>
      </c>
      <c r="BZ445" s="20">
        <f>INDEX(Input!$1:$1048576,BZ$93,$C445*2+6)</f>
        <v>0.1</v>
      </c>
      <c r="CA445" s="20">
        <f>INDEX(Input!$1:$1048576,CA$93,$C445*2+6)</f>
        <v>0.1</v>
      </c>
      <c r="CB445" s="20">
        <f>INDEX(Input!$1:$1048576,CB$93,$C445*2+6)</f>
        <v>0.1</v>
      </c>
      <c r="CC445" s="20">
        <f>INDEX(Input!$1:$1048576,CC$93,$C445*2+6)</f>
        <v>0.1</v>
      </c>
      <c r="CD445" s="384">
        <f>INDEX(Input!$1:$1048576,CD$93,$C445*2+6)</f>
        <v>0.1</v>
      </c>
      <c r="CE445" s="384">
        <f>INDEX(Input!$1:$1048576,CE$93,$C445*2+6)</f>
        <v>0.1</v>
      </c>
      <c r="CF445" s="384">
        <f>INDEX(Input!$1:$1048576,CF$93,$C445*2+6)</f>
        <v>0.1</v>
      </c>
      <c r="CG445" s="384">
        <f>INDEX(Input!$1:$1048576,CG$93,$C445*2+6)</f>
        <v>0.1</v>
      </c>
      <c r="CH445" s="384">
        <f>INDEX(Input!$1:$1048576,CH$93,$C445*2+6)</f>
        <v>0.1</v>
      </c>
      <c r="CI445" s="304">
        <f t="shared" si="1214"/>
        <v>1256.832975525977</v>
      </c>
      <c r="CJ445" s="16" t="str">
        <f>INDEX(Input!$1:$1048576,CJ$93,$C445*2+6)</f>
        <v>N</v>
      </c>
      <c r="CK445" s="1" t="str">
        <f t="shared" si="1215"/>
        <v>Market</v>
      </c>
      <c r="CL445" s="1" t="str">
        <f t="shared" si="1216"/>
        <v>Market</v>
      </c>
      <c r="CM445" s="1" t="str">
        <f t="shared" si="1217"/>
        <v>Market</v>
      </c>
      <c r="CN445" s="1" t="str">
        <f t="shared" si="1218"/>
        <v>Market</v>
      </c>
      <c r="CO445" s="1" t="str">
        <f t="shared" si="1219"/>
        <v>Market</v>
      </c>
      <c r="CP445" s="304">
        <f t="shared" si="1220"/>
        <v>416</v>
      </c>
      <c r="CQ445" s="1">
        <f t="shared" si="1221"/>
        <v>0</v>
      </c>
      <c r="CR445" s="1">
        <f t="shared" si="1222"/>
        <v>0</v>
      </c>
      <c r="CS445" s="1">
        <f t="shared" si="1223"/>
        <v>0</v>
      </c>
      <c r="CT445" s="1">
        <f t="shared" si="1224"/>
        <v>0</v>
      </c>
      <c r="CU445" s="1">
        <f t="shared" si="1225"/>
        <v>3.9E-2</v>
      </c>
      <c r="CV445" s="304">
        <f t="shared" si="1226"/>
        <v>-510</v>
      </c>
      <c r="CW445" s="20" t="s">
        <v>122</v>
      </c>
      <c r="CX445" s="20" t="s">
        <v>122</v>
      </c>
      <c r="CY445" s="20" t="s">
        <v>122</v>
      </c>
      <c r="CZ445" s="20" t="s">
        <v>122</v>
      </c>
      <c r="DA445" s="20" t="s">
        <v>122</v>
      </c>
      <c r="DB445" s="503">
        <f t="shared" si="1227"/>
        <v>0</v>
      </c>
      <c r="DC445" s="127">
        <v>0</v>
      </c>
      <c r="DD445" s="127">
        <v>0</v>
      </c>
      <c r="DE445" s="127">
        <v>0</v>
      </c>
      <c r="DF445" s="127">
        <v>0</v>
      </c>
      <c r="DG445" s="127">
        <v>0</v>
      </c>
      <c r="DH445" s="127">
        <v>0</v>
      </c>
      <c r="DI445" s="127">
        <v>0</v>
      </c>
      <c r="DJ445" s="127">
        <v>0</v>
      </c>
      <c r="DK445" s="127">
        <v>0</v>
      </c>
      <c r="DL445" s="127">
        <v>0</v>
      </c>
      <c r="DM445" s="304">
        <f>INDEX(Input!$1:$1048576,DM$93,$C445*2+6)</f>
        <v>21036.84210526316</v>
      </c>
      <c r="DN445" s="20">
        <v>0</v>
      </c>
      <c r="DO445" s="20">
        <v>0</v>
      </c>
      <c r="DP445" s="20">
        <v>0</v>
      </c>
      <c r="DQ445" s="20">
        <v>0</v>
      </c>
      <c r="DR445" s="20">
        <v>0</v>
      </c>
      <c r="DS445" s="20">
        <f>INDEX(Input!$1:$1048576,DS$93,$C445*2+6)</f>
        <v>0.6</v>
      </c>
      <c r="DT445" s="20">
        <f>INDEX(Input!$1:$1048576,DT$93,$C445*2+6)</f>
        <v>0.55000000000000004</v>
      </c>
      <c r="DU445" s="20">
        <f>INDEX(Input!$1:$1048576,DU$93,$C445*2+6)</f>
        <v>0.52</v>
      </c>
      <c r="DV445" s="20">
        <f>INDEX(Input!$1:$1048576,DV$93,$C445*2+6)</f>
        <v>0.5</v>
      </c>
      <c r="DW445" s="20">
        <f>INDEX(Input!$1:$1048576,DW$93,$C445*2+6)</f>
        <v>0.45</v>
      </c>
      <c r="DX445" s="20"/>
      <c r="DY445" s="7">
        <v>9.8966088793871809E-2</v>
      </c>
      <c r="DZ445" s="7">
        <v>0</v>
      </c>
      <c r="EA445" s="7">
        <v>0.77175913079911551</v>
      </c>
      <c r="EB445" s="7">
        <v>0</v>
      </c>
      <c r="EC445" s="7">
        <v>0</v>
      </c>
      <c r="ED445" s="7">
        <v>0</v>
      </c>
      <c r="EE445" s="7">
        <v>0</v>
      </c>
      <c r="EF445" s="7">
        <v>0</v>
      </c>
      <c r="EG445" s="7">
        <v>0</v>
      </c>
      <c r="EH445" s="7">
        <v>7.370048273345327E-3</v>
      </c>
      <c r="EI445" s="7">
        <v>1.9249119065363644E-2</v>
      </c>
      <c r="EJ445" s="7">
        <v>0.13508554835476072</v>
      </c>
      <c r="EK445" s="7">
        <v>0.7555330921482889</v>
      </c>
      <c r="EL445" s="7">
        <v>8.2762192158241155E-2</v>
      </c>
      <c r="EM445" s="7">
        <v>6.9057687453097719E-2</v>
      </c>
      <c r="EN445" s="7">
        <v>5.1604036283089655E-2</v>
      </c>
      <c r="EO445" s="7">
        <v>0.724189627622851</v>
      </c>
      <c r="EP445" s="7">
        <v>9.6771623962130904E-2</v>
      </c>
      <c r="EQ445" s="7">
        <v>8.5009912158847553E-2</v>
      </c>
      <c r="ER445" s="7">
        <v>4.242479997308074E-2</v>
      </c>
      <c r="ES445" s="7">
        <v>6.0217092953914975E-2</v>
      </c>
      <c r="ET445" s="7">
        <v>0.12927478040701265</v>
      </c>
      <c r="EU445" s="6">
        <v>1770</v>
      </c>
      <c r="EV445" s="6">
        <v>0</v>
      </c>
      <c r="EW445" s="6">
        <v>1770</v>
      </c>
      <c r="EX445" s="6">
        <v>0</v>
      </c>
      <c r="EY445" s="6">
        <v>3187.8961907546018</v>
      </c>
      <c r="EZ445" s="6">
        <v>867</v>
      </c>
      <c r="FA445" s="6">
        <v>0</v>
      </c>
      <c r="FB445" s="6">
        <v>0</v>
      </c>
      <c r="FC445" s="6">
        <v>0</v>
      </c>
      <c r="FD445" s="6">
        <v>0</v>
      </c>
      <c r="FE445" s="6">
        <v>0</v>
      </c>
      <c r="FF445" s="6">
        <v>0</v>
      </c>
      <c r="FG445" s="6">
        <v>0</v>
      </c>
      <c r="FH445" s="6">
        <v>1169.7991549209585</v>
      </c>
      <c r="FI445" s="6">
        <v>1553.9796069512402</v>
      </c>
      <c r="FJ445" s="6">
        <v>2101.211011744741</v>
      </c>
      <c r="FK445" s="6">
        <v>2674.2006261592273</v>
      </c>
      <c r="FL445" s="6">
        <v>907.07682140966324</v>
      </c>
      <c r="FM445" s="6">
        <v>2417.8961907546018</v>
      </c>
      <c r="FN445" s="6">
        <v>0</v>
      </c>
      <c r="FO445" s="6">
        <v>0</v>
      </c>
      <c r="FP445" s="6">
        <v>0</v>
      </c>
      <c r="FQ445" s="6">
        <v>0</v>
      </c>
      <c r="FR445" s="6">
        <v>0</v>
      </c>
      <c r="FS445" s="6">
        <v>0</v>
      </c>
      <c r="FT445" s="7">
        <v>0.87072521959298732</v>
      </c>
      <c r="FU445" s="7">
        <v>6.9057687453097719E-2</v>
      </c>
      <c r="FV445" s="7">
        <v>6.0217092953914975E-2</v>
      </c>
      <c r="FW445" s="6">
        <v>1770</v>
      </c>
      <c r="FX445" s="6">
        <v>3187.8961907546018</v>
      </c>
      <c r="FY445" s="6">
        <v>867</v>
      </c>
      <c r="FZ445" s="6">
        <v>1949.5716051445115</v>
      </c>
      <c r="GA445" s="6">
        <v>1813.5405970446841</v>
      </c>
      <c r="GB445" s="6">
        <v>18171.459402955315</v>
      </c>
      <c r="GC445" s="7">
        <v>3.3872851927908169E-2</v>
      </c>
      <c r="GD445" s="7">
        <v>3.3878138723192848E-2</v>
      </c>
      <c r="GE445" s="7"/>
      <c r="GF445" s="7"/>
      <c r="GG445" s="7">
        <v>1.5607765463417409E-4</v>
      </c>
      <c r="GH445" s="42">
        <v>-2.2930153730647284E-2</v>
      </c>
      <c r="GI445" s="6">
        <v>-869746.25070470537</v>
      </c>
      <c r="GJ445" s="14">
        <v>0.50394797582841733</v>
      </c>
      <c r="GK445" s="14">
        <v>0.50887573065309732</v>
      </c>
      <c r="GL445" s="14">
        <v>0.49605202417158273</v>
      </c>
      <c r="GM445" s="14">
        <v>0.49112426934690234</v>
      </c>
      <c r="GO445" s="5">
        <v>343.14810671672558</v>
      </c>
      <c r="GP445" s="5">
        <v>309.37988338875158</v>
      </c>
      <c r="GQ445" s="5">
        <v>535.04305713031317</v>
      </c>
      <c r="GR445" s="5">
        <v>410.15490233172511</v>
      </c>
      <c r="GS445" s="5">
        <v>339.42744393800166</v>
      </c>
      <c r="GT445" s="5">
        <v>293.4407446948278</v>
      </c>
      <c r="GU445" s="5">
        <v>258.04012322764959</v>
      </c>
      <c r="GV445" s="39" t="s">
        <v>392</v>
      </c>
      <c r="GW445" s="5">
        <v>478.23611111111109</v>
      </c>
      <c r="GX445" s="5">
        <v>358.67708333333331</v>
      </c>
      <c r="GY445" s="5">
        <v>286.94166666666666</v>
      </c>
      <c r="GZ445" s="5">
        <v>239.11805555555554</v>
      </c>
      <c r="HA445" s="5">
        <v>234.53733318419432</v>
      </c>
      <c r="HB445" s="39">
        <v>249.26294123518909</v>
      </c>
      <c r="HC445" s="5">
        <v>249.35312499999998</v>
      </c>
      <c r="HD445" s="5">
        <v>213.91580774853799</v>
      </c>
      <c r="HE445" s="5">
        <v>216.92584767206475</v>
      </c>
      <c r="HF445" s="5">
        <v>200.85938048245612</v>
      </c>
      <c r="HG445" s="5">
        <v>194.01388157894735</v>
      </c>
      <c r="HH445" s="39">
        <v>214.08154183352636</v>
      </c>
      <c r="HI445" s="16"/>
      <c r="HJ445" s="19" t="str">
        <f t="shared" si="1232"/>
        <v>On</v>
      </c>
      <c r="HK445" s="1" t="str">
        <f t="shared" si="1232"/>
        <v>On</v>
      </c>
      <c r="HL445" s="16"/>
      <c r="HM445" s="639">
        <f t="shared" si="1110"/>
        <v>2.9403358434788716E-2</v>
      </c>
      <c r="HN445" s="639">
        <f t="shared" si="1111"/>
        <v>1.4106809950923669E-3</v>
      </c>
      <c r="HO445" s="639">
        <f t="shared" si="1112"/>
        <v>1.7317923025048877E-3</v>
      </c>
      <c r="HP445" s="644">
        <f>(FT445*$GD445-HM445)/$JF445*INDEX(Input!$1:$1048576,$JG$93,$C445*2+6)</f>
        <v>6.8119519221141358</v>
      </c>
      <c r="HQ445" s="644">
        <f>(FU445*$GD445-HN445)/$JF445*INDEX(Input!$1:$1048576,$JG$93,$C445*2+6)</f>
        <v>66.470152530607038</v>
      </c>
      <c r="HR445" s="644">
        <f>(FV445*$GD445-HO445)/$JF445*INDEX(Input!$1:$1048576,$JG$93,$C445*2+6)</f>
        <v>22.058614048613485</v>
      </c>
      <c r="HS445" s="644">
        <f t="shared" si="1233"/>
        <v>-37.088670700159945</v>
      </c>
      <c r="HT445" s="644">
        <f t="shared" si="1114"/>
        <v>163.70381482547199</v>
      </c>
      <c r="HU445" s="644">
        <f t="shared" si="1115"/>
        <v>11.604272674984955</v>
      </c>
      <c r="HV445" s="648">
        <f t="shared" si="1116"/>
        <v>0</v>
      </c>
      <c r="HW445" s="648">
        <f t="shared" si="1117"/>
        <v>0</v>
      </c>
      <c r="HX445" s="648">
        <f t="shared" si="1118"/>
        <v>0</v>
      </c>
      <c r="HY445" s="644">
        <f>INDEX(Input!$1:$1048576,HY$93,$C445*2+6)*INDEX(Input!$1:$1048576,$JG$93,$C445*2+6)</f>
        <v>993</v>
      </c>
      <c r="HZ445" s="644">
        <f>INDEX(Input!$1:$1048576,HZ$93,$C445*2+6)*INDEX(Input!$1:$1048576,$JG$93,$C445*2+6)</f>
        <v>1216</v>
      </c>
      <c r="IA445" s="644">
        <f>INDEX(Input!$1:$1048576,IA$93,$C445*2+6)*INDEX(Input!$1:$1048576,$JG$93,$C445*2+6)</f>
        <v>120</v>
      </c>
      <c r="IB445" s="644">
        <f t="shared" si="1142"/>
        <v>962.72328122195449</v>
      </c>
      <c r="IC445" s="644">
        <f t="shared" si="1143"/>
        <v>1446.1739673560789</v>
      </c>
      <c r="ID445" s="644">
        <f>IF(AND(INDEX(Input!$1:$1048576,IA$93,$C445*2+7)="TOS",Y445&lt;=INDEX(Y:Y,MATCH(C445*1000+2,A:A))),0,1)*MAX(IA445+HR445+HU445+HX445,0%)</f>
        <v>153.66288672359843</v>
      </c>
      <c r="IE445" s="128">
        <f t="shared" si="1238"/>
        <v>0.37568807379758717</v>
      </c>
      <c r="IF445" s="128">
        <f t="shared" si="1210"/>
        <v>0.56434732884262784</v>
      </c>
      <c r="IG445" s="128">
        <f t="shared" si="1120"/>
        <v>5.9964597359784967E-2</v>
      </c>
      <c r="IH445" s="21"/>
      <c r="II445" s="19">
        <f t="shared" si="1121"/>
        <v>1490</v>
      </c>
      <c r="IJ445" s="19">
        <f t="shared" si="1122"/>
        <v>2203.2561351629856</v>
      </c>
      <c r="IK445" s="19">
        <f t="shared" si="1123"/>
        <v>242</v>
      </c>
      <c r="IL445" s="19">
        <f t="shared" si="1145"/>
        <v>280</v>
      </c>
      <c r="IM445" s="19">
        <f t="shared" si="1124"/>
        <v>984.64005559161615</v>
      </c>
      <c r="IN445" s="19">
        <f t="shared" si="1125"/>
        <v>625</v>
      </c>
      <c r="IO445" s="39">
        <f t="shared" si="1126"/>
        <v>0</v>
      </c>
      <c r="IP445" s="39">
        <f t="shared" si="1127"/>
        <v>0</v>
      </c>
      <c r="IQ445" s="39">
        <f t="shared" si="1128"/>
        <v>0</v>
      </c>
      <c r="IR445" s="39">
        <v>0</v>
      </c>
      <c r="IS445" s="39">
        <v>0</v>
      </c>
      <c r="IT445" s="39">
        <v>0</v>
      </c>
      <c r="IU445" s="39">
        <v>0</v>
      </c>
      <c r="IV445" s="39">
        <v>0</v>
      </c>
      <c r="IW445" s="39">
        <v>0</v>
      </c>
      <c r="IX445" s="39">
        <f>INDEX(Input!$1:$1048576,IX$93,$C445*2+6)+INDEX(Input!$1:$1048576,IX$94,$C445*2+6)</f>
        <v>1770</v>
      </c>
      <c r="IY445" s="39">
        <f>INDEX(Input!$1:$1048576,IY$93,$C445*2+6)+INDEX(Input!$1:$1048576,IY$94,$C445*2+6)</f>
        <v>2630.0624533823611</v>
      </c>
      <c r="IZ445" s="39">
        <f>INDEX(Input!$1:$1048576,IZ$93,$C445*2+6)+INDEX(Input!$1:$1048576,IZ$94,$C445*2+6)</f>
        <v>4153.7164157747848</v>
      </c>
      <c r="JA445" s="19">
        <f t="shared" si="1146"/>
        <v>2050</v>
      </c>
      <c r="JB445" s="19">
        <f t="shared" si="1147"/>
        <v>3614.7025089739773</v>
      </c>
      <c r="JC445" s="19">
        <f t="shared" si="1148"/>
        <v>4778.7164157747848</v>
      </c>
      <c r="JD445" s="19">
        <f t="shared" si="1149"/>
        <v>3096.6620625537926</v>
      </c>
      <c r="JE445" s="21"/>
      <c r="JF445" s="1">
        <f t="shared" si="1129"/>
        <v>3.2545831732385969E-2</v>
      </c>
      <c r="JG445" s="15">
        <f>INDEX(Input!$1:$1048576,JG$93,$C445*2+6)/(1+VLOOKUP(C445*1000+INDEX(Input!$1:$1048576,JG$93+1,$C445*2+6),$A:$KK,$JK$92,FALSE))</f>
        <v>2329</v>
      </c>
      <c r="JH445" s="1">
        <f t="shared" si="1150"/>
        <v>4.0936332546730209E-2</v>
      </c>
      <c r="JI445" s="1">
        <f t="shared" si="1151"/>
        <v>5.9347108973936018E-2</v>
      </c>
      <c r="JJ445" s="1">
        <f t="shared" si="1211"/>
        <v>0</v>
      </c>
      <c r="JK445" s="1">
        <f t="shared" si="1212"/>
        <v>0.10028344152066623</v>
      </c>
      <c r="JL445" s="15">
        <f t="shared" si="1154"/>
        <v>233.56013530163165</v>
      </c>
      <c r="JM445" s="15">
        <f t="shared" si="1180"/>
        <v>2562.5601353016318</v>
      </c>
      <c r="JN445" s="21"/>
      <c r="JO445" s="19">
        <f>INDEX(Input!$1:$1048576,JO$93,$C445*2+6)</f>
        <v>5995.5</v>
      </c>
      <c r="JP445" s="19">
        <f>INDEX(Input!$1:$1048576,JP$93,$C445*2+6)</f>
        <v>2341.8685758720158</v>
      </c>
      <c r="JQ445" s="39">
        <f t="shared" si="1166"/>
        <v>2898.8379374462074</v>
      </c>
      <c r="JR445" s="39">
        <f t="shared" si="1183"/>
        <v>754.79348668177681</v>
      </c>
      <c r="JS445" s="39">
        <f t="shared" si="1168"/>
        <v>7.9353827540012762</v>
      </c>
      <c r="JT445" s="39">
        <f t="shared" si="1156"/>
        <v>2.4811708407953521</v>
      </c>
      <c r="JU445" s="385">
        <f>(JQ445*JM445-INDEX(Input!$1:$1048576,Input!A$18,$C445*2+6)*JL445*INDEX(Input!$1:$1048576,Input!A$19,$C445*2+6))/1000000</f>
        <v>7.4284465371996564</v>
      </c>
      <c r="JV445" s="39">
        <f t="shared" si="1190"/>
        <v>-1.080861049594418</v>
      </c>
      <c r="JW445" s="1">
        <f t="shared" si="1181"/>
        <v>-0.12702103415227911</v>
      </c>
      <c r="JX445" s="19">
        <f t="shared" si="1172"/>
        <v>10623.263416040754</v>
      </c>
      <c r="JZ445" s="341"/>
      <c r="KA445" s="342"/>
      <c r="KB445" s="469">
        <f t="shared" si="1169"/>
        <v>2.3434325605641804</v>
      </c>
      <c r="KI445" s="473">
        <f t="shared" si="1235"/>
        <v>-30.27671877804562</v>
      </c>
      <c r="KJ445" s="473">
        <f t="shared" si="1236"/>
        <v>230.17396735607895</v>
      </c>
      <c r="KK445" s="473">
        <f t="shared" si="1158"/>
        <v>33.662886723598433</v>
      </c>
      <c r="KN445" s="544">
        <f t="shared" si="1173"/>
        <v>4002</v>
      </c>
      <c r="KO445" s="541">
        <f t="shared" si="1133"/>
        <v>5.9516932672655676E-2</v>
      </c>
      <c r="KP445" s="546">
        <f t="shared" si="1134"/>
        <v>419.22247489936552</v>
      </c>
      <c r="KQ445" s="546">
        <f t="shared" si="1135"/>
        <v>471.89087451777141</v>
      </c>
      <c r="KR445" s="548">
        <f t="shared" si="1136"/>
        <v>2.4646282850927395</v>
      </c>
      <c r="KS445" s="548">
        <f t="shared" si="1137"/>
        <v>2.1895476797245124</v>
      </c>
      <c r="KT445" s="473">
        <f t="shared" si="1171"/>
        <v>1580.0986321700548</v>
      </c>
      <c r="KU445" s="663">
        <f t="shared" si="1159"/>
        <v>4.0127911233151519</v>
      </c>
      <c r="KV445" s="117"/>
    </row>
    <row r="446" spans="1:308" s="26" customFormat="1" ht="15">
      <c r="A446" s="561">
        <f t="shared" si="1138"/>
        <v>4046</v>
      </c>
      <c r="B446" s="561">
        <f t="shared" si="1160"/>
        <v>46</v>
      </c>
      <c r="C446" s="561">
        <f t="shared" si="1161"/>
        <v>4</v>
      </c>
      <c r="D446" s="561" t="str">
        <f t="shared" si="1206"/>
        <v xml:space="preserve">0/0/0/3.9, 360 Lease, </v>
      </c>
      <c r="E446" s="475">
        <f>INDEX(Input!$1:$1048576,E$93,$C446*2+MIN($B446,2)+5)
+INDEX(Scenarios!E$121:E$200,MATCH($B446,Scenarios!$B$121:$B$200,0))</f>
        <v>1256.832975525977</v>
      </c>
      <c r="F446" s="475">
        <f>INDEX(Input!$1:$1048576,F$93,$C446*2+MIN($B446,2)+5)
+INDEX(Scenarios!F$121:F$200,MATCH($B446,Scenarios!$B$121:$B$200,0))</f>
        <v>0</v>
      </c>
      <c r="G446" s="475">
        <f>INDEX(Input!$1:$1048576,G$93,$C446*2+MIN($B446,2)+5)
+INDEX(Scenarios!G$121:G$200,MATCH($B446,Scenarios!$B$121:$B$200,0))</f>
        <v>0</v>
      </c>
      <c r="H446" s="475">
        <f>INDEX(Input!$1:$1048576,H$93,$C446*2+MIN($B446,2)+5)
+INDEX(Scenarios!H$121:H$200,MATCH($B446,Scenarios!$B$121:$B$200,0))</f>
        <v>0</v>
      </c>
      <c r="I446" s="476">
        <f>INDEX(Input!$1:$1048576,I$93,$C446*2+MIN($B446,2)+5)</f>
        <v>0.7</v>
      </c>
      <c r="J446" s="476" t="str">
        <f>INDEX(Input!$1:$1048576,J$93,$C446*2+MIN($B446,2)+5)</f>
        <v>Market</v>
      </c>
      <c r="K446" s="476" t="str">
        <f>INDEX(Input!$1:$1048576,K$93,$C446*2+MIN($B446,2)+5)</f>
        <v>Market</v>
      </c>
      <c r="L446" s="476" t="str">
        <f>INDEX(Input!$1:$1048576,L$93,$C446*2+MIN($B446,2)+5)</f>
        <v>Market</v>
      </c>
      <c r="M446" s="476" t="str">
        <f>INDEX(Input!$1:$1048576,M$93,$C446*2+MIN($B446,2)+5)</f>
        <v>Market</v>
      </c>
      <c r="N446" s="476" t="str">
        <f>INDEX(Input!$1:$1048576,N$93,$C446*2+MIN($B446,2)+5)</f>
        <v>Market</v>
      </c>
      <c r="O446" s="476" t="str">
        <f>INDEX(Input!$1:$1048576,O$93,$C446*2+MIN($B446,2)+5)</f>
        <v>Market</v>
      </c>
      <c r="P446" s="476" t="str">
        <f>INDEX(Input!$1:$1048576,P$93,$C446*2+MIN($B446,2)+5)</f>
        <v>N</v>
      </c>
      <c r="Q446" s="477">
        <f>INDEX(Input!$1:$1048576,Q$93,$C446*2+MIN($B446,2)+5)
+INDEX(Scenarios!Q$121:Q$200,MATCH($B446,Scenarios!$B$121:$B$200,0))</f>
        <v>0</v>
      </c>
      <c r="R446" s="478">
        <f>IFERROR(MAX(0,INDEX(Input!$1:$1048576,R$93,$C446*2+MIN($B446,2)+5)
+INDEX(Scenarios!R$121:R$200,MATCH($B446,Scenarios!$B$121:$B$200,0)),),"Market")</f>
        <v>0</v>
      </c>
      <c r="S446" s="478">
        <f>IFERROR(MAX(0,INDEX(Input!$1:$1048576,S$93,$C446*2+MIN($B446,2)+5)
+INDEX(Scenarios!S$121:S$200,MATCH($B446,Scenarios!$B$121:$B$200,0)),),"Market")</f>
        <v>0</v>
      </c>
      <c r="T446" s="478">
        <f>IFERROR(MAX(0,INDEX(Input!$1:$1048576,T$93,$C446*2+MIN($B446,2)+5)
+INDEX(Scenarios!T$121:T$200,MATCH($B446,Scenarios!$B$121:$B$200,0)),),"Market")</f>
        <v>0</v>
      </c>
      <c r="U446" s="478">
        <f>IFERROR(MAX(0,INDEX(Input!$1:$1048576,U$93,$C446*2+MIN($B446,2)+5)
+INDEX(Scenarios!U$121:U$200,MATCH($B446,Scenarios!$B$121:$B$200,0)),),"Market")</f>
        <v>0</v>
      </c>
      <c r="V446" s="478">
        <f>IFERROR(MAX(0,INDEX(Input!$1:$1048576,V$93,$C446*2+MIN($B446,2)+5)
+INDEX(Scenarios!V$121:V$200,MATCH($B446,Scenarios!$B$121:$B$200,0)),),"Market")</f>
        <v>0</v>
      </c>
      <c r="W446" s="885">
        <f>IFERROR(MAX(0,INDEX(Input!$1:$1048576,W$93,$C446*2+MIN($B446,2)+5)-0%,),"Market")</f>
        <v>3.9E-2</v>
      </c>
      <c r="X446" s="476" t="str">
        <f>INDEX(Input!$1:$1048576,X$93,$C446*2+MIN($B446,2)+5)</f>
        <v>Y</v>
      </c>
      <c r="Y446" s="475">
        <f>INDEX(Input!$1:$1048576,Y$93,$C446*2+MIN($B446,2)+5)
++INDEX(Scenarios!Y$121:Y$200,MATCH($B446,Scenarios!$B$121:$B$200,0))</f>
        <v>-510</v>
      </c>
      <c r="Z446" s="477">
        <f>INDEX(Input!$1:$1048576,Z$93,$C446*2+MIN($B446,2)+5)
+INDEX(Scenarios!Z$121:Z$200,MATCH($B446,Scenarios!$B$121:$B$200,0))</f>
        <v>0</v>
      </c>
      <c r="AA446" s="475">
        <f>INDEX(Input!$1:$1048576,AA$93,$C446*2+MIN($B446,2)+5)
+INDEX(Scenarios!AA$121:AA$200,MATCH($B446,Scenarios!$B$121:$B$200,0))</f>
        <v>0</v>
      </c>
      <c r="AB446" s="476">
        <f>INDEX(Input!$1:$1048576,AB$93,$C446*2+MIN($B446,2)+5)</f>
        <v>0.27</v>
      </c>
      <c r="AC446" s="475">
        <f>INDEX(Input!$1:$1048576,AC$93,$C446*2+MIN($B446,2)+5)
+INDEX(Scenarios!AC$121:AC$200,MATCH($B446,Scenarios!$B$121:$B$200,0))</f>
        <v>0</v>
      </c>
      <c r="AD446" s="476">
        <f>INDEX(Input!$1:$1048576,AD$93,$C446*2+MIN($B446,2)+5)</f>
        <v>0.27</v>
      </c>
      <c r="AE446" s="475">
        <f>INDEX(Input!$1:$1048576,AE$93,$C446*2+MIN($B446,2)+5)
+INDEX(Scenarios!AE$121:AE$200,MATCH($B446,Scenarios!$B$121:$B$200,0))</f>
        <v>0</v>
      </c>
      <c r="AF446" s="476">
        <f>INDEX(Input!$1:$1048576,AF$93,$C446*2+MIN($B446,2)+5)</f>
        <v>1</v>
      </c>
      <c r="AG446" s="475">
        <f>INDEX(Input!$1:$1048576,AG$93,$C446*2+MIN($B446,2)+5)
+INDEX(Scenarios!AG$121:AG$200,MATCH($B446,Scenarios!$B$121:$B$200,0))</f>
        <v>500</v>
      </c>
      <c r="AH446" s="476">
        <f>INDEX(Input!$1:$1048576,AH$93,$C446*2+MIN($B446,2)+5)</f>
        <v>0.83199999999999996</v>
      </c>
      <c r="AI446" s="475">
        <f>INDEX(Input!$1:$1048576,AI$93,$C446*2+MIN($B446,2)+5)
+INDEX(Scenarios!AI$121:AI$200,MATCH($B446,Scenarios!$B$121:$B$200,0))</f>
        <v>0</v>
      </c>
      <c r="AJ446" s="476">
        <f>INDEX(Input!$1:$1048576,AJ$93,$C446*2+MIN($B446,2)+5)</f>
        <v>0.27</v>
      </c>
      <c r="AK446" s="150">
        <f>ROUND(INDEX(Input!$1:$1048576,AK$93,$C445*2+MIN($B446,1)+5)+(Y446-VLOOKUP($C446*1000+1,$A:$HH,Y$92,FALSE)),0)</f>
        <v>2947</v>
      </c>
      <c r="AL446" s="150">
        <f>ROUND(INDEX(Input!$1:$1048576,AL$93,$C445*2+MIN($B446,1)+5)-(Y446-VLOOKUP($C446*1000+1,$A:$HH,Y$92,FALSE))/36,0)</f>
        <v>3396</v>
      </c>
      <c r="AM446" s="32" t="str">
        <f t="shared" si="1139"/>
        <v>std/std/std/std</v>
      </c>
      <c r="AN446" s="32" t="str">
        <f t="shared" si="1140"/>
        <v>$0 + 0/0/0/0/3.9</v>
      </c>
      <c r="AO446" s="32" t="str">
        <f t="shared" si="1141"/>
        <v>0/0/0/0/3.9</v>
      </c>
      <c r="AP446" s="32" t="str">
        <f t="shared" si="1213"/>
        <v>0/0/0/3.9</v>
      </c>
      <c r="AQ446" s="536">
        <f t="shared" si="1207"/>
        <v>0.37568807379758717</v>
      </c>
      <c r="AR446" s="32"/>
      <c r="AS446" s="302"/>
      <c r="AT446" s="3">
        <f t="shared" si="1162"/>
        <v>46</v>
      </c>
      <c r="AU446" s="41" t="s">
        <v>121</v>
      </c>
      <c r="AV446" s="41" t="s">
        <v>116</v>
      </c>
      <c r="AW446" s="41" t="str">
        <f>INDEX(Input!$1:$1048576,AW$93,$C446*2+6)</f>
        <v>Kia</v>
      </c>
      <c r="AX446" s="41" t="str">
        <f>INDEX(Input!$1:$1048576,AX$93,$C446*2+6)</f>
        <v>Kia-LR - R1</v>
      </c>
      <c r="AY446" s="41" t="str">
        <f>IF(LEN(D446)=0,"",INDEX(Input!$1:$1048576,AY$93,$C446*2+6))</f>
        <v>Compact SUV (52)</v>
      </c>
      <c r="AZ446" s="41" t="str">
        <f>INDEX(Input!$1:$1048576,AZ$93,$C446*2+6)</f>
        <v>Kia Soul</v>
      </c>
      <c r="BA446" s="3">
        <f>INDEX(Input!$1:$1048576,BA$93,$C446*2+6)</f>
        <v>2020</v>
      </c>
      <c r="BB446" s="128">
        <f>INDEX(Input!$1:$1048576,BB$93,$C446*2+6)</f>
        <v>1</v>
      </c>
      <c r="BC446" s="128">
        <f>INDEX(Input!$1:$1048576,BC$93,$C446*2+6)</f>
        <v>0.7</v>
      </c>
      <c r="BD446" s="1">
        <f>INDEX(Input!$1:$1048576,BD$93,$C446*2+6)</f>
        <v>4.4999999999999998E-2</v>
      </c>
      <c r="BE446" s="1">
        <f>INDEX(Input!$1:$1048576,BE$93,$C446*2+6)</f>
        <v>4.4999999999999998E-2</v>
      </c>
      <c r="BF446" s="1">
        <f>INDEX(Input!$1:$1048576,BF$93,$C446*2+6)</f>
        <v>0.05</v>
      </c>
      <c r="BG446" s="1">
        <f>INDEX(Input!$1:$1048576,BG$93,$C446*2+6)</f>
        <v>5.45E-2</v>
      </c>
      <c r="BH446" s="1">
        <f>INDEX(Input!$1:$1048576,BH$93,$C446*2+6)</f>
        <v>5.45E-2</v>
      </c>
      <c r="BI446" s="1">
        <f>INDEX(Input!$1:$1048576,BI$93,$C446*2+6)</f>
        <v>0.05</v>
      </c>
      <c r="BJ446" s="1">
        <f>INDEX(Input!$1:$1048576,BJ$93,$C446*2+6)</f>
        <v>0.05</v>
      </c>
      <c r="BK446" s="1">
        <f>INDEX(Input!$1:$1048576,BK$93,$C446*2+6)</f>
        <v>0.05</v>
      </c>
      <c r="BL446" s="1">
        <f>INDEX(Input!$1:$1048576,BL$93,$C446*2+6)</f>
        <v>5.5E-2</v>
      </c>
      <c r="BM446" s="1">
        <f>INDEX(Input!$1:$1048576,BM$93,$C446*2+6)</f>
        <v>0.06</v>
      </c>
      <c r="BN446" s="1">
        <f>INDEX(Input!$1:$1048576,BN$93,$C446*2+6)</f>
        <v>4.4999999999999998E-2</v>
      </c>
      <c r="BO446" s="1">
        <f>INDEX(Input!$1:$1048576,BO$93,$C446*2+6)</f>
        <v>4.4999999999999998E-2</v>
      </c>
      <c r="BP446" s="1">
        <f>INDEX(Input!$1:$1048576,BP$93,$C446*2+6)</f>
        <v>0.05</v>
      </c>
      <c r="BQ446" s="1">
        <f>INDEX(Input!$1:$1048576,BQ$93,$C446*2+6)</f>
        <v>5.45E-2</v>
      </c>
      <c r="BR446" s="1">
        <f>INDEX(Input!$1:$1048576,BR$93,$C446*2+6)</f>
        <v>5.45E-2</v>
      </c>
      <c r="BS446" s="1">
        <f>INDEX(Input!$1:$1048576,BS$93,$C446*2+6)</f>
        <v>0.05</v>
      </c>
      <c r="BT446" s="1">
        <f>INDEX(Input!$1:$1048576,BT$93,$C446*2+6)</f>
        <v>0.05</v>
      </c>
      <c r="BU446" s="1">
        <f>INDEX(Input!$1:$1048576,BU$93,$C446*2+6)</f>
        <v>0.05</v>
      </c>
      <c r="BV446" s="1">
        <f>INDEX(Input!$1:$1048576,BV$93,$C446*2+6)</f>
        <v>5.5E-2</v>
      </c>
      <c r="BW446" s="1">
        <f>INDEX(Input!$1:$1048576,BW$93,$C446*2+6)</f>
        <v>0.06</v>
      </c>
      <c r="BX446" s="127">
        <f>INDEX(Input!$1:$1048576,BX$93,$C446*2+6)</f>
        <v>19985</v>
      </c>
      <c r="BY446" s="20">
        <f>INDEX(Input!$1:$1048576,BY$93,$C446*2+6)</f>
        <v>0.1</v>
      </c>
      <c r="BZ446" s="20">
        <f>INDEX(Input!$1:$1048576,BZ$93,$C446*2+6)</f>
        <v>0.1</v>
      </c>
      <c r="CA446" s="20">
        <f>INDEX(Input!$1:$1048576,CA$93,$C446*2+6)</f>
        <v>0.1</v>
      </c>
      <c r="CB446" s="20">
        <f>INDEX(Input!$1:$1048576,CB$93,$C446*2+6)</f>
        <v>0.1</v>
      </c>
      <c r="CC446" s="20">
        <f>INDEX(Input!$1:$1048576,CC$93,$C446*2+6)</f>
        <v>0.1</v>
      </c>
      <c r="CD446" s="384">
        <f>INDEX(Input!$1:$1048576,CD$93,$C446*2+6)</f>
        <v>0.1</v>
      </c>
      <c r="CE446" s="384">
        <f>INDEX(Input!$1:$1048576,CE$93,$C446*2+6)</f>
        <v>0.1</v>
      </c>
      <c r="CF446" s="384">
        <f>INDEX(Input!$1:$1048576,CF$93,$C446*2+6)</f>
        <v>0.1</v>
      </c>
      <c r="CG446" s="384">
        <f>INDEX(Input!$1:$1048576,CG$93,$C446*2+6)</f>
        <v>0.1</v>
      </c>
      <c r="CH446" s="384">
        <f>INDEX(Input!$1:$1048576,CH$93,$C446*2+6)</f>
        <v>0.1</v>
      </c>
      <c r="CI446" s="304">
        <f t="shared" si="1214"/>
        <v>1256.832975525977</v>
      </c>
      <c r="CJ446" s="16" t="str">
        <f>INDEX(Input!$1:$1048576,CJ$93,$C446*2+6)</f>
        <v>N</v>
      </c>
      <c r="CK446" s="1" t="str">
        <f t="shared" si="1215"/>
        <v>Market</v>
      </c>
      <c r="CL446" s="1" t="str">
        <f t="shared" si="1216"/>
        <v>Market</v>
      </c>
      <c r="CM446" s="1" t="str">
        <f t="shared" si="1217"/>
        <v>Market</v>
      </c>
      <c r="CN446" s="1" t="str">
        <f t="shared" si="1218"/>
        <v>Market</v>
      </c>
      <c r="CO446" s="1" t="str">
        <f t="shared" si="1219"/>
        <v>Market</v>
      </c>
      <c r="CP446" s="304">
        <f t="shared" si="1220"/>
        <v>416</v>
      </c>
      <c r="CQ446" s="1">
        <f t="shared" si="1221"/>
        <v>0</v>
      </c>
      <c r="CR446" s="1">
        <f t="shared" si="1222"/>
        <v>0</v>
      </c>
      <c r="CS446" s="1">
        <f t="shared" si="1223"/>
        <v>0</v>
      </c>
      <c r="CT446" s="1">
        <f t="shared" si="1224"/>
        <v>0</v>
      </c>
      <c r="CU446" s="1">
        <f t="shared" si="1225"/>
        <v>3.9E-2</v>
      </c>
      <c r="CV446" s="304">
        <f t="shared" si="1226"/>
        <v>-510</v>
      </c>
      <c r="CW446" s="20" t="s">
        <v>122</v>
      </c>
      <c r="CX446" s="20" t="s">
        <v>122</v>
      </c>
      <c r="CY446" s="20" t="s">
        <v>122</v>
      </c>
      <c r="CZ446" s="20" t="s">
        <v>122</v>
      </c>
      <c r="DA446" s="20" t="s">
        <v>122</v>
      </c>
      <c r="DB446" s="503">
        <f t="shared" si="1227"/>
        <v>0</v>
      </c>
      <c r="DC446" s="127">
        <v>0</v>
      </c>
      <c r="DD446" s="127">
        <v>0</v>
      </c>
      <c r="DE446" s="127">
        <v>0</v>
      </c>
      <c r="DF446" s="127">
        <v>0</v>
      </c>
      <c r="DG446" s="127">
        <v>0</v>
      </c>
      <c r="DH446" s="127">
        <v>0</v>
      </c>
      <c r="DI446" s="127">
        <v>0</v>
      </c>
      <c r="DJ446" s="127">
        <v>0</v>
      </c>
      <c r="DK446" s="127">
        <v>0</v>
      </c>
      <c r="DL446" s="127">
        <v>0</v>
      </c>
      <c r="DM446" s="304">
        <f>INDEX(Input!$1:$1048576,DM$93,$C446*2+6)</f>
        <v>21036.84210526316</v>
      </c>
      <c r="DN446" s="20">
        <v>0</v>
      </c>
      <c r="DO446" s="20">
        <v>0</v>
      </c>
      <c r="DP446" s="20">
        <v>0</v>
      </c>
      <c r="DQ446" s="20">
        <v>0</v>
      </c>
      <c r="DR446" s="20">
        <v>0</v>
      </c>
      <c r="DS446" s="20">
        <f>INDEX(Input!$1:$1048576,DS$93,$C446*2+6)</f>
        <v>0.6</v>
      </c>
      <c r="DT446" s="20">
        <f>INDEX(Input!$1:$1048576,DT$93,$C446*2+6)</f>
        <v>0.55000000000000004</v>
      </c>
      <c r="DU446" s="20">
        <f>INDEX(Input!$1:$1048576,DU$93,$C446*2+6)</f>
        <v>0.52</v>
      </c>
      <c r="DV446" s="20">
        <f>INDEX(Input!$1:$1048576,DV$93,$C446*2+6)</f>
        <v>0.5</v>
      </c>
      <c r="DW446" s="20">
        <f>INDEX(Input!$1:$1048576,DW$93,$C446*2+6)</f>
        <v>0.45</v>
      </c>
      <c r="DX446" s="20"/>
      <c r="DY446" s="7">
        <v>9.8966088793871809E-2</v>
      </c>
      <c r="DZ446" s="7">
        <v>0</v>
      </c>
      <c r="EA446" s="7">
        <v>0.77175913079911551</v>
      </c>
      <c r="EB446" s="7">
        <v>0</v>
      </c>
      <c r="EC446" s="7">
        <v>0</v>
      </c>
      <c r="ED446" s="7">
        <v>0</v>
      </c>
      <c r="EE446" s="7">
        <v>0</v>
      </c>
      <c r="EF446" s="7">
        <v>0</v>
      </c>
      <c r="EG446" s="7">
        <v>0</v>
      </c>
      <c r="EH446" s="7">
        <v>7.370048273345327E-3</v>
      </c>
      <c r="EI446" s="7">
        <v>1.9249119065363644E-2</v>
      </c>
      <c r="EJ446" s="7">
        <v>0.13508554835476072</v>
      </c>
      <c r="EK446" s="7">
        <v>0.7555330921482889</v>
      </c>
      <c r="EL446" s="7">
        <v>8.2762192158241155E-2</v>
      </c>
      <c r="EM446" s="7">
        <v>6.9057687453097719E-2</v>
      </c>
      <c r="EN446" s="7">
        <v>5.1604036283089655E-2</v>
      </c>
      <c r="EO446" s="7">
        <v>0.724189627622851</v>
      </c>
      <c r="EP446" s="7">
        <v>9.6771623962130904E-2</v>
      </c>
      <c r="EQ446" s="7">
        <v>8.5009912158847553E-2</v>
      </c>
      <c r="ER446" s="7">
        <v>4.242479997308074E-2</v>
      </c>
      <c r="ES446" s="7">
        <v>6.0217092953914975E-2</v>
      </c>
      <c r="ET446" s="7">
        <v>0.12927478040701265</v>
      </c>
      <c r="EU446" s="6">
        <v>1770</v>
      </c>
      <c r="EV446" s="6">
        <v>0</v>
      </c>
      <c r="EW446" s="6">
        <v>1770</v>
      </c>
      <c r="EX446" s="6">
        <v>0</v>
      </c>
      <c r="EY446" s="6">
        <v>3187.8961907546018</v>
      </c>
      <c r="EZ446" s="6">
        <v>867</v>
      </c>
      <c r="FA446" s="6">
        <v>0</v>
      </c>
      <c r="FB446" s="6">
        <v>0</v>
      </c>
      <c r="FC446" s="6">
        <v>0</v>
      </c>
      <c r="FD446" s="6">
        <v>0</v>
      </c>
      <c r="FE446" s="6">
        <v>0</v>
      </c>
      <c r="FF446" s="6">
        <v>0</v>
      </c>
      <c r="FG446" s="6">
        <v>0</v>
      </c>
      <c r="FH446" s="6">
        <v>1169.7991549209585</v>
      </c>
      <c r="FI446" s="6">
        <v>1553.9796069512402</v>
      </c>
      <c r="FJ446" s="6">
        <v>2101.211011744741</v>
      </c>
      <c r="FK446" s="6">
        <v>2674.2006261592273</v>
      </c>
      <c r="FL446" s="6">
        <v>907.07682140966324</v>
      </c>
      <c r="FM446" s="6">
        <v>2417.8961907546018</v>
      </c>
      <c r="FN446" s="6">
        <v>0</v>
      </c>
      <c r="FO446" s="6">
        <v>0</v>
      </c>
      <c r="FP446" s="6">
        <v>0</v>
      </c>
      <c r="FQ446" s="6">
        <v>0</v>
      </c>
      <c r="FR446" s="6">
        <v>0</v>
      </c>
      <c r="FS446" s="6">
        <v>0</v>
      </c>
      <c r="FT446" s="7">
        <v>0.87072521959298732</v>
      </c>
      <c r="FU446" s="7">
        <v>6.9057687453097719E-2</v>
      </c>
      <c r="FV446" s="7">
        <v>6.0217092953914975E-2</v>
      </c>
      <c r="FW446" s="6">
        <v>1770</v>
      </c>
      <c r="FX446" s="6">
        <v>3187.8961907546018</v>
      </c>
      <c r="FY446" s="6">
        <v>867</v>
      </c>
      <c r="FZ446" s="6">
        <v>1949.5716051445115</v>
      </c>
      <c r="GA446" s="6">
        <v>1813.5405970446841</v>
      </c>
      <c r="GB446" s="6">
        <v>18171.459402955315</v>
      </c>
      <c r="GC446" s="7">
        <v>3.3872851927908169E-2</v>
      </c>
      <c r="GD446" s="7">
        <v>3.3878138723192848E-2</v>
      </c>
      <c r="GE446" s="7"/>
      <c r="GF446" s="7"/>
      <c r="GG446" s="7">
        <v>1.5607765463417409E-4</v>
      </c>
      <c r="GH446" s="42">
        <v>-2.2930153730647284E-2</v>
      </c>
      <c r="GI446" s="6">
        <v>-869746.25070470537</v>
      </c>
      <c r="GJ446" s="14">
        <v>0.50394797582841733</v>
      </c>
      <c r="GK446" s="14">
        <v>0.50887573065309732</v>
      </c>
      <c r="GL446" s="14">
        <v>0.49605202417158273</v>
      </c>
      <c r="GM446" s="14">
        <v>0.49112426934690234</v>
      </c>
      <c r="GO446" s="5">
        <v>343.14810671672558</v>
      </c>
      <c r="GP446" s="5">
        <v>309.37988338875158</v>
      </c>
      <c r="GQ446" s="5">
        <v>535.04305713031317</v>
      </c>
      <c r="GR446" s="5">
        <v>410.15490233172511</v>
      </c>
      <c r="GS446" s="5">
        <v>339.42744393800166</v>
      </c>
      <c r="GT446" s="5">
        <v>293.4407446948278</v>
      </c>
      <c r="GU446" s="5">
        <v>258.04012322764959</v>
      </c>
      <c r="GV446" s="39" t="s">
        <v>392</v>
      </c>
      <c r="GW446" s="5">
        <v>478.23611111111109</v>
      </c>
      <c r="GX446" s="5">
        <v>358.67708333333331</v>
      </c>
      <c r="GY446" s="5">
        <v>286.94166666666666</v>
      </c>
      <c r="GZ446" s="5">
        <v>239.11805555555554</v>
      </c>
      <c r="HA446" s="5">
        <v>234.53733318419432</v>
      </c>
      <c r="HB446" s="39">
        <v>249.26294123518909</v>
      </c>
      <c r="HC446" s="5">
        <v>249.35312499999998</v>
      </c>
      <c r="HD446" s="5">
        <v>213.91580774853799</v>
      </c>
      <c r="HE446" s="5">
        <v>216.92584767206475</v>
      </c>
      <c r="HF446" s="5">
        <v>200.85938048245612</v>
      </c>
      <c r="HG446" s="5">
        <v>194.01388157894735</v>
      </c>
      <c r="HH446" s="39">
        <v>214.08154183352636</v>
      </c>
      <c r="HI446" s="16"/>
      <c r="HJ446" s="19" t="str">
        <f t="shared" si="1232"/>
        <v>On</v>
      </c>
      <c r="HK446" s="1" t="str">
        <f t="shared" si="1232"/>
        <v>On</v>
      </c>
      <c r="HL446" s="16"/>
      <c r="HM446" s="639">
        <f t="shared" si="1110"/>
        <v>2.9403358434788716E-2</v>
      </c>
      <c r="HN446" s="639">
        <f t="shared" si="1111"/>
        <v>1.4106809950923669E-3</v>
      </c>
      <c r="HO446" s="639">
        <f t="shared" si="1112"/>
        <v>1.7317923025048877E-3</v>
      </c>
      <c r="HP446" s="644">
        <f>(FT446*$GD446-HM446)/$JF446*INDEX(Input!$1:$1048576,$JG$93,$C446*2+6)</f>
        <v>6.8119519221141358</v>
      </c>
      <c r="HQ446" s="644">
        <f>(FU446*$GD446-HN446)/$JF446*INDEX(Input!$1:$1048576,$JG$93,$C446*2+6)</f>
        <v>66.470152530607038</v>
      </c>
      <c r="HR446" s="644">
        <f>(FV446*$GD446-HO446)/$JF446*INDEX(Input!$1:$1048576,$JG$93,$C446*2+6)</f>
        <v>22.058614048613485</v>
      </c>
      <c r="HS446" s="644">
        <f t="shared" si="1233"/>
        <v>-37.088670700159945</v>
      </c>
      <c r="HT446" s="644">
        <f t="shared" si="1114"/>
        <v>163.70381482547199</v>
      </c>
      <c r="HU446" s="644">
        <f t="shared" si="1115"/>
        <v>11.604272674984955</v>
      </c>
      <c r="HV446" s="648">
        <f t="shared" si="1116"/>
        <v>0</v>
      </c>
      <c r="HW446" s="648">
        <f t="shared" si="1117"/>
        <v>0</v>
      </c>
      <c r="HX446" s="648">
        <f t="shared" si="1118"/>
        <v>0</v>
      </c>
      <c r="HY446" s="644">
        <f>INDEX(Input!$1:$1048576,HY$93,$C446*2+6)*INDEX(Input!$1:$1048576,$JG$93,$C446*2+6)</f>
        <v>993</v>
      </c>
      <c r="HZ446" s="644">
        <f>INDEX(Input!$1:$1048576,HZ$93,$C446*2+6)*INDEX(Input!$1:$1048576,$JG$93,$C446*2+6)</f>
        <v>1216</v>
      </c>
      <c r="IA446" s="644">
        <f>INDEX(Input!$1:$1048576,IA$93,$C446*2+6)*INDEX(Input!$1:$1048576,$JG$93,$C446*2+6)</f>
        <v>120</v>
      </c>
      <c r="IB446" s="644">
        <f t="shared" si="1142"/>
        <v>962.72328122195449</v>
      </c>
      <c r="IC446" s="644">
        <f t="shared" si="1143"/>
        <v>1446.1739673560789</v>
      </c>
      <c r="ID446" s="644">
        <f>IF(AND(INDEX(Input!$1:$1048576,IA$93,$C446*2+7)="TOS",Y446&lt;=INDEX(Y:Y,MATCH(C446*1000+2,A:A))),0,1)*MAX(IA446+HR446+HU446+HX446,0%)</f>
        <v>153.66288672359843</v>
      </c>
      <c r="IE446" s="128">
        <f t="shared" si="1238"/>
        <v>0.37568807379758717</v>
      </c>
      <c r="IF446" s="128">
        <f t="shared" si="1210"/>
        <v>0.56434732884262784</v>
      </c>
      <c r="IG446" s="128">
        <f t="shared" si="1120"/>
        <v>5.9964597359784967E-2</v>
      </c>
      <c r="IH446" s="21"/>
      <c r="II446" s="19">
        <f t="shared" si="1121"/>
        <v>1490</v>
      </c>
      <c r="IJ446" s="19">
        <f t="shared" si="1122"/>
        <v>2203.2561351629856</v>
      </c>
      <c r="IK446" s="19">
        <f t="shared" si="1123"/>
        <v>242</v>
      </c>
      <c r="IL446" s="19">
        <f t="shared" si="1145"/>
        <v>280</v>
      </c>
      <c r="IM446" s="19">
        <f t="shared" si="1124"/>
        <v>984.64005559161615</v>
      </c>
      <c r="IN446" s="19">
        <f t="shared" si="1125"/>
        <v>625</v>
      </c>
      <c r="IO446" s="39">
        <f t="shared" si="1126"/>
        <v>0</v>
      </c>
      <c r="IP446" s="39">
        <f t="shared" si="1127"/>
        <v>0</v>
      </c>
      <c r="IQ446" s="39">
        <f t="shared" si="1128"/>
        <v>0</v>
      </c>
      <c r="IR446" s="39">
        <v>0</v>
      </c>
      <c r="IS446" s="39">
        <v>0</v>
      </c>
      <c r="IT446" s="39">
        <v>0</v>
      </c>
      <c r="IU446" s="39">
        <v>0</v>
      </c>
      <c r="IV446" s="39">
        <v>0</v>
      </c>
      <c r="IW446" s="39">
        <v>0</v>
      </c>
      <c r="IX446" s="39">
        <f>INDEX(Input!$1:$1048576,IX$93,$C446*2+6)+INDEX(Input!$1:$1048576,IX$94,$C446*2+6)</f>
        <v>1770</v>
      </c>
      <c r="IY446" s="39">
        <f>INDEX(Input!$1:$1048576,IY$93,$C446*2+6)+INDEX(Input!$1:$1048576,IY$94,$C446*2+6)</f>
        <v>2630.0624533823611</v>
      </c>
      <c r="IZ446" s="39">
        <f>INDEX(Input!$1:$1048576,IZ$93,$C446*2+6)+INDEX(Input!$1:$1048576,IZ$94,$C446*2+6)</f>
        <v>4153.7164157747848</v>
      </c>
      <c r="JA446" s="19">
        <f t="shared" si="1146"/>
        <v>2050</v>
      </c>
      <c r="JB446" s="19">
        <f t="shared" si="1147"/>
        <v>3614.7025089739773</v>
      </c>
      <c r="JC446" s="19">
        <f t="shared" si="1148"/>
        <v>4778.7164157747848</v>
      </c>
      <c r="JD446" s="19">
        <f t="shared" si="1149"/>
        <v>3096.6620625537926</v>
      </c>
      <c r="JE446" s="21"/>
      <c r="JF446" s="1">
        <f t="shared" si="1129"/>
        <v>3.2545831732385969E-2</v>
      </c>
      <c r="JG446" s="15">
        <f>INDEX(Input!$1:$1048576,JG$93,$C446*2+6)/(1+VLOOKUP(C446*1000+INDEX(Input!$1:$1048576,JG$93+1,$C446*2+6),$A:$KK,$JK$92,FALSE))</f>
        <v>2329</v>
      </c>
      <c r="JH446" s="1">
        <f t="shared" si="1150"/>
        <v>4.0936332546730209E-2</v>
      </c>
      <c r="JI446" s="1">
        <f t="shared" si="1151"/>
        <v>5.9347108973936018E-2</v>
      </c>
      <c r="JJ446" s="1">
        <f t="shared" si="1211"/>
        <v>0</v>
      </c>
      <c r="JK446" s="1">
        <f t="shared" si="1212"/>
        <v>0.10028344152066623</v>
      </c>
      <c r="JL446" s="15">
        <f t="shared" si="1154"/>
        <v>233.56013530163165</v>
      </c>
      <c r="JM446" s="15">
        <f t="shared" si="1180"/>
        <v>2562.5601353016318</v>
      </c>
      <c r="JN446" s="21"/>
      <c r="JO446" s="19">
        <f>INDEX(Input!$1:$1048576,JO$93,$C446*2+6)</f>
        <v>5995.5</v>
      </c>
      <c r="JP446" s="19">
        <f>INDEX(Input!$1:$1048576,JP$93,$C446*2+6)</f>
        <v>2341.8685758720158</v>
      </c>
      <c r="JQ446" s="39">
        <f t="shared" si="1166"/>
        <v>2898.8379374462074</v>
      </c>
      <c r="JR446" s="39">
        <f t="shared" si="1183"/>
        <v>754.79348668177681</v>
      </c>
      <c r="JS446" s="39">
        <f t="shared" si="1168"/>
        <v>7.9353827540012762</v>
      </c>
      <c r="JT446" s="39">
        <f t="shared" si="1156"/>
        <v>2.4811708407953521</v>
      </c>
      <c r="JU446" s="385">
        <f>(JQ446*JM446-INDEX(Input!$1:$1048576,Input!A$18,$C446*2+6)*JL446*INDEX(Input!$1:$1048576,Input!A$19,$C446*2+6))/1000000</f>
        <v>7.4284465371996564</v>
      </c>
      <c r="JV446" s="39">
        <f t="shared" si="1190"/>
        <v>-1.080861049594418</v>
      </c>
      <c r="JW446" s="1">
        <f t="shared" si="1181"/>
        <v>-0.12702103415227911</v>
      </c>
      <c r="JX446" s="19">
        <f t="shared" si="1172"/>
        <v>10623.263416040754</v>
      </c>
      <c r="JZ446" s="341"/>
      <c r="KA446" s="342"/>
      <c r="KB446" s="469">
        <f t="shared" si="1169"/>
        <v>2.3434325605641804</v>
      </c>
      <c r="KI446" s="473">
        <f t="shared" si="1235"/>
        <v>-30.27671877804562</v>
      </c>
      <c r="KJ446" s="473">
        <f t="shared" si="1236"/>
        <v>230.17396735607895</v>
      </c>
      <c r="KK446" s="473">
        <f t="shared" si="1158"/>
        <v>33.662886723598433</v>
      </c>
      <c r="KN446" s="544">
        <f t="shared" si="1173"/>
        <v>4002</v>
      </c>
      <c r="KO446" s="541">
        <f t="shared" si="1133"/>
        <v>5.9516932672655676E-2</v>
      </c>
      <c r="KP446" s="546">
        <f t="shared" si="1134"/>
        <v>419.22247489936552</v>
      </c>
      <c r="KQ446" s="546">
        <f t="shared" si="1135"/>
        <v>471.89087451777141</v>
      </c>
      <c r="KR446" s="548">
        <f t="shared" si="1136"/>
        <v>2.4646282850927395</v>
      </c>
      <c r="KS446" s="548">
        <f t="shared" si="1137"/>
        <v>2.1895476797245124</v>
      </c>
      <c r="KT446" s="473">
        <f t="shared" si="1171"/>
        <v>1580.0986321700548</v>
      </c>
      <c r="KU446" s="663">
        <f t="shared" si="1159"/>
        <v>4.012792123315152</v>
      </c>
      <c r="KV446" s="117"/>
    </row>
    <row r="447" spans="1:308" s="26" customFormat="1" ht="15">
      <c r="A447" s="561">
        <f t="shared" si="1138"/>
        <v>4047</v>
      </c>
      <c r="B447" s="561">
        <f t="shared" si="1160"/>
        <v>47</v>
      </c>
      <c r="C447" s="561">
        <f t="shared" si="1161"/>
        <v>4</v>
      </c>
      <c r="D447" s="561" t="str">
        <f t="shared" si="1206"/>
        <v xml:space="preserve">250 CC, -360 Lease, </v>
      </c>
      <c r="E447" s="475">
        <f>INDEX(Input!$1:$1048576,E$93,$C447*2+MIN($B447,2)+5)
+INDEX(Scenarios!E$121:E$200,MATCH($B447,Scenarios!$B$121:$B$200,0))</f>
        <v>1506.832975525977</v>
      </c>
      <c r="F447" s="475">
        <f>INDEX(Input!$1:$1048576,F$93,$C447*2+MIN($B447,2)+5)
+INDEX(Scenarios!F$121:F$200,MATCH($B447,Scenarios!$B$121:$B$200,0))</f>
        <v>0</v>
      </c>
      <c r="G447" s="475">
        <f>INDEX(Input!$1:$1048576,G$93,$C447*2+MIN($B447,2)+5)
+INDEX(Scenarios!G$121:G$200,MATCH($B447,Scenarios!$B$121:$B$200,0))</f>
        <v>0</v>
      </c>
      <c r="H447" s="475">
        <f>INDEX(Input!$1:$1048576,H$93,$C447*2+MIN($B447,2)+5)
+INDEX(Scenarios!H$121:H$200,MATCH($B447,Scenarios!$B$121:$B$200,0))</f>
        <v>0</v>
      </c>
      <c r="I447" s="476">
        <f>INDEX(Input!$1:$1048576,I$93,$C447*2+MIN($B447,2)+5)</f>
        <v>0.7</v>
      </c>
      <c r="J447" s="476" t="str">
        <f>INDEX(Input!$1:$1048576,J$93,$C447*2+MIN($B447,2)+5)</f>
        <v>Market</v>
      </c>
      <c r="K447" s="476" t="str">
        <f>INDEX(Input!$1:$1048576,K$93,$C447*2+MIN($B447,2)+5)</f>
        <v>Market</v>
      </c>
      <c r="L447" s="476" t="str">
        <f>INDEX(Input!$1:$1048576,L$93,$C447*2+MIN($B447,2)+5)</f>
        <v>Market</v>
      </c>
      <c r="M447" s="476" t="str">
        <f>INDEX(Input!$1:$1048576,M$93,$C447*2+MIN($B447,2)+5)</f>
        <v>Market</v>
      </c>
      <c r="N447" s="476" t="str">
        <f>INDEX(Input!$1:$1048576,N$93,$C447*2+MIN($B447,2)+5)</f>
        <v>Market</v>
      </c>
      <c r="O447" s="476" t="str">
        <f>INDEX(Input!$1:$1048576,O$93,$C447*2+MIN($B447,2)+5)</f>
        <v>Market</v>
      </c>
      <c r="P447" s="476" t="str">
        <f>INDEX(Input!$1:$1048576,P$93,$C447*2+MIN($B447,2)+5)</f>
        <v>N</v>
      </c>
      <c r="Q447" s="477">
        <f>INDEX(Input!$1:$1048576,Q$93,$C447*2+MIN($B447,2)+5)
+INDEX(Scenarios!Q$121:Q$200,MATCH($B447,Scenarios!$B$121:$B$200,0))</f>
        <v>0</v>
      </c>
      <c r="R447" s="478">
        <f>IFERROR(MAX(0,INDEX(Input!$1:$1048576,R$93,$C447*2+MIN($B447,2)+5)
+INDEX(Scenarios!R$121:R$200,MATCH($B447,Scenarios!$B$121:$B$200,0)),),"Market")</f>
        <v>0</v>
      </c>
      <c r="S447" s="478">
        <f>IFERROR(MAX(0,INDEX(Input!$1:$1048576,S$93,$C447*2+MIN($B447,2)+5)
+INDEX(Scenarios!S$121:S$200,MATCH($B447,Scenarios!$B$121:$B$200,0)),),"Market")</f>
        <v>0</v>
      </c>
      <c r="T447" s="478">
        <f>IFERROR(MAX(0,INDEX(Input!$1:$1048576,T$93,$C447*2+MIN($B447,2)+5)
+INDEX(Scenarios!T$121:T$200,MATCH($B447,Scenarios!$B$121:$B$200,0)),),"Market")</f>
        <v>0</v>
      </c>
      <c r="U447" s="478">
        <f>IFERROR(MAX(0,INDEX(Input!$1:$1048576,U$93,$C447*2+MIN($B447,2)+5)
+INDEX(Scenarios!U$121:U$200,MATCH($B447,Scenarios!$B$121:$B$200,0)),),"Market")</f>
        <v>0</v>
      </c>
      <c r="V447" s="478">
        <f>IFERROR(MAX(0,INDEX(Input!$1:$1048576,V$93,$C447*2+MIN($B447,2)+5)
+INDEX(Scenarios!V$121:V$200,MATCH($B447,Scenarios!$B$121:$B$200,0)),),"Market")</f>
        <v>1.9E-2</v>
      </c>
      <c r="W447" s="885">
        <f>IFERROR(MAX(0,INDEX(Input!$1:$1048576,W$93,$C447*2+MIN($B447,2)+5)-0%,),"Market")</f>
        <v>3.9E-2</v>
      </c>
      <c r="X447" s="476" t="str">
        <f>INDEX(Input!$1:$1048576,X$93,$C447*2+MIN($B447,2)+5)</f>
        <v>Y</v>
      </c>
      <c r="Y447" s="475">
        <f>INDEX(Input!$1:$1048576,Y$93,$C447*2+MIN($B447,2)+5)
++INDEX(Scenarios!Y$121:Y$200,MATCH($B447,Scenarios!$B$121:$B$200,0))</f>
        <v>-1230</v>
      </c>
      <c r="Z447" s="477">
        <f>INDEX(Input!$1:$1048576,Z$93,$C447*2+MIN($B447,2)+5)
+INDEX(Scenarios!Z$121:Z$200,MATCH($B447,Scenarios!$B$121:$B$200,0))</f>
        <v>0</v>
      </c>
      <c r="AA447" s="475">
        <f>INDEX(Input!$1:$1048576,AA$93,$C447*2+MIN($B447,2)+5)
+INDEX(Scenarios!AA$121:AA$200,MATCH($B447,Scenarios!$B$121:$B$200,0))</f>
        <v>0</v>
      </c>
      <c r="AB447" s="476">
        <f>INDEX(Input!$1:$1048576,AB$93,$C447*2+MIN($B447,2)+5)</f>
        <v>0.27</v>
      </c>
      <c r="AC447" s="475">
        <f>INDEX(Input!$1:$1048576,AC$93,$C447*2+MIN($B447,2)+5)
+INDEX(Scenarios!AC$121:AC$200,MATCH($B447,Scenarios!$B$121:$B$200,0))</f>
        <v>0</v>
      </c>
      <c r="AD447" s="476">
        <f>INDEX(Input!$1:$1048576,AD$93,$C447*2+MIN($B447,2)+5)</f>
        <v>0.27</v>
      </c>
      <c r="AE447" s="475">
        <f>INDEX(Input!$1:$1048576,AE$93,$C447*2+MIN($B447,2)+5)
+INDEX(Scenarios!AE$121:AE$200,MATCH($B447,Scenarios!$B$121:$B$200,0))</f>
        <v>0</v>
      </c>
      <c r="AF447" s="476">
        <f>INDEX(Input!$1:$1048576,AF$93,$C447*2+MIN($B447,2)+5)</f>
        <v>1</v>
      </c>
      <c r="AG447" s="475">
        <f>INDEX(Input!$1:$1048576,AG$93,$C447*2+MIN($B447,2)+5)
+INDEX(Scenarios!AG$121:AG$200,MATCH($B447,Scenarios!$B$121:$B$200,0))</f>
        <v>500</v>
      </c>
      <c r="AH447" s="476">
        <f>INDEX(Input!$1:$1048576,AH$93,$C447*2+MIN($B447,2)+5)</f>
        <v>0.83199999999999996</v>
      </c>
      <c r="AI447" s="475">
        <f>INDEX(Input!$1:$1048576,AI$93,$C447*2+MIN($B447,2)+5)
+INDEX(Scenarios!AI$121:AI$200,MATCH($B447,Scenarios!$B$121:$B$200,0))</f>
        <v>0</v>
      </c>
      <c r="AJ447" s="476">
        <f>INDEX(Input!$1:$1048576,AJ$93,$C447*2+MIN($B447,2)+5)</f>
        <v>0.27</v>
      </c>
      <c r="AK447" s="150">
        <f>ROUND(INDEX(Input!$1:$1048576,AK$93,$C446*2+MIN($B447,1)+5)+(Y447-VLOOKUP($C447*1000+1,$A:$HH,Y$92,FALSE)),0)</f>
        <v>2227</v>
      </c>
      <c r="AL447" s="150">
        <f>ROUND(INDEX(Input!$1:$1048576,AL$93,$C446*2+MIN($B447,1)+5)-(Y447-VLOOKUP($C447*1000+1,$A:$HH,Y$92,FALSE))/36,0)</f>
        <v>3416</v>
      </c>
      <c r="AM447" s="32" t="str">
        <f t="shared" si="1139"/>
        <v>std/std/std/std</v>
      </c>
      <c r="AN447" s="32" t="str">
        <f t="shared" si="1140"/>
        <v>$0 + 0/0/0/1.9/3.9</v>
      </c>
      <c r="AO447" s="32" t="str">
        <f t="shared" si="1141"/>
        <v>0/0/0/1.9/3.9</v>
      </c>
      <c r="AP447" s="32" t="str">
        <f t="shared" si="1213"/>
        <v>0/0.9/1.9/3.9</v>
      </c>
      <c r="AQ447" s="536">
        <f t="shared" si="1207"/>
        <v>0.44731899196420505</v>
      </c>
      <c r="AR447" s="32"/>
      <c r="AS447" s="302"/>
      <c r="AT447" s="3">
        <f t="shared" si="1162"/>
        <v>47</v>
      </c>
      <c r="AU447" s="41" t="s">
        <v>121</v>
      </c>
      <c r="AV447" s="41" t="s">
        <v>116</v>
      </c>
      <c r="AW447" s="41" t="str">
        <f>INDEX(Input!$1:$1048576,AW$93,$C447*2+6)</f>
        <v>Kia</v>
      </c>
      <c r="AX447" s="41" t="str">
        <f>INDEX(Input!$1:$1048576,AX$93,$C447*2+6)</f>
        <v>Kia-LR - R1</v>
      </c>
      <c r="AY447" s="41" t="str">
        <f>IF(LEN(D447)=0,"",INDEX(Input!$1:$1048576,AY$93,$C447*2+6))</f>
        <v>Compact SUV (52)</v>
      </c>
      <c r="AZ447" s="41" t="str">
        <f>INDEX(Input!$1:$1048576,AZ$93,$C447*2+6)</f>
        <v>Kia Soul</v>
      </c>
      <c r="BA447" s="3">
        <f>INDEX(Input!$1:$1048576,BA$93,$C447*2+6)</f>
        <v>2020</v>
      </c>
      <c r="BB447" s="128">
        <f>INDEX(Input!$1:$1048576,BB$93,$C447*2+6)</f>
        <v>1</v>
      </c>
      <c r="BC447" s="128">
        <f>INDEX(Input!$1:$1048576,BC$93,$C447*2+6)</f>
        <v>0.7</v>
      </c>
      <c r="BD447" s="1">
        <f>INDEX(Input!$1:$1048576,BD$93,$C447*2+6)</f>
        <v>4.4999999999999998E-2</v>
      </c>
      <c r="BE447" s="1">
        <f>INDEX(Input!$1:$1048576,BE$93,$C447*2+6)</f>
        <v>4.4999999999999998E-2</v>
      </c>
      <c r="BF447" s="1">
        <f>INDEX(Input!$1:$1048576,BF$93,$C447*2+6)</f>
        <v>0.05</v>
      </c>
      <c r="BG447" s="1">
        <f>INDEX(Input!$1:$1048576,BG$93,$C447*2+6)</f>
        <v>5.45E-2</v>
      </c>
      <c r="BH447" s="1">
        <f>INDEX(Input!$1:$1048576,BH$93,$C447*2+6)</f>
        <v>5.45E-2</v>
      </c>
      <c r="BI447" s="1">
        <f>INDEX(Input!$1:$1048576,BI$93,$C447*2+6)</f>
        <v>0.05</v>
      </c>
      <c r="BJ447" s="1">
        <f>INDEX(Input!$1:$1048576,BJ$93,$C447*2+6)</f>
        <v>0.05</v>
      </c>
      <c r="BK447" s="1">
        <f>INDEX(Input!$1:$1048576,BK$93,$C447*2+6)</f>
        <v>0.05</v>
      </c>
      <c r="BL447" s="1">
        <f>INDEX(Input!$1:$1048576,BL$93,$C447*2+6)</f>
        <v>5.5E-2</v>
      </c>
      <c r="BM447" s="1">
        <f>INDEX(Input!$1:$1048576,BM$93,$C447*2+6)</f>
        <v>0.06</v>
      </c>
      <c r="BN447" s="1">
        <f>INDEX(Input!$1:$1048576,BN$93,$C447*2+6)</f>
        <v>4.4999999999999998E-2</v>
      </c>
      <c r="BO447" s="1">
        <f>INDEX(Input!$1:$1048576,BO$93,$C447*2+6)</f>
        <v>4.4999999999999998E-2</v>
      </c>
      <c r="BP447" s="1">
        <f>INDEX(Input!$1:$1048576,BP$93,$C447*2+6)</f>
        <v>0.05</v>
      </c>
      <c r="BQ447" s="1">
        <f>INDEX(Input!$1:$1048576,BQ$93,$C447*2+6)</f>
        <v>5.45E-2</v>
      </c>
      <c r="BR447" s="1">
        <f>INDEX(Input!$1:$1048576,BR$93,$C447*2+6)</f>
        <v>5.45E-2</v>
      </c>
      <c r="BS447" s="1">
        <f>INDEX(Input!$1:$1048576,BS$93,$C447*2+6)</f>
        <v>0.05</v>
      </c>
      <c r="BT447" s="1">
        <f>INDEX(Input!$1:$1048576,BT$93,$C447*2+6)</f>
        <v>0.05</v>
      </c>
      <c r="BU447" s="1">
        <f>INDEX(Input!$1:$1048576,BU$93,$C447*2+6)</f>
        <v>0.05</v>
      </c>
      <c r="BV447" s="1">
        <f>INDEX(Input!$1:$1048576,BV$93,$C447*2+6)</f>
        <v>5.5E-2</v>
      </c>
      <c r="BW447" s="1">
        <f>INDEX(Input!$1:$1048576,BW$93,$C447*2+6)</f>
        <v>0.06</v>
      </c>
      <c r="BX447" s="127">
        <f>INDEX(Input!$1:$1048576,BX$93,$C447*2+6)</f>
        <v>19985</v>
      </c>
      <c r="BY447" s="20">
        <f>INDEX(Input!$1:$1048576,BY$93,$C447*2+6)</f>
        <v>0.1</v>
      </c>
      <c r="BZ447" s="20">
        <f>INDEX(Input!$1:$1048576,BZ$93,$C447*2+6)</f>
        <v>0.1</v>
      </c>
      <c r="CA447" s="20">
        <f>INDEX(Input!$1:$1048576,CA$93,$C447*2+6)</f>
        <v>0.1</v>
      </c>
      <c r="CB447" s="20">
        <f>INDEX(Input!$1:$1048576,CB$93,$C447*2+6)</f>
        <v>0.1</v>
      </c>
      <c r="CC447" s="20">
        <f>INDEX(Input!$1:$1048576,CC$93,$C447*2+6)</f>
        <v>0.1</v>
      </c>
      <c r="CD447" s="384">
        <f>INDEX(Input!$1:$1048576,CD$93,$C447*2+6)</f>
        <v>0.1</v>
      </c>
      <c r="CE447" s="384">
        <f>INDEX(Input!$1:$1048576,CE$93,$C447*2+6)</f>
        <v>0.1</v>
      </c>
      <c r="CF447" s="384">
        <f>INDEX(Input!$1:$1048576,CF$93,$C447*2+6)</f>
        <v>0.1</v>
      </c>
      <c r="CG447" s="384">
        <f>INDEX(Input!$1:$1048576,CG$93,$C447*2+6)</f>
        <v>0.1</v>
      </c>
      <c r="CH447" s="384">
        <f>INDEX(Input!$1:$1048576,CH$93,$C447*2+6)</f>
        <v>0.1</v>
      </c>
      <c r="CI447" s="304">
        <f t="shared" si="1214"/>
        <v>1506.832975525977</v>
      </c>
      <c r="CJ447" s="16" t="str">
        <f>INDEX(Input!$1:$1048576,CJ$93,$C447*2+6)</f>
        <v>N</v>
      </c>
      <c r="CK447" s="1" t="str">
        <f t="shared" si="1215"/>
        <v>Market</v>
      </c>
      <c r="CL447" s="1" t="str">
        <f t="shared" si="1216"/>
        <v>Market</v>
      </c>
      <c r="CM447" s="1" t="str">
        <f t="shared" si="1217"/>
        <v>Market</v>
      </c>
      <c r="CN447" s="1" t="str">
        <f t="shared" si="1218"/>
        <v>Market</v>
      </c>
      <c r="CO447" s="1" t="str">
        <f t="shared" si="1219"/>
        <v>Market</v>
      </c>
      <c r="CP447" s="304">
        <f t="shared" si="1220"/>
        <v>416</v>
      </c>
      <c r="CQ447" s="1">
        <f t="shared" si="1221"/>
        <v>0</v>
      </c>
      <c r="CR447" s="1">
        <f t="shared" si="1222"/>
        <v>0</v>
      </c>
      <c r="CS447" s="1">
        <f t="shared" si="1223"/>
        <v>0</v>
      </c>
      <c r="CT447" s="1">
        <f t="shared" si="1224"/>
        <v>1.9E-2</v>
      </c>
      <c r="CU447" s="1">
        <f t="shared" si="1225"/>
        <v>3.9E-2</v>
      </c>
      <c r="CV447" s="304">
        <f t="shared" si="1226"/>
        <v>-1230</v>
      </c>
      <c r="CW447" s="20" t="s">
        <v>122</v>
      </c>
      <c r="CX447" s="20" t="s">
        <v>122</v>
      </c>
      <c r="CY447" s="20" t="s">
        <v>122</v>
      </c>
      <c r="CZ447" s="20" t="s">
        <v>122</v>
      </c>
      <c r="DA447" s="20" t="s">
        <v>122</v>
      </c>
      <c r="DB447" s="503">
        <f t="shared" si="1227"/>
        <v>0</v>
      </c>
      <c r="DC447" s="127">
        <v>0</v>
      </c>
      <c r="DD447" s="127">
        <v>0</v>
      </c>
      <c r="DE447" s="127">
        <v>0</v>
      </c>
      <c r="DF447" s="127">
        <v>0</v>
      </c>
      <c r="DG447" s="127">
        <v>0</v>
      </c>
      <c r="DH447" s="127">
        <v>0</v>
      </c>
      <c r="DI447" s="127">
        <v>0</v>
      </c>
      <c r="DJ447" s="127">
        <v>0</v>
      </c>
      <c r="DK447" s="127">
        <v>0</v>
      </c>
      <c r="DL447" s="127">
        <v>0</v>
      </c>
      <c r="DM447" s="304">
        <f>INDEX(Input!$1:$1048576,DM$93,$C447*2+6)</f>
        <v>21036.84210526316</v>
      </c>
      <c r="DN447" s="20">
        <v>0</v>
      </c>
      <c r="DO447" s="20">
        <v>0</v>
      </c>
      <c r="DP447" s="20">
        <v>0</v>
      </c>
      <c r="DQ447" s="20">
        <v>0</v>
      </c>
      <c r="DR447" s="20">
        <v>0</v>
      </c>
      <c r="DS447" s="20">
        <f>INDEX(Input!$1:$1048576,DS$93,$C447*2+6)</f>
        <v>0.6</v>
      </c>
      <c r="DT447" s="20">
        <f>INDEX(Input!$1:$1048576,DT$93,$C447*2+6)</f>
        <v>0.55000000000000004</v>
      </c>
      <c r="DU447" s="20">
        <f>INDEX(Input!$1:$1048576,DU$93,$C447*2+6)</f>
        <v>0.52</v>
      </c>
      <c r="DV447" s="20">
        <f>INDEX(Input!$1:$1048576,DV$93,$C447*2+6)</f>
        <v>0.5</v>
      </c>
      <c r="DW447" s="20">
        <f>INDEX(Input!$1:$1048576,DW$93,$C447*2+6)</f>
        <v>0.45</v>
      </c>
      <c r="DX447" s="20"/>
      <c r="DY447" s="7">
        <v>0.10721222256382616</v>
      </c>
      <c r="DZ447" s="7">
        <v>0</v>
      </c>
      <c r="EA447" s="7">
        <v>0.8149983704927064</v>
      </c>
      <c r="EB447" s="7">
        <v>0</v>
      </c>
      <c r="EC447" s="7">
        <v>0</v>
      </c>
      <c r="ED447" s="7">
        <v>0</v>
      </c>
      <c r="EE447" s="7">
        <v>0</v>
      </c>
      <c r="EF447" s="7">
        <v>0</v>
      </c>
      <c r="EG447" s="7">
        <v>0</v>
      </c>
      <c r="EH447" s="7">
        <v>1.2277252232784282E-2</v>
      </c>
      <c r="EI447" s="7">
        <v>3.2083394959317987E-2</v>
      </c>
      <c r="EJ447" s="7">
        <v>0.22516871170473388</v>
      </c>
      <c r="EK447" s="7">
        <v>0.59320674242391236</v>
      </c>
      <c r="EL447" s="7">
        <v>0.13726389867925151</v>
      </c>
      <c r="EM447" s="7">
        <v>3.8599876197392323E-2</v>
      </c>
      <c r="EN447" s="7">
        <v>4.9397285674269688E-2</v>
      </c>
      <c r="EO447" s="7">
        <v>0.70138418922128765</v>
      </c>
      <c r="EP447" s="7">
        <v>0.10817414158775499</v>
      </c>
      <c r="EQ447" s="7">
        <v>9.4933042747962493E-2</v>
      </c>
      <c r="ER447" s="7">
        <v>4.6111340768724883E-2</v>
      </c>
      <c r="ES447" s="7">
        <v>3.9189530746075181E-2</v>
      </c>
      <c r="ET447" s="7">
        <v>7.7789406943467448E-2</v>
      </c>
      <c r="EU447" s="6">
        <v>2020</v>
      </c>
      <c r="EV447" s="6">
        <v>0</v>
      </c>
      <c r="EW447" s="6">
        <v>2020</v>
      </c>
      <c r="EX447" s="6">
        <v>0</v>
      </c>
      <c r="EY447" s="6">
        <v>2483.4407120678256</v>
      </c>
      <c r="EZ447" s="6">
        <v>147</v>
      </c>
      <c r="FA447" s="6">
        <v>0</v>
      </c>
      <c r="FB447" s="6">
        <v>0</v>
      </c>
      <c r="FC447" s="6">
        <v>0</v>
      </c>
      <c r="FD447" s="6">
        <v>0</v>
      </c>
      <c r="FE447" s="6">
        <v>0</v>
      </c>
      <c r="FF447" s="6">
        <v>0</v>
      </c>
      <c r="FG447" s="6">
        <v>0</v>
      </c>
      <c r="FH447" s="6">
        <v>1169.8055023351828</v>
      </c>
      <c r="FI447" s="6">
        <v>1553.9796069512404</v>
      </c>
      <c r="FJ447" s="6">
        <v>2101.2110117447401</v>
      </c>
      <c r="FK447" s="6">
        <v>1772.7139978623218</v>
      </c>
      <c r="FL447" s="6">
        <v>907.07682140966369</v>
      </c>
      <c r="FM447" s="6">
        <v>1713.4407120678256</v>
      </c>
      <c r="FN447" s="6">
        <v>0</v>
      </c>
      <c r="FO447" s="6">
        <v>0</v>
      </c>
      <c r="FP447" s="6">
        <v>0</v>
      </c>
      <c r="FQ447" s="6">
        <v>0</v>
      </c>
      <c r="FR447" s="6">
        <v>0</v>
      </c>
      <c r="FS447" s="6">
        <v>0</v>
      </c>
      <c r="FT447" s="7">
        <v>0.92221059305653252</v>
      </c>
      <c r="FU447" s="7">
        <v>3.8599876197392323E-2</v>
      </c>
      <c r="FV447" s="7">
        <v>3.9189530746075181E-2</v>
      </c>
      <c r="FW447" s="6">
        <v>2020</v>
      </c>
      <c r="FX447" s="6">
        <v>2483.4407120678256</v>
      </c>
      <c r="FY447" s="6">
        <v>147</v>
      </c>
      <c r="FZ447" s="6">
        <v>1949.5716051445115</v>
      </c>
      <c r="GA447" s="6">
        <v>1964.4867630232507</v>
      </c>
      <c r="GB447" s="6">
        <v>18020.513236976749</v>
      </c>
      <c r="GC447" s="7">
        <v>3.3872851927908169E-2</v>
      </c>
      <c r="GD447" s="7">
        <v>3.4432230462573987E-2</v>
      </c>
      <c r="GE447" s="7"/>
      <c r="GF447" s="7"/>
      <c r="GG447" s="7">
        <v>1.6514066658938169E-2</v>
      </c>
      <c r="GH447" s="42">
        <v>22.127397166162542</v>
      </c>
      <c r="GI447" s="6">
        <v>2867.6657429062352</v>
      </c>
      <c r="GJ447" s="14">
        <v>0.50394797582841744</v>
      </c>
      <c r="GK447" s="14">
        <v>0.50887573065309788</v>
      </c>
      <c r="GL447" s="14">
        <v>0.49605202417158273</v>
      </c>
      <c r="GM447" s="14">
        <v>0.49112426934690268</v>
      </c>
      <c r="GO447" s="5">
        <v>343.14810671672558</v>
      </c>
      <c r="GP447" s="5">
        <v>304.61036031982871</v>
      </c>
      <c r="GQ447" s="5">
        <v>535.04305713031317</v>
      </c>
      <c r="GR447" s="5">
        <v>410.15490233172511</v>
      </c>
      <c r="GS447" s="5">
        <v>339.42744393800166</v>
      </c>
      <c r="GT447" s="5">
        <v>293.4407446948278</v>
      </c>
      <c r="GU447" s="5">
        <v>258.04012322764959</v>
      </c>
      <c r="GV447" s="39" t="s">
        <v>392</v>
      </c>
      <c r="GW447" s="5">
        <v>478.23611111111109</v>
      </c>
      <c r="GX447" s="5">
        <v>358.67708333333331</v>
      </c>
      <c r="GY447" s="5">
        <v>286.94166666666666</v>
      </c>
      <c r="GZ447" s="5">
        <v>253.19574071601335</v>
      </c>
      <c r="HA447" s="5">
        <v>234.53733318419432</v>
      </c>
      <c r="HB447" s="39">
        <v>264.38021859257196</v>
      </c>
      <c r="HC447" s="5">
        <v>280.85312499999998</v>
      </c>
      <c r="HD447" s="5">
        <v>235.41580774853799</v>
      </c>
      <c r="HE447" s="5">
        <v>236.8873861336032</v>
      </c>
      <c r="HF447" s="5">
        <v>217.50938048245612</v>
      </c>
      <c r="HG447" s="5">
        <v>207.81388157894736</v>
      </c>
      <c r="HH447" s="39">
        <v>234.84680116907094</v>
      </c>
      <c r="HI447" s="16"/>
      <c r="HJ447" s="19" t="str">
        <f t="shared" si="1232"/>
        <v>On</v>
      </c>
      <c r="HK447" s="1" t="str">
        <f t="shared" si="1232"/>
        <v>On</v>
      </c>
      <c r="HL447" s="16"/>
      <c r="HM447" s="639">
        <f t="shared" si="1110"/>
        <v>2.9403358434788716E-2</v>
      </c>
      <c r="HN447" s="639">
        <f t="shared" si="1111"/>
        <v>1.4106809950923669E-3</v>
      </c>
      <c r="HO447" s="639">
        <f t="shared" si="1112"/>
        <v>1.7317923025048877E-3</v>
      </c>
      <c r="HP447" s="644">
        <f>(FT447*$GD447-HM447)/$JF447*INDEX(Input!$1:$1048576,$JG$93,$C447*2+6)</f>
        <v>168.19674991907485</v>
      </c>
      <c r="HQ447" s="644">
        <f>(FU447*$GD447-HN447)/$JF447*INDEX(Input!$1:$1048576,$JG$93,$C447*2+6)</f>
        <v>-5.8394300058675555</v>
      </c>
      <c r="HR447" s="644">
        <f>(FV447*$GD447-HO447)/$JF447*INDEX(Input!$1:$1048576,$JG$93,$C447*2+6)</f>
        <v>-27.365451254461249</v>
      </c>
      <c r="HS447" s="644">
        <f t="shared" si="1233"/>
        <v>-69.480684211482412</v>
      </c>
      <c r="HT447" s="644">
        <f t="shared" si="1114"/>
        <v>42.715208311417562</v>
      </c>
      <c r="HU447" s="644">
        <f t="shared" si="1115"/>
        <v>3.3497627803454644</v>
      </c>
      <c r="HV447" s="648">
        <f t="shared" si="1116"/>
        <v>0</v>
      </c>
      <c r="HW447" s="648">
        <f t="shared" si="1117"/>
        <v>0</v>
      </c>
      <c r="HX447" s="648">
        <f t="shared" si="1118"/>
        <v>0</v>
      </c>
      <c r="HY447" s="644">
        <f>INDEX(Input!$1:$1048576,HY$93,$C447*2+6)*INDEX(Input!$1:$1048576,$JG$93,$C447*2+6)</f>
        <v>993</v>
      </c>
      <c r="HZ447" s="644">
        <f>INDEX(Input!$1:$1048576,HZ$93,$C447*2+6)*INDEX(Input!$1:$1048576,$JG$93,$C447*2+6)</f>
        <v>1216</v>
      </c>
      <c r="IA447" s="644">
        <f>INDEX(Input!$1:$1048576,IA$93,$C447*2+6)*INDEX(Input!$1:$1048576,$JG$93,$C447*2+6)</f>
        <v>120</v>
      </c>
      <c r="IB447" s="644">
        <f t="shared" si="1142"/>
        <v>1091.716065707592</v>
      </c>
      <c r="IC447" s="644">
        <f t="shared" si="1143"/>
        <v>1252.8757783055501</v>
      </c>
      <c r="ID447" s="644">
        <f>IF(AND(INDEX(Input!$1:$1048576,IA$93,$C447*2+7)="TOS",Y447&lt;=INDEX(Y:Y,MATCH(C447*1000+2,A:A))),0,1)*MAX(IA447+HR447+HU447+HX447,0%)</f>
        <v>95.984311525884209</v>
      </c>
      <c r="IE447" s="128">
        <f t="shared" si="1238"/>
        <v>0.44731899196420505</v>
      </c>
      <c r="IF447" s="128">
        <f t="shared" si="1210"/>
        <v>0.51335246206600749</v>
      </c>
      <c r="IG447" s="128">
        <f t="shared" si="1120"/>
        <v>3.9328545969787659E-2</v>
      </c>
      <c r="IH447" s="21"/>
      <c r="II447" s="19">
        <f t="shared" si="1121"/>
        <v>1490</v>
      </c>
      <c r="IJ447" s="19">
        <f t="shared" si="1122"/>
        <v>2203.2561351629856</v>
      </c>
      <c r="IK447" s="19">
        <f t="shared" si="1123"/>
        <v>242</v>
      </c>
      <c r="IL447" s="19">
        <f t="shared" si="1145"/>
        <v>530</v>
      </c>
      <c r="IM447" s="19">
        <f t="shared" si="1124"/>
        <v>280.18457690484001</v>
      </c>
      <c r="IN447" s="19">
        <f t="shared" si="1125"/>
        <v>-95</v>
      </c>
      <c r="IO447" s="39">
        <f t="shared" si="1126"/>
        <v>0</v>
      </c>
      <c r="IP447" s="39">
        <f t="shared" si="1127"/>
        <v>0</v>
      </c>
      <c r="IQ447" s="39">
        <f t="shared" si="1128"/>
        <v>0</v>
      </c>
      <c r="IR447" s="39">
        <v>0</v>
      </c>
      <c r="IS447" s="39">
        <v>0</v>
      </c>
      <c r="IT447" s="39">
        <v>0</v>
      </c>
      <c r="IU447" s="39">
        <v>0</v>
      </c>
      <c r="IV447" s="39">
        <v>0</v>
      </c>
      <c r="IW447" s="39">
        <v>0</v>
      </c>
      <c r="IX447" s="39">
        <f>INDEX(Input!$1:$1048576,IX$93,$C447*2+6)+INDEX(Input!$1:$1048576,IX$94,$C447*2+6)</f>
        <v>1770</v>
      </c>
      <c r="IY447" s="39">
        <f>INDEX(Input!$1:$1048576,IY$93,$C447*2+6)+INDEX(Input!$1:$1048576,IY$94,$C447*2+6)</f>
        <v>2630.0624533823611</v>
      </c>
      <c r="IZ447" s="39">
        <f>INDEX(Input!$1:$1048576,IZ$93,$C447*2+6)+INDEX(Input!$1:$1048576,IZ$94,$C447*2+6)</f>
        <v>4153.7164157747848</v>
      </c>
      <c r="JA447" s="19">
        <f t="shared" si="1146"/>
        <v>2300</v>
      </c>
      <c r="JB447" s="19">
        <f t="shared" si="1147"/>
        <v>2910.2470302872011</v>
      </c>
      <c r="JC447" s="19">
        <f t="shared" si="1148"/>
        <v>4058.7164157747848</v>
      </c>
      <c r="JD447" s="19">
        <f t="shared" si="1149"/>
        <v>2682.4395748720235</v>
      </c>
      <c r="JE447" s="21"/>
      <c r="JF447" s="1">
        <f t="shared" si="1129"/>
        <v>3.2545831732385969E-2</v>
      </c>
      <c r="JG447" s="15">
        <f>INDEX(Input!$1:$1048576,JG$93,$C447*2+6)/(1+VLOOKUP(C447*1000+INDEX(Input!$1:$1048576,JG$93+1,$C447*2+6),$A:$KK,$JK$92,FALSE))</f>
        <v>2329</v>
      </c>
      <c r="JH447" s="1">
        <f t="shared" si="1150"/>
        <v>5.7961300411655661E-2</v>
      </c>
      <c r="JI447" s="1">
        <f t="shared" si="1151"/>
        <v>-1.0053977294855897E-2</v>
      </c>
      <c r="JJ447" s="1">
        <f t="shared" si="1211"/>
        <v>0</v>
      </c>
      <c r="JK447" s="1">
        <f t="shared" si="1212"/>
        <v>4.7907323116799766E-2</v>
      </c>
      <c r="JL447" s="15">
        <f t="shared" si="1154"/>
        <v>111.57615553902666</v>
      </c>
      <c r="JM447" s="15">
        <f t="shared" si="1180"/>
        <v>2440.5761555390268</v>
      </c>
      <c r="JN447" s="21"/>
      <c r="JO447" s="19">
        <f>INDEX(Input!$1:$1048576,JO$93,$C447*2+6)</f>
        <v>5995.5</v>
      </c>
      <c r="JP447" s="19">
        <f>INDEX(Input!$1:$1048576,JP$93,$C447*2+6)</f>
        <v>2341.8685758720158</v>
      </c>
      <c r="JQ447" s="39">
        <f t="shared" si="1166"/>
        <v>3313.0604251279765</v>
      </c>
      <c r="JR447" s="39">
        <f t="shared" si="1183"/>
        <v>340.57099900000776</v>
      </c>
      <c r="JS447" s="39">
        <f t="shared" si="1168"/>
        <v>6.546698065106904</v>
      </c>
      <c r="JT447" s="39">
        <f t="shared" si="1156"/>
        <v>1.0924861519009796</v>
      </c>
      <c r="JU447" s="385">
        <f>(JQ447*JM447-INDEX(Input!$1:$1048576,Input!A$18,$C447*2+6)*JL447*INDEX(Input!$1:$1048576,Input!A$19,$C447*2+6))/1000000</f>
        <v>8.0857762754273299</v>
      </c>
      <c r="JV447" s="39">
        <f t="shared" si="1190"/>
        <v>-0.42353131136674449</v>
      </c>
      <c r="JW447" s="1">
        <f t="shared" si="1181"/>
        <v>-4.9772711474672653E-2</v>
      </c>
      <c r="JX447" s="19">
        <f t="shared" si="1172"/>
        <v>9791.3944661666901</v>
      </c>
      <c r="JZ447" s="341"/>
      <c r="KA447" s="342"/>
      <c r="KB447" s="469">
        <f t="shared" si="1169"/>
        <v>2.3434325605641804</v>
      </c>
      <c r="KI447" s="473">
        <f t="shared" si="1235"/>
        <v>98.716065707592406</v>
      </c>
      <c r="KJ447" s="473">
        <f t="shared" si="1236"/>
        <v>36.875778305550739</v>
      </c>
      <c r="KK447" s="473">
        <f t="shared" si="1158"/>
        <v>-24.015688474115748</v>
      </c>
      <c r="KN447" s="544">
        <f t="shared" si="1173"/>
        <v>4002</v>
      </c>
      <c r="KO447" s="541">
        <f t="shared" si="1133"/>
        <v>9.0813974074255288E-3</v>
      </c>
      <c r="KP447" s="546">
        <f t="shared" si="1134"/>
        <v>97.742106895920855</v>
      </c>
      <c r="KQ447" s="546">
        <f t="shared" si="1135"/>
        <v>57.668386836002355</v>
      </c>
      <c r="KR447" s="548">
        <f t="shared" si="1136"/>
        <v>1.6129705193807642</v>
      </c>
      <c r="KS447" s="548">
        <f t="shared" si="1137"/>
        <v>2.7338225598996568</v>
      </c>
      <c r="KT447" s="473">
        <f t="shared" si="1171"/>
        <v>1580.0986321700548</v>
      </c>
      <c r="KU447" s="663">
        <f t="shared" si="1159"/>
        <v>4.0572761609616945</v>
      </c>
      <c r="KV447" s="117"/>
    </row>
    <row r="448" spans="1:308" s="26" customFormat="1" ht="15">
      <c r="A448" s="561">
        <f t="shared" si="1138"/>
        <v>4048</v>
      </c>
      <c r="B448" s="561">
        <f t="shared" si="1160"/>
        <v>48</v>
      </c>
      <c r="C448" s="561">
        <f t="shared" si="1161"/>
        <v>4</v>
      </c>
      <c r="D448" s="561" t="str">
        <f t="shared" si="1206"/>
        <v xml:space="preserve">500 CC, -360 Lease, </v>
      </c>
      <c r="E448" s="475">
        <f>INDEX(Input!$1:$1048576,E$93,$C448*2+MIN($B448,2)+5)
+INDEX(Scenarios!E$121:E$200,MATCH($B448,Scenarios!$B$121:$B$200,0))</f>
        <v>1756.832975525977</v>
      </c>
      <c r="F448" s="475">
        <f>INDEX(Input!$1:$1048576,F$93,$C448*2+MIN($B448,2)+5)
+INDEX(Scenarios!F$121:F$200,MATCH($B448,Scenarios!$B$121:$B$200,0))</f>
        <v>0</v>
      </c>
      <c r="G448" s="475">
        <f>INDEX(Input!$1:$1048576,G$93,$C448*2+MIN($B448,2)+5)
+INDEX(Scenarios!G$121:G$200,MATCH($B448,Scenarios!$B$121:$B$200,0))</f>
        <v>0</v>
      </c>
      <c r="H448" s="475">
        <f>INDEX(Input!$1:$1048576,H$93,$C448*2+MIN($B448,2)+5)
+INDEX(Scenarios!H$121:H$200,MATCH($B448,Scenarios!$B$121:$B$200,0))</f>
        <v>0</v>
      </c>
      <c r="I448" s="476">
        <f>INDEX(Input!$1:$1048576,I$93,$C448*2+MIN($B448,2)+5)</f>
        <v>0.7</v>
      </c>
      <c r="J448" s="476" t="str">
        <f>INDEX(Input!$1:$1048576,J$93,$C448*2+MIN($B448,2)+5)</f>
        <v>Market</v>
      </c>
      <c r="K448" s="476" t="str">
        <f>INDEX(Input!$1:$1048576,K$93,$C448*2+MIN($B448,2)+5)</f>
        <v>Market</v>
      </c>
      <c r="L448" s="476" t="str">
        <f>INDEX(Input!$1:$1048576,L$93,$C448*2+MIN($B448,2)+5)</f>
        <v>Market</v>
      </c>
      <c r="M448" s="476" t="str">
        <f>INDEX(Input!$1:$1048576,M$93,$C448*2+MIN($B448,2)+5)</f>
        <v>Market</v>
      </c>
      <c r="N448" s="476" t="str">
        <f>INDEX(Input!$1:$1048576,N$93,$C448*2+MIN($B448,2)+5)</f>
        <v>Market</v>
      </c>
      <c r="O448" s="476" t="str">
        <f>INDEX(Input!$1:$1048576,O$93,$C448*2+MIN($B448,2)+5)</f>
        <v>Market</v>
      </c>
      <c r="P448" s="476" t="str">
        <f>INDEX(Input!$1:$1048576,P$93,$C448*2+MIN($B448,2)+5)</f>
        <v>N</v>
      </c>
      <c r="Q448" s="477">
        <f>INDEX(Input!$1:$1048576,Q$93,$C448*2+MIN($B448,2)+5)
+INDEX(Scenarios!Q$121:Q$200,MATCH($B448,Scenarios!$B$121:$B$200,0))</f>
        <v>0</v>
      </c>
      <c r="R448" s="478">
        <f>IFERROR(MAX(0,INDEX(Input!$1:$1048576,R$93,$C448*2+MIN($B448,2)+5)
+INDEX(Scenarios!R$121:R$200,MATCH($B448,Scenarios!$B$121:$B$200,0)),),"Market")</f>
        <v>0</v>
      </c>
      <c r="S448" s="478">
        <f>IFERROR(MAX(0,INDEX(Input!$1:$1048576,S$93,$C448*2+MIN($B448,2)+5)
+INDEX(Scenarios!S$121:S$200,MATCH($B448,Scenarios!$B$121:$B$200,0)),),"Market")</f>
        <v>0</v>
      </c>
      <c r="T448" s="478">
        <f>IFERROR(MAX(0,INDEX(Input!$1:$1048576,T$93,$C448*2+MIN($B448,2)+5)
+INDEX(Scenarios!T$121:T$200,MATCH($B448,Scenarios!$B$121:$B$200,0)),),"Market")</f>
        <v>0</v>
      </c>
      <c r="U448" s="478">
        <f>IFERROR(MAX(0,INDEX(Input!$1:$1048576,U$93,$C448*2+MIN($B448,2)+5)
+INDEX(Scenarios!U$121:U$200,MATCH($B448,Scenarios!$B$121:$B$200,0)),),"Market")</f>
        <v>0</v>
      </c>
      <c r="V448" s="478">
        <f>IFERROR(MAX(0,INDEX(Input!$1:$1048576,V$93,$C448*2+MIN($B448,2)+5)
+INDEX(Scenarios!V$121:V$200,MATCH($B448,Scenarios!$B$121:$B$200,0)),),"Market")</f>
        <v>1.9E-2</v>
      </c>
      <c r="W448" s="885">
        <f>IFERROR(MAX(0,INDEX(Input!$1:$1048576,W$93,$C448*2+MIN($B448,2)+5)-0%,),"Market")</f>
        <v>3.9E-2</v>
      </c>
      <c r="X448" s="476" t="str">
        <f>INDEX(Input!$1:$1048576,X$93,$C448*2+MIN($B448,2)+5)</f>
        <v>Y</v>
      </c>
      <c r="Y448" s="475">
        <f>INDEX(Input!$1:$1048576,Y$93,$C448*2+MIN($B448,2)+5)
++INDEX(Scenarios!Y$121:Y$200,MATCH($B448,Scenarios!$B$121:$B$200,0))</f>
        <v>-1230</v>
      </c>
      <c r="Z448" s="477">
        <f>INDEX(Input!$1:$1048576,Z$93,$C448*2+MIN($B448,2)+5)
+INDEX(Scenarios!Z$121:Z$200,MATCH($B448,Scenarios!$B$121:$B$200,0))</f>
        <v>0</v>
      </c>
      <c r="AA448" s="475">
        <f>INDEX(Input!$1:$1048576,AA$93,$C448*2+MIN($B448,2)+5)
+INDEX(Scenarios!AA$121:AA$200,MATCH($B448,Scenarios!$B$121:$B$200,0))</f>
        <v>0</v>
      </c>
      <c r="AB448" s="476">
        <f>INDEX(Input!$1:$1048576,AB$93,$C448*2+MIN($B448,2)+5)</f>
        <v>0.27</v>
      </c>
      <c r="AC448" s="475">
        <f>INDEX(Input!$1:$1048576,AC$93,$C448*2+MIN($B448,2)+5)
+INDEX(Scenarios!AC$121:AC$200,MATCH($B448,Scenarios!$B$121:$B$200,0))</f>
        <v>0</v>
      </c>
      <c r="AD448" s="476">
        <f>INDEX(Input!$1:$1048576,AD$93,$C448*2+MIN($B448,2)+5)</f>
        <v>0.27</v>
      </c>
      <c r="AE448" s="475">
        <f>INDEX(Input!$1:$1048576,AE$93,$C448*2+MIN($B448,2)+5)
+INDEX(Scenarios!AE$121:AE$200,MATCH($B448,Scenarios!$B$121:$B$200,0))</f>
        <v>0</v>
      </c>
      <c r="AF448" s="476">
        <f>INDEX(Input!$1:$1048576,AF$93,$C448*2+MIN($B448,2)+5)</f>
        <v>1</v>
      </c>
      <c r="AG448" s="475">
        <f>INDEX(Input!$1:$1048576,AG$93,$C448*2+MIN($B448,2)+5)
+INDEX(Scenarios!AG$121:AG$200,MATCH($B448,Scenarios!$B$121:$B$200,0))</f>
        <v>500</v>
      </c>
      <c r="AH448" s="476">
        <f>INDEX(Input!$1:$1048576,AH$93,$C448*2+MIN($B448,2)+5)</f>
        <v>0.83199999999999996</v>
      </c>
      <c r="AI448" s="475">
        <f>INDEX(Input!$1:$1048576,AI$93,$C448*2+MIN($B448,2)+5)
+INDEX(Scenarios!AI$121:AI$200,MATCH($B448,Scenarios!$B$121:$B$200,0))</f>
        <v>0</v>
      </c>
      <c r="AJ448" s="476">
        <f>INDEX(Input!$1:$1048576,AJ$93,$C448*2+MIN($B448,2)+5)</f>
        <v>0.27</v>
      </c>
      <c r="AK448" s="150">
        <f>ROUND(INDEX(Input!$1:$1048576,AK$93,$C447*2+MIN($B448,1)+5)+(Y448-VLOOKUP($C448*1000+1,$A:$HH,Y$92,FALSE)),0)</f>
        <v>2227</v>
      </c>
      <c r="AL448" s="150">
        <f>ROUND(INDEX(Input!$1:$1048576,AL$93,$C447*2+MIN($B448,1)+5)-(Y448-VLOOKUP($C448*1000+1,$A:$HH,Y$92,FALSE))/36,0)</f>
        <v>3416</v>
      </c>
      <c r="AM448" s="32" t="str">
        <f t="shared" si="1139"/>
        <v>std/std/std/std</v>
      </c>
      <c r="AN448" s="32" t="str">
        <f t="shared" si="1140"/>
        <v>$0 + 0/0/0/1.9/3.9</v>
      </c>
      <c r="AO448" s="32" t="str">
        <f t="shared" si="1141"/>
        <v>0/0/0/1.9/3.9</v>
      </c>
      <c r="AP448" s="32" t="str">
        <f t="shared" si="1213"/>
        <v>0/0.9/1.9/3.9</v>
      </c>
      <c r="AQ448" s="536">
        <f t="shared" si="1207"/>
        <v>0.46203241567726783</v>
      </c>
      <c r="AR448" s="32"/>
      <c r="AS448" s="302"/>
      <c r="AT448" s="3">
        <f t="shared" si="1162"/>
        <v>48</v>
      </c>
      <c r="AU448" s="41" t="s">
        <v>121</v>
      </c>
      <c r="AV448" s="41" t="s">
        <v>116</v>
      </c>
      <c r="AW448" s="41" t="str">
        <f>INDEX(Input!$1:$1048576,AW$93,$C448*2+6)</f>
        <v>Kia</v>
      </c>
      <c r="AX448" s="41" t="str">
        <f>INDEX(Input!$1:$1048576,AX$93,$C448*2+6)</f>
        <v>Kia-LR - R1</v>
      </c>
      <c r="AY448" s="41" t="str">
        <f>IF(LEN(D448)=0,"",INDEX(Input!$1:$1048576,AY$93,$C448*2+6))</f>
        <v>Compact SUV (52)</v>
      </c>
      <c r="AZ448" s="41" t="str">
        <f>INDEX(Input!$1:$1048576,AZ$93,$C448*2+6)</f>
        <v>Kia Soul</v>
      </c>
      <c r="BA448" s="3">
        <f>INDEX(Input!$1:$1048576,BA$93,$C448*2+6)</f>
        <v>2020</v>
      </c>
      <c r="BB448" s="128">
        <f>INDEX(Input!$1:$1048576,BB$93,$C448*2+6)</f>
        <v>1</v>
      </c>
      <c r="BC448" s="128">
        <f>INDEX(Input!$1:$1048576,BC$93,$C448*2+6)</f>
        <v>0.7</v>
      </c>
      <c r="BD448" s="1">
        <f>INDEX(Input!$1:$1048576,BD$93,$C448*2+6)</f>
        <v>4.4999999999999998E-2</v>
      </c>
      <c r="BE448" s="1">
        <f>INDEX(Input!$1:$1048576,BE$93,$C448*2+6)</f>
        <v>4.4999999999999998E-2</v>
      </c>
      <c r="BF448" s="1">
        <f>INDEX(Input!$1:$1048576,BF$93,$C448*2+6)</f>
        <v>0.05</v>
      </c>
      <c r="BG448" s="1">
        <f>INDEX(Input!$1:$1048576,BG$93,$C448*2+6)</f>
        <v>5.45E-2</v>
      </c>
      <c r="BH448" s="1">
        <f>INDEX(Input!$1:$1048576,BH$93,$C448*2+6)</f>
        <v>5.45E-2</v>
      </c>
      <c r="BI448" s="1">
        <f>INDEX(Input!$1:$1048576,BI$93,$C448*2+6)</f>
        <v>0.05</v>
      </c>
      <c r="BJ448" s="1">
        <f>INDEX(Input!$1:$1048576,BJ$93,$C448*2+6)</f>
        <v>0.05</v>
      </c>
      <c r="BK448" s="1">
        <f>INDEX(Input!$1:$1048576,BK$93,$C448*2+6)</f>
        <v>0.05</v>
      </c>
      <c r="BL448" s="1">
        <f>INDEX(Input!$1:$1048576,BL$93,$C448*2+6)</f>
        <v>5.5E-2</v>
      </c>
      <c r="BM448" s="1">
        <f>INDEX(Input!$1:$1048576,BM$93,$C448*2+6)</f>
        <v>0.06</v>
      </c>
      <c r="BN448" s="1">
        <f>INDEX(Input!$1:$1048576,BN$93,$C448*2+6)</f>
        <v>4.4999999999999998E-2</v>
      </c>
      <c r="BO448" s="1">
        <f>INDEX(Input!$1:$1048576,BO$93,$C448*2+6)</f>
        <v>4.4999999999999998E-2</v>
      </c>
      <c r="BP448" s="1">
        <f>INDEX(Input!$1:$1048576,BP$93,$C448*2+6)</f>
        <v>0.05</v>
      </c>
      <c r="BQ448" s="1">
        <f>INDEX(Input!$1:$1048576,BQ$93,$C448*2+6)</f>
        <v>5.45E-2</v>
      </c>
      <c r="BR448" s="1">
        <f>INDEX(Input!$1:$1048576,BR$93,$C448*2+6)</f>
        <v>5.45E-2</v>
      </c>
      <c r="BS448" s="1">
        <f>INDEX(Input!$1:$1048576,BS$93,$C448*2+6)</f>
        <v>0.05</v>
      </c>
      <c r="BT448" s="1">
        <f>INDEX(Input!$1:$1048576,BT$93,$C448*2+6)</f>
        <v>0.05</v>
      </c>
      <c r="BU448" s="1">
        <f>INDEX(Input!$1:$1048576,BU$93,$C448*2+6)</f>
        <v>0.05</v>
      </c>
      <c r="BV448" s="1">
        <f>INDEX(Input!$1:$1048576,BV$93,$C448*2+6)</f>
        <v>5.5E-2</v>
      </c>
      <c r="BW448" s="1">
        <f>INDEX(Input!$1:$1048576,BW$93,$C448*2+6)</f>
        <v>0.06</v>
      </c>
      <c r="BX448" s="127">
        <f>INDEX(Input!$1:$1048576,BX$93,$C448*2+6)</f>
        <v>19985</v>
      </c>
      <c r="BY448" s="20">
        <f>INDEX(Input!$1:$1048576,BY$93,$C448*2+6)</f>
        <v>0.1</v>
      </c>
      <c r="BZ448" s="20">
        <f>INDEX(Input!$1:$1048576,BZ$93,$C448*2+6)</f>
        <v>0.1</v>
      </c>
      <c r="CA448" s="20">
        <f>INDEX(Input!$1:$1048576,CA$93,$C448*2+6)</f>
        <v>0.1</v>
      </c>
      <c r="CB448" s="20">
        <f>INDEX(Input!$1:$1048576,CB$93,$C448*2+6)</f>
        <v>0.1</v>
      </c>
      <c r="CC448" s="20">
        <f>INDEX(Input!$1:$1048576,CC$93,$C448*2+6)</f>
        <v>0.1</v>
      </c>
      <c r="CD448" s="384">
        <f>INDEX(Input!$1:$1048576,CD$93,$C448*2+6)</f>
        <v>0.1</v>
      </c>
      <c r="CE448" s="384">
        <f>INDEX(Input!$1:$1048576,CE$93,$C448*2+6)</f>
        <v>0.1</v>
      </c>
      <c r="CF448" s="384">
        <f>INDEX(Input!$1:$1048576,CF$93,$C448*2+6)</f>
        <v>0.1</v>
      </c>
      <c r="CG448" s="384">
        <f>INDEX(Input!$1:$1048576,CG$93,$C448*2+6)</f>
        <v>0.1</v>
      </c>
      <c r="CH448" s="384">
        <f>INDEX(Input!$1:$1048576,CH$93,$C448*2+6)</f>
        <v>0.1</v>
      </c>
      <c r="CI448" s="304">
        <f t="shared" si="1214"/>
        <v>1756.832975525977</v>
      </c>
      <c r="CJ448" s="16" t="str">
        <f>INDEX(Input!$1:$1048576,CJ$93,$C448*2+6)</f>
        <v>N</v>
      </c>
      <c r="CK448" s="1" t="str">
        <f t="shared" si="1215"/>
        <v>Market</v>
      </c>
      <c r="CL448" s="1" t="str">
        <f t="shared" si="1216"/>
        <v>Market</v>
      </c>
      <c r="CM448" s="1" t="str">
        <f t="shared" si="1217"/>
        <v>Market</v>
      </c>
      <c r="CN448" s="1" t="str">
        <f t="shared" si="1218"/>
        <v>Market</v>
      </c>
      <c r="CO448" s="1" t="str">
        <f t="shared" si="1219"/>
        <v>Market</v>
      </c>
      <c r="CP448" s="304">
        <f t="shared" si="1220"/>
        <v>416</v>
      </c>
      <c r="CQ448" s="1">
        <f t="shared" si="1221"/>
        <v>0</v>
      </c>
      <c r="CR448" s="1">
        <f t="shared" si="1222"/>
        <v>0</v>
      </c>
      <c r="CS448" s="1">
        <f t="shared" si="1223"/>
        <v>0</v>
      </c>
      <c r="CT448" s="1">
        <f t="shared" si="1224"/>
        <v>1.9E-2</v>
      </c>
      <c r="CU448" s="1">
        <f t="shared" si="1225"/>
        <v>3.9E-2</v>
      </c>
      <c r="CV448" s="304">
        <f t="shared" si="1226"/>
        <v>-1230</v>
      </c>
      <c r="CW448" s="20" t="s">
        <v>122</v>
      </c>
      <c r="CX448" s="20" t="s">
        <v>122</v>
      </c>
      <c r="CY448" s="20" t="s">
        <v>122</v>
      </c>
      <c r="CZ448" s="20" t="s">
        <v>122</v>
      </c>
      <c r="DA448" s="20" t="s">
        <v>122</v>
      </c>
      <c r="DB448" s="503">
        <f t="shared" si="1227"/>
        <v>0</v>
      </c>
      <c r="DC448" s="127">
        <v>0</v>
      </c>
      <c r="DD448" s="127">
        <v>0</v>
      </c>
      <c r="DE448" s="127">
        <v>0</v>
      </c>
      <c r="DF448" s="127">
        <v>0</v>
      </c>
      <c r="DG448" s="127">
        <v>0</v>
      </c>
      <c r="DH448" s="127">
        <v>0</v>
      </c>
      <c r="DI448" s="127">
        <v>0</v>
      </c>
      <c r="DJ448" s="127">
        <v>0</v>
      </c>
      <c r="DK448" s="127">
        <v>0</v>
      </c>
      <c r="DL448" s="127">
        <v>0</v>
      </c>
      <c r="DM448" s="304">
        <f>INDEX(Input!$1:$1048576,DM$93,$C448*2+6)</f>
        <v>21036.84210526316</v>
      </c>
      <c r="DN448" s="20">
        <v>0</v>
      </c>
      <c r="DO448" s="20">
        <v>0</v>
      </c>
      <c r="DP448" s="20">
        <v>0</v>
      </c>
      <c r="DQ448" s="20">
        <v>0</v>
      </c>
      <c r="DR448" s="20">
        <v>0</v>
      </c>
      <c r="DS448" s="20">
        <f>INDEX(Input!$1:$1048576,DS$93,$C448*2+6)</f>
        <v>0.6</v>
      </c>
      <c r="DT448" s="20">
        <f>INDEX(Input!$1:$1048576,DT$93,$C448*2+6)</f>
        <v>0.55000000000000004</v>
      </c>
      <c r="DU448" s="20">
        <f>INDEX(Input!$1:$1048576,DU$93,$C448*2+6)</f>
        <v>0.52</v>
      </c>
      <c r="DV448" s="20">
        <f>INDEX(Input!$1:$1048576,DV$93,$C448*2+6)</f>
        <v>0.5</v>
      </c>
      <c r="DW448" s="20">
        <f>INDEX(Input!$1:$1048576,DW$93,$C448*2+6)</f>
        <v>0.45</v>
      </c>
      <c r="DX448" s="20"/>
      <c r="DY448" s="7">
        <v>0.11057060058502123</v>
      </c>
      <c r="DZ448" s="7">
        <v>0</v>
      </c>
      <c r="EA448" s="7">
        <v>0.8207135505299058</v>
      </c>
      <c r="EB448" s="7">
        <v>0</v>
      </c>
      <c r="EC448" s="7">
        <v>0</v>
      </c>
      <c r="ED448" s="7">
        <v>0</v>
      </c>
      <c r="EE448" s="7">
        <v>0</v>
      </c>
      <c r="EF448" s="7">
        <v>0</v>
      </c>
      <c r="EG448" s="7">
        <v>0</v>
      </c>
      <c r="EH448" s="7">
        <v>1.2284592686176416E-2</v>
      </c>
      <c r="EI448" s="7">
        <v>3.2109910838446297E-2</v>
      </c>
      <c r="EJ448" s="7">
        <v>0.22530685791209312</v>
      </c>
      <c r="EK448" s="7">
        <v>0.59306573779185956</v>
      </c>
      <c r="EL448" s="7">
        <v>0.13723290077142455</v>
      </c>
      <c r="EM448" s="7">
        <v>3.4074875551287812E-2</v>
      </c>
      <c r="EN448" s="7">
        <v>4.9384964789508941E-2</v>
      </c>
      <c r="EO448" s="7">
        <v>0.70139237686110034</v>
      </c>
      <c r="EP448" s="7">
        <v>0.1081817556229538</v>
      </c>
      <c r="EQ448" s="7">
        <v>9.4909066598320352E-2</v>
      </c>
      <c r="ER448" s="7">
        <v>4.6131836128116929E-2</v>
      </c>
      <c r="ES448" s="7">
        <v>3.4640973333785248E-2</v>
      </c>
      <c r="ET448" s="7">
        <v>6.8715848885072928E-2</v>
      </c>
      <c r="EU448" s="6">
        <v>2270</v>
      </c>
      <c r="EV448" s="6">
        <v>0</v>
      </c>
      <c r="EW448" s="6">
        <v>2270</v>
      </c>
      <c r="EX448" s="6">
        <v>0</v>
      </c>
      <c r="EY448" s="6">
        <v>2483.5027374336155</v>
      </c>
      <c r="EZ448" s="6">
        <v>147</v>
      </c>
      <c r="FA448" s="6">
        <v>0</v>
      </c>
      <c r="FB448" s="6">
        <v>0</v>
      </c>
      <c r="FC448" s="6">
        <v>0</v>
      </c>
      <c r="FD448" s="6">
        <v>0</v>
      </c>
      <c r="FE448" s="6">
        <v>0</v>
      </c>
      <c r="FF448" s="6">
        <v>0</v>
      </c>
      <c r="FG448" s="6">
        <v>0</v>
      </c>
      <c r="FH448" s="6">
        <v>1169.8085438821943</v>
      </c>
      <c r="FI448" s="6">
        <v>1553.9796069512399</v>
      </c>
      <c r="FJ448" s="6">
        <v>2101.2110117447419</v>
      </c>
      <c r="FK448" s="6">
        <v>1772.713997862324</v>
      </c>
      <c r="FL448" s="6">
        <v>907.07682140966301</v>
      </c>
      <c r="FM448" s="6">
        <v>1713.5027374336155</v>
      </c>
      <c r="FN448" s="6">
        <v>0</v>
      </c>
      <c r="FO448" s="6">
        <v>0</v>
      </c>
      <c r="FP448" s="6">
        <v>0</v>
      </c>
      <c r="FQ448" s="6">
        <v>0</v>
      </c>
      <c r="FR448" s="6">
        <v>0</v>
      </c>
      <c r="FS448" s="6">
        <v>0</v>
      </c>
      <c r="FT448" s="7">
        <v>0.93128415111492702</v>
      </c>
      <c r="FU448" s="7">
        <v>3.4074875551287812E-2</v>
      </c>
      <c r="FV448" s="7">
        <v>3.4640973333785248E-2</v>
      </c>
      <c r="FW448" s="6">
        <v>2270.0000000000005</v>
      </c>
      <c r="FX448" s="6">
        <v>2483.5027374336155</v>
      </c>
      <c r="FY448" s="6">
        <v>147</v>
      </c>
      <c r="FZ448" s="6">
        <v>1949.5716051445115</v>
      </c>
      <c r="GA448" s="6">
        <v>2203.7322928202843</v>
      </c>
      <c r="GB448" s="6">
        <v>17781.267707179715</v>
      </c>
      <c r="GC448" s="7">
        <v>3.3872851927908169E-2</v>
      </c>
      <c r="GD448" s="7">
        <v>3.5360039135519154E-2</v>
      </c>
      <c r="GE448" s="7"/>
      <c r="GF448" s="7"/>
      <c r="GG448" s="7">
        <v>4.3904989481729377E-2</v>
      </c>
      <c r="GH448" s="42">
        <v>3.4523089420960886</v>
      </c>
      <c r="GI448" s="6">
        <v>7992.6116588326413</v>
      </c>
      <c r="GJ448" s="14">
        <v>0.50394797582841711</v>
      </c>
      <c r="GK448" s="14">
        <v>0.50887573065309755</v>
      </c>
      <c r="GL448" s="14">
        <v>0.49605202417158256</v>
      </c>
      <c r="GM448" s="14">
        <v>0.49112426934690229</v>
      </c>
      <c r="GO448" s="5">
        <v>343.14810671672558</v>
      </c>
      <c r="GP448" s="5">
        <v>299.84083725090579</v>
      </c>
      <c r="GQ448" s="5">
        <v>535.04305713031317</v>
      </c>
      <c r="GR448" s="5">
        <v>410.15490233172511</v>
      </c>
      <c r="GS448" s="5">
        <v>339.42744393800166</v>
      </c>
      <c r="GT448" s="5">
        <v>293.4407446948278</v>
      </c>
      <c r="GU448" s="5">
        <v>258.04012322764959</v>
      </c>
      <c r="GV448" s="39" t="s">
        <v>392</v>
      </c>
      <c r="GW448" s="5">
        <v>478.23611111111109</v>
      </c>
      <c r="GX448" s="5">
        <v>358.67708333333331</v>
      </c>
      <c r="GY448" s="5">
        <v>286.94166666666666</v>
      </c>
      <c r="GZ448" s="5">
        <v>253.19574071601335</v>
      </c>
      <c r="HA448" s="5">
        <v>234.53733318419432</v>
      </c>
      <c r="HB448" s="39">
        <v>264.38990766473404</v>
      </c>
      <c r="HC448" s="5">
        <v>280.85312499999998</v>
      </c>
      <c r="HD448" s="5">
        <v>235.41580774853799</v>
      </c>
      <c r="HE448" s="5">
        <v>236.8873861336032</v>
      </c>
      <c r="HF448" s="5">
        <v>217.50938048245612</v>
      </c>
      <c r="HG448" s="5">
        <v>207.81388157894736</v>
      </c>
      <c r="HH448" s="39">
        <v>234.84611616155394</v>
      </c>
      <c r="HI448" s="16"/>
      <c r="HJ448" s="19" t="str">
        <f t="shared" si="1232"/>
        <v>On</v>
      </c>
      <c r="HK448" s="1" t="str">
        <f t="shared" si="1232"/>
        <v>On</v>
      </c>
      <c r="HL448" s="16"/>
      <c r="HM448" s="639">
        <f t="shared" si="1110"/>
        <v>2.9403358434788716E-2</v>
      </c>
      <c r="HN448" s="639">
        <f t="shared" si="1111"/>
        <v>1.4106809950923669E-3</v>
      </c>
      <c r="HO448" s="639">
        <f t="shared" si="1112"/>
        <v>1.7317923025048877E-3</v>
      </c>
      <c r="HP448" s="644">
        <f>(FT448*$GD448-HM448)/$JF448*INDEX(Input!$1:$1048576,$JG$93,$C448*2+6)</f>
        <v>252.38613098352172</v>
      </c>
      <c r="HQ448" s="644">
        <f>(FU448*$GD448-HN448)/$JF448*INDEX(Input!$1:$1048576,$JG$93,$C448*2+6)</f>
        <v>-14.726608202268368</v>
      </c>
      <c r="HR448" s="644">
        <f>(FV448*$GD448-HO448)/$JF448*INDEX(Input!$1:$1048576,$JG$93,$C448*2+6)</f>
        <v>-36.273087314154743</v>
      </c>
      <c r="HS448" s="644">
        <f t="shared" si="1233"/>
        <v>-102.19429144708003</v>
      </c>
      <c r="HT448" s="644">
        <f t="shared" si="1114"/>
        <v>40.578562041619612</v>
      </c>
      <c r="HU448" s="644">
        <f t="shared" si="1115"/>
        <v>5.4969010297391678</v>
      </c>
      <c r="HV448" s="648">
        <f t="shared" si="1116"/>
        <v>0</v>
      </c>
      <c r="HW448" s="648">
        <f t="shared" si="1117"/>
        <v>0</v>
      </c>
      <c r="HX448" s="648">
        <f t="shared" si="1118"/>
        <v>0</v>
      </c>
      <c r="HY448" s="644">
        <f>INDEX(Input!$1:$1048576,HY$93,$C448*2+6)*INDEX(Input!$1:$1048576,$JG$93,$C448*2+6)</f>
        <v>993</v>
      </c>
      <c r="HZ448" s="644">
        <f>INDEX(Input!$1:$1048576,HZ$93,$C448*2+6)*INDEX(Input!$1:$1048576,$JG$93,$C448*2+6)</f>
        <v>1216</v>
      </c>
      <c r="IA448" s="644">
        <f>INDEX(Input!$1:$1048576,IA$93,$C448*2+6)*INDEX(Input!$1:$1048576,$JG$93,$C448*2+6)</f>
        <v>120</v>
      </c>
      <c r="IB448" s="644">
        <f t="shared" si="1142"/>
        <v>1143.1918395364421</v>
      </c>
      <c r="IC448" s="644">
        <f t="shared" si="1143"/>
        <v>1241.8519538393512</v>
      </c>
      <c r="ID448" s="644">
        <f>IF(AND(INDEX(Input!$1:$1048576,IA$93,$C448*2+7)="TOS",Y448&lt;=INDEX(Y:Y,MATCH(C448*1000+2,A:A))),0,1)*MAX(IA448+HR448+HU448+HX448,0%)</f>
        <v>89.223813715584427</v>
      </c>
      <c r="IE448" s="128">
        <f t="shared" si="1238"/>
        <v>0.46203241567726783</v>
      </c>
      <c r="IF448" s="128">
        <f t="shared" si="1210"/>
        <v>0.50190688763015767</v>
      </c>
      <c r="IG448" s="128">
        <f t="shared" si="1120"/>
        <v>3.6060696692574563E-2</v>
      </c>
      <c r="IH448" s="21"/>
      <c r="II448" s="19">
        <f t="shared" si="1121"/>
        <v>1490</v>
      </c>
      <c r="IJ448" s="19">
        <f t="shared" si="1122"/>
        <v>2203.2561351629856</v>
      </c>
      <c r="IK448" s="19">
        <f t="shared" si="1123"/>
        <v>242</v>
      </c>
      <c r="IL448" s="19">
        <f t="shared" si="1145"/>
        <v>780.00000000000045</v>
      </c>
      <c r="IM448" s="19">
        <f t="shared" si="1124"/>
        <v>280.24660227062986</v>
      </c>
      <c r="IN448" s="19">
        <f t="shared" si="1125"/>
        <v>-95</v>
      </c>
      <c r="IO448" s="39">
        <f t="shared" si="1126"/>
        <v>0</v>
      </c>
      <c r="IP448" s="39">
        <f t="shared" si="1127"/>
        <v>0</v>
      </c>
      <c r="IQ448" s="39">
        <f t="shared" si="1128"/>
        <v>0</v>
      </c>
      <c r="IR448" s="39">
        <v>0</v>
      </c>
      <c r="IS448" s="39">
        <v>0</v>
      </c>
      <c r="IT448" s="39">
        <v>0</v>
      </c>
      <c r="IU448" s="39">
        <v>0</v>
      </c>
      <c r="IV448" s="39">
        <v>0</v>
      </c>
      <c r="IW448" s="39">
        <v>0</v>
      </c>
      <c r="IX448" s="39">
        <f>INDEX(Input!$1:$1048576,IX$93,$C448*2+6)+INDEX(Input!$1:$1048576,IX$94,$C448*2+6)</f>
        <v>1770</v>
      </c>
      <c r="IY448" s="39">
        <f>INDEX(Input!$1:$1048576,IY$93,$C448*2+6)+INDEX(Input!$1:$1048576,IY$94,$C448*2+6)</f>
        <v>2630.0624533823611</v>
      </c>
      <c r="IZ448" s="39">
        <f>INDEX(Input!$1:$1048576,IZ$93,$C448*2+6)+INDEX(Input!$1:$1048576,IZ$94,$C448*2+6)</f>
        <v>4153.7164157747848</v>
      </c>
      <c r="JA448" s="19">
        <f t="shared" si="1146"/>
        <v>2550.0000000000005</v>
      </c>
      <c r="JB448" s="19">
        <f t="shared" si="1147"/>
        <v>2910.309055652991</v>
      </c>
      <c r="JC448" s="19">
        <f t="shared" si="1148"/>
        <v>4058.7164157747848</v>
      </c>
      <c r="JD448" s="19">
        <f t="shared" si="1149"/>
        <v>2785.2469617721167</v>
      </c>
      <c r="JE448" s="21"/>
      <c r="JF448" s="1">
        <f t="shared" si="1129"/>
        <v>3.2545831732385969E-2</v>
      </c>
      <c r="JG448" s="15">
        <f>INDEX(Input!$1:$1048576,JG$93,$C448*2+6)/(1+VLOOKUP(C448*1000+INDEX(Input!$1:$1048576,JG$93+1,$C448*2+6),$A:$KK,$JK$92,FALSE))</f>
        <v>2329</v>
      </c>
      <c r="JH448" s="1">
        <f t="shared" si="1150"/>
        <v>8.6469057735980515E-2</v>
      </c>
      <c r="JI448" s="1">
        <f t="shared" si="1151"/>
        <v>-2.4095675558489158E-2</v>
      </c>
      <c r="JJ448" s="1">
        <f t="shared" si="1211"/>
        <v>0</v>
      </c>
      <c r="JK448" s="1">
        <f t="shared" si="1212"/>
        <v>6.237338217749136E-2</v>
      </c>
      <c r="JL448" s="15">
        <f t="shared" si="1154"/>
        <v>145.26760709137739</v>
      </c>
      <c r="JM448" s="15">
        <f t="shared" si="1180"/>
        <v>2474.2676070913776</v>
      </c>
      <c r="JN448" s="21"/>
      <c r="JO448" s="19">
        <f>INDEX(Input!$1:$1048576,JO$93,$C448*2+6)</f>
        <v>5995.5</v>
      </c>
      <c r="JP448" s="19">
        <f>INDEX(Input!$1:$1048576,JP$93,$C448*2+6)</f>
        <v>2341.8685758720158</v>
      </c>
      <c r="JQ448" s="39">
        <f t="shared" si="1166"/>
        <v>3210.2530382278833</v>
      </c>
      <c r="JR448" s="39">
        <f t="shared" si="1183"/>
        <v>443.37838590010097</v>
      </c>
      <c r="JS448" s="39">
        <f t="shared" si="1168"/>
        <v>6.8914463352624251</v>
      </c>
      <c r="JT448" s="39">
        <f t="shared" si="1156"/>
        <v>1.4372344220565008</v>
      </c>
      <c r="JU448" s="385">
        <f>(JQ448*JM448-INDEX(Input!$1:$1048576,Input!A$18,$C448*2+6)*JL448*INDEX(Input!$1:$1048576,Input!A$19,$C448*2+6))/1000000</f>
        <v>7.9430251030539294</v>
      </c>
      <c r="JV448" s="39">
        <f t="shared" si="1190"/>
        <v>-0.566282483740145</v>
      </c>
      <c r="JW448" s="1">
        <f t="shared" si="1181"/>
        <v>-6.6548597281755426E-2</v>
      </c>
      <c r="JX448" s="19">
        <f t="shared" si="1172"/>
        <v>9893.7020498481816</v>
      </c>
      <c r="JZ448" s="341"/>
      <c r="KA448" s="342"/>
      <c r="KB448" s="469">
        <f t="shared" si="1169"/>
        <v>2.3434325605641804</v>
      </c>
      <c r="KI448" s="473">
        <f t="shared" si="1235"/>
        <v>150.1918395364421</v>
      </c>
      <c r="KJ448" s="473">
        <f t="shared" si="1236"/>
        <v>25.851953839351154</v>
      </c>
      <c r="KK448" s="473">
        <f t="shared" si="1158"/>
        <v>-30.776186284415573</v>
      </c>
      <c r="KN448" s="544">
        <f t="shared" si="1173"/>
        <v>4002</v>
      </c>
      <c r="KO448" s="541">
        <f t="shared" si="1133"/>
        <v>2.3011475735844611E-2</v>
      </c>
      <c r="KP448" s="546">
        <f t="shared" si="1134"/>
        <v>218.13454857168665</v>
      </c>
      <c r="KQ448" s="546">
        <f t="shared" si="1135"/>
        <v>160.47577373609556</v>
      </c>
      <c r="KR448" s="548">
        <f t="shared" si="1136"/>
        <v>1.8313673220999882</v>
      </c>
      <c r="KS448" s="548">
        <f t="shared" si="1137"/>
        <v>2.4893756532507947</v>
      </c>
      <c r="KT448" s="473">
        <f t="shared" si="1171"/>
        <v>1580.0986321700548</v>
      </c>
      <c r="KU448" s="663">
        <f t="shared" si="1159"/>
        <v>4.0605136730425313</v>
      </c>
      <c r="KV448" s="117"/>
    </row>
    <row r="449" spans="1:308" s="26" customFormat="1" ht="15">
      <c r="A449" s="561">
        <f t="shared" si="1138"/>
        <v>4049</v>
      </c>
      <c r="B449" s="561">
        <f t="shared" si="1160"/>
        <v>49</v>
      </c>
      <c r="C449" s="561">
        <f t="shared" si="1161"/>
        <v>4</v>
      </c>
      <c r="D449" s="561" t="str">
        <f t="shared" si="1206"/>
        <v xml:space="preserve">750 CC, -360 Lease, </v>
      </c>
      <c r="E449" s="475">
        <f>INDEX(Input!$1:$1048576,E$93,$C449*2+MIN($B449,2)+5)
+INDEX(Scenarios!E$121:E$200,MATCH($B449,Scenarios!$B$121:$B$200,0))</f>
        <v>2006.832975525977</v>
      </c>
      <c r="F449" s="475">
        <f>INDEX(Input!$1:$1048576,F$93,$C449*2+MIN($B449,2)+5)
+INDEX(Scenarios!F$121:F$200,MATCH($B449,Scenarios!$B$121:$B$200,0))</f>
        <v>0</v>
      </c>
      <c r="G449" s="475">
        <f>INDEX(Input!$1:$1048576,G$93,$C449*2+MIN($B449,2)+5)
+INDEX(Scenarios!G$121:G$200,MATCH($B449,Scenarios!$B$121:$B$200,0))</f>
        <v>0</v>
      </c>
      <c r="H449" s="475">
        <f>INDEX(Input!$1:$1048576,H$93,$C449*2+MIN($B449,2)+5)
+INDEX(Scenarios!H$121:H$200,MATCH($B449,Scenarios!$B$121:$B$200,0))</f>
        <v>0</v>
      </c>
      <c r="I449" s="476">
        <f>INDEX(Input!$1:$1048576,I$93,$C449*2+MIN($B449,2)+5)</f>
        <v>0.7</v>
      </c>
      <c r="J449" s="476" t="str">
        <f>INDEX(Input!$1:$1048576,J$93,$C449*2+MIN($B449,2)+5)</f>
        <v>Market</v>
      </c>
      <c r="K449" s="476" t="str">
        <f>INDEX(Input!$1:$1048576,K$93,$C449*2+MIN($B449,2)+5)</f>
        <v>Market</v>
      </c>
      <c r="L449" s="476" t="str">
        <f>INDEX(Input!$1:$1048576,L$93,$C449*2+MIN($B449,2)+5)</f>
        <v>Market</v>
      </c>
      <c r="M449" s="476" t="str">
        <f>INDEX(Input!$1:$1048576,M$93,$C449*2+MIN($B449,2)+5)</f>
        <v>Market</v>
      </c>
      <c r="N449" s="476" t="str">
        <f>INDEX(Input!$1:$1048576,N$93,$C449*2+MIN($B449,2)+5)</f>
        <v>Market</v>
      </c>
      <c r="O449" s="476" t="str">
        <f>INDEX(Input!$1:$1048576,O$93,$C449*2+MIN($B449,2)+5)</f>
        <v>Market</v>
      </c>
      <c r="P449" s="476" t="str">
        <f>INDEX(Input!$1:$1048576,P$93,$C449*2+MIN($B449,2)+5)</f>
        <v>N</v>
      </c>
      <c r="Q449" s="477">
        <f>INDEX(Input!$1:$1048576,Q$93,$C449*2+MIN($B449,2)+5)
+INDEX(Scenarios!Q$121:Q$200,MATCH($B449,Scenarios!$B$121:$B$200,0))</f>
        <v>0</v>
      </c>
      <c r="R449" s="478">
        <f>IFERROR(MAX(0,INDEX(Input!$1:$1048576,R$93,$C449*2+MIN($B449,2)+5)
+INDEX(Scenarios!R$121:R$200,MATCH($B449,Scenarios!$B$121:$B$200,0)),),"Market")</f>
        <v>0</v>
      </c>
      <c r="S449" s="478">
        <f>IFERROR(MAX(0,INDEX(Input!$1:$1048576,S$93,$C449*2+MIN($B449,2)+5)
+INDEX(Scenarios!S$121:S$200,MATCH($B449,Scenarios!$B$121:$B$200,0)),),"Market")</f>
        <v>0</v>
      </c>
      <c r="T449" s="478">
        <f>IFERROR(MAX(0,INDEX(Input!$1:$1048576,T$93,$C449*2+MIN($B449,2)+5)
+INDEX(Scenarios!T$121:T$200,MATCH($B449,Scenarios!$B$121:$B$200,0)),),"Market")</f>
        <v>0</v>
      </c>
      <c r="U449" s="478">
        <f>IFERROR(MAX(0,INDEX(Input!$1:$1048576,U$93,$C449*2+MIN($B449,2)+5)
+INDEX(Scenarios!U$121:U$200,MATCH($B449,Scenarios!$B$121:$B$200,0)),),"Market")</f>
        <v>0</v>
      </c>
      <c r="V449" s="478">
        <f>IFERROR(MAX(0,INDEX(Input!$1:$1048576,V$93,$C449*2+MIN($B449,2)+5)
+INDEX(Scenarios!V$121:V$200,MATCH($B449,Scenarios!$B$121:$B$200,0)),),"Market")</f>
        <v>1.9E-2</v>
      </c>
      <c r="W449" s="885">
        <f>IFERROR(MAX(0,INDEX(Input!$1:$1048576,W$93,$C449*2+MIN($B449,2)+5)-0%,),"Market")</f>
        <v>3.9E-2</v>
      </c>
      <c r="X449" s="476" t="str">
        <f>INDEX(Input!$1:$1048576,X$93,$C449*2+MIN($B449,2)+5)</f>
        <v>Y</v>
      </c>
      <c r="Y449" s="475">
        <f>INDEX(Input!$1:$1048576,Y$93,$C449*2+MIN($B449,2)+5)
++INDEX(Scenarios!Y$121:Y$200,MATCH($B449,Scenarios!$B$121:$B$200,0))</f>
        <v>-1230</v>
      </c>
      <c r="Z449" s="477">
        <f>INDEX(Input!$1:$1048576,Z$93,$C449*2+MIN($B449,2)+5)
+INDEX(Scenarios!Z$121:Z$200,MATCH($B449,Scenarios!$B$121:$B$200,0))</f>
        <v>0</v>
      </c>
      <c r="AA449" s="475">
        <f>INDEX(Input!$1:$1048576,AA$93,$C449*2+MIN($B449,2)+5)
+INDEX(Scenarios!AA$121:AA$200,MATCH($B449,Scenarios!$B$121:$B$200,0))</f>
        <v>0</v>
      </c>
      <c r="AB449" s="476">
        <f>INDEX(Input!$1:$1048576,AB$93,$C449*2+MIN($B449,2)+5)</f>
        <v>0.27</v>
      </c>
      <c r="AC449" s="475">
        <f>INDEX(Input!$1:$1048576,AC$93,$C449*2+MIN($B449,2)+5)
+INDEX(Scenarios!AC$121:AC$200,MATCH($B449,Scenarios!$B$121:$B$200,0))</f>
        <v>0</v>
      </c>
      <c r="AD449" s="476">
        <f>INDEX(Input!$1:$1048576,AD$93,$C449*2+MIN($B449,2)+5)</f>
        <v>0.27</v>
      </c>
      <c r="AE449" s="475">
        <f>INDEX(Input!$1:$1048576,AE$93,$C449*2+MIN($B449,2)+5)
+INDEX(Scenarios!AE$121:AE$200,MATCH($B449,Scenarios!$B$121:$B$200,0))</f>
        <v>0</v>
      </c>
      <c r="AF449" s="476">
        <f>INDEX(Input!$1:$1048576,AF$93,$C449*2+MIN($B449,2)+5)</f>
        <v>1</v>
      </c>
      <c r="AG449" s="475">
        <f>INDEX(Input!$1:$1048576,AG$93,$C449*2+MIN($B449,2)+5)
+INDEX(Scenarios!AG$121:AG$200,MATCH($B449,Scenarios!$B$121:$B$200,0))</f>
        <v>500</v>
      </c>
      <c r="AH449" s="476">
        <f>INDEX(Input!$1:$1048576,AH$93,$C449*2+MIN($B449,2)+5)</f>
        <v>0.83199999999999996</v>
      </c>
      <c r="AI449" s="475">
        <f>INDEX(Input!$1:$1048576,AI$93,$C449*2+MIN($B449,2)+5)
+INDEX(Scenarios!AI$121:AI$200,MATCH($B449,Scenarios!$B$121:$B$200,0))</f>
        <v>0</v>
      </c>
      <c r="AJ449" s="476">
        <f>INDEX(Input!$1:$1048576,AJ$93,$C449*2+MIN($B449,2)+5)</f>
        <v>0.27</v>
      </c>
      <c r="AK449" s="150">
        <f>ROUND(INDEX(Input!$1:$1048576,AK$93,$C448*2+MIN($B449,1)+5)+(Y449-VLOOKUP($C449*1000+1,$A:$HH,Y$92,FALSE)),0)</f>
        <v>2227</v>
      </c>
      <c r="AL449" s="150">
        <f>ROUND(INDEX(Input!$1:$1048576,AL$93,$C448*2+MIN($B449,1)+5)-(Y449-VLOOKUP($C449*1000+1,$A:$HH,Y$92,FALSE))/36,0)</f>
        <v>3416</v>
      </c>
      <c r="AM449" s="32" t="str">
        <f t="shared" si="1139"/>
        <v>std/std/std/std</v>
      </c>
      <c r="AN449" s="32" t="str">
        <f t="shared" si="1140"/>
        <v>$0 + 0/0/0/1.9/3.9</v>
      </c>
      <c r="AO449" s="32" t="str">
        <f t="shared" si="1141"/>
        <v>0/0/0/1.9/3.9</v>
      </c>
      <c r="AP449" s="32" t="str">
        <f t="shared" si="1213"/>
        <v>0/0.9/1.9/3.9</v>
      </c>
      <c r="AQ449" s="536">
        <f t="shared" si="1207"/>
        <v>0.47623923900630272</v>
      </c>
      <c r="AR449" s="32"/>
      <c r="AS449" s="302"/>
      <c r="AT449" s="3">
        <f t="shared" si="1162"/>
        <v>49</v>
      </c>
      <c r="AU449" s="41" t="s">
        <v>121</v>
      </c>
      <c r="AV449" s="41" t="s">
        <v>116</v>
      </c>
      <c r="AW449" s="41" t="str">
        <f>INDEX(Input!$1:$1048576,AW$93,$C449*2+6)</f>
        <v>Kia</v>
      </c>
      <c r="AX449" s="41" t="str">
        <f>INDEX(Input!$1:$1048576,AX$93,$C449*2+6)</f>
        <v>Kia-LR - R1</v>
      </c>
      <c r="AY449" s="41" t="str">
        <f>IF(LEN(D449)=0,"",INDEX(Input!$1:$1048576,AY$93,$C449*2+6))</f>
        <v>Compact SUV (52)</v>
      </c>
      <c r="AZ449" s="41" t="str">
        <f>INDEX(Input!$1:$1048576,AZ$93,$C449*2+6)</f>
        <v>Kia Soul</v>
      </c>
      <c r="BA449" s="3">
        <f>INDEX(Input!$1:$1048576,BA$93,$C449*2+6)</f>
        <v>2020</v>
      </c>
      <c r="BB449" s="128">
        <f>INDEX(Input!$1:$1048576,BB$93,$C449*2+6)</f>
        <v>1</v>
      </c>
      <c r="BC449" s="128">
        <f>INDEX(Input!$1:$1048576,BC$93,$C449*2+6)</f>
        <v>0.7</v>
      </c>
      <c r="BD449" s="1">
        <f>INDEX(Input!$1:$1048576,BD$93,$C449*2+6)</f>
        <v>4.4999999999999998E-2</v>
      </c>
      <c r="BE449" s="1">
        <f>INDEX(Input!$1:$1048576,BE$93,$C449*2+6)</f>
        <v>4.4999999999999998E-2</v>
      </c>
      <c r="BF449" s="1">
        <f>INDEX(Input!$1:$1048576,BF$93,$C449*2+6)</f>
        <v>0.05</v>
      </c>
      <c r="BG449" s="1">
        <f>INDEX(Input!$1:$1048576,BG$93,$C449*2+6)</f>
        <v>5.45E-2</v>
      </c>
      <c r="BH449" s="1">
        <f>INDEX(Input!$1:$1048576,BH$93,$C449*2+6)</f>
        <v>5.45E-2</v>
      </c>
      <c r="BI449" s="1">
        <f>INDEX(Input!$1:$1048576,BI$93,$C449*2+6)</f>
        <v>0.05</v>
      </c>
      <c r="BJ449" s="1">
        <f>INDEX(Input!$1:$1048576,BJ$93,$C449*2+6)</f>
        <v>0.05</v>
      </c>
      <c r="BK449" s="1">
        <f>INDEX(Input!$1:$1048576,BK$93,$C449*2+6)</f>
        <v>0.05</v>
      </c>
      <c r="BL449" s="1">
        <f>INDEX(Input!$1:$1048576,BL$93,$C449*2+6)</f>
        <v>5.5E-2</v>
      </c>
      <c r="BM449" s="1">
        <f>INDEX(Input!$1:$1048576,BM$93,$C449*2+6)</f>
        <v>0.06</v>
      </c>
      <c r="BN449" s="1">
        <f>INDEX(Input!$1:$1048576,BN$93,$C449*2+6)</f>
        <v>4.4999999999999998E-2</v>
      </c>
      <c r="BO449" s="1">
        <f>INDEX(Input!$1:$1048576,BO$93,$C449*2+6)</f>
        <v>4.4999999999999998E-2</v>
      </c>
      <c r="BP449" s="1">
        <f>INDEX(Input!$1:$1048576,BP$93,$C449*2+6)</f>
        <v>0.05</v>
      </c>
      <c r="BQ449" s="1">
        <f>INDEX(Input!$1:$1048576,BQ$93,$C449*2+6)</f>
        <v>5.45E-2</v>
      </c>
      <c r="BR449" s="1">
        <f>INDEX(Input!$1:$1048576,BR$93,$C449*2+6)</f>
        <v>5.45E-2</v>
      </c>
      <c r="BS449" s="1">
        <f>INDEX(Input!$1:$1048576,BS$93,$C449*2+6)</f>
        <v>0.05</v>
      </c>
      <c r="BT449" s="1">
        <f>INDEX(Input!$1:$1048576,BT$93,$C449*2+6)</f>
        <v>0.05</v>
      </c>
      <c r="BU449" s="1">
        <f>INDEX(Input!$1:$1048576,BU$93,$C449*2+6)</f>
        <v>0.05</v>
      </c>
      <c r="BV449" s="1">
        <f>INDEX(Input!$1:$1048576,BV$93,$C449*2+6)</f>
        <v>5.5E-2</v>
      </c>
      <c r="BW449" s="1">
        <f>INDEX(Input!$1:$1048576,BW$93,$C449*2+6)</f>
        <v>0.06</v>
      </c>
      <c r="BX449" s="127">
        <f>INDEX(Input!$1:$1048576,BX$93,$C449*2+6)</f>
        <v>19985</v>
      </c>
      <c r="BY449" s="20">
        <f>INDEX(Input!$1:$1048576,BY$93,$C449*2+6)</f>
        <v>0.1</v>
      </c>
      <c r="BZ449" s="20">
        <f>INDEX(Input!$1:$1048576,BZ$93,$C449*2+6)</f>
        <v>0.1</v>
      </c>
      <c r="CA449" s="20">
        <f>INDEX(Input!$1:$1048576,CA$93,$C449*2+6)</f>
        <v>0.1</v>
      </c>
      <c r="CB449" s="20">
        <f>INDEX(Input!$1:$1048576,CB$93,$C449*2+6)</f>
        <v>0.1</v>
      </c>
      <c r="CC449" s="20">
        <f>INDEX(Input!$1:$1048576,CC$93,$C449*2+6)</f>
        <v>0.1</v>
      </c>
      <c r="CD449" s="384">
        <f>INDEX(Input!$1:$1048576,CD$93,$C449*2+6)</f>
        <v>0.1</v>
      </c>
      <c r="CE449" s="384">
        <f>INDEX(Input!$1:$1048576,CE$93,$C449*2+6)</f>
        <v>0.1</v>
      </c>
      <c r="CF449" s="384">
        <f>INDEX(Input!$1:$1048576,CF$93,$C449*2+6)</f>
        <v>0.1</v>
      </c>
      <c r="CG449" s="384">
        <f>INDEX(Input!$1:$1048576,CG$93,$C449*2+6)</f>
        <v>0.1</v>
      </c>
      <c r="CH449" s="384">
        <f>INDEX(Input!$1:$1048576,CH$93,$C449*2+6)</f>
        <v>0.1</v>
      </c>
      <c r="CI449" s="304">
        <f t="shared" si="1214"/>
        <v>2006.832975525977</v>
      </c>
      <c r="CJ449" s="16" t="str">
        <f>INDEX(Input!$1:$1048576,CJ$93,$C449*2+6)</f>
        <v>N</v>
      </c>
      <c r="CK449" s="1" t="str">
        <f t="shared" si="1215"/>
        <v>Market</v>
      </c>
      <c r="CL449" s="1" t="str">
        <f t="shared" si="1216"/>
        <v>Market</v>
      </c>
      <c r="CM449" s="1" t="str">
        <f t="shared" si="1217"/>
        <v>Market</v>
      </c>
      <c r="CN449" s="1" t="str">
        <f t="shared" si="1218"/>
        <v>Market</v>
      </c>
      <c r="CO449" s="1" t="str">
        <f t="shared" si="1219"/>
        <v>Market</v>
      </c>
      <c r="CP449" s="304">
        <f t="shared" si="1220"/>
        <v>416</v>
      </c>
      <c r="CQ449" s="1">
        <f t="shared" si="1221"/>
        <v>0</v>
      </c>
      <c r="CR449" s="1">
        <f t="shared" si="1222"/>
        <v>0</v>
      </c>
      <c r="CS449" s="1">
        <f t="shared" si="1223"/>
        <v>0</v>
      </c>
      <c r="CT449" s="1">
        <f t="shared" si="1224"/>
        <v>1.9E-2</v>
      </c>
      <c r="CU449" s="1">
        <f t="shared" si="1225"/>
        <v>3.9E-2</v>
      </c>
      <c r="CV449" s="304">
        <f t="shared" si="1226"/>
        <v>-1230</v>
      </c>
      <c r="CW449" s="20" t="s">
        <v>122</v>
      </c>
      <c r="CX449" s="20" t="s">
        <v>122</v>
      </c>
      <c r="CY449" s="20" t="s">
        <v>122</v>
      </c>
      <c r="CZ449" s="20" t="s">
        <v>122</v>
      </c>
      <c r="DA449" s="20" t="s">
        <v>122</v>
      </c>
      <c r="DB449" s="503">
        <f t="shared" si="1227"/>
        <v>0</v>
      </c>
      <c r="DC449" s="127">
        <v>0</v>
      </c>
      <c r="DD449" s="127">
        <v>0</v>
      </c>
      <c r="DE449" s="127">
        <v>0</v>
      </c>
      <c r="DF449" s="127">
        <v>0</v>
      </c>
      <c r="DG449" s="127">
        <v>0</v>
      </c>
      <c r="DH449" s="127">
        <v>0</v>
      </c>
      <c r="DI449" s="127">
        <v>0</v>
      </c>
      <c r="DJ449" s="127">
        <v>0</v>
      </c>
      <c r="DK449" s="127">
        <v>0</v>
      </c>
      <c r="DL449" s="127">
        <v>0</v>
      </c>
      <c r="DM449" s="304">
        <f>INDEX(Input!$1:$1048576,DM$93,$C449*2+6)</f>
        <v>21036.84210526316</v>
      </c>
      <c r="DN449" s="20">
        <v>0</v>
      </c>
      <c r="DO449" s="20">
        <v>0</v>
      </c>
      <c r="DP449" s="20">
        <v>0</v>
      </c>
      <c r="DQ449" s="20">
        <v>0</v>
      </c>
      <c r="DR449" s="20">
        <v>0</v>
      </c>
      <c r="DS449" s="20">
        <f>INDEX(Input!$1:$1048576,DS$93,$C449*2+6)</f>
        <v>0.6</v>
      </c>
      <c r="DT449" s="20">
        <f>INDEX(Input!$1:$1048576,DT$93,$C449*2+6)</f>
        <v>0.55000000000000004</v>
      </c>
      <c r="DU449" s="20">
        <f>INDEX(Input!$1:$1048576,DU$93,$C449*2+6)</f>
        <v>0.52</v>
      </c>
      <c r="DV449" s="20">
        <f>INDEX(Input!$1:$1048576,DV$93,$C449*2+6)</f>
        <v>0.5</v>
      </c>
      <c r="DW449" s="20">
        <f>INDEX(Input!$1:$1048576,DW$93,$C449*2+6)</f>
        <v>0.45</v>
      </c>
      <c r="DX449" s="20"/>
      <c r="DY449" s="7">
        <v>0.11390486372261401</v>
      </c>
      <c r="DZ449" s="7">
        <v>0</v>
      </c>
      <c r="EA449" s="7">
        <v>0.82546854081299692</v>
      </c>
      <c r="EB449" s="7">
        <v>0</v>
      </c>
      <c r="EC449" s="7">
        <v>0</v>
      </c>
      <c r="ED449" s="7">
        <v>0</v>
      </c>
      <c r="EE449" s="7">
        <v>0</v>
      </c>
      <c r="EF449" s="7">
        <v>0</v>
      </c>
      <c r="EG449" s="7">
        <v>0</v>
      </c>
      <c r="EH449" s="7">
        <v>1.2291424189167536E-2</v>
      </c>
      <c r="EI449" s="7">
        <v>3.2134722295793644E-2</v>
      </c>
      <c r="EJ449" s="7">
        <v>0.22543293076246482</v>
      </c>
      <c r="EK449" s="7">
        <v>0.59293368178849526</v>
      </c>
      <c r="EL449" s="7">
        <v>0.13720724096407858</v>
      </c>
      <c r="EM449" s="7">
        <v>3.0044515215493697E-2</v>
      </c>
      <c r="EN449" s="7">
        <v>4.9373349673334302E-2</v>
      </c>
      <c r="EO449" s="7">
        <v>0.70140008735032988</v>
      </c>
      <c r="EP449" s="7">
        <v>0.10818925011323638</v>
      </c>
      <c r="EQ449" s="7">
        <v>9.4886921597677837E-2</v>
      </c>
      <c r="ER449" s="7">
        <v>4.6150391265421399E-2</v>
      </c>
      <c r="ES449" s="7">
        <v>3.0582080248895371E-2</v>
      </c>
      <c r="ET449" s="7">
        <v>6.0626595464389067E-2</v>
      </c>
      <c r="EU449" s="6">
        <v>2520</v>
      </c>
      <c r="EV449" s="6">
        <v>0</v>
      </c>
      <c r="EW449" s="6">
        <v>2520</v>
      </c>
      <c r="EX449" s="6">
        <v>0</v>
      </c>
      <c r="EY449" s="6">
        <v>2483.556853724489</v>
      </c>
      <c r="EZ449" s="6">
        <v>147</v>
      </c>
      <c r="FA449" s="6">
        <v>0</v>
      </c>
      <c r="FB449" s="6">
        <v>0</v>
      </c>
      <c r="FC449" s="6">
        <v>0</v>
      </c>
      <c r="FD449" s="6">
        <v>0</v>
      </c>
      <c r="FE449" s="6">
        <v>0</v>
      </c>
      <c r="FF449" s="6">
        <v>0</v>
      </c>
      <c r="FG449" s="6">
        <v>0</v>
      </c>
      <c r="FH449" s="6">
        <v>1169.8114338840473</v>
      </c>
      <c r="FI449" s="6">
        <v>1553.9796069512395</v>
      </c>
      <c r="FJ449" s="6">
        <v>2101.211011744741</v>
      </c>
      <c r="FK449" s="6">
        <v>1772.7139978623234</v>
      </c>
      <c r="FL449" s="6">
        <v>907.07682140966347</v>
      </c>
      <c r="FM449" s="6">
        <v>1713.556853724489</v>
      </c>
      <c r="FN449" s="6">
        <v>0</v>
      </c>
      <c r="FO449" s="6">
        <v>0</v>
      </c>
      <c r="FP449" s="6">
        <v>0</v>
      </c>
      <c r="FQ449" s="6">
        <v>0</v>
      </c>
      <c r="FR449" s="6">
        <v>0</v>
      </c>
      <c r="FS449" s="6">
        <v>0</v>
      </c>
      <c r="FT449" s="7">
        <v>0.93937340453561091</v>
      </c>
      <c r="FU449" s="7">
        <v>3.0044515215493697E-2</v>
      </c>
      <c r="FV449" s="7">
        <v>3.0582080248895371E-2</v>
      </c>
      <c r="FW449" s="6">
        <v>2520</v>
      </c>
      <c r="FX449" s="6">
        <v>2483.556853724489</v>
      </c>
      <c r="FY449" s="6">
        <v>147</v>
      </c>
      <c r="FZ449" s="6">
        <v>1949.5716051445115</v>
      </c>
      <c r="GA449" s="6">
        <v>2446.3338069065962</v>
      </c>
      <c r="GB449" s="6">
        <v>17538.666193093402</v>
      </c>
      <c r="GC449" s="7">
        <v>3.3872851927908169E-2</v>
      </c>
      <c r="GD449" s="7">
        <v>3.6320175650362614E-2</v>
      </c>
      <c r="GE449" s="7"/>
      <c r="GF449" s="7"/>
      <c r="GG449" s="7">
        <v>7.2250300260016526E-2</v>
      </c>
      <c r="GH449" s="42">
        <v>2.9066669033485981</v>
      </c>
      <c r="GI449" s="6">
        <v>9321.9066415428861</v>
      </c>
      <c r="GJ449" s="14">
        <v>0.50394797582841733</v>
      </c>
      <c r="GK449" s="14">
        <v>0.50887573065309732</v>
      </c>
      <c r="GL449" s="14">
        <v>0.49605202417158223</v>
      </c>
      <c r="GM449" s="14">
        <v>0.49112426934690262</v>
      </c>
      <c r="GO449" s="5">
        <v>343.14810671672558</v>
      </c>
      <c r="GP449" s="5">
        <v>295.07131418198298</v>
      </c>
      <c r="GQ449" s="5">
        <v>535.04305713031317</v>
      </c>
      <c r="GR449" s="5">
        <v>410.15490233172511</v>
      </c>
      <c r="GS449" s="5">
        <v>339.42744393800166</v>
      </c>
      <c r="GT449" s="5">
        <v>293.4407446948278</v>
      </c>
      <c r="GU449" s="5">
        <v>258.04012322764959</v>
      </c>
      <c r="GV449" s="39" t="s">
        <v>392</v>
      </c>
      <c r="GW449" s="5">
        <v>478.23611111111109</v>
      </c>
      <c r="GX449" s="5">
        <v>358.67708333333331</v>
      </c>
      <c r="GY449" s="5">
        <v>286.94166666666666</v>
      </c>
      <c r="GZ449" s="5">
        <v>253.19574071601335</v>
      </c>
      <c r="HA449" s="5">
        <v>234.53733318419432</v>
      </c>
      <c r="HB449" s="39">
        <v>264.3987953907465</v>
      </c>
      <c r="HC449" s="5">
        <v>280.85312499999998</v>
      </c>
      <c r="HD449" s="5">
        <v>235.41580774853799</v>
      </c>
      <c r="HE449" s="5">
        <v>236.8873861336032</v>
      </c>
      <c r="HF449" s="5">
        <v>217.50938048245612</v>
      </c>
      <c r="HG449" s="5">
        <v>207.81388157894736</v>
      </c>
      <c r="HH449" s="39">
        <v>234.84548381087856</v>
      </c>
      <c r="HI449" s="16"/>
      <c r="HJ449" s="19" t="str">
        <f t="shared" si="1232"/>
        <v>On</v>
      </c>
      <c r="HK449" s="1" t="str">
        <f t="shared" si="1232"/>
        <v>On</v>
      </c>
      <c r="HL449" s="16"/>
      <c r="HM449" s="639">
        <f t="shared" si="1110"/>
        <v>2.9403358434788716E-2</v>
      </c>
      <c r="HN449" s="639">
        <f t="shared" si="1111"/>
        <v>1.4106809950923669E-3</v>
      </c>
      <c r="HO449" s="639">
        <f t="shared" si="1112"/>
        <v>1.7317923025048877E-3</v>
      </c>
      <c r="HP449" s="644">
        <f>(FT449*$GD449-HM449)/$JF449*INDEX(Input!$1:$1048576,$JG$93,$C449*2+6)</f>
        <v>337.39750529236937</v>
      </c>
      <c r="HQ449" s="644">
        <f>(FU449*$GD449-HN449)/$JF449*INDEX(Input!$1:$1048576,$JG$93,$C449*2+6)</f>
        <v>-22.860679756435569</v>
      </c>
      <c r="HR449" s="644">
        <f>(FV449*$GD449-HO449)/$JF449*INDEX(Input!$1:$1048576,$JG$93,$C449*2+6)</f>
        <v>-44.442422748853133</v>
      </c>
      <c r="HS449" s="644">
        <f t="shared" si="1233"/>
        <v>-134.90789507239268</v>
      </c>
      <c r="HT449" s="644">
        <f t="shared" si="1114"/>
        <v>38.440581512485153</v>
      </c>
      <c r="HU449" s="644">
        <f t="shared" si="1115"/>
        <v>7.6440356688480309</v>
      </c>
      <c r="HV449" s="648">
        <f t="shared" si="1116"/>
        <v>0</v>
      </c>
      <c r="HW449" s="648">
        <f t="shared" si="1117"/>
        <v>0</v>
      </c>
      <c r="HX449" s="648">
        <f t="shared" si="1118"/>
        <v>0</v>
      </c>
      <c r="HY449" s="644">
        <f>INDEX(Input!$1:$1048576,HY$93,$C449*2+6)*INDEX(Input!$1:$1048576,$JG$93,$C449*2+6)</f>
        <v>993</v>
      </c>
      <c r="HZ449" s="644">
        <f>INDEX(Input!$1:$1048576,HZ$93,$C449*2+6)*INDEX(Input!$1:$1048576,$JG$93,$C449*2+6)</f>
        <v>1216</v>
      </c>
      <c r="IA449" s="644">
        <f>INDEX(Input!$1:$1048576,IA$93,$C449*2+6)*INDEX(Input!$1:$1048576,$JG$93,$C449*2+6)</f>
        <v>120</v>
      </c>
      <c r="IB449" s="644">
        <f t="shared" si="1142"/>
        <v>1195.4896102199768</v>
      </c>
      <c r="IC449" s="644">
        <f t="shared" si="1143"/>
        <v>1231.5799017560496</v>
      </c>
      <c r="ID449" s="644">
        <f>IF(AND(INDEX(Input!$1:$1048576,IA$93,$C449*2+7)="TOS",Y449&lt;=INDEX(Y:Y,MATCH(C449*1000+2,A:A))),0,1)*MAX(IA449+HR449+HU449+HX449,0%)</f>
        <v>83.201612919994901</v>
      </c>
      <c r="IE449" s="128">
        <f t="shared" si="1238"/>
        <v>0.47623923900630272</v>
      </c>
      <c r="IF449" s="128">
        <f t="shared" si="1210"/>
        <v>0.49061628823343256</v>
      </c>
      <c r="IG449" s="128">
        <f t="shared" si="1120"/>
        <v>3.3144472760264575E-2</v>
      </c>
      <c r="IH449" s="21"/>
      <c r="II449" s="19">
        <f t="shared" si="1121"/>
        <v>1490</v>
      </c>
      <c r="IJ449" s="19">
        <f t="shared" si="1122"/>
        <v>2203.2561351629856</v>
      </c>
      <c r="IK449" s="19">
        <f t="shared" si="1123"/>
        <v>242</v>
      </c>
      <c r="IL449" s="19">
        <f t="shared" si="1145"/>
        <v>1030</v>
      </c>
      <c r="IM449" s="19">
        <f t="shared" si="1124"/>
        <v>280.30071856150334</v>
      </c>
      <c r="IN449" s="19">
        <f t="shared" si="1125"/>
        <v>-95</v>
      </c>
      <c r="IO449" s="39">
        <f t="shared" si="1126"/>
        <v>0</v>
      </c>
      <c r="IP449" s="39">
        <f t="shared" si="1127"/>
        <v>0</v>
      </c>
      <c r="IQ449" s="39">
        <f t="shared" si="1128"/>
        <v>0</v>
      </c>
      <c r="IR449" s="39">
        <v>0</v>
      </c>
      <c r="IS449" s="39">
        <v>0</v>
      </c>
      <c r="IT449" s="39">
        <v>0</v>
      </c>
      <c r="IU449" s="39">
        <v>0</v>
      </c>
      <c r="IV449" s="39">
        <v>0</v>
      </c>
      <c r="IW449" s="39">
        <v>0</v>
      </c>
      <c r="IX449" s="39">
        <f>INDEX(Input!$1:$1048576,IX$93,$C449*2+6)+INDEX(Input!$1:$1048576,IX$94,$C449*2+6)</f>
        <v>1770</v>
      </c>
      <c r="IY449" s="39">
        <f>INDEX(Input!$1:$1048576,IY$93,$C449*2+6)+INDEX(Input!$1:$1048576,IY$94,$C449*2+6)</f>
        <v>2630.0624533823611</v>
      </c>
      <c r="IZ449" s="39">
        <f>INDEX(Input!$1:$1048576,IZ$93,$C449*2+6)+INDEX(Input!$1:$1048576,IZ$94,$C449*2+6)</f>
        <v>4153.7164157747848</v>
      </c>
      <c r="JA449" s="19">
        <f t="shared" si="1146"/>
        <v>2800</v>
      </c>
      <c r="JB449" s="19">
        <f t="shared" si="1147"/>
        <v>2910.3631719438645</v>
      </c>
      <c r="JC449" s="19">
        <f t="shared" si="1148"/>
        <v>4058.7164157747848</v>
      </c>
      <c r="JD449" s="19">
        <f t="shared" si="1149"/>
        <v>2895.8654617323114</v>
      </c>
      <c r="JE449" s="21"/>
      <c r="JF449" s="1">
        <f t="shared" si="1129"/>
        <v>3.2545831732385969E-2</v>
      </c>
      <c r="JG449" s="15">
        <f>INDEX(Input!$1:$1048576,JG$93,$C449*2+6)/(1+VLOOKUP(C449*1000+INDEX(Input!$1:$1048576,JG$93+1,$C449*2+6),$A:$KK,$JK$92,FALSE))</f>
        <v>2329</v>
      </c>
      <c r="JH449" s="1">
        <f t="shared" si="1150"/>
        <v>0.11597011712626909</v>
      </c>
      <c r="JI449" s="1">
        <f t="shared" si="1151"/>
        <v>-3.8137946711489693E-2</v>
      </c>
      <c r="JJ449" s="1">
        <f t="shared" si="1211"/>
        <v>0</v>
      </c>
      <c r="JK449" s="1">
        <f t="shared" si="1212"/>
        <v>7.7832170414779397E-2</v>
      </c>
      <c r="JL449" s="15">
        <f t="shared" si="1154"/>
        <v>181.27112489602121</v>
      </c>
      <c r="JM449" s="15">
        <f t="shared" si="1180"/>
        <v>2510.2711248960213</v>
      </c>
      <c r="JN449" s="21"/>
      <c r="JO449" s="19">
        <f>INDEX(Input!$1:$1048576,JO$93,$C449*2+6)</f>
        <v>5995.5</v>
      </c>
      <c r="JP449" s="19">
        <f>INDEX(Input!$1:$1048576,JP$93,$C449*2+6)</f>
        <v>2341.8685758720158</v>
      </c>
      <c r="JQ449" s="39">
        <f t="shared" si="1166"/>
        <v>3099.6345382676886</v>
      </c>
      <c r="JR449" s="39">
        <f t="shared" si="1183"/>
        <v>553.99688586029561</v>
      </c>
      <c r="JS449" s="39">
        <f t="shared" si="1168"/>
        <v>7.2694074501703057</v>
      </c>
      <c r="JT449" s="39">
        <f t="shared" si="1156"/>
        <v>1.8151955369643811</v>
      </c>
      <c r="JU449" s="385">
        <f>(JQ449*JM449-INDEX(Input!$1:$1048576,Input!A$18,$C449*2+6)*JL449*INDEX(Input!$1:$1048576,Input!A$19,$C449*2+6))/1000000</f>
        <v>7.7809230791437907</v>
      </c>
      <c r="JV449" s="39">
        <f t="shared" si="1190"/>
        <v>-0.72838450765028373</v>
      </c>
      <c r="JW449" s="1">
        <f t="shared" si="1181"/>
        <v>-8.5598563716358309E-2</v>
      </c>
      <c r="JX449" s="19">
        <f t="shared" si="1172"/>
        <v>10013.704819262275</v>
      </c>
      <c r="JZ449" s="341"/>
      <c r="KA449" s="342"/>
      <c r="KB449" s="469">
        <f t="shared" si="1169"/>
        <v>2.3434325605641804</v>
      </c>
      <c r="KI449" s="473">
        <f t="shared" si="1235"/>
        <v>202.48961021997661</v>
      </c>
      <c r="KJ449" s="473">
        <f t="shared" si="1236"/>
        <v>15.579901756049367</v>
      </c>
      <c r="KK449" s="473">
        <f t="shared" si="1158"/>
        <v>-36.798387080005114</v>
      </c>
      <c r="KN449" s="544">
        <f t="shared" si="1173"/>
        <v>4002</v>
      </c>
      <c r="KO449" s="541">
        <f t="shared" si="1133"/>
        <v>3.7897501715996373E-2</v>
      </c>
      <c r="KP449" s="546">
        <f t="shared" si="1134"/>
        <v>345.37190708771192</v>
      </c>
      <c r="KQ449" s="546">
        <f t="shared" si="1135"/>
        <v>271.0942736962902</v>
      </c>
      <c r="KR449" s="548">
        <f t="shared" si="1136"/>
        <v>1.9049299832728128</v>
      </c>
      <c r="KS449" s="548">
        <f t="shared" si="1137"/>
        <v>2.4268653565458833</v>
      </c>
      <c r="KT449" s="473">
        <f t="shared" si="1171"/>
        <v>1580.0986321700548</v>
      </c>
      <c r="KU449" s="663">
        <f t="shared" si="1159"/>
        <v>4.062658376764003</v>
      </c>
      <c r="KV449" s="117"/>
    </row>
    <row r="450" spans="1:308" s="26" customFormat="1" ht="15">
      <c r="A450" s="561">
        <f t="shared" si="1138"/>
        <v>4050</v>
      </c>
      <c r="B450" s="561">
        <f t="shared" si="1160"/>
        <v>50</v>
      </c>
      <c r="C450" s="561">
        <f t="shared" si="1161"/>
        <v>4</v>
      </c>
      <c r="D450" s="561" t="str">
        <f t="shared" si="1206"/>
        <v xml:space="preserve">1000 CC, -360 Lease, </v>
      </c>
      <c r="E450" s="475">
        <f>INDEX(Input!$1:$1048576,E$93,$C450*2+MIN($B450,2)+5)
+INDEX(Scenarios!E$121:E$200,MATCH($B450,Scenarios!$B$121:$B$200,0))</f>
        <v>2256.832975525977</v>
      </c>
      <c r="F450" s="475">
        <f>INDEX(Input!$1:$1048576,F$93,$C450*2+MIN($B450,2)+5)
+INDEX(Scenarios!F$121:F$200,MATCH($B450,Scenarios!$B$121:$B$200,0))</f>
        <v>0</v>
      </c>
      <c r="G450" s="475">
        <f>INDEX(Input!$1:$1048576,G$93,$C450*2+MIN($B450,2)+5)
+INDEX(Scenarios!G$121:G$200,MATCH($B450,Scenarios!$B$121:$B$200,0))</f>
        <v>0</v>
      </c>
      <c r="H450" s="475">
        <f>INDEX(Input!$1:$1048576,H$93,$C450*2+MIN($B450,2)+5)
+INDEX(Scenarios!H$121:H$200,MATCH($B450,Scenarios!$B$121:$B$200,0))</f>
        <v>0</v>
      </c>
      <c r="I450" s="476">
        <f>INDEX(Input!$1:$1048576,I$93,$C450*2+MIN($B450,2)+5)</f>
        <v>0.7</v>
      </c>
      <c r="J450" s="476" t="str">
        <f>INDEX(Input!$1:$1048576,J$93,$C450*2+MIN($B450,2)+5)</f>
        <v>Market</v>
      </c>
      <c r="K450" s="476" t="str">
        <f>INDEX(Input!$1:$1048576,K$93,$C450*2+MIN($B450,2)+5)</f>
        <v>Market</v>
      </c>
      <c r="L450" s="476" t="str">
        <f>INDEX(Input!$1:$1048576,L$93,$C450*2+MIN($B450,2)+5)</f>
        <v>Market</v>
      </c>
      <c r="M450" s="476" t="str">
        <f>INDEX(Input!$1:$1048576,M$93,$C450*2+MIN($B450,2)+5)</f>
        <v>Market</v>
      </c>
      <c r="N450" s="476" t="str">
        <f>INDEX(Input!$1:$1048576,N$93,$C450*2+MIN($B450,2)+5)</f>
        <v>Market</v>
      </c>
      <c r="O450" s="476" t="str">
        <f>INDEX(Input!$1:$1048576,O$93,$C450*2+MIN($B450,2)+5)</f>
        <v>Market</v>
      </c>
      <c r="P450" s="476" t="str">
        <f>INDEX(Input!$1:$1048576,P$93,$C450*2+MIN($B450,2)+5)</f>
        <v>N</v>
      </c>
      <c r="Q450" s="477">
        <f>INDEX(Input!$1:$1048576,Q$93,$C450*2+MIN($B450,2)+5)
+INDEX(Scenarios!Q$121:Q$200,MATCH($B450,Scenarios!$B$121:$B$200,0))</f>
        <v>0</v>
      </c>
      <c r="R450" s="478">
        <f>IFERROR(MAX(0,INDEX(Input!$1:$1048576,R$93,$C450*2+MIN($B450,2)+5)
+INDEX(Scenarios!R$121:R$200,MATCH($B450,Scenarios!$B$121:$B$200,0)),),"Market")</f>
        <v>0</v>
      </c>
      <c r="S450" s="478">
        <f>IFERROR(MAX(0,INDEX(Input!$1:$1048576,S$93,$C450*2+MIN($B450,2)+5)
+INDEX(Scenarios!S$121:S$200,MATCH($B450,Scenarios!$B$121:$B$200,0)),),"Market")</f>
        <v>0</v>
      </c>
      <c r="T450" s="478">
        <f>IFERROR(MAX(0,INDEX(Input!$1:$1048576,T$93,$C450*2+MIN($B450,2)+5)
+INDEX(Scenarios!T$121:T$200,MATCH($B450,Scenarios!$B$121:$B$200,0)),),"Market")</f>
        <v>0</v>
      </c>
      <c r="U450" s="478">
        <f>IFERROR(MAX(0,INDEX(Input!$1:$1048576,U$93,$C450*2+MIN($B450,2)+5)
+INDEX(Scenarios!U$121:U$200,MATCH($B450,Scenarios!$B$121:$B$200,0)),),"Market")</f>
        <v>0</v>
      </c>
      <c r="V450" s="478">
        <f>IFERROR(MAX(0,INDEX(Input!$1:$1048576,V$93,$C450*2+MIN($B450,2)+5)
+INDEX(Scenarios!V$121:V$200,MATCH($B450,Scenarios!$B$121:$B$200,0)),),"Market")</f>
        <v>1.9E-2</v>
      </c>
      <c r="W450" s="885">
        <f>IFERROR(MAX(0,INDEX(Input!$1:$1048576,W$93,$C450*2+MIN($B450,2)+5)-0%,),"Market")</f>
        <v>3.9E-2</v>
      </c>
      <c r="X450" s="476" t="str">
        <f>INDEX(Input!$1:$1048576,X$93,$C450*2+MIN($B450,2)+5)</f>
        <v>Y</v>
      </c>
      <c r="Y450" s="475">
        <f>INDEX(Input!$1:$1048576,Y$93,$C450*2+MIN($B450,2)+5)
++INDEX(Scenarios!Y$121:Y$200,MATCH($B450,Scenarios!$B$121:$B$200,0))</f>
        <v>-1230</v>
      </c>
      <c r="Z450" s="477">
        <f>INDEX(Input!$1:$1048576,Z$93,$C450*2+MIN($B450,2)+5)
+INDEX(Scenarios!Z$121:Z$200,MATCH($B450,Scenarios!$B$121:$B$200,0))</f>
        <v>0</v>
      </c>
      <c r="AA450" s="475">
        <f>INDEX(Input!$1:$1048576,AA$93,$C450*2+MIN($B450,2)+5)
+INDEX(Scenarios!AA$121:AA$200,MATCH($B450,Scenarios!$B$121:$B$200,0))</f>
        <v>0</v>
      </c>
      <c r="AB450" s="476">
        <f>INDEX(Input!$1:$1048576,AB$93,$C450*2+MIN($B450,2)+5)</f>
        <v>0.27</v>
      </c>
      <c r="AC450" s="475">
        <f>INDEX(Input!$1:$1048576,AC$93,$C450*2+MIN($B450,2)+5)
+INDEX(Scenarios!AC$121:AC$200,MATCH($B450,Scenarios!$B$121:$B$200,0))</f>
        <v>0</v>
      </c>
      <c r="AD450" s="476">
        <f>INDEX(Input!$1:$1048576,AD$93,$C450*2+MIN($B450,2)+5)</f>
        <v>0.27</v>
      </c>
      <c r="AE450" s="475">
        <f>INDEX(Input!$1:$1048576,AE$93,$C450*2+MIN($B450,2)+5)
+INDEX(Scenarios!AE$121:AE$200,MATCH($B450,Scenarios!$B$121:$B$200,0))</f>
        <v>0</v>
      </c>
      <c r="AF450" s="476">
        <f>INDEX(Input!$1:$1048576,AF$93,$C450*2+MIN($B450,2)+5)</f>
        <v>1</v>
      </c>
      <c r="AG450" s="475">
        <f>INDEX(Input!$1:$1048576,AG$93,$C450*2+MIN($B450,2)+5)
+INDEX(Scenarios!AG$121:AG$200,MATCH($B450,Scenarios!$B$121:$B$200,0))</f>
        <v>500</v>
      </c>
      <c r="AH450" s="476">
        <f>INDEX(Input!$1:$1048576,AH$93,$C450*2+MIN($B450,2)+5)</f>
        <v>0.83199999999999996</v>
      </c>
      <c r="AI450" s="475">
        <f>INDEX(Input!$1:$1048576,AI$93,$C450*2+MIN($B450,2)+5)
+INDEX(Scenarios!AI$121:AI$200,MATCH($B450,Scenarios!$B$121:$B$200,0))</f>
        <v>0</v>
      </c>
      <c r="AJ450" s="476">
        <f>INDEX(Input!$1:$1048576,AJ$93,$C450*2+MIN($B450,2)+5)</f>
        <v>0.27</v>
      </c>
      <c r="AK450" s="150">
        <f>ROUND(INDEX(Input!$1:$1048576,AK$93,$C449*2+MIN($B450,1)+5)+(Y450-VLOOKUP($C450*1000+1,$A:$HH,Y$92,FALSE)),0)</f>
        <v>2227</v>
      </c>
      <c r="AL450" s="150">
        <f>ROUND(INDEX(Input!$1:$1048576,AL$93,$C449*2+MIN($B450,1)+5)-(Y450-VLOOKUP($C450*1000+1,$A:$HH,Y$92,FALSE))/36,0)</f>
        <v>3416</v>
      </c>
      <c r="AM450" s="32" t="str">
        <f t="shared" si="1139"/>
        <v>std/std/std/std</v>
      </c>
      <c r="AN450" s="32" t="str">
        <f t="shared" si="1140"/>
        <v>$0 + 0/0/0/1.9/3.9</v>
      </c>
      <c r="AO450" s="32" t="str">
        <f t="shared" si="1141"/>
        <v>0/0/0/1.9/3.9</v>
      </c>
      <c r="AP450" s="32" t="str">
        <f t="shared" si="1213"/>
        <v>0/0.9/1.9/3.9</v>
      </c>
      <c r="AQ450" s="536">
        <f t="shared" si="1207"/>
        <v>0.48996382152892148</v>
      </c>
      <c r="AR450" s="32"/>
      <c r="AS450" s="302"/>
      <c r="AT450" s="3">
        <f t="shared" si="1162"/>
        <v>50</v>
      </c>
      <c r="AU450" s="41" t="s">
        <v>121</v>
      </c>
      <c r="AV450" s="41" t="s">
        <v>116</v>
      </c>
      <c r="AW450" s="41" t="str">
        <f>INDEX(Input!$1:$1048576,AW$93,$C450*2+6)</f>
        <v>Kia</v>
      </c>
      <c r="AX450" s="41" t="str">
        <f>INDEX(Input!$1:$1048576,AX$93,$C450*2+6)</f>
        <v>Kia-LR - R1</v>
      </c>
      <c r="AY450" s="41" t="str">
        <f>IF(LEN(D450)=0,"",INDEX(Input!$1:$1048576,AY$93,$C450*2+6))</f>
        <v>Compact SUV (52)</v>
      </c>
      <c r="AZ450" s="41" t="str">
        <f>INDEX(Input!$1:$1048576,AZ$93,$C450*2+6)</f>
        <v>Kia Soul</v>
      </c>
      <c r="BA450" s="3">
        <f>INDEX(Input!$1:$1048576,BA$93,$C450*2+6)</f>
        <v>2020</v>
      </c>
      <c r="BB450" s="128">
        <f>INDEX(Input!$1:$1048576,BB$93,$C450*2+6)</f>
        <v>1</v>
      </c>
      <c r="BC450" s="128">
        <f>INDEX(Input!$1:$1048576,BC$93,$C450*2+6)</f>
        <v>0.7</v>
      </c>
      <c r="BD450" s="1">
        <f>INDEX(Input!$1:$1048576,BD$93,$C450*2+6)</f>
        <v>4.4999999999999998E-2</v>
      </c>
      <c r="BE450" s="1">
        <f>INDEX(Input!$1:$1048576,BE$93,$C450*2+6)</f>
        <v>4.4999999999999998E-2</v>
      </c>
      <c r="BF450" s="1">
        <f>INDEX(Input!$1:$1048576,BF$93,$C450*2+6)</f>
        <v>0.05</v>
      </c>
      <c r="BG450" s="1">
        <f>INDEX(Input!$1:$1048576,BG$93,$C450*2+6)</f>
        <v>5.45E-2</v>
      </c>
      <c r="BH450" s="1">
        <f>INDEX(Input!$1:$1048576,BH$93,$C450*2+6)</f>
        <v>5.45E-2</v>
      </c>
      <c r="BI450" s="1">
        <f>INDEX(Input!$1:$1048576,BI$93,$C450*2+6)</f>
        <v>0.05</v>
      </c>
      <c r="BJ450" s="1">
        <f>INDEX(Input!$1:$1048576,BJ$93,$C450*2+6)</f>
        <v>0.05</v>
      </c>
      <c r="BK450" s="1">
        <f>INDEX(Input!$1:$1048576,BK$93,$C450*2+6)</f>
        <v>0.05</v>
      </c>
      <c r="BL450" s="1">
        <f>INDEX(Input!$1:$1048576,BL$93,$C450*2+6)</f>
        <v>5.5E-2</v>
      </c>
      <c r="BM450" s="1">
        <f>INDEX(Input!$1:$1048576,BM$93,$C450*2+6)</f>
        <v>0.06</v>
      </c>
      <c r="BN450" s="1">
        <f>INDEX(Input!$1:$1048576,BN$93,$C450*2+6)</f>
        <v>4.4999999999999998E-2</v>
      </c>
      <c r="BO450" s="1">
        <f>INDEX(Input!$1:$1048576,BO$93,$C450*2+6)</f>
        <v>4.4999999999999998E-2</v>
      </c>
      <c r="BP450" s="1">
        <f>INDEX(Input!$1:$1048576,BP$93,$C450*2+6)</f>
        <v>0.05</v>
      </c>
      <c r="BQ450" s="1">
        <f>INDEX(Input!$1:$1048576,BQ$93,$C450*2+6)</f>
        <v>5.45E-2</v>
      </c>
      <c r="BR450" s="1">
        <f>INDEX(Input!$1:$1048576,BR$93,$C450*2+6)</f>
        <v>5.45E-2</v>
      </c>
      <c r="BS450" s="1">
        <f>INDEX(Input!$1:$1048576,BS$93,$C450*2+6)</f>
        <v>0.05</v>
      </c>
      <c r="BT450" s="1">
        <f>INDEX(Input!$1:$1048576,BT$93,$C450*2+6)</f>
        <v>0.05</v>
      </c>
      <c r="BU450" s="1">
        <f>INDEX(Input!$1:$1048576,BU$93,$C450*2+6)</f>
        <v>0.05</v>
      </c>
      <c r="BV450" s="1">
        <f>INDEX(Input!$1:$1048576,BV$93,$C450*2+6)</f>
        <v>5.5E-2</v>
      </c>
      <c r="BW450" s="1">
        <f>INDEX(Input!$1:$1048576,BW$93,$C450*2+6)</f>
        <v>0.06</v>
      </c>
      <c r="BX450" s="127">
        <f>INDEX(Input!$1:$1048576,BX$93,$C450*2+6)</f>
        <v>19985</v>
      </c>
      <c r="BY450" s="20">
        <f>INDEX(Input!$1:$1048576,BY$93,$C450*2+6)</f>
        <v>0.1</v>
      </c>
      <c r="BZ450" s="20">
        <f>INDEX(Input!$1:$1048576,BZ$93,$C450*2+6)</f>
        <v>0.1</v>
      </c>
      <c r="CA450" s="20">
        <f>INDEX(Input!$1:$1048576,CA$93,$C450*2+6)</f>
        <v>0.1</v>
      </c>
      <c r="CB450" s="20">
        <f>INDEX(Input!$1:$1048576,CB$93,$C450*2+6)</f>
        <v>0.1</v>
      </c>
      <c r="CC450" s="20">
        <f>INDEX(Input!$1:$1048576,CC$93,$C450*2+6)</f>
        <v>0.1</v>
      </c>
      <c r="CD450" s="384">
        <f>INDEX(Input!$1:$1048576,CD$93,$C450*2+6)</f>
        <v>0.1</v>
      </c>
      <c r="CE450" s="384">
        <f>INDEX(Input!$1:$1048576,CE$93,$C450*2+6)</f>
        <v>0.1</v>
      </c>
      <c r="CF450" s="384">
        <f>INDEX(Input!$1:$1048576,CF$93,$C450*2+6)</f>
        <v>0.1</v>
      </c>
      <c r="CG450" s="384">
        <f>INDEX(Input!$1:$1048576,CG$93,$C450*2+6)</f>
        <v>0.1</v>
      </c>
      <c r="CH450" s="384">
        <f>INDEX(Input!$1:$1048576,CH$93,$C450*2+6)</f>
        <v>0.1</v>
      </c>
      <c r="CI450" s="304">
        <f t="shared" si="1214"/>
        <v>2256.832975525977</v>
      </c>
      <c r="CJ450" s="16" t="str">
        <f>INDEX(Input!$1:$1048576,CJ$93,$C450*2+6)</f>
        <v>N</v>
      </c>
      <c r="CK450" s="1" t="str">
        <f t="shared" si="1215"/>
        <v>Market</v>
      </c>
      <c r="CL450" s="1" t="str">
        <f t="shared" si="1216"/>
        <v>Market</v>
      </c>
      <c r="CM450" s="1" t="str">
        <f t="shared" si="1217"/>
        <v>Market</v>
      </c>
      <c r="CN450" s="1" t="str">
        <f t="shared" si="1218"/>
        <v>Market</v>
      </c>
      <c r="CO450" s="1" t="str">
        <f t="shared" si="1219"/>
        <v>Market</v>
      </c>
      <c r="CP450" s="304">
        <f t="shared" si="1220"/>
        <v>416</v>
      </c>
      <c r="CQ450" s="1">
        <f t="shared" si="1221"/>
        <v>0</v>
      </c>
      <c r="CR450" s="1">
        <f t="shared" si="1222"/>
        <v>0</v>
      </c>
      <c r="CS450" s="1">
        <f t="shared" si="1223"/>
        <v>0</v>
      </c>
      <c r="CT450" s="1">
        <f t="shared" si="1224"/>
        <v>1.9E-2</v>
      </c>
      <c r="CU450" s="1">
        <f t="shared" si="1225"/>
        <v>3.9E-2</v>
      </c>
      <c r="CV450" s="304">
        <f t="shared" si="1226"/>
        <v>-1230</v>
      </c>
      <c r="CW450" s="20" t="s">
        <v>122</v>
      </c>
      <c r="CX450" s="20" t="s">
        <v>122</v>
      </c>
      <c r="CY450" s="20" t="s">
        <v>122</v>
      </c>
      <c r="CZ450" s="20" t="s">
        <v>122</v>
      </c>
      <c r="DA450" s="20" t="s">
        <v>122</v>
      </c>
      <c r="DB450" s="503">
        <f t="shared" si="1227"/>
        <v>0</v>
      </c>
      <c r="DC450" s="127">
        <v>0</v>
      </c>
      <c r="DD450" s="127">
        <v>0</v>
      </c>
      <c r="DE450" s="127">
        <v>0</v>
      </c>
      <c r="DF450" s="127">
        <v>0</v>
      </c>
      <c r="DG450" s="127">
        <v>0</v>
      </c>
      <c r="DH450" s="127">
        <v>0</v>
      </c>
      <c r="DI450" s="127">
        <v>0</v>
      </c>
      <c r="DJ450" s="127">
        <v>0</v>
      </c>
      <c r="DK450" s="127">
        <v>0</v>
      </c>
      <c r="DL450" s="127">
        <v>0</v>
      </c>
      <c r="DM450" s="304">
        <f>INDEX(Input!$1:$1048576,DM$93,$C450*2+6)</f>
        <v>21036.84210526316</v>
      </c>
      <c r="DN450" s="20">
        <v>0</v>
      </c>
      <c r="DO450" s="20">
        <v>0</v>
      </c>
      <c r="DP450" s="20">
        <v>0</v>
      </c>
      <c r="DQ450" s="20">
        <v>0</v>
      </c>
      <c r="DR450" s="20">
        <v>0</v>
      </c>
      <c r="DS450" s="20">
        <f>INDEX(Input!$1:$1048576,DS$93,$C450*2+6)</f>
        <v>0.6</v>
      </c>
      <c r="DT450" s="20">
        <f>INDEX(Input!$1:$1048576,DT$93,$C450*2+6)</f>
        <v>0.55000000000000004</v>
      </c>
      <c r="DU450" s="20">
        <f>INDEX(Input!$1:$1048576,DU$93,$C450*2+6)</f>
        <v>0.52</v>
      </c>
      <c r="DV450" s="20">
        <f>INDEX(Input!$1:$1048576,DV$93,$C450*2+6)</f>
        <v>0.5</v>
      </c>
      <c r="DW450" s="20">
        <f>INDEX(Input!$1:$1048576,DW$93,$C450*2+6)</f>
        <v>0.45</v>
      </c>
      <c r="DX450" s="20"/>
      <c r="DY450" s="7">
        <v>0.11721988279239853</v>
      </c>
      <c r="DZ450" s="7">
        <v>0</v>
      </c>
      <c r="EA450" s="7">
        <v>0.82934942075003659</v>
      </c>
      <c r="EB450" s="7">
        <v>0</v>
      </c>
      <c r="EC450" s="7">
        <v>0</v>
      </c>
      <c r="ED450" s="7">
        <v>0</v>
      </c>
      <c r="EE450" s="7">
        <v>0</v>
      </c>
      <c r="EF450" s="7">
        <v>0</v>
      </c>
      <c r="EG450" s="7">
        <v>0</v>
      </c>
      <c r="EH450" s="7">
        <v>1.2297767947316289E-2</v>
      </c>
      <c r="EI450" s="7">
        <v>3.2157892310325877E-2</v>
      </c>
      <c r="EJ450" s="7">
        <v>0.2255475925025984</v>
      </c>
      <c r="EK450" s="7">
        <v>0.59281024719282505</v>
      </c>
      <c r="EL450" s="7">
        <v>0.13718650004693414</v>
      </c>
      <c r="EM450" s="7">
        <v>2.6462457325985577E-2</v>
      </c>
      <c r="EN450" s="7">
        <v>4.936241904333602E-2</v>
      </c>
      <c r="EO450" s="7">
        <v>0.70140733734939098</v>
      </c>
      <c r="EP450" s="7">
        <v>0.10819660352243213</v>
      </c>
      <c r="EQ450" s="7">
        <v>9.4866516011637009E-2</v>
      </c>
      <c r="ER450" s="7">
        <v>4.6167124073204224E-2</v>
      </c>
      <c r="ES450" s="7">
        <v>2.69682391315792E-2</v>
      </c>
      <c r="ET450" s="7">
        <v>5.3430696457564902E-2</v>
      </c>
      <c r="EU450" s="6">
        <v>2770</v>
      </c>
      <c r="EV450" s="6">
        <v>0</v>
      </c>
      <c r="EW450" s="6">
        <v>2770</v>
      </c>
      <c r="EX450" s="6">
        <v>0</v>
      </c>
      <c r="EY450" s="6">
        <v>2483.6036148409257</v>
      </c>
      <c r="EZ450" s="6">
        <v>147</v>
      </c>
      <c r="FA450" s="6">
        <v>0</v>
      </c>
      <c r="FB450" s="6">
        <v>0</v>
      </c>
      <c r="FC450" s="6">
        <v>0</v>
      </c>
      <c r="FD450" s="6">
        <v>0</v>
      </c>
      <c r="FE450" s="6">
        <v>0</v>
      </c>
      <c r="FF450" s="6">
        <v>0</v>
      </c>
      <c r="FG450" s="6">
        <v>0</v>
      </c>
      <c r="FH450" s="6">
        <v>1169.8141754638214</v>
      </c>
      <c r="FI450" s="6">
        <v>1553.9796069512397</v>
      </c>
      <c r="FJ450" s="6">
        <v>2101.2110117447392</v>
      </c>
      <c r="FK450" s="6">
        <v>1772.7139978623238</v>
      </c>
      <c r="FL450" s="6">
        <v>907.0768214096629</v>
      </c>
      <c r="FM450" s="6">
        <v>1713.6036148409255</v>
      </c>
      <c r="FN450" s="6">
        <v>0</v>
      </c>
      <c r="FO450" s="6">
        <v>0</v>
      </c>
      <c r="FP450" s="6">
        <v>0</v>
      </c>
      <c r="FQ450" s="6">
        <v>0</v>
      </c>
      <c r="FR450" s="6">
        <v>0</v>
      </c>
      <c r="FS450" s="6">
        <v>0</v>
      </c>
      <c r="FT450" s="7">
        <v>0.94656930354243518</v>
      </c>
      <c r="FU450" s="7">
        <v>2.6462457325985577E-2</v>
      </c>
      <c r="FV450" s="7">
        <v>2.69682391315792E-2</v>
      </c>
      <c r="FW450" s="6">
        <v>2770</v>
      </c>
      <c r="FX450" s="6">
        <v>2483.6036148409257</v>
      </c>
      <c r="FY450" s="6">
        <v>147</v>
      </c>
      <c r="FZ450" s="6">
        <v>1949.5716051445115</v>
      </c>
      <c r="GA450" s="6">
        <v>2691.6835566372793</v>
      </c>
      <c r="GB450" s="6">
        <v>17293.316443362721</v>
      </c>
      <c r="GC450" s="7">
        <v>3.3872851927908169E-2</v>
      </c>
      <c r="GD450" s="7">
        <v>3.7312941514050783E-2</v>
      </c>
      <c r="GE450" s="7"/>
      <c r="GF450" s="7"/>
      <c r="GG450" s="7">
        <v>0.10155890013230008</v>
      </c>
      <c r="GH450" s="42">
        <v>2.7349709367452455</v>
      </c>
      <c r="GI450" s="6">
        <v>9998.8910049852202</v>
      </c>
      <c r="GJ450" s="14">
        <v>0.50394797582841744</v>
      </c>
      <c r="GK450" s="14">
        <v>0.50887573065309777</v>
      </c>
      <c r="GL450" s="14">
        <v>0.49605202417158328</v>
      </c>
      <c r="GM450" s="14">
        <v>0.49112426934690273</v>
      </c>
      <c r="GO450" s="5">
        <v>343.14810671672558</v>
      </c>
      <c r="GP450" s="5">
        <v>290.30179111306006</v>
      </c>
      <c r="GQ450" s="5">
        <v>535.04305713031317</v>
      </c>
      <c r="GR450" s="5">
        <v>410.15490233172511</v>
      </c>
      <c r="GS450" s="5">
        <v>339.42744393800166</v>
      </c>
      <c r="GT450" s="5">
        <v>293.4407446948278</v>
      </c>
      <c r="GU450" s="5">
        <v>258.04012322764959</v>
      </c>
      <c r="GV450" s="39" t="s">
        <v>392</v>
      </c>
      <c r="GW450" s="5">
        <v>478.23611111111109</v>
      </c>
      <c r="GX450" s="5">
        <v>358.67708333333331</v>
      </c>
      <c r="GY450" s="5">
        <v>286.94166666666666</v>
      </c>
      <c r="GZ450" s="5">
        <v>253.19574071601335</v>
      </c>
      <c r="HA450" s="5">
        <v>234.53733318419432</v>
      </c>
      <c r="HB450" s="39">
        <v>264.40692335574789</v>
      </c>
      <c r="HC450" s="5">
        <v>280.85312499999998</v>
      </c>
      <c r="HD450" s="5">
        <v>235.41580774853799</v>
      </c>
      <c r="HE450" s="5">
        <v>236.8873861336032</v>
      </c>
      <c r="HF450" s="5">
        <v>217.50938048245612</v>
      </c>
      <c r="HG450" s="5">
        <v>207.81388157894736</v>
      </c>
      <c r="HH450" s="39">
        <v>234.84490150691096</v>
      </c>
      <c r="HI450" s="16"/>
      <c r="HJ450" s="19" t="str">
        <f t="shared" si="1232"/>
        <v>On</v>
      </c>
      <c r="HK450" s="1" t="str">
        <f t="shared" si="1232"/>
        <v>On</v>
      </c>
      <c r="HL450" s="16"/>
      <c r="HM450" s="639">
        <f t="shared" si="1110"/>
        <v>2.9403358434788716E-2</v>
      </c>
      <c r="HN450" s="639">
        <f t="shared" si="1111"/>
        <v>1.4106809950923669E-3</v>
      </c>
      <c r="HO450" s="639">
        <f t="shared" si="1112"/>
        <v>1.7317923025048877E-3</v>
      </c>
      <c r="HP450" s="644">
        <f>(FT450*$GD450-HM450)/$JF450*INDEX(Input!$1:$1048576,$JG$93,$C450*2+6)</f>
        <v>423.34739601195861</v>
      </c>
      <c r="HQ450" s="644">
        <f>(FU450*$GD450-HN450)/$JF450*INDEX(Input!$1:$1048576,$JG$93,$C450*2+6)</f>
        <v>-30.290815497398164</v>
      </c>
      <c r="HR450" s="644">
        <f>(FV450*$GD450-HO450)/$JF450*INDEX(Input!$1:$1048576,$JG$93,$C450*2+6)</f>
        <v>-51.919233870895667</v>
      </c>
      <c r="HS450" s="644">
        <f t="shared" si="1233"/>
        <v>-167.62149534026162</v>
      </c>
      <c r="HT450" s="644">
        <f t="shared" si="1114"/>
        <v>36.301360166912893</v>
      </c>
      <c r="HU450" s="644">
        <f t="shared" si="1115"/>
        <v>9.7911669505130785</v>
      </c>
      <c r="HV450" s="648">
        <f t="shared" si="1116"/>
        <v>0</v>
      </c>
      <c r="HW450" s="648">
        <f t="shared" si="1117"/>
        <v>0</v>
      </c>
      <c r="HX450" s="648">
        <f t="shared" si="1118"/>
        <v>0</v>
      </c>
      <c r="HY450" s="644">
        <f>INDEX(Input!$1:$1048576,HY$93,$C450*2+6)*INDEX(Input!$1:$1048576,$JG$93,$C450*2+6)</f>
        <v>993</v>
      </c>
      <c r="HZ450" s="644">
        <f>INDEX(Input!$1:$1048576,HZ$93,$C450*2+6)*INDEX(Input!$1:$1048576,$JG$93,$C450*2+6)</f>
        <v>1216</v>
      </c>
      <c r="IA450" s="644">
        <f>INDEX(Input!$1:$1048576,IA$93,$C450*2+6)*INDEX(Input!$1:$1048576,$JG$93,$C450*2+6)</f>
        <v>120</v>
      </c>
      <c r="IB450" s="644">
        <f t="shared" si="1142"/>
        <v>1248.7259006716972</v>
      </c>
      <c r="IC450" s="644">
        <f t="shared" si="1143"/>
        <v>1222.0105446695147</v>
      </c>
      <c r="ID450" s="644">
        <f>IF(AND(INDEX(Input!$1:$1048576,IA$93,$C450*2+7)="TOS",Y450&lt;=INDEX(Y:Y,MATCH(C450*1000+2,A:A))),0,1)*MAX(IA450+HR450+HU450+HX450,0%)</f>
        <v>77.871933079617406</v>
      </c>
      <c r="IE450" s="128">
        <f t="shared" si="1238"/>
        <v>0.48996382152892148</v>
      </c>
      <c r="IF450" s="128">
        <f t="shared" si="1210"/>
        <v>0.47948149076818847</v>
      </c>
      <c r="IG450" s="128">
        <f t="shared" si="1120"/>
        <v>3.0554687702890024E-2</v>
      </c>
      <c r="IH450" s="21"/>
      <c r="II450" s="19">
        <f t="shared" si="1121"/>
        <v>1490</v>
      </c>
      <c r="IJ450" s="19">
        <f t="shared" si="1122"/>
        <v>2203.2561351629856</v>
      </c>
      <c r="IK450" s="19">
        <f t="shared" si="1123"/>
        <v>242</v>
      </c>
      <c r="IL450" s="19">
        <f t="shared" si="1145"/>
        <v>1280</v>
      </c>
      <c r="IM450" s="19">
        <f t="shared" si="1124"/>
        <v>280.3474796779401</v>
      </c>
      <c r="IN450" s="19">
        <f t="shared" si="1125"/>
        <v>-95</v>
      </c>
      <c r="IO450" s="39">
        <f t="shared" si="1126"/>
        <v>0</v>
      </c>
      <c r="IP450" s="39">
        <f t="shared" si="1127"/>
        <v>0</v>
      </c>
      <c r="IQ450" s="39">
        <f t="shared" si="1128"/>
        <v>0</v>
      </c>
      <c r="IR450" s="39">
        <v>0</v>
      </c>
      <c r="IS450" s="39">
        <v>0</v>
      </c>
      <c r="IT450" s="39">
        <v>0</v>
      </c>
      <c r="IU450" s="39">
        <v>0</v>
      </c>
      <c r="IV450" s="39">
        <v>0</v>
      </c>
      <c r="IW450" s="39">
        <v>0</v>
      </c>
      <c r="IX450" s="39">
        <f>INDEX(Input!$1:$1048576,IX$93,$C450*2+6)+INDEX(Input!$1:$1048576,IX$94,$C450*2+6)</f>
        <v>1770</v>
      </c>
      <c r="IY450" s="39">
        <f>INDEX(Input!$1:$1048576,IY$93,$C450*2+6)+INDEX(Input!$1:$1048576,IY$94,$C450*2+6)</f>
        <v>2630.0624533823611</v>
      </c>
      <c r="IZ450" s="39">
        <f>INDEX(Input!$1:$1048576,IZ$93,$C450*2+6)+INDEX(Input!$1:$1048576,IZ$94,$C450*2+6)</f>
        <v>4153.7164157747848</v>
      </c>
      <c r="JA450" s="19">
        <f t="shared" si="1146"/>
        <v>3050</v>
      </c>
      <c r="JB450" s="19">
        <f t="shared" si="1147"/>
        <v>2910.4099330603012</v>
      </c>
      <c r="JC450" s="19">
        <f t="shared" si="1148"/>
        <v>4058.7164157747848</v>
      </c>
      <c r="JD450" s="19">
        <f t="shared" si="1149"/>
        <v>3013.8901616720987</v>
      </c>
      <c r="JE450" s="21"/>
      <c r="JF450" s="1">
        <f t="shared" si="1129"/>
        <v>3.2545831732385969E-2</v>
      </c>
      <c r="JG450" s="15">
        <f>INDEX(Input!$1:$1048576,JG$93,$C450*2+6)/(1+VLOOKUP(C450*1000+INDEX(Input!$1:$1048576,JG$93+1,$C450*2+6),$A:$KK,$JK$92,FALSE))</f>
        <v>2329</v>
      </c>
      <c r="JH450" s="1">
        <f t="shared" si="1150"/>
        <v>0.1464737426550729</v>
      </c>
      <c r="JI450" s="1">
        <f t="shared" si="1151"/>
        <v>-5.2180750632389715E-2</v>
      </c>
      <c r="JJ450" s="1">
        <f t="shared" si="1211"/>
        <v>0</v>
      </c>
      <c r="JK450" s="1">
        <f t="shared" si="1212"/>
        <v>9.4292992022683181E-2</v>
      </c>
      <c r="JL450" s="15">
        <f t="shared" si="1154"/>
        <v>219.60837842082913</v>
      </c>
      <c r="JM450" s="15">
        <f t="shared" si="1180"/>
        <v>2548.608378420829</v>
      </c>
      <c r="JN450" s="21"/>
      <c r="JO450" s="19">
        <f>INDEX(Input!$1:$1048576,JO$93,$C450*2+6)</f>
        <v>5995.5</v>
      </c>
      <c r="JP450" s="19">
        <f>INDEX(Input!$1:$1048576,JP$93,$C450*2+6)</f>
        <v>2341.8685758720158</v>
      </c>
      <c r="JQ450" s="39">
        <f t="shared" si="1166"/>
        <v>2981.6098383279013</v>
      </c>
      <c r="JR450" s="39">
        <f t="shared" si="1183"/>
        <v>672.0215858000829</v>
      </c>
      <c r="JS450" s="39">
        <f t="shared" si="1168"/>
        <v>7.6812257176776173</v>
      </c>
      <c r="JT450" s="39">
        <f t="shared" si="1156"/>
        <v>2.2270138044716932</v>
      </c>
      <c r="JU450" s="385">
        <f>(JQ450*JM450-INDEX(Input!$1:$1048576,Input!A$18,$C450*2+6)*JL450*INDEX(Input!$1:$1048576,Input!A$19,$C450*2+6))/1000000</f>
        <v>7.5989558151444623</v>
      </c>
      <c r="JV450" s="39">
        <f t="shared" si="1190"/>
        <v>-0.91035177164961212</v>
      </c>
      <c r="JW450" s="1">
        <f t="shared" si="1181"/>
        <v>-0.10698306088528547</v>
      </c>
      <c r="JX450" s="19">
        <f t="shared" si="1172"/>
        <v>10140.841713261649</v>
      </c>
      <c r="JZ450" s="341"/>
      <c r="KA450" s="342"/>
      <c r="KB450" s="469">
        <f t="shared" si="1169"/>
        <v>2.3434325605641804</v>
      </c>
      <c r="KI450" s="473">
        <f t="shared" si="1235"/>
        <v>255.72590067169699</v>
      </c>
      <c r="KJ450" s="473">
        <f t="shared" si="1236"/>
        <v>6.0105446695145019</v>
      </c>
      <c r="KK450" s="473">
        <f t="shared" si="1158"/>
        <v>-42.128066920382608</v>
      </c>
      <c r="KN450" s="544">
        <f t="shared" si="1173"/>
        <v>4002</v>
      </c>
      <c r="KO450" s="541">
        <f t="shared" si="1133"/>
        <v>5.3748434812993739E-2</v>
      </c>
      <c r="KP450" s="546">
        <f t="shared" si="1134"/>
        <v>479.10821775043888</v>
      </c>
      <c r="KQ450" s="546">
        <f t="shared" si="1135"/>
        <v>389.1189736360775</v>
      </c>
      <c r="KR450" s="548">
        <f t="shared" si="1136"/>
        <v>1.9475456526703394</v>
      </c>
      <c r="KS450" s="548">
        <f t="shared" si="1137"/>
        <v>2.3979430196358584</v>
      </c>
      <c r="KT450" s="473">
        <f t="shared" si="1171"/>
        <v>1580.0986321700548</v>
      </c>
      <c r="KU450" s="663">
        <f t="shared" si="1159"/>
        <v>4.064450817944584</v>
      </c>
      <c r="KV450" s="117"/>
    </row>
    <row r="451" spans="1:308" s="26" customFormat="1" ht="15" outlineLevel="1">
      <c r="A451" s="561">
        <f t="shared" si="1138"/>
        <v>4051</v>
      </c>
      <c r="B451" s="561">
        <f t="shared" si="1160"/>
        <v>51</v>
      </c>
      <c r="C451" s="561">
        <f t="shared" si="1161"/>
        <v>4</v>
      </c>
      <c r="D451" s="561" t="str">
        <f t="shared" si="1206"/>
        <v xml:space="preserve">0/0/0.9/3.9, -360 Lease, </v>
      </c>
      <c r="E451" s="475">
        <f>INDEX(Input!$1:$1048576,E$93,$C451*2+MIN($B451,2)+5)
+INDEX(Scenarios!E$121:E$200,MATCH($B451,Scenarios!$B$121:$B$200,0))</f>
        <v>1256.832975525977</v>
      </c>
      <c r="F451" s="475">
        <f>INDEX(Input!$1:$1048576,F$93,$C451*2+MIN($B451,2)+5)
+INDEX(Scenarios!F$121:F$200,MATCH($B451,Scenarios!$B$121:$B$200,0))</f>
        <v>0</v>
      </c>
      <c r="G451" s="475">
        <f>INDEX(Input!$1:$1048576,G$93,$C451*2+MIN($B451,2)+5)
+INDEX(Scenarios!G$121:G$200,MATCH($B451,Scenarios!$B$121:$B$200,0))</f>
        <v>0</v>
      </c>
      <c r="H451" s="475">
        <f>INDEX(Input!$1:$1048576,H$93,$C451*2+MIN($B451,2)+5)
+INDEX(Scenarios!H$121:H$200,MATCH($B451,Scenarios!$B$121:$B$200,0))</f>
        <v>0</v>
      </c>
      <c r="I451" s="476">
        <f>INDEX(Input!$1:$1048576,I$93,$C451*2+MIN($B451,2)+5)</f>
        <v>0.7</v>
      </c>
      <c r="J451" s="476" t="str">
        <f>INDEX(Input!$1:$1048576,J$93,$C451*2+MIN($B451,2)+5)</f>
        <v>Market</v>
      </c>
      <c r="K451" s="476" t="str">
        <f>INDEX(Input!$1:$1048576,K$93,$C451*2+MIN($B451,2)+5)</f>
        <v>Market</v>
      </c>
      <c r="L451" s="476" t="str">
        <f>INDEX(Input!$1:$1048576,L$93,$C451*2+MIN($B451,2)+5)</f>
        <v>Market</v>
      </c>
      <c r="M451" s="476" t="str">
        <f>INDEX(Input!$1:$1048576,M$93,$C451*2+MIN($B451,2)+5)</f>
        <v>Market</v>
      </c>
      <c r="N451" s="476" t="str">
        <f>INDEX(Input!$1:$1048576,N$93,$C451*2+MIN($B451,2)+5)</f>
        <v>Market</v>
      </c>
      <c r="O451" s="476" t="str">
        <f>INDEX(Input!$1:$1048576,O$93,$C451*2+MIN($B451,2)+5)</f>
        <v>Market</v>
      </c>
      <c r="P451" s="476" t="str">
        <f>INDEX(Input!$1:$1048576,P$93,$C451*2+MIN($B451,2)+5)</f>
        <v>N</v>
      </c>
      <c r="Q451" s="477">
        <f>INDEX(Input!$1:$1048576,Q$93,$C451*2+MIN($B451,2)+5)
+INDEX(Scenarios!Q$121:Q$200,MATCH($B451,Scenarios!$B$121:$B$200,0))</f>
        <v>0</v>
      </c>
      <c r="R451" s="478">
        <f>IFERROR(MAX(0,INDEX(Input!$1:$1048576,R$93,$C451*2+MIN($B451,2)+5)
+INDEX(Scenarios!R$121:R$200,MATCH($B451,Scenarios!$B$121:$B$200,0)),),"Market")</f>
        <v>0</v>
      </c>
      <c r="S451" s="478">
        <f>IFERROR(MAX(0,INDEX(Input!$1:$1048576,S$93,$C451*2+MIN($B451,2)+5)
+INDEX(Scenarios!S$121:S$200,MATCH($B451,Scenarios!$B$121:$B$200,0)),),"Market")</f>
        <v>0</v>
      </c>
      <c r="T451" s="478">
        <f>IFERROR(MAX(0,INDEX(Input!$1:$1048576,T$93,$C451*2+MIN($B451,2)+5)
+INDEX(Scenarios!T$121:T$200,MATCH($B451,Scenarios!$B$121:$B$200,0)),),"Market")</f>
        <v>0</v>
      </c>
      <c r="U451" s="478">
        <f>IFERROR(MAX(0,INDEX(Input!$1:$1048576,U$93,$C451*2+MIN($B451,2)+5)
+INDEX(Scenarios!U$121:U$200,MATCH($B451,Scenarios!$B$121:$B$200,0)),),"Market")</f>
        <v>0</v>
      </c>
      <c r="V451" s="478">
        <f>IFERROR(MAX(0,INDEX(Input!$1:$1048576,V$93,$C451*2+MIN($B451,2)+5)
+INDEX(Scenarios!V$121:V$200,MATCH($B451,Scenarios!$B$121:$B$200,0)),),"Market")</f>
        <v>8.9999999999999993E-3</v>
      </c>
      <c r="W451" s="885">
        <f>IFERROR(MAX(0,INDEX(Input!$1:$1048576,W$93,$C451*2+MIN($B451,2)+5)-0%,),"Market")</f>
        <v>3.9E-2</v>
      </c>
      <c r="X451" s="476" t="str">
        <f>INDEX(Input!$1:$1048576,X$93,$C451*2+MIN($B451,2)+5)</f>
        <v>Y</v>
      </c>
      <c r="Y451" s="475">
        <f>INDEX(Input!$1:$1048576,Y$93,$C451*2+MIN($B451,2)+5)
++INDEX(Scenarios!Y$121:Y$200,MATCH($B451,Scenarios!$B$121:$B$200,0))</f>
        <v>-1230</v>
      </c>
      <c r="Z451" s="477">
        <f>INDEX(Input!$1:$1048576,Z$93,$C451*2+MIN($B451,2)+5)
+INDEX(Scenarios!Z$121:Z$200,MATCH($B451,Scenarios!$B$121:$B$200,0))</f>
        <v>0</v>
      </c>
      <c r="AA451" s="475">
        <f>INDEX(Input!$1:$1048576,AA$93,$C451*2+MIN($B451,2)+5)
+INDEX(Scenarios!AA$121:AA$200,MATCH($B451,Scenarios!$B$121:$B$200,0))</f>
        <v>0</v>
      </c>
      <c r="AB451" s="476">
        <f>INDEX(Input!$1:$1048576,AB$93,$C451*2+MIN($B451,2)+5)</f>
        <v>0.27</v>
      </c>
      <c r="AC451" s="475">
        <f>INDEX(Input!$1:$1048576,AC$93,$C451*2+MIN($B451,2)+5)
+INDEX(Scenarios!AC$121:AC$200,MATCH($B451,Scenarios!$B$121:$B$200,0))</f>
        <v>0</v>
      </c>
      <c r="AD451" s="476">
        <f>INDEX(Input!$1:$1048576,AD$93,$C451*2+MIN($B451,2)+5)</f>
        <v>0.27</v>
      </c>
      <c r="AE451" s="475">
        <f>INDEX(Input!$1:$1048576,AE$93,$C451*2+MIN($B451,2)+5)
+INDEX(Scenarios!AE$121:AE$200,MATCH($B451,Scenarios!$B$121:$B$200,0))</f>
        <v>0</v>
      </c>
      <c r="AF451" s="476">
        <f>INDEX(Input!$1:$1048576,AF$93,$C451*2+MIN($B451,2)+5)</f>
        <v>1</v>
      </c>
      <c r="AG451" s="475">
        <f>INDEX(Input!$1:$1048576,AG$93,$C451*2+MIN($B451,2)+5)
+INDEX(Scenarios!AG$121:AG$200,MATCH($B451,Scenarios!$B$121:$B$200,0))</f>
        <v>500</v>
      </c>
      <c r="AH451" s="476">
        <f>INDEX(Input!$1:$1048576,AH$93,$C451*2+MIN($B451,2)+5)</f>
        <v>0.83199999999999996</v>
      </c>
      <c r="AI451" s="475">
        <f>INDEX(Input!$1:$1048576,AI$93,$C451*2+MIN($B451,2)+5)
+INDEX(Scenarios!AI$121:AI$200,MATCH($B451,Scenarios!$B$121:$B$200,0))</f>
        <v>0</v>
      </c>
      <c r="AJ451" s="476">
        <f>INDEX(Input!$1:$1048576,AJ$93,$C451*2+MIN($B451,2)+5)</f>
        <v>0.27</v>
      </c>
      <c r="AK451" s="150">
        <f>ROUND(INDEX(Input!$1:$1048576,AK$93,$C450*2+MIN($B451,1)+5)+(Y451-VLOOKUP($C451*1000+1,$A:$HH,Y$92,FALSE)),0)</f>
        <v>2227</v>
      </c>
      <c r="AL451" s="150">
        <f>ROUND(INDEX(Input!$1:$1048576,AL$93,$C450*2+MIN($B451,1)+5)-(Y451-VLOOKUP($C451*1000+1,$A:$HH,Y$92,FALSE))/36,0)</f>
        <v>3416</v>
      </c>
      <c r="AM451" s="32" t="str">
        <f t="shared" si="1139"/>
        <v>std/std/std/std</v>
      </c>
      <c r="AN451" s="32" t="str">
        <f t="shared" si="1140"/>
        <v>$0 + 0/0/0/0.9/3.9</v>
      </c>
      <c r="AO451" s="32" t="str">
        <f t="shared" si="1141"/>
        <v>0/0/0/0.9/3.9</v>
      </c>
      <c r="AP451" s="32" t="str">
        <f t="shared" si="1213"/>
        <v>0/0/0.9/3.9</v>
      </c>
      <c r="AQ451" s="536">
        <f t="shared" si="1207"/>
        <v>0.41225369836241471</v>
      </c>
      <c r="AR451" s="32"/>
      <c r="AS451" s="302"/>
      <c r="AT451" s="3">
        <f t="shared" si="1162"/>
        <v>51</v>
      </c>
      <c r="AU451" s="41" t="s">
        <v>121</v>
      </c>
      <c r="AV451" s="41" t="s">
        <v>116</v>
      </c>
      <c r="AW451" s="41" t="str">
        <f>INDEX(Input!$1:$1048576,AW$93,$C451*2+6)</f>
        <v>Kia</v>
      </c>
      <c r="AX451" s="41" t="str">
        <f>INDEX(Input!$1:$1048576,AX$93,$C451*2+6)</f>
        <v>Kia-LR - R1</v>
      </c>
      <c r="AY451" s="41" t="str">
        <f>IF(LEN(D451)=0,"",INDEX(Input!$1:$1048576,AY$93,$C451*2+6))</f>
        <v>Compact SUV (52)</v>
      </c>
      <c r="AZ451" s="41" t="str">
        <f>INDEX(Input!$1:$1048576,AZ$93,$C451*2+6)</f>
        <v>Kia Soul</v>
      </c>
      <c r="BA451" s="3">
        <f>INDEX(Input!$1:$1048576,BA$93,$C451*2+6)</f>
        <v>2020</v>
      </c>
      <c r="BB451" s="128">
        <f>INDEX(Input!$1:$1048576,BB$93,$C451*2+6)</f>
        <v>1</v>
      </c>
      <c r="BC451" s="128">
        <f>INDEX(Input!$1:$1048576,BC$93,$C451*2+6)</f>
        <v>0.7</v>
      </c>
      <c r="BD451" s="1">
        <f>INDEX(Input!$1:$1048576,BD$93,$C451*2+6)</f>
        <v>4.4999999999999998E-2</v>
      </c>
      <c r="BE451" s="1">
        <f>INDEX(Input!$1:$1048576,BE$93,$C451*2+6)</f>
        <v>4.4999999999999998E-2</v>
      </c>
      <c r="BF451" s="1">
        <f>INDEX(Input!$1:$1048576,BF$93,$C451*2+6)</f>
        <v>0.05</v>
      </c>
      <c r="BG451" s="1">
        <f>INDEX(Input!$1:$1048576,BG$93,$C451*2+6)</f>
        <v>5.45E-2</v>
      </c>
      <c r="BH451" s="1">
        <f>INDEX(Input!$1:$1048576,BH$93,$C451*2+6)</f>
        <v>5.45E-2</v>
      </c>
      <c r="BI451" s="1">
        <f>INDEX(Input!$1:$1048576,BI$93,$C451*2+6)</f>
        <v>0.05</v>
      </c>
      <c r="BJ451" s="1">
        <f>INDEX(Input!$1:$1048576,BJ$93,$C451*2+6)</f>
        <v>0.05</v>
      </c>
      <c r="BK451" s="1">
        <f>INDEX(Input!$1:$1048576,BK$93,$C451*2+6)</f>
        <v>0.05</v>
      </c>
      <c r="BL451" s="1">
        <f>INDEX(Input!$1:$1048576,BL$93,$C451*2+6)</f>
        <v>5.5E-2</v>
      </c>
      <c r="BM451" s="1">
        <f>INDEX(Input!$1:$1048576,BM$93,$C451*2+6)</f>
        <v>0.06</v>
      </c>
      <c r="BN451" s="1">
        <f>INDEX(Input!$1:$1048576,BN$93,$C451*2+6)</f>
        <v>4.4999999999999998E-2</v>
      </c>
      <c r="BO451" s="1">
        <f>INDEX(Input!$1:$1048576,BO$93,$C451*2+6)</f>
        <v>4.4999999999999998E-2</v>
      </c>
      <c r="BP451" s="1">
        <f>INDEX(Input!$1:$1048576,BP$93,$C451*2+6)</f>
        <v>0.05</v>
      </c>
      <c r="BQ451" s="1">
        <f>INDEX(Input!$1:$1048576,BQ$93,$C451*2+6)</f>
        <v>5.45E-2</v>
      </c>
      <c r="BR451" s="1">
        <f>INDEX(Input!$1:$1048576,BR$93,$C451*2+6)</f>
        <v>5.45E-2</v>
      </c>
      <c r="BS451" s="1">
        <f>INDEX(Input!$1:$1048576,BS$93,$C451*2+6)</f>
        <v>0.05</v>
      </c>
      <c r="BT451" s="1">
        <f>INDEX(Input!$1:$1048576,BT$93,$C451*2+6)</f>
        <v>0.05</v>
      </c>
      <c r="BU451" s="1">
        <f>INDEX(Input!$1:$1048576,BU$93,$C451*2+6)</f>
        <v>0.05</v>
      </c>
      <c r="BV451" s="1">
        <f>INDEX(Input!$1:$1048576,BV$93,$C451*2+6)</f>
        <v>5.5E-2</v>
      </c>
      <c r="BW451" s="1">
        <f>INDEX(Input!$1:$1048576,BW$93,$C451*2+6)</f>
        <v>0.06</v>
      </c>
      <c r="BX451" s="127">
        <f>INDEX(Input!$1:$1048576,BX$93,$C451*2+6)</f>
        <v>19985</v>
      </c>
      <c r="BY451" s="20">
        <f>INDEX(Input!$1:$1048576,BY$93,$C451*2+6)</f>
        <v>0.1</v>
      </c>
      <c r="BZ451" s="20">
        <f>INDEX(Input!$1:$1048576,BZ$93,$C451*2+6)</f>
        <v>0.1</v>
      </c>
      <c r="CA451" s="20">
        <f>INDEX(Input!$1:$1048576,CA$93,$C451*2+6)</f>
        <v>0.1</v>
      </c>
      <c r="CB451" s="20">
        <f>INDEX(Input!$1:$1048576,CB$93,$C451*2+6)</f>
        <v>0.1</v>
      </c>
      <c r="CC451" s="20">
        <f>INDEX(Input!$1:$1048576,CC$93,$C451*2+6)</f>
        <v>0.1</v>
      </c>
      <c r="CD451" s="384">
        <f>INDEX(Input!$1:$1048576,CD$93,$C451*2+6)</f>
        <v>0.1</v>
      </c>
      <c r="CE451" s="384">
        <f>INDEX(Input!$1:$1048576,CE$93,$C451*2+6)</f>
        <v>0.1</v>
      </c>
      <c r="CF451" s="384">
        <f>INDEX(Input!$1:$1048576,CF$93,$C451*2+6)</f>
        <v>0.1</v>
      </c>
      <c r="CG451" s="384">
        <f>INDEX(Input!$1:$1048576,CG$93,$C451*2+6)</f>
        <v>0.1</v>
      </c>
      <c r="CH451" s="384">
        <f>INDEX(Input!$1:$1048576,CH$93,$C451*2+6)</f>
        <v>0.1</v>
      </c>
      <c r="CI451" s="304">
        <f t="shared" si="1214"/>
        <v>1256.832975525977</v>
      </c>
      <c r="CJ451" s="16" t="str">
        <f>INDEX(Input!$1:$1048576,CJ$93,$C451*2+6)</f>
        <v>N</v>
      </c>
      <c r="CK451" s="1" t="str">
        <f t="shared" si="1215"/>
        <v>Market</v>
      </c>
      <c r="CL451" s="1" t="str">
        <f t="shared" si="1216"/>
        <v>Market</v>
      </c>
      <c r="CM451" s="1" t="str">
        <f t="shared" si="1217"/>
        <v>Market</v>
      </c>
      <c r="CN451" s="1" t="str">
        <f t="shared" si="1218"/>
        <v>Market</v>
      </c>
      <c r="CO451" s="1" t="str">
        <f t="shared" si="1219"/>
        <v>Market</v>
      </c>
      <c r="CP451" s="304">
        <f t="shared" si="1220"/>
        <v>416</v>
      </c>
      <c r="CQ451" s="1">
        <f t="shared" si="1221"/>
        <v>0</v>
      </c>
      <c r="CR451" s="1">
        <f t="shared" si="1222"/>
        <v>0</v>
      </c>
      <c r="CS451" s="1">
        <f t="shared" si="1223"/>
        <v>0</v>
      </c>
      <c r="CT451" s="1">
        <f t="shared" si="1224"/>
        <v>8.9999999999999993E-3</v>
      </c>
      <c r="CU451" s="1">
        <f t="shared" si="1225"/>
        <v>3.9E-2</v>
      </c>
      <c r="CV451" s="304">
        <f t="shared" si="1226"/>
        <v>-1230</v>
      </c>
      <c r="CW451" s="20" t="s">
        <v>122</v>
      </c>
      <c r="CX451" s="20" t="s">
        <v>122</v>
      </c>
      <c r="CY451" s="20" t="s">
        <v>122</v>
      </c>
      <c r="CZ451" s="20" t="s">
        <v>122</v>
      </c>
      <c r="DA451" s="20" t="s">
        <v>122</v>
      </c>
      <c r="DB451" s="503">
        <f t="shared" si="1227"/>
        <v>0</v>
      </c>
      <c r="DC451" s="127">
        <v>0</v>
      </c>
      <c r="DD451" s="127">
        <v>0</v>
      </c>
      <c r="DE451" s="127">
        <v>0</v>
      </c>
      <c r="DF451" s="127">
        <v>0</v>
      </c>
      <c r="DG451" s="127">
        <v>0</v>
      </c>
      <c r="DH451" s="127">
        <v>0</v>
      </c>
      <c r="DI451" s="127">
        <v>0</v>
      </c>
      <c r="DJ451" s="127">
        <v>0</v>
      </c>
      <c r="DK451" s="127">
        <v>0</v>
      </c>
      <c r="DL451" s="127">
        <v>0</v>
      </c>
      <c r="DM451" s="304">
        <f>INDEX(Input!$1:$1048576,DM$93,$C451*2+6)</f>
        <v>21036.84210526316</v>
      </c>
      <c r="DN451" s="20">
        <v>0</v>
      </c>
      <c r="DO451" s="20">
        <v>0</v>
      </c>
      <c r="DP451" s="20">
        <v>0</v>
      </c>
      <c r="DQ451" s="20">
        <v>0</v>
      </c>
      <c r="DR451" s="20">
        <v>0</v>
      </c>
      <c r="DS451" s="20">
        <f>INDEX(Input!$1:$1048576,DS$93,$C451*2+6)</f>
        <v>0.6</v>
      </c>
      <c r="DT451" s="20">
        <f>INDEX(Input!$1:$1048576,DT$93,$C451*2+6)</f>
        <v>0.55000000000000004</v>
      </c>
      <c r="DU451" s="20">
        <f>INDEX(Input!$1:$1048576,DU$93,$C451*2+6)</f>
        <v>0.52</v>
      </c>
      <c r="DV451" s="20">
        <f>INDEX(Input!$1:$1048576,DV$93,$C451*2+6)</f>
        <v>0.5</v>
      </c>
      <c r="DW451" s="20">
        <f>INDEX(Input!$1:$1048576,DW$93,$C451*2+6)</f>
        <v>0.45</v>
      </c>
      <c r="DX451" s="20"/>
      <c r="DY451" s="7">
        <v>0.10249872582797387</v>
      </c>
      <c r="DZ451" s="7">
        <v>0</v>
      </c>
      <c r="EA451" s="7">
        <v>0.79826273336547082</v>
      </c>
      <c r="EB451" s="7">
        <v>0</v>
      </c>
      <c r="EC451" s="7">
        <v>0</v>
      </c>
      <c r="ED451" s="7">
        <v>0</v>
      </c>
      <c r="EE451" s="7">
        <v>0</v>
      </c>
      <c r="EF451" s="7">
        <v>0</v>
      </c>
      <c r="EG451" s="7">
        <v>0</v>
      </c>
      <c r="EH451" s="7">
        <v>9.5172327210700635E-3</v>
      </c>
      <c r="EI451" s="7">
        <v>2.4867422034162659E-2</v>
      </c>
      <c r="EJ451" s="7">
        <v>0.17450204828213636</v>
      </c>
      <c r="EK451" s="7">
        <v>0.68453436684065161</v>
      </c>
      <c r="EL451" s="7">
        <v>0.10657893012197914</v>
      </c>
      <c r="EM451" s="7">
        <v>5.5530816103179587E-2</v>
      </c>
      <c r="EN451" s="7">
        <v>4.9408055247929593E-2</v>
      </c>
      <c r="EO451" s="7">
        <v>0.70138096321380694</v>
      </c>
      <c r="EP451" s="7">
        <v>0.10817417722368236</v>
      </c>
      <c r="EQ451" s="7">
        <v>9.4963250119627418E-2</v>
      </c>
      <c r="ER451" s="7">
        <v>4.6073554194953605E-2</v>
      </c>
      <c r="ES451" s="7">
        <v>4.3707724703375805E-2</v>
      </c>
      <c r="ET451" s="7">
        <v>9.9238540806555323E-2</v>
      </c>
      <c r="EU451" s="6">
        <v>1770</v>
      </c>
      <c r="EV451" s="6">
        <v>0</v>
      </c>
      <c r="EW451" s="6">
        <v>1770</v>
      </c>
      <c r="EX451" s="6">
        <v>0</v>
      </c>
      <c r="EY451" s="6">
        <v>2824.2152512849984</v>
      </c>
      <c r="EZ451" s="6">
        <v>147</v>
      </c>
      <c r="FA451" s="6">
        <v>0</v>
      </c>
      <c r="FB451" s="6">
        <v>0</v>
      </c>
      <c r="FC451" s="6">
        <v>0</v>
      </c>
      <c r="FD451" s="6">
        <v>0</v>
      </c>
      <c r="FE451" s="6">
        <v>0</v>
      </c>
      <c r="FF451" s="6">
        <v>0</v>
      </c>
      <c r="FG451" s="6">
        <v>0</v>
      </c>
      <c r="FH451" s="6">
        <v>1169.8041905078371</v>
      </c>
      <c r="FI451" s="6">
        <v>1553.9796069512395</v>
      </c>
      <c r="FJ451" s="6">
        <v>2101.211011744741</v>
      </c>
      <c r="FK451" s="6">
        <v>2251.307834803466</v>
      </c>
      <c r="FL451" s="6">
        <v>907.07682140966313</v>
      </c>
      <c r="FM451" s="6">
        <v>2054.2152512849984</v>
      </c>
      <c r="FN451" s="6">
        <v>0</v>
      </c>
      <c r="FO451" s="6">
        <v>0</v>
      </c>
      <c r="FP451" s="6">
        <v>0</v>
      </c>
      <c r="FQ451" s="6">
        <v>0</v>
      </c>
      <c r="FR451" s="6">
        <v>0</v>
      </c>
      <c r="FS451" s="6">
        <v>0</v>
      </c>
      <c r="FT451" s="7">
        <v>0.90076145919344475</v>
      </c>
      <c r="FU451" s="7">
        <v>5.5530816103179587E-2</v>
      </c>
      <c r="FV451" s="7">
        <v>4.3707724703375805E-2</v>
      </c>
      <c r="FW451" s="6">
        <v>1769.9999999999998</v>
      </c>
      <c r="FX451" s="6">
        <v>2824.2152512849984</v>
      </c>
      <c r="FY451" s="6">
        <v>147</v>
      </c>
      <c r="FZ451" s="6">
        <v>1949.5716051445115</v>
      </c>
      <c r="GA451" s="6">
        <v>1757.6037960586955</v>
      </c>
      <c r="GB451" s="6">
        <v>18227.396203941305</v>
      </c>
      <c r="GC451" s="7">
        <v>3.3872851927908169E-2</v>
      </c>
      <c r="GD451" s="7">
        <v>3.3628381938654882E-2</v>
      </c>
      <c r="GE451" s="7"/>
      <c r="GF451" s="7"/>
      <c r="GG451" s="7">
        <v>-7.2172839114224797E-3</v>
      </c>
      <c r="GH451" s="42">
        <v>0.75136253133617459</v>
      </c>
      <c r="GI451" s="6">
        <v>28355.949024240279</v>
      </c>
      <c r="GJ451" s="14">
        <v>0.50394797582841699</v>
      </c>
      <c r="GK451" s="14">
        <v>0.50887573065309744</v>
      </c>
      <c r="GL451" s="14">
        <v>0.49605202417158301</v>
      </c>
      <c r="GM451" s="14">
        <v>0.49112426934690223</v>
      </c>
      <c r="GO451" s="5">
        <v>343.14810671672558</v>
      </c>
      <c r="GP451" s="5">
        <v>309.37988338875158</v>
      </c>
      <c r="GQ451" s="5">
        <v>535.04305713031317</v>
      </c>
      <c r="GR451" s="5">
        <v>410.15490233172511</v>
      </c>
      <c r="GS451" s="5">
        <v>339.42744393800166</v>
      </c>
      <c r="GT451" s="5">
        <v>293.4407446948278</v>
      </c>
      <c r="GU451" s="5">
        <v>258.04012322764959</v>
      </c>
      <c r="GV451" s="39" t="s">
        <v>392</v>
      </c>
      <c r="GW451" s="5">
        <v>478.23611111111109</v>
      </c>
      <c r="GX451" s="5">
        <v>358.67708333333331</v>
      </c>
      <c r="GY451" s="5">
        <v>286.94166666666666</v>
      </c>
      <c r="GZ451" s="5">
        <v>245.72198221012883</v>
      </c>
      <c r="HA451" s="5">
        <v>234.53733318419432</v>
      </c>
      <c r="HB451" s="39">
        <v>256.74464689659385</v>
      </c>
      <c r="HC451" s="5">
        <v>280.85312499999998</v>
      </c>
      <c r="HD451" s="5">
        <v>235.41580774853799</v>
      </c>
      <c r="HE451" s="5">
        <v>236.8873861336032</v>
      </c>
      <c r="HF451" s="5">
        <v>217.50938048245612</v>
      </c>
      <c r="HG451" s="5">
        <v>207.81388157894736</v>
      </c>
      <c r="HH451" s="39">
        <v>234.8477926381629</v>
      </c>
      <c r="HI451" s="16"/>
      <c r="HJ451" s="19" t="str">
        <f t="shared" ref="HJ451:HK466" si="1239">HJ450</f>
        <v>On</v>
      </c>
      <c r="HK451" s="1" t="str">
        <f t="shared" si="1239"/>
        <v>On</v>
      </c>
      <c r="HL451" s="16"/>
      <c r="HM451" s="639">
        <f t="shared" si="1110"/>
        <v>2.9403358434788716E-2</v>
      </c>
      <c r="HN451" s="639">
        <f t="shared" si="1111"/>
        <v>1.4106809950923669E-3</v>
      </c>
      <c r="HO451" s="639">
        <f t="shared" si="1112"/>
        <v>1.7317923025048877E-3</v>
      </c>
      <c r="HP451" s="644">
        <f>(FT451*$GD451-HM451)/$JF451*INDEX(Input!$1:$1048576,$JG$93,$C451*2+6)</f>
        <v>63.53094521972816</v>
      </c>
      <c r="HQ451" s="644">
        <f>(FU451*$GD451-HN451)/$JF451*INDEX(Input!$1:$1048576,$JG$93,$C451*2+6)</f>
        <v>32.683919066272367</v>
      </c>
      <c r="HR451" s="644">
        <f>(FV451*$GD451-HO451)/$JF451*INDEX(Input!$1:$1048576,$JG$93,$C451*2+6)</f>
        <v>-18.746896924409658</v>
      </c>
      <c r="HS451" s="644">
        <f t="shared" si="1233"/>
        <v>-36.9226599096556</v>
      </c>
      <c r="HT451" s="644">
        <f t="shared" si="1114"/>
        <v>102.35091399504769</v>
      </c>
      <c r="HU451" s="644">
        <f t="shared" si="1115"/>
        <v>1.3582074647225464</v>
      </c>
      <c r="HV451" s="648">
        <f t="shared" si="1116"/>
        <v>0</v>
      </c>
      <c r="HW451" s="648">
        <f t="shared" si="1117"/>
        <v>0</v>
      </c>
      <c r="HX451" s="648">
        <f t="shared" si="1118"/>
        <v>0</v>
      </c>
      <c r="HY451" s="644">
        <f>INDEX(Input!$1:$1048576,HY$93,$C451*2+6)*INDEX(Input!$1:$1048576,$JG$93,$C451*2+6)</f>
        <v>993</v>
      </c>
      <c r="HZ451" s="644">
        <f>INDEX(Input!$1:$1048576,HZ$93,$C451*2+6)*INDEX(Input!$1:$1048576,$JG$93,$C451*2+6)</f>
        <v>1216</v>
      </c>
      <c r="IA451" s="644">
        <f>INDEX(Input!$1:$1048576,IA$93,$C451*2+6)*INDEX(Input!$1:$1048576,$JG$93,$C451*2+6)</f>
        <v>120</v>
      </c>
      <c r="IB451" s="644">
        <f t="shared" si="1142"/>
        <v>1019.6082853100725</v>
      </c>
      <c r="IC451" s="644">
        <f t="shared" si="1143"/>
        <v>1351.0348330613201</v>
      </c>
      <c r="ID451" s="644">
        <f>IF(AND(INDEX(Input!$1:$1048576,IA$93,$C451*2+7)="TOS",Y451&lt;=INDEX(Y:Y,MATCH(C451*1000+2,A:A))),0,1)*MAX(IA451+HR451+HU451+HX451,0%)</f>
        <v>102.61131054031289</v>
      </c>
      <c r="IE451" s="128">
        <f t="shared" si="1238"/>
        <v>0.41225369836241471</v>
      </c>
      <c r="IF451" s="128">
        <f t="shared" si="1210"/>
        <v>0.54625792529392525</v>
      </c>
      <c r="IG451" s="128">
        <f t="shared" si="1120"/>
        <v>4.1488376343660066E-2</v>
      </c>
      <c r="IH451" s="21"/>
      <c r="II451" s="19">
        <f t="shared" si="1121"/>
        <v>1490</v>
      </c>
      <c r="IJ451" s="19">
        <f t="shared" si="1122"/>
        <v>2203.2561351629856</v>
      </c>
      <c r="IK451" s="19">
        <f t="shared" si="1123"/>
        <v>242</v>
      </c>
      <c r="IL451" s="19">
        <f t="shared" si="1145"/>
        <v>279.99999999999977</v>
      </c>
      <c r="IM451" s="19">
        <f t="shared" si="1124"/>
        <v>620.9591161220128</v>
      </c>
      <c r="IN451" s="19">
        <f t="shared" si="1125"/>
        <v>-95</v>
      </c>
      <c r="IO451" s="39">
        <f t="shared" si="1126"/>
        <v>0</v>
      </c>
      <c r="IP451" s="39">
        <f t="shared" si="1127"/>
        <v>0</v>
      </c>
      <c r="IQ451" s="39">
        <f t="shared" si="1128"/>
        <v>0</v>
      </c>
      <c r="IR451" s="39">
        <v>0</v>
      </c>
      <c r="IS451" s="39">
        <v>0</v>
      </c>
      <c r="IT451" s="39">
        <v>0</v>
      </c>
      <c r="IU451" s="39">
        <v>0</v>
      </c>
      <c r="IV451" s="39">
        <v>0</v>
      </c>
      <c r="IW451" s="39">
        <v>0</v>
      </c>
      <c r="IX451" s="39">
        <f>INDEX(Input!$1:$1048576,IX$93,$C451*2+6)+INDEX(Input!$1:$1048576,IX$94,$C451*2+6)</f>
        <v>1770</v>
      </c>
      <c r="IY451" s="39">
        <f>INDEX(Input!$1:$1048576,IY$93,$C451*2+6)+INDEX(Input!$1:$1048576,IY$94,$C451*2+6)</f>
        <v>2630.0624533823611</v>
      </c>
      <c r="IZ451" s="39">
        <f>INDEX(Input!$1:$1048576,IZ$93,$C451*2+6)+INDEX(Input!$1:$1048576,IZ$94,$C451*2+6)</f>
        <v>4153.7164157747848</v>
      </c>
      <c r="JA451" s="19">
        <f t="shared" si="1146"/>
        <v>2050</v>
      </c>
      <c r="JB451" s="19">
        <f t="shared" si="1147"/>
        <v>3251.0215695043739</v>
      </c>
      <c r="JC451" s="19">
        <f t="shared" si="1148"/>
        <v>4058.7164157747848</v>
      </c>
      <c r="JD451" s="19">
        <f t="shared" si="1149"/>
        <v>2789.4059334160652</v>
      </c>
      <c r="JE451" s="21"/>
      <c r="JF451" s="1">
        <f t="shared" si="1129"/>
        <v>3.2545831732385969E-2</v>
      </c>
      <c r="JG451" s="15">
        <f>INDEX(Input!$1:$1048576,JG$93,$C451*2+6)/(1+VLOOKUP(C451*1000+INDEX(Input!$1:$1048576,JG$93+1,$C451*2+6),$A:$KK,$JK$92,FALSE))</f>
        <v>2329</v>
      </c>
      <c r="JH451" s="1">
        <f t="shared" si="1150"/>
        <v>3.3262330339884447E-2</v>
      </c>
      <c r="JI451" s="1">
        <f t="shared" si="1151"/>
        <v>2.8676024710225262E-2</v>
      </c>
      <c r="JJ451" s="1">
        <f t="shared" si="1211"/>
        <v>0</v>
      </c>
      <c r="JK451" s="1">
        <f t="shared" si="1212"/>
        <v>6.1938355050109709E-2</v>
      </c>
      <c r="JL451" s="15">
        <f t="shared" si="1154"/>
        <v>144.2544289117055</v>
      </c>
      <c r="JM451" s="15">
        <f t="shared" si="1180"/>
        <v>2473.2544289117054</v>
      </c>
      <c r="JN451" s="21"/>
      <c r="JO451" s="19">
        <f>INDEX(Input!$1:$1048576,JO$93,$C451*2+6)</f>
        <v>5995.5</v>
      </c>
      <c r="JP451" s="19">
        <f>INDEX(Input!$1:$1048576,JP$93,$C451*2+6)</f>
        <v>2341.8685758720158</v>
      </c>
      <c r="JQ451" s="39">
        <f t="shared" si="1166"/>
        <v>3206.0940665839348</v>
      </c>
      <c r="JR451" s="39">
        <f t="shared" si="1183"/>
        <v>447.53735754404943</v>
      </c>
      <c r="JS451" s="39">
        <f t="shared" si="1168"/>
        <v>6.8989105788538723</v>
      </c>
      <c r="JT451" s="39">
        <f t="shared" si="1156"/>
        <v>1.4446986656479481</v>
      </c>
      <c r="JU451" s="385">
        <f>(JQ451*JM451-INDEX(Input!$1:$1048576,Input!A$18,$C451*2+6)*JL451*INDEX(Input!$1:$1048576,Input!A$19,$C451*2+6))/1000000</f>
        <v>7.9294863496862567</v>
      </c>
      <c r="JV451" s="39">
        <f t="shared" si="1190"/>
        <v>-0.57982123710781774</v>
      </c>
      <c r="JW451" s="1">
        <f t="shared" si="1181"/>
        <v>-6.8139649577089553E-2</v>
      </c>
      <c r="JX451" s="19">
        <f t="shared" si="1172"/>
        <v>10014.93456074206</v>
      </c>
      <c r="JZ451" s="341"/>
      <c r="KA451" s="342"/>
      <c r="KB451" s="469">
        <f t="shared" si="1169"/>
        <v>2.3434325605641804</v>
      </c>
      <c r="KI451" s="473">
        <f t="shared" si="1235"/>
        <v>26.608285310072461</v>
      </c>
      <c r="KJ451" s="473">
        <f t="shared" si="1236"/>
        <v>135.03483306132011</v>
      </c>
      <c r="KK451" s="473">
        <f t="shared" si="1158"/>
        <v>-17.388689459687114</v>
      </c>
      <c r="KN451" s="544">
        <f t="shared" si="1173"/>
        <v>4002</v>
      </c>
      <c r="KO451" s="541">
        <f t="shared" si="1133"/>
        <v>2.259256676181165E-2</v>
      </c>
      <c r="KP451" s="546">
        <f t="shared" si="1134"/>
        <v>171.29014042953247</v>
      </c>
      <c r="KQ451" s="546">
        <f t="shared" si="1135"/>
        <v>164.63474538004402</v>
      </c>
      <c r="KR451" s="548">
        <f t="shared" si="1136"/>
        <v>2.2897530905812737</v>
      </c>
      <c r="KS451" s="548">
        <f t="shared" si="1137"/>
        <v>2.3823168525528255</v>
      </c>
      <c r="KT451" s="473">
        <f t="shared" si="1171"/>
        <v>1580.0986321700548</v>
      </c>
      <c r="KU451" s="663">
        <f t="shared" si="1159"/>
        <v>4.0498685336841698</v>
      </c>
      <c r="KV451" s="117"/>
    </row>
    <row r="452" spans="1:308" s="26" customFormat="1" ht="15" outlineLevel="1">
      <c r="A452" s="561">
        <f t="shared" si="1138"/>
        <v>4052</v>
      </c>
      <c r="B452" s="561">
        <f t="shared" si="1160"/>
        <v>52</v>
      </c>
      <c r="C452" s="561">
        <f t="shared" si="1161"/>
        <v>4</v>
      </c>
      <c r="D452" s="561" t="str">
        <f t="shared" si="1206"/>
        <v xml:space="preserve">0/0/0/3.9, -360 Lease, </v>
      </c>
      <c r="E452" s="475">
        <f>INDEX(Input!$1:$1048576,E$93,$C452*2+MIN($B452,2)+5)
+INDEX(Scenarios!E$121:E$200,MATCH($B452,Scenarios!$B$121:$B$200,0))</f>
        <v>1256.832975525977</v>
      </c>
      <c r="F452" s="475">
        <f>INDEX(Input!$1:$1048576,F$93,$C452*2+MIN($B452,2)+5)
+INDEX(Scenarios!F$121:F$200,MATCH($B452,Scenarios!$B$121:$B$200,0))</f>
        <v>0</v>
      </c>
      <c r="G452" s="475">
        <f>INDEX(Input!$1:$1048576,G$93,$C452*2+MIN($B452,2)+5)
+INDEX(Scenarios!G$121:G$200,MATCH($B452,Scenarios!$B$121:$B$200,0))</f>
        <v>0</v>
      </c>
      <c r="H452" s="475">
        <f>INDEX(Input!$1:$1048576,H$93,$C452*2+MIN($B452,2)+5)
+INDEX(Scenarios!H$121:H$200,MATCH($B452,Scenarios!$B$121:$B$200,0))</f>
        <v>0</v>
      </c>
      <c r="I452" s="476">
        <f>INDEX(Input!$1:$1048576,I$93,$C452*2+MIN($B452,2)+5)</f>
        <v>0.7</v>
      </c>
      <c r="J452" s="476" t="str">
        <f>INDEX(Input!$1:$1048576,J$93,$C452*2+MIN($B452,2)+5)</f>
        <v>Market</v>
      </c>
      <c r="K452" s="476" t="str">
        <f>INDEX(Input!$1:$1048576,K$93,$C452*2+MIN($B452,2)+5)</f>
        <v>Market</v>
      </c>
      <c r="L452" s="476" t="str">
        <f>INDEX(Input!$1:$1048576,L$93,$C452*2+MIN($B452,2)+5)</f>
        <v>Market</v>
      </c>
      <c r="M452" s="476" t="str">
        <f>INDEX(Input!$1:$1048576,M$93,$C452*2+MIN($B452,2)+5)</f>
        <v>Market</v>
      </c>
      <c r="N452" s="476" t="str">
        <f>INDEX(Input!$1:$1048576,N$93,$C452*2+MIN($B452,2)+5)</f>
        <v>Market</v>
      </c>
      <c r="O452" s="476" t="str">
        <f>INDEX(Input!$1:$1048576,O$93,$C452*2+MIN($B452,2)+5)</f>
        <v>Market</v>
      </c>
      <c r="P452" s="476" t="str">
        <f>INDEX(Input!$1:$1048576,P$93,$C452*2+MIN($B452,2)+5)</f>
        <v>N</v>
      </c>
      <c r="Q452" s="477">
        <f>INDEX(Input!$1:$1048576,Q$93,$C452*2+MIN($B452,2)+5)
+INDEX(Scenarios!Q$121:Q$200,MATCH($B452,Scenarios!$B$121:$B$200,0))</f>
        <v>0</v>
      </c>
      <c r="R452" s="478">
        <f>IFERROR(MAX(0,INDEX(Input!$1:$1048576,R$93,$C452*2+MIN($B452,2)+5)
+INDEX(Scenarios!R$121:R$200,MATCH($B452,Scenarios!$B$121:$B$200,0)),),"Market")</f>
        <v>0</v>
      </c>
      <c r="S452" s="478">
        <f>IFERROR(MAX(0,INDEX(Input!$1:$1048576,S$93,$C452*2+MIN($B452,2)+5)
+INDEX(Scenarios!S$121:S$200,MATCH($B452,Scenarios!$B$121:$B$200,0)),),"Market")</f>
        <v>0</v>
      </c>
      <c r="T452" s="478">
        <f>IFERROR(MAX(0,INDEX(Input!$1:$1048576,T$93,$C452*2+MIN($B452,2)+5)
+INDEX(Scenarios!T$121:T$200,MATCH($B452,Scenarios!$B$121:$B$200,0)),),"Market")</f>
        <v>0</v>
      </c>
      <c r="U452" s="478">
        <f>IFERROR(MAX(0,INDEX(Input!$1:$1048576,U$93,$C452*2+MIN($B452,2)+5)
+INDEX(Scenarios!U$121:U$200,MATCH($B452,Scenarios!$B$121:$B$200,0)),),"Market")</f>
        <v>0</v>
      </c>
      <c r="V452" s="478">
        <f>IFERROR(MAX(0,INDEX(Input!$1:$1048576,V$93,$C452*2+MIN($B452,2)+5)
+INDEX(Scenarios!V$121:V$200,MATCH($B452,Scenarios!$B$121:$B$200,0)),),"Market")</f>
        <v>0</v>
      </c>
      <c r="W452" s="885">
        <f>IFERROR(MAX(0,INDEX(Input!$1:$1048576,W$93,$C452*2+MIN($B452,2)+5)-0%,),"Market")</f>
        <v>3.9E-2</v>
      </c>
      <c r="X452" s="476" t="str">
        <f>INDEX(Input!$1:$1048576,X$93,$C452*2+MIN($B452,2)+5)</f>
        <v>Y</v>
      </c>
      <c r="Y452" s="475">
        <f>INDEX(Input!$1:$1048576,Y$93,$C452*2+MIN($B452,2)+5)
++INDEX(Scenarios!Y$121:Y$200,MATCH($B452,Scenarios!$B$121:$B$200,0))</f>
        <v>-1230</v>
      </c>
      <c r="Z452" s="477">
        <f>INDEX(Input!$1:$1048576,Z$93,$C452*2+MIN($B452,2)+5)
+INDEX(Scenarios!Z$121:Z$200,MATCH($B452,Scenarios!$B$121:$B$200,0))</f>
        <v>0</v>
      </c>
      <c r="AA452" s="475">
        <f>INDEX(Input!$1:$1048576,AA$93,$C452*2+MIN($B452,2)+5)
+INDEX(Scenarios!AA$121:AA$200,MATCH($B452,Scenarios!$B$121:$B$200,0))</f>
        <v>0</v>
      </c>
      <c r="AB452" s="476">
        <f>INDEX(Input!$1:$1048576,AB$93,$C452*2+MIN($B452,2)+5)</f>
        <v>0.27</v>
      </c>
      <c r="AC452" s="475">
        <f>INDEX(Input!$1:$1048576,AC$93,$C452*2+MIN($B452,2)+5)
+INDEX(Scenarios!AC$121:AC$200,MATCH($B452,Scenarios!$B$121:$B$200,0))</f>
        <v>0</v>
      </c>
      <c r="AD452" s="476">
        <f>INDEX(Input!$1:$1048576,AD$93,$C452*2+MIN($B452,2)+5)</f>
        <v>0.27</v>
      </c>
      <c r="AE452" s="475">
        <f>INDEX(Input!$1:$1048576,AE$93,$C452*2+MIN($B452,2)+5)
+INDEX(Scenarios!AE$121:AE$200,MATCH($B452,Scenarios!$B$121:$B$200,0))</f>
        <v>0</v>
      </c>
      <c r="AF452" s="476">
        <f>INDEX(Input!$1:$1048576,AF$93,$C452*2+MIN($B452,2)+5)</f>
        <v>1</v>
      </c>
      <c r="AG452" s="475">
        <f>INDEX(Input!$1:$1048576,AG$93,$C452*2+MIN($B452,2)+5)
+INDEX(Scenarios!AG$121:AG$200,MATCH($B452,Scenarios!$B$121:$B$200,0))</f>
        <v>500</v>
      </c>
      <c r="AH452" s="476">
        <f>INDEX(Input!$1:$1048576,AH$93,$C452*2+MIN($B452,2)+5)</f>
        <v>0.83199999999999996</v>
      </c>
      <c r="AI452" s="475">
        <f>INDEX(Input!$1:$1048576,AI$93,$C452*2+MIN($B452,2)+5)
+INDEX(Scenarios!AI$121:AI$200,MATCH($B452,Scenarios!$B$121:$B$200,0))</f>
        <v>0</v>
      </c>
      <c r="AJ452" s="476">
        <f>INDEX(Input!$1:$1048576,AJ$93,$C452*2+MIN($B452,2)+5)</f>
        <v>0.27</v>
      </c>
      <c r="AK452" s="150">
        <f>ROUND(INDEX(Input!$1:$1048576,AK$93,$C451*2+MIN($B452,1)+5)+(Y452-VLOOKUP($C452*1000+1,$A:$HH,Y$92,FALSE)),0)</f>
        <v>2227</v>
      </c>
      <c r="AL452" s="150">
        <f>ROUND(INDEX(Input!$1:$1048576,AL$93,$C451*2+MIN($B452,1)+5)-(Y452-VLOOKUP($C452*1000+1,$A:$HH,Y$92,FALSE))/36,0)</f>
        <v>3416</v>
      </c>
      <c r="AM452" s="32" t="str">
        <f t="shared" si="1139"/>
        <v>std/std/std/std</v>
      </c>
      <c r="AN452" s="32" t="str">
        <f t="shared" si="1140"/>
        <v>$0 + 0/0/0/0/3.9</v>
      </c>
      <c r="AO452" s="32" t="str">
        <f t="shared" si="1141"/>
        <v>0/0/0/0/3.9</v>
      </c>
      <c r="AP452" s="32" t="str">
        <f t="shared" si="1213"/>
        <v>0/0/0/3.9</v>
      </c>
      <c r="AQ452" s="536">
        <f t="shared" si="1207"/>
        <v>0.39039432886122655</v>
      </c>
      <c r="AR452" s="32"/>
      <c r="AS452" s="302"/>
      <c r="AT452" s="3">
        <f t="shared" si="1162"/>
        <v>52</v>
      </c>
      <c r="AU452" s="41" t="s">
        <v>121</v>
      </c>
      <c r="AV452" s="41" t="s">
        <v>116</v>
      </c>
      <c r="AW452" s="41" t="str">
        <f>INDEX(Input!$1:$1048576,AW$93,$C452*2+6)</f>
        <v>Kia</v>
      </c>
      <c r="AX452" s="41" t="str">
        <f>INDEX(Input!$1:$1048576,AX$93,$C452*2+6)</f>
        <v>Kia-LR - R1</v>
      </c>
      <c r="AY452" s="41" t="str">
        <f>IF(LEN(D452)=0,"",INDEX(Input!$1:$1048576,AY$93,$C452*2+6))</f>
        <v>Compact SUV (52)</v>
      </c>
      <c r="AZ452" s="41" t="str">
        <f>INDEX(Input!$1:$1048576,AZ$93,$C452*2+6)</f>
        <v>Kia Soul</v>
      </c>
      <c r="BA452" s="3">
        <f>INDEX(Input!$1:$1048576,BA$93,$C452*2+6)</f>
        <v>2020</v>
      </c>
      <c r="BB452" s="128">
        <f>INDEX(Input!$1:$1048576,BB$93,$C452*2+6)</f>
        <v>1</v>
      </c>
      <c r="BC452" s="128">
        <f>INDEX(Input!$1:$1048576,BC$93,$C452*2+6)</f>
        <v>0.7</v>
      </c>
      <c r="BD452" s="1">
        <f>INDEX(Input!$1:$1048576,BD$93,$C452*2+6)</f>
        <v>4.4999999999999998E-2</v>
      </c>
      <c r="BE452" s="1">
        <f>INDEX(Input!$1:$1048576,BE$93,$C452*2+6)</f>
        <v>4.4999999999999998E-2</v>
      </c>
      <c r="BF452" s="1">
        <f>INDEX(Input!$1:$1048576,BF$93,$C452*2+6)</f>
        <v>0.05</v>
      </c>
      <c r="BG452" s="1">
        <f>INDEX(Input!$1:$1048576,BG$93,$C452*2+6)</f>
        <v>5.45E-2</v>
      </c>
      <c r="BH452" s="1">
        <f>INDEX(Input!$1:$1048576,BH$93,$C452*2+6)</f>
        <v>5.45E-2</v>
      </c>
      <c r="BI452" s="1">
        <f>INDEX(Input!$1:$1048576,BI$93,$C452*2+6)</f>
        <v>0.05</v>
      </c>
      <c r="BJ452" s="1">
        <f>INDEX(Input!$1:$1048576,BJ$93,$C452*2+6)</f>
        <v>0.05</v>
      </c>
      <c r="BK452" s="1">
        <f>INDEX(Input!$1:$1048576,BK$93,$C452*2+6)</f>
        <v>0.05</v>
      </c>
      <c r="BL452" s="1">
        <f>INDEX(Input!$1:$1048576,BL$93,$C452*2+6)</f>
        <v>5.5E-2</v>
      </c>
      <c r="BM452" s="1">
        <f>INDEX(Input!$1:$1048576,BM$93,$C452*2+6)</f>
        <v>0.06</v>
      </c>
      <c r="BN452" s="1">
        <f>INDEX(Input!$1:$1048576,BN$93,$C452*2+6)</f>
        <v>4.4999999999999998E-2</v>
      </c>
      <c r="BO452" s="1">
        <f>INDEX(Input!$1:$1048576,BO$93,$C452*2+6)</f>
        <v>4.4999999999999998E-2</v>
      </c>
      <c r="BP452" s="1">
        <f>INDEX(Input!$1:$1048576,BP$93,$C452*2+6)</f>
        <v>0.05</v>
      </c>
      <c r="BQ452" s="1">
        <f>INDEX(Input!$1:$1048576,BQ$93,$C452*2+6)</f>
        <v>5.45E-2</v>
      </c>
      <c r="BR452" s="1">
        <f>INDEX(Input!$1:$1048576,BR$93,$C452*2+6)</f>
        <v>5.45E-2</v>
      </c>
      <c r="BS452" s="1">
        <f>INDEX(Input!$1:$1048576,BS$93,$C452*2+6)</f>
        <v>0.05</v>
      </c>
      <c r="BT452" s="1">
        <f>INDEX(Input!$1:$1048576,BT$93,$C452*2+6)</f>
        <v>0.05</v>
      </c>
      <c r="BU452" s="1">
        <f>INDEX(Input!$1:$1048576,BU$93,$C452*2+6)</f>
        <v>0.05</v>
      </c>
      <c r="BV452" s="1">
        <f>INDEX(Input!$1:$1048576,BV$93,$C452*2+6)</f>
        <v>5.5E-2</v>
      </c>
      <c r="BW452" s="1">
        <f>INDEX(Input!$1:$1048576,BW$93,$C452*2+6)</f>
        <v>0.06</v>
      </c>
      <c r="BX452" s="127">
        <f>INDEX(Input!$1:$1048576,BX$93,$C452*2+6)</f>
        <v>19985</v>
      </c>
      <c r="BY452" s="20">
        <f>INDEX(Input!$1:$1048576,BY$93,$C452*2+6)</f>
        <v>0.1</v>
      </c>
      <c r="BZ452" s="20">
        <f>INDEX(Input!$1:$1048576,BZ$93,$C452*2+6)</f>
        <v>0.1</v>
      </c>
      <c r="CA452" s="20">
        <f>INDEX(Input!$1:$1048576,CA$93,$C452*2+6)</f>
        <v>0.1</v>
      </c>
      <c r="CB452" s="20">
        <f>INDEX(Input!$1:$1048576,CB$93,$C452*2+6)</f>
        <v>0.1</v>
      </c>
      <c r="CC452" s="20">
        <f>INDEX(Input!$1:$1048576,CC$93,$C452*2+6)</f>
        <v>0.1</v>
      </c>
      <c r="CD452" s="384">
        <f>INDEX(Input!$1:$1048576,CD$93,$C452*2+6)</f>
        <v>0.1</v>
      </c>
      <c r="CE452" s="384">
        <f>INDEX(Input!$1:$1048576,CE$93,$C452*2+6)</f>
        <v>0.1</v>
      </c>
      <c r="CF452" s="384">
        <f>INDEX(Input!$1:$1048576,CF$93,$C452*2+6)</f>
        <v>0.1</v>
      </c>
      <c r="CG452" s="384">
        <f>INDEX(Input!$1:$1048576,CG$93,$C452*2+6)</f>
        <v>0.1</v>
      </c>
      <c r="CH452" s="384">
        <f>INDEX(Input!$1:$1048576,CH$93,$C452*2+6)</f>
        <v>0.1</v>
      </c>
      <c r="CI452" s="304">
        <f t="shared" si="1214"/>
        <v>1256.832975525977</v>
      </c>
      <c r="CJ452" s="16" t="str">
        <f>INDEX(Input!$1:$1048576,CJ$93,$C452*2+6)</f>
        <v>N</v>
      </c>
      <c r="CK452" s="1" t="str">
        <f t="shared" si="1215"/>
        <v>Market</v>
      </c>
      <c r="CL452" s="1" t="str">
        <f t="shared" si="1216"/>
        <v>Market</v>
      </c>
      <c r="CM452" s="1" t="str">
        <f t="shared" si="1217"/>
        <v>Market</v>
      </c>
      <c r="CN452" s="1" t="str">
        <f t="shared" si="1218"/>
        <v>Market</v>
      </c>
      <c r="CO452" s="1" t="str">
        <f t="shared" si="1219"/>
        <v>Market</v>
      </c>
      <c r="CP452" s="304">
        <f t="shared" si="1220"/>
        <v>416</v>
      </c>
      <c r="CQ452" s="1">
        <f t="shared" si="1221"/>
        <v>0</v>
      </c>
      <c r="CR452" s="1">
        <f t="shared" si="1222"/>
        <v>0</v>
      </c>
      <c r="CS452" s="1">
        <f t="shared" si="1223"/>
        <v>0</v>
      </c>
      <c r="CT452" s="1">
        <f t="shared" si="1224"/>
        <v>0</v>
      </c>
      <c r="CU452" s="1">
        <f t="shared" si="1225"/>
        <v>3.9E-2</v>
      </c>
      <c r="CV452" s="304">
        <f t="shared" si="1226"/>
        <v>-1230</v>
      </c>
      <c r="CW452" s="20" t="s">
        <v>122</v>
      </c>
      <c r="CX452" s="20" t="s">
        <v>122</v>
      </c>
      <c r="CY452" s="20" t="s">
        <v>122</v>
      </c>
      <c r="CZ452" s="20" t="s">
        <v>122</v>
      </c>
      <c r="DA452" s="20" t="s">
        <v>122</v>
      </c>
      <c r="DB452" s="503">
        <f t="shared" si="1227"/>
        <v>0</v>
      </c>
      <c r="DC452" s="127">
        <v>0</v>
      </c>
      <c r="DD452" s="127">
        <v>0</v>
      </c>
      <c r="DE452" s="127">
        <v>0</v>
      </c>
      <c r="DF452" s="127">
        <v>0</v>
      </c>
      <c r="DG452" s="127">
        <v>0</v>
      </c>
      <c r="DH452" s="127">
        <v>0</v>
      </c>
      <c r="DI452" s="127">
        <v>0</v>
      </c>
      <c r="DJ452" s="127">
        <v>0</v>
      </c>
      <c r="DK452" s="127">
        <v>0</v>
      </c>
      <c r="DL452" s="127">
        <v>0</v>
      </c>
      <c r="DM452" s="304">
        <f>INDEX(Input!$1:$1048576,DM$93,$C452*2+6)</f>
        <v>21036.84210526316</v>
      </c>
      <c r="DN452" s="20">
        <v>0</v>
      </c>
      <c r="DO452" s="20">
        <v>0</v>
      </c>
      <c r="DP452" s="20">
        <v>0</v>
      </c>
      <c r="DQ452" s="20">
        <v>0</v>
      </c>
      <c r="DR452" s="20">
        <v>0</v>
      </c>
      <c r="DS452" s="20">
        <f>INDEX(Input!$1:$1048576,DS$93,$C452*2+6)</f>
        <v>0.6</v>
      </c>
      <c r="DT452" s="20">
        <f>INDEX(Input!$1:$1048576,DT$93,$C452*2+6)</f>
        <v>0.55000000000000004</v>
      </c>
      <c r="DU452" s="20">
        <f>INDEX(Input!$1:$1048576,DU$93,$C452*2+6)</f>
        <v>0.52</v>
      </c>
      <c r="DV452" s="20">
        <f>INDEX(Input!$1:$1048576,DV$93,$C452*2+6)</f>
        <v>0.5</v>
      </c>
      <c r="DW452" s="20">
        <f>INDEX(Input!$1:$1048576,DW$93,$C452*2+6)</f>
        <v>0.45</v>
      </c>
      <c r="DX452" s="20"/>
      <c r="DY452" s="7">
        <v>0.10086301695700987</v>
      </c>
      <c r="DZ452" s="7">
        <v>0</v>
      </c>
      <c r="EA452" s="7">
        <v>0.78574730611165633</v>
      </c>
      <c r="EB452" s="7">
        <v>0</v>
      </c>
      <c r="EC452" s="7">
        <v>0</v>
      </c>
      <c r="ED452" s="7">
        <v>0</v>
      </c>
      <c r="EE452" s="7">
        <v>0</v>
      </c>
      <c r="EF452" s="7">
        <v>0</v>
      </c>
      <c r="EG452" s="7">
        <v>0</v>
      </c>
      <c r="EH452" s="7">
        <v>7.381536801423557E-3</v>
      </c>
      <c r="EI452" s="7">
        <v>1.9289565955769871E-2</v>
      </c>
      <c r="EJ452" s="7">
        <v>0.13530222080176119</v>
      </c>
      <c r="EK452" s="7">
        <v>0.75528914014256798</v>
      </c>
      <c r="EL452" s="7">
        <v>8.2737536298477438E-2</v>
      </c>
      <c r="EM452" s="7">
        <v>7.0381363926700288E-2</v>
      </c>
      <c r="EN452" s="7">
        <v>4.9405354012334854E-2</v>
      </c>
      <c r="EO452" s="7">
        <v>0.70138763961715644</v>
      </c>
      <c r="EP452" s="7">
        <v>0.10818382966437171</v>
      </c>
      <c r="EQ452" s="7">
        <v>9.4969010174326435E-2</v>
      </c>
      <c r="ER452" s="7">
        <v>4.6054166531810284E-2</v>
      </c>
      <c r="ES452" s="7">
        <v>4.3008313004633605E-2</v>
      </c>
      <c r="ET452" s="7">
        <v>0.11338967693133382</v>
      </c>
      <c r="EU452" s="6">
        <v>1770</v>
      </c>
      <c r="EV452" s="6">
        <v>0</v>
      </c>
      <c r="EW452" s="6">
        <v>1770</v>
      </c>
      <c r="EX452" s="6">
        <v>0</v>
      </c>
      <c r="EY452" s="6">
        <v>3187.7530711053951</v>
      </c>
      <c r="EZ452" s="6">
        <v>147</v>
      </c>
      <c r="FA452" s="6">
        <v>0</v>
      </c>
      <c r="FB452" s="6">
        <v>0</v>
      </c>
      <c r="FC452" s="6">
        <v>0</v>
      </c>
      <c r="FD452" s="6">
        <v>0</v>
      </c>
      <c r="FE452" s="6">
        <v>0</v>
      </c>
      <c r="FF452" s="6">
        <v>0</v>
      </c>
      <c r="FG452" s="6">
        <v>0</v>
      </c>
      <c r="FH452" s="6">
        <v>1169.8065072215807</v>
      </c>
      <c r="FI452" s="6">
        <v>1553.9796069512404</v>
      </c>
      <c r="FJ452" s="6">
        <v>2101.2110117447401</v>
      </c>
      <c r="FK452" s="6">
        <v>2674.200626159226</v>
      </c>
      <c r="FL452" s="6">
        <v>907.07682140966392</v>
      </c>
      <c r="FM452" s="6">
        <v>2417.7530711053951</v>
      </c>
      <c r="FN452" s="6">
        <v>0</v>
      </c>
      <c r="FO452" s="6">
        <v>0</v>
      </c>
      <c r="FP452" s="6">
        <v>0</v>
      </c>
      <c r="FQ452" s="6">
        <v>0</v>
      </c>
      <c r="FR452" s="6">
        <v>0</v>
      </c>
      <c r="FS452" s="6">
        <v>0</v>
      </c>
      <c r="FT452" s="7">
        <v>0.88661032306866616</v>
      </c>
      <c r="FU452" s="7">
        <v>7.0381363926700288E-2</v>
      </c>
      <c r="FV452" s="7">
        <v>4.3008313004633605E-2</v>
      </c>
      <c r="FW452" s="6">
        <v>1770.0000000000002</v>
      </c>
      <c r="FX452" s="6">
        <v>3187.7530711053951</v>
      </c>
      <c r="FY452" s="6">
        <v>147</v>
      </c>
      <c r="FZ452" s="6">
        <v>1949.5716051445115</v>
      </c>
      <c r="GA452" s="6">
        <v>1799.9809028491457</v>
      </c>
      <c r="GB452" s="6">
        <v>18185.019097150853</v>
      </c>
      <c r="GC452" s="7">
        <v>3.3872851927908169E-2</v>
      </c>
      <c r="GD452" s="7">
        <v>3.3743810615565265E-2</v>
      </c>
      <c r="GE452" s="7"/>
      <c r="GF452" s="7"/>
      <c r="GG452" s="7">
        <v>-3.8095792057174409E-3</v>
      </c>
      <c r="GH452" s="42">
        <v>0.50895168789258105</v>
      </c>
      <c r="GI452" s="6">
        <v>41066.969254438991</v>
      </c>
      <c r="GJ452" s="14">
        <v>0.50394797582841733</v>
      </c>
      <c r="GK452" s="14">
        <v>0.50887573065309721</v>
      </c>
      <c r="GL452" s="14">
        <v>0.49605202417158267</v>
      </c>
      <c r="GM452" s="14">
        <v>0.49112426934690234</v>
      </c>
      <c r="GO452" s="5">
        <v>343.14810671672558</v>
      </c>
      <c r="GP452" s="5">
        <v>309.37988338875158</v>
      </c>
      <c r="GQ452" s="5">
        <v>535.04305713031317</v>
      </c>
      <c r="GR452" s="5">
        <v>410.15490233172511</v>
      </c>
      <c r="GS452" s="5">
        <v>339.42744393800166</v>
      </c>
      <c r="GT452" s="5">
        <v>293.4407446948278</v>
      </c>
      <c r="GU452" s="5">
        <v>258.04012322764959</v>
      </c>
      <c r="GV452" s="39" t="s">
        <v>392</v>
      </c>
      <c r="GW452" s="5">
        <v>478.23611111111109</v>
      </c>
      <c r="GX452" s="5">
        <v>358.67708333333331</v>
      </c>
      <c r="GY452" s="5">
        <v>286.94166666666666</v>
      </c>
      <c r="GZ452" s="5">
        <v>239.11805555555554</v>
      </c>
      <c r="HA452" s="5">
        <v>234.53733318419432</v>
      </c>
      <c r="HB452" s="39">
        <v>249.28099914107028</v>
      </c>
      <c r="HC452" s="5">
        <v>280.85312499999998</v>
      </c>
      <c r="HD452" s="5">
        <v>235.41580774853799</v>
      </c>
      <c r="HE452" s="5">
        <v>236.8873861336032</v>
      </c>
      <c r="HF452" s="5">
        <v>217.50938048245612</v>
      </c>
      <c r="HG452" s="5">
        <v>207.81388157894736</v>
      </c>
      <c r="HH452" s="39">
        <v>234.8481161004334</v>
      </c>
      <c r="HI452" s="16"/>
      <c r="HJ452" s="19" t="str">
        <f t="shared" si="1239"/>
        <v>On</v>
      </c>
      <c r="HK452" s="1" t="str">
        <f t="shared" si="1239"/>
        <v>On</v>
      </c>
      <c r="HL452" s="16"/>
      <c r="HM452" s="639">
        <f t="shared" si="1110"/>
        <v>2.9403358434788716E-2</v>
      </c>
      <c r="HN452" s="639">
        <f t="shared" si="1111"/>
        <v>1.4106809950923669E-3</v>
      </c>
      <c r="HO452" s="639">
        <f t="shared" si="1112"/>
        <v>1.7317923025048877E-3</v>
      </c>
      <c r="HP452" s="644">
        <f>(FT452*$GD452-HM452)/$JF452*INDEX(Input!$1:$1048576,$JG$93,$C452*2+6)</f>
        <v>36.800221965000098</v>
      </c>
      <c r="HQ452" s="644">
        <f>(FU452*$GD452-HN452)/$JF452*INDEX(Input!$1:$1048576,$JG$93,$C452*2+6)</f>
        <v>69.002647187351272</v>
      </c>
      <c r="HR452" s="644">
        <f>(FV452*$GD452-HO452)/$JF452*INDEX(Input!$1:$1048576,$JG$93,$C452*2+6)</f>
        <v>-20.074753740625905</v>
      </c>
      <c r="HS452" s="644">
        <f t="shared" si="1233"/>
        <v>-37.08860536980162</v>
      </c>
      <c r="HT452" s="644">
        <f t="shared" si="1114"/>
        <v>163.67967056963755</v>
      </c>
      <c r="HU452" s="644">
        <f t="shared" si="1115"/>
        <v>1.5241529248685191</v>
      </c>
      <c r="HV452" s="648">
        <f t="shared" si="1116"/>
        <v>0</v>
      </c>
      <c r="HW452" s="648">
        <f t="shared" si="1117"/>
        <v>0</v>
      </c>
      <c r="HX452" s="648">
        <f t="shared" si="1118"/>
        <v>0</v>
      </c>
      <c r="HY452" s="644">
        <f>INDEX(Input!$1:$1048576,HY$93,$C452*2+6)*INDEX(Input!$1:$1048576,$JG$93,$C452*2+6)</f>
        <v>993</v>
      </c>
      <c r="HZ452" s="644">
        <f>INDEX(Input!$1:$1048576,HZ$93,$C452*2+6)*INDEX(Input!$1:$1048576,$JG$93,$C452*2+6)</f>
        <v>1216</v>
      </c>
      <c r="IA452" s="644">
        <f>INDEX(Input!$1:$1048576,IA$93,$C452*2+6)*INDEX(Input!$1:$1048576,$JG$93,$C452*2+6)</f>
        <v>120</v>
      </c>
      <c r="IB452" s="644">
        <f t="shared" si="1142"/>
        <v>992.71161659519862</v>
      </c>
      <c r="IC452" s="644">
        <f t="shared" si="1143"/>
        <v>1448.6823177569886</v>
      </c>
      <c r="ID452" s="644">
        <f>IF(AND(INDEX(Input!$1:$1048576,IA$93,$C452*2+7)="TOS",Y452&lt;=INDEX(Y:Y,MATCH(C452*1000+2,A:A))),0,1)*MAX(IA452+HR452+HU452+HX452,0%)</f>
        <v>101.44939918424261</v>
      </c>
      <c r="IE452" s="128">
        <f t="shared" si="1238"/>
        <v>0.39039432886122655</v>
      </c>
      <c r="IF452" s="128">
        <f t="shared" si="1210"/>
        <v>0.56970962333815922</v>
      </c>
      <c r="IG452" s="128">
        <f t="shared" si="1120"/>
        <v>3.9896047800614218E-2</v>
      </c>
      <c r="IH452" s="21"/>
      <c r="II452" s="19">
        <f t="shared" si="1121"/>
        <v>1490</v>
      </c>
      <c r="IJ452" s="19">
        <f t="shared" si="1122"/>
        <v>2203.2561351629856</v>
      </c>
      <c r="IK452" s="19">
        <f t="shared" si="1123"/>
        <v>242</v>
      </c>
      <c r="IL452" s="19">
        <f t="shared" si="1145"/>
        <v>280.00000000000023</v>
      </c>
      <c r="IM452" s="19">
        <f t="shared" si="1124"/>
        <v>984.49693594240944</v>
      </c>
      <c r="IN452" s="19">
        <f t="shared" si="1125"/>
        <v>-95</v>
      </c>
      <c r="IO452" s="39">
        <f t="shared" si="1126"/>
        <v>0</v>
      </c>
      <c r="IP452" s="39">
        <f t="shared" si="1127"/>
        <v>0</v>
      </c>
      <c r="IQ452" s="39">
        <f t="shared" si="1128"/>
        <v>0</v>
      </c>
      <c r="IR452" s="39">
        <v>0</v>
      </c>
      <c r="IS452" s="39">
        <v>0</v>
      </c>
      <c r="IT452" s="39">
        <v>0</v>
      </c>
      <c r="IU452" s="39">
        <v>0</v>
      </c>
      <c r="IV452" s="39">
        <v>0</v>
      </c>
      <c r="IW452" s="39">
        <v>0</v>
      </c>
      <c r="IX452" s="39">
        <f>INDEX(Input!$1:$1048576,IX$93,$C452*2+6)+INDEX(Input!$1:$1048576,IX$94,$C452*2+6)</f>
        <v>1770</v>
      </c>
      <c r="IY452" s="39">
        <f>INDEX(Input!$1:$1048576,IY$93,$C452*2+6)+INDEX(Input!$1:$1048576,IY$94,$C452*2+6)</f>
        <v>2630.0624533823611</v>
      </c>
      <c r="IZ452" s="39">
        <f>INDEX(Input!$1:$1048576,IZ$93,$C452*2+6)+INDEX(Input!$1:$1048576,IZ$94,$C452*2+6)</f>
        <v>4153.7164157747848</v>
      </c>
      <c r="JA452" s="19">
        <f t="shared" si="1146"/>
        <v>2050</v>
      </c>
      <c r="JB452" s="19">
        <f t="shared" si="1147"/>
        <v>3614.5593893247706</v>
      </c>
      <c r="JC452" s="19">
        <f t="shared" si="1148"/>
        <v>4058.7164157747848</v>
      </c>
      <c r="JD452" s="19">
        <f t="shared" si="1149"/>
        <v>3021.484386524025</v>
      </c>
      <c r="JE452" s="21"/>
      <c r="JF452" s="1">
        <f t="shared" si="1129"/>
        <v>3.2545831732385969E-2</v>
      </c>
      <c r="JG452" s="15">
        <f>INDEX(Input!$1:$1048576,JG$93,$C452*2+6)/(1+VLOOKUP(C452*1000+INDEX(Input!$1:$1048576,JG$93+1,$C452*2+6),$A:$KK,$JK$92,FALSE))</f>
        <v>2329</v>
      </c>
      <c r="JH452" s="1">
        <f t="shared" si="1150"/>
        <v>3.6808980425815999E-2</v>
      </c>
      <c r="JI452" s="1">
        <f t="shared" si="1151"/>
        <v>5.5008681032505134E-2</v>
      </c>
      <c r="JJ452" s="1">
        <f t="shared" si="1211"/>
        <v>0</v>
      </c>
      <c r="JK452" s="1">
        <f t="shared" si="1212"/>
        <v>9.1817661458321126E-2</v>
      </c>
      <c r="JL452" s="15">
        <f t="shared" si="1154"/>
        <v>213.8433335364299</v>
      </c>
      <c r="JM452" s="15">
        <f t="shared" si="1180"/>
        <v>2542.8433335364298</v>
      </c>
      <c r="JN452" s="21"/>
      <c r="JO452" s="19">
        <f>INDEX(Input!$1:$1048576,JO$93,$C452*2+6)</f>
        <v>5995.5</v>
      </c>
      <c r="JP452" s="19">
        <f>INDEX(Input!$1:$1048576,JP$93,$C452*2+6)</f>
        <v>2341.8685758720158</v>
      </c>
      <c r="JQ452" s="39">
        <f t="shared" si="1166"/>
        <v>2974.015613475975</v>
      </c>
      <c r="JR452" s="39">
        <f t="shared" si="1183"/>
        <v>679.61581065200926</v>
      </c>
      <c r="JS452" s="39">
        <f t="shared" si="1168"/>
        <v>7.6831614296570265</v>
      </c>
      <c r="JT452" s="39">
        <f t="shared" si="1156"/>
        <v>2.228949516451102</v>
      </c>
      <c r="JU452" s="385">
        <f>(JQ452*JM452-INDEX(Input!$1:$1048576,Input!A$18,$C452*2+6)*JL452*INDEX(Input!$1:$1048576,Input!A$19,$C452*2+6))/1000000</f>
        <v>7.5624557765606379</v>
      </c>
      <c r="JV452" s="39">
        <f t="shared" si="1190"/>
        <v>-0.94685181023343645</v>
      </c>
      <c r="JW452" s="1">
        <f t="shared" si="1181"/>
        <v>-0.11127248610720014</v>
      </c>
      <c r="JX452" s="19">
        <f t="shared" si="1172"/>
        <v>10423.282688264784</v>
      </c>
      <c r="JZ452" s="341"/>
      <c r="KA452" s="342"/>
      <c r="KB452" s="469">
        <f t="shared" si="1169"/>
        <v>2.3434325605641804</v>
      </c>
      <c r="KI452" s="473">
        <f t="shared" si="1235"/>
        <v>-0.28838340480149327</v>
      </c>
      <c r="KJ452" s="473">
        <f t="shared" si="1236"/>
        <v>232.6823177569886</v>
      </c>
      <c r="KK452" s="473">
        <f t="shared" si="1158"/>
        <v>-18.550600815757392</v>
      </c>
      <c r="KN452" s="544">
        <f t="shared" si="1173"/>
        <v>4002</v>
      </c>
      <c r="KO452" s="541">
        <f t="shared" si="1133"/>
        <v>5.1364817512274286E-2</v>
      </c>
      <c r="KP452" s="546">
        <f t="shared" si="1134"/>
        <v>386.96934156834169</v>
      </c>
      <c r="KQ452" s="546">
        <f t="shared" si="1135"/>
        <v>396.71319848800385</v>
      </c>
      <c r="KR452" s="548">
        <f t="shared" si="1136"/>
        <v>2.3043297985413509</v>
      </c>
      <c r="KS452" s="548">
        <f t="shared" si="1137"/>
        <v>2.2477320852858393</v>
      </c>
      <c r="KT452" s="473">
        <f t="shared" si="1171"/>
        <v>1580.0986321700548</v>
      </c>
      <c r="KU452" s="663">
        <f t="shared" si="1159"/>
        <v>4.03010481912158</v>
      </c>
      <c r="KV452" s="117"/>
    </row>
    <row r="453" spans="1:308" s="26" customFormat="1" ht="15" outlineLevel="1">
      <c r="A453" s="561">
        <f t="shared" si="1138"/>
        <v>4053</v>
      </c>
      <c r="B453" s="561">
        <f t="shared" si="1160"/>
        <v>53</v>
      </c>
      <c r="C453" s="561">
        <f t="shared" si="1161"/>
        <v>4</v>
      </c>
      <c r="D453" s="561" t="str">
        <f t="shared" si="1206"/>
        <v xml:space="preserve">0/0/0/3.9, -360 Lease, </v>
      </c>
      <c r="E453" s="475">
        <f>INDEX(Input!$1:$1048576,E$93,$C453*2+MIN($B453,2)+5)
+INDEX(Scenarios!E$121:E$200,MATCH($B453,Scenarios!$B$121:$B$200,0))</f>
        <v>1256.832975525977</v>
      </c>
      <c r="F453" s="475">
        <f>INDEX(Input!$1:$1048576,F$93,$C453*2+MIN($B453,2)+5)
+INDEX(Scenarios!F$121:F$200,MATCH($B453,Scenarios!$B$121:$B$200,0))</f>
        <v>0</v>
      </c>
      <c r="G453" s="475">
        <f>INDEX(Input!$1:$1048576,G$93,$C453*2+MIN($B453,2)+5)
+INDEX(Scenarios!G$121:G$200,MATCH($B453,Scenarios!$B$121:$B$200,0))</f>
        <v>0</v>
      </c>
      <c r="H453" s="475">
        <f>INDEX(Input!$1:$1048576,H$93,$C453*2+MIN($B453,2)+5)
+INDEX(Scenarios!H$121:H$200,MATCH($B453,Scenarios!$B$121:$B$200,0))</f>
        <v>0</v>
      </c>
      <c r="I453" s="476">
        <f>INDEX(Input!$1:$1048576,I$93,$C453*2+MIN($B453,2)+5)</f>
        <v>0.7</v>
      </c>
      <c r="J453" s="476" t="str">
        <f>INDEX(Input!$1:$1048576,J$93,$C453*2+MIN($B453,2)+5)</f>
        <v>Market</v>
      </c>
      <c r="K453" s="476" t="str">
        <f>INDEX(Input!$1:$1048576,K$93,$C453*2+MIN($B453,2)+5)</f>
        <v>Market</v>
      </c>
      <c r="L453" s="476" t="str">
        <f>INDEX(Input!$1:$1048576,L$93,$C453*2+MIN($B453,2)+5)</f>
        <v>Market</v>
      </c>
      <c r="M453" s="476" t="str">
        <f>INDEX(Input!$1:$1048576,M$93,$C453*2+MIN($B453,2)+5)</f>
        <v>Market</v>
      </c>
      <c r="N453" s="476" t="str">
        <f>INDEX(Input!$1:$1048576,N$93,$C453*2+MIN($B453,2)+5)</f>
        <v>Market</v>
      </c>
      <c r="O453" s="476" t="str">
        <f>INDEX(Input!$1:$1048576,O$93,$C453*2+MIN($B453,2)+5)</f>
        <v>Market</v>
      </c>
      <c r="P453" s="476" t="str">
        <f>INDEX(Input!$1:$1048576,P$93,$C453*2+MIN($B453,2)+5)</f>
        <v>N</v>
      </c>
      <c r="Q453" s="477">
        <f>INDEX(Input!$1:$1048576,Q$93,$C453*2+MIN($B453,2)+5)
+INDEX(Scenarios!Q$121:Q$200,MATCH($B453,Scenarios!$B$121:$B$200,0))</f>
        <v>0</v>
      </c>
      <c r="R453" s="478">
        <f>IFERROR(MAX(0,INDEX(Input!$1:$1048576,R$93,$C453*2+MIN($B453,2)+5)
+INDEX(Scenarios!R$121:R$200,MATCH($B453,Scenarios!$B$121:$B$200,0)),),"Market")</f>
        <v>0</v>
      </c>
      <c r="S453" s="478">
        <f>IFERROR(MAX(0,INDEX(Input!$1:$1048576,S$93,$C453*2+MIN($B453,2)+5)
+INDEX(Scenarios!S$121:S$200,MATCH($B453,Scenarios!$B$121:$B$200,0)),),"Market")</f>
        <v>0</v>
      </c>
      <c r="T453" s="478">
        <f>IFERROR(MAX(0,INDEX(Input!$1:$1048576,T$93,$C453*2+MIN($B453,2)+5)
+INDEX(Scenarios!T$121:T$200,MATCH($B453,Scenarios!$B$121:$B$200,0)),),"Market")</f>
        <v>0</v>
      </c>
      <c r="U453" s="478">
        <f>IFERROR(MAX(0,INDEX(Input!$1:$1048576,U$93,$C453*2+MIN($B453,2)+5)
+INDEX(Scenarios!U$121:U$200,MATCH($B453,Scenarios!$B$121:$B$200,0)),),"Market")</f>
        <v>0</v>
      </c>
      <c r="V453" s="478">
        <f>IFERROR(MAX(0,INDEX(Input!$1:$1048576,V$93,$C453*2+MIN($B453,2)+5)
+INDEX(Scenarios!V$121:V$200,MATCH($B453,Scenarios!$B$121:$B$200,0)),),"Market")</f>
        <v>0</v>
      </c>
      <c r="W453" s="885">
        <f>IFERROR(MAX(0,INDEX(Input!$1:$1048576,W$93,$C453*2+MIN($B453,2)+5)-0%,),"Market")</f>
        <v>3.9E-2</v>
      </c>
      <c r="X453" s="476" t="str">
        <f>INDEX(Input!$1:$1048576,X$93,$C453*2+MIN($B453,2)+5)</f>
        <v>Y</v>
      </c>
      <c r="Y453" s="475">
        <f>INDEX(Input!$1:$1048576,Y$93,$C453*2+MIN($B453,2)+5)
++INDEX(Scenarios!Y$121:Y$200,MATCH($B453,Scenarios!$B$121:$B$200,0))</f>
        <v>-1230</v>
      </c>
      <c r="Z453" s="477">
        <f>INDEX(Input!$1:$1048576,Z$93,$C453*2+MIN($B453,2)+5)
+INDEX(Scenarios!Z$121:Z$200,MATCH($B453,Scenarios!$B$121:$B$200,0))</f>
        <v>0</v>
      </c>
      <c r="AA453" s="475">
        <f>INDEX(Input!$1:$1048576,AA$93,$C453*2+MIN($B453,2)+5)
+INDEX(Scenarios!AA$121:AA$200,MATCH($B453,Scenarios!$B$121:$B$200,0))</f>
        <v>0</v>
      </c>
      <c r="AB453" s="476">
        <f>INDEX(Input!$1:$1048576,AB$93,$C453*2+MIN($B453,2)+5)</f>
        <v>0.27</v>
      </c>
      <c r="AC453" s="475">
        <f>INDEX(Input!$1:$1048576,AC$93,$C453*2+MIN($B453,2)+5)
+INDEX(Scenarios!AC$121:AC$200,MATCH($B453,Scenarios!$B$121:$B$200,0))</f>
        <v>0</v>
      </c>
      <c r="AD453" s="476">
        <f>INDEX(Input!$1:$1048576,AD$93,$C453*2+MIN($B453,2)+5)</f>
        <v>0.27</v>
      </c>
      <c r="AE453" s="475">
        <f>INDEX(Input!$1:$1048576,AE$93,$C453*2+MIN($B453,2)+5)
+INDEX(Scenarios!AE$121:AE$200,MATCH($B453,Scenarios!$B$121:$B$200,0))</f>
        <v>0</v>
      </c>
      <c r="AF453" s="476">
        <f>INDEX(Input!$1:$1048576,AF$93,$C453*2+MIN($B453,2)+5)</f>
        <v>1</v>
      </c>
      <c r="AG453" s="475">
        <f>INDEX(Input!$1:$1048576,AG$93,$C453*2+MIN($B453,2)+5)
+INDEX(Scenarios!AG$121:AG$200,MATCH($B453,Scenarios!$B$121:$B$200,0))</f>
        <v>500</v>
      </c>
      <c r="AH453" s="476">
        <f>INDEX(Input!$1:$1048576,AH$93,$C453*2+MIN($B453,2)+5)</f>
        <v>0.83199999999999996</v>
      </c>
      <c r="AI453" s="475">
        <f>INDEX(Input!$1:$1048576,AI$93,$C453*2+MIN($B453,2)+5)
+INDEX(Scenarios!AI$121:AI$200,MATCH($B453,Scenarios!$B$121:$B$200,0))</f>
        <v>0</v>
      </c>
      <c r="AJ453" s="476">
        <f>INDEX(Input!$1:$1048576,AJ$93,$C453*2+MIN($B453,2)+5)</f>
        <v>0.27</v>
      </c>
      <c r="AK453" s="150">
        <f>ROUND(INDEX(Input!$1:$1048576,AK$93,$C452*2+MIN($B453,1)+5)+(Y453-VLOOKUP($C453*1000+1,$A:$HH,Y$92,FALSE)),0)</f>
        <v>2227</v>
      </c>
      <c r="AL453" s="150">
        <f>ROUND(INDEX(Input!$1:$1048576,AL$93,$C452*2+MIN($B453,1)+5)-(Y453-VLOOKUP($C453*1000+1,$A:$HH,Y$92,FALSE))/36,0)</f>
        <v>3416</v>
      </c>
      <c r="AM453" s="32" t="str">
        <f t="shared" si="1139"/>
        <v>std/std/std/std</v>
      </c>
      <c r="AN453" s="32" t="str">
        <f t="shared" si="1140"/>
        <v>$0 + 0/0/0/0/3.9</v>
      </c>
      <c r="AO453" s="32" t="str">
        <f t="shared" si="1141"/>
        <v>0/0/0/0/3.9</v>
      </c>
      <c r="AP453" s="32" t="str">
        <f t="shared" si="1213"/>
        <v>0/0/0/3.9</v>
      </c>
      <c r="AQ453" s="536">
        <f t="shared" si="1207"/>
        <v>0.39039432886122655</v>
      </c>
      <c r="AR453" s="32"/>
      <c r="AS453" s="302"/>
      <c r="AT453" s="3">
        <f t="shared" si="1162"/>
        <v>53</v>
      </c>
      <c r="AU453" s="41" t="s">
        <v>121</v>
      </c>
      <c r="AV453" s="41" t="s">
        <v>116</v>
      </c>
      <c r="AW453" s="41" t="str">
        <f>INDEX(Input!$1:$1048576,AW$93,$C453*2+6)</f>
        <v>Kia</v>
      </c>
      <c r="AX453" s="41" t="str">
        <f>INDEX(Input!$1:$1048576,AX$93,$C453*2+6)</f>
        <v>Kia-LR - R1</v>
      </c>
      <c r="AY453" s="41" t="str">
        <f>IF(LEN(D453)=0,"",INDEX(Input!$1:$1048576,AY$93,$C453*2+6))</f>
        <v>Compact SUV (52)</v>
      </c>
      <c r="AZ453" s="41" t="str">
        <f>INDEX(Input!$1:$1048576,AZ$93,$C453*2+6)</f>
        <v>Kia Soul</v>
      </c>
      <c r="BA453" s="3">
        <f>INDEX(Input!$1:$1048576,BA$93,$C453*2+6)</f>
        <v>2020</v>
      </c>
      <c r="BB453" s="128">
        <f>INDEX(Input!$1:$1048576,BB$93,$C453*2+6)</f>
        <v>1</v>
      </c>
      <c r="BC453" s="128">
        <f>INDEX(Input!$1:$1048576,BC$93,$C453*2+6)</f>
        <v>0.7</v>
      </c>
      <c r="BD453" s="1">
        <f>INDEX(Input!$1:$1048576,BD$93,$C453*2+6)</f>
        <v>4.4999999999999998E-2</v>
      </c>
      <c r="BE453" s="1">
        <f>INDEX(Input!$1:$1048576,BE$93,$C453*2+6)</f>
        <v>4.4999999999999998E-2</v>
      </c>
      <c r="BF453" s="1">
        <f>INDEX(Input!$1:$1048576,BF$93,$C453*2+6)</f>
        <v>0.05</v>
      </c>
      <c r="BG453" s="1">
        <f>INDEX(Input!$1:$1048576,BG$93,$C453*2+6)</f>
        <v>5.45E-2</v>
      </c>
      <c r="BH453" s="1">
        <f>INDEX(Input!$1:$1048576,BH$93,$C453*2+6)</f>
        <v>5.45E-2</v>
      </c>
      <c r="BI453" s="1">
        <f>INDEX(Input!$1:$1048576,BI$93,$C453*2+6)</f>
        <v>0.05</v>
      </c>
      <c r="BJ453" s="1">
        <f>INDEX(Input!$1:$1048576,BJ$93,$C453*2+6)</f>
        <v>0.05</v>
      </c>
      <c r="BK453" s="1">
        <f>INDEX(Input!$1:$1048576,BK$93,$C453*2+6)</f>
        <v>0.05</v>
      </c>
      <c r="BL453" s="1">
        <f>INDEX(Input!$1:$1048576,BL$93,$C453*2+6)</f>
        <v>5.5E-2</v>
      </c>
      <c r="BM453" s="1">
        <f>INDEX(Input!$1:$1048576,BM$93,$C453*2+6)</f>
        <v>0.06</v>
      </c>
      <c r="BN453" s="1">
        <f>INDEX(Input!$1:$1048576,BN$93,$C453*2+6)</f>
        <v>4.4999999999999998E-2</v>
      </c>
      <c r="BO453" s="1">
        <f>INDEX(Input!$1:$1048576,BO$93,$C453*2+6)</f>
        <v>4.4999999999999998E-2</v>
      </c>
      <c r="BP453" s="1">
        <f>INDEX(Input!$1:$1048576,BP$93,$C453*2+6)</f>
        <v>0.05</v>
      </c>
      <c r="BQ453" s="1">
        <f>INDEX(Input!$1:$1048576,BQ$93,$C453*2+6)</f>
        <v>5.45E-2</v>
      </c>
      <c r="BR453" s="1">
        <f>INDEX(Input!$1:$1048576,BR$93,$C453*2+6)</f>
        <v>5.45E-2</v>
      </c>
      <c r="BS453" s="1">
        <f>INDEX(Input!$1:$1048576,BS$93,$C453*2+6)</f>
        <v>0.05</v>
      </c>
      <c r="BT453" s="1">
        <f>INDEX(Input!$1:$1048576,BT$93,$C453*2+6)</f>
        <v>0.05</v>
      </c>
      <c r="BU453" s="1">
        <f>INDEX(Input!$1:$1048576,BU$93,$C453*2+6)</f>
        <v>0.05</v>
      </c>
      <c r="BV453" s="1">
        <f>INDEX(Input!$1:$1048576,BV$93,$C453*2+6)</f>
        <v>5.5E-2</v>
      </c>
      <c r="BW453" s="1">
        <f>INDEX(Input!$1:$1048576,BW$93,$C453*2+6)</f>
        <v>0.06</v>
      </c>
      <c r="BX453" s="127">
        <f>INDEX(Input!$1:$1048576,BX$93,$C453*2+6)</f>
        <v>19985</v>
      </c>
      <c r="BY453" s="20">
        <f>INDEX(Input!$1:$1048576,BY$93,$C453*2+6)</f>
        <v>0.1</v>
      </c>
      <c r="BZ453" s="20">
        <f>INDEX(Input!$1:$1048576,BZ$93,$C453*2+6)</f>
        <v>0.1</v>
      </c>
      <c r="CA453" s="20">
        <f>INDEX(Input!$1:$1048576,CA$93,$C453*2+6)</f>
        <v>0.1</v>
      </c>
      <c r="CB453" s="20">
        <f>INDEX(Input!$1:$1048576,CB$93,$C453*2+6)</f>
        <v>0.1</v>
      </c>
      <c r="CC453" s="20">
        <f>INDEX(Input!$1:$1048576,CC$93,$C453*2+6)</f>
        <v>0.1</v>
      </c>
      <c r="CD453" s="384">
        <f>INDEX(Input!$1:$1048576,CD$93,$C453*2+6)</f>
        <v>0.1</v>
      </c>
      <c r="CE453" s="384">
        <f>INDEX(Input!$1:$1048576,CE$93,$C453*2+6)</f>
        <v>0.1</v>
      </c>
      <c r="CF453" s="384">
        <f>INDEX(Input!$1:$1048576,CF$93,$C453*2+6)</f>
        <v>0.1</v>
      </c>
      <c r="CG453" s="384">
        <f>INDEX(Input!$1:$1048576,CG$93,$C453*2+6)</f>
        <v>0.1</v>
      </c>
      <c r="CH453" s="384">
        <f>INDEX(Input!$1:$1048576,CH$93,$C453*2+6)</f>
        <v>0.1</v>
      </c>
      <c r="CI453" s="304">
        <f t="shared" si="1214"/>
        <v>1256.832975525977</v>
      </c>
      <c r="CJ453" s="16" t="str">
        <f>INDEX(Input!$1:$1048576,CJ$93,$C453*2+6)</f>
        <v>N</v>
      </c>
      <c r="CK453" s="1" t="str">
        <f t="shared" si="1215"/>
        <v>Market</v>
      </c>
      <c r="CL453" s="1" t="str">
        <f t="shared" si="1216"/>
        <v>Market</v>
      </c>
      <c r="CM453" s="1" t="str">
        <f t="shared" si="1217"/>
        <v>Market</v>
      </c>
      <c r="CN453" s="1" t="str">
        <f t="shared" si="1218"/>
        <v>Market</v>
      </c>
      <c r="CO453" s="1" t="str">
        <f t="shared" si="1219"/>
        <v>Market</v>
      </c>
      <c r="CP453" s="304">
        <f t="shared" si="1220"/>
        <v>416</v>
      </c>
      <c r="CQ453" s="1">
        <f t="shared" si="1221"/>
        <v>0</v>
      </c>
      <c r="CR453" s="1">
        <f t="shared" si="1222"/>
        <v>0</v>
      </c>
      <c r="CS453" s="1">
        <f t="shared" si="1223"/>
        <v>0</v>
      </c>
      <c r="CT453" s="1">
        <f t="shared" si="1224"/>
        <v>0</v>
      </c>
      <c r="CU453" s="1">
        <f t="shared" si="1225"/>
        <v>3.9E-2</v>
      </c>
      <c r="CV453" s="304">
        <f t="shared" si="1226"/>
        <v>-1230</v>
      </c>
      <c r="CW453" s="20" t="s">
        <v>122</v>
      </c>
      <c r="CX453" s="20" t="s">
        <v>122</v>
      </c>
      <c r="CY453" s="20" t="s">
        <v>122</v>
      </c>
      <c r="CZ453" s="20" t="s">
        <v>122</v>
      </c>
      <c r="DA453" s="20" t="s">
        <v>122</v>
      </c>
      <c r="DB453" s="503">
        <f t="shared" si="1227"/>
        <v>0</v>
      </c>
      <c r="DC453" s="127">
        <v>0</v>
      </c>
      <c r="DD453" s="127">
        <v>0</v>
      </c>
      <c r="DE453" s="127">
        <v>0</v>
      </c>
      <c r="DF453" s="127">
        <v>0</v>
      </c>
      <c r="DG453" s="127">
        <v>0</v>
      </c>
      <c r="DH453" s="127">
        <v>0</v>
      </c>
      <c r="DI453" s="127">
        <v>0</v>
      </c>
      <c r="DJ453" s="127">
        <v>0</v>
      </c>
      <c r="DK453" s="127">
        <v>0</v>
      </c>
      <c r="DL453" s="127">
        <v>0</v>
      </c>
      <c r="DM453" s="304">
        <f>INDEX(Input!$1:$1048576,DM$93,$C453*2+6)</f>
        <v>21036.84210526316</v>
      </c>
      <c r="DN453" s="20">
        <v>0</v>
      </c>
      <c r="DO453" s="20">
        <v>0</v>
      </c>
      <c r="DP453" s="20">
        <v>0</v>
      </c>
      <c r="DQ453" s="20">
        <v>0</v>
      </c>
      <c r="DR453" s="20">
        <v>0</v>
      </c>
      <c r="DS453" s="20">
        <f>INDEX(Input!$1:$1048576,DS$93,$C453*2+6)</f>
        <v>0.6</v>
      </c>
      <c r="DT453" s="20">
        <f>INDEX(Input!$1:$1048576,DT$93,$C453*2+6)</f>
        <v>0.55000000000000004</v>
      </c>
      <c r="DU453" s="20">
        <f>INDEX(Input!$1:$1048576,DU$93,$C453*2+6)</f>
        <v>0.52</v>
      </c>
      <c r="DV453" s="20">
        <f>INDEX(Input!$1:$1048576,DV$93,$C453*2+6)</f>
        <v>0.5</v>
      </c>
      <c r="DW453" s="20">
        <f>INDEX(Input!$1:$1048576,DW$93,$C453*2+6)</f>
        <v>0.45</v>
      </c>
      <c r="DX453" s="20"/>
      <c r="DY453" s="7">
        <v>0.10086301695700987</v>
      </c>
      <c r="DZ453" s="7">
        <v>0</v>
      </c>
      <c r="EA453" s="7">
        <v>0.78574730611165633</v>
      </c>
      <c r="EB453" s="7">
        <v>0</v>
      </c>
      <c r="EC453" s="7">
        <v>0</v>
      </c>
      <c r="ED453" s="7">
        <v>0</v>
      </c>
      <c r="EE453" s="7">
        <v>0</v>
      </c>
      <c r="EF453" s="7">
        <v>0</v>
      </c>
      <c r="EG453" s="7">
        <v>0</v>
      </c>
      <c r="EH453" s="7">
        <v>7.381536801423557E-3</v>
      </c>
      <c r="EI453" s="7">
        <v>1.9289565955769871E-2</v>
      </c>
      <c r="EJ453" s="7">
        <v>0.13530222080176119</v>
      </c>
      <c r="EK453" s="7">
        <v>0.75528914014256798</v>
      </c>
      <c r="EL453" s="7">
        <v>8.2737536298477438E-2</v>
      </c>
      <c r="EM453" s="7">
        <v>7.0381363926700288E-2</v>
      </c>
      <c r="EN453" s="7">
        <v>4.9405354012334854E-2</v>
      </c>
      <c r="EO453" s="7">
        <v>0.70138763961715644</v>
      </c>
      <c r="EP453" s="7">
        <v>0.10818382966437171</v>
      </c>
      <c r="EQ453" s="7">
        <v>9.4969010174326435E-2</v>
      </c>
      <c r="ER453" s="7">
        <v>4.6054166531810284E-2</v>
      </c>
      <c r="ES453" s="7">
        <v>4.3008313004633605E-2</v>
      </c>
      <c r="ET453" s="7">
        <v>0.11338967693133382</v>
      </c>
      <c r="EU453" s="6">
        <v>1770</v>
      </c>
      <c r="EV453" s="6">
        <v>0</v>
      </c>
      <c r="EW453" s="6">
        <v>1770</v>
      </c>
      <c r="EX453" s="6">
        <v>0</v>
      </c>
      <c r="EY453" s="6">
        <v>3187.7530711053951</v>
      </c>
      <c r="EZ453" s="6">
        <v>147</v>
      </c>
      <c r="FA453" s="6">
        <v>0</v>
      </c>
      <c r="FB453" s="6">
        <v>0</v>
      </c>
      <c r="FC453" s="6">
        <v>0</v>
      </c>
      <c r="FD453" s="6">
        <v>0</v>
      </c>
      <c r="FE453" s="6">
        <v>0</v>
      </c>
      <c r="FF453" s="6">
        <v>0</v>
      </c>
      <c r="FG453" s="6">
        <v>0</v>
      </c>
      <c r="FH453" s="6">
        <v>1169.8065072215807</v>
      </c>
      <c r="FI453" s="6">
        <v>1553.9796069512404</v>
      </c>
      <c r="FJ453" s="6">
        <v>2101.2110117447401</v>
      </c>
      <c r="FK453" s="6">
        <v>2674.200626159226</v>
      </c>
      <c r="FL453" s="6">
        <v>907.07682140966392</v>
      </c>
      <c r="FM453" s="6">
        <v>2417.7530711053951</v>
      </c>
      <c r="FN453" s="6">
        <v>0</v>
      </c>
      <c r="FO453" s="6">
        <v>0</v>
      </c>
      <c r="FP453" s="6">
        <v>0</v>
      </c>
      <c r="FQ453" s="6">
        <v>0</v>
      </c>
      <c r="FR453" s="6">
        <v>0</v>
      </c>
      <c r="FS453" s="6">
        <v>0</v>
      </c>
      <c r="FT453" s="7">
        <v>0.88661032306866616</v>
      </c>
      <c r="FU453" s="7">
        <v>7.0381363926700288E-2</v>
      </c>
      <c r="FV453" s="7">
        <v>4.3008313004633605E-2</v>
      </c>
      <c r="FW453" s="6">
        <v>1770.0000000000002</v>
      </c>
      <c r="FX453" s="6">
        <v>3187.7530711053951</v>
      </c>
      <c r="FY453" s="6">
        <v>147</v>
      </c>
      <c r="FZ453" s="6">
        <v>1949.5716051445115</v>
      </c>
      <c r="GA453" s="6">
        <v>1799.9809028491457</v>
      </c>
      <c r="GB453" s="6">
        <v>18185.019097150853</v>
      </c>
      <c r="GC453" s="7">
        <v>3.3872851927908169E-2</v>
      </c>
      <c r="GD453" s="7">
        <v>3.3743810615565265E-2</v>
      </c>
      <c r="GE453" s="7"/>
      <c r="GF453" s="7"/>
      <c r="GG453" s="7">
        <v>-3.8095792057174409E-3</v>
      </c>
      <c r="GH453" s="42">
        <v>0.50895168789258105</v>
      </c>
      <c r="GI453" s="6">
        <v>41066.969254438991</v>
      </c>
      <c r="GJ453" s="14">
        <v>0.50394797582841733</v>
      </c>
      <c r="GK453" s="14">
        <v>0.50887573065309721</v>
      </c>
      <c r="GL453" s="14">
        <v>0.49605202417158267</v>
      </c>
      <c r="GM453" s="14">
        <v>0.49112426934690234</v>
      </c>
      <c r="GO453" s="5">
        <v>343.14810671672558</v>
      </c>
      <c r="GP453" s="5">
        <v>309.37988338875158</v>
      </c>
      <c r="GQ453" s="5">
        <v>535.04305713031317</v>
      </c>
      <c r="GR453" s="5">
        <v>410.15490233172511</v>
      </c>
      <c r="GS453" s="5">
        <v>339.42744393800166</v>
      </c>
      <c r="GT453" s="5">
        <v>293.4407446948278</v>
      </c>
      <c r="GU453" s="5">
        <v>258.04012322764959</v>
      </c>
      <c r="GV453" s="39" t="s">
        <v>392</v>
      </c>
      <c r="GW453" s="5">
        <v>478.23611111111109</v>
      </c>
      <c r="GX453" s="5">
        <v>358.67708333333331</v>
      </c>
      <c r="GY453" s="5">
        <v>286.94166666666666</v>
      </c>
      <c r="GZ453" s="5">
        <v>239.11805555555554</v>
      </c>
      <c r="HA453" s="5">
        <v>234.53733318419432</v>
      </c>
      <c r="HB453" s="39">
        <v>249.28099914107028</v>
      </c>
      <c r="HC453" s="5">
        <v>280.85312499999998</v>
      </c>
      <c r="HD453" s="5">
        <v>235.41580774853799</v>
      </c>
      <c r="HE453" s="5">
        <v>236.8873861336032</v>
      </c>
      <c r="HF453" s="5">
        <v>217.50938048245612</v>
      </c>
      <c r="HG453" s="5">
        <v>207.81388157894736</v>
      </c>
      <c r="HH453" s="39">
        <v>234.8481161004334</v>
      </c>
      <c r="HI453" s="16"/>
      <c r="HJ453" s="19" t="str">
        <f t="shared" si="1239"/>
        <v>On</v>
      </c>
      <c r="HK453" s="1" t="str">
        <f t="shared" si="1239"/>
        <v>On</v>
      </c>
      <c r="HL453" s="16"/>
      <c r="HM453" s="639">
        <f t="shared" si="1110"/>
        <v>2.9403358434788716E-2</v>
      </c>
      <c r="HN453" s="639">
        <f t="shared" si="1111"/>
        <v>1.4106809950923669E-3</v>
      </c>
      <c r="HO453" s="639">
        <f t="shared" si="1112"/>
        <v>1.7317923025048877E-3</v>
      </c>
      <c r="HP453" s="644">
        <f>(FT453*$GD453-HM453)/$JF453*INDEX(Input!$1:$1048576,$JG$93,$C453*2+6)</f>
        <v>36.800221965000098</v>
      </c>
      <c r="HQ453" s="644">
        <f>(FU453*$GD453-HN453)/$JF453*INDEX(Input!$1:$1048576,$JG$93,$C453*2+6)</f>
        <v>69.002647187351272</v>
      </c>
      <c r="HR453" s="644">
        <f>(FV453*$GD453-HO453)/$JF453*INDEX(Input!$1:$1048576,$JG$93,$C453*2+6)</f>
        <v>-20.074753740625905</v>
      </c>
      <c r="HS453" s="644">
        <f t="shared" si="1233"/>
        <v>-37.08860536980162</v>
      </c>
      <c r="HT453" s="644">
        <f t="shared" si="1114"/>
        <v>163.67967056963755</v>
      </c>
      <c r="HU453" s="644">
        <f t="shared" si="1115"/>
        <v>1.5241529248685191</v>
      </c>
      <c r="HV453" s="648">
        <f t="shared" si="1116"/>
        <v>0</v>
      </c>
      <c r="HW453" s="648">
        <f t="shared" si="1117"/>
        <v>0</v>
      </c>
      <c r="HX453" s="648">
        <f t="shared" si="1118"/>
        <v>0</v>
      </c>
      <c r="HY453" s="644">
        <f>INDEX(Input!$1:$1048576,HY$93,$C453*2+6)*INDEX(Input!$1:$1048576,$JG$93,$C453*2+6)</f>
        <v>993</v>
      </c>
      <c r="HZ453" s="644">
        <f>INDEX(Input!$1:$1048576,HZ$93,$C453*2+6)*INDEX(Input!$1:$1048576,$JG$93,$C453*2+6)</f>
        <v>1216</v>
      </c>
      <c r="IA453" s="644">
        <f>INDEX(Input!$1:$1048576,IA$93,$C453*2+6)*INDEX(Input!$1:$1048576,$JG$93,$C453*2+6)</f>
        <v>120</v>
      </c>
      <c r="IB453" s="644">
        <f t="shared" si="1142"/>
        <v>992.71161659519862</v>
      </c>
      <c r="IC453" s="644">
        <f t="shared" si="1143"/>
        <v>1448.6823177569886</v>
      </c>
      <c r="ID453" s="644">
        <f>IF(AND(INDEX(Input!$1:$1048576,IA$93,$C453*2+7)="TOS",Y453&lt;=INDEX(Y:Y,MATCH(C453*1000+2,A:A))),0,1)*MAX(IA453+HR453+HU453+HX453,0%)</f>
        <v>101.44939918424261</v>
      </c>
      <c r="IE453" s="128">
        <f t="shared" si="1238"/>
        <v>0.39039432886122655</v>
      </c>
      <c r="IF453" s="128">
        <f t="shared" si="1210"/>
        <v>0.56970962333815922</v>
      </c>
      <c r="IG453" s="128">
        <f t="shared" si="1120"/>
        <v>3.9896047800614218E-2</v>
      </c>
      <c r="IH453" s="21"/>
      <c r="II453" s="19">
        <f t="shared" si="1121"/>
        <v>1490</v>
      </c>
      <c r="IJ453" s="19">
        <f t="shared" si="1122"/>
        <v>2203.2561351629856</v>
      </c>
      <c r="IK453" s="19">
        <f t="shared" si="1123"/>
        <v>242</v>
      </c>
      <c r="IL453" s="19">
        <f t="shared" si="1145"/>
        <v>280.00000000000023</v>
      </c>
      <c r="IM453" s="19">
        <f t="shared" si="1124"/>
        <v>984.49693594240944</v>
      </c>
      <c r="IN453" s="19">
        <f t="shared" si="1125"/>
        <v>-95</v>
      </c>
      <c r="IO453" s="39">
        <f t="shared" si="1126"/>
        <v>0</v>
      </c>
      <c r="IP453" s="39">
        <f t="shared" si="1127"/>
        <v>0</v>
      </c>
      <c r="IQ453" s="39">
        <f t="shared" si="1128"/>
        <v>0</v>
      </c>
      <c r="IR453" s="39">
        <v>0</v>
      </c>
      <c r="IS453" s="39">
        <v>0</v>
      </c>
      <c r="IT453" s="39">
        <v>0</v>
      </c>
      <c r="IU453" s="39">
        <v>0</v>
      </c>
      <c r="IV453" s="39">
        <v>0</v>
      </c>
      <c r="IW453" s="39">
        <v>0</v>
      </c>
      <c r="IX453" s="39">
        <f>INDEX(Input!$1:$1048576,IX$93,$C453*2+6)+INDEX(Input!$1:$1048576,IX$94,$C453*2+6)</f>
        <v>1770</v>
      </c>
      <c r="IY453" s="39">
        <f>INDEX(Input!$1:$1048576,IY$93,$C453*2+6)+INDEX(Input!$1:$1048576,IY$94,$C453*2+6)</f>
        <v>2630.0624533823611</v>
      </c>
      <c r="IZ453" s="39">
        <f>INDEX(Input!$1:$1048576,IZ$93,$C453*2+6)+INDEX(Input!$1:$1048576,IZ$94,$C453*2+6)</f>
        <v>4153.7164157747848</v>
      </c>
      <c r="JA453" s="19">
        <f t="shared" si="1146"/>
        <v>2050</v>
      </c>
      <c r="JB453" s="19">
        <f t="shared" si="1147"/>
        <v>3614.5593893247706</v>
      </c>
      <c r="JC453" s="19">
        <f t="shared" si="1148"/>
        <v>4058.7164157747848</v>
      </c>
      <c r="JD453" s="19">
        <f t="shared" si="1149"/>
        <v>3021.484386524025</v>
      </c>
      <c r="JE453" s="21"/>
      <c r="JF453" s="1">
        <f t="shared" si="1129"/>
        <v>3.2545831732385969E-2</v>
      </c>
      <c r="JG453" s="15">
        <f>INDEX(Input!$1:$1048576,JG$93,$C453*2+6)/(1+VLOOKUP(C453*1000+INDEX(Input!$1:$1048576,JG$93+1,$C453*2+6),$A:$KK,$JK$92,FALSE))</f>
        <v>2329</v>
      </c>
      <c r="JH453" s="1">
        <f t="shared" si="1150"/>
        <v>3.6808980425815999E-2</v>
      </c>
      <c r="JI453" s="1">
        <f t="shared" si="1151"/>
        <v>5.5008681032505134E-2</v>
      </c>
      <c r="JJ453" s="1">
        <f t="shared" si="1211"/>
        <v>0</v>
      </c>
      <c r="JK453" s="1">
        <f t="shared" si="1212"/>
        <v>9.1817661458321126E-2</v>
      </c>
      <c r="JL453" s="15">
        <f t="shared" si="1154"/>
        <v>213.8433335364299</v>
      </c>
      <c r="JM453" s="15">
        <f t="shared" si="1180"/>
        <v>2542.8433335364298</v>
      </c>
      <c r="JN453" s="21"/>
      <c r="JO453" s="19">
        <f>INDEX(Input!$1:$1048576,JO$93,$C453*2+6)</f>
        <v>5995.5</v>
      </c>
      <c r="JP453" s="19">
        <f>INDEX(Input!$1:$1048576,JP$93,$C453*2+6)</f>
        <v>2341.8685758720158</v>
      </c>
      <c r="JQ453" s="39">
        <f t="shared" si="1166"/>
        <v>2974.015613475975</v>
      </c>
      <c r="JR453" s="39">
        <f t="shared" si="1183"/>
        <v>679.61581065200926</v>
      </c>
      <c r="JS453" s="39">
        <f t="shared" si="1168"/>
        <v>7.6831614296570265</v>
      </c>
      <c r="JT453" s="39">
        <f t="shared" si="1156"/>
        <v>2.228949516451102</v>
      </c>
      <c r="JU453" s="385">
        <f>(JQ453*JM453-INDEX(Input!$1:$1048576,Input!A$18,$C453*2+6)*JL453*INDEX(Input!$1:$1048576,Input!A$19,$C453*2+6))/1000000</f>
        <v>7.5624557765606379</v>
      </c>
      <c r="JV453" s="39">
        <f t="shared" si="1190"/>
        <v>-0.94685181023343645</v>
      </c>
      <c r="JW453" s="1">
        <f t="shared" si="1181"/>
        <v>-0.11127248610720014</v>
      </c>
      <c r="JX453" s="19">
        <f t="shared" si="1172"/>
        <v>10423.282688264784</v>
      </c>
      <c r="JZ453" s="341"/>
      <c r="KA453" s="342"/>
      <c r="KB453" s="469">
        <f t="shared" si="1169"/>
        <v>2.3434325605641804</v>
      </c>
      <c r="KI453" s="473">
        <f t="shared" si="1235"/>
        <v>-0.28838340480149327</v>
      </c>
      <c r="KJ453" s="473">
        <f t="shared" si="1236"/>
        <v>232.6823177569886</v>
      </c>
      <c r="KK453" s="473">
        <f t="shared" si="1158"/>
        <v>-18.550600815757392</v>
      </c>
      <c r="KN453" s="544">
        <f t="shared" si="1173"/>
        <v>4002</v>
      </c>
      <c r="KO453" s="541">
        <f t="shared" si="1133"/>
        <v>5.1364817512274286E-2</v>
      </c>
      <c r="KP453" s="546">
        <f t="shared" si="1134"/>
        <v>386.96934156834169</v>
      </c>
      <c r="KQ453" s="546">
        <f t="shared" si="1135"/>
        <v>396.71319848800385</v>
      </c>
      <c r="KR453" s="548">
        <f t="shared" si="1136"/>
        <v>2.3043297985413509</v>
      </c>
      <c r="KS453" s="548">
        <f t="shared" si="1137"/>
        <v>2.2477320852858393</v>
      </c>
      <c r="KT453" s="473">
        <f t="shared" si="1171"/>
        <v>1580.0986321700548</v>
      </c>
      <c r="KU453" s="663">
        <f t="shared" si="1159"/>
        <v>4.0301058191215802</v>
      </c>
      <c r="KV453" s="117"/>
    </row>
    <row r="454" spans="1:308" s="26" customFormat="1" ht="15" outlineLevel="1">
      <c r="A454" s="561">
        <f t="shared" si="1138"/>
        <v>4054</v>
      </c>
      <c r="B454" s="561">
        <f t="shared" si="1160"/>
        <v>54</v>
      </c>
      <c r="C454" s="561">
        <f t="shared" si="1161"/>
        <v>4</v>
      </c>
      <c r="D454" s="561" t="str">
        <f t="shared" si="1206"/>
        <v xml:space="preserve">0/0/0/3.9, -360 Lease, </v>
      </c>
      <c r="E454" s="475">
        <f>INDEX(Input!$1:$1048576,E$93,$C454*2+MIN($B454,2)+5)
+INDEX(Scenarios!E$121:E$200,MATCH($B454,Scenarios!$B$121:$B$200,0))</f>
        <v>1256.832975525977</v>
      </c>
      <c r="F454" s="475">
        <f>INDEX(Input!$1:$1048576,F$93,$C454*2+MIN($B454,2)+5)
+INDEX(Scenarios!F$121:F$200,MATCH($B454,Scenarios!$B$121:$B$200,0))</f>
        <v>0</v>
      </c>
      <c r="G454" s="475">
        <f>INDEX(Input!$1:$1048576,G$93,$C454*2+MIN($B454,2)+5)
+INDEX(Scenarios!G$121:G$200,MATCH($B454,Scenarios!$B$121:$B$200,0))</f>
        <v>0</v>
      </c>
      <c r="H454" s="475">
        <f>INDEX(Input!$1:$1048576,H$93,$C454*2+MIN($B454,2)+5)
+INDEX(Scenarios!H$121:H$200,MATCH($B454,Scenarios!$B$121:$B$200,0))</f>
        <v>0</v>
      </c>
      <c r="I454" s="476">
        <f>INDEX(Input!$1:$1048576,I$93,$C454*2+MIN($B454,2)+5)</f>
        <v>0.7</v>
      </c>
      <c r="J454" s="476" t="str">
        <f>INDEX(Input!$1:$1048576,J$93,$C454*2+MIN($B454,2)+5)</f>
        <v>Market</v>
      </c>
      <c r="K454" s="476" t="str">
        <f>INDEX(Input!$1:$1048576,K$93,$C454*2+MIN($B454,2)+5)</f>
        <v>Market</v>
      </c>
      <c r="L454" s="476" t="str">
        <f>INDEX(Input!$1:$1048576,L$93,$C454*2+MIN($B454,2)+5)</f>
        <v>Market</v>
      </c>
      <c r="M454" s="476" t="str">
        <f>INDEX(Input!$1:$1048576,M$93,$C454*2+MIN($B454,2)+5)</f>
        <v>Market</v>
      </c>
      <c r="N454" s="476" t="str">
        <f>INDEX(Input!$1:$1048576,N$93,$C454*2+MIN($B454,2)+5)</f>
        <v>Market</v>
      </c>
      <c r="O454" s="476" t="str">
        <f>INDEX(Input!$1:$1048576,O$93,$C454*2+MIN($B454,2)+5)</f>
        <v>Market</v>
      </c>
      <c r="P454" s="476" t="str">
        <f>INDEX(Input!$1:$1048576,P$93,$C454*2+MIN($B454,2)+5)</f>
        <v>N</v>
      </c>
      <c r="Q454" s="477">
        <f>INDEX(Input!$1:$1048576,Q$93,$C454*2+MIN($B454,2)+5)
+INDEX(Scenarios!Q$121:Q$200,MATCH($B454,Scenarios!$B$121:$B$200,0))</f>
        <v>0</v>
      </c>
      <c r="R454" s="478">
        <f>IFERROR(MAX(0,INDEX(Input!$1:$1048576,R$93,$C454*2+MIN($B454,2)+5)
+INDEX(Scenarios!R$121:R$200,MATCH($B454,Scenarios!$B$121:$B$200,0)),),"Market")</f>
        <v>0</v>
      </c>
      <c r="S454" s="478">
        <f>IFERROR(MAX(0,INDEX(Input!$1:$1048576,S$93,$C454*2+MIN($B454,2)+5)
+INDEX(Scenarios!S$121:S$200,MATCH($B454,Scenarios!$B$121:$B$200,0)),),"Market")</f>
        <v>0</v>
      </c>
      <c r="T454" s="478">
        <f>IFERROR(MAX(0,INDEX(Input!$1:$1048576,T$93,$C454*2+MIN($B454,2)+5)
+INDEX(Scenarios!T$121:T$200,MATCH($B454,Scenarios!$B$121:$B$200,0)),),"Market")</f>
        <v>0</v>
      </c>
      <c r="U454" s="478">
        <f>IFERROR(MAX(0,INDEX(Input!$1:$1048576,U$93,$C454*2+MIN($B454,2)+5)
+INDEX(Scenarios!U$121:U$200,MATCH($B454,Scenarios!$B$121:$B$200,0)),),"Market")</f>
        <v>0</v>
      </c>
      <c r="V454" s="478">
        <f>IFERROR(MAX(0,INDEX(Input!$1:$1048576,V$93,$C454*2+MIN($B454,2)+5)
+INDEX(Scenarios!V$121:V$200,MATCH($B454,Scenarios!$B$121:$B$200,0)),),"Market")</f>
        <v>0</v>
      </c>
      <c r="W454" s="885">
        <f>IFERROR(MAX(0,INDEX(Input!$1:$1048576,W$93,$C454*2+MIN($B454,2)+5)-0%,),"Market")</f>
        <v>3.9E-2</v>
      </c>
      <c r="X454" s="476" t="str">
        <f>INDEX(Input!$1:$1048576,X$93,$C454*2+MIN($B454,2)+5)</f>
        <v>Y</v>
      </c>
      <c r="Y454" s="475">
        <f>INDEX(Input!$1:$1048576,Y$93,$C454*2+MIN($B454,2)+5)
++INDEX(Scenarios!Y$121:Y$200,MATCH($B454,Scenarios!$B$121:$B$200,0))</f>
        <v>-1230</v>
      </c>
      <c r="Z454" s="477">
        <f>INDEX(Input!$1:$1048576,Z$93,$C454*2+MIN($B454,2)+5)
+INDEX(Scenarios!Z$121:Z$200,MATCH($B454,Scenarios!$B$121:$B$200,0))</f>
        <v>0</v>
      </c>
      <c r="AA454" s="475">
        <f>INDEX(Input!$1:$1048576,AA$93,$C454*2+MIN($B454,2)+5)
+INDEX(Scenarios!AA$121:AA$200,MATCH($B454,Scenarios!$B$121:$B$200,0))</f>
        <v>0</v>
      </c>
      <c r="AB454" s="476">
        <f>INDEX(Input!$1:$1048576,AB$93,$C454*2+MIN($B454,2)+5)</f>
        <v>0.27</v>
      </c>
      <c r="AC454" s="475">
        <f>INDEX(Input!$1:$1048576,AC$93,$C454*2+MIN($B454,2)+5)
+INDEX(Scenarios!AC$121:AC$200,MATCH($B454,Scenarios!$B$121:$B$200,0))</f>
        <v>0</v>
      </c>
      <c r="AD454" s="476">
        <f>INDEX(Input!$1:$1048576,AD$93,$C454*2+MIN($B454,2)+5)</f>
        <v>0.27</v>
      </c>
      <c r="AE454" s="475">
        <f>INDEX(Input!$1:$1048576,AE$93,$C454*2+MIN($B454,2)+5)
+INDEX(Scenarios!AE$121:AE$200,MATCH($B454,Scenarios!$B$121:$B$200,0))</f>
        <v>0</v>
      </c>
      <c r="AF454" s="476">
        <f>INDEX(Input!$1:$1048576,AF$93,$C454*2+MIN($B454,2)+5)</f>
        <v>1</v>
      </c>
      <c r="AG454" s="475">
        <f>INDEX(Input!$1:$1048576,AG$93,$C454*2+MIN($B454,2)+5)
+INDEX(Scenarios!AG$121:AG$200,MATCH($B454,Scenarios!$B$121:$B$200,0))</f>
        <v>500</v>
      </c>
      <c r="AH454" s="476">
        <f>INDEX(Input!$1:$1048576,AH$93,$C454*2+MIN($B454,2)+5)</f>
        <v>0.83199999999999996</v>
      </c>
      <c r="AI454" s="475">
        <f>INDEX(Input!$1:$1048576,AI$93,$C454*2+MIN($B454,2)+5)
+INDEX(Scenarios!AI$121:AI$200,MATCH($B454,Scenarios!$B$121:$B$200,0))</f>
        <v>0</v>
      </c>
      <c r="AJ454" s="476">
        <f>INDEX(Input!$1:$1048576,AJ$93,$C454*2+MIN($B454,2)+5)</f>
        <v>0.27</v>
      </c>
      <c r="AK454" s="150">
        <f>ROUND(INDEX(Input!$1:$1048576,AK$93,$C453*2+MIN($B454,1)+5)+(Y454-VLOOKUP($C454*1000+1,$A:$HH,Y$92,FALSE)),0)</f>
        <v>2227</v>
      </c>
      <c r="AL454" s="150">
        <f>ROUND(INDEX(Input!$1:$1048576,AL$93,$C453*2+MIN($B454,1)+5)-(Y454-VLOOKUP($C454*1000+1,$A:$HH,Y$92,FALSE))/36,0)</f>
        <v>3416</v>
      </c>
      <c r="AM454" s="32" t="str">
        <f t="shared" si="1139"/>
        <v>std/std/std/std</v>
      </c>
      <c r="AN454" s="32" t="str">
        <f t="shared" si="1140"/>
        <v>$0 + 0/0/0/0/3.9</v>
      </c>
      <c r="AO454" s="32" t="str">
        <f t="shared" si="1141"/>
        <v>0/0/0/0/3.9</v>
      </c>
      <c r="AP454" s="32" t="str">
        <f t="shared" si="1213"/>
        <v>0/0/0/3.9</v>
      </c>
      <c r="AQ454" s="536">
        <f t="shared" si="1207"/>
        <v>0.39039432886122655</v>
      </c>
      <c r="AR454" s="32"/>
      <c r="AS454" s="302"/>
      <c r="AT454" s="3">
        <f t="shared" si="1162"/>
        <v>54</v>
      </c>
      <c r="AU454" s="41" t="s">
        <v>121</v>
      </c>
      <c r="AV454" s="41" t="s">
        <v>116</v>
      </c>
      <c r="AW454" s="41" t="str">
        <f>INDEX(Input!$1:$1048576,AW$93,$C454*2+6)</f>
        <v>Kia</v>
      </c>
      <c r="AX454" s="41" t="str">
        <f>INDEX(Input!$1:$1048576,AX$93,$C454*2+6)</f>
        <v>Kia-LR - R1</v>
      </c>
      <c r="AY454" s="41" t="str">
        <f>IF(LEN(D454)=0,"",INDEX(Input!$1:$1048576,AY$93,$C454*2+6))</f>
        <v>Compact SUV (52)</v>
      </c>
      <c r="AZ454" s="41" t="str">
        <f>INDEX(Input!$1:$1048576,AZ$93,$C454*2+6)</f>
        <v>Kia Soul</v>
      </c>
      <c r="BA454" s="3">
        <f>INDEX(Input!$1:$1048576,BA$93,$C454*2+6)</f>
        <v>2020</v>
      </c>
      <c r="BB454" s="128">
        <f>INDEX(Input!$1:$1048576,BB$93,$C454*2+6)</f>
        <v>1</v>
      </c>
      <c r="BC454" s="128">
        <f>INDEX(Input!$1:$1048576,BC$93,$C454*2+6)</f>
        <v>0.7</v>
      </c>
      <c r="BD454" s="1">
        <f>INDEX(Input!$1:$1048576,BD$93,$C454*2+6)</f>
        <v>4.4999999999999998E-2</v>
      </c>
      <c r="BE454" s="1">
        <f>INDEX(Input!$1:$1048576,BE$93,$C454*2+6)</f>
        <v>4.4999999999999998E-2</v>
      </c>
      <c r="BF454" s="1">
        <f>INDEX(Input!$1:$1048576,BF$93,$C454*2+6)</f>
        <v>0.05</v>
      </c>
      <c r="BG454" s="1">
        <f>INDEX(Input!$1:$1048576,BG$93,$C454*2+6)</f>
        <v>5.45E-2</v>
      </c>
      <c r="BH454" s="1">
        <f>INDEX(Input!$1:$1048576,BH$93,$C454*2+6)</f>
        <v>5.45E-2</v>
      </c>
      <c r="BI454" s="1">
        <f>INDEX(Input!$1:$1048576,BI$93,$C454*2+6)</f>
        <v>0.05</v>
      </c>
      <c r="BJ454" s="1">
        <f>INDEX(Input!$1:$1048576,BJ$93,$C454*2+6)</f>
        <v>0.05</v>
      </c>
      <c r="BK454" s="1">
        <f>INDEX(Input!$1:$1048576,BK$93,$C454*2+6)</f>
        <v>0.05</v>
      </c>
      <c r="BL454" s="1">
        <f>INDEX(Input!$1:$1048576,BL$93,$C454*2+6)</f>
        <v>5.5E-2</v>
      </c>
      <c r="BM454" s="1">
        <f>INDEX(Input!$1:$1048576,BM$93,$C454*2+6)</f>
        <v>0.06</v>
      </c>
      <c r="BN454" s="1">
        <f>INDEX(Input!$1:$1048576,BN$93,$C454*2+6)</f>
        <v>4.4999999999999998E-2</v>
      </c>
      <c r="BO454" s="1">
        <f>INDEX(Input!$1:$1048576,BO$93,$C454*2+6)</f>
        <v>4.4999999999999998E-2</v>
      </c>
      <c r="BP454" s="1">
        <f>INDEX(Input!$1:$1048576,BP$93,$C454*2+6)</f>
        <v>0.05</v>
      </c>
      <c r="BQ454" s="1">
        <f>INDEX(Input!$1:$1048576,BQ$93,$C454*2+6)</f>
        <v>5.45E-2</v>
      </c>
      <c r="BR454" s="1">
        <f>INDEX(Input!$1:$1048576,BR$93,$C454*2+6)</f>
        <v>5.45E-2</v>
      </c>
      <c r="BS454" s="1">
        <f>INDEX(Input!$1:$1048576,BS$93,$C454*2+6)</f>
        <v>0.05</v>
      </c>
      <c r="BT454" s="1">
        <f>INDEX(Input!$1:$1048576,BT$93,$C454*2+6)</f>
        <v>0.05</v>
      </c>
      <c r="BU454" s="1">
        <f>INDEX(Input!$1:$1048576,BU$93,$C454*2+6)</f>
        <v>0.05</v>
      </c>
      <c r="BV454" s="1">
        <f>INDEX(Input!$1:$1048576,BV$93,$C454*2+6)</f>
        <v>5.5E-2</v>
      </c>
      <c r="BW454" s="1">
        <f>INDEX(Input!$1:$1048576,BW$93,$C454*2+6)</f>
        <v>0.06</v>
      </c>
      <c r="BX454" s="127">
        <f>INDEX(Input!$1:$1048576,BX$93,$C454*2+6)</f>
        <v>19985</v>
      </c>
      <c r="BY454" s="20">
        <f>INDEX(Input!$1:$1048576,BY$93,$C454*2+6)</f>
        <v>0.1</v>
      </c>
      <c r="BZ454" s="20">
        <f>INDEX(Input!$1:$1048576,BZ$93,$C454*2+6)</f>
        <v>0.1</v>
      </c>
      <c r="CA454" s="20">
        <f>INDEX(Input!$1:$1048576,CA$93,$C454*2+6)</f>
        <v>0.1</v>
      </c>
      <c r="CB454" s="20">
        <f>INDEX(Input!$1:$1048576,CB$93,$C454*2+6)</f>
        <v>0.1</v>
      </c>
      <c r="CC454" s="20">
        <f>INDEX(Input!$1:$1048576,CC$93,$C454*2+6)</f>
        <v>0.1</v>
      </c>
      <c r="CD454" s="384">
        <f>INDEX(Input!$1:$1048576,CD$93,$C454*2+6)</f>
        <v>0.1</v>
      </c>
      <c r="CE454" s="384">
        <f>INDEX(Input!$1:$1048576,CE$93,$C454*2+6)</f>
        <v>0.1</v>
      </c>
      <c r="CF454" s="384">
        <f>INDEX(Input!$1:$1048576,CF$93,$C454*2+6)</f>
        <v>0.1</v>
      </c>
      <c r="CG454" s="384">
        <f>INDEX(Input!$1:$1048576,CG$93,$C454*2+6)</f>
        <v>0.1</v>
      </c>
      <c r="CH454" s="384">
        <f>INDEX(Input!$1:$1048576,CH$93,$C454*2+6)</f>
        <v>0.1</v>
      </c>
      <c r="CI454" s="304">
        <f t="shared" si="1214"/>
        <v>1256.832975525977</v>
      </c>
      <c r="CJ454" s="16" t="str">
        <f>INDEX(Input!$1:$1048576,CJ$93,$C454*2+6)</f>
        <v>N</v>
      </c>
      <c r="CK454" s="1" t="str">
        <f t="shared" si="1215"/>
        <v>Market</v>
      </c>
      <c r="CL454" s="1" t="str">
        <f t="shared" si="1216"/>
        <v>Market</v>
      </c>
      <c r="CM454" s="1" t="str">
        <f t="shared" si="1217"/>
        <v>Market</v>
      </c>
      <c r="CN454" s="1" t="str">
        <f t="shared" si="1218"/>
        <v>Market</v>
      </c>
      <c r="CO454" s="1" t="str">
        <f t="shared" si="1219"/>
        <v>Market</v>
      </c>
      <c r="CP454" s="304">
        <f t="shared" si="1220"/>
        <v>416</v>
      </c>
      <c r="CQ454" s="1">
        <f t="shared" si="1221"/>
        <v>0</v>
      </c>
      <c r="CR454" s="1">
        <f t="shared" si="1222"/>
        <v>0</v>
      </c>
      <c r="CS454" s="1">
        <f t="shared" si="1223"/>
        <v>0</v>
      </c>
      <c r="CT454" s="1">
        <f t="shared" si="1224"/>
        <v>0</v>
      </c>
      <c r="CU454" s="1">
        <f t="shared" si="1225"/>
        <v>3.9E-2</v>
      </c>
      <c r="CV454" s="304">
        <f t="shared" si="1226"/>
        <v>-1230</v>
      </c>
      <c r="CW454" s="20" t="s">
        <v>122</v>
      </c>
      <c r="CX454" s="20" t="s">
        <v>122</v>
      </c>
      <c r="CY454" s="20" t="s">
        <v>122</v>
      </c>
      <c r="CZ454" s="20" t="s">
        <v>122</v>
      </c>
      <c r="DA454" s="20" t="s">
        <v>122</v>
      </c>
      <c r="DB454" s="503">
        <f t="shared" si="1227"/>
        <v>0</v>
      </c>
      <c r="DC454" s="127">
        <v>0</v>
      </c>
      <c r="DD454" s="127">
        <v>0</v>
      </c>
      <c r="DE454" s="127">
        <v>0</v>
      </c>
      <c r="DF454" s="127">
        <v>0</v>
      </c>
      <c r="DG454" s="127">
        <v>0</v>
      </c>
      <c r="DH454" s="127">
        <v>0</v>
      </c>
      <c r="DI454" s="127">
        <v>0</v>
      </c>
      <c r="DJ454" s="127">
        <v>0</v>
      </c>
      <c r="DK454" s="127">
        <v>0</v>
      </c>
      <c r="DL454" s="127">
        <v>0</v>
      </c>
      <c r="DM454" s="304">
        <f>INDEX(Input!$1:$1048576,DM$93,$C454*2+6)</f>
        <v>21036.84210526316</v>
      </c>
      <c r="DN454" s="20">
        <v>0</v>
      </c>
      <c r="DO454" s="20">
        <v>0</v>
      </c>
      <c r="DP454" s="20">
        <v>0</v>
      </c>
      <c r="DQ454" s="20">
        <v>0</v>
      </c>
      <c r="DR454" s="20">
        <v>0</v>
      </c>
      <c r="DS454" s="20">
        <f>INDEX(Input!$1:$1048576,DS$93,$C454*2+6)</f>
        <v>0.6</v>
      </c>
      <c r="DT454" s="20">
        <f>INDEX(Input!$1:$1048576,DT$93,$C454*2+6)</f>
        <v>0.55000000000000004</v>
      </c>
      <c r="DU454" s="20">
        <f>INDEX(Input!$1:$1048576,DU$93,$C454*2+6)</f>
        <v>0.52</v>
      </c>
      <c r="DV454" s="20">
        <f>INDEX(Input!$1:$1048576,DV$93,$C454*2+6)</f>
        <v>0.5</v>
      </c>
      <c r="DW454" s="20">
        <f>INDEX(Input!$1:$1048576,DW$93,$C454*2+6)</f>
        <v>0.45</v>
      </c>
      <c r="DX454" s="20"/>
      <c r="DY454" s="7">
        <v>0.10086301695700987</v>
      </c>
      <c r="DZ454" s="7">
        <v>0</v>
      </c>
      <c r="EA454" s="7">
        <v>0.78574730611165633</v>
      </c>
      <c r="EB454" s="7">
        <v>0</v>
      </c>
      <c r="EC454" s="7">
        <v>0</v>
      </c>
      <c r="ED454" s="7">
        <v>0</v>
      </c>
      <c r="EE454" s="7">
        <v>0</v>
      </c>
      <c r="EF454" s="7">
        <v>0</v>
      </c>
      <c r="EG454" s="7">
        <v>0</v>
      </c>
      <c r="EH454" s="7">
        <v>7.381536801423557E-3</v>
      </c>
      <c r="EI454" s="7">
        <v>1.9289565955769871E-2</v>
      </c>
      <c r="EJ454" s="7">
        <v>0.13530222080176119</v>
      </c>
      <c r="EK454" s="7">
        <v>0.75528914014256798</v>
      </c>
      <c r="EL454" s="7">
        <v>8.2737536298477438E-2</v>
      </c>
      <c r="EM454" s="7">
        <v>7.0381363926700288E-2</v>
      </c>
      <c r="EN454" s="7">
        <v>4.9405354012334854E-2</v>
      </c>
      <c r="EO454" s="7">
        <v>0.70138763961715644</v>
      </c>
      <c r="EP454" s="7">
        <v>0.10818382966437171</v>
      </c>
      <c r="EQ454" s="7">
        <v>9.4969010174326435E-2</v>
      </c>
      <c r="ER454" s="7">
        <v>4.6054166531810284E-2</v>
      </c>
      <c r="ES454" s="7">
        <v>4.3008313004633605E-2</v>
      </c>
      <c r="ET454" s="7">
        <v>0.11338967693133382</v>
      </c>
      <c r="EU454" s="6">
        <v>1770</v>
      </c>
      <c r="EV454" s="6">
        <v>0</v>
      </c>
      <c r="EW454" s="6">
        <v>1770</v>
      </c>
      <c r="EX454" s="6">
        <v>0</v>
      </c>
      <c r="EY454" s="6">
        <v>3187.7530711053951</v>
      </c>
      <c r="EZ454" s="6">
        <v>147</v>
      </c>
      <c r="FA454" s="6">
        <v>0</v>
      </c>
      <c r="FB454" s="6">
        <v>0</v>
      </c>
      <c r="FC454" s="6">
        <v>0</v>
      </c>
      <c r="FD454" s="6">
        <v>0</v>
      </c>
      <c r="FE454" s="6">
        <v>0</v>
      </c>
      <c r="FF454" s="6">
        <v>0</v>
      </c>
      <c r="FG454" s="6">
        <v>0</v>
      </c>
      <c r="FH454" s="6">
        <v>1169.8065072215807</v>
      </c>
      <c r="FI454" s="6">
        <v>1553.9796069512404</v>
      </c>
      <c r="FJ454" s="6">
        <v>2101.2110117447401</v>
      </c>
      <c r="FK454" s="6">
        <v>2674.200626159226</v>
      </c>
      <c r="FL454" s="6">
        <v>907.07682140966392</v>
      </c>
      <c r="FM454" s="6">
        <v>2417.7530711053951</v>
      </c>
      <c r="FN454" s="6">
        <v>0</v>
      </c>
      <c r="FO454" s="6">
        <v>0</v>
      </c>
      <c r="FP454" s="6">
        <v>0</v>
      </c>
      <c r="FQ454" s="6">
        <v>0</v>
      </c>
      <c r="FR454" s="6">
        <v>0</v>
      </c>
      <c r="FS454" s="6">
        <v>0</v>
      </c>
      <c r="FT454" s="7">
        <v>0.88661032306866616</v>
      </c>
      <c r="FU454" s="7">
        <v>7.0381363926700288E-2</v>
      </c>
      <c r="FV454" s="7">
        <v>4.3008313004633605E-2</v>
      </c>
      <c r="FW454" s="6">
        <v>1770.0000000000002</v>
      </c>
      <c r="FX454" s="6">
        <v>3187.7530711053951</v>
      </c>
      <c r="FY454" s="6">
        <v>147</v>
      </c>
      <c r="FZ454" s="6">
        <v>1949.5716051445115</v>
      </c>
      <c r="GA454" s="6">
        <v>1799.9809028491457</v>
      </c>
      <c r="GB454" s="6">
        <v>18185.019097150853</v>
      </c>
      <c r="GC454" s="7">
        <v>3.3872851927908169E-2</v>
      </c>
      <c r="GD454" s="7">
        <v>3.3743810615565265E-2</v>
      </c>
      <c r="GE454" s="7"/>
      <c r="GF454" s="7"/>
      <c r="GG454" s="7">
        <v>-3.8095792057174409E-3</v>
      </c>
      <c r="GH454" s="42">
        <v>0.50895168789258105</v>
      </c>
      <c r="GI454" s="6">
        <v>41066.969254438991</v>
      </c>
      <c r="GJ454" s="14">
        <v>0.50394797582841733</v>
      </c>
      <c r="GK454" s="14">
        <v>0.50887573065309721</v>
      </c>
      <c r="GL454" s="14">
        <v>0.49605202417158267</v>
      </c>
      <c r="GM454" s="14">
        <v>0.49112426934690234</v>
      </c>
      <c r="GO454" s="5">
        <v>343.14810671672558</v>
      </c>
      <c r="GP454" s="5">
        <v>309.37988338875158</v>
      </c>
      <c r="GQ454" s="5">
        <v>535.04305713031317</v>
      </c>
      <c r="GR454" s="5">
        <v>410.15490233172511</v>
      </c>
      <c r="GS454" s="5">
        <v>339.42744393800166</v>
      </c>
      <c r="GT454" s="5">
        <v>293.4407446948278</v>
      </c>
      <c r="GU454" s="5">
        <v>258.04012322764959</v>
      </c>
      <c r="GV454" s="39" t="s">
        <v>392</v>
      </c>
      <c r="GW454" s="5">
        <v>478.23611111111109</v>
      </c>
      <c r="GX454" s="5">
        <v>358.67708333333331</v>
      </c>
      <c r="GY454" s="5">
        <v>286.94166666666666</v>
      </c>
      <c r="GZ454" s="5">
        <v>239.11805555555554</v>
      </c>
      <c r="HA454" s="5">
        <v>234.53733318419432</v>
      </c>
      <c r="HB454" s="39">
        <v>249.28099914107028</v>
      </c>
      <c r="HC454" s="5">
        <v>280.85312499999998</v>
      </c>
      <c r="HD454" s="5">
        <v>235.41580774853799</v>
      </c>
      <c r="HE454" s="5">
        <v>236.8873861336032</v>
      </c>
      <c r="HF454" s="5">
        <v>217.50938048245612</v>
      </c>
      <c r="HG454" s="5">
        <v>207.81388157894736</v>
      </c>
      <c r="HH454" s="39">
        <v>234.8481161004334</v>
      </c>
      <c r="HI454" s="16"/>
      <c r="HJ454" s="19" t="str">
        <f t="shared" si="1239"/>
        <v>On</v>
      </c>
      <c r="HK454" s="1" t="str">
        <f t="shared" si="1239"/>
        <v>On</v>
      </c>
      <c r="HL454" s="16"/>
      <c r="HM454" s="639">
        <f t="shared" si="1110"/>
        <v>2.9403358434788716E-2</v>
      </c>
      <c r="HN454" s="639">
        <f t="shared" si="1111"/>
        <v>1.4106809950923669E-3</v>
      </c>
      <c r="HO454" s="639">
        <f t="shared" si="1112"/>
        <v>1.7317923025048877E-3</v>
      </c>
      <c r="HP454" s="644">
        <f>(FT454*$GD454-HM454)/$JF454*INDEX(Input!$1:$1048576,$JG$93,$C454*2+6)</f>
        <v>36.800221965000098</v>
      </c>
      <c r="HQ454" s="644">
        <f>(FU454*$GD454-HN454)/$JF454*INDEX(Input!$1:$1048576,$JG$93,$C454*2+6)</f>
        <v>69.002647187351272</v>
      </c>
      <c r="HR454" s="644">
        <f>(FV454*$GD454-HO454)/$JF454*INDEX(Input!$1:$1048576,$JG$93,$C454*2+6)</f>
        <v>-20.074753740625905</v>
      </c>
      <c r="HS454" s="644">
        <f t="shared" si="1233"/>
        <v>-37.08860536980162</v>
      </c>
      <c r="HT454" s="644">
        <f t="shared" si="1114"/>
        <v>163.67967056963755</v>
      </c>
      <c r="HU454" s="644">
        <f t="shared" si="1115"/>
        <v>1.5241529248685191</v>
      </c>
      <c r="HV454" s="648">
        <f t="shared" si="1116"/>
        <v>0</v>
      </c>
      <c r="HW454" s="648">
        <f t="shared" si="1117"/>
        <v>0</v>
      </c>
      <c r="HX454" s="648">
        <f t="shared" si="1118"/>
        <v>0</v>
      </c>
      <c r="HY454" s="644">
        <f>INDEX(Input!$1:$1048576,HY$93,$C454*2+6)*INDEX(Input!$1:$1048576,$JG$93,$C454*2+6)</f>
        <v>993</v>
      </c>
      <c r="HZ454" s="644">
        <f>INDEX(Input!$1:$1048576,HZ$93,$C454*2+6)*INDEX(Input!$1:$1048576,$JG$93,$C454*2+6)</f>
        <v>1216</v>
      </c>
      <c r="IA454" s="644">
        <f>INDEX(Input!$1:$1048576,IA$93,$C454*2+6)*INDEX(Input!$1:$1048576,$JG$93,$C454*2+6)</f>
        <v>120</v>
      </c>
      <c r="IB454" s="644">
        <f t="shared" si="1142"/>
        <v>992.71161659519862</v>
      </c>
      <c r="IC454" s="644">
        <f t="shared" si="1143"/>
        <v>1448.6823177569886</v>
      </c>
      <c r="ID454" s="644">
        <f>IF(AND(INDEX(Input!$1:$1048576,IA$93,$C454*2+7)="TOS",Y454&lt;=INDEX(Y:Y,MATCH(C454*1000+2,A:A))),0,1)*MAX(IA454+HR454+HU454+HX454,0%)</f>
        <v>101.44939918424261</v>
      </c>
      <c r="IE454" s="128">
        <f t="shared" si="1238"/>
        <v>0.39039432886122655</v>
      </c>
      <c r="IF454" s="128">
        <f t="shared" si="1210"/>
        <v>0.56970962333815922</v>
      </c>
      <c r="IG454" s="128">
        <f t="shared" si="1120"/>
        <v>3.9896047800614218E-2</v>
      </c>
      <c r="IH454" s="21"/>
      <c r="II454" s="19">
        <f t="shared" si="1121"/>
        <v>1490</v>
      </c>
      <c r="IJ454" s="19">
        <f t="shared" si="1122"/>
        <v>2203.2561351629856</v>
      </c>
      <c r="IK454" s="19">
        <f t="shared" si="1123"/>
        <v>242</v>
      </c>
      <c r="IL454" s="19">
        <f t="shared" si="1145"/>
        <v>280.00000000000023</v>
      </c>
      <c r="IM454" s="19">
        <f t="shared" si="1124"/>
        <v>984.49693594240944</v>
      </c>
      <c r="IN454" s="19">
        <f t="shared" si="1125"/>
        <v>-95</v>
      </c>
      <c r="IO454" s="39">
        <f t="shared" si="1126"/>
        <v>0</v>
      </c>
      <c r="IP454" s="39">
        <f t="shared" si="1127"/>
        <v>0</v>
      </c>
      <c r="IQ454" s="39">
        <f t="shared" si="1128"/>
        <v>0</v>
      </c>
      <c r="IR454" s="39">
        <v>0</v>
      </c>
      <c r="IS454" s="39">
        <v>0</v>
      </c>
      <c r="IT454" s="39">
        <v>0</v>
      </c>
      <c r="IU454" s="39">
        <v>0</v>
      </c>
      <c r="IV454" s="39">
        <v>0</v>
      </c>
      <c r="IW454" s="39">
        <v>0</v>
      </c>
      <c r="IX454" s="39">
        <f>INDEX(Input!$1:$1048576,IX$93,$C454*2+6)+INDEX(Input!$1:$1048576,IX$94,$C454*2+6)</f>
        <v>1770</v>
      </c>
      <c r="IY454" s="39">
        <f>INDEX(Input!$1:$1048576,IY$93,$C454*2+6)+INDEX(Input!$1:$1048576,IY$94,$C454*2+6)</f>
        <v>2630.0624533823611</v>
      </c>
      <c r="IZ454" s="39">
        <f>INDEX(Input!$1:$1048576,IZ$93,$C454*2+6)+INDEX(Input!$1:$1048576,IZ$94,$C454*2+6)</f>
        <v>4153.7164157747848</v>
      </c>
      <c r="JA454" s="19">
        <f t="shared" si="1146"/>
        <v>2050</v>
      </c>
      <c r="JB454" s="19">
        <f t="shared" si="1147"/>
        <v>3614.5593893247706</v>
      </c>
      <c r="JC454" s="19">
        <f t="shared" si="1148"/>
        <v>4058.7164157747848</v>
      </c>
      <c r="JD454" s="19">
        <f t="shared" si="1149"/>
        <v>3021.484386524025</v>
      </c>
      <c r="JE454" s="21"/>
      <c r="JF454" s="1">
        <f t="shared" si="1129"/>
        <v>3.2545831732385969E-2</v>
      </c>
      <c r="JG454" s="15">
        <f>INDEX(Input!$1:$1048576,JG$93,$C454*2+6)/(1+VLOOKUP(C454*1000+INDEX(Input!$1:$1048576,JG$93+1,$C454*2+6),$A:$KK,$JK$92,FALSE))</f>
        <v>2329</v>
      </c>
      <c r="JH454" s="1">
        <f t="shared" si="1150"/>
        <v>3.6808980425815999E-2</v>
      </c>
      <c r="JI454" s="1">
        <f t="shared" si="1151"/>
        <v>5.5008681032505134E-2</v>
      </c>
      <c r="JJ454" s="1">
        <f t="shared" si="1211"/>
        <v>0</v>
      </c>
      <c r="JK454" s="1">
        <f t="shared" si="1212"/>
        <v>9.1817661458321126E-2</v>
      </c>
      <c r="JL454" s="15">
        <f t="shared" si="1154"/>
        <v>213.8433335364299</v>
      </c>
      <c r="JM454" s="15">
        <f t="shared" si="1180"/>
        <v>2542.8433335364298</v>
      </c>
      <c r="JN454" s="21"/>
      <c r="JO454" s="19">
        <f>INDEX(Input!$1:$1048576,JO$93,$C454*2+6)</f>
        <v>5995.5</v>
      </c>
      <c r="JP454" s="19">
        <f>INDEX(Input!$1:$1048576,JP$93,$C454*2+6)</f>
        <v>2341.8685758720158</v>
      </c>
      <c r="JQ454" s="39">
        <f t="shared" si="1166"/>
        <v>2974.015613475975</v>
      </c>
      <c r="JR454" s="39">
        <f t="shared" si="1183"/>
        <v>679.61581065200926</v>
      </c>
      <c r="JS454" s="39">
        <f t="shared" si="1168"/>
        <v>7.6831614296570265</v>
      </c>
      <c r="JT454" s="39">
        <f t="shared" si="1156"/>
        <v>2.228949516451102</v>
      </c>
      <c r="JU454" s="385">
        <f>(JQ454*JM454-INDEX(Input!$1:$1048576,Input!A$18,$C454*2+6)*JL454*INDEX(Input!$1:$1048576,Input!A$19,$C454*2+6))/1000000</f>
        <v>7.5624557765606379</v>
      </c>
      <c r="JV454" s="39">
        <f t="shared" si="1190"/>
        <v>-0.94685181023343645</v>
      </c>
      <c r="JW454" s="1">
        <f t="shared" si="1181"/>
        <v>-0.11127248610720014</v>
      </c>
      <c r="JX454" s="19">
        <f t="shared" si="1172"/>
        <v>10423.282688264784</v>
      </c>
      <c r="JZ454" s="341"/>
      <c r="KA454" s="342"/>
      <c r="KB454" s="469">
        <f t="shared" si="1169"/>
        <v>2.3434325605641804</v>
      </c>
      <c r="KI454" s="473">
        <f t="shared" si="1235"/>
        <v>-0.28838340480149327</v>
      </c>
      <c r="KJ454" s="473">
        <f t="shared" si="1236"/>
        <v>232.6823177569886</v>
      </c>
      <c r="KK454" s="473">
        <f t="shared" si="1158"/>
        <v>-18.550600815757392</v>
      </c>
      <c r="KN454" s="544">
        <f t="shared" si="1173"/>
        <v>4002</v>
      </c>
      <c r="KO454" s="541">
        <f t="shared" si="1133"/>
        <v>5.1364817512274286E-2</v>
      </c>
      <c r="KP454" s="546">
        <f t="shared" si="1134"/>
        <v>386.96934156834169</v>
      </c>
      <c r="KQ454" s="546">
        <f t="shared" si="1135"/>
        <v>396.71319848800385</v>
      </c>
      <c r="KR454" s="548">
        <f t="shared" si="1136"/>
        <v>2.3043297985413509</v>
      </c>
      <c r="KS454" s="548">
        <f t="shared" si="1137"/>
        <v>2.2477320852858393</v>
      </c>
      <c r="KT454" s="473">
        <f t="shared" si="1171"/>
        <v>1580.0986321700548</v>
      </c>
      <c r="KU454" s="663">
        <f t="shared" si="1159"/>
        <v>4.0301068191215803</v>
      </c>
      <c r="KV454" s="117"/>
    </row>
    <row r="455" spans="1:308" s="26" customFormat="1" ht="15" outlineLevel="1">
      <c r="A455" s="561">
        <f t="shared" si="1138"/>
        <v>4055</v>
      </c>
      <c r="B455" s="561">
        <f t="shared" si="1160"/>
        <v>55</v>
      </c>
      <c r="C455" s="561">
        <f t="shared" si="1161"/>
        <v>4</v>
      </c>
      <c r="D455" s="561" t="str">
        <f t="shared" si="1206"/>
        <v xml:space="preserve">500 CC, 500 Combo, 360 Lease, </v>
      </c>
      <c r="E455" s="475">
        <f>INDEX(Input!$1:$1048576,E$93,$C455*2+MIN($B455,2)+5)
+INDEX(Scenarios!E$121:E$200,MATCH($B455,Scenarios!$B$121:$B$200,0))</f>
        <v>1756.832975525977</v>
      </c>
      <c r="F455" s="475">
        <f>INDEX(Input!$1:$1048576,F$93,$C455*2+MIN($B455,2)+5)
+INDEX(Scenarios!F$121:F$200,MATCH($B455,Scenarios!$B$121:$B$200,0))</f>
        <v>0</v>
      </c>
      <c r="G455" s="475">
        <f>INDEX(Input!$1:$1048576,G$93,$C455*2+MIN($B455,2)+5)
+INDEX(Scenarios!G$121:G$200,MATCH($B455,Scenarios!$B$121:$B$200,0))</f>
        <v>0</v>
      </c>
      <c r="H455" s="475">
        <f>INDEX(Input!$1:$1048576,H$93,$C455*2+MIN($B455,2)+5)
+INDEX(Scenarios!H$121:H$200,MATCH($B455,Scenarios!$B$121:$B$200,0))</f>
        <v>0</v>
      </c>
      <c r="I455" s="476">
        <f>INDEX(Input!$1:$1048576,I$93,$C455*2+MIN($B455,2)+5)</f>
        <v>0.7</v>
      </c>
      <c r="J455" s="476" t="str">
        <f>INDEX(Input!$1:$1048576,J$93,$C455*2+MIN($B455,2)+5)</f>
        <v>Market</v>
      </c>
      <c r="K455" s="476" t="str">
        <f>INDEX(Input!$1:$1048576,K$93,$C455*2+MIN($B455,2)+5)</f>
        <v>Market</v>
      </c>
      <c r="L455" s="476" t="str">
        <f>INDEX(Input!$1:$1048576,L$93,$C455*2+MIN($B455,2)+5)</f>
        <v>Market</v>
      </c>
      <c r="M455" s="476" t="str">
        <f>INDEX(Input!$1:$1048576,M$93,$C455*2+MIN($B455,2)+5)</f>
        <v>Market</v>
      </c>
      <c r="N455" s="476" t="str">
        <f>INDEX(Input!$1:$1048576,N$93,$C455*2+MIN($B455,2)+5)</f>
        <v>Market</v>
      </c>
      <c r="O455" s="476" t="str">
        <f>INDEX(Input!$1:$1048576,O$93,$C455*2+MIN($B455,2)+5)</f>
        <v>Market</v>
      </c>
      <c r="P455" s="476" t="str">
        <f>INDEX(Input!$1:$1048576,P$93,$C455*2+MIN($B455,2)+5)</f>
        <v>N</v>
      </c>
      <c r="Q455" s="477">
        <f>INDEX(Input!$1:$1048576,Q$93,$C455*2+MIN($B455,2)+5)
+INDEX(Scenarios!Q$121:Q$200,MATCH($B455,Scenarios!$B$121:$B$200,0))</f>
        <v>500</v>
      </c>
      <c r="R455" s="478">
        <f>IFERROR(MAX(0,INDEX(Input!$1:$1048576,R$93,$C455*2+MIN($B455,2)+5)
+INDEX(Scenarios!R$121:R$200,MATCH($B455,Scenarios!$B$121:$B$200,0)),),"Market")</f>
        <v>0</v>
      </c>
      <c r="S455" s="478">
        <f>IFERROR(MAX(0,INDEX(Input!$1:$1048576,S$93,$C455*2+MIN($B455,2)+5)
+INDEX(Scenarios!S$121:S$200,MATCH($B455,Scenarios!$B$121:$B$200,0)),),"Market")</f>
        <v>0</v>
      </c>
      <c r="T455" s="478">
        <f>IFERROR(MAX(0,INDEX(Input!$1:$1048576,T$93,$C455*2+MIN($B455,2)+5)
+INDEX(Scenarios!T$121:T$200,MATCH($B455,Scenarios!$B$121:$B$200,0)),),"Market")</f>
        <v>0</v>
      </c>
      <c r="U455" s="478">
        <f>IFERROR(MAX(0,INDEX(Input!$1:$1048576,U$93,$C455*2+MIN($B455,2)+5)
+INDEX(Scenarios!U$121:U$200,MATCH($B455,Scenarios!$B$121:$B$200,0)),),"Market")</f>
        <v>0</v>
      </c>
      <c r="V455" s="478">
        <f>IFERROR(MAX(0,INDEX(Input!$1:$1048576,V$93,$C455*2+MIN($B455,2)+5)
+INDEX(Scenarios!V$121:V$200,MATCH($B455,Scenarios!$B$121:$B$200,0)),),"Market")</f>
        <v>1.9E-2</v>
      </c>
      <c r="W455" s="885">
        <f>IFERROR(MAX(0,INDEX(Input!$1:$1048576,W$93,$C455*2+MIN($B455,2)+5)-0%,),"Market")</f>
        <v>3.9E-2</v>
      </c>
      <c r="X455" s="476" t="str">
        <f>INDEX(Input!$1:$1048576,X$93,$C455*2+MIN($B455,2)+5)</f>
        <v>Y</v>
      </c>
      <c r="Y455" s="475">
        <f>INDEX(Input!$1:$1048576,Y$93,$C455*2+MIN($B455,2)+5)
++INDEX(Scenarios!Y$121:Y$200,MATCH($B455,Scenarios!$B$121:$B$200,0))</f>
        <v>-510</v>
      </c>
      <c r="Z455" s="477">
        <f>INDEX(Input!$1:$1048576,Z$93,$C455*2+MIN($B455,2)+5)
+INDEX(Scenarios!Z$121:Z$200,MATCH($B455,Scenarios!$B$121:$B$200,0))</f>
        <v>0</v>
      </c>
      <c r="AA455" s="475">
        <f>INDEX(Input!$1:$1048576,AA$93,$C455*2+MIN($B455,2)+5)
+INDEX(Scenarios!AA$121:AA$200,MATCH($B455,Scenarios!$B$121:$B$200,0))</f>
        <v>0</v>
      </c>
      <c r="AB455" s="476">
        <f>INDEX(Input!$1:$1048576,AB$93,$C455*2+MIN($B455,2)+5)</f>
        <v>0.27</v>
      </c>
      <c r="AC455" s="475">
        <f>INDEX(Input!$1:$1048576,AC$93,$C455*2+MIN($B455,2)+5)
+INDEX(Scenarios!AC$121:AC$200,MATCH($B455,Scenarios!$B$121:$B$200,0))</f>
        <v>0</v>
      </c>
      <c r="AD455" s="476">
        <f>INDEX(Input!$1:$1048576,AD$93,$C455*2+MIN($B455,2)+5)</f>
        <v>0.27</v>
      </c>
      <c r="AE455" s="475">
        <f>INDEX(Input!$1:$1048576,AE$93,$C455*2+MIN($B455,2)+5)
+INDEX(Scenarios!AE$121:AE$200,MATCH($B455,Scenarios!$B$121:$B$200,0))</f>
        <v>0</v>
      </c>
      <c r="AF455" s="476">
        <f>INDEX(Input!$1:$1048576,AF$93,$C455*2+MIN($B455,2)+5)</f>
        <v>1</v>
      </c>
      <c r="AG455" s="475">
        <f>INDEX(Input!$1:$1048576,AG$93,$C455*2+MIN($B455,2)+5)
+INDEX(Scenarios!AG$121:AG$200,MATCH($B455,Scenarios!$B$121:$B$200,0))</f>
        <v>500</v>
      </c>
      <c r="AH455" s="476">
        <f>INDEX(Input!$1:$1048576,AH$93,$C455*2+MIN($B455,2)+5)</f>
        <v>0.83199999999999996</v>
      </c>
      <c r="AI455" s="475">
        <f>INDEX(Input!$1:$1048576,AI$93,$C455*2+MIN($B455,2)+5)
+INDEX(Scenarios!AI$121:AI$200,MATCH($B455,Scenarios!$B$121:$B$200,0))</f>
        <v>0</v>
      </c>
      <c r="AJ455" s="476">
        <f>INDEX(Input!$1:$1048576,AJ$93,$C455*2+MIN($B455,2)+5)</f>
        <v>0.27</v>
      </c>
      <c r="AK455" s="150">
        <f>ROUND(INDEX(Input!$1:$1048576,AK$93,$C454*2+MIN($B455,1)+5)+(Y455-VLOOKUP($C455*1000+1,$A:$HH,Y$92,FALSE)),0)</f>
        <v>2947</v>
      </c>
      <c r="AL455" s="150">
        <f>ROUND(INDEX(Input!$1:$1048576,AL$93,$C454*2+MIN($B455,1)+5)-(Y455-VLOOKUP($C455*1000+1,$A:$HH,Y$92,FALSE))/36,0)</f>
        <v>3396</v>
      </c>
      <c r="AM455" s="32" t="str">
        <f t="shared" si="1139"/>
        <v>std/std/std/std</v>
      </c>
      <c r="AN455" s="32" t="str">
        <f t="shared" si="1140"/>
        <v>$500 + 0/0/0/1.9/3.9</v>
      </c>
      <c r="AO455" s="32" t="str">
        <f t="shared" si="1141"/>
        <v>0/0/0/1.9/3.9</v>
      </c>
      <c r="AP455" s="32" t="str">
        <f t="shared" si="1213"/>
        <v>0/0.9/1.9/3.9</v>
      </c>
      <c r="AQ455" s="536">
        <f t="shared" si="1207"/>
        <v>0.42491151592296145</v>
      </c>
      <c r="AR455" s="32"/>
      <c r="AS455" s="302"/>
      <c r="AT455" s="3">
        <f t="shared" si="1162"/>
        <v>55</v>
      </c>
      <c r="AU455" s="41" t="s">
        <v>121</v>
      </c>
      <c r="AV455" s="41" t="s">
        <v>116</v>
      </c>
      <c r="AW455" s="41" t="str">
        <f>INDEX(Input!$1:$1048576,AW$93,$C455*2+6)</f>
        <v>Kia</v>
      </c>
      <c r="AX455" s="41" t="str">
        <f>INDEX(Input!$1:$1048576,AX$93,$C455*2+6)</f>
        <v>Kia-LR - R1</v>
      </c>
      <c r="AY455" s="41" t="str">
        <f>IF(LEN(D455)=0,"",INDEX(Input!$1:$1048576,AY$93,$C455*2+6))</f>
        <v>Compact SUV (52)</v>
      </c>
      <c r="AZ455" s="41" t="str">
        <f>INDEX(Input!$1:$1048576,AZ$93,$C455*2+6)</f>
        <v>Kia Soul</v>
      </c>
      <c r="BA455" s="3">
        <f>INDEX(Input!$1:$1048576,BA$93,$C455*2+6)</f>
        <v>2020</v>
      </c>
      <c r="BB455" s="128">
        <f>INDEX(Input!$1:$1048576,BB$93,$C455*2+6)</f>
        <v>1</v>
      </c>
      <c r="BC455" s="128">
        <f>INDEX(Input!$1:$1048576,BC$93,$C455*2+6)</f>
        <v>0.7</v>
      </c>
      <c r="BD455" s="1">
        <f>INDEX(Input!$1:$1048576,BD$93,$C455*2+6)</f>
        <v>4.4999999999999998E-2</v>
      </c>
      <c r="BE455" s="1">
        <f>INDEX(Input!$1:$1048576,BE$93,$C455*2+6)</f>
        <v>4.4999999999999998E-2</v>
      </c>
      <c r="BF455" s="1">
        <f>INDEX(Input!$1:$1048576,BF$93,$C455*2+6)</f>
        <v>0.05</v>
      </c>
      <c r="BG455" s="1">
        <f>INDEX(Input!$1:$1048576,BG$93,$C455*2+6)</f>
        <v>5.45E-2</v>
      </c>
      <c r="BH455" s="1">
        <f>INDEX(Input!$1:$1048576,BH$93,$C455*2+6)</f>
        <v>5.45E-2</v>
      </c>
      <c r="BI455" s="1">
        <f>INDEX(Input!$1:$1048576,BI$93,$C455*2+6)</f>
        <v>0.05</v>
      </c>
      <c r="BJ455" s="1">
        <f>INDEX(Input!$1:$1048576,BJ$93,$C455*2+6)</f>
        <v>0.05</v>
      </c>
      <c r="BK455" s="1">
        <f>INDEX(Input!$1:$1048576,BK$93,$C455*2+6)</f>
        <v>0.05</v>
      </c>
      <c r="BL455" s="1">
        <f>INDEX(Input!$1:$1048576,BL$93,$C455*2+6)</f>
        <v>5.5E-2</v>
      </c>
      <c r="BM455" s="1">
        <f>INDEX(Input!$1:$1048576,BM$93,$C455*2+6)</f>
        <v>0.06</v>
      </c>
      <c r="BN455" s="1">
        <f>INDEX(Input!$1:$1048576,BN$93,$C455*2+6)</f>
        <v>4.4999999999999998E-2</v>
      </c>
      <c r="BO455" s="1">
        <f>INDEX(Input!$1:$1048576,BO$93,$C455*2+6)</f>
        <v>4.4999999999999998E-2</v>
      </c>
      <c r="BP455" s="1">
        <f>INDEX(Input!$1:$1048576,BP$93,$C455*2+6)</f>
        <v>0.05</v>
      </c>
      <c r="BQ455" s="1">
        <f>INDEX(Input!$1:$1048576,BQ$93,$C455*2+6)</f>
        <v>5.45E-2</v>
      </c>
      <c r="BR455" s="1">
        <f>INDEX(Input!$1:$1048576,BR$93,$C455*2+6)</f>
        <v>5.45E-2</v>
      </c>
      <c r="BS455" s="1">
        <f>INDEX(Input!$1:$1048576,BS$93,$C455*2+6)</f>
        <v>0.05</v>
      </c>
      <c r="BT455" s="1">
        <f>INDEX(Input!$1:$1048576,BT$93,$C455*2+6)</f>
        <v>0.05</v>
      </c>
      <c r="BU455" s="1">
        <f>INDEX(Input!$1:$1048576,BU$93,$C455*2+6)</f>
        <v>0.05</v>
      </c>
      <c r="BV455" s="1">
        <f>INDEX(Input!$1:$1048576,BV$93,$C455*2+6)</f>
        <v>5.5E-2</v>
      </c>
      <c r="BW455" s="1">
        <f>INDEX(Input!$1:$1048576,BW$93,$C455*2+6)</f>
        <v>0.06</v>
      </c>
      <c r="BX455" s="127">
        <f>INDEX(Input!$1:$1048576,BX$93,$C455*2+6)</f>
        <v>19985</v>
      </c>
      <c r="BY455" s="20">
        <f>INDEX(Input!$1:$1048576,BY$93,$C455*2+6)</f>
        <v>0.1</v>
      </c>
      <c r="BZ455" s="20">
        <f>INDEX(Input!$1:$1048576,BZ$93,$C455*2+6)</f>
        <v>0.1</v>
      </c>
      <c r="CA455" s="20">
        <f>INDEX(Input!$1:$1048576,CA$93,$C455*2+6)</f>
        <v>0.1</v>
      </c>
      <c r="CB455" s="20">
        <f>INDEX(Input!$1:$1048576,CB$93,$C455*2+6)</f>
        <v>0.1</v>
      </c>
      <c r="CC455" s="20">
        <f>INDEX(Input!$1:$1048576,CC$93,$C455*2+6)</f>
        <v>0.1</v>
      </c>
      <c r="CD455" s="384">
        <f>INDEX(Input!$1:$1048576,CD$93,$C455*2+6)</f>
        <v>0.1</v>
      </c>
      <c r="CE455" s="384">
        <f>INDEX(Input!$1:$1048576,CE$93,$C455*2+6)</f>
        <v>0.1</v>
      </c>
      <c r="CF455" s="384">
        <f>INDEX(Input!$1:$1048576,CF$93,$C455*2+6)</f>
        <v>0.1</v>
      </c>
      <c r="CG455" s="384">
        <f>INDEX(Input!$1:$1048576,CG$93,$C455*2+6)</f>
        <v>0.1</v>
      </c>
      <c r="CH455" s="384">
        <f>INDEX(Input!$1:$1048576,CH$93,$C455*2+6)</f>
        <v>0.1</v>
      </c>
      <c r="CI455" s="304">
        <f t="shared" si="1214"/>
        <v>1756.832975525977</v>
      </c>
      <c r="CJ455" s="16" t="str">
        <f>INDEX(Input!$1:$1048576,CJ$93,$C455*2+6)</f>
        <v>N</v>
      </c>
      <c r="CK455" s="1" t="str">
        <f t="shared" si="1215"/>
        <v>Market</v>
      </c>
      <c r="CL455" s="1" t="str">
        <f t="shared" si="1216"/>
        <v>Market</v>
      </c>
      <c r="CM455" s="1" t="str">
        <f t="shared" si="1217"/>
        <v>Market</v>
      </c>
      <c r="CN455" s="1" t="str">
        <f t="shared" si="1218"/>
        <v>Market</v>
      </c>
      <c r="CO455" s="1" t="str">
        <f t="shared" si="1219"/>
        <v>Market</v>
      </c>
      <c r="CP455" s="304">
        <f t="shared" si="1220"/>
        <v>916</v>
      </c>
      <c r="CQ455" s="1">
        <f t="shared" si="1221"/>
        <v>0</v>
      </c>
      <c r="CR455" s="1">
        <f t="shared" si="1222"/>
        <v>0</v>
      </c>
      <c r="CS455" s="1">
        <f t="shared" si="1223"/>
        <v>0</v>
      </c>
      <c r="CT455" s="1">
        <f t="shared" si="1224"/>
        <v>1.9E-2</v>
      </c>
      <c r="CU455" s="1">
        <f t="shared" si="1225"/>
        <v>3.9E-2</v>
      </c>
      <c r="CV455" s="304">
        <f t="shared" si="1226"/>
        <v>-510</v>
      </c>
      <c r="CW455" s="20" t="s">
        <v>122</v>
      </c>
      <c r="CX455" s="20" t="s">
        <v>122</v>
      </c>
      <c r="CY455" s="20" t="s">
        <v>122</v>
      </c>
      <c r="CZ455" s="20" t="s">
        <v>122</v>
      </c>
      <c r="DA455" s="20" t="s">
        <v>122</v>
      </c>
      <c r="DB455" s="503">
        <f t="shared" si="1227"/>
        <v>0</v>
      </c>
      <c r="DC455" s="127">
        <v>0</v>
      </c>
      <c r="DD455" s="127">
        <v>0</v>
      </c>
      <c r="DE455" s="127">
        <v>0</v>
      </c>
      <c r="DF455" s="127">
        <v>0</v>
      </c>
      <c r="DG455" s="127">
        <v>0</v>
      </c>
      <c r="DH455" s="127">
        <v>0</v>
      </c>
      <c r="DI455" s="127">
        <v>0</v>
      </c>
      <c r="DJ455" s="127">
        <v>0</v>
      </c>
      <c r="DK455" s="127">
        <v>0</v>
      </c>
      <c r="DL455" s="127">
        <v>0</v>
      </c>
      <c r="DM455" s="304">
        <f>INDEX(Input!$1:$1048576,DM$93,$C455*2+6)</f>
        <v>21036.84210526316</v>
      </c>
      <c r="DN455" s="20">
        <v>0</v>
      </c>
      <c r="DO455" s="20">
        <v>0</v>
      </c>
      <c r="DP455" s="20">
        <v>0</v>
      </c>
      <c r="DQ455" s="20">
        <v>0</v>
      </c>
      <c r="DR455" s="20">
        <v>0</v>
      </c>
      <c r="DS455" s="20">
        <f>INDEX(Input!$1:$1048576,DS$93,$C455*2+6)</f>
        <v>0.6</v>
      </c>
      <c r="DT455" s="20">
        <f>INDEX(Input!$1:$1048576,DT$93,$C455*2+6)</f>
        <v>0.55000000000000004</v>
      </c>
      <c r="DU455" s="20">
        <f>INDEX(Input!$1:$1048576,DU$93,$C455*2+6)</f>
        <v>0.52</v>
      </c>
      <c r="DV455" s="20">
        <f>INDEX(Input!$1:$1048576,DV$93,$C455*2+6)</f>
        <v>0.5</v>
      </c>
      <c r="DW455" s="20">
        <f>INDEX(Input!$1:$1048576,DW$93,$C455*2+6)</f>
        <v>0.45</v>
      </c>
      <c r="DX455" s="20"/>
      <c r="DY455" s="7">
        <v>0.1079116574365499</v>
      </c>
      <c r="DZ455" s="7">
        <v>0</v>
      </c>
      <c r="EA455" s="7">
        <v>0.80055638810615437</v>
      </c>
      <c r="EB455" s="7">
        <v>0</v>
      </c>
      <c r="EC455" s="7">
        <v>0</v>
      </c>
      <c r="ED455" s="7">
        <v>0</v>
      </c>
      <c r="EE455" s="7">
        <v>0</v>
      </c>
      <c r="EF455" s="7">
        <v>0</v>
      </c>
      <c r="EG455" s="7">
        <v>0</v>
      </c>
      <c r="EH455" s="7">
        <v>1.2265974298499677E-2</v>
      </c>
      <c r="EI455" s="7">
        <v>3.2039949019742511E-2</v>
      </c>
      <c r="EJ455" s="7">
        <v>0.22499195501819139</v>
      </c>
      <c r="EK455" s="7">
        <v>0.59344628279129685</v>
      </c>
      <c r="EL455" s="7">
        <v>0.13725583887226922</v>
      </c>
      <c r="EM455" s="7">
        <v>4.3271275518135838E-2</v>
      </c>
      <c r="EN455" s="7">
        <v>5.1579435687419205E-2</v>
      </c>
      <c r="EO455" s="7">
        <v>0.72420466223690305</v>
      </c>
      <c r="EP455" s="7">
        <v>9.6774482457733083E-2</v>
      </c>
      <c r="EQ455" s="7">
        <v>8.4952999433153611E-2</v>
      </c>
      <c r="ER455" s="7">
        <v>4.2488420184791577E-2</v>
      </c>
      <c r="ES455" s="7">
        <v>4.8260678939159918E-2</v>
      </c>
      <c r="ET455" s="7">
        <v>9.1531954457295756E-2</v>
      </c>
      <c r="EU455" s="6">
        <v>2270</v>
      </c>
      <c r="EV455" s="6">
        <v>0</v>
      </c>
      <c r="EW455" s="6">
        <v>2270</v>
      </c>
      <c r="EX455" s="6">
        <v>0</v>
      </c>
      <c r="EY455" s="6">
        <v>2983.4058525917553</v>
      </c>
      <c r="EZ455" s="6">
        <v>867</v>
      </c>
      <c r="FA455" s="6">
        <v>0</v>
      </c>
      <c r="FB455" s="6">
        <v>0</v>
      </c>
      <c r="FC455" s="6">
        <v>0</v>
      </c>
      <c r="FD455" s="6">
        <v>0</v>
      </c>
      <c r="FE455" s="6">
        <v>0</v>
      </c>
      <c r="FF455" s="6">
        <v>0</v>
      </c>
      <c r="FG455" s="6">
        <v>0</v>
      </c>
      <c r="FH455" s="6">
        <v>1169.7993891282126</v>
      </c>
      <c r="FI455" s="6">
        <v>1553.9796069512399</v>
      </c>
      <c r="FJ455" s="6">
        <v>2101.2110117447405</v>
      </c>
      <c r="FK455" s="6">
        <v>1772.713997862324</v>
      </c>
      <c r="FL455" s="6">
        <v>907.07682140966347</v>
      </c>
      <c r="FM455" s="6">
        <v>1713.4058525917555</v>
      </c>
      <c r="FN455" s="6">
        <v>0</v>
      </c>
      <c r="FO455" s="6">
        <v>0</v>
      </c>
      <c r="FP455" s="6">
        <v>0</v>
      </c>
      <c r="FQ455" s="6">
        <v>0</v>
      </c>
      <c r="FR455" s="6">
        <v>0</v>
      </c>
      <c r="FS455" s="6">
        <v>0</v>
      </c>
      <c r="FT455" s="7">
        <v>0.90846804554270433</v>
      </c>
      <c r="FU455" s="7">
        <v>4.3271275518135838E-2</v>
      </c>
      <c r="FV455" s="7">
        <v>4.8260678939159918E-2</v>
      </c>
      <c r="FW455" s="6">
        <v>2270</v>
      </c>
      <c r="FX455" s="6">
        <v>2983.4058525917553</v>
      </c>
      <c r="FY455" s="6">
        <v>867</v>
      </c>
      <c r="FZ455" s="6">
        <v>1949.5716051445115</v>
      </c>
      <c r="GA455" s="6">
        <v>2233.1602486521069</v>
      </c>
      <c r="GB455" s="6">
        <v>17751.839751347892</v>
      </c>
      <c r="GC455" s="7">
        <v>3.3872851927908169E-2</v>
      </c>
      <c r="GD455" s="7">
        <v>3.5540140202583503E-2</v>
      </c>
      <c r="GE455" s="7"/>
      <c r="GF455" s="7"/>
      <c r="GG455" s="7">
        <v>4.9221963306303095E-2</v>
      </c>
      <c r="GH455" s="42">
        <v>3.4687599775134177</v>
      </c>
      <c r="GI455" s="6">
        <v>7994.5851179295287</v>
      </c>
      <c r="GJ455" s="14">
        <v>0.50394797582841733</v>
      </c>
      <c r="GK455" s="14">
        <v>0.50887573065309744</v>
      </c>
      <c r="GL455" s="14">
        <v>0.49605202417158289</v>
      </c>
      <c r="GM455" s="14">
        <v>0.49112426934690245</v>
      </c>
      <c r="GO455" s="5">
        <v>343.14810671672558</v>
      </c>
      <c r="GP455" s="5">
        <v>299.84083725090579</v>
      </c>
      <c r="GQ455" s="5">
        <v>535.04305713031317</v>
      </c>
      <c r="GR455" s="5">
        <v>410.15490233172511</v>
      </c>
      <c r="GS455" s="5">
        <v>339.42744393800166</v>
      </c>
      <c r="GT455" s="5">
        <v>293.4407446948278</v>
      </c>
      <c r="GU455" s="5">
        <v>258.04012322764959</v>
      </c>
      <c r="GV455" s="39" t="s">
        <v>392</v>
      </c>
      <c r="GW455" s="5">
        <v>464.34722222222223</v>
      </c>
      <c r="GX455" s="5">
        <v>348.26041666666669</v>
      </c>
      <c r="GY455" s="5">
        <v>278.60833333333335</v>
      </c>
      <c r="GZ455" s="5">
        <v>245.84245344171217</v>
      </c>
      <c r="HA455" s="5">
        <v>227.72592165501609</v>
      </c>
      <c r="HB455" s="39">
        <v>256.68955324697481</v>
      </c>
      <c r="HC455" s="5">
        <v>249.35312499999998</v>
      </c>
      <c r="HD455" s="5">
        <v>213.91580774853799</v>
      </c>
      <c r="HE455" s="5">
        <v>216.92584767206475</v>
      </c>
      <c r="HF455" s="5">
        <v>200.85938048245612</v>
      </c>
      <c r="HG455" s="5">
        <v>194.01388157894735</v>
      </c>
      <c r="HH455" s="39">
        <v>214.08015557070624</v>
      </c>
      <c r="HI455" s="16"/>
      <c r="HJ455" s="19" t="str">
        <f t="shared" si="1239"/>
        <v>On</v>
      </c>
      <c r="HK455" s="1" t="str">
        <f t="shared" si="1239"/>
        <v>On</v>
      </c>
      <c r="HL455" s="16"/>
      <c r="HM455" s="639">
        <f t="shared" si="1110"/>
        <v>2.9403358434788716E-2</v>
      </c>
      <c r="HN455" s="639">
        <f t="shared" si="1111"/>
        <v>1.4106809950923669E-3</v>
      </c>
      <c r="HO455" s="639">
        <f t="shared" si="1112"/>
        <v>1.7317923025048877E-3</v>
      </c>
      <c r="HP455" s="644">
        <f>(FT455*$GD455-HM455)/$JF455*INDEX(Input!$1:$1048576,$JG$93,$C455*2+6)</f>
        <v>206.36103446040468</v>
      </c>
      <c r="HQ455" s="644">
        <f>(FU455*$GD455-HN455)/$JF455*INDEX(Input!$1:$1048576,$JG$93,$C455*2+6)</f>
        <v>9.1015239844774189</v>
      </c>
      <c r="HR455" s="644">
        <f>(FV455*$GD455-HO455)/$JF455*INDEX(Input!$1:$1048576,$JG$93,$C455*2+6)</f>
        <v>-1.1879783870443337</v>
      </c>
      <c r="HS455" s="644">
        <f t="shared" si="1233"/>
        <v>-102.42248408055703</v>
      </c>
      <c r="HT455" s="644">
        <f t="shared" si="1114"/>
        <v>124.91211632094969</v>
      </c>
      <c r="HU455" s="644">
        <f t="shared" si="1115"/>
        <v>15.805148082974297</v>
      </c>
      <c r="HV455" s="648">
        <f t="shared" si="1116"/>
        <v>0</v>
      </c>
      <c r="HW455" s="648">
        <f t="shared" si="1117"/>
        <v>0</v>
      </c>
      <c r="HX455" s="648">
        <f t="shared" si="1118"/>
        <v>0</v>
      </c>
      <c r="HY455" s="644">
        <f>INDEX(Input!$1:$1048576,HY$93,$C455*2+6)*INDEX(Input!$1:$1048576,$JG$93,$C455*2+6)</f>
        <v>993</v>
      </c>
      <c r="HZ455" s="644">
        <f>INDEX(Input!$1:$1048576,HZ$93,$C455*2+6)*INDEX(Input!$1:$1048576,$JG$93,$C455*2+6)</f>
        <v>1216</v>
      </c>
      <c r="IA455" s="644">
        <f>INDEX(Input!$1:$1048576,IA$93,$C455*2+6)*INDEX(Input!$1:$1048576,$JG$93,$C455*2+6)</f>
        <v>120</v>
      </c>
      <c r="IB455" s="644">
        <f t="shared" si="1142"/>
        <v>1096.9385503798476</v>
      </c>
      <c r="IC455" s="644">
        <f t="shared" si="1143"/>
        <v>1350.0136403054271</v>
      </c>
      <c r="ID455" s="644">
        <f>IF(AND(INDEX(Input!$1:$1048576,IA$93,$C455*2+7)="TOS",Y455&lt;=INDEX(Y:Y,MATCH(C455*1000+2,A:A))),0,1)*MAX(IA455+HR455+HU455+HX455,0%)</f>
        <v>134.61716969592996</v>
      </c>
      <c r="IE455" s="128">
        <f t="shared" si="1238"/>
        <v>0.42491151592296145</v>
      </c>
      <c r="IF455" s="128">
        <f t="shared" si="1210"/>
        <v>0.52294300553136364</v>
      </c>
      <c r="IG455" s="128">
        <f t="shared" si="1120"/>
        <v>5.2145478545674966E-2</v>
      </c>
      <c r="IH455" s="21"/>
      <c r="II455" s="19">
        <f t="shared" si="1121"/>
        <v>1490</v>
      </c>
      <c r="IJ455" s="19">
        <f t="shared" si="1122"/>
        <v>2203.2561351629856</v>
      </c>
      <c r="IK455" s="19">
        <f t="shared" si="1123"/>
        <v>242</v>
      </c>
      <c r="IL455" s="19">
        <f t="shared" si="1145"/>
        <v>780</v>
      </c>
      <c r="IM455" s="19">
        <f t="shared" si="1124"/>
        <v>780.14971742876969</v>
      </c>
      <c r="IN455" s="19">
        <f t="shared" si="1125"/>
        <v>625</v>
      </c>
      <c r="IO455" s="39">
        <f t="shared" si="1126"/>
        <v>0</v>
      </c>
      <c r="IP455" s="39">
        <f t="shared" si="1127"/>
        <v>0</v>
      </c>
      <c r="IQ455" s="39">
        <f t="shared" si="1128"/>
        <v>0</v>
      </c>
      <c r="IR455" s="39">
        <v>0</v>
      </c>
      <c r="IS455" s="39">
        <v>0</v>
      </c>
      <c r="IT455" s="39">
        <v>0</v>
      </c>
      <c r="IU455" s="39">
        <v>0</v>
      </c>
      <c r="IV455" s="39">
        <v>0</v>
      </c>
      <c r="IW455" s="39">
        <v>0</v>
      </c>
      <c r="IX455" s="39">
        <f>INDEX(Input!$1:$1048576,IX$93,$C455*2+6)+INDEX(Input!$1:$1048576,IX$94,$C455*2+6)</f>
        <v>1770</v>
      </c>
      <c r="IY455" s="39">
        <f>INDEX(Input!$1:$1048576,IY$93,$C455*2+6)+INDEX(Input!$1:$1048576,IY$94,$C455*2+6)</f>
        <v>2630.0624533823611</v>
      </c>
      <c r="IZ455" s="39">
        <f>INDEX(Input!$1:$1048576,IZ$93,$C455*2+6)+INDEX(Input!$1:$1048576,IZ$94,$C455*2+6)</f>
        <v>4153.7164157747848</v>
      </c>
      <c r="JA455" s="19">
        <f t="shared" si="1146"/>
        <v>2550</v>
      </c>
      <c r="JB455" s="19">
        <f t="shared" si="1147"/>
        <v>3410.2121708111308</v>
      </c>
      <c r="JC455" s="19">
        <f t="shared" si="1148"/>
        <v>4778.7164157747848</v>
      </c>
      <c r="JD455" s="19">
        <f t="shared" si="1149"/>
        <v>3116.0594220418088</v>
      </c>
      <c r="JE455" s="21"/>
      <c r="JF455" s="1">
        <f t="shared" si="1129"/>
        <v>3.2545831732385969E-2</v>
      </c>
      <c r="JG455" s="15">
        <f>INDEX(Input!$1:$1048576,JG$93,$C455*2+6)/(1+VLOOKUP(C455*1000+INDEX(Input!$1:$1048576,JG$93+1,$C455*2+6),$A:$KK,$JK$92,FALSE))</f>
        <v>2329</v>
      </c>
      <c r="JH455" s="1">
        <f t="shared" si="1150"/>
        <v>9.2002825271720809E-2</v>
      </c>
      <c r="JI455" s="1">
        <f t="shared" si="1151"/>
        <v>1.6442584939187189E-2</v>
      </c>
      <c r="JJ455" s="1">
        <f t="shared" si="1211"/>
        <v>0</v>
      </c>
      <c r="JK455" s="1">
        <f t="shared" si="1212"/>
        <v>0.10844541021090801</v>
      </c>
      <c r="JL455" s="15">
        <f t="shared" si="1154"/>
        <v>252.56936038120475</v>
      </c>
      <c r="JM455" s="15">
        <f t="shared" si="1180"/>
        <v>2581.5693603812047</v>
      </c>
      <c r="JN455" s="21"/>
      <c r="JO455" s="19">
        <f>INDEX(Input!$1:$1048576,JO$93,$C455*2+6)</f>
        <v>5995.5</v>
      </c>
      <c r="JP455" s="19">
        <f>INDEX(Input!$1:$1048576,JP$93,$C455*2+6)</f>
        <v>2341.8685758720158</v>
      </c>
      <c r="JQ455" s="39">
        <f t="shared" si="1166"/>
        <v>2879.4405779581912</v>
      </c>
      <c r="JR455" s="39">
        <f t="shared" si="1183"/>
        <v>774.19084616979308</v>
      </c>
      <c r="JS455" s="39">
        <f t="shared" si="1168"/>
        <v>8.044323529070299</v>
      </c>
      <c r="JT455" s="39">
        <f t="shared" si="1156"/>
        <v>2.5901116158643749</v>
      </c>
      <c r="JU455" s="385">
        <f>(JQ455*JM455-INDEX(Input!$1:$1048576,Input!A$18,$C455*2+6)*JL455*INDEX(Input!$1:$1048576,Input!A$19,$C455*2+6))/1000000</f>
        <v>7.4334755710952143</v>
      </c>
      <c r="JV455" s="39">
        <f t="shared" si="1190"/>
        <v>-1.0758320156988601</v>
      </c>
      <c r="JW455" s="1">
        <f t="shared" si="1181"/>
        <v>-0.12643003026103861</v>
      </c>
      <c r="JX455" s="19">
        <f t="shared" si="1172"/>
        <v>10255.050778744901</v>
      </c>
      <c r="JZ455" s="341"/>
      <c r="KA455" s="342"/>
      <c r="KB455" s="469">
        <f t="shared" si="1169"/>
        <v>2.3434325605641804</v>
      </c>
      <c r="KI455" s="473">
        <f t="shared" si="1235"/>
        <v>103.93855037984758</v>
      </c>
      <c r="KJ455" s="473">
        <f t="shared" si="1236"/>
        <v>134.01364030542709</v>
      </c>
      <c r="KK455" s="473">
        <f t="shared" si="1158"/>
        <v>14.61716969592996</v>
      </c>
      <c r="KN455" s="544">
        <f t="shared" si="1173"/>
        <v>4002</v>
      </c>
      <c r="KO455" s="541">
        <f t="shared" si="1133"/>
        <v>6.7376492950417699E-2</v>
      </c>
      <c r="KP455" s="546">
        <f t="shared" si="1134"/>
        <v>492.75335856272739</v>
      </c>
      <c r="KQ455" s="546">
        <f t="shared" si="1135"/>
        <v>491.28823400578767</v>
      </c>
      <c r="KR455" s="548">
        <f t="shared" si="1136"/>
        <v>2.3737460411810267</v>
      </c>
      <c r="KS455" s="548">
        <f t="shared" si="1137"/>
        <v>2.3808250497469676</v>
      </c>
      <c r="KT455" s="473">
        <f t="shared" si="1171"/>
        <v>1580.0986321700548</v>
      </c>
      <c r="KU455" s="663">
        <f t="shared" si="1159"/>
        <v>4.0649795079478874</v>
      </c>
      <c r="KV455" s="117"/>
    </row>
    <row r="456" spans="1:308" s="26" customFormat="1" ht="15" outlineLevel="1">
      <c r="A456" s="561">
        <f t="shared" si="1138"/>
        <v>4056</v>
      </c>
      <c r="B456" s="561">
        <f t="shared" si="1160"/>
        <v>56</v>
      </c>
      <c r="C456" s="561">
        <f t="shared" si="1161"/>
        <v>4</v>
      </c>
      <c r="D456" s="561" t="str">
        <f t="shared" si="1206"/>
        <v xml:space="preserve">1000 CC, 1000 Combo, 720 Lease, </v>
      </c>
      <c r="E456" s="475">
        <f>INDEX(Input!$1:$1048576,E$93,$C456*2+MIN($B456,2)+5)
+INDEX(Scenarios!E$121:E$200,MATCH($B456,Scenarios!$B$121:$B$200,0))</f>
        <v>2256.832975525977</v>
      </c>
      <c r="F456" s="475">
        <f>INDEX(Input!$1:$1048576,F$93,$C456*2+MIN($B456,2)+5)
+INDEX(Scenarios!F$121:F$200,MATCH($B456,Scenarios!$B$121:$B$200,0))</f>
        <v>0</v>
      </c>
      <c r="G456" s="475">
        <f>INDEX(Input!$1:$1048576,G$93,$C456*2+MIN($B456,2)+5)
+INDEX(Scenarios!G$121:G$200,MATCH($B456,Scenarios!$B$121:$B$200,0))</f>
        <v>0</v>
      </c>
      <c r="H456" s="475">
        <f>INDEX(Input!$1:$1048576,H$93,$C456*2+MIN($B456,2)+5)
+INDEX(Scenarios!H$121:H$200,MATCH($B456,Scenarios!$B$121:$B$200,0))</f>
        <v>0</v>
      </c>
      <c r="I456" s="476">
        <f>INDEX(Input!$1:$1048576,I$93,$C456*2+MIN($B456,2)+5)</f>
        <v>0.7</v>
      </c>
      <c r="J456" s="476" t="str">
        <f>INDEX(Input!$1:$1048576,J$93,$C456*2+MIN($B456,2)+5)</f>
        <v>Market</v>
      </c>
      <c r="K456" s="476" t="str">
        <f>INDEX(Input!$1:$1048576,K$93,$C456*2+MIN($B456,2)+5)</f>
        <v>Market</v>
      </c>
      <c r="L456" s="476" t="str">
        <f>INDEX(Input!$1:$1048576,L$93,$C456*2+MIN($B456,2)+5)</f>
        <v>Market</v>
      </c>
      <c r="M456" s="476" t="str">
        <f>INDEX(Input!$1:$1048576,M$93,$C456*2+MIN($B456,2)+5)</f>
        <v>Market</v>
      </c>
      <c r="N456" s="476" t="str">
        <f>INDEX(Input!$1:$1048576,N$93,$C456*2+MIN($B456,2)+5)</f>
        <v>Market</v>
      </c>
      <c r="O456" s="476" t="str">
        <f>INDEX(Input!$1:$1048576,O$93,$C456*2+MIN($B456,2)+5)</f>
        <v>Market</v>
      </c>
      <c r="P456" s="476" t="str">
        <f>INDEX(Input!$1:$1048576,P$93,$C456*2+MIN($B456,2)+5)</f>
        <v>N</v>
      </c>
      <c r="Q456" s="477">
        <f>INDEX(Input!$1:$1048576,Q$93,$C456*2+MIN($B456,2)+5)
+INDEX(Scenarios!Q$121:Q$200,MATCH($B456,Scenarios!$B$121:$B$200,0))</f>
        <v>1000</v>
      </c>
      <c r="R456" s="478">
        <f>IFERROR(MAX(0,INDEX(Input!$1:$1048576,R$93,$C456*2+MIN($B456,2)+5)
+INDEX(Scenarios!R$121:R$200,MATCH($B456,Scenarios!$B$121:$B$200,0)),),"Market")</f>
        <v>0</v>
      </c>
      <c r="S456" s="478">
        <f>IFERROR(MAX(0,INDEX(Input!$1:$1048576,S$93,$C456*2+MIN($B456,2)+5)
+INDEX(Scenarios!S$121:S$200,MATCH($B456,Scenarios!$B$121:$B$200,0)),),"Market")</f>
        <v>0</v>
      </c>
      <c r="T456" s="478">
        <f>IFERROR(MAX(0,INDEX(Input!$1:$1048576,T$93,$C456*2+MIN($B456,2)+5)
+INDEX(Scenarios!T$121:T$200,MATCH($B456,Scenarios!$B$121:$B$200,0)),),"Market")</f>
        <v>0</v>
      </c>
      <c r="U456" s="478">
        <f>IFERROR(MAX(0,INDEX(Input!$1:$1048576,U$93,$C456*2+MIN($B456,2)+5)
+INDEX(Scenarios!U$121:U$200,MATCH($B456,Scenarios!$B$121:$B$200,0)),),"Market")</f>
        <v>0</v>
      </c>
      <c r="V456" s="478">
        <f>IFERROR(MAX(0,INDEX(Input!$1:$1048576,V$93,$C456*2+MIN($B456,2)+5)
+INDEX(Scenarios!V$121:V$200,MATCH($B456,Scenarios!$B$121:$B$200,0)),),"Market")</f>
        <v>1.9E-2</v>
      </c>
      <c r="W456" s="885">
        <f>IFERROR(MAX(0,INDEX(Input!$1:$1048576,W$93,$C456*2+MIN($B456,2)+5)-0%,),"Market")</f>
        <v>3.9E-2</v>
      </c>
      <c r="X456" s="476" t="str">
        <f>INDEX(Input!$1:$1048576,X$93,$C456*2+MIN($B456,2)+5)</f>
        <v>Y</v>
      </c>
      <c r="Y456" s="475">
        <f>INDEX(Input!$1:$1048576,Y$93,$C456*2+MIN($B456,2)+5)
++INDEX(Scenarios!Y$121:Y$200,MATCH($B456,Scenarios!$B$121:$B$200,0))</f>
        <v>-150</v>
      </c>
      <c r="Z456" s="477">
        <f>INDEX(Input!$1:$1048576,Z$93,$C456*2+MIN($B456,2)+5)
+INDEX(Scenarios!Z$121:Z$200,MATCH($B456,Scenarios!$B$121:$B$200,0))</f>
        <v>0</v>
      </c>
      <c r="AA456" s="475">
        <f>INDEX(Input!$1:$1048576,AA$93,$C456*2+MIN($B456,2)+5)
+INDEX(Scenarios!AA$121:AA$200,MATCH($B456,Scenarios!$B$121:$B$200,0))</f>
        <v>0</v>
      </c>
      <c r="AB456" s="476">
        <f>INDEX(Input!$1:$1048576,AB$93,$C456*2+MIN($B456,2)+5)</f>
        <v>0.27</v>
      </c>
      <c r="AC456" s="475">
        <f>INDEX(Input!$1:$1048576,AC$93,$C456*2+MIN($B456,2)+5)
+INDEX(Scenarios!AC$121:AC$200,MATCH($B456,Scenarios!$B$121:$B$200,0))</f>
        <v>0</v>
      </c>
      <c r="AD456" s="476">
        <f>INDEX(Input!$1:$1048576,AD$93,$C456*2+MIN($B456,2)+5)</f>
        <v>0.27</v>
      </c>
      <c r="AE456" s="475">
        <f>INDEX(Input!$1:$1048576,AE$93,$C456*2+MIN($B456,2)+5)
+INDEX(Scenarios!AE$121:AE$200,MATCH($B456,Scenarios!$B$121:$B$200,0))</f>
        <v>0</v>
      </c>
      <c r="AF456" s="476">
        <f>INDEX(Input!$1:$1048576,AF$93,$C456*2+MIN($B456,2)+5)</f>
        <v>1</v>
      </c>
      <c r="AG456" s="475">
        <f>INDEX(Input!$1:$1048576,AG$93,$C456*2+MIN($B456,2)+5)
+INDEX(Scenarios!AG$121:AG$200,MATCH($B456,Scenarios!$B$121:$B$200,0))</f>
        <v>500</v>
      </c>
      <c r="AH456" s="476">
        <f>INDEX(Input!$1:$1048576,AH$93,$C456*2+MIN($B456,2)+5)</f>
        <v>0.83199999999999996</v>
      </c>
      <c r="AI456" s="475">
        <f>INDEX(Input!$1:$1048576,AI$93,$C456*2+MIN($B456,2)+5)
+INDEX(Scenarios!AI$121:AI$200,MATCH($B456,Scenarios!$B$121:$B$200,0))</f>
        <v>0</v>
      </c>
      <c r="AJ456" s="476">
        <f>INDEX(Input!$1:$1048576,AJ$93,$C456*2+MIN($B456,2)+5)</f>
        <v>0.27</v>
      </c>
      <c r="AK456" s="150">
        <f>ROUND(INDEX(Input!$1:$1048576,AK$93,$C455*2+MIN($B456,1)+5)+(Y456-VLOOKUP($C456*1000+1,$A:$HH,Y$92,FALSE)),0)</f>
        <v>3307</v>
      </c>
      <c r="AL456" s="150">
        <f>ROUND(INDEX(Input!$1:$1048576,AL$93,$C455*2+MIN($B456,1)+5)-(Y456-VLOOKUP($C456*1000+1,$A:$HH,Y$92,FALSE))/36,0)</f>
        <v>3386</v>
      </c>
      <c r="AM456" s="32" t="str">
        <f t="shared" si="1139"/>
        <v>std/std/std/std</v>
      </c>
      <c r="AN456" s="32" t="str">
        <f t="shared" si="1140"/>
        <v>$1000 + 0/0/0/1.9/3.9</v>
      </c>
      <c r="AO456" s="32" t="str">
        <f t="shared" si="1141"/>
        <v>0/0/0/1.9/3.9</v>
      </c>
      <c r="AP456" s="32" t="str">
        <f t="shared" si="1213"/>
        <v>0/0.9/1.9/3.9</v>
      </c>
      <c r="AQ456" s="536">
        <f t="shared" si="1207"/>
        <v>0.42653549917724098</v>
      </c>
      <c r="AR456" s="32"/>
      <c r="AS456" s="302"/>
      <c r="AT456" s="3">
        <f t="shared" si="1162"/>
        <v>56</v>
      </c>
      <c r="AU456" s="41" t="s">
        <v>121</v>
      </c>
      <c r="AV456" s="41" t="s">
        <v>116</v>
      </c>
      <c r="AW456" s="41" t="str">
        <f>INDEX(Input!$1:$1048576,AW$93,$C456*2+6)</f>
        <v>Kia</v>
      </c>
      <c r="AX456" s="41" t="str">
        <f>INDEX(Input!$1:$1048576,AX$93,$C456*2+6)</f>
        <v>Kia-LR - R1</v>
      </c>
      <c r="AY456" s="41" t="str">
        <f>IF(LEN(D456)=0,"",INDEX(Input!$1:$1048576,AY$93,$C456*2+6))</f>
        <v>Compact SUV (52)</v>
      </c>
      <c r="AZ456" s="41" t="str">
        <f>INDEX(Input!$1:$1048576,AZ$93,$C456*2+6)</f>
        <v>Kia Soul</v>
      </c>
      <c r="BA456" s="3">
        <f>INDEX(Input!$1:$1048576,BA$93,$C456*2+6)</f>
        <v>2020</v>
      </c>
      <c r="BB456" s="128">
        <f>INDEX(Input!$1:$1048576,BB$93,$C456*2+6)</f>
        <v>1</v>
      </c>
      <c r="BC456" s="128">
        <f>INDEX(Input!$1:$1048576,BC$93,$C456*2+6)</f>
        <v>0.7</v>
      </c>
      <c r="BD456" s="1">
        <f>INDEX(Input!$1:$1048576,BD$93,$C456*2+6)</f>
        <v>4.4999999999999998E-2</v>
      </c>
      <c r="BE456" s="1">
        <f>INDEX(Input!$1:$1048576,BE$93,$C456*2+6)</f>
        <v>4.4999999999999998E-2</v>
      </c>
      <c r="BF456" s="1">
        <f>INDEX(Input!$1:$1048576,BF$93,$C456*2+6)</f>
        <v>0.05</v>
      </c>
      <c r="BG456" s="1">
        <f>INDEX(Input!$1:$1048576,BG$93,$C456*2+6)</f>
        <v>5.45E-2</v>
      </c>
      <c r="BH456" s="1">
        <f>INDEX(Input!$1:$1048576,BH$93,$C456*2+6)</f>
        <v>5.45E-2</v>
      </c>
      <c r="BI456" s="1">
        <f>INDEX(Input!$1:$1048576,BI$93,$C456*2+6)</f>
        <v>0.05</v>
      </c>
      <c r="BJ456" s="1">
        <f>INDEX(Input!$1:$1048576,BJ$93,$C456*2+6)</f>
        <v>0.05</v>
      </c>
      <c r="BK456" s="1">
        <f>INDEX(Input!$1:$1048576,BK$93,$C456*2+6)</f>
        <v>0.05</v>
      </c>
      <c r="BL456" s="1">
        <f>INDEX(Input!$1:$1048576,BL$93,$C456*2+6)</f>
        <v>5.5E-2</v>
      </c>
      <c r="BM456" s="1">
        <f>INDEX(Input!$1:$1048576,BM$93,$C456*2+6)</f>
        <v>0.06</v>
      </c>
      <c r="BN456" s="1">
        <f>INDEX(Input!$1:$1048576,BN$93,$C456*2+6)</f>
        <v>4.4999999999999998E-2</v>
      </c>
      <c r="BO456" s="1">
        <f>INDEX(Input!$1:$1048576,BO$93,$C456*2+6)</f>
        <v>4.4999999999999998E-2</v>
      </c>
      <c r="BP456" s="1">
        <f>INDEX(Input!$1:$1048576,BP$93,$C456*2+6)</f>
        <v>0.05</v>
      </c>
      <c r="BQ456" s="1">
        <f>INDEX(Input!$1:$1048576,BQ$93,$C456*2+6)</f>
        <v>5.45E-2</v>
      </c>
      <c r="BR456" s="1">
        <f>INDEX(Input!$1:$1048576,BR$93,$C456*2+6)</f>
        <v>5.45E-2</v>
      </c>
      <c r="BS456" s="1">
        <f>INDEX(Input!$1:$1048576,BS$93,$C456*2+6)</f>
        <v>0.05</v>
      </c>
      <c r="BT456" s="1">
        <f>INDEX(Input!$1:$1048576,BT$93,$C456*2+6)</f>
        <v>0.05</v>
      </c>
      <c r="BU456" s="1">
        <f>INDEX(Input!$1:$1048576,BU$93,$C456*2+6)</f>
        <v>0.05</v>
      </c>
      <c r="BV456" s="1">
        <f>INDEX(Input!$1:$1048576,BV$93,$C456*2+6)</f>
        <v>5.5E-2</v>
      </c>
      <c r="BW456" s="1">
        <f>INDEX(Input!$1:$1048576,BW$93,$C456*2+6)</f>
        <v>0.06</v>
      </c>
      <c r="BX456" s="127">
        <f>INDEX(Input!$1:$1048576,BX$93,$C456*2+6)</f>
        <v>19985</v>
      </c>
      <c r="BY456" s="20">
        <f>INDEX(Input!$1:$1048576,BY$93,$C456*2+6)</f>
        <v>0.1</v>
      </c>
      <c r="BZ456" s="20">
        <f>INDEX(Input!$1:$1048576,BZ$93,$C456*2+6)</f>
        <v>0.1</v>
      </c>
      <c r="CA456" s="20">
        <f>INDEX(Input!$1:$1048576,CA$93,$C456*2+6)</f>
        <v>0.1</v>
      </c>
      <c r="CB456" s="20">
        <f>INDEX(Input!$1:$1048576,CB$93,$C456*2+6)</f>
        <v>0.1</v>
      </c>
      <c r="CC456" s="20">
        <f>INDEX(Input!$1:$1048576,CC$93,$C456*2+6)</f>
        <v>0.1</v>
      </c>
      <c r="CD456" s="384">
        <f>INDEX(Input!$1:$1048576,CD$93,$C456*2+6)</f>
        <v>0.1</v>
      </c>
      <c r="CE456" s="384">
        <f>INDEX(Input!$1:$1048576,CE$93,$C456*2+6)</f>
        <v>0.1</v>
      </c>
      <c r="CF456" s="384">
        <f>INDEX(Input!$1:$1048576,CF$93,$C456*2+6)</f>
        <v>0.1</v>
      </c>
      <c r="CG456" s="384">
        <f>INDEX(Input!$1:$1048576,CG$93,$C456*2+6)</f>
        <v>0.1</v>
      </c>
      <c r="CH456" s="384">
        <f>INDEX(Input!$1:$1048576,CH$93,$C456*2+6)</f>
        <v>0.1</v>
      </c>
      <c r="CI456" s="304">
        <f t="shared" si="1214"/>
        <v>2256.832975525977</v>
      </c>
      <c r="CJ456" s="16" t="str">
        <f>INDEX(Input!$1:$1048576,CJ$93,$C456*2+6)</f>
        <v>N</v>
      </c>
      <c r="CK456" s="1" t="str">
        <f t="shared" si="1215"/>
        <v>Market</v>
      </c>
      <c r="CL456" s="1" t="str">
        <f t="shared" si="1216"/>
        <v>Market</v>
      </c>
      <c r="CM456" s="1" t="str">
        <f t="shared" si="1217"/>
        <v>Market</v>
      </c>
      <c r="CN456" s="1" t="str">
        <f t="shared" si="1218"/>
        <v>Market</v>
      </c>
      <c r="CO456" s="1" t="str">
        <f t="shared" si="1219"/>
        <v>Market</v>
      </c>
      <c r="CP456" s="304">
        <f t="shared" si="1220"/>
        <v>1416</v>
      </c>
      <c r="CQ456" s="1">
        <f t="shared" si="1221"/>
        <v>0</v>
      </c>
      <c r="CR456" s="1">
        <f t="shared" si="1222"/>
        <v>0</v>
      </c>
      <c r="CS456" s="1">
        <f t="shared" si="1223"/>
        <v>0</v>
      </c>
      <c r="CT456" s="1">
        <f t="shared" si="1224"/>
        <v>1.9E-2</v>
      </c>
      <c r="CU456" s="1">
        <f t="shared" si="1225"/>
        <v>3.9E-2</v>
      </c>
      <c r="CV456" s="304">
        <f t="shared" si="1226"/>
        <v>-150</v>
      </c>
      <c r="CW456" s="20" t="s">
        <v>122</v>
      </c>
      <c r="CX456" s="20" t="s">
        <v>122</v>
      </c>
      <c r="CY456" s="20" t="s">
        <v>122</v>
      </c>
      <c r="CZ456" s="20" t="s">
        <v>122</v>
      </c>
      <c r="DA456" s="20" t="s">
        <v>122</v>
      </c>
      <c r="DB456" s="503">
        <f t="shared" si="1227"/>
        <v>0</v>
      </c>
      <c r="DC456" s="127">
        <v>0</v>
      </c>
      <c r="DD456" s="127">
        <v>0</v>
      </c>
      <c r="DE456" s="127">
        <v>0</v>
      </c>
      <c r="DF456" s="127">
        <v>0</v>
      </c>
      <c r="DG456" s="127">
        <v>0</v>
      </c>
      <c r="DH456" s="127">
        <v>0</v>
      </c>
      <c r="DI456" s="127">
        <v>0</v>
      </c>
      <c r="DJ456" s="127">
        <v>0</v>
      </c>
      <c r="DK456" s="127">
        <v>0</v>
      </c>
      <c r="DL456" s="127">
        <v>0</v>
      </c>
      <c r="DM456" s="304">
        <f>INDEX(Input!$1:$1048576,DM$93,$C456*2+6)</f>
        <v>21036.84210526316</v>
      </c>
      <c r="DN456" s="20">
        <v>0</v>
      </c>
      <c r="DO456" s="20">
        <v>0</v>
      </c>
      <c r="DP456" s="20">
        <v>0</v>
      </c>
      <c r="DQ456" s="20">
        <v>0</v>
      </c>
      <c r="DR456" s="20">
        <v>0</v>
      </c>
      <c r="DS456" s="20">
        <f>INDEX(Input!$1:$1048576,DS$93,$C456*2+6)</f>
        <v>0.6</v>
      </c>
      <c r="DT456" s="20">
        <f>INDEX(Input!$1:$1048576,DT$93,$C456*2+6)</f>
        <v>0.55000000000000004</v>
      </c>
      <c r="DU456" s="20">
        <f>INDEX(Input!$1:$1048576,DU$93,$C456*2+6)</f>
        <v>0.52</v>
      </c>
      <c r="DV456" s="20">
        <f>INDEX(Input!$1:$1048576,DV$93,$C456*2+6)</f>
        <v>0.5</v>
      </c>
      <c r="DW456" s="20">
        <f>INDEX(Input!$1:$1048576,DW$93,$C456*2+6)</f>
        <v>0.45</v>
      </c>
      <c r="DX456" s="20"/>
      <c r="DY456" s="7">
        <v>0.11304932020879248</v>
      </c>
      <c r="DZ456" s="7">
        <v>0</v>
      </c>
      <c r="EA456" s="7">
        <v>0.79884378489946495</v>
      </c>
      <c r="EB456" s="7">
        <v>0</v>
      </c>
      <c r="EC456" s="7">
        <v>0</v>
      </c>
      <c r="ED456" s="7">
        <v>0</v>
      </c>
      <c r="EE456" s="7">
        <v>0</v>
      </c>
      <c r="EF456" s="7">
        <v>0</v>
      </c>
      <c r="EG456" s="7">
        <v>0</v>
      </c>
      <c r="EH456" s="7">
        <v>1.2270007547406833E-2</v>
      </c>
      <c r="EI456" s="7">
        <v>3.2051835800908139E-2</v>
      </c>
      <c r="EJ456" s="7">
        <v>0.22510736376010135</v>
      </c>
      <c r="EK456" s="7">
        <v>0.59338970350735953</v>
      </c>
      <c r="EL456" s="7">
        <v>0.13718108938422383</v>
      </c>
      <c r="EM456" s="7">
        <v>4.3220100157946965E-2</v>
      </c>
      <c r="EN456" s="7">
        <v>5.2777882825858206E-2</v>
      </c>
      <c r="EO456" s="7">
        <v>0.73581492309237417</v>
      </c>
      <c r="EP456" s="7">
        <v>9.1024919292861717E-2</v>
      </c>
      <c r="EQ456" s="7">
        <v>7.982313893031949E-2</v>
      </c>
      <c r="ER456" s="7">
        <v>4.0559135858586844E-2</v>
      </c>
      <c r="ES456" s="7">
        <v>4.4886794733795643E-2</v>
      </c>
      <c r="ET456" s="7">
        <v>8.8106894891742601E-2</v>
      </c>
      <c r="EU456" s="6">
        <v>2770</v>
      </c>
      <c r="EV456" s="6">
        <v>0</v>
      </c>
      <c r="EW456" s="6">
        <v>2770</v>
      </c>
      <c r="EX456" s="6">
        <v>0</v>
      </c>
      <c r="EY456" s="6">
        <v>3483.5034419297826</v>
      </c>
      <c r="EZ456" s="6">
        <v>1227</v>
      </c>
      <c r="FA456" s="6">
        <v>0</v>
      </c>
      <c r="FB456" s="6">
        <v>0</v>
      </c>
      <c r="FC456" s="6">
        <v>0</v>
      </c>
      <c r="FD456" s="6">
        <v>0</v>
      </c>
      <c r="FE456" s="6">
        <v>0</v>
      </c>
      <c r="FF456" s="6">
        <v>0</v>
      </c>
      <c r="FG456" s="6">
        <v>0</v>
      </c>
      <c r="FH456" s="6">
        <v>1169.7996929329199</v>
      </c>
      <c r="FI456" s="6">
        <v>1553.9796069512413</v>
      </c>
      <c r="FJ456" s="6">
        <v>2101.2110117447405</v>
      </c>
      <c r="FK456" s="6">
        <v>1772.7139978623229</v>
      </c>
      <c r="FL456" s="6">
        <v>907.07682140966358</v>
      </c>
      <c r="FM456" s="6">
        <v>1713.5034419297824</v>
      </c>
      <c r="FN456" s="6">
        <v>0</v>
      </c>
      <c r="FO456" s="6">
        <v>0</v>
      </c>
      <c r="FP456" s="6">
        <v>0</v>
      </c>
      <c r="FQ456" s="6">
        <v>0</v>
      </c>
      <c r="FR456" s="6">
        <v>0</v>
      </c>
      <c r="FS456" s="6">
        <v>0</v>
      </c>
      <c r="FT456" s="7">
        <v>0.91189310510825738</v>
      </c>
      <c r="FU456" s="7">
        <v>4.3220100157946965E-2</v>
      </c>
      <c r="FV456" s="7">
        <v>4.4886794733795643E-2</v>
      </c>
      <c r="FW456" s="6">
        <v>2770</v>
      </c>
      <c r="FX456" s="6">
        <v>3483.5034419297826</v>
      </c>
      <c r="FY456" s="6">
        <v>1227</v>
      </c>
      <c r="FZ456" s="6">
        <v>1949.5716051445115</v>
      </c>
      <c r="GA456" s="6">
        <v>2731.5773659489987</v>
      </c>
      <c r="GB456" s="6">
        <v>17253.422634050999</v>
      </c>
      <c r="GC456" s="7">
        <v>3.3872851927908169E-2</v>
      </c>
      <c r="GD456" s="7">
        <v>3.7594844185739579E-2</v>
      </c>
      <c r="GE456" s="7"/>
      <c r="GF456" s="7"/>
      <c r="GG456" s="7">
        <v>0.10988127795536531</v>
      </c>
      <c r="GH456" s="42">
        <v>2.8081344793149192</v>
      </c>
      <c r="GI456" s="6">
        <v>9848.4017727614537</v>
      </c>
      <c r="GJ456" s="14">
        <v>0.50394797582841733</v>
      </c>
      <c r="GK456" s="14">
        <v>0.50887573065309755</v>
      </c>
      <c r="GL456" s="14">
        <v>0.49605202417158323</v>
      </c>
      <c r="GM456" s="14">
        <v>0.49112426934690262</v>
      </c>
      <c r="GO456" s="5">
        <v>343.14810671672558</v>
      </c>
      <c r="GP456" s="5">
        <v>290.30179111306006</v>
      </c>
      <c r="GQ456" s="5">
        <v>535.04305713031317</v>
      </c>
      <c r="GR456" s="5">
        <v>410.15490233172511</v>
      </c>
      <c r="GS456" s="5">
        <v>339.42744393800166</v>
      </c>
      <c r="GT456" s="5">
        <v>293.4407446948278</v>
      </c>
      <c r="GU456" s="5">
        <v>258.04012322764959</v>
      </c>
      <c r="GV456" s="39" t="s">
        <v>392</v>
      </c>
      <c r="GW456" s="5">
        <v>450.45833333333331</v>
      </c>
      <c r="GX456" s="5">
        <v>337.84375</v>
      </c>
      <c r="GY456" s="5">
        <v>270.27499999999998</v>
      </c>
      <c r="GZ456" s="5">
        <v>238.48916616741096</v>
      </c>
      <c r="HA456" s="5">
        <v>220.91451012583784</v>
      </c>
      <c r="HB456" s="39">
        <v>249.01884105305871</v>
      </c>
      <c r="HC456" s="5">
        <v>233.60312499999998</v>
      </c>
      <c r="HD456" s="5">
        <v>203.16580774853799</v>
      </c>
      <c r="HE456" s="5">
        <v>206.94507844129549</v>
      </c>
      <c r="HF456" s="5">
        <v>192.53438048245613</v>
      </c>
      <c r="HG456" s="5">
        <v>187.11388157894737</v>
      </c>
      <c r="HH456" s="39">
        <v>203.61654657177087</v>
      </c>
      <c r="HI456" s="16"/>
      <c r="HJ456" s="19" t="str">
        <f t="shared" si="1239"/>
        <v>On</v>
      </c>
      <c r="HK456" s="1" t="str">
        <f t="shared" si="1239"/>
        <v>On</v>
      </c>
      <c r="HL456" s="16"/>
      <c r="HM456" s="639">
        <f t="shared" si="1110"/>
        <v>2.9403358434788716E-2</v>
      </c>
      <c r="HN456" s="639">
        <f t="shared" si="1111"/>
        <v>1.4106809950923669E-3</v>
      </c>
      <c r="HO456" s="639">
        <f t="shared" si="1112"/>
        <v>1.7317923025048877E-3</v>
      </c>
      <c r="HP456" s="644">
        <f>(FT456*$GD456-HM456)/$JF456*INDEX(Input!$1:$1048576,$JG$93,$C456*2+6)</f>
        <v>349.15292246950344</v>
      </c>
      <c r="HQ456" s="644">
        <f>(FU456*$GD456-HN456)/$JF456*INDEX(Input!$1:$1048576,$JG$93,$C456*2+6)</f>
        <v>15.326277206044336</v>
      </c>
      <c r="HR456" s="644">
        <f>(FV456*$GD456-HO456)/$JF456*INDEX(Input!$1:$1048576,$JG$93,$C456*2+6)</f>
        <v>-3.1687221756235751</v>
      </c>
      <c r="HS456" s="644">
        <f t="shared" si="1233"/>
        <v>-168.07792333168246</v>
      </c>
      <c r="HT456" s="644">
        <f t="shared" si="1114"/>
        <v>204.98425848215021</v>
      </c>
      <c r="HU456" s="644">
        <f t="shared" si="1115"/>
        <v>25.367676571571046</v>
      </c>
      <c r="HV456" s="648">
        <f t="shared" si="1116"/>
        <v>0</v>
      </c>
      <c r="HW456" s="648">
        <f t="shared" si="1117"/>
        <v>0</v>
      </c>
      <c r="HX456" s="648">
        <f t="shared" si="1118"/>
        <v>0</v>
      </c>
      <c r="HY456" s="644">
        <f>INDEX(Input!$1:$1048576,HY$93,$C456*2+6)*INDEX(Input!$1:$1048576,$JG$93,$C456*2+6)</f>
        <v>993</v>
      </c>
      <c r="HZ456" s="644">
        <f>INDEX(Input!$1:$1048576,HZ$93,$C456*2+6)*INDEX(Input!$1:$1048576,$JG$93,$C456*2+6)</f>
        <v>1216</v>
      </c>
      <c r="IA456" s="644">
        <f>INDEX(Input!$1:$1048576,IA$93,$C456*2+6)*INDEX(Input!$1:$1048576,$JG$93,$C456*2+6)</f>
        <v>120</v>
      </c>
      <c r="IB456" s="644">
        <f t="shared" si="1142"/>
        <v>1174.0749991378209</v>
      </c>
      <c r="IC456" s="644">
        <f t="shared" si="1143"/>
        <v>1436.3105356881945</v>
      </c>
      <c r="ID456" s="644">
        <f>IF(AND(INDEX(Input!$1:$1048576,IA$93,$C456*2+7)="TOS",Y456&lt;=INDEX(Y:Y,MATCH(C456*1000+2,A:A))),0,1)*MAX(IA456+HR456+HU456+HX456,0%)</f>
        <v>142.19895439594748</v>
      </c>
      <c r="IE456" s="128">
        <f t="shared" si="1238"/>
        <v>0.42653549917724098</v>
      </c>
      <c r="IF456" s="128">
        <f t="shared" si="1210"/>
        <v>0.52180434108824669</v>
      </c>
      <c r="IG456" s="128">
        <f t="shared" si="1120"/>
        <v>5.1660159734512275E-2</v>
      </c>
      <c r="IH456" s="21"/>
      <c r="II456" s="19">
        <f t="shared" si="1121"/>
        <v>1490</v>
      </c>
      <c r="IJ456" s="19">
        <f t="shared" si="1122"/>
        <v>2203.2561351629856</v>
      </c>
      <c r="IK456" s="19">
        <f t="shared" si="1123"/>
        <v>242</v>
      </c>
      <c r="IL456" s="19">
        <f t="shared" si="1145"/>
        <v>1280</v>
      </c>
      <c r="IM456" s="19">
        <f t="shared" si="1124"/>
        <v>1280.247306766797</v>
      </c>
      <c r="IN456" s="19">
        <f t="shared" si="1125"/>
        <v>985</v>
      </c>
      <c r="IO456" s="39">
        <f t="shared" si="1126"/>
        <v>0</v>
      </c>
      <c r="IP456" s="39">
        <f t="shared" si="1127"/>
        <v>0</v>
      </c>
      <c r="IQ456" s="39">
        <f t="shared" si="1128"/>
        <v>0</v>
      </c>
      <c r="IR456" s="39">
        <v>0</v>
      </c>
      <c r="IS456" s="39">
        <v>0</v>
      </c>
      <c r="IT456" s="39">
        <v>0</v>
      </c>
      <c r="IU456" s="39">
        <v>0</v>
      </c>
      <c r="IV456" s="39">
        <v>0</v>
      </c>
      <c r="IW456" s="39">
        <v>0</v>
      </c>
      <c r="IX456" s="39">
        <f>INDEX(Input!$1:$1048576,IX$93,$C456*2+6)+INDEX(Input!$1:$1048576,IX$94,$C456*2+6)</f>
        <v>1770</v>
      </c>
      <c r="IY456" s="39">
        <f>INDEX(Input!$1:$1048576,IY$93,$C456*2+6)+INDEX(Input!$1:$1048576,IY$94,$C456*2+6)</f>
        <v>2630.0624533823611</v>
      </c>
      <c r="IZ456" s="39">
        <f>INDEX(Input!$1:$1048576,IZ$93,$C456*2+6)+INDEX(Input!$1:$1048576,IZ$94,$C456*2+6)</f>
        <v>4153.7164157747848</v>
      </c>
      <c r="JA456" s="19">
        <f t="shared" si="1146"/>
        <v>3050</v>
      </c>
      <c r="JB456" s="19">
        <f t="shared" si="1147"/>
        <v>3910.3097601491581</v>
      </c>
      <c r="JC456" s="19">
        <f t="shared" si="1148"/>
        <v>5138.7164157747848</v>
      </c>
      <c r="JD456" s="19">
        <f t="shared" si="1149"/>
        <v>3606.8167912054419</v>
      </c>
      <c r="JE456" s="21"/>
      <c r="JF456" s="1">
        <f t="shared" si="1129"/>
        <v>3.2545831732385969E-2</v>
      </c>
      <c r="JG456" s="15">
        <f>INDEX(Input!$1:$1048576,JG$93,$C456*2+6)/(1+VLOOKUP(C456*1000+INDEX(Input!$1:$1048576,JG$93+1,$C456*2+6),$A:$KK,$JK$92,FALSE))</f>
        <v>2329</v>
      </c>
      <c r="JH456" s="1">
        <f t="shared" si="1150"/>
        <v>0.15513545620434699</v>
      </c>
      <c r="JI456" s="1">
        <f t="shared" si="1151"/>
        <v>2.6738519416933792E-2</v>
      </c>
      <c r="JJ456" s="1">
        <f t="shared" si="1211"/>
        <v>0</v>
      </c>
      <c r="JK456" s="1">
        <f t="shared" si="1212"/>
        <v>0.18187397562128077</v>
      </c>
      <c r="JL456" s="15">
        <f t="shared" si="1154"/>
        <v>423.58448922196294</v>
      </c>
      <c r="JM456" s="15">
        <f t="shared" si="1180"/>
        <v>2752.5844892219629</v>
      </c>
      <c r="JN456" s="21"/>
      <c r="JO456" s="19">
        <f>INDEX(Input!$1:$1048576,JO$93,$C456*2+6)</f>
        <v>5995.5</v>
      </c>
      <c r="JP456" s="19">
        <f>INDEX(Input!$1:$1048576,JP$93,$C456*2+6)</f>
        <v>2341.8685758720158</v>
      </c>
      <c r="JQ456" s="39">
        <f t="shared" si="1166"/>
        <v>2388.6832087945581</v>
      </c>
      <c r="JR456" s="39">
        <f t="shared" si="1183"/>
        <v>1264.9482153334261</v>
      </c>
      <c r="JS456" s="39">
        <f t="shared" si="1168"/>
        <v>9.9280679549374309</v>
      </c>
      <c r="JT456" s="39">
        <f t="shared" si="1156"/>
        <v>4.4738560417315059</v>
      </c>
      <c r="JU456" s="385">
        <f>(JQ456*JM456-INDEX(Input!$1:$1048576,Input!A$18,$C456*2+6)*JL456*INDEX(Input!$1:$1048576,Input!A$19,$C456*2+6))/1000000</f>
        <v>6.5750523501928484</v>
      </c>
      <c r="JV456" s="39">
        <f t="shared" si="1190"/>
        <v>-1.934255236601226</v>
      </c>
      <c r="JW456" s="1">
        <f t="shared" si="1181"/>
        <v>-0.22731053224625139</v>
      </c>
      <c r="JX456" s="19">
        <f t="shared" si="1172"/>
        <v>10561.897698258625</v>
      </c>
      <c r="JZ456" s="341"/>
      <c r="KA456" s="342"/>
      <c r="KB456" s="469">
        <f t="shared" si="1169"/>
        <v>2.3434325605641804</v>
      </c>
      <c r="KI456" s="473">
        <f t="shared" si="1235"/>
        <v>181.0749991378209</v>
      </c>
      <c r="KJ456" s="473">
        <f t="shared" si="1236"/>
        <v>220.31053568819448</v>
      </c>
      <c r="KK456" s="473">
        <f t="shared" si="1158"/>
        <v>22.198954395947482</v>
      </c>
      <c r="KN456" s="544">
        <f t="shared" si="1173"/>
        <v>4002</v>
      </c>
      <c r="KO456" s="541">
        <f t="shared" si="1133"/>
        <v>0.13808446278647057</v>
      </c>
      <c r="KP456" s="546">
        <f t="shared" si="1134"/>
        <v>985.63968639079553</v>
      </c>
      <c r="KQ456" s="546">
        <f t="shared" si="1135"/>
        <v>982.0456031694207</v>
      </c>
      <c r="KR456" s="548">
        <f t="shared" si="1136"/>
        <v>2.432103640355852</v>
      </c>
      <c r="KS456" s="548">
        <f t="shared" si="1137"/>
        <v>2.4410046352365753</v>
      </c>
      <c r="KT456" s="473">
        <f t="shared" si="1171"/>
        <v>1580.0986321700548</v>
      </c>
      <c r="KU456" s="663">
        <f t="shared" si="1159"/>
        <v>4.1115862081511914</v>
      </c>
      <c r="KV456" s="117"/>
    </row>
    <row r="457" spans="1:308" s="26" customFormat="1" ht="15" outlineLevel="1">
      <c r="A457" s="561">
        <f t="shared" si="1138"/>
        <v>4057</v>
      </c>
      <c r="B457" s="561">
        <f t="shared" si="1160"/>
        <v>57</v>
      </c>
      <c r="C457" s="561">
        <f t="shared" si="1161"/>
        <v>4</v>
      </c>
      <c r="D457" s="561" t="str">
        <f t="shared" si="1206"/>
        <v xml:space="preserve">500 CC, 0/0/0.9/3.9, 360 Lease, </v>
      </c>
      <c r="E457" s="475">
        <f>INDEX(Input!$1:$1048576,E$93,$C457*2+MIN($B457,2)+5)
+INDEX(Scenarios!E$121:E$200,MATCH($B457,Scenarios!$B$121:$B$200,0))</f>
        <v>1756.832975525977</v>
      </c>
      <c r="F457" s="475">
        <f>INDEX(Input!$1:$1048576,F$93,$C457*2+MIN($B457,2)+5)
+INDEX(Scenarios!F$121:F$200,MATCH($B457,Scenarios!$B$121:$B$200,0))</f>
        <v>0</v>
      </c>
      <c r="G457" s="475">
        <f>INDEX(Input!$1:$1048576,G$93,$C457*2+MIN($B457,2)+5)
+INDEX(Scenarios!G$121:G$200,MATCH($B457,Scenarios!$B$121:$B$200,0))</f>
        <v>0</v>
      </c>
      <c r="H457" s="475">
        <f>INDEX(Input!$1:$1048576,H$93,$C457*2+MIN($B457,2)+5)
+INDEX(Scenarios!H$121:H$200,MATCH($B457,Scenarios!$B$121:$B$200,0))</f>
        <v>0</v>
      </c>
      <c r="I457" s="476">
        <f>INDEX(Input!$1:$1048576,I$93,$C457*2+MIN($B457,2)+5)</f>
        <v>0.7</v>
      </c>
      <c r="J457" s="476" t="str">
        <f>INDEX(Input!$1:$1048576,J$93,$C457*2+MIN($B457,2)+5)</f>
        <v>Market</v>
      </c>
      <c r="K457" s="476" t="str">
        <f>INDEX(Input!$1:$1048576,K$93,$C457*2+MIN($B457,2)+5)</f>
        <v>Market</v>
      </c>
      <c r="L457" s="476" t="str">
        <f>INDEX(Input!$1:$1048576,L$93,$C457*2+MIN($B457,2)+5)</f>
        <v>Market</v>
      </c>
      <c r="M457" s="476" t="str">
        <f>INDEX(Input!$1:$1048576,M$93,$C457*2+MIN($B457,2)+5)</f>
        <v>Market</v>
      </c>
      <c r="N457" s="476" t="str">
        <f>INDEX(Input!$1:$1048576,N$93,$C457*2+MIN($B457,2)+5)</f>
        <v>Market</v>
      </c>
      <c r="O457" s="476" t="str">
        <f>INDEX(Input!$1:$1048576,O$93,$C457*2+MIN($B457,2)+5)</f>
        <v>Market</v>
      </c>
      <c r="P457" s="476" t="str">
        <f>INDEX(Input!$1:$1048576,P$93,$C457*2+MIN($B457,2)+5)</f>
        <v>N</v>
      </c>
      <c r="Q457" s="477">
        <f>INDEX(Input!$1:$1048576,Q$93,$C457*2+MIN($B457,2)+5)
+INDEX(Scenarios!Q$121:Q$200,MATCH($B457,Scenarios!$B$121:$B$200,0))</f>
        <v>0</v>
      </c>
      <c r="R457" s="478">
        <f>IFERROR(MAX(0,INDEX(Input!$1:$1048576,R$93,$C457*2+MIN($B457,2)+5)
+INDEX(Scenarios!R$121:R$200,MATCH($B457,Scenarios!$B$121:$B$200,0)),),"Market")</f>
        <v>0</v>
      </c>
      <c r="S457" s="478">
        <f>IFERROR(MAX(0,INDEX(Input!$1:$1048576,S$93,$C457*2+MIN($B457,2)+5)
+INDEX(Scenarios!S$121:S$200,MATCH($B457,Scenarios!$B$121:$B$200,0)),),"Market")</f>
        <v>0</v>
      </c>
      <c r="T457" s="478">
        <f>IFERROR(MAX(0,INDEX(Input!$1:$1048576,T$93,$C457*2+MIN($B457,2)+5)
+INDEX(Scenarios!T$121:T$200,MATCH($B457,Scenarios!$B$121:$B$200,0)),),"Market")</f>
        <v>0</v>
      </c>
      <c r="U457" s="478">
        <f>IFERROR(MAX(0,INDEX(Input!$1:$1048576,U$93,$C457*2+MIN($B457,2)+5)
+INDEX(Scenarios!U$121:U$200,MATCH($B457,Scenarios!$B$121:$B$200,0)),),"Market")</f>
        <v>0</v>
      </c>
      <c r="V457" s="478">
        <f>IFERROR(MAX(0,INDEX(Input!$1:$1048576,V$93,$C457*2+MIN($B457,2)+5)
+INDEX(Scenarios!V$121:V$200,MATCH($B457,Scenarios!$B$121:$B$200,0)),),"Market")</f>
        <v>8.9999999999999993E-3</v>
      </c>
      <c r="W457" s="885">
        <f>IFERROR(MAX(0,INDEX(Input!$1:$1048576,W$93,$C457*2+MIN($B457,2)+5)-0%,),"Market")</f>
        <v>3.9E-2</v>
      </c>
      <c r="X457" s="476" t="str">
        <f>INDEX(Input!$1:$1048576,X$93,$C457*2+MIN($B457,2)+5)</f>
        <v>Y</v>
      </c>
      <c r="Y457" s="475">
        <f>INDEX(Input!$1:$1048576,Y$93,$C457*2+MIN($B457,2)+5)
++INDEX(Scenarios!Y$121:Y$200,MATCH($B457,Scenarios!$B$121:$B$200,0))</f>
        <v>-510</v>
      </c>
      <c r="Z457" s="477">
        <f>INDEX(Input!$1:$1048576,Z$93,$C457*2+MIN($B457,2)+5)
+INDEX(Scenarios!Z$121:Z$200,MATCH($B457,Scenarios!$B$121:$B$200,0))</f>
        <v>0</v>
      </c>
      <c r="AA457" s="475">
        <f>INDEX(Input!$1:$1048576,AA$93,$C457*2+MIN($B457,2)+5)
+INDEX(Scenarios!AA$121:AA$200,MATCH($B457,Scenarios!$B$121:$B$200,0))</f>
        <v>0</v>
      </c>
      <c r="AB457" s="476">
        <f>INDEX(Input!$1:$1048576,AB$93,$C457*2+MIN($B457,2)+5)</f>
        <v>0.27</v>
      </c>
      <c r="AC457" s="475">
        <f>INDEX(Input!$1:$1048576,AC$93,$C457*2+MIN($B457,2)+5)
+INDEX(Scenarios!AC$121:AC$200,MATCH($B457,Scenarios!$B$121:$B$200,0))</f>
        <v>0</v>
      </c>
      <c r="AD457" s="476">
        <f>INDEX(Input!$1:$1048576,AD$93,$C457*2+MIN($B457,2)+5)</f>
        <v>0.27</v>
      </c>
      <c r="AE457" s="475">
        <f>INDEX(Input!$1:$1048576,AE$93,$C457*2+MIN($B457,2)+5)
+INDEX(Scenarios!AE$121:AE$200,MATCH($B457,Scenarios!$B$121:$B$200,0))</f>
        <v>0</v>
      </c>
      <c r="AF457" s="476">
        <f>INDEX(Input!$1:$1048576,AF$93,$C457*2+MIN($B457,2)+5)</f>
        <v>1</v>
      </c>
      <c r="AG457" s="475">
        <f>INDEX(Input!$1:$1048576,AG$93,$C457*2+MIN($B457,2)+5)
+INDEX(Scenarios!AG$121:AG$200,MATCH($B457,Scenarios!$B$121:$B$200,0))</f>
        <v>500</v>
      </c>
      <c r="AH457" s="476">
        <f>INDEX(Input!$1:$1048576,AH$93,$C457*2+MIN($B457,2)+5)</f>
        <v>0.83199999999999996</v>
      </c>
      <c r="AI457" s="475">
        <f>INDEX(Input!$1:$1048576,AI$93,$C457*2+MIN($B457,2)+5)
+INDEX(Scenarios!AI$121:AI$200,MATCH($B457,Scenarios!$B$121:$B$200,0))</f>
        <v>0</v>
      </c>
      <c r="AJ457" s="476">
        <f>INDEX(Input!$1:$1048576,AJ$93,$C457*2+MIN($B457,2)+5)</f>
        <v>0.27</v>
      </c>
      <c r="AK457" s="150">
        <f>ROUND(INDEX(Input!$1:$1048576,AK$93,$C456*2+MIN($B457,1)+5)+(Y457-VLOOKUP($C457*1000+1,$A:$HH,Y$92,FALSE)),0)</f>
        <v>2947</v>
      </c>
      <c r="AL457" s="150">
        <f>ROUND(INDEX(Input!$1:$1048576,AL$93,$C456*2+MIN($B457,1)+5)-(Y457-VLOOKUP($C457*1000+1,$A:$HH,Y$92,FALSE))/36,0)</f>
        <v>3396</v>
      </c>
      <c r="AM457" s="32" t="str">
        <f t="shared" si="1139"/>
        <v>std/std/std/std</v>
      </c>
      <c r="AN457" s="32" t="str">
        <f t="shared" si="1140"/>
        <v>$0 + 0/0/0/0.9/3.9</v>
      </c>
      <c r="AO457" s="32" t="str">
        <f t="shared" si="1141"/>
        <v>0/0/0/0.9/3.9</v>
      </c>
      <c r="AP457" s="32" t="str">
        <f t="shared" si="1213"/>
        <v>0/0/0.9/3.9</v>
      </c>
      <c r="AQ457" s="536">
        <f t="shared" si="1207"/>
        <v>0.43002509929194255</v>
      </c>
      <c r="AR457" s="32"/>
      <c r="AS457" s="302"/>
      <c r="AT457" s="3">
        <f t="shared" si="1162"/>
        <v>57</v>
      </c>
      <c r="AU457" s="41" t="s">
        <v>121</v>
      </c>
      <c r="AV457" s="41" t="s">
        <v>116</v>
      </c>
      <c r="AW457" s="41" t="str">
        <f>INDEX(Input!$1:$1048576,AW$93,$C457*2+6)</f>
        <v>Kia</v>
      </c>
      <c r="AX457" s="41" t="str">
        <f>INDEX(Input!$1:$1048576,AX$93,$C457*2+6)</f>
        <v>Kia-LR - R1</v>
      </c>
      <c r="AY457" s="41" t="str">
        <f>IF(LEN(D457)=0,"",INDEX(Input!$1:$1048576,AY$93,$C457*2+6))</f>
        <v>Compact SUV (52)</v>
      </c>
      <c r="AZ457" s="41" t="str">
        <f>INDEX(Input!$1:$1048576,AZ$93,$C457*2+6)</f>
        <v>Kia Soul</v>
      </c>
      <c r="BA457" s="3">
        <f>INDEX(Input!$1:$1048576,BA$93,$C457*2+6)</f>
        <v>2020</v>
      </c>
      <c r="BB457" s="128">
        <f>INDEX(Input!$1:$1048576,BB$93,$C457*2+6)</f>
        <v>1</v>
      </c>
      <c r="BC457" s="128">
        <f>INDEX(Input!$1:$1048576,BC$93,$C457*2+6)</f>
        <v>0.7</v>
      </c>
      <c r="BD457" s="1">
        <f>INDEX(Input!$1:$1048576,BD$93,$C457*2+6)</f>
        <v>4.4999999999999998E-2</v>
      </c>
      <c r="BE457" s="1">
        <f>INDEX(Input!$1:$1048576,BE$93,$C457*2+6)</f>
        <v>4.4999999999999998E-2</v>
      </c>
      <c r="BF457" s="1">
        <f>INDEX(Input!$1:$1048576,BF$93,$C457*2+6)</f>
        <v>0.05</v>
      </c>
      <c r="BG457" s="1">
        <f>INDEX(Input!$1:$1048576,BG$93,$C457*2+6)</f>
        <v>5.45E-2</v>
      </c>
      <c r="BH457" s="1">
        <f>INDEX(Input!$1:$1048576,BH$93,$C457*2+6)</f>
        <v>5.45E-2</v>
      </c>
      <c r="BI457" s="1">
        <f>INDEX(Input!$1:$1048576,BI$93,$C457*2+6)</f>
        <v>0.05</v>
      </c>
      <c r="BJ457" s="1">
        <f>INDEX(Input!$1:$1048576,BJ$93,$C457*2+6)</f>
        <v>0.05</v>
      </c>
      <c r="BK457" s="1">
        <f>INDEX(Input!$1:$1048576,BK$93,$C457*2+6)</f>
        <v>0.05</v>
      </c>
      <c r="BL457" s="1">
        <f>INDEX(Input!$1:$1048576,BL$93,$C457*2+6)</f>
        <v>5.5E-2</v>
      </c>
      <c r="BM457" s="1">
        <f>INDEX(Input!$1:$1048576,BM$93,$C457*2+6)</f>
        <v>0.06</v>
      </c>
      <c r="BN457" s="1">
        <f>INDEX(Input!$1:$1048576,BN$93,$C457*2+6)</f>
        <v>4.4999999999999998E-2</v>
      </c>
      <c r="BO457" s="1">
        <f>INDEX(Input!$1:$1048576,BO$93,$C457*2+6)</f>
        <v>4.4999999999999998E-2</v>
      </c>
      <c r="BP457" s="1">
        <f>INDEX(Input!$1:$1048576,BP$93,$C457*2+6)</f>
        <v>0.05</v>
      </c>
      <c r="BQ457" s="1">
        <f>INDEX(Input!$1:$1048576,BQ$93,$C457*2+6)</f>
        <v>5.45E-2</v>
      </c>
      <c r="BR457" s="1">
        <f>INDEX(Input!$1:$1048576,BR$93,$C457*2+6)</f>
        <v>5.45E-2</v>
      </c>
      <c r="BS457" s="1">
        <f>INDEX(Input!$1:$1048576,BS$93,$C457*2+6)</f>
        <v>0.05</v>
      </c>
      <c r="BT457" s="1">
        <f>INDEX(Input!$1:$1048576,BT$93,$C457*2+6)</f>
        <v>0.05</v>
      </c>
      <c r="BU457" s="1">
        <f>INDEX(Input!$1:$1048576,BU$93,$C457*2+6)</f>
        <v>0.05</v>
      </c>
      <c r="BV457" s="1">
        <f>INDEX(Input!$1:$1048576,BV$93,$C457*2+6)</f>
        <v>5.5E-2</v>
      </c>
      <c r="BW457" s="1">
        <f>INDEX(Input!$1:$1048576,BW$93,$C457*2+6)</f>
        <v>0.06</v>
      </c>
      <c r="BX457" s="127">
        <f>INDEX(Input!$1:$1048576,BX$93,$C457*2+6)</f>
        <v>19985</v>
      </c>
      <c r="BY457" s="20">
        <f>INDEX(Input!$1:$1048576,BY$93,$C457*2+6)</f>
        <v>0.1</v>
      </c>
      <c r="BZ457" s="20">
        <f>INDEX(Input!$1:$1048576,BZ$93,$C457*2+6)</f>
        <v>0.1</v>
      </c>
      <c r="CA457" s="20">
        <f>INDEX(Input!$1:$1048576,CA$93,$C457*2+6)</f>
        <v>0.1</v>
      </c>
      <c r="CB457" s="20">
        <f>INDEX(Input!$1:$1048576,CB$93,$C457*2+6)</f>
        <v>0.1</v>
      </c>
      <c r="CC457" s="20">
        <f>INDEX(Input!$1:$1048576,CC$93,$C457*2+6)</f>
        <v>0.1</v>
      </c>
      <c r="CD457" s="384">
        <f>INDEX(Input!$1:$1048576,CD$93,$C457*2+6)</f>
        <v>0.1</v>
      </c>
      <c r="CE457" s="384">
        <f>INDEX(Input!$1:$1048576,CE$93,$C457*2+6)</f>
        <v>0.1</v>
      </c>
      <c r="CF457" s="384">
        <f>INDEX(Input!$1:$1048576,CF$93,$C457*2+6)</f>
        <v>0.1</v>
      </c>
      <c r="CG457" s="384">
        <f>INDEX(Input!$1:$1048576,CG$93,$C457*2+6)</f>
        <v>0.1</v>
      </c>
      <c r="CH457" s="384">
        <f>INDEX(Input!$1:$1048576,CH$93,$C457*2+6)</f>
        <v>0.1</v>
      </c>
      <c r="CI457" s="304">
        <f t="shared" si="1214"/>
        <v>1756.832975525977</v>
      </c>
      <c r="CJ457" s="16" t="str">
        <f>INDEX(Input!$1:$1048576,CJ$93,$C457*2+6)</f>
        <v>N</v>
      </c>
      <c r="CK457" s="1" t="str">
        <f t="shared" si="1215"/>
        <v>Market</v>
      </c>
      <c r="CL457" s="1" t="str">
        <f t="shared" si="1216"/>
        <v>Market</v>
      </c>
      <c r="CM457" s="1" t="str">
        <f t="shared" si="1217"/>
        <v>Market</v>
      </c>
      <c r="CN457" s="1" t="str">
        <f t="shared" si="1218"/>
        <v>Market</v>
      </c>
      <c r="CO457" s="1" t="str">
        <f t="shared" si="1219"/>
        <v>Market</v>
      </c>
      <c r="CP457" s="304">
        <f t="shared" si="1220"/>
        <v>416</v>
      </c>
      <c r="CQ457" s="1">
        <f t="shared" si="1221"/>
        <v>0</v>
      </c>
      <c r="CR457" s="1">
        <f t="shared" si="1222"/>
        <v>0</v>
      </c>
      <c r="CS457" s="1">
        <f t="shared" si="1223"/>
        <v>0</v>
      </c>
      <c r="CT457" s="1">
        <f t="shared" si="1224"/>
        <v>8.9999999999999993E-3</v>
      </c>
      <c r="CU457" s="1">
        <f t="shared" si="1225"/>
        <v>3.9E-2</v>
      </c>
      <c r="CV457" s="304">
        <f t="shared" si="1226"/>
        <v>-510</v>
      </c>
      <c r="CW457" s="20" t="s">
        <v>122</v>
      </c>
      <c r="CX457" s="20" t="s">
        <v>122</v>
      </c>
      <c r="CY457" s="20" t="s">
        <v>122</v>
      </c>
      <c r="CZ457" s="20" t="s">
        <v>122</v>
      </c>
      <c r="DA457" s="20" t="s">
        <v>122</v>
      </c>
      <c r="DB457" s="503">
        <f t="shared" si="1227"/>
        <v>0</v>
      </c>
      <c r="DC457" s="127">
        <v>0</v>
      </c>
      <c r="DD457" s="127">
        <v>0</v>
      </c>
      <c r="DE457" s="127">
        <v>0</v>
      </c>
      <c r="DF457" s="127">
        <v>0</v>
      </c>
      <c r="DG457" s="127">
        <v>0</v>
      </c>
      <c r="DH457" s="127">
        <v>0</v>
      </c>
      <c r="DI457" s="127">
        <v>0</v>
      </c>
      <c r="DJ457" s="127">
        <v>0</v>
      </c>
      <c r="DK457" s="127">
        <v>0</v>
      </c>
      <c r="DL457" s="127">
        <v>0</v>
      </c>
      <c r="DM457" s="304">
        <f>INDEX(Input!$1:$1048576,DM$93,$C457*2+6)</f>
        <v>21036.84210526316</v>
      </c>
      <c r="DN457" s="20">
        <v>0</v>
      </c>
      <c r="DO457" s="20">
        <v>0</v>
      </c>
      <c r="DP457" s="20">
        <v>0</v>
      </c>
      <c r="DQ457" s="20">
        <v>0</v>
      </c>
      <c r="DR457" s="20">
        <v>0</v>
      </c>
      <c r="DS457" s="20">
        <f>INDEX(Input!$1:$1048576,DS$93,$C457*2+6)</f>
        <v>0.6</v>
      </c>
      <c r="DT457" s="20">
        <f>INDEX(Input!$1:$1048576,DT$93,$C457*2+6)</f>
        <v>0.55000000000000004</v>
      </c>
      <c r="DU457" s="20">
        <f>INDEX(Input!$1:$1048576,DU$93,$C457*2+6)</f>
        <v>0.52</v>
      </c>
      <c r="DV457" s="20">
        <f>INDEX(Input!$1:$1048576,DV$93,$C457*2+6)</f>
        <v>0.5</v>
      </c>
      <c r="DW457" s="20">
        <f>INDEX(Input!$1:$1048576,DW$93,$C457*2+6)</f>
        <v>0.45</v>
      </c>
      <c r="DX457" s="20"/>
      <c r="DY457" s="7">
        <v>0.1078021807984151</v>
      </c>
      <c r="DZ457" s="7">
        <v>0</v>
      </c>
      <c r="EA457" s="7">
        <v>0.8011822122975244</v>
      </c>
      <c r="EB457" s="7">
        <v>0</v>
      </c>
      <c r="EC457" s="7">
        <v>0</v>
      </c>
      <c r="ED457" s="7">
        <v>0</v>
      </c>
      <c r="EE457" s="7">
        <v>0</v>
      </c>
      <c r="EF457" s="7">
        <v>0</v>
      </c>
      <c r="EG457" s="7">
        <v>0</v>
      </c>
      <c r="EH457" s="7">
        <v>9.5177438804214341E-3</v>
      </c>
      <c r="EI457" s="7">
        <v>2.4868234169980432E-2</v>
      </c>
      <c r="EJ457" s="7">
        <v>0.17452146462065493</v>
      </c>
      <c r="EK457" s="7">
        <v>0.68453595904409692</v>
      </c>
      <c r="EL457" s="7">
        <v>0.10655659828484666</v>
      </c>
      <c r="EM457" s="7">
        <v>4.2794839996896039E-2</v>
      </c>
      <c r="EN457" s="7">
        <v>5.157777319125411E-2</v>
      </c>
      <c r="EO457" s="7">
        <v>0.72420716157142706</v>
      </c>
      <c r="EP457" s="7">
        <v>9.6775503044063252E-2</v>
      </c>
      <c r="EQ457" s="7">
        <v>8.4950306618167076E-2</v>
      </c>
      <c r="ER457" s="7">
        <v>4.2489255575088529E-2</v>
      </c>
      <c r="ES457" s="7">
        <v>4.8220766907164495E-2</v>
      </c>
      <c r="ET457" s="7">
        <v>9.1015606904060534E-2</v>
      </c>
      <c r="EU457" s="6">
        <v>2270</v>
      </c>
      <c r="EV457" s="6">
        <v>0</v>
      </c>
      <c r="EW457" s="6">
        <v>2270</v>
      </c>
      <c r="EX457" s="6">
        <v>0</v>
      </c>
      <c r="EY457" s="6">
        <v>2824.2412321979173</v>
      </c>
      <c r="EZ457" s="6">
        <v>867</v>
      </c>
      <c r="FA457" s="6">
        <v>0</v>
      </c>
      <c r="FB457" s="6">
        <v>0</v>
      </c>
      <c r="FC457" s="6">
        <v>0</v>
      </c>
      <c r="FD457" s="6">
        <v>0</v>
      </c>
      <c r="FE457" s="6">
        <v>0</v>
      </c>
      <c r="FF457" s="6">
        <v>0</v>
      </c>
      <c r="FG457" s="6">
        <v>0</v>
      </c>
      <c r="FH457" s="6">
        <v>1169.8036905486936</v>
      </c>
      <c r="FI457" s="6">
        <v>1553.9796069512397</v>
      </c>
      <c r="FJ457" s="6">
        <v>2101.2110117447414</v>
      </c>
      <c r="FK457" s="6">
        <v>2251.307834803466</v>
      </c>
      <c r="FL457" s="6">
        <v>907.07682140966313</v>
      </c>
      <c r="FM457" s="6">
        <v>2054.2412321979173</v>
      </c>
      <c r="FN457" s="6">
        <v>0</v>
      </c>
      <c r="FO457" s="6">
        <v>0</v>
      </c>
      <c r="FP457" s="6">
        <v>0</v>
      </c>
      <c r="FQ457" s="6">
        <v>0</v>
      </c>
      <c r="FR457" s="6">
        <v>0</v>
      </c>
      <c r="FS457" s="6">
        <v>0</v>
      </c>
      <c r="FT457" s="7">
        <v>0.90898439309593948</v>
      </c>
      <c r="FU457" s="7">
        <v>4.2794839996896039E-2</v>
      </c>
      <c r="FV457" s="7">
        <v>4.8220766907164495E-2</v>
      </c>
      <c r="FW457" s="6">
        <v>2270</v>
      </c>
      <c r="FX457" s="6">
        <v>2824.2412321979173</v>
      </c>
      <c r="FY457" s="6">
        <v>867</v>
      </c>
      <c r="FZ457" s="6">
        <v>1949.5716051445115</v>
      </c>
      <c r="GA457" s="6">
        <v>2226.0649288808404</v>
      </c>
      <c r="GB457" s="6">
        <v>17758.935071119158</v>
      </c>
      <c r="GC457" s="7">
        <v>3.3872851927908169E-2</v>
      </c>
      <c r="GD457" s="7">
        <v>3.5547976357228936E-2</v>
      </c>
      <c r="GE457" s="7"/>
      <c r="GF457" s="7"/>
      <c r="GG457" s="7">
        <v>4.9453303574377078E-2</v>
      </c>
      <c r="GH457" s="42">
        <v>3.5744959718319174</v>
      </c>
      <c r="GI457" s="6">
        <v>7817.0629765741951</v>
      </c>
      <c r="GJ457" s="14">
        <v>0.50394797582841744</v>
      </c>
      <c r="GK457" s="14">
        <v>0.50887573065309766</v>
      </c>
      <c r="GL457" s="14">
        <v>0.49605202417158334</v>
      </c>
      <c r="GM457" s="14">
        <v>0.49112426934690301</v>
      </c>
      <c r="GO457" s="5">
        <v>343.14810671672558</v>
      </c>
      <c r="GP457" s="5">
        <v>299.84083725090579</v>
      </c>
      <c r="GQ457" s="5">
        <v>535.04305713031317</v>
      </c>
      <c r="GR457" s="5">
        <v>410.15490233172511</v>
      </c>
      <c r="GS457" s="5">
        <v>339.42744393800166</v>
      </c>
      <c r="GT457" s="5">
        <v>293.4407446948278</v>
      </c>
      <c r="GU457" s="5">
        <v>258.04012322764959</v>
      </c>
      <c r="GV457" s="39" t="s">
        <v>392</v>
      </c>
      <c r="GW457" s="5">
        <v>478.23611111111109</v>
      </c>
      <c r="GX457" s="5">
        <v>358.67708333333331</v>
      </c>
      <c r="GY457" s="5">
        <v>286.94166666666666</v>
      </c>
      <c r="GZ457" s="5">
        <v>245.72198221012883</v>
      </c>
      <c r="HA457" s="5">
        <v>234.53733318419432</v>
      </c>
      <c r="HB457" s="39">
        <v>256.74590759235616</v>
      </c>
      <c r="HC457" s="5">
        <v>249.35312499999998</v>
      </c>
      <c r="HD457" s="5">
        <v>213.91580774853799</v>
      </c>
      <c r="HE457" s="5">
        <v>216.92584767206475</v>
      </c>
      <c r="HF457" s="5">
        <v>200.85938048245612</v>
      </c>
      <c r="HG457" s="5">
        <v>194.01388157894735</v>
      </c>
      <c r="HH457" s="39">
        <v>214.08011826097473</v>
      </c>
      <c r="HI457" s="16"/>
      <c r="HJ457" s="19" t="str">
        <f t="shared" si="1239"/>
        <v>On</v>
      </c>
      <c r="HK457" s="1" t="str">
        <f t="shared" si="1239"/>
        <v>On</v>
      </c>
      <c r="HL457" s="16"/>
      <c r="HM457" s="639">
        <f t="shared" si="1110"/>
        <v>2.9403358434788716E-2</v>
      </c>
      <c r="HN457" s="639">
        <f t="shared" si="1111"/>
        <v>1.4106809950923669E-3</v>
      </c>
      <c r="HO457" s="639">
        <f t="shared" si="1112"/>
        <v>1.7317923025048877E-3</v>
      </c>
      <c r="HP457" s="644">
        <f>(FT457*$GD457-HM457)/$JF457*INDEX(Input!$1:$1048576,$JG$93,$C457*2+6)</f>
        <v>208.18397025491822</v>
      </c>
      <c r="HQ457" s="644">
        <f>(FU457*$GD457-HN457)/$JF457*INDEX(Input!$1:$1048576,$JG$93,$C457*2+6)</f>
        <v>7.9138152734385185</v>
      </c>
      <c r="HR457" s="644">
        <f>(FV457*$GD457-HO457)/$JF457*INDEX(Input!$1:$1048576,$JG$93,$C457*2+6)</f>
        <v>-1.2624453609209796</v>
      </c>
      <c r="HS457" s="644">
        <f t="shared" si="1233"/>
        <v>-102.34982961455603</v>
      </c>
      <c r="HT457" s="644">
        <f t="shared" si="1114"/>
        <v>98.06107709690626</v>
      </c>
      <c r="HU457" s="644">
        <f t="shared" si="1115"/>
        <v>15.73249361697331</v>
      </c>
      <c r="HV457" s="648">
        <f t="shared" si="1116"/>
        <v>0</v>
      </c>
      <c r="HW457" s="648">
        <f t="shared" si="1117"/>
        <v>0</v>
      </c>
      <c r="HX457" s="648">
        <f t="shared" si="1118"/>
        <v>0</v>
      </c>
      <c r="HY457" s="644">
        <f>INDEX(Input!$1:$1048576,HY$93,$C457*2+6)*INDEX(Input!$1:$1048576,$JG$93,$C457*2+6)</f>
        <v>993</v>
      </c>
      <c r="HZ457" s="644">
        <f>INDEX(Input!$1:$1048576,HZ$93,$C457*2+6)*INDEX(Input!$1:$1048576,$JG$93,$C457*2+6)</f>
        <v>1216</v>
      </c>
      <c r="IA457" s="644">
        <f>INDEX(Input!$1:$1048576,IA$93,$C457*2+6)*INDEX(Input!$1:$1048576,$JG$93,$C457*2+6)</f>
        <v>120</v>
      </c>
      <c r="IB457" s="644">
        <f t="shared" si="1142"/>
        <v>1098.834140640362</v>
      </c>
      <c r="IC457" s="644">
        <f t="shared" si="1143"/>
        <v>1321.9748923703448</v>
      </c>
      <c r="ID457" s="644">
        <f>IF(AND(INDEX(Input!$1:$1048576,IA$93,$C457*2+7)="TOS",Y457&lt;=INDEX(Y:Y,MATCH(C457*1000+2,A:A))),0,1)*MAX(IA457+HR457+HU457+HX457,0%)</f>
        <v>134.47004825605234</v>
      </c>
      <c r="IE457" s="128">
        <f t="shared" si="1238"/>
        <v>0.43002509929194255</v>
      </c>
      <c r="IF457" s="128">
        <f t="shared" si="1210"/>
        <v>0.51735049297041413</v>
      </c>
      <c r="IG457" s="128">
        <f t="shared" si="1120"/>
        <v>5.2624407737643229E-2</v>
      </c>
      <c r="IH457" s="21"/>
      <c r="II457" s="19">
        <f t="shared" si="1121"/>
        <v>1490</v>
      </c>
      <c r="IJ457" s="19">
        <f t="shared" si="1122"/>
        <v>2203.2561351629856</v>
      </c>
      <c r="IK457" s="19">
        <f t="shared" si="1123"/>
        <v>242</v>
      </c>
      <c r="IL457" s="19">
        <f t="shared" si="1145"/>
        <v>780</v>
      </c>
      <c r="IM457" s="19">
        <f t="shared" si="1124"/>
        <v>620.98509703493164</v>
      </c>
      <c r="IN457" s="19">
        <f t="shared" si="1125"/>
        <v>625</v>
      </c>
      <c r="IO457" s="39">
        <f t="shared" si="1126"/>
        <v>0</v>
      </c>
      <c r="IP457" s="39">
        <f t="shared" si="1127"/>
        <v>0</v>
      </c>
      <c r="IQ457" s="39">
        <f t="shared" si="1128"/>
        <v>0</v>
      </c>
      <c r="IR457" s="39">
        <v>0</v>
      </c>
      <c r="IS457" s="39">
        <v>0</v>
      </c>
      <c r="IT457" s="39">
        <v>0</v>
      </c>
      <c r="IU457" s="39">
        <v>0</v>
      </c>
      <c r="IV457" s="39">
        <v>0</v>
      </c>
      <c r="IW457" s="39">
        <v>0</v>
      </c>
      <c r="IX457" s="39">
        <f>INDEX(Input!$1:$1048576,IX$93,$C457*2+6)+INDEX(Input!$1:$1048576,IX$94,$C457*2+6)</f>
        <v>1770</v>
      </c>
      <c r="IY457" s="39">
        <f>INDEX(Input!$1:$1048576,IY$93,$C457*2+6)+INDEX(Input!$1:$1048576,IY$94,$C457*2+6)</f>
        <v>2630.0624533823611</v>
      </c>
      <c r="IZ457" s="39">
        <f>INDEX(Input!$1:$1048576,IZ$93,$C457*2+6)+INDEX(Input!$1:$1048576,IZ$94,$C457*2+6)</f>
        <v>4153.7164157747848</v>
      </c>
      <c r="JA457" s="19">
        <f t="shared" si="1146"/>
        <v>2550</v>
      </c>
      <c r="JB457" s="19">
        <f t="shared" si="1147"/>
        <v>3251.0475504172928</v>
      </c>
      <c r="JC457" s="19">
        <f t="shared" si="1148"/>
        <v>4778.7164157747848</v>
      </c>
      <c r="JD457" s="19">
        <f t="shared" si="1149"/>
        <v>3029.9721771993986</v>
      </c>
      <c r="JE457" s="21"/>
      <c r="JF457" s="1">
        <f t="shared" si="1129"/>
        <v>3.2545831732385969E-2</v>
      </c>
      <c r="JG457" s="15">
        <f>INDEX(Input!$1:$1048576,JG$93,$C457*2+6)/(1+VLOOKUP(C457*1000+INDEX(Input!$1:$1048576,JG$93+1,$C457*2+6),$A:$KK,$JK$92,FALSE))</f>
        <v>2329</v>
      </c>
      <c r="JH457" s="1">
        <f t="shared" si="1150"/>
        <v>9.2243598182668848E-2</v>
      </c>
      <c r="JI457" s="1">
        <f t="shared" si="1151"/>
        <v>4.913585701727583E-3</v>
      </c>
      <c r="JJ457" s="1">
        <f t="shared" si="1211"/>
        <v>0</v>
      </c>
      <c r="JK457" s="1">
        <f t="shared" si="1212"/>
        <v>9.7157183884396425E-2</v>
      </c>
      <c r="JL457" s="15">
        <f t="shared" si="1154"/>
        <v>226.27908126675928</v>
      </c>
      <c r="JM457" s="15">
        <f t="shared" si="1180"/>
        <v>2555.2790812667595</v>
      </c>
      <c r="JN457" s="21"/>
      <c r="JO457" s="19">
        <f>INDEX(Input!$1:$1048576,JO$93,$C457*2+6)</f>
        <v>5995.5</v>
      </c>
      <c r="JP457" s="19">
        <f>INDEX(Input!$1:$1048576,JP$93,$C457*2+6)</f>
        <v>2341.8685758720158</v>
      </c>
      <c r="JQ457" s="39">
        <f t="shared" si="1166"/>
        <v>2965.5278228006014</v>
      </c>
      <c r="JR457" s="39">
        <f t="shared" si="1183"/>
        <v>688.10360132738288</v>
      </c>
      <c r="JS457" s="39">
        <f t="shared" si="1168"/>
        <v>7.7424245212179228</v>
      </c>
      <c r="JT457" s="39">
        <f t="shared" si="1156"/>
        <v>2.2882126080119982</v>
      </c>
      <c r="JU457" s="385">
        <f>(JQ457*JM457-INDEX(Input!$1:$1048576,Input!A$18,$C457*2+6)*JL457*INDEX(Input!$1:$1048576,Input!A$19,$C457*2+6))/1000000</f>
        <v>7.5777512105169347</v>
      </c>
      <c r="JV457" s="39">
        <f t="shared" si="1190"/>
        <v>-0.93155637627713972</v>
      </c>
      <c r="JW457" s="1">
        <f t="shared" si="1181"/>
        <v>-0.10947499156369178</v>
      </c>
      <c r="JX457" s="19">
        <f t="shared" si="1172"/>
        <v>10112.347085740708</v>
      </c>
      <c r="JZ457" s="341"/>
      <c r="KA457" s="342"/>
      <c r="KB457" s="469">
        <f t="shared" si="1169"/>
        <v>2.3434325605641804</v>
      </c>
      <c r="KI457" s="473">
        <f t="shared" si="1235"/>
        <v>105.83414064036197</v>
      </c>
      <c r="KJ457" s="473">
        <f t="shared" si="1236"/>
        <v>105.97489237034483</v>
      </c>
      <c r="KK457" s="473">
        <f t="shared" si="1158"/>
        <v>14.470048256052337</v>
      </c>
      <c r="KN457" s="544">
        <f t="shared" si="1173"/>
        <v>4002</v>
      </c>
      <c r="KO457" s="541">
        <f t="shared" si="1133"/>
        <v>5.6506505743984414E-2</v>
      </c>
      <c r="KP457" s="546">
        <f t="shared" si="1134"/>
        <v>410.34183909407756</v>
      </c>
      <c r="KQ457" s="546">
        <f t="shared" si="1135"/>
        <v>405.20098916337747</v>
      </c>
      <c r="KR457" s="548">
        <f t="shared" si="1136"/>
        <v>2.3906065032165138</v>
      </c>
      <c r="KS457" s="548">
        <f t="shared" si="1137"/>
        <v>2.4209365112990868</v>
      </c>
      <c r="KT457" s="473">
        <f t="shared" si="1171"/>
        <v>1580.0986321700548</v>
      </c>
      <c r="KU457" s="663">
        <f t="shared" si="1159"/>
        <v>4.0707307874713488</v>
      </c>
      <c r="KV457" s="117"/>
    </row>
    <row r="458" spans="1:308" s="26" customFormat="1" ht="15" outlineLevel="1">
      <c r="A458" s="561">
        <f t="shared" si="1138"/>
        <v>4058</v>
      </c>
      <c r="B458" s="561">
        <f t="shared" si="1160"/>
        <v>58</v>
      </c>
      <c r="C458" s="561">
        <f t="shared" si="1161"/>
        <v>4</v>
      </c>
      <c r="D458" s="561" t="str">
        <f t="shared" si="1206"/>
        <v xml:space="preserve">1000 CC, 0/0/0.9/3.9, 360 Lease, </v>
      </c>
      <c r="E458" s="475">
        <f>INDEX(Input!$1:$1048576,E$93,$C458*2+MIN($B458,2)+5)
+INDEX(Scenarios!E$121:E$200,MATCH($B458,Scenarios!$B$121:$B$200,0))</f>
        <v>2256.832975525977</v>
      </c>
      <c r="F458" s="475">
        <f>INDEX(Input!$1:$1048576,F$93,$C458*2+MIN($B458,2)+5)
+INDEX(Scenarios!F$121:F$200,MATCH($B458,Scenarios!$B$121:$B$200,0))</f>
        <v>0</v>
      </c>
      <c r="G458" s="475">
        <f>INDEX(Input!$1:$1048576,G$93,$C458*2+MIN($B458,2)+5)
+INDEX(Scenarios!G$121:G$200,MATCH($B458,Scenarios!$B$121:$B$200,0))</f>
        <v>0</v>
      </c>
      <c r="H458" s="475">
        <f>INDEX(Input!$1:$1048576,H$93,$C458*2+MIN($B458,2)+5)
+INDEX(Scenarios!H$121:H$200,MATCH($B458,Scenarios!$B$121:$B$200,0))</f>
        <v>0</v>
      </c>
      <c r="I458" s="476">
        <f>INDEX(Input!$1:$1048576,I$93,$C458*2+MIN($B458,2)+5)</f>
        <v>0.7</v>
      </c>
      <c r="J458" s="476" t="str">
        <f>INDEX(Input!$1:$1048576,J$93,$C458*2+MIN($B458,2)+5)</f>
        <v>Market</v>
      </c>
      <c r="K458" s="476" t="str">
        <f>INDEX(Input!$1:$1048576,K$93,$C458*2+MIN($B458,2)+5)</f>
        <v>Market</v>
      </c>
      <c r="L458" s="476" t="str">
        <f>INDEX(Input!$1:$1048576,L$93,$C458*2+MIN($B458,2)+5)</f>
        <v>Market</v>
      </c>
      <c r="M458" s="476" t="str">
        <f>INDEX(Input!$1:$1048576,M$93,$C458*2+MIN($B458,2)+5)</f>
        <v>Market</v>
      </c>
      <c r="N458" s="476" t="str">
        <f>INDEX(Input!$1:$1048576,N$93,$C458*2+MIN($B458,2)+5)</f>
        <v>Market</v>
      </c>
      <c r="O458" s="476" t="str">
        <f>INDEX(Input!$1:$1048576,O$93,$C458*2+MIN($B458,2)+5)</f>
        <v>Market</v>
      </c>
      <c r="P458" s="476" t="str">
        <f>INDEX(Input!$1:$1048576,P$93,$C458*2+MIN($B458,2)+5)</f>
        <v>N</v>
      </c>
      <c r="Q458" s="477">
        <f>INDEX(Input!$1:$1048576,Q$93,$C458*2+MIN($B458,2)+5)
+INDEX(Scenarios!Q$121:Q$200,MATCH($B458,Scenarios!$B$121:$B$200,0))</f>
        <v>0</v>
      </c>
      <c r="R458" s="478">
        <f>IFERROR(MAX(0,INDEX(Input!$1:$1048576,R$93,$C458*2+MIN($B458,2)+5)
+INDEX(Scenarios!R$121:R$200,MATCH($B458,Scenarios!$B$121:$B$200,0)),),"Market")</f>
        <v>0</v>
      </c>
      <c r="S458" s="478">
        <f>IFERROR(MAX(0,INDEX(Input!$1:$1048576,S$93,$C458*2+MIN($B458,2)+5)
+INDEX(Scenarios!S$121:S$200,MATCH($B458,Scenarios!$B$121:$B$200,0)),),"Market")</f>
        <v>0</v>
      </c>
      <c r="T458" s="478">
        <f>IFERROR(MAX(0,INDEX(Input!$1:$1048576,T$93,$C458*2+MIN($B458,2)+5)
+INDEX(Scenarios!T$121:T$200,MATCH($B458,Scenarios!$B$121:$B$200,0)),),"Market")</f>
        <v>0</v>
      </c>
      <c r="U458" s="478">
        <f>IFERROR(MAX(0,INDEX(Input!$1:$1048576,U$93,$C458*2+MIN($B458,2)+5)
+INDEX(Scenarios!U$121:U$200,MATCH($B458,Scenarios!$B$121:$B$200,0)),),"Market")</f>
        <v>0</v>
      </c>
      <c r="V458" s="478">
        <f>IFERROR(MAX(0,INDEX(Input!$1:$1048576,V$93,$C458*2+MIN($B458,2)+5)
+INDEX(Scenarios!V$121:V$200,MATCH($B458,Scenarios!$B$121:$B$200,0)),),"Market")</f>
        <v>8.9999999999999993E-3</v>
      </c>
      <c r="W458" s="885">
        <f>IFERROR(MAX(0,INDEX(Input!$1:$1048576,W$93,$C458*2+MIN($B458,2)+5)-0%,),"Market")</f>
        <v>3.9E-2</v>
      </c>
      <c r="X458" s="476" t="str">
        <f>INDEX(Input!$1:$1048576,X$93,$C458*2+MIN($B458,2)+5)</f>
        <v>Y</v>
      </c>
      <c r="Y458" s="475">
        <f>INDEX(Input!$1:$1048576,Y$93,$C458*2+MIN($B458,2)+5)
++INDEX(Scenarios!Y$121:Y$200,MATCH($B458,Scenarios!$B$121:$B$200,0))</f>
        <v>-510</v>
      </c>
      <c r="Z458" s="477">
        <f>INDEX(Input!$1:$1048576,Z$93,$C458*2+MIN($B458,2)+5)
+INDEX(Scenarios!Z$121:Z$200,MATCH($B458,Scenarios!$B$121:$B$200,0))</f>
        <v>0</v>
      </c>
      <c r="AA458" s="475">
        <f>INDEX(Input!$1:$1048576,AA$93,$C458*2+MIN($B458,2)+5)
+INDEX(Scenarios!AA$121:AA$200,MATCH($B458,Scenarios!$B$121:$B$200,0))</f>
        <v>0</v>
      </c>
      <c r="AB458" s="476">
        <f>INDEX(Input!$1:$1048576,AB$93,$C458*2+MIN($B458,2)+5)</f>
        <v>0.27</v>
      </c>
      <c r="AC458" s="475">
        <f>INDEX(Input!$1:$1048576,AC$93,$C458*2+MIN($B458,2)+5)
+INDEX(Scenarios!AC$121:AC$200,MATCH($B458,Scenarios!$B$121:$B$200,0))</f>
        <v>0</v>
      </c>
      <c r="AD458" s="476">
        <f>INDEX(Input!$1:$1048576,AD$93,$C458*2+MIN($B458,2)+5)</f>
        <v>0.27</v>
      </c>
      <c r="AE458" s="475">
        <f>INDEX(Input!$1:$1048576,AE$93,$C458*2+MIN($B458,2)+5)
+INDEX(Scenarios!AE$121:AE$200,MATCH($B458,Scenarios!$B$121:$B$200,0))</f>
        <v>0</v>
      </c>
      <c r="AF458" s="476">
        <f>INDEX(Input!$1:$1048576,AF$93,$C458*2+MIN($B458,2)+5)</f>
        <v>1</v>
      </c>
      <c r="AG458" s="475">
        <f>INDEX(Input!$1:$1048576,AG$93,$C458*2+MIN($B458,2)+5)
+INDEX(Scenarios!AG$121:AG$200,MATCH($B458,Scenarios!$B$121:$B$200,0))</f>
        <v>500</v>
      </c>
      <c r="AH458" s="476">
        <f>INDEX(Input!$1:$1048576,AH$93,$C458*2+MIN($B458,2)+5)</f>
        <v>0.83199999999999996</v>
      </c>
      <c r="AI458" s="475">
        <f>INDEX(Input!$1:$1048576,AI$93,$C458*2+MIN($B458,2)+5)
+INDEX(Scenarios!AI$121:AI$200,MATCH($B458,Scenarios!$B$121:$B$200,0))</f>
        <v>0</v>
      </c>
      <c r="AJ458" s="476">
        <f>INDEX(Input!$1:$1048576,AJ$93,$C458*2+MIN($B458,2)+5)</f>
        <v>0.27</v>
      </c>
      <c r="AK458" s="150">
        <f>ROUND(INDEX(Input!$1:$1048576,AK$93,$C457*2+MIN($B458,1)+5)+(Y458-VLOOKUP($C458*1000+1,$A:$HH,Y$92,FALSE)),0)</f>
        <v>2947</v>
      </c>
      <c r="AL458" s="150">
        <f>ROUND(INDEX(Input!$1:$1048576,AL$93,$C457*2+MIN($B458,1)+5)-(Y458-VLOOKUP($C458*1000+1,$A:$HH,Y$92,FALSE))/36,0)</f>
        <v>3396</v>
      </c>
      <c r="AM458" s="32" t="str">
        <f t="shared" si="1139"/>
        <v>std/std/std/std</v>
      </c>
      <c r="AN458" s="32" t="str">
        <f t="shared" si="1140"/>
        <v>$0 + 0/0/0/0.9/3.9</v>
      </c>
      <c r="AO458" s="32" t="str">
        <f t="shared" si="1141"/>
        <v>0/0/0/0.9/3.9</v>
      </c>
      <c r="AP458" s="32" t="str">
        <f t="shared" si="1213"/>
        <v>0/0/0.9/3.9</v>
      </c>
      <c r="AQ458" s="536">
        <f t="shared" si="1207"/>
        <v>0.46110302756617461</v>
      </c>
      <c r="AR458" s="32"/>
      <c r="AS458" s="302"/>
      <c r="AT458" s="3">
        <f t="shared" si="1162"/>
        <v>58</v>
      </c>
      <c r="AU458" s="41" t="s">
        <v>121</v>
      </c>
      <c r="AV458" s="41" t="s">
        <v>116</v>
      </c>
      <c r="AW458" s="41" t="str">
        <f>INDEX(Input!$1:$1048576,AW$93,$C458*2+6)</f>
        <v>Kia</v>
      </c>
      <c r="AX458" s="41" t="str">
        <f>INDEX(Input!$1:$1048576,AX$93,$C458*2+6)</f>
        <v>Kia-LR - R1</v>
      </c>
      <c r="AY458" s="41" t="str">
        <f>IF(LEN(D458)=0,"",INDEX(Input!$1:$1048576,AY$93,$C458*2+6))</f>
        <v>Compact SUV (52)</v>
      </c>
      <c r="AZ458" s="41" t="str">
        <f>INDEX(Input!$1:$1048576,AZ$93,$C458*2+6)</f>
        <v>Kia Soul</v>
      </c>
      <c r="BA458" s="3">
        <f>INDEX(Input!$1:$1048576,BA$93,$C458*2+6)</f>
        <v>2020</v>
      </c>
      <c r="BB458" s="128">
        <f>INDEX(Input!$1:$1048576,BB$93,$C458*2+6)</f>
        <v>1</v>
      </c>
      <c r="BC458" s="128">
        <f>INDEX(Input!$1:$1048576,BC$93,$C458*2+6)</f>
        <v>0.7</v>
      </c>
      <c r="BD458" s="1">
        <f>INDEX(Input!$1:$1048576,BD$93,$C458*2+6)</f>
        <v>4.4999999999999998E-2</v>
      </c>
      <c r="BE458" s="1">
        <f>INDEX(Input!$1:$1048576,BE$93,$C458*2+6)</f>
        <v>4.4999999999999998E-2</v>
      </c>
      <c r="BF458" s="1">
        <f>INDEX(Input!$1:$1048576,BF$93,$C458*2+6)</f>
        <v>0.05</v>
      </c>
      <c r="BG458" s="1">
        <f>INDEX(Input!$1:$1048576,BG$93,$C458*2+6)</f>
        <v>5.45E-2</v>
      </c>
      <c r="BH458" s="1">
        <f>INDEX(Input!$1:$1048576,BH$93,$C458*2+6)</f>
        <v>5.45E-2</v>
      </c>
      <c r="BI458" s="1">
        <f>INDEX(Input!$1:$1048576,BI$93,$C458*2+6)</f>
        <v>0.05</v>
      </c>
      <c r="BJ458" s="1">
        <f>INDEX(Input!$1:$1048576,BJ$93,$C458*2+6)</f>
        <v>0.05</v>
      </c>
      <c r="BK458" s="1">
        <f>INDEX(Input!$1:$1048576,BK$93,$C458*2+6)</f>
        <v>0.05</v>
      </c>
      <c r="BL458" s="1">
        <f>INDEX(Input!$1:$1048576,BL$93,$C458*2+6)</f>
        <v>5.5E-2</v>
      </c>
      <c r="BM458" s="1">
        <f>INDEX(Input!$1:$1048576,BM$93,$C458*2+6)</f>
        <v>0.06</v>
      </c>
      <c r="BN458" s="1">
        <f>INDEX(Input!$1:$1048576,BN$93,$C458*2+6)</f>
        <v>4.4999999999999998E-2</v>
      </c>
      <c r="BO458" s="1">
        <f>INDEX(Input!$1:$1048576,BO$93,$C458*2+6)</f>
        <v>4.4999999999999998E-2</v>
      </c>
      <c r="BP458" s="1">
        <f>INDEX(Input!$1:$1048576,BP$93,$C458*2+6)</f>
        <v>0.05</v>
      </c>
      <c r="BQ458" s="1">
        <f>INDEX(Input!$1:$1048576,BQ$93,$C458*2+6)</f>
        <v>5.45E-2</v>
      </c>
      <c r="BR458" s="1">
        <f>INDEX(Input!$1:$1048576,BR$93,$C458*2+6)</f>
        <v>5.45E-2</v>
      </c>
      <c r="BS458" s="1">
        <f>INDEX(Input!$1:$1048576,BS$93,$C458*2+6)</f>
        <v>0.05</v>
      </c>
      <c r="BT458" s="1">
        <f>INDEX(Input!$1:$1048576,BT$93,$C458*2+6)</f>
        <v>0.05</v>
      </c>
      <c r="BU458" s="1">
        <f>INDEX(Input!$1:$1048576,BU$93,$C458*2+6)</f>
        <v>0.05</v>
      </c>
      <c r="BV458" s="1">
        <f>INDEX(Input!$1:$1048576,BV$93,$C458*2+6)</f>
        <v>5.5E-2</v>
      </c>
      <c r="BW458" s="1">
        <f>INDEX(Input!$1:$1048576,BW$93,$C458*2+6)</f>
        <v>0.06</v>
      </c>
      <c r="BX458" s="127">
        <f>INDEX(Input!$1:$1048576,BX$93,$C458*2+6)</f>
        <v>19985</v>
      </c>
      <c r="BY458" s="20">
        <f>INDEX(Input!$1:$1048576,BY$93,$C458*2+6)</f>
        <v>0.1</v>
      </c>
      <c r="BZ458" s="20">
        <f>INDEX(Input!$1:$1048576,BZ$93,$C458*2+6)</f>
        <v>0.1</v>
      </c>
      <c r="CA458" s="20">
        <f>INDEX(Input!$1:$1048576,CA$93,$C458*2+6)</f>
        <v>0.1</v>
      </c>
      <c r="CB458" s="20">
        <f>INDEX(Input!$1:$1048576,CB$93,$C458*2+6)</f>
        <v>0.1</v>
      </c>
      <c r="CC458" s="20">
        <f>INDEX(Input!$1:$1048576,CC$93,$C458*2+6)</f>
        <v>0.1</v>
      </c>
      <c r="CD458" s="384">
        <f>INDEX(Input!$1:$1048576,CD$93,$C458*2+6)</f>
        <v>0.1</v>
      </c>
      <c r="CE458" s="384">
        <f>INDEX(Input!$1:$1048576,CE$93,$C458*2+6)</f>
        <v>0.1</v>
      </c>
      <c r="CF458" s="384">
        <f>INDEX(Input!$1:$1048576,CF$93,$C458*2+6)</f>
        <v>0.1</v>
      </c>
      <c r="CG458" s="384">
        <f>INDEX(Input!$1:$1048576,CG$93,$C458*2+6)</f>
        <v>0.1</v>
      </c>
      <c r="CH458" s="384">
        <f>INDEX(Input!$1:$1048576,CH$93,$C458*2+6)</f>
        <v>0.1</v>
      </c>
      <c r="CI458" s="304">
        <f t="shared" si="1214"/>
        <v>2256.832975525977</v>
      </c>
      <c r="CJ458" s="16" t="str">
        <f>INDEX(Input!$1:$1048576,CJ$93,$C458*2+6)</f>
        <v>N</v>
      </c>
      <c r="CK458" s="1" t="str">
        <f t="shared" si="1215"/>
        <v>Market</v>
      </c>
      <c r="CL458" s="1" t="str">
        <f t="shared" si="1216"/>
        <v>Market</v>
      </c>
      <c r="CM458" s="1" t="str">
        <f t="shared" si="1217"/>
        <v>Market</v>
      </c>
      <c r="CN458" s="1" t="str">
        <f t="shared" si="1218"/>
        <v>Market</v>
      </c>
      <c r="CO458" s="1" t="str">
        <f t="shared" si="1219"/>
        <v>Market</v>
      </c>
      <c r="CP458" s="304">
        <f t="shared" si="1220"/>
        <v>416</v>
      </c>
      <c r="CQ458" s="1">
        <f t="shared" si="1221"/>
        <v>0</v>
      </c>
      <c r="CR458" s="1">
        <f t="shared" si="1222"/>
        <v>0</v>
      </c>
      <c r="CS458" s="1">
        <f t="shared" si="1223"/>
        <v>0</v>
      </c>
      <c r="CT458" s="1">
        <f t="shared" si="1224"/>
        <v>8.9999999999999993E-3</v>
      </c>
      <c r="CU458" s="1">
        <f t="shared" si="1225"/>
        <v>3.9E-2</v>
      </c>
      <c r="CV458" s="304">
        <f t="shared" si="1226"/>
        <v>-510</v>
      </c>
      <c r="CW458" s="20" t="s">
        <v>122</v>
      </c>
      <c r="CX458" s="20" t="s">
        <v>122</v>
      </c>
      <c r="CY458" s="20" t="s">
        <v>122</v>
      </c>
      <c r="CZ458" s="20" t="s">
        <v>122</v>
      </c>
      <c r="DA458" s="20" t="s">
        <v>122</v>
      </c>
      <c r="DB458" s="503">
        <f t="shared" si="1227"/>
        <v>0</v>
      </c>
      <c r="DC458" s="127">
        <v>0</v>
      </c>
      <c r="DD458" s="127">
        <v>0</v>
      </c>
      <c r="DE458" s="127">
        <v>0</v>
      </c>
      <c r="DF458" s="127">
        <v>0</v>
      </c>
      <c r="DG458" s="127">
        <v>0</v>
      </c>
      <c r="DH458" s="127">
        <v>0</v>
      </c>
      <c r="DI458" s="127">
        <v>0</v>
      </c>
      <c r="DJ458" s="127">
        <v>0</v>
      </c>
      <c r="DK458" s="127">
        <v>0</v>
      </c>
      <c r="DL458" s="127">
        <v>0</v>
      </c>
      <c r="DM458" s="304">
        <f>INDEX(Input!$1:$1048576,DM$93,$C458*2+6)</f>
        <v>21036.84210526316</v>
      </c>
      <c r="DN458" s="20">
        <v>0</v>
      </c>
      <c r="DO458" s="20">
        <v>0</v>
      </c>
      <c r="DP458" s="20">
        <v>0</v>
      </c>
      <c r="DQ458" s="20">
        <v>0</v>
      </c>
      <c r="DR458" s="20">
        <v>0</v>
      </c>
      <c r="DS458" s="20">
        <f>INDEX(Input!$1:$1048576,DS$93,$C458*2+6)</f>
        <v>0.6</v>
      </c>
      <c r="DT458" s="20">
        <f>INDEX(Input!$1:$1048576,DT$93,$C458*2+6)</f>
        <v>0.55000000000000004</v>
      </c>
      <c r="DU458" s="20">
        <f>INDEX(Input!$1:$1048576,DU$93,$C458*2+6)</f>
        <v>0.52</v>
      </c>
      <c r="DV458" s="20">
        <f>INDEX(Input!$1:$1048576,DV$93,$C458*2+6)</f>
        <v>0.5</v>
      </c>
      <c r="DW458" s="20">
        <f>INDEX(Input!$1:$1048576,DW$93,$C458*2+6)</f>
        <v>0.45</v>
      </c>
      <c r="DX458" s="20"/>
      <c r="DY458" s="7">
        <v>0.11491404085471174</v>
      </c>
      <c r="DZ458" s="7">
        <v>0</v>
      </c>
      <c r="EA458" s="7">
        <v>0.81389736864545481</v>
      </c>
      <c r="EB458" s="7">
        <v>0</v>
      </c>
      <c r="EC458" s="7">
        <v>0</v>
      </c>
      <c r="ED458" s="7">
        <v>0</v>
      </c>
      <c r="EE458" s="7">
        <v>0</v>
      </c>
      <c r="EF458" s="7">
        <v>0</v>
      </c>
      <c r="EG458" s="7">
        <v>0</v>
      </c>
      <c r="EH458" s="7">
        <v>9.5308947083669795E-3</v>
      </c>
      <c r="EI458" s="7">
        <v>2.4914625352484961E-2</v>
      </c>
      <c r="EJ458" s="7">
        <v>0.1747710468715587</v>
      </c>
      <c r="EK458" s="7">
        <v>0.68427257839360844</v>
      </c>
      <c r="EL458" s="7">
        <v>0.10651085467398078</v>
      </c>
      <c r="EM458" s="7">
        <v>3.3420316367823139E-2</v>
      </c>
      <c r="EN458" s="7">
        <v>5.1550793050786609E-2</v>
      </c>
      <c r="EO458" s="7">
        <v>0.72422790352718891</v>
      </c>
      <c r="EP458" s="7">
        <v>9.6788775709195404E-2</v>
      </c>
      <c r="EQ458" s="7">
        <v>8.4902805547647911E-2</v>
      </c>
      <c r="ER458" s="7">
        <v>4.2529722165180951E-2</v>
      </c>
      <c r="ES458" s="7">
        <v>3.7768274132010289E-2</v>
      </c>
      <c r="ET458" s="7">
        <v>7.1188590499833448E-2</v>
      </c>
      <c r="EU458" s="6">
        <v>2770</v>
      </c>
      <c r="EV458" s="6">
        <v>0</v>
      </c>
      <c r="EW458" s="6">
        <v>2770</v>
      </c>
      <c r="EX458" s="6">
        <v>0</v>
      </c>
      <c r="EY458" s="6">
        <v>2824.2187490892024</v>
      </c>
      <c r="EZ458" s="6">
        <v>867</v>
      </c>
      <c r="FA458" s="6">
        <v>0</v>
      </c>
      <c r="FB458" s="6">
        <v>0</v>
      </c>
      <c r="FC458" s="6">
        <v>0</v>
      </c>
      <c r="FD458" s="6">
        <v>0</v>
      </c>
      <c r="FE458" s="6">
        <v>0</v>
      </c>
      <c r="FF458" s="6">
        <v>0</v>
      </c>
      <c r="FG458" s="6">
        <v>0</v>
      </c>
      <c r="FH458" s="6">
        <v>1169.8100876243354</v>
      </c>
      <c r="FI458" s="6">
        <v>1553.9796069512402</v>
      </c>
      <c r="FJ458" s="6">
        <v>2101.2110117447392</v>
      </c>
      <c r="FK458" s="6">
        <v>2251.3078348034683</v>
      </c>
      <c r="FL458" s="6">
        <v>907.07682140966381</v>
      </c>
      <c r="FM458" s="6">
        <v>2054.2187490892024</v>
      </c>
      <c r="FN458" s="6">
        <v>0</v>
      </c>
      <c r="FO458" s="6">
        <v>0</v>
      </c>
      <c r="FP458" s="6">
        <v>0</v>
      </c>
      <c r="FQ458" s="6">
        <v>0</v>
      </c>
      <c r="FR458" s="6">
        <v>0</v>
      </c>
      <c r="FS458" s="6">
        <v>0</v>
      </c>
      <c r="FT458" s="7">
        <v>0.9288114095001665</v>
      </c>
      <c r="FU458" s="7">
        <v>3.3420316367823139E-2</v>
      </c>
      <c r="FV458" s="7">
        <v>3.7768274132010289E-2</v>
      </c>
      <c r="FW458" s="6">
        <v>2770.0000000000005</v>
      </c>
      <c r="FX458" s="6">
        <v>2824.2187490892024</v>
      </c>
      <c r="FY458" s="6">
        <v>867</v>
      </c>
      <c r="FZ458" s="6">
        <v>1949.5716051445115</v>
      </c>
      <c r="GA458" s="6">
        <v>2699.9389820744136</v>
      </c>
      <c r="GB458" s="6">
        <v>17285.061017925585</v>
      </c>
      <c r="GC458" s="7">
        <v>3.3872851927908169E-2</v>
      </c>
      <c r="GD458" s="7">
        <v>3.7467122051563849E-2</v>
      </c>
      <c r="GE458" s="7"/>
      <c r="GF458" s="7"/>
      <c r="GG458" s="7">
        <v>0.1061106437481376</v>
      </c>
      <c r="GH458" s="42">
        <v>2.8261106232829127</v>
      </c>
      <c r="GI458" s="6">
        <v>9771.4951467034898</v>
      </c>
      <c r="GJ458" s="14">
        <v>0.50394797582841733</v>
      </c>
      <c r="GK458" s="14">
        <v>0.50887573065309777</v>
      </c>
      <c r="GL458" s="14">
        <v>0.49605202417158306</v>
      </c>
      <c r="GM458" s="14">
        <v>0.49112426934690262</v>
      </c>
      <c r="GO458" s="5">
        <v>343.14810671672558</v>
      </c>
      <c r="GP458" s="5">
        <v>290.30179111306006</v>
      </c>
      <c r="GQ458" s="5">
        <v>535.04305713031317</v>
      </c>
      <c r="GR458" s="5">
        <v>410.15490233172511</v>
      </c>
      <c r="GS458" s="5">
        <v>339.42744393800166</v>
      </c>
      <c r="GT458" s="5">
        <v>293.4407446948278</v>
      </c>
      <c r="GU458" s="5">
        <v>258.04012322764959</v>
      </c>
      <c r="GV458" s="39" t="s">
        <v>392</v>
      </c>
      <c r="GW458" s="5">
        <v>478.23611111111109</v>
      </c>
      <c r="GX458" s="5">
        <v>358.67708333333331</v>
      </c>
      <c r="GY458" s="5">
        <v>286.94166666666666</v>
      </c>
      <c r="GZ458" s="5">
        <v>245.72198221012883</v>
      </c>
      <c r="HA458" s="5">
        <v>234.53733318419432</v>
      </c>
      <c r="HB458" s="39">
        <v>256.76500479423208</v>
      </c>
      <c r="HC458" s="5">
        <v>249.35312499999998</v>
      </c>
      <c r="HD458" s="5">
        <v>213.91580774853799</v>
      </c>
      <c r="HE458" s="5">
        <v>216.92584767206475</v>
      </c>
      <c r="HF458" s="5">
        <v>200.85938048245612</v>
      </c>
      <c r="HG458" s="5">
        <v>194.01388157894735</v>
      </c>
      <c r="HH458" s="39">
        <v>214.07901693961327</v>
      </c>
      <c r="HI458" s="16"/>
      <c r="HJ458" s="19" t="str">
        <f t="shared" si="1239"/>
        <v>On</v>
      </c>
      <c r="HK458" s="1" t="str">
        <f t="shared" si="1239"/>
        <v>On</v>
      </c>
      <c r="HL458" s="16"/>
      <c r="HM458" s="639">
        <f t="shared" si="1110"/>
        <v>2.9403358434788716E-2</v>
      </c>
      <c r="HN458" s="639">
        <f t="shared" si="1111"/>
        <v>1.4106809950923669E-3</v>
      </c>
      <c r="HO458" s="639">
        <f t="shared" si="1112"/>
        <v>1.7317923025048877E-3</v>
      </c>
      <c r="HP458" s="644">
        <f>(FT458*$GD458-HM458)/$JF458*INDEX(Input!$1:$1048576,$JG$93,$C458*2+6)</f>
        <v>386.17919337886855</v>
      </c>
      <c r="HQ458" s="644">
        <f>(FU458*$GD458-HN458)/$JF458*INDEX(Input!$1:$1048576,$JG$93,$C458*2+6)</f>
        <v>-11.343641332960752</v>
      </c>
      <c r="HR458" s="644">
        <f>(FV458*$GD458-HO458)/$JF458*INDEX(Input!$1:$1048576,$JG$93,$C458*2+6)</f>
        <v>-22.664950058806514</v>
      </c>
      <c r="HS458" s="644">
        <f t="shared" si="1233"/>
        <v>-167.77697719690434</v>
      </c>
      <c r="HT458" s="644">
        <f t="shared" si="1114"/>
        <v>93.763064328130923</v>
      </c>
      <c r="HU458" s="644">
        <f t="shared" si="1115"/>
        <v>20.02670322691386</v>
      </c>
      <c r="HV458" s="648">
        <f t="shared" si="1116"/>
        <v>0</v>
      </c>
      <c r="HW458" s="648">
        <f t="shared" si="1117"/>
        <v>0</v>
      </c>
      <c r="HX458" s="648">
        <f t="shared" si="1118"/>
        <v>0</v>
      </c>
      <c r="HY458" s="644">
        <f>INDEX(Input!$1:$1048576,HY$93,$C458*2+6)*INDEX(Input!$1:$1048576,$JG$93,$C458*2+6)</f>
        <v>993</v>
      </c>
      <c r="HZ458" s="644">
        <f>INDEX(Input!$1:$1048576,HZ$93,$C458*2+6)*INDEX(Input!$1:$1048576,$JG$93,$C458*2+6)</f>
        <v>1216</v>
      </c>
      <c r="IA458" s="644">
        <f>INDEX(Input!$1:$1048576,IA$93,$C458*2+6)*INDEX(Input!$1:$1048576,$JG$93,$C458*2+6)</f>
        <v>120</v>
      </c>
      <c r="IB458" s="644">
        <f t="shared" si="1142"/>
        <v>1211.4022161819639</v>
      </c>
      <c r="IC458" s="644">
        <f t="shared" si="1143"/>
        <v>1298.4194229951702</v>
      </c>
      <c r="ID458" s="644">
        <f>IF(AND(INDEX(Input!$1:$1048576,IA$93,$C458*2+7)="TOS",Y458&lt;=INDEX(Y:Y,MATCH(C458*1000+2,A:A))),0,1)*MAX(IA458+HR458+HU458+HX458,0%)</f>
        <v>117.36175316810736</v>
      </c>
      <c r="IE458" s="128">
        <f t="shared" si="1238"/>
        <v>0.46110302756617461</v>
      </c>
      <c r="IF458" s="128">
        <f t="shared" si="1210"/>
        <v>0.4942248899632749</v>
      </c>
      <c r="IG458" s="128">
        <f t="shared" si="1120"/>
        <v>4.4672082470550538E-2</v>
      </c>
      <c r="IH458" s="21"/>
      <c r="II458" s="19">
        <f t="shared" si="1121"/>
        <v>1490</v>
      </c>
      <c r="IJ458" s="19">
        <f t="shared" si="1122"/>
        <v>2203.2561351629856</v>
      </c>
      <c r="IK458" s="19">
        <f t="shared" si="1123"/>
        <v>242</v>
      </c>
      <c r="IL458" s="19">
        <f t="shared" si="1145"/>
        <v>1280.0000000000005</v>
      </c>
      <c r="IM458" s="19">
        <f t="shared" si="1124"/>
        <v>620.96261392621682</v>
      </c>
      <c r="IN458" s="19">
        <f t="shared" si="1125"/>
        <v>625</v>
      </c>
      <c r="IO458" s="39">
        <f t="shared" si="1126"/>
        <v>0</v>
      </c>
      <c r="IP458" s="39">
        <f t="shared" si="1127"/>
        <v>0</v>
      </c>
      <c r="IQ458" s="39">
        <f t="shared" si="1128"/>
        <v>0</v>
      </c>
      <c r="IR458" s="39">
        <v>0</v>
      </c>
      <c r="IS458" s="39">
        <v>0</v>
      </c>
      <c r="IT458" s="39">
        <v>0</v>
      </c>
      <c r="IU458" s="39">
        <v>0</v>
      </c>
      <c r="IV458" s="39">
        <v>0</v>
      </c>
      <c r="IW458" s="39">
        <v>0</v>
      </c>
      <c r="IX458" s="39">
        <f>INDEX(Input!$1:$1048576,IX$93,$C458*2+6)+INDEX(Input!$1:$1048576,IX$94,$C458*2+6)</f>
        <v>1770</v>
      </c>
      <c r="IY458" s="39">
        <f>INDEX(Input!$1:$1048576,IY$93,$C458*2+6)+INDEX(Input!$1:$1048576,IY$94,$C458*2+6)</f>
        <v>2630.0624533823611</v>
      </c>
      <c r="IZ458" s="39">
        <f>INDEX(Input!$1:$1048576,IZ$93,$C458*2+6)+INDEX(Input!$1:$1048576,IZ$94,$C458*2+6)</f>
        <v>4153.7164157747848</v>
      </c>
      <c r="JA458" s="19">
        <f t="shared" si="1146"/>
        <v>3050.0000000000005</v>
      </c>
      <c r="JB458" s="19">
        <f t="shared" si="1147"/>
        <v>3251.0250673085779</v>
      </c>
      <c r="JC458" s="19">
        <f t="shared" si="1148"/>
        <v>4778.7164157747848</v>
      </c>
      <c r="JD458" s="19">
        <f t="shared" si="1149"/>
        <v>3226.5769540641277</v>
      </c>
      <c r="JE458" s="21"/>
      <c r="JF458" s="1">
        <f t="shared" si="1129"/>
        <v>3.2545831732385969E-2</v>
      </c>
      <c r="JG458" s="15">
        <f>INDEX(Input!$1:$1048576,JG$93,$C458*2+6)/(1+VLOOKUP(C458*1000+INDEX(Input!$1:$1048576,JG$93+1,$C458*2+6),$A:$KK,$JK$92,FALSE))</f>
        <v>2329</v>
      </c>
      <c r="JH458" s="1">
        <f t="shared" si="1150"/>
        <v>0.15121107856895716</v>
      </c>
      <c r="JI458" s="1">
        <f t="shared" si="1151"/>
        <v>-2.3180424921365204E-2</v>
      </c>
      <c r="JJ458" s="1">
        <f t="shared" si="1211"/>
        <v>0</v>
      </c>
      <c r="JK458" s="1">
        <f t="shared" si="1212"/>
        <v>0.12803065364759195</v>
      </c>
      <c r="JL458" s="15">
        <f t="shared" si="1154"/>
        <v>298.18339234524166</v>
      </c>
      <c r="JM458" s="15">
        <f t="shared" si="1180"/>
        <v>2627.1833923452418</v>
      </c>
      <c r="JN458" s="21"/>
      <c r="JO458" s="19">
        <f>INDEX(Input!$1:$1048576,JO$93,$C458*2+6)</f>
        <v>5995.5</v>
      </c>
      <c r="JP458" s="19">
        <f>INDEX(Input!$1:$1048576,JP$93,$C458*2+6)</f>
        <v>2341.8685758720158</v>
      </c>
      <c r="JQ458" s="39">
        <f t="shared" si="1166"/>
        <v>2768.9230459358723</v>
      </c>
      <c r="JR458" s="39">
        <f t="shared" si="1183"/>
        <v>884.70837819211192</v>
      </c>
      <c r="JS458" s="39">
        <f t="shared" si="1168"/>
        <v>8.4768093878411719</v>
      </c>
      <c r="JT458" s="39">
        <f t="shared" si="1156"/>
        <v>3.0225974746352482</v>
      </c>
      <c r="JU458" s="385">
        <f>(JQ458*JM458-INDEX(Input!$1:$1048576,Input!A$18,$C458*2+6)*JL458*INDEX(Input!$1:$1048576,Input!A$19,$C458*2+6))/1000000</f>
        <v>7.2744686409647255</v>
      </c>
      <c r="JV458" s="39">
        <f t="shared" si="1190"/>
        <v>-1.2348389458293489</v>
      </c>
      <c r="JW458" s="1">
        <f t="shared" si="1181"/>
        <v>-0.1451162663041754</v>
      </c>
      <c r="JX458" s="19">
        <f t="shared" si="1172"/>
        <v>10136.706309704985</v>
      </c>
      <c r="JZ458" s="341"/>
      <c r="KA458" s="342"/>
      <c r="KB458" s="469">
        <f t="shared" si="1169"/>
        <v>2.3434325605641804</v>
      </c>
      <c r="KI458" s="473">
        <f t="shared" si="1235"/>
        <v>218.40221618196415</v>
      </c>
      <c r="KJ458" s="473">
        <f t="shared" si="1236"/>
        <v>82.419422995170407</v>
      </c>
      <c r="KK458" s="473">
        <f t="shared" si="1158"/>
        <v>-2.63824683189263</v>
      </c>
      <c r="KN458" s="544">
        <f t="shared" si="1173"/>
        <v>4002</v>
      </c>
      <c r="KO458" s="541">
        <f t="shared" si="1133"/>
        <v>8.6236085186945033E-2</v>
      </c>
      <c r="KP458" s="546">
        <f t="shared" si="1134"/>
        <v>645.67396867317257</v>
      </c>
      <c r="KQ458" s="546">
        <f t="shared" si="1135"/>
        <v>601.80576602810652</v>
      </c>
      <c r="KR458" s="548">
        <f t="shared" si="1136"/>
        <v>2.3186286629609727</v>
      </c>
      <c r="KS458" s="548">
        <f t="shared" si="1137"/>
        <v>2.4876434477755804</v>
      </c>
      <c r="KT458" s="473">
        <f t="shared" si="1171"/>
        <v>1580.0986321700548</v>
      </c>
      <c r="KU458" s="663">
        <f t="shared" si="1159"/>
        <v>4.1045533372498397</v>
      </c>
      <c r="KV458" s="117"/>
    </row>
    <row r="459" spans="1:308" s="26" customFormat="1" ht="15" outlineLevel="1">
      <c r="A459" s="561">
        <f t="shared" si="1138"/>
        <v>4059</v>
      </c>
      <c r="B459" s="561">
        <f t="shared" si="1160"/>
        <v>59</v>
      </c>
      <c r="C459" s="561">
        <f t="shared" si="1161"/>
        <v>4</v>
      </c>
      <c r="D459" s="561" t="str">
        <f t="shared" si="1206"/>
        <v xml:space="preserve">250 CC, 0/0/0.9/3.9, -360 Lease, </v>
      </c>
      <c r="E459" s="475">
        <f>INDEX(Input!$1:$1048576,E$93,$C459*2+MIN($B459,2)+5)
+INDEX(Scenarios!E$121:E$200,MATCH($B459,Scenarios!$B$121:$B$200,0))</f>
        <v>1506.832975525977</v>
      </c>
      <c r="F459" s="475">
        <f>INDEX(Input!$1:$1048576,F$93,$C459*2+MIN($B459,2)+5)
+INDEX(Scenarios!F$121:F$200,MATCH($B459,Scenarios!$B$121:$B$200,0))</f>
        <v>0</v>
      </c>
      <c r="G459" s="475">
        <f>INDEX(Input!$1:$1048576,G$93,$C459*2+MIN($B459,2)+5)
+INDEX(Scenarios!G$121:G$200,MATCH($B459,Scenarios!$B$121:$B$200,0))</f>
        <v>0</v>
      </c>
      <c r="H459" s="475">
        <f>INDEX(Input!$1:$1048576,H$93,$C459*2+MIN($B459,2)+5)
+INDEX(Scenarios!H$121:H$200,MATCH($B459,Scenarios!$B$121:$B$200,0))</f>
        <v>0</v>
      </c>
      <c r="I459" s="476">
        <f>INDEX(Input!$1:$1048576,I$93,$C459*2+MIN($B459,2)+5)</f>
        <v>0.7</v>
      </c>
      <c r="J459" s="476" t="str">
        <f>INDEX(Input!$1:$1048576,J$93,$C459*2+MIN($B459,2)+5)</f>
        <v>Market</v>
      </c>
      <c r="K459" s="476" t="str">
        <f>INDEX(Input!$1:$1048576,K$93,$C459*2+MIN($B459,2)+5)</f>
        <v>Market</v>
      </c>
      <c r="L459" s="476" t="str">
        <f>INDEX(Input!$1:$1048576,L$93,$C459*2+MIN($B459,2)+5)</f>
        <v>Market</v>
      </c>
      <c r="M459" s="476" t="str">
        <f>INDEX(Input!$1:$1048576,M$93,$C459*2+MIN($B459,2)+5)</f>
        <v>Market</v>
      </c>
      <c r="N459" s="476" t="str">
        <f>INDEX(Input!$1:$1048576,N$93,$C459*2+MIN($B459,2)+5)</f>
        <v>Market</v>
      </c>
      <c r="O459" s="476" t="str">
        <f>INDEX(Input!$1:$1048576,O$93,$C459*2+MIN($B459,2)+5)</f>
        <v>Market</v>
      </c>
      <c r="P459" s="476" t="str">
        <f>INDEX(Input!$1:$1048576,P$93,$C459*2+MIN($B459,2)+5)</f>
        <v>N</v>
      </c>
      <c r="Q459" s="477">
        <f>INDEX(Input!$1:$1048576,Q$93,$C459*2+MIN($B459,2)+5)
+INDEX(Scenarios!Q$121:Q$200,MATCH($B459,Scenarios!$B$121:$B$200,0))</f>
        <v>0</v>
      </c>
      <c r="R459" s="478">
        <f>IFERROR(MAX(0,INDEX(Input!$1:$1048576,R$93,$C459*2+MIN($B459,2)+5)
+INDEX(Scenarios!R$121:R$200,MATCH($B459,Scenarios!$B$121:$B$200,0)),),"Market")</f>
        <v>0</v>
      </c>
      <c r="S459" s="478">
        <f>IFERROR(MAX(0,INDEX(Input!$1:$1048576,S$93,$C459*2+MIN($B459,2)+5)
+INDEX(Scenarios!S$121:S$200,MATCH($B459,Scenarios!$B$121:$B$200,0)),),"Market")</f>
        <v>0</v>
      </c>
      <c r="T459" s="478">
        <f>IFERROR(MAX(0,INDEX(Input!$1:$1048576,T$93,$C459*2+MIN($B459,2)+5)
+INDEX(Scenarios!T$121:T$200,MATCH($B459,Scenarios!$B$121:$B$200,0)),),"Market")</f>
        <v>0</v>
      </c>
      <c r="U459" s="478">
        <f>IFERROR(MAX(0,INDEX(Input!$1:$1048576,U$93,$C459*2+MIN($B459,2)+5)
+INDEX(Scenarios!U$121:U$200,MATCH($B459,Scenarios!$B$121:$B$200,0)),),"Market")</f>
        <v>0</v>
      </c>
      <c r="V459" s="478">
        <f>IFERROR(MAX(0,INDEX(Input!$1:$1048576,V$93,$C459*2+MIN($B459,2)+5)
+INDEX(Scenarios!V$121:V$200,MATCH($B459,Scenarios!$B$121:$B$200,0)),),"Market")</f>
        <v>8.9999999999999993E-3</v>
      </c>
      <c r="W459" s="885">
        <f>IFERROR(MAX(0,INDEX(Input!$1:$1048576,W$93,$C459*2+MIN($B459,2)+5)-0%,),"Market")</f>
        <v>3.9E-2</v>
      </c>
      <c r="X459" s="476" t="str">
        <f>INDEX(Input!$1:$1048576,X$93,$C459*2+MIN($B459,2)+5)</f>
        <v>Y</v>
      </c>
      <c r="Y459" s="475">
        <f>INDEX(Input!$1:$1048576,Y$93,$C459*2+MIN($B459,2)+5)
++INDEX(Scenarios!Y$121:Y$200,MATCH($B459,Scenarios!$B$121:$B$200,0))</f>
        <v>-1230</v>
      </c>
      <c r="Z459" s="477">
        <f>INDEX(Input!$1:$1048576,Z$93,$C459*2+MIN($B459,2)+5)
+INDEX(Scenarios!Z$121:Z$200,MATCH($B459,Scenarios!$B$121:$B$200,0))</f>
        <v>0</v>
      </c>
      <c r="AA459" s="475">
        <f>INDEX(Input!$1:$1048576,AA$93,$C459*2+MIN($B459,2)+5)
+INDEX(Scenarios!AA$121:AA$200,MATCH($B459,Scenarios!$B$121:$B$200,0))</f>
        <v>0</v>
      </c>
      <c r="AB459" s="476">
        <f>INDEX(Input!$1:$1048576,AB$93,$C459*2+MIN($B459,2)+5)</f>
        <v>0.27</v>
      </c>
      <c r="AC459" s="475">
        <f>INDEX(Input!$1:$1048576,AC$93,$C459*2+MIN($B459,2)+5)
+INDEX(Scenarios!AC$121:AC$200,MATCH($B459,Scenarios!$B$121:$B$200,0))</f>
        <v>0</v>
      </c>
      <c r="AD459" s="476">
        <f>INDEX(Input!$1:$1048576,AD$93,$C459*2+MIN($B459,2)+5)</f>
        <v>0.27</v>
      </c>
      <c r="AE459" s="475">
        <f>INDEX(Input!$1:$1048576,AE$93,$C459*2+MIN($B459,2)+5)
+INDEX(Scenarios!AE$121:AE$200,MATCH($B459,Scenarios!$B$121:$B$200,0))</f>
        <v>0</v>
      </c>
      <c r="AF459" s="476">
        <f>INDEX(Input!$1:$1048576,AF$93,$C459*2+MIN($B459,2)+5)</f>
        <v>1</v>
      </c>
      <c r="AG459" s="475">
        <f>INDEX(Input!$1:$1048576,AG$93,$C459*2+MIN($B459,2)+5)
+INDEX(Scenarios!AG$121:AG$200,MATCH($B459,Scenarios!$B$121:$B$200,0))</f>
        <v>500</v>
      </c>
      <c r="AH459" s="476">
        <f>INDEX(Input!$1:$1048576,AH$93,$C459*2+MIN($B459,2)+5)</f>
        <v>0.83199999999999996</v>
      </c>
      <c r="AI459" s="475">
        <f>INDEX(Input!$1:$1048576,AI$93,$C459*2+MIN($B459,2)+5)
+INDEX(Scenarios!AI$121:AI$200,MATCH($B459,Scenarios!$B$121:$B$200,0))</f>
        <v>0</v>
      </c>
      <c r="AJ459" s="476">
        <f>INDEX(Input!$1:$1048576,AJ$93,$C459*2+MIN($B459,2)+5)</f>
        <v>0.27</v>
      </c>
      <c r="AK459" s="150">
        <f>ROUND(INDEX(Input!$1:$1048576,AK$93,$C458*2+MIN($B459,1)+5)+(Y459-VLOOKUP($C459*1000+1,$A:$HH,Y$92,FALSE)),0)</f>
        <v>2227</v>
      </c>
      <c r="AL459" s="150">
        <f>ROUND(INDEX(Input!$1:$1048576,AL$93,$C458*2+MIN($B459,1)+5)-(Y459-VLOOKUP($C459*1000+1,$A:$HH,Y$92,FALSE))/36,0)</f>
        <v>3416</v>
      </c>
      <c r="AM459" s="32" t="str">
        <f t="shared" si="1139"/>
        <v>std/std/std/std</v>
      </c>
      <c r="AN459" s="32" t="str">
        <f t="shared" si="1140"/>
        <v>$0 + 0/0/0/0.9/3.9</v>
      </c>
      <c r="AO459" s="32" t="str">
        <f t="shared" si="1141"/>
        <v>0/0/0/0.9/3.9</v>
      </c>
      <c r="AP459" s="32" t="str">
        <f t="shared" si="1213"/>
        <v>0/0/0.9/3.9</v>
      </c>
      <c r="AQ459" s="536">
        <f t="shared" si="1207"/>
        <v>0.42813936700719457</v>
      </c>
      <c r="AR459" s="32"/>
      <c r="AS459" s="302"/>
      <c r="AT459" s="3">
        <f t="shared" si="1162"/>
        <v>59</v>
      </c>
      <c r="AU459" s="41" t="s">
        <v>121</v>
      </c>
      <c r="AV459" s="41" t="s">
        <v>116</v>
      </c>
      <c r="AW459" s="41" t="str">
        <f>INDEX(Input!$1:$1048576,AW$93,$C459*2+6)</f>
        <v>Kia</v>
      </c>
      <c r="AX459" s="41" t="str">
        <f>INDEX(Input!$1:$1048576,AX$93,$C459*2+6)</f>
        <v>Kia-LR - R1</v>
      </c>
      <c r="AY459" s="41" t="str">
        <f>IF(LEN(D459)=0,"",INDEX(Input!$1:$1048576,AY$93,$C459*2+6))</f>
        <v>Compact SUV (52)</v>
      </c>
      <c r="AZ459" s="41" t="str">
        <f>INDEX(Input!$1:$1048576,AZ$93,$C459*2+6)</f>
        <v>Kia Soul</v>
      </c>
      <c r="BA459" s="3">
        <f>INDEX(Input!$1:$1048576,BA$93,$C459*2+6)</f>
        <v>2020</v>
      </c>
      <c r="BB459" s="128">
        <f>INDEX(Input!$1:$1048576,BB$93,$C459*2+6)</f>
        <v>1</v>
      </c>
      <c r="BC459" s="128">
        <f>INDEX(Input!$1:$1048576,BC$93,$C459*2+6)</f>
        <v>0.7</v>
      </c>
      <c r="BD459" s="1">
        <f>INDEX(Input!$1:$1048576,BD$93,$C459*2+6)</f>
        <v>4.4999999999999998E-2</v>
      </c>
      <c r="BE459" s="1">
        <f>INDEX(Input!$1:$1048576,BE$93,$C459*2+6)</f>
        <v>4.4999999999999998E-2</v>
      </c>
      <c r="BF459" s="1">
        <f>INDEX(Input!$1:$1048576,BF$93,$C459*2+6)</f>
        <v>0.05</v>
      </c>
      <c r="BG459" s="1">
        <f>INDEX(Input!$1:$1048576,BG$93,$C459*2+6)</f>
        <v>5.45E-2</v>
      </c>
      <c r="BH459" s="1">
        <f>INDEX(Input!$1:$1048576,BH$93,$C459*2+6)</f>
        <v>5.45E-2</v>
      </c>
      <c r="BI459" s="1">
        <f>INDEX(Input!$1:$1048576,BI$93,$C459*2+6)</f>
        <v>0.05</v>
      </c>
      <c r="BJ459" s="1">
        <f>INDEX(Input!$1:$1048576,BJ$93,$C459*2+6)</f>
        <v>0.05</v>
      </c>
      <c r="BK459" s="1">
        <f>INDEX(Input!$1:$1048576,BK$93,$C459*2+6)</f>
        <v>0.05</v>
      </c>
      <c r="BL459" s="1">
        <f>INDEX(Input!$1:$1048576,BL$93,$C459*2+6)</f>
        <v>5.5E-2</v>
      </c>
      <c r="BM459" s="1">
        <f>INDEX(Input!$1:$1048576,BM$93,$C459*2+6)</f>
        <v>0.06</v>
      </c>
      <c r="BN459" s="1">
        <f>INDEX(Input!$1:$1048576,BN$93,$C459*2+6)</f>
        <v>4.4999999999999998E-2</v>
      </c>
      <c r="BO459" s="1">
        <f>INDEX(Input!$1:$1048576,BO$93,$C459*2+6)</f>
        <v>4.4999999999999998E-2</v>
      </c>
      <c r="BP459" s="1">
        <f>INDEX(Input!$1:$1048576,BP$93,$C459*2+6)</f>
        <v>0.05</v>
      </c>
      <c r="BQ459" s="1">
        <f>INDEX(Input!$1:$1048576,BQ$93,$C459*2+6)</f>
        <v>5.45E-2</v>
      </c>
      <c r="BR459" s="1">
        <f>INDEX(Input!$1:$1048576,BR$93,$C459*2+6)</f>
        <v>5.45E-2</v>
      </c>
      <c r="BS459" s="1">
        <f>INDEX(Input!$1:$1048576,BS$93,$C459*2+6)</f>
        <v>0.05</v>
      </c>
      <c r="BT459" s="1">
        <f>INDEX(Input!$1:$1048576,BT$93,$C459*2+6)</f>
        <v>0.05</v>
      </c>
      <c r="BU459" s="1">
        <f>INDEX(Input!$1:$1048576,BU$93,$C459*2+6)</f>
        <v>0.05</v>
      </c>
      <c r="BV459" s="1">
        <f>INDEX(Input!$1:$1048576,BV$93,$C459*2+6)</f>
        <v>5.5E-2</v>
      </c>
      <c r="BW459" s="1">
        <f>INDEX(Input!$1:$1048576,BW$93,$C459*2+6)</f>
        <v>0.06</v>
      </c>
      <c r="BX459" s="127">
        <f>INDEX(Input!$1:$1048576,BX$93,$C459*2+6)</f>
        <v>19985</v>
      </c>
      <c r="BY459" s="20">
        <f>INDEX(Input!$1:$1048576,BY$93,$C459*2+6)</f>
        <v>0.1</v>
      </c>
      <c r="BZ459" s="20">
        <f>INDEX(Input!$1:$1048576,BZ$93,$C459*2+6)</f>
        <v>0.1</v>
      </c>
      <c r="CA459" s="20">
        <f>INDEX(Input!$1:$1048576,CA$93,$C459*2+6)</f>
        <v>0.1</v>
      </c>
      <c r="CB459" s="20">
        <f>INDEX(Input!$1:$1048576,CB$93,$C459*2+6)</f>
        <v>0.1</v>
      </c>
      <c r="CC459" s="20">
        <f>INDEX(Input!$1:$1048576,CC$93,$C459*2+6)</f>
        <v>0.1</v>
      </c>
      <c r="CD459" s="384">
        <f>INDEX(Input!$1:$1048576,CD$93,$C459*2+6)</f>
        <v>0.1</v>
      </c>
      <c r="CE459" s="384">
        <f>INDEX(Input!$1:$1048576,CE$93,$C459*2+6)</f>
        <v>0.1</v>
      </c>
      <c r="CF459" s="384">
        <f>INDEX(Input!$1:$1048576,CF$93,$C459*2+6)</f>
        <v>0.1</v>
      </c>
      <c r="CG459" s="384">
        <f>INDEX(Input!$1:$1048576,CG$93,$C459*2+6)</f>
        <v>0.1</v>
      </c>
      <c r="CH459" s="384">
        <f>INDEX(Input!$1:$1048576,CH$93,$C459*2+6)</f>
        <v>0.1</v>
      </c>
      <c r="CI459" s="304">
        <f t="shared" si="1214"/>
        <v>1506.832975525977</v>
      </c>
      <c r="CJ459" s="16" t="str">
        <f>INDEX(Input!$1:$1048576,CJ$93,$C459*2+6)</f>
        <v>N</v>
      </c>
      <c r="CK459" s="1" t="str">
        <f t="shared" si="1215"/>
        <v>Market</v>
      </c>
      <c r="CL459" s="1" t="str">
        <f t="shared" si="1216"/>
        <v>Market</v>
      </c>
      <c r="CM459" s="1" t="str">
        <f t="shared" si="1217"/>
        <v>Market</v>
      </c>
      <c r="CN459" s="1" t="str">
        <f t="shared" si="1218"/>
        <v>Market</v>
      </c>
      <c r="CO459" s="1" t="str">
        <f t="shared" si="1219"/>
        <v>Market</v>
      </c>
      <c r="CP459" s="304">
        <f t="shared" si="1220"/>
        <v>416</v>
      </c>
      <c r="CQ459" s="1">
        <f t="shared" si="1221"/>
        <v>0</v>
      </c>
      <c r="CR459" s="1">
        <f t="shared" si="1222"/>
        <v>0</v>
      </c>
      <c r="CS459" s="1">
        <f t="shared" si="1223"/>
        <v>0</v>
      </c>
      <c r="CT459" s="1">
        <f t="shared" si="1224"/>
        <v>8.9999999999999993E-3</v>
      </c>
      <c r="CU459" s="1">
        <f t="shared" si="1225"/>
        <v>3.9E-2</v>
      </c>
      <c r="CV459" s="304">
        <f t="shared" si="1226"/>
        <v>-1230</v>
      </c>
      <c r="CW459" s="20" t="s">
        <v>122</v>
      </c>
      <c r="CX459" s="20" t="s">
        <v>122</v>
      </c>
      <c r="CY459" s="20" t="s">
        <v>122</v>
      </c>
      <c r="CZ459" s="20" t="s">
        <v>122</v>
      </c>
      <c r="DA459" s="20" t="s">
        <v>122</v>
      </c>
      <c r="DB459" s="503">
        <f t="shared" si="1227"/>
        <v>0</v>
      </c>
      <c r="DC459" s="127">
        <v>0</v>
      </c>
      <c r="DD459" s="127">
        <v>0</v>
      </c>
      <c r="DE459" s="127">
        <v>0</v>
      </c>
      <c r="DF459" s="127">
        <v>0</v>
      </c>
      <c r="DG459" s="127">
        <v>0</v>
      </c>
      <c r="DH459" s="127">
        <v>0</v>
      </c>
      <c r="DI459" s="127">
        <v>0</v>
      </c>
      <c r="DJ459" s="127">
        <v>0</v>
      </c>
      <c r="DK459" s="127">
        <v>0</v>
      </c>
      <c r="DL459" s="127">
        <v>0</v>
      </c>
      <c r="DM459" s="304">
        <f>INDEX(Input!$1:$1048576,DM$93,$C459*2+6)</f>
        <v>21036.84210526316</v>
      </c>
      <c r="DN459" s="20">
        <v>0</v>
      </c>
      <c r="DO459" s="20">
        <v>0</v>
      </c>
      <c r="DP459" s="20">
        <v>0</v>
      </c>
      <c r="DQ459" s="20">
        <v>0</v>
      </c>
      <c r="DR459" s="20">
        <v>0</v>
      </c>
      <c r="DS459" s="20">
        <f>INDEX(Input!$1:$1048576,DS$93,$C459*2+6)</f>
        <v>0.6</v>
      </c>
      <c r="DT459" s="20">
        <f>INDEX(Input!$1:$1048576,DT$93,$C459*2+6)</f>
        <v>0.55000000000000004</v>
      </c>
      <c r="DU459" s="20">
        <f>INDEX(Input!$1:$1048576,DU$93,$C459*2+6)</f>
        <v>0.52</v>
      </c>
      <c r="DV459" s="20">
        <f>INDEX(Input!$1:$1048576,DV$93,$C459*2+6)</f>
        <v>0.5</v>
      </c>
      <c r="DW459" s="20">
        <f>INDEX(Input!$1:$1048576,DW$93,$C459*2+6)</f>
        <v>0.45</v>
      </c>
      <c r="DX459" s="20"/>
      <c r="DY459" s="7">
        <v>0.10599839714904753</v>
      </c>
      <c r="DZ459" s="7">
        <v>0</v>
      </c>
      <c r="EA459" s="7">
        <v>0.80609607381233028</v>
      </c>
      <c r="EB459" s="7">
        <v>0</v>
      </c>
      <c r="EC459" s="7">
        <v>0</v>
      </c>
      <c r="ED459" s="7">
        <v>0</v>
      </c>
      <c r="EE459" s="7">
        <v>0</v>
      </c>
      <c r="EF459" s="7">
        <v>0</v>
      </c>
      <c r="EG459" s="7">
        <v>0</v>
      </c>
      <c r="EH459" s="7">
        <v>9.523750341609797E-3</v>
      </c>
      <c r="EI459" s="7">
        <v>2.4890040930286388E-2</v>
      </c>
      <c r="EJ459" s="7">
        <v>0.17463159578671794</v>
      </c>
      <c r="EK459" s="7">
        <v>0.68440737587290057</v>
      </c>
      <c r="EL459" s="7">
        <v>0.1065472370684859</v>
      </c>
      <c r="EM459" s="7">
        <v>4.9160803817200477E-2</v>
      </c>
      <c r="EN459" s="7">
        <v>4.9395473309895514E-2</v>
      </c>
      <c r="EO459" s="7">
        <v>0.70138884710460259</v>
      </c>
      <c r="EP459" s="7">
        <v>0.10818084244212398</v>
      </c>
      <c r="EQ459" s="7">
        <v>9.4937213174356522E-2</v>
      </c>
      <c r="ER459" s="7">
        <v>4.6097623969021645E-2</v>
      </c>
      <c r="ES459" s="7">
        <v>3.8744725221421708E-2</v>
      </c>
      <c r="ET459" s="7">
        <v>8.7905529038622171E-2</v>
      </c>
      <c r="EU459" s="6">
        <v>2020</v>
      </c>
      <c r="EV459" s="6">
        <v>0</v>
      </c>
      <c r="EW459" s="6">
        <v>2020</v>
      </c>
      <c r="EX459" s="6">
        <v>0</v>
      </c>
      <c r="EY459" s="6">
        <v>2824.2156156095334</v>
      </c>
      <c r="EZ459" s="6">
        <v>147</v>
      </c>
      <c r="FA459" s="6">
        <v>0</v>
      </c>
      <c r="FB459" s="6">
        <v>0</v>
      </c>
      <c r="FC459" s="6">
        <v>0</v>
      </c>
      <c r="FD459" s="6">
        <v>0</v>
      </c>
      <c r="FE459" s="6">
        <v>0</v>
      </c>
      <c r="FF459" s="6">
        <v>0</v>
      </c>
      <c r="FG459" s="6">
        <v>0</v>
      </c>
      <c r="FH459" s="6">
        <v>1169.8071130021985</v>
      </c>
      <c r="FI459" s="6">
        <v>1553.979606951239</v>
      </c>
      <c r="FJ459" s="6">
        <v>2101.211011744741</v>
      </c>
      <c r="FK459" s="6">
        <v>2251.3078348034669</v>
      </c>
      <c r="FL459" s="6">
        <v>907.07682140966267</v>
      </c>
      <c r="FM459" s="6">
        <v>2054.2156156095334</v>
      </c>
      <c r="FN459" s="6">
        <v>0</v>
      </c>
      <c r="FO459" s="6">
        <v>0</v>
      </c>
      <c r="FP459" s="6">
        <v>0</v>
      </c>
      <c r="FQ459" s="6">
        <v>0</v>
      </c>
      <c r="FR459" s="6">
        <v>0</v>
      </c>
      <c r="FS459" s="6">
        <v>0</v>
      </c>
      <c r="FT459" s="7">
        <v>0.91209447096137786</v>
      </c>
      <c r="FU459" s="7">
        <v>4.9160803817200477E-2</v>
      </c>
      <c r="FV459" s="7">
        <v>3.8744725221421708E-2</v>
      </c>
      <c r="FW459" s="6">
        <v>2019.9999999999998</v>
      </c>
      <c r="FX459" s="6">
        <v>2824.2156156095334</v>
      </c>
      <c r="FY459" s="6">
        <v>147</v>
      </c>
      <c r="FZ459" s="6">
        <v>1949.5716051445115</v>
      </c>
      <c r="GA459" s="6">
        <v>1986.9670157659864</v>
      </c>
      <c r="GB459" s="6">
        <v>17998.032984234014</v>
      </c>
      <c r="GC459" s="7">
        <v>3.3872851927908169E-2</v>
      </c>
      <c r="GD459" s="7">
        <v>3.4515546719339318E-2</v>
      </c>
      <c r="GE459" s="7"/>
      <c r="GF459" s="7"/>
      <c r="GG459" s="7">
        <v>1.8973743126176706E-2</v>
      </c>
      <c r="GH459" s="42">
        <v>10.14002119711679</v>
      </c>
      <c r="GI459" s="6">
        <v>3957.8701935308131</v>
      </c>
      <c r="GJ459" s="14">
        <v>0.50394797582841711</v>
      </c>
      <c r="GK459" s="14">
        <v>0.50887573065309721</v>
      </c>
      <c r="GL459" s="14">
        <v>0.49605202417158251</v>
      </c>
      <c r="GM459" s="14">
        <v>0.49112426934690234</v>
      </c>
      <c r="GO459" s="5">
        <v>343.14810671672558</v>
      </c>
      <c r="GP459" s="5">
        <v>304.61036031982871</v>
      </c>
      <c r="GQ459" s="5">
        <v>535.04305713031317</v>
      </c>
      <c r="GR459" s="5">
        <v>410.15490233172511</v>
      </c>
      <c r="GS459" s="5">
        <v>339.42744393800166</v>
      </c>
      <c r="GT459" s="5">
        <v>293.4407446948278</v>
      </c>
      <c r="GU459" s="5">
        <v>258.04012322764959</v>
      </c>
      <c r="GV459" s="39" t="s">
        <v>392</v>
      </c>
      <c r="GW459" s="5">
        <v>478.23611111111109</v>
      </c>
      <c r="GX459" s="5">
        <v>358.67708333333331</v>
      </c>
      <c r="GY459" s="5">
        <v>286.94166666666666</v>
      </c>
      <c r="GZ459" s="5">
        <v>245.72198221012883</v>
      </c>
      <c r="HA459" s="5">
        <v>234.53733318419432</v>
      </c>
      <c r="HB459" s="39">
        <v>256.75441163809614</v>
      </c>
      <c r="HC459" s="5">
        <v>280.85312499999998</v>
      </c>
      <c r="HD459" s="5">
        <v>235.41580774853799</v>
      </c>
      <c r="HE459" s="5">
        <v>236.8873861336032</v>
      </c>
      <c r="HF459" s="5">
        <v>217.50938048245612</v>
      </c>
      <c r="HG459" s="5">
        <v>207.81388157894736</v>
      </c>
      <c r="HH459" s="39">
        <v>234.84703261358425</v>
      </c>
      <c r="HI459" s="16"/>
      <c r="HJ459" s="19" t="str">
        <f t="shared" si="1239"/>
        <v>On</v>
      </c>
      <c r="HK459" s="1" t="str">
        <f t="shared" si="1239"/>
        <v>On</v>
      </c>
      <c r="HL459" s="16"/>
      <c r="HM459" s="639">
        <f t="shared" si="1110"/>
        <v>2.9403358434788716E-2</v>
      </c>
      <c r="HN459" s="639">
        <f t="shared" si="1111"/>
        <v>1.4106809950923669E-3</v>
      </c>
      <c r="HO459" s="639">
        <f t="shared" si="1112"/>
        <v>1.7317923025048877E-3</v>
      </c>
      <c r="HP459" s="644">
        <f>(FT459*$GD459-HM459)/$JF459*INDEX(Input!$1:$1048576,$JG$93,$C459*2+6)</f>
        <v>148.70876347265769</v>
      </c>
      <c r="HQ459" s="644">
        <f>(FU459*$GD459-HN459)/$JF459*INDEX(Input!$1:$1048576,$JG$93,$C459*2+6)</f>
        <v>20.475714512860261</v>
      </c>
      <c r="HR459" s="644">
        <f>(FV459*$GD459-HO459)/$JF459*INDEX(Input!$1:$1048576,$JG$93,$C459*2+6)</f>
        <v>-28.230446073363318</v>
      </c>
      <c r="HS459" s="644">
        <f t="shared" si="1233"/>
        <v>-69.63623899860842</v>
      </c>
      <c r="HT459" s="644">
        <f t="shared" si="1114"/>
        <v>100.20386552007855</v>
      </c>
      <c r="HU459" s="644">
        <f t="shared" si="1115"/>
        <v>3.5053175674715047</v>
      </c>
      <c r="HV459" s="648">
        <f t="shared" si="1116"/>
        <v>0</v>
      </c>
      <c r="HW459" s="648">
        <f t="shared" si="1117"/>
        <v>0</v>
      </c>
      <c r="HX459" s="648">
        <f t="shared" si="1118"/>
        <v>0</v>
      </c>
      <c r="HY459" s="644">
        <f>INDEX(Input!$1:$1048576,HY$93,$C459*2+6)*INDEX(Input!$1:$1048576,$JG$93,$C459*2+6)</f>
        <v>993</v>
      </c>
      <c r="HZ459" s="644">
        <f>INDEX(Input!$1:$1048576,HZ$93,$C459*2+6)*INDEX(Input!$1:$1048576,$JG$93,$C459*2+6)</f>
        <v>1216</v>
      </c>
      <c r="IA459" s="644">
        <f>INDEX(Input!$1:$1048576,IA$93,$C459*2+6)*INDEX(Input!$1:$1048576,$JG$93,$C459*2+6)</f>
        <v>120</v>
      </c>
      <c r="IB459" s="644">
        <f t="shared" si="1142"/>
        <v>1072.0725244740488</v>
      </c>
      <c r="IC459" s="644">
        <f t="shared" si="1143"/>
        <v>1336.6795800329389</v>
      </c>
      <c r="ID459" s="644">
        <f>IF(AND(INDEX(Input!$1:$1048576,IA$93,$C459*2+7)="TOS",Y459&lt;=INDEX(Y:Y,MATCH(C459*1000+2,A:A))),0,1)*MAX(IA459+HR459+HU459+HX459,0%)</f>
        <v>95.274871494108197</v>
      </c>
      <c r="IE459" s="128">
        <f t="shared" si="1238"/>
        <v>0.42813936700719457</v>
      </c>
      <c r="IF459" s="128">
        <f t="shared" si="1210"/>
        <v>0.53381197281173132</v>
      </c>
      <c r="IG459" s="128">
        <f t="shared" si="1120"/>
        <v>3.8048660181074064E-2</v>
      </c>
      <c r="IH459" s="21"/>
      <c r="II459" s="19">
        <f t="shared" si="1121"/>
        <v>1490</v>
      </c>
      <c r="IJ459" s="19">
        <f t="shared" si="1122"/>
        <v>2203.2561351629856</v>
      </c>
      <c r="IK459" s="19">
        <f t="shared" si="1123"/>
        <v>242</v>
      </c>
      <c r="IL459" s="19">
        <f t="shared" si="1145"/>
        <v>529.99999999999977</v>
      </c>
      <c r="IM459" s="19">
        <f t="shared" si="1124"/>
        <v>620.95948044654779</v>
      </c>
      <c r="IN459" s="19">
        <f t="shared" si="1125"/>
        <v>-95</v>
      </c>
      <c r="IO459" s="39">
        <f t="shared" si="1126"/>
        <v>0</v>
      </c>
      <c r="IP459" s="39">
        <f t="shared" si="1127"/>
        <v>0</v>
      </c>
      <c r="IQ459" s="39">
        <f t="shared" si="1128"/>
        <v>0</v>
      </c>
      <c r="IR459" s="39">
        <v>0</v>
      </c>
      <c r="IS459" s="39">
        <v>0</v>
      </c>
      <c r="IT459" s="39">
        <v>0</v>
      </c>
      <c r="IU459" s="39">
        <v>0</v>
      </c>
      <c r="IV459" s="39">
        <v>0</v>
      </c>
      <c r="IW459" s="39">
        <v>0</v>
      </c>
      <c r="IX459" s="39">
        <f>INDEX(Input!$1:$1048576,IX$93,$C459*2+6)+INDEX(Input!$1:$1048576,IX$94,$C459*2+6)</f>
        <v>1770</v>
      </c>
      <c r="IY459" s="39">
        <f>INDEX(Input!$1:$1048576,IY$93,$C459*2+6)+INDEX(Input!$1:$1048576,IY$94,$C459*2+6)</f>
        <v>2630.0624533823611</v>
      </c>
      <c r="IZ459" s="39">
        <f>INDEX(Input!$1:$1048576,IZ$93,$C459*2+6)+INDEX(Input!$1:$1048576,IZ$94,$C459*2+6)</f>
        <v>4153.7164157747848</v>
      </c>
      <c r="JA459" s="19">
        <f t="shared" si="1146"/>
        <v>2300</v>
      </c>
      <c r="JB459" s="19">
        <f t="shared" si="1147"/>
        <v>3251.0219338289089</v>
      </c>
      <c r="JC459" s="19">
        <f t="shared" si="1148"/>
        <v>4058.7164157747848</v>
      </c>
      <c r="JD459" s="19">
        <f t="shared" si="1149"/>
        <v>2874.5836979431292</v>
      </c>
      <c r="JE459" s="21"/>
      <c r="JF459" s="1">
        <f t="shared" si="1129"/>
        <v>3.2545831732385969E-2</v>
      </c>
      <c r="JG459" s="15">
        <f>INDEX(Input!$1:$1048576,JG$93,$C459*2+6)/(1+VLOOKUP(C459*1000+INDEX(Input!$1:$1048576,JG$93+1,$C459*2+6),$A:$KK,$JK$92,FALSE))</f>
        <v>2329</v>
      </c>
      <c r="JH459" s="1">
        <f t="shared" si="1150"/>
        <v>6.0521267459061681E-2</v>
      </c>
      <c r="JI459" s="1">
        <f t="shared" si="1151"/>
        <v>1.4629860063950896E-2</v>
      </c>
      <c r="JJ459" s="1">
        <f t="shared" si="1211"/>
        <v>0</v>
      </c>
      <c r="JK459" s="1">
        <f t="shared" si="1212"/>
        <v>7.5151127523012576E-2</v>
      </c>
      <c r="JL459" s="15">
        <f t="shared" si="1154"/>
        <v>175.0269760010963</v>
      </c>
      <c r="JM459" s="15">
        <f t="shared" si="1180"/>
        <v>2504.0269760010965</v>
      </c>
      <c r="JN459" s="21"/>
      <c r="JO459" s="19">
        <f>INDEX(Input!$1:$1048576,JO$93,$C459*2+6)</f>
        <v>5995.5</v>
      </c>
      <c r="JP459" s="19">
        <f>INDEX(Input!$1:$1048576,JP$93,$C459*2+6)</f>
        <v>2341.8685758720158</v>
      </c>
      <c r="JQ459" s="39">
        <f t="shared" si="1166"/>
        <v>3120.9163020568708</v>
      </c>
      <c r="JR459" s="39">
        <f t="shared" si="1183"/>
        <v>532.71512207111346</v>
      </c>
      <c r="JS459" s="39">
        <f t="shared" si="1168"/>
        <v>7.1980351244225824</v>
      </c>
      <c r="JT459" s="39">
        <f t="shared" si="1156"/>
        <v>1.7438232112166583</v>
      </c>
      <c r="JU459" s="385">
        <f>(JQ459*JM459-INDEX(Input!$1:$1048576,Input!A$18,$C459*2+6)*JL459*INDEX(Input!$1:$1048576,Input!A$19,$C459*2+6))/1000000</f>
        <v>7.8148586101919904</v>
      </c>
      <c r="JV459" s="39">
        <f t="shared" si="1190"/>
        <v>-0.69444897660208404</v>
      </c>
      <c r="JW459" s="1">
        <f t="shared" si="1181"/>
        <v>-8.161051525271297E-2</v>
      </c>
      <c r="JX459" s="19">
        <f t="shared" si="1172"/>
        <v>9963.168255879229</v>
      </c>
      <c r="JZ459" s="341"/>
      <c r="KA459" s="342"/>
      <c r="KB459" s="469">
        <f t="shared" si="1169"/>
        <v>2.3434325605641804</v>
      </c>
      <c r="KI459" s="473">
        <f t="shared" si="1235"/>
        <v>79.072524474049033</v>
      </c>
      <c r="KJ459" s="473">
        <f t="shared" si="1236"/>
        <v>120.67958003293916</v>
      </c>
      <c r="KK459" s="473">
        <f t="shared" si="1158"/>
        <v>-24.725128505891774</v>
      </c>
      <c r="KN459" s="544">
        <f t="shared" si="1173"/>
        <v>4002</v>
      </c>
      <c r="KO459" s="541">
        <f t="shared" si="1133"/>
        <v>3.5315793917938043E-2</v>
      </c>
      <c r="KP459" s="546">
        <f t="shared" si="1134"/>
        <v>275.32049824008669</v>
      </c>
      <c r="KQ459" s="546">
        <f t="shared" si="1135"/>
        <v>249.81250990710805</v>
      </c>
      <c r="KR459" s="548">
        <f t="shared" si="1136"/>
        <v>2.2268238907403815</v>
      </c>
      <c r="KS459" s="548">
        <f t="shared" si="1137"/>
        <v>2.4542016063148551</v>
      </c>
      <c r="KT459" s="473">
        <f t="shared" si="1171"/>
        <v>1580.0986321700548</v>
      </c>
      <c r="KU459" s="663">
        <f t="shared" si="1159"/>
        <v>4.065271829807628</v>
      </c>
      <c r="KV459" s="117"/>
    </row>
    <row r="460" spans="1:308" s="26" customFormat="1" ht="15" outlineLevel="1">
      <c r="A460" s="561">
        <f t="shared" si="1138"/>
        <v>4060</v>
      </c>
      <c r="B460" s="561">
        <f t="shared" si="1160"/>
        <v>60</v>
      </c>
      <c r="C460" s="561">
        <f t="shared" si="1161"/>
        <v>4</v>
      </c>
      <c r="D460" s="561" t="str">
        <f t="shared" si="1206"/>
        <v xml:space="preserve">500 CC, 0/0/0.9/3.9, -360 Lease, </v>
      </c>
      <c r="E460" s="475">
        <f>INDEX(Input!$1:$1048576,E$93,$C460*2+MIN($B460,2)+5)
+INDEX(Scenarios!E$121:E$200,MATCH($B460,Scenarios!$B$121:$B$200,0))</f>
        <v>1756.832975525977</v>
      </c>
      <c r="F460" s="475">
        <f>INDEX(Input!$1:$1048576,F$93,$C460*2+MIN($B460,2)+5)
+INDEX(Scenarios!F$121:F$200,MATCH($B460,Scenarios!$B$121:$B$200,0))</f>
        <v>0</v>
      </c>
      <c r="G460" s="475">
        <f>INDEX(Input!$1:$1048576,G$93,$C460*2+MIN($B460,2)+5)
+INDEX(Scenarios!G$121:G$200,MATCH($B460,Scenarios!$B$121:$B$200,0))</f>
        <v>0</v>
      </c>
      <c r="H460" s="475">
        <f>INDEX(Input!$1:$1048576,H$93,$C460*2+MIN($B460,2)+5)
+INDEX(Scenarios!H$121:H$200,MATCH($B460,Scenarios!$B$121:$B$200,0))</f>
        <v>0</v>
      </c>
      <c r="I460" s="476">
        <f>INDEX(Input!$1:$1048576,I$93,$C460*2+MIN($B460,2)+5)</f>
        <v>0.7</v>
      </c>
      <c r="J460" s="476" t="str">
        <f>INDEX(Input!$1:$1048576,J$93,$C460*2+MIN($B460,2)+5)</f>
        <v>Market</v>
      </c>
      <c r="K460" s="476" t="str">
        <f>INDEX(Input!$1:$1048576,K$93,$C460*2+MIN($B460,2)+5)</f>
        <v>Market</v>
      </c>
      <c r="L460" s="476" t="str">
        <f>INDEX(Input!$1:$1048576,L$93,$C460*2+MIN($B460,2)+5)</f>
        <v>Market</v>
      </c>
      <c r="M460" s="476" t="str">
        <f>INDEX(Input!$1:$1048576,M$93,$C460*2+MIN($B460,2)+5)</f>
        <v>Market</v>
      </c>
      <c r="N460" s="476" t="str">
        <f>INDEX(Input!$1:$1048576,N$93,$C460*2+MIN($B460,2)+5)</f>
        <v>Market</v>
      </c>
      <c r="O460" s="476" t="str">
        <f>INDEX(Input!$1:$1048576,O$93,$C460*2+MIN($B460,2)+5)</f>
        <v>Market</v>
      </c>
      <c r="P460" s="476" t="str">
        <f>INDEX(Input!$1:$1048576,P$93,$C460*2+MIN($B460,2)+5)</f>
        <v>N</v>
      </c>
      <c r="Q460" s="477">
        <f>INDEX(Input!$1:$1048576,Q$93,$C460*2+MIN($B460,2)+5)
+INDEX(Scenarios!Q$121:Q$200,MATCH($B460,Scenarios!$B$121:$B$200,0))</f>
        <v>0</v>
      </c>
      <c r="R460" s="478">
        <f>IFERROR(MAX(0,INDEX(Input!$1:$1048576,R$93,$C460*2+MIN($B460,2)+5)
+INDEX(Scenarios!R$121:R$200,MATCH($B460,Scenarios!$B$121:$B$200,0)),),"Market")</f>
        <v>0</v>
      </c>
      <c r="S460" s="478">
        <f>IFERROR(MAX(0,INDEX(Input!$1:$1048576,S$93,$C460*2+MIN($B460,2)+5)
+INDEX(Scenarios!S$121:S$200,MATCH($B460,Scenarios!$B$121:$B$200,0)),),"Market")</f>
        <v>0</v>
      </c>
      <c r="T460" s="478">
        <f>IFERROR(MAX(0,INDEX(Input!$1:$1048576,T$93,$C460*2+MIN($B460,2)+5)
+INDEX(Scenarios!T$121:T$200,MATCH($B460,Scenarios!$B$121:$B$200,0)),),"Market")</f>
        <v>0</v>
      </c>
      <c r="U460" s="478">
        <f>IFERROR(MAX(0,INDEX(Input!$1:$1048576,U$93,$C460*2+MIN($B460,2)+5)
+INDEX(Scenarios!U$121:U$200,MATCH($B460,Scenarios!$B$121:$B$200,0)),),"Market")</f>
        <v>0</v>
      </c>
      <c r="V460" s="478">
        <f>IFERROR(MAX(0,INDEX(Input!$1:$1048576,V$93,$C460*2+MIN($B460,2)+5)
+INDEX(Scenarios!V$121:V$200,MATCH($B460,Scenarios!$B$121:$B$200,0)),),"Market")</f>
        <v>8.9999999999999993E-3</v>
      </c>
      <c r="W460" s="885">
        <f>IFERROR(MAX(0,INDEX(Input!$1:$1048576,W$93,$C460*2+MIN($B460,2)+5)-0%,),"Market")</f>
        <v>3.9E-2</v>
      </c>
      <c r="X460" s="476" t="str">
        <f>INDEX(Input!$1:$1048576,X$93,$C460*2+MIN($B460,2)+5)</f>
        <v>Y</v>
      </c>
      <c r="Y460" s="475">
        <f>INDEX(Input!$1:$1048576,Y$93,$C460*2+MIN($B460,2)+5)
++INDEX(Scenarios!Y$121:Y$200,MATCH($B460,Scenarios!$B$121:$B$200,0))</f>
        <v>-1230</v>
      </c>
      <c r="Z460" s="477">
        <f>INDEX(Input!$1:$1048576,Z$93,$C460*2+MIN($B460,2)+5)
+INDEX(Scenarios!Z$121:Z$200,MATCH($B460,Scenarios!$B$121:$B$200,0))</f>
        <v>0</v>
      </c>
      <c r="AA460" s="475">
        <f>INDEX(Input!$1:$1048576,AA$93,$C460*2+MIN($B460,2)+5)
+INDEX(Scenarios!AA$121:AA$200,MATCH($B460,Scenarios!$B$121:$B$200,0))</f>
        <v>0</v>
      </c>
      <c r="AB460" s="476">
        <f>INDEX(Input!$1:$1048576,AB$93,$C460*2+MIN($B460,2)+5)</f>
        <v>0.27</v>
      </c>
      <c r="AC460" s="475">
        <f>INDEX(Input!$1:$1048576,AC$93,$C460*2+MIN($B460,2)+5)
+INDEX(Scenarios!AC$121:AC$200,MATCH($B460,Scenarios!$B$121:$B$200,0))</f>
        <v>0</v>
      </c>
      <c r="AD460" s="476">
        <f>INDEX(Input!$1:$1048576,AD$93,$C460*2+MIN($B460,2)+5)</f>
        <v>0.27</v>
      </c>
      <c r="AE460" s="475">
        <f>INDEX(Input!$1:$1048576,AE$93,$C460*2+MIN($B460,2)+5)
+INDEX(Scenarios!AE$121:AE$200,MATCH($B460,Scenarios!$B$121:$B$200,0))</f>
        <v>0</v>
      </c>
      <c r="AF460" s="476">
        <f>INDEX(Input!$1:$1048576,AF$93,$C460*2+MIN($B460,2)+5)</f>
        <v>1</v>
      </c>
      <c r="AG460" s="475">
        <f>INDEX(Input!$1:$1048576,AG$93,$C460*2+MIN($B460,2)+5)
+INDEX(Scenarios!AG$121:AG$200,MATCH($B460,Scenarios!$B$121:$B$200,0))</f>
        <v>500</v>
      </c>
      <c r="AH460" s="476">
        <f>INDEX(Input!$1:$1048576,AH$93,$C460*2+MIN($B460,2)+5)</f>
        <v>0.83199999999999996</v>
      </c>
      <c r="AI460" s="475">
        <f>INDEX(Input!$1:$1048576,AI$93,$C460*2+MIN($B460,2)+5)
+INDEX(Scenarios!AI$121:AI$200,MATCH($B460,Scenarios!$B$121:$B$200,0))</f>
        <v>0</v>
      </c>
      <c r="AJ460" s="476">
        <f>INDEX(Input!$1:$1048576,AJ$93,$C460*2+MIN($B460,2)+5)</f>
        <v>0.27</v>
      </c>
      <c r="AK460" s="150">
        <f>ROUND(INDEX(Input!$1:$1048576,AK$93,$C459*2+MIN($B460,1)+5)+(Y460-VLOOKUP($C460*1000+1,$A:$HH,Y$92,FALSE)),0)</f>
        <v>2227</v>
      </c>
      <c r="AL460" s="150">
        <f>ROUND(INDEX(Input!$1:$1048576,AL$93,$C459*2+MIN($B460,1)+5)-(Y460-VLOOKUP($C460*1000+1,$A:$HH,Y$92,FALSE))/36,0)</f>
        <v>3416</v>
      </c>
      <c r="AM460" s="32" t="str">
        <f t="shared" si="1139"/>
        <v>std/std/std/std</v>
      </c>
      <c r="AN460" s="32" t="str">
        <f t="shared" si="1140"/>
        <v>$0 + 0/0/0/0.9/3.9</v>
      </c>
      <c r="AO460" s="32" t="str">
        <f t="shared" si="1141"/>
        <v>0/0/0/0.9/3.9</v>
      </c>
      <c r="AP460" s="32" t="str">
        <f t="shared" si="1213"/>
        <v>0/0/0.9/3.9</v>
      </c>
      <c r="AQ460" s="536">
        <f t="shared" si="1207"/>
        <v>0.44347359890446514</v>
      </c>
      <c r="AR460" s="32"/>
      <c r="AS460" s="302"/>
      <c r="AT460" s="3">
        <f t="shared" si="1162"/>
        <v>60</v>
      </c>
      <c r="AU460" s="41" t="s">
        <v>121</v>
      </c>
      <c r="AV460" s="41" t="s">
        <v>116</v>
      </c>
      <c r="AW460" s="41" t="str">
        <f>INDEX(Input!$1:$1048576,AW$93,$C460*2+6)</f>
        <v>Kia</v>
      </c>
      <c r="AX460" s="41" t="str">
        <f>INDEX(Input!$1:$1048576,AX$93,$C460*2+6)</f>
        <v>Kia-LR - R1</v>
      </c>
      <c r="AY460" s="41" t="str">
        <f>IF(LEN(D460)=0,"",INDEX(Input!$1:$1048576,AY$93,$C460*2+6))</f>
        <v>Compact SUV (52)</v>
      </c>
      <c r="AZ460" s="41" t="str">
        <f>INDEX(Input!$1:$1048576,AZ$93,$C460*2+6)</f>
        <v>Kia Soul</v>
      </c>
      <c r="BA460" s="3">
        <f>INDEX(Input!$1:$1048576,BA$93,$C460*2+6)</f>
        <v>2020</v>
      </c>
      <c r="BB460" s="128">
        <f>INDEX(Input!$1:$1048576,BB$93,$C460*2+6)</f>
        <v>1</v>
      </c>
      <c r="BC460" s="128">
        <f>INDEX(Input!$1:$1048576,BC$93,$C460*2+6)</f>
        <v>0.7</v>
      </c>
      <c r="BD460" s="1">
        <f>INDEX(Input!$1:$1048576,BD$93,$C460*2+6)</f>
        <v>4.4999999999999998E-2</v>
      </c>
      <c r="BE460" s="1">
        <f>INDEX(Input!$1:$1048576,BE$93,$C460*2+6)</f>
        <v>4.4999999999999998E-2</v>
      </c>
      <c r="BF460" s="1">
        <f>INDEX(Input!$1:$1048576,BF$93,$C460*2+6)</f>
        <v>0.05</v>
      </c>
      <c r="BG460" s="1">
        <f>INDEX(Input!$1:$1048576,BG$93,$C460*2+6)</f>
        <v>5.45E-2</v>
      </c>
      <c r="BH460" s="1">
        <f>INDEX(Input!$1:$1048576,BH$93,$C460*2+6)</f>
        <v>5.45E-2</v>
      </c>
      <c r="BI460" s="1">
        <f>INDEX(Input!$1:$1048576,BI$93,$C460*2+6)</f>
        <v>0.05</v>
      </c>
      <c r="BJ460" s="1">
        <f>INDEX(Input!$1:$1048576,BJ$93,$C460*2+6)</f>
        <v>0.05</v>
      </c>
      <c r="BK460" s="1">
        <f>INDEX(Input!$1:$1048576,BK$93,$C460*2+6)</f>
        <v>0.05</v>
      </c>
      <c r="BL460" s="1">
        <f>INDEX(Input!$1:$1048576,BL$93,$C460*2+6)</f>
        <v>5.5E-2</v>
      </c>
      <c r="BM460" s="1">
        <f>INDEX(Input!$1:$1048576,BM$93,$C460*2+6)</f>
        <v>0.06</v>
      </c>
      <c r="BN460" s="1">
        <f>INDEX(Input!$1:$1048576,BN$93,$C460*2+6)</f>
        <v>4.4999999999999998E-2</v>
      </c>
      <c r="BO460" s="1">
        <f>INDEX(Input!$1:$1048576,BO$93,$C460*2+6)</f>
        <v>4.4999999999999998E-2</v>
      </c>
      <c r="BP460" s="1">
        <f>INDEX(Input!$1:$1048576,BP$93,$C460*2+6)</f>
        <v>0.05</v>
      </c>
      <c r="BQ460" s="1">
        <f>INDEX(Input!$1:$1048576,BQ$93,$C460*2+6)</f>
        <v>5.45E-2</v>
      </c>
      <c r="BR460" s="1">
        <f>INDEX(Input!$1:$1048576,BR$93,$C460*2+6)</f>
        <v>5.45E-2</v>
      </c>
      <c r="BS460" s="1">
        <f>INDEX(Input!$1:$1048576,BS$93,$C460*2+6)</f>
        <v>0.05</v>
      </c>
      <c r="BT460" s="1">
        <f>INDEX(Input!$1:$1048576,BT$93,$C460*2+6)</f>
        <v>0.05</v>
      </c>
      <c r="BU460" s="1">
        <f>INDEX(Input!$1:$1048576,BU$93,$C460*2+6)</f>
        <v>0.05</v>
      </c>
      <c r="BV460" s="1">
        <f>INDEX(Input!$1:$1048576,BV$93,$C460*2+6)</f>
        <v>5.5E-2</v>
      </c>
      <c r="BW460" s="1">
        <f>INDEX(Input!$1:$1048576,BW$93,$C460*2+6)</f>
        <v>0.06</v>
      </c>
      <c r="BX460" s="127">
        <f>INDEX(Input!$1:$1048576,BX$93,$C460*2+6)</f>
        <v>19985</v>
      </c>
      <c r="BY460" s="20">
        <f>INDEX(Input!$1:$1048576,BY$93,$C460*2+6)</f>
        <v>0.1</v>
      </c>
      <c r="BZ460" s="20">
        <f>INDEX(Input!$1:$1048576,BZ$93,$C460*2+6)</f>
        <v>0.1</v>
      </c>
      <c r="CA460" s="20">
        <f>INDEX(Input!$1:$1048576,CA$93,$C460*2+6)</f>
        <v>0.1</v>
      </c>
      <c r="CB460" s="20">
        <f>INDEX(Input!$1:$1048576,CB$93,$C460*2+6)</f>
        <v>0.1</v>
      </c>
      <c r="CC460" s="20">
        <f>INDEX(Input!$1:$1048576,CC$93,$C460*2+6)</f>
        <v>0.1</v>
      </c>
      <c r="CD460" s="384">
        <f>INDEX(Input!$1:$1048576,CD$93,$C460*2+6)</f>
        <v>0.1</v>
      </c>
      <c r="CE460" s="384">
        <f>INDEX(Input!$1:$1048576,CE$93,$C460*2+6)</f>
        <v>0.1</v>
      </c>
      <c r="CF460" s="384">
        <f>INDEX(Input!$1:$1048576,CF$93,$C460*2+6)</f>
        <v>0.1</v>
      </c>
      <c r="CG460" s="384">
        <f>INDEX(Input!$1:$1048576,CG$93,$C460*2+6)</f>
        <v>0.1</v>
      </c>
      <c r="CH460" s="384">
        <f>INDEX(Input!$1:$1048576,CH$93,$C460*2+6)</f>
        <v>0.1</v>
      </c>
      <c r="CI460" s="304">
        <f t="shared" si="1214"/>
        <v>1756.832975525977</v>
      </c>
      <c r="CJ460" s="16" t="str">
        <f>INDEX(Input!$1:$1048576,CJ$93,$C460*2+6)</f>
        <v>N</v>
      </c>
      <c r="CK460" s="1" t="str">
        <f t="shared" si="1215"/>
        <v>Market</v>
      </c>
      <c r="CL460" s="1" t="str">
        <f t="shared" si="1216"/>
        <v>Market</v>
      </c>
      <c r="CM460" s="1" t="str">
        <f t="shared" si="1217"/>
        <v>Market</v>
      </c>
      <c r="CN460" s="1" t="str">
        <f t="shared" si="1218"/>
        <v>Market</v>
      </c>
      <c r="CO460" s="1" t="str">
        <f t="shared" si="1219"/>
        <v>Market</v>
      </c>
      <c r="CP460" s="304">
        <f t="shared" si="1220"/>
        <v>416</v>
      </c>
      <c r="CQ460" s="1">
        <f t="shared" si="1221"/>
        <v>0</v>
      </c>
      <c r="CR460" s="1">
        <f t="shared" si="1222"/>
        <v>0</v>
      </c>
      <c r="CS460" s="1">
        <f t="shared" si="1223"/>
        <v>0</v>
      </c>
      <c r="CT460" s="1">
        <f t="shared" si="1224"/>
        <v>8.9999999999999993E-3</v>
      </c>
      <c r="CU460" s="1">
        <f t="shared" si="1225"/>
        <v>3.9E-2</v>
      </c>
      <c r="CV460" s="304">
        <f t="shared" si="1226"/>
        <v>-1230</v>
      </c>
      <c r="CW460" s="20" t="s">
        <v>122</v>
      </c>
      <c r="CX460" s="20" t="s">
        <v>122</v>
      </c>
      <c r="CY460" s="20" t="s">
        <v>122</v>
      </c>
      <c r="CZ460" s="20" t="s">
        <v>122</v>
      </c>
      <c r="DA460" s="20" t="s">
        <v>122</v>
      </c>
      <c r="DB460" s="503">
        <f t="shared" si="1227"/>
        <v>0</v>
      </c>
      <c r="DC460" s="127">
        <v>0</v>
      </c>
      <c r="DD460" s="127">
        <v>0</v>
      </c>
      <c r="DE460" s="127">
        <v>0</v>
      </c>
      <c r="DF460" s="127">
        <v>0</v>
      </c>
      <c r="DG460" s="127">
        <v>0</v>
      </c>
      <c r="DH460" s="127">
        <v>0</v>
      </c>
      <c r="DI460" s="127">
        <v>0</v>
      </c>
      <c r="DJ460" s="127">
        <v>0</v>
      </c>
      <c r="DK460" s="127">
        <v>0</v>
      </c>
      <c r="DL460" s="127">
        <v>0</v>
      </c>
      <c r="DM460" s="304">
        <f>INDEX(Input!$1:$1048576,DM$93,$C460*2+6)</f>
        <v>21036.84210526316</v>
      </c>
      <c r="DN460" s="20">
        <v>0</v>
      </c>
      <c r="DO460" s="20">
        <v>0</v>
      </c>
      <c r="DP460" s="20">
        <v>0</v>
      </c>
      <c r="DQ460" s="20">
        <v>0</v>
      </c>
      <c r="DR460" s="20">
        <v>0</v>
      </c>
      <c r="DS460" s="20">
        <f>INDEX(Input!$1:$1048576,DS$93,$C460*2+6)</f>
        <v>0.6</v>
      </c>
      <c r="DT460" s="20">
        <f>INDEX(Input!$1:$1048576,DT$93,$C460*2+6)</f>
        <v>0.55000000000000004</v>
      </c>
      <c r="DU460" s="20">
        <f>INDEX(Input!$1:$1048576,DU$93,$C460*2+6)</f>
        <v>0.52</v>
      </c>
      <c r="DV460" s="20">
        <f>INDEX(Input!$1:$1048576,DV$93,$C460*2+6)</f>
        <v>0.5</v>
      </c>
      <c r="DW460" s="20">
        <f>INDEX(Input!$1:$1048576,DW$93,$C460*2+6)</f>
        <v>0.45</v>
      </c>
      <c r="DX460" s="20"/>
      <c r="DY460" s="7">
        <v>0.10946288053863885</v>
      </c>
      <c r="DZ460" s="7">
        <v>0</v>
      </c>
      <c r="EA460" s="7">
        <v>0.81278738535389872</v>
      </c>
      <c r="EB460" s="7">
        <v>0</v>
      </c>
      <c r="EC460" s="7">
        <v>0</v>
      </c>
      <c r="ED460" s="7">
        <v>0</v>
      </c>
      <c r="EE460" s="7">
        <v>0</v>
      </c>
      <c r="EF460" s="7">
        <v>0</v>
      </c>
      <c r="EG460" s="7">
        <v>0</v>
      </c>
      <c r="EH460" s="7">
        <v>9.529858748101536E-3</v>
      </c>
      <c r="EI460" s="7">
        <v>2.4911357003682959E-2</v>
      </c>
      <c r="EJ460" s="7">
        <v>0.1747507923828345</v>
      </c>
      <c r="EK460" s="7">
        <v>0.68428739856884979</v>
      </c>
      <c r="EL460" s="7">
        <v>0.10652059329653152</v>
      </c>
      <c r="EM460" s="7">
        <v>4.3456953088589038E-2</v>
      </c>
      <c r="EN460" s="7">
        <v>4.9383528197319226E-2</v>
      </c>
      <c r="EO460" s="7">
        <v>0.7013963591353557</v>
      </c>
      <c r="EP460" s="7">
        <v>0.10818754492734968</v>
      </c>
      <c r="EQ460" s="7">
        <v>9.4913031888708962E-2</v>
      </c>
      <c r="ER460" s="7">
        <v>4.6119535851266311E-2</v>
      </c>
      <c r="ES460" s="7">
        <v>3.4292781018873293E-2</v>
      </c>
      <c r="ET460" s="7">
        <v>7.774973410746247E-2</v>
      </c>
      <c r="EU460" s="6">
        <v>2270</v>
      </c>
      <c r="EV460" s="6">
        <v>0</v>
      </c>
      <c r="EW460" s="6">
        <v>2270</v>
      </c>
      <c r="EX460" s="6">
        <v>0</v>
      </c>
      <c r="EY460" s="6">
        <v>2824.212096183524</v>
      </c>
      <c r="EZ460" s="6">
        <v>147</v>
      </c>
      <c r="FA460" s="6">
        <v>0</v>
      </c>
      <c r="FB460" s="6">
        <v>0</v>
      </c>
      <c r="FC460" s="6">
        <v>0</v>
      </c>
      <c r="FD460" s="6">
        <v>0</v>
      </c>
      <c r="FE460" s="6">
        <v>0</v>
      </c>
      <c r="FF460" s="6">
        <v>0</v>
      </c>
      <c r="FG460" s="6">
        <v>0</v>
      </c>
      <c r="FH460" s="6">
        <v>1169.8099215987588</v>
      </c>
      <c r="FI460" s="6">
        <v>1553.9796069512406</v>
      </c>
      <c r="FJ460" s="6">
        <v>2101.2110117447428</v>
      </c>
      <c r="FK460" s="6">
        <v>2251.3078348034669</v>
      </c>
      <c r="FL460" s="6">
        <v>907.07682140966347</v>
      </c>
      <c r="FM460" s="6">
        <v>2054.212096183524</v>
      </c>
      <c r="FN460" s="6">
        <v>0</v>
      </c>
      <c r="FO460" s="6">
        <v>0</v>
      </c>
      <c r="FP460" s="6">
        <v>0</v>
      </c>
      <c r="FQ460" s="6">
        <v>0</v>
      </c>
      <c r="FR460" s="6">
        <v>0</v>
      </c>
      <c r="FS460" s="6">
        <v>0</v>
      </c>
      <c r="FT460" s="7">
        <v>0.92225026589253756</v>
      </c>
      <c r="FU460" s="7">
        <v>4.3456953088589038E-2</v>
      </c>
      <c r="FV460" s="7">
        <v>3.4292781018873293E-2</v>
      </c>
      <c r="FW460" s="6">
        <v>2270</v>
      </c>
      <c r="FX460" s="6">
        <v>2824.212096183524</v>
      </c>
      <c r="FY460" s="6">
        <v>147</v>
      </c>
      <c r="FZ460" s="6">
        <v>1949.5716051445115</v>
      </c>
      <c r="GA460" s="6">
        <v>2221.2807949619078</v>
      </c>
      <c r="GB460" s="6">
        <v>17763.719205038091</v>
      </c>
      <c r="GC460" s="7">
        <v>3.3872851927908169E-2</v>
      </c>
      <c r="GD460" s="7">
        <v>3.5435490008943936E-2</v>
      </c>
      <c r="GE460" s="7"/>
      <c r="GF460" s="7"/>
      <c r="GG460" s="7">
        <v>4.6132462786468063E-2</v>
      </c>
      <c r="GH460" s="42">
        <v>3.3931766143322979</v>
      </c>
      <c r="GI460" s="6">
        <v>8111.0420044392404</v>
      </c>
      <c r="GJ460" s="14">
        <v>0.50394797582841755</v>
      </c>
      <c r="GK460" s="14">
        <v>0.50887573065309766</v>
      </c>
      <c r="GL460" s="14">
        <v>0.49605202417158273</v>
      </c>
      <c r="GM460" s="14">
        <v>0.49112426934690229</v>
      </c>
      <c r="GO460" s="5">
        <v>343.14810671672558</v>
      </c>
      <c r="GP460" s="5">
        <v>299.84083725090579</v>
      </c>
      <c r="GQ460" s="5">
        <v>535.04305713031317</v>
      </c>
      <c r="GR460" s="5">
        <v>410.15490233172511</v>
      </c>
      <c r="GS460" s="5">
        <v>339.42744393800166</v>
      </c>
      <c r="GT460" s="5">
        <v>293.4407446948278</v>
      </c>
      <c r="GU460" s="5">
        <v>258.04012322764959</v>
      </c>
      <c r="GV460" s="39" t="s">
        <v>392</v>
      </c>
      <c r="GW460" s="5">
        <v>478.23611111111109</v>
      </c>
      <c r="GX460" s="5">
        <v>358.67708333333331</v>
      </c>
      <c r="GY460" s="5">
        <v>286.94166666666666</v>
      </c>
      <c r="GZ460" s="5">
        <v>245.72198221012883</v>
      </c>
      <c r="HA460" s="5">
        <v>234.53733318419432</v>
      </c>
      <c r="HB460" s="39">
        <v>256.76345093545478</v>
      </c>
      <c r="HC460" s="5">
        <v>280.85312499999998</v>
      </c>
      <c r="HD460" s="5">
        <v>235.41580774853799</v>
      </c>
      <c r="HE460" s="5">
        <v>236.8873861336032</v>
      </c>
      <c r="HF460" s="5">
        <v>217.50938048245612</v>
      </c>
      <c r="HG460" s="5">
        <v>207.81388157894736</v>
      </c>
      <c r="HH460" s="39">
        <v>234.84632791322352</v>
      </c>
      <c r="HI460" s="16"/>
      <c r="HJ460" s="19" t="str">
        <f t="shared" si="1239"/>
        <v>On</v>
      </c>
      <c r="HK460" s="1" t="str">
        <f t="shared" si="1239"/>
        <v>On</v>
      </c>
      <c r="HL460" s="16"/>
      <c r="HM460" s="639">
        <f t="shared" si="1110"/>
        <v>2.9403358434788716E-2</v>
      </c>
      <c r="HN460" s="639">
        <f t="shared" si="1111"/>
        <v>1.4106809950923669E-3</v>
      </c>
      <c r="HO460" s="639">
        <f t="shared" si="1112"/>
        <v>1.7317923025048877E-3</v>
      </c>
      <c r="HP460" s="644">
        <f>(FT460*$GD460-HM460)/$JF460*INDEX(Input!$1:$1048576,$JG$93,$C460*2+6)</f>
        <v>234.50642684233773</v>
      </c>
      <c r="HQ460" s="644">
        <f>(FU460*$GD460-HN460)/$JF460*INDEX(Input!$1:$1048576,$JG$93,$C460*2+6)</f>
        <v>9.2483111620621052</v>
      </c>
      <c r="HR460" s="644">
        <f>(FV460*$GD460-HO460)/$JF460*INDEX(Input!$1:$1048576,$JG$93,$C460*2+6)</f>
        <v>-36.968991017127856</v>
      </c>
      <c r="HS460" s="644">
        <f t="shared" si="1233"/>
        <v>-102.34981631473123</v>
      </c>
      <c r="HT460" s="644">
        <f t="shared" si="1114"/>
        <v>98.056161857179177</v>
      </c>
      <c r="HU460" s="644">
        <f t="shared" si="1115"/>
        <v>5.6524258973904153</v>
      </c>
      <c r="HV460" s="648">
        <f t="shared" si="1116"/>
        <v>0</v>
      </c>
      <c r="HW460" s="648">
        <f t="shared" si="1117"/>
        <v>0</v>
      </c>
      <c r="HX460" s="648">
        <f t="shared" si="1118"/>
        <v>0</v>
      </c>
      <c r="HY460" s="644">
        <f>INDEX(Input!$1:$1048576,HY$93,$C460*2+6)*INDEX(Input!$1:$1048576,$JG$93,$C460*2+6)</f>
        <v>993</v>
      </c>
      <c r="HZ460" s="644">
        <f>INDEX(Input!$1:$1048576,HZ$93,$C460*2+6)*INDEX(Input!$1:$1048576,$JG$93,$C460*2+6)</f>
        <v>1216</v>
      </c>
      <c r="IA460" s="644">
        <f>INDEX(Input!$1:$1048576,IA$93,$C460*2+6)*INDEX(Input!$1:$1048576,$JG$93,$C460*2+6)</f>
        <v>120</v>
      </c>
      <c r="IB460" s="644">
        <f t="shared" si="1142"/>
        <v>1125.1566105276067</v>
      </c>
      <c r="IC460" s="644">
        <f t="shared" si="1143"/>
        <v>1323.3044730192412</v>
      </c>
      <c r="ID460" s="644">
        <f>IF(AND(INDEX(Input!$1:$1048576,IA$93,$C460*2+7)="TOS",Y460&lt;=INDEX(Y:Y,MATCH(C460*1000+2,A:A))),0,1)*MAX(IA460+HR460+HU460+HX460,0%)</f>
        <v>88.683434880262567</v>
      </c>
      <c r="IE460" s="128">
        <f t="shared" si="1238"/>
        <v>0.44347359890446514</v>
      </c>
      <c r="IF460" s="128">
        <f t="shared" si="1210"/>
        <v>0.52157236744228386</v>
      </c>
      <c r="IG460" s="128">
        <f t="shared" si="1120"/>
        <v>3.4954033653251018E-2</v>
      </c>
      <c r="IH460" s="21"/>
      <c r="II460" s="19">
        <f t="shared" si="1121"/>
        <v>1490</v>
      </c>
      <c r="IJ460" s="19">
        <f t="shared" si="1122"/>
        <v>2203.2561351629856</v>
      </c>
      <c r="IK460" s="19">
        <f t="shared" si="1123"/>
        <v>242</v>
      </c>
      <c r="IL460" s="19">
        <f t="shared" si="1145"/>
        <v>780</v>
      </c>
      <c r="IM460" s="19">
        <f t="shared" si="1124"/>
        <v>620.95596102053833</v>
      </c>
      <c r="IN460" s="19">
        <f t="shared" si="1125"/>
        <v>-95</v>
      </c>
      <c r="IO460" s="39">
        <f t="shared" si="1126"/>
        <v>0</v>
      </c>
      <c r="IP460" s="39">
        <f t="shared" si="1127"/>
        <v>0</v>
      </c>
      <c r="IQ460" s="39">
        <f t="shared" si="1128"/>
        <v>0</v>
      </c>
      <c r="IR460" s="39">
        <v>0</v>
      </c>
      <c r="IS460" s="39">
        <v>0</v>
      </c>
      <c r="IT460" s="39">
        <v>0</v>
      </c>
      <c r="IU460" s="39">
        <v>0</v>
      </c>
      <c r="IV460" s="39">
        <v>0</v>
      </c>
      <c r="IW460" s="39">
        <v>0</v>
      </c>
      <c r="IX460" s="39">
        <f>INDEX(Input!$1:$1048576,IX$93,$C460*2+6)+INDEX(Input!$1:$1048576,IX$94,$C460*2+6)</f>
        <v>1770</v>
      </c>
      <c r="IY460" s="39">
        <f>INDEX(Input!$1:$1048576,IY$93,$C460*2+6)+INDEX(Input!$1:$1048576,IY$94,$C460*2+6)</f>
        <v>2630.0624533823611</v>
      </c>
      <c r="IZ460" s="39">
        <f>INDEX(Input!$1:$1048576,IZ$93,$C460*2+6)+INDEX(Input!$1:$1048576,IZ$94,$C460*2+6)</f>
        <v>4153.7164157747848</v>
      </c>
      <c r="JA460" s="19">
        <f t="shared" si="1146"/>
        <v>2550</v>
      </c>
      <c r="JB460" s="19">
        <f t="shared" si="1147"/>
        <v>3251.0184144028995</v>
      </c>
      <c r="JC460" s="19">
        <f t="shared" si="1148"/>
        <v>4058.7164157747848</v>
      </c>
      <c r="JD460" s="19">
        <f t="shared" si="1149"/>
        <v>2968.3675583909603</v>
      </c>
      <c r="JE460" s="21"/>
      <c r="JF460" s="1">
        <f t="shared" si="1129"/>
        <v>3.2545831732385969E-2</v>
      </c>
      <c r="JG460" s="15">
        <f>INDEX(Input!$1:$1048576,JG$93,$C460*2+6)/(1+VLOOKUP(C460*1000+INDEX(Input!$1:$1048576,JG$93+1,$C460*2+6),$A:$KK,$JK$92,FALSE))</f>
        <v>2329</v>
      </c>
      <c r="JH460" s="1">
        <f t="shared" si="1150"/>
        <v>8.8787353794449117E-2</v>
      </c>
      <c r="JI460" s="1">
        <f t="shared" si="1151"/>
        <v>5.8341410040290418E-4</v>
      </c>
      <c r="JJ460" s="1">
        <f t="shared" si="1211"/>
        <v>0</v>
      </c>
      <c r="JK460" s="1">
        <f t="shared" si="1212"/>
        <v>8.9370767894852016E-2</v>
      </c>
      <c r="JL460" s="15">
        <f t="shared" si="1154"/>
        <v>208.14451842711034</v>
      </c>
      <c r="JM460" s="15">
        <f t="shared" si="1180"/>
        <v>2537.1445184271101</v>
      </c>
      <c r="JN460" s="21"/>
      <c r="JO460" s="19">
        <f>INDEX(Input!$1:$1048576,JO$93,$C460*2+6)</f>
        <v>5995.5</v>
      </c>
      <c r="JP460" s="19">
        <f>INDEX(Input!$1:$1048576,JP$93,$C460*2+6)</f>
        <v>2341.8685758720158</v>
      </c>
      <c r="JQ460" s="39">
        <f t="shared" si="1166"/>
        <v>3027.1324416090397</v>
      </c>
      <c r="JR460" s="39">
        <f t="shared" si="1183"/>
        <v>626.49898251894456</v>
      </c>
      <c r="JS460" s="39">
        <f t="shared" si="1168"/>
        <v>7.5311774794484903</v>
      </c>
      <c r="JT460" s="39">
        <f t="shared" si="1156"/>
        <v>2.0769655662425652</v>
      </c>
      <c r="JU460" s="385">
        <f>(JQ460*JM460-INDEX(Input!$1:$1048576,Input!A$18,$C460*2+6)*JL460*INDEX(Input!$1:$1048576,Input!A$19,$C460*2+6))/1000000</f>
        <v>7.680272480781249</v>
      </c>
      <c r="JV460" s="39">
        <f t="shared" si="1190"/>
        <v>-0.82903510601282537</v>
      </c>
      <c r="JW460" s="1">
        <f t="shared" si="1181"/>
        <v>-9.7426858478995071E-2</v>
      </c>
      <c r="JX460" s="19">
        <f t="shared" si="1172"/>
        <v>9978.4783281232212</v>
      </c>
      <c r="JZ460" s="341"/>
      <c r="KA460" s="342"/>
      <c r="KB460" s="469">
        <f t="shared" si="1169"/>
        <v>2.3434325605641804</v>
      </c>
      <c r="KI460" s="473">
        <f t="shared" si="1235"/>
        <v>132.15661052760652</v>
      </c>
      <c r="KJ460" s="473">
        <f t="shared" si="1236"/>
        <v>107.30447301924096</v>
      </c>
      <c r="KK460" s="473">
        <f t="shared" si="1158"/>
        <v>-31.316565119737447</v>
      </c>
      <c r="KN460" s="544">
        <f t="shared" si="1173"/>
        <v>4002</v>
      </c>
      <c r="KO460" s="541">
        <f t="shared" si="1133"/>
        <v>4.9008583595529842E-2</v>
      </c>
      <c r="KP460" s="546">
        <f t="shared" si="1134"/>
        <v>386.96205139030468</v>
      </c>
      <c r="KQ460" s="546">
        <f t="shared" si="1135"/>
        <v>343.59637035493915</v>
      </c>
      <c r="KR460" s="548">
        <f t="shared" si="1136"/>
        <v>2.1986657914176519</v>
      </c>
      <c r="KS460" s="548">
        <f t="shared" si="1137"/>
        <v>2.4761618526114684</v>
      </c>
      <c r="KT460" s="473">
        <f t="shared" si="1171"/>
        <v>1580.0986321700548</v>
      </c>
      <c r="KU460" s="663">
        <f t="shared" si="1159"/>
        <v>4.0779456168607018</v>
      </c>
      <c r="KV460" s="117"/>
    </row>
    <row r="461" spans="1:308" s="26" customFormat="1" ht="15" outlineLevel="1">
      <c r="A461" s="561">
        <f t="shared" si="1138"/>
        <v>4061</v>
      </c>
      <c r="B461" s="561">
        <f t="shared" si="1160"/>
        <v>61</v>
      </c>
      <c r="C461" s="561">
        <f t="shared" si="1161"/>
        <v>4</v>
      </c>
      <c r="D461" s="561" t="str">
        <f t="shared" si="1206"/>
        <v xml:space="preserve">750 CC, 0/0/0.9/3.9, -360 Lease, </v>
      </c>
      <c r="E461" s="475">
        <f>INDEX(Input!$1:$1048576,E$93,$C461*2+MIN($B461,2)+5)
+INDEX(Scenarios!E$121:E$200,MATCH($B461,Scenarios!$B$121:$B$200,0))</f>
        <v>2006.832975525977</v>
      </c>
      <c r="F461" s="475">
        <f>INDEX(Input!$1:$1048576,F$93,$C461*2+MIN($B461,2)+5)
+INDEX(Scenarios!F$121:F$200,MATCH($B461,Scenarios!$B$121:$B$200,0))</f>
        <v>0</v>
      </c>
      <c r="G461" s="475">
        <f>INDEX(Input!$1:$1048576,G$93,$C461*2+MIN($B461,2)+5)
+INDEX(Scenarios!G$121:G$200,MATCH($B461,Scenarios!$B$121:$B$200,0))</f>
        <v>0</v>
      </c>
      <c r="H461" s="475">
        <f>INDEX(Input!$1:$1048576,H$93,$C461*2+MIN($B461,2)+5)
+INDEX(Scenarios!H$121:H$200,MATCH($B461,Scenarios!$B$121:$B$200,0))</f>
        <v>0</v>
      </c>
      <c r="I461" s="476">
        <f>INDEX(Input!$1:$1048576,I$93,$C461*2+MIN($B461,2)+5)</f>
        <v>0.7</v>
      </c>
      <c r="J461" s="476" t="str">
        <f>INDEX(Input!$1:$1048576,J$93,$C461*2+MIN($B461,2)+5)</f>
        <v>Market</v>
      </c>
      <c r="K461" s="476" t="str">
        <f>INDEX(Input!$1:$1048576,K$93,$C461*2+MIN($B461,2)+5)</f>
        <v>Market</v>
      </c>
      <c r="L461" s="476" t="str">
        <f>INDEX(Input!$1:$1048576,L$93,$C461*2+MIN($B461,2)+5)</f>
        <v>Market</v>
      </c>
      <c r="M461" s="476" t="str">
        <f>INDEX(Input!$1:$1048576,M$93,$C461*2+MIN($B461,2)+5)</f>
        <v>Market</v>
      </c>
      <c r="N461" s="476" t="str">
        <f>INDEX(Input!$1:$1048576,N$93,$C461*2+MIN($B461,2)+5)</f>
        <v>Market</v>
      </c>
      <c r="O461" s="476" t="str">
        <f>INDEX(Input!$1:$1048576,O$93,$C461*2+MIN($B461,2)+5)</f>
        <v>Market</v>
      </c>
      <c r="P461" s="476" t="str">
        <f>INDEX(Input!$1:$1048576,P$93,$C461*2+MIN($B461,2)+5)</f>
        <v>N</v>
      </c>
      <c r="Q461" s="477">
        <f>INDEX(Input!$1:$1048576,Q$93,$C461*2+MIN($B461,2)+5)
+INDEX(Scenarios!Q$121:Q$200,MATCH($B461,Scenarios!$B$121:$B$200,0))</f>
        <v>0</v>
      </c>
      <c r="R461" s="478">
        <f>IFERROR(MAX(0,INDEX(Input!$1:$1048576,R$93,$C461*2+MIN($B461,2)+5)
+INDEX(Scenarios!R$121:R$200,MATCH($B461,Scenarios!$B$121:$B$200,0)),),"Market")</f>
        <v>0</v>
      </c>
      <c r="S461" s="478">
        <f>IFERROR(MAX(0,INDEX(Input!$1:$1048576,S$93,$C461*2+MIN($B461,2)+5)
+INDEX(Scenarios!S$121:S$200,MATCH($B461,Scenarios!$B$121:$B$200,0)),),"Market")</f>
        <v>0</v>
      </c>
      <c r="T461" s="478">
        <f>IFERROR(MAX(0,INDEX(Input!$1:$1048576,T$93,$C461*2+MIN($B461,2)+5)
+INDEX(Scenarios!T$121:T$200,MATCH($B461,Scenarios!$B$121:$B$200,0)),),"Market")</f>
        <v>0</v>
      </c>
      <c r="U461" s="478">
        <f>IFERROR(MAX(0,INDEX(Input!$1:$1048576,U$93,$C461*2+MIN($B461,2)+5)
+INDEX(Scenarios!U$121:U$200,MATCH($B461,Scenarios!$B$121:$B$200,0)),),"Market")</f>
        <v>0</v>
      </c>
      <c r="V461" s="478">
        <f>IFERROR(MAX(0,INDEX(Input!$1:$1048576,V$93,$C461*2+MIN($B461,2)+5)
+INDEX(Scenarios!V$121:V$200,MATCH($B461,Scenarios!$B$121:$B$200,0)),),"Market")</f>
        <v>8.9999999999999993E-3</v>
      </c>
      <c r="W461" s="885">
        <f>IFERROR(MAX(0,INDEX(Input!$1:$1048576,W$93,$C461*2+MIN($B461,2)+5)-0%,),"Market")</f>
        <v>3.9E-2</v>
      </c>
      <c r="X461" s="476" t="str">
        <f>INDEX(Input!$1:$1048576,X$93,$C461*2+MIN($B461,2)+5)</f>
        <v>Y</v>
      </c>
      <c r="Y461" s="475">
        <f>INDEX(Input!$1:$1048576,Y$93,$C461*2+MIN($B461,2)+5)
++INDEX(Scenarios!Y$121:Y$200,MATCH($B461,Scenarios!$B$121:$B$200,0))</f>
        <v>-1230</v>
      </c>
      <c r="Z461" s="477">
        <f>INDEX(Input!$1:$1048576,Z$93,$C461*2+MIN($B461,2)+5)
+INDEX(Scenarios!Z$121:Z$200,MATCH($B461,Scenarios!$B$121:$B$200,0))</f>
        <v>0</v>
      </c>
      <c r="AA461" s="475">
        <f>INDEX(Input!$1:$1048576,AA$93,$C461*2+MIN($B461,2)+5)
+INDEX(Scenarios!AA$121:AA$200,MATCH($B461,Scenarios!$B$121:$B$200,0))</f>
        <v>0</v>
      </c>
      <c r="AB461" s="476">
        <f>INDEX(Input!$1:$1048576,AB$93,$C461*2+MIN($B461,2)+5)</f>
        <v>0.27</v>
      </c>
      <c r="AC461" s="475">
        <f>INDEX(Input!$1:$1048576,AC$93,$C461*2+MIN($B461,2)+5)
+INDEX(Scenarios!AC$121:AC$200,MATCH($B461,Scenarios!$B$121:$B$200,0))</f>
        <v>0</v>
      </c>
      <c r="AD461" s="476">
        <f>INDEX(Input!$1:$1048576,AD$93,$C461*2+MIN($B461,2)+5)</f>
        <v>0.27</v>
      </c>
      <c r="AE461" s="475">
        <f>INDEX(Input!$1:$1048576,AE$93,$C461*2+MIN($B461,2)+5)
+INDEX(Scenarios!AE$121:AE$200,MATCH($B461,Scenarios!$B$121:$B$200,0))</f>
        <v>0</v>
      </c>
      <c r="AF461" s="476">
        <f>INDEX(Input!$1:$1048576,AF$93,$C461*2+MIN($B461,2)+5)</f>
        <v>1</v>
      </c>
      <c r="AG461" s="475">
        <f>INDEX(Input!$1:$1048576,AG$93,$C461*2+MIN($B461,2)+5)
+INDEX(Scenarios!AG$121:AG$200,MATCH($B461,Scenarios!$B$121:$B$200,0))</f>
        <v>500</v>
      </c>
      <c r="AH461" s="476">
        <f>INDEX(Input!$1:$1048576,AH$93,$C461*2+MIN($B461,2)+5)</f>
        <v>0.83199999999999996</v>
      </c>
      <c r="AI461" s="475">
        <f>INDEX(Input!$1:$1048576,AI$93,$C461*2+MIN($B461,2)+5)
+INDEX(Scenarios!AI$121:AI$200,MATCH($B461,Scenarios!$B$121:$B$200,0))</f>
        <v>0</v>
      </c>
      <c r="AJ461" s="476">
        <f>INDEX(Input!$1:$1048576,AJ$93,$C461*2+MIN($B461,2)+5)</f>
        <v>0.27</v>
      </c>
      <c r="AK461" s="150">
        <f>ROUND(INDEX(Input!$1:$1048576,AK$93,$C460*2+MIN($B461,1)+5)+(Y461-VLOOKUP($C461*1000+1,$A:$HH,Y$92,FALSE)),0)</f>
        <v>2227</v>
      </c>
      <c r="AL461" s="150">
        <f>ROUND(INDEX(Input!$1:$1048576,AL$93,$C460*2+MIN($B461,1)+5)-(Y461-VLOOKUP($C461*1000+1,$A:$HH,Y$92,FALSE))/36,0)</f>
        <v>3416</v>
      </c>
      <c r="AM461" s="32" t="str">
        <f t="shared" si="1139"/>
        <v>std/std/std/std</v>
      </c>
      <c r="AN461" s="32" t="str">
        <f t="shared" si="1140"/>
        <v>$0 + 0/0/0/0.9/3.9</v>
      </c>
      <c r="AO461" s="32" t="str">
        <f t="shared" si="1141"/>
        <v>0/0/0/0.9/3.9</v>
      </c>
      <c r="AP461" s="32" t="str">
        <f t="shared" si="1213"/>
        <v>0/0/0.9/3.9</v>
      </c>
      <c r="AQ461" s="536">
        <f t="shared" si="1207"/>
        <v>0.45827467545604822</v>
      </c>
      <c r="AR461" s="32"/>
      <c r="AS461" s="302"/>
      <c r="AT461" s="3">
        <f t="shared" si="1162"/>
        <v>61</v>
      </c>
      <c r="AU461" s="41" t="s">
        <v>121</v>
      </c>
      <c r="AV461" s="41" t="s">
        <v>116</v>
      </c>
      <c r="AW461" s="41" t="str">
        <f>INDEX(Input!$1:$1048576,AW$93,$C461*2+6)</f>
        <v>Kia</v>
      </c>
      <c r="AX461" s="41" t="str">
        <f>INDEX(Input!$1:$1048576,AX$93,$C461*2+6)</f>
        <v>Kia-LR - R1</v>
      </c>
      <c r="AY461" s="41" t="str">
        <f>IF(LEN(D461)=0,"",INDEX(Input!$1:$1048576,AY$93,$C461*2+6))</f>
        <v>Compact SUV (52)</v>
      </c>
      <c r="AZ461" s="41" t="str">
        <f>INDEX(Input!$1:$1048576,AZ$93,$C461*2+6)</f>
        <v>Kia Soul</v>
      </c>
      <c r="BA461" s="3">
        <f>INDEX(Input!$1:$1048576,BA$93,$C461*2+6)</f>
        <v>2020</v>
      </c>
      <c r="BB461" s="128">
        <f>INDEX(Input!$1:$1048576,BB$93,$C461*2+6)</f>
        <v>1</v>
      </c>
      <c r="BC461" s="128">
        <f>INDEX(Input!$1:$1048576,BC$93,$C461*2+6)</f>
        <v>0.7</v>
      </c>
      <c r="BD461" s="1">
        <f>INDEX(Input!$1:$1048576,BD$93,$C461*2+6)</f>
        <v>4.4999999999999998E-2</v>
      </c>
      <c r="BE461" s="1">
        <f>INDEX(Input!$1:$1048576,BE$93,$C461*2+6)</f>
        <v>4.4999999999999998E-2</v>
      </c>
      <c r="BF461" s="1">
        <f>INDEX(Input!$1:$1048576,BF$93,$C461*2+6)</f>
        <v>0.05</v>
      </c>
      <c r="BG461" s="1">
        <f>INDEX(Input!$1:$1048576,BG$93,$C461*2+6)</f>
        <v>5.45E-2</v>
      </c>
      <c r="BH461" s="1">
        <f>INDEX(Input!$1:$1048576,BH$93,$C461*2+6)</f>
        <v>5.45E-2</v>
      </c>
      <c r="BI461" s="1">
        <f>INDEX(Input!$1:$1048576,BI$93,$C461*2+6)</f>
        <v>0.05</v>
      </c>
      <c r="BJ461" s="1">
        <f>INDEX(Input!$1:$1048576,BJ$93,$C461*2+6)</f>
        <v>0.05</v>
      </c>
      <c r="BK461" s="1">
        <f>INDEX(Input!$1:$1048576,BK$93,$C461*2+6)</f>
        <v>0.05</v>
      </c>
      <c r="BL461" s="1">
        <f>INDEX(Input!$1:$1048576,BL$93,$C461*2+6)</f>
        <v>5.5E-2</v>
      </c>
      <c r="BM461" s="1">
        <f>INDEX(Input!$1:$1048576,BM$93,$C461*2+6)</f>
        <v>0.06</v>
      </c>
      <c r="BN461" s="1">
        <f>INDEX(Input!$1:$1048576,BN$93,$C461*2+6)</f>
        <v>4.4999999999999998E-2</v>
      </c>
      <c r="BO461" s="1">
        <f>INDEX(Input!$1:$1048576,BO$93,$C461*2+6)</f>
        <v>4.4999999999999998E-2</v>
      </c>
      <c r="BP461" s="1">
        <f>INDEX(Input!$1:$1048576,BP$93,$C461*2+6)</f>
        <v>0.05</v>
      </c>
      <c r="BQ461" s="1">
        <f>INDEX(Input!$1:$1048576,BQ$93,$C461*2+6)</f>
        <v>5.45E-2</v>
      </c>
      <c r="BR461" s="1">
        <f>INDEX(Input!$1:$1048576,BR$93,$C461*2+6)</f>
        <v>5.45E-2</v>
      </c>
      <c r="BS461" s="1">
        <f>INDEX(Input!$1:$1048576,BS$93,$C461*2+6)</f>
        <v>0.05</v>
      </c>
      <c r="BT461" s="1">
        <f>INDEX(Input!$1:$1048576,BT$93,$C461*2+6)</f>
        <v>0.05</v>
      </c>
      <c r="BU461" s="1">
        <f>INDEX(Input!$1:$1048576,BU$93,$C461*2+6)</f>
        <v>0.05</v>
      </c>
      <c r="BV461" s="1">
        <f>INDEX(Input!$1:$1048576,BV$93,$C461*2+6)</f>
        <v>5.5E-2</v>
      </c>
      <c r="BW461" s="1">
        <f>INDEX(Input!$1:$1048576,BW$93,$C461*2+6)</f>
        <v>0.06</v>
      </c>
      <c r="BX461" s="127">
        <f>INDEX(Input!$1:$1048576,BX$93,$C461*2+6)</f>
        <v>19985</v>
      </c>
      <c r="BY461" s="20">
        <f>INDEX(Input!$1:$1048576,BY$93,$C461*2+6)</f>
        <v>0.1</v>
      </c>
      <c r="BZ461" s="20">
        <f>INDEX(Input!$1:$1048576,BZ$93,$C461*2+6)</f>
        <v>0.1</v>
      </c>
      <c r="CA461" s="20">
        <f>INDEX(Input!$1:$1048576,CA$93,$C461*2+6)</f>
        <v>0.1</v>
      </c>
      <c r="CB461" s="20">
        <f>INDEX(Input!$1:$1048576,CB$93,$C461*2+6)</f>
        <v>0.1</v>
      </c>
      <c r="CC461" s="20">
        <f>INDEX(Input!$1:$1048576,CC$93,$C461*2+6)</f>
        <v>0.1</v>
      </c>
      <c r="CD461" s="384">
        <f>INDEX(Input!$1:$1048576,CD$93,$C461*2+6)</f>
        <v>0.1</v>
      </c>
      <c r="CE461" s="384">
        <f>INDEX(Input!$1:$1048576,CE$93,$C461*2+6)</f>
        <v>0.1</v>
      </c>
      <c r="CF461" s="384">
        <f>INDEX(Input!$1:$1048576,CF$93,$C461*2+6)</f>
        <v>0.1</v>
      </c>
      <c r="CG461" s="384">
        <f>INDEX(Input!$1:$1048576,CG$93,$C461*2+6)</f>
        <v>0.1</v>
      </c>
      <c r="CH461" s="384">
        <f>INDEX(Input!$1:$1048576,CH$93,$C461*2+6)</f>
        <v>0.1</v>
      </c>
      <c r="CI461" s="304">
        <f t="shared" si="1214"/>
        <v>2006.832975525977</v>
      </c>
      <c r="CJ461" s="16" t="str">
        <f>INDEX(Input!$1:$1048576,CJ$93,$C461*2+6)</f>
        <v>N</v>
      </c>
      <c r="CK461" s="1" t="str">
        <f t="shared" si="1215"/>
        <v>Market</v>
      </c>
      <c r="CL461" s="1" t="str">
        <f t="shared" si="1216"/>
        <v>Market</v>
      </c>
      <c r="CM461" s="1" t="str">
        <f t="shared" si="1217"/>
        <v>Market</v>
      </c>
      <c r="CN461" s="1" t="str">
        <f t="shared" si="1218"/>
        <v>Market</v>
      </c>
      <c r="CO461" s="1" t="str">
        <f t="shared" si="1219"/>
        <v>Market</v>
      </c>
      <c r="CP461" s="304">
        <f t="shared" si="1220"/>
        <v>416</v>
      </c>
      <c r="CQ461" s="1">
        <f t="shared" si="1221"/>
        <v>0</v>
      </c>
      <c r="CR461" s="1">
        <f t="shared" si="1222"/>
        <v>0</v>
      </c>
      <c r="CS461" s="1">
        <f t="shared" si="1223"/>
        <v>0</v>
      </c>
      <c r="CT461" s="1">
        <f t="shared" si="1224"/>
        <v>8.9999999999999993E-3</v>
      </c>
      <c r="CU461" s="1">
        <f t="shared" si="1225"/>
        <v>3.9E-2</v>
      </c>
      <c r="CV461" s="304">
        <f t="shared" si="1226"/>
        <v>-1230</v>
      </c>
      <c r="CW461" s="20" t="s">
        <v>122</v>
      </c>
      <c r="CX461" s="20" t="s">
        <v>122</v>
      </c>
      <c r="CY461" s="20" t="s">
        <v>122</v>
      </c>
      <c r="CZ461" s="20" t="s">
        <v>122</v>
      </c>
      <c r="DA461" s="20" t="s">
        <v>122</v>
      </c>
      <c r="DB461" s="503">
        <f t="shared" si="1227"/>
        <v>0</v>
      </c>
      <c r="DC461" s="127">
        <v>0</v>
      </c>
      <c r="DD461" s="127">
        <v>0</v>
      </c>
      <c r="DE461" s="127">
        <v>0</v>
      </c>
      <c r="DF461" s="127">
        <v>0</v>
      </c>
      <c r="DG461" s="127">
        <v>0</v>
      </c>
      <c r="DH461" s="127">
        <v>0</v>
      </c>
      <c r="DI461" s="127">
        <v>0</v>
      </c>
      <c r="DJ461" s="127">
        <v>0</v>
      </c>
      <c r="DK461" s="127">
        <v>0</v>
      </c>
      <c r="DL461" s="127">
        <v>0</v>
      </c>
      <c r="DM461" s="304">
        <f>INDEX(Input!$1:$1048576,DM$93,$C461*2+6)</f>
        <v>21036.84210526316</v>
      </c>
      <c r="DN461" s="20">
        <v>0</v>
      </c>
      <c r="DO461" s="20">
        <v>0</v>
      </c>
      <c r="DP461" s="20">
        <v>0</v>
      </c>
      <c r="DQ461" s="20">
        <v>0</v>
      </c>
      <c r="DR461" s="20">
        <v>0</v>
      </c>
      <c r="DS461" s="20">
        <f>INDEX(Input!$1:$1048576,DS$93,$C461*2+6)</f>
        <v>0.6</v>
      </c>
      <c r="DT461" s="20">
        <f>INDEX(Input!$1:$1048576,DT$93,$C461*2+6)</f>
        <v>0.55000000000000004</v>
      </c>
      <c r="DU461" s="20">
        <f>INDEX(Input!$1:$1048576,DU$93,$C461*2+6)</f>
        <v>0.52</v>
      </c>
      <c r="DV461" s="20">
        <f>INDEX(Input!$1:$1048576,DV$93,$C461*2+6)</f>
        <v>0.5</v>
      </c>
      <c r="DW461" s="20">
        <f>INDEX(Input!$1:$1048576,DW$93,$C461*2+6)</f>
        <v>0.45</v>
      </c>
      <c r="DX461" s="20"/>
      <c r="DY461" s="7">
        <v>0.11289653870195422</v>
      </c>
      <c r="DZ461" s="7">
        <v>0</v>
      </c>
      <c r="EA461" s="7">
        <v>0.81842976742123996</v>
      </c>
      <c r="EB461" s="7">
        <v>0</v>
      </c>
      <c r="EC461" s="7">
        <v>0</v>
      </c>
      <c r="ED461" s="7">
        <v>0</v>
      </c>
      <c r="EE461" s="7">
        <v>0</v>
      </c>
      <c r="EF461" s="7">
        <v>0</v>
      </c>
      <c r="EG461" s="7">
        <v>0</v>
      </c>
      <c r="EH461" s="7">
        <v>9.5355661669806486E-3</v>
      </c>
      <c r="EI461" s="7">
        <v>2.4931385326691532E-2</v>
      </c>
      <c r="EJ461" s="7">
        <v>0.17486004400620689</v>
      </c>
      <c r="EK461" s="7">
        <v>0.68417438993421309</v>
      </c>
      <c r="EL461" s="7">
        <v>0.10649861456590846</v>
      </c>
      <c r="EM461" s="7">
        <v>3.8363420745483837E-2</v>
      </c>
      <c r="EN461" s="7">
        <v>4.9372219862810617E-2</v>
      </c>
      <c r="EO461" s="7">
        <v>0.70140349344320641</v>
      </c>
      <c r="EP461" s="7">
        <v>0.10819424279098161</v>
      </c>
      <c r="EQ461" s="7">
        <v>9.489064628678992E-2</v>
      </c>
      <c r="ER461" s="7">
        <v>4.6139397616210949E-2</v>
      </c>
      <c r="ES461" s="7">
        <v>3.0310273131322098E-2</v>
      </c>
      <c r="ET461" s="7">
        <v>6.8673693876805816E-2</v>
      </c>
      <c r="EU461" s="6">
        <v>2520</v>
      </c>
      <c r="EV461" s="6">
        <v>0</v>
      </c>
      <c r="EW461" s="6">
        <v>2520</v>
      </c>
      <c r="EX461" s="6">
        <v>0</v>
      </c>
      <c r="EY461" s="6">
        <v>2824.2051291309217</v>
      </c>
      <c r="EZ461" s="6">
        <v>147</v>
      </c>
      <c r="FA461" s="6">
        <v>0</v>
      </c>
      <c r="FB461" s="6">
        <v>0</v>
      </c>
      <c r="FC461" s="6">
        <v>0</v>
      </c>
      <c r="FD461" s="6">
        <v>0</v>
      </c>
      <c r="FE461" s="6">
        <v>0</v>
      </c>
      <c r="FF461" s="6">
        <v>0</v>
      </c>
      <c r="FG461" s="6">
        <v>0</v>
      </c>
      <c r="FH461" s="6">
        <v>1169.812611972867</v>
      </c>
      <c r="FI461" s="6">
        <v>1553.9796069512399</v>
      </c>
      <c r="FJ461" s="6">
        <v>2101.2110117447401</v>
      </c>
      <c r="FK461" s="6">
        <v>2251.3078348034651</v>
      </c>
      <c r="FL461" s="6">
        <v>907.07682140966369</v>
      </c>
      <c r="FM461" s="6">
        <v>2054.2051291309217</v>
      </c>
      <c r="FN461" s="6">
        <v>0</v>
      </c>
      <c r="FO461" s="6">
        <v>0</v>
      </c>
      <c r="FP461" s="6">
        <v>0</v>
      </c>
      <c r="FQ461" s="6">
        <v>0</v>
      </c>
      <c r="FR461" s="6">
        <v>0</v>
      </c>
      <c r="FS461" s="6">
        <v>0</v>
      </c>
      <c r="FT461" s="7">
        <v>0.93132630612319423</v>
      </c>
      <c r="FU461" s="7">
        <v>3.8363420745483837E-2</v>
      </c>
      <c r="FV461" s="7">
        <v>3.0310273131322098E-2</v>
      </c>
      <c r="FW461" s="6">
        <v>2520</v>
      </c>
      <c r="FX461" s="6">
        <v>2824.2051291309217</v>
      </c>
      <c r="FY461" s="6">
        <v>147</v>
      </c>
      <c r="FZ461" s="6">
        <v>1949.5716051445115</v>
      </c>
      <c r="GA461" s="6">
        <v>2459.7440712211569</v>
      </c>
      <c r="GB461" s="6">
        <v>17525.255928778843</v>
      </c>
      <c r="GC461" s="7">
        <v>3.3872851927908169E-2</v>
      </c>
      <c r="GD461" s="7">
        <v>3.638843026400166E-2</v>
      </c>
      <c r="GE461" s="7"/>
      <c r="GF461" s="7"/>
      <c r="GG461" s="7">
        <v>7.4265324379754444E-2</v>
      </c>
      <c r="GH461" s="42">
        <v>2.9091975879121947</v>
      </c>
      <c r="GI461" s="6">
        <v>9329.3359074849759</v>
      </c>
      <c r="GJ461" s="14">
        <v>0.50394797582841711</v>
      </c>
      <c r="GK461" s="14">
        <v>0.50887573065309744</v>
      </c>
      <c r="GL461" s="14">
        <v>0.49605202417158223</v>
      </c>
      <c r="GM461" s="14">
        <v>0.49112426934690218</v>
      </c>
      <c r="GO461" s="5">
        <v>343.14810671672558</v>
      </c>
      <c r="GP461" s="5">
        <v>295.07131418198298</v>
      </c>
      <c r="GQ461" s="5">
        <v>535.04305713031317</v>
      </c>
      <c r="GR461" s="5">
        <v>410.15490233172511</v>
      </c>
      <c r="GS461" s="5">
        <v>339.42744393800166</v>
      </c>
      <c r="GT461" s="5">
        <v>293.4407446948278</v>
      </c>
      <c r="GU461" s="5">
        <v>258.04012322764959</v>
      </c>
      <c r="GV461" s="39" t="s">
        <v>392</v>
      </c>
      <c r="GW461" s="5">
        <v>478.23611111111109</v>
      </c>
      <c r="GX461" s="5">
        <v>358.67708333333331</v>
      </c>
      <c r="GY461" s="5">
        <v>286.94166666666666</v>
      </c>
      <c r="GZ461" s="5">
        <v>245.72198221012883</v>
      </c>
      <c r="HA461" s="5">
        <v>234.53733318419432</v>
      </c>
      <c r="HB461" s="39">
        <v>256.77178943406437</v>
      </c>
      <c r="HC461" s="5">
        <v>280.85312499999998</v>
      </c>
      <c r="HD461" s="5">
        <v>235.41580774853799</v>
      </c>
      <c r="HE461" s="5">
        <v>236.8873861336032</v>
      </c>
      <c r="HF461" s="5">
        <v>217.50938048245612</v>
      </c>
      <c r="HG461" s="5">
        <v>207.81388157894736</v>
      </c>
      <c r="HH461" s="39">
        <v>234.84567657245512</v>
      </c>
      <c r="HI461" s="16"/>
      <c r="HJ461" s="19" t="str">
        <f t="shared" si="1239"/>
        <v>On</v>
      </c>
      <c r="HK461" s="1" t="str">
        <f t="shared" si="1239"/>
        <v>On</v>
      </c>
      <c r="HL461" s="16"/>
      <c r="HM461" s="639">
        <f t="shared" si="1110"/>
        <v>2.9403358434788716E-2</v>
      </c>
      <c r="HN461" s="639">
        <f t="shared" si="1111"/>
        <v>1.4106809950923669E-3</v>
      </c>
      <c r="HO461" s="639">
        <f t="shared" si="1112"/>
        <v>1.7317923025048877E-3</v>
      </c>
      <c r="HP461" s="644">
        <f>(FT461*$GD461-HM461)/$JF461*INDEX(Input!$1:$1048576,$JG$93,$C461*2+6)</f>
        <v>321.03125368109926</v>
      </c>
      <c r="HQ461" s="644">
        <f>(FU461*$GD461-HN461)/$JF461*INDEX(Input!$1:$1048576,$JG$93,$C461*2+6)</f>
        <v>-1.0516788626150362</v>
      </c>
      <c r="HR461" s="644">
        <f>(FV461*$GD461-HO461)/$JF461*INDEX(Input!$1:$1048576,$JG$93,$C461*2+6)</f>
        <v>-45.000829345911278</v>
      </c>
      <c r="HS461" s="644">
        <f t="shared" si="1233"/>
        <v>-135.06339205710304</v>
      </c>
      <c r="HT461" s="644">
        <f t="shared" si="1114"/>
        <v>95.907876580371862</v>
      </c>
      <c r="HU461" s="644">
        <f t="shared" si="1115"/>
        <v>7.7995326535583942</v>
      </c>
      <c r="HV461" s="648">
        <f t="shared" si="1116"/>
        <v>0</v>
      </c>
      <c r="HW461" s="648">
        <f t="shared" si="1117"/>
        <v>0</v>
      </c>
      <c r="HX461" s="648">
        <f t="shared" si="1118"/>
        <v>0</v>
      </c>
      <c r="HY461" s="644">
        <f>INDEX(Input!$1:$1048576,HY$93,$C461*2+6)*INDEX(Input!$1:$1048576,$JG$93,$C461*2+6)</f>
        <v>993</v>
      </c>
      <c r="HZ461" s="644">
        <f>INDEX(Input!$1:$1048576,HZ$93,$C461*2+6)*INDEX(Input!$1:$1048576,$JG$93,$C461*2+6)</f>
        <v>1216</v>
      </c>
      <c r="IA461" s="644">
        <f>INDEX(Input!$1:$1048576,IA$93,$C461*2+6)*INDEX(Input!$1:$1048576,$JG$93,$C461*2+6)</f>
        <v>120</v>
      </c>
      <c r="IB461" s="644">
        <f t="shared" si="1142"/>
        <v>1178.967861623996</v>
      </c>
      <c r="IC461" s="644">
        <f t="shared" si="1143"/>
        <v>1310.8561977177569</v>
      </c>
      <c r="ID461" s="644">
        <f>IF(AND(INDEX(Input!$1:$1048576,IA$93,$C461*2+7)="TOS",Y461&lt;=INDEX(Y:Y,MATCH(C461*1000+2,A:A))),0,1)*MAX(IA461+HR461+HU461+HX461,0%)</f>
        <v>82.798703307647116</v>
      </c>
      <c r="IE461" s="128">
        <f t="shared" si="1238"/>
        <v>0.45827467545604822</v>
      </c>
      <c r="IF461" s="128">
        <f t="shared" si="1210"/>
        <v>0.50954077556546984</v>
      </c>
      <c r="IG461" s="128">
        <f t="shared" si="1120"/>
        <v>3.2184548978481935E-2</v>
      </c>
      <c r="IH461" s="21"/>
      <c r="II461" s="19">
        <f t="shared" si="1121"/>
        <v>1490</v>
      </c>
      <c r="IJ461" s="19">
        <f t="shared" si="1122"/>
        <v>2203.2561351629856</v>
      </c>
      <c r="IK461" s="19">
        <f t="shared" si="1123"/>
        <v>242</v>
      </c>
      <c r="IL461" s="19">
        <f t="shared" si="1145"/>
        <v>1030</v>
      </c>
      <c r="IM461" s="19">
        <f t="shared" si="1124"/>
        <v>620.94899396793608</v>
      </c>
      <c r="IN461" s="19">
        <f t="shared" si="1125"/>
        <v>-95</v>
      </c>
      <c r="IO461" s="39">
        <f t="shared" si="1126"/>
        <v>0</v>
      </c>
      <c r="IP461" s="39">
        <f t="shared" si="1127"/>
        <v>0</v>
      </c>
      <c r="IQ461" s="39">
        <f t="shared" si="1128"/>
        <v>0</v>
      </c>
      <c r="IR461" s="39">
        <v>0</v>
      </c>
      <c r="IS461" s="39">
        <v>0</v>
      </c>
      <c r="IT461" s="39">
        <v>0</v>
      </c>
      <c r="IU461" s="39">
        <v>0</v>
      </c>
      <c r="IV461" s="39">
        <v>0</v>
      </c>
      <c r="IW461" s="39">
        <v>0</v>
      </c>
      <c r="IX461" s="39">
        <f>INDEX(Input!$1:$1048576,IX$93,$C461*2+6)+INDEX(Input!$1:$1048576,IX$94,$C461*2+6)</f>
        <v>1770</v>
      </c>
      <c r="IY461" s="39">
        <f>INDEX(Input!$1:$1048576,IY$93,$C461*2+6)+INDEX(Input!$1:$1048576,IY$94,$C461*2+6)</f>
        <v>2630.0624533823611</v>
      </c>
      <c r="IZ461" s="39">
        <f>INDEX(Input!$1:$1048576,IZ$93,$C461*2+6)+INDEX(Input!$1:$1048576,IZ$94,$C461*2+6)</f>
        <v>4153.7164157747848</v>
      </c>
      <c r="JA461" s="19">
        <f t="shared" si="1146"/>
        <v>2800</v>
      </c>
      <c r="JB461" s="19">
        <f t="shared" si="1147"/>
        <v>3251.0114473502972</v>
      </c>
      <c r="JC461" s="19">
        <f t="shared" si="1148"/>
        <v>4058.7164157747848</v>
      </c>
      <c r="JD461" s="19">
        <f t="shared" si="1149"/>
        <v>3070.3199428052985</v>
      </c>
      <c r="JE461" s="21"/>
      <c r="JF461" s="1">
        <f t="shared" si="1129"/>
        <v>3.2545831732385969E-2</v>
      </c>
      <c r="JG461" s="15">
        <f>INDEX(Input!$1:$1048576,JG$93,$C461*2+6)/(1+VLOOKUP(C461*1000+INDEX(Input!$1:$1048576,JG$93+1,$C461*2+6),$A:$KK,$JK$92,FALSE))</f>
        <v>2329</v>
      </c>
      <c r="JH461" s="1">
        <f t="shared" si="1150"/>
        <v>0.11806730161982522</v>
      </c>
      <c r="JI461" s="1">
        <f t="shared" si="1151"/>
        <v>-1.3463281590026958E-2</v>
      </c>
      <c r="JJ461" s="1">
        <f t="shared" si="1211"/>
        <v>0</v>
      </c>
      <c r="JK461" s="1">
        <f t="shared" si="1212"/>
        <v>0.10460402002979827</v>
      </c>
      <c r="JL461" s="15">
        <f t="shared" si="1154"/>
        <v>243.62276264940016</v>
      </c>
      <c r="JM461" s="15">
        <f t="shared" si="1180"/>
        <v>2572.6227626494001</v>
      </c>
      <c r="JN461" s="21"/>
      <c r="JO461" s="19">
        <f>INDEX(Input!$1:$1048576,JO$93,$C461*2+6)</f>
        <v>5995.5</v>
      </c>
      <c r="JP461" s="19">
        <f>INDEX(Input!$1:$1048576,JP$93,$C461*2+6)</f>
        <v>2341.8685758720158</v>
      </c>
      <c r="JQ461" s="39">
        <f t="shared" si="1166"/>
        <v>2925.1800571947015</v>
      </c>
      <c r="JR461" s="39">
        <f t="shared" si="1183"/>
        <v>728.45136693328277</v>
      </c>
      <c r="JS461" s="39">
        <f t="shared" si="1168"/>
        <v>7.8987749734773152</v>
      </c>
      <c r="JT461" s="39">
        <f t="shared" si="1156"/>
        <v>2.4445630602713906</v>
      </c>
      <c r="JU461" s="385">
        <f>(JQ461*JM461-INDEX(Input!$1:$1048576,Input!A$18,$C461*2+6)*JL461*INDEX(Input!$1:$1048576,Input!A$19,$C461*2+6))/1000000</f>
        <v>7.5253847999871635</v>
      </c>
      <c r="JV461" s="39">
        <f t="shared" si="1190"/>
        <v>-0.98392278680691092</v>
      </c>
      <c r="JW461" s="1">
        <f t="shared" si="1181"/>
        <v>-0.11562900703388593</v>
      </c>
      <c r="JX461" s="19">
        <f t="shared" si="1172"/>
        <v>10034.214511348369</v>
      </c>
      <c r="JZ461" s="341"/>
      <c r="KA461" s="342"/>
      <c r="KB461" s="469">
        <f t="shared" si="1169"/>
        <v>2.3434325605641804</v>
      </c>
      <c r="KI461" s="473">
        <f t="shared" si="1235"/>
        <v>185.96786162399599</v>
      </c>
      <c r="KJ461" s="473">
        <f t="shared" si="1236"/>
        <v>94.856197717756913</v>
      </c>
      <c r="KK461" s="473">
        <f t="shared" si="1158"/>
        <v>-37.201296692352884</v>
      </c>
      <c r="KN461" s="544">
        <f t="shared" si="1173"/>
        <v>4002</v>
      </c>
      <c r="KO461" s="541">
        <f t="shared" si="1133"/>
        <v>6.3677429792416085E-2</v>
      </c>
      <c r="KP461" s="546">
        <f t="shared" si="1134"/>
        <v>505.82304529485623</v>
      </c>
      <c r="KQ461" s="546">
        <f t="shared" si="1135"/>
        <v>445.54875476927737</v>
      </c>
      <c r="KR461" s="548">
        <f t="shared" si="1136"/>
        <v>2.1854574670668065</v>
      </c>
      <c r="KS461" s="548">
        <f t="shared" si="1137"/>
        <v>2.4811083849321114</v>
      </c>
      <c r="KT461" s="473">
        <f t="shared" si="1171"/>
        <v>1580.0986321700548</v>
      </c>
      <c r="KU461" s="663">
        <f t="shared" si="1159"/>
        <v>4.0886870956653318</v>
      </c>
      <c r="KV461" s="117"/>
    </row>
    <row r="462" spans="1:308" s="26" customFormat="1" ht="15" outlineLevel="1">
      <c r="A462" s="561">
        <f t="shared" si="1138"/>
        <v>4062</v>
      </c>
      <c r="B462" s="561">
        <f t="shared" si="1160"/>
        <v>62</v>
      </c>
      <c r="C462" s="561">
        <f t="shared" si="1161"/>
        <v>4</v>
      </c>
      <c r="D462" s="561" t="str">
        <f t="shared" si="1206"/>
        <v xml:space="preserve">1000 CC, 0/0/0.9/3.9, -360 Lease, </v>
      </c>
      <c r="E462" s="475">
        <f>INDEX(Input!$1:$1048576,E$93,$C462*2+MIN($B462,2)+5)
+INDEX(Scenarios!E$121:E$200,MATCH($B462,Scenarios!$B$121:$B$200,0))</f>
        <v>2256.832975525977</v>
      </c>
      <c r="F462" s="475">
        <f>INDEX(Input!$1:$1048576,F$93,$C462*2+MIN($B462,2)+5)
+INDEX(Scenarios!F$121:F$200,MATCH($B462,Scenarios!$B$121:$B$200,0))</f>
        <v>0</v>
      </c>
      <c r="G462" s="475">
        <f>INDEX(Input!$1:$1048576,G$93,$C462*2+MIN($B462,2)+5)
+INDEX(Scenarios!G$121:G$200,MATCH($B462,Scenarios!$B$121:$B$200,0))</f>
        <v>0</v>
      </c>
      <c r="H462" s="475">
        <f>INDEX(Input!$1:$1048576,H$93,$C462*2+MIN($B462,2)+5)
+INDEX(Scenarios!H$121:H$200,MATCH($B462,Scenarios!$B$121:$B$200,0))</f>
        <v>0</v>
      </c>
      <c r="I462" s="476">
        <f>INDEX(Input!$1:$1048576,I$93,$C462*2+MIN($B462,2)+5)</f>
        <v>0.7</v>
      </c>
      <c r="J462" s="476" t="str">
        <f>INDEX(Input!$1:$1048576,J$93,$C462*2+MIN($B462,2)+5)</f>
        <v>Market</v>
      </c>
      <c r="K462" s="476" t="str">
        <f>INDEX(Input!$1:$1048576,K$93,$C462*2+MIN($B462,2)+5)</f>
        <v>Market</v>
      </c>
      <c r="L462" s="476" t="str">
        <f>INDEX(Input!$1:$1048576,L$93,$C462*2+MIN($B462,2)+5)</f>
        <v>Market</v>
      </c>
      <c r="M462" s="476" t="str">
        <f>INDEX(Input!$1:$1048576,M$93,$C462*2+MIN($B462,2)+5)</f>
        <v>Market</v>
      </c>
      <c r="N462" s="476" t="str">
        <f>INDEX(Input!$1:$1048576,N$93,$C462*2+MIN($B462,2)+5)</f>
        <v>Market</v>
      </c>
      <c r="O462" s="476" t="str">
        <f>INDEX(Input!$1:$1048576,O$93,$C462*2+MIN($B462,2)+5)</f>
        <v>Market</v>
      </c>
      <c r="P462" s="476" t="str">
        <f>INDEX(Input!$1:$1048576,P$93,$C462*2+MIN($B462,2)+5)</f>
        <v>N</v>
      </c>
      <c r="Q462" s="477">
        <f>INDEX(Input!$1:$1048576,Q$93,$C462*2+MIN($B462,2)+5)
+INDEX(Scenarios!Q$121:Q$200,MATCH($B462,Scenarios!$B$121:$B$200,0))</f>
        <v>0</v>
      </c>
      <c r="R462" s="478">
        <f>IFERROR(MAX(0,INDEX(Input!$1:$1048576,R$93,$C462*2+MIN($B462,2)+5)
+INDEX(Scenarios!R$121:R$200,MATCH($B462,Scenarios!$B$121:$B$200,0)),),"Market")</f>
        <v>0</v>
      </c>
      <c r="S462" s="478">
        <f>IFERROR(MAX(0,INDEX(Input!$1:$1048576,S$93,$C462*2+MIN($B462,2)+5)
+INDEX(Scenarios!S$121:S$200,MATCH($B462,Scenarios!$B$121:$B$200,0)),),"Market")</f>
        <v>0</v>
      </c>
      <c r="T462" s="478">
        <f>IFERROR(MAX(0,INDEX(Input!$1:$1048576,T$93,$C462*2+MIN($B462,2)+5)
+INDEX(Scenarios!T$121:T$200,MATCH($B462,Scenarios!$B$121:$B$200,0)),),"Market")</f>
        <v>0</v>
      </c>
      <c r="U462" s="478">
        <f>IFERROR(MAX(0,INDEX(Input!$1:$1048576,U$93,$C462*2+MIN($B462,2)+5)
+INDEX(Scenarios!U$121:U$200,MATCH($B462,Scenarios!$B$121:$B$200,0)),),"Market")</f>
        <v>0</v>
      </c>
      <c r="V462" s="478">
        <f>IFERROR(MAX(0,INDEX(Input!$1:$1048576,V$93,$C462*2+MIN($B462,2)+5)
+INDEX(Scenarios!V$121:V$200,MATCH($B462,Scenarios!$B$121:$B$200,0)),),"Market")</f>
        <v>8.9999999999999993E-3</v>
      </c>
      <c r="W462" s="885">
        <f>IFERROR(MAX(0,INDEX(Input!$1:$1048576,W$93,$C462*2+MIN($B462,2)+5)-0%,),"Market")</f>
        <v>3.9E-2</v>
      </c>
      <c r="X462" s="476" t="str">
        <f>INDEX(Input!$1:$1048576,X$93,$C462*2+MIN($B462,2)+5)</f>
        <v>Y</v>
      </c>
      <c r="Y462" s="475">
        <f>INDEX(Input!$1:$1048576,Y$93,$C462*2+MIN($B462,2)+5)
++INDEX(Scenarios!Y$121:Y$200,MATCH($B462,Scenarios!$B$121:$B$200,0))</f>
        <v>-1230</v>
      </c>
      <c r="Z462" s="477">
        <f>INDEX(Input!$1:$1048576,Z$93,$C462*2+MIN($B462,2)+5)
+INDEX(Scenarios!Z$121:Z$200,MATCH($B462,Scenarios!$B$121:$B$200,0))</f>
        <v>0</v>
      </c>
      <c r="AA462" s="475">
        <f>INDEX(Input!$1:$1048576,AA$93,$C462*2+MIN($B462,2)+5)
+INDEX(Scenarios!AA$121:AA$200,MATCH($B462,Scenarios!$B$121:$B$200,0))</f>
        <v>0</v>
      </c>
      <c r="AB462" s="476">
        <f>INDEX(Input!$1:$1048576,AB$93,$C462*2+MIN($B462,2)+5)</f>
        <v>0.27</v>
      </c>
      <c r="AC462" s="475">
        <f>INDEX(Input!$1:$1048576,AC$93,$C462*2+MIN($B462,2)+5)
+INDEX(Scenarios!AC$121:AC$200,MATCH($B462,Scenarios!$B$121:$B$200,0))</f>
        <v>0</v>
      </c>
      <c r="AD462" s="476">
        <f>INDEX(Input!$1:$1048576,AD$93,$C462*2+MIN($B462,2)+5)</f>
        <v>0.27</v>
      </c>
      <c r="AE462" s="475">
        <f>INDEX(Input!$1:$1048576,AE$93,$C462*2+MIN($B462,2)+5)
+INDEX(Scenarios!AE$121:AE$200,MATCH($B462,Scenarios!$B$121:$B$200,0))</f>
        <v>0</v>
      </c>
      <c r="AF462" s="476">
        <f>INDEX(Input!$1:$1048576,AF$93,$C462*2+MIN($B462,2)+5)</f>
        <v>1</v>
      </c>
      <c r="AG462" s="475">
        <f>INDEX(Input!$1:$1048576,AG$93,$C462*2+MIN($B462,2)+5)
+INDEX(Scenarios!AG$121:AG$200,MATCH($B462,Scenarios!$B$121:$B$200,0))</f>
        <v>500</v>
      </c>
      <c r="AH462" s="476">
        <f>INDEX(Input!$1:$1048576,AH$93,$C462*2+MIN($B462,2)+5)</f>
        <v>0.83199999999999996</v>
      </c>
      <c r="AI462" s="475">
        <f>INDEX(Input!$1:$1048576,AI$93,$C462*2+MIN($B462,2)+5)
+INDEX(Scenarios!AI$121:AI$200,MATCH($B462,Scenarios!$B$121:$B$200,0))</f>
        <v>0</v>
      </c>
      <c r="AJ462" s="476">
        <f>INDEX(Input!$1:$1048576,AJ$93,$C462*2+MIN($B462,2)+5)</f>
        <v>0.27</v>
      </c>
      <c r="AK462" s="150">
        <f>ROUND(INDEX(Input!$1:$1048576,AK$93,$C461*2+MIN($B462,1)+5)+(Y462-VLOOKUP($C462*1000+1,$A:$HH,Y$92,FALSE)),0)</f>
        <v>2227</v>
      </c>
      <c r="AL462" s="150">
        <f>ROUND(INDEX(Input!$1:$1048576,AL$93,$C461*2+MIN($B462,1)+5)-(Y462-VLOOKUP($C462*1000+1,$A:$HH,Y$92,FALSE))/36,0)</f>
        <v>3416</v>
      </c>
      <c r="AM462" s="32" t="str">
        <f t="shared" si="1139"/>
        <v>std/std/std/std</v>
      </c>
      <c r="AN462" s="32" t="str">
        <f t="shared" si="1140"/>
        <v>$0 + 0/0/0/0.9/3.9</v>
      </c>
      <c r="AO462" s="32" t="str">
        <f t="shared" si="1141"/>
        <v>0/0/0/0.9/3.9</v>
      </c>
      <c r="AP462" s="32" t="str">
        <f t="shared" si="1213"/>
        <v>0/0/0.9/3.9</v>
      </c>
      <c r="AQ462" s="536">
        <f t="shared" si="1207"/>
        <v>0.47256463769717233</v>
      </c>
      <c r="AR462" s="32"/>
      <c r="AS462" s="302"/>
      <c r="AT462" s="3">
        <f t="shared" si="1162"/>
        <v>62</v>
      </c>
      <c r="AU462" s="41" t="s">
        <v>121</v>
      </c>
      <c r="AV462" s="41" t="s">
        <v>116</v>
      </c>
      <c r="AW462" s="41" t="str">
        <f>INDEX(Input!$1:$1048576,AW$93,$C462*2+6)</f>
        <v>Kia</v>
      </c>
      <c r="AX462" s="41" t="str">
        <f>INDEX(Input!$1:$1048576,AX$93,$C462*2+6)</f>
        <v>Kia-LR - R1</v>
      </c>
      <c r="AY462" s="41" t="str">
        <f>IF(LEN(D462)=0,"",INDEX(Input!$1:$1048576,AY$93,$C462*2+6))</f>
        <v>Compact SUV (52)</v>
      </c>
      <c r="AZ462" s="41" t="str">
        <f>INDEX(Input!$1:$1048576,AZ$93,$C462*2+6)</f>
        <v>Kia Soul</v>
      </c>
      <c r="BA462" s="3">
        <f>INDEX(Input!$1:$1048576,BA$93,$C462*2+6)</f>
        <v>2020</v>
      </c>
      <c r="BB462" s="128">
        <f>INDEX(Input!$1:$1048576,BB$93,$C462*2+6)</f>
        <v>1</v>
      </c>
      <c r="BC462" s="128">
        <f>INDEX(Input!$1:$1048576,BC$93,$C462*2+6)</f>
        <v>0.7</v>
      </c>
      <c r="BD462" s="1">
        <f>INDEX(Input!$1:$1048576,BD$93,$C462*2+6)</f>
        <v>4.4999999999999998E-2</v>
      </c>
      <c r="BE462" s="1">
        <f>INDEX(Input!$1:$1048576,BE$93,$C462*2+6)</f>
        <v>4.4999999999999998E-2</v>
      </c>
      <c r="BF462" s="1">
        <f>INDEX(Input!$1:$1048576,BF$93,$C462*2+6)</f>
        <v>0.05</v>
      </c>
      <c r="BG462" s="1">
        <f>INDEX(Input!$1:$1048576,BG$93,$C462*2+6)</f>
        <v>5.45E-2</v>
      </c>
      <c r="BH462" s="1">
        <f>INDEX(Input!$1:$1048576,BH$93,$C462*2+6)</f>
        <v>5.45E-2</v>
      </c>
      <c r="BI462" s="1">
        <f>INDEX(Input!$1:$1048576,BI$93,$C462*2+6)</f>
        <v>0.05</v>
      </c>
      <c r="BJ462" s="1">
        <f>INDEX(Input!$1:$1048576,BJ$93,$C462*2+6)</f>
        <v>0.05</v>
      </c>
      <c r="BK462" s="1">
        <f>INDEX(Input!$1:$1048576,BK$93,$C462*2+6)</f>
        <v>0.05</v>
      </c>
      <c r="BL462" s="1">
        <f>INDEX(Input!$1:$1048576,BL$93,$C462*2+6)</f>
        <v>5.5E-2</v>
      </c>
      <c r="BM462" s="1">
        <f>INDEX(Input!$1:$1048576,BM$93,$C462*2+6)</f>
        <v>0.06</v>
      </c>
      <c r="BN462" s="1">
        <f>INDEX(Input!$1:$1048576,BN$93,$C462*2+6)</f>
        <v>4.4999999999999998E-2</v>
      </c>
      <c r="BO462" s="1">
        <f>INDEX(Input!$1:$1048576,BO$93,$C462*2+6)</f>
        <v>4.4999999999999998E-2</v>
      </c>
      <c r="BP462" s="1">
        <f>INDEX(Input!$1:$1048576,BP$93,$C462*2+6)</f>
        <v>0.05</v>
      </c>
      <c r="BQ462" s="1">
        <f>INDEX(Input!$1:$1048576,BQ$93,$C462*2+6)</f>
        <v>5.45E-2</v>
      </c>
      <c r="BR462" s="1">
        <f>INDEX(Input!$1:$1048576,BR$93,$C462*2+6)</f>
        <v>5.45E-2</v>
      </c>
      <c r="BS462" s="1">
        <f>INDEX(Input!$1:$1048576,BS$93,$C462*2+6)</f>
        <v>0.05</v>
      </c>
      <c r="BT462" s="1">
        <f>INDEX(Input!$1:$1048576,BT$93,$C462*2+6)</f>
        <v>0.05</v>
      </c>
      <c r="BU462" s="1">
        <f>INDEX(Input!$1:$1048576,BU$93,$C462*2+6)</f>
        <v>0.05</v>
      </c>
      <c r="BV462" s="1">
        <f>INDEX(Input!$1:$1048576,BV$93,$C462*2+6)</f>
        <v>5.5E-2</v>
      </c>
      <c r="BW462" s="1">
        <f>INDEX(Input!$1:$1048576,BW$93,$C462*2+6)</f>
        <v>0.06</v>
      </c>
      <c r="BX462" s="127">
        <f>INDEX(Input!$1:$1048576,BX$93,$C462*2+6)</f>
        <v>19985</v>
      </c>
      <c r="BY462" s="20">
        <f>INDEX(Input!$1:$1048576,BY$93,$C462*2+6)</f>
        <v>0.1</v>
      </c>
      <c r="BZ462" s="20">
        <f>INDEX(Input!$1:$1048576,BZ$93,$C462*2+6)</f>
        <v>0.1</v>
      </c>
      <c r="CA462" s="20">
        <f>INDEX(Input!$1:$1048576,CA$93,$C462*2+6)</f>
        <v>0.1</v>
      </c>
      <c r="CB462" s="20">
        <f>INDEX(Input!$1:$1048576,CB$93,$C462*2+6)</f>
        <v>0.1</v>
      </c>
      <c r="CC462" s="20">
        <f>INDEX(Input!$1:$1048576,CC$93,$C462*2+6)</f>
        <v>0.1</v>
      </c>
      <c r="CD462" s="384">
        <f>INDEX(Input!$1:$1048576,CD$93,$C462*2+6)</f>
        <v>0.1</v>
      </c>
      <c r="CE462" s="384">
        <f>INDEX(Input!$1:$1048576,CE$93,$C462*2+6)</f>
        <v>0.1</v>
      </c>
      <c r="CF462" s="384">
        <f>INDEX(Input!$1:$1048576,CF$93,$C462*2+6)</f>
        <v>0.1</v>
      </c>
      <c r="CG462" s="384">
        <f>INDEX(Input!$1:$1048576,CG$93,$C462*2+6)</f>
        <v>0.1</v>
      </c>
      <c r="CH462" s="384">
        <f>INDEX(Input!$1:$1048576,CH$93,$C462*2+6)</f>
        <v>0.1</v>
      </c>
      <c r="CI462" s="304">
        <f t="shared" si="1214"/>
        <v>2256.832975525977</v>
      </c>
      <c r="CJ462" s="16" t="str">
        <f>INDEX(Input!$1:$1048576,CJ$93,$C462*2+6)</f>
        <v>N</v>
      </c>
      <c r="CK462" s="1" t="str">
        <f t="shared" si="1215"/>
        <v>Market</v>
      </c>
      <c r="CL462" s="1" t="str">
        <f t="shared" si="1216"/>
        <v>Market</v>
      </c>
      <c r="CM462" s="1" t="str">
        <f t="shared" si="1217"/>
        <v>Market</v>
      </c>
      <c r="CN462" s="1" t="str">
        <f t="shared" si="1218"/>
        <v>Market</v>
      </c>
      <c r="CO462" s="1" t="str">
        <f t="shared" si="1219"/>
        <v>Market</v>
      </c>
      <c r="CP462" s="304">
        <f t="shared" si="1220"/>
        <v>416</v>
      </c>
      <c r="CQ462" s="1">
        <f t="shared" si="1221"/>
        <v>0</v>
      </c>
      <c r="CR462" s="1">
        <f t="shared" si="1222"/>
        <v>0</v>
      </c>
      <c r="CS462" s="1">
        <f t="shared" si="1223"/>
        <v>0</v>
      </c>
      <c r="CT462" s="1">
        <f t="shared" si="1224"/>
        <v>8.9999999999999993E-3</v>
      </c>
      <c r="CU462" s="1">
        <f t="shared" si="1225"/>
        <v>3.9E-2</v>
      </c>
      <c r="CV462" s="304">
        <f t="shared" si="1226"/>
        <v>-1230</v>
      </c>
      <c r="CW462" s="20" t="s">
        <v>122</v>
      </c>
      <c r="CX462" s="20" t="s">
        <v>122</v>
      </c>
      <c r="CY462" s="20" t="s">
        <v>122</v>
      </c>
      <c r="CZ462" s="20" t="s">
        <v>122</v>
      </c>
      <c r="DA462" s="20" t="s">
        <v>122</v>
      </c>
      <c r="DB462" s="503">
        <f t="shared" si="1227"/>
        <v>0</v>
      </c>
      <c r="DC462" s="127">
        <v>0</v>
      </c>
      <c r="DD462" s="127">
        <v>0</v>
      </c>
      <c r="DE462" s="127">
        <v>0</v>
      </c>
      <c r="DF462" s="127">
        <v>0</v>
      </c>
      <c r="DG462" s="127">
        <v>0</v>
      </c>
      <c r="DH462" s="127">
        <v>0</v>
      </c>
      <c r="DI462" s="127">
        <v>0</v>
      </c>
      <c r="DJ462" s="127">
        <v>0</v>
      </c>
      <c r="DK462" s="127">
        <v>0</v>
      </c>
      <c r="DL462" s="127">
        <v>0</v>
      </c>
      <c r="DM462" s="304">
        <f>INDEX(Input!$1:$1048576,DM$93,$C462*2+6)</f>
        <v>21036.84210526316</v>
      </c>
      <c r="DN462" s="20">
        <v>0</v>
      </c>
      <c r="DO462" s="20">
        <v>0</v>
      </c>
      <c r="DP462" s="20">
        <v>0</v>
      </c>
      <c r="DQ462" s="20">
        <v>0</v>
      </c>
      <c r="DR462" s="20">
        <v>0</v>
      </c>
      <c r="DS462" s="20">
        <f>INDEX(Input!$1:$1048576,DS$93,$C462*2+6)</f>
        <v>0.6</v>
      </c>
      <c r="DT462" s="20">
        <f>INDEX(Input!$1:$1048576,DT$93,$C462*2+6)</f>
        <v>0.55000000000000004</v>
      </c>
      <c r="DU462" s="20">
        <f>INDEX(Input!$1:$1048576,DU$93,$C462*2+6)</f>
        <v>0.52</v>
      </c>
      <c r="DV462" s="20">
        <f>INDEX(Input!$1:$1048576,DV$93,$C462*2+6)</f>
        <v>0.5</v>
      </c>
      <c r="DW462" s="20">
        <f>INDEX(Input!$1:$1048576,DW$93,$C462*2+6)</f>
        <v>0.45</v>
      </c>
      <c r="DX462" s="20"/>
      <c r="DY462" s="7">
        <v>0.11630413954878406</v>
      </c>
      <c r="DZ462" s="7">
        <v>0</v>
      </c>
      <c r="EA462" s="7">
        <v>0.82311327657550681</v>
      </c>
      <c r="EB462" s="7">
        <v>0</v>
      </c>
      <c r="EC462" s="7">
        <v>0</v>
      </c>
      <c r="ED462" s="7">
        <v>0</v>
      </c>
      <c r="EE462" s="7">
        <v>0</v>
      </c>
      <c r="EF462" s="7">
        <v>0</v>
      </c>
      <c r="EG462" s="7">
        <v>0</v>
      </c>
      <c r="EH462" s="7">
        <v>9.5408856616975811E-3</v>
      </c>
      <c r="EI462" s="7">
        <v>2.4950158998422123E-2</v>
      </c>
      <c r="EJ462" s="7">
        <v>0.17495983629600523</v>
      </c>
      <c r="EK462" s="7">
        <v>0.68406819769310379</v>
      </c>
      <c r="EL462" s="7">
        <v>0.10648092135077146</v>
      </c>
      <c r="EM462" s="7">
        <v>3.3825987912292965E-2</v>
      </c>
      <c r="EN462" s="7">
        <v>4.9361537839007028E-2</v>
      </c>
      <c r="EO462" s="7">
        <v>0.70141025254162481</v>
      </c>
      <c r="EP462" s="7">
        <v>0.10820090252961675</v>
      </c>
      <c r="EQ462" s="7">
        <v>9.4869978773587826E-2</v>
      </c>
      <c r="ER462" s="7">
        <v>4.6157328316163079E-2</v>
      </c>
      <c r="ES462" s="7">
        <v>2.6756595963416254E-2</v>
      </c>
      <c r="ET462" s="7">
        <v>6.0582583875709056E-2</v>
      </c>
      <c r="EU462" s="6">
        <v>2770</v>
      </c>
      <c r="EV462" s="6">
        <v>0</v>
      </c>
      <c r="EW462" s="6">
        <v>2770</v>
      </c>
      <c r="EX462" s="6">
        <v>0</v>
      </c>
      <c r="EY462" s="6">
        <v>2824.1951145024191</v>
      </c>
      <c r="EZ462" s="6">
        <v>147</v>
      </c>
      <c r="FA462" s="6">
        <v>0</v>
      </c>
      <c r="FB462" s="6">
        <v>0</v>
      </c>
      <c r="FC462" s="6">
        <v>0</v>
      </c>
      <c r="FD462" s="6">
        <v>0</v>
      </c>
      <c r="FE462" s="6">
        <v>0</v>
      </c>
      <c r="FF462" s="6">
        <v>0</v>
      </c>
      <c r="FG462" s="6">
        <v>0</v>
      </c>
      <c r="FH462" s="6">
        <v>1169.8151828043324</v>
      </c>
      <c r="FI462" s="6">
        <v>1553.9796069512395</v>
      </c>
      <c r="FJ462" s="6">
        <v>2101.211011744741</v>
      </c>
      <c r="FK462" s="6">
        <v>2251.3078348034687</v>
      </c>
      <c r="FL462" s="6">
        <v>907.07682140966392</v>
      </c>
      <c r="FM462" s="6">
        <v>2054.1951145024191</v>
      </c>
      <c r="FN462" s="6">
        <v>0</v>
      </c>
      <c r="FO462" s="6">
        <v>0</v>
      </c>
      <c r="FP462" s="6">
        <v>0</v>
      </c>
      <c r="FQ462" s="6">
        <v>0</v>
      </c>
      <c r="FR462" s="6">
        <v>0</v>
      </c>
      <c r="FS462" s="6">
        <v>0</v>
      </c>
      <c r="FT462" s="7">
        <v>0.93941741612429086</v>
      </c>
      <c r="FU462" s="7">
        <v>3.3825987912292965E-2</v>
      </c>
      <c r="FV462" s="7">
        <v>2.6756595963416254E-2</v>
      </c>
      <c r="FW462" s="6">
        <v>2770</v>
      </c>
      <c r="FX462" s="6">
        <v>2824.1951145024191</v>
      </c>
      <c r="FY462" s="6">
        <v>147</v>
      </c>
      <c r="FZ462" s="6">
        <v>1949.5716051445115</v>
      </c>
      <c r="GA462" s="6">
        <v>2701.6506520760236</v>
      </c>
      <c r="GB462" s="6">
        <v>17283.349347923977</v>
      </c>
      <c r="GC462" s="7">
        <v>3.3872851927908169E-2</v>
      </c>
      <c r="GD462" s="7">
        <v>3.7374625999321488E-2</v>
      </c>
      <c r="GE462" s="7"/>
      <c r="GF462" s="7"/>
      <c r="GG462" s="7">
        <v>0.1033799598234648</v>
      </c>
      <c r="GH462" s="42">
        <v>2.7471161515553941</v>
      </c>
      <c r="GI462" s="6">
        <v>9976.5523662553333</v>
      </c>
      <c r="GJ462" s="14">
        <v>0.50394797582841722</v>
      </c>
      <c r="GK462" s="14">
        <v>0.50887573065309744</v>
      </c>
      <c r="GL462" s="14">
        <v>0.49605202417158262</v>
      </c>
      <c r="GM462" s="14">
        <v>0.49112426934690251</v>
      </c>
      <c r="GO462" s="5">
        <v>343.14810671672558</v>
      </c>
      <c r="GP462" s="5">
        <v>290.30179111306006</v>
      </c>
      <c r="GQ462" s="5">
        <v>535.04305713031317</v>
      </c>
      <c r="GR462" s="5">
        <v>410.15490233172511</v>
      </c>
      <c r="GS462" s="5">
        <v>339.42744393800166</v>
      </c>
      <c r="GT462" s="5">
        <v>293.4407446948278</v>
      </c>
      <c r="GU462" s="5">
        <v>258.04012322764959</v>
      </c>
      <c r="GV462" s="39" t="s">
        <v>392</v>
      </c>
      <c r="GW462" s="5">
        <v>478.23611111111109</v>
      </c>
      <c r="GX462" s="5">
        <v>358.67708333333331</v>
      </c>
      <c r="GY462" s="5">
        <v>286.94166666666666</v>
      </c>
      <c r="GZ462" s="5">
        <v>245.72198221012883</v>
      </c>
      <c r="HA462" s="5">
        <v>234.53733318419432</v>
      </c>
      <c r="HB462" s="39">
        <v>256.77945817283148</v>
      </c>
      <c r="HC462" s="5">
        <v>280.85312499999998</v>
      </c>
      <c r="HD462" s="5">
        <v>235.41580774853799</v>
      </c>
      <c r="HE462" s="5">
        <v>236.8873861336032</v>
      </c>
      <c r="HF462" s="5">
        <v>217.50938048245612</v>
      </c>
      <c r="HG462" s="5">
        <v>207.81388157894736</v>
      </c>
      <c r="HH462" s="39">
        <v>234.84507616974375</v>
      </c>
      <c r="HI462" s="16"/>
      <c r="HJ462" s="19" t="str">
        <f t="shared" si="1239"/>
        <v>On</v>
      </c>
      <c r="HK462" s="1" t="str">
        <f t="shared" si="1239"/>
        <v>On</v>
      </c>
      <c r="HL462" s="16"/>
      <c r="HM462" s="639">
        <f t="shared" si="1110"/>
        <v>2.9403358434788716E-2</v>
      </c>
      <c r="HN462" s="639">
        <f t="shared" si="1111"/>
        <v>1.4106809950923669E-3</v>
      </c>
      <c r="HO462" s="639">
        <f t="shared" si="1112"/>
        <v>1.7317923025048877E-3</v>
      </c>
      <c r="HP462" s="644">
        <f>(FT462*$GD462-HM462)/$JF462*INDEX(Input!$1:$1048576,$JG$93,$C462*2+6)</f>
        <v>408.39763208047407</v>
      </c>
      <c r="HQ462" s="644">
        <f>(FU462*$GD462-HN462)/$JF462*INDEX(Input!$1:$1048576,$JG$93,$C462*2+6)</f>
        <v>-10.479863469481471</v>
      </c>
      <c r="HR462" s="644">
        <f>(FV462*$GD462-HO462)/$JF462*INDEX(Input!$1:$1048576,$JG$93,$C462*2+6)</f>
        <v>-52.3662417621088</v>
      </c>
      <c r="HS462" s="644">
        <f t="shared" ref="HS462" si="1240">IF(AND(HJ462="On",HK462="On"),IL462/1000*INDEX(KG:KG,MATCH(C462*1000+3,$KF:$KF,0))*SUM(HY462:IA462)*1.1
+INDEX(HR:HR,MATCH(C462*1000+4,$KF:$KF,0))/INDEX(IM:IM,MATCH(C462*1000+4,$KF:$KF,0))*IM462*20%,0)</f>
        <v>-167.77696640833662</v>
      </c>
      <c r="HT462" s="644">
        <f t="shared" si="1114"/>
        <v>93.759077178127413</v>
      </c>
      <c r="HU462" s="644">
        <f t="shared" si="1115"/>
        <v>9.9466380185880734</v>
      </c>
      <c r="HV462" s="648">
        <f t="shared" si="1116"/>
        <v>0</v>
      </c>
      <c r="HW462" s="648">
        <f t="shared" si="1117"/>
        <v>0</v>
      </c>
      <c r="HX462" s="648">
        <f t="shared" si="1118"/>
        <v>0</v>
      </c>
      <c r="HY462" s="644">
        <f>INDEX(Input!$1:$1048576,HY$93,$C462*2+6)*INDEX(Input!$1:$1048576,$JG$93,$C462*2+6)</f>
        <v>993</v>
      </c>
      <c r="HZ462" s="644">
        <f>INDEX(Input!$1:$1048576,HZ$93,$C462*2+6)*INDEX(Input!$1:$1048576,$JG$93,$C462*2+6)</f>
        <v>1216</v>
      </c>
      <c r="IA462" s="644">
        <f>INDEX(Input!$1:$1048576,IA$93,$C462*2+6)*INDEX(Input!$1:$1048576,$JG$93,$C462*2+6)</f>
        <v>120</v>
      </c>
      <c r="IB462" s="644">
        <f t="shared" si="1142"/>
        <v>1233.6206656721374</v>
      </c>
      <c r="IC462" s="644">
        <f t="shared" si="1143"/>
        <v>1299.279213708646</v>
      </c>
      <c r="ID462" s="644">
        <f>IF(AND(INDEX(Input!$1:$1048576,IA$93,$C462*2+7)="TOS",Y462&lt;=INDEX(Y:Y,MATCH(C462*1000+2,A:A))),0,1)*MAX(IA462+HR462+HU462+HX462,0%)</f>
        <v>77.580396256479276</v>
      </c>
      <c r="IE462" s="128">
        <f t="shared" ref="IE462" si="1241">IB462/SUM($IB462:$ID462)</f>
        <v>0.47256463769717233</v>
      </c>
      <c r="IF462" s="128">
        <f t="shared" ref="IF462" si="1242">IC462/SUM($IB462:$ID462)</f>
        <v>0.49771654121825148</v>
      </c>
      <c r="IG462" s="128">
        <f t="shared" si="1120"/>
        <v>2.9718821084576321E-2</v>
      </c>
      <c r="IH462" s="21"/>
      <c r="II462" s="19">
        <f t="shared" si="1121"/>
        <v>1490</v>
      </c>
      <c r="IJ462" s="19">
        <f t="shared" si="1122"/>
        <v>2203.2561351629856</v>
      </c>
      <c r="IK462" s="19">
        <f t="shared" si="1123"/>
        <v>242</v>
      </c>
      <c r="IL462" s="19">
        <f t="shared" si="1145"/>
        <v>1280</v>
      </c>
      <c r="IM462" s="19">
        <f t="shared" si="1124"/>
        <v>620.93897933943344</v>
      </c>
      <c r="IN462" s="19">
        <f t="shared" si="1125"/>
        <v>-95</v>
      </c>
      <c r="IO462" s="39">
        <f t="shared" si="1126"/>
        <v>0</v>
      </c>
      <c r="IP462" s="39">
        <f t="shared" si="1127"/>
        <v>0</v>
      </c>
      <c r="IQ462" s="39">
        <f t="shared" si="1128"/>
        <v>0</v>
      </c>
      <c r="IR462" s="39">
        <v>0</v>
      </c>
      <c r="IS462" s="39">
        <v>0</v>
      </c>
      <c r="IT462" s="39">
        <v>0</v>
      </c>
      <c r="IU462" s="39">
        <v>0</v>
      </c>
      <c r="IV462" s="39">
        <v>0</v>
      </c>
      <c r="IW462" s="39">
        <v>0</v>
      </c>
      <c r="IX462" s="39">
        <f>INDEX(Input!$1:$1048576,IX$93,$C462*2+6)+INDEX(Input!$1:$1048576,IX$94,$C462*2+6)</f>
        <v>1770</v>
      </c>
      <c r="IY462" s="39">
        <f>INDEX(Input!$1:$1048576,IY$93,$C462*2+6)+INDEX(Input!$1:$1048576,IY$94,$C462*2+6)</f>
        <v>2630.0624533823611</v>
      </c>
      <c r="IZ462" s="39">
        <f>INDEX(Input!$1:$1048576,IZ$93,$C462*2+6)+INDEX(Input!$1:$1048576,IZ$94,$C462*2+6)</f>
        <v>4153.7164157747848</v>
      </c>
      <c r="JA462" s="19">
        <f t="shared" si="1146"/>
        <v>3050</v>
      </c>
      <c r="JB462" s="19">
        <f t="shared" si="1147"/>
        <v>3251.0014327217946</v>
      </c>
      <c r="JC462" s="19">
        <f t="shared" si="1148"/>
        <v>4058.7164157747848</v>
      </c>
      <c r="JD462" s="19">
        <f t="shared" si="1149"/>
        <v>3180.0196005596908</v>
      </c>
      <c r="JE462" s="21"/>
      <c r="JF462" s="1">
        <f t="shared" si="1129"/>
        <v>3.2545831732385969E-2</v>
      </c>
      <c r="JG462" s="15">
        <f>INDEX(Input!$1:$1048576,JG$93,$C462*2+6)/(1+VLOOKUP(C462*1000+INDEX(Input!$1:$1048576,JG$93+1,$C462*2+6),$A:$KK,$JK$92,FALSE))</f>
        <v>2329</v>
      </c>
      <c r="JH462" s="1">
        <f t="shared" si="1150"/>
        <v>0.1483690540355877</v>
      </c>
      <c r="JI462" s="1">
        <f t="shared" si="1151"/>
        <v>-2.7510198029893143E-2</v>
      </c>
      <c r="JJ462" s="1">
        <f t="shared" ref="JJ462" si="1243">SUM(HV462:HX462)/SUM(HY462:IA462)</f>
        <v>0</v>
      </c>
      <c r="JK462" s="1">
        <f t="shared" ref="JK462" si="1244">SUM(JH462:JJ462)</f>
        <v>0.12085885600569456</v>
      </c>
      <c r="JL462" s="15">
        <f t="shared" si="1154"/>
        <v>281.48027563726265</v>
      </c>
      <c r="JM462" s="15">
        <f t="shared" si="1180"/>
        <v>2610.4802756372628</v>
      </c>
      <c r="JN462" s="21"/>
      <c r="JO462" s="19">
        <f>INDEX(Input!$1:$1048576,JO$93,$C462*2+6)</f>
        <v>5995.5</v>
      </c>
      <c r="JP462" s="19">
        <f>INDEX(Input!$1:$1048576,JP$93,$C462*2+6)</f>
        <v>2341.8685758720158</v>
      </c>
      <c r="JQ462" s="39">
        <f t="shared" si="1166"/>
        <v>2815.4803994403092</v>
      </c>
      <c r="JR462" s="39">
        <f t="shared" si="1183"/>
        <v>838.15102468767509</v>
      </c>
      <c r="JS462" s="39">
        <f t="shared" si="1168"/>
        <v>8.3013784434009601</v>
      </c>
      <c r="JT462" s="39">
        <f t="shared" si="1156"/>
        <v>2.847166530195036</v>
      </c>
      <c r="JU462" s="385">
        <f>(JQ462*JM462-INDEX(Input!$1:$1048576,Input!A$18,$C462*2+6)*JL462*INDEX(Input!$1:$1048576,Input!A$19,$C462*2+6))/1000000</f>
        <v>7.3497560491822496</v>
      </c>
      <c r="JV462" s="39">
        <f t="shared" si="1190"/>
        <v>-1.1595515376118248</v>
      </c>
      <c r="JW462" s="1">
        <f t="shared" si="1181"/>
        <v>-0.13626861243227098</v>
      </c>
      <c r="JX462" s="19">
        <f t="shared" si="1172"/>
        <v>10114.977057447946</v>
      </c>
      <c r="JZ462" s="341"/>
      <c r="KA462" s="342"/>
      <c r="KB462" s="469">
        <f t="shared" si="1169"/>
        <v>2.3434325605641804</v>
      </c>
      <c r="KI462" s="473">
        <f t="shared" si="1235"/>
        <v>240.62066567213765</v>
      </c>
      <c r="KJ462" s="473">
        <f t="shared" si="1236"/>
        <v>83.279213708646239</v>
      </c>
      <c r="KK462" s="473">
        <f t="shared" si="1158"/>
        <v>-42.41960374352071</v>
      </c>
      <c r="KN462" s="544">
        <f t="shared" si="1173"/>
        <v>4002</v>
      </c>
      <c r="KO462" s="541">
        <f t="shared" si="1133"/>
        <v>7.9330009213657515E-2</v>
      </c>
      <c r="KP462" s="546">
        <f t="shared" si="1134"/>
        <v>631.53344869883676</v>
      </c>
      <c r="KQ462" s="546">
        <f t="shared" si="1135"/>
        <v>555.24841252366969</v>
      </c>
      <c r="KR462" s="548">
        <f t="shared" si="1136"/>
        <v>2.1807033569508567</v>
      </c>
      <c r="KS462" s="548">
        <f t="shared" si="1137"/>
        <v>2.4803080576940815</v>
      </c>
      <c r="KT462" s="473">
        <f t="shared" si="1171"/>
        <v>1580.0986321700548</v>
      </c>
      <c r="KU462" s="663">
        <f t="shared" si="1159"/>
        <v>4.0982159754569771</v>
      </c>
    </row>
    <row r="463" spans="1:308" s="26" customFormat="1" ht="15" outlineLevel="1">
      <c r="A463" s="561">
        <f t="shared" si="1138"/>
        <v>4063</v>
      </c>
      <c r="B463" s="561">
        <f t="shared" si="1160"/>
        <v>63</v>
      </c>
      <c r="C463" s="561">
        <f t="shared" si="1161"/>
        <v>4</v>
      </c>
      <c r="D463" s="561" t="str">
        <f t="shared" si="1206"/>
        <v xml:space="preserve">500 CC, 500 Combo, -180 Lease, </v>
      </c>
      <c r="E463" s="475">
        <f>INDEX(Input!$1:$1048576,E$93,$C463*2+MIN($B463,2)+5)
+INDEX(Scenarios!E$121:E$200,MATCH($B463,Scenarios!$B$121:$B$200,0))</f>
        <v>1756.832975525977</v>
      </c>
      <c r="F463" s="475">
        <f>INDEX(Input!$1:$1048576,F$93,$C463*2+MIN($B463,2)+5)
+INDEX(Scenarios!F$121:F$200,MATCH($B463,Scenarios!$B$121:$B$200,0))</f>
        <v>0</v>
      </c>
      <c r="G463" s="475">
        <f>INDEX(Input!$1:$1048576,G$93,$C463*2+MIN($B463,2)+5)
+INDEX(Scenarios!G$121:G$200,MATCH($B463,Scenarios!$B$121:$B$200,0))</f>
        <v>0</v>
      </c>
      <c r="H463" s="475">
        <f>INDEX(Input!$1:$1048576,H$93,$C463*2+MIN($B463,2)+5)
+INDEX(Scenarios!H$121:H$200,MATCH($B463,Scenarios!$B$121:$B$200,0))</f>
        <v>0</v>
      </c>
      <c r="I463" s="476">
        <f>INDEX(Input!$1:$1048576,I$93,$C463*2+MIN($B463,2)+5)</f>
        <v>0.7</v>
      </c>
      <c r="J463" s="476" t="str">
        <f>INDEX(Input!$1:$1048576,J$93,$C463*2+MIN($B463,2)+5)</f>
        <v>Market</v>
      </c>
      <c r="K463" s="476" t="str">
        <f>INDEX(Input!$1:$1048576,K$93,$C463*2+MIN($B463,2)+5)</f>
        <v>Market</v>
      </c>
      <c r="L463" s="476" t="str">
        <f>INDEX(Input!$1:$1048576,L$93,$C463*2+MIN($B463,2)+5)</f>
        <v>Market</v>
      </c>
      <c r="M463" s="476" t="str">
        <f>INDEX(Input!$1:$1048576,M$93,$C463*2+MIN($B463,2)+5)</f>
        <v>Market</v>
      </c>
      <c r="N463" s="476" t="str">
        <f>INDEX(Input!$1:$1048576,N$93,$C463*2+MIN($B463,2)+5)</f>
        <v>Market</v>
      </c>
      <c r="O463" s="476" t="str">
        <f>INDEX(Input!$1:$1048576,O$93,$C463*2+MIN($B463,2)+5)</f>
        <v>Market</v>
      </c>
      <c r="P463" s="476" t="str">
        <f>INDEX(Input!$1:$1048576,P$93,$C463*2+MIN($B463,2)+5)</f>
        <v>N</v>
      </c>
      <c r="Q463" s="477">
        <f>INDEX(Input!$1:$1048576,Q$93,$C463*2+MIN($B463,2)+5)
+INDEX(Scenarios!Q$121:Q$200,MATCH($B463,Scenarios!$B$121:$B$200,0))</f>
        <v>500</v>
      </c>
      <c r="R463" s="478">
        <f>IFERROR(MAX(0,INDEX(Input!$1:$1048576,R$93,$C463*2+MIN($B463,2)+5)
+INDEX(Scenarios!R$121:R$200,MATCH($B463,Scenarios!$B$121:$B$200,0)),),"Market")</f>
        <v>0</v>
      </c>
      <c r="S463" s="478">
        <f>IFERROR(MAX(0,INDEX(Input!$1:$1048576,S$93,$C463*2+MIN($B463,2)+5)
+INDEX(Scenarios!S$121:S$200,MATCH($B463,Scenarios!$B$121:$B$200,0)),),"Market")</f>
        <v>0</v>
      </c>
      <c r="T463" s="478">
        <f>IFERROR(MAX(0,INDEX(Input!$1:$1048576,T$93,$C463*2+MIN($B463,2)+5)
+INDEX(Scenarios!T$121:T$200,MATCH($B463,Scenarios!$B$121:$B$200,0)),),"Market")</f>
        <v>0</v>
      </c>
      <c r="U463" s="478">
        <f>IFERROR(MAX(0,INDEX(Input!$1:$1048576,U$93,$C463*2+MIN($B463,2)+5)
+INDEX(Scenarios!U$121:U$200,MATCH($B463,Scenarios!$B$121:$B$200,0)),),"Market")</f>
        <v>0</v>
      </c>
      <c r="V463" s="478">
        <f>IFERROR(MAX(0,INDEX(Input!$1:$1048576,V$93,$C463*2+MIN($B463,2)+5)
+INDEX(Scenarios!V$121:V$200,MATCH($B463,Scenarios!$B$121:$B$200,0)),),"Market")</f>
        <v>1.9E-2</v>
      </c>
      <c r="W463" s="885">
        <f>IFERROR(MAX(0,INDEX(Input!$1:$1048576,W$93,$C463*2+MIN($B463,2)+5)-0%,),"Market")</f>
        <v>3.9E-2</v>
      </c>
      <c r="X463" s="476" t="str">
        <f>INDEX(Input!$1:$1048576,X$93,$C463*2+MIN($B463,2)+5)</f>
        <v>Y</v>
      </c>
      <c r="Y463" s="475">
        <f>INDEX(Input!$1:$1048576,Y$93,$C463*2+MIN($B463,2)+5)
++INDEX(Scenarios!Y$121:Y$200,MATCH($B463,Scenarios!$B$121:$B$200,0))</f>
        <v>-1050</v>
      </c>
      <c r="Z463" s="477">
        <f>INDEX(Input!$1:$1048576,Z$93,$C463*2+MIN($B463,2)+5)
+INDEX(Scenarios!Z$121:Z$200,MATCH($B463,Scenarios!$B$121:$B$200,0))</f>
        <v>0</v>
      </c>
      <c r="AA463" s="475">
        <f>INDEX(Input!$1:$1048576,AA$93,$C463*2+MIN($B463,2)+5)
+INDEX(Scenarios!AA$121:AA$200,MATCH($B463,Scenarios!$B$121:$B$200,0))</f>
        <v>0</v>
      </c>
      <c r="AB463" s="476">
        <f>INDEX(Input!$1:$1048576,AB$93,$C463*2+MIN($B463,2)+5)</f>
        <v>0.27</v>
      </c>
      <c r="AC463" s="475">
        <f>INDEX(Input!$1:$1048576,AC$93,$C463*2+MIN($B463,2)+5)
+INDEX(Scenarios!AC$121:AC$200,MATCH($B463,Scenarios!$B$121:$B$200,0))</f>
        <v>0</v>
      </c>
      <c r="AD463" s="476">
        <f>INDEX(Input!$1:$1048576,AD$93,$C463*2+MIN($B463,2)+5)</f>
        <v>0.27</v>
      </c>
      <c r="AE463" s="475">
        <f>INDEX(Input!$1:$1048576,AE$93,$C463*2+MIN($B463,2)+5)
+INDEX(Scenarios!AE$121:AE$200,MATCH($B463,Scenarios!$B$121:$B$200,0))</f>
        <v>0</v>
      </c>
      <c r="AF463" s="476">
        <f>INDEX(Input!$1:$1048576,AF$93,$C463*2+MIN($B463,2)+5)</f>
        <v>1</v>
      </c>
      <c r="AG463" s="475">
        <f>INDEX(Input!$1:$1048576,AG$93,$C463*2+MIN($B463,2)+5)
+INDEX(Scenarios!AG$121:AG$200,MATCH($B463,Scenarios!$B$121:$B$200,0))</f>
        <v>500</v>
      </c>
      <c r="AH463" s="476">
        <f>INDEX(Input!$1:$1048576,AH$93,$C463*2+MIN($B463,2)+5)</f>
        <v>0.83199999999999996</v>
      </c>
      <c r="AI463" s="475">
        <f>INDEX(Input!$1:$1048576,AI$93,$C463*2+MIN($B463,2)+5)
+INDEX(Scenarios!AI$121:AI$200,MATCH($B463,Scenarios!$B$121:$B$200,0))</f>
        <v>0</v>
      </c>
      <c r="AJ463" s="476">
        <f>INDEX(Input!$1:$1048576,AJ$93,$C463*2+MIN($B463,2)+5)</f>
        <v>0.27</v>
      </c>
      <c r="AK463" s="150">
        <f>ROUND(INDEX(Input!$1:$1048576,AK$93,$C462*2+MIN($B463,1)+5)+(Y463-VLOOKUP($C463*1000+1,$A:$HH,Y$92,FALSE)),0)</f>
        <v>2407</v>
      </c>
      <c r="AL463" s="150">
        <f>ROUND(INDEX(Input!$1:$1048576,AL$93,$C462*2+MIN($B463,1)+5)-(Y463-VLOOKUP($C463*1000+1,$A:$HH,Y$92,FALSE))/36,0)</f>
        <v>3411</v>
      </c>
      <c r="AM463" s="32" t="str">
        <f t="shared" si="1139"/>
        <v>std/std/std/std</v>
      </c>
      <c r="AN463" s="32" t="str">
        <f t="shared" si="1140"/>
        <v>$500 + 0/0/0/1.9/3.9</v>
      </c>
      <c r="AO463" s="32" t="str">
        <f t="shared" si="1141"/>
        <v>0/0/0/1.9/3.9</v>
      </c>
      <c r="AP463" s="32" t="str">
        <f t="shared" si="1213"/>
        <v>0/0.9/1.9/3.9</v>
      </c>
      <c r="AQ463" s="536">
        <f t="shared" si="1207"/>
        <v>0.43527166308613469</v>
      </c>
      <c r="AR463" s="32"/>
      <c r="AS463" s="302"/>
      <c r="AT463" s="3">
        <f t="shared" si="1162"/>
        <v>63</v>
      </c>
      <c r="AU463" s="41" t="s">
        <v>121</v>
      </c>
      <c r="AV463" s="41" t="s">
        <v>116</v>
      </c>
      <c r="AW463" s="41" t="str">
        <f>INDEX(Input!$1:$1048576,AW$93,$C463*2+6)</f>
        <v>Kia</v>
      </c>
      <c r="AX463" s="41" t="str">
        <f>INDEX(Input!$1:$1048576,AX$93,$C463*2+6)</f>
        <v>Kia-LR - R1</v>
      </c>
      <c r="AY463" s="41" t="str">
        <f>IF(LEN(D463)=0,"",INDEX(Input!$1:$1048576,AY$93,$C463*2+6))</f>
        <v>Compact SUV (52)</v>
      </c>
      <c r="AZ463" s="41" t="str">
        <f>INDEX(Input!$1:$1048576,AZ$93,$C463*2+6)</f>
        <v>Kia Soul</v>
      </c>
      <c r="BA463" s="3">
        <f>INDEX(Input!$1:$1048576,BA$93,$C463*2+6)</f>
        <v>2020</v>
      </c>
      <c r="BB463" s="128">
        <f>INDEX(Input!$1:$1048576,BB$93,$C463*2+6)</f>
        <v>1</v>
      </c>
      <c r="BC463" s="128">
        <f>INDEX(Input!$1:$1048576,BC$93,$C463*2+6)</f>
        <v>0.7</v>
      </c>
      <c r="BD463" s="1">
        <f>INDEX(Input!$1:$1048576,BD$93,$C463*2+6)</f>
        <v>4.4999999999999998E-2</v>
      </c>
      <c r="BE463" s="1">
        <f>INDEX(Input!$1:$1048576,BE$93,$C463*2+6)</f>
        <v>4.4999999999999998E-2</v>
      </c>
      <c r="BF463" s="1">
        <f>INDEX(Input!$1:$1048576,BF$93,$C463*2+6)</f>
        <v>0.05</v>
      </c>
      <c r="BG463" s="1">
        <f>INDEX(Input!$1:$1048576,BG$93,$C463*2+6)</f>
        <v>5.45E-2</v>
      </c>
      <c r="BH463" s="1">
        <f>INDEX(Input!$1:$1048576,BH$93,$C463*2+6)</f>
        <v>5.45E-2</v>
      </c>
      <c r="BI463" s="1">
        <f>INDEX(Input!$1:$1048576,BI$93,$C463*2+6)</f>
        <v>0.05</v>
      </c>
      <c r="BJ463" s="1">
        <f>INDEX(Input!$1:$1048576,BJ$93,$C463*2+6)</f>
        <v>0.05</v>
      </c>
      <c r="BK463" s="1">
        <f>INDEX(Input!$1:$1048576,BK$93,$C463*2+6)</f>
        <v>0.05</v>
      </c>
      <c r="BL463" s="1">
        <f>INDEX(Input!$1:$1048576,BL$93,$C463*2+6)</f>
        <v>5.5E-2</v>
      </c>
      <c r="BM463" s="1">
        <f>INDEX(Input!$1:$1048576,BM$93,$C463*2+6)</f>
        <v>0.06</v>
      </c>
      <c r="BN463" s="1">
        <f>INDEX(Input!$1:$1048576,BN$93,$C463*2+6)</f>
        <v>4.4999999999999998E-2</v>
      </c>
      <c r="BO463" s="1">
        <f>INDEX(Input!$1:$1048576,BO$93,$C463*2+6)</f>
        <v>4.4999999999999998E-2</v>
      </c>
      <c r="BP463" s="1">
        <f>INDEX(Input!$1:$1048576,BP$93,$C463*2+6)</f>
        <v>0.05</v>
      </c>
      <c r="BQ463" s="1">
        <f>INDEX(Input!$1:$1048576,BQ$93,$C463*2+6)</f>
        <v>5.45E-2</v>
      </c>
      <c r="BR463" s="1">
        <f>INDEX(Input!$1:$1048576,BR$93,$C463*2+6)</f>
        <v>5.45E-2</v>
      </c>
      <c r="BS463" s="1">
        <f>INDEX(Input!$1:$1048576,BS$93,$C463*2+6)</f>
        <v>0.05</v>
      </c>
      <c r="BT463" s="1">
        <f>INDEX(Input!$1:$1048576,BT$93,$C463*2+6)</f>
        <v>0.05</v>
      </c>
      <c r="BU463" s="1">
        <f>INDEX(Input!$1:$1048576,BU$93,$C463*2+6)</f>
        <v>0.05</v>
      </c>
      <c r="BV463" s="1">
        <f>INDEX(Input!$1:$1048576,BV$93,$C463*2+6)</f>
        <v>5.5E-2</v>
      </c>
      <c r="BW463" s="1">
        <f>INDEX(Input!$1:$1048576,BW$93,$C463*2+6)</f>
        <v>0.06</v>
      </c>
      <c r="BX463" s="127">
        <f>INDEX(Input!$1:$1048576,BX$93,$C463*2+6)</f>
        <v>19985</v>
      </c>
      <c r="BY463" s="20">
        <f>INDEX(Input!$1:$1048576,BY$93,$C463*2+6)</f>
        <v>0.1</v>
      </c>
      <c r="BZ463" s="20">
        <f>INDEX(Input!$1:$1048576,BZ$93,$C463*2+6)</f>
        <v>0.1</v>
      </c>
      <c r="CA463" s="20">
        <f>INDEX(Input!$1:$1048576,CA$93,$C463*2+6)</f>
        <v>0.1</v>
      </c>
      <c r="CB463" s="20">
        <f>INDEX(Input!$1:$1048576,CB$93,$C463*2+6)</f>
        <v>0.1</v>
      </c>
      <c r="CC463" s="20">
        <f>INDEX(Input!$1:$1048576,CC$93,$C463*2+6)</f>
        <v>0.1</v>
      </c>
      <c r="CD463" s="384">
        <f>INDEX(Input!$1:$1048576,CD$93,$C463*2+6)</f>
        <v>0.1</v>
      </c>
      <c r="CE463" s="384">
        <f>INDEX(Input!$1:$1048576,CE$93,$C463*2+6)</f>
        <v>0.1</v>
      </c>
      <c r="CF463" s="384">
        <f>INDEX(Input!$1:$1048576,CF$93,$C463*2+6)</f>
        <v>0.1</v>
      </c>
      <c r="CG463" s="384">
        <f>INDEX(Input!$1:$1048576,CG$93,$C463*2+6)</f>
        <v>0.1</v>
      </c>
      <c r="CH463" s="384">
        <f>INDEX(Input!$1:$1048576,CH$93,$C463*2+6)</f>
        <v>0.1</v>
      </c>
      <c r="CI463" s="304">
        <f t="shared" si="1214"/>
        <v>1756.832975525977</v>
      </c>
      <c r="CJ463" s="16" t="str">
        <f>INDEX(Input!$1:$1048576,CJ$93,$C463*2+6)</f>
        <v>N</v>
      </c>
      <c r="CK463" s="1" t="str">
        <f t="shared" si="1215"/>
        <v>Market</v>
      </c>
      <c r="CL463" s="1" t="str">
        <f t="shared" si="1216"/>
        <v>Market</v>
      </c>
      <c r="CM463" s="1" t="str">
        <f t="shared" si="1217"/>
        <v>Market</v>
      </c>
      <c r="CN463" s="1" t="str">
        <f t="shared" si="1218"/>
        <v>Market</v>
      </c>
      <c r="CO463" s="1" t="str">
        <f t="shared" si="1219"/>
        <v>Market</v>
      </c>
      <c r="CP463" s="304">
        <f t="shared" si="1220"/>
        <v>916</v>
      </c>
      <c r="CQ463" s="1">
        <f t="shared" si="1221"/>
        <v>0</v>
      </c>
      <c r="CR463" s="1">
        <f t="shared" si="1222"/>
        <v>0</v>
      </c>
      <c r="CS463" s="1">
        <f t="shared" si="1223"/>
        <v>0</v>
      </c>
      <c r="CT463" s="1">
        <f t="shared" si="1224"/>
        <v>1.9E-2</v>
      </c>
      <c r="CU463" s="1">
        <f t="shared" si="1225"/>
        <v>3.9E-2</v>
      </c>
      <c r="CV463" s="304">
        <f t="shared" si="1226"/>
        <v>-1050</v>
      </c>
      <c r="CW463" s="20" t="s">
        <v>122</v>
      </c>
      <c r="CX463" s="20" t="s">
        <v>122</v>
      </c>
      <c r="CY463" s="20" t="s">
        <v>122</v>
      </c>
      <c r="CZ463" s="20" t="s">
        <v>122</v>
      </c>
      <c r="DA463" s="20" t="s">
        <v>122</v>
      </c>
      <c r="DB463" s="503">
        <f t="shared" si="1227"/>
        <v>0</v>
      </c>
      <c r="DC463" s="127">
        <v>0</v>
      </c>
      <c r="DD463" s="127">
        <v>0</v>
      </c>
      <c r="DE463" s="127">
        <v>0</v>
      </c>
      <c r="DF463" s="127">
        <v>0</v>
      </c>
      <c r="DG463" s="127">
        <v>0</v>
      </c>
      <c r="DH463" s="127">
        <v>0</v>
      </c>
      <c r="DI463" s="127">
        <v>0</v>
      </c>
      <c r="DJ463" s="127">
        <v>0</v>
      </c>
      <c r="DK463" s="127">
        <v>0</v>
      </c>
      <c r="DL463" s="127">
        <v>0</v>
      </c>
      <c r="DM463" s="304">
        <f>INDEX(Input!$1:$1048576,DM$93,$C463*2+6)</f>
        <v>21036.84210526316</v>
      </c>
      <c r="DN463" s="20">
        <v>0</v>
      </c>
      <c r="DO463" s="20">
        <v>0</v>
      </c>
      <c r="DP463" s="20">
        <v>0</v>
      </c>
      <c r="DQ463" s="20">
        <v>0</v>
      </c>
      <c r="DR463" s="20">
        <v>0</v>
      </c>
      <c r="DS463" s="20">
        <f>INDEX(Input!$1:$1048576,DS$93,$C463*2+6)</f>
        <v>0.6</v>
      </c>
      <c r="DT463" s="20">
        <f>INDEX(Input!$1:$1048576,DT$93,$C463*2+6)</f>
        <v>0.55000000000000004</v>
      </c>
      <c r="DU463" s="20">
        <f>INDEX(Input!$1:$1048576,DU$93,$C463*2+6)</f>
        <v>0.52</v>
      </c>
      <c r="DV463" s="20">
        <f>INDEX(Input!$1:$1048576,DV$93,$C463*2+6)</f>
        <v>0.5</v>
      </c>
      <c r="DW463" s="20">
        <f>INDEX(Input!$1:$1048576,DW$93,$C463*2+6)</f>
        <v>0.45</v>
      </c>
      <c r="DX463" s="20"/>
      <c r="DY463" s="7">
        <v>0.10921911355946132</v>
      </c>
      <c r="DZ463" s="7">
        <v>0</v>
      </c>
      <c r="EA463" s="7">
        <v>0.80968097912006043</v>
      </c>
      <c r="EB463" s="7">
        <v>0</v>
      </c>
      <c r="EC463" s="7">
        <v>0</v>
      </c>
      <c r="ED463" s="7">
        <v>0</v>
      </c>
      <c r="EE463" s="7">
        <v>0</v>
      </c>
      <c r="EF463" s="7">
        <v>0</v>
      </c>
      <c r="EG463" s="7">
        <v>0</v>
      </c>
      <c r="EH463" s="7">
        <v>1.2277269159422132E-2</v>
      </c>
      <c r="EI463" s="7">
        <v>3.2080986277220204E-2</v>
      </c>
      <c r="EJ463" s="7">
        <v>0.22520642159267093</v>
      </c>
      <c r="EK463" s="7">
        <v>0.59322523337435551</v>
      </c>
      <c r="EL463" s="7">
        <v>0.13721008959633141</v>
      </c>
      <c r="EM463" s="7">
        <v>4.3800631828889755E-2</v>
      </c>
      <c r="EN463" s="7">
        <v>4.990430881284217E-2</v>
      </c>
      <c r="EO463" s="7">
        <v>0.70704251212595648</v>
      </c>
      <c r="EP463" s="7">
        <v>0.10535132499367268</v>
      </c>
      <c r="EQ463" s="7">
        <v>9.2454302158117105E-2</v>
      </c>
      <c r="ER463" s="7">
        <v>4.5247551909411515E-2</v>
      </c>
      <c r="ES463" s="7">
        <v>3.7299275491588395E-2</v>
      </c>
      <c r="ET463" s="7">
        <v>8.1099907320478309E-2</v>
      </c>
      <c r="EU463" s="6">
        <v>2270</v>
      </c>
      <c r="EV463" s="6">
        <v>0</v>
      </c>
      <c r="EW463" s="6">
        <v>2270</v>
      </c>
      <c r="EX463" s="6">
        <v>0</v>
      </c>
      <c r="EY463" s="6">
        <v>2983.5001801855833</v>
      </c>
      <c r="EZ463" s="6">
        <v>327</v>
      </c>
      <c r="FA463" s="6">
        <v>0</v>
      </c>
      <c r="FB463" s="6">
        <v>0</v>
      </c>
      <c r="FC463" s="6">
        <v>0</v>
      </c>
      <c r="FD463" s="6">
        <v>0</v>
      </c>
      <c r="FE463" s="6">
        <v>0</v>
      </c>
      <c r="FF463" s="6">
        <v>0</v>
      </c>
      <c r="FG463" s="6">
        <v>0</v>
      </c>
      <c r="FH463" s="6">
        <v>1169.8042588315814</v>
      </c>
      <c r="FI463" s="6">
        <v>1553.979606951239</v>
      </c>
      <c r="FJ463" s="6">
        <v>2101.211011744741</v>
      </c>
      <c r="FK463" s="6">
        <v>1772.7139978623215</v>
      </c>
      <c r="FL463" s="6">
        <v>907.07682140966381</v>
      </c>
      <c r="FM463" s="6">
        <v>1713.5001801855831</v>
      </c>
      <c r="FN463" s="6">
        <v>0</v>
      </c>
      <c r="FO463" s="6">
        <v>0</v>
      </c>
      <c r="FP463" s="6">
        <v>0</v>
      </c>
      <c r="FQ463" s="6">
        <v>0</v>
      </c>
      <c r="FR463" s="6">
        <v>0</v>
      </c>
      <c r="FS463" s="6">
        <v>0</v>
      </c>
      <c r="FT463" s="7">
        <v>0.91890009267952177</v>
      </c>
      <c r="FU463" s="7">
        <v>4.3800631828889755E-2</v>
      </c>
      <c r="FV463" s="7">
        <v>3.7299275491588395E-2</v>
      </c>
      <c r="FW463" s="6">
        <v>2270</v>
      </c>
      <c r="FX463" s="6">
        <v>2983.5001801855828</v>
      </c>
      <c r="FY463" s="6">
        <v>327</v>
      </c>
      <c r="FZ463" s="6">
        <v>1949.5716051445115</v>
      </c>
      <c r="GA463" s="6">
        <v>2228.7792664219987</v>
      </c>
      <c r="GB463" s="6">
        <v>17756.220733578</v>
      </c>
      <c r="GC463" s="7">
        <v>3.3872851927908169E-2</v>
      </c>
      <c r="GD463" s="7">
        <v>3.5451439407600413E-2</v>
      </c>
      <c r="GE463" s="7"/>
      <c r="GF463" s="7"/>
      <c r="GG463" s="7">
        <v>4.6603323601212041E-2</v>
      </c>
      <c r="GH463" s="42">
        <v>3.3357516692373075</v>
      </c>
      <c r="GI463" s="6">
        <v>8219.9326800001181</v>
      </c>
      <c r="GJ463" s="14">
        <v>0.50394797582841722</v>
      </c>
      <c r="GK463" s="14">
        <v>0.50887573065309732</v>
      </c>
      <c r="GL463" s="14">
        <v>0.49605202417158306</v>
      </c>
      <c r="GM463" s="14">
        <v>0.4911242693469024</v>
      </c>
      <c r="GO463" s="5">
        <v>343.14810671672558</v>
      </c>
      <c r="GP463" s="5">
        <v>299.84083725090579</v>
      </c>
      <c r="GQ463" s="5">
        <v>535.04305713031317</v>
      </c>
      <c r="GR463" s="5">
        <v>410.15490233172511</v>
      </c>
      <c r="GS463" s="5">
        <v>339.42744393800166</v>
      </c>
      <c r="GT463" s="5">
        <v>293.4407446948278</v>
      </c>
      <c r="GU463" s="5">
        <v>258.04012322764959</v>
      </c>
      <c r="GV463" s="39" t="s">
        <v>392</v>
      </c>
      <c r="GW463" s="5">
        <v>464.34722222222223</v>
      </c>
      <c r="GX463" s="5">
        <v>348.26041666666669</v>
      </c>
      <c r="GY463" s="5">
        <v>278.60833333333335</v>
      </c>
      <c r="GZ463" s="5">
        <v>245.84245344171217</v>
      </c>
      <c r="HA463" s="5">
        <v>227.72592165501609</v>
      </c>
      <c r="HB463" s="39">
        <v>256.70408018450837</v>
      </c>
      <c r="HC463" s="5">
        <v>272.97812499999998</v>
      </c>
      <c r="HD463" s="5">
        <v>230.04080774853799</v>
      </c>
      <c r="HE463" s="5">
        <v>231.89700151821859</v>
      </c>
      <c r="HF463" s="5">
        <v>213.34688048245613</v>
      </c>
      <c r="HG463" s="5">
        <v>204.36388157894737</v>
      </c>
      <c r="HH463" s="39">
        <v>229.67387391593411</v>
      </c>
      <c r="HI463" s="16"/>
      <c r="HJ463" s="19" t="str">
        <f t="shared" ref="HJ463" si="1245">HJ462</f>
        <v>On</v>
      </c>
      <c r="HK463" s="1" t="str">
        <f t="shared" si="1239"/>
        <v>On</v>
      </c>
      <c r="HL463" s="16"/>
      <c r="HM463" s="639">
        <f t="shared" si="1110"/>
        <v>2.9403358434788716E-2</v>
      </c>
      <c r="HN463" s="639">
        <f t="shared" si="1111"/>
        <v>1.4106809950923669E-3</v>
      </c>
      <c r="HO463" s="639">
        <f t="shared" si="1112"/>
        <v>1.7317923025048877E-3</v>
      </c>
      <c r="HP463" s="644">
        <f>(FT463*$GD463-HM463)/$JF463*INDEX(Input!$1:$1048576,$JG$93,$C463*2+6)</f>
        <v>227.05989097513611</v>
      </c>
      <c r="HQ463" s="644">
        <f>(FU463*$GD463-HN463)/$JF463*INDEX(Input!$1:$1048576,$JG$93,$C463*2+6)</f>
        <v>10.169798616517312</v>
      </c>
      <c r="HR463" s="644">
        <f>(FV463*$GD463-HO463)/$JF463*INDEX(Input!$1:$1048576,$JG$93,$C463*2+6)</f>
        <v>-29.302593697511512</v>
      </c>
      <c r="HS463" s="644">
        <f t="shared" ref="HS463:HS483" si="1246">IF(AND(HJ463="On",HK463="On"),IL463/1000*INDEX(KG:KG,MATCH(C463*1000+3,$KF:$KF,0))*SUM(HY463:IA463)*1.1
+INDEX(HR:HR,MATCH(C463*1000+4,$KF:$KF,0))/INDEX(IM:IM,MATCH(C463*1000+4,$KF:$KF,0))*IM463*20%,0)</f>
        <v>-102.42252713862446</v>
      </c>
      <c r="HT463" s="644">
        <f t="shared" si="1114"/>
        <v>124.92802936692375</v>
      </c>
      <c r="HU463" s="644">
        <f t="shared" si="1115"/>
        <v>8.2451503262231718</v>
      </c>
      <c r="HV463" s="648">
        <f t="shared" si="1116"/>
        <v>0</v>
      </c>
      <c r="HW463" s="648">
        <f t="shared" si="1117"/>
        <v>0</v>
      </c>
      <c r="HX463" s="648">
        <f t="shared" si="1118"/>
        <v>0</v>
      </c>
      <c r="HY463" s="644">
        <f>INDEX(Input!$1:$1048576,HY$93,$C463*2+6)*INDEX(Input!$1:$1048576,$JG$93,$C463*2+6)</f>
        <v>993</v>
      </c>
      <c r="HZ463" s="644">
        <f>INDEX(Input!$1:$1048576,HZ$93,$C463*2+6)*INDEX(Input!$1:$1048576,$JG$93,$C463*2+6)</f>
        <v>1216</v>
      </c>
      <c r="IA463" s="644">
        <f>INDEX(Input!$1:$1048576,IA$93,$C463*2+6)*INDEX(Input!$1:$1048576,$JG$93,$C463*2+6)</f>
        <v>120</v>
      </c>
      <c r="IB463" s="644">
        <f t="shared" si="1142"/>
        <v>1117.6373638365121</v>
      </c>
      <c r="IC463" s="644">
        <f t="shared" si="1143"/>
        <v>1351.097827983441</v>
      </c>
      <c r="ID463" s="644">
        <f>IF(AND(INDEX(Input!$1:$1048576,IA$93,$C463*2+7)="TOS",Y463&lt;=INDEX(Y:Y,MATCH(C463*1000+2,A:A))),0,1)*MAX(IA463+HR463+HU463+HX463,0%)</f>
        <v>98.942556628711657</v>
      </c>
      <c r="IE463" s="128">
        <f t="shared" ref="IE463:IE474" si="1247">IB463/SUM($IB463:$ID463)</f>
        <v>0.43527166308613469</v>
      </c>
      <c r="IF463" s="128">
        <f t="shared" ref="IF463:IF474" si="1248">IC463/SUM($IB463:$ID463)</f>
        <v>0.52619446844517193</v>
      </c>
      <c r="IG463" s="128">
        <f t="shared" si="1120"/>
        <v>3.8533868468693395E-2</v>
      </c>
      <c r="IH463" s="21"/>
      <c r="II463" s="19">
        <f t="shared" si="1121"/>
        <v>1490</v>
      </c>
      <c r="IJ463" s="19">
        <f t="shared" si="1122"/>
        <v>2203.2561351629856</v>
      </c>
      <c r="IK463" s="19">
        <f t="shared" si="1123"/>
        <v>242</v>
      </c>
      <c r="IL463" s="19">
        <f t="shared" si="1145"/>
        <v>780</v>
      </c>
      <c r="IM463" s="19">
        <f t="shared" si="1124"/>
        <v>780.24404502259722</v>
      </c>
      <c r="IN463" s="19">
        <f t="shared" si="1125"/>
        <v>85</v>
      </c>
      <c r="IO463" s="39">
        <f t="shared" si="1126"/>
        <v>0</v>
      </c>
      <c r="IP463" s="39">
        <f t="shared" si="1127"/>
        <v>0</v>
      </c>
      <c r="IQ463" s="39">
        <f t="shared" si="1128"/>
        <v>0</v>
      </c>
      <c r="IR463" s="39">
        <v>0</v>
      </c>
      <c r="IS463" s="39">
        <v>0</v>
      </c>
      <c r="IT463" s="39">
        <v>0</v>
      </c>
      <c r="IU463" s="39">
        <v>0</v>
      </c>
      <c r="IV463" s="39">
        <v>0</v>
      </c>
      <c r="IW463" s="39">
        <v>0</v>
      </c>
      <c r="IX463" s="39">
        <f>INDEX(Input!$1:$1048576,IX$93,$C463*2+6)+INDEX(Input!$1:$1048576,IX$94,$C463*2+6)</f>
        <v>1770</v>
      </c>
      <c r="IY463" s="39">
        <f>INDEX(Input!$1:$1048576,IY$93,$C463*2+6)+INDEX(Input!$1:$1048576,IY$94,$C463*2+6)</f>
        <v>2630.0624533823611</v>
      </c>
      <c r="IZ463" s="39">
        <f>INDEX(Input!$1:$1048576,IZ$93,$C463*2+6)+INDEX(Input!$1:$1048576,IZ$94,$C463*2+6)</f>
        <v>4153.7164157747848</v>
      </c>
      <c r="JA463" s="19">
        <f t="shared" si="1146"/>
        <v>2550</v>
      </c>
      <c r="JB463" s="19">
        <f t="shared" si="1147"/>
        <v>3410.3064984049583</v>
      </c>
      <c r="JC463" s="19">
        <f t="shared" si="1148"/>
        <v>4238.7164157747848</v>
      </c>
      <c r="JD463" s="19">
        <f t="shared" si="1149"/>
        <v>3067.7612968745134</v>
      </c>
      <c r="JE463" s="21"/>
      <c r="JF463" s="1">
        <f t="shared" si="1129"/>
        <v>3.2545831732385969E-2</v>
      </c>
      <c r="JG463" s="15">
        <f>INDEX(Input!$1:$1048576,JG$93,$C463*2+6)/(1+VLOOKUP(C463*1000+INDEX(Input!$1:$1048576,JG$93+1,$C463*2+6),$A:$KK,$JK$92,FALSE))</f>
        <v>2329</v>
      </c>
      <c r="JH463" s="1">
        <f t="shared" si="1150"/>
        <v>8.9277413436729042E-2</v>
      </c>
      <c r="JI463" s="1">
        <f t="shared" si="1151"/>
        <v>1.3203371642130727E-2</v>
      </c>
      <c r="JJ463" s="1">
        <f t="shared" ref="JJ463:JJ474" si="1249">SUM(HV463:HX463)/SUM(HY463:IA463)</f>
        <v>0</v>
      </c>
      <c r="JK463" s="1">
        <f t="shared" ref="JK463:JK474" si="1250">SUM(JH463:JJ463)</f>
        <v>0.10248078507885977</v>
      </c>
      <c r="JL463" s="15">
        <f t="shared" si="1154"/>
        <v>238.6777484486644</v>
      </c>
      <c r="JM463" s="15">
        <f t="shared" si="1180"/>
        <v>2567.6777484486643</v>
      </c>
      <c r="JN463" s="21"/>
      <c r="JO463" s="19">
        <f>INDEX(Input!$1:$1048576,JO$93,$C463*2+6)</f>
        <v>5995.5</v>
      </c>
      <c r="JP463" s="19">
        <f>INDEX(Input!$1:$1048576,JP$93,$C463*2+6)</f>
        <v>2341.8685758720158</v>
      </c>
      <c r="JQ463" s="39">
        <f t="shared" si="1166"/>
        <v>2927.7387031254866</v>
      </c>
      <c r="JR463" s="39">
        <f t="shared" si="1183"/>
        <v>725.89272100249764</v>
      </c>
      <c r="JS463" s="39">
        <f t="shared" si="1168"/>
        <v>7.8770224195367051</v>
      </c>
      <c r="JT463" s="39">
        <f t="shared" si="1156"/>
        <v>2.4228105063307805</v>
      </c>
      <c r="JU463" s="385">
        <f>(JQ463*JM463-INDEX(Input!$1:$1048576,Input!A$18,$C463*2+6)*JL463*INDEX(Input!$1:$1048576,Input!A$19,$C463*2+6))/1000000</f>
        <v>7.5174895212872617</v>
      </c>
      <c r="JV463" s="39">
        <f t="shared" si="1190"/>
        <v>-0.99181806550681273</v>
      </c>
      <c r="JW463" s="1">
        <f t="shared" si="1181"/>
        <v>-0.11655684735689351</v>
      </c>
      <c r="JX463" s="19">
        <f t="shared" si="1172"/>
        <v>10150.96933869345</v>
      </c>
      <c r="JZ463" s="341"/>
      <c r="KA463" s="342"/>
      <c r="KB463" s="469">
        <f t="shared" si="1169"/>
        <v>2.3434325605641804</v>
      </c>
      <c r="KI463" s="473">
        <f t="shared" ref="KI463:KI474" si="1251">$JM463*IE463-$JG463*HY463/SUM($HY463:$IA463)</f>
        <v>124.63736383651189</v>
      </c>
      <c r="KJ463" s="473">
        <f t="shared" ref="KJ463:KJ474" si="1252">$JM463*IF463-$JG463*HZ463/SUM($HY463:$IA463)</f>
        <v>135.09782798344077</v>
      </c>
      <c r="KK463" s="473">
        <f t="shared" si="1158"/>
        <v>-21.057443371288358</v>
      </c>
      <c r="KN463" s="544">
        <f t="shared" si="1173"/>
        <v>4002</v>
      </c>
      <c r="KO463" s="541">
        <f t="shared" si="1133"/>
        <v>6.1632862640289776E-2</v>
      </c>
      <c r="KP463" s="546">
        <f t="shared" si="1134"/>
        <v>473.90066370382294</v>
      </c>
      <c r="KQ463" s="546">
        <f t="shared" si="1135"/>
        <v>442.99010883849223</v>
      </c>
      <c r="KR463" s="548">
        <f t="shared" si="1136"/>
        <v>2.2577740014318226</v>
      </c>
      <c r="KS463" s="548">
        <f t="shared" si="1137"/>
        <v>2.4153148714249713</v>
      </c>
      <c r="KT463" s="473">
        <f t="shared" si="1171"/>
        <v>1580.0986321700548</v>
      </c>
      <c r="KU463" s="663">
        <f t="shared" si="1159"/>
        <v>4.0717115950670175</v>
      </c>
    </row>
    <row r="464" spans="1:308" s="26" customFormat="1" ht="15" outlineLevel="1">
      <c r="A464" s="561">
        <f t="shared" si="1138"/>
        <v>4064</v>
      </c>
      <c r="B464" s="561">
        <f t="shared" si="1160"/>
        <v>64</v>
      </c>
      <c r="C464" s="561">
        <f t="shared" si="1161"/>
        <v>4</v>
      </c>
      <c r="D464" s="561" t="str">
        <f t="shared" si="1206"/>
        <v xml:space="preserve">1000 CC, 1000 Combo, -180 Lease, </v>
      </c>
      <c r="E464" s="475">
        <f>INDEX(Input!$1:$1048576,E$93,$C464*2+MIN($B464,2)+5)
+INDEX(Scenarios!E$121:E$200,MATCH($B464,Scenarios!$B$121:$B$200,0))</f>
        <v>2256.832975525977</v>
      </c>
      <c r="F464" s="475">
        <f>INDEX(Input!$1:$1048576,F$93,$C464*2+MIN($B464,2)+5)
+INDEX(Scenarios!F$121:F$200,MATCH($B464,Scenarios!$B$121:$B$200,0))</f>
        <v>0</v>
      </c>
      <c r="G464" s="475">
        <f>INDEX(Input!$1:$1048576,G$93,$C464*2+MIN($B464,2)+5)
+INDEX(Scenarios!G$121:G$200,MATCH($B464,Scenarios!$B$121:$B$200,0))</f>
        <v>0</v>
      </c>
      <c r="H464" s="475">
        <f>INDEX(Input!$1:$1048576,H$93,$C464*2+MIN($B464,2)+5)
+INDEX(Scenarios!H$121:H$200,MATCH($B464,Scenarios!$B$121:$B$200,0))</f>
        <v>0</v>
      </c>
      <c r="I464" s="476">
        <f>INDEX(Input!$1:$1048576,I$93,$C464*2+MIN($B464,2)+5)</f>
        <v>0.7</v>
      </c>
      <c r="J464" s="476" t="str">
        <f>INDEX(Input!$1:$1048576,J$93,$C464*2+MIN($B464,2)+5)</f>
        <v>Market</v>
      </c>
      <c r="K464" s="476" t="str">
        <f>INDEX(Input!$1:$1048576,K$93,$C464*2+MIN($B464,2)+5)</f>
        <v>Market</v>
      </c>
      <c r="L464" s="476" t="str">
        <f>INDEX(Input!$1:$1048576,L$93,$C464*2+MIN($B464,2)+5)</f>
        <v>Market</v>
      </c>
      <c r="M464" s="476" t="str">
        <f>INDEX(Input!$1:$1048576,M$93,$C464*2+MIN($B464,2)+5)</f>
        <v>Market</v>
      </c>
      <c r="N464" s="476" t="str">
        <f>INDEX(Input!$1:$1048576,N$93,$C464*2+MIN($B464,2)+5)</f>
        <v>Market</v>
      </c>
      <c r="O464" s="476" t="str">
        <f>INDEX(Input!$1:$1048576,O$93,$C464*2+MIN($B464,2)+5)</f>
        <v>Market</v>
      </c>
      <c r="P464" s="476" t="str">
        <f>INDEX(Input!$1:$1048576,P$93,$C464*2+MIN($B464,2)+5)</f>
        <v>N</v>
      </c>
      <c r="Q464" s="477">
        <f>INDEX(Input!$1:$1048576,Q$93,$C464*2+MIN($B464,2)+5)
+INDEX(Scenarios!Q$121:Q$200,MATCH($B464,Scenarios!$B$121:$B$200,0))</f>
        <v>1000</v>
      </c>
      <c r="R464" s="478">
        <f>IFERROR(MAX(0,INDEX(Input!$1:$1048576,R$93,$C464*2+MIN($B464,2)+5)
+INDEX(Scenarios!R$121:R$200,MATCH($B464,Scenarios!$B$121:$B$200,0)),),"Market")</f>
        <v>0</v>
      </c>
      <c r="S464" s="478">
        <f>IFERROR(MAX(0,INDEX(Input!$1:$1048576,S$93,$C464*2+MIN($B464,2)+5)
+INDEX(Scenarios!S$121:S$200,MATCH($B464,Scenarios!$B$121:$B$200,0)),),"Market")</f>
        <v>0</v>
      </c>
      <c r="T464" s="478">
        <f>IFERROR(MAX(0,INDEX(Input!$1:$1048576,T$93,$C464*2+MIN($B464,2)+5)
+INDEX(Scenarios!T$121:T$200,MATCH($B464,Scenarios!$B$121:$B$200,0)),),"Market")</f>
        <v>0</v>
      </c>
      <c r="U464" s="478">
        <f>IFERROR(MAX(0,INDEX(Input!$1:$1048576,U$93,$C464*2+MIN($B464,2)+5)
+INDEX(Scenarios!U$121:U$200,MATCH($B464,Scenarios!$B$121:$B$200,0)),),"Market")</f>
        <v>0</v>
      </c>
      <c r="V464" s="478">
        <f>IFERROR(MAX(0,INDEX(Input!$1:$1048576,V$93,$C464*2+MIN($B464,2)+5)
+INDEX(Scenarios!V$121:V$200,MATCH($B464,Scenarios!$B$121:$B$200,0)),),"Market")</f>
        <v>1.9E-2</v>
      </c>
      <c r="W464" s="885">
        <f>IFERROR(MAX(0,INDEX(Input!$1:$1048576,W$93,$C464*2+MIN($B464,2)+5)-0%,),"Market")</f>
        <v>3.9E-2</v>
      </c>
      <c r="X464" s="476" t="str">
        <f>INDEX(Input!$1:$1048576,X$93,$C464*2+MIN($B464,2)+5)</f>
        <v>Y</v>
      </c>
      <c r="Y464" s="475">
        <f>INDEX(Input!$1:$1048576,Y$93,$C464*2+MIN($B464,2)+5)
++INDEX(Scenarios!Y$121:Y$200,MATCH($B464,Scenarios!$B$121:$B$200,0))</f>
        <v>-1050</v>
      </c>
      <c r="Z464" s="477">
        <f>INDEX(Input!$1:$1048576,Z$93,$C464*2+MIN($B464,2)+5)
+INDEX(Scenarios!Z$121:Z$200,MATCH($B464,Scenarios!$B$121:$B$200,0))</f>
        <v>0</v>
      </c>
      <c r="AA464" s="475">
        <f>INDEX(Input!$1:$1048576,AA$93,$C464*2+MIN($B464,2)+5)
+INDEX(Scenarios!AA$121:AA$200,MATCH($B464,Scenarios!$B$121:$B$200,0))</f>
        <v>0</v>
      </c>
      <c r="AB464" s="476">
        <f>INDEX(Input!$1:$1048576,AB$93,$C464*2+MIN($B464,2)+5)</f>
        <v>0.27</v>
      </c>
      <c r="AC464" s="475">
        <f>INDEX(Input!$1:$1048576,AC$93,$C464*2+MIN($B464,2)+5)
+INDEX(Scenarios!AC$121:AC$200,MATCH($B464,Scenarios!$B$121:$B$200,0))</f>
        <v>0</v>
      </c>
      <c r="AD464" s="476">
        <f>INDEX(Input!$1:$1048576,AD$93,$C464*2+MIN($B464,2)+5)</f>
        <v>0.27</v>
      </c>
      <c r="AE464" s="475">
        <f>INDEX(Input!$1:$1048576,AE$93,$C464*2+MIN($B464,2)+5)
+INDEX(Scenarios!AE$121:AE$200,MATCH($B464,Scenarios!$B$121:$B$200,0))</f>
        <v>0</v>
      </c>
      <c r="AF464" s="476">
        <f>INDEX(Input!$1:$1048576,AF$93,$C464*2+MIN($B464,2)+5)</f>
        <v>1</v>
      </c>
      <c r="AG464" s="475">
        <f>INDEX(Input!$1:$1048576,AG$93,$C464*2+MIN($B464,2)+5)
+INDEX(Scenarios!AG$121:AG$200,MATCH($B464,Scenarios!$B$121:$B$200,0))</f>
        <v>500</v>
      </c>
      <c r="AH464" s="476">
        <f>INDEX(Input!$1:$1048576,AH$93,$C464*2+MIN($B464,2)+5)</f>
        <v>0.83199999999999996</v>
      </c>
      <c r="AI464" s="475">
        <f>INDEX(Input!$1:$1048576,AI$93,$C464*2+MIN($B464,2)+5)
+INDEX(Scenarios!AI$121:AI$200,MATCH($B464,Scenarios!$B$121:$B$200,0))</f>
        <v>0</v>
      </c>
      <c r="AJ464" s="476">
        <f>INDEX(Input!$1:$1048576,AJ$93,$C464*2+MIN($B464,2)+5)</f>
        <v>0.27</v>
      </c>
      <c r="AK464" s="150">
        <f>ROUND(INDEX(Input!$1:$1048576,AK$93,$C463*2+MIN($B464,1)+5)+(Y464-VLOOKUP($C464*1000+1,$A:$HH,Y$92,FALSE)),0)</f>
        <v>2407</v>
      </c>
      <c r="AL464" s="150">
        <f>ROUND(INDEX(Input!$1:$1048576,AL$93,$C463*2+MIN($B464,1)+5)-(Y464-VLOOKUP($C464*1000+1,$A:$HH,Y$92,FALSE))/36,0)</f>
        <v>3411</v>
      </c>
      <c r="AM464" s="32" t="str">
        <f t="shared" si="1139"/>
        <v>std/std/std/std</v>
      </c>
      <c r="AN464" s="32" t="str">
        <f t="shared" si="1140"/>
        <v>$1000 + 0/0/0/1.9/3.9</v>
      </c>
      <c r="AO464" s="32" t="str">
        <f t="shared" si="1141"/>
        <v>0/0/0/1.9/3.9</v>
      </c>
      <c r="AP464" s="32" t="str">
        <f t="shared" si="1213"/>
        <v>0/0.9/1.9/3.9</v>
      </c>
      <c r="AQ464" s="536">
        <f t="shared" si="1207"/>
        <v>0.44175856900137378</v>
      </c>
      <c r="AR464" s="32"/>
      <c r="AS464" s="302"/>
      <c r="AT464" s="3">
        <f t="shared" si="1162"/>
        <v>64</v>
      </c>
      <c r="AU464" s="41" t="s">
        <v>121</v>
      </c>
      <c r="AV464" s="41" t="s">
        <v>116</v>
      </c>
      <c r="AW464" s="41" t="str">
        <f>INDEX(Input!$1:$1048576,AW$93,$C464*2+6)</f>
        <v>Kia</v>
      </c>
      <c r="AX464" s="41" t="str">
        <f>INDEX(Input!$1:$1048576,AX$93,$C464*2+6)</f>
        <v>Kia-LR - R1</v>
      </c>
      <c r="AY464" s="41" t="str">
        <f>IF(LEN(D464)=0,"",INDEX(Input!$1:$1048576,AY$93,$C464*2+6))</f>
        <v>Compact SUV (52)</v>
      </c>
      <c r="AZ464" s="41" t="str">
        <f>INDEX(Input!$1:$1048576,AZ$93,$C464*2+6)</f>
        <v>Kia Soul</v>
      </c>
      <c r="BA464" s="3">
        <f>INDEX(Input!$1:$1048576,BA$93,$C464*2+6)</f>
        <v>2020</v>
      </c>
      <c r="BB464" s="128">
        <f>INDEX(Input!$1:$1048576,BB$93,$C464*2+6)</f>
        <v>1</v>
      </c>
      <c r="BC464" s="128">
        <f>INDEX(Input!$1:$1048576,BC$93,$C464*2+6)</f>
        <v>0.7</v>
      </c>
      <c r="BD464" s="1">
        <f>INDEX(Input!$1:$1048576,BD$93,$C464*2+6)</f>
        <v>4.4999999999999998E-2</v>
      </c>
      <c r="BE464" s="1">
        <f>INDEX(Input!$1:$1048576,BE$93,$C464*2+6)</f>
        <v>4.4999999999999998E-2</v>
      </c>
      <c r="BF464" s="1">
        <f>INDEX(Input!$1:$1048576,BF$93,$C464*2+6)</f>
        <v>0.05</v>
      </c>
      <c r="BG464" s="1">
        <f>INDEX(Input!$1:$1048576,BG$93,$C464*2+6)</f>
        <v>5.45E-2</v>
      </c>
      <c r="BH464" s="1">
        <f>INDEX(Input!$1:$1048576,BH$93,$C464*2+6)</f>
        <v>5.45E-2</v>
      </c>
      <c r="BI464" s="1">
        <f>INDEX(Input!$1:$1048576,BI$93,$C464*2+6)</f>
        <v>0.05</v>
      </c>
      <c r="BJ464" s="1">
        <f>INDEX(Input!$1:$1048576,BJ$93,$C464*2+6)</f>
        <v>0.05</v>
      </c>
      <c r="BK464" s="1">
        <f>INDEX(Input!$1:$1048576,BK$93,$C464*2+6)</f>
        <v>0.05</v>
      </c>
      <c r="BL464" s="1">
        <f>INDEX(Input!$1:$1048576,BL$93,$C464*2+6)</f>
        <v>5.5E-2</v>
      </c>
      <c r="BM464" s="1">
        <f>INDEX(Input!$1:$1048576,BM$93,$C464*2+6)</f>
        <v>0.06</v>
      </c>
      <c r="BN464" s="1">
        <f>INDEX(Input!$1:$1048576,BN$93,$C464*2+6)</f>
        <v>4.4999999999999998E-2</v>
      </c>
      <c r="BO464" s="1">
        <f>INDEX(Input!$1:$1048576,BO$93,$C464*2+6)</f>
        <v>4.4999999999999998E-2</v>
      </c>
      <c r="BP464" s="1">
        <f>INDEX(Input!$1:$1048576,BP$93,$C464*2+6)</f>
        <v>0.05</v>
      </c>
      <c r="BQ464" s="1">
        <f>INDEX(Input!$1:$1048576,BQ$93,$C464*2+6)</f>
        <v>5.45E-2</v>
      </c>
      <c r="BR464" s="1">
        <f>INDEX(Input!$1:$1048576,BR$93,$C464*2+6)</f>
        <v>5.45E-2</v>
      </c>
      <c r="BS464" s="1">
        <f>INDEX(Input!$1:$1048576,BS$93,$C464*2+6)</f>
        <v>0.05</v>
      </c>
      <c r="BT464" s="1">
        <f>INDEX(Input!$1:$1048576,BT$93,$C464*2+6)</f>
        <v>0.05</v>
      </c>
      <c r="BU464" s="1">
        <f>INDEX(Input!$1:$1048576,BU$93,$C464*2+6)</f>
        <v>0.05</v>
      </c>
      <c r="BV464" s="1">
        <f>INDEX(Input!$1:$1048576,BV$93,$C464*2+6)</f>
        <v>5.5E-2</v>
      </c>
      <c r="BW464" s="1">
        <f>INDEX(Input!$1:$1048576,BW$93,$C464*2+6)</f>
        <v>0.06</v>
      </c>
      <c r="BX464" s="127">
        <f>INDEX(Input!$1:$1048576,BX$93,$C464*2+6)</f>
        <v>19985</v>
      </c>
      <c r="BY464" s="20">
        <f>INDEX(Input!$1:$1048576,BY$93,$C464*2+6)</f>
        <v>0.1</v>
      </c>
      <c r="BZ464" s="20">
        <f>INDEX(Input!$1:$1048576,BZ$93,$C464*2+6)</f>
        <v>0.1</v>
      </c>
      <c r="CA464" s="20">
        <f>INDEX(Input!$1:$1048576,CA$93,$C464*2+6)</f>
        <v>0.1</v>
      </c>
      <c r="CB464" s="20">
        <f>INDEX(Input!$1:$1048576,CB$93,$C464*2+6)</f>
        <v>0.1</v>
      </c>
      <c r="CC464" s="20">
        <f>INDEX(Input!$1:$1048576,CC$93,$C464*2+6)</f>
        <v>0.1</v>
      </c>
      <c r="CD464" s="384">
        <f>INDEX(Input!$1:$1048576,CD$93,$C464*2+6)</f>
        <v>0.1</v>
      </c>
      <c r="CE464" s="384">
        <f>INDEX(Input!$1:$1048576,CE$93,$C464*2+6)</f>
        <v>0.1</v>
      </c>
      <c r="CF464" s="384">
        <f>INDEX(Input!$1:$1048576,CF$93,$C464*2+6)</f>
        <v>0.1</v>
      </c>
      <c r="CG464" s="384">
        <f>INDEX(Input!$1:$1048576,CG$93,$C464*2+6)</f>
        <v>0.1</v>
      </c>
      <c r="CH464" s="384">
        <f>INDEX(Input!$1:$1048576,CH$93,$C464*2+6)</f>
        <v>0.1</v>
      </c>
      <c r="CI464" s="304">
        <f t="shared" si="1214"/>
        <v>2256.832975525977</v>
      </c>
      <c r="CJ464" s="16" t="str">
        <f>INDEX(Input!$1:$1048576,CJ$93,$C464*2+6)</f>
        <v>N</v>
      </c>
      <c r="CK464" s="1" t="str">
        <f t="shared" si="1215"/>
        <v>Market</v>
      </c>
      <c r="CL464" s="1" t="str">
        <f t="shared" si="1216"/>
        <v>Market</v>
      </c>
      <c r="CM464" s="1" t="str">
        <f t="shared" si="1217"/>
        <v>Market</v>
      </c>
      <c r="CN464" s="1" t="str">
        <f t="shared" si="1218"/>
        <v>Market</v>
      </c>
      <c r="CO464" s="1" t="str">
        <f t="shared" si="1219"/>
        <v>Market</v>
      </c>
      <c r="CP464" s="304">
        <f t="shared" si="1220"/>
        <v>1416</v>
      </c>
      <c r="CQ464" s="1">
        <f t="shared" si="1221"/>
        <v>0</v>
      </c>
      <c r="CR464" s="1">
        <f t="shared" si="1222"/>
        <v>0</v>
      </c>
      <c r="CS464" s="1">
        <f t="shared" si="1223"/>
        <v>0</v>
      </c>
      <c r="CT464" s="1">
        <f t="shared" si="1224"/>
        <v>1.9E-2</v>
      </c>
      <c r="CU464" s="1">
        <f t="shared" si="1225"/>
        <v>3.9E-2</v>
      </c>
      <c r="CV464" s="304">
        <f t="shared" si="1226"/>
        <v>-1050</v>
      </c>
      <c r="CW464" s="20" t="s">
        <v>122</v>
      </c>
      <c r="CX464" s="20" t="s">
        <v>122</v>
      </c>
      <c r="CY464" s="20" t="s">
        <v>122</v>
      </c>
      <c r="CZ464" s="20" t="s">
        <v>122</v>
      </c>
      <c r="DA464" s="20" t="s">
        <v>122</v>
      </c>
      <c r="DB464" s="503">
        <f t="shared" si="1227"/>
        <v>0</v>
      </c>
      <c r="DC464" s="127">
        <v>0</v>
      </c>
      <c r="DD464" s="127">
        <v>0</v>
      </c>
      <c r="DE464" s="127">
        <v>0</v>
      </c>
      <c r="DF464" s="127">
        <v>0</v>
      </c>
      <c r="DG464" s="127">
        <v>0</v>
      </c>
      <c r="DH464" s="127">
        <v>0</v>
      </c>
      <c r="DI464" s="127">
        <v>0</v>
      </c>
      <c r="DJ464" s="127">
        <v>0</v>
      </c>
      <c r="DK464" s="127">
        <v>0</v>
      </c>
      <c r="DL464" s="127">
        <v>0</v>
      </c>
      <c r="DM464" s="304">
        <f>INDEX(Input!$1:$1048576,DM$93,$C464*2+6)</f>
        <v>21036.84210526316</v>
      </c>
      <c r="DN464" s="20">
        <v>0</v>
      </c>
      <c r="DO464" s="20">
        <v>0</v>
      </c>
      <c r="DP464" s="20">
        <v>0</v>
      </c>
      <c r="DQ464" s="20">
        <v>0</v>
      </c>
      <c r="DR464" s="20">
        <v>0</v>
      </c>
      <c r="DS464" s="20">
        <f>INDEX(Input!$1:$1048576,DS$93,$C464*2+6)</f>
        <v>0.6</v>
      </c>
      <c r="DT464" s="20">
        <f>INDEX(Input!$1:$1048576,DT$93,$C464*2+6)</f>
        <v>0.55000000000000004</v>
      </c>
      <c r="DU464" s="20">
        <f>INDEX(Input!$1:$1048576,DU$93,$C464*2+6)</f>
        <v>0.52</v>
      </c>
      <c r="DV464" s="20">
        <f>INDEX(Input!$1:$1048576,DV$93,$C464*2+6)</f>
        <v>0.5</v>
      </c>
      <c r="DW464" s="20">
        <f>INDEX(Input!$1:$1048576,DW$93,$C464*2+6)</f>
        <v>0.45</v>
      </c>
      <c r="DX464" s="20"/>
      <c r="DY464" s="7">
        <v>0.11505140130144198</v>
      </c>
      <c r="DZ464" s="7">
        <v>0</v>
      </c>
      <c r="EA464" s="7">
        <v>0.81210558734192795</v>
      </c>
      <c r="EB464" s="7">
        <v>0</v>
      </c>
      <c r="EC464" s="7">
        <v>0</v>
      </c>
      <c r="ED464" s="7">
        <v>0</v>
      </c>
      <c r="EE464" s="7">
        <v>0</v>
      </c>
      <c r="EF464" s="7">
        <v>0</v>
      </c>
      <c r="EG464" s="7">
        <v>0</v>
      </c>
      <c r="EH464" s="7">
        <v>1.2286911136790575E-2</v>
      </c>
      <c r="EI464" s="7">
        <v>3.2113238754732265E-2</v>
      </c>
      <c r="EJ464" s="7">
        <v>0.22542761176951767</v>
      </c>
      <c r="EK464" s="7">
        <v>0.59305935597712478</v>
      </c>
      <c r="EL464" s="7">
        <v>0.13711288236183555</v>
      </c>
      <c r="EM464" s="7">
        <v>4.399174489170346E-2</v>
      </c>
      <c r="EN464" s="7">
        <v>4.988119802209226E-2</v>
      </c>
      <c r="EO464" s="7">
        <v>0.70705958834245231</v>
      </c>
      <c r="EP464" s="7">
        <v>0.10536936731061781</v>
      </c>
      <c r="EQ464" s="7">
        <v>9.2416840737261446E-2</v>
      </c>
      <c r="ER464" s="7">
        <v>4.5273005587575674E-2</v>
      </c>
      <c r="ES464" s="7">
        <v>2.8851266464926559E-2</v>
      </c>
      <c r="ET464" s="7">
        <v>7.2843011356630127E-2</v>
      </c>
      <c r="EU464" s="6">
        <v>2770</v>
      </c>
      <c r="EV464" s="6">
        <v>0</v>
      </c>
      <c r="EW464" s="6">
        <v>2770</v>
      </c>
      <c r="EX464" s="6">
        <v>0</v>
      </c>
      <c r="EY464" s="6">
        <v>3483.6441518948332</v>
      </c>
      <c r="EZ464" s="6">
        <v>327</v>
      </c>
      <c r="FA464" s="6">
        <v>0</v>
      </c>
      <c r="FB464" s="6">
        <v>0</v>
      </c>
      <c r="FC464" s="6">
        <v>0</v>
      </c>
      <c r="FD464" s="6">
        <v>0</v>
      </c>
      <c r="FE464" s="6">
        <v>0</v>
      </c>
      <c r="FF464" s="6">
        <v>0</v>
      </c>
      <c r="FG464" s="6">
        <v>0</v>
      </c>
      <c r="FH464" s="6">
        <v>1169.8069583494589</v>
      </c>
      <c r="FI464" s="6">
        <v>1553.9796069512404</v>
      </c>
      <c r="FJ464" s="6">
        <v>2101.2110117447419</v>
      </c>
      <c r="FK464" s="6">
        <v>1772.7139978623234</v>
      </c>
      <c r="FL464" s="6">
        <v>907.07682140966381</v>
      </c>
      <c r="FM464" s="6">
        <v>1713.6441518948329</v>
      </c>
      <c r="FN464" s="6">
        <v>0</v>
      </c>
      <c r="FO464" s="6">
        <v>0</v>
      </c>
      <c r="FP464" s="6">
        <v>0</v>
      </c>
      <c r="FQ464" s="6">
        <v>0</v>
      </c>
      <c r="FR464" s="6">
        <v>0</v>
      </c>
      <c r="FS464" s="6">
        <v>0</v>
      </c>
      <c r="FT464" s="7">
        <v>0.92715698864336993</v>
      </c>
      <c r="FU464" s="7">
        <v>4.399174489170346E-2</v>
      </c>
      <c r="FV464" s="7">
        <v>2.8851266464926559E-2</v>
      </c>
      <c r="FW464" s="6">
        <v>2770</v>
      </c>
      <c r="FX464" s="6">
        <v>3483.6441518948332</v>
      </c>
      <c r="FY464" s="6">
        <v>327</v>
      </c>
      <c r="FZ464" s="6">
        <v>1949.5716051445115</v>
      </c>
      <c r="GA464" s="6">
        <v>2730.910807499798</v>
      </c>
      <c r="GB464" s="6">
        <v>17254.089192500203</v>
      </c>
      <c r="GC464" s="7">
        <v>3.3872851927908169E-2</v>
      </c>
      <c r="GD464" s="7">
        <v>3.7459033584871293E-2</v>
      </c>
      <c r="GE464" s="7"/>
      <c r="GF464" s="7"/>
      <c r="GG464" s="7">
        <v>0.10587185468160813</v>
      </c>
      <c r="GH464" s="42">
        <v>2.7079775460310653</v>
      </c>
      <c r="GI464" s="6">
        <v>10110.957229705522</v>
      </c>
      <c r="GJ464" s="14">
        <v>0.50394797582841711</v>
      </c>
      <c r="GK464" s="14">
        <v>0.5088757306530971</v>
      </c>
      <c r="GL464" s="14">
        <v>0.49605202417158251</v>
      </c>
      <c r="GM464" s="14">
        <v>0.49112426934690212</v>
      </c>
      <c r="GO464" s="5">
        <v>343.14810671672558</v>
      </c>
      <c r="GP464" s="5">
        <v>290.30179111306006</v>
      </c>
      <c r="GQ464" s="5">
        <v>535.04305713031317</v>
      </c>
      <c r="GR464" s="5">
        <v>410.15490233172511</v>
      </c>
      <c r="GS464" s="5">
        <v>339.42744393800166</v>
      </c>
      <c r="GT464" s="5">
        <v>293.4407446948278</v>
      </c>
      <c r="GU464" s="5">
        <v>258.04012322764959</v>
      </c>
      <c r="GV464" s="39" t="s">
        <v>392</v>
      </c>
      <c r="GW464" s="5">
        <v>450.45833333333331</v>
      </c>
      <c r="GX464" s="5">
        <v>337.84375</v>
      </c>
      <c r="GY464" s="5">
        <v>270.27499999999998</v>
      </c>
      <c r="GZ464" s="5">
        <v>238.48916616741096</v>
      </c>
      <c r="HA464" s="5">
        <v>220.91451012583784</v>
      </c>
      <c r="HB464" s="39">
        <v>249.0399028227167</v>
      </c>
      <c r="HC464" s="5">
        <v>272.97812499999998</v>
      </c>
      <c r="HD464" s="5">
        <v>230.04080774853799</v>
      </c>
      <c r="HE464" s="5">
        <v>231.89700151821859</v>
      </c>
      <c r="HF464" s="5">
        <v>213.34688048245613</v>
      </c>
      <c r="HG464" s="5">
        <v>204.36388157894737</v>
      </c>
      <c r="HH464" s="39">
        <v>229.67288689663604</v>
      </c>
      <c r="HI464" s="16"/>
      <c r="HJ464" s="19" t="str">
        <f t="shared" ref="HJ464" si="1253">HJ463</f>
        <v>On</v>
      </c>
      <c r="HK464" s="1" t="str">
        <f t="shared" si="1239"/>
        <v>On</v>
      </c>
      <c r="HL464" s="16"/>
      <c r="HM464" s="639">
        <f t="shared" si="1110"/>
        <v>2.9403358434788716E-2</v>
      </c>
      <c r="HN464" s="639">
        <f t="shared" si="1111"/>
        <v>1.4106809950923669E-3</v>
      </c>
      <c r="HO464" s="639">
        <f t="shared" si="1112"/>
        <v>1.7317923025048877E-3</v>
      </c>
      <c r="HP464" s="644">
        <f>(FT464*$GD464-HM464)/$JF464*INDEX(Input!$1:$1048576,$JG$93,$C464*2+6)</f>
        <v>381.20675577723171</v>
      </c>
      <c r="HQ464" s="644">
        <f>(FU464*$GD464-HN464)/$JF464*INDEX(Input!$1:$1048576,$JG$93,$C464*2+6)</f>
        <v>16.974698932916983</v>
      </c>
      <c r="HR464" s="644">
        <f>(FV464*$GD464-HO464)/$JF464*INDEX(Input!$1:$1048576,$JG$93,$C464*2+6)</f>
        <v>-46.589668439967951</v>
      </c>
      <c r="HS464" s="644">
        <f t="shared" si="1246"/>
        <v>-168.07798756208334</v>
      </c>
      <c r="HT464" s="644">
        <f t="shared" si="1114"/>
        <v>205.00799622475554</v>
      </c>
      <c r="HU464" s="644">
        <f t="shared" si="1115"/>
        <v>12.767672777274308</v>
      </c>
      <c r="HV464" s="648">
        <f t="shared" si="1116"/>
        <v>0</v>
      </c>
      <c r="HW464" s="648">
        <f t="shared" si="1117"/>
        <v>0</v>
      </c>
      <c r="HX464" s="648">
        <f t="shared" si="1118"/>
        <v>0</v>
      </c>
      <c r="HY464" s="644">
        <f>INDEX(Input!$1:$1048576,HY$93,$C464*2+6)*INDEX(Input!$1:$1048576,$JG$93,$C464*2+6)</f>
        <v>993</v>
      </c>
      <c r="HZ464" s="644">
        <f>INDEX(Input!$1:$1048576,HZ$93,$C464*2+6)*INDEX(Input!$1:$1048576,$JG$93,$C464*2+6)</f>
        <v>1216</v>
      </c>
      <c r="IA464" s="644">
        <f>INDEX(Input!$1:$1048576,IA$93,$C464*2+6)*INDEX(Input!$1:$1048576,$JG$93,$C464*2+6)</f>
        <v>120</v>
      </c>
      <c r="IB464" s="644">
        <f t="shared" si="1142"/>
        <v>1206.1287682151483</v>
      </c>
      <c r="IC464" s="644">
        <f t="shared" si="1143"/>
        <v>1437.9826951576724</v>
      </c>
      <c r="ID464" s="644">
        <f>IF(AND(INDEX(Input!$1:$1048576,IA$93,$C464*2+7)="TOS",Y464&lt;=INDEX(Y:Y,MATCH(C464*1000+2,A:A))),0,1)*MAX(IA464+HR464+HU464+HX464,0%)</f>
        <v>86.178004337306362</v>
      </c>
      <c r="IE464" s="128">
        <f t="shared" si="1247"/>
        <v>0.44175856900137378</v>
      </c>
      <c r="IF464" s="128">
        <f t="shared" si="1248"/>
        <v>0.52667774320782823</v>
      </c>
      <c r="IG464" s="128">
        <f t="shared" si="1120"/>
        <v>3.1563687790797948E-2</v>
      </c>
      <c r="IH464" s="21"/>
      <c r="II464" s="19">
        <f t="shared" si="1121"/>
        <v>1490</v>
      </c>
      <c r="IJ464" s="19">
        <f t="shared" si="1122"/>
        <v>2203.2561351629856</v>
      </c>
      <c r="IK464" s="19">
        <f t="shared" si="1123"/>
        <v>242</v>
      </c>
      <c r="IL464" s="19">
        <f t="shared" si="1145"/>
        <v>1280</v>
      </c>
      <c r="IM464" s="19">
        <f t="shared" si="1124"/>
        <v>1280.3880167318475</v>
      </c>
      <c r="IN464" s="19">
        <f t="shared" si="1125"/>
        <v>85</v>
      </c>
      <c r="IO464" s="39">
        <f t="shared" si="1126"/>
        <v>0</v>
      </c>
      <c r="IP464" s="39">
        <f t="shared" si="1127"/>
        <v>0</v>
      </c>
      <c r="IQ464" s="39">
        <f t="shared" si="1128"/>
        <v>0</v>
      </c>
      <c r="IR464" s="39">
        <v>0</v>
      </c>
      <c r="IS464" s="39">
        <v>0</v>
      </c>
      <c r="IT464" s="39">
        <v>0</v>
      </c>
      <c r="IU464" s="39">
        <v>0</v>
      </c>
      <c r="IV464" s="39">
        <v>0</v>
      </c>
      <c r="IW464" s="39">
        <v>0</v>
      </c>
      <c r="IX464" s="39">
        <f>INDEX(Input!$1:$1048576,IX$93,$C464*2+6)+INDEX(Input!$1:$1048576,IX$94,$C464*2+6)</f>
        <v>1770</v>
      </c>
      <c r="IY464" s="39">
        <f>INDEX(Input!$1:$1048576,IY$93,$C464*2+6)+INDEX(Input!$1:$1048576,IY$94,$C464*2+6)</f>
        <v>2630.0624533823611</v>
      </c>
      <c r="IZ464" s="39">
        <f>INDEX(Input!$1:$1048576,IZ$93,$C464*2+6)+INDEX(Input!$1:$1048576,IZ$94,$C464*2+6)</f>
        <v>4153.7164157747848</v>
      </c>
      <c r="JA464" s="19">
        <f t="shared" si="1146"/>
        <v>3050</v>
      </c>
      <c r="JB464" s="19">
        <f t="shared" si="1147"/>
        <v>3910.4504701142087</v>
      </c>
      <c r="JC464" s="19">
        <f t="shared" si="1148"/>
        <v>4238.7164157747848</v>
      </c>
      <c r="JD464" s="19">
        <f t="shared" si="1149"/>
        <v>3540.7003855611779</v>
      </c>
      <c r="JE464" s="21"/>
      <c r="JF464" s="1">
        <f t="shared" si="1129"/>
        <v>3.2545831732385969E-2</v>
      </c>
      <c r="JG464" s="15">
        <f>INDEX(Input!$1:$1048576,JG$93,$C464*2+6)/(1+VLOOKUP(C464*1000+INDEX(Input!$1:$1048576,JG$93+1,$C464*2+6),$A:$KK,$JK$92,FALSE))</f>
        <v>2329</v>
      </c>
      <c r="JH464" s="1">
        <f t="shared" si="1150"/>
        <v>0.1509625531430574</v>
      </c>
      <c r="JI464" s="1">
        <f t="shared" si="1151"/>
        <v>2.1338635225395669E-2</v>
      </c>
      <c r="JJ464" s="1">
        <f t="shared" si="1249"/>
        <v>0</v>
      </c>
      <c r="JK464" s="1">
        <f t="shared" si="1250"/>
        <v>0.17230118836845307</v>
      </c>
      <c r="JL464" s="15">
        <f t="shared" si="1154"/>
        <v>401.28946771012721</v>
      </c>
      <c r="JM464" s="15">
        <f t="shared" si="1180"/>
        <v>2730.2894677101272</v>
      </c>
      <c r="JN464" s="21"/>
      <c r="JO464" s="19">
        <f>INDEX(Input!$1:$1048576,JO$93,$C464*2+6)</f>
        <v>5995.5</v>
      </c>
      <c r="JP464" s="19">
        <f>INDEX(Input!$1:$1048576,JP$93,$C464*2+6)</f>
        <v>2341.8685758720158</v>
      </c>
      <c r="JQ464" s="39">
        <f t="shared" si="1166"/>
        <v>2454.7996144388221</v>
      </c>
      <c r="JR464" s="39">
        <f t="shared" si="1183"/>
        <v>1198.8318096891621</v>
      </c>
      <c r="JS464" s="39">
        <f t="shared" si="1168"/>
        <v>9.6671369710148696</v>
      </c>
      <c r="JT464" s="39">
        <f t="shared" si="1156"/>
        <v>4.2129250578089463</v>
      </c>
      <c r="JU464" s="385">
        <f>(JQ464*JM464-INDEX(Input!$1:$1048576,Input!A$18,$C464*2+6)*JL464*INDEX(Input!$1:$1048576,Input!A$19,$C464*2+6))/1000000</f>
        <v>6.7023135326411962</v>
      </c>
      <c r="JV464" s="39">
        <f t="shared" si="1190"/>
        <v>-1.8069940541528782</v>
      </c>
      <c r="JW464" s="1">
        <f t="shared" si="1181"/>
        <v>-0.2123550048839723</v>
      </c>
      <c r="JX464" s="19">
        <f t="shared" si="1172"/>
        <v>10498.469052400267</v>
      </c>
      <c r="JZ464" s="341"/>
      <c r="KA464" s="342"/>
      <c r="KB464" s="469">
        <f t="shared" si="1169"/>
        <v>2.3434325605641804</v>
      </c>
      <c r="KI464" s="473">
        <f t="shared" si="1251"/>
        <v>213.12876821514828</v>
      </c>
      <c r="KJ464" s="473">
        <f t="shared" si="1252"/>
        <v>221.98269515767242</v>
      </c>
      <c r="KK464" s="473">
        <f t="shared" si="1158"/>
        <v>-33.821995662693638</v>
      </c>
      <c r="KN464" s="544">
        <f t="shared" si="1173"/>
        <v>4002</v>
      </c>
      <c r="KO464" s="541">
        <f t="shared" si="1133"/>
        <v>0.12886635606550945</v>
      </c>
      <c r="KP464" s="546">
        <f t="shared" si="1134"/>
        <v>962.93446460061773</v>
      </c>
      <c r="KQ464" s="546">
        <f t="shared" si="1135"/>
        <v>915.92919752515672</v>
      </c>
      <c r="KR464" s="548">
        <f t="shared" si="1136"/>
        <v>2.3232623918899149</v>
      </c>
      <c r="KS464" s="548">
        <f t="shared" si="1137"/>
        <v>2.4424916614800032</v>
      </c>
      <c r="KT464" s="473">
        <f t="shared" si="1171"/>
        <v>1580.0986321700548</v>
      </c>
      <c r="KU464" s="663">
        <f t="shared" si="1159"/>
        <v>4.1087285043906716</v>
      </c>
    </row>
    <row r="465" spans="1:307" s="26" customFormat="1" ht="15" outlineLevel="1">
      <c r="A465" s="561">
        <f t="shared" si="1138"/>
        <v>4065</v>
      </c>
      <c r="B465" s="561">
        <f t="shared" si="1160"/>
        <v>65</v>
      </c>
      <c r="C465" s="561">
        <f t="shared" si="1161"/>
        <v>4</v>
      </c>
      <c r="D465" s="561" t="str">
        <f t="shared" si="1206"/>
        <v xml:space="preserve">500 CC, 500 Combo, -360 Lease, </v>
      </c>
      <c r="E465" s="475">
        <f>INDEX(Input!$1:$1048576,E$93,$C465*2+MIN($B465,2)+5)
+INDEX(Scenarios!E$121:E$200,MATCH($B465,Scenarios!$B$121:$B$200,0))</f>
        <v>1756.832975525977</v>
      </c>
      <c r="F465" s="475">
        <f>INDEX(Input!$1:$1048576,F$93,$C465*2+MIN($B465,2)+5)
+INDEX(Scenarios!F$121:F$200,MATCH($B465,Scenarios!$B$121:$B$200,0))</f>
        <v>0</v>
      </c>
      <c r="G465" s="475">
        <f>INDEX(Input!$1:$1048576,G$93,$C465*2+MIN($B465,2)+5)
+INDEX(Scenarios!G$121:G$200,MATCH($B465,Scenarios!$B$121:$B$200,0))</f>
        <v>0</v>
      </c>
      <c r="H465" s="475">
        <f>INDEX(Input!$1:$1048576,H$93,$C465*2+MIN($B465,2)+5)
+INDEX(Scenarios!H$121:H$200,MATCH($B465,Scenarios!$B$121:$B$200,0))</f>
        <v>0</v>
      </c>
      <c r="I465" s="476">
        <f>INDEX(Input!$1:$1048576,I$93,$C465*2+MIN($B465,2)+5)</f>
        <v>0.7</v>
      </c>
      <c r="J465" s="476" t="str">
        <f>INDEX(Input!$1:$1048576,J$93,$C465*2+MIN($B465,2)+5)</f>
        <v>Market</v>
      </c>
      <c r="K465" s="476" t="str">
        <f>INDEX(Input!$1:$1048576,K$93,$C465*2+MIN($B465,2)+5)</f>
        <v>Market</v>
      </c>
      <c r="L465" s="476" t="str">
        <f>INDEX(Input!$1:$1048576,L$93,$C465*2+MIN($B465,2)+5)</f>
        <v>Market</v>
      </c>
      <c r="M465" s="476" t="str">
        <f>INDEX(Input!$1:$1048576,M$93,$C465*2+MIN($B465,2)+5)</f>
        <v>Market</v>
      </c>
      <c r="N465" s="476" t="str">
        <f>INDEX(Input!$1:$1048576,N$93,$C465*2+MIN($B465,2)+5)</f>
        <v>Market</v>
      </c>
      <c r="O465" s="476" t="str">
        <f>INDEX(Input!$1:$1048576,O$93,$C465*2+MIN($B465,2)+5)</f>
        <v>Market</v>
      </c>
      <c r="P465" s="476" t="str">
        <f>INDEX(Input!$1:$1048576,P$93,$C465*2+MIN($B465,2)+5)</f>
        <v>N</v>
      </c>
      <c r="Q465" s="477">
        <f>INDEX(Input!$1:$1048576,Q$93,$C465*2+MIN($B465,2)+5)
+INDEX(Scenarios!Q$121:Q$200,MATCH($B465,Scenarios!$B$121:$B$200,0))</f>
        <v>500</v>
      </c>
      <c r="R465" s="478">
        <f>IFERROR(MAX(0,INDEX(Input!$1:$1048576,R$93,$C465*2+MIN($B465,2)+5)
+INDEX(Scenarios!R$121:R$200,MATCH($B465,Scenarios!$B$121:$B$200,0)),),"Market")</f>
        <v>0</v>
      </c>
      <c r="S465" s="478">
        <f>IFERROR(MAX(0,INDEX(Input!$1:$1048576,S$93,$C465*2+MIN($B465,2)+5)
+INDEX(Scenarios!S$121:S$200,MATCH($B465,Scenarios!$B$121:$B$200,0)),),"Market")</f>
        <v>0</v>
      </c>
      <c r="T465" s="478">
        <f>IFERROR(MAX(0,INDEX(Input!$1:$1048576,T$93,$C465*2+MIN($B465,2)+5)
+INDEX(Scenarios!T$121:T$200,MATCH($B465,Scenarios!$B$121:$B$200,0)),),"Market")</f>
        <v>0</v>
      </c>
      <c r="U465" s="478">
        <f>IFERROR(MAX(0,INDEX(Input!$1:$1048576,U$93,$C465*2+MIN($B465,2)+5)
+INDEX(Scenarios!U$121:U$200,MATCH($B465,Scenarios!$B$121:$B$200,0)),),"Market")</f>
        <v>0</v>
      </c>
      <c r="V465" s="478">
        <f>IFERROR(MAX(0,INDEX(Input!$1:$1048576,V$93,$C465*2+MIN($B465,2)+5)
+INDEX(Scenarios!V$121:V$200,MATCH($B465,Scenarios!$B$121:$B$200,0)),),"Market")</f>
        <v>1.9E-2</v>
      </c>
      <c r="W465" s="885">
        <f>IFERROR(MAX(0,INDEX(Input!$1:$1048576,W$93,$C465*2+MIN($B465,2)+5)-0%,),"Market")</f>
        <v>3.9E-2</v>
      </c>
      <c r="X465" s="476" t="str">
        <f>INDEX(Input!$1:$1048576,X$93,$C465*2+MIN($B465,2)+5)</f>
        <v>Y</v>
      </c>
      <c r="Y465" s="475">
        <f>INDEX(Input!$1:$1048576,Y$93,$C465*2+MIN($B465,2)+5)
++INDEX(Scenarios!Y$121:Y$200,MATCH($B465,Scenarios!$B$121:$B$200,0))</f>
        <v>-1230</v>
      </c>
      <c r="Z465" s="477">
        <f>INDEX(Input!$1:$1048576,Z$93,$C465*2+MIN($B465,2)+5)
+INDEX(Scenarios!Z$121:Z$200,MATCH($B465,Scenarios!$B$121:$B$200,0))</f>
        <v>0</v>
      </c>
      <c r="AA465" s="475">
        <f>INDEX(Input!$1:$1048576,AA$93,$C465*2+MIN($B465,2)+5)
+INDEX(Scenarios!AA$121:AA$200,MATCH($B465,Scenarios!$B$121:$B$200,0))</f>
        <v>0</v>
      </c>
      <c r="AB465" s="476">
        <f>INDEX(Input!$1:$1048576,AB$93,$C465*2+MIN($B465,2)+5)</f>
        <v>0.27</v>
      </c>
      <c r="AC465" s="475">
        <f>INDEX(Input!$1:$1048576,AC$93,$C465*2+MIN($B465,2)+5)
+INDEX(Scenarios!AC$121:AC$200,MATCH($B465,Scenarios!$B$121:$B$200,0))</f>
        <v>0</v>
      </c>
      <c r="AD465" s="476">
        <f>INDEX(Input!$1:$1048576,AD$93,$C465*2+MIN($B465,2)+5)</f>
        <v>0.27</v>
      </c>
      <c r="AE465" s="475">
        <f>INDEX(Input!$1:$1048576,AE$93,$C465*2+MIN($B465,2)+5)
+INDEX(Scenarios!AE$121:AE$200,MATCH($B465,Scenarios!$B$121:$B$200,0))</f>
        <v>0</v>
      </c>
      <c r="AF465" s="476">
        <f>INDEX(Input!$1:$1048576,AF$93,$C465*2+MIN($B465,2)+5)</f>
        <v>1</v>
      </c>
      <c r="AG465" s="475">
        <f>INDEX(Input!$1:$1048576,AG$93,$C465*2+MIN($B465,2)+5)
+INDEX(Scenarios!AG$121:AG$200,MATCH($B465,Scenarios!$B$121:$B$200,0))</f>
        <v>500</v>
      </c>
      <c r="AH465" s="476">
        <f>INDEX(Input!$1:$1048576,AH$93,$C465*2+MIN($B465,2)+5)</f>
        <v>0.83199999999999996</v>
      </c>
      <c r="AI465" s="475">
        <f>INDEX(Input!$1:$1048576,AI$93,$C465*2+MIN($B465,2)+5)
+INDEX(Scenarios!AI$121:AI$200,MATCH($B465,Scenarios!$B$121:$B$200,0))</f>
        <v>0</v>
      </c>
      <c r="AJ465" s="476">
        <f>INDEX(Input!$1:$1048576,AJ$93,$C465*2+MIN($B465,2)+5)</f>
        <v>0.27</v>
      </c>
      <c r="AK465" s="150">
        <f>ROUND(INDEX(Input!$1:$1048576,AK$93,$C464*2+MIN($B465,1)+5)+(Y465-VLOOKUP($C465*1000+1,$A:$HH,Y$92,FALSE)),0)</f>
        <v>2227</v>
      </c>
      <c r="AL465" s="150">
        <f>ROUND(INDEX(Input!$1:$1048576,AL$93,$C464*2+MIN($B465,1)+5)-(Y465-VLOOKUP($C465*1000+1,$A:$HH,Y$92,FALSE))/36,0)</f>
        <v>3416</v>
      </c>
      <c r="AM465" s="32" t="str">
        <f t="shared" si="1139"/>
        <v>std/std/std/std</v>
      </c>
      <c r="AN465" s="32" t="str">
        <f t="shared" si="1140"/>
        <v>$500 + 0/0/0/1.9/3.9</v>
      </c>
      <c r="AO465" s="32" t="str">
        <f t="shared" si="1141"/>
        <v>0/0/0/1.9/3.9</v>
      </c>
      <c r="AP465" s="32" t="str">
        <f t="shared" si="1213"/>
        <v>0/0.9/1.9/3.9</v>
      </c>
      <c r="AQ465" s="536">
        <f t="shared" si="1207"/>
        <v>0.43817966789330914</v>
      </c>
      <c r="AR465" s="32"/>
      <c r="AS465" s="302"/>
      <c r="AT465" s="3">
        <f t="shared" si="1162"/>
        <v>65</v>
      </c>
      <c r="AU465" s="41" t="s">
        <v>121</v>
      </c>
      <c r="AV465" s="41" t="s">
        <v>116</v>
      </c>
      <c r="AW465" s="41" t="str">
        <f>INDEX(Input!$1:$1048576,AW$93,$C465*2+6)</f>
        <v>Kia</v>
      </c>
      <c r="AX465" s="41" t="str">
        <f>INDEX(Input!$1:$1048576,AX$93,$C465*2+6)</f>
        <v>Kia-LR - R1</v>
      </c>
      <c r="AY465" s="41" t="str">
        <f>IF(LEN(D465)=0,"",INDEX(Input!$1:$1048576,AY$93,$C465*2+6))</f>
        <v>Compact SUV (52)</v>
      </c>
      <c r="AZ465" s="41" t="str">
        <f>INDEX(Input!$1:$1048576,AZ$93,$C465*2+6)</f>
        <v>Kia Soul</v>
      </c>
      <c r="BA465" s="3">
        <f>INDEX(Input!$1:$1048576,BA$93,$C465*2+6)</f>
        <v>2020</v>
      </c>
      <c r="BB465" s="128">
        <f>INDEX(Input!$1:$1048576,BB$93,$C465*2+6)</f>
        <v>1</v>
      </c>
      <c r="BC465" s="128">
        <f>INDEX(Input!$1:$1048576,BC$93,$C465*2+6)</f>
        <v>0.7</v>
      </c>
      <c r="BD465" s="1">
        <f>INDEX(Input!$1:$1048576,BD$93,$C465*2+6)</f>
        <v>4.4999999999999998E-2</v>
      </c>
      <c r="BE465" s="1">
        <f>INDEX(Input!$1:$1048576,BE$93,$C465*2+6)</f>
        <v>4.4999999999999998E-2</v>
      </c>
      <c r="BF465" s="1">
        <f>INDEX(Input!$1:$1048576,BF$93,$C465*2+6)</f>
        <v>0.05</v>
      </c>
      <c r="BG465" s="1">
        <f>INDEX(Input!$1:$1048576,BG$93,$C465*2+6)</f>
        <v>5.45E-2</v>
      </c>
      <c r="BH465" s="1">
        <f>INDEX(Input!$1:$1048576,BH$93,$C465*2+6)</f>
        <v>5.45E-2</v>
      </c>
      <c r="BI465" s="1">
        <f>INDEX(Input!$1:$1048576,BI$93,$C465*2+6)</f>
        <v>0.05</v>
      </c>
      <c r="BJ465" s="1">
        <f>INDEX(Input!$1:$1048576,BJ$93,$C465*2+6)</f>
        <v>0.05</v>
      </c>
      <c r="BK465" s="1">
        <f>INDEX(Input!$1:$1048576,BK$93,$C465*2+6)</f>
        <v>0.05</v>
      </c>
      <c r="BL465" s="1">
        <f>INDEX(Input!$1:$1048576,BL$93,$C465*2+6)</f>
        <v>5.5E-2</v>
      </c>
      <c r="BM465" s="1">
        <f>INDEX(Input!$1:$1048576,BM$93,$C465*2+6)</f>
        <v>0.06</v>
      </c>
      <c r="BN465" s="1">
        <f>INDEX(Input!$1:$1048576,BN$93,$C465*2+6)</f>
        <v>4.4999999999999998E-2</v>
      </c>
      <c r="BO465" s="1">
        <f>INDEX(Input!$1:$1048576,BO$93,$C465*2+6)</f>
        <v>4.4999999999999998E-2</v>
      </c>
      <c r="BP465" s="1">
        <f>INDEX(Input!$1:$1048576,BP$93,$C465*2+6)</f>
        <v>0.05</v>
      </c>
      <c r="BQ465" s="1">
        <f>INDEX(Input!$1:$1048576,BQ$93,$C465*2+6)</f>
        <v>5.45E-2</v>
      </c>
      <c r="BR465" s="1">
        <f>INDEX(Input!$1:$1048576,BR$93,$C465*2+6)</f>
        <v>5.45E-2</v>
      </c>
      <c r="BS465" s="1">
        <f>INDEX(Input!$1:$1048576,BS$93,$C465*2+6)</f>
        <v>0.05</v>
      </c>
      <c r="BT465" s="1">
        <f>INDEX(Input!$1:$1048576,BT$93,$C465*2+6)</f>
        <v>0.05</v>
      </c>
      <c r="BU465" s="1">
        <f>INDEX(Input!$1:$1048576,BU$93,$C465*2+6)</f>
        <v>0.05</v>
      </c>
      <c r="BV465" s="1">
        <f>INDEX(Input!$1:$1048576,BV$93,$C465*2+6)</f>
        <v>5.5E-2</v>
      </c>
      <c r="BW465" s="1">
        <f>INDEX(Input!$1:$1048576,BW$93,$C465*2+6)</f>
        <v>0.06</v>
      </c>
      <c r="BX465" s="127">
        <f>INDEX(Input!$1:$1048576,BX$93,$C465*2+6)</f>
        <v>19985</v>
      </c>
      <c r="BY465" s="20">
        <f>INDEX(Input!$1:$1048576,BY$93,$C465*2+6)</f>
        <v>0.1</v>
      </c>
      <c r="BZ465" s="20">
        <f>INDEX(Input!$1:$1048576,BZ$93,$C465*2+6)</f>
        <v>0.1</v>
      </c>
      <c r="CA465" s="20">
        <f>INDEX(Input!$1:$1048576,CA$93,$C465*2+6)</f>
        <v>0.1</v>
      </c>
      <c r="CB465" s="20">
        <f>INDEX(Input!$1:$1048576,CB$93,$C465*2+6)</f>
        <v>0.1</v>
      </c>
      <c r="CC465" s="20">
        <f>INDEX(Input!$1:$1048576,CC$93,$C465*2+6)</f>
        <v>0.1</v>
      </c>
      <c r="CD465" s="384">
        <f>INDEX(Input!$1:$1048576,CD$93,$C465*2+6)</f>
        <v>0.1</v>
      </c>
      <c r="CE465" s="384">
        <f>INDEX(Input!$1:$1048576,CE$93,$C465*2+6)</f>
        <v>0.1</v>
      </c>
      <c r="CF465" s="384">
        <f>INDEX(Input!$1:$1048576,CF$93,$C465*2+6)</f>
        <v>0.1</v>
      </c>
      <c r="CG465" s="384">
        <f>INDEX(Input!$1:$1048576,CG$93,$C465*2+6)</f>
        <v>0.1</v>
      </c>
      <c r="CH465" s="384">
        <f>INDEX(Input!$1:$1048576,CH$93,$C465*2+6)</f>
        <v>0.1</v>
      </c>
      <c r="CI465" s="304">
        <f t="shared" si="1214"/>
        <v>1756.832975525977</v>
      </c>
      <c r="CJ465" s="16" t="str">
        <f>INDEX(Input!$1:$1048576,CJ$93,$C465*2+6)</f>
        <v>N</v>
      </c>
      <c r="CK465" s="1" t="str">
        <f t="shared" si="1215"/>
        <v>Market</v>
      </c>
      <c r="CL465" s="1" t="str">
        <f t="shared" si="1216"/>
        <v>Market</v>
      </c>
      <c r="CM465" s="1" t="str">
        <f t="shared" si="1217"/>
        <v>Market</v>
      </c>
      <c r="CN465" s="1" t="str">
        <f t="shared" si="1218"/>
        <v>Market</v>
      </c>
      <c r="CO465" s="1" t="str">
        <f t="shared" si="1219"/>
        <v>Market</v>
      </c>
      <c r="CP465" s="304">
        <f t="shared" si="1220"/>
        <v>916</v>
      </c>
      <c r="CQ465" s="1">
        <f t="shared" si="1221"/>
        <v>0</v>
      </c>
      <c r="CR465" s="1">
        <f t="shared" si="1222"/>
        <v>0</v>
      </c>
      <c r="CS465" s="1">
        <f t="shared" si="1223"/>
        <v>0</v>
      </c>
      <c r="CT465" s="1">
        <f t="shared" si="1224"/>
        <v>1.9E-2</v>
      </c>
      <c r="CU465" s="1">
        <f t="shared" si="1225"/>
        <v>3.9E-2</v>
      </c>
      <c r="CV465" s="304">
        <f t="shared" si="1226"/>
        <v>-1230</v>
      </c>
      <c r="CW465" s="20" t="s">
        <v>122</v>
      </c>
      <c r="CX465" s="20" t="s">
        <v>122</v>
      </c>
      <c r="CY465" s="20" t="s">
        <v>122</v>
      </c>
      <c r="CZ465" s="20" t="s">
        <v>122</v>
      </c>
      <c r="DA465" s="20" t="s">
        <v>122</v>
      </c>
      <c r="DB465" s="503">
        <f t="shared" si="1227"/>
        <v>0</v>
      </c>
      <c r="DC465" s="127">
        <v>0</v>
      </c>
      <c r="DD465" s="127">
        <v>0</v>
      </c>
      <c r="DE465" s="127">
        <v>0</v>
      </c>
      <c r="DF465" s="127">
        <v>0</v>
      </c>
      <c r="DG465" s="127">
        <v>0</v>
      </c>
      <c r="DH465" s="127">
        <v>0</v>
      </c>
      <c r="DI465" s="127">
        <v>0</v>
      </c>
      <c r="DJ465" s="127">
        <v>0</v>
      </c>
      <c r="DK465" s="127">
        <v>0</v>
      </c>
      <c r="DL465" s="127">
        <v>0</v>
      </c>
      <c r="DM465" s="304">
        <f>INDEX(Input!$1:$1048576,DM$93,$C465*2+6)</f>
        <v>21036.84210526316</v>
      </c>
      <c r="DN465" s="20">
        <v>0</v>
      </c>
      <c r="DO465" s="20">
        <v>0</v>
      </c>
      <c r="DP465" s="20">
        <v>0</v>
      </c>
      <c r="DQ465" s="20">
        <v>0</v>
      </c>
      <c r="DR465" s="20">
        <v>0</v>
      </c>
      <c r="DS465" s="20">
        <f>INDEX(Input!$1:$1048576,DS$93,$C465*2+6)</f>
        <v>0.6</v>
      </c>
      <c r="DT465" s="20">
        <f>INDEX(Input!$1:$1048576,DT$93,$C465*2+6)</f>
        <v>0.55000000000000004</v>
      </c>
      <c r="DU465" s="20">
        <f>INDEX(Input!$1:$1048576,DU$93,$C465*2+6)</f>
        <v>0.52</v>
      </c>
      <c r="DV465" s="20">
        <f>INDEX(Input!$1:$1048576,DV$93,$C465*2+6)</f>
        <v>0.5</v>
      </c>
      <c r="DW465" s="20">
        <f>INDEX(Input!$1:$1048576,DW$93,$C465*2+6)</f>
        <v>0.45</v>
      </c>
      <c r="DX465" s="20"/>
      <c r="DY465" s="7">
        <v>0.10957483657111644</v>
      </c>
      <c r="DZ465" s="7">
        <v>0</v>
      </c>
      <c r="EA465" s="7">
        <v>0.81215934741432305</v>
      </c>
      <c r="EB465" s="7">
        <v>0</v>
      </c>
      <c r="EC465" s="7">
        <v>0</v>
      </c>
      <c r="ED465" s="7">
        <v>0</v>
      </c>
      <c r="EE465" s="7">
        <v>0</v>
      </c>
      <c r="EF465" s="7">
        <v>0</v>
      </c>
      <c r="EG465" s="7">
        <v>0</v>
      </c>
      <c r="EH465" s="7">
        <v>1.2280387620249633E-2</v>
      </c>
      <c r="EI465" s="7">
        <v>3.2092321437812238E-2</v>
      </c>
      <c r="EJ465" s="7">
        <v>0.22526544109738292</v>
      </c>
      <c r="EK465" s="7">
        <v>0.59316421417601495</v>
      </c>
      <c r="EL465" s="7">
        <v>0.13719763566854043</v>
      </c>
      <c r="EM465" s="7">
        <v>4.3944619052244331E-2</v>
      </c>
      <c r="EN465" s="7">
        <v>4.9385180118136786E-2</v>
      </c>
      <c r="EO465" s="7">
        <v>0.70139383952219281</v>
      </c>
      <c r="EP465" s="7">
        <v>0.10818633878398068</v>
      </c>
      <c r="EQ465" s="7">
        <v>9.4916125908996216E-2</v>
      </c>
      <c r="ER465" s="7">
        <v>4.6118515666694206E-2</v>
      </c>
      <c r="ES465" s="7">
        <v>3.4321196962316045E-2</v>
      </c>
      <c r="ET465" s="7">
        <v>7.8265816014560535E-2</v>
      </c>
      <c r="EU465" s="6">
        <v>2270</v>
      </c>
      <c r="EV465" s="6">
        <v>0</v>
      </c>
      <c r="EW465" s="6">
        <v>2270</v>
      </c>
      <c r="EX465" s="6">
        <v>0</v>
      </c>
      <c r="EY465" s="6">
        <v>2983.5260054658538</v>
      </c>
      <c r="EZ465" s="6">
        <v>147</v>
      </c>
      <c r="FA465" s="6">
        <v>0</v>
      </c>
      <c r="FB465" s="6">
        <v>0</v>
      </c>
      <c r="FC465" s="6">
        <v>0</v>
      </c>
      <c r="FD465" s="6">
        <v>0</v>
      </c>
      <c r="FE465" s="6">
        <v>0</v>
      </c>
      <c r="FF465" s="6">
        <v>0</v>
      </c>
      <c r="FG465" s="6">
        <v>0</v>
      </c>
      <c r="FH465" s="6">
        <v>1169.8056029400893</v>
      </c>
      <c r="FI465" s="6">
        <v>1553.9796069512392</v>
      </c>
      <c r="FJ465" s="6">
        <v>2101.2110117447414</v>
      </c>
      <c r="FK465" s="6">
        <v>1772.7139978623243</v>
      </c>
      <c r="FL465" s="6">
        <v>907.07682140966347</v>
      </c>
      <c r="FM465" s="6">
        <v>1713.5260054658538</v>
      </c>
      <c r="FN465" s="6">
        <v>0</v>
      </c>
      <c r="FO465" s="6">
        <v>0</v>
      </c>
      <c r="FP465" s="6">
        <v>0</v>
      </c>
      <c r="FQ465" s="6">
        <v>0</v>
      </c>
      <c r="FR465" s="6">
        <v>0</v>
      </c>
      <c r="FS465" s="6">
        <v>0</v>
      </c>
      <c r="FT465" s="7">
        <v>0.92173418398543949</v>
      </c>
      <c r="FU465" s="7">
        <v>4.3944619052244331E-2</v>
      </c>
      <c r="FV465" s="7">
        <v>3.4321196962316045E-2</v>
      </c>
      <c r="FW465" s="6">
        <v>2270</v>
      </c>
      <c r="FX465" s="6">
        <v>2983.5260054658538</v>
      </c>
      <c r="FY465" s="6">
        <v>147</v>
      </c>
      <c r="FZ465" s="6">
        <v>1949.5716051445115</v>
      </c>
      <c r="GA465" s="6">
        <v>2228.4917273430697</v>
      </c>
      <c r="GB465" s="6">
        <v>17756.508272656931</v>
      </c>
      <c r="GC465" s="7">
        <v>3.3872851927908169E-2</v>
      </c>
      <c r="GD465" s="7">
        <v>3.5427587410119012E-2</v>
      </c>
      <c r="GE465" s="7"/>
      <c r="GF465" s="7"/>
      <c r="GG465" s="7">
        <v>4.5899160942214044E-2</v>
      </c>
      <c r="GH465" s="42">
        <v>3.288736302707993</v>
      </c>
      <c r="GI465" s="6">
        <v>8305.2939274903056</v>
      </c>
      <c r="GJ465" s="14">
        <v>0.50394797582841755</v>
      </c>
      <c r="GK465" s="14">
        <v>0.50887573065309777</v>
      </c>
      <c r="GL465" s="14">
        <v>0.49605202417158306</v>
      </c>
      <c r="GM465" s="14">
        <v>0.49112426934690284</v>
      </c>
      <c r="GO465" s="5">
        <v>343.14810671672558</v>
      </c>
      <c r="GP465" s="5">
        <v>299.84083725090579</v>
      </c>
      <c r="GQ465" s="5">
        <v>535.04305713031317</v>
      </c>
      <c r="GR465" s="5">
        <v>410.15490233172511</v>
      </c>
      <c r="GS465" s="5">
        <v>339.42744393800166</v>
      </c>
      <c r="GT465" s="5">
        <v>293.4407446948278</v>
      </c>
      <c r="GU465" s="5">
        <v>258.04012322764959</v>
      </c>
      <c r="GV465" s="39" t="s">
        <v>392</v>
      </c>
      <c r="GW465" s="5">
        <v>464.34722222222223</v>
      </c>
      <c r="GX465" s="5">
        <v>348.26041666666669</v>
      </c>
      <c r="GY465" s="5">
        <v>278.60833333333335</v>
      </c>
      <c r="GZ465" s="5">
        <v>245.84245344171217</v>
      </c>
      <c r="HA465" s="5">
        <v>227.72592165501609</v>
      </c>
      <c r="HB465" s="39">
        <v>256.70808195511239</v>
      </c>
      <c r="HC465" s="5">
        <v>280.85312499999998</v>
      </c>
      <c r="HD465" s="5">
        <v>235.41580774853799</v>
      </c>
      <c r="HE465" s="5">
        <v>236.8873861336032</v>
      </c>
      <c r="HF465" s="5">
        <v>217.50938048245612</v>
      </c>
      <c r="HG465" s="5">
        <v>207.81388157894736</v>
      </c>
      <c r="HH465" s="39">
        <v>234.84637395334943</v>
      </c>
      <c r="HI465" s="16"/>
      <c r="HJ465" s="19" t="str">
        <f t="shared" ref="HJ465" si="1254">HJ464</f>
        <v>On</v>
      </c>
      <c r="HK465" s="1" t="str">
        <f t="shared" si="1239"/>
        <v>On</v>
      </c>
      <c r="HL465" s="16"/>
      <c r="HM465" s="639">
        <f t="shared" ref="HM465:HM483" si="1255">VLOOKUP($C465*1000+1,$A:$HH,FT$92,FALSE)*$JF465</f>
        <v>2.9403358434788716E-2</v>
      </c>
      <c r="HN465" s="639">
        <f t="shared" ref="HN465:HN483" si="1256">VLOOKUP($C465*1000+1,$A:$HH,FU$92,FALSE)*$JF465</f>
        <v>1.4106809950923669E-3</v>
      </c>
      <c r="HO465" s="639">
        <f t="shared" ref="HO465:HO483" si="1257">VLOOKUP($C465*1000+1,$A:$HH,FV$92,FALSE)*$JF465</f>
        <v>1.7317923025048877E-3</v>
      </c>
      <c r="HP465" s="644">
        <f>(FT465*$GD465-HM465)/$JF465*INDEX(Input!$1:$1048576,$JG$93,$C465*2+6)</f>
        <v>232.67649928639446</v>
      </c>
      <c r="HQ465" s="644">
        <f>(FU465*$GD465-HN465)/$JF465*INDEX(Input!$1:$1048576,$JG$93,$C465*2+6)</f>
        <v>10.460076225295483</v>
      </c>
      <c r="HR465" s="644">
        <f>(FV465*$GD465-HO465)/$JF465*INDEX(Input!$1:$1048576,$JG$93,$C465*2+6)</f>
        <v>-36.916343420905996</v>
      </c>
      <c r="HS465" s="644">
        <f t="shared" si="1246"/>
        <v>-102.42253892718615</v>
      </c>
      <c r="HT465" s="644">
        <f t="shared" ref="HT465:HT474" si="1258">IF(AND(HJ465="On",HK465="On"),IM465/1000*INDEX(KG:KG,MATCH(C465*1000+4,$KF:$KF,0))*SUM(HY465:IA465)*1.1
+INDEX(HR:HR,MATCH(C465*1000+3,$KF:$KF,0))/INDEX(IL:IL,MATCH(C465*1000+3,$KF:$KF,0))*IL465*20%,0)</f>
        <v>124.93238608647492</v>
      </c>
      <c r="HU465" s="644">
        <f t="shared" ref="HU465:HU483" si="1259">IF(HJ465="On",IN465/1000*INDEX(KG:KG,MATCH(C465*1000+5,$KF:$KF,0))*SUM(HY465:IA465)*1.1
-INDEX(HR:HR,MATCH(C465*1000+3,$KF:$KF,0))/INDEX(IL:IL,MATCH(C465*1000+3,$KF:$KF,0))*IL465*20%
-INDEX(HR:HR,MATCH(C465*1000+4,$KF:$KF,0))/INDEX(IM:IM,MATCH(C465*1000+4,$KF:$KF,0))*IM465*20%,0)</f>
        <v>5.7251485098453472</v>
      </c>
      <c r="HV465" s="648">
        <f t="shared" ref="HV465:HV483" si="1260">IL465/1000*0+IM465/1000*0+IN465/1000*0
+(CP465-INDEX(CP:CP,MATCH(C465*1000+1,A:A,0)))/1000*0+IF(FU465&gt;0,0,0)</f>
        <v>0</v>
      </c>
      <c r="HW465" s="648">
        <f t="shared" ref="HW465:HW483" si="1261">IL465/1000*0+IM465/1000*0+IN465/1000*0
+(CP465-INDEX(CP:CP,MATCH(C465*1000+1,A:A,0)))/1000*0+IF(FU465&gt;0,0,0)</f>
        <v>0</v>
      </c>
      <c r="HX465" s="648">
        <f t="shared" ref="HX465:HX483" si="1262">IL465/1000*0+IM465/1000*0+IN465/1000*0
+(CP465-INDEX(CP:CP,MATCH(C465*1000+1,A:A,0)))/1000*0+IF(FU465&gt;0,0,0)</f>
        <v>0</v>
      </c>
      <c r="HY465" s="644">
        <f>INDEX(Input!$1:$1048576,HY$93,$C465*2+6)*INDEX(Input!$1:$1048576,$JG$93,$C465*2+6)</f>
        <v>993</v>
      </c>
      <c r="HZ465" s="644">
        <f>INDEX(Input!$1:$1048576,HZ$93,$C465*2+6)*INDEX(Input!$1:$1048576,$JG$93,$C465*2+6)</f>
        <v>1216</v>
      </c>
      <c r="IA465" s="644">
        <f>INDEX(Input!$1:$1048576,IA$93,$C465*2+6)*INDEX(Input!$1:$1048576,$JG$93,$C465*2+6)</f>
        <v>120</v>
      </c>
      <c r="IB465" s="644">
        <f t="shared" si="1142"/>
        <v>1123.2539603592079</v>
      </c>
      <c r="IC465" s="644">
        <f t="shared" si="1143"/>
        <v>1351.3924623117705</v>
      </c>
      <c r="ID465" s="644">
        <f>IF(AND(INDEX(Input!$1:$1048576,IA$93,$C465*2+7)="TOS",Y465&lt;=INDEX(Y:Y,MATCH(C465*1000+2,A:A))),0,1)*MAX(IA465+HR465+HU465+HX465,0%)</f>
        <v>88.808805088939351</v>
      </c>
      <c r="IE465" s="128">
        <f t="shared" si="1247"/>
        <v>0.43817966789330914</v>
      </c>
      <c r="IF465" s="128">
        <f t="shared" si="1248"/>
        <v>0.52717615181158772</v>
      </c>
      <c r="IG465" s="128">
        <f t="shared" ref="IG465:IG474" si="1263">ID465/SUM($IB465:$ID465)</f>
        <v>3.4644180295103168E-2</v>
      </c>
      <c r="IH465" s="21"/>
      <c r="II465" s="19">
        <f t="shared" ref="II465:II483" si="1264">VLOOKUP($C465*1000+1,$A:$HH,FW$92,FALSE)-VLOOKUP($C465*1000+1,$A:$HH,FA$92,FALSE)*VLOOKUP($C465*1000+1,$A:$HH,DZ$92,FALSE)/VLOOKUP($C465*1000+1,$A:$HH,FT$92,FALSE)</f>
        <v>1490</v>
      </c>
      <c r="IJ465" s="19">
        <f t="shared" ref="IJ465:IJ483" si="1265">VLOOKUP($C465*1000+1,$A:$HH,FX$92,FALSE)</f>
        <v>2203.2561351629856</v>
      </c>
      <c r="IK465" s="19">
        <f t="shared" ref="IK465:IK483" si="1266">VLOOKUP($C465*1000+1,$A:$HH,FY$92,FALSE)</f>
        <v>242</v>
      </c>
      <c r="IL465" s="19">
        <f t="shared" si="1145"/>
        <v>780</v>
      </c>
      <c r="IM465" s="19">
        <f t="shared" ref="IM465:IM483" si="1267">FX465-IJ465</f>
        <v>780.26987030286818</v>
      </c>
      <c r="IN465" s="19">
        <f t="shared" ref="IN465:IN483" si="1268">FY465-IK465</f>
        <v>-95</v>
      </c>
      <c r="IO465" s="39">
        <f t="shared" ref="IO465:IO483" si="1269">(F465-VLOOKUP($C465*1000+1,$A:$HH,F$92,FALSE))*(1-$I465)</f>
        <v>0</v>
      </c>
      <c r="IP465" s="39">
        <f t="shared" ref="IP465:IP483" si="1270">(G465-VLOOKUP($C465*1000+1,$A:$HH,G$92,FALSE))*(1-$I465)</f>
        <v>0</v>
      </c>
      <c r="IQ465" s="39">
        <f t="shared" ref="IQ465:IQ483" si="1271">(H465-VLOOKUP($C465*1000+1,$A:$HH,H$92,FALSE))*(1-$I465)</f>
        <v>0</v>
      </c>
      <c r="IR465" s="39">
        <v>0</v>
      </c>
      <c r="IS465" s="39">
        <v>0</v>
      </c>
      <c r="IT465" s="39">
        <v>0</v>
      </c>
      <c r="IU465" s="39">
        <v>0</v>
      </c>
      <c r="IV465" s="39">
        <v>0</v>
      </c>
      <c r="IW465" s="39">
        <v>0</v>
      </c>
      <c r="IX465" s="39">
        <f>INDEX(Input!$1:$1048576,IX$93,$C465*2+6)+INDEX(Input!$1:$1048576,IX$94,$C465*2+6)</f>
        <v>1770</v>
      </c>
      <c r="IY465" s="39">
        <f>INDEX(Input!$1:$1048576,IY$93,$C465*2+6)+INDEX(Input!$1:$1048576,IY$94,$C465*2+6)</f>
        <v>2630.0624533823611</v>
      </c>
      <c r="IZ465" s="39">
        <f>INDEX(Input!$1:$1048576,IZ$93,$C465*2+6)+INDEX(Input!$1:$1048576,IZ$94,$C465*2+6)</f>
        <v>4153.7164157747848</v>
      </c>
      <c r="JA465" s="19">
        <f t="shared" si="1146"/>
        <v>2550</v>
      </c>
      <c r="JB465" s="19">
        <f t="shared" si="1147"/>
        <v>3410.3323236852293</v>
      </c>
      <c r="JC465" s="19">
        <f t="shared" si="1148"/>
        <v>4058.7164157747848</v>
      </c>
      <c r="JD465" s="19">
        <f t="shared" si="1149"/>
        <v>3055.8149272017836</v>
      </c>
      <c r="JE465" s="21"/>
      <c r="JF465" s="1">
        <f t="shared" ref="JF465:JF483" si="1272">VLOOKUP($C465*1000+1,$A:$HH,GD$92,FALSE)</f>
        <v>3.2545831732385969E-2</v>
      </c>
      <c r="JG465" s="15">
        <f>INDEX(Input!$1:$1048576,JG$93,$C465*2+6)/(1+VLOOKUP(C465*1000+INDEX(Input!$1:$1048576,JG$93+1,$C465*2+6),$A:$KK,$JK$92,FALSE))</f>
        <v>2329</v>
      </c>
      <c r="JH465" s="1">
        <f t="shared" si="1150"/>
        <v>8.854453932622755E-2</v>
      </c>
      <c r="JI465" s="1">
        <f t="shared" si="1151"/>
        <v>1.2123226994046421E-2</v>
      </c>
      <c r="JJ465" s="1">
        <f t="shared" si="1249"/>
        <v>0</v>
      </c>
      <c r="JK465" s="1">
        <f t="shared" si="1250"/>
        <v>0.10066776632027397</v>
      </c>
      <c r="JL465" s="15">
        <f t="shared" si="1154"/>
        <v>234.45522775991807</v>
      </c>
      <c r="JM465" s="15">
        <f t="shared" si="1180"/>
        <v>2563.4552277599182</v>
      </c>
      <c r="JN465" s="21"/>
      <c r="JO465" s="19">
        <f>INDEX(Input!$1:$1048576,JO$93,$C465*2+6)</f>
        <v>5995.5</v>
      </c>
      <c r="JP465" s="19">
        <f>INDEX(Input!$1:$1048576,JP$93,$C465*2+6)</f>
        <v>2341.8685758720158</v>
      </c>
      <c r="JQ465" s="39">
        <f t="shared" si="1166"/>
        <v>2939.6850727982164</v>
      </c>
      <c r="JR465" s="39">
        <f t="shared" si="1183"/>
        <v>713.94635132976782</v>
      </c>
      <c r="JS465" s="39">
        <f t="shared" si="1168"/>
        <v>7.8334447502022062</v>
      </c>
      <c r="JT465" s="39">
        <f t="shared" si="1156"/>
        <v>2.3792328369962816</v>
      </c>
      <c r="JU465" s="385">
        <f>(JQ465*JM465-INDEX(Input!$1:$1048576,Input!A$18,$C465*2+6)*JL465*INDEX(Input!$1:$1048576,Input!A$19,$C465*2+6))/1000000</f>
        <v>7.5357510678323836</v>
      </c>
      <c r="JV465" s="39">
        <f t="shared" si="1190"/>
        <v>-0.97355651896169082</v>
      </c>
      <c r="JW465" s="1">
        <f t="shared" si="1181"/>
        <v>-0.11441078008187071</v>
      </c>
      <c r="JX465" s="19">
        <f t="shared" si="1172"/>
        <v>10147.919753073767</v>
      </c>
      <c r="JZ465" s="341"/>
      <c r="KA465" s="342"/>
      <c r="KB465" s="469">
        <f t="shared" si="1169"/>
        <v>2.3434325605641804</v>
      </c>
      <c r="KI465" s="473">
        <f t="shared" si="1251"/>
        <v>130.25396035920812</v>
      </c>
      <c r="KJ465" s="473">
        <f t="shared" si="1252"/>
        <v>135.39246231177094</v>
      </c>
      <c r="KK465" s="473">
        <f t="shared" si="1158"/>
        <v>-31.191194911060634</v>
      </c>
      <c r="KN465" s="544">
        <f t="shared" si="1173"/>
        <v>4002</v>
      </c>
      <c r="KO465" s="541">
        <f t="shared" ref="KO465:KO483" si="1273">JM465/INDEX(JM:JM,MATCH(KN465,A:A,0))-1</f>
        <v>5.988701788657802E-2</v>
      </c>
      <c r="KP465" s="546">
        <f t="shared" ref="KP465:KP483" si="1274">(IL465-INDEX(IL:IL,MATCH(KN465,A:A,0)))*IE465
+(IM465-IF(HN465=0,INDEX(IX:IX,MATCH(KN465,A:A,0)),INDEX(IM:IM,MATCH(KN465,A:A,0))))*IF465
+(IN465-INDEX(IN:IN,MATCH(KN465,A:A,0)))*IG465</f>
        <v>470.32350713558401</v>
      </c>
      <c r="KQ465" s="546">
        <f t="shared" ref="KQ465:KQ483" si="1275">JD465-INDEX(JD:JD,MATCH(KN465,A:A,0))</f>
        <v>431.04373916576242</v>
      </c>
      <c r="KR465" s="548">
        <f t="shared" ref="KR465:KR483" si="1276">KO465/(KP465/(BX465-INDEX(JD:JD,MATCH(KN465,A:A,0))))</f>
        <v>2.2105047219710086</v>
      </c>
      <c r="KS465" s="548">
        <f t="shared" ref="KS465:KS483" si="1277">KO465/(KQ465/(BX465-INDEX(JD:JD,MATCH(KN465,A:A,0))))</f>
        <v>2.4119416173154637</v>
      </c>
      <c r="KT465" s="473">
        <f t="shared" si="1171"/>
        <v>1580.0986321700548</v>
      </c>
      <c r="KU465" s="663">
        <f t="shared" si="1159"/>
        <v>4.0701543420808406</v>
      </c>
    </row>
    <row r="466" spans="1:307" s="26" customFormat="1" ht="15" outlineLevel="1">
      <c r="A466" s="561">
        <f t="shared" ref="A466:A500" si="1278">C466*1000+B466</f>
        <v>4066</v>
      </c>
      <c r="B466" s="561">
        <f t="shared" si="1160"/>
        <v>66</v>
      </c>
      <c r="C466" s="561">
        <f t="shared" si="1161"/>
        <v>4</v>
      </c>
      <c r="D466" s="561" t="str">
        <f t="shared" si="1206"/>
        <v xml:space="preserve">1000 CC, 1000 Combo, -360 Lease, </v>
      </c>
      <c r="E466" s="475">
        <f>INDEX(Input!$1:$1048576,E$93,$C466*2+MIN($B466,2)+5)
+INDEX(Scenarios!E$121:E$200,MATCH($B466,Scenarios!$B$121:$B$200,0))</f>
        <v>2256.832975525977</v>
      </c>
      <c r="F466" s="475">
        <f>INDEX(Input!$1:$1048576,F$93,$C466*2+MIN($B466,2)+5)
+INDEX(Scenarios!F$121:F$200,MATCH($B466,Scenarios!$B$121:$B$200,0))</f>
        <v>0</v>
      </c>
      <c r="G466" s="475">
        <f>INDEX(Input!$1:$1048576,G$93,$C466*2+MIN($B466,2)+5)
+INDEX(Scenarios!G$121:G$200,MATCH($B466,Scenarios!$B$121:$B$200,0))</f>
        <v>0</v>
      </c>
      <c r="H466" s="475">
        <f>INDEX(Input!$1:$1048576,H$93,$C466*2+MIN($B466,2)+5)
+INDEX(Scenarios!H$121:H$200,MATCH($B466,Scenarios!$B$121:$B$200,0))</f>
        <v>0</v>
      </c>
      <c r="I466" s="476">
        <f>INDEX(Input!$1:$1048576,I$93,$C466*2+MIN($B466,2)+5)</f>
        <v>0.7</v>
      </c>
      <c r="J466" s="476" t="str">
        <f>INDEX(Input!$1:$1048576,J$93,$C466*2+MIN($B466,2)+5)</f>
        <v>Market</v>
      </c>
      <c r="K466" s="476" t="str">
        <f>INDEX(Input!$1:$1048576,K$93,$C466*2+MIN($B466,2)+5)</f>
        <v>Market</v>
      </c>
      <c r="L466" s="476" t="str">
        <f>INDEX(Input!$1:$1048576,L$93,$C466*2+MIN($B466,2)+5)</f>
        <v>Market</v>
      </c>
      <c r="M466" s="476" t="str">
        <f>INDEX(Input!$1:$1048576,M$93,$C466*2+MIN($B466,2)+5)</f>
        <v>Market</v>
      </c>
      <c r="N466" s="476" t="str">
        <f>INDEX(Input!$1:$1048576,N$93,$C466*2+MIN($B466,2)+5)</f>
        <v>Market</v>
      </c>
      <c r="O466" s="476" t="str">
        <f>INDEX(Input!$1:$1048576,O$93,$C466*2+MIN($B466,2)+5)</f>
        <v>Market</v>
      </c>
      <c r="P466" s="476" t="str">
        <f>INDEX(Input!$1:$1048576,P$93,$C466*2+MIN($B466,2)+5)</f>
        <v>N</v>
      </c>
      <c r="Q466" s="477">
        <f>INDEX(Input!$1:$1048576,Q$93,$C466*2+MIN($B466,2)+5)
+INDEX(Scenarios!Q$121:Q$200,MATCH($B466,Scenarios!$B$121:$B$200,0))</f>
        <v>1000</v>
      </c>
      <c r="R466" s="478">
        <f>IFERROR(MAX(0,INDEX(Input!$1:$1048576,R$93,$C466*2+MIN($B466,2)+5)
+INDEX(Scenarios!R$121:R$200,MATCH($B466,Scenarios!$B$121:$B$200,0)),),"Market")</f>
        <v>0</v>
      </c>
      <c r="S466" s="478">
        <f>IFERROR(MAX(0,INDEX(Input!$1:$1048576,S$93,$C466*2+MIN($B466,2)+5)
+INDEX(Scenarios!S$121:S$200,MATCH($B466,Scenarios!$B$121:$B$200,0)),),"Market")</f>
        <v>0</v>
      </c>
      <c r="T466" s="478">
        <f>IFERROR(MAX(0,INDEX(Input!$1:$1048576,T$93,$C466*2+MIN($B466,2)+5)
+INDEX(Scenarios!T$121:T$200,MATCH($B466,Scenarios!$B$121:$B$200,0)),),"Market")</f>
        <v>0</v>
      </c>
      <c r="U466" s="478">
        <f>IFERROR(MAX(0,INDEX(Input!$1:$1048576,U$93,$C466*2+MIN($B466,2)+5)
+INDEX(Scenarios!U$121:U$200,MATCH($B466,Scenarios!$B$121:$B$200,0)),),"Market")</f>
        <v>0</v>
      </c>
      <c r="V466" s="478">
        <f>IFERROR(MAX(0,INDEX(Input!$1:$1048576,V$93,$C466*2+MIN($B466,2)+5)
+INDEX(Scenarios!V$121:V$200,MATCH($B466,Scenarios!$B$121:$B$200,0)),),"Market")</f>
        <v>1.9E-2</v>
      </c>
      <c r="W466" s="885">
        <f>IFERROR(MAX(0,INDEX(Input!$1:$1048576,W$93,$C466*2+MIN($B466,2)+5)-0%,),"Market")</f>
        <v>3.9E-2</v>
      </c>
      <c r="X466" s="476" t="str">
        <f>INDEX(Input!$1:$1048576,X$93,$C466*2+MIN($B466,2)+5)</f>
        <v>Y</v>
      </c>
      <c r="Y466" s="475">
        <f>INDEX(Input!$1:$1048576,Y$93,$C466*2+MIN($B466,2)+5)
++INDEX(Scenarios!Y$121:Y$200,MATCH($B466,Scenarios!$B$121:$B$200,0))</f>
        <v>-1230</v>
      </c>
      <c r="Z466" s="477">
        <f>INDEX(Input!$1:$1048576,Z$93,$C466*2+MIN($B466,2)+5)
+INDEX(Scenarios!Z$121:Z$200,MATCH($B466,Scenarios!$B$121:$B$200,0))</f>
        <v>0</v>
      </c>
      <c r="AA466" s="475">
        <f>INDEX(Input!$1:$1048576,AA$93,$C466*2+MIN($B466,2)+5)
+INDEX(Scenarios!AA$121:AA$200,MATCH($B466,Scenarios!$B$121:$B$200,0))</f>
        <v>0</v>
      </c>
      <c r="AB466" s="476">
        <f>INDEX(Input!$1:$1048576,AB$93,$C466*2+MIN($B466,2)+5)</f>
        <v>0.27</v>
      </c>
      <c r="AC466" s="475">
        <f>INDEX(Input!$1:$1048576,AC$93,$C466*2+MIN($B466,2)+5)
+INDEX(Scenarios!AC$121:AC$200,MATCH($B466,Scenarios!$B$121:$B$200,0))</f>
        <v>0</v>
      </c>
      <c r="AD466" s="476">
        <f>INDEX(Input!$1:$1048576,AD$93,$C466*2+MIN($B466,2)+5)</f>
        <v>0.27</v>
      </c>
      <c r="AE466" s="475">
        <f>INDEX(Input!$1:$1048576,AE$93,$C466*2+MIN($B466,2)+5)
+INDEX(Scenarios!AE$121:AE$200,MATCH($B466,Scenarios!$B$121:$B$200,0))</f>
        <v>0</v>
      </c>
      <c r="AF466" s="476">
        <f>INDEX(Input!$1:$1048576,AF$93,$C466*2+MIN($B466,2)+5)</f>
        <v>1</v>
      </c>
      <c r="AG466" s="475">
        <f>INDEX(Input!$1:$1048576,AG$93,$C466*2+MIN($B466,2)+5)
+INDEX(Scenarios!AG$121:AG$200,MATCH($B466,Scenarios!$B$121:$B$200,0))</f>
        <v>500</v>
      </c>
      <c r="AH466" s="476">
        <f>INDEX(Input!$1:$1048576,AH$93,$C466*2+MIN($B466,2)+5)</f>
        <v>0.83199999999999996</v>
      </c>
      <c r="AI466" s="475">
        <f>INDEX(Input!$1:$1048576,AI$93,$C466*2+MIN($B466,2)+5)
+INDEX(Scenarios!AI$121:AI$200,MATCH($B466,Scenarios!$B$121:$B$200,0))</f>
        <v>0</v>
      </c>
      <c r="AJ466" s="476">
        <f>INDEX(Input!$1:$1048576,AJ$93,$C466*2+MIN($B466,2)+5)</f>
        <v>0.27</v>
      </c>
      <c r="AK466" s="150">
        <f>ROUND(INDEX(Input!$1:$1048576,AK$93,$C465*2+MIN($B466,1)+5)+(Y466-VLOOKUP($C466*1000+1,$A:$HH,Y$92,FALSE)),0)</f>
        <v>2227</v>
      </c>
      <c r="AL466" s="150">
        <f>ROUND(INDEX(Input!$1:$1048576,AL$93,$C465*2+MIN($B466,1)+5)-(Y466-VLOOKUP($C466*1000+1,$A:$HH,Y$92,FALSE))/36,0)</f>
        <v>3416</v>
      </c>
      <c r="AM466" s="32" t="str">
        <f t="shared" ref="AM466:AM500" si="1279">IF(K466="market","std",ROUND(K466*1000,0)/10)&amp;"/"&amp;IF(L466="market","std",ROUND(L466*1000,0)/10)&amp;"/"&amp;IF(M466="market","std",ROUND(M466*1000,0)/10)&amp;"/"&amp;IF(N466="market","std",ROUND(N466*1000,0)/10)&amp;IF(P466="N","","/"&amp;IF(O466="market","std",ROUND(O466*1000,0)/10))</f>
        <v>std/std/std/std</v>
      </c>
      <c r="AN466" s="32" t="str">
        <f t="shared" ref="AN466:AN500" si="1280">"$"&amp;ROUND(Q466,0)&amp;" + "&amp;IF(S466="market","std",ROUND(S466*1000,0)/10)&amp;"/"&amp;IF(T466="market","std",ROUND(T466*1000,0)/10)&amp;"/"&amp;IF(U466="market","std",ROUND(U466*1000,0)/10)&amp;"/"&amp;IF(V466="market","std",ROUND(V466*1000,0)/10)&amp;IF(X466="N","","/"&amp;IF(W466="market","std",ROUND(W466*1000,0)/10))</f>
        <v>$1000 + 0/0/0/1.9/3.9</v>
      </c>
      <c r="AO466" s="32" t="str">
        <f t="shared" ref="AO466:AO500" si="1281">IF(S466="market","std",ROUND(S466*1000,0)/10)&amp;"/"&amp;IF(T466="market","std",ROUND(T466*1000,0)/10)&amp;"/"&amp;IF(U466="market","std",ROUND(U466*1000,0)/10)&amp;"/"&amp;IF(V466="market","std",ROUND(V466*1000,0)/10)&amp;IF(X466="N","","/"&amp;IF(W466="market","std",ROUND(W466*1000,0)/10))</f>
        <v>0/0/0/1.9/3.9</v>
      </c>
      <c r="AP466" s="32" t="str">
        <f t="shared" si="1213"/>
        <v>0/0.9/1.9/3.9</v>
      </c>
      <c r="AQ466" s="536">
        <f t="shared" si="1207"/>
        <v>0.4440945692227215</v>
      </c>
      <c r="AR466" s="32"/>
      <c r="AS466" s="302"/>
      <c r="AT466" s="3">
        <f t="shared" si="1162"/>
        <v>66</v>
      </c>
      <c r="AU466" s="41" t="s">
        <v>121</v>
      </c>
      <c r="AV466" s="41" t="s">
        <v>116</v>
      </c>
      <c r="AW466" s="41" t="str">
        <f>INDEX(Input!$1:$1048576,AW$93,$C466*2+6)</f>
        <v>Kia</v>
      </c>
      <c r="AX466" s="41" t="str">
        <f>INDEX(Input!$1:$1048576,AX$93,$C466*2+6)</f>
        <v>Kia-LR - R1</v>
      </c>
      <c r="AY466" s="41" t="str">
        <f>IF(LEN(D466)=0,"",INDEX(Input!$1:$1048576,AY$93,$C466*2+6))</f>
        <v>Compact SUV (52)</v>
      </c>
      <c r="AZ466" s="41" t="str">
        <f>INDEX(Input!$1:$1048576,AZ$93,$C466*2+6)</f>
        <v>Kia Soul</v>
      </c>
      <c r="BA466" s="3">
        <f>INDEX(Input!$1:$1048576,BA$93,$C466*2+6)</f>
        <v>2020</v>
      </c>
      <c r="BB466" s="128">
        <f>INDEX(Input!$1:$1048576,BB$93,$C466*2+6)</f>
        <v>1</v>
      </c>
      <c r="BC466" s="128">
        <f>INDEX(Input!$1:$1048576,BC$93,$C466*2+6)</f>
        <v>0.7</v>
      </c>
      <c r="BD466" s="1">
        <f>INDEX(Input!$1:$1048576,BD$93,$C466*2+6)</f>
        <v>4.4999999999999998E-2</v>
      </c>
      <c r="BE466" s="1">
        <f>INDEX(Input!$1:$1048576,BE$93,$C466*2+6)</f>
        <v>4.4999999999999998E-2</v>
      </c>
      <c r="BF466" s="1">
        <f>INDEX(Input!$1:$1048576,BF$93,$C466*2+6)</f>
        <v>0.05</v>
      </c>
      <c r="BG466" s="1">
        <f>INDEX(Input!$1:$1048576,BG$93,$C466*2+6)</f>
        <v>5.45E-2</v>
      </c>
      <c r="BH466" s="1">
        <f>INDEX(Input!$1:$1048576,BH$93,$C466*2+6)</f>
        <v>5.45E-2</v>
      </c>
      <c r="BI466" s="1">
        <f>INDEX(Input!$1:$1048576,BI$93,$C466*2+6)</f>
        <v>0.05</v>
      </c>
      <c r="BJ466" s="1">
        <f>INDEX(Input!$1:$1048576,BJ$93,$C466*2+6)</f>
        <v>0.05</v>
      </c>
      <c r="BK466" s="1">
        <f>INDEX(Input!$1:$1048576,BK$93,$C466*2+6)</f>
        <v>0.05</v>
      </c>
      <c r="BL466" s="1">
        <f>INDEX(Input!$1:$1048576,BL$93,$C466*2+6)</f>
        <v>5.5E-2</v>
      </c>
      <c r="BM466" s="1">
        <f>INDEX(Input!$1:$1048576,BM$93,$C466*2+6)</f>
        <v>0.06</v>
      </c>
      <c r="BN466" s="1">
        <f>INDEX(Input!$1:$1048576,BN$93,$C466*2+6)</f>
        <v>4.4999999999999998E-2</v>
      </c>
      <c r="BO466" s="1">
        <f>INDEX(Input!$1:$1048576,BO$93,$C466*2+6)</f>
        <v>4.4999999999999998E-2</v>
      </c>
      <c r="BP466" s="1">
        <f>INDEX(Input!$1:$1048576,BP$93,$C466*2+6)</f>
        <v>0.05</v>
      </c>
      <c r="BQ466" s="1">
        <f>INDEX(Input!$1:$1048576,BQ$93,$C466*2+6)</f>
        <v>5.45E-2</v>
      </c>
      <c r="BR466" s="1">
        <f>INDEX(Input!$1:$1048576,BR$93,$C466*2+6)</f>
        <v>5.45E-2</v>
      </c>
      <c r="BS466" s="1">
        <f>INDEX(Input!$1:$1048576,BS$93,$C466*2+6)</f>
        <v>0.05</v>
      </c>
      <c r="BT466" s="1">
        <f>INDEX(Input!$1:$1048576,BT$93,$C466*2+6)</f>
        <v>0.05</v>
      </c>
      <c r="BU466" s="1">
        <f>INDEX(Input!$1:$1048576,BU$93,$C466*2+6)</f>
        <v>0.05</v>
      </c>
      <c r="BV466" s="1">
        <f>INDEX(Input!$1:$1048576,BV$93,$C466*2+6)</f>
        <v>5.5E-2</v>
      </c>
      <c r="BW466" s="1">
        <f>INDEX(Input!$1:$1048576,BW$93,$C466*2+6)</f>
        <v>0.06</v>
      </c>
      <c r="BX466" s="127">
        <f>INDEX(Input!$1:$1048576,BX$93,$C466*2+6)</f>
        <v>19985</v>
      </c>
      <c r="BY466" s="20">
        <f>INDEX(Input!$1:$1048576,BY$93,$C466*2+6)</f>
        <v>0.1</v>
      </c>
      <c r="BZ466" s="20">
        <f>INDEX(Input!$1:$1048576,BZ$93,$C466*2+6)</f>
        <v>0.1</v>
      </c>
      <c r="CA466" s="20">
        <f>INDEX(Input!$1:$1048576,CA$93,$C466*2+6)</f>
        <v>0.1</v>
      </c>
      <c r="CB466" s="20">
        <f>INDEX(Input!$1:$1048576,CB$93,$C466*2+6)</f>
        <v>0.1</v>
      </c>
      <c r="CC466" s="20">
        <f>INDEX(Input!$1:$1048576,CC$93,$C466*2+6)</f>
        <v>0.1</v>
      </c>
      <c r="CD466" s="384">
        <f>INDEX(Input!$1:$1048576,CD$93,$C466*2+6)</f>
        <v>0.1</v>
      </c>
      <c r="CE466" s="384">
        <f>INDEX(Input!$1:$1048576,CE$93,$C466*2+6)</f>
        <v>0.1</v>
      </c>
      <c r="CF466" s="384">
        <f>INDEX(Input!$1:$1048576,CF$93,$C466*2+6)</f>
        <v>0.1</v>
      </c>
      <c r="CG466" s="384">
        <f>INDEX(Input!$1:$1048576,CG$93,$C466*2+6)</f>
        <v>0.1</v>
      </c>
      <c r="CH466" s="384">
        <f>INDEX(Input!$1:$1048576,CH$93,$C466*2+6)</f>
        <v>0.1</v>
      </c>
      <c r="CI466" s="304">
        <f t="shared" si="1214"/>
        <v>2256.832975525977</v>
      </c>
      <c r="CJ466" s="16" t="str">
        <f>INDEX(Input!$1:$1048576,CJ$93,$C466*2+6)</f>
        <v>N</v>
      </c>
      <c r="CK466" s="1" t="str">
        <f t="shared" si="1215"/>
        <v>Market</v>
      </c>
      <c r="CL466" s="1" t="str">
        <f t="shared" si="1216"/>
        <v>Market</v>
      </c>
      <c r="CM466" s="1" t="str">
        <f t="shared" si="1217"/>
        <v>Market</v>
      </c>
      <c r="CN466" s="1" t="str">
        <f t="shared" si="1218"/>
        <v>Market</v>
      </c>
      <c r="CO466" s="1" t="str">
        <f t="shared" si="1219"/>
        <v>Market</v>
      </c>
      <c r="CP466" s="304">
        <f t="shared" si="1220"/>
        <v>1416</v>
      </c>
      <c r="CQ466" s="1">
        <f t="shared" si="1221"/>
        <v>0</v>
      </c>
      <c r="CR466" s="1">
        <f t="shared" si="1222"/>
        <v>0</v>
      </c>
      <c r="CS466" s="1">
        <f t="shared" si="1223"/>
        <v>0</v>
      </c>
      <c r="CT466" s="1">
        <f t="shared" si="1224"/>
        <v>1.9E-2</v>
      </c>
      <c r="CU466" s="1">
        <f t="shared" si="1225"/>
        <v>3.9E-2</v>
      </c>
      <c r="CV466" s="304">
        <f t="shared" si="1226"/>
        <v>-1230</v>
      </c>
      <c r="CW466" s="20" t="s">
        <v>122</v>
      </c>
      <c r="CX466" s="20" t="s">
        <v>122</v>
      </c>
      <c r="CY466" s="20" t="s">
        <v>122</v>
      </c>
      <c r="CZ466" s="20" t="s">
        <v>122</v>
      </c>
      <c r="DA466" s="20" t="s">
        <v>122</v>
      </c>
      <c r="DB466" s="503">
        <f t="shared" si="1227"/>
        <v>0</v>
      </c>
      <c r="DC466" s="127">
        <v>0</v>
      </c>
      <c r="DD466" s="127">
        <v>0</v>
      </c>
      <c r="DE466" s="127">
        <v>0</v>
      </c>
      <c r="DF466" s="127">
        <v>0</v>
      </c>
      <c r="DG466" s="127">
        <v>0</v>
      </c>
      <c r="DH466" s="127">
        <v>0</v>
      </c>
      <c r="DI466" s="127">
        <v>0</v>
      </c>
      <c r="DJ466" s="127">
        <v>0</v>
      </c>
      <c r="DK466" s="127">
        <v>0</v>
      </c>
      <c r="DL466" s="127">
        <v>0</v>
      </c>
      <c r="DM466" s="304">
        <f>INDEX(Input!$1:$1048576,DM$93,$C466*2+6)</f>
        <v>21036.84210526316</v>
      </c>
      <c r="DN466" s="20">
        <v>0</v>
      </c>
      <c r="DO466" s="20">
        <v>0</v>
      </c>
      <c r="DP466" s="20">
        <v>0</v>
      </c>
      <c r="DQ466" s="20">
        <v>0</v>
      </c>
      <c r="DR466" s="20">
        <v>0</v>
      </c>
      <c r="DS466" s="20">
        <f>INDEX(Input!$1:$1048576,DS$93,$C466*2+6)</f>
        <v>0.6</v>
      </c>
      <c r="DT466" s="20">
        <f>INDEX(Input!$1:$1048576,DT$93,$C466*2+6)</f>
        <v>0.55000000000000004</v>
      </c>
      <c r="DU466" s="20">
        <f>INDEX(Input!$1:$1048576,DU$93,$C466*2+6)</f>
        <v>0.52</v>
      </c>
      <c r="DV466" s="20">
        <f>INDEX(Input!$1:$1048576,DV$93,$C466*2+6)</f>
        <v>0.5</v>
      </c>
      <c r="DW466" s="20">
        <f>INDEX(Input!$1:$1048576,DW$93,$C466*2+6)</f>
        <v>0.45</v>
      </c>
      <c r="DX466" s="20"/>
      <c r="DY466" s="7">
        <v>0.11534236713453135</v>
      </c>
      <c r="DZ466" s="7">
        <v>0</v>
      </c>
      <c r="EA466" s="7">
        <v>0.81402878048299709</v>
      </c>
      <c r="EB466" s="7">
        <v>0</v>
      </c>
      <c r="EC466" s="7">
        <v>0</v>
      </c>
      <c r="ED466" s="7">
        <v>0</v>
      </c>
      <c r="EE466" s="7">
        <v>0</v>
      </c>
      <c r="EF466" s="7">
        <v>0</v>
      </c>
      <c r="EG466" s="7">
        <v>0</v>
      </c>
      <c r="EH466" s="7">
        <v>1.2289411165605687E-2</v>
      </c>
      <c r="EI466" s="7">
        <v>3.2122327674305826E-2</v>
      </c>
      <c r="EJ466" s="7">
        <v>0.22547474264121117</v>
      </c>
      <c r="EK466" s="7">
        <v>0.59301049100784642</v>
      </c>
      <c r="EL466" s="7">
        <v>0.13710302751103104</v>
      </c>
      <c r="EM466" s="7">
        <v>4.4103824941702688E-2</v>
      </c>
      <c r="EN466" s="7">
        <v>4.9363279038090423E-2</v>
      </c>
      <c r="EO466" s="7">
        <v>0.70140961308440475</v>
      </c>
      <c r="EP466" s="7">
        <v>0.10820437811420171</v>
      </c>
      <c r="EQ466" s="7">
        <v>9.4879882182567404E-2</v>
      </c>
      <c r="ER466" s="7">
        <v>4.6142847580735814E-2</v>
      </c>
      <c r="ES466" s="7">
        <v>2.6525027440768869E-2</v>
      </c>
      <c r="ET466" s="7">
        <v>7.0628852382471505E-2</v>
      </c>
      <c r="EU466" s="6">
        <v>2770</v>
      </c>
      <c r="EV466" s="6">
        <v>0</v>
      </c>
      <c r="EW466" s="6">
        <v>2770</v>
      </c>
      <c r="EX466" s="6">
        <v>0</v>
      </c>
      <c r="EY466" s="6">
        <v>3483.6646828410285</v>
      </c>
      <c r="EZ466" s="6">
        <v>147</v>
      </c>
      <c r="FA466" s="6">
        <v>0</v>
      </c>
      <c r="FB466" s="6">
        <v>0</v>
      </c>
      <c r="FC466" s="6">
        <v>0</v>
      </c>
      <c r="FD466" s="6">
        <v>0</v>
      </c>
      <c r="FE466" s="6">
        <v>0</v>
      </c>
      <c r="FF466" s="6">
        <v>0</v>
      </c>
      <c r="FG466" s="6">
        <v>0</v>
      </c>
      <c r="FH466" s="6">
        <v>1169.8080336343592</v>
      </c>
      <c r="FI466" s="6">
        <v>1553.9796069512411</v>
      </c>
      <c r="FJ466" s="6">
        <v>2101.2110117447405</v>
      </c>
      <c r="FK466" s="6">
        <v>1772.7139978623231</v>
      </c>
      <c r="FL466" s="6">
        <v>907.07682140966381</v>
      </c>
      <c r="FM466" s="6">
        <v>1713.6646828410287</v>
      </c>
      <c r="FN466" s="6">
        <v>0</v>
      </c>
      <c r="FO466" s="6">
        <v>0</v>
      </c>
      <c r="FP466" s="6">
        <v>0</v>
      </c>
      <c r="FQ466" s="6">
        <v>0</v>
      </c>
      <c r="FR466" s="6">
        <v>0</v>
      </c>
      <c r="FS466" s="6">
        <v>0</v>
      </c>
      <c r="FT466" s="7">
        <v>0.92937114761752848</v>
      </c>
      <c r="FU466" s="7">
        <v>4.4103824941702688E-2</v>
      </c>
      <c r="FV466" s="7">
        <v>2.6525027440768869E-2</v>
      </c>
      <c r="FW466" s="6">
        <v>2770.0000000000005</v>
      </c>
      <c r="FX466" s="6">
        <v>3483.6646828410285</v>
      </c>
      <c r="FY466" s="6">
        <v>147</v>
      </c>
      <c r="FZ466" s="6">
        <v>1949.5716051445115</v>
      </c>
      <c r="GA466" s="6">
        <v>2731.9001952619601</v>
      </c>
      <c r="GB466" s="6">
        <v>17253.099804738042</v>
      </c>
      <c r="GC466" s="7">
        <v>3.3872851927908169E-2</v>
      </c>
      <c r="GD466" s="7">
        <v>3.7439599647818435E-2</v>
      </c>
      <c r="GE466" s="7"/>
      <c r="GF466" s="7"/>
      <c r="GG466" s="7">
        <v>0.10529812274152173</v>
      </c>
      <c r="GH466" s="42">
        <v>2.6898965595433335</v>
      </c>
      <c r="GI466" s="6">
        <v>10161.553922687403</v>
      </c>
      <c r="GJ466" s="14">
        <v>0.50394797582841699</v>
      </c>
      <c r="GK466" s="14">
        <v>0.50887573065309755</v>
      </c>
      <c r="GL466" s="14">
        <v>0.49605202417158284</v>
      </c>
      <c r="GM466" s="14">
        <v>0.49112426934690256</v>
      </c>
      <c r="GO466" s="5">
        <v>343.14810671672558</v>
      </c>
      <c r="GP466" s="5">
        <v>290.30179111306006</v>
      </c>
      <c r="GQ466" s="5">
        <v>535.04305713031317</v>
      </c>
      <c r="GR466" s="5">
        <v>410.15490233172511</v>
      </c>
      <c r="GS466" s="5">
        <v>339.42744393800166</v>
      </c>
      <c r="GT466" s="5">
        <v>293.4407446948278</v>
      </c>
      <c r="GU466" s="5">
        <v>258.04012322764959</v>
      </c>
      <c r="GV466" s="39" t="s">
        <v>392</v>
      </c>
      <c r="GW466" s="5">
        <v>450.45833333333331</v>
      </c>
      <c r="GX466" s="5">
        <v>337.84375</v>
      </c>
      <c r="GY466" s="5">
        <v>270.27499999999998</v>
      </c>
      <c r="GZ466" s="5">
        <v>238.48916616741096</v>
      </c>
      <c r="HA466" s="5">
        <v>220.91451012583784</v>
      </c>
      <c r="HB466" s="39">
        <v>249.04300706723333</v>
      </c>
      <c r="HC466" s="5">
        <v>280.85312499999998</v>
      </c>
      <c r="HD466" s="5">
        <v>235.41580774853799</v>
      </c>
      <c r="HE466" s="5">
        <v>236.8873861336032</v>
      </c>
      <c r="HF466" s="5">
        <v>217.50938048245612</v>
      </c>
      <c r="HG466" s="5">
        <v>207.81388157894736</v>
      </c>
      <c r="HH466" s="39">
        <v>234.84538276127174</v>
      </c>
      <c r="HI466" s="16"/>
      <c r="HJ466" s="19" t="str">
        <f t="shared" ref="HJ466" si="1282">HJ465</f>
        <v>On</v>
      </c>
      <c r="HK466" s="1" t="str">
        <f t="shared" si="1239"/>
        <v>On</v>
      </c>
      <c r="HL466" s="16"/>
      <c r="HM466" s="639">
        <f t="shared" si="1255"/>
        <v>2.9403358434788716E-2</v>
      </c>
      <c r="HN466" s="639">
        <f t="shared" si="1256"/>
        <v>1.4106809950923669E-3</v>
      </c>
      <c r="HO466" s="639">
        <f t="shared" si="1257"/>
        <v>1.7317923025048877E-3</v>
      </c>
      <c r="HP466" s="644">
        <f>(FT466*$GD466-HM466)/$JF466*INDEX(Input!$1:$1048576,$JG$93,$C466*2+6)</f>
        <v>385.84953136406591</v>
      </c>
      <c r="HQ466" s="644">
        <f>(FU466*$GD466-HN466)/$JF466*INDEX(Input!$1:$1048576,$JG$93,$C466*2+6)</f>
        <v>17.21380440009964</v>
      </c>
      <c r="HR466" s="644">
        <f>(FV466*$GD466-HO466)/$JF466*INDEX(Input!$1:$1048576,$JG$93,$C466*2+6)</f>
        <v>-52.86225413992171</v>
      </c>
      <c r="HS466" s="644">
        <f t="shared" si="1246"/>
        <v>-168.0779969339207</v>
      </c>
      <c r="HT466" s="644">
        <f t="shared" si="1258"/>
        <v>205.01145979122043</v>
      </c>
      <c r="HU466" s="644">
        <f t="shared" si="1259"/>
        <v>10.24766854417213</v>
      </c>
      <c r="HV466" s="648">
        <f t="shared" si="1260"/>
        <v>0</v>
      </c>
      <c r="HW466" s="648">
        <f t="shared" si="1261"/>
        <v>0</v>
      </c>
      <c r="HX466" s="648">
        <f t="shared" si="1262"/>
        <v>0</v>
      </c>
      <c r="HY466" s="644">
        <f>INDEX(Input!$1:$1048576,HY$93,$C466*2+6)*INDEX(Input!$1:$1048576,$JG$93,$C466*2+6)</f>
        <v>993</v>
      </c>
      <c r="HZ466" s="644">
        <f>INDEX(Input!$1:$1048576,HZ$93,$C466*2+6)*INDEX(Input!$1:$1048576,$JG$93,$C466*2+6)</f>
        <v>1216</v>
      </c>
      <c r="IA466" s="644">
        <f>INDEX(Input!$1:$1048576,IA$93,$C466*2+6)*INDEX(Input!$1:$1048576,$JG$93,$C466*2+6)</f>
        <v>120</v>
      </c>
      <c r="IB466" s="644">
        <f t="shared" ref="IB466:IB483" si="1283">SUM(HP466:IA466)-IC466-ID466</f>
        <v>1210.7715344301453</v>
      </c>
      <c r="IC466" s="644">
        <f t="shared" ref="IC466:IC483" si="1284">MAX(HZ466+HQ466+HT466+HW466,0%)</f>
        <v>1438.2252641913201</v>
      </c>
      <c r="ID466" s="644">
        <f>IF(AND(INDEX(Input!$1:$1048576,IA$93,$C466*2+7)="TOS",Y466&lt;=INDEX(Y:Y,MATCH(C466*1000+2,A:A))),0,1)*MAX(IA466+HR466+HU466+HX466,0%)</f>
        <v>77.385414404250426</v>
      </c>
      <c r="IE466" s="128">
        <f t="shared" si="1247"/>
        <v>0.4440945692227215</v>
      </c>
      <c r="IF466" s="128">
        <f t="shared" si="1248"/>
        <v>0.52752151085785959</v>
      </c>
      <c r="IG466" s="128">
        <f t="shared" si="1263"/>
        <v>2.8383919919419062E-2</v>
      </c>
      <c r="IH466" s="21"/>
      <c r="II466" s="19">
        <f t="shared" si="1264"/>
        <v>1490</v>
      </c>
      <c r="IJ466" s="19">
        <f t="shared" si="1265"/>
        <v>2203.2561351629856</v>
      </c>
      <c r="IK466" s="19">
        <f t="shared" si="1266"/>
        <v>242</v>
      </c>
      <c r="IL466" s="19">
        <f t="shared" ref="IL466:IL483" si="1285">(FW466-FA466*DZ466/FT466)-II466</f>
        <v>1280.0000000000005</v>
      </c>
      <c r="IM466" s="19">
        <f t="shared" si="1267"/>
        <v>1280.4085476780429</v>
      </c>
      <c r="IN466" s="19">
        <f t="shared" si="1268"/>
        <v>-95</v>
      </c>
      <c r="IO466" s="39">
        <f t="shared" si="1269"/>
        <v>0</v>
      </c>
      <c r="IP466" s="39">
        <f t="shared" si="1270"/>
        <v>0</v>
      </c>
      <c r="IQ466" s="39">
        <f t="shared" si="1271"/>
        <v>0</v>
      </c>
      <c r="IR466" s="39">
        <v>0</v>
      </c>
      <c r="IS466" s="39">
        <v>0</v>
      </c>
      <c r="IT466" s="39">
        <v>0</v>
      </c>
      <c r="IU466" s="39">
        <v>0</v>
      </c>
      <c r="IV466" s="39">
        <v>0</v>
      </c>
      <c r="IW466" s="39">
        <v>0</v>
      </c>
      <c r="IX466" s="39">
        <f>INDEX(Input!$1:$1048576,IX$93,$C466*2+6)+INDEX(Input!$1:$1048576,IX$94,$C466*2+6)</f>
        <v>1770</v>
      </c>
      <c r="IY466" s="39">
        <f>INDEX(Input!$1:$1048576,IY$93,$C466*2+6)+INDEX(Input!$1:$1048576,IY$94,$C466*2+6)</f>
        <v>2630.0624533823611</v>
      </c>
      <c r="IZ466" s="39">
        <f>INDEX(Input!$1:$1048576,IZ$93,$C466*2+6)+INDEX(Input!$1:$1048576,IZ$94,$C466*2+6)</f>
        <v>4153.7164157747848</v>
      </c>
      <c r="JA466" s="19">
        <f t="shared" ref="JA466:JA483" si="1286">(IL466+IO466+IR466+IU466+IX466)</f>
        <v>3050.0000000000005</v>
      </c>
      <c r="JB466" s="19">
        <f t="shared" ref="JB466:JB483" si="1287">(IM466+IP466+IS466+IV466+IY466)</f>
        <v>3910.471001060404</v>
      </c>
      <c r="JC466" s="19">
        <f t="shared" ref="JC466:JC483" si="1288">(IN466+IQ466+IT466+IW466+IZ466)</f>
        <v>4058.7164157747848</v>
      </c>
      <c r="JD466" s="19">
        <f t="shared" ref="JD466:JD483" si="1289">SUMPRODUCT(IE466:IG466,JA466:JC466)</f>
        <v>3532.548288495515</v>
      </c>
      <c r="JE466" s="21"/>
      <c r="JF466" s="1">
        <f t="shared" si="1272"/>
        <v>3.2545831732385969E-2</v>
      </c>
      <c r="JG466" s="15">
        <f>INDEX(Input!$1:$1048576,JG$93,$C466*2+6)/(1+VLOOKUP(C466*1000+INDEX(Input!$1:$1048576,JG$93+1,$C466*2+6),$A:$KK,$JK$92,FALSE))</f>
        <v>2329</v>
      </c>
      <c r="JH466" s="1">
        <f t="shared" ref="JH466:JH483" si="1290">SUM(HP466:HR466)/SUM(HY466:IA466)</f>
        <v>0.15036542791938337</v>
      </c>
      <c r="JI466" s="1">
        <f t="shared" ref="JI466:JI483" si="1291">SUM(HS466:HU466)/SUM(HY466:IA466)</f>
        <v>2.0258107085217629E-2</v>
      </c>
      <c r="JJ466" s="1">
        <f t="shared" si="1249"/>
        <v>0</v>
      </c>
      <c r="JK466" s="1">
        <f t="shared" si="1250"/>
        <v>0.17062353500460101</v>
      </c>
      <c r="JL466" s="15">
        <f t="shared" ref="JL466:JL483" si="1292">JG466*JK466</f>
        <v>397.38221302571577</v>
      </c>
      <c r="JM466" s="15">
        <f t="shared" si="1180"/>
        <v>2726.3822130257158</v>
      </c>
      <c r="JN466" s="21"/>
      <c r="JO466" s="19">
        <f>INDEX(Input!$1:$1048576,JO$93,$C466*2+6)</f>
        <v>5995.5</v>
      </c>
      <c r="JP466" s="19">
        <f>INDEX(Input!$1:$1048576,JP$93,$C466*2+6)</f>
        <v>2341.8685758720158</v>
      </c>
      <c r="JQ466" s="39">
        <f t="shared" si="1166"/>
        <v>2462.951711504485</v>
      </c>
      <c r="JR466" s="39">
        <f t="shared" si="1183"/>
        <v>1190.6797126234992</v>
      </c>
      <c r="JS466" s="39">
        <f t="shared" si="1168"/>
        <v>9.631076820408607</v>
      </c>
      <c r="JT466" s="39">
        <f t="shared" ref="JT466:JT483" si="1293">(JD466*JM466-JP466*JG466)/1000000</f>
        <v>4.1768649072026829</v>
      </c>
      <c r="JU466" s="385">
        <f>(JQ466*JM466-INDEX(Input!$1:$1048576,Input!A$18,$C466*2+6)*JL466*INDEX(Input!$1:$1048576,Input!A$19,$C466*2+6))/1000000</f>
        <v>6.7149477377870728</v>
      </c>
      <c r="JV466" s="39">
        <f t="shared" si="1190"/>
        <v>-1.7943598490070016</v>
      </c>
      <c r="JW466" s="1">
        <f t="shared" si="1181"/>
        <v>-0.21087025362577544</v>
      </c>
      <c r="JX466" s="19">
        <f t="shared" si="1172"/>
        <v>10510.950843520483</v>
      </c>
      <c r="JZ466" s="341"/>
      <c r="KA466" s="342"/>
      <c r="KB466" s="469">
        <f t="shared" si="1169"/>
        <v>2.3434325605641804</v>
      </c>
      <c r="KI466" s="473">
        <f t="shared" si="1251"/>
        <v>217.77153443014549</v>
      </c>
      <c r="KJ466" s="473">
        <f t="shared" si="1252"/>
        <v>222.22526419132032</v>
      </c>
      <c r="KK466" s="473">
        <f t="shared" ref="KK466:KK474" si="1294">$JM466*IG466-$JG466*IA466/SUM($HY466:$IA466)</f>
        <v>-42.61458559574956</v>
      </c>
      <c r="KN466" s="544">
        <f t="shared" si="1173"/>
        <v>4002</v>
      </c>
      <c r="KO466" s="541">
        <f t="shared" si="1273"/>
        <v>0.12725086129472585</v>
      </c>
      <c r="KP466" s="546">
        <f t="shared" si="1274"/>
        <v>961.5886033744473</v>
      </c>
      <c r="KQ466" s="546">
        <f t="shared" si="1275"/>
        <v>907.77710045949379</v>
      </c>
      <c r="KR466" s="548">
        <f t="shared" si="1276"/>
        <v>2.2973484303408447</v>
      </c>
      <c r="KS466" s="548">
        <f t="shared" si="1277"/>
        <v>2.4335313894542381</v>
      </c>
      <c r="KT466" s="473">
        <f t="shared" si="1171"/>
        <v>1580.0986321700548</v>
      </c>
      <c r="KU466" s="663">
        <f t="shared" ref="KU466:KU483" si="1295">IF(D466="",0,IFERROR((JM466/KT466-1)/(JD466/BX466)+B466*10^-6,0))</f>
        <v>4.1042225662878122</v>
      </c>
    </row>
    <row r="467" spans="1:307" s="26" customFormat="1" ht="15" outlineLevel="1">
      <c r="A467" s="561">
        <f t="shared" si="1278"/>
        <v>4067</v>
      </c>
      <c r="B467" s="561">
        <f t="shared" ref="B467:B500" si="1296">B466+1</f>
        <v>67</v>
      </c>
      <c r="C467" s="561">
        <f t="shared" ref="C467:C500" si="1297">C466</f>
        <v>4</v>
      </c>
      <c r="D467" s="561" t="str">
        <f t="shared" si="1206"/>
        <v xml:space="preserve">-180 Lease, </v>
      </c>
      <c r="E467" s="475">
        <f>INDEX(Input!$1:$1048576,E$93,$C467*2+MIN($B467,2)+5)
+INDEX(Scenarios!E$121:E$200,MATCH($B467,Scenarios!$B$121:$B$200,0))</f>
        <v>1256.832975525977</v>
      </c>
      <c r="F467" s="475">
        <f>INDEX(Input!$1:$1048576,F$93,$C467*2+MIN($B467,2)+5)
+INDEX(Scenarios!F$121:F$200,MATCH($B467,Scenarios!$B$121:$B$200,0))</f>
        <v>0</v>
      </c>
      <c r="G467" s="475">
        <f>INDEX(Input!$1:$1048576,G$93,$C467*2+MIN($B467,2)+5)
+INDEX(Scenarios!G$121:G$200,MATCH($B467,Scenarios!$B$121:$B$200,0))</f>
        <v>0</v>
      </c>
      <c r="H467" s="475">
        <f>INDEX(Input!$1:$1048576,H$93,$C467*2+MIN($B467,2)+5)
+INDEX(Scenarios!H$121:H$200,MATCH($B467,Scenarios!$B$121:$B$200,0))</f>
        <v>0</v>
      </c>
      <c r="I467" s="476">
        <f>INDEX(Input!$1:$1048576,I$93,$C467*2+MIN($B467,2)+5)</f>
        <v>0.7</v>
      </c>
      <c r="J467" s="476" t="str">
        <f>INDEX(Input!$1:$1048576,J$93,$C467*2+MIN($B467,2)+5)</f>
        <v>Market</v>
      </c>
      <c r="K467" s="476" t="str">
        <f>INDEX(Input!$1:$1048576,K$93,$C467*2+MIN($B467,2)+5)</f>
        <v>Market</v>
      </c>
      <c r="L467" s="476" t="str">
        <f>INDEX(Input!$1:$1048576,L$93,$C467*2+MIN($B467,2)+5)</f>
        <v>Market</v>
      </c>
      <c r="M467" s="476" t="str">
        <f>INDEX(Input!$1:$1048576,M$93,$C467*2+MIN($B467,2)+5)</f>
        <v>Market</v>
      </c>
      <c r="N467" s="476" t="str">
        <f>INDEX(Input!$1:$1048576,N$93,$C467*2+MIN($B467,2)+5)</f>
        <v>Market</v>
      </c>
      <c r="O467" s="476" t="str">
        <f>INDEX(Input!$1:$1048576,O$93,$C467*2+MIN($B467,2)+5)</f>
        <v>Market</v>
      </c>
      <c r="P467" s="476" t="str">
        <f>INDEX(Input!$1:$1048576,P$93,$C467*2+MIN($B467,2)+5)</f>
        <v>N</v>
      </c>
      <c r="Q467" s="477">
        <f>INDEX(Input!$1:$1048576,Q$93,$C467*2+MIN($B467,2)+5)
+INDEX(Scenarios!Q$121:Q$200,MATCH($B467,Scenarios!$B$121:$B$200,0))</f>
        <v>0</v>
      </c>
      <c r="R467" s="478">
        <f>IFERROR(MAX(0,INDEX(Input!$1:$1048576,R$93,$C467*2+MIN($B467,2)+5)
+INDEX(Scenarios!R$121:R$200,MATCH($B467,Scenarios!$B$121:$B$200,0)),),"Market")</f>
        <v>0</v>
      </c>
      <c r="S467" s="478">
        <f>IFERROR(MAX(0,INDEX(Input!$1:$1048576,S$93,$C467*2+MIN($B467,2)+5)
+INDEX(Scenarios!S$121:S$200,MATCH($B467,Scenarios!$B$121:$B$200,0)),),"Market")</f>
        <v>0</v>
      </c>
      <c r="T467" s="478">
        <f>IFERROR(MAX(0,INDEX(Input!$1:$1048576,T$93,$C467*2+MIN($B467,2)+5)
+INDEX(Scenarios!T$121:T$200,MATCH($B467,Scenarios!$B$121:$B$200,0)),),"Market")</f>
        <v>0</v>
      </c>
      <c r="U467" s="478">
        <f>IFERROR(MAX(0,INDEX(Input!$1:$1048576,U$93,$C467*2+MIN($B467,2)+5)
+INDEX(Scenarios!U$121:U$200,MATCH($B467,Scenarios!$B$121:$B$200,0)),),"Market")</f>
        <v>0</v>
      </c>
      <c r="V467" s="478">
        <f>IFERROR(MAX(0,INDEX(Input!$1:$1048576,V$93,$C467*2+MIN($B467,2)+5)
+INDEX(Scenarios!V$121:V$200,MATCH($B467,Scenarios!$B$121:$B$200,0)),),"Market")</f>
        <v>1.9E-2</v>
      </c>
      <c r="W467" s="885">
        <f>IFERROR(MAX(0,INDEX(Input!$1:$1048576,W$93,$C467*2+MIN($B467,2)+5)-0%,),"Market")</f>
        <v>3.9E-2</v>
      </c>
      <c r="X467" s="476" t="str">
        <f>INDEX(Input!$1:$1048576,X$93,$C467*2+MIN($B467,2)+5)</f>
        <v>Y</v>
      </c>
      <c r="Y467" s="475">
        <f>INDEX(Input!$1:$1048576,Y$93,$C467*2+MIN($B467,2)+5)
++INDEX(Scenarios!Y$121:Y$200,MATCH($B467,Scenarios!$B$121:$B$200,0))</f>
        <v>-1050</v>
      </c>
      <c r="Z467" s="477">
        <f>INDEX(Input!$1:$1048576,Z$93,$C467*2+MIN($B467,2)+5)
+INDEX(Scenarios!Z$121:Z$200,MATCH($B467,Scenarios!$B$121:$B$200,0))</f>
        <v>0</v>
      </c>
      <c r="AA467" s="475">
        <f>INDEX(Input!$1:$1048576,AA$93,$C467*2+MIN($B467,2)+5)
+INDEX(Scenarios!AA$121:AA$200,MATCH($B467,Scenarios!$B$121:$B$200,0))</f>
        <v>0</v>
      </c>
      <c r="AB467" s="476">
        <f>INDEX(Input!$1:$1048576,AB$93,$C467*2+MIN($B467,2)+5)</f>
        <v>0.27</v>
      </c>
      <c r="AC467" s="475">
        <f>INDEX(Input!$1:$1048576,AC$93,$C467*2+MIN($B467,2)+5)
+INDEX(Scenarios!AC$121:AC$200,MATCH($B467,Scenarios!$B$121:$B$200,0))</f>
        <v>0</v>
      </c>
      <c r="AD467" s="476">
        <f>INDEX(Input!$1:$1048576,AD$93,$C467*2+MIN($B467,2)+5)</f>
        <v>0.27</v>
      </c>
      <c r="AE467" s="475">
        <f>INDEX(Input!$1:$1048576,AE$93,$C467*2+MIN($B467,2)+5)
+INDEX(Scenarios!AE$121:AE$200,MATCH($B467,Scenarios!$B$121:$B$200,0))</f>
        <v>0</v>
      </c>
      <c r="AF467" s="476">
        <f>INDEX(Input!$1:$1048576,AF$93,$C467*2+MIN($B467,2)+5)</f>
        <v>1</v>
      </c>
      <c r="AG467" s="475">
        <f>INDEX(Input!$1:$1048576,AG$93,$C467*2+MIN($B467,2)+5)
+INDEX(Scenarios!AG$121:AG$200,MATCH($B467,Scenarios!$B$121:$B$200,0))</f>
        <v>500</v>
      </c>
      <c r="AH467" s="476">
        <f>INDEX(Input!$1:$1048576,AH$93,$C467*2+MIN($B467,2)+5)</f>
        <v>0.83199999999999996</v>
      </c>
      <c r="AI467" s="475">
        <f>INDEX(Input!$1:$1048576,AI$93,$C467*2+MIN($B467,2)+5)
+INDEX(Scenarios!AI$121:AI$200,MATCH($B467,Scenarios!$B$121:$B$200,0))</f>
        <v>0</v>
      </c>
      <c r="AJ467" s="476">
        <f>INDEX(Input!$1:$1048576,AJ$93,$C467*2+MIN($B467,2)+5)</f>
        <v>0.27</v>
      </c>
      <c r="AK467" s="150">
        <f>ROUND(INDEX(Input!$1:$1048576,AK$93,$C466*2+MIN($B467,1)+5)+(Y467-VLOOKUP($C467*1000+1,$A:$HH,Y$92,FALSE)),0)</f>
        <v>2407</v>
      </c>
      <c r="AL467" s="150">
        <f>ROUND(INDEX(Input!$1:$1048576,AL$93,$C466*2+MIN($B467,1)+5)-(Y467-VLOOKUP($C467*1000+1,$A:$HH,Y$92,FALSE))/36,0)</f>
        <v>3411</v>
      </c>
      <c r="AM467" s="32" t="str">
        <f t="shared" si="1279"/>
        <v>std/std/std/std</v>
      </c>
      <c r="AN467" s="32" t="str">
        <f t="shared" si="1280"/>
        <v>$0 + 0/0/0/1.9/3.9</v>
      </c>
      <c r="AO467" s="32" t="str">
        <f t="shared" si="1281"/>
        <v>0/0/0/1.9/3.9</v>
      </c>
      <c r="AP467" s="32" t="str">
        <f t="shared" si="1213"/>
        <v>0/0.9/1.9/3.9</v>
      </c>
      <c r="AQ467" s="536">
        <f t="shared" si="1207"/>
        <v>0.42845330277850818</v>
      </c>
      <c r="AR467" s="32"/>
      <c r="AS467" s="302"/>
      <c r="AT467" s="3">
        <f t="shared" ref="AT467:AT500" si="1298">AT466+1</f>
        <v>67</v>
      </c>
      <c r="AU467" s="41" t="s">
        <v>121</v>
      </c>
      <c r="AV467" s="41" t="s">
        <v>116</v>
      </c>
      <c r="AW467" s="41" t="str">
        <f>INDEX(Input!$1:$1048576,AW$93,$C467*2+6)</f>
        <v>Kia</v>
      </c>
      <c r="AX467" s="41" t="str">
        <f>INDEX(Input!$1:$1048576,AX$93,$C467*2+6)</f>
        <v>Kia-LR - R1</v>
      </c>
      <c r="AY467" s="41" t="str">
        <f>IF(LEN(D467)=0,"",INDEX(Input!$1:$1048576,AY$93,$C467*2+6))</f>
        <v>Compact SUV (52)</v>
      </c>
      <c r="AZ467" s="41" t="str">
        <f>INDEX(Input!$1:$1048576,AZ$93,$C467*2+6)</f>
        <v>Kia Soul</v>
      </c>
      <c r="BA467" s="3">
        <f>INDEX(Input!$1:$1048576,BA$93,$C467*2+6)</f>
        <v>2020</v>
      </c>
      <c r="BB467" s="128">
        <f>INDEX(Input!$1:$1048576,BB$93,$C467*2+6)</f>
        <v>1</v>
      </c>
      <c r="BC467" s="128">
        <f>INDEX(Input!$1:$1048576,BC$93,$C467*2+6)</f>
        <v>0.7</v>
      </c>
      <c r="BD467" s="1">
        <f>INDEX(Input!$1:$1048576,BD$93,$C467*2+6)</f>
        <v>4.4999999999999998E-2</v>
      </c>
      <c r="BE467" s="1">
        <f>INDEX(Input!$1:$1048576,BE$93,$C467*2+6)</f>
        <v>4.4999999999999998E-2</v>
      </c>
      <c r="BF467" s="1">
        <f>INDEX(Input!$1:$1048576,BF$93,$C467*2+6)</f>
        <v>0.05</v>
      </c>
      <c r="BG467" s="1">
        <f>INDEX(Input!$1:$1048576,BG$93,$C467*2+6)</f>
        <v>5.45E-2</v>
      </c>
      <c r="BH467" s="1">
        <f>INDEX(Input!$1:$1048576,BH$93,$C467*2+6)</f>
        <v>5.45E-2</v>
      </c>
      <c r="BI467" s="1">
        <f>INDEX(Input!$1:$1048576,BI$93,$C467*2+6)</f>
        <v>0.05</v>
      </c>
      <c r="BJ467" s="1">
        <f>INDEX(Input!$1:$1048576,BJ$93,$C467*2+6)</f>
        <v>0.05</v>
      </c>
      <c r="BK467" s="1">
        <f>INDEX(Input!$1:$1048576,BK$93,$C467*2+6)</f>
        <v>0.05</v>
      </c>
      <c r="BL467" s="1">
        <f>INDEX(Input!$1:$1048576,BL$93,$C467*2+6)</f>
        <v>5.5E-2</v>
      </c>
      <c r="BM467" s="1">
        <f>INDEX(Input!$1:$1048576,BM$93,$C467*2+6)</f>
        <v>0.06</v>
      </c>
      <c r="BN467" s="1">
        <f>INDEX(Input!$1:$1048576,BN$93,$C467*2+6)</f>
        <v>4.4999999999999998E-2</v>
      </c>
      <c r="BO467" s="1">
        <f>INDEX(Input!$1:$1048576,BO$93,$C467*2+6)</f>
        <v>4.4999999999999998E-2</v>
      </c>
      <c r="BP467" s="1">
        <f>INDEX(Input!$1:$1048576,BP$93,$C467*2+6)</f>
        <v>0.05</v>
      </c>
      <c r="BQ467" s="1">
        <f>INDEX(Input!$1:$1048576,BQ$93,$C467*2+6)</f>
        <v>5.45E-2</v>
      </c>
      <c r="BR467" s="1">
        <f>INDEX(Input!$1:$1048576,BR$93,$C467*2+6)</f>
        <v>5.45E-2</v>
      </c>
      <c r="BS467" s="1">
        <f>INDEX(Input!$1:$1048576,BS$93,$C467*2+6)</f>
        <v>0.05</v>
      </c>
      <c r="BT467" s="1">
        <f>INDEX(Input!$1:$1048576,BT$93,$C467*2+6)</f>
        <v>0.05</v>
      </c>
      <c r="BU467" s="1">
        <f>INDEX(Input!$1:$1048576,BU$93,$C467*2+6)</f>
        <v>0.05</v>
      </c>
      <c r="BV467" s="1">
        <f>INDEX(Input!$1:$1048576,BV$93,$C467*2+6)</f>
        <v>5.5E-2</v>
      </c>
      <c r="BW467" s="1">
        <f>INDEX(Input!$1:$1048576,BW$93,$C467*2+6)</f>
        <v>0.06</v>
      </c>
      <c r="BX467" s="127">
        <f>INDEX(Input!$1:$1048576,BX$93,$C467*2+6)</f>
        <v>19985</v>
      </c>
      <c r="BY467" s="20">
        <f>INDEX(Input!$1:$1048576,BY$93,$C467*2+6)</f>
        <v>0.1</v>
      </c>
      <c r="BZ467" s="20">
        <f>INDEX(Input!$1:$1048576,BZ$93,$C467*2+6)</f>
        <v>0.1</v>
      </c>
      <c r="CA467" s="20">
        <f>INDEX(Input!$1:$1048576,CA$93,$C467*2+6)</f>
        <v>0.1</v>
      </c>
      <c r="CB467" s="20">
        <f>INDEX(Input!$1:$1048576,CB$93,$C467*2+6)</f>
        <v>0.1</v>
      </c>
      <c r="CC467" s="20">
        <f>INDEX(Input!$1:$1048576,CC$93,$C467*2+6)</f>
        <v>0.1</v>
      </c>
      <c r="CD467" s="384">
        <f>INDEX(Input!$1:$1048576,CD$93,$C467*2+6)</f>
        <v>0.1</v>
      </c>
      <c r="CE467" s="384">
        <f>INDEX(Input!$1:$1048576,CE$93,$C467*2+6)</f>
        <v>0.1</v>
      </c>
      <c r="CF467" s="384">
        <f>INDEX(Input!$1:$1048576,CF$93,$C467*2+6)</f>
        <v>0.1</v>
      </c>
      <c r="CG467" s="384">
        <f>INDEX(Input!$1:$1048576,CG$93,$C467*2+6)</f>
        <v>0.1</v>
      </c>
      <c r="CH467" s="384">
        <f>INDEX(Input!$1:$1048576,CH$93,$C467*2+6)</f>
        <v>0.1</v>
      </c>
      <c r="CI467" s="304">
        <f t="shared" si="1214"/>
        <v>1256.832975525977</v>
      </c>
      <c r="CJ467" s="16" t="str">
        <f>INDEX(Input!$1:$1048576,CJ$93,$C467*2+6)</f>
        <v>N</v>
      </c>
      <c r="CK467" s="1" t="str">
        <f t="shared" si="1215"/>
        <v>Market</v>
      </c>
      <c r="CL467" s="1" t="str">
        <f t="shared" si="1216"/>
        <v>Market</v>
      </c>
      <c r="CM467" s="1" t="str">
        <f t="shared" si="1217"/>
        <v>Market</v>
      </c>
      <c r="CN467" s="1" t="str">
        <f t="shared" si="1218"/>
        <v>Market</v>
      </c>
      <c r="CO467" s="1" t="str">
        <f t="shared" si="1219"/>
        <v>Market</v>
      </c>
      <c r="CP467" s="304">
        <f t="shared" si="1220"/>
        <v>416</v>
      </c>
      <c r="CQ467" s="1">
        <f t="shared" si="1221"/>
        <v>0</v>
      </c>
      <c r="CR467" s="1">
        <f t="shared" si="1222"/>
        <v>0</v>
      </c>
      <c r="CS467" s="1">
        <f t="shared" si="1223"/>
        <v>0</v>
      </c>
      <c r="CT467" s="1">
        <f t="shared" si="1224"/>
        <v>1.9E-2</v>
      </c>
      <c r="CU467" s="1">
        <f t="shared" si="1225"/>
        <v>3.9E-2</v>
      </c>
      <c r="CV467" s="304">
        <f t="shared" si="1226"/>
        <v>-1050</v>
      </c>
      <c r="CW467" s="20" t="s">
        <v>122</v>
      </c>
      <c r="CX467" s="20" t="s">
        <v>122</v>
      </c>
      <c r="CY467" s="20" t="s">
        <v>122</v>
      </c>
      <c r="CZ467" s="20" t="s">
        <v>122</v>
      </c>
      <c r="DA467" s="20" t="s">
        <v>122</v>
      </c>
      <c r="DB467" s="503">
        <f t="shared" si="1227"/>
        <v>0</v>
      </c>
      <c r="DC467" s="127">
        <v>0</v>
      </c>
      <c r="DD467" s="127">
        <v>0</v>
      </c>
      <c r="DE467" s="127">
        <v>0</v>
      </c>
      <c r="DF467" s="127">
        <v>0</v>
      </c>
      <c r="DG467" s="127">
        <v>0</v>
      </c>
      <c r="DH467" s="127">
        <v>0</v>
      </c>
      <c r="DI467" s="127">
        <v>0</v>
      </c>
      <c r="DJ467" s="127">
        <v>0</v>
      </c>
      <c r="DK467" s="127">
        <v>0</v>
      </c>
      <c r="DL467" s="127">
        <v>0</v>
      </c>
      <c r="DM467" s="304">
        <f>INDEX(Input!$1:$1048576,DM$93,$C467*2+6)</f>
        <v>21036.84210526316</v>
      </c>
      <c r="DN467" s="20">
        <v>0</v>
      </c>
      <c r="DO467" s="20">
        <v>0</v>
      </c>
      <c r="DP467" s="20">
        <v>0</v>
      </c>
      <c r="DQ467" s="20">
        <v>0</v>
      </c>
      <c r="DR467" s="20">
        <v>0</v>
      </c>
      <c r="DS467" s="20">
        <f>INDEX(Input!$1:$1048576,DS$93,$C467*2+6)</f>
        <v>0.6</v>
      </c>
      <c r="DT467" s="20">
        <f>INDEX(Input!$1:$1048576,DT$93,$C467*2+6)</f>
        <v>0.55000000000000004</v>
      </c>
      <c r="DU467" s="20">
        <f>INDEX(Input!$1:$1048576,DU$93,$C467*2+6)</f>
        <v>0.52</v>
      </c>
      <c r="DV467" s="20">
        <f>INDEX(Input!$1:$1048576,DV$93,$C467*2+6)</f>
        <v>0.5</v>
      </c>
      <c r="DW467" s="20">
        <f>INDEX(Input!$1:$1048576,DW$93,$C467*2+6)</f>
        <v>0.45</v>
      </c>
      <c r="DX467" s="20"/>
      <c r="DY467" s="7">
        <v>0.10339303588305163</v>
      </c>
      <c r="DZ467" s="7">
        <v>0</v>
      </c>
      <c r="EA467" s="7">
        <v>0.80505813972503981</v>
      </c>
      <c r="EB467" s="7">
        <v>0</v>
      </c>
      <c r="EC467" s="7">
        <v>0</v>
      </c>
      <c r="ED467" s="7">
        <v>0</v>
      </c>
      <c r="EE467" s="7">
        <v>0</v>
      </c>
      <c r="EF467" s="7">
        <v>0</v>
      </c>
      <c r="EG467" s="7">
        <v>0</v>
      </c>
      <c r="EH467" s="7">
        <v>1.2265549413016594E-2</v>
      </c>
      <c r="EI467" s="7">
        <v>3.2041182995530833E-2</v>
      </c>
      <c r="EJ467" s="7">
        <v>0.22494498505864041</v>
      </c>
      <c r="EK467" s="7">
        <v>0.59343212791701849</v>
      </c>
      <c r="EL467" s="7">
        <v>0.13731615461579391</v>
      </c>
      <c r="EM467" s="7">
        <v>4.3484344655092343E-2</v>
      </c>
      <c r="EN467" s="7">
        <v>4.9930851699752248E-2</v>
      </c>
      <c r="EO467" s="7">
        <v>0.70702262595083121</v>
      </c>
      <c r="EP467" s="7">
        <v>0.10533142056315935</v>
      </c>
      <c r="EQ467" s="7">
        <v>9.2498541292208469E-2</v>
      </c>
      <c r="ER467" s="7">
        <v>4.5216560494048576E-2</v>
      </c>
      <c r="ES467" s="7">
        <v>4.8064479736816219E-2</v>
      </c>
      <c r="ET467" s="7">
        <v>9.1548824391908548E-2</v>
      </c>
      <c r="EU467" s="6">
        <v>1770</v>
      </c>
      <c r="EV467" s="6">
        <v>0</v>
      </c>
      <c r="EW467" s="6">
        <v>1770</v>
      </c>
      <c r="EX467" s="6">
        <v>0</v>
      </c>
      <c r="EY467" s="6">
        <v>2483.3382132568499</v>
      </c>
      <c r="EZ467" s="6">
        <v>327</v>
      </c>
      <c r="FA467" s="6">
        <v>0</v>
      </c>
      <c r="FB467" s="6">
        <v>0</v>
      </c>
      <c r="FC467" s="6">
        <v>0</v>
      </c>
      <c r="FD467" s="6">
        <v>0</v>
      </c>
      <c r="FE467" s="6">
        <v>0</v>
      </c>
      <c r="FF467" s="6">
        <v>0</v>
      </c>
      <c r="FG467" s="6">
        <v>0</v>
      </c>
      <c r="FH467" s="6">
        <v>1169.8006487331218</v>
      </c>
      <c r="FI467" s="6">
        <v>1553.9796069512392</v>
      </c>
      <c r="FJ467" s="6">
        <v>2101.2110117447414</v>
      </c>
      <c r="FK467" s="6">
        <v>1772.7139978623231</v>
      </c>
      <c r="FL467" s="6">
        <v>907.07682140966335</v>
      </c>
      <c r="FM467" s="6">
        <v>1713.3382132568499</v>
      </c>
      <c r="FN467" s="6">
        <v>0</v>
      </c>
      <c r="FO467" s="6">
        <v>0</v>
      </c>
      <c r="FP467" s="6">
        <v>0</v>
      </c>
      <c r="FQ467" s="6">
        <v>0</v>
      </c>
      <c r="FR467" s="6">
        <v>0</v>
      </c>
      <c r="FS467" s="6">
        <v>0</v>
      </c>
      <c r="FT467" s="7">
        <v>0.90845117560809141</v>
      </c>
      <c r="FU467" s="7">
        <v>4.3484344655092343E-2</v>
      </c>
      <c r="FV467" s="7">
        <v>4.8064479736816219E-2</v>
      </c>
      <c r="FW467" s="6">
        <v>1770</v>
      </c>
      <c r="FX467" s="6">
        <v>2483.3382132568499</v>
      </c>
      <c r="FY467" s="6">
        <v>327</v>
      </c>
      <c r="FZ467" s="6">
        <v>1949.5716051445115</v>
      </c>
      <c r="GA467" s="6">
        <v>1731.6620004606827</v>
      </c>
      <c r="GB467" s="6">
        <v>18253.337999539319</v>
      </c>
      <c r="GC467" s="7">
        <v>3.3872851927908169E-2</v>
      </c>
      <c r="GD467" s="7">
        <v>3.3565678605795346E-2</v>
      </c>
      <c r="GE467" s="7"/>
      <c r="GF467" s="7"/>
      <c r="GG467" s="7">
        <v>-9.0684221915114365E-3</v>
      </c>
      <c r="GH467" s="42">
        <v>0.83168622952765803</v>
      </c>
      <c r="GI467" s="6">
        <v>25761.156887432811</v>
      </c>
      <c r="GJ467" s="14">
        <v>0.50394797582841755</v>
      </c>
      <c r="GK467" s="14">
        <v>0.50887573065309744</v>
      </c>
      <c r="GL467" s="14">
        <v>0.49605202417158289</v>
      </c>
      <c r="GM467" s="14">
        <v>0.49112426934690256</v>
      </c>
      <c r="GO467" s="5">
        <v>343.14810671672558</v>
      </c>
      <c r="GP467" s="5">
        <v>309.37988338875158</v>
      </c>
      <c r="GQ467" s="5">
        <v>535.04305713031317</v>
      </c>
      <c r="GR467" s="5">
        <v>410.15490233172511</v>
      </c>
      <c r="GS467" s="5">
        <v>339.42744393800166</v>
      </c>
      <c r="GT467" s="5">
        <v>293.4407446948278</v>
      </c>
      <c r="GU467" s="5">
        <v>258.04012322764959</v>
      </c>
      <c r="GV467" s="39" t="s">
        <v>392</v>
      </c>
      <c r="GW467" s="5">
        <v>478.23611111111109</v>
      </c>
      <c r="GX467" s="5">
        <v>358.67708333333331</v>
      </c>
      <c r="GY467" s="5">
        <v>286.94166666666666</v>
      </c>
      <c r="GZ467" s="5">
        <v>253.19574071601335</v>
      </c>
      <c r="HA467" s="5">
        <v>234.53733318419432</v>
      </c>
      <c r="HB467" s="39">
        <v>264.36460753566979</v>
      </c>
      <c r="HC467" s="5">
        <v>272.97812499999998</v>
      </c>
      <c r="HD467" s="5">
        <v>230.04080774853799</v>
      </c>
      <c r="HE467" s="5">
        <v>231.89700151821859</v>
      </c>
      <c r="HF467" s="5">
        <v>213.34688048245613</v>
      </c>
      <c r="HG467" s="5">
        <v>204.36388157894737</v>
      </c>
      <c r="HH467" s="39">
        <v>229.67503388920755</v>
      </c>
      <c r="HI467" s="16"/>
      <c r="HJ467" s="19" t="str">
        <f t="shared" ref="HJ467:HK474" si="1299">HJ466</f>
        <v>On</v>
      </c>
      <c r="HK467" s="1" t="str">
        <f t="shared" si="1299"/>
        <v>On</v>
      </c>
      <c r="HL467" s="16"/>
      <c r="HM467" s="639">
        <f t="shared" si="1255"/>
        <v>2.9403358434788716E-2</v>
      </c>
      <c r="HN467" s="639">
        <f t="shared" si="1256"/>
        <v>1.4106809950923669E-3</v>
      </c>
      <c r="HO467" s="639">
        <f t="shared" si="1257"/>
        <v>1.7317923025048877E-3</v>
      </c>
      <c r="HP467" s="644">
        <f>(FT467*$GD467-HM467)/$JF467*INDEX(Input!$1:$1048576,$JG$93,$C467*2+6)</f>
        <v>77.959699651492954</v>
      </c>
      <c r="HQ467" s="644">
        <f>(FU467*$GD467-HN467)/$JF467*INDEX(Input!$1:$1048576,$JG$93,$C467*2+6)</f>
        <v>3.499353257198607</v>
      </c>
      <c r="HR467" s="644">
        <f>(FV467*$GD467-HO467)/$JF467*INDEX(Input!$1:$1048576,$JG$93,$C467*2+6)</f>
        <v>-8.4781751206805094</v>
      </c>
      <c r="HS467" s="644">
        <f t="shared" si="1246"/>
        <v>-36.767058500820852</v>
      </c>
      <c r="HT467" s="644">
        <f t="shared" si="1258"/>
        <v>44.84502671920994</v>
      </c>
      <c r="HU467" s="644">
        <f t="shared" si="1259"/>
        <v>3.7226196608272946</v>
      </c>
      <c r="HV467" s="648">
        <f t="shared" si="1260"/>
        <v>0</v>
      </c>
      <c r="HW467" s="648">
        <f t="shared" si="1261"/>
        <v>0</v>
      </c>
      <c r="HX467" s="648">
        <f t="shared" si="1262"/>
        <v>0</v>
      </c>
      <c r="HY467" s="644">
        <f>INDEX(Input!$1:$1048576,HY$93,$C467*2+6)*INDEX(Input!$1:$1048576,$JG$93,$C467*2+6)</f>
        <v>993</v>
      </c>
      <c r="HZ467" s="644">
        <f>INDEX(Input!$1:$1048576,HZ$93,$C467*2+6)*INDEX(Input!$1:$1048576,$JG$93,$C467*2+6)</f>
        <v>1216</v>
      </c>
      <c r="IA467" s="644">
        <f>INDEX(Input!$1:$1048576,IA$93,$C467*2+6)*INDEX(Input!$1:$1048576,$JG$93,$C467*2+6)</f>
        <v>120</v>
      </c>
      <c r="IB467" s="644">
        <f t="shared" si="1283"/>
        <v>1034.1926411506718</v>
      </c>
      <c r="IC467" s="644">
        <f t="shared" si="1284"/>
        <v>1264.3443799764086</v>
      </c>
      <c r="ID467" s="644">
        <f>IF(AND(INDEX(Input!$1:$1048576,IA$93,$C467*2+7)="TOS",Y467&lt;=INDEX(Y:Y,MATCH(C467*1000+2,A:A))),0,1)*MAX(IA467+HR467+HU467+HX467,0%)</f>
        <v>115.24444454014679</v>
      </c>
      <c r="IE467" s="128">
        <f t="shared" si="1247"/>
        <v>0.42845330277850818</v>
      </c>
      <c r="IF467" s="128">
        <f t="shared" si="1248"/>
        <v>0.5238023400046754</v>
      </c>
      <c r="IG467" s="128">
        <f t="shared" si="1263"/>
        <v>4.774435721681642E-2</v>
      </c>
      <c r="IH467" s="21"/>
      <c r="II467" s="19">
        <f t="shared" si="1264"/>
        <v>1490</v>
      </c>
      <c r="IJ467" s="19">
        <f t="shared" si="1265"/>
        <v>2203.2561351629856</v>
      </c>
      <c r="IK467" s="19">
        <f t="shared" si="1266"/>
        <v>242</v>
      </c>
      <c r="IL467" s="19">
        <f t="shared" si="1285"/>
        <v>280</v>
      </c>
      <c r="IM467" s="19">
        <f t="shared" si="1267"/>
        <v>280.08207809386431</v>
      </c>
      <c r="IN467" s="19">
        <f t="shared" si="1268"/>
        <v>85</v>
      </c>
      <c r="IO467" s="39">
        <f t="shared" si="1269"/>
        <v>0</v>
      </c>
      <c r="IP467" s="39">
        <f t="shared" si="1270"/>
        <v>0</v>
      </c>
      <c r="IQ467" s="39">
        <f t="shared" si="1271"/>
        <v>0</v>
      </c>
      <c r="IR467" s="39">
        <v>0</v>
      </c>
      <c r="IS467" s="39">
        <v>0</v>
      </c>
      <c r="IT467" s="39">
        <v>0</v>
      </c>
      <c r="IU467" s="39">
        <v>0</v>
      </c>
      <c r="IV467" s="39">
        <v>0</v>
      </c>
      <c r="IW467" s="39">
        <v>0</v>
      </c>
      <c r="IX467" s="39">
        <f>INDEX(Input!$1:$1048576,IX$93,$C467*2+6)+INDEX(Input!$1:$1048576,IX$94,$C467*2+6)</f>
        <v>1770</v>
      </c>
      <c r="IY467" s="39">
        <f>INDEX(Input!$1:$1048576,IY$93,$C467*2+6)+INDEX(Input!$1:$1048576,IY$94,$C467*2+6)</f>
        <v>2630.0624533823611</v>
      </c>
      <c r="IZ467" s="39">
        <f>INDEX(Input!$1:$1048576,IZ$93,$C467*2+6)+INDEX(Input!$1:$1048576,IZ$94,$C467*2+6)</f>
        <v>4153.7164157747848</v>
      </c>
      <c r="JA467" s="19">
        <f t="shared" si="1286"/>
        <v>2050</v>
      </c>
      <c r="JB467" s="19">
        <f t="shared" si="1287"/>
        <v>2910.1445314762254</v>
      </c>
      <c r="JC467" s="19">
        <f t="shared" si="1288"/>
        <v>4238.7164157747848</v>
      </c>
      <c r="JD467" s="19">
        <f t="shared" si="1289"/>
        <v>2605.0445767305332</v>
      </c>
      <c r="JE467" s="21"/>
      <c r="JF467" s="1">
        <f t="shared" si="1272"/>
        <v>3.2545831732385969E-2</v>
      </c>
      <c r="JG467" s="15">
        <f>INDEX(Input!$1:$1048576,JG$93,$C467*2+6)/(1+VLOOKUP(C467*1000+INDEX(Input!$1:$1048576,JG$93+1,$C467*2+6),$A:$KK,$JK$92,FALSE))</f>
        <v>2329</v>
      </c>
      <c r="JH467" s="1">
        <f t="shared" si="1290"/>
        <v>3.1335713949339226E-2</v>
      </c>
      <c r="JI467" s="1">
        <f t="shared" si="1291"/>
        <v>5.0668045853226205E-3</v>
      </c>
      <c r="JJ467" s="1">
        <f t="shared" si="1249"/>
        <v>0</v>
      </c>
      <c r="JK467" s="1">
        <f t="shared" si="1250"/>
        <v>3.6402518534661844E-2</v>
      </c>
      <c r="JL467" s="15">
        <f t="shared" si="1292"/>
        <v>84.781465667227437</v>
      </c>
      <c r="JM467" s="15">
        <f t="shared" si="1180"/>
        <v>2413.7814656672276</v>
      </c>
      <c r="JN467" s="21"/>
      <c r="JO467" s="19">
        <f>INDEX(Input!$1:$1048576,JO$93,$C467*2+6)</f>
        <v>5995.5</v>
      </c>
      <c r="JP467" s="19">
        <f>INDEX(Input!$1:$1048576,JP$93,$C467*2+6)</f>
        <v>2341.8685758720158</v>
      </c>
      <c r="JQ467" s="39">
        <f t="shared" ref="JQ467:JQ483" si="1300">JO467-JD467</f>
        <v>3390.4554232694668</v>
      </c>
      <c r="JR467" s="39">
        <f t="shared" si="1183"/>
        <v>263.17600085851745</v>
      </c>
      <c r="JS467" s="39">
        <f t="shared" ref="JS467:JS483" si="1301">JM467*JD467/1000000</f>
        <v>6.2880083165490888</v>
      </c>
      <c r="JT467" s="39">
        <f t="shared" si="1293"/>
        <v>0.83379640334316441</v>
      </c>
      <c r="JU467" s="385">
        <f>(JQ467*JM467-INDEX(Input!$1:$1048576,Input!A$18,$C467*2+6)*JL467*INDEX(Input!$1:$1048576,Input!A$19,$C467*2+6))/1000000</f>
        <v>8.1838184608587738</v>
      </c>
      <c r="JV467" s="39">
        <f t="shared" si="1190"/>
        <v>-0.32548912593530055</v>
      </c>
      <c r="JW467" s="1">
        <f t="shared" si="1181"/>
        <v>-3.8250953161035078E-2</v>
      </c>
      <c r="JX467" s="19">
        <f t="shared" si="1172"/>
        <v>9834.6542700248592</v>
      </c>
      <c r="JZ467" s="341"/>
      <c r="KA467" s="342"/>
      <c r="KB467" s="469">
        <f t="shared" ref="KB467:KB487" si="1302">KB466</f>
        <v>2.3434325605641804</v>
      </c>
      <c r="KI467" s="473">
        <f t="shared" si="1251"/>
        <v>41.192641150671989</v>
      </c>
      <c r="KJ467" s="473">
        <f t="shared" si="1252"/>
        <v>48.344379976408845</v>
      </c>
      <c r="KK467" s="473">
        <f t="shared" si="1294"/>
        <v>-4.7555554598531842</v>
      </c>
      <c r="KN467" s="544">
        <f t="shared" si="1173"/>
        <v>4002</v>
      </c>
      <c r="KO467" s="541">
        <f t="shared" si="1273"/>
        <v>-1.9971436319800029E-3</v>
      </c>
      <c r="KP467" s="546">
        <f t="shared" si="1274"/>
        <v>-8.5756000964189791</v>
      </c>
      <c r="KQ467" s="546">
        <f t="shared" si="1275"/>
        <v>-19.72661130548795</v>
      </c>
      <c r="KR467" s="548">
        <f t="shared" si="1276"/>
        <v>4.0429672596332447</v>
      </c>
      <c r="KS467" s="548">
        <f t="shared" si="1277"/>
        <v>1.7575684888100462</v>
      </c>
      <c r="KT467" s="473">
        <f t="shared" ref="KT467:KT487" si="1303">KT466</f>
        <v>1580.0986321700548</v>
      </c>
      <c r="KU467" s="663">
        <f t="shared" si="1295"/>
        <v>4.0477421937999054</v>
      </c>
    </row>
    <row r="468" spans="1:307" s="26" customFormat="1" ht="15" outlineLevel="1">
      <c r="A468" s="561">
        <f t="shared" si="1278"/>
        <v>4068</v>
      </c>
      <c r="B468" s="561">
        <f t="shared" si="1296"/>
        <v>68</v>
      </c>
      <c r="C468" s="561">
        <f t="shared" si="1297"/>
        <v>4</v>
      </c>
      <c r="D468" s="561" t="str">
        <f t="shared" si="1206"/>
        <v xml:space="preserve">180 Lease, </v>
      </c>
      <c r="E468" s="475">
        <f>INDEX(Input!$1:$1048576,E$93,$C468*2+MIN($B468,2)+5)
+INDEX(Scenarios!E$121:E$200,MATCH($B468,Scenarios!$B$121:$B$200,0))</f>
        <v>1256.832975525977</v>
      </c>
      <c r="F468" s="475">
        <f>INDEX(Input!$1:$1048576,F$93,$C468*2+MIN($B468,2)+5)
+INDEX(Scenarios!F$121:F$200,MATCH($B468,Scenarios!$B$121:$B$200,0))</f>
        <v>0</v>
      </c>
      <c r="G468" s="475">
        <f>INDEX(Input!$1:$1048576,G$93,$C468*2+MIN($B468,2)+5)
+INDEX(Scenarios!G$121:G$200,MATCH($B468,Scenarios!$B$121:$B$200,0))</f>
        <v>0</v>
      </c>
      <c r="H468" s="475">
        <f>INDEX(Input!$1:$1048576,H$93,$C468*2+MIN($B468,2)+5)
+INDEX(Scenarios!H$121:H$200,MATCH($B468,Scenarios!$B$121:$B$200,0))</f>
        <v>0</v>
      </c>
      <c r="I468" s="476">
        <f>INDEX(Input!$1:$1048576,I$93,$C468*2+MIN($B468,2)+5)</f>
        <v>0.7</v>
      </c>
      <c r="J468" s="476" t="str">
        <f>INDEX(Input!$1:$1048576,J$93,$C468*2+MIN($B468,2)+5)</f>
        <v>Market</v>
      </c>
      <c r="K468" s="476" t="str">
        <f>INDEX(Input!$1:$1048576,K$93,$C468*2+MIN($B468,2)+5)</f>
        <v>Market</v>
      </c>
      <c r="L468" s="476" t="str">
        <f>INDEX(Input!$1:$1048576,L$93,$C468*2+MIN($B468,2)+5)</f>
        <v>Market</v>
      </c>
      <c r="M468" s="476" t="str">
        <f>INDEX(Input!$1:$1048576,M$93,$C468*2+MIN($B468,2)+5)</f>
        <v>Market</v>
      </c>
      <c r="N468" s="476" t="str">
        <f>INDEX(Input!$1:$1048576,N$93,$C468*2+MIN($B468,2)+5)</f>
        <v>Market</v>
      </c>
      <c r="O468" s="476" t="str">
        <f>INDEX(Input!$1:$1048576,O$93,$C468*2+MIN($B468,2)+5)</f>
        <v>Market</v>
      </c>
      <c r="P468" s="476" t="str">
        <f>INDEX(Input!$1:$1048576,P$93,$C468*2+MIN($B468,2)+5)</f>
        <v>N</v>
      </c>
      <c r="Q468" s="477">
        <f>INDEX(Input!$1:$1048576,Q$93,$C468*2+MIN($B468,2)+5)
+INDEX(Scenarios!Q$121:Q$200,MATCH($B468,Scenarios!$B$121:$B$200,0))</f>
        <v>0</v>
      </c>
      <c r="R468" s="478">
        <f>IFERROR(MAX(0,INDEX(Input!$1:$1048576,R$93,$C468*2+MIN($B468,2)+5)
+INDEX(Scenarios!R$121:R$200,MATCH($B468,Scenarios!$B$121:$B$200,0)),),"Market")</f>
        <v>0</v>
      </c>
      <c r="S468" s="478">
        <f>IFERROR(MAX(0,INDEX(Input!$1:$1048576,S$93,$C468*2+MIN($B468,2)+5)
+INDEX(Scenarios!S$121:S$200,MATCH($B468,Scenarios!$B$121:$B$200,0)),),"Market")</f>
        <v>0</v>
      </c>
      <c r="T468" s="478">
        <f>IFERROR(MAX(0,INDEX(Input!$1:$1048576,T$93,$C468*2+MIN($B468,2)+5)
+INDEX(Scenarios!T$121:T$200,MATCH($B468,Scenarios!$B$121:$B$200,0)),),"Market")</f>
        <v>0</v>
      </c>
      <c r="U468" s="478">
        <f>IFERROR(MAX(0,INDEX(Input!$1:$1048576,U$93,$C468*2+MIN($B468,2)+5)
+INDEX(Scenarios!U$121:U$200,MATCH($B468,Scenarios!$B$121:$B$200,0)),),"Market")</f>
        <v>0</v>
      </c>
      <c r="V468" s="478">
        <f>IFERROR(MAX(0,INDEX(Input!$1:$1048576,V$93,$C468*2+MIN($B468,2)+5)
+INDEX(Scenarios!V$121:V$200,MATCH($B468,Scenarios!$B$121:$B$200,0)),),"Market")</f>
        <v>1.9E-2</v>
      </c>
      <c r="W468" s="885">
        <f>IFERROR(MAX(0,INDEX(Input!$1:$1048576,W$93,$C468*2+MIN($B468,2)+5)-0%,),"Market")</f>
        <v>3.9E-2</v>
      </c>
      <c r="X468" s="476" t="str">
        <f>INDEX(Input!$1:$1048576,X$93,$C468*2+MIN($B468,2)+5)</f>
        <v>Y</v>
      </c>
      <c r="Y468" s="475">
        <f>INDEX(Input!$1:$1048576,Y$93,$C468*2+MIN($B468,2)+5)
++INDEX(Scenarios!Y$121:Y$200,MATCH($B468,Scenarios!$B$121:$B$200,0))</f>
        <v>-690</v>
      </c>
      <c r="Z468" s="477">
        <f>INDEX(Input!$1:$1048576,Z$93,$C468*2+MIN($B468,2)+5)
+INDEX(Scenarios!Z$121:Z$200,MATCH($B468,Scenarios!$B$121:$B$200,0))</f>
        <v>0</v>
      </c>
      <c r="AA468" s="475">
        <f>INDEX(Input!$1:$1048576,AA$93,$C468*2+MIN($B468,2)+5)
+INDEX(Scenarios!AA$121:AA$200,MATCH($B468,Scenarios!$B$121:$B$200,0))</f>
        <v>0</v>
      </c>
      <c r="AB468" s="476">
        <f>INDEX(Input!$1:$1048576,AB$93,$C468*2+MIN($B468,2)+5)</f>
        <v>0.27</v>
      </c>
      <c r="AC468" s="475">
        <f>INDEX(Input!$1:$1048576,AC$93,$C468*2+MIN($B468,2)+5)
+INDEX(Scenarios!AC$121:AC$200,MATCH($B468,Scenarios!$B$121:$B$200,0))</f>
        <v>0</v>
      </c>
      <c r="AD468" s="476">
        <f>INDEX(Input!$1:$1048576,AD$93,$C468*2+MIN($B468,2)+5)</f>
        <v>0.27</v>
      </c>
      <c r="AE468" s="475">
        <f>INDEX(Input!$1:$1048576,AE$93,$C468*2+MIN($B468,2)+5)
+INDEX(Scenarios!AE$121:AE$200,MATCH($B468,Scenarios!$B$121:$B$200,0))</f>
        <v>0</v>
      </c>
      <c r="AF468" s="476">
        <f>INDEX(Input!$1:$1048576,AF$93,$C468*2+MIN($B468,2)+5)</f>
        <v>1</v>
      </c>
      <c r="AG468" s="475">
        <f>INDEX(Input!$1:$1048576,AG$93,$C468*2+MIN($B468,2)+5)
+INDEX(Scenarios!AG$121:AG$200,MATCH($B468,Scenarios!$B$121:$B$200,0))</f>
        <v>500</v>
      </c>
      <c r="AH468" s="476">
        <f>INDEX(Input!$1:$1048576,AH$93,$C468*2+MIN($B468,2)+5)</f>
        <v>0.83199999999999996</v>
      </c>
      <c r="AI468" s="475">
        <f>INDEX(Input!$1:$1048576,AI$93,$C468*2+MIN($B468,2)+5)
+INDEX(Scenarios!AI$121:AI$200,MATCH($B468,Scenarios!$B$121:$B$200,0))</f>
        <v>0</v>
      </c>
      <c r="AJ468" s="476">
        <f>INDEX(Input!$1:$1048576,AJ$93,$C468*2+MIN($B468,2)+5)</f>
        <v>0.27</v>
      </c>
      <c r="AK468" s="150">
        <f>ROUND(INDEX(Input!$1:$1048576,AK$93,$C467*2+MIN($B468,1)+5)+(Y468-VLOOKUP($C468*1000+1,$A:$HH,Y$92,FALSE)),0)</f>
        <v>2767</v>
      </c>
      <c r="AL468" s="150">
        <f>ROUND(INDEX(Input!$1:$1048576,AL$93,$C467*2+MIN($B468,1)+5)-(Y468-VLOOKUP($C468*1000+1,$A:$HH,Y$92,FALSE))/36,0)</f>
        <v>3401</v>
      </c>
      <c r="AM468" s="32" t="str">
        <f t="shared" si="1279"/>
        <v>std/std/std/std</v>
      </c>
      <c r="AN468" s="32" t="str">
        <f t="shared" si="1280"/>
        <v>$0 + 0/0/0/1.9/3.9</v>
      </c>
      <c r="AO468" s="32" t="str">
        <f t="shared" si="1281"/>
        <v>0/0/0/1.9/3.9</v>
      </c>
      <c r="AP468" s="32" t="str">
        <f t="shared" si="1213"/>
        <v>0/0.9/1.9/3.9</v>
      </c>
      <c r="AQ468" s="536">
        <f t="shared" si="1207"/>
        <v>0.42022659146051311</v>
      </c>
      <c r="AR468" s="32"/>
      <c r="AS468" s="302"/>
      <c r="AT468" s="3">
        <f t="shared" si="1298"/>
        <v>68</v>
      </c>
      <c r="AU468" s="41" t="s">
        <v>121</v>
      </c>
      <c r="AV468" s="41" t="s">
        <v>116</v>
      </c>
      <c r="AW468" s="41" t="str">
        <f>INDEX(Input!$1:$1048576,AW$93,$C468*2+6)</f>
        <v>Kia</v>
      </c>
      <c r="AX468" s="41" t="str">
        <f>INDEX(Input!$1:$1048576,AX$93,$C468*2+6)</f>
        <v>Kia-LR - R1</v>
      </c>
      <c r="AY468" s="41" t="str">
        <f>IF(LEN(D468)=0,"",INDEX(Input!$1:$1048576,AY$93,$C468*2+6))</f>
        <v>Compact SUV (52)</v>
      </c>
      <c r="AZ468" s="41" t="str">
        <f>INDEX(Input!$1:$1048576,AZ$93,$C468*2+6)</f>
        <v>Kia Soul</v>
      </c>
      <c r="BA468" s="3">
        <f>INDEX(Input!$1:$1048576,BA$93,$C468*2+6)</f>
        <v>2020</v>
      </c>
      <c r="BB468" s="128">
        <f>INDEX(Input!$1:$1048576,BB$93,$C468*2+6)</f>
        <v>1</v>
      </c>
      <c r="BC468" s="128">
        <f>INDEX(Input!$1:$1048576,BC$93,$C468*2+6)</f>
        <v>0.7</v>
      </c>
      <c r="BD468" s="1">
        <f>INDEX(Input!$1:$1048576,BD$93,$C468*2+6)</f>
        <v>4.4999999999999998E-2</v>
      </c>
      <c r="BE468" s="1">
        <f>INDEX(Input!$1:$1048576,BE$93,$C468*2+6)</f>
        <v>4.4999999999999998E-2</v>
      </c>
      <c r="BF468" s="1">
        <f>INDEX(Input!$1:$1048576,BF$93,$C468*2+6)</f>
        <v>0.05</v>
      </c>
      <c r="BG468" s="1">
        <f>INDEX(Input!$1:$1048576,BG$93,$C468*2+6)</f>
        <v>5.45E-2</v>
      </c>
      <c r="BH468" s="1">
        <f>INDEX(Input!$1:$1048576,BH$93,$C468*2+6)</f>
        <v>5.45E-2</v>
      </c>
      <c r="BI468" s="1">
        <f>INDEX(Input!$1:$1048576,BI$93,$C468*2+6)</f>
        <v>0.05</v>
      </c>
      <c r="BJ468" s="1">
        <f>INDEX(Input!$1:$1048576,BJ$93,$C468*2+6)</f>
        <v>0.05</v>
      </c>
      <c r="BK468" s="1">
        <f>INDEX(Input!$1:$1048576,BK$93,$C468*2+6)</f>
        <v>0.05</v>
      </c>
      <c r="BL468" s="1">
        <f>INDEX(Input!$1:$1048576,BL$93,$C468*2+6)</f>
        <v>5.5E-2</v>
      </c>
      <c r="BM468" s="1">
        <f>INDEX(Input!$1:$1048576,BM$93,$C468*2+6)</f>
        <v>0.06</v>
      </c>
      <c r="BN468" s="1">
        <f>INDEX(Input!$1:$1048576,BN$93,$C468*2+6)</f>
        <v>4.4999999999999998E-2</v>
      </c>
      <c r="BO468" s="1">
        <f>INDEX(Input!$1:$1048576,BO$93,$C468*2+6)</f>
        <v>4.4999999999999998E-2</v>
      </c>
      <c r="BP468" s="1">
        <f>INDEX(Input!$1:$1048576,BP$93,$C468*2+6)</f>
        <v>0.05</v>
      </c>
      <c r="BQ468" s="1">
        <f>INDEX(Input!$1:$1048576,BQ$93,$C468*2+6)</f>
        <v>5.45E-2</v>
      </c>
      <c r="BR468" s="1">
        <f>INDEX(Input!$1:$1048576,BR$93,$C468*2+6)</f>
        <v>5.45E-2</v>
      </c>
      <c r="BS468" s="1">
        <f>INDEX(Input!$1:$1048576,BS$93,$C468*2+6)</f>
        <v>0.05</v>
      </c>
      <c r="BT468" s="1">
        <f>INDEX(Input!$1:$1048576,BT$93,$C468*2+6)</f>
        <v>0.05</v>
      </c>
      <c r="BU468" s="1">
        <f>INDEX(Input!$1:$1048576,BU$93,$C468*2+6)</f>
        <v>0.05</v>
      </c>
      <c r="BV468" s="1">
        <f>INDEX(Input!$1:$1048576,BV$93,$C468*2+6)</f>
        <v>5.5E-2</v>
      </c>
      <c r="BW468" s="1">
        <f>INDEX(Input!$1:$1048576,BW$93,$C468*2+6)</f>
        <v>0.06</v>
      </c>
      <c r="BX468" s="127">
        <f>INDEX(Input!$1:$1048576,BX$93,$C468*2+6)</f>
        <v>19985</v>
      </c>
      <c r="BY468" s="20">
        <f>INDEX(Input!$1:$1048576,BY$93,$C468*2+6)</f>
        <v>0.1</v>
      </c>
      <c r="BZ468" s="20">
        <f>INDEX(Input!$1:$1048576,BZ$93,$C468*2+6)</f>
        <v>0.1</v>
      </c>
      <c r="CA468" s="20">
        <f>INDEX(Input!$1:$1048576,CA$93,$C468*2+6)</f>
        <v>0.1</v>
      </c>
      <c r="CB468" s="20">
        <f>INDEX(Input!$1:$1048576,CB$93,$C468*2+6)</f>
        <v>0.1</v>
      </c>
      <c r="CC468" s="20">
        <f>INDEX(Input!$1:$1048576,CC$93,$C468*2+6)</f>
        <v>0.1</v>
      </c>
      <c r="CD468" s="384">
        <f>INDEX(Input!$1:$1048576,CD$93,$C468*2+6)</f>
        <v>0.1</v>
      </c>
      <c r="CE468" s="384">
        <f>INDEX(Input!$1:$1048576,CE$93,$C468*2+6)</f>
        <v>0.1</v>
      </c>
      <c r="CF468" s="384">
        <f>INDEX(Input!$1:$1048576,CF$93,$C468*2+6)</f>
        <v>0.1</v>
      </c>
      <c r="CG468" s="384">
        <f>INDEX(Input!$1:$1048576,CG$93,$C468*2+6)</f>
        <v>0.1</v>
      </c>
      <c r="CH468" s="384">
        <f>INDEX(Input!$1:$1048576,CH$93,$C468*2+6)</f>
        <v>0.1</v>
      </c>
      <c r="CI468" s="304">
        <f t="shared" si="1214"/>
        <v>1256.832975525977</v>
      </c>
      <c r="CJ468" s="16" t="str">
        <f>INDEX(Input!$1:$1048576,CJ$93,$C468*2+6)</f>
        <v>N</v>
      </c>
      <c r="CK468" s="1" t="str">
        <f t="shared" si="1215"/>
        <v>Market</v>
      </c>
      <c r="CL468" s="1" t="str">
        <f t="shared" si="1216"/>
        <v>Market</v>
      </c>
      <c r="CM468" s="1" t="str">
        <f t="shared" si="1217"/>
        <v>Market</v>
      </c>
      <c r="CN468" s="1" t="str">
        <f t="shared" si="1218"/>
        <v>Market</v>
      </c>
      <c r="CO468" s="1" t="str">
        <f t="shared" si="1219"/>
        <v>Market</v>
      </c>
      <c r="CP468" s="304">
        <f t="shared" si="1220"/>
        <v>416</v>
      </c>
      <c r="CQ468" s="1">
        <f t="shared" si="1221"/>
        <v>0</v>
      </c>
      <c r="CR468" s="1">
        <f t="shared" si="1222"/>
        <v>0</v>
      </c>
      <c r="CS468" s="1">
        <f t="shared" si="1223"/>
        <v>0</v>
      </c>
      <c r="CT468" s="1">
        <f t="shared" si="1224"/>
        <v>1.9E-2</v>
      </c>
      <c r="CU468" s="1">
        <f t="shared" si="1225"/>
        <v>3.9E-2</v>
      </c>
      <c r="CV468" s="304">
        <f t="shared" si="1226"/>
        <v>-690</v>
      </c>
      <c r="CW468" s="20" t="s">
        <v>122</v>
      </c>
      <c r="CX468" s="20" t="s">
        <v>122</v>
      </c>
      <c r="CY468" s="20" t="s">
        <v>122</v>
      </c>
      <c r="CZ468" s="20" t="s">
        <v>122</v>
      </c>
      <c r="DA468" s="20" t="s">
        <v>122</v>
      </c>
      <c r="DB468" s="503">
        <f t="shared" si="1227"/>
        <v>0</v>
      </c>
      <c r="DC468" s="127">
        <v>0</v>
      </c>
      <c r="DD468" s="127">
        <v>0</v>
      </c>
      <c r="DE468" s="127">
        <v>0</v>
      </c>
      <c r="DF468" s="127">
        <v>0</v>
      </c>
      <c r="DG468" s="127">
        <v>0</v>
      </c>
      <c r="DH468" s="127">
        <v>0</v>
      </c>
      <c r="DI468" s="127">
        <v>0</v>
      </c>
      <c r="DJ468" s="127">
        <v>0</v>
      </c>
      <c r="DK468" s="127">
        <v>0</v>
      </c>
      <c r="DL468" s="127">
        <v>0</v>
      </c>
      <c r="DM468" s="304">
        <f>INDEX(Input!$1:$1048576,DM$93,$C468*2+6)</f>
        <v>21036.84210526316</v>
      </c>
      <c r="DN468" s="20">
        <v>0</v>
      </c>
      <c r="DO468" s="20">
        <v>0</v>
      </c>
      <c r="DP468" s="20">
        <v>0</v>
      </c>
      <c r="DQ468" s="20">
        <v>0</v>
      </c>
      <c r="DR468" s="20">
        <v>0</v>
      </c>
      <c r="DS468" s="20">
        <f>INDEX(Input!$1:$1048576,DS$93,$C468*2+6)</f>
        <v>0.6</v>
      </c>
      <c r="DT468" s="20">
        <f>INDEX(Input!$1:$1048576,DT$93,$C468*2+6)</f>
        <v>0.55000000000000004</v>
      </c>
      <c r="DU468" s="20">
        <f>INDEX(Input!$1:$1048576,DU$93,$C468*2+6)</f>
        <v>0.52</v>
      </c>
      <c r="DV468" s="20">
        <f>INDEX(Input!$1:$1048576,DV$93,$C468*2+6)</f>
        <v>0.5</v>
      </c>
      <c r="DW468" s="20">
        <f>INDEX(Input!$1:$1048576,DW$93,$C468*2+6)</f>
        <v>0.45</v>
      </c>
      <c r="DX468" s="20"/>
      <c r="DY468" s="7">
        <v>0.10239236022155516</v>
      </c>
      <c r="DZ468" s="7">
        <v>0</v>
      </c>
      <c r="EA468" s="7">
        <v>0.79769456351703549</v>
      </c>
      <c r="EB468" s="7">
        <v>0</v>
      </c>
      <c r="EC468" s="7">
        <v>0</v>
      </c>
      <c r="ED468" s="7">
        <v>0</v>
      </c>
      <c r="EE468" s="7">
        <v>0</v>
      </c>
      <c r="EF468" s="7">
        <v>0</v>
      </c>
      <c r="EG468" s="7">
        <v>0</v>
      </c>
      <c r="EH468" s="7">
        <v>1.2256789441677027E-2</v>
      </c>
      <c r="EI468" s="7">
        <v>3.2009349050832497E-2</v>
      </c>
      <c r="EJ468" s="7">
        <v>0.22477808555677112</v>
      </c>
      <c r="EK468" s="7">
        <v>0.59360389447135609</v>
      </c>
      <c r="EL468" s="7">
        <v>0.13735188147936295</v>
      </c>
      <c r="EM468" s="7">
        <v>4.3058842582443246E-2</v>
      </c>
      <c r="EN468" s="7">
        <v>5.1029759503616497E-2</v>
      </c>
      <c r="EO468" s="7">
        <v>0.71842783034739532</v>
      </c>
      <c r="EP468" s="7">
        <v>9.9624594577427644E-2</v>
      </c>
      <c r="EQ468" s="7">
        <v>8.7518905157938448E-2</v>
      </c>
      <c r="ER468" s="7">
        <v>4.3398910413621816E-2</v>
      </c>
      <c r="ES468" s="7">
        <v>5.6854233678966144E-2</v>
      </c>
      <c r="ET468" s="7">
        <v>9.9913076261409384E-2</v>
      </c>
      <c r="EU468" s="6">
        <v>1770</v>
      </c>
      <c r="EV468" s="6">
        <v>0</v>
      </c>
      <c r="EW468" s="6">
        <v>1770</v>
      </c>
      <c r="EX468" s="6">
        <v>0</v>
      </c>
      <c r="EY468" s="6">
        <v>2483.2646589595038</v>
      </c>
      <c r="EZ468" s="6">
        <v>687</v>
      </c>
      <c r="FA468" s="6">
        <v>0</v>
      </c>
      <c r="FB468" s="6">
        <v>0</v>
      </c>
      <c r="FC468" s="6">
        <v>0</v>
      </c>
      <c r="FD468" s="6">
        <v>0</v>
      </c>
      <c r="FE468" s="6">
        <v>0</v>
      </c>
      <c r="FF468" s="6">
        <v>0</v>
      </c>
      <c r="FG468" s="6">
        <v>0</v>
      </c>
      <c r="FH468" s="6">
        <v>1169.7968557153029</v>
      </c>
      <c r="FI468" s="6">
        <v>1553.9796069512402</v>
      </c>
      <c r="FJ468" s="6">
        <v>2101.2110117447401</v>
      </c>
      <c r="FK468" s="6">
        <v>1772.7139978623225</v>
      </c>
      <c r="FL468" s="6">
        <v>907.07682140966278</v>
      </c>
      <c r="FM468" s="6">
        <v>1713.2646589595038</v>
      </c>
      <c r="FN468" s="6">
        <v>0</v>
      </c>
      <c r="FO468" s="6">
        <v>0</v>
      </c>
      <c r="FP468" s="6">
        <v>0</v>
      </c>
      <c r="FQ468" s="6">
        <v>0</v>
      </c>
      <c r="FR468" s="6">
        <v>0</v>
      </c>
      <c r="FS468" s="6">
        <v>0</v>
      </c>
      <c r="FT468" s="7">
        <v>0.90008692373859067</v>
      </c>
      <c r="FU468" s="7">
        <v>4.3058842582443246E-2</v>
      </c>
      <c r="FV468" s="7">
        <v>5.6854233678966144E-2</v>
      </c>
      <c r="FW468" s="6">
        <v>1770</v>
      </c>
      <c r="FX468" s="6">
        <v>2483.2646589595038</v>
      </c>
      <c r="FY468" s="6">
        <v>687</v>
      </c>
      <c r="FZ468" s="6">
        <v>1949.5716051445115</v>
      </c>
      <c r="GA468" s="6">
        <v>1739.1392155954372</v>
      </c>
      <c r="GB468" s="6">
        <v>18245.860784404562</v>
      </c>
      <c r="GC468" s="7">
        <v>3.3872851927908169E-2</v>
      </c>
      <c r="GD468" s="7">
        <v>3.363399707953945E-2</v>
      </c>
      <c r="GE468" s="7"/>
      <c r="GF468" s="7"/>
      <c r="GG468" s="7">
        <v>-7.0515127830711047E-3</v>
      </c>
      <c r="GH468" s="42">
        <v>0.66969007609359232</v>
      </c>
      <c r="GI468" s="6">
        <v>31581.30160297265</v>
      </c>
      <c r="GJ468" s="14">
        <v>0.50394797582841733</v>
      </c>
      <c r="GK468" s="14">
        <v>0.50887573065309777</v>
      </c>
      <c r="GL468" s="14">
        <v>0.49605202417158284</v>
      </c>
      <c r="GM468" s="14">
        <v>0.49112426934690268</v>
      </c>
      <c r="GO468" s="5">
        <v>343.14810671672558</v>
      </c>
      <c r="GP468" s="5">
        <v>309.37988338875158</v>
      </c>
      <c r="GQ468" s="5">
        <v>535.04305713031317</v>
      </c>
      <c r="GR468" s="5">
        <v>410.15490233172511</v>
      </c>
      <c r="GS468" s="5">
        <v>339.42744393800166</v>
      </c>
      <c r="GT468" s="5">
        <v>293.4407446948278</v>
      </c>
      <c r="GU468" s="5">
        <v>258.04012322764959</v>
      </c>
      <c r="GV468" s="39" t="s">
        <v>392</v>
      </c>
      <c r="GW468" s="5">
        <v>478.23611111111109</v>
      </c>
      <c r="GX468" s="5">
        <v>358.67708333333331</v>
      </c>
      <c r="GY468" s="5">
        <v>286.94166666666666</v>
      </c>
      <c r="GZ468" s="5">
        <v>253.19574071601335</v>
      </c>
      <c r="HA468" s="5">
        <v>234.53733318419432</v>
      </c>
      <c r="HB468" s="39">
        <v>264.35297951663557</v>
      </c>
      <c r="HC468" s="5">
        <v>257.22812499999998</v>
      </c>
      <c r="HD468" s="5">
        <v>219.29080774853799</v>
      </c>
      <c r="HE468" s="5">
        <v>221.91623228744936</v>
      </c>
      <c r="HF468" s="5">
        <v>205.02188048245614</v>
      </c>
      <c r="HG468" s="5">
        <v>197.46388157894737</v>
      </c>
      <c r="HH468" s="39">
        <v>219.29223107383058</v>
      </c>
      <c r="HI468" s="16"/>
      <c r="HJ468" s="19" t="str">
        <f t="shared" ref="HJ468" si="1304">HJ467</f>
        <v>On</v>
      </c>
      <c r="HK468" s="1" t="str">
        <f t="shared" si="1299"/>
        <v>On</v>
      </c>
      <c r="HL468" s="16"/>
      <c r="HM468" s="639">
        <f t="shared" si="1255"/>
        <v>2.9403358434788716E-2</v>
      </c>
      <c r="HN468" s="639">
        <f t="shared" si="1256"/>
        <v>1.4106809950923669E-3</v>
      </c>
      <c r="HO468" s="639">
        <f t="shared" si="1257"/>
        <v>1.7317923025048877E-3</v>
      </c>
      <c r="HP468" s="644">
        <f>(FT468*$GD468-HM468)/$JF468*INDEX(Input!$1:$1048576,$JG$93,$C468*2+6)</f>
        <v>62.26937286547102</v>
      </c>
      <c r="HQ468" s="644">
        <f>(FU468*$GD468-HN468)/$JF468*INDEX(Input!$1:$1048576,$JG$93,$C468*2+6)</f>
        <v>2.6878163313157706</v>
      </c>
      <c r="HR468" s="644">
        <f>(FV468*$GD468-HO468)/$JF468*INDEX(Input!$1:$1048576,$JG$93,$C468*2+6)</f>
        <v>12.91260114562958</v>
      </c>
      <c r="HS468" s="644">
        <f t="shared" si="1246"/>
        <v>-36.767024925217285</v>
      </c>
      <c r="HT468" s="644">
        <f t="shared" si="1258"/>
        <v>44.832618124144958</v>
      </c>
      <c r="HU468" s="644">
        <f t="shared" si="1259"/>
        <v>8.7626132951027724</v>
      </c>
      <c r="HV468" s="648">
        <f t="shared" si="1260"/>
        <v>0</v>
      </c>
      <c r="HW468" s="648">
        <f t="shared" si="1261"/>
        <v>0</v>
      </c>
      <c r="HX468" s="648">
        <f t="shared" si="1262"/>
        <v>0</v>
      </c>
      <c r="HY468" s="644">
        <f>INDEX(Input!$1:$1048576,HY$93,$C468*2+6)*INDEX(Input!$1:$1048576,$JG$93,$C468*2+6)</f>
        <v>993</v>
      </c>
      <c r="HZ468" s="644">
        <f>INDEX(Input!$1:$1048576,HZ$93,$C468*2+6)*INDEX(Input!$1:$1048576,$JG$93,$C468*2+6)</f>
        <v>1216</v>
      </c>
      <c r="IA468" s="644">
        <f>INDEX(Input!$1:$1048576,IA$93,$C468*2+6)*INDEX(Input!$1:$1048576,$JG$93,$C468*2+6)</f>
        <v>120</v>
      </c>
      <c r="IB468" s="644">
        <f t="shared" si="1283"/>
        <v>1018.5023479402535</v>
      </c>
      <c r="IC468" s="644">
        <f t="shared" si="1284"/>
        <v>1263.5204344554609</v>
      </c>
      <c r="ID468" s="644">
        <f>IF(AND(INDEX(Input!$1:$1048576,IA$93,$C468*2+7)="TOS",Y468&lt;=INDEX(Y:Y,MATCH(C468*1000+2,A:A))),0,1)*MAX(IA468+HR468+HU468+HX468,0%)</f>
        <v>141.67521444073236</v>
      </c>
      <c r="IE468" s="128">
        <f t="shared" si="1247"/>
        <v>0.42022659146051311</v>
      </c>
      <c r="IF468" s="128">
        <f t="shared" si="1248"/>
        <v>0.52131925516491007</v>
      </c>
      <c r="IG468" s="128">
        <f t="shared" si="1263"/>
        <v>5.8454153374576864E-2</v>
      </c>
      <c r="IH468" s="21"/>
      <c r="II468" s="19">
        <f t="shared" si="1264"/>
        <v>1490</v>
      </c>
      <c r="IJ468" s="19">
        <f t="shared" si="1265"/>
        <v>2203.2561351629856</v>
      </c>
      <c r="IK468" s="19">
        <f t="shared" si="1266"/>
        <v>242</v>
      </c>
      <c r="IL468" s="19">
        <f t="shared" si="1285"/>
        <v>280</v>
      </c>
      <c r="IM468" s="19">
        <f t="shared" si="1267"/>
        <v>280.00852379651815</v>
      </c>
      <c r="IN468" s="19">
        <f t="shared" si="1268"/>
        <v>445</v>
      </c>
      <c r="IO468" s="39">
        <f t="shared" si="1269"/>
        <v>0</v>
      </c>
      <c r="IP468" s="39">
        <f t="shared" si="1270"/>
        <v>0</v>
      </c>
      <c r="IQ468" s="39">
        <f t="shared" si="1271"/>
        <v>0</v>
      </c>
      <c r="IR468" s="39">
        <v>0</v>
      </c>
      <c r="IS468" s="39">
        <v>0</v>
      </c>
      <c r="IT468" s="39">
        <v>0</v>
      </c>
      <c r="IU468" s="39">
        <v>0</v>
      </c>
      <c r="IV468" s="39">
        <v>0</v>
      </c>
      <c r="IW468" s="39">
        <v>0</v>
      </c>
      <c r="IX468" s="39">
        <f>INDEX(Input!$1:$1048576,IX$93,$C468*2+6)+INDEX(Input!$1:$1048576,IX$94,$C468*2+6)</f>
        <v>1770</v>
      </c>
      <c r="IY468" s="39">
        <f>INDEX(Input!$1:$1048576,IY$93,$C468*2+6)+INDEX(Input!$1:$1048576,IY$94,$C468*2+6)</f>
        <v>2630.0624533823611</v>
      </c>
      <c r="IZ468" s="39">
        <f>INDEX(Input!$1:$1048576,IZ$93,$C468*2+6)+INDEX(Input!$1:$1048576,IZ$94,$C468*2+6)</f>
        <v>4153.7164157747848</v>
      </c>
      <c r="JA468" s="19">
        <f t="shared" si="1286"/>
        <v>2050</v>
      </c>
      <c r="JB468" s="19">
        <f t="shared" si="1287"/>
        <v>2910.0709771788793</v>
      </c>
      <c r="JC468" s="19">
        <f t="shared" si="1288"/>
        <v>4598.7164157747848</v>
      </c>
      <c r="JD468" s="19">
        <f t="shared" si="1289"/>
        <v>2647.3546214878506</v>
      </c>
      <c r="JE468" s="21"/>
      <c r="JF468" s="1">
        <f t="shared" si="1272"/>
        <v>3.2545831732385969E-2</v>
      </c>
      <c r="JG468" s="15">
        <f>INDEX(Input!$1:$1048576,JG$93,$C468*2+6)/(1+VLOOKUP(C468*1000+INDEX(Input!$1:$1048576,JG$93+1,$C468*2+6),$A:$KK,$JK$92,FALSE))</f>
        <v>2329</v>
      </c>
      <c r="JH468" s="1">
        <f t="shared" si="1290"/>
        <v>3.3434860602153872E-2</v>
      </c>
      <c r="JI468" s="1">
        <f t="shared" si="1291"/>
        <v>7.2255072967069324E-3</v>
      </c>
      <c r="JJ468" s="1">
        <f t="shared" si="1249"/>
        <v>0</v>
      </c>
      <c r="JK468" s="1">
        <f t="shared" si="1250"/>
        <v>4.0660367898860808E-2</v>
      </c>
      <c r="JL468" s="15">
        <f t="shared" si="1292"/>
        <v>94.697996836446819</v>
      </c>
      <c r="JM468" s="15">
        <f t="shared" si="1180"/>
        <v>2423.6979968364467</v>
      </c>
      <c r="JN468" s="21"/>
      <c r="JO468" s="19">
        <f>INDEX(Input!$1:$1048576,JO$93,$C468*2+6)</f>
        <v>5995.5</v>
      </c>
      <c r="JP468" s="19">
        <f>INDEX(Input!$1:$1048576,JP$93,$C468*2+6)</f>
        <v>2341.8685758720158</v>
      </c>
      <c r="JQ468" s="39">
        <f t="shared" si="1300"/>
        <v>3348.1453785121494</v>
      </c>
      <c r="JR468" s="39">
        <f t="shared" si="1183"/>
        <v>305.48604561583488</v>
      </c>
      <c r="JS468" s="39">
        <f t="shared" si="1301"/>
        <v>6.4163880930158133</v>
      </c>
      <c r="JT468" s="39">
        <f t="shared" si="1293"/>
        <v>0.96217617980988879</v>
      </c>
      <c r="JU468" s="385">
        <f>(JQ468*JM468-INDEX(Input!$1:$1048576,Input!A$18,$C468*2+6)*JL468*INDEX(Input!$1:$1048576,Input!A$19,$C468*2+6))/1000000</f>
        <v>8.114893247017104</v>
      </c>
      <c r="JV468" s="39">
        <f t="shared" si="1190"/>
        <v>-0.39441433977697038</v>
      </c>
      <c r="JW468" s="1">
        <f t="shared" si="1181"/>
        <v>-4.6350932288436411E-2</v>
      </c>
      <c r="JX468" s="19">
        <f t="shared" ref="JX468:JX483" si="1305">IF(JL468=0,0,JT468/JL468)*1000000</f>
        <v>10160.470252308147</v>
      </c>
      <c r="JZ468" s="341"/>
      <c r="KA468" s="342"/>
      <c r="KB468" s="469">
        <f t="shared" si="1302"/>
        <v>2.3434325605641804</v>
      </c>
      <c r="KI468" s="473">
        <f t="shared" si="1251"/>
        <v>25.502347940253458</v>
      </c>
      <c r="KJ468" s="473">
        <f t="shared" si="1252"/>
        <v>47.520434455460872</v>
      </c>
      <c r="KK468" s="473">
        <f t="shared" si="1294"/>
        <v>21.675214440732361</v>
      </c>
      <c r="KN468" s="544">
        <f t="shared" ref="KN468:KN483" si="1306">KM468+(KN467-KM467)</f>
        <v>4002</v>
      </c>
      <c r="KO468" s="541">
        <f t="shared" si="1273"/>
        <v>2.1029485150974025E-3</v>
      </c>
      <c r="KP468" s="546">
        <f t="shared" si="1274"/>
        <v>10.501699388218039</v>
      </c>
      <c r="KQ468" s="546">
        <f t="shared" si="1275"/>
        <v>22.583433451829478</v>
      </c>
      <c r="KR468" s="548">
        <f t="shared" si="1276"/>
        <v>3.4763580685645135</v>
      </c>
      <c r="KS468" s="548">
        <f t="shared" si="1277"/>
        <v>1.6165685115924353</v>
      </c>
      <c r="KT468" s="473">
        <f t="shared" si="1303"/>
        <v>1580.0986321700548</v>
      </c>
      <c r="KU468" s="663">
        <f t="shared" si="1295"/>
        <v>4.0304302198782409</v>
      </c>
    </row>
    <row r="469" spans="1:307" s="26" customFormat="1" ht="15" outlineLevel="1">
      <c r="A469" s="561">
        <f t="shared" si="1278"/>
        <v>4069</v>
      </c>
      <c r="B469" s="561">
        <f t="shared" si="1296"/>
        <v>69</v>
      </c>
      <c r="C469" s="561">
        <f t="shared" si="1297"/>
        <v>4</v>
      </c>
      <c r="D469" s="561" t="str">
        <f t="shared" si="1206"/>
        <v xml:space="preserve">500 CC, 0/1.8/2.8/3.9, 1000 Combo, </v>
      </c>
      <c r="E469" s="475">
        <f>INDEX(Input!$1:$1048576,E$93,$C469*2+MIN($B469,2)+5)
+INDEX(Scenarios!E$121:E$200,MATCH($B469,Scenarios!$B$121:$B$200,0))</f>
        <v>1756.832975525977</v>
      </c>
      <c r="F469" s="475">
        <f>INDEX(Input!$1:$1048576,F$93,$C469*2+MIN($B469,2)+5)
+INDEX(Scenarios!F$121:F$200,MATCH($B469,Scenarios!$B$121:$B$200,0))</f>
        <v>0</v>
      </c>
      <c r="G469" s="475">
        <f>INDEX(Input!$1:$1048576,G$93,$C469*2+MIN($B469,2)+5)
+INDEX(Scenarios!G$121:G$200,MATCH($B469,Scenarios!$B$121:$B$200,0))</f>
        <v>0</v>
      </c>
      <c r="H469" s="475">
        <f>INDEX(Input!$1:$1048576,H$93,$C469*2+MIN($B469,2)+5)
+INDEX(Scenarios!H$121:H$200,MATCH($B469,Scenarios!$B$121:$B$200,0))</f>
        <v>0</v>
      </c>
      <c r="I469" s="476">
        <f>INDEX(Input!$1:$1048576,I$93,$C469*2+MIN($B469,2)+5)</f>
        <v>0.7</v>
      </c>
      <c r="J469" s="476" t="str">
        <f>INDEX(Input!$1:$1048576,J$93,$C469*2+MIN($B469,2)+5)</f>
        <v>Market</v>
      </c>
      <c r="K469" s="476" t="str">
        <f>INDEX(Input!$1:$1048576,K$93,$C469*2+MIN($B469,2)+5)</f>
        <v>Market</v>
      </c>
      <c r="L469" s="476" t="str">
        <f>INDEX(Input!$1:$1048576,L$93,$C469*2+MIN($B469,2)+5)</f>
        <v>Market</v>
      </c>
      <c r="M469" s="476" t="str">
        <f>INDEX(Input!$1:$1048576,M$93,$C469*2+MIN($B469,2)+5)</f>
        <v>Market</v>
      </c>
      <c r="N469" s="476" t="str">
        <f>INDEX(Input!$1:$1048576,N$93,$C469*2+MIN($B469,2)+5)</f>
        <v>Market</v>
      </c>
      <c r="O469" s="476" t="str">
        <f>INDEX(Input!$1:$1048576,O$93,$C469*2+MIN($B469,2)+5)</f>
        <v>Market</v>
      </c>
      <c r="P469" s="476" t="str">
        <f>INDEX(Input!$1:$1048576,P$93,$C469*2+MIN($B469,2)+5)</f>
        <v>N</v>
      </c>
      <c r="Q469" s="477">
        <f>INDEX(Input!$1:$1048576,Q$93,$C469*2+MIN($B469,2)+5)
+INDEX(Scenarios!Q$121:Q$200,MATCH($B469,Scenarios!$B$121:$B$200,0))</f>
        <v>1000</v>
      </c>
      <c r="R469" s="478">
        <f>IFERROR(MAX(0,INDEX(Input!$1:$1048576,R$93,$C469*2+MIN($B469,2)+5)
+INDEX(Scenarios!R$121:R$200,MATCH($B469,Scenarios!$B$121:$B$200,0)),),"Market")</f>
        <v>0</v>
      </c>
      <c r="S469" s="478">
        <f>IFERROR(MAX(0,INDEX(Input!$1:$1048576,S$93,$C469*2+MIN($B469,2)+5)
+INDEX(Scenarios!S$121:S$200,MATCH($B469,Scenarios!$B$121:$B$200,0)),),"Market")</f>
        <v>0</v>
      </c>
      <c r="T469" s="478">
        <f>IFERROR(MAX(0,INDEX(Input!$1:$1048576,T$93,$C469*2+MIN($B469,2)+5)
+INDEX(Scenarios!T$121:T$200,MATCH($B469,Scenarios!$B$121:$B$200,0)),),"Market")</f>
        <v>0</v>
      </c>
      <c r="U469" s="478">
        <f>IFERROR(MAX(0,INDEX(Input!$1:$1048576,U$93,$C469*2+MIN($B469,2)+5)
+INDEX(Scenarios!U$121:U$200,MATCH($B469,Scenarios!$B$121:$B$200,0)),),"Market")</f>
        <v>0</v>
      </c>
      <c r="V469" s="478">
        <f>IFERROR(MAX(0,INDEX(Input!$1:$1048576,V$93,$C469*2+MIN($B469,2)+5)
+INDEX(Scenarios!V$121:V$200,MATCH($B469,Scenarios!$B$121:$B$200,0)),),"Market")</f>
        <v>2.7999999999999997E-2</v>
      </c>
      <c r="W469" s="885">
        <f>IFERROR(MAX(0,INDEX(Input!$1:$1048576,W$93,$C469*2+MIN($B469,2)+5)-0%,),"Market")</f>
        <v>3.9E-2</v>
      </c>
      <c r="X469" s="476" t="str">
        <f>INDEX(Input!$1:$1048576,X$93,$C469*2+MIN($B469,2)+5)</f>
        <v>Y</v>
      </c>
      <c r="Y469" s="475">
        <f>INDEX(Input!$1:$1048576,Y$93,$C469*2+MIN($B469,2)+5)
++INDEX(Scenarios!Y$121:Y$200,MATCH($B469,Scenarios!$B$121:$B$200,0))</f>
        <v>-870</v>
      </c>
      <c r="Z469" s="477">
        <f>INDEX(Input!$1:$1048576,Z$93,$C469*2+MIN($B469,2)+5)
+INDEX(Scenarios!Z$121:Z$200,MATCH($B469,Scenarios!$B$121:$B$200,0))</f>
        <v>0</v>
      </c>
      <c r="AA469" s="475">
        <f>INDEX(Input!$1:$1048576,AA$93,$C469*2+MIN($B469,2)+5)
+INDEX(Scenarios!AA$121:AA$200,MATCH($B469,Scenarios!$B$121:$B$200,0))</f>
        <v>0</v>
      </c>
      <c r="AB469" s="476">
        <f>INDEX(Input!$1:$1048576,AB$93,$C469*2+MIN($B469,2)+5)</f>
        <v>0.27</v>
      </c>
      <c r="AC469" s="475">
        <f>INDEX(Input!$1:$1048576,AC$93,$C469*2+MIN($B469,2)+5)
+INDEX(Scenarios!AC$121:AC$200,MATCH($B469,Scenarios!$B$121:$B$200,0))</f>
        <v>0</v>
      </c>
      <c r="AD469" s="476">
        <f>INDEX(Input!$1:$1048576,AD$93,$C469*2+MIN($B469,2)+5)</f>
        <v>0.27</v>
      </c>
      <c r="AE469" s="475">
        <f>INDEX(Input!$1:$1048576,AE$93,$C469*2+MIN($B469,2)+5)
+INDEX(Scenarios!AE$121:AE$200,MATCH($B469,Scenarios!$B$121:$B$200,0))</f>
        <v>0</v>
      </c>
      <c r="AF469" s="476">
        <f>INDEX(Input!$1:$1048576,AF$93,$C469*2+MIN($B469,2)+5)</f>
        <v>1</v>
      </c>
      <c r="AG469" s="475">
        <f>INDEX(Input!$1:$1048576,AG$93,$C469*2+MIN($B469,2)+5)
+INDEX(Scenarios!AG$121:AG$200,MATCH($B469,Scenarios!$B$121:$B$200,0))</f>
        <v>500</v>
      </c>
      <c r="AH469" s="476">
        <f>INDEX(Input!$1:$1048576,AH$93,$C469*2+MIN($B469,2)+5)</f>
        <v>0.83199999999999996</v>
      </c>
      <c r="AI469" s="475">
        <f>INDEX(Input!$1:$1048576,AI$93,$C469*2+MIN($B469,2)+5)
+INDEX(Scenarios!AI$121:AI$200,MATCH($B469,Scenarios!$B$121:$B$200,0))</f>
        <v>0</v>
      </c>
      <c r="AJ469" s="476">
        <f>INDEX(Input!$1:$1048576,AJ$93,$C469*2+MIN($B469,2)+5)</f>
        <v>0.27</v>
      </c>
      <c r="AK469" s="150">
        <f>ROUND(INDEX(Input!$1:$1048576,AK$93,$C468*2+MIN($B469,1)+5)+(Y469-VLOOKUP($C469*1000+1,$A:$HH,Y$92,FALSE)),0)</f>
        <v>2587</v>
      </c>
      <c r="AL469" s="150">
        <f>ROUND(INDEX(Input!$1:$1048576,AL$93,$C468*2+MIN($B469,1)+5)-(Y469-VLOOKUP($C469*1000+1,$A:$HH,Y$92,FALSE))/36,0)</f>
        <v>3406</v>
      </c>
      <c r="AM469" s="32" t="str">
        <f t="shared" si="1279"/>
        <v>std/std/std/std</v>
      </c>
      <c r="AN469" s="32" t="str">
        <f t="shared" si="1280"/>
        <v>$1000 + 0/0/0/2.8/3.9</v>
      </c>
      <c r="AO469" s="32" t="str">
        <f t="shared" si="1281"/>
        <v>0/0/0/2.8/3.9</v>
      </c>
      <c r="AP469" s="32" t="str">
        <f t="shared" si="1213"/>
        <v>0/1.8/2.8/3.9</v>
      </c>
      <c r="AQ469" s="536">
        <f t="shared" si="1207"/>
        <v>0.42216134777706993</v>
      </c>
      <c r="AR469" s="32"/>
      <c r="AS469" s="302"/>
      <c r="AT469" s="3">
        <f t="shared" si="1298"/>
        <v>69</v>
      </c>
      <c r="AU469" s="41" t="s">
        <v>121</v>
      </c>
      <c r="AV469" s="41" t="s">
        <v>116</v>
      </c>
      <c r="AW469" s="41" t="str">
        <f>INDEX(Input!$1:$1048576,AW$93,$C469*2+6)</f>
        <v>Kia</v>
      </c>
      <c r="AX469" s="41" t="str">
        <f>INDEX(Input!$1:$1048576,AX$93,$C469*2+6)</f>
        <v>Kia-LR - R1</v>
      </c>
      <c r="AY469" s="41" t="str">
        <f>IF(LEN(D469)=0,"",INDEX(Input!$1:$1048576,AY$93,$C469*2+6))</f>
        <v>Compact SUV (52)</v>
      </c>
      <c r="AZ469" s="41" t="str">
        <f>INDEX(Input!$1:$1048576,AZ$93,$C469*2+6)</f>
        <v>Kia Soul</v>
      </c>
      <c r="BA469" s="3">
        <f>INDEX(Input!$1:$1048576,BA$93,$C469*2+6)</f>
        <v>2020</v>
      </c>
      <c r="BB469" s="128">
        <f>INDEX(Input!$1:$1048576,BB$93,$C469*2+6)</f>
        <v>1</v>
      </c>
      <c r="BC469" s="128">
        <f>INDEX(Input!$1:$1048576,BC$93,$C469*2+6)</f>
        <v>0.7</v>
      </c>
      <c r="BD469" s="1">
        <f>INDEX(Input!$1:$1048576,BD$93,$C469*2+6)</f>
        <v>4.4999999999999998E-2</v>
      </c>
      <c r="BE469" s="1">
        <f>INDEX(Input!$1:$1048576,BE$93,$C469*2+6)</f>
        <v>4.4999999999999998E-2</v>
      </c>
      <c r="BF469" s="1">
        <f>INDEX(Input!$1:$1048576,BF$93,$C469*2+6)</f>
        <v>0.05</v>
      </c>
      <c r="BG469" s="1">
        <f>INDEX(Input!$1:$1048576,BG$93,$C469*2+6)</f>
        <v>5.45E-2</v>
      </c>
      <c r="BH469" s="1">
        <f>INDEX(Input!$1:$1048576,BH$93,$C469*2+6)</f>
        <v>5.45E-2</v>
      </c>
      <c r="BI469" s="1">
        <f>INDEX(Input!$1:$1048576,BI$93,$C469*2+6)</f>
        <v>0.05</v>
      </c>
      <c r="BJ469" s="1">
        <f>INDEX(Input!$1:$1048576,BJ$93,$C469*2+6)</f>
        <v>0.05</v>
      </c>
      <c r="BK469" s="1">
        <f>INDEX(Input!$1:$1048576,BK$93,$C469*2+6)</f>
        <v>0.05</v>
      </c>
      <c r="BL469" s="1">
        <f>INDEX(Input!$1:$1048576,BL$93,$C469*2+6)</f>
        <v>5.5E-2</v>
      </c>
      <c r="BM469" s="1">
        <f>INDEX(Input!$1:$1048576,BM$93,$C469*2+6)</f>
        <v>0.06</v>
      </c>
      <c r="BN469" s="1">
        <f>INDEX(Input!$1:$1048576,BN$93,$C469*2+6)</f>
        <v>4.4999999999999998E-2</v>
      </c>
      <c r="BO469" s="1">
        <f>INDEX(Input!$1:$1048576,BO$93,$C469*2+6)</f>
        <v>4.4999999999999998E-2</v>
      </c>
      <c r="BP469" s="1">
        <f>INDEX(Input!$1:$1048576,BP$93,$C469*2+6)</f>
        <v>0.05</v>
      </c>
      <c r="BQ469" s="1">
        <f>INDEX(Input!$1:$1048576,BQ$93,$C469*2+6)</f>
        <v>5.45E-2</v>
      </c>
      <c r="BR469" s="1">
        <f>INDEX(Input!$1:$1048576,BR$93,$C469*2+6)</f>
        <v>5.45E-2</v>
      </c>
      <c r="BS469" s="1">
        <f>INDEX(Input!$1:$1048576,BS$93,$C469*2+6)</f>
        <v>0.05</v>
      </c>
      <c r="BT469" s="1">
        <f>INDEX(Input!$1:$1048576,BT$93,$C469*2+6)</f>
        <v>0.05</v>
      </c>
      <c r="BU469" s="1">
        <f>INDEX(Input!$1:$1048576,BU$93,$C469*2+6)</f>
        <v>0.05</v>
      </c>
      <c r="BV469" s="1">
        <f>INDEX(Input!$1:$1048576,BV$93,$C469*2+6)</f>
        <v>5.5E-2</v>
      </c>
      <c r="BW469" s="1">
        <f>INDEX(Input!$1:$1048576,BW$93,$C469*2+6)</f>
        <v>0.06</v>
      </c>
      <c r="BX469" s="127">
        <f>INDEX(Input!$1:$1048576,BX$93,$C469*2+6)</f>
        <v>19985</v>
      </c>
      <c r="BY469" s="20">
        <f>INDEX(Input!$1:$1048576,BY$93,$C469*2+6)</f>
        <v>0.1</v>
      </c>
      <c r="BZ469" s="20">
        <f>INDEX(Input!$1:$1048576,BZ$93,$C469*2+6)</f>
        <v>0.1</v>
      </c>
      <c r="CA469" s="20">
        <f>INDEX(Input!$1:$1048576,CA$93,$C469*2+6)</f>
        <v>0.1</v>
      </c>
      <c r="CB469" s="20">
        <f>INDEX(Input!$1:$1048576,CB$93,$C469*2+6)</f>
        <v>0.1</v>
      </c>
      <c r="CC469" s="20">
        <f>INDEX(Input!$1:$1048576,CC$93,$C469*2+6)</f>
        <v>0.1</v>
      </c>
      <c r="CD469" s="384">
        <f>INDEX(Input!$1:$1048576,CD$93,$C469*2+6)</f>
        <v>0.1</v>
      </c>
      <c r="CE469" s="384">
        <f>INDEX(Input!$1:$1048576,CE$93,$C469*2+6)</f>
        <v>0.1</v>
      </c>
      <c r="CF469" s="384">
        <f>INDEX(Input!$1:$1048576,CF$93,$C469*2+6)</f>
        <v>0.1</v>
      </c>
      <c r="CG469" s="384">
        <f>INDEX(Input!$1:$1048576,CG$93,$C469*2+6)</f>
        <v>0.1</v>
      </c>
      <c r="CH469" s="384">
        <f>INDEX(Input!$1:$1048576,CH$93,$C469*2+6)</f>
        <v>0.1</v>
      </c>
      <c r="CI469" s="304">
        <f t="shared" si="1214"/>
        <v>1756.832975525977</v>
      </c>
      <c r="CJ469" s="16" t="str">
        <f>INDEX(Input!$1:$1048576,CJ$93,$C469*2+6)</f>
        <v>N</v>
      </c>
      <c r="CK469" s="1" t="str">
        <f t="shared" si="1215"/>
        <v>Market</v>
      </c>
      <c r="CL469" s="1" t="str">
        <f t="shared" si="1216"/>
        <v>Market</v>
      </c>
      <c r="CM469" s="1" t="str">
        <f t="shared" si="1217"/>
        <v>Market</v>
      </c>
      <c r="CN469" s="1" t="str">
        <f t="shared" si="1218"/>
        <v>Market</v>
      </c>
      <c r="CO469" s="1" t="str">
        <f t="shared" si="1219"/>
        <v>Market</v>
      </c>
      <c r="CP469" s="304">
        <f t="shared" si="1220"/>
        <v>1416</v>
      </c>
      <c r="CQ469" s="1">
        <f t="shared" si="1221"/>
        <v>0</v>
      </c>
      <c r="CR469" s="1">
        <f t="shared" si="1222"/>
        <v>0</v>
      </c>
      <c r="CS469" s="1">
        <f t="shared" si="1223"/>
        <v>0</v>
      </c>
      <c r="CT469" s="1">
        <f t="shared" si="1224"/>
        <v>2.7999999999999997E-2</v>
      </c>
      <c r="CU469" s="1">
        <f t="shared" si="1225"/>
        <v>3.9E-2</v>
      </c>
      <c r="CV469" s="304">
        <f t="shared" si="1226"/>
        <v>-870</v>
      </c>
      <c r="CW469" s="20" t="s">
        <v>122</v>
      </c>
      <c r="CX469" s="20" t="s">
        <v>122</v>
      </c>
      <c r="CY469" s="20" t="s">
        <v>122</v>
      </c>
      <c r="CZ469" s="20" t="s">
        <v>122</v>
      </c>
      <c r="DA469" s="20" t="s">
        <v>122</v>
      </c>
      <c r="DB469" s="503">
        <f t="shared" si="1227"/>
        <v>0</v>
      </c>
      <c r="DC469" s="127">
        <v>0</v>
      </c>
      <c r="DD469" s="127">
        <v>0</v>
      </c>
      <c r="DE469" s="127">
        <v>0</v>
      </c>
      <c r="DF469" s="127">
        <v>0</v>
      </c>
      <c r="DG469" s="127">
        <v>0</v>
      </c>
      <c r="DH469" s="127">
        <v>0</v>
      </c>
      <c r="DI469" s="127">
        <v>0</v>
      </c>
      <c r="DJ469" s="127">
        <v>0</v>
      </c>
      <c r="DK469" s="127">
        <v>0</v>
      </c>
      <c r="DL469" s="127">
        <v>0</v>
      </c>
      <c r="DM469" s="304">
        <f>INDEX(Input!$1:$1048576,DM$93,$C469*2+6)</f>
        <v>21036.84210526316</v>
      </c>
      <c r="DN469" s="20">
        <v>0</v>
      </c>
      <c r="DO469" s="20">
        <v>0</v>
      </c>
      <c r="DP469" s="20">
        <v>0</v>
      </c>
      <c r="DQ469" s="20">
        <v>0</v>
      </c>
      <c r="DR469" s="20">
        <v>0</v>
      </c>
      <c r="DS469" s="20">
        <f>INDEX(Input!$1:$1048576,DS$93,$C469*2+6)</f>
        <v>0.6</v>
      </c>
      <c r="DT469" s="20">
        <f>INDEX(Input!$1:$1048576,DT$93,$C469*2+6)</f>
        <v>0.55000000000000004</v>
      </c>
      <c r="DU469" s="20">
        <f>INDEX(Input!$1:$1048576,DU$93,$C469*2+6)</f>
        <v>0.52</v>
      </c>
      <c r="DV469" s="20">
        <f>INDEX(Input!$1:$1048576,DV$93,$C469*2+6)</f>
        <v>0.5</v>
      </c>
      <c r="DW469" s="20">
        <f>INDEX(Input!$1:$1048576,DW$93,$C469*2+6)</f>
        <v>0.45</v>
      </c>
      <c r="DX469" s="20"/>
      <c r="DY469" s="7">
        <v>0.10877909434916011</v>
      </c>
      <c r="DZ469" s="7">
        <v>0</v>
      </c>
      <c r="EA469" s="7">
        <v>0.804406173970036</v>
      </c>
      <c r="EB469" s="7">
        <v>0</v>
      </c>
      <c r="EC469" s="7">
        <v>0</v>
      </c>
      <c r="ED469" s="7">
        <v>0</v>
      </c>
      <c r="EE469" s="7">
        <v>0</v>
      </c>
      <c r="EF469" s="7">
        <v>0</v>
      </c>
      <c r="EG469" s="7">
        <v>0</v>
      </c>
      <c r="EH469" s="7">
        <v>1.5067069681844271E-2</v>
      </c>
      <c r="EI469" s="7">
        <v>3.9355409827747406E-2</v>
      </c>
      <c r="EJ469" s="7">
        <v>0.2764650141518476</v>
      </c>
      <c r="EK469" s="7">
        <v>0.50072270626198956</v>
      </c>
      <c r="EL469" s="7">
        <v>0.16838980007657103</v>
      </c>
      <c r="EM469" s="7">
        <v>4.625400201959956E-2</v>
      </c>
      <c r="EN469" s="7">
        <v>5.0444199340014609E-2</v>
      </c>
      <c r="EO469" s="7">
        <v>0.71272663915638268</v>
      </c>
      <c r="EP469" s="7">
        <v>0.10250326508014583</v>
      </c>
      <c r="EQ469" s="7">
        <v>8.9977243281103542E-2</v>
      </c>
      <c r="ER469" s="7">
        <v>4.4348653142353783E-2</v>
      </c>
      <c r="ES469" s="7">
        <v>4.0560729661204345E-2</v>
      </c>
      <c r="ET469" s="7">
        <v>8.6814731680803794E-2</v>
      </c>
      <c r="EU469" s="6">
        <v>2270</v>
      </c>
      <c r="EV469" s="6">
        <v>0</v>
      </c>
      <c r="EW469" s="6">
        <v>2270</v>
      </c>
      <c r="EX469" s="6">
        <v>0</v>
      </c>
      <c r="EY469" s="6">
        <v>3250.4781391038941</v>
      </c>
      <c r="EZ469" s="6">
        <v>507</v>
      </c>
      <c r="FA469" s="6">
        <v>0</v>
      </c>
      <c r="FB469" s="6">
        <v>0</v>
      </c>
      <c r="FC469" s="6">
        <v>0</v>
      </c>
      <c r="FD469" s="6">
        <v>0</v>
      </c>
      <c r="FE469" s="6">
        <v>0</v>
      </c>
      <c r="FF469" s="6">
        <v>0</v>
      </c>
      <c r="FG469" s="6">
        <v>0</v>
      </c>
      <c r="FH469" s="6">
        <v>1169.7984581481605</v>
      </c>
      <c r="FI469" s="6">
        <v>1553.9796069512395</v>
      </c>
      <c r="FJ469" s="6">
        <v>2101.2110117447405</v>
      </c>
      <c r="FK469" s="6">
        <v>1334.1543630076703</v>
      </c>
      <c r="FL469" s="6">
        <v>907.07682140966392</v>
      </c>
      <c r="FM469" s="6">
        <v>1480.4781391038944</v>
      </c>
      <c r="FN469" s="6">
        <v>0</v>
      </c>
      <c r="FO469" s="6">
        <v>0</v>
      </c>
      <c r="FP469" s="6">
        <v>0</v>
      </c>
      <c r="FQ469" s="6">
        <v>0</v>
      </c>
      <c r="FR469" s="6">
        <v>0</v>
      </c>
      <c r="FS469" s="6">
        <v>0</v>
      </c>
      <c r="FT469" s="7">
        <v>0.91318526831919611</v>
      </c>
      <c r="FU469" s="7">
        <v>4.625400201959956E-2</v>
      </c>
      <c r="FV469" s="7">
        <v>4.0560729661204345E-2</v>
      </c>
      <c r="FW469" s="6">
        <v>2270</v>
      </c>
      <c r="FX469" s="6">
        <v>3250.4781391038937</v>
      </c>
      <c r="FY469" s="6">
        <v>507</v>
      </c>
      <c r="FZ469" s="6">
        <v>1949.5716051445115</v>
      </c>
      <c r="GA469" s="6">
        <v>2243.8424714335815</v>
      </c>
      <c r="GB469" s="6">
        <v>17741.157528566418</v>
      </c>
      <c r="GC469" s="7">
        <v>3.3872851927908169E-2</v>
      </c>
      <c r="GD469" s="7">
        <v>3.5480881268252232E-2</v>
      </c>
      <c r="GE469" s="7"/>
      <c r="GF469" s="7"/>
      <c r="GG469" s="7">
        <v>4.7472511135656439E-2</v>
      </c>
      <c r="GH469" s="42">
        <v>3.2240301155538909</v>
      </c>
      <c r="GI469" s="6">
        <v>8442.6059084080425</v>
      </c>
      <c r="GJ469" s="14">
        <v>0.50394797582841711</v>
      </c>
      <c r="GK469" s="14">
        <v>0.50887573065309744</v>
      </c>
      <c r="GL469" s="14">
        <v>0.49605202417158284</v>
      </c>
      <c r="GM469" s="14">
        <v>0.49112426934690251</v>
      </c>
      <c r="GO469" s="5">
        <v>343.14810671672558</v>
      </c>
      <c r="GP469" s="5">
        <v>299.84083725090579</v>
      </c>
      <c r="GQ469" s="5">
        <v>535.04305713031317</v>
      </c>
      <c r="GR469" s="5">
        <v>410.15490233172511</v>
      </c>
      <c r="GS469" s="5">
        <v>339.42744393800166</v>
      </c>
      <c r="GT469" s="5">
        <v>293.4407446948278</v>
      </c>
      <c r="GU469" s="5">
        <v>258.04012322764959</v>
      </c>
      <c r="GV469" s="39" t="s">
        <v>392</v>
      </c>
      <c r="GW469" s="5">
        <v>450.45833333333331</v>
      </c>
      <c r="GX469" s="5">
        <v>337.84375</v>
      </c>
      <c r="GY469" s="5">
        <v>270.27499999999998</v>
      </c>
      <c r="GZ469" s="5">
        <v>244.93995573731721</v>
      </c>
      <c r="HA469" s="5">
        <v>220.91451012583784</v>
      </c>
      <c r="HB469" s="39">
        <v>254.65139573856925</v>
      </c>
      <c r="HC469" s="5">
        <v>265.10312499999998</v>
      </c>
      <c r="HD469" s="5">
        <v>224.66580774853799</v>
      </c>
      <c r="HE469" s="5">
        <v>226.90661690283397</v>
      </c>
      <c r="HF469" s="5">
        <v>209.18438048245613</v>
      </c>
      <c r="HG469" s="5">
        <v>200.91388157894738</v>
      </c>
      <c r="HH469" s="39">
        <v>224.48898401286613</v>
      </c>
      <c r="HI469" s="16"/>
      <c r="HJ469" s="19" t="str">
        <f t="shared" ref="HJ469" si="1307">HJ468</f>
        <v>On</v>
      </c>
      <c r="HK469" s="1" t="str">
        <f t="shared" si="1299"/>
        <v>On</v>
      </c>
      <c r="HL469" s="16"/>
      <c r="HM469" s="639">
        <f t="shared" si="1255"/>
        <v>2.9403358434788716E-2</v>
      </c>
      <c r="HN469" s="639">
        <f t="shared" si="1256"/>
        <v>1.4106809950923669E-3</v>
      </c>
      <c r="HO469" s="639">
        <f t="shared" si="1257"/>
        <v>1.7317923025048877E-3</v>
      </c>
      <c r="HP469" s="644">
        <f>(FT469*$GD469-HM469)/$JF469*INDEX(Input!$1:$1048576,$JG$93,$C469*2+6)</f>
        <v>214.48576806320042</v>
      </c>
      <c r="HQ469" s="644">
        <f>(FU469*$GD469-HN469)/$JF469*INDEX(Input!$1:$1048576,$JG$93,$C469*2+6)</f>
        <v>16.491271464007951</v>
      </c>
      <c r="HR469" s="644">
        <f>(FV469*$GD469-HO469)/$JF469*INDEX(Input!$1:$1048576,$JG$93,$C469*2+6)</f>
        <v>-20.943065737859225</v>
      </c>
      <c r="HS469" s="644">
        <f t="shared" si="1246"/>
        <v>-102.54439556008174</v>
      </c>
      <c r="HT469" s="644">
        <f t="shared" si="1258"/>
        <v>169.96715696407756</v>
      </c>
      <c r="HU469" s="644">
        <f t="shared" si="1259"/>
        <v>10.887032352619967</v>
      </c>
      <c r="HV469" s="648">
        <f t="shared" si="1260"/>
        <v>0</v>
      </c>
      <c r="HW469" s="648">
        <f t="shared" si="1261"/>
        <v>0</v>
      </c>
      <c r="HX469" s="648">
        <f t="shared" si="1262"/>
        <v>0</v>
      </c>
      <c r="HY469" s="644">
        <f>INDEX(Input!$1:$1048576,HY$93,$C469*2+6)*INDEX(Input!$1:$1048576,$JG$93,$C469*2+6)</f>
        <v>993</v>
      </c>
      <c r="HZ469" s="644">
        <f>INDEX(Input!$1:$1048576,HZ$93,$C469*2+6)*INDEX(Input!$1:$1048576,$JG$93,$C469*2+6)</f>
        <v>1216</v>
      </c>
      <c r="IA469" s="644">
        <f>INDEX(Input!$1:$1048576,IA$93,$C469*2+6)*INDEX(Input!$1:$1048576,$JG$93,$C469*2+6)</f>
        <v>120</v>
      </c>
      <c r="IB469" s="644">
        <f t="shared" si="1283"/>
        <v>1104.9413725031188</v>
      </c>
      <c r="IC469" s="644">
        <f t="shared" si="1284"/>
        <v>1402.4584284280854</v>
      </c>
      <c r="ID469" s="644">
        <f>IF(AND(INDEX(Input!$1:$1048576,IA$93,$C469*2+7)="TOS",Y469&lt;=INDEX(Y:Y,MATCH(C469*1000+2,A:A))),0,1)*MAX(IA469+HR469+HU469+HX469,0%)</f>
        <v>109.94396661476074</v>
      </c>
      <c r="IE469" s="128">
        <f t="shared" si="1247"/>
        <v>0.42216134777706993</v>
      </c>
      <c r="IF469" s="128">
        <f t="shared" si="1248"/>
        <v>0.53583271934623911</v>
      </c>
      <c r="IG469" s="128">
        <f t="shared" si="1263"/>
        <v>4.2005932876690764E-2</v>
      </c>
      <c r="IH469" s="21"/>
      <c r="II469" s="19">
        <f t="shared" si="1264"/>
        <v>1490</v>
      </c>
      <c r="IJ469" s="19">
        <f t="shared" si="1265"/>
        <v>2203.2561351629856</v>
      </c>
      <c r="IK469" s="19">
        <f t="shared" si="1266"/>
        <v>242</v>
      </c>
      <c r="IL469" s="19">
        <f t="shared" si="1285"/>
        <v>780</v>
      </c>
      <c r="IM469" s="19">
        <f t="shared" si="1267"/>
        <v>1047.2220039409081</v>
      </c>
      <c r="IN469" s="19">
        <f t="shared" si="1268"/>
        <v>265</v>
      </c>
      <c r="IO469" s="39">
        <f t="shared" si="1269"/>
        <v>0</v>
      </c>
      <c r="IP469" s="39">
        <f t="shared" si="1270"/>
        <v>0</v>
      </c>
      <c r="IQ469" s="39">
        <f t="shared" si="1271"/>
        <v>0</v>
      </c>
      <c r="IR469" s="39">
        <v>0</v>
      </c>
      <c r="IS469" s="39">
        <v>0</v>
      </c>
      <c r="IT469" s="39">
        <v>0</v>
      </c>
      <c r="IU469" s="39">
        <v>0</v>
      </c>
      <c r="IV469" s="39">
        <v>0</v>
      </c>
      <c r="IW469" s="39">
        <v>0</v>
      </c>
      <c r="IX469" s="39">
        <f>INDEX(Input!$1:$1048576,IX$93,$C469*2+6)+INDEX(Input!$1:$1048576,IX$94,$C469*2+6)</f>
        <v>1770</v>
      </c>
      <c r="IY469" s="39">
        <f>INDEX(Input!$1:$1048576,IY$93,$C469*2+6)+INDEX(Input!$1:$1048576,IY$94,$C469*2+6)</f>
        <v>2630.0624533823611</v>
      </c>
      <c r="IZ469" s="39">
        <f>INDEX(Input!$1:$1048576,IZ$93,$C469*2+6)+INDEX(Input!$1:$1048576,IZ$94,$C469*2+6)</f>
        <v>4153.7164157747848</v>
      </c>
      <c r="JA469" s="19">
        <f t="shared" si="1286"/>
        <v>2550</v>
      </c>
      <c r="JB469" s="19">
        <f t="shared" si="1287"/>
        <v>3677.2844573232692</v>
      </c>
      <c r="JC469" s="19">
        <f t="shared" si="1288"/>
        <v>4418.7164157747848</v>
      </c>
      <c r="JD469" s="19">
        <f t="shared" si="1289"/>
        <v>3232.5330725708818</v>
      </c>
      <c r="JE469" s="21"/>
      <c r="JF469" s="1">
        <f t="shared" si="1272"/>
        <v>3.2545831732385969E-2</v>
      </c>
      <c r="JG469" s="15">
        <f>INDEX(Input!$1:$1048576,JG$93,$C469*2+6)/(1+VLOOKUP(C469*1000+INDEX(Input!$1:$1048576,JG$93+1,$C469*2+6),$A:$KK,$JK$92,FALSE))</f>
        <v>2329</v>
      </c>
      <c r="JH469" s="1">
        <f t="shared" si="1290"/>
        <v>9.0182041128960555E-2</v>
      </c>
      <c r="JI469" s="1">
        <f t="shared" si="1291"/>
        <v>3.3623784352346843E-2</v>
      </c>
      <c r="JJ469" s="1">
        <f t="shared" si="1249"/>
        <v>0</v>
      </c>
      <c r="JK469" s="1">
        <f t="shared" si="1250"/>
        <v>0.12380582548130739</v>
      </c>
      <c r="JL469" s="15">
        <f t="shared" si="1292"/>
        <v>288.34376754596491</v>
      </c>
      <c r="JM469" s="15">
        <f t="shared" si="1180"/>
        <v>2617.343767545965</v>
      </c>
      <c r="JN469" s="21"/>
      <c r="JO469" s="19">
        <f>INDEX(Input!$1:$1048576,JO$93,$C469*2+6)</f>
        <v>5995.5</v>
      </c>
      <c r="JP469" s="19">
        <f>INDEX(Input!$1:$1048576,JP$93,$C469*2+6)</f>
        <v>2341.8685758720158</v>
      </c>
      <c r="JQ469" s="39">
        <f t="shared" si="1300"/>
        <v>2762.9669274291182</v>
      </c>
      <c r="JR469" s="39">
        <f t="shared" si="1183"/>
        <v>890.66449669886606</v>
      </c>
      <c r="JS469" s="39">
        <f t="shared" si="1301"/>
        <v>8.460650290879606</v>
      </c>
      <c r="JT469" s="39">
        <f t="shared" si="1293"/>
        <v>3.0064383776736809</v>
      </c>
      <c r="JU469" s="385">
        <f>(JQ469*JM469-INDEX(Input!$1:$1048576,Input!A$18,$C469*2+6)*JL469*INDEX(Input!$1:$1048576,Input!A$19,$C469*2+6))/1000000</f>
        <v>7.2316342674422271</v>
      </c>
      <c r="JV469" s="39">
        <f t="shared" si="1190"/>
        <v>-1.2776733193518472</v>
      </c>
      <c r="JW469" s="1">
        <f t="shared" si="1181"/>
        <v>-0.15015009227480719</v>
      </c>
      <c r="JX469" s="19">
        <f t="shared" si="1305"/>
        <v>10426.576593837508</v>
      </c>
      <c r="JZ469" s="341"/>
      <c r="KA469" s="342"/>
      <c r="KB469" s="469">
        <f t="shared" si="1302"/>
        <v>2.3434325605641804</v>
      </c>
      <c r="KI469" s="473">
        <f t="shared" si="1251"/>
        <v>111.9413725031186</v>
      </c>
      <c r="KJ469" s="473">
        <f t="shared" si="1252"/>
        <v>186.4584284280852</v>
      </c>
      <c r="KK469" s="473">
        <f t="shared" si="1294"/>
        <v>-10.056033385239274</v>
      </c>
      <c r="KN469" s="544">
        <f t="shared" si="1306"/>
        <v>4002</v>
      </c>
      <c r="KO469" s="541">
        <f t="shared" si="1273"/>
        <v>8.2167790772167404E-2</v>
      </c>
      <c r="KP469" s="546">
        <f t="shared" si="1274"/>
        <v>622.15815291422348</v>
      </c>
      <c r="KQ469" s="546">
        <f t="shared" si="1275"/>
        <v>607.76188453486066</v>
      </c>
      <c r="KR469" s="548">
        <f t="shared" si="1276"/>
        <v>2.292747659251638</v>
      </c>
      <c r="KS469" s="548">
        <f t="shared" si="1277"/>
        <v>2.3470567751548241</v>
      </c>
      <c r="KT469" s="473">
        <f t="shared" si="1303"/>
        <v>1580.0986321700548</v>
      </c>
      <c r="KU469" s="663">
        <f t="shared" si="1295"/>
        <v>4.0585020427960519</v>
      </c>
    </row>
    <row r="470" spans="1:307" s="26" customFormat="1" ht="15" outlineLevel="1">
      <c r="A470" s="561">
        <f t="shared" si="1278"/>
        <v>4070</v>
      </c>
      <c r="B470" s="561">
        <f t="shared" si="1296"/>
        <v>70</v>
      </c>
      <c r="C470" s="561">
        <f t="shared" si="1297"/>
        <v>4</v>
      </c>
      <c r="D470" s="561" t="str">
        <f t="shared" si="1206"/>
        <v xml:space="preserve">750 CC, 0/1.8/2.8/3.9, 1500 Combo, </v>
      </c>
      <c r="E470" s="475">
        <f>INDEX(Input!$1:$1048576,E$93,$C470*2+MIN($B470,2)+5)
+INDEX(Scenarios!E$121:E$200,MATCH($B470,Scenarios!$B$121:$B$200,0))</f>
        <v>2006.832975525977</v>
      </c>
      <c r="F470" s="475">
        <f>INDEX(Input!$1:$1048576,F$93,$C470*2+MIN($B470,2)+5)
+INDEX(Scenarios!F$121:F$200,MATCH($B470,Scenarios!$B$121:$B$200,0))</f>
        <v>0</v>
      </c>
      <c r="G470" s="475">
        <f>INDEX(Input!$1:$1048576,G$93,$C470*2+MIN($B470,2)+5)
+INDEX(Scenarios!G$121:G$200,MATCH($B470,Scenarios!$B$121:$B$200,0))</f>
        <v>0</v>
      </c>
      <c r="H470" s="475">
        <f>INDEX(Input!$1:$1048576,H$93,$C470*2+MIN($B470,2)+5)
+INDEX(Scenarios!H$121:H$200,MATCH($B470,Scenarios!$B$121:$B$200,0))</f>
        <v>0</v>
      </c>
      <c r="I470" s="476">
        <f>INDEX(Input!$1:$1048576,I$93,$C470*2+MIN($B470,2)+5)</f>
        <v>0.7</v>
      </c>
      <c r="J470" s="476" t="str">
        <f>INDEX(Input!$1:$1048576,J$93,$C470*2+MIN($B470,2)+5)</f>
        <v>Market</v>
      </c>
      <c r="K470" s="476" t="str">
        <f>INDEX(Input!$1:$1048576,K$93,$C470*2+MIN($B470,2)+5)</f>
        <v>Market</v>
      </c>
      <c r="L470" s="476" t="str">
        <f>INDEX(Input!$1:$1048576,L$93,$C470*2+MIN($B470,2)+5)</f>
        <v>Market</v>
      </c>
      <c r="M470" s="476" t="str">
        <f>INDEX(Input!$1:$1048576,M$93,$C470*2+MIN($B470,2)+5)</f>
        <v>Market</v>
      </c>
      <c r="N470" s="476" t="str">
        <f>INDEX(Input!$1:$1048576,N$93,$C470*2+MIN($B470,2)+5)</f>
        <v>Market</v>
      </c>
      <c r="O470" s="476" t="str">
        <f>INDEX(Input!$1:$1048576,O$93,$C470*2+MIN($B470,2)+5)</f>
        <v>Market</v>
      </c>
      <c r="P470" s="476" t="str">
        <f>INDEX(Input!$1:$1048576,P$93,$C470*2+MIN($B470,2)+5)</f>
        <v>N</v>
      </c>
      <c r="Q470" s="477">
        <f>INDEX(Input!$1:$1048576,Q$93,$C470*2+MIN($B470,2)+5)
+INDEX(Scenarios!Q$121:Q$200,MATCH($B470,Scenarios!$B$121:$B$200,0))</f>
        <v>1500</v>
      </c>
      <c r="R470" s="478">
        <f>IFERROR(MAX(0,INDEX(Input!$1:$1048576,R$93,$C470*2+MIN($B470,2)+5)
+INDEX(Scenarios!R$121:R$200,MATCH($B470,Scenarios!$B$121:$B$200,0)),),"Market")</f>
        <v>0</v>
      </c>
      <c r="S470" s="478">
        <f>IFERROR(MAX(0,INDEX(Input!$1:$1048576,S$93,$C470*2+MIN($B470,2)+5)
+INDEX(Scenarios!S$121:S$200,MATCH($B470,Scenarios!$B$121:$B$200,0)),),"Market")</f>
        <v>0</v>
      </c>
      <c r="T470" s="478">
        <f>IFERROR(MAX(0,INDEX(Input!$1:$1048576,T$93,$C470*2+MIN($B470,2)+5)
+INDEX(Scenarios!T$121:T$200,MATCH($B470,Scenarios!$B$121:$B$200,0)),),"Market")</f>
        <v>0</v>
      </c>
      <c r="U470" s="478">
        <f>IFERROR(MAX(0,INDEX(Input!$1:$1048576,U$93,$C470*2+MIN($B470,2)+5)
+INDEX(Scenarios!U$121:U$200,MATCH($B470,Scenarios!$B$121:$B$200,0)),),"Market")</f>
        <v>0</v>
      </c>
      <c r="V470" s="478">
        <f>IFERROR(MAX(0,INDEX(Input!$1:$1048576,V$93,$C470*2+MIN($B470,2)+5)
+INDEX(Scenarios!V$121:V$200,MATCH($B470,Scenarios!$B$121:$B$200,0)),),"Market")</f>
        <v>2.7999999999999997E-2</v>
      </c>
      <c r="W470" s="885">
        <f>IFERROR(MAX(0,INDEX(Input!$1:$1048576,W$93,$C470*2+MIN($B470,2)+5)-0%,),"Market")</f>
        <v>3.9E-2</v>
      </c>
      <c r="X470" s="476" t="str">
        <f>INDEX(Input!$1:$1048576,X$93,$C470*2+MIN($B470,2)+5)</f>
        <v>Y</v>
      </c>
      <c r="Y470" s="475">
        <f>INDEX(Input!$1:$1048576,Y$93,$C470*2+MIN($B470,2)+5)
++INDEX(Scenarios!Y$121:Y$200,MATCH($B470,Scenarios!$B$121:$B$200,0))</f>
        <v>-870</v>
      </c>
      <c r="Z470" s="477">
        <f>INDEX(Input!$1:$1048576,Z$93,$C470*2+MIN($B470,2)+5)
+INDEX(Scenarios!Z$121:Z$200,MATCH($B470,Scenarios!$B$121:$B$200,0))</f>
        <v>0</v>
      </c>
      <c r="AA470" s="475">
        <f>INDEX(Input!$1:$1048576,AA$93,$C470*2+MIN($B470,2)+5)
+INDEX(Scenarios!AA$121:AA$200,MATCH($B470,Scenarios!$B$121:$B$200,0))</f>
        <v>0</v>
      </c>
      <c r="AB470" s="476">
        <f>INDEX(Input!$1:$1048576,AB$93,$C470*2+MIN($B470,2)+5)</f>
        <v>0.27</v>
      </c>
      <c r="AC470" s="475">
        <f>INDEX(Input!$1:$1048576,AC$93,$C470*2+MIN($B470,2)+5)
+INDEX(Scenarios!AC$121:AC$200,MATCH($B470,Scenarios!$B$121:$B$200,0))</f>
        <v>0</v>
      </c>
      <c r="AD470" s="476">
        <f>INDEX(Input!$1:$1048576,AD$93,$C470*2+MIN($B470,2)+5)</f>
        <v>0.27</v>
      </c>
      <c r="AE470" s="475">
        <f>INDEX(Input!$1:$1048576,AE$93,$C470*2+MIN($B470,2)+5)
+INDEX(Scenarios!AE$121:AE$200,MATCH($B470,Scenarios!$B$121:$B$200,0))</f>
        <v>0</v>
      </c>
      <c r="AF470" s="476">
        <f>INDEX(Input!$1:$1048576,AF$93,$C470*2+MIN($B470,2)+5)</f>
        <v>1</v>
      </c>
      <c r="AG470" s="475">
        <f>INDEX(Input!$1:$1048576,AG$93,$C470*2+MIN($B470,2)+5)
+INDEX(Scenarios!AG$121:AG$200,MATCH($B470,Scenarios!$B$121:$B$200,0))</f>
        <v>500</v>
      </c>
      <c r="AH470" s="476">
        <f>INDEX(Input!$1:$1048576,AH$93,$C470*2+MIN($B470,2)+5)</f>
        <v>0.83199999999999996</v>
      </c>
      <c r="AI470" s="475">
        <f>INDEX(Input!$1:$1048576,AI$93,$C470*2+MIN($B470,2)+5)
+INDEX(Scenarios!AI$121:AI$200,MATCH($B470,Scenarios!$B$121:$B$200,0))</f>
        <v>0</v>
      </c>
      <c r="AJ470" s="476">
        <f>INDEX(Input!$1:$1048576,AJ$93,$C470*2+MIN($B470,2)+5)</f>
        <v>0.27</v>
      </c>
      <c r="AK470" s="150">
        <f>ROUND(INDEX(Input!$1:$1048576,AK$93,$C469*2+MIN($B470,1)+5)+(Y470-VLOOKUP($C470*1000+1,$A:$HH,Y$92,FALSE)),0)</f>
        <v>2587</v>
      </c>
      <c r="AL470" s="150">
        <f>ROUND(INDEX(Input!$1:$1048576,AL$93,$C469*2+MIN($B470,1)+5)-(Y470-VLOOKUP($C470*1000+1,$A:$HH,Y$92,FALSE))/36,0)</f>
        <v>3406</v>
      </c>
      <c r="AM470" s="32" t="str">
        <f t="shared" si="1279"/>
        <v>std/std/std/std</v>
      </c>
      <c r="AN470" s="32" t="str">
        <f t="shared" si="1280"/>
        <v>$1500 + 0/0/0/2.8/3.9</v>
      </c>
      <c r="AO470" s="32" t="str">
        <f t="shared" si="1281"/>
        <v>0/0/0/2.8/3.9</v>
      </c>
      <c r="AP470" s="32" t="str">
        <f t="shared" si="1213"/>
        <v>0/1.8/2.8/3.9</v>
      </c>
      <c r="AQ470" s="536">
        <f t="shared" si="1207"/>
        <v>0.41411818280800539</v>
      </c>
      <c r="AR470" s="32"/>
      <c r="AS470" s="302"/>
      <c r="AT470" s="3">
        <f t="shared" si="1298"/>
        <v>70</v>
      </c>
      <c r="AU470" s="41" t="s">
        <v>121</v>
      </c>
      <c r="AV470" s="41" t="s">
        <v>116</v>
      </c>
      <c r="AW470" s="41" t="str">
        <f>INDEX(Input!$1:$1048576,AW$93,$C470*2+6)</f>
        <v>Kia</v>
      </c>
      <c r="AX470" s="41" t="str">
        <f>INDEX(Input!$1:$1048576,AX$93,$C470*2+6)</f>
        <v>Kia-LR - R1</v>
      </c>
      <c r="AY470" s="41" t="str">
        <f>IF(LEN(D470)=0,"",INDEX(Input!$1:$1048576,AY$93,$C470*2+6))</f>
        <v>Compact SUV (52)</v>
      </c>
      <c r="AZ470" s="41" t="str">
        <f>INDEX(Input!$1:$1048576,AZ$93,$C470*2+6)</f>
        <v>Kia Soul</v>
      </c>
      <c r="BA470" s="3">
        <f>INDEX(Input!$1:$1048576,BA$93,$C470*2+6)</f>
        <v>2020</v>
      </c>
      <c r="BB470" s="128">
        <f>INDEX(Input!$1:$1048576,BB$93,$C470*2+6)</f>
        <v>1</v>
      </c>
      <c r="BC470" s="128">
        <f>INDEX(Input!$1:$1048576,BC$93,$C470*2+6)</f>
        <v>0.7</v>
      </c>
      <c r="BD470" s="1">
        <f>INDEX(Input!$1:$1048576,BD$93,$C470*2+6)</f>
        <v>4.4999999999999998E-2</v>
      </c>
      <c r="BE470" s="1">
        <f>INDEX(Input!$1:$1048576,BE$93,$C470*2+6)</f>
        <v>4.4999999999999998E-2</v>
      </c>
      <c r="BF470" s="1">
        <f>INDEX(Input!$1:$1048576,BF$93,$C470*2+6)</f>
        <v>0.05</v>
      </c>
      <c r="BG470" s="1">
        <f>INDEX(Input!$1:$1048576,BG$93,$C470*2+6)</f>
        <v>5.45E-2</v>
      </c>
      <c r="BH470" s="1">
        <f>INDEX(Input!$1:$1048576,BH$93,$C470*2+6)</f>
        <v>5.45E-2</v>
      </c>
      <c r="BI470" s="1">
        <f>INDEX(Input!$1:$1048576,BI$93,$C470*2+6)</f>
        <v>0.05</v>
      </c>
      <c r="BJ470" s="1">
        <f>INDEX(Input!$1:$1048576,BJ$93,$C470*2+6)</f>
        <v>0.05</v>
      </c>
      <c r="BK470" s="1">
        <f>INDEX(Input!$1:$1048576,BK$93,$C470*2+6)</f>
        <v>0.05</v>
      </c>
      <c r="BL470" s="1">
        <f>INDEX(Input!$1:$1048576,BL$93,$C470*2+6)</f>
        <v>5.5E-2</v>
      </c>
      <c r="BM470" s="1">
        <f>INDEX(Input!$1:$1048576,BM$93,$C470*2+6)</f>
        <v>0.06</v>
      </c>
      <c r="BN470" s="1">
        <f>INDEX(Input!$1:$1048576,BN$93,$C470*2+6)</f>
        <v>4.4999999999999998E-2</v>
      </c>
      <c r="BO470" s="1">
        <f>INDEX(Input!$1:$1048576,BO$93,$C470*2+6)</f>
        <v>4.4999999999999998E-2</v>
      </c>
      <c r="BP470" s="1">
        <f>INDEX(Input!$1:$1048576,BP$93,$C470*2+6)</f>
        <v>0.05</v>
      </c>
      <c r="BQ470" s="1">
        <f>INDEX(Input!$1:$1048576,BQ$93,$C470*2+6)</f>
        <v>5.45E-2</v>
      </c>
      <c r="BR470" s="1">
        <f>INDEX(Input!$1:$1048576,BR$93,$C470*2+6)</f>
        <v>5.45E-2</v>
      </c>
      <c r="BS470" s="1">
        <f>INDEX(Input!$1:$1048576,BS$93,$C470*2+6)</f>
        <v>0.05</v>
      </c>
      <c r="BT470" s="1">
        <f>INDEX(Input!$1:$1048576,BT$93,$C470*2+6)</f>
        <v>0.05</v>
      </c>
      <c r="BU470" s="1">
        <f>INDEX(Input!$1:$1048576,BU$93,$C470*2+6)</f>
        <v>0.05</v>
      </c>
      <c r="BV470" s="1">
        <f>INDEX(Input!$1:$1048576,BV$93,$C470*2+6)</f>
        <v>5.5E-2</v>
      </c>
      <c r="BW470" s="1">
        <f>INDEX(Input!$1:$1048576,BW$93,$C470*2+6)</f>
        <v>0.06</v>
      </c>
      <c r="BX470" s="127">
        <f>INDEX(Input!$1:$1048576,BX$93,$C470*2+6)</f>
        <v>19985</v>
      </c>
      <c r="BY470" s="20">
        <f>INDEX(Input!$1:$1048576,BY$93,$C470*2+6)</f>
        <v>0.1</v>
      </c>
      <c r="BZ470" s="20">
        <f>INDEX(Input!$1:$1048576,BZ$93,$C470*2+6)</f>
        <v>0.1</v>
      </c>
      <c r="CA470" s="20">
        <f>INDEX(Input!$1:$1048576,CA$93,$C470*2+6)</f>
        <v>0.1</v>
      </c>
      <c r="CB470" s="20">
        <f>INDEX(Input!$1:$1048576,CB$93,$C470*2+6)</f>
        <v>0.1</v>
      </c>
      <c r="CC470" s="20">
        <f>INDEX(Input!$1:$1048576,CC$93,$C470*2+6)</f>
        <v>0.1</v>
      </c>
      <c r="CD470" s="384">
        <f>INDEX(Input!$1:$1048576,CD$93,$C470*2+6)</f>
        <v>0.1</v>
      </c>
      <c r="CE470" s="384">
        <f>INDEX(Input!$1:$1048576,CE$93,$C470*2+6)</f>
        <v>0.1</v>
      </c>
      <c r="CF470" s="384">
        <f>INDEX(Input!$1:$1048576,CF$93,$C470*2+6)</f>
        <v>0.1</v>
      </c>
      <c r="CG470" s="384">
        <f>INDEX(Input!$1:$1048576,CG$93,$C470*2+6)</f>
        <v>0.1</v>
      </c>
      <c r="CH470" s="384">
        <f>INDEX(Input!$1:$1048576,CH$93,$C470*2+6)</f>
        <v>0.1</v>
      </c>
      <c r="CI470" s="304">
        <f t="shared" si="1214"/>
        <v>2006.832975525977</v>
      </c>
      <c r="CJ470" s="16" t="str">
        <f>INDEX(Input!$1:$1048576,CJ$93,$C470*2+6)</f>
        <v>N</v>
      </c>
      <c r="CK470" s="1" t="str">
        <f t="shared" si="1215"/>
        <v>Market</v>
      </c>
      <c r="CL470" s="1" t="str">
        <f t="shared" si="1216"/>
        <v>Market</v>
      </c>
      <c r="CM470" s="1" t="str">
        <f t="shared" si="1217"/>
        <v>Market</v>
      </c>
      <c r="CN470" s="1" t="str">
        <f t="shared" si="1218"/>
        <v>Market</v>
      </c>
      <c r="CO470" s="1" t="str">
        <f t="shared" si="1219"/>
        <v>Market</v>
      </c>
      <c r="CP470" s="304">
        <f t="shared" si="1220"/>
        <v>1916</v>
      </c>
      <c r="CQ470" s="1">
        <f t="shared" si="1221"/>
        <v>0</v>
      </c>
      <c r="CR470" s="1">
        <f t="shared" si="1222"/>
        <v>0</v>
      </c>
      <c r="CS470" s="1">
        <f t="shared" si="1223"/>
        <v>0</v>
      </c>
      <c r="CT470" s="1">
        <f t="shared" si="1224"/>
        <v>2.7999999999999997E-2</v>
      </c>
      <c r="CU470" s="1">
        <f t="shared" si="1225"/>
        <v>3.9E-2</v>
      </c>
      <c r="CV470" s="304">
        <f t="shared" si="1226"/>
        <v>-870</v>
      </c>
      <c r="CW470" s="20" t="s">
        <v>122</v>
      </c>
      <c r="CX470" s="20" t="s">
        <v>122</v>
      </c>
      <c r="CY470" s="20" t="s">
        <v>122</v>
      </c>
      <c r="CZ470" s="20" t="s">
        <v>122</v>
      </c>
      <c r="DA470" s="20" t="s">
        <v>122</v>
      </c>
      <c r="DB470" s="503">
        <f t="shared" si="1227"/>
        <v>0</v>
      </c>
      <c r="DC470" s="127">
        <v>0</v>
      </c>
      <c r="DD470" s="127">
        <v>0</v>
      </c>
      <c r="DE470" s="127">
        <v>0</v>
      </c>
      <c r="DF470" s="127">
        <v>0</v>
      </c>
      <c r="DG470" s="127">
        <v>0</v>
      </c>
      <c r="DH470" s="127">
        <v>0</v>
      </c>
      <c r="DI470" s="127">
        <v>0</v>
      </c>
      <c r="DJ470" s="127">
        <v>0</v>
      </c>
      <c r="DK470" s="127">
        <v>0</v>
      </c>
      <c r="DL470" s="127">
        <v>0</v>
      </c>
      <c r="DM470" s="304">
        <f>INDEX(Input!$1:$1048576,DM$93,$C470*2+6)</f>
        <v>21036.84210526316</v>
      </c>
      <c r="DN470" s="20">
        <v>0</v>
      </c>
      <c r="DO470" s="20">
        <v>0</v>
      </c>
      <c r="DP470" s="20">
        <v>0</v>
      </c>
      <c r="DQ470" s="20">
        <v>0</v>
      </c>
      <c r="DR470" s="20">
        <v>0</v>
      </c>
      <c r="DS470" s="20">
        <f>INDEX(Input!$1:$1048576,DS$93,$C470*2+6)</f>
        <v>0.6</v>
      </c>
      <c r="DT470" s="20">
        <f>INDEX(Input!$1:$1048576,DT$93,$C470*2+6)</f>
        <v>0.55000000000000004</v>
      </c>
      <c r="DU470" s="20">
        <f>INDEX(Input!$1:$1048576,DU$93,$C470*2+6)</f>
        <v>0.52</v>
      </c>
      <c r="DV470" s="20">
        <f>INDEX(Input!$1:$1048576,DV$93,$C470*2+6)</f>
        <v>0.5</v>
      </c>
      <c r="DW470" s="20">
        <f>INDEX(Input!$1:$1048576,DW$93,$C470*2+6)</f>
        <v>0.45</v>
      </c>
      <c r="DX470" s="20"/>
      <c r="DY470" s="7">
        <v>0.11111482432341299</v>
      </c>
      <c r="DZ470" s="7">
        <v>0</v>
      </c>
      <c r="EA470" s="7">
        <v>0.80075531677698186</v>
      </c>
      <c r="EB470" s="7">
        <v>0</v>
      </c>
      <c r="EC470" s="7">
        <v>0</v>
      </c>
      <c r="ED470" s="7">
        <v>0</v>
      </c>
      <c r="EE470" s="7">
        <v>0</v>
      </c>
      <c r="EF470" s="7">
        <v>0</v>
      </c>
      <c r="EG470" s="7">
        <v>0</v>
      </c>
      <c r="EH470" s="7">
        <v>1.5070589075624962E-2</v>
      </c>
      <c r="EI470" s="7">
        <v>3.9365513803575766E-2</v>
      </c>
      <c r="EJ470" s="7">
        <v>0.27657370713082408</v>
      </c>
      <c r="EK470" s="7">
        <v>0.50067735180566131</v>
      </c>
      <c r="EL470" s="7">
        <v>0.16831283818431389</v>
      </c>
      <c r="EM470" s="7">
        <v>5.2628160435753996E-2</v>
      </c>
      <c r="EN470" s="7">
        <v>5.0431874277063617E-2</v>
      </c>
      <c r="EO470" s="7">
        <v>0.7127365372820853</v>
      </c>
      <c r="EP470" s="7">
        <v>0.10251519182658697</v>
      </c>
      <c r="EQ470" s="7">
        <v>8.9961791041897318E-2</v>
      </c>
      <c r="ER470" s="7">
        <v>4.4354605572367096E-2</v>
      </c>
      <c r="ES470" s="7">
        <v>3.5501698463851053E-2</v>
      </c>
      <c r="ET470" s="7">
        <v>8.8129858899605049E-2</v>
      </c>
      <c r="EU470" s="6">
        <v>2520</v>
      </c>
      <c r="EV470" s="6">
        <v>0</v>
      </c>
      <c r="EW470" s="6">
        <v>2520</v>
      </c>
      <c r="EX470" s="6">
        <v>0</v>
      </c>
      <c r="EY470" s="6">
        <v>3750.5960258544987</v>
      </c>
      <c r="EZ470" s="6">
        <v>507</v>
      </c>
      <c r="FA470" s="6">
        <v>0</v>
      </c>
      <c r="FB470" s="6">
        <v>0</v>
      </c>
      <c r="FC470" s="6">
        <v>0</v>
      </c>
      <c r="FD470" s="6">
        <v>0</v>
      </c>
      <c r="FE470" s="6">
        <v>0</v>
      </c>
      <c r="FF470" s="6">
        <v>0</v>
      </c>
      <c r="FG470" s="6">
        <v>0</v>
      </c>
      <c r="FH470" s="6">
        <v>1169.7985714062154</v>
      </c>
      <c r="FI470" s="6">
        <v>1553.9796069512392</v>
      </c>
      <c r="FJ470" s="6">
        <v>2101.2110117447414</v>
      </c>
      <c r="FK470" s="6">
        <v>1334.1543630076696</v>
      </c>
      <c r="FL470" s="6">
        <v>907.07682140966358</v>
      </c>
      <c r="FM470" s="6">
        <v>1480.5960258544987</v>
      </c>
      <c r="FN470" s="6">
        <v>0</v>
      </c>
      <c r="FO470" s="6">
        <v>0</v>
      </c>
      <c r="FP470" s="6">
        <v>0</v>
      </c>
      <c r="FQ470" s="6">
        <v>0</v>
      </c>
      <c r="FR470" s="6">
        <v>0</v>
      </c>
      <c r="FS470" s="6">
        <v>0</v>
      </c>
      <c r="FT470" s="7">
        <v>0.91187014110039488</v>
      </c>
      <c r="FU470" s="7">
        <v>5.2628160435753996E-2</v>
      </c>
      <c r="FV470" s="7">
        <v>3.5501698463851053E-2</v>
      </c>
      <c r="FW470" s="6">
        <v>2520</v>
      </c>
      <c r="FX470" s="6">
        <v>3750.5960258544987</v>
      </c>
      <c r="FY470" s="6">
        <v>507</v>
      </c>
      <c r="FZ470" s="6">
        <v>1949.5716051445115</v>
      </c>
      <c r="GA470" s="6">
        <v>2513.2990860725395</v>
      </c>
      <c r="GB470" s="6">
        <v>17471.70091392746</v>
      </c>
      <c r="GC470" s="7">
        <v>3.3872851927908169E-2</v>
      </c>
      <c r="GD470" s="7">
        <v>3.6509001557228832E-2</v>
      </c>
      <c r="GE470" s="7"/>
      <c r="GF470" s="7"/>
      <c r="GG470" s="7">
        <v>7.7824850264489043E-2</v>
      </c>
      <c r="GH470" s="42">
        <v>2.7590097789367576</v>
      </c>
      <c r="GI470" s="6">
        <v>9756.8399218363229</v>
      </c>
      <c r="GJ470" s="14">
        <v>0.50394797582841722</v>
      </c>
      <c r="GK470" s="14">
        <v>0.50887573065309777</v>
      </c>
      <c r="GL470" s="14">
        <v>0.49605202417158306</v>
      </c>
      <c r="GM470" s="14">
        <v>0.4911242693469024</v>
      </c>
      <c r="GO470" s="5">
        <v>343.14810671672558</v>
      </c>
      <c r="GP470" s="5">
        <v>295.07131418198298</v>
      </c>
      <c r="GQ470" s="5">
        <v>535.04305713031317</v>
      </c>
      <c r="GR470" s="5">
        <v>410.15490233172511</v>
      </c>
      <c r="GS470" s="5">
        <v>339.42744393800166</v>
      </c>
      <c r="GT470" s="5">
        <v>293.4407446948278</v>
      </c>
      <c r="GU470" s="5">
        <v>258.04012322764959</v>
      </c>
      <c r="GV470" s="39" t="s">
        <v>392</v>
      </c>
      <c r="GW470" s="5">
        <v>436.56944444444446</v>
      </c>
      <c r="GX470" s="5">
        <v>327.42708333333331</v>
      </c>
      <c r="GY470" s="5">
        <v>261.94166666666666</v>
      </c>
      <c r="GZ470" s="5">
        <v>237.38777259862152</v>
      </c>
      <c r="HA470" s="5">
        <v>214.10309859665961</v>
      </c>
      <c r="HB470" s="39">
        <v>246.80585339542773</v>
      </c>
      <c r="HC470" s="5">
        <v>265.10312499999998</v>
      </c>
      <c r="HD470" s="5">
        <v>224.66580774853799</v>
      </c>
      <c r="HE470" s="5">
        <v>226.90661690283397</v>
      </c>
      <c r="HF470" s="5">
        <v>209.18438048245613</v>
      </c>
      <c r="HG470" s="5">
        <v>200.91388157894738</v>
      </c>
      <c r="HH470" s="39">
        <v>224.48861018698716</v>
      </c>
      <c r="HI470" s="16"/>
      <c r="HJ470" s="19" t="str">
        <f t="shared" ref="HJ470" si="1308">HJ469</f>
        <v>On</v>
      </c>
      <c r="HK470" s="1" t="str">
        <f t="shared" si="1299"/>
        <v>On</v>
      </c>
      <c r="HL470" s="16"/>
      <c r="HM470" s="639">
        <f t="shared" si="1255"/>
        <v>2.9403358434788716E-2</v>
      </c>
      <c r="HN470" s="639">
        <f t="shared" si="1256"/>
        <v>1.4106809950923669E-3</v>
      </c>
      <c r="HO470" s="639">
        <f t="shared" si="1257"/>
        <v>1.7317923025048877E-3</v>
      </c>
      <c r="HP470" s="644">
        <f>(FT470*$GD470-HM470)/$JF470*INDEX(Input!$1:$1048576,$JG$93,$C470*2+6)</f>
        <v>278.2355721234955</v>
      </c>
      <c r="HQ470" s="644">
        <f>(FU470*$GD470-HN470)/$JF470*INDEX(Input!$1:$1048576,$JG$93,$C470*2+6)</f>
        <v>36.547484125010456</v>
      </c>
      <c r="HR470" s="644">
        <f>(FV470*$GD470-HO470)/$JF470*INDEX(Input!$1:$1048576,$JG$93,$C470*2+6)</f>
        <v>-31.176153897501081</v>
      </c>
      <c r="HS470" s="644">
        <f t="shared" si="1246"/>
        <v>-135.48626515379428</v>
      </c>
      <c r="HT470" s="644">
        <f t="shared" si="1258"/>
        <v>252.18983323111334</v>
      </c>
      <c r="HU470" s="644">
        <f t="shared" si="1259"/>
        <v>13.26243296012867</v>
      </c>
      <c r="HV470" s="648">
        <f t="shared" si="1260"/>
        <v>0</v>
      </c>
      <c r="HW470" s="648">
        <f t="shared" si="1261"/>
        <v>0</v>
      </c>
      <c r="HX470" s="648">
        <f t="shared" si="1262"/>
        <v>0</v>
      </c>
      <c r="HY470" s="644">
        <f>INDEX(Input!$1:$1048576,HY$93,$C470*2+6)*INDEX(Input!$1:$1048576,$JG$93,$C470*2+6)</f>
        <v>993</v>
      </c>
      <c r="HZ470" s="644">
        <f>INDEX(Input!$1:$1048576,HZ$93,$C470*2+6)*INDEX(Input!$1:$1048576,$JG$93,$C470*2+6)</f>
        <v>1216</v>
      </c>
      <c r="IA470" s="644">
        <f>INDEX(Input!$1:$1048576,IA$93,$C470*2+6)*INDEX(Input!$1:$1048576,$JG$93,$C470*2+6)</f>
        <v>120</v>
      </c>
      <c r="IB470" s="644">
        <f t="shared" si="1283"/>
        <v>1135.7493069697011</v>
      </c>
      <c r="IC470" s="644">
        <f t="shared" si="1284"/>
        <v>1504.7373173561239</v>
      </c>
      <c r="ID470" s="644">
        <f>IF(AND(INDEX(Input!$1:$1048576,IA$93,$C470*2+7)="TOS",Y470&lt;=INDEX(Y:Y,MATCH(C470*1000+2,A:A))),0,1)*MAX(IA470+HR470+HU470+HX470,0%)</f>
        <v>102.0862790626276</v>
      </c>
      <c r="IE470" s="128">
        <f t="shared" si="1247"/>
        <v>0.41411818280800539</v>
      </c>
      <c r="IF470" s="128">
        <f t="shared" si="1248"/>
        <v>0.5486590039218352</v>
      </c>
      <c r="IG470" s="128">
        <f t="shared" si="1263"/>
        <v>3.722281327015952E-2</v>
      </c>
      <c r="IH470" s="21"/>
      <c r="II470" s="19">
        <f t="shared" si="1264"/>
        <v>1490</v>
      </c>
      <c r="IJ470" s="19">
        <f t="shared" si="1265"/>
        <v>2203.2561351629856</v>
      </c>
      <c r="IK470" s="19">
        <f t="shared" si="1266"/>
        <v>242</v>
      </c>
      <c r="IL470" s="19">
        <f t="shared" si="1285"/>
        <v>1030</v>
      </c>
      <c r="IM470" s="19">
        <f t="shared" si="1267"/>
        <v>1547.3398906915131</v>
      </c>
      <c r="IN470" s="19">
        <f t="shared" si="1268"/>
        <v>265</v>
      </c>
      <c r="IO470" s="39">
        <f t="shared" si="1269"/>
        <v>0</v>
      </c>
      <c r="IP470" s="39">
        <f t="shared" si="1270"/>
        <v>0</v>
      </c>
      <c r="IQ470" s="39">
        <f t="shared" si="1271"/>
        <v>0</v>
      </c>
      <c r="IR470" s="39">
        <v>0</v>
      </c>
      <c r="IS470" s="39">
        <v>0</v>
      </c>
      <c r="IT470" s="39">
        <v>0</v>
      </c>
      <c r="IU470" s="39">
        <v>0</v>
      </c>
      <c r="IV470" s="39">
        <v>0</v>
      </c>
      <c r="IW470" s="39">
        <v>0</v>
      </c>
      <c r="IX470" s="39">
        <f>INDEX(Input!$1:$1048576,IX$93,$C470*2+6)+INDEX(Input!$1:$1048576,IX$94,$C470*2+6)</f>
        <v>1770</v>
      </c>
      <c r="IY470" s="39">
        <f>INDEX(Input!$1:$1048576,IY$93,$C470*2+6)+INDEX(Input!$1:$1048576,IY$94,$C470*2+6)</f>
        <v>2630.0624533823611</v>
      </c>
      <c r="IZ470" s="39">
        <f>INDEX(Input!$1:$1048576,IZ$93,$C470*2+6)+INDEX(Input!$1:$1048576,IZ$94,$C470*2+6)</f>
        <v>4153.7164157747848</v>
      </c>
      <c r="JA470" s="19">
        <f t="shared" si="1286"/>
        <v>2800</v>
      </c>
      <c r="JB470" s="19">
        <f t="shared" si="1287"/>
        <v>4177.4023440738747</v>
      </c>
      <c r="JC470" s="19">
        <f t="shared" si="1288"/>
        <v>4418.7164157747848</v>
      </c>
      <c r="JD470" s="19">
        <f t="shared" si="1289"/>
        <v>3615.9773769808999</v>
      </c>
      <c r="JE470" s="21"/>
      <c r="JF470" s="1">
        <f t="shared" si="1272"/>
        <v>3.2545831732385969E-2</v>
      </c>
      <c r="JG470" s="15">
        <f>INDEX(Input!$1:$1048576,JG$93,$C470*2+6)/(1+VLOOKUP(C470*1000+INDEX(Input!$1:$1048576,JG$93+1,$C470*2+6),$A:$KK,$JK$92,FALSE))</f>
        <v>2329</v>
      </c>
      <c r="JH470" s="1">
        <f t="shared" si="1290"/>
        <v>0.12177196322499136</v>
      </c>
      <c r="JI470" s="1">
        <f t="shared" si="1291"/>
        <v>5.5803349522304743E-2</v>
      </c>
      <c r="JJ470" s="1">
        <f t="shared" si="1249"/>
        <v>0</v>
      </c>
      <c r="JK470" s="1">
        <f t="shared" si="1250"/>
        <v>0.1775753127472961</v>
      </c>
      <c r="JL470" s="15">
        <f t="shared" si="1292"/>
        <v>413.57290338845263</v>
      </c>
      <c r="JM470" s="15">
        <f t="shared" si="1180"/>
        <v>2742.5729033884527</v>
      </c>
      <c r="JN470" s="21"/>
      <c r="JO470" s="19">
        <f>INDEX(Input!$1:$1048576,JO$93,$C470*2+6)</f>
        <v>5995.5</v>
      </c>
      <c r="JP470" s="19">
        <f>INDEX(Input!$1:$1048576,JP$93,$C470*2+6)</f>
        <v>2341.8685758720158</v>
      </c>
      <c r="JQ470" s="39">
        <f t="shared" si="1300"/>
        <v>2379.5226230191001</v>
      </c>
      <c r="JR470" s="39">
        <f t="shared" si="1183"/>
        <v>1274.1088011088841</v>
      </c>
      <c r="JS470" s="39">
        <f t="shared" si="1301"/>
        <v>9.9170815733734692</v>
      </c>
      <c r="JT470" s="39">
        <f t="shared" si="1293"/>
        <v>4.4628696601675442</v>
      </c>
      <c r="JU470" s="385">
        <f>(JQ470*JM470-INDEX(Input!$1:$1048576,Input!A$18,$C470*2+6)*JL470*INDEX(Input!$1:$1048576,Input!A$19,$C470*2+6))/1000000</f>
        <v>6.5260142688920002</v>
      </c>
      <c r="JV470" s="39">
        <f t="shared" si="1190"/>
        <v>-1.9832933179020742</v>
      </c>
      <c r="JW470" s="1">
        <f t="shared" si="1181"/>
        <v>-0.23307340787398781</v>
      </c>
      <c r="JX470" s="19">
        <f t="shared" si="1305"/>
        <v>10791.010783353346</v>
      </c>
      <c r="JZ470" s="341"/>
      <c r="KA470" s="342"/>
      <c r="KB470" s="469">
        <f t="shared" si="1302"/>
        <v>2.3434325605641804</v>
      </c>
      <c r="KI470" s="473">
        <f t="shared" si="1251"/>
        <v>142.74930696970137</v>
      </c>
      <c r="KJ470" s="473">
        <f t="shared" si="1252"/>
        <v>288.73731735612409</v>
      </c>
      <c r="KK470" s="473">
        <f t="shared" si="1294"/>
        <v>-17.913720937372375</v>
      </c>
      <c r="KN470" s="544">
        <f t="shared" si="1306"/>
        <v>4002</v>
      </c>
      <c r="KO470" s="541">
        <f t="shared" si="1273"/>
        <v>0.13394506930751082</v>
      </c>
      <c r="KP470" s="546">
        <f t="shared" si="1274"/>
        <v>1005.9003028897353</v>
      </c>
      <c r="KQ470" s="546">
        <f t="shared" si="1275"/>
        <v>991.2061889448787</v>
      </c>
      <c r="KR470" s="548">
        <f t="shared" si="1276"/>
        <v>2.3116774542493181</v>
      </c>
      <c r="KS470" s="548">
        <f t="shared" si="1277"/>
        <v>2.34594686488794</v>
      </c>
      <c r="KT470" s="473">
        <f t="shared" si="1303"/>
        <v>1580.0986321700548</v>
      </c>
      <c r="KU470" s="663">
        <f t="shared" si="1295"/>
        <v>4.066165740168687</v>
      </c>
    </row>
    <row r="471" spans="1:307" s="26" customFormat="1" ht="15" outlineLevel="1">
      <c r="A471" s="561">
        <f t="shared" si="1278"/>
        <v>4071</v>
      </c>
      <c r="B471" s="561">
        <f t="shared" si="1296"/>
        <v>71</v>
      </c>
      <c r="C471" s="561">
        <f t="shared" si="1297"/>
        <v>4</v>
      </c>
      <c r="D471" s="561" t="str">
        <f t="shared" si="1206"/>
        <v xml:space="preserve">1000 CC, 0/1.8/2.8/3.9, 2000 Combo, </v>
      </c>
      <c r="E471" s="475">
        <f>INDEX(Input!$1:$1048576,E$93,$C471*2+MIN($B471,2)+5)
+INDEX(Scenarios!E$121:E$200,MATCH($B471,Scenarios!$B$121:$B$200,0))</f>
        <v>2256.832975525977</v>
      </c>
      <c r="F471" s="475">
        <f>INDEX(Input!$1:$1048576,F$93,$C471*2+MIN($B471,2)+5)
+INDEX(Scenarios!F$121:F$200,MATCH($B471,Scenarios!$B$121:$B$200,0))</f>
        <v>0</v>
      </c>
      <c r="G471" s="475">
        <f>INDEX(Input!$1:$1048576,G$93,$C471*2+MIN($B471,2)+5)
+INDEX(Scenarios!G$121:G$200,MATCH($B471,Scenarios!$B$121:$B$200,0))</f>
        <v>0</v>
      </c>
      <c r="H471" s="475">
        <f>INDEX(Input!$1:$1048576,H$93,$C471*2+MIN($B471,2)+5)
+INDEX(Scenarios!H$121:H$200,MATCH($B471,Scenarios!$B$121:$B$200,0))</f>
        <v>0</v>
      </c>
      <c r="I471" s="476">
        <f>INDEX(Input!$1:$1048576,I$93,$C471*2+MIN($B471,2)+5)</f>
        <v>0.7</v>
      </c>
      <c r="J471" s="476" t="str">
        <f>INDEX(Input!$1:$1048576,J$93,$C471*2+MIN($B471,2)+5)</f>
        <v>Market</v>
      </c>
      <c r="K471" s="476" t="str">
        <f>INDEX(Input!$1:$1048576,K$93,$C471*2+MIN($B471,2)+5)</f>
        <v>Market</v>
      </c>
      <c r="L471" s="476" t="str">
        <f>INDEX(Input!$1:$1048576,L$93,$C471*2+MIN($B471,2)+5)</f>
        <v>Market</v>
      </c>
      <c r="M471" s="476" t="str">
        <f>INDEX(Input!$1:$1048576,M$93,$C471*2+MIN($B471,2)+5)</f>
        <v>Market</v>
      </c>
      <c r="N471" s="476" t="str">
        <f>INDEX(Input!$1:$1048576,N$93,$C471*2+MIN($B471,2)+5)</f>
        <v>Market</v>
      </c>
      <c r="O471" s="476" t="str">
        <f>INDEX(Input!$1:$1048576,O$93,$C471*2+MIN($B471,2)+5)</f>
        <v>Market</v>
      </c>
      <c r="P471" s="476" t="str">
        <f>INDEX(Input!$1:$1048576,P$93,$C471*2+MIN($B471,2)+5)</f>
        <v>N</v>
      </c>
      <c r="Q471" s="477">
        <f>INDEX(Input!$1:$1048576,Q$93,$C471*2+MIN($B471,2)+5)
+INDEX(Scenarios!Q$121:Q$200,MATCH($B471,Scenarios!$B$121:$B$200,0))</f>
        <v>2000</v>
      </c>
      <c r="R471" s="478">
        <f>IFERROR(MAX(0,INDEX(Input!$1:$1048576,R$93,$C471*2+MIN($B471,2)+5)
+INDEX(Scenarios!R$121:R$200,MATCH($B471,Scenarios!$B$121:$B$200,0)),),"Market")</f>
        <v>0</v>
      </c>
      <c r="S471" s="478">
        <f>IFERROR(MAX(0,INDEX(Input!$1:$1048576,S$93,$C471*2+MIN($B471,2)+5)
+INDEX(Scenarios!S$121:S$200,MATCH($B471,Scenarios!$B$121:$B$200,0)),),"Market")</f>
        <v>0</v>
      </c>
      <c r="T471" s="478">
        <f>IFERROR(MAX(0,INDEX(Input!$1:$1048576,T$93,$C471*2+MIN($B471,2)+5)
+INDEX(Scenarios!T$121:T$200,MATCH($B471,Scenarios!$B$121:$B$200,0)),),"Market")</f>
        <v>0</v>
      </c>
      <c r="U471" s="478">
        <f>IFERROR(MAX(0,INDEX(Input!$1:$1048576,U$93,$C471*2+MIN($B471,2)+5)
+INDEX(Scenarios!U$121:U$200,MATCH($B471,Scenarios!$B$121:$B$200,0)),),"Market")</f>
        <v>0</v>
      </c>
      <c r="V471" s="478">
        <f>IFERROR(MAX(0,INDEX(Input!$1:$1048576,V$93,$C471*2+MIN($B471,2)+5)
+INDEX(Scenarios!V$121:V$200,MATCH($B471,Scenarios!$B$121:$B$200,0)),),"Market")</f>
        <v>2.7999999999999997E-2</v>
      </c>
      <c r="W471" s="885">
        <f>IFERROR(MAX(0,INDEX(Input!$1:$1048576,W$93,$C471*2+MIN($B471,2)+5)-0%,),"Market")</f>
        <v>3.9E-2</v>
      </c>
      <c r="X471" s="476" t="str">
        <f>INDEX(Input!$1:$1048576,X$93,$C471*2+MIN($B471,2)+5)</f>
        <v>Y</v>
      </c>
      <c r="Y471" s="475">
        <f>INDEX(Input!$1:$1048576,Y$93,$C471*2+MIN($B471,2)+5)
++INDEX(Scenarios!Y$121:Y$200,MATCH($B471,Scenarios!$B$121:$B$200,0))</f>
        <v>-870</v>
      </c>
      <c r="Z471" s="477">
        <f>INDEX(Input!$1:$1048576,Z$93,$C471*2+MIN($B471,2)+5)
+INDEX(Scenarios!Z$121:Z$200,MATCH($B471,Scenarios!$B$121:$B$200,0))</f>
        <v>0</v>
      </c>
      <c r="AA471" s="475">
        <f>INDEX(Input!$1:$1048576,AA$93,$C471*2+MIN($B471,2)+5)
+INDEX(Scenarios!AA$121:AA$200,MATCH($B471,Scenarios!$B$121:$B$200,0))</f>
        <v>0</v>
      </c>
      <c r="AB471" s="476">
        <f>INDEX(Input!$1:$1048576,AB$93,$C471*2+MIN($B471,2)+5)</f>
        <v>0.27</v>
      </c>
      <c r="AC471" s="475">
        <f>INDEX(Input!$1:$1048576,AC$93,$C471*2+MIN($B471,2)+5)
+INDEX(Scenarios!AC$121:AC$200,MATCH($B471,Scenarios!$B$121:$B$200,0))</f>
        <v>0</v>
      </c>
      <c r="AD471" s="476">
        <f>INDEX(Input!$1:$1048576,AD$93,$C471*2+MIN($B471,2)+5)</f>
        <v>0.27</v>
      </c>
      <c r="AE471" s="475">
        <f>INDEX(Input!$1:$1048576,AE$93,$C471*2+MIN($B471,2)+5)
+INDEX(Scenarios!AE$121:AE$200,MATCH($B471,Scenarios!$B$121:$B$200,0))</f>
        <v>0</v>
      </c>
      <c r="AF471" s="476">
        <f>INDEX(Input!$1:$1048576,AF$93,$C471*2+MIN($B471,2)+5)</f>
        <v>1</v>
      </c>
      <c r="AG471" s="475">
        <f>INDEX(Input!$1:$1048576,AG$93,$C471*2+MIN($B471,2)+5)
+INDEX(Scenarios!AG$121:AG$200,MATCH($B471,Scenarios!$B$121:$B$200,0))</f>
        <v>500</v>
      </c>
      <c r="AH471" s="476">
        <f>INDEX(Input!$1:$1048576,AH$93,$C471*2+MIN($B471,2)+5)</f>
        <v>0.83199999999999996</v>
      </c>
      <c r="AI471" s="475">
        <f>INDEX(Input!$1:$1048576,AI$93,$C471*2+MIN($B471,2)+5)
+INDEX(Scenarios!AI$121:AI$200,MATCH($B471,Scenarios!$B$121:$B$200,0))</f>
        <v>0</v>
      </c>
      <c r="AJ471" s="476">
        <f>INDEX(Input!$1:$1048576,AJ$93,$C471*2+MIN($B471,2)+5)</f>
        <v>0.27</v>
      </c>
      <c r="AK471" s="150">
        <f>ROUND(INDEX(Input!$1:$1048576,AK$93,$C470*2+MIN($B471,1)+5)+(Y471-VLOOKUP($C471*1000+1,$A:$HH,Y$92,FALSE)),0)</f>
        <v>2587</v>
      </c>
      <c r="AL471" s="150">
        <f>ROUND(INDEX(Input!$1:$1048576,AL$93,$C470*2+MIN($B471,1)+5)-(Y471-VLOOKUP($C471*1000+1,$A:$HH,Y$92,FALSE))/36,0)</f>
        <v>3406</v>
      </c>
      <c r="AM471" s="32" t="str">
        <f t="shared" si="1279"/>
        <v>std/std/std/std</v>
      </c>
      <c r="AN471" s="32" t="str">
        <f t="shared" si="1280"/>
        <v>$2000 + 0/0/0/2.8/3.9</v>
      </c>
      <c r="AO471" s="32" t="str">
        <f t="shared" si="1281"/>
        <v>0/0/0/2.8/3.9</v>
      </c>
      <c r="AP471" s="32" t="str">
        <f t="shared" si="1213"/>
        <v>0/1.8/2.8/3.9</v>
      </c>
      <c r="AQ471" s="536">
        <f t="shared" si="1207"/>
        <v>0.40592276300995916</v>
      </c>
      <c r="AR471" s="32"/>
      <c r="AS471" s="302"/>
      <c r="AT471" s="3">
        <f t="shared" si="1298"/>
        <v>71</v>
      </c>
      <c r="AU471" s="41" t="s">
        <v>121</v>
      </c>
      <c r="AV471" s="41" t="s">
        <v>116</v>
      </c>
      <c r="AW471" s="41" t="str">
        <f>INDEX(Input!$1:$1048576,AW$93,$C471*2+6)</f>
        <v>Kia</v>
      </c>
      <c r="AX471" s="41" t="str">
        <f>INDEX(Input!$1:$1048576,AX$93,$C471*2+6)</f>
        <v>Kia-LR - R1</v>
      </c>
      <c r="AY471" s="41" t="str">
        <f>IF(LEN(D471)=0,"",INDEX(Input!$1:$1048576,AY$93,$C471*2+6))</f>
        <v>Compact SUV (52)</v>
      </c>
      <c r="AZ471" s="41" t="str">
        <f>INDEX(Input!$1:$1048576,AZ$93,$C471*2+6)</f>
        <v>Kia Soul</v>
      </c>
      <c r="BA471" s="3">
        <f>INDEX(Input!$1:$1048576,BA$93,$C471*2+6)</f>
        <v>2020</v>
      </c>
      <c r="BB471" s="128">
        <f>INDEX(Input!$1:$1048576,BB$93,$C471*2+6)</f>
        <v>1</v>
      </c>
      <c r="BC471" s="128">
        <f>INDEX(Input!$1:$1048576,BC$93,$C471*2+6)</f>
        <v>0.7</v>
      </c>
      <c r="BD471" s="1">
        <f>INDEX(Input!$1:$1048576,BD$93,$C471*2+6)</f>
        <v>4.4999999999999998E-2</v>
      </c>
      <c r="BE471" s="1">
        <f>INDEX(Input!$1:$1048576,BE$93,$C471*2+6)</f>
        <v>4.4999999999999998E-2</v>
      </c>
      <c r="BF471" s="1">
        <f>INDEX(Input!$1:$1048576,BF$93,$C471*2+6)</f>
        <v>0.05</v>
      </c>
      <c r="BG471" s="1">
        <f>INDEX(Input!$1:$1048576,BG$93,$C471*2+6)</f>
        <v>5.45E-2</v>
      </c>
      <c r="BH471" s="1">
        <f>INDEX(Input!$1:$1048576,BH$93,$C471*2+6)</f>
        <v>5.45E-2</v>
      </c>
      <c r="BI471" s="1">
        <f>INDEX(Input!$1:$1048576,BI$93,$C471*2+6)</f>
        <v>0.05</v>
      </c>
      <c r="BJ471" s="1">
        <f>INDEX(Input!$1:$1048576,BJ$93,$C471*2+6)</f>
        <v>0.05</v>
      </c>
      <c r="BK471" s="1">
        <f>INDEX(Input!$1:$1048576,BK$93,$C471*2+6)</f>
        <v>0.05</v>
      </c>
      <c r="BL471" s="1">
        <f>INDEX(Input!$1:$1048576,BL$93,$C471*2+6)</f>
        <v>5.5E-2</v>
      </c>
      <c r="BM471" s="1">
        <f>INDEX(Input!$1:$1048576,BM$93,$C471*2+6)</f>
        <v>0.06</v>
      </c>
      <c r="BN471" s="1">
        <f>INDEX(Input!$1:$1048576,BN$93,$C471*2+6)</f>
        <v>4.4999999999999998E-2</v>
      </c>
      <c r="BO471" s="1">
        <f>INDEX(Input!$1:$1048576,BO$93,$C471*2+6)</f>
        <v>4.4999999999999998E-2</v>
      </c>
      <c r="BP471" s="1">
        <f>INDEX(Input!$1:$1048576,BP$93,$C471*2+6)</f>
        <v>0.05</v>
      </c>
      <c r="BQ471" s="1">
        <f>INDEX(Input!$1:$1048576,BQ$93,$C471*2+6)</f>
        <v>5.45E-2</v>
      </c>
      <c r="BR471" s="1">
        <f>INDEX(Input!$1:$1048576,BR$93,$C471*2+6)</f>
        <v>5.45E-2</v>
      </c>
      <c r="BS471" s="1">
        <f>INDEX(Input!$1:$1048576,BS$93,$C471*2+6)</f>
        <v>0.05</v>
      </c>
      <c r="BT471" s="1">
        <f>INDEX(Input!$1:$1048576,BT$93,$C471*2+6)</f>
        <v>0.05</v>
      </c>
      <c r="BU471" s="1">
        <f>INDEX(Input!$1:$1048576,BU$93,$C471*2+6)</f>
        <v>0.05</v>
      </c>
      <c r="BV471" s="1">
        <f>INDEX(Input!$1:$1048576,BV$93,$C471*2+6)</f>
        <v>5.5E-2</v>
      </c>
      <c r="BW471" s="1">
        <f>INDEX(Input!$1:$1048576,BW$93,$C471*2+6)</f>
        <v>0.06</v>
      </c>
      <c r="BX471" s="127">
        <f>INDEX(Input!$1:$1048576,BX$93,$C471*2+6)</f>
        <v>19985</v>
      </c>
      <c r="BY471" s="20">
        <f>INDEX(Input!$1:$1048576,BY$93,$C471*2+6)</f>
        <v>0.1</v>
      </c>
      <c r="BZ471" s="20">
        <f>INDEX(Input!$1:$1048576,BZ$93,$C471*2+6)</f>
        <v>0.1</v>
      </c>
      <c r="CA471" s="20">
        <f>INDEX(Input!$1:$1048576,CA$93,$C471*2+6)</f>
        <v>0.1</v>
      </c>
      <c r="CB471" s="20">
        <f>INDEX(Input!$1:$1048576,CB$93,$C471*2+6)</f>
        <v>0.1</v>
      </c>
      <c r="CC471" s="20">
        <f>INDEX(Input!$1:$1048576,CC$93,$C471*2+6)</f>
        <v>0.1</v>
      </c>
      <c r="CD471" s="384">
        <f>INDEX(Input!$1:$1048576,CD$93,$C471*2+6)</f>
        <v>0.1</v>
      </c>
      <c r="CE471" s="384">
        <f>INDEX(Input!$1:$1048576,CE$93,$C471*2+6)</f>
        <v>0.1</v>
      </c>
      <c r="CF471" s="384">
        <f>INDEX(Input!$1:$1048576,CF$93,$C471*2+6)</f>
        <v>0.1</v>
      </c>
      <c r="CG471" s="384">
        <f>INDEX(Input!$1:$1048576,CG$93,$C471*2+6)</f>
        <v>0.1</v>
      </c>
      <c r="CH471" s="384">
        <f>INDEX(Input!$1:$1048576,CH$93,$C471*2+6)</f>
        <v>0.1</v>
      </c>
      <c r="CI471" s="304">
        <f t="shared" si="1214"/>
        <v>2256.832975525977</v>
      </c>
      <c r="CJ471" s="16" t="str">
        <f>INDEX(Input!$1:$1048576,CJ$93,$C471*2+6)</f>
        <v>N</v>
      </c>
      <c r="CK471" s="1" t="str">
        <f t="shared" si="1215"/>
        <v>Market</v>
      </c>
      <c r="CL471" s="1" t="str">
        <f t="shared" si="1216"/>
        <v>Market</v>
      </c>
      <c r="CM471" s="1" t="str">
        <f t="shared" si="1217"/>
        <v>Market</v>
      </c>
      <c r="CN471" s="1" t="str">
        <f t="shared" si="1218"/>
        <v>Market</v>
      </c>
      <c r="CO471" s="1" t="str">
        <f t="shared" si="1219"/>
        <v>Market</v>
      </c>
      <c r="CP471" s="304">
        <f t="shared" si="1220"/>
        <v>2416</v>
      </c>
      <c r="CQ471" s="1">
        <f t="shared" si="1221"/>
        <v>0</v>
      </c>
      <c r="CR471" s="1">
        <f t="shared" si="1222"/>
        <v>0</v>
      </c>
      <c r="CS471" s="1">
        <f t="shared" si="1223"/>
        <v>0</v>
      </c>
      <c r="CT471" s="1">
        <f t="shared" si="1224"/>
        <v>2.7999999999999997E-2</v>
      </c>
      <c r="CU471" s="1">
        <f t="shared" si="1225"/>
        <v>3.9E-2</v>
      </c>
      <c r="CV471" s="304">
        <f t="shared" si="1226"/>
        <v>-870</v>
      </c>
      <c r="CW471" s="20" t="s">
        <v>122</v>
      </c>
      <c r="CX471" s="20" t="s">
        <v>122</v>
      </c>
      <c r="CY471" s="20" t="s">
        <v>122</v>
      </c>
      <c r="CZ471" s="20" t="s">
        <v>122</v>
      </c>
      <c r="DA471" s="20" t="s">
        <v>122</v>
      </c>
      <c r="DB471" s="503">
        <f t="shared" si="1227"/>
        <v>0</v>
      </c>
      <c r="DC471" s="127">
        <v>0</v>
      </c>
      <c r="DD471" s="127">
        <v>0</v>
      </c>
      <c r="DE471" s="127">
        <v>0</v>
      </c>
      <c r="DF471" s="127">
        <v>0</v>
      </c>
      <c r="DG471" s="127">
        <v>0</v>
      </c>
      <c r="DH471" s="127">
        <v>0</v>
      </c>
      <c r="DI471" s="127">
        <v>0</v>
      </c>
      <c r="DJ471" s="127">
        <v>0</v>
      </c>
      <c r="DK471" s="127">
        <v>0</v>
      </c>
      <c r="DL471" s="127">
        <v>0</v>
      </c>
      <c r="DM471" s="304">
        <f>INDEX(Input!$1:$1048576,DM$93,$C471*2+6)</f>
        <v>21036.84210526316</v>
      </c>
      <c r="DN471" s="20">
        <v>0</v>
      </c>
      <c r="DO471" s="20">
        <v>0</v>
      </c>
      <c r="DP471" s="20">
        <v>0</v>
      </c>
      <c r="DQ471" s="20">
        <v>0</v>
      </c>
      <c r="DR471" s="20">
        <v>0</v>
      </c>
      <c r="DS471" s="20">
        <f>INDEX(Input!$1:$1048576,DS$93,$C471*2+6)</f>
        <v>0.6</v>
      </c>
      <c r="DT471" s="20">
        <f>INDEX(Input!$1:$1048576,DT$93,$C471*2+6)</f>
        <v>0.55000000000000004</v>
      </c>
      <c r="DU471" s="20">
        <f>INDEX(Input!$1:$1048576,DU$93,$C471*2+6)</f>
        <v>0.52</v>
      </c>
      <c r="DV471" s="20">
        <f>INDEX(Input!$1:$1048576,DV$93,$C471*2+6)</f>
        <v>0.5</v>
      </c>
      <c r="DW471" s="20">
        <f>INDEX(Input!$1:$1048576,DW$93,$C471*2+6)</f>
        <v>0.45</v>
      </c>
      <c r="DX471" s="20"/>
      <c r="DY471" s="7">
        <v>0.11333665125429869</v>
      </c>
      <c r="DZ471" s="7">
        <v>0</v>
      </c>
      <c r="EA471" s="7">
        <v>0.79584839900746096</v>
      </c>
      <c r="EB471" s="7">
        <v>0</v>
      </c>
      <c r="EC471" s="7">
        <v>0</v>
      </c>
      <c r="ED471" s="7">
        <v>0</v>
      </c>
      <c r="EE471" s="7">
        <v>0</v>
      </c>
      <c r="EF471" s="7">
        <v>0</v>
      </c>
      <c r="EG471" s="7">
        <v>0</v>
      </c>
      <c r="EH471" s="7">
        <v>1.5073265731085564E-2</v>
      </c>
      <c r="EI471" s="7">
        <v>3.93727644543082E-2</v>
      </c>
      <c r="EJ471" s="7">
        <v>0.27666213703186243</v>
      </c>
      <c r="EK471" s="7">
        <v>0.50064572085041925</v>
      </c>
      <c r="EL471" s="7">
        <v>0.16824611193232419</v>
      </c>
      <c r="EM471" s="7">
        <v>5.9790392057142629E-2</v>
      </c>
      <c r="EN471" s="7">
        <v>5.0420550932597286E-2</v>
      </c>
      <c r="EO471" s="7">
        <v>0.71274569740613625</v>
      </c>
      <c r="EP471" s="7">
        <v>0.10252696551779326</v>
      </c>
      <c r="EQ471" s="7">
        <v>8.9948787494407059E-2</v>
      </c>
      <c r="ER471" s="7">
        <v>4.4357998649065894E-2</v>
      </c>
      <c r="ES471" s="7">
        <v>3.1024557681097693E-2</v>
      </c>
      <c r="ET471" s="7">
        <v>9.0814949738240239E-2</v>
      </c>
      <c r="EU471" s="6">
        <v>2770</v>
      </c>
      <c r="EV471" s="6">
        <v>0</v>
      </c>
      <c r="EW471" s="6">
        <v>2770</v>
      </c>
      <c r="EX471" s="6">
        <v>0</v>
      </c>
      <c r="EY471" s="6">
        <v>4250.6935064147629</v>
      </c>
      <c r="EZ471" s="6">
        <v>507</v>
      </c>
      <c r="FA471" s="6">
        <v>0</v>
      </c>
      <c r="FB471" s="6">
        <v>0</v>
      </c>
      <c r="FC471" s="6">
        <v>0</v>
      </c>
      <c r="FD471" s="6">
        <v>0</v>
      </c>
      <c r="FE471" s="6">
        <v>0</v>
      </c>
      <c r="FF471" s="6">
        <v>0</v>
      </c>
      <c r="FG471" s="6">
        <v>0</v>
      </c>
      <c r="FH471" s="6">
        <v>1169.798477254586</v>
      </c>
      <c r="FI471" s="6">
        <v>1553.9796069512399</v>
      </c>
      <c r="FJ471" s="6">
        <v>2101.2110117447401</v>
      </c>
      <c r="FK471" s="6">
        <v>1334.1543630076703</v>
      </c>
      <c r="FL471" s="6">
        <v>907.07682140966335</v>
      </c>
      <c r="FM471" s="6">
        <v>1480.6935064147629</v>
      </c>
      <c r="FN471" s="6">
        <v>0</v>
      </c>
      <c r="FO471" s="6">
        <v>0</v>
      </c>
      <c r="FP471" s="6">
        <v>0</v>
      </c>
      <c r="FQ471" s="6">
        <v>0</v>
      </c>
      <c r="FR471" s="6">
        <v>0</v>
      </c>
      <c r="FS471" s="6">
        <v>0</v>
      </c>
      <c r="FT471" s="7">
        <v>0.90918505026175966</v>
      </c>
      <c r="FU471" s="7">
        <v>5.9790392057142629E-2</v>
      </c>
      <c r="FV471" s="7">
        <v>3.1024557681097693E-2</v>
      </c>
      <c r="FW471" s="6">
        <v>2770</v>
      </c>
      <c r="FX471" s="6">
        <v>4250.6935064147629</v>
      </c>
      <c r="FY471" s="6">
        <v>507</v>
      </c>
      <c r="FZ471" s="6">
        <v>1949.5716051445115</v>
      </c>
      <c r="GA471" s="6">
        <v>2788.32267123268</v>
      </c>
      <c r="GB471" s="6">
        <v>17196.67732876732</v>
      </c>
      <c r="GC471" s="7">
        <v>3.3872851927908169E-2</v>
      </c>
      <c r="GD471" s="7">
        <v>3.7576577971705938E-2</v>
      </c>
      <c r="GE471" s="7"/>
      <c r="GF471" s="7"/>
      <c r="GG471" s="7">
        <v>0.10934201972955908</v>
      </c>
      <c r="GH471" s="42">
        <v>2.6053025178098941</v>
      </c>
      <c r="GI471" s="6">
        <v>10459.216881552667</v>
      </c>
      <c r="GJ471" s="14">
        <v>0.50394797582841677</v>
      </c>
      <c r="GK471" s="14">
        <v>0.50887573065309744</v>
      </c>
      <c r="GL471" s="14">
        <v>0.49605202417158256</v>
      </c>
      <c r="GM471" s="14">
        <v>0.49112426934690223</v>
      </c>
      <c r="GO471" s="5">
        <v>343.14810671672558</v>
      </c>
      <c r="GP471" s="5">
        <v>290.30179111306006</v>
      </c>
      <c r="GQ471" s="5">
        <v>535.04305713031317</v>
      </c>
      <c r="GR471" s="5">
        <v>410.15490233172511</v>
      </c>
      <c r="GS471" s="5">
        <v>339.42744393800166</v>
      </c>
      <c r="GT471" s="5">
        <v>293.4407446948278</v>
      </c>
      <c r="GU471" s="5">
        <v>258.04012322764959</v>
      </c>
      <c r="GV471" s="39" t="s">
        <v>392</v>
      </c>
      <c r="GW471" s="5">
        <v>422.68055555555554</v>
      </c>
      <c r="GX471" s="5">
        <v>317.01041666666669</v>
      </c>
      <c r="GY471" s="5">
        <v>253.60833333333332</v>
      </c>
      <c r="GZ471" s="5">
        <v>229.83558945992581</v>
      </c>
      <c r="HA471" s="5">
        <v>207.29168706748135</v>
      </c>
      <c r="HB471" s="39">
        <v>238.95880101456083</v>
      </c>
      <c r="HC471" s="5">
        <v>265.10312499999998</v>
      </c>
      <c r="HD471" s="5">
        <v>224.66580774853799</v>
      </c>
      <c r="HE471" s="5">
        <v>226.90661690283397</v>
      </c>
      <c r="HF471" s="5">
        <v>209.18438048245613</v>
      </c>
      <c r="HG471" s="5">
        <v>200.91388157894738</v>
      </c>
      <c r="HH471" s="39">
        <v>224.48829940527699</v>
      </c>
      <c r="HI471" s="16"/>
      <c r="HJ471" s="19" t="str">
        <f t="shared" ref="HJ471" si="1309">HJ470</f>
        <v>On</v>
      </c>
      <c r="HK471" s="1" t="str">
        <f t="shared" si="1299"/>
        <v>On</v>
      </c>
      <c r="HL471" s="16"/>
      <c r="HM471" s="639">
        <f t="shared" si="1255"/>
        <v>2.9403358434788716E-2</v>
      </c>
      <c r="HN471" s="639">
        <f t="shared" si="1256"/>
        <v>1.4106809950923669E-3</v>
      </c>
      <c r="HO471" s="639">
        <f t="shared" si="1257"/>
        <v>1.7317923025048877E-3</v>
      </c>
      <c r="HP471" s="644">
        <f>(FT471*$GD471-HM471)/$JF471*INDEX(Input!$1:$1048576,$JG$93,$C471*2+6)</f>
        <v>340.67898048738482</v>
      </c>
      <c r="HQ471" s="644">
        <f>(FU471*$GD471-HN471)/$JF471*INDEX(Input!$1:$1048576,$JG$93,$C471*2+6)</f>
        <v>59.827352605416458</v>
      </c>
      <c r="HR471" s="644">
        <f>(FV471*$GD471-HO471)/$JF471*INDEX(Input!$1:$1048576,$JG$93,$C471*2+6)</f>
        <v>-40.502997251881681</v>
      </c>
      <c r="HS471" s="644">
        <f t="shared" si="1246"/>
        <v>-168.42812543261732</v>
      </c>
      <c r="HT471" s="644">
        <f t="shared" si="1258"/>
        <v>334.40906697797158</v>
      </c>
      <c r="HU471" s="644">
        <f t="shared" si="1259"/>
        <v>15.637824252747807</v>
      </c>
      <c r="HV471" s="648">
        <f t="shared" si="1260"/>
        <v>0</v>
      </c>
      <c r="HW471" s="648">
        <f t="shared" si="1261"/>
        <v>0</v>
      </c>
      <c r="HX471" s="648">
        <f t="shared" si="1262"/>
        <v>0</v>
      </c>
      <c r="HY471" s="644">
        <f>INDEX(Input!$1:$1048576,HY$93,$C471*2+6)*INDEX(Input!$1:$1048576,$JG$93,$C471*2+6)</f>
        <v>993</v>
      </c>
      <c r="HZ471" s="644">
        <f>INDEX(Input!$1:$1048576,HZ$93,$C471*2+6)*INDEX(Input!$1:$1048576,$JG$93,$C471*2+6)</f>
        <v>1216</v>
      </c>
      <c r="IA471" s="644">
        <f>INDEX(Input!$1:$1048576,IA$93,$C471*2+6)*INDEX(Input!$1:$1048576,$JG$93,$C471*2+6)</f>
        <v>120</v>
      </c>
      <c r="IB471" s="644">
        <f t="shared" si="1283"/>
        <v>1165.2508550547675</v>
      </c>
      <c r="IC471" s="644">
        <f t="shared" si="1284"/>
        <v>1610.2364195833882</v>
      </c>
      <c r="ID471" s="644">
        <f>IF(AND(INDEX(Input!$1:$1048576,IA$93,$C471*2+7)="TOS",Y471&lt;=INDEX(Y:Y,MATCH(C471*1000+2,A:A))),0,1)*MAX(IA471+HR471+HU471+HX471,0%)</f>
        <v>95.134827000866125</v>
      </c>
      <c r="IE471" s="128">
        <f t="shared" si="1247"/>
        <v>0.40592276300995916</v>
      </c>
      <c r="IF471" s="128">
        <f t="shared" si="1248"/>
        <v>0.56093639725828115</v>
      </c>
      <c r="IG471" s="128">
        <f t="shared" si="1263"/>
        <v>3.3140839731759734E-2</v>
      </c>
      <c r="IH471" s="21"/>
      <c r="II471" s="19">
        <f t="shared" si="1264"/>
        <v>1490</v>
      </c>
      <c r="IJ471" s="19">
        <f t="shared" si="1265"/>
        <v>2203.2561351629856</v>
      </c>
      <c r="IK471" s="19">
        <f t="shared" si="1266"/>
        <v>242</v>
      </c>
      <c r="IL471" s="19">
        <f t="shared" si="1285"/>
        <v>1280</v>
      </c>
      <c r="IM471" s="19">
        <f t="shared" si="1267"/>
        <v>2047.4373712517772</v>
      </c>
      <c r="IN471" s="19">
        <f t="shared" si="1268"/>
        <v>265</v>
      </c>
      <c r="IO471" s="39">
        <f t="shared" si="1269"/>
        <v>0</v>
      </c>
      <c r="IP471" s="39">
        <f t="shared" si="1270"/>
        <v>0</v>
      </c>
      <c r="IQ471" s="39">
        <f t="shared" si="1271"/>
        <v>0</v>
      </c>
      <c r="IR471" s="39">
        <v>0</v>
      </c>
      <c r="IS471" s="39">
        <v>0</v>
      </c>
      <c r="IT471" s="39">
        <v>0</v>
      </c>
      <c r="IU471" s="39">
        <v>0</v>
      </c>
      <c r="IV471" s="39">
        <v>0</v>
      </c>
      <c r="IW471" s="39">
        <v>0</v>
      </c>
      <c r="IX471" s="39">
        <f>INDEX(Input!$1:$1048576,IX$93,$C471*2+6)+INDEX(Input!$1:$1048576,IX$94,$C471*2+6)</f>
        <v>1770</v>
      </c>
      <c r="IY471" s="39">
        <f>INDEX(Input!$1:$1048576,IY$93,$C471*2+6)+INDEX(Input!$1:$1048576,IY$94,$C471*2+6)</f>
        <v>2630.0624533823611</v>
      </c>
      <c r="IZ471" s="39">
        <f>INDEX(Input!$1:$1048576,IZ$93,$C471*2+6)+INDEX(Input!$1:$1048576,IZ$94,$C471*2+6)</f>
        <v>4153.7164157747848</v>
      </c>
      <c r="JA471" s="19">
        <f t="shared" si="1286"/>
        <v>3050</v>
      </c>
      <c r="JB471" s="19">
        <f t="shared" si="1287"/>
        <v>4677.4998246341383</v>
      </c>
      <c r="JC471" s="19">
        <f t="shared" si="1288"/>
        <v>4418.7164157747848</v>
      </c>
      <c r="JD471" s="19">
        <f t="shared" si="1289"/>
        <v>4008.2842995421793</v>
      </c>
      <c r="JE471" s="21"/>
      <c r="JF471" s="1">
        <f t="shared" si="1272"/>
        <v>3.2545831732385969E-2</v>
      </c>
      <c r="JG471" s="15">
        <f>INDEX(Input!$1:$1048576,JG$93,$C471*2+6)/(1+VLOOKUP(C471*1000+INDEX(Input!$1:$1048576,JG$93+1,$C471*2+6),$A:$KK,$JK$92,FALSE))</f>
        <v>2329</v>
      </c>
      <c r="JH471" s="1">
        <f t="shared" si="1290"/>
        <v>0.15457421032242147</v>
      </c>
      <c r="JI471" s="1">
        <f t="shared" si="1291"/>
        <v>7.7981436581409214E-2</v>
      </c>
      <c r="JJ471" s="1">
        <f t="shared" si="1249"/>
        <v>0</v>
      </c>
      <c r="JK471" s="1">
        <f t="shared" si="1250"/>
        <v>0.23255564690383068</v>
      </c>
      <c r="JL471" s="15">
        <f t="shared" si="1292"/>
        <v>541.62210163902171</v>
      </c>
      <c r="JM471" s="15">
        <f t="shared" si="1180"/>
        <v>2870.6221016390218</v>
      </c>
      <c r="JN471" s="21"/>
      <c r="JO471" s="19">
        <f>INDEX(Input!$1:$1048576,JO$93,$C471*2+6)</f>
        <v>5995.5</v>
      </c>
      <c r="JP471" s="19">
        <f>INDEX(Input!$1:$1048576,JP$93,$C471*2+6)</f>
        <v>2341.8685758720158</v>
      </c>
      <c r="JQ471" s="39">
        <f t="shared" si="1300"/>
        <v>1987.2157004578207</v>
      </c>
      <c r="JR471" s="39">
        <f t="shared" si="1183"/>
        <v>1666.4157236701635</v>
      </c>
      <c r="JS471" s="39">
        <f t="shared" si="1301"/>
        <v>11.506269499918465</v>
      </c>
      <c r="JT471" s="39">
        <f t="shared" si="1293"/>
        <v>6.0520575867125403</v>
      </c>
      <c r="JU471" s="385">
        <f>(JQ471*JM471-INDEX(Input!$1:$1048576,Input!A$18,$C471*2+6)*JL471*INDEX(Input!$1:$1048576,Input!A$19,$C471*2+6))/1000000</f>
        <v>5.7045453104582906</v>
      </c>
      <c r="JV471" s="39">
        <f t="shared" si="1190"/>
        <v>-2.8047622763357838</v>
      </c>
      <c r="JW471" s="1">
        <f t="shared" si="1181"/>
        <v>-0.32961110498445295</v>
      </c>
      <c r="JX471" s="19">
        <f t="shared" si="1305"/>
        <v>11173.948715161727</v>
      </c>
      <c r="JZ471" s="341"/>
      <c r="KA471" s="342"/>
      <c r="KB471" s="469">
        <f t="shared" si="1302"/>
        <v>2.3434325605641804</v>
      </c>
      <c r="KI471" s="473">
        <f t="shared" si="1251"/>
        <v>172.2508550547675</v>
      </c>
      <c r="KJ471" s="473">
        <f t="shared" si="1252"/>
        <v>394.23641958338817</v>
      </c>
      <c r="KK471" s="473">
        <f t="shared" si="1294"/>
        <v>-24.865172999133875</v>
      </c>
      <c r="KN471" s="544">
        <f t="shared" si="1306"/>
        <v>4002</v>
      </c>
      <c r="KO471" s="541">
        <f t="shared" si="1273"/>
        <v>0.18688833174754182</v>
      </c>
      <c r="KP471" s="546">
        <f t="shared" si="1274"/>
        <v>1397.3163613480378</v>
      </c>
      <c r="KQ471" s="546">
        <f t="shared" si="1275"/>
        <v>1383.5131115061581</v>
      </c>
      <c r="KR471" s="548">
        <f t="shared" si="1276"/>
        <v>2.321896666473978</v>
      </c>
      <c r="KS471" s="548">
        <f t="shared" si="1277"/>
        <v>2.3450621280282076</v>
      </c>
      <c r="KT471" s="473">
        <f t="shared" si="1303"/>
        <v>1580.0986321700548</v>
      </c>
      <c r="KU471" s="663">
        <f t="shared" si="1295"/>
        <v>4.0722545473501111</v>
      </c>
    </row>
    <row r="472" spans="1:307" s="26" customFormat="1" ht="15" outlineLevel="1">
      <c r="A472" s="561">
        <f t="shared" si="1278"/>
        <v>4072</v>
      </c>
      <c r="B472" s="561">
        <f t="shared" si="1296"/>
        <v>72</v>
      </c>
      <c r="C472" s="561">
        <f t="shared" si="1297"/>
        <v>4</v>
      </c>
      <c r="D472" s="561" t="str">
        <f t="shared" si="1206"/>
        <v xml:space="preserve">500 CC, 0/2.8/3.8/3.9, 1000 Combo, </v>
      </c>
      <c r="E472" s="475">
        <f>INDEX(Input!$1:$1048576,E$93,$C472*2+MIN($B472,2)+5)
+INDEX(Scenarios!E$121:E$200,MATCH($B472,Scenarios!$B$121:$B$200,0))</f>
        <v>1756.832975525977</v>
      </c>
      <c r="F472" s="475">
        <f>INDEX(Input!$1:$1048576,F$93,$C472*2+MIN($B472,2)+5)
+INDEX(Scenarios!F$121:F$200,MATCH($B472,Scenarios!$B$121:$B$200,0))</f>
        <v>0</v>
      </c>
      <c r="G472" s="475">
        <f>INDEX(Input!$1:$1048576,G$93,$C472*2+MIN($B472,2)+5)
+INDEX(Scenarios!G$121:G$200,MATCH($B472,Scenarios!$B$121:$B$200,0))</f>
        <v>0</v>
      </c>
      <c r="H472" s="475">
        <f>INDEX(Input!$1:$1048576,H$93,$C472*2+MIN($B472,2)+5)
+INDEX(Scenarios!H$121:H$200,MATCH($B472,Scenarios!$B$121:$B$200,0))</f>
        <v>0</v>
      </c>
      <c r="I472" s="476">
        <f>INDEX(Input!$1:$1048576,I$93,$C472*2+MIN($B472,2)+5)</f>
        <v>0.7</v>
      </c>
      <c r="J472" s="476" t="str">
        <f>INDEX(Input!$1:$1048576,J$93,$C472*2+MIN($B472,2)+5)</f>
        <v>Market</v>
      </c>
      <c r="K472" s="476" t="str">
        <f>INDEX(Input!$1:$1048576,K$93,$C472*2+MIN($B472,2)+5)</f>
        <v>Market</v>
      </c>
      <c r="L472" s="476" t="str">
        <f>INDEX(Input!$1:$1048576,L$93,$C472*2+MIN($B472,2)+5)</f>
        <v>Market</v>
      </c>
      <c r="M472" s="476" t="str">
        <f>INDEX(Input!$1:$1048576,M$93,$C472*2+MIN($B472,2)+5)</f>
        <v>Market</v>
      </c>
      <c r="N472" s="476" t="str">
        <f>INDEX(Input!$1:$1048576,N$93,$C472*2+MIN($B472,2)+5)</f>
        <v>Market</v>
      </c>
      <c r="O472" s="476" t="str">
        <f>INDEX(Input!$1:$1048576,O$93,$C472*2+MIN($B472,2)+5)</f>
        <v>Market</v>
      </c>
      <c r="P472" s="476" t="str">
        <f>INDEX(Input!$1:$1048576,P$93,$C472*2+MIN($B472,2)+5)</f>
        <v>N</v>
      </c>
      <c r="Q472" s="477">
        <f>INDEX(Input!$1:$1048576,Q$93,$C472*2+MIN($B472,2)+5)
+INDEX(Scenarios!Q$121:Q$200,MATCH($B472,Scenarios!$B$121:$B$200,0))</f>
        <v>1000</v>
      </c>
      <c r="R472" s="478">
        <f>IFERROR(MAX(0,INDEX(Input!$1:$1048576,R$93,$C472*2+MIN($B472,2)+5)
+INDEX(Scenarios!R$121:R$200,MATCH($B472,Scenarios!$B$121:$B$200,0)),),"Market")</f>
        <v>0</v>
      </c>
      <c r="S472" s="478">
        <f>IFERROR(MAX(0,INDEX(Input!$1:$1048576,S$93,$C472*2+MIN($B472,2)+5)
+INDEX(Scenarios!S$121:S$200,MATCH($B472,Scenarios!$B$121:$B$200,0)),),"Market")</f>
        <v>0</v>
      </c>
      <c r="T472" s="478">
        <f>IFERROR(MAX(0,INDEX(Input!$1:$1048576,T$93,$C472*2+MIN($B472,2)+5)
+INDEX(Scenarios!T$121:T$200,MATCH($B472,Scenarios!$B$121:$B$200,0)),),"Market")</f>
        <v>0</v>
      </c>
      <c r="U472" s="478">
        <f>IFERROR(MAX(0,INDEX(Input!$1:$1048576,U$93,$C472*2+MIN($B472,2)+5)
+INDEX(Scenarios!U$121:U$200,MATCH($B472,Scenarios!$B$121:$B$200,0)),),"Market")</f>
        <v>0</v>
      </c>
      <c r="V472" s="478">
        <f>IFERROR(MAX(0,INDEX(Input!$1:$1048576,V$93,$C472*2+MIN($B472,2)+5)
+INDEX(Scenarios!V$121:V$200,MATCH($B472,Scenarios!$B$121:$B$200,0)),),"Market")</f>
        <v>3.7999999999999999E-2</v>
      </c>
      <c r="W472" s="885">
        <f>IFERROR(MAX(0,INDEX(Input!$1:$1048576,W$93,$C472*2+MIN($B472,2)+5)-0%,),"Market")</f>
        <v>3.9E-2</v>
      </c>
      <c r="X472" s="476" t="str">
        <f>INDEX(Input!$1:$1048576,X$93,$C472*2+MIN($B472,2)+5)</f>
        <v>Y</v>
      </c>
      <c r="Y472" s="475">
        <f>INDEX(Input!$1:$1048576,Y$93,$C472*2+MIN($B472,2)+5)
++INDEX(Scenarios!Y$121:Y$200,MATCH($B472,Scenarios!$B$121:$B$200,0))</f>
        <v>-870</v>
      </c>
      <c r="Z472" s="477">
        <f>INDEX(Input!$1:$1048576,Z$93,$C472*2+MIN($B472,2)+5)
+INDEX(Scenarios!Z$121:Z$200,MATCH($B472,Scenarios!$B$121:$B$200,0))</f>
        <v>0</v>
      </c>
      <c r="AA472" s="475">
        <f>INDEX(Input!$1:$1048576,AA$93,$C472*2+MIN($B472,2)+5)
+INDEX(Scenarios!AA$121:AA$200,MATCH($B472,Scenarios!$B$121:$B$200,0))</f>
        <v>0</v>
      </c>
      <c r="AB472" s="476">
        <f>INDEX(Input!$1:$1048576,AB$93,$C472*2+MIN($B472,2)+5)</f>
        <v>0.27</v>
      </c>
      <c r="AC472" s="475">
        <f>INDEX(Input!$1:$1048576,AC$93,$C472*2+MIN($B472,2)+5)
+INDEX(Scenarios!AC$121:AC$200,MATCH($B472,Scenarios!$B$121:$B$200,0))</f>
        <v>0</v>
      </c>
      <c r="AD472" s="476">
        <f>INDEX(Input!$1:$1048576,AD$93,$C472*2+MIN($B472,2)+5)</f>
        <v>0.27</v>
      </c>
      <c r="AE472" s="475">
        <f>INDEX(Input!$1:$1048576,AE$93,$C472*2+MIN($B472,2)+5)
+INDEX(Scenarios!AE$121:AE$200,MATCH($B472,Scenarios!$B$121:$B$200,0))</f>
        <v>0</v>
      </c>
      <c r="AF472" s="476">
        <f>INDEX(Input!$1:$1048576,AF$93,$C472*2+MIN($B472,2)+5)</f>
        <v>1</v>
      </c>
      <c r="AG472" s="475">
        <f>INDEX(Input!$1:$1048576,AG$93,$C472*2+MIN($B472,2)+5)
+INDEX(Scenarios!AG$121:AG$200,MATCH($B472,Scenarios!$B$121:$B$200,0))</f>
        <v>500</v>
      </c>
      <c r="AH472" s="476">
        <f>INDEX(Input!$1:$1048576,AH$93,$C472*2+MIN($B472,2)+5)</f>
        <v>0.83199999999999996</v>
      </c>
      <c r="AI472" s="475">
        <f>INDEX(Input!$1:$1048576,AI$93,$C472*2+MIN($B472,2)+5)
+INDEX(Scenarios!AI$121:AI$200,MATCH($B472,Scenarios!$B$121:$B$200,0))</f>
        <v>0</v>
      </c>
      <c r="AJ472" s="476">
        <f>INDEX(Input!$1:$1048576,AJ$93,$C472*2+MIN($B472,2)+5)</f>
        <v>0.27</v>
      </c>
      <c r="AK472" s="150">
        <f>ROUND(INDEX(Input!$1:$1048576,AK$93,$C471*2+MIN($B472,1)+5)+(Y472-VLOOKUP($C472*1000+1,$A:$HH,Y$92,FALSE)),0)</f>
        <v>2587</v>
      </c>
      <c r="AL472" s="150">
        <f>ROUND(INDEX(Input!$1:$1048576,AL$93,$C471*2+MIN($B472,1)+5)-(Y472-VLOOKUP($C472*1000+1,$A:$HH,Y$92,FALSE))/36,0)</f>
        <v>3406</v>
      </c>
      <c r="AM472" s="32" t="str">
        <f t="shared" si="1279"/>
        <v>std/std/std/std</v>
      </c>
      <c r="AN472" s="32" t="str">
        <f t="shared" si="1280"/>
        <v>$1000 + 0/0/0/3.8/3.9</v>
      </c>
      <c r="AO472" s="32" t="str">
        <f t="shared" si="1281"/>
        <v>0/0/0/3.8/3.9</v>
      </c>
      <c r="AP472" s="32" t="str">
        <f t="shared" si="1213"/>
        <v>0/2.8/3.8/3.9</v>
      </c>
      <c r="AQ472" s="536">
        <f t="shared" si="1207"/>
        <v>0.43346650387746083</v>
      </c>
      <c r="AR472" s="32"/>
      <c r="AS472" s="302"/>
      <c r="AT472" s="3">
        <f t="shared" si="1298"/>
        <v>72</v>
      </c>
      <c r="AU472" s="41" t="s">
        <v>121</v>
      </c>
      <c r="AV472" s="41" t="s">
        <v>116</v>
      </c>
      <c r="AW472" s="41" t="str">
        <f>INDEX(Input!$1:$1048576,AW$93,$C472*2+6)</f>
        <v>Kia</v>
      </c>
      <c r="AX472" s="41" t="str">
        <f>INDEX(Input!$1:$1048576,AX$93,$C472*2+6)</f>
        <v>Kia-LR - R1</v>
      </c>
      <c r="AY472" s="41" t="str">
        <f>IF(LEN(D472)=0,"",INDEX(Input!$1:$1048576,AY$93,$C472*2+6))</f>
        <v>Compact SUV (52)</v>
      </c>
      <c r="AZ472" s="41" t="str">
        <f>INDEX(Input!$1:$1048576,AZ$93,$C472*2+6)</f>
        <v>Kia Soul</v>
      </c>
      <c r="BA472" s="3">
        <f>INDEX(Input!$1:$1048576,BA$93,$C472*2+6)</f>
        <v>2020</v>
      </c>
      <c r="BB472" s="128">
        <f>INDEX(Input!$1:$1048576,BB$93,$C472*2+6)</f>
        <v>1</v>
      </c>
      <c r="BC472" s="128">
        <f>INDEX(Input!$1:$1048576,BC$93,$C472*2+6)</f>
        <v>0.7</v>
      </c>
      <c r="BD472" s="1">
        <f>INDEX(Input!$1:$1048576,BD$93,$C472*2+6)</f>
        <v>4.4999999999999998E-2</v>
      </c>
      <c r="BE472" s="1">
        <f>INDEX(Input!$1:$1048576,BE$93,$C472*2+6)</f>
        <v>4.4999999999999998E-2</v>
      </c>
      <c r="BF472" s="1">
        <f>INDEX(Input!$1:$1048576,BF$93,$C472*2+6)</f>
        <v>0.05</v>
      </c>
      <c r="BG472" s="1">
        <f>INDEX(Input!$1:$1048576,BG$93,$C472*2+6)</f>
        <v>5.45E-2</v>
      </c>
      <c r="BH472" s="1">
        <f>INDEX(Input!$1:$1048576,BH$93,$C472*2+6)</f>
        <v>5.45E-2</v>
      </c>
      <c r="BI472" s="1">
        <f>INDEX(Input!$1:$1048576,BI$93,$C472*2+6)</f>
        <v>0.05</v>
      </c>
      <c r="BJ472" s="1">
        <f>INDEX(Input!$1:$1048576,BJ$93,$C472*2+6)</f>
        <v>0.05</v>
      </c>
      <c r="BK472" s="1">
        <f>INDEX(Input!$1:$1048576,BK$93,$C472*2+6)</f>
        <v>0.05</v>
      </c>
      <c r="BL472" s="1">
        <f>INDEX(Input!$1:$1048576,BL$93,$C472*2+6)</f>
        <v>5.5E-2</v>
      </c>
      <c r="BM472" s="1">
        <f>INDEX(Input!$1:$1048576,BM$93,$C472*2+6)</f>
        <v>0.06</v>
      </c>
      <c r="BN472" s="1">
        <f>INDEX(Input!$1:$1048576,BN$93,$C472*2+6)</f>
        <v>4.4999999999999998E-2</v>
      </c>
      <c r="BO472" s="1">
        <f>INDEX(Input!$1:$1048576,BO$93,$C472*2+6)</f>
        <v>4.4999999999999998E-2</v>
      </c>
      <c r="BP472" s="1">
        <f>INDEX(Input!$1:$1048576,BP$93,$C472*2+6)</f>
        <v>0.05</v>
      </c>
      <c r="BQ472" s="1">
        <f>INDEX(Input!$1:$1048576,BQ$93,$C472*2+6)</f>
        <v>5.45E-2</v>
      </c>
      <c r="BR472" s="1">
        <f>INDEX(Input!$1:$1048576,BR$93,$C472*2+6)</f>
        <v>5.45E-2</v>
      </c>
      <c r="BS472" s="1">
        <f>INDEX(Input!$1:$1048576,BS$93,$C472*2+6)</f>
        <v>0.05</v>
      </c>
      <c r="BT472" s="1">
        <f>INDEX(Input!$1:$1048576,BT$93,$C472*2+6)</f>
        <v>0.05</v>
      </c>
      <c r="BU472" s="1">
        <f>INDEX(Input!$1:$1048576,BU$93,$C472*2+6)</f>
        <v>0.05</v>
      </c>
      <c r="BV472" s="1">
        <f>INDEX(Input!$1:$1048576,BV$93,$C472*2+6)</f>
        <v>5.5E-2</v>
      </c>
      <c r="BW472" s="1">
        <f>INDEX(Input!$1:$1048576,BW$93,$C472*2+6)</f>
        <v>0.06</v>
      </c>
      <c r="BX472" s="127">
        <f>INDEX(Input!$1:$1048576,BX$93,$C472*2+6)</f>
        <v>19985</v>
      </c>
      <c r="BY472" s="20">
        <f>INDEX(Input!$1:$1048576,BY$93,$C472*2+6)</f>
        <v>0.1</v>
      </c>
      <c r="BZ472" s="20">
        <f>INDEX(Input!$1:$1048576,BZ$93,$C472*2+6)</f>
        <v>0.1</v>
      </c>
      <c r="CA472" s="20">
        <f>INDEX(Input!$1:$1048576,CA$93,$C472*2+6)</f>
        <v>0.1</v>
      </c>
      <c r="CB472" s="20">
        <f>INDEX(Input!$1:$1048576,CB$93,$C472*2+6)</f>
        <v>0.1</v>
      </c>
      <c r="CC472" s="20">
        <f>INDEX(Input!$1:$1048576,CC$93,$C472*2+6)</f>
        <v>0.1</v>
      </c>
      <c r="CD472" s="384">
        <f>INDEX(Input!$1:$1048576,CD$93,$C472*2+6)</f>
        <v>0.1</v>
      </c>
      <c r="CE472" s="384">
        <f>INDEX(Input!$1:$1048576,CE$93,$C472*2+6)</f>
        <v>0.1</v>
      </c>
      <c r="CF472" s="384">
        <f>INDEX(Input!$1:$1048576,CF$93,$C472*2+6)</f>
        <v>0.1</v>
      </c>
      <c r="CG472" s="384">
        <f>INDEX(Input!$1:$1048576,CG$93,$C472*2+6)</f>
        <v>0.1</v>
      </c>
      <c r="CH472" s="384">
        <f>INDEX(Input!$1:$1048576,CH$93,$C472*2+6)</f>
        <v>0.1</v>
      </c>
      <c r="CI472" s="304">
        <f t="shared" si="1214"/>
        <v>1756.832975525977</v>
      </c>
      <c r="CJ472" s="16" t="str">
        <f>INDEX(Input!$1:$1048576,CJ$93,$C472*2+6)</f>
        <v>N</v>
      </c>
      <c r="CK472" s="1" t="str">
        <f t="shared" si="1215"/>
        <v>Market</v>
      </c>
      <c r="CL472" s="1" t="str">
        <f t="shared" si="1216"/>
        <v>Market</v>
      </c>
      <c r="CM472" s="1" t="str">
        <f t="shared" si="1217"/>
        <v>Market</v>
      </c>
      <c r="CN472" s="1" t="str">
        <f t="shared" si="1218"/>
        <v>Market</v>
      </c>
      <c r="CO472" s="1" t="str">
        <f t="shared" si="1219"/>
        <v>Market</v>
      </c>
      <c r="CP472" s="304">
        <f t="shared" si="1220"/>
        <v>1416</v>
      </c>
      <c r="CQ472" s="1">
        <f t="shared" si="1221"/>
        <v>0</v>
      </c>
      <c r="CR472" s="1">
        <f t="shared" si="1222"/>
        <v>0</v>
      </c>
      <c r="CS472" s="1">
        <f t="shared" si="1223"/>
        <v>0</v>
      </c>
      <c r="CT472" s="1">
        <f t="shared" si="1224"/>
        <v>3.7999999999999999E-2</v>
      </c>
      <c r="CU472" s="1">
        <f t="shared" si="1225"/>
        <v>3.9E-2</v>
      </c>
      <c r="CV472" s="304">
        <f t="shared" si="1226"/>
        <v>-870</v>
      </c>
      <c r="CW472" s="20" t="s">
        <v>122</v>
      </c>
      <c r="CX472" s="20" t="s">
        <v>122</v>
      </c>
      <c r="CY472" s="20" t="s">
        <v>122</v>
      </c>
      <c r="CZ472" s="20" t="s">
        <v>122</v>
      </c>
      <c r="DA472" s="20" t="s">
        <v>122</v>
      </c>
      <c r="DB472" s="503">
        <f t="shared" si="1227"/>
        <v>0</v>
      </c>
      <c r="DC472" s="127">
        <v>0</v>
      </c>
      <c r="DD472" s="127">
        <v>0</v>
      </c>
      <c r="DE472" s="127">
        <v>0</v>
      </c>
      <c r="DF472" s="127">
        <v>0</v>
      </c>
      <c r="DG472" s="127">
        <v>0</v>
      </c>
      <c r="DH472" s="127">
        <v>0</v>
      </c>
      <c r="DI472" s="127">
        <v>0</v>
      </c>
      <c r="DJ472" s="127">
        <v>0</v>
      </c>
      <c r="DK472" s="127">
        <v>0</v>
      </c>
      <c r="DL472" s="127">
        <v>0</v>
      </c>
      <c r="DM472" s="304">
        <f>INDEX(Input!$1:$1048576,DM$93,$C472*2+6)</f>
        <v>21036.84210526316</v>
      </c>
      <c r="DN472" s="20">
        <v>0</v>
      </c>
      <c r="DO472" s="20">
        <v>0</v>
      </c>
      <c r="DP472" s="20">
        <v>0</v>
      </c>
      <c r="DQ472" s="20">
        <v>0</v>
      </c>
      <c r="DR472" s="20">
        <v>0</v>
      </c>
      <c r="DS472" s="20">
        <f>INDEX(Input!$1:$1048576,DS$93,$C472*2+6)</f>
        <v>0.6</v>
      </c>
      <c r="DT472" s="20">
        <f>INDEX(Input!$1:$1048576,DT$93,$C472*2+6)</f>
        <v>0.55000000000000004</v>
      </c>
      <c r="DU472" s="20">
        <f>INDEX(Input!$1:$1048576,DU$93,$C472*2+6)</f>
        <v>0.52</v>
      </c>
      <c r="DV472" s="20">
        <f>INDEX(Input!$1:$1048576,DV$93,$C472*2+6)</f>
        <v>0.5</v>
      </c>
      <c r="DW472" s="20">
        <f>INDEX(Input!$1:$1048576,DW$93,$C472*2+6)</f>
        <v>0.45</v>
      </c>
      <c r="DX472" s="20"/>
      <c r="DY472" s="7">
        <v>0.10989699951891001</v>
      </c>
      <c r="DZ472" s="7">
        <v>0</v>
      </c>
      <c r="EA472" s="7">
        <v>0.81161979976403964</v>
      </c>
      <c r="EB472" s="7">
        <v>0</v>
      </c>
      <c r="EC472" s="7">
        <v>0</v>
      </c>
      <c r="ED472" s="7">
        <v>0</v>
      </c>
      <c r="EE472" s="7">
        <v>0</v>
      </c>
      <c r="EF472" s="7">
        <v>0</v>
      </c>
      <c r="EG472" s="7">
        <v>0</v>
      </c>
      <c r="EH472" s="7">
        <v>1.8783632603127834E-2</v>
      </c>
      <c r="EI472" s="7">
        <v>4.9058837299352905E-2</v>
      </c>
      <c r="EJ472" s="7">
        <v>0.34472345342536687</v>
      </c>
      <c r="EK472" s="7">
        <v>0.37761994975819219</v>
      </c>
      <c r="EL472" s="7">
        <v>0.20981412691396029</v>
      </c>
      <c r="EM472" s="7">
        <v>3.7506685744869595E-2</v>
      </c>
      <c r="EN472" s="7">
        <v>5.0446310596479062E-2</v>
      </c>
      <c r="EO472" s="7">
        <v>0.71272251096267969</v>
      </c>
      <c r="EP472" s="7">
        <v>0.10249737272304922</v>
      </c>
      <c r="EQ472" s="7">
        <v>8.9974435552483426E-2</v>
      </c>
      <c r="ER472" s="7">
        <v>4.4359370165308991E-2</v>
      </c>
      <c r="ES472" s="7">
        <v>4.0976514972180716E-2</v>
      </c>
      <c r="ET472" s="7">
        <v>7.8483200717050408E-2</v>
      </c>
      <c r="EU472" s="6">
        <v>2270</v>
      </c>
      <c r="EV472" s="6">
        <v>0</v>
      </c>
      <c r="EW472" s="6">
        <v>2270</v>
      </c>
      <c r="EX472" s="6">
        <v>0</v>
      </c>
      <c r="EY472" s="6">
        <v>3099.3831913138101</v>
      </c>
      <c r="EZ472" s="6">
        <v>507</v>
      </c>
      <c r="FA472" s="6">
        <v>0</v>
      </c>
      <c r="FB472" s="6">
        <v>0</v>
      </c>
      <c r="FC472" s="6">
        <v>0</v>
      </c>
      <c r="FD472" s="6">
        <v>0</v>
      </c>
      <c r="FE472" s="6">
        <v>0</v>
      </c>
      <c r="FF472" s="6">
        <v>0</v>
      </c>
      <c r="FG472" s="6">
        <v>0</v>
      </c>
      <c r="FH472" s="6">
        <v>1169.7969055200372</v>
      </c>
      <c r="FI472" s="6">
        <v>1553.9796069512406</v>
      </c>
      <c r="FJ472" s="6">
        <v>2101.2110117447405</v>
      </c>
      <c r="FK472" s="6">
        <v>838.19585232978284</v>
      </c>
      <c r="FL472" s="6">
        <v>907.07682140966347</v>
      </c>
      <c r="FM472" s="6">
        <v>1329.3831913138101</v>
      </c>
      <c r="FN472" s="6">
        <v>0</v>
      </c>
      <c r="FO472" s="6">
        <v>0</v>
      </c>
      <c r="FP472" s="6">
        <v>0</v>
      </c>
      <c r="FQ472" s="6">
        <v>0</v>
      </c>
      <c r="FR472" s="6">
        <v>0</v>
      </c>
      <c r="FS472" s="6">
        <v>0</v>
      </c>
      <c r="FT472" s="7">
        <v>0.92151679928294961</v>
      </c>
      <c r="FU472" s="7">
        <v>3.7506685744869595E-2</v>
      </c>
      <c r="FV472" s="7">
        <v>4.0976514972180716E-2</v>
      </c>
      <c r="FW472" s="6">
        <v>2270.0000000000005</v>
      </c>
      <c r="FX472" s="6">
        <v>3099.3831913138101</v>
      </c>
      <c r="FY472" s="6">
        <v>507</v>
      </c>
      <c r="FZ472" s="6">
        <v>1949.5716051445115</v>
      </c>
      <c r="GA472" s="6">
        <v>2228.8658188227296</v>
      </c>
      <c r="GB472" s="6">
        <v>17756.134181177269</v>
      </c>
      <c r="GC472" s="7">
        <v>3.3872851927908169E-2</v>
      </c>
      <c r="GD472" s="7">
        <v>3.5404075465696856E-2</v>
      </c>
      <c r="GE472" s="7"/>
      <c r="GF472" s="7"/>
      <c r="GG472" s="7">
        <v>4.5205037386506476E-2</v>
      </c>
      <c r="GH472" s="42">
        <v>3.2346630467976256</v>
      </c>
      <c r="GI472" s="6">
        <v>8407.2527824310419</v>
      </c>
      <c r="GJ472" s="14">
        <v>0.50394797582841711</v>
      </c>
      <c r="GK472" s="14">
        <v>0.50887573065309721</v>
      </c>
      <c r="GL472" s="14">
        <v>0.49605202417158245</v>
      </c>
      <c r="GM472" s="14">
        <v>0.49112426934690223</v>
      </c>
      <c r="GO472" s="5">
        <v>343.14810671672558</v>
      </c>
      <c r="GP472" s="5">
        <v>299.84083725090579</v>
      </c>
      <c r="GQ472" s="5">
        <v>535.04305713031317</v>
      </c>
      <c r="GR472" s="5">
        <v>410.15490233172511</v>
      </c>
      <c r="GS472" s="5">
        <v>339.42744393800166</v>
      </c>
      <c r="GT472" s="5">
        <v>293.4407446948278</v>
      </c>
      <c r="GU472" s="5">
        <v>258.04012322764959</v>
      </c>
      <c r="GV472" s="39" t="s">
        <v>392</v>
      </c>
      <c r="GW472" s="5">
        <v>450.45833333333331</v>
      </c>
      <c r="GX472" s="5">
        <v>337.84375</v>
      </c>
      <c r="GY472" s="5">
        <v>270.27499999999998</v>
      </c>
      <c r="GZ472" s="5">
        <v>252.23502745280661</v>
      </c>
      <c r="HA472" s="5">
        <v>220.91451012583784</v>
      </c>
      <c r="HB472" s="39">
        <v>259.8055602334079</v>
      </c>
      <c r="HC472" s="5">
        <v>265.10312499999998</v>
      </c>
      <c r="HD472" s="5">
        <v>224.66580774853799</v>
      </c>
      <c r="HE472" s="5">
        <v>226.90661690283397</v>
      </c>
      <c r="HF472" s="5">
        <v>209.18438048245613</v>
      </c>
      <c r="HG472" s="5">
        <v>200.91388157894738</v>
      </c>
      <c r="HH472" s="39">
        <v>224.48884510047429</v>
      </c>
      <c r="HI472" s="16"/>
      <c r="HJ472" s="19" t="str">
        <f t="shared" ref="HJ472" si="1310">HJ471</f>
        <v>On</v>
      </c>
      <c r="HK472" s="1" t="str">
        <f t="shared" si="1299"/>
        <v>On</v>
      </c>
      <c r="HL472" s="16"/>
      <c r="HM472" s="639">
        <f t="shared" si="1255"/>
        <v>2.9403358434788716E-2</v>
      </c>
      <c r="HN472" s="639">
        <f t="shared" si="1256"/>
        <v>1.4106809950923669E-3</v>
      </c>
      <c r="HO472" s="639">
        <f t="shared" si="1257"/>
        <v>1.7317923025048877E-3</v>
      </c>
      <c r="HP472" s="644">
        <f>(FT472*$GD472-HM472)/$JF472*INDEX(Input!$1:$1048576,$JG$93,$C472*2+6)</f>
        <v>230.57490208814755</v>
      </c>
      <c r="HQ472" s="644">
        <f>(FU472*$GD472-HN472)/$JF472*INDEX(Input!$1:$1048576,$JG$93,$C472*2+6)</f>
        <v>-5.9246086496692802</v>
      </c>
      <c r="HR472" s="644">
        <f>(FV472*$GD472-HO472)/$JF472*INDEX(Input!$1:$1048576,$JG$93,$C472*2+6)</f>
        <v>-20.112590742225034</v>
      </c>
      <c r="HS472" s="644">
        <f t="shared" si="1246"/>
        <v>-102.47542468753504</v>
      </c>
      <c r="HT472" s="644">
        <f t="shared" si="1258"/>
        <v>144.47746987389684</v>
      </c>
      <c r="HU472" s="644">
        <f t="shared" si="1259"/>
        <v>10.818061480073219</v>
      </c>
      <c r="HV472" s="648">
        <f t="shared" si="1260"/>
        <v>0</v>
      </c>
      <c r="HW472" s="648">
        <f t="shared" si="1261"/>
        <v>0</v>
      </c>
      <c r="HX472" s="648">
        <f t="shared" si="1262"/>
        <v>0</v>
      </c>
      <c r="HY472" s="644">
        <f>INDEX(Input!$1:$1048576,HY$93,$C472*2+6)*INDEX(Input!$1:$1048576,$JG$93,$C472*2+6)</f>
        <v>993</v>
      </c>
      <c r="HZ472" s="644">
        <f>INDEX(Input!$1:$1048576,HZ$93,$C472*2+6)*INDEX(Input!$1:$1048576,$JG$93,$C472*2+6)</f>
        <v>1216</v>
      </c>
      <c r="IA472" s="644">
        <f>INDEX(Input!$1:$1048576,IA$93,$C472*2+6)*INDEX(Input!$1:$1048576,$JG$93,$C472*2+6)</f>
        <v>120</v>
      </c>
      <c r="IB472" s="644">
        <f t="shared" si="1283"/>
        <v>1121.0994774006128</v>
      </c>
      <c r="IC472" s="644">
        <f t="shared" si="1284"/>
        <v>1354.5528612242274</v>
      </c>
      <c r="ID472" s="644">
        <f>IF(AND(INDEX(Input!$1:$1048576,IA$93,$C472*2+7)="TOS",Y472&lt;=INDEX(Y:Y,MATCH(C472*1000+2,A:A))),0,1)*MAX(IA472+HR472+HU472+HX472,0%)</f>
        <v>110.70547073784817</v>
      </c>
      <c r="IE472" s="128">
        <f t="shared" si="1247"/>
        <v>0.43346650387746083</v>
      </c>
      <c r="IF472" s="128">
        <f t="shared" si="1248"/>
        <v>0.52372987848808383</v>
      </c>
      <c r="IG472" s="128">
        <f t="shared" si="1263"/>
        <v>4.2803617634455386E-2</v>
      </c>
      <c r="IH472" s="21"/>
      <c r="II472" s="19">
        <f t="shared" si="1264"/>
        <v>1490</v>
      </c>
      <c r="IJ472" s="19">
        <f t="shared" si="1265"/>
        <v>2203.2561351629856</v>
      </c>
      <c r="IK472" s="19">
        <f t="shared" si="1266"/>
        <v>242</v>
      </c>
      <c r="IL472" s="19">
        <f t="shared" si="1285"/>
        <v>780.00000000000045</v>
      </c>
      <c r="IM472" s="19">
        <f t="shared" si="1267"/>
        <v>896.1270561508245</v>
      </c>
      <c r="IN472" s="19">
        <f t="shared" si="1268"/>
        <v>265</v>
      </c>
      <c r="IO472" s="39">
        <f t="shared" si="1269"/>
        <v>0</v>
      </c>
      <c r="IP472" s="39">
        <f t="shared" si="1270"/>
        <v>0</v>
      </c>
      <c r="IQ472" s="39">
        <f t="shared" si="1271"/>
        <v>0</v>
      </c>
      <c r="IR472" s="39">
        <v>0</v>
      </c>
      <c r="IS472" s="39">
        <v>0</v>
      </c>
      <c r="IT472" s="39">
        <v>0</v>
      </c>
      <c r="IU472" s="39">
        <v>0</v>
      </c>
      <c r="IV472" s="39">
        <v>0</v>
      </c>
      <c r="IW472" s="39">
        <v>0</v>
      </c>
      <c r="IX472" s="39">
        <f>INDEX(Input!$1:$1048576,IX$93,$C472*2+6)+INDEX(Input!$1:$1048576,IX$94,$C472*2+6)</f>
        <v>1770</v>
      </c>
      <c r="IY472" s="39">
        <f>INDEX(Input!$1:$1048576,IY$93,$C472*2+6)+INDEX(Input!$1:$1048576,IY$94,$C472*2+6)</f>
        <v>2630.0624533823611</v>
      </c>
      <c r="IZ472" s="39">
        <f>INDEX(Input!$1:$1048576,IZ$93,$C472*2+6)+INDEX(Input!$1:$1048576,IZ$94,$C472*2+6)</f>
        <v>4153.7164157747848</v>
      </c>
      <c r="JA472" s="19">
        <f t="shared" si="1286"/>
        <v>2550.0000000000005</v>
      </c>
      <c r="JB472" s="19">
        <f t="shared" si="1287"/>
        <v>3526.1895095331856</v>
      </c>
      <c r="JC472" s="19">
        <f t="shared" si="1288"/>
        <v>4418.7164157747848</v>
      </c>
      <c r="JD472" s="19">
        <f t="shared" si="1289"/>
        <v>3141.2474361372115</v>
      </c>
      <c r="JE472" s="21"/>
      <c r="JF472" s="1">
        <f t="shared" si="1272"/>
        <v>3.2545831732385969E-2</v>
      </c>
      <c r="JG472" s="15">
        <f>INDEX(Input!$1:$1048576,JG$93,$C472*2+6)/(1+VLOOKUP(C472*1000+INDEX(Input!$1:$1048576,JG$93+1,$C472*2+6),$A:$KK,$JK$92,FALSE))</f>
        <v>2329</v>
      </c>
      <c r="JH472" s="1">
        <f t="shared" si="1290"/>
        <v>8.7822113652319997E-2</v>
      </c>
      <c r="JI472" s="1">
        <f t="shared" si="1291"/>
        <v>2.2679307284858317E-2</v>
      </c>
      <c r="JJ472" s="1">
        <f t="shared" si="1249"/>
        <v>0</v>
      </c>
      <c r="JK472" s="1">
        <f t="shared" si="1250"/>
        <v>0.11050142093717831</v>
      </c>
      <c r="JL472" s="15">
        <f t="shared" si="1292"/>
        <v>257.35780936268827</v>
      </c>
      <c r="JM472" s="15">
        <f t="shared" ref="JM472:JM483" si="1311">JG472+JL472</f>
        <v>2586.3578093626884</v>
      </c>
      <c r="JN472" s="21"/>
      <c r="JO472" s="19">
        <f>INDEX(Input!$1:$1048576,JO$93,$C472*2+6)</f>
        <v>5995.5</v>
      </c>
      <c r="JP472" s="19">
        <f>INDEX(Input!$1:$1048576,JP$93,$C472*2+6)</f>
        <v>2341.8685758720158</v>
      </c>
      <c r="JQ472" s="39">
        <f t="shared" si="1300"/>
        <v>2854.2525638627885</v>
      </c>
      <c r="JR472" s="39">
        <f t="shared" si="1183"/>
        <v>799.37886026519573</v>
      </c>
      <c r="JS472" s="39">
        <f t="shared" si="1301"/>
        <v>8.1243898375940002</v>
      </c>
      <c r="JT472" s="39">
        <f t="shared" si="1293"/>
        <v>2.6701779243880752</v>
      </c>
      <c r="JU472" s="385">
        <f>(JQ472*JM472-INDEX(Input!$1:$1048576,Input!A$18,$C472*2+6)*JL472*INDEX(Input!$1:$1048576,Input!A$19,$C472*2+6))/1000000</f>
        <v>7.3821184084399984</v>
      </c>
      <c r="JV472" s="39">
        <f t="shared" si="1190"/>
        <v>-1.1271891783540759</v>
      </c>
      <c r="JW472" s="1">
        <f t="shared" ref="JW472:JW483" si="1312">JV472/(JU472-JV472)</f>
        <v>-0.13246544056103984</v>
      </c>
      <c r="JX472" s="19">
        <f t="shared" si="1305"/>
        <v>10375.352242080427</v>
      </c>
      <c r="JZ472" s="341"/>
      <c r="KA472" s="342"/>
      <c r="KB472" s="469">
        <f t="shared" si="1302"/>
        <v>2.3434325605641804</v>
      </c>
      <c r="KI472" s="473">
        <f t="shared" si="1251"/>
        <v>128.09947740061284</v>
      </c>
      <c r="KJ472" s="473">
        <f t="shared" si="1252"/>
        <v>138.5528612242274</v>
      </c>
      <c r="KK472" s="473">
        <f t="shared" si="1294"/>
        <v>-9.2945292621518263</v>
      </c>
      <c r="KN472" s="544">
        <f t="shared" si="1306"/>
        <v>4002</v>
      </c>
      <c r="KO472" s="541">
        <f t="shared" si="1273"/>
        <v>6.9356326596945683E-2</v>
      </c>
      <c r="KP472" s="546">
        <f t="shared" si="1274"/>
        <v>539.39279509907965</v>
      </c>
      <c r="KQ472" s="546">
        <f t="shared" si="1275"/>
        <v>516.47624810119032</v>
      </c>
      <c r="KR472" s="548">
        <f t="shared" si="1276"/>
        <v>2.2322168746416287</v>
      </c>
      <c r="KS472" s="548">
        <f t="shared" si="1277"/>
        <v>2.3312624805243294</v>
      </c>
      <c r="KT472" s="473">
        <f t="shared" si="1303"/>
        <v>1580.0986321700548</v>
      </c>
      <c r="KU472" s="663">
        <f t="shared" si="1295"/>
        <v>4.0516822628586331</v>
      </c>
    </row>
    <row r="473" spans="1:307" s="26" customFormat="1" ht="15" outlineLevel="1">
      <c r="A473" s="561">
        <f t="shared" si="1278"/>
        <v>4073</v>
      </c>
      <c r="B473" s="561">
        <f t="shared" si="1296"/>
        <v>73</v>
      </c>
      <c r="C473" s="561">
        <f t="shared" si="1297"/>
        <v>4</v>
      </c>
      <c r="D473" s="561" t="str">
        <f t="shared" si="1206"/>
        <v xml:space="preserve">750 CC, 0/2.8/3.8/3.9, 1500 Combo, </v>
      </c>
      <c r="E473" s="475">
        <f>INDEX(Input!$1:$1048576,E$93,$C473*2+MIN($B473,2)+5)
+INDEX(Scenarios!E$121:E$200,MATCH($B473,Scenarios!$B$121:$B$200,0))</f>
        <v>2006.832975525977</v>
      </c>
      <c r="F473" s="475">
        <f>INDEX(Input!$1:$1048576,F$93,$C473*2+MIN($B473,2)+5)
+INDEX(Scenarios!F$121:F$200,MATCH($B473,Scenarios!$B$121:$B$200,0))</f>
        <v>0</v>
      </c>
      <c r="G473" s="475">
        <f>INDEX(Input!$1:$1048576,G$93,$C473*2+MIN($B473,2)+5)
+INDEX(Scenarios!G$121:G$200,MATCH($B473,Scenarios!$B$121:$B$200,0))</f>
        <v>0</v>
      </c>
      <c r="H473" s="475">
        <f>INDEX(Input!$1:$1048576,H$93,$C473*2+MIN($B473,2)+5)
+INDEX(Scenarios!H$121:H$200,MATCH($B473,Scenarios!$B$121:$B$200,0))</f>
        <v>0</v>
      </c>
      <c r="I473" s="476">
        <f>INDEX(Input!$1:$1048576,I$93,$C473*2+MIN($B473,2)+5)</f>
        <v>0.7</v>
      </c>
      <c r="J473" s="476" t="str">
        <f>INDEX(Input!$1:$1048576,J$93,$C473*2+MIN($B473,2)+5)</f>
        <v>Market</v>
      </c>
      <c r="K473" s="476" t="str">
        <f>INDEX(Input!$1:$1048576,K$93,$C473*2+MIN($B473,2)+5)</f>
        <v>Market</v>
      </c>
      <c r="L473" s="476" t="str">
        <f>INDEX(Input!$1:$1048576,L$93,$C473*2+MIN($B473,2)+5)</f>
        <v>Market</v>
      </c>
      <c r="M473" s="476" t="str">
        <f>INDEX(Input!$1:$1048576,M$93,$C473*2+MIN($B473,2)+5)</f>
        <v>Market</v>
      </c>
      <c r="N473" s="476" t="str">
        <f>INDEX(Input!$1:$1048576,N$93,$C473*2+MIN($B473,2)+5)</f>
        <v>Market</v>
      </c>
      <c r="O473" s="476" t="str">
        <f>INDEX(Input!$1:$1048576,O$93,$C473*2+MIN($B473,2)+5)</f>
        <v>Market</v>
      </c>
      <c r="P473" s="476" t="str">
        <f>INDEX(Input!$1:$1048576,P$93,$C473*2+MIN($B473,2)+5)</f>
        <v>N</v>
      </c>
      <c r="Q473" s="477">
        <f>INDEX(Input!$1:$1048576,Q$93,$C473*2+MIN($B473,2)+5)
+INDEX(Scenarios!Q$121:Q$200,MATCH($B473,Scenarios!$B$121:$B$200,0))</f>
        <v>1500</v>
      </c>
      <c r="R473" s="478">
        <f>IFERROR(MAX(0,INDEX(Input!$1:$1048576,R$93,$C473*2+MIN($B473,2)+5)
+INDEX(Scenarios!R$121:R$200,MATCH($B473,Scenarios!$B$121:$B$200,0)),),"Market")</f>
        <v>0</v>
      </c>
      <c r="S473" s="478">
        <f>IFERROR(MAX(0,INDEX(Input!$1:$1048576,S$93,$C473*2+MIN($B473,2)+5)
+INDEX(Scenarios!S$121:S$200,MATCH($B473,Scenarios!$B$121:$B$200,0)),),"Market")</f>
        <v>0</v>
      </c>
      <c r="T473" s="478">
        <f>IFERROR(MAX(0,INDEX(Input!$1:$1048576,T$93,$C473*2+MIN($B473,2)+5)
+INDEX(Scenarios!T$121:T$200,MATCH($B473,Scenarios!$B$121:$B$200,0)),),"Market")</f>
        <v>0</v>
      </c>
      <c r="U473" s="478">
        <f>IFERROR(MAX(0,INDEX(Input!$1:$1048576,U$93,$C473*2+MIN($B473,2)+5)
+INDEX(Scenarios!U$121:U$200,MATCH($B473,Scenarios!$B$121:$B$200,0)),),"Market")</f>
        <v>0</v>
      </c>
      <c r="V473" s="478">
        <f>IFERROR(MAX(0,INDEX(Input!$1:$1048576,V$93,$C473*2+MIN($B473,2)+5)
+INDEX(Scenarios!V$121:V$200,MATCH($B473,Scenarios!$B$121:$B$200,0)),),"Market")</f>
        <v>3.7999999999999999E-2</v>
      </c>
      <c r="W473" s="885">
        <f>IFERROR(MAX(0,INDEX(Input!$1:$1048576,W$93,$C473*2+MIN($B473,2)+5)-0%,),"Market")</f>
        <v>3.9E-2</v>
      </c>
      <c r="X473" s="476" t="str">
        <f>INDEX(Input!$1:$1048576,X$93,$C473*2+MIN($B473,2)+5)</f>
        <v>Y</v>
      </c>
      <c r="Y473" s="475">
        <f>INDEX(Input!$1:$1048576,Y$93,$C473*2+MIN($B473,2)+5)
++INDEX(Scenarios!Y$121:Y$200,MATCH($B473,Scenarios!$B$121:$B$200,0))</f>
        <v>-870</v>
      </c>
      <c r="Z473" s="477">
        <f>INDEX(Input!$1:$1048576,Z$93,$C473*2+MIN($B473,2)+5)
+INDEX(Scenarios!Z$121:Z$200,MATCH($B473,Scenarios!$B$121:$B$200,0))</f>
        <v>0</v>
      </c>
      <c r="AA473" s="475">
        <f>INDEX(Input!$1:$1048576,AA$93,$C473*2+MIN($B473,2)+5)
+INDEX(Scenarios!AA$121:AA$200,MATCH($B473,Scenarios!$B$121:$B$200,0))</f>
        <v>0</v>
      </c>
      <c r="AB473" s="476">
        <f>INDEX(Input!$1:$1048576,AB$93,$C473*2+MIN($B473,2)+5)</f>
        <v>0.27</v>
      </c>
      <c r="AC473" s="475">
        <f>INDEX(Input!$1:$1048576,AC$93,$C473*2+MIN($B473,2)+5)
+INDEX(Scenarios!AC$121:AC$200,MATCH($B473,Scenarios!$B$121:$B$200,0))</f>
        <v>0</v>
      </c>
      <c r="AD473" s="476">
        <f>INDEX(Input!$1:$1048576,AD$93,$C473*2+MIN($B473,2)+5)</f>
        <v>0.27</v>
      </c>
      <c r="AE473" s="475">
        <f>INDEX(Input!$1:$1048576,AE$93,$C473*2+MIN($B473,2)+5)
+INDEX(Scenarios!AE$121:AE$200,MATCH($B473,Scenarios!$B$121:$B$200,0))</f>
        <v>0</v>
      </c>
      <c r="AF473" s="476">
        <f>INDEX(Input!$1:$1048576,AF$93,$C473*2+MIN($B473,2)+5)</f>
        <v>1</v>
      </c>
      <c r="AG473" s="475">
        <f>INDEX(Input!$1:$1048576,AG$93,$C473*2+MIN($B473,2)+5)
+INDEX(Scenarios!AG$121:AG$200,MATCH($B473,Scenarios!$B$121:$B$200,0))</f>
        <v>500</v>
      </c>
      <c r="AH473" s="476">
        <f>INDEX(Input!$1:$1048576,AH$93,$C473*2+MIN($B473,2)+5)</f>
        <v>0.83199999999999996</v>
      </c>
      <c r="AI473" s="475">
        <f>INDEX(Input!$1:$1048576,AI$93,$C473*2+MIN($B473,2)+5)
+INDEX(Scenarios!AI$121:AI$200,MATCH($B473,Scenarios!$B$121:$B$200,0))</f>
        <v>0</v>
      </c>
      <c r="AJ473" s="476">
        <f>INDEX(Input!$1:$1048576,AJ$93,$C473*2+MIN($B473,2)+5)</f>
        <v>0.27</v>
      </c>
      <c r="AK473" s="150">
        <f>ROUND(INDEX(Input!$1:$1048576,AK$93,$C472*2+MIN($B473,1)+5)+(Y473-VLOOKUP($C473*1000+1,$A:$HH,Y$92,FALSE)),0)</f>
        <v>2587</v>
      </c>
      <c r="AL473" s="150">
        <f>ROUND(INDEX(Input!$1:$1048576,AL$93,$C472*2+MIN($B473,1)+5)-(Y473-VLOOKUP($C473*1000+1,$A:$HH,Y$92,FALSE))/36,0)</f>
        <v>3406</v>
      </c>
      <c r="AM473" s="32" t="str">
        <f t="shared" si="1279"/>
        <v>std/std/std/std</v>
      </c>
      <c r="AN473" s="32" t="str">
        <f t="shared" si="1280"/>
        <v>$1500 + 0/0/0/3.8/3.9</v>
      </c>
      <c r="AO473" s="32" t="str">
        <f t="shared" si="1281"/>
        <v>0/0/0/3.8/3.9</v>
      </c>
      <c r="AP473" s="32" t="str">
        <f t="shared" si="1213"/>
        <v>0/2.8/3.8/3.9</v>
      </c>
      <c r="AQ473" s="536">
        <f t="shared" si="1207"/>
        <v>0.42596436587694503</v>
      </c>
      <c r="AR473" s="32"/>
      <c r="AS473" s="302"/>
      <c r="AT473" s="3">
        <f t="shared" si="1298"/>
        <v>73</v>
      </c>
      <c r="AU473" s="41" t="s">
        <v>121</v>
      </c>
      <c r="AV473" s="41" t="s">
        <v>116</v>
      </c>
      <c r="AW473" s="41" t="str">
        <f>INDEX(Input!$1:$1048576,AW$93,$C473*2+6)</f>
        <v>Kia</v>
      </c>
      <c r="AX473" s="41" t="str">
        <f>INDEX(Input!$1:$1048576,AX$93,$C473*2+6)</f>
        <v>Kia-LR - R1</v>
      </c>
      <c r="AY473" s="41" t="str">
        <f>IF(LEN(D473)=0,"",INDEX(Input!$1:$1048576,AY$93,$C473*2+6))</f>
        <v>Compact SUV (52)</v>
      </c>
      <c r="AZ473" s="41" t="str">
        <f>INDEX(Input!$1:$1048576,AZ$93,$C473*2+6)</f>
        <v>Kia Soul</v>
      </c>
      <c r="BA473" s="3">
        <f>INDEX(Input!$1:$1048576,BA$93,$C473*2+6)</f>
        <v>2020</v>
      </c>
      <c r="BB473" s="128">
        <f>INDEX(Input!$1:$1048576,BB$93,$C473*2+6)</f>
        <v>1</v>
      </c>
      <c r="BC473" s="128">
        <f>INDEX(Input!$1:$1048576,BC$93,$C473*2+6)</f>
        <v>0.7</v>
      </c>
      <c r="BD473" s="1">
        <f>INDEX(Input!$1:$1048576,BD$93,$C473*2+6)</f>
        <v>4.4999999999999998E-2</v>
      </c>
      <c r="BE473" s="1">
        <f>INDEX(Input!$1:$1048576,BE$93,$C473*2+6)</f>
        <v>4.4999999999999998E-2</v>
      </c>
      <c r="BF473" s="1">
        <f>INDEX(Input!$1:$1048576,BF$93,$C473*2+6)</f>
        <v>0.05</v>
      </c>
      <c r="BG473" s="1">
        <f>INDEX(Input!$1:$1048576,BG$93,$C473*2+6)</f>
        <v>5.45E-2</v>
      </c>
      <c r="BH473" s="1">
        <f>INDEX(Input!$1:$1048576,BH$93,$C473*2+6)</f>
        <v>5.45E-2</v>
      </c>
      <c r="BI473" s="1">
        <f>INDEX(Input!$1:$1048576,BI$93,$C473*2+6)</f>
        <v>0.05</v>
      </c>
      <c r="BJ473" s="1">
        <f>INDEX(Input!$1:$1048576,BJ$93,$C473*2+6)</f>
        <v>0.05</v>
      </c>
      <c r="BK473" s="1">
        <f>INDEX(Input!$1:$1048576,BK$93,$C473*2+6)</f>
        <v>0.05</v>
      </c>
      <c r="BL473" s="1">
        <f>INDEX(Input!$1:$1048576,BL$93,$C473*2+6)</f>
        <v>5.5E-2</v>
      </c>
      <c r="BM473" s="1">
        <f>INDEX(Input!$1:$1048576,BM$93,$C473*2+6)</f>
        <v>0.06</v>
      </c>
      <c r="BN473" s="1">
        <f>INDEX(Input!$1:$1048576,BN$93,$C473*2+6)</f>
        <v>4.4999999999999998E-2</v>
      </c>
      <c r="BO473" s="1">
        <f>INDEX(Input!$1:$1048576,BO$93,$C473*2+6)</f>
        <v>4.4999999999999998E-2</v>
      </c>
      <c r="BP473" s="1">
        <f>INDEX(Input!$1:$1048576,BP$93,$C473*2+6)</f>
        <v>0.05</v>
      </c>
      <c r="BQ473" s="1">
        <f>INDEX(Input!$1:$1048576,BQ$93,$C473*2+6)</f>
        <v>5.45E-2</v>
      </c>
      <c r="BR473" s="1">
        <f>INDEX(Input!$1:$1048576,BR$93,$C473*2+6)</f>
        <v>5.45E-2</v>
      </c>
      <c r="BS473" s="1">
        <f>INDEX(Input!$1:$1048576,BS$93,$C473*2+6)</f>
        <v>0.05</v>
      </c>
      <c r="BT473" s="1">
        <f>INDEX(Input!$1:$1048576,BT$93,$C473*2+6)</f>
        <v>0.05</v>
      </c>
      <c r="BU473" s="1">
        <f>INDEX(Input!$1:$1048576,BU$93,$C473*2+6)</f>
        <v>0.05</v>
      </c>
      <c r="BV473" s="1">
        <f>INDEX(Input!$1:$1048576,BV$93,$C473*2+6)</f>
        <v>5.5E-2</v>
      </c>
      <c r="BW473" s="1">
        <f>INDEX(Input!$1:$1048576,BW$93,$C473*2+6)</f>
        <v>0.06</v>
      </c>
      <c r="BX473" s="127">
        <f>INDEX(Input!$1:$1048576,BX$93,$C473*2+6)</f>
        <v>19985</v>
      </c>
      <c r="BY473" s="20">
        <f>INDEX(Input!$1:$1048576,BY$93,$C473*2+6)</f>
        <v>0.1</v>
      </c>
      <c r="BZ473" s="20">
        <f>INDEX(Input!$1:$1048576,BZ$93,$C473*2+6)</f>
        <v>0.1</v>
      </c>
      <c r="CA473" s="20">
        <f>INDEX(Input!$1:$1048576,CA$93,$C473*2+6)</f>
        <v>0.1</v>
      </c>
      <c r="CB473" s="20">
        <f>INDEX(Input!$1:$1048576,CB$93,$C473*2+6)</f>
        <v>0.1</v>
      </c>
      <c r="CC473" s="20">
        <f>INDEX(Input!$1:$1048576,CC$93,$C473*2+6)</f>
        <v>0.1</v>
      </c>
      <c r="CD473" s="384">
        <f>INDEX(Input!$1:$1048576,CD$93,$C473*2+6)</f>
        <v>0.1</v>
      </c>
      <c r="CE473" s="384">
        <f>INDEX(Input!$1:$1048576,CE$93,$C473*2+6)</f>
        <v>0.1</v>
      </c>
      <c r="CF473" s="384">
        <f>INDEX(Input!$1:$1048576,CF$93,$C473*2+6)</f>
        <v>0.1</v>
      </c>
      <c r="CG473" s="384">
        <f>INDEX(Input!$1:$1048576,CG$93,$C473*2+6)</f>
        <v>0.1</v>
      </c>
      <c r="CH473" s="384">
        <f>INDEX(Input!$1:$1048576,CH$93,$C473*2+6)</f>
        <v>0.1</v>
      </c>
      <c r="CI473" s="304">
        <f t="shared" si="1214"/>
        <v>2006.832975525977</v>
      </c>
      <c r="CJ473" s="16" t="str">
        <f>INDEX(Input!$1:$1048576,CJ$93,$C473*2+6)</f>
        <v>N</v>
      </c>
      <c r="CK473" s="1" t="str">
        <f t="shared" si="1215"/>
        <v>Market</v>
      </c>
      <c r="CL473" s="1" t="str">
        <f t="shared" si="1216"/>
        <v>Market</v>
      </c>
      <c r="CM473" s="1" t="str">
        <f t="shared" si="1217"/>
        <v>Market</v>
      </c>
      <c r="CN473" s="1" t="str">
        <f t="shared" si="1218"/>
        <v>Market</v>
      </c>
      <c r="CO473" s="1" t="str">
        <f t="shared" si="1219"/>
        <v>Market</v>
      </c>
      <c r="CP473" s="304">
        <f t="shared" si="1220"/>
        <v>1916</v>
      </c>
      <c r="CQ473" s="1">
        <f t="shared" si="1221"/>
        <v>0</v>
      </c>
      <c r="CR473" s="1">
        <f t="shared" si="1222"/>
        <v>0</v>
      </c>
      <c r="CS473" s="1">
        <f t="shared" si="1223"/>
        <v>0</v>
      </c>
      <c r="CT473" s="1">
        <f t="shared" si="1224"/>
        <v>3.7999999999999999E-2</v>
      </c>
      <c r="CU473" s="1">
        <f t="shared" si="1225"/>
        <v>3.9E-2</v>
      </c>
      <c r="CV473" s="304">
        <f t="shared" si="1226"/>
        <v>-870</v>
      </c>
      <c r="CW473" s="20" t="s">
        <v>122</v>
      </c>
      <c r="CX473" s="20" t="s">
        <v>122</v>
      </c>
      <c r="CY473" s="20" t="s">
        <v>122</v>
      </c>
      <c r="CZ473" s="20" t="s">
        <v>122</v>
      </c>
      <c r="DA473" s="20" t="s">
        <v>122</v>
      </c>
      <c r="DB473" s="503">
        <f t="shared" si="1227"/>
        <v>0</v>
      </c>
      <c r="DC473" s="127">
        <v>0</v>
      </c>
      <c r="DD473" s="127">
        <v>0</v>
      </c>
      <c r="DE473" s="127">
        <v>0</v>
      </c>
      <c r="DF473" s="127">
        <v>0</v>
      </c>
      <c r="DG473" s="127">
        <v>0</v>
      </c>
      <c r="DH473" s="127">
        <v>0</v>
      </c>
      <c r="DI473" s="127">
        <v>0</v>
      </c>
      <c r="DJ473" s="127">
        <v>0</v>
      </c>
      <c r="DK473" s="127">
        <v>0</v>
      </c>
      <c r="DL473" s="127">
        <v>0</v>
      </c>
      <c r="DM473" s="304">
        <f>INDEX(Input!$1:$1048576,DM$93,$C473*2+6)</f>
        <v>21036.84210526316</v>
      </c>
      <c r="DN473" s="20">
        <v>0</v>
      </c>
      <c r="DO473" s="20">
        <v>0</v>
      </c>
      <c r="DP473" s="20">
        <v>0</v>
      </c>
      <c r="DQ473" s="20">
        <v>0</v>
      </c>
      <c r="DR473" s="20">
        <v>0</v>
      </c>
      <c r="DS473" s="20">
        <f>INDEX(Input!$1:$1048576,DS$93,$C473*2+6)</f>
        <v>0.6</v>
      </c>
      <c r="DT473" s="20">
        <f>INDEX(Input!$1:$1048576,DT$93,$C473*2+6)</f>
        <v>0.55000000000000004</v>
      </c>
      <c r="DU473" s="20">
        <f>INDEX(Input!$1:$1048576,DU$93,$C473*2+6)</f>
        <v>0.52</v>
      </c>
      <c r="DV473" s="20">
        <f>INDEX(Input!$1:$1048576,DV$93,$C473*2+6)</f>
        <v>0.5</v>
      </c>
      <c r="DW473" s="20">
        <f>INDEX(Input!$1:$1048576,DW$93,$C473*2+6)</f>
        <v>0.45</v>
      </c>
      <c r="DX473" s="20"/>
      <c r="DY473" s="7">
        <v>0.11241594328784163</v>
      </c>
      <c r="DZ473" s="7">
        <v>0</v>
      </c>
      <c r="EA473" s="7">
        <v>0.80892782431325316</v>
      </c>
      <c r="EB473" s="7">
        <v>0</v>
      </c>
      <c r="EC473" s="7">
        <v>0</v>
      </c>
      <c r="ED473" s="7">
        <v>0</v>
      </c>
      <c r="EE473" s="7">
        <v>0</v>
      </c>
      <c r="EF473" s="7">
        <v>0</v>
      </c>
      <c r="EG473" s="7">
        <v>0</v>
      </c>
      <c r="EH473" s="7">
        <v>1.8787905673927307E-2</v>
      </c>
      <c r="EI473" s="7">
        <v>4.9070587067740784E-2</v>
      </c>
      <c r="EJ473" s="7">
        <v>0.34486576374869321</v>
      </c>
      <c r="EK473" s="7">
        <v>0.37757487645155158</v>
      </c>
      <c r="EL473" s="7">
        <v>0.20970086705808674</v>
      </c>
      <c r="EM473" s="7">
        <v>4.2739981321734545E-2</v>
      </c>
      <c r="EN473" s="7">
        <v>5.0434205794060896E-2</v>
      </c>
      <c r="EO473" s="7">
        <v>0.71273189315781849</v>
      </c>
      <c r="EP473" s="7">
        <v>0.10250854007949475</v>
      </c>
      <c r="EQ473" s="7">
        <v>8.9958484907841849E-2</v>
      </c>
      <c r="ER473" s="7">
        <v>4.4366876060784544E-2</v>
      </c>
      <c r="ES473" s="7">
        <v>3.5916251077170697E-2</v>
      </c>
      <c r="ET473" s="7">
        <v>7.8656232398905165E-2</v>
      </c>
      <c r="EU473" s="6">
        <v>2520</v>
      </c>
      <c r="EV473" s="6">
        <v>0</v>
      </c>
      <c r="EW473" s="6">
        <v>2520</v>
      </c>
      <c r="EX473" s="6">
        <v>0</v>
      </c>
      <c r="EY473" s="6">
        <v>3599.5649555864265</v>
      </c>
      <c r="EZ473" s="6">
        <v>507</v>
      </c>
      <c r="FA473" s="6">
        <v>0</v>
      </c>
      <c r="FB473" s="6">
        <v>0</v>
      </c>
      <c r="FC473" s="6">
        <v>0</v>
      </c>
      <c r="FD473" s="6">
        <v>0</v>
      </c>
      <c r="FE473" s="6">
        <v>0</v>
      </c>
      <c r="FF473" s="6">
        <v>0</v>
      </c>
      <c r="FG473" s="6">
        <v>0</v>
      </c>
      <c r="FH473" s="6">
        <v>1169.7968191577681</v>
      </c>
      <c r="FI473" s="6">
        <v>1553.9796069512411</v>
      </c>
      <c r="FJ473" s="6">
        <v>2101.2110117447419</v>
      </c>
      <c r="FK473" s="6">
        <v>838.19585232978375</v>
      </c>
      <c r="FL473" s="6">
        <v>907.07682140966347</v>
      </c>
      <c r="FM473" s="6">
        <v>1329.5649555864263</v>
      </c>
      <c r="FN473" s="6">
        <v>0</v>
      </c>
      <c r="FO473" s="6">
        <v>0</v>
      </c>
      <c r="FP473" s="6">
        <v>0</v>
      </c>
      <c r="FQ473" s="6">
        <v>0</v>
      </c>
      <c r="FR473" s="6">
        <v>0</v>
      </c>
      <c r="FS473" s="6">
        <v>0</v>
      </c>
      <c r="FT473" s="7">
        <v>0.92134376760109482</v>
      </c>
      <c r="FU473" s="7">
        <v>4.2739981321734545E-2</v>
      </c>
      <c r="FV473" s="7">
        <v>3.5916251077170697E-2</v>
      </c>
      <c r="FW473" s="6">
        <v>2520</v>
      </c>
      <c r="FX473" s="6">
        <v>3599.5649555864265</v>
      </c>
      <c r="FY473" s="6">
        <v>507</v>
      </c>
      <c r="FZ473" s="6">
        <v>1949.5716051445115</v>
      </c>
      <c r="GA473" s="6">
        <v>2493.8411726190184</v>
      </c>
      <c r="GB473" s="6">
        <v>17491.158827380983</v>
      </c>
      <c r="GC473" s="7">
        <v>3.3872851927908169E-2</v>
      </c>
      <c r="GD473" s="7">
        <v>3.6419187119598351E-2</v>
      </c>
      <c r="GE473" s="7"/>
      <c r="GF473" s="7"/>
      <c r="GG473" s="7">
        <v>7.5173333414900068E-2</v>
      </c>
      <c r="GH473" s="42">
        <v>2.7602848993888425</v>
      </c>
      <c r="GI473" s="6">
        <v>9734.0358367368062</v>
      </c>
      <c r="GJ473" s="14">
        <v>0.50394797582841655</v>
      </c>
      <c r="GK473" s="14">
        <v>0.50887573065309666</v>
      </c>
      <c r="GL473" s="14">
        <v>0.49605202417158245</v>
      </c>
      <c r="GM473" s="14">
        <v>0.49112426934690201</v>
      </c>
      <c r="GO473" s="5">
        <v>343.14810671672558</v>
      </c>
      <c r="GP473" s="5">
        <v>295.07131418198298</v>
      </c>
      <c r="GQ473" s="5">
        <v>535.04305713031317</v>
      </c>
      <c r="GR473" s="5">
        <v>410.15490233172511</v>
      </c>
      <c r="GS473" s="5">
        <v>339.42744393800166</v>
      </c>
      <c r="GT473" s="5">
        <v>293.4407446948278</v>
      </c>
      <c r="GU473" s="5">
        <v>258.04012322764959</v>
      </c>
      <c r="GV473" s="39" t="s">
        <v>392</v>
      </c>
      <c r="GW473" s="5">
        <v>436.56944444444446</v>
      </c>
      <c r="GX473" s="5">
        <v>327.42708333333331</v>
      </c>
      <c r="GY473" s="5">
        <v>261.94166666666666</v>
      </c>
      <c r="GZ473" s="5">
        <v>244.45791687244687</v>
      </c>
      <c r="HA473" s="5">
        <v>214.10309859665961</v>
      </c>
      <c r="HB473" s="39">
        <v>251.80275085225179</v>
      </c>
      <c r="HC473" s="5">
        <v>265.10312499999998</v>
      </c>
      <c r="HD473" s="5">
        <v>224.66580774853799</v>
      </c>
      <c r="HE473" s="5">
        <v>226.90661690283397</v>
      </c>
      <c r="HF473" s="5">
        <v>209.18438048245613</v>
      </c>
      <c r="HG473" s="5">
        <v>200.91388157894738</v>
      </c>
      <c r="HH473" s="39">
        <v>224.48844929792293</v>
      </c>
      <c r="HI473" s="16"/>
      <c r="HJ473" s="19" t="str">
        <f t="shared" ref="HJ473" si="1313">HJ472</f>
        <v>On</v>
      </c>
      <c r="HK473" s="1" t="str">
        <f t="shared" si="1299"/>
        <v>On</v>
      </c>
      <c r="HL473" s="16"/>
      <c r="HM473" s="639">
        <f t="shared" si="1255"/>
        <v>2.9403358434788716E-2</v>
      </c>
      <c r="HN473" s="639">
        <f t="shared" si="1256"/>
        <v>1.4106809950923669E-3</v>
      </c>
      <c r="HO473" s="639">
        <f t="shared" si="1257"/>
        <v>1.7317923025048877E-3</v>
      </c>
      <c r="HP473" s="644">
        <f>(FT473*$GD473-HM473)/$JF473*INDEX(Input!$1:$1048576,$JG$93,$C473*2+6)</f>
        <v>297.06479452165388</v>
      </c>
      <c r="HQ473" s="644">
        <f>(FU473*$GD473-HN473)/$JF473*INDEX(Input!$1:$1048576,$JG$93,$C473*2+6)</f>
        <v>10.438861689744014</v>
      </c>
      <c r="HR473" s="644">
        <f>(FV473*$GD473-HO473)/$JF473*INDEX(Input!$1:$1048576,$JG$93,$C473*2+6)</f>
        <v>-30.323930985912142</v>
      </c>
      <c r="HS473" s="644">
        <f t="shared" si="1246"/>
        <v>-135.41732343965748</v>
      </c>
      <c r="HT473" s="644">
        <f t="shared" si="1258"/>
        <v>226.71092226595852</v>
      </c>
      <c r="HU473" s="644">
        <f t="shared" si="1259"/>
        <v>13.19349124599187</v>
      </c>
      <c r="HV473" s="648">
        <f t="shared" si="1260"/>
        <v>0</v>
      </c>
      <c r="HW473" s="648">
        <f t="shared" si="1261"/>
        <v>0</v>
      </c>
      <c r="HX473" s="648">
        <f t="shared" si="1262"/>
        <v>0</v>
      </c>
      <c r="HY473" s="644">
        <f>INDEX(Input!$1:$1048576,HY$93,$C473*2+6)*INDEX(Input!$1:$1048576,$JG$93,$C473*2+6)</f>
        <v>993</v>
      </c>
      <c r="HZ473" s="644">
        <f>INDEX(Input!$1:$1048576,HZ$93,$C473*2+6)*INDEX(Input!$1:$1048576,$JG$93,$C473*2+6)</f>
        <v>1216</v>
      </c>
      <c r="IA473" s="644">
        <f>INDEX(Input!$1:$1048576,IA$93,$C473*2+6)*INDEX(Input!$1:$1048576,$JG$93,$C473*2+6)</f>
        <v>120</v>
      </c>
      <c r="IB473" s="644">
        <f t="shared" si="1283"/>
        <v>1154.6474710819964</v>
      </c>
      <c r="IC473" s="644">
        <f t="shared" si="1284"/>
        <v>1453.1497839557026</v>
      </c>
      <c r="ID473" s="644">
        <f>IF(AND(INDEX(Input!$1:$1048576,IA$93,$C473*2+7)="TOS",Y473&lt;=INDEX(Y:Y,MATCH(C473*1000+2,A:A))),0,1)*MAX(IA473+HR473+HU473+HX473,0%)</f>
        <v>102.86956026007972</v>
      </c>
      <c r="IE473" s="128">
        <f t="shared" si="1247"/>
        <v>0.42596436587694503</v>
      </c>
      <c r="IF473" s="128">
        <f t="shared" si="1248"/>
        <v>0.53608572464708015</v>
      </c>
      <c r="IG473" s="128">
        <f t="shared" si="1263"/>
        <v>3.7949909475974847E-2</v>
      </c>
      <c r="IH473" s="21"/>
      <c r="II473" s="19">
        <f t="shared" si="1264"/>
        <v>1490</v>
      </c>
      <c r="IJ473" s="19">
        <f t="shared" si="1265"/>
        <v>2203.2561351629856</v>
      </c>
      <c r="IK473" s="19">
        <f t="shared" si="1266"/>
        <v>242</v>
      </c>
      <c r="IL473" s="19">
        <f t="shared" si="1285"/>
        <v>1030</v>
      </c>
      <c r="IM473" s="19">
        <f t="shared" si="1267"/>
        <v>1396.3088204234409</v>
      </c>
      <c r="IN473" s="19">
        <f t="shared" si="1268"/>
        <v>265</v>
      </c>
      <c r="IO473" s="39">
        <f t="shared" si="1269"/>
        <v>0</v>
      </c>
      <c r="IP473" s="39">
        <f t="shared" si="1270"/>
        <v>0</v>
      </c>
      <c r="IQ473" s="39">
        <f t="shared" si="1271"/>
        <v>0</v>
      </c>
      <c r="IR473" s="39">
        <v>0</v>
      </c>
      <c r="IS473" s="39">
        <v>0</v>
      </c>
      <c r="IT473" s="39">
        <v>0</v>
      </c>
      <c r="IU473" s="39">
        <v>0</v>
      </c>
      <c r="IV473" s="39">
        <v>0</v>
      </c>
      <c r="IW473" s="39">
        <v>0</v>
      </c>
      <c r="IX473" s="39">
        <f>INDEX(Input!$1:$1048576,IX$93,$C473*2+6)+INDEX(Input!$1:$1048576,IX$94,$C473*2+6)</f>
        <v>1770</v>
      </c>
      <c r="IY473" s="39">
        <f>INDEX(Input!$1:$1048576,IY$93,$C473*2+6)+INDEX(Input!$1:$1048576,IY$94,$C473*2+6)</f>
        <v>2630.0624533823611</v>
      </c>
      <c r="IZ473" s="39">
        <f>INDEX(Input!$1:$1048576,IZ$93,$C473*2+6)+INDEX(Input!$1:$1048576,IZ$94,$C473*2+6)</f>
        <v>4153.7164157747848</v>
      </c>
      <c r="JA473" s="19">
        <f t="shared" si="1286"/>
        <v>2800</v>
      </c>
      <c r="JB473" s="19">
        <f t="shared" si="1287"/>
        <v>4026.371273805802</v>
      </c>
      <c r="JC473" s="19">
        <f t="shared" si="1288"/>
        <v>4418.7164157747848</v>
      </c>
      <c r="JD473" s="19">
        <f t="shared" si="1289"/>
        <v>3518.870274450474</v>
      </c>
      <c r="JE473" s="21"/>
      <c r="JF473" s="1">
        <f t="shared" si="1272"/>
        <v>3.2545831732385969E-2</v>
      </c>
      <c r="JG473" s="15">
        <f>INDEX(Input!$1:$1048576,JG$93,$C473*2+6)/(1+VLOOKUP(C473*1000+INDEX(Input!$1:$1048576,JG$93+1,$C473*2+6),$A:$KK,$JK$92,FALSE))</f>
        <v>2329</v>
      </c>
      <c r="JH473" s="1">
        <f t="shared" si="1290"/>
        <v>0.11901233371639577</v>
      </c>
      <c r="JI473" s="1">
        <f t="shared" si="1291"/>
        <v>4.4863499386987075E-2</v>
      </c>
      <c r="JJ473" s="1">
        <f t="shared" si="1249"/>
        <v>0</v>
      </c>
      <c r="JK473" s="1">
        <f t="shared" si="1250"/>
        <v>0.16387583310338286</v>
      </c>
      <c r="JL473" s="15">
        <f t="shared" si="1292"/>
        <v>381.66681529777867</v>
      </c>
      <c r="JM473" s="15">
        <f t="shared" si="1311"/>
        <v>2710.6668152977786</v>
      </c>
      <c r="JN473" s="21"/>
      <c r="JO473" s="19">
        <f>INDEX(Input!$1:$1048576,JO$93,$C473*2+6)</f>
        <v>5995.5</v>
      </c>
      <c r="JP473" s="19">
        <f>INDEX(Input!$1:$1048576,JP$93,$C473*2+6)</f>
        <v>2341.8685758720158</v>
      </c>
      <c r="JQ473" s="39">
        <f t="shared" si="1300"/>
        <v>2476.629725549526</v>
      </c>
      <c r="JR473" s="39">
        <f t="shared" ref="JR473:JR483" si="1314">JD473-JP473</f>
        <v>1177.0016985784582</v>
      </c>
      <c r="JS473" s="39">
        <f t="shared" si="1301"/>
        <v>9.538484880290687</v>
      </c>
      <c r="JT473" s="39">
        <f t="shared" si="1293"/>
        <v>4.0842729670847628</v>
      </c>
      <c r="JU473" s="385">
        <f>(JQ473*JM473-INDEX(Input!$1:$1048576,Input!A$18,$C473*2+6)*JL473*INDEX(Input!$1:$1048576,Input!A$19,$C473*2+6))/1000000</f>
        <v>6.7133180108271455</v>
      </c>
      <c r="JV473" s="39">
        <f t="shared" si="1190"/>
        <v>-1.7959895759669289</v>
      </c>
      <c r="JW473" s="1">
        <f t="shared" si="1312"/>
        <v>-0.21106177648980454</v>
      </c>
      <c r="JX473" s="19">
        <f t="shared" si="1305"/>
        <v>10701.147711514268</v>
      </c>
      <c r="JZ473" s="341"/>
      <c r="KA473" s="342"/>
      <c r="KB473" s="469">
        <f t="shared" si="1302"/>
        <v>2.3434325605641804</v>
      </c>
      <c r="KI473" s="473">
        <f t="shared" si="1251"/>
        <v>161.6474710819964</v>
      </c>
      <c r="KJ473" s="473">
        <f t="shared" si="1252"/>
        <v>237.14978395570256</v>
      </c>
      <c r="KK473" s="473">
        <f t="shared" si="1294"/>
        <v>-17.130439739920277</v>
      </c>
      <c r="KN473" s="544">
        <f t="shared" si="1306"/>
        <v>4002</v>
      </c>
      <c r="KO473" s="541">
        <f t="shared" si="1273"/>
        <v>0.1207531679266538</v>
      </c>
      <c r="KP473" s="546">
        <f t="shared" si="1274"/>
        <v>917.88531175978187</v>
      </c>
      <c r="KQ473" s="546">
        <f t="shared" si="1275"/>
        <v>894.09908641445281</v>
      </c>
      <c r="KR473" s="548">
        <f t="shared" si="1276"/>
        <v>2.2838393839826905</v>
      </c>
      <c r="KS473" s="548">
        <f t="shared" si="1277"/>
        <v>2.3445976590613524</v>
      </c>
      <c r="KT473" s="473">
        <f t="shared" si="1303"/>
        <v>1580.0986321700548</v>
      </c>
      <c r="KU473" s="663">
        <f t="shared" si="1295"/>
        <v>4.0636964525539767</v>
      </c>
    </row>
    <row r="474" spans="1:307" s="26" customFormat="1" ht="15" outlineLevel="1">
      <c r="A474" s="561">
        <f t="shared" si="1278"/>
        <v>4074</v>
      </c>
      <c r="B474" s="561">
        <f t="shared" si="1296"/>
        <v>74</v>
      </c>
      <c r="C474" s="561">
        <f t="shared" si="1297"/>
        <v>4</v>
      </c>
      <c r="D474" s="561" t="str">
        <f t="shared" si="1206"/>
        <v xml:space="preserve">1000 CC, 0/2.8/3.8/3.9, 2000 Combo, </v>
      </c>
      <c r="E474" s="475">
        <f>INDEX(Input!$1:$1048576,E$93,$C474*2+MIN($B474,2)+5)
+INDEX(Scenarios!E$121:E$200,MATCH($B474,Scenarios!$B$121:$B$200,0))</f>
        <v>2256.832975525977</v>
      </c>
      <c r="F474" s="475">
        <f>INDEX(Input!$1:$1048576,F$93,$C474*2+MIN($B474,2)+5)
+INDEX(Scenarios!F$121:F$200,MATCH($B474,Scenarios!$B$121:$B$200,0))</f>
        <v>0</v>
      </c>
      <c r="G474" s="475">
        <f>INDEX(Input!$1:$1048576,G$93,$C474*2+MIN($B474,2)+5)
+INDEX(Scenarios!G$121:G$200,MATCH($B474,Scenarios!$B$121:$B$200,0))</f>
        <v>0</v>
      </c>
      <c r="H474" s="475">
        <f>INDEX(Input!$1:$1048576,H$93,$C474*2+MIN($B474,2)+5)
+INDEX(Scenarios!H$121:H$200,MATCH($B474,Scenarios!$B$121:$B$200,0))</f>
        <v>0</v>
      </c>
      <c r="I474" s="476">
        <f>INDEX(Input!$1:$1048576,I$93,$C474*2+MIN($B474,2)+5)</f>
        <v>0.7</v>
      </c>
      <c r="J474" s="476" t="str">
        <f>INDEX(Input!$1:$1048576,J$93,$C474*2+MIN($B474,2)+5)</f>
        <v>Market</v>
      </c>
      <c r="K474" s="476" t="str">
        <f>INDEX(Input!$1:$1048576,K$93,$C474*2+MIN($B474,2)+5)</f>
        <v>Market</v>
      </c>
      <c r="L474" s="476" t="str">
        <f>INDEX(Input!$1:$1048576,L$93,$C474*2+MIN($B474,2)+5)</f>
        <v>Market</v>
      </c>
      <c r="M474" s="476" t="str">
        <f>INDEX(Input!$1:$1048576,M$93,$C474*2+MIN($B474,2)+5)</f>
        <v>Market</v>
      </c>
      <c r="N474" s="476" t="str">
        <f>INDEX(Input!$1:$1048576,N$93,$C474*2+MIN($B474,2)+5)</f>
        <v>Market</v>
      </c>
      <c r="O474" s="476" t="str">
        <f>INDEX(Input!$1:$1048576,O$93,$C474*2+MIN($B474,2)+5)</f>
        <v>Market</v>
      </c>
      <c r="P474" s="476" t="str">
        <f>INDEX(Input!$1:$1048576,P$93,$C474*2+MIN($B474,2)+5)</f>
        <v>N</v>
      </c>
      <c r="Q474" s="477">
        <f>INDEX(Input!$1:$1048576,Q$93,$C474*2+MIN($B474,2)+5)
+INDEX(Scenarios!Q$121:Q$200,MATCH($B474,Scenarios!$B$121:$B$200,0))</f>
        <v>2000</v>
      </c>
      <c r="R474" s="478">
        <f>IFERROR(MAX(0,INDEX(Input!$1:$1048576,R$93,$C474*2+MIN($B474,2)+5)
+INDEX(Scenarios!R$121:R$200,MATCH($B474,Scenarios!$B$121:$B$200,0)),),"Market")</f>
        <v>0</v>
      </c>
      <c r="S474" s="478">
        <f>IFERROR(MAX(0,INDEX(Input!$1:$1048576,S$93,$C474*2+MIN($B474,2)+5)
+INDEX(Scenarios!S$121:S$200,MATCH($B474,Scenarios!$B$121:$B$200,0)),),"Market")</f>
        <v>0</v>
      </c>
      <c r="T474" s="478">
        <f>IFERROR(MAX(0,INDEX(Input!$1:$1048576,T$93,$C474*2+MIN($B474,2)+5)
+INDEX(Scenarios!T$121:T$200,MATCH($B474,Scenarios!$B$121:$B$200,0)),),"Market")</f>
        <v>0</v>
      </c>
      <c r="U474" s="478">
        <f>IFERROR(MAX(0,INDEX(Input!$1:$1048576,U$93,$C474*2+MIN($B474,2)+5)
+INDEX(Scenarios!U$121:U$200,MATCH($B474,Scenarios!$B$121:$B$200,0)),),"Market")</f>
        <v>0</v>
      </c>
      <c r="V474" s="478">
        <f>IFERROR(MAX(0,INDEX(Input!$1:$1048576,V$93,$C474*2+MIN($B474,2)+5)
+INDEX(Scenarios!V$121:V$200,MATCH($B474,Scenarios!$B$121:$B$200,0)),),"Market")</f>
        <v>3.7999999999999999E-2</v>
      </c>
      <c r="W474" s="885">
        <f>IFERROR(MAX(0,INDEX(Input!$1:$1048576,W$93,$C474*2+MIN($B474,2)+5)-0%,),"Market")</f>
        <v>3.9E-2</v>
      </c>
      <c r="X474" s="476" t="str">
        <f>INDEX(Input!$1:$1048576,X$93,$C474*2+MIN($B474,2)+5)</f>
        <v>Y</v>
      </c>
      <c r="Y474" s="475">
        <f>INDEX(Input!$1:$1048576,Y$93,$C474*2+MIN($B474,2)+5)
++INDEX(Scenarios!Y$121:Y$200,MATCH($B474,Scenarios!$B$121:$B$200,0))</f>
        <v>-870</v>
      </c>
      <c r="Z474" s="477">
        <f>INDEX(Input!$1:$1048576,Z$93,$C474*2+MIN($B474,2)+5)
+INDEX(Scenarios!Z$121:Z$200,MATCH($B474,Scenarios!$B$121:$B$200,0))</f>
        <v>0</v>
      </c>
      <c r="AA474" s="475">
        <f>INDEX(Input!$1:$1048576,AA$93,$C474*2+MIN($B474,2)+5)
+INDEX(Scenarios!AA$121:AA$200,MATCH($B474,Scenarios!$B$121:$B$200,0))</f>
        <v>0</v>
      </c>
      <c r="AB474" s="476">
        <f>INDEX(Input!$1:$1048576,AB$93,$C474*2+MIN($B474,2)+5)</f>
        <v>0.27</v>
      </c>
      <c r="AC474" s="475">
        <f>INDEX(Input!$1:$1048576,AC$93,$C474*2+MIN($B474,2)+5)
+INDEX(Scenarios!AC$121:AC$200,MATCH($B474,Scenarios!$B$121:$B$200,0))</f>
        <v>0</v>
      </c>
      <c r="AD474" s="476">
        <f>INDEX(Input!$1:$1048576,AD$93,$C474*2+MIN($B474,2)+5)</f>
        <v>0.27</v>
      </c>
      <c r="AE474" s="475">
        <f>INDEX(Input!$1:$1048576,AE$93,$C474*2+MIN($B474,2)+5)
+INDEX(Scenarios!AE$121:AE$200,MATCH($B474,Scenarios!$B$121:$B$200,0))</f>
        <v>0</v>
      </c>
      <c r="AF474" s="476">
        <f>INDEX(Input!$1:$1048576,AF$93,$C474*2+MIN($B474,2)+5)</f>
        <v>1</v>
      </c>
      <c r="AG474" s="475">
        <f>INDEX(Input!$1:$1048576,AG$93,$C474*2+MIN($B474,2)+5)
+INDEX(Scenarios!AG$121:AG$200,MATCH($B474,Scenarios!$B$121:$B$200,0))</f>
        <v>500</v>
      </c>
      <c r="AH474" s="476">
        <f>INDEX(Input!$1:$1048576,AH$93,$C474*2+MIN($B474,2)+5)</f>
        <v>0.83199999999999996</v>
      </c>
      <c r="AI474" s="475">
        <f>INDEX(Input!$1:$1048576,AI$93,$C474*2+MIN($B474,2)+5)
+INDEX(Scenarios!AI$121:AI$200,MATCH($B474,Scenarios!$B$121:$B$200,0))</f>
        <v>0</v>
      </c>
      <c r="AJ474" s="476">
        <f>INDEX(Input!$1:$1048576,AJ$93,$C474*2+MIN($B474,2)+5)</f>
        <v>0.27</v>
      </c>
      <c r="AK474" s="150">
        <f>ROUND(INDEX(Input!$1:$1048576,AK$93,$C473*2+MIN($B474,1)+5)+(Y474-VLOOKUP($C474*1000+1,$A:$HH,Y$92,FALSE)),0)</f>
        <v>2587</v>
      </c>
      <c r="AL474" s="150">
        <f>ROUND(INDEX(Input!$1:$1048576,AL$93,$C473*2+MIN($B474,1)+5)-(Y474-VLOOKUP($C474*1000+1,$A:$HH,Y$92,FALSE))/36,0)</f>
        <v>3406</v>
      </c>
      <c r="AM474" s="32" t="str">
        <f t="shared" si="1279"/>
        <v>std/std/std/std</v>
      </c>
      <c r="AN474" s="32" t="str">
        <f t="shared" si="1280"/>
        <v>$2000 + 0/0/0/3.8/3.9</v>
      </c>
      <c r="AO474" s="32" t="str">
        <f t="shared" si="1281"/>
        <v>0/0/0/3.8/3.9</v>
      </c>
      <c r="AP474" s="32" t="str">
        <f t="shared" si="1213"/>
        <v>0/2.8/3.8/3.9</v>
      </c>
      <c r="AQ474" s="536">
        <f t="shared" si="1207"/>
        <v>0.41840783487510763</v>
      </c>
      <c r="AR474" s="32"/>
      <c r="AS474" s="302"/>
      <c r="AT474" s="3">
        <f t="shared" si="1298"/>
        <v>74</v>
      </c>
      <c r="AU474" s="41" t="s">
        <v>121</v>
      </c>
      <c r="AV474" s="41" t="s">
        <v>116</v>
      </c>
      <c r="AW474" s="41" t="str">
        <f>INDEX(Input!$1:$1048576,AW$93,$C474*2+6)</f>
        <v>Kia</v>
      </c>
      <c r="AX474" s="41" t="str">
        <f>INDEX(Input!$1:$1048576,AX$93,$C474*2+6)</f>
        <v>Kia-LR - R1</v>
      </c>
      <c r="AY474" s="41" t="str">
        <f>IF(LEN(D474)=0,"",INDEX(Input!$1:$1048576,AY$93,$C474*2+6))</f>
        <v>Compact SUV (52)</v>
      </c>
      <c r="AZ474" s="41" t="str">
        <f>INDEX(Input!$1:$1048576,AZ$93,$C474*2+6)</f>
        <v>Kia Soul</v>
      </c>
      <c r="BA474" s="3">
        <f>INDEX(Input!$1:$1048576,BA$93,$C474*2+6)</f>
        <v>2020</v>
      </c>
      <c r="BB474" s="128">
        <f>INDEX(Input!$1:$1048576,BB$93,$C474*2+6)</f>
        <v>1</v>
      </c>
      <c r="BC474" s="128">
        <f>INDEX(Input!$1:$1048576,BC$93,$C474*2+6)</f>
        <v>0.7</v>
      </c>
      <c r="BD474" s="1">
        <f>INDEX(Input!$1:$1048576,BD$93,$C474*2+6)</f>
        <v>4.4999999999999998E-2</v>
      </c>
      <c r="BE474" s="1">
        <f>INDEX(Input!$1:$1048576,BE$93,$C474*2+6)</f>
        <v>4.4999999999999998E-2</v>
      </c>
      <c r="BF474" s="1">
        <f>INDEX(Input!$1:$1048576,BF$93,$C474*2+6)</f>
        <v>0.05</v>
      </c>
      <c r="BG474" s="1">
        <f>INDEX(Input!$1:$1048576,BG$93,$C474*2+6)</f>
        <v>5.45E-2</v>
      </c>
      <c r="BH474" s="1">
        <f>INDEX(Input!$1:$1048576,BH$93,$C474*2+6)</f>
        <v>5.45E-2</v>
      </c>
      <c r="BI474" s="1">
        <f>INDEX(Input!$1:$1048576,BI$93,$C474*2+6)</f>
        <v>0.05</v>
      </c>
      <c r="BJ474" s="1">
        <f>INDEX(Input!$1:$1048576,BJ$93,$C474*2+6)</f>
        <v>0.05</v>
      </c>
      <c r="BK474" s="1">
        <f>INDEX(Input!$1:$1048576,BK$93,$C474*2+6)</f>
        <v>0.05</v>
      </c>
      <c r="BL474" s="1">
        <f>INDEX(Input!$1:$1048576,BL$93,$C474*2+6)</f>
        <v>5.5E-2</v>
      </c>
      <c r="BM474" s="1">
        <f>INDEX(Input!$1:$1048576,BM$93,$C474*2+6)</f>
        <v>0.06</v>
      </c>
      <c r="BN474" s="1">
        <f>INDEX(Input!$1:$1048576,BN$93,$C474*2+6)</f>
        <v>4.4999999999999998E-2</v>
      </c>
      <c r="BO474" s="1">
        <f>INDEX(Input!$1:$1048576,BO$93,$C474*2+6)</f>
        <v>4.4999999999999998E-2</v>
      </c>
      <c r="BP474" s="1">
        <f>INDEX(Input!$1:$1048576,BP$93,$C474*2+6)</f>
        <v>0.05</v>
      </c>
      <c r="BQ474" s="1">
        <f>INDEX(Input!$1:$1048576,BQ$93,$C474*2+6)</f>
        <v>5.45E-2</v>
      </c>
      <c r="BR474" s="1">
        <f>INDEX(Input!$1:$1048576,BR$93,$C474*2+6)</f>
        <v>5.45E-2</v>
      </c>
      <c r="BS474" s="1">
        <f>INDEX(Input!$1:$1048576,BS$93,$C474*2+6)</f>
        <v>0.05</v>
      </c>
      <c r="BT474" s="1">
        <f>INDEX(Input!$1:$1048576,BT$93,$C474*2+6)</f>
        <v>0.05</v>
      </c>
      <c r="BU474" s="1">
        <f>INDEX(Input!$1:$1048576,BU$93,$C474*2+6)</f>
        <v>0.05</v>
      </c>
      <c r="BV474" s="1">
        <f>INDEX(Input!$1:$1048576,BV$93,$C474*2+6)</f>
        <v>5.5E-2</v>
      </c>
      <c r="BW474" s="1">
        <f>INDEX(Input!$1:$1048576,BW$93,$C474*2+6)</f>
        <v>0.06</v>
      </c>
      <c r="BX474" s="127">
        <f>INDEX(Input!$1:$1048576,BX$93,$C474*2+6)</f>
        <v>19985</v>
      </c>
      <c r="BY474" s="20">
        <f>INDEX(Input!$1:$1048576,BY$93,$C474*2+6)</f>
        <v>0.1</v>
      </c>
      <c r="BZ474" s="20">
        <f>INDEX(Input!$1:$1048576,BZ$93,$C474*2+6)</f>
        <v>0.1</v>
      </c>
      <c r="CA474" s="20">
        <f>INDEX(Input!$1:$1048576,CA$93,$C474*2+6)</f>
        <v>0.1</v>
      </c>
      <c r="CB474" s="20">
        <f>INDEX(Input!$1:$1048576,CB$93,$C474*2+6)</f>
        <v>0.1</v>
      </c>
      <c r="CC474" s="20">
        <f>INDEX(Input!$1:$1048576,CC$93,$C474*2+6)</f>
        <v>0.1</v>
      </c>
      <c r="CD474" s="384">
        <f>INDEX(Input!$1:$1048576,CD$93,$C474*2+6)</f>
        <v>0.1</v>
      </c>
      <c r="CE474" s="384">
        <f>INDEX(Input!$1:$1048576,CE$93,$C474*2+6)</f>
        <v>0.1</v>
      </c>
      <c r="CF474" s="384">
        <f>INDEX(Input!$1:$1048576,CF$93,$C474*2+6)</f>
        <v>0.1</v>
      </c>
      <c r="CG474" s="384">
        <f>INDEX(Input!$1:$1048576,CG$93,$C474*2+6)</f>
        <v>0.1</v>
      </c>
      <c r="CH474" s="384">
        <f>INDEX(Input!$1:$1048576,CH$93,$C474*2+6)</f>
        <v>0.1</v>
      </c>
      <c r="CI474" s="304">
        <f t="shared" si="1214"/>
        <v>2256.832975525977</v>
      </c>
      <c r="CJ474" s="16" t="str">
        <f>INDEX(Input!$1:$1048576,CJ$93,$C474*2+6)</f>
        <v>N</v>
      </c>
      <c r="CK474" s="1" t="str">
        <f t="shared" si="1215"/>
        <v>Market</v>
      </c>
      <c r="CL474" s="1" t="str">
        <f t="shared" si="1216"/>
        <v>Market</v>
      </c>
      <c r="CM474" s="1" t="str">
        <f t="shared" si="1217"/>
        <v>Market</v>
      </c>
      <c r="CN474" s="1" t="str">
        <f t="shared" si="1218"/>
        <v>Market</v>
      </c>
      <c r="CO474" s="1" t="str">
        <f t="shared" si="1219"/>
        <v>Market</v>
      </c>
      <c r="CP474" s="304">
        <f t="shared" si="1220"/>
        <v>2416</v>
      </c>
      <c r="CQ474" s="1">
        <f t="shared" si="1221"/>
        <v>0</v>
      </c>
      <c r="CR474" s="1">
        <f t="shared" si="1222"/>
        <v>0</v>
      </c>
      <c r="CS474" s="1">
        <f t="shared" si="1223"/>
        <v>0</v>
      </c>
      <c r="CT474" s="1">
        <f t="shared" si="1224"/>
        <v>3.7999999999999999E-2</v>
      </c>
      <c r="CU474" s="1">
        <f t="shared" si="1225"/>
        <v>3.9E-2</v>
      </c>
      <c r="CV474" s="304">
        <f t="shared" si="1226"/>
        <v>-870</v>
      </c>
      <c r="CW474" s="20" t="s">
        <v>122</v>
      </c>
      <c r="CX474" s="20" t="s">
        <v>122</v>
      </c>
      <c r="CY474" s="20" t="s">
        <v>122</v>
      </c>
      <c r="CZ474" s="20" t="s">
        <v>122</v>
      </c>
      <c r="DA474" s="20" t="s">
        <v>122</v>
      </c>
      <c r="DB474" s="503">
        <f t="shared" si="1227"/>
        <v>0</v>
      </c>
      <c r="DC474" s="127">
        <v>0</v>
      </c>
      <c r="DD474" s="127">
        <v>0</v>
      </c>
      <c r="DE474" s="127">
        <v>0</v>
      </c>
      <c r="DF474" s="127">
        <v>0</v>
      </c>
      <c r="DG474" s="127">
        <v>0</v>
      </c>
      <c r="DH474" s="127">
        <v>0</v>
      </c>
      <c r="DI474" s="127">
        <v>0</v>
      </c>
      <c r="DJ474" s="127">
        <v>0</v>
      </c>
      <c r="DK474" s="127">
        <v>0</v>
      </c>
      <c r="DL474" s="127">
        <v>0</v>
      </c>
      <c r="DM474" s="304">
        <f>INDEX(Input!$1:$1048576,DM$93,$C474*2+6)</f>
        <v>21036.84210526316</v>
      </c>
      <c r="DN474" s="20">
        <v>0</v>
      </c>
      <c r="DO474" s="20">
        <v>0</v>
      </c>
      <c r="DP474" s="20">
        <v>0</v>
      </c>
      <c r="DQ474" s="20">
        <v>0</v>
      </c>
      <c r="DR474" s="20">
        <v>0</v>
      </c>
      <c r="DS474" s="20">
        <f>INDEX(Input!$1:$1048576,DS$93,$C474*2+6)</f>
        <v>0.6</v>
      </c>
      <c r="DT474" s="20">
        <f>INDEX(Input!$1:$1048576,DT$93,$C474*2+6)</f>
        <v>0.55000000000000004</v>
      </c>
      <c r="DU474" s="20">
        <f>INDEX(Input!$1:$1048576,DU$93,$C474*2+6)</f>
        <v>0.52</v>
      </c>
      <c r="DV474" s="20">
        <f>INDEX(Input!$1:$1048576,DV$93,$C474*2+6)</f>
        <v>0.5</v>
      </c>
      <c r="DW474" s="20">
        <f>INDEX(Input!$1:$1048576,DW$93,$C474*2+6)</f>
        <v>0.45</v>
      </c>
      <c r="DX474" s="20"/>
      <c r="DY474" s="7">
        <v>0.11484664971492357</v>
      </c>
      <c r="DZ474" s="7">
        <v>0</v>
      </c>
      <c r="EA474" s="7">
        <v>0.80507806511758406</v>
      </c>
      <c r="EB474" s="7">
        <v>0</v>
      </c>
      <c r="EC474" s="7">
        <v>0</v>
      </c>
      <c r="ED474" s="7">
        <v>0</v>
      </c>
      <c r="EE474" s="7">
        <v>0</v>
      </c>
      <c r="EF474" s="7">
        <v>0</v>
      </c>
      <c r="EG474" s="7">
        <v>0</v>
      </c>
      <c r="EH474" s="7">
        <v>1.8791252421843003E-2</v>
      </c>
      <c r="EI474" s="7">
        <v>4.9079024248350957E-2</v>
      </c>
      <c r="EJ474" s="7">
        <v>0.34498612745424478</v>
      </c>
      <c r="EK474" s="7">
        <v>0.37754355453484256</v>
      </c>
      <c r="EL474" s="7">
        <v>0.20960004134071811</v>
      </c>
      <c r="EM474" s="7">
        <v>4.8638730054476241E-2</v>
      </c>
      <c r="EN474" s="7">
        <v>5.0423137867858243E-2</v>
      </c>
      <c r="EO474" s="7">
        <v>0.71274045957136334</v>
      </c>
      <c r="EP474" s="7">
        <v>0.102519465395328</v>
      </c>
      <c r="EQ474" s="7">
        <v>8.9944950336420471E-2</v>
      </c>
      <c r="ER474" s="7">
        <v>4.4371986829030013E-2</v>
      </c>
      <c r="ES474" s="7">
        <v>3.1436555113016039E-2</v>
      </c>
      <c r="ET474" s="7">
        <v>8.0075285167492308E-2</v>
      </c>
      <c r="EU474" s="6">
        <v>2770</v>
      </c>
      <c r="EV474" s="6">
        <v>0</v>
      </c>
      <c r="EW474" s="6">
        <v>2770</v>
      </c>
      <c r="EX474" s="6">
        <v>0</v>
      </c>
      <c r="EY474" s="6">
        <v>4099.7171747279444</v>
      </c>
      <c r="EZ474" s="6">
        <v>507</v>
      </c>
      <c r="FA474" s="6">
        <v>0</v>
      </c>
      <c r="FB474" s="6">
        <v>0</v>
      </c>
      <c r="FC474" s="6">
        <v>0</v>
      </c>
      <c r="FD474" s="6">
        <v>0</v>
      </c>
      <c r="FE474" s="6">
        <v>0</v>
      </c>
      <c r="FF474" s="6">
        <v>0</v>
      </c>
      <c r="FG474" s="6">
        <v>0</v>
      </c>
      <c r="FH474" s="6">
        <v>1169.7964971049137</v>
      </c>
      <c r="FI474" s="6">
        <v>1553.9796069512395</v>
      </c>
      <c r="FJ474" s="6">
        <v>2101.2110117447414</v>
      </c>
      <c r="FK474" s="6">
        <v>838.19585232978329</v>
      </c>
      <c r="FL474" s="6">
        <v>907.07682140966324</v>
      </c>
      <c r="FM474" s="6">
        <v>1329.717174727944</v>
      </c>
      <c r="FN474" s="6">
        <v>0</v>
      </c>
      <c r="FO474" s="6">
        <v>0</v>
      </c>
      <c r="FP474" s="6">
        <v>0</v>
      </c>
      <c r="FQ474" s="6">
        <v>0</v>
      </c>
      <c r="FR474" s="6">
        <v>0</v>
      </c>
      <c r="FS474" s="6">
        <v>0</v>
      </c>
      <c r="FT474" s="7">
        <v>0.9199247148325076</v>
      </c>
      <c r="FU474" s="7">
        <v>4.8638730054476241E-2</v>
      </c>
      <c r="FV474" s="7">
        <v>3.1436555113016039E-2</v>
      </c>
      <c r="FW474" s="6">
        <v>2770</v>
      </c>
      <c r="FX474" s="6">
        <v>4099.7171747279444</v>
      </c>
      <c r="FY474" s="6">
        <v>507</v>
      </c>
      <c r="FZ474" s="6">
        <v>1949.5716051445115</v>
      </c>
      <c r="GA474" s="6">
        <v>2763.5348304896374</v>
      </c>
      <c r="GB474" s="6">
        <v>17221.465169510364</v>
      </c>
      <c r="GC474" s="7">
        <v>3.3872851927908169E-2</v>
      </c>
      <c r="GD474" s="7">
        <v>3.747167913871334E-2</v>
      </c>
      <c r="GE474" s="7"/>
      <c r="GF474" s="7"/>
      <c r="GG474" s="7">
        <v>0.10624517883715785</v>
      </c>
      <c r="GH474" s="42">
        <v>2.6086066703570077</v>
      </c>
      <c r="GI474" s="6">
        <v>10424.712817612128</v>
      </c>
      <c r="GJ474" s="14">
        <v>0.50394797582841744</v>
      </c>
      <c r="GK474" s="14">
        <v>0.50887573065309744</v>
      </c>
      <c r="GL474" s="14">
        <v>0.49605202417158284</v>
      </c>
      <c r="GM474" s="14">
        <v>0.49112426934690223</v>
      </c>
      <c r="GO474" s="5">
        <v>343.14810671672558</v>
      </c>
      <c r="GP474" s="5">
        <v>290.30179111306006</v>
      </c>
      <c r="GQ474" s="5">
        <v>535.04305713031317</v>
      </c>
      <c r="GR474" s="5">
        <v>410.15490233172511</v>
      </c>
      <c r="GS474" s="5">
        <v>339.42744393800166</v>
      </c>
      <c r="GT474" s="5">
        <v>293.4407446948278</v>
      </c>
      <c r="GU474" s="5">
        <v>258.04012322764959</v>
      </c>
      <c r="GV474" s="39" t="s">
        <v>392</v>
      </c>
      <c r="GW474" s="5">
        <v>422.68055555555554</v>
      </c>
      <c r="GX474" s="5">
        <v>317.01041666666669</v>
      </c>
      <c r="GY474" s="5">
        <v>253.60833333333332</v>
      </c>
      <c r="GZ474" s="5">
        <v>236.6808062920872</v>
      </c>
      <c r="HA474" s="5">
        <v>207.29168706748135</v>
      </c>
      <c r="HB474" s="39">
        <v>243.79827482322281</v>
      </c>
      <c r="HC474" s="5">
        <v>265.10312499999998</v>
      </c>
      <c r="HD474" s="5">
        <v>224.66580774853799</v>
      </c>
      <c r="HE474" s="5">
        <v>226.90661690283397</v>
      </c>
      <c r="HF474" s="5">
        <v>209.18438048245613</v>
      </c>
      <c r="HG474" s="5">
        <v>200.91388157894738</v>
      </c>
      <c r="HH474" s="39">
        <v>224.48811436612036</v>
      </c>
      <c r="HI474" s="16"/>
      <c r="HJ474" s="19" t="str">
        <f t="shared" ref="HJ474:HK475" si="1315">HJ473</f>
        <v>On</v>
      </c>
      <c r="HK474" s="1" t="str">
        <f t="shared" si="1299"/>
        <v>On</v>
      </c>
      <c r="HL474" s="16"/>
      <c r="HM474" s="639">
        <f t="shared" si="1255"/>
        <v>2.9403358434788716E-2</v>
      </c>
      <c r="HN474" s="639">
        <f t="shared" si="1256"/>
        <v>1.4106809950923669E-3</v>
      </c>
      <c r="HO474" s="639">
        <f t="shared" si="1257"/>
        <v>1.7317923025048877E-3</v>
      </c>
      <c r="HP474" s="644">
        <f>(FT474*$GD474-HM474)/$JF474*INDEX(Input!$1:$1048576,$JG$93,$C474*2+6)</f>
        <v>362.65244369252207</v>
      </c>
      <c r="HQ474" s="644">
        <f>(FU474*$GD474-HN474)/$JF474*INDEX(Input!$1:$1048576,$JG$93,$C474*2+6)</f>
        <v>29.475383531367843</v>
      </c>
      <c r="HR474" s="644">
        <f>(FV474*$GD474-HO474)/$JF474*INDEX(Input!$1:$1048576,$JG$93,$C474*2+6)</f>
        <v>-39.63111724058092</v>
      </c>
      <c r="HS474" s="644">
        <f t="shared" si="1246"/>
        <v>-168.3592087052042</v>
      </c>
      <c r="HT474" s="644">
        <f t="shared" si="1258"/>
        <v>308.93939040038788</v>
      </c>
      <c r="HU474" s="644">
        <f t="shared" si="1259"/>
        <v>15.568907525334694</v>
      </c>
      <c r="HV474" s="648">
        <f t="shared" si="1260"/>
        <v>0</v>
      </c>
      <c r="HW474" s="648">
        <f t="shared" si="1261"/>
        <v>0</v>
      </c>
      <c r="HX474" s="648">
        <f t="shared" si="1262"/>
        <v>0</v>
      </c>
      <c r="HY474" s="644">
        <f>INDEX(Input!$1:$1048576,HY$93,$C474*2+6)*INDEX(Input!$1:$1048576,$JG$93,$C474*2+6)</f>
        <v>993</v>
      </c>
      <c r="HZ474" s="644">
        <f>INDEX(Input!$1:$1048576,HZ$93,$C474*2+6)*INDEX(Input!$1:$1048576,$JG$93,$C474*2+6)</f>
        <v>1216</v>
      </c>
      <c r="IA474" s="644">
        <f>INDEX(Input!$1:$1048576,IA$93,$C474*2+6)*INDEX(Input!$1:$1048576,$JG$93,$C474*2+6)</f>
        <v>120</v>
      </c>
      <c r="IB474" s="644">
        <f t="shared" si="1283"/>
        <v>1187.2932349873179</v>
      </c>
      <c r="IC474" s="644">
        <f t="shared" si="1284"/>
        <v>1554.4147739317559</v>
      </c>
      <c r="ID474" s="644">
        <f>IF(AND(INDEX(Input!$1:$1048576,IA$93,$C474*2+7)="TOS",Y474&lt;=INDEX(Y:Y,MATCH(C474*1000+2,A:A))),0,1)*MAX(IA474+HR474+HU474+HX474,0%)</f>
        <v>95.937790284753774</v>
      </c>
      <c r="IE474" s="128">
        <f t="shared" si="1247"/>
        <v>0.41840783487510763</v>
      </c>
      <c r="IF474" s="128">
        <f t="shared" si="1248"/>
        <v>0.54778322733862195</v>
      </c>
      <c r="IG474" s="128">
        <f t="shared" si="1263"/>
        <v>3.3808937786270407E-2</v>
      </c>
      <c r="IH474" s="21"/>
      <c r="II474" s="19">
        <f t="shared" si="1264"/>
        <v>1490</v>
      </c>
      <c r="IJ474" s="19">
        <f t="shared" si="1265"/>
        <v>2203.2561351629856</v>
      </c>
      <c r="IK474" s="19">
        <f t="shared" si="1266"/>
        <v>242</v>
      </c>
      <c r="IL474" s="19">
        <f t="shared" si="1285"/>
        <v>1280</v>
      </c>
      <c r="IM474" s="19">
        <f t="shared" si="1267"/>
        <v>1896.4610395649588</v>
      </c>
      <c r="IN474" s="19">
        <f t="shared" si="1268"/>
        <v>265</v>
      </c>
      <c r="IO474" s="39">
        <f t="shared" si="1269"/>
        <v>0</v>
      </c>
      <c r="IP474" s="39">
        <f t="shared" si="1270"/>
        <v>0</v>
      </c>
      <c r="IQ474" s="39">
        <f t="shared" si="1271"/>
        <v>0</v>
      </c>
      <c r="IR474" s="39">
        <v>0</v>
      </c>
      <c r="IS474" s="39">
        <v>0</v>
      </c>
      <c r="IT474" s="39">
        <v>0</v>
      </c>
      <c r="IU474" s="39">
        <v>0</v>
      </c>
      <c r="IV474" s="39">
        <v>0</v>
      </c>
      <c r="IW474" s="39">
        <v>0</v>
      </c>
      <c r="IX474" s="39">
        <f>INDEX(Input!$1:$1048576,IX$93,$C474*2+6)+INDEX(Input!$1:$1048576,IX$94,$C474*2+6)</f>
        <v>1770</v>
      </c>
      <c r="IY474" s="39">
        <f>INDEX(Input!$1:$1048576,IY$93,$C474*2+6)+INDEX(Input!$1:$1048576,IY$94,$C474*2+6)</f>
        <v>2630.0624533823611</v>
      </c>
      <c r="IZ474" s="39">
        <f>INDEX(Input!$1:$1048576,IZ$93,$C474*2+6)+INDEX(Input!$1:$1048576,IZ$94,$C474*2+6)</f>
        <v>4153.7164157747848</v>
      </c>
      <c r="JA474" s="19">
        <f t="shared" si="1286"/>
        <v>3050</v>
      </c>
      <c r="JB474" s="19">
        <f t="shared" si="1287"/>
        <v>4526.5234929473199</v>
      </c>
      <c r="JC474" s="19">
        <f t="shared" si="1288"/>
        <v>4418.7164157747848</v>
      </c>
      <c r="JD474" s="19">
        <f t="shared" si="1289"/>
        <v>3905.0896523559541</v>
      </c>
      <c r="JE474" s="21"/>
      <c r="JF474" s="1">
        <f t="shared" si="1272"/>
        <v>3.2545831732385969E-2</v>
      </c>
      <c r="JG474" s="15">
        <f>INDEX(Input!$1:$1048576,JG$93,$C474*2+6)/(1+VLOOKUP(C474*1000+INDEX(Input!$1:$1048576,JG$93+1,$C474*2+6),$A:$KK,$JK$92,FALSE))</f>
        <v>2329</v>
      </c>
      <c r="JH474" s="1">
        <f t="shared" si="1290"/>
        <v>0.15135109917703263</v>
      </c>
      <c r="JI474" s="1">
        <f t="shared" si="1291"/>
        <v>6.7045551404258635E-2</v>
      </c>
      <c r="JJ474" s="1">
        <f t="shared" si="1249"/>
        <v>0</v>
      </c>
      <c r="JK474" s="1">
        <f t="shared" si="1250"/>
        <v>0.21839665058129126</v>
      </c>
      <c r="JL474" s="15">
        <f t="shared" si="1292"/>
        <v>508.64579920382732</v>
      </c>
      <c r="JM474" s="15">
        <f t="shared" si="1311"/>
        <v>2837.6457992038272</v>
      </c>
      <c r="JN474" s="21"/>
      <c r="JO474" s="19">
        <f>INDEX(Input!$1:$1048576,JO$93,$C474*2+6)</f>
        <v>5995.5</v>
      </c>
      <c r="JP474" s="19">
        <f>INDEX(Input!$1:$1048576,JP$93,$C474*2+6)</f>
        <v>2341.8685758720158</v>
      </c>
      <c r="JQ474" s="39">
        <f t="shared" si="1300"/>
        <v>2090.4103476440459</v>
      </c>
      <c r="JR474" s="39">
        <f t="shared" si="1314"/>
        <v>1563.2210764839383</v>
      </c>
      <c r="JS474" s="39">
        <f t="shared" si="1301"/>
        <v>11.081261247522207</v>
      </c>
      <c r="JT474" s="39">
        <f t="shared" si="1293"/>
        <v>5.6270493343162826</v>
      </c>
      <c r="JU474" s="385">
        <f>(JQ474*JM474-INDEX(Input!$1:$1048576,Input!A$18,$C474*2+6)*JL474*INDEX(Input!$1:$1048576,Input!A$19,$C474*2+6))/1000000</f>
        <v>5.9318441416043388</v>
      </c>
      <c r="JV474" s="39">
        <f t="shared" si="1190"/>
        <v>-2.5774634451897356</v>
      </c>
      <c r="JW474" s="1">
        <f t="shared" si="1312"/>
        <v>-0.30289931570810785</v>
      </c>
      <c r="JX474" s="19">
        <f t="shared" si="1305"/>
        <v>11062.805085826298</v>
      </c>
      <c r="JZ474" s="341"/>
      <c r="KA474" s="342"/>
      <c r="KB474" s="469">
        <f t="shared" si="1302"/>
        <v>2.3434325605641804</v>
      </c>
      <c r="KI474" s="473">
        <f t="shared" si="1251"/>
        <v>194.29323498731787</v>
      </c>
      <c r="KJ474" s="473">
        <f t="shared" si="1252"/>
        <v>338.41477393175569</v>
      </c>
      <c r="KK474" s="473">
        <f t="shared" si="1294"/>
        <v>-24.06220971524624</v>
      </c>
      <c r="KN474" s="544">
        <f t="shared" si="1306"/>
        <v>4002</v>
      </c>
      <c r="KO474" s="541">
        <f t="shared" si="1273"/>
        <v>0.17325393920170185</v>
      </c>
      <c r="KP474" s="546">
        <f t="shared" si="1274"/>
        <v>1303.8523448660833</v>
      </c>
      <c r="KQ474" s="546">
        <f t="shared" si="1275"/>
        <v>1280.3184643199329</v>
      </c>
      <c r="KR474" s="548">
        <f t="shared" si="1276"/>
        <v>2.3068011028691742</v>
      </c>
      <c r="KS474" s="548">
        <f t="shared" si="1277"/>
        <v>2.3492030388808423</v>
      </c>
      <c r="KT474" s="473">
        <f t="shared" si="1303"/>
        <v>1580.0986321700548</v>
      </c>
      <c r="KU474" s="663">
        <f t="shared" si="1295"/>
        <v>4.0730629315089235</v>
      </c>
    </row>
    <row r="475" spans="1:307" s="26" customFormat="1" ht="15" outlineLevel="1">
      <c r="A475" s="561">
        <f t="shared" si="1278"/>
        <v>4075</v>
      </c>
      <c r="B475" s="561">
        <f t="shared" si="1296"/>
        <v>75</v>
      </c>
      <c r="C475" s="561">
        <f t="shared" si="1297"/>
        <v>4</v>
      </c>
      <c r="D475" s="561" t="str">
        <f t="shared" si="1206"/>
        <v xml:space="preserve">-500 OLP/CBP, </v>
      </c>
      <c r="E475" s="475">
        <f>INDEX(Input!$1:$1048576,E$93,$C475*2+MIN($B475,2)+5)
+INDEX(Scenarios!E$121:E$200,MATCH($B475,Scenarios!$B$121:$B$200,0))</f>
        <v>1256.832975525977</v>
      </c>
      <c r="F475" s="475">
        <f>INDEX(Input!$1:$1048576,F$93,$C475*2+MIN($B475,2)+5)
+INDEX(Scenarios!F$121:F$200,MATCH($B475,Scenarios!$B$121:$B$200,0))</f>
        <v>0</v>
      </c>
      <c r="G475" s="475">
        <f>INDEX(Input!$1:$1048576,G$93,$C475*2+MIN($B475,2)+5)
+INDEX(Scenarios!G$121:G$200,MATCH($B475,Scenarios!$B$121:$B$200,0))</f>
        <v>0</v>
      </c>
      <c r="H475" s="475">
        <f>INDEX(Input!$1:$1048576,H$93,$C475*2+MIN($B475,2)+5)
+INDEX(Scenarios!H$121:H$200,MATCH($B475,Scenarios!$B$121:$B$200,0))</f>
        <v>0</v>
      </c>
      <c r="I475" s="476">
        <f>INDEX(Input!$1:$1048576,I$93,$C475*2+MIN($B475,2)+5)</f>
        <v>0.7</v>
      </c>
      <c r="J475" s="476" t="str">
        <f>INDEX(Input!$1:$1048576,J$93,$C475*2+MIN($B475,2)+5)</f>
        <v>Market</v>
      </c>
      <c r="K475" s="476" t="str">
        <f>INDEX(Input!$1:$1048576,K$93,$C475*2+MIN($B475,2)+5)</f>
        <v>Market</v>
      </c>
      <c r="L475" s="476" t="str">
        <f>INDEX(Input!$1:$1048576,L$93,$C475*2+MIN($B475,2)+5)</f>
        <v>Market</v>
      </c>
      <c r="M475" s="476" t="str">
        <f>INDEX(Input!$1:$1048576,M$93,$C475*2+MIN($B475,2)+5)</f>
        <v>Market</v>
      </c>
      <c r="N475" s="476" t="str">
        <f>INDEX(Input!$1:$1048576,N$93,$C475*2+MIN($B475,2)+5)</f>
        <v>Market</v>
      </c>
      <c r="O475" s="476" t="str">
        <f>INDEX(Input!$1:$1048576,O$93,$C475*2+MIN($B475,2)+5)</f>
        <v>Market</v>
      </c>
      <c r="P475" s="476" t="str">
        <f>INDEX(Input!$1:$1048576,P$93,$C475*2+MIN($B475,2)+5)</f>
        <v>N</v>
      </c>
      <c r="Q475" s="477">
        <f>INDEX(Input!$1:$1048576,Q$93,$C475*2+MIN($B475,2)+5)
+INDEX(Scenarios!Q$121:Q$200,MATCH($B475,Scenarios!$B$121:$B$200,0))</f>
        <v>0</v>
      </c>
      <c r="R475" s="478">
        <f>IFERROR(MAX(0,INDEX(Input!$1:$1048576,R$93,$C475*2+MIN($B475,2)+5)
+INDEX(Scenarios!R$121:R$200,MATCH($B475,Scenarios!$B$121:$B$200,0)),),"Market")</f>
        <v>0</v>
      </c>
      <c r="S475" s="478">
        <f>IFERROR(MAX(0,INDEX(Input!$1:$1048576,S$93,$C475*2+MIN($B475,2)+5)
+INDEX(Scenarios!S$121:S$200,MATCH($B475,Scenarios!$B$121:$B$200,0)),),"Market")</f>
        <v>0</v>
      </c>
      <c r="T475" s="478">
        <f>IFERROR(MAX(0,INDEX(Input!$1:$1048576,T$93,$C475*2+MIN($B475,2)+5)
+INDEX(Scenarios!T$121:T$200,MATCH($B475,Scenarios!$B$121:$B$200,0)),),"Market")</f>
        <v>0</v>
      </c>
      <c r="U475" s="478">
        <f>IFERROR(MAX(0,INDEX(Input!$1:$1048576,U$93,$C475*2+MIN($B475,2)+5)
+INDEX(Scenarios!U$121:U$200,MATCH($B475,Scenarios!$B$121:$B$200,0)),),"Market")</f>
        <v>0</v>
      </c>
      <c r="V475" s="478">
        <f>IFERROR(MAX(0,INDEX(Input!$1:$1048576,V$93,$C475*2+MIN($B475,2)+5)
+INDEX(Scenarios!V$121:V$200,MATCH($B475,Scenarios!$B$121:$B$200,0)),),"Market")</f>
        <v>1.9E-2</v>
      </c>
      <c r="W475" s="885">
        <f>IFERROR(MAX(0,INDEX(Input!$1:$1048576,W$93,$C475*2+MIN($B475,2)+5)-0%,),"Market")</f>
        <v>3.9E-2</v>
      </c>
      <c r="X475" s="476" t="str">
        <f>INDEX(Input!$1:$1048576,X$93,$C475*2+MIN($B475,2)+5)</f>
        <v>Y</v>
      </c>
      <c r="Y475" s="475">
        <f>INDEX(Input!$1:$1048576,Y$93,$C475*2+MIN($B475,2)+5)
++INDEX(Scenarios!Y$121:Y$200,MATCH($B475,Scenarios!$B$121:$B$200,0))</f>
        <v>-870</v>
      </c>
      <c r="Z475" s="477">
        <f>INDEX(Input!$1:$1048576,Z$93,$C475*2+MIN($B475,2)+5)
+INDEX(Scenarios!Z$121:Z$200,MATCH($B475,Scenarios!$B$121:$B$200,0))</f>
        <v>0</v>
      </c>
      <c r="AA475" s="475">
        <f>INDEX(Input!$1:$1048576,AA$93,$C475*2+MIN($B475,2)+5)
+INDEX(Scenarios!AA$121:AA$200,MATCH($B475,Scenarios!$B$121:$B$200,0))</f>
        <v>0</v>
      </c>
      <c r="AB475" s="476">
        <f>INDEX(Input!$1:$1048576,AB$93,$C475*2+MIN($B475,2)+5)</f>
        <v>0.27</v>
      </c>
      <c r="AC475" s="475">
        <f>INDEX(Input!$1:$1048576,AC$93,$C475*2+MIN($B475,2)+5)
+INDEX(Scenarios!AC$121:AC$200,MATCH($B475,Scenarios!$B$121:$B$200,0))</f>
        <v>0</v>
      </c>
      <c r="AD475" s="476">
        <f>INDEX(Input!$1:$1048576,AD$93,$C475*2+MIN($B475,2)+5)</f>
        <v>0.27</v>
      </c>
      <c r="AE475" s="475">
        <f>INDEX(Input!$1:$1048576,AE$93,$C475*2+MIN($B475,2)+5)
+INDEX(Scenarios!AE$121:AE$200,MATCH($B475,Scenarios!$B$121:$B$200,0))</f>
        <v>-500</v>
      </c>
      <c r="AF475" s="476">
        <f>INDEX(Input!$1:$1048576,AF$93,$C475*2+MIN($B475,2)+5)</f>
        <v>1</v>
      </c>
      <c r="AG475" s="475">
        <f>INDEX(Input!$1:$1048576,AG$93,$C475*2+MIN($B475,2)+5)
+INDEX(Scenarios!AG$121:AG$200,MATCH($B475,Scenarios!$B$121:$B$200,0))</f>
        <v>500</v>
      </c>
      <c r="AH475" s="476">
        <f>INDEX(Input!$1:$1048576,AH$93,$C475*2+MIN($B475,2)+5)</f>
        <v>0.83199999999999996</v>
      </c>
      <c r="AI475" s="475">
        <f>INDEX(Input!$1:$1048576,AI$93,$C475*2+MIN($B475,2)+5)
+INDEX(Scenarios!AI$121:AI$200,MATCH($B475,Scenarios!$B$121:$B$200,0))</f>
        <v>0</v>
      </c>
      <c r="AJ475" s="476">
        <f>INDEX(Input!$1:$1048576,AJ$93,$C475*2+MIN($B475,2)+5)</f>
        <v>0.27</v>
      </c>
      <c r="AK475" s="150">
        <f>ROUND(INDEX(Input!$1:$1048576,AK$93,$C474*2+MIN($B475,1)+5)+(Y475-VLOOKUP($C475*1000+1,$A:$HH,Y$92,FALSE)),0)</f>
        <v>2587</v>
      </c>
      <c r="AL475" s="150">
        <f>ROUND(INDEX(Input!$1:$1048576,AL$93,$C474*2+MIN($B475,1)+5)-(Y475-VLOOKUP($C475*1000+1,$A:$HH,Y$92,FALSE))/36,0)</f>
        <v>3406</v>
      </c>
      <c r="AM475" s="32" t="str">
        <f t="shared" si="1279"/>
        <v>std/std/std/std</v>
      </c>
      <c r="AN475" s="32" t="str">
        <f t="shared" si="1280"/>
        <v>$0 + 0/0/0/1.9/3.9</v>
      </c>
      <c r="AO475" s="32" t="str">
        <f t="shared" si="1281"/>
        <v>0/0/0/1.9/3.9</v>
      </c>
      <c r="AP475" s="32" t="str">
        <f t="shared" si="1213"/>
        <v>0/0.9/1.9/3.9</v>
      </c>
      <c r="AQ475" s="536">
        <f t="shared" si="1207"/>
        <v>-499.57120766319576</v>
      </c>
      <c r="AR475" s="32"/>
      <c r="AS475" s="302"/>
      <c r="AT475" s="3">
        <f t="shared" si="1298"/>
        <v>75</v>
      </c>
      <c r="AU475" s="41" t="s">
        <v>121</v>
      </c>
      <c r="AV475" s="41" t="s">
        <v>116</v>
      </c>
      <c r="AW475" s="41" t="str">
        <f>INDEX(Input!$1:$1048576,AW$93,$C475*2+6)</f>
        <v>Kia</v>
      </c>
      <c r="AX475" s="41" t="str">
        <f>INDEX(Input!$1:$1048576,AX$93,$C475*2+6)</f>
        <v>Kia-LR - R1</v>
      </c>
      <c r="AY475" s="41" t="str">
        <f>IF(LEN(D475)=0,"",INDEX(Input!$1:$1048576,AY$93,$C475*2+6))</f>
        <v>Compact SUV (52)</v>
      </c>
      <c r="AZ475" s="41" t="str">
        <f>INDEX(Input!$1:$1048576,AZ$93,$C475*2+6)</f>
        <v>Kia Soul</v>
      </c>
      <c r="BA475" s="3">
        <f>INDEX(Input!$1:$1048576,BA$93,$C475*2+6)</f>
        <v>2020</v>
      </c>
      <c r="BB475" s="128">
        <f>INDEX(Input!$1:$1048576,BB$93,$C475*2+6)</f>
        <v>1</v>
      </c>
      <c r="BC475" s="128">
        <f>INDEX(Input!$1:$1048576,BC$93,$C475*2+6)</f>
        <v>0.7</v>
      </c>
      <c r="BD475" s="1">
        <f>INDEX(Input!$1:$1048576,BD$93,$C475*2+6)</f>
        <v>4.4999999999999998E-2</v>
      </c>
      <c r="BE475" s="1">
        <f>INDEX(Input!$1:$1048576,BE$93,$C475*2+6)</f>
        <v>4.4999999999999998E-2</v>
      </c>
      <c r="BF475" s="1">
        <f>INDEX(Input!$1:$1048576,BF$93,$C475*2+6)</f>
        <v>0.05</v>
      </c>
      <c r="BG475" s="1">
        <f>INDEX(Input!$1:$1048576,BG$93,$C475*2+6)</f>
        <v>5.45E-2</v>
      </c>
      <c r="BH475" s="1">
        <f>INDEX(Input!$1:$1048576,BH$93,$C475*2+6)</f>
        <v>5.45E-2</v>
      </c>
      <c r="BI475" s="1">
        <f>INDEX(Input!$1:$1048576,BI$93,$C475*2+6)</f>
        <v>0.05</v>
      </c>
      <c r="BJ475" s="1">
        <f>INDEX(Input!$1:$1048576,BJ$93,$C475*2+6)</f>
        <v>0.05</v>
      </c>
      <c r="BK475" s="1">
        <f>INDEX(Input!$1:$1048576,BK$93,$C475*2+6)</f>
        <v>0.05</v>
      </c>
      <c r="BL475" s="1">
        <f>INDEX(Input!$1:$1048576,BL$93,$C475*2+6)</f>
        <v>5.5E-2</v>
      </c>
      <c r="BM475" s="1">
        <f>INDEX(Input!$1:$1048576,BM$93,$C475*2+6)</f>
        <v>0.06</v>
      </c>
      <c r="BN475" s="1">
        <f>INDEX(Input!$1:$1048576,BN$93,$C475*2+6)</f>
        <v>4.4999999999999998E-2</v>
      </c>
      <c r="BO475" s="1">
        <f>INDEX(Input!$1:$1048576,BO$93,$C475*2+6)</f>
        <v>4.4999999999999998E-2</v>
      </c>
      <c r="BP475" s="1">
        <f>INDEX(Input!$1:$1048576,BP$93,$C475*2+6)</f>
        <v>0.05</v>
      </c>
      <c r="BQ475" s="1">
        <f>INDEX(Input!$1:$1048576,BQ$93,$C475*2+6)</f>
        <v>5.45E-2</v>
      </c>
      <c r="BR475" s="1">
        <f>INDEX(Input!$1:$1048576,BR$93,$C475*2+6)</f>
        <v>5.45E-2</v>
      </c>
      <c r="BS475" s="1">
        <f>INDEX(Input!$1:$1048576,BS$93,$C475*2+6)</f>
        <v>0.05</v>
      </c>
      <c r="BT475" s="1">
        <f>INDEX(Input!$1:$1048576,BT$93,$C475*2+6)</f>
        <v>0.05</v>
      </c>
      <c r="BU475" s="1">
        <f>INDEX(Input!$1:$1048576,BU$93,$C475*2+6)</f>
        <v>0.05</v>
      </c>
      <c r="BV475" s="1">
        <f>INDEX(Input!$1:$1048576,BV$93,$C475*2+6)</f>
        <v>5.5E-2</v>
      </c>
      <c r="BW475" s="1">
        <f>INDEX(Input!$1:$1048576,BW$93,$C475*2+6)</f>
        <v>0.06</v>
      </c>
      <c r="BX475" s="127">
        <f>INDEX(Input!$1:$1048576,BX$93,$C475*2+6)</f>
        <v>19985</v>
      </c>
      <c r="BY475" s="20">
        <f>INDEX(Input!$1:$1048576,BY$93,$C475*2+6)</f>
        <v>0.1</v>
      </c>
      <c r="BZ475" s="20">
        <f>INDEX(Input!$1:$1048576,BZ$93,$C475*2+6)</f>
        <v>0.1</v>
      </c>
      <c r="CA475" s="20">
        <f>INDEX(Input!$1:$1048576,CA$93,$C475*2+6)</f>
        <v>0.1</v>
      </c>
      <c r="CB475" s="20">
        <f>INDEX(Input!$1:$1048576,CB$93,$C475*2+6)</f>
        <v>0.1</v>
      </c>
      <c r="CC475" s="20">
        <f>INDEX(Input!$1:$1048576,CC$93,$C475*2+6)</f>
        <v>0.1</v>
      </c>
      <c r="CD475" s="384">
        <f>INDEX(Input!$1:$1048576,CD$93,$C475*2+6)</f>
        <v>0.1</v>
      </c>
      <c r="CE475" s="384">
        <f>INDEX(Input!$1:$1048576,CE$93,$C475*2+6)</f>
        <v>0.1</v>
      </c>
      <c r="CF475" s="384">
        <f>INDEX(Input!$1:$1048576,CF$93,$C475*2+6)</f>
        <v>0.1</v>
      </c>
      <c r="CG475" s="384">
        <f>INDEX(Input!$1:$1048576,CG$93,$C475*2+6)</f>
        <v>0.1</v>
      </c>
      <c r="CH475" s="384">
        <f>INDEX(Input!$1:$1048576,CH$93,$C475*2+6)</f>
        <v>0.1</v>
      </c>
      <c r="CI475" s="304">
        <f t="shared" si="1214"/>
        <v>1256.832975525977</v>
      </c>
      <c r="CJ475" s="16" t="str">
        <f>INDEX(Input!$1:$1048576,CJ$93,$C475*2+6)</f>
        <v>N</v>
      </c>
      <c r="CK475" s="1" t="str">
        <f t="shared" si="1215"/>
        <v>Market</v>
      </c>
      <c r="CL475" s="1" t="str">
        <f t="shared" si="1216"/>
        <v>Market</v>
      </c>
      <c r="CM475" s="1" t="str">
        <f t="shared" si="1217"/>
        <v>Market</v>
      </c>
      <c r="CN475" s="1" t="str">
        <f t="shared" si="1218"/>
        <v>Market</v>
      </c>
      <c r="CO475" s="1" t="str">
        <f t="shared" si="1219"/>
        <v>Market</v>
      </c>
      <c r="CP475" s="304">
        <f t="shared" si="1220"/>
        <v>416</v>
      </c>
      <c r="CQ475" s="1">
        <f t="shared" si="1221"/>
        <v>0</v>
      </c>
      <c r="CR475" s="1">
        <f t="shared" si="1222"/>
        <v>0</v>
      </c>
      <c r="CS475" s="1">
        <f t="shared" si="1223"/>
        <v>0</v>
      </c>
      <c r="CT475" s="1">
        <f t="shared" si="1224"/>
        <v>1.9E-2</v>
      </c>
      <c r="CU475" s="1">
        <f t="shared" si="1225"/>
        <v>3.9E-2</v>
      </c>
      <c r="CV475" s="304">
        <f t="shared" si="1226"/>
        <v>-870</v>
      </c>
      <c r="CW475" s="20" t="s">
        <v>122</v>
      </c>
      <c r="CX475" s="20" t="s">
        <v>122</v>
      </c>
      <c r="CY475" s="20" t="s">
        <v>122</v>
      </c>
      <c r="CZ475" s="20" t="s">
        <v>122</v>
      </c>
      <c r="DA475" s="20" t="s">
        <v>122</v>
      </c>
      <c r="DB475" s="503">
        <f t="shared" si="1227"/>
        <v>-500</v>
      </c>
      <c r="DC475" s="127">
        <v>0</v>
      </c>
      <c r="DD475" s="127">
        <v>0</v>
      </c>
      <c r="DE475" s="127">
        <v>0</v>
      </c>
      <c r="DF475" s="127">
        <v>0</v>
      </c>
      <c r="DG475" s="127">
        <v>0</v>
      </c>
      <c r="DH475" s="127">
        <v>0</v>
      </c>
      <c r="DI475" s="127">
        <v>0</v>
      </c>
      <c r="DJ475" s="127">
        <v>0</v>
      </c>
      <c r="DK475" s="127">
        <v>0</v>
      </c>
      <c r="DL475" s="127">
        <v>0</v>
      </c>
      <c r="DM475" s="304">
        <f>INDEX(Input!$1:$1048576,DM$93,$C475*2+6)</f>
        <v>21036.84210526316</v>
      </c>
      <c r="DN475" s="20">
        <v>0</v>
      </c>
      <c r="DO475" s="20">
        <v>0</v>
      </c>
      <c r="DP475" s="20">
        <v>0</v>
      </c>
      <c r="DQ475" s="20">
        <v>0</v>
      </c>
      <c r="DR475" s="20">
        <v>0</v>
      </c>
      <c r="DS475" s="20">
        <f>INDEX(Input!$1:$1048576,DS$93,$C475*2+6)</f>
        <v>0.6</v>
      </c>
      <c r="DT475" s="20">
        <f>INDEX(Input!$1:$1048576,DT$93,$C475*2+6)</f>
        <v>0.55000000000000004</v>
      </c>
      <c r="DU475" s="20">
        <f>INDEX(Input!$1:$1048576,DU$93,$C475*2+6)</f>
        <v>0.52</v>
      </c>
      <c r="DV475" s="20">
        <f>INDEX(Input!$1:$1048576,DV$93,$C475*2+6)</f>
        <v>0.5</v>
      </c>
      <c r="DW475" s="20">
        <f>INDEX(Input!$1:$1048576,DW$93,$C475*2+6)</f>
        <v>0.45</v>
      </c>
      <c r="DX475" s="20"/>
      <c r="DY475" s="7">
        <v>9.8433452683165265E-2</v>
      </c>
      <c r="DZ475" s="7">
        <v>0</v>
      </c>
      <c r="EA475" s="7">
        <v>0.80467505861637589</v>
      </c>
      <c r="EB475" s="7">
        <v>0</v>
      </c>
      <c r="EC475" s="7">
        <v>0</v>
      </c>
      <c r="ED475" s="7">
        <v>0</v>
      </c>
      <c r="EE475" s="7">
        <v>0</v>
      </c>
      <c r="EF475" s="7">
        <v>0</v>
      </c>
      <c r="EG475" s="7">
        <v>0</v>
      </c>
      <c r="EH475" s="7">
        <v>1.2259501520437028E-2</v>
      </c>
      <c r="EI475" s="7">
        <v>3.2021990685308824E-2</v>
      </c>
      <c r="EJ475" s="7">
        <v>0.22479080326962525</v>
      </c>
      <c r="EK475" s="7">
        <v>0.59352815335619191</v>
      </c>
      <c r="EL475" s="7">
        <v>0.1373995511684373</v>
      </c>
      <c r="EM475" s="7">
        <v>4.3415425586959579E-2</v>
      </c>
      <c r="EN475" s="7">
        <v>4.9045425135804788E-2</v>
      </c>
      <c r="EO475" s="7">
        <v>0.69699147104149839</v>
      </c>
      <c r="EP475" s="7">
        <v>0.11034025555480016</v>
      </c>
      <c r="EQ475" s="7">
        <v>9.6907222760074435E-2</v>
      </c>
      <c r="ER475" s="7">
        <v>4.6715625507822579E-2</v>
      </c>
      <c r="ES475" s="7">
        <v>5.3476063113499242E-2</v>
      </c>
      <c r="ET475" s="7">
        <v>9.6891488700458869E-2</v>
      </c>
      <c r="EU475" s="6">
        <v>1270</v>
      </c>
      <c r="EV475" s="6">
        <v>0</v>
      </c>
      <c r="EW475" s="6">
        <v>1270</v>
      </c>
      <c r="EX475" s="6">
        <v>0</v>
      </c>
      <c r="EY475" s="6">
        <v>1983.2232038792272</v>
      </c>
      <c r="EZ475" s="6">
        <v>7</v>
      </c>
      <c r="FA475" s="6">
        <v>0</v>
      </c>
      <c r="FB475" s="6">
        <v>0</v>
      </c>
      <c r="FC475" s="6">
        <v>0</v>
      </c>
      <c r="FD475" s="6">
        <v>0</v>
      </c>
      <c r="FE475" s="6">
        <v>0</v>
      </c>
      <c r="FF475" s="6">
        <v>0</v>
      </c>
      <c r="FG475" s="6">
        <v>0</v>
      </c>
      <c r="FH475" s="6">
        <v>1169.7994792371965</v>
      </c>
      <c r="FI475" s="6">
        <v>1553.9796069512402</v>
      </c>
      <c r="FJ475" s="6">
        <v>2101.2110117447401</v>
      </c>
      <c r="FK475" s="6">
        <v>1772.7139978623236</v>
      </c>
      <c r="FL475" s="6">
        <v>907.07682140966347</v>
      </c>
      <c r="FM475" s="6">
        <v>1713.2232038792272</v>
      </c>
      <c r="FN475" s="6">
        <v>0</v>
      </c>
      <c r="FO475" s="6">
        <v>0</v>
      </c>
      <c r="FP475" s="6">
        <v>0</v>
      </c>
      <c r="FQ475" s="6">
        <v>0</v>
      </c>
      <c r="FR475" s="6">
        <v>0</v>
      </c>
      <c r="FS475" s="6">
        <v>0</v>
      </c>
      <c r="FT475" s="7">
        <v>0.90310851129954117</v>
      </c>
      <c r="FU475" s="7">
        <v>4.3415425586959579E-2</v>
      </c>
      <c r="FV475" s="7">
        <v>5.3476063113499242E-2</v>
      </c>
      <c r="FW475" s="6">
        <v>1269.9999999999998</v>
      </c>
      <c r="FX475" s="6">
        <v>1983.2232038792272</v>
      </c>
      <c r="FY475" s="6">
        <v>7</v>
      </c>
      <c r="FZ475" s="6">
        <v>1949.5716051445115</v>
      </c>
      <c r="GA475" s="6">
        <v>1233.4246212225617</v>
      </c>
      <c r="GB475" s="6">
        <v>18751.575378777437</v>
      </c>
      <c r="GC475" s="7">
        <v>3.3872851927908169E-2</v>
      </c>
      <c r="GD475" s="7">
        <v>3.1737657231897073E-2</v>
      </c>
      <c r="GE475" s="7"/>
      <c r="GF475" s="7"/>
      <c r="GG475" s="7">
        <v>-6.3035574936395847E-2</v>
      </c>
      <c r="GH475" s="42">
        <v>1.7590885577773629</v>
      </c>
      <c r="GI475" s="6">
        <v>12594.421719203445</v>
      </c>
      <c r="GJ475" s="14">
        <v>0.50394797582841733</v>
      </c>
      <c r="GK475" s="14">
        <v>0.50887573065309766</v>
      </c>
      <c r="GL475" s="14">
        <v>0.49605202417158273</v>
      </c>
      <c r="GM475" s="14">
        <v>0.49112426934690229</v>
      </c>
      <c r="GO475" s="5">
        <v>343.14810671672558</v>
      </c>
      <c r="GP475" s="5">
        <v>318.91892952659737</v>
      </c>
      <c r="GQ475" s="5">
        <v>535.04305713031317</v>
      </c>
      <c r="GR475" s="5">
        <v>410.15490233172511</v>
      </c>
      <c r="GS475" s="5">
        <v>339.42744393800166</v>
      </c>
      <c r="GT475" s="5">
        <v>293.4407446948278</v>
      </c>
      <c r="GU475" s="5">
        <v>258.04012322764959</v>
      </c>
      <c r="GV475" s="39" t="s">
        <v>392</v>
      </c>
      <c r="GW475" s="5">
        <v>492.125</v>
      </c>
      <c r="GX475" s="5">
        <v>369.09375</v>
      </c>
      <c r="GY475" s="5">
        <v>295.27499999999998</v>
      </c>
      <c r="GZ475" s="5">
        <v>260.54902799031458</v>
      </c>
      <c r="HA475" s="5">
        <v>241.34874471337255</v>
      </c>
      <c r="HB475" s="39">
        <v>272.03182088621469</v>
      </c>
      <c r="HC475" s="5">
        <v>286.97812499999998</v>
      </c>
      <c r="HD475" s="5">
        <v>239.59636330409353</v>
      </c>
      <c r="HE475" s="5">
        <v>240.76879639001348</v>
      </c>
      <c r="HF475" s="5">
        <v>220.74688048245611</v>
      </c>
      <c r="HG475" s="5">
        <v>210.4972149122807</v>
      </c>
      <c r="HH475" s="39">
        <v>238.86355256689697</v>
      </c>
      <c r="HI475" s="16"/>
      <c r="HJ475" s="19" t="str">
        <f t="shared" si="1315"/>
        <v>On</v>
      </c>
      <c r="HK475" s="1" t="str">
        <f t="shared" si="1315"/>
        <v>On</v>
      </c>
      <c r="HL475" s="16"/>
      <c r="HM475" s="639">
        <f t="shared" si="1255"/>
        <v>2.9403358434788716E-2</v>
      </c>
      <c r="HN475" s="639">
        <f t="shared" si="1256"/>
        <v>1.4106809950923669E-3</v>
      </c>
      <c r="HO475" s="639">
        <f t="shared" si="1257"/>
        <v>1.7317923025048877E-3</v>
      </c>
      <c r="HP475" s="644">
        <f>(FT475*$GD475-HM475)/$JF475*INDEX(Input!$1:$1048576,$JG$93,$C475*2+6)</f>
        <v>-53.012829532895232</v>
      </c>
      <c r="HQ475" s="644">
        <f>(FU475*$GD475-HN475)/$JF475*INDEX(Input!$1:$1048576,$JG$93,$C475*2+6)</f>
        <v>-2.3455496467115577</v>
      </c>
      <c r="HR475" s="644">
        <f>(FV475*$GD475-HO475)/$JF475*INDEX(Input!$1:$1048576,$JG$93,$C475*2+6)</f>
        <v>-2.4750916966543342</v>
      </c>
      <c r="HS475" s="644">
        <f t="shared" si="1246"/>
        <v>28.888388702094851</v>
      </c>
      <c r="HT475" s="644">
        <f t="shared" ref="HT475" si="1316">IF(AND(HJ475="On",HK475="On"),IM475/1000*INDEX(KG:KG,MATCH(C475*1000+4,$KF:$KF,0))*SUM(HY475:IA475)*1.1
+INDEX(HR:HR,MATCH(C475*1000+3,$KF:$KF,0))/INDEX(IL:IL,MATCH(C475*1000+3,$KF:$KF,0))*IL475*20%,0)</f>
        <v>-35.230054199142153</v>
      </c>
      <c r="HU475" s="644">
        <f t="shared" si="1259"/>
        <v>-5.2799137562398029</v>
      </c>
      <c r="HV475" s="648">
        <f t="shared" si="1260"/>
        <v>0</v>
      </c>
      <c r="HW475" s="648">
        <f t="shared" si="1261"/>
        <v>0</v>
      </c>
      <c r="HX475" s="648">
        <f t="shared" si="1262"/>
        <v>0</v>
      </c>
      <c r="HY475" s="644">
        <f>INDEX(Input!$1:$1048576,HY$93,$C475*2+6)*INDEX(Input!$1:$1048576,$JG$93,$C475*2+6)</f>
        <v>993</v>
      </c>
      <c r="HZ475" s="644">
        <f>INDEX(Input!$1:$1048576,HZ$93,$C475*2+6)*INDEX(Input!$1:$1048576,$JG$93,$C475*2+6)</f>
        <v>1216</v>
      </c>
      <c r="IA475" s="644">
        <f>INDEX(Input!$1:$1048576,IA$93,$C475*2+6)*INDEX(Input!$1:$1048576,$JG$93,$C475*2+6)</f>
        <v>120</v>
      </c>
      <c r="IB475" s="644">
        <f t="shared" si="1283"/>
        <v>968.87555916919985</v>
      </c>
      <c r="IC475" s="644">
        <f t="shared" si="1284"/>
        <v>1178.4243961541463</v>
      </c>
      <c r="ID475" s="644">
        <f>IF(AND(INDEX(Input!$1:$1048576,IA$93,$C475*2+7)="TOS",Y475&lt;=INDEX(Y:Y,MATCH(C475*1000+2,A:A))),0,1)*MAX(IA475+HR475+HU475+HX475,0%)</f>
        <v>112.24499454710586</v>
      </c>
      <c r="IE475" s="128">
        <f t="shared" ref="IE475" si="1317">IB475/SUM($IB475:$ID475)</f>
        <v>0.42879233680425299</v>
      </c>
      <c r="IF475" s="128">
        <f t="shared" ref="IF475" si="1318">IC475/SUM($IB475:$ID475)</f>
        <v>0.521531734175817</v>
      </c>
      <c r="IG475" s="128">
        <f t="shared" ref="IG475:IG483" si="1319">ID475/SUM($IB475:$ID475)</f>
        <v>4.9675929019929996E-2</v>
      </c>
      <c r="IH475" s="21"/>
      <c r="II475" s="19">
        <f t="shared" si="1264"/>
        <v>1490</v>
      </c>
      <c r="IJ475" s="19">
        <f t="shared" si="1265"/>
        <v>2203.2561351629856</v>
      </c>
      <c r="IK475" s="19">
        <f t="shared" si="1266"/>
        <v>242</v>
      </c>
      <c r="IL475" s="19">
        <f t="shared" si="1285"/>
        <v>-220.00000000000023</v>
      </c>
      <c r="IM475" s="19">
        <f t="shared" si="1267"/>
        <v>-220.03293128375844</v>
      </c>
      <c r="IN475" s="19">
        <f t="shared" si="1268"/>
        <v>-235</v>
      </c>
      <c r="IO475" s="39">
        <f t="shared" si="1269"/>
        <v>0</v>
      </c>
      <c r="IP475" s="39">
        <f t="shared" si="1270"/>
        <v>0</v>
      </c>
      <c r="IQ475" s="39">
        <f t="shared" si="1271"/>
        <v>0</v>
      </c>
      <c r="IR475" s="39">
        <v>0</v>
      </c>
      <c r="IS475" s="39">
        <v>0</v>
      </c>
      <c r="IT475" s="39">
        <v>0</v>
      </c>
      <c r="IU475" s="39">
        <v>0</v>
      </c>
      <c r="IV475" s="39">
        <v>0</v>
      </c>
      <c r="IW475" s="39">
        <v>0</v>
      </c>
      <c r="IX475" s="39">
        <f>INDEX(Input!$1:$1048576,IX$93,$C475*2+6)+INDEX(Input!$1:$1048576,IX$94,$C475*2+6)</f>
        <v>1770</v>
      </c>
      <c r="IY475" s="39">
        <f>INDEX(Input!$1:$1048576,IY$93,$C475*2+6)+INDEX(Input!$1:$1048576,IY$94,$C475*2+6)</f>
        <v>2630.0624533823611</v>
      </c>
      <c r="IZ475" s="39">
        <f>INDEX(Input!$1:$1048576,IZ$93,$C475*2+6)+INDEX(Input!$1:$1048576,IZ$94,$C475*2+6)</f>
        <v>4153.7164157747848</v>
      </c>
      <c r="JA475" s="19">
        <f t="shared" si="1286"/>
        <v>1549.9999999999998</v>
      </c>
      <c r="JB475" s="19">
        <f t="shared" si="1287"/>
        <v>2410.0295220986027</v>
      </c>
      <c r="JC475" s="19">
        <f t="shared" si="1288"/>
        <v>3918.7164157747848</v>
      </c>
      <c r="JD475" s="19">
        <f t="shared" si="1289"/>
        <v>2116.2008766408544</v>
      </c>
      <c r="JE475" s="21"/>
      <c r="JF475" s="1">
        <f t="shared" si="1272"/>
        <v>3.2545831732385969E-2</v>
      </c>
      <c r="JG475" s="15">
        <f>INDEX(Input!$1:$1048576,JG$93,$C475*2+6)/(1+VLOOKUP(C475*1000+INDEX(Input!$1:$1048576,JG$93+1,$C475*2+6),$A:$KK,$JK$92,FALSE))</f>
        <v>2329</v>
      </c>
      <c r="JH475" s="1">
        <f t="shared" si="1290"/>
        <v>-2.4831889599081634E-2</v>
      </c>
      <c r="JI475" s="1">
        <f t="shared" si="1291"/>
        <v>-4.9899438614371431E-3</v>
      </c>
      <c r="JJ475" s="1">
        <f t="shared" ref="JJ475" si="1320">SUM(HV475:HX475)/SUM(HY475:IA475)</f>
        <v>0</v>
      </c>
      <c r="JK475" s="1">
        <f t="shared" ref="JK475" si="1321">SUM(JH475:JJ475)</f>
        <v>-2.9821833460518778E-2</v>
      </c>
      <c r="JL475" s="15">
        <f t="shared" si="1292"/>
        <v>-69.455050129548241</v>
      </c>
      <c r="JM475" s="15">
        <f t="shared" si="1311"/>
        <v>2259.5449498704515</v>
      </c>
      <c r="JN475" s="21"/>
      <c r="JO475" s="19">
        <f>INDEX(Input!$1:$1048576,JO$93,$C475*2+6)</f>
        <v>5995.5</v>
      </c>
      <c r="JP475" s="19">
        <f>INDEX(Input!$1:$1048576,JP$93,$C475*2+6)</f>
        <v>2341.8685758720158</v>
      </c>
      <c r="JQ475" s="39">
        <f t="shared" si="1300"/>
        <v>3879.2991233591456</v>
      </c>
      <c r="JR475" s="39">
        <f t="shared" si="1314"/>
        <v>-225.66769923116135</v>
      </c>
      <c r="JS475" s="39">
        <f t="shared" si="1301"/>
        <v>4.7816510037252655</v>
      </c>
      <c r="JT475" s="39">
        <f t="shared" si="1293"/>
        <v>-0.67256090948065927</v>
      </c>
      <c r="JU475" s="385">
        <f>(JQ475*JM475-INDEX(Input!$1:$1048576,Input!A$18,$C475*2+6)*JL475*INDEX(Input!$1:$1048576,Input!A$19,$C475*2+6))/1000000</f>
        <v>8.7654507432230258</v>
      </c>
      <c r="JV475" s="39">
        <f t="shared" si="1190"/>
        <v>0.25614315642895136</v>
      </c>
      <c r="JW475" s="1">
        <f t="shared" si="1312"/>
        <v>3.0101527511647352E-2</v>
      </c>
      <c r="JX475" s="19">
        <f t="shared" si="1305"/>
        <v>9683.3982298794981</v>
      </c>
      <c r="JZ475" s="341"/>
      <c r="KA475" s="342"/>
      <c r="KB475" s="469">
        <f t="shared" si="1302"/>
        <v>2.3434325605641804</v>
      </c>
      <c r="KI475" s="473">
        <f t="shared" ref="KI475" si="1322">$JM475*IE475-$JG475*HY475/SUM($HY475:$IA475)</f>
        <v>-24.124440830800381</v>
      </c>
      <c r="KJ475" s="473">
        <f t="shared" ref="KJ475" si="1323">$JM475*IF475-$JG475*HZ475/SUM($HY475:$IA475)</f>
        <v>-37.575603845853948</v>
      </c>
      <c r="KK475" s="473">
        <f t="shared" ref="KK475:KK483" si="1324">$JM475*IG475-$JG475*IA475/SUM($HY475:$IA475)</f>
        <v>-7.7550054528941672</v>
      </c>
      <c r="KN475" s="544">
        <f t="shared" si="1306"/>
        <v>4002</v>
      </c>
      <c r="KO475" s="541">
        <f t="shared" si="1273"/>
        <v>-6.5767822755528726E-2</v>
      </c>
      <c r="KP475" s="546">
        <f t="shared" si="1274"/>
        <v>-500.04167653035489</v>
      </c>
      <c r="KQ475" s="546">
        <f t="shared" si="1275"/>
        <v>-508.57031139516675</v>
      </c>
      <c r="KR475" s="548">
        <f t="shared" si="1276"/>
        <v>2.283298583075926</v>
      </c>
      <c r="KS475" s="548">
        <f t="shared" si="1277"/>
        <v>2.2450080665709904</v>
      </c>
      <c r="KT475" s="473">
        <f t="shared" si="1303"/>
        <v>1580.0986321700548</v>
      </c>
      <c r="KU475" s="663">
        <f t="shared" si="1295"/>
        <v>4.0609368473091294</v>
      </c>
    </row>
    <row r="476" spans="1:307" s="26" customFormat="1" ht="15" outlineLevel="1">
      <c r="A476" s="561">
        <f t="shared" si="1278"/>
        <v>4076</v>
      </c>
      <c r="B476" s="561">
        <f t="shared" si="1296"/>
        <v>76</v>
      </c>
      <c r="C476" s="561">
        <f t="shared" si="1297"/>
        <v>4</v>
      </c>
      <c r="D476" s="561" t="str">
        <f t="shared" si="1206"/>
        <v xml:space="preserve">-1000 Event (RBC), -500 Event (L), </v>
      </c>
      <c r="E476" s="475">
        <f>INDEX(Input!$1:$1048576,E$93,$C476*2+MIN($B476,2)+5)
+INDEX(Scenarios!E$121:E$200,MATCH($B476,Scenarios!$B$121:$B$200,0))</f>
        <v>1256.832975525977</v>
      </c>
      <c r="F476" s="475">
        <f>INDEX(Input!$1:$1048576,F$93,$C476*2+MIN($B476,2)+5)
+INDEX(Scenarios!F$121:F$200,MATCH($B476,Scenarios!$B$121:$B$200,0))</f>
        <v>0</v>
      </c>
      <c r="G476" s="475">
        <f>INDEX(Input!$1:$1048576,G$93,$C476*2+MIN($B476,2)+5)
+INDEX(Scenarios!G$121:G$200,MATCH($B476,Scenarios!$B$121:$B$200,0))</f>
        <v>0</v>
      </c>
      <c r="H476" s="475">
        <f>INDEX(Input!$1:$1048576,H$93,$C476*2+MIN($B476,2)+5)
+INDEX(Scenarios!H$121:H$200,MATCH($B476,Scenarios!$B$121:$B$200,0))</f>
        <v>0</v>
      </c>
      <c r="I476" s="476">
        <f>INDEX(Input!$1:$1048576,I$93,$C476*2+MIN($B476,2)+5)</f>
        <v>0.7</v>
      </c>
      <c r="J476" s="476" t="str">
        <f>INDEX(Input!$1:$1048576,J$93,$C476*2+MIN($B476,2)+5)</f>
        <v>Market</v>
      </c>
      <c r="K476" s="476" t="str">
        <f>INDEX(Input!$1:$1048576,K$93,$C476*2+MIN($B476,2)+5)</f>
        <v>Market</v>
      </c>
      <c r="L476" s="476" t="str">
        <f>INDEX(Input!$1:$1048576,L$93,$C476*2+MIN($B476,2)+5)</f>
        <v>Market</v>
      </c>
      <c r="M476" s="476" t="str">
        <f>INDEX(Input!$1:$1048576,M$93,$C476*2+MIN($B476,2)+5)</f>
        <v>Market</v>
      </c>
      <c r="N476" s="476" t="str">
        <f>INDEX(Input!$1:$1048576,N$93,$C476*2+MIN($B476,2)+5)</f>
        <v>Market</v>
      </c>
      <c r="O476" s="476" t="str">
        <f>INDEX(Input!$1:$1048576,O$93,$C476*2+MIN($B476,2)+5)</f>
        <v>Market</v>
      </c>
      <c r="P476" s="476" t="str">
        <f>INDEX(Input!$1:$1048576,P$93,$C476*2+MIN($B476,2)+5)</f>
        <v>N</v>
      </c>
      <c r="Q476" s="477">
        <f>INDEX(Input!$1:$1048576,Q$93,$C476*2+MIN($B476,2)+5)
+INDEX(Scenarios!Q$121:Q$200,MATCH($B476,Scenarios!$B$121:$B$200,0))</f>
        <v>0</v>
      </c>
      <c r="R476" s="478">
        <f>IFERROR(MAX(0,INDEX(Input!$1:$1048576,R$93,$C476*2+MIN($B476,2)+5)
+INDEX(Scenarios!R$121:R$200,MATCH($B476,Scenarios!$B$121:$B$200,0)),),"Market")</f>
        <v>0</v>
      </c>
      <c r="S476" s="478">
        <f>IFERROR(MAX(0,INDEX(Input!$1:$1048576,S$93,$C476*2+MIN($B476,2)+5)
+INDEX(Scenarios!S$121:S$200,MATCH($B476,Scenarios!$B$121:$B$200,0)),),"Market")</f>
        <v>0</v>
      </c>
      <c r="T476" s="478">
        <f>IFERROR(MAX(0,INDEX(Input!$1:$1048576,T$93,$C476*2+MIN($B476,2)+5)
+INDEX(Scenarios!T$121:T$200,MATCH($B476,Scenarios!$B$121:$B$200,0)),),"Market")</f>
        <v>0</v>
      </c>
      <c r="U476" s="478">
        <f>IFERROR(MAX(0,INDEX(Input!$1:$1048576,U$93,$C476*2+MIN($B476,2)+5)
+INDEX(Scenarios!U$121:U$200,MATCH($B476,Scenarios!$B$121:$B$200,0)),),"Market")</f>
        <v>0</v>
      </c>
      <c r="V476" s="478">
        <f>IFERROR(MAX(0,INDEX(Input!$1:$1048576,V$93,$C476*2+MIN($B476,2)+5)
+INDEX(Scenarios!V$121:V$200,MATCH($B476,Scenarios!$B$121:$B$200,0)),),"Market")</f>
        <v>1.9E-2</v>
      </c>
      <c r="W476" s="885">
        <f>IFERROR(MAX(0,INDEX(Input!$1:$1048576,W$93,$C476*2+MIN($B476,2)+5)-0%,),"Market")</f>
        <v>3.9E-2</v>
      </c>
      <c r="X476" s="476" t="str">
        <f>INDEX(Input!$1:$1048576,X$93,$C476*2+MIN($B476,2)+5)</f>
        <v>Y</v>
      </c>
      <c r="Y476" s="475">
        <f>INDEX(Input!$1:$1048576,Y$93,$C476*2+MIN($B476,2)+5)
++INDEX(Scenarios!Y$121:Y$200,MATCH($B476,Scenarios!$B$121:$B$200,0))</f>
        <v>-870</v>
      </c>
      <c r="Z476" s="477">
        <f>INDEX(Input!$1:$1048576,Z$93,$C476*2+MIN($B476,2)+5)
+INDEX(Scenarios!Z$121:Z$200,MATCH($B476,Scenarios!$B$121:$B$200,0))</f>
        <v>0</v>
      </c>
      <c r="AA476" s="475">
        <f>INDEX(Input!$1:$1048576,AA$93,$C476*2+MIN($B476,2)+5)
+INDEX(Scenarios!AA$121:AA$200,MATCH($B476,Scenarios!$B$121:$B$200,0))</f>
        <v>-1000</v>
      </c>
      <c r="AB476" s="476">
        <f>INDEX(Input!$1:$1048576,AB$93,$C476*2+MIN($B476,2)+5)</f>
        <v>0.27</v>
      </c>
      <c r="AC476" s="475">
        <f>INDEX(Input!$1:$1048576,AC$93,$C476*2+MIN($B476,2)+5)
+INDEX(Scenarios!AC$121:AC$200,MATCH($B476,Scenarios!$B$121:$B$200,0))</f>
        <v>-500</v>
      </c>
      <c r="AD476" s="476">
        <f>INDEX(Input!$1:$1048576,AD$93,$C476*2+MIN($B476,2)+5)</f>
        <v>0.27</v>
      </c>
      <c r="AE476" s="475">
        <f>INDEX(Input!$1:$1048576,AE$93,$C476*2+MIN($B476,2)+5)
+INDEX(Scenarios!AE$121:AE$200,MATCH($B476,Scenarios!$B$121:$B$200,0))</f>
        <v>0</v>
      </c>
      <c r="AF476" s="476">
        <f>INDEX(Input!$1:$1048576,AF$93,$C476*2+MIN($B476,2)+5)</f>
        <v>1</v>
      </c>
      <c r="AG476" s="475">
        <f>INDEX(Input!$1:$1048576,AG$93,$C476*2+MIN($B476,2)+5)
+INDEX(Scenarios!AG$121:AG$200,MATCH($B476,Scenarios!$B$121:$B$200,0))</f>
        <v>500</v>
      </c>
      <c r="AH476" s="476">
        <f>INDEX(Input!$1:$1048576,AH$93,$C476*2+MIN($B476,2)+5)</f>
        <v>0.83199999999999996</v>
      </c>
      <c r="AI476" s="475">
        <f>INDEX(Input!$1:$1048576,AI$93,$C476*2+MIN($B476,2)+5)
+INDEX(Scenarios!AI$121:AI$200,MATCH($B476,Scenarios!$B$121:$B$200,0))</f>
        <v>0</v>
      </c>
      <c r="AJ476" s="476">
        <f>INDEX(Input!$1:$1048576,AJ$93,$C476*2+MIN($B476,2)+5)</f>
        <v>0.27</v>
      </c>
      <c r="AK476" s="150">
        <f>ROUND(INDEX(Input!$1:$1048576,AK$93,$C475*2+MIN($B476,1)+5)+(Y476-VLOOKUP($C476*1000+1,$A:$HH,Y$92,FALSE)),0)</f>
        <v>2587</v>
      </c>
      <c r="AL476" s="150">
        <f>ROUND(INDEX(Input!$1:$1048576,AL$93,$C475*2+MIN($B476,1)+5)-(Y476-VLOOKUP($C476*1000+1,$A:$HH,Y$92,FALSE))/36,0)</f>
        <v>3406</v>
      </c>
      <c r="AM476" s="32" t="str">
        <f t="shared" si="1279"/>
        <v>std/std/std/std</v>
      </c>
      <c r="AN476" s="32" t="str">
        <f t="shared" si="1280"/>
        <v>$0 + 0/0/0/1.9/3.9</v>
      </c>
      <c r="AO476" s="32" t="str">
        <f t="shared" si="1281"/>
        <v>0/0/0/1.9/3.9</v>
      </c>
      <c r="AP476" s="32" t="str">
        <f t="shared" si="1213"/>
        <v>0/0.9/1.9/3.9</v>
      </c>
      <c r="AQ476" s="536">
        <f t="shared" si="1207"/>
        <v>-134.57653777290022</v>
      </c>
      <c r="AR476" s="32"/>
      <c r="AS476" s="302"/>
      <c r="AT476" s="3">
        <f t="shared" si="1298"/>
        <v>76</v>
      </c>
      <c r="AU476" s="41" t="s">
        <v>121</v>
      </c>
      <c r="AV476" s="41" t="s">
        <v>116</v>
      </c>
      <c r="AW476" s="41" t="str">
        <f>INDEX(Input!$1:$1048576,AW$93,$C476*2+6)</f>
        <v>Kia</v>
      </c>
      <c r="AX476" s="41" t="str">
        <f>INDEX(Input!$1:$1048576,AX$93,$C476*2+6)</f>
        <v>Kia-LR - R1</v>
      </c>
      <c r="AY476" s="41" t="str">
        <f>IF(LEN(D476)=0,"",INDEX(Input!$1:$1048576,AY$93,$C476*2+6))</f>
        <v>Compact SUV (52)</v>
      </c>
      <c r="AZ476" s="41" t="str">
        <f>INDEX(Input!$1:$1048576,AZ$93,$C476*2+6)</f>
        <v>Kia Soul</v>
      </c>
      <c r="BA476" s="3">
        <f>INDEX(Input!$1:$1048576,BA$93,$C476*2+6)</f>
        <v>2020</v>
      </c>
      <c r="BB476" s="128">
        <f>INDEX(Input!$1:$1048576,BB$93,$C476*2+6)</f>
        <v>1</v>
      </c>
      <c r="BC476" s="128">
        <f>INDEX(Input!$1:$1048576,BC$93,$C476*2+6)</f>
        <v>0.7</v>
      </c>
      <c r="BD476" s="1">
        <f>INDEX(Input!$1:$1048576,BD$93,$C476*2+6)</f>
        <v>4.4999999999999998E-2</v>
      </c>
      <c r="BE476" s="1">
        <f>INDEX(Input!$1:$1048576,BE$93,$C476*2+6)</f>
        <v>4.4999999999999998E-2</v>
      </c>
      <c r="BF476" s="1">
        <f>INDEX(Input!$1:$1048576,BF$93,$C476*2+6)</f>
        <v>0.05</v>
      </c>
      <c r="BG476" s="1">
        <f>INDEX(Input!$1:$1048576,BG$93,$C476*2+6)</f>
        <v>5.45E-2</v>
      </c>
      <c r="BH476" s="1">
        <f>INDEX(Input!$1:$1048576,BH$93,$C476*2+6)</f>
        <v>5.45E-2</v>
      </c>
      <c r="BI476" s="1">
        <f>INDEX(Input!$1:$1048576,BI$93,$C476*2+6)</f>
        <v>0.05</v>
      </c>
      <c r="BJ476" s="1">
        <f>INDEX(Input!$1:$1048576,BJ$93,$C476*2+6)</f>
        <v>0.05</v>
      </c>
      <c r="BK476" s="1">
        <f>INDEX(Input!$1:$1048576,BK$93,$C476*2+6)</f>
        <v>0.05</v>
      </c>
      <c r="BL476" s="1">
        <f>INDEX(Input!$1:$1048576,BL$93,$C476*2+6)</f>
        <v>5.5E-2</v>
      </c>
      <c r="BM476" s="1">
        <f>INDEX(Input!$1:$1048576,BM$93,$C476*2+6)</f>
        <v>0.06</v>
      </c>
      <c r="BN476" s="1">
        <f>INDEX(Input!$1:$1048576,BN$93,$C476*2+6)</f>
        <v>4.4999999999999998E-2</v>
      </c>
      <c r="BO476" s="1">
        <f>INDEX(Input!$1:$1048576,BO$93,$C476*2+6)</f>
        <v>4.4999999999999998E-2</v>
      </c>
      <c r="BP476" s="1">
        <f>INDEX(Input!$1:$1048576,BP$93,$C476*2+6)</f>
        <v>0.05</v>
      </c>
      <c r="BQ476" s="1">
        <f>INDEX(Input!$1:$1048576,BQ$93,$C476*2+6)</f>
        <v>5.45E-2</v>
      </c>
      <c r="BR476" s="1">
        <f>INDEX(Input!$1:$1048576,BR$93,$C476*2+6)</f>
        <v>5.45E-2</v>
      </c>
      <c r="BS476" s="1">
        <f>INDEX(Input!$1:$1048576,BS$93,$C476*2+6)</f>
        <v>0.05</v>
      </c>
      <c r="BT476" s="1">
        <f>INDEX(Input!$1:$1048576,BT$93,$C476*2+6)</f>
        <v>0.05</v>
      </c>
      <c r="BU476" s="1">
        <f>INDEX(Input!$1:$1048576,BU$93,$C476*2+6)</f>
        <v>0.05</v>
      </c>
      <c r="BV476" s="1">
        <f>INDEX(Input!$1:$1048576,BV$93,$C476*2+6)</f>
        <v>5.5E-2</v>
      </c>
      <c r="BW476" s="1">
        <f>INDEX(Input!$1:$1048576,BW$93,$C476*2+6)</f>
        <v>0.06</v>
      </c>
      <c r="BX476" s="127">
        <f>INDEX(Input!$1:$1048576,BX$93,$C476*2+6)</f>
        <v>19985</v>
      </c>
      <c r="BY476" s="20">
        <f>INDEX(Input!$1:$1048576,BY$93,$C476*2+6)</f>
        <v>0.1</v>
      </c>
      <c r="BZ476" s="20">
        <f>INDEX(Input!$1:$1048576,BZ$93,$C476*2+6)</f>
        <v>0.1</v>
      </c>
      <c r="CA476" s="20">
        <f>INDEX(Input!$1:$1048576,CA$93,$C476*2+6)</f>
        <v>0.1</v>
      </c>
      <c r="CB476" s="20">
        <f>INDEX(Input!$1:$1048576,CB$93,$C476*2+6)</f>
        <v>0.1</v>
      </c>
      <c r="CC476" s="20">
        <f>INDEX(Input!$1:$1048576,CC$93,$C476*2+6)</f>
        <v>0.1</v>
      </c>
      <c r="CD476" s="384">
        <f>INDEX(Input!$1:$1048576,CD$93,$C476*2+6)</f>
        <v>0.1</v>
      </c>
      <c r="CE476" s="384">
        <f>INDEX(Input!$1:$1048576,CE$93,$C476*2+6)</f>
        <v>0.1</v>
      </c>
      <c r="CF476" s="384">
        <f>INDEX(Input!$1:$1048576,CF$93,$C476*2+6)</f>
        <v>0.1</v>
      </c>
      <c r="CG476" s="384">
        <f>INDEX(Input!$1:$1048576,CG$93,$C476*2+6)</f>
        <v>0.1</v>
      </c>
      <c r="CH476" s="384">
        <f>INDEX(Input!$1:$1048576,CH$93,$C476*2+6)</f>
        <v>0.1</v>
      </c>
      <c r="CI476" s="304">
        <f t="shared" si="1214"/>
        <v>986.83297552597696</v>
      </c>
      <c r="CJ476" s="16" t="str">
        <f>INDEX(Input!$1:$1048576,CJ$93,$C476*2+6)</f>
        <v>N</v>
      </c>
      <c r="CK476" s="1" t="str">
        <f t="shared" si="1215"/>
        <v>Market</v>
      </c>
      <c r="CL476" s="1" t="str">
        <f t="shared" si="1216"/>
        <v>Market</v>
      </c>
      <c r="CM476" s="1" t="str">
        <f t="shared" si="1217"/>
        <v>Market</v>
      </c>
      <c r="CN476" s="1" t="str">
        <f t="shared" si="1218"/>
        <v>Market</v>
      </c>
      <c r="CO476" s="1" t="str">
        <f t="shared" si="1219"/>
        <v>Market</v>
      </c>
      <c r="CP476" s="304">
        <f t="shared" si="1220"/>
        <v>416</v>
      </c>
      <c r="CQ476" s="1">
        <f t="shared" si="1221"/>
        <v>0</v>
      </c>
      <c r="CR476" s="1">
        <f t="shared" si="1222"/>
        <v>0</v>
      </c>
      <c r="CS476" s="1">
        <f t="shared" si="1223"/>
        <v>0</v>
      </c>
      <c r="CT476" s="1">
        <f t="shared" si="1224"/>
        <v>1.9E-2</v>
      </c>
      <c r="CU476" s="1">
        <f t="shared" si="1225"/>
        <v>3.9E-2</v>
      </c>
      <c r="CV476" s="304">
        <f t="shared" si="1226"/>
        <v>-1005</v>
      </c>
      <c r="CW476" s="20" t="s">
        <v>122</v>
      </c>
      <c r="CX476" s="20" t="s">
        <v>122</v>
      </c>
      <c r="CY476" s="20" t="s">
        <v>122</v>
      </c>
      <c r="CZ476" s="20" t="s">
        <v>122</v>
      </c>
      <c r="DA476" s="20" t="s">
        <v>122</v>
      </c>
      <c r="DB476" s="503">
        <f t="shared" si="1227"/>
        <v>0</v>
      </c>
      <c r="DC476" s="127">
        <v>0</v>
      </c>
      <c r="DD476" s="127">
        <v>0</v>
      </c>
      <c r="DE476" s="127">
        <v>0</v>
      </c>
      <c r="DF476" s="127">
        <v>0</v>
      </c>
      <c r="DG476" s="127">
        <v>0</v>
      </c>
      <c r="DH476" s="127">
        <v>0</v>
      </c>
      <c r="DI476" s="127">
        <v>0</v>
      </c>
      <c r="DJ476" s="127">
        <v>0</v>
      </c>
      <c r="DK476" s="127">
        <v>0</v>
      </c>
      <c r="DL476" s="127">
        <v>0</v>
      </c>
      <c r="DM476" s="304">
        <f>INDEX(Input!$1:$1048576,DM$93,$C476*2+6)</f>
        <v>21036.84210526316</v>
      </c>
      <c r="DN476" s="20">
        <v>0</v>
      </c>
      <c r="DO476" s="20">
        <v>0</v>
      </c>
      <c r="DP476" s="20">
        <v>0</v>
      </c>
      <c r="DQ476" s="20">
        <v>0</v>
      </c>
      <c r="DR476" s="20">
        <v>0</v>
      </c>
      <c r="DS476" s="20">
        <f>INDEX(Input!$1:$1048576,DS$93,$C476*2+6)</f>
        <v>0.6</v>
      </c>
      <c r="DT476" s="20">
        <f>INDEX(Input!$1:$1048576,DT$93,$C476*2+6)</f>
        <v>0.55000000000000004</v>
      </c>
      <c r="DU476" s="20">
        <f>INDEX(Input!$1:$1048576,DU$93,$C476*2+6)</f>
        <v>0.52</v>
      </c>
      <c r="DV476" s="20">
        <f>INDEX(Input!$1:$1048576,DV$93,$C476*2+6)</f>
        <v>0.5</v>
      </c>
      <c r="DW476" s="20">
        <f>INDEX(Input!$1:$1048576,DW$93,$C476*2+6)</f>
        <v>0.45</v>
      </c>
      <c r="DX476" s="20"/>
      <c r="DY476" s="7">
        <v>0.10011102324513715</v>
      </c>
      <c r="DZ476" s="7">
        <v>0</v>
      </c>
      <c r="EA476" s="7">
        <v>0.80052003581441178</v>
      </c>
      <c r="EB476" s="7">
        <v>0</v>
      </c>
      <c r="EC476" s="7">
        <v>0</v>
      </c>
      <c r="ED476" s="7">
        <v>0</v>
      </c>
      <c r="EE476" s="7">
        <v>0</v>
      </c>
      <c r="EF476" s="7">
        <v>0</v>
      </c>
      <c r="EG476" s="7">
        <v>0</v>
      </c>
      <c r="EH476" s="7">
        <v>1.2257142074439826E-2</v>
      </c>
      <c r="EI476" s="7">
        <v>3.2012129094843356E-2</v>
      </c>
      <c r="EJ476" s="7">
        <v>0.22476379982833364</v>
      </c>
      <c r="EK476" s="7">
        <v>0.59358486418458722</v>
      </c>
      <c r="EL476" s="7">
        <v>0.13738206481779638</v>
      </c>
      <c r="EM476" s="7">
        <v>4.3197001005441965E-2</v>
      </c>
      <c r="EN476" s="7">
        <v>5.0080009144756202E-2</v>
      </c>
      <c r="EO476" s="7">
        <v>0.70842814657900932</v>
      </c>
      <c r="EP476" s="7">
        <v>0.10460908438275419</v>
      </c>
      <c r="EQ476" s="7">
        <v>9.1907535152966402E-2</v>
      </c>
      <c r="ER476" s="7">
        <v>4.4975224740513763E-2</v>
      </c>
      <c r="ES476" s="7">
        <v>5.6171939935009019E-2</v>
      </c>
      <c r="ET476" s="7">
        <v>9.9368940940451081E-2</v>
      </c>
      <c r="EU476" s="6">
        <v>1500</v>
      </c>
      <c r="EV476" s="6">
        <v>0</v>
      </c>
      <c r="EW476" s="6">
        <v>1500</v>
      </c>
      <c r="EX476" s="6">
        <v>0</v>
      </c>
      <c r="EY476" s="6">
        <v>2213.2330290399696</v>
      </c>
      <c r="EZ476" s="6">
        <v>372</v>
      </c>
      <c r="FA476" s="6">
        <v>0</v>
      </c>
      <c r="FB476" s="6">
        <v>0</v>
      </c>
      <c r="FC476" s="6">
        <v>0</v>
      </c>
      <c r="FD476" s="6">
        <v>0</v>
      </c>
      <c r="FE476" s="6">
        <v>0</v>
      </c>
      <c r="FF476" s="6">
        <v>0</v>
      </c>
      <c r="FG476" s="6">
        <v>0</v>
      </c>
      <c r="FH476" s="6">
        <v>1169.7977873374925</v>
      </c>
      <c r="FI476" s="6">
        <v>1553.9796069512395</v>
      </c>
      <c r="FJ476" s="6">
        <v>2101.2110117447396</v>
      </c>
      <c r="FK476" s="6">
        <v>1772.7139978623225</v>
      </c>
      <c r="FL476" s="6">
        <v>907.07682140966347</v>
      </c>
      <c r="FM476" s="6">
        <v>1713.2330290399696</v>
      </c>
      <c r="FN476" s="6">
        <v>0</v>
      </c>
      <c r="FO476" s="6">
        <v>0</v>
      </c>
      <c r="FP476" s="6">
        <v>0</v>
      </c>
      <c r="FQ476" s="6">
        <v>0</v>
      </c>
      <c r="FR476" s="6">
        <v>0</v>
      </c>
      <c r="FS476" s="6">
        <v>0</v>
      </c>
      <c r="FT476" s="7">
        <v>0.90063105905954899</v>
      </c>
      <c r="FU476" s="7">
        <v>4.3197001005441965E-2</v>
      </c>
      <c r="FV476" s="7">
        <v>5.6171939935009019E-2</v>
      </c>
      <c r="FW476" s="6">
        <v>1499.9999999999998</v>
      </c>
      <c r="FX476" s="6">
        <v>2213.2330290399696</v>
      </c>
      <c r="FY476" s="6">
        <v>372</v>
      </c>
      <c r="FZ476" s="6">
        <v>1949.5716051445115</v>
      </c>
      <c r="GA476" s="6">
        <v>1467.4475796258637</v>
      </c>
      <c r="GB476" s="6">
        <v>18517.552420374137</v>
      </c>
      <c r="GC476" s="7">
        <v>3.3872851927908169E-2</v>
      </c>
      <c r="GD476" s="7">
        <v>3.2605540821645899E-2</v>
      </c>
      <c r="GE476" s="7"/>
      <c r="GF476" s="7"/>
      <c r="GG476" s="7">
        <v>-3.7413770442462219E-2</v>
      </c>
      <c r="GH476" s="42">
        <v>1.5508752161609232</v>
      </c>
      <c r="GI476" s="6">
        <v>14353.719661187255</v>
      </c>
      <c r="GJ476" s="14">
        <v>0.50394797582841722</v>
      </c>
      <c r="GK476" s="14">
        <v>0.50887573065309766</v>
      </c>
      <c r="GL476" s="14">
        <v>0.49605202417158278</v>
      </c>
      <c r="GM476" s="14">
        <v>0.4911242693469024</v>
      </c>
      <c r="GO476" s="5">
        <v>343.14810671672558</v>
      </c>
      <c r="GP476" s="5">
        <v>314.53096830318827</v>
      </c>
      <c r="GQ476" s="5">
        <v>535.04305713031317</v>
      </c>
      <c r="GR476" s="5">
        <v>410.15490233172511</v>
      </c>
      <c r="GS476" s="5">
        <v>339.42744393800166</v>
      </c>
      <c r="GT476" s="5">
        <v>293.4407446948278</v>
      </c>
      <c r="GU476" s="5">
        <v>258.04012322764959</v>
      </c>
      <c r="GV476" s="39" t="s">
        <v>392</v>
      </c>
      <c r="GW476" s="5">
        <v>485.73611111111109</v>
      </c>
      <c r="GX476" s="5">
        <v>364.30208333333331</v>
      </c>
      <c r="GY476" s="5">
        <v>291.44166666666666</v>
      </c>
      <c r="GZ476" s="5">
        <v>257.16651584413603</v>
      </c>
      <c r="HA476" s="5">
        <v>238.21549540995059</v>
      </c>
      <c r="HB476" s="39">
        <v>268.49804628524271</v>
      </c>
      <c r="HC476" s="5">
        <v>271.00937499999998</v>
      </c>
      <c r="HD476" s="5">
        <v>228.69705774853799</v>
      </c>
      <c r="HE476" s="5">
        <v>230.64940536437243</v>
      </c>
      <c r="HF476" s="5">
        <v>212.30625548245612</v>
      </c>
      <c r="HG476" s="5">
        <v>203.50138157894736</v>
      </c>
      <c r="HH476" s="39">
        <v>228.38067284624447</v>
      </c>
      <c r="HI476" s="16"/>
      <c r="HJ476" s="19" t="str">
        <f t="shared" ref="HJ476:HK476" si="1325">HJ475</f>
        <v>On</v>
      </c>
      <c r="HK476" s="1" t="str">
        <f t="shared" si="1325"/>
        <v>On</v>
      </c>
      <c r="HL476" s="16"/>
      <c r="HM476" s="639">
        <f t="shared" si="1255"/>
        <v>2.9403358434788716E-2</v>
      </c>
      <c r="HN476" s="639">
        <f t="shared" si="1256"/>
        <v>1.4106809950923669E-3</v>
      </c>
      <c r="HO476" s="639">
        <f t="shared" si="1257"/>
        <v>1.7317923025048877E-3</v>
      </c>
      <c r="HP476" s="644">
        <f>(FT476*$GD476-HM476)/$JF476*INDEX(Input!$1:$1048576,$JG$93,$C476*2+6)</f>
        <v>-2.7046819398193698</v>
      </c>
      <c r="HQ476" s="644">
        <f>(FU476*$GD476-HN476)/$JF476*INDEX(Input!$1:$1048576,$JG$93,$C476*2+6)</f>
        <v>-0.15882275170270657</v>
      </c>
      <c r="HR476" s="644">
        <f>(FV476*$GD476-HO476)/$JF476*INDEX(Input!$1:$1048576,$JG$93,$C476*2+6)</f>
        <v>7.136324327223349</v>
      </c>
      <c r="HS476" s="644">
        <f t="shared" si="1246"/>
        <v>-1.3130973467452451</v>
      </c>
      <c r="HT476" s="644">
        <f t="shared" ref="HT476:HT483" si="1326">IF(AND(HJ476="On",HK476="On"),IM476/1000*INDEX(KG:KG,MATCH(C476*1000+4,$KF:$KF,0))*SUM(HY476:IA476)*1.1
+INDEX(HR:HR,MATCH(C476*1000+3,$KF:$KF,0))/INDEX(IL:IL,MATCH(C476*1000+3,$KF:$KF,0))*IL476*20%,0)</f>
        <v>1.5972155789197979</v>
      </c>
      <c r="HU476" s="644">
        <f t="shared" si="1259"/>
        <v>1.9104484130867727</v>
      </c>
      <c r="HV476" s="648">
        <f t="shared" si="1260"/>
        <v>0</v>
      </c>
      <c r="HW476" s="648">
        <f t="shared" si="1261"/>
        <v>0</v>
      </c>
      <c r="HX476" s="648">
        <f t="shared" si="1262"/>
        <v>0</v>
      </c>
      <c r="HY476" s="644">
        <f>INDEX(Input!$1:$1048576,HY$93,$C476*2+6)*INDEX(Input!$1:$1048576,$JG$93,$C476*2+6)</f>
        <v>993</v>
      </c>
      <c r="HZ476" s="644">
        <f>INDEX(Input!$1:$1048576,HZ$93,$C476*2+6)*INDEX(Input!$1:$1048576,$JG$93,$C476*2+6)</f>
        <v>1216</v>
      </c>
      <c r="IA476" s="644">
        <f>INDEX(Input!$1:$1048576,IA$93,$C476*2+6)*INDEX(Input!$1:$1048576,$JG$93,$C476*2+6)</f>
        <v>120</v>
      </c>
      <c r="IB476" s="644">
        <f t="shared" si="1283"/>
        <v>988.98222071343548</v>
      </c>
      <c r="IC476" s="644">
        <f t="shared" si="1284"/>
        <v>1217.4383928272171</v>
      </c>
      <c r="ID476" s="644">
        <f>IF(AND(INDEX(Input!$1:$1048576,IA$93,$C476*2+7)="TOS",Y476&lt;=INDEX(Y:Y,MATCH(C476*1000+2,A:A))),0,1)*MAX(IA476+HR476+HU476+HX476,0%)</f>
        <v>129.04677274031013</v>
      </c>
      <c r="IE476" s="128">
        <f t="shared" ref="IE476:IE483" si="1327">IB476/SUM($IB476:$ID476)</f>
        <v>0.42346222709977865</v>
      </c>
      <c r="IF476" s="128">
        <f t="shared" ref="IF476:IF483" si="1328">IC476/SUM($IB476:$ID476)</f>
        <v>0.52128254925704032</v>
      </c>
      <c r="IG476" s="128">
        <f t="shared" si="1319"/>
        <v>5.5255223643181063E-2</v>
      </c>
      <c r="IH476" s="21"/>
      <c r="II476" s="19">
        <f t="shared" si="1264"/>
        <v>1490</v>
      </c>
      <c r="IJ476" s="19">
        <f t="shared" si="1265"/>
        <v>2203.2561351629856</v>
      </c>
      <c r="IK476" s="19">
        <f t="shared" si="1266"/>
        <v>242</v>
      </c>
      <c r="IL476" s="19">
        <f t="shared" si="1285"/>
        <v>9.9999999999997726</v>
      </c>
      <c r="IM476" s="19">
        <f t="shared" si="1267"/>
        <v>9.9768938769839224</v>
      </c>
      <c r="IN476" s="19">
        <f t="shared" si="1268"/>
        <v>130</v>
      </c>
      <c r="IO476" s="39">
        <f t="shared" si="1269"/>
        <v>0</v>
      </c>
      <c r="IP476" s="39">
        <f t="shared" si="1270"/>
        <v>0</v>
      </c>
      <c r="IQ476" s="39">
        <f t="shared" si="1271"/>
        <v>0</v>
      </c>
      <c r="IR476" s="39">
        <v>0</v>
      </c>
      <c r="IS476" s="39">
        <v>0</v>
      </c>
      <c r="IT476" s="39">
        <v>0</v>
      </c>
      <c r="IU476" s="39">
        <v>0</v>
      </c>
      <c r="IV476" s="39">
        <v>0</v>
      </c>
      <c r="IW476" s="39">
        <v>0</v>
      </c>
      <c r="IX476" s="39">
        <f>INDEX(Input!$1:$1048576,IX$93,$C476*2+6)+INDEX(Input!$1:$1048576,IX$94,$C476*2+6)</f>
        <v>1770</v>
      </c>
      <c r="IY476" s="39">
        <f>INDEX(Input!$1:$1048576,IY$93,$C476*2+6)+INDEX(Input!$1:$1048576,IY$94,$C476*2+6)</f>
        <v>2630.0624533823611</v>
      </c>
      <c r="IZ476" s="39">
        <f>INDEX(Input!$1:$1048576,IZ$93,$C476*2+6)+INDEX(Input!$1:$1048576,IZ$94,$C476*2+6)</f>
        <v>4153.7164157747848</v>
      </c>
      <c r="JA476" s="19">
        <f t="shared" si="1286"/>
        <v>1779.9999999999998</v>
      </c>
      <c r="JB476" s="19">
        <f t="shared" si="1287"/>
        <v>2640.039347259345</v>
      </c>
      <c r="JC476" s="19">
        <f t="shared" si="1288"/>
        <v>4283.7164157747848</v>
      </c>
      <c r="JD476" s="19">
        <f t="shared" si="1289"/>
        <v>2366.6669138934517</v>
      </c>
      <c r="JE476" s="21"/>
      <c r="JF476" s="1">
        <f t="shared" si="1272"/>
        <v>3.2545831732385969E-2</v>
      </c>
      <c r="JG476" s="15">
        <f>INDEX(Input!$1:$1048576,JG$93,$C476*2+6)/(1+VLOOKUP(C476*1000+INDEX(Input!$1:$1048576,JG$93+1,$C476*2+6),$A:$KK,$JK$92,FALSE))</f>
        <v>2329</v>
      </c>
      <c r="JH476" s="1">
        <f t="shared" si="1290"/>
        <v>1.834615558480581E-3</v>
      </c>
      <c r="JI476" s="1">
        <f t="shared" si="1291"/>
        <v>9.4227850805552826E-4</v>
      </c>
      <c r="JJ476" s="1">
        <f t="shared" ref="JJ476:JJ483" si="1329">SUM(HV476:HX476)/SUM(HY476:IA476)</f>
        <v>0</v>
      </c>
      <c r="JK476" s="1">
        <f t="shared" ref="JK476:JK483" si="1330">SUM(JH476:JJ476)</f>
        <v>2.7768940665361093E-3</v>
      </c>
      <c r="JL476" s="15">
        <f t="shared" si="1292"/>
        <v>6.4673862809625984</v>
      </c>
      <c r="JM476" s="15">
        <f t="shared" si="1311"/>
        <v>2335.4673862809627</v>
      </c>
      <c r="JN476" s="21"/>
      <c r="JO476" s="19">
        <f>INDEX(Input!$1:$1048576,JO$93,$C476*2+6)</f>
        <v>5995.5</v>
      </c>
      <c r="JP476" s="19">
        <f>INDEX(Input!$1:$1048576,JP$93,$C476*2+6)</f>
        <v>2341.8685758720158</v>
      </c>
      <c r="JQ476" s="39">
        <f t="shared" si="1300"/>
        <v>3628.8330861065483</v>
      </c>
      <c r="JR476" s="39">
        <f t="shared" si="1314"/>
        <v>24.798338021435939</v>
      </c>
      <c r="JS476" s="39">
        <f t="shared" si="1301"/>
        <v>5.5272733915883725</v>
      </c>
      <c r="JT476" s="39">
        <f t="shared" si="1293"/>
        <v>7.3061478382447739E-2</v>
      </c>
      <c r="JU476" s="385">
        <f>(JQ476*JM476-INDEX(Input!$1:$1048576,Input!A$18,$C476*2+6)*JL476*INDEX(Input!$1:$1048576,Input!A$19,$C476*2+6))/1000000</f>
        <v>8.4750213228591402</v>
      </c>
      <c r="JV476" s="39">
        <f t="shared" si="1190"/>
        <v>-3.4286263934934169E-2</v>
      </c>
      <c r="JW476" s="1">
        <f t="shared" si="1312"/>
        <v>-4.0292660225544506E-3</v>
      </c>
      <c r="JX476" s="19">
        <f t="shared" si="1305"/>
        <v>11296.909633728164</v>
      </c>
      <c r="JZ476" s="341"/>
      <c r="KA476" s="342"/>
      <c r="KB476" s="469">
        <f t="shared" si="1302"/>
        <v>2.3434325605641804</v>
      </c>
      <c r="KI476" s="473">
        <f t="shared" ref="KI476:KI483" si="1331">$JM476*IE476-$JG476*HY476/SUM($HY476:$IA476)</f>
        <v>-4.0177792865645188</v>
      </c>
      <c r="KJ476" s="473">
        <f t="shared" ref="KJ476:KJ483" si="1332">$JM476*IF476-$JG476*HZ476/SUM($HY476:$IA476)</f>
        <v>1.4383928272170579</v>
      </c>
      <c r="KK476" s="473">
        <f t="shared" si="1324"/>
        <v>9.0467727403101321</v>
      </c>
      <c r="KN476" s="544">
        <f t="shared" si="1306"/>
        <v>4002</v>
      </c>
      <c r="KO476" s="541">
        <f t="shared" si="1273"/>
        <v>-3.4376907928380218E-2</v>
      </c>
      <c r="KP476" s="546">
        <f t="shared" si="1274"/>
        <v>-262.57707974087589</v>
      </c>
      <c r="KQ476" s="546">
        <f t="shared" si="1275"/>
        <v>-258.10427414256947</v>
      </c>
      <c r="KR476" s="548">
        <f t="shared" si="1276"/>
        <v>2.2728220912253354</v>
      </c>
      <c r="KS476" s="548">
        <f t="shared" si="1277"/>
        <v>2.312208852282891</v>
      </c>
      <c r="KT476" s="473">
        <f t="shared" si="1303"/>
        <v>1580.0986321700548</v>
      </c>
      <c r="KU476" s="663">
        <f t="shared" si="1295"/>
        <v>4.0369187498350696</v>
      </c>
    </row>
    <row r="477" spans="1:307" s="26" customFormat="1" ht="15" outlineLevel="1">
      <c r="A477" s="561">
        <f t="shared" si="1278"/>
        <v>4077</v>
      </c>
      <c r="B477" s="561">
        <f t="shared" si="1296"/>
        <v>77</v>
      </c>
      <c r="C477" s="561">
        <f t="shared" si="1297"/>
        <v>4</v>
      </c>
      <c r="D477" s="561" t="str">
        <f t="shared" si="1206"/>
        <v xml:space="preserve">-250 CC, -360 Lease, </v>
      </c>
      <c r="E477" s="475">
        <f>INDEX(Input!$1:$1048576,E$93,$C477*2+MIN($B477,2)+5)
+INDEX(Scenarios!E$121:E$200,MATCH($B477,Scenarios!$B$121:$B$200,0))</f>
        <v>1006.832975525977</v>
      </c>
      <c r="F477" s="475">
        <f>INDEX(Input!$1:$1048576,F$93,$C477*2+MIN($B477,2)+5)
+INDEX(Scenarios!F$121:F$200,MATCH($B477,Scenarios!$B$121:$B$200,0))</f>
        <v>0</v>
      </c>
      <c r="G477" s="475">
        <f>INDEX(Input!$1:$1048576,G$93,$C477*2+MIN($B477,2)+5)
+INDEX(Scenarios!G$121:G$200,MATCH($B477,Scenarios!$B$121:$B$200,0))</f>
        <v>0</v>
      </c>
      <c r="H477" s="475">
        <f>INDEX(Input!$1:$1048576,H$93,$C477*2+MIN($B477,2)+5)
+INDEX(Scenarios!H$121:H$200,MATCH($B477,Scenarios!$B$121:$B$200,0))</f>
        <v>0</v>
      </c>
      <c r="I477" s="476">
        <f>INDEX(Input!$1:$1048576,I$93,$C477*2+MIN($B477,2)+5)</f>
        <v>0.7</v>
      </c>
      <c r="J477" s="476" t="str">
        <f>INDEX(Input!$1:$1048576,J$93,$C477*2+MIN($B477,2)+5)</f>
        <v>Market</v>
      </c>
      <c r="K477" s="476" t="str">
        <f>INDEX(Input!$1:$1048576,K$93,$C477*2+MIN($B477,2)+5)</f>
        <v>Market</v>
      </c>
      <c r="L477" s="476" t="str">
        <f>INDEX(Input!$1:$1048576,L$93,$C477*2+MIN($B477,2)+5)</f>
        <v>Market</v>
      </c>
      <c r="M477" s="476" t="str">
        <f>INDEX(Input!$1:$1048576,M$93,$C477*2+MIN($B477,2)+5)</f>
        <v>Market</v>
      </c>
      <c r="N477" s="476" t="str">
        <f>INDEX(Input!$1:$1048576,N$93,$C477*2+MIN($B477,2)+5)</f>
        <v>Market</v>
      </c>
      <c r="O477" s="476" t="str">
        <f>INDEX(Input!$1:$1048576,O$93,$C477*2+MIN($B477,2)+5)</f>
        <v>Market</v>
      </c>
      <c r="P477" s="476" t="str">
        <f>INDEX(Input!$1:$1048576,P$93,$C477*2+MIN($B477,2)+5)</f>
        <v>N</v>
      </c>
      <c r="Q477" s="477">
        <f>INDEX(Input!$1:$1048576,Q$93,$C477*2+MIN($B477,2)+5)
+INDEX(Scenarios!Q$121:Q$200,MATCH($B477,Scenarios!$B$121:$B$200,0))</f>
        <v>0</v>
      </c>
      <c r="R477" s="478">
        <f>IFERROR(MAX(0,INDEX(Input!$1:$1048576,R$93,$C477*2+MIN($B477,2)+5)
+INDEX(Scenarios!R$121:R$200,MATCH($B477,Scenarios!$B$121:$B$200,0)),),"Market")</f>
        <v>0</v>
      </c>
      <c r="S477" s="478">
        <f>IFERROR(MAX(0,INDEX(Input!$1:$1048576,S$93,$C477*2+MIN($B477,2)+5)
+INDEX(Scenarios!S$121:S$200,MATCH($B477,Scenarios!$B$121:$B$200,0)),),"Market")</f>
        <v>0</v>
      </c>
      <c r="T477" s="478">
        <f>IFERROR(MAX(0,INDEX(Input!$1:$1048576,T$93,$C477*2+MIN($B477,2)+5)
+INDEX(Scenarios!T$121:T$200,MATCH($B477,Scenarios!$B$121:$B$200,0)),),"Market")</f>
        <v>0</v>
      </c>
      <c r="U477" s="478">
        <f>IFERROR(MAX(0,INDEX(Input!$1:$1048576,U$93,$C477*2+MIN($B477,2)+5)
+INDEX(Scenarios!U$121:U$200,MATCH($B477,Scenarios!$B$121:$B$200,0)),),"Market")</f>
        <v>0</v>
      </c>
      <c r="V477" s="478">
        <f>IFERROR(MAX(0,INDEX(Input!$1:$1048576,V$93,$C477*2+MIN($B477,2)+5)
+INDEX(Scenarios!V$121:V$200,MATCH($B477,Scenarios!$B$121:$B$200,0)),),"Market")</f>
        <v>1.9E-2</v>
      </c>
      <c r="W477" s="885">
        <f>IFERROR(MAX(0,INDEX(Input!$1:$1048576,W$93,$C477*2+MIN($B477,2)+5)-0%,),"Market")</f>
        <v>3.9E-2</v>
      </c>
      <c r="X477" s="476" t="str">
        <f>INDEX(Input!$1:$1048576,X$93,$C477*2+MIN($B477,2)+5)</f>
        <v>Y</v>
      </c>
      <c r="Y477" s="475">
        <f>INDEX(Input!$1:$1048576,Y$93,$C477*2+MIN($B477,2)+5)
++INDEX(Scenarios!Y$121:Y$200,MATCH($B477,Scenarios!$B$121:$B$200,0))</f>
        <v>-1230</v>
      </c>
      <c r="Z477" s="477">
        <f>INDEX(Input!$1:$1048576,Z$93,$C477*2+MIN($B477,2)+5)
+INDEX(Scenarios!Z$121:Z$200,MATCH($B477,Scenarios!$B$121:$B$200,0))</f>
        <v>0</v>
      </c>
      <c r="AA477" s="475">
        <f>INDEX(Input!$1:$1048576,AA$93,$C477*2+MIN($B477,2)+5)
+INDEX(Scenarios!AA$121:AA$200,MATCH($B477,Scenarios!$B$121:$B$200,0))</f>
        <v>0</v>
      </c>
      <c r="AB477" s="476">
        <f>INDEX(Input!$1:$1048576,AB$93,$C477*2+MIN($B477,2)+5)</f>
        <v>0.27</v>
      </c>
      <c r="AC477" s="475">
        <f>INDEX(Input!$1:$1048576,AC$93,$C477*2+MIN($B477,2)+5)
+INDEX(Scenarios!AC$121:AC$200,MATCH($B477,Scenarios!$B$121:$B$200,0))</f>
        <v>0</v>
      </c>
      <c r="AD477" s="476">
        <f>INDEX(Input!$1:$1048576,AD$93,$C477*2+MIN($B477,2)+5)</f>
        <v>0.27</v>
      </c>
      <c r="AE477" s="475">
        <f>INDEX(Input!$1:$1048576,AE$93,$C477*2+MIN($B477,2)+5)
+INDEX(Scenarios!AE$121:AE$200,MATCH($B477,Scenarios!$B$121:$B$200,0))</f>
        <v>0</v>
      </c>
      <c r="AF477" s="476">
        <f>INDEX(Input!$1:$1048576,AF$93,$C477*2+MIN($B477,2)+5)</f>
        <v>1</v>
      </c>
      <c r="AG477" s="475">
        <f>INDEX(Input!$1:$1048576,AG$93,$C477*2+MIN($B477,2)+5)
+INDEX(Scenarios!AG$121:AG$200,MATCH($B477,Scenarios!$B$121:$B$200,0))</f>
        <v>500</v>
      </c>
      <c r="AH477" s="476">
        <f>INDEX(Input!$1:$1048576,AH$93,$C477*2+MIN($B477,2)+5)</f>
        <v>0.83199999999999996</v>
      </c>
      <c r="AI477" s="475">
        <f>INDEX(Input!$1:$1048576,AI$93,$C477*2+MIN($B477,2)+5)
+INDEX(Scenarios!AI$121:AI$200,MATCH($B477,Scenarios!$B$121:$B$200,0))</f>
        <v>0</v>
      </c>
      <c r="AJ477" s="476">
        <f>INDEX(Input!$1:$1048576,AJ$93,$C477*2+MIN($B477,2)+5)</f>
        <v>0.27</v>
      </c>
      <c r="AK477" s="150">
        <f>ROUND(INDEX(Input!$1:$1048576,AK$93,$C476*2+MIN($B477,1)+5)+(Y477-VLOOKUP($C477*1000+1,$A:$HH,Y$92,FALSE)),0)</f>
        <v>2227</v>
      </c>
      <c r="AL477" s="150">
        <f>ROUND(INDEX(Input!$1:$1048576,AL$93,$C476*2+MIN($B477,1)+5)-(Y477-VLOOKUP($C477*1000+1,$A:$HH,Y$92,FALSE))/36,0)</f>
        <v>3416</v>
      </c>
      <c r="AM477" s="32" t="str">
        <f t="shared" si="1279"/>
        <v>std/std/std/std</v>
      </c>
      <c r="AN477" s="32" t="str">
        <f t="shared" si="1280"/>
        <v>$0 + 0/0/0/1.9/3.9</v>
      </c>
      <c r="AO477" s="32" t="str">
        <f t="shared" si="1281"/>
        <v>0/0/0/1.9/3.9</v>
      </c>
      <c r="AP477" s="32" t="str">
        <f t="shared" si="1213"/>
        <v>0/0.9/1.9/3.9</v>
      </c>
      <c r="AQ477" s="536">
        <f t="shared" si="1207"/>
        <v>0.41628808287584185</v>
      </c>
      <c r="AR477" s="32"/>
      <c r="AS477" s="302"/>
      <c r="AT477" s="3">
        <f t="shared" si="1298"/>
        <v>77</v>
      </c>
      <c r="AU477" s="41" t="s">
        <v>121</v>
      </c>
      <c r="AV477" s="41" t="s">
        <v>116</v>
      </c>
      <c r="AW477" s="41" t="str">
        <f>INDEX(Input!$1:$1048576,AW$93,$C477*2+6)</f>
        <v>Kia</v>
      </c>
      <c r="AX477" s="41" t="str">
        <f>INDEX(Input!$1:$1048576,AX$93,$C477*2+6)</f>
        <v>Kia-LR - R1</v>
      </c>
      <c r="AY477" s="41" t="str">
        <f>IF(LEN(D477)=0,"",INDEX(Input!$1:$1048576,AY$93,$C477*2+6))</f>
        <v>Compact SUV (52)</v>
      </c>
      <c r="AZ477" s="41" t="str">
        <f>INDEX(Input!$1:$1048576,AZ$93,$C477*2+6)</f>
        <v>Kia Soul</v>
      </c>
      <c r="BA477" s="3">
        <f>INDEX(Input!$1:$1048576,BA$93,$C477*2+6)</f>
        <v>2020</v>
      </c>
      <c r="BB477" s="128">
        <f>INDEX(Input!$1:$1048576,BB$93,$C477*2+6)</f>
        <v>1</v>
      </c>
      <c r="BC477" s="128">
        <f>INDEX(Input!$1:$1048576,BC$93,$C477*2+6)</f>
        <v>0.7</v>
      </c>
      <c r="BD477" s="1">
        <f>INDEX(Input!$1:$1048576,BD$93,$C477*2+6)</f>
        <v>4.4999999999999998E-2</v>
      </c>
      <c r="BE477" s="1">
        <f>INDEX(Input!$1:$1048576,BE$93,$C477*2+6)</f>
        <v>4.4999999999999998E-2</v>
      </c>
      <c r="BF477" s="1">
        <f>INDEX(Input!$1:$1048576,BF$93,$C477*2+6)</f>
        <v>0.05</v>
      </c>
      <c r="BG477" s="1">
        <f>INDEX(Input!$1:$1048576,BG$93,$C477*2+6)</f>
        <v>5.45E-2</v>
      </c>
      <c r="BH477" s="1">
        <f>INDEX(Input!$1:$1048576,BH$93,$C477*2+6)</f>
        <v>5.45E-2</v>
      </c>
      <c r="BI477" s="1">
        <f>INDEX(Input!$1:$1048576,BI$93,$C477*2+6)</f>
        <v>0.05</v>
      </c>
      <c r="BJ477" s="1">
        <f>INDEX(Input!$1:$1048576,BJ$93,$C477*2+6)</f>
        <v>0.05</v>
      </c>
      <c r="BK477" s="1">
        <f>INDEX(Input!$1:$1048576,BK$93,$C477*2+6)</f>
        <v>0.05</v>
      </c>
      <c r="BL477" s="1">
        <f>INDEX(Input!$1:$1048576,BL$93,$C477*2+6)</f>
        <v>5.5E-2</v>
      </c>
      <c r="BM477" s="1">
        <f>INDEX(Input!$1:$1048576,BM$93,$C477*2+6)</f>
        <v>0.06</v>
      </c>
      <c r="BN477" s="1">
        <f>INDEX(Input!$1:$1048576,BN$93,$C477*2+6)</f>
        <v>4.4999999999999998E-2</v>
      </c>
      <c r="BO477" s="1">
        <f>INDEX(Input!$1:$1048576,BO$93,$C477*2+6)</f>
        <v>4.4999999999999998E-2</v>
      </c>
      <c r="BP477" s="1">
        <f>INDEX(Input!$1:$1048576,BP$93,$C477*2+6)</f>
        <v>0.05</v>
      </c>
      <c r="BQ477" s="1">
        <f>INDEX(Input!$1:$1048576,BQ$93,$C477*2+6)</f>
        <v>5.45E-2</v>
      </c>
      <c r="BR477" s="1">
        <f>INDEX(Input!$1:$1048576,BR$93,$C477*2+6)</f>
        <v>5.45E-2</v>
      </c>
      <c r="BS477" s="1">
        <f>INDEX(Input!$1:$1048576,BS$93,$C477*2+6)</f>
        <v>0.05</v>
      </c>
      <c r="BT477" s="1">
        <f>INDEX(Input!$1:$1048576,BT$93,$C477*2+6)</f>
        <v>0.05</v>
      </c>
      <c r="BU477" s="1">
        <f>INDEX(Input!$1:$1048576,BU$93,$C477*2+6)</f>
        <v>0.05</v>
      </c>
      <c r="BV477" s="1">
        <f>INDEX(Input!$1:$1048576,BV$93,$C477*2+6)</f>
        <v>5.5E-2</v>
      </c>
      <c r="BW477" s="1">
        <f>INDEX(Input!$1:$1048576,BW$93,$C477*2+6)</f>
        <v>0.06</v>
      </c>
      <c r="BX477" s="127">
        <f>INDEX(Input!$1:$1048576,BX$93,$C477*2+6)</f>
        <v>19985</v>
      </c>
      <c r="BY477" s="20">
        <f>INDEX(Input!$1:$1048576,BY$93,$C477*2+6)</f>
        <v>0.1</v>
      </c>
      <c r="BZ477" s="20">
        <f>INDEX(Input!$1:$1048576,BZ$93,$C477*2+6)</f>
        <v>0.1</v>
      </c>
      <c r="CA477" s="20">
        <f>INDEX(Input!$1:$1048576,CA$93,$C477*2+6)</f>
        <v>0.1</v>
      </c>
      <c r="CB477" s="20">
        <f>INDEX(Input!$1:$1048576,CB$93,$C477*2+6)</f>
        <v>0.1</v>
      </c>
      <c r="CC477" s="20">
        <f>INDEX(Input!$1:$1048576,CC$93,$C477*2+6)</f>
        <v>0.1</v>
      </c>
      <c r="CD477" s="384">
        <f>INDEX(Input!$1:$1048576,CD$93,$C477*2+6)</f>
        <v>0.1</v>
      </c>
      <c r="CE477" s="384">
        <f>INDEX(Input!$1:$1048576,CE$93,$C477*2+6)</f>
        <v>0.1</v>
      </c>
      <c r="CF477" s="384">
        <f>INDEX(Input!$1:$1048576,CF$93,$C477*2+6)</f>
        <v>0.1</v>
      </c>
      <c r="CG477" s="384">
        <f>INDEX(Input!$1:$1048576,CG$93,$C477*2+6)</f>
        <v>0.1</v>
      </c>
      <c r="CH477" s="384">
        <f>INDEX(Input!$1:$1048576,CH$93,$C477*2+6)</f>
        <v>0.1</v>
      </c>
      <c r="CI477" s="304">
        <f t="shared" si="1214"/>
        <v>1006.832975525977</v>
      </c>
      <c r="CJ477" s="16" t="str">
        <f>INDEX(Input!$1:$1048576,CJ$93,$C477*2+6)</f>
        <v>N</v>
      </c>
      <c r="CK477" s="1" t="str">
        <f t="shared" si="1215"/>
        <v>Market</v>
      </c>
      <c r="CL477" s="1" t="str">
        <f t="shared" si="1216"/>
        <v>Market</v>
      </c>
      <c r="CM477" s="1" t="str">
        <f t="shared" si="1217"/>
        <v>Market</v>
      </c>
      <c r="CN477" s="1" t="str">
        <f t="shared" si="1218"/>
        <v>Market</v>
      </c>
      <c r="CO477" s="1" t="str">
        <f t="shared" si="1219"/>
        <v>Market</v>
      </c>
      <c r="CP477" s="304">
        <f t="shared" si="1220"/>
        <v>416</v>
      </c>
      <c r="CQ477" s="1">
        <f t="shared" si="1221"/>
        <v>0</v>
      </c>
      <c r="CR477" s="1">
        <f t="shared" si="1222"/>
        <v>0</v>
      </c>
      <c r="CS477" s="1">
        <f t="shared" si="1223"/>
        <v>0</v>
      </c>
      <c r="CT477" s="1">
        <f t="shared" si="1224"/>
        <v>1.9E-2</v>
      </c>
      <c r="CU477" s="1">
        <f t="shared" si="1225"/>
        <v>3.9E-2</v>
      </c>
      <c r="CV477" s="304">
        <f t="shared" si="1226"/>
        <v>-1230</v>
      </c>
      <c r="CW477" s="20" t="s">
        <v>122</v>
      </c>
      <c r="CX477" s="20" t="s">
        <v>122</v>
      </c>
      <c r="CY477" s="20" t="s">
        <v>122</v>
      </c>
      <c r="CZ477" s="20" t="s">
        <v>122</v>
      </c>
      <c r="DA477" s="20" t="s">
        <v>122</v>
      </c>
      <c r="DB477" s="503">
        <f t="shared" si="1227"/>
        <v>0</v>
      </c>
      <c r="DC477" s="127">
        <v>0</v>
      </c>
      <c r="DD477" s="127">
        <v>0</v>
      </c>
      <c r="DE477" s="127">
        <v>0</v>
      </c>
      <c r="DF477" s="127">
        <v>0</v>
      </c>
      <c r="DG477" s="127">
        <v>0</v>
      </c>
      <c r="DH477" s="127">
        <v>0</v>
      </c>
      <c r="DI477" s="127">
        <v>0</v>
      </c>
      <c r="DJ477" s="127">
        <v>0</v>
      </c>
      <c r="DK477" s="127">
        <v>0</v>
      </c>
      <c r="DL477" s="127">
        <v>0</v>
      </c>
      <c r="DM477" s="304">
        <f>INDEX(Input!$1:$1048576,DM$93,$C477*2+6)</f>
        <v>21036.84210526316</v>
      </c>
      <c r="DN477" s="20">
        <v>0</v>
      </c>
      <c r="DO477" s="20">
        <v>0</v>
      </c>
      <c r="DP477" s="20">
        <v>0</v>
      </c>
      <c r="DQ477" s="20">
        <v>0</v>
      </c>
      <c r="DR477" s="20">
        <v>0</v>
      </c>
      <c r="DS477" s="20">
        <f>INDEX(Input!$1:$1048576,DS$93,$C477*2+6)</f>
        <v>0.6</v>
      </c>
      <c r="DT477" s="20">
        <f>INDEX(Input!$1:$1048576,DT$93,$C477*2+6)</f>
        <v>0.55000000000000004</v>
      </c>
      <c r="DU477" s="20">
        <f>INDEX(Input!$1:$1048576,DU$93,$C477*2+6)</f>
        <v>0.52</v>
      </c>
      <c r="DV477" s="20">
        <f>INDEX(Input!$1:$1048576,DV$93,$C477*2+6)</f>
        <v>0.5</v>
      </c>
      <c r="DW477" s="20">
        <f>INDEX(Input!$1:$1048576,DW$93,$C477*2+6)</f>
        <v>0.45</v>
      </c>
      <c r="DX477" s="20"/>
      <c r="DY477" s="7">
        <v>0.100404960167572</v>
      </c>
      <c r="DZ477" s="7">
        <v>0</v>
      </c>
      <c r="EA477" s="7">
        <v>0.80032280242530773</v>
      </c>
      <c r="EB477" s="7">
        <v>0</v>
      </c>
      <c r="EC477" s="7">
        <v>0</v>
      </c>
      <c r="ED477" s="7">
        <v>0</v>
      </c>
      <c r="EE477" s="7">
        <v>0</v>
      </c>
      <c r="EF477" s="7">
        <v>0</v>
      </c>
      <c r="EG477" s="7">
        <v>0</v>
      </c>
      <c r="EH477" s="7">
        <v>1.2260986272624019E-2</v>
      </c>
      <c r="EI477" s="7">
        <v>3.2025099619271059E-2</v>
      </c>
      <c r="EJ477" s="7">
        <v>0.22485396899506621</v>
      </c>
      <c r="EK477" s="7">
        <v>0.5935163536075605</v>
      </c>
      <c r="EL477" s="7">
        <v>0.13734359150547787</v>
      </c>
      <c r="EM477" s="7">
        <v>4.9329500925320326E-2</v>
      </c>
      <c r="EN477" s="7">
        <v>4.9424080939175601E-2</v>
      </c>
      <c r="EO477" s="7">
        <v>0.70136635125814406</v>
      </c>
      <c r="EP477" s="7">
        <v>0.10815868282881819</v>
      </c>
      <c r="EQ477" s="7">
        <v>9.4986776576702153E-2</v>
      </c>
      <c r="ER477" s="7">
        <v>4.6064108397159867E-2</v>
      </c>
      <c r="ES477" s="7">
        <v>4.9942736481800101E-2</v>
      </c>
      <c r="ET477" s="7">
        <v>9.9272237407120267E-2</v>
      </c>
      <c r="EU477" s="6">
        <v>1520</v>
      </c>
      <c r="EV477" s="6">
        <v>0</v>
      </c>
      <c r="EW477" s="6">
        <v>1520</v>
      </c>
      <c r="EX477" s="6">
        <v>0</v>
      </c>
      <c r="EY477" s="6">
        <v>2483.2908128890122</v>
      </c>
      <c r="EZ477" s="6">
        <v>147</v>
      </c>
      <c r="FA477" s="6">
        <v>0</v>
      </c>
      <c r="FB477" s="6">
        <v>0</v>
      </c>
      <c r="FC477" s="6">
        <v>0</v>
      </c>
      <c r="FD477" s="6">
        <v>0</v>
      </c>
      <c r="FE477" s="6">
        <v>0</v>
      </c>
      <c r="FF477" s="6">
        <v>0</v>
      </c>
      <c r="FG477" s="6">
        <v>0</v>
      </c>
      <c r="FH477" s="6">
        <v>1169.7989656070158</v>
      </c>
      <c r="FI477" s="6">
        <v>1553.9796069512397</v>
      </c>
      <c r="FJ477" s="6">
        <v>2101.2110117447419</v>
      </c>
      <c r="FK477" s="6">
        <v>1772.7139978623213</v>
      </c>
      <c r="FL477" s="6">
        <v>907.07682140966324</v>
      </c>
      <c r="FM477" s="6">
        <v>1713.2908128890122</v>
      </c>
      <c r="FN477" s="6">
        <v>0</v>
      </c>
      <c r="FO477" s="6">
        <v>0</v>
      </c>
      <c r="FP477" s="6">
        <v>0</v>
      </c>
      <c r="FQ477" s="6">
        <v>0</v>
      </c>
      <c r="FR477" s="6">
        <v>0</v>
      </c>
      <c r="FS477" s="6">
        <v>0</v>
      </c>
      <c r="FT477" s="7">
        <v>0.90072776259287979</v>
      </c>
      <c r="FU477" s="7">
        <v>4.9329500925320326E-2</v>
      </c>
      <c r="FV477" s="7">
        <v>4.9942736481800101E-2</v>
      </c>
      <c r="FW477" s="6">
        <v>1520</v>
      </c>
      <c r="FX477" s="6">
        <v>2483.2908128890122</v>
      </c>
      <c r="FY477" s="6">
        <v>147</v>
      </c>
      <c r="FZ477" s="6">
        <v>1949.5716051445115</v>
      </c>
      <c r="GA477" s="6">
        <v>1498.9472778562499</v>
      </c>
      <c r="GB477" s="6">
        <v>18486.052722143751</v>
      </c>
      <c r="GC477" s="7">
        <v>3.3872851927908169E-2</v>
      </c>
      <c r="GD477" s="7">
        <v>3.2672593719943639E-2</v>
      </c>
      <c r="GE477" s="7"/>
      <c r="GF477" s="7"/>
      <c r="GG477" s="7">
        <v>-3.5434223564022545E-2</v>
      </c>
      <c r="GH477" s="42">
        <v>1.571492959975038</v>
      </c>
      <c r="GI477" s="6">
        <v>14216.153469042392</v>
      </c>
      <c r="GJ477" s="14">
        <v>0.50394797582841744</v>
      </c>
      <c r="GK477" s="14">
        <v>0.50887573065309755</v>
      </c>
      <c r="GL477" s="14">
        <v>0.49605202417158273</v>
      </c>
      <c r="GM477" s="14">
        <v>0.49112426934690273</v>
      </c>
      <c r="GO477" s="5">
        <v>343.14810671672558</v>
      </c>
      <c r="GP477" s="5">
        <v>314.14940645767444</v>
      </c>
      <c r="GQ477" s="5">
        <v>535.04305713031317</v>
      </c>
      <c r="GR477" s="5">
        <v>410.15490233172511</v>
      </c>
      <c r="GS477" s="5">
        <v>339.42744393800166</v>
      </c>
      <c r="GT477" s="5">
        <v>293.4407446948278</v>
      </c>
      <c r="GU477" s="5">
        <v>258.04012322764959</v>
      </c>
      <c r="GV477" s="39" t="s">
        <v>392</v>
      </c>
      <c r="GW477" s="5">
        <v>478.23611111111109</v>
      </c>
      <c r="GX477" s="5">
        <v>358.67708333333331</v>
      </c>
      <c r="GY477" s="5">
        <v>286.94166666666666</v>
      </c>
      <c r="GZ477" s="5">
        <v>253.19574071601335</v>
      </c>
      <c r="HA477" s="5">
        <v>234.53733318419432</v>
      </c>
      <c r="HB477" s="39">
        <v>264.35830079873301</v>
      </c>
      <c r="HC477" s="5">
        <v>280.85312499999998</v>
      </c>
      <c r="HD477" s="5">
        <v>235.41580774853799</v>
      </c>
      <c r="HE477" s="5">
        <v>236.8873861336032</v>
      </c>
      <c r="HF477" s="5">
        <v>217.50938048245612</v>
      </c>
      <c r="HG477" s="5">
        <v>207.81388157894736</v>
      </c>
      <c r="HH477" s="39">
        <v>234.84833744878452</v>
      </c>
      <c r="HI477" s="16"/>
      <c r="HJ477" s="19" t="str">
        <f t="shared" ref="HJ477:HK477" si="1333">HJ476</f>
        <v>On</v>
      </c>
      <c r="HK477" s="1" t="str">
        <f t="shared" si="1333"/>
        <v>On</v>
      </c>
      <c r="HL477" s="16"/>
      <c r="HM477" s="639">
        <f t="shared" si="1255"/>
        <v>2.9403358434788716E-2</v>
      </c>
      <c r="HN477" s="639">
        <f t="shared" si="1256"/>
        <v>1.4106809950923669E-3</v>
      </c>
      <c r="HO477" s="639">
        <f t="shared" si="1257"/>
        <v>1.7317923025048877E-3</v>
      </c>
      <c r="HP477" s="644">
        <f>(FT477*$GD477-HM477)/$JF477*INDEX(Input!$1:$1048576,$JG$93,$C477*2+6)</f>
        <v>1.8429583117820334</v>
      </c>
      <c r="HQ477" s="644">
        <f>(FU477*$GD477-HN477)/$JF477*INDEX(Input!$1:$1048576,$JG$93,$C477*2+6)</f>
        <v>14.386672699759272</v>
      </c>
      <c r="HR477" s="644">
        <f>(FV477*$GD477-HO477)/$JF477*INDEX(Input!$1:$1048576,$JG$93,$C477*2+6)</f>
        <v>-7.1584641890309166</v>
      </c>
      <c r="HS477" s="644">
        <f t="shared" si="1246"/>
        <v>-4.053457941150473</v>
      </c>
      <c r="HT477" s="644">
        <f t="shared" si="1326"/>
        <v>46.984140223200313</v>
      </c>
      <c r="HU477" s="644">
        <f t="shared" si="1259"/>
        <v>-0.94452551757873793</v>
      </c>
      <c r="HV477" s="648">
        <f t="shared" si="1260"/>
        <v>0</v>
      </c>
      <c r="HW477" s="648">
        <f t="shared" si="1261"/>
        <v>0</v>
      </c>
      <c r="HX477" s="648">
        <f t="shared" si="1262"/>
        <v>0</v>
      </c>
      <c r="HY477" s="644">
        <f>INDEX(Input!$1:$1048576,HY$93,$C477*2+6)*INDEX(Input!$1:$1048576,$JG$93,$C477*2+6)</f>
        <v>993</v>
      </c>
      <c r="HZ477" s="644">
        <f>INDEX(Input!$1:$1048576,HZ$93,$C477*2+6)*INDEX(Input!$1:$1048576,$JG$93,$C477*2+6)</f>
        <v>1216</v>
      </c>
      <c r="IA477" s="644">
        <f>INDEX(Input!$1:$1048576,IA$93,$C477*2+6)*INDEX(Input!$1:$1048576,$JG$93,$C477*2+6)</f>
        <v>120</v>
      </c>
      <c r="IB477" s="644">
        <f t="shared" si="1283"/>
        <v>990.78950037063169</v>
      </c>
      <c r="IC477" s="644">
        <f t="shared" si="1284"/>
        <v>1277.3708129229594</v>
      </c>
      <c r="ID477" s="644">
        <f>IF(AND(INDEX(Input!$1:$1048576,IA$93,$C477*2+7)="TOS",Y477&lt;=INDEX(Y:Y,MATCH(C477*1000+2,A:A))),0,1)*MAX(IA477+HR477+HU477+HX477,0%)</f>
        <v>111.89701029339034</v>
      </c>
      <c r="IE477" s="128">
        <f t="shared" si="1327"/>
        <v>0.41628808287584185</v>
      </c>
      <c r="IF477" s="128">
        <f t="shared" si="1328"/>
        <v>0.53669749894840157</v>
      </c>
      <c r="IG477" s="128">
        <f t="shared" si="1319"/>
        <v>4.7014418175756578E-2</v>
      </c>
      <c r="IH477" s="21"/>
      <c r="II477" s="19">
        <f t="shared" si="1264"/>
        <v>1490</v>
      </c>
      <c r="IJ477" s="19">
        <f t="shared" si="1265"/>
        <v>2203.2561351629856</v>
      </c>
      <c r="IK477" s="19">
        <f t="shared" si="1266"/>
        <v>242</v>
      </c>
      <c r="IL477" s="19">
        <f t="shared" si="1285"/>
        <v>30</v>
      </c>
      <c r="IM477" s="19">
        <f t="shared" si="1267"/>
        <v>280.03467772602653</v>
      </c>
      <c r="IN477" s="19">
        <f t="shared" si="1268"/>
        <v>-95</v>
      </c>
      <c r="IO477" s="39">
        <f t="shared" si="1269"/>
        <v>0</v>
      </c>
      <c r="IP477" s="39">
        <f t="shared" si="1270"/>
        <v>0</v>
      </c>
      <c r="IQ477" s="39">
        <f t="shared" si="1271"/>
        <v>0</v>
      </c>
      <c r="IR477" s="39">
        <v>0</v>
      </c>
      <c r="IS477" s="39">
        <v>0</v>
      </c>
      <c r="IT477" s="39">
        <v>0</v>
      </c>
      <c r="IU477" s="39">
        <v>0</v>
      </c>
      <c r="IV477" s="39">
        <v>0</v>
      </c>
      <c r="IW477" s="39">
        <v>0</v>
      </c>
      <c r="IX477" s="39">
        <f>INDEX(Input!$1:$1048576,IX$93,$C477*2+6)+INDEX(Input!$1:$1048576,IX$94,$C477*2+6)</f>
        <v>1770</v>
      </c>
      <c r="IY477" s="39">
        <f>INDEX(Input!$1:$1048576,IY$93,$C477*2+6)+INDEX(Input!$1:$1048576,IY$94,$C477*2+6)</f>
        <v>2630.0624533823611</v>
      </c>
      <c r="IZ477" s="39">
        <f>INDEX(Input!$1:$1048576,IZ$93,$C477*2+6)+INDEX(Input!$1:$1048576,IZ$94,$C477*2+6)</f>
        <v>4153.7164157747848</v>
      </c>
      <c r="JA477" s="19">
        <f t="shared" si="1286"/>
        <v>1800</v>
      </c>
      <c r="JB477" s="19">
        <f t="shared" si="1287"/>
        <v>2910.0971311083877</v>
      </c>
      <c r="JC477" s="19">
        <f t="shared" si="1288"/>
        <v>4058.7164157747848</v>
      </c>
      <c r="JD477" s="19">
        <f t="shared" si="1289"/>
        <v>2501.9785919673491</v>
      </c>
      <c r="JE477" s="21"/>
      <c r="JF477" s="1">
        <f t="shared" si="1272"/>
        <v>3.2545831732385969E-2</v>
      </c>
      <c r="JG477" s="15">
        <f>INDEX(Input!$1:$1048576,JG$93,$C477*2+6)/(1+VLOOKUP(C477*1000+INDEX(Input!$1:$1048576,JG$93+1,$C477*2+6),$A:$KK,$JK$92,FALSE))</f>
        <v>2329</v>
      </c>
      <c r="JH477" s="1">
        <f t="shared" si="1290"/>
        <v>3.8948762655690804E-3</v>
      </c>
      <c r="JI477" s="1">
        <f t="shared" si="1291"/>
        <v>1.8027546914757882E-2</v>
      </c>
      <c r="JJ477" s="1">
        <f t="shared" si="1329"/>
        <v>0</v>
      </c>
      <c r="JK477" s="1">
        <f t="shared" si="1330"/>
        <v>2.1922423180326962E-2</v>
      </c>
      <c r="JL477" s="15">
        <f t="shared" si="1292"/>
        <v>51.057323586981497</v>
      </c>
      <c r="JM477" s="15">
        <f t="shared" si="1311"/>
        <v>2380.0573235869815</v>
      </c>
      <c r="JN477" s="21"/>
      <c r="JO477" s="19">
        <f>INDEX(Input!$1:$1048576,JO$93,$C477*2+6)</f>
        <v>5995.5</v>
      </c>
      <c r="JP477" s="19">
        <f>INDEX(Input!$1:$1048576,JP$93,$C477*2+6)</f>
        <v>2341.8685758720158</v>
      </c>
      <c r="JQ477" s="39">
        <f t="shared" si="1300"/>
        <v>3493.5214080326509</v>
      </c>
      <c r="JR477" s="39">
        <f t="shared" si="1314"/>
        <v>160.11001609533332</v>
      </c>
      <c r="JS477" s="39">
        <f t="shared" si="1301"/>
        <v>5.9548524712697333</v>
      </c>
      <c r="JT477" s="39">
        <f t="shared" si="1293"/>
        <v>0.5006405580638088</v>
      </c>
      <c r="JU477" s="385">
        <f>(JQ477*JM477-INDEX(Input!$1:$1048576,Input!A$18,$C477*2+6)*JL477*INDEX(Input!$1:$1048576,Input!A$19,$C477*2+6))/1000000</f>
        <v>8.3147812122960154</v>
      </c>
      <c r="JV477" s="39">
        <f t="shared" si="1190"/>
        <v>-0.19452637449805898</v>
      </c>
      <c r="JW477" s="1">
        <f t="shared" si="1312"/>
        <v>-2.2860423426220019E-2</v>
      </c>
      <c r="JX477" s="19">
        <f t="shared" si="1305"/>
        <v>9805.4602727249348</v>
      </c>
      <c r="JZ477" s="341"/>
      <c r="KA477" s="342"/>
      <c r="KB477" s="469">
        <f t="shared" si="1302"/>
        <v>2.3434325605641804</v>
      </c>
      <c r="KI477" s="473">
        <f t="shared" si="1331"/>
        <v>-2.2104996293683143</v>
      </c>
      <c r="KJ477" s="473">
        <f t="shared" si="1332"/>
        <v>61.370812922959431</v>
      </c>
      <c r="KK477" s="473">
        <f t="shared" si="1324"/>
        <v>-8.1029897066096623</v>
      </c>
      <c r="KN477" s="544">
        <f t="shared" si="1306"/>
        <v>4002</v>
      </c>
      <c r="KO477" s="541">
        <f t="shared" si="1273"/>
        <v>-1.5940738196512427E-2</v>
      </c>
      <c r="KP477" s="546">
        <f t="shared" si="1274"/>
        <v>-121.00381412942117</v>
      </c>
      <c r="KQ477" s="546">
        <f t="shared" si="1275"/>
        <v>-122.79259606867208</v>
      </c>
      <c r="KR477" s="548">
        <f t="shared" si="1276"/>
        <v>2.2869928895554024</v>
      </c>
      <c r="KS477" s="548">
        <f t="shared" si="1277"/>
        <v>2.2536771058110463</v>
      </c>
      <c r="KT477" s="473">
        <f t="shared" si="1303"/>
        <v>1580.0986321700548</v>
      </c>
      <c r="KU477" s="663">
        <f t="shared" si="1295"/>
        <v>4.0440097750200925</v>
      </c>
    </row>
    <row r="478" spans="1:307" s="26" customFormat="1" ht="15" outlineLevel="1">
      <c r="A478" s="561">
        <f t="shared" si="1278"/>
        <v>4078</v>
      </c>
      <c r="B478" s="561">
        <f t="shared" si="1296"/>
        <v>78</v>
      </c>
      <c r="C478" s="561">
        <f t="shared" si="1297"/>
        <v>4</v>
      </c>
      <c r="D478" s="561" t="str">
        <f t="shared" si="1206"/>
        <v xml:space="preserve">-500 CC, -360 Lease, </v>
      </c>
      <c r="E478" s="475">
        <f>INDEX(Input!$1:$1048576,E$93,$C478*2+MIN($B478,2)+5)
+INDEX(Scenarios!E$121:E$200,MATCH($B478,Scenarios!$B$121:$B$200,0))</f>
        <v>756.83297552597696</v>
      </c>
      <c r="F478" s="475">
        <f>INDEX(Input!$1:$1048576,F$93,$C478*2+MIN($B478,2)+5)
+INDEX(Scenarios!F$121:F$200,MATCH($B478,Scenarios!$B$121:$B$200,0))</f>
        <v>0</v>
      </c>
      <c r="G478" s="475">
        <f>INDEX(Input!$1:$1048576,G$93,$C478*2+MIN($B478,2)+5)
+INDEX(Scenarios!G$121:G$200,MATCH($B478,Scenarios!$B$121:$B$200,0))</f>
        <v>0</v>
      </c>
      <c r="H478" s="475">
        <f>INDEX(Input!$1:$1048576,H$93,$C478*2+MIN($B478,2)+5)
+INDEX(Scenarios!H$121:H$200,MATCH($B478,Scenarios!$B$121:$B$200,0))</f>
        <v>0</v>
      </c>
      <c r="I478" s="476">
        <f>INDEX(Input!$1:$1048576,I$93,$C478*2+MIN($B478,2)+5)</f>
        <v>0.7</v>
      </c>
      <c r="J478" s="476" t="str">
        <f>INDEX(Input!$1:$1048576,J$93,$C478*2+MIN($B478,2)+5)</f>
        <v>Market</v>
      </c>
      <c r="K478" s="476" t="str">
        <f>INDEX(Input!$1:$1048576,K$93,$C478*2+MIN($B478,2)+5)</f>
        <v>Market</v>
      </c>
      <c r="L478" s="476" t="str">
        <f>INDEX(Input!$1:$1048576,L$93,$C478*2+MIN($B478,2)+5)</f>
        <v>Market</v>
      </c>
      <c r="M478" s="476" t="str">
        <f>INDEX(Input!$1:$1048576,M$93,$C478*2+MIN($B478,2)+5)</f>
        <v>Market</v>
      </c>
      <c r="N478" s="476" t="str">
        <f>INDEX(Input!$1:$1048576,N$93,$C478*2+MIN($B478,2)+5)</f>
        <v>Market</v>
      </c>
      <c r="O478" s="476" t="str">
        <f>INDEX(Input!$1:$1048576,O$93,$C478*2+MIN($B478,2)+5)</f>
        <v>Market</v>
      </c>
      <c r="P478" s="476" t="str">
        <f>INDEX(Input!$1:$1048576,P$93,$C478*2+MIN($B478,2)+5)</f>
        <v>N</v>
      </c>
      <c r="Q478" s="477">
        <f>INDEX(Input!$1:$1048576,Q$93,$C478*2+MIN($B478,2)+5)
+INDEX(Scenarios!Q$121:Q$200,MATCH($B478,Scenarios!$B$121:$B$200,0))</f>
        <v>0</v>
      </c>
      <c r="R478" s="478">
        <f>IFERROR(MAX(0,INDEX(Input!$1:$1048576,R$93,$C478*2+MIN($B478,2)+5)
+INDEX(Scenarios!R$121:R$200,MATCH($B478,Scenarios!$B$121:$B$200,0)),),"Market")</f>
        <v>0</v>
      </c>
      <c r="S478" s="478">
        <f>IFERROR(MAX(0,INDEX(Input!$1:$1048576,S$93,$C478*2+MIN($B478,2)+5)
+INDEX(Scenarios!S$121:S$200,MATCH($B478,Scenarios!$B$121:$B$200,0)),),"Market")</f>
        <v>0</v>
      </c>
      <c r="T478" s="478">
        <f>IFERROR(MAX(0,INDEX(Input!$1:$1048576,T$93,$C478*2+MIN($B478,2)+5)
+INDEX(Scenarios!T$121:T$200,MATCH($B478,Scenarios!$B$121:$B$200,0)),),"Market")</f>
        <v>0</v>
      </c>
      <c r="U478" s="478">
        <f>IFERROR(MAX(0,INDEX(Input!$1:$1048576,U$93,$C478*2+MIN($B478,2)+5)
+INDEX(Scenarios!U$121:U$200,MATCH($B478,Scenarios!$B$121:$B$200,0)),),"Market")</f>
        <v>0</v>
      </c>
      <c r="V478" s="478">
        <f>IFERROR(MAX(0,INDEX(Input!$1:$1048576,V$93,$C478*2+MIN($B478,2)+5)
+INDEX(Scenarios!V$121:V$200,MATCH($B478,Scenarios!$B$121:$B$200,0)),),"Market")</f>
        <v>1.9E-2</v>
      </c>
      <c r="W478" s="885">
        <f>IFERROR(MAX(0,INDEX(Input!$1:$1048576,W$93,$C478*2+MIN($B478,2)+5)-0%,),"Market")</f>
        <v>3.9E-2</v>
      </c>
      <c r="X478" s="476" t="str">
        <f>INDEX(Input!$1:$1048576,X$93,$C478*2+MIN($B478,2)+5)</f>
        <v>Y</v>
      </c>
      <c r="Y478" s="475">
        <f>INDEX(Input!$1:$1048576,Y$93,$C478*2+MIN($B478,2)+5)
++INDEX(Scenarios!Y$121:Y$200,MATCH($B478,Scenarios!$B$121:$B$200,0))</f>
        <v>-1230</v>
      </c>
      <c r="Z478" s="477">
        <f>INDEX(Input!$1:$1048576,Z$93,$C478*2+MIN($B478,2)+5)
+INDEX(Scenarios!Z$121:Z$200,MATCH($B478,Scenarios!$B$121:$B$200,0))</f>
        <v>0</v>
      </c>
      <c r="AA478" s="475">
        <f>INDEX(Input!$1:$1048576,AA$93,$C478*2+MIN($B478,2)+5)
+INDEX(Scenarios!AA$121:AA$200,MATCH($B478,Scenarios!$B$121:$B$200,0))</f>
        <v>0</v>
      </c>
      <c r="AB478" s="476">
        <f>INDEX(Input!$1:$1048576,AB$93,$C478*2+MIN($B478,2)+5)</f>
        <v>0.27</v>
      </c>
      <c r="AC478" s="475">
        <f>INDEX(Input!$1:$1048576,AC$93,$C478*2+MIN($B478,2)+5)
+INDEX(Scenarios!AC$121:AC$200,MATCH($B478,Scenarios!$B$121:$B$200,0))</f>
        <v>0</v>
      </c>
      <c r="AD478" s="476">
        <f>INDEX(Input!$1:$1048576,AD$93,$C478*2+MIN($B478,2)+5)</f>
        <v>0.27</v>
      </c>
      <c r="AE478" s="475">
        <f>INDEX(Input!$1:$1048576,AE$93,$C478*2+MIN($B478,2)+5)
+INDEX(Scenarios!AE$121:AE$200,MATCH($B478,Scenarios!$B$121:$B$200,0))</f>
        <v>0</v>
      </c>
      <c r="AF478" s="476">
        <f>INDEX(Input!$1:$1048576,AF$93,$C478*2+MIN($B478,2)+5)</f>
        <v>1</v>
      </c>
      <c r="AG478" s="475">
        <f>INDEX(Input!$1:$1048576,AG$93,$C478*2+MIN($B478,2)+5)
+INDEX(Scenarios!AG$121:AG$200,MATCH($B478,Scenarios!$B$121:$B$200,0))</f>
        <v>500</v>
      </c>
      <c r="AH478" s="476">
        <f>INDEX(Input!$1:$1048576,AH$93,$C478*2+MIN($B478,2)+5)</f>
        <v>0.83199999999999996</v>
      </c>
      <c r="AI478" s="475">
        <f>INDEX(Input!$1:$1048576,AI$93,$C478*2+MIN($B478,2)+5)
+INDEX(Scenarios!AI$121:AI$200,MATCH($B478,Scenarios!$B$121:$B$200,0))</f>
        <v>0</v>
      </c>
      <c r="AJ478" s="476">
        <f>INDEX(Input!$1:$1048576,AJ$93,$C478*2+MIN($B478,2)+5)</f>
        <v>0.27</v>
      </c>
      <c r="AK478" s="150">
        <f>ROUND(INDEX(Input!$1:$1048576,AK$93,$C477*2+MIN($B478,1)+5)+(Y478-VLOOKUP($C478*1000+1,$A:$HH,Y$92,FALSE)),0)</f>
        <v>2227</v>
      </c>
      <c r="AL478" s="150">
        <f>ROUND(INDEX(Input!$1:$1048576,AL$93,$C477*2+MIN($B478,1)+5)-(Y478-VLOOKUP($C478*1000+1,$A:$HH,Y$92,FALSE))/36,0)</f>
        <v>3416</v>
      </c>
      <c r="AM478" s="32" t="str">
        <f t="shared" si="1279"/>
        <v>std/std/std/std</v>
      </c>
      <c r="AN478" s="32" t="str">
        <f t="shared" si="1280"/>
        <v>$0 + 0/0/0/1.9/3.9</v>
      </c>
      <c r="AO478" s="32" t="str">
        <f t="shared" si="1281"/>
        <v>0/0/0/1.9/3.9</v>
      </c>
      <c r="AP478" s="32" t="str">
        <f t="shared" si="1213"/>
        <v>0/0.9/1.9/3.9</v>
      </c>
      <c r="AQ478" s="536">
        <f t="shared" si="1207"/>
        <v>0.39993918751634333</v>
      </c>
      <c r="AR478" s="32"/>
      <c r="AS478" s="302"/>
      <c r="AT478" s="3">
        <f t="shared" si="1298"/>
        <v>78</v>
      </c>
      <c r="AU478" s="41" t="s">
        <v>121</v>
      </c>
      <c r="AV478" s="41" t="s">
        <v>116</v>
      </c>
      <c r="AW478" s="41" t="str">
        <f>INDEX(Input!$1:$1048576,AW$93,$C478*2+6)</f>
        <v>Kia</v>
      </c>
      <c r="AX478" s="41" t="str">
        <f>INDEX(Input!$1:$1048576,AX$93,$C478*2+6)</f>
        <v>Kia-LR - R1</v>
      </c>
      <c r="AY478" s="41" t="str">
        <f>IF(LEN(D478)=0,"",INDEX(Input!$1:$1048576,AY$93,$C478*2+6))</f>
        <v>Compact SUV (52)</v>
      </c>
      <c r="AZ478" s="41" t="str">
        <f>INDEX(Input!$1:$1048576,AZ$93,$C478*2+6)</f>
        <v>Kia Soul</v>
      </c>
      <c r="BA478" s="3">
        <f>INDEX(Input!$1:$1048576,BA$93,$C478*2+6)</f>
        <v>2020</v>
      </c>
      <c r="BB478" s="128">
        <f>INDEX(Input!$1:$1048576,BB$93,$C478*2+6)</f>
        <v>1</v>
      </c>
      <c r="BC478" s="128">
        <f>INDEX(Input!$1:$1048576,BC$93,$C478*2+6)</f>
        <v>0.7</v>
      </c>
      <c r="BD478" s="1">
        <f>INDEX(Input!$1:$1048576,BD$93,$C478*2+6)</f>
        <v>4.4999999999999998E-2</v>
      </c>
      <c r="BE478" s="1">
        <f>INDEX(Input!$1:$1048576,BE$93,$C478*2+6)</f>
        <v>4.4999999999999998E-2</v>
      </c>
      <c r="BF478" s="1">
        <f>INDEX(Input!$1:$1048576,BF$93,$C478*2+6)</f>
        <v>0.05</v>
      </c>
      <c r="BG478" s="1">
        <f>INDEX(Input!$1:$1048576,BG$93,$C478*2+6)</f>
        <v>5.45E-2</v>
      </c>
      <c r="BH478" s="1">
        <f>INDEX(Input!$1:$1048576,BH$93,$C478*2+6)</f>
        <v>5.45E-2</v>
      </c>
      <c r="BI478" s="1">
        <f>INDEX(Input!$1:$1048576,BI$93,$C478*2+6)</f>
        <v>0.05</v>
      </c>
      <c r="BJ478" s="1">
        <f>INDEX(Input!$1:$1048576,BJ$93,$C478*2+6)</f>
        <v>0.05</v>
      </c>
      <c r="BK478" s="1">
        <f>INDEX(Input!$1:$1048576,BK$93,$C478*2+6)</f>
        <v>0.05</v>
      </c>
      <c r="BL478" s="1">
        <f>INDEX(Input!$1:$1048576,BL$93,$C478*2+6)</f>
        <v>5.5E-2</v>
      </c>
      <c r="BM478" s="1">
        <f>INDEX(Input!$1:$1048576,BM$93,$C478*2+6)</f>
        <v>0.06</v>
      </c>
      <c r="BN478" s="1">
        <f>INDEX(Input!$1:$1048576,BN$93,$C478*2+6)</f>
        <v>4.4999999999999998E-2</v>
      </c>
      <c r="BO478" s="1">
        <f>INDEX(Input!$1:$1048576,BO$93,$C478*2+6)</f>
        <v>4.4999999999999998E-2</v>
      </c>
      <c r="BP478" s="1">
        <f>INDEX(Input!$1:$1048576,BP$93,$C478*2+6)</f>
        <v>0.05</v>
      </c>
      <c r="BQ478" s="1">
        <f>INDEX(Input!$1:$1048576,BQ$93,$C478*2+6)</f>
        <v>5.45E-2</v>
      </c>
      <c r="BR478" s="1">
        <f>INDEX(Input!$1:$1048576,BR$93,$C478*2+6)</f>
        <v>5.45E-2</v>
      </c>
      <c r="BS478" s="1">
        <f>INDEX(Input!$1:$1048576,BS$93,$C478*2+6)</f>
        <v>0.05</v>
      </c>
      <c r="BT478" s="1">
        <f>INDEX(Input!$1:$1048576,BT$93,$C478*2+6)</f>
        <v>0.05</v>
      </c>
      <c r="BU478" s="1">
        <f>INDEX(Input!$1:$1048576,BU$93,$C478*2+6)</f>
        <v>0.05</v>
      </c>
      <c r="BV478" s="1">
        <f>INDEX(Input!$1:$1048576,BV$93,$C478*2+6)</f>
        <v>5.5E-2</v>
      </c>
      <c r="BW478" s="1">
        <f>INDEX(Input!$1:$1048576,BW$93,$C478*2+6)</f>
        <v>0.06</v>
      </c>
      <c r="BX478" s="127">
        <f>INDEX(Input!$1:$1048576,BX$93,$C478*2+6)</f>
        <v>19985</v>
      </c>
      <c r="BY478" s="20">
        <f>INDEX(Input!$1:$1048576,BY$93,$C478*2+6)</f>
        <v>0.1</v>
      </c>
      <c r="BZ478" s="20">
        <f>INDEX(Input!$1:$1048576,BZ$93,$C478*2+6)</f>
        <v>0.1</v>
      </c>
      <c r="CA478" s="20">
        <f>INDEX(Input!$1:$1048576,CA$93,$C478*2+6)</f>
        <v>0.1</v>
      </c>
      <c r="CB478" s="20">
        <f>INDEX(Input!$1:$1048576,CB$93,$C478*2+6)</f>
        <v>0.1</v>
      </c>
      <c r="CC478" s="20">
        <f>INDEX(Input!$1:$1048576,CC$93,$C478*2+6)</f>
        <v>0.1</v>
      </c>
      <c r="CD478" s="384">
        <f>INDEX(Input!$1:$1048576,CD$93,$C478*2+6)</f>
        <v>0.1</v>
      </c>
      <c r="CE478" s="384">
        <f>INDEX(Input!$1:$1048576,CE$93,$C478*2+6)</f>
        <v>0.1</v>
      </c>
      <c r="CF478" s="384">
        <f>INDEX(Input!$1:$1048576,CF$93,$C478*2+6)</f>
        <v>0.1</v>
      </c>
      <c r="CG478" s="384">
        <f>INDEX(Input!$1:$1048576,CG$93,$C478*2+6)</f>
        <v>0.1</v>
      </c>
      <c r="CH478" s="384">
        <f>INDEX(Input!$1:$1048576,CH$93,$C478*2+6)</f>
        <v>0.1</v>
      </c>
      <c r="CI478" s="304">
        <f t="shared" si="1214"/>
        <v>756.83297552597696</v>
      </c>
      <c r="CJ478" s="16" t="str">
        <f>INDEX(Input!$1:$1048576,CJ$93,$C478*2+6)</f>
        <v>N</v>
      </c>
      <c r="CK478" s="1" t="str">
        <f t="shared" si="1215"/>
        <v>Market</v>
      </c>
      <c r="CL478" s="1" t="str">
        <f t="shared" si="1216"/>
        <v>Market</v>
      </c>
      <c r="CM478" s="1" t="str">
        <f t="shared" si="1217"/>
        <v>Market</v>
      </c>
      <c r="CN478" s="1" t="str">
        <f t="shared" si="1218"/>
        <v>Market</v>
      </c>
      <c r="CO478" s="1" t="str">
        <f t="shared" si="1219"/>
        <v>Market</v>
      </c>
      <c r="CP478" s="304">
        <f t="shared" si="1220"/>
        <v>416</v>
      </c>
      <c r="CQ478" s="1">
        <f t="shared" si="1221"/>
        <v>0</v>
      </c>
      <c r="CR478" s="1">
        <f t="shared" si="1222"/>
        <v>0</v>
      </c>
      <c r="CS478" s="1">
        <f t="shared" si="1223"/>
        <v>0</v>
      </c>
      <c r="CT478" s="1">
        <f t="shared" si="1224"/>
        <v>1.9E-2</v>
      </c>
      <c r="CU478" s="1">
        <f t="shared" si="1225"/>
        <v>3.9E-2</v>
      </c>
      <c r="CV478" s="304">
        <f t="shared" si="1226"/>
        <v>-1230</v>
      </c>
      <c r="CW478" s="20" t="s">
        <v>122</v>
      </c>
      <c r="CX478" s="20" t="s">
        <v>122</v>
      </c>
      <c r="CY478" s="20" t="s">
        <v>122</v>
      </c>
      <c r="CZ478" s="20" t="s">
        <v>122</v>
      </c>
      <c r="DA478" s="20" t="s">
        <v>122</v>
      </c>
      <c r="DB478" s="503">
        <f t="shared" si="1227"/>
        <v>0</v>
      </c>
      <c r="DC478" s="127">
        <v>0</v>
      </c>
      <c r="DD478" s="127">
        <v>0</v>
      </c>
      <c r="DE478" s="127">
        <v>0</v>
      </c>
      <c r="DF478" s="127">
        <v>0</v>
      </c>
      <c r="DG478" s="127">
        <v>0</v>
      </c>
      <c r="DH478" s="127">
        <v>0</v>
      </c>
      <c r="DI478" s="127">
        <v>0</v>
      </c>
      <c r="DJ478" s="127">
        <v>0</v>
      </c>
      <c r="DK478" s="127">
        <v>0</v>
      </c>
      <c r="DL478" s="127">
        <v>0</v>
      </c>
      <c r="DM478" s="304">
        <f>INDEX(Input!$1:$1048576,DM$93,$C478*2+6)</f>
        <v>21036.84210526316</v>
      </c>
      <c r="DN478" s="20">
        <v>0</v>
      </c>
      <c r="DO478" s="20">
        <v>0</v>
      </c>
      <c r="DP478" s="20">
        <v>0</v>
      </c>
      <c r="DQ478" s="20">
        <v>0</v>
      </c>
      <c r="DR478" s="20">
        <v>0</v>
      </c>
      <c r="DS478" s="20">
        <f>INDEX(Input!$1:$1048576,DS$93,$C478*2+6)</f>
        <v>0.6</v>
      </c>
      <c r="DT478" s="20">
        <f>INDEX(Input!$1:$1048576,DT$93,$C478*2+6)</f>
        <v>0.55000000000000004</v>
      </c>
      <c r="DU478" s="20">
        <f>INDEX(Input!$1:$1048576,DU$93,$C478*2+6)</f>
        <v>0.52</v>
      </c>
      <c r="DV478" s="20">
        <f>INDEX(Input!$1:$1048576,DV$93,$C478*2+6)</f>
        <v>0.5</v>
      </c>
      <c r="DW478" s="20">
        <f>INDEX(Input!$1:$1048576,DW$93,$C478*2+6)</f>
        <v>0.45</v>
      </c>
      <c r="DX478" s="20"/>
      <c r="DY478" s="7">
        <v>9.6948110408551849E-2</v>
      </c>
      <c r="DZ478" s="7">
        <v>0</v>
      </c>
      <c r="EA478" s="7">
        <v>0.79117368107987474</v>
      </c>
      <c r="EB478" s="7">
        <v>0</v>
      </c>
      <c r="EC478" s="7">
        <v>0</v>
      </c>
      <c r="ED478" s="7">
        <v>0</v>
      </c>
      <c r="EE478" s="7">
        <v>0</v>
      </c>
      <c r="EF478" s="7">
        <v>0</v>
      </c>
      <c r="EG478" s="7">
        <v>0</v>
      </c>
      <c r="EH478" s="7">
        <v>1.2252049521280646E-2</v>
      </c>
      <c r="EI478" s="7">
        <v>3.1993312078678553E-2</v>
      </c>
      <c r="EJ478" s="7">
        <v>0.22467656362014676</v>
      </c>
      <c r="EK478" s="7">
        <v>0.59368497173239987</v>
      </c>
      <c r="EL478" s="7">
        <v>0.13739310304749416</v>
      </c>
      <c r="EM478" s="7">
        <v>5.5635051181277838E-2</v>
      </c>
      <c r="EN478" s="7">
        <v>4.9438541679456112E-2</v>
      </c>
      <c r="EO478" s="7">
        <v>0.70135670936491101</v>
      </c>
      <c r="EP478" s="7">
        <v>0.10815092594106129</v>
      </c>
      <c r="EQ478" s="7">
        <v>9.5016622372233003E-2</v>
      </c>
      <c r="ER478" s="7">
        <v>4.603720064233937E-2</v>
      </c>
      <c r="ES478" s="7">
        <v>5.6243157330295598E-2</v>
      </c>
      <c r="ET478" s="7">
        <v>0.1118782085115735</v>
      </c>
      <c r="EU478" s="6">
        <v>1270</v>
      </c>
      <c r="EV478" s="6">
        <v>0</v>
      </c>
      <c r="EW478" s="6">
        <v>1270</v>
      </c>
      <c r="EX478" s="6">
        <v>0</v>
      </c>
      <c r="EY478" s="6">
        <v>2483.2019751414273</v>
      </c>
      <c r="EZ478" s="6">
        <v>147</v>
      </c>
      <c r="FA478" s="6">
        <v>0</v>
      </c>
      <c r="FB478" s="6">
        <v>0</v>
      </c>
      <c r="FC478" s="6">
        <v>0</v>
      </c>
      <c r="FD478" s="6">
        <v>0</v>
      </c>
      <c r="FE478" s="6">
        <v>0</v>
      </c>
      <c r="FF478" s="6">
        <v>0</v>
      </c>
      <c r="FG478" s="6">
        <v>0</v>
      </c>
      <c r="FH478" s="6">
        <v>1169.7954796350398</v>
      </c>
      <c r="FI478" s="6">
        <v>1553.9796069512399</v>
      </c>
      <c r="FJ478" s="6">
        <v>2101.2110117447419</v>
      </c>
      <c r="FK478" s="6">
        <v>1772.7139978623243</v>
      </c>
      <c r="FL478" s="6">
        <v>907.07682140966313</v>
      </c>
      <c r="FM478" s="6">
        <v>1713.2019751414273</v>
      </c>
      <c r="FN478" s="6">
        <v>0</v>
      </c>
      <c r="FO478" s="6">
        <v>0</v>
      </c>
      <c r="FP478" s="6">
        <v>0</v>
      </c>
      <c r="FQ478" s="6">
        <v>0</v>
      </c>
      <c r="FR478" s="6">
        <v>0</v>
      </c>
      <c r="FS478" s="6">
        <v>0</v>
      </c>
      <c r="FT478" s="7">
        <v>0.88812179148842663</v>
      </c>
      <c r="FU478" s="7">
        <v>5.5635051181277838E-2</v>
      </c>
      <c r="FV478" s="7">
        <v>5.6243157330295598E-2</v>
      </c>
      <c r="FW478" s="6">
        <v>1270</v>
      </c>
      <c r="FX478" s="6">
        <v>2483.2019751414273</v>
      </c>
      <c r="FY478" s="6">
        <v>147</v>
      </c>
      <c r="FZ478" s="6">
        <v>1949.5716051445115</v>
      </c>
      <c r="GA478" s="6">
        <v>1274.3354882982987</v>
      </c>
      <c r="GB478" s="6">
        <v>18710.6645117017</v>
      </c>
      <c r="GC478" s="7">
        <v>3.3872851927908169E-2</v>
      </c>
      <c r="GD478" s="7">
        <v>3.1840359231037334E-2</v>
      </c>
      <c r="GE478" s="7"/>
      <c r="GF478" s="7"/>
      <c r="GG478" s="7">
        <v>-6.0003589340413506E-2</v>
      </c>
      <c r="GH478" s="42">
        <v>1.7759294905152105</v>
      </c>
      <c r="GI478" s="6">
        <v>12527.597572595463</v>
      </c>
      <c r="GJ478" s="14">
        <v>0.50394797582841722</v>
      </c>
      <c r="GK478" s="14">
        <v>0.50887573065309699</v>
      </c>
      <c r="GL478" s="14">
        <v>0.49605202417158245</v>
      </c>
      <c r="GM478" s="14">
        <v>0.49112426934690206</v>
      </c>
      <c r="GO478" s="5">
        <v>343.14810671672558</v>
      </c>
      <c r="GP478" s="5">
        <v>318.91892952659737</v>
      </c>
      <c r="GQ478" s="5">
        <v>535.04305713031317</v>
      </c>
      <c r="GR478" s="5">
        <v>410.15490233172511</v>
      </c>
      <c r="GS478" s="5">
        <v>339.42744393800166</v>
      </c>
      <c r="GT478" s="5">
        <v>293.4407446948278</v>
      </c>
      <c r="GU478" s="5">
        <v>258.04012322764959</v>
      </c>
      <c r="GV478" s="39" t="s">
        <v>392</v>
      </c>
      <c r="GW478" s="5">
        <v>478.23611111111109</v>
      </c>
      <c r="GX478" s="5">
        <v>358.67708333333331</v>
      </c>
      <c r="GY478" s="5">
        <v>286.94166666666666</v>
      </c>
      <c r="GZ478" s="5">
        <v>253.19574071601335</v>
      </c>
      <c r="HA478" s="5">
        <v>234.53733318419432</v>
      </c>
      <c r="HB478" s="39">
        <v>264.34602616126676</v>
      </c>
      <c r="HC478" s="5">
        <v>280.85312499999998</v>
      </c>
      <c r="HD478" s="5">
        <v>235.41580774853799</v>
      </c>
      <c r="HE478" s="5">
        <v>236.8873861336032</v>
      </c>
      <c r="HF478" s="5">
        <v>217.50938048245612</v>
      </c>
      <c r="HG478" s="5">
        <v>207.81388157894736</v>
      </c>
      <c r="HH478" s="39">
        <v>234.84919136545525</v>
      </c>
      <c r="HI478" s="16"/>
      <c r="HJ478" s="19" t="str">
        <f t="shared" ref="HJ478:HK478" si="1334">HJ477</f>
        <v>On</v>
      </c>
      <c r="HK478" s="1" t="str">
        <f t="shared" si="1334"/>
        <v>On</v>
      </c>
      <c r="HL478" s="16"/>
      <c r="HM478" s="639">
        <f t="shared" si="1255"/>
        <v>2.9403358434788716E-2</v>
      </c>
      <c r="HN478" s="639">
        <f t="shared" si="1256"/>
        <v>1.4106809950923669E-3</v>
      </c>
      <c r="HO478" s="639">
        <f t="shared" si="1257"/>
        <v>1.7317923025048877E-3</v>
      </c>
      <c r="HP478" s="644">
        <f>(FT478*$GD478-HM478)/$JF478*INDEX(Input!$1:$1048576,$JG$93,$C478*2+6)</f>
        <v>-80.522986728922177</v>
      </c>
      <c r="HQ478" s="644">
        <f>(FU478*$GD478-HN478)/$JF478*INDEX(Input!$1:$1048576,$JG$93,$C478*2+6)</f>
        <v>25.816140306981247</v>
      </c>
      <c r="HR478" s="644">
        <f>(FV478*$GD478-HO478)/$JF478*INDEX(Input!$1:$1048576,$JG$93,$C478*2+6)</f>
        <v>4.2227946038397732</v>
      </c>
      <c r="HS478" s="644">
        <f t="shared" si="1246"/>
        <v>28.660161533594685</v>
      </c>
      <c r="HT478" s="644">
        <f t="shared" si="1326"/>
        <v>49.11626324961987</v>
      </c>
      <c r="HU478" s="644">
        <f t="shared" si="1259"/>
        <v>-3.0916760061200357</v>
      </c>
      <c r="HV478" s="648">
        <f t="shared" si="1260"/>
        <v>0</v>
      </c>
      <c r="HW478" s="648">
        <f t="shared" si="1261"/>
        <v>0</v>
      </c>
      <c r="HX478" s="648">
        <f t="shared" si="1262"/>
        <v>0</v>
      </c>
      <c r="HY478" s="644">
        <f>INDEX(Input!$1:$1048576,HY$93,$C478*2+6)*INDEX(Input!$1:$1048576,$JG$93,$C478*2+6)</f>
        <v>993</v>
      </c>
      <c r="HZ478" s="644">
        <f>INDEX(Input!$1:$1048576,HZ$93,$C478*2+6)*INDEX(Input!$1:$1048576,$JG$93,$C478*2+6)</f>
        <v>1216</v>
      </c>
      <c r="IA478" s="644">
        <f>INDEX(Input!$1:$1048576,IA$93,$C478*2+6)*INDEX(Input!$1:$1048576,$JG$93,$C478*2+6)</f>
        <v>120</v>
      </c>
      <c r="IB478" s="644">
        <f t="shared" si="1283"/>
        <v>941.13717480467267</v>
      </c>
      <c r="IC478" s="644">
        <f t="shared" si="1284"/>
        <v>1290.932403556601</v>
      </c>
      <c r="ID478" s="644">
        <f>IF(AND(INDEX(Input!$1:$1048576,IA$93,$C478*2+7)="TOS",Y478&lt;=INDEX(Y:Y,MATCH(C478*1000+2,A:A))),0,1)*MAX(IA478+HR478+HU478+HX478,0%)</f>
        <v>121.13111859771973</v>
      </c>
      <c r="IE478" s="128">
        <f t="shared" si="1327"/>
        <v>0.39993918751634333</v>
      </c>
      <c r="IF478" s="128">
        <f t="shared" si="1328"/>
        <v>0.54858576458219388</v>
      </c>
      <c r="IG478" s="128">
        <f t="shared" si="1319"/>
        <v>5.1475047901462762E-2</v>
      </c>
      <c r="IH478" s="21"/>
      <c r="II478" s="19">
        <f t="shared" si="1264"/>
        <v>1490</v>
      </c>
      <c r="IJ478" s="19">
        <f t="shared" si="1265"/>
        <v>2203.2561351629856</v>
      </c>
      <c r="IK478" s="19">
        <f t="shared" si="1266"/>
        <v>242</v>
      </c>
      <c r="IL478" s="19">
        <f t="shared" si="1285"/>
        <v>-220</v>
      </c>
      <c r="IM478" s="19">
        <f t="shared" si="1267"/>
        <v>279.94583997844165</v>
      </c>
      <c r="IN478" s="19">
        <f t="shared" si="1268"/>
        <v>-95</v>
      </c>
      <c r="IO478" s="39">
        <f t="shared" si="1269"/>
        <v>0</v>
      </c>
      <c r="IP478" s="39">
        <f t="shared" si="1270"/>
        <v>0</v>
      </c>
      <c r="IQ478" s="39">
        <f t="shared" si="1271"/>
        <v>0</v>
      </c>
      <c r="IR478" s="39">
        <v>0</v>
      </c>
      <c r="IS478" s="39">
        <v>0</v>
      </c>
      <c r="IT478" s="39">
        <v>0</v>
      </c>
      <c r="IU478" s="39">
        <v>0</v>
      </c>
      <c r="IV478" s="39">
        <v>0</v>
      </c>
      <c r="IW478" s="39">
        <v>0</v>
      </c>
      <c r="IX478" s="39">
        <f>INDEX(Input!$1:$1048576,IX$93,$C478*2+6)+INDEX(Input!$1:$1048576,IX$94,$C478*2+6)</f>
        <v>1770</v>
      </c>
      <c r="IY478" s="39">
        <f>INDEX(Input!$1:$1048576,IY$93,$C478*2+6)+INDEX(Input!$1:$1048576,IY$94,$C478*2+6)</f>
        <v>2630.0624533823611</v>
      </c>
      <c r="IZ478" s="39">
        <f>INDEX(Input!$1:$1048576,IZ$93,$C478*2+6)+INDEX(Input!$1:$1048576,IZ$94,$C478*2+6)</f>
        <v>4153.7164157747848</v>
      </c>
      <c r="JA478" s="19">
        <f t="shared" si="1286"/>
        <v>1550</v>
      </c>
      <c r="JB478" s="19">
        <f t="shared" si="1287"/>
        <v>2910.0082933608028</v>
      </c>
      <c r="JC478" s="19">
        <f t="shared" si="1288"/>
        <v>4058.7164157747848</v>
      </c>
      <c r="JD478" s="19">
        <f t="shared" si="1289"/>
        <v>2425.2174871246534</v>
      </c>
      <c r="JE478" s="21"/>
      <c r="JF478" s="1">
        <f t="shared" si="1272"/>
        <v>3.2545831732385969E-2</v>
      </c>
      <c r="JG478" s="15">
        <f>INDEX(Input!$1:$1048576,JG$93,$C478*2+6)/(1+VLOOKUP(C478*1000+INDEX(Input!$1:$1048576,JG$93+1,$C478*2+6),$A:$KK,$JK$92,FALSE))</f>
        <v>2329</v>
      </c>
      <c r="JH478" s="1">
        <f t="shared" si="1290"/>
        <v>-2.1676278152898736E-2</v>
      </c>
      <c r="JI478" s="1">
        <f t="shared" si="1291"/>
        <v>3.2067303038683777E-2</v>
      </c>
      <c r="JJ478" s="1">
        <f t="shared" si="1329"/>
        <v>0</v>
      </c>
      <c r="JK478" s="1">
        <f t="shared" si="1330"/>
        <v>1.0391024885785041E-2</v>
      </c>
      <c r="JL478" s="15">
        <f t="shared" si="1292"/>
        <v>24.200696958993362</v>
      </c>
      <c r="JM478" s="15">
        <f t="shared" si="1311"/>
        <v>2353.2006969589934</v>
      </c>
      <c r="JN478" s="21"/>
      <c r="JO478" s="19">
        <f>INDEX(Input!$1:$1048576,JO$93,$C478*2+6)</f>
        <v>5995.5</v>
      </c>
      <c r="JP478" s="19">
        <f>INDEX(Input!$1:$1048576,JP$93,$C478*2+6)</f>
        <v>2341.8685758720158</v>
      </c>
      <c r="JQ478" s="39">
        <f t="shared" si="1300"/>
        <v>3570.2825128753466</v>
      </c>
      <c r="JR478" s="39">
        <f t="shared" si="1314"/>
        <v>83.348911252637663</v>
      </c>
      <c r="JS478" s="39">
        <f t="shared" si="1301"/>
        <v>5.7070234809788722</v>
      </c>
      <c r="JT478" s="39">
        <f t="shared" si="1293"/>
        <v>0.25281156777294816</v>
      </c>
      <c r="JU478" s="385">
        <f>(JQ478*JM478-INDEX(Input!$1:$1048576,Input!A$18,$C478*2+6)*JL478*INDEX(Input!$1:$1048576,Input!A$19,$C478*2+6))/1000000</f>
        <v>8.4015912976387721</v>
      </c>
      <c r="JV478" s="39">
        <f t="shared" ref="JV478:JV483" si="1335">JU478-(JO478-JP478)*JG478/1000000</f>
        <v>-0.10771628915530229</v>
      </c>
      <c r="JW478" s="1">
        <f t="shared" si="1312"/>
        <v>-1.2658643262875042E-2</v>
      </c>
      <c r="JX478" s="19">
        <f t="shared" si="1305"/>
        <v>10446.458141322224</v>
      </c>
      <c r="JZ478" s="341"/>
      <c r="KA478" s="342"/>
      <c r="KB478" s="469">
        <f t="shared" si="1302"/>
        <v>2.3434325605641804</v>
      </c>
      <c r="KI478" s="473">
        <f t="shared" si="1331"/>
        <v>-51.862825195327332</v>
      </c>
      <c r="KJ478" s="473">
        <f t="shared" si="1332"/>
        <v>74.932403556601002</v>
      </c>
      <c r="KK478" s="473">
        <f t="shared" si="1324"/>
        <v>1.131118597719734</v>
      </c>
      <c r="KN478" s="544">
        <f t="shared" si="1306"/>
        <v>4002</v>
      </c>
      <c r="KO478" s="541">
        <f t="shared" si="1273"/>
        <v>-2.7044887626930136E-2</v>
      </c>
      <c r="KP478" s="546">
        <f t="shared" si="1274"/>
        <v>-218.5560952521958</v>
      </c>
      <c r="KQ478" s="546">
        <f t="shared" si="1275"/>
        <v>-199.55370091136774</v>
      </c>
      <c r="KR478" s="548">
        <f t="shared" si="1276"/>
        <v>2.1482147951791961</v>
      </c>
      <c r="KS478" s="548">
        <f t="shared" si="1277"/>
        <v>2.3527773990315151</v>
      </c>
      <c r="KT478" s="473">
        <f t="shared" si="1303"/>
        <v>1580.0986321700548</v>
      </c>
      <c r="KU478" s="663">
        <f t="shared" si="1295"/>
        <v>4.0319440722146709</v>
      </c>
    </row>
    <row r="479" spans="1:307" s="26" customFormat="1" ht="15" outlineLevel="1">
      <c r="A479" s="561">
        <f t="shared" si="1278"/>
        <v>4079</v>
      </c>
      <c r="B479" s="561">
        <f t="shared" si="1296"/>
        <v>79</v>
      </c>
      <c r="C479" s="561">
        <f t="shared" si="1297"/>
        <v>4</v>
      </c>
      <c r="D479" s="561" t="str">
        <f t="shared" si="1206"/>
        <v xml:space="preserve">0.9/1.9/2.9/3.9, -360 Lease, </v>
      </c>
      <c r="E479" s="475">
        <f>INDEX(Input!$1:$1048576,E$93,$C479*2+MIN($B479,2)+5)
+INDEX(Scenarios!E$121:E$200,MATCH($B479,Scenarios!$B$121:$B$200,0))</f>
        <v>1256.832975525977</v>
      </c>
      <c r="F479" s="475">
        <f>INDEX(Input!$1:$1048576,F$93,$C479*2+MIN($B479,2)+5)
+INDEX(Scenarios!F$121:F$200,MATCH($B479,Scenarios!$B$121:$B$200,0))</f>
        <v>0</v>
      </c>
      <c r="G479" s="475">
        <f>INDEX(Input!$1:$1048576,G$93,$C479*2+MIN($B479,2)+5)
+INDEX(Scenarios!G$121:G$200,MATCH($B479,Scenarios!$B$121:$B$200,0))</f>
        <v>0</v>
      </c>
      <c r="H479" s="475">
        <f>INDEX(Input!$1:$1048576,H$93,$C479*2+MIN($B479,2)+5)
+INDEX(Scenarios!H$121:H$200,MATCH($B479,Scenarios!$B$121:$B$200,0))</f>
        <v>0</v>
      </c>
      <c r="I479" s="476">
        <f>INDEX(Input!$1:$1048576,I$93,$C479*2+MIN($B479,2)+5)</f>
        <v>0.7</v>
      </c>
      <c r="J479" s="476" t="str">
        <f>INDEX(Input!$1:$1048576,J$93,$C479*2+MIN($B479,2)+5)</f>
        <v>Market</v>
      </c>
      <c r="K479" s="476" t="str">
        <f>INDEX(Input!$1:$1048576,K$93,$C479*2+MIN($B479,2)+5)</f>
        <v>Market</v>
      </c>
      <c r="L479" s="476" t="str">
        <f>INDEX(Input!$1:$1048576,L$93,$C479*2+MIN($B479,2)+5)</f>
        <v>Market</v>
      </c>
      <c r="M479" s="476" t="str">
        <f>INDEX(Input!$1:$1048576,M$93,$C479*2+MIN($B479,2)+5)</f>
        <v>Market</v>
      </c>
      <c r="N479" s="476" t="str">
        <f>INDEX(Input!$1:$1048576,N$93,$C479*2+MIN($B479,2)+5)</f>
        <v>Market</v>
      </c>
      <c r="O479" s="476" t="str">
        <f>INDEX(Input!$1:$1048576,O$93,$C479*2+MIN($B479,2)+5)</f>
        <v>Market</v>
      </c>
      <c r="P479" s="476" t="str">
        <f>INDEX(Input!$1:$1048576,P$93,$C479*2+MIN($B479,2)+5)</f>
        <v>N</v>
      </c>
      <c r="Q479" s="477">
        <f>INDEX(Input!$1:$1048576,Q$93,$C479*2+MIN($B479,2)+5)
+INDEX(Scenarios!Q$121:Q$200,MATCH($B479,Scenarios!$B$121:$B$200,0))</f>
        <v>0</v>
      </c>
      <c r="R479" s="478">
        <f>IFERROR(MAX(0,INDEX(Input!$1:$1048576,R$93,$C479*2+MIN($B479,2)+5)
+INDEX(Scenarios!R$121:R$200,MATCH($B479,Scenarios!$B$121:$B$200,0)),),"Market")</f>
        <v>0</v>
      </c>
      <c r="S479" s="478">
        <f>IFERROR(MAX(0,INDEX(Input!$1:$1048576,S$93,$C479*2+MIN($B479,2)+5)
+INDEX(Scenarios!S$121:S$200,MATCH($B479,Scenarios!$B$121:$B$200,0)),),"Market")</f>
        <v>0</v>
      </c>
      <c r="T479" s="478">
        <f>IFERROR(MAX(0,INDEX(Input!$1:$1048576,T$93,$C479*2+MIN($B479,2)+5)
+INDEX(Scenarios!T$121:T$200,MATCH($B479,Scenarios!$B$121:$B$200,0)),),"Market")</f>
        <v>0</v>
      </c>
      <c r="U479" s="478">
        <f>IFERROR(MAX(0,INDEX(Input!$1:$1048576,U$93,$C479*2+MIN($B479,2)+5)
+INDEX(Scenarios!U$121:U$200,MATCH($B479,Scenarios!$B$121:$B$200,0)),),"Market")</f>
        <v>9.0000000000000011E-3</v>
      </c>
      <c r="V479" s="478">
        <f>IFERROR(MAX(0,INDEX(Input!$1:$1048576,V$93,$C479*2+MIN($B479,2)+5)
+INDEX(Scenarios!V$121:V$200,MATCH($B479,Scenarios!$B$121:$B$200,0)),),"Market")</f>
        <v>2.8999999999999998E-2</v>
      </c>
      <c r="W479" s="885">
        <f>IFERROR(MAX(0,INDEX(Input!$1:$1048576,W$93,$C479*2+MIN($B479,2)+5)-0%,),"Market")</f>
        <v>3.9E-2</v>
      </c>
      <c r="X479" s="476" t="str">
        <f>INDEX(Input!$1:$1048576,X$93,$C479*2+MIN($B479,2)+5)</f>
        <v>Y</v>
      </c>
      <c r="Y479" s="475">
        <f>INDEX(Input!$1:$1048576,Y$93,$C479*2+MIN($B479,2)+5)
++INDEX(Scenarios!Y$121:Y$200,MATCH($B479,Scenarios!$B$121:$B$200,0))</f>
        <v>-1230</v>
      </c>
      <c r="Z479" s="477">
        <f>INDEX(Input!$1:$1048576,Z$93,$C479*2+MIN($B479,2)+5)
+INDEX(Scenarios!Z$121:Z$200,MATCH($B479,Scenarios!$B$121:$B$200,0))</f>
        <v>0</v>
      </c>
      <c r="AA479" s="475">
        <f>INDEX(Input!$1:$1048576,AA$93,$C479*2+MIN($B479,2)+5)
+INDEX(Scenarios!AA$121:AA$200,MATCH($B479,Scenarios!$B$121:$B$200,0))</f>
        <v>0</v>
      </c>
      <c r="AB479" s="476">
        <f>INDEX(Input!$1:$1048576,AB$93,$C479*2+MIN($B479,2)+5)</f>
        <v>0.27</v>
      </c>
      <c r="AC479" s="475">
        <f>INDEX(Input!$1:$1048576,AC$93,$C479*2+MIN($B479,2)+5)
+INDEX(Scenarios!AC$121:AC$200,MATCH($B479,Scenarios!$B$121:$B$200,0))</f>
        <v>0</v>
      </c>
      <c r="AD479" s="476">
        <f>INDEX(Input!$1:$1048576,AD$93,$C479*2+MIN($B479,2)+5)</f>
        <v>0.27</v>
      </c>
      <c r="AE479" s="475">
        <f>INDEX(Input!$1:$1048576,AE$93,$C479*2+MIN($B479,2)+5)
+INDEX(Scenarios!AE$121:AE$200,MATCH($B479,Scenarios!$B$121:$B$200,0))</f>
        <v>0</v>
      </c>
      <c r="AF479" s="476">
        <f>INDEX(Input!$1:$1048576,AF$93,$C479*2+MIN($B479,2)+5)</f>
        <v>1</v>
      </c>
      <c r="AG479" s="475">
        <f>INDEX(Input!$1:$1048576,AG$93,$C479*2+MIN($B479,2)+5)
+INDEX(Scenarios!AG$121:AG$200,MATCH($B479,Scenarios!$B$121:$B$200,0))</f>
        <v>500</v>
      </c>
      <c r="AH479" s="476">
        <f>INDEX(Input!$1:$1048576,AH$93,$C479*2+MIN($B479,2)+5)</f>
        <v>0.83199999999999996</v>
      </c>
      <c r="AI479" s="475">
        <f>INDEX(Input!$1:$1048576,AI$93,$C479*2+MIN($B479,2)+5)
+INDEX(Scenarios!AI$121:AI$200,MATCH($B479,Scenarios!$B$121:$B$200,0))</f>
        <v>0</v>
      </c>
      <c r="AJ479" s="476">
        <f>INDEX(Input!$1:$1048576,AJ$93,$C479*2+MIN($B479,2)+5)</f>
        <v>0.27</v>
      </c>
      <c r="AK479" s="150">
        <f>ROUND(INDEX(Input!$1:$1048576,AK$93,$C478*2+MIN($B479,1)+5)+(Y479-VLOOKUP($C479*1000+1,$A:$HH,Y$92,FALSE)),0)</f>
        <v>2227</v>
      </c>
      <c r="AL479" s="150">
        <f>ROUND(INDEX(Input!$1:$1048576,AL$93,$C478*2+MIN($B479,1)+5)-(Y479-VLOOKUP($C479*1000+1,$A:$HH,Y$92,FALSE))/36,0)</f>
        <v>3416</v>
      </c>
      <c r="AM479" s="32" t="str">
        <f t="shared" si="1279"/>
        <v>std/std/std/std</v>
      </c>
      <c r="AN479" s="32" t="str">
        <f t="shared" si="1280"/>
        <v>$0 + 0/0/0.9/2.9/3.9</v>
      </c>
      <c r="AO479" s="32" t="str">
        <f t="shared" si="1281"/>
        <v>0/0/0.9/2.9/3.9</v>
      </c>
      <c r="AP479" s="32" t="str">
        <f t="shared" si="1213"/>
        <v>0.9/1.9/2.9/3.9</v>
      </c>
      <c r="AQ479" s="536">
        <f t="shared" si="1207"/>
        <v>0.45373966838738666</v>
      </c>
      <c r="AR479" s="32"/>
      <c r="AS479" s="302"/>
      <c r="AT479" s="3">
        <f t="shared" si="1298"/>
        <v>79</v>
      </c>
      <c r="AU479" s="41" t="s">
        <v>121</v>
      </c>
      <c r="AV479" s="41" t="s">
        <v>116</v>
      </c>
      <c r="AW479" s="41" t="str">
        <f>INDEX(Input!$1:$1048576,AW$93,$C479*2+6)</f>
        <v>Kia</v>
      </c>
      <c r="AX479" s="41" t="str">
        <f>INDEX(Input!$1:$1048576,AX$93,$C479*2+6)</f>
        <v>Kia-LR - R1</v>
      </c>
      <c r="AY479" s="41" t="str">
        <f>IF(LEN(D479)=0,"",INDEX(Input!$1:$1048576,AY$93,$C479*2+6))</f>
        <v>Compact SUV (52)</v>
      </c>
      <c r="AZ479" s="41" t="str">
        <f>INDEX(Input!$1:$1048576,AZ$93,$C479*2+6)</f>
        <v>Kia Soul</v>
      </c>
      <c r="BA479" s="3">
        <f>INDEX(Input!$1:$1048576,BA$93,$C479*2+6)</f>
        <v>2020</v>
      </c>
      <c r="BB479" s="128">
        <f>INDEX(Input!$1:$1048576,BB$93,$C479*2+6)</f>
        <v>1</v>
      </c>
      <c r="BC479" s="128">
        <f>INDEX(Input!$1:$1048576,BC$93,$C479*2+6)</f>
        <v>0.7</v>
      </c>
      <c r="BD479" s="1">
        <f>INDEX(Input!$1:$1048576,BD$93,$C479*2+6)</f>
        <v>4.4999999999999998E-2</v>
      </c>
      <c r="BE479" s="1">
        <f>INDEX(Input!$1:$1048576,BE$93,$C479*2+6)</f>
        <v>4.4999999999999998E-2</v>
      </c>
      <c r="BF479" s="1">
        <f>INDEX(Input!$1:$1048576,BF$93,$C479*2+6)</f>
        <v>0.05</v>
      </c>
      <c r="BG479" s="1">
        <f>INDEX(Input!$1:$1048576,BG$93,$C479*2+6)</f>
        <v>5.45E-2</v>
      </c>
      <c r="BH479" s="1">
        <f>INDEX(Input!$1:$1048576,BH$93,$C479*2+6)</f>
        <v>5.45E-2</v>
      </c>
      <c r="BI479" s="1">
        <f>INDEX(Input!$1:$1048576,BI$93,$C479*2+6)</f>
        <v>0.05</v>
      </c>
      <c r="BJ479" s="1">
        <f>INDEX(Input!$1:$1048576,BJ$93,$C479*2+6)</f>
        <v>0.05</v>
      </c>
      <c r="BK479" s="1">
        <f>INDEX(Input!$1:$1048576,BK$93,$C479*2+6)</f>
        <v>0.05</v>
      </c>
      <c r="BL479" s="1">
        <f>INDEX(Input!$1:$1048576,BL$93,$C479*2+6)</f>
        <v>5.5E-2</v>
      </c>
      <c r="BM479" s="1">
        <f>INDEX(Input!$1:$1048576,BM$93,$C479*2+6)</f>
        <v>0.06</v>
      </c>
      <c r="BN479" s="1">
        <f>INDEX(Input!$1:$1048576,BN$93,$C479*2+6)</f>
        <v>4.4999999999999998E-2</v>
      </c>
      <c r="BO479" s="1">
        <f>INDEX(Input!$1:$1048576,BO$93,$C479*2+6)</f>
        <v>4.4999999999999998E-2</v>
      </c>
      <c r="BP479" s="1">
        <f>INDEX(Input!$1:$1048576,BP$93,$C479*2+6)</f>
        <v>0.05</v>
      </c>
      <c r="BQ479" s="1">
        <f>INDEX(Input!$1:$1048576,BQ$93,$C479*2+6)</f>
        <v>5.45E-2</v>
      </c>
      <c r="BR479" s="1">
        <f>INDEX(Input!$1:$1048576,BR$93,$C479*2+6)</f>
        <v>5.45E-2</v>
      </c>
      <c r="BS479" s="1">
        <f>INDEX(Input!$1:$1048576,BS$93,$C479*2+6)</f>
        <v>0.05</v>
      </c>
      <c r="BT479" s="1">
        <f>INDEX(Input!$1:$1048576,BT$93,$C479*2+6)</f>
        <v>0.05</v>
      </c>
      <c r="BU479" s="1">
        <f>INDEX(Input!$1:$1048576,BU$93,$C479*2+6)</f>
        <v>0.05</v>
      </c>
      <c r="BV479" s="1">
        <f>INDEX(Input!$1:$1048576,BV$93,$C479*2+6)</f>
        <v>5.5E-2</v>
      </c>
      <c r="BW479" s="1">
        <f>INDEX(Input!$1:$1048576,BW$93,$C479*2+6)</f>
        <v>0.06</v>
      </c>
      <c r="BX479" s="127">
        <f>INDEX(Input!$1:$1048576,BX$93,$C479*2+6)</f>
        <v>19985</v>
      </c>
      <c r="BY479" s="20">
        <f>INDEX(Input!$1:$1048576,BY$93,$C479*2+6)</f>
        <v>0.1</v>
      </c>
      <c r="BZ479" s="20">
        <f>INDEX(Input!$1:$1048576,BZ$93,$C479*2+6)</f>
        <v>0.1</v>
      </c>
      <c r="CA479" s="20">
        <f>INDEX(Input!$1:$1048576,CA$93,$C479*2+6)</f>
        <v>0.1</v>
      </c>
      <c r="CB479" s="20">
        <f>INDEX(Input!$1:$1048576,CB$93,$C479*2+6)</f>
        <v>0.1</v>
      </c>
      <c r="CC479" s="20">
        <f>INDEX(Input!$1:$1048576,CC$93,$C479*2+6)</f>
        <v>0.1</v>
      </c>
      <c r="CD479" s="384">
        <f>INDEX(Input!$1:$1048576,CD$93,$C479*2+6)</f>
        <v>0.1</v>
      </c>
      <c r="CE479" s="384">
        <f>INDEX(Input!$1:$1048576,CE$93,$C479*2+6)</f>
        <v>0.1</v>
      </c>
      <c r="CF479" s="384">
        <f>INDEX(Input!$1:$1048576,CF$93,$C479*2+6)</f>
        <v>0.1</v>
      </c>
      <c r="CG479" s="384">
        <f>INDEX(Input!$1:$1048576,CG$93,$C479*2+6)</f>
        <v>0.1</v>
      </c>
      <c r="CH479" s="384">
        <f>INDEX(Input!$1:$1048576,CH$93,$C479*2+6)</f>
        <v>0.1</v>
      </c>
      <c r="CI479" s="304">
        <f t="shared" si="1214"/>
        <v>1256.832975525977</v>
      </c>
      <c r="CJ479" s="16" t="str">
        <f>INDEX(Input!$1:$1048576,CJ$93,$C479*2+6)</f>
        <v>N</v>
      </c>
      <c r="CK479" s="1" t="str">
        <f t="shared" si="1215"/>
        <v>Market</v>
      </c>
      <c r="CL479" s="1" t="str">
        <f t="shared" si="1216"/>
        <v>Market</v>
      </c>
      <c r="CM479" s="1" t="str">
        <f t="shared" si="1217"/>
        <v>Market</v>
      </c>
      <c r="CN479" s="1" t="str">
        <f t="shared" si="1218"/>
        <v>Market</v>
      </c>
      <c r="CO479" s="1" t="str">
        <f t="shared" si="1219"/>
        <v>Market</v>
      </c>
      <c r="CP479" s="304">
        <f t="shared" si="1220"/>
        <v>416</v>
      </c>
      <c r="CQ479" s="1">
        <f t="shared" si="1221"/>
        <v>0</v>
      </c>
      <c r="CR479" s="1">
        <f t="shared" si="1222"/>
        <v>0</v>
      </c>
      <c r="CS479" s="1">
        <f t="shared" si="1223"/>
        <v>9.0000000000000011E-3</v>
      </c>
      <c r="CT479" s="1">
        <f t="shared" si="1224"/>
        <v>2.8999999999999998E-2</v>
      </c>
      <c r="CU479" s="1">
        <f t="shared" si="1225"/>
        <v>3.9E-2</v>
      </c>
      <c r="CV479" s="304">
        <f t="shared" si="1226"/>
        <v>-1230</v>
      </c>
      <c r="CW479" s="20" t="s">
        <v>122</v>
      </c>
      <c r="CX479" s="20" t="s">
        <v>122</v>
      </c>
      <c r="CY479" s="20" t="s">
        <v>122</v>
      </c>
      <c r="CZ479" s="20" t="s">
        <v>122</v>
      </c>
      <c r="DA479" s="20" t="s">
        <v>122</v>
      </c>
      <c r="DB479" s="503">
        <f t="shared" si="1227"/>
        <v>0</v>
      </c>
      <c r="DC479" s="127">
        <v>0</v>
      </c>
      <c r="DD479" s="127">
        <v>0</v>
      </c>
      <c r="DE479" s="127">
        <v>0</v>
      </c>
      <c r="DF479" s="127">
        <v>0</v>
      </c>
      <c r="DG479" s="127">
        <v>0</v>
      </c>
      <c r="DH479" s="127">
        <v>0</v>
      </c>
      <c r="DI479" s="127">
        <v>0</v>
      </c>
      <c r="DJ479" s="127">
        <v>0</v>
      </c>
      <c r="DK479" s="127">
        <v>0</v>
      </c>
      <c r="DL479" s="127">
        <v>0</v>
      </c>
      <c r="DM479" s="304">
        <f>INDEX(Input!$1:$1048576,DM$93,$C479*2+6)</f>
        <v>21036.84210526316</v>
      </c>
      <c r="DN479" s="20">
        <v>0</v>
      </c>
      <c r="DO479" s="20">
        <v>0</v>
      </c>
      <c r="DP479" s="20">
        <v>0</v>
      </c>
      <c r="DQ479" s="20">
        <v>0</v>
      </c>
      <c r="DR479" s="20">
        <v>0</v>
      </c>
      <c r="DS479" s="20">
        <f>INDEX(Input!$1:$1048576,DS$93,$C479*2+6)</f>
        <v>0.6</v>
      </c>
      <c r="DT479" s="20">
        <f>INDEX(Input!$1:$1048576,DT$93,$C479*2+6)</f>
        <v>0.55000000000000004</v>
      </c>
      <c r="DU479" s="20">
        <f>INDEX(Input!$1:$1048576,DU$93,$C479*2+6)</f>
        <v>0.52</v>
      </c>
      <c r="DV479" s="20">
        <f>INDEX(Input!$1:$1048576,DV$93,$C479*2+6)</f>
        <v>0.5</v>
      </c>
      <c r="DW479" s="20">
        <f>INDEX(Input!$1:$1048576,DW$93,$C479*2+6)</f>
        <v>0.45</v>
      </c>
      <c r="DX479" s="20"/>
      <c r="DY479" s="7">
        <v>0.10510668008711573</v>
      </c>
      <c r="DZ479" s="7">
        <v>0</v>
      </c>
      <c r="EA479" s="7">
        <v>0.81746394296471347</v>
      </c>
      <c r="EB479" s="7">
        <v>0</v>
      </c>
      <c r="EC479" s="7">
        <v>0</v>
      </c>
      <c r="ED479" s="7">
        <v>0</v>
      </c>
      <c r="EE479" s="7">
        <v>0</v>
      </c>
      <c r="EF479" s="7">
        <v>0</v>
      </c>
      <c r="EG479" s="7">
        <v>0</v>
      </c>
      <c r="EH479" s="7">
        <v>1.6654183964533737E-2</v>
      </c>
      <c r="EI479" s="7">
        <v>4.3508222617313012E-2</v>
      </c>
      <c r="EJ479" s="7">
        <v>0.22413563836174394</v>
      </c>
      <c r="EK479" s="7">
        <v>0.52948595066981141</v>
      </c>
      <c r="EL479" s="7">
        <v>0.18621600438659805</v>
      </c>
      <c r="EM479" s="7">
        <v>3.2597709900791735E-2</v>
      </c>
      <c r="EN479" s="7">
        <v>4.9410789274308045E-2</v>
      </c>
      <c r="EO479" s="7">
        <v>0.7013721727498835</v>
      </c>
      <c r="EP479" s="7">
        <v>0.10815962482719001</v>
      </c>
      <c r="EQ479" s="7">
        <v>9.4950727930266848E-2</v>
      </c>
      <c r="ER479" s="7">
        <v>4.6106685218351443E-2</v>
      </c>
      <c r="ES479" s="7">
        <v>4.4831667047379072E-2</v>
      </c>
      <c r="ET479" s="7">
        <v>7.7429376948170883E-2</v>
      </c>
      <c r="EU479" s="6">
        <v>1770</v>
      </c>
      <c r="EV479" s="6">
        <v>0</v>
      </c>
      <c r="EW479" s="6">
        <v>1770</v>
      </c>
      <c r="EX479" s="6">
        <v>0</v>
      </c>
      <c r="EY479" s="6">
        <v>2095.2884406297535</v>
      </c>
      <c r="EZ479" s="6">
        <v>147</v>
      </c>
      <c r="FA479" s="6">
        <v>0</v>
      </c>
      <c r="FB479" s="6">
        <v>0</v>
      </c>
      <c r="FC479" s="6">
        <v>0</v>
      </c>
      <c r="FD479" s="6">
        <v>0</v>
      </c>
      <c r="FE479" s="6">
        <v>0</v>
      </c>
      <c r="FF479" s="6">
        <v>0</v>
      </c>
      <c r="FG479" s="6">
        <v>0</v>
      </c>
      <c r="FH479" s="6">
        <v>1169.801072335061</v>
      </c>
      <c r="FI479" s="6">
        <v>1553.9796069512397</v>
      </c>
      <c r="FJ479" s="6">
        <v>1735.1562230702805</v>
      </c>
      <c r="FK479" s="6">
        <v>1284.9687470586844</v>
      </c>
      <c r="FL479" s="6">
        <v>907.07682140966381</v>
      </c>
      <c r="FM479" s="6">
        <v>1325.2884406297533</v>
      </c>
      <c r="FN479" s="6">
        <v>0</v>
      </c>
      <c r="FO479" s="6">
        <v>0</v>
      </c>
      <c r="FP479" s="6">
        <v>0</v>
      </c>
      <c r="FQ479" s="6">
        <v>0</v>
      </c>
      <c r="FR479" s="6">
        <v>0</v>
      </c>
      <c r="FS479" s="6">
        <v>0</v>
      </c>
      <c r="FT479" s="7">
        <v>0.92257062305182924</v>
      </c>
      <c r="FU479" s="7">
        <v>3.2597709900791735E-2</v>
      </c>
      <c r="FV479" s="7">
        <v>4.4831667047379072E-2</v>
      </c>
      <c r="FW479" s="6">
        <v>1770</v>
      </c>
      <c r="FX479" s="6">
        <v>2095.2884406297535</v>
      </c>
      <c r="FY479" s="6">
        <v>147</v>
      </c>
      <c r="FZ479" s="6">
        <v>1949.5716051445115</v>
      </c>
      <c r="GA479" s="6">
        <v>1707.8418626038335</v>
      </c>
      <c r="GB479" s="6">
        <v>18277.158137396167</v>
      </c>
      <c r="GC479" s="7">
        <v>3.3872851927908169E-2</v>
      </c>
      <c r="GD479" s="7">
        <v>3.3449343511484306E-2</v>
      </c>
      <c r="GE479" s="7"/>
      <c r="GF479" s="7"/>
      <c r="GG479" s="7">
        <v>-1.2502886303321008E-2</v>
      </c>
      <c r="GH479" s="42">
        <v>1.0336757907638217</v>
      </c>
      <c r="GI479" s="6">
        <v>21041.756982384595</v>
      </c>
      <c r="GJ479" s="14">
        <v>0.50394797582841777</v>
      </c>
      <c r="GK479" s="14">
        <v>0.50887573065309766</v>
      </c>
      <c r="GL479" s="14">
        <v>0.49605202417158289</v>
      </c>
      <c r="GM479" s="14">
        <v>0.49112426934690279</v>
      </c>
      <c r="GO479" s="5">
        <v>343.14810671672558</v>
      </c>
      <c r="GP479" s="5">
        <v>309.37988338875158</v>
      </c>
      <c r="GQ479" s="5">
        <v>535.04305713031317</v>
      </c>
      <c r="GR479" s="5">
        <v>410.15490233172511</v>
      </c>
      <c r="GS479" s="5">
        <v>339.42744393800166</v>
      </c>
      <c r="GT479" s="5">
        <v>293.4407446948278</v>
      </c>
      <c r="GU479" s="5">
        <v>258.04012322764959</v>
      </c>
      <c r="GV479" s="39" t="s">
        <v>392</v>
      </c>
      <c r="GW479" s="5">
        <v>478.23611111111109</v>
      </c>
      <c r="GX479" s="5">
        <v>358.67708333333331</v>
      </c>
      <c r="GY479" s="5">
        <v>293.55384547131746</v>
      </c>
      <c r="GZ479" s="5">
        <v>260.81240841112611</v>
      </c>
      <c r="HA479" s="5">
        <v>234.53733318419432</v>
      </c>
      <c r="HB479" s="39">
        <v>271.13702418967847</v>
      </c>
      <c r="HC479" s="5">
        <v>280.85312499999998</v>
      </c>
      <c r="HD479" s="5">
        <v>235.41580774853799</v>
      </c>
      <c r="HE479" s="5">
        <v>236.8873861336032</v>
      </c>
      <c r="HF479" s="5">
        <v>217.50938048245612</v>
      </c>
      <c r="HG479" s="5">
        <v>207.81388157894736</v>
      </c>
      <c r="HH479" s="39">
        <v>234.84720519760594</v>
      </c>
      <c r="HI479" s="16"/>
      <c r="HJ479" s="19" t="str">
        <f t="shared" ref="HJ479:HK479" si="1336">HJ478</f>
        <v>On</v>
      </c>
      <c r="HK479" s="1" t="str">
        <f t="shared" si="1336"/>
        <v>On</v>
      </c>
      <c r="HL479" s="16"/>
      <c r="HM479" s="639">
        <f t="shared" si="1255"/>
        <v>2.9403358434788716E-2</v>
      </c>
      <c r="HN479" s="639">
        <f t="shared" si="1256"/>
        <v>1.4106809950923669E-3</v>
      </c>
      <c r="HO479" s="639">
        <f t="shared" si="1257"/>
        <v>1.7317923025048877E-3</v>
      </c>
      <c r="HP479" s="644">
        <f>(FT479*$GD479-HM479)/$JF479*INDEX(Input!$1:$1048576,$JG$93,$C479*2+6)</f>
        <v>104.19393105229604</v>
      </c>
      <c r="HQ479" s="644">
        <f>(FU479*$GD479-HN479)/$JF479*INDEX(Input!$1:$1048576,$JG$93,$C479*2+6)</f>
        <v>-22.92151156711067</v>
      </c>
      <c r="HR479" s="644">
        <f>(FV479*$GD479-HO479)/$JF479*INDEX(Input!$1:$1048576,$JG$93,$C479*2+6)</f>
        <v>-16.616553541342203</v>
      </c>
      <c r="HS479" s="644">
        <f t="shared" si="1246"/>
        <v>-36.589923978448581</v>
      </c>
      <c r="HT479" s="644">
        <f t="shared" si="1326"/>
        <v>-20.618891329343288</v>
      </c>
      <c r="HU479" s="644">
        <f t="shared" si="1259"/>
        <v>1.025471533515504</v>
      </c>
      <c r="HV479" s="648">
        <f t="shared" si="1260"/>
        <v>0</v>
      </c>
      <c r="HW479" s="648">
        <f t="shared" si="1261"/>
        <v>0</v>
      </c>
      <c r="HX479" s="648">
        <f t="shared" si="1262"/>
        <v>0</v>
      </c>
      <c r="HY479" s="644">
        <f>INDEX(Input!$1:$1048576,HY$93,$C479*2+6)*INDEX(Input!$1:$1048576,$JG$93,$C479*2+6)</f>
        <v>993</v>
      </c>
      <c r="HZ479" s="644">
        <f>INDEX(Input!$1:$1048576,HZ$93,$C479*2+6)*INDEX(Input!$1:$1048576,$JG$93,$C479*2+6)</f>
        <v>1216</v>
      </c>
      <c r="IA479" s="644">
        <f>INDEX(Input!$1:$1048576,IA$93,$C479*2+6)*INDEX(Input!$1:$1048576,$JG$93,$C479*2+6)</f>
        <v>120</v>
      </c>
      <c r="IB479" s="644">
        <f t="shared" si="1283"/>
        <v>1060.6040070738475</v>
      </c>
      <c r="IC479" s="644">
        <f t="shared" si="1284"/>
        <v>1172.459597103546</v>
      </c>
      <c r="ID479" s="644">
        <f>IF(AND(INDEX(Input!$1:$1048576,IA$93,$C479*2+7)="TOS",Y479&lt;=INDEX(Y:Y,MATCH(C479*1000+2,A:A))),0,1)*MAX(IA479+HR479+HU479+HX479,0%)</f>
        <v>104.4089179921733</v>
      </c>
      <c r="IE479" s="128">
        <f t="shared" si="1327"/>
        <v>0.45373966838738666</v>
      </c>
      <c r="IF479" s="128">
        <f t="shared" si="1328"/>
        <v>0.50159288974884153</v>
      </c>
      <c r="IG479" s="128">
        <f t="shared" si="1319"/>
        <v>4.4667441863771862E-2</v>
      </c>
      <c r="IH479" s="21"/>
      <c r="II479" s="19">
        <f t="shared" si="1264"/>
        <v>1490</v>
      </c>
      <c r="IJ479" s="19">
        <f t="shared" si="1265"/>
        <v>2203.2561351629856</v>
      </c>
      <c r="IK479" s="19">
        <f t="shared" si="1266"/>
        <v>242</v>
      </c>
      <c r="IL479" s="19">
        <f t="shared" si="1285"/>
        <v>280</v>
      </c>
      <c r="IM479" s="19">
        <f t="shared" si="1267"/>
        <v>-107.96769453323213</v>
      </c>
      <c r="IN479" s="19">
        <f t="shared" si="1268"/>
        <v>-95</v>
      </c>
      <c r="IO479" s="39">
        <f t="shared" si="1269"/>
        <v>0</v>
      </c>
      <c r="IP479" s="39">
        <f t="shared" si="1270"/>
        <v>0</v>
      </c>
      <c r="IQ479" s="39">
        <f t="shared" si="1271"/>
        <v>0</v>
      </c>
      <c r="IR479" s="39">
        <v>0</v>
      </c>
      <c r="IS479" s="39">
        <v>0</v>
      </c>
      <c r="IT479" s="39">
        <v>0</v>
      </c>
      <c r="IU479" s="39">
        <v>0</v>
      </c>
      <c r="IV479" s="39">
        <v>0</v>
      </c>
      <c r="IW479" s="39">
        <v>0</v>
      </c>
      <c r="IX479" s="39">
        <f>INDEX(Input!$1:$1048576,IX$93,$C479*2+6)+INDEX(Input!$1:$1048576,IX$94,$C479*2+6)</f>
        <v>1770</v>
      </c>
      <c r="IY479" s="39">
        <f>INDEX(Input!$1:$1048576,IY$93,$C479*2+6)+INDEX(Input!$1:$1048576,IY$94,$C479*2+6)</f>
        <v>2630.0624533823611</v>
      </c>
      <c r="IZ479" s="39">
        <f>INDEX(Input!$1:$1048576,IZ$93,$C479*2+6)+INDEX(Input!$1:$1048576,IZ$94,$C479*2+6)</f>
        <v>4153.7164157747848</v>
      </c>
      <c r="JA479" s="19">
        <f t="shared" si="1286"/>
        <v>2050</v>
      </c>
      <c r="JB479" s="19">
        <f t="shared" si="1287"/>
        <v>2522.094758849129</v>
      </c>
      <c r="JC479" s="19">
        <f t="shared" si="1288"/>
        <v>4058.7164157747848</v>
      </c>
      <c r="JD479" s="19">
        <f t="shared" si="1289"/>
        <v>2376.5235980488419</v>
      </c>
      <c r="JE479" s="21"/>
      <c r="JF479" s="1">
        <f t="shared" si="1272"/>
        <v>3.2545831732385969E-2</v>
      </c>
      <c r="JG479" s="15">
        <f>INDEX(Input!$1:$1048576,JG$93,$C479*2+6)/(1+VLOOKUP(C479*1000+INDEX(Input!$1:$1048576,JG$93+1,$C479*2+6),$A:$KK,$JK$92,FALSE))</f>
        <v>2329</v>
      </c>
      <c r="JH479" s="1">
        <f t="shared" si="1290"/>
        <v>2.7761213372195434E-2</v>
      </c>
      <c r="JI479" s="1">
        <f t="shared" si="1291"/>
        <v>-2.4123376459543305E-2</v>
      </c>
      <c r="JJ479" s="1">
        <f t="shared" si="1329"/>
        <v>0</v>
      </c>
      <c r="JK479" s="1">
        <f t="shared" si="1330"/>
        <v>3.6378369126521294E-3</v>
      </c>
      <c r="JL479" s="15">
        <f t="shared" si="1292"/>
        <v>8.47252216956681</v>
      </c>
      <c r="JM479" s="15">
        <f t="shared" si="1311"/>
        <v>2337.4725221695667</v>
      </c>
      <c r="JN479" s="21"/>
      <c r="JO479" s="19">
        <f>INDEX(Input!$1:$1048576,JO$93,$C479*2+6)</f>
        <v>5995.5</v>
      </c>
      <c r="JP479" s="19">
        <f>INDEX(Input!$1:$1048576,JP$93,$C479*2+6)</f>
        <v>2341.8685758720158</v>
      </c>
      <c r="JQ479" s="39">
        <f t="shared" si="1300"/>
        <v>3618.9764019511581</v>
      </c>
      <c r="JR479" s="39">
        <f t="shared" si="1314"/>
        <v>34.655022176826151</v>
      </c>
      <c r="JS479" s="39">
        <f t="shared" si="1301"/>
        <v>5.5550586087267204</v>
      </c>
      <c r="JT479" s="39">
        <f t="shared" si="1293"/>
        <v>0.10084669552079588</v>
      </c>
      <c r="JU479" s="385">
        <f>(JQ479*JM479-INDEX(Input!$1:$1048576,Input!A$18,$C479*2+6)*JL479*INDEX(Input!$1:$1048576,Input!A$19,$C479*2+6))/1000000</f>
        <v>8.4592578979409172</v>
      </c>
      <c r="JV479" s="39">
        <f t="shared" si="1335"/>
        <v>-5.0049688853157193E-2</v>
      </c>
      <c r="JW479" s="1">
        <f t="shared" si="1312"/>
        <v>-5.8817581034244495E-3</v>
      </c>
      <c r="JX479" s="19">
        <f t="shared" si="1305"/>
        <v>11902.795118440163</v>
      </c>
      <c r="JZ479" s="341"/>
      <c r="KA479" s="342"/>
      <c r="KB479" s="469">
        <f t="shared" si="1302"/>
        <v>2.3434325605641804</v>
      </c>
      <c r="KI479" s="473">
        <f t="shared" si="1331"/>
        <v>67.60400707384747</v>
      </c>
      <c r="KJ479" s="473">
        <f t="shared" si="1332"/>
        <v>-43.540402896453998</v>
      </c>
      <c r="KK479" s="473">
        <f t="shared" si="1324"/>
        <v>-15.591082007826699</v>
      </c>
      <c r="KN479" s="544">
        <f t="shared" si="1306"/>
        <v>4002</v>
      </c>
      <c r="KO479" s="541">
        <f t="shared" si="1273"/>
        <v>-3.3547863802929734E-2</v>
      </c>
      <c r="KP479" s="546">
        <f t="shared" si="1274"/>
        <v>-210.7056811850556</v>
      </c>
      <c r="KQ479" s="546">
        <f t="shared" si="1275"/>
        <v>-248.24758998717925</v>
      </c>
      <c r="KR479" s="548">
        <f t="shared" si="1276"/>
        <v>2.7640383899281926</v>
      </c>
      <c r="KS479" s="548">
        <f t="shared" si="1277"/>
        <v>2.3460392578294202</v>
      </c>
      <c r="KT479" s="473">
        <f t="shared" si="1303"/>
        <v>1580.0986321700548</v>
      </c>
      <c r="KU479" s="663">
        <f t="shared" si="1295"/>
        <v>4.0308502610859271</v>
      </c>
    </row>
    <row r="480" spans="1:307" s="26" customFormat="1" ht="15" outlineLevel="1">
      <c r="A480" s="561">
        <f t="shared" si="1278"/>
        <v>4080</v>
      </c>
      <c r="B480" s="561">
        <f t="shared" si="1296"/>
        <v>80</v>
      </c>
      <c r="C480" s="561">
        <f t="shared" si="1297"/>
        <v>4</v>
      </c>
      <c r="D480" s="561" t="str">
        <f t="shared" si="1206"/>
        <v xml:space="preserve">0.9/1.9/2.9/3.9, -360 Lease, </v>
      </c>
      <c r="E480" s="475">
        <f>INDEX(Input!$1:$1048576,E$93,$C480*2+MIN($B480,2)+5)
+INDEX(Scenarios!E$121:E$200,MATCH($B480,Scenarios!$B$121:$B$200,0))</f>
        <v>1256.832975525977</v>
      </c>
      <c r="F480" s="475">
        <f>INDEX(Input!$1:$1048576,F$93,$C480*2+MIN($B480,2)+5)
+INDEX(Scenarios!F$121:F$200,MATCH($B480,Scenarios!$B$121:$B$200,0))</f>
        <v>0</v>
      </c>
      <c r="G480" s="475">
        <f>INDEX(Input!$1:$1048576,G$93,$C480*2+MIN($B480,2)+5)
+INDEX(Scenarios!G$121:G$200,MATCH($B480,Scenarios!$B$121:$B$200,0))</f>
        <v>0</v>
      </c>
      <c r="H480" s="475">
        <f>INDEX(Input!$1:$1048576,H$93,$C480*2+MIN($B480,2)+5)
+INDEX(Scenarios!H$121:H$200,MATCH($B480,Scenarios!$B$121:$B$200,0))</f>
        <v>0</v>
      </c>
      <c r="I480" s="476">
        <f>INDEX(Input!$1:$1048576,I$93,$C480*2+MIN($B480,2)+5)</f>
        <v>0.7</v>
      </c>
      <c r="J480" s="476" t="str">
        <f>INDEX(Input!$1:$1048576,J$93,$C480*2+MIN($B480,2)+5)</f>
        <v>Market</v>
      </c>
      <c r="K480" s="476" t="str">
        <f>INDEX(Input!$1:$1048576,K$93,$C480*2+MIN($B480,2)+5)</f>
        <v>Market</v>
      </c>
      <c r="L480" s="476" t="str">
        <f>INDEX(Input!$1:$1048576,L$93,$C480*2+MIN($B480,2)+5)</f>
        <v>Market</v>
      </c>
      <c r="M480" s="476" t="str">
        <f>INDEX(Input!$1:$1048576,M$93,$C480*2+MIN($B480,2)+5)</f>
        <v>Market</v>
      </c>
      <c r="N480" s="476" t="str">
        <f>INDEX(Input!$1:$1048576,N$93,$C480*2+MIN($B480,2)+5)</f>
        <v>Market</v>
      </c>
      <c r="O480" s="476" t="str">
        <f>INDEX(Input!$1:$1048576,O$93,$C480*2+MIN($B480,2)+5)</f>
        <v>Market</v>
      </c>
      <c r="P480" s="476" t="str">
        <f>INDEX(Input!$1:$1048576,P$93,$C480*2+MIN($B480,2)+5)</f>
        <v>N</v>
      </c>
      <c r="Q480" s="477">
        <f>INDEX(Input!$1:$1048576,Q$93,$C480*2+MIN($B480,2)+5)
+INDEX(Scenarios!Q$121:Q$200,MATCH($B480,Scenarios!$B$121:$B$200,0))</f>
        <v>0</v>
      </c>
      <c r="R480" s="478">
        <f>IFERROR(MAX(0,INDEX(Input!$1:$1048576,R$93,$C480*2+MIN($B480,2)+5)
+INDEX(Scenarios!R$121:R$200,MATCH($B480,Scenarios!$B$121:$B$200,0)),),"Market")</f>
        <v>0</v>
      </c>
      <c r="S480" s="478">
        <f>IFERROR(MAX(0,INDEX(Input!$1:$1048576,S$93,$C480*2+MIN($B480,2)+5)
+INDEX(Scenarios!S$121:S$200,MATCH($B480,Scenarios!$B$121:$B$200,0)),),"Market")</f>
        <v>0</v>
      </c>
      <c r="T480" s="478">
        <f>IFERROR(MAX(0,INDEX(Input!$1:$1048576,T$93,$C480*2+MIN($B480,2)+5)
+INDEX(Scenarios!T$121:T$200,MATCH($B480,Scenarios!$B$121:$B$200,0)),),"Market")</f>
        <v>0</v>
      </c>
      <c r="U480" s="478">
        <f>IFERROR(MAX(0,INDEX(Input!$1:$1048576,U$93,$C480*2+MIN($B480,2)+5)
+INDEX(Scenarios!U$121:U$200,MATCH($B480,Scenarios!$B$121:$B$200,0)),),"Market")</f>
        <v>9.0000000000000011E-3</v>
      </c>
      <c r="V480" s="478">
        <f>IFERROR(MAX(0,INDEX(Input!$1:$1048576,V$93,$C480*2+MIN($B480,2)+5)
+INDEX(Scenarios!V$121:V$200,MATCH($B480,Scenarios!$B$121:$B$200,0)),),"Market")</f>
        <v>2.8999999999999998E-2</v>
      </c>
      <c r="W480" s="885">
        <f>IFERROR(MAX(0,INDEX(Input!$1:$1048576,W$93,$C480*2+MIN($B480,2)+5)-0%,),"Market")</f>
        <v>3.9E-2</v>
      </c>
      <c r="X480" s="476" t="str">
        <f>INDEX(Input!$1:$1048576,X$93,$C480*2+MIN($B480,2)+5)</f>
        <v>Y</v>
      </c>
      <c r="Y480" s="475">
        <f>INDEX(Input!$1:$1048576,Y$93,$C480*2+MIN($B480,2)+5)
++INDEX(Scenarios!Y$121:Y$200,MATCH($B480,Scenarios!$B$121:$B$200,0))</f>
        <v>-1230</v>
      </c>
      <c r="Z480" s="477">
        <f>INDEX(Input!$1:$1048576,Z$93,$C480*2+MIN($B480,2)+5)
+INDEX(Scenarios!Z$121:Z$200,MATCH($B480,Scenarios!$B$121:$B$200,0))</f>
        <v>0</v>
      </c>
      <c r="AA480" s="475">
        <f>INDEX(Input!$1:$1048576,AA$93,$C480*2+MIN($B480,2)+5)
+INDEX(Scenarios!AA$121:AA$200,MATCH($B480,Scenarios!$B$121:$B$200,0))</f>
        <v>0</v>
      </c>
      <c r="AB480" s="476">
        <f>INDEX(Input!$1:$1048576,AB$93,$C480*2+MIN($B480,2)+5)</f>
        <v>0.27</v>
      </c>
      <c r="AC480" s="475">
        <f>INDEX(Input!$1:$1048576,AC$93,$C480*2+MIN($B480,2)+5)
+INDEX(Scenarios!AC$121:AC$200,MATCH($B480,Scenarios!$B$121:$B$200,0))</f>
        <v>0</v>
      </c>
      <c r="AD480" s="476">
        <f>INDEX(Input!$1:$1048576,AD$93,$C480*2+MIN($B480,2)+5)</f>
        <v>0.27</v>
      </c>
      <c r="AE480" s="475">
        <f>INDEX(Input!$1:$1048576,AE$93,$C480*2+MIN($B480,2)+5)
+INDEX(Scenarios!AE$121:AE$200,MATCH($B480,Scenarios!$B$121:$B$200,0))</f>
        <v>0</v>
      </c>
      <c r="AF480" s="476">
        <f>INDEX(Input!$1:$1048576,AF$93,$C480*2+MIN($B480,2)+5)</f>
        <v>1</v>
      </c>
      <c r="AG480" s="475">
        <f>INDEX(Input!$1:$1048576,AG$93,$C480*2+MIN($B480,2)+5)
+INDEX(Scenarios!AG$121:AG$200,MATCH($B480,Scenarios!$B$121:$B$200,0))</f>
        <v>500</v>
      </c>
      <c r="AH480" s="476">
        <f>INDEX(Input!$1:$1048576,AH$93,$C480*2+MIN($B480,2)+5)</f>
        <v>0.83199999999999996</v>
      </c>
      <c r="AI480" s="475">
        <f>INDEX(Input!$1:$1048576,AI$93,$C480*2+MIN($B480,2)+5)
+INDEX(Scenarios!AI$121:AI$200,MATCH($B480,Scenarios!$B$121:$B$200,0))</f>
        <v>0</v>
      </c>
      <c r="AJ480" s="476">
        <f>INDEX(Input!$1:$1048576,AJ$93,$C480*2+MIN($B480,2)+5)</f>
        <v>0.27</v>
      </c>
      <c r="AK480" s="150">
        <f>ROUND(INDEX(Input!$1:$1048576,AK$93,$C479*2+MIN($B480,1)+5)+(Y480-VLOOKUP($C480*1000+1,$A:$HH,Y$92,FALSE)),0)</f>
        <v>2227</v>
      </c>
      <c r="AL480" s="150">
        <f>ROUND(INDEX(Input!$1:$1048576,AL$93,$C479*2+MIN($B480,1)+5)-(Y480-VLOOKUP($C480*1000+1,$A:$HH,Y$92,FALSE))/36,0)</f>
        <v>3416</v>
      </c>
      <c r="AM480" s="32" t="str">
        <f t="shared" si="1279"/>
        <v>std/std/std/std</v>
      </c>
      <c r="AN480" s="32" t="str">
        <f t="shared" si="1280"/>
        <v>$0 + 0/0/0.9/2.9/3.9</v>
      </c>
      <c r="AO480" s="32" t="str">
        <f t="shared" si="1281"/>
        <v>0/0/0.9/2.9/3.9</v>
      </c>
      <c r="AP480" s="32" t="str">
        <f t="shared" si="1213"/>
        <v>0.9/1.9/2.9/3.9</v>
      </c>
      <c r="AQ480" s="536">
        <f t="shared" si="1207"/>
        <v>0.45373966838738666</v>
      </c>
      <c r="AR480" s="32"/>
      <c r="AS480" s="302"/>
      <c r="AT480" s="3">
        <f t="shared" si="1298"/>
        <v>80</v>
      </c>
      <c r="AU480" s="41" t="s">
        <v>121</v>
      </c>
      <c r="AV480" s="41" t="s">
        <v>116</v>
      </c>
      <c r="AW480" s="41" t="str">
        <f>INDEX(Input!$1:$1048576,AW$93,$C480*2+6)</f>
        <v>Kia</v>
      </c>
      <c r="AX480" s="41" t="str">
        <f>INDEX(Input!$1:$1048576,AX$93,$C480*2+6)</f>
        <v>Kia-LR - R1</v>
      </c>
      <c r="AY480" s="41" t="str">
        <f>IF(LEN(D480)=0,"",INDEX(Input!$1:$1048576,AY$93,$C480*2+6))</f>
        <v>Compact SUV (52)</v>
      </c>
      <c r="AZ480" s="41" t="str">
        <f>INDEX(Input!$1:$1048576,AZ$93,$C480*2+6)</f>
        <v>Kia Soul</v>
      </c>
      <c r="BA480" s="3">
        <f>INDEX(Input!$1:$1048576,BA$93,$C480*2+6)</f>
        <v>2020</v>
      </c>
      <c r="BB480" s="128">
        <f>INDEX(Input!$1:$1048576,BB$93,$C480*2+6)</f>
        <v>1</v>
      </c>
      <c r="BC480" s="128">
        <f>INDEX(Input!$1:$1048576,BC$93,$C480*2+6)</f>
        <v>0.7</v>
      </c>
      <c r="BD480" s="1">
        <f>INDEX(Input!$1:$1048576,BD$93,$C480*2+6)</f>
        <v>4.4999999999999998E-2</v>
      </c>
      <c r="BE480" s="1">
        <f>INDEX(Input!$1:$1048576,BE$93,$C480*2+6)</f>
        <v>4.4999999999999998E-2</v>
      </c>
      <c r="BF480" s="1">
        <f>INDEX(Input!$1:$1048576,BF$93,$C480*2+6)</f>
        <v>0.05</v>
      </c>
      <c r="BG480" s="1">
        <f>INDEX(Input!$1:$1048576,BG$93,$C480*2+6)</f>
        <v>5.45E-2</v>
      </c>
      <c r="BH480" s="1">
        <f>INDEX(Input!$1:$1048576,BH$93,$C480*2+6)</f>
        <v>5.45E-2</v>
      </c>
      <c r="BI480" s="1">
        <f>INDEX(Input!$1:$1048576,BI$93,$C480*2+6)</f>
        <v>0.05</v>
      </c>
      <c r="BJ480" s="1">
        <f>INDEX(Input!$1:$1048576,BJ$93,$C480*2+6)</f>
        <v>0.05</v>
      </c>
      <c r="BK480" s="1">
        <f>INDEX(Input!$1:$1048576,BK$93,$C480*2+6)</f>
        <v>0.05</v>
      </c>
      <c r="BL480" s="1">
        <f>INDEX(Input!$1:$1048576,BL$93,$C480*2+6)</f>
        <v>5.5E-2</v>
      </c>
      <c r="BM480" s="1">
        <f>INDEX(Input!$1:$1048576,BM$93,$C480*2+6)</f>
        <v>0.06</v>
      </c>
      <c r="BN480" s="1">
        <f>INDEX(Input!$1:$1048576,BN$93,$C480*2+6)</f>
        <v>4.4999999999999998E-2</v>
      </c>
      <c r="BO480" s="1">
        <f>INDEX(Input!$1:$1048576,BO$93,$C480*2+6)</f>
        <v>4.4999999999999998E-2</v>
      </c>
      <c r="BP480" s="1">
        <f>INDEX(Input!$1:$1048576,BP$93,$C480*2+6)</f>
        <v>0.05</v>
      </c>
      <c r="BQ480" s="1">
        <f>INDEX(Input!$1:$1048576,BQ$93,$C480*2+6)</f>
        <v>5.45E-2</v>
      </c>
      <c r="BR480" s="1">
        <f>INDEX(Input!$1:$1048576,BR$93,$C480*2+6)</f>
        <v>5.45E-2</v>
      </c>
      <c r="BS480" s="1">
        <f>INDEX(Input!$1:$1048576,BS$93,$C480*2+6)</f>
        <v>0.05</v>
      </c>
      <c r="BT480" s="1">
        <f>INDEX(Input!$1:$1048576,BT$93,$C480*2+6)</f>
        <v>0.05</v>
      </c>
      <c r="BU480" s="1">
        <f>INDEX(Input!$1:$1048576,BU$93,$C480*2+6)</f>
        <v>0.05</v>
      </c>
      <c r="BV480" s="1">
        <f>INDEX(Input!$1:$1048576,BV$93,$C480*2+6)</f>
        <v>5.5E-2</v>
      </c>
      <c r="BW480" s="1">
        <f>INDEX(Input!$1:$1048576,BW$93,$C480*2+6)</f>
        <v>0.06</v>
      </c>
      <c r="BX480" s="127">
        <f>INDEX(Input!$1:$1048576,BX$93,$C480*2+6)</f>
        <v>19985</v>
      </c>
      <c r="BY480" s="20">
        <f>INDEX(Input!$1:$1048576,BY$93,$C480*2+6)</f>
        <v>0.1</v>
      </c>
      <c r="BZ480" s="20">
        <f>INDEX(Input!$1:$1048576,BZ$93,$C480*2+6)</f>
        <v>0.1</v>
      </c>
      <c r="CA480" s="20">
        <f>INDEX(Input!$1:$1048576,CA$93,$C480*2+6)</f>
        <v>0.1</v>
      </c>
      <c r="CB480" s="20">
        <f>INDEX(Input!$1:$1048576,CB$93,$C480*2+6)</f>
        <v>0.1</v>
      </c>
      <c r="CC480" s="20">
        <f>INDEX(Input!$1:$1048576,CC$93,$C480*2+6)</f>
        <v>0.1</v>
      </c>
      <c r="CD480" s="384">
        <f>INDEX(Input!$1:$1048576,CD$93,$C480*2+6)</f>
        <v>0.1</v>
      </c>
      <c r="CE480" s="384">
        <f>INDEX(Input!$1:$1048576,CE$93,$C480*2+6)</f>
        <v>0.1</v>
      </c>
      <c r="CF480" s="384">
        <f>INDEX(Input!$1:$1048576,CF$93,$C480*2+6)</f>
        <v>0.1</v>
      </c>
      <c r="CG480" s="384">
        <f>INDEX(Input!$1:$1048576,CG$93,$C480*2+6)</f>
        <v>0.1</v>
      </c>
      <c r="CH480" s="384">
        <f>INDEX(Input!$1:$1048576,CH$93,$C480*2+6)</f>
        <v>0.1</v>
      </c>
      <c r="CI480" s="304">
        <f t="shared" si="1214"/>
        <v>1256.832975525977</v>
      </c>
      <c r="CJ480" s="16" t="str">
        <f>INDEX(Input!$1:$1048576,CJ$93,$C480*2+6)</f>
        <v>N</v>
      </c>
      <c r="CK480" s="1" t="str">
        <f t="shared" si="1215"/>
        <v>Market</v>
      </c>
      <c r="CL480" s="1" t="str">
        <f t="shared" si="1216"/>
        <v>Market</v>
      </c>
      <c r="CM480" s="1" t="str">
        <f t="shared" si="1217"/>
        <v>Market</v>
      </c>
      <c r="CN480" s="1" t="str">
        <f t="shared" si="1218"/>
        <v>Market</v>
      </c>
      <c r="CO480" s="1" t="str">
        <f t="shared" si="1219"/>
        <v>Market</v>
      </c>
      <c r="CP480" s="304">
        <f t="shared" si="1220"/>
        <v>416</v>
      </c>
      <c r="CQ480" s="1">
        <f t="shared" si="1221"/>
        <v>0</v>
      </c>
      <c r="CR480" s="1">
        <f t="shared" si="1222"/>
        <v>0</v>
      </c>
      <c r="CS480" s="1">
        <f t="shared" si="1223"/>
        <v>9.0000000000000011E-3</v>
      </c>
      <c r="CT480" s="1">
        <f t="shared" si="1224"/>
        <v>2.8999999999999998E-2</v>
      </c>
      <c r="CU480" s="1">
        <f t="shared" si="1225"/>
        <v>3.9E-2</v>
      </c>
      <c r="CV480" s="304">
        <f t="shared" si="1226"/>
        <v>-1230</v>
      </c>
      <c r="CW480" s="20" t="s">
        <v>122</v>
      </c>
      <c r="CX480" s="20" t="s">
        <v>122</v>
      </c>
      <c r="CY480" s="20" t="s">
        <v>122</v>
      </c>
      <c r="CZ480" s="20" t="s">
        <v>122</v>
      </c>
      <c r="DA480" s="20" t="s">
        <v>122</v>
      </c>
      <c r="DB480" s="503">
        <f t="shared" si="1227"/>
        <v>0</v>
      </c>
      <c r="DC480" s="127">
        <v>0</v>
      </c>
      <c r="DD480" s="127">
        <v>0</v>
      </c>
      <c r="DE480" s="127">
        <v>0</v>
      </c>
      <c r="DF480" s="127">
        <v>0</v>
      </c>
      <c r="DG480" s="127">
        <v>0</v>
      </c>
      <c r="DH480" s="127">
        <v>0</v>
      </c>
      <c r="DI480" s="127">
        <v>0</v>
      </c>
      <c r="DJ480" s="127">
        <v>0</v>
      </c>
      <c r="DK480" s="127">
        <v>0</v>
      </c>
      <c r="DL480" s="127">
        <v>0</v>
      </c>
      <c r="DM480" s="304">
        <f>INDEX(Input!$1:$1048576,DM$93,$C480*2+6)</f>
        <v>21036.84210526316</v>
      </c>
      <c r="DN480" s="20">
        <v>0</v>
      </c>
      <c r="DO480" s="20">
        <v>0</v>
      </c>
      <c r="DP480" s="20">
        <v>0</v>
      </c>
      <c r="DQ480" s="20">
        <v>0</v>
      </c>
      <c r="DR480" s="20">
        <v>0</v>
      </c>
      <c r="DS480" s="20">
        <f>INDEX(Input!$1:$1048576,DS$93,$C480*2+6)</f>
        <v>0.6</v>
      </c>
      <c r="DT480" s="20">
        <f>INDEX(Input!$1:$1048576,DT$93,$C480*2+6)</f>
        <v>0.55000000000000004</v>
      </c>
      <c r="DU480" s="20">
        <f>INDEX(Input!$1:$1048576,DU$93,$C480*2+6)</f>
        <v>0.52</v>
      </c>
      <c r="DV480" s="20">
        <f>INDEX(Input!$1:$1048576,DV$93,$C480*2+6)</f>
        <v>0.5</v>
      </c>
      <c r="DW480" s="20">
        <f>INDEX(Input!$1:$1048576,DW$93,$C480*2+6)</f>
        <v>0.45</v>
      </c>
      <c r="DX480" s="20"/>
      <c r="DY480" s="7">
        <v>0.10510668008711573</v>
      </c>
      <c r="DZ480" s="7">
        <v>0</v>
      </c>
      <c r="EA480" s="7">
        <v>0.81746394296471347</v>
      </c>
      <c r="EB480" s="7">
        <v>0</v>
      </c>
      <c r="EC480" s="7">
        <v>0</v>
      </c>
      <c r="ED480" s="7">
        <v>0</v>
      </c>
      <c r="EE480" s="7">
        <v>0</v>
      </c>
      <c r="EF480" s="7">
        <v>0</v>
      </c>
      <c r="EG480" s="7">
        <v>0</v>
      </c>
      <c r="EH480" s="7">
        <v>1.6654183964533737E-2</v>
      </c>
      <c r="EI480" s="7">
        <v>4.3508222617313012E-2</v>
      </c>
      <c r="EJ480" s="7">
        <v>0.22413563836174394</v>
      </c>
      <c r="EK480" s="7">
        <v>0.52948595066981141</v>
      </c>
      <c r="EL480" s="7">
        <v>0.18621600438659805</v>
      </c>
      <c r="EM480" s="7">
        <v>3.2597709900791735E-2</v>
      </c>
      <c r="EN480" s="7">
        <v>4.9410789274308045E-2</v>
      </c>
      <c r="EO480" s="7">
        <v>0.7013721727498835</v>
      </c>
      <c r="EP480" s="7">
        <v>0.10815962482719001</v>
      </c>
      <c r="EQ480" s="7">
        <v>9.4950727930266848E-2</v>
      </c>
      <c r="ER480" s="7">
        <v>4.6106685218351443E-2</v>
      </c>
      <c r="ES480" s="7">
        <v>4.4831667047379072E-2</v>
      </c>
      <c r="ET480" s="7">
        <v>7.7429376948170883E-2</v>
      </c>
      <c r="EU480" s="6">
        <v>1770</v>
      </c>
      <c r="EV480" s="6">
        <v>0</v>
      </c>
      <c r="EW480" s="6">
        <v>1770</v>
      </c>
      <c r="EX480" s="6">
        <v>0</v>
      </c>
      <c r="EY480" s="6">
        <v>2095.2884406297535</v>
      </c>
      <c r="EZ480" s="6">
        <v>147</v>
      </c>
      <c r="FA480" s="6">
        <v>0</v>
      </c>
      <c r="FB480" s="6">
        <v>0</v>
      </c>
      <c r="FC480" s="6">
        <v>0</v>
      </c>
      <c r="FD480" s="6">
        <v>0</v>
      </c>
      <c r="FE480" s="6">
        <v>0</v>
      </c>
      <c r="FF480" s="6">
        <v>0</v>
      </c>
      <c r="FG480" s="6">
        <v>0</v>
      </c>
      <c r="FH480" s="6">
        <v>1169.801072335061</v>
      </c>
      <c r="FI480" s="6">
        <v>1553.9796069512397</v>
      </c>
      <c r="FJ480" s="6">
        <v>1735.1562230702805</v>
      </c>
      <c r="FK480" s="6">
        <v>1284.9687470586844</v>
      </c>
      <c r="FL480" s="6">
        <v>907.07682140966381</v>
      </c>
      <c r="FM480" s="6">
        <v>1325.2884406297533</v>
      </c>
      <c r="FN480" s="6">
        <v>0</v>
      </c>
      <c r="FO480" s="6">
        <v>0</v>
      </c>
      <c r="FP480" s="6">
        <v>0</v>
      </c>
      <c r="FQ480" s="6">
        <v>0</v>
      </c>
      <c r="FR480" s="6">
        <v>0</v>
      </c>
      <c r="FS480" s="6">
        <v>0</v>
      </c>
      <c r="FT480" s="7">
        <v>0.92257062305182924</v>
      </c>
      <c r="FU480" s="7">
        <v>3.2597709900791735E-2</v>
      </c>
      <c r="FV480" s="7">
        <v>4.4831667047379072E-2</v>
      </c>
      <c r="FW480" s="6">
        <v>1770</v>
      </c>
      <c r="FX480" s="6">
        <v>2095.2884406297535</v>
      </c>
      <c r="FY480" s="6">
        <v>147</v>
      </c>
      <c r="FZ480" s="6">
        <v>1949.5716051445115</v>
      </c>
      <c r="GA480" s="6">
        <v>1707.8418626038335</v>
      </c>
      <c r="GB480" s="6">
        <v>18277.158137396167</v>
      </c>
      <c r="GC480" s="7">
        <v>3.3872851927908169E-2</v>
      </c>
      <c r="GD480" s="7">
        <v>3.3449343511484306E-2</v>
      </c>
      <c r="GE480" s="7"/>
      <c r="GF480" s="7"/>
      <c r="GG480" s="7">
        <v>-1.2502886303321008E-2</v>
      </c>
      <c r="GH480" s="42">
        <v>1.0336757907638217</v>
      </c>
      <c r="GI480" s="6">
        <v>21041.756982384595</v>
      </c>
      <c r="GJ480" s="14">
        <v>0.50394797582841777</v>
      </c>
      <c r="GK480" s="14">
        <v>0.50887573065309766</v>
      </c>
      <c r="GL480" s="14">
        <v>0.49605202417158289</v>
      </c>
      <c r="GM480" s="14">
        <v>0.49112426934690279</v>
      </c>
      <c r="GO480" s="5">
        <v>343.14810671672558</v>
      </c>
      <c r="GP480" s="5">
        <v>309.37988338875158</v>
      </c>
      <c r="GQ480" s="5">
        <v>535.04305713031317</v>
      </c>
      <c r="GR480" s="5">
        <v>410.15490233172511</v>
      </c>
      <c r="GS480" s="5">
        <v>339.42744393800166</v>
      </c>
      <c r="GT480" s="5">
        <v>293.4407446948278</v>
      </c>
      <c r="GU480" s="5">
        <v>258.04012322764959</v>
      </c>
      <c r="GV480" s="39" t="s">
        <v>392</v>
      </c>
      <c r="GW480" s="5">
        <v>478.23611111111109</v>
      </c>
      <c r="GX480" s="5">
        <v>358.67708333333331</v>
      </c>
      <c r="GY480" s="5">
        <v>293.55384547131746</v>
      </c>
      <c r="GZ480" s="5">
        <v>260.81240841112611</v>
      </c>
      <c r="HA480" s="5">
        <v>234.53733318419432</v>
      </c>
      <c r="HB480" s="39">
        <v>271.13702418967847</v>
      </c>
      <c r="HC480" s="5">
        <v>280.85312499999998</v>
      </c>
      <c r="HD480" s="5">
        <v>235.41580774853799</v>
      </c>
      <c r="HE480" s="5">
        <v>236.8873861336032</v>
      </c>
      <c r="HF480" s="5">
        <v>217.50938048245612</v>
      </c>
      <c r="HG480" s="5">
        <v>207.81388157894736</v>
      </c>
      <c r="HH480" s="39">
        <v>234.84720519760594</v>
      </c>
      <c r="HI480" s="16"/>
      <c r="HJ480" s="19" t="str">
        <f t="shared" ref="HJ480:HK480" si="1337">HJ479</f>
        <v>On</v>
      </c>
      <c r="HK480" s="1" t="str">
        <f t="shared" si="1337"/>
        <v>On</v>
      </c>
      <c r="HL480" s="16"/>
      <c r="HM480" s="639">
        <f t="shared" si="1255"/>
        <v>2.9403358434788716E-2</v>
      </c>
      <c r="HN480" s="639">
        <f t="shared" si="1256"/>
        <v>1.4106809950923669E-3</v>
      </c>
      <c r="HO480" s="639">
        <f t="shared" si="1257"/>
        <v>1.7317923025048877E-3</v>
      </c>
      <c r="HP480" s="644">
        <f>(FT480*$GD480-HM480)/$JF480*INDEX(Input!$1:$1048576,$JG$93,$C480*2+6)</f>
        <v>104.19393105229604</v>
      </c>
      <c r="HQ480" s="644">
        <f>(FU480*$GD480-HN480)/$JF480*INDEX(Input!$1:$1048576,$JG$93,$C480*2+6)</f>
        <v>-22.92151156711067</v>
      </c>
      <c r="HR480" s="644">
        <f>(FV480*$GD480-HO480)/$JF480*INDEX(Input!$1:$1048576,$JG$93,$C480*2+6)</f>
        <v>-16.616553541342203</v>
      </c>
      <c r="HS480" s="644">
        <f t="shared" si="1246"/>
        <v>-36.589923978448581</v>
      </c>
      <c r="HT480" s="644">
        <f t="shared" si="1326"/>
        <v>-20.618891329343288</v>
      </c>
      <c r="HU480" s="644">
        <f t="shared" si="1259"/>
        <v>1.025471533515504</v>
      </c>
      <c r="HV480" s="648">
        <f t="shared" si="1260"/>
        <v>0</v>
      </c>
      <c r="HW480" s="648">
        <f t="shared" si="1261"/>
        <v>0</v>
      </c>
      <c r="HX480" s="648">
        <f t="shared" si="1262"/>
        <v>0</v>
      </c>
      <c r="HY480" s="644">
        <f>INDEX(Input!$1:$1048576,HY$93,$C480*2+6)*INDEX(Input!$1:$1048576,$JG$93,$C480*2+6)</f>
        <v>993</v>
      </c>
      <c r="HZ480" s="644">
        <f>INDEX(Input!$1:$1048576,HZ$93,$C480*2+6)*INDEX(Input!$1:$1048576,$JG$93,$C480*2+6)</f>
        <v>1216</v>
      </c>
      <c r="IA480" s="644">
        <f>INDEX(Input!$1:$1048576,IA$93,$C480*2+6)*INDEX(Input!$1:$1048576,$JG$93,$C480*2+6)</f>
        <v>120</v>
      </c>
      <c r="IB480" s="644">
        <f t="shared" si="1283"/>
        <v>1060.6040070738475</v>
      </c>
      <c r="IC480" s="644">
        <f t="shared" si="1284"/>
        <v>1172.459597103546</v>
      </c>
      <c r="ID480" s="644">
        <f>IF(AND(INDEX(Input!$1:$1048576,IA$93,$C480*2+7)="TOS",Y480&lt;=INDEX(Y:Y,MATCH(C480*1000+2,A:A))),0,1)*MAX(IA480+HR480+HU480+HX480,0%)</f>
        <v>104.4089179921733</v>
      </c>
      <c r="IE480" s="128">
        <f t="shared" si="1327"/>
        <v>0.45373966838738666</v>
      </c>
      <c r="IF480" s="128">
        <f t="shared" si="1328"/>
        <v>0.50159288974884153</v>
      </c>
      <c r="IG480" s="128">
        <f t="shared" si="1319"/>
        <v>4.4667441863771862E-2</v>
      </c>
      <c r="IH480" s="21"/>
      <c r="II480" s="19">
        <f t="shared" si="1264"/>
        <v>1490</v>
      </c>
      <c r="IJ480" s="19">
        <f t="shared" si="1265"/>
        <v>2203.2561351629856</v>
      </c>
      <c r="IK480" s="19">
        <f t="shared" si="1266"/>
        <v>242</v>
      </c>
      <c r="IL480" s="19">
        <f t="shared" si="1285"/>
        <v>280</v>
      </c>
      <c r="IM480" s="19">
        <f t="shared" si="1267"/>
        <v>-107.96769453323213</v>
      </c>
      <c r="IN480" s="19">
        <f t="shared" si="1268"/>
        <v>-95</v>
      </c>
      <c r="IO480" s="39">
        <f t="shared" si="1269"/>
        <v>0</v>
      </c>
      <c r="IP480" s="39">
        <f t="shared" si="1270"/>
        <v>0</v>
      </c>
      <c r="IQ480" s="39">
        <f t="shared" si="1271"/>
        <v>0</v>
      </c>
      <c r="IR480" s="39">
        <v>0</v>
      </c>
      <c r="IS480" s="39">
        <v>0</v>
      </c>
      <c r="IT480" s="39">
        <v>0</v>
      </c>
      <c r="IU480" s="39">
        <v>0</v>
      </c>
      <c r="IV480" s="39">
        <v>0</v>
      </c>
      <c r="IW480" s="39">
        <v>0</v>
      </c>
      <c r="IX480" s="39">
        <f>INDEX(Input!$1:$1048576,IX$93,$C480*2+6)+INDEX(Input!$1:$1048576,IX$94,$C480*2+6)</f>
        <v>1770</v>
      </c>
      <c r="IY480" s="39">
        <f>INDEX(Input!$1:$1048576,IY$93,$C480*2+6)+INDEX(Input!$1:$1048576,IY$94,$C480*2+6)</f>
        <v>2630.0624533823611</v>
      </c>
      <c r="IZ480" s="39">
        <f>INDEX(Input!$1:$1048576,IZ$93,$C480*2+6)+INDEX(Input!$1:$1048576,IZ$94,$C480*2+6)</f>
        <v>4153.7164157747848</v>
      </c>
      <c r="JA480" s="19">
        <f t="shared" si="1286"/>
        <v>2050</v>
      </c>
      <c r="JB480" s="19">
        <f t="shared" si="1287"/>
        <v>2522.094758849129</v>
      </c>
      <c r="JC480" s="19">
        <f t="shared" si="1288"/>
        <v>4058.7164157747848</v>
      </c>
      <c r="JD480" s="19">
        <f t="shared" si="1289"/>
        <v>2376.5235980488419</v>
      </c>
      <c r="JE480" s="21"/>
      <c r="JF480" s="1">
        <f t="shared" si="1272"/>
        <v>3.2545831732385969E-2</v>
      </c>
      <c r="JG480" s="15">
        <f>INDEX(Input!$1:$1048576,JG$93,$C480*2+6)/(1+VLOOKUP(C480*1000+INDEX(Input!$1:$1048576,JG$93+1,$C480*2+6),$A:$KK,$JK$92,FALSE))</f>
        <v>2329</v>
      </c>
      <c r="JH480" s="1">
        <f t="shared" si="1290"/>
        <v>2.7761213372195434E-2</v>
      </c>
      <c r="JI480" s="1">
        <f t="shared" si="1291"/>
        <v>-2.4123376459543305E-2</v>
      </c>
      <c r="JJ480" s="1">
        <f t="shared" si="1329"/>
        <v>0</v>
      </c>
      <c r="JK480" s="1">
        <f t="shared" si="1330"/>
        <v>3.6378369126521294E-3</v>
      </c>
      <c r="JL480" s="15">
        <f t="shared" si="1292"/>
        <v>8.47252216956681</v>
      </c>
      <c r="JM480" s="15">
        <f t="shared" si="1311"/>
        <v>2337.4725221695667</v>
      </c>
      <c r="JN480" s="21"/>
      <c r="JO480" s="19">
        <f>INDEX(Input!$1:$1048576,JO$93,$C480*2+6)</f>
        <v>5995.5</v>
      </c>
      <c r="JP480" s="19">
        <f>INDEX(Input!$1:$1048576,JP$93,$C480*2+6)</f>
        <v>2341.8685758720158</v>
      </c>
      <c r="JQ480" s="39">
        <f t="shared" si="1300"/>
        <v>3618.9764019511581</v>
      </c>
      <c r="JR480" s="39">
        <f t="shared" si="1314"/>
        <v>34.655022176826151</v>
      </c>
      <c r="JS480" s="39">
        <f t="shared" si="1301"/>
        <v>5.5550586087267204</v>
      </c>
      <c r="JT480" s="39">
        <f t="shared" si="1293"/>
        <v>0.10084669552079588</v>
      </c>
      <c r="JU480" s="385">
        <f>(JQ480*JM480-INDEX(Input!$1:$1048576,Input!A$18,$C480*2+6)*JL480*INDEX(Input!$1:$1048576,Input!A$19,$C480*2+6))/1000000</f>
        <v>8.4592578979409172</v>
      </c>
      <c r="JV480" s="39">
        <f t="shared" si="1335"/>
        <v>-5.0049688853157193E-2</v>
      </c>
      <c r="JW480" s="1">
        <f t="shared" si="1312"/>
        <v>-5.8817581034244495E-3</v>
      </c>
      <c r="JX480" s="19">
        <f t="shared" si="1305"/>
        <v>11902.795118440163</v>
      </c>
      <c r="JZ480" s="341"/>
      <c r="KA480" s="342"/>
      <c r="KB480" s="469">
        <f t="shared" si="1302"/>
        <v>2.3434325605641804</v>
      </c>
      <c r="KI480" s="473">
        <f t="shared" si="1331"/>
        <v>67.60400707384747</v>
      </c>
      <c r="KJ480" s="473">
        <f t="shared" si="1332"/>
        <v>-43.540402896453998</v>
      </c>
      <c r="KK480" s="473">
        <f t="shared" si="1324"/>
        <v>-15.591082007826699</v>
      </c>
      <c r="KN480" s="544">
        <f t="shared" si="1306"/>
        <v>4002</v>
      </c>
      <c r="KO480" s="541">
        <f t="shared" si="1273"/>
        <v>-3.3547863802929734E-2</v>
      </c>
      <c r="KP480" s="546">
        <f t="shared" si="1274"/>
        <v>-210.7056811850556</v>
      </c>
      <c r="KQ480" s="546">
        <f t="shared" si="1275"/>
        <v>-248.24758998717925</v>
      </c>
      <c r="KR480" s="548">
        <f t="shared" si="1276"/>
        <v>2.7640383899281926</v>
      </c>
      <c r="KS480" s="548">
        <f t="shared" si="1277"/>
        <v>2.3460392578294202</v>
      </c>
      <c r="KT480" s="473">
        <f t="shared" si="1303"/>
        <v>1580.0986321700548</v>
      </c>
      <c r="KU480" s="663">
        <f t="shared" si="1295"/>
        <v>4.0308512610859264</v>
      </c>
    </row>
    <row r="481" spans="1:307" s="26" customFormat="1" ht="15" outlineLevel="1">
      <c r="A481" s="561">
        <f t="shared" si="1278"/>
        <v>4081</v>
      </c>
      <c r="B481" s="561">
        <f t="shared" si="1296"/>
        <v>81</v>
      </c>
      <c r="C481" s="561">
        <f t="shared" si="1297"/>
        <v>4</v>
      </c>
      <c r="D481" s="561" t="str">
        <f t="shared" si="1206"/>
        <v xml:space="preserve">-250 CC, 0.9/1.9/2.9/3.9, -360 Lease, </v>
      </c>
      <c r="E481" s="475">
        <f>INDEX(Input!$1:$1048576,E$93,$C481*2+MIN($B481,2)+5)
+INDEX(Scenarios!E$121:E$200,MATCH($B481,Scenarios!$B$121:$B$200,0))</f>
        <v>1006.832975525977</v>
      </c>
      <c r="F481" s="475">
        <f>INDEX(Input!$1:$1048576,F$93,$C481*2+MIN($B481,2)+5)
+INDEX(Scenarios!F$121:F$200,MATCH($B481,Scenarios!$B$121:$B$200,0))</f>
        <v>0</v>
      </c>
      <c r="G481" s="475">
        <f>INDEX(Input!$1:$1048576,G$93,$C481*2+MIN($B481,2)+5)
+INDEX(Scenarios!G$121:G$200,MATCH($B481,Scenarios!$B$121:$B$200,0))</f>
        <v>0</v>
      </c>
      <c r="H481" s="475">
        <f>INDEX(Input!$1:$1048576,H$93,$C481*2+MIN($B481,2)+5)
+INDEX(Scenarios!H$121:H$200,MATCH($B481,Scenarios!$B$121:$B$200,0))</f>
        <v>0</v>
      </c>
      <c r="I481" s="476">
        <f>INDEX(Input!$1:$1048576,I$93,$C481*2+MIN($B481,2)+5)</f>
        <v>0.7</v>
      </c>
      <c r="J481" s="476" t="str">
        <f>INDEX(Input!$1:$1048576,J$93,$C481*2+MIN($B481,2)+5)</f>
        <v>Market</v>
      </c>
      <c r="K481" s="476" t="str">
        <f>INDEX(Input!$1:$1048576,K$93,$C481*2+MIN($B481,2)+5)</f>
        <v>Market</v>
      </c>
      <c r="L481" s="476" t="str">
        <f>INDEX(Input!$1:$1048576,L$93,$C481*2+MIN($B481,2)+5)</f>
        <v>Market</v>
      </c>
      <c r="M481" s="476" t="str">
        <f>INDEX(Input!$1:$1048576,M$93,$C481*2+MIN($B481,2)+5)</f>
        <v>Market</v>
      </c>
      <c r="N481" s="476" t="str">
        <f>INDEX(Input!$1:$1048576,N$93,$C481*2+MIN($B481,2)+5)</f>
        <v>Market</v>
      </c>
      <c r="O481" s="476" t="str">
        <f>INDEX(Input!$1:$1048576,O$93,$C481*2+MIN($B481,2)+5)</f>
        <v>Market</v>
      </c>
      <c r="P481" s="476" t="str">
        <f>INDEX(Input!$1:$1048576,P$93,$C481*2+MIN($B481,2)+5)</f>
        <v>N</v>
      </c>
      <c r="Q481" s="477">
        <f>INDEX(Input!$1:$1048576,Q$93,$C481*2+MIN($B481,2)+5)
+INDEX(Scenarios!Q$121:Q$200,MATCH($B481,Scenarios!$B$121:$B$200,0))</f>
        <v>0</v>
      </c>
      <c r="R481" s="478">
        <f>IFERROR(MAX(0,INDEX(Input!$1:$1048576,R$93,$C481*2+MIN($B481,2)+5)
+INDEX(Scenarios!R$121:R$200,MATCH($B481,Scenarios!$B$121:$B$200,0)),),"Market")</f>
        <v>0</v>
      </c>
      <c r="S481" s="478">
        <f>IFERROR(MAX(0,INDEX(Input!$1:$1048576,S$93,$C481*2+MIN($B481,2)+5)
+INDEX(Scenarios!S$121:S$200,MATCH($B481,Scenarios!$B$121:$B$200,0)),),"Market")</f>
        <v>0</v>
      </c>
      <c r="T481" s="478">
        <f>IFERROR(MAX(0,INDEX(Input!$1:$1048576,T$93,$C481*2+MIN($B481,2)+5)
+INDEX(Scenarios!T$121:T$200,MATCH($B481,Scenarios!$B$121:$B$200,0)),),"Market")</f>
        <v>0</v>
      </c>
      <c r="U481" s="478">
        <f>IFERROR(MAX(0,INDEX(Input!$1:$1048576,U$93,$C481*2+MIN($B481,2)+5)
+INDEX(Scenarios!U$121:U$200,MATCH($B481,Scenarios!$B$121:$B$200,0)),),"Market")</f>
        <v>9.0000000000000011E-3</v>
      </c>
      <c r="V481" s="478">
        <f>IFERROR(MAX(0,INDEX(Input!$1:$1048576,V$93,$C481*2+MIN($B481,2)+5)
+INDEX(Scenarios!V$121:V$200,MATCH($B481,Scenarios!$B$121:$B$200,0)),),"Market")</f>
        <v>2.8999999999999998E-2</v>
      </c>
      <c r="W481" s="885">
        <f>IFERROR(MAX(0,INDEX(Input!$1:$1048576,W$93,$C481*2+MIN($B481,2)+5)-0%,),"Market")</f>
        <v>3.9E-2</v>
      </c>
      <c r="X481" s="476" t="str">
        <f>INDEX(Input!$1:$1048576,X$93,$C481*2+MIN($B481,2)+5)</f>
        <v>Y</v>
      </c>
      <c r="Y481" s="475">
        <f>INDEX(Input!$1:$1048576,Y$93,$C481*2+MIN($B481,2)+5)
++INDEX(Scenarios!Y$121:Y$200,MATCH($B481,Scenarios!$B$121:$B$200,0))</f>
        <v>-1230</v>
      </c>
      <c r="Z481" s="477">
        <f>INDEX(Input!$1:$1048576,Z$93,$C481*2+MIN($B481,2)+5)
+INDEX(Scenarios!Z$121:Z$200,MATCH($B481,Scenarios!$B$121:$B$200,0))</f>
        <v>0</v>
      </c>
      <c r="AA481" s="475">
        <f>INDEX(Input!$1:$1048576,AA$93,$C481*2+MIN($B481,2)+5)
+INDEX(Scenarios!AA$121:AA$200,MATCH($B481,Scenarios!$B$121:$B$200,0))</f>
        <v>0</v>
      </c>
      <c r="AB481" s="476">
        <f>INDEX(Input!$1:$1048576,AB$93,$C481*2+MIN($B481,2)+5)</f>
        <v>0.27</v>
      </c>
      <c r="AC481" s="475">
        <f>INDEX(Input!$1:$1048576,AC$93,$C481*2+MIN($B481,2)+5)
+INDEX(Scenarios!AC$121:AC$200,MATCH($B481,Scenarios!$B$121:$B$200,0))</f>
        <v>0</v>
      </c>
      <c r="AD481" s="476">
        <f>INDEX(Input!$1:$1048576,AD$93,$C481*2+MIN($B481,2)+5)</f>
        <v>0.27</v>
      </c>
      <c r="AE481" s="475">
        <f>INDEX(Input!$1:$1048576,AE$93,$C481*2+MIN($B481,2)+5)
+INDEX(Scenarios!AE$121:AE$200,MATCH($B481,Scenarios!$B$121:$B$200,0))</f>
        <v>0</v>
      </c>
      <c r="AF481" s="476">
        <f>INDEX(Input!$1:$1048576,AF$93,$C481*2+MIN($B481,2)+5)</f>
        <v>1</v>
      </c>
      <c r="AG481" s="475">
        <f>INDEX(Input!$1:$1048576,AG$93,$C481*2+MIN($B481,2)+5)
+INDEX(Scenarios!AG$121:AG$200,MATCH($B481,Scenarios!$B$121:$B$200,0))</f>
        <v>500</v>
      </c>
      <c r="AH481" s="476">
        <f>INDEX(Input!$1:$1048576,AH$93,$C481*2+MIN($B481,2)+5)</f>
        <v>0.83199999999999996</v>
      </c>
      <c r="AI481" s="475">
        <f>INDEX(Input!$1:$1048576,AI$93,$C481*2+MIN($B481,2)+5)
+INDEX(Scenarios!AI$121:AI$200,MATCH($B481,Scenarios!$B$121:$B$200,0))</f>
        <v>0</v>
      </c>
      <c r="AJ481" s="476">
        <f>INDEX(Input!$1:$1048576,AJ$93,$C481*2+MIN($B481,2)+5)</f>
        <v>0.27</v>
      </c>
      <c r="AK481" s="150">
        <f>ROUND(INDEX(Input!$1:$1048576,AK$93,$C480*2+MIN($B481,1)+5)+(Y481-VLOOKUP($C481*1000+1,$A:$HH,Y$92,FALSE)),0)</f>
        <v>2227</v>
      </c>
      <c r="AL481" s="150">
        <f>ROUND(INDEX(Input!$1:$1048576,AL$93,$C480*2+MIN($B481,1)+5)-(Y481-VLOOKUP($C481*1000+1,$A:$HH,Y$92,FALSE))/36,0)</f>
        <v>3416</v>
      </c>
      <c r="AM481" s="32" t="str">
        <f t="shared" si="1279"/>
        <v>std/std/std/std</v>
      </c>
      <c r="AN481" s="32" t="str">
        <f t="shared" si="1280"/>
        <v>$0 + 0/0/0.9/2.9/3.9</v>
      </c>
      <c r="AO481" s="32" t="str">
        <f t="shared" si="1281"/>
        <v>0/0/0.9/2.9/3.9</v>
      </c>
      <c r="AP481" s="32" t="str">
        <f t="shared" si="1213"/>
        <v>0.9/1.9/2.9/3.9</v>
      </c>
      <c r="AQ481" s="536">
        <f t="shared" si="1207"/>
        <v>0.43858508065529461</v>
      </c>
      <c r="AR481" s="32"/>
      <c r="AS481" s="302"/>
      <c r="AT481" s="3">
        <f t="shared" si="1298"/>
        <v>81</v>
      </c>
      <c r="AU481" s="41" t="s">
        <v>121</v>
      </c>
      <c r="AV481" s="41" t="s">
        <v>116</v>
      </c>
      <c r="AW481" s="41" t="str">
        <f>INDEX(Input!$1:$1048576,AW$93,$C481*2+6)</f>
        <v>Kia</v>
      </c>
      <c r="AX481" s="41" t="str">
        <f>INDEX(Input!$1:$1048576,AX$93,$C481*2+6)</f>
        <v>Kia-LR - R1</v>
      </c>
      <c r="AY481" s="41" t="str">
        <f>IF(LEN(D481)=0,"",INDEX(Input!$1:$1048576,AY$93,$C481*2+6))</f>
        <v>Compact SUV (52)</v>
      </c>
      <c r="AZ481" s="41" t="str">
        <f>INDEX(Input!$1:$1048576,AZ$93,$C481*2+6)</f>
        <v>Kia Soul</v>
      </c>
      <c r="BA481" s="3">
        <f>INDEX(Input!$1:$1048576,BA$93,$C481*2+6)</f>
        <v>2020</v>
      </c>
      <c r="BB481" s="128">
        <f>INDEX(Input!$1:$1048576,BB$93,$C481*2+6)</f>
        <v>1</v>
      </c>
      <c r="BC481" s="128">
        <f>INDEX(Input!$1:$1048576,BC$93,$C481*2+6)</f>
        <v>0.7</v>
      </c>
      <c r="BD481" s="1">
        <f>INDEX(Input!$1:$1048576,BD$93,$C481*2+6)</f>
        <v>4.4999999999999998E-2</v>
      </c>
      <c r="BE481" s="1">
        <f>INDEX(Input!$1:$1048576,BE$93,$C481*2+6)</f>
        <v>4.4999999999999998E-2</v>
      </c>
      <c r="BF481" s="1">
        <f>INDEX(Input!$1:$1048576,BF$93,$C481*2+6)</f>
        <v>0.05</v>
      </c>
      <c r="BG481" s="1">
        <f>INDEX(Input!$1:$1048576,BG$93,$C481*2+6)</f>
        <v>5.45E-2</v>
      </c>
      <c r="BH481" s="1">
        <f>INDEX(Input!$1:$1048576,BH$93,$C481*2+6)</f>
        <v>5.45E-2</v>
      </c>
      <c r="BI481" s="1">
        <f>INDEX(Input!$1:$1048576,BI$93,$C481*2+6)</f>
        <v>0.05</v>
      </c>
      <c r="BJ481" s="1">
        <f>INDEX(Input!$1:$1048576,BJ$93,$C481*2+6)</f>
        <v>0.05</v>
      </c>
      <c r="BK481" s="1">
        <f>INDEX(Input!$1:$1048576,BK$93,$C481*2+6)</f>
        <v>0.05</v>
      </c>
      <c r="BL481" s="1">
        <f>INDEX(Input!$1:$1048576,BL$93,$C481*2+6)</f>
        <v>5.5E-2</v>
      </c>
      <c r="BM481" s="1">
        <f>INDEX(Input!$1:$1048576,BM$93,$C481*2+6)</f>
        <v>0.06</v>
      </c>
      <c r="BN481" s="1">
        <f>INDEX(Input!$1:$1048576,BN$93,$C481*2+6)</f>
        <v>4.4999999999999998E-2</v>
      </c>
      <c r="BO481" s="1">
        <f>INDEX(Input!$1:$1048576,BO$93,$C481*2+6)</f>
        <v>4.4999999999999998E-2</v>
      </c>
      <c r="BP481" s="1">
        <f>INDEX(Input!$1:$1048576,BP$93,$C481*2+6)</f>
        <v>0.05</v>
      </c>
      <c r="BQ481" s="1">
        <f>INDEX(Input!$1:$1048576,BQ$93,$C481*2+6)</f>
        <v>5.45E-2</v>
      </c>
      <c r="BR481" s="1">
        <f>INDEX(Input!$1:$1048576,BR$93,$C481*2+6)</f>
        <v>5.45E-2</v>
      </c>
      <c r="BS481" s="1">
        <f>INDEX(Input!$1:$1048576,BS$93,$C481*2+6)</f>
        <v>0.05</v>
      </c>
      <c r="BT481" s="1">
        <f>INDEX(Input!$1:$1048576,BT$93,$C481*2+6)</f>
        <v>0.05</v>
      </c>
      <c r="BU481" s="1">
        <f>INDEX(Input!$1:$1048576,BU$93,$C481*2+6)</f>
        <v>0.05</v>
      </c>
      <c r="BV481" s="1">
        <f>INDEX(Input!$1:$1048576,BV$93,$C481*2+6)</f>
        <v>5.5E-2</v>
      </c>
      <c r="BW481" s="1">
        <f>INDEX(Input!$1:$1048576,BW$93,$C481*2+6)</f>
        <v>0.06</v>
      </c>
      <c r="BX481" s="127">
        <f>INDEX(Input!$1:$1048576,BX$93,$C481*2+6)</f>
        <v>19985</v>
      </c>
      <c r="BY481" s="20">
        <f>INDEX(Input!$1:$1048576,BY$93,$C481*2+6)</f>
        <v>0.1</v>
      </c>
      <c r="BZ481" s="20">
        <f>INDEX(Input!$1:$1048576,BZ$93,$C481*2+6)</f>
        <v>0.1</v>
      </c>
      <c r="CA481" s="20">
        <f>INDEX(Input!$1:$1048576,CA$93,$C481*2+6)</f>
        <v>0.1</v>
      </c>
      <c r="CB481" s="20">
        <f>INDEX(Input!$1:$1048576,CB$93,$C481*2+6)</f>
        <v>0.1</v>
      </c>
      <c r="CC481" s="20">
        <f>INDEX(Input!$1:$1048576,CC$93,$C481*2+6)</f>
        <v>0.1</v>
      </c>
      <c r="CD481" s="384">
        <f>INDEX(Input!$1:$1048576,CD$93,$C481*2+6)</f>
        <v>0.1</v>
      </c>
      <c r="CE481" s="384">
        <f>INDEX(Input!$1:$1048576,CE$93,$C481*2+6)</f>
        <v>0.1</v>
      </c>
      <c r="CF481" s="384">
        <f>INDEX(Input!$1:$1048576,CF$93,$C481*2+6)</f>
        <v>0.1</v>
      </c>
      <c r="CG481" s="384">
        <f>INDEX(Input!$1:$1048576,CG$93,$C481*2+6)</f>
        <v>0.1</v>
      </c>
      <c r="CH481" s="384">
        <f>INDEX(Input!$1:$1048576,CH$93,$C481*2+6)</f>
        <v>0.1</v>
      </c>
      <c r="CI481" s="304">
        <f t="shared" si="1214"/>
        <v>1006.832975525977</v>
      </c>
      <c r="CJ481" s="16" t="str">
        <f>INDEX(Input!$1:$1048576,CJ$93,$C481*2+6)</f>
        <v>N</v>
      </c>
      <c r="CK481" s="1" t="str">
        <f t="shared" si="1215"/>
        <v>Market</v>
      </c>
      <c r="CL481" s="1" t="str">
        <f t="shared" si="1216"/>
        <v>Market</v>
      </c>
      <c r="CM481" s="1" t="str">
        <f t="shared" si="1217"/>
        <v>Market</v>
      </c>
      <c r="CN481" s="1" t="str">
        <f t="shared" si="1218"/>
        <v>Market</v>
      </c>
      <c r="CO481" s="1" t="str">
        <f t="shared" si="1219"/>
        <v>Market</v>
      </c>
      <c r="CP481" s="304">
        <f t="shared" si="1220"/>
        <v>416</v>
      </c>
      <c r="CQ481" s="1">
        <f t="shared" si="1221"/>
        <v>0</v>
      </c>
      <c r="CR481" s="1">
        <f t="shared" si="1222"/>
        <v>0</v>
      </c>
      <c r="CS481" s="1">
        <f t="shared" si="1223"/>
        <v>9.0000000000000011E-3</v>
      </c>
      <c r="CT481" s="1">
        <f t="shared" si="1224"/>
        <v>2.8999999999999998E-2</v>
      </c>
      <c r="CU481" s="1">
        <f t="shared" si="1225"/>
        <v>3.9E-2</v>
      </c>
      <c r="CV481" s="304">
        <f t="shared" si="1226"/>
        <v>-1230</v>
      </c>
      <c r="CW481" s="20" t="s">
        <v>122</v>
      </c>
      <c r="CX481" s="20" t="s">
        <v>122</v>
      </c>
      <c r="CY481" s="20" t="s">
        <v>122</v>
      </c>
      <c r="CZ481" s="20" t="s">
        <v>122</v>
      </c>
      <c r="DA481" s="20" t="s">
        <v>122</v>
      </c>
      <c r="DB481" s="503">
        <f t="shared" si="1227"/>
        <v>0</v>
      </c>
      <c r="DC481" s="127">
        <v>0</v>
      </c>
      <c r="DD481" s="127">
        <v>0</v>
      </c>
      <c r="DE481" s="127">
        <v>0</v>
      </c>
      <c r="DF481" s="127">
        <v>0</v>
      </c>
      <c r="DG481" s="127">
        <v>0</v>
      </c>
      <c r="DH481" s="127">
        <v>0</v>
      </c>
      <c r="DI481" s="127">
        <v>0</v>
      </c>
      <c r="DJ481" s="127">
        <v>0</v>
      </c>
      <c r="DK481" s="127">
        <v>0</v>
      </c>
      <c r="DL481" s="127">
        <v>0</v>
      </c>
      <c r="DM481" s="304">
        <f>INDEX(Input!$1:$1048576,DM$93,$C481*2+6)</f>
        <v>21036.84210526316</v>
      </c>
      <c r="DN481" s="20">
        <v>0</v>
      </c>
      <c r="DO481" s="20">
        <v>0</v>
      </c>
      <c r="DP481" s="20">
        <v>0</v>
      </c>
      <c r="DQ481" s="20">
        <v>0</v>
      </c>
      <c r="DR481" s="20">
        <v>0</v>
      </c>
      <c r="DS481" s="20">
        <f>INDEX(Input!$1:$1048576,DS$93,$C481*2+6)</f>
        <v>0.6</v>
      </c>
      <c r="DT481" s="20">
        <f>INDEX(Input!$1:$1048576,DT$93,$C481*2+6)</f>
        <v>0.55000000000000004</v>
      </c>
      <c r="DU481" s="20">
        <f>INDEX(Input!$1:$1048576,DU$93,$C481*2+6)</f>
        <v>0.52</v>
      </c>
      <c r="DV481" s="20">
        <f>INDEX(Input!$1:$1048576,DV$93,$C481*2+6)</f>
        <v>0.5</v>
      </c>
      <c r="DW481" s="20">
        <f>INDEX(Input!$1:$1048576,DW$93,$C481*2+6)</f>
        <v>0.45</v>
      </c>
      <c r="DX481" s="20"/>
      <c r="DY481" s="7">
        <v>0.10180514044961349</v>
      </c>
      <c r="DZ481" s="7">
        <v>0</v>
      </c>
      <c r="EA481" s="7">
        <v>0.81065665327714698</v>
      </c>
      <c r="EB481" s="7">
        <v>0</v>
      </c>
      <c r="EC481" s="7">
        <v>0</v>
      </c>
      <c r="ED481" s="7">
        <v>0</v>
      </c>
      <c r="EE481" s="7">
        <v>0</v>
      </c>
      <c r="EF481" s="7">
        <v>0</v>
      </c>
      <c r="EG481" s="7">
        <v>0</v>
      </c>
      <c r="EH481" s="7">
        <v>1.6643050283073724E-2</v>
      </c>
      <c r="EI481" s="7">
        <v>4.3467549802603665E-2</v>
      </c>
      <c r="EJ481" s="7">
        <v>0.22398699094599739</v>
      </c>
      <c r="EK481" s="7">
        <v>0.5296422262512106</v>
      </c>
      <c r="EL481" s="7">
        <v>0.18626018271711531</v>
      </c>
      <c r="EM481" s="7">
        <v>3.688605640333633E-2</v>
      </c>
      <c r="EN481" s="7">
        <v>4.9424918214684484E-2</v>
      </c>
      <c r="EO481" s="7">
        <v>0.70136232625293715</v>
      </c>
      <c r="EP481" s="7">
        <v>0.10815074718353634</v>
      </c>
      <c r="EQ481" s="7">
        <v>9.4978058653367795E-2</v>
      </c>
      <c r="ER481" s="7">
        <v>4.6083949695474226E-2</v>
      </c>
      <c r="ES481" s="7">
        <v>5.065214986990324E-2</v>
      </c>
      <c r="ET481" s="7">
        <v>8.7538206273239536E-2</v>
      </c>
      <c r="EU481" s="6">
        <v>1520</v>
      </c>
      <c r="EV481" s="6">
        <v>0</v>
      </c>
      <c r="EW481" s="6">
        <v>1520</v>
      </c>
      <c r="EX481" s="6">
        <v>0</v>
      </c>
      <c r="EY481" s="6">
        <v>2095.1951078663428</v>
      </c>
      <c r="EZ481" s="6">
        <v>147</v>
      </c>
      <c r="FA481" s="6">
        <v>0</v>
      </c>
      <c r="FB481" s="6">
        <v>0</v>
      </c>
      <c r="FC481" s="6">
        <v>0</v>
      </c>
      <c r="FD481" s="6">
        <v>0</v>
      </c>
      <c r="FE481" s="6">
        <v>0</v>
      </c>
      <c r="FF481" s="6">
        <v>0</v>
      </c>
      <c r="FG481" s="6">
        <v>0</v>
      </c>
      <c r="FH481" s="6">
        <v>1169.7974831219144</v>
      </c>
      <c r="FI481" s="6">
        <v>1553.9796069512399</v>
      </c>
      <c r="FJ481" s="6">
        <v>1735.1562230702798</v>
      </c>
      <c r="FK481" s="6">
        <v>1284.9687470586846</v>
      </c>
      <c r="FL481" s="6">
        <v>907.07682140966244</v>
      </c>
      <c r="FM481" s="6">
        <v>1325.1951078663428</v>
      </c>
      <c r="FN481" s="6">
        <v>0</v>
      </c>
      <c r="FO481" s="6">
        <v>0</v>
      </c>
      <c r="FP481" s="6">
        <v>0</v>
      </c>
      <c r="FQ481" s="6">
        <v>0</v>
      </c>
      <c r="FR481" s="6">
        <v>0</v>
      </c>
      <c r="FS481" s="6">
        <v>0</v>
      </c>
      <c r="FT481" s="7">
        <v>0.91246179372676051</v>
      </c>
      <c r="FU481" s="7">
        <v>3.688605640333633E-2</v>
      </c>
      <c r="FV481" s="7">
        <v>5.065214986990324E-2</v>
      </c>
      <c r="FW481" s="6">
        <v>1519.9999999999998</v>
      </c>
      <c r="FX481" s="6">
        <v>2095.1951078663428</v>
      </c>
      <c r="FY481" s="6">
        <v>147</v>
      </c>
      <c r="FZ481" s="6">
        <v>1949.5716051445115</v>
      </c>
      <c r="GA481" s="6">
        <v>1471.6712774203038</v>
      </c>
      <c r="GB481" s="6">
        <v>18513.328722579696</v>
      </c>
      <c r="GC481" s="7">
        <v>3.3872851927908169E-2</v>
      </c>
      <c r="GD481" s="7">
        <v>3.2576491359473436E-2</v>
      </c>
      <c r="GE481" s="7"/>
      <c r="GF481" s="7"/>
      <c r="GG481" s="7">
        <v>-3.82713735233687E-2</v>
      </c>
      <c r="GH481" s="42">
        <v>1.6004454391291272</v>
      </c>
      <c r="GI481" s="6">
        <v>13958.819862051039</v>
      </c>
      <c r="GJ481" s="14">
        <v>0.50394797582841722</v>
      </c>
      <c r="GK481" s="14">
        <v>0.50887573065309699</v>
      </c>
      <c r="GL481" s="14">
        <v>0.49605202417158228</v>
      </c>
      <c r="GM481" s="14">
        <v>0.49112426934690212</v>
      </c>
      <c r="GO481" s="5">
        <v>343.14810671672558</v>
      </c>
      <c r="GP481" s="5">
        <v>314.14940645767444</v>
      </c>
      <c r="GQ481" s="5">
        <v>535.04305713031317</v>
      </c>
      <c r="GR481" s="5">
        <v>410.15490233172511</v>
      </c>
      <c r="GS481" s="5">
        <v>339.42744393800166</v>
      </c>
      <c r="GT481" s="5">
        <v>293.4407446948278</v>
      </c>
      <c r="GU481" s="5">
        <v>258.04012322764959</v>
      </c>
      <c r="GV481" s="39" t="s">
        <v>392</v>
      </c>
      <c r="GW481" s="5">
        <v>478.23611111111109</v>
      </c>
      <c r="GX481" s="5">
        <v>358.67708333333331</v>
      </c>
      <c r="GY481" s="5">
        <v>293.55384547131746</v>
      </c>
      <c r="GZ481" s="5">
        <v>260.81240841112611</v>
      </c>
      <c r="HA481" s="5">
        <v>234.53733318419432</v>
      </c>
      <c r="HB481" s="39">
        <v>271.12459531267666</v>
      </c>
      <c r="HC481" s="5">
        <v>280.85312499999998</v>
      </c>
      <c r="HD481" s="5">
        <v>235.41580774853799</v>
      </c>
      <c r="HE481" s="5">
        <v>236.8873861336032</v>
      </c>
      <c r="HF481" s="5">
        <v>217.50938048245612</v>
      </c>
      <c r="HG481" s="5">
        <v>207.81388157894736</v>
      </c>
      <c r="HH481" s="39">
        <v>234.84797226322232</v>
      </c>
      <c r="HI481" s="16"/>
      <c r="HJ481" s="19" t="str">
        <f t="shared" ref="HJ481:HK481" si="1338">HJ480</f>
        <v>On</v>
      </c>
      <c r="HK481" s="1" t="str">
        <f t="shared" si="1338"/>
        <v>On</v>
      </c>
      <c r="HL481" s="16"/>
      <c r="HM481" s="639">
        <f t="shared" si="1255"/>
        <v>2.9403358434788716E-2</v>
      </c>
      <c r="HN481" s="639">
        <f t="shared" si="1256"/>
        <v>1.4106809950923669E-3</v>
      </c>
      <c r="HO481" s="639">
        <f t="shared" si="1257"/>
        <v>1.7317923025048877E-3</v>
      </c>
      <c r="HP481" s="644">
        <f>(FT481*$GD481-HM481)/$JF481*INDEX(Input!$1:$1048576,$JG$93,$C481*2+6)</f>
        <v>23.00282629447544</v>
      </c>
      <c r="HQ481" s="644">
        <f>(FU481*$GD481-HN481)/$JF481*INDEX(Input!$1:$1048576,$JG$93,$C481*2+6)</f>
        <v>-14.960656904118782</v>
      </c>
      <c r="HR481" s="644">
        <f>(FV481*$GD481-HO481)/$JF481*INDEX(Input!$1:$1048576,$JG$93,$C481*2+6)</f>
        <v>-5.8481473701525282</v>
      </c>
      <c r="HS481" s="644">
        <f t="shared" si="1246"/>
        <v>-3.8763024518468026</v>
      </c>
      <c r="HT481" s="644">
        <f t="shared" si="1326"/>
        <v>-18.487526611183142</v>
      </c>
      <c r="HU481" s="644">
        <f t="shared" si="1259"/>
        <v>-1.1216810068823806</v>
      </c>
      <c r="HV481" s="648">
        <f t="shared" si="1260"/>
        <v>0</v>
      </c>
      <c r="HW481" s="648">
        <f t="shared" si="1261"/>
        <v>0</v>
      </c>
      <c r="HX481" s="648">
        <f t="shared" si="1262"/>
        <v>0</v>
      </c>
      <c r="HY481" s="644">
        <f>INDEX(Input!$1:$1048576,HY$93,$C481*2+6)*INDEX(Input!$1:$1048576,$JG$93,$C481*2+6)</f>
        <v>993</v>
      </c>
      <c r="HZ481" s="644">
        <f>INDEX(Input!$1:$1048576,HZ$93,$C481*2+6)*INDEX(Input!$1:$1048576,$JG$93,$C481*2+6)</f>
        <v>1216</v>
      </c>
      <c r="IA481" s="644">
        <f>INDEX(Input!$1:$1048576,IA$93,$C481*2+6)*INDEX(Input!$1:$1048576,$JG$93,$C481*2+6)</f>
        <v>120</v>
      </c>
      <c r="IB481" s="644">
        <f t="shared" si="1283"/>
        <v>1012.1265238426286</v>
      </c>
      <c r="IC481" s="644">
        <f t="shared" si="1284"/>
        <v>1182.5518164846981</v>
      </c>
      <c r="ID481" s="644">
        <f>IF(AND(INDEX(Input!$1:$1048576,IA$93,$C481*2+7)="TOS",Y481&lt;=INDEX(Y:Y,MATCH(C481*1000+2,A:A))),0,1)*MAX(IA481+HR481+HU481+HX481,0%)</f>
        <v>113.03017162296509</v>
      </c>
      <c r="IE481" s="128">
        <f t="shared" si="1327"/>
        <v>0.43858508065529461</v>
      </c>
      <c r="IF481" s="128">
        <f t="shared" si="1328"/>
        <v>0.51243552223382804</v>
      </c>
      <c r="IG481" s="128">
        <f t="shared" si="1319"/>
        <v>4.8979397110877308E-2</v>
      </c>
      <c r="IH481" s="21"/>
      <c r="II481" s="19">
        <f t="shared" si="1264"/>
        <v>1490</v>
      </c>
      <c r="IJ481" s="19">
        <f t="shared" si="1265"/>
        <v>2203.2561351629856</v>
      </c>
      <c r="IK481" s="19">
        <f t="shared" si="1266"/>
        <v>242</v>
      </c>
      <c r="IL481" s="19">
        <f t="shared" si="1285"/>
        <v>29.999999999999773</v>
      </c>
      <c r="IM481" s="19">
        <f t="shared" si="1267"/>
        <v>-108.06102729664281</v>
      </c>
      <c r="IN481" s="19">
        <f t="shared" si="1268"/>
        <v>-95</v>
      </c>
      <c r="IO481" s="39">
        <f t="shared" si="1269"/>
        <v>0</v>
      </c>
      <c r="IP481" s="39">
        <f t="shared" si="1270"/>
        <v>0</v>
      </c>
      <c r="IQ481" s="39">
        <f t="shared" si="1271"/>
        <v>0</v>
      </c>
      <c r="IR481" s="39">
        <v>0</v>
      </c>
      <c r="IS481" s="39">
        <v>0</v>
      </c>
      <c r="IT481" s="39">
        <v>0</v>
      </c>
      <c r="IU481" s="39">
        <v>0</v>
      </c>
      <c r="IV481" s="39">
        <v>0</v>
      </c>
      <c r="IW481" s="39">
        <v>0</v>
      </c>
      <c r="IX481" s="39">
        <f>INDEX(Input!$1:$1048576,IX$93,$C481*2+6)+INDEX(Input!$1:$1048576,IX$94,$C481*2+6)</f>
        <v>1770</v>
      </c>
      <c r="IY481" s="39">
        <f>INDEX(Input!$1:$1048576,IY$93,$C481*2+6)+INDEX(Input!$1:$1048576,IY$94,$C481*2+6)</f>
        <v>2630.0624533823611</v>
      </c>
      <c r="IZ481" s="39">
        <f>INDEX(Input!$1:$1048576,IZ$93,$C481*2+6)+INDEX(Input!$1:$1048576,IZ$94,$C481*2+6)</f>
        <v>4153.7164157747848</v>
      </c>
      <c r="JA481" s="19">
        <f t="shared" si="1286"/>
        <v>1799.9999999999998</v>
      </c>
      <c r="JB481" s="19">
        <f t="shared" si="1287"/>
        <v>2522.0014260857183</v>
      </c>
      <c r="JC481" s="19">
        <f t="shared" si="1288"/>
        <v>4058.7164157747848</v>
      </c>
      <c r="JD481" s="19">
        <f t="shared" si="1289"/>
        <v>2280.6097461188942</v>
      </c>
      <c r="JE481" s="21"/>
      <c r="JF481" s="1">
        <f t="shared" si="1272"/>
        <v>3.2545831732385969E-2</v>
      </c>
      <c r="JG481" s="15">
        <f>INDEX(Input!$1:$1048576,JG$93,$C481*2+6)/(1+VLOOKUP(C481*1000+INDEX(Input!$1:$1048576,JG$93+1,$C481*2+6),$A:$KK,$JK$92,FALSE))</f>
        <v>2329</v>
      </c>
      <c r="JH481" s="1">
        <f t="shared" si="1290"/>
        <v>9.420446630331173E-4</v>
      </c>
      <c r="JI481" s="1">
        <f t="shared" si="1291"/>
        <v>-1.0083945929545868E-2</v>
      </c>
      <c r="JJ481" s="1">
        <f t="shared" si="1329"/>
        <v>0</v>
      </c>
      <c r="JK481" s="1">
        <f t="shared" si="1330"/>
        <v>-9.1419012665127503E-3</v>
      </c>
      <c r="JL481" s="15">
        <f t="shared" si="1292"/>
        <v>-21.291488049708196</v>
      </c>
      <c r="JM481" s="15">
        <f t="shared" si="1311"/>
        <v>2307.7085119502917</v>
      </c>
      <c r="JN481" s="21"/>
      <c r="JO481" s="19">
        <f>INDEX(Input!$1:$1048576,JO$93,$C481*2+6)</f>
        <v>5995.5</v>
      </c>
      <c r="JP481" s="19">
        <f>INDEX(Input!$1:$1048576,JP$93,$C481*2+6)</f>
        <v>2341.8685758720158</v>
      </c>
      <c r="JQ481" s="39">
        <f t="shared" si="1300"/>
        <v>3714.8902538811058</v>
      </c>
      <c r="JR481" s="39">
        <f t="shared" si="1314"/>
        <v>-61.258829753121518</v>
      </c>
      <c r="JS481" s="39">
        <f t="shared" si="1301"/>
        <v>5.2629825235553662</v>
      </c>
      <c r="JT481" s="39">
        <f t="shared" si="1293"/>
        <v>-0.19122938965055813</v>
      </c>
      <c r="JU481" s="385">
        <f>(JQ481*JM481-INDEX(Input!$1:$1048576,Input!A$18,$C481*2+6)*JL481*INDEX(Input!$1:$1048576,Input!A$19,$C481*2+6))/1000000</f>
        <v>8.5728838598426069</v>
      </c>
      <c r="JV481" s="39">
        <f t="shared" si="1335"/>
        <v>6.3576273048532528E-2</v>
      </c>
      <c r="JW481" s="1">
        <f t="shared" si="1312"/>
        <v>7.4713802974050465E-3</v>
      </c>
      <c r="JX481" s="19">
        <f t="shared" si="1305"/>
        <v>8981.4948210338425</v>
      </c>
      <c r="JZ481" s="341"/>
      <c r="KA481" s="342"/>
      <c r="KB481" s="469">
        <f t="shared" si="1302"/>
        <v>2.3434325605641804</v>
      </c>
      <c r="KI481" s="473">
        <f t="shared" si="1331"/>
        <v>19.126523842628558</v>
      </c>
      <c r="KJ481" s="473">
        <f t="shared" si="1332"/>
        <v>-33.448183515302162</v>
      </c>
      <c r="KK481" s="473">
        <f t="shared" si="1324"/>
        <v>-6.969828377034915</v>
      </c>
      <c r="KN481" s="544">
        <f t="shared" si="1306"/>
        <v>4002</v>
      </c>
      <c r="KO481" s="541">
        <f t="shared" si="1273"/>
        <v>-4.585410098235565E-2</v>
      </c>
      <c r="KP481" s="546">
        <f t="shared" si="1274"/>
        <v>-326.15918278134723</v>
      </c>
      <c r="KQ481" s="546">
        <f t="shared" si="1275"/>
        <v>-344.16144191712692</v>
      </c>
      <c r="KR481" s="548">
        <f t="shared" si="1276"/>
        <v>2.4406416469170802</v>
      </c>
      <c r="KS481" s="548">
        <f t="shared" si="1277"/>
        <v>2.3129775392220724</v>
      </c>
      <c r="KT481" s="473">
        <f t="shared" si="1303"/>
        <v>1580.0986321700548</v>
      </c>
      <c r="KU481" s="663">
        <f t="shared" si="1295"/>
        <v>4.0353042480502603</v>
      </c>
    </row>
    <row r="482" spans="1:307" s="26" customFormat="1" ht="15" outlineLevel="1">
      <c r="A482" s="561">
        <f t="shared" si="1278"/>
        <v>4082</v>
      </c>
      <c r="B482" s="561">
        <f t="shared" si="1296"/>
        <v>82</v>
      </c>
      <c r="C482" s="561">
        <f t="shared" si="1297"/>
        <v>4</v>
      </c>
      <c r="D482" s="561" t="str">
        <f t="shared" si="1206"/>
        <v xml:space="preserve">-500 CC, 0.9/1.9/2.9/3.9, -360 Lease, </v>
      </c>
      <c r="E482" s="475">
        <f>INDEX(Input!$1:$1048576,E$93,$C482*2+MIN($B482,2)+5)
+INDEX(Scenarios!E$121:E$200,MATCH($B482,Scenarios!$B$121:$B$200,0))</f>
        <v>756.83297552597696</v>
      </c>
      <c r="F482" s="475">
        <f>INDEX(Input!$1:$1048576,F$93,$C482*2+MIN($B482,2)+5)
+INDEX(Scenarios!F$121:F$200,MATCH($B482,Scenarios!$B$121:$B$200,0))</f>
        <v>0</v>
      </c>
      <c r="G482" s="475">
        <f>INDEX(Input!$1:$1048576,G$93,$C482*2+MIN($B482,2)+5)
+INDEX(Scenarios!G$121:G$200,MATCH($B482,Scenarios!$B$121:$B$200,0))</f>
        <v>0</v>
      </c>
      <c r="H482" s="475">
        <f>INDEX(Input!$1:$1048576,H$93,$C482*2+MIN($B482,2)+5)
+INDEX(Scenarios!H$121:H$200,MATCH($B482,Scenarios!$B$121:$B$200,0))</f>
        <v>0</v>
      </c>
      <c r="I482" s="476">
        <f>INDEX(Input!$1:$1048576,I$93,$C482*2+MIN($B482,2)+5)</f>
        <v>0.7</v>
      </c>
      <c r="J482" s="476" t="str">
        <f>INDEX(Input!$1:$1048576,J$93,$C482*2+MIN($B482,2)+5)</f>
        <v>Market</v>
      </c>
      <c r="K482" s="476" t="str">
        <f>INDEX(Input!$1:$1048576,K$93,$C482*2+MIN($B482,2)+5)</f>
        <v>Market</v>
      </c>
      <c r="L482" s="476" t="str">
        <f>INDEX(Input!$1:$1048576,L$93,$C482*2+MIN($B482,2)+5)</f>
        <v>Market</v>
      </c>
      <c r="M482" s="476" t="str">
        <f>INDEX(Input!$1:$1048576,M$93,$C482*2+MIN($B482,2)+5)</f>
        <v>Market</v>
      </c>
      <c r="N482" s="476" t="str">
        <f>INDEX(Input!$1:$1048576,N$93,$C482*2+MIN($B482,2)+5)</f>
        <v>Market</v>
      </c>
      <c r="O482" s="476" t="str">
        <f>INDEX(Input!$1:$1048576,O$93,$C482*2+MIN($B482,2)+5)</f>
        <v>Market</v>
      </c>
      <c r="P482" s="476" t="str">
        <f>INDEX(Input!$1:$1048576,P$93,$C482*2+MIN($B482,2)+5)</f>
        <v>N</v>
      </c>
      <c r="Q482" s="477">
        <f>INDEX(Input!$1:$1048576,Q$93,$C482*2+MIN($B482,2)+5)
+INDEX(Scenarios!Q$121:Q$200,MATCH($B482,Scenarios!$B$121:$B$200,0))</f>
        <v>0</v>
      </c>
      <c r="R482" s="478">
        <f>IFERROR(MAX(0,INDEX(Input!$1:$1048576,R$93,$C482*2+MIN($B482,2)+5)
+INDEX(Scenarios!R$121:R$200,MATCH($B482,Scenarios!$B$121:$B$200,0)),),"Market")</f>
        <v>0</v>
      </c>
      <c r="S482" s="478">
        <f>IFERROR(MAX(0,INDEX(Input!$1:$1048576,S$93,$C482*2+MIN($B482,2)+5)
+INDEX(Scenarios!S$121:S$200,MATCH($B482,Scenarios!$B$121:$B$200,0)),),"Market")</f>
        <v>0</v>
      </c>
      <c r="T482" s="478">
        <f>IFERROR(MAX(0,INDEX(Input!$1:$1048576,T$93,$C482*2+MIN($B482,2)+5)
+INDEX(Scenarios!T$121:T$200,MATCH($B482,Scenarios!$B$121:$B$200,0)),),"Market")</f>
        <v>0</v>
      </c>
      <c r="U482" s="478">
        <f>IFERROR(MAX(0,INDEX(Input!$1:$1048576,U$93,$C482*2+MIN($B482,2)+5)
+INDEX(Scenarios!U$121:U$200,MATCH($B482,Scenarios!$B$121:$B$200,0)),),"Market")</f>
        <v>9.0000000000000011E-3</v>
      </c>
      <c r="V482" s="478">
        <f>IFERROR(MAX(0,INDEX(Input!$1:$1048576,V$93,$C482*2+MIN($B482,2)+5)
+INDEX(Scenarios!V$121:V$200,MATCH($B482,Scenarios!$B$121:$B$200,0)),),"Market")</f>
        <v>2.8999999999999998E-2</v>
      </c>
      <c r="W482" s="885">
        <f>IFERROR(MAX(0,INDEX(Input!$1:$1048576,W$93,$C482*2+MIN($B482,2)+5)-0%,),"Market")</f>
        <v>3.9E-2</v>
      </c>
      <c r="X482" s="476" t="str">
        <f>INDEX(Input!$1:$1048576,X$93,$C482*2+MIN($B482,2)+5)</f>
        <v>Y</v>
      </c>
      <c r="Y482" s="475">
        <f>INDEX(Input!$1:$1048576,Y$93,$C482*2+MIN($B482,2)+5)
++INDEX(Scenarios!Y$121:Y$200,MATCH($B482,Scenarios!$B$121:$B$200,0))</f>
        <v>-1230</v>
      </c>
      <c r="Z482" s="477">
        <f>INDEX(Input!$1:$1048576,Z$93,$C482*2+MIN($B482,2)+5)
+INDEX(Scenarios!Z$121:Z$200,MATCH($B482,Scenarios!$B$121:$B$200,0))</f>
        <v>0</v>
      </c>
      <c r="AA482" s="475">
        <f>INDEX(Input!$1:$1048576,AA$93,$C482*2+MIN($B482,2)+5)
+INDEX(Scenarios!AA$121:AA$200,MATCH($B482,Scenarios!$B$121:$B$200,0))</f>
        <v>0</v>
      </c>
      <c r="AB482" s="476">
        <f>INDEX(Input!$1:$1048576,AB$93,$C482*2+MIN($B482,2)+5)</f>
        <v>0.27</v>
      </c>
      <c r="AC482" s="475">
        <f>INDEX(Input!$1:$1048576,AC$93,$C482*2+MIN($B482,2)+5)
+INDEX(Scenarios!AC$121:AC$200,MATCH($B482,Scenarios!$B$121:$B$200,0))</f>
        <v>0</v>
      </c>
      <c r="AD482" s="476">
        <f>INDEX(Input!$1:$1048576,AD$93,$C482*2+MIN($B482,2)+5)</f>
        <v>0.27</v>
      </c>
      <c r="AE482" s="475">
        <f>INDEX(Input!$1:$1048576,AE$93,$C482*2+MIN($B482,2)+5)
+INDEX(Scenarios!AE$121:AE$200,MATCH($B482,Scenarios!$B$121:$B$200,0))</f>
        <v>0</v>
      </c>
      <c r="AF482" s="476">
        <f>INDEX(Input!$1:$1048576,AF$93,$C482*2+MIN($B482,2)+5)</f>
        <v>1</v>
      </c>
      <c r="AG482" s="475">
        <f>INDEX(Input!$1:$1048576,AG$93,$C482*2+MIN($B482,2)+5)
+INDEX(Scenarios!AG$121:AG$200,MATCH($B482,Scenarios!$B$121:$B$200,0))</f>
        <v>500</v>
      </c>
      <c r="AH482" s="476">
        <f>INDEX(Input!$1:$1048576,AH$93,$C482*2+MIN($B482,2)+5)</f>
        <v>0.83199999999999996</v>
      </c>
      <c r="AI482" s="475">
        <f>INDEX(Input!$1:$1048576,AI$93,$C482*2+MIN($B482,2)+5)
+INDEX(Scenarios!AI$121:AI$200,MATCH($B482,Scenarios!$B$121:$B$200,0))</f>
        <v>0</v>
      </c>
      <c r="AJ482" s="476">
        <f>INDEX(Input!$1:$1048576,AJ$93,$C482*2+MIN($B482,2)+5)</f>
        <v>0.27</v>
      </c>
      <c r="AK482" s="150">
        <f>ROUND(INDEX(Input!$1:$1048576,AK$93,$C481*2+MIN($B482,1)+5)+(Y482-VLOOKUP($C482*1000+1,$A:$HH,Y$92,FALSE)),0)</f>
        <v>2227</v>
      </c>
      <c r="AL482" s="150">
        <f>ROUND(INDEX(Input!$1:$1048576,AL$93,$C481*2+MIN($B482,1)+5)-(Y482-VLOOKUP($C482*1000+1,$A:$HH,Y$92,FALSE))/36,0)</f>
        <v>3416</v>
      </c>
      <c r="AM482" s="32" t="str">
        <f t="shared" si="1279"/>
        <v>std/std/std/std</v>
      </c>
      <c r="AN482" s="32" t="str">
        <f t="shared" si="1280"/>
        <v>$0 + 0/0/0.9/2.9/3.9</v>
      </c>
      <c r="AO482" s="32" t="str">
        <f t="shared" si="1281"/>
        <v>0/0/0.9/2.9/3.9</v>
      </c>
      <c r="AP482" s="32" t="str">
        <f t="shared" si="1213"/>
        <v>0.9/1.9/2.9/3.9</v>
      </c>
      <c r="AQ482" s="536">
        <f t="shared" si="1207"/>
        <v>0.42288256653646816</v>
      </c>
      <c r="AR482" s="32"/>
      <c r="AS482" s="302"/>
      <c r="AT482" s="3">
        <f t="shared" si="1298"/>
        <v>82</v>
      </c>
      <c r="AU482" s="41" t="s">
        <v>121</v>
      </c>
      <c r="AV482" s="41" t="s">
        <v>116</v>
      </c>
      <c r="AW482" s="41" t="str">
        <f>INDEX(Input!$1:$1048576,AW$93,$C482*2+6)</f>
        <v>Kia</v>
      </c>
      <c r="AX482" s="41" t="str">
        <f>INDEX(Input!$1:$1048576,AX$93,$C482*2+6)</f>
        <v>Kia-LR - R1</v>
      </c>
      <c r="AY482" s="41" t="str">
        <f>IF(LEN(D482)=0,"",INDEX(Input!$1:$1048576,AY$93,$C482*2+6))</f>
        <v>Compact SUV (52)</v>
      </c>
      <c r="AZ482" s="41" t="str">
        <f>INDEX(Input!$1:$1048576,AZ$93,$C482*2+6)</f>
        <v>Kia Soul</v>
      </c>
      <c r="BA482" s="3">
        <f>INDEX(Input!$1:$1048576,BA$93,$C482*2+6)</f>
        <v>2020</v>
      </c>
      <c r="BB482" s="128">
        <f>INDEX(Input!$1:$1048576,BB$93,$C482*2+6)</f>
        <v>1</v>
      </c>
      <c r="BC482" s="128">
        <f>INDEX(Input!$1:$1048576,BC$93,$C482*2+6)</f>
        <v>0.7</v>
      </c>
      <c r="BD482" s="1">
        <f>INDEX(Input!$1:$1048576,BD$93,$C482*2+6)</f>
        <v>4.4999999999999998E-2</v>
      </c>
      <c r="BE482" s="1">
        <f>INDEX(Input!$1:$1048576,BE$93,$C482*2+6)</f>
        <v>4.4999999999999998E-2</v>
      </c>
      <c r="BF482" s="1">
        <f>INDEX(Input!$1:$1048576,BF$93,$C482*2+6)</f>
        <v>0.05</v>
      </c>
      <c r="BG482" s="1">
        <f>INDEX(Input!$1:$1048576,BG$93,$C482*2+6)</f>
        <v>5.45E-2</v>
      </c>
      <c r="BH482" s="1">
        <f>INDEX(Input!$1:$1048576,BH$93,$C482*2+6)</f>
        <v>5.45E-2</v>
      </c>
      <c r="BI482" s="1">
        <f>INDEX(Input!$1:$1048576,BI$93,$C482*2+6)</f>
        <v>0.05</v>
      </c>
      <c r="BJ482" s="1">
        <f>INDEX(Input!$1:$1048576,BJ$93,$C482*2+6)</f>
        <v>0.05</v>
      </c>
      <c r="BK482" s="1">
        <f>INDEX(Input!$1:$1048576,BK$93,$C482*2+6)</f>
        <v>0.05</v>
      </c>
      <c r="BL482" s="1">
        <f>INDEX(Input!$1:$1048576,BL$93,$C482*2+6)</f>
        <v>5.5E-2</v>
      </c>
      <c r="BM482" s="1">
        <f>INDEX(Input!$1:$1048576,BM$93,$C482*2+6)</f>
        <v>0.06</v>
      </c>
      <c r="BN482" s="1">
        <f>INDEX(Input!$1:$1048576,BN$93,$C482*2+6)</f>
        <v>4.4999999999999998E-2</v>
      </c>
      <c r="BO482" s="1">
        <f>INDEX(Input!$1:$1048576,BO$93,$C482*2+6)</f>
        <v>4.4999999999999998E-2</v>
      </c>
      <c r="BP482" s="1">
        <f>INDEX(Input!$1:$1048576,BP$93,$C482*2+6)</f>
        <v>0.05</v>
      </c>
      <c r="BQ482" s="1">
        <f>INDEX(Input!$1:$1048576,BQ$93,$C482*2+6)</f>
        <v>5.45E-2</v>
      </c>
      <c r="BR482" s="1">
        <f>INDEX(Input!$1:$1048576,BR$93,$C482*2+6)</f>
        <v>5.45E-2</v>
      </c>
      <c r="BS482" s="1">
        <f>INDEX(Input!$1:$1048576,BS$93,$C482*2+6)</f>
        <v>0.05</v>
      </c>
      <c r="BT482" s="1">
        <f>INDEX(Input!$1:$1048576,BT$93,$C482*2+6)</f>
        <v>0.05</v>
      </c>
      <c r="BU482" s="1">
        <f>INDEX(Input!$1:$1048576,BU$93,$C482*2+6)</f>
        <v>0.05</v>
      </c>
      <c r="BV482" s="1">
        <f>INDEX(Input!$1:$1048576,BV$93,$C482*2+6)</f>
        <v>5.5E-2</v>
      </c>
      <c r="BW482" s="1">
        <f>INDEX(Input!$1:$1048576,BW$93,$C482*2+6)</f>
        <v>0.06</v>
      </c>
      <c r="BX482" s="127">
        <f>INDEX(Input!$1:$1048576,BX$93,$C482*2+6)</f>
        <v>19985</v>
      </c>
      <c r="BY482" s="20">
        <f>INDEX(Input!$1:$1048576,BY$93,$C482*2+6)</f>
        <v>0.1</v>
      </c>
      <c r="BZ482" s="20">
        <f>INDEX(Input!$1:$1048576,BZ$93,$C482*2+6)</f>
        <v>0.1</v>
      </c>
      <c r="CA482" s="20">
        <f>INDEX(Input!$1:$1048576,CA$93,$C482*2+6)</f>
        <v>0.1</v>
      </c>
      <c r="CB482" s="20">
        <f>INDEX(Input!$1:$1048576,CB$93,$C482*2+6)</f>
        <v>0.1</v>
      </c>
      <c r="CC482" s="20">
        <f>INDEX(Input!$1:$1048576,CC$93,$C482*2+6)</f>
        <v>0.1</v>
      </c>
      <c r="CD482" s="384">
        <f>INDEX(Input!$1:$1048576,CD$93,$C482*2+6)</f>
        <v>0.1</v>
      </c>
      <c r="CE482" s="384">
        <f>INDEX(Input!$1:$1048576,CE$93,$C482*2+6)</f>
        <v>0.1</v>
      </c>
      <c r="CF482" s="384">
        <f>INDEX(Input!$1:$1048576,CF$93,$C482*2+6)</f>
        <v>0.1</v>
      </c>
      <c r="CG482" s="384">
        <f>INDEX(Input!$1:$1048576,CG$93,$C482*2+6)</f>
        <v>0.1</v>
      </c>
      <c r="CH482" s="384">
        <f>INDEX(Input!$1:$1048576,CH$93,$C482*2+6)</f>
        <v>0.1</v>
      </c>
      <c r="CI482" s="304">
        <f t="shared" si="1214"/>
        <v>756.83297552597696</v>
      </c>
      <c r="CJ482" s="16" t="str">
        <f>INDEX(Input!$1:$1048576,CJ$93,$C482*2+6)</f>
        <v>N</v>
      </c>
      <c r="CK482" s="1" t="str">
        <f t="shared" si="1215"/>
        <v>Market</v>
      </c>
      <c r="CL482" s="1" t="str">
        <f t="shared" si="1216"/>
        <v>Market</v>
      </c>
      <c r="CM482" s="1" t="str">
        <f t="shared" si="1217"/>
        <v>Market</v>
      </c>
      <c r="CN482" s="1" t="str">
        <f t="shared" si="1218"/>
        <v>Market</v>
      </c>
      <c r="CO482" s="1" t="str">
        <f t="shared" si="1219"/>
        <v>Market</v>
      </c>
      <c r="CP482" s="304">
        <f t="shared" si="1220"/>
        <v>416</v>
      </c>
      <c r="CQ482" s="1">
        <f t="shared" si="1221"/>
        <v>0</v>
      </c>
      <c r="CR482" s="1">
        <f t="shared" si="1222"/>
        <v>0</v>
      </c>
      <c r="CS482" s="1">
        <f t="shared" si="1223"/>
        <v>9.0000000000000011E-3</v>
      </c>
      <c r="CT482" s="1">
        <f t="shared" si="1224"/>
        <v>2.8999999999999998E-2</v>
      </c>
      <c r="CU482" s="1">
        <f t="shared" si="1225"/>
        <v>3.9E-2</v>
      </c>
      <c r="CV482" s="304">
        <f t="shared" si="1226"/>
        <v>-1230</v>
      </c>
      <c r="CW482" s="20" t="s">
        <v>122</v>
      </c>
      <c r="CX482" s="20" t="s">
        <v>122</v>
      </c>
      <c r="CY482" s="20" t="s">
        <v>122</v>
      </c>
      <c r="CZ482" s="20" t="s">
        <v>122</v>
      </c>
      <c r="DA482" s="20" t="s">
        <v>122</v>
      </c>
      <c r="DB482" s="503">
        <f t="shared" si="1227"/>
        <v>0</v>
      </c>
      <c r="DC482" s="127">
        <v>0</v>
      </c>
      <c r="DD482" s="127">
        <v>0</v>
      </c>
      <c r="DE482" s="127">
        <v>0</v>
      </c>
      <c r="DF482" s="127">
        <v>0</v>
      </c>
      <c r="DG482" s="127">
        <v>0</v>
      </c>
      <c r="DH482" s="127">
        <v>0</v>
      </c>
      <c r="DI482" s="127">
        <v>0</v>
      </c>
      <c r="DJ482" s="127">
        <v>0</v>
      </c>
      <c r="DK482" s="127">
        <v>0</v>
      </c>
      <c r="DL482" s="127">
        <v>0</v>
      </c>
      <c r="DM482" s="304">
        <f>INDEX(Input!$1:$1048576,DM$93,$C482*2+6)</f>
        <v>21036.84210526316</v>
      </c>
      <c r="DN482" s="20">
        <v>0</v>
      </c>
      <c r="DO482" s="20">
        <v>0</v>
      </c>
      <c r="DP482" s="20">
        <v>0</v>
      </c>
      <c r="DQ482" s="20">
        <v>0</v>
      </c>
      <c r="DR482" s="20">
        <v>0</v>
      </c>
      <c r="DS482" s="20">
        <f>INDEX(Input!$1:$1048576,DS$93,$C482*2+6)</f>
        <v>0.6</v>
      </c>
      <c r="DT482" s="20">
        <f>INDEX(Input!$1:$1048576,DT$93,$C482*2+6)</f>
        <v>0.55000000000000004</v>
      </c>
      <c r="DU482" s="20">
        <f>INDEX(Input!$1:$1048576,DU$93,$C482*2+6)</f>
        <v>0.52</v>
      </c>
      <c r="DV482" s="20">
        <f>INDEX(Input!$1:$1048576,DV$93,$C482*2+6)</f>
        <v>0.5</v>
      </c>
      <c r="DW482" s="20">
        <f>INDEX(Input!$1:$1048576,DW$93,$C482*2+6)</f>
        <v>0.45</v>
      </c>
      <c r="DX482" s="20"/>
      <c r="DY482" s="7">
        <v>9.8473204418485838E-2</v>
      </c>
      <c r="DZ482" s="7">
        <v>0</v>
      </c>
      <c r="EA482" s="7">
        <v>0.8027045086761514</v>
      </c>
      <c r="EB482" s="7">
        <v>0</v>
      </c>
      <c r="EC482" s="7">
        <v>0</v>
      </c>
      <c r="ED482" s="7">
        <v>0</v>
      </c>
      <c r="EE482" s="7">
        <v>0</v>
      </c>
      <c r="EF482" s="7">
        <v>0</v>
      </c>
      <c r="EG482" s="7">
        <v>0</v>
      </c>
      <c r="EH482" s="7">
        <v>1.663113419569269E-2</v>
      </c>
      <c r="EI482" s="7">
        <v>4.3424228010702462E-2</v>
      </c>
      <c r="EJ482" s="7">
        <v>0.22382538246323416</v>
      </c>
      <c r="EK482" s="7">
        <v>0.52980785440667133</v>
      </c>
      <c r="EL482" s="7">
        <v>0.18631140092369944</v>
      </c>
      <c r="EM482" s="7">
        <v>4.167932851812732E-2</v>
      </c>
      <c r="EN482" s="7">
        <v>4.9439853989732697E-2</v>
      </c>
      <c r="EO482" s="7">
        <v>0.70135186361667679</v>
      </c>
      <c r="EP482" s="7">
        <v>0.10814170562733059</v>
      </c>
      <c r="EQ482" s="7">
        <v>9.5007450719174394E-2</v>
      </c>
      <c r="ER482" s="7">
        <v>4.60591260470853E-2</v>
      </c>
      <c r="ES482" s="7">
        <v>5.714295838723548E-2</v>
      </c>
      <c r="ET482" s="7">
        <v>9.8822286905362836E-2</v>
      </c>
      <c r="EU482" s="6">
        <v>1270</v>
      </c>
      <c r="EV482" s="6">
        <v>0</v>
      </c>
      <c r="EW482" s="6">
        <v>1270</v>
      </c>
      <c r="EX482" s="6">
        <v>0</v>
      </c>
      <c r="EY482" s="6">
        <v>2095.0926543269748</v>
      </c>
      <c r="EZ482" s="6">
        <v>147</v>
      </c>
      <c r="FA482" s="6">
        <v>0</v>
      </c>
      <c r="FB482" s="6">
        <v>0</v>
      </c>
      <c r="FC482" s="6">
        <v>0</v>
      </c>
      <c r="FD482" s="6">
        <v>0</v>
      </c>
      <c r="FE482" s="6">
        <v>0</v>
      </c>
      <c r="FF482" s="6">
        <v>0</v>
      </c>
      <c r="FG482" s="6">
        <v>0</v>
      </c>
      <c r="FH482" s="6">
        <v>1169.7937049039513</v>
      </c>
      <c r="FI482" s="6">
        <v>1553.9796069512399</v>
      </c>
      <c r="FJ482" s="6">
        <v>1735.1562230702805</v>
      </c>
      <c r="FK482" s="6">
        <v>1284.9687470586857</v>
      </c>
      <c r="FL482" s="6">
        <v>907.07682140966369</v>
      </c>
      <c r="FM482" s="6">
        <v>1325.0926543269748</v>
      </c>
      <c r="FN482" s="6">
        <v>0</v>
      </c>
      <c r="FO482" s="6">
        <v>0</v>
      </c>
      <c r="FP482" s="6">
        <v>0</v>
      </c>
      <c r="FQ482" s="6">
        <v>0</v>
      </c>
      <c r="FR482" s="6">
        <v>0</v>
      </c>
      <c r="FS482" s="6">
        <v>0</v>
      </c>
      <c r="FT482" s="7">
        <v>0.90117771309463723</v>
      </c>
      <c r="FU482" s="7">
        <v>4.167932851812732E-2</v>
      </c>
      <c r="FV482" s="7">
        <v>5.714295838723548E-2</v>
      </c>
      <c r="FW482" s="6">
        <v>1269.9999999999998</v>
      </c>
      <c r="FX482" s="6">
        <v>2095.0926543269748</v>
      </c>
      <c r="FY482" s="6">
        <v>147</v>
      </c>
      <c r="FZ482" s="6">
        <v>1949.5716051445115</v>
      </c>
      <c r="GA482" s="6">
        <v>1240.2177655287221</v>
      </c>
      <c r="GB482" s="6">
        <v>18744.782234471277</v>
      </c>
      <c r="GC482" s="7">
        <v>3.3872851927908169E-2</v>
      </c>
      <c r="GD482" s="7">
        <v>3.1734515914056016E-2</v>
      </c>
      <c r="GE482" s="7"/>
      <c r="GF482" s="7"/>
      <c r="GG482" s="7">
        <v>-6.3128313447098836E-2</v>
      </c>
      <c r="GH482" s="42">
        <v>1.778547283149418</v>
      </c>
      <c r="GI482" s="6">
        <v>12476.916496760054</v>
      </c>
      <c r="GJ482" s="14">
        <v>0.50394797582841777</v>
      </c>
      <c r="GK482" s="14">
        <v>0.50887573065309777</v>
      </c>
      <c r="GL482" s="14">
        <v>0.49605202417158339</v>
      </c>
      <c r="GM482" s="14">
        <v>0.49112426934690262</v>
      </c>
      <c r="GO482" s="5">
        <v>343.14810671672558</v>
      </c>
      <c r="GP482" s="5">
        <v>318.91892952659737</v>
      </c>
      <c r="GQ482" s="5">
        <v>535.04305713031317</v>
      </c>
      <c r="GR482" s="5">
        <v>410.15490233172511</v>
      </c>
      <c r="GS482" s="5">
        <v>339.42744393800166</v>
      </c>
      <c r="GT482" s="5">
        <v>293.4407446948278</v>
      </c>
      <c r="GU482" s="5">
        <v>258.04012322764959</v>
      </c>
      <c r="GV482" s="39" t="s">
        <v>392</v>
      </c>
      <c r="GW482" s="5">
        <v>478.23611111111109</v>
      </c>
      <c r="GX482" s="5">
        <v>358.67708333333331</v>
      </c>
      <c r="GY482" s="5">
        <v>293.55384547131746</v>
      </c>
      <c r="GZ482" s="5">
        <v>260.81240841112611</v>
      </c>
      <c r="HA482" s="5">
        <v>234.53733318419432</v>
      </c>
      <c r="HB482" s="39">
        <v>271.11112774355718</v>
      </c>
      <c r="HC482" s="5">
        <v>280.85312499999998</v>
      </c>
      <c r="HD482" s="5">
        <v>235.41580774853799</v>
      </c>
      <c r="HE482" s="5">
        <v>236.8873861336032</v>
      </c>
      <c r="HF482" s="5">
        <v>217.50938048245612</v>
      </c>
      <c r="HG482" s="5">
        <v>207.81388157894736</v>
      </c>
      <c r="HH482" s="39">
        <v>234.84879647303438</v>
      </c>
      <c r="HI482" s="16"/>
      <c r="HJ482" s="19" t="str">
        <f t="shared" ref="HJ482:HK482" si="1339">HJ481</f>
        <v>On</v>
      </c>
      <c r="HK482" s="1" t="str">
        <f t="shared" si="1339"/>
        <v>On</v>
      </c>
      <c r="HL482" s="16"/>
      <c r="HM482" s="639">
        <f t="shared" si="1255"/>
        <v>2.9403358434788716E-2</v>
      </c>
      <c r="HN482" s="639">
        <f t="shared" si="1256"/>
        <v>1.4106809950923669E-3</v>
      </c>
      <c r="HO482" s="639">
        <f t="shared" si="1257"/>
        <v>1.7317923025048877E-3</v>
      </c>
      <c r="HP482" s="644">
        <f>(FT482*$GD482-HM482)/$JF482*INDEX(Input!$1:$1048576,$JG$93,$C482*2+6)</f>
        <v>-57.600573730004911</v>
      </c>
      <c r="HQ482" s="644">
        <f>(FU482*$GD482-HN482)/$JF482*INDEX(Input!$1:$1048576,$JG$93,$C482*2+6)</f>
        <v>-6.2978844913301142</v>
      </c>
      <c r="HR482" s="644">
        <f>(FV482*$GD482-HO482)/$JF482*INDEX(Input!$1:$1048576,$JG$93,$C482*2+6)</f>
        <v>5.8401926828269985</v>
      </c>
      <c r="HS482" s="644">
        <f t="shared" si="1246"/>
        <v>28.837323238149452</v>
      </c>
      <c r="HT482" s="644">
        <f t="shared" si="1326"/>
        <v>-16.357700566079728</v>
      </c>
      <c r="HU482" s="644">
        <f t="shared" si="1259"/>
        <v>-3.2688377106747732</v>
      </c>
      <c r="HV482" s="648">
        <f t="shared" si="1260"/>
        <v>0</v>
      </c>
      <c r="HW482" s="648">
        <f t="shared" si="1261"/>
        <v>0</v>
      </c>
      <c r="HX482" s="648">
        <f t="shared" si="1262"/>
        <v>0</v>
      </c>
      <c r="HY482" s="644">
        <f>INDEX(Input!$1:$1048576,HY$93,$C482*2+6)*INDEX(Input!$1:$1048576,$JG$93,$C482*2+6)</f>
        <v>993</v>
      </c>
      <c r="HZ482" s="644">
        <f>INDEX(Input!$1:$1048576,HZ$93,$C482*2+6)*INDEX(Input!$1:$1048576,$JG$93,$C482*2+6)</f>
        <v>1216</v>
      </c>
      <c r="IA482" s="644">
        <f>INDEX(Input!$1:$1048576,IA$93,$C482*2+6)*INDEX(Input!$1:$1048576,$JG$93,$C482*2+6)</f>
        <v>120</v>
      </c>
      <c r="IB482" s="644">
        <f t="shared" si="1283"/>
        <v>964.23674950814461</v>
      </c>
      <c r="IC482" s="644">
        <f t="shared" si="1284"/>
        <v>1193.3444149425902</v>
      </c>
      <c r="ID482" s="644">
        <f>IF(AND(INDEX(Input!$1:$1048576,IA$93,$C482*2+7)="TOS",Y482&lt;=INDEX(Y:Y,MATCH(C482*1000+2,A:A))),0,1)*MAX(IA482+HR482+HU482+HX482,0%)</f>
        <v>122.57135497215222</v>
      </c>
      <c r="IE482" s="128">
        <f t="shared" si="1327"/>
        <v>0.42288256653646816</v>
      </c>
      <c r="IF482" s="128">
        <f t="shared" si="1328"/>
        <v>0.52336166321217359</v>
      </c>
      <c r="IG482" s="128">
        <f t="shared" si="1319"/>
        <v>5.3755770251358172E-2</v>
      </c>
      <c r="IH482" s="21"/>
      <c r="II482" s="19">
        <f t="shared" si="1264"/>
        <v>1490</v>
      </c>
      <c r="IJ482" s="19">
        <f t="shared" si="1265"/>
        <v>2203.2561351629856</v>
      </c>
      <c r="IK482" s="19">
        <f t="shared" si="1266"/>
        <v>242</v>
      </c>
      <c r="IL482" s="19">
        <f t="shared" si="1285"/>
        <v>-220.00000000000023</v>
      </c>
      <c r="IM482" s="19">
        <f t="shared" si="1267"/>
        <v>-108.16348083601088</v>
      </c>
      <c r="IN482" s="19">
        <f t="shared" si="1268"/>
        <v>-95</v>
      </c>
      <c r="IO482" s="39">
        <f t="shared" si="1269"/>
        <v>0</v>
      </c>
      <c r="IP482" s="39">
        <f t="shared" si="1270"/>
        <v>0</v>
      </c>
      <c r="IQ482" s="39">
        <f t="shared" si="1271"/>
        <v>0</v>
      </c>
      <c r="IR482" s="39">
        <v>0</v>
      </c>
      <c r="IS482" s="39">
        <v>0</v>
      </c>
      <c r="IT482" s="39">
        <v>0</v>
      </c>
      <c r="IU482" s="39">
        <v>0</v>
      </c>
      <c r="IV482" s="39">
        <v>0</v>
      </c>
      <c r="IW482" s="39">
        <v>0</v>
      </c>
      <c r="IX482" s="39">
        <f>INDEX(Input!$1:$1048576,IX$93,$C482*2+6)+INDEX(Input!$1:$1048576,IX$94,$C482*2+6)</f>
        <v>1770</v>
      </c>
      <c r="IY482" s="39">
        <f>INDEX(Input!$1:$1048576,IY$93,$C482*2+6)+INDEX(Input!$1:$1048576,IY$94,$C482*2+6)</f>
        <v>2630.0624533823611</v>
      </c>
      <c r="IZ482" s="39">
        <f>INDEX(Input!$1:$1048576,IZ$93,$C482*2+6)+INDEX(Input!$1:$1048576,IZ$94,$C482*2+6)</f>
        <v>4153.7164157747848</v>
      </c>
      <c r="JA482" s="19">
        <f t="shared" si="1286"/>
        <v>1549.9999999999998</v>
      </c>
      <c r="JB482" s="19">
        <f t="shared" si="1287"/>
        <v>2521.8989725463503</v>
      </c>
      <c r="JC482" s="19">
        <f t="shared" si="1288"/>
        <v>4058.7164157747848</v>
      </c>
      <c r="JD482" s="19">
        <f t="shared" si="1289"/>
        <v>2193.5126460182605</v>
      </c>
      <c r="JE482" s="21"/>
      <c r="JF482" s="1">
        <f t="shared" si="1272"/>
        <v>3.2545831732385969E-2</v>
      </c>
      <c r="JG482" s="15">
        <f>INDEX(Input!$1:$1048576,JG$93,$C482*2+6)/(1+VLOOKUP(C482*1000+INDEX(Input!$1:$1048576,JG$93+1,$C482*2+6),$A:$KK,$JK$92,FALSE))</f>
        <v>2329</v>
      </c>
      <c r="JH482" s="1">
        <f t="shared" si="1290"/>
        <v>-2.4928409419711476E-2</v>
      </c>
      <c r="JI482" s="1">
        <f t="shared" si="1291"/>
        <v>3.954823942204787E-3</v>
      </c>
      <c r="JJ482" s="1">
        <f t="shared" si="1329"/>
        <v>0</v>
      </c>
      <c r="JK482" s="1">
        <f t="shared" si="1330"/>
        <v>-2.097358547750669E-2</v>
      </c>
      <c r="JL482" s="15">
        <f t="shared" si="1292"/>
        <v>-48.847480577113082</v>
      </c>
      <c r="JM482" s="15">
        <f t="shared" si="1311"/>
        <v>2280.1525194228871</v>
      </c>
      <c r="JN482" s="21"/>
      <c r="JO482" s="19">
        <f>INDEX(Input!$1:$1048576,JO$93,$C482*2+6)</f>
        <v>5995.5</v>
      </c>
      <c r="JP482" s="19">
        <f>INDEX(Input!$1:$1048576,JP$93,$C482*2+6)</f>
        <v>2341.8685758720158</v>
      </c>
      <c r="JQ482" s="39">
        <f t="shared" si="1300"/>
        <v>3801.9873539817395</v>
      </c>
      <c r="JR482" s="39">
        <f t="shared" si="1314"/>
        <v>-148.35592985375524</v>
      </c>
      <c r="JS482" s="39">
        <f t="shared" si="1301"/>
        <v>5.0015433862044993</v>
      </c>
      <c r="JT482" s="39">
        <f t="shared" si="1293"/>
        <v>-0.45266852700142468</v>
      </c>
      <c r="JU482" s="385">
        <f>(JQ482*JM482-INDEX(Input!$1:$1048576,Input!A$18,$C482*2+6)*JL482*INDEX(Input!$1:$1048576,Input!A$19,$C482*2+6))/1000000</f>
        <v>8.6691110439954198</v>
      </c>
      <c r="JV482" s="39">
        <f t="shared" si="1335"/>
        <v>0.15980345720134537</v>
      </c>
      <c r="JW482" s="1">
        <f t="shared" si="1312"/>
        <v>1.8779842610149686E-2</v>
      </c>
      <c r="JX482" s="19">
        <f t="shared" si="1305"/>
        <v>9266.9779823509925</v>
      </c>
      <c r="JZ482" s="341"/>
      <c r="KA482" s="342"/>
      <c r="KB482" s="469">
        <f t="shared" si="1302"/>
        <v>2.3434325605641804</v>
      </c>
      <c r="KI482" s="473">
        <f t="shared" si="1331"/>
        <v>-28.763250491855501</v>
      </c>
      <c r="KJ482" s="473">
        <f t="shared" si="1332"/>
        <v>-22.65558505740978</v>
      </c>
      <c r="KK482" s="473">
        <f t="shared" si="1324"/>
        <v>2.5713549721522213</v>
      </c>
      <c r="KN482" s="544">
        <f t="shared" si="1306"/>
        <v>4002</v>
      </c>
      <c r="KO482" s="541">
        <f t="shared" si="1273"/>
        <v>-5.7247410461100823E-2</v>
      </c>
      <c r="KP482" s="546">
        <f t="shared" si="1274"/>
        <v>-433.96783327909031</v>
      </c>
      <c r="KQ482" s="546">
        <f t="shared" si="1275"/>
        <v>-431.25854201776065</v>
      </c>
      <c r="KR482" s="548">
        <f t="shared" si="1276"/>
        <v>2.2900963349926142</v>
      </c>
      <c r="KS482" s="548">
        <f t="shared" si="1277"/>
        <v>2.3044833844849419</v>
      </c>
      <c r="KT482" s="473">
        <f t="shared" si="1303"/>
        <v>1580.0986321700548</v>
      </c>
      <c r="KU482" s="663">
        <f t="shared" si="1295"/>
        <v>4.0366408116385131</v>
      </c>
    </row>
    <row r="483" spans="1:307" s="26" customFormat="1" ht="15" outlineLevel="1">
      <c r="A483" s="561">
        <f t="shared" si="1278"/>
        <v>4083</v>
      </c>
      <c r="B483" s="561">
        <f t="shared" si="1296"/>
        <v>83</v>
      </c>
      <c r="C483" s="561">
        <f t="shared" si="1297"/>
        <v>4</v>
      </c>
      <c r="D483" s="561" t="str">
        <f t="shared" si="1206"/>
        <v xml:space="preserve">250 CC, 0.9/1.9/2.9/3.9, -360 Lease, </v>
      </c>
      <c r="E483" s="475">
        <f>INDEX(Input!$1:$1048576,E$93,$C483*2+MIN($B483,2)+5)
+INDEX(Scenarios!E$121:E$200,MATCH($B483,Scenarios!$B$121:$B$200,0))</f>
        <v>1506.832975525977</v>
      </c>
      <c r="F483" s="475">
        <f>INDEX(Input!$1:$1048576,F$93,$C483*2+MIN($B483,2)+5)
+INDEX(Scenarios!F$121:F$200,MATCH($B483,Scenarios!$B$121:$B$200,0))</f>
        <v>0</v>
      </c>
      <c r="G483" s="475">
        <f>INDEX(Input!$1:$1048576,G$93,$C483*2+MIN($B483,2)+5)
+INDEX(Scenarios!G$121:G$200,MATCH($B483,Scenarios!$B$121:$B$200,0))</f>
        <v>0</v>
      </c>
      <c r="H483" s="475">
        <f>INDEX(Input!$1:$1048576,H$93,$C483*2+MIN($B483,2)+5)
+INDEX(Scenarios!H$121:H$200,MATCH($B483,Scenarios!$B$121:$B$200,0))</f>
        <v>0</v>
      </c>
      <c r="I483" s="476">
        <f>INDEX(Input!$1:$1048576,I$93,$C483*2+MIN($B483,2)+5)</f>
        <v>0.7</v>
      </c>
      <c r="J483" s="476" t="str">
        <f>INDEX(Input!$1:$1048576,J$93,$C483*2+MIN($B483,2)+5)</f>
        <v>Market</v>
      </c>
      <c r="K483" s="476" t="str">
        <f>INDEX(Input!$1:$1048576,K$93,$C483*2+MIN($B483,2)+5)</f>
        <v>Market</v>
      </c>
      <c r="L483" s="476" t="str">
        <f>INDEX(Input!$1:$1048576,L$93,$C483*2+MIN($B483,2)+5)</f>
        <v>Market</v>
      </c>
      <c r="M483" s="476" t="str">
        <f>INDEX(Input!$1:$1048576,M$93,$C483*2+MIN($B483,2)+5)</f>
        <v>Market</v>
      </c>
      <c r="N483" s="476" t="str">
        <f>INDEX(Input!$1:$1048576,N$93,$C483*2+MIN($B483,2)+5)</f>
        <v>Market</v>
      </c>
      <c r="O483" s="476" t="str">
        <f>INDEX(Input!$1:$1048576,O$93,$C483*2+MIN($B483,2)+5)</f>
        <v>Market</v>
      </c>
      <c r="P483" s="476" t="str">
        <f>INDEX(Input!$1:$1048576,P$93,$C483*2+MIN($B483,2)+5)</f>
        <v>N</v>
      </c>
      <c r="Q483" s="477">
        <f>INDEX(Input!$1:$1048576,Q$93,$C483*2+MIN($B483,2)+5)
+INDEX(Scenarios!Q$121:Q$200,MATCH($B483,Scenarios!$B$121:$B$200,0))</f>
        <v>0</v>
      </c>
      <c r="R483" s="478">
        <f>IFERROR(MAX(0,INDEX(Input!$1:$1048576,R$93,$C483*2+MIN($B483,2)+5)
+INDEX(Scenarios!R$121:R$200,MATCH($B483,Scenarios!$B$121:$B$200,0)),),"Market")</f>
        <v>0</v>
      </c>
      <c r="S483" s="478">
        <f>IFERROR(MAX(0,INDEX(Input!$1:$1048576,S$93,$C483*2+MIN($B483,2)+5)
+INDEX(Scenarios!S$121:S$200,MATCH($B483,Scenarios!$B$121:$B$200,0)),),"Market")</f>
        <v>0</v>
      </c>
      <c r="T483" s="478">
        <f>IFERROR(MAX(0,INDEX(Input!$1:$1048576,T$93,$C483*2+MIN($B483,2)+5)
+INDEX(Scenarios!T$121:T$200,MATCH($B483,Scenarios!$B$121:$B$200,0)),),"Market")</f>
        <v>0</v>
      </c>
      <c r="U483" s="478">
        <f>IFERROR(MAX(0,INDEX(Input!$1:$1048576,U$93,$C483*2+MIN($B483,2)+5)
+INDEX(Scenarios!U$121:U$200,MATCH($B483,Scenarios!$B$121:$B$200,0)),),"Market")</f>
        <v>9.0000000000000011E-3</v>
      </c>
      <c r="V483" s="478">
        <f>IFERROR(MAX(0,INDEX(Input!$1:$1048576,V$93,$C483*2+MIN($B483,2)+5)
+INDEX(Scenarios!V$121:V$200,MATCH($B483,Scenarios!$B$121:$B$200,0)),),"Market")</f>
        <v>2.8999999999999998E-2</v>
      </c>
      <c r="W483" s="885">
        <f>IFERROR(MAX(0,INDEX(Input!$1:$1048576,W$93,$C483*2+MIN($B483,2)+5)-0%,),"Market")</f>
        <v>3.9E-2</v>
      </c>
      <c r="X483" s="476" t="str">
        <f>INDEX(Input!$1:$1048576,X$93,$C483*2+MIN($B483,2)+5)</f>
        <v>Y</v>
      </c>
      <c r="Y483" s="475">
        <f>INDEX(Input!$1:$1048576,Y$93,$C483*2+MIN($B483,2)+5)
++INDEX(Scenarios!Y$121:Y$200,MATCH($B483,Scenarios!$B$121:$B$200,0))</f>
        <v>-1230</v>
      </c>
      <c r="Z483" s="477">
        <f>INDEX(Input!$1:$1048576,Z$93,$C483*2+MIN($B483,2)+5)
+INDEX(Scenarios!Z$121:Z$200,MATCH($B483,Scenarios!$B$121:$B$200,0))</f>
        <v>0</v>
      </c>
      <c r="AA483" s="475">
        <f>INDEX(Input!$1:$1048576,AA$93,$C483*2+MIN($B483,2)+5)
+INDEX(Scenarios!AA$121:AA$200,MATCH($B483,Scenarios!$B$121:$B$200,0))</f>
        <v>0</v>
      </c>
      <c r="AB483" s="476">
        <f>INDEX(Input!$1:$1048576,AB$93,$C483*2+MIN($B483,2)+5)</f>
        <v>0.27</v>
      </c>
      <c r="AC483" s="475">
        <f>INDEX(Input!$1:$1048576,AC$93,$C483*2+MIN($B483,2)+5)
+INDEX(Scenarios!AC$121:AC$200,MATCH($B483,Scenarios!$B$121:$B$200,0))</f>
        <v>0</v>
      </c>
      <c r="AD483" s="476">
        <f>INDEX(Input!$1:$1048576,AD$93,$C483*2+MIN($B483,2)+5)</f>
        <v>0.27</v>
      </c>
      <c r="AE483" s="475">
        <f>INDEX(Input!$1:$1048576,AE$93,$C483*2+MIN($B483,2)+5)
+INDEX(Scenarios!AE$121:AE$200,MATCH($B483,Scenarios!$B$121:$B$200,0))</f>
        <v>0</v>
      </c>
      <c r="AF483" s="476">
        <f>INDEX(Input!$1:$1048576,AF$93,$C483*2+MIN($B483,2)+5)</f>
        <v>1</v>
      </c>
      <c r="AG483" s="475">
        <f>INDEX(Input!$1:$1048576,AG$93,$C483*2+MIN($B483,2)+5)
+INDEX(Scenarios!AG$121:AG$200,MATCH($B483,Scenarios!$B$121:$B$200,0))</f>
        <v>500</v>
      </c>
      <c r="AH483" s="476">
        <f>INDEX(Input!$1:$1048576,AH$93,$C483*2+MIN($B483,2)+5)</f>
        <v>0.83199999999999996</v>
      </c>
      <c r="AI483" s="475">
        <f>INDEX(Input!$1:$1048576,AI$93,$C483*2+MIN($B483,2)+5)
+INDEX(Scenarios!AI$121:AI$200,MATCH($B483,Scenarios!$B$121:$B$200,0))</f>
        <v>0</v>
      </c>
      <c r="AJ483" s="476">
        <f>INDEX(Input!$1:$1048576,AJ$93,$C483*2+MIN($B483,2)+5)</f>
        <v>0.27</v>
      </c>
      <c r="AK483" s="150">
        <f>ROUND(INDEX(Input!$1:$1048576,AK$93,$C482*2+MIN($B483,1)+5)+(Y483-VLOOKUP($C483*1000+1,$A:$HH,Y$92,FALSE)),0)</f>
        <v>2227</v>
      </c>
      <c r="AL483" s="150">
        <f>ROUND(INDEX(Input!$1:$1048576,AL$93,$C482*2+MIN($B483,1)+5)-(Y483-VLOOKUP($C483*1000+1,$A:$HH,Y$92,FALSE))/36,0)</f>
        <v>3416</v>
      </c>
      <c r="AM483" s="32" t="str">
        <f t="shared" si="1279"/>
        <v>std/std/std/std</v>
      </c>
      <c r="AN483" s="32" t="str">
        <f t="shared" si="1280"/>
        <v>$0 + 0/0/0.9/2.9/3.9</v>
      </c>
      <c r="AO483" s="32" t="str">
        <f t="shared" si="1281"/>
        <v>0/0/0.9/2.9/3.9</v>
      </c>
      <c r="AP483" s="32" t="str">
        <f t="shared" si="1213"/>
        <v>0.9/1.9/2.9/3.9</v>
      </c>
      <c r="AQ483" s="536">
        <f t="shared" si="1207"/>
        <v>0.46836539890082202</v>
      </c>
      <c r="AR483" s="32"/>
      <c r="AS483" s="302"/>
      <c r="AT483" s="3">
        <f t="shared" si="1298"/>
        <v>83</v>
      </c>
      <c r="AU483" s="41" t="s">
        <v>121</v>
      </c>
      <c r="AV483" s="41" t="s">
        <v>116</v>
      </c>
      <c r="AW483" s="41" t="str">
        <f>INDEX(Input!$1:$1048576,AW$93,$C483*2+6)</f>
        <v>Kia</v>
      </c>
      <c r="AX483" s="41" t="str">
        <f>INDEX(Input!$1:$1048576,AX$93,$C483*2+6)</f>
        <v>Kia-LR - R1</v>
      </c>
      <c r="AY483" s="41" t="str">
        <f>IF(LEN(D483)=0,"",INDEX(Input!$1:$1048576,AY$93,$C483*2+6))</f>
        <v>Compact SUV (52)</v>
      </c>
      <c r="AZ483" s="41" t="str">
        <f>INDEX(Input!$1:$1048576,AZ$93,$C483*2+6)</f>
        <v>Kia Soul</v>
      </c>
      <c r="BA483" s="3">
        <f>INDEX(Input!$1:$1048576,BA$93,$C483*2+6)</f>
        <v>2020</v>
      </c>
      <c r="BB483" s="128">
        <f>INDEX(Input!$1:$1048576,BB$93,$C483*2+6)</f>
        <v>1</v>
      </c>
      <c r="BC483" s="128">
        <f>INDEX(Input!$1:$1048576,BC$93,$C483*2+6)</f>
        <v>0.7</v>
      </c>
      <c r="BD483" s="1">
        <f>INDEX(Input!$1:$1048576,BD$93,$C483*2+6)</f>
        <v>4.4999999999999998E-2</v>
      </c>
      <c r="BE483" s="1">
        <f>INDEX(Input!$1:$1048576,BE$93,$C483*2+6)</f>
        <v>4.4999999999999998E-2</v>
      </c>
      <c r="BF483" s="1">
        <f>INDEX(Input!$1:$1048576,BF$93,$C483*2+6)</f>
        <v>0.05</v>
      </c>
      <c r="BG483" s="1">
        <f>INDEX(Input!$1:$1048576,BG$93,$C483*2+6)</f>
        <v>5.45E-2</v>
      </c>
      <c r="BH483" s="1">
        <f>INDEX(Input!$1:$1048576,BH$93,$C483*2+6)</f>
        <v>5.45E-2</v>
      </c>
      <c r="BI483" s="1">
        <f>INDEX(Input!$1:$1048576,BI$93,$C483*2+6)</f>
        <v>0.05</v>
      </c>
      <c r="BJ483" s="1">
        <f>INDEX(Input!$1:$1048576,BJ$93,$C483*2+6)</f>
        <v>0.05</v>
      </c>
      <c r="BK483" s="1">
        <f>INDEX(Input!$1:$1048576,BK$93,$C483*2+6)</f>
        <v>0.05</v>
      </c>
      <c r="BL483" s="1">
        <f>INDEX(Input!$1:$1048576,BL$93,$C483*2+6)</f>
        <v>5.5E-2</v>
      </c>
      <c r="BM483" s="1">
        <f>INDEX(Input!$1:$1048576,BM$93,$C483*2+6)</f>
        <v>0.06</v>
      </c>
      <c r="BN483" s="1">
        <f>INDEX(Input!$1:$1048576,BN$93,$C483*2+6)</f>
        <v>4.4999999999999998E-2</v>
      </c>
      <c r="BO483" s="1">
        <f>INDEX(Input!$1:$1048576,BO$93,$C483*2+6)</f>
        <v>4.4999999999999998E-2</v>
      </c>
      <c r="BP483" s="1">
        <f>INDEX(Input!$1:$1048576,BP$93,$C483*2+6)</f>
        <v>0.05</v>
      </c>
      <c r="BQ483" s="1">
        <f>INDEX(Input!$1:$1048576,BQ$93,$C483*2+6)</f>
        <v>5.45E-2</v>
      </c>
      <c r="BR483" s="1">
        <f>INDEX(Input!$1:$1048576,BR$93,$C483*2+6)</f>
        <v>5.45E-2</v>
      </c>
      <c r="BS483" s="1">
        <f>INDEX(Input!$1:$1048576,BS$93,$C483*2+6)</f>
        <v>0.05</v>
      </c>
      <c r="BT483" s="1">
        <f>INDEX(Input!$1:$1048576,BT$93,$C483*2+6)</f>
        <v>0.05</v>
      </c>
      <c r="BU483" s="1">
        <f>INDEX(Input!$1:$1048576,BU$93,$C483*2+6)</f>
        <v>0.05</v>
      </c>
      <c r="BV483" s="1">
        <f>INDEX(Input!$1:$1048576,BV$93,$C483*2+6)</f>
        <v>5.5E-2</v>
      </c>
      <c r="BW483" s="1">
        <f>INDEX(Input!$1:$1048576,BW$93,$C483*2+6)</f>
        <v>0.06</v>
      </c>
      <c r="BX483" s="127">
        <f>INDEX(Input!$1:$1048576,BX$93,$C483*2+6)</f>
        <v>19985</v>
      </c>
      <c r="BY483" s="20">
        <f>INDEX(Input!$1:$1048576,BY$93,$C483*2+6)</f>
        <v>0.1</v>
      </c>
      <c r="BZ483" s="20">
        <f>INDEX(Input!$1:$1048576,BZ$93,$C483*2+6)</f>
        <v>0.1</v>
      </c>
      <c r="CA483" s="20">
        <f>INDEX(Input!$1:$1048576,CA$93,$C483*2+6)</f>
        <v>0.1</v>
      </c>
      <c r="CB483" s="20">
        <f>INDEX(Input!$1:$1048576,CB$93,$C483*2+6)</f>
        <v>0.1</v>
      </c>
      <c r="CC483" s="20">
        <f>INDEX(Input!$1:$1048576,CC$93,$C483*2+6)</f>
        <v>0.1</v>
      </c>
      <c r="CD483" s="384">
        <f>INDEX(Input!$1:$1048576,CD$93,$C483*2+6)</f>
        <v>0.1</v>
      </c>
      <c r="CE483" s="384">
        <f>INDEX(Input!$1:$1048576,CE$93,$C483*2+6)</f>
        <v>0.1</v>
      </c>
      <c r="CF483" s="384">
        <f>INDEX(Input!$1:$1048576,CF$93,$C483*2+6)</f>
        <v>0.1</v>
      </c>
      <c r="CG483" s="384">
        <f>INDEX(Input!$1:$1048576,CG$93,$C483*2+6)</f>
        <v>0.1</v>
      </c>
      <c r="CH483" s="384">
        <f>INDEX(Input!$1:$1048576,CH$93,$C483*2+6)</f>
        <v>0.1</v>
      </c>
      <c r="CI483" s="304">
        <f t="shared" si="1214"/>
        <v>1506.832975525977</v>
      </c>
      <c r="CJ483" s="16" t="str">
        <f>INDEX(Input!$1:$1048576,CJ$93,$C483*2+6)</f>
        <v>N</v>
      </c>
      <c r="CK483" s="1" t="str">
        <f t="shared" si="1215"/>
        <v>Market</v>
      </c>
      <c r="CL483" s="1" t="str">
        <f t="shared" si="1216"/>
        <v>Market</v>
      </c>
      <c r="CM483" s="1" t="str">
        <f t="shared" si="1217"/>
        <v>Market</v>
      </c>
      <c r="CN483" s="1" t="str">
        <f t="shared" si="1218"/>
        <v>Market</v>
      </c>
      <c r="CO483" s="1" t="str">
        <f t="shared" si="1219"/>
        <v>Market</v>
      </c>
      <c r="CP483" s="304">
        <f t="shared" si="1220"/>
        <v>416</v>
      </c>
      <c r="CQ483" s="1">
        <f t="shared" si="1221"/>
        <v>0</v>
      </c>
      <c r="CR483" s="1">
        <f t="shared" si="1222"/>
        <v>0</v>
      </c>
      <c r="CS483" s="1">
        <f t="shared" si="1223"/>
        <v>9.0000000000000011E-3</v>
      </c>
      <c r="CT483" s="1">
        <f t="shared" si="1224"/>
        <v>2.8999999999999998E-2</v>
      </c>
      <c r="CU483" s="1">
        <f t="shared" si="1225"/>
        <v>3.9E-2</v>
      </c>
      <c r="CV483" s="304">
        <f t="shared" si="1226"/>
        <v>-1230</v>
      </c>
      <c r="CW483" s="20" t="s">
        <v>122</v>
      </c>
      <c r="CX483" s="20" t="s">
        <v>122</v>
      </c>
      <c r="CY483" s="20" t="s">
        <v>122</v>
      </c>
      <c r="CZ483" s="20" t="s">
        <v>122</v>
      </c>
      <c r="DA483" s="20" t="s">
        <v>122</v>
      </c>
      <c r="DB483" s="503">
        <f t="shared" si="1227"/>
        <v>0</v>
      </c>
      <c r="DC483" s="127">
        <v>0</v>
      </c>
      <c r="DD483" s="127">
        <v>0</v>
      </c>
      <c r="DE483" s="127">
        <v>0</v>
      </c>
      <c r="DF483" s="127">
        <v>0</v>
      </c>
      <c r="DG483" s="127">
        <v>0</v>
      </c>
      <c r="DH483" s="127">
        <v>0</v>
      </c>
      <c r="DI483" s="127">
        <v>0</v>
      </c>
      <c r="DJ483" s="127">
        <v>0</v>
      </c>
      <c r="DK483" s="127">
        <v>0</v>
      </c>
      <c r="DL483" s="127">
        <v>0</v>
      </c>
      <c r="DM483" s="304">
        <f>INDEX(Input!$1:$1048576,DM$93,$C483*2+6)</f>
        <v>21036.84210526316</v>
      </c>
      <c r="DN483" s="20">
        <v>0</v>
      </c>
      <c r="DO483" s="20">
        <v>0</v>
      </c>
      <c r="DP483" s="20">
        <v>0</v>
      </c>
      <c r="DQ483" s="20">
        <v>0</v>
      </c>
      <c r="DR483" s="20">
        <v>0</v>
      </c>
      <c r="DS483" s="20">
        <f>INDEX(Input!$1:$1048576,DS$93,$C483*2+6)</f>
        <v>0.6</v>
      </c>
      <c r="DT483" s="20">
        <f>INDEX(Input!$1:$1048576,DT$93,$C483*2+6)</f>
        <v>0.55000000000000004</v>
      </c>
      <c r="DU483" s="20">
        <f>INDEX(Input!$1:$1048576,DU$93,$C483*2+6)</f>
        <v>0.52</v>
      </c>
      <c r="DV483" s="20">
        <f>INDEX(Input!$1:$1048576,DV$93,$C483*2+6)</f>
        <v>0.5</v>
      </c>
      <c r="DW483" s="20">
        <f>INDEX(Input!$1:$1048576,DW$93,$C483*2+6)</f>
        <v>0.45</v>
      </c>
      <c r="DX483" s="20"/>
      <c r="DY483" s="7">
        <v>0.10838201400471931</v>
      </c>
      <c r="DZ483" s="7">
        <v>0</v>
      </c>
      <c r="EA483" s="7">
        <v>0.82322077476823552</v>
      </c>
      <c r="EB483" s="7">
        <v>0</v>
      </c>
      <c r="EC483" s="7">
        <v>0</v>
      </c>
      <c r="ED483" s="7">
        <v>0</v>
      </c>
      <c r="EE483" s="7">
        <v>0</v>
      </c>
      <c r="EF483" s="7">
        <v>0</v>
      </c>
      <c r="EG483" s="7">
        <v>0</v>
      </c>
      <c r="EH483" s="7">
        <v>1.6664549378010266E-2</v>
      </c>
      <c r="EI483" s="7">
        <v>4.3546280043853872E-2</v>
      </c>
      <c r="EJ483" s="7">
        <v>0.22427175487177797</v>
      </c>
      <c r="EK483" s="7">
        <v>0.52933896202534003</v>
      </c>
      <c r="EL483" s="7">
        <v>0.18617845368101776</v>
      </c>
      <c r="EM483" s="7">
        <v>2.8770986482731867E-2</v>
      </c>
      <c r="EN483" s="7">
        <v>4.9397464825096035E-2</v>
      </c>
      <c r="EO483" s="7">
        <v>0.70138141442392277</v>
      </c>
      <c r="EP483" s="7">
        <v>0.10816830519956629</v>
      </c>
      <c r="EQ483" s="7">
        <v>9.4925402751022556E-2</v>
      </c>
      <c r="ER483" s="7">
        <v>4.6127412800392224E-2</v>
      </c>
      <c r="ES483" s="7">
        <v>3.9626224744313376E-2</v>
      </c>
      <c r="ET483" s="7">
        <v>6.8397211227045188E-2</v>
      </c>
      <c r="EU483" s="6">
        <v>2020</v>
      </c>
      <c r="EV483" s="6">
        <v>0</v>
      </c>
      <c r="EW483" s="6">
        <v>2020</v>
      </c>
      <c r="EX483" s="6">
        <v>0</v>
      </c>
      <c r="EY483" s="6">
        <v>2095.3730094470511</v>
      </c>
      <c r="EZ483" s="6">
        <v>147</v>
      </c>
      <c r="FA483" s="6">
        <v>0</v>
      </c>
      <c r="FB483" s="6">
        <v>0</v>
      </c>
      <c r="FC483" s="6">
        <v>0</v>
      </c>
      <c r="FD483" s="6">
        <v>0</v>
      </c>
      <c r="FE483" s="6">
        <v>0</v>
      </c>
      <c r="FF483" s="6">
        <v>0</v>
      </c>
      <c r="FG483" s="6">
        <v>0</v>
      </c>
      <c r="FH483" s="6">
        <v>1169.8044723843784</v>
      </c>
      <c r="FI483" s="6">
        <v>1553.9796069512399</v>
      </c>
      <c r="FJ483" s="6">
        <v>1735.1562230702793</v>
      </c>
      <c r="FK483" s="6">
        <v>1284.968747058685</v>
      </c>
      <c r="FL483" s="6">
        <v>907.07682140966347</v>
      </c>
      <c r="FM483" s="6">
        <v>1325.3730094470509</v>
      </c>
      <c r="FN483" s="6">
        <v>0</v>
      </c>
      <c r="FO483" s="6">
        <v>0</v>
      </c>
      <c r="FP483" s="6">
        <v>0</v>
      </c>
      <c r="FQ483" s="6">
        <v>0</v>
      </c>
      <c r="FR483" s="6">
        <v>0</v>
      </c>
      <c r="FS483" s="6">
        <v>0</v>
      </c>
      <c r="FT483" s="7">
        <v>0.93160278877295477</v>
      </c>
      <c r="FU483" s="7">
        <v>2.8770986482731867E-2</v>
      </c>
      <c r="FV483" s="7">
        <v>3.9626224744313376E-2</v>
      </c>
      <c r="FW483" s="6">
        <v>2020</v>
      </c>
      <c r="FX483" s="6">
        <v>2095.3730094470511</v>
      </c>
      <c r="FY483" s="6">
        <v>147</v>
      </c>
      <c r="FZ483" s="6">
        <v>1949.5716051445115</v>
      </c>
      <c r="GA483" s="6">
        <v>1947.9486368898652</v>
      </c>
      <c r="GB483" s="6">
        <v>18037.051363110135</v>
      </c>
      <c r="GC483" s="7">
        <v>3.3872851927908169E-2</v>
      </c>
      <c r="GD483" s="7">
        <v>3.4353299437839664E-2</v>
      </c>
      <c r="GE483" s="7"/>
      <c r="GF483" s="7"/>
      <c r="GG483" s="7">
        <v>1.4183851745168509E-2</v>
      </c>
      <c r="GH483" s="42">
        <v>-174.65793081021019</v>
      </c>
      <c r="GI483" s="6">
        <v>1833.5249751226074</v>
      </c>
      <c r="GJ483" s="14">
        <v>0.50394797582841733</v>
      </c>
      <c r="GK483" s="14">
        <v>0.50887573065309755</v>
      </c>
      <c r="GL483" s="14">
        <v>0.49605202417158301</v>
      </c>
      <c r="GM483" s="14">
        <v>0.4911242693469029</v>
      </c>
      <c r="GO483" s="5">
        <v>343.14810671672558</v>
      </c>
      <c r="GP483" s="5">
        <v>304.61036031982871</v>
      </c>
      <c r="GQ483" s="5">
        <v>535.04305713031317</v>
      </c>
      <c r="GR483" s="5">
        <v>410.15490233172511</v>
      </c>
      <c r="GS483" s="5">
        <v>339.42744393800166</v>
      </c>
      <c r="GT483" s="5">
        <v>293.4407446948278</v>
      </c>
      <c r="GU483" s="5">
        <v>258.04012322764959</v>
      </c>
      <c r="GV483" s="39" t="s">
        <v>392</v>
      </c>
      <c r="GW483" s="5">
        <v>478.23611111111109</v>
      </c>
      <c r="GX483" s="5">
        <v>358.67708333333331</v>
      </c>
      <c r="GY483" s="5">
        <v>293.55384547131746</v>
      </c>
      <c r="GZ483" s="5">
        <v>260.81240841112611</v>
      </c>
      <c r="HA483" s="5">
        <v>234.53733318419432</v>
      </c>
      <c r="HB483" s="39">
        <v>271.14844565169335</v>
      </c>
      <c r="HC483" s="5">
        <v>280.85312499999998</v>
      </c>
      <c r="HD483" s="5">
        <v>235.41580774853799</v>
      </c>
      <c r="HE483" s="5">
        <v>236.8873861336032</v>
      </c>
      <c r="HF483" s="5">
        <v>217.50938048245612</v>
      </c>
      <c r="HG483" s="5">
        <v>207.81388157894736</v>
      </c>
      <c r="HH483" s="39">
        <v>234.84649390651924</v>
      </c>
      <c r="HI483" s="16"/>
      <c r="HJ483" s="19" t="str">
        <f t="shared" ref="HJ483:HK483" si="1340">HJ482</f>
        <v>On</v>
      </c>
      <c r="HK483" s="1" t="str">
        <f t="shared" si="1340"/>
        <v>On</v>
      </c>
      <c r="HL483" s="16"/>
      <c r="HM483" s="639">
        <f t="shared" si="1255"/>
        <v>2.9403358434788716E-2</v>
      </c>
      <c r="HN483" s="639">
        <f t="shared" si="1256"/>
        <v>1.4106809950923669E-3</v>
      </c>
      <c r="HO483" s="639">
        <f t="shared" si="1257"/>
        <v>1.7317923025048877E-3</v>
      </c>
      <c r="HP483" s="644">
        <f>(FT483*$GD483-HM483)/$JF483*INDEX(Input!$1:$1048576,$JG$93,$C483*2+6)</f>
        <v>186.07702209149645</v>
      </c>
      <c r="HQ483" s="644">
        <f>(FU483*$GD483-HN483)/$JF483*INDEX(Input!$1:$1048576,$JG$93,$C483*2+6)</f>
        <v>-30.220243037655301</v>
      </c>
      <c r="HR483" s="644">
        <f>(FV483*$GD483-HO483)/$JF483*INDEX(Input!$1:$1048576,$JG$93,$C483*2+6)</f>
        <v>-26.513263711668056</v>
      </c>
      <c r="HS483" s="644">
        <f t="shared" si="1246"/>
        <v>-69.303541504539268</v>
      </c>
      <c r="HT483" s="644">
        <f t="shared" si="1326"/>
        <v>-22.751734523437705</v>
      </c>
      <c r="HU483" s="644">
        <f t="shared" si="1259"/>
        <v>3.1726200734023218</v>
      </c>
      <c r="HV483" s="648">
        <f t="shared" si="1260"/>
        <v>0</v>
      </c>
      <c r="HW483" s="648">
        <f t="shared" si="1261"/>
        <v>0</v>
      </c>
      <c r="HX483" s="648">
        <f t="shared" si="1262"/>
        <v>0</v>
      </c>
      <c r="HY483" s="644">
        <f>INDEX(Input!$1:$1048576,HY$93,$C483*2+6)*INDEX(Input!$1:$1048576,$JG$93,$C483*2+6)</f>
        <v>993</v>
      </c>
      <c r="HZ483" s="644">
        <f>INDEX(Input!$1:$1048576,HZ$93,$C483*2+6)*INDEX(Input!$1:$1048576,$JG$93,$C483*2+6)</f>
        <v>1216</v>
      </c>
      <c r="IA483" s="644">
        <f>INDEX(Input!$1:$1048576,IA$93,$C483*2+6)*INDEX(Input!$1:$1048576,$JG$93,$C483*2+6)</f>
        <v>120</v>
      </c>
      <c r="IB483" s="644">
        <f t="shared" si="1283"/>
        <v>1109.773480586957</v>
      </c>
      <c r="IC483" s="644">
        <f t="shared" si="1284"/>
        <v>1163.0280224389069</v>
      </c>
      <c r="ID483" s="644">
        <f>IF(AND(INDEX(Input!$1:$1048576,IA$93,$C483*2+7)="TOS",Y483&lt;=INDEX(Y:Y,MATCH(C483*1000+2,A:A))),0,1)*MAX(IA483+HR483+HU483+HX483,0%)</f>
        <v>96.659356361734268</v>
      </c>
      <c r="IE483" s="128">
        <f t="shared" si="1327"/>
        <v>0.46836539890082202</v>
      </c>
      <c r="IF483" s="128">
        <f t="shared" si="1328"/>
        <v>0.49084078254810193</v>
      </c>
      <c r="IG483" s="128">
        <f t="shared" si="1319"/>
        <v>4.0793818551075993E-2</v>
      </c>
      <c r="IH483" s="21"/>
      <c r="II483" s="19">
        <f t="shared" si="1264"/>
        <v>1490</v>
      </c>
      <c r="IJ483" s="19">
        <f t="shared" si="1265"/>
        <v>2203.2561351629856</v>
      </c>
      <c r="IK483" s="19">
        <f t="shared" si="1266"/>
        <v>242</v>
      </c>
      <c r="IL483" s="19">
        <f t="shared" si="1285"/>
        <v>530</v>
      </c>
      <c r="IM483" s="19">
        <f t="shared" si="1267"/>
        <v>-107.88312571593451</v>
      </c>
      <c r="IN483" s="19">
        <f t="shared" si="1268"/>
        <v>-95</v>
      </c>
      <c r="IO483" s="39">
        <f t="shared" si="1269"/>
        <v>0</v>
      </c>
      <c r="IP483" s="39">
        <f t="shared" si="1270"/>
        <v>0</v>
      </c>
      <c r="IQ483" s="39">
        <f t="shared" si="1271"/>
        <v>0</v>
      </c>
      <c r="IR483" s="39">
        <v>0</v>
      </c>
      <c r="IS483" s="39">
        <v>0</v>
      </c>
      <c r="IT483" s="39">
        <v>0</v>
      </c>
      <c r="IU483" s="39">
        <v>0</v>
      </c>
      <c r="IV483" s="39">
        <v>0</v>
      </c>
      <c r="IW483" s="39">
        <v>0</v>
      </c>
      <c r="IX483" s="39">
        <f>INDEX(Input!$1:$1048576,IX$93,$C483*2+6)+INDEX(Input!$1:$1048576,IX$94,$C483*2+6)</f>
        <v>1770</v>
      </c>
      <c r="IY483" s="39">
        <f>INDEX(Input!$1:$1048576,IY$93,$C483*2+6)+INDEX(Input!$1:$1048576,IY$94,$C483*2+6)</f>
        <v>2630.0624533823611</v>
      </c>
      <c r="IZ483" s="39">
        <f>INDEX(Input!$1:$1048576,IZ$93,$C483*2+6)+INDEX(Input!$1:$1048576,IZ$94,$C483*2+6)</f>
        <v>4153.7164157747848</v>
      </c>
      <c r="JA483" s="19">
        <f t="shared" si="1286"/>
        <v>2300</v>
      </c>
      <c r="JB483" s="19">
        <f t="shared" si="1287"/>
        <v>2522.1793276664266</v>
      </c>
      <c r="JC483" s="19">
        <f t="shared" si="1288"/>
        <v>4058.7164157747848</v>
      </c>
      <c r="JD483" s="19">
        <f t="shared" si="1289"/>
        <v>2480.7994334057153</v>
      </c>
      <c r="JE483" s="21"/>
      <c r="JF483" s="1">
        <f t="shared" si="1272"/>
        <v>3.2545831732385969E-2</v>
      </c>
      <c r="JG483" s="15">
        <f>INDEX(Input!$1:$1048576,JG$93,$C483*2+6)/(1+VLOOKUP(C483*1000+INDEX(Input!$1:$1048576,JG$93+1,$C483*2+6),$A:$KK,$JK$92,FALSE))</f>
        <v>2329</v>
      </c>
      <c r="JH483" s="1">
        <f t="shared" si="1290"/>
        <v>5.5536073568988008E-2</v>
      </c>
      <c r="JI483" s="1">
        <f t="shared" si="1291"/>
        <v>-3.8163441801019597E-2</v>
      </c>
      <c r="JJ483" s="1">
        <f t="shared" si="1329"/>
        <v>0</v>
      </c>
      <c r="JK483" s="1">
        <f t="shared" si="1330"/>
        <v>1.7372631767968411E-2</v>
      </c>
      <c r="JL483" s="15">
        <f t="shared" si="1292"/>
        <v>40.460859387598425</v>
      </c>
      <c r="JM483" s="15">
        <f t="shared" si="1311"/>
        <v>2369.4608593875982</v>
      </c>
      <c r="JN483" s="21"/>
      <c r="JO483" s="19">
        <f>INDEX(Input!$1:$1048576,JO$93,$C483*2+6)</f>
        <v>5995.5</v>
      </c>
      <c r="JP483" s="19">
        <f>INDEX(Input!$1:$1048576,JP$93,$C483*2+6)</f>
        <v>2341.8685758720158</v>
      </c>
      <c r="JQ483" s="39">
        <f t="shared" si="1300"/>
        <v>3514.7005665942847</v>
      </c>
      <c r="JR483" s="39">
        <f t="shared" si="1314"/>
        <v>138.93085753369951</v>
      </c>
      <c r="JS483" s="39">
        <f t="shared" si="1301"/>
        <v>5.8781571574457727</v>
      </c>
      <c r="JT483" s="39">
        <f t="shared" si="1293"/>
        <v>0.42394524423984808</v>
      </c>
      <c r="JU483" s="385">
        <f>(JQ483*JM483-INDEX(Input!$1:$1048576,Input!A$18,$C483*2+6)*JL483*INDEX(Input!$1:$1048576,Input!A$19,$C483*2+6))/1000000</f>
        <v>8.3279454250125724</v>
      </c>
      <c r="JV483" s="39">
        <f t="shared" si="1335"/>
        <v>-0.181362161781502</v>
      </c>
      <c r="JW483" s="1">
        <f t="shared" si="1312"/>
        <v>-2.1313386539577556E-2</v>
      </c>
      <c r="JX483" s="19">
        <f t="shared" si="1305"/>
        <v>10477.910026048303</v>
      </c>
      <c r="JZ483" s="341"/>
      <c r="KA483" s="342"/>
      <c r="KB483" s="469">
        <f t="shared" si="1302"/>
        <v>2.3434325605641804</v>
      </c>
      <c r="KI483" s="473">
        <f t="shared" si="1331"/>
        <v>116.77348058695702</v>
      </c>
      <c r="KJ483" s="473">
        <f t="shared" si="1332"/>
        <v>-52.971977561093126</v>
      </c>
      <c r="KK483" s="473">
        <f t="shared" si="1324"/>
        <v>-23.340643638265732</v>
      </c>
      <c r="KN483" s="544">
        <f t="shared" si="1306"/>
        <v>4002</v>
      </c>
      <c r="KO483" s="541">
        <f t="shared" si="1273"/>
        <v>-2.0321955671584346E-2</v>
      </c>
      <c r="KP483" s="546">
        <f t="shared" si="1274"/>
        <v>-88.006341861417326</v>
      </c>
      <c r="KQ483" s="546">
        <f t="shared" si="1275"/>
        <v>-143.9717546303059</v>
      </c>
      <c r="KR483" s="548">
        <f t="shared" si="1276"/>
        <v>4.0087315630143348</v>
      </c>
      <c r="KS483" s="548">
        <f t="shared" si="1277"/>
        <v>2.4504375963966378</v>
      </c>
      <c r="KT483" s="473">
        <f t="shared" si="1303"/>
        <v>1580.0986321700548</v>
      </c>
      <c r="KU483" s="663">
        <f t="shared" si="1295"/>
        <v>4.0245154485136991</v>
      </c>
    </row>
    <row r="484" spans="1:307" s="26" customFormat="1" ht="15" outlineLevel="1">
      <c r="A484" s="561">
        <f t="shared" si="1278"/>
        <v>4084</v>
      </c>
      <c r="B484" s="561">
        <f t="shared" si="1296"/>
        <v>84</v>
      </c>
      <c r="C484" s="561">
        <f t="shared" si="1297"/>
        <v>4</v>
      </c>
      <c r="D484" s="561" t="str">
        <f t="shared" si="1206"/>
        <v xml:space="preserve">250 CC, 0.9/1.9/2.9/3.9, </v>
      </c>
      <c r="E484" s="475">
        <f>INDEX(Input!$1:$1048576,E$93,$C484*2+MIN($B484,2)+5)
+INDEX(Scenarios!E$121:E$200,MATCH($B484,Scenarios!$B$121:$B$200,0))</f>
        <v>1506.832975525977</v>
      </c>
      <c r="F484" s="475">
        <f>INDEX(Input!$1:$1048576,F$93,$C484*2+MIN($B484,2)+5)
+INDEX(Scenarios!F$121:F$200,MATCH($B484,Scenarios!$B$121:$B$200,0))</f>
        <v>0</v>
      </c>
      <c r="G484" s="475">
        <f>INDEX(Input!$1:$1048576,G$93,$C484*2+MIN($B484,2)+5)
+INDEX(Scenarios!G$121:G$200,MATCH($B484,Scenarios!$B$121:$B$200,0))</f>
        <v>0</v>
      </c>
      <c r="H484" s="475">
        <f>INDEX(Input!$1:$1048576,H$93,$C484*2+MIN($B484,2)+5)
+INDEX(Scenarios!H$121:H$200,MATCH($B484,Scenarios!$B$121:$B$200,0))</f>
        <v>0</v>
      </c>
      <c r="I484" s="476">
        <f>INDEX(Input!$1:$1048576,I$93,$C484*2+MIN($B484,2)+5)</f>
        <v>0.7</v>
      </c>
      <c r="J484" s="476" t="str">
        <f>INDEX(Input!$1:$1048576,J$93,$C484*2+MIN($B484,2)+5)</f>
        <v>Market</v>
      </c>
      <c r="K484" s="476" t="str">
        <f>INDEX(Input!$1:$1048576,K$93,$C484*2+MIN($B484,2)+5)</f>
        <v>Market</v>
      </c>
      <c r="L484" s="476" t="str">
        <f>INDEX(Input!$1:$1048576,L$93,$C484*2+MIN($B484,2)+5)</f>
        <v>Market</v>
      </c>
      <c r="M484" s="476" t="str">
        <f>INDEX(Input!$1:$1048576,M$93,$C484*2+MIN($B484,2)+5)</f>
        <v>Market</v>
      </c>
      <c r="N484" s="476" t="str">
        <f>INDEX(Input!$1:$1048576,N$93,$C484*2+MIN($B484,2)+5)</f>
        <v>Market</v>
      </c>
      <c r="O484" s="476" t="str">
        <f>INDEX(Input!$1:$1048576,O$93,$C484*2+MIN($B484,2)+5)</f>
        <v>Market</v>
      </c>
      <c r="P484" s="476" t="str">
        <f>INDEX(Input!$1:$1048576,P$93,$C484*2+MIN($B484,2)+5)</f>
        <v>N</v>
      </c>
      <c r="Q484" s="477">
        <f>INDEX(Input!$1:$1048576,Q$93,$C484*2+MIN($B484,2)+5)
+INDEX(Scenarios!Q$121:Q$200,MATCH($B484,Scenarios!$B$121:$B$200,0))</f>
        <v>0</v>
      </c>
      <c r="R484" s="478">
        <f>IFERROR(MAX(0,INDEX(Input!$1:$1048576,R$93,$C484*2+MIN($B484,2)+5)
+INDEX(Scenarios!R$121:R$200,MATCH($B484,Scenarios!$B$121:$B$200,0)),),"Market")</f>
        <v>9.0000000000000011E-3</v>
      </c>
      <c r="S484" s="478">
        <f>IFERROR(MAX(0,INDEX(Input!$1:$1048576,S$93,$C484*2+MIN($B484,2)+5)
+INDEX(Scenarios!S$121:S$200,MATCH($B484,Scenarios!$B$121:$B$200,0)),),"Market")</f>
        <v>9.0000000000000011E-3</v>
      </c>
      <c r="T484" s="478">
        <f>IFERROR(MAX(0,INDEX(Input!$1:$1048576,T$93,$C484*2+MIN($B484,2)+5)
+INDEX(Scenarios!T$121:T$200,MATCH($B484,Scenarios!$B$121:$B$200,0)),),"Market")</f>
        <v>9.0000000000000011E-3</v>
      </c>
      <c r="U484" s="478">
        <f>IFERROR(MAX(0,INDEX(Input!$1:$1048576,U$93,$C484*2+MIN($B484,2)+5)
+INDEX(Scenarios!U$121:U$200,MATCH($B484,Scenarios!$B$121:$B$200,0)),),"Market")</f>
        <v>9.0000000000000011E-3</v>
      </c>
      <c r="V484" s="478">
        <f>IFERROR(MAX(0,INDEX(Input!$1:$1048576,V$93,$C484*2+MIN($B484,2)+5)
+INDEX(Scenarios!V$121:V$200,MATCH($B484,Scenarios!$B$121:$B$200,0)),),"Market")</f>
        <v>2.8999999999999998E-2</v>
      </c>
      <c r="W484" s="885">
        <f>IFERROR(MAX(0,INDEX(Input!$1:$1048576,W$93,$C484*2+MIN($B484,2)+5)-0%,),"Market")</f>
        <v>3.9E-2</v>
      </c>
      <c r="X484" s="476" t="str">
        <f>INDEX(Input!$1:$1048576,X$93,$C484*2+MIN($B484,2)+5)</f>
        <v>Y</v>
      </c>
      <c r="Y484" s="475">
        <f>INDEX(Input!$1:$1048576,Y$93,$C484*2+MIN($B484,2)+5)
++INDEX(Scenarios!Y$121:Y$200,MATCH($B484,Scenarios!$B$121:$B$200,0))</f>
        <v>-870</v>
      </c>
      <c r="Z484" s="477">
        <f>INDEX(Input!$1:$1048576,Z$93,$C484*2+MIN($B484,2)+5)
+INDEX(Scenarios!Z$121:Z$200,MATCH($B484,Scenarios!$B$121:$B$200,0))</f>
        <v>0</v>
      </c>
      <c r="AA484" s="475">
        <f>INDEX(Input!$1:$1048576,AA$93,$C484*2+MIN($B484,2)+5)
+INDEX(Scenarios!AA$121:AA$200,MATCH($B484,Scenarios!$B$121:$B$200,0))</f>
        <v>0</v>
      </c>
      <c r="AB484" s="476">
        <f>INDEX(Input!$1:$1048576,AB$93,$C484*2+MIN($B484,2)+5)</f>
        <v>0.27</v>
      </c>
      <c r="AC484" s="475">
        <f>INDEX(Input!$1:$1048576,AC$93,$C484*2+MIN($B484,2)+5)
+INDEX(Scenarios!AC$121:AC$200,MATCH($B484,Scenarios!$B$121:$B$200,0))</f>
        <v>0</v>
      </c>
      <c r="AD484" s="476">
        <f>INDEX(Input!$1:$1048576,AD$93,$C484*2+MIN($B484,2)+5)</f>
        <v>0.27</v>
      </c>
      <c r="AE484" s="475">
        <f>INDEX(Input!$1:$1048576,AE$93,$C484*2+MIN($B484,2)+5)
+INDEX(Scenarios!AE$121:AE$200,MATCH($B484,Scenarios!$B$121:$B$200,0))</f>
        <v>0</v>
      </c>
      <c r="AF484" s="476">
        <f>INDEX(Input!$1:$1048576,AF$93,$C484*2+MIN($B484,2)+5)</f>
        <v>1</v>
      </c>
      <c r="AG484" s="475">
        <f>INDEX(Input!$1:$1048576,AG$93,$C484*2+MIN($B484,2)+5)
+INDEX(Scenarios!AG$121:AG$200,MATCH($B484,Scenarios!$B$121:$B$200,0))</f>
        <v>500</v>
      </c>
      <c r="AH484" s="476">
        <f>INDEX(Input!$1:$1048576,AH$93,$C484*2+MIN($B484,2)+5)</f>
        <v>0.83199999999999996</v>
      </c>
      <c r="AI484" s="475">
        <f>INDEX(Input!$1:$1048576,AI$93,$C484*2+MIN($B484,2)+5)
+INDEX(Scenarios!AI$121:AI$200,MATCH($B484,Scenarios!$B$121:$B$200,0))</f>
        <v>0</v>
      </c>
      <c r="AJ484" s="476">
        <f>INDEX(Input!$1:$1048576,AJ$93,$C484*2+MIN($B484,2)+5)</f>
        <v>0.27</v>
      </c>
      <c r="AK484" s="150">
        <f>ROUND(INDEX(Input!$1:$1048576,AK$93,$C483*2+MIN($B484,1)+5)+(Y484-VLOOKUP($C484*1000+1,$A:$HH,Y$92,FALSE)),0)</f>
        <v>2587</v>
      </c>
      <c r="AL484" s="150">
        <f>ROUND(INDEX(Input!$1:$1048576,AL$93,$C483*2+MIN($B484,1)+5)-(Y484-VLOOKUP($C484*1000+1,$A:$HH,Y$92,FALSE))/36,0)</f>
        <v>3406</v>
      </c>
      <c r="AM484" s="32" t="str">
        <f t="shared" si="1279"/>
        <v>std/std/std/std</v>
      </c>
      <c r="AN484" s="32" t="str">
        <f t="shared" si="1280"/>
        <v>$0 + 0.9/0.9/0.9/2.9/3.9</v>
      </c>
      <c r="AO484" s="32" t="str">
        <f t="shared" si="1281"/>
        <v>0.9/0.9/0.9/2.9/3.9</v>
      </c>
      <c r="AP484" s="32" t="str">
        <f t="shared" si="1213"/>
        <v>0.9/1.9/2.9/3.9</v>
      </c>
      <c r="AQ484" s="536">
        <f t="shared" si="1207"/>
        <v>0.4617737425258116</v>
      </c>
      <c r="AR484" s="32"/>
      <c r="AS484" s="302"/>
      <c r="AT484" s="3">
        <f t="shared" si="1298"/>
        <v>84</v>
      </c>
      <c r="AU484" s="41" t="s">
        <v>121</v>
      </c>
      <c r="AV484" s="41" t="s">
        <v>116</v>
      </c>
      <c r="AW484" s="41" t="str">
        <f>INDEX(Input!$1:$1048576,AW$93,$C484*2+6)</f>
        <v>Kia</v>
      </c>
      <c r="AX484" s="41" t="str">
        <f>INDEX(Input!$1:$1048576,AX$93,$C484*2+6)</f>
        <v>Kia-LR - R1</v>
      </c>
      <c r="AY484" s="41" t="str">
        <f>IF(LEN(D484)=0,"",INDEX(Input!$1:$1048576,AY$93,$C484*2+6))</f>
        <v>Compact SUV (52)</v>
      </c>
      <c r="AZ484" s="41" t="str">
        <f>INDEX(Input!$1:$1048576,AZ$93,$C484*2+6)</f>
        <v>Kia Soul</v>
      </c>
      <c r="BA484" s="3">
        <f>INDEX(Input!$1:$1048576,BA$93,$C484*2+6)</f>
        <v>2020</v>
      </c>
      <c r="BB484" s="128">
        <f>INDEX(Input!$1:$1048576,BB$93,$C484*2+6)</f>
        <v>1</v>
      </c>
      <c r="BC484" s="128">
        <f>INDEX(Input!$1:$1048576,BC$93,$C484*2+6)</f>
        <v>0.7</v>
      </c>
      <c r="BD484" s="1">
        <f>INDEX(Input!$1:$1048576,BD$93,$C484*2+6)</f>
        <v>4.4999999999999998E-2</v>
      </c>
      <c r="BE484" s="1">
        <f>INDEX(Input!$1:$1048576,BE$93,$C484*2+6)</f>
        <v>4.4999999999999998E-2</v>
      </c>
      <c r="BF484" s="1">
        <f>INDEX(Input!$1:$1048576,BF$93,$C484*2+6)</f>
        <v>0.05</v>
      </c>
      <c r="BG484" s="1">
        <f>INDEX(Input!$1:$1048576,BG$93,$C484*2+6)</f>
        <v>5.45E-2</v>
      </c>
      <c r="BH484" s="1">
        <f>INDEX(Input!$1:$1048576,BH$93,$C484*2+6)</f>
        <v>5.45E-2</v>
      </c>
      <c r="BI484" s="1">
        <f>INDEX(Input!$1:$1048576,BI$93,$C484*2+6)</f>
        <v>0.05</v>
      </c>
      <c r="BJ484" s="1">
        <f>INDEX(Input!$1:$1048576,BJ$93,$C484*2+6)</f>
        <v>0.05</v>
      </c>
      <c r="BK484" s="1">
        <f>INDEX(Input!$1:$1048576,BK$93,$C484*2+6)</f>
        <v>0.05</v>
      </c>
      <c r="BL484" s="1">
        <f>INDEX(Input!$1:$1048576,BL$93,$C484*2+6)</f>
        <v>5.5E-2</v>
      </c>
      <c r="BM484" s="1">
        <f>INDEX(Input!$1:$1048576,BM$93,$C484*2+6)</f>
        <v>0.06</v>
      </c>
      <c r="BN484" s="1">
        <f>INDEX(Input!$1:$1048576,BN$93,$C484*2+6)</f>
        <v>4.4999999999999998E-2</v>
      </c>
      <c r="BO484" s="1">
        <f>INDEX(Input!$1:$1048576,BO$93,$C484*2+6)</f>
        <v>4.4999999999999998E-2</v>
      </c>
      <c r="BP484" s="1">
        <f>INDEX(Input!$1:$1048576,BP$93,$C484*2+6)</f>
        <v>0.05</v>
      </c>
      <c r="BQ484" s="1">
        <f>INDEX(Input!$1:$1048576,BQ$93,$C484*2+6)</f>
        <v>5.45E-2</v>
      </c>
      <c r="BR484" s="1">
        <f>INDEX(Input!$1:$1048576,BR$93,$C484*2+6)</f>
        <v>5.45E-2</v>
      </c>
      <c r="BS484" s="1">
        <f>INDEX(Input!$1:$1048576,BS$93,$C484*2+6)</f>
        <v>0.05</v>
      </c>
      <c r="BT484" s="1">
        <f>INDEX(Input!$1:$1048576,BT$93,$C484*2+6)</f>
        <v>0.05</v>
      </c>
      <c r="BU484" s="1">
        <f>INDEX(Input!$1:$1048576,BU$93,$C484*2+6)</f>
        <v>0.05</v>
      </c>
      <c r="BV484" s="1">
        <f>INDEX(Input!$1:$1048576,BV$93,$C484*2+6)</f>
        <v>5.5E-2</v>
      </c>
      <c r="BW484" s="1">
        <f>INDEX(Input!$1:$1048576,BW$93,$C484*2+6)</f>
        <v>0.06</v>
      </c>
      <c r="BX484" s="127">
        <f>INDEX(Input!$1:$1048576,BX$93,$C484*2+6)</f>
        <v>19985</v>
      </c>
      <c r="BY484" s="20">
        <f>INDEX(Input!$1:$1048576,BY$93,$C484*2+6)</f>
        <v>0.1</v>
      </c>
      <c r="BZ484" s="20">
        <f>INDEX(Input!$1:$1048576,BZ$93,$C484*2+6)</f>
        <v>0.1</v>
      </c>
      <c r="CA484" s="20">
        <f>INDEX(Input!$1:$1048576,CA$93,$C484*2+6)</f>
        <v>0.1</v>
      </c>
      <c r="CB484" s="20">
        <f>INDEX(Input!$1:$1048576,CB$93,$C484*2+6)</f>
        <v>0.1</v>
      </c>
      <c r="CC484" s="20">
        <f>INDEX(Input!$1:$1048576,CC$93,$C484*2+6)</f>
        <v>0.1</v>
      </c>
      <c r="CD484" s="384">
        <f>INDEX(Input!$1:$1048576,CD$93,$C484*2+6)</f>
        <v>0.1</v>
      </c>
      <c r="CE484" s="384">
        <f>INDEX(Input!$1:$1048576,CE$93,$C484*2+6)</f>
        <v>0.1</v>
      </c>
      <c r="CF484" s="384">
        <f>INDEX(Input!$1:$1048576,CF$93,$C484*2+6)</f>
        <v>0.1</v>
      </c>
      <c r="CG484" s="384">
        <f>INDEX(Input!$1:$1048576,CG$93,$C484*2+6)</f>
        <v>0.1</v>
      </c>
      <c r="CH484" s="384">
        <f>INDEX(Input!$1:$1048576,CH$93,$C484*2+6)</f>
        <v>0.1</v>
      </c>
      <c r="CI484" s="304">
        <f t="shared" si="1214"/>
        <v>1506.832975525977</v>
      </c>
      <c r="CJ484" s="16" t="str">
        <f>INDEX(Input!$1:$1048576,CJ$93,$C484*2+6)</f>
        <v>N</v>
      </c>
      <c r="CK484" s="1" t="str">
        <f t="shared" si="1215"/>
        <v>Market</v>
      </c>
      <c r="CL484" s="1" t="str">
        <f t="shared" si="1216"/>
        <v>Market</v>
      </c>
      <c r="CM484" s="1" t="str">
        <f t="shared" si="1217"/>
        <v>Market</v>
      </c>
      <c r="CN484" s="1" t="str">
        <f t="shared" si="1218"/>
        <v>Market</v>
      </c>
      <c r="CO484" s="1" t="str">
        <f t="shared" si="1219"/>
        <v>Market</v>
      </c>
      <c r="CP484" s="304">
        <f t="shared" si="1220"/>
        <v>416</v>
      </c>
      <c r="CQ484" s="1">
        <f t="shared" si="1221"/>
        <v>9.0000000000000011E-3</v>
      </c>
      <c r="CR484" s="1">
        <f t="shared" si="1222"/>
        <v>9.0000000000000011E-3</v>
      </c>
      <c r="CS484" s="1">
        <f t="shared" si="1223"/>
        <v>9.0000000000000011E-3</v>
      </c>
      <c r="CT484" s="1">
        <f t="shared" si="1224"/>
        <v>2.8999999999999998E-2</v>
      </c>
      <c r="CU484" s="1">
        <f t="shared" si="1225"/>
        <v>3.9E-2</v>
      </c>
      <c r="CV484" s="304">
        <f t="shared" si="1226"/>
        <v>-870</v>
      </c>
      <c r="CW484" s="20" t="s">
        <v>122</v>
      </c>
      <c r="CX484" s="20" t="s">
        <v>122</v>
      </c>
      <c r="CY484" s="20" t="s">
        <v>122</v>
      </c>
      <c r="CZ484" s="20" t="s">
        <v>122</v>
      </c>
      <c r="DA484" s="20" t="s">
        <v>122</v>
      </c>
      <c r="DB484" s="503">
        <f t="shared" si="1227"/>
        <v>0</v>
      </c>
      <c r="DC484" s="127">
        <v>0</v>
      </c>
      <c r="DD484" s="127">
        <v>0</v>
      </c>
      <c r="DE484" s="127">
        <v>0</v>
      </c>
      <c r="DF484" s="127">
        <v>0</v>
      </c>
      <c r="DG484" s="127">
        <v>0</v>
      </c>
      <c r="DH484" s="127">
        <v>0</v>
      </c>
      <c r="DI484" s="127">
        <v>0</v>
      </c>
      <c r="DJ484" s="127">
        <v>0</v>
      </c>
      <c r="DK484" s="127">
        <v>0</v>
      </c>
      <c r="DL484" s="127">
        <v>0</v>
      </c>
      <c r="DM484" s="304">
        <f>INDEX(Input!$1:$1048576,DM$93,$C484*2+6)</f>
        <v>21036.84210526316</v>
      </c>
      <c r="DN484" s="20">
        <v>0</v>
      </c>
      <c r="DO484" s="20">
        <v>0</v>
      </c>
      <c r="DP484" s="20">
        <v>0</v>
      </c>
      <c r="DQ484" s="20">
        <v>0</v>
      </c>
      <c r="DR484" s="20">
        <v>0</v>
      </c>
      <c r="DS484" s="20">
        <f>INDEX(Input!$1:$1048576,DS$93,$C484*2+6)</f>
        <v>0.6</v>
      </c>
      <c r="DT484" s="20">
        <f>INDEX(Input!$1:$1048576,DT$93,$C484*2+6)</f>
        <v>0.55000000000000004</v>
      </c>
      <c r="DU484" s="20">
        <f>INDEX(Input!$1:$1048576,DU$93,$C484*2+6)</f>
        <v>0.52</v>
      </c>
      <c r="DV484" s="20">
        <f>INDEX(Input!$1:$1048576,DV$93,$C484*2+6)</f>
        <v>0.5</v>
      </c>
      <c r="DW484" s="20">
        <f>INDEX(Input!$1:$1048576,DW$93,$C484*2+6)</f>
        <v>0.45</v>
      </c>
      <c r="DX484" s="20"/>
      <c r="DY484" s="7">
        <v>0.10757175569326527</v>
      </c>
      <c r="DZ484" s="7">
        <v>0</v>
      </c>
      <c r="EA484" s="7">
        <v>0.81740788744753612</v>
      </c>
      <c r="EB484" s="7">
        <v>0</v>
      </c>
      <c r="EC484" s="7">
        <v>0</v>
      </c>
      <c r="ED484" s="7">
        <v>0</v>
      </c>
      <c r="EE484" s="7">
        <v>0</v>
      </c>
      <c r="EF484" s="7">
        <v>0</v>
      </c>
      <c r="EG484" s="7">
        <v>0</v>
      </c>
      <c r="EH484" s="7">
        <v>1.3989803347971782E-2</v>
      </c>
      <c r="EI484" s="7">
        <v>3.4170519698202652E-2</v>
      </c>
      <c r="EJ484" s="7">
        <v>0.22700349243186393</v>
      </c>
      <c r="EK484" s="7">
        <v>0.53623964884703668</v>
      </c>
      <c r="EL484" s="7">
        <v>0.18859653567492554</v>
      </c>
      <c r="EM484" s="7">
        <v>2.8193538445838277E-2</v>
      </c>
      <c r="EN484" s="7">
        <v>5.0456063562040458E-2</v>
      </c>
      <c r="EO484" s="7">
        <v>0.71271617743378768</v>
      </c>
      <c r="EP484" s="7">
        <v>0.1024856582239811</v>
      </c>
      <c r="EQ484" s="7">
        <v>8.998320091640874E-2</v>
      </c>
      <c r="ER484" s="7">
        <v>4.4358899863781588E-2</v>
      </c>
      <c r="ES484" s="7">
        <v>4.6826818413360283E-2</v>
      </c>
      <c r="ET484" s="7">
        <v>7.5020356859198681E-2</v>
      </c>
      <c r="EU484" s="6">
        <v>2020</v>
      </c>
      <c r="EV484" s="6">
        <v>0</v>
      </c>
      <c r="EW484" s="6">
        <v>2020</v>
      </c>
      <c r="EX484" s="6">
        <v>0</v>
      </c>
      <c r="EY484" s="6">
        <v>2079.8641294413983</v>
      </c>
      <c r="EZ484" s="6">
        <v>507</v>
      </c>
      <c r="FA484" s="6">
        <v>0</v>
      </c>
      <c r="FB484" s="6">
        <v>0</v>
      </c>
      <c r="FC484" s="6">
        <v>0</v>
      </c>
      <c r="FD484" s="6">
        <v>0</v>
      </c>
      <c r="FE484" s="6">
        <v>0</v>
      </c>
      <c r="FF484" s="6">
        <v>0</v>
      </c>
      <c r="FG484" s="6">
        <v>0</v>
      </c>
      <c r="FH484" s="6">
        <v>938.74642795396039</v>
      </c>
      <c r="FI484" s="6">
        <v>1250.2588059868276</v>
      </c>
      <c r="FJ484" s="6">
        <v>1735.1562230702798</v>
      </c>
      <c r="FK484" s="6">
        <v>1284.9687470586848</v>
      </c>
      <c r="FL484" s="6">
        <v>907.07682140966313</v>
      </c>
      <c r="FM484" s="6">
        <v>1309.8641294413983</v>
      </c>
      <c r="FN484" s="6">
        <v>0</v>
      </c>
      <c r="FO484" s="6">
        <v>0</v>
      </c>
      <c r="FP484" s="6">
        <v>0</v>
      </c>
      <c r="FQ484" s="6">
        <v>0</v>
      </c>
      <c r="FR484" s="6">
        <v>0</v>
      </c>
      <c r="FS484" s="6">
        <v>0</v>
      </c>
      <c r="FT484" s="7">
        <v>0.92497964314080139</v>
      </c>
      <c r="FU484" s="7">
        <v>2.8193538445838277E-2</v>
      </c>
      <c r="FV484" s="7">
        <v>4.6826818413360283E-2</v>
      </c>
      <c r="FW484" s="6">
        <v>2019.9999999999998</v>
      </c>
      <c r="FX484" s="6">
        <v>2079.8641294413983</v>
      </c>
      <c r="FY484" s="6">
        <v>507</v>
      </c>
      <c r="FZ484" s="6">
        <v>1949.5716051445115</v>
      </c>
      <c r="GA484" s="6">
        <v>1950.8388053755184</v>
      </c>
      <c r="GB484" s="6">
        <v>18034.161194624481</v>
      </c>
      <c r="GC484" s="7">
        <v>3.3872851927908169E-2</v>
      </c>
      <c r="GD484" s="7">
        <v>3.440686062167865E-2</v>
      </c>
      <c r="GE484" s="7"/>
      <c r="GF484" s="7"/>
      <c r="GG484" s="7">
        <v>1.5765093972807946E-2</v>
      </c>
      <c r="GH484" s="42">
        <v>248.63111238247222</v>
      </c>
      <c r="GI484" s="6">
        <v>2031.2189308091336</v>
      </c>
      <c r="GJ484" s="14">
        <v>0.50394797582841722</v>
      </c>
      <c r="GK484" s="14">
        <v>0.50887573065309744</v>
      </c>
      <c r="GL484" s="14">
        <v>0.49605202417158301</v>
      </c>
      <c r="GM484" s="14">
        <v>0.49112426934690234</v>
      </c>
      <c r="GO484" s="5">
        <v>343.14810671672558</v>
      </c>
      <c r="GP484" s="5">
        <v>304.61036031982871</v>
      </c>
      <c r="GQ484" s="5">
        <v>535.04305713031317</v>
      </c>
      <c r="GR484" s="5">
        <v>410.15490233172511</v>
      </c>
      <c r="GS484" s="5">
        <v>339.42744393800166</v>
      </c>
      <c r="GT484" s="5">
        <v>293.4407446948278</v>
      </c>
      <c r="GU484" s="5">
        <v>258.04012322764959</v>
      </c>
      <c r="GV484" s="39" t="s">
        <v>392</v>
      </c>
      <c r="GW484" s="5">
        <v>484.90065634566969</v>
      </c>
      <c r="GX484" s="5">
        <v>365.30647970299401</v>
      </c>
      <c r="GY484" s="5">
        <v>293.55384547131746</v>
      </c>
      <c r="GZ484" s="5">
        <v>260.81240841112611</v>
      </c>
      <c r="HA484" s="5">
        <v>234.53733318419432</v>
      </c>
      <c r="HB484" s="39">
        <v>269.99500805125035</v>
      </c>
      <c r="HC484" s="5">
        <v>265.10312499999998</v>
      </c>
      <c r="HD484" s="5">
        <v>224.66580774853799</v>
      </c>
      <c r="HE484" s="5">
        <v>226.90661690283397</v>
      </c>
      <c r="HF484" s="5">
        <v>209.18438048245613</v>
      </c>
      <c r="HG484" s="5">
        <v>200.91388157894738</v>
      </c>
      <c r="HH484" s="39">
        <v>224.48908870450299</v>
      </c>
      <c r="HI484" s="16"/>
      <c r="HJ484" s="19" t="str">
        <f t="shared" ref="HJ484:HK484" si="1341">HJ483</f>
        <v>On</v>
      </c>
      <c r="HK484" s="1" t="str">
        <f t="shared" si="1341"/>
        <v>On</v>
      </c>
      <c r="HL484" s="16"/>
      <c r="HM484" s="639">
        <f t="shared" ref="HM484:HM487" si="1342">VLOOKUP($C484*1000+1,$A:$HH,FT$92,FALSE)*$JF484</f>
        <v>2.9403358434788716E-2</v>
      </c>
      <c r="HN484" s="639">
        <f t="shared" ref="HN484:HN487" si="1343">VLOOKUP($C484*1000+1,$A:$HH,FU$92,FALSE)*$JF484</f>
        <v>1.4106809950923669E-3</v>
      </c>
      <c r="HO484" s="639">
        <f t="shared" ref="HO484:HO487" si="1344">VLOOKUP($C484*1000+1,$A:$HH,FV$92,FALSE)*$JF484</f>
        <v>1.7317923025048877E-3</v>
      </c>
      <c r="HP484" s="644">
        <f>(FT484*$GD484-HM484)/$JF484*INDEX(Input!$1:$1048576,$JG$93,$C484*2+6)</f>
        <v>173.34038326600268</v>
      </c>
      <c r="HQ484" s="644">
        <f>(FU484*$GD484-HN484)/$JF484*INDEX(Input!$1:$1048576,$JG$93,$C484*2+6)</f>
        <v>-31.531746459174872</v>
      </c>
      <c r="HR484" s="644">
        <f>(FV484*$GD484-HO484)/$JF484*INDEX(Input!$1:$1048576,$JG$93,$C484*2+6)</f>
        <v>-8.6322497719989855</v>
      </c>
      <c r="HS484" s="644">
        <f t="shared" ref="HS484:HS487" si="1345">IF(AND(HJ484="On",HK484="On"),IL484/1000*INDEX(KG:KG,MATCH(C484*1000+3,$KF:$KF,0))*SUM(HY484:IA484)*1.1
+INDEX(HR:HR,MATCH(C484*1000+4,$KF:$KF,0))/INDEX(IM:IM,MATCH(C484*1000+4,$KF:$KF,0))*IM484*20%,0)</f>
        <v>-69.296462108425345</v>
      </c>
      <c r="HT484" s="644">
        <f t="shared" ref="HT484:HT487" si="1346">IF(AND(HJ484="On",HK484="On"),IM484/1000*INDEX(KG:KG,MATCH(C484*1000+4,$KF:$KF,0))*SUM(HY484:IA484)*1.1
+INDEX(HR:HR,MATCH(C484*1000+3,$KF:$KF,0))/INDEX(IL:IL,MATCH(C484*1000+3,$KF:$KF,0))*IL484*20%,0)</f>
        <v>-25.368079439301233</v>
      </c>
      <c r="HU484" s="644">
        <f t="shared" ref="HU484:HU487" si="1347">IF(HJ484="On",IN484/1000*INDEX(KG:KG,MATCH(C484*1000+5,$KF:$KF,0))*SUM(HY484:IA484)*1.1
-INDEX(HR:HR,MATCH(C484*1000+3,$KF:$KF,0))/INDEX(IL:IL,MATCH(C484*1000+3,$KF:$KF,0))*IL484*20%
-INDEX(HR:HR,MATCH(C484*1000+4,$KF:$KF,0))/INDEX(IM:IM,MATCH(C484*1000+4,$KF:$KF,0))*IM484*20%,0)</f>
        <v>8.2055678871674793</v>
      </c>
      <c r="HV484" s="648">
        <f t="shared" ref="HV484:HV487" si="1348">IL484/1000*0+IM484/1000*0+IN484/1000*0
+(CP484-INDEX(CP:CP,MATCH(C484*1000+1,A:A,0)))/1000*0+IF(FU484&gt;0,0,0)</f>
        <v>0</v>
      </c>
      <c r="HW484" s="648">
        <f t="shared" ref="HW484:HW487" si="1349">IL484/1000*0+IM484/1000*0+IN484/1000*0
+(CP484-INDEX(CP:CP,MATCH(C484*1000+1,A:A,0)))/1000*0+IF(FU484&gt;0,0,0)</f>
        <v>0</v>
      </c>
      <c r="HX484" s="648">
        <f t="shared" ref="HX484:HX487" si="1350">IL484/1000*0+IM484/1000*0+IN484/1000*0
+(CP484-INDEX(CP:CP,MATCH(C484*1000+1,A:A,0)))/1000*0+IF(FU484&gt;0,0,0)</f>
        <v>0</v>
      </c>
      <c r="HY484" s="644">
        <f>INDEX(Input!$1:$1048576,HY$93,$C484*2+6)*INDEX(Input!$1:$1048576,$JG$93,$C484*2+6)</f>
        <v>993</v>
      </c>
      <c r="HZ484" s="644">
        <f>INDEX(Input!$1:$1048576,HZ$93,$C484*2+6)*INDEX(Input!$1:$1048576,$JG$93,$C484*2+6)</f>
        <v>1216</v>
      </c>
      <c r="IA484" s="644">
        <f>INDEX(Input!$1:$1048576,IA$93,$C484*2+6)*INDEX(Input!$1:$1048576,$JG$93,$C484*2+6)</f>
        <v>120</v>
      </c>
      <c r="IB484" s="644">
        <f t="shared" ref="IB484:IB487" si="1351">SUM(HP484:IA484)-IC484-ID484</f>
        <v>1097.0439211575772</v>
      </c>
      <c r="IC484" s="644">
        <f t="shared" ref="IC484:IC487" si="1352">MAX(HZ484+HQ484+HT484+HW484,0%)</f>
        <v>1159.1001741015239</v>
      </c>
      <c r="ID484" s="644">
        <f>IF(AND(INDEX(Input!$1:$1048576,IA$93,$C484*2+7)="TOS",Y484&lt;=INDEX(Y:Y,MATCH(C484*1000+2,A:A))),0,1)*MAX(IA484+HR484+HU484+HX484,0%)</f>
        <v>119.57331811516849</v>
      </c>
      <c r="IE484" s="128">
        <f t="shared" ref="IE484:IE487" si="1353">IB484/SUM($IB484:$ID484)</f>
        <v>0.4617737425258116</v>
      </c>
      <c r="IF484" s="128">
        <f t="shared" ref="IF484:IF487" si="1354">IC484/SUM($IB484:$ID484)</f>
        <v>0.48789480077735137</v>
      </c>
      <c r="IG484" s="128">
        <f t="shared" ref="IG484:IG487" si="1355">ID484/SUM($IB484:$ID484)</f>
        <v>5.0331456696836932E-2</v>
      </c>
      <c r="IH484" s="21"/>
      <c r="II484" s="19">
        <f t="shared" ref="II484:II487" si="1356">VLOOKUP($C484*1000+1,$A:$HH,FW$92,FALSE)-VLOOKUP($C484*1000+1,$A:$HH,FA$92,FALSE)*VLOOKUP($C484*1000+1,$A:$HH,DZ$92,FALSE)/VLOOKUP($C484*1000+1,$A:$HH,FT$92,FALSE)</f>
        <v>1490</v>
      </c>
      <c r="IJ484" s="19">
        <f t="shared" ref="IJ484:IJ487" si="1357">VLOOKUP($C484*1000+1,$A:$HH,FX$92,FALSE)</f>
        <v>2203.2561351629856</v>
      </c>
      <c r="IK484" s="19">
        <f t="shared" ref="IK484:IK487" si="1358">VLOOKUP($C484*1000+1,$A:$HH,FY$92,FALSE)</f>
        <v>242</v>
      </c>
      <c r="IL484" s="19">
        <f t="shared" ref="IL484:IL487" si="1359">(FW484-FA484*DZ484/FT484)-II484</f>
        <v>529.99999999999977</v>
      </c>
      <c r="IM484" s="19">
        <f t="shared" ref="IM484:IM487" si="1360">FX484-IJ484</f>
        <v>-123.39200572158734</v>
      </c>
      <c r="IN484" s="19">
        <f t="shared" ref="IN484:IN487" si="1361">FY484-IK484</f>
        <v>265</v>
      </c>
      <c r="IO484" s="39">
        <f t="shared" ref="IO484:IO487" si="1362">(F484-VLOOKUP($C484*1000+1,$A:$HH,F$92,FALSE))*(1-$I484)</f>
        <v>0</v>
      </c>
      <c r="IP484" s="39">
        <f t="shared" ref="IP484:IP487" si="1363">(G484-VLOOKUP($C484*1000+1,$A:$HH,G$92,FALSE))*(1-$I484)</f>
        <v>0</v>
      </c>
      <c r="IQ484" s="39">
        <f t="shared" ref="IQ484:IQ487" si="1364">(H484-VLOOKUP($C484*1000+1,$A:$HH,H$92,FALSE))*(1-$I484)</f>
        <v>0</v>
      </c>
      <c r="IR484" s="39">
        <v>0</v>
      </c>
      <c r="IS484" s="39">
        <v>0</v>
      </c>
      <c r="IT484" s="39">
        <v>0</v>
      </c>
      <c r="IU484" s="39">
        <v>0</v>
      </c>
      <c r="IV484" s="39">
        <v>0</v>
      </c>
      <c r="IW484" s="39">
        <v>0</v>
      </c>
      <c r="IX484" s="39">
        <f>INDEX(Input!$1:$1048576,IX$93,$C484*2+6)+INDEX(Input!$1:$1048576,IX$94,$C484*2+6)</f>
        <v>1770</v>
      </c>
      <c r="IY484" s="39">
        <f>INDEX(Input!$1:$1048576,IY$93,$C484*2+6)+INDEX(Input!$1:$1048576,IY$94,$C484*2+6)</f>
        <v>2630.0624533823611</v>
      </c>
      <c r="IZ484" s="39">
        <f>INDEX(Input!$1:$1048576,IZ$93,$C484*2+6)+INDEX(Input!$1:$1048576,IZ$94,$C484*2+6)</f>
        <v>4153.7164157747848</v>
      </c>
      <c r="JA484" s="19">
        <f t="shared" ref="JA484:JA487" si="1365">(IL484+IO484+IR484+IU484+IX484)</f>
        <v>2300</v>
      </c>
      <c r="JB484" s="19">
        <f t="shared" ref="JB484:JB487" si="1366">(IM484+IP484+IS484+IV484+IY484)</f>
        <v>2506.6704476607738</v>
      </c>
      <c r="JC484" s="19">
        <f t="shared" ref="JC484:JC487" si="1367">(IN484+IQ484+IT484+IW484+IZ484)</f>
        <v>4418.7164157747848</v>
      </c>
      <c r="JD484" s="19">
        <f t="shared" ref="JD484:JD487" si="1368">SUMPRODUCT(IE484:IG484,JA484:JC484)</f>
        <v>2507.4715204214649</v>
      </c>
      <c r="JE484" s="21"/>
      <c r="JF484" s="1">
        <f t="shared" ref="JF484:JF487" si="1369">VLOOKUP($C484*1000+1,$A:$HH,GD$92,FALSE)</f>
        <v>3.2545831732385969E-2</v>
      </c>
      <c r="JG484" s="15">
        <f>INDEX(Input!$1:$1048576,JG$93,$C484*2+6)/(1+VLOOKUP(C484*1000+INDEX(Input!$1:$1048576,JG$93+1,$C484*2+6),$A:$KK,$JK$92,FALSE))</f>
        <v>2329</v>
      </c>
      <c r="JH484" s="1">
        <f t="shared" ref="JH484:JH487" si="1370">SUM(HP484:HR484)/SUM(HY484:IA484)</f>
        <v>5.7181789194859937E-2</v>
      </c>
      <c r="JI484" s="1">
        <f t="shared" ref="JI484:JI487" si="1371">SUM(HS484:HU484)/SUM(HY484:IA484)</f>
        <v>-3.7122788175422541E-2</v>
      </c>
      <c r="JJ484" s="1">
        <f t="shared" ref="JJ484:JJ487" si="1372">SUM(HV484:HX484)/SUM(HY484:IA484)</f>
        <v>0</v>
      </c>
      <c r="JK484" s="1">
        <f t="shared" ref="JK484:JK487" si="1373">SUM(JH484:JJ484)</f>
        <v>2.0059001019437396E-2</v>
      </c>
      <c r="JL484" s="15">
        <f t="shared" ref="JL484:JL487" si="1374">JG484*JK484</f>
        <v>46.717413374269697</v>
      </c>
      <c r="JM484" s="15">
        <f t="shared" ref="JM484:JM487" si="1375">JG484+JL484</f>
        <v>2375.7174133742697</v>
      </c>
      <c r="JN484" s="21"/>
      <c r="JO484" s="19">
        <f>INDEX(Input!$1:$1048576,JO$93,$C484*2+6)</f>
        <v>5995.5</v>
      </c>
      <c r="JP484" s="19">
        <f>INDEX(Input!$1:$1048576,JP$93,$C484*2+6)</f>
        <v>2341.8685758720158</v>
      </c>
      <c r="JQ484" s="39">
        <f t="shared" ref="JQ484:JQ487" si="1376">JO484-JD484</f>
        <v>3488.0284795785351</v>
      </c>
      <c r="JR484" s="39">
        <f t="shared" ref="JR484:JR487" si="1377">JD484-JP484</f>
        <v>165.60294454944915</v>
      </c>
      <c r="JS484" s="39">
        <f t="shared" ref="JS484:JS487" si="1378">JM484*JD484/1000000</f>
        <v>5.9570437546053299</v>
      </c>
      <c r="JT484" s="39">
        <f t="shared" ref="JT484:JT487" si="1379">(JD484*JM484-JP484*JG484)/1000000</f>
        <v>0.50283184139940518</v>
      </c>
      <c r="JU484" s="385">
        <f>(JQ484*JM484-INDEX(Input!$1:$1048576,Input!A$18,$C484*2+6)*JL484*INDEX(Input!$1:$1048576,Input!A$19,$C484*2+6))/1000000</f>
        <v>8.2865699972801039</v>
      </c>
      <c r="JV484" s="39">
        <f t="shared" ref="JV484:JV487" si="1380">JU484-(JO484-JP484)*JG484/1000000</f>
        <v>-0.22273758951397049</v>
      </c>
      <c r="JW484" s="1">
        <f t="shared" ref="JW484:JW487" si="1381">JV484/(JU484-JV484)</f>
        <v>-2.6175759571747722E-2</v>
      </c>
      <c r="JX484" s="19">
        <f t="shared" ref="JX484:JX487" si="1382">IF(JL484=0,0,JT484/JL484)*1000000</f>
        <v>10763.263740032902</v>
      </c>
      <c r="JZ484" s="341"/>
      <c r="KA484" s="342"/>
      <c r="KB484" s="469">
        <f t="shared" si="1302"/>
        <v>2.3434325605641804</v>
      </c>
      <c r="KI484" s="473">
        <f t="shared" ref="KI484:KI487" si="1383">$JM484*IE484-$JG484*HY484/SUM($HY484:$IA484)</f>
        <v>104.04392115757719</v>
      </c>
      <c r="KJ484" s="473">
        <f t="shared" ref="KJ484:KJ487" si="1384">$JM484*IF484-$JG484*HZ484/SUM($HY484:$IA484)</f>
        <v>-56.899825898476138</v>
      </c>
      <c r="KK484" s="473">
        <f t="shared" ref="KK484:KK487" si="1385">$JM484*IG484-$JG484*IA484/SUM($HY484:$IA484)</f>
        <v>-0.42668188483149549</v>
      </c>
      <c r="KN484" s="544">
        <f t="shared" ref="KN484:KN487" si="1386">KM484+(KN483-KM483)</f>
        <v>4002</v>
      </c>
      <c r="KO484" s="541">
        <f t="shared" ref="KO484:KO487" si="1387">JM484/INDEX(JM:JM,MATCH(KN484,A:A,0))-1</f>
        <v>-1.773511886032697E-2</v>
      </c>
      <c r="KP484" s="546">
        <f t="shared" ref="KP484:KP487" si="1388">(IL484-INDEX(IL:IL,MATCH(KN484,A:A,0)))*IE484
+(IM484-IF(HN484=0,INDEX(IX:IX,MATCH(KN484,A:A,0)),INDEX(IM:IM,MATCH(KN484,A:A,0))))*IF484
+(IN484-INDEX(IN:IN,MATCH(KN484,A:A,0)))*IG484</f>
        <v>-81.392348176187582</v>
      </c>
      <c r="KQ484" s="546">
        <f t="shared" ref="KQ484:KQ487" si="1389">JD484-INDEX(JD:JD,MATCH(KN484,A:A,0))</f>
        <v>-117.29966761455626</v>
      </c>
      <c r="KR484" s="548">
        <f t="shared" ref="KR484:KR487" si="1390">KO484/(KP484/(BX484-INDEX(JD:JD,MATCH(KN484,A:A,0))))</f>
        <v>3.7827354575909644</v>
      </c>
      <c r="KS484" s="548">
        <f t="shared" ref="KS484:KS487" si="1391">KO484/(KQ484/(BX484-INDEX(JD:JD,MATCH(KN484,A:A,0))))</f>
        <v>2.6247791463003862</v>
      </c>
      <c r="KT484" s="473">
        <f t="shared" si="1303"/>
        <v>1580.0986321700548</v>
      </c>
      <c r="KU484" s="663">
        <f t="shared" ref="KU484:KU487" si="1392">IF(D484="",0,IFERROR((JM484/KT484-1)/(JD484/BX484)+B484*10^-6,0))</f>
        <v>4.0132670828215566</v>
      </c>
    </row>
    <row r="485" spans="1:307" s="26" customFormat="1" ht="15" outlineLevel="1">
      <c r="A485" s="561">
        <f t="shared" si="1278"/>
        <v>4085</v>
      </c>
      <c r="B485" s="561">
        <f t="shared" si="1296"/>
        <v>85</v>
      </c>
      <c r="C485" s="561">
        <f t="shared" si="1297"/>
        <v>4</v>
      </c>
      <c r="D485" s="561" t="str">
        <f t="shared" ref="D485:D500" si="1393">IF(E485=INDEX(E:E,MATCH(C485*1000+2,A:A,0)),"",E485-INDEX(E:E,MATCH(C485*1000+2,A:A,0))&amp;E$100&amp;", ")
&amp;IF(F485=INDEX(F:F,MATCH(C485*1000+2,A:A,0)),"",F485-INDEX(F:F,MATCH(C485*1000+2,A:A,0))&amp;F$100&amp;", ")
&amp;IF(AM485=INDEX(AM:AM,MATCH(C485*1000+2,A:A,0)),"",AM485&amp;AM$100&amp;", ")
&amp;IF(AP485=INDEX(AP:AP,MATCH(C485*1000+2,A:A,0)),"",AP485&amp;AP$100&amp;", ")
&amp;IF(Q485=INDEX(Q:Q,MATCH(C485*1000+2,A:A,0)),"",Q485-INDEX(Q:Q,MATCH(C485*1000+2,A:A,0))&amp;Q$100&amp;", ")
&amp;IF(Y485=INDEX(Y:Y,MATCH(C485*1000+2,A:A,0)),"",Y485-INDEX(Y:Y,MATCH(C485*1000+2,A:A,0))&amp;Y$100&amp;", ")
&amp;IF(Z485=INDEX(Z:Z,MATCH(C485*1000+2,A:A,0)),"",Z485-INDEX(Z:Z,MATCH(C485*1000+2,A:A,0))&amp;Z$100&amp;", ")
&amp;IF(AA485=INDEX(AA:AA,MATCH(C485*1000+2,A:A,0)),"",AA485-INDEX(AA:AA,MATCH(C485*1000+2,A:A,0))&amp;AA$100&amp;", ")
&amp;IF(AC485=INDEX(AC:AC,MATCH(C485*1000+2,A:A,0)),"",AC485-INDEX(AC:AC,MATCH(C485*1000+2,A:A,0))&amp;AC$100&amp;", ")
&amp;IF(AE485=INDEX(AE:AE,MATCH(C485*1000+2,A:A,0)),"",AE485-INDEX(AE:AE,MATCH(C485*1000+2,A:A,0))&amp;AE$100&amp;", ")
&amp;IF(AG485=INDEX(AG:AG,MATCH(C485*1000+2,A:A,0)),"",AG485-INDEX(AG:AG,MATCH(C485*1000+2,A:A,0))&amp;AG$100&amp;", ")
&amp;IF(AI485=INDEX(AI:AI,MATCH(C485*1000+2,A:A,0)),"",AI485-INDEX(AI:AI,MATCH(C485*1000+2,A:A,0))&amp;AI$100&amp;", ")</f>
        <v xml:space="preserve">500 CC, 1.9/2.9/3.9/3.9, </v>
      </c>
      <c r="E485" s="475">
        <f>INDEX(Input!$1:$1048576,E$93,$C485*2+MIN($B485,2)+5)
+INDEX(Scenarios!E$121:E$200,MATCH($B485,Scenarios!$B$121:$B$200,0))</f>
        <v>1756.832975525977</v>
      </c>
      <c r="F485" s="475">
        <f>INDEX(Input!$1:$1048576,F$93,$C485*2+MIN($B485,2)+5)
+INDEX(Scenarios!F$121:F$200,MATCH($B485,Scenarios!$B$121:$B$200,0))</f>
        <v>0</v>
      </c>
      <c r="G485" s="475">
        <f>INDEX(Input!$1:$1048576,G$93,$C485*2+MIN($B485,2)+5)
+INDEX(Scenarios!G$121:G$200,MATCH($B485,Scenarios!$B$121:$B$200,0))</f>
        <v>0</v>
      </c>
      <c r="H485" s="475">
        <f>INDEX(Input!$1:$1048576,H$93,$C485*2+MIN($B485,2)+5)
+INDEX(Scenarios!H$121:H$200,MATCH($B485,Scenarios!$B$121:$B$200,0))</f>
        <v>0</v>
      </c>
      <c r="I485" s="476">
        <f>INDEX(Input!$1:$1048576,I$93,$C485*2+MIN($B485,2)+5)</f>
        <v>0.7</v>
      </c>
      <c r="J485" s="476" t="str">
        <f>INDEX(Input!$1:$1048576,J$93,$C485*2+MIN($B485,2)+5)</f>
        <v>Market</v>
      </c>
      <c r="K485" s="476" t="str">
        <f>INDEX(Input!$1:$1048576,K$93,$C485*2+MIN($B485,2)+5)</f>
        <v>Market</v>
      </c>
      <c r="L485" s="476" t="str">
        <f>INDEX(Input!$1:$1048576,L$93,$C485*2+MIN($B485,2)+5)</f>
        <v>Market</v>
      </c>
      <c r="M485" s="476" t="str">
        <f>INDEX(Input!$1:$1048576,M$93,$C485*2+MIN($B485,2)+5)</f>
        <v>Market</v>
      </c>
      <c r="N485" s="476" t="str">
        <f>INDEX(Input!$1:$1048576,N$93,$C485*2+MIN($B485,2)+5)</f>
        <v>Market</v>
      </c>
      <c r="O485" s="476" t="str">
        <f>INDEX(Input!$1:$1048576,O$93,$C485*2+MIN($B485,2)+5)</f>
        <v>Market</v>
      </c>
      <c r="P485" s="476" t="str">
        <f>INDEX(Input!$1:$1048576,P$93,$C485*2+MIN($B485,2)+5)</f>
        <v>N</v>
      </c>
      <c r="Q485" s="477">
        <f>INDEX(Input!$1:$1048576,Q$93,$C485*2+MIN($B485,2)+5)
+INDEX(Scenarios!Q$121:Q$200,MATCH($B485,Scenarios!$B$121:$B$200,0))</f>
        <v>0</v>
      </c>
      <c r="R485" s="478">
        <f>IFERROR(MAX(0,INDEX(Input!$1:$1048576,R$93,$C485*2+MIN($B485,2)+5)
+INDEX(Scenarios!R$121:R$200,MATCH($B485,Scenarios!$B$121:$B$200,0)),),"Market")</f>
        <v>1.9E-2</v>
      </c>
      <c r="S485" s="478">
        <f>IFERROR(MAX(0,INDEX(Input!$1:$1048576,S$93,$C485*2+MIN($B485,2)+5)
+INDEX(Scenarios!S$121:S$200,MATCH($B485,Scenarios!$B$121:$B$200,0)),),"Market")</f>
        <v>1.9E-2</v>
      </c>
      <c r="T485" s="478">
        <f>IFERROR(MAX(0,INDEX(Input!$1:$1048576,T$93,$C485*2+MIN($B485,2)+5)
+INDEX(Scenarios!T$121:T$200,MATCH($B485,Scenarios!$B$121:$B$200,0)),),"Market")</f>
        <v>1.9E-2</v>
      </c>
      <c r="U485" s="478">
        <f>IFERROR(MAX(0,INDEX(Input!$1:$1048576,U$93,$C485*2+MIN($B485,2)+5)
+INDEX(Scenarios!U$121:U$200,MATCH($B485,Scenarios!$B$121:$B$200,0)),),"Market")</f>
        <v>1.9E-2</v>
      </c>
      <c r="V485" s="478">
        <f>IFERROR(MAX(0,INDEX(Input!$1:$1048576,V$93,$C485*2+MIN($B485,2)+5)
+INDEX(Scenarios!V$121:V$200,MATCH($B485,Scenarios!$B$121:$B$200,0)),),"Market")</f>
        <v>3.9E-2</v>
      </c>
      <c r="W485" s="885">
        <f>IFERROR(MAX(0,INDEX(Input!$1:$1048576,W$93,$C485*2+MIN($B485,2)+5)-0%,),"Market")</f>
        <v>3.9E-2</v>
      </c>
      <c r="X485" s="476" t="str">
        <f>INDEX(Input!$1:$1048576,X$93,$C485*2+MIN($B485,2)+5)</f>
        <v>Y</v>
      </c>
      <c r="Y485" s="475">
        <f>INDEX(Input!$1:$1048576,Y$93,$C485*2+MIN($B485,2)+5)
++INDEX(Scenarios!Y$121:Y$200,MATCH($B485,Scenarios!$B$121:$B$200,0))</f>
        <v>-870</v>
      </c>
      <c r="Z485" s="477">
        <f>INDEX(Input!$1:$1048576,Z$93,$C485*2+MIN($B485,2)+5)
+INDEX(Scenarios!Z$121:Z$200,MATCH($B485,Scenarios!$B$121:$B$200,0))</f>
        <v>0</v>
      </c>
      <c r="AA485" s="475">
        <f>INDEX(Input!$1:$1048576,AA$93,$C485*2+MIN($B485,2)+5)
+INDEX(Scenarios!AA$121:AA$200,MATCH($B485,Scenarios!$B$121:$B$200,0))</f>
        <v>0</v>
      </c>
      <c r="AB485" s="476">
        <f>INDEX(Input!$1:$1048576,AB$93,$C485*2+MIN($B485,2)+5)</f>
        <v>0.27</v>
      </c>
      <c r="AC485" s="475">
        <f>INDEX(Input!$1:$1048576,AC$93,$C485*2+MIN($B485,2)+5)
+INDEX(Scenarios!AC$121:AC$200,MATCH($B485,Scenarios!$B$121:$B$200,0))</f>
        <v>0</v>
      </c>
      <c r="AD485" s="476">
        <f>INDEX(Input!$1:$1048576,AD$93,$C485*2+MIN($B485,2)+5)</f>
        <v>0.27</v>
      </c>
      <c r="AE485" s="475">
        <f>INDEX(Input!$1:$1048576,AE$93,$C485*2+MIN($B485,2)+5)
+INDEX(Scenarios!AE$121:AE$200,MATCH($B485,Scenarios!$B$121:$B$200,0))</f>
        <v>0</v>
      </c>
      <c r="AF485" s="476">
        <f>INDEX(Input!$1:$1048576,AF$93,$C485*2+MIN($B485,2)+5)</f>
        <v>1</v>
      </c>
      <c r="AG485" s="475">
        <f>INDEX(Input!$1:$1048576,AG$93,$C485*2+MIN($B485,2)+5)
+INDEX(Scenarios!AG$121:AG$200,MATCH($B485,Scenarios!$B$121:$B$200,0))</f>
        <v>500</v>
      </c>
      <c r="AH485" s="476">
        <f>INDEX(Input!$1:$1048576,AH$93,$C485*2+MIN($B485,2)+5)</f>
        <v>0.83199999999999996</v>
      </c>
      <c r="AI485" s="475">
        <f>INDEX(Input!$1:$1048576,AI$93,$C485*2+MIN($B485,2)+5)
+INDEX(Scenarios!AI$121:AI$200,MATCH($B485,Scenarios!$B$121:$B$200,0))</f>
        <v>0</v>
      </c>
      <c r="AJ485" s="476">
        <f>INDEX(Input!$1:$1048576,AJ$93,$C485*2+MIN($B485,2)+5)</f>
        <v>0.27</v>
      </c>
      <c r="AK485" s="150">
        <f>ROUND(INDEX(Input!$1:$1048576,AK$93,$C484*2+MIN($B485,1)+5)+(Y485-VLOOKUP($C485*1000+1,$A:$HH,Y$92,FALSE)),0)</f>
        <v>2587</v>
      </c>
      <c r="AL485" s="150">
        <f>ROUND(INDEX(Input!$1:$1048576,AL$93,$C484*2+MIN($B485,1)+5)-(Y485-VLOOKUP($C485*1000+1,$A:$HH,Y$92,FALSE))/36,0)</f>
        <v>3406</v>
      </c>
      <c r="AM485" s="32" t="str">
        <f t="shared" si="1279"/>
        <v>std/std/std/std</v>
      </c>
      <c r="AN485" s="32" t="str">
        <f t="shared" si="1280"/>
        <v>$0 + 1.9/1.9/1.9/3.9/3.9</v>
      </c>
      <c r="AO485" s="32" t="str">
        <f t="shared" si="1281"/>
        <v>1.9/1.9/1.9/3.9/3.9</v>
      </c>
      <c r="AP485" s="32" t="str">
        <f t="shared" si="1213"/>
        <v>1.9/2.9/3.9/3.9</v>
      </c>
      <c r="AQ485" s="536">
        <f t="shared" ref="AQ485:AQ548" si="1394">SUM(IE485,G485*IF485,H485*IG485,AC485*AD485,AE485*AF485,AI485)</f>
        <v>0.49567371033579838</v>
      </c>
      <c r="AR485" s="32"/>
      <c r="AS485" s="302"/>
      <c r="AT485" s="3">
        <f t="shared" si="1298"/>
        <v>85</v>
      </c>
      <c r="AU485" s="41" t="s">
        <v>121</v>
      </c>
      <c r="AV485" s="41" t="s">
        <v>116</v>
      </c>
      <c r="AW485" s="41" t="str">
        <f>INDEX(Input!$1:$1048576,AW$93,$C485*2+6)</f>
        <v>Kia</v>
      </c>
      <c r="AX485" s="41" t="str">
        <f>INDEX(Input!$1:$1048576,AX$93,$C485*2+6)</f>
        <v>Kia-LR - R1</v>
      </c>
      <c r="AY485" s="41" t="str">
        <f>IF(LEN(D485)=0,"",INDEX(Input!$1:$1048576,AY$93,$C485*2+6))</f>
        <v>Compact SUV (52)</v>
      </c>
      <c r="AZ485" s="41" t="str">
        <f>INDEX(Input!$1:$1048576,AZ$93,$C485*2+6)</f>
        <v>Kia Soul</v>
      </c>
      <c r="BA485" s="3">
        <f>INDEX(Input!$1:$1048576,BA$93,$C485*2+6)</f>
        <v>2020</v>
      </c>
      <c r="BB485" s="128">
        <f>INDEX(Input!$1:$1048576,BB$93,$C485*2+6)</f>
        <v>1</v>
      </c>
      <c r="BC485" s="128">
        <f>INDEX(Input!$1:$1048576,BC$93,$C485*2+6)</f>
        <v>0.7</v>
      </c>
      <c r="BD485" s="1">
        <f>INDEX(Input!$1:$1048576,BD$93,$C485*2+6)</f>
        <v>4.4999999999999998E-2</v>
      </c>
      <c r="BE485" s="1">
        <f>INDEX(Input!$1:$1048576,BE$93,$C485*2+6)</f>
        <v>4.4999999999999998E-2</v>
      </c>
      <c r="BF485" s="1">
        <f>INDEX(Input!$1:$1048576,BF$93,$C485*2+6)</f>
        <v>0.05</v>
      </c>
      <c r="BG485" s="1">
        <f>INDEX(Input!$1:$1048576,BG$93,$C485*2+6)</f>
        <v>5.45E-2</v>
      </c>
      <c r="BH485" s="1">
        <f>INDEX(Input!$1:$1048576,BH$93,$C485*2+6)</f>
        <v>5.45E-2</v>
      </c>
      <c r="BI485" s="1">
        <f>INDEX(Input!$1:$1048576,BI$93,$C485*2+6)</f>
        <v>0.05</v>
      </c>
      <c r="BJ485" s="1">
        <f>INDEX(Input!$1:$1048576,BJ$93,$C485*2+6)</f>
        <v>0.05</v>
      </c>
      <c r="BK485" s="1">
        <f>INDEX(Input!$1:$1048576,BK$93,$C485*2+6)</f>
        <v>0.05</v>
      </c>
      <c r="BL485" s="1">
        <f>INDEX(Input!$1:$1048576,BL$93,$C485*2+6)</f>
        <v>5.5E-2</v>
      </c>
      <c r="BM485" s="1">
        <f>INDEX(Input!$1:$1048576,BM$93,$C485*2+6)</f>
        <v>0.06</v>
      </c>
      <c r="BN485" s="1">
        <f>INDEX(Input!$1:$1048576,BN$93,$C485*2+6)</f>
        <v>4.4999999999999998E-2</v>
      </c>
      <c r="BO485" s="1">
        <f>INDEX(Input!$1:$1048576,BO$93,$C485*2+6)</f>
        <v>4.4999999999999998E-2</v>
      </c>
      <c r="BP485" s="1">
        <f>INDEX(Input!$1:$1048576,BP$93,$C485*2+6)</f>
        <v>0.05</v>
      </c>
      <c r="BQ485" s="1">
        <f>INDEX(Input!$1:$1048576,BQ$93,$C485*2+6)</f>
        <v>5.45E-2</v>
      </c>
      <c r="BR485" s="1">
        <f>INDEX(Input!$1:$1048576,BR$93,$C485*2+6)</f>
        <v>5.45E-2</v>
      </c>
      <c r="BS485" s="1">
        <f>INDEX(Input!$1:$1048576,BS$93,$C485*2+6)</f>
        <v>0.05</v>
      </c>
      <c r="BT485" s="1">
        <f>INDEX(Input!$1:$1048576,BT$93,$C485*2+6)</f>
        <v>0.05</v>
      </c>
      <c r="BU485" s="1">
        <f>INDEX(Input!$1:$1048576,BU$93,$C485*2+6)</f>
        <v>0.05</v>
      </c>
      <c r="BV485" s="1">
        <f>INDEX(Input!$1:$1048576,BV$93,$C485*2+6)</f>
        <v>5.5E-2</v>
      </c>
      <c r="BW485" s="1">
        <f>INDEX(Input!$1:$1048576,BW$93,$C485*2+6)</f>
        <v>0.06</v>
      </c>
      <c r="BX485" s="127">
        <f>INDEX(Input!$1:$1048576,BX$93,$C485*2+6)</f>
        <v>19985</v>
      </c>
      <c r="BY485" s="20">
        <f>INDEX(Input!$1:$1048576,BY$93,$C485*2+6)</f>
        <v>0.1</v>
      </c>
      <c r="BZ485" s="20">
        <f>INDEX(Input!$1:$1048576,BZ$93,$C485*2+6)</f>
        <v>0.1</v>
      </c>
      <c r="CA485" s="20">
        <f>INDEX(Input!$1:$1048576,CA$93,$C485*2+6)</f>
        <v>0.1</v>
      </c>
      <c r="CB485" s="20">
        <f>INDEX(Input!$1:$1048576,CB$93,$C485*2+6)</f>
        <v>0.1</v>
      </c>
      <c r="CC485" s="20">
        <f>INDEX(Input!$1:$1048576,CC$93,$C485*2+6)</f>
        <v>0.1</v>
      </c>
      <c r="CD485" s="384">
        <f>INDEX(Input!$1:$1048576,CD$93,$C485*2+6)</f>
        <v>0.1</v>
      </c>
      <c r="CE485" s="384">
        <f>INDEX(Input!$1:$1048576,CE$93,$C485*2+6)</f>
        <v>0.1</v>
      </c>
      <c r="CF485" s="384">
        <f>INDEX(Input!$1:$1048576,CF$93,$C485*2+6)</f>
        <v>0.1</v>
      </c>
      <c r="CG485" s="384">
        <f>INDEX(Input!$1:$1048576,CG$93,$C485*2+6)</f>
        <v>0.1</v>
      </c>
      <c r="CH485" s="384">
        <f>INDEX(Input!$1:$1048576,CH$93,$C485*2+6)</f>
        <v>0.1</v>
      </c>
      <c r="CI485" s="304">
        <f t="shared" si="1214"/>
        <v>1756.832975525977</v>
      </c>
      <c r="CJ485" s="16" t="str">
        <f>INDEX(Input!$1:$1048576,CJ$93,$C485*2+6)</f>
        <v>N</v>
      </c>
      <c r="CK485" s="1" t="str">
        <f t="shared" si="1215"/>
        <v>Market</v>
      </c>
      <c r="CL485" s="1" t="str">
        <f t="shared" si="1216"/>
        <v>Market</v>
      </c>
      <c r="CM485" s="1" t="str">
        <f t="shared" si="1217"/>
        <v>Market</v>
      </c>
      <c r="CN485" s="1" t="str">
        <f t="shared" si="1218"/>
        <v>Market</v>
      </c>
      <c r="CO485" s="1" t="str">
        <f t="shared" si="1219"/>
        <v>Market</v>
      </c>
      <c r="CP485" s="304">
        <f t="shared" si="1220"/>
        <v>416</v>
      </c>
      <c r="CQ485" s="1">
        <f t="shared" si="1221"/>
        <v>1.9E-2</v>
      </c>
      <c r="CR485" s="1">
        <f t="shared" si="1222"/>
        <v>1.9E-2</v>
      </c>
      <c r="CS485" s="1">
        <f t="shared" si="1223"/>
        <v>1.9E-2</v>
      </c>
      <c r="CT485" s="1">
        <f t="shared" si="1224"/>
        <v>3.9E-2</v>
      </c>
      <c r="CU485" s="1">
        <f t="shared" si="1225"/>
        <v>3.9E-2</v>
      </c>
      <c r="CV485" s="304">
        <f t="shared" si="1226"/>
        <v>-870</v>
      </c>
      <c r="CW485" s="20" t="s">
        <v>122</v>
      </c>
      <c r="CX485" s="20" t="s">
        <v>122</v>
      </c>
      <c r="CY485" s="20" t="s">
        <v>122</v>
      </c>
      <c r="CZ485" s="20" t="s">
        <v>122</v>
      </c>
      <c r="DA485" s="20" t="s">
        <v>122</v>
      </c>
      <c r="DB485" s="503">
        <f t="shared" si="1227"/>
        <v>0</v>
      </c>
      <c r="DC485" s="127">
        <v>0</v>
      </c>
      <c r="DD485" s="127">
        <v>0</v>
      </c>
      <c r="DE485" s="127">
        <v>0</v>
      </c>
      <c r="DF485" s="127">
        <v>0</v>
      </c>
      <c r="DG485" s="127">
        <v>0</v>
      </c>
      <c r="DH485" s="127">
        <v>0</v>
      </c>
      <c r="DI485" s="127">
        <v>0</v>
      </c>
      <c r="DJ485" s="127">
        <v>0</v>
      </c>
      <c r="DK485" s="127">
        <v>0</v>
      </c>
      <c r="DL485" s="127">
        <v>0</v>
      </c>
      <c r="DM485" s="304">
        <f>INDEX(Input!$1:$1048576,DM$93,$C485*2+6)</f>
        <v>21036.84210526316</v>
      </c>
      <c r="DN485" s="20">
        <v>0</v>
      </c>
      <c r="DO485" s="20">
        <v>0</v>
      </c>
      <c r="DP485" s="20">
        <v>0</v>
      </c>
      <c r="DQ485" s="20">
        <v>0</v>
      </c>
      <c r="DR485" s="20">
        <v>0</v>
      </c>
      <c r="DS485" s="20">
        <f>INDEX(Input!$1:$1048576,DS$93,$C485*2+6)</f>
        <v>0.6</v>
      </c>
      <c r="DT485" s="20">
        <f>INDEX(Input!$1:$1048576,DT$93,$C485*2+6)</f>
        <v>0.55000000000000004</v>
      </c>
      <c r="DU485" s="20">
        <f>INDEX(Input!$1:$1048576,DU$93,$C485*2+6)</f>
        <v>0.52</v>
      </c>
      <c r="DV485" s="20">
        <f>INDEX(Input!$1:$1048576,DV$93,$C485*2+6)</f>
        <v>0.5</v>
      </c>
      <c r="DW485" s="20">
        <f>INDEX(Input!$1:$1048576,DW$93,$C485*2+6)</f>
        <v>0.45</v>
      </c>
      <c r="DX485" s="20"/>
      <c r="DY485" s="7">
        <v>0.1118167295629264</v>
      </c>
      <c r="DZ485" s="7">
        <v>0</v>
      </c>
      <c r="EA485" s="7">
        <v>0.82883934730604636</v>
      </c>
      <c r="EB485" s="7">
        <v>0</v>
      </c>
      <c r="EC485" s="7">
        <v>0</v>
      </c>
      <c r="ED485" s="7">
        <v>0</v>
      </c>
      <c r="EE485" s="7">
        <v>0</v>
      </c>
      <c r="EF485" s="7">
        <v>0</v>
      </c>
      <c r="EG485" s="7">
        <v>0</v>
      </c>
      <c r="EH485" s="7">
        <v>1.5835354300613266E-2</v>
      </c>
      <c r="EI485" s="7">
        <v>3.5921117096105758E-2</v>
      </c>
      <c r="EJ485" s="7">
        <v>0.22689875157116393</v>
      </c>
      <c r="EK485" s="7">
        <v>0.45277843854361871</v>
      </c>
      <c r="EL485" s="7">
        <v>0.26856633848849831</v>
      </c>
      <c r="EM485" s="7">
        <v>1.7611624448699681E-2</v>
      </c>
      <c r="EN485" s="7">
        <v>5.044214395486403E-2</v>
      </c>
      <c r="EO485" s="7">
        <v>0.71272508843414417</v>
      </c>
      <c r="EP485" s="7">
        <v>0.10249000829776751</v>
      </c>
      <c r="EQ485" s="7">
        <v>8.995254581700296E-2</v>
      </c>
      <c r="ER485" s="7">
        <v>4.4390213496221187E-2</v>
      </c>
      <c r="ES485" s="7">
        <v>4.1732298682327557E-2</v>
      </c>
      <c r="ET485" s="7">
        <v>5.9343923131027279E-2</v>
      </c>
      <c r="EU485" s="6">
        <v>2270</v>
      </c>
      <c r="EV485" s="6">
        <v>0</v>
      </c>
      <c r="EW485" s="6">
        <v>2270</v>
      </c>
      <c r="EX485" s="6">
        <v>0</v>
      </c>
      <c r="EY485" s="6">
        <v>1713.8504564868588</v>
      </c>
      <c r="EZ485" s="6">
        <v>507</v>
      </c>
      <c r="FA485" s="6">
        <v>0</v>
      </c>
      <c r="FB485" s="6">
        <v>0</v>
      </c>
      <c r="FC485" s="6">
        <v>0</v>
      </c>
      <c r="FD485" s="6">
        <v>0</v>
      </c>
      <c r="FE485" s="6">
        <v>0</v>
      </c>
      <c r="FF485" s="6">
        <v>0</v>
      </c>
      <c r="FG485" s="6">
        <v>0</v>
      </c>
      <c r="FH485" s="6">
        <v>680.25687606786551</v>
      </c>
      <c r="FI485" s="6">
        <v>908.63567840587245</v>
      </c>
      <c r="FJ485" s="6">
        <v>1322.1514264406362</v>
      </c>
      <c r="FK485" s="6">
        <v>788.09921179939352</v>
      </c>
      <c r="FL485" s="6">
        <v>907.07682140966381</v>
      </c>
      <c r="FM485" s="6">
        <v>943.85045648685877</v>
      </c>
      <c r="FN485" s="6">
        <v>0</v>
      </c>
      <c r="FO485" s="6">
        <v>0</v>
      </c>
      <c r="FP485" s="6">
        <v>0</v>
      </c>
      <c r="FQ485" s="6">
        <v>0</v>
      </c>
      <c r="FR485" s="6">
        <v>0</v>
      </c>
      <c r="FS485" s="6">
        <v>0</v>
      </c>
      <c r="FT485" s="7">
        <v>0.94065607686897279</v>
      </c>
      <c r="FU485" s="7">
        <v>1.7611624448699681E-2</v>
      </c>
      <c r="FV485" s="7">
        <v>4.1732298682327557E-2</v>
      </c>
      <c r="FW485" s="6">
        <v>2269.9999999999995</v>
      </c>
      <c r="FX485" s="6">
        <v>1713.8504564868588</v>
      </c>
      <c r="FY485" s="6">
        <v>507</v>
      </c>
      <c r="FZ485" s="6">
        <v>1949.5716051445115</v>
      </c>
      <c r="GA485" s="6">
        <v>2186.631260525387</v>
      </c>
      <c r="GB485" s="6">
        <v>17798.368739474612</v>
      </c>
      <c r="GC485" s="7">
        <v>3.3872851927908169E-2</v>
      </c>
      <c r="GD485" s="7">
        <v>3.5275609504506089E-2</v>
      </c>
      <c r="GE485" s="7"/>
      <c r="GF485" s="7"/>
      <c r="GG485" s="7">
        <v>4.1412443793732476E-2</v>
      </c>
      <c r="GH485" s="42">
        <v>3.4912211775893414</v>
      </c>
      <c r="GI485" s="6">
        <v>7910.9892955552605</v>
      </c>
      <c r="GJ485" s="14">
        <v>0.50394797582841766</v>
      </c>
      <c r="GK485" s="14">
        <v>0.50887573065309744</v>
      </c>
      <c r="GL485" s="14">
        <v>0.49605202417158289</v>
      </c>
      <c r="GM485" s="14">
        <v>0.49112426934690279</v>
      </c>
      <c r="GO485" s="5">
        <v>343.14810671672558</v>
      </c>
      <c r="GP485" s="5">
        <v>299.84083725090579</v>
      </c>
      <c r="GQ485" s="5">
        <v>535.04305713031317</v>
      </c>
      <c r="GR485" s="5">
        <v>410.15490233172511</v>
      </c>
      <c r="GS485" s="5">
        <v>339.42744393800166</v>
      </c>
      <c r="GT485" s="5">
        <v>293.4407446948278</v>
      </c>
      <c r="GU485" s="5">
        <v>258.04012322764959</v>
      </c>
      <c r="GV485" s="39" t="s">
        <v>392</v>
      </c>
      <c r="GW485" s="5">
        <v>492.37371706940723</v>
      </c>
      <c r="GX485" s="5">
        <v>372.76318044448084</v>
      </c>
      <c r="GY485" s="5">
        <v>301.01409909172185</v>
      </c>
      <c r="GZ485" s="5">
        <v>268.571561640526</v>
      </c>
      <c r="HA485" s="5">
        <v>234.53733318419432</v>
      </c>
      <c r="HB485" s="39">
        <v>274.07895053015193</v>
      </c>
      <c r="HC485" s="5">
        <v>265.10312499999998</v>
      </c>
      <c r="HD485" s="5">
        <v>224.66580774853799</v>
      </c>
      <c r="HE485" s="5">
        <v>226.90661690283397</v>
      </c>
      <c r="HF485" s="5">
        <v>209.18438048245613</v>
      </c>
      <c r="HG485" s="5">
        <v>200.91388157894738</v>
      </c>
      <c r="HH485" s="39">
        <v>224.48826640622278</v>
      </c>
      <c r="HI485" s="16"/>
      <c r="HJ485" s="19" t="str">
        <f t="shared" ref="HJ485:HK485" si="1395">HJ484</f>
        <v>On</v>
      </c>
      <c r="HK485" s="1" t="str">
        <f t="shared" si="1395"/>
        <v>On</v>
      </c>
      <c r="HL485" s="16"/>
      <c r="HM485" s="639">
        <f t="shared" si="1342"/>
        <v>2.9403358434788716E-2</v>
      </c>
      <c r="HN485" s="639">
        <f t="shared" si="1343"/>
        <v>1.4106809950923669E-3</v>
      </c>
      <c r="HO485" s="639">
        <f t="shared" si="1344"/>
        <v>1.7317923025048877E-3</v>
      </c>
      <c r="HP485" s="644">
        <f>(FT485*$GD485-HM485)/$JF485*INDEX(Input!$1:$1048576,$JG$93,$C485*2+6)</f>
        <v>270.41743408837385</v>
      </c>
      <c r="HQ485" s="644">
        <f>(FU485*$GD485-HN485)/$JF485*INDEX(Input!$1:$1048576,$JG$93,$C485*2+6)</f>
        <v>-56.491402040318064</v>
      </c>
      <c r="HR485" s="644">
        <f>(FV485*$GD485-HO485)/$JF485*INDEX(Input!$1:$1048576,$JG$93,$C485*2+6)</f>
        <v>-18.581433589343206</v>
      </c>
      <c r="HS485" s="644">
        <f t="shared" si="1345"/>
        <v>-101.84296540904293</v>
      </c>
      <c r="HT485" s="644">
        <f t="shared" si="1346"/>
        <v>-89.261621872618619</v>
      </c>
      <c r="HU485" s="644">
        <f t="shared" si="1347"/>
        <v>10.185602201581215</v>
      </c>
      <c r="HV485" s="648">
        <f t="shared" si="1348"/>
        <v>0</v>
      </c>
      <c r="HW485" s="648">
        <f t="shared" si="1349"/>
        <v>0</v>
      </c>
      <c r="HX485" s="648">
        <f t="shared" si="1350"/>
        <v>0</v>
      </c>
      <c r="HY485" s="644">
        <f>INDEX(Input!$1:$1048576,HY$93,$C485*2+6)*INDEX(Input!$1:$1048576,$JG$93,$C485*2+6)</f>
        <v>993</v>
      </c>
      <c r="HZ485" s="644">
        <f>INDEX(Input!$1:$1048576,HZ$93,$C485*2+6)*INDEX(Input!$1:$1048576,$JG$93,$C485*2+6)</f>
        <v>1216</v>
      </c>
      <c r="IA485" s="644">
        <f>INDEX(Input!$1:$1048576,IA$93,$C485*2+6)*INDEX(Input!$1:$1048576,$JG$93,$C485*2+6)</f>
        <v>120</v>
      </c>
      <c r="IB485" s="644">
        <f t="shared" si="1351"/>
        <v>1161.5744686793307</v>
      </c>
      <c r="IC485" s="644">
        <f t="shared" si="1352"/>
        <v>1070.2469760870633</v>
      </c>
      <c r="ID485" s="644">
        <f>IF(AND(INDEX(Input!$1:$1048576,IA$93,$C485*2+7)="TOS",Y485&lt;=INDEX(Y:Y,MATCH(C485*1000+2,A:A))),0,1)*MAX(IA485+HR485+HU485+HX485,0%)</f>
        <v>111.60416861223801</v>
      </c>
      <c r="IE485" s="128">
        <f t="shared" si="1353"/>
        <v>0.49567371033579838</v>
      </c>
      <c r="IF485" s="128">
        <f t="shared" si="1354"/>
        <v>0.45670191960735446</v>
      </c>
      <c r="IG485" s="128">
        <f t="shared" si="1355"/>
        <v>4.7624370056847158E-2</v>
      </c>
      <c r="IH485" s="21"/>
      <c r="II485" s="19">
        <f t="shared" si="1356"/>
        <v>1490</v>
      </c>
      <c r="IJ485" s="19">
        <f t="shared" si="1357"/>
        <v>2203.2561351629856</v>
      </c>
      <c r="IK485" s="19">
        <f t="shared" si="1358"/>
        <v>242</v>
      </c>
      <c r="IL485" s="19">
        <f t="shared" si="1359"/>
        <v>779.99999999999955</v>
      </c>
      <c r="IM485" s="19">
        <f t="shared" si="1360"/>
        <v>-489.40567867612685</v>
      </c>
      <c r="IN485" s="19">
        <f t="shared" si="1361"/>
        <v>265</v>
      </c>
      <c r="IO485" s="39">
        <f t="shared" si="1362"/>
        <v>0</v>
      </c>
      <c r="IP485" s="39">
        <f t="shared" si="1363"/>
        <v>0</v>
      </c>
      <c r="IQ485" s="39">
        <f t="shared" si="1364"/>
        <v>0</v>
      </c>
      <c r="IR485" s="39">
        <v>0</v>
      </c>
      <c r="IS485" s="39">
        <v>0</v>
      </c>
      <c r="IT485" s="39">
        <v>0</v>
      </c>
      <c r="IU485" s="39">
        <v>0</v>
      </c>
      <c r="IV485" s="39">
        <v>0</v>
      </c>
      <c r="IW485" s="39">
        <v>0</v>
      </c>
      <c r="IX485" s="39">
        <f>INDEX(Input!$1:$1048576,IX$93,$C485*2+6)+INDEX(Input!$1:$1048576,IX$94,$C485*2+6)</f>
        <v>1770</v>
      </c>
      <c r="IY485" s="39">
        <f>INDEX(Input!$1:$1048576,IY$93,$C485*2+6)+INDEX(Input!$1:$1048576,IY$94,$C485*2+6)</f>
        <v>2630.0624533823611</v>
      </c>
      <c r="IZ485" s="39">
        <f>INDEX(Input!$1:$1048576,IZ$93,$C485*2+6)+INDEX(Input!$1:$1048576,IZ$94,$C485*2+6)</f>
        <v>4153.7164157747848</v>
      </c>
      <c r="JA485" s="19">
        <f t="shared" si="1365"/>
        <v>2549.9999999999995</v>
      </c>
      <c r="JB485" s="19">
        <f t="shared" si="1366"/>
        <v>2140.6567747062345</v>
      </c>
      <c r="JC485" s="19">
        <f t="shared" si="1367"/>
        <v>4418.7164157747848</v>
      </c>
      <c r="JD485" s="19">
        <f t="shared" si="1368"/>
        <v>2452.048605346235</v>
      </c>
      <c r="JE485" s="21"/>
      <c r="JF485" s="1">
        <f t="shared" si="1369"/>
        <v>3.2545831732385969E-2</v>
      </c>
      <c r="JG485" s="15">
        <f>INDEX(Input!$1:$1048576,JG$93,$C485*2+6)/(1+VLOOKUP(C485*1000+INDEX(Input!$1:$1048576,JG$93+1,$C485*2+6),$A:$KK,$JK$92,FALSE))</f>
        <v>2329</v>
      </c>
      <c r="JH485" s="1">
        <f t="shared" si="1370"/>
        <v>8.3874881261791587E-2</v>
      </c>
      <c r="JI485" s="1">
        <f t="shared" si="1371"/>
        <v>-7.7680972554779029E-2</v>
      </c>
      <c r="JJ485" s="1">
        <f t="shared" si="1372"/>
        <v>0</v>
      </c>
      <c r="JK485" s="1">
        <f t="shared" si="1373"/>
        <v>6.1939087070125576E-3</v>
      </c>
      <c r="JL485" s="15">
        <f t="shared" si="1374"/>
        <v>14.425613378632246</v>
      </c>
      <c r="JM485" s="15">
        <f t="shared" si="1375"/>
        <v>2343.4256133786321</v>
      </c>
      <c r="JN485" s="21"/>
      <c r="JO485" s="19">
        <f>INDEX(Input!$1:$1048576,JO$93,$C485*2+6)</f>
        <v>5995.5</v>
      </c>
      <c r="JP485" s="19">
        <f>INDEX(Input!$1:$1048576,JP$93,$C485*2+6)</f>
        <v>2341.8685758720158</v>
      </c>
      <c r="JQ485" s="39">
        <f t="shared" si="1376"/>
        <v>3543.451394653765</v>
      </c>
      <c r="JR485" s="39">
        <f t="shared" si="1377"/>
        <v>110.18002947421928</v>
      </c>
      <c r="JS485" s="39">
        <f t="shared" si="1378"/>
        <v>5.7461935070177201</v>
      </c>
      <c r="JT485" s="39">
        <f t="shared" si="1379"/>
        <v>0.29198159381179606</v>
      </c>
      <c r="JU485" s="385">
        <f>(JQ485*JM485-INDEX(Input!$1:$1048576,Input!A$18,$C485*2+6)*JL485*INDEX(Input!$1:$1048576,Input!A$19,$C485*2+6))/1000000</f>
        <v>8.3038147579938677</v>
      </c>
      <c r="JV485" s="39">
        <f t="shared" si="1380"/>
        <v>-0.20549282880020669</v>
      </c>
      <c r="JW485" s="1">
        <f t="shared" si="1381"/>
        <v>-2.4149183315352124E-2</v>
      </c>
      <c r="JX485" s="19">
        <f t="shared" si="1382"/>
        <v>20240.497658442033</v>
      </c>
      <c r="JZ485" s="341"/>
      <c r="KA485" s="342"/>
      <c r="KB485" s="469">
        <f t="shared" si="1302"/>
        <v>2.3434325605641804</v>
      </c>
      <c r="KI485" s="473">
        <f t="shared" si="1383"/>
        <v>168.57446867933072</v>
      </c>
      <c r="KJ485" s="473">
        <f t="shared" si="1384"/>
        <v>-145.75302391293667</v>
      </c>
      <c r="KK485" s="473">
        <f t="shared" si="1385"/>
        <v>-8.3958313877619872</v>
      </c>
      <c r="KN485" s="544">
        <f t="shared" si="1386"/>
        <v>4002</v>
      </c>
      <c r="KO485" s="541">
        <f t="shared" si="1387"/>
        <v>-3.1086496808704234E-2</v>
      </c>
      <c r="KP485" s="546">
        <f t="shared" si="1388"/>
        <v>-103.57365132411249</v>
      </c>
      <c r="KQ485" s="546">
        <f t="shared" si="1389"/>
        <v>-172.72258268978612</v>
      </c>
      <c r="KR485" s="548">
        <f t="shared" si="1390"/>
        <v>5.2104824988037839</v>
      </c>
      <c r="KS485" s="548">
        <f t="shared" si="1391"/>
        <v>3.1244825613263978</v>
      </c>
      <c r="KT485" s="473">
        <f t="shared" si="1303"/>
        <v>1580.0986321700548</v>
      </c>
      <c r="KU485" s="663">
        <f t="shared" si="1392"/>
        <v>3.9374120852834049</v>
      </c>
    </row>
    <row r="486" spans="1:307" s="26" customFormat="1" ht="15" outlineLevel="1">
      <c r="A486" s="561">
        <f t="shared" si="1278"/>
        <v>4086</v>
      </c>
      <c r="B486" s="561">
        <f t="shared" si="1296"/>
        <v>86</v>
      </c>
      <c r="C486" s="561">
        <f t="shared" si="1297"/>
        <v>4</v>
      </c>
      <c r="D486" s="561" t="str">
        <f t="shared" si="1393"/>
        <v xml:space="preserve">-250 CC, 0/0/0.9/3.9, </v>
      </c>
      <c r="E486" s="475">
        <f>INDEX(Input!$1:$1048576,E$93,$C486*2+MIN($B486,2)+5)
+INDEX(Scenarios!E$121:E$200,MATCH($B486,Scenarios!$B$121:$B$200,0))</f>
        <v>1006.832975525977</v>
      </c>
      <c r="F486" s="475">
        <f>INDEX(Input!$1:$1048576,F$93,$C486*2+MIN($B486,2)+5)
+INDEX(Scenarios!F$121:F$200,MATCH($B486,Scenarios!$B$121:$B$200,0))</f>
        <v>0</v>
      </c>
      <c r="G486" s="475">
        <f>INDEX(Input!$1:$1048576,G$93,$C486*2+MIN($B486,2)+5)
+INDEX(Scenarios!G$121:G$200,MATCH($B486,Scenarios!$B$121:$B$200,0))</f>
        <v>0</v>
      </c>
      <c r="H486" s="475">
        <f>INDEX(Input!$1:$1048576,H$93,$C486*2+MIN($B486,2)+5)
+INDEX(Scenarios!H$121:H$200,MATCH($B486,Scenarios!$B$121:$B$200,0))</f>
        <v>0</v>
      </c>
      <c r="I486" s="476">
        <f>INDEX(Input!$1:$1048576,I$93,$C486*2+MIN($B486,2)+5)</f>
        <v>0.7</v>
      </c>
      <c r="J486" s="476" t="str">
        <f>INDEX(Input!$1:$1048576,J$93,$C486*2+MIN($B486,2)+5)</f>
        <v>Market</v>
      </c>
      <c r="K486" s="476" t="str">
        <f>INDEX(Input!$1:$1048576,K$93,$C486*2+MIN($B486,2)+5)</f>
        <v>Market</v>
      </c>
      <c r="L486" s="476" t="str">
        <f>INDEX(Input!$1:$1048576,L$93,$C486*2+MIN($B486,2)+5)</f>
        <v>Market</v>
      </c>
      <c r="M486" s="476" t="str">
        <f>INDEX(Input!$1:$1048576,M$93,$C486*2+MIN($B486,2)+5)</f>
        <v>Market</v>
      </c>
      <c r="N486" s="476" t="str">
        <f>INDEX(Input!$1:$1048576,N$93,$C486*2+MIN($B486,2)+5)</f>
        <v>Market</v>
      </c>
      <c r="O486" s="476" t="str">
        <f>INDEX(Input!$1:$1048576,O$93,$C486*2+MIN($B486,2)+5)</f>
        <v>Market</v>
      </c>
      <c r="P486" s="476" t="str">
        <f>INDEX(Input!$1:$1048576,P$93,$C486*2+MIN($B486,2)+5)</f>
        <v>N</v>
      </c>
      <c r="Q486" s="477">
        <f>INDEX(Input!$1:$1048576,Q$93,$C486*2+MIN($B486,2)+5)
+INDEX(Scenarios!Q$121:Q$200,MATCH($B486,Scenarios!$B$121:$B$200,0))</f>
        <v>0</v>
      </c>
      <c r="R486" s="478">
        <f>IFERROR(MAX(0,INDEX(Input!$1:$1048576,R$93,$C486*2+MIN($B486,2)+5)
+INDEX(Scenarios!R$121:R$200,MATCH($B486,Scenarios!$B$121:$B$200,0)),),"Market")</f>
        <v>0</v>
      </c>
      <c r="S486" s="478">
        <f>IFERROR(MAX(0,INDEX(Input!$1:$1048576,S$93,$C486*2+MIN($B486,2)+5)
+INDEX(Scenarios!S$121:S$200,MATCH($B486,Scenarios!$B$121:$B$200,0)),),"Market")</f>
        <v>0</v>
      </c>
      <c r="T486" s="478">
        <f>IFERROR(MAX(0,INDEX(Input!$1:$1048576,T$93,$C486*2+MIN($B486,2)+5)
+INDEX(Scenarios!T$121:T$200,MATCH($B486,Scenarios!$B$121:$B$200,0)),),"Market")</f>
        <v>0</v>
      </c>
      <c r="U486" s="478">
        <f>IFERROR(MAX(0,INDEX(Input!$1:$1048576,U$93,$C486*2+MIN($B486,2)+5)
+INDEX(Scenarios!U$121:U$200,MATCH($B486,Scenarios!$B$121:$B$200,0)),),"Market")</f>
        <v>0</v>
      </c>
      <c r="V486" s="478">
        <f>IFERROR(MAX(0,INDEX(Input!$1:$1048576,V$93,$C486*2+MIN($B486,2)+5)
+INDEX(Scenarios!V$121:V$200,MATCH($B486,Scenarios!$B$121:$B$200,0)),),"Market")</f>
        <v>8.9999999999999993E-3</v>
      </c>
      <c r="W486" s="885">
        <f>IFERROR(MAX(0,INDEX(Input!$1:$1048576,W$93,$C486*2+MIN($B486,2)+5)-0%,),"Market")</f>
        <v>3.9E-2</v>
      </c>
      <c r="X486" s="476" t="str">
        <f>INDEX(Input!$1:$1048576,X$93,$C486*2+MIN($B486,2)+5)</f>
        <v>Y</v>
      </c>
      <c r="Y486" s="475">
        <f>INDEX(Input!$1:$1048576,Y$93,$C486*2+MIN($B486,2)+5)
++INDEX(Scenarios!Y$121:Y$200,MATCH($B486,Scenarios!$B$121:$B$200,0))</f>
        <v>-870</v>
      </c>
      <c r="Z486" s="477">
        <f>INDEX(Input!$1:$1048576,Z$93,$C486*2+MIN($B486,2)+5)
+INDEX(Scenarios!Z$121:Z$200,MATCH($B486,Scenarios!$B$121:$B$200,0))</f>
        <v>0</v>
      </c>
      <c r="AA486" s="475">
        <f>INDEX(Input!$1:$1048576,AA$93,$C486*2+MIN($B486,2)+5)
+INDEX(Scenarios!AA$121:AA$200,MATCH($B486,Scenarios!$B$121:$B$200,0))</f>
        <v>0</v>
      </c>
      <c r="AB486" s="476">
        <f>INDEX(Input!$1:$1048576,AB$93,$C486*2+MIN($B486,2)+5)</f>
        <v>0.27</v>
      </c>
      <c r="AC486" s="475">
        <f>INDEX(Input!$1:$1048576,AC$93,$C486*2+MIN($B486,2)+5)
+INDEX(Scenarios!AC$121:AC$200,MATCH($B486,Scenarios!$B$121:$B$200,0))</f>
        <v>0</v>
      </c>
      <c r="AD486" s="476">
        <f>INDEX(Input!$1:$1048576,AD$93,$C486*2+MIN($B486,2)+5)</f>
        <v>0.27</v>
      </c>
      <c r="AE486" s="475">
        <f>INDEX(Input!$1:$1048576,AE$93,$C486*2+MIN($B486,2)+5)
+INDEX(Scenarios!AE$121:AE$200,MATCH($B486,Scenarios!$B$121:$B$200,0))</f>
        <v>0</v>
      </c>
      <c r="AF486" s="476">
        <f>INDEX(Input!$1:$1048576,AF$93,$C486*2+MIN($B486,2)+5)</f>
        <v>1</v>
      </c>
      <c r="AG486" s="475">
        <f>INDEX(Input!$1:$1048576,AG$93,$C486*2+MIN($B486,2)+5)
+INDEX(Scenarios!AG$121:AG$200,MATCH($B486,Scenarios!$B$121:$B$200,0))</f>
        <v>500</v>
      </c>
      <c r="AH486" s="476">
        <f>INDEX(Input!$1:$1048576,AH$93,$C486*2+MIN($B486,2)+5)</f>
        <v>0.83199999999999996</v>
      </c>
      <c r="AI486" s="475">
        <f>INDEX(Input!$1:$1048576,AI$93,$C486*2+MIN($B486,2)+5)
+INDEX(Scenarios!AI$121:AI$200,MATCH($B486,Scenarios!$B$121:$B$200,0))</f>
        <v>0</v>
      </c>
      <c r="AJ486" s="476">
        <f>INDEX(Input!$1:$1048576,AJ$93,$C486*2+MIN($B486,2)+5)</f>
        <v>0.27</v>
      </c>
      <c r="AK486" s="150">
        <f>ROUND(INDEX(Input!$1:$1048576,AK$93,$C485*2+MIN($B486,1)+5)+(Y486-VLOOKUP($C486*1000+1,$A:$HH,Y$92,FALSE)),0)</f>
        <v>2587</v>
      </c>
      <c r="AL486" s="150">
        <f>ROUND(INDEX(Input!$1:$1048576,AL$93,$C485*2+MIN($B486,1)+5)-(Y486-VLOOKUP($C486*1000+1,$A:$HH,Y$92,FALSE))/36,0)</f>
        <v>3406</v>
      </c>
      <c r="AM486" s="32" t="str">
        <f t="shared" si="1279"/>
        <v>std/std/std/std</v>
      </c>
      <c r="AN486" s="32" t="str">
        <f t="shared" si="1280"/>
        <v>$0 + 0/0/0/0.9/3.9</v>
      </c>
      <c r="AO486" s="32" t="str">
        <f t="shared" si="1281"/>
        <v>0/0/0/0.9/3.9</v>
      </c>
      <c r="AP486" s="32" t="str">
        <f t="shared" ref="AP486:AP549" si="1396">IF(X486="Y",
IF(U486="market","std",ROUND(U486*1000,0)/10)&amp;"/"
&amp;MAX(IF(V486="market","std",ROUND(V486*1000,0)/10-1),0)&amp;"/"
&amp;IF(V486="market","std",ROUND(V486*1000,0)/10)&amp;"/"
&amp;IF(W486="market","std",ROUND(W486*1000,0)/10),
IF(U486="market","std",ROUND(U486*1000,0)/10)&amp;"/"
&amp;MAX(IF(V486="market","std",ROUND(V486*1000,0)/10-1),0)&amp;"/"
&amp;IF(V486="market","std",ROUND(V486*1000,0)/10)&amp;"/"
&amp;IF(W486="market","std",ROUND(W486*1000,0)/10))</f>
        <v>0/0/0.9/3.9</v>
      </c>
      <c r="AQ486" s="536">
        <f t="shared" si="1394"/>
        <v>0.3881110633521429</v>
      </c>
      <c r="AR486" s="32"/>
      <c r="AS486" s="302"/>
      <c r="AT486" s="3">
        <f t="shared" si="1298"/>
        <v>86</v>
      </c>
      <c r="AU486" s="41" t="s">
        <v>121</v>
      </c>
      <c r="AV486" s="41" t="s">
        <v>116</v>
      </c>
      <c r="AW486" s="41" t="str">
        <f>INDEX(Input!$1:$1048576,AW$93,$C486*2+6)</f>
        <v>Kia</v>
      </c>
      <c r="AX486" s="41" t="str">
        <f>INDEX(Input!$1:$1048576,AX$93,$C486*2+6)</f>
        <v>Kia-LR - R1</v>
      </c>
      <c r="AY486" s="41" t="str">
        <f>IF(LEN(D486)=0,"",INDEX(Input!$1:$1048576,AY$93,$C486*2+6))</f>
        <v>Compact SUV (52)</v>
      </c>
      <c r="AZ486" s="41" t="str">
        <f>INDEX(Input!$1:$1048576,AZ$93,$C486*2+6)</f>
        <v>Kia Soul</v>
      </c>
      <c r="BA486" s="3">
        <f>INDEX(Input!$1:$1048576,BA$93,$C486*2+6)</f>
        <v>2020</v>
      </c>
      <c r="BB486" s="128">
        <f>INDEX(Input!$1:$1048576,BB$93,$C486*2+6)</f>
        <v>1</v>
      </c>
      <c r="BC486" s="128">
        <f>INDEX(Input!$1:$1048576,BC$93,$C486*2+6)</f>
        <v>0.7</v>
      </c>
      <c r="BD486" s="1">
        <f>INDEX(Input!$1:$1048576,BD$93,$C486*2+6)</f>
        <v>4.4999999999999998E-2</v>
      </c>
      <c r="BE486" s="1">
        <f>INDEX(Input!$1:$1048576,BE$93,$C486*2+6)</f>
        <v>4.4999999999999998E-2</v>
      </c>
      <c r="BF486" s="1">
        <f>INDEX(Input!$1:$1048576,BF$93,$C486*2+6)</f>
        <v>0.05</v>
      </c>
      <c r="BG486" s="1">
        <f>INDEX(Input!$1:$1048576,BG$93,$C486*2+6)</f>
        <v>5.45E-2</v>
      </c>
      <c r="BH486" s="1">
        <f>INDEX(Input!$1:$1048576,BH$93,$C486*2+6)</f>
        <v>5.45E-2</v>
      </c>
      <c r="BI486" s="1">
        <f>INDEX(Input!$1:$1048576,BI$93,$C486*2+6)</f>
        <v>0.05</v>
      </c>
      <c r="BJ486" s="1">
        <f>INDEX(Input!$1:$1048576,BJ$93,$C486*2+6)</f>
        <v>0.05</v>
      </c>
      <c r="BK486" s="1">
        <f>INDEX(Input!$1:$1048576,BK$93,$C486*2+6)</f>
        <v>0.05</v>
      </c>
      <c r="BL486" s="1">
        <f>INDEX(Input!$1:$1048576,BL$93,$C486*2+6)</f>
        <v>5.5E-2</v>
      </c>
      <c r="BM486" s="1">
        <f>INDEX(Input!$1:$1048576,BM$93,$C486*2+6)</f>
        <v>0.06</v>
      </c>
      <c r="BN486" s="1">
        <f>INDEX(Input!$1:$1048576,BN$93,$C486*2+6)</f>
        <v>4.4999999999999998E-2</v>
      </c>
      <c r="BO486" s="1">
        <f>INDEX(Input!$1:$1048576,BO$93,$C486*2+6)</f>
        <v>4.4999999999999998E-2</v>
      </c>
      <c r="BP486" s="1">
        <f>INDEX(Input!$1:$1048576,BP$93,$C486*2+6)</f>
        <v>0.05</v>
      </c>
      <c r="BQ486" s="1">
        <f>INDEX(Input!$1:$1048576,BQ$93,$C486*2+6)</f>
        <v>5.45E-2</v>
      </c>
      <c r="BR486" s="1">
        <f>INDEX(Input!$1:$1048576,BR$93,$C486*2+6)</f>
        <v>5.45E-2</v>
      </c>
      <c r="BS486" s="1">
        <f>INDEX(Input!$1:$1048576,BS$93,$C486*2+6)</f>
        <v>0.05</v>
      </c>
      <c r="BT486" s="1">
        <f>INDEX(Input!$1:$1048576,BT$93,$C486*2+6)</f>
        <v>0.05</v>
      </c>
      <c r="BU486" s="1">
        <f>INDEX(Input!$1:$1048576,BU$93,$C486*2+6)</f>
        <v>0.05</v>
      </c>
      <c r="BV486" s="1">
        <f>INDEX(Input!$1:$1048576,BV$93,$C486*2+6)</f>
        <v>5.5E-2</v>
      </c>
      <c r="BW486" s="1">
        <f>INDEX(Input!$1:$1048576,BW$93,$C486*2+6)</f>
        <v>0.06</v>
      </c>
      <c r="BX486" s="127">
        <f>INDEX(Input!$1:$1048576,BX$93,$C486*2+6)</f>
        <v>19985</v>
      </c>
      <c r="BY486" s="20">
        <f>INDEX(Input!$1:$1048576,BY$93,$C486*2+6)</f>
        <v>0.1</v>
      </c>
      <c r="BZ486" s="20">
        <f>INDEX(Input!$1:$1048576,BZ$93,$C486*2+6)</f>
        <v>0.1</v>
      </c>
      <c r="CA486" s="20">
        <f>INDEX(Input!$1:$1048576,CA$93,$C486*2+6)</f>
        <v>0.1</v>
      </c>
      <c r="CB486" s="20">
        <f>INDEX(Input!$1:$1048576,CB$93,$C486*2+6)</f>
        <v>0.1</v>
      </c>
      <c r="CC486" s="20">
        <f>INDEX(Input!$1:$1048576,CC$93,$C486*2+6)</f>
        <v>0.1</v>
      </c>
      <c r="CD486" s="384">
        <f>INDEX(Input!$1:$1048576,CD$93,$C486*2+6)</f>
        <v>0.1</v>
      </c>
      <c r="CE486" s="384">
        <f>INDEX(Input!$1:$1048576,CE$93,$C486*2+6)</f>
        <v>0.1</v>
      </c>
      <c r="CF486" s="384">
        <f>INDEX(Input!$1:$1048576,CF$93,$C486*2+6)</f>
        <v>0.1</v>
      </c>
      <c r="CG486" s="384">
        <f>INDEX(Input!$1:$1048576,CG$93,$C486*2+6)</f>
        <v>0.1</v>
      </c>
      <c r="CH486" s="384">
        <f>INDEX(Input!$1:$1048576,CH$93,$C486*2+6)</f>
        <v>0.1</v>
      </c>
      <c r="CI486" s="304">
        <f t="shared" ref="CI486:CI549" si="1397">E486+F486*I486+AA486*AB486</f>
        <v>1006.832975525977</v>
      </c>
      <c r="CJ486" s="16" t="str">
        <f>INDEX(Input!$1:$1048576,CJ$93,$C486*2+6)</f>
        <v>N</v>
      </c>
      <c r="CK486" s="1" t="str">
        <f t="shared" ref="CK486:CK549" si="1398">K486</f>
        <v>Market</v>
      </c>
      <c r="CL486" s="1" t="str">
        <f t="shared" ref="CL486:CL549" si="1399">L486</f>
        <v>Market</v>
      </c>
      <c r="CM486" s="1" t="str">
        <f t="shared" ref="CM486:CM549" si="1400">M486</f>
        <v>Market</v>
      </c>
      <c r="CN486" s="1" t="str">
        <f t="shared" ref="CN486:CN549" si="1401">N486</f>
        <v>Market</v>
      </c>
      <c r="CO486" s="1" t="str">
        <f t="shared" ref="CO486:CO549" si="1402">O486</f>
        <v>Market</v>
      </c>
      <c r="CP486" s="304">
        <f t="shared" ref="CP486:CP549" si="1403">Q486+G486*I486+AG486*AH486</f>
        <v>416</v>
      </c>
      <c r="CQ486" s="1">
        <f t="shared" ref="CQ486:CQ549" si="1404">S486</f>
        <v>0</v>
      </c>
      <c r="CR486" s="1">
        <f t="shared" ref="CR486:CR549" si="1405">T486</f>
        <v>0</v>
      </c>
      <c r="CS486" s="1">
        <f t="shared" ref="CS486:CS549" si="1406">U486</f>
        <v>0</v>
      </c>
      <c r="CT486" s="1">
        <f t="shared" ref="CT486:CT549" si="1407">V486</f>
        <v>8.9999999999999993E-3</v>
      </c>
      <c r="CU486" s="1">
        <f t="shared" ref="CU486:CU549" si="1408">W486</f>
        <v>3.9E-2</v>
      </c>
      <c r="CV486" s="304">
        <f t="shared" ref="CV486:CV549" si="1409">Y486+H486*I486+AC486*AD486</f>
        <v>-870</v>
      </c>
      <c r="CW486" s="20" t="s">
        <v>122</v>
      </c>
      <c r="CX486" s="20" t="s">
        <v>122</v>
      </c>
      <c r="CY486" s="20" t="s">
        <v>122</v>
      </c>
      <c r="CZ486" s="20" t="s">
        <v>122</v>
      </c>
      <c r="DA486" s="20" t="s">
        <v>122</v>
      </c>
      <c r="DB486" s="503">
        <f t="shared" ref="DB486:DB549" si="1410">Z486+AE486*AF486</f>
        <v>0</v>
      </c>
      <c r="DC486" s="127">
        <v>0</v>
      </c>
      <c r="DD486" s="127">
        <v>0</v>
      </c>
      <c r="DE486" s="127">
        <v>0</v>
      </c>
      <c r="DF486" s="127">
        <v>0</v>
      </c>
      <c r="DG486" s="127">
        <v>0</v>
      </c>
      <c r="DH486" s="127">
        <v>0</v>
      </c>
      <c r="DI486" s="127">
        <v>0</v>
      </c>
      <c r="DJ486" s="127">
        <v>0</v>
      </c>
      <c r="DK486" s="127">
        <v>0</v>
      </c>
      <c r="DL486" s="127">
        <v>0</v>
      </c>
      <c r="DM486" s="304">
        <f>INDEX(Input!$1:$1048576,DM$93,$C486*2+6)</f>
        <v>21036.84210526316</v>
      </c>
      <c r="DN486" s="20">
        <v>0</v>
      </c>
      <c r="DO486" s="20">
        <v>0</v>
      </c>
      <c r="DP486" s="20">
        <v>0</v>
      </c>
      <c r="DQ486" s="20">
        <v>0</v>
      </c>
      <c r="DR486" s="20">
        <v>0</v>
      </c>
      <c r="DS486" s="20">
        <f>INDEX(Input!$1:$1048576,DS$93,$C486*2+6)</f>
        <v>0.6</v>
      </c>
      <c r="DT486" s="20">
        <f>INDEX(Input!$1:$1048576,DT$93,$C486*2+6)</f>
        <v>0.55000000000000004</v>
      </c>
      <c r="DU486" s="20">
        <f>INDEX(Input!$1:$1048576,DU$93,$C486*2+6)</f>
        <v>0.52</v>
      </c>
      <c r="DV486" s="20">
        <f>INDEX(Input!$1:$1048576,DV$93,$C486*2+6)</f>
        <v>0.5</v>
      </c>
      <c r="DW486" s="20">
        <f>INDEX(Input!$1:$1048576,DW$93,$C486*2+6)</f>
        <v>0.45</v>
      </c>
      <c r="DX486" s="20"/>
      <c r="DY486" s="7">
        <v>9.8002906683678712E-2</v>
      </c>
      <c r="DZ486" s="7">
        <v>0</v>
      </c>
      <c r="EA486" s="7">
        <v>0.78196169282999184</v>
      </c>
      <c r="EB486" s="7">
        <v>0</v>
      </c>
      <c r="EC486" s="7">
        <v>0</v>
      </c>
      <c r="ED486" s="7">
        <v>0</v>
      </c>
      <c r="EE486" s="7">
        <v>0</v>
      </c>
      <c r="EF486" s="7">
        <v>0</v>
      </c>
      <c r="EG486" s="7">
        <v>0</v>
      </c>
      <c r="EH486" s="7">
        <v>9.503158320902972E-3</v>
      </c>
      <c r="EI486" s="7">
        <v>2.4818020246453187E-2</v>
      </c>
      <c r="EJ486" s="7">
        <v>0.17422661616074137</v>
      </c>
      <c r="EK486" s="7">
        <v>0.68481572748973385</v>
      </c>
      <c r="EL486" s="7">
        <v>0.1066364777821685</v>
      </c>
      <c r="EM486" s="7">
        <v>6.2014878539871941E-2</v>
      </c>
      <c r="EN486" s="7">
        <v>5.0482126179553714E-2</v>
      </c>
      <c r="EO486" s="7">
        <v>0.71270261955056013</v>
      </c>
      <c r="EP486" s="7">
        <v>0.10248490084866331</v>
      </c>
      <c r="EQ486" s="7">
        <v>9.0051190849978216E-2</v>
      </c>
      <c r="ER486" s="7">
        <v>4.4279162571244993E-2</v>
      </c>
      <c r="ES486" s="7">
        <v>5.8020521946457577E-2</v>
      </c>
      <c r="ET486" s="7">
        <v>0.12003540048632941</v>
      </c>
      <c r="EU486" s="6">
        <v>1520</v>
      </c>
      <c r="EV486" s="6">
        <v>0</v>
      </c>
      <c r="EW486" s="6">
        <v>1520</v>
      </c>
      <c r="EX486" s="6">
        <v>0</v>
      </c>
      <c r="EY486" s="6">
        <v>2824.2288419257166</v>
      </c>
      <c r="EZ486" s="6">
        <v>507</v>
      </c>
      <c r="FA486" s="6">
        <v>0</v>
      </c>
      <c r="FB486" s="6">
        <v>0</v>
      </c>
      <c r="FC486" s="6">
        <v>0</v>
      </c>
      <c r="FD486" s="6">
        <v>0</v>
      </c>
      <c r="FE486" s="6">
        <v>0</v>
      </c>
      <c r="FF486" s="6">
        <v>0</v>
      </c>
      <c r="FG486" s="6">
        <v>0</v>
      </c>
      <c r="FH486" s="6">
        <v>1169.7974272568447</v>
      </c>
      <c r="FI486" s="6">
        <v>1553.9796069512402</v>
      </c>
      <c r="FJ486" s="6">
        <v>2101.2110117447414</v>
      </c>
      <c r="FK486" s="6">
        <v>2251.3078348034655</v>
      </c>
      <c r="FL486" s="6">
        <v>907.07682140966324</v>
      </c>
      <c r="FM486" s="6">
        <v>2054.2288419257166</v>
      </c>
      <c r="FN486" s="6">
        <v>0</v>
      </c>
      <c r="FO486" s="6">
        <v>0</v>
      </c>
      <c r="FP486" s="6">
        <v>0</v>
      </c>
      <c r="FQ486" s="6">
        <v>0</v>
      </c>
      <c r="FR486" s="6">
        <v>0</v>
      </c>
      <c r="FS486" s="6">
        <v>0</v>
      </c>
      <c r="FT486" s="7">
        <v>0.87996459951367056</v>
      </c>
      <c r="FU486" s="7">
        <v>6.2014878539871941E-2</v>
      </c>
      <c r="FV486" s="7">
        <v>5.8020521946457577E-2</v>
      </c>
      <c r="FW486" s="6">
        <v>1519.9999999999998</v>
      </c>
      <c r="FX486" s="6">
        <v>2824.2288419257166</v>
      </c>
      <c r="FY486" s="6">
        <v>507</v>
      </c>
      <c r="FZ486" s="6">
        <v>1949.5716051445115</v>
      </c>
      <c r="GA486" s="6">
        <v>1542.1068044884596</v>
      </c>
      <c r="GB486" s="6">
        <v>18442.89319551154</v>
      </c>
      <c r="GC486" s="7">
        <v>3.3872851927908169E-2</v>
      </c>
      <c r="GD486" s="7">
        <v>3.2840709102815377E-2</v>
      </c>
      <c r="GE486" s="7"/>
      <c r="GF486" s="7"/>
      <c r="GG486" s="7">
        <v>-3.0471093112841793E-2</v>
      </c>
      <c r="GH486" s="42">
        <v>1.4945212319681596</v>
      </c>
      <c r="GI486" s="6">
        <v>14914.282169090953</v>
      </c>
      <c r="GJ486" s="14">
        <v>0.50394797582841733</v>
      </c>
      <c r="GK486" s="14">
        <v>0.50887573065309732</v>
      </c>
      <c r="GL486" s="14">
        <v>0.49605202417158262</v>
      </c>
      <c r="GM486" s="14">
        <v>0.49112426934690234</v>
      </c>
      <c r="GO486" s="5">
        <v>343.14810671672558</v>
      </c>
      <c r="GP486" s="5">
        <v>314.14940645767444</v>
      </c>
      <c r="GQ486" s="5">
        <v>535.04305713031317</v>
      </c>
      <c r="GR486" s="5">
        <v>410.15490233172511</v>
      </c>
      <c r="GS486" s="5">
        <v>339.42744393800166</v>
      </c>
      <c r="GT486" s="5">
        <v>293.4407446948278</v>
      </c>
      <c r="GU486" s="5">
        <v>258.04012322764959</v>
      </c>
      <c r="GV486" s="39" t="s">
        <v>392</v>
      </c>
      <c r="GW486" s="5">
        <v>478.23611111111109</v>
      </c>
      <c r="GX486" s="5">
        <v>358.67708333333331</v>
      </c>
      <c r="GY486" s="5">
        <v>286.94166666666666</v>
      </c>
      <c r="GZ486" s="5">
        <v>245.72198221012883</v>
      </c>
      <c r="HA486" s="5">
        <v>234.53733318419432</v>
      </c>
      <c r="HB486" s="39">
        <v>256.72379734025822</v>
      </c>
      <c r="HC486" s="5">
        <v>265.10312499999998</v>
      </c>
      <c r="HD486" s="5">
        <v>224.66580774853799</v>
      </c>
      <c r="HE486" s="5">
        <v>226.90661690283397</v>
      </c>
      <c r="HF486" s="5">
        <v>209.18438048245613</v>
      </c>
      <c r="HG486" s="5">
        <v>200.91388157894738</v>
      </c>
      <c r="HH486" s="39">
        <v>224.49098224277637</v>
      </c>
      <c r="HI486" s="16"/>
      <c r="HJ486" s="19" t="str">
        <f t="shared" ref="HJ486:HK486" si="1411">HJ485</f>
        <v>On</v>
      </c>
      <c r="HK486" s="1" t="str">
        <f t="shared" si="1411"/>
        <v>On</v>
      </c>
      <c r="HL486" s="16"/>
      <c r="HM486" s="639">
        <f t="shared" si="1342"/>
        <v>2.9403358434788716E-2</v>
      </c>
      <c r="HN486" s="639">
        <f t="shared" si="1343"/>
        <v>1.4106809950923669E-3</v>
      </c>
      <c r="HO486" s="639">
        <f t="shared" si="1344"/>
        <v>1.7317923025048877E-3</v>
      </c>
      <c r="HP486" s="644">
        <f>(FT486*$GD486-HM486)/$JF486*INDEX(Input!$1:$1048576,$JG$93,$C486*2+6)</f>
        <v>-36.116431925615807</v>
      </c>
      <c r="HQ486" s="644">
        <f>(FU486*$GD486-HN486)/$JF486*INDEX(Input!$1:$1048576,$JG$93,$C486*2+6)</f>
        <v>44.792054712780107</v>
      </c>
      <c r="HR486" s="644">
        <f>(FV486*$GD486-HO486)/$JF486*INDEX(Input!$1:$1048576,$JG$93,$C486*2+6)</f>
        <v>12.425985596274131</v>
      </c>
      <c r="HS486" s="644">
        <f t="shared" si="1345"/>
        <v>-4.209087190777641</v>
      </c>
      <c r="HT486" s="644">
        <f t="shared" si="1346"/>
        <v>104.50031666982862</v>
      </c>
      <c r="HU486" s="644">
        <f t="shared" si="1347"/>
        <v>4.2511309419274994</v>
      </c>
      <c r="HV486" s="648">
        <f t="shared" si="1348"/>
        <v>0</v>
      </c>
      <c r="HW486" s="648">
        <f t="shared" si="1349"/>
        <v>0</v>
      </c>
      <c r="HX486" s="648">
        <f t="shared" si="1350"/>
        <v>0</v>
      </c>
      <c r="HY486" s="644">
        <f>INDEX(Input!$1:$1048576,HY$93,$C486*2+6)*INDEX(Input!$1:$1048576,$JG$93,$C486*2+6)</f>
        <v>993</v>
      </c>
      <c r="HZ486" s="644">
        <f>INDEX(Input!$1:$1048576,HZ$93,$C486*2+6)*INDEX(Input!$1:$1048576,$JG$93,$C486*2+6)</f>
        <v>1216</v>
      </c>
      <c r="IA486" s="644">
        <f>INDEX(Input!$1:$1048576,IA$93,$C486*2+6)*INDEX(Input!$1:$1048576,$JG$93,$C486*2+6)</f>
        <v>120</v>
      </c>
      <c r="IB486" s="644">
        <f t="shared" si="1351"/>
        <v>952.67448088360663</v>
      </c>
      <c r="IC486" s="644">
        <f t="shared" si="1352"/>
        <v>1365.2923713826087</v>
      </c>
      <c r="ID486" s="644">
        <f>IF(AND(INDEX(Input!$1:$1048576,IA$93,$C486*2+7)="TOS",Y486&lt;=INDEX(Y:Y,MATCH(C486*1000+2,A:A))),0,1)*MAX(IA486+HR486+HU486+HX486,0%)</f>
        <v>136.67711653820163</v>
      </c>
      <c r="IE486" s="128">
        <f t="shared" si="1353"/>
        <v>0.3881110633521429</v>
      </c>
      <c r="IF486" s="128">
        <f t="shared" si="1354"/>
        <v>0.55620790172987955</v>
      </c>
      <c r="IG486" s="128">
        <f t="shared" si="1355"/>
        <v>5.5681034917977504E-2</v>
      </c>
      <c r="IH486" s="21"/>
      <c r="II486" s="19">
        <f t="shared" si="1356"/>
        <v>1490</v>
      </c>
      <c r="IJ486" s="19">
        <f t="shared" si="1357"/>
        <v>2203.2561351629856</v>
      </c>
      <c r="IK486" s="19">
        <f t="shared" si="1358"/>
        <v>242</v>
      </c>
      <c r="IL486" s="19">
        <f t="shared" si="1359"/>
        <v>29.999999999999773</v>
      </c>
      <c r="IM486" s="19">
        <f t="shared" si="1360"/>
        <v>620.97270676273092</v>
      </c>
      <c r="IN486" s="19">
        <f t="shared" si="1361"/>
        <v>265</v>
      </c>
      <c r="IO486" s="39">
        <f t="shared" si="1362"/>
        <v>0</v>
      </c>
      <c r="IP486" s="39">
        <f t="shared" si="1363"/>
        <v>0</v>
      </c>
      <c r="IQ486" s="39">
        <f t="shared" si="1364"/>
        <v>0</v>
      </c>
      <c r="IR486" s="39">
        <v>0</v>
      </c>
      <c r="IS486" s="39">
        <v>0</v>
      </c>
      <c r="IT486" s="39">
        <v>0</v>
      </c>
      <c r="IU486" s="39">
        <v>0</v>
      </c>
      <c r="IV486" s="39">
        <v>0</v>
      </c>
      <c r="IW486" s="39">
        <v>0</v>
      </c>
      <c r="IX486" s="39">
        <f>INDEX(Input!$1:$1048576,IX$93,$C486*2+6)+INDEX(Input!$1:$1048576,IX$94,$C486*2+6)</f>
        <v>1770</v>
      </c>
      <c r="IY486" s="39">
        <f>INDEX(Input!$1:$1048576,IY$93,$C486*2+6)+INDEX(Input!$1:$1048576,IY$94,$C486*2+6)</f>
        <v>2630.0624533823611</v>
      </c>
      <c r="IZ486" s="39">
        <f>INDEX(Input!$1:$1048576,IZ$93,$C486*2+6)+INDEX(Input!$1:$1048576,IZ$94,$C486*2+6)</f>
        <v>4153.7164157747848</v>
      </c>
      <c r="JA486" s="19">
        <f t="shared" si="1365"/>
        <v>1799.9999999999998</v>
      </c>
      <c r="JB486" s="19">
        <f t="shared" si="1366"/>
        <v>3251.035160145092</v>
      </c>
      <c r="JC486" s="19">
        <f t="shared" si="1367"/>
        <v>4418.7164157747848</v>
      </c>
      <c r="JD486" s="19">
        <f t="shared" si="1368"/>
        <v>2752.8900619476181</v>
      </c>
      <c r="JE486" s="21"/>
      <c r="JF486" s="1">
        <f t="shared" si="1369"/>
        <v>3.2545831732385969E-2</v>
      </c>
      <c r="JG486" s="15">
        <f>INDEX(Input!$1:$1048576,JG$93,$C486*2+6)/(1+VLOOKUP(C486*1000+INDEX(Input!$1:$1048576,JG$93+1,$C486*2+6),$A:$KK,$JK$92,FALSE))</f>
        <v>2329</v>
      </c>
      <c r="JH486" s="1">
        <f t="shared" si="1370"/>
        <v>9.0603728567790597E-3</v>
      </c>
      <c r="JI486" s="1">
        <f t="shared" si="1371"/>
        <v>4.4887230751815575E-2</v>
      </c>
      <c r="JJ486" s="1">
        <f t="shared" si="1372"/>
        <v>0</v>
      </c>
      <c r="JK486" s="1">
        <f t="shared" si="1373"/>
        <v>5.3947603608594637E-2</v>
      </c>
      <c r="JL486" s="15">
        <f t="shared" si="1374"/>
        <v>125.64396880441691</v>
      </c>
      <c r="JM486" s="15">
        <f t="shared" si="1375"/>
        <v>2454.643968804417</v>
      </c>
      <c r="JN486" s="21"/>
      <c r="JO486" s="19">
        <f>INDEX(Input!$1:$1048576,JO$93,$C486*2+6)</f>
        <v>5995.5</v>
      </c>
      <c r="JP486" s="19">
        <f>INDEX(Input!$1:$1048576,JP$93,$C486*2+6)</f>
        <v>2341.8685758720158</v>
      </c>
      <c r="JQ486" s="39">
        <f t="shared" si="1376"/>
        <v>3242.6099380523819</v>
      </c>
      <c r="JR486" s="39">
        <f t="shared" si="1377"/>
        <v>411.0214860756023</v>
      </c>
      <c r="JS486" s="39">
        <f t="shared" si="1378"/>
        <v>6.7573649873413384</v>
      </c>
      <c r="JT486" s="39">
        <f t="shared" si="1379"/>
        <v>1.3031530741354143</v>
      </c>
      <c r="JU486" s="385">
        <f>(JQ486*JM486-INDEX(Input!$1:$1048576,Input!A$18,$C486*2+6)*JL486*INDEX(Input!$1:$1048576,Input!A$19,$C486*2+6))/1000000</f>
        <v>7.9594529276255432</v>
      </c>
      <c r="JV486" s="39">
        <f t="shared" si="1380"/>
        <v>-0.54985465916853116</v>
      </c>
      <c r="JW486" s="1">
        <f t="shared" si="1381"/>
        <v>-6.461802603326644E-2</v>
      </c>
      <c r="JX486" s="19">
        <f t="shared" si="1382"/>
        <v>10371.791710622905</v>
      </c>
      <c r="JZ486" s="341"/>
      <c r="KA486" s="342"/>
      <c r="KB486" s="469">
        <f t="shared" si="1302"/>
        <v>2.3434325605641804</v>
      </c>
      <c r="KI486" s="473">
        <f t="shared" si="1383"/>
        <v>-40.32551911639348</v>
      </c>
      <c r="KJ486" s="473">
        <f t="shared" si="1384"/>
        <v>149.29237138260874</v>
      </c>
      <c r="KK486" s="473">
        <f t="shared" si="1385"/>
        <v>16.677116538201631</v>
      </c>
      <c r="KN486" s="544">
        <f t="shared" si="1386"/>
        <v>4002</v>
      </c>
      <c r="KO486" s="541">
        <f t="shared" si="1387"/>
        <v>1.4897879976956796E-2</v>
      </c>
      <c r="KP486" s="546">
        <f t="shared" si="1388"/>
        <v>92.597817013156671</v>
      </c>
      <c r="KQ486" s="546">
        <f t="shared" si="1389"/>
        <v>128.11887391159689</v>
      </c>
      <c r="KR486" s="548">
        <f t="shared" si="1390"/>
        <v>2.7930529418031456</v>
      </c>
      <c r="KS486" s="548">
        <f t="shared" si="1391"/>
        <v>2.0186768531200476</v>
      </c>
      <c r="KT486" s="473">
        <f t="shared" si="1303"/>
        <v>1580.0986321700548</v>
      </c>
      <c r="KU486" s="663">
        <f t="shared" si="1392"/>
        <v>4.0181182279281309</v>
      </c>
    </row>
    <row r="487" spans="1:307" s="26" customFormat="1" ht="15" outlineLevel="1">
      <c r="A487" s="561">
        <f t="shared" si="1278"/>
        <v>4087</v>
      </c>
      <c r="B487" s="561">
        <f t="shared" si="1296"/>
        <v>87</v>
      </c>
      <c r="C487" s="561">
        <f t="shared" si="1297"/>
        <v>4</v>
      </c>
      <c r="D487" s="561" t="str">
        <f t="shared" si="1393"/>
        <v xml:space="preserve">-500 CC, 0/0/0.9/3.9, </v>
      </c>
      <c r="E487" s="475">
        <f>INDEX(Input!$1:$1048576,E$93,$C487*2+MIN($B487,2)+5)
+INDEX(Scenarios!E$121:E$200,MATCH($B487,Scenarios!$B$121:$B$200,0))</f>
        <v>756.83297552597696</v>
      </c>
      <c r="F487" s="475">
        <f>INDEX(Input!$1:$1048576,F$93,$C487*2+MIN($B487,2)+5)
+INDEX(Scenarios!F$121:F$200,MATCH($B487,Scenarios!$B$121:$B$200,0))</f>
        <v>0</v>
      </c>
      <c r="G487" s="475">
        <f>INDEX(Input!$1:$1048576,G$93,$C487*2+MIN($B487,2)+5)
+INDEX(Scenarios!G$121:G$200,MATCH($B487,Scenarios!$B$121:$B$200,0))</f>
        <v>0</v>
      </c>
      <c r="H487" s="475">
        <f>INDEX(Input!$1:$1048576,H$93,$C487*2+MIN($B487,2)+5)
+INDEX(Scenarios!H$121:H$200,MATCH($B487,Scenarios!$B$121:$B$200,0))</f>
        <v>0</v>
      </c>
      <c r="I487" s="476">
        <f>INDEX(Input!$1:$1048576,I$93,$C487*2+MIN($B487,2)+5)</f>
        <v>0.7</v>
      </c>
      <c r="J487" s="476" t="str">
        <f>INDEX(Input!$1:$1048576,J$93,$C487*2+MIN($B487,2)+5)</f>
        <v>Market</v>
      </c>
      <c r="K487" s="476" t="str">
        <f>INDEX(Input!$1:$1048576,K$93,$C487*2+MIN($B487,2)+5)</f>
        <v>Market</v>
      </c>
      <c r="L487" s="476" t="str">
        <f>INDEX(Input!$1:$1048576,L$93,$C487*2+MIN($B487,2)+5)</f>
        <v>Market</v>
      </c>
      <c r="M487" s="476" t="str">
        <f>INDEX(Input!$1:$1048576,M$93,$C487*2+MIN($B487,2)+5)</f>
        <v>Market</v>
      </c>
      <c r="N487" s="476" t="str">
        <f>INDEX(Input!$1:$1048576,N$93,$C487*2+MIN($B487,2)+5)</f>
        <v>Market</v>
      </c>
      <c r="O487" s="476" t="str">
        <f>INDEX(Input!$1:$1048576,O$93,$C487*2+MIN($B487,2)+5)</f>
        <v>Market</v>
      </c>
      <c r="P487" s="476" t="str">
        <f>INDEX(Input!$1:$1048576,P$93,$C487*2+MIN($B487,2)+5)</f>
        <v>N</v>
      </c>
      <c r="Q487" s="477">
        <f>INDEX(Input!$1:$1048576,Q$93,$C487*2+MIN($B487,2)+5)
+INDEX(Scenarios!Q$121:Q$200,MATCH($B487,Scenarios!$B$121:$B$200,0))</f>
        <v>0</v>
      </c>
      <c r="R487" s="478">
        <f>IFERROR(MAX(0,INDEX(Input!$1:$1048576,R$93,$C487*2+MIN($B487,2)+5)
+INDEX(Scenarios!R$121:R$200,MATCH($B487,Scenarios!$B$121:$B$200,0)),),"Market")</f>
        <v>0</v>
      </c>
      <c r="S487" s="478">
        <f>IFERROR(MAX(0,INDEX(Input!$1:$1048576,S$93,$C487*2+MIN($B487,2)+5)
+INDEX(Scenarios!S$121:S$200,MATCH($B487,Scenarios!$B$121:$B$200,0)),),"Market")</f>
        <v>0</v>
      </c>
      <c r="T487" s="478">
        <f>IFERROR(MAX(0,INDEX(Input!$1:$1048576,T$93,$C487*2+MIN($B487,2)+5)
+INDEX(Scenarios!T$121:T$200,MATCH($B487,Scenarios!$B$121:$B$200,0)),),"Market")</f>
        <v>0</v>
      </c>
      <c r="U487" s="478">
        <f>IFERROR(MAX(0,INDEX(Input!$1:$1048576,U$93,$C487*2+MIN($B487,2)+5)
+INDEX(Scenarios!U$121:U$200,MATCH($B487,Scenarios!$B$121:$B$200,0)),),"Market")</f>
        <v>0</v>
      </c>
      <c r="V487" s="478">
        <f>IFERROR(MAX(0,INDEX(Input!$1:$1048576,V$93,$C487*2+MIN($B487,2)+5)
+INDEX(Scenarios!V$121:V$200,MATCH($B487,Scenarios!$B$121:$B$200,0)),),"Market")</f>
        <v>8.9999999999999993E-3</v>
      </c>
      <c r="W487" s="885">
        <f>IFERROR(MAX(0,INDEX(Input!$1:$1048576,W$93,$C487*2+MIN($B487,2)+5)-0%,),"Market")</f>
        <v>3.9E-2</v>
      </c>
      <c r="X487" s="476" t="str">
        <f>INDEX(Input!$1:$1048576,X$93,$C487*2+MIN($B487,2)+5)</f>
        <v>Y</v>
      </c>
      <c r="Y487" s="475">
        <f>INDEX(Input!$1:$1048576,Y$93,$C487*2+MIN($B487,2)+5)
++INDEX(Scenarios!Y$121:Y$200,MATCH($B487,Scenarios!$B$121:$B$200,0))</f>
        <v>-870</v>
      </c>
      <c r="Z487" s="477">
        <f>INDEX(Input!$1:$1048576,Z$93,$C487*2+MIN($B487,2)+5)
+INDEX(Scenarios!Z$121:Z$200,MATCH($B487,Scenarios!$B$121:$B$200,0))</f>
        <v>0</v>
      </c>
      <c r="AA487" s="475">
        <f>INDEX(Input!$1:$1048576,AA$93,$C487*2+MIN($B487,2)+5)
+INDEX(Scenarios!AA$121:AA$200,MATCH($B487,Scenarios!$B$121:$B$200,0))</f>
        <v>0</v>
      </c>
      <c r="AB487" s="476">
        <f>INDEX(Input!$1:$1048576,AB$93,$C487*2+MIN($B487,2)+5)</f>
        <v>0.27</v>
      </c>
      <c r="AC487" s="475">
        <f>INDEX(Input!$1:$1048576,AC$93,$C487*2+MIN($B487,2)+5)
+INDEX(Scenarios!AC$121:AC$200,MATCH($B487,Scenarios!$B$121:$B$200,0))</f>
        <v>0</v>
      </c>
      <c r="AD487" s="476">
        <f>INDEX(Input!$1:$1048576,AD$93,$C487*2+MIN($B487,2)+5)</f>
        <v>0.27</v>
      </c>
      <c r="AE487" s="475">
        <f>INDEX(Input!$1:$1048576,AE$93,$C487*2+MIN($B487,2)+5)
+INDEX(Scenarios!AE$121:AE$200,MATCH($B487,Scenarios!$B$121:$B$200,0))</f>
        <v>0</v>
      </c>
      <c r="AF487" s="476">
        <f>INDEX(Input!$1:$1048576,AF$93,$C487*2+MIN($B487,2)+5)</f>
        <v>1</v>
      </c>
      <c r="AG487" s="475">
        <f>INDEX(Input!$1:$1048576,AG$93,$C487*2+MIN($B487,2)+5)
+INDEX(Scenarios!AG$121:AG$200,MATCH($B487,Scenarios!$B$121:$B$200,0))</f>
        <v>500</v>
      </c>
      <c r="AH487" s="476">
        <f>INDEX(Input!$1:$1048576,AH$93,$C487*2+MIN($B487,2)+5)</f>
        <v>0.83199999999999996</v>
      </c>
      <c r="AI487" s="475">
        <f>INDEX(Input!$1:$1048576,AI$93,$C487*2+MIN($B487,2)+5)
+INDEX(Scenarios!AI$121:AI$200,MATCH($B487,Scenarios!$B$121:$B$200,0))</f>
        <v>0</v>
      </c>
      <c r="AJ487" s="476">
        <f>INDEX(Input!$1:$1048576,AJ$93,$C487*2+MIN($B487,2)+5)</f>
        <v>0.27</v>
      </c>
      <c r="AK487" s="150">
        <f>ROUND(INDEX(Input!$1:$1048576,AK$93,$C486*2+MIN($B487,1)+5)+(Y487-VLOOKUP($C487*1000+1,$A:$HH,Y$92,FALSE)),0)</f>
        <v>2587</v>
      </c>
      <c r="AL487" s="150">
        <f>ROUND(INDEX(Input!$1:$1048576,AL$93,$C486*2+MIN($B487,1)+5)-(Y487-VLOOKUP($C487*1000+1,$A:$HH,Y$92,FALSE))/36,0)</f>
        <v>3406</v>
      </c>
      <c r="AM487" s="32" t="str">
        <f t="shared" si="1279"/>
        <v>std/std/std/std</v>
      </c>
      <c r="AN487" s="32" t="str">
        <f t="shared" si="1280"/>
        <v>$0 + 0/0/0/0.9/3.9</v>
      </c>
      <c r="AO487" s="32" t="str">
        <f t="shared" si="1281"/>
        <v>0/0/0/0.9/3.9</v>
      </c>
      <c r="AP487" s="32" t="str">
        <f t="shared" si="1396"/>
        <v>0/0/0.9/3.9</v>
      </c>
      <c r="AQ487" s="536">
        <f t="shared" si="1394"/>
        <v>0.37054153207208629</v>
      </c>
      <c r="AR487" s="32"/>
      <c r="AS487" s="302"/>
      <c r="AT487" s="3">
        <f t="shared" si="1298"/>
        <v>87</v>
      </c>
      <c r="AU487" s="41" t="s">
        <v>121</v>
      </c>
      <c r="AV487" s="41" t="s">
        <v>116</v>
      </c>
      <c r="AW487" s="41" t="str">
        <f>INDEX(Input!$1:$1048576,AW$93,$C487*2+6)</f>
        <v>Kia</v>
      </c>
      <c r="AX487" s="41" t="str">
        <f>INDEX(Input!$1:$1048576,AX$93,$C487*2+6)</f>
        <v>Kia-LR - R1</v>
      </c>
      <c r="AY487" s="41" t="str">
        <f>IF(LEN(D487)=0,"",INDEX(Input!$1:$1048576,AY$93,$C487*2+6))</f>
        <v>Compact SUV (52)</v>
      </c>
      <c r="AZ487" s="41" t="str">
        <f>INDEX(Input!$1:$1048576,AZ$93,$C487*2+6)</f>
        <v>Kia Soul</v>
      </c>
      <c r="BA487" s="3">
        <f>INDEX(Input!$1:$1048576,BA$93,$C487*2+6)</f>
        <v>2020</v>
      </c>
      <c r="BB487" s="128">
        <f>INDEX(Input!$1:$1048576,BB$93,$C487*2+6)</f>
        <v>1</v>
      </c>
      <c r="BC487" s="128">
        <f>INDEX(Input!$1:$1048576,BC$93,$C487*2+6)</f>
        <v>0.7</v>
      </c>
      <c r="BD487" s="1">
        <f>INDEX(Input!$1:$1048576,BD$93,$C487*2+6)</f>
        <v>4.4999999999999998E-2</v>
      </c>
      <c r="BE487" s="1">
        <f>INDEX(Input!$1:$1048576,BE$93,$C487*2+6)</f>
        <v>4.4999999999999998E-2</v>
      </c>
      <c r="BF487" s="1">
        <f>INDEX(Input!$1:$1048576,BF$93,$C487*2+6)</f>
        <v>0.05</v>
      </c>
      <c r="BG487" s="1">
        <f>INDEX(Input!$1:$1048576,BG$93,$C487*2+6)</f>
        <v>5.45E-2</v>
      </c>
      <c r="BH487" s="1">
        <f>INDEX(Input!$1:$1048576,BH$93,$C487*2+6)</f>
        <v>5.45E-2</v>
      </c>
      <c r="BI487" s="1">
        <f>INDEX(Input!$1:$1048576,BI$93,$C487*2+6)</f>
        <v>0.05</v>
      </c>
      <c r="BJ487" s="1">
        <f>INDEX(Input!$1:$1048576,BJ$93,$C487*2+6)</f>
        <v>0.05</v>
      </c>
      <c r="BK487" s="1">
        <f>INDEX(Input!$1:$1048576,BK$93,$C487*2+6)</f>
        <v>0.05</v>
      </c>
      <c r="BL487" s="1">
        <f>INDEX(Input!$1:$1048576,BL$93,$C487*2+6)</f>
        <v>5.5E-2</v>
      </c>
      <c r="BM487" s="1">
        <f>INDEX(Input!$1:$1048576,BM$93,$C487*2+6)</f>
        <v>0.06</v>
      </c>
      <c r="BN487" s="1">
        <f>INDEX(Input!$1:$1048576,BN$93,$C487*2+6)</f>
        <v>4.4999999999999998E-2</v>
      </c>
      <c r="BO487" s="1">
        <f>INDEX(Input!$1:$1048576,BO$93,$C487*2+6)</f>
        <v>4.4999999999999998E-2</v>
      </c>
      <c r="BP487" s="1">
        <f>INDEX(Input!$1:$1048576,BP$93,$C487*2+6)</f>
        <v>0.05</v>
      </c>
      <c r="BQ487" s="1">
        <f>INDEX(Input!$1:$1048576,BQ$93,$C487*2+6)</f>
        <v>5.45E-2</v>
      </c>
      <c r="BR487" s="1">
        <f>INDEX(Input!$1:$1048576,BR$93,$C487*2+6)</f>
        <v>5.45E-2</v>
      </c>
      <c r="BS487" s="1">
        <f>INDEX(Input!$1:$1048576,BS$93,$C487*2+6)</f>
        <v>0.05</v>
      </c>
      <c r="BT487" s="1">
        <f>INDEX(Input!$1:$1048576,BT$93,$C487*2+6)</f>
        <v>0.05</v>
      </c>
      <c r="BU487" s="1">
        <f>INDEX(Input!$1:$1048576,BU$93,$C487*2+6)</f>
        <v>0.05</v>
      </c>
      <c r="BV487" s="1">
        <f>INDEX(Input!$1:$1048576,BV$93,$C487*2+6)</f>
        <v>5.5E-2</v>
      </c>
      <c r="BW487" s="1">
        <f>INDEX(Input!$1:$1048576,BW$93,$C487*2+6)</f>
        <v>0.06</v>
      </c>
      <c r="BX487" s="127">
        <f>INDEX(Input!$1:$1048576,BX$93,$C487*2+6)</f>
        <v>19985</v>
      </c>
      <c r="BY487" s="20">
        <f>INDEX(Input!$1:$1048576,BY$93,$C487*2+6)</f>
        <v>0.1</v>
      </c>
      <c r="BZ487" s="20">
        <f>INDEX(Input!$1:$1048576,BZ$93,$C487*2+6)</f>
        <v>0.1</v>
      </c>
      <c r="CA487" s="20">
        <f>INDEX(Input!$1:$1048576,CA$93,$C487*2+6)</f>
        <v>0.1</v>
      </c>
      <c r="CB487" s="20">
        <f>INDEX(Input!$1:$1048576,CB$93,$C487*2+6)</f>
        <v>0.1</v>
      </c>
      <c r="CC487" s="20">
        <f>INDEX(Input!$1:$1048576,CC$93,$C487*2+6)</f>
        <v>0.1</v>
      </c>
      <c r="CD487" s="384">
        <f>INDEX(Input!$1:$1048576,CD$93,$C487*2+6)</f>
        <v>0.1</v>
      </c>
      <c r="CE487" s="384">
        <f>INDEX(Input!$1:$1048576,CE$93,$C487*2+6)</f>
        <v>0.1</v>
      </c>
      <c r="CF487" s="384">
        <f>INDEX(Input!$1:$1048576,CF$93,$C487*2+6)</f>
        <v>0.1</v>
      </c>
      <c r="CG487" s="384">
        <f>INDEX(Input!$1:$1048576,CG$93,$C487*2+6)</f>
        <v>0.1</v>
      </c>
      <c r="CH487" s="384">
        <f>INDEX(Input!$1:$1048576,CH$93,$C487*2+6)</f>
        <v>0.1</v>
      </c>
      <c r="CI487" s="304">
        <f t="shared" si="1397"/>
        <v>756.83297552597696</v>
      </c>
      <c r="CJ487" s="16" t="str">
        <f>INDEX(Input!$1:$1048576,CJ$93,$C487*2+6)</f>
        <v>N</v>
      </c>
      <c r="CK487" s="1" t="str">
        <f t="shared" si="1398"/>
        <v>Market</v>
      </c>
      <c r="CL487" s="1" t="str">
        <f t="shared" si="1399"/>
        <v>Market</v>
      </c>
      <c r="CM487" s="1" t="str">
        <f t="shared" si="1400"/>
        <v>Market</v>
      </c>
      <c r="CN487" s="1" t="str">
        <f t="shared" si="1401"/>
        <v>Market</v>
      </c>
      <c r="CO487" s="1" t="str">
        <f t="shared" si="1402"/>
        <v>Market</v>
      </c>
      <c r="CP487" s="304">
        <f t="shared" si="1403"/>
        <v>416</v>
      </c>
      <c r="CQ487" s="1">
        <f t="shared" si="1404"/>
        <v>0</v>
      </c>
      <c r="CR487" s="1">
        <f t="shared" si="1405"/>
        <v>0</v>
      </c>
      <c r="CS487" s="1">
        <f t="shared" si="1406"/>
        <v>0</v>
      </c>
      <c r="CT487" s="1">
        <f t="shared" si="1407"/>
        <v>8.9999999999999993E-3</v>
      </c>
      <c r="CU487" s="1">
        <f t="shared" si="1408"/>
        <v>3.9E-2</v>
      </c>
      <c r="CV487" s="304">
        <f t="shared" si="1409"/>
        <v>-870</v>
      </c>
      <c r="CW487" s="20" t="s">
        <v>122</v>
      </c>
      <c r="CX487" s="20" t="s">
        <v>122</v>
      </c>
      <c r="CY487" s="20" t="s">
        <v>122</v>
      </c>
      <c r="CZ487" s="20" t="s">
        <v>122</v>
      </c>
      <c r="DA487" s="20" t="s">
        <v>122</v>
      </c>
      <c r="DB487" s="503">
        <f t="shared" si="1410"/>
        <v>0</v>
      </c>
      <c r="DC487" s="127">
        <v>0</v>
      </c>
      <c r="DD487" s="127">
        <v>0</v>
      </c>
      <c r="DE487" s="127">
        <v>0</v>
      </c>
      <c r="DF487" s="127">
        <v>0</v>
      </c>
      <c r="DG487" s="127">
        <v>0</v>
      </c>
      <c r="DH487" s="127">
        <v>0</v>
      </c>
      <c r="DI487" s="127">
        <v>0</v>
      </c>
      <c r="DJ487" s="127">
        <v>0</v>
      </c>
      <c r="DK487" s="127">
        <v>0</v>
      </c>
      <c r="DL487" s="127">
        <v>0</v>
      </c>
      <c r="DM487" s="304">
        <f>INDEX(Input!$1:$1048576,DM$93,$C487*2+6)</f>
        <v>21036.84210526316</v>
      </c>
      <c r="DN487" s="20">
        <v>0</v>
      </c>
      <c r="DO487" s="20">
        <v>0</v>
      </c>
      <c r="DP487" s="20">
        <v>0</v>
      </c>
      <c r="DQ487" s="20">
        <v>0</v>
      </c>
      <c r="DR487" s="20">
        <v>0</v>
      </c>
      <c r="DS487" s="20">
        <f>INDEX(Input!$1:$1048576,DS$93,$C487*2+6)</f>
        <v>0.6</v>
      </c>
      <c r="DT487" s="20">
        <f>INDEX(Input!$1:$1048576,DT$93,$C487*2+6)</f>
        <v>0.55000000000000004</v>
      </c>
      <c r="DU487" s="20">
        <f>INDEX(Input!$1:$1048576,DU$93,$C487*2+6)</f>
        <v>0.52</v>
      </c>
      <c r="DV487" s="20">
        <f>INDEX(Input!$1:$1048576,DV$93,$C487*2+6)</f>
        <v>0.5</v>
      </c>
      <c r="DW487" s="20">
        <f>INDEX(Input!$1:$1048576,DW$93,$C487*2+6)</f>
        <v>0.45</v>
      </c>
      <c r="DX487" s="20"/>
      <c r="DY487" s="7">
        <v>9.4347439735842586E-2</v>
      </c>
      <c r="DZ487" s="7">
        <v>0</v>
      </c>
      <c r="EA487" s="7">
        <v>0.77078809579301633</v>
      </c>
      <c r="EB487" s="7">
        <v>0</v>
      </c>
      <c r="EC487" s="7">
        <v>0</v>
      </c>
      <c r="ED487" s="7">
        <v>0</v>
      </c>
      <c r="EE487" s="7">
        <v>0</v>
      </c>
      <c r="EF487" s="7">
        <v>0</v>
      </c>
      <c r="EG487" s="7">
        <v>0</v>
      </c>
      <c r="EH487" s="7">
        <v>9.495250948718564E-3</v>
      </c>
      <c r="EI487" s="7">
        <v>2.4790778461121012E-2</v>
      </c>
      <c r="EJ487" s="7">
        <v>0.17406477055501721</v>
      </c>
      <c r="EK487" s="7">
        <v>0.68496852860592106</v>
      </c>
      <c r="EL487" s="7">
        <v>0.10668067142922219</v>
      </c>
      <c r="EM487" s="7">
        <v>6.9728187136397599E-2</v>
      </c>
      <c r="EN487" s="7">
        <v>5.0497282248655434E-2</v>
      </c>
      <c r="EO487" s="7">
        <v>0.7126919042806279</v>
      </c>
      <c r="EP487" s="7">
        <v>0.10247849092276379</v>
      </c>
      <c r="EQ487" s="7">
        <v>9.0082194067783172E-2</v>
      </c>
      <c r="ER487" s="7">
        <v>4.4250128480169647E-2</v>
      </c>
      <c r="ES487" s="7">
        <v>6.5136277334743503E-2</v>
      </c>
      <c r="ET487" s="7">
        <v>0.13486446447114117</v>
      </c>
      <c r="EU487" s="6">
        <v>1270</v>
      </c>
      <c r="EV487" s="6">
        <v>0</v>
      </c>
      <c r="EW487" s="6">
        <v>1270</v>
      </c>
      <c r="EX487" s="6">
        <v>0</v>
      </c>
      <c r="EY487" s="6">
        <v>2824.2212435839442</v>
      </c>
      <c r="EZ487" s="6">
        <v>507</v>
      </c>
      <c r="FA487" s="6">
        <v>0</v>
      </c>
      <c r="FB487" s="6">
        <v>0</v>
      </c>
      <c r="FC487" s="6">
        <v>0</v>
      </c>
      <c r="FD487" s="6">
        <v>0</v>
      </c>
      <c r="FE487" s="6">
        <v>0</v>
      </c>
      <c r="FF487" s="6">
        <v>0</v>
      </c>
      <c r="FG487" s="6">
        <v>0</v>
      </c>
      <c r="FH487" s="6">
        <v>1169.7939778212467</v>
      </c>
      <c r="FI487" s="6">
        <v>1553.9796069512395</v>
      </c>
      <c r="FJ487" s="6">
        <v>2101.2110117447401</v>
      </c>
      <c r="FK487" s="6">
        <v>2251.3078348034664</v>
      </c>
      <c r="FL487" s="6">
        <v>907.07682140966369</v>
      </c>
      <c r="FM487" s="6">
        <v>2054.2212435839442</v>
      </c>
      <c r="FN487" s="6">
        <v>0</v>
      </c>
      <c r="FO487" s="6">
        <v>0</v>
      </c>
      <c r="FP487" s="6">
        <v>0</v>
      </c>
      <c r="FQ487" s="6">
        <v>0</v>
      </c>
      <c r="FR487" s="6">
        <v>0</v>
      </c>
      <c r="FS487" s="6">
        <v>0</v>
      </c>
      <c r="FT487" s="7">
        <v>0.86513553552885891</v>
      </c>
      <c r="FU487" s="7">
        <v>6.9728187136397599E-2</v>
      </c>
      <c r="FV487" s="7">
        <v>6.5136277334743503E-2</v>
      </c>
      <c r="FW487" s="6">
        <v>1270.0000000000002</v>
      </c>
      <c r="FX487" s="6">
        <v>2824.2212435839442</v>
      </c>
      <c r="FY487" s="6">
        <v>507</v>
      </c>
      <c r="FZ487" s="6">
        <v>1949.5716051445115</v>
      </c>
      <c r="GA487" s="6">
        <v>1328.6740501175766</v>
      </c>
      <c r="GB487" s="6">
        <v>18656.325949882423</v>
      </c>
      <c r="GC487" s="7">
        <v>3.3872851927908169E-2</v>
      </c>
      <c r="GD487" s="7">
        <v>3.2025036982029922E-2</v>
      </c>
      <c r="GE487" s="7"/>
      <c r="GF487" s="7"/>
      <c r="GG487" s="7">
        <v>-5.4551501887439673E-2</v>
      </c>
      <c r="GH487" s="42">
        <v>1.7558641621212179</v>
      </c>
      <c r="GI487" s="6">
        <v>12710.534008952087</v>
      </c>
      <c r="GJ487" s="14">
        <v>0.50394797582841744</v>
      </c>
      <c r="GK487" s="14">
        <v>0.50887573065309744</v>
      </c>
      <c r="GL487" s="14">
        <v>0.49605202417158267</v>
      </c>
      <c r="GM487" s="14">
        <v>0.49112426934690268</v>
      </c>
      <c r="GO487" s="5">
        <v>343.14810671672558</v>
      </c>
      <c r="GP487" s="5">
        <v>318.91892952659737</v>
      </c>
      <c r="GQ487" s="5">
        <v>535.04305713031317</v>
      </c>
      <c r="GR487" s="5">
        <v>410.15490233172511</v>
      </c>
      <c r="GS487" s="5">
        <v>339.42744393800166</v>
      </c>
      <c r="GT487" s="5">
        <v>293.4407446948278</v>
      </c>
      <c r="GU487" s="5">
        <v>258.04012322764959</v>
      </c>
      <c r="GV487" s="39" t="s">
        <v>392</v>
      </c>
      <c r="GW487" s="5">
        <v>478.23611111111109</v>
      </c>
      <c r="GX487" s="5">
        <v>358.67708333333331</v>
      </c>
      <c r="GY487" s="5">
        <v>286.94166666666666</v>
      </c>
      <c r="GZ487" s="5">
        <v>245.72198221012883</v>
      </c>
      <c r="HA487" s="5">
        <v>234.53733318419432</v>
      </c>
      <c r="HB487" s="39">
        <v>256.71171615065583</v>
      </c>
      <c r="HC487" s="5">
        <v>265.10312499999998</v>
      </c>
      <c r="HD487" s="5">
        <v>224.66580774853799</v>
      </c>
      <c r="HE487" s="5">
        <v>226.90661690283397</v>
      </c>
      <c r="HF487" s="5">
        <v>209.18438048245613</v>
      </c>
      <c r="HG487" s="5">
        <v>200.91388157894738</v>
      </c>
      <c r="HH487" s="39">
        <v>224.49179039165628</v>
      </c>
      <c r="HI487" s="16"/>
      <c r="HJ487" s="19" t="str">
        <f t="shared" ref="HJ487:HK487" si="1412">HJ486</f>
        <v>On</v>
      </c>
      <c r="HK487" s="1" t="str">
        <f t="shared" si="1412"/>
        <v>On</v>
      </c>
      <c r="HL487" s="16"/>
      <c r="HM487" s="639">
        <f t="shared" si="1342"/>
        <v>2.9403358434788716E-2</v>
      </c>
      <c r="HN487" s="639">
        <f t="shared" si="1343"/>
        <v>1.4106809950923669E-3</v>
      </c>
      <c r="HO487" s="639">
        <f t="shared" si="1344"/>
        <v>1.7317923025048877E-3</v>
      </c>
      <c r="HP487" s="644">
        <f>(FT487*$GD487-HM487)/$JF487*INDEX(Input!$1:$1048576,$JG$93,$C487*2+6)</f>
        <v>-121.464204803887</v>
      </c>
      <c r="HQ487" s="644">
        <f>(FU487*$GD487-HN487)/$JF487*INDEX(Input!$1:$1048576,$JG$93,$C487*2+6)</f>
        <v>58.849079001727716</v>
      </c>
      <c r="HR487" s="644">
        <f>(FV487*$GD487-HO487)/$JF487*INDEX(Input!$1:$1048576,$JG$93,$C487*2+6)</f>
        <v>25.346728928704575</v>
      </c>
      <c r="HS487" s="644">
        <f t="shared" si="1345"/>
        <v>28.504495200313865</v>
      </c>
      <c r="HT487" s="644">
        <f t="shared" si="1346"/>
        <v>106.64614476755493</v>
      </c>
      <c r="HU487" s="644">
        <f t="shared" si="1347"/>
        <v>2.1040175370398031</v>
      </c>
      <c r="HV487" s="648">
        <f t="shared" si="1348"/>
        <v>0</v>
      </c>
      <c r="HW487" s="648">
        <f t="shared" si="1349"/>
        <v>0</v>
      </c>
      <c r="HX487" s="648">
        <f t="shared" si="1350"/>
        <v>0</v>
      </c>
      <c r="HY487" s="644">
        <f>INDEX(Input!$1:$1048576,HY$93,$C487*2+6)*INDEX(Input!$1:$1048576,$JG$93,$C487*2+6)</f>
        <v>993</v>
      </c>
      <c r="HZ487" s="644">
        <f>INDEX(Input!$1:$1048576,HZ$93,$C487*2+6)*INDEX(Input!$1:$1048576,$JG$93,$C487*2+6)</f>
        <v>1216</v>
      </c>
      <c r="IA487" s="644">
        <f>INDEX(Input!$1:$1048576,IA$93,$C487*2+6)*INDEX(Input!$1:$1048576,$JG$93,$C487*2+6)</f>
        <v>120</v>
      </c>
      <c r="IB487" s="644">
        <f t="shared" si="1351"/>
        <v>900.04029039642671</v>
      </c>
      <c r="IC487" s="644">
        <f t="shared" si="1352"/>
        <v>1381.4952237692826</v>
      </c>
      <c r="ID487" s="644">
        <f>IF(AND(INDEX(Input!$1:$1048576,IA$93,$C487*2+7)="TOS",Y487&lt;=INDEX(Y:Y,MATCH(C487*1000+2,A:A))),0,1)*MAX(IA487+HR487+HU487+HX487,0%)</f>
        <v>147.45074646574437</v>
      </c>
      <c r="IE487" s="128">
        <f t="shared" si="1353"/>
        <v>0.37054153207208629</v>
      </c>
      <c r="IF487" s="128">
        <f t="shared" si="1354"/>
        <v>0.56875382383189799</v>
      </c>
      <c r="IG487" s="128">
        <f t="shared" si="1355"/>
        <v>6.0704644096015677E-2</v>
      </c>
      <c r="IH487" s="21"/>
      <c r="II487" s="19">
        <f t="shared" si="1356"/>
        <v>1490</v>
      </c>
      <c r="IJ487" s="19">
        <f t="shared" si="1357"/>
        <v>2203.2561351629856</v>
      </c>
      <c r="IK487" s="19">
        <f t="shared" si="1358"/>
        <v>242</v>
      </c>
      <c r="IL487" s="19">
        <f t="shared" si="1359"/>
        <v>-219.99999999999977</v>
      </c>
      <c r="IM487" s="19">
        <f t="shared" si="1360"/>
        <v>620.96510842095859</v>
      </c>
      <c r="IN487" s="19">
        <f t="shared" si="1361"/>
        <v>265</v>
      </c>
      <c r="IO487" s="39">
        <f t="shared" si="1362"/>
        <v>0</v>
      </c>
      <c r="IP487" s="39">
        <f t="shared" si="1363"/>
        <v>0</v>
      </c>
      <c r="IQ487" s="39">
        <f t="shared" si="1364"/>
        <v>0</v>
      </c>
      <c r="IR487" s="39">
        <v>0</v>
      </c>
      <c r="IS487" s="39">
        <v>0</v>
      </c>
      <c r="IT487" s="39">
        <v>0</v>
      </c>
      <c r="IU487" s="39">
        <v>0</v>
      </c>
      <c r="IV487" s="39">
        <v>0</v>
      </c>
      <c r="IW487" s="39">
        <v>0</v>
      </c>
      <c r="IX487" s="39">
        <f>INDEX(Input!$1:$1048576,IX$93,$C487*2+6)+INDEX(Input!$1:$1048576,IX$94,$C487*2+6)</f>
        <v>1770</v>
      </c>
      <c r="IY487" s="39">
        <f>INDEX(Input!$1:$1048576,IY$93,$C487*2+6)+INDEX(Input!$1:$1048576,IY$94,$C487*2+6)</f>
        <v>2630.0624533823611</v>
      </c>
      <c r="IZ487" s="39">
        <f>INDEX(Input!$1:$1048576,IZ$93,$C487*2+6)+INDEX(Input!$1:$1048576,IZ$94,$C487*2+6)</f>
        <v>4153.7164157747848</v>
      </c>
      <c r="JA487" s="19">
        <f t="shared" si="1365"/>
        <v>1550.0000000000002</v>
      </c>
      <c r="JB487" s="19">
        <f t="shared" si="1366"/>
        <v>3251.0275618033197</v>
      </c>
      <c r="JC487" s="19">
        <f t="shared" si="1367"/>
        <v>4418.7164157747848</v>
      </c>
      <c r="JD487" s="19">
        <f t="shared" si="1368"/>
        <v>2691.6103392510945</v>
      </c>
      <c r="JE487" s="21"/>
      <c r="JF487" s="1">
        <f t="shared" si="1369"/>
        <v>3.2545831732385969E-2</v>
      </c>
      <c r="JG487" s="15">
        <f>INDEX(Input!$1:$1048576,JG$93,$C487*2+6)/(1+VLOOKUP(C487*1000+INDEX(Input!$1:$1048576,JG$93+1,$C487*2+6),$A:$KK,$JK$92,FALSE))</f>
        <v>2329</v>
      </c>
      <c r="JH487" s="1">
        <f t="shared" si="1370"/>
        <v>-1.6001887880401335E-2</v>
      </c>
      <c r="JI487" s="1">
        <f t="shared" si="1371"/>
        <v>5.8932871406143658E-2</v>
      </c>
      <c r="JJ487" s="1">
        <f t="shared" si="1372"/>
        <v>0</v>
      </c>
      <c r="JK487" s="1">
        <f t="shared" si="1373"/>
        <v>4.2930983525742324E-2</v>
      </c>
      <c r="JL487" s="15">
        <f t="shared" si="1374"/>
        <v>99.986260631453874</v>
      </c>
      <c r="JM487" s="15">
        <f t="shared" si="1375"/>
        <v>2428.9862606314537</v>
      </c>
      <c r="JN487" s="21"/>
      <c r="JO487" s="19">
        <f>INDEX(Input!$1:$1048576,JO$93,$C487*2+6)</f>
        <v>5995.5</v>
      </c>
      <c r="JP487" s="19">
        <f>INDEX(Input!$1:$1048576,JP$93,$C487*2+6)</f>
        <v>2341.8685758720158</v>
      </c>
      <c r="JQ487" s="39">
        <f t="shared" si="1376"/>
        <v>3303.8896607489055</v>
      </c>
      <c r="JR487" s="39">
        <f t="shared" si="1377"/>
        <v>349.74176337907875</v>
      </c>
      <c r="JS487" s="39">
        <f t="shared" si="1378"/>
        <v>6.5378845330144744</v>
      </c>
      <c r="JT487" s="39">
        <f t="shared" si="1379"/>
        <v>1.08367261980855</v>
      </c>
      <c r="JU487" s="385">
        <f>(JQ487*JM487-INDEX(Input!$1:$1048576,Input!A$18,$C487*2+6)*JL487*INDEX(Input!$1:$1048576,Input!A$19,$C487*2+6))/1000000</f>
        <v>8.0251025926014066</v>
      </c>
      <c r="JV487" s="39">
        <f t="shared" si="1380"/>
        <v>-0.48420499419266783</v>
      </c>
      <c r="JW487" s="1">
        <f t="shared" si="1381"/>
        <v>-5.6902984085817322E-2</v>
      </c>
      <c r="JX487" s="19">
        <f t="shared" si="1382"/>
        <v>10838.215300429449</v>
      </c>
      <c r="JZ487" s="341"/>
      <c r="KA487" s="342"/>
      <c r="KB487" s="469">
        <f t="shared" si="1302"/>
        <v>2.3434325605641804</v>
      </c>
      <c r="KI487" s="473">
        <f t="shared" si="1383"/>
        <v>-92.959709603573287</v>
      </c>
      <c r="KJ487" s="473">
        <f t="shared" si="1384"/>
        <v>165.49522376928235</v>
      </c>
      <c r="KK487" s="473">
        <f t="shared" si="1385"/>
        <v>27.450746465744373</v>
      </c>
      <c r="KN487" s="544">
        <f t="shared" si="1386"/>
        <v>4002</v>
      </c>
      <c r="KO487" s="541">
        <f t="shared" si="1387"/>
        <v>4.2894357541920503E-3</v>
      </c>
      <c r="KP487" s="546">
        <f t="shared" si="1388"/>
        <v>8.627722833497387</v>
      </c>
      <c r="KQ487" s="546">
        <f t="shared" si="1389"/>
        <v>66.839151215073343</v>
      </c>
      <c r="KR487" s="548">
        <f t="shared" si="1390"/>
        <v>8.630966432750764</v>
      </c>
      <c r="KS487" s="548">
        <f t="shared" si="1391"/>
        <v>1.1141013135756284</v>
      </c>
      <c r="KT487" s="473">
        <f t="shared" si="1303"/>
        <v>1580.0986321700548</v>
      </c>
      <c r="KU487" s="663">
        <f t="shared" si="1392"/>
        <v>3.9890312985599108</v>
      </c>
    </row>
    <row r="488" spans="1:307" s="26" customFormat="1" ht="15" outlineLevel="1">
      <c r="A488" s="561">
        <f t="shared" si="1278"/>
        <v>4088</v>
      </c>
      <c r="B488" s="561">
        <f t="shared" si="1296"/>
        <v>88</v>
      </c>
      <c r="C488" s="561">
        <f t="shared" si="1297"/>
        <v>4</v>
      </c>
      <c r="D488" s="561" t="str">
        <f t="shared" si="1393"/>
        <v/>
      </c>
      <c r="E488" s="475">
        <f>INDEX(Input!$1:$1048576,E$93,$C488*2+MIN($B488,2)+5)
+INDEX(Scenarios!E$121:E$200,MATCH($B488,Scenarios!$B$121:$B$200,0))</f>
        <v>1256.832975525977</v>
      </c>
      <c r="F488" s="475">
        <f>INDEX(Input!$1:$1048576,F$93,$C488*2+MIN($B488,2)+5)
+INDEX(Scenarios!F$121:F$200,MATCH($B488,Scenarios!$B$121:$B$200,0))</f>
        <v>0</v>
      </c>
      <c r="G488" s="475">
        <f>INDEX(Input!$1:$1048576,G$93,$C488*2+MIN($B488,2)+5)
+INDEX(Scenarios!G$121:G$200,MATCH($B488,Scenarios!$B$121:$B$200,0))</f>
        <v>0</v>
      </c>
      <c r="H488" s="475">
        <f>INDEX(Input!$1:$1048576,H$93,$C488*2+MIN($B488,2)+5)
+INDEX(Scenarios!H$121:H$200,MATCH($B488,Scenarios!$B$121:$B$200,0))</f>
        <v>0</v>
      </c>
      <c r="I488" s="476">
        <f>INDEX(Input!$1:$1048576,I$93,$C488*2+MIN($B488,2)+5)</f>
        <v>0.7</v>
      </c>
      <c r="J488" s="476" t="str">
        <f>INDEX(Input!$1:$1048576,J$93,$C488*2+MIN($B488,2)+5)</f>
        <v>Market</v>
      </c>
      <c r="K488" s="476" t="str">
        <f>INDEX(Input!$1:$1048576,K$93,$C488*2+MIN($B488,2)+5)</f>
        <v>Market</v>
      </c>
      <c r="L488" s="476" t="str">
        <f>INDEX(Input!$1:$1048576,L$93,$C488*2+MIN($B488,2)+5)</f>
        <v>Market</v>
      </c>
      <c r="M488" s="476" t="str">
        <f>INDEX(Input!$1:$1048576,M$93,$C488*2+MIN($B488,2)+5)</f>
        <v>Market</v>
      </c>
      <c r="N488" s="476" t="str">
        <f>INDEX(Input!$1:$1048576,N$93,$C488*2+MIN($B488,2)+5)</f>
        <v>Market</v>
      </c>
      <c r="O488" s="476" t="str">
        <f>INDEX(Input!$1:$1048576,O$93,$C488*2+MIN($B488,2)+5)</f>
        <v>Market</v>
      </c>
      <c r="P488" s="476" t="str">
        <f>INDEX(Input!$1:$1048576,P$93,$C488*2+MIN($B488,2)+5)</f>
        <v>N</v>
      </c>
      <c r="Q488" s="477">
        <f>INDEX(Input!$1:$1048576,Q$93,$C488*2+MIN($B488,2)+5)
+INDEX(Scenarios!Q$121:Q$200,MATCH($B488,Scenarios!$B$121:$B$200,0))</f>
        <v>0</v>
      </c>
      <c r="R488" s="478">
        <f>IFERROR(MAX(0,INDEX(Input!$1:$1048576,R$93,$C488*2+MIN($B488,2)+5)
+INDEX(Scenarios!R$121:R$200,MATCH($B488,Scenarios!$B$121:$B$200,0)),),"Market")</f>
        <v>0</v>
      </c>
      <c r="S488" s="478">
        <f>IFERROR(MAX(0,INDEX(Input!$1:$1048576,S$93,$C488*2+MIN($B488,2)+5)
+INDEX(Scenarios!S$121:S$200,MATCH($B488,Scenarios!$B$121:$B$200,0)),),"Market")</f>
        <v>0</v>
      </c>
      <c r="T488" s="478">
        <f>IFERROR(MAX(0,INDEX(Input!$1:$1048576,T$93,$C488*2+MIN($B488,2)+5)
+INDEX(Scenarios!T$121:T$200,MATCH($B488,Scenarios!$B$121:$B$200,0)),),"Market")</f>
        <v>0</v>
      </c>
      <c r="U488" s="478">
        <f>IFERROR(MAX(0,INDEX(Input!$1:$1048576,U$93,$C488*2+MIN($B488,2)+5)
+INDEX(Scenarios!U$121:U$200,MATCH($B488,Scenarios!$B$121:$B$200,0)),),"Market")</f>
        <v>0</v>
      </c>
      <c r="V488" s="478">
        <f>IFERROR(MAX(0,INDEX(Input!$1:$1048576,V$93,$C488*2+MIN($B488,2)+5)
+INDEX(Scenarios!V$121:V$200,MATCH($B488,Scenarios!$B$121:$B$200,0)),),"Market")</f>
        <v>1.9E-2</v>
      </c>
      <c r="W488" s="885">
        <f>IFERROR(MAX(0,INDEX(Input!$1:$1048576,W$93,$C488*2+MIN($B488,2)+5)-0%,),"Market")</f>
        <v>3.9E-2</v>
      </c>
      <c r="X488" s="476" t="str">
        <f>INDEX(Input!$1:$1048576,X$93,$C488*2+MIN($B488,2)+5)</f>
        <v>Y</v>
      </c>
      <c r="Y488" s="475">
        <f>INDEX(Input!$1:$1048576,Y$93,$C488*2+MIN($B488,2)+5)
++INDEX(Scenarios!Y$121:Y$200,MATCH($B488,Scenarios!$B$121:$B$200,0))</f>
        <v>-870</v>
      </c>
      <c r="Z488" s="477">
        <f>INDEX(Input!$1:$1048576,Z$93,$C488*2+MIN($B488,2)+5)
+INDEX(Scenarios!Z$121:Z$200,MATCH($B488,Scenarios!$B$121:$B$200,0))</f>
        <v>0</v>
      </c>
      <c r="AA488" s="475">
        <f>INDEX(Input!$1:$1048576,AA$93,$C488*2+MIN($B488,2)+5)
+INDEX(Scenarios!AA$121:AA$200,MATCH($B488,Scenarios!$B$121:$B$200,0))</f>
        <v>0</v>
      </c>
      <c r="AB488" s="476">
        <f>INDEX(Input!$1:$1048576,AB$93,$C488*2+MIN($B488,2)+5)</f>
        <v>0.27</v>
      </c>
      <c r="AC488" s="475">
        <f>INDEX(Input!$1:$1048576,AC$93,$C488*2+MIN($B488,2)+5)
+INDEX(Scenarios!AC$121:AC$200,MATCH($B488,Scenarios!$B$121:$B$200,0))</f>
        <v>0</v>
      </c>
      <c r="AD488" s="476">
        <f>INDEX(Input!$1:$1048576,AD$93,$C488*2+MIN($B488,2)+5)</f>
        <v>0.27</v>
      </c>
      <c r="AE488" s="475">
        <f>INDEX(Input!$1:$1048576,AE$93,$C488*2+MIN($B488,2)+5)
+INDEX(Scenarios!AE$121:AE$200,MATCH($B488,Scenarios!$B$121:$B$200,0))</f>
        <v>0</v>
      </c>
      <c r="AF488" s="476">
        <f>INDEX(Input!$1:$1048576,AF$93,$C488*2+MIN($B488,2)+5)</f>
        <v>1</v>
      </c>
      <c r="AG488" s="475">
        <f>INDEX(Input!$1:$1048576,AG$93,$C488*2+MIN($B488,2)+5)
+INDEX(Scenarios!AG$121:AG$200,MATCH($B488,Scenarios!$B$121:$B$200,0))</f>
        <v>500</v>
      </c>
      <c r="AH488" s="476">
        <f>INDEX(Input!$1:$1048576,AH$93,$C488*2+MIN($B488,2)+5)</f>
        <v>0.83199999999999996</v>
      </c>
      <c r="AI488" s="475">
        <f>INDEX(Input!$1:$1048576,AI$93,$C488*2+MIN($B488,2)+5)
+INDEX(Scenarios!AI$121:AI$200,MATCH($B488,Scenarios!$B$121:$B$200,0))</f>
        <v>0</v>
      </c>
      <c r="AJ488" s="476">
        <f>INDEX(Input!$1:$1048576,AJ$93,$C488*2+MIN($B488,2)+5)</f>
        <v>0.27</v>
      </c>
      <c r="AK488" s="150">
        <f>ROUND(INDEX(Input!$1:$1048576,AK$93,$C487*2+MIN($B488,1)+5)+(Y488-VLOOKUP($C488*1000+1,$A:$HH,Y$92,FALSE)),0)</f>
        <v>2587</v>
      </c>
      <c r="AL488" s="150">
        <f>ROUND(INDEX(Input!$1:$1048576,AL$93,$C487*2+MIN($B488,1)+5)-(Y488-VLOOKUP($C488*1000+1,$A:$HH,Y$92,FALSE))/36,0)</f>
        <v>3406</v>
      </c>
      <c r="AM488" s="32" t="str">
        <f t="shared" si="1279"/>
        <v>std/std/std/std</v>
      </c>
      <c r="AN488" s="32" t="str">
        <f t="shared" si="1280"/>
        <v>$0 + 0/0/0/1.9/3.9</v>
      </c>
      <c r="AO488" s="32" t="str">
        <f t="shared" si="1281"/>
        <v>0/0/0/1.9/3.9</v>
      </c>
      <c r="AP488" s="32" t="str">
        <f t="shared" si="1396"/>
        <v>0/0.9/1.9/3.9</v>
      </c>
      <c r="AQ488" s="536">
        <f t="shared" si="1394"/>
        <v>0</v>
      </c>
      <c r="AR488" s="32"/>
      <c r="AS488" s="302"/>
      <c r="AT488" s="3">
        <f t="shared" si="1298"/>
        <v>88</v>
      </c>
      <c r="AU488" s="41" t="s">
        <v>121</v>
      </c>
      <c r="AV488" s="41" t="s">
        <v>116</v>
      </c>
      <c r="AW488" s="41" t="str">
        <f>INDEX(Input!$1:$1048576,AW$93,$C488*2+6)</f>
        <v>Kia</v>
      </c>
      <c r="AX488" s="41" t="str">
        <f>INDEX(Input!$1:$1048576,AX$93,$C488*2+6)</f>
        <v>Kia-LR - R1</v>
      </c>
      <c r="AY488" s="41" t="str">
        <f>IF(LEN(D488)=0,"",INDEX(Input!$1:$1048576,AY$93,$C488*2+6))</f>
        <v/>
      </c>
      <c r="AZ488" s="41" t="str">
        <f>INDEX(Input!$1:$1048576,AZ$93,$C488*2+6)</f>
        <v>Kia Soul</v>
      </c>
      <c r="BA488" s="3">
        <f>INDEX(Input!$1:$1048576,BA$93,$C488*2+6)</f>
        <v>2020</v>
      </c>
      <c r="BB488" s="128">
        <f>INDEX(Input!$1:$1048576,BB$93,$C488*2+6)</f>
        <v>1</v>
      </c>
      <c r="BC488" s="128">
        <f>INDEX(Input!$1:$1048576,BC$93,$C488*2+6)</f>
        <v>0.7</v>
      </c>
      <c r="BD488" s="1">
        <f>INDEX(Input!$1:$1048576,BD$93,$C488*2+6)</f>
        <v>4.4999999999999998E-2</v>
      </c>
      <c r="BE488" s="1">
        <f>INDEX(Input!$1:$1048576,BE$93,$C488*2+6)</f>
        <v>4.4999999999999998E-2</v>
      </c>
      <c r="BF488" s="1">
        <f>INDEX(Input!$1:$1048576,BF$93,$C488*2+6)</f>
        <v>0.05</v>
      </c>
      <c r="BG488" s="1">
        <f>INDEX(Input!$1:$1048576,BG$93,$C488*2+6)</f>
        <v>5.45E-2</v>
      </c>
      <c r="BH488" s="1">
        <f>INDEX(Input!$1:$1048576,BH$93,$C488*2+6)</f>
        <v>5.45E-2</v>
      </c>
      <c r="BI488" s="1">
        <f>INDEX(Input!$1:$1048576,BI$93,$C488*2+6)</f>
        <v>0.05</v>
      </c>
      <c r="BJ488" s="1">
        <f>INDEX(Input!$1:$1048576,BJ$93,$C488*2+6)</f>
        <v>0.05</v>
      </c>
      <c r="BK488" s="1">
        <f>INDEX(Input!$1:$1048576,BK$93,$C488*2+6)</f>
        <v>0.05</v>
      </c>
      <c r="BL488" s="1">
        <f>INDEX(Input!$1:$1048576,BL$93,$C488*2+6)</f>
        <v>5.5E-2</v>
      </c>
      <c r="BM488" s="1">
        <f>INDEX(Input!$1:$1048576,BM$93,$C488*2+6)</f>
        <v>0.06</v>
      </c>
      <c r="BN488" s="1">
        <f>INDEX(Input!$1:$1048576,BN$93,$C488*2+6)</f>
        <v>4.4999999999999998E-2</v>
      </c>
      <c r="BO488" s="1">
        <f>INDEX(Input!$1:$1048576,BO$93,$C488*2+6)</f>
        <v>4.4999999999999998E-2</v>
      </c>
      <c r="BP488" s="1">
        <f>INDEX(Input!$1:$1048576,BP$93,$C488*2+6)</f>
        <v>0.05</v>
      </c>
      <c r="BQ488" s="1">
        <f>INDEX(Input!$1:$1048576,BQ$93,$C488*2+6)</f>
        <v>5.45E-2</v>
      </c>
      <c r="BR488" s="1">
        <f>INDEX(Input!$1:$1048576,BR$93,$C488*2+6)</f>
        <v>5.45E-2</v>
      </c>
      <c r="BS488" s="1">
        <f>INDEX(Input!$1:$1048576,BS$93,$C488*2+6)</f>
        <v>0.05</v>
      </c>
      <c r="BT488" s="1">
        <f>INDEX(Input!$1:$1048576,BT$93,$C488*2+6)</f>
        <v>0.05</v>
      </c>
      <c r="BU488" s="1">
        <f>INDEX(Input!$1:$1048576,BU$93,$C488*2+6)</f>
        <v>0.05</v>
      </c>
      <c r="BV488" s="1">
        <f>INDEX(Input!$1:$1048576,BV$93,$C488*2+6)</f>
        <v>5.5E-2</v>
      </c>
      <c r="BW488" s="1">
        <f>INDEX(Input!$1:$1048576,BW$93,$C488*2+6)</f>
        <v>0.06</v>
      </c>
      <c r="BX488" s="127">
        <f>INDEX(Input!$1:$1048576,BX$93,$C488*2+6)</f>
        <v>19985</v>
      </c>
      <c r="BY488" s="20">
        <f>INDEX(Input!$1:$1048576,BY$93,$C488*2+6)</f>
        <v>0.1</v>
      </c>
      <c r="BZ488" s="20">
        <f>INDEX(Input!$1:$1048576,BZ$93,$C488*2+6)</f>
        <v>0.1</v>
      </c>
      <c r="CA488" s="20">
        <f>INDEX(Input!$1:$1048576,CA$93,$C488*2+6)</f>
        <v>0.1</v>
      </c>
      <c r="CB488" s="20">
        <f>INDEX(Input!$1:$1048576,CB$93,$C488*2+6)</f>
        <v>0.1</v>
      </c>
      <c r="CC488" s="20">
        <f>INDEX(Input!$1:$1048576,CC$93,$C488*2+6)</f>
        <v>0.1</v>
      </c>
      <c r="CD488" s="384">
        <f>INDEX(Input!$1:$1048576,CD$93,$C488*2+6)</f>
        <v>0.1</v>
      </c>
      <c r="CE488" s="384">
        <f>INDEX(Input!$1:$1048576,CE$93,$C488*2+6)</f>
        <v>0.1</v>
      </c>
      <c r="CF488" s="384">
        <f>INDEX(Input!$1:$1048576,CF$93,$C488*2+6)</f>
        <v>0.1</v>
      </c>
      <c r="CG488" s="384">
        <f>INDEX(Input!$1:$1048576,CG$93,$C488*2+6)</f>
        <v>0.1</v>
      </c>
      <c r="CH488" s="384">
        <f>INDEX(Input!$1:$1048576,CH$93,$C488*2+6)</f>
        <v>0.1</v>
      </c>
      <c r="CI488" s="304">
        <f t="shared" si="1397"/>
        <v>1256.832975525977</v>
      </c>
      <c r="CJ488" s="16" t="str">
        <f>INDEX(Input!$1:$1048576,CJ$93,$C488*2+6)</f>
        <v>N</v>
      </c>
      <c r="CK488" s="1" t="str">
        <f t="shared" si="1398"/>
        <v>Market</v>
      </c>
      <c r="CL488" s="1" t="str">
        <f t="shared" si="1399"/>
        <v>Market</v>
      </c>
      <c r="CM488" s="1" t="str">
        <f t="shared" si="1400"/>
        <v>Market</v>
      </c>
      <c r="CN488" s="1" t="str">
        <f t="shared" si="1401"/>
        <v>Market</v>
      </c>
      <c r="CO488" s="1" t="str">
        <f t="shared" si="1402"/>
        <v>Market</v>
      </c>
      <c r="CP488" s="304">
        <f t="shared" si="1403"/>
        <v>416</v>
      </c>
      <c r="CQ488" s="1">
        <f t="shared" si="1404"/>
        <v>0</v>
      </c>
      <c r="CR488" s="1">
        <f t="shared" si="1405"/>
        <v>0</v>
      </c>
      <c r="CS488" s="1">
        <f t="shared" si="1406"/>
        <v>0</v>
      </c>
      <c r="CT488" s="1">
        <f t="shared" si="1407"/>
        <v>1.9E-2</v>
      </c>
      <c r="CU488" s="1">
        <f t="shared" si="1408"/>
        <v>3.9E-2</v>
      </c>
      <c r="CV488" s="304">
        <f t="shared" si="1409"/>
        <v>-870</v>
      </c>
      <c r="CW488" s="20" t="s">
        <v>122</v>
      </c>
      <c r="CX488" s="20" t="s">
        <v>122</v>
      </c>
      <c r="CY488" s="20" t="s">
        <v>122</v>
      </c>
      <c r="CZ488" s="20" t="s">
        <v>122</v>
      </c>
      <c r="DA488" s="20" t="s">
        <v>122</v>
      </c>
      <c r="DB488" s="503">
        <f t="shared" si="1410"/>
        <v>0</v>
      </c>
      <c r="DC488" s="127">
        <v>0</v>
      </c>
      <c r="DD488" s="127">
        <v>0</v>
      </c>
      <c r="DE488" s="127">
        <v>0</v>
      </c>
      <c r="DF488" s="127">
        <v>0</v>
      </c>
      <c r="DG488" s="127">
        <v>0</v>
      </c>
      <c r="DH488" s="127">
        <v>0</v>
      </c>
      <c r="DI488" s="127">
        <v>0</v>
      </c>
      <c r="DJ488" s="127">
        <v>0</v>
      </c>
      <c r="DK488" s="127">
        <v>0</v>
      </c>
      <c r="DL488" s="127">
        <v>0</v>
      </c>
      <c r="DM488" s="304">
        <f>INDEX(Input!$1:$1048576,DM$93,$C488*2+6)</f>
        <v>21036.84210526316</v>
      </c>
      <c r="DN488" s="20">
        <v>0</v>
      </c>
      <c r="DO488" s="20">
        <v>0</v>
      </c>
      <c r="DP488" s="20">
        <v>0</v>
      </c>
      <c r="DQ488" s="20">
        <v>0</v>
      </c>
      <c r="DR488" s="20">
        <v>0</v>
      </c>
      <c r="DS488" s="20">
        <f>INDEX(Input!$1:$1048576,DS$93,$C488*2+6)</f>
        <v>0.6</v>
      </c>
      <c r="DT488" s="20">
        <f>INDEX(Input!$1:$1048576,DT$93,$C488*2+6)</f>
        <v>0.55000000000000004</v>
      </c>
      <c r="DU488" s="20">
        <f>INDEX(Input!$1:$1048576,DU$93,$C488*2+6)</f>
        <v>0.52</v>
      </c>
      <c r="DV488" s="20">
        <f>INDEX(Input!$1:$1048576,DV$93,$C488*2+6)</f>
        <v>0.5</v>
      </c>
      <c r="DW488" s="20">
        <f>INDEX(Input!$1:$1048576,DW$93,$C488*2+6)</f>
        <v>0.45</v>
      </c>
      <c r="DX488" s="20"/>
      <c r="DY488" s="7"/>
      <c r="DZ488" s="7"/>
      <c r="EA488" s="7"/>
      <c r="EB488" s="7"/>
      <c r="EC488" s="7"/>
      <c r="ED488" s="7"/>
      <c r="EE488" s="7"/>
      <c r="EF488" s="7"/>
      <c r="EG488" s="7"/>
      <c r="EH488" s="7"/>
      <c r="EI488" s="7"/>
      <c r="EJ488" s="7"/>
      <c r="EK488" s="7"/>
      <c r="EL488" s="7"/>
      <c r="EM488" s="7"/>
      <c r="EN488" s="7"/>
      <c r="EO488" s="7"/>
      <c r="EP488" s="7"/>
      <c r="EQ488" s="7"/>
      <c r="ER488" s="7"/>
      <c r="ES488" s="7"/>
      <c r="ET488" s="7"/>
      <c r="EU488" s="6"/>
      <c r="EV488" s="6"/>
      <c r="EW488" s="6"/>
      <c r="EX488" s="6"/>
      <c r="EY488" s="6"/>
      <c r="EZ488" s="6"/>
      <c r="FA488" s="6"/>
      <c r="FB488" s="6"/>
      <c r="FC488" s="6"/>
      <c r="FD488" s="6"/>
      <c r="FE488" s="6"/>
      <c r="FF488" s="6"/>
      <c r="FG488" s="6"/>
      <c r="FH488" s="6"/>
      <c r="FI488" s="6"/>
      <c r="FJ488" s="6"/>
      <c r="FK488" s="6"/>
      <c r="FL488" s="6"/>
      <c r="FM488" s="6"/>
      <c r="FN488" s="6"/>
      <c r="FO488" s="6"/>
      <c r="FP488" s="6"/>
      <c r="FQ488" s="6"/>
      <c r="FR488" s="6"/>
      <c r="FS488" s="6"/>
      <c r="FT488" s="7"/>
      <c r="FU488" s="7"/>
      <c r="FV488" s="7"/>
      <c r="FW488" s="6"/>
      <c r="FX488" s="6"/>
      <c r="FY488" s="6"/>
      <c r="FZ488" s="6"/>
      <c r="GA488" s="6"/>
      <c r="GB488" s="6"/>
      <c r="GC488" s="7"/>
      <c r="GD488" s="7"/>
      <c r="GE488" s="7"/>
      <c r="GF488" s="7"/>
      <c r="GG488" s="7"/>
      <c r="GH488" s="42"/>
      <c r="GI488" s="6"/>
      <c r="GJ488" s="14"/>
      <c r="GK488" s="14"/>
      <c r="GL488" s="14"/>
      <c r="GM488" s="14"/>
      <c r="GO488" s="5"/>
      <c r="GP488" s="5"/>
      <c r="GQ488" s="5"/>
      <c r="GR488" s="5"/>
      <c r="GS488" s="5"/>
      <c r="GT488" s="5"/>
      <c r="GU488" s="5"/>
      <c r="GV488" s="39"/>
      <c r="GW488" s="5"/>
      <c r="GX488" s="5"/>
      <c r="GY488" s="5"/>
      <c r="GZ488" s="5"/>
      <c r="HA488" s="5"/>
      <c r="HB488" s="39"/>
      <c r="HC488" s="5"/>
      <c r="HD488" s="5"/>
      <c r="HE488" s="5"/>
      <c r="HF488" s="5"/>
      <c r="HG488" s="5"/>
      <c r="HH488" s="39"/>
      <c r="HI488" s="16"/>
      <c r="HJ488" s="19"/>
      <c r="HK488" s="1"/>
      <c r="HL488" s="16"/>
      <c r="HM488" s="1"/>
      <c r="HN488" s="1"/>
      <c r="HO488" s="1"/>
      <c r="HP488" s="1"/>
      <c r="HQ488" s="1"/>
      <c r="HR488" s="1"/>
      <c r="HS488" s="1"/>
      <c r="HT488" s="1"/>
      <c r="HU488" s="1"/>
      <c r="HV488" s="1"/>
      <c r="HW488" s="1"/>
      <c r="HX488" s="1"/>
      <c r="HY488" s="1"/>
      <c r="HZ488" s="1"/>
      <c r="IA488" s="1"/>
      <c r="IB488" s="1"/>
      <c r="IC488" s="1"/>
      <c r="ID488" s="1"/>
      <c r="IE488" s="1"/>
      <c r="IF488" s="1"/>
      <c r="IG488" s="1"/>
      <c r="IH488" s="21"/>
      <c r="II488" s="19"/>
      <c r="IJ488" s="19"/>
      <c r="IK488" s="19"/>
      <c r="IL488" s="19"/>
      <c r="IM488" s="19"/>
      <c r="IN488" s="19"/>
      <c r="IO488" s="39"/>
      <c r="IP488" s="39"/>
      <c r="IQ488" s="39"/>
      <c r="IR488" s="39"/>
      <c r="IS488" s="39"/>
      <c r="IT488" s="39"/>
      <c r="IU488" s="39"/>
      <c r="IV488" s="39"/>
      <c r="IW488" s="39"/>
      <c r="IX488" s="39"/>
      <c r="IY488" s="39"/>
      <c r="IZ488" s="39"/>
      <c r="JA488" s="19"/>
      <c r="JB488" s="19"/>
      <c r="JC488" s="19"/>
      <c r="JD488" s="19"/>
      <c r="JE488" s="21"/>
      <c r="JF488" s="1"/>
      <c r="JG488" s="15"/>
      <c r="JH488" s="1"/>
      <c r="JI488" s="1"/>
      <c r="JJ488" s="1"/>
      <c r="JK488" s="1"/>
      <c r="JL488" s="15"/>
      <c r="JM488" s="15"/>
      <c r="JN488" s="21"/>
      <c r="JO488" s="19"/>
      <c r="JP488" s="19"/>
      <c r="JQ488" s="39"/>
      <c r="JR488" s="39"/>
      <c r="JS488" s="39"/>
      <c r="JT488" s="39"/>
      <c r="JU488" s="385"/>
      <c r="JV488" s="39"/>
      <c r="JW488" s="1"/>
      <c r="JX488" s="19"/>
      <c r="JZ488" s="341"/>
      <c r="KA488" s="342"/>
      <c r="KB488" s="469"/>
      <c r="KI488" s="473"/>
      <c r="KJ488" s="473"/>
      <c r="KK488" s="473"/>
    </row>
    <row r="489" spans="1:307" s="26" customFormat="1" ht="15" outlineLevel="1">
      <c r="A489" s="561">
        <f t="shared" si="1278"/>
        <v>4089</v>
      </c>
      <c r="B489" s="561">
        <f t="shared" si="1296"/>
        <v>89</v>
      </c>
      <c r="C489" s="561">
        <f t="shared" si="1297"/>
        <v>4</v>
      </c>
      <c r="D489" s="561" t="str">
        <f t="shared" si="1393"/>
        <v/>
      </c>
      <c r="E489" s="475">
        <f>INDEX(Input!$1:$1048576,E$93,$C489*2+MIN($B489,2)+5)
+INDEX(Scenarios!E$121:E$200,MATCH($B489,Scenarios!$B$121:$B$200,0))</f>
        <v>1256.832975525977</v>
      </c>
      <c r="F489" s="475">
        <f>INDEX(Input!$1:$1048576,F$93,$C489*2+MIN($B489,2)+5)
+INDEX(Scenarios!F$121:F$200,MATCH($B489,Scenarios!$B$121:$B$200,0))</f>
        <v>0</v>
      </c>
      <c r="G489" s="475">
        <f>INDEX(Input!$1:$1048576,G$93,$C489*2+MIN($B489,2)+5)
+INDEX(Scenarios!G$121:G$200,MATCH($B489,Scenarios!$B$121:$B$200,0))</f>
        <v>0</v>
      </c>
      <c r="H489" s="475">
        <f>INDEX(Input!$1:$1048576,H$93,$C489*2+MIN($B489,2)+5)
+INDEX(Scenarios!H$121:H$200,MATCH($B489,Scenarios!$B$121:$B$200,0))</f>
        <v>0</v>
      </c>
      <c r="I489" s="476">
        <f>INDEX(Input!$1:$1048576,I$93,$C489*2+MIN($B489,2)+5)</f>
        <v>0.7</v>
      </c>
      <c r="J489" s="476" t="str">
        <f>INDEX(Input!$1:$1048576,J$93,$C489*2+MIN($B489,2)+5)</f>
        <v>Market</v>
      </c>
      <c r="K489" s="476" t="str">
        <f>INDEX(Input!$1:$1048576,K$93,$C489*2+MIN($B489,2)+5)</f>
        <v>Market</v>
      </c>
      <c r="L489" s="476" t="str">
        <f>INDEX(Input!$1:$1048576,L$93,$C489*2+MIN($B489,2)+5)</f>
        <v>Market</v>
      </c>
      <c r="M489" s="476" t="str">
        <f>INDEX(Input!$1:$1048576,M$93,$C489*2+MIN($B489,2)+5)</f>
        <v>Market</v>
      </c>
      <c r="N489" s="476" t="str">
        <f>INDEX(Input!$1:$1048576,N$93,$C489*2+MIN($B489,2)+5)</f>
        <v>Market</v>
      </c>
      <c r="O489" s="476" t="str">
        <f>INDEX(Input!$1:$1048576,O$93,$C489*2+MIN($B489,2)+5)</f>
        <v>Market</v>
      </c>
      <c r="P489" s="476" t="str">
        <f>INDEX(Input!$1:$1048576,P$93,$C489*2+MIN($B489,2)+5)</f>
        <v>N</v>
      </c>
      <c r="Q489" s="477">
        <f>INDEX(Input!$1:$1048576,Q$93,$C489*2+MIN($B489,2)+5)
+INDEX(Scenarios!Q$121:Q$200,MATCH($B489,Scenarios!$B$121:$B$200,0))</f>
        <v>0</v>
      </c>
      <c r="R489" s="478">
        <f>IFERROR(MAX(0,INDEX(Input!$1:$1048576,R$93,$C489*2+MIN($B489,2)+5)
+INDEX(Scenarios!R$121:R$200,MATCH($B489,Scenarios!$B$121:$B$200,0)),),"Market")</f>
        <v>0</v>
      </c>
      <c r="S489" s="478">
        <f>IFERROR(MAX(0,INDEX(Input!$1:$1048576,S$93,$C489*2+MIN($B489,2)+5)
+INDEX(Scenarios!S$121:S$200,MATCH($B489,Scenarios!$B$121:$B$200,0)),),"Market")</f>
        <v>0</v>
      </c>
      <c r="T489" s="478">
        <f>IFERROR(MAX(0,INDEX(Input!$1:$1048576,T$93,$C489*2+MIN($B489,2)+5)
+INDEX(Scenarios!T$121:T$200,MATCH($B489,Scenarios!$B$121:$B$200,0)),),"Market")</f>
        <v>0</v>
      </c>
      <c r="U489" s="478">
        <f>IFERROR(MAX(0,INDEX(Input!$1:$1048576,U$93,$C489*2+MIN($B489,2)+5)
+INDEX(Scenarios!U$121:U$200,MATCH($B489,Scenarios!$B$121:$B$200,0)),),"Market")</f>
        <v>0</v>
      </c>
      <c r="V489" s="478">
        <f>IFERROR(MAX(0,INDEX(Input!$1:$1048576,V$93,$C489*2+MIN($B489,2)+5)
+INDEX(Scenarios!V$121:V$200,MATCH($B489,Scenarios!$B$121:$B$200,0)),),"Market")</f>
        <v>1.9E-2</v>
      </c>
      <c r="W489" s="885">
        <f>IFERROR(MAX(0,INDEX(Input!$1:$1048576,W$93,$C489*2+MIN($B489,2)+5)-0%,),"Market")</f>
        <v>3.9E-2</v>
      </c>
      <c r="X489" s="476" t="str">
        <f>INDEX(Input!$1:$1048576,X$93,$C489*2+MIN($B489,2)+5)</f>
        <v>Y</v>
      </c>
      <c r="Y489" s="475">
        <f>INDEX(Input!$1:$1048576,Y$93,$C489*2+MIN($B489,2)+5)
++INDEX(Scenarios!Y$121:Y$200,MATCH($B489,Scenarios!$B$121:$B$200,0))</f>
        <v>-870</v>
      </c>
      <c r="Z489" s="477">
        <f>INDEX(Input!$1:$1048576,Z$93,$C489*2+MIN($B489,2)+5)
+INDEX(Scenarios!Z$121:Z$200,MATCH($B489,Scenarios!$B$121:$B$200,0))</f>
        <v>0</v>
      </c>
      <c r="AA489" s="475">
        <f>INDEX(Input!$1:$1048576,AA$93,$C489*2+MIN($B489,2)+5)
+INDEX(Scenarios!AA$121:AA$200,MATCH($B489,Scenarios!$B$121:$B$200,0))</f>
        <v>0</v>
      </c>
      <c r="AB489" s="476">
        <f>INDEX(Input!$1:$1048576,AB$93,$C489*2+MIN($B489,2)+5)</f>
        <v>0.27</v>
      </c>
      <c r="AC489" s="475">
        <f>INDEX(Input!$1:$1048576,AC$93,$C489*2+MIN($B489,2)+5)
+INDEX(Scenarios!AC$121:AC$200,MATCH($B489,Scenarios!$B$121:$B$200,0))</f>
        <v>0</v>
      </c>
      <c r="AD489" s="476">
        <f>INDEX(Input!$1:$1048576,AD$93,$C489*2+MIN($B489,2)+5)</f>
        <v>0.27</v>
      </c>
      <c r="AE489" s="475">
        <f>INDEX(Input!$1:$1048576,AE$93,$C489*2+MIN($B489,2)+5)
+INDEX(Scenarios!AE$121:AE$200,MATCH($B489,Scenarios!$B$121:$B$200,0))</f>
        <v>0</v>
      </c>
      <c r="AF489" s="476">
        <f>INDEX(Input!$1:$1048576,AF$93,$C489*2+MIN($B489,2)+5)</f>
        <v>1</v>
      </c>
      <c r="AG489" s="475">
        <f>INDEX(Input!$1:$1048576,AG$93,$C489*2+MIN($B489,2)+5)
+INDEX(Scenarios!AG$121:AG$200,MATCH($B489,Scenarios!$B$121:$B$200,0))</f>
        <v>500</v>
      </c>
      <c r="AH489" s="476">
        <f>INDEX(Input!$1:$1048576,AH$93,$C489*2+MIN($B489,2)+5)</f>
        <v>0.83199999999999996</v>
      </c>
      <c r="AI489" s="475">
        <f>INDEX(Input!$1:$1048576,AI$93,$C489*2+MIN($B489,2)+5)
+INDEX(Scenarios!AI$121:AI$200,MATCH($B489,Scenarios!$B$121:$B$200,0))</f>
        <v>0</v>
      </c>
      <c r="AJ489" s="476">
        <f>INDEX(Input!$1:$1048576,AJ$93,$C489*2+MIN($B489,2)+5)</f>
        <v>0.27</v>
      </c>
      <c r="AK489" s="150">
        <f>ROUND(INDEX(Input!$1:$1048576,AK$93,$C488*2+MIN($B489,1)+5)+(Y489-VLOOKUP($C489*1000+1,$A:$HH,Y$92,FALSE)),0)</f>
        <v>2587</v>
      </c>
      <c r="AL489" s="150">
        <f>ROUND(INDEX(Input!$1:$1048576,AL$93,$C488*2+MIN($B489,1)+5)-(Y489-VLOOKUP($C489*1000+1,$A:$HH,Y$92,FALSE))/36,0)</f>
        <v>3406</v>
      </c>
      <c r="AM489" s="32" t="str">
        <f t="shared" si="1279"/>
        <v>std/std/std/std</v>
      </c>
      <c r="AN489" s="32" t="str">
        <f t="shared" si="1280"/>
        <v>$0 + 0/0/0/1.9/3.9</v>
      </c>
      <c r="AO489" s="32" t="str">
        <f t="shared" si="1281"/>
        <v>0/0/0/1.9/3.9</v>
      </c>
      <c r="AP489" s="32" t="str">
        <f t="shared" si="1396"/>
        <v>0/0.9/1.9/3.9</v>
      </c>
      <c r="AQ489" s="536">
        <f t="shared" si="1394"/>
        <v>0</v>
      </c>
      <c r="AR489" s="32"/>
      <c r="AS489" s="302"/>
      <c r="AT489" s="3">
        <f t="shared" si="1298"/>
        <v>89</v>
      </c>
      <c r="AU489" s="41" t="s">
        <v>121</v>
      </c>
      <c r="AV489" s="41" t="s">
        <v>116</v>
      </c>
      <c r="AW489" s="41" t="str">
        <f>INDEX(Input!$1:$1048576,AW$93,$C489*2+6)</f>
        <v>Kia</v>
      </c>
      <c r="AX489" s="41" t="str">
        <f>INDEX(Input!$1:$1048576,AX$93,$C489*2+6)</f>
        <v>Kia-LR - R1</v>
      </c>
      <c r="AY489" s="41" t="str">
        <f>IF(LEN(D489)=0,"",INDEX(Input!$1:$1048576,AY$93,$C489*2+6))</f>
        <v/>
      </c>
      <c r="AZ489" s="41" t="str">
        <f>INDEX(Input!$1:$1048576,AZ$93,$C489*2+6)</f>
        <v>Kia Soul</v>
      </c>
      <c r="BA489" s="3">
        <f>INDEX(Input!$1:$1048576,BA$93,$C489*2+6)</f>
        <v>2020</v>
      </c>
      <c r="BB489" s="128">
        <f>INDEX(Input!$1:$1048576,BB$93,$C489*2+6)</f>
        <v>1</v>
      </c>
      <c r="BC489" s="128">
        <f>INDEX(Input!$1:$1048576,BC$93,$C489*2+6)</f>
        <v>0.7</v>
      </c>
      <c r="BD489" s="1">
        <f>INDEX(Input!$1:$1048576,BD$93,$C489*2+6)</f>
        <v>4.4999999999999998E-2</v>
      </c>
      <c r="BE489" s="1">
        <f>INDEX(Input!$1:$1048576,BE$93,$C489*2+6)</f>
        <v>4.4999999999999998E-2</v>
      </c>
      <c r="BF489" s="1">
        <f>INDEX(Input!$1:$1048576,BF$93,$C489*2+6)</f>
        <v>0.05</v>
      </c>
      <c r="BG489" s="1">
        <f>INDEX(Input!$1:$1048576,BG$93,$C489*2+6)</f>
        <v>5.45E-2</v>
      </c>
      <c r="BH489" s="1">
        <f>INDEX(Input!$1:$1048576,BH$93,$C489*2+6)</f>
        <v>5.45E-2</v>
      </c>
      <c r="BI489" s="1">
        <f>INDEX(Input!$1:$1048576,BI$93,$C489*2+6)</f>
        <v>0.05</v>
      </c>
      <c r="BJ489" s="1">
        <f>INDEX(Input!$1:$1048576,BJ$93,$C489*2+6)</f>
        <v>0.05</v>
      </c>
      <c r="BK489" s="1">
        <f>INDEX(Input!$1:$1048576,BK$93,$C489*2+6)</f>
        <v>0.05</v>
      </c>
      <c r="BL489" s="1">
        <f>INDEX(Input!$1:$1048576,BL$93,$C489*2+6)</f>
        <v>5.5E-2</v>
      </c>
      <c r="BM489" s="1">
        <f>INDEX(Input!$1:$1048576,BM$93,$C489*2+6)</f>
        <v>0.06</v>
      </c>
      <c r="BN489" s="1">
        <f>INDEX(Input!$1:$1048576,BN$93,$C489*2+6)</f>
        <v>4.4999999999999998E-2</v>
      </c>
      <c r="BO489" s="1">
        <f>INDEX(Input!$1:$1048576,BO$93,$C489*2+6)</f>
        <v>4.4999999999999998E-2</v>
      </c>
      <c r="BP489" s="1">
        <f>INDEX(Input!$1:$1048576,BP$93,$C489*2+6)</f>
        <v>0.05</v>
      </c>
      <c r="BQ489" s="1">
        <f>INDEX(Input!$1:$1048576,BQ$93,$C489*2+6)</f>
        <v>5.45E-2</v>
      </c>
      <c r="BR489" s="1">
        <f>INDEX(Input!$1:$1048576,BR$93,$C489*2+6)</f>
        <v>5.45E-2</v>
      </c>
      <c r="BS489" s="1">
        <f>INDEX(Input!$1:$1048576,BS$93,$C489*2+6)</f>
        <v>0.05</v>
      </c>
      <c r="BT489" s="1">
        <f>INDEX(Input!$1:$1048576,BT$93,$C489*2+6)</f>
        <v>0.05</v>
      </c>
      <c r="BU489" s="1">
        <f>INDEX(Input!$1:$1048576,BU$93,$C489*2+6)</f>
        <v>0.05</v>
      </c>
      <c r="BV489" s="1">
        <f>INDEX(Input!$1:$1048576,BV$93,$C489*2+6)</f>
        <v>5.5E-2</v>
      </c>
      <c r="BW489" s="1">
        <f>INDEX(Input!$1:$1048576,BW$93,$C489*2+6)</f>
        <v>0.06</v>
      </c>
      <c r="BX489" s="127">
        <f>INDEX(Input!$1:$1048576,BX$93,$C489*2+6)</f>
        <v>19985</v>
      </c>
      <c r="BY489" s="20">
        <f>INDEX(Input!$1:$1048576,BY$93,$C489*2+6)</f>
        <v>0.1</v>
      </c>
      <c r="BZ489" s="20">
        <f>INDEX(Input!$1:$1048576,BZ$93,$C489*2+6)</f>
        <v>0.1</v>
      </c>
      <c r="CA489" s="20">
        <f>INDEX(Input!$1:$1048576,CA$93,$C489*2+6)</f>
        <v>0.1</v>
      </c>
      <c r="CB489" s="20">
        <f>INDEX(Input!$1:$1048576,CB$93,$C489*2+6)</f>
        <v>0.1</v>
      </c>
      <c r="CC489" s="20">
        <f>INDEX(Input!$1:$1048576,CC$93,$C489*2+6)</f>
        <v>0.1</v>
      </c>
      <c r="CD489" s="384">
        <f>INDEX(Input!$1:$1048576,CD$93,$C489*2+6)</f>
        <v>0.1</v>
      </c>
      <c r="CE489" s="384">
        <f>INDEX(Input!$1:$1048576,CE$93,$C489*2+6)</f>
        <v>0.1</v>
      </c>
      <c r="CF489" s="384">
        <f>INDEX(Input!$1:$1048576,CF$93,$C489*2+6)</f>
        <v>0.1</v>
      </c>
      <c r="CG489" s="384">
        <f>INDEX(Input!$1:$1048576,CG$93,$C489*2+6)</f>
        <v>0.1</v>
      </c>
      <c r="CH489" s="384">
        <f>INDEX(Input!$1:$1048576,CH$93,$C489*2+6)</f>
        <v>0.1</v>
      </c>
      <c r="CI489" s="304">
        <f t="shared" si="1397"/>
        <v>1256.832975525977</v>
      </c>
      <c r="CJ489" s="16" t="str">
        <f>INDEX(Input!$1:$1048576,CJ$93,$C489*2+6)</f>
        <v>N</v>
      </c>
      <c r="CK489" s="1" t="str">
        <f t="shared" si="1398"/>
        <v>Market</v>
      </c>
      <c r="CL489" s="1" t="str">
        <f t="shared" si="1399"/>
        <v>Market</v>
      </c>
      <c r="CM489" s="1" t="str">
        <f t="shared" si="1400"/>
        <v>Market</v>
      </c>
      <c r="CN489" s="1" t="str">
        <f t="shared" si="1401"/>
        <v>Market</v>
      </c>
      <c r="CO489" s="1" t="str">
        <f t="shared" si="1402"/>
        <v>Market</v>
      </c>
      <c r="CP489" s="304">
        <f t="shared" si="1403"/>
        <v>416</v>
      </c>
      <c r="CQ489" s="1">
        <f t="shared" si="1404"/>
        <v>0</v>
      </c>
      <c r="CR489" s="1">
        <f t="shared" si="1405"/>
        <v>0</v>
      </c>
      <c r="CS489" s="1">
        <f t="shared" si="1406"/>
        <v>0</v>
      </c>
      <c r="CT489" s="1">
        <f t="shared" si="1407"/>
        <v>1.9E-2</v>
      </c>
      <c r="CU489" s="1">
        <f t="shared" si="1408"/>
        <v>3.9E-2</v>
      </c>
      <c r="CV489" s="304">
        <f t="shared" si="1409"/>
        <v>-870</v>
      </c>
      <c r="CW489" s="20" t="s">
        <v>122</v>
      </c>
      <c r="CX489" s="20" t="s">
        <v>122</v>
      </c>
      <c r="CY489" s="20" t="s">
        <v>122</v>
      </c>
      <c r="CZ489" s="20" t="s">
        <v>122</v>
      </c>
      <c r="DA489" s="20" t="s">
        <v>122</v>
      </c>
      <c r="DB489" s="503">
        <f t="shared" si="1410"/>
        <v>0</v>
      </c>
      <c r="DC489" s="127">
        <v>0</v>
      </c>
      <c r="DD489" s="127">
        <v>0</v>
      </c>
      <c r="DE489" s="127">
        <v>0</v>
      </c>
      <c r="DF489" s="127">
        <v>0</v>
      </c>
      <c r="DG489" s="127">
        <v>0</v>
      </c>
      <c r="DH489" s="127">
        <v>0</v>
      </c>
      <c r="DI489" s="127">
        <v>0</v>
      </c>
      <c r="DJ489" s="127">
        <v>0</v>
      </c>
      <c r="DK489" s="127">
        <v>0</v>
      </c>
      <c r="DL489" s="127">
        <v>0</v>
      </c>
      <c r="DM489" s="304">
        <f>INDEX(Input!$1:$1048576,DM$93,$C489*2+6)</f>
        <v>21036.84210526316</v>
      </c>
      <c r="DN489" s="20">
        <v>0</v>
      </c>
      <c r="DO489" s="20">
        <v>0</v>
      </c>
      <c r="DP489" s="20">
        <v>0</v>
      </c>
      <c r="DQ489" s="20">
        <v>0</v>
      </c>
      <c r="DR489" s="20">
        <v>0</v>
      </c>
      <c r="DS489" s="20">
        <f>INDEX(Input!$1:$1048576,DS$93,$C489*2+6)</f>
        <v>0.6</v>
      </c>
      <c r="DT489" s="20">
        <f>INDEX(Input!$1:$1048576,DT$93,$C489*2+6)</f>
        <v>0.55000000000000004</v>
      </c>
      <c r="DU489" s="20">
        <f>INDEX(Input!$1:$1048576,DU$93,$C489*2+6)</f>
        <v>0.52</v>
      </c>
      <c r="DV489" s="20">
        <f>INDEX(Input!$1:$1048576,DV$93,$C489*2+6)</f>
        <v>0.5</v>
      </c>
      <c r="DW489" s="20">
        <f>INDEX(Input!$1:$1048576,DW$93,$C489*2+6)</f>
        <v>0.45</v>
      </c>
      <c r="DX489" s="20"/>
      <c r="DY489" s="7"/>
      <c r="DZ489" s="7"/>
      <c r="EA489" s="7"/>
      <c r="EB489" s="7"/>
      <c r="EC489" s="7"/>
      <c r="ED489" s="7"/>
      <c r="EE489" s="7"/>
      <c r="EF489" s="7"/>
      <c r="EG489" s="7"/>
      <c r="EH489" s="7"/>
      <c r="EI489" s="7"/>
      <c r="EJ489" s="7"/>
      <c r="EK489" s="7"/>
      <c r="EL489" s="7"/>
      <c r="EM489" s="7"/>
      <c r="EN489" s="7"/>
      <c r="EO489" s="7"/>
      <c r="EP489" s="7"/>
      <c r="EQ489" s="7"/>
      <c r="ER489" s="7"/>
      <c r="ES489" s="7"/>
      <c r="ET489" s="7"/>
      <c r="EU489" s="6"/>
      <c r="EV489" s="6"/>
      <c r="EW489" s="6"/>
      <c r="EX489" s="6"/>
      <c r="EY489" s="6"/>
      <c r="EZ489" s="6"/>
      <c r="FA489" s="6"/>
      <c r="FB489" s="6"/>
      <c r="FC489" s="6"/>
      <c r="FD489" s="6"/>
      <c r="FE489" s="6"/>
      <c r="FF489" s="6"/>
      <c r="FG489" s="6"/>
      <c r="FH489" s="6"/>
      <c r="FI489" s="6"/>
      <c r="FJ489" s="6"/>
      <c r="FK489" s="6"/>
      <c r="FL489" s="6"/>
      <c r="FM489" s="6"/>
      <c r="FN489" s="6"/>
      <c r="FO489" s="6"/>
      <c r="FP489" s="6"/>
      <c r="FQ489" s="6"/>
      <c r="FR489" s="6"/>
      <c r="FS489" s="6"/>
      <c r="FT489" s="7"/>
      <c r="FU489" s="7"/>
      <c r="FV489" s="7"/>
      <c r="FW489" s="6"/>
      <c r="FX489" s="6"/>
      <c r="FY489" s="6"/>
      <c r="FZ489" s="6"/>
      <c r="GA489" s="6"/>
      <c r="GB489" s="6"/>
      <c r="GC489" s="7"/>
      <c r="GD489" s="7"/>
      <c r="GE489" s="7"/>
      <c r="GF489" s="7"/>
      <c r="GG489" s="7"/>
      <c r="GH489" s="42"/>
      <c r="GI489" s="6"/>
      <c r="GJ489" s="14"/>
      <c r="GK489" s="14"/>
      <c r="GL489" s="14"/>
      <c r="GM489" s="14"/>
      <c r="GO489" s="5"/>
      <c r="GP489" s="5"/>
      <c r="GQ489" s="5"/>
      <c r="GR489" s="5"/>
      <c r="GS489" s="5"/>
      <c r="GT489" s="5"/>
      <c r="GU489" s="5"/>
      <c r="GV489" s="39"/>
      <c r="GW489" s="5"/>
      <c r="GX489" s="5"/>
      <c r="GY489" s="5"/>
      <c r="GZ489" s="5"/>
      <c r="HA489" s="5"/>
      <c r="HB489" s="39"/>
      <c r="HC489" s="5"/>
      <c r="HD489" s="5"/>
      <c r="HE489" s="5"/>
      <c r="HF489" s="5"/>
      <c r="HG489" s="5"/>
      <c r="HH489" s="39"/>
      <c r="HI489" s="16"/>
      <c r="HJ489" s="19"/>
      <c r="HK489" s="1"/>
      <c r="HL489" s="16"/>
      <c r="HM489" s="1"/>
      <c r="HN489" s="1"/>
      <c r="HO489" s="1"/>
      <c r="HP489" s="1"/>
      <c r="HQ489" s="1"/>
      <c r="HR489" s="1"/>
      <c r="HS489" s="1"/>
      <c r="HT489" s="1"/>
      <c r="HU489" s="1"/>
      <c r="HV489" s="1"/>
      <c r="HW489" s="1"/>
      <c r="HX489" s="1"/>
      <c r="HY489" s="1"/>
      <c r="HZ489" s="1"/>
      <c r="IA489" s="1"/>
      <c r="IB489" s="1"/>
      <c r="IC489" s="1"/>
      <c r="ID489" s="1"/>
      <c r="IE489" s="1"/>
      <c r="IF489" s="1"/>
      <c r="IG489" s="1"/>
      <c r="IH489" s="21"/>
      <c r="II489" s="19"/>
      <c r="IJ489" s="19"/>
      <c r="IK489" s="19"/>
      <c r="IL489" s="19"/>
      <c r="IM489" s="19"/>
      <c r="IN489" s="19"/>
      <c r="IO489" s="39"/>
      <c r="IP489" s="39"/>
      <c r="IQ489" s="39"/>
      <c r="IR489" s="39"/>
      <c r="IS489" s="39"/>
      <c r="IT489" s="39"/>
      <c r="IU489" s="39"/>
      <c r="IV489" s="39"/>
      <c r="IW489" s="39"/>
      <c r="IX489" s="39"/>
      <c r="IY489" s="39"/>
      <c r="IZ489" s="39"/>
      <c r="JA489" s="19"/>
      <c r="JB489" s="19"/>
      <c r="JC489" s="19"/>
      <c r="JD489" s="19"/>
      <c r="JE489" s="21"/>
      <c r="JF489" s="1"/>
      <c r="JG489" s="15"/>
      <c r="JH489" s="1"/>
      <c r="JI489" s="1"/>
      <c r="JJ489" s="1"/>
      <c r="JK489" s="1"/>
      <c r="JL489" s="15"/>
      <c r="JM489" s="15"/>
      <c r="JN489" s="21"/>
      <c r="JO489" s="19"/>
      <c r="JP489" s="19"/>
      <c r="JQ489" s="39"/>
      <c r="JR489" s="39"/>
      <c r="JS489" s="39"/>
      <c r="JT489" s="39"/>
      <c r="JU489" s="385"/>
      <c r="JV489" s="39"/>
      <c r="JW489" s="1"/>
      <c r="JX489" s="19"/>
      <c r="JZ489" s="341"/>
      <c r="KA489" s="342"/>
      <c r="KB489" s="469"/>
      <c r="KI489" s="473"/>
      <c r="KJ489" s="473"/>
      <c r="KK489" s="473"/>
    </row>
    <row r="490" spans="1:307" s="26" customFormat="1" ht="15" outlineLevel="1">
      <c r="A490" s="561">
        <f t="shared" si="1278"/>
        <v>4090</v>
      </c>
      <c r="B490" s="561">
        <f t="shared" si="1296"/>
        <v>90</v>
      </c>
      <c r="C490" s="561">
        <f t="shared" si="1297"/>
        <v>4</v>
      </c>
      <c r="D490" s="561" t="str">
        <f t="shared" si="1393"/>
        <v/>
      </c>
      <c r="E490" s="475">
        <f>INDEX(Input!$1:$1048576,E$93,$C490*2+MIN($B490,2)+5)
+INDEX(Scenarios!E$121:E$200,MATCH($B490,Scenarios!$B$121:$B$200,0))</f>
        <v>1256.832975525977</v>
      </c>
      <c r="F490" s="475">
        <f>INDEX(Input!$1:$1048576,F$93,$C490*2+MIN($B490,2)+5)
+INDEX(Scenarios!F$121:F$200,MATCH($B490,Scenarios!$B$121:$B$200,0))</f>
        <v>0</v>
      </c>
      <c r="G490" s="475">
        <f>INDEX(Input!$1:$1048576,G$93,$C490*2+MIN($B490,2)+5)
+INDEX(Scenarios!G$121:G$200,MATCH($B490,Scenarios!$B$121:$B$200,0))</f>
        <v>0</v>
      </c>
      <c r="H490" s="475">
        <f>INDEX(Input!$1:$1048576,H$93,$C490*2+MIN($B490,2)+5)
+INDEX(Scenarios!H$121:H$200,MATCH($B490,Scenarios!$B$121:$B$200,0))</f>
        <v>0</v>
      </c>
      <c r="I490" s="476">
        <f>INDEX(Input!$1:$1048576,I$93,$C490*2+MIN($B490,2)+5)</f>
        <v>0.7</v>
      </c>
      <c r="J490" s="476" t="str">
        <f>INDEX(Input!$1:$1048576,J$93,$C490*2+MIN($B490,2)+5)</f>
        <v>Market</v>
      </c>
      <c r="K490" s="476" t="str">
        <f>INDEX(Input!$1:$1048576,K$93,$C490*2+MIN($B490,2)+5)</f>
        <v>Market</v>
      </c>
      <c r="L490" s="476" t="str">
        <f>INDEX(Input!$1:$1048576,L$93,$C490*2+MIN($B490,2)+5)</f>
        <v>Market</v>
      </c>
      <c r="M490" s="476" t="str">
        <f>INDEX(Input!$1:$1048576,M$93,$C490*2+MIN($B490,2)+5)</f>
        <v>Market</v>
      </c>
      <c r="N490" s="476" t="str">
        <f>INDEX(Input!$1:$1048576,N$93,$C490*2+MIN($B490,2)+5)</f>
        <v>Market</v>
      </c>
      <c r="O490" s="476" t="str">
        <f>INDEX(Input!$1:$1048576,O$93,$C490*2+MIN($B490,2)+5)</f>
        <v>Market</v>
      </c>
      <c r="P490" s="476" t="str">
        <f>INDEX(Input!$1:$1048576,P$93,$C490*2+MIN($B490,2)+5)</f>
        <v>N</v>
      </c>
      <c r="Q490" s="477">
        <f>INDEX(Input!$1:$1048576,Q$93,$C490*2+MIN($B490,2)+5)
+INDEX(Scenarios!Q$121:Q$200,MATCH($B490,Scenarios!$B$121:$B$200,0))</f>
        <v>0</v>
      </c>
      <c r="R490" s="478">
        <f>IFERROR(MAX(0,INDEX(Input!$1:$1048576,R$93,$C490*2+MIN($B490,2)+5)
+INDEX(Scenarios!R$121:R$200,MATCH($B490,Scenarios!$B$121:$B$200,0)),),"Market")</f>
        <v>0</v>
      </c>
      <c r="S490" s="478">
        <f>IFERROR(MAX(0,INDEX(Input!$1:$1048576,S$93,$C490*2+MIN($B490,2)+5)
+INDEX(Scenarios!S$121:S$200,MATCH($B490,Scenarios!$B$121:$B$200,0)),),"Market")</f>
        <v>0</v>
      </c>
      <c r="T490" s="478">
        <f>IFERROR(MAX(0,INDEX(Input!$1:$1048576,T$93,$C490*2+MIN($B490,2)+5)
+INDEX(Scenarios!T$121:T$200,MATCH($B490,Scenarios!$B$121:$B$200,0)),),"Market")</f>
        <v>0</v>
      </c>
      <c r="U490" s="478">
        <f>IFERROR(MAX(0,INDEX(Input!$1:$1048576,U$93,$C490*2+MIN($B490,2)+5)
+INDEX(Scenarios!U$121:U$200,MATCH($B490,Scenarios!$B$121:$B$200,0)),),"Market")</f>
        <v>0</v>
      </c>
      <c r="V490" s="478">
        <f>IFERROR(MAX(0,INDEX(Input!$1:$1048576,V$93,$C490*2+MIN($B490,2)+5)
+INDEX(Scenarios!V$121:V$200,MATCH($B490,Scenarios!$B$121:$B$200,0)),),"Market")</f>
        <v>1.9E-2</v>
      </c>
      <c r="W490" s="885">
        <f>IFERROR(MAX(0,INDEX(Input!$1:$1048576,W$93,$C490*2+MIN($B490,2)+5)-0%,),"Market")</f>
        <v>3.9E-2</v>
      </c>
      <c r="X490" s="476" t="str">
        <f>INDEX(Input!$1:$1048576,X$93,$C490*2+MIN($B490,2)+5)</f>
        <v>Y</v>
      </c>
      <c r="Y490" s="475">
        <f>INDEX(Input!$1:$1048576,Y$93,$C490*2+MIN($B490,2)+5)
++INDEX(Scenarios!Y$121:Y$200,MATCH($B490,Scenarios!$B$121:$B$200,0))</f>
        <v>-870</v>
      </c>
      <c r="Z490" s="477">
        <f>INDEX(Input!$1:$1048576,Z$93,$C490*2+MIN($B490,2)+5)
+INDEX(Scenarios!Z$121:Z$200,MATCH($B490,Scenarios!$B$121:$B$200,0))</f>
        <v>0</v>
      </c>
      <c r="AA490" s="475">
        <f>INDEX(Input!$1:$1048576,AA$93,$C490*2+MIN($B490,2)+5)
+INDEX(Scenarios!AA$121:AA$200,MATCH($B490,Scenarios!$B$121:$B$200,0))</f>
        <v>0</v>
      </c>
      <c r="AB490" s="476">
        <f>INDEX(Input!$1:$1048576,AB$93,$C490*2+MIN($B490,2)+5)</f>
        <v>0.27</v>
      </c>
      <c r="AC490" s="475">
        <f>INDEX(Input!$1:$1048576,AC$93,$C490*2+MIN($B490,2)+5)
+INDEX(Scenarios!AC$121:AC$200,MATCH($B490,Scenarios!$B$121:$B$200,0))</f>
        <v>0</v>
      </c>
      <c r="AD490" s="476">
        <f>INDEX(Input!$1:$1048576,AD$93,$C490*2+MIN($B490,2)+5)</f>
        <v>0.27</v>
      </c>
      <c r="AE490" s="475">
        <f>INDEX(Input!$1:$1048576,AE$93,$C490*2+MIN($B490,2)+5)
+INDEX(Scenarios!AE$121:AE$200,MATCH($B490,Scenarios!$B$121:$B$200,0))</f>
        <v>0</v>
      </c>
      <c r="AF490" s="476">
        <f>INDEX(Input!$1:$1048576,AF$93,$C490*2+MIN($B490,2)+5)</f>
        <v>1</v>
      </c>
      <c r="AG490" s="475">
        <f>INDEX(Input!$1:$1048576,AG$93,$C490*2+MIN($B490,2)+5)
+INDEX(Scenarios!AG$121:AG$200,MATCH($B490,Scenarios!$B$121:$B$200,0))</f>
        <v>500</v>
      </c>
      <c r="AH490" s="476">
        <f>INDEX(Input!$1:$1048576,AH$93,$C490*2+MIN($B490,2)+5)</f>
        <v>0.83199999999999996</v>
      </c>
      <c r="AI490" s="475">
        <f>INDEX(Input!$1:$1048576,AI$93,$C490*2+MIN($B490,2)+5)
+INDEX(Scenarios!AI$121:AI$200,MATCH($B490,Scenarios!$B$121:$B$200,0))</f>
        <v>0</v>
      </c>
      <c r="AJ490" s="476">
        <f>INDEX(Input!$1:$1048576,AJ$93,$C490*2+MIN($B490,2)+5)</f>
        <v>0.27</v>
      </c>
      <c r="AK490" s="150">
        <f>ROUND(INDEX(Input!$1:$1048576,AK$93,$C489*2+MIN($B490,1)+5)+(Y490-VLOOKUP($C490*1000+1,$A:$HH,Y$92,FALSE)),0)</f>
        <v>2587</v>
      </c>
      <c r="AL490" s="150">
        <f>ROUND(INDEX(Input!$1:$1048576,AL$93,$C489*2+MIN($B490,1)+5)-(Y490-VLOOKUP($C490*1000+1,$A:$HH,Y$92,FALSE))/36,0)</f>
        <v>3406</v>
      </c>
      <c r="AM490" s="32" t="str">
        <f t="shared" si="1279"/>
        <v>std/std/std/std</v>
      </c>
      <c r="AN490" s="32" t="str">
        <f t="shared" si="1280"/>
        <v>$0 + 0/0/0/1.9/3.9</v>
      </c>
      <c r="AO490" s="32" t="str">
        <f t="shared" si="1281"/>
        <v>0/0/0/1.9/3.9</v>
      </c>
      <c r="AP490" s="32" t="str">
        <f t="shared" si="1396"/>
        <v>0/0.9/1.9/3.9</v>
      </c>
      <c r="AQ490" s="536">
        <f t="shared" si="1394"/>
        <v>0</v>
      </c>
      <c r="AR490" s="32"/>
      <c r="AS490" s="302"/>
      <c r="AT490" s="3">
        <f t="shared" si="1298"/>
        <v>90</v>
      </c>
      <c r="AU490" s="41" t="s">
        <v>121</v>
      </c>
      <c r="AV490" s="41" t="s">
        <v>116</v>
      </c>
      <c r="AW490" s="41" t="str">
        <f>INDEX(Input!$1:$1048576,AW$93,$C490*2+6)</f>
        <v>Kia</v>
      </c>
      <c r="AX490" s="41" t="str">
        <f>INDEX(Input!$1:$1048576,AX$93,$C490*2+6)</f>
        <v>Kia-LR - R1</v>
      </c>
      <c r="AY490" s="41" t="str">
        <f>IF(LEN(D490)=0,"",INDEX(Input!$1:$1048576,AY$93,$C490*2+6))</f>
        <v/>
      </c>
      <c r="AZ490" s="41" t="str">
        <f>INDEX(Input!$1:$1048576,AZ$93,$C490*2+6)</f>
        <v>Kia Soul</v>
      </c>
      <c r="BA490" s="3">
        <f>INDEX(Input!$1:$1048576,BA$93,$C490*2+6)</f>
        <v>2020</v>
      </c>
      <c r="BB490" s="128">
        <f>INDEX(Input!$1:$1048576,BB$93,$C490*2+6)</f>
        <v>1</v>
      </c>
      <c r="BC490" s="128">
        <f>INDEX(Input!$1:$1048576,BC$93,$C490*2+6)</f>
        <v>0.7</v>
      </c>
      <c r="BD490" s="1">
        <f>INDEX(Input!$1:$1048576,BD$93,$C490*2+6)</f>
        <v>4.4999999999999998E-2</v>
      </c>
      <c r="BE490" s="1">
        <f>INDEX(Input!$1:$1048576,BE$93,$C490*2+6)</f>
        <v>4.4999999999999998E-2</v>
      </c>
      <c r="BF490" s="1">
        <f>INDEX(Input!$1:$1048576,BF$93,$C490*2+6)</f>
        <v>0.05</v>
      </c>
      <c r="BG490" s="1">
        <f>INDEX(Input!$1:$1048576,BG$93,$C490*2+6)</f>
        <v>5.45E-2</v>
      </c>
      <c r="BH490" s="1">
        <f>INDEX(Input!$1:$1048576,BH$93,$C490*2+6)</f>
        <v>5.45E-2</v>
      </c>
      <c r="BI490" s="1">
        <f>INDEX(Input!$1:$1048576,BI$93,$C490*2+6)</f>
        <v>0.05</v>
      </c>
      <c r="BJ490" s="1">
        <f>INDEX(Input!$1:$1048576,BJ$93,$C490*2+6)</f>
        <v>0.05</v>
      </c>
      <c r="BK490" s="1">
        <f>INDEX(Input!$1:$1048576,BK$93,$C490*2+6)</f>
        <v>0.05</v>
      </c>
      <c r="BL490" s="1">
        <f>INDEX(Input!$1:$1048576,BL$93,$C490*2+6)</f>
        <v>5.5E-2</v>
      </c>
      <c r="BM490" s="1">
        <f>INDEX(Input!$1:$1048576,BM$93,$C490*2+6)</f>
        <v>0.06</v>
      </c>
      <c r="BN490" s="1">
        <f>INDEX(Input!$1:$1048576,BN$93,$C490*2+6)</f>
        <v>4.4999999999999998E-2</v>
      </c>
      <c r="BO490" s="1">
        <f>INDEX(Input!$1:$1048576,BO$93,$C490*2+6)</f>
        <v>4.4999999999999998E-2</v>
      </c>
      <c r="BP490" s="1">
        <f>INDEX(Input!$1:$1048576,BP$93,$C490*2+6)</f>
        <v>0.05</v>
      </c>
      <c r="BQ490" s="1">
        <f>INDEX(Input!$1:$1048576,BQ$93,$C490*2+6)</f>
        <v>5.45E-2</v>
      </c>
      <c r="BR490" s="1">
        <f>INDEX(Input!$1:$1048576,BR$93,$C490*2+6)</f>
        <v>5.45E-2</v>
      </c>
      <c r="BS490" s="1">
        <f>INDEX(Input!$1:$1048576,BS$93,$C490*2+6)</f>
        <v>0.05</v>
      </c>
      <c r="BT490" s="1">
        <f>INDEX(Input!$1:$1048576,BT$93,$C490*2+6)</f>
        <v>0.05</v>
      </c>
      <c r="BU490" s="1">
        <f>INDEX(Input!$1:$1048576,BU$93,$C490*2+6)</f>
        <v>0.05</v>
      </c>
      <c r="BV490" s="1">
        <f>INDEX(Input!$1:$1048576,BV$93,$C490*2+6)</f>
        <v>5.5E-2</v>
      </c>
      <c r="BW490" s="1">
        <f>INDEX(Input!$1:$1048576,BW$93,$C490*2+6)</f>
        <v>0.06</v>
      </c>
      <c r="BX490" s="127">
        <f>INDEX(Input!$1:$1048576,BX$93,$C490*2+6)</f>
        <v>19985</v>
      </c>
      <c r="BY490" s="20">
        <f>INDEX(Input!$1:$1048576,BY$93,$C490*2+6)</f>
        <v>0.1</v>
      </c>
      <c r="BZ490" s="20">
        <f>INDEX(Input!$1:$1048576,BZ$93,$C490*2+6)</f>
        <v>0.1</v>
      </c>
      <c r="CA490" s="20">
        <f>INDEX(Input!$1:$1048576,CA$93,$C490*2+6)</f>
        <v>0.1</v>
      </c>
      <c r="CB490" s="20">
        <f>INDEX(Input!$1:$1048576,CB$93,$C490*2+6)</f>
        <v>0.1</v>
      </c>
      <c r="CC490" s="20">
        <f>INDEX(Input!$1:$1048576,CC$93,$C490*2+6)</f>
        <v>0.1</v>
      </c>
      <c r="CD490" s="384">
        <f>INDEX(Input!$1:$1048576,CD$93,$C490*2+6)</f>
        <v>0.1</v>
      </c>
      <c r="CE490" s="384">
        <f>INDEX(Input!$1:$1048576,CE$93,$C490*2+6)</f>
        <v>0.1</v>
      </c>
      <c r="CF490" s="384">
        <f>INDEX(Input!$1:$1048576,CF$93,$C490*2+6)</f>
        <v>0.1</v>
      </c>
      <c r="CG490" s="384">
        <f>INDEX(Input!$1:$1048576,CG$93,$C490*2+6)</f>
        <v>0.1</v>
      </c>
      <c r="CH490" s="384">
        <f>INDEX(Input!$1:$1048576,CH$93,$C490*2+6)</f>
        <v>0.1</v>
      </c>
      <c r="CI490" s="304">
        <f t="shared" si="1397"/>
        <v>1256.832975525977</v>
      </c>
      <c r="CJ490" s="16" t="str">
        <f>INDEX(Input!$1:$1048576,CJ$93,$C490*2+6)</f>
        <v>N</v>
      </c>
      <c r="CK490" s="1" t="str">
        <f t="shared" si="1398"/>
        <v>Market</v>
      </c>
      <c r="CL490" s="1" t="str">
        <f t="shared" si="1399"/>
        <v>Market</v>
      </c>
      <c r="CM490" s="1" t="str">
        <f t="shared" si="1400"/>
        <v>Market</v>
      </c>
      <c r="CN490" s="1" t="str">
        <f t="shared" si="1401"/>
        <v>Market</v>
      </c>
      <c r="CO490" s="1" t="str">
        <f t="shared" si="1402"/>
        <v>Market</v>
      </c>
      <c r="CP490" s="304">
        <f t="shared" si="1403"/>
        <v>416</v>
      </c>
      <c r="CQ490" s="1">
        <f t="shared" si="1404"/>
        <v>0</v>
      </c>
      <c r="CR490" s="1">
        <f t="shared" si="1405"/>
        <v>0</v>
      </c>
      <c r="CS490" s="1">
        <f t="shared" si="1406"/>
        <v>0</v>
      </c>
      <c r="CT490" s="1">
        <f t="shared" si="1407"/>
        <v>1.9E-2</v>
      </c>
      <c r="CU490" s="1">
        <f t="shared" si="1408"/>
        <v>3.9E-2</v>
      </c>
      <c r="CV490" s="304">
        <f t="shared" si="1409"/>
        <v>-870</v>
      </c>
      <c r="CW490" s="20" t="s">
        <v>122</v>
      </c>
      <c r="CX490" s="20" t="s">
        <v>122</v>
      </c>
      <c r="CY490" s="20" t="s">
        <v>122</v>
      </c>
      <c r="CZ490" s="20" t="s">
        <v>122</v>
      </c>
      <c r="DA490" s="20" t="s">
        <v>122</v>
      </c>
      <c r="DB490" s="503">
        <f t="shared" si="1410"/>
        <v>0</v>
      </c>
      <c r="DC490" s="127">
        <v>0</v>
      </c>
      <c r="DD490" s="127">
        <v>0</v>
      </c>
      <c r="DE490" s="127">
        <v>0</v>
      </c>
      <c r="DF490" s="127">
        <v>0</v>
      </c>
      <c r="DG490" s="127">
        <v>0</v>
      </c>
      <c r="DH490" s="127">
        <v>0</v>
      </c>
      <c r="DI490" s="127">
        <v>0</v>
      </c>
      <c r="DJ490" s="127">
        <v>0</v>
      </c>
      <c r="DK490" s="127">
        <v>0</v>
      </c>
      <c r="DL490" s="127">
        <v>0</v>
      </c>
      <c r="DM490" s="304">
        <f>INDEX(Input!$1:$1048576,DM$93,$C490*2+6)</f>
        <v>21036.84210526316</v>
      </c>
      <c r="DN490" s="20">
        <v>0</v>
      </c>
      <c r="DO490" s="20">
        <v>0</v>
      </c>
      <c r="DP490" s="20">
        <v>0</v>
      </c>
      <c r="DQ490" s="20">
        <v>0</v>
      </c>
      <c r="DR490" s="20">
        <v>0</v>
      </c>
      <c r="DS490" s="20">
        <f>INDEX(Input!$1:$1048576,DS$93,$C490*2+6)</f>
        <v>0.6</v>
      </c>
      <c r="DT490" s="20">
        <f>INDEX(Input!$1:$1048576,DT$93,$C490*2+6)</f>
        <v>0.55000000000000004</v>
      </c>
      <c r="DU490" s="20">
        <f>INDEX(Input!$1:$1048576,DU$93,$C490*2+6)</f>
        <v>0.52</v>
      </c>
      <c r="DV490" s="20">
        <f>INDEX(Input!$1:$1048576,DV$93,$C490*2+6)</f>
        <v>0.5</v>
      </c>
      <c r="DW490" s="20">
        <f>INDEX(Input!$1:$1048576,DW$93,$C490*2+6)</f>
        <v>0.45</v>
      </c>
      <c r="DX490" s="20"/>
      <c r="DY490" s="7"/>
      <c r="DZ490" s="7"/>
      <c r="EA490" s="7"/>
      <c r="EB490" s="7"/>
      <c r="EC490" s="7"/>
      <c r="ED490" s="7"/>
      <c r="EE490" s="7"/>
      <c r="EF490" s="7"/>
      <c r="EG490" s="7"/>
      <c r="EH490" s="7"/>
      <c r="EI490" s="7"/>
      <c r="EJ490" s="7"/>
      <c r="EK490" s="7"/>
      <c r="EL490" s="7"/>
      <c r="EM490" s="7"/>
      <c r="EN490" s="7"/>
      <c r="EO490" s="7"/>
      <c r="EP490" s="7"/>
      <c r="EQ490" s="7"/>
      <c r="ER490" s="7"/>
      <c r="ES490" s="7"/>
      <c r="ET490" s="7"/>
      <c r="EU490" s="6"/>
      <c r="EV490" s="6"/>
      <c r="EW490" s="6"/>
      <c r="EX490" s="6"/>
      <c r="EY490" s="6"/>
      <c r="EZ490" s="6"/>
      <c r="FA490" s="6"/>
      <c r="FB490" s="6"/>
      <c r="FC490" s="6"/>
      <c r="FD490" s="6"/>
      <c r="FE490" s="6"/>
      <c r="FF490" s="6"/>
      <c r="FG490" s="6"/>
      <c r="FH490" s="6"/>
      <c r="FI490" s="6"/>
      <c r="FJ490" s="6"/>
      <c r="FK490" s="6"/>
      <c r="FL490" s="6"/>
      <c r="FM490" s="6"/>
      <c r="FN490" s="6"/>
      <c r="FO490" s="6"/>
      <c r="FP490" s="6"/>
      <c r="FQ490" s="6"/>
      <c r="FR490" s="6"/>
      <c r="FS490" s="6"/>
      <c r="FT490" s="7"/>
      <c r="FU490" s="7"/>
      <c r="FV490" s="7"/>
      <c r="FW490" s="6"/>
      <c r="FX490" s="6"/>
      <c r="FY490" s="6"/>
      <c r="FZ490" s="6"/>
      <c r="GA490" s="6"/>
      <c r="GB490" s="6"/>
      <c r="GC490" s="7"/>
      <c r="GD490" s="7"/>
      <c r="GE490" s="7"/>
      <c r="GF490" s="7"/>
      <c r="GG490" s="7"/>
      <c r="GH490" s="42"/>
      <c r="GI490" s="6"/>
      <c r="GJ490" s="14"/>
      <c r="GK490" s="14"/>
      <c r="GL490" s="14"/>
      <c r="GM490" s="14"/>
      <c r="GO490" s="5"/>
      <c r="GP490" s="5"/>
      <c r="GQ490" s="5"/>
      <c r="GR490" s="5"/>
      <c r="GS490" s="5"/>
      <c r="GT490" s="5"/>
      <c r="GU490" s="5"/>
      <c r="GV490" s="39"/>
      <c r="GW490" s="5"/>
      <c r="GX490" s="5"/>
      <c r="GY490" s="5"/>
      <c r="GZ490" s="5"/>
      <c r="HA490" s="5"/>
      <c r="HB490" s="39"/>
      <c r="HC490" s="5"/>
      <c r="HD490" s="5"/>
      <c r="HE490" s="5"/>
      <c r="HF490" s="5"/>
      <c r="HG490" s="5"/>
      <c r="HH490" s="39"/>
      <c r="HI490" s="16"/>
      <c r="HJ490" s="19"/>
      <c r="HK490" s="1"/>
      <c r="HL490" s="16"/>
      <c r="HM490" s="1"/>
      <c r="HN490" s="1"/>
      <c r="HO490" s="1"/>
      <c r="HP490" s="1"/>
      <c r="HQ490" s="1"/>
      <c r="HR490" s="1"/>
      <c r="HS490" s="1"/>
      <c r="HT490" s="1"/>
      <c r="HU490" s="1"/>
      <c r="HV490" s="1"/>
      <c r="HW490" s="1"/>
      <c r="HX490" s="1"/>
      <c r="HY490" s="1"/>
      <c r="HZ490" s="1"/>
      <c r="IA490" s="1"/>
      <c r="IB490" s="1"/>
      <c r="IC490" s="1"/>
      <c r="ID490" s="1"/>
      <c r="IE490" s="1"/>
      <c r="IF490" s="1"/>
      <c r="IG490" s="1"/>
      <c r="IH490" s="21"/>
      <c r="II490" s="19"/>
      <c r="IJ490" s="19"/>
      <c r="IK490" s="19"/>
      <c r="IL490" s="19"/>
      <c r="IM490" s="19"/>
      <c r="IN490" s="19"/>
      <c r="IO490" s="39"/>
      <c r="IP490" s="39"/>
      <c r="IQ490" s="39"/>
      <c r="IR490" s="39"/>
      <c r="IS490" s="39"/>
      <c r="IT490" s="39"/>
      <c r="IU490" s="39"/>
      <c r="IV490" s="39"/>
      <c r="IW490" s="39"/>
      <c r="IX490" s="39"/>
      <c r="IY490" s="39"/>
      <c r="IZ490" s="39"/>
      <c r="JA490" s="19"/>
      <c r="JB490" s="19"/>
      <c r="JC490" s="19"/>
      <c r="JD490" s="19"/>
      <c r="JE490" s="21"/>
      <c r="JF490" s="1"/>
      <c r="JG490" s="15"/>
      <c r="JH490" s="1"/>
      <c r="JI490" s="1"/>
      <c r="JJ490" s="1"/>
      <c r="JK490" s="1"/>
      <c r="JL490" s="15"/>
      <c r="JM490" s="15"/>
      <c r="JN490" s="21"/>
      <c r="JO490" s="19"/>
      <c r="JP490" s="19"/>
      <c r="JQ490" s="39"/>
      <c r="JR490" s="39"/>
      <c r="JS490" s="39"/>
      <c r="JT490" s="39"/>
      <c r="JU490" s="385"/>
      <c r="JV490" s="39"/>
      <c r="JW490" s="1"/>
      <c r="JX490" s="19"/>
      <c r="JZ490" s="341"/>
      <c r="KA490" s="342"/>
      <c r="KB490" s="469"/>
      <c r="KI490" s="473"/>
      <c r="KJ490" s="473"/>
      <c r="KK490" s="473"/>
    </row>
    <row r="491" spans="1:307" s="26" customFormat="1" ht="15" outlineLevel="1">
      <c r="A491" s="561">
        <f t="shared" si="1278"/>
        <v>4091</v>
      </c>
      <c r="B491" s="561">
        <f t="shared" si="1296"/>
        <v>91</v>
      </c>
      <c r="C491" s="561">
        <f t="shared" si="1297"/>
        <v>4</v>
      </c>
      <c r="D491" s="561" t="str">
        <f t="shared" si="1393"/>
        <v/>
      </c>
      <c r="E491" s="475">
        <f>INDEX(Input!$1:$1048576,E$93,$C491*2+MIN($B491,2)+5)
+INDEX(Scenarios!E$121:E$200,MATCH($B491,Scenarios!$B$121:$B$200,0))</f>
        <v>1256.832975525977</v>
      </c>
      <c r="F491" s="475">
        <f>INDEX(Input!$1:$1048576,F$93,$C491*2+MIN($B491,2)+5)
+INDEX(Scenarios!F$121:F$200,MATCH($B491,Scenarios!$B$121:$B$200,0))</f>
        <v>0</v>
      </c>
      <c r="G491" s="475">
        <f>INDEX(Input!$1:$1048576,G$93,$C491*2+MIN($B491,2)+5)
+INDEX(Scenarios!G$121:G$200,MATCH($B491,Scenarios!$B$121:$B$200,0))</f>
        <v>0</v>
      </c>
      <c r="H491" s="475">
        <f>INDEX(Input!$1:$1048576,H$93,$C491*2+MIN($B491,2)+5)
+INDEX(Scenarios!H$121:H$200,MATCH($B491,Scenarios!$B$121:$B$200,0))</f>
        <v>0</v>
      </c>
      <c r="I491" s="476">
        <f>INDEX(Input!$1:$1048576,I$93,$C491*2+MIN($B491,2)+5)</f>
        <v>0.7</v>
      </c>
      <c r="J491" s="476" t="str">
        <f>INDEX(Input!$1:$1048576,J$93,$C491*2+MIN($B491,2)+5)</f>
        <v>Market</v>
      </c>
      <c r="K491" s="476" t="str">
        <f>INDEX(Input!$1:$1048576,K$93,$C491*2+MIN($B491,2)+5)</f>
        <v>Market</v>
      </c>
      <c r="L491" s="476" t="str">
        <f>INDEX(Input!$1:$1048576,L$93,$C491*2+MIN($B491,2)+5)</f>
        <v>Market</v>
      </c>
      <c r="M491" s="476" t="str">
        <f>INDEX(Input!$1:$1048576,M$93,$C491*2+MIN($B491,2)+5)</f>
        <v>Market</v>
      </c>
      <c r="N491" s="476" t="str">
        <f>INDEX(Input!$1:$1048576,N$93,$C491*2+MIN($B491,2)+5)</f>
        <v>Market</v>
      </c>
      <c r="O491" s="476" t="str">
        <f>INDEX(Input!$1:$1048576,O$93,$C491*2+MIN($B491,2)+5)</f>
        <v>Market</v>
      </c>
      <c r="P491" s="476" t="str">
        <f>INDEX(Input!$1:$1048576,P$93,$C491*2+MIN($B491,2)+5)</f>
        <v>N</v>
      </c>
      <c r="Q491" s="477">
        <f>INDEX(Input!$1:$1048576,Q$93,$C491*2+MIN($B491,2)+5)
+INDEX(Scenarios!Q$121:Q$200,MATCH($B491,Scenarios!$B$121:$B$200,0))</f>
        <v>0</v>
      </c>
      <c r="R491" s="478">
        <f>IFERROR(MAX(0,INDEX(Input!$1:$1048576,R$93,$C491*2+MIN($B491,2)+5)
+INDEX(Scenarios!R$121:R$200,MATCH($B491,Scenarios!$B$121:$B$200,0)),),"Market")</f>
        <v>0</v>
      </c>
      <c r="S491" s="478">
        <f>IFERROR(MAX(0,INDEX(Input!$1:$1048576,S$93,$C491*2+MIN($B491,2)+5)
+INDEX(Scenarios!S$121:S$200,MATCH($B491,Scenarios!$B$121:$B$200,0)),),"Market")</f>
        <v>0</v>
      </c>
      <c r="T491" s="478">
        <f>IFERROR(MAX(0,INDEX(Input!$1:$1048576,T$93,$C491*2+MIN($B491,2)+5)
+INDEX(Scenarios!T$121:T$200,MATCH($B491,Scenarios!$B$121:$B$200,0)),),"Market")</f>
        <v>0</v>
      </c>
      <c r="U491" s="478">
        <f>IFERROR(MAX(0,INDEX(Input!$1:$1048576,U$93,$C491*2+MIN($B491,2)+5)
+INDEX(Scenarios!U$121:U$200,MATCH($B491,Scenarios!$B$121:$B$200,0)),),"Market")</f>
        <v>0</v>
      </c>
      <c r="V491" s="478">
        <f>IFERROR(MAX(0,INDEX(Input!$1:$1048576,V$93,$C491*2+MIN($B491,2)+5)
+INDEX(Scenarios!V$121:V$200,MATCH($B491,Scenarios!$B$121:$B$200,0)),),"Market")</f>
        <v>1.9E-2</v>
      </c>
      <c r="W491" s="885">
        <f>IFERROR(MAX(0,INDEX(Input!$1:$1048576,W$93,$C491*2+MIN($B491,2)+5)-0%,),"Market")</f>
        <v>3.9E-2</v>
      </c>
      <c r="X491" s="476" t="str">
        <f>INDEX(Input!$1:$1048576,X$93,$C491*2+MIN($B491,2)+5)</f>
        <v>Y</v>
      </c>
      <c r="Y491" s="475">
        <f>INDEX(Input!$1:$1048576,Y$93,$C491*2+MIN($B491,2)+5)
++INDEX(Scenarios!Y$121:Y$200,MATCH($B491,Scenarios!$B$121:$B$200,0))</f>
        <v>-870</v>
      </c>
      <c r="Z491" s="477">
        <f>INDEX(Input!$1:$1048576,Z$93,$C491*2+MIN($B491,2)+5)
+INDEX(Scenarios!Z$121:Z$200,MATCH($B491,Scenarios!$B$121:$B$200,0))</f>
        <v>0</v>
      </c>
      <c r="AA491" s="475">
        <f>INDEX(Input!$1:$1048576,AA$93,$C491*2+MIN($B491,2)+5)
+INDEX(Scenarios!AA$121:AA$200,MATCH($B491,Scenarios!$B$121:$B$200,0))</f>
        <v>0</v>
      </c>
      <c r="AB491" s="476">
        <f>INDEX(Input!$1:$1048576,AB$93,$C491*2+MIN($B491,2)+5)</f>
        <v>0.27</v>
      </c>
      <c r="AC491" s="475">
        <f>INDEX(Input!$1:$1048576,AC$93,$C491*2+MIN($B491,2)+5)
+INDEX(Scenarios!AC$121:AC$200,MATCH($B491,Scenarios!$B$121:$B$200,0))</f>
        <v>0</v>
      </c>
      <c r="AD491" s="476">
        <f>INDEX(Input!$1:$1048576,AD$93,$C491*2+MIN($B491,2)+5)</f>
        <v>0.27</v>
      </c>
      <c r="AE491" s="475">
        <f>INDEX(Input!$1:$1048576,AE$93,$C491*2+MIN($B491,2)+5)
+INDEX(Scenarios!AE$121:AE$200,MATCH($B491,Scenarios!$B$121:$B$200,0))</f>
        <v>0</v>
      </c>
      <c r="AF491" s="476">
        <f>INDEX(Input!$1:$1048576,AF$93,$C491*2+MIN($B491,2)+5)</f>
        <v>1</v>
      </c>
      <c r="AG491" s="475">
        <f>INDEX(Input!$1:$1048576,AG$93,$C491*2+MIN($B491,2)+5)
+INDEX(Scenarios!AG$121:AG$200,MATCH($B491,Scenarios!$B$121:$B$200,0))</f>
        <v>500</v>
      </c>
      <c r="AH491" s="476">
        <f>INDEX(Input!$1:$1048576,AH$93,$C491*2+MIN($B491,2)+5)</f>
        <v>0.83199999999999996</v>
      </c>
      <c r="AI491" s="475">
        <f>INDEX(Input!$1:$1048576,AI$93,$C491*2+MIN($B491,2)+5)
+INDEX(Scenarios!AI$121:AI$200,MATCH($B491,Scenarios!$B$121:$B$200,0))</f>
        <v>0</v>
      </c>
      <c r="AJ491" s="476">
        <f>INDEX(Input!$1:$1048576,AJ$93,$C491*2+MIN($B491,2)+5)</f>
        <v>0.27</v>
      </c>
      <c r="AK491" s="150">
        <f>ROUND(INDEX(Input!$1:$1048576,AK$93,$C490*2+MIN($B491,1)+5)+(Y491-VLOOKUP($C491*1000+1,$A:$HH,Y$92,FALSE)),0)</f>
        <v>2587</v>
      </c>
      <c r="AL491" s="150">
        <f>ROUND(INDEX(Input!$1:$1048576,AL$93,$C490*2+MIN($B491,1)+5)-(Y491-VLOOKUP($C491*1000+1,$A:$HH,Y$92,FALSE))/36,0)</f>
        <v>3406</v>
      </c>
      <c r="AM491" s="32" t="str">
        <f t="shared" si="1279"/>
        <v>std/std/std/std</v>
      </c>
      <c r="AN491" s="32" t="str">
        <f t="shared" si="1280"/>
        <v>$0 + 0/0/0/1.9/3.9</v>
      </c>
      <c r="AO491" s="32" t="str">
        <f t="shared" si="1281"/>
        <v>0/0/0/1.9/3.9</v>
      </c>
      <c r="AP491" s="32" t="str">
        <f t="shared" si="1396"/>
        <v>0/0.9/1.9/3.9</v>
      </c>
      <c r="AQ491" s="536">
        <f t="shared" si="1394"/>
        <v>0</v>
      </c>
      <c r="AR491" s="32"/>
      <c r="AS491" s="302"/>
      <c r="AT491" s="3">
        <f t="shared" si="1298"/>
        <v>91</v>
      </c>
      <c r="AU491" s="41" t="s">
        <v>121</v>
      </c>
      <c r="AV491" s="41" t="s">
        <v>116</v>
      </c>
      <c r="AW491" s="41" t="str">
        <f>INDEX(Input!$1:$1048576,AW$93,$C491*2+6)</f>
        <v>Kia</v>
      </c>
      <c r="AX491" s="41" t="str">
        <f>INDEX(Input!$1:$1048576,AX$93,$C491*2+6)</f>
        <v>Kia-LR - R1</v>
      </c>
      <c r="AY491" s="41" t="str">
        <f>IF(LEN(D491)=0,"",INDEX(Input!$1:$1048576,AY$93,$C491*2+6))</f>
        <v/>
      </c>
      <c r="AZ491" s="41" t="str">
        <f>INDEX(Input!$1:$1048576,AZ$93,$C491*2+6)</f>
        <v>Kia Soul</v>
      </c>
      <c r="BA491" s="3">
        <f>INDEX(Input!$1:$1048576,BA$93,$C491*2+6)</f>
        <v>2020</v>
      </c>
      <c r="BB491" s="128">
        <f>INDEX(Input!$1:$1048576,BB$93,$C491*2+6)</f>
        <v>1</v>
      </c>
      <c r="BC491" s="128">
        <f>INDEX(Input!$1:$1048576,BC$93,$C491*2+6)</f>
        <v>0.7</v>
      </c>
      <c r="BD491" s="1">
        <f>INDEX(Input!$1:$1048576,BD$93,$C491*2+6)</f>
        <v>4.4999999999999998E-2</v>
      </c>
      <c r="BE491" s="1">
        <f>INDEX(Input!$1:$1048576,BE$93,$C491*2+6)</f>
        <v>4.4999999999999998E-2</v>
      </c>
      <c r="BF491" s="1">
        <f>INDEX(Input!$1:$1048576,BF$93,$C491*2+6)</f>
        <v>0.05</v>
      </c>
      <c r="BG491" s="1">
        <f>INDEX(Input!$1:$1048576,BG$93,$C491*2+6)</f>
        <v>5.45E-2</v>
      </c>
      <c r="BH491" s="1">
        <f>INDEX(Input!$1:$1048576,BH$93,$C491*2+6)</f>
        <v>5.45E-2</v>
      </c>
      <c r="BI491" s="1">
        <f>INDEX(Input!$1:$1048576,BI$93,$C491*2+6)</f>
        <v>0.05</v>
      </c>
      <c r="BJ491" s="1">
        <f>INDEX(Input!$1:$1048576,BJ$93,$C491*2+6)</f>
        <v>0.05</v>
      </c>
      <c r="BK491" s="1">
        <f>INDEX(Input!$1:$1048576,BK$93,$C491*2+6)</f>
        <v>0.05</v>
      </c>
      <c r="BL491" s="1">
        <f>INDEX(Input!$1:$1048576,BL$93,$C491*2+6)</f>
        <v>5.5E-2</v>
      </c>
      <c r="BM491" s="1">
        <f>INDEX(Input!$1:$1048576,BM$93,$C491*2+6)</f>
        <v>0.06</v>
      </c>
      <c r="BN491" s="1">
        <f>INDEX(Input!$1:$1048576,BN$93,$C491*2+6)</f>
        <v>4.4999999999999998E-2</v>
      </c>
      <c r="BO491" s="1">
        <f>INDEX(Input!$1:$1048576,BO$93,$C491*2+6)</f>
        <v>4.4999999999999998E-2</v>
      </c>
      <c r="BP491" s="1">
        <f>INDEX(Input!$1:$1048576,BP$93,$C491*2+6)</f>
        <v>0.05</v>
      </c>
      <c r="BQ491" s="1">
        <f>INDEX(Input!$1:$1048576,BQ$93,$C491*2+6)</f>
        <v>5.45E-2</v>
      </c>
      <c r="BR491" s="1">
        <f>INDEX(Input!$1:$1048576,BR$93,$C491*2+6)</f>
        <v>5.45E-2</v>
      </c>
      <c r="BS491" s="1">
        <f>INDEX(Input!$1:$1048576,BS$93,$C491*2+6)</f>
        <v>0.05</v>
      </c>
      <c r="BT491" s="1">
        <f>INDEX(Input!$1:$1048576,BT$93,$C491*2+6)</f>
        <v>0.05</v>
      </c>
      <c r="BU491" s="1">
        <f>INDEX(Input!$1:$1048576,BU$93,$C491*2+6)</f>
        <v>0.05</v>
      </c>
      <c r="BV491" s="1">
        <f>INDEX(Input!$1:$1048576,BV$93,$C491*2+6)</f>
        <v>5.5E-2</v>
      </c>
      <c r="BW491" s="1">
        <f>INDEX(Input!$1:$1048576,BW$93,$C491*2+6)</f>
        <v>0.06</v>
      </c>
      <c r="BX491" s="127">
        <f>INDEX(Input!$1:$1048576,BX$93,$C491*2+6)</f>
        <v>19985</v>
      </c>
      <c r="BY491" s="20">
        <f>INDEX(Input!$1:$1048576,BY$93,$C491*2+6)</f>
        <v>0.1</v>
      </c>
      <c r="BZ491" s="20">
        <f>INDEX(Input!$1:$1048576,BZ$93,$C491*2+6)</f>
        <v>0.1</v>
      </c>
      <c r="CA491" s="20">
        <f>INDEX(Input!$1:$1048576,CA$93,$C491*2+6)</f>
        <v>0.1</v>
      </c>
      <c r="CB491" s="20">
        <f>INDEX(Input!$1:$1048576,CB$93,$C491*2+6)</f>
        <v>0.1</v>
      </c>
      <c r="CC491" s="20">
        <f>INDEX(Input!$1:$1048576,CC$93,$C491*2+6)</f>
        <v>0.1</v>
      </c>
      <c r="CD491" s="384">
        <f>INDEX(Input!$1:$1048576,CD$93,$C491*2+6)</f>
        <v>0.1</v>
      </c>
      <c r="CE491" s="384">
        <f>INDEX(Input!$1:$1048576,CE$93,$C491*2+6)</f>
        <v>0.1</v>
      </c>
      <c r="CF491" s="384">
        <f>INDEX(Input!$1:$1048576,CF$93,$C491*2+6)</f>
        <v>0.1</v>
      </c>
      <c r="CG491" s="384">
        <f>INDEX(Input!$1:$1048576,CG$93,$C491*2+6)</f>
        <v>0.1</v>
      </c>
      <c r="CH491" s="384">
        <f>INDEX(Input!$1:$1048576,CH$93,$C491*2+6)</f>
        <v>0.1</v>
      </c>
      <c r="CI491" s="304">
        <f t="shared" si="1397"/>
        <v>1256.832975525977</v>
      </c>
      <c r="CJ491" s="16" t="str">
        <f>INDEX(Input!$1:$1048576,CJ$93,$C491*2+6)</f>
        <v>N</v>
      </c>
      <c r="CK491" s="1" t="str">
        <f t="shared" si="1398"/>
        <v>Market</v>
      </c>
      <c r="CL491" s="1" t="str">
        <f t="shared" si="1399"/>
        <v>Market</v>
      </c>
      <c r="CM491" s="1" t="str">
        <f t="shared" si="1400"/>
        <v>Market</v>
      </c>
      <c r="CN491" s="1" t="str">
        <f t="shared" si="1401"/>
        <v>Market</v>
      </c>
      <c r="CO491" s="1" t="str">
        <f t="shared" si="1402"/>
        <v>Market</v>
      </c>
      <c r="CP491" s="304">
        <f t="shared" si="1403"/>
        <v>416</v>
      </c>
      <c r="CQ491" s="1">
        <f t="shared" si="1404"/>
        <v>0</v>
      </c>
      <c r="CR491" s="1">
        <f t="shared" si="1405"/>
        <v>0</v>
      </c>
      <c r="CS491" s="1">
        <f t="shared" si="1406"/>
        <v>0</v>
      </c>
      <c r="CT491" s="1">
        <f t="shared" si="1407"/>
        <v>1.9E-2</v>
      </c>
      <c r="CU491" s="1">
        <f t="shared" si="1408"/>
        <v>3.9E-2</v>
      </c>
      <c r="CV491" s="304">
        <f t="shared" si="1409"/>
        <v>-870</v>
      </c>
      <c r="CW491" s="20" t="s">
        <v>122</v>
      </c>
      <c r="CX491" s="20" t="s">
        <v>122</v>
      </c>
      <c r="CY491" s="20" t="s">
        <v>122</v>
      </c>
      <c r="CZ491" s="20" t="s">
        <v>122</v>
      </c>
      <c r="DA491" s="20" t="s">
        <v>122</v>
      </c>
      <c r="DB491" s="503">
        <f t="shared" si="1410"/>
        <v>0</v>
      </c>
      <c r="DC491" s="127">
        <v>0</v>
      </c>
      <c r="DD491" s="127">
        <v>0</v>
      </c>
      <c r="DE491" s="127">
        <v>0</v>
      </c>
      <c r="DF491" s="127">
        <v>0</v>
      </c>
      <c r="DG491" s="127">
        <v>0</v>
      </c>
      <c r="DH491" s="127">
        <v>0</v>
      </c>
      <c r="DI491" s="127">
        <v>0</v>
      </c>
      <c r="DJ491" s="127">
        <v>0</v>
      </c>
      <c r="DK491" s="127">
        <v>0</v>
      </c>
      <c r="DL491" s="127">
        <v>0</v>
      </c>
      <c r="DM491" s="304">
        <f>INDEX(Input!$1:$1048576,DM$93,$C491*2+6)</f>
        <v>21036.84210526316</v>
      </c>
      <c r="DN491" s="20">
        <v>0</v>
      </c>
      <c r="DO491" s="20">
        <v>0</v>
      </c>
      <c r="DP491" s="20">
        <v>0</v>
      </c>
      <c r="DQ491" s="20">
        <v>0</v>
      </c>
      <c r="DR491" s="20">
        <v>0</v>
      </c>
      <c r="DS491" s="20">
        <f>INDEX(Input!$1:$1048576,DS$93,$C491*2+6)</f>
        <v>0.6</v>
      </c>
      <c r="DT491" s="20">
        <f>INDEX(Input!$1:$1048576,DT$93,$C491*2+6)</f>
        <v>0.55000000000000004</v>
      </c>
      <c r="DU491" s="20">
        <f>INDEX(Input!$1:$1048576,DU$93,$C491*2+6)</f>
        <v>0.52</v>
      </c>
      <c r="DV491" s="20">
        <f>INDEX(Input!$1:$1048576,DV$93,$C491*2+6)</f>
        <v>0.5</v>
      </c>
      <c r="DW491" s="20">
        <f>INDEX(Input!$1:$1048576,DW$93,$C491*2+6)</f>
        <v>0.45</v>
      </c>
      <c r="DX491" s="20"/>
      <c r="DY491" s="7"/>
      <c r="DZ491" s="7"/>
      <c r="EA491" s="7"/>
      <c r="EB491" s="7"/>
      <c r="EC491" s="7"/>
      <c r="ED491" s="7"/>
      <c r="EE491" s="7"/>
      <c r="EF491" s="7"/>
      <c r="EG491" s="7"/>
      <c r="EH491" s="7"/>
      <c r="EI491" s="7"/>
      <c r="EJ491" s="7"/>
      <c r="EK491" s="7"/>
      <c r="EL491" s="7"/>
      <c r="EM491" s="7"/>
      <c r="EN491" s="7"/>
      <c r="EO491" s="7"/>
      <c r="EP491" s="7"/>
      <c r="EQ491" s="7"/>
      <c r="ER491" s="7"/>
      <c r="ES491" s="7"/>
      <c r="ET491" s="7"/>
      <c r="EU491" s="6"/>
      <c r="EV491" s="6"/>
      <c r="EW491" s="6"/>
      <c r="EX491" s="6"/>
      <c r="EY491" s="6"/>
      <c r="EZ491" s="6"/>
      <c r="FA491" s="6"/>
      <c r="FB491" s="6"/>
      <c r="FC491" s="6"/>
      <c r="FD491" s="6"/>
      <c r="FE491" s="6"/>
      <c r="FF491" s="6"/>
      <c r="FG491" s="6"/>
      <c r="FH491" s="6"/>
      <c r="FI491" s="6"/>
      <c r="FJ491" s="6"/>
      <c r="FK491" s="6"/>
      <c r="FL491" s="6"/>
      <c r="FM491" s="6"/>
      <c r="FN491" s="6"/>
      <c r="FO491" s="6"/>
      <c r="FP491" s="6"/>
      <c r="FQ491" s="6"/>
      <c r="FR491" s="6"/>
      <c r="FS491" s="6"/>
      <c r="FT491" s="7"/>
      <c r="FU491" s="7"/>
      <c r="FV491" s="7"/>
      <c r="FW491" s="6"/>
      <c r="FX491" s="6"/>
      <c r="FY491" s="6"/>
      <c r="FZ491" s="6"/>
      <c r="GA491" s="6"/>
      <c r="GB491" s="6"/>
      <c r="GC491" s="7"/>
      <c r="GD491" s="7"/>
      <c r="GE491" s="7"/>
      <c r="GF491" s="7"/>
      <c r="GG491" s="7"/>
      <c r="GH491" s="42"/>
      <c r="GI491" s="6"/>
      <c r="GJ491" s="14"/>
      <c r="GK491" s="14"/>
      <c r="GL491" s="14"/>
      <c r="GM491" s="14"/>
      <c r="GO491" s="5"/>
      <c r="GP491" s="5"/>
      <c r="GQ491" s="5"/>
      <c r="GR491" s="5"/>
      <c r="GS491" s="5"/>
      <c r="GT491" s="5"/>
      <c r="GU491" s="5"/>
      <c r="GV491" s="39"/>
      <c r="GW491" s="5"/>
      <c r="GX491" s="5"/>
      <c r="GY491" s="5"/>
      <c r="GZ491" s="5"/>
      <c r="HA491" s="5"/>
      <c r="HB491" s="39"/>
      <c r="HC491" s="5"/>
      <c r="HD491" s="5"/>
      <c r="HE491" s="5"/>
      <c r="HF491" s="5"/>
      <c r="HG491" s="5"/>
      <c r="HH491" s="39"/>
      <c r="HI491" s="16"/>
      <c r="HJ491" s="19"/>
      <c r="HK491" s="1"/>
      <c r="HL491" s="16"/>
      <c r="HM491" s="1"/>
      <c r="HN491" s="1"/>
      <c r="HO491" s="1"/>
      <c r="HP491" s="1"/>
      <c r="HQ491" s="1"/>
      <c r="HR491" s="1"/>
      <c r="HS491" s="1"/>
      <c r="HT491" s="1"/>
      <c r="HU491" s="1"/>
      <c r="HV491" s="1"/>
      <c r="HW491" s="1"/>
      <c r="HX491" s="1"/>
      <c r="HY491" s="1"/>
      <c r="HZ491" s="1"/>
      <c r="IA491" s="1"/>
      <c r="IB491" s="1"/>
      <c r="IC491" s="1"/>
      <c r="ID491" s="1"/>
      <c r="IE491" s="1"/>
      <c r="IF491" s="1"/>
      <c r="IG491" s="1"/>
      <c r="IH491" s="21"/>
      <c r="II491" s="19"/>
      <c r="IJ491" s="19"/>
      <c r="IK491" s="19"/>
      <c r="IL491" s="19"/>
      <c r="IM491" s="19"/>
      <c r="IN491" s="19"/>
      <c r="IO491" s="39"/>
      <c r="IP491" s="39"/>
      <c r="IQ491" s="39"/>
      <c r="IR491" s="39"/>
      <c r="IS491" s="39"/>
      <c r="IT491" s="39"/>
      <c r="IU491" s="39"/>
      <c r="IV491" s="39"/>
      <c r="IW491" s="39"/>
      <c r="IX491" s="39"/>
      <c r="IY491" s="39"/>
      <c r="IZ491" s="39"/>
      <c r="JA491" s="19"/>
      <c r="JB491" s="19"/>
      <c r="JC491" s="19"/>
      <c r="JD491" s="19"/>
      <c r="JE491" s="21"/>
      <c r="JF491" s="1"/>
      <c r="JG491" s="15"/>
      <c r="JH491" s="1"/>
      <c r="JI491" s="1"/>
      <c r="JJ491" s="1"/>
      <c r="JK491" s="1"/>
      <c r="JL491" s="15"/>
      <c r="JM491" s="15"/>
      <c r="JN491" s="21"/>
      <c r="JO491" s="19"/>
      <c r="JP491" s="19"/>
      <c r="JQ491" s="39"/>
      <c r="JR491" s="39"/>
      <c r="JS491" s="39"/>
      <c r="JT491" s="39"/>
      <c r="JU491" s="385"/>
      <c r="JV491" s="39"/>
      <c r="JW491" s="1"/>
      <c r="JX491" s="19"/>
      <c r="JZ491" s="341"/>
      <c r="KA491" s="342"/>
      <c r="KB491" s="469"/>
      <c r="KI491" s="473"/>
      <c r="KJ491" s="473"/>
      <c r="KK491" s="473"/>
    </row>
    <row r="492" spans="1:307" s="26" customFormat="1" ht="15" outlineLevel="1">
      <c r="A492" s="561">
        <f t="shared" si="1278"/>
        <v>4092</v>
      </c>
      <c r="B492" s="561">
        <f t="shared" si="1296"/>
        <v>92</v>
      </c>
      <c r="C492" s="561">
        <f t="shared" si="1297"/>
        <v>4</v>
      </c>
      <c r="D492" s="561" t="str">
        <f t="shared" si="1393"/>
        <v/>
      </c>
      <c r="E492" s="475">
        <f>INDEX(Input!$1:$1048576,E$93,$C492*2+MIN($B492,2)+5)
+INDEX(Scenarios!E$121:E$200,MATCH($B492,Scenarios!$B$121:$B$200,0))</f>
        <v>1256.832975525977</v>
      </c>
      <c r="F492" s="475">
        <f>INDEX(Input!$1:$1048576,F$93,$C492*2+MIN($B492,2)+5)
+INDEX(Scenarios!F$121:F$200,MATCH($B492,Scenarios!$B$121:$B$200,0))</f>
        <v>0</v>
      </c>
      <c r="G492" s="475">
        <f>INDEX(Input!$1:$1048576,G$93,$C492*2+MIN($B492,2)+5)
+INDEX(Scenarios!G$121:G$200,MATCH($B492,Scenarios!$B$121:$B$200,0))</f>
        <v>0</v>
      </c>
      <c r="H492" s="475">
        <f>INDEX(Input!$1:$1048576,H$93,$C492*2+MIN($B492,2)+5)
+INDEX(Scenarios!H$121:H$200,MATCH($B492,Scenarios!$B$121:$B$200,0))</f>
        <v>0</v>
      </c>
      <c r="I492" s="476">
        <f>INDEX(Input!$1:$1048576,I$93,$C492*2+MIN($B492,2)+5)</f>
        <v>0.7</v>
      </c>
      <c r="J492" s="476" t="str">
        <f>INDEX(Input!$1:$1048576,J$93,$C492*2+MIN($B492,2)+5)</f>
        <v>Market</v>
      </c>
      <c r="K492" s="476" t="str">
        <f>INDEX(Input!$1:$1048576,K$93,$C492*2+MIN($B492,2)+5)</f>
        <v>Market</v>
      </c>
      <c r="L492" s="476" t="str">
        <f>INDEX(Input!$1:$1048576,L$93,$C492*2+MIN($B492,2)+5)</f>
        <v>Market</v>
      </c>
      <c r="M492" s="476" t="str">
        <f>INDEX(Input!$1:$1048576,M$93,$C492*2+MIN($B492,2)+5)</f>
        <v>Market</v>
      </c>
      <c r="N492" s="476" t="str">
        <f>INDEX(Input!$1:$1048576,N$93,$C492*2+MIN($B492,2)+5)</f>
        <v>Market</v>
      </c>
      <c r="O492" s="476" t="str">
        <f>INDEX(Input!$1:$1048576,O$93,$C492*2+MIN($B492,2)+5)</f>
        <v>Market</v>
      </c>
      <c r="P492" s="476" t="str">
        <f>INDEX(Input!$1:$1048576,P$93,$C492*2+MIN($B492,2)+5)</f>
        <v>N</v>
      </c>
      <c r="Q492" s="477">
        <f>INDEX(Input!$1:$1048576,Q$93,$C492*2+MIN($B492,2)+5)
+INDEX(Scenarios!Q$121:Q$200,MATCH($B492,Scenarios!$B$121:$B$200,0))</f>
        <v>0</v>
      </c>
      <c r="R492" s="478">
        <f>IFERROR(MAX(0,INDEX(Input!$1:$1048576,R$93,$C492*2+MIN($B492,2)+5)
+INDEX(Scenarios!R$121:R$200,MATCH($B492,Scenarios!$B$121:$B$200,0)),),"Market")</f>
        <v>0</v>
      </c>
      <c r="S492" s="478">
        <f>IFERROR(MAX(0,INDEX(Input!$1:$1048576,S$93,$C492*2+MIN($B492,2)+5)
+INDEX(Scenarios!S$121:S$200,MATCH($B492,Scenarios!$B$121:$B$200,0)),),"Market")</f>
        <v>0</v>
      </c>
      <c r="T492" s="478">
        <f>IFERROR(MAX(0,INDEX(Input!$1:$1048576,T$93,$C492*2+MIN($B492,2)+5)
+INDEX(Scenarios!T$121:T$200,MATCH($B492,Scenarios!$B$121:$B$200,0)),),"Market")</f>
        <v>0</v>
      </c>
      <c r="U492" s="478">
        <f>IFERROR(MAX(0,INDEX(Input!$1:$1048576,U$93,$C492*2+MIN($B492,2)+5)
+INDEX(Scenarios!U$121:U$200,MATCH($B492,Scenarios!$B$121:$B$200,0)),),"Market")</f>
        <v>0</v>
      </c>
      <c r="V492" s="478">
        <f>IFERROR(MAX(0,INDEX(Input!$1:$1048576,V$93,$C492*2+MIN($B492,2)+5)
+INDEX(Scenarios!V$121:V$200,MATCH($B492,Scenarios!$B$121:$B$200,0)),),"Market")</f>
        <v>1.9E-2</v>
      </c>
      <c r="W492" s="885">
        <f>IFERROR(MAX(0,INDEX(Input!$1:$1048576,W$93,$C492*2+MIN($B492,2)+5)-0%,),"Market")</f>
        <v>3.9E-2</v>
      </c>
      <c r="X492" s="476" t="str">
        <f>INDEX(Input!$1:$1048576,X$93,$C492*2+MIN($B492,2)+5)</f>
        <v>Y</v>
      </c>
      <c r="Y492" s="475">
        <f>INDEX(Input!$1:$1048576,Y$93,$C492*2+MIN($B492,2)+5)
++INDEX(Scenarios!Y$121:Y$200,MATCH($B492,Scenarios!$B$121:$B$200,0))</f>
        <v>-870</v>
      </c>
      <c r="Z492" s="477">
        <f>INDEX(Input!$1:$1048576,Z$93,$C492*2+MIN($B492,2)+5)
+INDEX(Scenarios!Z$121:Z$200,MATCH($B492,Scenarios!$B$121:$B$200,0))</f>
        <v>0</v>
      </c>
      <c r="AA492" s="475">
        <f>INDEX(Input!$1:$1048576,AA$93,$C492*2+MIN($B492,2)+5)
+INDEX(Scenarios!AA$121:AA$200,MATCH($B492,Scenarios!$B$121:$B$200,0))</f>
        <v>0</v>
      </c>
      <c r="AB492" s="476">
        <f>INDEX(Input!$1:$1048576,AB$93,$C492*2+MIN($B492,2)+5)</f>
        <v>0.27</v>
      </c>
      <c r="AC492" s="475">
        <f>INDEX(Input!$1:$1048576,AC$93,$C492*2+MIN($B492,2)+5)
+INDEX(Scenarios!AC$121:AC$200,MATCH($B492,Scenarios!$B$121:$B$200,0))</f>
        <v>0</v>
      </c>
      <c r="AD492" s="476">
        <f>INDEX(Input!$1:$1048576,AD$93,$C492*2+MIN($B492,2)+5)</f>
        <v>0.27</v>
      </c>
      <c r="AE492" s="475">
        <f>INDEX(Input!$1:$1048576,AE$93,$C492*2+MIN($B492,2)+5)
+INDEX(Scenarios!AE$121:AE$200,MATCH($B492,Scenarios!$B$121:$B$200,0))</f>
        <v>0</v>
      </c>
      <c r="AF492" s="476">
        <f>INDEX(Input!$1:$1048576,AF$93,$C492*2+MIN($B492,2)+5)</f>
        <v>1</v>
      </c>
      <c r="AG492" s="475">
        <f>INDEX(Input!$1:$1048576,AG$93,$C492*2+MIN($B492,2)+5)
+INDEX(Scenarios!AG$121:AG$200,MATCH($B492,Scenarios!$B$121:$B$200,0))</f>
        <v>500</v>
      </c>
      <c r="AH492" s="476">
        <f>INDEX(Input!$1:$1048576,AH$93,$C492*2+MIN($B492,2)+5)</f>
        <v>0.83199999999999996</v>
      </c>
      <c r="AI492" s="475">
        <f>INDEX(Input!$1:$1048576,AI$93,$C492*2+MIN($B492,2)+5)
+INDEX(Scenarios!AI$121:AI$200,MATCH($B492,Scenarios!$B$121:$B$200,0))</f>
        <v>0</v>
      </c>
      <c r="AJ492" s="476">
        <f>INDEX(Input!$1:$1048576,AJ$93,$C492*2+MIN($B492,2)+5)</f>
        <v>0.27</v>
      </c>
      <c r="AK492" s="150">
        <f>ROUND(INDEX(Input!$1:$1048576,AK$93,$C491*2+MIN($B492,1)+5)+(Y492-VLOOKUP($C492*1000+1,$A:$HH,Y$92,FALSE)),0)</f>
        <v>2587</v>
      </c>
      <c r="AL492" s="150">
        <f>ROUND(INDEX(Input!$1:$1048576,AL$93,$C491*2+MIN($B492,1)+5)-(Y492-VLOOKUP($C492*1000+1,$A:$HH,Y$92,FALSE))/36,0)</f>
        <v>3406</v>
      </c>
      <c r="AM492" s="32" t="str">
        <f t="shared" si="1279"/>
        <v>std/std/std/std</v>
      </c>
      <c r="AN492" s="32" t="str">
        <f t="shared" si="1280"/>
        <v>$0 + 0/0/0/1.9/3.9</v>
      </c>
      <c r="AO492" s="32" t="str">
        <f t="shared" si="1281"/>
        <v>0/0/0/1.9/3.9</v>
      </c>
      <c r="AP492" s="32" t="str">
        <f t="shared" si="1396"/>
        <v>0/0.9/1.9/3.9</v>
      </c>
      <c r="AQ492" s="536">
        <f t="shared" si="1394"/>
        <v>0</v>
      </c>
      <c r="AR492" s="32"/>
      <c r="AS492" s="302"/>
      <c r="AT492" s="3">
        <f t="shared" si="1298"/>
        <v>92</v>
      </c>
      <c r="AU492" s="41" t="s">
        <v>121</v>
      </c>
      <c r="AV492" s="41" t="s">
        <v>116</v>
      </c>
      <c r="AW492" s="41" t="str">
        <f>INDEX(Input!$1:$1048576,AW$93,$C492*2+6)</f>
        <v>Kia</v>
      </c>
      <c r="AX492" s="41" t="str">
        <f>INDEX(Input!$1:$1048576,AX$93,$C492*2+6)</f>
        <v>Kia-LR - R1</v>
      </c>
      <c r="AY492" s="41" t="str">
        <f>IF(LEN(D492)=0,"",INDEX(Input!$1:$1048576,AY$93,$C492*2+6))</f>
        <v/>
      </c>
      <c r="AZ492" s="41" t="str">
        <f>INDEX(Input!$1:$1048576,AZ$93,$C492*2+6)</f>
        <v>Kia Soul</v>
      </c>
      <c r="BA492" s="3">
        <f>INDEX(Input!$1:$1048576,BA$93,$C492*2+6)</f>
        <v>2020</v>
      </c>
      <c r="BB492" s="128">
        <f>INDEX(Input!$1:$1048576,BB$93,$C492*2+6)</f>
        <v>1</v>
      </c>
      <c r="BC492" s="128">
        <f>INDEX(Input!$1:$1048576,BC$93,$C492*2+6)</f>
        <v>0.7</v>
      </c>
      <c r="BD492" s="1">
        <f>INDEX(Input!$1:$1048576,BD$93,$C492*2+6)</f>
        <v>4.4999999999999998E-2</v>
      </c>
      <c r="BE492" s="1">
        <f>INDEX(Input!$1:$1048576,BE$93,$C492*2+6)</f>
        <v>4.4999999999999998E-2</v>
      </c>
      <c r="BF492" s="1">
        <f>INDEX(Input!$1:$1048576,BF$93,$C492*2+6)</f>
        <v>0.05</v>
      </c>
      <c r="BG492" s="1">
        <f>INDEX(Input!$1:$1048576,BG$93,$C492*2+6)</f>
        <v>5.45E-2</v>
      </c>
      <c r="BH492" s="1">
        <f>INDEX(Input!$1:$1048576,BH$93,$C492*2+6)</f>
        <v>5.45E-2</v>
      </c>
      <c r="BI492" s="1">
        <f>INDEX(Input!$1:$1048576,BI$93,$C492*2+6)</f>
        <v>0.05</v>
      </c>
      <c r="BJ492" s="1">
        <f>INDEX(Input!$1:$1048576,BJ$93,$C492*2+6)</f>
        <v>0.05</v>
      </c>
      <c r="BK492" s="1">
        <f>INDEX(Input!$1:$1048576,BK$93,$C492*2+6)</f>
        <v>0.05</v>
      </c>
      <c r="BL492" s="1">
        <f>INDEX(Input!$1:$1048576,BL$93,$C492*2+6)</f>
        <v>5.5E-2</v>
      </c>
      <c r="BM492" s="1">
        <f>INDEX(Input!$1:$1048576,BM$93,$C492*2+6)</f>
        <v>0.06</v>
      </c>
      <c r="BN492" s="1">
        <f>INDEX(Input!$1:$1048576,BN$93,$C492*2+6)</f>
        <v>4.4999999999999998E-2</v>
      </c>
      <c r="BO492" s="1">
        <f>INDEX(Input!$1:$1048576,BO$93,$C492*2+6)</f>
        <v>4.4999999999999998E-2</v>
      </c>
      <c r="BP492" s="1">
        <f>INDEX(Input!$1:$1048576,BP$93,$C492*2+6)</f>
        <v>0.05</v>
      </c>
      <c r="BQ492" s="1">
        <f>INDEX(Input!$1:$1048576,BQ$93,$C492*2+6)</f>
        <v>5.45E-2</v>
      </c>
      <c r="BR492" s="1">
        <f>INDEX(Input!$1:$1048576,BR$93,$C492*2+6)</f>
        <v>5.45E-2</v>
      </c>
      <c r="BS492" s="1">
        <f>INDEX(Input!$1:$1048576,BS$93,$C492*2+6)</f>
        <v>0.05</v>
      </c>
      <c r="BT492" s="1">
        <f>INDEX(Input!$1:$1048576,BT$93,$C492*2+6)</f>
        <v>0.05</v>
      </c>
      <c r="BU492" s="1">
        <f>INDEX(Input!$1:$1048576,BU$93,$C492*2+6)</f>
        <v>0.05</v>
      </c>
      <c r="BV492" s="1">
        <f>INDEX(Input!$1:$1048576,BV$93,$C492*2+6)</f>
        <v>5.5E-2</v>
      </c>
      <c r="BW492" s="1">
        <f>INDEX(Input!$1:$1048576,BW$93,$C492*2+6)</f>
        <v>0.06</v>
      </c>
      <c r="BX492" s="127">
        <f>INDEX(Input!$1:$1048576,BX$93,$C492*2+6)</f>
        <v>19985</v>
      </c>
      <c r="BY492" s="20">
        <f>INDEX(Input!$1:$1048576,BY$93,$C492*2+6)</f>
        <v>0.1</v>
      </c>
      <c r="BZ492" s="20">
        <f>INDEX(Input!$1:$1048576,BZ$93,$C492*2+6)</f>
        <v>0.1</v>
      </c>
      <c r="CA492" s="20">
        <f>INDEX(Input!$1:$1048576,CA$93,$C492*2+6)</f>
        <v>0.1</v>
      </c>
      <c r="CB492" s="20">
        <f>INDEX(Input!$1:$1048576,CB$93,$C492*2+6)</f>
        <v>0.1</v>
      </c>
      <c r="CC492" s="20">
        <f>INDEX(Input!$1:$1048576,CC$93,$C492*2+6)</f>
        <v>0.1</v>
      </c>
      <c r="CD492" s="384">
        <f>INDEX(Input!$1:$1048576,CD$93,$C492*2+6)</f>
        <v>0.1</v>
      </c>
      <c r="CE492" s="384">
        <f>INDEX(Input!$1:$1048576,CE$93,$C492*2+6)</f>
        <v>0.1</v>
      </c>
      <c r="CF492" s="384">
        <f>INDEX(Input!$1:$1048576,CF$93,$C492*2+6)</f>
        <v>0.1</v>
      </c>
      <c r="CG492" s="384">
        <f>INDEX(Input!$1:$1048576,CG$93,$C492*2+6)</f>
        <v>0.1</v>
      </c>
      <c r="CH492" s="384">
        <f>INDEX(Input!$1:$1048576,CH$93,$C492*2+6)</f>
        <v>0.1</v>
      </c>
      <c r="CI492" s="304">
        <f t="shared" si="1397"/>
        <v>1256.832975525977</v>
      </c>
      <c r="CJ492" s="16" t="str">
        <f>INDEX(Input!$1:$1048576,CJ$93,$C492*2+6)</f>
        <v>N</v>
      </c>
      <c r="CK492" s="1" t="str">
        <f t="shared" si="1398"/>
        <v>Market</v>
      </c>
      <c r="CL492" s="1" t="str">
        <f t="shared" si="1399"/>
        <v>Market</v>
      </c>
      <c r="CM492" s="1" t="str">
        <f t="shared" si="1400"/>
        <v>Market</v>
      </c>
      <c r="CN492" s="1" t="str">
        <f t="shared" si="1401"/>
        <v>Market</v>
      </c>
      <c r="CO492" s="1" t="str">
        <f t="shared" si="1402"/>
        <v>Market</v>
      </c>
      <c r="CP492" s="304">
        <f t="shared" si="1403"/>
        <v>416</v>
      </c>
      <c r="CQ492" s="1">
        <f t="shared" si="1404"/>
        <v>0</v>
      </c>
      <c r="CR492" s="1">
        <f t="shared" si="1405"/>
        <v>0</v>
      </c>
      <c r="CS492" s="1">
        <f t="shared" si="1406"/>
        <v>0</v>
      </c>
      <c r="CT492" s="1">
        <f t="shared" si="1407"/>
        <v>1.9E-2</v>
      </c>
      <c r="CU492" s="1">
        <f t="shared" si="1408"/>
        <v>3.9E-2</v>
      </c>
      <c r="CV492" s="304">
        <f t="shared" si="1409"/>
        <v>-870</v>
      </c>
      <c r="CW492" s="20" t="s">
        <v>122</v>
      </c>
      <c r="CX492" s="20" t="s">
        <v>122</v>
      </c>
      <c r="CY492" s="20" t="s">
        <v>122</v>
      </c>
      <c r="CZ492" s="20" t="s">
        <v>122</v>
      </c>
      <c r="DA492" s="20" t="s">
        <v>122</v>
      </c>
      <c r="DB492" s="503">
        <f t="shared" si="1410"/>
        <v>0</v>
      </c>
      <c r="DC492" s="127">
        <v>0</v>
      </c>
      <c r="DD492" s="127">
        <v>0</v>
      </c>
      <c r="DE492" s="127">
        <v>0</v>
      </c>
      <c r="DF492" s="127">
        <v>0</v>
      </c>
      <c r="DG492" s="127">
        <v>0</v>
      </c>
      <c r="DH492" s="127">
        <v>0</v>
      </c>
      <c r="DI492" s="127">
        <v>0</v>
      </c>
      <c r="DJ492" s="127">
        <v>0</v>
      </c>
      <c r="DK492" s="127">
        <v>0</v>
      </c>
      <c r="DL492" s="127">
        <v>0</v>
      </c>
      <c r="DM492" s="304">
        <f>INDEX(Input!$1:$1048576,DM$93,$C492*2+6)</f>
        <v>21036.84210526316</v>
      </c>
      <c r="DN492" s="20">
        <v>0</v>
      </c>
      <c r="DO492" s="20">
        <v>0</v>
      </c>
      <c r="DP492" s="20">
        <v>0</v>
      </c>
      <c r="DQ492" s="20">
        <v>0</v>
      </c>
      <c r="DR492" s="20">
        <v>0</v>
      </c>
      <c r="DS492" s="20">
        <f>INDEX(Input!$1:$1048576,DS$93,$C492*2+6)</f>
        <v>0.6</v>
      </c>
      <c r="DT492" s="20">
        <f>INDEX(Input!$1:$1048576,DT$93,$C492*2+6)</f>
        <v>0.55000000000000004</v>
      </c>
      <c r="DU492" s="20">
        <f>INDEX(Input!$1:$1048576,DU$93,$C492*2+6)</f>
        <v>0.52</v>
      </c>
      <c r="DV492" s="20">
        <f>INDEX(Input!$1:$1048576,DV$93,$C492*2+6)</f>
        <v>0.5</v>
      </c>
      <c r="DW492" s="20">
        <f>INDEX(Input!$1:$1048576,DW$93,$C492*2+6)</f>
        <v>0.45</v>
      </c>
      <c r="DX492" s="20"/>
      <c r="DY492" s="7"/>
      <c r="DZ492" s="7"/>
      <c r="EA492" s="7"/>
      <c r="EB492" s="7"/>
      <c r="EC492" s="7"/>
      <c r="ED492" s="7"/>
      <c r="EE492" s="7"/>
      <c r="EF492" s="7"/>
      <c r="EG492" s="7"/>
      <c r="EH492" s="7"/>
      <c r="EI492" s="7"/>
      <c r="EJ492" s="7"/>
      <c r="EK492" s="7"/>
      <c r="EL492" s="7"/>
      <c r="EM492" s="7"/>
      <c r="EN492" s="7"/>
      <c r="EO492" s="7"/>
      <c r="EP492" s="7"/>
      <c r="EQ492" s="7"/>
      <c r="ER492" s="7"/>
      <c r="ES492" s="7"/>
      <c r="ET492" s="7"/>
      <c r="EU492" s="6"/>
      <c r="EV492" s="6"/>
      <c r="EW492" s="6"/>
      <c r="EX492" s="6"/>
      <c r="EY492" s="6"/>
      <c r="EZ492" s="6"/>
      <c r="FA492" s="6"/>
      <c r="FB492" s="6"/>
      <c r="FC492" s="6"/>
      <c r="FD492" s="6"/>
      <c r="FE492" s="6"/>
      <c r="FF492" s="6"/>
      <c r="FG492" s="6"/>
      <c r="FH492" s="6"/>
      <c r="FI492" s="6"/>
      <c r="FJ492" s="6"/>
      <c r="FK492" s="6"/>
      <c r="FL492" s="6"/>
      <c r="FM492" s="6"/>
      <c r="FN492" s="6"/>
      <c r="FO492" s="6"/>
      <c r="FP492" s="6"/>
      <c r="FQ492" s="6"/>
      <c r="FR492" s="6"/>
      <c r="FS492" s="6"/>
      <c r="FT492" s="7"/>
      <c r="FU492" s="7"/>
      <c r="FV492" s="7"/>
      <c r="FW492" s="6"/>
      <c r="FX492" s="6"/>
      <c r="FY492" s="6"/>
      <c r="FZ492" s="6"/>
      <c r="GA492" s="6"/>
      <c r="GB492" s="6"/>
      <c r="GC492" s="7"/>
      <c r="GD492" s="7"/>
      <c r="GE492" s="7"/>
      <c r="GF492" s="7"/>
      <c r="GG492" s="7"/>
      <c r="GH492" s="42"/>
      <c r="GI492" s="6"/>
      <c r="GJ492" s="14"/>
      <c r="GK492" s="14"/>
      <c r="GL492" s="14"/>
      <c r="GM492" s="14"/>
      <c r="GO492" s="5"/>
      <c r="GP492" s="5"/>
      <c r="GQ492" s="5"/>
      <c r="GR492" s="5"/>
      <c r="GS492" s="5"/>
      <c r="GT492" s="5"/>
      <c r="GU492" s="5"/>
      <c r="GV492" s="39"/>
      <c r="GW492" s="5"/>
      <c r="GX492" s="5"/>
      <c r="GY492" s="5"/>
      <c r="GZ492" s="5"/>
      <c r="HA492" s="5"/>
      <c r="HB492" s="39"/>
      <c r="HC492" s="5"/>
      <c r="HD492" s="5"/>
      <c r="HE492" s="5"/>
      <c r="HF492" s="5"/>
      <c r="HG492" s="5"/>
      <c r="HH492" s="39"/>
      <c r="HI492" s="16"/>
      <c r="HJ492" s="19"/>
      <c r="HK492" s="1"/>
      <c r="HL492" s="16"/>
      <c r="HM492" s="1"/>
      <c r="HN492" s="1"/>
      <c r="HO492" s="1"/>
      <c r="HP492" s="1"/>
      <c r="HQ492" s="1"/>
      <c r="HR492" s="1"/>
      <c r="HS492" s="1"/>
      <c r="HT492" s="1"/>
      <c r="HU492" s="1"/>
      <c r="HV492" s="1"/>
      <c r="HW492" s="1"/>
      <c r="HX492" s="1"/>
      <c r="HY492" s="1"/>
      <c r="HZ492" s="1"/>
      <c r="IA492" s="1"/>
      <c r="IB492" s="1"/>
      <c r="IC492" s="1"/>
      <c r="ID492" s="1"/>
      <c r="IE492" s="1"/>
      <c r="IF492" s="1"/>
      <c r="IG492" s="1"/>
      <c r="IH492" s="21"/>
      <c r="II492" s="19"/>
      <c r="IJ492" s="19"/>
      <c r="IK492" s="19"/>
      <c r="IL492" s="19"/>
      <c r="IM492" s="19"/>
      <c r="IN492" s="19"/>
      <c r="IO492" s="39"/>
      <c r="IP492" s="39"/>
      <c r="IQ492" s="39"/>
      <c r="IR492" s="39"/>
      <c r="IS492" s="39"/>
      <c r="IT492" s="39"/>
      <c r="IU492" s="39"/>
      <c r="IV492" s="39"/>
      <c r="IW492" s="39"/>
      <c r="IX492" s="39"/>
      <c r="IY492" s="39"/>
      <c r="IZ492" s="39"/>
      <c r="JA492" s="19"/>
      <c r="JB492" s="19"/>
      <c r="JC492" s="19"/>
      <c r="JD492" s="19"/>
      <c r="JE492" s="21"/>
      <c r="JF492" s="1"/>
      <c r="JG492" s="15"/>
      <c r="JH492" s="1"/>
      <c r="JI492" s="1"/>
      <c r="JJ492" s="1"/>
      <c r="JK492" s="1"/>
      <c r="JL492" s="15"/>
      <c r="JM492" s="15"/>
      <c r="JN492" s="21"/>
      <c r="JO492" s="19"/>
      <c r="JP492" s="19"/>
      <c r="JQ492" s="39"/>
      <c r="JR492" s="39"/>
      <c r="JS492" s="39"/>
      <c r="JT492" s="39"/>
      <c r="JU492" s="385"/>
      <c r="JV492" s="39"/>
      <c r="JW492" s="1"/>
      <c r="JX492" s="19"/>
      <c r="JZ492" s="341"/>
      <c r="KA492" s="342"/>
      <c r="KB492" s="469"/>
      <c r="KI492" s="473"/>
      <c r="KJ492" s="473"/>
      <c r="KK492" s="473"/>
    </row>
    <row r="493" spans="1:307" s="26" customFormat="1" ht="15" outlineLevel="1">
      <c r="A493" s="561">
        <f t="shared" si="1278"/>
        <v>4093</v>
      </c>
      <c r="B493" s="561">
        <f t="shared" si="1296"/>
        <v>93</v>
      </c>
      <c r="C493" s="561">
        <f t="shared" si="1297"/>
        <v>4</v>
      </c>
      <c r="D493" s="561" t="str">
        <f t="shared" si="1393"/>
        <v/>
      </c>
      <c r="E493" s="475">
        <f>INDEX(Input!$1:$1048576,E$93,$C493*2+MIN($B493,2)+5)
+INDEX(Scenarios!E$121:E$200,MATCH($B493,Scenarios!$B$121:$B$200,0))</f>
        <v>1256.832975525977</v>
      </c>
      <c r="F493" s="475">
        <f>INDEX(Input!$1:$1048576,F$93,$C493*2+MIN($B493,2)+5)
+INDEX(Scenarios!F$121:F$200,MATCH($B493,Scenarios!$B$121:$B$200,0))</f>
        <v>0</v>
      </c>
      <c r="G493" s="475">
        <f>INDEX(Input!$1:$1048576,G$93,$C493*2+MIN($B493,2)+5)
+INDEX(Scenarios!G$121:G$200,MATCH($B493,Scenarios!$B$121:$B$200,0))</f>
        <v>0</v>
      </c>
      <c r="H493" s="475">
        <f>INDEX(Input!$1:$1048576,H$93,$C493*2+MIN($B493,2)+5)
+INDEX(Scenarios!H$121:H$200,MATCH($B493,Scenarios!$B$121:$B$200,0))</f>
        <v>0</v>
      </c>
      <c r="I493" s="476">
        <f>INDEX(Input!$1:$1048576,I$93,$C493*2+MIN($B493,2)+5)</f>
        <v>0.7</v>
      </c>
      <c r="J493" s="476" t="str">
        <f>INDEX(Input!$1:$1048576,J$93,$C493*2+MIN($B493,2)+5)</f>
        <v>Market</v>
      </c>
      <c r="K493" s="476" t="str">
        <f>INDEX(Input!$1:$1048576,K$93,$C493*2+MIN($B493,2)+5)</f>
        <v>Market</v>
      </c>
      <c r="L493" s="476" t="str">
        <f>INDEX(Input!$1:$1048576,L$93,$C493*2+MIN($B493,2)+5)</f>
        <v>Market</v>
      </c>
      <c r="M493" s="476" t="str">
        <f>INDEX(Input!$1:$1048576,M$93,$C493*2+MIN($B493,2)+5)</f>
        <v>Market</v>
      </c>
      <c r="N493" s="476" t="str">
        <f>INDEX(Input!$1:$1048576,N$93,$C493*2+MIN($B493,2)+5)</f>
        <v>Market</v>
      </c>
      <c r="O493" s="476" t="str">
        <f>INDEX(Input!$1:$1048576,O$93,$C493*2+MIN($B493,2)+5)</f>
        <v>Market</v>
      </c>
      <c r="P493" s="476" t="str">
        <f>INDEX(Input!$1:$1048576,P$93,$C493*2+MIN($B493,2)+5)</f>
        <v>N</v>
      </c>
      <c r="Q493" s="477">
        <f>INDEX(Input!$1:$1048576,Q$93,$C493*2+MIN($B493,2)+5)
+INDEX(Scenarios!Q$121:Q$200,MATCH($B493,Scenarios!$B$121:$B$200,0))</f>
        <v>0</v>
      </c>
      <c r="R493" s="478">
        <f>IFERROR(MAX(0,INDEX(Input!$1:$1048576,R$93,$C493*2+MIN($B493,2)+5)
+INDEX(Scenarios!R$121:R$200,MATCH($B493,Scenarios!$B$121:$B$200,0)),),"Market")</f>
        <v>0</v>
      </c>
      <c r="S493" s="478">
        <f>IFERROR(MAX(0,INDEX(Input!$1:$1048576,S$93,$C493*2+MIN($B493,2)+5)
+INDEX(Scenarios!S$121:S$200,MATCH($B493,Scenarios!$B$121:$B$200,0)),),"Market")</f>
        <v>0</v>
      </c>
      <c r="T493" s="478">
        <f>IFERROR(MAX(0,INDEX(Input!$1:$1048576,T$93,$C493*2+MIN($B493,2)+5)
+INDEX(Scenarios!T$121:T$200,MATCH($B493,Scenarios!$B$121:$B$200,0)),),"Market")</f>
        <v>0</v>
      </c>
      <c r="U493" s="478">
        <f>IFERROR(MAX(0,INDEX(Input!$1:$1048576,U$93,$C493*2+MIN($B493,2)+5)
+INDEX(Scenarios!U$121:U$200,MATCH($B493,Scenarios!$B$121:$B$200,0)),),"Market")</f>
        <v>0</v>
      </c>
      <c r="V493" s="478">
        <f>IFERROR(MAX(0,INDEX(Input!$1:$1048576,V$93,$C493*2+MIN($B493,2)+5)
+INDEX(Scenarios!V$121:V$200,MATCH($B493,Scenarios!$B$121:$B$200,0)),),"Market")</f>
        <v>1.9E-2</v>
      </c>
      <c r="W493" s="885">
        <f>IFERROR(MAX(0,INDEX(Input!$1:$1048576,W$93,$C493*2+MIN($B493,2)+5)-0%,),"Market")</f>
        <v>3.9E-2</v>
      </c>
      <c r="X493" s="476" t="str">
        <f>INDEX(Input!$1:$1048576,X$93,$C493*2+MIN($B493,2)+5)</f>
        <v>Y</v>
      </c>
      <c r="Y493" s="475">
        <f>INDEX(Input!$1:$1048576,Y$93,$C493*2+MIN($B493,2)+5)
++INDEX(Scenarios!Y$121:Y$200,MATCH($B493,Scenarios!$B$121:$B$200,0))</f>
        <v>-870</v>
      </c>
      <c r="Z493" s="477">
        <f>INDEX(Input!$1:$1048576,Z$93,$C493*2+MIN($B493,2)+5)
+INDEX(Scenarios!Z$121:Z$200,MATCH($B493,Scenarios!$B$121:$B$200,0))</f>
        <v>0</v>
      </c>
      <c r="AA493" s="475">
        <f>INDEX(Input!$1:$1048576,AA$93,$C493*2+MIN($B493,2)+5)
+INDEX(Scenarios!AA$121:AA$200,MATCH($B493,Scenarios!$B$121:$B$200,0))</f>
        <v>0</v>
      </c>
      <c r="AB493" s="476">
        <f>INDEX(Input!$1:$1048576,AB$93,$C493*2+MIN($B493,2)+5)</f>
        <v>0.27</v>
      </c>
      <c r="AC493" s="475">
        <f>INDEX(Input!$1:$1048576,AC$93,$C493*2+MIN($B493,2)+5)
+INDEX(Scenarios!AC$121:AC$200,MATCH($B493,Scenarios!$B$121:$B$200,0))</f>
        <v>0</v>
      </c>
      <c r="AD493" s="476">
        <f>INDEX(Input!$1:$1048576,AD$93,$C493*2+MIN($B493,2)+5)</f>
        <v>0.27</v>
      </c>
      <c r="AE493" s="475">
        <f>INDEX(Input!$1:$1048576,AE$93,$C493*2+MIN($B493,2)+5)
+INDEX(Scenarios!AE$121:AE$200,MATCH($B493,Scenarios!$B$121:$B$200,0))</f>
        <v>0</v>
      </c>
      <c r="AF493" s="476">
        <f>INDEX(Input!$1:$1048576,AF$93,$C493*2+MIN($B493,2)+5)</f>
        <v>1</v>
      </c>
      <c r="AG493" s="475">
        <f>INDEX(Input!$1:$1048576,AG$93,$C493*2+MIN($B493,2)+5)
+INDEX(Scenarios!AG$121:AG$200,MATCH($B493,Scenarios!$B$121:$B$200,0))</f>
        <v>500</v>
      </c>
      <c r="AH493" s="476">
        <f>INDEX(Input!$1:$1048576,AH$93,$C493*2+MIN($B493,2)+5)</f>
        <v>0.83199999999999996</v>
      </c>
      <c r="AI493" s="475">
        <f>INDEX(Input!$1:$1048576,AI$93,$C493*2+MIN($B493,2)+5)
+INDEX(Scenarios!AI$121:AI$200,MATCH($B493,Scenarios!$B$121:$B$200,0))</f>
        <v>0</v>
      </c>
      <c r="AJ493" s="476">
        <f>INDEX(Input!$1:$1048576,AJ$93,$C493*2+MIN($B493,2)+5)</f>
        <v>0.27</v>
      </c>
      <c r="AK493" s="150">
        <f>ROUND(INDEX(Input!$1:$1048576,AK$93,$C492*2+MIN($B493,1)+5)+(Y493-VLOOKUP($C493*1000+1,$A:$HH,Y$92,FALSE)),0)</f>
        <v>2587</v>
      </c>
      <c r="AL493" s="150">
        <f>ROUND(INDEX(Input!$1:$1048576,AL$93,$C492*2+MIN($B493,1)+5)-(Y493-VLOOKUP($C493*1000+1,$A:$HH,Y$92,FALSE))/36,0)</f>
        <v>3406</v>
      </c>
      <c r="AM493" s="32" t="str">
        <f t="shared" si="1279"/>
        <v>std/std/std/std</v>
      </c>
      <c r="AN493" s="32" t="str">
        <f t="shared" si="1280"/>
        <v>$0 + 0/0/0/1.9/3.9</v>
      </c>
      <c r="AO493" s="32" t="str">
        <f t="shared" si="1281"/>
        <v>0/0/0/1.9/3.9</v>
      </c>
      <c r="AP493" s="32" t="str">
        <f t="shared" si="1396"/>
        <v>0/0.9/1.9/3.9</v>
      </c>
      <c r="AQ493" s="536">
        <f t="shared" si="1394"/>
        <v>0</v>
      </c>
      <c r="AR493" s="32"/>
      <c r="AS493" s="302"/>
      <c r="AT493" s="3">
        <f t="shared" si="1298"/>
        <v>93</v>
      </c>
      <c r="AU493" s="41" t="s">
        <v>121</v>
      </c>
      <c r="AV493" s="41" t="s">
        <v>116</v>
      </c>
      <c r="AW493" s="41" t="str">
        <f>INDEX(Input!$1:$1048576,AW$93,$C493*2+6)</f>
        <v>Kia</v>
      </c>
      <c r="AX493" s="41" t="str">
        <f>INDEX(Input!$1:$1048576,AX$93,$C493*2+6)</f>
        <v>Kia-LR - R1</v>
      </c>
      <c r="AY493" s="41" t="str">
        <f>IF(LEN(D493)=0,"",INDEX(Input!$1:$1048576,AY$93,$C493*2+6))</f>
        <v/>
      </c>
      <c r="AZ493" s="41" t="str">
        <f>INDEX(Input!$1:$1048576,AZ$93,$C493*2+6)</f>
        <v>Kia Soul</v>
      </c>
      <c r="BA493" s="3">
        <f>INDEX(Input!$1:$1048576,BA$93,$C493*2+6)</f>
        <v>2020</v>
      </c>
      <c r="BB493" s="128">
        <f>INDEX(Input!$1:$1048576,BB$93,$C493*2+6)</f>
        <v>1</v>
      </c>
      <c r="BC493" s="128">
        <f>INDEX(Input!$1:$1048576,BC$93,$C493*2+6)</f>
        <v>0.7</v>
      </c>
      <c r="BD493" s="1">
        <f>INDEX(Input!$1:$1048576,BD$93,$C493*2+6)</f>
        <v>4.4999999999999998E-2</v>
      </c>
      <c r="BE493" s="1">
        <f>INDEX(Input!$1:$1048576,BE$93,$C493*2+6)</f>
        <v>4.4999999999999998E-2</v>
      </c>
      <c r="BF493" s="1">
        <f>INDEX(Input!$1:$1048576,BF$93,$C493*2+6)</f>
        <v>0.05</v>
      </c>
      <c r="BG493" s="1">
        <f>INDEX(Input!$1:$1048576,BG$93,$C493*2+6)</f>
        <v>5.45E-2</v>
      </c>
      <c r="BH493" s="1">
        <f>INDEX(Input!$1:$1048576,BH$93,$C493*2+6)</f>
        <v>5.45E-2</v>
      </c>
      <c r="BI493" s="1">
        <f>INDEX(Input!$1:$1048576,BI$93,$C493*2+6)</f>
        <v>0.05</v>
      </c>
      <c r="BJ493" s="1">
        <f>INDEX(Input!$1:$1048576,BJ$93,$C493*2+6)</f>
        <v>0.05</v>
      </c>
      <c r="BK493" s="1">
        <f>INDEX(Input!$1:$1048576,BK$93,$C493*2+6)</f>
        <v>0.05</v>
      </c>
      <c r="BL493" s="1">
        <f>INDEX(Input!$1:$1048576,BL$93,$C493*2+6)</f>
        <v>5.5E-2</v>
      </c>
      <c r="BM493" s="1">
        <f>INDEX(Input!$1:$1048576,BM$93,$C493*2+6)</f>
        <v>0.06</v>
      </c>
      <c r="BN493" s="1">
        <f>INDEX(Input!$1:$1048576,BN$93,$C493*2+6)</f>
        <v>4.4999999999999998E-2</v>
      </c>
      <c r="BO493" s="1">
        <f>INDEX(Input!$1:$1048576,BO$93,$C493*2+6)</f>
        <v>4.4999999999999998E-2</v>
      </c>
      <c r="BP493" s="1">
        <f>INDEX(Input!$1:$1048576,BP$93,$C493*2+6)</f>
        <v>0.05</v>
      </c>
      <c r="BQ493" s="1">
        <f>INDEX(Input!$1:$1048576,BQ$93,$C493*2+6)</f>
        <v>5.45E-2</v>
      </c>
      <c r="BR493" s="1">
        <f>INDEX(Input!$1:$1048576,BR$93,$C493*2+6)</f>
        <v>5.45E-2</v>
      </c>
      <c r="BS493" s="1">
        <f>INDEX(Input!$1:$1048576,BS$93,$C493*2+6)</f>
        <v>0.05</v>
      </c>
      <c r="BT493" s="1">
        <f>INDEX(Input!$1:$1048576,BT$93,$C493*2+6)</f>
        <v>0.05</v>
      </c>
      <c r="BU493" s="1">
        <f>INDEX(Input!$1:$1048576,BU$93,$C493*2+6)</f>
        <v>0.05</v>
      </c>
      <c r="BV493" s="1">
        <f>INDEX(Input!$1:$1048576,BV$93,$C493*2+6)</f>
        <v>5.5E-2</v>
      </c>
      <c r="BW493" s="1">
        <f>INDEX(Input!$1:$1048576,BW$93,$C493*2+6)</f>
        <v>0.06</v>
      </c>
      <c r="BX493" s="127">
        <f>INDEX(Input!$1:$1048576,BX$93,$C493*2+6)</f>
        <v>19985</v>
      </c>
      <c r="BY493" s="20">
        <f>INDEX(Input!$1:$1048576,BY$93,$C493*2+6)</f>
        <v>0.1</v>
      </c>
      <c r="BZ493" s="20">
        <f>INDEX(Input!$1:$1048576,BZ$93,$C493*2+6)</f>
        <v>0.1</v>
      </c>
      <c r="CA493" s="20">
        <f>INDEX(Input!$1:$1048576,CA$93,$C493*2+6)</f>
        <v>0.1</v>
      </c>
      <c r="CB493" s="20">
        <f>INDEX(Input!$1:$1048576,CB$93,$C493*2+6)</f>
        <v>0.1</v>
      </c>
      <c r="CC493" s="20">
        <f>INDEX(Input!$1:$1048576,CC$93,$C493*2+6)</f>
        <v>0.1</v>
      </c>
      <c r="CD493" s="384">
        <f>INDEX(Input!$1:$1048576,CD$93,$C493*2+6)</f>
        <v>0.1</v>
      </c>
      <c r="CE493" s="384">
        <f>INDEX(Input!$1:$1048576,CE$93,$C493*2+6)</f>
        <v>0.1</v>
      </c>
      <c r="CF493" s="384">
        <f>INDEX(Input!$1:$1048576,CF$93,$C493*2+6)</f>
        <v>0.1</v>
      </c>
      <c r="CG493" s="384">
        <f>INDEX(Input!$1:$1048576,CG$93,$C493*2+6)</f>
        <v>0.1</v>
      </c>
      <c r="CH493" s="384">
        <f>INDEX(Input!$1:$1048576,CH$93,$C493*2+6)</f>
        <v>0.1</v>
      </c>
      <c r="CI493" s="304">
        <f t="shared" si="1397"/>
        <v>1256.832975525977</v>
      </c>
      <c r="CJ493" s="16" t="str">
        <f>INDEX(Input!$1:$1048576,CJ$93,$C493*2+6)</f>
        <v>N</v>
      </c>
      <c r="CK493" s="1" t="str">
        <f t="shared" si="1398"/>
        <v>Market</v>
      </c>
      <c r="CL493" s="1" t="str">
        <f t="shared" si="1399"/>
        <v>Market</v>
      </c>
      <c r="CM493" s="1" t="str">
        <f t="shared" si="1400"/>
        <v>Market</v>
      </c>
      <c r="CN493" s="1" t="str">
        <f t="shared" si="1401"/>
        <v>Market</v>
      </c>
      <c r="CO493" s="1" t="str">
        <f t="shared" si="1402"/>
        <v>Market</v>
      </c>
      <c r="CP493" s="304">
        <f t="shared" si="1403"/>
        <v>416</v>
      </c>
      <c r="CQ493" s="1">
        <f t="shared" si="1404"/>
        <v>0</v>
      </c>
      <c r="CR493" s="1">
        <f t="shared" si="1405"/>
        <v>0</v>
      </c>
      <c r="CS493" s="1">
        <f t="shared" si="1406"/>
        <v>0</v>
      </c>
      <c r="CT493" s="1">
        <f t="shared" si="1407"/>
        <v>1.9E-2</v>
      </c>
      <c r="CU493" s="1">
        <f t="shared" si="1408"/>
        <v>3.9E-2</v>
      </c>
      <c r="CV493" s="304">
        <f t="shared" si="1409"/>
        <v>-870</v>
      </c>
      <c r="CW493" s="20" t="s">
        <v>122</v>
      </c>
      <c r="CX493" s="20" t="s">
        <v>122</v>
      </c>
      <c r="CY493" s="20" t="s">
        <v>122</v>
      </c>
      <c r="CZ493" s="20" t="s">
        <v>122</v>
      </c>
      <c r="DA493" s="20" t="s">
        <v>122</v>
      </c>
      <c r="DB493" s="503">
        <f t="shared" si="1410"/>
        <v>0</v>
      </c>
      <c r="DC493" s="127">
        <v>0</v>
      </c>
      <c r="DD493" s="127">
        <v>0</v>
      </c>
      <c r="DE493" s="127">
        <v>0</v>
      </c>
      <c r="DF493" s="127">
        <v>0</v>
      </c>
      <c r="DG493" s="127">
        <v>0</v>
      </c>
      <c r="DH493" s="127">
        <v>0</v>
      </c>
      <c r="DI493" s="127">
        <v>0</v>
      </c>
      <c r="DJ493" s="127">
        <v>0</v>
      </c>
      <c r="DK493" s="127">
        <v>0</v>
      </c>
      <c r="DL493" s="127">
        <v>0</v>
      </c>
      <c r="DM493" s="304">
        <f>INDEX(Input!$1:$1048576,DM$93,$C493*2+6)</f>
        <v>21036.84210526316</v>
      </c>
      <c r="DN493" s="20">
        <v>0</v>
      </c>
      <c r="DO493" s="20">
        <v>0</v>
      </c>
      <c r="DP493" s="20">
        <v>0</v>
      </c>
      <c r="DQ493" s="20">
        <v>0</v>
      </c>
      <c r="DR493" s="20">
        <v>0</v>
      </c>
      <c r="DS493" s="20">
        <f>INDEX(Input!$1:$1048576,DS$93,$C493*2+6)</f>
        <v>0.6</v>
      </c>
      <c r="DT493" s="20">
        <f>INDEX(Input!$1:$1048576,DT$93,$C493*2+6)</f>
        <v>0.55000000000000004</v>
      </c>
      <c r="DU493" s="20">
        <f>INDEX(Input!$1:$1048576,DU$93,$C493*2+6)</f>
        <v>0.52</v>
      </c>
      <c r="DV493" s="20">
        <f>INDEX(Input!$1:$1048576,DV$93,$C493*2+6)</f>
        <v>0.5</v>
      </c>
      <c r="DW493" s="20">
        <f>INDEX(Input!$1:$1048576,DW$93,$C493*2+6)</f>
        <v>0.45</v>
      </c>
      <c r="DX493" s="20"/>
      <c r="DY493" s="7"/>
      <c r="DZ493" s="7"/>
      <c r="EA493" s="7"/>
      <c r="EB493" s="7"/>
      <c r="EC493" s="7"/>
      <c r="ED493" s="7"/>
      <c r="EE493" s="7"/>
      <c r="EF493" s="7"/>
      <c r="EG493" s="7"/>
      <c r="EH493" s="7"/>
      <c r="EI493" s="7"/>
      <c r="EJ493" s="7"/>
      <c r="EK493" s="7"/>
      <c r="EL493" s="7"/>
      <c r="EM493" s="7"/>
      <c r="EN493" s="7"/>
      <c r="EO493" s="7"/>
      <c r="EP493" s="7"/>
      <c r="EQ493" s="7"/>
      <c r="ER493" s="7"/>
      <c r="ES493" s="7"/>
      <c r="ET493" s="7"/>
      <c r="EU493" s="6"/>
      <c r="EV493" s="6"/>
      <c r="EW493" s="6"/>
      <c r="EX493" s="6"/>
      <c r="EY493" s="6"/>
      <c r="EZ493" s="6"/>
      <c r="FA493" s="6"/>
      <c r="FB493" s="6"/>
      <c r="FC493" s="6"/>
      <c r="FD493" s="6"/>
      <c r="FE493" s="6"/>
      <c r="FF493" s="6"/>
      <c r="FG493" s="6"/>
      <c r="FH493" s="6"/>
      <c r="FI493" s="6"/>
      <c r="FJ493" s="6"/>
      <c r="FK493" s="6"/>
      <c r="FL493" s="6"/>
      <c r="FM493" s="6"/>
      <c r="FN493" s="6"/>
      <c r="FO493" s="6"/>
      <c r="FP493" s="6"/>
      <c r="FQ493" s="6"/>
      <c r="FR493" s="6"/>
      <c r="FS493" s="6"/>
      <c r="FT493" s="7"/>
      <c r="FU493" s="7"/>
      <c r="FV493" s="7"/>
      <c r="FW493" s="6"/>
      <c r="FX493" s="6"/>
      <c r="FY493" s="6"/>
      <c r="FZ493" s="6"/>
      <c r="GA493" s="6"/>
      <c r="GB493" s="6"/>
      <c r="GC493" s="7"/>
      <c r="GD493" s="7"/>
      <c r="GE493" s="7"/>
      <c r="GF493" s="7"/>
      <c r="GG493" s="7"/>
      <c r="GH493" s="42"/>
      <c r="GI493" s="6"/>
      <c r="GJ493" s="14"/>
      <c r="GK493" s="14"/>
      <c r="GL493" s="14"/>
      <c r="GM493" s="14"/>
      <c r="GO493" s="5"/>
      <c r="GP493" s="5"/>
      <c r="GQ493" s="5"/>
      <c r="GR493" s="5"/>
      <c r="GS493" s="5"/>
      <c r="GT493" s="5"/>
      <c r="GU493" s="5"/>
      <c r="GV493" s="39"/>
      <c r="GW493" s="5"/>
      <c r="GX493" s="5"/>
      <c r="GY493" s="5"/>
      <c r="GZ493" s="5"/>
      <c r="HA493" s="5"/>
      <c r="HB493" s="39"/>
      <c r="HC493" s="5"/>
      <c r="HD493" s="5"/>
      <c r="HE493" s="5"/>
      <c r="HF493" s="5"/>
      <c r="HG493" s="5"/>
      <c r="HH493" s="39"/>
      <c r="HI493" s="16"/>
      <c r="HJ493" s="19"/>
      <c r="HK493" s="1"/>
      <c r="HL493" s="16"/>
      <c r="HM493" s="1"/>
      <c r="HN493" s="1"/>
      <c r="HO493" s="1"/>
      <c r="HP493" s="1"/>
      <c r="HQ493" s="1"/>
      <c r="HR493" s="1"/>
      <c r="HS493" s="1"/>
      <c r="HT493" s="1"/>
      <c r="HU493" s="1"/>
      <c r="HV493" s="1"/>
      <c r="HW493" s="1"/>
      <c r="HX493" s="1"/>
      <c r="HY493" s="1"/>
      <c r="HZ493" s="1"/>
      <c r="IA493" s="1"/>
      <c r="IB493" s="1"/>
      <c r="IC493" s="1"/>
      <c r="ID493" s="1"/>
      <c r="IE493" s="1"/>
      <c r="IF493" s="1"/>
      <c r="IG493" s="1"/>
      <c r="IH493" s="21"/>
      <c r="II493" s="19"/>
      <c r="IJ493" s="19"/>
      <c r="IK493" s="19"/>
      <c r="IL493" s="19"/>
      <c r="IM493" s="19"/>
      <c r="IN493" s="19"/>
      <c r="IO493" s="39"/>
      <c r="IP493" s="39"/>
      <c r="IQ493" s="39"/>
      <c r="IR493" s="39"/>
      <c r="IS493" s="39"/>
      <c r="IT493" s="39"/>
      <c r="IU493" s="39"/>
      <c r="IV493" s="39"/>
      <c r="IW493" s="39"/>
      <c r="IX493" s="39"/>
      <c r="IY493" s="39"/>
      <c r="IZ493" s="39"/>
      <c r="JA493" s="19"/>
      <c r="JB493" s="19"/>
      <c r="JC493" s="19"/>
      <c r="JD493" s="19"/>
      <c r="JE493" s="21"/>
      <c r="JF493" s="1"/>
      <c r="JG493" s="15"/>
      <c r="JH493" s="1"/>
      <c r="JI493" s="1"/>
      <c r="JJ493" s="1"/>
      <c r="JK493" s="1"/>
      <c r="JL493" s="15"/>
      <c r="JM493" s="15"/>
      <c r="JN493" s="21"/>
      <c r="JO493" s="19"/>
      <c r="JP493" s="19"/>
      <c r="JQ493" s="39"/>
      <c r="JR493" s="39"/>
      <c r="JS493" s="39"/>
      <c r="JT493" s="39"/>
      <c r="JU493" s="385"/>
      <c r="JV493" s="39"/>
      <c r="JW493" s="1"/>
      <c r="JX493" s="19"/>
      <c r="JZ493" s="341"/>
      <c r="KA493" s="342"/>
      <c r="KB493" s="469"/>
      <c r="KI493" s="473"/>
      <c r="KJ493" s="473"/>
      <c r="KK493" s="473"/>
    </row>
    <row r="494" spans="1:307" s="26" customFormat="1" ht="15" outlineLevel="1">
      <c r="A494" s="561">
        <f t="shared" si="1278"/>
        <v>4094</v>
      </c>
      <c r="B494" s="561">
        <f t="shared" si="1296"/>
        <v>94</v>
      </c>
      <c r="C494" s="561">
        <f t="shared" si="1297"/>
        <v>4</v>
      </c>
      <c r="D494" s="561" t="str">
        <f t="shared" si="1393"/>
        <v/>
      </c>
      <c r="E494" s="475">
        <f>INDEX(Input!$1:$1048576,E$93,$C494*2+MIN($B494,2)+5)
+INDEX(Scenarios!E$121:E$200,MATCH($B494,Scenarios!$B$121:$B$200,0))</f>
        <v>1256.832975525977</v>
      </c>
      <c r="F494" s="475">
        <f>INDEX(Input!$1:$1048576,F$93,$C494*2+MIN($B494,2)+5)
+INDEX(Scenarios!F$121:F$200,MATCH($B494,Scenarios!$B$121:$B$200,0))</f>
        <v>0</v>
      </c>
      <c r="G494" s="475">
        <f>INDEX(Input!$1:$1048576,G$93,$C494*2+MIN($B494,2)+5)
+INDEX(Scenarios!G$121:G$200,MATCH($B494,Scenarios!$B$121:$B$200,0))</f>
        <v>0</v>
      </c>
      <c r="H494" s="475">
        <f>INDEX(Input!$1:$1048576,H$93,$C494*2+MIN($B494,2)+5)
+INDEX(Scenarios!H$121:H$200,MATCH($B494,Scenarios!$B$121:$B$200,0))</f>
        <v>0</v>
      </c>
      <c r="I494" s="476">
        <f>INDEX(Input!$1:$1048576,I$93,$C494*2+MIN($B494,2)+5)</f>
        <v>0.7</v>
      </c>
      <c r="J494" s="476" t="str">
        <f>INDEX(Input!$1:$1048576,J$93,$C494*2+MIN($B494,2)+5)</f>
        <v>Market</v>
      </c>
      <c r="K494" s="476" t="str">
        <f>INDEX(Input!$1:$1048576,K$93,$C494*2+MIN($B494,2)+5)</f>
        <v>Market</v>
      </c>
      <c r="L494" s="476" t="str">
        <f>INDEX(Input!$1:$1048576,L$93,$C494*2+MIN($B494,2)+5)</f>
        <v>Market</v>
      </c>
      <c r="M494" s="476" t="str">
        <f>INDEX(Input!$1:$1048576,M$93,$C494*2+MIN($B494,2)+5)</f>
        <v>Market</v>
      </c>
      <c r="N494" s="476" t="str">
        <f>INDEX(Input!$1:$1048576,N$93,$C494*2+MIN($B494,2)+5)</f>
        <v>Market</v>
      </c>
      <c r="O494" s="476" t="str">
        <f>INDEX(Input!$1:$1048576,O$93,$C494*2+MIN($B494,2)+5)</f>
        <v>Market</v>
      </c>
      <c r="P494" s="476" t="str">
        <f>INDEX(Input!$1:$1048576,P$93,$C494*2+MIN($B494,2)+5)</f>
        <v>N</v>
      </c>
      <c r="Q494" s="477">
        <f>INDEX(Input!$1:$1048576,Q$93,$C494*2+MIN($B494,2)+5)
+INDEX(Scenarios!Q$121:Q$200,MATCH($B494,Scenarios!$B$121:$B$200,0))</f>
        <v>0</v>
      </c>
      <c r="R494" s="478">
        <f>IFERROR(MAX(0,INDEX(Input!$1:$1048576,R$93,$C494*2+MIN($B494,2)+5)
+INDEX(Scenarios!R$121:R$200,MATCH($B494,Scenarios!$B$121:$B$200,0)),),"Market")</f>
        <v>0</v>
      </c>
      <c r="S494" s="478">
        <f>IFERROR(MAX(0,INDEX(Input!$1:$1048576,S$93,$C494*2+MIN($B494,2)+5)
+INDEX(Scenarios!S$121:S$200,MATCH($B494,Scenarios!$B$121:$B$200,0)),),"Market")</f>
        <v>0</v>
      </c>
      <c r="T494" s="478">
        <f>IFERROR(MAX(0,INDEX(Input!$1:$1048576,T$93,$C494*2+MIN($B494,2)+5)
+INDEX(Scenarios!T$121:T$200,MATCH($B494,Scenarios!$B$121:$B$200,0)),),"Market")</f>
        <v>0</v>
      </c>
      <c r="U494" s="478">
        <f>IFERROR(MAX(0,INDEX(Input!$1:$1048576,U$93,$C494*2+MIN($B494,2)+5)
+INDEX(Scenarios!U$121:U$200,MATCH($B494,Scenarios!$B$121:$B$200,0)),),"Market")</f>
        <v>0</v>
      </c>
      <c r="V494" s="478">
        <f>IFERROR(MAX(0,INDEX(Input!$1:$1048576,V$93,$C494*2+MIN($B494,2)+5)
+INDEX(Scenarios!V$121:V$200,MATCH($B494,Scenarios!$B$121:$B$200,0)),),"Market")</f>
        <v>1.9E-2</v>
      </c>
      <c r="W494" s="885">
        <f>IFERROR(MAX(0,INDEX(Input!$1:$1048576,W$93,$C494*2+MIN($B494,2)+5)-0%,),"Market")</f>
        <v>3.9E-2</v>
      </c>
      <c r="X494" s="476" t="str">
        <f>INDEX(Input!$1:$1048576,X$93,$C494*2+MIN($B494,2)+5)</f>
        <v>Y</v>
      </c>
      <c r="Y494" s="475">
        <f>INDEX(Input!$1:$1048576,Y$93,$C494*2+MIN($B494,2)+5)
++INDEX(Scenarios!Y$121:Y$200,MATCH($B494,Scenarios!$B$121:$B$200,0))</f>
        <v>-870</v>
      </c>
      <c r="Z494" s="477">
        <f>INDEX(Input!$1:$1048576,Z$93,$C494*2+MIN($B494,2)+5)
+INDEX(Scenarios!Z$121:Z$200,MATCH($B494,Scenarios!$B$121:$B$200,0))</f>
        <v>0</v>
      </c>
      <c r="AA494" s="475">
        <f>INDEX(Input!$1:$1048576,AA$93,$C494*2+MIN($B494,2)+5)
+INDEX(Scenarios!AA$121:AA$200,MATCH($B494,Scenarios!$B$121:$B$200,0))</f>
        <v>0</v>
      </c>
      <c r="AB494" s="476">
        <f>INDEX(Input!$1:$1048576,AB$93,$C494*2+MIN($B494,2)+5)</f>
        <v>0.27</v>
      </c>
      <c r="AC494" s="475">
        <f>INDEX(Input!$1:$1048576,AC$93,$C494*2+MIN($B494,2)+5)
+INDEX(Scenarios!AC$121:AC$200,MATCH($B494,Scenarios!$B$121:$B$200,0))</f>
        <v>0</v>
      </c>
      <c r="AD494" s="476">
        <f>INDEX(Input!$1:$1048576,AD$93,$C494*2+MIN($B494,2)+5)</f>
        <v>0.27</v>
      </c>
      <c r="AE494" s="475">
        <f>INDEX(Input!$1:$1048576,AE$93,$C494*2+MIN($B494,2)+5)
+INDEX(Scenarios!AE$121:AE$200,MATCH($B494,Scenarios!$B$121:$B$200,0))</f>
        <v>0</v>
      </c>
      <c r="AF494" s="476">
        <f>INDEX(Input!$1:$1048576,AF$93,$C494*2+MIN($B494,2)+5)</f>
        <v>1</v>
      </c>
      <c r="AG494" s="475">
        <f>INDEX(Input!$1:$1048576,AG$93,$C494*2+MIN($B494,2)+5)
+INDEX(Scenarios!AG$121:AG$200,MATCH($B494,Scenarios!$B$121:$B$200,0))</f>
        <v>500</v>
      </c>
      <c r="AH494" s="476">
        <f>INDEX(Input!$1:$1048576,AH$93,$C494*2+MIN($B494,2)+5)</f>
        <v>0.83199999999999996</v>
      </c>
      <c r="AI494" s="475">
        <f>INDEX(Input!$1:$1048576,AI$93,$C494*2+MIN($B494,2)+5)
+INDEX(Scenarios!AI$121:AI$200,MATCH($B494,Scenarios!$B$121:$B$200,0))</f>
        <v>0</v>
      </c>
      <c r="AJ494" s="476">
        <f>INDEX(Input!$1:$1048576,AJ$93,$C494*2+MIN($B494,2)+5)</f>
        <v>0.27</v>
      </c>
      <c r="AK494" s="150">
        <f>ROUND(INDEX(Input!$1:$1048576,AK$93,$C493*2+MIN($B494,1)+5)+(Y494-VLOOKUP($C494*1000+1,$A:$HH,Y$92,FALSE)),0)</f>
        <v>2587</v>
      </c>
      <c r="AL494" s="150">
        <f>ROUND(INDEX(Input!$1:$1048576,AL$93,$C493*2+MIN($B494,1)+5)-(Y494-VLOOKUP($C494*1000+1,$A:$HH,Y$92,FALSE))/36,0)</f>
        <v>3406</v>
      </c>
      <c r="AM494" s="32" t="str">
        <f t="shared" si="1279"/>
        <v>std/std/std/std</v>
      </c>
      <c r="AN494" s="32" t="str">
        <f t="shared" si="1280"/>
        <v>$0 + 0/0/0/1.9/3.9</v>
      </c>
      <c r="AO494" s="32" t="str">
        <f t="shared" si="1281"/>
        <v>0/0/0/1.9/3.9</v>
      </c>
      <c r="AP494" s="32" t="str">
        <f t="shared" si="1396"/>
        <v>0/0.9/1.9/3.9</v>
      </c>
      <c r="AQ494" s="536">
        <f t="shared" si="1394"/>
        <v>0</v>
      </c>
      <c r="AR494" s="32"/>
      <c r="AS494" s="302"/>
      <c r="AT494" s="3">
        <f t="shared" si="1298"/>
        <v>94</v>
      </c>
      <c r="AU494" s="41" t="s">
        <v>121</v>
      </c>
      <c r="AV494" s="41" t="s">
        <v>116</v>
      </c>
      <c r="AW494" s="41" t="str">
        <f>INDEX(Input!$1:$1048576,AW$93,$C494*2+6)</f>
        <v>Kia</v>
      </c>
      <c r="AX494" s="41" t="str">
        <f>INDEX(Input!$1:$1048576,AX$93,$C494*2+6)</f>
        <v>Kia-LR - R1</v>
      </c>
      <c r="AY494" s="41" t="str">
        <f>IF(LEN(D494)=0,"",INDEX(Input!$1:$1048576,AY$93,$C494*2+6))</f>
        <v/>
      </c>
      <c r="AZ494" s="41" t="str">
        <f>INDEX(Input!$1:$1048576,AZ$93,$C494*2+6)</f>
        <v>Kia Soul</v>
      </c>
      <c r="BA494" s="3">
        <f>INDEX(Input!$1:$1048576,BA$93,$C494*2+6)</f>
        <v>2020</v>
      </c>
      <c r="BB494" s="128">
        <f>INDEX(Input!$1:$1048576,BB$93,$C494*2+6)</f>
        <v>1</v>
      </c>
      <c r="BC494" s="128">
        <f>INDEX(Input!$1:$1048576,BC$93,$C494*2+6)</f>
        <v>0.7</v>
      </c>
      <c r="BD494" s="1">
        <f>INDEX(Input!$1:$1048576,BD$93,$C494*2+6)</f>
        <v>4.4999999999999998E-2</v>
      </c>
      <c r="BE494" s="1">
        <f>INDEX(Input!$1:$1048576,BE$93,$C494*2+6)</f>
        <v>4.4999999999999998E-2</v>
      </c>
      <c r="BF494" s="1">
        <f>INDEX(Input!$1:$1048576,BF$93,$C494*2+6)</f>
        <v>0.05</v>
      </c>
      <c r="BG494" s="1">
        <f>INDEX(Input!$1:$1048576,BG$93,$C494*2+6)</f>
        <v>5.45E-2</v>
      </c>
      <c r="BH494" s="1">
        <f>INDEX(Input!$1:$1048576,BH$93,$C494*2+6)</f>
        <v>5.45E-2</v>
      </c>
      <c r="BI494" s="1">
        <f>INDEX(Input!$1:$1048576,BI$93,$C494*2+6)</f>
        <v>0.05</v>
      </c>
      <c r="BJ494" s="1">
        <f>INDEX(Input!$1:$1048576,BJ$93,$C494*2+6)</f>
        <v>0.05</v>
      </c>
      <c r="BK494" s="1">
        <f>INDEX(Input!$1:$1048576,BK$93,$C494*2+6)</f>
        <v>0.05</v>
      </c>
      <c r="BL494" s="1">
        <f>INDEX(Input!$1:$1048576,BL$93,$C494*2+6)</f>
        <v>5.5E-2</v>
      </c>
      <c r="BM494" s="1">
        <f>INDEX(Input!$1:$1048576,BM$93,$C494*2+6)</f>
        <v>0.06</v>
      </c>
      <c r="BN494" s="1">
        <f>INDEX(Input!$1:$1048576,BN$93,$C494*2+6)</f>
        <v>4.4999999999999998E-2</v>
      </c>
      <c r="BO494" s="1">
        <f>INDEX(Input!$1:$1048576,BO$93,$C494*2+6)</f>
        <v>4.4999999999999998E-2</v>
      </c>
      <c r="BP494" s="1">
        <f>INDEX(Input!$1:$1048576,BP$93,$C494*2+6)</f>
        <v>0.05</v>
      </c>
      <c r="BQ494" s="1">
        <f>INDEX(Input!$1:$1048576,BQ$93,$C494*2+6)</f>
        <v>5.45E-2</v>
      </c>
      <c r="BR494" s="1">
        <f>INDEX(Input!$1:$1048576,BR$93,$C494*2+6)</f>
        <v>5.45E-2</v>
      </c>
      <c r="BS494" s="1">
        <f>INDEX(Input!$1:$1048576,BS$93,$C494*2+6)</f>
        <v>0.05</v>
      </c>
      <c r="BT494" s="1">
        <f>INDEX(Input!$1:$1048576,BT$93,$C494*2+6)</f>
        <v>0.05</v>
      </c>
      <c r="BU494" s="1">
        <f>INDEX(Input!$1:$1048576,BU$93,$C494*2+6)</f>
        <v>0.05</v>
      </c>
      <c r="BV494" s="1">
        <f>INDEX(Input!$1:$1048576,BV$93,$C494*2+6)</f>
        <v>5.5E-2</v>
      </c>
      <c r="BW494" s="1">
        <f>INDEX(Input!$1:$1048576,BW$93,$C494*2+6)</f>
        <v>0.06</v>
      </c>
      <c r="BX494" s="127">
        <f>INDEX(Input!$1:$1048576,BX$93,$C494*2+6)</f>
        <v>19985</v>
      </c>
      <c r="BY494" s="20">
        <f>INDEX(Input!$1:$1048576,BY$93,$C494*2+6)</f>
        <v>0.1</v>
      </c>
      <c r="BZ494" s="20">
        <f>INDEX(Input!$1:$1048576,BZ$93,$C494*2+6)</f>
        <v>0.1</v>
      </c>
      <c r="CA494" s="20">
        <f>INDEX(Input!$1:$1048576,CA$93,$C494*2+6)</f>
        <v>0.1</v>
      </c>
      <c r="CB494" s="20">
        <f>INDEX(Input!$1:$1048576,CB$93,$C494*2+6)</f>
        <v>0.1</v>
      </c>
      <c r="CC494" s="20">
        <f>INDEX(Input!$1:$1048576,CC$93,$C494*2+6)</f>
        <v>0.1</v>
      </c>
      <c r="CD494" s="384">
        <f>INDEX(Input!$1:$1048576,CD$93,$C494*2+6)</f>
        <v>0.1</v>
      </c>
      <c r="CE494" s="384">
        <f>INDEX(Input!$1:$1048576,CE$93,$C494*2+6)</f>
        <v>0.1</v>
      </c>
      <c r="CF494" s="384">
        <f>INDEX(Input!$1:$1048576,CF$93,$C494*2+6)</f>
        <v>0.1</v>
      </c>
      <c r="CG494" s="384">
        <f>INDEX(Input!$1:$1048576,CG$93,$C494*2+6)</f>
        <v>0.1</v>
      </c>
      <c r="CH494" s="384">
        <f>INDEX(Input!$1:$1048576,CH$93,$C494*2+6)</f>
        <v>0.1</v>
      </c>
      <c r="CI494" s="304">
        <f t="shared" si="1397"/>
        <v>1256.832975525977</v>
      </c>
      <c r="CJ494" s="16" t="str">
        <f>INDEX(Input!$1:$1048576,CJ$93,$C494*2+6)</f>
        <v>N</v>
      </c>
      <c r="CK494" s="1" t="str">
        <f t="shared" si="1398"/>
        <v>Market</v>
      </c>
      <c r="CL494" s="1" t="str">
        <f t="shared" si="1399"/>
        <v>Market</v>
      </c>
      <c r="CM494" s="1" t="str">
        <f t="shared" si="1400"/>
        <v>Market</v>
      </c>
      <c r="CN494" s="1" t="str">
        <f t="shared" si="1401"/>
        <v>Market</v>
      </c>
      <c r="CO494" s="1" t="str">
        <f t="shared" si="1402"/>
        <v>Market</v>
      </c>
      <c r="CP494" s="304">
        <f t="shared" si="1403"/>
        <v>416</v>
      </c>
      <c r="CQ494" s="1">
        <f t="shared" si="1404"/>
        <v>0</v>
      </c>
      <c r="CR494" s="1">
        <f t="shared" si="1405"/>
        <v>0</v>
      </c>
      <c r="CS494" s="1">
        <f t="shared" si="1406"/>
        <v>0</v>
      </c>
      <c r="CT494" s="1">
        <f t="shared" si="1407"/>
        <v>1.9E-2</v>
      </c>
      <c r="CU494" s="1">
        <f t="shared" si="1408"/>
        <v>3.9E-2</v>
      </c>
      <c r="CV494" s="304">
        <f t="shared" si="1409"/>
        <v>-870</v>
      </c>
      <c r="CW494" s="20" t="s">
        <v>122</v>
      </c>
      <c r="CX494" s="20" t="s">
        <v>122</v>
      </c>
      <c r="CY494" s="20" t="s">
        <v>122</v>
      </c>
      <c r="CZ494" s="20" t="s">
        <v>122</v>
      </c>
      <c r="DA494" s="20" t="s">
        <v>122</v>
      </c>
      <c r="DB494" s="503">
        <f t="shared" si="1410"/>
        <v>0</v>
      </c>
      <c r="DC494" s="127">
        <v>0</v>
      </c>
      <c r="DD494" s="127">
        <v>0</v>
      </c>
      <c r="DE494" s="127">
        <v>0</v>
      </c>
      <c r="DF494" s="127">
        <v>0</v>
      </c>
      <c r="DG494" s="127">
        <v>0</v>
      </c>
      <c r="DH494" s="127">
        <v>0</v>
      </c>
      <c r="DI494" s="127">
        <v>0</v>
      </c>
      <c r="DJ494" s="127">
        <v>0</v>
      </c>
      <c r="DK494" s="127">
        <v>0</v>
      </c>
      <c r="DL494" s="127">
        <v>0</v>
      </c>
      <c r="DM494" s="304">
        <f>INDEX(Input!$1:$1048576,DM$93,$C494*2+6)</f>
        <v>21036.84210526316</v>
      </c>
      <c r="DN494" s="20">
        <v>0</v>
      </c>
      <c r="DO494" s="20">
        <v>0</v>
      </c>
      <c r="DP494" s="20">
        <v>0</v>
      </c>
      <c r="DQ494" s="20">
        <v>0</v>
      </c>
      <c r="DR494" s="20">
        <v>0</v>
      </c>
      <c r="DS494" s="20">
        <f>INDEX(Input!$1:$1048576,DS$93,$C494*2+6)</f>
        <v>0.6</v>
      </c>
      <c r="DT494" s="20">
        <f>INDEX(Input!$1:$1048576,DT$93,$C494*2+6)</f>
        <v>0.55000000000000004</v>
      </c>
      <c r="DU494" s="20">
        <f>INDEX(Input!$1:$1048576,DU$93,$C494*2+6)</f>
        <v>0.52</v>
      </c>
      <c r="DV494" s="20">
        <f>INDEX(Input!$1:$1048576,DV$93,$C494*2+6)</f>
        <v>0.5</v>
      </c>
      <c r="DW494" s="20">
        <f>INDEX(Input!$1:$1048576,DW$93,$C494*2+6)</f>
        <v>0.45</v>
      </c>
      <c r="DX494" s="20"/>
      <c r="DY494" s="7"/>
      <c r="DZ494" s="7"/>
      <c r="EA494" s="7"/>
      <c r="EB494" s="7"/>
      <c r="EC494" s="7"/>
      <c r="ED494" s="7"/>
      <c r="EE494" s="7"/>
      <c r="EF494" s="7"/>
      <c r="EG494" s="7"/>
      <c r="EH494" s="7"/>
      <c r="EI494" s="7"/>
      <c r="EJ494" s="7"/>
      <c r="EK494" s="7"/>
      <c r="EL494" s="7"/>
      <c r="EM494" s="7"/>
      <c r="EN494" s="7"/>
      <c r="EO494" s="7"/>
      <c r="EP494" s="7"/>
      <c r="EQ494" s="7"/>
      <c r="ER494" s="7"/>
      <c r="ES494" s="7"/>
      <c r="ET494" s="7"/>
      <c r="EU494" s="6"/>
      <c r="EV494" s="6"/>
      <c r="EW494" s="6"/>
      <c r="EX494" s="6"/>
      <c r="EY494" s="6"/>
      <c r="EZ494" s="6"/>
      <c r="FA494" s="6"/>
      <c r="FB494" s="6"/>
      <c r="FC494" s="6"/>
      <c r="FD494" s="6"/>
      <c r="FE494" s="6"/>
      <c r="FF494" s="6"/>
      <c r="FG494" s="6"/>
      <c r="FH494" s="6"/>
      <c r="FI494" s="6"/>
      <c r="FJ494" s="6"/>
      <c r="FK494" s="6"/>
      <c r="FL494" s="6"/>
      <c r="FM494" s="6"/>
      <c r="FN494" s="6"/>
      <c r="FO494" s="6"/>
      <c r="FP494" s="6"/>
      <c r="FQ494" s="6"/>
      <c r="FR494" s="6"/>
      <c r="FS494" s="6"/>
      <c r="FT494" s="7"/>
      <c r="FU494" s="7"/>
      <c r="FV494" s="7"/>
      <c r="FW494" s="6"/>
      <c r="FX494" s="6"/>
      <c r="FY494" s="6"/>
      <c r="FZ494" s="6"/>
      <c r="GA494" s="6"/>
      <c r="GB494" s="6"/>
      <c r="GC494" s="7"/>
      <c r="GD494" s="7"/>
      <c r="GE494" s="7"/>
      <c r="GF494" s="7"/>
      <c r="GG494" s="7"/>
      <c r="GH494" s="42"/>
      <c r="GI494" s="6"/>
      <c r="GJ494" s="14"/>
      <c r="GK494" s="14"/>
      <c r="GL494" s="14"/>
      <c r="GM494" s="14"/>
      <c r="GO494" s="5"/>
      <c r="GP494" s="5"/>
      <c r="GQ494" s="5"/>
      <c r="GR494" s="5"/>
      <c r="GS494" s="5"/>
      <c r="GT494" s="5"/>
      <c r="GU494" s="5"/>
      <c r="GV494" s="39"/>
      <c r="GW494" s="5"/>
      <c r="GX494" s="5"/>
      <c r="GY494" s="5"/>
      <c r="GZ494" s="5"/>
      <c r="HA494" s="5"/>
      <c r="HB494" s="39"/>
      <c r="HC494" s="5"/>
      <c r="HD494" s="5"/>
      <c r="HE494" s="5"/>
      <c r="HF494" s="5"/>
      <c r="HG494" s="5"/>
      <c r="HH494" s="39"/>
      <c r="HI494" s="16"/>
      <c r="HJ494" s="19"/>
      <c r="HK494" s="1"/>
      <c r="HL494" s="16"/>
      <c r="HM494" s="1"/>
      <c r="HN494" s="1"/>
      <c r="HO494" s="1"/>
      <c r="HP494" s="1"/>
      <c r="HQ494" s="1"/>
      <c r="HR494" s="1"/>
      <c r="HS494" s="1"/>
      <c r="HT494" s="1"/>
      <c r="HU494" s="1"/>
      <c r="HV494" s="1"/>
      <c r="HW494" s="1"/>
      <c r="HX494" s="1"/>
      <c r="HY494" s="1"/>
      <c r="HZ494" s="1"/>
      <c r="IA494" s="1"/>
      <c r="IB494" s="1"/>
      <c r="IC494" s="1"/>
      <c r="ID494" s="1"/>
      <c r="IE494" s="1"/>
      <c r="IF494" s="1"/>
      <c r="IG494" s="1"/>
      <c r="IH494" s="21"/>
      <c r="II494" s="19"/>
      <c r="IJ494" s="19"/>
      <c r="IK494" s="19"/>
      <c r="IL494" s="19"/>
      <c r="IM494" s="19"/>
      <c r="IN494" s="19"/>
      <c r="IO494" s="39"/>
      <c r="IP494" s="39"/>
      <c r="IQ494" s="39"/>
      <c r="IR494" s="39"/>
      <c r="IS494" s="39"/>
      <c r="IT494" s="39"/>
      <c r="IU494" s="39"/>
      <c r="IV494" s="39"/>
      <c r="IW494" s="39"/>
      <c r="IX494" s="39"/>
      <c r="IY494" s="39"/>
      <c r="IZ494" s="39"/>
      <c r="JA494" s="19"/>
      <c r="JB494" s="19"/>
      <c r="JC494" s="19"/>
      <c r="JD494" s="19"/>
      <c r="JE494" s="21"/>
      <c r="JF494" s="1"/>
      <c r="JG494" s="15"/>
      <c r="JH494" s="1"/>
      <c r="JI494" s="1"/>
      <c r="JJ494" s="1"/>
      <c r="JK494" s="1"/>
      <c r="JL494" s="15"/>
      <c r="JM494" s="15"/>
      <c r="JN494" s="21"/>
      <c r="JO494" s="19"/>
      <c r="JP494" s="19"/>
      <c r="JQ494" s="39"/>
      <c r="JR494" s="39"/>
      <c r="JS494" s="39"/>
      <c r="JT494" s="39"/>
      <c r="JU494" s="385"/>
      <c r="JV494" s="39"/>
      <c r="JW494" s="1"/>
      <c r="JX494" s="19"/>
      <c r="JZ494" s="341"/>
      <c r="KA494" s="342"/>
      <c r="KB494" s="469"/>
      <c r="KI494" s="473"/>
      <c r="KJ494" s="473"/>
      <c r="KK494" s="473"/>
    </row>
    <row r="495" spans="1:307" s="26" customFormat="1" ht="15" outlineLevel="1">
      <c r="A495" s="561">
        <f t="shared" si="1278"/>
        <v>4095</v>
      </c>
      <c r="B495" s="561">
        <f t="shared" si="1296"/>
        <v>95</v>
      </c>
      <c r="C495" s="561">
        <f t="shared" si="1297"/>
        <v>4</v>
      </c>
      <c r="D495" s="561" t="str">
        <f t="shared" si="1393"/>
        <v/>
      </c>
      <c r="E495" s="475">
        <f>INDEX(Input!$1:$1048576,E$93,$C495*2+MIN($B495,2)+5)
+INDEX(Scenarios!E$121:E$200,MATCH($B495,Scenarios!$B$121:$B$200,0))</f>
        <v>1256.832975525977</v>
      </c>
      <c r="F495" s="475">
        <f>INDEX(Input!$1:$1048576,F$93,$C495*2+MIN($B495,2)+5)
+INDEX(Scenarios!F$121:F$200,MATCH($B495,Scenarios!$B$121:$B$200,0))</f>
        <v>0</v>
      </c>
      <c r="G495" s="475">
        <f>INDEX(Input!$1:$1048576,G$93,$C495*2+MIN($B495,2)+5)
+INDEX(Scenarios!G$121:G$200,MATCH($B495,Scenarios!$B$121:$B$200,0))</f>
        <v>0</v>
      </c>
      <c r="H495" s="475">
        <f>INDEX(Input!$1:$1048576,H$93,$C495*2+MIN($B495,2)+5)
+INDEX(Scenarios!H$121:H$200,MATCH($B495,Scenarios!$B$121:$B$200,0))</f>
        <v>0</v>
      </c>
      <c r="I495" s="476">
        <f>INDEX(Input!$1:$1048576,I$93,$C495*2+MIN($B495,2)+5)</f>
        <v>0.7</v>
      </c>
      <c r="J495" s="476" t="str">
        <f>INDEX(Input!$1:$1048576,J$93,$C495*2+MIN($B495,2)+5)</f>
        <v>Market</v>
      </c>
      <c r="K495" s="476" t="str">
        <f>INDEX(Input!$1:$1048576,K$93,$C495*2+MIN($B495,2)+5)</f>
        <v>Market</v>
      </c>
      <c r="L495" s="476" t="str">
        <f>INDEX(Input!$1:$1048576,L$93,$C495*2+MIN($B495,2)+5)</f>
        <v>Market</v>
      </c>
      <c r="M495" s="476" t="str">
        <f>INDEX(Input!$1:$1048576,M$93,$C495*2+MIN($B495,2)+5)</f>
        <v>Market</v>
      </c>
      <c r="N495" s="476" t="str">
        <f>INDEX(Input!$1:$1048576,N$93,$C495*2+MIN($B495,2)+5)</f>
        <v>Market</v>
      </c>
      <c r="O495" s="476" t="str">
        <f>INDEX(Input!$1:$1048576,O$93,$C495*2+MIN($B495,2)+5)</f>
        <v>Market</v>
      </c>
      <c r="P495" s="476" t="str">
        <f>INDEX(Input!$1:$1048576,P$93,$C495*2+MIN($B495,2)+5)</f>
        <v>N</v>
      </c>
      <c r="Q495" s="477">
        <f>INDEX(Input!$1:$1048576,Q$93,$C495*2+MIN($B495,2)+5)
+INDEX(Scenarios!Q$121:Q$200,MATCH($B495,Scenarios!$B$121:$B$200,0))</f>
        <v>0</v>
      </c>
      <c r="R495" s="478">
        <f>IFERROR(MAX(0,INDEX(Input!$1:$1048576,R$93,$C495*2+MIN($B495,2)+5)
+INDEX(Scenarios!R$121:R$200,MATCH($B495,Scenarios!$B$121:$B$200,0)),),"Market")</f>
        <v>0</v>
      </c>
      <c r="S495" s="478">
        <f>IFERROR(MAX(0,INDEX(Input!$1:$1048576,S$93,$C495*2+MIN($B495,2)+5)
+INDEX(Scenarios!S$121:S$200,MATCH($B495,Scenarios!$B$121:$B$200,0)),),"Market")</f>
        <v>0</v>
      </c>
      <c r="T495" s="478">
        <f>IFERROR(MAX(0,INDEX(Input!$1:$1048576,T$93,$C495*2+MIN($B495,2)+5)
+INDEX(Scenarios!T$121:T$200,MATCH($B495,Scenarios!$B$121:$B$200,0)),),"Market")</f>
        <v>0</v>
      </c>
      <c r="U495" s="478">
        <f>IFERROR(MAX(0,INDEX(Input!$1:$1048576,U$93,$C495*2+MIN($B495,2)+5)
+INDEX(Scenarios!U$121:U$200,MATCH($B495,Scenarios!$B$121:$B$200,0)),),"Market")</f>
        <v>0</v>
      </c>
      <c r="V495" s="478">
        <f>IFERROR(MAX(0,INDEX(Input!$1:$1048576,V$93,$C495*2+MIN($B495,2)+5)
+INDEX(Scenarios!V$121:V$200,MATCH($B495,Scenarios!$B$121:$B$200,0)),),"Market")</f>
        <v>1.9E-2</v>
      </c>
      <c r="W495" s="885">
        <f>IFERROR(MAX(0,INDEX(Input!$1:$1048576,W$93,$C495*2+MIN($B495,2)+5)-0%,),"Market")</f>
        <v>3.9E-2</v>
      </c>
      <c r="X495" s="476" t="str">
        <f>INDEX(Input!$1:$1048576,X$93,$C495*2+MIN($B495,2)+5)</f>
        <v>Y</v>
      </c>
      <c r="Y495" s="475">
        <f>INDEX(Input!$1:$1048576,Y$93,$C495*2+MIN($B495,2)+5)
++INDEX(Scenarios!Y$121:Y$200,MATCH($B495,Scenarios!$B$121:$B$200,0))</f>
        <v>-870</v>
      </c>
      <c r="Z495" s="477">
        <f>INDEX(Input!$1:$1048576,Z$93,$C495*2+MIN($B495,2)+5)
+INDEX(Scenarios!Z$121:Z$200,MATCH($B495,Scenarios!$B$121:$B$200,0))</f>
        <v>0</v>
      </c>
      <c r="AA495" s="475">
        <f>INDEX(Input!$1:$1048576,AA$93,$C495*2+MIN($B495,2)+5)
+INDEX(Scenarios!AA$121:AA$200,MATCH($B495,Scenarios!$B$121:$B$200,0))</f>
        <v>0</v>
      </c>
      <c r="AB495" s="476">
        <f>INDEX(Input!$1:$1048576,AB$93,$C495*2+MIN($B495,2)+5)</f>
        <v>0.27</v>
      </c>
      <c r="AC495" s="475">
        <f>INDEX(Input!$1:$1048576,AC$93,$C495*2+MIN($B495,2)+5)
+INDEX(Scenarios!AC$121:AC$200,MATCH($B495,Scenarios!$B$121:$B$200,0))</f>
        <v>0</v>
      </c>
      <c r="AD495" s="476">
        <f>INDEX(Input!$1:$1048576,AD$93,$C495*2+MIN($B495,2)+5)</f>
        <v>0.27</v>
      </c>
      <c r="AE495" s="475">
        <f>INDEX(Input!$1:$1048576,AE$93,$C495*2+MIN($B495,2)+5)
+INDEX(Scenarios!AE$121:AE$200,MATCH($B495,Scenarios!$B$121:$B$200,0))</f>
        <v>0</v>
      </c>
      <c r="AF495" s="476">
        <f>INDEX(Input!$1:$1048576,AF$93,$C495*2+MIN($B495,2)+5)</f>
        <v>1</v>
      </c>
      <c r="AG495" s="475">
        <f>INDEX(Input!$1:$1048576,AG$93,$C495*2+MIN($B495,2)+5)
+INDEX(Scenarios!AG$121:AG$200,MATCH($B495,Scenarios!$B$121:$B$200,0))</f>
        <v>500</v>
      </c>
      <c r="AH495" s="476">
        <f>INDEX(Input!$1:$1048576,AH$93,$C495*2+MIN($B495,2)+5)</f>
        <v>0.83199999999999996</v>
      </c>
      <c r="AI495" s="475">
        <f>INDEX(Input!$1:$1048576,AI$93,$C495*2+MIN($B495,2)+5)
+INDEX(Scenarios!AI$121:AI$200,MATCH($B495,Scenarios!$B$121:$B$200,0))</f>
        <v>0</v>
      </c>
      <c r="AJ495" s="476">
        <f>INDEX(Input!$1:$1048576,AJ$93,$C495*2+MIN($B495,2)+5)</f>
        <v>0.27</v>
      </c>
      <c r="AK495" s="150">
        <f>ROUND(INDEX(Input!$1:$1048576,AK$93,$C494*2+MIN($B495,1)+5)+(Y495-VLOOKUP($C495*1000+1,$A:$HH,Y$92,FALSE)),0)</f>
        <v>2587</v>
      </c>
      <c r="AL495" s="150">
        <f>ROUND(INDEX(Input!$1:$1048576,AL$93,$C494*2+MIN($B495,1)+5)-(Y495-VLOOKUP($C495*1000+1,$A:$HH,Y$92,FALSE))/36,0)</f>
        <v>3406</v>
      </c>
      <c r="AM495" s="32" t="str">
        <f t="shared" si="1279"/>
        <v>std/std/std/std</v>
      </c>
      <c r="AN495" s="32" t="str">
        <f t="shared" si="1280"/>
        <v>$0 + 0/0/0/1.9/3.9</v>
      </c>
      <c r="AO495" s="32" t="str">
        <f t="shared" si="1281"/>
        <v>0/0/0/1.9/3.9</v>
      </c>
      <c r="AP495" s="32" t="str">
        <f t="shared" si="1396"/>
        <v>0/0.9/1.9/3.9</v>
      </c>
      <c r="AQ495" s="536">
        <f t="shared" si="1394"/>
        <v>0</v>
      </c>
      <c r="AR495" s="32"/>
      <c r="AS495" s="302"/>
      <c r="AT495" s="3">
        <f t="shared" si="1298"/>
        <v>95</v>
      </c>
      <c r="AU495" s="41" t="s">
        <v>121</v>
      </c>
      <c r="AV495" s="41" t="s">
        <v>116</v>
      </c>
      <c r="AW495" s="41" t="str">
        <f>INDEX(Input!$1:$1048576,AW$93,$C495*2+6)</f>
        <v>Kia</v>
      </c>
      <c r="AX495" s="41" t="str">
        <f>INDEX(Input!$1:$1048576,AX$93,$C495*2+6)</f>
        <v>Kia-LR - R1</v>
      </c>
      <c r="AY495" s="41" t="str">
        <f>IF(LEN(D495)=0,"",INDEX(Input!$1:$1048576,AY$93,$C495*2+6))</f>
        <v/>
      </c>
      <c r="AZ495" s="41" t="str">
        <f>INDEX(Input!$1:$1048576,AZ$93,$C495*2+6)</f>
        <v>Kia Soul</v>
      </c>
      <c r="BA495" s="3">
        <f>INDEX(Input!$1:$1048576,BA$93,$C495*2+6)</f>
        <v>2020</v>
      </c>
      <c r="BB495" s="128">
        <f>INDEX(Input!$1:$1048576,BB$93,$C495*2+6)</f>
        <v>1</v>
      </c>
      <c r="BC495" s="128">
        <f>INDEX(Input!$1:$1048576,BC$93,$C495*2+6)</f>
        <v>0.7</v>
      </c>
      <c r="BD495" s="1">
        <f>INDEX(Input!$1:$1048576,BD$93,$C495*2+6)</f>
        <v>4.4999999999999998E-2</v>
      </c>
      <c r="BE495" s="1">
        <f>INDEX(Input!$1:$1048576,BE$93,$C495*2+6)</f>
        <v>4.4999999999999998E-2</v>
      </c>
      <c r="BF495" s="1">
        <f>INDEX(Input!$1:$1048576,BF$93,$C495*2+6)</f>
        <v>0.05</v>
      </c>
      <c r="BG495" s="1">
        <f>INDEX(Input!$1:$1048576,BG$93,$C495*2+6)</f>
        <v>5.45E-2</v>
      </c>
      <c r="BH495" s="1">
        <f>INDEX(Input!$1:$1048576,BH$93,$C495*2+6)</f>
        <v>5.45E-2</v>
      </c>
      <c r="BI495" s="1">
        <f>INDEX(Input!$1:$1048576,BI$93,$C495*2+6)</f>
        <v>0.05</v>
      </c>
      <c r="BJ495" s="1">
        <f>INDEX(Input!$1:$1048576,BJ$93,$C495*2+6)</f>
        <v>0.05</v>
      </c>
      <c r="BK495" s="1">
        <f>INDEX(Input!$1:$1048576,BK$93,$C495*2+6)</f>
        <v>0.05</v>
      </c>
      <c r="BL495" s="1">
        <f>INDEX(Input!$1:$1048576,BL$93,$C495*2+6)</f>
        <v>5.5E-2</v>
      </c>
      <c r="BM495" s="1">
        <f>INDEX(Input!$1:$1048576,BM$93,$C495*2+6)</f>
        <v>0.06</v>
      </c>
      <c r="BN495" s="1">
        <f>INDEX(Input!$1:$1048576,BN$93,$C495*2+6)</f>
        <v>4.4999999999999998E-2</v>
      </c>
      <c r="BO495" s="1">
        <f>INDEX(Input!$1:$1048576,BO$93,$C495*2+6)</f>
        <v>4.4999999999999998E-2</v>
      </c>
      <c r="BP495" s="1">
        <f>INDEX(Input!$1:$1048576,BP$93,$C495*2+6)</f>
        <v>0.05</v>
      </c>
      <c r="BQ495" s="1">
        <f>INDEX(Input!$1:$1048576,BQ$93,$C495*2+6)</f>
        <v>5.45E-2</v>
      </c>
      <c r="BR495" s="1">
        <f>INDEX(Input!$1:$1048576,BR$93,$C495*2+6)</f>
        <v>5.45E-2</v>
      </c>
      <c r="BS495" s="1">
        <f>INDEX(Input!$1:$1048576,BS$93,$C495*2+6)</f>
        <v>0.05</v>
      </c>
      <c r="BT495" s="1">
        <f>INDEX(Input!$1:$1048576,BT$93,$C495*2+6)</f>
        <v>0.05</v>
      </c>
      <c r="BU495" s="1">
        <f>INDEX(Input!$1:$1048576,BU$93,$C495*2+6)</f>
        <v>0.05</v>
      </c>
      <c r="BV495" s="1">
        <f>INDEX(Input!$1:$1048576,BV$93,$C495*2+6)</f>
        <v>5.5E-2</v>
      </c>
      <c r="BW495" s="1">
        <f>INDEX(Input!$1:$1048576,BW$93,$C495*2+6)</f>
        <v>0.06</v>
      </c>
      <c r="BX495" s="127">
        <f>INDEX(Input!$1:$1048576,BX$93,$C495*2+6)</f>
        <v>19985</v>
      </c>
      <c r="BY495" s="20">
        <f>INDEX(Input!$1:$1048576,BY$93,$C495*2+6)</f>
        <v>0.1</v>
      </c>
      <c r="BZ495" s="20">
        <f>INDEX(Input!$1:$1048576,BZ$93,$C495*2+6)</f>
        <v>0.1</v>
      </c>
      <c r="CA495" s="20">
        <f>INDEX(Input!$1:$1048576,CA$93,$C495*2+6)</f>
        <v>0.1</v>
      </c>
      <c r="CB495" s="20">
        <f>INDEX(Input!$1:$1048576,CB$93,$C495*2+6)</f>
        <v>0.1</v>
      </c>
      <c r="CC495" s="20">
        <f>INDEX(Input!$1:$1048576,CC$93,$C495*2+6)</f>
        <v>0.1</v>
      </c>
      <c r="CD495" s="384">
        <f>INDEX(Input!$1:$1048576,CD$93,$C495*2+6)</f>
        <v>0.1</v>
      </c>
      <c r="CE495" s="384">
        <f>INDEX(Input!$1:$1048576,CE$93,$C495*2+6)</f>
        <v>0.1</v>
      </c>
      <c r="CF495" s="384">
        <f>INDEX(Input!$1:$1048576,CF$93,$C495*2+6)</f>
        <v>0.1</v>
      </c>
      <c r="CG495" s="384">
        <f>INDEX(Input!$1:$1048576,CG$93,$C495*2+6)</f>
        <v>0.1</v>
      </c>
      <c r="CH495" s="384">
        <f>INDEX(Input!$1:$1048576,CH$93,$C495*2+6)</f>
        <v>0.1</v>
      </c>
      <c r="CI495" s="304">
        <f t="shared" si="1397"/>
        <v>1256.832975525977</v>
      </c>
      <c r="CJ495" s="16" t="str">
        <f>INDEX(Input!$1:$1048576,CJ$93,$C495*2+6)</f>
        <v>N</v>
      </c>
      <c r="CK495" s="1" t="str">
        <f t="shared" si="1398"/>
        <v>Market</v>
      </c>
      <c r="CL495" s="1" t="str">
        <f t="shared" si="1399"/>
        <v>Market</v>
      </c>
      <c r="CM495" s="1" t="str">
        <f t="shared" si="1400"/>
        <v>Market</v>
      </c>
      <c r="CN495" s="1" t="str">
        <f t="shared" si="1401"/>
        <v>Market</v>
      </c>
      <c r="CO495" s="1" t="str">
        <f t="shared" si="1402"/>
        <v>Market</v>
      </c>
      <c r="CP495" s="304">
        <f t="shared" si="1403"/>
        <v>416</v>
      </c>
      <c r="CQ495" s="1">
        <f t="shared" si="1404"/>
        <v>0</v>
      </c>
      <c r="CR495" s="1">
        <f t="shared" si="1405"/>
        <v>0</v>
      </c>
      <c r="CS495" s="1">
        <f t="shared" si="1406"/>
        <v>0</v>
      </c>
      <c r="CT495" s="1">
        <f t="shared" si="1407"/>
        <v>1.9E-2</v>
      </c>
      <c r="CU495" s="1">
        <f t="shared" si="1408"/>
        <v>3.9E-2</v>
      </c>
      <c r="CV495" s="304">
        <f t="shared" si="1409"/>
        <v>-870</v>
      </c>
      <c r="CW495" s="20" t="s">
        <v>122</v>
      </c>
      <c r="CX495" s="20" t="s">
        <v>122</v>
      </c>
      <c r="CY495" s="20" t="s">
        <v>122</v>
      </c>
      <c r="CZ495" s="20" t="s">
        <v>122</v>
      </c>
      <c r="DA495" s="20" t="s">
        <v>122</v>
      </c>
      <c r="DB495" s="503">
        <f t="shared" si="1410"/>
        <v>0</v>
      </c>
      <c r="DC495" s="127">
        <v>0</v>
      </c>
      <c r="DD495" s="127">
        <v>0</v>
      </c>
      <c r="DE495" s="127">
        <v>0</v>
      </c>
      <c r="DF495" s="127">
        <v>0</v>
      </c>
      <c r="DG495" s="127">
        <v>0</v>
      </c>
      <c r="DH495" s="127">
        <v>0</v>
      </c>
      <c r="DI495" s="127">
        <v>0</v>
      </c>
      <c r="DJ495" s="127">
        <v>0</v>
      </c>
      <c r="DK495" s="127">
        <v>0</v>
      </c>
      <c r="DL495" s="127">
        <v>0</v>
      </c>
      <c r="DM495" s="304">
        <f>INDEX(Input!$1:$1048576,DM$93,$C495*2+6)</f>
        <v>21036.84210526316</v>
      </c>
      <c r="DN495" s="20">
        <v>0</v>
      </c>
      <c r="DO495" s="20">
        <v>0</v>
      </c>
      <c r="DP495" s="20">
        <v>0</v>
      </c>
      <c r="DQ495" s="20">
        <v>0</v>
      </c>
      <c r="DR495" s="20">
        <v>0</v>
      </c>
      <c r="DS495" s="20">
        <f>INDEX(Input!$1:$1048576,DS$93,$C495*2+6)</f>
        <v>0.6</v>
      </c>
      <c r="DT495" s="20">
        <f>INDEX(Input!$1:$1048576,DT$93,$C495*2+6)</f>
        <v>0.55000000000000004</v>
      </c>
      <c r="DU495" s="20">
        <f>INDEX(Input!$1:$1048576,DU$93,$C495*2+6)</f>
        <v>0.52</v>
      </c>
      <c r="DV495" s="20">
        <f>INDEX(Input!$1:$1048576,DV$93,$C495*2+6)</f>
        <v>0.5</v>
      </c>
      <c r="DW495" s="20">
        <f>INDEX(Input!$1:$1048576,DW$93,$C495*2+6)</f>
        <v>0.45</v>
      </c>
      <c r="DX495" s="20"/>
      <c r="DY495" s="7"/>
      <c r="DZ495" s="7"/>
      <c r="EA495" s="7"/>
      <c r="EB495" s="7"/>
      <c r="EC495" s="7"/>
      <c r="ED495" s="7"/>
      <c r="EE495" s="7"/>
      <c r="EF495" s="7"/>
      <c r="EG495" s="7"/>
      <c r="EH495" s="7"/>
      <c r="EI495" s="7"/>
      <c r="EJ495" s="7"/>
      <c r="EK495" s="7"/>
      <c r="EL495" s="7"/>
      <c r="EM495" s="7"/>
      <c r="EN495" s="7"/>
      <c r="EO495" s="7"/>
      <c r="EP495" s="7"/>
      <c r="EQ495" s="7"/>
      <c r="ER495" s="7"/>
      <c r="ES495" s="7"/>
      <c r="ET495" s="7"/>
      <c r="EU495" s="6"/>
      <c r="EV495" s="6"/>
      <c r="EW495" s="6"/>
      <c r="EX495" s="6"/>
      <c r="EY495" s="6"/>
      <c r="EZ495" s="6"/>
      <c r="FA495" s="6"/>
      <c r="FB495" s="6"/>
      <c r="FC495" s="6"/>
      <c r="FD495" s="6"/>
      <c r="FE495" s="6"/>
      <c r="FF495" s="6"/>
      <c r="FG495" s="6"/>
      <c r="FH495" s="6"/>
      <c r="FI495" s="6"/>
      <c r="FJ495" s="6"/>
      <c r="FK495" s="6"/>
      <c r="FL495" s="6"/>
      <c r="FM495" s="6"/>
      <c r="FN495" s="6"/>
      <c r="FO495" s="6"/>
      <c r="FP495" s="6"/>
      <c r="FQ495" s="6"/>
      <c r="FR495" s="6"/>
      <c r="FS495" s="6"/>
      <c r="FT495" s="7"/>
      <c r="FU495" s="7"/>
      <c r="FV495" s="7"/>
      <c r="FW495" s="6"/>
      <c r="FX495" s="6"/>
      <c r="FY495" s="6"/>
      <c r="FZ495" s="6"/>
      <c r="GA495" s="6"/>
      <c r="GB495" s="6"/>
      <c r="GC495" s="7"/>
      <c r="GD495" s="7"/>
      <c r="GE495" s="7"/>
      <c r="GF495" s="7"/>
      <c r="GG495" s="7"/>
      <c r="GH495" s="42"/>
      <c r="GI495" s="6"/>
      <c r="GJ495" s="14"/>
      <c r="GK495" s="14"/>
      <c r="GL495" s="14"/>
      <c r="GM495" s="14"/>
      <c r="GO495" s="5"/>
      <c r="GP495" s="5"/>
      <c r="GQ495" s="5"/>
      <c r="GR495" s="5"/>
      <c r="GS495" s="5"/>
      <c r="GT495" s="5"/>
      <c r="GU495" s="5"/>
      <c r="GV495" s="39"/>
      <c r="GW495" s="5"/>
      <c r="GX495" s="5"/>
      <c r="GY495" s="5"/>
      <c r="GZ495" s="5"/>
      <c r="HA495" s="5"/>
      <c r="HB495" s="39"/>
      <c r="HC495" s="5"/>
      <c r="HD495" s="5"/>
      <c r="HE495" s="5"/>
      <c r="HF495" s="5"/>
      <c r="HG495" s="5"/>
      <c r="HH495" s="39"/>
      <c r="HI495" s="16"/>
      <c r="HJ495" s="19"/>
      <c r="HK495" s="1"/>
      <c r="HL495" s="16"/>
      <c r="HM495" s="1"/>
      <c r="HN495" s="1"/>
      <c r="HO495" s="1"/>
      <c r="HP495" s="1"/>
      <c r="HQ495" s="1"/>
      <c r="HR495" s="1"/>
      <c r="HS495" s="1"/>
      <c r="HT495" s="1"/>
      <c r="HU495" s="1"/>
      <c r="HV495" s="1"/>
      <c r="HW495" s="1"/>
      <c r="HX495" s="1"/>
      <c r="HY495" s="1"/>
      <c r="HZ495" s="1"/>
      <c r="IA495" s="1"/>
      <c r="IB495" s="1"/>
      <c r="IC495" s="1"/>
      <c r="ID495" s="1"/>
      <c r="IE495" s="1"/>
      <c r="IF495" s="1"/>
      <c r="IG495" s="1"/>
      <c r="IH495" s="21"/>
      <c r="II495" s="19"/>
      <c r="IJ495" s="19"/>
      <c r="IK495" s="19"/>
      <c r="IL495" s="19"/>
      <c r="IM495" s="19"/>
      <c r="IN495" s="19"/>
      <c r="IO495" s="39"/>
      <c r="IP495" s="39"/>
      <c r="IQ495" s="39"/>
      <c r="IR495" s="39"/>
      <c r="IS495" s="39"/>
      <c r="IT495" s="39"/>
      <c r="IU495" s="39"/>
      <c r="IV495" s="39"/>
      <c r="IW495" s="39"/>
      <c r="IX495" s="39"/>
      <c r="IY495" s="39"/>
      <c r="IZ495" s="39"/>
      <c r="JA495" s="19"/>
      <c r="JB495" s="19"/>
      <c r="JC495" s="19"/>
      <c r="JD495" s="19"/>
      <c r="JE495" s="21"/>
      <c r="JF495" s="1"/>
      <c r="JG495" s="15"/>
      <c r="JH495" s="1"/>
      <c r="JI495" s="1"/>
      <c r="JJ495" s="1"/>
      <c r="JK495" s="1"/>
      <c r="JL495" s="15"/>
      <c r="JM495" s="15"/>
      <c r="JN495" s="21"/>
      <c r="JO495" s="19"/>
      <c r="JP495" s="19"/>
      <c r="JQ495" s="39"/>
      <c r="JR495" s="39"/>
      <c r="JS495" s="39"/>
      <c r="JT495" s="39"/>
      <c r="JU495" s="385"/>
      <c r="JV495" s="39"/>
      <c r="JW495" s="1"/>
      <c r="JX495" s="19"/>
      <c r="JZ495" s="341"/>
      <c r="KA495" s="342"/>
      <c r="KB495" s="469"/>
      <c r="KI495" s="473"/>
      <c r="KJ495" s="473"/>
      <c r="KK495" s="473"/>
    </row>
    <row r="496" spans="1:307" s="26" customFormat="1" ht="15" outlineLevel="1">
      <c r="A496" s="561">
        <f t="shared" si="1278"/>
        <v>4096</v>
      </c>
      <c r="B496" s="561">
        <f t="shared" si="1296"/>
        <v>96</v>
      </c>
      <c r="C496" s="561">
        <f t="shared" si="1297"/>
        <v>4</v>
      </c>
      <c r="D496" s="561" t="str">
        <f t="shared" si="1393"/>
        <v/>
      </c>
      <c r="E496" s="475">
        <f>INDEX(Input!$1:$1048576,E$93,$C496*2+MIN($B496,2)+5)
+INDEX(Scenarios!E$121:E$200,MATCH($B496,Scenarios!$B$121:$B$200,0))</f>
        <v>1256.832975525977</v>
      </c>
      <c r="F496" s="475">
        <f>INDEX(Input!$1:$1048576,F$93,$C496*2+MIN($B496,2)+5)
+INDEX(Scenarios!F$121:F$200,MATCH($B496,Scenarios!$B$121:$B$200,0))</f>
        <v>0</v>
      </c>
      <c r="G496" s="475">
        <f>INDEX(Input!$1:$1048576,G$93,$C496*2+MIN($B496,2)+5)
+INDEX(Scenarios!G$121:G$200,MATCH($B496,Scenarios!$B$121:$B$200,0))</f>
        <v>0</v>
      </c>
      <c r="H496" s="475">
        <f>INDEX(Input!$1:$1048576,H$93,$C496*2+MIN($B496,2)+5)
+INDEX(Scenarios!H$121:H$200,MATCH($B496,Scenarios!$B$121:$B$200,0))</f>
        <v>0</v>
      </c>
      <c r="I496" s="476">
        <f>INDEX(Input!$1:$1048576,I$93,$C496*2+MIN($B496,2)+5)</f>
        <v>0.7</v>
      </c>
      <c r="J496" s="476" t="str">
        <f>INDEX(Input!$1:$1048576,J$93,$C496*2+MIN($B496,2)+5)</f>
        <v>Market</v>
      </c>
      <c r="K496" s="476" t="str">
        <f>INDEX(Input!$1:$1048576,K$93,$C496*2+MIN($B496,2)+5)</f>
        <v>Market</v>
      </c>
      <c r="L496" s="476" t="str">
        <f>INDEX(Input!$1:$1048576,L$93,$C496*2+MIN($B496,2)+5)</f>
        <v>Market</v>
      </c>
      <c r="M496" s="476" t="str">
        <f>INDEX(Input!$1:$1048576,M$93,$C496*2+MIN($B496,2)+5)</f>
        <v>Market</v>
      </c>
      <c r="N496" s="476" t="str">
        <f>INDEX(Input!$1:$1048576,N$93,$C496*2+MIN($B496,2)+5)</f>
        <v>Market</v>
      </c>
      <c r="O496" s="476" t="str">
        <f>INDEX(Input!$1:$1048576,O$93,$C496*2+MIN($B496,2)+5)</f>
        <v>Market</v>
      </c>
      <c r="P496" s="476" t="str">
        <f>INDEX(Input!$1:$1048576,P$93,$C496*2+MIN($B496,2)+5)</f>
        <v>N</v>
      </c>
      <c r="Q496" s="477">
        <f>INDEX(Input!$1:$1048576,Q$93,$C496*2+MIN($B496,2)+5)
+INDEX(Scenarios!Q$121:Q$200,MATCH($B496,Scenarios!$B$121:$B$200,0))</f>
        <v>0</v>
      </c>
      <c r="R496" s="478">
        <f>IFERROR(MAX(0,INDEX(Input!$1:$1048576,R$93,$C496*2+MIN($B496,2)+5)
+INDEX(Scenarios!R$121:R$200,MATCH($B496,Scenarios!$B$121:$B$200,0)),),"Market")</f>
        <v>0</v>
      </c>
      <c r="S496" s="478">
        <f>IFERROR(MAX(0,INDEX(Input!$1:$1048576,S$93,$C496*2+MIN($B496,2)+5)
+INDEX(Scenarios!S$121:S$200,MATCH($B496,Scenarios!$B$121:$B$200,0)),),"Market")</f>
        <v>0</v>
      </c>
      <c r="T496" s="478">
        <f>IFERROR(MAX(0,INDEX(Input!$1:$1048576,T$93,$C496*2+MIN($B496,2)+5)
+INDEX(Scenarios!T$121:T$200,MATCH($B496,Scenarios!$B$121:$B$200,0)),),"Market")</f>
        <v>0</v>
      </c>
      <c r="U496" s="478">
        <f>IFERROR(MAX(0,INDEX(Input!$1:$1048576,U$93,$C496*2+MIN($B496,2)+5)
+INDEX(Scenarios!U$121:U$200,MATCH($B496,Scenarios!$B$121:$B$200,0)),),"Market")</f>
        <v>0</v>
      </c>
      <c r="V496" s="478">
        <f>IFERROR(MAX(0,INDEX(Input!$1:$1048576,V$93,$C496*2+MIN($B496,2)+5)
+INDEX(Scenarios!V$121:V$200,MATCH($B496,Scenarios!$B$121:$B$200,0)),),"Market")</f>
        <v>1.9E-2</v>
      </c>
      <c r="W496" s="885">
        <f>IFERROR(MAX(0,INDEX(Input!$1:$1048576,W$93,$C496*2+MIN($B496,2)+5)-0%,),"Market")</f>
        <v>3.9E-2</v>
      </c>
      <c r="X496" s="476" t="str">
        <f>INDEX(Input!$1:$1048576,X$93,$C496*2+MIN($B496,2)+5)</f>
        <v>Y</v>
      </c>
      <c r="Y496" s="475">
        <f>INDEX(Input!$1:$1048576,Y$93,$C496*2+MIN($B496,2)+5)
++INDEX(Scenarios!Y$121:Y$200,MATCH($B496,Scenarios!$B$121:$B$200,0))</f>
        <v>-870</v>
      </c>
      <c r="Z496" s="477">
        <f>INDEX(Input!$1:$1048576,Z$93,$C496*2+MIN($B496,2)+5)
+INDEX(Scenarios!Z$121:Z$200,MATCH($B496,Scenarios!$B$121:$B$200,0))</f>
        <v>0</v>
      </c>
      <c r="AA496" s="475">
        <f>INDEX(Input!$1:$1048576,AA$93,$C496*2+MIN($B496,2)+5)
+INDEX(Scenarios!AA$121:AA$200,MATCH($B496,Scenarios!$B$121:$B$200,0))</f>
        <v>0</v>
      </c>
      <c r="AB496" s="476">
        <f>INDEX(Input!$1:$1048576,AB$93,$C496*2+MIN($B496,2)+5)</f>
        <v>0.27</v>
      </c>
      <c r="AC496" s="475">
        <f>INDEX(Input!$1:$1048576,AC$93,$C496*2+MIN($B496,2)+5)
+INDEX(Scenarios!AC$121:AC$200,MATCH($B496,Scenarios!$B$121:$B$200,0))</f>
        <v>0</v>
      </c>
      <c r="AD496" s="476">
        <f>INDEX(Input!$1:$1048576,AD$93,$C496*2+MIN($B496,2)+5)</f>
        <v>0.27</v>
      </c>
      <c r="AE496" s="475">
        <f>INDEX(Input!$1:$1048576,AE$93,$C496*2+MIN($B496,2)+5)
+INDEX(Scenarios!AE$121:AE$200,MATCH($B496,Scenarios!$B$121:$B$200,0))</f>
        <v>0</v>
      </c>
      <c r="AF496" s="476">
        <f>INDEX(Input!$1:$1048576,AF$93,$C496*2+MIN($B496,2)+5)</f>
        <v>1</v>
      </c>
      <c r="AG496" s="475">
        <f>INDEX(Input!$1:$1048576,AG$93,$C496*2+MIN($B496,2)+5)
+INDEX(Scenarios!AG$121:AG$200,MATCH($B496,Scenarios!$B$121:$B$200,0))</f>
        <v>500</v>
      </c>
      <c r="AH496" s="476">
        <f>INDEX(Input!$1:$1048576,AH$93,$C496*2+MIN($B496,2)+5)</f>
        <v>0.83199999999999996</v>
      </c>
      <c r="AI496" s="475">
        <f>INDEX(Input!$1:$1048576,AI$93,$C496*2+MIN($B496,2)+5)
+INDEX(Scenarios!AI$121:AI$200,MATCH($B496,Scenarios!$B$121:$B$200,0))</f>
        <v>0</v>
      </c>
      <c r="AJ496" s="476">
        <f>INDEX(Input!$1:$1048576,AJ$93,$C496*2+MIN($B496,2)+5)</f>
        <v>0.27</v>
      </c>
      <c r="AK496" s="150">
        <f>ROUND(INDEX(Input!$1:$1048576,AK$93,$C495*2+MIN($B496,1)+5)+(Y496-VLOOKUP($C496*1000+1,$A:$HH,Y$92,FALSE)),0)</f>
        <v>2587</v>
      </c>
      <c r="AL496" s="150">
        <f>ROUND(INDEX(Input!$1:$1048576,AL$93,$C495*2+MIN($B496,1)+5)-(Y496-VLOOKUP($C496*1000+1,$A:$HH,Y$92,FALSE))/36,0)</f>
        <v>3406</v>
      </c>
      <c r="AM496" s="32" t="str">
        <f t="shared" si="1279"/>
        <v>std/std/std/std</v>
      </c>
      <c r="AN496" s="32" t="str">
        <f t="shared" si="1280"/>
        <v>$0 + 0/0/0/1.9/3.9</v>
      </c>
      <c r="AO496" s="32" t="str">
        <f t="shared" si="1281"/>
        <v>0/0/0/1.9/3.9</v>
      </c>
      <c r="AP496" s="32" t="str">
        <f t="shared" si="1396"/>
        <v>0/0.9/1.9/3.9</v>
      </c>
      <c r="AQ496" s="536">
        <f t="shared" si="1394"/>
        <v>0</v>
      </c>
      <c r="AR496" s="32"/>
      <c r="AS496" s="302"/>
      <c r="AT496" s="3">
        <f t="shared" si="1298"/>
        <v>96</v>
      </c>
      <c r="AU496" s="41" t="s">
        <v>121</v>
      </c>
      <c r="AV496" s="41" t="s">
        <v>116</v>
      </c>
      <c r="AW496" s="41" t="str">
        <f>INDEX(Input!$1:$1048576,AW$93,$C496*2+6)</f>
        <v>Kia</v>
      </c>
      <c r="AX496" s="41" t="str">
        <f>INDEX(Input!$1:$1048576,AX$93,$C496*2+6)</f>
        <v>Kia-LR - R1</v>
      </c>
      <c r="AY496" s="41" t="str">
        <f>IF(LEN(D496)=0,"",INDEX(Input!$1:$1048576,AY$93,$C496*2+6))</f>
        <v/>
      </c>
      <c r="AZ496" s="41" t="str">
        <f>INDEX(Input!$1:$1048576,AZ$93,$C496*2+6)</f>
        <v>Kia Soul</v>
      </c>
      <c r="BA496" s="3">
        <f>INDEX(Input!$1:$1048576,BA$93,$C496*2+6)</f>
        <v>2020</v>
      </c>
      <c r="BB496" s="128">
        <f>INDEX(Input!$1:$1048576,BB$93,$C496*2+6)</f>
        <v>1</v>
      </c>
      <c r="BC496" s="128">
        <f>INDEX(Input!$1:$1048576,BC$93,$C496*2+6)</f>
        <v>0.7</v>
      </c>
      <c r="BD496" s="1">
        <f>INDEX(Input!$1:$1048576,BD$93,$C496*2+6)</f>
        <v>4.4999999999999998E-2</v>
      </c>
      <c r="BE496" s="1">
        <f>INDEX(Input!$1:$1048576,BE$93,$C496*2+6)</f>
        <v>4.4999999999999998E-2</v>
      </c>
      <c r="BF496" s="1">
        <f>INDEX(Input!$1:$1048576,BF$93,$C496*2+6)</f>
        <v>0.05</v>
      </c>
      <c r="BG496" s="1">
        <f>INDEX(Input!$1:$1048576,BG$93,$C496*2+6)</f>
        <v>5.45E-2</v>
      </c>
      <c r="BH496" s="1">
        <f>INDEX(Input!$1:$1048576,BH$93,$C496*2+6)</f>
        <v>5.45E-2</v>
      </c>
      <c r="BI496" s="1">
        <f>INDEX(Input!$1:$1048576,BI$93,$C496*2+6)</f>
        <v>0.05</v>
      </c>
      <c r="BJ496" s="1">
        <f>INDEX(Input!$1:$1048576,BJ$93,$C496*2+6)</f>
        <v>0.05</v>
      </c>
      <c r="BK496" s="1">
        <f>INDEX(Input!$1:$1048576,BK$93,$C496*2+6)</f>
        <v>0.05</v>
      </c>
      <c r="BL496" s="1">
        <f>INDEX(Input!$1:$1048576,BL$93,$C496*2+6)</f>
        <v>5.5E-2</v>
      </c>
      <c r="BM496" s="1">
        <f>INDEX(Input!$1:$1048576,BM$93,$C496*2+6)</f>
        <v>0.06</v>
      </c>
      <c r="BN496" s="1">
        <f>INDEX(Input!$1:$1048576,BN$93,$C496*2+6)</f>
        <v>4.4999999999999998E-2</v>
      </c>
      <c r="BO496" s="1">
        <f>INDEX(Input!$1:$1048576,BO$93,$C496*2+6)</f>
        <v>4.4999999999999998E-2</v>
      </c>
      <c r="BP496" s="1">
        <f>INDEX(Input!$1:$1048576,BP$93,$C496*2+6)</f>
        <v>0.05</v>
      </c>
      <c r="BQ496" s="1">
        <f>INDEX(Input!$1:$1048576,BQ$93,$C496*2+6)</f>
        <v>5.45E-2</v>
      </c>
      <c r="BR496" s="1">
        <f>INDEX(Input!$1:$1048576,BR$93,$C496*2+6)</f>
        <v>5.45E-2</v>
      </c>
      <c r="BS496" s="1">
        <f>INDEX(Input!$1:$1048576,BS$93,$C496*2+6)</f>
        <v>0.05</v>
      </c>
      <c r="BT496" s="1">
        <f>INDEX(Input!$1:$1048576,BT$93,$C496*2+6)</f>
        <v>0.05</v>
      </c>
      <c r="BU496" s="1">
        <f>INDEX(Input!$1:$1048576,BU$93,$C496*2+6)</f>
        <v>0.05</v>
      </c>
      <c r="BV496" s="1">
        <f>INDEX(Input!$1:$1048576,BV$93,$C496*2+6)</f>
        <v>5.5E-2</v>
      </c>
      <c r="BW496" s="1">
        <f>INDEX(Input!$1:$1048576,BW$93,$C496*2+6)</f>
        <v>0.06</v>
      </c>
      <c r="BX496" s="127">
        <f>INDEX(Input!$1:$1048576,BX$93,$C496*2+6)</f>
        <v>19985</v>
      </c>
      <c r="BY496" s="20">
        <f>INDEX(Input!$1:$1048576,BY$93,$C496*2+6)</f>
        <v>0.1</v>
      </c>
      <c r="BZ496" s="20">
        <f>INDEX(Input!$1:$1048576,BZ$93,$C496*2+6)</f>
        <v>0.1</v>
      </c>
      <c r="CA496" s="20">
        <f>INDEX(Input!$1:$1048576,CA$93,$C496*2+6)</f>
        <v>0.1</v>
      </c>
      <c r="CB496" s="20">
        <f>INDEX(Input!$1:$1048576,CB$93,$C496*2+6)</f>
        <v>0.1</v>
      </c>
      <c r="CC496" s="20">
        <f>INDEX(Input!$1:$1048576,CC$93,$C496*2+6)</f>
        <v>0.1</v>
      </c>
      <c r="CD496" s="384">
        <f>INDEX(Input!$1:$1048576,CD$93,$C496*2+6)</f>
        <v>0.1</v>
      </c>
      <c r="CE496" s="384">
        <f>INDEX(Input!$1:$1048576,CE$93,$C496*2+6)</f>
        <v>0.1</v>
      </c>
      <c r="CF496" s="384">
        <f>INDEX(Input!$1:$1048576,CF$93,$C496*2+6)</f>
        <v>0.1</v>
      </c>
      <c r="CG496" s="384">
        <f>INDEX(Input!$1:$1048576,CG$93,$C496*2+6)</f>
        <v>0.1</v>
      </c>
      <c r="CH496" s="384">
        <f>INDEX(Input!$1:$1048576,CH$93,$C496*2+6)</f>
        <v>0.1</v>
      </c>
      <c r="CI496" s="304">
        <f t="shared" si="1397"/>
        <v>1256.832975525977</v>
      </c>
      <c r="CJ496" s="16" t="str">
        <f>INDEX(Input!$1:$1048576,CJ$93,$C496*2+6)</f>
        <v>N</v>
      </c>
      <c r="CK496" s="1" t="str">
        <f t="shared" si="1398"/>
        <v>Market</v>
      </c>
      <c r="CL496" s="1" t="str">
        <f t="shared" si="1399"/>
        <v>Market</v>
      </c>
      <c r="CM496" s="1" t="str">
        <f t="shared" si="1400"/>
        <v>Market</v>
      </c>
      <c r="CN496" s="1" t="str">
        <f t="shared" si="1401"/>
        <v>Market</v>
      </c>
      <c r="CO496" s="1" t="str">
        <f t="shared" si="1402"/>
        <v>Market</v>
      </c>
      <c r="CP496" s="304">
        <f t="shared" si="1403"/>
        <v>416</v>
      </c>
      <c r="CQ496" s="1">
        <f t="shared" si="1404"/>
        <v>0</v>
      </c>
      <c r="CR496" s="1">
        <f t="shared" si="1405"/>
        <v>0</v>
      </c>
      <c r="CS496" s="1">
        <f t="shared" si="1406"/>
        <v>0</v>
      </c>
      <c r="CT496" s="1">
        <f t="shared" si="1407"/>
        <v>1.9E-2</v>
      </c>
      <c r="CU496" s="1">
        <f t="shared" si="1408"/>
        <v>3.9E-2</v>
      </c>
      <c r="CV496" s="304">
        <f t="shared" si="1409"/>
        <v>-870</v>
      </c>
      <c r="CW496" s="20" t="s">
        <v>122</v>
      </c>
      <c r="CX496" s="20" t="s">
        <v>122</v>
      </c>
      <c r="CY496" s="20" t="s">
        <v>122</v>
      </c>
      <c r="CZ496" s="20" t="s">
        <v>122</v>
      </c>
      <c r="DA496" s="20" t="s">
        <v>122</v>
      </c>
      <c r="DB496" s="503">
        <f t="shared" si="1410"/>
        <v>0</v>
      </c>
      <c r="DC496" s="127">
        <v>0</v>
      </c>
      <c r="DD496" s="127">
        <v>0</v>
      </c>
      <c r="DE496" s="127">
        <v>0</v>
      </c>
      <c r="DF496" s="127">
        <v>0</v>
      </c>
      <c r="DG496" s="127">
        <v>0</v>
      </c>
      <c r="DH496" s="127">
        <v>0</v>
      </c>
      <c r="DI496" s="127">
        <v>0</v>
      </c>
      <c r="DJ496" s="127">
        <v>0</v>
      </c>
      <c r="DK496" s="127">
        <v>0</v>
      </c>
      <c r="DL496" s="127">
        <v>0</v>
      </c>
      <c r="DM496" s="304">
        <f>INDEX(Input!$1:$1048576,DM$93,$C496*2+6)</f>
        <v>21036.84210526316</v>
      </c>
      <c r="DN496" s="20">
        <v>0</v>
      </c>
      <c r="DO496" s="20">
        <v>0</v>
      </c>
      <c r="DP496" s="20">
        <v>0</v>
      </c>
      <c r="DQ496" s="20">
        <v>0</v>
      </c>
      <c r="DR496" s="20">
        <v>0</v>
      </c>
      <c r="DS496" s="20">
        <f>INDEX(Input!$1:$1048576,DS$93,$C496*2+6)</f>
        <v>0.6</v>
      </c>
      <c r="DT496" s="20">
        <f>INDEX(Input!$1:$1048576,DT$93,$C496*2+6)</f>
        <v>0.55000000000000004</v>
      </c>
      <c r="DU496" s="20">
        <f>INDEX(Input!$1:$1048576,DU$93,$C496*2+6)</f>
        <v>0.52</v>
      </c>
      <c r="DV496" s="20">
        <f>INDEX(Input!$1:$1048576,DV$93,$C496*2+6)</f>
        <v>0.5</v>
      </c>
      <c r="DW496" s="20">
        <f>INDEX(Input!$1:$1048576,DW$93,$C496*2+6)</f>
        <v>0.45</v>
      </c>
      <c r="DX496" s="20"/>
      <c r="DY496" s="7"/>
      <c r="DZ496" s="7"/>
      <c r="EA496" s="7"/>
      <c r="EB496" s="7"/>
      <c r="EC496" s="7"/>
      <c r="ED496" s="7"/>
      <c r="EE496" s="7"/>
      <c r="EF496" s="7"/>
      <c r="EG496" s="7"/>
      <c r="EH496" s="7"/>
      <c r="EI496" s="7"/>
      <c r="EJ496" s="7"/>
      <c r="EK496" s="7"/>
      <c r="EL496" s="7"/>
      <c r="EM496" s="7"/>
      <c r="EN496" s="7"/>
      <c r="EO496" s="7"/>
      <c r="EP496" s="7"/>
      <c r="EQ496" s="7"/>
      <c r="ER496" s="7"/>
      <c r="ES496" s="7"/>
      <c r="ET496" s="7"/>
      <c r="EU496" s="6"/>
      <c r="EV496" s="6"/>
      <c r="EW496" s="6"/>
      <c r="EX496" s="6"/>
      <c r="EY496" s="6"/>
      <c r="EZ496" s="6"/>
      <c r="FA496" s="6"/>
      <c r="FB496" s="6"/>
      <c r="FC496" s="6"/>
      <c r="FD496" s="6"/>
      <c r="FE496" s="6"/>
      <c r="FF496" s="6"/>
      <c r="FG496" s="6"/>
      <c r="FH496" s="6"/>
      <c r="FI496" s="6"/>
      <c r="FJ496" s="6"/>
      <c r="FK496" s="6"/>
      <c r="FL496" s="6"/>
      <c r="FM496" s="6"/>
      <c r="FN496" s="6"/>
      <c r="FO496" s="6"/>
      <c r="FP496" s="6"/>
      <c r="FQ496" s="6"/>
      <c r="FR496" s="6"/>
      <c r="FS496" s="6"/>
      <c r="FT496" s="7"/>
      <c r="FU496" s="7"/>
      <c r="FV496" s="7"/>
      <c r="FW496" s="6"/>
      <c r="FX496" s="6"/>
      <c r="FY496" s="6"/>
      <c r="FZ496" s="6"/>
      <c r="GA496" s="6"/>
      <c r="GB496" s="6"/>
      <c r="GC496" s="7"/>
      <c r="GD496" s="7"/>
      <c r="GE496" s="7"/>
      <c r="GF496" s="7"/>
      <c r="GG496" s="7"/>
      <c r="GH496" s="42"/>
      <c r="GI496" s="6"/>
      <c r="GJ496" s="14"/>
      <c r="GK496" s="14"/>
      <c r="GL496" s="14"/>
      <c r="GM496" s="14"/>
      <c r="GO496" s="5"/>
      <c r="GP496" s="5"/>
      <c r="GQ496" s="5"/>
      <c r="GR496" s="5"/>
      <c r="GS496" s="5"/>
      <c r="GT496" s="5"/>
      <c r="GU496" s="5"/>
      <c r="GV496" s="39"/>
      <c r="GW496" s="5"/>
      <c r="GX496" s="5"/>
      <c r="GY496" s="5"/>
      <c r="GZ496" s="5"/>
      <c r="HA496" s="5"/>
      <c r="HB496" s="39"/>
      <c r="HC496" s="5"/>
      <c r="HD496" s="5"/>
      <c r="HE496" s="5"/>
      <c r="HF496" s="5"/>
      <c r="HG496" s="5"/>
      <c r="HH496" s="39"/>
      <c r="HI496" s="16"/>
      <c r="HJ496" s="19"/>
      <c r="HK496" s="1"/>
      <c r="HL496" s="16"/>
      <c r="HM496" s="1"/>
      <c r="HN496" s="1"/>
      <c r="HO496" s="1"/>
      <c r="HP496" s="1"/>
      <c r="HQ496" s="1"/>
      <c r="HR496" s="1"/>
      <c r="HS496" s="1"/>
      <c r="HT496" s="1"/>
      <c r="HU496" s="1"/>
      <c r="HV496" s="1"/>
      <c r="HW496" s="1"/>
      <c r="HX496" s="1"/>
      <c r="HY496" s="1"/>
      <c r="HZ496" s="1"/>
      <c r="IA496" s="1"/>
      <c r="IB496" s="1"/>
      <c r="IC496" s="1"/>
      <c r="ID496" s="1"/>
      <c r="IE496" s="1"/>
      <c r="IF496" s="1"/>
      <c r="IG496" s="1"/>
      <c r="IH496" s="21"/>
      <c r="II496" s="19"/>
      <c r="IJ496" s="19"/>
      <c r="IK496" s="19"/>
      <c r="IL496" s="19"/>
      <c r="IM496" s="19"/>
      <c r="IN496" s="19"/>
      <c r="IO496" s="39"/>
      <c r="IP496" s="39"/>
      <c r="IQ496" s="39"/>
      <c r="IR496" s="39"/>
      <c r="IS496" s="39"/>
      <c r="IT496" s="39"/>
      <c r="IU496" s="39"/>
      <c r="IV496" s="39"/>
      <c r="IW496" s="39"/>
      <c r="IX496" s="39"/>
      <c r="IY496" s="39"/>
      <c r="IZ496" s="39"/>
      <c r="JA496" s="19"/>
      <c r="JB496" s="19"/>
      <c r="JC496" s="19"/>
      <c r="JD496" s="19"/>
      <c r="JE496" s="21"/>
      <c r="JF496" s="1"/>
      <c r="JG496" s="15"/>
      <c r="JH496" s="1"/>
      <c r="JI496" s="1"/>
      <c r="JJ496" s="1"/>
      <c r="JK496" s="1"/>
      <c r="JL496" s="15"/>
      <c r="JM496" s="15"/>
      <c r="JN496" s="21"/>
      <c r="JO496" s="19"/>
      <c r="JP496" s="19"/>
      <c r="JQ496" s="39"/>
      <c r="JR496" s="39"/>
      <c r="JS496" s="39"/>
      <c r="JT496" s="39"/>
      <c r="JU496" s="385"/>
      <c r="JV496" s="39"/>
      <c r="JW496" s="1"/>
      <c r="JX496" s="19"/>
      <c r="JZ496" s="341"/>
      <c r="KA496" s="342"/>
      <c r="KB496" s="469"/>
      <c r="KI496" s="473"/>
      <c r="KJ496" s="473"/>
      <c r="KK496" s="473"/>
    </row>
    <row r="497" spans="1:310" s="26" customFormat="1" ht="15" outlineLevel="1">
      <c r="A497" s="561">
        <f t="shared" si="1278"/>
        <v>4097</v>
      </c>
      <c r="B497" s="561">
        <f t="shared" si="1296"/>
        <v>97</v>
      </c>
      <c r="C497" s="561">
        <f t="shared" si="1297"/>
        <v>4</v>
      </c>
      <c r="D497" s="561" t="str">
        <f t="shared" si="1393"/>
        <v/>
      </c>
      <c r="E497" s="475">
        <f>INDEX(Input!$1:$1048576,E$93,$C497*2+MIN($B497,2)+5)
+INDEX(Scenarios!E$121:E$200,MATCH($B497,Scenarios!$B$121:$B$200,0))</f>
        <v>1256.832975525977</v>
      </c>
      <c r="F497" s="475">
        <f>INDEX(Input!$1:$1048576,F$93,$C497*2+MIN($B497,2)+5)
+INDEX(Scenarios!F$121:F$200,MATCH($B497,Scenarios!$B$121:$B$200,0))</f>
        <v>0</v>
      </c>
      <c r="G497" s="475">
        <f>INDEX(Input!$1:$1048576,G$93,$C497*2+MIN($B497,2)+5)
+INDEX(Scenarios!G$121:G$200,MATCH($B497,Scenarios!$B$121:$B$200,0))</f>
        <v>0</v>
      </c>
      <c r="H497" s="475">
        <f>INDEX(Input!$1:$1048576,H$93,$C497*2+MIN($B497,2)+5)
+INDEX(Scenarios!H$121:H$200,MATCH($B497,Scenarios!$B$121:$B$200,0))</f>
        <v>0</v>
      </c>
      <c r="I497" s="476">
        <f>INDEX(Input!$1:$1048576,I$93,$C497*2+MIN($B497,2)+5)</f>
        <v>0.7</v>
      </c>
      <c r="J497" s="476" t="str">
        <f>INDEX(Input!$1:$1048576,J$93,$C497*2+MIN($B497,2)+5)</f>
        <v>Market</v>
      </c>
      <c r="K497" s="476" t="str">
        <f>INDEX(Input!$1:$1048576,K$93,$C497*2+MIN($B497,2)+5)</f>
        <v>Market</v>
      </c>
      <c r="L497" s="476" t="str">
        <f>INDEX(Input!$1:$1048576,L$93,$C497*2+MIN($B497,2)+5)</f>
        <v>Market</v>
      </c>
      <c r="M497" s="476" t="str">
        <f>INDEX(Input!$1:$1048576,M$93,$C497*2+MIN($B497,2)+5)</f>
        <v>Market</v>
      </c>
      <c r="N497" s="476" t="str">
        <f>INDEX(Input!$1:$1048576,N$93,$C497*2+MIN($B497,2)+5)</f>
        <v>Market</v>
      </c>
      <c r="O497" s="476" t="str">
        <f>INDEX(Input!$1:$1048576,O$93,$C497*2+MIN($B497,2)+5)</f>
        <v>Market</v>
      </c>
      <c r="P497" s="476" t="str">
        <f>INDEX(Input!$1:$1048576,P$93,$C497*2+MIN($B497,2)+5)</f>
        <v>N</v>
      </c>
      <c r="Q497" s="477">
        <f>INDEX(Input!$1:$1048576,Q$93,$C497*2+MIN($B497,2)+5)
+INDEX(Scenarios!Q$121:Q$200,MATCH($B497,Scenarios!$B$121:$B$200,0))</f>
        <v>0</v>
      </c>
      <c r="R497" s="478">
        <f>IFERROR(MAX(0,INDEX(Input!$1:$1048576,R$93,$C497*2+MIN($B497,2)+5)
+INDEX(Scenarios!R$121:R$200,MATCH($B497,Scenarios!$B$121:$B$200,0)),),"Market")</f>
        <v>0</v>
      </c>
      <c r="S497" s="478">
        <f>IFERROR(MAX(0,INDEX(Input!$1:$1048576,S$93,$C497*2+MIN($B497,2)+5)
+INDEX(Scenarios!S$121:S$200,MATCH($B497,Scenarios!$B$121:$B$200,0)),),"Market")</f>
        <v>0</v>
      </c>
      <c r="T497" s="478">
        <f>IFERROR(MAX(0,INDEX(Input!$1:$1048576,T$93,$C497*2+MIN($B497,2)+5)
+INDEX(Scenarios!T$121:T$200,MATCH($B497,Scenarios!$B$121:$B$200,0)),),"Market")</f>
        <v>0</v>
      </c>
      <c r="U497" s="478">
        <f>IFERROR(MAX(0,INDEX(Input!$1:$1048576,U$93,$C497*2+MIN($B497,2)+5)
+INDEX(Scenarios!U$121:U$200,MATCH($B497,Scenarios!$B$121:$B$200,0)),),"Market")</f>
        <v>0</v>
      </c>
      <c r="V497" s="478">
        <f>IFERROR(MAX(0,INDEX(Input!$1:$1048576,V$93,$C497*2+MIN($B497,2)+5)
+INDEX(Scenarios!V$121:V$200,MATCH($B497,Scenarios!$B$121:$B$200,0)),),"Market")</f>
        <v>1.9E-2</v>
      </c>
      <c r="W497" s="885">
        <f>IFERROR(MAX(0,INDEX(Input!$1:$1048576,W$93,$C497*2+MIN($B497,2)+5)-0%,),"Market")</f>
        <v>3.9E-2</v>
      </c>
      <c r="X497" s="476" t="str">
        <f>INDEX(Input!$1:$1048576,X$93,$C497*2+MIN($B497,2)+5)</f>
        <v>Y</v>
      </c>
      <c r="Y497" s="475">
        <f>INDEX(Input!$1:$1048576,Y$93,$C497*2+MIN($B497,2)+5)
++INDEX(Scenarios!Y$121:Y$200,MATCH($B497,Scenarios!$B$121:$B$200,0))</f>
        <v>-870</v>
      </c>
      <c r="Z497" s="477">
        <f>INDEX(Input!$1:$1048576,Z$93,$C497*2+MIN($B497,2)+5)
+INDEX(Scenarios!Z$121:Z$200,MATCH($B497,Scenarios!$B$121:$B$200,0))</f>
        <v>0</v>
      </c>
      <c r="AA497" s="475">
        <f>INDEX(Input!$1:$1048576,AA$93,$C497*2+MIN($B497,2)+5)
+INDEX(Scenarios!AA$121:AA$200,MATCH($B497,Scenarios!$B$121:$B$200,0))</f>
        <v>0</v>
      </c>
      <c r="AB497" s="476">
        <f>INDEX(Input!$1:$1048576,AB$93,$C497*2+MIN($B497,2)+5)</f>
        <v>0.27</v>
      </c>
      <c r="AC497" s="475">
        <f>INDEX(Input!$1:$1048576,AC$93,$C497*2+MIN($B497,2)+5)
+INDEX(Scenarios!AC$121:AC$200,MATCH($B497,Scenarios!$B$121:$B$200,0))</f>
        <v>0</v>
      </c>
      <c r="AD497" s="476">
        <f>INDEX(Input!$1:$1048576,AD$93,$C497*2+MIN($B497,2)+5)</f>
        <v>0.27</v>
      </c>
      <c r="AE497" s="475">
        <f>INDEX(Input!$1:$1048576,AE$93,$C497*2+MIN($B497,2)+5)
+INDEX(Scenarios!AE$121:AE$200,MATCH($B497,Scenarios!$B$121:$B$200,0))</f>
        <v>0</v>
      </c>
      <c r="AF497" s="476">
        <f>INDEX(Input!$1:$1048576,AF$93,$C497*2+MIN($B497,2)+5)</f>
        <v>1</v>
      </c>
      <c r="AG497" s="475">
        <f>INDEX(Input!$1:$1048576,AG$93,$C497*2+MIN($B497,2)+5)
+INDEX(Scenarios!AG$121:AG$200,MATCH($B497,Scenarios!$B$121:$B$200,0))</f>
        <v>500</v>
      </c>
      <c r="AH497" s="476">
        <f>INDEX(Input!$1:$1048576,AH$93,$C497*2+MIN($B497,2)+5)</f>
        <v>0.83199999999999996</v>
      </c>
      <c r="AI497" s="475">
        <f>INDEX(Input!$1:$1048576,AI$93,$C497*2+MIN($B497,2)+5)
+INDEX(Scenarios!AI$121:AI$200,MATCH($B497,Scenarios!$B$121:$B$200,0))</f>
        <v>0</v>
      </c>
      <c r="AJ497" s="476">
        <f>INDEX(Input!$1:$1048576,AJ$93,$C497*2+MIN($B497,2)+5)</f>
        <v>0.27</v>
      </c>
      <c r="AK497" s="150">
        <f>ROUND(INDEX(Input!$1:$1048576,AK$93,$C496*2+MIN($B497,1)+5)+(Y497-VLOOKUP($C497*1000+1,$A:$HH,Y$92,FALSE)),0)</f>
        <v>2587</v>
      </c>
      <c r="AL497" s="150">
        <f>ROUND(INDEX(Input!$1:$1048576,AL$93,$C496*2+MIN($B497,1)+5)-(Y497-VLOOKUP($C497*1000+1,$A:$HH,Y$92,FALSE))/36,0)</f>
        <v>3406</v>
      </c>
      <c r="AM497" s="32" t="str">
        <f t="shared" si="1279"/>
        <v>std/std/std/std</v>
      </c>
      <c r="AN497" s="32" t="str">
        <f t="shared" si="1280"/>
        <v>$0 + 0/0/0/1.9/3.9</v>
      </c>
      <c r="AO497" s="32" t="str">
        <f t="shared" si="1281"/>
        <v>0/0/0/1.9/3.9</v>
      </c>
      <c r="AP497" s="32" t="str">
        <f t="shared" si="1396"/>
        <v>0/0.9/1.9/3.9</v>
      </c>
      <c r="AQ497" s="536">
        <f t="shared" si="1394"/>
        <v>0</v>
      </c>
      <c r="AR497" s="32"/>
      <c r="AS497" s="302"/>
      <c r="AT497" s="3">
        <f t="shared" si="1298"/>
        <v>97</v>
      </c>
      <c r="AU497" s="41" t="s">
        <v>121</v>
      </c>
      <c r="AV497" s="41" t="s">
        <v>116</v>
      </c>
      <c r="AW497" s="41" t="str">
        <f>INDEX(Input!$1:$1048576,AW$93,$C497*2+6)</f>
        <v>Kia</v>
      </c>
      <c r="AX497" s="41" t="str">
        <f>INDEX(Input!$1:$1048576,AX$93,$C497*2+6)</f>
        <v>Kia-LR - R1</v>
      </c>
      <c r="AY497" s="41" t="str">
        <f>IF(LEN(D497)=0,"",INDEX(Input!$1:$1048576,AY$93,$C497*2+6))</f>
        <v/>
      </c>
      <c r="AZ497" s="41" t="str">
        <f>INDEX(Input!$1:$1048576,AZ$93,$C497*2+6)</f>
        <v>Kia Soul</v>
      </c>
      <c r="BA497" s="3">
        <f>INDEX(Input!$1:$1048576,BA$93,$C497*2+6)</f>
        <v>2020</v>
      </c>
      <c r="BB497" s="128">
        <f>INDEX(Input!$1:$1048576,BB$93,$C497*2+6)</f>
        <v>1</v>
      </c>
      <c r="BC497" s="128">
        <f>INDEX(Input!$1:$1048576,BC$93,$C497*2+6)</f>
        <v>0.7</v>
      </c>
      <c r="BD497" s="1">
        <f>INDEX(Input!$1:$1048576,BD$93,$C497*2+6)</f>
        <v>4.4999999999999998E-2</v>
      </c>
      <c r="BE497" s="1">
        <f>INDEX(Input!$1:$1048576,BE$93,$C497*2+6)</f>
        <v>4.4999999999999998E-2</v>
      </c>
      <c r="BF497" s="1">
        <f>INDEX(Input!$1:$1048576,BF$93,$C497*2+6)</f>
        <v>0.05</v>
      </c>
      <c r="BG497" s="1">
        <f>INDEX(Input!$1:$1048576,BG$93,$C497*2+6)</f>
        <v>5.45E-2</v>
      </c>
      <c r="BH497" s="1">
        <f>INDEX(Input!$1:$1048576,BH$93,$C497*2+6)</f>
        <v>5.45E-2</v>
      </c>
      <c r="BI497" s="1">
        <f>INDEX(Input!$1:$1048576,BI$93,$C497*2+6)</f>
        <v>0.05</v>
      </c>
      <c r="BJ497" s="1">
        <f>INDEX(Input!$1:$1048576,BJ$93,$C497*2+6)</f>
        <v>0.05</v>
      </c>
      <c r="BK497" s="1">
        <f>INDEX(Input!$1:$1048576,BK$93,$C497*2+6)</f>
        <v>0.05</v>
      </c>
      <c r="BL497" s="1">
        <f>INDEX(Input!$1:$1048576,BL$93,$C497*2+6)</f>
        <v>5.5E-2</v>
      </c>
      <c r="BM497" s="1">
        <f>INDEX(Input!$1:$1048576,BM$93,$C497*2+6)</f>
        <v>0.06</v>
      </c>
      <c r="BN497" s="1">
        <f>INDEX(Input!$1:$1048576,BN$93,$C497*2+6)</f>
        <v>4.4999999999999998E-2</v>
      </c>
      <c r="BO497" s="1">
        <f>INDEX(Input!$1:$1048576,BO$93,$C497*2+6)</f>
        <v>4.4999999999999998E-2</v>
      </c>
      <c r="BP497" s="1">
        <f>INDEX(Input!$1:$1048576,BP$93,$C497*2+6)</f>
        <v>0.05</v>
      </c>
      <c r="BQ497" s="1">
        <f>INDEX(Input!$1:$1048576,BQ$93,$C497*2+6)</f>
        <v>5.45E-2</v>
      </c>
      <c r="BR497" s="1">
        <f>INDEX(Input!$1:$1048576,BR$93,$C497*2+6)</f>
        <v>5.45E-2</v>
      </c>
      <c r="BS497" s="1">
        <f>INDEX(Input!$1:$1048576,BS$93,$C497*2+6)</f>
        <v>0.05</v>
      </c>
      <c r="BT497" s="1">
        <f>INDEX(Input!$1:$1048576,BT$93,$C497*2+6)</f>
        <v>0.05</v>
      </c>
      <c r="BU497" s="1">
        <f>INDEX(Input!$1:$1048576,BU$93,$C497*2+6)</f>
        <v>0.05</v>
      </c>
      <c r="BV497" s="1">
        <f>INDEX(Input!$1:$1048576,BV$93,$C497*2+6)</f>
        <v>5.5E-2</v>
      </c>
      <c r="BW497" s="1">
        <f>INDEX(Input!$1:$1048576,BW$93,$C497*2+6)</f>
        <v>0.06</v>
      </c>
      <c r="BX497" s="127">
        <f>INDEX(Input!$1:$1048576,BX$93,$C497*2+6)</f>
        <v>19985</v>
      </c>
      <c r="BY497" s="20">
        <f>INDEX(Input!$1:$1048576,BY$93,$C497*2+6)</f>
        <v>0.1</v>
      </c>
      <c r="BZ497" s="20">
        <f>INDEX(Input!$1:$1048576,BZ$93,$C497*2+6)</f>
        <v>0.1</v>
      </c>
      <c r="CA497" s="20">
        <f>INDEX(Input!$1:$1048576,CA$93,$C497*2+6)</f>
        <v>0.1</v>
      </c>
      <c r="CB497" s="20">
        <f>INDEX(Input!$1:$1048576,CB$93,$C497*2+6)</f>
        <v>0.1</v>
      </c>
      <c r="CC497" s="20">
        <f>INDEX(Input!$1:$1048576,CC$93,$C497*2+6)</f>
        <v>0.1</v>
      </c>
      <c r="CD497" s="384">
        <f>INDEX(Input!$1:$1048576,CD$93,$C497*2+6)</f>
        <v>0.1</v>
      </c>
      <c r="CE497" s="384">
        <f>INDEX(Input!$1:$1048576,CE$93,$C497*2+6)</f>
        <v>0.1</v>
      </c>
      <c r="CF497" s="384">
        <f>INDEX(Input!$1:$1048576,CF$93,$C497*2+6)</f>
        <v>0.1</v>
      </c>
      <c r="CG497" s="384">
        <f>INDEX(Input!$1:$1048576,CG$93,$C497*2+6)</f>
        <v>0.1</v>
      </c>
      <c r="CH497" s="384">
        <f>INDEX(Input!$1:$1048576,CH$93,$C497*2+6)</f>
        <v>0.1</v>
      </c>
      <c r="CI497" s="304">
        <f t="shared" si="1397"/>
        <v>1256.832975525977</v>
      </c>
      <c r="CJ497" s="16" t="str">
        <f>INDEX(Input!$1:$1048576,CJ$93,$C497*2+6)</f>
        <v>N</v>
      </c>
      <c r="CK497" s="1" t="str">
        <f t="shared" si="1398"/>
        <v>Market</v>
      </c>
      <c r="CL497" s="1" t="str">
        <f t="shared" si="1399"/>
        <v>Market</v>
      </c>
      <c r="CM497" s="1" t="str">
        <f t="shared" si="1400"/>
        <v>Market</v>
      </c>
      <c r="CN497" s="1" t="str">
        <f t="shared" si="1401"/>
        <v>Market</v>
      </c>
      <c r="CO497" s="1" t="str">
        <f t="shared" si="1402"/>
        <v>Market</v>
      </c>
      <c r="CP497" s="304">
        <f t="shared" si="1403"/>
        <v>416</v>
      </c>
      <c r="CQ497" s="1">
        <f t="shared" si="1404"/>
        <v>0</v>
      </c>
      <c r="CR497" s="1">
        <f t="shared" si="1405"/>
        <v>0</v>
      </c>
      <c r="CS497" s="1">
        <f t="shared" si="1406"/>
        <v>0</v>
      </c>
      <c r="CT497" s="1">
        <f t="shared" si="1407"/>
        <v>1.9E-2</v>
      </c>
      <c r="CU497" s="1">
        <f t="shared" si="1408"/>
        <v>3.9E-2</v>
      </c>
      <c r="CV497" s="304">
        <f t="shared" si="1409"/>
        <v>-870</v>
      </c>
      <c r="CW497" s="20" t="s">
        <v>122</v>
      </c>
      <c r="CX497" s="20" t="s">
        <v>122</v>
      </c>
      <c r="CY497" s="20" t="s">
        <v>122</v>
      </c>
      <c r="CZ497" s="20" t="s">
        <v>122</v>
      </c>
      <c r="DA497" s="20" t="s">
        <v>122</v>
      </c>
      <c r="DB497" s="503">
        <f t="shared" si="1410"/>
        <v>0</v>
      </c>
      <c r="DC497" s="127">
        <v>0</v>
      </c>
      <c r="DD497" s="127">
        <v>0</v>
      </c>
      <c r="DE497" s="127">
        <v>0</v>
      </c>
      <c r="DF497" s="127">
        <v>0</v>
      </c>
      <c r="DG497" s="127">
        <v>0</v>
      </c>
      <c r="DH497" s="127">
        <v>0</v>
      </c>
      <c r="DI497" s="127">
        <v>0</v>
      </c>
      <c r="DJ497" s="127">
        <v>0</v>
      </c>
      <c r="DK497" s="127">
        <v>0</v>
      </c>
      <c r="DL497" s="127">
        <v>0</v>
      </c>
      <c r="DM497" s="304">
        <f>INDEX(Input!$1:$1048576,DM$93,$C497*2+6)</f>
        <v>21036.84210526316</v>
      </c>
      <c r="DN497" s="20">
        <v>0</v>
      </c>
      <c r="DO497" s="20">
        <v>0</v>
      </c>
      <c r="DP497" s="20">
        <v>0</v>
      </c>
      <c r="DQ497" s="20">
        <v>0</v>
      </c>
      <c r="DR497" s="20">
        <v>0</v>
      </c>
      <c r="DS497" s="20">
        <f>INDEX(Input!$1:$1048576,DS$93,$C497*2+6)</f>
        <v>0.6</v>
      </c>
      <c r="DT497" s="20">
        <f>INDEX(Input!$1:$1048576,DT$93,$C497*2+6)</f>
        <v>0.55000000000000004</v>
      </c>
      <c r="DU497" s="20">
        <f>INDEX(Input!$1:$1048576,DU$93,$C497*2+6)</f>
        <v>0.52</v>
      </c>
      <c r="DV497" s="20">
        <f>INDEX(Input!$1:$1048576,DV$93,$C497*2+6)</f>
        <v>0.5</v>
      </c>
      <c r="DW497" s="20">
        <f>INDEX(Input!$1:$1048576,DW$93,$C497*2+6)</f>
        <v>0.45</v>
      </c>
      <c r="DX497" s="20"/>
      <c r="DY497" s="7"/>
      <c r="DZ497" s="7"/>
      <c r="EA497" s="7"/>
      <c r="EB497" s="7"/>
      <c r="EC497" s="7"/>
      <c r="ED497" s="7"/>
      <c r="EE497" s="7"/>
      <c r="EF497" s="7"/>
      <c r="EG497" s="7"/>
      <c r="EH497" s="7"/>
      <c r="EI497" s="7"/>
      <c r="EJ497" s="7"/>
      <c r="EK497" s="7"/>
      <c r="EL497" s="7"/>
      <c r="EM497" s="7"/>
      <c r="EN497" s="7"/>
      <c r="EO497" s="7"/>
      <c r="EP497" s="7"/>
      <c r="EQ497" s="7"/>
      <c r="ER497" s="7"/>
      <c r="ES497" s="7"/>
      <c r="ET497" s="7"/>
      <c r="EU497" s="6"/>
      <c r="EV497" s="6"/>
      <c r="EW497" s="6"/>
      <c r="EX497" s="6"/>
      <c r="EY497" s="6"/>
      <c r="EZ497" s="6"/>
      <c r="FA497" s="6"/>
      <c r="FB497" s="6"/>
      <c r="FC497" s="6"/>
      <c r="FD497" s="6"/>
      <c r="FE497" s="6"/>
      <c r="FF497" s="6"/>
      <c r="FG497" s="6"/>
      <c r="FH497" s="6"/>
      <c r="FI497" s="6"/>
      <c r="FJ497" s="6"/>
      <c r="FK497" s="6"/>
      <c r="FL497" s="6"/>
      <c r="FM497" s="6"/>
      <c r="FN497" s="6"/>
      <c r="FO497" s="6"/>
      <c r="FP497" s="6"/>
      <c r="FQ497" s="6"/>
      <c r="FR497" s="6"/>
      <c r="FS497" s="6"/>
      <c r="FT497" s="7"/>
      <c r="FU497" s="7"/>
      <c r="FV497" s="7"/>
      <c r="FW497" s="6"/>
      <c r="FX497" s="6"/>
      <c r="FY497" s="6"/>
      <c r="FZ497" s="6"/>
      <c r="GA497" s="6"/>
      <c r="GB497" s="6"/>
      <c r="GC497" s="7"/>
      <c r="GD497" s="7"/>
      <c r="GE497" s="7"/>
      <c r="GF497" s="7"/>
      <c r="GG497" s="7"/>
      <c r="GH497" s="42"/>
      <c r="GI497" s="6"/>
      <c r="GJ497" s="14"/>
      <c r="GK497" s="14"/>
      <c r="GL497" s="14"/>
      <c r="GM497" s="14"/>
      <c r="GO497" s="5"/>
      <c r="GP497" s="5"/>
      <c r="GQ497" s="5"/>
      <c r="GR497" s="5"/>
      <c r="GS497" s="5"/>
      <c r="GT497" s="5"/>
      <c r="GU497" s="5"/>
      <c r="GV497" s="39"/>
      <c r="GW497" s="5"/>
      <c r="GX497" s="5"/>
      <c r="GY497" s="5"/>
      <c r="GZ497" s="5"/>
      <c r="HA497" s="5"/>
      <c r="HB497" s="39"/>
      <c r="HC497" s="5"/>
      <c r="HD497" s="5"/>
      <c r="HE497" s="5"/>
      <c r="HF497" s="5"/>
      <c r="HG497" s="5"/>
      <c r="HH497" s="39"/>
      <c r="HI497" s="16"/>
      <c r="HJ497" s="19"/>
      <c r="HK497" s="1"/>
      <c r="HL497" s="16"/>
      <c r="HM497" s="1"/>
      <c r="HN497" s="1"/>
      <c r="HO497" s="1"/>
      <c r="HP497" s="1"/>
      <c r="HQ497" s="1"/>
      <c r="HR497" s="1"/>
      <c r="HS497" s="1"/>
      <c r="HT497" s="1"/>
      <c r="HU497" s="1"/>
      <c r="HV497" s="1"/>
      <c r="HW497" s="1"/>
      <c r="HX497" s="1"/>
      <c r="HY497" s="1"/>
      <c r="HZ497" s="1"/>
      <c r="IA497" s="1"/>
      <c r="IB497" s="1"/>
      <c r="IC497" s="1"/>
      <c r="ID497" s="1"/>
      <c r="IE497" s="1"/>
      <c r="IF497" s="1"/>
      <c r="IG497" s="1"/>
      <c r="IH497" s="21"/>
      <c r="II497" s="19"/>
      <c r="IJ497" s="19"/>
      <c r="IK497" s="19"/>
      <c r="IL497" s="19"/>
      <c r="IM497" s="19"/>
      <c r="IN497" s="19"/>
      <c r="IO497" s="39"/>
      <c r="IP497" s="39"/>
      <c r="IQ497" s="39"/>
      <c r="IR497" s="39"/>
      <c r="IS497" s="39"/>
      <c r="IT497" s="39"/>
      <c r="IU497" s="39"/>
      <c r="IV497" s="39"/>
      <c r="IW497" s="39"/>
      <c r="IX497" s="39"/>
      <c r="IY497" s="39"/>
      <c r="IZ497" s="39"/>
      <c r="JA497" s="19"/>
      <c r="JB497" s="19"/>
      <c r="JC497" s="19"/>
      <c r="JD497" s="19"/>
      <c r="JE497" s="21"/>
      <c r="JF497" s="1"/>
      <c r="JG497" s="15"/>
      <c r="JH497" s="1"/>
      <c r="JI497" s="1"/>
      <c r="JJ497" s="1"/>
      <c r="JK497" s="1"/>
      <c r="JL497" s="15"/>
      <c r="JM497" s="15"/>
      <c r="JN497" s="21"/>
      <c r="JO497" s="19"/>
      <c r="JP497" s="19"/>
      <c r="JQ497" s="39"/>
      <c r="JR497" s="39"/>
      <c r="JS497" s="39"/>
      <c r="JT497" s="39"/>
      <c r="JU497" s="385"/>
      <c r="JV497" s="39"/>
      <c r="JW497" s="1"/>
      <c r="JX497" s="19"/>
      <c r="JZ497" s="341"/>
      <c r="KA497" s="342"/>
      <c r="KB497" s="469"/>
      <c r="KI497" s="473"/>
      <c r="KJ497" s="473"/>
      <c r="KK497" s="473"/>
    </row>
    <row r="498" spans="1:310" s="26" customFormat="1" ht="15" outlineLevel="1">
      <c r="A498" s="561">
        <f t="shared" si="1278"/>
        <v>4098</v>
      </c>
      <c r="B498" s="561">
        <f t="shared" si="1296"/>
        <v>98</v>
      </c>
      <c r="C498" s="561">
        <f t="shared" si="1297"/>
        <v>4</v>
      </c>
      <c r="D498" s="561" t="str">
        <f t="shared" si="1393"/>
        <v/>
      </c>
      <c r="E498" s="475">
        <f>INDEX(Input!$1:$1048576,E$93,$C498*2+MIN($B498,2)+5)
+INDEX(Scenarios!E$121:E$200,MATCH($B498,Scenarios!$B$121:$B$200,0))</f>
        <v>1256.832975525977</v>
      </c>
      <c r="F498" s="475">
        <f>INDEX(Input!$1:$1048576,F$93,$C498*2+MIN($B498,2)+5)
+INDEX(Scenarios!F$121:F$200,MATCH($B498,Scenarios!$B$121:$B$200,0))</f>
        <v>0</v>
      </c>
      <c r="G498" s="475">
        <f>INDEX(Input!$1:$1048576,G$93,$C498*2+MIN($B498,2)+5)
+INDEX(Scenarios!G$121:G$200,MATCH($B498,Scenarios!$B$121:$B$200,0))</f>
        <v>0</v>
      </c>
      <c r="H498" s="475">
        <f>INDEX(Input!$1:$1048576,H$93,$C498*2+MIN($B498,2)+5)
+INDEX(Scenarios!H$121:H$200,MATCH($B498,Scenarios!$B$121:$B$200,0))</f>
        <v>0</v>
      </c>
      <c r="I498" s="476">
        <f>INDEX(Input!$1:$1048576,I$93,$C498*2+MIN($B498,2)+5)</f>
        <v>0.7</v>
      </c>
      <c r="J498" s="476" t="str">
        <f>INDEX(Input!$1:$1048576,J$93,$C498*2+MIN($B498,2)+5)</f>
        <v>Market</v>
      </c>
      <c r="K498" s="476" t="str">
        <f>INDEX(Input!$1:$1048576,K$93,$C498*2+MIN($B498,2)+5)</f>
        <v>Market</v>
      </c>
      <c r="L498" s="476" t="str">
        <f>INDEX(Input!$1:$1048576,L$93,$C498*2+MIN($B498,2)+5)</f>
        <v>Market</v>
      </c>
      <c r="M498" s="476" t="str">
        <f>INDEX(Input!$1:$1048576,M$93,$C498*2+MIN($B498,2)+5)</f>
        <v>Market</v>
      </c>
      <c r="N498" s="476" t="str">
        <f>INDEX(Input!$1:$1048576,N$93,$C498*2+MIN($B498,2)+5)</f>
        <v>Market</v>
      </c>
      <c r="O498" s="476" t="str">
        <f>INDEX(Input!$1:$1048576,O$93,$C498*2+MIN($B498,2)+5)</f>
        <v>Market</v>
      </c>
      <c r="P498" s="476" t="str">
        <f>INDEX(Input!$1:$1048576,P$93,$C498*2+MIN($B498,2)+5)</f>
        <v>N</v>
      </c>
      <c r="Q498" s="477">
        <f>INDEX(Input!$1:$1048576,Q$93,$C498*2+MIN($B498,2)+5)
+INDEX(Scenarios!Q$121:Q$200,MATCH($B498,Scenarios!$B$121:$B$200,0))</f>
        <v>0</v>
      </c>
      <c r="R498" s="478">
        <f>IFERROR(MAX(0,INDEX(Input!$1:$1048576,R$93,$C498*2+MIN($B498,2)+5)
+INDEX(Scenarios!R$121:R$200,MATCH($B498,Scenarios!$B$121:$B$200,0)),),"Market")</f>
        <v>0</v>
      </c>
      <c r="S498" s="478">
        <f>IFERROR(MAX(0,INDEX(Input!$1:$1048576,S$93,$C498*2+MIN($B498,2)+5)
+INDEX(Scenarios!S$121:S$200,MATCH($B498,Scenarios!$B$121:$B$200,0)),),"Market")</f>
        <v>0</v>
      </c>
      <c r="T498" s="478">
        <f>IFERROR(MAX(0,INDEX(Input!$1:$1048576,T$93,$C498*2+MIN($B498,2)+5)
+INDEX(Scenarios!T$121:T$200,MATCH($B498,Scenarios!$B$121:$B$200,0)),),"Market")</f>
        <v>0</v>
      </c>
      <c r="U498" s="478">
        <f>IFERROR(MAX(0,INDEX(Input!$1:$1048576,U$93,$C498*2+MIN($B498,2)+5)
+INDEX(Scenarios!U$121:U$200,MATCH($B498,Scenarios!$B$121:$B$200,0)),),"Market")</f>
        <v>0</v>
      </c>
      <c r="V498" s="478">
        <f>IFERROR(MAX(0,INDEX(Input!$1:$1048576,V$93,$C498*2+MIN($B498,2)+5)
+INDEX(Scenarios!V$121:V$200,MATCH($B498,Scenarios!$B$121:$B$200,0)),),"Market")</f>
        <v>1.9E-2</v>
      </c>
      <c r="W498" s="885">
        <f>IFERROR(MAX(0,INDEX(Input!$1:$1048576,W$93,$C498*2+MIN($B498,2)+5)-0%,),"Market")</f>
        <v>3.9E-2</v>
      </c>
      <c r="X498" s="476" t="str">
        <f>INDEX(Input!$1:$1048576,X$93,$C498*2+MIN($B498,2)+5)</f>
        <v>Y</v>
      </c>
      <c r="Y498" s="475">
        <f>INDEX(Input!$1:$1048576,Y$93,$C498*2+MIN($B498,2)+5)
++INDEX(Scenarios!Y$121:Y$200,MATCH($B498,Scenarios!$B$121:$B$200,0))</f>
        <v>-870</v>
      </c>
      <c r="Z498" s="477">
        <f>INDEX(Input!$1:$1048576,Z$93,$C498*2+MIN($B498,2)+5)
+INDEX(Scenarios!Z$121:Z$200,MATCH($B498,Scenarios!$B$121:$B$200,0))</f>
        <v>0</v>
      </c>
      <c r="AA498" s="475">
        <f>INDEX(Input!$1:$1048576,AA$93,$C498*2+MIN($B498,2)+5)
+INDEX(Scenarios!AA$121:AA$200,MATCH($B498,Scenarios!$B$121:$B$200,0))</f>
        <v>0</v>
      </c>
      <c r="AB498" s="476">
        <f>INDEX(Input!$1:$1048576,AB$93,$C498*2+MIN($B498,2)+5)</f>
        <v>0.27</v>
      </c>
      <c r="AC498" s="475">
        <f>INDEX(Input!$1:$1048576,AC$93,$C498*2+MIN($B498,2)+5)
+INDEX(Scenarios!AC$121:AC$200,MATCH($B498,Scenarios!$B$121:$B$200,0))</f>
        <v>0</v>
      </c>
      <c r="AD498" s="476">
        <f>INDEX(Input!$1:$1048576,AD$93,$C498*2+MIN($B498,2)+5)</f>
        <v>0.27</v>
      </c>
      <c r="AE498" s="475">
        <f>INDEX(Input!$1:$1048576,AE$93,$C498*2+MIN($B498,2)+5)
+INDEX(Scenarios!AE$121:AE$200,MATCH($B498,Scenarios!$B$121:$B$200,0))</f>
        <v>0</v>
      </c>
      <c r="AF498" s="476">
        <f>INDEX(Input!$1:$1048576,AF$93,$C498*2+MIN($B498,2)+5)</f>
        <v>1</v>
      </c>
      <c r="AG498" s="475">
        <f>INDEX(Input!$1:$1048576,AG$93,$C498*2+MIN($B498,2)+5)
+INDEX(Scenarios!AG$121:AG$200,MATCH($B498,Scenarios!$B$121:$B$200,0))</f>
        <v>500</v>
      </c>
      <c r="AH498" s="476">
        <f>INDEX(Input!$1:$1048576,AH$93,$C498*2+MIN($B498,2)+5)</f>
        <v>0.83199999999999996</v>
      </c>
      <c r="AI498" s="475">
        <f>INDEX(Input!$1:$1048576,AI$93,$C498*2+MIN($B498,2)+5)
+INDEX(Scenarios!AI$121:AI$200,MATCH($B498,Scenarios!$B$121:$B$200,0))</f>
        <v>0</v>
      </c>
      <c r="AJ498" s="476">
        <f>INDEX(Input!$1:$1048576,AJ$93,$C498*2+MIN($B498,2)+5)</f>
        <v>0.27</v>
      </c>
      <c r="AK498" s="150">
        <f>ROUND(INDEX(Input!$1:$1048576,AK$93,$C497*2+MIN($B498,1)+5)+(Y498-VLOOKUP($C498*1000+1,$A:$HH,Y$92,FALSE)),0)</f>
        <v>2587</v>
      </c>
      <c r="AL498" s="150">
        <f>ROUND(INDEX(Input!$1:$1048576,AL$93,$C497*2+MIN($B498,1)+5)-(Y498-VLOOKUP($C498*1000+1,$A:$HH,Y$92,FALSE))/36,0)</f>
        <v>3406</v>
      </c>
      <c r="AM498" s="32" t="str">
        <f t="shared" si="1279"/>
        <v>std/std/std/std</v>
      </c>
      <c r="AN498" s="32" t="str">
        <f t="shared" si="1280"/>
        <v>$0 + 0/0/0/1.9/3.9</v>
      </c>
      <c r="AO498" s="32" t="str">
        <f t="shared" si="1281"/>
        <v>0/0/0/1.9/3.9</v>
      </c>
      <c r="AP498" s="32" t="str">
        <f t="shared" si="1396"/>
        <v>0/0.9/1.9/3.9</v>
      </c>
      <c r="AQ498" s="536">
        <f t="shared" si="1394"/>
        <v>0</v>
      </c>
      <c r="AR498" s="32"/>
      <c r="AS498" s="302"/>
      <c r="AT498" s="3">
        <f t="shared" si="1298"/>
        <v>98</v>
      </c>
      <c r="AU498" s="41" t="s">
        <v>121</v>
      </c>
      <c r="AV498" s="41" t="s">
        <v>116</v>
      </c>
      <c r="AW498" s="41" t="str">
        <f>INDEX(Input!$1:$1048576,AW$93,$C498*2+6)</f>
        <v>Kia</v>
      </c>
      <c r="AX498" s="41" t="str">
        <f>INDEX(Input!$1:$1048576,AX$93,$C498*2+6)</f>
        <v>Kia-LR - R1</v>
      </c>
      <c r="AY498" s="41" t="str">
        <f>IF(LEN(D498)=0,"",INDEX(Input!$1:$1048576,AY$93,$C498*2+6))</f>
        <v/>
      </c>
      <c r="AZ498" s="41" t="str">
        <f>INDEX(Input!$1:$1048576,AZ$93,$C498*2+6)</f>
        <v>Kia Soul</v>
      </c>
      <c r="BA498" s="3">
        <f>INDEX(Input!$1:$1048576,BA$93,$C498*2+6)</f>
        <v>2020</v>
      </c>
      <c r="BB498" s="128">
        <f>INDEX(Input!$1:$1048576,BB$93,$C498*2+6)</f>
        <v>1</v>
      </c>
      <c r="BC498" s="128">
        <f>INDEX(Input!$1:$1048576,BC$93,$C498*2+6)</f>
        <v>0.7</v>
      </c>
      <c r="BD498" s="1">
        <f>INDEX(Input!$1:$1048576,BD$93,$C498*2+6)</f>
        <v>4.4999999999999998E-2</v>
      </c>
      <c r="BE498" s="1">
        <f>INDEX(Input!$1:$1048576,BE$93,$C498*2+6)</f>
        <v>4.4999999999999998E-2</v>
      </c>
      <c r="BF498" s="1">
        <f>INDEX(Input!$1:$1048576,BF$93,$C498*2+6)</f>
        <v>0.05</v>
      </c>
      <c r="BG498" s="1">
        <f>INDEX(Input!$1:$1048576,BG$93,$C498*2+6)</f>
        <v>5.45E-2</v>
      </c>
      <c r="BH498" s="1">
        <f>INDEX(Input!$1:$1048576,BH$93,$C498*2+6)</f>
        <v>5.45E-2</v>
      </c>
      <c r="BI498" s="1">
        <f>INDEX(Input!$1:$1048576,BI$93,$C498*2+6)</f>
        <v>0.05</v>
      </c>
      <c r="BJ498" s="1">
        <f>INDEX(Input!$1:$1048576,BJ$93,$C498*2+6)</f>
        <v>0.05</v>
      </c>
      <c r="BK498" s="1">
        <f>INDEX(Input!$1:$1048576,BK$93,$C498*2+6)</f>
        <v>0.05</v>
      </c>
      <c r="BL498" s="1">
        <f>INDEX(Input!$1:$1048576,BL$93,$C498*2+6)</f>
        <v>5.5E-2</v>
      </c>
      <c r="BM498" s="1">
        <f>INDEX(Input!$1:$1048576,BM$93,$C498*2+6)</f>
        <v>0.06</v>
      </c>
      <c r="BN498" s="1">
        <f>INDEX(Input!$1:$1048576,BN$93,$C498*2+6)</f>
        <v>4.4999999999999998E-2</v>
      </c>
      <c r="BO498" s="1">
        <f>INDEX(Input!$1:$1048576,BO$93,$C498*2+6)</f>
        <v>4.4999999999999998E-2</v>
      </c>
      <c r="BP498" s="1">
        <f>INDEX(Input!$1:$1048576,BP$93,$C498*2+6)</f>
        <v>0.05</v>
      </c>
      <c r="BQ498" s="1">
        <f>INDEX(Input!$1:$1048576,BQ$93,$C498*2+6)</f>
        <v>5.45E-2</v>
      </c>
      <c r="BR498" s="1">
        <f>INDEX(Input!$1:$1048576,BR$93,$C498*2+6)</f>
        <v>5.45E-2</v>
      </c>
      <c r="BS498" s="1">
        <f>INDEX(Input!$1:$1048576,BS$93,$C498*2+6)</f>
        <v>0.05</v>
      </c>
      <c r="BT498" s="1">
        <f>INDEX(Input!$1:$1048576,BT$93,$C498*2+6)</f>
        <v>0.05</v>
      </c>
      <c r="BU498" s="1">
        <f>INDEX(Input!$1:$1048576,BU$93,$C498*2+6)</f>
        <v>0.05</v>
      </c>
      <c r="BV498" s="1">
        <f>INDEX(Input!$1:$1048576,BV$93,$C498*2+6)</f>
        <v>5.5E-2</v>
      </c>
      <c r="BW498" s="1">
        <f>INDEX(Input!$1:$1048576,BW$93,$C498*2+6)</f>
        <v>0.06</v>
      </c>
      <c r="BX498" s="127">
        <f>INDEX(Input!$1:$1048576,BX$93,$C498*2+6)</f>
        <v>19985</v>
      </c>
      <c r="BY498" s="20">
        <f>INDEX(Input!$1:$1048576,BY$93,$C498*2+6)</f>
        <v>0.1</v>
      </c>
      <c r="BZ498" s="20">
        <f>INDEX(Input!$1:$1048576,BZ$93,$C498*2+6)</f>
        <v>0.1</v>
      </c>
      <c r="CA498" s="20">
        <f>INDEX(Input!$1:$1048576,CA$93,$C498*2+6)</f>
        <v>0.1</v>
      </c>
      <c r="CB498" s="20">
        <f>INDEX(Input!$1:$1048576,CB$93,$C498*2+6)</f>
        <v>0.1</v>
      </c>
      <c r="CC498" s="20">
        <f>INDEX(Input!$1:$1048576,CC$93,$C498*2+6)</f>
        <v>0.1</v>
      </c>
      <c r="CD498" s="384">
        <f>INDEX(Input!$1:$1048576,CD$93,$C498*2+6)</f>
        <v>0.1</v>
      </c>
      <c r="CE498" s="384">
        <f>INDEX(Input!$1:$1048576,CE$93,$C498*2+6)</f>
        <v>0.1</v>
      </c>
      <c r="CF498" s="384">
        <f>INDEX(Input!$1:$1048576,CF$93,$C498*2+6)</f>
        <v>0.1</v>
      </c>
      <c r="CG498" s="384">
        <f>INDEX(Input!$1:$1048576,CG$93,$C498*2+6)</f>
        <v>0.1</v>
      </c>
      <c r="CH498" s="384">
        <f>INDEX(Input!$1:$1048576,CH$93,$C498*2+6)</f>
        <v>0.1</v>
      </c>
      <c r="CI498" s="304">
        <f t="shared" si="1397"/>
        <v>1256.832975525977</v>
      </c>
      <c r="CJ498" s="16" t="str">
        <f>INDEX(Input!$1:$1048576,CJ$93,$C498*2+6)</f>
        <v>N</v>
      </c>
      <c r="CK498" s="1" t="str">
        <f t="shared" si="1398"/>
        <v>Market</v>
      </c>
      <c r="CL498" s="1" t="str">
        <f t="shared" si="1399"/>
        <v>Market</v>
      </c>
      <c r="CM498" s="1" t="str">
        <f t="shared" si="1400"/>
        <v>Market</v>
      </c>
      <c r="CN498" s="1" t="str">
        <f t="shared" si="1401"/>
        <v>Market</v>
      </c>
      <c r="CO498" s="1" t="str">
        <f t="shared" si="1402"/>
        <v>Market</v>
      </c>
      <c r="CP498" s="304">
        <f t="shared" si="1403"/>
        <v>416</v>
      </c>
      <c r="CQ498" s="1">
        <f t="shared" si="1404"/>
        <v>0</v>
      </c>
      <c r="CR498" s="1">
        <f t="shared" si="1405"/>
        <v>0</v>
      </c>
      <c r="CS498" s="1">
        <f t="shared" si="1406"/>
        <v>0</v>
      </c>
      <c r="CT498" s="1">
        <f t="shared" si="1407"/>
        <v>1.9E-2</v>
      </c>
      <c r="CU498" s="1">
        <f t="shared" si="1408"/>
        <v>3.9E-2</v>
      </c>
      <c r="CV498" s="304">
        <f t="shared" si="1409"/>
        <v>-870</v>
      </c>
      <c r="CW498" s="20" t="s">
        <v>122</v>
      </c>
      <c r="CX498" s="20" t="s">
        <v>122</v>
      </c>
      <c r="CY498" s="20" t="s">
        <v>122</v>
      </c>
      <c r="CZ498" s="20" t="s">
        <v>122</v>
      </c>
      <c r="DA498" s="20" t="s">
        <v>122</v>
      </c>
      <c r="DB498" s="503">
        <f t="shared" si="1410"/>
        <v>0</v>
      </c>
      <c r="DC498" s="127">
        <v>0</v>
      </c>
      <c r="DD498" s="127">
        <v>0</v>
      </c>
      <c r="DE498" s="127">
        <v>0</v>
      </c>
      <c r="DF498" s="127">
        <v>0</v>
      </c>
      <c r="DG498" s="127">
        <v>0</v>
      </c>
      <c r="DH498" s="127">
        <v>0</v>
      </c>
      <c r="DI498" s="127">
        <v>0</v>
      </c>
      <c r="DJ498" s="127">
        <v>0</v>
      </c>
      <c r="DK498" s="127">
        <v>0</v>
      </c>
      <c r="DL498" s="127">
        <v>0</v>
      </c>
      <c r="DM498" s="304">
        <f>INDEX(Input!$1:$1048576,DM$93,$C498*2+6)</f>
        <v>21036.84210526316</v>
      </c>
      <c r="DN498" s="20">
        <v>0</v>
      </c>
      <c r="DO498" s="20">
        <v>0</v>
      </c>
      <c r="DP498" s="20">
        <v>0</v>
      </c>
      <c r="DQ498" s="20">
        <v>0</v>
      </c>
      <c r="DR498" s="20">
        <v>0</v>
      </c>
      <c r="DS498" s="20">
        <f>INDEX(Input!$1:$1048576,DS$93,$C498*2+6)</f>
        <v>0.6</v>
      </c>
      <c r="DT498" s="20">
        <f>INDEX(Input!$1:$1048576,DT$93,$C498*2+6)</f>
        <v>0.55000000000000004</v>
      </c>
      <c r="DU498" s="20">
        <f>INDEX(Input!$1:$1048576,DU$93,$C498*2+6)</f>
        <v>0.52</v>
      </c>
      <c r="DV498" s="20">
        <f>INDEX(Input!$1:$1048576,DV$93,$C498*2+6)</f>
        <v>0.5</v>
      </c>
      <c r="DW498" s="20">
        <f>INDEX(Input!$1:$1048576,DW$93,$C498*2+6)</f>
        <v>0.45</v>
      </c>
      <c r="DX498" s="20"/>
      <c r="DY498" s="7"/>
      <c r="DZ498" s="7"/>
      <c r="EA498" s="7"/>
      <c r="EB498" s="7"/>
      <c r="EC498" s="7"/>
      <c r="ED498" s="7"/>
      <c r="EE498" s="7"/>
      <c r="EF498" s="7"/>
      <c r="EG498" s="7"/>
      <c r="EH498" s="7"/>
      <c r="EI498" s="7"/>
      <c r="EJ498" s="7"/>
      <c r="EK498" s="7"/>
      <c r="EL498" s="7"/>
      <c r="EM498" s="7"/>
      <c r="EN498" s="7"/>
      <c r="EO498" s="7"/>
      <c r="EP498" s="7"/>
      <c r="EQ498" s="7"/>
      <c r="ER498" s="7"/>
      <c r="ES498" s="7"/>
      <c r="ET498" s="7"/>
      <c r="EU498" s="6"/>
      <c r="EV498" s="6"/>
      <c r="EW498" s="6"/>
      <c r="EX498" s="6"/>
      <c r="EY498" s="6"/>
      <c r="EZ498" s="6"/>
      <c r="FA498" s="6"/>
      <c r="FB498" s="6"/>
      <c r="FC498" s="6"/>
      <c r="FD498" s="6"/>
      <c r="FE498" s="6"/>
      <c r="FF498" s="6"/>
      <c r="FG498" s="6"/>
      <c r="FH498" s="6"/>
      <c r="FI498" s="6"/>
      <c r="FJ498" s="6"/>
      <c r="FK498" s="6"/>
      <c r="FL498" s="6"/>
      <c r="FM498" s="6"/>
      <c r="FN498" s="6"/>
      <c r="FO498" s="6"/>
      <c r="FP498" s="6"/>
      <c r="FQ498" s="6"/>
      <c r="FR498" s="6"/>
      <c r="FS498" s="6"/>
      <c r="FT498" s="7"/>
      <c r="FU498" s="7"/>
      <c r="FV498" s="7"/>
      <c r="FW498" s="6"/>
      <c r="FX498" s="6"/>
      <c r="FY498" s="6"/>
      <c r="FZ498" s="6"/>
      <c r="GA498" s="6"/>
      <c r="GB498" s="6"/>
      <c r="GC498" s="7"/>
      <c r="GD498" s="7"/>
      <c r="GE498" s="7"/>
      <c r="GF498" s="7"/>
      <c r="GG498" s="7"/>
      <c r="GH498" s="42"/>
      <c r="GI498" s="6"/>
      <c r="GJ498" s="14"/>
      <c r="GK498" s="14"/>
      <c r="GL498" s="14"/>
      <c r="GM498" s="14"/>
      <c r="GO498" s="5"/>
      <c r="GP498" s="5"/>
      <c r="GQ498" s="5"/>
      <c r="GR498" s="5"/>
      <c r="GS498" s="5"/>
      <c r="GT498" s="5"/>
      <c r="GU498" s="5"/>
      <c r="GV498" s="39"/>
      <c r="GW498" s="5"/>
      <c r="GX498" s="5"/>
      <c r="GY498" s="5"/>
      <c r="GZ498" s="5"/>
      <c r="HA498" s="5"/>
      <c r="HB498" s="39"/>
      <c r="HC498" s="5"/>
      <c r="HD498" s="5"/>
      <c r="HE498" s="5"/>
      <c r="HF498" s="5"/>
      <c r="HG498" s="5"/>
      <c r="HH498" s="39"/>
      <c r="HI498" s="16"/>
      <c r="HJ498" s="19"/>
      <c r="HK498" s="1"/>
      <c r="HL498" s="16"/>
      <c r="HM498" s="1"/>
      <c r="HN498" s="1"/>
      <c r="HO498" s="1"/>
      <c r="HP498" s="1"/>
      <c r="HQ498" s="1"/>
      <c r="HR498" s="1"/>
      <c r="HS498" s="1"/>
      <c r="HT498" s="1"/>
      <c r="HU498" s="1"/>
      <c r="HV498" s="1"/>
      <c r="HW498" s="1"/>
      <c r="HX498" s="1"/>
      <c r="HY498" s="1"/>
      <c r="HZ498" s="1"/>
      <c r="IA498" s="1"/>
      <c r="IB498" s="1"/>
      <c r="IC498" s="1"/>
      <c r="ID498" s="1"/>
      <c r="IE498" s="1"/>
      <c r="IF498" s="1"/>
      <c r="IG498" s="1"/>
      <c r="IH498" s="21"/>
      <c r="II498" s="19"/>
      <c r="IJ498" s="19"/>
      <c r="IK498" s="19"/>
      <c r="IL498" s="19"/>
      <c r="IM498" s="19"/>
      <c r="IN498" s="19"/>
      <c r="IO498" s="39"/>
      <c r="IP498" s="39"/>
      <c r="IQ498" s="39"/>
      <c r="IR498" s="39"/>
      <c r="IS498" s="39"/>
      <c r="IT498" s="39"/>
      <c r="IU498" s="39"/>
      <c r="IV498" s="39"/>
      <c r="IW498" s="39"/>
      <c r="IX498" s="39"/>
      <c r="IY498" s="39"/>
      <c r="IZ498" s="39"/>
      <c r="JA498" s="19"/>
      <c r="JB498" s="19"/>
      <c r="JC498" s="19"/>
      <c r="JD498" s="19"/>
      <c r="JE498" s="21"/>
      <c r="JF498" s="1"/>
      <c r="JG498" s="15"/>
      <c r="JH498" s="1"/>
      <c r="JI498" s="1"/>
      <c r="JJ498" s="1"/>
      <c r="JK498" s="1"/>
      <c r="JL498" s="15"/>
      <c r="JM498" s="15"/>
      <c r="JN498" s="21"/>
      <c r="JO498" s="19"/>
      <c r="JP498" s="19"/>
      <c r="JQ498" s="39"/>
      <c r="JR498" s="39"/>
      <c r="JS498" s="39"/>
      <c r="JT498" s="39"/>
      <c r="JU498" s="385"/>
      <c r="JV498" s="39"/>
      <c r="JW498" s="1"/>
      <c r="JX498" s="19"/>
      <c r="JZ498" s="341"/>
      <c r="KA498" s="342"/>
      <c r="KB498" s="469"/>
      <c r="KI498" s="473"/>
      <c r="KJ498" s="473"/>
      <c r="KK498" s="473"/>
    </row>
    <row r="499" spans="1:310" s="26" customFormat="1" ht="15" outlineLevel="1">
      <c r="A499" s="561">
        <f t="shared" si="1278"/>
        <v>4099</v>
      </c>
      <c r="B499" s="561">
        <f t="shared" si="1296"/>
        <v>99</v>
      </c>
      <c r="C499" s="561">
        <f t="shared" si="1297"/>
        <v>4</v>
      </c>
      <c r="D499" s="561" t="str">
        <f t="shared" si="1393"/>
        <v/>
      </c>
      <c r="E499" s="475">
        <f>INDEX(Input!$1:$1048576,E$93,$C499*2+MIN($B499,2)+5)
+INDEX(Scenarios!E$121:E$200,MATCH($B499,Scenarios!$B$121:$B$200,0))</f>
        <v>1256.832975525977</v>
      </c>
      <c r="F499" s="475">
        <f>INDEX(Input!$1:$1048576,F$93,$C499*2+MIN($B499,2)+5)
+INDEX(Scenarios!F$121:F$200,MATCH($B499,Scenarios!$B$121:$B$200,0))</f>
        <v>0</v>
      </c>
      <c r="G499" s="475">
        <f>INDEX(Input!$1:$1048576,G$93,$C499*2+MIN($B499,2)+5)
+INDEX(Scenarios!G$121:G$200,MATCH($B499,Scenarios!$B$121:$B$200,0))</f>
        <v>0</v>
      </c>
      <c r="H499" s="475">
        <f>INDEX(Input!$1:$1048576,H$93,$C499*2+MIN($B499,2)+5)
+INDEX(Scenarios!H$121:H$200,MATCH($B499,Scenarios!$B$121:$B$200,0))</f>
        <v>0</v>
      </c>
      <c r="I499" s="476">
        <f>INDEX(Input!$1:$1048576,I$93,$C499*2+MIN($B499,2)+5)</f>
        <v>0.7</v>
      </c>
      <c r="J499" s="476" t="str">
        <f>INDEX(Input!$1:$1048576,J$93,$C499*2+MIN($B499,2)+5)</f>
        <v>Market</v>
      </c>
      <c r="K499" s="476" t="str">
        <f>INDEX(Input!$1:$1048576,K$93,$C499*2+MIN($B499,2)+5)</f>
        <v>Market</v>
      </c>
      <c r="L499" s="476" t="str">
        <f>INDEX(Input!$1:$1048576,L$93,$C499*2+MIN($B499,2)+5)</f>
        <v>Market</v>
      </c>
      <c r="M499" s="476" t="str">
        <f>INDEX(Input!$1:$1048576,M$93,$C499*2+MIN($B499,2)+5)</f>
        <v>Market</v>
      </c>
      <c r="N499" s="476" t="str">
        <f>INDEX(Input!$1:$1048576,N$93,$C499*2+MIN($B499,2)+5)</f>
        <v>Market</v>
      </c>
      <c r="O499" s="476" t="str">
        <f>INDEX(Input!$1:$1048576,O$93,$C499*2+MIN($B499,2)+5)</f>
        <v>Market</v>
      </c>
      <c r="P499" s="476" t="str">
        <f>INDEX(Input!$1:$1048576,P$93,$C499*2+MIN($B499,2)+5)</f>
        <v>N</v>
      </c>
      <c r="Q499" s="477">
        <f>INDEX(Input!$1:$1048576,Q$93,$C499*2+MIN($B499,2)+5)
+INDEX(Scenarios!Q$121:Q$200,MATCH($B499,Scenarios!$B$121:$B$200,0))</f>
        <v>0</v>
      </c>
      <c r="R499" s="478">
        <f>IFERROR(MAX(0,INDEX(Input!$1:$1048576,R$93,$C499*2+MIN($B499,2)+5)
+INDEX(Scenarios!R$121:R$200,MATCH($B499,Scenarios!$B$121:$B$200,0)),),"Market")</f>
        <v>0</v>
      </c>
      <c r="S499" s="478">
        <f>IFERROR(MAX(0,INDEX(Input!$1:$1048576,S$93,$C499*2+MIN($B499,2)+5)
+INDEX(Scenarios!S$121:S$200,MATCH($B499,Scenarios!$B$121:$B$200,0)),),"Market")</f>
        <v>0</v>
      </c>
      <c r="T499" s="478">
        <f>IFERROR(MAX(0,INDEX(Input!$1:$1048576,T$93,$C499*2+MIN($B499,2)+5)
+INDEX(Scenarios!T$121:T$200,MATCH($B499,Scenarios!$B$121:$B$200,0)),),"Market")</f>
        <v>0</v>
      </c>
      <c r="U499" s="478">
        <f>IFERROR(MAX(0,INDEX(Input!$1:$1048576,U$93,$C499*2+MIN($B499,2)+5)
+INDEX(Scenarios!U$121:U$200,MATCH($B499,Scenarios!$B$121:$B$200,0)),),"Market")</f>
        <v>0</v>
      </c>
      <c r="V499" s="478">
        <f>IFERROR(MAX(0,INDEX(Input!$1:$1048576,V$93,$C499*2+MIN($B499,2)+5)
+INDEX(Scenarios!V$121:V$200,MATCH($B499,Scenarios!$B$121:$B$200,0)),),"Market")</f>
        <v>1.9E-2</v>
      </c>
      <c r="W499" s="885">
        <f>IFERROR(MAX(0,INDEX(Input!$1:$1048576,W$93,$C499*2+MIN($B499,2)+5)-0%,),"Market")</f>
        <v>3.9E-2</v>
      </c>
      <c r="X499" s="476" t="str">
        <f>INDEX(Input!$1:$1048576,X$93,$C499*2+MIN($B499,2)+5)</f>
        <v>Y</v>
      </c>
      <c r="Y499" s="475">
        <f>INDEX(Input!$1:$1048576,Y$93,$C499*2+MIN($B499,2)+5)
++INDEX(Scenarios!Y$121:Y$200,MATCH($B499,Scenarios!$B$121:$B$200,0))</f>
        <v>-870</v>
      </c>
      <c r="Z499" s="477">
        <f>INDEX(Input!$1:$1048576,Z$93,$C499*2+MIN($B499,2)+5)
+INDEX(Scenarios!Z$121:Z$200,MATCH($B499,Scenarios!$B$121:$B$200,0))</f>
        <v>0</v>
      </c>
      <c r="AA499" s="475">
        <f>INDEX(Input!$1:$1048576,AA$93,$C499*2+MIN($B499,2)+5)
+INDEX(Scenarios!AA$121:AA$200,MATCH($B499,Scenarios!$B$121:$B$200,0))</f>
        <v>0</v>
      </c>
      <c r="AB499" s="476">
        <f>INDEX(Input!$1:$1048576,AB$93,$C499*2+MIN($B499,2)+5)</f>
        <v>0.27</v>
      </c>
      <c r="AC499" s="475">
        <f>INDEX(Input!$1:$1048576,AC$93,$C499*2+MIN($B499,2)+5)
+INDEX(Scenarios!AC$121:AC$200,MATCH($B499,Scenarios!$B$121:$B$200,0))</f>
        <v>0</v>
      </c>
      <c r="AD499" s="476">
        <f>INDEX(Input!$1:$1048576,AD$93,$C499*2+MIN($B499,2)+5)</f>
        <v>0.27</v>
      </c>
      <c r="AE499" s="475">
        <f>INDEX(Input!$1:$1048576,AE$93,$C499*2+MIN($B499,2)+5)
+INDEX(Scenarios!AE$121:AE$200,MATCH($B499,Scenarios!$B$121:$B$200,0))</f>
        <v>0</v>
      </c>
      <c r="AF499" s="476">
        <f>INDEX(Input!$1:$1048576,AF$93,$C499*2+MIN($B499,2)+5)</f>
        <v>1</v>
      </c>
      <c r="AG499" s="475">
        <f>INDEX(Input!$1:$1048576,AG$93,$C499*2+MIN($B499,2)+5)
+INDEX(Scenarios!AG$121:AG$200,MATCH($B499,Scenarios!$B$121:$B$200,0))</f>
        <v>500</v>
      </c>
      <c r="AH499" s="476">
        <f>INDEX(Input!$1:$1048576,AH$93,$C499*2+MIN($B499,2)+5)</f>
        <v>0.83199999999999996</v>
      </c>
      <c r="AI499" s="475">
        <f>INDEX(Input!$1:$1048576,AI$93,$C499*2+MIN($B499,2)+5)
+INDEX(Scenarios!AI$121:AI$200,MATCH($B499,Scenarios!$B$121:$B$200,0))</f>
        <v>0</v>
      </c>
      <c r="AJ499" s="476">
        <f>INDEX(Input!$1:$1048576,AJ$93,$C499*2+MIN($B499,2)+5)</f>
        <v>0.27</v>
      </c>
      <c r="AK499" s="150">
        <f>ROUND(INDEX(Input!$1:$1048576,AK$93,$C498*2+MIN($B499,1)+5)+(Y499-VLOOKUP($C499*1000+1,$A:$HH,Y$92,FALSE)),0)</f>
        <v>2587</v>
      </c>
      <c r="AL499" s="150">
        <f>ROUND(INDEX(Input!$1:$1048576,AL$93,$C498*2+MIN($B499,1)+5)-(Y499-VLOOKUP($C499*1000+1,$A:$HH,Y$92,FALSE))/36,0)</f>
        <v>3406</v>
      </c>
      <c r="AM499" s="32" t="str">
        <f t="shared" si="1279"/>
        <v>std/std/std/std</v>
      </c>
      <c r="AN499" s="32" t="str">
        <f t="shared" si="1280"/>
        <v>$0 + 0/0/0/1.9/3.9</v>
      </c>
      <c r="AO499" s="32" t="str">
        <f t="shared" si="1281"/>
        <v>0/0/0/1.9/3.9</v>
      </c>
      <c r="AP499" s="32" t="str">
        <f t="shared" si="1396"/>
        <v>0/0.9/1.9/3.9</v>
      </c>
      <c r="AQ499" s="536">
        <f t="shared" si="1394"/>
        <v>0</v>
      </c>
      <c r="AR499" s="32"/>
      <c r="AS499" s="302"/>
      <c r="AT499" s="3">
        <f t="shared" si="1298"/>
        <v>99</v>
      </c>
      <c r="AU499" s="41" t="s">
        <v>121</v>
      </c>
      <c r="AV499" s="41" t="s">
        <v>116</v>
      </c>
      <c r="AW499" s="41" t="str">
        <f>INDEX(Input!$1:$1048576,AW$93,$C499*2+6)</f>
        <v>Kia</v>
      </c>
      <c r="AX499" s="41" t="str">
        <f>INDEX(Input!$1:$1048576,AX$93,$C499*2+6)</f>
        <v>Kia-LR - R1</v>
      </c>
      <c r="AY499" s="41" t="str">
        <f>IF(LEN(D499)=0,"",INDEX(Input!$1:$1048576,AY$93,$C499*2+6))</f>
        <v/>
      </c>
      <c r="AZ499" s="41" t="str">
        <f>INDEX(Input!$1:$1048576,AZ$93,$C499*2+6)</f>
        <v>Kia Soul</v>
      </c>
      <c r="BA499" s="3">
        <f>INDEX(Input!$1:$1048576,BA$93,$C499*2+6)</f>
        <v>2020</v>
      </c>
      <c r="BB499" s="128">
        <f>INDEX(Input!$1:$1048576,BB$93,$C499*2+6)</f>
        <v>1</v>
      </c>
      <c r="BC499" s="128">
        <f>INDEX(Input!$1:$1048576,BC$93,$C499*2+6)</f>
        <v>0.7</v>
      </c>
      <c r="BD499" s="1">
        <f>INDEX(Input!$1:$1048576,BD$93,$C499*2+6)</f>
        <v>4.4999999999999998E-2</v>
      </c>
      <c r="BE499" s="1">
        <f>INDEX(Input!$1:$1048576,BE$93,$C499*2+6)</f>
        <v>4.4999999999999998E-2</v>
      </c>
      <c r="BF499" s="1">
        <f>INDEX(Input!$1:$1048576,BF$93,$C499*2+6)</f>
        <v>0.05</v>
      </c>
      <c r="BG499" s="1">
        <f>INDEX(Input!$1:$1048576,BG$93,$C499*2+6)</f>
        <v>5.45E-2</v>
      </c>
      <c r="BH499" s="1">
        <f>INDEX(Input!$1:$1048576,BH$93,$C499*2+6)</f>
        <v>5.45E-2</v>
      </c>
      <c r="BI499" s="1">
        <f>INDEX(Input!$1:$1048576,BI$93,$C499*2+6)</f>
        <v>0.05</v>
      </c>
      <c r="BJ499" s="1">
        <f>INDEX(Input!$1:$1048576,BJ$93,$C499*2+6)</f>
        <v>0.05</v>
      </c>
      <c r="BK499" s="1">
        <f>INDEX(Input!$1:$1048576,BK$93,$C499*2+6)</f>
        <v>0.05</v>
      </c>
      <c r="BL499" s="1">
        <f>INDEX(Input!$1:$1048576,BL$93,$C499*2+6)</f>
        <v>5.5E-2</v>
      </c>
      <c r="BM499" s="1">
        <f>INDEX(Input!$1:$1048576,BM$93,$C499*2+6)</f>
        <v>0.06</v>
      </c>
      <c r="BN499" s="1">
        <f>INDEX(Input!$1:$1048576,BN$93,$C499*2+6)</f>
        <v>4.4999999999999998E-2</v>
      </c>
      <c r="BO499" s="1">
        <f>INDEX(Input!$1:$1048576,BO$93,$C499*2+6)</f>
        <v>4.4999999999999998E-2</v>
      </c>
      <c r="BP499" s="1">
        <f>INDEX(Input!$1:$1048576,BP$93,$C499*2+6)</f>
        <v>0.05</v>
      </c>
      <c r="BQ499" s="1">
        <f>INDEX(Input!$1:$1048576,BQ$93,$C499*2+6)</f>
        <v>5.45E-2</v>
      </c>
      <c r="BR499" s="1">
        <f>INDEX(Input!$1:$1048576,BR$93,$C499*2+6)</f>
        <v>5.45E-2</v>
      </c>
      <c r="BS499" s="1">
        <f>INDEX(Input!$1:$1048576,BS$93,$C499*2+6)</f>
        <v>0.05</v>
      </c>
      <c r="BT499" s="1">
        <f>INDEX(Input!$1:$1048576,BT$93,$C499*2+6)</f>
        <v>0.05</v>
      </c>
      <c r="BU499" s="1">
        <f>INDEX(Input!$1:$1048576,BU$93,$C499*2+6)</f>
        <v>0.05</v>
      </c>
      <c r="BV499" s="1">
        <f>INDEX(Input!$1:$1048576,BV$93,$C499*2+6)</f>
        <v>5.5E-2</v>
      </c>
      <c r="BW499" s="1">
        <f>INDEX(Input!$1:$1048576,BW$93,$C499*2+6)</f>
        <v>0.06</v>
      </c>
      <c r="BX499" s="127">
        <f>INDEX(Input!$1:$1048576,BX$93,$C499*2+6)</f>
        <v>19985</v>
      </c>
      <c r="BY499" s="20">
        <f>INDEX(Input!$1:$1048576,BY$93,$C499*2+6)</f>
        <v>0.1</v>
      </c>
      <c r="BZ499" s="20">
        <f>INDEX(Input!$1:$1048576,BZ$93,$C499*2+6)</f>
        <v>0.1</v>
      </c>
      <c r="CA499" s="20">
        <f>INDEX(Input!$1:$1048576,CA$93,$C499*2+6)</f>
        <v>0.1</v>
      </c>
      <c r="CB499" s="20">
        <f>INDEX(Input!$1:$1048576,CB$93,$C499*2+6)</f>
        <v>0.1</v>
      </c>
      <c r="CC499" s="20">
        <f>INDEX(Input!$1:$1048576,CC$93,$C499*2+6)</f>
        <v>0.1</v>
      </c>
      <c r="CD499" s="384">
        <f>INDEX(Input!$1:$1048576,CD$93,$C499*2+6)</f>
        <v>0.1</v>
      </c>
      <c r="CE499" s="384">
        <f>INDEX(Input!$1:$1048576,CE$93,$C499*2+6)</f>
        <v>0.1</v>
      </c>
      <c r="CF499" s="384">
        <f>INDEX(Input!$1:$1048576,CF$93,$C499*2+6)</f>
        <v>0.1</v>
      </c>
      <c r="CG499" s="384">
        <f>INDEX(Input!$1:$1048576,CG$93,$C499*2+6)</f>
        <v>0.1</v>
      </c>
      <c r="CH499" s="384">
        <f>INDEX(Input!$1:$1048576,CH$93,$C499*2+6)</f>
        <v>0.1</v>
      </c>
      <c r="CI499" s="304">
        <f t="shared" si="1397"/>
        <v>1256.832975525977</v>
      </c>
      <c r="CJ499" s="16" t="str">
        <f>INDEX(Input!$1:$1048576,CJ$93,$C499*2+6)</f>
        <v>N</v>
      </c>
      <c r="CK499" s="1" t="str">
        <f t="shared" si="1398"/>
        <v>Market</v>
      </c>
      <c r="CL499" s="1" t="str">
        <f t="shared" si="1399"/>
        <v>Market</v>
      </c>
      <c r="CM499" s="1" t="str">
        <f t="shared" si="1400"/>
        <v>Market</v>
      </c>
      <c r="CN499" s="1" t="str">
        <f t="shared" si="1401"/>
        <v>Market</v>
      </c>
      <c r="CO499" s="1" t="str">
        <f t="shared" si="1402"/>
        <v>Market</v>
      </c>
      <c r="CP499" s="304">
        <f t="shared" si="1403"/>
        <v>416</v>
      </c>
      <c r="CQ499" s="1">
        <f t="shared" si="1404"/>
        <v>0</v>
      </c>
      <c r="CR499" s="1">
        <f t="shared" si="1405"/>
        <v>0</v>
      </c>
      <c r="CS499" s="1">
        <f t="shared" si="1406"/>
        <v>0</v>
      </c>
      <c r="CT499" s="1">
        <f t="shared" si="1407"/>
        <v>1.9E-2</v>
      </c>
      <c r="CU499" s="1">
        <f t="shared" si="1408"/>
        <v>3.9E-2</v>
      </c>
      <c r="CV499" s="304">
        <f t="shared" si="1409"/>
        <v>-870</v>
      </c>
      <c r="CW499" s="20" t="s">
        <v>122</v>
      </c>
      <c r="CX499" s="20" t="s">
        <v>122</v>
      </c>
      <c r="CY499" s="20" t="s">
        <v>122</v>
      </c>
      <c r="CZ499" s="20" t="s">
        <v>122</v>
      </c>
      <c r="DA499" s="20" t="s">
        <v>122</v>
      </c>
      <c r="DB499" s="503">
        <f t="shared" si="1410"/>
        <v>0</v>
      </c>
      <c r="DC499" s="127">
        <v>0</v>
      </c>
      <c r="DD499" s="127">
        <v>0</v>
      </c>
      <c r="DE499" s="127">
        <v>0</v>
      </c>
      <c r="DF499" s="127">
        <v>0</v>
      </c>
      <c r="DG499" s="127">
        <v>0</v>
      </c>
      <c r="DH499" s="127">
        <v>0</v>
      </c>
      <c r="DI499" s="127">
        <v>0</v>
      </c>
      <c r="DJ499" s="127">
        <v>0</v>
      </c>
      <c r="DK499" s="127">
        <v>0</v>
      </c>
      <c r="DL499" s="127">
        <v>0</v>
      </c>
      <c r="DM499" s="304">
        <f>INDEX(Input!$1:$1048576,DM$93,$C499*2+6)</f>
        <v>21036.84210526316</v>
      </c>
      <c r="DN499" s="20">
        <v>0</v>
      </c>
      <c r="DO499" s="20">
        <v>0</v>
      </c>
      <c r="DP499" s="20">
        <v>0</v>
      </c>
      <c r="DQ499" s="20">
        <v>0</v>
      </c>
      <c r="DR499" s="20">
        <v>0</v>
      </c>
      <c r="DS499" s="20">
        <f>INDEX(Input!$1:$1048576,DS$93,$C499*2+6)</f>
        <v>0.6</v>
      </c>
      <c r="DT499" s="20">
        <f>INDEX(Input!$1:$1048576,DT$93,$C499*2+6)</f>
        <v>0.55000000000000004</v>
      </c>
      <c r="DU499" s="20">
        <f>INDEX(Input!$1:$1048576,DU$93,$C499*2+6)</f>
        <v>0.52</v>
      </c>
      <c r="DV499" s="20">
        <f>INDEX(Input!$1:$1048576,DV$93,$C499*2+6)</f>
        <v>0.5</v>
      </c>
      <c r="DW499" s="20">
        <f>INDEX(Input!$1:$1048576,DW$93,$C499*2+6)</f>
        <v>0.45</v>
      </c>
      <c r="DX499" s="20"/>
      <c r="DY499" s="7"/>
      <c r="DZ499" s="7"/>
      <c r="EA499" s="7"/>
      <c r="EB499" s="7"/>
      <c r="EC499" s="7"/>
      <c r="ED499" s="7"/>
      <c r="EE499" s="7"/>
      <c r="EF499" s="7"/>
      <c r="EG499" s="7"/>
      <c r="EH499" s="7"/>
      <c r="EI499" s="7"/>
      <c r="EJ499" s="7"/>
      <c r="EK499" s="7"/>
      <c r="EL499" s="7"/>
      <c r="EM499" s="7"/>
      <c r="EN499" s="7"/>
      <c r="EO499" s="7"/>
      <c r="EP499" s="7"/>
      <c r="EQ499" s="7"/>
      <c r="ER499" s="7"/>
      <c r="ES499" s="7"/>
      <c r="ET499" s="7"/>
      <c r="EU499" s="6"/>
      <c r="EV499" s="6"/>
      <c r="EW499" s="6"/>
      <c r="EX499" s="6"/>
      <c r="EY499" s="6"/>
      <c r="EZ499" s="6"/>
      <c r="FA499" s="6"/>
      <c r="FB499" s="6"/>
      <c r="FC499" s="6"/>
      <c r="FD499" s="6"/>
      <c r="FE499" s="6"/>
      <c r="FF499" s="6"/>
      <c r="FG499" s="6"/>
      <c r="FH499" s="6"/>
      <c r="FI499" s="6"/>
      <c r="FJ499" s="6"/>
      <c r="FK499" s="6"/>
      <c r="FL499" s="6"/>
      <c r="FM499" s="6"/>
      <c r="FN499" s="6"/>
      <c r="FO499" s="6"/>
      <c r="FP499" s="6"/>
      <c r="FQ499" s="6"/>
      <c r="FR499" s="6"/>
      <c r="FS499" s="6"/>
      <c r="FT499" s="7"/>
      <c r="FU499" s="7"/>
      <c r="FV499" s="7"/>
      <c r="FW499" s="6"/>
      <c r="FX499" s="6"/>
      <c r="FY499" s="6"/>
      <c r="FZ499" s="6"/>
      <c r="GA499" s="6"/>
      <c r="GB499" s="6"/>
      <c r="GC499" s="7"/>
      <c r="GD499" s="7"/>
      <c r="GE499" s="7"/>
      <c r="GF499" s="7"/>
      <c r="GG499" s="7"/>
      <c r="GH499" s="42"/>
      <c r="GI499" s="6"/>
      <c r="GJ499" s="14"/>
      <c r="GK499" s="14"/>
      <c r="GL499" s="14"/>
      <c r="GM499" s="14"/>
      <c r="GO499" s="5"/>
      <c r="GP499" s="5"/>
      <c r="GQ499" s="5"/>
      <c r="GR499" s="5"/>
      <c r="GS499" s="5"/>
      <c r="GT499" s="5"/>
      <c r="GU499" s="5"/>
      <c r="GV499" s="39"/>
      <c r="GW499" s="5"/>
      <c r="GX499" s="5"/>
      <c r="GY499" s="5"/>
      <c r="GZ499" s="5"/>
      <c r="HA499" s="5"/>
      <c r="HB499" s="39"/>
      <c r="HC499" s="5"/>
      <c r="HD499" s="5"/>
      <c r="HE499" s="5"/>
      <c r="HF499" s="5"/>
      <c r="HG499" s="5"/>
      <c r="HH499" s="39"/>
      <c r="HI499" s="16"/>
      <c r="HJ499" s="19"/>
      <c r="HK499" s="1"/>
      <c r="HL499" s="16"/>
      <c r="HM499" s="1"/>
      <c r="HN499" s="1"/>
      <c r="HO499" s="1"/>
      <c r="HP499" s="1"/>
      <c r="HQ499" s="1"/>
      <c r="HR499" s="1"/>
      <c r="HS499" s="1"/>
      <c r="HT499" s="1"/>
      <c r="HU499" s="1"/>
      <c r="HV499" s="1"/>
      <c r="HW499" s="1"/>
      <c r="HX499" s="1"/>
      <c r="HY499" s="1"/>
      <c r="HZ499" s="1"/>
      <c r="IA499" s="1"/>
      <c r="IB499" s="1"/>
      <c r="IC499" s="1"/>
      <c r="ID499" s="1"/>
      <c r="IE499" s="1"/>
      <c r="IF499" s="1"/>
      <c r="IG499" s="1"/>
      <c r="IH499" s="21"/>
      <c r="II499" s="19"/>
      <c r="IJ499" s="19"/>
      <c r="IK499" s="19"/>
      <c r="IL499" s="19"/>
      <c r="IM499" s="19"/>
      <c r="IN499" s="19"/>
      <c r="IO499" s="39"/>
      <c r="IP499" s="39"/>
      <c r="IQ499" s="39"/>
      <c r="IR499" s="39"/>
      <c r="IS499" s="39"/>
      <c r="IT499" s="39"/>
      <c r="IU499" s="39"/>
      <c r="IV499" s="39"/>
      <c r="IW499" s="39"/>
      <c r="IX499" s="39"/>
      <c r="IY499" s="39"/>
      <c r="IZ499" s="39"/>
      <c r="JA499" s="19"/>
      <c r="JB499" s="19"/>
      <c r="JC499" s="19"/>
      <c r="JD499" s="19"/>
      <c r="JE499" s="21"/>
      <c r="JF499" s="1"/>
      <c r="JG499" s="15"/>
      <c r="JH499" s="1"/>
      <c r="JI499" s="1"/>
      <c r="JJ499" s="1"/>
      <c r="JK499" s="1"/>
      <c r="JL499" s="15"/>
      <c r="JM499" s="15"/>
      <c r="JN499" s="21"/>
      <c r="JO499" s="19"/>
      <c r="JP499" s="19"/>
      <c r="JQ499" s="39"/>
      <c r="JR499" s="39"/>
      <c r="JS499" s="39"/>
      <c r="JT499" s="39"/>
      <c r="JU499" s="385"/>
      <c r="JV499" s="39"/>
      <c r="JW499" s="1"/>
      <c r="JX499" s="19"/>
      <c r="JZ499" s="341"/>
      <c r="KA499" s="342"/>
      <c r="KB499" s="469"/>
      <c r="KI499" s="473"/>
      <c r="KJ499" s="473"/>
      <c r="KK499" s="473"/>
    </row>
    <row r="500" spans="1:310" s="26" customFormat="1" ht="15.75" outlineLevel="1" thickBot="1">
      <c r="A500" s="561">
        <f t="shared" si="1278"/>
        <v>4100</v>
      </c>
      <c r="B500" s="561">
        <f t="shared" si="1296"/>
        <v>100</v>
      </c>
      <c r="C500" s="561">
        <f t="shared" si="1297"/>
        <v>4</v>
      </c>
      <c r="D500" s="561" t="str">
        <f t="shared" si="1393"/>
        <v/>
      </c>
      <c r="E500" s="475">
        <f>INDEX(Input!$1:$1048576,E$93,$C500*2+MIN($B500,2)+5)
+INDEX(Scenarios!E$121:E$200,MATCH($B500,Scenarios!$B$121:$B$200,0))</f>
        <v>1256.832975525977</v>
      </c>
      <c r="F500" s="475">
        <f>INDEX(Input!$1:$1048576,F$93,$C500*2+MIN($B500,2)+5)
+INDEX(Scenarios!F$121:F$200,MATCH($B500,Scenarios!$B$121:$B$200,0))</f>
        <v>0</v>
      </c>
      <c r="G500" s="475">
        <f>INDEX(Input!$1:$1048576,G$93,$C500*2+MIN($B500,2)+5)
+INDEX(Scenarios!G$121:G$200,MATCH($B500,Scenarios!$B$121:$B$200,0))</f>
        <v>0</v>
      </c>
      <c r="H500" s="475">
        <f>INDEX(Input!$1:$1048576,H$93,$C500*2+MIN($B500,2)+5)
+INDEX(Scenarios!H$121:H$200,MATCH($B500,Scenarios!$B$121:$B$200,0))</f>
        <v>0</v>
      </c>
      <c r="I500" s="476">
        <f>INDEX(Input!$1:$1048576,I$93,$C500*2+MIN($B500,2)+5)</f>
        <v>0.7</v>
      </c>
      <c r="J500" s="476" t="str">
        <f>INDEX(Input!$1:$1048576,J$93,$C500*2+MIN($B500,2)+5)</f>
        <v>Market</v>
      </c>
      <c r="K500" s="476" t="str">
        <f>INDEX(Input!$1:$1048576,K$93,$C500*2+MIN($B500,2)+5)</f>
        <v>Market</v>
      </c>
      <c r="L500" s="476" t="str">
        <f>INDEX(Input!$1:$1048576,L$93,$C500*2+MIN($B500,2)+5)</f>
        <v>Market</v>
      </c>
      <c r="M500" s="476" t="str">
        <f>INDEX(Input!$1:$1048576,M$93,$C500*2+MIN($B500,2)+5)</f>
        <v>Market</v>
      </c>
      <c r="N500" s="476" t="str">
        <f>INDEX(Input!$1:$1048576,N$93,$C500*2+MIN($B500,2)+5)</f>
        <v>Market</v>
      </c>
      <c r="O500" s="476" t="str">
        <f>INDEX(Input!$1:$1048576,O$93,$C500*2+MIN($B500,2)+5)</f>
        <v>Market</v>
      </c>
      <c r="P500" s="476" t="str">
        <f>INDEX(Input!$1:$1048576,P$93,$C500*2+MIN($B500,2)+5)</f>
        <v>N</v>
      </c>
      <c r="Q500" s="477">
        <f>INDEX(Input!$1:$1048576,Q$93,$C500*2+MIN($B500,2)+5)
+INDEX(Scenarios!Q$121:Q$200,MATCH($B500,Scenarios!$B$121:$B$200,0))</f>
        <v>0</v>
      </c>
      <c r="R500" s="478">
        <f>IFERROR(MAX(0,INDEX(Input!$1:$1048576,R$93,$C500*2+MIN($B500,2)+5)
+INDEX(Scenarios!R$121:R$200,MATCH($B500,Scenarios!$B$121:$B$200,0)),),"Market")</f>
        <v>0</v>
      </c>
      <c r="S500" s="478">
        <f>IFERROR(MAX(0,INDEX(Input!$1:$1048576,S$93,$C500*2+MIN($B500,2)+5)
+INDEX(Scenarios!S$121:S$200,MATCH($B500,Scenarios!$B$121:$B$200,0)),),"Market")</f>
        <v>0</v>
      </c>
      <c r="T500" s="478">
        <f>IFERROR(MAX(0,INDEX(Input!$1:$1048576,T$93,$C500*2+MIN($B500,2)+5)
+INDEX(Scenarios!T$121:T$200,MATCH($B500,Scenarios!$B$121:$B$200,0)),),"Market")</f>
        <v>0</v>
      </c>
      <c r="U500" s="478">
        <f>IFERROR(MAX(0,INDEX(Input!$1:$1048576,U$93,$C500*2+MIN($B500,2)+5)
+INDEX(Scenarios!U$121:U$200,MATCH($B500,Scenarios!$B$121:$B$200,0)),),"Market")</f>
        <v>0</v>
      </c>
      <c r="V500" s="478">
        <f>IFERROR(MAX(0,INDEX(Input!$1:$1048576,V$93,$C500*2+MIN($B500,2)+5)
+INDEX(Scenarios!V$121:V$200,MATCH($B500,Scenarios!$B$121:$B$200,0)),),"Market")</f>
        <v>1.9E-2</v>
      </c>
      <c r="W500" s="885">
        <f>IFERROR(MAX(0,INDEX(Input!$1:$1048576,W$93,$C500*2+MIN($B500,2)+5)-0%,),"Market")</f>
        <v>3.9E-2</v>
      </c>
      <c r="X500" s="476" t="str">
        <f>INDEX(Input!$1:$1048576,X$93,$C500*2+MIN($B500,2)+5)</f>
        <v>Y</v>
      </c>
      <c r="Y500" s="475">
        <f>INDEX(Input!$1:$1048576,Y$93,$C500*2+MIN($B500,2)+5)
++INDEX(Scenarios!Y$121:Y$200,MATCH($B500,Scenarios!$B$121:$B$200,0))</f>
        <v>-870</v>
      </c>
      <c r="Z500" s="477">
        <f>INDEX(Input!$1:$1048576,Z$93,$C500*2+MIN($B500,2)+5)
+INDEX(Scenarios!Z$121:Z$200,MATCH($B500,Scenarios!$B$121:$B$200,0))</f>
        <v>0</v>
      </c>
      <c r="AA500" s="475">
        <f>INDEX(Input!$1:$1048576,AA$93,$C500*2+MIN($B500,2)+5)
+INDEX(Scenarios!AA$121:AA$200,MATCH($B500,Scenarios!$B$121:$B$200,0))</f>
        <v>0</v>
      </c>
      <c r="AB500" s="476">
        <f>INDEX(Input!$1:$1048576,AB$93,$C500*2+MIN($B500,2)+5)</f>
        <v>0.27</v>
      </c>
      <c r="AC500" s="475">
        <f>INDEX(Input!$1:$1048576,AC$93,$C500*2+MIN($B500,2)+5)
+INDEX(Scenarios!AC$121:AC$200,MATCH($B500,Scenarios!$B$121:$B$200,0))</f>
        <v>0</v>
      </c>
      <c r="AD500" s="476">
        <f>INDEX(Input!$1:$1048576,AD$93,$C500*2+MIN($B500,2)+5)</f>
        <v>0.27</v>
      </c>
      <c r="AE500" s="475">
        <f>INDEX(Input!$1:$1048576,AE$93,$C500*2+MIN($B500,2)+5)
+INDEX(Scenarios!AE$121:AE$200,MATCH($B500,Scenarios!$B$121:$B$200,0))</f>
        <v>0</v>
      </c>
      <c r="AF500" s="476">
        <f>INDEX(Input!$1:$1048576,AF$93,$C500*2+MIN($B500,2)+5)</f>
        <v>1</v>
      </c>
      <c r="AG500" s="475">
        <f>INDEX(Input!$1:$1048576,AG$93,$C500*2+MIN($B500,2)+5)
+INDEX(Scenarios!AG$121:AG$200,MATCH($B500,Scenarios!$B$121:$B$200,0))</f>
        <v>500</v>
      </c>
      <c r="AH500" s="476">
        <f>INDEX(Input!$1:$1048576,AH$93,$C500*2+MIN($B500,2)+5)</f>
        <v>0.83199999999999996</v>
      </c>
      <c r="AI500" s="475">
        <f>INDEX(Input!$1:$1048576,AI$93,$C500*2+MIN($B500,2)+5)
+INDEX(Scenarios!AI$121:AI$200,MATCH($B500,Scenarios!$B$121:$B$200,0))</f>
        <v>0</v>
      </c>
      <c r="AJ500" s="476">
        <f>INDEX(Input!$1:$1048576,AJ$93,$C500*2+MIN($B500,2)+5)</f>
        <v>0.27</v>
      </c>
      <c r="AK500" s="150">
        <f>ROUND(INDEX(Input!$1:$1048576,AK$93,$C499*2+MIN($B500,1)+5)+(Y500-VLOOKUP($C500*1000+1,$A:$HH,Y$92,FALSE)),0)</f>
        <v>2587</v>
      </c>
      <c r="AL500" s="150">
        <f>ROUND(INDEX(Input!$1:$1048576,AL$93,$C499*2+MIN($B500,1)+5)-(Y500-VLOOKUP($C500*1000+1,$A:$HH,Y$92,FALSE))/36,0)</f>
        <v>3406</v>
      </c>
      <c r="AM500" s="32" t="str">
        <f t="shared" si="1279"/>
        <v>std/std/std/std</v>
      </c>
      <c r="AN500" s="32" t="str">
        <f t="shared" si="1280"/>
        <v>$0 + 0/0/0/1.9/3.9</v>
      </c>
      <c r="AO500" s="32" t="str">
        <f t="shared" si="1281"/>
        <v>0/0/0/1.9/3.9</v>
      </c>
      <c r="AP500" s="32" t="str">
        <f t="shared" si="1396"/>
        <v>0/0.9/1.9/3.9</v>
      </c>
      <c r="AQ500" s="536">
        <f t="shared" si="1394"/>
        <v>0</v>
      </c>
      <c r="AR500" s="32"/>
      <c r="AS500" s="302"/>
      <c r="AT500" s="3">
        <f t="shared" si="1298"/>
        <v>100</v>
      </c>
      <c r="AU500" s="41" t="s">
        <v>121</v>
      </c>
      <c r="AV500" s="41" t="s">
        <v>116</v>
      </c>
      <c r="AW500" s="41" t="str">
        <f>INDEX(Input!$1:$1048576,AW$93,$C500*2+6)</f>
        <v>Kia</v>
      </c>
      <c r="AX500" s="41" t="str">
        <f>INDEX(Input!$1:$1048576,AX$93,$C500*2+6)</f>
        <v>Kia-LR - R1</v>
      </c>
      <c r="AY500" s="41" t="str">
        <f>IF(LEN(D500)=0,"",INDEX(Input!$1:$1048576,AY$93,$C500*2+6))</f>
        <v/>
      </c>
      <c r="AZ500" s="41" t="str">
        <f>INDEX(Input!$1:$1048576,AZ$93,$C500*2+6)</f>
        <v>Kia Soul</v>
      </c>
      <c r="BA500" s="3">
        <f>INDEX(Input!$1:$1048576,BA$93,$C500*2+6)</f>
        <v>2020</v>
      </c>
      <c r="BB500" s="128">
        <f>INDEX(Input!$1:$1048576,BB$93,$C500*2+6)</f>
        <v>1</v>
      </c>
      <c r="BC500" s="128">
        <f>INDEX(Input!$1:$1048576,BC$93,$C500*2+6)</f>
        <v>0.7</v>
      </c>
      <c r="BD500" s="1">
        <f>INDEX(Input!$1:$1048576,BD$93,$C500*2+6)</f>
        <v>4.4999999999999998E-2</v>
      </c>
      <c r="BE500" s="1">
        <f>INDEX(Input!$1:$1048576,BE$93,$C500*2+6)</f>
        <v>4.4999999999999998E-2</v>
      </c>
      <c r="BF500" s="1">
        <f>INDEX(Input!$1:$1048576,BF$93,$C500*2+6)</f>
        <v>0.05</v>
      </c>
      <c r="BG500" s="1">
        <f>INDEX(Input!$1:$1048576,BG$93,$C500*2+6)</f>
        <v>5.45E-2</v>
      </c>
      <c r="BH500" s="1">
        <f>INDEX(Input!$1:$1048576,BH$93,$C500*2+6)</f>
        <v>5.45E-2</v>
      </c>
      <c r="BI500" s="1">
        <f>INDEX(Input!$1:$1048576,BI$93,$C500*2+6)</f>
        <v>0.05</v>
      </c>
      <c r="BJ500" s="1">
        <f>INDEX(Input!$1:$1048576,BJ$93,$C500*2+6)</f>
        <v>0.05</v>
      </c>
      <c r="BK500" s="1">
        <f>INDEX(Input!$1:$1048576,BK$93,$C500*2+6)</f>
        <v>0.05</v>
      </c>
      <c r="BL500" s="1">
        <f>INDEX(Input!$1:$1048576,BL$93,$C500*2+6)</f>
        <v>5.5E-2</v>
      </c>
      <c r="BM500" s="1">
        <f>INDEX(Input!$1:$1048576,BM$93,$C500*2+6)</f>
        <v>0.06</v>
      </c>
      <c r="BN500" s="1">
        <f>INDEX(Input!$1:$1048576,BN$93,$C500*2+6)</f>
        <v>4.4999999999999998E-2</v>
      </c>
      <c r="BO500" s="1">
        <f>INDEX(Input!$1:$1048576,BO$93,$C500*2+6)</f>
        <v>4.4999999999999998E-2</v>
      </c>
      <c r="BP500" s="1">
        <f>INDEX(Input!$1:$1048576,BP$93,$C500*2+6)</f>
        <v>0.05</v>
      </c>
      <c r="BQ500" s="1">
        <f>INDEX(Input!$1:$1048576,BQ$93,$C500*2+6)</f>
        <v>5.45E-2</v>
      </c>
      <c r="BR500" s="1">
        <f>INDEX(Input!$1:$1048576,BR$93,$C500*2+6)</f>
        <v>5.45E-2</v>
      </c>
      <c r="BS500" s="1">
        <f>INDEX(Input!$1:$1048576,BS$93,$C500*2+6)</f>
        <v>0.05</v>
      </c>
      <c r="BT500" s="1">
        <f>INDEX(Input!$1:$1048576,BT$93,$C500*2+6)</f>
        <v>0.05</v>
      </c>
      <c r="BU500" s="1">
        <f>INDEX(Input!$1:$1048576,BU$93,$C500*2+6)</f>
        <v>0.05</v>
      </c>
      <c r="BV500" s="1">
        <f>INDEX(Input!$1:$1048576,BV$93,$C500*2+6)</f>
        <v>5.5E-2</v>
      </c>
      <c r="BW500" s="1">
        <f>INDEX(Input!$1:$1048576,BW$93,$C500*2+6)</f>
        <v>0.06</v>
      </c>
      <c r="BX500" s="127">
        <f>INDEX(Input!$1:$1048576,BX$93,$C500*2+6)</f>
        <v>19985</v>
      </c>
      <c r="BY500" s="20">
        <f>INDEX(Input!$1:$1048576,BY$93,$C500*2+6)</f>
        <v>0.1</v>
      </c>
      <c r="BZ500" s="20">
        <f>INDEX(Input!$1:$1048576,BZ$93,$C500*2+6)</f>
        <v>0.1</v>
      </c>
      <c r="CA500" s="20">
        <f>INDEX(Input!$1:$1048576,CA$93,$C500*2+6)</f>
        <v>0.1</v>
      </c>
      <c r="CB500" s="20">
        <f>INDEX(Input!$1:$1048576,CB$93,$C500*2+6)</f>
        <v>0.1</v>
      </c>
      <c r="CC500" s="20">
        <f>INDEX(Input!$1:$1048576,CC$93,$C500*2+6)</f>
        <v>0.1</v>
      </c>
      <c r="CD500" s="384">
        <f>INDEX(Input!$1:$1048576,CD$93,$C500*2+6)</f>
        <v>0.1</v>
      </c>
      <c r="CE500" s="384">
        <f>INDEX(Input!$1:$1048576,CE$93,$C500*2+6)</f>
        <v>0.1</v>
      </c>
      <c r="CF500" s="384">
        <f>INDEX(Input!$1:$1048576,CF$93,$C500*2+6)</f>
        <v>0.1</v>
      </c>
      <c r="CG500" s="384">
        <f>INDEX(Input!$1:$1048576,CG$93,$C500*2+6)</f>
        <v>0.1</v>
      </c>
      <c r="CH500" s="384">
        <f>INDEX(Input!$1:$1048576,CH$93,$C500*2+6)</f>
        <v>0.1</v>
      </c>
      <c r="CI500" s="304">
        <f t="shared" si="1397"/>
        <v>1256.832975525977</v>
      </c>
      <c r="CJ500" s="16" t="str">
        <f>INDEX(Input!$1:$1048576,CJ$93,$C500*2+6)</f>
        <v>N</v>
      </c>
      <c r="CK500" s="1" t="str">
        <f t="shared" si="1398"/>
        <v>Market</v>
      </c>
      <c r="CL500" s="1" t="str">
        <f t="shared" si="1399"/>
        <v>Market</v>
      </c>
      <c r="CM500" s="1" t="str">
        <f t="shared" si="1400"/>
        <v>Market</v>
      </c>
      <c r="CN500" s="1" t="str">
        <f t="shared" si="1401"/>
        <v>Market</v>
      </c>
      <c r="CO500" s="1" t="str">
        <f t="shared" si="1402"/>
        <v>Market</v>
      </c>
      <c r="CP500" s="304">
        <f t="shared" si="1403"/>
        <v>416</v>
      </c>
      <c r="CQ500" s="1">
        <f t="shared" si="1404"/>
        <v>0</v>
      </c>
      <c r="CR500" s="1">
        <f t="shared" si="1405"/>
        <v>0</v>
      </c>
      <c r="CS500" s="1">
        <f t="shared" si="1406"/>
        <v>0</v>
      </c>
      <c r="CT500" s="1">
        <f t="shared" si="1407"/>
        <v>1.9E-2</v>
      </c>
      <c r="CU500" s="1">
        <f t="shared" si="1408"/>
        <v>3.9E-2</v>
      </c>
      <c r="CV500" s="304">
        <f t="shared" si="1409"/>
        <v>-870</v>
      </c>
      <c r="CW500" s="20" t="s">
        <v>122</v>
      </c>
      <c r="CX500" s="20" t="s">
        <v>122</v>
      </c>
      <c r="CY500" s="20" t="s">
        <v>122</v>
      </c>
      <c r="CZ500" s="20" t="s">
        <v>122</v>
      </c>
      <c r="DA500" s="20" t="s">
        <v>122</v>
      </c>
      <c r="DB500" s="503">
        <f t="shared" si="1410"/>
        <v>0</v>
      </c>
      <c r="DC500" s="127">
        <v>0</v>
      </c>
      <c r="DD500" s="127">
        <v>0</v>
      </c>
      <c r="DE500" s="127">
        <v>0</v>
      </c>
      <c r="DF500" s="127">
        <v>0</v>
      </c>
      <c r="DG500" s="127">
        <v>0</v>
      </c>
      <c r="DH500" s="127">
        <v>0</v>
      </c>
      <c r="DI500" s="127">
        <v>0</v>
      </c>
      <c r="DJ500" s="127">
        <v>0</v>
      </c>
      <c r="DK500" s="127">
        <v>0</v>
      </c>
      <c r="DL500" s="127">
        <v>0</v>
      </c>
      <c r="DM500" s="304">
        <f>INDEX(Input!$1:$1048576,DM$93,$C500*2+6)</f>
        <v>21036.84210526316</v>
      </c>
      <c r="DN500" s="20">
        <v>0</v>
      </c>
      <c r="DO500" s="20">
        <v>0</v>
      </c>
      <c r="DP500" s="20">
        <v>0</v>
      </c>
      <c r="DQ500" s="20">
        <v>0</v>
      </c>
      <c r="DR500" s="20">
        <v>0</v>
      </c>
      <c r="DS500" s="20">
        <f>INDEX(Input!$1:$1048576,DS$93,$C500*2+6)</f>
        <v>0.6</v>
      </c>
      <c r="DT500" s="20">
        <f>INDEX(Input!$1:$1048576,DT$93,$C500*2+6)</f>
        <v>0.55000000000000004</v>
      </c>
      <c r="DU500" s="20">
        <f>INDEX(Input!$1:$1048576,DU$93,$C500*2+6)</f>
        <v>0.52</v>
      </c>
      <c r="DV500" s="20">
        <f>INDEX(Input!$1:$1048576,DV$93,$C500*2+6)</f>
        <v>0.5</v>
      </c>
      <c r="DW500" s="20">
        <f>INDEX(Input!$1:$1048576,DW$93,$C500*2+6)</f>
        <v>0.45</v>
      </c>
      <c r="DX500" s="20"/>
      <c r="DY500" s="7"/>
      <c r="DZ500" s="7"/>
      <c r="EA500" s="7"/>
      <c r="EB500" s="7"/>
      <c r="EC500" s="7"/>
      <c r="ED500" s="7"/>
      <c r="EE500" s="7"/>
      <c r="EF500" s="7"/>
      <c r="EG500" s="7"/>
      <c r="EH500" s="7"/>
      <c r="EI500" s="7"/>
      <c r="EJ500" s="7"/>
      <c r="EK500" s="7"/>
      <c r="EL500" s="7"/>
      <c r="EM500" s="7"/>
      <c r="EN500" s="7"/>
      <c r="EO500" s="7"/>
      <c r="EP500" s="7"/>
      <c r="EQ500" s="7"/>
      <c r="ER500" s="7"/>
      <c r="ES500" s="7"/>
      <c r="ET500" s="7"/>
      <c r="EU500" s="6"/>
      <c r="EV500" s="6"/>
      <c r="EW500" s="6"/>
      <c r="EX500" s="6"/>
      <c r="EY500" s="6"/>
      <c r="EZ500" s="6"/>
      <c r="FA500" s="6"/>
      <c r="FB500" s="6"/>
      <c r="FC500" s="6"/>
      <c r="FD500" s="6"/>
      <c r="FE500" s="6"/>
      <c r="FF500" s="6"/>
      <c r="FG500" s="6"/>
      <c r="FH500" s="6"/>
      <c r="FI500" s="6"/>
      <c r="FJ500" s="6"/>
      <c r="FK500" s="6"/>
      <c r="FL500" s="6"/>
      <c r="FM500" s="6"/>
      <c r="FN500" s="6"/>
      <c r="FO500" s="6"/>
      <c r="FP500" s="6"/>
      <c r="FQ500" s="6"/>
      <c r="FR500" s="6"/>
      <c r="FS500" s="6"/>
      <c r="FT500" s="7"/>
      <c r="FU500" s="7"/>
      <c r="FV500" s="7"/>
      <c r="FW500" s="6"/>
      <c r="FX500" s="6"/>
      <c r="FY500" s="6"/>
      <c r="FZ500" s="6"/>
      <c r="GA500" s="6"/>
      <c r="GB500" s="6"/>
      <c r="GC500" s="7"/>
      <c r="GD500" s="7"/>
      <c r="GE500" s="7"/>
      <c r="GF500" s="7"/>
      <c r="GG500" s="7"/>
      <c r="GH500" s="42"/>
      <c r="GI500" s="6"/>
      <c r="GJ500" s="14"/>
      <c r="GK500" s="14"/>
      <c r="GL500" s="14"/>
      <c r="GM500" s="14"/>
      <c r="GO500" s="5"/>
      <c r="GP500" s="5"/>
      <c r="GQ500" s="5"/>
      <c r="GR500" s="5"/>
      <c r="GS500" s="5"/>
      <c r="GT500" s="5"/>
      <c r="GU500" s="5"/>
      <c r="GV500" s="39"/>
      <c r="GW500" s="5"/>
      <c r="GX500" s="5"/>
      <c r="GY500" s="5"/>
      <c r="GZ500" s="5"/>
      <c r="HA500" s="5"/>
      <c r="HB500" s="39"/>
      <c r="HC500" s="5"/>
      <c r="HD500" s="5"/>
      <c r="HE500" s="5"/>
      <c r="HF500" s="5"/>
      <c r="HG500" s="5"/>
      <c r="HH500" s="39"/>
      <c r="HI500" s="16"/>
      <c r="HJ500" s="19"/>
      <c r="HK500" s="1"/>
      <c r="HL500" s="16"/>
      <c r="HM500" s="1"/>
      <c r="HN500" s="1"/>
      <c r="HO500" s="1"/>
      <c r="HP500" s="1"/>
      <c r="HQ500" s="1"/>
      <c r="HR500" s="1"/>
      <c r="HS500" s="1"/>
      <c r="HT500" s="1"/>
      <c r="HU500" s="1"/>
      <c r="HV500" s="1"/>
      <c r="HW500" s="1"/>
      <c r="HX500" s="1"/>
      <c r="HY500" s="1"/>
      <c r="HZ500" s="1"/>
      <c r="IA500" s="1"/>
      <c r="IB500" s="1"/>
      <c r="IC500" s="1"/>
      <c r="ID500" s="1"/>
      <c r="IE500" s="1"/>
      <c r="IF500" s="1"/>
      <c r="IG500" s="1"/>
      <c r="IH500" s="21"/>
      <c r="II500" s="19"/>
      <c r="IJ500" s="19"/>
      <c r="IK500" s="19"/>
      <c r="IL500" s="19"/>
      <c r="IM500" s="19"/>
      <c r="IN500" s="19"/>
      <c r="IO500" s="39"/>
      <c r="IP500" s="39"/>
      <c r="IQ500" s="39"/>
      <c r="IR500" s="39"/>
      <c r="IS500" s="39"/>
      <c r="IT500" s="39"/>
      <c r="IU500" s="39"/>
      <c r="IV500" s="39"/>
      <c r="IW500" s="39"/>
      <c r="IX500" s="39"/>
      <c r="IY500" s="39"/>
      <c r="IZ500" s="39"/>
      <c r="JA500" s="19"/>
      <c r="JB500" s="19"/>
      <c r="JC500" s="19"/>
      <c r="JD500" s="19"/>
      <c r="JE500" s="21"/>
      <c r="JF500" s="1"/>
      <c r="JG500" s="15"/>
      <c r="JH500" s="1"/>
      <c r="JI500" s="1"/>
      <c r="JJ500" s="1"/>
      <c r="JK500" s="1"/>
      <c r="JL500" s="15"/>
      <c r="JM500" s="15"/>
      <c r="JN500" s="21"/>
      <c r="JO500" s="19"/>
      <c r="JP500" s="19"/>
      <c r="JQ500" s="39"/>
      <c r="JR500" s="39"/>
      <c r="JS500" s="39"/>
      <c r="JT500" s="39"/>
      <c r="JU500" s="385"/>
      <c r="JV500" s="39"/>
      <c r="JW500" s="1"/>
      <c r="JX500" s="19"/>
      <c r="JZ500" s="341"/>
      <c r="KA500" s="342"/>
      <c r="KB500" s="469"/>
      <c r="KI500" s="473"/>
      <c r="KJ500" s="473"/>
      <c r="KK500" s="473"/>
    </row>
    <row r="501" spans="1:310" s="60" customFormat="1" ht="15.75" thickBot="1">
      <c r="A501" s="560">
        <f>C501*1000+B501</f>
        <v>5001</v>
      </c>
      <c r="B501" s="560">
        <v>1</v>
      </c>
      <c r="C501" s="559">
        <v>5</v>
      </c>
      <c r="D501" s="560" t="s">
        <v>566</v>
      </c>
      <c r="E501" s="365">
        <f>INDEX(Input!$1:$1048576,E$93,$C501*2+MIN($B501,1)+5)</f>
        <v>1000</v>
      </c>
      <c r="F501" s="366">
        <f>INDEX(Input!$1:$1048576,F$93,$C501*2+MIN($B501,1)+5)</f>
        <v>0</v>
      </c>
      <c r="G501" s="49">
        <f>INDEX(Input!$1:$1048576,G$93,$C501*2+MIN($B501,1)+5)</f>
        <v>0</v>
      </c>
      <c r="H501" s="49">
        <f>INDEX(Input!$1:$1048576,H$93,$C501*2+MIN($B501,1)+5)</f>
        <v>0</v>
      </c>
      <c r="I501" s="367">
        <f>INDEX(Input!$1:$1048576,I$93,$C501*2+MIN($B501,1)+5)</f>
        <v>0.7</v>
      </c>
      <c r="J501" s="367" t="str">
        <f>INDEX(Input!$1:$1048576,J$93,$C501*2+MIN($B501,1)+5)</f>
        <v>Market</v>
      </c>
      <c r="K501" s="367" t="str">
        <f>INDEX(Input!$1:$1048576,K$93,$C501*2+MIN($B501,1)+5)</f>
        <v>Market</v>
      </c>
      <c r="L501" s="367" t="str">
        <f>INDEX(Input!$1:$1048576,L$93,$C501*2+MIN($B501,1)+5)</f>
        <v>Market</v>
      </c>
      <c r="M501" s="367" t="str">
        <f>INDEX(Input!$1:$1048576,M$93,$C501*2+MIN($B501,1)+5)</f>
        <v>Market</v>
      </c>
      <c r="N501" s="367" t="str">
        <f>INDEX(Input!$1:$1048576,N$93,$C501*2+MIN($B501,1)+5)</f>
        <v>Market</v>
      </c>
      <c r="O501" s="367" t="str">
        <f>INDEX(Input!$1:$1048576,O$93,$C501*2+MIN($B501,1)+5)</f>
        <v>Market</v>
      </c>
      <c r="P501" s="367" t="str">
        <f>INDEX(Input!$1:$1048576,P$93,$C501*2+MIN($B501,1)+5)</f>
        <v>N</v>
      </c>
      <c r="Q501" s="47">
        <f>INDEX(Input!$1:$1048576,Q$93,$C501*2+MIN($B501,1)+5)</f>
        <v>0</v>
      </c>
      <c r="R501" s="38">
        <f>INDEX(Input!$1:$1048576,R$93,$C501*2+MIN($B501,1)+5)</f>
        <v>0</v>
      </c>
      <c r="S501" s="38">
        <f>INDEX(Input!$1:$1048576,S$93,$C501*2+MIN($B501,1)+5)</f>
        <v>0</v>
      </c>
      <c r="T501" s="38">
        <f>INDEX(Input!$1:$1048576,T$93,$C501*2+MIN($B501,1)+5)</f>
        <v>0</v>
      </c>
      <c r="U501" s="38">
        <f>INDEX(Input!$1:$1048576,U$93,$C501*2+MIN($B501,1)+5)</f>
        <v>0</v>
      </c>
      <c r="V501" s="38">
        <f>INDEX(Input!$1:$1048576,V$93,$C501*2+MIN($B501,1)+5)</f>
        <v>1.9E-2</v>
      </c>
      <c r="W501" s="22">
        <f>INDEX(Input!$1:$1048576,W$93,$C501*2+MIN($B501,1)+5)</f>
        <v>3.9E-2</v>
      </c>
      <c r="X501" s="367" t="str">
        <f>INDEX(Input!$1:$1048576,X$93,$C501*2+MIN($B501,1)+5)</f>
        <v>Y</v>
      </c>
      <c r="Y501" s="49">
        <f>INDEX(Input!$1:$1048576,Y$93,$C501*2+MIN($B501,1)+5)</f>
        <v>79.063582607477429</v>
      </c>
      <c r="Z501" s="584">
        <f>INDEX(Input!$1:$1048576,Z$93,$C501*2+MIN($B501,1)+5)</f>
        <v>0</v>
      </c>
      <c r="AA501" s="49">
        <f>INDEX(Input!$1:$1048576,AA$93,$C501*2+MIN($B501,1)+5)</f>
        <v>1000</v>
      </c>
      <c r="AB501" s="367">
        <f>INDEX(Input!$1:$1048576,AB$93,$C501*2+MIN($B501,1)+5)</f>
        <v>0.27</v>
      </c>
      <c r="AC501" s="49">
        <f>INDEX(Input!$1:$1048576,AC$93,$C501*2+MIN($B501,1)+5)</f>
        <v>1000</v>
      </c>
      <c r="AD501" s="367">
        <f>INDEX(Input!$1:$1048576,AD$93,$C501*2+MIN($B501,1)+5)</f>
        <v>0.27</v>
      </c>
      <c r="AE501" s="49">
        <f>INDEX(Input!$1:$1048576,AE$93,$C501*2+MIN($B501,1)+5)</f>
        <v>0</v>
      </c>
      <c r="AF501" s="367">
        <f>INDEX(Input!$1:$1048576,AF$93,$C501*2+MIN($B501,1)+5)</f>
        <v>0.2</v>
      </c>
      <c r="AG501" s="49">
        <f>INDEX(Input!$1:$1048576,AG$93,$C501*2+MIN($B501,1)+5)</f>
        <v>0</v>
      </c>
      <c r="AH501" s="367">
        <f>INDEX(Input!$1:$1048576,AH$93,$C501*2+MIN($B501,1)+5)</f>
        <v>1</v>
      </c>
      <c r="AI501" s="49">
        <f>INDEX(Input!$1:$1048576,AI$93,$C501*2+MIN($B501,1)+5)</f>
        <v>0</v>
      </c>
      <c r="AJ501" s="367">
        <f>INDEX(Input!$1:$1048576,AJ$93,$C501*2+MIN($B501,1)+5)</f>
        <v>0.27</v>
      </c>
      <c r="AK501" s="298">
        <f>ROUND(INDEX(Input!$1:$1048576,AK$93,$C501*2+MIN($B501,1)+5),0)</f>
        <v>3384</v>
      </c>
      <c r="AL501" s="49">
        <f>ROUND(INDEX(Input!$1:$1048576,AL$93,$C501*2+MIN($B501,1)+5),0)</f>
        <v>3384</v>
      </c>
      <c r="AM501" s="46" t="str">
        <f>IF(K501="market","std",ROUND(K501*1000,0)/10)&amp;"/"&amp;IF(L501="market","std",ROUND(L501*1000,0)/10)&amp;"/"&amp;IF(M501="market","std",ROUND(M501*1000,0)/10)&amp;"/"&amp;IF(N501="market","std",ROUND(N501*1000,0)/10)&amp;IF(P501="N","","/"&amp;IF(O501="market","std",ROUND(O501*1000,0)/10))</f>
        <v>std/std/std/std</v>
      </c>
      <c r="AN501" s="46" t="str">
        <f>"$"&amp;ROUND(Q501,0)&amp;" + "&amp;IF(S501="market","std",ROUND(S501*1000,0)/10)&amp;"/"&amp;IF(T501="market","std",ROUND(T501*1000,0)/10)&amp;"/"&amp;IF(U501="market","std",ROUND(U501*1000,0)/10)&amp;"/"&amp;IF(V501="market","std",ROUND(V501*1000,0)/10)&amp;IF(X501="N","","/"&amp;IF(W501="market","std",ROUND(W501*1000,0)/10))</f>
        <v>$0 + 0/0/0/1.9/3.9</v>
      </c>
      <c r="AO501" s="44" t="str">
        <f>IF(S501="market","std",ROUND(S501*1000,0)/10)&amp;"/"&amp;IF(T501="market","std",ROUND(T501*1000,0)/10)&amp;"/"&amp;IF(U501="market","std",ROUND(U501*1000,0)/10)&amp;"/"&amp;IF(V501="market","std",ROUND(V501*1000,0)/10)&amp;IF(X501="N","","/"&amp;IF(W501="market","std",ROUND(W501*1000,0)/10))</f>
        <v>0/0/0/1.9/3.9</v>
      </c>
      <c r="AP501" s="44" t="str">
        <f t="shared" si="1396"/>
        <v>0/0.9/1.9/3.9</v>
      </c>
      <c r="AQ501" s="507">
        <f t="shared" si="1394"/>
        <v>270.40560292326433</v>
      </c>
      <c r="AR501" s="44"/>
      <c r="AS501" s="368"/>
      <c r="AT501" s="579">
        <v>1</v>
      </c>
      <c r="AU501" s="45" t="s">
        <v>121</v>
      </c>
      <c r="AV501" s="45" t="s">
        <v>116</v>
      </c>
      <c r="AW501" s="45" t="str">
        <f>INDEX(Input!$1:$1048576,AW$93,$C501*2+6)</f>
        <v>Kia</v>
      </c>
      <c r="AX501" s="45" t="str">
        <f>INDEX(Input!$1:$1048576,AX$93,$C501*2+6)</f>
        <v>Kia-LR - R2</v>
      </c>
      <c r="AY501" s="10" t="str">
        <f>IF(LEN(D501)=0,"",INDEX(Input!$1:$1048576,AY$93,$C501*2+6))</f>
        <v>Compact SUV (52)</v>
      </c>
      <c r="AZ501" s="45" t="str">
        <f>INDEX(Input!$1:$1048576,AZ$93,$C501*2+6)</f>
        <v>Kia Soul</v>
      </c>
      <c r="BA501" s="50">
        <f>INDEX(Input!$1:$1048576,BA$93,$C501*2+6)</f>
        <v>2020</v>
      </c>
      <c r="BB501" s="48">
        <f>INDEX(Input!$1:$1048576,BB$93,$C501*2+6)</f>
        <v>1</v>
      </c>
      <c r="BC501" s="578">
        <f>INDEX(Input!$1:$1048576,BC$93,$C501*2+6)</f>
        <v>0.7</v>
      </c>
      <c r="BD501" s="38">
        <f>INDEX(Input!$1:$1048576,BD$93,$C501*2+6)</f>
        <v>4.4999999999999998E-2</v>
      </c>
      <c r="BE501" s="38">
        <f>INDEX(Input!$1:$1048576,BE$93,$C501*2+6)</f>
        <v>4.4999999999999998E-2</v>
      </c>
      <c r="BF501" s="38">
        <f>INDEX(Input!$1:$1048576,BF$93,$C501*2+6)</f>
        <v>0.05</v>
      </c>
      <c r="BG501" s="38">
        <f>INDEX(Input!$1:$1048576,BG$93,$C501*2+6)</f>
        <v>5.45E-2</v>
      </c>
      <c r="BH501" s="38">
        <f>INDEX(Input!$1:$1048576,BH$93,$C501*2+6)</f>
        <v>5.45E-2</v>
      </c>
      <c r="BI501" s="38">
        <f>INDEX(Input!$1:$1048576,BI$93,$C501*2+6)</f>
        <v>0.05</v>
      </c>
      <c r="BJ501" s="38">
        <f>INDEX(Input!$1:$1048576,BJ$93,$C501*2+6)</f>
        <v>0.05</v>
      </c>
      <c r="BK501" s="38">
        <f>INDEX(Input!$1:$1048576,BK$93,$C501*2+6)</f>
        <v>0.05</v>
      </c>
      <c r="BL501" s="38">
        <f>INDEX(Input!$1:$1048576,BL$93,$C501*2+6)</f>
        <v>5.5E-2</v>
      </c>
      <c r="BM501" s="38">
        <f>INDEX(Input!$1:$1048576,BM$93,$C501*2+6)</f>
        <v>0.06</v>
      </c>
      <c r="BN501" s="38">
        <f>INDEX(Input!$1:$1048576,BN$93,$C501*2+6)</f>
        <v>4.4999999999999998E-2</v>
      </c>
      <c r="BO501" s="38">
        <f>INDEX(Input!$1:$1048576,BO$93,$C501*2+6)</f>
        <v>4.4999999999999998E-2</v>
      </c>
      <c r="BP501" s="38">
        <f>INDEX(Input!$1:$1048576,BP$93,$C501*2+6)</f>
        <v>0.05</v>
      </c>
      <c r="BQ501" s="38">
        <f>INDEX(Input!$1:$1048576,BQ$93,$C501*2+6)</f>
        <v>5.45E-2</v>
      </c>
      <c r="BR501" s="38">
        <f>INDEX(Input!$1:$1048576,BR$93,$C501*2+6)</f>
        <v>5.45E-2</v>
      </c>
      <c r="BS501" s="38">
        <f>INDEX(Input!$1:$1048576,BS$93,$C501*2+6)</f>
        <v>0.05</v>
      </c>
      <c r="BT501" s="38">
        <f>INDEX(Input!$1:$1048576,BT$93,$C501*2+6)</f>
        <v>0.05</v>
      </c>
      <c r="BU501" s="38">
        <f>INDEX(Input!$1:$1048576,BU$93,$C501*2+6)</f>
        <v>0.05</v>
      </c>
      <c r="BV501" s="38">
        <f>INDEX(Input!$1:$1048576,BV$93,$C501*2+6)</f>
        <v>5.5E-2</v>
      </c>
      <c r="BW501" s="38">
        <f>INDEX(Input!$1:$1048576,BW$93,$C501*2+6)</f>
        <v>0.06</v>
      </c>
      <c r="BX501" s="29">
        <f>INDEX(Input!$1:$1048576,BX$93,$C501*2+6)</f>
        <v>19985</v>
      </c>
      <c r="BY501" s="367">
        <f>INDEX(Input!$1:$1048576,BY$93,$C501*2+6)</f>
        <v>0.1</v>
      </c>
      <c r="BZ501" s="367">
        <f>INDEX(Input!$1:$1048576,BZ$93,$C501*2+6)</f>
        <v>0.1</v>
      </c>
      <c r="CA501" s="367">
        <f>INDEX(Input!$1:$1048576,CA$93,$C501*2+6)</f>
        <v>0.1</v>
      </c>
      <c r="CB501" s="367">
        <f>INDEX(Input!$1:$1048576,CB$93,$C501*2+6)</f>
        <v>0.1</v>
      </c>
      <c r="CC501" s="367">
        <f>INDEX(Input!$1:$1048576,CC$93,$C501*2+6)</f>
        <v>0.1</v>
      </c>
      <c r="CD501" s="367">
        <f>INDEX(Input!$1:$1048576,CD$93,$C501*2+6)</f>
        <v>0.1</v>
      </c>
      <c r="CE501" s="367">
        <f>INDEX(Input!$1:$1048576,CE$93,$C501*2+6)</f>
        <v>0.1</v>
      </c>
      <c r="CF501" s="367">
        <f>INDEX(Input!$1:$1048576,CF$93,$C501*2+6)</f>
        <v>0.1</v>
      </c>
      <c r="CG501" s="367">
        <f>INDEX(Input!$1:$1048576,CG$93,$C501*2+6)</f>
        <v>0.1</v>
      </c>
      <c r="CH501" s="48">
        <f>INDEX(Input!$1:$1048576,CH$93,$C501*2+6)</f>
        <v>0.1</v>
      </c>
      <c r="CI501" s="298">
        <f t="shared" si="1397"/>
        <v>1270</v>
      </c>
      <c r="CJ501" s="46" t="str">
        <f>INDEX(Input!$1:$1048576,CJ$93,$C501*2+6)</f>
        <v>N</v>
      </c>
      <c r="CK501" s="38" t="str">
        <f t="shared" si="1398"/>
        <v>Market</v>
      </c>
      <c r="CL501" s="38" t="str">
        <f t="shared" si="1399"/>
        <v>Market</v>
      </c>
      <c r="CM501" s="38" t="str">
        <f t="shared" si="1400"/>
        <v>Market</v>
      </c>
      <c r="CN501" s="38" t="str">
        <f t="shared" si="1401"/>
        <v>Market</v>
      </c>
      <c r="CO501" s="38" t="str">
        <f t="shared" si="1402"/>
        <v>Market</v>
      </c>
      <c r="CP501" s="49">
        <f t="shared" si="1403"/>
        <v>0</v>
      </c>
      <c r="CQ501" s="38">
        <f t="shared" si="1404"/>
        <v>0</v>
      </c>
      <c r="CR501" s="38">
        <f t="shared" si="1405"/>
        <v>0</v>
      </c>
      <c r="CS501" s="38">
        <f t="shared" si="1406"/>
        <v>0</v>
      </c>
      <c r="CT501" s="38">
        <f t="shared" si="1407"/>
        <v>1.9E-2</v>
      </c>
      <c r="CU501" s="38">
        <f t="shared" si="1408"/>
        <v>3.9E-2</v>
      </c>
      <c r="CV501" s="49">
        <f t="shared" si="1409"/>
        <v>349.06358260747743</v>
      </c>
      <c r="CW501" s="22" t="s">
        <v>122</v>
      </c>
      <c r="CX501" s="22" t="s">
        <v>122</v>
      </c>
      <c r="CY501" s="22" t="s">
        <v>122</v>
      </c>
      <c r="CZ501" s="22" t="s">
        <v>122</v>
      </c>
      <c r="DA501" s="22" t="s">
        <v>122</v>
      </c>
      <c r="DB501" s="502">
        <f t="shared" si="1410"/>
        <v>0</v>
      </c>
      <c r="DC501" s="29">
        <v>0</v>
      </c>
      <c r="DD501" s="29">
        <v>0</v>
      </c>
      <c r="DE501" s="29">
        <v>0</v>
      </c>
      <c r="DF501" s="49">
        <v>0</v>
      </c>
      <c r="DG501" s="49">
        <v>0</v>
      </c>
      <c r="DH501" s="49">
        <v>0</v>
      </c>
      <c r="DI501" s="49">
        <v>0</v>
      </c>
      <c r="DJ501" s="49">
        <v>0</v>
      </c>
      <c r="DK501" s="29">
        <v>0</v>
      </c>
      <c r="DL501" s="29">
        <v>0</v>
      </c>
      <c r="DM501" s="49">
        <f>INDEX(Input!$1:$1048576,DM$93,$C501*2+6)</f>
        <v>21036.84210526316</v>
      </c>
      <c r="DN501" s="367">
        <v>0</v>
      </c>
      <c r="DO501" s="367">
        <v>0</v>
      </c>
      <c r="DP501" s="367">
        <v>0</v>
      </c>
      <c r="DQ501" s="367">
        <v>0</v>
      </c>
      <c r="DR501" s="367">
        <v>0</v>
      </c>
      <c r="DS501" s="367">
        <f>INDEX(Input!$1:$1048576,DS$93,$C501*2+6)</f>
        <v>0.6</v>
      </c>
      <c r="DT501" s="367">
        <f>INDEX(Input!$1:$1048576,DT$93,$C501*2+6)</f>
        <v>0.55000000000000004</v>
      </c>
      <c r="DU501" s="367">
        <f>INDEX(Input!$1:$1048576,DU$93,$C501*2+6)</f>
        <v>0.52</v>
      </c>
      <c r="DV501" s="367">
        <f>INDEX(Input!$1:$1048576,DV$93,$C501*2+6)</f>
        <v>0.5</v>
      </c>
      <c r="DW501" s="48">
        <f>INDEX(Input!$1:$1048576,DW$93,$C501*2+6)</f>
        <v>0.45</v>
      </c>
      <c r="DX501" s="577"/>
      <c r="DY501" s="4">
        <v>0.11876198280888668</v>
      </c>
      <c r="DZ501" s="37">
        <v>0</v>
      </c>
      <c r="EA501" s="37">
        <v>0.73446296287899993</v>
      </c>
      <c r="EB501" s="37">
        <v>0</v>
      </c>
      <c r="EC501" s="37">
        <v>0</v>
      </c>
      <c r="ED501" s="37">
        <v>0</v>
      </c>
      <c r="EE501" s="37">
        <v>0</v>
      </c>
      <c r="EF501" s="37">
        <v>0</v>
      </c>
      <c r="EG501" s="37">
        <v>0</v>
      </c>
      <c r="EH501" s="37">
        <v>1.2088468663993355E-2</v>
      </c>
      <c r="EI501" s="37">
        <v>3.3604678759269029E-2</v>
      </c>
      <c r="EJ501" s="37">
        <v>0.29188996887883673</v>
      </c>
      <c r="EK501" s="37">
        <v>0.53737126999834517</v>
      </c>
      <c r="EL501" s="37">
        <v>0.12504561369955569</v>
      </c>
      <c r="EM501" s="37">
        <v>7.5534673160014595E-2</v>
      </c>
      <c r="EN501" s="37">
        <v>5.8427244089358593E-2</v>
      </c>
      <c r="EO501" s="37">
        <v>0.71661649812390715</v>
      </c>
      <c r="EP501" s="37">
        <v>8.9988829702121298E-2</v>
      </c>
      <c r="EQ501" s="37">
        <v>8.8620913649330571E-2</v>
      </c>
      <c r="ER501" s="37">
        <v>4.6346514435282524E-2</v>
      </c>
      <c r="ES501" s="37">
        <v>7.1240381152098756E-2</v>
      </c>
      <c r="ET501" s="37">
        <v>0.14677505431211343</v>
      </c>
      <c r="EU501" s="36">
        <v>1240</v>
      </c>
      <c r="EV501" s="36">
        <v>0</v>
      </c>
      <c r="EW501" s="36">
        <v>1240</v>
      </c>
      <c r="EX501" s="36">
        <v>0</v>
      </c>
      <c r="EY501" s="36">
        <v>1985.7442651839444</v>
      </c>
      <c r="EZ501" s="36">
        <v>-21.44990394013189</v>
      </c>
      <c r="FA501" s="36">
        <v>0</v>
      </c>
      <c r="FB501" s="36">
        <v>0</v>
      </c>
      <c r="FC501" s="36">
        <v>0</v>
      </c>
      <c r="FD501" s="36">
        <v>0</v>
      </c>
      <c r="FE501" s="36">
        <v>0</v>
      </c>
      <c r="FF501" s="36">
        <v>0</v>
      </c>
      <c r="FG501" s="36">
        <v>0</v>
      </c>
      <c r="FH501" s="36">
        <v>1172.134625217014</v>
      </c>
      <c r="FI501" s="36">
        <v>1553.9796069512408</v>
      </c>
      <c r="FJ501" s="36">
        <v>2101.2110117447401</v>
      </c>
      <c r="FK501" s="36">
        <v>1772.7139978623236</v>
      </c>
      <c r="FL501" s="36">
        <v>907.07682140966278</v>
      </c>
      <c r="FM501" s="36">
        <v>1745.7442651839444</v>
      </c>
      <c r="FN501" s="36">
        <v>0</v>
      </c>
      <c r="FO501" s="36">
        <v>0</v>
      </c>
      <c r="FP501" s="36">
        <v>0</v>
      </c>
      <c r="FQ501" s="36">
        <v>0</v>
      </c>
      <c r="FR501" s="36">
        <v>0</v>
      </c>
      <c r="FS501" s="36">
        <v>0</v>
      </c>
      <c r="FT501" s="37">
        <v>0.85322494568788665</v>
      </c>
      <c r="FU501" s="37">
        <v>7.5534673160014595E-2</v>
      </c>
      <c r="FV501" s="37">
        <v>7.1240381152098756E-2</v>
      </c>
      <c r="FW501" s="36">
        <v>1240</v>
      </c>
      <c r="FX501" s="36">
        <v>1985.7442651839444</v>
      </c>
      <c r="FY501" s="36">
        <v>-21.44990394013189</v>
      </c>
      <c r="FZ501" s="36">
        <v>1758.1538569113241</v>
      </c>
      <c r="GA501" s="36">
        <v>1206.4633773706512</v>
      </c>
      <c r="GB501" s="36">
        <v>18778.536622629348</v>
      </c>
      <c r="GC501" s="37">
        <v>3.064145122680037E-2</v>
      </c>
      <c r="GD501" s="37">
        <v>2.9195044280595241E-2</v>
      </c>
      <c r="GE501" s="37"/>
      <c r="GF501" s="37"/>
      <c r="GG501" s="37">
        <v>-4.7204257249409826E-2</v>
      </c>
      <c r="GH501" s="35">
        <v>1.7099752780125794</v>
      </c>
      <c r="GI501" s="36">
        <v>12893.766847177296</v>
      </c>
      <c r="GJ501" s="34">
        <v>0.50394797582841733</v>
      </c>
      <c r="GK501" s="34">
        <v>0.50887573065309732</v>
      </c>
      <c r="GL501" s="34">
        <v>0.49605202417158273</v>
      </c>
      <c r="GM501" s="33">
        <v>0.49112426934690234</v>
      </c>
      <c r="GN501" s="61"/>
      <c r="GO501" s="13">
        <v>343.14810671672558</v>
      </c>
      <c r="GP501" s="27">
        <v>319.49127229486811</v>
      </c>
      <c r="GQ501" s="27">
        <v>535.04305713031317</v>
      </c>
      <c r="GR501" s="27">
        <v>410.15490233172511</v>
      </c>
      <c r="GS501" s="27">
        <v>339.42744393800166</v>
      </c>
      <c r="GT501" s="27">
        <v>293.4407446948278</v>
      </c>
      <c r="GU501" s="27">
        <v>258.04012322764959</v>
      </c>
      <c r="GV501" s="29" t="s">
        <v>392</v>
      </c>
      <c r="GW501" s="27">
        <v>492.95833333333331</v>
      </c>
      <c r="GX501" s="27">
        <v>369.71875</v>
      </c>
      <c r="GY501" s="27">
        <v>295.77499999999998</v>
      </c>
      <c r="GZ501" s="27">
        <v>260.99022522677262</v>
      </c>
      <c r="HA501" s="27">
        <v>241.7574294051233</v>
      </c>
      <c r="HB501" s="29">
        <v>275.19650164897638</v>
      </c>
      <c r="HC501" s="27">
        <v>288.22280829738071</v>
      </c>
      <c r="HD501" s="27">
        <v>240.44590904675022</v>
      </c>
      <c r="HE501" s="27">
        <v>241.5575517396357</v>
      </c>
      <c r="HF501" s="27">
        <v>221.40478451107165</v>
      </c>
      <c r="HG501" s="27">
        <v>211.0425047377999</v>
      </c>
      <c r="HH501" s="12">
        <v>240.28722987056548</v>
      </c>
      <c r="HI501" s="94"/>
      <c r="HJ501" s="335" t="s">
        <v>353</v>
      </c>
      <c r="HK501" s="335" t="s">
        <v>353</v>
      </c>
      <c r="HL501" s="94"/>
      <c r="HM501" s="640">
        <f t="shared" ref="HM501:HM564" si="1413">VLOOKUP($C501*1000+1,$A:$HH,FT$92,FALSE)*$JF501</f>
        <v>2.4909940070666322E-2</v>
      </c>
      <c r="HN501" s="22">
        <f t="shared" ref="HN501:HN564" si="1414">VLOOKUP($C501*1000+1,$A:$HH,FU$92,FALSE)*$JF501</f>
        <v>2.2052381276269151E-3</v>
      </c>
      <c r="HO501" s="638">
        <f t="shared" ref="HO501:HO564" si="1415">VLOOKUP($C501*1000+1,$A:$HH,FV$92,FALSE)*$JF501</f>
        <v>2.079866082302006E-3</v>
      </c>
      <c r="HP501" s="649">
        <f>(FT501*$GD501-HM501)/$JF501*INDEX(Input!$1:$1048576,$JG$93,$C501*2+6)</f>
        <v>0</v>
      </c>
      <c r="HQ501" s="650">
        <f>(FU501*$GD501-HN501)/$JF501*INDEX(Input!$1:$1048576,$JG$93,$C501*2+6)</f>
        <v>0</v>
      </c>
      <c r="HR501" s="651">
        <f>(FV501*$GD501-HO501)/$JF501*INDEX(Input!$1:$1048576,$JG$93,$C501*2+6)</f>
        <v>0</v>
      </c>
      <c r="HS501" s="650">
        <f t="shared" ref="HS501:HS550" si="1416">IF(AND(HJ501="On",HK501="On"),IL501/1000*INDEX(KG:KG,MATCH(C501*1000+3,$KF:$KF,0))*SUM(HY501:IA501)*1.1
+INDEX(HR:HR,MATCH(C501*1000+4,$KF:$KF,0))/INDEX(IM:IM,MATCH(C501*1000+4,$KF:$KF,0))*IM501*20%,0)</f>
        <v>0</v>
      </c>
      <c r="HT501" s="650">
        <f t="shared" ref="HT501:HT564" si="1417">IF(AND(HJ501="On",HK501="On"),IM501/1000*INDEX(KG:KG,MATCH(C501*1000+4,$KF:$KF,0))*SUM(HY501:IA501)*1.1
+INDEX(HR:HR,MATCH(C501*1000+3,$KF:$KF,0))/INDEX(IL:IL,MATCH(C501*1000+3,$KF:$KF,0))*IL501*20%,0)</f>
        <v>0</v>
      </c>
      <c r="HU501" s="651">
        <f t="shared" ref="HU501:HU564" si="1418">IF(HJ501="On",IN501/1000*INDEX(KG:KG,MATCH(C501*1000+5,$KF:$KF,0))*SUM(HY501:IA501)*1.1
-INDEX(HR:HR,MATCH(C501*1000+3,$KF:$KF,0))/INDEX(IL:IL,MATCH(C501*1000+3,$KF:$KF,0))*IL501*20%
-INDEX(HR:HR,MATCH(C501*1000+4,$KF:$KF,0))/INDEX(IM:IM,MATCH(C501*1000+4,$KF:$KF,0))*IM501*20%,0)</f>
        <v>0</v>
      </c>
      <c r="HV501" s="649">
        <f t="shared" ref="HV501:HV564" si="1419">IL501/1000*0+IM501/1000*0+IN501/1000*0
+(CP501-INDEX(CP:CP,MATCH(C501*1000+1,A:A,0)))/1000*0+IF(FU501&gt;0,0,0)</f>
        <v>0</v>
      </c>
      <c r="HW501" s="650">
        <f t="shared" ref="HW501:HW564" si="1420">IL501/1000*0+IM501/1000*0+IN501/1000*0
+(CP501-INDEX(CP:CP,MATCH(C501*1000+1,A:A,0)))/1000*0+IF(FU501&gt;0,0,0)</f>
        <v>0</v>
      </c>
      <c r="HX501" s="651">
        <f t="shared" ref="HX501:HX564" si="1421">IL501/1000*0+IM501/1000*0+IN501/1000*0
+(CP501-INDEX(CP:CP,MATCH(C501*1000+1,A:A,0)))/1000*0+IF(FU501&gt;0,0,0)</f>
        <v>0</v>
      </c>
      <c r="HY501" s="641">
        <f>INDEX(Input!$1:$1048576,HY$93,$C501*2+6)*INDEX(Input!$1:$1048576,$JG$93,$C501*2+6)</f>
        <v>333.00000000000006</v>
      </c>
      <c r="HZ501" s="641">
        <f>INDEX(Input!$1:$1048576,HZ$93,$C501*2+6)*INDEX(Input!$1:$1048576,$JG$93,$C501*2+6)</f>
        <v>429</v>
      </c>
      <c r="IA501" s="642">
        <f>INDEX(Input!$1:$1048576,IA$93,$C501*2+6)*INDEX(Input!$1:$1048576,$JG$93,$C501*2+6)</f>
        <v>59</v>
      </c>
      <c r="IB501" s="649">
        <f>SUM(HP501:IA501)-IC501-ID501</f>
        <v>333</v>
      </c>
      <c r="IC501" s="650">
        <f>IF(FU501=0,0,1)*MAX(HZ501+HQ501+HT501+HW501,0%)</f>
        <v>429</v>
      </c>
      <c r="ID501" s="651">
        <f>IF(AND(INDEX(Input!$1:$1048576,IA$93,$C501*2+7)="TOS",Y501&lt;=INDEX(Y:Y,MATCH(C501*1000+2,A:A))),0,1)*MAX(IA501+HR501+HU501+HX501,0%)</f>
        <v>59</v>
      </c>
      <c r="IE501" s="129">
        <f>IB501/SUM($IB501:$ID501)</f>
        <v>0.4056029232643118</v>
      </c>
      <c r="IF501" s="652">
        <f t="shared" ref="IF501:IF502" si="1422">IC501/SUM($IB501:$ID501)</f>
        <v>0.52253349573690622</v>
      </c>
      <c r="IG501" s="653">
        <f t="shared" ref="IG501:IG550" si="1423">ID501/SUM($IB501:$ID501)</f>
        <v>7.186358099878197E-2</v>
      </c>
      <c r="IH501" s="95"/>
      <c r="II501" s="298">
        <f t="shared" ref="II501:II564" si="1424">VLOOKUP($C501*1000+1,$A:$HH,FW$92,FALSE)-VLOOKUP($C501*1000+1,$A:$HH,FA$92,FALSE)*VLOOKUP($C501*1000+1,$A:$HH,DZ$92,FALSE)/VLOOKUP($C501*1000+1,$A:$HH,FT$92,FALSE)</f>
        <v>1240</v>
      </c>
      <c r="IJ501" s="49">
        <f t="shared" ref="IJ501:IJ564" si="1425">VLOOKUP($C501*1000+1,$A:$HH,FX$92,FALSE)</f>
        <v>1985.7442651839444</v>
      </c>
      <c r="IK501" s="40">
        <f t="shared" ref="IK501:IK564" si="1426">VLOOKUP($C501*1000+1,$A:$HH,FY$92,FALSE)</f>
        <v>-21.44990394013189</v>
      </c>
      <c r="IL501" s="298">
        <f>(FW501-FA501*DZ501/FT501)-II501</f>
        <v>0</v>
      </c>
      <c r="IM501" s="49">
        <f t="shared" ref="IM501:IM550" si="1427">FX501-IJ501</f>
        <v>0</v>
      </c>
      <c r="IN501" s="40">
        <f t="shared" ref="IN501:IN550" si="1428">FY501-IK501</f>
        <v>0</v>
      </c>
      <c r="IO501" s="25">
        <f t="shared" ref="IO501:IO564" si="1429">(F501-VLOOKUP($C501*1000+1,$A:$HH,F$92,FALSE))*(1-$I501)</f>
        <v>0</v>
      </c>
      <c r="IP501" s="29">
        <f t="shared" ref="IP501:IP564" si="1430">(G501-VLOOKUP($C501*1000+1,$A:$HH,G$92,FALSE))*(1-$I501)</f>
        <v>0</v>
      </c>
      <c r="IQ501" s="29">
        <f t="shared" ref="IQ501:IQ564" si="1431">(H501-VLOOKUP($C501*1000+1,$A:$HH,H$92,FALSE))*(1-$I501)</f>
        <v>0</v>
      </c>
      <c r="IR501" s="17">
        <v>0</v>
      </c>
      <c r="IS501" s="29">
        <v>0</v>
      </c>
      <c r="IT501" s="12">
        <v>0</v>
      </c>
      <c r="IU501" s="25">
        <v>0</v>
      </c>
      <c r="IV501" s="29">
        <v>0</v>
      </c>
      <c r="IW501" s="12">
        <v>0</v>
      </c>
      <c r="IX501" s="372">
        <f>INDEX(Input!$1:$1048576,IX$93,$C501*2+6)+INDEX(Input!$1:$1048576,IX$94,$C501*2+6)</f>
        <v>1270</v>
      </c>
      <c r="IY501" s="373">
        <f>INDEX(Input!$1:$1048576,IY$93,$C501*2+6)+INDEX(Input!$1:$1048576,IY$94,$C501*2+6)</f>
        <v>2130.0624533823611</v>
      </c>
      <c r="IZ501" s="374">
        <f>INDEX(Input!$1:$1048576,IZ$93,$C501*2+6)+INDEX(Input!$1:$1048576,IZ$94,$C501*2+6)</f>
        <v>3653.7164157747857</v>
      </c>
      <c r="JA501" s="298">
        <f>(IL501+IO501+IR501+IU501+IX501)</f>
        <v>1270</v>
      </c>
      <c r="JB501" s="49">
        <f>(IM501+IP501+IS501+IV501+IY501)</f>
        <v>2130.0624533823611</v>
      </c>
      <c r="JC501" s="49">
        <f>(IN501+IQ501+IT501+IW501+IZ501)</f>
        <v>3653.7164157747857</v>
      </c>
      <c r="JD501" s="40">
        <f>SUMPRODUCT(IE501:IG501,JA501:JC501)</f>
        <v>1890.7138380411025</v>
      </c>
      <c r="JE501" s="95"/>
      <c r="JF501" s="28">
        <f t="shared" ref="JF501:JF564" si="1432">VLOOKUP($C501*1000+1,$A:$HH,GD$92,FALSE)</f>
        <v>2.9195044280595241E-2</v>
      </c>
      <c r="JG501" s="23">
        <f>INDEX(Input!$1:$1048576,JG$93,$C501*2+6)/(1+VLOOKUP(C501*1000+INDEX(Input!$1:$1048576,JG$93+1,$C501*2+6),$A:$KK,$JK$92,FALSE))</f>
        <v>821</v>
      </c>
      <c r="JH501" s="38">
        <f>SUM(HP501:HR501)/SUM(HY501:IA501)</f>
        <v>0</v>
      </c>
      <c r="JI501" s="38">
        <f>SUM(HS501:HU501)/SUM(HY501:IA501)</f>
        <v>0</v>
      </c>
      <c r="JJ501" s="11">
        <f>SUM(HV501:HX501)/SUM(HY501:IA501)</f>
        <v>0</v>
      </c>
      <c r="JK501" s="2">
        <f>SUM(JH501:JJ501)</f>
        <v>0</v>
      </c>
      <c r="JL501" s="9">
        <f>JG501*JK501</f>
        <v>0</v>
      </c>
      <c r="JM501" s="8">
        <f>JG501+JL501</f>
        <v>821</v>
      </c>
      <c r="JN501" s="95"/>
      <c r="JO501" s="375">
        <f>INDEX(Input!$1:$1048576,JO$93,$C501*2+6)</f>
        <v>5995.5</v>
      </c>
      <c r="JP501" s="375">
        <f>INDEX(Input!$1:$1048576,JP$93,$C501*2+6)</f>
        <v>1890.7138380411029</v>
      </c>
      <c r="JQ501" s="25">
        <f>JO501-JD501</f>
        <v>4104.7861619588975</v>
      </c>
      <c r="JR501" s="29">
        <f t="shared" ref="JR501" si="1433">JD501-JP501</f>
        <v>0</v>
      </c>
      <c r="JS501" s="29">
        <f t="shared" ref="JS501" si="1434">JM501*JD501/1000000</f>
        <v>1.552276061031745</v>
      </c>
      <c r="JT501" s="29">
        <f>(JD501*JM501-JP501*JG501)/1000000</f>
        <v>-4.6566128730773924E-16</v>
      </c>
      <c r="JU501" s="376">
        <f>(JQ501*JM501-INDEX(Input!$1:$1048576,Input!A$18,$C501*2+6)*JL501*INDEX(Input!$1:$1048576,Input!A$19,$C501*2+6))/1000000</f>
        <v>3.3700294389682548</v>
      </c>
      <c r="JV501" s="29">
        <f t="shared" ref="JV501:JV512" si="1435">JU501-(JO501-JP501)*JG501/1000000</f>
        <v>0</v>
      </c>
      <c r="JW501" s="38">
        <f>JV501/(JU501-JV501)</f>
        <v>0</v>
      </c>
      <c r="JX501" s="40">
        <f>IF(JL501=0,0,JT501/JL501)*1000000</f>
        <v>0</v>
      </c>
      <c r="JZ501" s="377"/>
      <c r="KA501" s="378"/>
      <c r="KB501" s="474">
        <f>KA506</f>
        <v>2.5122967434604799</v>
      </c>
      <c r="KC501" s="379"/>
      <c r="KD501" s="379"/>
      <c r="KE501" s="379"/>
      <c r="KF501" s="379"/>
      <c r="KG501" s="380"/>
      <c r="KI501" s="381"/>
      <c r="KJ501" s="379"/>
      <c r="KK501" s="379"/>
      <c r="KL501" s="380"/>
      <c r="KN501" s="542">
        <f>C501*1000+$KN$97</f>
        <v>5002</v>
      </c>
      <c r="KO501" s="540">
        <f t="shared" ref="KO501:KO564" si="1436">JM501/INDEX(JM:JM,MATCH(KN501,A:A,0))-1</f>
        <v>-4.0551275401544684E-3</v>
      </c>
      <c r="KP501" s="545">
        <f t="shared" ref="KP501:KP564" si="1437">(IL501-INDEX(IL:IL,MATCH(KN501,A:A,0)))*IE501
+(IM501-IF(HN501=0,INDEX(IX:IX,MATCH(KN501,A:A,0)),INDEX(IM:IM,MATCH(KN501,A:A,0))))*IF501
+(IN501-INDEX(IN:IN,MATCH(KN501,A:A,0)))*IG501</f>
        <v>-28.922815953458176</v>
      </c>
      <c r="KQ501" s="545">
        <f t="shared" ref="KQ501:KQ564" si="1438">JD501-INDEX(JD:JD,MATCH(KN501,A:A,0))</f>
        <v>-28.204927682163998</v>
      </c>
      <c r="KR501" s="549">
        <f t="shared" ref="KR501:KR564" si="1439">KO501/(KP501/(BX501-INDEX(JD:JD,MATCH(KN501,A:A,0))))</f>
        <v>2.5329574988020487</v>
      </c>
      <c r="KS501" s="549">
        <f t="shared" ref="KS501:KS564" si="1440">KO501/(KQ501/(BX501-INDEX(JD:JD,MATCH(KN501,A:A,0))))</f>
        <v>2.597427810535077</v>
      </c>
      <c r="KT501" s="661">
        <f>(1+JK506/(JD506-JD501)*(0-JD501))*JM501</f>
        <v>595.94378802984284</v>
      </c>
      <c r="KU501" s="662">
        <f>IF(D501="",0,IFERROR((JM501/KT501-1)/(JD501/BX501)+B501*10^-6,0))</f>
        <v>3.9917576495650926</v>
      </c>
      <c r="KV501" s="568"/>
      <c r="KW501" s="26"/>
    </row>
    <row r="502" spans="1:310" s="60" customFormat="1" ht="15.75" thickBot="1">
      <c r="A502" s="560">
        <f t="shared" ref="A502:A550" si="1441">C502*1000+B502</f>
        <v>5002</v>
      </c>
      <c r="B502" s="560">
        <f>B501+1</f>
        <v>2</v>
      </c>
      <c r="C502" s="560">
        <f>C501</f>
        <v>5</v>
      </c>
      <c r="D502" s="560" t="s">
        <v>567</v>
      </c>
      <c r="E502" s="365">
        <f>INDEX(Input!$1:$1048576,E$93,$C502*2+MIN($B502,2)+5)</f>
        <v>1277.4263093788063</v>
      </c>
      <c r="F502" s="49">
        <f>INDEX(Input!$1:$1048576,F$93,$C502*2+MIN($B502,2)+5)</f>
        <v>0</v>
      </c>
      <c r="G502" s="49">
        <f>INDEX(Input!$1:$1048576,G$93,$C502*2+MIN($B502,2)+5)</f>
        <v>0</v>
      </c>
      <c r="H502" s="49">
        <f>INDEX(Input!$1:$1048576,H$93,$C502*2+MIN($B502,2)+5)</f>
        <v>0</v>
      </c>
      <c r="I502" s="367">
        <f>INDEX(Input!$1:$1048576,I$93,$C502*2+MIN($B502,2)+5)</f>
        <v>0.7</v>
      </c>
      <c r="J502" s="367" t="str">
        <f>INDEX(Input!$1:$1048576,J$93,$C502*2+MIN($B502,2)+5)</f>
        <v>Market</v>
      </c>
      <c r="K502" s="367" t="str">
        <f>INDEX(Input!$1:$1048576,K$93,$C502*2+MIN($B502,2)+5)</f>
        <v>Market</v>
      </c>
      <c r="L502" s="367" t="str">
        <f>INDEX(Input!$1:$1048576,L$93,$C502*2+MIN($B502,2)+5)</f>
        <v>Market</v>
      </c>
      <c r="M502" s="367" t="str">
        <f>INDEX(Input!$1:$1048576,M$93,$C502*2+MIN($B502,2)+5)</f>
        <v>Market</v>
      </c>
      <c r="N502" s="367" t="str">
        <f>INDEX(Input!$1:$1048576,N$93,$C502*2+MIN($B502,2)+5)</f>
        <v>Market</v>
      </c>
      <c r="O502" s="367" t="str">
        <f>INDEX(Input!$1:$1048576,O$93,$C502*2+MIN($B502,2)+5)</f>
        <v>Market</v>
      </c>
      <c r="P502" s="367" t="str">
        <f>INDEX(Input!$1:$1048576,P$93,$C502*2+MIN($B502,2)+5)</f>
        <v>N</v>
      </c>
      <c r="Q502" s="47">
        <f>INDEX(Input!$1:$1048576,Q$93,$C502*2+MIN($B502,2)+5)</f>
        <v>0</v>
      </c>
      <c r="R502" s="38">
        <f>INDEX(Input!$1:$1048576,R$93,$C502*2+MIN($B502,2)+5)</f>
        <v>0</v>
      </c>
      <c r="S502" s="38">
        <f>INDEX(Input!$1:$1048576,S$93,$C502*2+MIN($B502,2)+5)</f>
        <v>0</v>
      </c>
      <c r="T502" s="38">
        <f>INDEX(Input!$1:$1048576,T$93,$C502*2+MIN($B502,2)+5)</f>
        <v>0</v>
      </c>
      <c r="U502" s="38">
        <f>INDEX(Input!$1:$1048576,U$93,$C502*2+MIN($B502,2)+5)</f>
        <v>0</v>
      </c>
      <c r="V502" s="38">
        <f>INDEX(Input!$1:$1048576,V$93,$C502*2+MIN($B502,2)+5)</f>
        <v>1.9E-2</v>
      </c>
      <c r="W502" s="22">
        <f>INDEX(Input!$1:$1048576,W$93,$C502*2+MIN($B502,2)+5)</f>
        <v>3.9E-2</v>
      </c>
      <c r="X502" s="367" t="str">
        <f>INDEX(Input!$1:$1048576,X$93,$C502*2+MIN($B502,2)+5)</f>
        <v>Y</v>
      </c>
      <c r="Y502" s="49">
        <f>INDEX(Input!$1:$1048576,Y$93,$C502*2+MIN($B502,2)+5)</f>
        <v>-717.93641739252325</v>
      </c>
      <c r="Z502" s="584">
        <f>INDEX(Input!$1:$1048576,Z$93,$C502*2+MIN($B502,2)+5)</f>
        <v>0</v>
      </c>
      <c r="AA502" s="49">
        <f>INDEX(Input!$1:$1048576,AA$93,$C502*2+MIN($B502,2)+5)</f>
        <v>0</v>
      </c>
      <c r="AB502" s="367">
        <f>INDEX(Input!$1:$1048576,AB$93,$C502*2+MIN($B502,2)+5)</f>
        <v>0.27</v>
      </c>
      <c r="AC502" s="49">
        <f>INDEX(Input!$1:$1048576,AC$93,$C502*2+MIN($B502,2)+5)</f>
        <v>0</v>
      </c>
      <c r="AD502" s="367">
        <f>INDEX(Input!$1:$1048576,AD$93,$C502*2+MIN($B502,2)+5)</f>
        <v>0.27</v>
      </c>
      <c r="AE502" s="49">
        <f>INDEX(Input!$1:$1048576,AE$93,$C502*2+MIN($B502,2)+5)</f>
        <v>0</v>
      </c>
      <c r="AF502" s="367">
        <f>INDEX(Input!$1:$1048576,AF$93,$C502*2+MIN($B502,2)+5)</f>
        <v>0.2</v>
      </c>
      <c r="AG502" s="49">
        <f>INDEX(Input!$1:$1048576,AG$93,$C502*2+MIN($B502,2)+5)</f>
        <v>500</v>
      </c>
      <c r="AH502" s="367">
        <f>INDEX(Input!$1:$1048576,AH$93,$C502*2+MIN($B502,2)+5)</f>
        <v>1</v>
      </c>
      <c r="AI502" s="49">
        <f>INDEX(Input!$1:$1048576,AI$93,$C502*2+MIN($B502,2)+5)</f>
        <v>0</v>
      </c>
      <c r="AJ502" s="367">
        <f>INDEX(Input!$1:$1048576,AJ$93,$C502*2+MIN($B502,2)+5)</f>
        <v>0.27</v>
      </c>
      <c r="AK502" s="298">
        <f>ROUND(INDEX(Input!$1:$1048576,AK$93,$C502*2+MIN($B502,2)+5),0)</f>
        <v>2587</v>
      </c>
      <c r="AL502" s="49">
        <f>ROUND(INDEX(Input!$1:$1048576,AL$93,$C501*2+6)-(Y502-VLOOKUP($C502*1000+1,$A:$HH,Y$92,FALSE))/36,0)</f>
        <v>3406</v>
      </c>
      <c r="AM502" s="46" t="str">
        <f t="shared" ref="AM502:AM550" si="1442">IF(K502="market","std",ROUND(K502*1000,0)/10)&amp;"/"&amp;IF(L502="market","std",ROUND(L502*1000,0)/10)&amp;"/"&amp;IF(M502="market","std",ROUND(M502*1000,0)/10)&amp;"/"&amp;IF(N502="market","std",ROUND(N502*1000,0)/10)&amp;IF(P502="N","","/"&amp;IF(O502="market","std",ROUND(O502*1000,0)/10))</f>
        <v>std/std/std/std</v>
      </c>
      <c r="AN502" s="46" t="str">
        <f t="shared" ref="AN502:AN550" si="1443">"$"&amp;ROUND(Q502,0)&amp;" + "&amp;IF(S502="market","std",ROUND(S502*1000,0)/10)&amp;"/"&amp;IF(T502="market","std",ROUND(T502*1000,0)/10)&amp;"/"&amp;IF(U502="market","std",ROUND(U502*1000,0)/10)&amp;"/"&amp;IF(V502="market","std",ROUND(V502*1000,0)/10)&amp;IF(X502="N","","/"&amp;IF(W502="market","std",ROUND(W502*1000,0)/10))</f>
        <v>$0 + 0/0/0/1.9/3.9</v>
      </c>
      <c r="AO502" s="44" t="str">
        <f t="shared" ref="AO502:AO550" si="1444">IF(S502="market","std",ROUND(S502*1000,0)/10)&amp;"/"&amp;IF(T502="market","std",ROUND(T502*1000,0)/10)&amp;"/"&amp;IF(U502="market","std",ROUND(U502*1000,0)/10)&amp;"/"&amp;IF(V502="market","std",ROUND(V502*1000,0)/10)&amp;IF(X502="N","","/"&amp;IF(W502="market","std",ROUND(W502*1000,0)/10))</f>
        <v>0/0/0/1.9/3.9</v>
      </c>
      <c r="AP502" s="44" t="str">
        <f t="shared" si="1396"/>
        <v>0/0.9/1.9/3.9</v>
      </c>
      <c r="AQ502" s="507">
        <f t="shared" si="1394"/>
        <v>0.405798396708204</v>
      </c>
      <c r="AR502" s="44"/>
      <c r="AS502" s="368"/>
      <c r="AT502" s="579">
        <f>AT501+1</f>
        <v>2</v>
      </c>
      <c r="AU502" s="45" t="s">
        <v>121</v>
      </c>
      <c r="AV502" s="45" t="s">
        <v>116</v>
      </c>
      <c r="AW502" s="45" t="str">
        <f>INDEX(Input!$1:$1048576,AW$93,$C502*2+6)</f>
        <v>Kia</v>
      </c>
      <c r="AX502" s="45" t="str">
        <f>INDEX(Input!$1:$1048576,AX$93,$C502*2+6)</f>
        <v>Kia-LR - R2</v>
      </c>
      <c r="AY502" s="10" t="str">
        <f>IF(LEN(D502)=0,"",INDEX(Input!$1:$1048576,AY$93,$C502*2+6))</f>
        <v>Compact SUV (52)</v>
      </c>
      <c r="AZ502" s="45" t="str">
        <f>INDEX(Input!$1:$1048576,AZ$93,$C502*2+6)</f>
        <v>Kia Soul</v>
      </c>
      <c r="BA502" s="50">
        <f>INDEX(Input!$1:$1048576,BA$93,$C502*2+6)</f>
        <v>2020</v>
      </c>
      <c r="BB502" s="48">
        <f>INDEX(Input!$1:$1048576,BB$93,$C502*2+6)</f>
        <v>1</v>
      </c>
      <c r="BC502" s="129">
        <f>INDEX(Input!$1:$1048576,BC$93,$C502*2+6)</f>
        <v>0.7</v>
      </c>
      <c r="BD502" s="38">
        <f>INDEX(Input!$1:$1048576,BD$93,$C502*2+6)</f>
        <v>4.4999999999999998E-2</v>
      </c>
      <c r="BE502" s="38">
        <f>INDEX(Input!$1:$1048576,BE$93,$C502*2+6)</f>
        <v>4.4999999999999998E-2</v>
      </c>
      <c r="BF502" s="38">
        <f>INDEX(Input!$1:$1048576,BF$93,$C502*2+6)</f>
        <v>0.05</v>
      </c>
      <c r="BG502" s="38">
        <f>INDEX(Input!$1:$1048576,BG$93,$C502*2+6)</f>
        <v>5.45E-2</v>
      </c>
      <c r="BH502" s="38">
        <f>INDEX(Input!$1:$1048576,BH$93,$C502*2+6)</f>
        <v>5.45E-2</v>
      </c>
      <c r="BI502" s="38">
        <f>INDEX(Input!$1:$1048576,BI$93,$C502*2+6)</f>
        <v>0.05</v>
      </c>
      <c r="BJ502" s="38">
        <f>INDEX(Input!$1:$1048576,BJ$93,$C502*2+6)</f>
        <v>0.05</v>
      </c>
      <c r="BK502" s="38">
        <f>INDEX(Input!$1:$1048576,BK$93,$C502*2+6)</f>
        <v>0.05</v>
      </c>
      <c r="BL502" s="38">
        <f>INDEX(Input!$1:$1048576,BL$93,$C502*2+6)</f>
        <v>5.5E-2</v>
      </c>
      <c r="BM502" s="38">
        <f>INDEX(Input!$1:$1048576,BM$93,$C502*2+6)</f>
        <v>0.06</v>
      </c>
      <c r="BN502" s="38">
        <f>INDEX(Input!$1:$1048576,BN$93,$C502*2+6)</f>
        <v>4.4999999999999998E-2</v>
      </c>
      <c r="BO502" s="38">
        <f>INDEX(Input!$1:$1048576,BO$93,$C502*2+6)</f>
        <v>4.4999999999999998E-2</v>
      </c>
      <c r="BP502" s="38">
        <f>INDEX(Input!$1:$1048576,BP$93,$C502*2+6)</f>
        <v>0.05</v>
      </c>
      <c r="BQ502" s="38">
        <f>INDEX(Input!$1:$1048576,BQ$93,$C502*2+6)</f>
        <v>5.45E-2</v>
      </c>
      <c r="BR502" s="38">
        <f>INDEX(Input!$1:$1048576,BR$93,$C502*2+6)</f>
        <v>5.45E-2</v>
      </c>
      <c r="BS502" s="38">
        <f>INDEX(Input!$1:$1048576,BS$93,$C502*2+6)</f>
        <v>0.05</v>
      </c>
      <c r="BT502" s="38">
        <f>INDEX(Input!$1:$1048576,BT$93,$C502*2+6)</f>
        <v>0.05</v>
      </c>
      <c r="BU502" s="38">
        <f>INDEX(Input!$1:$1048576,BU$93,$C502*2+6)</f>
        <v>0.05</v>
      </c>
      <c r="BV502" s="38">
        <f>INDEX(Input!$1:$1048576,BV$93,$C502*2+6)</f>
        <v>5.5E-2</v>
      </c>
      <c r="BW502" s="38">
        <f>INDEX(Input!$1:$1048576,BW$93,$C502*2+6)</f>
        <v>0.06</v>
      </c>
      <c r="BX502" s="29">
        <f>INDEX(Input!$1:$1048576,BX$93,$C502*2+6)</f>
        <v>19985</v>
      </c>
      <c r="BY502" s="367">
        <f>INDEX(Input!$1:$1048576,BY$93,$C502*2+6)</f>
        <v>0.1</v>
      </c>
      <c r="BZ502" s="367">
        <f>INDEX(Input!$1:$1048576,BZ$93,$C502*2+6)</f>
        <v>0.1</v>
      </c>
      <c r="CA502" s="367">
        <f>INDEX(Input!$1:$1048576,CA$93,$C502*2+6)</f>
        <v>0.1</v>
      </c>
      <c r="CB502" s="367">
        <f>INDEX(Input!$1:$1048576,CB$93,$C502*2+6)</f>
        <v>0.1</v>
      </c>
      <c r="CC502" s="367">
        <f>INDEX(Input!$1:$1048576,CC$93,$C502*2+6)</f>
        <v>0.1</v>
      </c>
      <c r="CD502" s="367">
        <f>INDEX(Input!$1:$1048576,CD$93,$C502*2+6)</f>
        <v>0.1</v>
      </c>
      <c r="CE502" s="367">
        <f>INDEX(Input!$1:$1048576,CE$93,$C502*2+6)</f>
        <v>0.1</v>
      </c>
      <c r="CF502" s="367">
        <f>INDEX(Input!$1:$1048576,CF$93,$C502*2+6)</f>
        <v>0.1</v>
      </c>
      <c r="CG502" s="367">
        <f>INDEX(Input!$1:$1048576,CG$93,$C502*2+6)</f>
        <v>0.1</v>
      </c>
      <c r="CH502" s="48">
        <f>INDEX(Input!$1:$1048576,CH$93,$C502*2+6)</f>
        <v>0.1</v>
      </c>
      <c r="CI502" s="298">
        <f t="shared" si="1397"/>
        <v>1277.4263093788063</v>
      </c>
      <c r="CJ502" s="46" t="str">
        <f>INDEX(Input!$1:$1048576,CJ$93,$C502*2+6)</f>
        <v>N</v>
      </c>
      <c r="CK502" s="38" t="str">
        <f t="shared" si="1398"/>
        <v>Market</v>
      </c>
      <c r="CL502" s="38" t="str">
        <f t="shared" si="1399"/>
        <v>Market</v>
      </c>
      <c r="CM502" s="38" t="str">
        <f t="shared" si="1400"/>
        <v>Market</v>
      </c>
      <c r="CN502" s="38" t="str">
        <f t="shared" si="1401"/>
        <v>Market</v>
      </c>
      <c r="CO502" s="38" t="str">
        <f t="shared" si="1402"/>
        <v>Market</v>
      </c>
      <c r="CP502" s="49">
        <f t="shared" si="1403"/>
        <v>500</v>
      </c>
      <c r="CQ502" s="38">
        <f t="shared" si="1404"/>
        <v>0</v>
      </c>
      <c r="CR502" s="38">
        <f t="shared" si="1405"/>
        <v>0</v>
      </c>
      <c r="CS502" s="38">
        <f t="shared" si="1406"/>
        <v>0</v>
      </c>
      <c r="CT502" s="38">
        <f t="shared" si="1407"/>
        <v>1.9E-2</v>
      </c>
      <c r="CU502" s="38">
        <f t="shared" si="1408"/>
        <v>3.9E-2</v>
      </c>
      <c r="CV502" s="49">
        <f t="shared" si="1409"/>
        <v>-717.93641739252325</v>
      </c>
      <c r="CW502" s="22" t="s">
        <v>122</v>
      </c>
      <c r="CX502" s="22" t="s">
        <v>122</v>
      </c>
      <c r="CY502" s="22" t="s">
        <v>122</v>
      </c>
      <c r="CZ502" s="22" t="s">
        <v>122</v>
      </c>
      <c r="DA502" s="22" t="s">
        <v>122</v>
      </c>
      <c r="DB502" s="502">
        <f t="shared" si="1410"/>
        <v>0</v>
      </c>
      <c r="DC502" s="29">
        <v>0</v>
      </c>
      <c r="DD502" s="29">
        <v>0</v>
      </c>
      <c r="DE502" s="29">
        <v>0</v>
      </c>
      <c r="DF502" s="49">
        <v>0</v>
      </c>
      <c r="DG502" s="49">
        <v>0</v>
      </c>
      <c r="DH502" s="49">
        <v>0</v>
      </c>
      <c r="DI502" s="49">
        <v>0</v>
      </c>
      <c r="DJ502" s="49">
        <v>0</v>
      </c>
      <c r="DK502" s="29">
        <v>0</v>
      </c>
      <c r="DL502" s="29">
        <v>0</v>
      </c>
      <c r="DM502" s="49">
        <f>INDEX(Input!$1:$1048576,DM$93,$C502*2+6)</f>
        <v>21036.84210526316</v>
      </c>
      <c r="DN502" s="367">
        <v>0</v>
      </c>
      <c r="DO502" s="367">
        <v>0</v>
      </c>
      <c r="DP502" s="367">
        <v>0</v>
      </c>
      <c r="DQ502" s="367">
        <v>0</v>
      </c>
      <c r="DR502" s="367">
        <v>0</v>
      </c>
      <c r="DS502" s="367">
        <f>INDEX(Input!$1:$1048576,DS$93,$C502*2+6)</f>
        <v>0.6</v>
      </c>
      <c r="DT502" s="367">
        <f>INDEX(Input!$1:$1048576,DT$93,$C502*2+6)</f>
        <v>0.55000000000000004</v>
      </c>
      <c r="DU502" s="367">
        <f>INDEX(Input!$1:$1048576,DU$93,$C502*2+6)</f>
        <v>0.52</v>
      </c>
      <c r="DV502" s="367">
        <f>INDEX(Input!$1:$1048576,DV$93,$C502*2+6)</f>
        <v>0.5</v>
      </c>
      <c r="DW502" s="48">
        <f>INDEX(Input!$1:$1048576,DW$93,$C502*2+6)</f>
        <v>0.45</v>
      </c>
      <c r="DX502" s="577"/>
      <c r="DY502" s="4">
        <v>0.11918290832440123</v>
      </c>
      <c r="DZ502" s="37">
        <v>0</v>
      </c>
      <c r="EA502" s="37">
        <v>0.7346389657507757</v>
      </c>
      <c r="EB502" s="37">
        <v>0</v>
      </c>
      <c r="EC502" s="37">
        <v>0</v>
      </c>
      <c r="ED502" s="37">
        <v>0</v>
      </c>
      <c r="EE502" s="37">
        <v>0</v>
      </c>
      <c r="EF502" s="37">
        <v>0</v>
      </c>
      <c r="EG502" s="37">
        <v>0</v>
      </c>
      <c r="EH502" s="37">
        <v>1.2088522323280934E-2</v>
      </c>
      <c r="EI502" s="37">
        <v>3.360509380665002E-2</v>
      </c>
      <c r="EJ502" s="37">
        <v>0.29189504381850234</v>
      </c>
      <c r="EK502" s="37">
        <v>0.53736564061795533</v>
      </c>
      <c r="EL502" s="37">
        <v>0.12504569943361166</v>
      </c>
      <c r="EM502" s="37">
        <v>7.5555880496524647E-2</v>
      </c>
      <c r="EN502" s="37">
        <v>5.8470684378631919E-2</v>
      </c>
      <c r="EO502" s="37">
        <v>0.71704150185978133</v>
      </c>
      <c r="EP502" s="37">
        <v>8.9792600597694699E-2</v>
      </c>
      <c r="EQ502" s="37">
        <v>8.8424811326771879E-2</v>
      </c>
      <c r="ER502" s="37">
        <v>4.6270401837120112E-2</v>
      </c>
      <c r="ES502" s="37">
        <v>7.0622245428298397E-2</v>
      </c>
      <c r="ET502" s="37">
        <v>0.14617812592482307</v>
      </c>
      <c r="EU502" s="36">
        <v>1270</v>
      </c>
      <c r="EV502" s="36">
        <v>0</v>
      </c>
      <c r="EW502" s="36">
        <v>1270</v>
      </c>
      <c r="EX502" s="36">
        <v>0</v>
      </c>
      <c r="EY502" s="36">
        <v>2015.7457381391637</v>
      </c>
      <c r="EZ502" s="36">
        <v>-6.4499039401316622</v>
      </c>
      <c r="FA502" s="36">
        <v>0</v>
      </c>
      <c r="FB502" s="36">
        <v>0</v>
      </c>
      <c r="FC502" s="36">
        <v>0</v>
      </c>
      <c r="FD502" s="36">
        <v>0</v>
      </c>
      <c r="FE502" s="36">
        <v>0</v>
      </c>
      <c r="FF502" s="36">
        <v>0</v>
      </c>
      <c r="FG502" s="36">
        <v>0</v>
      </c>
      <c r="FH502" s="36">
        <v>1172.1348799277998</v>
      </c>
      <c r="FI502" s="36">
        <v>1553.9796069512402</v>
      </c>
      <c r="FJ502" s="36">
        <v>2101.2110117447401</v>
      </c>
      <c r="FK502" s="36">
        <v>1772.7139978623227</v>
      </c>
      <c r="FL502" s="36">
        <v>907.07682140966301</v>
      </c>
      <c r="FM502" s="36">
        <v>1745.7457381391637</v>
      </c>
      <c r="FN502" s="36">
        <v>0</v>
      </c>
      <c r="FO502" s="36">
        <v>0</v>
      </c>
      <c r="FP502" s="36">
        <v>0</v>
      </c>
      <c r="FQ502" s="36">
        <v>0</v>
      </c>
      <c r="FR502" s="36">
        <v>0</v>
      </c>
      <c r="FS502" s="36">
        <v>0</v>
      </c>
      <c r="FT502" s="37">
        <v>0.85382187407517696</v>
      </c>
      <c r="FU502" s="37">
        <v>7.5555880496524647E-2</v>
      </c>
      <c r="FV502" s="37">
        <v>7.0622245428298397E-2</v>
      </c>
      <c r="FW502" s="36">
        <v>1270</v>
      </c>
      <c r="FX502" s="36">
        <v>2015.7457381391639</v>
      </c>
      <c r="FY502" s="36">
        <v>-6.4499039401316622</v>
      </c>
      <c r="FZ502" s="36">
        <v>1758.1538569113241</v>
      </c>
      <c r="GA502" s="36">
        <v>1236.1997174786472</v>
      </c>
      <c r="GB502" s="36">
        <v>18748.800282521352</v>
      </c>
      <c r="GC502" s="37">
        <v>3.064145122680037E-2</v>
      </c>
      <c r="GD502" s="37">
        <v>2.9298567858062063E-2</v>
      </c>
      <c r="GE502" s="37"/>
      <c r="GF502" s="37"/>
      <c r="GG502" s="37">
        <v>-4.382571043383747E-2</v>
      </c>
      <c r="GH502" s="35">
        <v>1.6780340586478142</v>
      </c>
      <c r="GI502" s="36">
        <v>13145.969901824148</v>
      </c>
      <c r="GJ502" s="34">
        <v>0.50394797582841722</v>
      </c>
      <c r="GK502" s="34">
        <v>0.50887573065309721</v>
      </c>
      <c r="GL502" s="34">
        <v>0.49605202417158256</v>
      </c>
      <c r="GM502" s="33">
        <v>0.49112426934690229</v>
      </c>
      <c r="GN502" s="61"/>
      <c r="GO502" s="13">
        <v>343.14810671672558</v>
      </c>
      <c r="GP502" s="27">
        <v>318.91892952659737</v>
      </c>
      <c r="GQ502" s="27">
        <v>535.04305713031317</v>
      </c>
      <c r="GR502" s="27">
        <v>410.15490233172511</v>
      </c>
      <c r="GS502" s="27">
        <v>339.42744393800166</v>
      </c>
      <c r="GT502" s="27">
        <v>293.4407446948278</v>
      </c>
      <c r="GU502" s="27">
        <v>258.04012322764959</v>
      </c>
      <c r="GV502" s="29" t="s">
        <v>392</v>
      </c>
      <c r="GW502" s="27">
        <v>492.125</v>
      </c>
      <c r="GX502" s="27">
        <v>369.09375</v>
      </c>
      <c r="GY502" s="27">
        <v>295.27499999999998</v>
      </c>
      <c r="GZ502" s="27">
        <v>260.54902799031458</v>
      </c>
      <c r="HA502" s="27">
        <v>241.34874471337258</v>
      </c>
      <c r="HB502" s="29">
        <v>274.73152113255992</v>
      </c>
      <c r="HC502" s="27">
        <v>287.56655829738071</v>
      </c>
      <c r="HD502" s="27">
        <v>239.99799238008356</v>
      </c>
      <c r="HE502" s="27">
        <v>241.14168635502031</v>
      </c>
      <c r="HF502" s="27">
        <v>221.05790951107167</v>
      </c>
      <c r="HG502" s="27">
        <v>210.75500473779988</v>
      </c>
      <c r="HH502" s="12">
        <v>239.85419619714324</v>
      </c>
      <c r="HI502" s="94"/>
      <c r="HJ502" s="370" t="str">
        <f>HJ501</f>
        <v>On</v>
      </c>
      <c r="HK502" s="371" t="str">
        <f>HK501</f>
        <v>On</v>
      </c>
      <c r="HL502" s="94"/>
      <c r="HM502" s="640">
        <f t="shared" si="1413"/>
        <v>2.4909940070666322E-2</v>
      </c>
      <c r="HN502" s="22">
        <f t="shared" si="1414"/>
        <v>2.2052381276269151E-3</v>
      </c>
      <c r="HO502" s="638">
        <f t="shared" si="1415"/>
        <v>2.079866082302006E-3</v>
      </c>
      <c r="HP502" s="650">
        <f>(FT502*$GD502-HM502)/$JF502*INDEX(Input!$1:$1048576,$JG$93,$C502*2+6)</f>
        <v>2.9757315872338905</v>
      </c>
      <c r="HQ502" s="650">
        <f>(FU502*$GD502-HN502)/$JF502*INDEX(Input!$1:$1048576,$JG$93,$C502*2+6)</f>
        <v>0.23737013453400296</v>
      </c>
      <c r="HR502" s="651">
        <f>(FV502*$GD502-HO502)/$JF502*INDEX(Input!$1:$1048576,$JG$93,$C502*2+6)</f>
        <v>-0.30189335765693082</v>
      </c>
      <c r="HS502" s="650">
        <f t="shared" si="1416"/>
        <v>-1.4587388197775362</v>
      </c>
      <c r="HT502" s="650">
        <f t="shared" si="1417"/>
        <v>1.648624747275079</v>
      </c>
      <c r="HU502" s="651">
        <f t="shared" si="1418"/>
        <v>0.24172096105100246</v>
      </c>
      <c r="HV502" s="645">
        <f t="shared" si="1419"/>
        <v>0</v>
      </c>
      <c r="HW502" s="646">
        <f t="shared" si="1420"/>
        <v>0</v>
      </c>
      <c r="HX502" s="647">
        <f t="shared" si="1421"/>
        <v>0</v>
      </c>
      <c r="HY502" s="643">
        <f>INDEX(Input!$1:$1048576,HY$93,$C502*2+6)*INDEX(Input!$1:$1048576,$JG$93,$C502*2+6)</f>
        <v>333.00000000000006</v>
      </c>
      <c r="HZ502" s="641">
        <f>INDEX(Input!$1:$1048576,HZ$93,$C502*2+6)*INDEX(Input!$1:$1048576,$JG$93,$C502*2+6)</f>
        <v>429</v>
      </c>
      <c r="IA502" s="642">
        <f>INDEX(Input!$1:$1048576,IA$93,$C502*2+6)*INDEX(Input!$1:$1048576,$JG$93,$C502*2+6)</f>
        <v>59</v>
      </c>
      <c r="IB502" s="649">
        <f t="shared" ref="IB502:IB550" si="1445">SUM(HP502:IA502)-IC502-ID502</f>
        <v>334.51699276745649</v>
      </c>
      <c r="IC502" s="650">
        <f t="shared" ref="IC502:IC550" si="1446">MAX(HZ502+HQ502+HT502+HW502,0%)</f>
        <v>430.8859948818091</v>
      </c>
      <c r="ID502" s="651">
        <f>IF(AND(INDEX(Input!$1:$1048576,IA$93,$C502*2+7)="TOS",Y502&lt;=INDEX(Y:Y,MATCH(C502*1000+2,A:A))),0,1)*MAX(IA502+HR502+HU502+HX502,0%)</f>
        <v>58.939827603394072</v>
      </c>
      <c r="IE502" s="129">
        <f t="shared" ref="IE502" si="1447">IB502/SUM($IB502:$ID502)</f>
        <v>0.405798396708204</v>
      </c>
      <c r="IF502" s="652">
        <f t="shared" si="1422"/>
        <v>0.52270243266418626</v>
      </c>
      <c r="IG502" s="653">
        <f t="shared" si="1423"/>
        <v>7.1499170627609729E-2</v>
      </c>
      <c r="IH502" s="95"/>
      <c r="II502" s="298">
        <f t="shared" si="1424"/>
        <v>1240</v>
      </c>
      <c r="IJ502" s="49">
        <f t="shared" si="1425"/>
        <v>1985.7442651839444</v>
      </c>
      <c r="IK502" s="40">
        <f t="shared" si="1426"/>
        <v>-21.44990394013189</v>
      </c>
      <c r="IL502" s="298">
        <f t="shared" ref="IL502:IL550" si="1448">(FW502-FA502*DZ502/FT502)-II502</f>
        <v>30</v>
      </c>
      <c r="IM502" s="49">
        <f t="shared" si="1427"/>
        <v>30.001472955219469</v>
      </c>
      <c r="IN502" s="40">
        <f t="shared" si="1428"/>
        <v>15.000000000000227</v>
      </c>
      <c r="IO502" s="25">
        <f t="shared" si="1429"/>
        <v>0</v>
      </c>
      <c r="IP502" s="29">
        <f t="shared" si="1430"/>
        <v>0</v>
      </c>
      <c r="IQ502" s="29">
        <f t="shared" si="1431"/>
        <v>0</v>
      </c>
      <c r="IR502" s="17">
        <v>0</v>
      </c>
      <c r="IS502" s="29">
        <v>0</v>
      </c>
      <c r="IT502" s="12">
        <v>0</v>
      </c>
      <c r="IU502" s="25">
        <v>0</v>
      </c>
      <c r="IV502" s="29">
        <v>0</v>
      </c>
      <c r="IW502" s="12">
        <v>0</v>
      </c>
      <c r="IX502" s="372">
        <f>INDEX(Input!$1:$1048576,IX$93,$C502*2+6)+INDEX(Input!$1:$1048576,IX$94,$C502*2+6)</f>
        <v>1270</v>
      </c>
      <c r="IY502" s="373">
        <f>INDEX(Input!$1:$1048576,IY$93,$C502*2+6)+INDEX(Input!$1:$1048576,IY$94,$C502*2+6)</f>
        <v>2130.0624533823611</v>
      </c>
      <c r="IZ502" s="374">
        <f>INDEX(Input!$1:$1048576,IZ$93,$C502*2+6)+INDEX(Input!$1:$1048576,IZ$94,$C502*2+6)</f>
        <v>3653.7164157747857</v>
      </c>
      <c r="JA502" s="298">
        <f t="shared" ref="JA502:JA550" si="1449">(IL502+IO502+IR502+IU502+IX502)</f>
        <v>1300</v>
      </c>
      <c r="JB502" s="49">
        <f t="shared" ref="JB502:JB550" si="1450">(IM502+IP502+IS502+IV502+IY502)</f>
        <v>2160.0639263375806</v>
      </c>
      <c r="JC502" s="49">
        <f t="shared" ref="JC502:JC550" si="1451">(IN502+IQ502+IT502+IW502+IZ502)</f>
        <v>3668.7164157747857</v>
      </c>
      <c r="JD502" s="40">
        <f t="shared" ref="JD502:JD550" si="1452">SUMPRODUCT(IE502:IG502,JA502:JC502)</f>
        <v>1918.9187657232665</v>
      </c>
      <c r="JE502" s="382"/>
      <c r="JF502" s="28">
        <f t="shared" si="1432"/>
        <v>2.9195044280595241E-2</v>
      </c>
      <c r="JG502" s="23">
        <f>INDEX(Input!$1:$1048576,JG$93,$C502*2+6)/(1+VLOOKUP(C502*1000+INDEX(Input!$1:$1048576,JG$93+1,$C502*2+6),$A:$KK,$JK$92,FALSE))</f>
        <v>821</v>
      </c>
      <c r="JH502" s="38">
        <f t="shared" ref="JH502:JH550" si="1453">SUM(HP502:HR502)/SUM(HY502:IA502)</f>
        <v>3.5459297979427069E-3</v>
      </c>
      <c r="JI502" s="38">
        <f t="shared" ref="JI502:JI550" si="1454">SUM(HS502:HU502)/SUM(HY502:IA502)</f>
        <v>5.2570875584475685E-4</v>
      </c>
      <c r="JJ502" s="11">
        <f t="shared" ref="JJ502:JJ512" si="1455">SUM(HV502:HX502)/SUM(HY502:IA502)</f>
        <v>0</v>
      </c>
      <c r="JK502" s="2">
        <f t="shared" ref="JK502:JK504" si="1456">SUM(JH502:JJ502)</f>
        <v>4.0716385537874636E-3</v>
      </c>
      <c r="JL502" s="9">
        <f t="shared" ref="JL502:JL550" si="1457">JG502*JK502</f>
        <v>3.3428152526595079</v>
      </c>
      <c r="JM502" s="8">
        <f t="shared" ref="JM502:JM505" si="1458">JG502+JL502</f>
        <v>824.34281525265953</v>
      </c>
      <c r="JN502" s="95"/>
      <c r="JO502" s="375">
        <f>INDEX(Input!$1:$1048576,JO$93,$C502*2+6)</f>
        <v>5995.5</v>
      </c>
      <c r="JP502" s="375">
        <f>INDEX(Input!$1:$1048576,JP$93,$C502*2+6)</f>
        <v>1890.7138380411029</v>
      </c>
      <c r="JQ502" s="25">
        <f>JO502-JD502</f>
        <v>4076.5812342767335</v>
      </c>
      <c r="JR502" s="29">
        <f>JD502-JP502</f>
        <v>28.204927682163543</v>
      </c>
      <c r="JS502" s="29">
        <f>JM502*JD502/1000000</f>
        <v>1.5818468975774762</v>
      </c>
      <c r="JT502" s="29">
        <f t="shared" ref="JT502:JT550" si="1459">(JD502*JM502-JP502*JG502)/1000000</f>
        <v>2.9570836545730707E-2</v>
      </c>
      <c r="JU502" s="376">
        <f>(JQ502*JM502-INDEX(Input!$1:$1048576,Input!A$18,$C502*2+6)*JL502*INDEX(Input!$1:$1048576,Input!A$19,$C502*2+6))/1000000</f>
        <v>3.3605004512698442</v>
      </c>
      <c r="JV502" s="29">
        <f t="shared" si="1435"/>
        <v>-9.5289876984101518E-3</v>
      </c>
      <c r="JW502" s="38">
        <f>JV502/(JU502-JV502)</f>
        <v>-2.8275680883450924E-3</v>
      </c>
      <c r="JX502" s="40">
        <f>IF(JL502=0,0,JT502/JL502)*1000000</f>
        <v>8846.0875970350044</v>
      </c>
      <c r="JZ502" s="377"/>
      <c r="KA502" s="378"/>
      <c r="KB502" s="474">
        <f>KB501</f>
        <v>2.5122967434604799</v>
      </c>
      <c r="KC502" s="379"/>
      <c r="KD502" s="379"/>
      <c r="KE502" s="379"/>
      <c r="KF502" s="379"/>
      <c r="KG502" s="380"/>
      <c r="KI502" s="513">
        <f>$JM502*IE502-$JG502*HY502/SUM($HY502:$IA502)</f>
        <v>1.5169927674563723</v>
      </c>
      <c r="KJ502" s="514">
        <f t="shared" ref="KJ502:KJ515" si="1460">$JM502*IF502-$JG502*HZ502/SUM($HY502:$IA502)</f>
        <v>1.8859948818089833</v>
      </c>
      <c r="KK502" s="514">
        <f t="shared" ref="KK502:KK550" si="1461">$JM502*IG502-$JG502*IA502/SUM($HY502:$IA502)</f>
        <v>-6.0172396605935319E-2</v>
      </c>
      <c r="KL502" s="380"/>
      <c r="KN502" s="543">
        <f>KM502+(KN501-KM501)</f>
        <v>5002</v>
      </c>
      <c r="KO502" s="540">
        <f t="shared" si="1436"/>
        <v>0</v>
      </c>
      <c r="KP502" s="545">
        <f t="shared" si="1437"/>
        <v>0</v>
      </c>
      <c r="KQ502" s="545">
        <f t="shared" si="1438"/>
        <v>0</v>
      </c>
      <c r="KR502" s="547" t="e">
        <f t="shared" si="1439"/>
        <v>#DIV/0!</v>
      </c>
      <c r="KS502" s="547" t="e">
        <f t="shared" si="1440"/>
        <v>#DIV/0!</v>
      </c>
      <c r="KT502" s="661">
        <f>KT501</f>
        <v>595.94378802984284</v>
      </c>
      <c r="KU502" s="662">
        <f t="shared" ref="KU502:KU565" si="1462">IF(D502="",0,IFERROR((JM502/KT502-1)/(JD502/BX502)+B502*10^-6,0))</f>
        <v>3.9915055083061977</v>
      </c>
      <c r="KV502" s="568"/>
      <c r="KW502" s="26"/>
      <c r="KX502" s="582"/>
    </row>
    <row r="503" spans="1:310" s="26" customFormat="1" ht="15">
      <c r="A503" s="561">
        <f t="shared" si="1441"/>
        <v>5003</v>
      </c>
      <c r="B503" s="561">
        <f t="shared" ref="B503:B550" si="1463">B502+1</f>
        <v>3</v>
      </c>
      <c r="C503" s="561">
        <f t="shared" ref="C503:C550" si="1464">C502</f>
        <v>5</v>
      </c>
      <c r="D503" s="561" t="s">
        <v>740</v>
      </c>
      <c r="E503" s="475">
        <f>INDEX(Input!$1:$1048576,E$93,$C503*2+MIN($B503,1)+5)+500</f>
        <v>1500</v>
      </c>
      <c r="F503" s="115">
        <f>INDEX(Input!$1:$1048576,F$93,$C503*2+MIN($B503,1)+5)</f>
        <v>0</v>
      </c>
      <c r="G503" s="115">
        <f>INDEX(Input!$1:$1048576,G$93,$C503*2+MIN($B503,1)+5)</f>
        <v>0</v>
      </c>
      <c r="H503" s="115">
        <f>INDEX(Input!$1:$1048576,H$93,$C503*2+MIN($B503,1)+5)</f>
        <v>0</v>
      </c>
      <c r="I503" s="118">
        <f>INDEX(Input!$1:$1048576,I$93,$C503*2+MIN($B503,1)+5)</f>
        <v>0.7</v>
      </c>
      <c r="J503" s="118" t="str">
        <f>INDEX(Input!$1:$1048576,J$93,$C503*2+MIN($B503,1)+5)</f>
        <v>Market</v>
      </c>
      <c r="K503" s="118" t="str">
        <f>INDEX(Input!$1:$1048576,K$93,$C503*2+MIN($B503,1)+5)</f>
        <v>Market</v>
      </c>
      <c r="L503" s="118" t="str">
        <f>INDEX(Input!$1:$1048576,L$93,$C503*2+MIN($B503,1)+5)</f>
        <v>Market</v>
      </c>
      <c r="M503" s="118" t="str">
        <f>INDEX(Input!$1:$1048576,M$93,$C503*2+MIN($B503,1)+5)</f>
        <v>Market</v>
      </c>
      <c r="N503" s="118" t="str">
        <f>INDEX(Input!$1:$1048576,N$93,$C503*2+MIN($B503,1)+5)</f>
        <v>Market</v>
      </c>
      <c r="O503" s="118" t="str">
        <f>INDEX(Input!$1:$1048576,O$93,$C503*2+MIN($B503,1)+5)</f>
        <v>Market</v>
      </c>
      <c r="P503" s="118" t="str">
        <f>INDEX(Input!$1:$1048576,P$93,$C503*2+MIN($B503,1)+5)</f>
        <v>N</v>
      </c>
      <c r="Q503" s="30">
        <f>INDEX(Input!$1:$1048576,Q$93,$C503*2+MIN($B503,1)+5)</f>
        <v>0</v>
      </c>
      <c r="R503" s="383">
        <f>INDEX(Input!$1:$1048576,R$93,$C503*2+MIN($B503,1)+5)</f>
        <v>0</v>
      </c>
      <c r="S503" s="383">
        <f>INDEX(Input!$1:$1048576,S$93,$C503*2+MIN($B503,1)+5)</f>
        <v>0</v>
      </c>
      <c r="T503" s="383">
        <f>INDEX(Input!$1:$1048576,T$93,$C503*2+MIN($B503,1)+5)</f>
        <v>0</v>
      </c>
      <c r="U503" s="383">
        <f>INDEX(Input!$1:$1048576,U$93,$C503*2+MIN($B503,1)+5)</f>
        <v>0</v>
      </c>
      <c r="V503" s="383">
        <f>INDEX(Input!$1:$1048576,V$93,$C503*2+MIN($B503,1)+5)</f>
        <v>1.9E-2</v>
      </c>
      <c r="W503" s="884">
        <f>INDEX(Input!$1:$1048576,W$93,$C503*2+MIN($B503,1)+5)</f>
        <v>3.9E-2</v>
      </c>
      <c r="X503" s="118" t="str">
        <f>INDEX(Input!$1:$1048576,X$93,$C503*2+MIN($B503,1)+5)</f>
        <v>Y</v>
      </c>
      <c r="Y503" s="150">
        <f>INDEX(Input!$1:$1048576,Y$93,$C503*2+MIN($B503,1)+5)</f>
        <v>79.063582607477429</v>
      </c>
      <c r="Z503" s="30">
        <f>INDEX(Input!$1:$1048576,Z$93,$C503*2+MIN($B503,1)+5)</f>
        <v>0</v>
      </c>
      <c r="AA503" s="115">
        <f>INDEX(Input!$1:$1048576,AA$93,$C503*2+MIN($B503,1)+5)</f>
        <v>1000</v>
      </c>
      <c r="AB503" s="118">
        <f>INDEX(Input!$1:$1048576,AB$93,$C503*2+MIN($B503,1)+5)</f>
        <v>0.27</v>
      </c>
      <c r="AC503" s="115">
        <f>INDEX(Input!$1:$1048576,AC$93,$C503*2+MIN($B503,1)+5)</f>
        <v>1000</v>
      </c>
      <c r="AD503" s="118">
        <f>INDEX(Input!$1:$1048576,AD$93,$C503*2+MIN($B503,1)+5)</f>
        <v>0.27</v>
      </c>
      <c r="AE503" s="115">
        <f>INDEX(Input!$1:$1048576,AE$93,$C503*2+MIN($B503,1)+5)</f>
        <v>0</v>
      </c>
      <c r="AF503" s="118">
        <f>INDEX(Input!$1:$1048576,AF$93,$C503*2+MIN($B503,1)+5)</f>
        <v>0.2</v>
      </c>
      <c r="AG503" s="115">
        <f>INDEX(Input!$1:$1048576,AG$93,$C503*2+MIN($B503,1)+5)</f>
        <v>0</v>
      </c>
      <c r="AH503" s="118">
        <f>INDEX(Input!$1:$1048576,AH$93,$C503*2+MIN($B503,1)+5)</f>
        <v>1</v>
      </c>
      <c r="AI503" s="115">
        <f>INDEX(Input!$1:$1048576,AI$93,$C503*2+MIN($B503,1)+5)</f>
        <v>0</v>
      </c>
      <c r="AJ503" s="118">
        <f>INDEX(Input!$1:$1048576,AJ$93,$C503*2+MIN($B503,1)+5)</f>
        <v>0.27</v>
      </c>
      <c r="AK503" s="150">
        <f>ROUND(INDEX(Input!$1:$1048576,AK$93,$C502*2+MIN($B503,1)+5)+(Y503-VLOOKUP($C503*1000+1,$A:$HH,Y$92,FALSE)),0)</f>
        <v>3384</v>
      </c>
      <c r="AL503" s="150">
        <f>ROUND(INDEX(Input!$1:$1048576,AL$93,$C502*2+MIN($B503,1)+5)-(Y503-VLOOKUP($C503*1000+1,$A:$HH,Y$92,FALSE))/36,0)</f>
        <v>3384</v>
      </c>
      <c r="AM503" s="32" t="str">
        <f t="shared" si="1442"/>
        <v>std/std/std/std</v>
      </c>
      <c r="AN503" s="32" t="str">
        <f t="shared" si="1443"/>
        <v>$0 + 0/0/0/1.9/3.9</v>
      </c>
      <c r="AO503" s="32" t="str">
        <f t="shared" si="1444"/>
        <v>0/0/0/1.9/3.9</v>
      </c>
      <c r="AP503" s="32" t="str">
        <f t="shared" si="1396"/>
        <v>0/0.9/1.9/3.9</v>
      </c>
      <c r="AQ503" s="536">
        <f t="shared" si="1394"/>
        <v>270.44566850233105</v>
      </c>
      <c r="AR503" s="32"/>
      <c r="AS503" s="302"/>
      <c r="AT503" s="3">
        <f t="shared" ref="AT503:AT550" si="1465">AT502+1</f>
        <v>3</v>
      </c>
      <c r="AU503" s="41" t="s">
        <v>121</v>
      </c>
      <c r="AV503" s="41" t="s">
        <v>116</v>
      </c>
      <c r="AW503" s="41" t="str">
        <f>INDEX(Input!$1:$1048576,AW$93,$C503*2+6)</f>
        <v>Kia</v>
      </c>
      <c r="AX503" s="41" t="str">
        <f>INDEX(Input!$1:$1048576,AX$93,$C503*2+6)</f>
        <v>Kia-LR - R2</v>
      </c>
      <c r="AY503" s="41" t="str">
        <f>IF(LEN(D503)=0,"",INDEX(Input!$1:$1048576,AY$93,$C503*2+6))</f>
        <v>Compact SUV (52)</v>
      </c>
      <c r="AZ503" s="41" t="str">
        <f>INDEX(Input!$1:$1048576,AZ$93,$C503*2+6)</f>
        <v>Kia Soul</v>
      </c>
      <c r="BA503" s="3">
        <f>INDEX(Input!$1:$1048576,BA$93,$C503*2+6)</f>
        <v>2020</v>
      </c>
      <c r="BB503" s="128">
        <f>INDEX(Input!$1:$1048576,BB$93,$C503*2+6)</f>
        <v>1</v>
      </c>
      <c r="BC503" s="128">
        <f>INDEX(Input!$1:$1048576,BC$93,$C503*2+6)</f>
        <v>0.7</v>
      </c>
      <c r="BD503" s="1">
        <f>INDEX(Input!$1:$1048576,BD$93,$C503*2+6)</f>
        <v>4.4999999999999998E-2</v>
      </c>
      <c r="BE503" s="1">
        <f>INDEX(Input!$1:$1048576,BE$93,$C503*2+6)</f>
        <v>4.4999999999999998E-2</v>
      </c>
      <c r="BF503" s="1">
        <f>INDEX(Input!$1:$1048576,BF$93,$C503*2+6)</f>
        <v>0.05</v>
      </c>
      <c r="BG503" s="1">
        <f>INDEX(Input!$1:$1048576,BG$93,$C503*2+6)</f>
        <v>5.45E-2</v>
      </c>
      <c r="BH503" s="1">
        <f>INDEX(Input!$1:$1048576,BH$93,$C503*2+6)</f>
        <v>5.45E-2</v>
      </c>
      <c r="BI503" s="1">
        <f>INDEX(Input!$1:$1048576,BI$93,$C503*2+6)</f>
        <v>0.05</v>
      </c>
      <c r="BJ503" s="1">
        <f>INDEX(Input!$1:$1048576,BJ$93,$C503*2+6)</f>
        <v>0.05</v>
      </c>
      <c r="BK503" s="1">
        <f>INDEX(Input!$1:$1048576,BK$93,$C503*2+6)</f>
        <v>0.05</v>
      </c>
      <c r="BL503" s="1">
        <f>INDEX(Input!$1:$1048576,BL$93,$C503*2+6)</f>
        <v>5.5E-2</v>
      </c>
      <c r="BM503" s="1">
        <f>INDEX(Input!$1:$1048576,BM$93,$C503*2+6)</f>
        <v>0.06</v>
      </c>
      <c r="BN503" s="1">
        <f>INDEX(Input!$1:$1048576,BN$93,$C503*2+6)</f>
        <v>4.4999999999999998E-2</v>
      </c>
      <c r="BO503" s="1">
        <f>INDEX(Input!$1:$1048576,BO$93,$C503*2+6)</f>
        <v>4.4999999999999998E-2</v>
      </c>
      <c r="BP503" s="1">
        <f>INDEX(Input!$1:$1048576,BP$93,$C503*2+6)</f>
        <v>0.05</v>
      </c>
      <c r="BQ503" s="1">
        <f>INDEX(Input!$1:$1048576,BQ$93,$C503*2+6)</f>
        <v>5.45E-2</v>
      </c>
      <c r="BR503" s="1">
        <f>INDEX(Input!$1:$1048576,BR$93,$C503*2+6)</f>
        <v>5.45E-2</v>
      </c>
      <c r="BS503" s="1">
        <f>INDEX(Input!$1:$1048576,BS$93,$C503*2+6)</f>
        <v>0.05</v>
      </c>
      <c r="BT503" s="1">
        <f>INDEX(Input!$1:$1048576,BT$93,$C503*2+6)</f>
        <v>0.05</v>
      </c>
      <c r="BU503" s="1">
        <f>INDEX(Input!$1:$1048576,BU$93,$C503*2+6)</f>
        <v>0.05</v>
      </c>
      <c r="BV503" s="1">
        <f>INDEX(Input!$1:$1048576,BV$93,$C503*2+6)</f>
        <v>5.5E-2</v>
      </c>
      <c r="BW503" s="1">
        <f>INDEX(Input!$1:$1048576,BW$93,$C503*2+6)</f>
        <v>0.06</v>
      </c>
      <c r="BX503" s="127">
        <f>INDEX(Input!$1:$1048576,BX$93,$C503*2+6)</f>
        <v>19985</v>
      </c>
      <c r="BY503" s="20">
        <f>INDEX(Input!$1:$1048576,BY$93,$C503*2+6)</f>
        <v>0.1</v>
      </c>
      <c r="BZ503" s="20">
        <f>INDEX(Input!$1:$1048576,BZ$93,$C503*2+6)</f>
        <v>0.1</v>
      </c>
      <c r="CA503" s="20">
        <f>INDEX(Input!$1:$1048576,CA$93,$C503*2+6)</f>
        <v>0.1</v>
      </c>
      <c r="CB503" s="20">
        <f>INDEX(Input!$1:$1048576,CB$93,$C503*2+6)</f>
        <v>0.1</v>
      </c>
      <c r="CC503" s="20">
        <f>INDEX(Input!$1:$1048576,CC$93,$C503*2+6)</f>
        <v>0.1</v>
      </c>
      <c r="CD503" s="384">
        <f>INDEX(Input!$1:$1048576,CD$93,$C503*2+6)</f>
        <v>0.1</v>
      </c>
      <c r="CE503" s="384">
        <f>INDEX(Input!$1:$1048576,CE$93,$C503*2+6)</f>
        <v>0.1</v>
      </c>
      <c r="CF503" s="384">
        <f>INDEX(Input!$1:$1048576,CF$93,$C503*2+6)</f>
        <v>0.1</v>
      </c>
      <c r="CG503" s="384">
        <f>INDEX(Input!$1:$1048576,CG$93,$C503*2+6)</f>
        <v>0.1</v>
      </c>
      <c r="CH503" s="384">
        <f>INDEX(Input!$1:$1048576,CH$93,$C503*2+6)</f>
        <v>0.1</v>
      </c>
      <c r="CI503" s="304">
        <f t="shared" si="1397"/>
        <v>1770</v>
      </c>
      <c r="CJ503" s="16" t="str">
        <f>INDEX(Input!$1:$1048576,CJ$93,$C503*2+6)</f>
        <v>N</v>
      </c>
      <c r="CK503" s="1" t="str">
        <f t="shared" si="1398"/>
        <v>Market</v>
      </c>
      <c r="CL503" s="1" t="str">
        <f t="shared" si="1399"/>
        <v>Market</v>
      </c>
      <c r="CM503" s="1" t="str">
        <f t="shared" si="1400"/>
        <v>Market</v>
      </c>
      <c r="CN503" s="1" t="str">
        <f t="shared" si="1401"/>
        <v>Market</v>
      </c>
      <c r="CO503" s="1" t="str">
        <f t="shared" si="1402"/>
        <v>Market</v>
      </c>
      <c r="CP503" s="304">
        <f t="shared" si="1403"/>
        <v>0</v>
      </c>
      <c r="CQ503" s="1">
        <f t="shared" si="1404"/>
        <v>0</v>
      </c>
      <c r="CR503" s="1">
        <f t="shared" si="1405"/>
        <v>0</v>
      </c>
      <c r="CS503" s="1">
        <f t="shared" si="1406"/>
        <v>0</v>
      </c>
      <c r="CT503" s="1">
        <f t="shared" si="1407"/>
        <v>1.9E-2</v>
      </c>
      <c r="CU503" s="1">
        <f t="shared" si="1408"/>
        <v>3.9E-2</v>
      </c>
      <c r="CV503" s="304">
        <f t="shared" si="1409"/>
        <v>349.06358260747743</v>
      </c>
      <c r="CW503" s="20" t="s">
        <v>122</v>
      </c>
      <c r="CX503" s="20" t="s">
        <v>122</v>
      </c>
      <c r="CY503" s="20" t="s">
        <v>122</v>
      </c>
      <c r="CZ503" s="20" t="s">
        <v>122</v>
      </c>
      <c r="DA503" s="20" t="s">
        <v>122</v>
      </c>
      <c r="DB503" s="503">
        <f t="shared" si="1410"/>
        <v>0</v>
      </c>
      <c r="DC503" s="127">
        <v>0</v>
      </c>
      <c r="DD503" s="127">
        <v>0</v>
      </c>
      <c r="DE503" s="127">
        <v>0</v>
      </c>
      <c r="DF503" s="127">
        <v>0</v>
      </c>
      <c r="DG503" s="127">
        <v>0</v>
      </c>
      <c r="DH503" s="127">
        <v>0</v>
      </c>
      <c r="DI503" s="127">
        <v>0</v>
      </c>
      <c r="DJ503" s="127">
        <v>0</v>
      </c>
      <c r="DK503" s="127">
        <v>0</v>
      </c>
      <c r="DL503" s="127">
        <v>0</v>
      </c>
      <c r="DM503" s="304">
        <f>INDEX(Input!$1:$1048576,DM$93,$C503*2+6)</f>
        <v>21036.84210526316</v>
      </c>
      <c r="DN503" s="20">
        <v>0</v>
      </c>
      <c r="DO503" s="20">
        <v>0</v>
      </c>
      <c r="DP503" s="20">
        <v>0</v>
      </c>
      <c r="DQ503" s="20">
        <v>0</v>
      </c>
      <c r="DR503" s="20">
        <v>0</v>
      </c>
      <c r="DS503" s="20">
        <f>INDEX(Input!$1:$1048576,DS$93,$C503*2+6)</f>
        <v>0.6</v>
      </c>
      <c r="DT503" s="20">
        <f>INDEX(Input!$1:$1048576,DT$93,$C503*2+6)</f>
        <v>0.55000000000000004</v>
      </c>
      <c r="DU503" s="20">
        <f>INDEX(Input!$1:$1048576,DU$93,$C503*2+6)</f>
        <v>0.52</v>
      </c>
      <c r="DV503" s="20">
        <f>INDEX(Input!$1:$1048576,DV$93,$C503*2+6)</f>
        <v>0.5</v>
      </c>
      <c r="DW503" s="20">
        <f>INDEX(Input!$1:$1048576,DW$93,$C503*2+6)</f>
        <v>0.45</v>
      </c>
      <c r="DX503" s="20"/>
      <c r="DY503" s="7">
        <v>0.1288972675057978</v>
      </c>
      <c r="DZ503" s="7">
        <v>0</v>
      </c>
      <c r="EA503" s="7">
        <v>0.75629665394463474</v>
      </c>
      <c r="EB503" s="7">
        <v>0</v>
      </c>
      <c r="EC503" s="7">
        <v>0</v>
      </c>
      <c r="ED503" s="7">
        <v>0</v>
      </c>
      <c r="EE503" s="7">
        <v>0</v>
      </c>
      <c r="EF503" s="7">
        <v>0</v>
      </c>
      <c r="EG503" s="7">
        <v>0</v>
      </c>
      <c r="EH503" s="7">
        <v>1.2090177893510159E-2</v>
      </c>
      <c r="EI503" s="7">
        <v>3.3613953026655895E-2</v>
      </c>
      <c r="EJ503" s="7">
        <v>0.29196305401179057</v>
      </c>
      <c r="EK503" s="7">
        <v>0.53728660349151558</v>
      </c>
      <c r="EL503" s="7">
        <v>0.1250462115765277</v>
      </c>
      <c r="EM503" s="7">
        <v>5.9048142333705839E-2</v>
      </c>
      <c r="EN503" s="7">
        <v>5.844598668323811E-2</v>
      </c>
      <c r="EO503" s="7">
        <v>0.71661753571981446</v>
      </c>
      <c r="EP503" s="7">
        <v>8.9992882804110289E-2</v>
      </c>
      <c r="EQ503" s="7">
        <v>8.8607534906548116E-2</v>
      </c>
      <c r="ER503" s="7">
        <v>4.6336059886288715E-2</v>
      </c>
      <c r="ES503" s="7">
        <v>5.575793621586167E-2</v>
      </c>
      <c r="ET503" s="7">
        <v>0.11480607854956747</v>
      </c>
      <c r="EU503" s="6">
        <v>1740</v>
      </c>
      <c r="EV503" s="6">
        <v>0</v>
      </c>
      <c r="EW503" s="6">
        <v>1740</v>
      </c>
      <c r="EX503" s="6">
        <v>0</v>
      </c>
      <c r="EY503" s="6">
        <v>1985.7647635650596</v>
      </c>
      <c r="EZ503" s="6">
        <v>-21.44990394013189</v>
      </c>
      <c r="FA503" s="6">
        <v>0</v>
      </c>
      <c r="FB503" s="6">
        <v>0</v>
      </c>
      <c r="FC503" s="6">
        <v>0</v>
      </c>
      <c r="FD503" s="6">
        <v>0</v>
      </c>
      <c r="FE503" s="6">
        <v>0</v>
      </c>
      <c r="FF503" s="6">
        <v>0</v>
      </c>
      <c r="FG503" s="6">
        <v>0</v>
      </c>
      <c r="FH503" s="6">
        <v>1172.1398200896199</v>
      </c>
      <c r="FI503" s="6">
        <v>1553.9796069512392</v>
      </c>
      <c r="FJ503" s="6">
        <v>2101.2110117447396</v>
      </c>
      <c r="FK503" s="6">
        <v>1772.7139978623234</v>
      </c>
      <c r="FL503" s="6">
        <v>907.07682140966347</v>
      </c>
      <c r="FM503" s="6">
        <v>1745.7647635650596</v>
      </c>
      <c r="FN503" s="6">
        <v>0</v>
      </c>
      <c r="FO503" s="6">
        <v>0</v>
      </c>
      <c r="FP503" s="6">
        <v>0</v>
      </c>
      <c r="FQ503" s="6">
        <v>0</v>
      </c>
      <c r="FR503" s="6">
        <v>0</v>
      </c>
      <c r="FS503" s="6">
        <v>0</v>
      </c>
      <c r="FT503" s="7">
        <v>0.88519392145043252</v>
      </c>
      <c r="FU503" s="7">
        <v>5.9048142333705839E-2</v>
      </c>
      <c r="FV503" s="7">
        <v>5.575793621586167E-2</v>
      </c>
      <c r="FW503" s="6">
        <v>1740</v>
      </c>
      <c r="FX503" s="6">
        <v>1985.7647635650596</v>
      </c>
      <c r="FY503" s="6">
        <v>-21.44990394013189</v>
      </c>
      <c r="FZ503" s="6">
        <v>1758.1538569113241</v>
      </c>
      <c r="GA503" s="6">
        <v>1656.2971413482699</v>
      </c>
      <c r="GB503" s="6">
        <v>18328.70285865173</v>
      </c>
      <c r="GC503" s="7">
        <v>3.064145122680037E-2</v>
      </c>
      <c r="GD503" s="7">
        <v>3.0814605487620543E-2</v>
      </c>
      <c r="GE503" s="7"/>
      <c r="GF503" s="7"/>
      <c r="GG503" s="7">
        <v>5.6509810693536732E-3</v>
      </c>
      <c r="GH503" s="42">
        <v>-1.1087620099150073</v>
      </c>
      <c r="GI503" s="6">
        <v>-16368.310322909958</v>
      </c>
      <c r="GJ503" s="14">
        <v>0.50394797582841722</v>
      </c>
      <c r="GK503" s="14">
        <v>0.5088757306530971</v>
      </c>
      <c r="GL503" s="14">
        <v>0.49605202417158267</v>
      </c>
      <c r="GM503" s="14">
        <v>0.49112426934690229</v>
      </c>
      <c r="GO503" s="5">
        <v>343.14810671672558</v>
      </c>
      <c r="GP503" s="5">
        <v>309.95222615702232</v>
      </c>
      <c r="GQ503" s="5">
        <v>535.04305713031317</v>
      </c>
      <c r="GR503" s="5">
        <v>410.15490233172511</v>
      </c>
      <c r="GS503" s="5">
        <v>339.42744393800166</v>
      </c>
      <c r="GT503" s="5">
        <v>293.4407446948278</v>
      </c>
      <c r="GU503" s="5">
        <v>258.04012322764959</v>
      </c>
      <c r="GV503" s="39" t="s">
        <v>392</v>
      </c>
      <c r="GW503" s="5">
        <v>492.95833333333331</v>
      </c>
      <c r="GX503" s="5">
        <v>369.71875</v>
      </c>
      <c r="GY503" s="5">
        <v>295.77499999999998</v>
      </c>
      <c r="GZ503" s="5">
        <v>260.99022522677262</v>
      </c>
      <c r="HA503" s="5">
        <v>241.7574294051233</v>
      </c>
      <c r="HB503" s="39">
        <v>275.20043726416839</v>
      </c>
      <c r="HC503" s="5">
        <v>288.22280829738071</v>
      </c>
      <c r="HD503" s="5">
        <v>240.44590904675022</v>
      </c>
      <c r="HE503" s="5">
        <v>241.5575517396357</v>
      </c>
      <c r="HF503" s="5">
        <v>221.40478451107165</v>
      </c>
      <c r="HG503" s="5">
        <v>211.0425047377999</v>
      </c>
      <c r="HH503" s="39">
        <v>240.28869198482445</v>
      </c>
      <c r="HI503" s="16"/>
      <c r="HJ503" s="19" t="str">
        <f t="shared" ref="HJ503:HK518" si="1466">HJ502</f>
        <v>On</v>
      </c>
      <c r="HK503" s="1" t="str">
        <f t="shared" si="1466"/>
        <v>On</v>
      </c>
      <c r="HL503" s="16"/>
      <c r="HM503" s="639">
        <f t="shared" si="1413"/>
        <v>2.4909940070666322E-2</v>
      </c>
      <c r="HN503" s="639">
        <f t="shared" si="1414"/>
        <v>2.2052381276269151E-3</v>
      </c>
      <c r="HO503" s="639">
        <f t="shared" si="1415"/>
        <v>2.079866082302006E-3</v>
      </c>
      <c r="HP503" s="644">
        <f>(FT503*$GD503-HM503)/$JF503*INDEX(Input!$1:$1048576,$JG$93,$C503*2+6)</f>
        <v>66.561820896523628</v>
      </c>
      <c r="HQ503" s="644">
        <f>(FU503*$GD503-HN503)/$JF503*INDEX(Input!$1:$1048576,$JG$93,$C503*2+6)</f>
        <v>-10.846151890701718</v>
      </c>
      <c r="HR503" s="644">
        <f>(FV503*$GD503-HO503)/$JF503*INDEX(Input!$1:$1048576,$JG$93,$C503*2+6)</f>
        <v>-10.171646596116526</v>
      </c>
      <c r="HS503" s="644">
        <f t="shared" si="1416"/>
        <v>-24.118964145794223</v>
      </c>
      <c r="HT503" s="644">
        <f t="shared" si="1417"/>
        <v>-2.0331195064283891</v>
      </c>
      <c r="HU503" s="644">
        <f t="shared" si="1418"/>
        <v>2.0343372458632683</v>
      </c>
      <c r="HV503" s="648">
        <f t="shared" si="1419"/>
        <v>0</v>
      </c>
      <c r="HW503" s="648">
        <f t="shared" si="1420"/>
        <v>0</v>
      </c>
      <c r="HX503" s="648">
        <f t="shared" si="1421"/>
        <v>0</v>
      </c>
      <c r="HY503" s="644">
        <f>INDEX(Input!$1:$1048576,HY$93,$C503*2+6)*INDEX(Input!$1:$1048576,$JG$93,$C503*2+6)</f>
        <v>333.00000000000006</v>
      </c>
      <c r="HZ503" s="644">
        <f>INDEX(Input!$1:$1048576,HZ$93,$C503*2+6)*INDEX(Input!$1:$1048576,$JG$93,$C503*2+6)</f>
        <v>429</v>
      </c>
      <c r="IA503" s="644">
        <f>INDEX(Input!$1:$1048576,IA$93,$C503*2+6)*INDEX(Input!$1:$1048576,$JG$93,$C503*2+6)</f>
        <v>59</v>
      </c>
      <c r="IB503" s="644">
        <f t="shared" si="1445"/>
        <v>375.4428567507295</v>
      </c>
      <c r="IC503" s="644">
        <f t="shared" si="1446"/>
        <v>416.12072860286992</v>
      </c>
      <c r="ID503" s="644">
        <f>IF(AND(INDEX(Input!$1:$1048576,IA$93,$C503*2+7)="TOS",Y503&lt;=INDEX(Y:Y,MATCH(C503*1000+2,A:A))),0,1)*MAX(IA503+HR503+HU503+HX503,0%)</f>
        <v>50.862690649746746</v>
      </c>
      <c r="IE503" s="128">
        <f t="shared" ref="IE503:IE504" si="1467">IB503/SUM($IB503:$ID503)</f>
        <v>0.44566850233104349</v>
      </c>
      <c r="IF503" s="128">
        <f t="shared" ref="IF503:IF550" si="1468">IC503/SUM($IB503:$ID503)</f>
        <v>0.49395506818357732</v>
      </c>
      <c r="IG503" s="128">
        <f t="shared" si="1423"/>
        <v>6.037642948537935E-2</v>
      </c>
      <c r="IH503" s="21"/>
      <c r="II503" s="19">
        <f t="shared" si="1424"/>
        <v>1240</v>
      </c>
      <c r="IJ503" s="19">
        <f t="shared" si="1425"/>
        <v>1985.7442651839444</v>
      </c>
      <c r="IK503" s="19">
        <f t="shared" si="1426"/>
        <v>-21.44990394013189</v>
      </c>
      <c r="IL503" s="19">
        <f t="shared" si="1448"/>
        <v>500</v>
      </c>
      <c r="IM503" s="19">
        <f t="shared" si="1427"/>
        <v>2.0498381115203301E-2</v>
      </c>
      <c r="IN503" s="19">
        <f t="shared" si="1428"/>
        <v>0</v>
      </c>
      <c r="IO503" s="39">
        <f t="shared" si="1429"/>
        <v>0</v>
      </c>
      <c r="IP503" s="39">
        <f t="shared" si="1430"/>
        <v>0</v>
      </c>
      <c r="IQ503" s="39">
        <f t="shared" si="1431"/>
        <v>0</v>
      </c>
      <c r="IR503" s="39">
        <v>0</v>
      </c>
      <c r="IS503" s="39">
        <v>0</v>
      </c>
      <c r="IT503" s="39">
        <v>0</v>
      </c>
      <c r="IU503" s="39">
        <v>0</v>
      </c>
      <c r="IV503" s="39">
        <v>0</v>
      </c>
      <c r="IW503" s="39">
        <v>0</v>
      </c>
      <c r="IX503" s="39">
        <f>INDEX(Input!$1:$1048576,IX$93,$C503*2+6)+INDEX(Input!$1:$1048576,IX$94,$C503*2+6)</f>
        <v>1270</v>
      </c>
      <c r="IY503" s="39">
        <f>INDEX(Input!$1:$1048576,IY$93,$C503*2+6)+INDEX(Input!$1:$1048576,IY$94,$C503*2+6)</f>
        <v>2130.0624533823611</v>
      </c>
      <c r="IZ503" s="39">
        <f>INDEX(Input!$1:$1048576,IZ$93,$C503*2+6)+INDEX(Input!$1:$1048576,IZ$94,$C503*2+6)</f>
        <v>3653.7164157747857</v>
      </c>
      <c r="JA503" s="19">
        <f t="shared" si="1449"/>
        <v>1770</v>
      </c>
      <c r="JB503" s="19">
        <f t="shared" si="1450"/>
        <v>2130.0829517634766</v>
      </c>
      <c r="JC503" s="19">
        <f t="shared" si="1451"/>
        <v>3653.7164157747857</v>
      </c>
      <c r="JD503" s="19">
        <f t="shared" si="1452"/>
        <v>2061.5968703375497</v>
      </c>
      <c r="JE503" s="21"/>
      <c r="JF503" s="1">
        <f t="shared" si="1432"/>
        <v>2.9195044280595241E-2</v>
      </c>
      <c r="JG503" s="15">
        <f>INDEX(Input!$1:$1048576,JG$93,$C503*2+6)/(1+VLOOKUP(C503*1000+INDEX(Input!$1:$1048576,JG$93+1,$C503*2+6),$A:$KK,$JK$92,FALSE))</f>
        <v>821</v>
      </c>
      <c r="JH503" s="1">
        <f t="shared" si="1453"/>
        <v>5.5473839719494988E-2</v>
      </c>
      <c r="JI503" s="1">
        <f t="shared" si="1454"/>
        <v>-2.93760613962964E-2</v>
      </c>
      <c r="JJ503" s="1">
        <f t="shared" si="1455"/>
        <v>0</v>
      </c>
      <c r="JK503" s="1">
        <f t="shared" si="1456"/>
        <v>2.6097778323198588E-2</v>
      </c>
      <c r="JL503" s="15">
        <f t="shared" si="1457"/>
        <v>21.42627600334604</v>
      </c>
      <c r="JM503" s="15">
        <f t="shared" si="1458"/>
        <v>842.42627600334606</v>
      </c>
      <c r="JN503" s="21"/>
      <c r="JO503" s="19">
        <f>INDEX(Input!$1:$1048576,JO$93,$C503*2+6)</f>
        <v>5995.5</v>
      </c>
      <c r="JP503" s="19">
        <f>INDEX(Input!$1:$1048576,JP$93,$C503*2+6)</f>
        <v>1890.7138380411029</v>
      </c>
      <c r="JQ503" s="39">
        <f t="shared" ref="JQ503:JQ550" si="1469">JO503-JD503</f>
        <v>3933.9031296624503</v>
      </c>
      <c r="JR503" s="39">
        <f t="shared" ref="JR503:JR505" si="1470">JD503-JP503</f>
        <v>170.8830322964468</v>
      </c>
      <c r="JS503" s="39">
        <f t="shared" ref="JS503:JS550" si="1471">JM503*JD503/1000000</f>
        <v>1.7367433740986151</v>
      </c>
      <c r="JT503" s="39">
        <f t="shared" si="1459"/>
        <v>0.1844673130668695</v>
      </c>
      <c r="JU503" s="385">
        <f>(JQ503*JM503-INDEX(Input!$1:$1048576,Input!A$18,$C503*2+6)*JL503*INDEX(Input!$1:$1048576,Input!A$19,$C503*2+6))/1000000</f>
        <v>3.3140233636794463</v>
      </c>
      <c r="JV503" s="39">
        <f t="shared" si="1435"/>
        <v>-5.6006075288808077E-2</v>
      </c>
      <c r="JW503" s="1">
        <f>JV503/(JU503-JV503)</f>
        <v>-1.6618868263048325E-2</v>
      </c>
      <c r="JX503" s="19">
        <f>IF(JL503=0,0,JT503/JL503)*1000000</f>
        <v>8609.3968470331529</v>
      </c>
      <c r="JZ503" s="468">
        <f>(HY503+HP503)/SUM(HP503:HR503,HY503:IA503)*IL503</f>
        <v>230.54906073058643</v>
      </c>
      <c r="KA503" s="469">
        <f>JH503/(JZ503/BX503)</f>
        <v>4.8087148274685028</v>
      </c>
      <c r="KB503" s="469">
        <f t="shared" ref="KB503:KB550" si="1472">KB502</f>
        <v>2.5122967434604799</v>
      </c>
      <c r="KC503" s="469">
        <f>MIN(AVERAGE(KB503*0.8,VLOOKUP(AZ501,Lookup!$B:$E,4,FALSE)*0.8),$KC$97)</f>
        <v>1.9949186973841919</v>
      </c>
      <c r="KD503" s="469">
        <f>AVERAGE(KB503,VLOOKUP(AZ501,Lookup!$B:$E,4,FALSE))</f>
        <v>2.4936483717302398</v>
      </c>
      <c r="KE503" s="469">
        <f>MIN(MAX(KA503,KC503),KD503)</f>
        <v>2.4936483717302398</v>
      </c>
      <c r="KF503" s="470">
        <f>A503</f>
        <v>5003</v>
      </c>
      <c r="KG503" s="471">
        <f>(JH503/KA503*KE503-JH503)/MAX(IL503:IN503)*1000</f>
        <v>-5.3413699964908107E-2</v>
      </c>
      <c r="KH503" s="472"/>
      <c r="KI503" s="473">
        <f t="shared" ref="KI503:KI514" si="1473">$JM503*IE503-$JG503*HY503/SUM($HY503:$IA503)</f>
        <v>42.442856750729447</v>
      </c>
      <c r="KJ503" s="473">
        <f t="shared" si="1460"/>
        <v>-12.879271397130083</v>
      </c>
      <c r="KK503" s="473">
        <f t="shared" si="1461"/>
        <v>-8.1373093502532541</v>
      </c>
      <c r="KL503" s="472" t="str">
        <f>IF(OR(KJ503&gt;0,KK503&gt;0),"Error - Adjust TR","ok")</f>
        <v>ok</v>
      </c>
      <c r="KN503" s="544">
        <f>KM503+(KN502-KM502)</f>
        <v>5002</v>
      </c>
      <c r="KO503" s="541">
        <f t="shared" si="1436"/>
        <v>2.1936820963428971E-2</v>
      </c>
      <c r="KP503" s="546">
        <f t="shared" si="1437"/>
        <v>193.74929531334797</v>
      </c>
      <c r="KQ503" s="546">
        <f t="shared" si="1438"/>
        <v>142.67810461428326</v>
      </c>
      <c r="KR503" s="548">
        <f t="shared" si="1439"/>
        <v>2.0454907405270415</v>
      </c>
      <c r="KS503" s="548">
        <f t="shared" si="1440"/>
        <v>2.7776678882753987</v>
      </c>
      <c r="KT503" s="473">
        <f t="shared" ref="KT503:KT550" si="1474">KT502</f>
        <v>595.94378802984284</v>
      </c>
      <c r="KU503" s="663">
        <f t="shared" si="1462"/>
        <v>4.0094195457003323</v>
      </c>
      <c r="KV503" s="117"/>
    </row>
    <row r="504" spans="1:310" s="26" customFormat="1" ht="15">
      <c r="A504" s="561">
        <f t="shared" si="1441"/>
        <v>5004</v>
      </c>
      <c r="B504" s="561">
        <f t="shared" si="1463"/>
        <v>4</v>
      </c>
      <c r="C504" s="561">
        <f t="shared" si="1464"/>
        <v>5</v>
      </c>
      <c r="D504" s="561" t="s">
        <v>741</v>
      </c>
      <c r="E504" s="115">
        <f>INDEX(Input!$1:$1048576,E$93,$C504*2+MIN($B504,1)+5)</f>
        <v>1000</v>
      </c>
      <c r="F504" s="115">
        <f>INDEX(Input!$1:$1048576,F$93,$C504*2+MIN($B504,1)+5)</f>
        <v>0</v>
      </c>
      <c r="G504" s="115">
        <f>INDEX(Input!$1:$1048576,G$93,$C504*2+MIN($B504,1)+5)</f>
        <v>0</v>
      </c>
      <c r="H504" s="115">
        <f>INDEX(Input!$1:$1048576,H$93,$C504*2+MIN($B504,1)+5)</f>
        <v>0</v>
      </c>
      <c r="I504" s="118">
        <f>INDEX(Input!$1:$1048576,I$93,$C504*2+MIN($B504,1)+5)</f>
        <v>0.7</v>
      </c>
      <c r="J504" s="478">
        <f>IF(INDEX(Input!$1:$1048576,J$93,$C504*2+MIN($B504,1)+5)="Market",BD502-1%,MAX(INDEX(Input!$1:$1048576,J$93,$C504*2+MIN($B504,1)+5)-1%,0))</f>
        <v>3.4999999999999996E-2</v>
      </c>
      <c r="K504" s="478">
        <f>IF(INDEX(Input!$1:$1048576,K$93,$C504*2+MIN($B504,1)+5)="Market",BE502-1%,MAX(INDEX(Input!$1:$1048576,K$93,$C504*2+MIN($B504,1)+5)-1%,0))</f>
        <v>3.4999999999999996E-2</v>
      </c>
      <c r="L504" s="478">
        <f>IF(INDEX(Input!$1:$1048576,L$93,$C504*2+MIN($B504,1)+5)="Market",BF502-1%,MAX(INDEX(Input!$1:$1048576,L$93,$C504*2+MIN($B504,1)+5)-1%,0))</f>
        <v>0.04</v>
      </c>
      <c r="M504" s="478">
        <f>IF(INDEX(Input!$1:$1048576,M$93,$C504*2+MIN($B504,1)+5)="Market",BG502-1%,MAX(INDEX(Input!$1:$1048576,M$93,$C504*2+MIN($B504,1)+5)-1%,0))</f>
        <v>4.4499999999999998E-2</v>
      </c>
      <c r="N504" s="478">
        <f>IF(INDEX(Input!$1:$1048576,N$93,$C504*2+MIN($B504,1)+5)="Market",BH502-1%,MAX(INDEX(Input!$1:$1048576,N$93,$C504*2+6)-IF(INDEX(Input!$1:$1048576,M$93,$C504*2+MIN($B504,1)+5)=0,0,1%),0))</f>
        <v>4.4499999999999998E-2</v>
      </c>
      <c r="O504" s="476" t="str">
        <f>INDEX(Input!$1:$1048576,O$93,$C504*2+MIN($B504,1)+5)</f>
        <v>Market</v>
      </c>
      <c r="P504" s="476" t="str">
        <f>INDEX(Input!$1:$1048576,P$93,$C504*2+MIN($B504,1)+5)</f>
        <v>N</v>
      </c>
      <c r="Q504" s="477">
        <f>INDEX(Input!$1:$1048576,Q$93,$C504*2+MIN($B504,1)+5)+IF(U502&gt;1.8%,0,500)</f>
        <v>500</v>
      </c>
      <c r="R504" s="478">
        <f>IF(INDEX(Input!$1:$1048576,R$93,$C504*2+MIN($B504,1)+5)="Market",BD502-1%,MAX(INDEX(Input!$1:$1048576,R$93,$C504*2+MIN($B504,1)+5)-1%,0))</f>
        <v>0</v>
      </c>
      <c r="S504" s="478">
        <f>IF(INDEX(Input!$1:$1048576,S$93,$C504*2+MIN($B504,1)+5)="Market",BE502-1%,MAX(INDEX(Input!$1:$1048576,S$93,$C504*2+MIN($B504,1)+5)-1%,0))</f>
        <v>0</v>
      </c>
      <c r="T504" s="478">
        <f>IF(INDEX(Input!$1:$1048576,T$93,$C504*2+MIN($B504,1)+5)="Market",BF502-1%,MAX(INDEX(Input!$1:$1048576,T$93,$C504*2+MIN($B504,1)+5)-1%,0))</f>
        <v>0</v>
      </c>
      <c r="U504" s="478">
        <f>IF(INDEX(Input!$1:$1048576,U$93,$C504*2+MIN($B504,1)+5)="Market",BG502-1%,MAX(INDEX(Input!$1:$1048576,U$93,$C504*2+MIN($B504,1)+5)-1%,0))</f>
        <v>0</v>
      </c>
      <c r="V504" s="478">
        <f>IF(INDEX(Input!$1:$1048576,V$93,$C504*2+MIN($B504,1)+5)="Market",BH502-1%,MAX(INDEX(Input!$1:$1048576,V$93,$C504*2+MIN($B504,1)+5)-IF(INDEX(Input!$1:$1048576,U$93,$C504*2+MIN($B504,1)+5)=0,0,1%),0))</f>
        <v>1.9E-2</v>
      </c>
      <c r="W504" s="885">
        <f>INDEX(Input!$1:$1048576,W$93,$C504*2+MIN($B504,1)+5)</f>
        <v>3.9E-2</v>
      </c>
      <c r="X504" s="476" t="str">
        <f>INDEX(Input!$1:$1048576,X$93,$C504*2+MIN($B504,1)+5)</f>
        <v>Y</v>
      </c>
      <c r="Y504" s="150">
        <f>INDEX(Input!$1:$1048576,Y$93,$C504*2+MIN($B504,1)+5)</f>
        <v>79.063582607477429</v>
      </c>
      <c r="Z504" s="30">
        <f>INDEX(Input!$1:$1048576,Z$93,$C504*2+MIN($B504,1)+5)</f>
        <v>0</v>
      </c>
      <c r="AA504" s="115">
        <f>INDEX(Input!$1:$1048576,AA$93,$C504*2+MIN($B504,1)+5)</f>
        <v>1000</v>
      </c>
      <c r="AB504" s="118">
        <f>INDEX(Input!$1:$1048576,AB$93,$C504*2+MIN($B504,1)+5)</f>
        <v>0.27</v>
      </c>
      <c r="AC504" s="115">
        <f>INDEX(Input!$1:$1048576,AC$93,$C504*2+MIN($B504,1)+5)</f>
        <v>1000</v>
      </c>
      <c r="AD504" s="118">
        <f>INDEX(Input!$1:$1048576,AD$93,$C504*2+MIN($B504,1)+5)</f>
        <v>0.27</v>
      </c>
      <c r="AE504" s="115">
        <f>INDEX(Input!$1:$1048576,AE$93,$C504*2+MIN($B504,1)+5)</f>
        <v>0</v>
      </c>
      <c r="AF504" s="118">
        <f>INDEX(Input!$1:$1048576,AF$93,$C504*2+MIN($B504,1)+5)</f>
        <v>0.2</v>
      </c>
      <c r="AG504" s="115">
        <f>INDEX(Input!$1:$1048576,AG$93,$C504*2+MIN($B504,1)+5)</f>
        <v>0</v>
      </c>
      <c r="AH504" s="118">
        <f>INDEX(Input!$1:$1048576,AH$93,$C504*2+MIN($B504,1)+5)</f>
        <v>1</v>
      </c>
      <c r="AI504" s="115">
        <f>INDEX(Input!$1:$1048576,AI$93,$C504*2+MIN($B504,1)+5)</f>
        <v>0</v>
      </c>
      <c r="AJ504" s="118">
        <f>INDEX(Input!$1:$1048576,AJ$93,$C504*2+MIN($B504,1)+5)</f>
        <v>0.27</v>
      </c>
      <c r="AK504" s="150">
        <f>ROUND(INDEX(Input!$1:$1048576,AK$93,$C503*2+MIN($B504,1)+5)+(Y504-VLOOKUP($C504*1000+1,$A:$HH,Y$92,FALSE)),0)</f>
        <v>3384</v>
      </c>
      <c r="AL504" s="150">
        <f>ROUND(INDEX(Input!$1:$1048576,AL$93,$C503*2+MIN($B504,1)+5)-(Y504-VLOOKUP($C504*1000+1,$A:$HH,Y$92,FALSE))/36,0)</f>
        <v>3384</v>
      </c>
      <c r="AM504" s="32" t="str">
        <f t="shared" si="1442"/>
        <v>3.5/4/4.5/4.5</v>
      </c>
      <c r="AN504" s="32" t="str">
        <f t="shared" si="1443"/>
        <v>$500 + 0/0/0/1.9/3.9</v>
      </c>
      <c r="AO504" s="32" t="str">
        <f t="shared" si="1444"/>
        <v>0/0/0/1.9/3.9</v>
      </c>
      <c r="AP504" s="32" t="str">
        <f t="shared" si="1396"/>
        <v>0/0.9/1.9/3.9</v>
      </c>
      <c r="AQ504" s="536">
        <f t="shared" si="1394"/>
        <v>270.37378815483936</v>
      </c>
      <c r="AR504" s="32"/>
      <c r="AS504" s="302"/>
      <c r="AT504" s="3">
        <f t="shared" si="1465"/>
        <v>4</v>
      </c>
      <c r="AU504" s="41" t="s">
        <v>121</v>
      </c>
      <c r="AV504" s="41" t="s">
        <v>116</v>
      </c>
      <c r="AW504" s="41" t="str">
        <f>INDEX(Input!$1:$1048576,AW$93,$C504*2+6)</f>
        <v>Kia</v>
      </c>
      <c r="AX504" s="41" t="str">
        <f>INDEX(Input!$1:$1048576,AX$93,$C504*2+6)</f>
        <v>Kia-LR - R2</v>
      </c>
      <c r="AY504" s="41" t="str">
        <f>IF(LEN(D504)=0,"",INDEX(Input!$1:$1048576,AY$93,$C504*2+6))</f>
        <v>Compact SUV (52)</v>
      </c>
      <c r="AZ504" s="41" t="str">
        <f>INDEX(Input!$1:$1048576,AZ$93,$C504*2+6)</f>
        <v>Kia Soul</v>
      </c>
      <c r="BA504" s="3">
        <f>INDEX(Input!$1:$1048576,BA$93,$C504*2+6)</f>
        <v>2020</v>
      </c>
      <c r="BB504" s="128">
        <f>INDEX(Input!$1:$1048576,BB$93,$C504*2+6)</f>
        <v>1</v>
      </c>
      <c r="BC504" s="128">
        <f>INDEX(Input!$1:$1048576,BC$93,$C504*2+6)</f>
        <v>0.7</v>
      </c>
      <c r="BD504" s="1">
        <f>INDEX(Input!$1:$1048576,BD$93,$C504*2+6)</f>
        <v>4.4999999999999998E-2</v>
      </c>
      <c r="BE504" s="1">
        <f>INDEX(Input!$1:$1048576,BE$93,$C504*2+6)</f>
        <v>4.4999999999999998E-2</v>
      </c>
      <c r="BF504" s="1">
        <f>INDEX(Input!$1:$1048576,BF$93,$C504*2+6)</f>
        <v>0.05</v>
      </c>
      <c r="BG504" s="1">
        <f>INDEX(Input!$1:$1048576,BG$93,$C504*2+6)</f>
        <v>5.45E-2</v>
      </c>
      <c r="BH504" s="1">
        <f>INDEX(Input!$1:$1048576,BH$93,$C504*2+6)</f>
        <v>5.45E-2</v>
      </c>
      <c r="BI504" s="1">
        <f>INDEX(Input!$1:$1048576,BI$93,$C504*2+6)</f>
        <v>0.05</v>
      </c>
      <c r="BJ504" s="1">
        <f>INDEX(Input!$1:$1048576,BJ$93,$C504*2+6)</f>
        <v>0.05</v>
      </c>
      <c r="BK504" s="1">
        <f>INDEX(Input!$1:$1048576,BK$93,$C504*2+6)</f>
        <v>0.05</v>
      </c>
      <c r="BL504" s="1">
        <f>INDEX(Input!$1:$1048576,BL$93,$C504*2+6)</f>
        <v>5.5E-2</v>
      </c>
      <c r="BM504" s="1">
        <f>INDEX(Input!$1:$1048576,BM$93,$C504*2+6)</f>
        <v>0.06</v>
      </c>
      <c r="BN504" s="1">
        <f>INDEX(Input!$1:$1048576,BN$93,$C504*2+6)</f>
        <v>4.4999999999999998E-2</v>
      </c>
      <c r="BO504" s="1">
        <f>INDEX(Input!$1:$1048576,BO$93,$C504*2+6)</f>
        <v>4.4999999999999998E-2</v>
      </c>
      <c r="BP504" s="1">
        <f>INDEX(Input!$1:$1048576,BP$93,$C504*2+6)</f>
        <v>0.05</v>
      </c>
      <c r="BQ504" s="1">
        <f>INDEX(Input!$1:$1048576,BQ$93,$C504*2+6)</f>
        <v>5.45E-2</v>
      </c>
      <c r="BR504" s="1">
        <f>INDEX(Input!$1:$1048576,BR$93,$C504*2+6)</f>
        <v>5.45E-2</v>
      </c>
      <c r="BS504" s="1">
        <f>INDEX(Input!$1:$1048576,BS$93,$C504*2+6)</f>
        <v>0.05</v>
      </c>
      <c r="BT504" s="1">
        <f>INDEX(Input!$1:$1048576,BT$93,$C504*2+6)</f>
        <v>0.05</v>
      </c>
      <c r="BU504" s="1">
        <f>INDEX(Input!$1:$1048576,BU$93,$C504*2+6)</f>
        <v>0.05</v>
      </c>
      <c r="BV504" s="1">
        <f>INDEX(Input!$1:$1048576,BV$93,$C504*2+6)</f>
        <v>5.5E-2</v>
      </c>
      <c r="BW504" s="1">
        <f>INDEX(Input!$1:$1048576,BW$93,$C504*2+6)</f>
        <v>0.06</v>
      </c>
      <c r="BX504" s="127">
        <f>INDEX(Input!$1:$1048576,BX$93,$C504*2+6)</f>
        <v>19985</v>
      </c>
      <c r="BY504" s="20">
        <f>INDEX(Input!$1:$1048576,BY$93,$C504*2+6)</f>
        <v>0.1</v>
      </c>
      <c r="BZ504" s="20">
        <f>INDEX(Input!$1:$1048576,BZ$93,$C504*2+6)</f>
        <v>0.1</v>
      </c>
      <c r="CA504" s="20">
        <f>INDEX(Input!$1:$1048576,CA$93,$C504*2+6)</f>
        <v>0.1</v>
      </c>
      <c r="CB504" s="20">
        <f>INDEX(Input!$1:$1048576,CB$93,$C504*2+6)</f>
        <v>0.1</v>
      </c>
      <c r="CC504" s="20">
        <f>INDEX(Input!$1:$1048576,CC$93,$C504*2+6)</f>
        <v>0.1</v>
      </c>
      <c r="CD504" s="384">
        <f>INDEX(Input!$1:$1048576,CD$93,$C504*2+6)</f>
        <v>0.1</v>
      </c>
      <c r="CE504" s="384">
        <f>INDEX(Input!$1:$1048576,CE$93,$C504*2+6)</f>
        <v>0.1</v>
      </c>
      <c r="CF504" s="384">
        <f>INDEX(Input!$1:$1048576,CF$93,$C504*2+6)</f>
        <v>0.1</v>
      </c>
      <c r="CG504" s="384">
        <f>INDEX(Input!$1:$1048576,CG$93,$C504*2+6)</f>
        <v>0.1</v>
      </c>
      <c r="CH504" s="384">
        <f>INDEX(Input!$1:$1048576,CH$93,$C504*2+6)</f>
        <v>0.1</v>
      </c>
      <c r="CI504" s="304">
        <f t="shared" si="1397"/>
        <v>1270</v>
      </c>
      <c r="CJ504" s="16" t="str">
        <f>INDEX(Input!$1:$1048576,CJ$93,$C504*2+6)</f>
        <v>N</v>
      </c>
      <c r="CK504" s="1">
        <f t="shared" si="1398"/>
        <v>3.4999999999999996E-2</v>
      </c>
      <c r="CL504" s="1">
        <f t="shared" si="1399"/>
        <v>0.04</v>
      </c>
      <c r="CM504" s="1">
        <f t="shared" si="1400"/>
        <v>4.4499999999999998E-2</v>
      </c>
      <c r="CN504" s="1">
        <f t="shared" si="1401"/>
        <v>4.4499999999999998E-2</v>
      </c>
      <c r="CO504" s="1" t="str">
        <f t="shared" si="1402"/>
        <v>Market</v>
      </c>
      <c r="CP504" s="304">
        <f t="shared" si="1403"/>
        <v>500</v>
      </c>
      <c r="CQ504" s="1">
        <f t="shared" si="1404"/>
        <v>0</v>
      </c>
      <c r="CR504" s="1">
        <f t="shared" si="1405"/>
        <v>0</v>
      </c>
      <c r="CS504" s="1">
        <f t="shared" si="1406"/>
        <v>0</v>
      </c>
      <c r="CT504" s="1">
        <f t="shared" si="1407"/>
        <v>1.9E-2</v>
      </c>
      <c r="CU504" s="1">
        <f t="shared" si="1408"/>
        <v>3.9E-2</v>
      </c>
      <c r="CV504" s="304">
        <f t="shared" si="1409"/>
        <v>349.06358260747743</v>
      </c>
      <c r="CW504" s="20" t="s">
        <v>122</v>
      </c>
      <c r="CX504" s="20" t="s">
        <v>122</v>
      </c>
      <c r="CY504" s="20" t="s">
        <v>122</v>
      </c>
      <c r="CZ504" s="20" t="s">
        <v>122</v>
      </c>
      <c r="DA504" s="20" t="s">
        <v>122</v>
      </c>
      <c r="DB504" s="503">
        <f t="shared" si="1410"/>
        <v>0</v>
      </c>
      <c r="DC504" s="127">
        <v>0</v>
      </c>
      <c r="DD504" s="127">
        <v>0</v>
      </c>
      <c r="DE504" s="127">
        <v>0</v>
      </c>
      <c r="DF504" s="127">
        <v>0</v>
      </c>
      <c r="DG504" s="127">
        <v>0</v>
      </c>
      <c r="DH504" s="127">
        <v>0</v>
      </c>
      <c r="DI504" s="127">
        <v>0</v>
      </c>
      <c r="DJ504" s="127">
        <v>0</v>
      </c>
      <c r="DK504" s="127">
        <v>0</v>
      </c>
      <c r="DL504" s="127">
        <v>0</v>
      </c>
      <c r="DM504" s="304">
        <f>INDEX(Input!$1:$1048576,DM$93,$C504*2+6)</f>
        <v>21036.84210526316</v>
      </c>
      <c r="DN504" s="20">
        <v>0</v>
      </c>
      <c r="DO504" s="20">
        <v>0</v>
      </c>
      <c r="DP504" s="20">
        <v>0</v>
      </c>
      <c r="DQ504" s="20">
        <v>0</v>
      </c>
      <c r="DR504" s="20">
        <v>0</v>
      </c>
      <c r="DS504" s="20">
        <f>INDEX(Input!$1:$1048576,DS$93,$C504*2+6)</f>
        <v>0.6</v>
      </c>
      <c r="DT504" s="20">
        <f>INDEX(Input!$1:$1048576,DT$93,$C504*2+6)</f>
        <v>0.55000000000000004</v>
      </c>
      <c r="DU504" s="20">
        <f>INDEX(Input!$1:$1048576,DU$93,$C504*2+6)</f>
        <v>0.52</v>
      </c>
      <c r="DV504" s="20">
        <f>INDEX(Input!$1:$1048576,DV$93,$C504*2+6)</f>
        <v>0.5</v>
      </c>
      <c r="DW504" s="20">
        <f>INDEX(Input!$1:$1048576,DW$93,$C504*2+6)</f>
        <v>0.45</v>
      </c>
      <c r="DX504" s="20"/>
      <c r="DY504" s="7">
        <v>0.11628573494557988</v>
      </c>
      <c r="DZ504" s="7">
        <v>0</v>
      </c>
      <c r="EA504" s="7">
        <v>0.7167127427282064</v>
      </c>
      <c r="EB504" s="7">
        <v>0</v>
      </c>
      <c r="EC504" s="7">
        <v>0</v>
      </c>
      <c r="ED504" s="7">
        <v>0</v>
      </c>
      <c r="EE504" s="7">
        <v>0</v>
      </c>
      <c r="EF504" s="7">
        <v>0</v>
      </c>
      <c r="EG504" s="7">
        <v>0</v>
      </c>
      <c r="EH504" s="7">
        <v>1.2088084197953486E-2</v>
      </c>
      <c r="EI504" s="7">
        <v>3.3604602612777437E-2</v>
      </c>
      <c r="EJ504" s="7">
        <v>0.29191729026353969</v>
      </c>
      <c r="EK504" s="7">
        <v>0.5373426882572363</v>
      </c>
      <c r="EL504" s="7">
        <v>0.12504733466849302</v>
      </c>
      <c r="EM504" s="7">
        <v>9.7255021387280607E-2</v>
      </c>
      <c r="EN504" s="7">
        <v>5.84201860715634E-2</v>
      </c>
      <c r="EO504" s="7">
        <v>0.71657476772859696</v>
      </c>
      <c r="EP504" s="7">
        <v>9.0022506606539376E-2</v>
      </c>
      <c r="EQ504" s="7">
        <v>8.8636708305765907E-2</v>
      </c>
      <c r="ER504" s="7">
        <v>4.6345831287534327E-2</v>
      </c>
      <c r="ES504" s="7">
        <v>6.974650093893317E-2</v>
      </c>
      <c r="ET504" s="7">
        <v>0.16700152232621374</v>
      </c>
      <c r="EU504" s="6">
        <v>1240</v>
      </c>
      <c r="EV504" s="6">
        <v>0</v>
      </c>
      <c r="EW504" s="6">
        <v>1240</v>
      </c>
      <c r="EX504" s="6">
        <v>0</v>
      </c>
      <c r="EY504" s="6">
        <v>2485.7520017156448</v>
      </c>
      <c r="EZ504" s="6">
        <v>-21.44990394013189</v>
      </c>
      <c r="FA504" s="6">
        <v>0</v>
      </c>
      <c r="FB504" s="6">
        <v>0</v>
      </c>
      <c r="FC504" s="6">
        <v>0</v>
      </c>
      <c r="FD504" s="6">
        <v>0</v>
      </c>
      <c r="FE504" s="6">
        <v>0</v>
      </c>
      <c r="FF504" s="6">
        <v>0</v>
      </c>
      <c r="FG504" s="6">
        <v>0</v>
      </c>
      <c r="FH504" s="6">
        <v>1172.1349325339631</v>
      </c>
      <c r="FI504" s="6">
        <v>1553.9796069512402</v>
      </c>
      <c r="FJ504" s="6">
        <v>2101.2110117447414</v>
      </c>
      <c r="FK504" s="6">
        <v>1772.713997862322</v>
      </c>
      <c r="FL504" s="6">
        <v>907.07682140966324</v>
      </c>
      <c r="FM504" s="6">
        <v>1745.7520017156448</v>
      </c>
      <c r="FN504" s="6">
        <v>0</v>
      </c>
      <c r="FO504" s="6">
        <v>0</v>
      </c>
      <c r="FP504" s="6">
        <v>0</v>
      </c>
      <c r="FQ504" s="6">
        <v>0</v>
      </c>
      <c r="FR504" s="6">
        <v>0</v>
      </c>
      <c r="FS504" s="6">
        <v>0</v>
      </c>
      <c r="FT504" s="7">
        <v>0.83299847767378632</v>
      </c>
      <c r="FU504" s="7">
        <v>9.7255021387280607E-2</v>
      </c>
      <c r="FV504" s="7">
        <v>6.974650093893317E-2</v>
      </c>
      <c r="FW504" s="6">
        <v>1239.9999999999998</v>
      </c>
      <c r="FX504" s="6">
        <v>2485.7520017156448</v>
      </c>
      <c r="FY504" s="6">
        <v>-21.44990394013189</v>
      </c>
      <c r="FZ504" s="6">
        <v>1758.1538569113241</v>
      </c>
      <c r="GA504" s="6">
        <v>1273.173920660525</v>
      </c>
      <c r="GB504" s="6">
        <v>18711.826079339477</v>
      </c>
      <c r="GC504" s="7">
        <v>3.064145122680037E-2</v>
      </c>
      <c r="GD504" s="7">
        <v>2.9327463348813206E-2</v>
      </c>
      <c r="GE504" s="7"/>
      <c r="GF504" s="7"/>
      <c r="GG504" s="7">
        <v>-4.2882690779276561E-2</v>
      </c>
      <c r="GH504" s="42">
        <v>1.7671052164530241</v>
      </c>
      <c r="GI504" s="6">
        <v>12582.630660375418</v>
      </c>
      <c r="GJ504" s="14">
        <v>0.50394797582841766</v>
      </c>
      <c r="GK504" s="14">
        <v>0.50887573065309777</v>
      </c>
      <c r="GL504" s="14">
        <v>0.49605202417158312</v>
      </c>
      <c r="GM504" s="14">
        <v>0.49112426934690295</v>
      </c>
      <c r="GO504" s="5">
        <v>343.14810671672558</v>
      </c>
      <c r="GP504" s="5">
        <v>319.49127229486811</v>
      </c>
      <c r="GQ504" s="5">
        <v>527.04185700808205</v>
      </c>
      <c r="GR504" s="5">
        <v>406.11816631274644</v>
      </c>
      <c r="GS504" s="5">
        <v>334.91388563620632</v>
      </c>
      <c r="GT504" s="5">
        <v>285.1049551080626</v>
      </c>
      <c r="GU504" s="5">
        <v>258.04012322764959</v>
      </c>
      <c r="GV504" s="39" t="s">
        <v>392</v>
      </c>
      <c r="GW504" s="5">
        <v>479.06944444444446</v>
      </c>
      <c r="GX504" s="5">
        <v>359.30208333333331</v>
      </c>
      <c r="GY504" s="5">
        <v>287.44166666666666</v>
      </c>
      <c r="GZ504" s="5">
        <v>253.63693795247147</v>
      </c>
      <c r="HA504" s="5">
        <v>234.94601787594507</v>
      </c>
      <c r="HB504" s="39">
        <v>267.44375535871785</v>
      </c>
      <c r="HC504" s="5">
        <v>288.22280829738071</v>
      </c>
      <c r="HD504" s="5">
        <v>240.44590904675022</v>
      </c>
      <c r="HE504" s="5">
        <v>241.5575517396357</v>
      </c>
      <c r="HF504" s="5">
        <v>221.40478451107165</v>
      </c>
      <c r="HG504" s="5">
        <v>211.0425047377999</v>
      </c>
      <c r="HH504" s="39">
        <v>240.2866494358943</v>
      </c>
      <c r="HI504" s="16"/>
      <c r="HJ504" s="19" t="str">
        <f t="shared" si="1466"/>
        <v>On</v>
      </c>
      <c r="HK504" s="1" t="str">
        <f t="shared" si="1466"/>
        <v>On</v>
      </c>
      <c r="HL504" s="16"/>
      <c r="HM504" s="639">
        <f t="shared" si="1413"/>
        <v>2.4909940070666322E-2</v>
      </c>
      <c r="HN504" s="639">
        <f t="shared" si="1414"/>
        <v>2.2052381276269151E-3</v>
      </c>
      <c r="HO504" s="639">
        <f t="shared" si="1415"/>
        <v>2.079866082302006E-3</v>
      </c>
      <c r="HP504" s="644">
        <f>(FT504*$GD504-HM504)/$JF504*INDEX(Input!$1:$1048576,$JG$93,$C504*2+6)</f>
        <v>-13.50402337315389</v>
      </c>
      <c r="HQ504" s="644">
        <f>(FU504*$GD504-HN504)/$JF504*INDEX(Input!$1:$1048576,$JG$93,$C504*2+6)</f>
        <v>18.194562641231236</v>
      </c>
      <c r="HR504" s="644">
        <f>(FV504*$GD504-HO504)/$JF504*INDEX(Input!$1:$1048576,$JG$93,$C504*2+6)</f>
        <v>-0.9667547119700336</v>
      </c>
      <c r="HS504" s="644">
        <f t="shared" si="1416"/>
        <v>-0.19335094239400674</v>
      </c>
      <c r="HT504" s="644">
        <f t="shared" si="1417"/>
        <v>29.510416154984995</v>
      </c>
      <c r="HU504" s="644">
        <f t="shared" si="1418"/>
        <v>0.19335094239400674</v>
      </c>
      <c r="HV504" s="648">
        <f t="shared" si="1419"/>
        <v>0</v>
      </c>
      <c r="HW504" s="648">
        <f t="shared" si="1420"/>
        <v>0</v>
      </c>
      <c r="HX504" s="648">
        <f t="shared" si="1421"/>
        <v>0</v>
      </c>
      <c r="HY504" s="644">
        <f>INDEX(Input!$1:$1048576,HY$93,$C504*2+6)*INDEX(Input!$1:$1048576,$JG$93,$C504*2+6)</f>
        <v>333.00000000000006</v>
      </c>
      <c r="HZ504" s="644">
        <f>INDEX(Input!$1:$1048576,HZ$93,$C504*2+6)*INDEX(Input!$1:$1048576,$JG$93,$C504*2+6)</f>
        <v>429</v>
      </c>
      <c r="IA504" s="644">
        <f>INDEX(Input!$1:$1048576,IA$93,$C504*2+6)*INDEX(Input!$1:$1048576,$JG$93,$C504*2+6)</f>
        <v>59</v>
      </c>
      <c r="IB504" s="644">
        <f t="shared" si="1445"/>
        <v>319.30262568445221</v>
      </c>
      <c r="IC504" s="644">
        <f t="shared" si="1446"/>
        <v>476.70497879621621</v>
      </c>
      <c r="ID504" s="644">
        <f>IF(AND(INDEX(Input!$1:$1048576,IA$93,$C504*2+7)="TOS",Y504&lt;=INDEX(Y:Y,MATCH(C504*1000+2,A:A))),0,1)*MAX(IA504+HR504+HU504+HX504,0%)</f>
        <v>58.226596230423972</v>
      </c>
      <c r="IE504" s="128">
        <f t="shared" si="1467"/>
        <v>0.37378815483933364</v>
      </c>
      <c r="IF504" s="128">
        <f t="shared" si="1468"/>
        <v>0.55804951194811847</v>
      </c>
      <c r="IG504" s="128">
        <f t="shared" si="1423"/>
        <v>6.816233321254786E-2</v>
      </c>
      <c r="IH504" s="21"/>
      <c r="II504" s="19">
        <f t="shared" si="1424"/>
        <v>1240</v>
      </c>
      <c r="IJ504" s="19">
        <f t="shared" si="1425"/>
        <v>1985.7442651839444</v>
      </c>
      <c r="IK504" s="19">
        <f t="shared" si="1426"/>
        <v>-21.44990394013189</v>
      </c>
      <c r="IL504" s="19">
        <f t="shared" si="1448"/>
        <v>0</v>
      </c>
      <c r="IM504" s="19">
        <f t="shared" si="1427"/>
        <v>500.0077365317004</v>
      </c>
      <c r="IN504" s="19">
        <f t="shared" si="1428"/>
        <v>0</v>
      </c>
      <c r="IO504" s="39">
        <f t="shared" si="1429"/>
        <v>0</v>
      </c>
      <c r="IP504" s="39">
        <f t="shared" si="1430"/>
        <v>0</v>
      </c>
      <c r="IQ504" s="39">
        <f t="shared" si="1431"/>
        <v>0</v>
      </c>
      <c r="IR504" s="39">
        <v>0</v>
      </c>
      <c r="IS504" s="39">
        <v>0</v>
      </c>
      <c r="IT504" s="39">
        <v>0</v>
      </c>
      <c r="IU504" s="39">
        <v>0</v>
      </c>
      <c r="IV504" s="39">
        <v>0</v>
      </c>
      <c r="IW504" s="39">
        <v>0</v>
      </c>
      <c r="IX504" s="39">
        <f>INDEX(Input!$1:$1048576,IX$93,$C504*2+6)+INDEX(Input!$1:$1048576,IX$94,$C504*2+6)</f>
        <v>1270</v>
      </c>
      <c r="IY504" s="39">
        <f>INDEX(Input!$1:$1048576,IY$93,$C504*2+6)+INDEX(Input!$1:$1048576,IY$94,$C504*2+6)</f>
        <v>2130.0624533823611</v>
      </c>
      <c r="IZ504" s="39">
        <f>INDEX(Input!$1:$1048576,IZ$93,$C504*2+6)+INDEX(Input!$1:$1048576,IZ$94,$C504*2+6)</f>
        <v>3653.7164157747857</v>
      </c>
      <c r="JA504" s="19">
        <f t="shared" si="1449"/>
        <v>1270</v>
      </c>
      <c r="JB504" s="19">
        <f t="shared" si="1450"/>
        <v>2630.0701899140613</v>
      </c>
      <c r="JC504" s="19">
        <f t="shared" si="1451"/>
        <v>3653.7164157747857</v>
      </c>
      <c r="JD504" s="19">
        <f t="shared" si="1452"/>
        <v>2191.4661783129877</v>
      </c>
      <c r="JE504" s="21"/>
      <c r="JF504" s="1">
        <f t="shared" si="1432"/>
        <v>2.9195044280595241E-2</v>
      </c>
      <c r="JG504" s="15">
        <f>INDEX(Input!$1:$1048576,JG$93,$C504*2+6)/(1+VLOOKUP(C504*1000+INDEX(Input!$1:$1048576,JG$93+1,$C504*2+6),$A:$KK,$JK$92,FALSE))</f>
        <v>821</v>
      </c>
      <c r="JH504" s="1">
        <f t="shared" si="1453"/>
        <v>4.5356693740649361E-3</v>
      </c>
      <c r="JI504" s="1">
        <f t="shared" si="1454"/>
        <v>3.5944477655280138E-2</v>
      </c>
      <c r="JJ504" s="1">
        <f t="shared" si="1455"/>
        <v>0</v>
      </c>
      <c r="JK504" s="1">
        <f t="shared" si="1456"/>
        <v>4.0480147029345076E-2</v>
      </c>
      <c r="JL504" s="15">
        <f t="shared" si="1457"/>
        <v>33.234200711092306</v>
      </c>
      <c r="JM504" s="15">
        <f t="shared" si="1458"/>
        <v>854.23420071109229</v>
      </c>
      <c r="JN504" s="21"/>
      <c r="JO504" s="19">
        <f>INDEX(Input!$1:$1048576,JO$93,$C504*2+6)</f>
        <v>5995.5</v>
      </c>
      <c r="JP504" s="19">
        <f>INDEX(Input!$1:$1048576,JP$93,$C504*2+6)</f>
        <v>1890.7138380411029</v>
      </c>
      <c r="JQ504" s="39">
        <f t="shared" si="1469"/>
        <v>3804.0338216870123</v>
      </c>
      <c r="JR504" s="39">
        <f t="shared" si="1470"/>
        <v>300.7523402718848</v>
      </c>
      <c r="JS504" s="39">
        <f t="shared" si="1471"/>
        <v>1.8720253592165872</v>
      </c>
      <c r="JT504" s="39">
        <f t="shared" si="1459"/>
        <v>0.31974929818484166</v>
      </c>
      <c r="JU504" s="385">
        <f>(JQ504*JM504-INDEX(Input!$1:$1048576,Input!A$18,$C504*2+6)*JL504*INDEX(Input!$1:$1048576,Input!A$19,$C504*2+6))/1000000</f>
        <v>3.249535791146767</v>
      </c>
      <c r="JV504" s="39">
        <f t="shared" si="1435"/>
        <v>-0.1204936478214873</v>
      </c>
      <c r="JW504" s="1">
        <f>JV504/(JU504-JV504)</f>
        <v>-3.5754479301633883E-2</v>
      </c>
      <c r="JX504" s="19">
        <f t="shared" ref="JX504:JX550" si="1475">IF(JL504=0,0,JT504/JL504)*1000000</f>
        <v>9621.0918675147059</v>
      </c>
      <c r="JZ504" s="468">
        <f>(HZ504+HQ504)/SUM(HP504:HR504,HY504:IA504)*IM504</f>
        <v>271.12197470559767</v>
      </c>
      <c r="KA504" s="469">
        <f>JH504/(JZ504/BX504)</f>
        <v>0.33433421447714273</v>
      </c>
      <c r="KB504" s="469">
        <f t="shared" si="1472"/>
        <v>2.5122967434604799</v>
      </c>
      <c r="KC504" s="469">
        <f>MIN(KE503+0.5,KE503*1.1)</f>
        <v>2.7430132089032639</v>
      </c>
      <c r="KD504" s="469">
        <f>KC504+2</f>
        <v>4.7430132089032639</v>
      </c>
      <c r="KE504" s="469">
        <f>MIN(MAX(KA504,KC504),KD504)</f>
        <v>2.7430132089032639</v>
      </c>
      <c r="KF504" s="470">
        <f>A504</f>
        <v>5004</v>
      </c>
      <c r="KG504" s="471">
        <f>IF(HK504="Off",0,(JH504/KA504*KE504-JH504)/MAX(IL504:IN504)*1000)</f>
        <v>6.5352584532189104E-2</v>
      </c>
      <c r="KH504" s="472"/>
      <c r="KI504" s="473">
        <f t="shared" si="1473"/>
        <v>-13.697374315547904</v>
      </c>
      <c r="KJ504" s="473">
        <f t="shared" si="1460"/>
        <v>47.704978796216153</v>
      </c>
      <c r="KK504" s="473">
        <f t="shared" si="1461"/>
        <v>-0.77340376957604207</v>
      </c>
      <c r="KL504" s="472" t="str">
        <f>IF(OR(KI504&gt;0,KK504&gt;0),"Error - Adjust TR","ok")</f>
        <v>ok</v>
      </c>
      <c r="KN504" s="544">
        <f t="shared" ref="KN504:KN550" si="1476">KM504+(KN503-KM503)</f>
        <v>5002</v>
      </c>
      <c r="KO504" s="541">
        <f t="shared" si="1436"/>
        <v>3.6260867330142332E-2</v>
      </c>
      <c r="KP504" s="546">
        <f t="shared" si="1437"/>
        <v>250.05068635804568</v>
      </c>
      <c r="KQ504" s="546">
        <f t="shared" si="1438"/>
        <v>272.54741258972126</v>
      </c>
      <c r="KR504" s="548">
        <f t="shared" si="1439"/>
        <v>2.6198359394769337</v>
      </c>
      <c r="KS504" s="548">
        <f t="shared" si="1440"/>
        <v>2.4035883099643436</v>
      </c>
      <c r="KT504" s="473">
        <f t="shared" si="1474"/>
        <v>595.94378802984284</v>
      </c>
      <c r="KU504" s="663">
        <f t="shared" si="1462"/>
        <v>3.9525084648139659</v>
      </c>
      <c r="KV504" s="117"/>
    </row>
    <row r="505" spans="1:310" s="26" customFormat="1" ht="15">
      <c r="A505" s="561">
        <f t="shared" si="1441"/>
        <v>5005</v>
      </c>
      <c r="B505" s="561">
        <f t="shared" si="1463"/>
        <v>5</v>
      </c>
      <c r="C505" s="561">
        <f t="shared" si="1464"/>
        <v>5</v>
      </c>
      <c r="D505" s="561" t="s">
        <v>568</v>
      </c>
      <c r="E505" s="115">
        <f>INDEX(Input!$1:$1048576,E$93,$C505*2+MIN($B505,1)+5)</f>
        <v>1000</v>
      </c>
      <c r="F505" s="115">
        <f>INDEX(Input!$1:$1048576,F$93,$C505*2+MIN($B505,1)+5)</f>
        <v>0</v>
      </c>
      <c r="G505" s="115">
        <f>INDEX(Input!$1:$1048576,G$93,$C505*2+MIN($B505,1)+5)</f>
        <v>0</v>
      </c>
      <c r="H505" s="115">
        <f>INDEX(Input!$1:$1048576,H$93,$C505*2+MIN($B505,1)+5)</f>
        <v>0</v>
      </c>
      <c r="I505" s="118">
        <f>INDEX(Input!$1:$1048576,I$93,$C505*2+MIN($B505,1)+5)</f>
        <v>0.7</v>
      </c>
      <c r="J505" s="118" t="str">
        <f>INDEX(Input!$1:$1048576,J$93,$C505*2+MIN($B505,1)+5)</f>
        <v>Market</v>
      </c>
      <c r="K505" s="118" t="str">
        <f>INDEX(Input!$1:$1048576,K$93,$C505*2+MIN($B505,1)+5)</f>
        <v>Market</v>
      </c>
      <c r="L505" s="118" t="str">
        <f>INDEX(Input!$1:$1048576,L$93,$C505*2+MIN($B505,1)+5)</f>
        <v>Market</v>
      </c>
      <c r="M505" s="118" t="str">
        <f>INDEX(Input!$1:$1048576,M$93,$C505*2+MIN($B505,1)+5)</f>
        <v>Market</v>
      </c>
      <c r="N505" s="118" t="str">
        <f>INDEX(Input!$1:$1048576,N$93,$C505*2+MIN($B505,1)+5)</f>
        <v>Market</v>
      </c>
      <c r="O505" s="118" t="str">
        <f>INDEX(Input!$1:$1048576,O$93,$C505*2+MIN($B505,1)+5)</f>
        <v>Market</v>
      </c>
      <c r="P505" s="118" t="str">
        <f>INDEX(Input!$1:$1048576,P$93,$C505*2+MIN($B505,1)+5)</f>
        <v>N</v>
      </c>
      <c r="Q505" s="30">
        <f>INDEX(Input!$1:$1048576,Q$93,$C505*2+MIN($B505,1)+5)</f>
        <v>0</v>
      </c>
      <c r="R505" s="383">
        <f>INDEX(Input!$1:$1048576,R$93,$C505*2+MIN($B505,1)+5)</f>
        <v>0</v>
      </c>
      <c r="S505" s="383">
        <f>INDEX(Input!$1:$1048576,S$93,$C505*2+MIN($B505,1)+5)</f>
        <v>0</v>
      </c>
      <c r="T505" s="383">
        <f>INDEX(Input!$1:$1048576,T$93,$C505*2+MIN($B505,1)+5)</f>
        <v>0</v>
      </c>
      <c r="U505" s="383">
        <f>INDEX(Input!$1:$1048576,U$93,$C505*2+MIN($B505,1)+5)</f>
        <v>0</v>
      </c>
      <c r="V505" s="383">
        <f>INDEX(Input!$1:$1048576,V$93,$C505*2+MIN($B505,1)+5)</f>
        <v>1.9E-2</v>
      </c>
      <c r="W505" s="884">
        <f>INDEX(Input!$1:$1048576,W$93,$C505*2+MIN($B505,1)+5)</f>
        <v>3.9E-2</v>
      </c>
      <c r="X505" s="118" t="str">
        <f>INDEX(Input!$1:$1048576,X$93,$C505*2+MIN($B505,1)+5)</f>
        <v>Y</v>
      </c>
      <c r="Y505" s="475">
        <f>INDEX(Input!$1:$1048576,Y$93,$C505*2+MIN($B505,1)+5)+500</f>
        <v>579.06358260747743</v>
      </c>
      <c r="Z505" s="30">
        <f>INDEX(Input!$1:$1048576,Z$93,$C505*2+MIN($B505,1)+5)</f>
        <v>0</v>
      </c>
      <c r="AA505" s="115">
        <f>INDEX(Input!$1:$1048576,AA$93,$C505*2+MIN($B505,1)+5)</f>
        <v>1000</v>
      </c>
      <c r="AB505" s="118">
        <f>INDEX(Input!$1:$1048576,AB$93,$C505*2+MIN($B505,1)+5)</f>
        <v>0.27</v>
      </c>
      <c r="AC505" s="115">
        <f>INDEX(Input!$1:$1048576,AC$93,$C505*2+MIN($B505,1)+5)</f>
        <v>1000</v>
      </c>
      <c r="AD505" s="118">
        <f>INDEX(Input!$1:$1048576,AD$93,$C505*2+MIN($B505,1)+5)</f>
        <v>0.27</v>
      </c>
      <c r="AE505" s="115">
        <f>INDEX(Input!$1:$1048576,AE$93,$C505*2+MIN($B505,1)+5)</f>
        <v>0</v>
      </c>
      <c r="AF505" s="118">
        <f>INDEX(Input!$1:$1048576,AF$93,$C505*2+MIN($B505,1)+5)</f>
        <v>0.2</v>
      </c>
      <c r="AG505" s="115">
        <f>INDEX(Input!$1:$1048576,AG$93,$C505*2+MIN($B505,1)+5)</f>
        <v>0</v>
      </c>
      <c r="AH505" s="118">
        <f>INDEX(Input!$1:$1048576,AH$93,$C505*2+MIN($B505,1)+5)</f>
        <v>1</v>
      </c>
      <c r="AI505" s="115">
        <f>INDEX(Input!$1:$1048576,AI$93,$C505*2+MIN($B505,1)+5)</f>
        <v>0</v>
      </c>
      <c r="AJ505" s="118">
        <f>INDEX(Input!$1:$1048576,AJ$93,$C505*2+MIN($B505,1)+5)</f>
        <v>0.27</v>
      </c>
      <c r="AK505" s="150">
        <f>ROUND(INDEX(Input!$1:$1048576,AK$93,$C504*2+MIN($B505,1)+5)+(Y505-VLOOKUP($C505*1000+1,$A:$HH,Y$92,FALSE)),0)</f>
        <v>3884</v>
      </c>
      <c r="AL505" s="150">
        <f>ROUND(INDEX(Input!$1:$1048576,AL$93,$C504*2+MIN($B505,1)+5)-(Y505-VLOOKUP($C505*1000+1,$A:$HH,Y$92,FALSE))/36,0)</f>
        <v>3370</v>
      </c>
      <c r="AM505" s="32" t="str">
        <f t="shared" si="1442"/>
        <v>std/std/std/std</v>
      </c>
      <c r="AN505" s="32" t="str">
        <f t="shared" si="1443"/>
        <v>$0 + 0/0/0/1.9/3.9</v>
      </c>
      <c r="AO505" s="32" t="str">
        <f t="shared" si="1444"/>
        <v>0/0/0/1.9/3.9</v>
      </c>
      <c r="AP505" s="32" t="str">
        <f t="shared" si="1396"/>
        <v>0/0.9/1.9/3.9</v>
      </c>
      <c r="AQ505" s="536">
        <f t="shared" si="1394"/>
        <v>270.38893528781364</v>
      </c>
      <c r="AR505" s="32"/>
      <c r="AS505" s="302"/>
      <c r="AT505" s="3">
        <f t="shared" si="1465"/>
        <v>5</v>
      </c>
      <c r="AU505" s="41" t="s">
        <v>121</v>
      </c>
      <c r="AV505" s="41" t="s">
        <v>116</v>
      </c>
      <c r="AW505" s="41" t="str">
        <f>INDEX(Input!$1:$1048576,AW$93,$C505*2+6)</f>
        <v>Kia</v>
      </c>
      <c r="AX505" s="41" t="str">
        <f>INDEX(Input!$1:$1048576,AX$93,$C505*2+6)</f>
        <v>Kia-LR - R2</v>
      </c>
      <c r="AY505" s="41" t="str">
        <f>IF(LEN(D505)=0,"",INDEX(Input!$1:$1048576,AY$93,$C505*2+6))</f>
        <v>Compact SUV (52)</v>
      </c>
      <c r="AZ505" s="41" t="str">
        <f>INDEX(Input!$1:$1048576,AZ$93,$C505*2+6)</f>
        <v>Kia Soul</v>
      </c>
      <c r="BA505" s="3">
        <f>INDEX(Input!$1:$1048576,BA$93,$C505*2+6)</f>
        <v>2020</v>
      </c>
      <c r="BB505" s="128">
        <f>INDEX(Input!$1:$1048576,BB$93,$C505*2+6)</f>
        <v>1</v>
      </c>
      <c r="BC505" s="128">
        <f>INDEX(Input!$1:$1048576,BC$93,$C505*2+6)</f>
        <v>0.7</v>
      </c>
      <c r="BD505" s="1">
        <f>INDEX(Input!$1:$1048576,BD$93,$C505*2+6)</f>
        <v>4.4999999999999998E-2</v>
      </c>
      <c r="BE505" s="1">
        <f>INDEX(Input!$1:$1048576,BE$93,$C505*2+6)</f>
        <v>4.4999999999999998E-2</v>
      </c>
      <c r="BF505" s="1">
        <f>INDEX(Input!$1:$1048576,BF$93,$C505*2+6)</f>
        <v>0.05</v>
      </c>
      <c r="BG505" s="1">
        <f>INDEX(Input!$1:$1048576,BG$93,$C505*2+6)</f>
        <v>5.45E-2</v>
      </c>
      <c r="BH505" s="1">
        <f>INDEX(Input!$1:$1048576,BH$93,$C505*2+6)</f>
        <v>5.45E-2</v>
      </c>
      <c r="BI505" s="1">
        <f>INDEX(Input!$1:$1048576,BI$93,$C505*2+6)</f>
        <v>0.05</v>
      </c>
      <c r="BJ505" s="1">
        <f>INDEX(Input!$1:$1048576,BJ$93,$C505*2+6)</f>
        <v>0.05</v>
      </c>
      <c r="BK505" s="1">
        <f>INDEX(Input!$1:$1048576,BK$93,$C505*2+6)</f>
        <v>0.05</v>
      </c>
      <c r="BL505" s="1">
        <f>INDEX(Input!$1:$1048576,BL$93,$C505*2+6)</f>
        <v>5.5E-2</v>
      </c>
      <c r="BM505" s="1">
        <f>INDEX(Input!$1:$1048576,BM$93,$C505*2+6)</f>
        <v>0.06</v>
      </c>
      <c r="BN505" s="1">
        <f>INDEX(Input!$1:$1048576,BN$93,$C505*2+6)</f>
        <v>4.4999999999999998E-2</v>
      </c>
      <c r="BO505" s="1">
        <f>INDEX(Input!$1:$1048576,BO$93,$C505*2+6)</f>
        <v>4.4999999999999998E-2</v>
      </c>
      <c r="BP505" s="1">
        <f>INDEX(Input!$1:$1048576,BP$93,$C505*2+6)</f>
        <v>0.05</v>
      </c>
      <c r="BQ505" s="1">
        <f>INDEX(Input!$1:$1048576,BQ$93,$C505*2+6)</f>
        <v>5.45E-2</v>
      </c>
      <c r="BR505" s="1">
        <f>INDEX(Input!$1:$1048576,BR$93,$C505*2+6)</f>
        <v>5.45E-2</v>
      </c>
      <c r="BS505" s="1">
        <f>INDEX(Input!$1:$1048576,BS$93,$C505*2+6)</f>
        <v>0.05</v>
      </c>
      <c r="BT505" s="1">
        <f>INDEX(Input!$1:$1048576,BT$93,$C505*2+6)</f>
        <v>0.05</v>
      </c>
      <c r="BU505" s="1">
        <f>INDEX(Input!$1:$1048576,BU$93,$C505*2+6)</f>
        <v>0.05</v>
      </c>
      <c r="BV505" s="1">
        <f>INDEX(Input!$1:$1048576,BV$93,$C505*2+6)</f>
        <v>5.5E-2</v>
      </c>
      <c r="BW505" s="1">
        <f>INDEX(Input!$1:$1048576,BW$93,$C505*2+6)</f>
        <v>0.06</v>
      </c>
      <c r="BX505" s="127">
        <f>INDEX(Input!$1:$1048576,BX$93,$C505*2+6)</f>
        <v>19985</v>
      </c>
      <c r="BY505" s="20">
        <f>INDEX(Input!$1:$1048576,BY$93,$C505*2+6)</f>
        <v>0.1</v>
      </c>
      <c r="BZ505" s="20">
        <f>INDEX(Input!$1:$1048576,BZ$93,$C505*2+6)</f>
        <v>0.1</v>
      </c>
      <c r="CA505" s="20">
        <f>INDEX(Input!$1:$1048576,CA$93,$C505*2+6)</f>
        <v>0.1</v>
      </c>
      <c r="CB505" s="20">
        <f>INDEX(Input!$1:$1048576,CB$93,$C505*2+6)</f>
        <v>0.1</v>
      </c>
      <c r="CC505" s="20">
        <f>INDEX(Input!$1:$1048576,CC$93,$C505*2+6)</f>
        <v>0.1</v>
      </c>
      <c r="CD505" s="384">
        <f>INDEX(Input!$1:$1048576,CD$93,$C505*2+6)</f>
        <v>0.1</v>
      </c>
      <c r="CE505" s="384">
        <f>INDEX(Input!$1:$1048576,CE$93,$C505*2+6)</f>
        <v>0.1</v>
      </c>
      <c r="CF505" s="384">
        <f>INDEX(Input!$1:$1048576,CF$93,$C505*2+6)</f>
        <v>0.1</v>
      </c>
      <c r="CG505" s="384">
        <f>INDEX(Input!$1:$1048576,CG$93,$C505*2+6)</f>
        <v>0.1</v>
      </c>
      <c r="CH505" s="384">
        <f>INDEX(Input!$1:$1048576,CH$93,$C505*2+6)</f>
        <v>0.1</v>
      </c>
      <c r="CI505" s="304">
        <f t="shared" si="1397"/>
        <v>1270</v>
      </c>
      <c r="CJ505" s="16" t="str">
        <f>INDEX(Input!$1:$1048576,CJ$93,$C505*2+6)</f>
        <v>N</v>
      </c>
      <c r="CK505" s="1" t="str">
        <f t="shared" si="1398"/>
        <v>Market</v>
      </c>
      <c r="CL505" s="1" t="str">
        <f t="shared" si="1399"/>
        <v>Market</v>
      </c>
      <c r="CM505" s="1" t="str">
        <f t="shared" si="1400"/>
        <v>Market</v>
      </c>
      <c r="CN505" s="1" t="str">
        <f t="shared" si="1401"/>
        <v>Market</v>
      </c>
      <c r="CO505" s="1" t="str">
        <f t="shared" si="1402"/>
        <v>Market</v>
      </c>
      <c r="CP505" s="304">
        <f t="shared" si="1403"/>
        <v>0</v>
      </c>
      <c r="CQ505" s="1">
        <f t="shared" si="1404"/>
        <v>0</v>
      </c>
      <c r="CR505" s="1">
        <f t="shared" si="1405"/>
        <v>0</v>
      </c>
      <c r="CS505" s="1">
        <f t="shared" si="1406"/>
        <v>0</v>
      </c>
      <c r="CT505" s="1">
        <f t="shared" si="1407"/>
        <v>1.9E-2</v>
      </c>
      <c r="CU505" s="1">
        <f t="shared" si="1408"/>
        <v>3.9E-2</v>
      </c>
      <c r="CV505" s="304">
        <f t="shared" si="1409"/>
        <v>849.06358260747743</v>
      </c>
      <c r="CW505" s="20" t="s">
        <v>122</v>
      </c>
      <c r="CX505" s="20" t="s">
        <v>122</v>
      </c>
      <c r="CY505" s="20" t="s">
        <v>122</v>
      </c>
      <c r="CZ505" s="20" t="s">
        <v>122</v>
      </c>
      <c r="DA505" s="20" t="s">
        <v>122</v>
      </c>
      <c r="DB505" s="503">
        <f t="shared" si="1410"/>
        <v>0</v>
      </c>
      <c r="DC505" s="127">
        <v>0</v>
      </c>
      <c r="DD505" s="127">
        <v>0</v>
      </c>
      <c r="DE505" s="127">
        <v>0</v>
      </c>
      <c r="DF505" s="127">
        <v>0</v>
      </c>
      <c r="DG505" s="127">
        <v>0</v>
      </c>
      <c r="DH505" s="127">
        <v>0</v>
      </c>
      <c r="DI505" s="127">
        <v>0</v>
      </c>
      <c r="DJ505" s="127">
        <v>0</v>
      </c>
      <c r="DK505" s="127">
        <v>0</v>
      </c>
      <c r="DL505" s="127">
        <v>0</v>
      </c>
      <c r="DM505" s="304">
        <f>INDEX(Input!$1:$1048576,DM$93,$C505*2+6)</f>
        <v>21036.84210526316</v>
      </c>
      <c r="DN505" s="20">
        <v>0</v>
      </c>
      <c r="DO505" s="20">
        <v>0</v>
      </c>
      <c r="DP505" s="20">
        <v>0</v>
      </c>
      <c r="DQ505" s="20">
        <v>0</v>
      </c>
      <c r="DR505" s="20">
        <v>0</v>
      </c>
      <c r="DS505" s="20">
        <f>INDEX(Input!$1:$1048576,DS$93,$C505*2+6)</f>
        <v>0.6</v>
      </c>
      <c r="DT505" s="20">
        <f>INDEX(Input!$1:$1048576,DT$93,$C505*2+6)</f>
        <v>0.55000000000000004</v>
      </c>
      <c r="DU505" s="20">
        <f>INDEX(Input!$1:$1048576,DU$93,$C505*2+6)</f>
        <v>0.52</v>
      </c>
      <c r="DV505" s="20">
        <f>INDEX(Input!$1:$1048576,DV$93,$C505*2+6)</f>
        <v>0.5</v>
      </c>
      <c r="DW505" s="20">
        <f>INDEX(Input!$1:$1048576,DW$93,$C505*2+6)</f>
        <v>0.45</v>
      </c>
      <c r="DX505" s="20"/>
      <c r="DY505" s="7">
        <v>0.11634227145248853</v>
      </c>
      <c r="DZ505" s="7">
        <v>0</v>
      </c>
      <c r="EA505" s="7">
        <v>0.71991815591431785</v>
      </c>
      <c r="EB505" s="7">
        <v>0</v>
      </c>
      <c r="EC505" s="7">
        <v>0</v>
      </c>
      <c r="ED505" s="7">
        <v>0</v>
      </c>
      <c r="EE505" s="7">
        <v>0</v>
      </c>
      <c r="EF505" s="7">
        <v>0</v>
      </c>
      <c r="EG505" s="7">
        <v>0</v>
      </c>
      <c r="EH505" s="7">
        <v>1.208710599429999E-2</v>
      </c>
      <c r="EI505" s="7">
        <v>3.3594225402566097E-2</v>
      </c>
      <c r="EJ505" s="7">
        <v>0.2917672918664429</v>
      </c>
      <c r="EK505" s="7">
        <v>0.53751031914971803</v>
      </c>
      <c r="EL505" s="7">
        <v>0.12504105758697318</v>
      </c>
      <c r="EM505" s="7">
        <v>7.3969359729509659E-2</v>
      </c>
      <c r="EN505" s="7">
        <v>5.9913049965646656E-2</v>
      </c>
      <c r="EO505" s="7">
        <v>0.73093511537570499</v>
      </c>
      <c r="EP505" s="7">
        <v>8.3366284031295673E-2</v>
      </c>
      <c r="EQ505" s="7">
        <v>8.2034419372271156E-2</v>
      </c>
      <c r="ER505" s="7">
        <v>4.3751131255081302E-2</v>
      </c>
      <c r="ES505" s="7">
        <v>8.9770212903683977E-2</v>
      </c>
      <c r="ET505" s="7">
        <v>0.16373957263319364</v>
      </c>
      <c r="EU505" s="6">
        <v>1240</v>
      </c>
      <c r="EV505" s="6">
        <v>0</v>
      </c>
      <c r="EW505" s="6">
        <v>1240</v>
      </c>
      <c r="EX505" s="6">
        <v>0</v>
      </c>
      <c r="EY505" s="6">
        <v>1985.7109379600422</v>
      </c>
      <c r="EZ505" s="6">
        <v>478.55009605986811</v>
      </c>
      <c r="FA505" s="6">
        <v>0</v>
      </c>
      <c r="FB505" s="6">
        <v>0</v>
      </c>
      <c r="FC505" s="6">
        <v>0</v>
      </c>
      <c r="FD505" s="6">
        <v>0</v>
      </c>
      <c r="FE505" s="6">
        <v>0</v>
      </c>
      <c r="FF505" s="6">
        <v>0</v>
      </c>
      <c r="FG505" s="6">
        <v>0</v>
      </c>
      <c r="FH505" s="6">
        <v>1172.1282521437904</v>
      </c>
      <c r="FI505" s="6">
        <v>1553.9796069512388</v>
      </c>
      <c r="FJ505" s="6">
        <v>2101.2110117447405</v>
      </c>
      <c r="FK505" s="6">
        <v>1772.7139978623229</v>
      </c>
      <c r="FL505" s="6">
        <v>907.07682140966369</v>
      </c>
      <c r="FM505" s="6">
        <v>1745.7109379600422</v>
      </c>
      <c r="FN505" s="6">
        <v>0</v>
      </c>
      <c r="FO505" s="6">
        <v>0</v>
      </c>
      <c r="FP505" s="6">
        <v>0</v>
      </c>
      <c r="FQ505" s="6">
        <v>0</v>
      </c>
      <c r="FR505" s="6">
        <v>0</v>
      </c>
      <c r="FS505" s="6">
        <v>0</v>
      </c>
      <c r="FT505" s="7">
        <v>0.83626042736680639</v>
      </c>
      <c r="FU505" s="7">
        <v>7.3969359729509659E-2</v>
      </c>
      <c r="FV505" s="7">
        <v>8.9770212903683977E-2</v>
      </c>
      <c r="FW505" s="6">
        <v>1240</v>
      </c>
      <c r="FX505" s="6">
        <v>1985.710937960042</v>
      </c>
      <c r="FY505" s="6">
        <v>478.55009605986811</v>
      </c>
      <c r="FZ505" s="6">
        <v>1758.1538569113241</v>
      </c>
      <c r="GA505" s="6">
        <v>1226.8042406320012</v>
      </c>
      <c r="GB505" s="6">
        <v>18758.195759367998</v>
      </c>
      <c r="GC505" s="7">
        <v>3.064145122680037E-2</v>
      </c>
      <c r="GD505" s="7">
        <v>2.932572734247561E-2</v>
      </c>
      <c r="GE505" s="7"/>
      <c r="GF505" s="7"/>
      <c r="GG505" s="7">
        <v>-4.293934626614454E-2</v>
      </c>
      <c r="GH505" s="42">
        <v>1.6150248515052759</v>
      </c>
      <c r="GI505" s="6">
        <v>13601.226826992259</v>
      </c>
      <c r="GJ505" s="14">
        <v>0.50394797582841711</v>
      </c>
      <c r="GK505" s="14">
        <v>0.50887573065309744</v>
      </c>
      <c r="GL505" s="14">
        <v>0.49605202417158251</v>
      </c>
      <c r="GM505" s="14">
        <v>0.49112426934690229</v>
      </c>
      <c r="GO505" s="5">
        <v>343.14810671672558</v>
      </c>
      <c r="GP505" s="5">
        <v>319.49127229486811</v>
      </c>
      <c r="GQ505" s="5">
        <v>535.04305713031317</v>
      </c>
      <c r="GR505" s="5">
        <v>410.15490233172511</v>
      </c>
      <c r="GS505" s="5">
        <v>339.42744393800166</v>
      </c>
      <c r="GT505" s="5">
        <v>293.4407446948278</v>
      </c>
      <c r="GU505" s="5">
        <v>258.04012322764959</v>
      </c>
      <c r="GV505" s="39" t="s">
        <v>392</v>
      </c>
      <c r="GW505" s="5">
        <v>492.95833333333331</v>
      </c>
      <c r="GX505" s="5">
        <v>369.71875</v>
      </c>
      <c r="GY505" s="5">
        <v>295.77499999999998</v>
      </c>
      <c r="GZ505" s="5">
        <v>260.99022522677262</v>
      </c>
      <c r="HA505" s="5">
        <v>241.7574294051233</v>
      </c>
      <c r="HB505" s="39">
        <v>275.19086930954956</v>
      </c>
      <c r="HC505" s="5">
        <v>266.34780829738077</v>
      </c>
      <c r="HD505" s="5">
        <v>225.51535349119467</v>
      </c>
      <c r="HE505" s="5">
        <v>227.6953722524562</v>
      </c>
      <c r="HF505" s="5">
        <v>209.84228451107168</v>
      </c>
      <c r="HG505" s="5">
        <v>201.45917140446653</v>
      </c>
      <c r="HH505" s="39">
        <v>225.80527416592403</v>
      </c>
      <c r="HI505" s="16"/>
      <c r="HJ505" s="19" t="str">
        <f t="shared" si="1466"/>
        <v>On</v>
      </c>
      <c r="HK505" s="1" t="str">
        <f t="shared" si="1466"/>
        <v>On</v>
      </c>
      <c r="HL505" s="16"/>
      <c r="HM505" s="639">
        <f t="shared" si="1413"/>
        <v>2.4909940070666322E-2</v>
      </c>
      <c r="HN505" s="639">
        <f t="shared" si="1414"/>
        <v>2.2052381276269151E-3</v>
      </c>
      <c r="HO505" s="639">
        <f t="shared" si="1415"/>
        <v>2.079866082302006E-3</v>
      </c>
      <c r="HP505" s="644">
        <f>(FT505*$GD505-HM505)/$JF505*INDEX(Input!$1:$1048576,$JG$93,$C505*2+6)</f>
        <v>-10.854640941008055</v>
      </c>
      <c r="HQ505" s="644">
        <f>(FU505*$GD505-HN505)/$JF505*INDEX(Input!$1:$1048576,$JG$93,$C505*2+6)</f>
        <v>-1.013287447680159</v>
      </c>
      <c r="HR505" s="644">
        <f>(FV505*$GD505-HO505)/$JF505*INDEX(Input!$1:$1048576,$JG$93,$C505*2+6)</f>
        <v>15.542894344300572</v>
      </c>
      <c r="HS505" s="644">
        <f t="shared" si="1416"/>
        <v>1.2887500888715433E-5</v>
      </c>
      <c r="HT505" s="644">
        <f t="shared" si="1417"/>
        <v>-1.9669700582515496E-3</v>
      </c>
      <c r="HU505" s="644">
        <f t="shared" si="1418"/>
        <v>3.6019789548098364</v>
      </c>
      <c r="HV505" s="648">
        <f t="shared" si="1419"/>
        <v>0</v>
      </c>
      <c r="HW505" s="648">
        <f t="shared" si="1420"/>
        <v>0</v>
      </c>
      <c r="HX505" s="648">
        <f t="shared" si="1421"/>
        <v>0</v>
      </c>
      <c r="HY505" s="644">
        <f>INDEX(Input!$1:$1048576,HY$93,$C505*2+6)*INDEX(Input!$1:$1048576,$JG$93,$C505*2+6)</f>
        <v>333.00000000000006</v>
      </c>
      <c r="HZ505" s="644">
        <f>INDEX(Input!$1:$1048576,HZ$93,$C505*2+6)*INDEX(Input!$1:$1048576,$JG$93,$C505*2+6)</f>
        <v>429</v>
      </c>
      <c r="IA505" s="644">
        <f>INDEX(Input!$1:$1048576,IA$93,$C505*2+6)*INDEX(Input!$1:$1048576,$JG$93,$C505*2+6)</f>
        <v>59</v>
      </c>
      <c r="IB505" s="644">
        <f t="shared" si="1445"/>
        <v>322.14537194649296</v>
      </c>
      <c r="IC505" s="644">
        <f t="shared" si="1446"/>
        <v>427.98474558226155</v>
      </c>
      <c r="ID505" s="644">
        <f>IF(AND(INDEX(Input!$1:$1048576,IA$93,$C505*2+7)="TOS",Y505&lt;=INDEX(Y:Y,MATCH(C505*1000+2,A:A))),0,1)*MAX(IA505+HR505+HU505+HX505,0%)</f>
        <v>78.144873299110415</v>
      </c>
      <c r="IE505" s="128">
        <f t="shared" ref="IE505:IE506" si="1477">IB505/SUM($IB505:$ID505)</f>
        <v>0.38893528781366093</v>
      </c>
      <c r="IF505" s="128">
        <f t="shared" si="1468"/>
        <v>0.51671817973700829</v>
      </c>
      <c r="IG505" s="128">
        <f t="shared" si="1423"/>
        <v>9.4346532449330917E-2</v>
      </c>
      <c r="IH505" s="21"/>
      <c r="II505" s="19">
        <f t="shared" si="1424"/>
        <v>1240</v>
      </c>
      <c r="IJ505" s="19">
        <f t="shared" si="1425"/>
        <v>1985.7442651839444</v>
      </c>
      <c r="IK505" s="19">
        <f t="shared" si="1426"/>
        <v>-21.44990394013189</v>
      </c>
      <c r="IL505" s="19">
        <f t="shared" si="1448"/>
        <v>0</v>
      </c>
      <c r="IM505" s="19">
        <f t="shared" si="1427"/>
        <v>-3.3327223902460901E-2</v>
      </c>
      <c r="IN505" s="19">
        <f t="shared" si="1428"/>
        <v>500</v>
      </c>
      <c r="IO505" s="39">
        <f t="shared" si="1429"/>
        <v>0</v>
      </c>
      <c r="IP505" s="39">
        <f t="shared" si="1430"/>
        <v>0</v>
      </c>
      <c r="IQ505" s="39">
        <f t="shared" si="1431"/>
        <v>0</v>
      </c>
      <c r="IR505" s="39">
        <v>0</v>
      </c>
      <c r="IS505" s="39">
        <v>0</v>
      </c>
      <c r="IT505" s="39">
        <v>0</v>
      </c>
      <c r="IU505" s="39">
        <v>0</v>
      </c>
      <c r="IV505" s="39">
        <v>0</v>
      </c>
      <c r="IW505" s="39">
        <v>0</v>
      </c>
      <c r="IX505" s="39">
        <f>INDEX(Input!$1:$1048576,IX$93,$C505*2+6)+INDEX(Input!$1:$1048576,IX$94,$C505*2+6)</f>
        <v>1270</v>
      </c>
      <c r="IY505" s="39">
        <f>INDEX(Input!$1:$1048576,IY$93,$C505*2+6)+INDEX(Input!$1:$1048576,IY$94,$C505*2+6)</f>
        <v>2130.0624533823611</v>
      </c>
      <c r="IZ505" s="39">
        <f>INDEX(Input!$1:$1048576,IZ$93,$C505*2+6)+INDEX(Input!$1:$1048576,IZ$94,$C505*2+6)</f>
        <v>3653.7164157747857</v>
      </c>
      <c r="JA505" s="19">
        <f t="shared" si="1449"/>
        <v>1270</v>
      </c>
      <c r="JB505" s="19">
        <f t="shared" si="1450"/>
        <v>2130.0291261584589</v>
      </c>
      <c r="JC505" s="19">
        <f t="shared" si="1451"/>
        <v>4153.7164157747857</v>
      </c>
      <c r="JD505" s="19">
        <f t="shared" si="1452"/>
        <v>1986.4613289849729</v>
      </c>
      <c r="JE505" s="21"/>
      <c r="JF505" s="1">
        <f t="shared" si="1432"/>
        <v>2.9195044280595241E-2</v>
      </c>
      <c r="JG505" s="15">
        <f>INDEX(Input!$1:$1048576,JG$93,$C505*2+6)/(1+VLOOKUP(C505*1000+INDEX(Input!$1:$1048576,JG$93+1,$C505*2+6),$A:$KK,$JK$92,FALSE))</f>
        <v>821</v>
      </c>
      <c r="JH505" s="1">
        <f t="shared" si="1453"/>
        <v>4.4762070104900822E-3</v>
      </c>
      <c r="JI505" s="1">
        <f t="shared" si="1454"/>
        <v>4.3849267627922945E-3</v>
      </c>
      <c r="JJ505" s="1">
        <f t="shared" si="1455"/>
        <v>0</v>
      </c>
      <c r="JK505" s="1">
        <f>SUM(JH505:JJ505)</f>
        <v>8.8611337732823758E-3</v>
      </c>
      <c r="JL505" s="15">
        <f t="shared" si="1457"/>
        <v>7.2749908278648308</v>
      </c>
      <c r="JM505" s="15">
        <f t="shared" si="1458"/>
        <v>828.27499082786483</v>
      </c>
      <c r="JN505" s="21"/>
      <c r="JO505" s="19">
        <f>INDEX(Input!$1:$1048576,JO$93,$C505*2+6)</f>
        <v>5995.5</v>
      </c>
      <c r="JP505" s="19">
        <f>INDEX(Input!$1:$1048576,JP$93,$C505*2+6)</f>
        <v>1890.7138380411029</v>
      </c>
      <c r="JQ505" s="39">
        <f t="shared" si="1469"/>
        <v>4009.0386710150269</v>
      </c>
      <c r="JR505" s="39">
        <f t="shared" si="1470"/>
        <v>95.747490943869934</v>
      </c>
      <c r="JS505" s="39">
        <f t="shared" si="1471"/>
        <v>1.6453362390449366</v>
      </c>
      <c r="JT505" s="39">
        <f t="shared" si="1459"/>
        <v>9.3060178013191094E-2</v>
      </c>
      <c r="JU505" s="385">
        <f>(JQ505*JM505-INDEX(Input!$1:$1048576,Input!A$18,$C505*2+6)*JL505*INDEX(Input!$1:$1048576,Input!A$19,$C505*2+6))/1000000</f>
        <v>3.3205864684635271</v>
      </c>
      <c r="JV505" s="39">
        <f t="shared" si="1435"/>
        <v>-4.9442970504727235E-2</v>
      </c>
      <c r="JW505" s="1">
        <f t="shared" ref="JW505" si="1478">JV505/(JU505-JV505)</f>
        <v>-1.4671376437549568E-2</v>
      </c>
      <c r="JX505" s="19">
        <f t="shared" si="1475"/>
        <v>12791.79317405459</v>
      </c>
      <c r="JZ505" s="468">
        <f>(IA505+HR505)/SUM(HP505:HR505,HY505:IA505)*IN505</f>
        <v>45.195317804950079</v>
      </c>
      <c r="KA505" s="469">
        <f>JH505/(JZ505/BX505)</f>
        <v>1.9793421409428917</v>
      </c>
      <c r="KB505" s="469">
        <f>KB504</f>
        <v>2.5122967434604799</v>
      </c>
      <c r="KC505" s="469">
        <f>MIN(KE504+1)</f>
        <v>3.7430132089032639</v>
      </c>
      <c r="KD505" s="469">
        <f>KC505+2</f>
        <v>5.7430132089032639</v>
      </c>
      <c r="KE505" s="469">
        <f>MIN(MAX(KA505,KC505),KD505)</f>
        <v>3.7430132089032639</v>
      </c>
      <c r="KF505" s="470">
        <f>A505</f>
        <v>5005</v>
      </c>
      <c r="KG505" s="471">
        <f>(JH505/KA505*KE505-JH505)/MAX(IL505:IN505)*1000</f>
        <v>7.9769501546024246E-3</v>
      </c>
      <c r="KH505" s="472"/>
      <c r="KI505" s="473">
        <f t="shared" si="1473"/>
        <v>-10.854628053507099</v>
      </c>
      <c r="KJ505" s="473">
        <f t="shared" si="1460"/>
        <v>-1.015254417738447</v>
      </c>
      <c r="KK505" s="473">
        <f t="shared" si="1461"/>
        <v>19.144873299110415</v>
      </c>
      <c r="KL505" s="472" t="str">
        <f>IF(OR(KI505&gt;0,KJ505&gt;0),"Error - Adjust TR","ok")</f>
        <v>ok</v>
      </c>
      <c r="KN505" s="544">
        <f t="shared" si="1476"/>
        <v>5002</v>
      </c>
      <c r="KO505" s="541">
        <f t="shared" si="1436"/>
        <v>4.7700732055269146E-3</v>
      </c>
      <c r="KP505" s="546">
        <f t="shared" si="1437"/>
        <v>18.570482326194991</v>
      </c>
      <c r="KQ505" s="546">
        <f t="shared" si="1438"/>
        <v>67.542563261706391</v>
      </c>
      <c r="KR505" s="548">
        <f t="shared" si="1439"/>
        <v>4.6405111354021162</v>
      </c>
      <c r="KS505" s="548">
        <f t="shared" si="1440"/>
        <v>1.2758848030476553</v>
      </c>
      <c r="KT505" s="473">
        <f t="shared" si="1474"/>
        <v>595.94378802984284</v>
      </c>
      <c r="KU505" s="663">
        <f t="shared" si="1462"/>
        <v>3.9221738059952744</v>
      </c>
      <c r="KV505" s="117"/>
    </row>
    <row r="506" spans="1:310" s="26" customFormat="1" ht="15">
      <c r="A506" s="561">
        <f t="shared" si="1441"/>
        <v>5006</v>
      </c>
      <c r="B506" s="561">
        <f t="shared" si="1463"/>
        <v>6</v>
      </c>
      <c r="C506" s="561">
        <f t="shared" si="1464"/>
        <v>5</v>
      </c>
      <c r="D506" s="561" t="s">
        <v>742</v>
      </c>
      <c r="E506" s="115">
        <f>INDEX(Input!$1:$1048576,E$93,$C506*2+MIN($B506,1)+5)</f>
        <v>1000</v>
      </c>
      <c r="F506" s="115">
        <f>INDEX(Input!$1:$1048576,F$93,$C506*2+MIN($B506,1)+5)</f>
        <v>0</v>
      </c>
      <c r="G506" s="115">
        <f>INDEX(Input!$1:$1048576,G$93,$C506*2+MIN($B506,1)+5)</f>
        <v>0</v>
      </c>
      <c r="H506" s="115">
        <f>INDEX(Input!$1:$1048576,H$93,$C506*2+MIN($B506,1)+5)</f>
        <v>0</v>
      </c>
      <c r="I506" s="118">
        <f>INDEX(Input!$1:$1048576,I$93,$C506*2+MIN($B506,1)+5)</f>
        <v>0.7</v>
      </c>
      <c r="J506" s="118" t="str">
        <f>INDEX(Input!$1:$1048576,J$93,$C506*2+MIN($B506,1)+5)</f>
        <v>Market</v>
      </c>
      <c r="K506" s="118" t="str">
        <f>INDEX(Input!$1:$1048576,K$93,$C506*2+MIN($B506,1)+5)</f>
        <v>Market</v>
      </c>
      <c r="L506" s="118" t="str">
        <f>INDEX(Input!$1:$1048576,L$93,$C506*2+MIN($B506,1)+5)</f>
        <v>Market</v>
      </c>
      <c r="M506" s="118" t="str">
        <f>INDEX(Input!$1:$1048576,M$93,$C506*2+MIN($B506,1)+5)</f>
        <v>Market</v>
      </c>
      <c r="N506" s="118" t="str">
        <f>INDEX(Input!$1:$1048576,N$93,$C506*2+MIN($B506,1)+5)</f>
        <v>Market</v>
      </c>
      <c r="O506" s="118" t="str">
        <f>INDEX(Input!$1:$1048576,O$93,$C506*2+MIN($B506,1)+5)</f>
        <v>Market</v>
      </c>
      <c r="P506" s="118" t="str">
        <f>INDEX(Input!$1:$1048576,P$93,$C506*2+MIN($B506,1)+5)</f>
        <v>N</v>
      </c>
      <c r="Q506" s="30">
        <f>INDEX(Input!$1:$1048576,Q$93,$C506*2+MIN($B506,1)+5)</f>
        <v>0</v>
      </c>
      <c r="R506" s="383">
        <f>INDEX(Input!$1:$1048576,R$93,$C506*2+MIN($B506,1)+5)</f>
        <v>0</v>
      </c>
      <c r="S506" s="383">
        <f>INDEX(Input!$1:$1048576,S$93,$C506*2+MIN($B506,1)+5)</f>
        <v>0</v>
      </c>
      <c r="T506" s="383">
        <f>INDEX(Input!$1:$1048576,T$93,$C506*2+MIN($B506,1)+5)</f>
        <v>0</v>
      </c>
      <c r="U506" s="383">
        <f>INDEX(Input!$1:$1048576,U$93,$C506*2+MIN($B506,1)+5)</f>
        <v>0</v>
      </c>
      <c r="V506" s="383">
        <f>INDEX(Input!$1:$1048576,V$93,$C506*2+MIN($B506,1)+5)</f>
        <v>1.9E-2</v>
      </c>
      <c r="W506" s="884">
        <f>INDEX(Input!$1:$1048576,W$93,$C506*2+MIN($B506,1)+5)</f>
        <v>3.9E-2</v>
      </c>
      <c r="X506" s="118" t="str">
        <f>INDEX(Input!$1:$1048576,X$93,$C506*2+MIN($B506,1)+5)</f>
        <v>Y</v>
      </c>
      <c r="Y506" s="150">
        <f>INDEX(Input!$1:$1048576,Y$93,$C506*2+MIN($B506,1)+5)</f>
        <v>79.063582607477429</v>
      </c>
      <c r="Z506" s="477">
        <f>INDEX(Input!$1:$1048576,Z$93,$C506*2+MIN($B506,1)+5)+500</f>
        <v>500</v>
      </c>
      <c r="AA506" s="115">
        <f>INDEX(Input!$1:$1048576,AA$93,$C506*2+MIN($B506,1)+5)</f>
        <v>1000</v>
      </c>
      <c r="AB506" s="118">
        <f>INDEX(Input!$1:$1048576,AB$93,$C506*2+MIN($B506,1)+5)</f>
        <v>0.27</v>
      </c>
      <c r="AC506" s="115">
        <f>INDEX(Input!$1:$1048576,AC$93,$C506*2+MIN($B506,1)+5)</f>
        <v>1000</v>
      </c>
      <c r="AD506" s="118">
        <f>INDEX(Input!$1:$1048576,AD$93,$C506*2+MIN($B506,1)+5)</f>
        <v>0.27</v>
      </c>
      <c r="AE506" s="115">
        <f>INDEX(Input!$1:$1048576,AE$93,$C506*2+MIN($B506,1)+5)</f>
        <v>0</v>
      </c>
      <c r="AF506" s="118">
        <f>INDEX(Input!$1:$1048576,AF$93,$C506*2+MIN($B506,1)+5)</f>
        <v>0.2</v>
      </c>
      <c r="AG506" s="115">
        <f>INDEX(Input!$1:$1048576,AG$93,$C506*2+MIN($B506,1)+5)</f>
        <v>0</v>
      </c>
      <c r="AH506" s="118">
        <f>INDEX(Input!$1:$1048576,AH$93,$C506*2+MIN($B506,1)+5)</f>
        <v>1</v>
      </c>
      <c r="AI506" s="115">
        <f>INDEX(Input!$1:$1048576,AI$93,$C506*2+MIN($B506,1)+5)</f>
        <v>0</v>
      </c>
      <c r="AJ506" s="118">
        <f>INDEX(Input!$1:$1048576,AJ$93,$C506*2+MIN($B506,1)+5)</f>
        <v>0.27</v>
      </c>
      <c r="AK506" s="150">
        <f>ROUND(INDEX(Input!$1:$1048576,AK$93,$C505*2+MIN($B506,1)+5)+(Y506-VLOOKUP($C506*1000+1,$A:$HH,Y$92,FALSE)),0)</f>
        <v>3384</v>
      </c>
      <c r="AL506" s="150">
        <f>ROUND(INDEX(Input!$1:$1048576,AL$93,$C505*2+MIN($B506,1)+5)-(Y506-VLOOKUP($C506*1000+1,$A:$HH,Y$92,FALSE))/36,0)</f>
        <v>3384</v>
      </c>
      <c r="AM506" s="32" t="str">
        <f t="shared" si="1442"/>
        <v>std/std/std/std</v>
      </c>
      <c r="AN506" s="32" t="str">
        <f t="shared" si="1443"/>
        <v>$0 + 0/0/0/1.9/3.9</v>
      </c>
      <c r="AO506" s="32" t="str">
        <f t="shared" si="1444"/>
        <v>0/0/0/1.9/3.9</v>
      </c>
      <c r="AP506" s="32" t="str">
        <f t="shared" si="1396"/>
        <v>0/0.9/1.9/3.9</v>
      </c>
      <c r="AQ506" s="536">
        <f t="shared" si="1394"/>
        <v>270.40224360315023</v>
      </c>
      <c r="AR506" s="32"/>
      <c r="AS506" s="302"/>
      <c r="AT506" s="3">
        <f t="shared" si="1465"/>
        <v>6</v>
      </c>
      <c r="AU506" s="41" t="s">
        <v>121</v>
      </c>
      <c r="AV506" s="41" t="s">
        <v>116</v>
      </c>
      <c r="AW506" s="41" t="str">
        <f>INDEX(Input!$1:$1048576,AW$93,$C506*2+6)</f>
        <v>Kia</v>
      </c>
      <c r="AX506" s="41" t="str">
        <f>INDEX(Input!$1:$1048576,AX$93,$C506*2+6)</f>
        <v>Kia-LR - R2</v>
      </c>
      <c r="AY506" s="41" t="str">
        <f>IF(LEN(D506)=0,"",INDEX(Input!$1:$1048576,AY$93,$C506*2+6))</f>
        <v>Compact SUV (52)</v>
      </c>
      <c r="AZ506" s="41" t="str">
        <f>INDEX(Input!$1:$1048576,AZ$93,$C506*2+6)</f>
        <v>Kia Soul</v>
      </c>
      <c r="BA506" s="3">
        <f>INDEX(Input!$1:$1048576,BA$93,$C506*2+6)</f>
        <v>2020</v>
      </c>
      <c r="BB506" s="128">
        <f>INDEX(Input!$1:$1048576,BB$93,$C506*2+6)</f>
        <v>1</v>
      </c>
      <c r="BC506" s="128">
        <f>INDEX(Input!$1:$1048576,BC$93,$C506*2+6)</f>
        <v>0.7</v>
      </c>
      <c r="BD506" s="1">
        <f>INDEX(Input!$1:$1048576,BD$93,$C506*2+6)</f>
        <v>4.4999999999999998E-2</v>
      </c>
      <c r="BE506" s="1">
        <f>INDEX(Input!$1:$1048576,BE$93,$C506*2+6)</f>
        <v>4.4999999999999998E-2</v>
      </c>
      <c r="BF506" s="1">
        <f>INDEX(Input!$1:$1048576,BF$93,$C506*2+6)</f>
        <v>0.05</v>
      </c>
      <c r="BG506" s="1">
        <f>INDEX(Input!$1:$1048576,BG$93,$C506*2+6)</f>
        <v>5.45E-2</v>
      </c>
      <c r="BH506" s="1">
        <f>INDEX(Input!$1:$1048576,BH$93,$C506*2+6)</f>
        <v>5.45E-2</v>
      </c>
      <c r="BI506" s="1">
        <f>INDEX(Input!$1:$1048576,BI$93,$C506*2+6)</f>
        <v>0.05</v>
      </c>
      <c r="BJ506" s="1">
        <f>INDEX(Input!$1:$1048576,BJ$93,$C506*2+6)</f>
        <v>0.05</v>
      </c>
      <c r="BK506" s="1">
        <f>INDEX(Input!$1:$1048576,BK$93,$C506*2+6)</f>
        <v>0.05</v>
      </c>
      <c r="BL506" s="1">
        <f>INDEX(Input!$1:$1048576,BL$93,$C506*2+6)</f>
        <v>5.5E-2</v>
      </c>
      <c r="BM506" s="1">
        <f>INDEX(Input!$1:$1048576,BM$93,$C506*2+6)</f>
        <v>0.06</v>
      </c>
      <c r="BN506" s="1">
        <f>INDEX(Input!$1:$1048576,BN$93,$C506*2+6)</f>
        <v>4.4999999999999998E-2</v>
      </c>
      <c r="BO506" s="1">
        <f>INDEX(Input!$1:$1048576,BO$93,$C506*2+6)</f>
        <v>4.4999999999999998E-2</v>
      </c>
      <c r="BP506" s="1">
        <f>INDEX(Input!$1:$1048576,BP$93,$C506*2+6)</f>
        <v>0.05</v>
      </c>
      <c r="BQ506" s="1">
        <f>INDEX(Input!$1:$1048576,BQ$93,$C506*2+6)</f>
        <v>5.45E-2</v>
      </c>
      <c r="BR506" s="1">
        <f>INDEX(Input!$1:$1048576,BR$93,$C506*2+6)</f>
        <v>5.45E-2</v>
      </c>
      <c r="BS506" s="1">
        <f>INDEX(Input!$1:$1048576,BS$93,$C506*2+6)</f>
        <v>0.05</v>
      </c>
      <c r="BT506" s="1">
        <f>INDEX(Input!$1:$1048576,BT$93,$C506*2+6)</f>
        <v>0.05</v>
      </c>
      <c r="BU506" s="1">
        <f>INDEX(Input!$1:$1048576,BU$93,$C506*2+6)</f>
        <v>0.05</v>
      </c>
      <c r="BV506" s="1">
        <f>INDEX(Input!$1:$1048576,BV$93,$C506*2+6)</f>
        <v>5.5E-2</v>
      </c>
      <c r="BW506" s="1">
        <f>INDEX(Input!$1:$1048576,BW$93,$C506*2+6)</f>
        <v>0.06</v>
      </c>
      <c r="BX506" s="127">
        <f>INDEX(Input!$1:$1048576,BX$93,$C506*2+6)</f>
        <v>19985</v>
      </c>
      <c r="BY506" s="20">
        <f>INDEX(Input!$1:$1048576,BY$93,$C506*2+6)</f>
        <v>0.1</v>
      </c>
      <c r="BZ506" s="20">
        <f>INDEX(Input!$1:$1048576,BZ$93,$C506*2+6)</f>
        <v>0.1</v>
      </c>
      <c r="CA506" s="20">
        <f>INDEX(Input!$1:$1048576,CA$93,$C506*2+6)</f>
        <v>0.1</v>
      </c>
      <c r="CB506" s="20">
        <f>INDEX(Input!$1:$1048576,CB$93,$C506*2+6)</f>
        <v>0.1</v>
      </c>
      <c r="CC506" s="20">
        <f>INDEX(Input!$1:$1048576,CC$93,$C506*2+6)</f>
        <v>0.1</v>
      </c>
      <c r="CD506" s="384">
        <f>INDEX(Input!$1:$1048576,CD$93,$C506*2+6)</f>
        <v>0.1</v>
      </c>
      <c r="CE506" s="384">
        <f>INDEX(Input!$1:$1048576,CE$93,$C506*2+6)</f>
        <v>0.1</v>
      </c>
      <c r="CF506" s="384">
        <f>INDEX(Input!$1:$1048576,CF$93,$C506*2+6)</f>
        <v>0.1</v>
      </c>
      <c r="CG506" s="384">
        <f>INDEX(Input!$1:$1048576,CG$93,$C506*2+6)</f>
        <v>0.1</v>
      </c>
      <c r="CH506" s="384">
        <f>INDEX(Input!$1:$1048576,CH$93,$C506*2+6)</f>
        <v>0.1</v>
      </c>
      <c r="CI506" s="304">
        <f t="shared" si="1397"/>
        <v>1270</v>
      </c>
      <c r="CJ506" s="16" t="str">
        <f>INDEX(Input!$1:$1048576,CJ$93,$C506*2+6)</f>
        <v>N</v>
      </c>
      <c r="CK506" s="1" t="str">
        <f t="shared" si="1398"/>
        <v>Market</v>
      </c>
      <c r="CL506" s="1" t="str">
        <f t="shared" si="1399"/>
        <v>Market</v>
      </c>
      <c r="CM506" s="1" t="str">
        <f t="shared" si="1400"/>
        <v>Market</v>
      </c>
      <c r="CN506" s="1" t="str">
        <f t="shared" si="1401"/>
        <v>Market</v>
      </c>
      <c r="CO506" s="1" t="str">
        <f t="shared" si="1402"/>
        <v>Market</v>
      </c>
      <c r="CP506" s="304">
        <f t="shared" si="1403"/>
        <v>0</v>
      </c>
      <c r="CQ506" s="1">
        <f t="shared" si="1404"/>
        <v>0</v>
      </c>
      <c r="CR506" s="1">
        <f t="shared" si="1405"/>
        <v>0</v>
      </c>
      <c r="CS506" s="1">
        <f t="shared" si="1406"/>
        <v>0</v>
      </c>
      <c r="CT506" s="1">
        <f t="shared" si="1407"/>
        <v>1.9E-2</v>
      </c>
      <c r="CU506" s="1">
        <f t="shared" si="1408"/>
        <v>3.9E-2</v>
      </c>
      <c r="CV506" s="304">
        <f t="shared" si="1409"/>
        <v>349.06358260747743</v>
      </c>
      <c r="CW506" s="20" t="s">
        <v>122</v>
      </c>
      <c r="CX506" s="20" t="s">
        <v>122</v>
      </c>
      <c r="CY506" s="20" t="s">
        <v>122</v>
      </c>
      <c r="CZ506" s="20" t="s">
        <v>122</v>
      </c>
      <c r="DA506" s="20" t="s">
        <v>122</v>
      </c>
      <c r="DB506" s="503">
        <f t="shared" si="1410"/>
        <v>500</v>
      </c>
      <c r="DC506" s="127">
        <v>0</v>
      </c>
      <c r="DD506" s="127">
        <v>0</v>
      </c>
      <c r="DE506" s="127">
        <v>0</v>
      </c>
      <c r="DF506" s="127">
        <v>0</v>
      </c>
      <c r="DG506" s="127">
        <v>0</v>
      </c>
      <c r="DH506" s="127">
        <v>0</v>
      </c>
      <c r="DI506" s="127">
        <v>0</v>
      </c>
      <c r="DJ506" s="127">
        <v>0</v>
      </c>
      <c r="DK506" s="127">
        <v>0</v>
      </c>
      <c r="DL506" s="127">
        <v>0</v>
      </c>
      <c r="DM506" s="304">
        <f>INDEX(Input!$1:$1048576,DM$93,$C506*2+6)</f>
        <v>21036.84210526316</v>
      </c>
      <c r="DN506" s="20">
        <v>0</v>
      </c>
      <c r="DO506" s="20">
        <v>0</v>
      </c>
      <c r="DP506" s="20">
        <v>0</v>
      </c>
      <c r="DQ506" s="20">
        <v>0</v>
      </c>
      <c r="DR506" s="20">
        <v>0</v>
      </c>
      <c r="DS506" s="20">
        <f>INDEX(Input!$1:$1048576,DS$93,$C506*2+6)</f>
        <v>0.6</v>
      </c>
      <c r="DT506" s="20">
        <f>INDEX(Input!$1:$1048576,DT$93,$C506*2+6)</f>
        <v>0.55000000000000004</v>
      </c>
      <c r="DU506" s="20">
        <f>INDEX(Input!$1:$1048576,DU$93,$C506*2+6)</f>
        <v>0.52</v>
      </c>
      <c r="DV506" s="20">
        <f>INDEX(Input!$1:$1048576,DV$93,$C506*2+6)</f>
        <v>0.5</v>
      </c>
      <c r="DW506" s="20">
        <f>INDEX(Input!$1:$1048576,DW$93,$C506*2+6)</f>
        <v>0.45</v>
      </c>
      <c r="DX506" s="20"/>
      <c r="DY506" s="7">
        <v>0.12478486749446774</v>
      </c>
      <c r="DZ506" s="7">
        <v>0</v>
      </c>
      <c r="EA506" s="7">
        <v>0.73061705841312208</v>
      </c>
      <c r="EB506" s="7">
        <v>0</v>
      </c>
      <c r="EC506" s="7">
        <v>0</v>
      </c>
      <c r="ED506" s="7">
        <v>0</v>
      </c>
      <c r="EE506" s="7">
        <v>0</v>
      </c>
      <c r="EF506" s="7">
        <v>0</v>
      </c>
      <c r="EG506" s="7">
        <v>0</v>
      </c>
      <c r="EH506" s="7">
        <v>1.2088724400301657E-2</v>
      </c>
      <c r="EI506" s="7">
        <v>3.3606764413071449E-2</v>
      </c>
      <c r="EJ506" s="7">
        <v>0.29191831862209183</v>
      </c>
      <c r="EK506" s="7">
        <v>0.53734110928018219</v>
      </c>
      <c r="EL506" s="7">
        <v>0.12504508328435271</v>
      </c>
      <c r="EM506" s="7">
        <v>7.5158503691286072E-2</v>
      </c>
      <c r="EN506" s="7">
        <v>5.9929256348916708E-2</v>
      </c>
      <c r="EO506" s="7">
        <v>0.73091028540450098</v>
      </c>
      <c r="EP506" s="7">
        <v>8.3389761384422847E-2</v>
      </c>
      <c r="EQ506" s="7">
        <v>8.203045365037176E-2</v>
      </c>
      <c r="ER506" s="7">
        <v>4.3740243211787856E-2</v>
      </c>
      <c r="ES506" s="7">
        <v>6.9439570401124015E-2</v>
      </c>
      <c r="ET506" s="7">
        <v>0.14459807409241016</v>
      </c>
      <c r="EU506" s="6">
        <v>1740</v>
      </c>
      <c r="EV506" s="6">
        <v>0</v>
      </c>
      <c r="EW506" s="6">
        <v>1740</v>
      </c>
      <c r="EX506" s="6">
        <v>0</v>
      </c>
      <c r="EY506" s="6">
        <v>2485.753443137527</v>
      </c>
      <c r="EZ506" s="6">
        <v>478.55009605986811</v>
      </c>
      <c r="FA506" s="6">
        <v>0</v>
      </c>
      <c r="FB506" s="6">
        <v>0</v>
      </c>
      <c r="FC506" s="6">
        <v>0</v>
      </c>
      <c r="FD506" s="6">
        <v>0</v>
      </c>
      <c r="FE506" s="6">
        <v>0</v>
      </c>
      <c r="FF506" s="6">
        <v>0</v>
      </c>
      <c r="FG506" s="6">
        <v>0</v>
      </c>
      <c r="FH506" s="6">
        <v>1172.1359317755841</v>
      </c>
      <c r="FI506" s="6">
        <v>1553.9796069512404</v>
      </c>
      <c r="FJ506" s="6">
        <v>2101.2110117447401</v>
      </c>
      <c r="FK506" s="6">
        <v>1772.7139978623227</v>
      </c>
      <c r="FL506" s="6">
        <v>907.07682140966324</v>
      </c>
      <c r="FM506" s="6">
        <v>1745.7534431375268</v>
      </c>
      <c r="FN506" s="6">
        <v>0</v>
      </c>
      <c r="FO506" s="6">
        <v>0</v>
      </c>
      <c r="FP506" s="6">
        <v>0</v>
      </c>
      <c r="FQ506" s="6">
        <v>0</v>
      </c>
      <c r="FR506" s="6">
        <v>0</v>
      </c>
      <c r="FS506" s="6">
        <v>0</v>
      </c>
      <c r="FT506" s="7">
        <v>0.85540192590758979</v>
      </c>
      <c r="FU506" s="7">
        <v>7.5158503691286072E-2</v>
      </c>
      <c r="FV506" s="7">
        <v>6.9439570401124015E-2</v>
      </c>
      <c r="FW506" s="6">
        <v>1740</v>
      </c>
      <c r="FX506" s="6">
        <v>2485.753443137527</v>
      </c>
      <c r="FY506" s="6">
        <v>478.55009605986811</v>
      </c>
      <c r="FZ506" s="6">
        <v>1758.1538569113241</v>
      </c>
      <c r="GA506" s="6">
        <v>1708.455173496699</v>
      </c>
      <c r="GB506" s="6">
        <v>18276.544826503301</v>
      </c>
      <c r="GC506" s="7">
        <v>3.064145122680037E-2</v>
      </c>
      <c r="GD506" s="7">
        <v>3.1030085928614361E-2</v>
      </c>
      <c r="GE506" s="7"/>
      <c r="GF506" s="7"/>
      <c r="GG506" s="7">
        <v>1.2683299460505774E-2</v>
      </c>
      <c r="GH506" s="42">
        <v>-5.100250596248519</v>
      </c>
      <c r="GI506" s="6">
        <v>-2209.9797392309119</v>
      </c>
      <c r="GJ506" s="14">
        <v>0.50394797582841688</v>
      </c>
      <c r="GK506" s="14">
        <v>0.50887573065309732</v>
      </c>
      <c r="GL506" s="14">
        <v>0.49605202417158289</v>
      </c>
      <c r="GM506" s="14">
        <v>0.49112426934690245</v>
      </c>
      <c r="GO506" s="5">
        <v>343.14810671672558</v>
      </c>
      <c r="GP506" s="5">
        <v>309.95222615702232</v>
      </c>
      <c r="GQ506" s="5">
        <v>535.04305713031317</v>
      </c>
      <c r="GR506" s="5">
        <v>410.15490233172511</v>
      </c>
      <c r="GS506" s="5">
        <v>339.42744393800166</v>
      </c>
      <c r="GT506" s="5">
        <v>293.4407446948278</v>
      </c>
      <c r="GU506" s="5">
        <v>258.04012322764959</v>
      </c>
      <c r="GV506" s="39" t="s">
        <v>392</v>
      </c>
      <c r="GW506" s="5">
        <v>479.06944444444446</v>
      </c>
      <c r="GX506" s="5">
        <v>359.30208333333331</v>
      </c>
      <c r="GY506" s="5">
        <v>287.44166666666666</v>
      </c>
      <c r="GZ506" s="5">
        <v>253.63693795247147</v>
      </c>
      <c r="HA506" s="5">
        <v>234.94601787594507</v>
      </c>
      <c r="HB506" s="39">
        <v>267.44420495190309</v>
      </c>
      <c r="HC506" s="5">
        <v>266.34780829738077</v>
      </c>
      <c r="HD506" s="5">
        <v>225.51535349119467</v>
      </c>
      <c r="HE506" s="5">
        <v>227.6953722524562</v>
      </c>
      <c r="HF506" s="5">
        <v>209.84228451107168</v>
      </c>
      <c r="HG506" s="5">
        <v>201.45917140446653</v>
      </c>
      <c r="HH506" s="39">
        <v>225.80631117319174</v>
      </c>
      <c r="HI506" s="16"/>
      <c r="HJ506" s="19" t="str">
        <f t="shared" si="1466"/>
        <v>On</v>
      </c>
      <c r="HK506" s="1" t="str">
        <f t="shared" si="1466"/>
        <v>On</v>
      </c>
      <c r="HL506" s="16"/>
      <c r="HM506" s="639">
        <f t="shared" si="1413"/>
        <v>2.4909940070666322E-2</v>
      </c>
      <c r="HN506" s="639">
        <f t="shared" si="1414"/>
        <v>2.2052381276269151E-3</v>
      </c>
      <c r="HO506" s="639">
        <f t="shared" si="1415"/>
        <v>2.079866082302006E-3</v>
      </c>
      <c r="HP506" s="644">
        <f>(FT506*$GD506-HM506)/$JF506*INDEX(Input!$1:$1048576,$JG$93,$C506*2+6)</f>
        <v>45.929113899603919</v>
      </c>
      <c r="HQ506" s="644">
        <f>(FU506*$GD506-HN506)/$JF506*INDEX(Input!$1:$1048576,$JG$93,$C506*2+6)</f>
        <v>3.5696137277948785</v>
      </c>
      <c r="HR506" s="644">
        <f>(FV506*$GD506-HO506)/$JF506*INDEX(Input!$1:$1048576,$JG$93,$C506*2+6)</f>
        <v>2.1048657271434608</v>
      </c>
      <c r="HS506" s="644">
        <f t="shared" si="1416"/>
        <v>-24.3123077189402</v>
      </c>
      <c r="HT506" s="644">
        <f t="shared" si="1417"/>
        <v>27.476171908364556</v>
      </c>
      <c r="HU506" s="644">
        <f t="shared" si="1418"/>
        <v>5.8296726613199708</v>
      </c>
      <c r="HV506" s="648">
        <f t="shared" si="1419"/>
        <v>0</v>
      </c>
      <c r="HW506" s="648">
        <f t="shared" si="1420"/>
        <v>0</v>
      </c>
      <c r="HX506" s="648">
        <f t="shared" si="1421"/>
        <v>0</v>
      </c>
      <c r="HY506" s="644">
        <f>INDEX(Input!$1:$1048576,HY$93,$C506*2+6)*INDEX(Input!$1:$1048576,$JG$93,$C506*2+6)</f>
        <v>333.00000000000006</v>
      </c>
      <c r="HZ506" s="644">
        <f>INDEX(Input!$1:$1048576,HZ$93,$C506*2+6)*INDEX(Input!$1:$1048576,$JG$93,$C506*2+6)</f>
        <v>429</v>
      </c>
      <c r="IA506" s="644">
        <f>INDEX(Input!$1:$1048576,IA$93,$C506*2+6)*INDEX(Input!$1:$1048576,$JG$93,$C506*2+6)</f>
        <v>59</v>
      </c>
      <c r="IB506" s="644">
        <f t="shared" si="1445"/>
        <v>354.61680618066384</v>
      </c>
      <c r="IC506" s="644">
        <f t="shared" si="1446"/>
        <v>460.04578563615945</v>
      </c>
      <c r="ID506" s="644">
        <f>IF(AND(INDEX(Input!$1:$1048576,IA$93,$C506*2+7)="TOS",Y506&lt;=INDEX(Y:Y,MATCH(C506*1000+2,A:A))),0,1)*MAX(IA506+HR506+HU506+HX506,0%)</f>
        <v>66.934538388463437</v>
      </c>
      <c r="IE506" s="128">
        <f t="shared" si="1477"/>
        <v>0.40224360315021501</v>
      </c>
      <c r="IF506" s="128">
        <f t="shared" si="1468"/>
        <v>0.52183221777166422</v>
      </c>
      <c r="IG506" s="128">
        <f t="shared" si="1423"/>
        <v>7.5924179078120643E-2</v>
      </c>
      <c r="IH506" s="21"/>
      <c r="II506" s="19">
        <f t="shared" si="1424"/>
        <v>1240</v>
      </c>
      <c r="IJ506" s="19">
        <f t="shared" si="1425"/>
        <v>1985.7442651839444</v>
      </c>
      <c r="IK506" s="19">
        <f t="shared" si="1426"/>
        <v>-21.44990394013189</v>
      </c>
      <c r="IL506" s="19">
        <f t="shared" si="1448"/>
        <v>500</v>
      </c>
      <c r="IM506" s="19">
        <f t="shared" si="1427"/>
        <v>500.00917795358259</v>
      </c>
      <c r="IN506" s="19">
        <f t="shared" si="1428"/>
        <v>500</v>
      </c>
      <c r="IO506" s="39">
        <f t="shared" si="1429"/>
        <v>0</v>
      </c>
      <c r="IP506" s="39">
        <f t="shared" si="1430"/>
        <v>0</v>
      </c>
      <c r="IQ506" s="39">
        <f t="shared" si="1431"/>
        <v>0</v>
      </c>
      <c r="IR506" s="39">
        <v>0</v>
      </c>
      <c r="IS506" s="39">
        <v>0</v>
      </c>
      <c r="IT506" s="39">
        <v>0</v>
      </c>
      <c r="IU506" s="39">
        <v>0</v>
      </c>
      <c r="IV506" s="39">
        <v>0</v>
      </c>
      <c r="IW506" s="39">
        <v>0</v>
      </c>
      <c r="IX506" s="39">
        <f>INDEX(Input!$1:$1048576,IX$93,$C506*2+6)+INDEX(Input!$1:$1048576,IX$94,$C506*2+6)</f>
        <v>1270</v>
      </c>
      <c r="IY506" s="39">
        <f>INDEX(Input!$1:$1048576,IY$93,$C506*2+6)+INDEX(Input!$1:$1048576,IY$94,$C506*2+6)</f>
        <v>2130.0624533823611</v>
      </c>
      <c r="IZ506" s="39">
        <f>INDEX(Input!$1:$1048576,IZ$93,$C506*2+6)+INDEX(Input!$1:$1048576,IZ$94,$C506*2+6)</f>
        <v>3653.7164157747857</v>
      </c>
      <c r="JA506" s="19">
        <f t="shared" si="1449"/>
        <v>1770</v>
      </c>
      <c r="JB506" s="19">
        <f t="shared" si="1450"/>
        <v>2630.0716313359435</v>
      </c>
      <c r="JC506" s="19">
        <f t="shared" si="1451"/>
        <v>4153.7164157747857</v>
      </c>
      <c r="JD506" s="19">
        <f t="shared" si="1452"/>
        <v>2399.7947988452693</v>
      </c>
      <c r="JE506" s="21"/>
      <c r="JF506" s="1">
        <f t="shared" si="1432"/>
        <v>2.9195044280595241E-2</v>
      </c>
      <c r="JG506" s="15">
        <f>INDEX(Input!$1:$1048576,JG$93,$C506*2+6)/(1+VLOOKUP(C506*1000+INDEX(Input!$1:$1048576,JG$93+1,$C506*2+6),$A:$KK,$JK$92,FALSE))</f>
        <v>821</v>
      </c>
      <c r="JH506" s="1">
        <f t="shared" si="1453"/>
        <v>6.2854559506141605E-2</v>
      </c>
      <c r="JI506" s="1">
        <f t="shared" si="1454"/>
        <v>1.0954368880321957E-2</v>
      </c>
      <c r="JJ506" s="1">
        <f t="shared" si="1455"/>
        <v>0</v>
      </c>
      <c r="JK506" s="1">
        <f t="shared" ref="JK506:JK507" si="1479">SUM(JH506:JJ506)</f>
        <v>7.3808928386463565E-2</v>
      </c>
      <c r="JL506" s="15">
        <f t="shared" si="1457"/>
        <v>60.597130205286589</v>
      </c>
      <c r="JM506" s="15">
        <f>JG506+JL506</f>
        <v>881.59713020528659</v>
      </c>
      <c r="JN506" s="21"/>
      <c r="JO506" s="19">
        <f>INDEX(Input!$1:$1048576,JO$93,$C506*2+6)</f>
        <v>5995.5</v>
      </c>
      <c r="JP506" s="19">
        <f>INDEX(Input!$1:$1048576,JP$93,$C506*2+6)</f>
        <v>1890.7138380411029</v>
      </c>
      <c r="JQ506" s="39">
        <f t="shared" si="1469"/>
        <v>3595.7052011547307</v>
      </c>
      <c r="JR506" s="39">
        <f>JD506-JP506</f>
        <v>509.08096080416635</v>
      </c>
      <c r="JS506" s="39">
        <f t="shared" si="1471"/>
        <v>2.1156522077435622</v>
      </c>
      <c r="JT506" s="39">
        <f t="shared" si="1459"/>
        <v>0.56337614671181679</v>
      </c>
      <c r="JU506" s="385">
        <f>(JQ506*JM506-INDEX(Input!$1:$1048576,Input!A$18,$C506*2+6)*JL506*INDEX(Input!$1:$1048576,Input!A$19,$C506*2+6))/1000000</f>
        <v>3.1699633864022334</v>
      </c>
      <c r="JV506" s="39">
        <f t="shared" si="1435"/>
        <v>-0.20006605256602095</v>
      </c>
      <c r="JW506" s="1">
        <f>JV506/(JU506-JV506)</f>
        <v>-5.9366262577003434E-2</v>
      </c>
      <c r="JX506" s="19">
        <f t="shared" si="1475"/>
        <v>9297.0763599406728</v>
      </c>
      <c r="JZ506" s="468">
        <f>DB506-DB501</f>
        <v>500</v>
      </c>
      <c r="KA506" s="469">
        <f>JH506/(JZ506/BX506)</f>
        <v>2.5122967434604799</v>
      </c>
      <c r="KB506" s="469">
        <f t="shared" si="1472"/>
        <v>2.5122967434604799</v>
      </c>
      <c r="KI506" s="473">
        <f t="shared" si="1473"/>
        <v>21.616806180663673</v>
      </c>
      <c r="KJ506" s="473">
        <f t="shared" si="1460"/>
        <v>31.045785636159337</v>
      </c>
      <c r="KK506" s="473">
        <f t="shared" si="1461"/>
        <v>7.9345383884634231</v>
      </c>
      <c r="KN506" s="544">
        <f t="shared" si="1476"/>
        <v>5002</v>
      </c>
      <c r="KO506" s="541">
        <f t="shared" si="1436"/>
        <v>6.9454496228099849E-2</v>
      </c>
      <c r="KP506" s="546">
        <f t="shared" si="1437"/>
        <v>471.14288340255553</v>
      </c>
      <c r="KQ506" s="546">
        <f t="shared" si="1438"/>
        <v>480.87603312200281</v>
      </c>
      <c r="KR506" s="548">
        <f t="shared" si="1439"/>
        <v>2.6632484860659851</v>
      </c>
      <c r="KS506" s="548">
        <f t="shared" si="1440"/>
        <v>2.6093431248720016</v>
      </c>
      <c r="KT506" s="473">
        <f t="shared" si="1474"/>
        <v>595.94378802984284</v>
      </c>
      <c r="KU506" s="663">
        <f t="shared" si="1462"/>
        <v>3.9917626495650937</v>
      </c>
      <c r="KV506" s="117"/>
    </row>
    <row r="507" spans="1:310" s="26" customFormat="1" ht="15">
      <c r="A507" s="561">
        <f t="shared" si="1441"/>
        <v>5007</v>
      </c>
      <c r="B507" s="561">
        <f t="shared" si="1463"/>
        <v>7</v>
      </c>
      <c r="C507" s="561">
        <f t="shared" si="1464"/>
        <v>5</v>
      </c>
      <c r="D507" s="561" t="s">
        <v>634</v>
      </c>
      <c r="E507" s="475">
        <f>INDEX(Input!$1:$1048576,E$93,$C507*2+MIN($B507,1)+5)</f>
        <v>1000</v>
      </c>
      <c r="F507" s="475">
        <f>INDEX(Input!$1:$1048576,F$93,$C507*2+MIN($B507,1)+5)</f>
        <v>0</v>
      </c>
      <c r="G507" s="475">
        <f>INDEX(Input!$1:$1048576,G$93,$C507*2+MIN($B507,1)+5)</f>
        <v>0</v>
      </c>
      <c r="H507" s="475">
        <f>INDEX(Input!$1:$1048576,H$93,$C507*2+MIN($B507,1)+5)</f>
        <v>0</v>
      </c>
      <c r="I507" s="476">
        <f>INDEX(Input!$1:$1048576,I$93,$C507*2+MIN($B507,1)+5)</f>
        <v>0.7</v>
      </c>
      <c r="J507" s="476" t="str">
        <f>INDEX(Input!$1:$1048576,J$93,$C507*2+MIN($B507,1)+5)</f>
        <v>Market</v>
      </c>
      <c r="K507" s="476" t="str">
        <f>INDEX(Input!$1:$1048576,K$93,$C507*2+MIN($B507,1)+5)</f>
        <v>Market</v>
      </c>
      <c r="L507" s="476" t="str">
        <f>INDEX(Input!$1:$1048576,L$93,$C507*2+MIN($B507,1)+5)</f>
        <v>Market</v>
      </c>
      <c r="M507" s="476" t="str">
        <f>INDEX(Input!$1:$1048576,M$93,$C507*2+MIN($B507,1)+5)</f>
        <v>Market</v>
      </c>
      <c r="N507" s="476" t="str">
        <f>INDEX(Input!$1:$1048576,N$93,$C507*2+MIN($B507,1)+5)</f>
        <v>Market</v>
      </c>
      <c r="O507" s="476" t="str">
        <f>INDEX(Input!$1:$1048576,O$93,$C507*2+MIN($B507,1)+5)</f>
        <v>Market</v>
      </c>
      <c r="P507" s="476" t="str">
        <f>INDEX(Input!$1:$1048576,P$93,$C507*2+MIN($B507,1)+5)</f>
        <v>N</v>
      </c>
      <c r="Q507" s="477">
        <f>INDEX(Input!$1:$1048576,Q$93,$C507*2+MIN($B507,1)+5)</f>
        <v>0</v>
      </c>
      <c r="R507" s="478">
        <f>IFERROR(MAX(0,INDEX(Input!$1:$1048576,R$93,$C507*2+MIN($B507,1)+5)-0%),"Market")</f>
        <v>0</v>
      </c>
      <c r="S507" s="478">
        <f>IFERROR(MAX(0,INDEX(Input!$1:$1048576,S$93,$C507*2+MIN($B507,1)+5)-0%),"Market")</f>
        <v>0</v>
      </c>
      <c r="T507" s="478">
        <f>IFERROR(MAX(0,INDEX(Input!$1:$1048576,T$93,$C507*2+MIN($B507,1)+5)-0%),"Market")</f>
        <v>0</v>
      </c>
      <c r="U507" s="478">
        <f>IFERROR(MAX(0,INDEX(Input!$1:$1048576,U$93,$C507*2+MIN($B507,1)+5)-0%),"Market")</f>
        <v>0</v>
      </c>
      <c r="V507" s="478">
        <f>IFERROR(MAX(0,INDEX(Input!$1:$1048576,V$93,$C507*2+MIN($B507,1)+5)-0%),"Market")</f>
        <v>1.9E-2</v>
      </c>
      <c r="W507" s="885">
        <f>IFERROR(MAX(0,INDEX(Input!$1:$1048576,W$93,$C507*2+MIN($B507,1)+5)-0%),"Market")</f>
        <v>3.9E-2</v>
      </c>
      <c r="X507" s="476" t="str">
        <f>INDEX(Input!$1:$1048576,X$93,$C507*2+MIN($B507,1)+5)</f>
        <v>Y</v>
      </c>
      <c r="Y507" s="475">
        <f>INDEX(Input!$1:$1048576,Y$93,$C507*2+MIN($B507,1)+5)</f>
        <v>79.063582607477429</v>
      </c>
      <c r="Z507" s="477">
        <f>INDEX(Input!$1:$1048576,Z$93,$C507*2+MIN($B507,1)+5)</f>
        <v>0</v>
      </c>
      <c r="AA507" s="475">
        <f>INDEX(Input!$1:$1048576,AA$93,$C507*2+MIN($B507,1)+5)</f>
        <v>1000</v>
      </c>
      <c r="AB507" s="476">
        <f>INDEX(Input!$1:$1048576,AB$93,$C507*2+MIN($B507,1)+5)</f>
        <v>0.27</v>
      </c>
      <c r="AC507" s="475">
        <f>INDEX(Input!$1:$1048576,AC$93,$C507*2+MIN($B507,1)+5)</f>
        <v>1000</v>
      </c>
      <c r="AD507" s="476">
        <f>INDEX(Input!$1:$1048576,AD$93,$C507*2+MIN($B507,1)+5)</f>
        <v>0.27</v>
      </c>
      <c r="AE507" s="475">
        <f>INDEX(Input!$1:$1048576,AE$93,$C507*2+MIN($B507,1)+5)</f>
        <v>0</v>
      </c>
      <c r="AF507" s="476">
        <f>INDEX(Input!$1:$1048576,AF$93,$C507*2+MIN($B507,1)+5)</f>
        <v>0.2</v>
      </c>
      <c r="AG507" s="475">
        <f>INDEX(Input!$1:$1048576,AG$93,$C507*2+MIN($B507,1)+5)</f>
        <v>0</v>
      </c>
      <c r="AH507" s="476">
        <f>INDEX(Input!$1:$1048576,AH$93,$C507*2+MIN($B507,1)+5)</f>
        <v>1</v>
      </c>
      <c r="AI507" s="475">
        <f>INDEX(Input!$1:$1048576,AI$93,$C507*2+MIN($B507,1)+5)</f>
        <v>0</v>
      </c>
      <c r="AJ507" s="476">
        <f>INDEX(Input!$1:$1048576,AJ$93,$C507*2+MIN($B507,1)+5)</f>
        <v>0.27</v>
      </c>
      <c r="AK507" s="150">
        <f>ROUND(INDEX(Input!$1:$1048576,AK$93,$C506*2+MIN($B507,1)+5)+(Y507-VLOOKUP($C507*1000+1,$A:$HH,Y$92,FALSE)),0)</f>
        <v>3384</v>
      </c>
      <c r="AL507" s="150">
        <f>ROUND(INDEX(Input!$1:$1048576,AL$93,$C506*2+MIN($B507,1)+5)-(Y507-VLOOKUP($C507*1000+1,$A:$HH,Y$92,FALSE))/36,0)</f>
        <v>3384</v>
      </c>
      <c r="AM507" s="32" t="str">
        <f t="shared" si="1442"/>
        <v>std/std/std/std</v>
      </c>
      <c r="AN507" s="32" t="str">
        <f t="shared" si="1443"/>
        <v>$0 + 0/0/0/1.9/3.9</v>
      </c>
      <c r="AO507" s="32" t="str">
        <f t="shared" si="1444"/>
        <v>0/0/0/1.9/3.9</v>
      </c>
      <c r="AP507" s="32" t="str">
        <f t="shared" si="1396"/>
        <v>0/0.9/1.9/3.9</v>
      </c>
      <c r="AQ507" s="536">
        <f t="shared" si="1394"/>
        <v>270.40560292326433</v>
      </c>
      <c r="AR507" s="32"/>
      <c r="AS507" s="302"/>
      <c r="AT507" s="3">
        <f t="shared" si="1465"/>
        <v>7</v>
      </c>
      <c r="AU507" s="41" t="s">
        <v>121</v>
      </c>
      <c r="AV507" s="41" t="s">
        <v>116</v>
      </c>
      <c r="AW507" s="41" t="str">
        <f>INDEX(Input!$1:$1048576,AW$93,$C507*2+6)</f>
        <v>Kia</v>
      </c>
      <c r="AX507" s="41" t="str">
        <f>INDEX(Input!$1:$1048576,AX$93,$C507*2+6)</f>
        <v>Kia-LR - R2</v>
      </c>
      <c r="AY507" s="41" t="str">
        <f>IF(LEN(D507)=0,"",INDEX(Input!$1:$1048576,AY$93,$C507*2+6))</f>
        <v>Compact SUV (52)</v>
      </c>
      <c r="AZ507" s="41" t="str">
        <f>INDEX(Input!$1:$1048576,AZ$93,$C507*2+6)</f>
        <v>Kia Soul</v>
      </c>
      <c r="BA507" s="3">
        <f>INDEX(Input!$1:$1048576,BA$93,$C507*2+6)</f>
        <v>2020</v>
      </c>
      <c r="BB507" s="128">
        <f>INDEX(Input!$1:$1048576,BB$93,$C507*2+6)</f>
        <v>1</v>
      </c>
      <c r="BC507" s="128">
        <f>INDEX(Input!$1:$1048576,BC$93,$C507*2+6)</f>
        <v>0.7</v>
      </c>
      <c r="BD507" s="1">
        <f>INDEX(Input!$1:$1048576,BD$93,$C507*2+6)</f>
        <v>4.4999999999999998E-2</v>
      </c>
      <c r="BE507" s="1">
        <f>INDEX(Input!$1:$1048576,BE$93,$C507*2+6)</f>
        <v>4.4999999999999998E-2</v>
      </c>
      <c r="BF507" s="1">
        <f>INDEX(Input!$1:$1048576,BF$93,$C507*2+6)</f>
        <v>0.05</v>
      </c>
      <c r="BG507" s="1">
        <f>INDEX(Input!$1:$1048576,BG$93,$C507*2+6)</f>
        <v>5.45E-2</v>
      </c>
      <c r="BH507" s="1">
        <f>INDEX(Input!$1:$1048576,BH$93,$C507*2+6)</f>
        <v>5.45E-2</v>
      </c>
      <c r="BI507" s="1">
        <f>INDEX(Input!$1:$1048576,BI$93,$C507*2+6)</f>
        <v>0.05</v>
      </c>
      <c r="BJ507" s="1">
        <f>INDEX(Input!$1:$1048576,BJ$93,$C507*2+6)</f>
        <v>0.05</v>
      </c>
      <c r="BK507" s="1">
        <f>INDEX(Input!$1:$1048576,BK$93,$C507*2+6)</f>
        <v>0.05</v>
      </c>
      <c r="BL507" s="1">
        <f>INDEX(Input!$1:$1048576,BL$93,$C507*2+6)</f>
        <v>5.5E-2</v>
      </c>
      <c r="BM507" s="1">
        <f>INDEX(Input!$1:$1048576,BM$93,$C507*2+6)</f>
        <v>0.06</v>
      </c>
      <c r="BN507" s="1">
        <f>INDEX(Input!$1:$1048576,BN$93,$C507*2+6)</f>
        <v>4.4999999999999998E-2</v>
      </c>
      <c r="BO507" s="1">
        <f>INDEX(Input!$1:$1048576,BO$93,$C507*2+6)</f>
        <v>4.4999999999999998E-2</v>
      </c>
      <c r="BP507" s="1">
        <f>INDEX(Input!$1:$1048576,BP$93,$C507*2+6)</f>
        <v>0.05</v>
      </c>
      <c r="BQ507" s="1">
        <f>INDEX(Input!$1:$1048576,BQ$93,$C507*2+6)</f>
        <v>5.45E-2</v>
      </c>
      <c r="BR507" s="1">
        <f>INDEX(Input!$1:$1048576,BR$93,$C507*2+6)</f>
        <v>5.45E-2</v>
      </c>
      <c r="BS507" s="1">
        <f>INDEX(Input!$1:$1048576,BS$93,$C507*2+6)</f>
        <v>0.05</v>
      </c>
      <c r="BT507" s="1">
        <f>INDEX(Input!$1:$1048576,BT$93,$C507*2+6)</f>
        <v>0.05</v>
      </c>
      <c r="BU507" s="1">
        <f>INDEX(Input!$1:$1048576,BU$93,$C507*2+6)</f>
        <v>0.05</v>
      </c>
      <c r="BV507" s="1">
        <f>INDEX(Input!$1:$1048576,BV$93,$C507*2+6)</f>
        <v>5.5E-2</v>
      </c>
      <c r="BW507" s="1">
        <f>INDEX(Input!$1:$1048576,BW$93,$C507*2+6)</f>
        <v>0.06</v>
      </c>
      <c r="BX507" s="127">
        <f>INDEX(Input!$1:$1048576,BX$93,$C507*2+6)</f>
        <v>19985</v>
      </c>
      <c r="BY507" s="20">
        <f>INDEX(Input!$1:$1048576,BY$93,$C507*2+6)</f>
        <v>0.1</v>
      </c>
      <c r="BZ507" s="20">
        <f>INDEX(Input!$1:$1048576,BZ$93,$C507*2+6)</f>
        <v>0.1</v>
      </c>
      <c r="CA507" s="20">
        <f>INDEX(Input!$1:$1048576,CA$93,$C507*2+6)</f>
        <v>0.1</v>
      </c>
      <c r="CB507" s="20">
        <f>INDEX(Input!$1:$1048576,CB$93,$C507*2+6)</f>
        <v>0.1</v>
      </c>
      <c r="CC507" s="20">
        <f>INDEX(Input!$1:$1048576,CC$93,$C507*2+6)</f>
        <v>0.1</v>
      </c>
      <c r="CD507" s="384">
        <f>INDEX(Input!$1:$1048576,CD$93,$C507*2+6)</f>
        <v>0.1</v>
      </c>
      <c r="CE507" s="384">
        <f>INDEX(Input!$1:$1048576,CE$93,$C507*2+6)</f>
        <v>0.1</v>
      </c>
      <c r="CF507" s="384">
        <f>INDEX(Input!$1:$1048576,CF$93,$C507*2+6)</f>
        <v>0.1</v>
      </c>
      <c r="CG507" s="384">
        <f>INDEX(Input!$1:$1048576,CG$93,$C507*2+6)</f>
        <v>0.1</v>
      </c>
      <c r="CH507" s="384">
        <f>INDEX(Input!$1:$1048576,CH$93,$C507*2+6)</f>
        <v>0.1</v>
      </c>
      <c r="CI507" s="304">
        <f t="shared" si="1397"/>
        <v>1270</v>
      </c>
      <c r="CJ507" s="16" t="str">
        <f>INDEX(Input!$1:$1048576,CJ$93,$C507*2+6)</f>
        <v>N</v>
      </c>
      <c r="CK507" s="1" t="str">
        <f t="shared" si="1398"/>
        <v>Market</v>
      </c>
      <c r="CL507" s="1" t="str">
        <f t="shared" si="1399"/>
        <v>Market</v>
      </c>
      <c r="CM507" s="1" t="str">
        <f t="shared" si="1400"/>
        <v>Market</v>
      </c>
      <c r="CN507" s="1" t="str">
        <f t="shared" si="1401"/>
        <v>Market</v>
      </c>
      <c r="CO507" s="1" t="str">
        <f t="shared" si="1402"/>
        <v>Market</v>
      </c>
      <c r="CP507" s="304">
        <f t="shared" si="1403"/>
        <v>0</v>
      </c>
      <c r="CQ507" s="1">
        <f t="shared" si="1404"/>
        <v>0</v>
      </c>
      <c r="CR507" s="1">
        <f t="shared" si="1405"/>
        <v>0</v>
      </c>
      <c r="CS507" s="1">
        <f t="shared" si="1406"/>
        <v>0</v>
      </c>
      <c r="CT507" s="1">
        <f t="shared" si="1407"/>
        <v>1.9E-2</v>
      </c>
      <c r="CU507" s="1">
        <f t="shared" si="1408"/>
        <v>3.9E-2</v>
      </c>
      <c r="CV507" s="304">
        <f t="shared" si="1409"/>
        <v>349.06358260747743</v>
      </c>
      <c r="CW507" s="20" t="s">
        <v>122</v>
      </c>
      <c r="CX507" s="20" t="s">
        <v>122</v>
      </c>
      <c r="CY507" s="20" t="s">
        <v>122</v>
      </c>
      <c r="CZ507" s="20" t="s">
        <v>122</v>
      </c>
      <c r="DA507" s="20" t="s">
        <v>122</v>
      </c>
      <c r="DB507" s="503">
        <f t="shared" si="1410"/>
        <v>0</v>
      </c>
      <c r="DC507" s="127">
        <v>0</v>
      </c>
      <c r="DD507" s="127">
        <v>0</v>
      </c>
      <c r="DE507" s="127">
        <v>0</v>
      </c>
      <c r="DF507" s="127">
        <v>0</v>
      </c>
      <c r="DG507" s="127">
        <v>0</v>
      </c>
      <c r="DH507" s="127">
        <v>0</v>
      </c>
      <c r="DI507" s="127">
        <v>0</v>
      </c>
      <c r="DJ507" s="127">
        <v>0</v>
      </c>
      <c r="DK507" s="127">
        <v>0</v>
      </c>
      <c r="DL507" s="127">
        <v>0</v>
      </c>
      <c r="DM507" s="304">
        <f>INDEX(Input!$1:$1048576,DM$93,$C507*2+6)</f>
        <v>21036.84210526316</v>
      </c>
      <c r="DN507" s="20">
        <v>0</v>
      </c>
      <c r="DO507" s="20">
        <v>0</v>
      </c>
      <c r="DP507" s="20">
        <v>0</v>
      </c>
      <c r="DQ507" s="20">
        <v>0</v>
      </c>
      <c r="DR507" s="20">
        <v>0</v>
      </c>
      <c r="DS507" s="20">
        <f>INDEX(Input!$1:$1048576,DS$93,$C507*2+6)</f>
        <v>0.6</v>
      </c>
      <c r="DT507" s="20">
        <f>INDEX(Input!$1:$1048576,DT$93,$C507*2+6)</f>
        <v>0.55000000000000004</v>
      </c>
      <c r="DU507" s="20">
        <f>INDEX(Input!$1:$1048576,DU$93,$C507*2+6)</f>
        <v>0.52</v>
      </c>
      <c r="DV507" s="20">
        <f>INDEX(Input!$1:$1048576,DV$93,$C507*2+6)</f>
        <v>0.5</v>
      </c>
      <c r="DW507" s="20">
        <f>INDEX(Input!$1:$1048576,DW$93,$C507*2+6)</f>
        <v>0.45</v>
      </c>
      <c r="DX507" s="20"/>
      <c r="DY507" s="7">
        <v>0.11876198280888668</v>
      </c>
      <c r="DZ507" s="7">
        <v>0</v>
      </c>
      <c r="EA507" s="7">
        <v>0.73446296287899993</v>
      </c>
      <c r="EB507" s="7">
        <v>0</v>
      </c>
      <c r="EC507" s="7">
        <v>0</v>
      </c>
      <c r="ED507" s="7">
        <v>0</v>
      </c>
      <c r="EE507" s="7">
        <v>0</v>
      </c>
      <c r="EF507" s="7">
        <v>0</v>
      </c>
      <c r="EG507" s="7">
        <v>0</v>
      </c>
      <c r="EH507" s="7">
        <v>1.2088468663993355E-2</v>
      </c>
      <c r="EI507" s="7">
        <v>3.3604678759269029E-2</v>
      </c>
      <c r="EJ507" s="7">
        <v>0.29188996887883673</v>
      </c>
      <c r="EK507" s="7">
        <v>0.53737126999834517</v>
      </c>
      <c r="EL507" s="7">
        <v>0.12504561369955569</v>
      </c>
      <c r="EM507" s="7">
        <v>7.5534673160014595E-2</v>
      </c>
      <c r="EN507" s="7">
        <v>5.8427244089358593E-2</v>
      </c>
      <c r="EO507" s="7">
        <v>0.71661649812390715</v>
      </c>
      <c r="EP507" s="7">
        <v>8.9988829702121298E-2</v>
      </c>
      <c r="EQ507" s="7">
        <v>8.8620913649330571E-2</v>
      </c>
      <c r="ER507" s="7">
        <v>4.6346514435282524E-2</v>
      </c>
      <c r="ES507" s="7">
        <v>7.1240381152098756E-2</v>
      </c>
      <c r="ET507" s="7">
        <v>0.14677505431211343</v>
      </c>
      <c r="EU507" s="6">
        <v>1240</v>
      </c>
      <c r="EV507" s="6">
        <v>0</v>
      </c>
      <c r="EW507" s="6">
        <v>1240</v>
      </c>
      <c r="EX507" s="6">
        <v>0</v>
      </c>
      <c r="EY507" s="6">
        <v>1985.7442651839444</v>
      </c>
      <c r="EZ507" s="6">
        <v>-21.44990394013189</v>
      </c>
      <c r="FA507" s="6">
        <v>0</v>
      </c>
      <c r="FB507" s="6">
        <v>0</v>
      </c>
      <c r="FC507" s="6">
        <v>0</v>
      </c>
      <c r="FD507" s="6">
        <v>0</v>
      </c>
      <c r="FE507" s="6">
        <v>0</v>
      </c>
      <c r="FF507" s="6">
        <v>0</v>
      </c>
      <c r="FG507" s="6">
        <v>0</v>
      </c>
      <c r="FH507" s="6">
        <v>1172.134625217014</v>
      </c>
      <c r="FI507" s="6">
        <v>1553.9796069512408</v>
      </c>
      <c r="FJ507" s="6">
        <v>2101.2110117447401</v>
      </c>
      <c r="FK507" s="6">
        <v>1772.7139978623236</v>
      </c>
      <c r="FL507" s="6">
        <v>907.07682140966278</v>
      </c>
      <c r="FM507" s="6">
        <v>1745.7442651839444</v>
      </c>
      <c r="FN507" s="6">
        <v>0</v>
      </c>
      <c r="FO507" s="6">
        <v>0</v>
      </c>
      <c r="FP507" s="6">
        <v>0</v>
      </c>
      <c r="FQ507" s="6">
        <v>0</v>
      </c>
      <c r="FR507" s="6">
        <v>0</v>
      </c>
      <c r="FS507" s="6">
        <v>0</v>
      </c>
      <c r="FT507" s="7">
        <v>0.85322494568788665</v>
      </c>
      <c r="FU507" s="7">
        <v>7.5534673160014595E-2</v>
      </c>
      <c r="FV507" s="7">
        <v>7.1240381152098756E-2</v>
      </c>
      <c r="FW507" s="6">
        <v>1240</v>
      </c>
      <c r="FX507" s="6">
        <v>1985.7442651839444</v>
      </c>
      <c r="FY507" s="6">
        <v>-21.44990394013189</v>
      </c>
      <c r="FZ507" s="6">
        <v>1758.1538569113241</v>
      </c>
      <c r="GA507" s="6">
        <v>1206.4633773706512</v>
      </c>
      <c r="GB507" s="6">
        <v>18778.536622629348</v>
      </c>
      <c r="GC507" s="7">
        <v>3.064145122680037E-2</v>
      </c>
      <c r="GD507" s="7">
        <v>2.9195044280595241E-2</v>
      </c>
      <c r="GE507" s="7"/>
      <c r="GF507" s="7"/>
      <c r="GG507" s="7">
        <v>-4.7204257249409826E-2</v>
      </c>
      <c r="GH507" s="42">
        <v>1.7099752780125794</v>
      </c>
      <c r="GI507" s="6">
        <v>12893.766847177296</v>
      </c>
      <c r="GJ507" s="14">
        <v>0.50394797582841733</v>
      </c>
      <c r="GK507" s="14">
        <v>0.50887573065309732</v>
      </c>
      <c r="GL507" s="14">
        <v>0.49605202417158273</v>
      </c>
      <c r="GM507" s="14">
        <v>0.49112426934690234</v>
      </c>
      <c r="GO507" s="5">
        <v>343.14810671672558</v>
      </c>
      <c r="GP507" s="5">
        <v>319.49127229486811</v>
      </c>
      <c r="GQ507" s="5">
        <v>535.04305713031317</v>
      </c>
      <c r="GR507" s="5">
        <v>410.15490233172511</v>
      </c>
      <c r="GS507" s="5">
        <v>339.42744393800166</v>
      </c>
      <c r="GT507" s="5">
        <v>293.4407446948278</v>
      </c>
      <c r="GU507" s="5">
        <v>258.04012322764959</v>
      </c>
      <c r="GV507" s="39" t="s">
        <v>392</v>
      </c>
      <c r="GW507" s="5">
        <v>492.95833333333331</v>
      </c>
      <c r="GX507" s="5">
        <v>369.71875</v>
      </c>
      <c r="GY507" s="5">
        <v>295.77499999999998</v>
      </c>
      <c r="GZ507" s="5">
        <v>260.99022522677262</v>
      </c>
      <c r="HA507" s="5">
        <v>241.7574294051233</v>
      </c>
      <c r="HB507" s="39">
        <v>275.19650164897638</v>
      </c>
      <c r="HC507" s="5">
        <v>288.22280829738071</v>
      </c>
      <c r="HD507" s="5">
        <v>240.44590904675022</v>
      </c>
      <c r="HE507" s="5">
        <v>241.5575517396357</v>
      </c>
      <c r="HF507" s="5">
        <v>221.40478451107165</v>
      </c>
      <c r="HG507" s="5">
        <v>211.0425047377999</v>
      </c>
      <c r="HH507" s="39">
        <v>240.28722987056548</v>
      </c>
      <c r="HI507" s="16"/>
      <c r="HJ507" s="19" t="str">
        <f t="shared" si="1466"/>
        <v>On</v>
      </c>
      <c r="HK507" s="1" t="str">
        <f t="shared" si="1466"/>
        <v>On</v>
      </c>
      <c r="HL507" s="16"/>
      <c r="HM507" s="639">
        <f t="shared" si="1413"/>
        <v>2.4909940070666322E-2</v>
      </c>
      <c r="HN507" s="639">
        <f t="shared" si="1414"/>
        <v>2.2052381276269151E-3</v>
      </c>
      <c r="HO507" s="639">
        <f t="shared" si="1415"/>
        <v>2.079866082302006E-3</v>
      </c>
      <c r="HP507" s="644">
        <f>(FT507*$GD507-HM507)/$JF507*INDEX(Input!$1:$1048576,$JG$93,$C507*2+6)</f>
        <v>0</v>
      </c>
      <c r="HQ507" s="644">
        <f>(FU507*$GD507-HN507)/$JF507*INDEX(Input!$1:$1048576,$JG$93,$C507*2+6)</f>
        <v>0</v>
      </c>
      <c r="HR507" s="644">
        <f>(FV507*$GD507-HO507)/$JF507*INDEX(Input!$1:$1048576,$JG$93,$C507*2+6)</f>
        <v>0</v>
      </c>
      <c r="HS507" s="644">
        <f t="shared" si="1416"/>
        <v>0</v>
      </c>
      <c r="HT507" s="644">
        <f t="shared" si="1417"/>
        <v>0</v>
      </c>
      <c r="HU507" s="644">
        <f t="shared" si="1418"/>
        <v>0</v>
      </c>
      <c r="HV507" s="648">
        <f t="shared" si="1419"/>
        <v>0</v>
      </c>
      <c r="HW507" s="648">
        <f t="shared" si="1420"/>
        <v>0</v>
      </c>
      <c r="HX507" s="648">
        <f t="shared" si="1421"/>
        <v>0</v>
      </c>
      <c r="HY507" s="644">
        <f>INDEX(Input!$1:$1048576,HY$93,$C507*2+6)*INDEX(Input!$1:$1048576,$JG$93,$C507*2+6)</f>
        <v>333.00000000000006</v>
      </c>
      <c r="HZ507" s="644">
        <f>INDEX(Input!$1:$1048576,HZ$93,$C507*2+6)*INDEX(Input!$1:$1048576,$JG$93,$C507*2+6)</f>
        <v>429</v>
      </c>
      <c r="IA507" s="644">
        <f>INDEX(Input!$1:$1048576,IA$93,$C507*2+6)*INDEX(Input!$1:$1048576,$JG$93,$C507*2+6)</f>
        <v>59</v>
      </c>
      <c r="IB507" s="644">
        <f t="shared" si="1445"/>
        <v>333</v>
      </c>
      <c r="IC507" s="644">
        <f t="shared" si="1446"/>
        <v>429</v>
      </c>
      <c r="ID507" s="644">
        <f>IF(AND(INDEX(Input!$1:$1048576,IA$93,$C507*2+7)="TOS",Y507&lt;=INDEX(Y:Y,MATCH(C507*1000+2,A:A))),0,1)*MAX(IA507+HR507+HU507+HX507,0%)</f>
        <v>59</v>
      </c>
      <c r="IE507" s="128">
        <f t="shared" ref="IE507" si="1480">IB507/SUM($IB507:$ID507)</f>
        <v>0.4056029232643118</v>
      </c>
      <c r="IF507" s="128">
        <f t="shared" si="1468"/>
        <v>0.52253349573690622</v>
      </c>
      <c r="IG507" s="128">
        <f t="shared" si="1423"/>
        <v>7.186358099878197E-2</v>
      </c>
      <c r="IH507" s="21"/>
      <c r="II507" s="19">
        <f t="shared" si="1424"/>
        <v>1240</v>
      </c>
      <c r="IJ507" s="19">
        <f t="shared" si="1425"/>
        <v>1985.7442651839444</v>
      </c>
      <c r="IK507" s="19">
        <f t="shared" si="1426"/>
        <v>-21.44990394013189</v>
      </c>
      <c r="IL507" s="19">
        <f t="shared" si="1448"/>
        <v>0</v>
      </c>
      <c r="IM507" s="19">
        <f t="shared" si="1427"/>
        <v>0</v>
      </c>
      <c r="IN507" s="19">
        <f t="shared" si="1428"/>
        <v>0</v>
      </c>
      <c r="IO507" s="39">
        <f t="shared" si="1429"/>
        <v>0</v>
      </c>
      <c r="IP507" s="39">
        <f t="shared" si="1430"/>
        <v>0</v>
      </c>
      <c r="IQ507" s="39">
        <f t="shared" si="1431"/>
        <v>0</v>
      </c>
      <c r="IR507" s="39">
        <v>0</v>
      </c>
      <c r="IS507" s="39">
        <v>0</v>
      </c>
      <c r="IT507" s="39">
        <v>0</v>
      </c>
      <c r="IU507" s="39">
        <v>0</v>
      </c>
      <c r="IV507" s="39">
        <v>0</v>
      </c>
      <c r="IW507" s="39">
        <v>0</v>
      </c>
      <c r="IX507" s="39">
        <f>INDEX(Input!$1:$1048576,IX$93,$C507*2+6)+INDEX(Input!$1:$1048576,IX$94,$C507*2+6)</f>
        <v>1270</v>
      </c>
      <c r="IY507" s="39">
        <f>INDEX(Input!$1:$1048576,IY$93,$C507*2+6)+INDEX(Input!$1:$1048576,IY$94,$C507*2+6)</f>
        <v>2130.0624533823611</v>
      </c>
      <c r="IZ507" s="39">
        <f>INDEX(Input!$1:$1048576,IZ$93,$C507*2+6)+INDEX(Input!$1:$1048576,IZ$94,$C507*2+6)</f>
        <v>3653.7164157747857</v>
      </c>
      <c r="JA507" s="19">
        <f t="shared" si="1449"/>
        <v>1270</v>
      </c>
      <c r="JB507" s="19">
        <f t="shared" si="1450"/>
        <v>2130.0624533823611</v>
      </c>
      <c r="JC507" s="19">
        <f t="shared" si="1451"/>
        <v>3653.7164157747857</v>
      </c>
      <c r="JD507" s="19">
        <f t="shared" si="1452"/>
        <v>1890.7138380411025</v>
      </c>
      <c r="JE507" s="21"/>
      <c r="JF507" s="1">
        <f t="shared" si="1432"/>
        <v>2.9195044280595241E-2</v>
      </c>
      <c r="JG507" s="15">
        <f>INDEX(Input!$1:$1048576,JG$93,$C507*2+6)/(1+VLOOKUP(C507*1000+INDEX(Input!$1:$1048576,JG$93+1,$C507*2+6),$A:$KK,$JK$92,FALSE))</f>
        <v>821</v>
      </c>
      <c r="JH507" s="1">
        <f t="shared" si="1453"/>
        <v>0</v>
      </c>
      <c r="JI507" s="1">
        <f t="shared" si="1454"/>
        <v>0</v>
      </c>
      <c r="JJ507" s="1">
        <f t="shared" si="1455"/>
        <v>0</v>
      </c>
      <c r="JK507" s="1">
        <f t="shared" si="1479"/>
        <v>0</v>
      </c>
      <c r="JL507" s="15">
        <f t="shared" si="1457"/>
        <v>0</v>
      </c>
      <c r="JM507" s="15">
        <f>JG507+JL507</f>
        <v>821</v>
      </c>
      <c r="JN507" s="21"/>
      <c r="JO507" s="19">
        <f>INDEX(Input!$1:$1048576,JO$93,$C507*2+6)</f>
        <v>5995.5</v>
      </c>
      <c r="JP507" s="19">
        <f>INDEX(Input!$1:$1048576,JP$93,$C507*2+6)</f>
        <v>1890.7138380411029</v>
      </c>
      <c r="JQ507" s="39">
        <f t="shared" si="1469"/>
        <v>4104.7861619588975</v>
      </c>
      <c r="JR507" s="39">
        <f>JD507-JP507</f>
        <v>0</v>
      </c>
      <c r="JS507" s="39">
        <f t="shared" si="1471"/>
        <v>1.552276061031745</v>
      </c>
      <c r="JT507" s="39">
        <f t="shared" si="1459"/>
        <v>-4.6566128730773924E-16</v>
      </c>
      <c r="JU507" s="385">
        <f>(JQ507*JM507-INDEX(Input!$1:$1048576,Input!A$18,$C507*2+6)*JL507*INDEX(Input!$1:$1048576,Input!A$19,$C507*2+6))/1000000</f>
        <v>3.3700294389682548</v>
      </c>
      <c r="JV507" s="39">
        <f t="shared" si="1435"/>
        <v>0</v>
      </c>
      <c r="JW507" s="1">
        <f>JV507/(JU507-JV507)</f>
        <v>0</v>
      </c>
      <c r="JX507" s="19">
        <f t="shared" si="1475"/>
        <v>0</v>
      </c>
      <c r="JZ507" s="468"/>
      <c r="KA507" s="469"/>
      <c r="KB507" s="469">
        <f t="shared" si="1472"/>
        <v>2.5122967434604799</v>
      </c>
      <c r="KI507" s="473">
        <f t="shared" si="1473"/>
        <v>0</v>
      </c>
      <c r="KJ507" s="473">
        <f t="shared" si="1460"/>
        <v>0</v>
      </c>
      <c r="KK507" s="473">
        <f t="shared" si="1461"/>
        <v>0</v>
      </c>
      <c r="KN507" s="544">
        <f t="shared" si="1476"/>
        <v>5002</v>
      </c>
      <c r="KO507" s="541">
        <f t="shared" si="1436"/>
        <v>-4.0551275401544684E-3</v>
      </c>
      <c r="KP507" s="546">
        <f t="shared" si="1437"/>
        <v>-28.922815953458176</v>
      </c>
      <c r="KQ507" s="546">
        <f t="shared" si="1438"/>
        <v>-28.204927682163998</v>
      </c>
      <c r="KR507" s="548">
        <f t="shared" si="1439"/>
        <v>2.5329574988020487</v>
      </c>
      <c r="KS507" s="548">
        <f t="shared" si="1440"/>
        <v>2.597427810535077</v>
      </c>
      <c r="KT507" s="473">
        <f t="shared" si="1474"/>
        <v>595.94378802984284</v>
      </c>
      <c r="KU507" s="663">
        <f t="shared" si="1462"/>
        <v>3.9917636495650926</v>
      </c>
      <c r="KV507" s="117"/>
    </row>
    <row r="508" spans="1:310" s="26" customFormat="1" ht="15">
      <c r="A508" s="561">
        <f t="shared" si="1441"/>
        <v>5008</v>
      </c>
      <c r="B508" s="561">
        <f t="shared" si="1463"/>
        <v>8</v>
      </c>
      <c r="C508" s="561">
        <f t="shared" si="1464"/>
        <v>5</v>
      </c>
      <c r="D508" s="561" t="s">
        <v>569</v>
      </c>
      <c r="E508" s="475">
        <f>INDEX(Input!$1:$1048576,E$93,$C508*2+MIN($B508,2)+5)</f>
        <v>1277.4263093788063</v>
      </c>
      <c r="F508" s="475">
        <f>INDEX(Input!$1:$1048576,F$93,$C508*2+MIN($B508,2)+5)</f>
        <v>0</v>
      </c>
      <c r="G508" s="475">
        <f>INDEX(Input!$1:$1048576,G$93,$C508*2+MIN($B508,2)+5)</f>
        <v>0</v>
      </c>
      <c r="H508" s="475">
        <f>INDEX(Input!$1:$1048576,H$93,$C508*2+MIN($B508,2)+5)</f>
        <v>0</v>
      </c>
      <c r="I508" s="476">
        <f>INDEX(Input!$1:$1048576,I$93,$C508*2+MIN($B508,2)+5)</f>
        <v>0.7</v>
      </c>
      <c r="J508" s="476" t="str">
        <f>INDEX(Input!$1:$1048576,J$93,$C508*2+MIN($B508,2)+5)</f>
        <v>Market</v>
      </c>
      <c r="K508" s="476" t="str">
        <f>INDEX(Input!$1:$1048576,K$93,$C508*2+MIN($B508,2)+5)</f>
        <v>Market</v>
      </c>
      <c r="L508" s="476" t="str">
        <f>INDEX(Input!$1:$1048576,L$93,$C508*2+MIN($B508,2)+5)</f>
        <v>Market</v>
      </c>
      <c r="M508" s="476" t="str">
        <f>INDEX(Input!$1:$1048576,M$93,$C508*2+MIN($B508,2)+5)</f>
        <v>Market</v>
      </c>
      <c r="N508" s="476" t="str">
        <f>INDEX(Input!$1:$1048576,N$93,$C508*2+MIN($B508,2)+5)</f>
        <v>Market</v>
      </c>
      <c r="O508" s="476" t="str">
        <f>INDEX(Input!$1:$1048576,O$93,$C508*2+MIN($B508,2)+5)</f>
        <v>Market</v>
      </c>
      <c r="P508" s="476" t="str">
        <f>INDEX(Input!$1:$1048576,P$93,$C508*2+MIN($B508,2)+5)</f>
        <v>N</v>
      </c>
      <c r="Q508" s="477">
        <f>INDEX(Input!$1:$1048576,Q$93,$C508*2+MIN($B508,2)+5)</f>
        <v>0</v>
      </c>
      <c r="R508" s="478">
        <f>IFERROR(MAX(0,INDEX(Input!$1:$1048576,R$93,$C508*2+MIN($B508,2)+5)-0%,),"Market")</f>
        <v>0</v>
      </c>
      <c r="S508" s="478">
        <f>IFERROR(MAX(0,INDEX(Input!$1:$1048576,S$93,$C508*2+MIN($B508,2)+5)-0%,),"Market")</f>
        <v>0</v>
      </c>
      <c r="T508" s="478">
        <f>IFERROR(MAX(0,INDEX(Input!$1:$1048576,T$93,$C508*2+MIN($B508,2)+5)-0%,),"Market")</f>
        <v>0</v>
      </c>
      <c r="U508" s="478">
        <f>IFERROR(MAX(0,INDEX(Input!$1:$1048576,U$93,$C508*2+MIN($B508,2)+5)-0%,),"Market")</f>
        <v>0</v>
      </c>
      <c r="V508" s="478">
        <f>IFERROR(MAX(0,INDEX(Input!$1:$1048576,V$93,$C508*2+MIN($B508,2)+5)-0%,),"Market")</f>
        <v>1.9E-2</v>
      </c>
      <c r="W508" s="885">
        <f>IFERROR(MAX(0,INDEX(Input!$1:$1048576,W$93,$C508*2+MIN($B508,2)+5)-0%,),"Market")</f>
        <v>3.9E-2</v>
      </c>
      <c r="X508" s="476" t="str">
        <f>INDEX(Input!$1:$1048576,X$93,$C508*2+MIN($B508,2)+5)</f>
        <v>Y</v>
      </c>
      <c r="Y508" s="475">
        <f>INDEX(Input!$1:$1048576,Y$93,$C508*2+MIN($B508,2)+5)</f>
        <v>-717.93641739252325</v>
      </c>
      <c r="Z508" s="477">
        <f>INDEX(Input!$1:$1048576,Z$93,$C508*2+MIN($B508,2)+5)</f>
        <v>0</v>
      </c>
      <c r="AA508" s="475">
        <f>INDEX(Input!$1:$1048576,AA$93,$C508*2+MIN($B508,2)+5)</f>
        <v>0</v>
      </c>
      <c r="AB508" s="476">
        <f>INDEX(Input!$1:$1048576,AB$93,$C508*2+MIN($B508,2)+5)</f>
        <v>0.27</v>
      </c>
      <c r="AC508" s="475">
        <f>INDEX(Input!$1:$1048576,AC$93,$C508*2+MIN($B508,2)+5)</f>
        <v>0</v>
      </c>
      <c r="AD508" s="476">
        <f>INDEX(Input!$1:$1048576,AD$93,$C508*2+MIN($B508,2)+5)</f>
        <v>0.27</v>
      </c>
      <c r="AE508" s="475">
        <f>INDEX(Input!$1:$1048576,AE$93,$C508*2+MIN($B508,2)+5)</f>
        <v>0</v>
      </c>
      <c r="AF508" s="476">
        <f>INDEX(Input!$1:$1048576,AF$93,$C508*2+MIN($B508,2)+5)</f>
        <v>0.2</v>
      </c>
      <c r="AG508" s="475">
        <f>INDEX(Input!$1:$1048576,AG$93,$C508*2+MIN($B508,2)+5)</f>
        <v>500</v>
      </c>
      <c r="AH508" s="476">
        <f>INDEX(Input!$1:$1048576,AH$93,$C508*2+MIN($B508,2)+5)</f>
        <v>1</v>
      </c>
      <c r="AI508" s="475">
        <f>INDEX(Input!$1:$1048576,AI$93,$C508*2+MIN($B508,2)+5)</f>
        <v>0</v>
      </c>
      <c r="AJ508" s="476">
        <f>INDEX(Input!$1:$1048576,AJ$93,$C508*2+MIN($B508,2)+5)</f>
        <v>0.27</v>
      </c>
      <c r="AK508" s="150">
        <f>ROUND(INDEX(Input!$1:$1048576,AK$93,$C507*2+MIN($B508,1)+5)+(Y508-VLOOKUP($C508*1000+1,$A:$HH,Y$92,FALSE)),0)</f>
        <v>2587</v>
      </c>
      <c r="AL508" s="150">
        <f>ROUND(INDEX(Input!$1:$1048576,AL$93,$C507*2+MIN($B508,1)+5)-(Y508-VLOOKUP($C508*1000+1,$A:$HH,Y$92,FALSE))/36,0)</f>
        <v>3406</v>
      </c>
      <c r="AM508" s="32" t="str">
        <f t="shared" si="1442"/>
        <v>std/std/std/std</v>
      </c>
      <c r="AN508" s="32" t="str">
        <f t="shared" si="1443"/>
        <v>$0 + 0/0/0/1.9/3.9</v>
      </c>
      <c r="AO508" s="32" t="str">
        <f t="shared" si="1444"/>
        <v>0/0/0/1.9/3.9</v>
      </c>
      <c r="AP508" s="32" t="str">
        <f t="shared" si="1396"/>
        <v>0/0.9/1.9/3.9</v>
      </c>
      <c r="AQ508" s="536">
        <f t="shared" si="1394"/>
        <v>0.405798396708204</v>
      </c>
      <c r="AR508" s="32"/>
      <c r="AS508" s="302"/>
      <c r="AT508" s="3">
        <f t="shared" si="1465"/>
        <v>8</v>
      </c>
      <c r="AU508" s="41" t="s">
        <v>121</v>
      </c>
      <c r="AV508" s="41" t="s">
        <v>116</v>
      </c>
      <c r="AW508" s="41" t="str">
        <f>INDEX(Input!$1:$1048576,AW$93,$C508*2+6)</f>
        <v>Kia</v>
      </c>
      <c r="AX508" s="41" t="str">
        <f>INDEX(Input!$1:$1048576,AX$93,$C508*2+6)</f>
        <v>Kia-LR - R2</v>
      </c>
      <c r="AY508" s="41" t="str">
        <f>IF(LEN(D508)=0,"",INDEX(Input!$1:$1048576,AY$93,$C508*2+6))</f>
        <v>Compact SUV (52)</v>
      </c>
      <c r="AZ508" s="41" t="str">
        <f>INDEX(Input!$1:$1048576,AZ$93,$C508*2+6)</f>
        <v>Kia Soul</v>
      </c>
      <c r="BA508" s="3">
        <f>INDEX(Input!$1:$1048576,BA$93,$C508*2+6)</f>
        <v>2020</v>
      </c>
      <c r="BB508" s="128">
        <f>INDEX(Input!$1:$1048576,BB$93,$C508*2+6)</f>
        <v>1</v>
      </c>
      <c r="BC508" s="128">
        <f>INDEX(Input!$1:$1048576,BC$93,$C508*2+6)</f>
        <v>0.7</v>
      </c>
      <c r="BD508" s="1">
        <f>INDEX(Input!$1:$1048576,BD$93,$C508*2+6)</f>
        <v>4.4999999999999998E-2</v>
      </c>
      <c r="BE508" s="1">
        <f>INDEX(Input!$1:$1048576,BE$93,$C508*2+6)</f>
        <v>4.4999999999999998E-2</v>
      </c>
      <c r="BF508" s="1">
        <f>INDEX(Input!$1:$1048576,BF$93,$C508*2+6)</f>
        <v>0.05</v>
      </c>
      <c r="BG508" s="1">
        <f>INDEX(Input!$1:$1048576,BG$93,$C508*2+6)</f>
        <v>5.45E-2</v>
      </c>
      <c r="BH508" s="1">
        <f>INDEX(Input!$1:$1048576,BH$93,$C508*2+6)</f>
        <v>5.45E-2</v>
      </c>
      <c r="BI508" s="1">
        <f>INDEX(Input!$1:$1048576,BI$93,$C508*2+6)</f>
        <v>0.05</v>
      </c>
      <c r="BJ508" s="1">
        <f>INDEX(Input!$1:$1048576,BJ$93,$C508*2+6)</f>
        <v>0.05</v>
      </c>
      <c r="BK508" s="1">
        <f>INDEX(Input!$1:$1048576,BK$93,$C508*2+6)</f>
        <v>0.05</v>
      </c>
      <c r="BL508" s="1">
        <f>INDEX(Input!$1:$1048576,BL$93,$C508*2+6)</f>
        <v>5.5E-2</v>
      </c>
      <c r="BM508" s="1">
        <f>INDEX(Input!$1:$1048576,BM$93,$C508*2+6)</f>
        <v>0.06</v>
      </c>
      <c r="BN508" s="1">
        <f>INDEX(Input!$1:$1048576,BN$93,$C508*2+6)</f>
        <v>4.4999999999999998E-2</v>
      </c>
      <c r="BO508" s="1">
        <f>INDEX(Input!$1:$1048576,BO$93,$C508*2+6)</f>
        <v>4.4999999999999998E-2</v>
      </c>
      <c r="BP508" s="1">
        <f>INDEX(Input!$1:$1048576,BP$93,$C508*2+6)</f>
        <v>0.05</v>
      </c>
      <c r="BQ508" s="1">
        <f>INDEX(Input!$1:$1048576,BQ$93,$C508*2+6)</f>
        <v>5.45E-2</v>
      </c>
      <c r="BR508" s="1">
        <f>INDEX(Input!$1:$1048576,BR$93,$C508*2+6)</f>
        <v>5.45E-2</v>
      </c>
      <c r="BS508" s="1">
        <f>INDEX(Input!$1:$1048576,BS$93,$C508*2+6)</f>
        <v>0.05</v>
      </c>
      <c r="BT508" s="1">
        <f>INDEX(Input!$1:$1048576,BT$93,$C508*2+6)</f>
        <v>0.05</v>
      </c>
      <c r="BU508" s="1">
        <f>INDEX(Input!$1:$1048576,BU$93,$C508*2+6)</f>
        <v>0.05</v>
      </c>
      <c r="BV508" s="1">
        <f>INDEX(Input!$1:$1048576,BV$93,$C508*2+6)</f>
        <v>5.5E-2</v>
      </c>
      <c r="BW508" s="1">
        <f>INDEX(Input!$1:$1048576,BW$93,$C508*2+6)</f>
        <v>0.06</v>
      </c>
      <c r="BX508" s="127">
        <f>INDEX(Input!$1:$1048576,BX$93,$C508*2+6)</f>
        <v>19985</v>
      </c>
      <c r="BY508" s="20">
        <f>INDEX(Input!$1:$1048576,BY$93,$C508*2+6)</f>
        <v>0.1</v>
      </c>
      <c r="BZ508" s="20">
        <f>INDEX(Input!$1:$1048576,BZ$93,$C508*2+6)</f>
        <v>0.1</v>
      </c>
      <c r="CA508" s="20">
        <f>INDEX(Input!$1:$1048576,CA$93,$C508*2+6)</f>
        <v>0.1</v>
      </c>
      <c r="CB508" s="20">
        <f>INDEX(Input!$1:$1048576,CB$93,$C508*2+6)</f>
        <v>0.1</v>
      </c>
      <c r="CC508" s="20">
        <f>INDEX(Input!$1:$1048576,CC$93,$C508*2+6)</f>
        <v>0.1</v>
      </c>
      <c r="CD508" s="384">
        <f>INDEX(Input!$1:$1048576,CD$93,$C508*2+6)</f>
        <v>0.1</v>
      </c>
      <c r="CE508" s="384">
        <f>INDEX(Input!$1:$1048576,CE$93,$C508*2+6)</f>
        <v>0.1</v>
      </c>
      <c r="CF508" s="384">
        <f>INDEX(Input!$1:$1048576,CF$93,$C508*2+6)</f>
        <v>0.1</v>
      </c>
      <c r="CG508" s="384">
        <f>INDEX(Input!$1:$1048576,CG$93,$C508*2+6)</f>
        <v>0.1</v>
      </c>
      <c r="CH508" s="384">
        <f>INDEX(Input!$1:$1048576,CH$93,$C508*2+6)</f>
        <v>0.1</v>
      </c>
      <c r="CI508" s="304">
        <f t="shared" si="1397"/>
        <v>1277.4263093788063</v>
      </c>
      <c r="CJ508" s="16" t="str">
        <f>INDEX(Input!$1:$1048576,CJ$93,$C508*2+6)</f>
        <v>N</v>
      </c>
      <c r="CK508" s="1" t="str">
        <f t="shared" si="1398"/>
        <v>Market</v>
      </c>
      <c r="CL508" s="1" t="str">
        <f t="shared" si="1399"/>
        <v>Market</v>
      </c>
      <c r="CM508" s="1" t="str">
        <f t="shared" si="1400"/>
        <v>Market</v>
      </c>
      <c r="CN508" s="1" t="str">
        <f t="shared" si="1401"/>
        <v>Market</v>
      </c>
      <c r="CO508" s="1" t="str">
        <f t="shared" si="1402"/>
        <v>Market</v>
      </c>
      <c r="CP508" s="304">
        <f t="shared" si="1403"/>
        <v>500</v>
      </c>
      <c r="CQ508" s="1">
        <f t="shared" si="1404"/>
        <v>0</v>
      </c>
      <c r="CR508" s="1">
        <f t="shared" si="1405"/>
        <v>0</v>
      </c>
      <c r="CS508" s="1">
        <f t="shared" si="1406"/>
        <v>0</v>
      </c>
      <c r="CT508" s="1">
        <f t="shared" si="1407"/>
        <v>1.9E-2</v>
      </c>
      <c r="CU508" s="1">
        <f t="shared" si="1408"/>
        <v>3.9E-2</v>
      </c>
      <c r="CV508" s="304">
        <f t="shared" si="1409"/>
        <v>-717.93641739252325</v>
      </c>
      <c r="CW508" s="20" t="s">
        <v>122</v>
      </c>
      <c r="CX508" s="20" t="s">
        <v>122</v>
      </c>
      <c r="CY508" s="20" t="s">
        <v>122</v>
      </c>
      <c r="CZ508" s="20" t="s">
        <v>122</v>
      </c>
      <c r="DA508" s="20" t="s">
        <v>122</v>
      </c>
      <c r="DB508" s="503">
        <f t="shared" si="1410"/>
        <v>0</v>
      </c>
      <c r="DC508" s="127">
        <v>0</v>
      </c>
      <c r="DD508" s="127">
        <v>0</v>
      </c>
      <c r="DE508" s="127">
        <v>0</v>
      </c>
      <c r="DF508" s="127">
        <v>0</v>
      </c>
      <c r="DG508" s="127">
        <v>0</v>
      </c>
      <c r="DH508" s="127">
        <v>0</v>
      </c>
      <c r="DI508" s="127">
        <v>0</v>
      </c>
      <c r="DJ508" s="127">
        <v>0</v>
      </c>
      <c r="DK508" s="127">
        <v>0</v>
      </c>
      <c r="DL508" s="127">
        <v>0</v>
      </c>
      <c r="DM508" s="304">
        <f>INDEX(Input!$1:$1048576,DM$93,$C508*2+6)</f>
        <v>21036.84210526316</v>
      </c>
      <c r="DN508" s="20">
        <v>0</v>
      </c>
      <c r="DO508" s="20">
        <v>0</v>
      </c>
      <c r="DP508" s="20">
        <v>0</v>
      </c>
      <c r="DQ508" s="20">
        <v>0</v>
      </c>
      <c r="DR508" s="20">
        <v>0</v>
      </c>
      <c r="DS508" s="20">
        <f>INDEX(Input!$1:$1048576,DS$93,$C508*2+6)</f>
        <v>0.6</v>
      </c>
      <c r="DT508" s="20">
        <f>INDEX(Input!$1:$1048576,DT$93,$C508*2+6)</f>
        <v>0.55000000000000004</v>
      </c>
      <c r="DU508" s="20">
        <f>INDEX(Input!$1:$1048576,DU$93,$C508*2+6)</f>
        <v>0.52</v>
      </c>
      <c r="DV508" s="20">
        <f>INDEX(Input!$1:$1048576,DV$93,$C508*2+6)</f>
        <v>0.5</v>
      </c>
      <c r="DW508" s="20">
        <f>INDEX(Input!$1:$1048576,DW$93,$C508*2+6)</f>
        <v>0.45</v>
      </c>
      <c r="DX508" s="20"/>
      <c r="DY508" s="7">
        <v>0.11918290832440123</v>
      </c>
      <c r="DZ508" s="7">
        <v>0</v>
      </c>
      <c r="EA508" s="7">
        <v>0.7346389657507757</v>
      </c>
      <c r="EB508" s="7">
        <v>0</v>
      </c>
      <c r="EC508" s="7">
        <v>0</v>
      </c>
      <c r="ED508" s="7">
        <v>0</v>
      </c>
      <c r="EE508" s="7">
        <v>0</v>
      </c>
      <c r="EF508" s="7">
        <v>0</v>
      </c>
      <c r="EG508" s="7">
        <v>0</v>
      </c>
      <c r="EH508" s="7">
        <v>1.2088522323280934E-2</v>
      </c>
      <c r="EI508" s="7">
        <v>3.360509380665002E-2</v>
      </c>
      <c r="EJ508" s="7">
        <v>0.29189504381850234</v>
      </c>
      <c r="EK508" s="7">
        <v>0.53736564061795533</v>
      </c>
      <c r="EL508" s="7">
        <v>0.12504569943361166</v>
      </c>
      <c r="EM508" s="7">
        <v>7.5555880496524647E-2</v>
      </c>
      <c r="EN508" s="7">
        <v>5.8470684378631919E-2</v>
      </c>
      <c r="EO508" s="7">
        <v>0.71704150185978133</v>
      </c>
      <c r="EP508" s="7">
        <v>8.9792600597694699E-2</v>
      </c>
      <c r="EQ508" s="7">
        <v>8.8424811326771879E-2</v>
      </c>
      <c r="ER508" s="7">
        <v>4.6270401837120112E-2</v>
      </c>
      <c r="ES508" s="7">
        <v>7.0622245428298397E-2</v>
      </c>
      <c r="ET508" s="7">
        <v>0.14617812592482307</v>
      </c>
      <c r="EU508" s="6">
        <v>1270</v>
      </c>
      <c r="EV508" s="6">
        <v>0</v>
      </c>
      <c r="EW508" s="6">
        <v>1270</v>
      </c>
      <c r="EX508" s="6">
        <v>0</v>
      </c>
      <c r="EY508" s="6">
        <v>2015.7457381391637</v>
      </c>
      <c r="EZ508" s="6">
        <v>-6.4499039401316622</v>
      </c>
      <c r="FA508" s="6">
        <v>0</v>
      </c>
      <c r="FB508" s="6">
        <v>0</v>
      </c>
      <c r="FC508" s="6">
        <v>0</v>
      </c>
      <c r="FD508" s="6">
        <v>0</v>
      </c>
      <c r="FE508" s="6">
        <v>0</v>
      </c>
      <c r="FF508" s="6">
        <v>0</v>
      </c>
      <c r="FG508" s="6">
        <v>0</v>
      </c>
      <c r="FH508" s="6">
        <v>1172.1348799277998</v>
      </c>
      <c r="FI508" s="6">
        <v>1553.9796069512402</v>
      </c>
      <c r="FJ508" s="6">
        <v>2101.2110117447401</v>
      </c>
      <c r="FK508" s="6">
        <v>1772.7139978623227</v>
      </c>
      <c r="FL508" s="6">
        <v>907.07682140966301</v>
      </c>
      <c r="FM508" s="6">
        <v>1745.7457381391637</v>
      </c>
      <c r="FN508" s="6">
        <v>0</v>
      </c>
      <c r="FO508" s="6">
        <v>0</v>
      </c>
      <c r="FP508" s="6">
        <v>0</v>
      </c>
      <c r="FQ508" s="6">
        <v>0</v>
      </c>
      <c r="FR508" s="6">
        <v>0</v>
      </c>
      <c r="FS508" s="6">
        <v>0</v>
      </c>
      <c r="FT508" s="7">
        <v>0.85382187407517696</v>
      </c>
      <c r="FU508" s="7">
        <v>7.5555880496524647E-2</v>
      </c>
      <c r="FV508" s="7">
        <v>7.0622245428298397E-2</v>
      </c>
      <c r="FW508" s="6">
        <v>1270</v>
      </c>
      <c r="FX508" s="6">
        <v>2015.7457381391639</v>
      </c>
      <c r="FY508" s="6">
        <v>-6.4499039401316622</v>
      </c>
      <c r="FZ508" s="6">
        <v>1758.1538569113241</v>
      </c>
      <c r="GA508" s="6">
        <v>1236.1997174786472</v>
      </c>
      <c r="GB508" s="6">
        <v>18748.800282521352</v>
      </c>
      <c r="GC508" s="7">
        <v>3.064145122680037E-2</v>
      </c>
      <c r="GD508" s="7">
        <v>2.9298567858062063E-2</v>
      </c>
      <c r="GE508" s="7"/>
      <c r="GF508" s="7"/>
      <c r="GG508" s="7">
        <v>-4.382571043383747E-2</v>
      </c>
      <c r="GH508" s="42">
        <v>1.6780340586478142</v>
      </c>
      <c r="GI508" s="6">
        <v>13145.969901824148</v>
      </c>
      <c r="GJ508" s="14">
        <v>0.50394797582841722</v>
      </c>
      <c r="GK508" s="14">
        <v>0.50887573065309721</v>
      </c>
      <c r="GL508" s="14">
        <v>0.49605202417158256</v>
      </c>
      <c r="GM508" s="14">
        <v>0.49112426934690229</v>
      </c>
      <c r="GO508" s="5">
        <v>343.14810671672558</v>
      </c>
      <c r="GP508" s="5">
        <v>318.91892952659737</v>
      </c>
      <c r="GQ508" s="5">
        <v>535.04305713031317</v>
      </c>
      <c r="GR508" s="5">
        <v>410.15490233172511</v>
      </c>
      <c r="GS508" s="5">
        <v>339.42744393800166</v>
      </c>
      <c r="GT508" s="5">
        <v>293.4407446948278</v>
      </c>
      <c r="GU508" s="5">
        <v>258.04012322764959</v>
      </c>
      <c r="GV508" s="39" t="s">
        <v>392</v>
      </c>
      <c r="GW508" s="5">
        <v>492.125</v>
      </c>
      <c r="GX508" s="5">
        <v>369.09375</v>
      </c>
      <c r="GY508" s="5">
        <v>295.27499999999998</v>
      </c>
      <c r="GZ508" s="5">
        <v>260.54902799031458</v>
      </c>
      <c r="HA508" s="5">
        <v>241.34874471337258</v>
      </c>
      <c r="HB508" s="39">
        <v>274.73152113255992</v>
      </c>
      <c r="HC508" s="5">
        <v>287.56655829738071</v>
      </c>
      <c r="HD508" s="5">
        <v>239.99799238008356</v>
      </c>
      <c r="HE508" s="5">
        <v>241.14168635502031</v>
      </c>
      <c r="HF508" s="5">
        <v>221.05790951107167</v>
      </c>
      <c r="HG508" s="5">
        <v>210.75500473779988</v>
      </c>
      <c r="HH508" s="39">
        <v>239.85419619714324</v>
      </c>
      <c r="HI508" s="16"/>
      <c r="HJ508" s="19" t="str">
        <f t="shared" si="1466"/>
        <v>On</v>
      </c>
      <c r="HK508" s="1" t="str">
        <f t="shared" si="1466"/>
        <v>On</v>
      </c>
      <c r="HL508" s="16"/>
      <c r="HM508" s="639">
        <f t="shared" si="1413"/>
        <v>2.4909940070666322E-2</v>
      </c>
      <c r="HN508" s="639">
        <f t="shared" si="1414"/>
        <v>2.2052381276269151E-3</v>
      </c>
      <c r="HO508" s="639">
        <f t="shared" si="1415"/>
        <v>2.079866082302006E-3</v>
      </c>
      <c r="HP508" s="644">
        <f>(FT508*$GD508-HM508)/$JF508*INDEX(Input!$1:$1048576,$JG$93,$C508*2+6)</f>
        <v>2.9757315872338905</v>
      </c>
      <c r="HQ508" s="644">
        <f>(FU508*$GD508-HN508)/$JF508*INDEX(Input!$1:$1048576,$JG$93,$C508*2+6)</f>
        <v>0.23737013453400296</v>
      </c>
      <c r="HR508" s="644">
        <f>(FV508*$GD508-HO508)/$JF508*INDEX(Input!$1:$1048576,$JG$93,$C508*2+6)</f>
        <v>-0.30189335765693082</v>
      </c>
      <c r="HS508" s="644">
        <f t="shared" si="1416"/>
        <v>-1.4587388197775362</v>
      </c>
      <c r="HT508" s="644">
        <f t="shared" si="1417"/>
        <v>1.648624747275079</v>
      </c>
      <c r="HU508" s="644">
        <f t="shared" si="1418"/>
        <v>0.24172096105100246</v>
      </c>
      <c r="HV508" s="648">
        <f t="shared" si="1419"/>
        <v>0</v>
      </c>
      <c r="HW508" s="648">
        <f t="shared" si="1420"/>
        <v>0</v>
      </c>
      <c r="HX508" s="648">
        <f t="shared" si="1421"/>
        <v>0</v>
      </c>
      <c r="HY508" s="644">
        <f>INDEX(Input!$1:$1048576,HY$93,$C508*2+6)*INDEX(Input!$1:$1048576,$JG$93,$C508*2+6)</f>
        <v>333.00000000000006</v>
      </c>
      <c r="HZ508" s="644">
        <f>INDEX(Input!$1:$1048576,HZ$93,$C508*2+6)*INDEX(Input!$1:$1048576,$JG$93,$C508*2+6)</f>
        <v>429</v>
      </c>
      <c r="IA508" s="644">
        <f>INDEX(Input!$1:$1048576,IA$93,$C508*2+6)*INDEX(Input!$1:$1048576,$JG$93,$C508*2+6)</f>
        <v>59</v>
      </c>
      <c r="IB508" s="644">
        <f t="shared" si="1445"/>
        <v>334.51699276745649</v>
      </c>
      <c r="IC508" s="644">
        <f t="shared" si="1446"/>
        <v>430.8859948818091</v>
      </c>
      <c r="ID508" s="644">
        <f>IF(AND(INDEX(Input!$1:$1048576,IA$93,$C508*2+7)="TOS",Y508&lt;=INDEX(Y:Y,MATCH(C508*1000+2,A:A))),0,1)*MAX(IA508+HR508+HU508+HX508,0%)</f>
        <v>58.939827603394072</v>
      </c>
      <c r="IE508" s="128">
        <f t="shared" ref="IE508:IE511" si="1481">IB508/SUM($IB508:$ID508)</f>
        <v>0.405798396708204</v>
      </c>
      <c r="IF508" s="128">
        <f t="shared" si="1468"/>
        <v>0.52270243266418626</v>
      </c>
      <c r="IG508" s="128">
        <f t="shared" si="1423"/>
        <v>7.1499170627609729E-2</v>
      </c>
      <c r="IH508" s="21"/>
      <c r="II508" s="19">
        <f t="shared" si="1424"/>
        <v>1240</v>
      </c>
      <c r="IJ508" s="19">
        <f t="shared" si="1425"/>
        <v>1985.7442651839444</v>
      </c>
      <c r="IK508" s="19">
        <f t="shared" si="1426"/>
        <v>-21.44990394013189</v>
      </c>
      <c r="IL508" s="19">
        <f t="shared" si="1448"/>
        <v>30</v>
      </c>
      <c r="IM508" s="19">
        <f t="shared" si="1427"/>
        <v>30.001472955219469</v>
      </c>
      <c r="IN508" s="19">
        <f t="shared" si="1428"/>
        <v>15.000000000000227</v>
      </c>
      <c r="IO508" s="39">
        <f t="shared" si="1429"/>
        <v>0</v>
      </c>
      <c r="IP508" s="39">
        <f t="shared" si="1430"/>
        <v>0</v>
      </c>
      <c r="IQ508" s="39">
        <f t="shared" si="1431"/>
        <v>0</v>
      </c>
      <c r="IR508" s="39">
        <v>0</v>
      </c>
      <c r="IS508" s="39">
        <v>0</v>
      </c>
      <c r="IT508" s="39">
        <v>0</v>
      </c>
      <c r="IU508" s="39">
        <v>0</v>
      </c>
      <c r="IV508" s="39">
        <v>0</v>
      </c>
      <c r="IW508" s="39">
        <v>0</v>
      </c>
      <c r="IX508" s="39">
        <f>INDEX(Input!$1:$1048576,IX$93,$C508*2+6)+INDEX(Input!$1:$1048576,IX$94,$C508*2+6)</f>
        <v>1270</v>
      </c>
      <c r="IY508" s="39">
        <f>INDEX(Input!$1:$1048576,IY$93,$C508*2+6)+INDEX(Input!$1:$1048576,IY$94,$C508*2+6)</f>
        <v>2130.0624533823611</v>
      </c>
      <c r="IZ508" s="39">
        <f>INDEX(Input!$1:$1048576,IZ$93,$C508*2+6)+INDEX(Input!$1:$1048576,IZ$94,$C508*2+6)</f>
        <v>3653.7164157747857</v>
      </c>
      <c r="JA508" s="19">
        <f t="shared" si="1449"/>
        <v>1300</v>
      </c>
      <c r="JB508" s="19">
        <f t="shared" si="1450"/>
        <v>2160.0639263375806</v>
      </c>
      <c r="JC508" s="19">
        <f t="shared" si="1451"/>
        <v>3668.7164157747857</v>
      </c>
      <c r="JD508" s="19">
        <f t="shared" si="1452"/>
        <v>1918.9187657232665</v>
      </c>
      <c r="JE508" s="21"/>
      <c r="JF508" s="1">
        <f t="shared" si="1432"/>
        <v>2.9195044280595241E-2</v>
      </c>
      <c r="JG508" s="15">
        <f>INDEX(Input!$1:$1048576,JG$93,$C508*2+6)/(1+VLOOKUP(C508*1000+INDEX(Input!$1:$1048576,JG$93+1,$C508*2+6),$A:$KK,$JK$92,FALSE))</f>
        <v>821</v>
      </c>
      <c r="JH508" s="1">
        <f t="shared" si="1453"/>
        <v>3.5459297979427069E-3</v>
      </c>
      <c r="JI508" s="1">
        <f t="shared" si="1454"/>
        <v>5.2570875584475685E-4</v>
      </c>
      <c r="JJ508" s="1">
        <f t="shared" si="1455"/>
        <v>0</v>
      </c>
      <c r="JK508" s="1">
        <f t="shared" ref="JK508:JK511" si="1482">SUM(JH508:JJ508)</f>
        <v>4.0716385537874636E-3</v>
      </c>
      <c r="JL508" s="15">
        <f t="shared" si="1457"/>
        <v>3.3428152526595079</v>
      </c>
      <c r="JM508" s="15">
        <f t="shared" ref="JM508:JM550" si="1483">JG508+JL508</f>
        <v>824.34281525265953</v>
      </c>
      <c r="JN508" s="21"/>
      <c r="JO508" s="19">
        <f>INDEX(Input!$1:$1048576,JO$93,$C508*2+6)</f>
        <v>5995.5</v>
      </c>
      <c r="JP508" s="19">
        <f>INDEX(Input!$1:$1048576,JP$93,$C508*2+6)</f>
        <v>1890.7138380411029</v>
      </c>
      <c r="JQ508" s="39">
        <f t="shared" si="1469"/>
        <v>4076.5812342767335</v>
      </c>
      <c r="JR508" s="39">
        <f>JD508-JP508</f>
        <v>28.204927682163543</v>
      </c>
      <c r="JS508" s="39">
        <f t="shared" si="1471"/>
        <v>1.5818468975774762</v>
      </c>
      <c r="JT508" s="39">
        <f t="shared" si="1459"/>
        <v>2.9570836545730707E-2</v>
      </c>
      <c r="JU508" s="385">
        <f>(JQ508*JM508-INDEX(Input!$1:$1048576,Input!A$18,$C508*2+6)*JL508*INDEX(Input!$1:$1048576,Input!A$19,$C508*2+6))/1000000</f>
        <v>3.3605004512698442</v>
      </c>
      <c r="JV508" s="39">
        <f t="shared" si="1435"/>
        <v>-9.5289876984101518E-3</v>
      </c>
      <c r="JW508" s="1">
        <f t="shared" ref="JW508:JW550" si="1484">JV508/(JU508-JV508)</f>
        <v>-2.8275680883450924E-3</v>
      </c>
      <c r="JX508" s="19">
        <f t="shared" si="1475"/>
        <v>8846.0875970350044</v>
      </c>
      <c r="JZ508" s="341"/>
      <c r="KA508" s="342"/>
      <c r="KB508" s="469">
        <f t="shared" si="1472"/>
        <v>2.5122967434604799</v>
      </c>
      <c r="KI508" s="473">
        <f t="shared" si="1473"/>
        <v>1.5169927674563723</v>
      </c>
      <c r="KJ508" s="473">
        <f t="shared" si="1460"/>
        <v>1.8859948818089833</v>
      </c>
      <c r="KK508" s="473">
        <f t="shared" si="1461"/>
        <v>-6.0172396605935319E-2</v>
      </c>
      <c r="KN508" s="544">
        <f t="shared" si="1476"/>
        <v>5002</v>
      </c>
      <c r="KO508" s="541">
        <f t="shared" si="1436"/>
        <v>0</v>
      </c>
      <c r="KP508" s="546">
        <f t="shared" si="1437"/>
        <v>0</v>
      </c>
      <c r="KQ508" s="546">
        <f t="shared" si="1438"/>
        <v>0</v>
      </c>
      <c r="KR508" s="548" t="e">
        <f t="shared" si="1439"/>
        <v>#DIV/0!</v>
      </c>
      <c r="KS508" s="548" t="e">
        <f t="shared" si="1440"/>
        <v>#DIV/0!</v>
      </c>
      <c r="KT508" s="473">
        <f>KT507</f>
        <v>595.94378802984284</v>
      </c>
      <c r="KU508" s="663">
        <f t="shared" si="1462"/>
        <v>3.9915115083061976</v>
      </c>
      <c r="KV508" s="117"/>
    </row>
    <row r="509" spans="1:310" s="26" customFormat="1" ht="15">
      <c r="A509" s="561">
        <f t="shared" si="1441"/>
        <v>5009</v>
      </c>
      <c r="B509" s="561">
        <f t="shared" si="1463"/>
        <v>9</v>
      </c>
      <c r="C509" s="561">
        <f t="shared" si="1464"/>
        <v>5</v>
      </c>
      <c r="D509" s="561" t="str">
        <f t="shared" ref="D509:D518" si="1485">IF(E509=INDEX(E:E,MATCH(C509*1000+2,A:A,0)),"",E509-INDEX(E:E,MATCH(C509*1000+2,A:A,0))&amp;E$100&amp;", ")
&amp;IF(F509=INDEX(F:F,MATCH(C509*1000+2,A:A,0)),"",F509-INDEX(F:F,MATCH(C509*1000+2,A:A,0))&amp;F$100&amp;", ")
&amp;IF(AM509=INDEX(AM:AM,MATCH(C509*1000+2,A:A,0)),"",AM509&amp;AM$100&amp;", ")
&amp;IF(AP509=INDEX(AP:AP,MATCH(C509*1000+2,A:A,0)),"",AP509&amp;AP$100&amp;", ")
&amp;IF(Q509=INDEX(Q:Q,MATCH(C509*1000+2,A:A,0)),"",Q509-INDEX(Q:Q,MATCH(C509*1000+2,A:A,0))&amp;Q$100&amp;", ")
&amp;IF(Y509=INDEX(Y:Y,MATCH(C509*1000+2,A:A,0)),"",Y509-INDEX(Y:Y,MATCH(C509*1000+2,A:A,0))&amp;Y$100&amp;", ")
&amp;IF(Z509=INDEX(Z:Z,MATCH(C509*1000+2,A:A,0)),"",Z509-INDEX(Z:Z,MATCH(C509*1000+2,A:A,0))&amp;Z$100&amp;", ")
&amp;IF(AA509=INDEX(AA:AA,MATCH(C509*1000+2,A:A,0)),"",AA509-INDEX(AA:AA,MATCH(C509*1000+2,A:A,0))&amp;AA$100&amp;", ")
&amp;IF(AC509=INDEX(AC:AC,MATCH(C509*1000+2,A:A,0)),"",AC509-INDEX(AC:AC,MATCH(C509*1000+2,A:A,0))&amp;AC$100&amp;", ")
&amp;IF(AE509=INDEX(AE:AE,MATCH(C509*1000+2,A:A,0)),"",AE509-INDEX(AE:AE,MATCH(C509*1000+2,A:A,0))&amp;AE$100&amp;", ")
&amp;IF(AG509=INDEX(AG:AG,MATCH(C509*1000+2,A:A,0)),"",AG509-INDEX(AG:AG,MATCH(C509*1000+2,A:A,0))&amp;AG$100&amp;", ")
&amp;IF(AI509=INDEX(AI:AI,MATCH(C509*1000+2,A:A,0)),"",AI509-INDEX(AI:AI,MATCH(C509*1000+2,A:A,0))&amp;AI$100&amp;", ")</f>
        <v xml:space="preserve">250 CC, </v>
      </c>
      <c r="E509" s="475">
        <f>INDEX(Input!$1:$1048576,E$93,$C509*2+MIN($B509,2)+5)+IF(OR(BX509&gt;50000,INDEX(Input!$1:$1048576,E$93,$C509*2+MIN($B509,2)+5)&gt;0),0,250)+IF(BX509&gt;50000,500,250)*1</f>
        <v>1527.4263093788063</v>
      </c>
      <c r="F509" s="475">
        <f>INDEX(Input!$1:$1048576,F$93,$C509*2+MIN($B509,2)+5)</f>
        <v>0</v>
      </c>
      <c r="G509" s="475">
        <f>INDEX(Input!$1:$1048576,G$93,$C509*2+MIN($B509,2)+5)</f>
        <v>0</v>
      </c>
      <c r="H509" s="115">
        <f>INDEX(Input!$1:$1048576,H$93,$C509*2+MIN($B509,2)+5)</f>
        <v>0</v>
      </c>
      <c r="I509" s="118">
        <f>INDEX(Input!$1:$1048576,I$93,$C509*2+MIN($B509,2)+5)</f>
        <v>0.7</v>
      </c>
      <c r="J509" s="118" t="str">
        <f>INDEX(Input!$1:$1048576,J$93,$C509*2+MIN($B509,2)+5)</f>
        <v>Market</v>
      </c>
      <c r="K509" s="118" t="str">
        <f>INDEX(Input!$1:$1048576,K$93,$C509*2+MIN($B509,2)+5)</f>
        <v>Market</v>
      </c>
      <c r="L509" s="118" t="str">
        <f>INDEX(Input!$1:$1048576,L$93,$C509*2+MIN($B509,2)+5)</f>
        <v>Market</v>
      </c>
      <c r="M509" s="118" t="str">
        <f>INDEX(Input!$1:$1048576,M$93,$C509*2+MIN($B509,2)+5)</f>
        <v>Market</v>
      </c>
      <c r="N509" s="118" t="str">
        <f>INDEX(Input!$1:$1048576,N$93,$C509*2+MIN($B509,2)+5)</f>
        <v>Market</v>
      </c>
      <c r="O509" s="118" t="str">
        <f>INDEX(Input!$1:$1048576,O$93,$C509*2+MIN($B509,2)+5)</f>
        <v>Market</v>
      </c>
      <c r="P509" s="118" t="str">
        <f>INDEX(Input!$1:$1048576,P$93,$C509*2+MIN($B509,2)+5)</f>
        <v>N</v>
      </c>
      <c r="Q509" s="30">
        <f>INDEX(Input!$1:$1048576,Q$93,$C509*2+MIN($B509,2)+5)</f>
        <v>0</v>
      </c>
      <c r="R509" s="383">
        <f>INDEX(Input!$1:$1048576,R$93,$C509*2+MIN($B509,2)+5)</f>
        <v>0</v>
      </c>
      <c r="S509" s="383">
        <f>INDEX(Input!$1:$1048576,S$93,$C509*2+MIN($B509,2)+5)</f>
        <v>0</v>
      </c>
      <c r="T509" s="383">
        <f>INDEX(Input!$1:$1048576,T$93,$C509*2+MIN($B509,2)+5)</f>
        <v>0</v>
      </c>
      <c r="U509" s="383">
        <f>INDEX(Input!$1:$1048576,U$93,$C509*2+MIN($B509,2)+5)</f>
        <v>0</v>
      </c>
      <c r="V509" s="383">
        <f>INDEX(Input!$1:$1048576,V$93,$C509*2+MIN($B509,2)+5)</f>
        <v>1.9E-2</v>
      </c>
      <c r="W509" s="884">
        <f>INDEX(Input!$1:$1048576,W$93,$C509*2+MIN($B509,2)+5)</f>
        <v>3.9E-2</v>
      </c>
      <c r="X509" s="118" t="str">
        <f>INDEX(Input!$1:$1048576,X$93,$C509*2+MIN($B509,2)+5)</f>
        <v>Y</v>
      </c>
      <c r="Y509" s="150">
        <f>INDEX(Input!$1:$1048576,Y$93,$C509*2+MIN($B509,2)+5)</f>
        <v>-717.93641739252325</v>
      </c>
      <c r="Z509" s="30">
        <f>INDEX(Input!$1:$1048576,Z$93,$C509*2+MIN($B509,2)+5)</f>
        <v>0</v>
      </c>
      <c r="AA509" s="115">
        <f>INDEX(Input!$1:$1048576,AA$93,$C509*2+MIN($B509,2)+5)</f>
        <v>0</v>
      </c>
      <c r="AB509" s="118">
        <f>INDEX(Input!$1:$1048576,AB$93,$C509*2+MIN($B509,2)+5)</f>
        <v>0.27</v>
      </c>
      <c r="AC509" s="115">
        <f>INDEX(Input!$1:$1048576,AC$93,$C509*2+MIN($B509,2)+5)</f>
        <v>0</v>
      </c>
      <c r="AD509" s="118">
        <f>INDEX(Input!$1:$1048576,AD$93,$C509*2+MIN($B509,2)+5)</f>
        <v>0.27</v>
      </c>
      <c r="AE509" s="115">
        <f>INDEX(Input!$1:$1048576,AE$93,$C509*2+MIN($B509,2)+5)</f>
        <v>0</v>
      </c>
      <c r="AF509" s="118">
        <f>INDEX(Input!$1:$1048576,AF$93,$C509*2+MIN($B509,2)+5)</f>
        <v>0.2</v>
      </c>
      <c r="AG509" s="115">
        <f>INDEX(Input!$1:$1048576,AG$93,$C509*2+MIN($B509,2)+5)</f>
        <v>500</v>
      </c>
      <c r="AH509" s="118">
        <f>INDEX(Input!$1:$1048576,AH$93,$C509*2+MIN($B509,2)+5)</f>
        <v>1</v>
      </c>
      <c r="AI509" s="115">
        <f>INDEX(Input!$1:$1048576,AI$93,$C509*2+MIN($B509,2)+5)</f>
        <v>0</v>
      </c>
      <c r="AJ509" s="118">
        <f>INDEX(Input!$1:$1048576,AJ$93,$C509*2+MIN($B509,2)+5)</f>
        <v>0.27</v>
      </c>
      <c r="AK509" s="150">
        <f>ROUND(INDEX(Input!$1:$1048576,AK$93,$C508*2+MIN($B509,1)+5)+(Y509-VLOOKUP($C509*1000+1,$A:$HH,Y$92,FALSE)),0)</f>
        <v>2587</v>
      </c>
      <c r="AL509" s="150">
        <f>ROUND(INDEX(Input!$1:$1048576,AL$93,$C508*2+MIN($B509,1)+5)-(Y509-VLOOKUP($C509*1000+1,$A:$HH,Y$92,FALSE))/36,0)</f>
        <v>3406</v>
      </c>
      <c r="AM509" s="32" t="str">
        <f t="shared" si="1442"/>
        <v>std/std/std/std</v>
      </c>
      <c r="AN509" s="32" t="str">
        <f t="shared" si="1443"/>
        <v>$0 + 0/0/0/1.9/3.9</v>
      </c>
      <c r="AO509" s="32" t="str">
        <f t="shared" si="1444"/>
        <v>0/0/0/1.9/3.9</v>
      </c>
      <c r="AP509" s="32" t="str">
        <f t="shared" si="1396"/>
        <v>0/0.9/1.9/3.9</v>
      </c>
      <c r="AQ509" s="536">
        <f t="shared" si="1394"/>
        <v>0.42621581565182476</v>
      </c>
      <c r="AR509" s="32"/>
      <c r="AS509" s="302"/>
      <c r="AT509" s="3">
        <f t="shared" si="1465"/>
        <v>9</v>
      </c>
      <c r="AU509" s="41" t="s">
        <v>121</v>
      </c>
      <c r="AV509" s="41" t="s">
        <v>116</v>
      </c>
      <c r="AW509" s="41" t="str">
        <f>INDEX(Input!$1:$1048576,AW$93,$C509*2+6)</f>
        <v>Kia</v>
      </c>
      <c r="AX509" s="41" t="str">
        <f>INDEX(Input!$1:$1048576,AX$93,$C509*2+6)</f>
        <v>Kia-LR - R2</v>
      </c>
      <c r="AY509" s="41" t="str">
        <f>IF(LEN(D509)=0,"",INDEX(Input!$1:$1048576,AY$93,$C509*2+6))</f>
        <v>Compact SUV (52)</v>
      </c>
      <c r="AZ509" s="41" t="str">
        <f>INDEX(Input!$1:$1048576,AZ$93,$C509*2+6)</f>
        <v>Kia Soul</v>
      </c>
      <c r="BA509" s="3">
        <f>INDEX(Input!$1:$1048576,BA$93,$C509*2+6)</f>
        <v>2020</v>
      </c>
      <c r="BB509" s="128">
        <f>INDEX(Input!$1:$1048576,BB$93,$C509*2+6)</f>
        <v>1</v>
      </c>
      <c r="BC509" s="128">
        <f>INDEX(Input!$1:$1048576,BC$93,$C509*2+6)</f>
        <v>0.7</v>
      </c>
      <c r="BD509" s="1">
        <f>INDEX(Input!$1:$1048576,BD$93,$C509*2+6)</f>
        <v>4.4999999999999998E-2</v>
      </c>
      <c r="BE509" s="1">
        <f>INDEX(Input!$1:$1048576,BE$93,$C509*2+6)</f>
        <v>4.4999999999999998E-2</v>
      </c>
      <c r="BF509" s="1">
        <f>INDEX(Input!$1:$1048576,BF$93,$C509*2+6)</f>
        <v>0.05</v>
      </c>
      <c r="BG509" s="1">
        <f>INDEX(Input!$1:$1048576,BG$93,$C509*2+6)</f>
        <v>5.45E-2</v>
      </c>
      <c r="BH509" s="1">
        <f>INDEX(Input!$1:$1048576,BH$93,$C509*2+6)</f>
        <v>5.45E-2</v>
      </c>
      <c r="BI509" s="1">
        <f>INDEX(Input!$1:$1048576,BI$93,$C509*2+6)</f>
        <v>0.05</v>
      </c>
      <c r="BJ509" s="1">
        <f>INDEX(Input!$1:$1048576,BJ$93,$C509*2+6)</f>
        <v>0.05</v>
      </c>
      <c r="BK509" s="1">
        <f>INDEX(Input!$1:$1048576,BK$93,$C509*2+6)</f>
        <v>0.05</v>
      </c>
      <c r="BL509" s="1">
        <f>INDEX(Input!$1:$1048576,BL$93,$C509*2+6)</f>
        <v>5.5E-2</v>
      </c>
      <c r="BM509" s="1">
        <f>INDEX(Input!$1:$1048576,BM$93,$C509*2+6)</f>
        <v>0.06</v>
      </c>
      <c r="BN509" s="1">
        <f>INDEX(Input!$1:$1048576,BN$93,$C509*2+6)</f>
        <v>4.4999999999999998E-2</v>
      </c>
      <c r="BO509" s="1">
        <f>INDEX(Input!$1:$1048576,BO$93,$C509*2+6)</f>
        <v>4.4999999999999998E-2</v>
      </c>
      <c r="BP509" s="1">
        <f>INDEX(Input!$1:$1048576,BP$93,$C509*2+6)</f>
        <v>0.05</v>
      </c>
      <c r="BQ509" s="1">
        <f>INDEX(Input!$1:$1048576,BQ$93,$C509*2+6)</f>
        <v>5.45E-2</v>
      </c>
      <c r="BR509" s="1">
        <f>INDEX(Input!$1:$1048576,BR$93,$C509*2+6)</f>
        <v>5.45E-2</v>
      </c>
      <c r="BS509" s="1">
        <f>INDEX(Input!$1:$1048576,BS$93,$C509*2+6)</f>
        <v>0.05</v>
      </c>
      <c r="BT509" s="1">
        <f>INDEX(Input!$1:$1048576,BT$93,$C509*2+6)</f>
        <v>0.05</v>
      </c>
      <c r="BU509" s="1">
        <f>INDEX(Input!$1:$1048576,BU$93,$C509*2+6)</f>
        <v>0.05</v>
      </c>
      <c r="BV509" s="1">
        <f>INDEX(Input!$1:$1048576,BV$93,$C509*2+6)</f>
        <v>5.5E-2</v>
      </c>
      <c r="BW509" s="1">
        <f>INDEX(Input!$1:$1048576,BW$93,$C509*2+6)</f>
        <v>0.06</v>
      </c>
      <c r="BX509" s="127">
        <f>INDEX(Input!$1:$1048576,BX$93,$C509*2+6)</f>
        <v>19985</v>
      </c>
      <c r="BY509" s="20">
        <f>INDEX(Input!$1:$1048576,BY$93,$C509*2+6)</f>
        <v>0.1</v>
      </c>
      <c r="BZ509" s="20">
        <f>INDEX(Input!$1:$1048576,BZ$93,$C509*2+6)</f>
        <v>0.1</v>
      </c>
      <c r="CA509" s="20">
        <f>INDEX(Input!$1:$1048576,CA$93,$C509*2+6)</f>
        <v>0.1</v>
      </c>
      <c r="CB509" s="20">
        <f>INDEX(Input!$1:$1048576,CB$93,$C509*2+6)</f>
        <v>0.1</v>
      </c>
      <c r="CC509" s="20">
        <f>INDEX(Input!$1:$1048576,CC$93,$C509*2+6)</f>
        <v>0.1</v>
      </c>
      <c r="CD509" s="384">
        <f>INDEX(Input!$1:$1048576,CD$93,$C509*2+6)</f>
        <v>0.1</v>
      </c>
      <c r="CE509" s="384">
        <f>INDEX(Input!$1:$1048576,CE$93,$C509*2+6)</f>
        <v>0.1</v>
      </c>
      <c r="CF509" s="384">
        <f>INDEX(Input!$1:$1048576,CF$93,$C509*2+6)</f>
        <v>0.1</v>
      </c>
      <c r="CG509" s="384">
        <f>INDEX(Input!$1:$1048576,CG$93,$C509*2+6)</f>
        <v>0.1</v>
      </c>
      <c r="CH509" s="384">
        <f>INDEX(Input!$1:$1048576,CH$93,$C509*2+6)</f>
        <v>0.1</v>
      </c>
      <c r="CI509" s="304">
        <f t="shared" si="1397"/>
        <v>1527.4263093788063</v>
      </c>
      <c r="CJ509" s="16" t="str">
        <f>INDEX(Input!$1:$1048576,CJ$93,$C509*2+6)</f>
        <v>N</v>
      </c>
      <c r="CK509" s="1" t="str">
        <f t="shared" si="1398"/>
        <v>Market</v>
      </c>
      <c r="CL509" s="1" t="str">
        <f t="shared" si="1399"/>
        <v>Market</v>
      </c>
      <c r="CM509" s="1" t="str">
        <f t="shared" si="1400"/>
        <v>Market</v>
      </c>
      <c r="CN509" s="1" t="str">
        <f t="shared" si="1401"/>
        <v>Market</v>
      </c>
      <c r="CO509" s="1" t="str">
        <f t="shared" si="1402"/>
        <v>Market</v>
      </c>
      <c r="CP509" s="304">
        <f t="shared" si="1403"/>
        <v>500</v>
      </c>
      <c r="CQ509" s="1">
        <f t="shared" si="1404"/>
        <v>0</v>
      </c>
      <c r="CR509" s="1">
        <f t="shared" si="1405"/>
        <v>0</v>
      </c>
      <c r="CS509" s="1">
        <f t="shared" si="1406"/>
        <v>0</v>
      </c>
      <c r="CT509" s="1">
        <f t="shared" si="1407"/>
        <v>1.9E-2</v>
      </c>
      <c r="CU509" s="1">
        <f t="shared" si="1408"/>
        <v>3.9E-2</v>
      </c>
      <c r="CV509" s="304">
        <f t="shared" si="1409"/>
        <v>-717.93641739252325</v>
      </c>
      <c r="CW509" s="20" t="s">
        <v>122</v>
      </c>
      <c r="CX509" s="20" t="s">
        <v>122</v>
      </c>
      <c r="CY509" s="20" t="s">
        <v>122</v>
      </c>
      <c r="CZ509" s="20" t="s">
        <v>122</v>
      </c>
      <c r="DA509" s="20" t="s">
        <v>122</v>
      </c>
      <c r="DB509" s="503">
        <f t="shared" si="1410"/>
        <v>0</v>
      </c>
      <c r="DC509" s="127">
        <v>0</v>
      </c>
      <c r="DD509" s="127">
        <v>0</v>
      </c>
      <c r="DE509" s="127">
        <v>0</v>
      </c>
      <c r="DF509" s="127">
        <v>0</v>
      </c>
      <c r="DG509" s="127">
        <v>0</v>
      </c>
      <c r="DH509" s="127">
        <v>0</v>
      </c>
      <c r="DI509" s="127">
        <v>0</v>
      </c>
      <c r="DJ509" s="127">
        <v>0</v>
      </c>
      <c r="DK509" s="127">
        <v>0</v>
      </c>
      <c r="DL509" s="127">
        <v>0</v>
      </c>
      <c r="DM509" s="304">
        <f>INDEX(Input!$1:$1048576,DM$93,$C509*2+6)</f>
        <v>21036.84210526316</v>
      </c>
      <c r="DN509" s="20">
        <v>0</v>
      </c>
      <c r="DO509" s="20">
        <v>0</v>
      </c>
      <c r="DP509" s="20">
        <v>0</v>
      </c>
      <c r="DQ509" s="20">
        <v>0</v>
      </c>
      <c r="DR509" s="20">
        <v>0</v>
      </c>
      <c r="DS509" s="20">
        <f>INDEX(Input!$1:$1048576,DS$93,$C509*2+6)</f>
        <v>0.6</v>
      </c>
      <c r="DT509" s="20">
        <f>INDEX(Input!$1:$1048576,DT$93,$C509*2+6)</f>
        <v>0.55000000000000004</v>
      </c>
      <c r="DU509" s="20">
        <f>INDEX(Input!$1:$1048576,DU$93,$C509*2+6)</f>
        <v>0.52</v>
      </c>
      <c r="DV509" s="20">
        <f>INDEX(Input!$1:$1048576,DV$93,$C509*2+6)</f>
        <v>0.5</v>
      </c>
      <c r="DW509" s="20">
        <f>INDEX(Input!$1:$1048576,DW$93,$C509*2+6)</f>
        <v>0.45</v>
      </c>
      <c r="DX509" s="20"/>
      <c r="DY509" s="7">
        <v>0.12429025012987231</v>
      </c>
      <c r="DZ509" s="7">
        <v>0</v>
      </c>
      <c r="EA509" s="7">
        <v>0.74629301773982504</v>
      </c>
      <c r="EB509" s="7">
        <v>0</v>
      </c>
      <c r="EC509" s="7">
        <v>0</v>
      </c>
      <c r="ED509" s="7">
        <v>0</v>
      </c>
      <c r="EE509" s="7">
        <v>0</v>
      </c>
      <c r="EF509" s="7">
        <v>0</v>
      </c>
      <c r="EG509" s="7">
        <v>0</v>
      </c>
      <c r="EH509" s="7">
        <v>1.2089408644060599E-2</v>
      </c>
      <c r="EI509" s="7">
        <v>3.3610089729050462E-2</v>
      </c>
      <c r="EJ509" s="7">
        <v>0.29193702066924687</v>
      </c>
      <c r="EK509" s="7">
        <v>0.53731730628804741</v>
      </c>
      <c r="EL509" s="7">
        <v>0.12504617466959447</v>
      </c>
      <c r="EM509" s="7">
        <v>6.6872863994824422E-2</v>
      </c>
      <c r="EN509" s="7">
        <v>5.8480572468516644E-2</v>
      </c>
      <c r="EO509" s="7">
        <v>0.71704378339210317</v>
      </c>
      <c r="EP509" s="7">
        <v>8.9793270384858737E-2</v>
      </c>
      <c r="EQ509" s="7">
        <v>8.8417309403848607E-2</v>
      </c>
      <c r="ER509" s="7">
        <v>4.6265064350672923E-2</v>
      </c>
      <c r="ES509" s="7">
        <v>6.2543868135478214E-2</v>
      </c>
      <c r="ET509" s="7">
        <v>0.12941673213030264</v>
      </c>
      <c r="EU509" s="6">
        <v>1520</v>
      </c>
      <c r="EV509" s="6">
        <v>0</v>
      </c>
      <c r="EW509" s="6">
        <v>1520</v>
      </c>
      <c r="EX509" s="6">
        <v>0</v>
      </c>
      <c r="EY509" s="6">
        <v>2015.7575251687922</v>
      </c>
      <c r="EZ509" s="6">
        <v>-6.4499039401316622</v>
      </c>
      <c r="FA509" s="6">
        <v>0</v>
      </c>
      <c r="FB509" s="6">
        <v>0</v>
      </c>
      <c r="FC509" s="6">
        <v>0</v>
      </c>
      <c r="FD509" s="6">
        <v>0</v>
      </c>
      <c r="FE509" s="6">
        <v>0</v>
      </c>
      <c r="FF509" s="6">
        <v>0</v>
      </c>
      <c r="FG509" s="6">
        <v>0</v>
      </c>
      <c r="FH509" s="6">
        <v>1172.1377111032434</v>
      </c>
      <c r="FI509" s="6">
        <v>1553.9796069512402</v>
      </c>
      <c r="FJ509" s="6">
        <v>2101.2110117447401</v>
      </c>
      <c r="FK509" s="6">
        <v>1772.7139978623231</v>
      </c>
      <c r="FL509" s="6">
        <v>907.07682140966335</v>
      </c>
      <c r="FM509" s="6">
        <v>1745.7575251687922</v>
      </c>
      <c r="FN509" s="6">
        <v>0</v>
      </c>
      <c r="FO509" s="6">
        <v>0</v>
      </c>
      <c r="FP509" s="6">
        <v>0</v>
      </c>
      <c r="FQ509" s="6">
        <v>0</v>
      </c>
      <c r="FR509" s="6">
        <v>0</v>
      </c>
      <c r="FS509" s="6">
        <v>0</v>
      </c>
      <c r="FT509" s="7">
        <v>0.87058326786969731</v>
      </c>
      <c r="FU509" s="7">
        <v>6.6872863994824422E-2</v>
      </c>
      <c r="FV509" s="7">
        <v>6.2543868135478214E-2</v>
      </c>
      <c r="FW509" s="6">
        <v>1520</v>
      </c>
      <c r="FX509" s="6">
        <v>2015.7575251687924</v>
      </c>
      <c r="FY509" s="6">
        <v>-6.4499039401316622</v>
      </c>
      <c r="FZ509" s="6">
        <v>1758.1538569113241</v>
      </c>
      <c r="GA509" s="6">
        <v>1457.6826440475784</v>
      </c>
      <c r="GB509" s="6">
        <v>18527.317355952422</v>
      </c>
      <c r="GC509" s="7">
        <v>3.064145122680037E-2</v>
      </c>
      <c r="GD509" s="7">
        <v>3.0094084122779297E-2</v>
      </c>
      <c r="GE509" s="7"/>
      <c r="GF509" s="7"/>
      <c r="GG509" s="7">
        <v>-1.7863615530791879E-2</v>
      </c>
      <c r="GH509" s="42">
        <v>1.188148285422491</v>
      </c>
      <c r="GI509" s="6">
        <v>18277.973718148303</v>
      </c>
      <c r="GJ509" s="14">
        <v>0.50394797582841733</v>
      </c>
      <c r="GK509" s="14">
        <v>0.50887573065309721</v>
      </c>
      <c r="GL509" s="14">
        <v>0.4960520241715824</v>
      </c>
      <c r="GM509" s="14">
        <v>0.49112426934690229</v>
      </c>
      <c r="GO509" s="5">
        <v>343.14810671672558</v>
      </c>
      <c r="GP509" s="5">
        <v>314.14940645767444</v>
      </c>
      <c r="GQ509" s="5">
        <v>535.04305713031317</v>
      </c>
      <c r="GR509" s="5">
        <v>410.15490233172511</v>
      </c>
      <c r="GS509" s="5">
        <v>339.42744393800166</v>
      </c>
      <c r="GT509" s="5">
        <v>293.4407446948278</v>
      </c>
      <c r="GU509" s="5">
        <v>258.04012322764959</v>
      </c>
      <c r="GV509" s="39" t="s">
        <v>392</v>
      </c>
      <c r="GW509" s="5">
        <v>492.125</v>
      </c>
      <c r="GX509" s="5">
        <v>369.09375</v>
      </c>
      <c r="GY509" s="5">
        <v>295.27499999999998</v>
      </c>
      <c r="GZ509" s="5">
        <v>260.54902799031458</v>
      </c>
      <c r="HA509" s="5">
        <v>241.34874471337258</v>
      </c>
      <c r="HB509" s="39">
        <v>274.73371722644254</v>
      </c>
      <c r="HC509" s="5">
        <v>287.56655829738071</v>
      </c>
      <c r="HD509" s="5">
        <v>239.99799238008356</v>
      </c>
      <c r="HE509" s="5">
        <v>241.14168635502031</v>
      </c>
      <c r="HF509" s="5">
        <v>221.05790951107167</v>
      </c>
      <c r="HG509" s="5">
        <v>210.75500473779988</v>
      </c>
      <c r="HH509" s="39">
        <v>239.85496549652237</v>
      </c>
      <c r="HI509" s="16"/>
      <c r="HJ509" s="19" t="str">
        <f t="shared" si="1466"/>
        <v>On</v>
      </c>
      <c r="HK509" s="1" t="str">
        <f t="shared" si="1466"/>
        <v>On</v>
      </c>
      <c r="HL509" s="16"/>
      <c r="HM509" s="639">
        <f t="shared" si="1413"/>
        <v>2.4909940070666322E-2</v>
      </c>
      <c r="HN509" s="639">
        <f t="shared" si="1414"/>
        <v>2.2052381276269151E-3</v>
      </c>
      <c r="HO509" s="639">
        <f t="shared" si="1415"/>
        <v>2.079866082302006E-3</v>
      </c>
      <c r="HP509" s="644">
        <f>(FT509*$GD509-HM509)/$JF509*INDEX(Input!$1:$1048576,$JG$93,$C509*2+6)</f>
        <v>36.261346248159683</v>
      </c>
      <c r="HQ509" s="644">
        <f>(FU509*$GD509-HN509)/$JF509*INDEX(Input!$1:$1048576,$JG$93,$C509*2+6)</f>
        <v>-5.4206596195274113</v>
      </c>
      <c r="HR509" s="644">
        <f>(FV509*$GD509-HO509)/$JF509*INDEX(Input!$1:$1048576,$JG$93,$C509*2+6)</f>
        <v>-5.5585975405297683</v>
      </c>
      <c r="HS509" s="644">
        <f t="shared" si="1416"/>
        <v>-13.518221487350713</v>
      </c>
      <c r="HT509" s="644">
        <f t="shared" si="1417"/>
        <v>0.63215575719842509</v>
      </c>
      <c r="HU509" s="644">
        <f t="shared" si="1418"/>
        <v>1.2588901786587023</v>
      </c>
      <c r="HV509" s="648">
        <f t="shared" si="1419"/>
        <v>0</v>
      </c>
      <c r="HW509" s="648">
        <f t="shared" si="1420"/>
        <v>0</v>
      </c>
      <c r="HX509" s="648">
        <f t="shared" si="1421"/>
        <v>0</v>
      </c>
      <c r="HY509" s="644">
        <f>INDEX(Input!$1:$1048576,HY$93,$C509*2+6)*INDEX(Input!$1:$1048576,$JG$93,$C509*2+6)</f>
        <v>333.00000000000006</v>
      </c>
      <c r="HZ509" s="644">
        <f>INDEX(Input!$1:$1048576,HZ$93,$C509*2+6)*INDEX(Input!$1:$1048576,$JG$93,$C509*2+6)</f>
        <v>429</v>
      </c>
      <c r="IA509" s="644">
        <f>INDEX(Input!$1:$1048576,IA$93,$C509*2+6)*INDEX(Input!$1:$1048576,$JG$93,$C509*2+6)</f>
        <v>59</v>
      </c>
      <c r="IB509" s="644">
        <f t="shared" si="1445"/>
        <v>355.74312476080905</v>
      </c>
      <c r="IC509" s="644">
        <f t="shared" si="1446"/>
        <v>424.21149613767102</v>
      </c>
      <c r="ID509" s="644">
        <f>IF(AND(INDEX(Input!$1:$1048576,IA$93,$C509*2+7)="TOS",Y509&lt;=INDEX(Y:Y,MATCH(C509*1000+2,A:A))),0,1)*MAX(IA509+HR509+HU509+HX509,0%)</f>
        <v>54.700292638128936</v>
      </c>
      <c r="IE509" s="128">
        <f t="shared" si="1481"/>
        <v>0.42621581565182476</v>
      </c>
      <c r="IF509" s="128">
        <f t="shared" si="1468"/>
        <v>0.50824776714031117</v>
      </c>
      <c r="IG509" s="128">
        <f t="shared" si="1423"/>
        <v>6.5536417207864087E-2</v>
      </c>
      <c r="IH509" s="21"/>
      <c r="II509" s="19">
        <f t="shared" si="1424"/>
        <v>1240</v>
      </c>
      <c r="IJ509" s="19">
        <f t="shared" si="1425"/>
        <v>1985.7442651839444</v>
      </c>
      <c r="IK509" s="19">
        <f t="shared" si="1426"/>
        <v>-21.44990394013189</v>
      </c>
      <c r="IL509" s="19">
        <f t="shared" si="1448"/>
        <v>280</v>
      </c>
      <c r="IM509" s="19">
        <f t="shared" si="1427"/>
        <v>30.013259984847991</v>
      </c>
      <c r="IN509" s="19">
        <f t="shared" si="1428"/>
        <v>15.000000000000227</v>
      </c>
      <c r="IO509" s="39">
        <f t="shared" si="1429"/>
        <v>0</v>
      </c>
      <c r="IP509" s="39">
        <f t="shared" si="1430"/>
        <v>0</v>
      </c>
      <c r="IQ509" s="39">
        <f t="shared" si="1431"/>
        <v>0</v>
      </c>
      <c r="IR509" s="39">
        <v>0</v>
      </c>
      <c r="IS509" s="39">
        <v>0</v>
      </c>
      <c r="IT509" s="39">
        <v>0</v>
      </c>
      <c r="IU509" s="39">
        <v>0</v>
      </c>
      <c r="IV509" s="39">
        <v>0</v>
      </c>
      <c r="IW509" s="39">
        <v>0</v>
      </c>
      <c r="IX509" s="39">
        <f>INDEX(Input!$1:$1048576,IX$93,$C509*2+6)+INDEX(Input!$1:$1048576,IX$94,$C509*2+6)</f>
        <v>1270</v>
      </c>
      <c r="IY509" s="39">
        <f>INDEX(Input!$1:$1048576,IY$93,$C509*2+6)+INDEX(Input!$1:$1048576,IY$94,$C509*2+6)</f>
        <v>2130.0624533823611</v>
      </c>
      <c r="IZ509" s="39">
        <f>INDEX(Input!$1:$1048576,IZ$93,$C509*2+6)+INDEX(Input!$1:$1048576,IZ$94,$C509*2+6)</f>
        <v>3653.7164157747857</v>
      </c>
      <c r="JA509" s="19">
        <f t="shared" si="1449"/>
        <v>1550</v>
      </c>
      <c r="JB509" s="19">
        <f t="shared" si="1450"/>
        <v>2160.0757133672091</v>
      </c>
      <c r="JC509" s="19">
        <f t="shared" si="1451"/>
        <v>3668.7164157747857</v>
      </c>
      <c r="JD509" s="19">
        <f t="shared" si="1452"/>
        <v>1998.9227020747833</v>
      </c>
      <c r="JE509" s="21"/>
      <c r="JF509" s="1">
        <f t="shared" si="1432"/>
        <v>2.9195044280595241E-2</v>
      </c>
      <c r="JG509" s="15">
        <f>INDEX(Input!$1:$1048576,JG$93,$C509*2+6)/(1+VLOOKUP(C509*1000+INDEX(Input!$1:$1048576,JG$93+1,$C509*2+6),$A:$KK,$JK$92,FALSE))</f>
        <v>821</v>
      </c>
      <c r="JH509" s="1">
        <f t="shared" si="1453"/>
        <v>3.0794261983072474E-2</v>
      </c>
      <c r="JI509" s="1">
        <f t="shared" si="1454"/>
        <v>-1.4162211390369774E-2</v>
      </c>
      <c r="JJ509" s="1">
        <f t="shared" si="1455"/>
        <v>0</v>
      </c>
      <c r="JK509" s="1">
        <f t="shared" si="1482"/>
        <v>1.6632050592702702E-2</v>
      </c>
      <c r="JL509" s="15">
        <f t="shared" si="1457"/>
        <v>13.654913536608918</v>
      </c>
      <c r="JM509" s="15">
        <f t="shared" si="1483"/>
        <v>834.65491353660889</v>
      </c>
      <c r="JN509" s="21"/>
      <c r="JO509" s="19">
        <f>INDEX(Input!$1:$1048576,JO$93,$C509*2+6)</f>
        <v>5995.5</v>
      </c>
      <c r="JP509" s="19">
        <f>INDEX(Input!$1:$1048576,JP$93,$C509*2+6)</f>
        <v>1890.7138380411029</v>
      </c>
      <c r="JQ509" s="39">
        <f t="shared" si="1469"/>
        <v>3996.577297925217</v>
      </c>
      <c r="JR509" s="39">
        <f t="shared" ref="JR509:JR550" si="1486">JD509-JP509</f>
        <v>108.20886403368036</v>
      </c>
      <c r="JS509" s="39">
        <f t="shared" si="1471"/>
        <v>1.6684106550665929</v>
      </c>
      <c r="JT509" s="39">
        <f t="shared" si="1459"/>
        <v>0.11613459403484734</v>
      </c>
      <c r="JU509" s="385">
        <f>(JQ509*JM509-INDEX(Input!$1:$1048576,Input!A$18,$C509*2+6)*JL509*INDEX(Input!$1:$1048576,Input!A$19,$C509*2+6))/1000000</f>
        <v>3.3357628790421456</v>
      </c>
      <c r="JV509" s="39">
        <f t="shared" si="1435"/>
        <v>-3.4266559926108719E-2</v>
      </c>
      <c r="JW509" s="1">
        <f t="shared" si="1484"/>
        <v>-1.0168029848605578E-2</v>
      </c>
      <c r="JX509" s="19">
        <f t="shared" si="1475"/>
        <v>8504.9673674966652</v>
      </c>
      <c r="JZ509" s="341"/>
      <c r="KA509" s="342"/>
      <c r="KB509" s="469">
        <f t="shared" si="1472"/>
        <v>2.5122967434604799</v>
      </c>
      <c r="KI509" s="473">
        <f t="shared" si="1473"/>
        <v>22.743124760808996</v>
      </c>
      <c r="KJ509" s="473">
        <f t="shared" si="1460"/>
        <v>-4.788503862329037</v>
      </c>
      <c r="KK509" s="473">
        <f t="shared" si="1461"/>
        <v>-4.2997073618710715</v>
      </c>
      <c r="KN509" s="544">
        <f t="shared" si="1476"/>
        <v>5002</v>
      </c>
      <c r="KO509" s="541">
        <f t="shared" si="1436"/>
        <v>1.2509477966140548E-2</v>
      </c>
      <c r="KP509" s="546">
        <f t="shared" si="1437"/>
        <v>106.55994464444611</v>
      </c>
      <c r="KQ509" s="546">
        <f t="shared" si="1438"/>
        <v>80.003936351516813</v>
      </c>
      <c r="KR509" s="548">
        <f t="shared" si="1439"/>
        <v>2.1208461198883422</v>
      </c>
      <c r="KS509" s="548">
        <f t="shared" si="1440"/>
        <v>2.8248265703041913</v>
      </c>
      <c r="KT509" s="473">
        <f t="shared" si="1474"/>
        <v>595.94378802984284</v>
      </c>
      <c r="KU509" s="663">
        <f t="shared" si="1462"/>
        <v>4.0047599725921064</v>
      </c>
      <c r="KV509" s="117" t="e">
        <f>RANK(KU509,$KU$109:$KU$200)</f>
        <v>#N/A</v>
      </c>
    </row>
    <row r="510" spans="1:310" s="26" customFormat="1" ht="15">
      <c r="A510" s="561">
        <f t="shared" si="1441"/>
        <v>5010</v>
      </c>
      <c r="B510" s="561">
        <f t="shared" si="1463"/>
        <v>10</v>
      </c>
      <c r="C510" s="561">
        <f t="shared" si="1464"/>
        <v>5</v>
      </c>
      <c r="D510" s="561" t="str">
        <f t="shared" si="1485"/>
        <v xml:space="preserve">500 CC, </v>
      </c>
      <c r="E510" s="475">
        <f>INDEX(Input!$1:$1048576,E$93,$C510*2+MIN($B510,2)+5)+IF(OR(BX510&gt;50000,INDEX(Input!$1:$1048576,E$93,$C510*2+MIN($B510,2)+5)&gt;0),0,250)+IF(BX510&gt;50000,500,250)*2</f>
        <v>1777.4263093788063</v>
      </c>
      <c r="F510" s="475">
        <f>INDEX(Input!$1:$1048576,F$93,$C510*2+MIN($B510,2)+5)</f>
        <v>0</v>
      </c>
      <c r="G510" s="475">
        <f>INDEX(Input!$1:$1048576,G$93,$C510*2+MIN($B510,2)+5)</f>
        <v>0</v>
      </c>
      <c r="H510" s="115">
        <f>INDEX(Input!$1:$1048576,H$93,$C510*2+MIN($B510,2)+5)</f>
        <v>0</v>
      </c>
      <c r="I510" s="118">
        <f>INDEX(Input!$1:$1048576,I$93,$C510*2+MIN($B510,2)+5)</f>
        <v>0.7</v>
      </c>
      <c r="J510" s="118" t="str">
        <f>INDEX(Input!$1:$1048576,J$93,$C510*2+MIN($B510,2)+5)</f>
        <v>Market</v>
      </c>
      <c r="K510" s="118" t="str">
        <f>INDEX(Input!$1:$1048576,K$93,$C510*2+MIN($B510,2)+5)</f>
        <v>Market</v>
      </c>
      <c r="L510" s="118" t="str">
        <f>INDEX(Input!$1:$1048576,L$93,$C510*2+MIN($B510,2)+5)</f>
        <v>Market</v>
      </c>
      <c r="M510" s="118" t="str">
        <f>INDEX(Input!$1:$1048576,M$93,$C510*2+MIN($B510,2)+5)</f>
        <v>Market</v>
      </c>
      <c r="N510" s="118" t="str">
        <f>INDEX(Input!$1:$1048576,N$93,$C510*2+MIN($B510,2)+5)</f>
        <v>Market</v>
      </c>
      <c r="O510" s="118" t="str">
        <f>INDEX(Input!$1:$1048576,O$93,$C510*2+MIN($B510,2)+5)</f>
        <v>Market</v>
      </c>
      <c r="P510" s="118" t="str">
        <f>INDEX(Input!$1:$1048576,P$93,$C510*2+MIN($B510,2)+5)</f>
        <v>N</v>
      </c>
      <c r="Q510" s="30">
        <f>INDEX(Input!$1:$1048576,Q$93,$C510*2+MIN($B510,2)+5)</f>
        <v>0</v>
      </c>
      <c r="R510" s="383">
        <f>INDEX(Input!$1:$1048576,R$93,$C510*2+MIN($B510,2)+5)</f>
        <v>0</v>
      </c>
      <c r="S510" s="383">
        <f>INDEX(Input!$1:$1048576,S$93,$C510*2+MIN($B510,2)+5)</f>
        <v>0</v>
      </c>
      <c r="T510" s="383">
        <f>INDEX(Input!$1:$1048576,T$93,$C510*2+MIN($B510,2)+5)</f>
        <v>0</v>
      </c>
      <c r="U510" s="383">
        <f>INDEX(Input!$1:$1048576,U$93,$C510*2+MIN($B510,2)+5)</f>
        <v>0</v>
      </c>
      <c r="V510" s="383">
        <f>INDEX(Input!$1:$1048576,V$93,$C510*2+MIN($B510,2)+5)</f>
        <v>1.9E-2</v>
      </c>
      <c r="W510" s="884">
        <f>INDEX(Input!$1:$1048576,W$93,$C510*2+MIN($B510,2)+5)</f>
        <v>3.9E-2</v>
      </c>
      <c r="X510" s="118" t="str">
        <f>INDEX(Input!$1:$1048576,X$93,$C510*2+MIN($B510,2)+5)</f>
        <v>Y</v>
      </c>
      <c r="Y510" s="150">
        <f>INDEX(Input!$1:$1048576,Y$93,$C510*2+MIN($B510,2)+5)</f>
        <v>-717.93641739252325</v>
      </c>
      <c r="Z510" s="30">
        <f>INDEX(Input!$1:$1048576,Z$93,$C510*2+MIN($B510,2)+5)</f>
        <v>0</v>
      </c>
      <c r="AA510" s="115">
        <f>INDEX(Input!$1:$1048576,AA$93,$C510*2+MIN($B510,2)+5)</f>
        <v>0</v>
      </c>
      <c r="AB510" s="118">
        <f>INDEX(Input!$1:$1048576,AB$93,$C510*2+MIN($B510,2)+5)</f>
        <v>0.27</v>
      </c>
      <c r="AC510" s="115">
        <f>INDEX(Input!$1:$1048576,AC$93,$C510*2+MIN($B510,2)+5)</f>
        <v>0</v>
      </c>
      <c r="AD510" s="118">
        <f>INDEX(Input!$1:$1048576,AD$93,$C510*2+MIN($B510,2)+5)</f>
        <v>0.27</v>
      </c>
      <c r="AE510" s="115">
        <f>INDEX(Input!$1:$1048576,AE$93,$C510*2+MIN($B510,2)+5)</f>
        <v>0</v>
      </c>
      <c r="AF510" s="118">
        <f>INDEX(Input!$1:$1048576,AF$93,$C510*2+MIN($B510,2)+5)</f>
        <v>0.2</v>
      </c>
      <c r="AG510" s="115">
        <f>INDEX(Input!$1:$1048576,AG$93,$C510*2+MIN($B510,2)+5)</f>
        <v>500</v>
      </c>
      <c r="AH510" s="118">
        <f>INDEX(Input!$1:$1048576,AH$93,$C510*2+MIN($B510,2)+5)</f>
        <v>1</v>
      </c>
      <c r="AI510" s="115">
        <f>INDEX(Input!$1:$1048576,AI$93,$C510*2+MIN($B510,2)+5)</f>
        <v>0</v>
      </c>
      <c r="AJ510" s="118">
        <f>INDEX(Input!$1:$1048576,AJ$93,$C510*2+MIN($B510,2)+5)</f>
        <v>0.27</v>
      </c>
      <c r="AK510" s="150">
        <f>ROUND(INDEX(Input!$1:$1048576,AK$93,$C509*2+MIN($B510,1)+5)+(Y510-VLOOKUP($C510*1000+1,$A:$HH,Y$92,FALSE)),0)</f>
        <v>2587</v>
      </c>
      <c r="AL510" s="150">
        <f>ROUND(INDEX(Input!$1:$1048576,AL$93,$C509*2+MIN($B510,1)+5)-(Y510-VLOOKUP($C510*1000+1,$A:$HH,Y$92,FALSE))/36,0)</f>
        <v>3406</v>
      </c>
      <c r="AM510" s="32" t="str">
        <f t="shared" si="1442"/>
        <v>std/std/std/std</v>
      </c>
      <c r="AN510" s="32" t="str">
        <f t="shared" si="1443"/>
        <v>$0 + 0/0/0/1.9/3.9</v>
      </c>
      <c r="AO510" s="32" t="str">
        <f t="shared" si="1444"/>
        <v>0/0/0/1.9/3.9</v>
      </c>
      <c r="AP510" s="32" t="str">
        <f t="shared" si="1396"/>
        <v>0/0.9/1.9/3.9</v>
      </c>
      <c r="AQ510" s="536">
        <f t="shared" si="1394"/>
        <v>0.44582686206872113</v>
      </c>
      <c r="AR510" s="32"/>
      <c r="AS510" s="302"/>
      <c r="AT510" s="3">
        <f t="shared" si="1465"/>
        <v>10</v>
      </c>
      <c r="AU510" s="41" t="s">
        <v>121</v>
      </c>
      <c r="AV510" s="41" t="s">
        <v>116</v>
      </c>
      <c r="AW510" s="41" t="str">
        <f>INDEX(Input!$1:$1048576,AW$93,$C510*2+6)</f>
        <v>Kia</v>
      </c>
      <c r="AX510" s="41" t="str">
        <f>INDEX(Input!$1:$1048576,AX$93,$C510*2+6)</f>
        <v>Kia-LR - R2</v>
      </c>
      <c r="AY510" s="41" t="str">
        <f>IF(LEN(D510)=0,"",INDEX(Input!$1:$1048576,AY$93,$C510*2+6))</f>
        <v>Compact SUV (52)</v>
      </c>
      <c r="AZ510" s="41" t="str">
        <f>INDEX(Input!$1:$1048576,AZ$93,$C510*2+6)</f>
        <v>Kia Soul</v>
      </c>
      <c r="BA510" s="3">
        <f>INDEX(Input!$1:$1048576,BA$93,$C510*2+6)</f>
        <v>2020</v>
      </c>
      <c r="BB510" s="128">
        <f>INDEX(Input!$1:$1048576,BB$93,$C510*2+6)</f>
        <v>1</v>
      </c>
      <c r="BC510" s="128">
        <f>INDEX(Input!$1:$1048576,BC$93,$C510*2+6)</f>
        <v>0.7</v>
      </c>
      <c r="BD510" s="1">
        <f>INDEX(Input!$1:$1048576,BD$93,$C510*2+6)</f>
        <v>4.4999999999999998E-2</v>
      </c>
      <c r="BE510" s="1">
        <f>INDEX(Input!$1:$1048576,BE$93,$C510*2+6)</f>
        <v>4.4999999999999998E-2</v>
      </c>
      <c r="BF510" s="1">
        <f>INDEX(Input!$1:$1048576,BF$93,$C510*2+6)</f>
        <v>0.05</v>
      </c>
      <c r="BG510" s="1">
        <f>INDEX(Input!$1:$1048576,BG$93,$C510*2+6)</f>
        <v>5.45E-2</v>
      </c>
      <c r="BH510" s="1">
        <f>INDEX(Input!$1:$1048576,BH$93,$C510*2+6)</f>
        <v>5.45E-2</v>
      </c>
      <c r="BI510" s="1">
        <f>INDEX(Input!$1:$1048576,BI$93,$C510*2+6)</f>
        <v>0.05</v>
      </c>
      <c r="BJ510" s="1">
        <f>INDEX(Input!$1:$1048576,BJ$93,$C510*2+6)</f>
        <v>0.05</v>
      </c>
      <c r="BK510" s="1">
        <f>INDEX(Input!$1:$1048576,BK$93,$C510*2+6)</f>
        <v>0.05</v>
      </c>
      <c r="BL510" s="1">
        <f>INDEX(Input!$1:$1048576,BL$93,$C510*2+6)</f>
        <v>5.5E-2</v>
      </c>
      <c r="BM510" s="1">
        <f>INDEX(Input!$1:$1048576,BM$93,$C510*2+6)</f>
        <v>0.06</v>
      </c>
      <c r="BN510" s="1">
        <f>INDEX(Input!$1:$1048576,BN$93,$C510*2+6)</f>
        <v>4.4999999999999998E-2</v>
      </c>
      <c r="BO510" s="1">
        <f>INDEX(Input!$1:$1048576,BO$93,$C510*2+6)</f>
        <v>4.4999999999999998E-2</v>
      </c>
      <c r="BP510" s="1">
        <f>INDEX(Input!$1:$1048576,BP$93,$C510*2+6)</f>
        <v>0.05</v>
      </c>
      <c r="BQ510" s="1">
        <f>INDEX(Input!$1:$1048576,BQ$93,$C510*2+6)</f>
        <v>5.45E-2</v>
      </c>
      <c r="BR510" s="1">
        <f>INDEX(Input!$1:$1048576,BR$93,$C510*2+6)</f>
        <v>5.45E-2</v>
      </c>
      <c r="BS510" s="1">
        <f>INDEX(Input!$1:$1048576,BS$93,$C510*2+6)</f>
        <v>0.05</v>
      </c>
      <c r="BT510" s="1">
        <f>INDEX(Input!$1:$1048576,BT$93,$C510*2+6)</f>
        <v>0.05</v>
      </c>
      <c r="BU510" s="1">
        <f>INDEX(Input!$1:$1048576,BU$93,$C510*2+6)</f>
        <v>0.05</v>
      </c>
      <c r="BV510" s="1">
        <f>INDEX(Input!$1:$1048576,BV$93,$C510*2+6)</f>
        <v>5.5E-2</v>
      </c>
      <c r="BW510" s="1">
        <f>INDEX(Input!$1:$1048576,BW$93,$C510*2+6)</f>
        <v>0.06</v>
      </c>
      <c r="BX510" s="127">
        <f>INDEX(Input!$1:$1048576,BX$93,$C510*2+6)</f>
        <v>19985</v>
      </c>
      <c r="BY510" s="20">
        <f>INDEX(Input!$1:$1048576,BY$93,$C510*2+6)</f>
        <v>0.1</v>
      </c>
      <c r="BZ510" s="20">
        <f>INDEX(Input!$1:$1048576,BZ$93,$C510*2+6)</f>
        <v>0.1</v>
      </c>
      <c r="CA510" s="20">
        <f>INDEX(Input!$1:$1048576,CA$93,$C510*2+6)</f>
        <v>0.1</v>
      </c>
      <c r="CB510" s="20">
        <f>INDEX(Input!$1:$1048576,CB$93,$C510*2+6)</f>
        <v>0.1</v>
      </c>
      <c r="CC510" s="20">
        <f>INDEX(Input!$1:$1048576,CC$93,$C510*2+6)</f>
        <v>0.1</v>
      </c>
      <c r="CD510" s="384">
        <f>INDEX(Input!$1:$1048576,CD$93,$C510*2+6)</f>
        <v>0.1</v>
      </c>
      <c r="CE510" s="384">
        <f>INDEX(Input!$1:$1048576,CE$93,$C510*2+6)</f>
        <v>0.1</v>
      </c>
      <c r="CF510" s="384">
        <f>INDEX(Input!$1:$1048576,CF$93,$C510*2+6)</f>
        <v>0.1</v>
      </c>
      <c r="CG510" s="384">
        <f>INDEX(Input!$1:$1048576,CG$93,$C510*2+6)</f>
        <v>0.1</v>
      </c>
      <c r="CH510" s="384">
        <f>INDEX(Input!$1:$1048576,CH$93,$C510*2+6)</f>
        <v>0.1</v>
      </c>
      <c r="CI510" s="304">
        <f t="shared" si="1397"/>
        <v>1777.4263093788063</v>
      </c>
      <c r="CJ510" s="16" t="str">
        <f>INDEX(Input!$1:$1048576,CJ$93,$C510*2+6)</f>
        <v>N</v>
      </c>
      <c r="CK510" s="1" t="str">
        <f t="shared" si="1398"/>
        <v>Market</v>
      </c>
      <c r="CL510" s="1" t="str">
        <f t="shared" si="1399"/>
        <v>Market</v>
      </c>
      <c r="CM510" s="1" t="str">
        <f t="shared" si="1400"/>
        <v>Market</v>
      </c>
      <c r="CN510" s="1" t="str">
        <f t="shared" si="1401"/>
        <v>Market</v>
      </c>
      <c r="CO510" s="1" t="str">
        <f t="shared" si="1402"/>
        <v>Market</v>
      </c>
      <c r="CP510" s="304">
        <f t="shared" si="1403"/>
        <v>500</v>
      </c>
      <c r="CQ510" s="1">
        <f t="shared" si="1404"/>
        <v>0</v>
      </c>
      <c r="CR510" s="1">
        <f t="shared" si="1405"/>
        <v>0</v>
      </c>
      <c r="CS510" s="1">
        <f t="shared" si="1406"/>
        <v>0</v>
      </c>
      <c r="CT510" s="1">
        <f t="shared" si="1407"/>
        <v>1.9E-2</v>
      </c>
      <c r="CU510" s="1">
        <f t="shared" si="1408"/>
        <v>3.9E-2</v>
      </c>
      <c r="CV510" s="304">
        <f t="shared" si="1409"/>
        <v>-717.93641739252325</v>
      </c>
      <c r="CW510" s="20" t="s">
        <v>122</v>
      </c>
      <c r="CX510" s="20" t="s">
        <v>122</v>
      </c>
      <c r="CY510" s="20" t="s">
        <v>122</v>
      </c>
      <c r="CZ510" s="20" t="s">
        <v>122</v>
      </c>
      <c r="DA510" s="20" t="s">
        <v>122</v>
      </c>
      <c r="DB510" s="503">
        <f t="shared" si="1410"/>
        <v>0</v>
      </c>
      <c r="DC510" s="127">
        <v>0</v>
      </c>
      <c r="DD510" s="127">
        <v>0</v>
      </c>
      <c r="DE510" s="127">
        <v>0</v>
      </c>
      <c r="DF510" s="127">
        <v>0</v>
      </c>
      <c r="DG510" s="127">
        <v>0</v>
      </c>
      <c r="DH510" s="127">
        <v>0</v>
      </c>
      <c r="DI510" s="127">
        <v>0</v>
      </c>
      <c r="DJ510" s="127">
        <v>0</v>
      </c>
      <c r="DK510" s="127">
        <v>0</v>
      </c>
      <c r="DL510" s="127">
        <v>0</v>
      </c>
      <c r="DM510" s="304">
        <f>INDEX(Input!$1:$1048576,DM$93,$C510*2+6)</f>
        <v>21036.84210526316</v>
      </c>
      <c r="DN510" s="20">
        <v>0</v>
      </c>
      <c r="DO510" s="20">
        <v>0</v>
      </c>
      <c r="DP510" s="20">
        <v>0</v>
      </c>
      <c r="DQ510" s="20">
        <v>0</v>
      </c>
      <c r="DR510" s="20">
        <v>0</v>
      </c>
      <c r="DS510" s="20">
        <f>INDEX(Input!$1:$1048576,DS$93,$C510*2+6)</f>
        <v>0.6</v>
      </c>
      <c r="DT510" s="20">
        <f>INDEX(Input!$1:$1048576,DT$93,$C510*2+6)</f>
        <v>0.55000000000000004</v>
      </c>
      <c r="DU510" s="20">
        <f>INDEX(Input!$1:$1048576,DU$93,$C510*2+6)</f>
        <v>0.52</v>
      </c>
      <c r="DV510" s="20">
        <f>INDEX(Input!$1:$1048576,DV$93,$C510*2+6)</f>
        <v>0.5</v>
      </c>
      <c r="DW510" s="20">
        <f>INDEX(Input!$1:$1048576,DW$93,$C510*2+6)</f>
        <v>0.45</v>
      </c>
      <c r="DX510" s="20"/>
      <c r="DY510" s="7">
        <v>0.12933190733008768</v>
      </c>
      <c r="DZ510" s="7">
        <v>0</v>
      </c>
      <c r="EA510" s="7">
        <v>0.75634979474088737</v>
      </c>
      <c r="EB510" s="7">
        <v>0</v>
      </c>
      <c r="EC510" s="7">
        <v>0</v>
      </c>
      <c r="ED510" s="7">
        <v>0</v>
      </c>
      <c r="EE510" s="7">
        <v>0</v>
      </c>
      <c r="EF510" s="7">
        <v>0</v>
      </c>
      <c r="EG510" s="7">
        <v>0</v>
      </c>
      <c r="EH510" s="7">
        <v>1.2090221707136308E-2</v>
      </c>
      <c r="EI510" s="7">
        <v>3.3614286720294637E-2</v>
      </c>
      <c r="EJ510" s="7">
        <v>0.29196712317136775</v>
      </c>
      <c r="EK510" s="7">
        <v>0.53728211362088463</v>
      </c>
      <c r="EL510" s="7">
        <v>0.12504625478031714</v>
      </c>
      <c r="EM510" s="7">
        <v>5.9054211195475853E-2</v>
      </c>
      <c r="EN510" s="7">
        <v>5.8489301995530651E-2</v>
      </c>
      <c r="EO510" s="7">
        <v>0.71704221117326505</v>
      </c>
      <c r="EP510" s="7">
        <v>8.9796831912303685E-2</v>
      </c>
      <c r="EQ510" s="7">
        <v>8.8411632603657003E-2</v>
      </c>
      <c r="ER510" s="7">
        <v>4.6260022315242774E-2</v>
      </c>
      <c r="ES510" s="7">
        <v>5.52640867335491E-2</v>
      </c>
      <c r="ET510" s="7">
        <v>0.11431829792902501</v>
      </c>
      <c r="EU510" s="6">
        <v>1770</v>
      </c>
      <c r="EV510" s="6">
        <v>0</v>
      </c>
      <c r="EW510" s="6">
        <v>1770</v>
      </c>
      <c r="EX510" s="6">
        <v>0</v>
      </c>
      <c r="EY510" s="6">
        <v>2015.7659660406505</v>
      </c>
      <c r="EZ510" s="6">
        <v>-6.4499039401316622</v>
      </c>
      <c r="FA510" s="6">
        <v>0</v>
      </c>
      <c r="FB510" s="6">
        <v>0</v>
      </c>
      <c r="FC510" s="6">
        <v>0</v>
      </c>
      <c r="FD510" s="6">
        <v>0</v>
      </c>
      <c r="FE510" s="6">
        <v>0</v>
      </c>
      <c r="FF510" s="6">
        <v>0</v>
      </c>
      <c r="FG510" s="6">
        <v>0</v>
      </c>
      <c r="FH510" s="6">
        <v>1172.1400244889746</v>
      </c>
      <c r="FI510" s="6">
        <v>1553.9796069512402</v>
      </c>
      <c r="FJ510" s="6">
        <v>2101.2110117447401</v>
      </c>
      <c r="FK510" s="6">
        <v>1772.7139978623231</v>
      </c>
      <c r="FL510" s="6">
        <v>907.07682140966369</v>
      </c>
      <c r="FM510" s="6">
        <v>1745.7659660406505</v>
      </c>
      <c r="FN510" s="6">
        <v>0</v>
      </c>
      <c r="FO510" s="6">
        <v>0</v>
      </c>
      <c r="FP510" s="6">
        <v>0</v>
      </c>
      <c r="FQ510" s="6">
        <v>0</v>
      </c>
      <c r="FR510" s="6">
        <v>0</v>
      </c>
      <c r="FS510" s="6">
        <v>0</v>
      </c>
      <c r="FT510" s="7">
        <v>0.88568170207097507</v>
      </c>
      <c r="FU510" s="7">
        <v>5.9054211195475853E-2</v>
      </c>
      <c r="FV510" s="7">
        <v>5.52640867335491E-2</v>
      </c>
      <c r="FW510" s="6">
        <v>1770</v>
      </c>
      <c r="FX510" s="6">
        <v>2015.7659660406505</v>
      </c>
      <c r="FY510" s="6">
        <v>-6.4499039401316622</v>
      </c>
      <c r="FZ510" s="6">
        <v>1758.1538569113241</v>
      </c>
      <c r="GA510" s="6">
        <v>1686.3396336940725</v>
      </c>
      <c r="GB510" s="6">
        <v>18298.660366305929</v>
      </c>
      <c r="GC510" s="7">
        <v>3.064145122680037E-2</v>
      </c>
      <c r="GD510" s="7">
        <v>3.0924707270864583E-2</v>
      </c>
      <c r="GE510" s="7"/>
      <c r="GF510" s="7"/>
      <c r="GG510" s="7">
        <v>9.2442111167523582E-3</v>
      </c>
      <c r="GH510" s="42">
        <v>-2.5725483183102296</v>
      </c>
      <c r="GI510" s="6">
        <v>-6082.2219352979882</v>
      </c>
      <c r="GJ510" s="14">
        <v>0.50394797582841688</v>
      </c>
      <c r="GK510" s="14">
        <v>0.50887573065309721</v>
      </c>
      <c r="GL510" s="14">
        <v>0.49605202417158262</v>
      </c>
      <c r="GM510" s="14">
        <v>0.49112426934690229</v>
      </c>
      <c r="GO510" s="5">
        <v>343.14810671672558</v>
      </c>
      <c r="GP510" s="5">
        <v>309.37988338875158</v>
      </c>
      <c r="GQ510" s="5">
        <v>535.04305713031317</v>
      </c>
      <c r="GR510" s="5">
        <v>410.15490233172511</v>
      </c>
      <c r="GS510" s="5">
        <v>339.42744393800166</v>
      </c>
      <c r="GT510" s="5">
        <v>293.4407446948278</v>
      </c>
      <c r="GU510" s="5">
        <v>258.04012322764959</v>
      </c>
      <c r="GV510" s="39" t="s">
        <v>392</v>
      </c>
      <c r="GW510" s="5">
        <v>492.125</v>
      </c>
      <c r="GX510" s="5">
        <v>369.09375</v>
      </c>
      <c r="GY510" s="5">
        <v>295.27499999999998</v>
      </c>
      <c r="GZ510" s="5">
        <v>260.54902799031458</v>
      </c>
      <c r="HA510" s="5">
        <v>241.34874471337258</v>
      </c>
      <c r="HB510" s="39">
        <v>274.73540487406018</v>
      </c>
      <c r="HC510" s="5">
        <v>287.56655829738071</v>
      </c>
      <c r="HD510" s="5">
        <v>239.99799238008356</v>
      </c>
      <c r="HE510" s="5">
        <v>241.14168635502031</v>
      </c>
      <c r="HF510" s="5">
        <v>221.05790951107167</v>
      </c>
      <c r="HG510" s="5">
        <v>210.75500473779988</v>
      </c>
      <c r="HH510" s="39">
        <v>239.85563978414666</v>
      </c>
      <c r="HI510" s="16"/>
      <c r="HJ510" s="19" t="str">
        <f t="shared" si="1466"/>
        <v>On</v>
      </c>
      <c r="HK510" s="1" t="str">
        <f t="shared" si="1466"/>
        <v>On</v>
      </c>
      <c r="HL510" s="16"/>
      <c r="HM510" s="639">
        <f t="shared" si="1413"/>
        <v>2.4909940070666322E-2</v>
      </c>
      <c r="HN510" s="639">
        <f t="shared" si="1414"/>
        <v>2.2052381276269151E-3</v>
      </c>
      <c r="HO510" s="639">
        <f t="shared" si="1415"/>
        <v>2.079866082302006E-3</v>
      </c>
      <c r="HP510" s="644">
        <f>(FT510*$GD510-HM510)/$JF510*INDEX(Input!$1:$1048576,$JG$93,$C510*2+6)</f>
        <v>69.726747957241813</v>
      </c>
      <c r="HQ510" s="644">
        <f>(FU510*$GD510-HN510)/$JF510*INDEX(Input!$1:$1048576,$JG$93,$C510*2+6)</f>
        <v>-10.658049573229121</v>
      </c>
      <c r="HR510" s="644">
        <f>(FV510*$GD510-HO510)/$JF510*INDEX(Input!$1:$1048576,$JG$93,$C510*2+6)</f>
        <v>-10.428480497616759</v>
      </c>
      <c r="HS510" s="644">
        <f t="shared" si="1416"/>
        <v>-25.577702860978395</v>
      </c>
      <c r="HT510" s="644">
        <f t="shared" si="1417"/>
        <v>-0.38451072283910714</v>
      </c>
      <c r="HU510" s="644">
        <f t="shared" si="1418"/>
        <v>2.2760581023209068</v>
      </c>
      <c r="HV510" s="648">
        <f t="shared" si="1419"/>
        <v>0</v>
      </c>
      <c r="HW510" s="648">
        <f t="shared" si="1420"/>
        <v>0</v>
      </c>
      <c r="HX510" s="648">
        <f t="shared" si="1421"/>
        <v>0</v>
      </c>
      <c r="HY510" s="644">
        <f>INDEX(Input!$1:$1048576,HY$93,$C510*2+6)*INDEX(Input!$1:$1048576,$JG$93,$C510*2+6)</f>
        <v>333.00000000000006</v>
      </c>
      <c r="HZ510" s="644">
        <f>INDEX(Input!$1:$1048576,HZ$93,$C510*2+6)*INDEX(Input!$1:$1048576,$JG$93,$C510*2+6)</f>
        <v>429</v>
      </c>
      <c r="IA510" s="644">
        <f>INDEX(Input!$1:$1048576,IA$93,$C510*2+6)*INDEX(Input!$1:$1048576,$JG$93,$C510*2+6)</f>
        <v>59</v>
      </c>
      <c r="IB510" s="644">
        <f t="shared" si="1445"/>
        <v>377.14904509626336</v>
      </c>
      <c r="IC510" s="644">
        <f t="shared" si="1446"/>
        <v>417.95743970393181</v>
      </c>
      <c r="ID510" s="644">
        <f>IF(AND(INDEX(Input!$1:$1048576,IA$93,$C510*2+7)="TOS",Y510&lt;=INDEX(Y:Y,MATCH(C510*1000+2,A:A))),0,1)*MAX(IA510+HR510+HU510+HX510,0%)</f>
        <v>50.847577604704149</v>
      </c>
      <c r="IE510" s="128">
        <f t="shared" si="1481"/>
        <v>0.44582686206872113</v>
      </c>
      <c r="IF510" s="128">
        <f t="shared" si="1468"/>
        <v>0.49406635452018749</v>
      </c>
      <c r="IG510" s="128">
        <f t="shared" si="1423"/>
        <v>6.0106783411091359E-2</v>
      </c>
      <c r="IH510" s="21"/>
      <c r="II510" s="19">
        <f t="shared" si="1424"/>
        <v>1240</v>
      </c>
      <c r="IJ510" s="19">
        <f t="shared" si="1425"/>
        <v>1985.7442651839444</v>
      </c>
      <c r="IK510" s="19">
        <f t="shared" si="1426"/>
        <v>-21.44990394013189</v>
      </c>
      <c r="IL510" s="19">
        <f t="shared" si="1448"/>
        <v>530</v>
      </c>
      <c r="IM510" s="19">
        <f t="shared" si="1427"/>
        <v>30.021700856706047</v>
      </c>
      <c r="IN510" s="19">
        <f t="shared" si="1428"/>
        <v>15.000000000000227</v>
      </c>
      <c r="IO510" s="39">
        <f t="shared" si="1429"/>
        <v>0</v>
      </c>
      <c r="IP510" s="39">
        <f t="shared" si="1430"/>
        <v>0</v>
      </c>
      <c r="IQ510" s="39">
        <f t="shared" si="1431"/>
        <v>0</v>
      </c>
      <c r="IR510" s="39">
        <v>0</v>
      </c>
      <c r="IS510" s="39">
        <v>0</v>
      </c>
      <c r="IT510" s="39">
        <v>0</v>
      </c>
      <c r="IU510" s="39">
        <v>0</v>
      </c>
      <c r="IV510" s="39">
        <v>0</v>
      </c>
      <c r="IW510" s="39">
        <v>0</v>
      </c>
      <c r="IX510" s="39">
        <f>INDEX(Input!$1:$1048576,IX$93,$C510*2+6)+INDEX(Input!$1:$1048576,IX$94,$C510*2+6)</f>
        <v>1270</v>
      </c>
      <c r="IY510" s="39">
        <f>INDEX(Input!$1:$1048576,IY$93,$C510*2+6)+INDEX(Input!$1:$1048576,IY$94,$C510*2+6)</f>
        <v>2130.0624533823611</v>
      </c>
      <c r="IZ510" s="39">
        <f>INDEX(Input!$1:$1048576,IZ$93,$C510*2+6)+INDEX(Input!$1:$1048576,IZ$94,$C510*2+6)</f>
        <v>3653.7164157747857</v>
      </c>
      <c r="JA510" s="19">
        <f t="shared" si="1449"/>
        <v>1800</v>
      </c>
      <c r="JB510" s="19">
        <f t="shared" si="1450"/>
        <v>2160.0841542390672</v>
      </c>
      <c r="JC510" s="19">
        <f t="shared" si="1451"/>
        <v>3668.7164157747857</v>
      </c>
      <c r="JD510" s="19">
        <f t="shared" si="1452"/>
        <v>2090.2279982651066</v>
      </c>
      <c r="JE510" s="21"/>
      <c r="JF510" s="1">
        <f t="shared" si="1432"/>
        <v>2.9195044280595241E-2</v>
      </c>
      <c r="JG510" s="15">
        <f>INDEX(Input!$1:$1048576,JG$93,$C510*2+6)/(1+VLOOKUP(C510*1000+INDEX(Input!$1:$1048576,JG$93+1,$C510*2+6),$A:$KK,$JK$92,FALSE))</f>
        <v>821</v>
      </c>
      <c r="JH510" s="1">
        <f t="shared" si="1453"/>
        <v>5.9245088777583353E-2</v>
      </c>
      <c r="JI510" s="1">
        <f t="shared" si="1454"/>
        <v>-2.8850372084648714E-2</v>
      </c>
      <c r="JJ510" s="1">
        <f t="shared" si="1455"/>
        <v>0</v>
      </c>
      <c r="JK510" s="1">
        <f t="shared" si="1482"/>
        <v>3.0394716692934639E-2</v>
      </c>
      <c r="JL510" s="15">
        <f t="shared" si="1457"/>
        <v>24.954062404899339</v>
      </c>
      <c r="JM510" s="15">
        <f t="shared" si="1483"/>
        <v>845.95406240489933</v>
      </c>
      <c r="JN510" s="21"/>
      <c r="JO510" s="19">
        <f>INDEX(Input!$1:$1048576,JO$93,$C510*2+6)</f>
        <v>5995.5</v>
      </c>
      <c r="JP510" s="19">
        <f>INDEX(Input!$1:$1048576,JP$93,$C510*2+6)</f>
        <v>1890.7138380411029</v>
      </c>
      <c r="JQ510" s="39">
        <f t="shared" si="1469"/>
        <v>3905.2720017348934</v>
      </c>
      <c r="JR510" s="39">
        <f t="shared" si="1486"/>
        <v>199.51416022400372</v>
      </c>
      <c r="JS510" s="39">
        <f t="shared" si="1471"/>
        <v>1.7682368664848278</v>
      </c>
      <c r="JT510" s="39">
        <f t="shared" si="1459"/>
        <v>0.21596080545308233</v>
      </c>
      <c r="JU510" s="385">
        <f>(JQ510*JM510-INDEX(Input!$1:$1048576,Input!A$18,$C510*2+6)*JL510*INDEX(Input!$1:$1048576,Input!A$19,$C510*2+6))/1000000</f>
        <v>3.3036807146637464</v>
      </c>
      <c r="JV510" s="39">
        <f t="shared" si="1435"/>
        <v>-6.6348724304508E-2</v>
      </c>
      <c r="JW510" s="1">
        <f t="shared" si="1484"/>
        <v>-1.9687876769652456E-2</v>
      </c>
      <c r="JX510" s="19">
        <f t="shared" si="1475"/>
        <v>8654.3345908553074</v>
      </c>
      <c r="JZ510" s="341"/>
      <c r="KA510" s="342"/>
      <c r="KB510" s="469">
        <f t="shared" si="1472"/>
        <v>2.5122967434604799</v>
      </c>
      <c r="KI510" s="473">
        <f t="shared" si="1473"/>
        <v>44.149045096263308</v>
      </c>
      <c r="KJ510" s="473">
        <f t="shared" si="1460"/>
        <v>-11.042560296068189</v>
      </c>
      <c r="KK510" s="473">
        <f t="shared" si="1461"/>
        <v>-8.1524223952958508</v>
      </c>
      <c r="KN510" s="544">
        <f t="shared" si="1476"/>
        <v>5002</v>
      </c>
      <c r="KO510" s="541">
        <f t="shared" si="1436"/>
        <v>2.6216334700043475E-2</v>
      </c>
      <c r="KP510" s="546">
        <f t="shared" si="1437"/>
        <v>222.92342495990763</v>
      </c>
      <c r="KQ510" s="546">
        <f t="shared" si="1438"/>
        <v>171.30923254184017</v>
      </c>
      <c r="KR510" s="548">
        <f t="shared" si="1439"/>
        <v>2.1246149095419393</v>
      </c>
      <c r="KS510" s="548">
        <f t="shared" si="1440"/>
        <v>2.7647455150456994</v>
      </c>
      <c r="KT510" s="473">
        <f t="shared" si="1474"/>
        <v>595.94378802984284</v>
      </c>
      <c r="KU510" s="663">
        <f t="shared" si="1462"/>
        <v>4.0111059545211809</v>
      </c>
      <c r="KV510" s="117" t="e">
        <f t="shared" ref="KV510:KV511" si="1487">RANK(KU510,$KU$109:$KU$200)</f>
        <v>#N/A</v>
      </c>
    </row>
    <row r="511" spans="1:310" s="26" customFormat="1" ht="15">
      <c r="A511" s="561">
        <f t="shared" si="1441"/>
        <v>5011</v>
      </c>
      <c r="B511" s="561">
        <f t="shared" si="1463"/>
        <v>11</v>
      </c>
      <c r="C511" s="561">
        <f t="shared" si="1464"/>
        <v>5</v>
      </c>
      <c r="D511" s="561" t="str">
        <f t="shared" si="1485"/>
        <v xml:space="preserve">750 CC, </v>
      </c>
      <c r="E511" s="475">
        <f>INDEX(Input!$1:$1048576,E$93,$C511*2+MIN($B511,2)+5)+IF(OR(BX511&gt;50000,INDEX(Input!$1:$1048576,E$93,$C511*2+MIN($B511,2)+5)&gt;0),0,250)+IF(BX511&gt;50000,500,250)*3</f>
        <v>2027.4263093788063</v>
      </c>
      <c r="F511" s="475">
        <f>INDEX(Input!$1:$1048576,F$93,$C511*2+MIN($B511,2)+5)</f>
        <v>0</v>
      </c>
      <c r="G511" s="475">
        <f>INDEX(Input!$1:$1048576,G$93,$C511*2+MIN($B511,2)+5)</f>
        <v>0</v>
      </c>
      <c r="H511" s="115">
        <f>INDEX(Input!$1:$1048576,H$93,$C511*2+MIN($B511,2)+5)</f>
        <v>0</v>
      </c>
      <c r="I511" s="118">
        <f>INDEX(Input!$1:$1048576,I$93,$C511*2+MIN($B511,2)+5)</f>
        <v>0.7</v>
      </c>
      <c r="J511" s="118" t="str">
        <f>INDEX(Input!$1:$1048576,J$93,$C511*2+MIN($B511,2)+5)</f>
        <v>Market</v>
      </c>
      <c r="K511" s="118" t="str">
        <f>INDEX(Input!$1:$1048576,K$93,$C511*2+MIN($B511,2)+5)</f>
        <v>Market</v>
      </c>
      <c r="L511" s="118" t="str">
        <f>INDEX(Input!$1:$1048576,L$93,$C511*2+MIN($B511,2)+5)</f>
        <v>Market</v>
      </c>
      <c r="M511" s="118" t="str">
        <f>INDEX(Input!$1:$1048576,M$93,$C511*2+MIN($B511,2)+5)</f>
        <v>Market</v>
      </c>
      <c r="N511" s="118" t="str">
        <f>INDEX(Input!$1:$1048576,N$93,$C511*2+MIN($B511,2)+5)</f>
        <v>Market</v>
      </c>
      <c r="O511" s="118" t="str">
        <f>INDEX(Input!$1:$1048576,O$93,$C511*2+MIN($B511,2)+5)</f>
        <v>Market</v>
      </c>
      <c r="P511" s="118" t="str">
        <f>INDEX(Input!$1:$1048576,P$93,$C511*2+MIN($B511,2)+5)</f>
        <v>N</v>
      </c>
      <c r="Q511" s="30">
        <f>INDEX(Input!$1:$1048576,Q$93,$C511*2+MIN($B511,2)+5)</f>
        <v>0</v>
      </c>
      <c r="R511" s="383">
        <f>INDEX(Input!$1:$1048576,R$93,$C511*2+MIN($B511,2)+5)</f>
        <v>0</v>
      </c>
      <c r="S511" s="383">
        <f>INDEX(Input!$1:$1048576,S$93,$C511*2+MIN($B511,2)+5)</f>
        <v>0</v>
      </c>
      <c r="T511" s="383">
        <f>INDEX(Input!$1:$1048576,T$93,$C511*2+MIN($B511,2)+5)</f>
        <v>0</v>
      </c>
      <c r="U511" s="383">
        <f>INDEX(Input!$1:$1048576,U$93,$C511*2+MIN($B511,2)+5)</f>
        <v>0</v>
      </c>
      <c r="V511" s="383">
        <f>INDEX(Input!$1:$1048576,V$93,$C511*2+MIN($B511,2)+5)</f>
        <v>1.9E-2</v>
      </c>
      <c r="W511" s="884">
        <f>INDEX(Input!$1:$1048576,W$93,$C511*2+MIN($B511,2)+5)</f>
        <v>3.9E-2</v>
      </c>
      <c r="X511" s="118" t="str">
        <f>INDEX(Input!$1:$1048576,X$93,$C511*2+MIN($B511,2)+5)</f>
        <v>Y</v>
      </c>
      <c r="Y511" s="150">
        <f>INDEX(Input!$1:$1048576,Y$93,$C511*2+MIN($B511,2)+5)</f>
        <v>-717.93641739252325</v>
      </c>
      <c r="Z511" s="30">
        <f>INDEX(Input!$1:$1048576,Z$93,$C511*2+MIN($B511,2)+5)</f>
        <v>0</v>
      </c>
      <c r="AA511" s="115">
        <f>INDEX(Input!$1:$1048576,AA$93,$C511*2+MIN($B511,2)+5)</f>
        <v>0</v>
      </c>
      <c r="AB511" s="118">
        <f>INDEX(Input!$1:$1048576,AB$93,$C511*2+MIN($B511,2)+5)</f>
        <v>0.27</v>
      </c>
      <c r="AC511" s="115">
        <f>INDEX(Input!$1:$1048576,AC$93,$C511*2+MIN($B511,2)+5)</f>
        <v>0</v>
      </c>
      <c r="AD511" s="118">
        <f>INDEX(Input!$1:$1048576,AD$93,$C511*2+MIN($B511,2)+5)</f>
        <v>0.27</v>
      </c>
      <c r="AE511" s="115">
        <f>INDEX(Input!$1:$1048576,AE$93,$C511*2+MIN($B511,2)+5)</f>
        <v>0</v>
      </c>
      <c r="AF511" s="118">
        <f>INDEX(Input!$1:$1048576,AF$93,$C511*2+MIN($B511,2)+5)</f>
        <v>0.2</v>
      </c>
      <c r="AG511" s="115">
        <f>INDEX(Input!$1:$1048576,AG$93,$C511*2+MIN($B511,2)+5)</f>
        <v>500</v>
      </c>
      <c r="AH511" s="118">
        <f>INDEX(Input!$1:$1048576,AH$93,$C511*2+MIN($B511,2)+5)</f>
        <v>1</v>
      </c>
      <c r="AI511" s="115">
        <f>INDEX(Input!$1:$1048576,AI$93,$C511*2+MIN($B511,2)+5)</f>
        <v>0</v>
      </c>
      <c r="AJ511" s="118">
        <f>INDEX(Input!$1:$1048576,AJ$93,$C511*2+MIN($B511,2)+5)</f>
        <v>0.27</v>
      </c>
      <c r="AK511" s="150">
        <f>ROUND(INDEX(Input!$1:$1048576,AK$93,$C510*2+MIN($B511,1)+5)+(Y511-VLOOKUP($C511*1000+1,$A:$HH,Y$92,FALSE)),0)</f>
        <v>2587</v>
      </c>
      <c r="AL511" s="150">
        <f>ROUND(INDEX(Input!$1:$1048576,AL$93,$C510*2+MIN($B511,1)+5)-(Y511-VLOOKUP($C511*1000+1,$A:$HH,Y$92,FALSE))/36,0)</f>
        <v>3406</v>
      </c>
      <c r="AM511" s="32" t="str">
        <f t="shared" si="1442"/>
        <v>std/std/std/std</v>
      </c>
      <c r="AN511" s="32" t="str">
        <f t="shared" si="1443"/>
        <v>$0 + 0/0/0/1.9/3.9</v>
      </c>
      <c r="AO511" s="32" t="str">
        <f t="shared" si="1444"/>
        <v>0/0/0/1.9/3.9</v>
      </c>
      <c r="AP511" s="32" t="str">
        <f t="shared" si="1396"/>
        <v>0/0.9/1.9/3.9</v>
      </c>
      <c r="AQ511" s="536">
        <f t="shared" si="1394"/>
        <v>0.46462744754782004</v>
      </c>
      <c r="AR511" s="32"/>
      <c r="AS511" s="302"/>
      <c r="AT511" s="3">
        <f t="shared" si="1465"/>
        <v>11</v>
      </c>
      <c r="AU511" s="41" t="s">
        <v>121</v>
      </c>
      <c r="AV511" s="41" t="s">
        <v>116</v>
      </c>
      <c r="AW511" s="41" t="str">
        <f>INDEX(Input!$1:$1048576,AW$93,$C511*2+6)</f>
        <v>Kia</v>
      </c>
      <c r="AX511" s="41" t="str">
        <f>INDEX(Input!$1:$1048576,AX$93,$C511*2+6)</f>
        <v>Kia-LR - R2</v>
      </c>
      <c r="AY511" s="41" t="str">
        <f>IF(LEN(D511)=0,"",INDEX(Input!$1:$1048576,AY$93,$C511*2+6))</f>
        <v>Compact SUV (52)</v>
      </c>
      <c r="AZ511" s="41" t="str">
        <f>INDEX(Input!$1:$1048576,AZ$93,$C511*2+6)</f>
        <v>Kia Soul</v>
      </c>
      <c r="BA511" s="3">
        <f>INDEX(Input!$1:$1048576,BA$93,$C511*2+6)</f>
        <v>2020</v>
      </c>
      <c r="BB511" s="128">
        <f>INDEX(Input!$1:$1048576,BB$93,$C511*2+6)</f>
        <v>1</v>
      </c>
      <c r="BC511" s="128">
        <f>INDEX(Input!$1:$1048576,BC$93,$C511*2+6)</f>
        <v>0.7</v>
      </c>
      <c r="BD511" s="1">
        <f>INDEX(Input!$1:$1048576,BD$93,$C511*2+6)</f>
        <v>4.4999999999999998E-2</v>
      </c>
      <c r="BE511" s="1">
        <f>INDEX(Input!$1:$1048576,BE$93,$C511*2+6)</f>
        <v>4.4999999999999998E-2</v>
      </c>
      <c r="BF511" s="1">
        <f>INDEX(Input!$1:$1048576,BF$93,$C511*2+6)</f>
        <v>0.05</v>
      </c>
      <c r="BG511" s="1">
        <f>INDEX(Input!$1:$1048576,BG$93,$C511*2+6)</f>
        <v>5.45E-2</v>
      </c>
      <c r="BH511" s="1">
        <f>INDEX(Input!$1:$1048576,BH$93,$C511*2+6)</f>
        <v>5.45E-2</v>
      </c>
      <c r="BI511" s="1">
        <f>INDEX(Input!$1:$1048576,BI$93,$C511*2+6)</f>
        <v>0.05</v>
      </c>
      <c r="BJ511" s="1">
        <f>INDEX(Input!$1:$1048576,BJ$93,$C511*2+6)</f>
        <v>0.05</v>
      </c>
      <c r="BK511" s="1">
        <f>INDEX(Input!$1:$1048576,BK$93,$C511*2+6)</f>
        <v>0.05</v>
      </c>
      <c r="BL511" s="1">
        <f>INDEX(Input!$1:$1048576,BL$93,$C511*2+6)</f>
        <v>5.5E-2</v>
      </c>
      <c r="BM511" s="1">
        <f>INDEX(Input!$1:$1048576,BM$93,$C511*2+6)</f>
        <v>0.06</v>
      </c>
      <c r="BN511" s="1">
        <f>INDEX(Input!$1:$1048576,BN$93,$C511*2+6)</f>
        <v>4.4999999999999998E-2</v>
      </c>
      <c r="BO511" s="1">
        <f>INDEX(Input!$1:$1048576,BO$93,$C511*2+6)</f>
        <v>4.4999999999999998E-2</v>
      </c>
      <c r="BP511" s="1">
        <f>INDEX(Input!$1:$1048576,BP$93,$C511*2+6)</f>
        <v>0.05</v>
      </c>
      <c r="BQ511" s="1">
        <f>INDEX(Input!$1:$1048576,BQ$93,$C511*2+6)</f>
        <v>5.45E-2</v>
      </c>
      <c r="BR511" s="1">
        <f>INDEX(Input!$1:$1048576,BR$93,$C511*2+6)</f>
        <v>5.45E-2</v>
      </c>
      <c r="BS511" s="1">
        <f>INDEX(Input!$1:$1048576,BS$93,$C511*2+6)</f>
        <v>0.05</v>
      </c>
      <c r="BT511" s="1">
        <f>INDEX(Input!$1:$1048576,BT$93,$C511*2+6)</f>
        <v>0.05</v>
      </c>
      <c r="BU511" s="1">
        <f>INDEX(Input!$1:$1048576,BU$93,$C511*2+6)</f>
        <v>0.05</v>
      </c>
      <c r="BV511" s="1">
        <f>INDEX(Input!$1:$1048576,BV$93,$C511*2+6)</f>
        <v>5.5E-2</v>
      </c>
      <c r="BW511" s="1">
        <f>INDEX(Input!$1:$1048576,BW$93,$C511*2+6)</f>
        <v>0.06</v>
      </c>
      <c r="BX511" s="127">
        <f>INDEX(Input!$1:$1048576,BX$93,$C511*2+6)</f>
        <v>19985</v>
      </c>
      <c r="BY511" s="20">
        <f>INDEX(Input!$1:$1048576,BY$93,$C511*2+6)</f>
        <v>0.1</v>
      </c>
      <c r="BZ511" s="20">
        <f>INDEX(Input!$1:$1048576,BZ$93,$C511*2+6)</f>
        <v>0.1</v>
      </c>
      <c r="CA511" s="20">
        <f>INDEX(Input!$1:$1048576,CA$93,$C511*2+6)</f>
        <v>0.1</v>
      </c>
      <c r="CB511" s="20">
        <f>INDEX(Input!$1:$1048576,CB$93,$C511*2+6)</f>
        <v>0.1</v>
      </c>
      <c r="CC511" s="20">
        <f>INDEX(Input!$1:$1048576,CC$93,$C511*2+6)</f>
        <v>0.1</v>
      </c>
      <c r="CD511" s="384">
        <f>INDEX(Input!$1:$1048576,CD$93,$C511*2+6)</f>
        <v>0.1</v>
      </c>
      <c r="CE511" s="384">
        <f>INDEX(Input!$1:$1048576,CE$93,$C511*2+6)</f>
        <v>0.1</v>
      </c>
      <c r="CF511" s="384">
        <f>INDEX(Input!$1:$1048576,CF$93,$C511*2+6)</f>
        <v>0.1</v>
      </c>
      <c r="CG511" s="384">
        <f>INDEX(Input!$1:$1048576,CG$93,$C511*2+6)</f>
        <v>0.1</v>
      </c>
      <c r="CH511" s="384">
        <f>INDEX(Input!$1:$1048576,CH$93,$C511*2+6)</f>
        <v>0.1</v>
      </c>
      <c r="CI511" s="304">
        <f t="shared" si="1397"/>
        <v>2027.4263093788063</v>
      </c>
      <c r="CJ511" s="16" t="str">
        <f>INDEX(Input!$1:$1048576,CJ$93,$C511*2+6)</f>
        <v>N</v>
      </c>
      <c r="CK511" s="1" t="str">
        <f t="shared" si="1398"/>
        <v>Market</v>
      </c>
      <c r="CL511" s="1" t="str">
        <f t="shared" si="1399"/>
        <v>Market</v>
      </c>
      <c r="CM511" s="1" t="str">
        <f t="shared" si="1400"/>
        <v>Market</v>
      </c>
      <c r="CN511" s="1" t="str">
        <f t="shared" si="1401"/>
        <v>Market</v>
      </c>
      <c r="CO511" s="1" t="str">
        <f t="shared" si="1402"/>
        <v>Market</v>
      </c>
      <c r="CP511" s="304">
        <f t="shared" si="1403"/>
        <v>500</v>
      </c>
      <c r="CQ511" s="1">
        <f t="shared" si="1404"/>
        <v>0</v>
      </c>
      <c r="CR511" s="1">
        <f t="shared" si="1405"/>
        <v>0</v>
      </c>
      <c r="CS511" s="1">
        <f t="shared" si="1406"/>
        <v>0</v>
      </c>
      <c r="CT511" s="1">
        <f t="shared" si="1407"/>
        <v>1.9E-2</v>
      </c>
      <c r="CU511" s="1">
        <f t="shared" si="1408"/>
        <v>3.9E-2</v>
      </c>
      <c r="CV511" s="304">
        <f t="shared" si="1409"/>
        <v>-717.93641739252325</v>
      </c>
      <c r="CW511" s="20" t="s">
        <v>122</v>
      </c>
      <c r="CX511" s="20" t="s">
        <v>122</v>
      </c>
      <c r="CY511" s="20" t="s">
        <v>122</v>
      </c>
      <c r="CZ511" s="20" t="s">
        <v>122</v>
      </c>
      <c r="DA511" s="20" t="s">
        <v>122</v>
      </c>
      <c r="DB511" s="503">
        <f t="shared" si="1410"/>
        <v>0</v>
      </c>
      <c r="DC511" s="127">
        <v>0</v>
      </c>
      <c r="DD511" s="127">
        <v>0</v>
      </c>
      <c r="DE511" s="127">
        <v>0</v>
      </c>
      <c r="DF511" s="127">
        <v>0</v>
      </c>
      <c r="DG511" s="127">
        <v>0</v>
      </c>
      <c r="DH511" s="127">
        <v>0</v>
      </c>
      <c r="DI511" s="127">
        <v>0</v>
      </c>
      <c r="DJ511" s="127">
        <v>0</v>
      </c>
      <c r="DK511" s="127">
        <v>0</v>
      </c>
      <c r="DL511" s="127">
        <v>0</v>
      </c>
      <c r="DM511" s="304">
        <f>INDEX(Input!$1:$1048576,DM$93,$C511*2+6)</f>
        <v>21036.84210526316</v>
      </c>
      <c r="DN511" s="20">
        <v>0</v>
      </c>
      <c r="DO511" s="20">
        <v>0</v>
      </c>
      <c r="DP511" s="20">
        <v>0</v>
      </c>
      <c r="DQ511" s="20">
        <v>0</v>
      </c>
      <c r="DR511" s="20">
        <v>0</v>
      </c>
      <c r="DS511" s="20">
        <f>INDEX(Input!$1:$1048576,DS$93,$C511*2+6)</f>
        <v>0.6</v>
      </c>
      <c r="DT511" s="20">
        <f>INDEX(Input!$1:$1048576,DT$93,$C511*2+6)</f>
        <v>0.55000000000000004</v>
      </c>
      <c r="DU511" s="20">
        <f>INDEX(Input!$1:$1048576,DU$93,$C511*2+6)</f>
        <v>0.52</v>
      </c>
      <c r="DV511" s="20">
        <f>INDEX(Input!$1:$1048576,DV$93,$C511*2+6)</f>
        <v>0.5</v>
      </c>
      <c r="DW511" s="20">
        <f>INDEX(Input!$1:$1048576,DW$93,$C511*2+6)</f>
        <v>0.45</v>
      </c>
      <c r="DX511" s="20"/>
      <c r="DY511" s="7">
        <v>0.13431043426781533</v>
      </c>
      <c r="DZ511" s="7">
        <v>0</v>
      </c>
      <c r="EA511" s="7">
        <v>0.76491490590862021</v>
      </c>
      <c r="EB511" s="7">
        <v>0</v>
      </c>
      <c r="EC511" s="7">
        <v>0</v>
      </c>
      <c r="ED511" s="7">
        <v>0</v>
      </c>
      <c r="EE511" s="7">
        <v>0</v>
      </c>
      <c r="EF511" s="7">
        <v>0</v>
      </c>
      <c r="EG511" s="7">
        <v>0</v>
      </c>
      <c r="EH511" s="7">
        <v>1.209096618067128E-2</v>
      </c>
      <c r="EI511" s="7">
        <v>3.3617748122443322E-2</v>
      </c>
      <c r="EJ511" s="7">
        <v>0.29198636222999907</v>
      </c>
      <c r="EK511" s="7">
        <v>0.53725893767761368</v>
      </c>
      <c r="EL511" s="7">
        <v>0.12504598578927267</v>
      </c>
      <c r="EM511" s="7">
        <v>5.2043227110095777E-2</v>
      </c>
      <c r="EN511" s="7">
        <v>5.8496956430382344E-2</v>
      </c>
      <c r="EO511" s="7">
        <v>0.71703714908528648</v>
      </c>
      <c r="EP511" s="7">
        <v>8.9803008655122266E-2</v>
      </c>
      <c r="EQ511" s="7">
        <v>8.8407626207363893E-2</v>
      </c>
      <c r="ER511" s="7">
        <v>4.6255259621845159E-2</v>
      </c>
      <c r="ES511" s="7">
        <v>4.8731432713468671E-2</v>
      </c>
      <c r="ET511" s="7">
        <v>0.10077465982356452</v>
      </c>
      <c r="EU511" s="6">
        <v>2020</v>
      </c>
      <c r="EV511" s="6">
        <v>0</v>
      </c>
      <c r="EW511" s="6">
        <v>2020</v>
      </c>
      <c r="EX511" s="6">
        <v>0</v>
      </c>
      <c r="EY511" s="6">
        <v>2015.7713368432112</v>
      </c>
      <c r="EZ511" s="6">
        <v>-6.4499039401316622</v>
      </c>
      <c r="FA511" s="6">
        <v>0</v>
      </c>
      <c r="FB511" s="6">
        <v>0</v>
      </c>
      <c r="FC511" s="6">
        <v>0</v>
      </c>
      <c r="FD511" s="6">
        <v>0</v>
      </c>
      <c r="FE511" s="6">
        <v>0</v>
      </c>
      <c r="FF511" s="6">
        <v>0</v>
      </c>
      <c r="FG511" s="6">
        <v>0</v>
      </c>
      <c r="FH511" s="6">
        <v>1172.1418622016479</v>
      </c>
      <c r="FI511" s="6">
        <v>1553.9796069512395</v>
      </c>
      <c r="FJ511" s="6">
        <v>2101.2110117447428</v>
      </c>
      <c r="FK511" s="6">
        <v>1772.7139978623229</v>
      </c>
      <c r="FL511" s="6">
        <v>907.07682140966335</v>
      </c>
      <c r="FM511" s="6">
        <v>1745.7713368432112</v>
      </c>
      <c r="FN511" s="6">
        <v>0</v>
      </c>
      <c r="FO511" s="6">
        <v>0</v>
      </c>
      <c r="FP511" s="6">
        <v>0</v>
      </c>
      <c r="FQ511" s="6">
        <v>0</v>
      </c>
      <c r="FR511" s="6">
        <v>0</v>
      </c>
      <c r="FS511" s="6">
        <v>0</v>
      </c>
      <c r="FT511" s="7">
        <v>0.89922534017643552</v>
      </c>
      <c r="FU511" s="7">
        <v>5.2043227110095777E-2</v>
      </c>
      <c r="FV511" s="7">
        <v>4.8731432713468671E-2</v>
      </c>
      <c r="FW511" s="6">
        <v>2020</v>
      </c>
      <c r="FX511" s="6">
        <v>2015.7713368432112</v>
      </c>
      <c r="FY511" s="6">
        <v>-6.4499039401316622</v>
      </c>
      <c r="FZ511" s="6">
        <v>1758.1538569113241</v>
      </c>
      <c r="GA511" s="6">
        <v>1921.0281195818854</v>
      </c>
      <c r="GB511" s="6">
        <v>18063.971880418114</v>
      </c>
      <c r="GC511" s="7">
        <v>3.064145122680037E-2</v>
      </c>
      <c r="GD511" s="7">
        <v>3.1790629810061546E-2</v>
      </c>
      <c r="GE511" s="7"/>
      <c r="GF511" s="7"/>
      <c r="GG511" s="7">
        <v>3.7504052101032789E-2</v>
      </c>
      <c r="GH511" s="42">
        <v>4.6018227125003683</v>
      </c>
      <c r="GI511" s="6">
        <v>6263.8725202826836</v>
      </c>
      <c r="GJ511" s="14">
        <v>0.50394797582841733</v>
      </c>
      <c r="GK511" s="14">
        <v>0.5088757306530971</v>
      </c>
      <c r="GL511" s="14">
        <v>0.49605202417158273</v>
      </c>
      <c r="GM511" s="14">
        <v>0.49112426934690195</v>
      </c>
      <c r="GO511" s="5">
        <v>343.14810671672558</v>
      </c>
      <c r="GP511" s="5">
        <v>304.61036031982871</v>
      </c>
      <c r="GQ511" s="5">
        <v>535.04305713031317</v>
      </c>
      <c r="GR511" s="5">
        <v>410.15490233172511</v>
      </c>
      <c r="GS511" s="5">
        <v>339.42744393800166</v>
      </c>
      <c r="GT511" s="5">
        <v>293.4407446948278</v>
      </c>
      <c r="GU511" s="5">
        <v>258.04012322764959</v>
      </c>
      <c r="GV511" s="39" t="s">
        <v>392</v>
      </c>
      <c r="GW511" s="5">
        <v>492.125</v>
      </c>
      <c r="GX511" s="5">
        <v>369.09375</v>
      </c>
      <c r="GY511" s="5">
        <v>295.27499999999998</v>
      </c>
      <c r="GZ511" s="5">
        <v>260.54902799031458</v>
      </c>
      <c r="HA511" s="5">
        <v>241.34874471337258</v>
      </c>
      <c r="HB511" s="39">
        <v>274.73662625289234</v>
      </c>
      <c r="HC511" s="5">
        <v>287.56655829738071</v>
      </c>
      <c r="HD511" s="5">
        <v>239.99799238008356</v>
      </c>
      <c r="HE511" s="5">
        <v>241.14168635502031</v>
      </c>
      <c r="HF511" s="5">
        <v>221.05790951107167</v>
      </c>
      <c r="HG511" s="5">
        <v>210.75500473779988</v>
      </c>
      <c r="HH511" s="39">
        <v>239.85622611580123</v>
      </c>
      <c r="HI511" s="16"/>
      <c r="HJ511" s="19" t="str">
        <f t="shared" si="1466"/>
        <v>On</v>
      </c>
      <c r="HK511" s="1" t="str">
        <f t="shared" si="1466"/>
        <v>On</v>
      </c>
      <c r="HL511" s="16"/>
      <c r="HM511" s="639">
        <f t="shared" si="1413"/>
        <v>2.4909940070666322E-2</v>
      </c>
      <c r="HN511" s="639">
        <f t="shared" si="1414"/>
        <v>2.2052381276269151E-3</v>
      </c>
      <c r="HO511" s="639">
        <f t="shared" si="1415"/>
        <v>2.079866082302006E-3</v>
      </c>
      <c r="HP511" s="644">
        <f>(FT511*$GD511-HM511)/$JF511*INDEX(Input!$1:$1048576,$JG$93,$C511*2+6)</f>
        <v>103.40168815235893</v>
      </c>
      <c r="HQ511" s="644">
        <f>(FU511*$GD511-HN511)/$JF511*INDEX(Input!$1:$1048576,$JG$93,$C511*2+6)</f>
        <v>-15.487789584518103</v>
      </c>
      <c r="HR511" s="644">
        <f>(FV511*$GD511-HO511)/$JF511*INDEX(Input!$1:$1048576,$JG$93,$C511*2+6)</f>
        <v>-14.922890257974835</v>
      </c>
      <c r="HS511" s="644">
        <f t="shared" si="1416"/>
        <v>-37.637183047422859</v>
      </c>
      <c r="HT511" s="644">
        <f t="shared" si="1417"/>
        <v>-1.4013583981181725</v>
      </c>
      <c r="HU511" s="644">
        <f t="shared" si="1418"/>
        <v>3.293224838799897</v>
      </c>
      <c r="HV511" s="648">
        <f t="shared" si="1419"/>
        <v>0</v>
      </c>
      <c r="HW511" s="648">
        <f t="shared" si="1420"/>
        <v>0</v>
      </c>
      <c r="HX511" s="648">
        <f t="shared" si="1421"/>
        <v>0</v>
      </c>
      <c r="HY511" s="644">
        <f>INDEX(Input!$1:$1048576,HY$93,$C511*2+6)*INDEX(Input!$1:$1048576,$JG$93,$C511*2+6)</f>
        <v>333.00000000000006</v>
      </c>
      <c r="HZ511" s="644">
        <f>INDEX(Input!$1:$1048576,HZ$93,$C511*2+6)*INDEX(Input!$1:$1048576,$JG$93,$C511*2+6)</f>
        <v>429</v>
      </c>
      <c r="IA511" s="644">
        <f>INDEX(Input!$1:$1048576,IA$93,$C511*2+6)*INDEX(Input!$1:$1048576,$JG$93,$C511*2+6)</f>
        <v>59</v>
      </c>
      <c r="IB511" s="644">
        <f t="shared" si="1445"/>
        <v>398.76450510493623</v>
      </c>
      <c r="IC511" s="644">
        <f t="shared" si="1446"/>
        <v>412.1108520173637</v>
      </c>
      <c r="ID511" s="644">
        <f>IF(AND(INDEX(Input!$1:$1048576,IA$93,$C511*2+7)="TOS",Y511&lt;=INDEX(Y:Y,MATCH(C511*1000+2,A:A))),0,1)*MAX(IA511+HR511+HU511+HX511,0%)</f>
        <v>47.370334580825059</v>
      </c>
      <c r="IE511" s="128">
        <f t="shared" si="1481"/>
        <v>0.46462744754782004</v>
      </c>
      <c r="IF511" s="128">
        <f t="shared" si="1468"/>
        <v>0.48017817741625973</v>
      </c>
      <c r="IG511" s="128">
        <f t="shared" si="1423"/>
        <v>5.5194375035920236E-2</v>
      </c>
      <c r="IH511" s="21"/>
      <c r="II511" s="19">
        <f t="shared" si="1424"/>
        <v>1240</v>
      </c>
      <c r="IJ511" s="19">
        <f t="shared" si="1425"/>
        <v>1985.7442651839444</v>
      </c>
      <c r="IK511" s="19">
        <f t="shared" si="1426"/>
        <v>-21.44990394013189</v>
      </c>
      <c r="IL511" s="19">
        <f t="shared" si="1448"/>
        <v>780</v>
      </c>
      <c r="IM511" s="19">
        <f t="shared" si="1427"/>
        <v>30.027071659266767</v>
      </c>
      <c r="IN511" s="19">
        <f t="shared" si="1428"/>
        <v>15.000000000000227</v>
      </c>
      <c r="IO511" s="39">
        <f t="shared" si="1429"/>
        <v>0</v>
      </c>
      <c r="IP511" s="39">
        <f t="shared" si="1430"/>
        <v>0</v>
      </c>
      <c r="IQ511" s="39">
        <f t="shared" si="1431"/>
        <v>0</v>
      </c>
      <c r="IR511" s="39">
        <v>0</v>
      </c>
      <c r="IS511" s="39">
        <v>0</v>
      </c>
      <c r="IT511" s="39">
        <v>0</v>
      </c>
      <c r="IU511" s="39">
        <v>0</v>
      </c>
      <c r="IV511" s="39">
        <v>0</v>
      </c>
      <c r="IW511" s="39">
        <v>0</v>
      </c>
      <c r="IX511" s="39">
        <f>INDEX(Input!$1:$1048576,IX$93,$C511*2+6)+INDEX(Input!$1:$1048576,IX$94,$C511*2+6)</f>
        <v>1270</v>
      </c>
      <c r="IY511" s="39">
        <f>INDEX(Input!$1:$1048576,IY$93,$C511*2+6)+INDEX(Input!$1:$1048576,IY$94,$C511*2+6)</f>
        <v>2130.0624533823611</v>
      </c>
      <c r="IZ511" s="39">
        <f>INDEX(Input!$1:$1048576,IZ$93,$C511*2+6)+INDEX(Input!$1:$1048576,IZ$94,$C511*2+6)</f>
        <v>3653.7164157747857</v>
      </c>
      <c r="JA511" s="19">
        <f t="shared" si="1449"/>
        <v>2050</v>
      </c>
      <c r="JB511" s="19">
        <f t="shared" si="1450"/>
        <v>2160.0895250416279</v>
      </c>
      <c r="JC511" s="19">
        <f t="shared" si="1451"/>
        <v>3668.7164157747857</v>
      </c>
      <c r="JD511" s="19">
        <f t="shared" si="1452"/>
        <v>2192.2066284161847</v>
      </c>
      <c r="JE511" s="21"/>
      <c r="JF511" s="1">
        <f t="shared" si="1432"/>
        <v>2.9195044280595241E-2</v>
      </c>
      <c r="JG511" s="15">
        <f>INDEX(Input!$1:$1048576,JG$93,$C511*2+6)/(1+VLOOKUP(C511*1000+INDEX(Input!$1:$1048576,JG$93+1,$C511*2+6),$A:$KK,$JK$92,FALSE))</f>
        <v>821</v>
      </c>
      <c r="JH511" s="1">
        <f t="shared" si="1453"/>
        <v>8.8905004031505488E-2</v>
      </c>
      <c r="JI511" s="1">
        <f t="shared" si="1454"/>
        <v>-4.3538753479587251E-2</v>
      </c>
      <c r="JJ511" s="1">
        <f t="shared" si="1455"/>
        <v>0</v>
      </c>
      <c r="JK511" s="1">
        <f t="shared" si="1482"/>
        <v>4.5366250551918237E-2</v>
      </c>
      <c r="JL511" s="15">
        <f t="shared" si="1457"/>
        <v>37.245691703124869</v>
      </c>
      <c r="JM511" s="15">
        <f t="shared" si="1483"/>
        <v>858.24569170312486</v>
      </c>
      <c r="JN511" s="21"/>
      <c r="JO511" s="19">
        <f>INDEX(Input!$1:$1048576,JO$93,$C511*2+6)</f>
        <v>5995.5</v>
      </c>
      <c r="JP511" s="19">
        <f>INDEX(Input!$1:$1048576,JP$93,$C511*2+6)</f>
        <v>1890.7138380411029</v>
      </c>
      <c r="JQ511" s="39">
        <f t="shared" si="1469"/>
        <v>3803.2933715838153</v>
      </c>
      <c r="JR511" s="39">
        <f t="shared" si="1486"/>
        <v>301.49279037508177</v>
      </c>
      <c r="JS511" s="39">
        <f t="shared" si="1471"/>
        <v>1.8814518941612237</v>
      </c>
      <c r="JT511" s="39">
        <f t="shared" si="1459"/>
        <v>0.32917583312947818</v>
      </c>
      <c r="JU511" s="385">
        <f>(JQ511*JM511-INDEX(Input!$1:$1048576,Input!A$18,$C511*2+6)*JL511*INDEX(Input!$1:$1048576,Input!A$19,$C511*2+6))/1000000</f>
        <v>3.2641601504448614</v>
      </c>
      <c r="JV511" s="39">
        <f t="shared" si="1435"/>
        <v>-0.10586928852339295</v>
      </c>
      <c r="JW511" s="1">
        <f t="shared" si="1484"/>
        <v>-3.1414944718051237E-2</v>
      </c>
      <c r="JX511" s="19">
        <f t="shared" si="1475"/>
        <v>8837.9573066664452</v>
      </c>
      <c r="JZ511" s="341"/>
      <c r="KA511" s="342"/>
      <c r="KB511" s="469">
        <f t="shared" si="1472"/>
        <v>2.5122967434604799</v>
      </c>
      <c r="KI511" s="473">
        <f t="shared" si="1473"/>
        <v>65.76450510493612</v>
      </c>
      <c r="KJ511" s="473">
        <f t="shared" si="1460"/>
        <v>-16.889147982636359</v>
      </c>
      <c r="KK511" s="473">
        <f t="shared" si="1461"/>
        <v>-11.629665419174948</v>
      </c>
      <c r="KN511" s="544">
        <f t="shared" si="1476"/>
        <v>5002</v>
      </c>
      <c r="KO511" s="541">
        <f t="shared" si="1436"/>
        <v>4.1127157079757115E-2</v>
      </c>
      <c r="KP511" s="546">
        <f t="shared" si="1437"/>
        <v>348.48287759991865</v>
      </c>
      <c r="KQ511" s="546">
        <f t="shared" si="1438"/>
        <v>273.28786269291822</v>
      </c>
      <c r="KR511" s="548">
        <f t="shared" si="1439"/>
        <v>2.1321178413556727</v>
      </c>
      <c r="KS511" s="548">
        <f t="shared" si="1440"/>
        <v>2.7187689691606831</v>
      </c>
      <c r="KT511" s="473">
        <f t="shared" si="1474"/>
        <v>595.94378802984284</v>
      </c>
      <c r="KU511" s="663">
        <f t="shared" si="1462"/>
        <v>4.0125457945816008</v>
      </c>
      <c r="KV511" s="117" t="e">
        <f t="shared" si="1487"/>
        <v>#N/A</v>
      </c>
    </row>
    <row r="512" spans="1:310" s="26" customFormat="1" ht="15">
      <c r="A512" s="561">
        <f t="shared" si="1441"/>
        <v>5012</v>
      </c>
      <c r="B512" s="561">
        <f t="shared" si="1463"/>
        <v>12</v>
      </c>
      <c r="C512" s="561">
        <f t="shared" si="1464"/>
        <v>5</v>
      </c>
      <c r="D512" s="561" t="str">
        <f t="shared" si="1485"/>
        <v xml:space="preserve">1000 CC, </v>
      </c>
      <c r="E512" s="475">
        <f>INDEX(Input!$1:$1048576,E$93,$C512*2+MIN($B512,2)+5)+IF(OR(BX512&gt;50000,INDEX(Input!$1:$1048576,E$93,$C512*2+MIN($B512,2)+5)&gt;0),0,250)+IF(BX512&gt;50000,500,250)*4</f>
        <v>2277.4263093788063</v>
      </c>
      <c r="F512" s="475">
        <f>INDEX(Input!$1:$1048576,F$93,$C512*2+MIN($B512,2)+5)</f>
        <v>0</v>
      </c>
      <c r="G512" s="475">
        <f>INDEX(Input!$1:$1048576,G$93,$C512*2+MIN($B512,2)+5)</f>
        <v>0</v>
      </c>
      <c r="H512" s="115">
        <f>INDEX(Input!$1:$1048576,H$93,$C512*2+MIN($B512,2)+5)</f>
        <v>0</v>
      </c>
      <c r="I512" s="118">
        <f>INDEX(Input!$1:$1048576,I$93,$C512*2+MIN($B512,2)+5)</f>
        <v>0.7</v>
      </c>
      <c r="J512" s="118" t="str">
        <f>INDEX(Input!$1:$1048576,J$93,$C512*2+MIN($B512,2)+5)</f>
        <v>Market</v>
      </c>
      <c r="K512" s="118" t="str">
        <f>INDEX(Input!$1:$1048576,K$93,$C512*2+MIN($B512,2)+5)</f>
        <v>Market</v>
      </c>
      <c r="L512" s="118" t="str">
        <f>INDEX(Input!$1:$1048576,L$93,$C512*2+MIN($B512,2)+5)</f>
        <v>Market</v>
      </c>
      <c r="M512" s="118" t="str">
        <f>INDEX(Input!$1:$1048576,M$93,$C512*2+MIN($B512,2)+5)</f>
        <v>Market</v>
      </c>
      <c r="N512" s="118" t="str">
        <f>INDEX(Input!$1:$1048576,N$93,$C512*2+MIN($B512,2)+5)</f>
        <v>Market</v>
      </c>
      <c r="O512" s="118" t="str">
        <f>INDEX(Input!$1:$1048576,O$93,$C512*2+MIN($B512,2)+5)</f>
        <v>Market</v>
      </c>
      <c r="P512" s="118" t="str">
        <f>INDEX(Input!$1:$1048576,P$93,$C512*2+MIN($B512,2)+5)</f>
        <v>N</v>
      </c>
      <c r="Q512" s="30">
        <f>INDEX(Input!$1:$1048576,Q$93,$C512*2+MIN($B512,2)+5)</f>
        <v>0</v>
      </c>
      <c r="R512" s="383">
        <f>INDEX(Input!$1:$1048576,R$93,$C512*2+MIN($B512,2)+5)</f>
        <v>0</v>
      </c>
      <c r="S512" s="383">
        <f>INDEX(Input!$1:$1048576,S$93,$C512*2+MIN($B512,2)+5)</f>
        <v>0</v>
      </c>
      <c r="T512" s="383">
        <f>INDEX(Input!$1:$1048576,T$93,$C512*2+MIN($B512,2)+5)</f>
        <v>0</v>
      </c>
      <c r="U512" s="383">
        <f>INDEX(Input!$1:$1048576,U$93,$C512*2+MIN($B512,2)+5)</f>
        <v>0</v>
      </c>
      <c r="V512" s="383">
        <f>INDEX(Input!$1:$1048576,V$93,$C512*2+MIN($B512,2)+5)</f>
        <v>1.9E-2</v>
      </c>
      <c r="W512" s="884">
        <f>INDEX(Input!$1:$1048576,W$93,$C512*2+MIN($B512,2)+5)</f>
        <v>3.9E-2</v>
      </c>
      <c r="X512" s="118" t="str">
        <f>INDEX(Input!$1:$1048576,X$93,$C512*2+MIN($B512,2)+5)</f>
        <v>Y</v>
      </c>
      <c r="Y512" s="150">
        <f>INDEX(Input!$1:$1048576,Y$93,$C512*2+MIN($B512,2)+5)</f>
        <v>-717.93641739252325</v>
      </c>
      <c r="Z512" s="30">
        <f>INDEX(Input!$1:$1048576,Z$93,$C512*2+MIN($B512,2)+5)</f>
        <v>0</v>
      </c>
      <c r="AA512" s="115">
        <f>INDEX(Input!$1:$1048576,AA$93,$C512*2+MIN($B512,2)+5)</f>
        <v>0</v>
      </c>
      <c r="AB512" s="118">
        <f>INDEX(Input!$1:$1048576,AB$93,$C512*2+MIN($B512,2)+5)</f>
        <v>0.27</v>
      </c>
      <c r="AC512" s="115">
        <f>INDEX(Input!$1:$1048576,AC$93,$C512*2+MIN($B512,2)+5)</f>
        <v>0</v>
      </c>
      <c r="AD512" s="118">
        <f>INDEX(Input!$1:$1048576,AD$93,$C512*2+MIN($B512,2)+5)</f>
        <v>0.27</v>
      </c>
      <c r="AE512" s="115">
        <f>INDEX(Input!$1:$1048576,AE$93,$C512*2+MIN($B512,2)+5)</f>
        <v>0</v>
      </c>
      <c r="AF512" s="118">
        <f>INDEX(Input!$1:$1048576,AF$93,$C512*2+MIN($B512,2)+5)</f>
        <v>0.2</v>
      </c>
      <c r="AG512" s="115">
        <f>INDEX(Input!$1:$1048576,AG$93,$C512*2+MIN($B512,2)+5)</f>
        <v>500</v>
      </c>
      <c r="AH512" s="118">
        <f>INDEX(Input!$1:$1048576,AH$93,$C512*2+MIN($B512,2)+5)</f>
        <v>1</v>
      </c>
      <c r="AI512" s="115">
        <f>INDEX(Input!$1:$1048576,AI$93,$C512*2+MIN($B512,2)+5)</f>
        <v>0</v>
      </c>
      <c r="AJ512" s="118">
        <f>INDEX(Input!$1:$1048576,AJ$93,$C512*2+MIN($B512,2)+5)</f>
        <v>0.27</v>
      </c>
      <c r="AK512" s="150">
        <f>ROUND(INDEX(Input!$1:$1048576,AK$93,$C511*2+MIN($B512,1)+5)+(Y512-VLOOKUP($C512*1000+1,$A:$HH,Y$92,FALSE)),0)</f>
        <v>2587</v>
      </c>
      <c r="AL512" s="150">
        <f>ROUND(INDEX(Input!$1:$1048576,AL$93,$C511*2+MIN($B512,1)+5)-(Y512-VLOOKUP($C512*1000+1,$A:$HH,Y$92,FALSE))/36,0)</f>
        <v>3406</v>
      </c>
      <c r="AM512" s="32" t="str">
        <f t="shared" si="1442"/>
        <v>std/std/std/std</v>
      </c>
      <c r="AN512" s="32" t="str">
        <f t="shared" si="1443"/>
        <v>$0 + 0/0/0/1.9/3.9</v>
      </c>
      <c r="AO512" s="32" t="str">
        <f t="shared" si="1444"/>
        <v>0/0/0/1.9/3.9</v>
      </c>
      <c r="AP512" s="32" t="str">
        <f t="shared" si="1396"/>
        <v>0/0.9/1.9/3.9</v>
      </c>
      <c r="AQ512" s="536">
        <f t="shared" si="1394"/>
        <v>0.48262732368536998</v>
      </c>
      <c r="AR512" s="32"/>
      <c r="AS512" s="302"/>
      <c r="AT512" s="3">
        <f t="shared" si="1465"/>
        <v>12</v>
      </c>
      <c r="AU512" s="41" t="s">
        <v>121</v>
      </c>
      <c r="AV512" s="41" t="s">
        <v>116</v>
      </c>
      <c r="AW512" s="41" t="str">
        <f>INDEX(Input!$1:$1048576,AW$93,$C512*2+6)</f>
        <v>Kia</v>
      </c>
      <c r="AX512" s="41" t="str">
        <f>INDEX(Input!$1:$1048576,AX$93,$C512*2+6)</f>
        <v>Kia-LR - R2</v>
      </c>
      <c r="AY512" s="41" t="str">
        <f>IF(LEN(D512)=0,"",INDEX(Input!$1:$1048576,AY$93,$C512*2+6))</f>
        <v>Compact SUV (52)</v>
      </c>
      <c r="AZ512" s="41" t="str">
        <f>INDEX(Input!$1:$1048576,AZ$93,$C512*2+6)</f>
        <v>Kia Soul</v>
      </c>
      <c r="BA512" s="3">
        <f>INDEX(Input!$1:$1048576,BA$93,$C512*2+6)</f>
        <v>2020</v>
      </c>
      <c r="BB512" s="128">
        <f>INDEX(Input!$1:$1048576,BB$93,$C512*2+6)</f>
        <v>1</v>
      </c>
      <c r="BC512" s="128">
        <f>INDEX(Input!$1:$1048576,BC$93,$C512*2+6)</f>
        <v>0.7</v>
      </c>
      <c r="BD512" s="1">
        <f>INDEX(Input!$1:$1048576,BD$93,$C512*2+6)</f>
        <v>4.4999999999999998E-2</v>
      </c>
      <c r="BE512" s="1">
        <f>INDEX(Input!$1:$1048576,BE$93,$C512*2+6)</f>
        <v>4.4999999999999998E-2</v>
      </c>
      <c r="BF512" s="1">
        <f>INDEX(Input!$1:$1048576,BF$93,$C512*2+6)</f>
        <v>0.05</v>
      </c>
      <c r="BG512" s="1">
        <f>INDEX(Input!$1:$1048576,BG$93,$C512*2+6)</f>
        <v>5.45E-2</v>
      </c>
      <c r="BH512" s="1">
        <f>INDEX(Input!$1:$1048576,BH$93,$C512*2+6)</f>
        <v>5.45E-2</v>
      </c>
      <c r="BI512" s="1">
        <f>INDEX(Input!$1:$1048576,BI$93,$C512*2+6)</f>
        <v>0.05</v>
      </c>
      <c r="BJ512" s="1">
        <f>INDEX(Input!$1:$1048576,BJ$93,$C512*2+6)</f>
        <v>0.05</v>
      </c>
      <c r="BK512" s="1">
        <f>INDEX(Input!$1:$1048576,BK$93,$C512*2+6)</f>
        <v>0.05</v>
      </c>
      <c r="BL512" s="1">
        <f>INDEX(Input!$1:$1048576,BL$93,$C512*2+6)</f>
        <v>5.5E-2</v>
      </c>
      <c r="BM512" s="1">
        <f>INDEX(Input!$1:$1048576,BM$93,$C512*2+6)</f>
        <v>0.06</v>
      </c>
      <c r="BN512" s="1">
        <f>INDEX(Input!$1:$1048576,BN$93,$C512*2+6)</f>
        <v>4.4999999999999998E-2</v>
      </c>
      <c r="BO512" s="1">
        <f>INDEX(Input!$1:$1048576,BO$93,$C512*2+6)</f>
        <v>4.4999999999999998E-2</v>
      </c>
      <c r="BP512" s="1">
        <f>INDEX(Input!$1:$1048576,BP$93,$C512*2+6)</f>
        <v>0.05</v>
      </c>
      <c r="BQ512" s="1">
        <f>INDEX(Input!$1:$1048576,BQ$93,$C512*2+6)</f>
        <v>5.45E-2</v>
      </c>
      <c r="BR512" s="1">
        <f>INDEX(Input!$1:$1048576,BR$93,$C512*2+6)</f>
        <v>5.45E-2</v>
      </c>
      <c r="BS512" s="1">
        <f>INDEX(Input!$1:$1048576,BS$93,$C512*2+6)</f>
        <v>0.05</v>
      </c>
      <c r="BT512" s="1">
        <f>INDEX(Input!$1:$1048576,BT$93,$C512*2+6)</f>
        <v>0.05</v>
      </c>
      <c r="BU512" s="1">
        <f>INDEX(Input!$1:$1048576,BU$93,$C512*2+6)</f>
        <v>0.05</v>
      </c>
      <c r="BV512" s="1">
        <f>INDEX(Input!$1:$1048576,BV$93,$C512*2+6)</f>
        <v>5.5E-2</v>
      </c>
      <c r="BW512" s="1">
        <f>INDEX(Input!$1:$1048576,BW$93,$C512*2+6)</f>
        <v>0.06</v>
      </c>
      <c r="BX512" s="127">
        <f>INDEX(Input!$1:$1048576,BX$93,$C512*2+6)</f>
        <v>19985</v>
      </c>
      <c r="BY512" s="20">
        <f>INDEX(Input!$1:$1048576,BY$93,$C512*2+6)</f>
        <v>0.1</v>
      </c>
      <c r="BZ512" s="20">
        <f>INDEX(Input!$1:$1048576,BZ$93,$C512*2+6)</f>
        <v>0.1</v>
      </c>
      <c r="CA512" s="20">
        <f>INDEX(Input!$1:$1048576,CA$93,$C512*2+6)</f>
        <v>0.1</v>
      </c>
      <c r="CB512" s="20">
        <f>INDEX(Input!$1:$1048576,CB$93,$C512*2+6)</f>
        <v>0.1</v>
      </c>
      <c r="CC512" s="20">
        <f>INDEX(Input!$1:$1048576,CC$93,$C512*2+6)</f>
        <v>0.1</v>
      </c>
      <c r="CD512" s="384">
        <f>INDEX(Input!$1:$1048576,CD$93,$C512*2+6)</f>
        <v>0.1</v>
      </c>
      <c r="CE512" s="384">
        <f>INDEX(Input!$1:$1048576,CE$93,$C512*2+6)</f>
        <v>0.1</v>
      </c>
      <c r="CF512" s="384">
        <f>INDEX(Input!$1:$1048576,CF$93,$C512*2+6)</f>
        <v>0.1</v>
      </c>
      <c r="CG512" s="384">
        <f>INDEX(Input!$1:$1048576,CG$93,$C512*2+6)</f>
        <v>0.1</v>
      </c>
      <c r="CH512" s="384">
        <f>INDEX(Input!$1:$1048576,CH$93,$C512*2+6)</f>
        <v>0.1</v>
      </c>
      <c r="CI512" s="304">
        <f t="shared" si="1397"/>
        <v>2277.4263093788063</v>
      </c>
      <c r="CJ512" s="16" t="str">
        <f>INDEX(Input!$1:$1048576,CJ$93,$C512*2+6)</f>
        <v>N</v>
      </c>
      <c r="CK512" s="1" t="str">
        <f t="shared" si="1398"/>
        <v>Market</v>
      </c>
      <c r="CL512" s="1" t="str">
        <f t="shared" si="1399"/>
        <v>Market</v>
      </c>
      <c r="CM512" s="1" t="str">
        <f t="shared" si="1400"/>
        <v>Market</v>
      </c>
      <c r="CN512" s="1" t="str">
        <f t="shared" si="1401"/>
        <v>Market</v>
      </c>
      <c r="CO512" s="1" t="str">
        <f t="shared" si="1402"/>
        <v>Market</v>
      </c>
      <c r="CP512" s="304">
        <f t="shared" si="1403"/>
        <v>500</v>
      </c>
      <c r="CQ512" s="1">
        <f t="shared" si="1404"/>
        <v>0</v>
      </c>
      <c r="CR512" s="1">
        <f t="shared" si="1405"/>
        <v>0</v>
      </c>
      <c r="CS512" s="1">
        <f t="shared" si="1406"/>
        <v>0</v>
      </c>
      <c r="CT512" s="1">
        <f t="shared" si="1407"/>
        <v>1.9E-2</v>
      </c>
      <c r="CU512" s="1">
        <f t="shared" si="1408"/>
        <v>3.9E-2</v>
      </c>
      <c r="CV512" s="304">
        <f t="shared" si="1409"/>
        <v>-717.93641739252325</v>
      </c>
      <c r="CW512" s="20" t="s">
        <v>122</v>
      </c>
      <c r="CX512" s="20" t="s">
        <v>122</v>
      </c>
      <c r="CY512" s="20" t="s">
        <v>122</v>
      </c>
      <c r="CZ512" s="20" t="s">
        <v>122</v>
      </c>
      <c r="DA512" s="20" t="s">
        <v>122</v>
      </c>
      <c r="DB512" s="503">
        <f t="shared" si="1410"/>
        <v>0</v>
      </c>
      <c r="DC512" s="127">
        <v>0</v>
      </c>
      <c r="DD512" s="127">
        <v>0</v>
      </c>
      <c r="DE512" s="127">
        <v>0</v>
      </c>
      <c r="DF512" s="127">
        <v>0</v>
      </c>
      <c r="DG512" s="127">
        <v>0</v>
      </c>
      <c r="DH512" s="127">
        <v>0</v>
      </c>
      <c r="DI512" s="127">
        <v>0</v>
      </c>
      <c r="DJ512" s="127">
        <v>0</v>
      </c>
      <c r="DK512" s="127">
        <v>0</v>
      </c>
      <c r="DL512" s="127">
        <v>0</v>
      </c>
      <c r="DM512" s="304">
        <f>INDEX(Input!$1:$1048576,DM$93,$C512*2+6)</f>
        <v>21036.84210526316</v>
      </c>
      <c r="DN512" s="20">
        <v>0</v>
      </c>
      <c r="DO512" s="20">
        <v>0</v>
      </c>
      <c r="DP512" s="20">
        <v>0</v>
      </c>
      <c r="DQ512" s="20">
        <v>0</v>
      </c>
      <c r="DR512" s="20">
        <v>0</v>
      </c>
      <c r="DS512" s="20">
        <f>INDEX(Input!$1:$1048576,DS$93,$C512*2+6)</f>
        <v>0.6</v>
      </c>
      <c r="DT512" s="20">
        <f>INDEX(Input!$1:$1048576,DT$93,$C512*2+6)</f>
        <v>0.55000000000000004</v>
      </c>
      <c r="DU512" s="20">
        <f>INDEX(Input!$1:$1048576,DU$93,$C512*2+6)</f>
        <v>0.52</v>
      </c>
      <c r="DV512" s="20">
        <f>INDEX(Input!$1:$1048576,DV$93,$C512*2+6)</f>
        <v>0.5</v>
      </c>
      <c r="DW512" s="20">
        <f>INDEX(Input!$1:$1048576,DW$93,$C512*2+6)</f>
        <v>0.45</v>
      </c>
      <c r="DX512" s="20"/>
      <c r="DY512" s="7">
        <v>0.13923014452371954</v>
      </c>
      <c r="DZ512" s="7">
        <v>0</v>
      </c>
      <c r="EA512" s="7">
        <v>0.77209835550382588</v>
      </c>
      <c r="EB512" s="7">
        <v>0</v>
      </c>
      <c r="EC512" s="7">
        <v>0</v>
      </c>
      <c r="ED512" s="7">
        <v>0</v>
      </c>
      <c r="EE512" s="7">
        <v>0</v>
      </c>
      <c r="EF512" s="7">
        <v>0</v>
      </c>
      <c r="EG512" s="7">
        <v>0</v>
      </c>
      <c r="EH512" s="7">
        <v>1.2091646812441112E-2</v>
      </c>
      <c r="EI512" s="7">
        <v>3.3620535882370732E-2</v>
      </c>
      <c r="EJ512" s="7">
        <v>0.29199571169953986</v>
      </c>
      <c r="EK512" s="7">
        <v>0.53724669316023399</v>
      </c>
      <c r="EL512" s="7">
        <v>0.12504541244541459</v>
      </c>
      <c r="EM512" s="7">
        <v>4.5780113817756304E-2</v>
      </c>
      <c r="EN512" s="7">
        <v>5.8503618202287722E-2</v>
      </c>
      <c r="EO512" s="7">
        <v>0.71702894242589388</v>
      </c>
      <c r="EP512" s="7">
        <v>8.9811539334317292E-2</v>
      </c>
      <c r="EQ512" s="7">
        <v>8.8405141107348414E-2</v>
      </c>
      <c r="ER512" s="7">
        <v>4.6250758930152847E-2</v>
      </c>
      <c r="ES512" s="7">
        <v>4.289138615469823E-2</v>
      </c>
      <c r="ET512" s="7">
        <v>8.8671499972454715E-2</v>
      </c>
      <c r="EU512" s="6">
        <v>2270</v>
      </c>
      <c r="EV512" s="6">
        <v>0</v>
      </c>
      <c r="EW512" s="6">
        <v>2270</v>
      </c>
      <c r="EX512" s="6">
        <v>0</v>
      </c>
      <c r="EY512" s="6">
        <v>2015.7739028411886</v>
      </c>
      <c r="EZ512" s="6">
        <v>-6.4499039401316622</v>
      </c>
      <c r="FA512" s="6">
        <v>0</v>
      </c>
      <c r="FB512" s="6">
        <v>0</v>
      </c>
      <c r="FC512" s="6">
        <v>0</v>
      </c>
      <c r="FD512" s="6">
        <v>0</v>
      </c>
      <c r="FE512" s="6">
        <v>0</v>
      </c>
      <c r="FF512" s="6">
        <v>0</v>
      </c>
      <c r="FG512" s="6">
        <v>0</v>
      </c>
      <c r="FH512" s="6">
        <v>1172.1432652230749</v>
      </c>
      <c r="FI512" s="6">
        <v>1553.9796069512395</v>
      </c>
      <c r="FJ512" s="6">
        <v>2101.2110117447405</v>
      </c>
      <c r="FK512" s="6">
        <v>1772.7139978623215</v>
      </c>
      <c r="FL512" s="6">
        <v>907.07682140966347</v>
      </c>
      <c r="FM512" s="6">
        <v>1745.7739028411886</v>
      </c>
      <c r="FN512" s="6">
        <v>0</v>
      </c>
      <c r="FO512" s="6">
        <v>0</v>
      </c>
      <c r="FP512" s="6">
        <v>0</v>
      </c>
      <c r="FQ512" s="6">
        <v>0</v>
      </c>
      <c r="FR512" s="6">
        <v>0</v>
      </c>
      <c r="FS512" s="6">
        <v>0</v>
      </c>
      <c r="FT512" s="7">
        <v>0.9113285000275454</v>
      </c>
      <c r="FU512" s="7">
        <v>4.5780113817756304E-2</v>
      </c>
      <c r="FV512" s="7">
        <v>4.289138615469823E-2</v>
      </c>
      <c r="FW512" s="6">
        <v>2270</v>
      </c>
      <c r="FX512" s="6">
        <v>2015.7739028411886</v>
      </c>
      <c r="FY512" s="6">
        <v>-6.4499039401316622</v>
      </c>
      <c r="FZ512" s="6">
        <v>1758.1538569113241</v>
      </c>
      <c r="GA512" s="6">
        <v>2160.7214084449038</v>
      </c>
      <c r="GB512" s="6">
        <v>17824.278591555096</v>
      </c>
      <c r="GC512" s="7">
        <v>3.064145122680037E-2</v>
      </c>
      <c r="GD512" s="7">
        <v>3.2692079925654108E-2</v>
      </c>
      <c r="GE512" s="7"/>
      <c r="GF512" s="7"/>
      <c r="GG512" s="7">
        <v>6.6923354369722771E-2</v>
      </c>
      <c r="GH512" s="42">
        <v>3.3223324432976478</v>
      </c>
      <c r="GI512" s="6">
        <v>8176.0736770949015</v>
      </c>
      <c r="GJ512" s="14">
        <v>0.50394797582841733</v>
      </c>
      <c r="GK512" s="14">
        <v>0.50887573065309766</v>
      </c>
      <c r="GL512" s="14">
        <v>0.49605202417158289</v>
      </c>
      <c r="GM512" s="14">
        <v>0.49112426934690279</v>
      </c>
      <c r="GO512" s="5">
        <v>343.14810671672558</v>
      </c>
      <c r="GP512" s="5">
        <v>299.84083725090579</v>
      </c>
      <c r="GQ512" s="5">
        <v>535.04305713031317</v>
      </c>
      <c r="GR512" s="5">
        <v>410.15490233172511</v>
      </c>
      <c r="GS512" s="5">
        <v>339.42744393800166</v>
      </c>
      <c r="GT512" s="5">
        <v>293.4407446948278</v>
      </c>
      <c r="GU512" s="5">
        <v>258.04012322764959</v>
      </c>
      <c r="GV512" s="39" t="s">
        <v>392</v>
      </c>
      <c r="GW512" s="5">
        <v>492.125</v>
      </c>
      <c r="GX512" s="5">
        <v>369.09375</v>
      </c>
      <c r="GY512" s="5">
        <v>295.27499999999998</v>
      </c>
      <c r="GZ512" s="5">
        <v>260.54902799031458</v>
      </c>
      <c r="HA512" s="5">
        <v>241.34874471337258</v>
      </c>
      <c r="HB512" s="39">
        <v>274.73742214526453</v>
      </c>
      <c r="HC512" s="5">
        <v>287.56655829738071</v>
      </c>
      <c r="HD512" s="5">
        <v>239.99799238008356</v>
      </c>
      <c r="HE512" s="5">
        <v>241.14168635502031</v>
      </c>
      <c r="HF512" s="5">
        <v>221.05790951107167</v>
      </c>
      <c r="HG512" s="5">
        <v>210.75500473779988</v>
      </c>
      <c r="HH512" s="39">
        <v>239.85673144489536</v>
      </c>
      <c r="HI512" s="16"/>
      <c r="HJ512" s="19" t="str">
        <f t="shared" si="1466"/>
        <v>On</v>
      </c>
      <c r="HK512" s="1" t="str">
        <f t="shared" si="1466"/>
        <v>On</v>
      </c>
      <c r="HL512" s="16"/>
      <c r="HM512" s="639">
        <f t="shared" si="1413"/>
        <v>2.4909940070666322E-2</v>
      </c>
      <c r="HN512" s="639">
        <f t="shared" si="1414"/>
        <v>2.2052381276269151E-3</v>
      </c>
      <c r="HO512" s="639">
        <f t="shared" si="1415"/>
        <v>2.079866082302006E-3</v>
      </c>
      <c r="HP512" s="644">
        <f>(FT512*$GD512-HM512)/$JF512*INDEX(Input!$1:$1048576,$JG$93,$C512*2+6)</f>
        <v>137.32386222750969</v>
      </c>
      <c r="HQ512" s="644">
        <f>(FU512*$GD512-HN512)/$JF512*INDEX(Input!$1:$1048576,$JG$93,$C512*2+6)</f>
        <v>-19.926436668609949</v>
      </c>
      <c r="HR512" s="644">
        <f>(FV512*$GD512-HO512)/$JF512*INDEX(Input!$1:$1048576,$JG$93,$C512*2+6)</f>
        <v>-19.056548353873282</v>
      </c>
      <c r="HS512" s="644">
        <f t="shared" si="1416"/>
        <v>-49.696662149260895</v>
      </c>
      <c r="HT512" s="644">
        <f t="shared" si="1417"/>
        <v>-2.4183716127368111</v>
      </c>
      <c r="HU512" s="644">
        <f t="shared" si="1418"/>
        <v>4.3103904906724502</v>
      </c>
      <c r="HV512" s="648">
        <f t="shared" si="1419"/>
        <v>0</v>
      </c>
      <c r="HW512" s="648">
        <f t="shared" si="1420"/>
        <v>0</v>
      </c>
      <c r="HX512" s="648">
        <f t="shared" si="1421"/>
        <v>0</v>
      </c>
      <c r="HY512" s="644">
        <f>INDEX(Input!$1:$1048576,HY$93,$C512*2+6)*INDEX(Input!$1:$1048576,$JG$93,$C512*2+6)</f>
        <v>333.00000000000006</v>
      </c>
      <c r="HZ512" s="644">
        <f>INDEX(Input!$1:$1048576,HZ$93,$C512*2+6)*INDEX(Input!$1:$1048576,$JG$93,$C512*2+6)</f>
        <v>429</v>
      </c>
      <c r="IA512" s="644">
        <f>INDEX(Input!$1:$1048576,IA$93,$C512*2+6)*INDEX(Input!$1:$1048576,$JG$93,$C512*2+6)</f>
        <v>59</v>
      </c>
      <c r="IB512" s="644">
        <f t="shared" si="1445"/>
        <v>420.62720007824885</v>
      </c>
      <c r="IC512" s="644">
        <f t="shared" si="1446"/>
        <v>406.65519171865327</v>
      </c>
      <c r="ID512" s="644">
        <f>IF(AND(INDEX(Input!$1:$1048576,IA$93,$C512*2+7)="TOS",Y512&lt;=INDEX(Y:Y,MATCH(C512*1000+2,A:A))),0,1)*MAX(IA512+HR512+HU512+HX512,0%)</f>
        <v>44.253842136799165</v>
      </c>
      <c r="IE512" s="128">
        <f t="shared" ref="IE512" si="1488">IB512/SUM($IB512:$ID512)</f>
        <v>0.48262732368536998</v>
      </c>
      <c r="IF512" s="128">
        <f t="shared" si="1468"/>
        <v>0.466595852111856</v>
      </c>
      <c r="IG512" s="128">
        <f t="shared" si="1423"/>
        <v>5.0776824202773879E-2</v>
      </c>
      <c r="IH512" s="21"/>
      <c r="II512" s="19">
        <f t="shared" si="1424"/>
        <v>1240</v>
      </c>
      <c r="IJ512" s="19">
        <f t="shared" si="1425"/>
        <v>1985.7442651839444</v>
      </c>
      <c r="IK512" s="19">
        <f t="shared" si="1426"/>
        <v>-21.44990394013189</v>
      </c>
      <c r="IL512" s="19">
        <f t="shared" si="1448"/>
        <v>1030</v>
      </c>
      <c r="IM512" s="19">
        <f t="shared" si="1427"/>
        <v>30.029637657244166</v>
      </c>
      <c r="IN512" s="19">
        <f t="shared" si="1428"/>
        <v>15.000000000000227</v>
      </c>
      <c r="IO512" s="39">
        <f t="shared" si="1429"/>
        <v>0</v>
      </c>
      <c r="IP512" s="39">
        <f t="shared" si="1430"/>
        <v>0</v>
      </c>
      <c r="IQ512" s="39">
        <f t="shared" si="1431"/>
        <v>0</v>
      </c>
      <c r="IR512" s="39">
        <v>0</v>
      </c>
      <c r="IS512" s="39">
        <v>0</v>
      </c>
      <c r="IT512" s="39">
        <v>0</v>
      </c>
      <c r="IU512" s="39">
        <v>0</v>
      </c>
      <c r="IV512" s="39">
        <v>0</v>
      </c>
      <c r="IW512" s="39">
        <v>0</v>
      </c>
      <c r="IX512" s="39">
        <f>INDEX(Input!$1:$1048576,IX$93,$C512*2+6)+INDEX(Input!$1:$1048576,IX$94,$C512*2+6)</f>
        <v>1270</v>
      </c>
      <c r="IY512" s="39">
        <f>INDEX(Input!$1:$1048576,IY$93,$C512*2+6)+INDEX(Input!$1:$1048576,IY$94,$C512*2+6)</f>
        <v>2130.0624533823611</v>
      </c>
      <c r="IZ512" s="39">
        <f>INDEX(Input!$1:$1048576,IZ$93,$C512*2+6)+INDEX(Input!$1:$1048576,IZ$94,$C512*2+6)</f>
        <v>3653.7164157747857</v>
      </c>
      <c r="JA512" s="19">
        <f t="shared" si="1449"/>
        <v>2300</v>
      </c>
      <c r="JB512" s="19">
        <f t="shared" si="1450"/>
        <v>2160.0920910396053</v>
      </c>
      <c r="JC512" s="19">
        <f t="shared" si="1451"/>
        <v>3668.7164157747857</v>
      </c>
      <c r="JD512" s="19">
        <f t="shared" si="1452"/>
        <v>2304.2186228286832</v>
      </c>
      <c r="JE512" s="21"/>
      <c r="JF512" s="1">
        <f t="shared" si="1432"/>
        <v>2.9195044280595241E-2</v>
      </c>
      <c r="JG512" s="15">
        <f>INDEX(Input!$1:$1048576,JG$93,$C512*2+6)/(1+VLOOKUP(C512*1000+INDEX(Input!$1:$1048576,JG$93+1,$C512*2+6),$A:$KK,$JK$92,FALSE))</f>
        <v>821</v>
      </c>
      <c r="JH512" s="1">
        <f t="shared" si="1453"/>
        <v>0.11978182363584222</v>
      </c>
      <c r="JI512" s="1">
        <f t="shared" si="1454"/>
        <v>-5.8227336505877296E-2</v>
      </c>
      <c r="JJ512" s="1">
        <f t="shared" si="1455"/>
        <v>0</v>
      </c>
      <c r="JK512" s="1">
        <f t="shared" ref="JK512" si="1489">SUM(JH512:JJ512)</f>
        <v>6.1554487129964926E-2</v>
      </c>
      <c r="JL512" s="15">
        <f t="shared" si="1457"/>
        <v>50.536233933701205</v>
      </c>
      <c r="JM512" s="15">
        <f t="shared" si="1483"/>
        <v>871.53623393370117</v>
      </c>
      <c r="JN512" s="21"/>
      <c r="JO512" s="19">
        <f>INDEX(Input!$1:$1048576,JO$93,$C512*2+6)</f>
        <v>5995.5</v>
      </c>
      <c r="JP512" s="19">
        <f>INDEX(Input!$1:$1048576,JP$93,$C512*2+6)</f>
        <v>1890.7138380411029</v>
      </c>
      <c r="JQ512" s="39">
        <f t="shared" si="1469"/>
        <v>3691.2813771713168</v>
      </c>
      <c r="JR512" s="39">
        <f t="shared" si="1486"/>
        <v>413.50478478758032</v>
      </c>
      <c r="JS512" s="39">
        <f t="shared" si="1471"/>
        <v>2.0082100207000102</v>
      </c>
      <c r="JT512" s="39">
        <f t="shared" si="1459"/>
        <v>0.4559339596682645</v>
      </c>
      <c r="JU512" s="385">
        <f>(JQ512*JM512-INDEX(Input!$1:$1048576,Input!A$18,$C512*2+6)*JL512*INDEX(Input!$1:$1048576,Input!A$19,$C512*2+6))/1000000</f>
        <v>3.2170854698494953</v>
      </c>
      <c r="JV512" s="39">
        <f t="shared" si="1435"/>
        <v>-0.15294396911875907</v>
      </c>
      <c r="JW512" s="1">
        <f t="shared" si="1484"/>
        <v>-4.5383570644885338E-2</v>
      </c>
      <c r="JX512" s="19">
        <f t="shared" si="1475"/>
        <v>9021.9219791171436</v>
      </c>
      <c r="JZ512" s="341"/>
      <c r="KA512" s="342"/>
      <c r="KB512" s="469">
        <f t="shared" si="1472"/>
        <v>2.5122967434604799</v>
      </c>
      <c r="KI512" s="473">
        <f t="shared" si="1473"/>
        <v>87.627200078248677</v>
      </c>
      <c r="KJ512" s="473">
        <f t="shared" si="1460"/>
        <v>-22.344808281346843</v>
      </c>
      <c r="KK512" s="473">
        <f t="shared" si="1461"/>
        <v>-14.746157863200843</v>
      </c>
      <c r="KN512" s="544">
        <f t="shared" si="1476"/>
        <v>5002</v>
      </c>
      <c r="KO512" s="541">
        <f t="shared" si="1436"/>
        <v>5.7249748293829672E-2</v>
      </c>
      <c r="KP512" s="546">
        <f t="shared" si="1437"/>
        <v>482.64046521851066</v>
      </c>
      <c r="KQ512" s="546">
        <f t="shared" si="1438"/>
        <v>385.29985710541678</v>
      </c>
      <c r="KR512" s="548">
        <f t="shared" si="1439"/>
        <v>2.1429587402083317</v>
      </c>
      <c r="KS512" s="548">
        <f t="shared" si="1440"/>
        <v>2.6843472278663407</v>
      </c>
      <c r="KT512" s="473">
        <f t="shared" si="1474"/>
        <v>595.94378802984284</v>
      </c>
      <c r="KU512" s="663">
        <f t="shared" si="1462"/>
        <v>4.0109179854992352</v>
      </c>
      <c r="KV512" s="117" t="e">
        <f>RANK(KU512,$KU$109:$KU$200)</f>
        <v>#N/A</v>
      </c>
    </row>
    <row r="513" spans="1:308" s="26" customFormat="1" ht="15">
      <c r="A513" s="561">
        <f t="shared" si="1441"/>
        <v>5013</v>
      </c>
      <c r="B513" s="561">
        <f t="shared" si="1463"/>
        <v>13</v>
      </c>
      <c r="C513" s="561">
        <f t="shared" si="1464"/>
        <v>5</v>
      </c>
      <c r="D513" s="561" t="str">
        <f t="shared" si="1485"/>
        <v xml:space="preserve">0/0/0.9/3.9, </v>
      </c>
      <c r="E513" s="115">
        <f>INDEX(Input!$1:$1048576,E$93,$C513*2+MIN($B513,2)+5)</f>
        <v>1277.4263093788063</v>
      </c>
      <c r="F513" s="115">
        <f>INDEX(Input!$1:$1048576,F$93,$C513*2+MIN($B513,2)+5)</f>
        <v>0</v>
      </c>
      <c r="G513" s="115">
        <f>INDEX(Input!$1:$1048576,G$93,$C513*2+MIN($B513,2)+5)</f>
        <v>0</v>
      </c>
      <c r="H513" s="115">
        <f>INDEX(Input!$1:$1048576,H$93,$C513*2+MIN($B513,2)+5)</f>
        <v>0</v>
      </c>
      <c r="I513" s="118">
        <f>INDEX(Input!$1:$1048576,I$93,$C513*2+MIN($B513,2)+5)</f>
        <v>0.7</v>
      </c>
      <c r="J513" s="476" t="str">
        <f>INDEX(Input!$1:$1048576,J$93,$C513*2+MIN($B513,2)+5)</f>
        <v>Market</v>
      </c>
      <c r="K513" s="476" t="str">
        <f>INDEX(Input!$1:$1048576,K$93,$C513*2+MIN($B513,2)+5)</f>
        <v>Market</v>
      </c>
      <c r="L513" s="476" t="str">
        <f>INDEX(Input!$1:$1048576,L$93,$C513*2+MIN($B513,2)+5)</f>
        <v>Market</v>
      </c>
      <c r="M513" s="476" t="str">
        <f>INDEX(Input!$1:$1048576,M$93,$C513*2+MIN($B513,2)+5)</f>
        <v>Market</v>
      </c>
      <c r="N513" s="476" t="str">
        <f>INDEX(Input!$1:$1048576,N$93,$C513*2+MIN($B513,2)+5)</f>
        <v>Market</v>
      </c>
      <c r="O513" s="476" t="str">
        <f>INDEX(Input!$1:$1048576,O$93,$C513*2+MIN($B513,2)+5)</f>
        <v>Market</v>
      </c>
      <c r="P513" s="476" t="str">
        <f>INDEX(Input!$1:$1048576,P$93,$C513*2+MIN($B513,2)+5)</f>
        <v>N</v>
      </c>
      <c r="Q513" s="477">
        <f>INDEX(Input!$1:$1048576,Q$93,$C513*2+MIN($B513,2)+5)</f>
        <v>0</v>
      </c>
      <c r="R513" s="478">
        <f>IFERROR(MAX(0,INDEX(Input!$1:$1048576,R$93,$C513*2+MIN($B513,2)+5)-1%,),"Market")</f>
        <v>0</v>
      </c>
      <c r="S513" s="478">
        <f>IFERROR(MAX(0,INDEX(Input!$1:$1048576,S$93,$C513*2+MIN($B513,2)+5)-1%,),"Market")</f>
        <v>0</v>
      </c>
      <c r="T513" s="478">
        <f>IFERROR(MAX(0,INDEX(Input!$1:$1048576,T$93,$C513*2+MIN($B513,2)+5)-1%,),"Market")</f>
        <v>0</v>
      </c>
      <c r="U513" s="478">
        <f>IFERROR(MAX(0,INDEX(Input!$1:$1048576,U$93,$C513*2+MIN($B513,2)+5)-1%,),"Market")</f>
        <v>0</v>
      </c>
      <c r="V513" s="478">
        <f>IFERROR(MAX(0,INDEX(Input!$1:$1048576,V$93,$C513*2+MIN($B513,2)+5)-1%,),"Market")</f>
        <v>8.9999999999999993E-3</v>
      </c>
      <c r="W513" s="885">
        <f>IFERROR(MAX(0,INDEX(Input!$1:$1048576,W$93,$C513*2+MIN($B513,2)+5)-0%,),"Market")</f>
        <v>3.9E-2</v>
      </c>
      <c r="X513" s="476" t="str">
        <f>INDEX(Input!$1:$1048576,X$93,$C513*2+MIN($B513,2)+5)</f>
        <v>Y</v>
      </c>
      <c r="Y513" s="150">
        <f>INDEX(Input!$1:$1048576,Y$93,$C513*2+MIN($B513,2)+5)</f>
        <v>-717.93641739252325</v>
      </c>
      <c r="Z513" s="30">
        <f>INDEX(Input!$1:$1048576,Z$93,$C513*2+MIN($B513,2)+5)</f>
        <v>0</v>
      </c>
      <c r="AA513" s="475">
        <f>INDEX(Input!$1:$1048576,AA$93,$C513*2+MIN($B513,2)+5)</f>
        <v>0</v>
      </c>
      <c r="AB513" s="118">
        <f>INDEX(Input!$1:$1048576,AB$93,$C513*2+MIN($B513,2)+5)</f>
        <v>0.27</v>
      </c>
      <c r="AC513" s="115">
        <f>INDEX(Input!$1:$1048576,AC$93,$C513*2+MIN($B513,2)+5)</f>
        <v>0</v>
      </c>
      <c r="AD513" s="118">
        <f>INDEX(Input!$1:$1048576,AD$93,$C513*2+MIN($B513,2)+5)</f>
        <v>0.27</v>
      </c>
      <c r="AE513" s="115">
        <f>INDEX(Input!$1:$1048576,AE$93,$C513*2+MIN($B513,2)+5)</f>
        <v>0</v>
      </c>
      <c r="AF513" s="118">
        <f>INDEX(Input!$1:$1048576,AF$93,$C513*2+MIN($B513,2)+5)</f>
        <v>0.2</v>
      </c>
      <c r="AG513" s="115">
        <f>INDEX(Input!$1:$1048576,AG$93,$C513*2+MIN($B513,2)+5)</f>
        <v>500</v>
      </c>
      <c r="AH513" s="118">
        <f>INDEX(Input!$1:$1048576,AH$93,$C513*2+MIN($B513,2)+5)</f>
        <v>1</v>
      </c>
      <c r="AI513" s="115">
        <f>INDEX(Input!$1:$1048576,AI$93,$C513*2+MIN($B513,2)+5)</f>
        <v>0</v>
      </c>
      <c r="AJ513" s="118">
        <f>INDEX(Input!$1:$1048576,AJ$93,$C513*2+MIN($B513,2)+5)</f>
        <v>0.27</v>
      </c>
      <c r="AK513" s="150">
        <f>ROUND(INDEX(Input!$1:$1048576,AK$93,$C512*2+MIN($B513,1)+5)+(Y513-VLOOKUP($C513*1000+1,$A:$HH,Y$92,FALSE)),0)</f>
        <v>2587</v>
      </c>
      <c r="AL513" s="150">
        <f>ROUND(INDEX(Input!$1:$1048576,AL$93,$C512*2+MIN($B513,1)+5)-(Y513-VLOOKUP($C513*1000+1,$A:$HH,Y$92,FALSE))/36,0)</f>
        <v>3406</v>
      </c>
      <c r="AM513" s="32" t="str">
        <f t="shared" si="1442"/>
        <v>std/std/std/std</v>
      </c>
      <c r="AN513" s="32" t="str">
        <f t="shared" si="1443"/>
        <v>$0 + 0/0/0/0.9/3.9</v>
      </c>
      <c r="AO513" s="32" t="str">
        <f t="shared" si="1444"/>
        <v>0/0/0/0.9/3.9</v>
      </c>
      <c r="AP513" s="32" t="str">
        <f t="shared" si="1396"/>
        <v>0/0/0.9/3.9</v>
      </c>
      <c r="AQ513" s="536">
        <f t="shared" si="1394"/>
        <v>0.38201784868452604</v>
      </c>
      <c r="AR513" s="32"/>
      <c r="AS513" s="302"/>
      <c r="AT513" s="3">
        <f t="shared" si="1465"/>
        <v>13</v>
      </c>
      <c r="AU513" s="41" t="s">
        <v>121</v>
      </c>
      <c r="AV513" s="41" t="s">
        <v>116</v>
      </c>
      <c r="AW513" s="41" t="str">
        <f>INDEX(Input!$1:$1048576,AW$93,$C513*2+6)</f>
        <v>Kia</v>
      </c>
      <c r="AX513" s="41" t="str">
        <f>INDEX(Input!$1:$1048576,AX$93,$C513*2+6)</f>
        <v>Kia-LR - R2</v>
      </c>
      <c r="AY513" s="41" t="str">
        <f>IF(LEN(D513)=0,"",INDEX(Input!$1:$1048576,AY$93,$C513*2+6))</f>
        <v>Compact SUV (52)</v>
      </c>
      <c r="AZ513" s="41" t="str">
        <f>INDEX(Input!$1:$1048576,AZ$93,$C513*2+6)</f>
        <v>Kia Soul</v>
      </c>
      <c r="BA513" s="3">
        <f>INDEX(Input!$1:$1048576,BA$93,$C513*2+6)</f>
        <v>2020</v>
      </c>
      <c r="BB513" s="128">
        <f>INDEX(Input!$1:$1048576,BB$93,$C513*2+6)</f>
        <v>1</v>
      </c>
      <c r="BC513" s="128">
        <f>INDEX(Input!$1:$1048576,BC$93,$C513*2+6)</f>
        <v>0.7</v>
      </c>
      <c r="BD513" s="1">
        <f>INDEX(Input!$1:$1048576,BD$93,$C513*2+6)</f>
        <v>4.4999999999999998E-2</v>
      </c>
      <c r="BE513" s="1">
        <f>INDEX(Input!$1:$1048576,BE$93,$C513*2+6)</f>
        <v>4.4999999999999998E-2</v>
      </c>
      <c r="BF513" s="1">
        <f>INDEX(Input!$1:$1048576,BF$93,$C513*2+6)</f>
        <v>0.05</v>
      </c>
      <c r="BG513" s="1">
        <f>INDEX(Input!$1:$1048576,BG$93,$C513*2+6)</f>
        <v>5.45E-2</v>
      </c>
      <c r="BH513" s="1">
        <f>INDEX(Input!$1:$1048576,BH$93,$C513*2+6)</f>
        <v>5.45E-2</v>
      </c>
      <c r="BI513" s="1">
        <f>INDEX(Input!$1:$1048576,BI$93,$C513*2+6)</f>
        <v>0.05</v>
      </c>
      <c r="BJ513" s="1">
        <f>INDEX(Input!$1:$1048576,BJ$93,$C513*2+6)</f>
        <v>0.05</v>
      </c>
      <c r="BK513" s="1">
        <f>INDEX(Input!$1:$1048576,BK$93,$C513*2+6)</f>
        <v>0.05</v>
      </c>
      <c r="BL513" s="1">
        <f>INDEX(Input!$1:$1048576,BL$93,$C513*2+6)</f>
        <v>5.5E-2</v>
      </c>
      <c r="BM513" s="1">
        <f>INDEX(Input!$1:$1048576,BM$93,$C513*2+6)</f>
        <v>0.06</v>
      </c>
      <c r="BN513" s="1">
        <f>INDEX(Input!$1:$1048576,BN$93,$C513*2+6)</f>
        <v>4.4999999999999998E-2</v>
      </c>
      <c r="BO513" s="1">
        <f>INDEX(Input!$1:$1048576,BO$93,$C513*2+6)</f>
        <v>4.4999999999999998E-2</v>
      </c>
      <c r="BP513" s="1">
        <f>INDEX(Input!$1:$1048576,BP$93,$C513*2+6)</f>
        <v>0.05</v>
      </c>
      <c r="BQ513" s="1">
        <f>INDEX(Input!$1:$1048576,BQ$93,$C513*2+6)</f>
        <v>5.45E-2</v>
      </c>
      <c r="BR513" s="1">
        <f>INDEX(Input!$1:$1048576,BR$93,$C513*2+6)</f>
        <v>5.45E-2</v>
      </c>
      <c r="BS513" s="1">
        <f>INDEX(Input!$1:$1048576,BS$93,$C513*2+6)</f>
        <v>0.05</v>
      </c>
      <c r="BT513" s="1">
        <f>INDEX(Input!$1:$1048576,BT$93,$C513*2+6)</f>
        <v>0.05</v>
      </c>
      <c r="BU513" s="1">
        <f>INDEX(Input!$1:$1048576,BU$93,$C513*2+6)</f>
        <v>0.05</v>
      </c>
      <c r="BV513" s="1">
        <f>INDEX(Input!$1:$1048576,BV$93,$C513*2+6)</f>
        <v>5.5E-2</v>
      </c>
      <c r="BW513" s="1">
        <f>INDEX(Input!$1:$1048576,BW$93,$C513*2+6)</f>
        <v>0.06</v>
      </c>
      <c r="BX513" s="127">
        <f>INDEX(Input!$1:$1048576,BX$93,$C513*2+6)</f>
        <v>19985</v>
      </c>
      <c r="BY513" s="20">
        <f>INDEX(Input!$1:$1048576,BY$93,$C513*2+6)</f>
        <v>0.1</v>
      </c>
      <c r="BZ513" s="20">
        <f>INDEX(Input!$1:$1048576,BZ$93,$C513*2+6)</f>
        <v>0.1</v>
      </c>
      <c r="CA513" s="20">
        <f>INDEX(Input!$1:$1048576,CA$93,$C513*2+6)</f>
        <v>0.1</v>
      </c>
      <c r="CB513" s="20">
        <f>INDEX(Input!$1:$1048576,CB$93,$C513*2+6)</f>
        <v>0.1</v>
      </c>
      <c r="CC513" s="20">
        <f>INDEX(Input!$1:$1048576,CC$93,$C513*2+6)</f>
        <v>0.1</v>
      </c>
      <c r="CD513" s="384">
        <f>INDEX(Input!$1:$1048576,CD$93,$C513*2+6)</f>
        <v>0.1</v>
      </c>
      <c r="CE513" s="384">
        <f>INDEX(Input!$1:$1048576,CE$93,$C513*2+6)</f>
        <v>0.1</v>
      </c>
      <c r="CF513" s="384">
        <f>INDEX(Input!$1:$1048576,CF$93,$C513*2+6)</f>
        <v>0.1</v>
      </c>
      <c r="CG513" s="384">
        <f>INDEX(Input!$1:$1048576,CG$93,$C513*2+6)</f>
        <v>0.1</v>
      </c>
      <c r="CH513" s="384">
        <f>INDEX(Input!$1:$1048576,CH$93,$C513*2+6)</f>
        <v>0.1</v>
      </c>
      <c r="CI513" s="304">
        <f t="shared" si="1397"/>
        <v>1277.4263093788063</v>
      </c>
      <c r="CJ513" s="16" t="str">
        <f>INDEX(Input!$1:$1048576,CJ$93,$C513*2+6)</f>
        <v>N</v>
      </c>
      <c r="CK513" s="1" t="str">
        <f t="shared" si="1398"/>
        <v>Market</v>
      </c>
      <c r="CL513" s="1" t="str">
        <f t="shared" si="1399"/>
        <v>Market</v>
      </c>
      <c r="CM513" s="1" t="str">
        <f t="shared" si="1400"/>
        <v>Market</v>
      </c>
      <c r="CN513" s="1" t="str">
        <f t="shared" si="1401"/>
        <v>Market</v>
      </c>
      <c r="CO513" s="1" t="str">
        <f t="shared" si="1402"/>
        <v>Market</v>
      </c>
      <c r="CP513" s="304">
        <f t="shared" si="1403"/>
        <v>500</v>
      </c>
      <c r="CQ513" s="1">
        <f t="shared" si="1404"/>
        <v>0</v>
      </c>
      <c r="CR513" s="1">
        <f t="shared" si="1405"/>
        <v>0</v>
      </c>
      <c r="CS513" s="1">
        <f t="shared" si="1406"/>
        <v>0</v>
      </c>
      <c r="CT513" s="1">
        <f t="shared" si="1407"/>
        <v>8.9999999999999993E-3</v>
      </c>
      <c r="CU513" s="1">
        <f t="shared" si="1408"/>
        <v>3.9E-2</v>
      </c>
      <c r="CV513" s="304">
        <f t="shared" si="1409"/>
        <v>-717.93641739252325</v>
      </c>
      <c r="CW513" s="20" t="s">
        <v>122</v>
      </c>
      <c r="CX513" s="20" t="s">
        <v>122</v>
      </c>
      <c r="CY513" s="20" t="s">
        <v>122</v>
      </c>
      <c r="CZ513" s="20" t="s">
        <v>122</v>
      </c>
      <c r="DA513" s="20" t="s">
        <v>122</v>
      </c>
      <c r="DB513" s="503">
        <f t="shared" si="1410"/>
        <v>0</v>
      </c>
      <c r="DC513" s="127">
        <v>0</v>
      </c>
      <c r="DD513" s="127">
        <v>0</v>
      </c>
      <c r="DE513" s="127">
        <v>0</v>
      </c>
      <c r="DF513" s="127">
        <v>0</v>
      </c>
      <c r="DG513" s="127">
        <v>0</v>
      </c>
      <c r="DH513" s="127">
        <v>0</v>
      </c>
      <c r="DI513" s="127">
        <v>0</v>
      </c>
      <c r="DJ513" s="127">
        <v>0</v>
      </c>
      <c r="DK513" s="127">
        <v>0</v>
      </c>
      <c r="DL513" s="127">
        <v>0</v>
      </c>
      <c r="DM513" s="304">
        <f>INDEX(Input!$1:$1048576,DM$93,$C513*2+6)</f>
        <v>21036.84210526316</v>
      </c>
      <c r="DN513" s="20">
        <v>0</v>
      </c>
      <c r="DO513" s="20">
        <v>0</v>
      </c>
      <c r="DP513" s="20">
        <v>0</v>
      </c>
      <c r="DQ513" s="20">
        <v>0</v>
      </c>
      <c r="DR513" s="20">
        <v>0</v>
      </c>
      <c r="DS513" s="20">
        <f>INDEX(Input!$1:$1048576,DS$93,$C513*2+6)</f>
        <v>0.6</v>
      </c>
      <c r="DT513" s="20">
        <f>INDEX(Input!$1:$1048576,DT$93,$C513*2+6)</f>
        <v>0.55000000000000004</v>
      </c>
      <c r="DU513" s="20">
        <f>INDEX(Input!$1:$1048576,DU$93,$C513*2+6)</f>
        <v>0.52</v>
      </c>
      <c r="DV513" s="20">
        <f>INDEX(Input!$1:$1048576,DV$93,$C513*2+6)</f>
        <v>0.5</v>
      </c>
      <c r="DW513" s="20">
        <f>INDEX(Input!$1:$1048576,DW$93,$C513*2+6)</f>
        <v>0.45</v>
      </c>
      <c r="DX513" s="20"/>
      <c r="DY513" s="7">
        <v>0.11670196692943142</v>
      </c>
      <c r="DZ513" s="7">
        <v>0</v>
      </c>
      <c r="EA513" s="7">
        <v>0.71990489859225415</v>
      </c>
      <c r="EB513" s="7">
        <v>0</v>
      </c>
      <c r="EC513" s="7">
        <v>0</v>
      </c>
      <c r="ED513" s="7">
        <v>0</v>
      </c>
      <c r="EE513" s="7">
        <v>0</v>
      </c>
      <c r="EF513" s="7">
        <v>0</v>
      </c>
      <c r="EG513" s="7">
        <v>0</v>
      </c>
      <c r="EH513" s="7">
        <v>9.4863017548971213E-3</v>
      </c>
      <c r="EI513" s="7">
        <v>2.6368722284033162E-2</v>
      </c>
      <c r="EJ513" s="7">
        <v>0.22900353337550911</v>
      </c>
      <c r="EK513" s="7">
        <v>0.63701010732932473</v>
      </c>
      <c r="EL513" s="7">
        <v>9.8131335256235672E-2</v>
      </c>
      <c r="EM513" s="7">
        <v>9.4243478303646586E-2</v>
      </c>
      <c r="EN513" s="7">
        <v>5.8465511287924078E-2</v>
      </c>
      <c r="EO513" s="7">
        <v>0.71701130843161931</v>
      </c>
      <c r="EP513" s="7">
        <v>8.981827222656262E-2</v>
      </c>
      <c r="EQ513" s="7">
        <v>8.8436091358716926E-2</v>
      </c>
      <c r="ER513" s="7">
        <v>4.626881669517726E-2</v>
      </c>
      <c r="ES513" s="7">
        <v>6.9149656174667756E-2</v>
      </c>
      <c r="ET513" s="7">
        <v>0.16339313447831438</v>
      </c>
      <c r="EU513" s="6">
        <v>1270</v>
      </c>
      <c r="EV513" s="6">
        <v>0</v>
      </c>
      <c r="EW513" s="6">
        <v>1270</v>
      </c>
      <c r="EX513" s="6">
        <v>0</v>
      </c>
      <c r="EY513" s="6">
        <v>2326.3989097370431</v>
      </c>
      <c r="EZ513" s="6">
        <v>-6.4499039401316622</v>
      </c>
      <c r="FA513" s="6">
        <v>0</v>
      </c>
      <c r="FB513" s="6">
        <v>0</v>
      </c>
      <c r="FC513" s="6">
        <v>0</v>
      </c>
      <c r="FD513" s="6">
        <v>0</v>
      </c>
      <c r="FE513" s="6">
        <v>0</v>
      </c>
      <c r="FF513" s="6">
        <v>0</v>
      </c>
      <c r="FG513" s="6">
        <v>0</v>
      </c>
      <c r="FH513" s="6">
        <v>1172.1324212632348</v>
      </c>
      <c r="FI513" s="6">
        <v>1553.9796069512402</v>
      </c>
      <c r="FJ513" s="6">
        <v>2101.2110117447405</v>
      </c>
      <c r="FK513" s="6">
        <v>2251.3078348034687</v>
      </c>
      <c r="FL513" s="6">
        <v>907.07682140966358</v>
      </c>
      <c r="FM513" s="6">
        <v>2056.3989097370431</v>
      </c>
      <c r="FN513" s="6">
        <v>0</v>
      </c>
      <c r="FO513" s="6">
        <v>0</v>
      </c>
      <c r="FP513" s="6">
        <v>0</v>
      </c>
      <c r="FQ513" s="6">
        <v>0</v>
      </c>
      <c r="FR513" s="6">
        <v>0</v>
      </c>
      <c r="FS513" s="6">
        <v>0</v>
      </c>
      <c r="FT513" s="7">
        <v>0.83660686552168562</v>
      </c>
      <c r="FU513" s="7">
        <v>9.4243478303646586E-2</v>
      </c>
      <c r="FV513" s="7">
        <v>6.9149656174667756E-2</v>
      </c>
      <c r="FW513" s="6">
        <v>1269.9999999999998</v>
      </c>
      <c r="FX513" s="6">
        <v>2326.3989097370431</v>
      </c>
      <c r="FY513" s="6">
        <v>-6.4499039401316622</v>
      </c>
      <c r="FZ513" s="6">
        <v>1758.1538569113241</v>
      </c>
      <c r="GA513" s="6">
        <v>1281.292635748151</v>
      </c>
      <c r="GB513" s="6">
        <v>18703.707364251848</v>
      </c>
      <c r="GC513" s="7">
        <v>3.064145122680037E-2</v>
      </c>
      <c r="GD513" s="7">
        <v>2.9431913392067251E-2</v>
      </c>
      <c r="GE513" s="7"/>
      <c r="GF513" s="7"/>
      <c r="GG513" s="7">
        <v>-3.9473908261734164E-2</v>
      </c>
      <c r="GH513" s="42">
        <v>1.6543304877810878</v>
      </c>
      <c r="GI513" s="6">
        <v>13361.708337211394</v>
      </c>
      <c r="GJ513" s="14">
        <v>0.50394797582841755</v>
      </c>
      <c r="GK513" s="14">
        <v>0.50887573065309755</v>
      </c>
      <c r="GL513" s="14">
        <v>0.49605202417158295</v>
      </c>
      <c r="GM513" s="14">
        <v>0.49112426934690251</v>
      </c>
      <c r="GO513" s="5">
        <v>343.14810671672558</v>
      </c>
      <c r="GP513" s="5">
        <v>318.91892952659737</v>
      </c>
      <c r="GQ513" s="5">
        <v>535.04305713031317</v>
      </c>
      <c r="GR513" s="5">
        <v>410.15490233172511</v>
      </c>
      <c r="GS513" s="5">
        <v>339.42744393800166</v>
      </c>
      <c r="GT513" s="5">
        <v>293.4407446948278</v>
      </c>
      <c r="GU513" s="5">
        <v>258.04012322764959</v>
      </c>
      <c r="GV513" s="39" t="s">
        <v>392</v>
      </c>
      <c r="GW513" s="5">
        <v>492.125</v>
      </c>
      <c r="GX513" s="5">
        <v>369.09375</v>
      </c>
      <c r="GY513" s="5">
        <v>295.27499999999998</v>
      </c>
      <c r="GZ513" s="5">
        <v>252.85821728143046</v>
      </c>
      <c r="HA513" s="5">
        <v>241.34874471337258</v>
      </c>
      <c r="HB513" s="39">
        <v>266.77710986978991</v>
      </c>
      <c r="HC513" s="5">
        <v>287.56655829738071</v>
      </c>
      <c r="HD513" s="5">
        <v>239.99799238008356</v>
      </c>
      <c r="HE513" s="5">
        <v>241.14168635502031</v>
      </c>
      <c r="HF513" s="5">
        <v>221.05790951107167</v>
      </c>
      <c r="HG513" s="5">
        <v>210.75500473779988</v>
      </c>
      <c r="HH513" s="39">
        <v>239.85381219067065</v>
      </c>
      <c r="HI513" s="16"/>
      <c r="HJ513" s="19" t="str">
        <f t="shared" si="1466"/>
        <v>On</v>
      </c>
      <c r="HK513" s="1" t="str">
        <f t="shared" si="1466"/>
        <v>On</v>
      </c>
      <c r="HL513" s="16"/>
      <c r="HM513" s="639">
        <f t="shared" si="1413"/>
        <v>2.4909940070666322E-2</v>
      </c>
      <c r="HN513" s="639">
        <f t="shared" si="1414"/>
        <v>2.2052381276269151E-3</v>
      </c>
      <c r="HO513" s="639">
        <f t="shared" si="1415"/>
        <v>2.079866082302006E-3</v>
      </c>
      <c r="HP513" s="644">
        <f>(FT513*$GD513-HM513)/$JF513*INDEX(Input!$1:$1048576,$JG$93,$C513*2+6)</f>
        <v>-8.0707667836993693</v>
      </c>
      <c r="HQ513" s="644">
        <f>(FU513*$GD513-HN513)/$JF513*INDEX(Input!$1:$1048576,$JG$93,$C513*2+6)</f>
        <v>15.987689191614555</v>
      </c>
      <c r="HR513" s="644">
        <f>(FV513*$GD513-HO513)/$JF513*INDEX(Input!$1:$1048576,$JG$93,$C513*2+6)</f>
        <v>-1.2558761478218476</v>
      </c>
      <c r="HS513" s="644">
        <f t="shared" si="1416"/>
        <v>-1.57886712799687</v>
      </c>
      <c r="HT513" s="644">
        <f t="shared" si="1417"/>
        <v>19.983349800350659</v>
      </c>
      <c r="HU513" s="644">
        <f t="shared" si="1418"/>
        <v>0.36184926927034633</v>
      </c>
      <c r="HV513" s="648">
        <f t="shared" si="1419"/>
        <v>0</v>
      </c>
      <c r="HW513" s="648">
        <f t="shared" si="1420"/>
        <v>0</v>
      </c>
      <c r="HX513" s="648">
        <f t="shared" si="1421"/>
        <v>0</v>
      </c>
      <c r="HY513" s="644">
        <f>INDEX(Input!$1:$1048576,HY$93,$C513*2+6)*INDEX(Input!$1:$1048576,$JG$93,$C513*2+6)</f>
        <v>333.00000000000006</v>
      </c>
      <c r="HZ513" s="644">
        <f>INDEX(Input!$1:$1048576,HZ$93,$C513*2+6)*INDEX(Input!$1:$1048576,$JG$93,$C513*2+6)</f>
        <v>429</v>
      </c>
      <c r="IA513" s="644">
        <f>INDEX(Input!$1:$1048576,IA$93,$C513*2+6)*INDEX(Input!$1:$1048576,$JG$93,$C513*2+6)</f>
        <v>59</v>
      </c>
      <c r="IB513" s="644">
        <f t="shared" si="1445"/>
        <v>323.35036608830387</v>
      </c>
      <c r="IC513" s="644">
        <f t="shared" si="1446"/>
        <v>464.9710389919652</v>
      </c>
      <c r="ID513" s="644">
        <f>IF(AND(INDEX(Input!$1:$1048576,IA$93,$C513*2+7)="TOS",Y513&lt;=INDEX(Y:Y,MATCH(C513*1000+2,A:A))),0,1)*MAX(IA513+HR513+HU513+HX513,0%)</f>
        <v>58.1059731214485</v>
      </c>
      <c r="IE513" s="128">
        <f t="shared" ref="IE513:IE514" si="1490">IB513/SUM($IB513:$ID513)</f>
        <v>0.38201784868452604</v>
      </c>
      <c r="IF513" s="128">
        <f t="shared" si="1468"/>
        <v>0.5493336474770254</v>
      </c>
      <c r="IG513" s="128">
        <f t="shared" si="1423"/>
        <v>6.8648503838448491E-2</v>
      </c>
      <c r="IH513" s="21"/>
      <c r="II513" s="19">
        <f t="shared" si="1424"/>
        <v>1240</v>
      </c>
      <c r="IJ513" s="19">
        <f t="shared" si="1425"/>
        <v>1985.7442651839444</v>
      </c>
      <c r="IK513" s="19">
        <f t="shared" si="1426"/>
        <v>-21.44990394013189</v>
      </c>
      <c r="IL513" s="19">
        <f t="shared" si="1448"/>
        <v>29.999999999999773</v>
      </c>
      <c r="IM513" s="19">
        <f t="shared" si="1427"/>
        <v>340.65464455309871</v>
      </c>
      <c r="IN513" s="19">
        <f t="shared" si="1428"/>
        <v>15.000000000000227</v>
      </c>
      <c r="IO513" s="39">
        <f t="shared" si="1429"/>
        <v>0</v>
      </c>
      <c r="IP513" s="39">
        <f t="shared" si="1430"/>
        <v>0</v>
      </c>
      <c r="IQ513" s="39">
        <f t="shared" si="1431"/>
        <v>0</v>
      </c>
      <c r="IR513" s="39">
        <v>0</v>
      </c>
      <c r="IS513" s="39">
        <v>0</v>
      </c>
      <c r="IT513" s="39">
        <v>0</v>
      </c>
      <c r="IU513" s="39">
        <v>0</v>
      </c>
      <c r="IV513" s="39">
        <v>0</v>
      </c>
      <c r="IW513" s="39">
        <v>0</v>
      </c>
      <c r="IX513" s="39">
        <f>INDEX(Input!$1:$1048576,IX$93,$C513*2+6)+INDEX(Input!$1:$1048576,IX$94,$C513*2+6)</f>
        <v>1270</v>
      </c>
      <c r="IY513" s="39">
        <f>INDEX(Input!$1:$1048576,IY$93,$C513*2+6)+INDEX(Input!$1:$1048576,IY$94,$C513*2+6)</f>
        <v>2130.0624533823611</v>
      </c>
      <c r="IZ513" s="39">
        <f>INDEX(Input!$1:$1048576,IZ$93,$C513*2+6)+INDEX(Input!$1:$1048576,IZ$94,$C513*2+6)</f>
        <v>3653.7164157747857</v>
      </c>
      <c r="JA513" s="19">
        <f t="shared" si="1449"/>
        <v>1299.9999999999998</v>
      </c>
      <c r="JB513" s="19">
        <f t="shared" si="1450"/>
        <v>2470.7170979354596</v>
      </c>
      <c r="JC513" s="19">
        <f t="shared" si="1451"/>
        <v>3668.7164157747857</v>
      </c>
      <c r="JD513" s="19">
        <f t="shared" si="1452"/>
        <v>2105.7231315331151</v>
      </c>
      <c r="JE513" s="21"/>
      <c r="JF513" s="1">
        <f t="shared" si="1432"/>
        <v>2.9195044280595241E-2</v>
      </c>
      <c r="JG513" s="15">
        <f>INDEX(Input!$1:$1048576,JG$93,$C513*2+6)/(1+VLOOKUP(C513*1000+INDEX(Input!$1:$1048576,JG$93+1,$C513*2+6),$A:$KK,$JK$92,FALSE))</f>
        <v>821</v>
      </c>
      <c r="JH513" s="1">
        <f t="shared" si="1453"/>
        <v>8.1133328381161243E-3</v>
      </c>
      <c r="JI513" s="1">
        <f t="shared" si="1454"/>
        <v>2.285789517859213E-2</v>
      </c>
      <c r="JJ513" s="1">
        <f>SUM(HV513:HX513)/SUM(HY513:IA513)</f>
        <v>0</v>
      </c>
      <c r="JK513" s="1">
        <f t="shared" ref="JK513:JK514" si="1491">SUM(JH513:JJ513)</f>
        <v>3.0971228016708256E-2</v>
      </c>
      <c r="JL513" s="15">
        <f t="shared" si="1457"/>
        <v>25.427378201717477</v>
      </c>
      <c r="JM513" s="15">
        <f t="shared" si="1483"/>
        <v>846.42737820171749</v>
      </c>
      <c r="JN513" s="21"/>
      <c r="JO513" s="19">
        <f>INDEX(Input!$1:$1048576,JO$93,$C513*2+6)</f>
        <v>5995.5</v>
      </c>
      <c r="JP513" s="19">
        <f>INDEX(Input!$1:$1048576,JP$93,$C513*2+6)</f>
        <v>1890.7138380411029</v>
      </c>
      <c r="JQ513" s="39">
        <f t="shared" si="1469"/>
        <v>3889.7768684668849</v>
      </c>
      <c r="JR513" s="39">
        <f t="shared" si="1486"/>
        <v>215.00929349201215</v>
      </c>
      <c r="JS513" s="39">
        <f t="shared" si="1471"/>
        <v>1.7823417094422849</v>
      </c>
      <c r="JT513" s="39">
        <f t="shared" si="1459"/>
        <v>0.23006564841053936</v>
      </c>
      <c r="JU513" s="385">
        <f>(JQ513*JM513-INDEX(Input!$1:$1048576,Input!A$18,$C513*2+6)*JL513*INDEX(Input!$1:$1048576,Input!A$19,$C513*2+6))/1000000</f>
        <v>3.2924136365661121</v>
      </c>
      <c r="JV513" s="39">
        <f>JU513-(JO513-JP513)*JG513/1000000</f>
        <v>-7.7615802402142275E-2</v>
      </c>
      <c r="JW513" s="1">
        <f t="shared" si="1484"/>
        <v>-2.3031194180281288E-2</v>
      </c>
      <c r="JX513" s="19">
        <f t="shared" si="1475"/>
        <v>9047.9500711952951</v>
      </c>
      <c r="JZ513" s="341"/>
      <c r="KA513" s="342"/>
      <c r="KB513" s="469">
        <f t="shared" si="1472"/>
        <v>2.5122967434604799</v>
      </c>
      <c r="KI513" s="473">
        <f t="shared" si="1473"/>
        <v>-9.6496339116962417</v>
      </c>
      <c r="KJ513" s="473">
        <f t="shared" si="1460"/>
        <v>35.971038991965145</v>
      </c>
      <c r="KK513" s="473">
        <f t="shared" si="1461"/>
        <v>-0.89402687855150731</v>
      </c>
      <c r="KN513" s="544">
        <f t="shared" si="1476"/>
        <v>5002</v>
      </c>
      <c r="KO513" s="541">
        <f t="shared" si="1436"/>
        <v>2.6790508196870899E-2</v>
      </c>
      <c r="KP513" s="546">
        <f t="shared" si="1437"/>
        <v>170.65223985416918</v>
      </c>
      <c r="KQ513" s="546">
        <f t="shared" si="1438"/>
        <v>186.8043658098486</v>
      </c>
      <c r="KR513" s="548">
        <f t="shared" si="1439"/>
        <v>2.8361743028150586</v>
      </c>
      <c r="KS513" s="548">
        <f t="shared" si="1440"/>
        <v>2.5909431789452815</v>
      </c>
      <c r="KT513" s="473">
        <f t="shared" si="1474"/>
        <v>595.94378802984284</v>
      </c>
      <c r="KU513" s="663">
        <f t="shared" si="1462"/>
        <v>3.9891308508870069</v>
      </c>
      <c r="KV513" s="117" t="e">
        <f>RANK(KU513,$KU$109:$KU$200)</f>
        <v>#N/A</v>
      </c>
    </row>
    <row r="514" spans="1:308" s="26" customFormat="1" ht="15">
      <c r="A514" s="561">
        <f t="shared" si="1441"/>
        <v>5014</v>
      </c>
      <c r="B514" s="561">
        <f t="shared" si="1463"/>
        <v>14</v>
      </c>
      <c r="C514" s="561">
        <f t="shared" si="1464"/>
        <v>5</v>
      </c>
      <c r="D514" s="561" t="str">
        <f t="shared" si="1485"/>
        <v xml:space="preserve">0/0/0/3.9, </v>
      </c>
      <c r="E514" s="115">
        <f>INDEX(Input!$1:$1048576,E$93,$C514*2+MIN($B514,2)+5)</f>
        <v>1277.4263093788063</v>
      </c>
      <c r="F514" s="115">
        <f>INDEX(Input!$1:$1048576,F$93,$C514*2+MIN($B514,2)+5)</f>
        <v>0</v>
      </c>
      <c r="G514" s="115">
        <f>INDEX(Input!$1:$1048576,G$93,$C514*2+MIN($B514,2)+5)</f>
        <v>0</v>
      </c>
      <c r="H514" s="115">
        <f>INDEX(Input!$1:$1048576,H$93,$C514*2+MIN($B514,2)+5)</f>
        <v>0</v>
      </c>
      <c r="I514" s="118">
        <f>INDEX(Input!$1:$1048576,I$93,$C514*2+MIN($B514,2)+5)</f>
        <v>0.7</v>
      </c>
      <c r="J514" s="476" t="str">
        <f>INDEX(Input!$1:$1048576,J$93,$C514*2+MIN($B514,2)+5)</f>
        <v>Market</v>
      </c>
      <c r="K514" s="476" t="str">
        <f>INDEX(Input!$1:$1048576,K$93,$C514*2+MIN($B514,2)+5)</f>
        <v>Market</v>
      </c>
      <c r="L514" s="476" t="str">
        <f>INDEX(Input!$1:$1048576,L$93,$C514*2+MIN($B514,2)+5)</f>
        <v>Market</v>
      </c>
      <c r="M514" s="476" t="str">
        <f>INDEX(Input!$1:$1048576,M$93,$C514*2+MIN($B514,2)+5)</f>
        <v>Market</v>
      </c>
      <c r="N514" s="476" t="str">
        <f>INDEX(Input!$1:$1048576,N$93,$C514*2+MIN($B514,2)+5)</f>
        <v>Market</v>
      </c>
      <c r="O514" s="476" t="str">
        <f>INDEX(Input!$1:$1048576,O$93,$C514*2+MIN($B514,2)+5)</f>
        <v>Market</v>
      </c>
      <c r="P514" s="476" t="str">
        <f>INDEX(Input!$1:$1048576,P$93,$C514*2+MIN($B514,2)+5)</f>
        <v>N</v>
      </c>
      <c r="Q514" s="477">
        <f>INDEX(Input!$1:$1048576,Q$93,$C514*2+MIN($B514,2)+5)</f>
        <v>0</v>
      </c>
      <c r="R514" s="478">
        <f>IFERROR(MAX(0,INDEX(Input!$1:$1048576,R$93,$C514*2+MIN($B514,2)+5)-2%,),"Market")</f>
        <v>0</v>
      </c>
      <c r="S514" s="478">
        <f>IFERROR(MAX(0,INDEX(Input!$1:$1048576,S$93,$C514*2+MIN($B514,2)+5)-2%,),"Market")</f>
        <v>0</v>
      </c>
      <c r="T514" s="478">
        <f>IFERROR(MAX(0,INDEX(Input!$1:$1048576,T$93,$C514*2+MIN($B514,2)+5)-2%,),"Market")</f>
        <v>0</v>
      </c>
      <c r="U514" s="478">
        <f>IFERROR(MAX(0,INDEX(Input!$1:$1048576,U$93,$C514*2+MIN($B514,2)+5)-2%,),"Market")</f>
        <v>0</v>
      </c>
      <c r="V514" s="478">
        <f>IFERROR(MAX(0,INDEX(Input!$1:$1048576,V$93,$C514*2+MIN($B514,2)+5)-2%,),"Market")</f>
        <v>0</v>
      </c>
      <c r="W514" s="885">
        <f>IFERROR(MAX(0,INDEX(Input!$1:$1048576,W$93,$C514*2+MIN($B514,2)+5)-0%,),"Market")</f>
        <v>3.9E-2</v>
      </c>
      <c r="X514" s="476" t="str">
        <f>INDEX(Input!$1:$1048576,X$93,$C514*2+MIN($B514,2)+5)</f>
        <v>Y</v>
      </c>
      <c r="Y514" s="150">
        <f>INDEX(Input!$1:$1048576,Y$93,$C514*2+MIN($B514,2)+5)</f>
        <v>-717.93641739252325</v>
      </c>
      <c r="Z514" s="30">
        <f>INDEX(Input!$1:$1048576,Z$93,$C514*2+MIN($B514,2)+5)</f>
        <v>0</v>
      </c>
      <c r="AA514" s="475">
        <f>INDEX(Input!$1:$1048576,AA$93,$C514*2+MIN($B514,2)+5)</f>
        <v>0</v>
      </c>
      <c r="AB514" s="118">
        <f>INDEX(Input!$1:$1048576,AB$93,$C514*2+MIN($B514,2)+5)</f>
        <v>0.27</v>
      </c>
      <c r="AC514" s="115">
        <f>INDEX(Input!$1:$1048576,AC$93,$C514*2+MIN($B514,2)+5)</f>
        <v>0</v>
      </c>
      <c r="AD514" s="118">
        <f>INDEX(Input!$1:$1048576,AD$93,$C514*2+MIN($B514,2)+5)</f>
        <v>0.27</v>
      </c>
      <c r="AE514" s="115">
        <f>INDEX(Input!$1:$1048576,AE$93,$C514*2+MIN($B514,2)+5)</f>
        <v>0</v>
      </c>
      <c r="AF514" s="118">
        <f>INDEX(Input!$1:$1048576,AF$93,$C514*2+MIN($B514,2)+5)</f>
        <v>0.2</v>
      </c>
      <c r="AG514" s="115">
        <f>INDEX(Input!$1:$1048576,AG$93,$C514*2+MIN($B514,2)+5)</f>
        <v>500</v>
      </c>
      <c r="AH514" s="118">
        <f>INDEX(Input!$1:$1048576,AH$93,$C514*2+MIN($B514,2)+5)</f>
        <v>1</v>
      </c>
      <c r="AI514" s="115">
        <f>INDEX(Input!$1:$1048576,AI$93,$C514*2+MIN($B514,2)+5)</f>
        <v>0</v>
      </c>
      <c r="AJ514" s="118">
        <f>INDEX(Input!$1:$1048576,AJ$93,$C514*2+MIN($B514,2)+5)</f>
        <v>0.27</v>
      </c>
      <c r="AK514" s="150">
        <f>ROUND(INDEX(Input!$1:$1048576,AK$93,$C513*2+MIN($B514,1)+5)+(Y514-VLOOKUP($C514*1000+1,$A:$HH,Y$92,FALSE)),0)</f>
        <v>2587</v>
      </c>
      <c r="AL514" s="150">
        <f>ROUND(INDEX(Input!$1:$1048576,AL$93,$C513*2+MIN($B514,1)+5)-(Y514-VLOOKUP($C514*1000+1,$A:$HH,Y$92,FALSE))/36,0)</f>
        <v>3406</v>
      </c>
      <c r="AM514" s="32" t="str">
        <f t="shared" si="1442"/>
        <v>std/std/std/std</v>
      </c>
      <c r="AN514" s="32" t="str">
        <f t="shared" si="1443"/>
        <v>$0 + 0/0/0/0/3.9</v>
      </c>
      <c r="AO514" s="32" t="str">
        <f t="shared" si="1444"/>
        <v>0/0/0/0/3.9</v>
      </c>
      <c r="AP514" s="32" t="str">
        <f t="shared" si="1396"/>
        <v>0/0/0/3.9</v>
      </c>
      <c r="AQ514" s="536">
        <f t="shared" si="1394"/>
        <v>0.35481629814717786</v>
      </c>
      <c r="AR514" s="32"/>
      <c r="AS514" s="302"/>
      <c r="AT514" s="3">
        <f t="shared" si="1465"/>
        <v>14</v>
      </c>
      <c r="AU514" s="41" t="s">
        <v>121</v>
      </c>
      <c r="AV514" s="41" t="s">
        <v>116</v>
      </c>
      <c r="AW514" s="41" t="str">
        <f>INDEX(Input!$1:$1048576,AW$93,$C514*2+6)</f>
        <v>Kia</v>
      </c>
      <c r="AX514" s="41" t="str">
        <f>INDEX(Input!$1:$1048576,AX$93,$C514*2+6)</f>
        <v>Kia-LR - R2</v>
      </c>
      <c r="AY514" s="41" t="str">
        <f>IF(LEN(D514)=0,"",INDEX(Input!$1:$1048576,AY$93,$C514*2+6))</f>
        <v>Compact SUV (52)</v>
      </c>
      <c r="AZ514" s="41" t="str">
        <f>INDEX(Input!$1:$1048576,AZ$93,$C514*2+6)</f>
        <v>Kia Soul</v>
      </c>
      <c r="BA514" s="3">
        <f>INDEX(Input!$1:$1048576,BA$93,$C514*2+6)</f>
        <v>2020</v>
      </c>
      <c r="BB514" s="128">
        <f>INDEX(Input!$1:$1048576,BB$93,$C514*2+6)</f>
        <v>1</v>
      </c>
      <c r="BC514" s="128">
        <f>INDEX(Input!$1:$1048576,BC$93,$C514*2+6)</f>
        <v>0.7</v>
      </c>
      <c r="BD514" s="1">
        <f>INDEX(Input!$1:$1048576,BD$93,$C514*2+6)</f>
        <v>4.4999999999999998E-2</v>
      </c>
      <c r="BE514" s="1">
        <f>INDEX(Input!$1:$1048576,BE$93,$C514*2+6)</f>
        <v>4.4999999999999998E-2</v>
      </c>
      <c r="BF514" s="1">
        <f>INDEX(Input!$1:$1048576,BF$93,$C514*2+6)</f>
        <v>0.05</v>
      </c>
      <c r="BG514" s="1">
        <f>INDEX(Input!$1:$1048576,BG$93,$C514*2+6)</f>
        <v>5.45E-2</v>
      </c>
      <c r="BH514" s="1">
        <f>INDEX(Input!$1:$1048576,BH$93,$C514*2+6)</f>
        <v>5.45E-2</v>
      </c>
      <c r="BI514" s="1">
        <f>INDEX(Input!$1:$1048576,BI$93,$C514*2+6)</f>
        <v>0.05</v>
      </c>
      <c r="BJ514" s="1">
        <f>INDEX(Input!$1:$1048576,BJ$93,$C514*2+6)</f>
        <v>0.05</v>
      </c>
      <c r="BK514" s="1">
        <f>INDEX(Input!$1:$1048576,BK$93,$C514*2+6)</f>
        <v>0.05</v>
      </c>
      <c r="BL514" s="1">
        <f>INDEX(Input!$1:$1048576,BL$93,$C514*2+6)</f>
        <v>5.5E-2</v>
      </c>
      <c r="BM514" s="1">
        <f>INDEX(Input!$1:$1048576,BM$93,$C514*2+6)</f>
        <v>0.06</v>
      </c>
      <c r="BN514" s="1">
        <f>INDEX(Input!$1:$1048576,BN$93,$C514*2+6)</f>
        <v>4.4999999999999998E-2</v>
      </c>
      <c r="BO514" s="1">
        <f>INDEX(Input!$1:$1048576,BO$93,$C514*2+6)</f>
        <v>4.4999999999999998E-2</v>
      </c>
      <c r="BP514" s="1">
        <f>INDEX(Input!$1:$1048576,BP$93,$C514*2+6)</f>
        <v>0.05</v>
      </c>
      <c r="BQ514" s="1">
        <f>INDEX(Input!$1:$1048576,BQ$93,$C514*2+6)</f>
        <v>5.45E-2</v>
      </c>
      <c r="BR514" s="1">
        <f>INDEX(Input!$1:$1048576,BR$93,$C514*2+6)</f>
        <v>5.45E-2</v>
      </c>
      <c r="BS514" s="1">
        <f>INDEX(Input!$1:$1048576,BS$93,$C514*2+6)</f>
        <v>0.05</v>
      </c>
      <c r="BT514" s="1">
        <f>INDEX(Input!$1:$1048576,BT$93,$C514*2+6)</f>
        <v>0.05</v>
      </c>
      <c r="BU514" s="1">
        <f>INDEX(Input!$1:$1048576,BU$93,$C514*2+6)</f>
        <v>0.05</v>
      </c>
      <c r="BV514" s="1">
        <f>INDEX(Input!$1:$1048576,BV$93,$C514*2+6)</f>
        <v>5.5E-2</v>
      </c>
      <c r="BW514" s="1">
        <f>INDEX(Input!$1:$1048576,BW$93,$C514*2+6)</f>
        <v>0.06</v>
      </c>
      <c r="BX514" s="127">
        <f>INDEX(Input!$1:$1048576,BX$93,$C514*2+6)</f>
        <v>19985</v>
      </c>
      <c r="BY514" s="20">
        <f>INDEX(Input!$1:$1048576,BY$93,$C514*2+6)</f>
        <v>0.1</v>
      </c>
      <c r="BZ514" s="20">
        <f>INDEX(Input!$1:$1048576,BZ$93,$C514*2+6)</f>
        <v>0.1</v>
      </c>
      <c r="CA514" s="20">
        <f>INDEX(Input!$1:$1048576,CA$93,$C514*2+6)</f>
        <v>0.1</v>
      </c>
      <c r="CB514" s="20">
        <f>INDEX(Input!$1:$1048576,CB$93,$C514*2+6)</f>
        <v>0.1</v>
      </c>
      <c r="CC514" s="20">
        <f>INDEX(Input!$1:$1048576,CC$93,$C514*2+6)</f>
        <v>0.1</v>
      </c>
      <c r="CD514" s="384">
        <f>INDEX(Input!$1:$1048576,CD$93,$C514*2+6)</f>
        <v>0.1</v>
      </c>
      <c r="CE514" s="384">
        <f>INDEX(Input!$1:$1048576,CE$93,$C514*2+6)</f>
        <v>0.1</v>
      </c>
      <c r="CF514" s="384">
        <f>INDEX(Input!$1:$1048576,CF$93,$C514*2+6)</f>
        <v>0.1</v>
      </c>
      <c r="CG514" s="384">
        <f>INDEX(Input!$1:$1048576,CG$93,$C514*2+6)</f>
        <v>0.1</v>
      </c>
      <c r="CH514" s="384">
        <f>INDEX(Input!$1:$1048576,CH$93,$C514*2+6)</f>
        <v>0.1</v>
      </c>
      <c r="CI514" s="304">
        <f t="shared" si="1397"/>
        <v>1277.4263093788063</v>
      </c>
      <c r="CJ514" s="16" t="str">
        <f>INDEX(Input!$1:$1048576,CJ$93,$C514*2+6)</f>
        <v>N</v>
      </c>
      <c r="CK514" s="1" t="str">
        <f t="shared" si="1398"/>
        <v>Market</v>
      </c>
      <c r="CL514" s="1" t="str">
        <f t="shared" si="1399"/>
        <v>Market</v>
      </c>
      <c r="CM514" s="1" t="str">
        <f t="shared" si="1400"/>
        <v>Market</v>
      </c>
      <c r="CN514" s="1" t="str">
        <f t="shared" si="1401"/>
        <v>Market</v>
      </c>
      <c r="CO514" s="1" t="str">
        <f t="shared" si="1402"/>
        <v>Market</v>
      </c>
      <c r="CP514" s="304">
        <f t="shared" si="1403"/>
        <v>500</v>
      </c>
      <c r="CQ514" s="1">
        <f t="shared" si="1404"/>
        <v>0</v>
      </c>
      <c r="CR514" s="1">
        <f t="shared" si="1405"/>
        <v>0</v>
      </c>
      <c r="CS514" s="1">
        <f t="shared" si="1406"/>
        <v>0</v>
      </c>
      <c r="CT514" s="1">
        <f t="shared" si="1407"/>
        <v>0</v>
      </c>
      <c r="CU514" s="1">
        <f t="shared" si="1408"/>
        <v>3.9E-2</v>
      </c>
      <c r="CV514" s="304">
        <f t="shared" si="1409"/>
        <v>-717.93641739252325</v>
      </c>
      <c r="CW514" s="20" t="s">
        <v>122</v>
      </c>
      <c r="CX514" s="20" t="s">
        <v>122</v>
      </c>
      <c r="CY514" s="20" t="s">
        <v>122</v>
      </c>
      <c r="CZ514" s="20" t="s">
        <v>122</v>
      </c>
      <c r="DA514" s="20" t="s">
        <v>122</v>
      </c>
      <c r="DB514" s="503">
        <f t="shared" si="1410"/>
        <v>0</v>
      </c>
      <c r="DC514" s="127">
        <v>0</v>
      </c>
      <c r="DD514" s="127">
        <v>0</v>
      </c>
      <c r="DE514" s="127">
        <v>0</v>
      </c>
      <c r="DF514" s="127">
        <v>0</v>
      </c>
      <c r="DG514" s="127">
        <v>0</v>
      </c>
      <c r="DH514" s="127">
        <v>0</v>
      </c>
      <c r="DI514" s="127">
        <v>0</v>
      </c>
      <c r="DJ514" s="127">
        <v>0</v>
      </c>
      <c r="DK514" s="127">
        <v>0</v>
      </c>
      <c r="DL514" s="127">
        <v>0</v>
      </c>
      <c r="DM514" s="304">
        <f>INDEX(Input!$1:$1048576,DM$93,$C514*2+6)</f>
        <v>21036.84210526316</v>
      </c>
      <c r="DN514" s="20">
        <v>0</v>
      </c>
      <c r="DO514" s="20">
        <v>0</v>
      </c>
      <c r="DP514" s="20">
        <v>0</v>
      </c>
      <c r="DQ514" s="20">
        <v>0</v>
      </c>
      <c r="DR514" s="20">
        <v>0</v>
      </c>
      <c r="DS514" s="20">
        <f>INDEX(Input!$1:$1048576,DS$93,$C514*2+6)</f>
        <v>0.6</v>
      </c>
      <c r="DT514" s="20">
        <f>INDEX(Input!$1:$1048576,DT$93,$C514*2+6)</f>
        <v>0.55000000000000004</v>
      </c>
      <c r="DU514" s="20">
        <f>INDEX(Input!$1:$1048576,DU$93,$C514*2+6)</f>
        <v>0.52</v>
      </c>
      <c r="DV514" s="20">
        <f>INDEX(Input!$1:$1048576,DV$93,$C514*2+6)</f>
        <v>0.5</v>
      </c>
      <c r="DW514" s="20">
        <f>INDEX(Input!$1:$1048576,DW$93,$C514*2+6)</f>
        <v>0.45</v>
      </c>
      <c r="DX514" s="20"/>
      <c r="DY514" s="7">
        <v>0.11364334072907617</v>
      </c>
      <c r="DZ514" s="7">
        <v>0</v>
      </c>
      <c r="EA514" s="7">
        <v>0.70141684897435497</v>
      </c>
      <c r="EB514" s="7">
        <v>0</v>
      </c>
      <c r="EC514" s="7">
        <v>0</v>
      </c>
      <c r="ED514" s="7">
        <v>0</v>
      </c>
      <c r="EE514" s="7">
        <v>0</v>
      </c>
      <c r="EF514" s="7">
        <v>0</v>
      </c>
      <c r="EG514" s="7">
        <v>0</v>
      </c>
      <c r="EH514" s="7">
        <v>7.3990726096207588E-3</v>
      </c>
      <c r="EI514" s="7">
        <v>2.0564452343285109E-2</v>
      </c>
      <c r="EJ514" s="7">
        <v>0.17855905904444935</v>
      </c>
      <c r="EK514" s="7">
        <v>0.71693397213734833</v>
      </c>
      <c r="EL514" s="7">
        <v>7.6543443865296351E-2</v>
      </c>
      <c r="EM514" s="7">
        <v>0.11760676943741587</v>
      </c>
      <c r="EN514" s="7">
        <v>5.8458614950344198E-2</v>
      </c>
      <c r="EO514" s="7">
        <v>0.71697225910723106</v>
      </c>
      <c r="EP514" s="7">
        <v>8.9851370815250853E-2</v>
      </c>
      <c r="EQ514" s="7">
        <v>8.8450830868175817E-2</v>
      </c>
      <c r="ER514" s="7">
        <v>4.6266924258998331E-2</v>
      </c>
      <c r="ES514" s="7">
        <v>6.733304085915312E-2</v>
      </c>
      <c r="ET514" s="7">
        <v>0.18493981029656886</v>
      </c>
      <c r="EU514" s="6">
        <v>1270</v>
      </c>
      <c r="EV514" s="6">
        <v>0</v>
      </c>
      <c r="EW514" s="6">
        <v>1270</v>
      </c>
      <c r="EX514" s="6">
        <v>0</v>
      </c>
      <c r="EY514" s="6">
        <v>2672.4757304767759</v>
      </c>
      <c r="EZ514" s="6">
        <v>-6.4499039401316622</v>
      </c>
      <c r="FA514" s="6">
        <v>0</v>
      </c>
      <c r="FB514" s="6">
        <v>0</v>
      </c>
      <c r="FC514" s="6">
        <v>0</v>
      </c>
      <c r="FD514" s="6">
        <v>0</v>
      </c>
      <c r="FE514" s="6">
        <v>0</v>
      </c>
      <c r="FF514" s="6">
        <v>0</v>
      </c>
      <c r="FG514" s="6">
        <v>0</v>
      </c>
      <c r="FH514" s="6">
        <v>1172.1291691794288</v>
      </c>
      <c r="FI514" s="6">
        <v>1553.9796069512392</v>
      </c>
      <c r="FJ514" s="6">
        <v>2101.2110117447401</v>
      </c>
      <c r="FK514" s="6">
        <v>2674.2006261592273</v>
      </c>
      <c r="FL514" s="6">
        <v>907.07682140966301</v>
      </c>
      <c r="FM514" s="6">
        <v>2402.4757304767759</v>
      </c>
      <c r="FN514" s="6">
        <v>0</v>
      </c>
      <c r="FO514" s="6">
        <v>0</v>
      </c>
      <c r="FP514" s="6">
        <v>0</v>
      </c>
      <c r="FQ514" s="6">
        <v>0</v>
      </c>
      <c r="FR514" s="6">
        <v>0</v>
      </c>
      <c r="FS514" s="6">
        <v>0</v>
      </c>
      <c r="FT514" s="7">
        <v>0.81506018970343108</v>
      </c>
      <c r="FU514" s="7">
        <v>0.11760676943741587</v>
      </c>
      <c r="FV514" s="7">
        <v>6.733304085915312E-2</v>
      </c>
      <c r="FW514" s="6">
        <v>1270.0000000000002</v>
      </c>
      <c r="FX514" s="6">
        <v>2672.4757304767759</v>
      </c>
      <c r="FY514" s="6">
        <v>-6.4499039401316622</v>
      </c>
      <c r="FZ514" s="6">
        <v>1758.1538569113241</v>
      </c>
      <c r="GA514" s="6">
        <v>1348.9933863390909</v>
      </c>
      <c r="GB514" s="6">
        <v>18636.006613660909</v>
      </c>
      <c r="GC514" s="7">
        <v>3.064145122680037E-2</v>
      </c>
      <c r="GD514" s="7">
        <v>2.9601145619385306E-2</v>
      </c>
      <c r="GE514" s="7"/>
      <c r="GF514" s="7"/>
      <c r="GG514" s="7">
        <v>-3.395092483430312E-2</v>
      </c>
      <c r="GH514" s="42">
        <v>1.6582961493435957</v>
      </c>
      <c r="GI514" s="6">
        <v>13400.519893176048</v>
      </c>
      <c r="GJ514" s="14">
        <v>0.50394797582841766</v>
      </c>
      <c r="GK514" s="14">
        <v>0.50887573065309732</v>
      </c>
      <c r="GL514" s="14">
        <v>0.49605202417158262</v>
      </c>
      <c r="GM514" s="14">
        <v>0.49112426934690234</v>
      </c>
      <c r="GO514" s="5">
        <v>343.14810671672558</v>
      </c>
      <c r="GP514" s="5">
        <v>318.91892952659737</v>
      </c>
      <c r="GQ514" s="5">
        <v>535.04305713031317</v>
      </c>
      <c r="GR514" s="5">
        <v>410.15490233172511</v>
      </c>
      <c r="GS514" s="5">
        <v>339.42744393800166</v>
      </c>
      <c r="GT514" s="5">
        <v>293.4407446948278</v>
      </c>
      <c r="GU514" s="5">
        <v>258.04012322764959</v>
      </c>
      <c r="GV514" s="39" t="s">
        <v>392</v>
      </c>
      <c r="GW514" s="5">
        <v>492.125</v>
      </c>
      <c r="GX514" s="5">
        <v>369.09375</v>
      </c>
      <c r="GY514" s="5">
        <v>295.27499999999998</v>
      </c>
      <c r="GZ514" s="5">
        <v>246.0625</v>
      </c>
      <c r="HA514" s="5">
        <v>241.34874471337258</v>
      </c>
      <c r="HB514" s="39">
        <v>258.83973521141286</v>
      </c>
      <c r="HC514" s="5">
        <v>287.56655829738071</v>
      </c>
      <c r="HD514" s="5">
        <v>239.99799238008356</v>
      </c>
      <c r="HE514" s="5">
        <v>241.14168635502031</v>
      </c>
      <c r="HF514" s="5">
        <v>221.05790951107167</v>
      </c>
      <c r="HG514" s="5">
        <v>210.75500473779988</v>
      </c>
      <c r="HH514" s="39">
        <v>239.8532981693956</v>
      </c>
      <c r="HI514" s="16"/>
      <c r="HJ514" s="19" t="str">
        <f t="shared" si="1466"/>
        <v>On</v>
      </c>
      <c r="HK514" s="1" t="str">
        <f t="shared" si="1466"/>
        <v>On</v>
      </c>
      <c r="HL514" s="16"/>
      <c r="HM514" s="639">
        <f t="shared" si="1413"/>
        <v>2.4909940070666322E-2</v>
      </c>
      <c r="HN514" s="639">
        <f t="shared" si="1414"/>
        <v>2.2052381276269151E-3</v>
      </c>
      <c r="HO514" s="639">
        <f t="shared" si="1415"/>
        <v>2.079866082302006E-3</v>
      </c>
      <c r="HP514" s="644">
        <f>(FT514*$GD514-HM514)/$JF514*INDEX(Input!$1:$1048576,$JG$93,$C514*2+6)</f>
        <v>-22.025227227379389</v>
      </c>
      <c r="HQ514" s="644">
        <f>(FU514*$GD514-HN514)/$JF514*INDEX(Input!$1:$1048576,$JG$93,$C514*2+6)</f>
        <v>35.884267575348581</v>
      </c>
      <c r="HR514" s="644">
        <f>(FV514*$GD514-HO514)/$JF514*INDEX(Input!$1:$1048576,$JG$93,$C514*2+6)</f>
        <v>-2.4389789176035204</v>
      </c>
      <c r="HS514" s="644">
        <f t="shared" si="1416"/>
        <v>-1.7126936161526543</v>
      </c>
      <c r="HT514" s="644">
        <f t="shared" si="1417"/>
        <v>40.40877575968711</v>
      </c>
      <c r="HU514" s="644">
        <f t="shared" si="1418"/>
        <v>0.49567575742611036</v>
      </c>
      <c r="HV514" s="648">
        <f t="shared" si="1419"/>
        <v>0</v>
      </c>
      <c r="HW514" s="648">
        <f t="shared" si="1420"/>
        <v>0</v>
      </c>
      <c r="HX514" s="648">
        <f t="shared" si="1421"/>
        <v>0</v>
      </c>
      <c r="HY514" s="644">
        <f>INDEX(Input!$1:$1048576,HY$93,$C514*2+6)*INDEX(Input!$1:$1048576,$JG$93,$C514*2+6)</f>
        <v>333.00000000000006</v>
      </c>
      <c r="HZ514" s="644">
        <f>INDEX(Input!$1:$1048576,HZ$93,$C514*2+6)*INDEX(Input!$1:$1048576,$JG$93,$C514*2+6)</f>
        <v>429</v>
      </c>
      <c r="IA514" s="644">
        <f>INDEX(Input!$1:$1048576,IA$93,$C514*2+6)*INDEX(Input!$1:$1048576,$JG$93,$C514*2+6)</f>
        <v>59</v>
      </c>
      <c r="IB514" s="644">
        <f t="shared" si="1445"/>
        <v>309.26207915646796</v>
      </c>
      <c r="IC514" s="644">
        <f t="shared" si="1446"/>
        <v>505.29304333503569</v>
      </c>
      <c r="ID514" s="644">
        <f>IF(AND(INDEX(Input!$1:$1048576,IA$93,$C514*2+7)="TOS",Y514&lt;=INDEX(Y:Y,MATCH(C514*1000+2,A:A))),0,1)*MAX(IA514+HR514+HU514+HX514,0%)</f>
        <v>57.056696839822592</v>
      </c>
      <c r="IE514" s="128">
        <f t="shared" si="1490"/>
        <v>0.35481629814717786</v>
      </c>
      <c r="IF514" s="128">
        <f t="shared" si="1468"/>
        <v>0.57972256930003652</v>
      </c>
      <c r="IG514" s="128">
        <f t="shared" si="1423"/>
        <v>6.5461132552785628E-2</v>
      </c>
      <c r="IH514" s="21"/>
      <c r="II514" s="19">
        <f t="shared" si="1424"/>
        <v>1240</v>
      </c>
      <c r="IJ514" s="19">
        <f t="shared" si="1425"/>
        <v>1985.7442651839444</v>
      </c>
      <c r="IK514" s="19">
        <f t="shared" si="1426"/>
        <v>-21.44990394013189</v>
      </c>
      <c r="IL514" s="19">
        <f t="shared" si="1448"/>
        <v>30.000000000000227</v>
      </c>
      <c r="IM514" s="19">
        <f t="shared" si="1427"/>
        <v>686.73146529283144</v>
      </c>
      <c r="IN514" s="19">
        <f t="shared" si="1428"/>
        <v>15.000000000000227</v>
      </c>
      <c r="IO514" s="39">
        <f t="shared" si="1429"/>
        <v>0</v>
      </c>
      <c r="IP514" s="39">
        <f t="shared" si="1430"/>
        <v>0</v>
      </c>
      <c r="IQ514" s="39">
        <f t="shared" si="1431"/>
        <v>0</v>
      </c>
      <c r="IR514" s="39">
        <v>0</v>
      </c>
      <c r="IS514" s="39">
        <v>0</v>
      </c>
      <c r="IT514" s="39">
        <v>0</v>
      </c>
      <c r="IU514" s="39">
        <v>0</v>
      </c>
      <c r="IV514" s="39">
        <v>0</v>
      </c>
      <c r="IW514" s="39">
        <v>0</v>
      </c>
      <c r="IX514" s="39">
        <f>INDEX(Input!$1:$1048576,IX$93,$C514*2+6)+INDEX(Input!$1:$1048576,IX$94,$C514*2+6)</f>
        <v>1270</v>
      </c>
      <c r="IY514" s="39">
        <f>INDEX(Input!$1:$1048576,IY$93,$C514*2+6)+INDEX(Input!$1:$1048576,IY$94,$C514*2+6)</f>
        <v>2130.0624533823611</v>
      </c>
      <c r="IZ514" s="39">
        <f>INDEX(Input!$1:$1048576,IZ$93,$C514*2+6)+INDEX(Input!$1:$1048576,IZ$94,$C514*2+6)</f>
        <v>3653.7164157747857</v>
      </c>
      <c r="JA514" s="19">
        <f t="shared" si="1449"/>
        <v>1300.0000000000002</v>
      </c>
      <c r="JB514" s="19">
        <f t="shared" si="1450"/>
        <v>2816.7939186751928</v>
      </c>
      <c r="JC514" s="19">
        <f t="shared" si="1451"/>
        <v>3668.7164157747857</v>
      </c>
      <c r="JD514" s="19">
        <f t="shared" si="1452"/>
        <v>2334.3785269060459</v>
      </c>
      <c r="JE514" s="21"/>
      <c r="JF514" s="1">
        <f t="shared" si="1432"/>
        <v>2.9195044280595241E-2</v>
      </c>
      <c r="JG514" s="15">
        <f>INDEX(Input!$1:$1048576,JG$93,$C514*2+6)/(1+VLOOKUP(C514*1000+INDEX(Input!$1:$1048576,JG$93+1,$C514*2+6),$A:$KK,$JK$92,FALSE))</f>
        <v>821</v>
      </c>
      <c r="JH514" s="1">
        <f t="shared" si="1453"/>
        <v>1.3909940840883886E-2</v>
      </c>
      <c r="JI514" s="1">
        <f t="shared" si="1454"/>
        <v>4.7736611328819206E-2</v>
      </c>
      <c r="JJ514" s="1">
        <f t="shared" ref="JJ514:JJ550" si="1492">SUM(HV514:HX514)/SUM(HY514:IA514)</f>
        <v>0</v>
      </c>
      <c r="JK514" s="1">
        <f t="shared" si="1491"/>
        <v>6.1646552169703092E-2</v>
      </c>
      <c r="JL514" s="15">
        <f t="shared" si="1457"/>
        <v>50.611819331326238</v>
      </c>
      <c r="JM514" s="15">
        <f t="shared" si="1483"/>
        <v>871.61181933132627</v>
      </c>
      <c r="JN514" s="21"/>
      <c r="JO514" s="19">
        <f>INDEX(Input!$1:$1048576,JO$93,$C514*2+6)</f>
        <v>5995.5</v>
      </c>
      <c r="JP514" s="19">
        <f>INDEX(Input!$1:$1048576,JP$93,$C514*2+6)</f>
        <v>1890.7138380411029</v>
      </c>
      <c r="JQ514" s="39">
        <f t="shared" si="1469"/>
        <v>3661.1214730939541</v>
      </c>
      <c r="JR514" s="39">
        <f t="shared" si="1486"/>
        <v>443.66468886494295</v>
      </c>
      <c r="JS514" s="39">
        <f t="shared" si="1471"/>
        <v>2.03467191484456</v>
      </c>
      <c r="JT514" s="39">
        <f t="shared" si="1459"/>
        <v>0.48239585381281447</v>
      </c>
      <c r="JU514" s="385">
        <f>(JQ514*JM514-INDEX(Input!$1:$1048576,Input!A$18,$C514*2+6)*JL514*INDEX(Input!$1:$1048576,Input!A$19,$C514*2+6))/1000000</f>
        <v>3.1910767479564068</v>
      </c>
      <c r="JV514" s="39">
        <f t="shared" ref="JV514:JV550" si="1493">JU514-(JO514-JP514)*JG514/1000000</f>
        <v>-0.17895269101184752</v>
      </c>
      <c r="JW514" s="1">
        <f t="shared" si="1484"/>
        <v>-5.3101224856550354E-2</v>
      </c>
      <c r="JX514" s="19">
        <f t="shared" si="1475"/>
        <v>9531.2885445758911</v>
      </c>
      <c r="JZ514" s="341"/>
      <c r="KA514" s="342"/>
      <c r="KB514" s="469">
        <f t="shared" si="1472"/>
        <v>2.5122967434604799</v>
      </c>
      <c r="KI514" s="473">
        <f t="shared" si="1473"/>
        <v>-23.737920843532095</v>
      </c>
      <c r="KJ514" s="473">
        <f t="shared" si="1460"/>
        <v>76.293043335035691</v>
      </c>
      <c r="KK514" s="473">
        <f t="shared" si="1461"/>
        <v>-1.9433031601774147</v>
      </c>
      <c r="KN514" s="544">
        <f t="shared" si="1476"/>
        <v>5002</v>
      </c>
      <c r="KO514" s="541">
        <f t="shared" si="1436"/>
        <v>5.7341439998089827E-2</v>
      </c>
      <c r="KP514" s="546">
        <f t="shared" si="1437"/>
        <v>380.72119849435376</v>
      </c>
      <c r="KQ514" s="546">
        <f t="shared" si="1438"/>
        <v>415.4597611827794</v>
      </c>
      <c r="KR514" s="548">
        <f t="shared" si="1439"/>
        <v>2.7209809098960887</v>
      </c>
      <c r="KS514" s="548">
        <f t="shared" si="1440"/>
        <v>2.4934667803848796</v>
      </c>
      <c r="KT514" s="473">
        <f t="shared" si="1474"/>
        <v>595.94378802984284</v>
      </c>
      <c r="KU514" s="663">
        <f t="shared" si="1462"/>
        <v>3.9601853771518551</v>
      </c>
      <c r="KV514" s="117" t="e">
        <f t="shared" ref="KV514:KV518" si="1494">RANK(KU514,$KU$109:$KU$200)</f>
        <v>#N/A</v>
      </c>
    </row>
    <row r="515" spans="1:308" s="26" customFormat="1" ht="15">
      <c r="A515" s="561">
        <f t="shared" si="1441"/>
        <v>5015</v>
      </c>
      <c r="B515" s="561">
        <f t="shared" si="1463"/>
        <v>15</v>
      </c>
      <c r="C515" s="561">
        <f t="shared" si="1464"/>
        <v>5</v>
      </c>
      <c r="D515" s="561" t="str">
        <f t="shared" si="1485"/>
        <v xml:space="preserve">500 Combo, </v>
      </c>
      <c r="E515" s="115">
        <f>INDEX(Input!$1:$1048576,E$93,$C515*2+MIN($B515,2)+5)</f>
        <v>1277.4263093788063</v>
      </c>
      <c r="F515" s="115">
        <f>INDEX(Input!$1:$1048576,F$93,$C515*2+MIN($B515,2)+5)</f>
        <v>0</v>
      </c>
      <c r="G515" s="115">
        <f>INDEX(Input!$1:$1048576,G$93,$C515*2+MIN($B515,2)+5)</f>
        <v>0</v>
      </c>
      <c r="H515" s="115">
        <f>INDEX(Input!$1:$1048576,H$93,$C515*2+MIN($B515,2)+5)</f>
        <v>0</v>
      </c>
      <c r="I515" s="118">
        <f>INDEX(Input!$1:$1048576,I$93,$C515*2+MIN($B515,2)+5)</f>
        <v>0.7</v>
      </c>
      <c r="J515" s="476" t="str">
        <f>INDEX(Input!$1:$1048576,J$93,$C515*2+MIN($B515,2)+5)</f>
        <v>Market</v>
      </c>
      <c r="K515" s="476" t="str">
        <f>INDEX(Input!$1:$1048576,K$93,$C515*2+MIN($B515,2)+5)</f>
        <v>Market</v>
      </c>
      <c r="L515" s="476" t="str">
        <f>INDEX(Input!$1:$1048576,L$93,$C515*2+MIN($B515,2)+5)</f>
        <v>Market</v>
      </c>
      <c r="M515" s="476" t="str">
        <f>INDEX(Input!$1:$1048576,M$93,$C515*2+MIN($B515,2)+5)</f>
        <v>Market</v>
      </c>
      <c r="N515" s="476" t="str">
        <f>INDEX(Input!$1:$1048576,N$93,$C515*2+MIN($B515,2)+5)</f>
        <v>Market</v>
      </c>
      <c r="O515" s="476" t="str">
        <f>INDEX(Input!$1:$1048576,O$93,$C515*2+MIN($B515,2)+5)</f>
        <v>Market</v>
      </c>
      <c r="P515" s="476" t="str">
        <f>INDEX(Input!$1:$1048576,P$93,$C515*2+MIN($B515,2)+5)</f>
        <v>N</v>
      </c>
      <c r="Q515" s="477">
        <f>INDEX(Input!$1:$1048576,Q$93,$C515*2+MIN($B515,2)+5)+500</f>
        <v>500</v>
      </c>
      <c r="R515" s="478">
        <f>IFERROR(MAX(0,INDEX(Input!$1:$1048576,R$93,$C515*2+MIN($B515,2)+5)-0%,),"Market")</f>
        <v>0</v>
      </c>
      <c r="S515" s="478">
        <f>IFERROR(MAX(0,INDEX(Input!$1:$1048576,S$93,$C515*2+MIN($B515,2)+5)-0%,),"Market")</f>
        <v>0</v>
      </c>
      <c r="T515" s="478">
        <f>IFERROR(MAX(0,INDEX(Input!$1:$1048576,T$93,$C515*2+MIN($B515,2)+5)-0%,),"Market")</f>
        <v>0</v>
      </c>
      <c r="U515" s="478">
        <f>IFERROR(MAX(0,INDEX(Input!$1:$1048576,U$93,$C515*2+MIN($B515,2)+5)-0%,),"Market")</f>
        <v>0</v>
      </c>
      <c r="V515" s="478">
        <f>IFERROR(MAX(0,INDEX(Input!$1:$1048576,V$93,$C515*2+MIN($B515,2)+5)-0%,),"Market")</f>
        <v>1.9E-2</v>
      </c>
      <c r="W515" s="885">
        <f>IFERROR(MAX(0,INDEX(Input!$1:$1048576,W$93,$C515*2+MIN($B515,2)+5)-0%,),"Market")</f>
        <v>3.9E-2</v>
      </c>
      <c r="X515" s="476" t="str">
        <f>INDEX(Input!$1:$1048576,X$93,$C515*2+MIN($B515,2)+5)</f>
        <v>Y</v>
      </c>
      <c r="Y515" s="150">
        <f>INDEX(Input!$1:$1048576,Y$93,$C515*2+MIN($B515,2)+5)</f>
        <v>-717.93641739252325</v>
      </c>
      <c r="Z515" s="30">
        <f>INDEX(Input!$1:$1048576,Z$93,$C515*2+MIN($B515,2)+5)</f>
        <v>0</v>
      </c>
      <c r="AA515" s="475">
        <f>INDEX(Input!$1:$1048576,AA$93,$C515*2+MIN($B515,2)+5)</f>
        <v>0</v>
      </c>
      <c r="AB515" s="118">
        <f>INDEX(Input!$1:$1048576,AB$93,$C515*2+MIN($B515,2)+5)</f>
        <v>0.27</v>
      </c>
      <c r="AC515" s="115">
        <f>INDEX(Input!$1:$1048576,AC$93,$C515*2+MIN($B515,2)+5)</f>
        <v>0</v>
      </c>
      <c r="AD515" s="118">
        <f>INDEX(Input!$1:$1048576,AD$93,$C515*2+MIN($B515,2)+5)</f>
        <v>0.27</v>
      </c>
      <c r="AE515" s="115">
        <f>INDEX(Input!$1:$1048576,AE$93,$C515*2+MIN($B515,2)+5)</f>
        <v>0</v>
      </c>
      <c r="AF515" s="118">
        <f>INDEX(Input!$1:$1048576,AF$93,$C515*2+MIN($B515,2)+5)</f>
        <v>0.2</v>
      </c>
      <c r="AG515" s="115">
        <f>INDEX(Input!$1:$1048576,AG$93,$C515*2+MIN($B515,2)+5)</f>
        <v>500</v>
      </c>
      <c r="AH515" s="118">
        <f>INDEX(Input!$1:$1048576,AH$93,$C515*2+MIN($B515,2)+5)</f>
        <v>1</v>
      </c>
      <c r="AI515" s="115">
        <f>INDEX(Input!$1:$1048576,AI$93,$C515*2+MIN($B515,2)+5)</f>
        <v>0</v>
      </c>
      <c r="AJ515" s="118">
        <f>INDEX(Input!$1:$1048576,AJ$93,$C515*2+MIN($B515,2)+5)</f>
        <v>0.27</v>
      </c>
      <c r="AK515" s="150">
        <f>ROUND(INDEX(Input!$1:$1048576,AK$93,$C514*2+MIN($B515,1)+5)+(Y515-VLOOKUP($C515*1000+1,$A:$HH,Y$92,FALSE)),0)</f>
        <v>2587</v>
      </c>
      <c r="AL515" s="150">
        <f>ROUND(INDEX(Input!$1:$1048576,AL$93,$C514*2+MIN($B515,1)+5)-(Y515-VLOOKUP($C515*1000+1,$A:$HH,Y$92,FALSE))/36,0)</f>
        <v>3406</v>
      </c>
      <c r="AM515" s="32" t="str">
        <f t="shared" si="1442"/>
        <v>std/std/std/std</v>
      </c>
      <c r="AN515" s="32" t="str">
        <f t="shared" si="1443"/>
        <v>$500 + 0/0/0/1.9/3.9</v>
      </c>
      <c r="AO515" s="32" t="str">
        <f t="shared" si="1444"/>
        <v>0/0/0/1.9/3.9</v>
      </c>
      <c r="AP515" s="32" t="str">
        <f t="shared" si="1396"/>
        <v>0/0.9/1.9/3.9</v>
      </c>
      <c r="AQ515" s="536">
        <f t="shared" si="1394"/>
        <v>0.37402378102103045</v>
      </c>
      <c r="AR515" s="32"/>
      <c r="AS515" s="302"/>
      <c r="AT515" s="3">
        <f t="shared" si="1465"/>
        <v>15</v>
      </c>
      <c r="AU515" s="41" t="s">
        <v>121</v>
      </c>
      <c r="AV515" s="41" t="s">
        <v>116</v>
      </c>
      <c r="AW515" s="41" t="str">
        <f>INDEX(Input!$1:$1048576,AW$93,$C515*2+6)</f>
        <v>Kia</v>
      </c>
      <c r="AX515" s="41" t="str">
        <f>INDEX(Input!$1:$1048576,AX$93,$C515*2+6)</f>
        <v>Kia-LR - R2</v>
      </c>
      <c r="AY515" s="41" t="str">
        <f>IF(LEN(D515)=0,"",INDEX(Input!$1:$1048576,AY$93,$C515*2+6))</f>
        <v>Compact SUV (52)</v>
      </c>
      <c r="AZ515" s="41" t="str">
        <f>INDEX(Input!$1:$1048576,AZ$93,$C515*2+6)</f>
        <v>Kia Soul</v>
      </c>
      <c r="BA515" s="3">
        <f>INDEX(Input!$1:$1048576,BA$93,$C515*2+6)</f>
        <v>2020</v>
      </c>
      <c r="BB515" s="128">
        <f>INDEX(Input!$1:$1048576,BB$93,$C515*2+6)</f>
        <v>1</v>
      </c>
      <c r="BC515" s="128">
        <f>INDEX(Input!$1:$1048576,BC$93,$C515*2+6)</f>
        <v>0.7</v>
      </c>
      <c r="BD515" s="1">
        <f>INDEX(Input!$1:$1048576,BD$93,$C515*2+6)</f>
        <v>4.4999999999999998E-2</v>
      </c>
      <c r="BE515" s="1">
        <f>INDEX(Input!$1:$1048576,BE$93,$C515*2+6)</f>
        <v>4.4999999999999998E-2</v>
      </c>
      <c r="BF515" s="1">
        <f>INDEX(Input!$1:$1048576,BF$93,$C515*2+6)</f>
        <v>0.05</v>
      </c>
      <c r="BG515" s="1">
        <f>INDEX(Input!$1:$1048576,BG$93,$C515*2+6)</f>
        <v>5.45E-2</v>
      </c>
      <c r="BH515" s="1">
        <f>INDEX(Input!$1:$1048576,BH$93,$C515*2+6)</f>
        <v>5.45E-2</v>
      </c>
      <c r="BI515" s="1">
        <f>INDEX(Input!$1:$1048576,BI$93,$C515*2+6)</f>
        <v>0.05</v>
      </c>
      <c r="BJ515" s="1">
        <f>INDEX(Input!$1:$1048576,BJ$93,$C515*2+6)</f>
        <v>0.05</v>
      </c>
      <c r="BK515" s="1">
        <f>INDEX(Input!$1:$1048576,BK$93,$C515*2+6)</f>
        <v>0.05</v>
      </c>
      <c r="BL515" s="1">
        <f>INDEX(Input!$1:$1048576,BL$93,$C515*2+6)</f>
        <v>5.5E-2</v>
      </c>
      <c r="BM515" s="1">
        <f>INDEX(Input!$1:$1048576,BM$93,$C515*2+6)</f>
        <v>0.06</v>
      </c>
      <c r="BN515" s="1">
        <f>INDEX(Input!$1:$1048576,BN$93,$C515*2+6)</f>
        <v>4.4999999999999998E-2</v>
      </c>
      <c r="BO515" s="1">
        <f>INDEX(Input!$1:$1048576,BO$93,$C515*2+6)</f>
        <v>4.4999999999999998E-2</v>
      </c>
      <c r="BP515" s="1">
        <f>INDEX(Input!$1:$1048576,BP$93,$C515*2+6)</f>
        <v>0.05</v>
      </c>
      <c r="BQ515" s="1">
        <f>INDEX(Input!$1:$1048576,BQ$93,$C515*2+6)</f>
        <v>5.45E-2</v>
      </c>
      <c r="BR515" s="1">
        <f>INDEX(Input!$1:$1048576,BR$93,$C515*2+6)</f>
        <v>5.45E-2</v>
      </c>
      <c r="BS515" s="1">
        <f>INDEX(Input!$1:$1048576,BS$93,$C515*2+6)</f>
        <v>0.05</v>
      </c>
      <c r="BT515" s="1">
        <f>INDEX(Input!$1:$1048576,BT$93,$C515*2+6)</f>
        <v>0.05</v>
      </c>
      <c r="BU515" s="1">
        <f>INDEX(Input!$1:$1048576,BU$93,$C515*2+6)</f>
        <v>0.05</v>
      </c>
      <c r="BV515" s="1">
        <f>INDEX(Input!$1:$1048576,BV$93,$C515*2+6)</f>
        <v>5.5E-2</v>
      </c>
      <c r="BW515" s="1">
        <f>INDEX(Input!$1:$1048576,BW$93,$C515*2+6)</f>
        <v>0.06</v>
      </c>
      <c r="BX515" s="127">
        <f>INDEX(Input!$1:$1048576,BX$93,$C515*2+6)</f>
        <v>19985</v>
      </c>
      <c r="BY515" s="20">
        <f>INDEX(Input!$1:$1048576,BY$93,$C515*2+6)</f>
        <v>0.1</v>
      </c>
      <c r="BZ515" s="20">
        <f>INDEX(Input!$1:$1048576,BZ$93,$C515*2+6)</f>
        <v>0.1</v>
      </c>
      <c r="CA515" s="20">
        <f>INDEX(Input!$1:$1048576,CA$93,$C515*2+6)</f>
        <v>0.1</v>
      </c>
      <c r="CB515" s="20">
        <f>INDEX(Input!$1:$1048576,CB$93,$C515*2+6)</f>
        <v>0.1</v>
      </c>
      <c r="CC515" s="20">
        <f>INDEX(Input!$1:$1048576,CC$93,$C515*2+6)</f>
        <v>0.1</v>
      </c>
      <c r="CD515" s="384">
        <f>INDEX(Input!$1:$1048576,CD$93,$C515*2+6)</f>
        <v>0.1</v>
      </c>
      <c r="CE515" s="384">
        <f>INDEX(Input!$1:$1048576,CE$93,$C515*2+6)</f>
        <v>0.1</v>
      </c>
      <c r="CF515" s="384">
        <f>INDEX(Input!$1:$1048576,CF$93,$C515*2+6)</f>
        <v>0.1</v>
      </c>
      <c r="CG515" s="384">
        <f>INDEX(Input!$1:$1048576,CG$93,$C515*2+6)</f>
        <v>0.1</v>
      </c>
      <c r="CH515" s="384">
        <f>INDEX(Input!$1:$1048576,CH$93,$C515*2+6)</f>
        <v>0.1</v>
      </c>
      <c r="CI515" s="304">
        <f t="shared" si="1397"/>
        <v>1277.4263093788063</v>
      </c>
      <c r="CJ515" s="16" t="str">
        <f>INDEX(Input!$1:$1048576,CJ$93,$C515*2+6)</f>
        <v>N</v>
      </c>
      <c r="CK515" s="1" t="str">
        <f t="shared" si="1398"/>
        <v>Market</v>
      </c>
      <c r="CL515" s="1" t="str">
        <f t="shared" si="1399"/>
        <v>Market</v>
      </c>
      <c r="CM515" s="1" t="str">
        <f t="shared" si="1400"/>
        <v>Market</v>
      </c>
      <c r="CN515" s="1" t="str">
        <f t="shared" si="1401"/>
        <v>Market</v>
      </c>
      <c r="CO515" s="1" t="str">
        <f t="shared" si="1402"/>
        <v>Market</v>
      </c>
      <c r="CP515" s="304">
        <f t="shared" si="1403"/>
        <v>1000</v>
      </c>
      <c r="CQ515" s="1">
        <f t="shared" si="1404"/>
        <v>0</v>
      </c>
      <c r="CR515" s="1">
        <f t="shared" si="1405"/>
        <v>0</v>
      </c>
      <c r="CS515" s="1">
        <f t="shared" si="1406"/>
        <v>0</v>
      </c>
      <c r="CT515" s="1">
        <f t="shared" si="1407"/>
        <v>1.9E-2</v>
      </c>
      <c r="CU515" s="1">
        <f t="shared" si="1408"/>
        <v>3.9E-2</v>
      </c>
      <c r="CV515" s="304">
        <f t="shared" si="1409"/>
        <v>-717.93641739252325</v>
      </c>
      <c r="CW515" s="20" t="s">
        <v>122</v>
      </c>
      <c r="CX515" s="20" t="s">
        <v>122</v>
      </c>
      <c r="CY515" s="20" t="s">
        <v>122</v>
      </c>
      <c r="CZ515" s="20" t="s">
        <v>122</v>
      </c>
      <c r="DA515" s="20" t="s">
        <v>122</v>
      </c>
      <c r="DB515" s="503">
        <f t="shared" si="1410"/>
        <v>0</v>
      </c>
      <c r="DC515" s="127">
        <v>0</v>
      </c>
      <c r="DD515" s="127">
        <v>0</v>
      </c>
      <c r="DE515" s="127">
        <v>0</v>
      </c>
      <c r="DF515" s="127">
        <v>0</v>
      </c>
      <c r="DG515" s="127">
        <v>0</v>
      </c>
      <c r="DH515" s="127">
        <v>0</v>
      </c>
      <c r="DI515" s="127">
        <v>0</v>
      </c>
      <c r="DJ515" s="127">
        <v>0</v>
      </c>
      <c r="DK515" s="127">
        <v>0</v>
      </c>
      <c r="DL515" s="127">
        <v>0</v>
      </c>
      <c r="DM515" s="304">
        <f>INDEX(Input!$1:$1048576,DM$93,$C515*2+6)</f>
        <v>21036.84210526316</v>
      </c>
      <c r="DN515" s="20">
        <v>0</v>
      </c>
      <c r="DO515" s="20">
        <v>0</v>
      </c>
      <c r="DP515" s="20">
        <v>0</v>
      </c>
      <c r="DQ515" s="20">
        <v>0</v>
      </c>
      <c r="DR515" s="20">
        <v>0</v>
      </c>
      <c r="DS515" s="20">
        <f>INDEX(Input!$1:$1048576,DS$93,$C515*2+6)</f>
        <v>0.6</v>
      </c>
      <c r="DT515" s="20">
        <f>INDEX(Input!$1:$1048576,DT$93,$C515*2+6)</f>
        <v>0.55000000000000004</v>
      </c>
      <c r="DU515" s="20">
        <f>INDEX(Input!$1:$1048576,DU$93,$C515*2+6)</f>
        <v>0.52</v>
      </c>
      <c r="DV515" s="20">
        <f>INDEX(Input!$1:$1048576,DV$93,$C515*2+6)</f>
        <v>0.5</v>
      </c>
      <c r="DW515" s="20">
        <f>INDEX(Input!$1:$1048576,DW$93,$C515*2+6)</f>
        <v>0.45</v>
      </c>
      <c r="DX515" s="20"/>
      <c r="DY515" s="7">
        <v>0.11669712077939809</v>
      </c>
      <c r="DZ515" s="7">
        <v>0</v>
      </c>
      <c r="EA515" s="7">
        <v>0.71688020084032456</v>
      </c>
      <c r="EB515" s="7">
        <v>0</v>
      </c>
      <c r="EC515" s="7">
        <v>0</v>
      </c>
      <c r="ED515" s="7">
        <v>0</v>
      </c>
      <c r="EE515" s="7">
        <v>0</v>
      </c>
      <c r="EF515" s="7">
        <v>0</v>
      </c>
      <c r="EG515" s="7">
        <v>0</v>
      </c>
      <c r="EH515" s="7">
        <v>1.2088136930005822E-2</v>
      </c>
      <c r="EI515" s="7">
        <v>3.3605011090153861E-2</v>
      </c>
      <c r="EJ515" s="7">
        <v>0.29192228818725585</v>
      </c>
      <c r="EK515" s="7">
        <v>0.53733714293121437</v>
      </c>
      <c r="EL515" s="7">
        <v>0.12504742086137013</v>
      </c>
      <c r="EM515" s="7">
        <v>9.7281757692872076E-2</v>
      </c>
      <c r="EN515" s="7">
        <v>5.8463619822534459E-2</v>
      </c>
      <c r="EO515" s="7">
        <v>0.71699981000704505</v>
      </c>
      <c r="EP515" s="7">
        <v>8.9826232692421959E-2</v>
      </c>
      <c r="EQ515" s="7">
        <v>8.844060260571196E-2</v>
      </c>
      <c r="ER515" s="7">
        <v>4.6269734872286555E-2</v>
      </c>
      <c r="ES515" s="7">
        <v>6.9140920687405363E-2</v>
      </c>
      <c r="ET515" s="7">
        <v>0.16642267838027741</v>
      </c>
      <c r="EU515" s="6">
        <v>1270</v>
      </c>
      <c r="EV515" s="6">
        <v>0</v>
      </c>
      <c r="EW515" s="6">
        <v>1270</v>
      </c>
      <c r="EX515" s="6">
        <v>0</v>
      </c>
      <c r="EY515" s="6">
        <v>2515.7534509200641</v>
      </c>
      <c r="EZ515" s="6">
        <v>-6.4499039401316622</v>
      </c>
      <c r="FA515" s="6">
        <v>0</v>
      </c>
      <c r="FB515" s="6">
        <v>0</v>
      </c>
      <c r="FC515" s="6">
        <v>0</v>
      </c>
      <c r="FD515" s="6">
        <v>0</v>
      </c>
      <c r="FE515" s="6">
        <v>0</v>
      </c>
      <c r="FF515" s="6">
        <v>0</v>
      </c>
      <c r="FG515" s="6">
        <v>0</v>
      </c>
      <c r="FH515" s="6">
        <v>1172.1351832738694</v>
      </c>
      <c r="FI515" s="6">
        <v>1553.9796069512392</v>
      </c>
      <c r="FJ515" s="6">
        <v>2101.2110117447405</v>
      </c>
      <c r="FK515" s="6">
        <v>1772.7139978623225</v>
      </c>
      <c r="FL515" s="6">
        <v>907.07682140966313</v>
      </c>
      <c r="FM515" s="6">
        <v>1745.7534509200641</v>
      </c>
      <c r="FN515" s="6">
        <v>0</v>
      </c>
      <c r="FO515" s="6">
        <v>0</v>
      </c>
      <c r="FP515" s="6">
        <v>0</v>
      </c>
      <c r="FQ515" s="6">
        <v>0</v>
      </c>
      <c r="FR515" s="6">
        <v>0</v>
      </c>
      <c r="FS515" s="6">
        <v>0</v>
      </c>
      <c r="FT515" s="7">
        <v>0.83357732161972264</v>
      </c>
      <c r="FU515" s="7">
        <v>9.7281757692872076E-2</v>
      </c>
      <c r="FV515" s="7">
        <v>6.9140920687405363E-2</v>
      </c>
      <c r="FW515" s="6">
        <v>1270.0000000000002</v>
      </c>
      <c r="FX515" s="6">
        <v>2515.7534509200641</v>
      </c>
      <c r="FY515" s="6">
        <v>-6.4499039401316622</v>
      </c>
      <c r="FZ515" s="6">
        <v>1758.1538569113241</v>
      </c>
      <c r="GA515" s="6">
        <v>1302.9341637876942</v>
      </c>
      <c r="GB515" s="6">
        <v>18682.065836212307</v>
      </c>
      <c r="GC515" s="7">
        <v>3.064145122680037E-2</v>
      </c>
      <c r="GD515" s="7">
        <v>2.9431467224329384E-2</v>
      </c>
      <c r="GE515" s="7"/>
      <c r="GF515" s="7"/>
      <c r="GG515" s="7">
        <v>-3.9488469182317333E-2</v>
      </c>
      <c r="GH515" s="42">
        <v>1.7336180058323727</v>
      </c>
      <c r="GI515" s="6">
        <v>12830.848579053867</v>
      </c>
      <c r="GJ515" s="14">
        <v>0.50394797582841733</v>
      </c>
      <c r="GK515" s="14">
        <v>0.50887573065309721</v>
      </c>
      <c r="GL515" s="14">
        <v>0.49605202417158278</v>
      </c>
      <c r="GM515" s="14">
        <v>0.4911242693469024</v>
      </c>
      <c r="GO515" s="5">
        <v>343.14810671672558</v>
      </c>
      <c r="GP515" s="5">
        <v>318.91892952659737</v>
      </c>
      <c r="GQ515" s="5">
        <v>535.04305713031317</v>
      </c>
      <c r="GR515" s="5">
        <v>410.15490233172511</v>
      </c>
      <c r="GS515" s="5">
        <v>339.42744393800166</v>
      </c>
      <c r="GT515" s="5">
        <v>293.4407446948278</v>
      </c>
      <c r="GU515" s="5">
        <v>258.04012322764959</v>
      </c>
      <c r="GV515" s="39" t="s">
        <v>392</v>
      </c>
      <c r="GW515" s="5">
        <v>478.23611111111109</v>
      </c>
      <c r="GX515" s="5">
        <v>358.67708333333331</v>
      </c>
      <c r="GY515" s="5">
        <v>286.94166666666666</v>
      </c>
      <c r="GZ515" s="5">
        <v>253.19574071601335</v>
      </c>
      <c r="HA515" s="5">
        <v>234.53733318419435</v>
      </c>
      <c r="HB515" s="39">
        <v>266.97876339786598</v>
      </c>
      <c r="HC515" s="5">
        <v>287.56655829738071</v>
      </c>
      <c r="HD515" s="5">
        <v>239.99799238008356</v>
      </c>
      <c r="HE515" s="5">
        <v>241.14168635502031</v>
      </c>
      <c r="HF515" s="5">
        <v>221.05790951107167</v>
      </c>
      <c r="HG515" s="5">
        <v>210.75500473779988</v>
      </c>
      <c r="HH515" s="39">
        <v>239.85361902707763</v>
      </c>
      <c r="HI515" s="16"/>
      <c r="HJ515" s="19" t="str">
        <f t="shared" si="1466"/>
        <v>On</v>
      </c>
      <c r="HK515" s="1" t="str">
        <f t="shared" si="1466"/>
        <v>On</v>
      </c>
      <c r="HL515" s="16"/>
      <c r="HM515" s="639">
        <f t="shared" si="1413"/>
        <v>2.4909940070666322E-2</v>
      </c>
      <c r="HN515" s="639">
        <f t="shared" si="1414"/>
        <v>2.2052381276269151E-3</v>
      </c>
      <c r="HO515" s="639">
        <f t="shared" si="1415"/>
        <v>2.079866082302006E-3</v>
      </c>
      <c r="HP515" s="644">
        <f>(FT515*$GD515-HM515)/$JF515*INDEX(Input!$1:$1048576,$JG$93,$C515*2+6)</f>
        <v>-10.588660968132539</v>
      </c>
      <c r="HQ515" s="644">
        <f>(FU515*$GD515-HN515)/$JF515*INDEX(Input!$1:$1048576,$JG$93,$C515*2+6)</f>
        <v>18.501134117202483</v>
      </c>
      <c r="HR515" s="644">
        <f>(FV515*$GD515-HO515)/$JF515*INDEX(Input!$1:$1048576,$JG$93,$C515*2+6)</f>
        <v>-1.263973666068843</v>
      </c>
      <c r="HS515" s="644">
        <f t="shared" si="1416"/>
        <v>-1.6520897529872169</v>
      </c>
      <c r="HT515" s="644">
        <f t="shared" si="1417"/>
        <v>31.159039500489772</v>
      </c>
      <c r="HU515" s="644">
        <f t="shared" si="1418"/>
        <v>0.43507189426067305</v>
      </c>
      <c r="HV515" s="648">
        <f t="shared" si="1419"/>
        <v>0</v>
      </c>
      <c r="HW515" s="648">
        <f t="shared" si="1420"/>
        <v>0</v>
      </c>
      <c r="HX515" s="648">
        <f t="shared" si="1421"/>
        <v>0</v>
      </c>
      <c r="HY515" s="644">
        <f>INDEX(Input!$1:$1048576,HY$93,$C515*2+6)*INDEX(Input!$1:$1048576,$JG$93,$C515*2+6)</f>
        <v>333.00000000000006</v>
      </c>
      <c r="HZ515" s="644">
        <f>INDEX(Input!$1:$1048576,HZ$93,$C515*2+6)*INDEX(Input!$1:$1048576,$JG$93,$C515*2+6)</f>
        <v>429</v>
      </c>
      <c r="IA515" s="644">
        <f>INDEX(Input!$1:$1048576,IA$93,$C515*2+6)*INDEX(Input!$1:$1048576,$JG$93,$C515*2+6)</f>
        <v>59</v>
      </c>
      <c r="IB515" s="644">
        <f t="shared" si="1445"/>
        <v>320.75924927888025</v>
      </c>
      <c r="IC515" s="644">
        <f t="shared" si="1446"/>
        <v>478.66017361769224</v>
      </c>
      <c r="ID515" s="644">
        <f>IF(AND(INDEX(Input!$1:$1048576,IA$93,$C515*2+7)="TOS",Y515&lt;=INDEX(Y:Y,MATCH(C515*1000+2,A:A))),0,1)*MAX(IA515+HR515+HU515+HX515,0%)</f>
        <v>58.171098228191831</v>
      </c>
      <c r="IE515" s="128">
        <f t="shared" ref="IE515" si="1495">IB515/SUM($IB515:$ID515)</f>
        <v>0.37402378102103045</v>
      </c>
      <c r="IF515" s="128">
        <f t="shared" si="1468"/>
        <v>0.55814536404846249</v>
      </c>
      <c r="IG515" s="128">
        <f t="shared" si="1423"/>
        <v>6.7830854930507042E-2</v>
      </c>
      <c r="IH515" s="21"/>
      <c r="II515" s="19">
        <f t="shared" si="1424"/>
        <v>1240</v>
      </c>
      <c r="IJ515" s="19">
        <f t="shared" si="1425"/>
        <v>1985.7442651839444</v>
      </c>
      <c r="IK515" s="19">
        <f t="shared" si="1426"/>
        <v>-21.44990394013189</v>
      </c>
      <c r="IL515" s="19">
        <f t="shared" si="1448"/>
        <v>30.000000000000227</v>
      </c>
      <c r="IM515" s="19">
        <f t="shared" si="1427"/>
        <v>530.00918573611966</v>
      </c>
      <c r="IN515" s="19">
        <f t="shared" si="1428"/>
        <v>15.000000000000227</v>
      </c>
      <c r="IO515" s="39">
        <f t="shared" si="1429"/>
        <v>0</v>
      </c>
      <c r="IP515" s="39">
        <f t="shared" si="1430"/>
        <v>0</v>
      </c>
      <c r="IQ515" s="39">
        <f t="shared" si="1431"/>
        <v>0</v>
      </c>
      <c r="IR515" s="39">
        <v>0</v>
      </c>
      <c r="IS515" s="39">
        <v>0</v>
      </c>
      <c r="IT515" s="39">
        <v>0</v>
      </c>
      <c r="IU515" s="39">
        <v>0</v>
      </c>
      <c r="IV515" s="39">
        <v>0</v>
      </c>
      <c r="IW515" s="39">
        <v>0</v>
      </c>
      <c r="IX515" s="39">
        <f>INDEX(Input!$1:$1048576,IX$93,$C515*2+6)+INDEX(Input!$1:$1048576,IX$94,$C515*2+6)</f>
        <v>1270</v>
      </c>
      <c r="IY515" s="39">
        <f>INDEX(Input!$1:$1048576,IY$93,$C515*2+6)+INDEX(Input!$1:$1048576,IY$94,$C515*2+6)</f>
        <v>2130.0624533823611</v>
      </c>
      <c r="IZ515" s="39">
        <f>INDEX(Input!$1:$1048576,IZ$93,$C515*2+6)+INDEX(Input!$1:$1048576,IZ$94,$C515*2+6)</f>
        <v>3653.7164157747857</v>
      </c>
      <c r="JA515" s="19">
        <f t="shared" si="1449"/>
        <v>1300.0000000000002</v>
      </c>
      <c r="JB515" s="19">
        <f t="shared" si="1450"/>
        <v>2660.0716391184806</v>
      </c>
      <c r="JC515" s="19">
        <f t="shared" si="1451"/>
        <v>3668.7164157747857</v>
      </c>
      <c r="JD515" s="19">
        <f t="shared" si="1452"/>
        <v>2219.7897397177035</v>
      </c>
      <c r="JE515" s="21"/>
      <c r="JF515" s="1">
        <f t="shared" si="1432"/>
        <v>2.9195044280595241E-2</v>
      </c>
      <c r="JG515" s="15">
        <f>INDEX(Input!$1:$1048576,JG$93,$C515*2+6)/(1+VLOOKUP(C515*1000+INDEX(Input!$1:$1048576,JG$93+1,$C515*2+6),$A:$KK,$JK$92,FALSE))</f>
        <v>821</v>
      </c>
      <c r="JH515" s="1">
        <f t="shared" si="1453"/>
        <v>8.0980505274069452E-3</v>
      </c>
      <c r="JI515" s="1">
        <f t="shared" si="1454"/>
        <v>3.6470184703731097E-2</v>
      </c>
      <c r="JJ515" s="1">
        <f t="shared" si="1492"/>
        <v>0</v>
      </c>
      <c r="JK515" s="1">
        <f t="shared" ref="JK515:JK550" si="1496">SUM(JH515:JJ515)</f>
        <v>4.4568235231138044E-2</v>
      </c>
      <c r="JL515" s="15">
        <f t="shared" si="1457"/>
        <v>36.590521124764336</v>
      </c>
      <c r="JM515" s="15">
        <f t="shared" si="1483"/>
        <v>857.59052112476434</v>
      </c>
      <c r="JN515" s="21"/>
      <c r="JO515" s="19">
        <f>INDEX(Input!$1:$1048576,JO$93,$C515*2+6)</f>
        <v>5995.5</v>
      </c>
      <c r="JP515" s="19">
        <f>INDEX(Input!$1:$1048576,JP$93,$C515*2+6)</f>
        <v>1890.7138380411029</v>
      </c>
      <c r="JQ515" s="39">
        <f t="shared" si="1469"/>
        <v>3775.7102602822965</v>
      </c>
      <c r="JR515" s="39">
        <f t="shared" si="1486"/>
        <v>329.07590167660055</v>
      </c>
      <c r="JS515" s="39">
        <f t="shared" si="1471"/>
        <v>1.9036706396719103</v>
      </c>
      <c r="JT515" s="39">
        <f t="shared" si="1459"/>
        <v>0.35139457864016482</v>
      </c>
      <c r="JU515" s="385">
        <f>(JQ515*JM515-INDEX(Input!$1:$1048576,Input!A$18,$C515*2+6)*JL515*INDEX(Input!$1:$1048576,Input!A$19,$C515*2+6))/1000000</f>
        <v>3.2380133297316145</v>
      </c>
      <c r="JV515" s="39">
        <f t="shared" si="1493"/>
        <v>-0.13201610923663987</v>
      </c>
      <c r="JW515" s="1">
        <f t="shared" si="1484"/>
        <v>-3.9173577450129643E-2</v>
      </c>
      <c r="JX515" s="19">
        <f t="shared" si="1475"/>
        <v>9603.4319227648884</v>
      </c>
      <c r="JZ515" s="341"/>
      <c r="KA515" s="342"/>
      <c r="KB515" s="469">
        <f t="shared" si="1472"/>
        <v>2.5122967434604799</v>
      </c>
      <c r="KI515" s="473">
        <f t="shared" ref="KI515" si="1497">$JM515*IE515-$JG515*HY515/SUM($HY515:$IA515)</f>
        <v>-12.240750721119809</v>
      </c>
      <c r="KJ515" s="473">
        <f t="shared" si="1460"/>
        <v>49.660173617692237</v>
      </c>
      <c r="KK515" s="473">
        <f t="shared" si="1461"/>
        <v>-0.82890177180817659</v>
      </c>
      <c r="KN515" s="544">
        <f t="shared" si="1476"/>
        <v>5002</v>
      </c>
      <c r="KO515" s="541">
        <f t="shared" si="1436"/>
        <v>4.0332377812881681E-2</v>
      </c>
      <c r="KP515" s="546">
        <f t="shared" si="1437"/>
        <v>279.07698687713469</v>
      </c>
      <c r="KQ515" s="546">
        <f t="shared" si="1438"/>
        <v>300.87097399443701</v>
      </c>
      <c r="KR515" s="548">
        <f t="shared" si="1439"/>
        <v>2.6109211730161497</v>
      </c>
      <c r="KS515" s="548">
        <f t="shared" si="1440"/>
        <v>2.4217956430470875</v>
      </c>
      <c r="KT515" s="473">
        <f t="shared" si="1474"/>
        <v>595.94378802984284</v>
      </c>
      <c r="KU515" s="663">
        <f t="shared" si="1462"/>
        <v>3.9527921678245059</v>
      </c>
      <c r="KV515" s="117" t="e">
        <f t="shared" si="1494"/>
        <v>#N/A</v>
      </c>
    </row>
    <row r="516" spans="1:308" s="26" customFormat="1" ht="15">
      <c r="A516" s="561">
        <f t="shared" si="1441"/>
        <v>5016</v>
      </c>
      <c r="B516" s="561">
        <f t="shared" si="1463"/>
        <v>16</v>
      </c>
      <c r="C516" s="561">
        <f t="shared" si="1464"/>
        <v>5</v>
      </c>
      <c r="D516" s="561" t="str">
        <f t="shared" si="1485"/>
        <v xml:space="preserve">-360 Lease, </v>
      </c>
      <c r="E516" s="115">
        <f>INDEX(Input!$1:$1048576,E$93,$C516*2+MIN($B516,2)+5)</f>
        <v>1277.4263093788063</v>
      </c>
      <c r="F516" s="115">
        <f>INDEX(Input!$1:$1048576,F$93,$C516*2+MIN($B516,2)+5)</f>
        <v>0</v>
      </c>
      <c r="G516" s="115">
        <f>INDEX(Input!$1:$1048576,G$93,$C516*2+MIN($B516,2)+5)</f>
        <v>0</v>
      </c>
      <c r="H516" s="115">
        <f>INDEX(Input!$1:$1048576,H$93,$C516*2+MIN($B516,2)+5)</f>
        <v>0</v>
      </c>
      <c r="I516" s="118">
        <f>INDEX(Input!$1:$1048576,I$93,$C516*2+MIN($B516,2)+5)</f>
        <v>0.7</v>
      </c>
      <c r="J516" s="118" t="str">
        <f>INDEX(Input!$1:$1048576,J$93,$C516*2+MIN($B516,2)+5)</f>
        <v>Market</v>
      </c>
      <c r="K516" s="118" t="str">
        <f>INDEX(Input!$1:$1048576,K$93,$C516*2+MIN($B516,2)+5)</f>
        <v>Market</v>
      </c>
      <c r="L516" s="118" t="str">
        <f>INDEX(Input!$1:$1048576,L$93,$C516*2+MIN($B516,2)+5)</f>
        <v>Market</v>
      </c>
      <c r="M516" s="118" t="str">
        <f>INDEX(Input!$1:$1048576,M$93,$C516*2+MIN($B516,2)+5)</f>
        <v>Market</v>
      </c>
      <c r="N516" s="118" t="str">
        <f>INDEX(Input!$1:$1048576,N$93,$C516*2+MIN($B516,2)+5)</f>
        <v>Market</v>
      </c>
      <c r="O516" s="118" t="str">
        <f>INDEX(Input!$1:$1048576,O$93,$C516*2+MIN($B516,2)+5)</f>
        <v>Market</v>
      </c>
      <c r="P516" s="118" t="str">
        <f>INDEX(Input!$1:$1048576,P$93,$C516*2+MIN($B516,2)+5)</f>
        <v>N</v>
      </c>
      <c r="Q516" s="30">
        <f>INDEX(Input!$1:$1048576,Q$93,$C516*2+MIN($B516,2)+5)</f>
        <v>0</v>
      </c>
      <c r="R516" s="383">
        <f>INDEX(Input!$1:$1048576,R$93,$C516*2+MIN($B516,2)+5)</f>
        <v>0</v>
      </c>
      <c r="S516" s="383">
        <f>INDEX(Input!$1:$1048576,S$93,$C516*2+MIN($B516,2)+5)</f>
        <v>0</v>
      </c>
      <c r="T516" s="383">
        <f>INDEX(Input!$1:$1048576,T$93,$C516*2+MIN($B516,2)+5)</f>
        <v>0</v>
      </c>
      <c r="U516" s="383">
        <f>INDEX(Input!$1:$1048576,U$93,$C516*2+MIN($B516,2)+5)</f>
        <v>0</v>
      </c>
      <c r="V516" s="383">
        <f>INDEX(Input!$1:$1048576,V$93,$C516*2+MIN($B516,2)+5)</f>
        <v>1.9E-2</v>
      </c>
      <c r="W516" s="884">
        <f>INDEX(Input!$1:$1048576,W$93,$C516*2+MIN($B516,2)+5)</f>
        <v>3.9E-2</v>
      </c>
      <c r="X516" s="118" t="str">
        <f>INDEX(Input!$1:$1048576,X$93,$C516*2+MIN($B516,2)+5)</f>
        <v>Y</v>
      </c>
      <c r="Y516" s="475">
        <f>INDEX(Input!$1:$1048576,Y$93,$C516*2+MIN($B516,2)+5)-360</f>
        <v>-1077.9364173925233</v>
      </c>
      <c r="Z516" s="30">
        <f>INDEX(Input!$1:$1048576,Z$93,$C516*2+MIN($B516,2)+5)</f>
        <v>0</v>
      </c>
      <c r="AA516" s="115">
        <f>INDEX(Input!$1:$1048576,AA$93,$C516*2+MIN($B516,2)+5)</f>
        <v>0</v>
      </c>
      <c r="AB516" s="118">
        <f>INDEX(Input!$1:$1048576,AB$93,$C516*2+MIN($B516,2)+5)</f>
        <v>0.27</v>
      </c>
      <c r="AC516" s="115">
        <f>INDEX(Input!$1:$1048576,AC$93,$C516*2+MIN($B516,2)+5)</f>
        <v>0</v>
      </c>
      <c r="AD516" s="118">
        <f>INDEX(Input!$1:$1048576,AD$93,$C516*2+MIN($B516,2)+5)</f>
        <v>0.27</v>
      </c>
      <c r="AE516" s="115">
        <f>INDEX(Input!$1:$1048576,AE$93,$C516*2+MIN($B516,2)+5)</f>
        <v>0</v>
      </c>
      <c r="AF516" s="118">
        <f>INDEX(Input!$1:$1048576,AF$93,$C516*2+MIN($B516,2)+5)</f>
        <v>0.2</v>
      </c>
      <c r="AG516" s="115">
        <f>INDEX(Input!$1:$1048576,AG$93,$C516*2+MIN($B516,2)+5)</f>
        <v>500</v>
      </c>
      <c r="AH516" s="118">
        <f>INDEX(Input!$1:$1048576,AH$93,$C516*2+MIN($B516,2)+5)</f>
        <v>1</v>
      </c>
      <c r="AI516" s="115">
        <f>INDEX(Input!$1:$1048576,AI$93,$C516*2+MIN($B516,2)+5)</f>
        <v>0</v>
      </c>
      <c r="AJ516" s="118">
        <f>INDEX(Input!$1:$1048576,AJ$93,$C516*2+MIN($B516,2)+5)</f>
        <v>0.27</v>
      </c>
      <c r="AK516" s="150">
        <f>ROUND(INDEX(Input!$1:$1048576,AK$93,$C515*2+MIN($B516,1)+5)+(Y516-VLOOKUP($C516*1000+1,$A:$HH,Y$92,FALSE)),0)</f>
        <v>2227</v>
      </c>
      <c r="AL516" s="150">
        <f>ROUND(INDEX(Input!$1:$1048576,AL$93,$C515*2+MIN($B516,1)+5)-(Y516-VLOOKUP($C516*1000+1,$A:$HH,Y$92,FALSE))/36,0)</f>
        <v>3416</v>
      </c>
      <c r="AM516" s="32" t="str">
        <f t="shared" si="1442"/>
        <v>std/std/std/std</v>
      </c>
      <c r="AN516" s="32" t="str">
        <f t="shared" si="1443"/>
        <v>$0 + 0/0/0/1.9/3.9</v>
      </c>
      <c r="AO516" s="32" t="str">
        <f t="shared" si="1444"/>
        <v>0/0/0/1.9/3.9</v>
      </c>
      <c r="AP516" s="32" t="str">
        <f t="shared" si="1396"/>
        <v>0/0.9/1.9/3.9</v>
      </c>
      <c r="AQ516" s="536">
        <f t="shared" si="1394"/>
        <v>0.41565420558818061</v>
      </c>
      <c r="AR516" s="32"/>
      <c r="AS516" s="302"/>
      <c r="AT516" s="3">
        <f t="shared" si="1465"/>
        <v>16</v>
      </c>
      <c r="AU516" s="41" t="s">
        <v>121</v>
      </c>
      <c r="AV516" s="41" t="s">
        <v>116</v>
      </c>
      <c r="AW516" s="41" t="str">
        <f>INDEX(Input!$1:$1048576,AW$93,$C516*2+6)</f>
        <v>Kia</v>
      </c>
      <c r="AX516" s="41" t="str">
        <f>INDEX(Input!$1:$1048576,AX$93,$C516*2+6)</f>
        <v>Kia-LR - R2</v>
      </c>
      <c r="AY516" s="41" t="str">
        <f>IF(LEN(D516)=0,"",INDEX(Input!$1:$1048576,AY$93,$C516*2+6))</f>
        <v>Compact SUV (52)</v>
      </c>
      <c r="AZ516" s="41" t="str">
        <f>INDEX(Input!$1:$1048576,AZ$93,$C516*2+6)</f>
        <v>Kia Soul</v>
      </c>
      <c r="BA516" s="3">
        <f>INDEX(Input!$1:$1048576,BA$93,$C516*2+6)</f>
        <v>2020</v>
      </c>
      <c r="BB516" s="128">
        <f>INDEX(Input!$1:$1048576,BB$93,$C516*2+6)</f>
        <v>1</v>
      </c>
      <c r="BC516" s="128">
        <f>INDEX(Input!$1:$1048576,BC$93,$C516*2+6)</f>
        <v>0.7</v>
      </c>
      <c r="BD516" s="1">
        <f>INDEX(Input!$1:$1048576,BD$93,$C516*2+6)</f>
        <v>4.4999999999999998E-2</v>
      </c>
      <c r="BE516" s="1">
        <f>INDEX(Input!$1:$1048576,BE$93,$C516*2+6)</f>
        <v>4.4999999999999998E-2</v>
      </c>
      <c r="BF516" s="1">
        <f>INDEX(Input!$1:$1048576,BF$93,$C516*2+6)</f>
        <v>0.05</v>
      </c>
      <c r="BG516" s="1">
        <f>INDEX(Input!$1:$1048576,BG$93,$C516*2+6)</f>
        <v>5.45E-2</v>
      </c>
      <c r="BH516" s="1">
        <f>INDEX(Input!$1:$1048576,BH$93,$C516*2+6)</f>
        <v>5.45E-2</v>
      </c>
      <c r="BI516" s="1">
        <f>INDEX(Input!$1:$1048576,BI$93,$C516*2+6)</f>
        <v>0.05</v>
      </c>
      <c r="BJ516" s="1">
        <f>INDEX(Input!$1:$1048576,BJ$93,$C516*2+6)</f>
        <v>0.05</v>
      </c>
      <c r="BK516" s="1">
        <f>INDEX(Input!$1:$1048576,BK$93,$C516*2+6)</f>
        <v>0.05</v>
      </c>
      <c r="BL516" s="1">
        <f>INDEX(Input!$1:$1048576,BL$93,$C516*2+6)</f>
        <v>5.5E-2</v>
      </c>
      <c r="BM516" s="1">
        <f>INDEX(Input!$1:$1048576,BM$93,$C516*2+6)</f>
        <v>0.06</v>
      </c>
      <c r="BN516" s="1">
        <f>INDEX(Input!$1:$1048576,BN$93,$C516*2+6)</f>
        <v>4.4999999999999998E-2</v>
      </c>
      <c r="BO516" s="1">
        <f>INDEX(Input!$1:$1048576,BO$93,$C516*2+6)</f>
        <v>4.4999999999999998E-2</v>
      </c>
      <c r="BP516" s="1">
        <f>INDEX(Input!$1:$1048576,BP$93,$C516*2+6)</f>
        <v>0.05</v>
      </c>
      <c r="BQ516" s="1">
        <f>INDEX(Input!$1:$1048576,BQ$93,$C516*2+6)</f>
        <v>5.45E-2</v>
      </c>
      <c r="BR516" s="1">
        <f>INDEX(Input!$1:$1048576,BR$93,$C516*2+6)</f>
        <v>5.45E-2</v>
      </c>
      <c r="BS516" s="1">
        <f>INDEX(Input!$1:$1048576,BS$93,$C516*2+6)</f>
        <v>0.05</v>
      </c>
      <c r="BT516" s="1">
        <f>INDEX(Input!$1:$1048576,BT$93,$C516*2+6)</f>
        <v>0.05</v>
      </c>
      <c r="BU516" s="1">
        <f>INDEX(Input!$1:$1048576,BU$93,$C516*2+6)</f>
        <v>0.05</v>
      </c>
      <c r="BV516" s="1">
        <f>INDEX(Input!$1:$1048576,BV$93,$C516*2+6)</f>
        <v>5.5E-2</v>
      </c>
      <c r="BW516" s="1">
        <f>INDEX(Input!$1:$1048576,BW$93,$C516*2+6)</f>
        <v>0.06</v>
      </c>
      <c r="BX516" s="127">
        <f>INDEX(Input!$1:$1048576,BX$93,$C516*2+6)</f>
        <v>19985</v>
      </c>
      <c r="BY516" s="20">
        <f>INDEX(Input!$1:$1048576,BY$93,$C516*2+6)</f>
        <v>0.1</v>
      </c>
      <c r="BZ516" s="20">
        <f>INDEX(Input!$1:$1048576,BZ$93,$C516*2+6)</f>
        <v>0.1</v>
      </c>
      <c r="CA516" s="20">
        <f>INDEX(Input!$1:$1048576,CA$93,$C516*2+6)</f>
        <v>0.1</v>
      </c>
      <c r="CB516" s="20">
        <f>INDEX(Input!$1:$1048576,CB$93,$C516*2+6)</f>
        <v>0.1</v>
      </c>
      <c r="CC516" s="20">
        <f>INDEX(Input!$1:$1048576,CC$93,$C516*2+6)</f>
        <v>0.1</v>
      </c>
      <c r="CD516" s="384">
        <f>INDEX(Input!$1:$1048576,CD$93,$C516*2+6)</f>
        <v>0.1</v>
      </c>
      <c r="CE516" s="384">
        <f>INDEX(Input!$1:$1048576,CE$93,$C516*2+6)</f>
        <v>0.1</v>
      </c>
      <c r="CF516" s="384">
        <f>INDEX(Input!$1:$1048576,CF$93,$C516*2+6)</f>
        <v>0.1</v>
      </c>
      <c r="CG516" s="384">
        <f>INDEX(Input!$1:$1048576,CG$93,$C516*2+6)</f>
        <v>0.1</v>
      </c>
      <c r="CH516" s="384">
        <f>INDEX(Input!$1:$1048576,CH$93,$C516*2+6)</f>
        <v>0.1</v>
      </c>
      <c r="CI516" s="304">
        <f t="shared" si="1397"/>
        <v>1277.4263093788063</v>
      </c>
      <c r="CJ516" s="16" t="str">
        <f>INDEX(Input!$1:$1048576,CJ$93,$C516*2+6)</f>
        <v>N</v>
      </c>
      <c r="CK516" s="1" t="str">
        <f t="shared" si="1398"/>
        <v>Market</v>
      </c>
      <c r="CL516" s="1" t="str">
        <f t="shared" si="1399"/>
        <v>Market</v>
      </c>
      <c r="CM516" s="1" t="str">
        <f t="shared" si="1400"/>
        <v>Market</v>
      </c>
      <c r="CN516" s="1" t="str">
        <f t="shared" si="1401"/>
        <v>Market</v>
      </c>
      <c r="CO516" s="1" t="str">
        <f t="shared" si="1402"/>
        <v>Market</v>
      </c>
      <c r="CP516" s="304">
        <f t="shared" si="1403"/>
        <v>500</v>
      </c>
      <c r="CQ516" s="1">
        <f t="shared" si="1404"/>
        <v>0</v>
      </c>
      <c r="CR516" s="1">
        <f t="shared" si="1405"/>
        <v>0</v>
      </c>
      <c r="CS516" s="1">
        <f t="shared" si="1406"/>
        <v>0</v>
      </c>
      <c r="CT516" s="1">
        <f t="shared" si="1407"/>
        <v>1.9E-2</v>
      </c>
      <c r="CU516" s="1">
        <f t="shared" si="1408"/>
        <v>3.9E-2</v>
      </c>
      <c r="CV516" s="304">
        <f t="shared" si="1409"/>
        <v>-1077.9364173925233</v>
      </c>
      <c r="CW516" s="20" t="s">
        <v>122</v>
      </c>
      <c r="CX516" s="20" t="s">
        <v>122</v>
      </c>
      <c r="CY516" s="20" t="s">
        <v>122</v>
      </c>
      <c r="CZ516" s="20" t="s">
        <v>122</v>
      </c>
      <c r="DA516" s="20" t="s">
        <v>122</v>
      </c>
      <c r="DB516" s="503">
        <f t="shared" si="1410"/>
        <v>0</v>
      </c>
      <c r="DC516" s="127">
        <v>0</v>
      </c>
      <c r="DD516" s="127">
        <v>0</v>
      </c>
      <c r="DE516" s="127">
        <v>0</v>
      </c>
      <c r="DF516" s="127">
        <v>0</v>
      </c>
      <c r="DG516" s="127">
        <v>0</v>
      </c>
      <c r="DH516" s="127">
        <v>0</v>
      </c>
      <c r="DI516" s="127">
        <v>0</v>
      </c>
      <c r="DJ516" s="127">
        <v>0</v>
      </c>
      <c r="DK516" s="127">
        <v>0</v>
      </c>
      <c r="DL516" s="127">
        <v>0</v>
      </c>
      <c r="DM516" s="304">
        <f>INDEX(Input!$1:$1048576,DM$93,$C516*2+6)</f>
        <v>21036.84210526316</v>
      </c>
      <c r="DN516" s="20">
        <v>0</v>
      </c>
      <c r="DO516" s="20">
        <v>0</v>
      </c>
      <c r="DP516" s="20">
        <v>0</v>
      </c>
      <c r="DQ516" s="20">
        <v>0</v>
      </c>
      <c r="DR516" s="20">
        <v>0</v>
      </c>
      <c r="DS516" s="20">
        <f>INDEX(Input!$1:$1048576,DS$93,$C516*2+6)</f>
        <v>0.6</v>
      </c>
      <c r="DT516" s="20">
        <f>INDEX(Input!$1:$1048576,DT$93,$C516*2+6)</f>
        <v>0.55000000000000004</v>
      </c>
      <c r="DU516" s="20">
        <f>INDEX(Input!$1:$1048576,DU$93,$C516*2+6)</f>
        <v>0.52</v>
      </c>
      <c r="DV516" s="20">
        <f>INDEX(Input!$1:$1048576,DV$93,$C516*2+6)</f>
        <v>0.5</v>
      </c>
      <c r="DW516" s="20">
        <f>INDEX(Input!$1:$1048576,DW$93,$C516*2+6)</f>
        <v>0.45</v>
      </c>
      <c r="DX516" s="20"/>
      <c r="DY516" s="7">
        <v>0.12056625543767242</v>
      </c>
      <c r="DZ516" s="7">
        <v>0</v>
      </c>
      <c r="EA516" s="7">
        <v>0.742928261017754</v>
      </c>
      <c r="EB516" s="7">
        <v>0</v>
      </c>
      <c r="EC516" s="7">
        <v>0</v>
      </c>
      <c r="ED516" s="7">
        <v>0</v>
      </c>
      <c r="EE516" s="7">
        <v>0</v>
      </c>
      <c r="EF516" s="7">
        <v>0</v>
      </c>
      <c r="EG516" s="7">
        <v>0</v>
      </c>
      <c r="EH516" s="7">
        <v>1.2089314337076476E-2</v>
      </c>
      <c r="EI516" s="7">
        <v>3.3611026932763736E-2</v>
      </c>
      <c r="EJ516" s="7">
        <v>0.29196350819778111</v>
      </c>
      <c r="EK516" s="7">
        <v>0.53728808650867099</v>
      </c>
      <c r="EL516" s="7">
        <v>0.12504806402370791</v>
      </c>
      <c r="EM516" s="7">
        <v>7.6447889873823074E-2</v>
      </c>
      <c r="EN516" s="7">
        <v>5.7480871088648418E-2</v>
      </c>
      <c r="EO516" s="7">
        <v>0.70685942860795759</v>
      </c>
      <c r="EP516" s="7">
        <v>9.4526104406452399E-2</v>
      </c>
      <c r="EQ516" s="7">
        <v>9.3095024588654082E-2</v>
      </c>
      <c r="ER516" s="7">
        <v>4.8038571308287412E-2</v>
      </c>
      <c r="ES516" s="7">
        <v>6.0057593670750455E-2</v>
      </c>
      <c r="ET516" s="7">
        <v>0.13650548354457365</v>
      </c>
      <c r="EU516" s="6">
        <v>1270</v>
      </c>
      <c r="EV516" s="6">
        <v>0</v>
      </c>
      <c r="EW516" s="6">
        <v>1270</v>
      </c>
      <c r="EX516" s="6">
        <v>0</v>
      </c>
      <c r="EY516" s="6">
        <v>2015.7644516913842</v>
      </c>
      <c r="EZ516" s="6">
        <v>-366.44990394013166</v>
      </c>
      <c r="FA516" s="6">
        <v>0</v>
      </c>
      <c r="FB516" s="6">
        <v>0</v>
      </c>
      <c r="FC516" s="6">
        <v>0</v>
      </c>
      <c r="FD516" s="6">
        <v>0</v>
      </c>
      <c r="FE516" s="6">
        <v>0</v>
      </c>
      <c r="FF516" s="6">
        <v>0</v>
      </c>
      <c r="FG516" s="6">
        <v>0</v>
      </c>
      <c r="FH516" s="6">
        <v>1172.1384806975791</v>
      </c>
      <c r="FI516" s="6">
        <v>1553.9796069512397</v>
      </c>
      <c r="FJ516" s="6">
        <v>2101.211011744741</v>
      </c>
      <c r="FK516" s="6">
        <v>1772.7139978623222</v>
      </c>
      <c r="FL516" s="6">
        <v>907.07682140966335</v>
      </c>
      <c r="FM516" s="6">
        <v>1745.7644516913842</v>
      </c>
      <c r="FN516" s="6">
        <v>0</v>
      </c>
      <c r="FO516" s="6">
        <v>0</v>
      </c>
      <c r="FP516" s="6">
        <v>0</v>
      </c>
      <c r="FQ516" s="6">
        <v>0</v>
      </c>
      <c r="FR516" s="6">
        <v>0</v>
      </c>
      <c r="FS516" s="6">
        <v>0</v>
      </c>
      <c r="FT516" s="7">
        <v>0.86349451645542641</v>
      </c>
      <c r="FU516" s="7">
        <v>7.6447889873823074E-2</v>
      </c>
      <c r="FV516" s="7">
        <v>6.0057593670750455E-2</v>
      </c>
      <c r="FW516" s="6">
        <v>1270</v>
      </c>
      <c r="FX516" s="6">
        <v>2015.764451691384</v>
      </c>
      <c r="FY516" s="6">
        <v>-366.44990394013166</v>
      </c>
      <c r="FZ516" s="6">
        <v>1758.1538569113241</v>
      </c>
      <c r="GA516" s="6">
        <v>1228.7308752813399</v>
      </c>
      <c r="GB516" s="6">
        <v>18756.269124718659</v>
      </c>
      <c r="GC516" s="7">
        <v>3.064145122680037E-2</v>
      </c>
      <c r="GD516" s="7">
        <v>2.9225330403913265E-2</v>
      </c>
      <c r="GE516" s="7"/>
      <c r="GF516" s="7"/>
      <c r="GG516" s="7">
        <v>-4.6215853564027791E-2</v>
      </c>
      <c r="GH516" s="42">
        <v>1.7445858331148527</v>
      </c>
      <c r="GI516" s="6">
        <v>12684.171829033667</v>
      </c>
      <c r="GJ516" s="14">
        <v>0.50394797582841688</v>
      </c>
      <c r="GK516" s="14">
        <v>0.50887573065309744</v>
      </c>
      <c r="GL516" s="14">
        <v>0.49605202417158256</v>
      </c>
      <c r="GM516" s="14">
        <v>0.49112426934690234</v>
      </c>
      <c r="GO516" s="5">
        <v>343.14810671672558</v>
      </c>
      <c r="GP516" s="5">
        <v>318.91892952659737</v>
      </c>
      <c r="GQ516" s="5">
        <v>535.04305713031317</v>
      </c>
      <c r="GR516" s="5">
        <v>410.15490233172511</v>
      </c>
      <c r="GS516" s="5">
        <v>339.42744393800166</v>
      </c>
      <c r="GT516" s="5">
        <v>293.4407446948278</v>
      </c>
      <c r="GU516" s="5">
        <v>258.04012322764959</v>
      </c>
      <c r="GV516" s="39" t="s">
        <v>392</v>
      </c>
      <c r="GW516" s="5">
        <v>492.125</v>
      </c>
      <c r="GX516" s="5">
        <v>369.09375</v>
      </c>
      <c r="GY516" s="5">
        <v>295.27499999999998</v>
      </c>
      <c r="GZ516" s="5">
        <v>260.54902799031458</v>
      </c>
      <c r="HA516" s="5">
        <v>241.34874471337258</v>
      </c>
      <c r="HB516" s="39">
        <v>274.73468064476799</v>
      </c>
      <c r="HC516" s="5">
        <v>303.31655829738077</v>
      </c>
      <c r="HD516" s="5">
        <v>250.74799238008356</v>
      </c>
      <c r="HE516" s="5">
        <v>251.12245558578954</v>
      </c>
      <c r="HF516" s="5">
        <v>229.38290951107166</v>
      </c>
      <c r="HG516" s="5">
        <v>217.65500473779989</v>
      </c>
      <c r="HH516" s="39">
        <v>250.22635312728229</v>
      </c>
      <c r="HI516" s="16"/>
      <c r="HJ516" s="19" t="str">
        <f t="shared" si="1466"/>
        <v>On</v>
      </c>
      <c r="HK516" s="1" t="str">
        <f t="shared" si="1466"/>
        <v>On</v>
      </c>
      <c r="HL516" s="16"/>
      <c r="HM516" s="639">
        <f t="shared" si="1413"/>
        <v>2.4909940070666322E-2</v>
      </c>
      <c r="HN516" s="639">
        <f t="shared" si="1414"/>
        <v>2.2052381276269151E-3</v>
      </c>
      <c r="HO516" s="639">
        <f t="shared" si="1415"/>
        <v>2.079866082302006E-3</v>
      </c>
      <c r="HP516" s="644">
        <f>(FT516*$GD516-HM516)/$JF516*INDEX(Input!$1:$1048576,$JG$93,$C516*2+6)</f>
        <v>9.1667407374159389</v>
      </c>
      <c r="HQ516" s="644">
        <f>(FU516*$GD516-HN516)/$JF516*INDEX(Input!$1:$1048576,$JG$93,$C516*2+6)</f>
        <v>0.81486024923797939</v>
      </c>
      <c r="HR516" s="644">
        <f>(FV516*$GD516-HO516)/$JF516*INDEX(Input!$1:$1048576,$JG$93,$C516*2+6)</f>
        <v>-9.129918522838631</v>
      </c>
      <c r="HS516" s="644">
        <f t="shared" si="1416"/>
        <v>-1.4587460562314807</v>
      </c>
      <c r="HT516" s="644">
        <f t="shared" si="1417"/>
        <v>1.6497292196130151</v>
      </c>
      <c r="HU516" s="644">
        <f t="shared" si="1418"/>
        <v>-2.3517059289587747</v>
      </c>
      <c r="HV516" s="648">
        <f t="shared" si="1419"/>
        <v>0</v>
      </c>
      <c r="HW516" s="648">
        <f t="shared" si="1420"/>
        <v>0</v>
      </c>
      <c r="HX516" s="648">
        <f t="shared" si="1421"/>
        <v>0</v>
      </c>
      <c r="HY516" s="644">
        <f>INDEX(Input!$1:$1048576,HY$93,$C516*2+6)*INDEX(Input!$1:$1048576,$JG$93,$C516*2+6)</f>
        <v>333.00000000000006</v>
      </c>
      <c r="HZ516" s="644">
        <f>INDEX(Input!$1:$1048576,HZ$93,$C516*2+6)*INDEX(Input!$1:$1048576,$JG$93,$C516*2+6)</f>
        <v>429</v>
      </c>
      <c r="IA516" s="644">
        <f>INDEX(Input!$1:$1048576,IA$93,$C516*2+6)*INDEX(Input!$1:$1048576,$JG$93,$C516*2+6)</f>
        <v>59</v>
      </c>
      <c r="IB516" s="644">
        <f t="shared" si="1445"/>
        <v>340.70799468118452</v>
      </c>
      <c r="IC516" s="644">
        <f t="shared" si="1446"/>
        <v>431.46458946885099</v>
      </c>
      <c r="ID516" s="644">
        <f>IF(AND(INDEX(Input!$1:$1048576,IA$93,$C516*2+7)="TOS",Y516&lt;=INDEX(Y:Y,MATCH(C516*1000+2,A:A))),0,1)*MAX(IA516+HR516+HU516+HX516,0%)</f>
        <v>47.518375548202599</v>
      </c>
      <c r="IE516" s="128">
        <f t="shared" ref="IE516:IE518" si="1498">IB516/SUM($IB516:$ID516)</f>
        <v>0.41565420558818061</v>
      </c>
      <c r="IF516" s="128">
        <f t="shared" si="1468"/>
        <v>0.52637470788709295</v>
      </c>
      <c r="IG516" s="128">
        <f t="shared" si="1423"/>
        <v>5.797108652472642E-2</v>
      </c>
      <c r="IH516" s="21"/>
      <c r="II516" s="19">
        <f t="shared" si="1424"/>
        <v>1240</v>
      </c>
      <c r="IJ516" s="19">
        <f t="shared" si="1425"/>
        <v>1985.7442651839444</v>
      </c>
      <c r="IK516" s="19">
        <f t="shared" si="1426"/>
        <v>-21.44990394013189</v>
      </c>
      <c r="IL516" s="19">
        <f t="shared" si="1448"/>
        <v>30</v>
      </c>
      <c r="IM516" s="19">
        <f t="shared" si="1427"/>
        <v>30.020186507439576</v>
      </c>
      <c r="IN516" s="19">
        <f t="shared" si="1428"/>
        <v>-344.99999999999977</v>
      </c>
      <c r="IO516" s="39">
        <f t="shared" si="1429"/>
        <v>0</v>
      </c>
      <c r="IP516" s="39">
        <f t="shared" si="1430"/>
        <v>0</v>
      </c>
      <c r="IQ516" s="39">
        <f t="shared" si="1431"/>
        <v>0</v>
      </c>
      <c r="IR516" s="39">
        <v>0</v>
      </c>
      <c r="IS516" s="39">
        <v>0</v>
      </c>
      <c r="IT516" s="39">
        <v>0</v>
      </c>
      <c r="IU516" s="39">
        <v>0</v>
      </c>
      <c r="IV516" s="39">
        <v>0</v>
      </c>
      <c r="IW516" s="39">
        <v>0</v>
      </c>
      <c r="IX516" s="39">
        <f>INDEX(Input!$1:$1048576,IX$93,$C516*2+6)+INDEX(Input!$1:$1048576,IX$94,$C516*2+6)</f>
        <v>1270</v>
      </c>
      <c r="IY516" s="39">
        <f>INDEX(Input!$1:$1048576,IY$93,$C516*2+6)+INDEX(Input!$1:$1048576,IY$94,$C516*2+6)</f>
        <v>2130.0624533823611</v>
      </c>
      <c r="IZ516" s="39">
        <f>INDEX(Input!$1:$1048576,IZ$93,$C516*2+6)+INDEX(Input!$1:$1048576,IZ$94,$C516*2+6)</f>
        <v>3653.7164157747857</v>
      </c>
      <c r="JA516" s="19">
        <f t="shared" si="1449"/>
        <v>1300</v>
      </c>
      <c r="JB516" s="19">
        <f t="shared" si="1450"/>
        <v>2160.0826398898007</v>
      </c>
      <c r="JC516" s="19">
        <f t="shared" si="1451"/>
        <v>3308.7164157747857</v>
      </c>
      <c r="JD516" s="19">
        <f t="shared" si="1452"/>
        <v>1869.173221473272</v>
      </c>
      <c r="JE516" s="21"/>
      <c r="JF516" s="1">
        <f t="shared" si="1432"/>
        <v>2.9195044280595241E-2</v>
      </c>
      <c r="JG516" s="15">
        <f>INDEX(Input!$1:$1048576,JG$93,$C516*2+6)/(1+VLOOKUP(C516*1000+INDEX(Input!$1:$1048576,JG$93+1,$C516*2+6),$A:$KK,$JK$92,FALSE))</f>
        <v>821</v>
      </c>
      <c r="JH516" s="1">
        <f t="shared" si="1453"/>
        <v>1.0373720631124078E-3</v>
      </c>
      <c r="JI516" s="1">
        <f t="shared" si="1454"/>
        <v>-2.6318182284741053E-3</v>
      </c>
      <c r="JJ516" s="1">
        <f t="shared" si="1492"/>
        <v>0</v>
      </c>
      <c r="JK516" s="1">
        <f t="shared" si="1496"/>
        <v>-1.5944461653616974E-3</v>
      </c>
      <c r="JL516" s="15">
        <f t="shared" si="1457"/>
        <v>-1.3090403017619536</v>
      </c>
      <c r="JM516" s="15">
        <f t="shared" si="1483"/>
        <v>819.69095969823809</v>
      </c>
      <c r="JN516" s="21"/>
      <c r="JO516" s="19">
        <f>INDEX(Input!$1:$1048576,JO$93,$C516*2+6)</f>
        <v>5995.5</v>
      </c>
      <c r="JP516" s="19">
        <f>INDEX(Input!$1:$1048576,JP$93,$C516*2+6)</f>
        <v>1890.7138380411029</v>
      </c>
      <c r="JQ516" s="39">
        <f t="shared" si="1469"/>
        <v>4126.326778526728</v>
      </c>
      <c r="JR516" s="39">
        <f t="shared" si="1486"/>
        <v>-21.540616567830966</v>
      </c>
      <c r="JS516" s="39">
        <f t="shared" si="1471"/>
        <v>1.5321443917516735</v>
      </c>
      <c r="JT516" s="39">
        <f t="shared" si="1459"/>
        <v>-2.0131669280071977E-2</v>
      </c>
      <c r="JU516" s="385">
        <f>(JQ516*JM516-INDEX(Input!$1:$1048576,Input!A$18,$C516*2+6)*JL516*INDEX(Input!$1:$1048576,Input!A$19,$C516*2+6))/1000000</f>
        <v>3.3823127571191125</v>
      </c>
      <c r="JV516" s="39">
        <f t="shared" si="1493"/>
        <v>1.2283318150858147E-2</v>
      </c>
      <c r="JW516" s="1">
        <f t="shared" si="1484"/>
        <v>3.6448696883249559E-3</v>
      </c>
      <c r="JX516" s="19">
        <f t="shared" si="1475"/>
        <v>15378.953003184834</v>
      </c>
      <c r="JZ516" s="341"/>
      <c r="KA516" s="342"/>
      <c r="KB516" s="469">
        <f t="shared" si="1472"/>
        <v>2.5122967434604799</v>
      </c>
      <c r="KI516" s="473">
        <f t="shared" ref="KI516:KI532" si="1499">$JM516*IE516-$JG516*HY516/SUM($HY516:$IA516)</f>
        <v>7.7079946811844593</v>
      </c>
      <c r="KJ516" s="473">
        <f t="shared" ref="KJ516:KJ532" si="1500">$JM516*IF516-$JG516*HZ516/SUM($HY516:$IA516)</f>
        <v>2.4645894688509316</v>
      </c>
      <c r="KK516" s="473">
        <f t="shared" si="1461"/>
        <v>-11.481624451797401</v>
      </c>
      <c r="KN516" s="544">
        <f t="shared" si="1476"/>
        <v>5002</v>
      </c>
      <c r="KO516" s="541">
        <f t="shared" si="1436"/>
        <v>-5.643108022959642E-3</v>
      </c>
      <c r="KP516" s="546">
        <f t="shared" si="1437"/>
        <v>-20.859740808318122</v>
      </c>
      <c r="KQ516" s="546">
        <f t="shared" si="1438"/>
        <v>-49.745544249994509</v>
      </c>
      <c r="KR516" s="548">
        <f t="shared" si="1439"/>
        <v>4.8873496988003851</v>
      </c>
      <c r="KS516" s="548">
        <f t="shared" si="1440"/>
        <v>2.0494066251290222</v>
      </c>
      <c r="KT516" s="473">
        <f t="shared" si="1474"/>
        <v>595.94378802984284</v>
      </c>
      <c r="KU516" s="663">
        <f t="shared" si="1462"/>
        <v>4.0142885819315612</v>
      </c>
      <c r="KV516" s="117" t="e">
        <f t="shared" si="1494"/>
        <v>#N/A</v>
      </c>
    </row>
    <row r="517" spans="1:308" s="26" customFormat="1" ht="15">
      <c r="A517" s="561">
        <f t="shared" si="1441"/>
        <v>5017</v>
      </c>
      <c r="B517" s="561">
        <f t="shared" si="1463"/>
        <v>17</v>
      </c>
      <c r="C517" s="561">
        <f t="shared" si="1464"/>
        <v>5</v>
      </c>
      <c r="D517" s="561" t="str">
        <f t="shared" si="1485"/>
        <v xml:space="preserve">360 Lease, </v>
      </c>
      <c r="E517" s="115">
        <f>INDEX(Input!$1:$1048576,E$93,$C517*2+MIN($B517,2)+5)</f>
        <v>1277.4263093788063</v>
      </c>
      <c r="F517" s="115">
        <f>INDEX(Input!$1:$1048576,F$93,$C517*2+MIN($B517,2)+5)</f>
        <v>0</v>
      </c>
      <c r="G517" s="115">
        <f>INDEX(Input!$1:$1048576,G$93,$C517*2+MIN($B517,2)+5)</f>
        <v>0</v>
      </c>
      <c r="H517" s="115">
        <f>INDEX(Input!$1:$1048576,H$93,$C517*2+MIN($B517,2)+5)</f>
        <v>0</v>
      </c>
      <c r="I517" s="118">
        <f>INDEX(Input!$1:$1048576,I$93,$C517*2+MIN($B517,2)+5)</f>
        <v>0.7</v>
      </c>
      <c r="J517" s="118" t="str">
        <f>INDEX(Input!$1:$1048576,J$93,$C517*2+MIN($B517,2)+5)</f>
        <v>Market</v>
      </c>
      <c r="K517" s="118" t="str">
        <f>INDEX(Input!$1:$1048576,K$93,$C517*2+MIN($B517,2)+5)</f>
        <v>Market</v>
      </c>
      <c r="L517" s="118" t="str">
        <f>INDEX(Input!$1:$1048576,L$93,$C517*2+MIN($B517,2)+5)</f>
        <v>Market</v>
      </c>
      <c r="M517" s="118" t="str">
        <f>INDEX(Input!$1:$1048576,M$93,$C517*2+MIN($B517,2)+5)</f>
        <v>Market</v>
      </c>
      <c r="N517" s="118" t="str">
        <f>INDEX(Input!$1:$1048576,N$93,$C517*2+MIN($B517,2)+5)</f>
        <v>Market</v>
      </c>
      <c r="O517" s="118" t="str">
        <f>INDEX(Input!$1:$1048576,O$93,$C517*2+MIN($B517,2)+5)</f>
        <v>Market</v>
      </c>
      <c r="P517" s="118" t="str">
        <f>INDEX(Input!$1:$1048576,P$93,$C517*2+MIN($B517,2)+5)</f>
        <v>N</v>
      </c>
      <c r="Q517" s="30">
        <f>INDEX(Input!$1:$1048576,Q$93,$C517*2+MIN($B517,2)+5)</f>
        <v>0</v>
      </c>
      <c r="R517" s="383">
        <f>INDEX(Input!$1:$1048576,R$93,$C517*2+MIN($B517,2)+5)</f>
        <v>0</v>
      </c>
      <c r="S517" s="383">
        <f>INDEX(Input!$1:$1048576,S$93,$C517*2+MIN($B517,2)+5)</f>
        <v>0</v>
      </c>
      <c r="T517" s="383">
        <f>INDEX(Input!$1:$1048576,T$93,$C517*2+MIN($B517,2)+5)</f>
        <v>0</v>
      </c>
      <c r="U517" s="383">
        <f>INDEX(Input!$1:$1048576,U$93,$C517*2+MIN($B517,2)+5)</f>
        <v>0</v>
      </c>
      <c r="V517" s="383">
        <f>INDEX(Input!$1:$1048576,V$93,$C517*2+MIN($B517,2)+5)</f>
        <v>1.9E-2</v>
      </c>
      <c r="W517" s="884">
        <f>INDEX(Input!$1:$1048576,W$93,$C517*2+MIN($B517,2)+5)</f>
        <v>3.9E-2</v>
      </c>
      <c r="X517" s="118" t="str">
        <f>INDEX(Input!$1:$1048576,X$93,$C517*2+MIN($B517,2)+5)</f>
        <v>Y</v>
      </c>
      <c r="Y517" s="475">
        <f>INDEX(Input!$1:$1048576,Y$93,$C517*2+MIN($B517,2)+5)+360</f>
        <v>-357.93641739252325</v>
      </c>
      <c r="Z517" s="30">
        <f>INDEX(Input!$1:$1048576,Z$93,$C517*2+MIN($B517,2)+5)</f>
        <v>0</v>
      </c>
      <c r="AA517" s="115">
        <f>INDEX(Input!$1:$1048576,AA$93,$C517*2+MIN($B517,2)+5)</f>
        <v>0</v>
      </c>
      <c r="AB517" s="118">
        <f>INDEX(Input!$1:$1048576,AB$93,$C517*2+MIN($B517,2)+5)</f>
        <v>0.27</v>
      </c>
      <c r="AC517" s="115">
        <f>INDEX(Input!$1:$1048576,AC$93,$C517*2+MIN($B517,2)+5)</f>
        <v>0</v>
      </c>
      <c r="AD517" s="118">
        <f>INDEX(Input!$1:$1048576,AD$93,$C517*2+MIN($B517,2)+5)</f>
        <v>0.27</v>
      </c>
      <c r="AE517" s="115">
        <f>INDEX(Input!$1:$1048576,AE$93,$C517*2+MIN($B517,2)+5)</f>
        <v>0</v>
      </c>
      <c r="AF517" s="118">
        <f>INDEX(Input!$1:$1048576,AF$93,$C517*2+MIN($B517,2)+5)</f>
        <v>0.2</v>
      </c>
      <c r="AG517" s="115">
        <f>INDEX(Input!$1:$1048576,AG$93,$C517*2+MIN($B517,2)+5)</f>
        <v>500</v>
      </c>
      <c r="AH517" s="118">
        <f>INDEX(Input!$1:$1048576,AH$93,$C517*2+MIN($B517,2)+5)</f>
        <v>1</v>
      </c>
      <c r="AI517" s="115">
        <f>INDEX(Input!$1:$1048576,AI$93,$C517*2+MIN($B517,2)+5)</f>
        <v>0</v>
      </c>
      <c r="AJ517" s="118">
        <f>INDEX(Input!$1:$1048576,AJ$93,$C517*2+MIN($B517,2)+5)</f>
        <v>0.27</v>
      </c>
      <c r="AK517" s="150">
        <f>ROUND(INDEX(Input!$1:$1048576,AK$93,$C516*2+MIN($B517,1)+5)+(Y517-VLOOKUP($C517*1000+1,$A:$HH,Y$92,FALSE)),0)</f>
        <v>2947</v>
      </c>
      <c r="AL517" s="150">
        <f>ROUND(INDEX(Input!$1:$1048576,AL$93,$C516*2+MIN($B517,1)+5)-(Y517-VLOOKUP($C517*1000+1,$A:$HH,Y$92,FALSE))/36,0)</f>
        <v>3396</v>
      </c>
      <c r="AM517" s="32" t="str">
        <f t="shared" si="1442"/>
        <v>std/std/std/std</v>
      </c>
      <c r="AN517" s="32" t="str">
        <f t="shared" si="1443"/>
        <v>$0 + 0/0/0/1.9/3.9</v>
      </c>
      <c r="AO517" s="32" t="str">
        <f t="shared" si="1444"/>
        <v>0/0/0/1.9/3.9</v>
      </c>
      <c r="AP517" s="32" t="str">
        <f t="shared" si="1396"/>
        <v>0/0.9/1.9/3.9</v>
      </c>
      <c r="AQ517" s="536">
        <f t="shared" si="1394"/>
        <v>0.39425524560057329</v>
      </c>
      <c r="AR517" s="32"/>
      <c r="AS517" s="302"/>
      <c r="AT517" s="3">
        <f t="shared" si="1465"/>
        <v>17</v>
      </c>
      <c r="AU517" s="41" t="s">
        <v>121</v>
      </c>
      <c r="AV517" s="41" t="s">
        <v>116</v>
      </c>
      <c r="AW517" s="41" t="str">
        <f>INDEX(Input!$1:$1048576,AW$93,$C517*2+6)</f>
        <v>Kia</v>
      </c>
      <c r="AX517" s="41" t="str">
        <f>INDEX(Input!$1:$1048576,AX$93,$C517*2+6)</f>
        <v>Kia-LR - R2</v>
      </c>
      <c r="AY517" s="41" t="str">
        <f>IF(LEN(D517)=0,"",INDEX(Input!$1:$1048576,AY$93,$C517*2+6))</f>
        <v>Compact SUV (52)</v>
      </c>
      <c r="AZ517" s="41" t="str">
        <f>INDEX(Input!$1:$1048576,AZ$93,$C517*2+6)</f>
        <v>Kia Soul</v>
      </c>
      <c r="BA517" s="3">
        <f>INDEX(Input!$1:$1048576,BA$93,$C517*2+6)</f>
        <v>2020</v>
      </c>
      <c r="BB517" s="128">
        <f>INDEX(Input!$1:$1048576,BB$93,$C517*2+6)</f>
        <v>1</v>
      </c>
      <c r="BC517" s="128">
        <f>INDEX(Input!$1:$1048576,BC$93,$C517*2+6)</f>
        <v>0.7</v>
      </c>
      <c r="BD517" s="1">
        <f>INDEX(Input!$1:$1048576,BD$93,$C517*2+6)</f>
        <v>4.4999999999999998E-2</v>
      </c>
      <c r="BE517" s="1">
        <f>INDEX(Input!$1:$1048576,BE$93,$C517*2+6)</f>
        <v>4.4999999999999998E-2</v>
      </c>
      <c r="BF517" s="1">
        <f>INDEX(Input!$1:$1048576,BF$93,$C517*2+6)</f>
        <v>0.05</v>
      </c>
      <c r="BG517" s="1">
        <f>INDEX(Input!$1:$1048576,BG$93,$C517*2+6)</f>
        <v>5.45E-2</v>
      </c>
      <c r="BH517" s="1">
        <f>INDEX(Input!$1:$1048576,BH$93,$C517*2+6)</f>
        <v>5.45E-2</v>
      </c>
      <c r="BI517" s="1">
        <f>INDEX(Input!$1:$1048576,BI$93,$C517*2+6)</f>
        <v>0.05</v>
      </c>
      <c r="BJ517" s="1">
        <f>INDEX(Input!$1:$1048576,BJ$93,$C517*2+6)</f>
        <v>0.05</v>
      </c>
      <c r="BK517" s="1">
        <f>INDEX(Input!$1:$1048576,BK$93,$C517*2+6)</f>
        <v>0.05</v>
      </c>
      <c r="BL517" s="1">
        <f>INDEX(Input!$1:$1048576,BL$93,$C517*2+6)</f>
        <v>5.5E-2</v>
      </c>
      <c r="BM517" s="1">
        <f>INDEX(Input!$1:$1048576,BM$93,$C517*2+6)</f>
        <v>0.06</v>
      </c>
      <c r="BN517" s="1">
        <f>INDEX(Input!$1:$1048576,BN$93,$C517*2+6)</f>
        <v>4.4999999999999998E-2</v>
      </c>
      <c r="BO517" s="1">
        <f>INDEX(Input!$1:$1048576,BO$93,$C517*2+6)</f>
        <v>4.4999999999999998E-2</v>
      </c>
      <c r="BP517" s="1">
        <f>INDEX(Input!$1:$1048576,BP$93,$C517*2+6)</f>
        <v>0.05</v>
      </c>
      <c r="BQ517" s="1">
        <f>INDEX(Input!$1:$1048576,BQ$93,$C517*2+6)</f>
        <v>5.45E-2</v>
      </c>
      <c r="BR517" s="1">
        <f>INDEX(Input!$1:$1048576,BR$93,$C517*2+6)</f>
        <v>5.45E-2</v>
      </c>
      <c r="BS517" s="1">
        <f>INDEX(Input!$1:$1048576,BS$93,$C517*2+6)</f>
        <v>0.05</v>
      </c>
      <c r="BT517" s="1">
        <f>INDEX(Input!$1:$1048576,BT$93,$C517*2+6)</f>
        <v>0.05</v>
      </c>
      <c r="BU517" s="1">
        <f>INDEX(Input!$1:$1048576,BU$93,$C517*2+6)</f>
        <v>0.05</v>
      </c>
      <c r="BV517" s="1">
        <f>INDEX(Input!$1:$1048576,BV$93,$C517*2+6)</f>
        <v>5.5E-2</v>
      </c>
      <c r="BW517" s="1">
        <f>INDEX(Input!$1:$1048576,BW$93,$C517*2+6)</f>
        <v>0.06</v>
      </c>
      <c r="BX517" s="127">
        <f>INDEX(Input!$1:$1048576,BX$93,$C517*2+6)</f>
        <v>19985</v>
      </c>
      <c r="BY517" s="20">
        <f>INDEX(Input!$1:$1048576,BY$93,$C517*2+6)</f>
        <v>0.1</v>
      </c>
      <c r="BZ517" s="20">
        <f>INDEX(Input!$1:$1048576,BZ$93,$C517*2+6)</f>
        <v>0.1</v>
      </c>
      <c r="CA517" s="20">
        <f>INDEX(Input!$1:$1048576,CA$93,$C517*2+6)</f>
        <v>0.1</v>
      </c>
      <c r="CB517" s="20">
        <f>INDEX(Input!$1:$1048576,CB$93,$C517*2+6)</f>
        <v>0.1</v>
      </c>
      <c r="CC517" s="20">
        <f>INDEX(Input!$1:$1048576,CC$93,$C517*2+6)</f>
        <v>0.1</v>
      </c>
      <c r="CD517" s="384">
        <f>INDEX(Input!$1:$1048576,CD$93,$C517*2+6)</f>
        <v>0.1</v>
      </c>
      <c r="CE517" s="384">
        <f>INDEX(Input!$1:$1048576,CE$93,$C517*2+6)</f>
        <v>0.1</v>
      </c>
      <c r="CF517" s="384">
        <f>INDEX(Input!$1:$1048576,CF$93,$C517*2+6)</f>
        <v>0.1</v>
      </c>
      <c r="CG517" s="384">
        <f>INDEX(Input!$1:$1048576,CG$93,$C517*2+6)</f>
        <v>0.1</v>
      </c>
      <c r="CH517" s="384">
        <f>INDEX(Input!$1:$1048576,CH$93,$C517*2+6)</f>
        <v>0.1</v>
      </c>
      <c r="CI517" s="304">
        <f t="shared" si="1397"/>
        <v>1277.4263093788063</v>
      </c>
      <c r="CJ517" s="16" t="str">
        <f>INDEX(Input!$1:$1048576,CJ$93,$C517*2+6)</f>
        <v>N</v>
      </c>
      <c r="CK517" s="1" t="str">
        <f t="shared" si="1398"/>
        <v>Market</v>
      </c>
      <c r="CL517" s="1" t="str">
        <f t="shared" si="1399"/>
        <v>Market</v>
      </c>
      <c r="CM517" s="1" t="str">
        <f t="shared" si="1400"/>
        <v>Market</v>
      </c>
      <c r="CN517" s="1" t="str">
        <f t="shared" si="1401"/>
        <v>Market</v>
      </c>
      <c r="CO517" s="1" t="str">
        <f t="shared" si="1402"/>
        <v>Market</v>
      </c>
      <c r="CP517" s="304">
        <f t="shared" si="1403"/>
        <v>500</v>
      </c>
      <c r="CQ517" s="1">
        <f t="shared" si="1404"/>
        <v>0</v>
      </c>
      <c r="CR517" s="1">
        <f t="shared" si="1405"/>
        <v>0</v>
      </c>
      <c r="CS517" s="1">
        <f t="shared" si="1406"/>
        <v>0</v>
      </c>
      <c r="CT517" s="1">
        <f t="shared" si="1407"/>
        <v>1.9E-2</v>
      </c>
      <c r="CU517" s="1">
        <f t="shared" si="1408"/>
        <v>3.9E-2</v>
      </c>
      <c r="CV517" s="304">
        <f t="shared" si="1409"/>
        <v>-357.93641739252325</v>
      </c>
      <c r="CW517" s="20" t="s">
        <v>122</v>
      </c>
      <c r="CX517" s="20" t="s">
        <v>122</v>
      </c>
      <c r="CY517" s="20" t="s">
        <v>122</v>
      </c>
      <c r="CZ517" s="20" t="s">
        <v>122</v>
      </c>
      <c r="DA517" s="20" t="s">
        <v>122</v>
      </c>
      <c r="DB517" s="503">
        <f t="shared" si="1410"/>
        <v>0</v>
      </c>
      <c r="DC517" s="127">
        <v>0</v>
      </c>
      <c r="DD517" s="127">
        <v>0</v>
      </c>
      <c r="DE517" s="127">
        <v>0</v>
      </c>
      <c r="DF517" s="127">
        <v>0</v>
      </c>
      <c r="DG517" s="127">
        <v>0</v>
      </c>
      <c r="DH517" s="127">
        <v>0</v>
      </c>
      <c r="DI517" s="127">
        <v>0</v>
      </c>
      <c r="DJ517" s="127">
        <v>0</v>
      </c>
      <c r="DK517" s="127">
        <v>0</v>
      </c>
      <c r="DL517" s="127">
        <v>0</v>
      </c>
      <c r="DM517" s="304">
        <f>INDEX(Input!$1:$1048576,DM$93,$C517*2+6)</f>
        <v>21036.84210526316</v>
      </c>
      <c r="DN517" s="20">
        <v>0</v>
      </c>
      <c r="DO517" s="20">
        <v>0</v>
      </c>
      <c r="DP517" s="20">
        <v>0</v>
      </c>
      <c r="DQ517" s="20">
        <v>0</v>
      </c>
      <c r="DR517" s="20">
        <v>0</v>
      </c>
      <c r="DS517" s="20">
        <f>INDEX(Input!$1:$1048576,DS$93,$C517*2+6)</f>
        <v>0.6</v>
      </c>
      <c r="DT517" s="20">
        <f>INDEX(Input!$1:$1048576,DT$93,$C517*2+6)</f>
        <v>0.55000000000000004</v>
      </c>
      <c r="DU517" s="20">
        <f>INDEX(Input!$1:$1048576,DU$93,$C517*2+6)</f>
        <v>0.52</v>
      </c>
      <c r="DV517" s="20">
        <f>INDEX(Input!$1:$1048576,DV$93,$C517*2+6)</f>
        <v>0.5</v>
      </c>
      <c r="DW517" s="20">
        <f>INDEX(Input!$1:$1048576,DW$93,$C517*2+6)</f>
        <v>0.45</v>
      </c>
      <c r="DX517" s="20"/>
      <c r="DY517" s="7">
        <v>0.11751184078599133</v>
      </c>
      <c r="DZ517" s="7">
        <v>0</v>
      </c>
      <c r="EA517" s="7">
        <v>0.72462733112372069</v>
      </c>
      <c r="EB517" s="7">
        <v>0</v>
      </c>
      <c r="EC517" s="7">
        <v>0</v>
      </c>
      <c r="ED517" s="7">
        <v>0</v>
      </c>
      <c r="EE517" s="7">
        <v>0</v>
      </c>
      <c r="EF517" s="7">
        <v>0</v>
      </c>
      <c r="EG517" s="7">
        <v>0</v>
      </c>
      <c r="EH517" s="7">
        <v>1.2087580502510482E-2</v>
      </c>
      <c r="EI517" s="7">
        <v>3.3597904893582518E-2</v>
      </c>
      <c r="EJ517" s="7">
        <v>0.29181096925542244</v>
      </c>
      <c r="EK517" s="7">
        <v>0.53746092210328367</v>
      </c>
      <c r="EL517" s="7">
        <v>0.1250426232452013</v>
      </c>
      <c r="EM517" s="7">
        <v>7.4478409427310238E-2</v>
      </c>
      <c r="EN517" s="7">
        <v>5.9529006115852615E-2</v>
      </c>
      <c r="EO517" s="7">
        <v>0.72733692778666859</v>
      </c>
      <c r="EP517" s="7">
        <v>8.5028008032419083E-2</v>
      </c>
      <c r="EQ517" s="7">
        <v>8.36910733503132E-2</v>
      </c>
      <c r="ER517" s="7">
        <v>4.4414984714747037E-2</v>
      </c>
      <c r="ES517" s="7">
        <v>8.3382418662977617E-2</v>
      </c>
      <c r="ET517" s="7">
        <v>0.15786082809028792</v>
      </c>
      <c r="EU517" s="6">
        <v>1270</v>
      </c>
      <c r="EV517" s="6">
        <v>0</v>
      </c>
      <c r="EW517" s="6">
        <v>1270</v>
      </c>
      <c r="EX517" s="6">
        <v>0</v>
      </c>
      <c r="EY517" s="6">
        <v>2015.7228679320158</v>
      </c>
      <c r="EZ517" s="6">
        <v>353.55009605986834</v>
      </c>
      <c r="FA517" s="6">
        <v>0</v>
      </c>
      <c r="FB517" s="6">
        <v>0</v>
      </c>
      <c r="FC517" s="6">
        <v>0</v>
      </c>
      <c r="FD517" s="6">
        <v>0</v>
      </c>
      <c r="FE517" s="6">
        <v>0</v>
      </c>
      <c r="FF517" s="6">
        <v>0</v>
      </c>
      <c r="FG517" s="6">
        <v>0</v>
      </c>
      <c r="FH517" s="6">
        <v>1172.130501244133</v>
      </c>
      <c r="FI517" s="6">
        <v>1553.9796069512402</v>
      </c>
      <c r="FJ517" s="6">
        <v>2101.2110117447405</v>
      </c>
      <c r="FK517" s="6">
        <v>1772.7139978623227</v>
      </c>
      <c r="FL517" s="6">
        <v>907.07682140966267</v>
      </c>
      <c r="FM517" s="6">
        <v>1745.7228679320158</v>
      </c>
      <c r="FN517" s="6">
        <v>0</v>
      </c>
      <c r="FO517" s="6">
        <v>0</v>
      </c>
      <c r="FP517" s="6">
        <v>0</v>
      </c>
      <c r="FQ517" s="6">
        <v>0</v>
      </c>
      <c r="FR517" s="6">
        <v>0</v>
      </c>
      <c r="FS517" s="6">
        <v>0</v>
      </c>
      <c r="FT517" s="7">
        <v>0.84213917190971199</v>
      </c>
      <c r="FU517" s="7">
        <v>7.4478409427310238E-2</v>
      </c>
      <c r="FV517" s="7">
        <v>8.3382418662977617E-2</v>
      </c>
      <c r="FW517" s="6">
        <v>1270</v>
      </c>
      <c r="FX517" s="6">
        <v>2015.7228679320158</v>
      </c>
      <c r="FY517" s="6">
        <v>353.55009605986834</v>
      </c>
      <c r="FZ517" s="6">
        <v>1758.1538569113241</v>
      </c>
      <c r="GA517" s="6">
        <v>1249.1244435031667</v>
      </c>
      <c r="GB517" s="6">
        <v>18735.875556496834</v>
      </c>
      <c r="GC517" s="7">
        <v>3.064145122680037E-2</v>
      </c>
      <c r="GD517" s="7">
        <v>2.9388438928078006E-2</v>
      </c>
      <c r="GE517" s="7"/>
      <c r="GF517" s="7"/>
      <c r="GG517" s="7">
        <v>-4.089272043441676E-2</v>
      </c>
      <c r="GH517" s="42">
        <v>1.6054887917184599</v>
      </c>
      <c r="GI517" s="6">
        <v>13697.046909912133</v>
      </c>
      <c r="GJ517" s="14">
        <v>0.50394797582841744</v>
      </c>
      <c r="GK517" s="14">
        <v>0.50887573065309755</v>
      </c>
      <c r="GL517" s="14">
        <v>0.49605202417158273</v>
      </c>
      <c r="GM517" s="14">
        <v>0.49112426934690256</v>
      </c>
      <c r="GO517" s="5">
        <v>343.14810671672558</v>
      </c>
      <c r="GP517" s="5">
        <v>318.91892952659737</v>
      </c>
      <c r="GQ517" s="5">
        <v>535.04305713031317</v>
      </c>
      <c r="GR517" s="5">
        <v>410.15490233172511</v>
      </c>
      <c r="GS517" s="5">
        <v>339.42744393800166</v>
      </c>
      <c r="GT517" s="5">
        <v>293.4407446948278</v>
      </c>
      <c r="GU517" s="5">
        <v>258.04012322764959</v>
      </c>
      <c r="GV517" s="39" t="s">
        <v>392</v>
      </c>
      <c r="GW517" s="5">
        <v>492.125</v>
      </c>
      <c r="GX517" s="5">
        <v>369.09375</v>
      </c>
      <c r="GY517" s="5">
        <v>295.27499999999998</v>
      </c>
      <c r="GZ517" s="5">
        <v>260.54902799031458</v>
      </c>
      <c r="HA517" s="5">
        <v>241.34874471337258</v>
      </c>
      <c r="HB517" s="39">
        <v>274.72766220369385</v>
      </c>
      <c r="HC517" s="5">
        <v>271.81655829738071</v>
      </c>
      <c r="HD517" s="5">
        <v>229.24799238008356</v>
      </c>
      <c r="HE517" s="5">
        <v>231.16091712425109</v>
      </c>
      <c r="HF517" s="5">
        <v>212.73290951107165</v>
      </c>
      <c r="HG517" s="5">
        <v>203.85500473779987</v>
      </c>
      <c r="HH517" s="39">
        <v>229.43471481165926</v>
      </c>
      <c r="HI517" s="16"/>
      <c r="HJ517" s="19" t="str">
        <f t="shared" si="1466"/>
        <v>On</v>
      </c>
      <c r="HK517" s="1" t="str">
        <f t="shared" si="1466"/>
        <v>On</v>
      </c>
      <c r="HL517" s="16"/>
      <c r="HM517" s="639">
        <f t="shared" si="1413"/>
        <v>2.4909940070666322E-2</v>
      </c>
      <c r="HN517" s="639">
        <f t="shared" si="1414"/>
        <v>2.2052381276269151E-3</v>
      </c>
      <c r="HO517" s="639">
        <f t="shared" si="1415"/>
        <v>2.079866082302006E-3</v>
      </c>
      <c r="HP517" s="644">
        <f>(FT517*$GD517-HM517)/$JF517*INDEX(Input!$1:$1048576,$JG$93,$C517*2+6)</f>
        <v>-4.5214533872571305</v>
      </c>
      <c r="HQ517" s="644">
        <f>(FU517*$GD517-HN517)/$JF517*INDEX(Input!$1:$1048576,$JG$93,$C517*2+6)</f>
        <v>-0.46214231411648327</v>
      </c>
      <c r="HR517" s="644">
        <f>(FV517*$GD517-HO517)/$JF517*INDEX(Input!$1:$1048576,$JG$93,$C517*2+6)</f>
        <v>10.422087387062815</v>
      </c>
      <c r="HS517" s="644">
        <f t="shared" si="1416"/>
        <v>-1.4587299759621675</v>
      </c>
      <c r="HT517" s="644">
        <f t="shared" si="1417"/>
        <v>1.6472749494996022</v>
      </c>
      <c r="HU517" s="644">
        <f t="shared" si="1418"/>
        <v>2.8351462436993558</v>
      </c>
      <c r="HV517" s="648">
        <f t="shared" si="1419"/>
        <v>0</v>
      </c>
      <c r="HW517" s="648">
        <f t="shared" si="1420"/>
        <v>0</v>
      </c>
      <c r="HX517" s="648">
        <f t="shared" si="1421"/>
        <v>0</v>
      </c>
      <c r="HY517" s="644">
        <f>INDEX(Input!$1:$1048576,HY$93,$C517*2+6)*INDEX(Input!$1:$1048576,$JG$93,$C517*2+6)</f>
        <v>333.00000000000006</v>
      </c>
      <c r="HZ517" s="644">
        <f>INDEX(Input!$1:$1048576,HZ$93,$C517*2+6)*INDEX(Input!$1:$1048576,$JG$93,$C517*2+6)</f>
        <v>429</v>
      </c>
      <c r="IA517" s="644">
        <f>INDEX(Input!$1:$1048576,IA$93,$C517*2+6)*INDEX(Input!$1:$1048576,$JG$93,$C517*2+6)</f>
        <v>59</v>
      </c>
      <c r="IB517" s="644">
        <f t="shared" si="1445"/>
        <v>327.01981663678077</v>
      </c>
      <c r="IC517" s="644">
        <f t="shared" si="1446"/>
        <v>430.18513263538313</v>
      </c>
      <c r="ID517" s="644">
        <f>IF(AND(INDEX(Input!$1:$1048576,IA$93,$C517*2+7)="TOS",Y517&lt;=INDEX(Y:Y,MATCH(C517*1000+2,A:A))),0,1)*MAX(IA517+HR517+HU517+HX517,0%)</f>
        <v>72.257233630762173</v>
      </c>
      <c r="IE517" s="128">
        <f t="shared" si="1498"/>
        <v>0.39425524560057329</v>
      </c>
      <c r="IF517" s="128">
        <f t="shared" si="1468"/>
        <v>0.51863139936028735</v>
      </c>
      <c r="IG517" s="128">
        <f t="shared" si="1423"/>
        <v>8.711335503913939E-2</v>
      </c>
      <c r="IH517" s="21"/>
      <c r="II517" s="19">
        <f t="shared" si="1424"/>
        <v>1240</v>
      </c>
      <c r="IJ517" s="19">
        <f t="shared" si="1425"/>
        <v>1985.7442651839444</v>
      </c>
      <c r="IK517" s="19">
        <f t="shared" si="1426"/>
        <v>-21.44990394013189</v>
      </c>
      <c r="IL517" s="19">
        <f t="shared" si="1448"/>
        <v>30</v>
      </c>
      <c r="IM517" s="19">
        <f t="shared" si="1427"/>
        <v>29.978602748071353</v>
      </c>
      <c r="IN517" s="19">
        <f t="shared" si="1428"/>
        <v>375.00000000000023</v>
      </c>
      <c r="IO517" s="39">
        <f t="shared" si="1429"/>
        <v>0</v>
      </c>
      <c r="IP517" s="39">
        <f t="shared" si="1430"/>
        <v>0</v>
      </c>
      <c r="IQ517" s="39">
        <f t="shared" si="1431"/>
        <v>0</v>
      </c>
      <c r="IR517" s="39">
        <v>0</v>
      </c>
      <c r="IS517" s="39">
        <v>0</v>
      </c>
      <c r="IT517" s="39">
        <v>0</v>
      </c>
      <c r="IU517" s="39">
        <v>0</v>
      </c>
      <c r="IV517" s="39">
        <v>0</v>
      </c>
      <c r="IW517" s="39">
        <v>0</v>
      </c>
      <c r="IX517" s="39">
        <f>INDEX(Input!$1:$1048576,IX$93,$C517*2+6)+INDEX(Input!$1:$1048576,IX$94,$C517*2+6)</f>
        <v>1270</v>
      </c>
      <c r="IY517" s="39">
        <f>INDEX(Input!$1:$1048576,IY$93,$C517*2+6)+INDEX(Input!$1:$1048576,IY$94,$C517*2+6)</f>
        <v>2130.0624533823611</v>
      </c>
      <c r="IZ517" s="39">
        <f>INDEX(Input!$1:$1048576,IZ$93,$C517*2+6)+INDEX(Input!$1:$1048576,IZ$94,$C517*2+6)</f>
        <v>3653.7164157747857</v>
      </c>
      <c r="JA517" s="19">
        <f t="shared" si="1449"/>
        <v>1300</v>
      </c>
      <c r="JB517" s="19">
        <f t="shared" si="1450"/>
        <v>2160.0410561304325</v>
      </c>
      <c r="JC517" s="19">
        <f t="shared" si="1451"/>
        <v>4028.7164157747857</v>
      </c>
      <c r="JD517" s="19">
        <f t="shared" si="1452"/>
        <v>1983.7519383767421</v>
      </c>
      <c r="JE517" s="21"/>
      <c r="JF517" s="1">
        <f t="shared" si="1432"/>
        <v>2.9195044280595241E-2</v>
      </c>
      <c r="JG517" s="15">
        <f>INDEX(Input!$1:$1048576,JG$93,$C517*2+6)/(1+VLOOKUP(C517*1000+INDEX(Input!$1:$1048576,JG$93+1,$C517*2+6),$A:$KK,$JK$92,FALSE))</f>
        <v>821</v>
      </c>
      <c r="JH517" s="1">
        <f t="shared" si="1453"/>
        <v>6.6242286061987832E-3</v>
      </c>
      <c r="JI517" s="1">
        <f t="shared" si="1454"/>
        <v>3.6829369272068095E-3</v>
      </c>
      <c r="JJ517" s="1">
        <f t="shared" si="1492"/>
        <v>0</v>
      </c>
      <c r="JK517" s="1">
        <f t="shared" si="1496"/>
        <v>1.0307165533405592E-2</v>
      </c>
      <c r="JL517" s="15">
        <f t="shared" si="1457"/>
        <v>8.4621829029259921</v>
      </c>
      <c r="JM517" s="15">
        <f t="shared" si="1483"/>
        <v>829.46218290292597</v>
      </c>
      <c r="JN517" s="21"/>
      <c r="JO517" s="19">
        <f>INDEX(Input!$1:$1048576,JO$93,$C517*2+6)</f>
        <v>5995.5</v>
      </c>
      <c r="JP517" s="19">
        <f>INDEX(Input!$1:$1048576,JP$93,$C517*2+6)</f>
        <v>1890.7138380411029</v>
      </c>
      <c r="JQ517" s="39">
        <f t="shared" si="1469"/>
        <v>4011.7480616232579</v>
      </c>
      <c r="JR517" s="39">
        <f t="shared" si="1486"/>
        <v>93.038100335639228</v>
      </c>
      <c r="JS517" s="39">
        <f t="shared" si="1471"/>
        <v>1.6454472131438833</v>
      </c>
      <c r="JT517" s="39">
        <f t="shared" si="1459"/>
        <v>9.3171152112137764E-2</v>
      </c>
      <c r="JU517" s="385">
        <f>(JQ517*JM517-INDEX(Input!$1:$1048576,Input!A$18,$C517*2+6)*JL517*INDEX(Input!$1:$1048576,Input!A$19,$C517*2+6))/1000000</f>
        <v>3.3275933044506094</v>
      </c>
      <c r="JV517" s="39">
        <f t="shared" si="1493"/>
        <v>-4.2436134517644941E-2</v>
      </c>
      <c r="JW517" s="1">
        <f t="shared" si="1484"/>
        <v>-1.2592214782146503E-2</v>
      </c>
      <c r="JX517" s="19">
        <f t="shared" si="1475"/>
        <v>11010.297600625216</v>
      </c>
      <c r="JZ517" s="341"/>
      <c r="KA517" s="342"/>
      <c r="KB517" s="469">
        <f t="shared" si="1472"/>
        <v>2.5122967434604799</v>
      </c>
      <c r="KI517" s="473">
        <f t="shared" si="1499"/>
        <v>-5.9801833632193393</v>
      </c>
      <c r="KJ517" s="473">
        <f t="shared" si="1500"/>
        <v>1.1851326353831269</v>
      </c>
      <c r="KK517" s="473">
        <f t="shared" si="1461"/>
        <v>13.257233630762158</v>
      </c>
      <c r="KN517" s="544">
        <f t="shared" si="1476"/>
        <v>5002</v>
      </c>
      <c r="KO517" s="541">
        <f t="shared" si="1436"/>
        <v>6.2102411224356224E-3</v>
      </c>
      <c r="KP517" s="546">
        <f t="shared" si="1437"/>
        <v>31.348946606553291</v>
      </c>
      <c r="KQ517" s="546">
        <f t="shared" si="1438"/>
        <v>64.833172653475685</v>
      </c>
      <c r="KR517" s="548">
        <f t="shared" si="1439"/>
        <v>3.5788992214148059</v>
      </c>
      <c r="KS517" s="548">
        <f t="shared" si="1440"/>
        <v>1.7305141181665304</v>
      </c>
      <c r="KT517" s="473">
        <f t="shared" si="1474"/>
        <v>595.94378802984284</v>
      </c>
      <c r="KU517" s="663">
        <f t="shared" si="1462"/>
        <v>3.9476119807742798</v>
      </c>
      <c r="KV517" s="117" t="e">
        <f t="shared" si="1494"/>
        <v>#N/A</v>
      </c>
    </row>
    <row r="518" spans="1:308" s="26" customFormat="1" ht="15">
      <c r="A518" s="561">
        <f t="shared" si="1441"/>
        <v>5018</v>
      </c>
      <c r="B518" s="561">
        <f t="shared" si="1463"/>
        <v>18</v>
      </c>
      <c r="C518" s="561">
        <f t="shared" si="1464"/>
        <v>5</v>
      </c>
      <c r="D518" s="561" t="str">
        <f t="shared" si="1485"/>
        <v xml:space="preserve">720 Lease, </v>
      </c>
      <c r="E518" s="115">
        <f>INDEX(Input!$1:$1048576,E$93,$C518*2+MIN($B518,2)+5)</f>
        <v>1277.4263093788063</v>
      </c>
      <c r="F518" s="115">
        <f>INDEX(Input!$1:$1048576,F$93,$C518*2+MIN($B518,2)+5)</f>
        <v>0</v>
      </c>
      <c r="G518" s="115">
        <f>INDEX(Input!$1:$1048576,G$93,$C518*2+MIN($B518,2)+5)</f>
        <v>0</v>
      </c>
      <c r="H518" s="115">
        <f>INDEX(Input!$1:$1048576,H$93,$C518*2+MIN($B518,2)+5)</f>
        <v>0</v>
      </c>
      <c r="I518" s="118">
        <f>INDEX(Input!$1:$1048576,I$93,$C518*2+MIN($B518,2)+5)</f>
        <v>0.7</v>
      </c>
      <c r="J518" s="118" t="str">
        <f>INDEX(Input!$1:$1048576,J$93,$C518*2+MIN($B518,2)+5)</f>
        <v>Market</v>
      </c>
      <c r="K518" s="118" t="str">
        <f>INDEX(Input!$1:$1048576,K$93,$C518*2+MIN($B518,2)+5)</f>
        <v>Market</v>
      </c>
      <c r="L518" s="118" t="str">
        <f>INDEX(Input!$1:$1048576,L$93,$C518*2+MIN($B518,2)+5)</f>
        <v>Market</v>
      </c>
      <c r="M518" s="118" t="str">
        <f>INDEX(Input!$1:$1048576,M$93,$C518*2+MIN($B518,2)+5)</f>
        <v>Market</v>
      </c>
      <c r="N518" s="118" t="str">
        <f>INDEX(Input!$1:$1048576,N$93,$C518*2+MIN($B518,2)+5)</f>
        <v>Market</v>
      </c>
      <c r="O518" s="118" t="str">
        <f>INDEX(Input!$1:$1048576,O$93,$C518*2+MIN($B518,2)+5)</f>
        <v>Market</v>
      </c>
      <c r="P518" s="118" t="str">
        <f>INDEX(Input!$1:$1048576,P$93,$C518*2+MIN($B518,2)+5)</f>
        <v>N</v>
      </c>
      <c r="Q518" s="30">
        <f>INDEX(Input!$1:$1048576,Q$93,$C518*2+MIN($B518,2)+5)</f>
        <v>0</v>
      </c>
      <c r="R518" s="383">
        <f>INDEX(Input!$1:$1048576,R$93,$C518*2+MIN($B518,2)+5)</f>
        <v>0</v>
      </c>
      <c r="S518" s="383">
        <f>INDEX(Input!$1:$1048576,S$93,$C518*2+MIN($B518,2)+5)</f>
        <v>0</v>
      </c>
      <c r="T518" s="383">
        <f>INDEX(Input!$1:$1048576,T$93,$C518*2+MIN($B518,2)+5)</f>
        <v>0</v>
      </c>
      <c r="U518" s="383">
        <f>INDEX(Input!$1:$1048576,U$93,$C518*2+MIN($B518,2)+5)</f>
        <v>0</v>
      </c>
      <c r="V518" s="383">
        <f>INDEX(Input!$1:$1048576,V$93,$C518*2+MIN($B518,2)+5)</f>
        <v>1.9E-2</v>
      </c>
      <c r="W518" s="884">
        <f>INDEX(Input!$1:$1048576,W$93,$C518*2+MIN($B518,2)+5)</f>
        <v>3.9E-2</v>
      </c>
      <c r="X518" s="118" t="str">
        <f>INDEX(Input!$1:$1048576,X$93,$C518*2+MIN($B518,2)+5)</f>
        <v>Y</v>
      </c>
      <c r="Y518" s="475">
        <f>INDEX(Input!$1:$1048576,Y$93,$C518*2+MIN($B518,2)+5)+720</f>
        <v>2.0635826074767465</v>
      </c>
      <c r="Z518" s="30">
        <f>INDEX(Input!$1:$1048576,Z$93,$C518*2+MIN($B518,2)+5)</f>
        <v>0</v>
      </c>
      <c r="AA518" s="115">
        <f>INDEX(Input!$1:$1048576,AA$93,$C518*2+MIN($B518,2)+5)</f>
        <v>0</v>
      </c>
      <c r="AB518" s="118">
        <f>INDEX(Input!$1:$1048576,AB$93,$C518*2+MIN($B518,2)+5)</f>
        <v>0.27</v>
      </c>
      <c r="AC518" s="115">
        <f>INDEX(Input!$1:$1048576,AC$93,$C518*2+MIN($B518,2)+5)</f>
        <v>0</v>
      </c>
      <c r="AD518" s="118">
        <f>INDEX(Input!$1:$1048576,AD$93,$C518*2+MIN($B518,2)+5)</f>
        <v>0.27</v>
      </c>
      <c r="AE518" s="115">
        <f>INDEX(Input!$1:$1048576,AE$93,$C518*2+MIN($B518,2)+5)</f>
        <v>0</v>
      </c>
      <c r="AF518" s="118">
        <f>INDEX(Input!$1:$1048576,AF$93,$C518*2+MIN($B518,2)+5)</f>
        <v>0.2</v>
      </c>
      <c r="AG518" s="115">
        <f>INDEX(Input!$1:$1048576,AG$93,$C518*2+MIN($B518,2)+5)</f>
        <v>500</v>
      </c>
      <c r="AH518" s="118">
        <f>INDEX(Input!$1:$1048576,AH$93,$C518*2+MIN($B518,2)+5)</f>
        <v>1</v>
      </c>
      <c r="AI518" s="115">
        <f>INDEX(Input!$1:$1048576,AI$93,$C518*2+MIN($B518,2)+5)</f>
        <v>0</v>
      </c>
      <c r="AJ518" s="118">
        <f>INDEX(Input!$1:$1048576,AJ$93,$C518*2+MIN($B518,2)+5)</f>
        <v>0.27</v>
      </c>
      <c r="AK518" s="150">
        <f>ROUND(INDEX(Input!$1:$1048576,AK$93,$C517*2+MIN($B518,1)+5)+(Y518-VLOOKUP($C518*1000+1,$A:$HH,Y$92,FALSE)),0)</f>
        <v>3307</v>
      </c>
      <c r="AL518" s="150">
        <f>ROUND(INDEX(Input!$1:$1048576,AL$93,$C517*2+MIN($B518,1)+5)-(Y518-VLOOKUP($C518*1000+1,$A:$HH,Y$92,FALSE))/36,0)</f>
        <v>3386</v>
      </c>
      <c r="AM518" s="32" t="str">
        <f t="shared" si="1442"/>
        <v>std/std/std/std</v>
      </c>
      <c r="AN518" s="32" t="str">
        <f t="shared" si="1443"/>
        <v>$0 + 0/0/0/1.9/3.9</v>
      </c>
      <c r="AO518" s="32" t="str">
        <f t="shared" si="1444"/>
        <v>0/0/0/1.9/3.9</v>
      </c>
      <c r="AP518" s="32" t="str">
        <f t="shared" si="1396"/>
        <v>0/0.9/1.9/3.9</v>
      </c>
      <c r="AQ518" s="536">
        <f t="shared" si="1394"/>
        <v>0.38065535294163172</v>
      </c>
      <c r="AR518" s="32"/>
      <c r="AS518" s="302"/>
      <c r="AT518" s="3">
        <f t="shared" si="1465"/>
        <v>18</v>
      </c>
      <c r="AU518" s="41" t="s">
        <v>121</v>
      </c>
      <c r="AV518" s="41" t="s">
        <v>116</v>
      </c>
      <c r="AW518" s="41" t="str">
        <f>INDEX(Input!$1:$1048576,AW$93,$C518*2+6)</f>
        <v>Kia</v>
      </c>
      <c r="AX518" s="41" t="str">
        <f>INDEX(Input!$1:$1048576,AX$93,$C518*2+6)</f>
        <v>Kia-LR - R2</v>
      </c>
      <c r="AY518" s="41" t="str">
        <f>IF(LEN(D518)=0,"",INDEX(Input!$1:$1048576,AY$93,$C518*2+6))</f>
        <v>Compact SUV (52)</v>
      </c>
      <c r="AZ518" s="41" t="str">
        <f>INDEX(Input!$1:$1048576,AZ$93,$C518*2+6)</f>
        <v>Kia Soul</v>
      </c>
      <c r="BA518" s="3">
        <f>INDEX(Input!$1:$1048576,BA$93,$C518*2+6)</f>
        <v>2020</v>
      </c>
      <c r="BB518" s="128">
        <f>INDEX(Input!$1:$1048576,BB$93,$C518*2+6)</f>
        <v>1</v>
      </c>
      <c r="BC518" s="128">
        <f>INDEX(Input!$1:$1048576,BC$93,$C518*2+6)</f>
        <v>0.7</v>
      </c>
      <c r="BD518" s="1">
        <f>INDEX(Input!$1:$1048576,BD$93,$C518*2+6)</f>
        <v>4.4999999999999998E-2</v>
      </c>
      <c r="BE518" s="1">
        <f>INDEX(Input!$1:$1048576,BE$93,$C518*2+6)</f>
        <v>4.4999999999999998E-2</v>
      </c>
      <c r="BF518" s="1">
        <f>INDEX(Input!$1:$1048576,BF$93,$C518*2+6)</f>
        <v>0.05</v>
      </c>
      <c r="BG518" s="1">
        <f>INDEX(Input!$1:$1048576,BG$93,$C518*2+6)</f>
        <v>5.45E-2</v>
      </c>
      <c r="BH518" s="1">
        <f>INDEX(Input!$1:$1048576,BH$93,$C518*2+6)</f>
        <v>5.45E-2</v>
      </c>
      <c r="BI518" s="1">
        <f>INDEX(Input!$1:$1048576,BI$93,$C518*2+6)</f>
        <v>0.05</v>
      </c>
      <c r="BJ518" s="1">
        <f>INDEX(Input!$1:$1048576,BJ$93,$C518*2+6)</f>
        <v>0.05</v>
      </c>
      <c r="BK518" s="1">
        <f>INDEX(Input!$1:$1048576,BK$93,$C518*2+6)</f>
        <v>0.05</v>
      </c>
      <c r="BL518" s="1">
        <f>INDEX(Input!$1:$1048576,BL$93,$C518*2+6)</f>
        <v>5.5E-2</v>
      </c>
      <c r="BM518" s="1">
        <f>INDEX(Input!$1:$1048576,BM$93,$C518*2+6)</f>
        <v>0.06</v>
      </c>
      <c r="BN518" s="1">
        <f>INDEX(Input!$1:$1048576,BN$93,$C518*2+6)</f>
        <v>4.4999999999999998E-2</v>
      </c>
      <c r="BO518" s="1">
        <f>INDEX(Input!$1:$1048576,BO$93,$C518*2+6)</f>
        <v>4.4999999999999998E-2</v>
      </c>
      <c r="BP518" s="1">
        <f>INDEX(Input!$1:$1048576,BP$93,$C518*2+6)</f>
        <v>0.05</v>
      </c>
      <c r="BQ518" s="1">
        <f>INDEX(Input!$1:$1048576,BQ$93,$C518*2+6)</f>
        <v>5.45E-2</v>
      </c>
      <c r="BR518" s="1">
        <f>INDEX(Input!$1:$1048576,BR$93,$C518*2+6)</f>
        <v>5.45E-2</v>
      </c>
      <c r="BS518" s="1">
        <f>INDEX(Input!$1:$1048576,BS$93,$C518*2+6)</f>
        <v>0.05</v>
      </c>
      <c r="BT518" s="1">
        <f>INDEX(Input!$1:$1048576,BT$93,$C518*2+6)</f>
        <v>0.05</v>
      </c>
      <c r="BU518" s="1">
        <f>INDEX(Input!$1:$1048576,BU$93,$C518*2+6)</f>
        <v>0.05</v>
      </c>
      <c r="BV518" s="1">
        <f>INDEX(Input!$1:$1048576,BV$93,$C518*2+6)</f>
        <v>5.5E-2</v>
      </c>
      <c r="BW518" s="1">
        <f>INDEX(Input!$1:$1048576,BW$93,$C518*2+6)</f>
        <v>0.06</v>
      </c>
      <c r="BX518" s="127">
        <f>INDEX(Input!$1:$1048576,BX$93,$C518*2+6)</f>
        <v>19985</v>
      </c>
      <c r="BY518" s="20">
        <f>INDEX(Input!$1:$1048576,BY$93,$C518*2+6)</f>
        <v>0.1</v>
      </c>
      <c r="BZ518" s="20">
        <f>INDEX(Input!$1:$1048576,BZ$93,$C518*2+6)</f>
        <v>0.1</v>
      </c>
      <c r="CA518" s="20">
        <f>INDEX(Input!$1:$1048576,CA$93,$C518*2+6)</f>
        <v>0.1</v>
      </c>
      <c r="CB518" s="20">
        <f>INDEX(Input!$1:$1048576,CB$93,$C518*2+6)</f>
        <v>0.1</v>
      </c>
      <c r="CC518" s="20">
        <f>INDEX(Input!$1:$1048576,CC$93,$C518*2+6)</f>
        <v>0.1</v>
      </c>
      <c r="CD518" s="384">
        <f>INDEX(Input!$1:$1048576,CD$93,$C518*2+6)</f>
        <v>0.1</v>
      </c>
      <c r="CE518" s="384">
        <f>INDEX(Input!$1:$1048576,CE$93,$C518*2+6)</f>
        <v>0.1</v>
      </c>
      <c r="CF518" s="384">
        <f>INDEX(Input!$1:$1048576,CF$93,$C518*2+6)</f>
        <v>0.1</v>
      </c>
      <c r="CG518" s="384">
        <f>INDEX(Input!$1:$1048576,CG$93,$C518*2+6)</f>
        <v>0.1</v>
      </c>
      <c r="CH518" s="384">
        <f>INDEX(Input!$1:$1048576,CH$93,$C518*2+6)</f>
        <v>0.1</v>
      </c>
      <c r="CI518" s="304">
        <f t="shared" si="1397"/>
        <v>1277.4263093788063</v>
      </c>
      <c r="CJ518" s="16" t="str">
        <f>INDEX(Input!$1:$1048576,CJ$93,$C518*2+6)</f>
        <v>N</v>
      </c>
      <c r="CK518" s="1" t="str">
        <f t="shared" si="1398"/>
        <v>Market</v>
      </c>
      <c r="CL518" s="1" t="str">
        <f t="shared" si="1399"/>
        <v>Market</v>
      </c>
      <c r="CM518" s="1" t="str">
        <f t="shared" si="1400"/>
        <v>Market</v>
      </c>
      <c r="CN518" s="1" t="str">
        <f t="shared" si="1401"/>
        <v>Market</v>
      </c>
      <c r="CO518" s="1" t="str">
        <f t="shared" si="1402"/>
        <v>Market</v>
      </c>
      <c r="CP518" s="304">
        <f t="shared" si="1403"/>
        <v>500</v>
      </c>
      <c r="CQ518" s="1">
        <f t="shared" si="1404"/>
        <v>0</v>
      </c>
      <c r="CR518" s="1">
        <f t="shared" si="1405"/>
        <v>0</v>
      </c>
      <c r="CS518" s="1">
        <f t="shared" si="1406"/>
        <v>0</v>
      </c>
      <c r="CT518" s="1">
        <f t="shared" si="1407"/>
        <v>1.9E-2</v>
      </c>
      <c r="CU518" s="1">
        <f t="shared" si="1408"/>
        <v>3.9E-2</v>
      </c>
      <c r="CV518" s="304">
        <f t="shared" si="1409"/>
        <v>2.0635826074767465</v>
      </c>
      <c r="CW518" s="20" t="s">
        <v>122</v>
      </c>
      <c r="CX518" s="20" t="s">
        <v>122</v>
      </c>
      <c r="CY518" s="20" t="s">
        <v>122</v>
      </c>
      <c r="CZ518" s="20" t="s">
        <v>122</v>
      </c>
      <c r="DA518" s="20" t="s">
        <v>122</v>
      </c>
      <c r="DB518" s="503">
        <f t="shared" si="1410"/>
        <v>0</v>
      </c>
      <c r="DC518" s="127">
        <v>0</v>
      </c>
      <c r="DD518" s="127">
        <v>0</v>
      </c>
      <c r="DE518" s="127">
        <v>0</v>
      </c>
      <c r="DF518" s="127">
        <v>0</v>
      </c>
      <c r="DG518" s="127">
        <v>0</v>
      </c>
      <c r="DH518" s="127">
        <v>0</v>
      </c>
      <c r="DI518" s="127">
        <v>0</v>
      </c>
      <c r="DJ518" s="127">
        <v>0</v>
      </c>
      <c r="DK518" s="127">
        <v>0</v>
      </c>
      <c r="DL518" s="127">
        <v>0</v>
      </c>
      <c r="DM518" s="304">
        <f>INDEX(Input!$1:$1048576,DM$93,$C518*2+6)</f>
        <v>21036.84210526316</v>
      </c>
      <c r="DN518" s="20">
        <v>0</v>
      </c>
      <c r="DO518" s="20">
        <v>0</v>
      </c>
      <c r="DP518" s="20">
        <v>0</v>
      </c>
      <c r="DQ518" s="20">
        <v>0</v>
      </c>
      <c r="DR518" s="20">
        <v>0</v>
      </c>
      <c r="DS518" s="20">
        <f>INDEX(Input!$1:$1048576,DS$93,$C518*2+6)</f>
        <v>0.6</v>
      </c>
      <c r="DT518" s="20">
        <f>INDEX(Input!$1:$1048576,DT$93,$C518*2+6)</f>
        <v>0.55000000000000004</v>
      </c>
      <c r="DU518" s="20">
        <f>INDEX(Input!$1:$1048576,DU$93,$C518*2+6)</f>
        <v>0.52</v>
      </c>
      <c r="DV518" s="20">
        <f>INDEX(Input!$1:$1048576,DV$93,$C518*2+6)</f>
        <v>0.5</v>
      </c>
      <c r="DW518" s="20">
        <f>INDEX(Input!$1:$1048576,DW$93,$C518*2+6)</f>
        <v>0.45</v>
      </c>
      <c r="DX518" s="20"/>
      <c r="DY518" s="7">
        <v>0.11548850176623439</v>
      </c>
      <c r="DZ518" s="7">
        <v>0</v>
      </c>
      <c r="EA518" s="7">
        <v>0.71250603480350638</v>
      </c>
      <c r="EB518" s="7">
        <v>0</v>
      </c>
      <c r="EC518" s="7">
        <v>0</v>
      </c>
      <c r="ED518" s="7">
        <v>0</v>
      </c>
      <c r="EE518" s="7">
        <v>0</v>
      </c>
      <c r="EF518" s="7">
        <v>0</v>
      </c>
      <c r="EG518" s="7">
        <v>0</v>
      </c>
      <c r="EH518" s="7">
        <v>1.2086458174104649E-2</v>
      </c>
      <c r="EI518" s="7">
        <v>3.3589161911619772E-2</v>
      </c>
      <c r="EJ518" s="7">
        <v>0.29170727489230469</v>
      </c>
      <c r="EK518" s="7">
        <v>0.53757849909089217</v>
      </c>
      <c r="EL518" s="7">
        <v>0.12503860593107827</v>
      </c>
      <c r="EM518" s="7">
        <v>7.3173966505895541E-2</v>
      </c>
      <c r="EN518" s="7">
        <v>6.0665075700939416E-2</v>
      </c>
      <c r="EO518" s="7">
        <v>0.73772109490281701</v>
      </c>
      <c r="EP518" s="7">
        <v>8.0238719316999399E-2</v>
      </c>
      <c r="EQ518" s="7">
        <v>7.8902113421430636E-2</v>
      </c>
      <c r="ER518" s="7">
        <v>4.2472996657813053E-2</v>
      </c>
      <c r="ES518" s="7">
        <v>9.8831496924363632E-2</v>
      </c>
      <c r="ET518" s="7">
        <v>0.17200546343025933</v>
      </c>
      <c r="EU518" s="6">
        <v>1270</v>
      </c>
      <c r="EV518" s="6">
        <v>0</v>
      </c>
      <c r="EW518" s="6">
        <v>1270</v>
      </c>
      <c r="EX518" s="6">
        <v>0</v>
      </c>
      <c r="EY518" s="6">
        <v>2015.694804011368</v>
      </c>
      <c r="EZ518" s="6">
        <v>713.55009605986834</v>
      </c>
      <c r="FA518" s="6">
        <v>0</v>
      </c>
      <c r="FB518" s="6">
        <v>0</v>
      </c>
      <c r="FC518" s="6">
        <v>0</v>
      </c>
      <c r="FD518" s="6">
        <v>0</v>
      </c>
      <c r="FE518" s="6">
        <v>0</v>
      </c>
      <c r="FF518" s="6">
        <v>0</v>
      </c>
      <c r="FG518" s="6">
        <v>0</v>
      </c>
      <c r="FH518" s="6">
        <v>1172.1251554917217</v>
      </c>
      <c r="FI518" s="6">
        <v>1553.9796069512406</v>
      </c>
      <c r="FJ518" s="6">
        <v>2101.2110117447414</v>
      </c>
      <c r="FK518" s="6">
        <v>1772.7139978623222</v>
      </c>
      <c r="FL518" s="6">
        <v>907.07682140966358</v>
      </c>
      <c r="FM518" s="6">
        <v>1745.694804011368</v>
      </c>
      <c r="FN518" s="6">
        <v>0</v>
      </c>
      <c r="FO518" s="6">
        <v>0</v>
      </c>
      <c r="FP518" s="6">
        <v>0</v>
      </c>
      <c r="FQ518" s="6">
        <v>0</v>
      </c>
      <c r="FR518" s="6">
        <v>0</v>
      </c>
      <c r="FS518" s="6">
        <v>0</v>
      </c>
      <c r="FT518" s="7">
        <v>0.82799453656974076</v>
      </c>
      <c r="FU518" s="7">
        <v>7.3173966505895541E-2</v>
      </c>
      <c r="FV518" s="7">
        <v>9.8831496924363632E-2</v>
      </c>
      <c r="FW518" s="6">
        <v>1269.9999999999998</v>
      </c>
      <c r="FX518" s="6">
        <v>2015.6948040113678</v>
      </c>
      <c r="FY518" s="6">
        <v>713.55009605986834</v>
      </c>
      <c r="FZ518" s="6">
        <v>1758.1538569113241</v>
      </c>
      <c r="GA518" s="6">
        <v>1269.5706696425264</v>
      </c>
      <c r="GB518" s="6">
        <v>18715.429330357474</v>
      </c>
      <c r="GC518" s="7">
        <v>3.064145122680037E-2</v>
      </c>
      <c r="GD518" s="7">
        <v>2.9499382393543949E-2</v>
      </c>
      <c r="GE518" s="7"/>
      <c r="GF518" s="7"/>
      <c r="GG518" s="7">
        <v>-3.727202164163549E-2</v>
      </c>
      <c r="GH518" s="42">
        <v>1.5245742627207579</v>
      </c>
      <c r="GI518" s="6">
        <v>14378.148250071268</v>
      </c>
      <c r="GJ518" s="14">
        <v>0.50394797582841699</v>
      </c>
      <c r="GK518" s="14">
        <v>0.50887573065309699</v>
      </c>
      <c r="GL518" s="14">
        <v>0.49605202417158256</v>
      </c>
      <c r="GM518" s="14">
        <v>0.49112426934690229</v>
      </c>
      <c r="GO518" s="5">
        <v>343.14810671672558</v>
      </c>
      <c r="GP518" s="5">
        <v>318.91892952659737</v>
      </c>
      <c r="GQ518" s="5">
        <v>535.04305713031317</v>
      </c>
      <c r="GR518" s="5">
        <v>410.15490233172511</v>
      </c>
      <c r="GS518" s="5">
        <v>339.42744393800166</v>
      </c>
      <c r="GT518" s="5">
        <v>293.4407446948278</v>
      </c>
      <c r="GU518" s="5">
        <v>258.04012322764959</v>
      </c>
      <c r="GV518" s="39" t="s">
        <v>392</v>
      </c>
      <c r="GW518" s="5">
        <v>492.125</v>
      </c>
      <c r="GX518" s="5">
        <v>369.09375</v>
      </c>
      <c r="GY518" s="5">
        <v>295.27499999999998</v>
      </c>
      <c r="GZ518" s="5">
        <v>260.54902799031458</v>
      </c>
      <c r="HA518" s="5">
        <v>241.34874471337258</v>
      </c>
      <c r="HB518" s="39">
        <v>274.72292954087339</v>
      </c>
      <c r="HC518" s="5">
        <v>256.06655829738071</v>
      </c>
      <c r="HD518" s="5">
        <v>218.49799238008356</v>
      </c>
      <c r="HE518" s="5">
        <v>221.18014789348186</v>
      </c>
      <c r="HF518" s="5">
        <v>204.40790951107164</v>
      </c>
      <c r="HG518" s="5">
        <v>196.95500473779987</v>
      </c>
      <c r="HH518" s="39">
        <v>218.96557244005794</v>
      </c>
      <c r="HI518" s="16"/>
      <c r="HJ518" s="19" t="str">
        <f t="shared" si="1466"/>
        <v>On</v>
      </c>
      <c r="HK518" s="1" t="str">
        <f t="shared" si="1466"/>
        <v>On</v>
      </c>
      <c r="HL518" s="16"/>
      <c r="HM518" s="639">
        <f t="shared" si="1413"/>
        <v>2.4909940070666322E-2</v>
      </c>
      <c r="HN518" s="639">
        <f t="shared" si="1414"/>
        <v>2.2052381276269151E-3</v>
      </c>
      <c r="HO518" s="639">
        <f t="shared" si="1415"/>
        <v>2.079866082302006E-3</v>
      </c>
      <c r="HP518" s="644">
        <f>(FT518*$GD518-HM518)/$JF518*INDEX(Input!$1:$1048576,$JG$93,$C518*2+6)</f>
        <v>-13.627893639399138</v>
      </c>
      <c r="HQ518" s="644">
        <f>(FU518*$GD518-HN518)/$JF518*INDEX(Input!$1:$1048576,$JG$93,$C518*2+6)</f>
        <v>-1.3118912868344936</v>
      </c>
      <c r="HR518" s="644">
        <f>(FV518*$GD518-HO518)/$JF518*INDEX(Input!$1:$1048576,$JG$93,$C518*2+6)</f>
        <v>23.498141211959826</v>
      </c>
      <c r="HS518" s="644">
        <f t="shared" si="1416"/>
        <v>-1.4587191237590642</v>
      </c>
      <c r="HT518" s="644">
        <f t="shared" si="1417"/>
        <v>1.6456186191735793</v>
      </c>
      <c r="HU518" s="644">
        <f t="shared" si="1418"/>
        <v>5.4285695179599838</v>
      </c>
      <c r="HV518" s="648">
        <f t="shared" si="1419"/>
        <v>0</v>
      </c>
      <c r="HW518" s="648">
        <f t="shared" si="1420"/>
        <v>0</v>
      </c>
      <c r="HX518" s="648">
        <f t="shared" si="1421"/>
        <v>0</v>
      </c>
      <c r="HY518" s="644">
        <f>INDEX(Input!$1:$1048576,HY$93,$C518*2+6)*INDEX(Input!$1:$1048576,$JG$93,$C518*2+6)</f>
        <v>333.00000000000006</v>
      </c>
      <c r="HZ518" s="644">
        <f>INDEX(Input!$1:$1048576,HZ$93,$C518*2+6)*INDEX(Input!$1:$1048576,$JG$93,$C518*2+6)</f>
        <v>429</v>
      </c>
      <c r="IA518" s="644">
        <f>INDEX(Input!$1:$1048576,IA$93,$C518*2+6)*INDEX(Input!$1:$1048576,$JG$93,$C518*2+6)</f>
        <v>59</v>
      </c>
      <c r="IB518" s="644">
        <f t="shared" si="1445"/>
        <v>317.91338723684191</v>
      </c>
      <c r="IC518" s="644">
        <f t="shared" si="1446"/>
        <v>429.33372733233909</v>
      </c>
      <c r="ID518" s="644">
        <f>IF(AND(INDEX(Input!$1:$1048576,IA$93,$C518*2+7)="TOS",Y518&lt;=INDEX(Y:Y,MATCH(C518*1000+2,A:A))),0,1)*MAX(IA518+HR518+HU518+HX518,0%)</f>
        <v>87.926710729919805</v>
      </c>
      <c r="IE518" s="128">
        <f t="shared" si="1498"/>
        <v>0.38065535294163172</v>
      </c>
      <c r="IF518" s="128">
        <f t="shared" si="1468"/>
        <v>0.51406511354517337</v>
      </c>
      <c r="IG518" s="128">
        <f t="shared" si="1423"/>
        <v>0.10527953351319483</v>
      </c>
      <c r="IH518" s="21"/>
      <c r="II518" s="19">
        <f t="shared" si="1424"/>
        <v>1240</v>
      </c>
      <c r="IJ518" s="19">
        <f t="shared" si="1425"/>
        <v>1985.7442651839444</v>
      </c>
      <c r="IK518" s="19">
        <f t="shared" si="1426"/>
        <v>-21.44990394013189</v>
      </c>
      <c r="IL518" s="19">
        <f t="shared" si="1448"/>
        <v>29.999999999999773</v>
      </c>
      <c r="IM518" s="19">
        <f t="shared" si="1427"/>
        <v>29.950538827423316</v>
      </c>
      <c r="IN518" s="19">
        <f t="shared" si="1428"/>
        <v>735.00000000000023</v>
      </c>
      <c r="IO518" s="39">
        <f t="shared" si="1429"/>
        <v>0</v>
      </c>
      <c r="IP518" s="39">
        <f t="shared" si="1430"/>
        <v>0</v>
      </c>
      <c r="IQ518" s="39">
        <f t="shared" si="1431"/>
        <v>0</v>
      </c>
      <c r="IR518" s="39">
        <v>0</v>
      </c>
      <c r="IS518" s="39">
        <v>0</v>
      </c>
      <c r="IT518" s="39">
        <v>0</v>
      </c>
      <c r="IU518" s="39">
        <v>0</v>
      </c>
      <c r="IV518" s="39">
        <v>0</v>
      </c>
      <c r="IW518" s="39">
        <v>0</v>
      </c>
      <c r="IX518" s="39">
        <f>INDEX(Input!$1:$1048576,IX$93,$C518*2+6)+INDEX(Input!$1:$1048576,IX$94,$C518*2+6)</f>
        <v>1270</v>
      </c>
      <c r="IY518" s="39">
        <f>INDEX(Input!$1:$1048576,IY$93,$C518*2+6)+INDEX(Input!$1:$1048576,IY$94,$C518*2+6)</f>
        <v>2130.0624533823611</v>
      </c>
      <c r="IZ518" s="39">
        <f>INDEX(Input!$1:$1048576,IZ$93,$C518*2+6)+INDEX(Input!$1:$1048576,IZ$94,$C518*2+6)</f>
        <v>3653.7164157747857</v>
      </c>
      <c r="JA518" s="19">
        <f t="shared" si="1449"/>
        <v>1299.9999999999998</v>
      </c>
      <c r="JB518" s="19">
        <f t="shared" si="1450"/>
        <v>2160.0129922097844</v>
      </c>
      <c r="JC518" s="19">
        <f t="shared" si="1451"/>
        <v>4388.7164157747857</v>
      </c>
      <c r="JD518" s="19">
        <f t="shared" si="1452"/>
        <v>2067.2812998979634</v>
      </c>
      <c r="JE518" s="21"/>
      <c r="JF518" s="1">
        <f t="shared" si="1432"/>
        <v>2.9195044280595241E-2</v>
      </c>
      <c r="JG518" s="15">
        <f>INDEX(Input!$1:$1048576,JG$93,$C518*2+6)/(1+VLOOKUP(C518*1000+INDEX(Input!$1:$1048576,JG$93+1,$C518*2+6),$A:$KK,$JK$92,FALSE))</f>
        <v>821</v>
      </c>
      <c r="JH518" s="1">
        <f t="shared" si="1453"/>
        <v>1.0424307290774901E-2</v>
      </c>
      <c r="JI518" s="1">
        <f t="shared" si="1454"/>
        <v>6.8397917337082812E-3</v>
      </c>
      <c r="JJ518" s="1">
        <f t="shared" si="1492"/>
        <v>0</v>
      </c>
      <c r="JK518" s="1">
        <f t="shared" si="1496"/>
        <v>1.7264099024483184E-2</v>
      </c>
      <c r="JL518" s="15">
        <f t="shared" si="1457"/>
        <v>14.173825299100695</v>
      </c>
      <c r="JM518" s="15">
        <f t="shared" si="1483"/>
        <v>835.17382529910071</v>
      </c>
      <c r="JN518" s="21"/>
      <c r="JO518" s="19">
        <f>INDEX(Input!$1:$1048576,JO$93,$C518*2+6)</f>
        <v>5995.5</v>
      </c>
      <c r="JP518" s="19">
        <f>INDEX(Input!$1:$1048576,JP$93,$C518*2+6)</f>
        <v>1890.7138380411029</v>
      </c>
      <c r="JQ518" s="39">
        <f t="shared" si="1469"/>
        <v>3928.2187001020366</v>
      </c>
      <c r="JR518" s="39">
        <f t="shared" si="1486"/>
        <v>176.56746185686052</v>
      </c>
      <c r="JS518" s="39">
        <f t="shared" si="1471"/>
        <v>1.7265392312050796</v>
      </c>
      <c r="JT518" s="39">
        <f t="shared" si="1459"/>
        <v>0.17426317017333395</v>
      </c>
      <c r="JU518" s="385">
        <f>(JQ518*JM518-INDEX(Input!$1:$1048576,Input!A$18,$C518*2+6)*JL518*INDEX(Input!$1:$1048576,Input!A$19,$C518*2+6))/1000000</f>
        <v>3.2807454383756789</v>
      </c>
      <c r="JV518" s="39">
        <f t="shared" si="1493"/>
        <v>-8.9284000592575463E-2</v>
      </c>
      <c r="JW518" s="1">
        <f t="shared" si="1484"/>
        <v>-2.6493537284917622E-2</v>
      </c>
      <c r="JX518" s="19">
        <f t="shared" si="1475"/>
        <v>12294.716951562163</v>
      </c>
      <c r="JZ518" s="341"/>
      <c r="KA518" s="342"/>
      <c r="KB518" s="469">
        <f t="shared" si="1472"/>
        <v>2.5122967434604799</v>
      </c>
      <c r="KI518" s="473">
        <f t="shared" si="1499"/>
        <v>-15.0866127631582</v>
      </c>
      <c r="KJ518" s="473">
        <f t="shared" si="1500"/>
        <v>0.33372733233898089</v>
      </c>
      <c r="KK518" s="473">
        <f t="shared" si="1461"/>
        <v>28.92671072991979</v>
      </c>
      <c r="KN518" s="544">
        <f t="shared" si="1476"/>
        <v>5002</v>
      </c>
      <c r="KO518" s="541">
        <f t="shared" si="1436"/>
        <v>1.3138963360918687E-2</v>
      </c>
      <c r="KP518" s="546">
        <f t="shared" si="1437"/>
        <v>75.775080671311343</v>
      </c>
      <c r="KQ518" s="546">
        <f t="shared" si="1438"/>
        <v>148.36253417469698</v>
      </c>
      <c r="KR518" s="548">
        <f t="shared" si="1439"/>
        <v>3.1325546249456053</v>
      </c>
      <c r="KS518" s="548">
        <f t="shared" si="1440"/>
        <v>1.5999293941221024</v>
      </c>
      <c r="KT518" s="473">
        <f t="shared" si="1474"/>
        <v>595.94378802984284</v>
      </c>
      <c r="KU518" s="663">
        <f t="shared" si="1462"/>
        <v>3.8807619333242327</v>
      </c>
      <c r="KV518" s="117" t="e">
        <f t="shared" si="1494"/>
        <v>#N/A</v>
      </c>
    </row>
    <row r="519" spans="1:308" s="26" customFormat="1" ht="15">
      <c r="A519" s="561">
        <f t="shared" si="1441"/>
        <v>5019</v>
      </c>
      <c r="B519" s="561">
        <f t="shared" si="1463"/>
        <v>19</v>
      </c>
      <c r="C519" s="561">
        <f t="shared" si="1464"/>
        <v>5</v>
      </c>
      <c r="D519" s="765" t="str">
        <f>"Plan A: "&amp;IF(E519=INDEX(E:E,MATCH(C519*1000+2,A:A,0)),"",E519-INDEX(E:E,MATCH(C519*1000+2,A:A,0))&amp;E$100&amp;", ")
&amp;IF(F519=INDEX(F:F,MATCH(C519*1000+2,A:A,0)),"",F519-INDEX(F:F,MATCH(C519*1000+2,A:A,0))&amp;F$100&amp;", ")
&amp;IF(AM519=INDEX(AM:AM,MATCH(C519*1000+2,A:A,0)),"",AM519&amp;AM$100&amp;", ")
&amp;IF(AP519=INDEX(AP:AP,MATCH(C519*1000+2,A:A,0)),"",AP519&amp;AP$100&amp;", ")
&amp;IF(Q519=INDEX(Q:Q,MATCH(C519*1000+2,A:A,0)),"",Q519-INDEX(Q:Q,MATCH(C519*1000+2,A:A,0))&amp;Q$100&amp;", ")
&amp;IF(Y519=INDEX(Y:Y,MATCH(C519*1000+2,A:A,0)),"",Y519-INDEX(Y:Y,MATCH(C519*1000+2,A:A,0))&amp;Y$100&amp;", ")
&amp;IF(Z519=INDEX(Z:Z,MATCH(C519*1000+2,A:A,0)),"",Z519-INDEX(Z:Z,MATCH(C519*1000+2,A:A,0))&amp;Z$100&amp;", ")
&amp;IF(AA519=INDEX(AA:AA,MATCH(C519*1000+2,A:A,0)),"",AA519-INDEX(AA:AA,MATCH(C519*1000+2,A:A,0))&amp;AA$100&amp;", ")
&amp;IF(AC519=INDEX(AC:AC,MATCH(C519*1000+2,A:A,0)),"",AC519-INDEX(AC:AC,MATCH(C519*1000+2,A:A,0))&amp;AC$100&amp;", ")
&amp;IF(AE519=INDEX(AE:AE,MATCH(C519*1000+2,A:A,0)),"",AE519-INDEX(AE:AE,MATCH(C519*1000+2,A:A,0))&amp;AE$100&amp;", ")
&amp;IF(AG519=INDEX(AG:AG,MATCH(C519*1000+2,A:A,0)),"",AG519-INDEX(AG:AG,MATCH(C519*1000+2,A:A,0))&amp;AG$100&amp;", ")
&amp;IF(AI519=INDEX(AI:AI,MATCH(C519*1000+2,A:A,0)),"",AI519-INDEX(AI:AI,MATCH(C519*1000+2,A:A,0))&amp;AI$100&amp;", ")</f>
        <v xml:space="preserve">Plan A: </v>
      </c>
      <c r="E519" s="475">
        <f>INDEX(Input!$1:$1048576,E$93,$C519*2+MIN($B519,2)+5)</f>
        <v>1277.4263093788063</v>
      </c>
      <c r="F519" s="475">
        <f>INDEX(Input!$1:$1048576,F$93,$C519*2+MIN($B519,2)+5)</f>
        <v>0</v>
      </c>
      <c r="G519" s="475">
        <f>INDEX(Input!$1:$1048576,G$93,$C519*2+MIN($B519,2)+5)</f>
        <v>0</v>
      </c>
      <c r="H519" s="475">
        <f>INDEX(Input!$1:$1048576,H$93,$C519*2+MIN($B519,2)+5)</f>
        <v>0</v>
      </c>
      <c r="I519" s="476">
        <f>INDEX(Input!$1:$1048576,I$93,$C519*2+MIN($B519,2)+5)</f>
        <v>0.7</v>
      </c>
      <c r="J519" s="476" t="str">
        <f>INDEX(Input!$1:$1048576,J$93,$C519*2+MIN($B519,2)+5)</f>
        <v>Market</v>
      </c>
      <c r="K519" s="476" t="str">
        <f>INDEX(Input!$1:$1048576,K$93,$C519*2+MIN($B519,2)+5)</f>
        <v>Market</v>
      </c>
      <c r="L519" s="476" t="str">
        <f>INDEX(Input!$1:$1048576,L$93,$C519*2+MIN($B519,2)+5)</f>
        <v>Market</v>
      </c>
      <c r="M519" s="476" t="str">
        <f>INDEX(Input!$1:$1048576,M$93,$C519*2+MIN($B519,2)+5)</f>
        <v>Market</v>
      </c>
      <c r="N519" s="476" t="str">
        <f>INDEX(Input!$1:$1048576,N$93,$C519*2+MIN($B519,2)+5)</f>
        <v>Market</v>
      </c>
      <c r="O519" s="476" t="str">
        <f>INDEX(Input!$1:$1048576,O$93,$C519*2+MIN($B519,2)+5)</f>
        <v>Market</v>
      </c>
      <c r="P519" s="476" t="str">
        <f>INDEX(Input!$1:$1048576,P$93,$C519*2+MIN($B519,2)+5)</f>
        <v>N</v>
      </c>
      <c r="Q519" s="477">
        <f>INDEX(Input!$1:$1048576,Q$93,$C519*2+MIN($B519,2)+5)</f>
        <v>0</v>
      </c>
      <c r="R519" s="478">
        <f>IFERROR(MAX(0,INDEX(Input!$1:$1048576,R$93,$C519*2+MIN($B519,2)+5)-0%,),"Market")</f>
        <v>0</v>
      </c>
      <c r="S519" s="478">
        <f>IFERROR(MAX(0,INDEX(Input!$1:$1048576,S$93,$C519*2+MIN($B519,2)+5)-0%,),"Market")</f>
        <v>0</v>
      </c>
      <c r="T519" s="478">
        <f>IFERROR(MAX(0,INDEX(Input!$1:$1048576,T$93,$C519*2+MIN($B519,2)+5)-0%,),"Market")</f>
        <v>0</v>
      </c>
      <c r="U519" s="478">
        <f>IFERROR(MAX(0,INDEX(Input!$1:$1048576,U$93,$C519*2+MIN($B519,2)+5)-0%,),"Market")</f>
        <v>0</v>
      </c>
      <c r="V519" s="478">
        <f>IFERROR(MAX(0,INDEX(Input!$1:$1048576,V$93,$C519*2+MIN($B519,2)+5)-0%,),"Market")</f>
        <v>1.9E-2</v>
      </c>
      <c r="W519" s="885">
        <f>IFERROR(MAX(0,INDEX(Input!$1:$1048576,W$93,$C519*2+MIN($B519,2)+5)-0%,),"Market")</f>
        <v>3.9E-2</v>
      </c>
      <c r="X519" s="476" t="str">
        <f>INDEX(Input!$1:$1048576,X$93,$C519*2+MIN($B519,2)+5)</f>
        <v>Y</v>
      </c>
      <c r="Y519" s="475">
        <f>INDEX(Input!$1:$1048576,Y$93,$C519*2+MIN($B519,2)+5)</f>
        <v>-717.93641739252325</v>
      </c>
      <c r="Z519" s="477">
        <f>INDEX(Input!$1:$1048576,Z$93,$C519*2+MIN($B519,2)+5)</f>
        <v>0</v>
      </c>
      <c r="AA519" s="475">
        <f>INDEX(Input!$1:$1048576,AA$93,$C519*2+MIN($B519,2)+5)-AA$102</f>
        <v>0</v>
      </c>
      <c r="AB519" s="476">
        <f>INDEX(Input!$1:$1048576,AB$93,$C519*2+MIN($B519,2)+5)</f>
        <v>0.27</v>
      </c>
      <c r="AC519" s="475">
        <f>INDEX(Input!$1:$1048576,AC$93,$C519*2+MIN($B519,2)+5)-AC$102</f>
        <v>0</v>
      </c>
      <c r="AD519" s="476">
        <f>INDEX(Input!$1:$1048576,AD$93,$C519*2+MIN($B519,2)+5)</f>
        <v>0.27</v>
      </c>
      <c r="AE519" s="475">
        <f>INDEX(Input!$1:$1048576,AE$93,$C519*2+MIN($B519,2)+5)</f>
        <v>0</v>
      </c>
      <c r="AF519" s="476">
        <f>INDEX(Input!$1:$1048576,AF$93,$C519*2+MIN($B519,2)+5)</f>
        <v>0.2</v>
      </c>
      <c r="AG519" s="475">
        <f>INDEX(Input!$1:$1048576,AG$93,$C519*2+MIN($B519,2)+5)</f>
        <v>500</v>
      </c>
      <c r="AH519" s="476">
        <f>INDEX(Input!$1:$1048576,AH$93,$C519*2+MIN($B519,2)+5)</f>
        <v>1</v>
      </c>
      <c r="AI519" s="475">
        <f>INDEX(Input!$1:$1048576,AI$93,$C519*2+MIN($B519,2)+5)</f>
        <v>0</v>
      </c>
      <c r="AJ519" s="476">
        <f>INDEX(Input!$1:$1048576,AJ$93,$C519*2+MIN($B519,2)+5)</f>
        <v>0.27</v>
      </c>
      <c r="AK519" s="150">
        <f>ROUND(INDEX(Input!$1:$1048576,AK$93,$C518*2+MIN($B519,1)+5)+(Y519-VLOOKUP($C519*1000+1,$A:$HH,Y$92,FALSE)),0)</f>
        <v>2587</v>
      </c>
      <c r="AL519" s="150">
        <f>ROUND(INDEX(Input!$1:$1048576,AL$93,$C518*2+MIN($B519,1)+5)-(Y519-VLOOKUP($C519*1000+1,$A:$HH,Y$92,FALSE))/36,0)</f>
        <v>3406</v>
      </c>
      <c r="AM519" s="32" t="str">
        <f t="shared" si="1442"/>
        <v>std/std/std/std</v>
      </c>
      <c r="AN519" s="32" t="str">
        <f t="shared" si="1443"/>
        <v>$0 + 0/0/0/1.9/3.9</v>
      </c>
      <c r="AO519" s="32" t="str">
        <f t="shared" si="1444"/>
        <v>0/0/0/1.9/3.9</v>
      </c>
      <c r="AP519" s="32" t="str">
        <f t="shared" si="1396"/>
        <v>0/0.9/1.9/3.9</v>
      </c>
      <c r="AQ519" s="536">
        <f t="shared" si="1394"/>
        <v>0.40417356367765883</v>
      </c>
      <c r="AR519" s="32"/>
      <c r="AS519" s="302"/>
      <c r="AT519" s="3">
        <f t="shared" si="1465"/>
        <v>19</v>
      </c>
      <c r="AU519" s="41" t="s">
        <v>121</v>
      </c>
      <c r="AV519" s="41" t="s">
        <v>116</v>
      </c>
      <c r="AW519" s="41" t="str">
        <f>INDEX(Input!$1:$1048576,AW$93,$C519*2+6)</f>
        <v>Kia</v>
      </c>
      <c r="AX519" s="41" t="str">
        <f>INDEX(Input!$1:$1048576,AX$93,$C519*2+6)</f>
        <v>Kia-LR - R2</v>
      </c>
      <c r="AY519" s="41" t="str">
        <f>IF(LEN(D519)=0,"",INDEX(Input!$1:$1048576,AY$93,$C519*2+6))</f>
        <v>Compact SUV (52)</v>
      </c>
      <c r="AZ519" s="41" t="str">
        <f>INDEX(Input!$1:$1048576,AZ$93,$C519*2+6)</f>
        <v>Kia Soul</v>
      </c>
      <c r="BA519" s="3">
        <f>INDEX(Input!$1:$1048576,BA$93,$C519*2+6)</f>
        <v>2020</v>
      </c>
      <c r="BB519" s="128">
        <f>INDEX(Input!$1:$1048576,BB$93,$C519*2+6)</f>
        <v>1</v>
      </c>
      <c r="BC519" s="128">
        <f>INDEX(Input!$1:$1048576,BC$93,$C519*2+6)</f>
        <v>0.7</v>
      </c>
      <c r="BD519" s="1">
        <f>INDEX(Input!$1:$1048576,BD$93,$C519*2+6)</f>
        <v>4.4999999999999998E-2</v>
      </c>
      <c r="BE519" s="1">
        <f>INDEX(Input!$1:$1048576,BE$93,$C519*2+6)</f>
        <v>4.4999999999999998E-2</v>
      </c>
      <c r="BF519" s="1">
        <f>INDEX(Input!$1:$1048576,BF$93,$C519*2+6)</f>
        <v>0.05</v>
      </c>
      <c r="BG519" s="1">
        <f>INDEX(Input!$1:$1048576,BG$93,$C519*2+6)</f>
        <v>5.45E-2</v>
      </c>
      <c r="BH519" s="1">
        <f>INDEX(Input!$1:$1048576,BH$93,$C519*2+6)</f>
        <v>5.45E-2</v>
      </c>
      <c r="BI519" s="1">
        <f>INDEX(Input!$1:$1048576,BI$93,$C519*2+6)</f>
        <v>0.05</v>
      </c>
      <c r="BJ519" s="1">
        <f>INDEX(Input!$1:$1048576,BJ$93,$C519*2+6)</f>
        <v>0.05</v>
      </c>
      <c r="BK519" s="1">
        <f>INDEX(Input!$1:$1048576,BK$93,$C519*2+6)</f>
        <v>0.05</v>
      </c>
      <c r="BL519" s="1">
        <f>INDEX(Input!$1:$1048576,BL$93,$C519*2+6)</f>
        <v>5.5E-2</v>
      </c>
      <c r="BM519" s="1">
        <f>INDEX(Input!$1:$1048576,BM$93,$C519*2+6)</f>
        <v>0.06</v>
      </c>
      <c r="BN519" s="1">
        <f>INDEX(Input!$1:$1048576,BN$93,$C519*2+6)</f>
        <v>4.4999999999999998E-2</v>
      </c>
      <c r="BO519" s="1">
        <f>INDEX(Input!$1:$1048576,BO$93,$C519*2+6)</f>
        <v>4.4999999999999998E-2</v>
      </c>
      <c r="BP519" s="1">
        <f>INDEX(Input!$1:$1048576,BP$93,$C519*2+6)</f>
        <v>0.05</v>
      </c>
      <c r="BQ519" s="1">
        <f>INDEX(Input!$1:$1048576,BQ$93,$C519*2+6)</f>
        <v>5.45E-2</v>
      </c>
      <c r="BR519" s="1">
        <f>INDEX(Input!$1:$1048576,BR$93,$C519*2+6)</f>
        <v>5.45E-2</v>
      </c>
      <c r="BS519" s="1">
        <f>INDEX(Input!$1:$1048576,BS$93,$C519*2+6)</f>
        <v>0.05</v>
      </c>
      <c r="BT519" s="1">
        <f>INDEX(Input!$1:$1048576,BT$93,$C519*2+6)</f>
        <v>0.05</v>
      </c>
      <c r="BU519" s="1">
        <f>INDEX(Input!$1:$1048576,BU$93,$C519*2+6)</f>
        <v>0.05</v>
      </c>
      <c r="BV519" s="1">
        <f>INDEX(Input!$1:$1048576,BV$93,$C519*2+6)</f>
        <v>5.5E-2</v>
      </c>
      <c r="BW519" s="1">
        <f>INDEX(Input!$1:$1048576,BW$93,$C519*2+6)</f>
        <v>0.06</v>
      </c>
      <c r="BX519" s="127">
        <f>INDEX(Input!$1:$1048576,BX$93,$C519*2+6)</f>
        <v>19985</v>
      </c>
      <c r="BY519" s="20">
        <f>INDEX(Input!$1:$1048576,BY$93,$C519*2+6)</f>
        <v>0.1</v>
      </c>
      <c r="BZ519" s="20">
        <f>INDEX(Input!$1:$1048576,BZ$93,$C519*2+6)</f>
        <v>0.1</v>
      </c>
      <c r="CA519" s="20">
        <f>INDEX(Input!$1:$1048576,CA$93,$C519*2+6)</f>
        <v>0.1</v>
      </c>
      <c r="CB519" s="20">
        <f>INDEX(Input!$1:$1048576,CB$93,$C519*2+6)</f>
        <v>0.1</v>
      </c>
      <c r="CC519" s="20">
        <f>INDEX(Input!$1:$1048576,CC$93,$C519*2+6)</f>
        <v>0.1</v>
      </c>
      <c r="CD519" s="384">
        <f>INDEX(Input!$1:$1048576,CD$93,$C519*2+6)</f>
        <v>0.1</v>
      </c>
      <c r="CE519" s="384">
        <f>INDEX(Input!$1:$1048576,CE$93,$C519*2+6)</f>
        <v>0.1</v>
      </c>
      <c r="CF519" s="384">
        <f>INDEX(Input!$1:$1048576,CF$93,$C519*2+6)</f>
        <v>0.1</v>
      </c>
      <c r="CG519" s="384">
        <f>INDEX(Input!$1:$1048576,CG$93,$C519*2+6)</f>
        <v>0.1</v>
      </c>
      <c r="CH519" s="384">
        <f>INDEX(Input!$1:$1048576,CH$93,$C519*2+6)</f>
        <v>0.1</v>
      </c>
      <c r="CI519" s="304">
        <f t="shared" si="1397"/>
        <v>1277.4263093788063</v>
      </c>
      <c r="CJ519" s="16" t="str">
        <f>INDEX(Input!$1:$1048576,CJ$93,$C519*2+6)</f>
        <v>N</v>
      </c>
      <c r="CK519" s="1" t="str">
        <f t="shared" si="1398"/>
        <v>Market</v>
      </c>
      <c r="CL519" s="1" t="str">
        <f t="shared" si="1399"/>
        <v>Market</v>
      </c>
      <c r="CM519" s="1" t="str">
        <f t="shared" si="1400"/>
        <v>Market</v>
      </c>
      <c r="CN519" s="1" t="str">
        <f t="shared" si="1401"/>
        <v>Market</v>
      </c>
      <c r="CO519" s="1" t="str">
        <f t="shared" si="1402"/>
        <v>Market</v>
      </c>
      <c r="CP519" s="304">
        <f t="shared" si="1403"/>
        <v>500</v>
      </c>
      <c r="CQ519" s="1">
        <f t="shared" si="1404"/>
        <v>0</v>
      </c>
      <c r="CR519" s="1">
        <f t="shared" si="1405"/>
        <v>0</v>
      </c>
      <c r="CS519" s="1">
        <f t="shared" si="1406"/>
        <v>0</v>
      </c>
      <c r="CT519" s="1">
        <f t="shared" si="1407"/>
        <v>1.9E-2</v>
      </c>
      <c r="CU519" s="1">
        <f t="shared" si="1408"/>
        <v>3.9E-2</v>
      </c>
      <c r="CV519" s="304">
        <f t="shared" si="1409"/>
        <v>-717.93641739252325</v>
      </c>
      <c r="CW519" s="20" t="s">
        <v>122</v>
      </c>
      <c r="CX519" s="20" t="s">
        <v>122</v>
      </c>
      <c r="CY519" s="20" t="s">
        <v>122</v>
      </c>
      <c r="CZ519" s="20" t="s">
        <v>122</v>
      </c>
      <c r="DA519" s="20" t="s">
        <v>122</v>
      </c>
      <c r="DB519" s="503">
        <f t="shared" si="1410"/>
        <v>0</v>
      </c>
      <c r="DC519" s="127">
        <v>0</v>
      </c>
      <c r="DD519" s="127">
        <v>0</v>
      </c>
      <c r="DE519" s="127">
        <v>0</v>
      </c>
      <c r="DF519" s="127">
        <v>0</v>
      </c>
      <c r="DG519" s="127">
        <v>0</v>
      </c>
      <c r="DH519" s="127">
        <v>0</v>
      </c>
      <c r="DI519" s="127">
        <v>0</v>
      </c>
      <c r="DJ519" s="127">
        <v>0</v>
      </c>
      <c r="DK519" s="127">
        <v>0</v>
      </c>
      <c r="DL519" s="127">
        <v>0</v>
      </c>
      <c r="DM519" s="304">
        <f>INDEX(Input!$1:$1048576,DM$93,$C519*2+6)</f>
        <v>21036.84210526316</v>
      </c>
      <c r="DN519" s="20">
        <v>0</v>
      </c>
      <c r="DO519" s="20">
        <v>0</v>
      </c>
      <c r="DP519" s="20">
        <v>0</v>
      </c>
      <c r="DQ519" s="20">
        <v>0</v>
      </c>
      <c r="DR519" s="20">
        <v>0</v>
      </c>
      <c r="DS519" s="20">
        <f>INDEX(Input!$1:$1048576,DS$93,$C519*2+6)</f>
        <v>0.6</v>
      </c>
      <c r="DT519" s="20">
        <f>INDEX(Input!$1:$1048576,DT$93,$C519*2+6)</f>
        <v>0.55000000000000004</v>
      </c>
      <c r="DU519" s="20">
        <f>INDEX(Input!$1:$1048576,DU$93,$C519*2+6)</f>
        <v>0.52</v>
      </c>
      <c r="DV519" s="20">
        <f>INDEX(Input!$1:$1048576,DV$93,$C519*2+6)</f>
        <v>0.5</v>
      </c>
      <c r="DW519" s="20">
        <f>INDEX(Input!$1:$1048576,DW$93,$C519*2+6)</f>
        <v>0.45</v>
      </c>
      <c r="DX519" s="20"/>
      <c r="DY519" s="7">
        <v>0.11541468841385048</v>
      </c>
      <c r="DZ519" s="7">
        <v>0</v>
      </c>
      <c r="EA519" s="7">
        <v>0.73284954047330553</v>
      </c>
      <c r="EB519" s="7">
        <v>0</v>
      </c>
      <c r="EC519" s="7">
        <v>0</v>
      </c>
      <c r="ED519" s="7">
        <v>0</v>
      </c>
      <c r="EE519" s="7">
        <v>0</v>
      </c>
      <c r="EF519" s="7">
        <v>0</v>
      </c>
      <c r="EG519" s="7">
        <v>0</v>
      </c>
      <c r="EH519" s="7">
        <v>1.2088022501303204E-2</v>
      </c>
      <c r="EI519" s="7">
        <v>3.360122069309654E-2</v>
      </c>
      <c r="EJ519" s="7">
        <v>0.29184767224279018</v>
      </c>
      <c r="EK519" s="7">
        <v>0.53741822090844971</v>
      </c>
      <c r="EL519" s="7">
        <v>0.12504486365436007</v>
      </c>
      <c r="EM519" s="7">
        <v>7.5342934701299352E-2</v>
      </c>
      <c r="EN519" s="7">
        <v>5.8083816659615928E-2</v>
      </c>
      <c r="EO519" s="7">
        <v>0.71322346465997866</v>
      </c>
      <c r="EP519" s="7">
        <v>9.1556591474824145E-2</v>
      </c>
      <c r="EQ519" s="7">
        <v>9.0185968687129414E-2</v>
      </c>
      <c r="ER519" s="7">
        <v>4.6950158518451982E-2</v>
      </c>
      <c r="ES519" s="7">
        <v>7.6392836411544568E-2</v>
      </c>
      <c r="ET519" s="7">
        <v>0.15173577111284398</v>
      </c>
      <c r="EU519" s="6">
        <v>1000</v>
      </c>
      <c r="EV519" s="6">
        <v>0</v>
      </c>
      <c r="EW519" s="6">
        <v>1000</v>
      </c>
      <c r="EX519" s="6">
        <v>0</v>
      </c>
      <c r="EY519" s="6">
        <v>1745.732018826938</v>
      </c>
      <c r="EZ519" s="6">
        <v>-141.44990394013166</v>
      </c>
      <c r="FA519" s="6">
        <v>0</v>
      </c>
      <c r="FB519" s="6">
        <v>0</v>
      </c>
      <c r="FC519" s="6">
        <v>0</v>
      </c>
      <c r="FD519" s="6">
        <v>0</v>
      </c>
      <c r="FE519" s="6">
        <v>0</v>
      </c>
      <c r="FF519" s="6">
        <v>0</v>
      </c>
      <c r="FG519" s="6">
        <v>0</v>
      </c>
      <c r="FH519" s="6">
        <v>1172.1325024976452</v>
      </c>
      <c r="FI519" s="6">
        <v>1553.9796069512399</v>
      </c>
      <c r="FJ519" s="6">
        <v>2101.2110117447414</v>
      </c>
      <c r="FK519" s="6">
        <v>1772.7139978623234</v>
      </c>
      <c r="FL519" s="6">
        <v>907.07682140966324</v>
      </c>
      <c r="FM519" s="6">
        <v>1745.732018826938</v>
      </c>
      <c r="FN519" s="6">
        <v>0</v>
      </c>
      <c r="FO519" s="6">
        <v>0</v>
      </c>
      <c r="FP519" s="6">
        <v>0</v>
      </c>
      <c r="FQ519" s="6">
        <v>0</v>
      </c>
      <c r="FR519" s="6">
        <v>0</v>
      </c>
      <c r="FS519" s="6">
        <v>0</v>
      </c>
      <c r="FT519" s="7">
        <v>0.84826422888715602</v>
      </c>
      <c r="FU519" s="7">
        <v>7.5342934701299352E-2</v>
      </c>
      <c r="FV519" s="7">
        <v>7.6392836411544568E-2</v>
      </c>
      <c r="FW519" s="6">
        <v>1000</v>
      </c>
      <c r="FX519" s="6">
        <v>1745.732018826938</v>
      </c>
      <c r="FY519" s="6">
        <v>-141.44990394013166</v>
      </c>
      <c r="FZ519" s="6">
        <v>1758.1538569113241</v>
      </c>
      <c r="GA519" s="6">
        <v>968.98704301547434</v>
      </c>
      <c r="GB519" s="6">
        <v>19016.012956984527</v>
      </c>
      <c r="GC519" s="7">
        <v>3.064145122680037E-2</v>
      </c>
      <c r="GD519" s="7">
        <v>2.8380988286170448E-2</v>
      </c>
      <c r="GE519" s="7"/>
      <c r="GF519" s="7"/>
      <c r="GG519" s="7">
        <v>-7.3771406057061076E-2</v>
      </c>
      <c r="GH519" s="42">
        <v>1.8682001372715342</v>
      </c>
      <c r="GI519" s="6">
        <v>11666.449055403324</v>
      </c>
      <c r="GJ519" s="14">
        <v>0.50394797582841722</v>
      </c>
      <c r="GK519" s="14">
        <v>0.50887573065309721</v>
      </c>
      <c r="GL519" s="14">
        <v>0.49605202417158278</v>
      </c>
      <c r="GM519" s="14">
        <v>0.49112426934690234</v>
      </c>
      <c r="GO519" s="5">
        <v>343.14810671672558</v>
      </c>
      <c r="GP519" s="5">
        <v>324.070014441034</v>
      </c>
      <c r="GQ519" s="5">
        <v>535.04305713031317</v>
      </c>
      <c r="GR519" s="5">
        <v>410.15490233172511</v>
      </c>
      <c r="GS519" s="5">
        <v>339.42744393800166</v>
      </c>
      <c r="GT519" s="5">
        <v>293.4407446948278</v>
      </c>
      <c r="GU519" s="5">
        <v>258.04012322764959</v>
      </c>
      <c r="GV519" s="39" t="s">
        <v>392</v>
      </c>
      <c r="GW519" s="5">
        <v>499.625</v>
      </c>
      <c r="GX519" s="5">
        <v>374.71875</v>
      </c>
      <c r="GY519" s="5">
        <v>299.77499999999998</v>
      </c>
      <c r="GZ519" s="5">
        <v>264.51980311843727</v>
      </c>
      <c r="HA519" s="5">
        <v>245.02690693912888</v>
      </c>
      <c r="HB519" s="39">
        <v>278.91623976220421</v>
      </c>
      <c r="HC519" s="5">
        <v>293.47280829738077</v>
      </c>
      <c r="HD519" s="5">
        <v>244.02924238008356</v>
      </c>
      <c r="HE519" s="5">
        <v>244.88447481655879</v>
      </c>
      <c r="HF519" s="5">
        <v>224.17978451107166</v>
      </c>
      <c r="HG519" s="5">
        <v>213.34250473779989</v>
      </c>
      <c r="HH519" s="39">
        <v>243.7485257820733</v>
      </c>
      <c r="HI519" s="16"/>
      <c r="HJ519" s="19" t="str">
        <f t="shared" ref="HJ519:HK519" si="1501">HJ518</f>
        <v>On</v>
      </c>
      <c r="HK519" s="1" t="str">
        <f t="shared" si="1501"/>
        <v>On</v>
      </c>
      <c r="HL519" s="16"/>
      <c r="HM519" s="639">
        <f t="shared" si="1413"/>
        <v>2.4909940070666322E-2</v>
      </c>
      <c r="HN519" s="639">
        <f t="shared" si="1414"/>
        <v>2.2052381276269151E-3</v>
      </c>
      <c r="HO519" s="639">
        <f t="shared" si="1415"/>
        <v>2.079866082302006E-3</v>
      </c>
      <c r="HP519" s="644">
        <f>(FT519*$GD519-HM519)/$JF519*INDEX(Input!$1:$1048576,$JG$93,$C519*2+6)</f>
        <v>-23.491417122383673</v>
      </c>
      <c r="HQ519" s="644">
        <f>(FU519*$GD519-HN519)/$JF519*INDEX(Input!$1:$1048576,$JG$93,$C519*2+6)</f>
        <v>-1.8821858463261931</v>
      </c>
      <c r="HR519" s="644">
        <f>(FV519*$GD519-HO519)/$JF519*INDEX(Input!$1:$1048576,$JG$93,$C519*2+6)</f>
        <v>2.4813625939632415</v>
      </c>
      <c r="HS519" s="644">
        <f t="shared" ref="HS519" si="1502">IF(AND(HJ519="On",HK519="On"),IL519/1000*INDEX(KG:KG,MATCH(C519*1000+3,$KF:$KF,0))*SUM(HY519:IA519)*1.1
+INDEX(HR:HR,MATCH(C519*1000+4,$KF:$KF,0))/INDEX(IM:IM,MATCH(C519*1000+4,$KF:$KF,0))*IM519*20%,0)</f>
        <v>11.66991073715038</v>
      </c>
      <c r="HT519" s="644">
        <f t="shared" si="1417"/>
        <v>-13.189025287617293</v>
      </c>
      <c r="HU519" s="644">
        <f t="shared" si="1418"/>
        <v>-1.933767867338096</v>
      </c>
      <c r="HV519" s="648">
        <f t="shared" si="1419"/>
        <v>0</v>
      </c>
      <c r="HW519" s="648">
        <f t="shared" si="1420"/>
        <v>0</v>
      </c>
      <c r="HX519" s="648">
        <f t="shared" si="1421"/>
        <v>0</v>
      </c>
      <c r="HY519" s="644">
        <f>INDEX(Input!$1:$1048576,HY$93,$C519*2+6)*INDEX(Input!$1:$1048576,$JG$93,$C519*2+6)</f>
        <v>333.00000000000006</v>
      </c>
      <c r="HZ519" s="644">
        <f>INDEX(Input!$1:$1048576,HZ$93,$C519*2+6)*INDEX(Input!$1:$1048576,$JG$93,$C519*2+6)</f>
        <v>429</v>
      </c>
      <c r="IA519" s="644">
        <f>INDEX(Input!$1:$1048576,IA$93,$C519*2+6)*INDEX(Input!$1:$1048576,$JG$93,$C519*2+6)</f>
        <v>59</v>
      </c>
      <c r="IB519" s="644">
        <f t="shared" si="1445"/>
        <v>321.17849361476675</v>
      </c>
      <c r="IC519" s="644">
        <f t="shared" si="1446"/>
        <v>413.92878886605649</v>
      </c>
      <c r="ID519" s="644">
        <f>IF(AND(INDEX(Input!$1:$1048576,IA$93,$C519*2+7)="TOS",Y519&lt;=INDEX(Y:Y,MATCH(C519*1000+2,A:A))),0,1)*MAX(IA519+HR519+HU519+HX519,0%)</f>
        <v>59.547594726625142</v>
      </c>
      <c r="IE519" s="128">
        <f t="shared" ref="IE519" si="1503">IB519/SUM($IB519:$ID519)</f>
        <v>0.40417356367765883</v>
      </c>
      <c r="IF519" s="128">
        <f t="shared" ref="IF519" si="1504">IC519/SUM($IB519:$ID519)</f>
        <v>0.52089127083781617</v>
      </c>
      <c r="IG519" s="128">
        <f t="shared" si="1423"/>
        <v>7.493516548452514E-2</v>
      </c>
      <c r="IH519" s="21"/>
      <c r="II519" s="19">
        <f t="shared" si="1424"/>
        <v>1240</v>
      </c>
      <c r="IJ519" s="19">
        <f t="shared" si="1425"/>
        <v>1985.7442651839444</v>
      </c>
      <c r="IK519" s="19">
        <f t="shared" si="1426"/>
        <v>-21.44990394013189</v>
      </c>
      <c r="IL519" s="19">
        <f t="shared" si="1448"/>
        <v>-240</v>
      </c>
      <c r="IM519" s="19">
        <f t="shared" si="1427"/>
        <v>-240.01224635700646</v>
      </c>
      <c r="IN519" s="19">
        <f t="shared" si="1428"/>
        <v>-119.99999999999977</v>
      </c>
      <c r="IO519" s="39">
        <f t="shared" si="1429"/>
        <v>0</v>
      </c>
      <c r="IP519" s="39">
        <f t="shared" si="1430"/>
        <v>0</v>
      </c>
      <c r="IQ519" s="39">
        <f t="shared" si="1431"/>
        <v>0</v>
      </c>
      <c r="IR519" s="39">
        <v>0</v>
      </c>
      <c r="IS519" s="39">
        <v>0</v>
      </c>
      <c r="IT519" s="39">
        <v>0</v>
      </c>
      <c r="IU519" s="39">
        <v>0</v>
      </c>
      <c r="IV519" s="39">
        <v>0</v>
      </c>
      <c r="IW519" s="39">
        <v>0</v>
      </c>
      <c r="IX519" s="39">
        <f>INDEX(Input!$1:$1048576,IX$93,$C519*2+6)+INDEX(Input!$1:$1048576,IX$94,$C519*2+6)</f>
        <v>1270</v>
      </c>
      <c r="IY519" s="39">
        <f>INDEX(Input!$1:$1048576,IY$93,$C519*2+6)+INDEX(Input!$1:$1048576,IY$94,$C519*2+6)</f>
        <v>2130.0624533823611</v>
      </c>
      <c r="IZ519" s="39">
        <f>INDEX(Input!$1:$1048576,IZ$93,$C519*2+6)+INDEX(Input!$1:$1048576,IZ$94,$C519*2+6)</f>
        <v>3653.7164157747857</v>
      </c>
      <c r="JA519" s="19">
        <f t="shared" si="1449"/>
        <v>1030</v>
      </c>
      <c r="JB519" s="19">
        <f t="shared" si="1450"/>
        <v>1890.0502070253547</v>
      </c>
      <c r="JC519" s="19">
        <f t="shared" si="1451"/>
        <v>3533.7164157747857</v>
      </c>
      <c r="JD519" s="19">
        <f t="shared" si="1452"/>
        <v>1665.6090492641697</v>
      </c>
      <c r="JE519" s="21"/>
      <c r="JF519" s="1">
        <f t="shared" si="1432"/>
        <v>2.9195044280595241E-2</v>
      </c>
      <c r="JG519" s="15">
        <f>INDEX(Input!$1:$1048576,JG$93,$C519*2+6)/(1+VLOOKUP(C519*1000+INDEX(Input!$1:$1048576,JG$93+1,$C519*2+6),$A:$KK,$JK$92,FALSE))</f>
        <v>821</v>
      </c>
      <c r="JH519" s="1">
        <f t="shared" si="1453"/>
        <v>-2.7883362210410021E-2</v>
      </c>
      <c r="JI519" s="1">
        <f t="shared" si="1454"/>
        <v>-4.2057033103593293E-3</v>
      </c>
      <c r="JJ519" s="1">
        <f t="shared" ref="JJ519" si="1505">SUM(HV519:HX519)/SUM(HY519:IA519)</f>
        <v>0</v>
      </c>
      <c r="JK519" s="1">
        <f t="shared" ref="JK519" si="1506">SUM(JH519:JJ519)</f>
        <v>-3.2089065520769351E-2</v>
      </c>
      <c r="JL519" s="15">
        <f t="shared" si="1457"/>
        <v>-26.345122792551638</v>
      </c>
      <c r="JM519" s="15">
        <f t="shared" si="1483"/>
        <v>794.65487720744841</v>
      </c>
      <c r="JN519" s="21"/>
      <c r="JO519" s="19">
        <f>INDEX(Input!$1:$1048576,JO$93,$C519*2+6)</f>
        <v>5995.5</v>
      </c>
      <c r="JP519" s="19">
        <f>INDEX(Input!$1:$1048576,JP$93,$C519*2+6)</f>
        <v>1890.7138380411029</v>
      </c>
      <c r="JQ519" s="39">
        <f t="shared" si="1469"/>
        <v>4329.8909507358303</v>
      </c>
      <c r="JR519" s="39">
        <f t="shared" si="1486"/>
        <v>-225.10478877693322</v>
      </c>
      <c r="JS519" s="39">
        <f t="shared" si="1471"/>
        <v>1.3235843545186337</v>
      </c>
      <c r="JT519" s="39">
        <f t="shared" si="1459"/>
        <v>-0.22869170651311194</v>
      </c>
      <c r="JU519" s="385">
        <f>(JQ519*JM519-INDEX(Input!$1:$1048576,Input!A$18,$C519*2+6)*JL519*INDEX(Input!$1:$1048576,Input!A$19,$C519*2+6))/1000000</f>
        <v>3.4407689617786232</v>
      </c>
      <c r="JV519" s="39">
        <f t="shared" si="1493"/>
        <v>7.0739522810368882E-2</v>
      </c>
      <c r="JW519" s="1">
        <f t="shared" si="1484"/>
        <v>2.0990772956578689E-2</v>
      </c>
      <c r="JX519" s="19">
        <f t="shared" si="1475"/>
        <v>8680.6088669196961</v>
      </c>
      <c r="JZ519" s="341"/>
      <c r="KA519" s="342"/>
      <c r="KB519" s="469">
        <f t="shared" si="1472"/>
        <v>2.5122967434604799</v>
      </c>
      <c r="KI519" s="473">
        <f t="shared" si="1499"/>
        <v>-11.821506385233249</v>
      </c>
      <c r="KJ519" s="473">
        <f t="shared" si="1500"/>
        <v>-15.07121113394345</v>
      </c>
      <c r="KK519" s="473">
        <f t="shared" si="1461"/>
        <v>0.54759472662514952</v>
      </c>
      <c r="KN519" s="544">
        <f t="shared" si="1476"/>
        <v>5002</v>
      </c>
      <c r="KO519" s="541">
        <f t="shared" si="1436"/>
        <v>-3.6014067807592642E-2</v>
      </c>
      <c r="KP519" s="546">
        <f t="shared" si="1437"/>
        <v>-259.89089892956952</v>
      </c>
      <c r="KQ519" s="546">
        <f t="shared" si="1438"/>
        <v>-253.30971645909676</v>
      </c>
      <c r="KR519" s="548">
        <f t="shared" si="1439"/>
        <v>2.5034854135659481</v>
      </c>
      <c r="KS519" s="548">
        <f t="shared" si="1440"/>
        <v>2.5685279020624558</v>
      </c>
      <c r="KT519" s="473">
        <f t="shared" si="1474"/>
        <v>595.94378802984284</v>
      </c>
      <c r="KU519" s="663">
        <f t="shared" si="1462"/>
        <v>4.0008286361577063</v>
      </c>
      <c r="KV519" s="117"/>
    </row>
    <row r="520" spans="1:308" s="26" customFormat="1" ht="15">
      <c r="A520" s="561">
        <f t="shared" si="1441"/>
        <v>5020</v>
      </c>
      <c r="B520" s="561">
        <f t="shared" si="1463"/>
        <v>20</v>
      </c>
      <c r="C520" s="561">
        <f t="shared" si="1464"/>
        <v>5</v>
      </c>
      <c r="D520" s="765" t="str">
        <f>"Plan B: "&amp;IF(E520=INDEX(E:E,MATCH(C520*1000+2,A:A,0)),"",E520-INDEX(E:E,MATCH(C520*1000+2,A:A,0))&amp;E$100&amp;", ")
&amp;IF(F520=INDEX(F:F,MATCH(C520*1000+2,A:A,0)),"",F520-INDEX(F:F,MATCH(C520*1000+2,A:A,0))&amp;F$100&amp;", ")
&amp;IF(AM520=INDEX(AM:AM,MATCH(C520*1000+2,A:A,0)),"",AM520&amp;AM$100&amp;", ")
&amp;IF(AP520=INDEX(AP:AP,MATCH(C520*1000+2,A:A,0)),"",AP520&amp;AP$100&amp;", ")
&amp;IF(Q520=INDEX(Q:Q,MATCH(C520*1000+2,A:A,0)),"",Q520-INDEX(Q:Q,MATCH(C520*1000+2,A:A,0))&amp;Q$100&amp;", ")
&amp;IF(Y520=INDEX(Y:Y,MATCH(C520*1000+2,A:A,0)),"",Y520-INDEX(Y:Y,MATCH(C520*1000+2,A:A,0))&amp;Y$100&amp;", ")
&amp;IF(Z520=INDEX(Z:Z,MATCH(C520*1000+2,A:A,0)),"",Z520-INDEX(Z:Z,MATCH(C520*1000+2,A:A,0))&amp;Z$100&amp;", ")
&amp;IF(AA520=INDEX(AA:AA,MATCH(C520*1000+2,A:A,0)),"",AA520-INDEX(AA:AA,MATCH(C520*1000+2,A:A,0))&amp;AA$100&amp;", ")
&amp;IF(AC520=INDEX(AC:AC,MATCH(C520*1000+2,A:A,0)),"",AC520-INDEX(AC:AC,MATCH(C520*1000+2,A:A,0))&amp;AC$100&amp;", ")
&amp;IF(AE520=INDEX(AE:AE,MATCH(C520*1000+2,A:A,0)),"",AE520-INDEX(AE:AE,MATCH(C520*1000+2,A:A,0))&amp;AE$100&amp;", ")
&amp;IF(AG520=INDEX(AG:AG,MATCH(C520*1000+2,A:A,0)),"",AG520-INDEX(AG:AG,MATCH(C520*1000+2,A:A,0))&amp;AG$100&amp;", ")
&amp;IF(AI520=INDEX(AI:AI,MATCH(C520*1000+2,A:A,0)),"",AI520-INDEX(AI:AI,MATCH(C520*1000+2,A:A,0))&amp;AI$100&amp;", ")</f>
        <v xml:space="preserve">Plan B: </v>
      </c>
      <c r="E520" s="475">
        <f>INDEX(Input!$1:$1048576,E$93,$C520*2+MIN($B520,2)+5)</f>
        <v>1277.4263093788063</v>
      </c>
      <c r="F520" s="475">
        <f>INDEX(Input!$1:$1048576,F$93,$C520*2+MIN($B520,2)+5)</f>
        <v>0</v>
      </c>
      <c r="G520" s="475">
        <f>INDEX(Input!$1:$1048576,G$93,$C520*2+MIN($B520,2)+5)</f>
        <v>0</v>
      </c>
      <c r="H520" s="475">
        <f>INDEX(Input!$1:$1048576,H$93,$C520*2+MIN($B520,2)+5)</f>
        <v>0</v>
      </c>
      <c r="I520" s="476">
        <f>INDEX(Input!$1:$1048576,I$93,$C520*2+MIN($B520,2)+5)</f>
        <v>0.7</v>
      </c>
      <c r="J520" s="476" t="str">
        <f>INDEX(Input!$1:$1048576,J$93,$C520*2+MIN($B520,2)+5)</f>
        <v>Market</v>
      </c>
      <c r="K520" s="476" t="str">
        <f>INDEX(Input!$1:$1048576,K$93,$C520*2+MIN($B520,2)+5)</f>
        <v>Market</v>
      </c>
      <c r="L520" s="476" t="str">
        <f>INDEX(Input!$1:$1048576,L$93,$C520*2+MIN($B520,2)+5)</f>
        <v>Market</v>
      </c>
      <c r="M520" s="476" t="str">
        <f>INDEX(Input!$1:$1048576,M$93,$C520*2+MIN($B520,2)+5)</f>
        <v>Market</v>
      </c>
      <c r="N520" s="476" t="str">
        <f>INDEX(Input!$1:$1048576,N$93,$C520*2+MIN($B520,2)+5)</f>
        <v>Market</v>
      </c>
      <c r="O520" s="476" t="str">
        <f>INDEX(Input!$1:$1048576,O$93,$C520*2+MIN($B520,2)+5)</f>
        <v>Market</v>
      </c>
      <c r="P520" s="476" t="str">
        <f>INDEX(Input!$1:$1048576,P$93,$C520*2+MIN($B520,2)+5)</f>
        <v>N</v>
      </c>
      <c r="Q520" s="477">
        <f>INDEX(Input!$1:$1048576,Q$93,$C520*2+MIN($B520,2)+5)</f>
        <v>0</v>
      </c>
      <c r="R520" s="478">
        <f>IFERROR(MAX(0,INDEX(Input!$1:$1048576,R$93,$C520*2+MIN($B520,2)+5)-0%,),"Market")</f>
        <v>0</v>
      </c>
      <c r="S520" s="478">
        <f>IFERROR(MAX(0,INDEX(Input!$1:$1048576,S$93,$C520*2+MIN($B520,2)+5)-0%,),"Market")</f>
        <v>0</v>
      </c>
      <c r="T520" s="478">
        <f>IFERROR(MAX(0,INDEX(Input!$1:$1048576,T$93,$C520*2+MIN($B520,2)+5)-0%,),"Market")</f>
        <v>0</v>
      </c>
      <c r="U520" s="478">
        <f>IFERROR(MAX(0,INDEX(Input!$1:$1048576,U$93,$C520*2+MIN($B520,2)+5)-0%,),"Market")</f>
        <v>0</v>
      </c>
      <c r="V520" s="478">
        <f>IFERROR(MAX(0,INDEX(Input!$1:$1048576,V$93,$C520*2+MIN($B520,2)+5)-0%,),"Market")</f>
        <v>1.9E-2</v>
      </c>
      <c r="W520" s="885">
        <f>IFERROR(MAX(0,INDEX(Input!$1:$1048576,W$93,$C520*2+MIN($B520,2)+5)-0%,),"Market")</f>
        <v>3.9E-2</v>
      </c>
      <c r="X520" s="476" t="str">
        <f>INDEX(Input!$1:$1048576,X$93,$C520*2+MIN($B520,2)+5)</f>
        <v>Y</v>
      </c>
      <c r="Y520" s="475">
        <f>INDEX(Input!$1:$1048576,Y$93,$C520*2+MIN($B520,2)+5)</f>
        <v>-717.93641739252325</v>
      </c>
      <c r="Z520" s="477">
        <f>INDEX(Input!$1:$1048576,Z$93,$C520*2+MIN($B520,2)+5)</f>
        <v>0</v>
      </c>
      <c r="AA520" s="475">
        <f>INDEX(Input!$1:$1048576,AA$93,$C520*2+MIN($B520,2)+5)</f>
        <v>0</v>
      </c>
      <c r="AB520" s="476">
        <f>INDEX(Input!$1:$1048576,AB$93,$C520*2+MIN($B520,2)+5)</f>
        <v>0.27</v>
      </c>
      <c r="AC520" s="475">
        <f>INDEX(Input!$1:$1048576,AC$93,$C520*2+MIN($B520,2)+5)</f>
        <v>0</v>
      </c>
      <c r="AD520" s="476">
        <f>INDEX(Input!$1:$1048576,AD$93,$C520*2+MIN($B520,2)+5)</f>
        <v>0.27</v>
      </c>
      <c r="AE520" s="475">
        <f>INDEX(Input!$1:$1048576,AE$93,$C520*2+MIN($B520,2)+5)</f>
        <v>0</v>
      </c>
      <c r="AF520" s="476">
        <f>INDEX(Input!$1:$1048576,AF$93,$C520*2+MIN($B520,2)+5)</f>
        <v>0.2</v>
      </c>
      <c r="AG520" s="475">
        <f>INDEX(Input!$1:$1048576,AG$93,$C520*2+MIN($B520,2)+5)</f>
        <v>500</v>
      </c>
      <c r="AH520" s="476">
        <f>INDEX(Input!$1:$1048576,AH$93,$C520*2+MIN($B520,2)+5)</f>
        <v>1</v>
      </c>
      <c r="AI520" s="475">
        <f>INDEX(Input!$1:$1048576,AI$93,$C520*2+MIN($B520,2)+5)</f>
        <v>0</v>
      </c>
      <c r="AJ520" s="476">
        <f>INDEX(Input!$1:$1048576,AJ$93,$C520*2+MIN($B520,2)+5)</f>
        <v>0.27</v>
      </c>
      <c r="AK520" s="150">
        <f>ROUND(INDEX(Input!$1:$1048576,AK$93,$C519*2+MIN($B520,1)+5)+(Y520-VLOOKUP($C520*1000+1,$A:$HH,Y$92,FALSE)),0)</f>
        <v>2587</v>
      </c>
      <c r="AL520" s="150">
        <f>ROUND(INDEX(Input!$1:$1048576,AL$93,$C519*2+MIN($B520,1)+5)-(Y520-VLOOKUP($C520*1000+1,$A:$HH,Y$92,FALSE))/36,0)</f>
        <v>3406</v>
      </c>
      <c r="AM520" s="32" t="str">
        <f t="shared" si="1442"/>
        <v>std/std/std/std</v>
      </c>
      <c r="AN520" s="32" t="str">
        <f t="shared" si="1443"/>
        <v>$0 + 0/0/0/1.9/3.9</v>
      </c>
      <c r="AO520" s="32" t="str">
        <f t="shared" si="1444"/>
        <v>0/0/0/1.9/3.9</v>
      </c>
      <c r="AP520" s="32" t="str">
        <f t="shared" si="1396"/>
        <v>0/0.9/1.9/3.9</v>
      </c>
      <c r="AQ520" s="536">
        <f t="shared" si="1394"/>
        <v>0.405798396708204</v>
      </c>
      <c r="AR520" s="32"/>
      <c r="AS520" s="302"/>
      <c r="AT520" s="3">
        <f t="shared" si="1465"/>
        <v>20</v>
      </c>
      <c r="AU520" s="41" t="s">
        <v>121</v>
      </c>
      <c r="AV520" s="41" t="s">
        <v>116</v>
      </c>
      <c r="AW520" s="41" t="str">
        <f>INDEX(Input!$1:$1048576,AW$93,$C520*2+6)</f>
        <v>Kia</v>
      </c>
      <c r="AX520" s="41" t="str">
        <f>INDEX(Input!$1:$1048576,AX$93,$C520*2+6)</f>
        <v>Kia-LR - R2</v>
      </c>
      <c r="AY520" s="41" t="str">
        <f>IF(LEN(D520)=0,"",INDEX(Input!$1:$1048576,AY$93,$C520*2+6))</f>
        <v>Compact SUV (52)</v>
      </c>
      <c r="AZ520" s="41" t="str">
        <f>INDEX(Input!$1:$1048576,AZ$93,$C520*2+6)</f>
        <v>Kia Soul</v>
      </c>
      <c r="BA520" s="3">
        <f>INDEX(Input!$1:$1048576,BA$93,$C520*2+6)</f>
        <v>2020</v>
      </c>
      <c r="BB520" s="128">
        <f>INDEX(Input!$1:$1048576,BB$93,$C520*2+6)</f>
        <v>1</v>
      </c>
      <c r="BC520" s="128">
        <f>INDEX(Input!$1:$1048576,BC$93,$C520*2+6)</f>
        <v>0.7</v>
      </c>
      <c r="BD520" s="1">
        <f>INDEX(Input!$1:$1048576,BD$93,$C520*2+6)</f>
        <v>4.4999999999999998E-2</v>
      </c>
      <c r="BE520" s="1">
        <f>INDEX(Input!$1:$1048576,BE$93,$C520*2+6)</f>
        <v>4.4999999999999998E-2</v>
      </c>
      <c r="BF520" s="1">
        <f>INDEX(Input!$1:$1048576,BF$93,$C520*2+6)</f>
        <v>0.05</v>
      </c>
      <c r="BG520" s="1">
        <f>INDEX(Input!$1:$1048576,BG$93,$C520*2+6)</f>
        <v>5.45E-2</v>
      </c>
      <c r="BH520" s="1">
        <f>INDEX(Input!$1:$1048576,BH$93,$C520*2+6)</f>
        <v>5.45E-2</v>
      </c>
      <c r="BI520" s="1">
        <f>INDEX(Input!$1:$1048576,BI$93,$C520*2+6)</f>
        <v>0.05</v>
      </c>
      <c r="BJ520" s="1">
        <f>INDEX(Input!$1:$1048576,BJ$93,$C520*2+6)</f>
        <v>0.05</v>
      </c>
      <c r="BK520" s="1">
        <f>INDEX(Input!$1:$1048576,BK$93,$C520*2+6)</f>
        <v>0.05</v>
      </c>
      <c r="BL520" s="1">
        <f>INDEX(Input!$1:$1048576,BL$93,$C520*2+6)</f>
        <v>5.5E-2</v>
      </c>
      <c r="BM520" s="1">
        <f>INDEX(Input!$1:$1048576,BM$93,$C520*2+6)</f>
        <v>0.06</v>
      </c>
      <c r="BN520" s="1">
        <f>INDEX(Input!$1:$1048576,BN$93,$C520*2+6)</f>
        <v>4.4999999999999998E-2</v>
      </c>
      <c r="BO520" s="1">
        <f>INDEX(Input!$1:$1048576,BO$93,$C520*2+6)</f>
        <v>4.4999999999999998E-2</v>
      </c>
      <c r="BP520" s="1">
        <f>INDEX(Input!$1:$1048576,BP$93,$C520*2+6)</f>
        <v>0.05</v>
      </c>
      <c r="BQ520" s="1">
        <f>INDEX(Input!$1:$1048576,BQ$93,$C520*2+6)</f>
        <v>5.45E-2</v>
      </c>
      <c r="BR520" s="1">
        <f>INDEX(Input!$1:$1048576,BR$93,$C520*2+6)</f>
        <v>5.45E-2</v>
      </c>
      <c r="BS520" s="1">
        <f>INDEX(Input!$1:$1048576,BS$93,$C520*2+6)</f>
        <v>0.05</v>
      </c>
      <c r="BT520" s="1">
        <f>INDEX(Input!$1:$1048576,BT$93,$C520*2+6)</f>
        <v>0.05</v>
      </c>
      <c r="BU520" s="1">
        <f>INDEX(Input!$1:$1048576,BU$93,$C520*2+6)</f>
        <v>0.05</v>
      </c>
      <c r="BV520" s="1">
        <f>INDEX(Input!$1:$1048576,BV$93,$C520*2+6)</f>
        <v>5.5E-2</v>
      </c>
      <c r="BW520" s="1">
        <f>INDEX(Input!$1:$1048576,BW$93,$C520*2+6)</f>
        <v>0.06</v>
      </c>
      <c r="BX520" s="127">
        <f>INDEX(Input!$1:$1048576,BX$93,$C520*2+6)</f>
        <v>19985</v>
      </c>
      <c r="BY520" s="20">
        <f>INDEX(Input!$1:$1048576,BY$93,$C520*2+6)</f>
        <v>0.1</v>
      </c>
      <c r="BZ520" s="20">
        <f>INDEX(Input!$1:$1048576,BZ$93,$C520*2+6)</f>
        <v>0.1</v>
      </c>
      <c r="CA520" s="20">
        <f>INDEX(Input!$1:$1048576,CA$93,$C520*2+6)</f>
        <v>0.1</v>
      </c>
      <c r="CB520" s="20">
        <f>INDEX(Input!$1:$1048576,CB$93,$C520*2+6)</f>
        <v>0.1</v>
      </c>
      <c r="CC520" s="20">
        <f>INDEX(Input!$1:$1048576,CC$93,$C520*2+6)</f>
        <v>0.1</v>
      </c>
      <c r="CD520" s="384">
        <f>INDEX(Input!$1:$1048576,CD$93,$C520*2+6)</f>
        <v>0.1</v>
      </c>
      <c r="CE520" s="384">
        <f>INDEX(Input!$1:$1048576,CE$93,$C520*2+6)</f>
        <v>0.1</v>
      </c>
      <c r="CF520" s="384">
        <f>INDEX(Input!$1:$1048576,CF$93,$C520*2+6)</f>
        <v>0.1</v>
      </c>
      <c r="CG520" s="384">
        <f>INDEX(Input!$1:$1048576,CG$93,$C520*2+6)</f>
        <v>0.1</v>
      </c>
      <c r="CH520" s="384">
        <f>INDEX(Input!$1:$1048576,CH$93,$C520*2+6)</f>
        <v>0.1</v>
      </c>
      <c r="CI520" s="304">
        <f t="shared" si="1397"/>
        <v>1277.4263093788063</v>
      </c>
      <c r="CJ520" s="16" t="str">
        <f>INDEX(Input!$1:$1048576,CJ$93,$C520*2+6)</f>
        <v>N</v>
      </c>
      <c r="CK520" s="1" t="str">
        <f t="shared" si="1398"/>
        <v>Market</v>
      </c>
      <c r="CL520" s="1" t="str">
        <f t="shared" si="1399"/>
        <v>Market</v>
      </c>
      <c r="CM520" s="1" t="str">
        <f t="shared" si="1400"/>
        <v>Market</v>
      </c>
      <c r="CN520" s="1" t="str">
        <f t="shared" si="1401"/>
        <v>Market</v>
      </c>
      <c r="CO520" s="1" t="str">
        <f t="shared" si="1402"/>
        <v>Market</v>
      </c>
      <c r="CP520" s="304">
        <f t="shared" si="1403"/>
        <v>500</v>
      </c>
      <c r="CQ520" s="1">
        <f t="shared" si="1404"/>
        <v>0</v>
      </c>
      <c r="CR520" s="1">
        <f t="shared" si="1405"/>
        <v>0</v>
      </c>
      <c r="CS520" s="1">
        <f t="shared" si="1406"/>
        <v>0</v>
      </c>
      <c r="CT520" s="1">
        <f t="shared" si="1407"/>
        <v>1.9E-2</v>
      </c>
      <c r="CU520" s="1">
        <f t="shared" si="1408"/>
        <v>3.9E-2</v>
      </c>
      <c r="CV520" s="304">
        <f t="shared" si="1409"/>
        <v>-717.93641739252325</v>
      </c>
      <c r="CW520" s="20" t="s">
        <v>122</v>
      </c>
      <c r="CX520" s="20" t="s">
        <v>122</v>
      </c>
      <c r="CY520" s="20" t="s">
        <v>122</v>
      </c>
      <c r="CZ520" s="20" t="s">
        <v>122</v>
      </c>
      <c r="DA520" s="20" t="s">
        <v>122</v>
      </c>
      <c r="DB520" s="503">
        <f t="shared" si="1410"/>
        <v>0</v>
      </c>
      <c r="DC520" s="127">
        <v>0</v>
      </c>
      <c r="DD520" s="127">
        <v>0</v>
      </c>
      <c r="DE520" s="127">
        <v>0</v>
      </c>
      <c r="DF520" s="127">
        <v>0</v>
      </c>
      <c r="DG520" s="127">
        <v>0</v>
      </c>
      <c r="DH520" s="127">
        <v>0</v>
      </c>
      <c r="DI520" s="127">
        <v>0</v>
      </c>
      <c r="DJ520" s="127">
        <v>0</v>
      </c>
      <c r="DK520" s="127">
        <v>0</v>
      </c>
      <c r="DL520" s="127">
        <v>0</v>
      </c>
      <c r="DM520" s="304">
        <f>INDEX(Input!$1:$1048576,DM$93,$C520*2+6)</f>
        <v>21036.84210526316</v>
      </c>
      <c r="DN520" s="20">
        <v>0</v>
      </c>
      <c r="DO520" s="20">
        <v>0</v>
      </c>
      <c r="DP520" s="20">
        <v>0</v>
      </c>
      <c r="DQ520" s="20">
        <v>0</v>
      </c>
      <c r="DR520" s="20">
        <v>0</v>
      </c>
      <c r="DS520" s="20">
        <f>INDEX(Input!$1:$1048576,DS$93,$C520*2+6)</f>
        <v>0.6</v>
      </c>
      <c r="DT520" s="20">
        <f>INDEX(Input!$1:$1048576,DT$93,$C520*2+6)</f>
        <v>0.55000000000000004</v>
      </c>
      <c r="DU520" s="20">
        <f>INDEX(Input!$1:$1048576,DU$93,$C520*2+6)</f>
        <v>0.52</v>
      </c>
      <c r="DV520" s="20">
        <f>INDEX(Input!$1:$1048576,DV$93,$C520*2+6)</f>
        <v>0.5</v>
      </c>
      <c r="DW520" s="20">
        <f>INDEX(Input!$1:$1048576,DW$93,$C520*2+6)</f>
        <v>0.45</v>
      </c>
      <c r="DX520" s="20"/>
      <c r="DY520" s="7">
        <v>0.11918290832440123</v>
      </c>
      <c r="DZ520" s="7">
        <v>0</v>
      </c>
      <c r="EA520" s="7">
        <v>0.7346389657507757</v>
      </c>
      <c r="EB520" s="7">
        <v>0</v>
      </c>
      <c r="EC520" s="7">
        <v>0</v>
      </c>
      <c r="ED520" s="7">
        <v>0</v>
      </c>
      <c r="EE520" s="7">
        <v>0</v>
      </c>
      <c r="EF520" s="7">
        <v>0</v>
      </c>
      <c r="EG520" s="7">
        <v>0</v>
      </c>
      <c r="EH520" s="7">
        <v>1.2088522323280934E-2</v>
      </c>
      <c r="EI520" s="7">
        <v>3.360509380665002E-2</v>
      </c>
      <c r="EJ520" s="7">
        <v>0.29189504381850234</v>
      </c>
      <c r="EK520" s="7">
        <v>0.53736564061795533</v>
      </c>
      <c r="EL520" s="7">
        <v>0.12504569943361166</v>
      </c>
      <c r="EM520" s="7">
        <v>7.5555880496524647E-2</v>
      </c>
      <c r="EN520" s="7">
        <v>5.8470684378631919E-2</v>
      </c>
      <c r="EO520" s="7">
        <v>0.71704150185978133</v>
      </c>
      <c r="EP520" s="7">
        <v>8.9792600597694699E-2</v>
      </c>
      <c r="EQ520" s="7">
        <v>8.8424811326771879E-2</v>
      </c>
      <c r="ER520" s="7">
        <v>4.6270401837120112E-2</v>
      </c>
      <c r="ES520" s="7">
        <v>7.0622245428298397E-2</v>
      </c>
      <c r="ET520" s="7">
        <v>0.14617812592482307</v>
      </c>
      <c r="EU520" s="6">
        <v>1270</v>
      </c>
      <c r="EV520" s="6">
        <v>0</v>
      </c>
      <c r="EW520" s="6">
        <v>1270</v>
      </c>
      <c r="EX520" s="6">
        <v>0</v>
      </c>
      <c r="EY520" s="6">
        <v>2015.7457381391637</v>
      </c>
      <c r="EZ520" s="6">
        <v>-6.4499039401316622</v>
      </c>
      <c r="FA520" s="6">
        <v>0</v>
      </c>
      <c r="FB520" s="6">
        <v>0</v>
      </c>
      <c r="FC520" s="6">
        <v>0</v>
      </c>
      <c r="FD520" s="6">
        <v>0</v>
      </c>
      <c r="FE520" s="6">
        <v>0</v>
      </c>
      <c r="FF520" s="6">
        <v>0</v>
      </c>
      <c r="FG520" s="6">
        <v>0</v>
      </c>
      <c r="FH520" s="6">
        <v>1172.1348799277998</v>
      </c>
      <c r="FI520" s="6">
        <v>1553.9796069512402</v>
      </c>
      <c r="FJ520" s="6">
        <v>2101.2110117447401</v>
      </c>
      <c r="FK520" s="6">
        <v>1772.7139978623227</v>
      </c>
      <c r="FL520" s="6">
        <v>907.07682140966301</v>
      </c>
      <c r="FM520" s="6">
        <v>1745.7457381391637</v>
      </c>
      <c r="FN520" s="6">
        <v>0</v>
      </c>
      <c r="FO520" s="6">
        <v>0</v>
      </c>
      <c r="FP520" s="6">
        <v>0</v>
      </c>
      <c r="FQ520" s="6">
        <v>0</v>
      </c>
      <c r="FR520" s="6">
        <v>0</v>
      </c>
      <c r="FS520" s="6">
        <v>0</v>
      </c>
      <c r="FT520" s="7">
        <v>0.85382187407517696</v>
      </c>
      <c r="FU520" s="7">
        <v>7.5555880496524647E-2</v>
      </c>
      <c r="FV520" s="7">
        <v>7.0622245428298397E-2</v>
      </c>
      <c r="FW520" s="6">
        <v>1270</v>
      </c>
      <c r="FX520" s="6">
        <v>2015.7457381391639</v>
      </c>
      <c r="FY520" s="6">
        <v>-6.4499039401316622</v>
      </c>
      <c r="FZ520" s="6">
        <v>1758.1538569113241</v>
      </c>
      <c r="GA520" s="6">
        <v>1236.1997174786472</v>
      </c>
      <c r="GB520" s="6">
        <v>18748.800282521352</v>
      </c>
      <c r="GC520" s="7">
        <v>3.064145122680037E-2</v>
      </c>
      <c r="GD520" s="7">
        <v>2.9298567858062063E-2</v>
      </c>
      <c r="GE520" s="7"/>
      <c r="GF520" s="7"/>
      <c r="GG520" s="7">
        <v>-4.382571043383747E-2</v>
      </c>
      <c r="GH520" s="42">
        <v>1.6780340586478142</v>
      </c>
      <c r="GI520" s="6">
        <v>13145.969901824148</v>
      </c>
      <c r="GJ520" s="14">
        <v>0.50394797582841722</v>
      </c>
      <c r="GK520" s="14">
        <v>0.50887573065309721</v>
      </c>
      <c r="GL520" s="14">
        <v>0.49605202417158256</v>
      </c>
      <c r="GM520" s="14">
        <v>0.49112426934690229</v>
      </c>
      <c r="GO520" s="5">
        <v>343.14810671672558</v>
      </c>
      <c r="GP520" s="5">
        <v>318.91892952659737</v>
      </c>
      <c r="GQ520" s="5">
        <v>535.04305713031317</v>
      </c>
      <c r="GR520" s="5">
        <v>410.15490233172511</v>
      </c>
      <c r="GS520" s="5">
        <v>339.42744393800166</v>
      </c>
      <c r="GT520" s="5">
        <v>293.4407446948278</v>
      </c>
      <c r="GU520" s="5">
        <v>258.04012322764959</v>
      </c>
      <c r="GV520" s="39" t="s">
        <v>392</v>
      </c>
      <c r="GW520" s="5">
        <v>492.125</v>
      </c>
      <c r="GX520" s="5">
        <v>369.09375</v>
      </c>
      <c r="GY520" s="5">
        <v>295.27499999999998</v>
      </c>
      <c r="GZ520" s="5">
        <v>260.54902799031458</v>
      </c>
      <c r="HA520" s="5">
        <v>241.34874471337258</v>
      </c>
      <c r="HB520" s="39">
        <v>274.73152113255992</v>
      </c>
      <c r="HC520" s="5">
        <v>287.56655829738071</v>
      </c>
      <c r="HD520" s="5">
        <v>239.99799238008356</v>
      </c>
      <c r="HE520" s="5">
        <v>241.14168635502031</v>
      </c>
      <c r="HF520" s="5">
        <v>221.05790951107167</v>
      </c>
      <c r="HG520" s="5">
        <v>210.75500473779988</v>
      </c>
      <c r="HH520" s="39">
        <v>239.85419619714324</v>
      </c>
      <c r="HI520" s="16"/>
      <c r="HJ520" s="19" t="str">
        <f t="shared" ref="HJ520:HK534" si="1507">HJ519</f>
        <v>On</v>
      </c>
      <c r="HK520" s="1" t="str">
        <f t="shared" si="1507"/>
        <v>On</v>
      </c>
      <c r="HL520" s="16"/>
      <c r="HM520" s="639">
        <f t="shared" si="1413"/>
        <v>2.4909940070666322E-2</v>
      </c>
      <c r="HN520" s="639">
        <f t="shared" si="1414"/>
        <v>2.2052381276269151E-3</v>
      </c>
      <c r="HO520" s="639">
        <f t="shared" si="1415"/>
        <v>2.079866082302006E-3</v>
      </c>
      <c r="HP520" s="644">
        <f>(FT520*$GD520-HM520)/$JF520*INDEX(Input!$1:$1048576,$JG$93,$C520*2+6)</f>
        <v>2.9757315872338905</v>
      </c>
      <c r="HQ520" s="644">
        <f>(FU520*$GD520-HN520)/$JF520*INDEX(Input!$1:$1048576,$JG$93,$C520*2+6)</f>
        <v>0.23737013453400296</v>
      </c>
      <c r="HR520" s="644">
        <f>(FV520*$GD520-HO520)/$JF520*INDEX(Input!$1:$1048576,$JG$93,$C520*2+6)</f>
        <v>-0.30189335765693082</v>
      </c>
      <c r="HS520" s="644">
        <f t="shared" si="1416"/>
        <v>-1.4587388197775362</v>
      </c>
      <c r="HT520" s="644">
        <f t="shared" si="1417"/>
        <v>1.648624747275079</v>
      </c>
      <c r="HU520" s="644">
        <f t="shared" si="1418"/>
        <v>0.24172096105100246</v>
      </c>
      <c r="HV520" s="648">
        <f t="shared" si="1419"/>
        <v>0</v>
      </c>
      <c r="HW520" s="648">
        <f t="shared" si="1420"/>
        <v>0</v>
      </c>
      <c r="HX520" s="648">
        <f t="shared" si="1421"/>
        <v>0</v>
      </c>
      <c r="HY520" s="644">
        <f>INDEX(Input!$1:$1048576,HY$93,$C520*2+6)*INDEX(Input!$1:$1048576,$JG$93,$C520*2+6)</f>
        <v>333.00000000000006</v>
      </c>
      <c r="HZ520" s="644">
        <f>INDEX(Input!$1:$1048576,HZ$93,$C520*2+6)*INDEX(Input!$1:$1048576,$JG$93,$C520*2+6)</f>
        <v>429</v>
      </c>
      <c r="IA520" s="644">
        <f>INDEX(Input!$1:$1048576,IA$93,$C520*2+6)*INDEX(Input!$1:$1048576,$JG$93,$C520*2+6)</f>
        <v>59</v>
      </c>
      <c r="IB520" s="644">
        <f t="shared" si="1445"/>
        <v>334.51699276745649</v>
      </c>
      <c r="IC520" s="644">
        <f t="shared" si="1446"/>
        <v>430.8859948818091</v>
      </c>
      <c r="ID520" s="644">
        <f>IF(AND(INDEX(Input!$1:$1048576,IA$93,$C520*2+7)="TOS",Y520&lt;=INDEX(Y:Y,MATCH(C520*1000+2,A:A))),0,1)*MAX(IA520+HR520+HU520+HX520,0%)</f>
        <v>58.939827603394072</v>
      </c>
      <c r="IE520" s="128">
        <f t="shared" ref="IE520:IE532" si="1508">IB520/SUM($IB520:$ID520)</f>
        <v>0.405798396708204</v>
      </c>
      <c r="IF520" s="128">
        <f t="shared" si="1468"/>
        <v>0.52270243266418626</v>
      </c>
      <c r="IG520" s="128">
        <f t="shared" si="1423"/>
        <v>7.1499170627609729E-2</v>
      </c>
      <c r="IH520" s="21"/>
      <c r="II520" s="19">
        <f t="shared" si="1424"/>
        <v>1240</v>
      </c>
      <c r="IJ520" s="19">
        <f t="shared" si="1425"/>
        <v>1985.7442651839444</v>
      </c>
      <c r="IK520" s="19">
        <f t="shared" si="1426"/>
        <v>-21.44990394013189</v>
      </c>
      <c r="IL520" s="19">
        <f t="shared" si="1448"/>
        <v>30</v>
      </c>
      <c r="IM520" s="19">
        <f t="shared" si="1427"/>
        <v>30.001472955219469</v>
      </c>
      <c r="IN520" s="19">
        <f t="shared" si="1428"/>
        <v>15.000000000000227</v>
      </c>
      <c r="IO520" s="39">
        <f t="shared" si="1429"/>
        <v>0</v>
      </c>
      <c r="IP520" s="39">
        <f t="shared" si="1430"/>
        <v>0</v>
      </c>
      <c r="IQ520" s="39">
        <f t="shared" si="1431"/>
        <v>0</v>
      </c>
      <c r="IR520" s="39">
        <v>0</v>
      </c>
      <c r="IS520" s="39">
        <v>0</v>
      </c>
      <c r="IT520" s="39">
        <v>0</v>
      </c>
      <c r="IU520" s="39">
        <v>0</v>
      </c>
      <c r="IV520" s="39">
        <v>0</v>
      </c>
      <c r="IW520" s="39">
        <v>0</v>
      </c>
      <c r="IX520" s="39">
        <f>INDEX(Input!$1:$1048576,IX$93,$C520*2+6)+INDEX(Input!$1:$1048576,IX$94,$C520*2+6)</f>
        <v>1270</v>
      </c>
      <c r="IY520" s="39">
        <f>INDEX(Input!$1:$1048576,IY$93,$C520*2+6)+INDEX(Input!$1:$1048576,IY$94,$C520*2+6)</f>
        <v>2130.0624533823611</v>
      </c>
      <c r="IZ520" s="39">
        <f>INDEX(Input!$1:$1048576,IZ$93,$C520*2+6)+INDEX(Input!$1:$1048576,IZ$94,$C520*2+6)</f>
        <v>3653.7164157747857</v>
      </c>
      <c r="JA520" s="19">
        <f t="shared" si="1449"/>
        <v>1300</v>
      </c>
      <c r="JB520" s="19">
        <f t="shared" si="1450"/>
        <v>2160.0639263375806</v>
      </c>
      <c r="JC520" s="19">
        <f t="shared" si="1451"/>
        <v>3668.7164157747857</v>
      </c>
      <c r="JD520" s="19">
        <f t="shared" si="1452"/>
        <v>1918.9187657232665</v>
      </c>
      <c r="JE520" s="21"/>
      <c r="JF520" s="1">
        <f t="shared" si="1432"/>
        <v>2.9195044280595241E-2</v>
      </c>
      <c r="JG520" s="15">
        <f>INDEX(Input!$1:$1048576,JG$93,$C520*2+6)/(1+VLOOKUP(C520*1000+INDEX(Input!$1:$1048576,JG$93+1,$C520*2+6),$A:$KK,$JK$92,FALSE))</f>
        <v>821</v>
      </c>
      <c r="JH520" s="1">
        <f t="shared" si="1453"/>
        <v>3.5459297979427069E-3</v>
      </c>
      <c r="JI520" s="1">
        <f t="shared" si="1454"/>
        <v>5.2570875584475685E-4</v>
      </c>
      <c r="JJ520" s="1">
        <f t="shared" si="1492"/>
        <v>0</v>
      </c>
      <c r="JK520" s="1">
        <f t="shared" si="1496"/>
        <v>4.0716385537874636E-3</v>
      </c>
      <c r="JL520" s="15">
        <f t="shared" si="1457"/>
        <v>3.3428152526595079</v>
      </c>
      <c r="JM520" s="15">
        <f t="shared" si="1483"/>
        <v>824.34281525265953</v>
      </c>
      <c r="JN520" s="21"/>
      <c r="JO520" s="19">
        <f>INDEX(Input!$1:$1048576,JO$93,$C520*2+6)</f>
        <v>5995.5</v>
      </c>
      <c r="JP520" s="19">
        <f>INDEX(Input!$1:$1048576,JP$93,$C520*2+6)</f>
        <v>1890.7138380411029</v>
      </c>
      <c r="JQ520" s="39">
        <f t="shared" si="1469"/>
        <v>4076.5812342767335</v>
      </c>
      <c r="JR520" s="39">
        <f t="shared" si="1486"/>
        <v>28.204927682163543</v>
      </c>
      <c r="JS520" s="39">
        <f t="shared" si="1471"/>
        <v>1.5818468975774762</v>
      </c>
      <c r="JT520" s="39">
        <f t="shared" si="1459"/>
        <v>2.9570836545730707E-2</v>
      </c>
      <c r="JU520" s="385">
        <f>(JQ520*JM520-INDEX(Input!$1:$1048576,Input!A$18,$C520*2+6)*JL520*INDEX(Input!$1:$1048576,Input!A$19,$C520*2+6))/1000000</f>
        <v>3.3605004512698442</v>
      </c>
      <c r="JV520" s="39">
        <f t="shared" si="1493"/>
        <v>-9.5289876984101518E-3</v>
      </c>
      <c r="JW520" s="1">
        <f t="shared" si="1484"/>
        <v>-2.8275680883450924E-3</v>
      </c>
      <c r="JX520" s="19">
        <f t="shared" si="1475"/>
        <v>8846.0875970350044</v>
      </c>
      <c r="JZ520" s="341"/>
      <c r="KA520" s="342"/>
      <c r="KB520" s="469">
        <f t="shared" si="1472"/>
        <v>2.5122967434604799</v>
      </c>
      <c r="KI520" s="473">
        <f t="shared" si="1499"/>
        <v>1.5169927674563723</v>
      </c>
      <c r="KJ520" s="473">
        <f t="shared" si="1500"/>
        <v>1.8859948818089833</v>
      </c>
      <c r="KK520" s="473">
        <f t="shared" si="1461"/>
        <v>-6.0172396605935319E-2</v>
      </c>
      <c r="KN520" s="544">
        <f t="shared" si="1476"/>
        <v>5002</v>
      </c>
      <c r="KO520" s="541">
        <f t="shared" si="1436"/>
        <v>0</v>
      </c>
      <c r="KP520" s="546">
        <f t="shared" si="1437"/>
        <v>0</v>
      </c>
      <c r="KQ520" s="546">
        <f t="shared" si="1438"/>
        <v>0</v>
      </c>
      <c r="KR520" s="548" t="e">
        <f t="shared" si="1439"/>
        <v>#DIV/0!</v>
      </c>
      <c r="KS520" s="548" t="e">
        <f t="shared" si="1440"/>
        <v>#DIV/0!</v>
      </c>
      <c r="KT520" s="473">
        <f t="shared" si="1474"/>
        <v>595.94378802984284</v>
      </c>
      <c r="KU520" s="663">
        <f t="shared" si="1462"/>
        <v>3.991523508306198</v>
      </c>
      <c r="KV520" s="117"/>
    </row>
    <row r="521" spans="1:308" s="26" customFormat="1" ht="15">
      <c r="A521" s="561">
        <f t="shared" si="1441"/>
        <v>5021</v>
      </c>
      <c r="B521" s="561">
        <f t="shared" si="1463"/>
        <v>21</v>
      </c>
      <c r="C521" s="561">
        <f t="shared" si="1464"/>
        <v>5</v>
      </c>
      <c r="D521" s="561" t="str">
        <f t="shared" ref="D521:D584" si="1509">IF(E521=INDEX(E:E,MATCH(C521*1000+2,A:A,0)),"",E521-INDEX(E:E,MATCH(C521*1000+2,A:A,0))&amp;E$100&amp;", ")
&amp;IF(F521=INDEX(F:F,MATCH(C521*1000+2,A:A,0)),"",F521-INDEX(F:F,MATCH(C521*1000+2,A:A,0))&amp;F$100&amp;", ")
&amp;IF(AM521=INDEX(AM:AM,MATCH(C521*1000+2,A:A,0)),"",AM521&amp;AM$100&amp;", ")
&amp;IF(AP521=INDEX(AP:AP,MATCH(C521*1000+2,A:A,0)),"",AP521&amp;AP$100&amp;", ")
&amp;IF(Q521=INDEX(Q:Q,MATCH(C521*1000+2,A:A,0)),"",Q521-INDEX(Q:Q,MATCH(C521*1000+2,A:A,0))&amp;Q$100&amp;", ")
&amp;IF(Y521=INDEX(Y:Y,MATCH(C521*1000+2,A:A,0)),"",Y521-INDEX(Y:Y,MATCH(C521*1000+2,A:A,0))&amp;Y$100&amp;", ")
&amp;IF(Z521=INDEX(Z:Z,MATCH(C521*1000+2,A:A,0)),"",Z521-INDEX(Z:Z,MATCH(C521*1000+2,A:A,0))&amp;Z$100&amp;", ")
&amp;IF(AA521=INDEX(AA:AA,MATCH(C521*1000+2,A:A,0)),"",AA521-INDEX(AA:AA,MATCH(C521*1000+2,A:A,0))&amp;AA$100&amp;", ")
&amp;IF(AC521=INDEX(AC:AC,MATCH(C521*1000+2,A:A,0)),"",AC521-INDEX(AC:AC,MATCH(C521*1000+2,A:A,0))&amp;AC$100&amp;", ")
&amp;IF(AE521=INDEX(AE:AE,MATCH(C521*1000+2,A:A,0)),"",AE521-INDEX(AE:AE,MATCH(C521*1000+2,A:A,0))&amp;AE$100&amp;", ")
&amp;IF(AG521=INDEX(AG:AG,MATCH(C521*1000+2,A:A,0)),"",AG521-INDEX(AG:AG,MATCH(C521*1000+2,A:A,0))&amp;AG$100&amp;", ")
&amp;IF(AI521=INDEX(AI:AI,MATCH(C521*1000+2,A:A,0)),"",AI521-INDEX(AI:AI,MATCH(C521*1000+2,A:A,0))&amp;AI$100&amp;", ")</f>
        <v xml:space="preserve">0/0/0.9/3.9, </v>
      </c>
      <c r="E521" s="475">
        <f>INDEX(Input!$1:$1048576,E$93,$C521*2+MIN($B521,2)+5)
+INDEX(Scenarios!E$121:E$200,MATCH($B521,Scenarios!$B$121:$B$200,0))</f>
        <v>1277.4263093788063</v>
      </c>
      <c r="F521" s="475">
        <f>INDEX(Input!$1:$1048576,F$93,$C521*2+MIN($B521,2)+5)
+INDEX(Scenarios!F$121:F$200,MATCH($B521,Scenarios!$B$121:$B$200,0))</f>
        <v>0</v>
      </c>
      <c r="G521" s="475">
        <f>INDEX(Input!$1:$1048576,G$93,$C521*2+MIN($B521,2)+5)
+INDEX(Scenarios!G$121:G$200,MATCH($B521,Scenarios!$B$121:$B$200,0))</f>
        <v>0</v>
      </c>
      <c r="H521" s="475">
        <f>INDEX(Input!$1:$1048576,H$93,$C521*2+MIN($B521,2)+5)
+INDEX(Scenarios!H$121:H$200,MATCH($B521,Scenarios!$B$121:$B$200,0))</f>
        <v>0</v>
      </c>
      <c r="I521" s="476">
        <f>INDEX(Input!$1:$1048576,I$93,$C521*2+MIN($B521,2)+5)</f>
        <v>0.7</v>
      </c>
      <c r="J521" s="476" t="str">
        <f>INDEX(Input!$1:$1048576,J$93,$C521*2+MIN($B521,2)+5)</f>
        <v>Market</v>
      </c>
      <c r="K521" s="476" t="str">
        <f>INDEX(Input!$1:$1048576,K$93,$C521*2+MIN($B521,2)+5)</f>
        <v>Market</v>
      </c>
      <c r="L521" s="476" t="str">
        <f>INDEX(Input!$1:$1048576,L$93,$C521*2+MIN($B521,2)+5)</f>
        <v>Market</v>
      </c>
      <c r="M521" s="476" t="str">
        <f>INDEX(Input!$1:$1048576,M$93,$C521*2+MIN($B521,2)+5)</f>
        <v>Market</v>
      </c>
      <c r="N521" s="476" t="str">
        <f>INDEX(Input!$1:$1048576,N$93,$C521*2+MIN($B521,2)+5)</f>
        <v>Market</v>
      </c>
      <c r="O521" s="476" t="str">
        <f>INDEX(Input!$1:$1048576,O$93,$C521*2+MIN($B521,2)+5)</f>
        <v>Market</v>
      </c>
      <c r="P521" s="476" t="str">
        <f>INDEX(Input!$1:$1048576,P$93,$C521*2+MIN($B521,2)+5)</f>
        <v>N</v>
      </c>
      <c r="Q521" s="477">
        <f>INDEX(Input!$1:$1048576,Q$93,$C521*2+MIN($B521,2)+5)
+INDEX(Scenarios!Q$121:Q$200,MATCH($B521,Scenarios!$B$121:$B$200,0))</f>
        <v>0</v>
      </c>
      <c r="R521" s="478">
        <f>IFERROR(MAX(0,INDEX(Input!$1:$1048576,R$93,$C521*2+MIN($B521,2)+5)
+INDEX(Scenarios!R$121:R$200,MATCH($B521,Scenarios!$B$121:$B$200,0)),),"Market")</f>
        <v>0</v>
      </c>
      <c r="S521" s="478">
        <f>IFERROR(MAX(0,INDEX(Input!$1:$1048576,S$93,$C521*2+MIN($B521,2)+5)
+INDEX(Scenarios!S$121:S$200,MATCH($B521,Scenarios!$B$121:$B$200,0)),),"Market")</f>
        <v>0</v>
      </c>
      <c r="T521" s="478">
        <f>IFERROR(MAX(0,INDEX(Input!$1:$1048576,T$93,$C521*2+MIN($B521,2)+5)
+INDEX(Scenarios!T$121:T$200,MATCH($B521,Scenarios!$B$121:$B$200,0)),),"Market")</f>
        <v>0</v>
      </c>
      <c r="U521" s="478">
        <f>IFERROR(MAX(0,INDEX(Input!$1:$1048576,U$93,$C521*2+MIN($B521,2)+5)
+INDEX(Scenarios!U$121:U$200,MATCH($B521,Scenarios!$B$121:$B$200,0)),),"Market")</f>
        <v>0</v>
      </c>
      <c r="V521" s="478">
        <f>IFERROR(MAX(0,INDEX(Input!$1:$1048576,V$93,$C521*2+MIN($B521,2)+5)
+INDEX(Scenarios!V$121:V$200,MATCH($B521,Scenarios!$B$121:$B$200,0)),),"Market")</f>
        <v>8.9999999999999993E-3</v>
      </c>
      <c r="W521" s="885">
        <f>IFERROR(MAX(0,INDEX(Input!$1:$1048576,W$93,$C521*2+MIN($B521,2)+5)-0%,),"Market")</f>
        <v>3.9E-2</v>
      </c>
      <c r="X521" s="476" t="str">
        <f>INDEX(Input!$1:$1048576,X$93,$C521*2+MIN($B521,2)+5)</f>
        <v>Y</v>
      </c>
      <c r="Y521" s="475">
        <f>INDEX(Input!$1:$1048576,Y$93,$C521*2+MIN($B521,2)+5)
++INDEX(Scenarios!Y$121:Y$200,MATCH($B521,Scenarios!$B$121:$B$200,0))</f>
        <v>-717.93641739252325</v>
      </c>
      <c r="Z521" s="477">
        <f>INDEX(Input!$1:$1048576,Z$93,$C521*2+MIN($B521,2)+5)
+INDEX(Scenarios!Z$121:Z$200,MATCH($B521,Scenarios!$B$121:$B$200,0))</f>
        <v>0</v>
      </c>
      <c r="AA521" s="475">
        <f>INDEX(Input!$1:$1048576,AA$93,$C521*2+MIN($B521,2)+5)
+INDEX(Scenarios!AA$121:AA$200,MATCH($B521,Scenarios!$B$121:$B$200,0))</f>
        <v>0</v>
      </c>
      <c r="AB521" s="476">
        <f>INDEX(Input!$1:$1048576,AB$93,$C521*2+MIN($B521,2)+5)</f>
        <v>0.27</v>
      </c>
      <c r="AC521" s="475">
        <f>INDEX(Input!$1:$1048576,AC$93,$C521*2+MIN($B521,2)+5)
+INDEX(Scenarios!AC$121:AC$200,MATCH($B521,Scenarios!$B$121:$B$200,0))</f>
        <v>0</v>
      </c>
      <c r="AD521" s="476">
        <f>INDEX(Input!$1:$1048576,AD$93,$C521*2+MIN($B521,2)+5)</f>
        <v>0.27</v>
      </c>
      <c r="AE521" s="475">
        <f>INDEX(Input!$1:$1048576,AE$93,$C521*2+MIN($B521,2)+5)
+INDEX(Scenarios!AE$121:AE$200,MATCH($B521,Scenarios!$B$121:$B$200,0))</f>
        <v>0</v>
      </c>
      <c r="AF521" s="476">
        <f>INDEX(Input!$1:$1048576,AF$93,$C521*2+MIN($B521,2)+5)</f>
        <v>0.2</v>
      </c>
      <c r="AG521" s="475">
        <f>INDEX(Input!$1:$1048576,AG$93,$C521*2+MIN($B521,2)+5)
+INDEX(Scenarios!AG$121:AG$200,MATCH($B521,Scenarios!$B$121:$B$200,0))</f>
        <v>500</v>
      </c>
      <c r="AH521" s="476">
        <f>INDEX(Input!$1:$1048576,AH$93,$C521*2+MIN($B521,2)+5)</f>
        <v>1</v>
      </c>
      <c r="AI521" s="475">
        <f>INDEX(Input!$1:$1048576,AI$93,$C521*2+MIN($B521,2)+5)
+INDEX(Scenarios!AI$121:AI$200,MATCH($B521,Scenarios!$B$121:$B$200,0))</f>
        <v>0</v>
      </c>
      <c r="AJ521" s="476">
        <f>INDEX(Input!$1:$1048576,AJ$93,$C521*2+MIN($B521,2)+5)</f>
        <v>0.27</v>
      </c>
      <c r="AK521" s="150">
        <f>ROUND(INDEX(Input!$1:$1048576,AK$93,$C520*2+MIN($B521,1)+5)+(Y521-VLOOKUP($C521*1000+1,$A:$HH,Y$92,FALSE)),0)</f>
        <v>2587</v>
      </c>
      <c r="AL521" s="150">
        <f>ROUND(INDEX(Input!$1:$1048576,AL$93,$C520*2+MIN($B521,1)+5)-(Y521-VLOOKUP($C521*1000+1,$A:$HH,Y$92,FALSE))/36,0)</f>
        <v>3406</v>
      </c>
      <c r="AM521" s="32" t="str">
        <f t="shared" si="1442"/>
        <v>std/std/std/std</v>
      </c>
      <c r="AN521" s="32" t="str">
        <f t="shared" si="1443"/>
        <v>$0 + 0/0/0/0.9/3.9</v>
      </c>
      <c r="AO521" s="32" t="str">
        <f t="shared" si="1444"/>
        <v>0/0/0/0.9/3.9</v>
      </c>
      <c r="AP521" s="32" t="str">
        <f t="shared" si="1396"/>
        <v>0/0/0.9/3.9</v>
      </c>
      <c r="AQ521" s="536">
        <f t="shared" si="1394"/>
        <v>0.38201784868452604</v>
      </c>
      <c r="AR521" s="32"/>
      <c r="AS521" s="302"/>
      <c r="AT521" s="3">
        <f t="shared" si="1465"/>
        <v>21</v>
      </c>
      <c r="AU521" s="41" t="s">
        <v>121</v>
      </c>
      <c r="AV521" s="41" t="s">
        <v>116</v>
      </c>
      <c r="AW521" s="41" t="str">
        <f>INDEX(Input!$1:$1048576,AW$93,$C521*2+6)</f>
        <v>Kia</v>
      </c>
      <c r="AX521" s="41" t="str">
        <f>INDEX(Input!$1:$1048576,AX$93,$C521*2+6)</f>
        <v>Kia-LR - R2</v>
      </c>
      <c r="AY521" s="41" t="str">
        <f>IF(LEN(D521)=0,"",INDEX(Input!$1:$1048576,AY$93,$C521*2+6))</f>
        <v>Compact SUV (52)</v>
      </c>
      <c r="AZ521" s="41" t="str">
        <f>INDEX(Input!$1:$1048576,AZ$93,$C521*2+6)</f>
        <v>Kia Soul</v>
      </c>
      <c r="BA521" s="3">
        <f>INDEX(Input!$1:$1048576,BA$93,$C521*2+6)</f>
        <v>2020</v>
      </c>
      <c r="BB521" s="128">
        <f>INDEX(Input!$1:$1048576,BB$93,$C521*2+6)</f>
        <v>1</v>
      </c>
      <c r="BC521" s="128">
        <f>INDEX(Input!$1:$1048576,BC$93,$C521*2+6)</f>
        <v>0.7</v>
      </c>
      <c r="BD521" s="1">
        <f>INDEX(Input!$1:$1048576,BD$93,$C521*2+6)</f>
        <v>4.4999999999999998E-2</v>
      </c>
      <c r="BE521" s="1">
        <f>INDEX(Input!$1:$1048576,BE$93,$C521*2+6)</f>
        <v>4.4999999999999998E-2</v>
      </c>
      <c r="BF521" s="1">
        <f>INDEX(Input!$1:$1048576,BF$93,$C521*2+6)</f>
        <v>0.05</v>
      </c>
      <c r="BG521" s="1">
        <f>INDEX(Input!$1:$1048576,BG$93,$C521*2+6)</f>
        <v>5.45E-2</v>
      </c>
      <c r="BH521" s="1">
        <f>INDEX(Input!$1:$1048576,BH$93,$C521*2+6)</f>
        <v>5.45E-2</v>
      </c>
      <c r="BI521" s="1">
        <f>INDEX(Input!$1:$1048576,BI$93,$C521*2+6)</f>
        <v>0.05</v>
      </c>
      <c r="BJ521" s="1">
        <f>INDEX(Input!$1:$1048576,BJ$93,$C521*2+6)</f>
        <v>0.05</v>
      </c>
      <c r="BK521" s="1">
        <f>INDEX(Input!$1:$1048576,BK$93,$C521*2+6)</f>
        <v>0.05</v>
      </c>
      <c r="BL521" s="1">
        <f>INDEX(Input!$1:$1048576,BL$93,$C521*2+6)</f>
        <v>5.5E-2</v>
      </c>
      <c r="BM521" s="1">
        <f>INDEX(Input!$1:$1048576,BM$93,$C521*2+6)</f>
        <v>0.06</v>
      </c>
      <c r="BN521" s="1">
        <f>INDEX(Input!$1:$1048576,BN$93,$C521*2+6)</f>
        <v>4.4999999999999998E-2</v>
      </c>
      <c r="BO521" s="1">
        <f>INDEX(Input!$1:$1048576,BO$93,$C521*2+6)</f>
        <v>4.4999999999999998E-2</v>
      </c>
      <c r="BP521" s="1">
        <f>INDEX(Input!$1:$1048576,BP$93,$C521*2+6)</f>
        <v>0.05</v>
      </c>
      <c r="BQ521" s="1">
        <f>INDEX(Input!$1:$1048576,BQ$93,$C521*2+6)</f>
        <v>5.45E-2</v>
      </c>
      <c r="BR521" s="1">
        <f>INDEX(Input!$1:$1048576,BR$93,$C521*2+6)</f>
        <v>5.45E-2</v>
      </c>
      <c r="BS521" s="1">
        <f>INDEX(Input!$1:$1048576,BS$93,$C521*2+6)</f>
        <v>0.05</v>
      </c>
      <c r="BT521" s="1">
        <f>INDEX(Input!$1:$1048576,BT$93,$C521*2+6)</f>
        <v>0.05</v>
      </c>
      <c r="BU521" s="1">
        <f>INDEX(Input!$1:$1048576,BU$93,$C521*2+6)</f>
        <v>0.05</v>
      </c>
      <c r="BV521" s="1">
        <f>INDEX(Input!$1:$1048576,BV$93,$C521*2+6)</f>
        <v>5.5E-2</v>
      </c>
      <c r="BW521" s="1">
        <f>INDEX(Input!$1:$1048576,BW$93,$C521*2+6)</f>
        <v>0.06</v>
      </c>
      <c r="BX521" s="127">
        <f>INDEX(Input!$1:$1048576,BX$93,$C521*2+6)</f>
        <v>19985</v>
      </c>
      <c r="BY521" s="20">
        <f>INDEX(Input!$1:$1048576,BY$93,$C521*2+6)</f>
        <v>0.1</v>
      </c>
      <c r="BZ521" s="20">
        <f>INDEX(Input!$1:$1048576,BZ$93,$C521*2+6)</f>
        <v>0.1</v>
      </c>
      <c r="CA521" s="20">
        <f>INDEX(Input!$1:$1048576,CA$93,$C521*2+6)</f>
        <v>0.1</v>
      </c>
      <c r="CB521" s="20">
        <f>INDEX(Input!$1:$1048576,CB$93,$C521*2+6)</f>
        <v>0.1</v>
      </c>
      <c r="CC521" s="20">
        <f>INDEX(Input!$1:$1048576,CC$93,$C521*2+6)</f>
        <v>0.1</v>
      </c>
      <c r="CD521" s="384">
        <f>INDEX(Input!$1:$1048576,CD$93,$C521*2+6)</f>
        <v>0.1</v>
      </c>
      <c r="CE521" s="384">
        <f>INDEX(Input!$1:$1048576,CE$93,$C521*2+6)</f>
        <v>0.1</v>
      </c>
      <c r="CF521" s="384">
        <f>INDEX(Input!$1:$1048576,CF$93,$C521*2+6)</f>
        <v>0.1</v>
      </c>
      <c r="CG521" s="384">
        <f>INDEX(Input!$1:$1048576,CG$93,$C521*2+6)</f>
        <v>0.1</v>
      </c>
      <c r="CH521" s="384">
        <f>INDEX(Input!$1:$1048576,CH$93,$C521*2+6)</f>
        <v>0.1</v>
      </c>
      <c r="CI521" s="304">
        <f t="shared" si="1397"/>
        <v>1277.4263093788063</v>
      </c>
      <c r="CJ521" s="16" t="str">
        <f>INDEX(Input!$1:$1048576,CJ$93,$C521*2+6)</f>
        <v>N</v>
      </c>
      <c r="CK521" s="1" t="str">
        <f t="shared" si="1398"/>
        <v>Market</v>
      </c>
      <c r="CL521" s="1" t="str">
        <f t="shared" si="1399"/>
        <v>Market</v>
      </c>
      <c r="CM521" s="1" t="str">
        <f t="shared" si="1400"/>
        <v>Market</v>
      </c>
      <c r="CN521" s="1" t="str">
        <f t="shared" si="1401"/>
        <v>Market</v>
      </c>
      <c r="CO521" s="1" t="str">
        <f t="shared" si="1402"/>
        <v>Market</v>
      </c>
      <c r="CP521" s="304">
        <f t="shared" si="1403"/>
        <v>500</v>
      </c>
      <c r="CQ521" s="1">
        <f t="shared" si="1404"/>
        <v>0</v>
      </c>
      <c r="CR521" s="1">
        <f t="shared" si="1405"/>
        <v>0</v>
      </c>
      <c r="CS521" s="1">
        <f t="shared" si="1406"/>
        <v>0</v>
      </c>
      <c r="CT521" s="1">
        <f t="shared" si="1407"/>
        <v>8.9999999999999993E-3</v>
      </c>
      <c r="CU521" s="1">
        <f t="shared" si="1408"/>
        <v>3.9E-2</v>
      </c>
      <c r="CV521" s="304">
        <f t="shared" si="1409"/>
        <v>-717.93641739252325</v>
      </c>
      <c r="CW521" s="20" t="s">
        <v>122</v>
      </c>
      <c r="CX521" s="20" t="s">
        <v>122</v>
      </c>
      <c r="CY521" s="20" t="s">
        <v>122</v>
      </c>
      <c r="CZ521" s="20" t="s">
        <v>122</v>
      </c>
      <c r="DA521" s="20" t="s">
        <v>122</v>
      </c>
      <c r="DB521" s="503">
        <f t="shared" si="1410"/>
        <v>0</v>
      </c>
      <c r="DC521" s="127">
        <v>0</v>
      </c>
      <c r="DD521" s="127">
        <v>0</v>
      </c>
      <c r="DE521" s="127">
        <v>0</v>
      </c>
      <c r="DF521" s="127">
        <v>0</v>
      </c>
      <c r="DG521" s="127">
        <v>0</v>
      </c>
      <c r="DH521" s="127">
        <v>0</v>
      </c>
      <c r="DI521" s="127">
        <v>0</v>
      </c>
      <c r="DJ521" s="127">
        <v>0</v>
      </c>
      <c r="DK521" s="127">
        <v>0</v>
      </c>
      <c r="DL521" s="127">
        <v>0</v>
      </c>
      <c r="DM521" s="304">
        <f>INDEX(Input!$1:$1048576,DM$93,$C521*2+6)</f>
        <v>21036.84210526316</v>
      </c>
      <c r="DN521" s="20">
        <v>0</v>
      </c>
      <c r="DO521" s="20">
        <v>0</v>
      </c>
      <c r="DP521" s="20">
        <v>0</v>
      </c>
      <c r="DQ521" s="20">
        <v>0</v>
      </c>
      <c r="DR521" s="20">
        <v>0</v>
      </c>
      <c r="DS521" s="20">
        <f>INDEX(Input!$1:$1048576,DS$93,$C521*2+6)</f>
        <v>0.6</v>
      </c>
      <c r="DT521" s="20">
        <f>INDEX(Input!$1:$1048576,DT$93,$C521*2+6)</f>
        <v>0.55000000000000004</v>
      </c>
      <c r="DU521" s="20">
        <f>INDEX(Input!$1:$1048576,DU$93,$C521*2+6)</f>
        <v>0.52</v>
      </c>
      <c r="DV521" s="20">
        <f>INDEX(Input!$1:$1048576,DV$93,$C521*2+6)</f>
        <v>0.5</v>
      </c>
      <c r="DW521" s="20">
        <f>INDEX(Input!$1:$1048576,DW$93,$C521*2+6)</f>
        <v>0.45</v>
      </c>
      <c r="DX521" s="20"/>
      <c r="DY521" s="7">
        <v>0.11670196692943142</v>
      </c>
      <c r="DZ521" s="7">
        <v>0</v>
      </c>
      <c r="EA521" s="7">
        <v>0.71990489859225415</v>
      </c>
      <c r="EB521" s="7">
        <v>0</v>
      </c>
      <c r="EC521" s="7">
        <v>0</v>
      </c>
      <c r="ED521" s="7">
        <v>0</v>
      </c>
      <c r="EE521" s="7">
        <v>0</v>
      </c>
      <c r="EF521" s="7">
        <v>0</v>
      </c>
      <c r="EG521" s="7">
        <v>0</v>
      </c>
      <c r="EH521" s="7">
        <v>9.4863017548971213E-3</v>
      </c>
      <c r="EI521" s="7">
        <v>2.6368722284033162E-2</v>
      </c>
      <c r="EJ521" s="7">
        <v>0.22900353337550911</v>
      </c>
      <c r="EK521" s="7">
        <v>0.63701010732932473</v>
      </c>
      <c r="EL521" s="7">
        <v>9.8131335256235672E-2</v>
      </c>
      <c r="EM521" s="7">
        <v>9.4243478303646586E-2</v>
      </c>
      <c r="EN521" s="7">
        <v>5.8465511287924078E-2</v>
      </c>
      <c r="EO521" s="7">
        <v>0.71701130843161931</v>
      </c>
      <c r="EP521" s="7">
        <v>8.981827222656262E-2</v>
      </c>
      <c r="EQ521" s="7">
        <v>8.8436091358716926E-2</v>
      </c>
      <c r="ER521" s="7">
        <v>4.626881669517726E-2</v>
      </c>
      <c r="ES521" s="7">
        <v>6.9149656174667756E-2</v>
      </c>
      <c r="ET521" s="7">
        <v>0.16339313447831438</v>
      </c>
      <c r="EU521" s="6">
        <v>1270</v>
      </c>
      <c r="EV521" s="6">
        <v>0</v>
      </c>
      <c r="EW521" s="6">
        <v>1270</v>
      </c>
      <c r="EX521" s="6">
        <v>0</v>
      </c>
      <c r="EY521" s="6">
        <v>2326.3989097370431</v>
      </c>
      <c r="EZ521" s="6">
        <v>-6.4499039401316622</v>
      </c>
      <c r="FA521" s="6">
        <v>0</v>
      </c>
      <c r="FB521" s="6">
        <v>0</v>
      </c>
      <c r="FC521" s="6">
        <v>0</v>
      </c>
      <c r="FD521" s="6">
        <v>0</v>
      </c>
      <c r="FE521" s="6">
        <v>0</v>
      </c>
      <c r="FF521" s="6">
        <v>0</v>
      </c>
      <c r="FG521" s="6">
        <v>0</v>
      </c>
      <c r="FH521" s="6">
        <v>1172.1324212632348</v>
      </c>
      <c r="FI521" s="6">
        <v>1553.9796069512402</v>
      </c>
      <c r="FJ521" s="6">
        <v>2101.2110117447405</v>
      </c>
      <c r="FK521" s="6">
        <v>2251.3078348034687</v>
      </c>
      <c r="FL521" s="6">
        <v>907.07682140966358</v>
      </c>
      <c r="FM521" s="6">
        <v>2056.3989097370431</v>
      </c>
      <c r="FN521" s="6">
        <v>0</v>
      </c>
      <c r="FO521" s="6">
        <v>0</v>
      </c>
      <c r="FP521" s="6">
        <v>0</v>
      </c>
      <c r="FQ521" s="6">
        <v>0</v>
      </c>
      <c r="FR521" s="6">
        <v>0</v>
      </c>
      <c r="FS521" s="6">
        <v>0</v>
      </c>
      <c r="FT521" s="7">
        <v>0.83660686552168562</v>
      </c>
      <c r="FU521" s="7">
        <v>9.4243478303646586E-2</v>
      </c>
      <c r="FV521" s="7">
        <v>6.9149656174667756E-2</v>
      </c>
      <c r="FW521" s="6">
        <v>1269.9999999999998</v>
      </c>
      <c r="FX521" s="6">
        <v>2326.3989097370431</v>
      </c>
      <c r="FY521" s="6">
        <v>-6.4499039401316622</v>
      </c>
      <c r="FZ521" s="6">
        <v>1758.1538569113241</v>
      </c>
      <c r="GA521" s="6">
        <v>1281.292635748151</v>
      </c>
      <c r="GB521" s="6">
        <v>18703.707364251848</v>
      </c>
      <c r="GC521" s="7">
        <v>3.064145122680037E-2</v>
      </c>
      <c r="GD521" s="7">
        <v>2.9431913392067251E-2</v>
      </c>
      <c r="GE521" s="7"/>
      <c r="GF521" s="7"/>
      <c r="GG521" s="7">
        <v>-3.9473908261734164E-2</v>
      </c>
      <c r="GH521" s="42">
        <v>1.6543304877810878</v>
      </c>
      <c r="GI521" s="6">
        <v>13361.708337211394</v>
      </c>
      <c r="GJ521" s="14">
        <v>0.50394797582841755</v>
      </c>
      <c r="GK521" s="14">
        <v>0.50887573065309755</v>
      </c>
      <c r="GL521" s="14">
        <v>0.49605202417158295</v>
      </c>
      <c r="GM521" s="14">
        <v>0.49112426934690251</v>
      </c>
      <c r="GO521" s="5">
        <v>343.14810671672558</v>
      </c>
      <c r="GP521" s="5">
        <v>318.91892952659737</v>
      </c>
      <c r="GQ521" s="5">
        <v>535.04305713031317</v>
      </c>
      <c r="GR521" s="5">
        <v>410.15490233172511</v>
      </c>
      <c r="GS521" s="5">
        <v>339.42744393800166</v>
      </c>
      <c r="GT521" s="5">
        <v>293.4407446948278</v>
      </c>
      <c r="GU521" s="5">
        <v>258.04012322764959</v>
      </c>
      <c r="GV521" s="39" t="s">
        <v>392</v>
      </c>
      <c r="GW521" s="5">
        <v>492.125</v>
      </c>
      <c r="GX521" s="5">
        <v>369.09375</v>
      </c>
      <c r="GY521" s="5">
        <v>295.27499999999998</v>
      </c>
      <c r="GZ521" s="5">
        <v>252.85821728143046</v>
      </c>
      <c r="HA521" s="5">
        <v>241.34874471337258</v>
      </c>
      <c r="HB521" s="39">
        <v>266.77710986978991</v>
      </c>
      <c r="HC521" s="5">
        <v>287.56655829738071</v>
      </c>
      <c r="HD521" s="5">
        <v>239.99799238008356</v>
      </c>
      <c r="HE521" s="5">
        <v>241.14168635502031</v>
      </c>
      <c r="HF521" s="5">
        <v>221.05790951107167</v>
      </c>
      <c r="HG521" s="5">
        <v>210.75500473779988</v>
      </c>
      <c r="HH521" s="39">
        <v>239.85381219067065</v>
      </c>
      <c r="HI521" s="16"/>
      <c r="HJ521" s="19" t="str">
        <f t="shared" si="1507"/>
        <v>On</v>
      </c>
      <c r="HK521" s="1" t="str">
        <f t="shared" si="1507"/>
        <v>On</v>
      </c>
      <c r="HL521" s="16"/>
      <c r="HM521" s="639">
        <f t="shared" si="1413"/>
        <v>2.4909940070666322E-2</v>
      </c>
      <c r="HN521" s="639">
        <f t="shared" si="1414"/>
        <v>2.2052381276269151E-3</v>
      </c>
      <c r="HO521" s="639">
        <f t="shared" si="1415"/>
        <v>2.079866082302006E-3</v>
      </c>
      <c r="HP521" s="644">
        <f>(FT521*$GD521-HM521)/$JF521*INDEX(Input!$1:$1048576,$JG$93,$C521*2+6)</f>
        <v>-8.0707667836993693</v>
      </c>
      <c r="HQ521" s="644">
        <f>(FU521*$GD521-HN521)/$JF521*INDEX(Input!$1:$1048576,$JG$93,$C521*2+6)</f>
        <v>15.987689191614555</v>
      </c>
      <c r="HR521" s="644">
        <f>(FV521*$GD521-HO521)/$JF521*INDEX(Input!$1:$1048576,$JG$93,$C521*2+6)</f>
        <v>-1.2558761478218476</v>
      </c>
      <c r="HS521" s="644">
        <f t="shared" si="1416"/>
        <v>-1.57886712799687</v>
      </c>
      <c r="HT521" s="644">
        <f t="shared" si="1417"/>
        <v>19.983349800350659</v>
      </c>
      <c r="HU521" s="644">
        <f t="shared" si="1418"/>
        <v>0.36184926927034633</v>
      </c>
      <c r="HV521" s="648">
        <f t="shared" si="1419"/>
        <v>0</v>
      </c>
      <c r="HW521" s="648">
        <f t="shared" si="1420"/>
        <v>0</v>
      </c>
      <c r="HX521" s="648">
        <f t="shared" si="1421"/>
        <v>0</v>
      </c>
      <c r="HY521" s="644">
        <f>INDEX(Input!$1:$1048576,HY$93,$C521*2+6)*INDEX(Input!$1:$1048576,$JG$93,$C521*2+6)</f>
        <v>333.00000000000006</v>
      </c>
      <c r="HZ521" s="644">
        <f>INDEX(Input!$1:$1048576,HZ$93,$C521*2+6)*INDEX(Input!$1:$1048576,$JG$93,$C521*2+6)</f>
        <v>429</v>
      </c>
      <c r="IA521" s="644">
        <f>INDEX(Input!$1:$1048576,IA$93,$C521*2+6)*INDEX(Input!$1:$1048576,$JG$93,$C521*2+6)</f>
        <v>59</v>
      </c>
      <c r="IB521" s="644">
        <f t="shared" si="1445"/>
        <v>323.35036608830387</v>
      </c>
      <c r="IC521" s="644">
        <f t="shared" si="1446"/>
        <v>464.9710389919652</v>
      </c>
      <c r="ID521" s="644">
        <f>IF(AND(INDEX(Input!$1:$1048576,IA$93,$C521*2+7)="TOS",Y521&lt;=INDEX(Y:Y,MATCH(C521*1000+2,A:A))),0,1)*MAX(IA521+HR521+HU521+HX521,0%)</f>
        <v>58.1059731214485</v>
      </c>
      <c r="IE521" s="128">
        <f t="shared" si="1508"/>
        <v>0.38201784868452604</v>
      </c>
      <c r="IF521" s="128">
        <f t="shared" si="1468"/>
        <v>0.5493336474770254</v>
      </c>
      <c r="IG521" s="128">
        <f t="shared" si="1423"/>
        <v>6.8648503838448491E-2</v>
      </c>
      <c r="IH521" s="21"/>
      <c r="II521" s="19">
        <f t="shared" si="1424"/>
        <v>1240</v>
      </c>
      <c r="IJ521" s="19">
        <f t="shared" si="1425"/>
        <v>1985.7442651839444</v>
      </c>
      <c r="IK521" s="19">
        <f t="shared" si="1426"/>
        <v>-21.44990394013189</v>
      </c>
      <c r="IL521" s="19">
        <f t="shared" si="1448"/>
        <v>29.999999999999773</v>
      </c>
      <c r="IM521" s="19">
        <f t="shared" si="1427"/>
        <v>340.65464455309871</v>
      </c>
      <c r="IN521" s="19">
        <f t="shared" si="1428"/>
        <v>15.000000000000227</v>
      </c>
      <c r="IO521" s="39">
        <f t="shared" si="1429"/>
        <v>0</v>
      </c>
      <c r="IP521" s="39">
        <f t="shared" si="1430"/>
        <v>0</v>
      </c>
      <c r="IQ521" s="39">
        <f t="shared" si="1431"/>
        <v>0</v>
      </c>
      <c r="IR521" s="39">
        <v>0</v>
      </c>
      <c r="IS521" s="39">
        <v>0</v>
      </c>
      <c r="IT521" s="39">
        <v>0</v>
      </c>
      <c r="IU521" s="39">
        <v>0</v>
      </c>
      <c r="IV521" s="39">
        <v>0</v>
      </c>
      <c r="IW521" s="39">
        <v>0</v>
      </c>
      <c r="IX521" s="39">
        <f>INDEX(Input!$1:$1048576,IX$93,$C521*2+6)+INDEX(Input!$1:$1048576,IX$94,$C521*2+6)</f>
        <v>1270</v>
      </c>
      <c r="IY521" s="39">
        <f>INDEX(Input!$1:$1048576,IY$93,$C521*2+6)+INDEX(Input!$1:$1048576,IY$94,$C521*2+6)</f>
        <v>2130.0624533823611</v>
      </c>
      <c r="IZ521" s="39">
        <f>INDEX(Input!$1:$1048576,IZ$93,$C521*2+6)+INDEX(Input!$1:$1048576,IZ$94,$C521*2+6)</f>
        <v>3653.7164157747857</v>
      </c>
      <c r="JA521" s="19">
        <f t="shared" si="1449"/>
        <v>1299.9999999999998</v>
      </c>
      <c r="JB521" s="19">
        <f t="shared" si="1450"/>
        <v>2470.7170979354596</v>
      </c>
      <c r="JC521" s="19">
        <f t="shared" si="1451"/>
        <v>3668.7164157747857</v>
      </c>
      <c r="JD521" s="19">
        <f t="shared" si="1452"/>
        <v>2105.7231315331151</v>
      </c>
      <c r="JE521" s="21"/>
      <c r="JF521" s="1">
        <f t="shared" si="1432"/>
        <v>2.9195044280595241E-2</v>
      </c>
      <c r="JG521" s="15">
        <f>INDEX(Input!$1:$1048576,JG$93,$C521*2+6)/(1+VLOOKUP(C521*1000+INDEX(Input!$1:$1048576,JG$93+1,$C521*2+6),$A:$KK,$JK$92,FALSE))</f>
        <v>821</v>
      </c>
      <c r="JH521" s="1">
        <f t="shared" si="1453"/>
        <v>8.1133328381161243E-3</v>
      </c>
      <c r="JI521" s="1">
        <f t="shared" si="1454"/>
        <v>2.285789517859213E-2</v>
      </c>
      <c r="JJ521" s="1">
        <f t="shared" si="1492"/>
        <v>0</v>
      </c>
      <c r="JK521" s="1">
        <f t="shared" si="1496"/>
        <v>3.0971228016708256E-2</v>
      </c>
      <c r="JL521" s="15">
        <f t="shared" si="1457"/>
        <v>25.427378201717477</v>
      </c>
      <c r="JM521" s="15">
        <f t="shared" si="1483"/>
        <v>846.42737820171749</v>
      </c>
      <c r="JN521" s="21"/>
      <c r="JO521" s="19">
        <f>INDEX(Input!$1:$1048576,JO$93,$C521*2+6)</f>
        <v>5995.5</v>
      </c>
      <c r="JP521" s="19">
        <f>INDEX(Input!$1:$1048576,JP$93,$C521*2+6)</f>
        <v>1890.7138380411029</v>
      </c>
      <c r="JQ521" s="39">
        <f t="shared" si="1469"/>
        <v>3889.7768684668849</v>
      </c>
      <c r="JR521" s="39">
        <f t="shared" si="1486"/>
        <v>215.00929349201215</v>
      </c>
      <c r="JS521" s="39">
        <f t="shared" si="1471"/>
        <v>1.7823417094422849</v>
      </c>
      <c r="JT521" s="39">
        <f t="shared" si="1459"/>
        <v>0.23006564841053936</v>
      </c>
      <c r="JU521" s="385">
        <f>(JQ521*JM521-INDEX(Input!$1:$1048576,Input!A$18,$C521*2+6)*JL521*INDEX(Input!$1:$1048576,Input!A$19,$C521*2+6))/1000000</f>
        <v>3.2924136365661121</v>
      </c>
      <c r="JV521" s="39">
        <f t="shared" si="1493"/>
        <v>-7.7615802402142275E-2</v>
      </c>
      <c r="JW521" s="1">
        <f t="shared" si="1484"/>
        <v>-2.3031194180281288E-2</v>
      </c>
      <c r="JX521" s="19">
        <f t="shared" si="1475"/>
        <v>9047.9500711952951</v>
      </c>
      <c r="JZ521" s="341"/>
      <c r="KA521" s="342"/>
      <c r="KB521" s="469">
        <f t="shared" si="1472"/>
        <v>2.5122967434604799</v>
      </c>
      <c r="KI521" s="473">
        <f t="shared" si="1499"/>
        <v>-9.6496339116962417</v>
      </c>
      <c r="KJ521" s="473">
        <f t="shared" si="1500"/>
        <v>35.971038991965145</v>
      </c>
      <c r="KK521" s="473">
        <f t="shared" si="1461"/>
        <v>-0.89402687855150731</v>
      </c>
      <c r="KN521" s="544">
        <f t="shared" si="1476"/>
        <v>5002</v>
      </c>
      <c r="KO521" s="541">
        <f t="shared" si="1436"/>
        <v>2.6790508196870899E-2</v>
      </c>
      <c r="KP521" s="546">
        <f t="shared" si="1437"/>
        <v>170.65223985416918</v>
      </c>
      <c r="KQ521" s="546">
        <f t="shared" si="1438"/>
        <v>186.8043658098486</v>
      </c>
      <c r="KR521" s="548">
        <f t="shared" si="1439"/>
        <v>2.8361743028150586</v>
      </c>
      <c r="KS521" s="548">
        <f t="shared" si="1440"/>
        <v>2.5909431789452815</v>
      </c>
      <c r="KT521" s="473">
        <f t="shared" si="1474"/>
        <v>595.94378802984284</v>
      </c>
      <c r="KU521" s="663">
        <f t="shared" si="1462"/>
        <v>3.9891388508870067</v>
      </c>
      <c r="KV521" s="117"/>
    </row>
    <row r="522" spans="1:308" s="26" customFormat="1" ht="15">
      <c r="A522" s="561">
        <f t="shared" si="1441"/>
        <v>5022</v>
      </c>
      <c r="B522" s="561">
        <f t="shared" si="1463"/>
        <v>22</v>
      </c>
      <c r="C522" s="561">
        <f t="shared" si="1464"/>
        <v>5</v>
      </c>
      <c r="D522" s="561" t="str">
        <f t="shared" si="1509"/>
        <v xml:space="preserve">0/1.9/2.9/3.9, </v>
      </c>
      <c r="E522" s="475">
        <f>INDEX(Input!$1:$1048576,E$93,$C522*2+MIN($B522,2)+5)
+INDEX(Scenarios!E$121:E$200,MATCH($B522,Scenarios!$B$121:$B$200,0))</f>
        <v>1277.4263093788063</v>
      </c>
      <c r="F522" s="475">
        <f>INDEX(Input!$1:$1048576,F$93,$C522*2+MIN($B522,2)+5)
+INDEX(Scenarios!F$121:F$200,MATCH($B522,Scenarios!$B$121:$B$200,0))</f>
        <v>0</v>
      </c>
      <c r="G522" s="475">
        <f>INDEX(Input!$1:$1048576,G$93,$C522*2+MIN($B522,2)+5)
+INDEX(Scenarios!G$121:G$200,MATCH($B522,Scenarios!$B$121:$B$200,0))</f>
        <v>0</v>
      </c>
      <c r="H522" s="475">
        <f>INDEX(Input!$1:$1048576,H$93,$C522*2+MIN($B522,2)+5)
+INDEX(Scenarios!H$121:H$200,MATCH($B522,Scenarios!$B$121:$B$200,0))</f>
        <v>0</v>
      </c>
      <c r="I522" s="476">
        <f>INDEX(Input!$1:$1048576,I$93,$C522*2+MIN($B522,2)+5)</f>
        <v>0.7</v>
      </c>
      <c r="J522" s="476" t="str">
        <f>INDEX(Input!$1:$1048576,J$93,$C522*2+MIN($B522,2)+5)</f>
        <v>Market</v>
      </c>
      <c r="K522" s="476" t="str">
        <f>INDEX(Input!$1:$1048576,K$93,$C522*2+MIN($B522,2)+5)</f>
        <v>Market</v>
      </c>
      <c r="L522" s="476" t="str">
        <f>INDEX(Input!$1:$1048576,L$93,$C522*2+MIN($B522,2)+5)</f>
        <v>Market</v>
      </c>
      <c r="M522" s="476" t="str">
        <f>INDEX(Input!$1:$1048576,M$93,$C522*2+MIN($B522,2)+5)</f>
        <v>Market</v>
      </c>
      <c r="N522" s="476" t="str">
        <f>INDEX(Input!$1:$1048576,N$93,$C522*2+MIN($B522,2)+5)</f>
        <v>Market</v>
      </c>
      <c r="O522" s="476" t="str">
        <f>INDEX(Input!$1:$1048576,O$93,$C522*2+MIN($B522,2)+5)</f>
        <v>Market</v>
      </c>
      <c r="P522" s="476" t="str">
        <f>INDEX(Input!$1:$1048576,P$93,$C522*2+MIN($B522,2)+5)</f>
        <v>N</v>
      </c>
      <c r="Q522" s="477">
        <f>INDEX(Input!$1:$1048576,Q$93,$C522*2+MIN($B522,2)+5)
+INDEX(Scenarios!Q$121:Q$200,MATCH($B522,Scenarios!$B$121:$B$200,0))</f>
        <v>0</v>
      </c>
      <c r="R522" s="478">
        <f>IFERROR(MAX(0,INDEX(Input!$1:$1048576,R$93,$C522*2+MIN($B522,2)+5)
+INDEX(Scenarios!R$121:R$200,MATCH($B522,Scenarios!$B$121:$B$200,0)),),"Market")</f>
        <v>0</v>
      </c>
      <c r="S522" s="478">
        <f>IFERROR(MAX(0,INDEX(Input!$1:$1048576,S$93,$C522*2+MIN($B522,2)+5)
+INDEX(Scenarios!S$121:S$200,MATCH($B522,Scenarios!$B$121:$B$200,0)),),"Market")</f>
        <v>0</v>
      </c>
      <c r="T522" s="478">
        <f>IFERROR(MAX(0,INDEX(Input!$1:$1048576,T$93,$C522*2+MIN($B522,2)+5)
+INDEX(Scenarios!T$121:T$200,MATCH($B522,Scenarios!$B$121:$B$200,0)),),"Market")</f>
        <v>0</v>
      </c>
      <c r="U522" s="478">
        <f>IFERROR(MAX(0,INDEX(Input!$1:$1048576,U$93,$C522*2+MIN($B522,2)+5)
+INDEX(Scenarios!U$121:U$200,MATCH($B522,Scenarios!$B$121:$B$200,0)),),"Market")</f>
        <v>0</v>
      </c>
      <c r="V522" s="478">
        <f>IFERROR(MAX(0,INDEX(Input!$1:$1048576,V$93,$C522*2+MIN($B522,2)+5)
+INDEX(Scenarios!V$121:V$200,MATCH($B522,Scenarios!$B$121:$B$200,0)),),"Market")</f>
        <v>2.8999999999999998E-2</v>
      </c>
      <c r="W522" s="885">
        <f>IFERROR(MAX(0,INDEX(Input!$1:$1048576,W$93,$C522*2+MIN($B522,2)+5)-0%,),"Market")</f>
        <v>3.9E-2</v>
      </c>
      <c r="X522" s="476" t="str">
        <f>INDEX(Input!$1:$1048576,X$93,$C522*2+MIN($B522,2)+5)</f>
        <v>Y</v>
      </c>
      <c r="Y522" s="475">
        <f>INDEX(Input!$1:$1048576,Y$93,$C522*2+MIN($B522,2)+5)
++INDEX(Scenarios!Y$121:Y$200,MATCH($B522,Scenarios!$B$121:$B$200,0))</f>
        <v>-717.93641739252325</v>
      </c>
      <c r="Z522" s="477">
        <f>INDEX(Input!$1:$1048576,Z$93,$C522*2+MIN($B522,2)+5)
+INDEX(Scenarios!Z$121:Z$200,MATCH($B522,Scenarios!$B$121:$B$200,0))</f>
        <v>0</v>
      </c>
      <c r="AA522" s="475">
        <f>INDEX(Input!$1:$1048576,AA$93,$C522*2+MIN($B522,2)+5)
+INDEX(Scenarios!AA$121:AA$200,MATCH($B522,Scenarios!$B$121:$B$200,0))</f>
        <v>0</v>
      </c>
      <c r="AB522" s="476">
        <f>INDEX(Input!$1:$1048576,AB$93,$C522*2+MIN($B522,2)+5)</f>
        <v>0.27</v>
      </c>
      <c r="AC522" s="475">
        <f>INDEX(Input!$1:$1048576,AC$93,$C522*2+MIN($B522,2)+5)
+INDEX(Scenarios!AC$121:AC$200,MATCH($B522,Scenarios!$B$121:$B$200,0))</f>
        <v>0</v>
      </c>
      <c r="AD522" s="476">
        <f>INDEX(Input!$1:$1048576,AD$93,$C522*2+MIN($B522,2)+5)</f>
        <v>0.27</v>
      </c>
      <c r="AE522" s="475">
        <f>INDEX(Input!$1:$1048576,AE$93,$C522*2+MIN($B522,2)+5)
+INDEX(Scenarios!AE$121:AE$200,MATCH($B522,Scenarios!$B$121:$B$200,0))</f>
        <v>0</v>
      </c>
      <c r="AF522" s="476">
        <f>INDEX(Input!$1:$1048576,AF$93,$C522*2+MIN($B522,2)+5)</f>
        <v>0.2</v>
      </c>
      <c r="AG522" s="475">
        <f>INDEX(Input!$1:$1048576,AG$93,$C522*2+MIN($B522,2)+5)
+INDEX(Scenarios!AG$121:AG$200,MATCH($B522,Scenarios!$B$121:$B$200,0))</f>
        <v>500</v>
      </c>
      <c r="AH522" s="476">
        <f>INDEX(Input!$1:$1048576,AH$93,$C522*2+MIN($B522,2)+5)</f>
        <v>1</v>
      </c>
      <c r="AI522" s="475">
        <f>INDEX(Input!$1:$1048576,AI$93,$C522*2+MIN($B522,2)+5)
+INDEX(Scenarios!AI$121:AI$200,MATCH($B522,Scenarios!$B$121:$B$200,0))</f>
        <v>0</v>
      </c>
      <c r="AJ522" s="476">
        <f>INDEX(Input!$1:$1048576,AJ$93,$C522*2+MIN($B522,2)+5)</f>
        <v>0.27</v>
      </c>
      <c r="AK522" s="150">
        <f>ROUND(INDEX(Input!$1:$1048576,AK$93,$C521*2+MIN($B522,1)+5)+(Y522-VLOOKUP($C522*1000+1,$A:$HH,Y$92,FALSE)),0)</f>
        <v>2587</v>
      </c>
      <c r="AL522" s="150">
        <f>ROUND(INDEX(Input!$1:$1048576,AL$93,$C521*2+MIN($B522,1)+5)-(Y522-VLOOKUP($C522*1000+1,$A:$HH,Y$92,FALSE))/36,0)</f>
        <v>3406</v>
      </c>
      <c r="AM522" s="32" t="str">
        <f t="shared" si="1442"/>
        <v>std/std/std/std</v>
      </c>
      <c r="AN522" s="32" t="str">
        <f t="shared" si="1443"/>
        <v>$0 + 0/0/0/2.9/3.9</v>
      </c>
      <c r="AO522" s="32" t="str">
        <f t="shared" si="1444"/>
        <v>0/0/0/2.9/3.9</v>
      </c>
      <c r="AP522" s="32" t="str">
        <f t="shared" si="1396"/>
        <v>0/1.9/2.9/3.9</v>
      </c>
      <c r="AQ522" s="536">
        <f t="shared" si="1394"/>
        <v>0.42322725050765519</v>
      </c>
      <c r="AR522" s="32"/>
      <c r="AS522" s="302"/>
      <c r="AT522" s="3">
        <f t="shared" si="1465"/>
        <v>22</v>
      </c>
      <c r="AU522" s="41" t="s">
        <v>121</v>
      </c>
      <c r="AV522" s="41" t="s">
        <v>116</v>
      </c>
      <c r="AW522" s="41" t="str">
        <f>INDEX(Input!$1:$1048576,AW$93,$C522*2+6)</f>
        <v>Kia</v>
      </c>
      <c r="AX522" s="41" t="str">
        <f>INDEX(Input!$1:$1048576,AX$93,$C522*2+6)</f>
        <v>Kia-LR - R2</v>
      </c>
      <c r="AY522" s="41" t="str">
        <f>IF(LEN(D522)=0,"",INDEX(Input!$1:$1048576,AY$93,$C522*2+6))</f>
        <v>Compact SUV (52)</v>
      </c>
      <c r="AZ522" s="41" t="str">
        <f>INDEX(Input!$1:$1048576,AZ$93,$C522*2+6)</f>
        <v>Kia Soul</v>
      </c>
      <c r="BA522" s="3">
        <f>INDEX(Input!$1:$1048576,BA$93,$C522*2+6)</f>
        <v>2020</v>
      </c>
      <c r="BB522" s="128">
        <f>INDEX(Input!$1:$1048576,BB$93,$C522*2+6)</f>
        <v>1</v>
      </c>
      <c r="BC522" s="128">
        <f>INDEX(Input!$1:$1048576,BC$93,$C522*2+6)</f>
        <v>0.7</v>
      </c>
      <c r="BD522" s="1">
        <f>INDEX(Input!$1:$1048576,BD$93,$C522*2+6)</f>
        <v>4.4999999999999998E-2</v>
      </c>
      <c r="BE522" s="1">
        <f>INDEX(Input!$1:$1048576,BE$93,$C522*2+6)</f>
        <v>4.4999999999999998E-2</v>
      </c>
      <c r="BF522" s="1">
        <f>INDEX(Input!$1:$1048576,BF$93,$C522*2+6)</f>
        <v>0.05</v>
      </c>
      <c r="BG522" s="1">
        <f>INDEX(Input!$1:$1048576,BG$93,$C522*2+6)</f>
        <v>5.45E-2</v>
      </c>
      <c r="BH522" s="1">
        <f>INDEX(Input!$1:$1048576,BH$93,$C522*2+6)</f>
        <v>5.45E-2</v>
      </c>
      <c r="BI522" s="1">
        <f>INDEX(Input!$1:$1048576,BI$93,$C522*2+6)</f>
        <v>0.05</v>
      </c>
      <c r="BJ522" s="1">
        <f>INDEX(Input!$1:$1048576,BJ$93,$C522*2+6)</f>
        <v>0.05</v>
      </c>
      <c r="BK522" s="1">
        <f>INDEX(Input!$1:$1048576,BK$93,$C522*2+6)</f>
        <v>0.05</v>
      </c>
      <c r="BL522" s="1">
        <f>INDEX(Input!$1:$1048576,BL$93,$C522*2+6)</f>
        <v>5.5E-2</v>
      </c>
      <c r="BM522" s="1">
        <f>INDEX(Input!$1:$1048576,BM$93,$C522*2+6)</f>
        <v>0.06</v>
      </c>
      <c r="BN522" s="1">
        <f>INDEX(Input!$1:$1048576,BN$93,$C522*2+6)</f>
        <v>4.4999999999999998E-2</v>
      </c>
      <c r="BO522" s="1">
        <f>INDEX(Input!$1:$1048576,BO$93,$C522*2+6)</f>
        <v>4.4999999999999998E-2</v>
      </c>
      <c r="BP522" s="1">
        <f>INDEX(Input!$1:$1048576,BP$93,$C522*2+6)</f>
        <v>0.05</v>
      </c>
      <c r="BQ522" s="1">
        <f>INDEX(Input!$1:$1048576,BQ$93,$C522*2+6)</f>
        <v>5.45E-2</v>
      </c>
      <c r="BR522" s="1">
        <f>INDEX(Input!$1:$1048576,BR$93,$C522*2+6)</f>
        <v>5.45E-2</v>
      </c>
      <c r="BS522" s="1">
        <f>INDEX(Input!$1:$1048576,BS$93,$C522*2+6)</f>
        <v>0.05</v>
      </c>
      <c r="BT522" s="1">
        <f>INDEX(Input!$1:$1048576,BT$93,$C522*2+6)</f>
        <v>0.05</v>
      </c>
      <c r="BU522" s="1">
        <f>INDEX(Input!$1:$1048576,BU$93,$C522*2+6)</f>
        <v>0.05</v>
      </c>
      <c r="BV522" s="1">
        <f>INDEX(Input!$1:$1048576,BV$93,$C522*2+6)</f>
        <v>5.5E-2</v>
      </c>
      <c r="BW522" s="1">
        <f>INDEX(Input!$1:$1048576,BW$93,$C522*2+6)</f>
        <v>0.06</v>
      </c>
      <c r="BX522" s="127">
        <f>INDEX(Input!$1:$1048576,BX$93,$C522*2+6)</f>
        <v>19985</v>
      </c>
      <c r="BY522" s="20">
        <f>INDEX(Input!$1:$1048576,BY$93,$C522*2+6)</f>
        <v>0.1</v>
      </c>
      <c r="BZ522" s="20">
        <f>INDEX(Input!$1:$1048576,BZ$93,$C522*2+6)</f>
        <v>0.1</v>
      </c>
      <c r="CA522" s="20">
        <f>INDEX(Input!$1:$1048576,CA$93,$C522*2+6)</f>
        <v>0.1</v>
      </c>
      <c r="CB522" s="20">
        <f>INDEX(Input!$1:$1048576,CB$93,$C522*2+6)</f>
        <v>0.1</v>
      </c>
      <c r="CC522" s="20">
        <f>INDEX(Input!$1:$1048576,CC$93,$C522*2+6)</f>
        <v>0.1</v>
      </c>
      <c r="CD522" s="384">
        <f>INDEX(Input!$1:$1048576,CD$93,$C522*2+6)</f>
        <v>0.1</v>
      </c>
      <c r="CE522" s="384">
        <f>INDEX(Input!$1:$1048576,CE$93,$C522*2+6)</f>
        <v>0.1</v>
      </c>
      <c r="CF522" s="384">
        <f>INDEX(Input!$1:$1048576,CF$93,$C522*2+6)</f>
        <v>0.1</v>
      </c>
      <c r="CG522" s="384">
        <f>INDEX(Input!$1:$1048576,CG$93,$C522*2+6)</f>
        <v>0.1</v>
      </c>
      <c r="CH522" s="384">
        <f>INDEX(Input!$1:$1048576,CH$93,$C522*2+6)</f>
        <v>0.1</v>
      </c>
      <c r="CI522" s="304">
        <f t="shared" si="1397"/>
        <v>1277.4263093788063</v>
      </c>
      <c r="CJ522" s="16" t="str">
        <f>INDEX(Input!$1:$1048576,CJ$93,$C522*2+6)</f>
        <v>N</v>
      </c>
      <c r="CK522" s="1" t="str">
        <f t="shared" si="1398"/>
        <v>Market</v>
      </c>
      <c r="CL522" s="1" t="str">
        <f t="shared" si="1399"/>
        <v>Market</v>
      </c>
      <c r="CM522" s="1" t="str">
        <f t="shared" si="1400"/>
        <v>Market</v>
      </c>
      <c r="CN522" s="1" t="str">
        <f t="shared" si="1401"/>
        <v>Market</v>
      </c>
      <c r="CO522" s="1" t="str">
        <f t="shared" si="1402"/>
        <v>Market</v>
      </c>
      <c r="CP522" s="304">
        <f t="shared" si="1403"/>
        <v>500</v>
      </c>
      <c r="CQ522" s="1">
        <f t="shared" si="1404"/>
        <v>0</v>
      </c>
      <c r="CR522" s="1">
        <f t="shared" si="1405"/>
        <v>0</v>
      </c>
      <c r="CS522" s="1">
        <f t="shared" si="1406"/>
        <v>0</v>
      </c>
      <c r="CT522" s="1">
        <f t="shared" si="1407"/>
        <v>2.8999999999999998E-2</v>
      </c>
      <c r="CU522" s="1">
        <f t="shared" si="1408"/>
        <v>3.9E-2</v>
      </c>
      <c r="CV522" s="304">
        <f t="shared" si="1409"/>
        <v>-717.93641739252325</v>
      </c>
      <c r="CW522" s="20" t="s">
        <v>122</v>
      </c>
      <c r="CX522" s="20" t="s">
        <v>122</v>
      </c>
      <c r="CY522" s="20" t="s">
        <v>122</v>
      </c>
      <c r="CZ522" s="20" t="s">
        <v>122</v>
      </c>
      <c r="DA522" s="20" t="s">
        <v>122</v>
      </c>
      <c r="DB522" s="503">
        <f t="shared" si="1410"/>
        <v>0</v>
      </c>
      <c r="DC522" s="127">
        <v>0</v>
      </c>
      <c r="DD522" s="127">
        <v>0</v>
      </c>
      <c r="DE522" s="127">
        <v>0</v>
      </c>
      <c r="DF522" s="127">
        <v>0</v>
      </c>
      <c r="DG522" s="127">
        <v>0</v>
      </c>
      <c r="DH522" s="127">
        <v>0</v>
      </c>
      <c r="DI522" s="127">
        <v>0</v>
      </c>
      <c r="DJ522" s="127">
        <v>0</v>
      </c>
      <c r="DK522" s="127">
        <v>0</v>
      </c>
      <c r="DL522" s="127">
        <v>0</v>
      </c>
      <c r="DM522" s="304">
        <f>INDEX(Input!$1:$1048576,DM$93,$C522*2+6)</f>
        <v>21036.84210526316</v>
      </c>
      <c r="DN522" s="20">
        <v>0</v>
      </c>
      <c r="DO522" s="20">
        <v>0</v>
      </c>
      <c r="DP522" s="20">
        <v>0</v>
      </c>
      <c r="DQ522" s="20">
        <v>0</v>
      </c>
      <c r="DR522" s="20">
        <v>0</v>
      </c>
      <c r="DS522" s="20">
        <f>INDEX(Input!$1:$1048576,DS$93,$C522*2+6)</f>
        <v>0.6</v>
      </c>
      <c r="DT522" s="20">
        <f>INDEX(Input!$1:$1048576,DT$93,$C522*2+6)</f>
        <v>0.55000000000000004</v>
      </c>
      <c r="DU522" s="20">
        <f>INDEX(Input!$1:$1048576,DU$93,$C522*2+6)</f>
        <v>0.52</v>
      </c>
      <c r="DV522" s="20">
        <f>INDEX(Input!$1:$1048576,DV$93,$C522*2+6)</f>
        <v>0.5</v>
      </c>
      <c r="DW522" s="20">
        <f>INDEX(Input!$1:$1048576,DW$93,$C522*2+6)</f>
        <v>0.45</v>
      </c>
      <c r="DX522" s="20"/>
      <c r="DY522" s="7">
        <v>0.12101958544932362</v>
      </c>
      <c r="DZ522" s="7">
        <v>0</v>
      </c>
      <c r="EA522" s="7">
        <v>0.74506161494472145</v>
      </c>
      <c r="EB522" s="7">
        <v>0</v>
      </c>
      <c r="EC522" s="7">
        <v>0</v>
      </c>
      <c r="ED522" s="7">
        <v>0</v>
      </c>
      <c r="EE522" s="7">
        <v>0</v>
      </c>
      <c r="EF522" s="7">
        <v>0</v>
      </c>
      <c r="EG522" s="7">
        <v>0</v>
      </c>
      <c r="EH522" s="7">
        <v>1.4912561472818862E-2</v>
      </c>
      <c r="EI522" s="7">
        <v>4.1458282006874646E-2</v>
      </c>
      <c r="EJ522" s="7">
        <v>0.36014817640174768</v>
      </c>
      <c r="EK522" s="7">
        <v>0.42922678265168934</v>
      </c>
      <c r="EL522" s="7">
        <v>0.15425419746686925</v>
      </c>
      <c r="EM522" s="7">
        <v>6.2207259897252308E-2</v>
      </c>
      <c r="EN522" s="7">
        <v>5.847417992184268E-2</v>
      </c>
      <c r="EO522" s="7">
        <v>0.71706265648984768</v>
      </c>
      <c r="EP522" s="7">
        <v>8.9774518325172484E-2</v>
      </c>
      <c r="EQ522" s="7">
        <v>8.8417007268026537E-2</v>
      </c>
      <c r="ER522" s="7">
        <v>4.6271637995109909E-2</v>
      </c>
      <c r="ES522" s="7">
        <v>7.1711539708702587E-2</v>
      </c>
      <c r="ET522" s="7">
        <v>0.1339187996059549</v>
      </c>
      <c r="EU522" s="6">
        <v>1270</v>
      </c>
      <c r="EV522" s="6">
        <v>0</v>
      </c>
      <c r="EW522" s="6">
        <v>1270</v>
      </c>
      <c r="EX522" s="6">
        <v>0</v>
      </c>
      <c r="EY522" s="6">
        <v>1800.1156054729447</v>
      </c>
      <c r="EZ522" s="6">
        <v>-6.4499039401316622</v>
      </c>
      <c r="FA522" s="6">
        <v>0</v>
      </c>
      <c r="FB522" s="6">
        <v>0</v>
      </c>
      <c r="FC522" s="6">
        <v>0</v>
      </c>
      <c r="FD522" s="6">
        <v>0</v>
      </c>
      <c r="FE522" s="6">
        <v>0</v>
      </c>
      <c r="FF522" s="6">
        <v>0</v>
      </c>
      <c r="FG522" s="6">
        <v>0</v>
      </c>
      <c r="FH522" s="6">
        <v>1172.1365492058821</v>
      </c>
      <c r="FI522" s="6">
        <v>1553.9796069512411</v>
      </c>
      <c r="FJ522" s="6">
        <v>2101.2110117447401</v>
      </c>
      <c r="FK522" s="6">
        <v>1284.968747058685</v>
      </c>
      <c r="FL522" s="6">
        <v>907.07682140966347</v>
      </c>
      <c r="FM522" s="6">
        <v>1530.1156054729447</v>
      </c>
      <c r="FN522" s="6">
        <v>0</v>
      </c>
      <c r="FO522" s="6">
        <v>0</v>
      </c>
      <c r="FP522" s="6">
        <v>0</v>
      </c>
      <c r="FQ522" s="6">
        <v>0</v>
      </c>
      <c r="FR522" s="6">
        <v>0</v>
      </c>
      <c r="FS522" s="6">
        <v>0</v>
      </c>
      <c r="FT522" s="7">
        <v>0.86608120039404501</v>
      </c>
      <c r="FU522" s="7">
        <v>6.2207259897252308E-2</v>
      </c>
      <c r="FV522" s="7">
        <v>7.1711539708702587E-2</v>
      </c>
      <c r="FW522" s="6">
        <v>1270.0000000000002</v>
      </c>
      <c r="FX522" s="6">
        <v>1800.1156054729447</v>
      </c>
      <c r="FY522" s="6">
        <v>-6.4499039401316622</v>
      </c>
      <c r="FZ522" s="6">
        <v>1758.1538569113241</v>
      </c>
      <c r="GA522" s="6">
        <v>1211.4408512726725</v>
      </c>
      <c r="GB522" s="6">
        <v>18773.559148727327</v>
      </c>
      <c r="GC522" s="7">
        <v>3.064145122680037E-2</v>
      </c>
      <c r="GD522" s="7">
        <v>2.9201983702558582E-2</v>
      </c>
      <c r="GE522" s="7"/>
      <c r="GF522" s="7"/>
      <c r="GG522" s="7">
        <v>-4.6977785535913738E-2</v>
      </c>
      <c r="GH522" s="42">
        <v>1.7172648798403876</v>
      </c>
      <c r="GI522" s="6">
        <v>12849.132994524054</v>
      </c>
      <c r="GJ522" s="14">
        <v>0.50394797582841722</v>
      </c>
      <c r="GK522" s="14">
        <v>0.50887573065309755</v>
      </c>
      <c r="GL522" s="14">
        <v>0.49605202417158251</v>
      </c>
      <c r="GM522" s="14">
        <v>0.49112426934690229</v>
      </c>
      <c r="GO522" s="5">
        <v>343.14810671672558</v>
      </c>
      <c r="GP522" s="5">
        <v>318.91892952659737</v>
      </c>
      <c r="GQ522" s="5">
        <v>535.04305713031317</v>
      </c>
      <c r="GR522" s="5">
        <v>410.15490233172511</v>
      </c>
      <c r="GS522" s="5">
        <v>339.42744393800166</v>
      </c>
      <c r="GT522" s="5">
        <v>293.4407446948278</v>
      </c>
      <c r="GU522" s="5">
        <v>258.04012322764959</v>
      </c>
      <c r="GV522" s="39" t="s">
        <v>392</v>
      </c>
      <c r="GW522" s="5">
        <v>492.125</v>
      </c>
      <c r="GX522" s="5">
        <v>369.09375</v>
      </c>
      <c r="GY522" s="5">
        <v>295.27499999999998</v>
      </c>
      <c r="GZ522" s="5">
        <v>268.3868982438774</v>
      </c>
      <c r="HA522" s="5">
        <v>241.34874471337258</v>
      </c>
      <c r="HB522" s="39">
        <v>281.4114916407953</v>
      </c>
      <c r="HC522" s="5">
        <v>287.56655829738071</v>
      </c>
      <c r="HD522" s="5">
        <v>239.99799238008356</v>
      </c>
      <c r="HE522" s="5">
        <v>241.14168635502031</v>
      </c>
      <c r="HF522" s="5">
        <v>221.05790951107167</v>
      </c>
      <c r="HG522" s="5">
        <v>210.75500473779988</v>
      </c>
      <c r="HH522" s="39">
        <v>239.85445345510112</v>
      </c>
      <c r="HI522" s="16"/>
      <c r="HJ522" s="19" t="str">
        <f t="shared" si="1507"/>
        <v>On</v>
      </c>
      <c r="HK522" s="1" t="str">
        <f t="shared" si="1507"/>
        <v>On</v>
      </c>
      <c r="HL522" s="16"/>
      <c r="HM522" s="639">
        <f t="shared" si="1413"/>
        <v>2.4909940070666322E-2</v>
      </c>
      <c r="HN522" s="639">
        <f t="shared" si="1414"/>
        <v>2.2052381276269151E-3</v>
      </c>
      <c r="HO522" s="639">
        <f t="shared" si="1415"/>
        <v>2.079866082302006E-3</v>
      </c>
      <c r="HP522" s="644">
        <f>(FT522*$GD522-HM522)/$JF522*INDEX(Input!$1:$1048576,$JG$93,$C522*2+6)</f>
        <v>10.723996485576542</v>
      </c>
      <c r="HQ522" s="644">
        <f>(FU522*$GD522-HN522)/$JF522*INDEX(Input!$1:$1048576,$JG$93,$C522*2+6)</f>
        <v>-10.929666856157716</v>
      </c>
      <c r="HR522" s="644">
        <f>(FV522*$GD522-HO522)/$JF522*INDEX(Input!$1:$1048576,$JG$93,$C522*2+6)</f>
        <v>0.40081531974248358</v>
      </c>
      <c r="HS522" s="644">
        <f t="shared" si="1416"/>
        <v>-1.3753555312533408</v>
      </c>
      <c r="HT522" s="644">
        <f t="shared" si="1417"/>
        <v>-11.077848236271086</v>
      </c>
      <c r="HU522" s="644">
        <f t="shared" si="1418"/>
        <v>0.15833767252679698</v>
      </c>
      <c r="HV522" s="648">
        <f t="shared" si="1419"/>
        <v>0</v>
      </c>
      <c r="HW522" s="648">
        <f t="shared" si="1420"/>
        <v>0</v>
      </c>
      <c r="HX522" s="648">
        <f t="shared" si="1421"/>
        <v>0</v>
      </c>
      <c r="HY522" s="644">
        <f>INDEX(Input!$1:$1048576,HY$93,$C522*2+6)*INDEX(Input!$1:$1048576,$JG$93,$C522*2+6)</f>
        <v>333.00000000000006</v>
      </c>
      <c r="HZ522" s="644">
        <f>INDEX(Input!$1:$1048576,HZ$93,$C522*2+6)*INDEX(Input!$1:$1048576,$JG$93,$C522*2+6)</f>
        <v>429</v>
      </c>
      <c r="IA522" s="644">
        <f>INDEX(Input!$1:$1048576,IA$93,$C522*2+6)*INDEX(Input!$1:$1048576,$JG$93,$C522*2+6)</f>
        <v>59</v>
      </c>
      <c r="IB522" s="644">
        <f t="shared" si="1445"/>
        <v>342.34864095432329</v>
      </c>
      <c r="IC522" s="644">
        <f t="shared" si="1446"/>
        <v>406.99248490757117</v>
      </c>
      <c r="ID522" s="644">
        <f>IF(AND(INDEX(Input!$1:$1048576,IA$93,$C522*2+7)="TOS",Y522&lt;=INDEX(Y:Y,MATCH(C522*1000+2,A:A))),0,1)*MAX(IA522+HR522+HU522+HX522,0%)</f>
        <v>59.559152992269283</v>
      </c>
      <c r="IE522" s="128">
        <f t="shared" si="1508"/>
        <v>0.42322725050765519</v>
      </c>
      <c r="IF522" s="128">
        <f t="shared" si="1468"/>
        <v>0.50314296526648583</v>
      </c>
      <c r="IG522" s="128">
        <f t="shared" si="1423"/>
        <v>7.3629784225859043E-2</v>
      </c>
      <c r="IH522" s="21"/>
      <c r="II522" s="19">
        <f t="shared" si="1424"/>
        <v>1240</v>
      </c>
      <c r="IJ522" s="19">
        <f t="shared" si="1425"/>
        <v>1985.7442651839444</v>
      </c>
      <c r="IK522" s="19">
        <f t="shared" si="1426"/>
        <v>-21.44990394013189</v>
      </c>
      <c r="IL522" s="19">
        <f t="shared" si="1448"/>
        <v>30.000000000000227</v>
      </c>
      <c r="IM522" s="19">
        <f t="shared" si="1427"/>
        <v>-185.62865971099973</v>
      </c>
      <c r="IN522" s="19">
        <f t="shared" si="1428"/>
        <v>15.000000000000227</v>
      </c>
      <c r="IO522" s="39">
        <f t="shared" si="1429"/>
        <v>0</v>
      </c>
      <c r="IP522" s="39">
        <f t="shared" si="1430"/>
        <v>0</v>
      </c>
      <c r="IQ522" s="39">
        <f t="shared" si="1431"/>
        <v>0</v>
      </c>
      <c r="IR522" s="39">
        <v>0</v>
      </c>
      <c r="IS522" s="39">
        <v>0</v>
      </c>
      <c r="IT522" s="39">
        <v>0</v>
      </c>
      <c r="IU522" s="39">
        <v>0</v>
      </c>
      <c r="IV522" s="39">
        <v>0</v>
      </c>
      <c r="IW522" s="39">
        <v>0</v>
      </c>
      <c r="IX522" s="39">
        <f>INDEX(Input!$1:$1048576,IX$93,$C522*2+6)+INDEX(Input!$1:$1048576,IX$94,$C522*2+6)</f>
        <v>1270</v>
      </c>
      <c r="IY522" s="39">
        <f>INDEX(Input!$1:$1048576,IY$93,$C522*2+6)+INDEX(Input!$1:$1048576,IY$94,$C522*2+6)</f>
        <v>2130.0624533823611</v>
      </c>
      <c r="IZ522" s="39">
        <f>INDEX(Input!$1:$1048576,IZ$93,$C522*2+6)+INDEX(Input!$1:$1048576,IZ$94,$C522*2+6)</f>
        <v>3653.7164157747857</v>
      </c>
      <c r="JA522" s="19">
        <f t="shared" si="1449"/>
        <v>1300.0000000000002</v>
      </c>
      <c r="JB522" s="19">
        <f t="shared" si="1450"/>
        <v>1944.4337936713614</v>
      </c>
      <c r="JC522" s="19">
        <f t="shared" si="1451"/>
        <v>3668.7164157747857</v>
      </c>
      <c r="JD522" s="19">
        <f t="shared" si="1452"/>
        <v>1798.6504084514872</v>
      </c>
      <c r="JE522" s="21"/>
      <c r="JF522" s="1">
        <f t="shared" si="1432"/>
        <v>2.9195044280595241E-2</v>
      </c>
      <c r="JG522" s="15">
        <f>INDEX(Input!$1:$1048576,JG$93,$C522*2+6)/(1+VLOOKUP(C522*1000+INDEX(Input!$1:$1048576,JG$93+1,$C522*2+6),$A:$KK,$JK$92,FALSE))</f>
        <v>821</v>
      </c>
      <c r="JH522" s="1">
        <f t="shared" si="1453"/>
        <v>2.3769177729757534E-4</v>
      </c>
      <c r="JI522" s="1">
        <f t="shared" si="1454"/>
        <v>-1.4975476364187126E-2</v>
      </c>
      <c r="JJ522" s="1">
        <f t="shared" si="1492"/>
        <v>0</v>
      </c>
      <c r="JK522" s="1">
        <f t="shared" si="1496"/>
        <v>-1.4737784586889551E-2</v>
      </c>
      <c r="JL522" s="15">
        <f t="shared" si="1457"/>
        <v>-12.099721145836321</v>
      </c>
      <c r="JM522" s="15">
        <f t="shared" si="1483"/>
        <v>808.90027885416373</v>
      </c>
      <c r="JN522" s="21"/>
      <c r="JO522" s="19">
        <f>INDEX(Input!$1:$1048576,JO$93,$C522*2+6)</f>
        <v>5995.5</v>
      </c>
      <c r="JP522" s="19">
        <f>INDEX(Input!$1:$1048576,JP$93,$C522*2+6)</f>
        <v>1890.7138380411029</v>
      </c>
      <c r="JQ522" s="39">
        <f t="shared" si="1469"/>
        <v>4196.8495915485128</v>
      </c>
      <c r="JR522" s="39">
        <f t="shared" si="1486"/>
        <v>-92.06342958961568</v>
      </c>
      <c r="JS522" s="39">
        <f t="shared" si="1471"/>
        <v>1.4549288169575636</v>
      </c>
      <c r="JT522" s="39">
        <f t="shared" si="1459"/>
        <v>-9.7347244074181882E-2</v>
      </c>
      <c r="JU522" s="385">
        <f>(JQ522*JM522-INDEX(Input!$1:$1048576,Input!A$18,$C522*2+6)*JL522*INDEX(Input!$1:$1048576,Input!A$19,$C522*2+6))/1000000</f>
        <v>3.3948328049125749</v>
      </c>
      <c r="JV522" s="39">
        <f t="shared" si="1493"/>
        <v>2.4803365944320532E-2</v>
      </c>
      <c r="JW522" s="1">
        <f t="shared" si="1484"/>
        <v>7.3599849477618108E-3</v>
      </c>
      <c r="JX522" s="19">
        <f t="shared" si="1475"/>
        <v>8045.4121959397717</v>
      </c>
      <c r="JZ522" s="341"/>
      <c r="KA522" s="342"/>
      <c r="KB522" s="469">
        <f t="shared" si="1472"/>
        <v>2.5122967434604799</v>
      </c>
      <c r="KI522" s="473">
        <f t="shared" si="1499"/>
        <v>9.3486409543232298</v>
      </c>
      <c r="KJ522" s="473">
        <f t="shared" si="1500"/>
        <v>-22.007515092428775</v>
      </c>
      <c r="KK522" s="473">
        <f t="shared" si="1461"/>
        <v>0.55915299226928283</v>
      </c>
      <c r="KN522" s="544">
        <f t="shared" si="1476"/>
        <v>5002</v>
      </c>
      <c r="KO522" s="541">
        <f t="shared" si="1436"/>
        <v>-1.8733148530884813E-2</v>
      </c>
      <c r="KP522" s="546">
        <f t="shared" si="1437"/>
        <v>-108.49278435048716</v>
      </c>
      <c r="KQ522" s="546">
        <f t="shared" si="1438"/>
        <v>-120.26835727177922</v>
      </c>
      <c r="KR522" s="548">
        <f t="shared" si="1439"/>
        <v>3.1194202006966676</v>
      </c>
      <c r="KS522" s="548">
        <f t="shared" si="1440"/>
        <v>2.8139952254270129</v>
      </c>
      <c r="KT522" s="473">
        <f t="shared" si="1474"/>
        <v>595.94378802984284</v>
      </c>
      <c r="KU522" s="663">
        <f t="shared" si="1462"/>
        <v>3.9705016686824592</v>
      </c>
      <c r="KV522" s="117"/>
    </row>
    <row r="523" spans="1:308" s="26" customFormat="1" ht="15">
      <c r="A523" s="561">
        <f t="shared" si="1441"/>
        <v>5023</v>
      </c>
      <c r="B523" s="561">
        <f t="shared" si="1463"/>
        <v>23</v>
      </c>
      <c r="C523" s="561">
        <f t="shared" si="1464"/>
        <v>5</v>
      </c>
      <c r="D523" s="561" t="str">
        <f t="shared" si="1509"/>
        <v xml:space="preserve">0/0/0.9/3.9, </v>
      </c>
      <c r="E523" s="475">
        <f>INDEX(Input!$1:$1048576,E$93,$C523*2+MIN($B523,2)+5)
+INDEX(Scenarios!E$121:E$200,MATCH($B523,Scenarios!$B$121:$B$200,0))</f>
        <v>1277.4263093788063</v>
      </c>
      <c r="F523" s="475">
        <f>INDEX(Input!$1:$1048576,F$93,$C523*2+MIN($B523,2)+5)
+INDEX(Scenarios!F$121:F$200,MATCH($B523,Scenarios!$B$121:$B$200,0))</f>
        <v>0</v>
      </c>
      <c r="G523" s="475">
        <f>INDEX(Input!$1:$1048576,G$93,$C523*2+MIN($B523,2)+5)
+INDEX(Scenarios!G$121:G$200,MATCH($B523,Scenarios!$B$121:$B$200,0))</f>
        <v>0</v>
      </c>
      <c r="H523" s="475">
        <f>INDEX(Input!$1:$1048576,H$93,$C523*2+MIN($B523,2)+5)
+INDEX(Scenarios!H$121:H$200,MATCH($B523,Scenarios!$B$121:$B$200,0))</f>
        <v>0</v>
      </c>
      <c r="I523" s="476">
        <f>INDEX(Input!$1:$1048576,I$93,$C523*2+MIN($B523,2)+5)</f>
        <v>0.7</v>
      </c>
      <c r="J523" s="476" t="str">
        <f>INDEX(Input!$1:$1048576,J$93,$C523*2+MIN($B523,2)+5)</f>
        <v>Market</v>
      </c>
      <c r="K523" s="476" t="str">
        <f>INDEX(Input!$1:$1048576,K$93,$C523*2+MIN($B523,2)+5)</f>
        <v>Market</v>
      </c>
      <c r="L523" s="476" t="str">
        <f>INDEX(Input!$1:$1048576,L$93,$C523*2+MIN($B523,2)+5)</f>
        <v>Market</v>
      </c>
      <c r="M523" s="476" t="str">
        <f>INDEX(Input!$1:$1048576,M$93,$C523*2+MIN($B523,2)+5)</f>
        <v>Market</v>
      </c>
      <c r="N523" s="476" t="str">
        <f>INDEX(Input!$1:$1048576,N$93,$C523*2+MIN($B523,2)+5)</f>
        <v>Market</v>
      </c>
      <c r="O523" s="476" t="str">
        <f>INDEX(Input!$1:$1048576,O$93,$C523*2+MIN($B523,2)+5)</f>
        <v>Market</v>
      </c>
      <c r="P523" s="476" t="str">
        <f>INDEX(Input!$1:$1048576,P$93,$C523*2+MIN($B523,2)+5)</f>
        <v>N</v>
      </c>
      <c r="Q523" s="477">
        <f>INDEX(Input!$1:$1048576,Q$93,$C523*2+MIN($B523,2)+5)
+INDEX(Scenarios!Q$121:Q$200,MATCH($B523,Scenarios!$B$121:$B$200,0))</f>
        <v>0</v>
      </c>
      <c r="R523" s="478">
        <f>IFERROR(MAX(0,INDEX(Input!$1:$1048576,R$93,$C523*2+MIN($B523,2)+5)
+INDEX(Scenarios!R$121:R$200,MATCH($B523,Scenarios!$B$121:$B$200,0)),),"Market")</f>
        <v>0</v>
      </c>
      <c r="S523" s="478">
        <f>IFERROR(MAX(0,INDEX(Input!$1:$1048576,S$93,$C523*2+MIN($B523,2)+5)
+INDEX(Scenarios!S$121:S$200,MATCH($B523,Scenarios!$B$121:$B$200,0)),),"Market")</f>
        <v>0</v>
      </c>
      <c r="T523" s="478">
        <f>IFERROR(MAX(0,INDEX(Input!$1:$1048576,T$93,$C523*2+MIN($B523,2)+5)
+INDEX(Scenarios!T$121:T$200,MATCH($B523,Scenarios!$B$121:$B$200,0)),),"Market")</f>
        <v>0</v>
      </c>
      <c r="U523" s="478">
        <f>IFERROR(MAX(0,INDEX(Input!$1:$1048576,U$93,$C523*2+MIN($B523,2)+5)
+INDEX(Scenarios!U$121:U$200,MATCH($B523,Scenarios!$B$121:$B$200,0)),),"Market")</f>
        <v>0</v>
      </c>
      <c r="V523" s="478">
        <f>IFERROR(MAX(0,INDEX(Input!$1:$1048576,V$93,$C523*2+MIN($B523,2)+5)
+INDEX(Scenarios!V$121:V$200,MATCH($B523,Scenarios!$B$121:$B$200,0)),),"Market")</f>
        <v>8.9999999999999993E-3</v>
      </c>
      <c r="W523" s="885">
        <f>IFERROR(MAX(0,INDEX(Input!$1:$1048576,W$93,$C523*2+MIN($B523,2)+5)-0%,),"Market")</f>
        <v>3.9E-2</v>
      </c>
      <c r="X523" s="476" t="str">
        <f>INDEX(Input!$1:$1048576,X$93,$C523*2+MIN($B523,2)+5)</f>
        <v>Y</v>
      </c>
      <c r="Y523" s="475">
        <f>INDEX(Input!$1:$1048576,Y$93,$C523*2+MIN($B523,2)+5)
++INDEX(Scenarios!Y$121:Y$200,MATCH($B523,Scenarios!$B$121:$B$200,0))</f>
        <v>-717.93641739252325</v>
      </c>
      <c r="Z523" s="477">
        <f>INDEX(Input!$1:$1048576,Z$93,$C523*2+MIN($B523,2)+5)
+INDEX(Scenarios!Z$121:Z$200,MATCH($B523,Scenarios!$B$121:$B$200,0))</f>
        <v>0</v>
      </c>
      <c r="AA523" s="475">
        <f>INDEX(Input!$1:$1048576,AA$93,$C523*2+MIN($B523,2)+5)
+INDEX(Scenarios!AA$121:AA$200,MATCH($B523,Scenarios!$B$121:$B$200,0))</f>
        <v>0</v>
      </c>
      <c r="AB523" s="476">
        <f>INDEX(Input!$1:$1048576,AB$93,$C523*2+MIN($B523,2)+5)</f>
        <v>0.27</v>
      </c>
      <c r="AC523" s="475">
        <f>INDEX(Input!$1:$1048576,AC$93,$C523*2+MIN($B523,2)+5)
+INDEX(Scenarios!AC$121:AC$200,MATCH($B523,Scenarios!$B$121:$B$200,0))</f>
        <v>0</v>
      </c>
      <c r="AD523" s="476">
        <f>INDEX(Input!$1:$1048576,AD$93,$C523*2+MIN($B523,2)+5)</f>
        <v>0.27</v>
      </c>
      <c r="AE523" s="475">
        <f>INDEX(Input!$1:$1048576,AE$93,$C523*2+MIN($B523,2)+5)
+INDEX(Scenarios!AE$121:AE$200,MATCH($B523,Scenarios!$B$121:$B$200,0))</f>
        <v>0</v>
      </c>
      <c r="AF523" s="476">
        <f>INDEX(Input!$1:$1048576,AF$93,$C523*2+MIN($B523,2)+5)</f>
        <v>0.2</v>
      </c>
      <c r="AG523" s="475">
        <f>INDEX(Input!$1:$1048576,AG$93,$C523*2+MIN($B523,2)+5)
+INDEX(Scenarios!AG$121:AG$200,MATCH($B523,Scenarios!$B$121:$B$200,0))</f>
        <v>500</v>
      </c>
      <c r="AH523" s="476">
        <f>INDEX(Input!$1:$1048576,AH$93,$C523*2+MIN($B523,2)+5)</f>
        <v>1</v>
      </c>
      <c r="AI523" s="475">
        <f>INDEX(Input!$1:$1048576,AI$93,$C523*2+MIN($B523,2)+5)
+INDEX(Scenarios!AI$121:AI$200,MATCH($B523,Scenarios!$B$121:$B$200,0))</f>
        <v>0</v>
      </c>
      <c r="AJ523" s="476">
        <f>INDEX(Input!$1:$1048576,AJ$93,$C523*2+MIN($B523,2)+5)</f>
        <v>0.27</v>
      </c>
      <c r="AK523" s="150">
        <f>ROUND(INDEX(Input!$1:$1048576,AK$93,$C522*2+MIN($B523,1)+5)+(Y523-VLOOKUP($C523*1000+1,$A:$HH,Y$92,FALSE)),0)</f>
        <v>2587</v>
      </c>
      <c r="AL523" s="150">
        <f>ROUND(INDEX(Input!$1:$1048576,AL$93,$C522*2+MIN($B523,1)+5)-(Y523-VLOOKUP($C523*1000+1,$A:$HH,Y$92,FALSE))/36,0)</f>
        <v>3406</v>
      </c>
      <c r="AM523" s="32" t="str">
        <f t="shared" si="1442"/>
        <v>std/std/std/std</v>
      </c>
      <c r="AN523" s="32" t="str">
        <f t="shared" si="1443"/>
        <v>$0 + 0/0/0/0.9/3.9</v>
      </c>
      <c r="AO523" s="32" t="str">
        <f t="shared" si="1444"/>
        <v>0/0/0/0.9/3.9</v>
      </c>
      <c r="AP523" s="32" t="str">
        <f t="shared" si="1396"/>
        <v>0/0/0.9/3.9</v>
      </c>
      <c r="AQ523" s="536">
        <f t="shared" si="1394"/>
        <v>0.38201784868452604</v>
      </c>
      <c r="AR523" s="32"/>
      <c r="AS523" s="302"/>
      <c r="AT523" s="3">
        <f t="shared" si="1465"/>
        <v>23</v>
      </c>
      <c r="AU523" s="41" t="s">
        <v>121</v>
      </c>
      <c r="AV523" s="41" t="s">
        <v>116</v>
      </c>
      <c r="AW523" s="41" t="str">
        <f>INDEX(Input!$1:$1048576,AW$93,$C523*2+6)</f>
        <v>Kia</v>
      </c>
      <c r="AX523" s="41" t="str">
        <f>INDEX(Input!$1:$1048576,AX$93,$C523*2+6)</f>
        <v>Kia-LR - R2</v>
      </c>
      <c r="AY523" s="41" t="str">
        <f>IF(LEN(D523)=0,"",INDEX(Input!$1:$1048576,AY$93,$C523*2+6))</f>
        <v>Compact SUV (52)</v>
      </c>
      <c r="AZ523" s="41" t="str">
        <f>INDEX(Input!$1:$1048576,AZ$93,$C523*2+6)</f>
        <v>Kia Soul</v>
      </c>
      <c r="BA523" s="3">
        <f>INDEX(Input!$1:$1048576,BA$93,$C523*2+6)</f>
        <v>2020</v>
      </c>
      <c r="BB523" s="128">
        <f>INDEX(Input!$1:$1048576,BB$93,$C523*2+6)</f>
        <v>1</v>
      </c>
      <c r="BC523" s="128">
        <f>INDEX(Input!$1:$1048576,BC$93,$C523*2+6)</f>
        <v>0.7</v>
      </c>
      <c r="BD523" s="1">
        <f>INDEX(Input!$1:$1048576,BD$93,$C523*2+6)</f>
        <v>4.4999999999999998E-2</v>
      </c>
      <c r="BE523" s="1">
        <f>INDEX(Input!$1:$1048576,BE$93,$C523*2+6)</f>
        <v>4.4999999999999998E-2</v>
      </c>
      <c r="BF523" s="1">
        <f>INDEX(Input!$1:$1048576,BF$93,$C523*2+6)</f>
        <v>0.05</v>
      </c>
      <c r="BG523" s="1">
        <f>INDEX(Input!$1:$1048576,BG$93,$C523*2+6)</f>
        <v>5.45E-2</v>
      </c>
      <c r="BH523" s="1">
        <f>INDEX(Input!$1:$1048576,BH$93,$C523*2+6)</f>
        <v>5.45E-2</v>
      </c>
      <c r="BI523" s="1">
        <f>INDEX(Input!$1:$1048576,BI$93,$C523*2+6)</f>
        <v>0.05</v>
      </c>
      <c r="BJ523" s="1">
        <f>INDEX(Input!$1:$1048576,BJ$93,$C523*2+6)</f>
        <v>0.05</v>
      </c>
      <c r="BK523" s="1">
        <f>INDEX(Input!$1:$1048576,BK$93,$C523*2+6)</f>
        <v>0.05</v>
      </c>
      <c r="BL523" s="1">
        <f>INDEX(Input!$1:$1048576,BL$93,$C523*2+6)</f>
        <v>5.5E-2</v>
      </c>
      <c r="BM523" s="1">
        <f>INDEX(Input!$1:$1048576,BM$93,$C523*2+6)</f>
        <v>0.06</v>
      </c>
      <c r="BN523" s="1">
        <f>INDEX(Input!$1:$1048576,BN$93,$C523*2+6)</f>
        <v>4.4999999999999998E-2</v>
      </c>
      <c r="BO523" s="1">
        <f>INDEX(Input!$1:$1048576,BO$93,$C523*2+6)</f>
        <v>4.4999999999999998E-2</v>
      </c>
      <c r="BP523" s="1">
        <f>INDEX(Input!$1:$1048576,BP$93,$C523*2+6)</f>
        <v>0.05</v>
      </c>
      <c r="BQ523" s="1">
        <f>INDEX(Input!$1:$1048576,BQ$93,$C523*2+6)</f>
        <v>5.45E-2</v>
      </c>
      <c r="BR523" s="1">
        <f>INDEX(Input!$1:$1048576,BR$93,$C523*2+6)</f>
        <v>5.45E-2</v>
      </c>
      <c r="BS523" s="1">
        <f>INDEX(Input!$1:$1048576,BS$93,$C523*2+6)</f>
        <v>0.05</v>
      </c>
      <c r="BT523" s="1">
        <f>INDEX(Input!$1:$1048576,BT$93,$C523*2+6)</f>
        <v>0.05</v>
      </c>
      <c r="BU523" s="1">
        <f>INDEX(Input!$1:$1048576,BU$93,$C523*2+6)</f>
        <v>0.05</v>
      </c>
      <c r="BV523" s="1">
        <f>INDEX(Input!$1:$1048576,BV$93,$C523*2+6)</f>
        <v>5.5E-2</v>
      </c>
      <c r="BW523" s="1">
        <f>INDEX(Input!$1:$1048576,BW$93,$C523*2+6)</f>
        <v>0.06</v>
      </c>
      <c r="BX523" s="127">
        <f>INDEX(Input!$1:$1048576,BX$93,$C523*2+6)</f>
        <v>19985</v>
      </c>
      <c r="BY523" s="20">
        <f>INDEX(Input!$1:$1048576,BY$93,$C523*2+6)</f>
        <v>0.1</v>
      </c>
      <c r="BZ523" s="20">
        <f>INDEX(Input!$1:$1048576,BZ$93,$C523*2+6)</f>
        <v>0.1</v>
      </c>
      <c r="CA523" s="20">
        <f>INDEX(Input!$1:$1048576,CA$93,$C523*2+6)</f>
        <v>0.1</v>
      </c>
      <c r="CB523" s="20">
        <f>INDEX(Input!$1:$1048576,CB$93,$C523*2+6)</f>
        <v>0.1</v>
      </c>
      <c r="CC523" s="20">
        <f>INDEX(Input!$1:$1048576,CC$93,$C523*2+6)</f>
        <v>0.1</v>
      </c>
      <c r="CD523" s="384">
        <f>INDEX(Input!$1:$1048576,CD$93,$C523*2+6)</f>
        <v>0.1</v>
      </c>
      <c r="CE523" s="384">
        <f>INDEX(Input!$1:$1048576,CE$93,$C523*2+6)</f>
        <v>0.1</v>
      </c>
      <c r="CF523" s="384">
        <f>INDEX(Input!$1:$1048576,CF$93,$C523*2+6)</f>
        <v>0.1</v>
      </c>
      <c r="CG523" s="384">
        <f>INDEX(Input!$1:$1048576,CG$93,$C523*2+6)</f>
        <v>0.1</v>
      </c>
      <c r="CH523" s="384">
        <f>INDEX(Input!$1:$1048576,CH$93,$C523*2+6)</f>
        <v>0.1</v>
      </c>
      <c r="CI523" s="304">
        <f t="shared" si="1397"/>
        <v>1277.4263093788063</v>
      </c>
      <c r="CJ523" s="16" t="str">
        <f>INDEX(Input!$1:$1048576,CJ$93,$C523*2+6)</f>
        <v>N</v>
      </c>
      <c r="CK523" s="1" t="str">
        <f t="shared" si="1398"/>
        <v>Market</v>
      </c>
      <c r="CL523" s="1" t="str">
        <f t="shared" si="1399"/>
        <v>Market</v>
      </c>
      <c r="CM523" s="1" t="str">
        <f t="shared" si="1400"/>
        <v>Market</v>
      </c>
      <c r="CN523" s="1" t="str">
        <f t="shared" si="1401"/>
        <v>Market</v>
      </c>
      <c r="CO523" s="1" t="str">
        <f t="shared" si="1402"/>
        <v>Market</v>
      </c>
      <c r="CP523" s="304">
        <f t="shared" si="1403"/>
        <v>500</v>
      </c>
      <c r="CQ523" s="1">
        <f t="shared" si="1404"/>
        <v>0</v>
      </c>
      <c r="CR523" s="1">
        <f t="shared" si="1405"/>
        <v>0</v>
      </c>
      <c r="CS523" s="1">
        <f t="shared" si="1406"/>
        <v>0</v>
      </c>
      <c r="CT523" s="1">
        <f t="shared" si="1407"/>
        <v>8.9999999999999993E-3</v>
      </c>
      <c r="CU523" s="1">
        <f t="shared" si="1408"/>
        <v>3.9E-2</v>
      </c>
      <c r="CV523" s="304">
        <f t="shared" si="1409"/>
        <v>-717.93641739252325</v>
      </c>
      <c r="CW523" s="20" t="s">
        <v>122</v>
      </c>
      <c r="CX523" s="20" t="s">
        <v>122</v>
      </c>
      <c r="CY523" s="20" t="s">
        <v>122</v>
      </c>
      <c r="CZ523" s="20" t="s">
        <v>122</v>
      </c>
      <c r="DA523" s="20" t="s">
        <v>122</v>
      </c>
      <c r="DB523" s="503">
        <f t="shared" si="1410"/>
        <v>0</v>
      </c>
      <c r="DC523" s="127">
        <v>0</v>
      </c>
      <c r="DD523" s="127">
        <v>0</v>
      </c>
      <c r="DE523" s="127">
        <v>0</v>
      </c>
      <c r="DF523" s="127">
        <v>0</v>
      </c>
      <c r="DG523" s="127">
        <v>0</v>
      </c>
      <c r="DH523" s="127">
        <v>0</v>
      </c>
      <c r="DI523" s="127">
        <v>0</v>
      </c>
      <c r="DJ523" s="127">
        <v>0</v>
      </c>
      <c r="DK523" s="127">
        <v>0</v>
      </c>
      <c r="DL523" s="127">
        <v>0</v>
      </c>
      <c r="DM523" s="304">
        <f>INDEX(Input!$1:$1048576,DM$93,$C523*2+6)</f>
        <v>21036.84210526316</v>
      </c>
      <c r="DN523" s="20">
        <v>0</v>
      </c>
      <c r="DO523" s="20">
        <v>0</v>
      </c>
      <c r="DP523" s="20">
        <v>0</v>
      </c>
      <c r="DQ523" s="20">
        <v>0</v>
      </c>
      <c r="DR523" s="20">
        <v>0</v>
      </c>
      <c r="DS523" s="20">
        <f>INDEX(Input!$1:$1048576,DS$93,$C523*2+6)</f>
        <v>0.6</v>
      </c>
      <c r="DT523" s="20">
        <f>INDEX(Input!$1:$1048576,DT$93,$C523*2+6)</f>
        <v>0.55000000000000004</v>
      </c>
      <c r="DU523" s="20">
        <f>INDEX(Input!$1:$1048576,DU$93,$C523*2+6)</f>
        <v>0.52</v>
      </c>
      <c r="DV523" s="20">
        <f>INDEX(Input!$1:$1048576,DV$93,$C523*2+6)</f>
        <v>0.5</v>
      </c>
      <c r="DW523" s="20">
        <f>INDEX(Input!$1:$1048576,DW$93,$C523*2+6)</f>
        <v>0.45</v>
      </c>
      <c r="DX523" s="20"/>
      <c r="DY523" s="7">
        <v>0.11670196692943142</v>
      </c>
      <c r="DZ523" s="7">
        <v>0</v>
      </c>
      <c r="EA523" s="7">
        <v>0.71990489859225415</v>
      </c>
      <c r="EB523" s="7">
        <v>0</v>
      </c>
      <c r="EC523" s="7">
        <v>0</v>
      </c>
      <c r="ED523" s="7">
        <v>0</v>
      </c>
      <c r="EE523" s="7">
        <v>0</v>
      </c>
      <c r="EF523" s="7">
        <v>0</v>
      </c>
      <c r="EG523" s="7">
        <v>0</v>
      </c>
      <c r="EH523" s="7">
        <v>9.4863017548971213E-3</v>
      </c>
      <c r="EI523" s="7">
        <v>2.6368722284033162E-2</v>
      </c>
      <c r="EJ523" s="7">
        <v>0.22900353337550911</v>
      </c>
      <c r="EK523" s="7">
        <v>0.63701010732932473</v>
      </c>
      <c r="EL523" s="7">
        <v>9.8131335256235672E-2</v>
      </c>
      <c r="EM523" s="7">
        <v>9.4243478303646586E-2</v>
      </c>
      <c r="EN523" s="7">
        <v>5.8465511287924078E-2</v>
      </c>
      <c r="EO523" s="7">
        <v>0.71701130843161931</v>
      </c>
      <c r="EP523" s="7">
        <v>8.981827222656262E-2</v>
      </c>
      <c r="EQ523" s="7">
        <v>8.8436091358716926E-2</v>
      </c>
      <c r="ER523" s="7">
        <v>4.626881669517726E-2</v>
      </c>
      <c r="ES523" s="7">
        <v>6.9149656174667756E-2</v>
      </c>
      <c r="ET523" s="7">
        <v>0.16339313447831438</v>
      </c>
      <c r="EU523" s="6">
        <v>1270</v>
      </c>
      <c r="EV523" s="6">
        <v>0</v>
      </c>
      <c r="EW523" s="6">
        <v>1270</v>
      </c>
      <c r="EX523" s="6">
        <v>0</v>
      </c>
      <c r="EY523" s="6">
        <v>2326.3989097370431</v>
      </c>
      <c r="EZ523" s="6">
        <v>-6.4499039401316622</v>
      </c>
      <c r="FA523" s="6">
        <v>0</v>
      </c>
      <c r="FB523" s="6">
        <v>0</v>
      </c>
      <c r="FC523" s="6">
        <v>0</v>
      </c>
      <c r="FD523" s="6">
        <v>0</v>
      </c>
      <c r="FE523" s="6">
        <v>0</v>
      </c>
      <c r="FF523" s="6">
        <v>0</v>
      </c>
      <c r="FG523" s="6">
        <v>0</v>
      </c>
      <c r="FH523" s="6">
        <v>1172.1324212632348</v>
      </c>
      <c r="FI523" s="6">
        <v>1553.9796069512402</v>
      </c>
      <c r="FJ523" s="6">
        <v>2101.2110117447405</v>
      </c>
      <c r="FK523" s="6">
        <v>2251.3078348034687</v>
      </c>
      <c r="FL523" s="6">
        <v>907.07682140966358</v>
      </c>
      <c r="FM523" s="6">
        <v>2056.3989097370431</v>
      </c>
      <c r="FN523" s="6">
        <v>0</v>
      </c>
      <c r="FO523" s="6">
        <v>0</v>
      </c>
      <c r="FP523" s="6">
        <v>0</v>
      </c>
      <c r="FQ523" s="6">
        <v>0</v>
      </c>
      <c r="FR523" s="6">
        <v>0</v>
      </c>
      <c r="FS523" s="6">
        <v>0</v>
      </c>
      <c r="FT523" s="7">
        <v>0.83660686552168562</v>
      </c>
      <c r="FU523" s="7">
        <v>9.4243478303646586E-2</v>
      </c>
      <c r="FV523" s="7">
        <v>6.9149656174667756E-2</v>
      </c>
      <c r="FW523" s="6">
        <v>1269.9999999999998</v>
      </c>
      <c r="FX523" s="6">
        <v>2326.3989097370431</v>
      </c>
      <c r="FY523" s="6">
        <v>-6.4499039401316622</v>
      </c>
      <c r="FZ523" s="6">
        <v>1758.1538569113241</v>
      </c>
      <c r="GA523" s="6">
        <v>1281.292635748151</v>
      </c>
      <c r="GB523" s="6">
        <v>18703.707364251848</v>
      </c>
      <c r="GC523" s="7">
        <v>3.064145122680037E-2</v>
      </c>
      <c r="GD523" s="7">
        <v>2.9431913392067251E-2</v>
      </c>
      <c r="GE523" s="7"/>
      <c r="GF523" s="7"/>
      <c r="GG523" s="7">
        <v>-3.9473908261734164E-2</v>
      </c>
      <c r="GH523" s="42">
        <v>1.6543304877810878</v>
      </c>
      <c r="GI523" s="6">
        <v>13361.708337211394</v>
      </c>
      <c r="GJ523" s="14">
        <v>0.50394797582841755</v>
      </c>
      <c r="GK523" s="14">
        <v>0.50887573065309755</v>
      </c>
      <c r="GL523" s="14">
        <v>0.49605202417158295</v>
      </c>
      <c r="GM523" s="14">
        <v>0.49112426934690251</v>
      </c>
      <c r="GO523" s="5">
        <v>343.14810671672558</v>
      </c>
      <c r="GP523" s="5">
        <v>318.91892952659737</v>
      </c>
      <c r="GQ523" s="5">
        <v>535.04305713031317</v>
      </c>
      <c r="GR523" s="5">
        <v>410.15490233172511</v>
      </c>
      <c r="GS523" s="5">
        <v>339.42744393800166</v>
      </c>
      <c r="GT523" s="5">
        <v>293.4407446948278</v>
      </c>
      <c r="GU523" s="5">
        <v>258.04012322764959</v>
      </c>
      <c r="GV523" s="39" t="s">
        <v>392</v>
      </c>
      <c r="GW523" s="5">
        <v>492.125</v>
      </c>
      <c r="GX523" s="5">
        <v>369.09375</v>
      </c>
      <c r="GY523" s="5">
        <v>295.27499999999998</v>
      </c>
      <c r="GZ523" s="5">
        <v>252.85821728143046</v>
      </c>
      <c r="HA523" s="5">
        <v>241.34874471337258</v>
      </c>
      <c r="HB523" s="39">
        <v>266.77710986978991</v>
      </c>
      <c r="HC523" s="5">
        <v>287.56655829738071</v>
      </c>
      <c r="HD523" s="5">
        <v>239.99799238008356</v>
      </c>
      <c r="HE523" s="5">
        <v>241.14168635502031</v>
      </c>
      <c r="HF523" s="5">
        <v>221.05790951107167</v>
      </c>
      <c r="HG523" s="5">
        <v>210.75500473779988</v>
      </c>
      <c r="HH523" s="39">
        <v>239.85381219067065</v>
      </c>
      <c r="HI523" s="16"/>
      <c r="HJ523" s="19" t="str">
        <f t="shared" si="1507"/>
        <v>On</v>
      </c>
      <c r="HK523" s="1" t="str">
        <f t="shared" si="1507"/>
        <v>On</v>
      </c>
      <c r="HL523" s="16"/>
      <c r="HM523" s="639">
        <f t="shared" si="1413"/>
        <v>2.4909940070666322E-2</v>
      </c>
      <c r="HN523" s="639">
        <f t="shared" si="1414"/>
        <v>2.2052381276269151E-3</v>
      </c>
      <c r="HO523" s="639">
        <f t="shared" si="1415"/>
        <v>2.079866082302006E-3</v>
      </c>
      <c r="HP523" s="644">
        <f>(FT523*$GD523-HM523)/$JF523*INDEX(Input!$1:$1048576,$JG$93,$C523*2+6)</f>
        <v>-8.0707667836993693</v>
      </c>
      <c r="HQ523" s="644">
        <f>(FU523*$GD523-HN523)/$JF523*INDEX(Input!$1:$1048576,$JG$93,$C523*2+6)</f>
        <v>15.987689191614555</v>
      </c>
      <c r="HR523" s="644">
        <f>(FV523*$GD523-HO523)/$JF523*INDEX(Input!$1:$1048576,$JG$93,$C523*2+6)</f>
        <v>-1.2558761478218476</v>
      </c>
      <c r="HS523" s="644">
        <f t="shared" si="1416"/>
        <v>-1.57886712799687</v>
      </c>
      <c r="HT523" s="644">
        <f t="shared" si="1417"/>
        <v>19.983349800350659</v>
      </c>
      <c r="HU523" s="644">
        <f t="shared" si="1418"/>
        <v>0.36184926927034633</v>
      </c>
      <c r="HV523" s="648">
        <f t="shared" si="1419"/>
        <v>0</v>
      </c>
      <c r="HW523" s="648">
        <f t="shared" si="1420"/>
        <v>0</v>
      </c>
      <c r="HX523" s="648">
        <f t="shared" si="1421"/>
        <v>0</v>
      </c>
      <c r="HY523" s="644">
        <f>INDEX(Input!$1:$1048576,HY$93,$C523*2+6)*INDEX(Input!$1:$1048576,$JG$93,$C523*2+6)</f>
        <v>333.00000000000006</v>
      </c>
      <c r="HZ523" s="644">
        <f>INDEX(Input!$1:$1048576,HZ$93,$C523*2+6)*INDEX(Input!$1:$1048576,$JG$93,$C523*2+6)</f>
        <v>429</v>
      </c>
      <c r="IA523" s="644">
        <f>INDEX(Input!$1:$1048576,IA$93,$C523*2+6)*INDEX(Input!$1:$1048576,$JG$93,$C523*2+6)</f>
        <v>59</v>
      </c>
      <c r="IB523" s="644">
        <f t="shared" si="1445"/>
        <v>323.35036608830387</v>
      </c>
      <c r="IC523" s="644">
        <f t="shared" si="1446"/>
        <v>464.9710389919652</v>
      </c>
      <c r="ID523" s="644">
        <f>IF(AND(INDEX(Input!$1:$1048576,IA$93,$C523*2+7)="TOS",Y523&lt;=INDEX(Y:Y,MATCH(C523*1000+2,A:A))),0,1)*MAX(IA523+HR523+HU523+HX523,0%)</f>
        <v>58.1059731214485</v>
      </c>
      <c r="IE523" s="128">
        <f t="shared" si="1508"/>
        <v>0.38201784868452604</v>
      </c>
      <c r="IF523" s="128">
        <f t="shared" si="1468"/>
        <v>0.5493336474770254</v>
      </c>
      <c r="IG523" s="128">
        <f t="shared" si="1423"/>
        <v>6.8648503838448491E-2</v>
      </c>
      <c r="IH523" s="21"/>
      <c r="II523" s="19">
        <f t="shared" si="1424"/>
        <v>1240</v>
      </c>
      <c r="IJ523" s="19">
        <f t="shared" si="1425"/>
        <v>1985.7442651839444</v>
      </c>
      <c r="IK523" s="19">
        <f t="shared" si="1426"/>
        <v>-21.44990394013189</v>
      </c>
      <c r="IL523" s="19">
        <f t="shared" si="1448"/>
        <v>29.999999999999773</v>
      </c>
      <c r="IM523" s="19">
        <f t="shared" si="1427"/>
        <v>340.65464455309871</v>
      </c>
      <c r="IN523" s="19">
        <f t="shared" si="1428"/>
        <v>15.000000000000227</v>
      </c>
      <c r="IO523" s="39">
        <f t="shared" si="1429"/>
        <v>0</v>
      </c>
      <c r="IP523" s="39">
        <f t="shared" si="1430"/>
        <v>0</v>
      </c>
      <c r="IQ523" s="39">
        <f t="shared" si="1431"/>
        <v>0</v>
      </c>
      <c r="IR523" s="39">
        <v>0</v>
      </c>
      <c r="IS523" s="39">
        <v>0</v>
      </c>
      <c r="IT523" s="39">
        <v>0</v>
      </c>
      <c r="IU523" s="39">
        <v>0</v>
      </c>
      <c r="IV523" s="39">
        <v>0</v>
      </c>
      <c r="IW523" s="39">
        <v>0</v>
      </c>
      <c r="IX523" s="39">
        <f>INDEX(Input!$1:$1048576,IX$93,$C523*2+6)+INDEX(Input!$1:$1048576,IX$94,$C523*2+6)</f>
        <v>1270</v>
      </c>
      <c r="IY523" s="39">
        <f>INDEX(Input!$1:$1048576,IY$93,$C523*2+6)+INDEX(Input!$1:$1048576,IY$94,$C523*2+6)</f>
        <v>2130.0624533823611</v>
      </c>
      <c r="IZ523" s="39">
        <f>INDEX(Input!$1:$1048576,IZ$93,$C523*2+6)+INDEX(Input!$1:$1048576,IZ$94,$C523*2+6)</f>
        <v>3653.7164157747857</v>
      </c>
      <c r="JA523" s="19">
        <f t="shared" si="1449"/>
        <v>1299.9999999999998</v>
      </c>
      <c r="JB523" s="19">
        <f t="shared" si="1450"/>
        <v>2470.7170979354596</v>
      </c>
      <c r="JC523" s="19">
        <f t="shared" si="1451"/>
        <v>3668.7164157747857</v>
      </c>
      <c r="JD523" s="19">
        <f t="shared" si="1452"/>
        <v>2105.7231315331151</v>
      </c>
      <c r="JE523" s="21"/>
      <c r="JF523" s="1">
        <f t="shared" si="1432"/>
        <v>2.9195044280595241E-2</v>
      </c>
      <c r="JG523" s="15">
        <f>INDEX(Input!$1:$1048576,JG$93,$C523*2+6)/(1+VLOOKUP(C523*1000+INDEX(Input!$1:$1048576,JG$93+1,$C523*2+6),$A:$KK,$JK$92,FALSE))</f>
        <v>821</v>
      </c>
      <c r="JH523" s="1">
        <f t="shared" si="1453"/>
        <v>8.1133328381161243E-3</v>
      </c>
      <c r="JI523" s="1">
        <f t="shared" si="1454"/>
        <v>2.285789517859213E-2</v>
      </c>
      <c r="JJ523" s="1">
        <f t="shared" si="1492"/>
        <v>0</v>
      </c>
      <c r="JK523" s="1">
        <f t="shared" si="1496"/>
        <v>3.0971228016708256E-2</v>
      </c>
      <c r="JL523" s="15">
        <f t="shared" si="1457"/>
        <v>25.427378201717477</v>
      </c>
      <c r="JM523" s="15">
        <f t="shared" si="1483"/>
        <v>846.42737820171749</v>
      </c>
      <c r="JN523" s="21"/>
      <c r="JO523" s="19">
        <f>INDEX(Input!$1:$1048576,JO$93,$C523*2+6)</f>
        <v>5995.5</v>
      </c>
      <c r="JP523" s="19">
        <f>INDEX(Input!$1:$1048576,JP$93,$C523*2+6)</f>
        <v>1890.7138380411029</v>
      </c>
      <c r="JQ523" s="39">
        <f t="shared" si="1469"/>
        <v>3889.7768684668849</v>
      </c>
      <c r="JR523" s="39">
        <f t="shared" si="1486"/>
        <v>215.00929349201215</v>
      </c>
      <c r="JS523" s="39">
        <f t="shared" si="1471"/>
        <v>1.7823417094422849</v>
      </c>
      <c r="JT523" s="39">
        <f t="shared" si="1459"/>
        <v>0.23006564841053936</v>
      </c>
      <c r="JU523" s="385">
        <f>(JQ523*JM523-INDEX(Input!$1:$1048576,Input!A$18,$C523*2+6)*JL523*INDEX(Input!$1:$1048576,Input!A$19,$C523*2+6))/1000000</f>
        <v>3.2924136365661121</v>
      </c>
      <c r="JV523" s="39">
        <f t="shared" si="1493"/>
        <v>-7.7615802402142275E-2</v>
      </c>
      <c r="JW523" s="1">
        <f t="shared" si="1484"/>
        <v>-2.3031194180281288E-2</v>
      </c>
      <c r="JX523" s="19">
        <f t="shared" si="1475"/>
        <v>9047.9500711952951</v>
      </c>
      <c r="JZ523" s="341"/>
      <c r="KA523" s="342"/>
      <c r="KB523" s="469">
        <f t="shared" si="1472"/>
        <v>2.5122967434604799</v>
      </c>
      <c r="KI523" s="473">
        <f t="shared" si="1499"/>
        <v>-9.6496339116962417</v>
      </c>
      <c r="KJ523" s="473">
        <f t="shared" si="1500"/>
        <v>35.971038991965145</v>
      </c>
      <c r="KK523" s="473">
        <f t="shared" si="1461"/>
        <v>-0.89402687855150731</v>
      </c>
      <c r="KN523" s="544">
        <f t="shared" si="1476"/>
        <v>5002</v>
      </c>
      <c r="KO523" s="541">
        <f t="shared" si="1436"/>
        <v>2.6790508196870899E-2</v>
      </c>
      <c r="KP523" s="546">
        <f t="shared" si="1437"/>
        <v>170.65223985416918</v>
      </c>
      <c r="KQ523" s="546">
        <f t="shared" si="1438"/>
        <v>186.8043658098486</v>
      </c>
      <c r="KR523" s="548">
        <f t="shared" si="1439"/>
        <v>2.8361743028150586</v>
      </c>
      <c r="KS523" s="548">
        <f t="shared" si="1440"/>
        <v>2.5909431789452815</v>
      </c>
      <c r="KT523" s="473">
        <f t="shared" si="1474"/>
        <v>595.94378802984284</v>
      </c>
      <c r="KU523" s="663">
        <f t="shared" si="1462"/>
        <v>3.989140850887007</v>
      </c>
      <c r="KV523" s="117"/>
    </row>
    <row r="524" spans="1:308" s="26" customFormat="1" ht="15">
      <c r="A524" s="561">
        <f t="shared" si="1441"/>
        <v>5024</v>
      </c>
      <c r="B524" s="561">
        <f t="shared" si="1463"/>
        <v>24</v>
      </c>
      <c r="C524" s="561">
        <f t="shared" si="1464"/>
        <v>5</v>
      </c>
      <c r="D524" s="561" t="str">
        <f t="shared" si="1509"/>
        <v xml:space="preserve">0/0/0/3.9, </v>
      </c>
      <c r="E524" s="475">
        <f>INDEX(Input!$1:$1048576,E$93,$C524*2+MIN($B524,2)+5)
+INDEX(Scenarios!E$121:E$200,MATCH($B524,Scenarios!$B$121:$B$200,0))</f>
        <v>1277.4263093788063</v>
      </c>
      <c r="F524" s="475">
        <f>INDEX(Input!$1:$1048576,F$93,$C524*2+MIN($B524,2)+5)
+INDEX(Scenarios!F$121:F$200,MATCH($B524,Scenarios!$B$121:$B$200,0))</f>
        <v>0</v>
      </c>
      <c r="G524" s="475">
        <f>INDEX(Input!$1:$1048576,G$93,$C524*2+MIN($B524,2)+5)
+INDEX(Scenarios!G$121:G$200,MATCH($B524,Scenarios!$B$121:$B$200,0))</f>
        <v>0</v>
      </c>
      <c r="H524" s="475">
        <f>INDEX(Input!$1:$1048576,H$93,$C524*2+MIN($B524,2)+5)
+INDEX(Scenarios!H$121:H$200,MATCH($B524,Scenarios!$B$121:$B$200,0))</f>
        <v>0</v>
      </c>
      <c r="I524" s="476">
        <f>INDEX(Input!$1:$1048576,I$93,$C524*2+MIN($B524,2)+5)</f>
        <v>0.7</v>
      </c>
      <c r="J524" s="476" t="str">
        <f>INDEX(Input!$1:$1048576,J$93,$C524*2+MIN($B524,2)+5)</f>
        <v>Market</v>
      </c>
      <c r="K524" s="476" t="str">
        <f>INDEX(Input!$1:$1048576,K$93,$C524*2+MIN($B524,2)+5)</f>
        <v>Market</v>
      </c>
      <c r="L524" s="476" t="str">
        <f>INDEX(Input!$1:$1048576,L$93,$C524*2+MIN($B524,2)+5)</f>
        <v>Market</v>
      </c>
      <c r="M524" s="476" t="str">
        <f>INDEX(Input!$1:$1048576,M$93,$C524*2+MIN($B524,2)+5)</f>
        <v>Market</v>
      </c>
      <c r="N524" s="476" t="str">
        <f>INDEX(Input!$1:$1048576,N$93,$C524*2+MIN($B524,2)+5)</f>
        <v>Market</v>
      </c>
      <c r="O524" s="476" t="str">
        <f>INDEX(Input!$1:$1048576,O$93,$C524*2+MIN($B524,2)+5)</f>
        <v>Market</v>
      </c>
      <c r="P524" s="476" t="str">
        <f>INDEX(Input!$1:$1048576,P$93,$C524*2+MIN($B524,2)+5)</f>
        <v>N</v>
      </c>
      <c r="Q524" s="477">
        <f>INDEX(Input!$1:$1048576,Q$93,$C524*2+MIN($B524,2)+5)
+INDEX(Scenarios!Q$121:Q$200,MATCH($B524,Scenarios!$B$121:$B$200,0))</f>
        <v>0</v>
      </c>
      <c r="R524" s="478">
        <f>IFERROR(MAX(0,INDEX(Input!$1:$1048576,R$93,$C524*2+MIN($B524,2)+5)
+INDEX(Scenarios!R$121:R$200,MATCH($B524,Scenarios!$B$121:$B$200,0)),),"Market")</f>
        <v>0</v>
      </c>
      <c r="S524" s="478">
        <f>IFERROR(MAX(0,INDEX(Input!$1:$1048576,S$93,$C524*2+MIN($B524,2)+5)
+INDEX(Scenarios!S$121:S$200,MATCH($B524,Scenarios!$B$121:$B$200,0)),),"Market")</f>
        <v>0</v>
      </c>
      <c r="T524" s="478">
        <f>IFERROR(MAX(0,INDEX(Input!$1:$1048576,T$93,$C524*2+MIN($B524,2)+5)
+INDEX(Scenarios!T$121:T$200,MATCH($B524,Scenarios!$B$121:$B$200,0)),),"Market")</f>
        <v>0</v>
      </c>
      <c r="U524" s="478">
        <f>IFERROR(MAX(0,INDEX(Input!$1:$1048576,U$93,$C524*2+MIN($B524,2)+5)
+INDEX(Scenarios!U$121:U$200,MATCH($B524,Scenarios!$B$121:$B$200,0)),),"Market")</f>
        <v>0</v>
      </c>
      <c r="V524" s="478">
        <f>IFERROR(MAX(0,INDEX(Input!$1:$1048576,V$93,$C524*2+MIN($B524,2)+5)
+INDEX(Scenarios!V$121:V$200,MATCH($B524,Scenarios!$B$121:$B$200,0)),),"Market")</f>
        <v>0</v>
      </c>
      <c r="W524" s="885">
        <f>IFERROR(MAX(0,INDEX(Input!$1:$1048576,W$93,$C524*2+MIN($B524,2)+5)-0%,),"Market")</f>
        <v>3.9E-2</v>
      </c>
      <c r="X524" s="476" t="str">
        <f>INDEX(Input!$1:$1048576,X$93,$C524*2+MIN($B524,2)+5)</f>
        <v>Y</v>
      </c>
      <c r="Y524" s="475">
        <f>INDEX(Input!$1:$1048576,Y$93,$C524*2+MIN($B524,2)+5)
++INDEX(Scenarios!Y$121:Y$200,MATCH($B524,Scenarios!$B$121:$B$200,0))</f>
        <v>-717.93641739252325</v>
      </c>
      <c r="Z524" s="477">
        <f>INDEX(Input!$1:$1048576,Z$93,$C524*2+MIN($B524,2)+5)
+INDEX(Scenarios!Z$121:Z$200,MATCH($B524,Scenarios!$B$121:$B$200,0))</f>
        <v>0</v>
      </c>
      <c r="AA524" s="475">
        <f>INDEX(Input!$1:$1048576,AA$93,$C524*2+MIN($B524,2)+5)
+INDEX(Scenarios!AA$121:AA$200,MATCH($B524,Scenarios!$B$121:$B$200,0))</f>
        <v>0</v>
      </c>
      <c r="AB524" s="476">
        <f>INDEX(Input!$1:$1048576,AB$93,$C524*2+MIN($B524,2)+5)</f>
        <v>0.27</v>
      </c>
      <c r="AC524" s="475">
        <f>INDEX(Input!$1:$1048576,AC$93,$C524*2+MIN($B524,2)+5)
+INDEX(Scenarios!AC$121:AC$200,MATCH($B524,Scenarios!$B$121:$B$200,0))</f>
        <v>0</v>
      </c>
      <c r="AD524" s="476">
        <f>INDEX(Input!$1:$1048576,AD$93,$C524*2+MIN($B524,2)+5)</f>
        <v>0.27</v>
      </c>
      <c r="AE524" s="475">
        <f>INDEX(Input!$1:$1048576,AE$93,$C524*2+MIN($B524,2)+5)
+INDEX(Scenarios!AE$121:AE$200,MATCH($B524,Scenarios!$B$121:$B$200,0))</f>
        <v>0</v>
      </c>
      <c r="AF524" s="476">
        <f>INDEX(Input!$1:$1048576,AF$93,$C524*2+MIN($B524,2)+5)</f>
        <v>0.2</v>
      </c>
      <c r="AG524" s="475">
        <f>INDEX(Input!$1:$1048576,AG$93,$C524*2+MIN($B524,2)+5)
+INDEX(Scenarios!AG$121:AG$200,MATCH($B524,Scenarios!$B$121:$B$200,0))</f>
        <v>500</v>
      </c>
      <c r="AH524" s="476">
        <f>INDEX(Input!$1:$1048576,AH$93,$C524*2+MIN($B524,2)+5)</f>
        <v>1</v>
      </c>
      <c r="AI524" s="475">
        <f>INDEX(Input!$1:$1048576,AI$93,$C524*2+MIN($B524,2)+5)
+INDEX(Scenarios!AI$121:AI$200,MATCH($B524,Scenarios!$B$121:$B$200,0))</f>
        <v>0</v>
      </c>
      <c r="AJ524" s="476">
        <f>INDEX(Input!$1:$1048576,AJ$93,$C524*2+MIN($B524,2)+5)</f>
        <v>0.27</v>
      </c>
      <c r="AK524" s="150">
        <f>ROUND(INDEX(Input!$1:$1048576,AK$93,$C523*2+MIN($B524,1)+5)+(Y524-VLOOKUP($C524*1000+1,$A:$HH,Y$92,FALSE)),0)</f>
        <v>2587</v>
      </c>
      <c r="AL524" s="150">
        <f>ROUND(INDEX(Input!$1:$1048576,AL$93,$C523*2+MIN($B524,1)+5)-(Y524-VLOOKUP($C524*1000+1,$A:$HH,Y$92,FALSE))/36,0)</f>
        <v>3406</v>
      </c>
      <c r="AM524" s="32" t="str">
        <f t="shared" si="1442"/>
        <v>std/std/std/std</v>
      </c>
      <c r="AN524" s="32" t="str">
        <f t="shared" si="1443"/>
        <v>$0 + 0/0/0/0/3.9</v>
      </c>
      <c r="AO524" s="32" t="str">
        <f t="shared" si="1444"/>
        <v>0/0/0/0/3.9</v>
      </c>
      <c r="AP524" s="32" t="str">
        <f t="shared" si="1396"/>
        <v>0/0/0/3.9</v>
      </c>
      <c r="AQ524" s="536">
        <f t="shared" si="1394"/>
        <v>0.35481629814717786</v>
      </c>
      <c r="AR524" s="32"/>
      <c r="AS524" s="302"/>
      <c r="AT524" s="3">
        <f t="shared" si="1465"/>
        <v>24</v>
      </c>
      <c r="AU524" s="41" t="s">
        <v>121</v>
      </c>
      <c r="AV524" s="41" t="s">
        <v>116</v>
      </c>
      <c r="AW524" s="41" t="str">
        <f>INDEX(Input!$1:$1048576,AW$93,$C524*2+6)</f>
        <v>Kia</v>
      </c>
      <c r="AX524" s="41" t="str">
        <f>INDEX(Input!$1:$1048576,AX$93,$C524*2+6)</f>
        <v>Kia-LR - R2</v>
      </c>
      <c r="AY524" s="41" t="str">
        <f>IF(LEN(D524)=0,"",INDEX(Input!$1:$1048576,AY$93,$C524*2+6))</f>
        <v>Compact SUV (52)</v>
      </c>
      <c r="AZ524" s="41" t="str">
        <f>INDEX(Input!$1:$1048576,AZ$93,$C524*2+6)</f>
        <v>Kia Soul</v>
      </c>
      <c r="BA524" s="3">
        <f>INDEX(Input!$1:$1048576,BA$93,$C524*2+6)</f>
        <v>2020</v>
      </c>
      <c r="BB524" s="128">
        <f>INDEX(Input!$1:$1048576,BB$93,$C524*2+6)</f>
        <v>1</v>
      </c>
      <c r="BC524" s="128">
        <f>INDEX(Input!$1:$1048576,BC$93,$C524*2+6)</f>
        <v>0.7</v>
      </c>
      <c r="BD524" s="1">
        <f>INDEX(Input!$1:$1048576,BD$93,$C524*2+6)</f>
        <v>4.4999999999999998E-2</v>
      </c>
      <c r="BE524" s="1">
        <f>INDEX(Input!$1:$1048576,BE$93,$C524*2+6)</f>
        <v>4.4999999999999998E-2</v>
      </c>
      <c r="BF524" s="1">
        <f>INDEX(Input!$1:$1048576,BF$93,$C524*2+6)</f>
        <v>0.05</v>
      </c>
      <c r="BG524" s="1">
        <f>INDEX(Input!$1:$1048576,BG$93,$C524*2+6)</f>
        <v>5.45E-2</v>
      </c>
      <c r="BH524" s="1">
        <f>INDEX(Input!$1:$1048576,BH$93,$C524*2+6)</f>
        <v>5.45E-2</v>
      </c>
      <c r="BI524" s="1">
        <f>INDEX(Input!$1:$1048576,BI$93,$C524*2+6)</f>
        <v>0.05</v>
      </c>
      <c r="BJ524" s="1">
        <f>INDEX(Input!$1:$1048576,BJ$93,$C524*2+6)</f>
        <v>0.05</v>
      </c>
      <c r="BK524" s="1">
        <f>INDEX(Input!$1:$1048576,BK$93,$C524*2+6)</f>
        <v>0.05</v>
      </c>
      <c r="BL524" s="1">
        <f>INDEX(Input!$1:$1048576,BL$93,$C524*2+6)</f>
        <v>5.5E-2</v>
      </c>
      <c r="BM524" s="1">
        <f>INDEX(Input!$1:$1048576,BM$93,$C524*2+6)</f>
        <v>0.06</v>
      </c>
      <c r="BN524" s="1">
        <f>INDEX(Input!$1:$1048576,BN$93,$C524*2+6)</f>
        <v>4.4999999999999998E-2</v>
      </c>
      <c r="BO524" s="1">
        <f>INDEX(Input!$1:$1048576,BO$93,$C524*2+6)</f>
        <v>4.4999999999999998E-2</v>
      </c>
      <c r="BP524" s="1">
        <f>INDEX(Input!$1:$1048576,BP$93,$C524*2+6)</f>
        <v>0.05</v>
      </c>
      <c r="BQ524" s="1">
        <f>INDEX(Input!$1:$1048576,BQ$93,$C524*2+6)</f>
        <v>5.45E-2</v>
      </c>
      <c r="BR524" s="1">
        <f>INDEX(Input!$1:$1048576,BR$93,$C524*2+6)</f>
        <v>5.45E-2</v>
      </c>
      <c r="BS524" s="1">
        <f>INDEX(Input!$1:$1048576,BS$93,$C524*2+6)</f>
        <v>0.05</v>
      </c>
      <c r="BT524" s="1">
        <f>INDEX(Input!$1:$1048576,BT$93,$C524*2+6)</f>
        <v>0.05</v>
      </c>
      <c r="BU524" s="1">
        <f>INDEX(Input!$1:$1048576,BU$93,$C524*2+6)</f>
        <v>0.05</v>
      </c>
      <c r="BV524" s="1">
        <f>INDEX(Input!$1:$1048576,BV$93,$C524*2+6)</f>
        <v>5.5E-2</v>
      </c>
      <c r="BW524" s="1">
        <f>INDEX(Input!$1:$1048576,BW$93,$C524*2+6)</f>
        <v>0.06</v>
      </c>
      <c r="BX524" s="127">
        <f>INDEX(Input!$1:$1048576,BX$93,$C524*2+6)</f>
        <v>19985</v>
      </c>
      <c r="BY524" s="20">
        <f>INDEX(Input!$1:$1048576,BY$93,$C524*2+6)</f>
        <v>0.1</v>
      </c>
      <c r="BZ524" s="20">
        <f>INDEX(Input!$1:$1048576,BZ$93,$C524*2+6)</f>
        <v>0.1</v>
      </c>
      <c r="CA524" s="20">
        <f>INDEX(Input!$1:$1048576,CA$93,$C524*2+6)</f>
        <v>0.1</v>
      </c>
      <c r="CB524" s="20">
        <f>INDEX(Input!$1:$1048576,CB$93,$C524*2+6)</f>
        <v>0.1</v>
      </c>
      <c r="CC524" s="20">
        <f>INDEX(Input!$1:$1048576,CC$93,$C524*2+6)</f>
        <v>0.1</v>
      </c>
      <c r="CD524" s="384">
        <f>INDEX(Input!$1:$1048576,CD$93,$C524*2+6)</f>
        <v>0.1</v>
      </c>
      <c r="CE524" s="384">
        <f>INDEX(Input!$1:$1048576,CE$93,$C524*2+6)</f>
        <v>0.1</v>
      </c>
      <c r="CF524" s="384">
        <f>INDEX(Input!$1:$1048576,CF$93,$C524*2+6)</f>
        <v>0.1</v>
      </c>
      <c r="CG524" s="384">
        <f>INDEX(Input!$1:$1048576,CG$93,$C524*2+6)</f>
        <v>0.1</v>
      </c>
      <c r="CH524" s="384">
        <f>INDEX(Input!$1:$1048576,CH$93,$C524*2+6)</f>
        <v>0.1</v>
      </c>
      <c r="CI524" s="304">
        <f t="shared" si="1397"/>
        <v>1277.4263093788063</v>
      </c>
      <c r="CJ524" s="16" t="str">
        <f>INDEX(Input!$1:$1048576,CJ$93,$C524*2+6)</f>
        <v>N</v>
      </c>
      <c r="CK524" s="1" t="str">
        <f t="shared" si="1398"/>
        <v>Market</v>
      </c>
      <c r="CL524" s="1" t="str">
        <f t="shared" si="1399"/>
        <v>Market</v>
      </c>
      <c r="CM524" s="1" t="str">
        <f t="shared" si="1400"/>
        <v>Market</v>
      </c>
      <c r="CN524" s="1" t="str">
        <f t="shared" si="1401"/>
        <v>Market</v>
      </c>
      <c r="CO524" s="1" t="str">
        <f t="shared" si="1402"/>
        <v>Market</v>
      </c>
      <c r="CP524" s="304">
        <f t="shared" si="1403"/>
        <v>500</v>
      </c>
      <c r="CQ524" s="1">
        <f t="shared" si="1404"/>
        <v>0</v>
      </c>
      <c r="CR524" s="1">
        <f t="shared" si="1405"/>
        <v>0</v>
      </c>
      <c r="CS524" s="1">
        <f t="shared" si="1406"/>
        <v>0</v>
      </c>
      <c r="CT524" s="1">
        <f t="shared" si="1407"/>
        <v>0</v>
      </c>
      <c r="CU524" s="1">
        <f t="shared" si="1408"/>
        <v>3.9E-2</v>
      </c>
      <c r="CV524" s="304">
        <f t="shared" si="1409"/>
        <v>-717.93641739252325</v>
      </c>
      <c r="CW524" s="20" t="s">
        <v>122</v>
      </c>
      <c r="CX524" s="20" t="s">
        <v>122</v>
      </c>
      <c r="CY524" s="20" t="s">
        <v>122</v>
      </c>
      <c r="CZ524" s="20" t="s">
        <v>122</v>
      </c>
      <c r="DA524" s="20" t="s">
        <v>122</v>
      </c>
      <c r="DB524" s="503">
        <f t="shared" si="1410"/>
        <v>0</v>
      </c>
      <c r="DC524" s="127">
        <v>0</v>
      </c>
      <c r="DD524" s="127">
        <v>0</v>
      </c>
      <c r="DE524" s="127">
        <v>0</v>
      </c>
      <c r="DF524" s="127">
        <v>0</v>
      </c>
      <c r="DG524" s="127">
        <v>0</v>
      </c>
      <c r="DH524" s="127">
        <v>0</v>
      </c>
      <c r="DI524" s="127">
        <v>0</v>
      </c>
      <c r="DJ524" s="127">
        <v>0</v>
      </c>
      <c r="DK524" s="127">
        <v>0</v>
      </c>
      <c r="DL524" s="127">
        <v>0</v>
      </c>
      <c r="DM524" s="304">
        <f>INDEX(Input!$1:$1048576,DM$93,$C524*2+6)</f>
        <v>21036.84210526316</v>
      </c>
      <c r="DN524" s="20">
        <v>0</v>
      </c>
      <c r="DO524" s="20">
        <v>0</v>
      </c>
      <c r="DP524" s="20">
        <v>0</v>
      </c>
      <c r="DQ524" s="20">
        <v>0</v>
      </c>
      <c r="DR524" s="20">
        <v>0</v>
      </c>
      <c r="DS524" s="20">
        <f>INDEX(Input!$1:$1048576,DS$93,$C524*2+6)</f>
        <v>0.6</v>
      </c>
      <c r="DT524" s="20">
        <f>INDEX(Input!$1:$1048576,DT$93,$C524*2+6)</f>
        <v>0.55000000000000004</v>
      </c>
      <c r="DU524" s="20">
        <f>INDEX(Input!$1:$1048576,DU$93,$C524*2+6)</f>
        <v>0.52</v>
      </c>
      <c r="DV524" s="20">
        <f>INDEX(Input!$1:$1048576,DV$93,$C524*2+6)</f>
        <v>0.5</v>
      </c>
      <c r="DW524" s="20">
        <f>INDEX(Input!$1:$1048576,DW$93,$C524*2+6)</f>
        <v>0.45</v>
      </c>
      <c r="DX524" s="20"/>
      <c r="DY524" s="7">
        <v>0.11364334072907617</v>
      </c>
      <c r="DZ524" s="7">
        <v>0</v>
      </c>
      <c r="EA524" s="7">
        <v>0.70141684897435497</v>
      </c>
      <c r="EB524" s="7">
        <v>0</v>
      </c>
      <c r="EC524" s="7">
        <v>0</v>
      </c>
      <c r="ED524" s="7">
        <v>0</v>
      </c>
      <c r="EE524" s="7">
        <v>0</v>
      </c>
      <c r="EF524" s="7">
        <v>0</v>
      </c>
      <c r="EG524" s="7">
        <v>0</v>
      </c>
      <c r="EH524" s="7">
        <v>7.3990726096207588E-3</v>
      </c>
      <c r="EI524" s="7">
        <v>2.0564452343285109E-2</v>
      </c>
      <c r="EJ524" s="7">
        <v>0.17855905904444935</v>
      </c>
      <c r="EK524" s="7">
        <v>0.71693397213734833</v>
      </c>
      <c r="EL524" s="7">
        <v>7.6543443865296351E-2</v>
      </c>
      <c r="EM524" s="7">
        <v>0.11760676943741587</v>
      </c>
      <c r="EN524" s="7">
        <v>5.8458614950344198E-2</v>
      </c>
      <c r="EO524" s="7">
        <v>0.71697225910723106</v>
      </c>
      <c r="EP524" s="7">
        <v>8.9851370815250853E-2</v>
      </c>
      <c r="EQ524" s="7">
        <v>8.8450830868175817E-2</v>
      </c>
      <c r="ER524" s="7">
        <v>4.6266924258998331E-2</v>
      </c>
      <c r="ES524" s="7">
        <v>6.733304085915312E-2</v>
      </c>
      <c r="ET524" s="7">
        <v>0.18493981029656886</v>
      </c>
      <c r="EU524" s="6">
        <v>1270</v>
      </c>
      <c r="EV524" s="6">
        <v>0</v>
      </c>
      <c r="EW524" s="6">
        <v>1270</v>
      </c>
      <c r="EX524" s="6">
        <v>0</v>
      </c>
      <c r="EY524" s="6">
        <v>2672.4757304767759</v>
      </c>
      <c r="EZ524" s="6">
        <v>-6.4499039401316622</v>
      </c>
      <c r="FA524" s="6">
        <v>0</v>
      </c>
      <c r="FB524" s="6">
        <v>0</v>
      </c>
      <c r="FC524" s="6">
        <v>0</v>
      </c>
      <c r="FD524" s="6">
        <v>0</v>
      </c>
      <c r="FE524" s="6">
        <v>0</v>
      </c>
      <c r="FF524" s="6">
        <v>0</v>
      </c>
      <c r="FG524" s="6">
        <v>0</v>
      </c>
      <c r="FH524" s="6">
        <v>1172.1291691794288</v>
      </c>
      <c r="FI524" s="6">
        <v>1553.9796069512392</v>
      </c>
      <c r="FJ524" s="6">
        <v>2101.2110117447401</v>
      </c>
      <c r="FK524" s="6">
        <v>2674.2006261592273</v>
      </c>
      <c r="FL524" s="6">
        <v>907.07682140966301</v>
      </c>
      <c r="FM524" s="6">
        <v>2402.4757304767759</v>
      </c>
      <c r="FN524" s="6">
        <v>0</v>
      </c>
      <c r="FO524" s="6">
        <v>0</v>
      </c>
      <c r="FP524" s="6">
        <v>0</v>
      </c>
      <c r="FQ524" s="6">
        <v>0</v>
      </c>
      <c r="FR524" s="6">
        <v>0</v>
      </c>
      <c r="FS524" s="6">
        <v>0</v>
      </c>
      <c r="FT524" s="7">
        <v>0.81506018970343108</v>
      </c>
      <c r="FU524" s="7">
        <v>0.11760676943741587</v>
      </c>
      <c r="FV524" s="7">
        <v>6.733304085915312E-2</v>
      </c>
      <c r="FW524" s="6">
        <v>1270.0000000000002</v>
      </c>
      <c r="FX524" s="6">
        <v>2672.4757304767759</v>
      </c>
      <c r="FY524" s="6">
        <v>-6.4499039401316622</v>
      </c>
      <c r="FZ524" s="6">
        <v>1758.1538569113241</v>
      </c>
      <c r="GA524" s="6">
        <v>1348.9933863390909</v>
      </c>
      <c r="GB524" s="6">
        <v>18636.006613660909</v>
      </c>
      <c r="GC524" s="7">
        <v>3.064145122680037E-2</v>
      </c>
      <c r="GD524" s="7">
        <v>2.9601145619385306E-2</v>
      </c>
      <c r="GE524" s="7"/>
      <c r="GF524" s="7"/>
      <c r="GG524" s="7">
        <v>-3.395092483430312E-2</v>
      </c>
      <c r="GH524" s="42">
        <v>1.6582961493435957</v>
      </c>
      <c r="GI524" s="6">
        <v>13400.519893176048</v>
      </c>
      <c r="GJ524" s="14">
        <v>0.50394797582841766</v>
      </c>
      <c r="GK524" s="14">
        <v>0.50887573065309732</v>
      </c>
      <c r="GL524" s="14">
        <v>0.49605202417158262</v>
      </c>
      <c r="GM524" s="14">
        <v>0.49112426934690234</v>
      </c>
      <c r="GO524" s="5">
        <v>343.14810671672558</v>
      </c>
      <c r="GP524" s="5">
        <v>318.91892952659737</v>
      </c>
      <c r="GQ524" s="5">
        <v>535.04305713031317</v>
      </c>
      <c r="GR524" s="5">
        <v>410.15490233172511</v>
      </c>
      <c r="GS524" s="5">
        <v>339.42744393800166</v>
      </c>
      <c r="GT524" s="5">
        <v>293.4407446948278</v>
      </c>
      <c r="GU524" s="5">
        <v>258.04012322764959</v>
      </c>
      <c r="GV524" s="39" t="s">
        <v>392</v>
      </c>
      <c r="GW524" s="5">
        <v>492.125</v>
      </c>
      <c r="GX524" s="5">
        <v>369.09375</v>
      </c>
      <c r="GY524" s="5">
        <v>295.27499999999998</v>
      </c>
      <c r="GZ524" s="5">
        <v>246.0625</v>
      </c>
      <c r="HA524" s="5">
        <v>241.34874471337258</v>
      </c>
      <c r="HB524" s="39">
        <v>258.83973521141286</v>
      </c>
      <c r="HC524" s="5">
        <v>287.56655829738071</v>
      </c>
      <c r="HD524" s="5">
        <v>239.99799238008356</v>
      </c>
      <c r="HE524" s="5">
        <v>241.14168635502031</v>
      </c>
      <c r="HF524" s="5">
        <v>221.05790951107167</v>
      </c>
      <c r="HG524" s="5">
        <v>210.75500473779988</v>
      </c>
      <c r="HH524" s="39">
        <v>239.8532981693956</v>
      </c>
      <c r="HI524" s="16"/>
      <c r="HJ524" s="19" t="str">
        <f t="shared" si="1507"/>
        <v>On</v>
      </c>
      <c r="HK524" s="1" t="str">
        <f t="shared" si="1507"/>
        <v>On</v>
      </c>
      <c r="HL524" s="16"/>
      <c r="HM524" s="639">
        <f t="shared" si="1413"/>
        <v>2.4909940070666322E-2</v>
      </c>
      <c r="HN524" s="639">
        <f t="shared" si="1414"/>
        <v>2.2052381276269151E-3</v>
      </c>
      <c r="HO524" s="639">
        <f t="shared" si="1415"/>
        <v>2.079866082302006E-3</v>
      </c>
      <c r="HP524" s="644">
        <f>(FT524*$GD524-HM524)/$JF524*INDEX(Input!$1:$1048576,$JG$93,$C524*2+6)</f>
        <v>-22.025227227379389</v>
      </c>
      <c r="HQ524" s="644">
        <f>(FU524*$GD524-HN524)/$JF524*INDEX(Input!$1:$1048576,$JG$93,$C524*2+6)</f>
        <v>35.884267575348581</v>
      </c>
      <c r="HR524" s="644">
        <f>(FV524*$GD524-HO524)/$JF524*INDEX(Input!$1:$1048576,$JG$93,$C524*2+6)</f>
        <v>-2.4389789176035204</v>
      </c>
      <c r="HS524" s="644">
        <f t="shared" si="1416"/>
        <v>-1.7126936161526543</v>
      </c>
      <c r="HT524" s="644">
        <f t="shared" si="1417"/>
        <v>40.40877575968711</v>
      </c>
      <c r="HU524" s="644">
        <f t="shared" si="1418"/>
        <v>0.49567575742611036</v>
      </c>
      <c r="HV524" s="648">
        <f t="shared" si="1419"/>
        <v>0</v>
      </c>
      <c r="HW524" s="648">
        <f t="shared" si="1420"/>
        <v>0</v>
      </c>
      <c r="HX524" s="648">
        <f t="shared" si="1421"/>
        <v>0</v>
      </c>
      <c r="HY524" s="644">
        <f>INDEX(Input!$1:$1048576,HY$93,$C524*2+6)*INDEX(Input!$1:$1048576,$JG$93,$C524*2+6)</f>
        <v>333.00000000000006</v>
      </c>
      <c r="HZ524" s="644">
        <f>INDEX(Input!$1:$1048576,HZ$93,$C524*2+6)*INDEX(Input!$1:$1048576,$JG$93,$C524*2+6)</f>
        <v>429</v>
      </c>
      <c r="IA524" s="644">
        <f>INDEX(Input!$1:$1048576,IA$93,$C524*2+6)*INDEX(Input!$1:$1048576,$JG$93,$C524*2+6)</f>
        <v>59</v>
      </c>
      <c r="IB524" s="644">
        <f t="shared" si="1445"/>
        <v>309.26207915646796</v>
      </c>
      <c r="IC524" s="644">
        <f t="shared" si="1446"/>
        <v>505.29304333503569</v>
      </c>
      <c r="ID524" s="644">
        <f>IF(AND(INDEX(Input!$1:$1048576,IA$93,$C524*2+7)="TOS",Y524&lt;=INDEX(Y:Y,MATCH(C524*1000+2,A:A))),0,1)*MAX(IA524+HR524+HU524+HX524,0%)</f>
        <v>57.056696839822592</v>
      </c>
      <c r="IE524" s="128">
        <f t="shared" si="1508"/>
        <v>0.35481629814717786</v>
      </c>
      <c r="IF524" s="128">
        <f t="shared" si="1468"/>
        <v>0.57972256930003652</v>
      </c>
      <c r="IG524" s="128">
        <f t="shared" si="1423"/>
        <v>6.5461132552785628E-2</v>
      </c>
      <c r="IH524" s="21"/>
      <c r="II524" s="19">
        <f t="shared" si="1424"/>
        <v>1240</v>
      </c>
      <c r="IJ524" s="19">
        <f t="shared" si="1425"/>
        <v>1985.7442651839444</v>
      </c>
      <c r="IK524" s="19">
        <f t="shared" si="1426"/>
        <v>-21.44990394013189</v>
      </c>
      <c r="IL524" s="19">
        <f t="shared" si="1448"/>
        <v>30.000000000000227</v>
      </c>
      <c r="IM524" s="19">
        <f t="shared" si="1427"/>
        <v>686.73146529283144</v>
      </c>
      <c r="IN524" s="19">
        <f t="shared" si="1428"/>
        <v>15.000000000000227</v>
      </c>
      <c r="IO524" s="39">
        <f t="shared" si="1429"/>
        <v>0</v>
      </c>
      <c r="IP524" s="39">
        <f t="shared" si="1430"/>
        <v>0</v>
      </c>
      <c r="IQ524" s="39">
        <f t="shared" si="1431"/>
        <v>0</v>
      </c>
      <c r="IR524" s="39">
        <v>0</v>
      </c>
      <c r="IS524" s="39">
        <v>0</v>
      </c>
      <c r="IT524" s="39">
        <v>0</v>
      </c>
      <c r="IU524" s="39">
        <v>0</v>
      </c>
      <c r="IV524" s="39">
        <v>0</v>
      </c>
      <c r="IW524" s="39">
        <v>0</v>
      </c>
      <c r="IX524" s="39">
        <f>INDEX(Input!$1:$1048576,IX$93,$C524*2+6)+INDEX(Input!$1:$1048576,IX$94,$C524*2+6)</f>
        <v>1270</v>
      </c>
      <c r="IY524" s="39">
        <f>INDEX(Input!$1:$1048576,IY$93,$C524*2+6)+INDEX(Input!$1:$1048576,IY$94,$C524*2+6)</f>
        <v>2130.0624533823611</v>
      </c>
      <c r="IZ524" s="39">
        <f>INDEX(Input!$1:$1048576,IZ$93,$C524*2+6)+INDEX(Input!$1:$1048576,IZ$94,$C524*2+6)</f>
        <v>3653.7164157747857</v>
      </c>
      <c r="JA524" s="19">
        <f t="shared" si="1449"/>
        <v>1300.0000000000002</v>
      </c>
      <c r="JB524" s="19">
        <f t="shared" si="1450"/>
        <v>2816.7939186751928</v>
      </c>
      <c r="JC524" s="19">
        <f t="shared" si="1451"/>
        <v>3668.7164157747857</v>
      </c>
      <c r="JD524" s="19">
        <f t="shared" si="1452"/>
        <v>2334.3785269060459</v>
      </c>
      <c r="JE524" s="21"/>
      <c r="JF524" s="1">
        <f t="shared" si="1432"/>
        <v>2.9195044280595241E-2</v>
      </c>
      <c r="JG524" s="15">
        <f>INDEX(Input!$1:$1048576,JG$93,$C524*2+6)/(1+VLOOKUP(C524*1000+INDEX(Input!$1:$1048576,JG$93+1,$C524*2+6),$A:$KK,$JK$92,FALSE))</f>
        <v>821</v>
      </c>
      <c r="JH524" s="1">
        <f t="shared" si="1453"/>
        <v>1.3909940840883886E-2</v>
      </c>
      <c r="JI524" s="1">
        <f t="shared" si="1454"/>
        <v>4.7736611328819206E-2</v>
      </c>
      <c r="JJ524" s="1">
        <f t="shared" si="1492"/>
        <v>0</v>
      </c>
      <c r="JK524" s="1">
        <f t="shared" si="1496"/>
        <v>6.1646552169703092E-2</v>
      </c>
      <c r="JL524" s="15">
        <f t="shared" si="1457"/>
        <v>50.611819331326238</v>
      </c>
      <c r="JM524" s="15">
        <f t="shared" si="1483"/>
        <v>871.61181933132627</v>
      </c>
      <c r="JN524" s="21"/>
      <c r="JO524" s="19">
        <f>INDEX(Input!$1:$1048576,JO$93,$C524*2+6)</f>
        <v>5995.5</v>
      </c>
      <c r="JP524" s="19">
        <f>INDEX(Input!$1:$1048576,JP$93,$C524*2+6)</f>
        <v>1890.7138380411029</v>
      </c>
      <c r="JQ524" s="39">
        <f t="shared" si="1469"/>
        <v>3661.1214730939541</v>
      </c>
      <c r="JR524" s="39">
        <f t="shared" si="1486"/>
        <v>443.66468886494295</v>
      </c>
      <c r="JS524" s="39">
        <f t="shared" si="1471"/>
        <v>2.03467191484456</v>
      </c>
      <c r="JT524" s="39">
        <f t="shared" si="1459"/>
        <v>0.48239585381281447</v>
      </c>
      <c r="JU524" s="385">
        <f>(JQ524*JM524-INDEX(Input!$1:$1048576,Input!A$18,$C524*2+6)*JL524*INDEX(Input!$1:$1048576,Input!A$19,$C524*2+6))/1000000</f>
        <v>3.1910767479564068</v>
      </c>
      <c r="JV524" s="39">
        <f t="shared" si="1493"/>
        <v>-0.17895269101184752</v>
      </c>
      <c r="JW524" s="1">
        <f t="shared" si="1484"/>
        <v>-5.3101224856550354E-2</v>
      </c>
      <c r="JX524" s="19">
        <f t="shared" si="1475"/>
        <v>9531.2885445758911</v>
      </c>
      <c r="JZ524" s="341"/>
      <c r="KA524" s="342"/>
      <c r="KB524" s="469">
        <f t="shared" si="1472"/>
        <v>2.5122967434604799</v>
      </c>
      <c r="KI524" s="473">
        <f t="shared" si="1499"/>
        <v>-23.737920843532095</v>
      </c>
      <c r="KJ524" s="473">
        <f t="shared" si="1500"/>
        <v>76.293043335035691</v>
      </c>
      <c r="KK524" s="473">
        <f t="shared" si="1461"/>
        <v>-1.9433031601774147</v>
      </c>
      <c r="KN524" s="544">
        <f t="shared" si="1476"/>
        <v>5002</v>
      </c>
      <c r="KO524" s="541">
        <f t="shared" si="1436"/>
        <v>5.7341439998089827E-2</v>
      </c>
      <c r="KP524" s="546">
        <f t="shared" si="1437"/>
        <v>380.72119849435376</v>
      </c>
      <c r="KQ524" s="546">
        <f t="shared" si="1438"/>
        <v>415.4597611827794</v>
      </c>
      <c r="KR524" s="548">
        <f t="shared" si="1439"/>
        <v>2.7209809098960887</v>
      </c>
      <c r="KS524" s="548">
        <f t="shared" si="1440"/>
        <v>2.4934667803848796</v>
      </c>
      <c r="KT524" s="473">
        <f t="shared" si="1474"/>
        <v>595.94378802984284</v>
      </c>
      <c r="KU524" s="663">
        <f t="shared" si="1462"/>
        <v>3.9601953771518548</v>
      </c>
      <c r="KV524" s="117"/>
    </row>
    <row r="525" spans="1:308" s="26" customFormat="1" ht="15">
      <c r="A525" s="561">
        <f t="shared" si="1441"/>
        <v>5025</v>
      </c>
      <c r="B525" s="561">
        <f t="shared" si="1463"/>
        <v>25</v>
      </c>
      <c r="C525" s="561">
        <f t="shared" si="1464"/>
        <v>5</v>
      </c>
      <c r="D525" s="561" t="str">
        <f t="shared" si="1509"/>
        <v xml:space="preserve">0.9/1.9/2.9/3.9, </v>
      </c>
      <c r="E525" s="475">
        <f>INDEX(Input!$1:$1048576,E$93,$C525*2+MIN($B525,2)+5)
+INDEX(Scenarios!E$121:E$200,MATCH($B525,Scenarios!$B$121:$B$200,0))</f>
        <v>1277.4263093788063</v>
      </c>
      <c r="F525" s="475">
        <f>INDEX(Input!$1:$1048576,F$93,$C525*2+MIN($B525,2)+5)
+INDEX(Scenarios!F$121:F$200,MATCH($B525,Scenarios!$B$121:$B$200,0))</f>
        <v>0</v>
      </c>
      <c r="G525" s="475">
        <f>INDEX(Input!$1:$1048576,G$93,$C525*2+MIN($B525,2)+5)
+INDEX(Scenarios!G$121:G$200,MATCH($B525,Scenarios!$B$121:$B$200,0))</f>
        <v>0</v>
      </c>
      <c r="H525" s="475">
        <f>INDEX(Input!$1:$1048576,H$93,$C525*2+MIN($B525,2)+5)
+INDEX(Scenarios!H$121:H$200,MATCH($B525,Scenarios!$B$121:$B$200,0))</f>
        <v>0</v>
      </c>
      <c r="I525" s="476">
        <f>INDEX(Input!$1:$1048576,I$93,$C525*2+MIN($B525,2)+5)</f>
        <v>0.7</v>
      </c>
      <c r="J525" s="476" t="str">
        <f>INDEX(Input!$1:$1048576,J$93,$C525*2+MIN($B525,2)+5)</f>
        <v>Market</v>
      </c>
      <c r="K525" s="476" t="str">
        <f>INDEX(Input!$1:$1048576,K$93,$C525*2+MIN($B525,2)+5)</f>
        <v>Market</v>
      </c>
      <c r="L525" s="476" t="str">
        <f>INDEX(Input!$1:$1048576,L$93,$C525*2+MIN($B525,2)+5)</f>
        <v>Market</v>
      </c>
      <c r="M525" s="476" t="str">
        <f>INDEX(Input!$1:$1048576,M$93,$C525*2+MIN($B525,2)+5)</f>
        <v>Market</v>
      </c>
      <c r="N525" s="476" t="str">
        <f>INDEX(Input!$1:$1048576,N$93,$C525*2+MIN($B525,2)+5)</f>
        <v>Market</v>
      </c>
      <c r="O525" s="476" t="str">
        <f>INDEX(Input!$1:$1048576,O$93,$C525*2+MIN($B525,2)+5)</f>
        <v>Market</v>
      </c>
      <c r="P525" s="476" t="str">
        <f>INDEX(Input!$1:$1048576,P$93,$C525*2+MIN($B525,2)+5)</f>
        <v>N</v>
      </c>
      <c r="Q525" s="477">
        <f>INDEX(Input!$1:$1048576,Q$93,$C525*2+MIN($B525,2)+5)
+INDEX(Scenarios!Q$121:Q$200,MATCH($B525,Scenarios!$B$121:$B$200,0))</f>
        <v>0</v>
      </c>
      <c r="R525" s="478">
        <f>IFERROR(MAX(0,INDEX(Input!$1:$1048576,R$93,$C525*2+MIN($B525,2)+5)
+INDEX(Scenarios!R$121:R$200,MATCH($B525,Scenarios!$B$121:$B$200,0)),),"Market")</f>
        <v>9.0000000000000011E-3</v>
      </c>
      <c r="S525" s="478">
        <f>IFERROR(MAX(0,INDEX(Input!$1:$1048576,S$93,$C525*2+MIN($B525,2)+5)
+INDEX(Scenarios!S$121:S$200,MATCH($B525,Scenarios!$B$121:$B$200,0)),),"Market")</f>
        <v>9.0000000000000011E-3</v>
      </c>
      <c r="T525" s="478">
        <f>IFERROR(MAX(0,INDEX(Input!$1:$1048576,T$93,$C525*2+MIN($B525,2)+5)
+INDEX(Scenarios!T$121:T$200,MATCH($B525,Scenarios!$B$121:$B$200,0)),),"Market")</f>
        <v>9.0000000000000011E-3</v>
      </c>
      <c r="U525" s="478">
        <f>IFERROR(MAX(0,INDEX(Input!$1:$1048576,U$93,$C525*2+MIN($B525,2)+5)
+INDEX(Scenarios!U$121:U$200,MATCH($B525,Scenarios!$B$121:$B$200,0)),),"Market")</f>
        <v>9.0000000000000011E-3</v>
      </c>
      <c r="V525" s="478">
        <f>IFERROR(MAX(0,INDEX(Input!$1:$1048576,V$93,$C525*2+MIN($B525,2)+5)
+INDEX(Scenarios!V$121:V$200,MATCH($B525,Scenarios!$B$121:$B$200,0)),),"Market")</f>
        <v>2.8999999999999998E-2</v>
      </c>
      <c r="W525" s="885">
        <f>IFERROR(MAX(0,INDEX(Input!$1:$1048576,W$93,$C525*2+MIN($B525,2)+5)-0%,),"Market")</f>
        <v>3.9E-2</v>
      </c>
      <c r="X525" s="476" t="str">
        <f>INDEX(Input!$1:$1048576,X$93,$C525*2+MIN($B525,2)+5)</f>
        <v>Y</v>
      </c>
      <c r="Y525" s="475">
        <f>INDEX(Input!$1:$1048576,Y$93,$C525*2+MIN($B525,2)+5)
++INDEX(Scenarios!Y$121:Y$200,MATCH($B525,Scenarios!$B$121:$B$200,0))</f>
        <v>-717.93641739252325</v>
      </c>
      <c r="Z525" s="477">
        <f>INDEX(Input!$1:$1048576,Z$93,$C525*2+MIN($B525,2)+5)
+INDEX(Scenarios!Z$121:Z$200,MATCH($B525,Scenarios!$B$121:$B$200,0))</f>
        <v>0</v>
      </c>
      <c r="AA525" s="475">
        <f>INDEX(Input!$1:$1048576,AA$93,$C525*2+MIN($B525,2)+5)
+INDEX(Scenarios!AA$121:AA$200,MATCH($B525,Scenarios!$B$121:$B$200,0))</f>
        <v>0</v>
      </c>
      <c r="AB525" s="476">
        <f>INDEX(Input!$1:$1048576,AB$93,$C525*2+MIN($B525,2)+5)</f>
        <v>0.27</v>
      </c>
      <c r="AC525" s="475">
        <f>INDEX(Input!$1:$1048576,AC$93,$C525*2+MIN($B525,2)+5)
+INDEX(Scenarios!AC$121:AC$200,MATCH($B525,Scenarios!$B$121:$B$200,0))</f>
        <v>0</v>
      </c>
      <c r="AD525" s="476">
        <f>INDEX(Input!$1:$1048576,AD$93,$C525*2+MIN($B525,2)+5)</f>
        <v>0.27</v>
      </c>
      <c r="AE525" s="475">
        <f>INDEX(Input!$1:$1048576,AE$93,$C525*2+MIN($B525,2)+5)
+INDEX(Scenarios!AE$121:AE$200,MATCH($B525,Scenarios!$B$121:$B$200,0))</f>
        <v>0</v>
      </c>
      <c r="AF525" s="476">
        <f>INDEX(Input!$1:$1048576,AF$93,$C525*2+MIN($B525,2)+5)</f>
        <v>0.2</v>
      </c>
      <c r="AG525" s="475">
        <f>INDEX(Input!$1:$1048576,AG$93,$C525*2+MIN($B525,2)+5)
+INDEX(Scenarios!AG$121:AG$200,MATCH($B525,Scenarios!$B$121:$B$200,0))</f>
        <v>500</v>
      </c>
      <c r="AH525" s="476">
        <f>INDEX(Input!$1:$1048576,AH$93,$C525*2+MIN($B525,2)+5)</f>
        <v>1</v>
      </c>
      <c r="AI525" s="475">
        <f>INDEX(Input!$1:$1048576,AI$93,$C525*2+MIN($B525,2)+5)
+INDEX(Scenarios!AI$121:AI$200,MATCH($B525,Scenarios!$B$121:$B$200,0))</f>
        <v>0</v>
      </c>
      <c r="AJ525" s="476">
        <f>INDEX(Input!$1:$1048576,AJ$93,$C525*2+MIN($B525,2)+5)</f>
        <v>0.27</v>
      </c>
      <c r="AK525" s="150">
        <f>ROUND(INDEX(Input!$1:$1048576,AK$93,$C524*2+MIN($B525,1)+5)+(Y525-VLOOKUP($C525*1000+1,$A:$HH,Y$92,FALSE)),0)</f>
        <v>2587</v>
      </c>
      <c r="AL525" s="150">
        <f>ROUND(INDEX(Input!$1:$1048576,AL$93,$C524*2+MIN($B525,1)+5)-(Y525-VLOOKUP($C525*1000+1,$A:$HH,Y$92,FALSE))/36,0)</f>
        <v>3406</v>
      </c>
      <c r="AM525" s="32" t="str">
        <f t="shared" si="1442"/>
        <v>std/std/std/std</v>
      </c>
      <c r="AN525" s="32" t="str">
        <f t="shared" si="1443"/>
        <v>$0 + 0.9/0.9/0.9/2.9/3.9</v>
      </c>
      <c r="AO525" s="32" t="str">
        <f t="shared" si="1444"/>
        <v>0.9/0.9/0.9/2.9/3.9</v>
      </c>
      <c r="AP525" s="32" t="str">
        <f t="shared" si="1396"/>
        <v>0.9/1.9/2.9/3.9</v>
      </c>
      <c r="AQ525" s="536">
        <f t="shared" si="1394"/>
        <v>0.43449671306927573</v>
      </c>
      <c r="AR525" s="32"/>
      <c r="AS525" s="302"/>
      <c r="AT525" s="3">
        <f t="shared" si="1465"/>
        <v>25</v>
      </c>
      <c r="AU525" s="41" t="s">
        <v>121</v>
      </c>
      <c r="AV525" s="41" t="s">
        <v>116</v>
      </c>
      <c r="AW525" s="41" t="str">
        <f>INDEX(Input!$1:$1048576,AW$93,$C525*2+6)</f>
        <v>Kia</v>
      </c>
      <c r="AX525" s="41" t="str">
        <f>INDEX(Input!$1:$1048576,AX$93,$C525*2+6)</f>
        <v>Kia-LR - R2</v>
      </c>
      <c r="AY525" s="41" t="str">
        <f>IF(LEN(D525)=0,"",INDEX(Input!$1:$1048576,AY$93,$C525*2+6))</f>
        <v>Compact SUV (52)</v>
      </c>
      <c r="AZ525" s="41" t="str">
        <f>INDEX(Input!$1:$1048576,AZ$93,$C525*2+6)</f>
        <v>Kia Soul</v>
      </c>
      <c r="BA525" s="3">
        <f>INDEX(Input!$1:$1048576,BA$93,$C525*2+6)</f>
        <v>2020</v>
      </c>
      <c r="BB525" s="128">
        <f>INDEX(Input!$1:$1048576,BB$93,$C525*2+6)</f>
        <v>1</v>
      </c>
      <c r="BC525" s="128">
        <f>INDEX(Input!$1:$1048576,BC$93,$C525*2+6)</f>
        <v>0.7</v>
      </c>
      <c r="BD525" s="1">
        <f>INDEX(Input!$1:$1048576,BD$93,$C525*2+6)</f>
        <v>4.4999999999999998E-2</v>
      </c>
      <c r="BE525" s="1">
        <f>INDEX(Input!$1:$1048576,BE$93,$C525*2+6)</f>
        <v>4.4999999999999998E-2</v>
      </c>
      <c r="BF525" s="1">
        <f>INDEX(Input!$1:$1048576,BF$93,$C525*2+6)</f>
        <v>0.05</v>
      </c>
      <c r="BG525" s="1">
        <f>INDEX(Input!$1:$1048576,BG$93,$C525*2+6)</f>
        <v>5.45E-2</v>
      </c>
      <c r="BH525" s="1">
        <f>INDEX(Input!$1:$1048576,BH$93,$C525*2+6)</f>
        <v>5.45E-2</v>
      </c>
      <c r="BI525" s="1">
        <f>INDEX(Input!$1:$1048576,BI$93,$C525*2+6)</f>
        <v>0.05</v>
      </c>
      <c r="BJ525" s="1">
        <f>INDEX(Input!$1:$1048576,BJ$93,$C525*2+6)</f>
        <v>0.05</v>
      </c>
      <c r="BK525" s="1">
        <f>INDEX(Input!$1:$1048576,BK$93,$C525*2+6)</f>
        <v>0.05</v>
      </c>
      <c r="BL525" s="1">
        <f>INDEX(Input!$1:$1048576,BL$93,$C525*2+6)</f>
        <v>5.5E-2</v>
      </c>
      <c r="BM525" s="1">
        <f>INDEX(Input!$1:$1048576,BM$93,$C525*2+6)</f>
        <v>0.06</v>
      </c>
      <c r="BN525" s="1">
        <f>INDEX(Input!$1:$1048576,BN$93,$C525*2+6)</f>
        <v>4.4999999999999998E-2</v>
      </c>
      <c r="BO525" s="1">
        <f>INDEX(Input!$1:$1048576,BO$93,$C525*2+6)</f>
        <v>4.4999999999999998E-2</v>
      </c>
      <c r="BP525" s="1">
        <f>INDEX(Input!$1:$1048576,BP$93,$C525*2+6)</f>
        <v>0.05</v>
      </c>
      <c r="BQ525" s="1">
        <f>INDEX(Input!$1:$1048576,BQ$93,$C525*2+6)</f>
        <v>5.45E-2</v>
      </c>
      <c r="BR525" s="1">
        <f>INDEX(Input!$1:$1048576,BR$93,$C525*2+6)</f>
        <v>5.45E-2</v>
      </c>
      <c r="BS525" s="1">
        <f>INDEX(Input!$1:$1048576,BS$93,$C525*2+6)</f>
        <v>0.05</v>
      </c>
      <c r="BT525" s="1">
        <f>INDEX(Input!$1:$1048576,BT$93,$C525*2+6)</f>
        <v>0.05</v>
      </c>
      <c r="BU525" s="1">
        <f>INDEX(Input!$1:$1048576,BU$93,$C525*2+6)</f>
        <v>0.05</v>
      </c>
      <c r="BV525" s="1">
        <f>INDEX(Input!$1:$1048576,BV$93,$C525*2+6)</f>
        <v>5.5E-2</v>
      </c>
      <c r="BW525" s="1">
        <f>INDEX(Input!$1:$1048576,BW$93,$C525*2+6)</f>
        <v>0.06</v>
      </c>
      <c r="BX525" s="127">
        <f>INDEX(Input!$1:$1048576,BX$93,$C525*2+6)</f>
        <v>19985</v>
      </c>
      <c r="BY525" s="20">
        <f>INDEX(Input!$1:$1048576,BY$93,$C525*2+6)</f>
        <v>0.1</v>
      </c>
      <c r="BZ525" s="20">
        <f>INDEX(Input!$1:$1048576,BZ$93,$C525*2+6)</f>
        <v>0.1</v>
      </c>
      <c r="CA525" s="20">
        <f>INDEX(Input!$1:$1048576,CA$93,$C525*2+6)</f>
        <v>0.1</v>
      </c>
      <c r="CB525" s="20">
        <f>INDEX(Input!$1:$1048576,CB$93,$C525*2+6)</f>
        <v>0.1</v>
      </c>
      <c r="CC525" s="20">
        <f>INDEX(Input!$1:$1048576,CC$93,$C525*2+6)</f>
        <v>0.1</v>
      </c>
      <c r="CD525" s="384">
        <f>INDEX(Input!$1:$1048576,CD$93,$C525*2+6)</f>
        <v>0.1</v>
      </c>
      <c r="CE525" s="384">
        <f>INDEX(Input!$1:$1048576,CE$93,$C525*2+6)</f>
        <v>0.1</v>
      </c>
      <c r="CF525" s="384">
        <f>INDEX(Input!$1:$1048576,CF$93,$C525*2+6)</f>
        <v>0.1</v>
      </c>
      <c r="CG525" s="384">
        <f>INDEX(Input!$1:$1048576,CG$93,$C525*2+6)</f>
        <v>0.1</v>
      </c>
      <c r="CH525" s="384">
        <f>INDEX(Input!$1:$1048576,CH$93,$C525*2+6)</f>
        <v>0.1</v>
      </c>
      <c r="CI525" s="304">
        <f t="shared" si="1397"/>
        <v>1277.4263093788063</v>
      </c>
      <c r="CJ525" s="16" t="str">
        <f>INDEX(Input!$1:$1048576,CJ$93,$C525*2+6)</f>
        <v>N</v>
      </c>
      <c r="CK525" s="1" t="str">
        <f t="shared" si="1398"/>
        <v>Market</v>
      </c>
      <c r="CL525" s="1" t="str">
        <f t="shared" si="1399"/>
        <v>Market</v>
      </c>
      <c r="CM525" s="1" t="str">
        <f t="shared" si="1400"/>
        <v>Market</v>
      </c>
      <c r="CN525" s="1" t="str">
        <f t="shared" si="1401"/>
        <v>Market</v>
      </c>
      <c r="CO525" s="1" t="str">
        <f t="shared" si="1402"/>
        <v>Market</v>
      </c>
      <c r="CP525" s="304">
        <f t="shared" si="1403"/>
        <v>500</v>
      </c>
      <c r="CQ525" s="1">
        <f t="shared" si="1404"/>
        <v>9.0000000000000011E-3</v>
      </c>
      <c r="CR525" s="1">
        <f t="shared" si="1405"/>
        <v>9.0000000000000011E-3</v>
      </c>
      <c r="CS525" s="1">
        <f t="shared" si="1406"/>
        <v>9.0000000000000011E-3</v>
      </c>
      <c r="CT525" s="1">
        <f t="shared" si="1407"/>
        <v>2.8999999999999998E-2</v>
      </c>
      <c r="CU525" s="1">
        <f t="shared" si="1408"/>
        <v>3.9E-2</v>
      </c>
      <c r="CV525" s="304">
        <f t="shared" si="1409"/>
        <v>-717.93641739252325</v>
      </c>
      <c r="CW525" s="20" t="s">
        <v>122</v>
      </c>
      <c r="CX525" s="20" t="s">
        <v>122</v>
      </c>
      <c r="CY525" s="20" t="s">
        <v>122</v>
      </c>
      <c r="CZ525" s="20" t="s">
        <v>122</v>
      </c>
      <c r="DA525" s="20" t="s">
        <v>122</v>
      </c>
      <c r="DB525" s="503">
        <f t="shared" si="1410"/>
        <v>0</v>
      </c>
      <c r="DC525" s="127">
        <v>0</v>
      </c>
      <c r="DD525" s="127">
        <v>0</v>
      </c>
      <c r="DE525" s="127">
        <v>0</v>
      </c>
      <c r="DF525" s="127">
        <v>0</v>
      </c>
      <c r="DG525" s="127">
        <v>0</v>
      </c>
      <c r="DH525" s="127">
        <v>0</v>
      </c>
      <c r="DI525" s="127">
        <v>0</v>
      </c>
      <c r="DJ525" s="127">
        <v>0</v>
      </c>
      <c r="DK525" s="127">
        <v>0</v>
      </c>
      <c r="DL525" s="127">
        <v>0</v>
      </c>
      <c r="DM525" s="304">
        <f>INDEX(Input!$1:$1048576,DM$93,$C525*2+6)</f>
        <v>21036.84210526316</v>
      </c>
      <c r="DN525" s="20">
        <v>0</v>
      </c>
      <c r="DO525" s="20">
        <v>0</v>
      </c>
      <c r="DP525" s="20">
        <v>0</v>
      </c>
      <c r="DQ525" s="20">
        <v>0</v>
      </c>
      <c r="DR525" s="20">
        <v>0</v>
      </c>
      <c r="DS525" s="20">
        <f>INDEX(Input!$1:$1048576,DS$93,$C525*2+6)</f>
        <v>0.6</v>
      </c>
      <c r="DT525" s="20">
        <f>INDEX(Input!$1:$1048576,DT$93,$C525*2+6)</f>
        <v>0.55000000000000004</v>
      </c>
      <c r="DU525" s="20">
        <f>INDEX(Input!$1:$1048576,DU$93,$C525*2+6)</f>
        <v>0.52</v>
      </c>
      <c r="DV525" s="20">
        <f>INDEX(Input!$1:$1048576,DV$93,$C525*2+6)</f>
        <v>0.5</v>
      </c>
      <c r="DW525" s="20">
        <f>INDEX(Input!$1:$1048576,DW$93,$C525*2+6)</f>
        <v>0.45</v>
      </c>
      <c r="DX525" s="20"/>
      <c r="DY525" s="7">
        <v>0.12189964193154897</v>
      </c>
      <c r="DZ525" s="7">
        <v>0</v>
      </c>
      <c r="EA525" s="7">
        <v>0.75011857239136825</v>
      </c>
      <c r="EB525" s="7">
        <v>0</v>
      </c>
      <c r="EC525" s="7">
        <v>0</v>
      </c>
      <c r="ED525" s="7">
        <v>0</v>
      </c>
      <c r="EE525" s="7">
        <v>0</v>
      </c>
      <c r="EF525" s="7">
        <v>0</v>
      </c>
      <c r="EG525" s="7">
        <v>0</v>
      </c>
      <c r="EH525" s="7">
        <v>1.3814423451259624E-2</v>
      </c>
      <c r="EI525" s="7">
        <v>3.5891533826892502E-2</v>
      </c>
      <c r="EJ525" s="7">
        <v>0.29430857901923707</v>
      </c>
      <c r="EK525" s="7">
        <v>0.4825463048273641</v>
      </c>
      <c r="EL525" s="7">
        <v>0.17343915887524644</v>
      </c>
      <c r="EM525" s="7">
        <v>5.5740006242786959E-2</v>
      </c>
      <c r="EN525" s="7">
        <v>5.8478087584975011E-2</v>
      </c>
      <c r="EO525" s="7">
        <v>0.71708180635599861</v>
      </c>
      <c r="EP525" s="7">
        <v>8.9759673065437237E-2</v>
      </c>
      <c r="EQ525" s="7">
        <v>8.8409228071860885E-2</v>
      </c>
      <c r="ER525" s="7">
        <v>4.6271204921728294E-2</v>
      </c>
      <c r="ES525" s="7">
        <v>7.2241779434295897E-2</v>
      </c>
      <c r="ET525" s="7">
        <v>0.12798178567708279</v>
      </c>
      <c r="EU525" s="6">
        <v>1270</v>
      </c>
      <c r="EV525" s="6">
        <v>0</v>
      </c>
      <c r="EW525" s="6">
        <v>1270</v>
      </c>
      <c r="EX525" s="6">
        <v>0</v>
      </c>
      <c r="EY525" s="6">
        <v>1615.9200197357757</v>
      </c>
      <c r="EZ525" s="6">
        <v>-6.4499039401316622</v>
      </c>
      <c r="FA525" s="6">
        <v>0</v>
      </c>
      <c r="FB525" s="6">
        <v>0</v>
      </c>
      <c r="FC525" s="6">
        <v>0</v>
      </c>
      <c r="FD525" s="6">
        <v>0</v>
      </c>
      <c r="FE525" s="6">
        <v>0</v>
      </c>
      <c r="FF525" s="6">
        <v>0</v>
      </c>
      <c r="FG525" s="6">
        <v>0</v>
      </c>
      <c r="FH525" s="6">
        <v>940.711678170205</v>
      </c>
      <c r="FI525" s="6">
        <v>1250.2588059868269</v>
      </c>
      <c r="FJ525" s="6">
        <v>1735.1562230702802</v>
      </c>
      <c r="FK525" s="6">
        <v>1284.9687470586853</v>
      </c>
      <c r="FL525" s="6">
        <v>907.07682140966313</v>
      </c>
      <c r="FM525" s="6">
        <v>1345.9200197357757</v>
      </c>
      <c r="FN525" s="6">
        <v>0</v>
      </c>
      <c r="FO525" s="6">
        <v>0</v>
      </c>
      <c r="FP525" s="6">
        <v>0</v>
      </c>
      <c r="FQ525" s="6">
        <v>0</v>
      </c>
      <c r="FR525" s="6">
        <v>0</v>
      </c>
      <c r="FS525" s="6">
        <v>0</v>
      </c>
      <c r="FT525" s="7">
        <v>0.87201821432291726</v>
      </c>
      <c r="FU525" s="7">
        <v>5.5740006242786959E-2</v>
      </c>
      <c r="FV525" s="7">
        <v>7.2241779434295897E-2</v>
      </c>
      <c r="FW525" s="6">
        <v>1270</v>
      </c>
      <c r="FX525" s="6">
        <v>1615.9200197357757</v>
      </c>
      <c r="FY525" s="6">
        <v>-6.4499039401316622</v>
      </c>
      <c r="FZ525" s="6">
        <v>1758.1538569113241</v>
      </c>
      <c r="GA525" s="6">
        <v>1197.0685716402061</v>
      </c>
      <c r="GB525" s="6">
        <v>18787.931428359792</v>
      </c>
      <c r="GC525" s="7">
        <v>3.064145122680037E-2</v>
      </c>
      <c r="GD525" s="7">
        <v>2.9156931350332288E-2</v>
      </c>
      <c r="GE525" s="7"/>
      <c r="GF525" s="7"/>
      <c r="GG525" s="7">
        <v>-4.8448092927454278E-2</v>
      </c>
      <c r="GH525" s="42">
        <v>1.7256469962268211</v>
      </c>
      <c r="GI525" s="6">
        <v>12778.232067823265</v>
      </c>
      <c r="GJ525" s="14">
        <v>0.50394797582841733</v>
      </c>
      <c r="GK525" s="14">
        <v>0.50887573065309721</v>
      </c>
      <c r="GL525" s="14">
        <v>0.49605202417158278</v>
      </c>
      <c r="GM525" s="14">
        <v>0.49112426934690245</v>
      </c>
      <c r="GO525" s="5">
        <v>343.14810671672558</v>
      </c>
      <c r="GP525" s="5">
        <v>318.91892952659737</v>
      </c>
      <c r="GQ525" s="5">
        <v>535.04305713031317</v>
      </c>
      <c r="GR525" s="5">
        <v>410.15490233172511</v>
      </c>
      <c r="GS525" s="5">
        <v>339.42744393800166</v>
      </c>
      <c r="GT525" s="5">
        <v>293.4407446948278</v>
      </c>
      <c r="GU525" s="5">
        <v>258.04012322764959</v>
      </c>
      <c r="GV525" s="39" t="s">
        <v>392</v>
      </c>
      <c r="GW525" s="5">
        <v>498.98309634060678</v>
      </c>
      <c r="GX525" s="5">
        <v>375.91567668562675</v>
      </c>
      <c r="GY525" s="5">
        <v>302.07920908968697</v>
      </c>
      <c r="GZ525" s="5">
        <v>268.3868982438774</v>
      </c>
      <c r="HA525" s="5">
        <v>241.34874471337258</v>
      </c>
      <c r="HB525" s="39">
        <v>280.65828608247671</v>
      </c>
      <c r="HC525" s="5">
        <v>287.56655829738071</v>
      </c>
      <c r="HD525" s="5">
        <v>239.99799238008356</v>
      </c>
      <c r="HE525" s="5">
        <v>241.14168635502031</v>
      </c>
      <c r="HF525" s="5">
        <v>221.05790951107167</v>
      </c>
      <c r="HG525" s="5">
        <v>210.75500473779988</v>
      </c>
      <c r="HH525" s="39">
        <v>239.85478236157806</v>
      </c>
      <c r="HI525" s="16"/>
      <c r="HJ525" s="19" t="str">
        <f t="shared" si="1507"/>
        <v>On</v>
      </c>
      <c r="HK525" s="1" t="str">
        <f t="shared" si="1507"/>
        <v>On</v>
      </c>
      <c r="HL525" s="16"/>
      <c r="HM525" s="639">
        <f t="shared" si="1413"/>
        <v>2.4909940070666322E-2</v>
      </c>
      <c r="HN525" s="639">
        <f t="shared" si="1414"/>
        <v>2.2052381276269151E-3</v>
      </c>
      <c r="HO525" s="639">
        <f t="shared" si="1415"/>
        <v>2.079866082302006E-3</v>
      </c>
      <c r="HP525" s="644">
        <f>(FT525*$GD525-HM525)/$JF525*INDEX(Input!$1:$1048576,$JG$93,$C525*2+6)</f>
        <v>14.494660338728739</v>
      </c>
      <c r="HQ525" s="644">
        <f>(FU525*$GD525-HN525)/$JF525*INDEX(Input!$1:$1048576,$JG$93,$C525*2+6)</f>
        <v>-16.311162660662131</v>
      </c>
      <c r="HR525" s="644">
        <f>(FV525*$GD525-HO525)/$JF525*INDEX(Input!$1:$1048576,$JG$93,$C525*2+6)</f>
        <v>0.74472056866233527</v>
      </c>
      <c r="HS525" s="644">
        <f t="shared" si="1416"/>
        <v>-1.3041278531895129</v>
      </c>
      <c r="HT525" s="644">
        <f t="shared" si="1417"/>
        <v>-21.949056803401838</v>
      </c>
      <c r="HU525" s="644">
        <f t="shared" si="1418"/>
        <v>8.7109994462979207E-2</v>
      </c>
      <c r="HV525" s="648">
        <f t="shared" si="1419"/>
        <v>0</v>
      </c>
      <c r="HW525" s="648">
        <f t="shared" si="1420"/>
        <v>0</v>
      </c>
      <c r="HX525" s="648">
        <f t="shared" si="1421"/>
        <v>0</v>
      </c>
      <c r="HY525" s="644">
        <f>INDEX(Input!$1:$1048576,HY$93,$C525*2+6)*INDEX(Input!$1:$1048576,$JG$93,$C525*2+6)</f>
        <v>333.00000000000006</v>
      </c>
      <c r="HZ525" s="644">
        <f>INDEX(Input!$1:$1048576,HZ$93,$C525*2+6)*INDEX(Input!$1:$1048576,$JG$93,$C525*2+6)</f>
        <v>429</v>
      </c>
      <c r="IA525" s="644">
        <f>INDEX(Input!$1:$1048576,IA$93,$C525*2+6)*INDEX(Input!$1:$1048576,$JG$93,$C525*2+6)</f>
        <v>59</v>
      </c>
      <c r="IB525" s="644">
        <f t="shared" si="1445"/>
        <v>346.19053248553928</v>
      </c>
      <c r="IC525" s="644">
        <f t="shared" si="1446"/>
        <v>390.73978053593601</v>
      </c>
      <c r="ID525" s="644">
        <f>IF(AND(INDEX(Input!$1:$1048576,IA$93,$C525*2+7)="TOS",Y525&lt;=INDEX(Y:Y,MATCH(C525*1000+2,A:A))),0,1)*MAX(IA525+HR525+HU525+HX525,0%)</f>
        <v>59.831830563125315</v>
      </c>
      <c r="IE525" s="128">
        <f t="shared" si="1508"/>
        <v>0.43449671306927573</v>
      </c>
      <c r="IF525" s="128">
        <f t="shared" si="1468"/>
        <v>0.49040957038698346</v>
      </c>
      <c r="IG525" s="128">
        <f t="shared" si="1423"/>
        <v>7.5093716543740807E-2</v>
      </c>
      <c r="IH525" s="21"/>
      <c r="II525" s="19">
        <f t="shared" si="1424"/>
        <v>1240</v>
      </c>
      <c r="IJ525" s="19">
        <f t="shared" si="1425"/>
        <v>1985.7442651839444</v>
      </c>
      <c r="IK525" s="19">
        <f t="shared" si="1426"/>
        <v>-21.44990394013189</v>
      </c>
      <c r="IL525" s="19">
        <f t="shared" si="1448"/>
        <v>30</v>
      </c>
      <c r="IM525" s="19">
        <f t="shared" si="1427"/>
        <v>-369.82424544816877</v>
      </c>
      <c r="IN525" s="19">
        <f t="shared" si="1428"/>
        <v>15.000000000000227</v>
      </c>
      <c r="IO525" s="39">
        <f t="shared" si="1429"/>
        <v>0</v>
      </c>
      <c r="IP525" s="39">
        <f t="shared" si="1430"/>
        <v>0</v>
      </c>
      <c r="IQ525" s="39">
        <f t="shared" si="1431"/>
        <v>0</v>
      </c>
      <c r="IR525" s="39">
        <v>0</v>
      </c>
      <c r="IS525" s="39">
        <v>0</v>
      </c>
      <c r="IT525" s="39">
        <v>0</v>
      </c>
      <c r="IU525" s="39">
        <v>0</v>
      </c>
      <c r="IV525" s="39">
        <v>0</v>
      </c>
      <c r="IW525" s="39">
        <v>0</v>
      </c>
      <c r="IX525" s="39">
        <f>INDEX(Input!$1:$1048576,IX$93,$C525*2+6)+INDEX(Input!$1:$1048576,IX$94,$C525*2+6)</f>
        <v>1270</v>
      </c>
      <c r="IY525" s="39">
        <f>INDEX(Input!$1:$1048576,IY$93,$C525*2+6)+INDEX(Input!$1:$1048576,IY$94,$C525*2+6)</f>
        <v>2130.0624533823611</v>
      </c>
      <c r="IZ525" s="39">
        <f>INDEX(Input!$1:$1048576,IZ$93,$C525*2+6)+INDEX(Input!$1:$1048576,IZ$94,$C525*2+6)</f>
        <v>3653.7164157747857</v>
      </c>
      <c r="JA525" s="19">
        <f t="shared" si="1449"/>
        <v>1300</v>
      </c>
      <c r="JB525" s="19">
        <f t="shared" si="1450"/>
        <v>1760.2382079341924</v>
      </c>
      <c r="JC525" s="19">
        <f t="shared" si="1451"/>
        <v>3668.7164157747857</v>
      </c>
      <c r="JD525" s="19">
        <f t="shared" si="1452"/>
        <v>1703.58094092738</v>
      </c>
      <c r="JE525" s="21"/>
      <c r="JF525" s="1">
        <f t="shared" si="1432"/>
        <v>2.9195044280595241E-2</v>
      </c>
      <c r="JG525" s="15">
        <f>INDEX(Input!$1:$1048576,JG$93,$C525*2+6)/(1+VLOOKUP(C525*1000+INDEX(Input!$1:$1048576,JG$93+1,$C525*2+6),$A:$KK,$JK$92,FALSE))</f>
        <v>821</v>
      </c>
      <c r="JH525" s="1">
        <f t="shared" si="1453"/>
        <v>-1.3054588955798497E-3</v>
      </c>
      <c r="JI525" s="1">
        <f t="shared" si="1454"/>
        <v>-2.8216899710265985E-2</v>
      </c>
      <c r="JJ525" s="1">
        <f t="shared" si="1492"/>
        <v>0</v>
      </c>
      <c r="JK525" s="1">
        <f t="shared" si="1496"/>
        <v>-2.9522358605845834E-2</v>
      </c>
      <c r="JL525" s="15">
        <f t="shared" si="1457"/>
        <v>-24.237856415399431</v>
      </c>
      <c r="JM525" s="15">
        <f t="shared" si="1483"/>
        <v>796.76214358460061</v>
      </c>
      <c r="JN525" s="21"/>
      <c r="JO525" s="19">
        <f>INDEX(Input!$1:$1048576,JO$93,$C525*2+6)</f>
        <v>5995.5</v>
      </c>
      <c r="JP525" s="19">
        <f>INDEX(Input!$1:$1048576,JP$93,$C525*2+6)</f>
        <v>1890.7138380411029</v>
      </c>
      <c r="JQ525" s="39">
        <f t="shared" si="1469"/>
        <v>4291.9190590726203</v>
      </c>
      <c r="JR525" s="39">
        <f t="shared" si="1486"/>
        <v>-187.13289711372295</v>
      </c>
      <c r="JS525" s="39">
        <f t="shared" si="1471"/>
        <v>1.3573488022631701</v>
      </c>
      <c r="JT525" s="39">
        <f t="shared" si="1459"/>
        <v>-0.1949272587685755</v>
      </c>
      <c r="JU525" s="385">
        <f>(JQ525*JM525-INDEX(Input!$1:$1048576,Input!A$18,$C525*2+6)*JL525*INDEX(Input!$1:$1048576,Input!A$19,$C525*2+6))/1000000</f>
        <v>3.4196386295983032</v>
      </c>
      <c r="JV525" s="39">
        <f t="shared" si="1493"/>
        <v>4.9609190630048872E-2</v>
      </c>
      <c r="JW525" s="1">
        <f t="shared" si="1484"/>
        <v>1.4720699486007127E-2</v>
      </c>
      <c r="JX525" s="19">
        <f t="shared" si="1475"/>
        <v>8042.2647707711139</v>
      </c>
      <c r="JZ525" s="341"/>
      <c r="KA525" s="342"/>
      <c r="KB525" s="469">
        <f t="shared" si="1472"/>
        <v>2.5122967434604799</v>
      </c>
      <c r="KI525" s="473">
        <f t="shared" si="1499"/>
        <v>13.190532485539222</v>
      </c>
      <c r="KJ525" s="473">
        <f t="shared" si="1500"/>
        <v>-38.260219464063994</v>
      </c>
      <c r="KK525" s="473">
        <f t="shared" si="1461"/>
        <v>0.83183056312530823</v>
      </c>
      <c r="KN525" s="544">
        <f t="shared" si="1476"/>
        <v>5002</v>
      </c>
      <c r="KO525" s="541">
        <f t="shared" si="1436"/>
        <v>-3.3457769216567401E-2</v>
      </c>
      <c r="KP525" s="546">
        <f t="shared" si="1437"/>
        <v>-196.07835879187266</v>
      </c>
      <c r="KQ525" s="546">
        <f t="shared" si="1438"/>
        <v>-215.33782479588649</v>
      </c>
      <c r="KR525" s="548">
        <f t="shared" si="1439"/>
        <v>3.0827001016761075</v>
      </c>
      <c r="KS525" s="548">
        <f t="shared" si="1440"/>
        <v>2.8069884013973598</v>
      </c>
      <c r="KT525" s="473">
        <f t="shared" si="1474"/>
        <v>595.94378802984284</v>
      </c>
      <c r="KU525" s="663">
        <f t="shared" si="1462"/>
        <v>3.9531403696176244</v>
      </c>
      <c r="KV525" s="117"/>
    </row>
    <row r="526" spans="1:308" s="26" customFormat="1" ht="15">
      <c r="A526" s="561">
        <f t="shared" si="1441"/>
        <v>5026</v>
      </c>
      <c r="B526" s="561">
        <f t="shared" si="1463"/>
        <v>26</v>
      </c>
      <c r="C526" s="561">
        <f t="shared" si="1464"/>
        <v>5</v>
      </c>
      <c r="D526" s="561" t="str">
        <f t="shared" si="1509"/>
        <v xml:space="preserve">1.9/2.9/3.9/3.9, </v>
      </c>
      <c r="E526" s="475">
        <f>INDEX(Input!$1:$1048576,E$93,$C526*2+MIN($B526,2)+5)
+INDEX(Scenarios!E$121:E$200,MATCH($B526,Scenarios!$B$121:$B$200,0))</f>
        <v>1277.4263093788063</v>
      </c>
      <c r="F526" s="475">
        <f>INDEX(Input!$1:$1048576,F$93,$C526*2+MIN($B526,2)+5)
+INDEX(Scenarios!F$121:F$200,MATCH($B526,Scenarios!$B$121:$B$200,0))</f>
        <v>0</v>
      </c>
      <c r="G526" s="475">
        <f>INDEX(Input!$1:$1048576,G$93,$C526*2+MIN($B526,2)+5)
+INDEX(Scenarios!G$121:G$200,MATCH($B526,Scenarios!$B$121:$B$200,0))</f>
        <v>0</v>
      </c>
      <c r="H526" s="475">
        <f>INDEX(Input!$1:$1048576,H$93,$C526*2+MIN($B526,2)+5)
+INDEX(Scenarios!H$121:H$200,MATCH($B526,Scenarios!$B$121:$B$200,0))</f>
        <v>0</v>
      </c>
      <c r="I526" s="476">
        <f>INDEX(Input!$1:$1048576,I$93,$C526*2+MIN($B526,2)+5)</f>
        <v>0.7</v>
      </c>
      <c r="J526" s="476" t="str">
        <f>INDEX(Input!$1:$1048576,J$93,$C526*2+MIN($B526,2)+5)</f>
        <v>Market</v>
      </c>
      <c r="K526" s="476" t="str">
        <f>INDEX(Input!$1:$1048576,K$93,$C526*2+MIN($B526,2)+5)</f>
        <v>Market</v>
      </c>
      <c r="L526" s="476" t="str">
        <f>INDEX(Input!$1:$1048576,L$93,$C526*2+MIN($B526,2)+5)</f>
        <v>Market</v>
      </c>
      <c r="M526" s="476" t="str">
        <f>INDEX(Input!$1:$1048576,M$93,$C526*2+MIN($B526,2)+5)</f>
        <v>Market</v>
      </c>
      <c r="N526" s="476" t="str">
        <f>INDEX(Input!$1:$1048576,N$93,$C526*2+MIN($B526,2)+5)</f>
        <v>Market</v>
      </c>
      <c r="O526" s="476" t="str">
        <f>INDEX(Input!$1:$1048576,O$93,$C526*2+MIN($B526,2)+5)</f>
        <v>Market</v>
      </c>
      <c r="P526" s="476" t="str">
        <f>INDEX(Input!$1:$1048576,P$93,$C526*2+MIN($B526,2)+5)</f>
        <v>N</v>
      </c>
      <c r="Q526" s="477">
        <f>INDEX(Input!$1:$1048576,Q$93,$C526*2+MIN($B526,2)+5)
+INDEX(Scenarios!Q$121:Q$200,MATCH($B526,Scenarios!$B$121:$B$200,0))</f>
        <v>0</v>
      </c>
      <c r="R526" s="478">
        <f>IFERROR(MAX(0,INDEX(Input!$1:$1048576,R$93,$C526*2+MIN($B526,2)+5)
+INDEX(Scenarios!R$121:R$200,MATCH($B526,Scenarios!$B$121:$B$200,0)),),"Market")</f>
        <v>1.9E-2</v>
      </c>
      <c r="S526" s="478">
        <f>IFERROR(MAX(0,INDEX(Input!$1:$1048576,S$93,$C526*2+MIN($B526,2)+5)
+INDEX(Scenarios!S$121:S$200,MATCH($B526,Scenarios!$B$121:$B$200,0)),),"Market")</f>
        <v>1.9E-2</v>
      </c>
      <c r="T526" s="478">
        <f>IFERROR(MAX(0,INDEX(Input!$1:$1048576,T$93,$C526*2+MIN($B526,2)+5)
+INDEX(Scenarios!T$121:T$200,MATCH($B526,Scenarios!$B$121:$B$200,0)),),"Market")</f>
        <v>1.9E-2</v>
      </c>
      <c r="U526" s="478">
        <f>IFERROR(MAX(0,INDEX(Input!$1:$1048576,U$93,$C526*2+MIN($B526,2)+5)
+INDEX(Scenarios!U$121:U$200,MATCH($B526,Scenarios!$B$121:$B$200,0)),),"Market")</f>
        <v>1.9E-2</v>
      </c>
      <c r="V526" s="478">
        <f>IFERROR(MAX(0,INDEX(Input!$1:$1048576,V$93,$C526*2+MIN($B526,2)+5)
+INDEX(Scenarios!V$121:V$200,MATCH($B526,Scenarios!$B$121:$B$200,0)),),"Market")</f>
        <v>3.9E-2</v>
      </c>
      <c r="W526" s="885">
        <f>IFERROR(MAX(0,INDEX(Input!$1:$1048576,W$93,$C526*2+MIN($B526,2)+5)-0%,),"Market")</f>
        <v>3.9E-2</v>
      </c>
      <c r="X526" s="476" t="str">
        <f>INDEX(Input!$1:$1048576,X$93,$C526*2+MIN($B526,2)+5)</f>
        <v>Y</v>
      </c>
      <c r="Y526" s="475">
        <f>INDEX(Input!$1:$1048576,Y$93,$C526*2+MIN($B526,2)+5)
++INDEX(Scenarios!Y$121:Y$200,MATCH($B526,Scenarios!$B$121:$B$200,0))</f>
        <v>-717.93641739252325</v>
      </c>
      <c r="Z526" s="477">
        <f>INDEX(Input!$1:$1048576,Z$93,$C526*2+MIN($B526,2)+5)
+INDEX(Scenarios!Z$121:Z$200,MATCH($B526,Scenarios!$B$121:$B$200,0))</f>
        <v>0</v>
      </c>
      <c r="AA526" s="475">
        <f>INDEX(Input!$1:$1048576,AA$93,$C526*2+MIN($B526,2)+5)
+INDEX(Scenarios!AA$121:AA$200,MATCH($B526,Scenarios!$B$121:$B$200,0))</f>
        <v>0</v>
      </c>
      <c r="AB526" s="476">
        <f>INDEX(Input!$1:$1048576,AB$93,$C526*2+MIN($B526,2)+5)</f>
        <v>0.27</v>
      </c>
      <c r="AC526" s="475">
        <f>INDEX(Input!$1:$1048576,AC$93,$C526*2+MIN($B526,2)+5)
+INDEX(Scenarios!AC$121:AC$200,MATCH($B526,Scenarios!$B$121:$B$200,0))</f>
        <v>0</v>
      </c>
      <c r="AD526" s="476">
        <f>INDEX(Input!$1:$1048576,AD$93,$C526*2+MIN($B526,2)+5)</f>
        <v>0.27</v>
      </c>
      <c r="AE526" s="475">
        <f>INDEX(Input!$1:$1048576,AE$93,$C526*2+MIN($B526,2)+5)
+INDEX(Scenarios!AE$121:AE$200,MATCH($B526,Scenarios!$B$121:$B$200,0))</f>
        <v>0</v>
      </c>
      <c r="AF526" s="476">
        <f>INDEX(Input!$1:$1048576,AF$93,$C526*2+MIN($B526,2)+5)</f>
        <v>0.2</v>
      </c>
      <c r="AG526" s="475">
        <f>INDEX(Input!$1:$1048576,AG$93,$C526*2+MIN($B526,2)+5)
+INDEX(Scenarios!AG$121:AG$200,MATCH($B526,Scenarios!$B$121:$B$200,0))</f>
        <v>500</v>
      </c>
      <c r="AH526" s="476">
        <f>INDEX(Input!$1:$1048576,AH$93,$C526*2+MIN($B526,2)+5)</f>
        <v>1</v>
      </c>
      <c r="AI526" s="475">
        <f>INDEX(Input!$1:$1048576,AI$93,$C526*2+MIN($B526,2)+5)
+INDEX(Scenarios!AI$121:AI$200,MATCH($B526,Scenarios!$B$121:$B$200,0))</f>
        <v>0</v>
      </c>
      <c r="AJ526" s="476">
        <f>INDEX(Input!$1:$1048576,AJ$93,$C526*2+MIN($B526,2)+5)</f>
        <v>0.27</v>
      </c>
      <c r="AK526" s="150">
        <f>ROUND(INDEX(Input!$1:$1048576,AK$93,$C525*2+MIN($B526,1)+5)+(Y526-VLOOKUP($C526*1000+1,$A:$HH,Y$92,FALSE)),0)</f>
        <v>2587</v>
      </c>
      <c r="AL526" s="150">
        <f>ROUND(INDEX(Input!$1:$1048576,AL$93,$C525*2+MIN($B526,1)+5)-(Y526-VLOOKUP($C526*1000+1,$A:$HH,Y$92,FALSE))/36,0)</f>
        <v>3406</v>
      </c>
      <c r="AM526" s="32" t="str">
        <f t="shared" si="1442"/>
        <v>std/std/std/std</v>
      </c>
      <c r="AN526" s="32" t="str">
        <f t="shared" si="1443"/>
        <v>$0 + 1.9/1.9/1.9/3.9/3.9</v>
      </c>
      <c r="AO526" s="32" t="str">
        <f t="shared" si="1444"/>
        <v>1.9/1.9/1.9/3.9/3.9</v>
      </c>
      <c r="AP526" s="32" t="str">
        <f t="shared" si="1396"/>
        <v>1.9/2.9/3.9/3.9</v>
      </c>
      <c r="AQ526" s="536">
        <f t="shared" si="1394"/>
        <v>0.46072232631194637</v>
      </c>
      <c r="AR526" s="32"/>
      <c r="AS526" s="302"/>
      <c r="AT526" s="3">
        <f t="shared" si="1465"/>
        <v>26</v>
      </c>
      <c r="AU526" s="41" t="s">
        <v>121</v>
      </c>
      <c r="AV526" s="41" t="s">
        <v>116</v>
      </c>
      <c r="AW526" s="41" t="str">
        <f>INDEX(Input!$1:$1048576,AW$93,$C526*2+6)</f>
        <v>Kia</v>
      </c>
      <c r="AX526" s="41" t="str">
        <f>INDEX(Input!$1:$1048576,AX$93,$C526*2+6)</f>
        <v>Kia-LR - R2</v>
      </c>
      <c r="AY526" s="41" t="str">
        <f>IF(LEN(D526)=0,"",INDEX(Input!$1:$1048576,AY$93,$C526*2+6))</f>
        <v>Compact SUV (52)</v>
      </c>
      <c r="AZ526" s="41" t="str">
        <f>INDEX(Input!$1:$1048576,AZ$93,$C526*2+6)</f>
        <v>Kia Soul</v>
      </c>
      <c r="BA526" s="3">
        <f>INDEX(Input!$1:$1048576,BA$93,$C526*2+6)</f>
        <v>2020</v>
      </c>
      <c r="BB526" s="128">
        <f>INDEX(Input!$1:$1048576,BB$93,$C526*2+6)</f>
        <v>1</v>
      </c>
      <c r="BC526" s="128">
        <f>INDEX(Input!$1:$1048576,BC$93,$C526*2+6)</f>
        <v>0.7</v>
      </c>
      <c r="BD526" s="1">
        <f>INDEX(Input!$1:$1048576,BD$93,$C526*2+6)</f>
        <v>4.4999999999999998E-2</v>
      </c>
      <c r="BE526" s="1">
        <f>INDEX(Input!$1:$1048576,BE$93,$C526*2+6)</f>
        <v>4.4999999999999998E-2</v>
      </c>
      <c r="BF526" s="1">
        <f>INDEX(Input!$1:$1048576,BF$93,$C526*2+6)</f>
        <v>0.05</v>
      </c>
      <c r="BG526" s="1">
        <f>INDEX(Input!$1:$1048576,BG$93,$C526*2+6)</f>
        <v>5.45E-2</v>
      </c>
      <c r="BH526" s="1">
        <f>INDEX(Input!$1:$1048576,BH$93,$C526*2+6)</f>
        <v>5.45E-2</v>
      </c>
      <c r="BI526" s="1">
        <f>INDEX(Input!$1:$1048576,BI$93,$C526*2+6)</f>
        <v>0.05</v>
      </c>
      <c r="BJ526" s="1">
        <f>INDEX(Input!$1:$1048576,BJ$93,$C526*2+6)</f>
        <v>0.05</v>
      </c>
      <c r="BK526" s="1">
        <f>INDEX(Input!$1:$1048576,BK$93,$C526*2+6)</f>
        <v>0.05</v>
      </c>
      <c r="BL526" s="1">
        <f>INDEX(Input!$1:$1048576,BL$93,$C526*2+6)</f>
        <v>5.5E-2</v>
      </c>
      <c r="BM526" s="1">
        <f>INDEX(Input!$1:$1048576,BM$93,$C526*2+6)</f>
        <v>0.06</v>
      </c>
      <c r="BN526" s="1">
        <f>INDEX(Input!$1:$1048576,BN$93,$C526*2+6)</f>
        <v>4.4999999999999998E-2</v>
      </c>
      <c r="BO526" s="1">
        <f>INDEX(Input!$1:$1048576,BO$93,$C526*2+6)</f>
        <v>4.4999999999999998E-2</v>
      </c>
      <c r="BP526" s="1">
        <f>INDEX(Input!$1:$1048576,BP$93,$C526*2+6)</f>
        <v>0.05</v>
      </c>
      <c r="BQ526" s="1">
        <f>INDEX(Input!$1:$1048576,BQ$93,$C526*2+6)</f>
        <v>5.45E-2</v>
      </c>
      <c r="BR526" s="1">
        <f>INDEX(Input!$1:$1048576,BR$93,$C526*2+6)</f>
        <v>5.45E-2</v>
      </c>
      <c r="BS526" s="1">
        <f>INDEX(Input!$1:$1048576,BS$93,$C526*2+6)</f>
        <v>0.05</v>
      </c>
      <c r="BT526" s="1">
        <f>INDEX(Input!$1:$1048576,BT$93,$C526*2+6)</f>
        <v>0.05</v>
      </c>
      <c r="BU526" s="1">
        <f>INDEX(Input!$1:$1048576,BU$93,$C526*2+6)</f>
        <v>0.05</v>
      </c>
      <c r="BV526" s="1">
        <f>INDEX(Input!$1:$1048576,BV$93,$C526*2+6)</f>
        <v>5.5E-2</v>
      </c>
      <c r="BW526" s="1">
        <f>INDEX(Input!$1:$1048576,BW$93,$C526*2+6)</f>
        <v>0.06</v>
      </c>
      <c r="BX526" s="127">
        <f>INDEX(Input!$1:$1048576,BX$93,$C526*2+6)</f>
        <v>19985</v>
      </c>
      <c r="BY526" s="20">
        <f>INDEX(Input!$1:$1048576,BY$93,$C526*2+6)</f>
        <v>0.1</v>
      </c>
      <c r="BZ526" s="20">
        <f>INDEX(Input!$1:$1048576,BZ$93,$C526*2+6)</f>
        <v>0.1</v>
      </c>
      <c r="CA526" s="20">
        <f>INDEX(Input!$1:$1048576,CA$93,$C526*2+6)</f>
        <v>0.1</v>
      </c>
      <c r="CB526" s="20">
        <f>INDEX(Input!$1:$1048576,CB$93,$C526*2+6)</f>
        <v>0.1</v>
      </c>
      <c r="CC526" s="20">
        <f>INDEX(Input!$1:$1048576,CC$93,$C526*2+6)</f>
        <v>0.1</v>
      </c>
      <c r="CD526" s="384">
        <f>INDEX(Input!$1:$1048576,CD$93,$C526*2+6)</f>
        <v>0.1</v>
      </c>
      <c r="CE526" s="384">
        <f>INDEX(Input!$1:$1048576,CE$93,$C526*2+6)</f>
        <v>0.1</v>
      </c>
      <c r="CF526" s="384">
        <f>INDEX(Input!$1:$1048576,CF$93,$C526*2+6)</f>
        <v>0.1</v>
      </c>
      <c r="CG526" s="384">
        <f>INDEX(Input!$1:$1048576,CG$93,$C526*2+6)</f>
        <v>0.1</v>
      </c>
      <c r="CH526" s="384">
        <f>INDEX(Input!$1:$1048576,CH$93,$C526*2+6)</f>
        <v>0.1</v>
      </c>
      <c r="CI526" s="304">
        <f t="shared" si="1397"/>
        <v>1277.4263093788063</v>
      </c>
      <c r="CJ526" s="16" t="str">
        <f>INDEX(Input!$1:$1048576,CJ$93,$C526*2+6)</f>
        <v>N</v>
      </c>
      <c r="CK526" s="1" t="str">
        <f t="shared" si="1398"/>
        <v>Market</v>
      </c>
      <c r="CL526" s="1" t="str">
        <f t="shared" si="1399"/>
        <v>Market</v>
      </c>
      <c r="CM526" s="1" t="str">
        <f t="shared" si="1400"/>
        <v>Market</v>
      </c>
      <c r="CN526" s="1" t="str">
        <f t="shared" si="1401"/>
        <v>Market</v>
      </c>
      <c r="CO526" s="1" t="str">
        <f t="shared" si="1402"/>
        <v>Market</v>
      </c>
      <c r="CP526" s="304">
        <f t="shared" si="1403"/>
        <v>500</v>
      </c>
      <c r="CQ526" s="1">
        <f t="shared" si="1404"/>
        <v>1.9E-2</v>
      </c>
      <c r="CR526" s="1">
        <f t="shared" si="1405"/>
        <v>1.9E-2</v>
      </c>
      <c r="CS526" s="1">
        <f t="shared" si="1406"/>
        <v>1.9E-2</v>
      </c>
      <c r="CT526" s="1">
        <f t="shared" si="1407"/>
        <v>3.9E-2</v>
      </c>
      <c r="CU526" s="1">
        <f t="shared" si="1408"/>
        <v>3.9E-2</v>
      </c>
      <c r="CV526" s="304">
        <f t="shared" si="1409"/>
        <v>-717.93641739252325</v>
      </c>
      <c r="CW526" s="20" t="s">
        <v>122</v>
      </c>
      <c r="CX526" s="20" t="s">
        <v>122</v>
      </c>
      <c r="CY526" s="20" t="s">
        <v>122</v>
      </c>
      <c r="CZ526" s="20" t="s">
        <v>122</v>
      </c>
      <c r="DA526" s="20" t="s">
        <v>122</v>
      </c>
      <c r="DB526" s="503">
        <f t="shared" si="1410"/>
        <v>0</v>
      </c>
      <c r="DC526" s="127">
        <v>0</v>
      </c>
      <c r="DD526" s="127">
        <v>0</v>
      </c>
      <c r="DE526" s="127">
        <v>0</v>
      </c>
      <c r="DF526" s="127">
        <v>0</v>
      </c>
      <c r="DG526" s="127">
        <v>0</v>
      </c>
      <c r="DH526" s="127">
        <v>0</v>
      </c>
      <c r="DI526" s="127">
        <v>0</v>
      </c>
      <c r="DJ526" s="127">
        <v>0</v>
      </c>
      <c r="DK526" s="127">
        <v>0</v>
      </c>
      <c r="DL526" s="127">
        <v>0</v>
      </c>
      <c r="DM526" s="304">
        <f>INDEX(Input!$1:$1048576,DM$93,$C526*2+6)</f>
        <v>21036.84210526316</v>
      </c>
      <c r="DN526" s="20">
        <v>0</v>
      </c>
      <c r="DO526" s="20">
        <v>0</v>
      </c>
      <c r="DP526" s="20">
        <v>0</v>
      </c>
      <c r="DQ526" s="20">
        <v>0</v>
      </c>
      <c r="DR526" s="20">
        <v>0</v>
      </c>
      <c r="DS526" s="20">
        <f>INDEX(Input!$1:$1048576,DS$93,$C526*2+6)</f>
        <v>0.6</v>
      </c>
      <c r="DT526" s="20">
        <f>INDEX(Input!$1:$1048576,DT$93,$C526*2+6)</f>
        <v>0.55000000000000004</v>
      </c>
      <c r="DU526" s="20">
        <f>INDEX(Input!$1:$1048576,DU$93,$C526*2+6)</f>
        <v>0.52</v>
      </c>
      <c r="DV526" s="20">
        <f>INDEX(Input!$1:$1048576,DV$93,$C526*2+6)</f>
        <v>0.5</v>
      </c>
      <c r="DW526" s="20">
        <f>INDEX(Input!$1:$1048576,DW$93,$C526*2+6)</f>
        <v>0.45</v>
      </c>
      <c r="DX526" s="20"/>
      <c r="DY526" s="7">
        <v>0.12420763563813608</v>
      </c>
      <c r="DZ526" s="7">
        <v>0</v>
      </c>
      <c r="EA526" s="7">
        <v>0.7626067885354455</v>
      </c>
      <c r="EB526" s="7">
        <v>0</v>
      </c>
      <c r="EC526" s="7">
        <v>0</v>
      </c>
      <c r="ED526" s="7">
        <v>0</v>
      </c>
      <c r="EE526" s="7">
        <v>0</v>
      </c>
      <c r="EF526" s="7">
        <v>0</v>
      </c>
      <c r="EG526" s="7">
        <v>0</v>
      </c>
      <c r="EH526" s="7">
        <v>1.5630338323785638E-2</v>
      </c>
      <c r="EI526" s="7">
        <v>3.7690801787001599E-2</v>
      </c>
      <c r="EJ526" s="7">
        <v>0.29316192593382862</v>
      </c>
      <c r="EK526" s="7">
        <v>0.40447975284107907</v>
      </c>
      <c r="EL526" s="7">
        <v>0.24903718111430459</v>
      </c>
      <c r="EM526" s="7">
        <v>3.9568518966700023E-2</v>
      </c>
      <c r="EN526" s="7">
        <v>5.8484018298188743E-2</v>
      </c>
      <c r="EO526" s="7">
        <v>0.71711478904544645</v>
      </c>
      <c r="EP526" s="7">
        <v>8.9732709839574251E-2</v>
      </c>
      <c r="EQ526" s="7">
        <v>8.8396562450858723E-2</v>
      </c>
      <c r="ER526" s="7">
        <v>4.6271920365931668E-2</v>
      </c>
      <c r="ES526" s="7">
        <v>7.361705685971838E-2</v>
      </c>
      <c r="ET526" s="7">
        <v>0.1131855758264184</v>
      </c>
      <c r="EU526" s="6">
        <v>1270</v>
      </c>
      <c r="EV526" s="6">
        <v>0</v>
      </c>
      <c r="EW526" s="6">
        <v>1270</v>
      </c>
      <c r="EX526" s="6">
        <v>0</v>
      </c>
      <c r="EY526" s="6">
        <v>1247.1737619070313</v>
      </c>
      <c r="EZ526" s="6">
        <v>-6.4499039401316622</v>
      </c>
      <c r="FA526" s="6">
        <v>0</v>
      </c>
      <c r="FB526" s="6">
        <v>0</v>
      </c>
      <c r="FC526" s="6">
        <v>0</v>
      </c>
      <c r="FD526" s="6">
        <v>0</v>
      </c>
      <c r="FE526" s="6">
        <v>0</v>
      </c>
      <c r="FF526" s="6">
        <v>0</v>
      </c>
      <c r="FG526" s="6">
        <v>0</v>
      </c>
      <c r="FH526" s="6">
        <v>681.7553671933332</v>
      </c>
      <c r="FI526" s="6">
        <v>908.63567840587177</v>
      </c>
      <c r="FJ526" s="6">
        <v>1322.1514264406364</v>
      </c>
      <c r="FK526" s="6">
        <v>788.09921179939261</v>
      </c>
      <c r="FL526" s="6">
        <v>907.07682140966335</v>
      </c>
      <c r="FM526" s="6">
        <v>977.17376190703135</v>
      </c>
      <c r="FN526" s="6">
        <v>0</v>
      </c>
      <c r="FO526" s="6">
        <v>0</v>
      </c>
      <c r="FP526" s="6">
        <v>0</v>
      </c>
      <c r="FQ526" s="6">
        <v>0</v>
      </c>
      <c r="FR526" s="6">
        <v>0</v>
      </c>
      <c r="FS526" s="6">
        <v>0</v>
      </c>
      <c r="FT526" s="7">
        <v>0.88681442417358158</v>
      </c>
      <c r="FU526" s="7">
        <v>3.9568518966700023E-2</v>
      </c>
      <c r="FV526" s="7">
        <v>7.361705685971838E-2</v>
      </c>
      <c r="FW526" s="6">
        <v>1270.0000000000002</v>
      </c>
      <c r="FX526" s="6">
        <v>1247.1737619070313</v>
      </c>
      <c r="FY526" s="6">
        <v>-6.4499039401316622</v>
      </c>
      <c r="FZ526" s="6">
        <v>1758.1538569113241</v>
      </c>
      <c r="GA526" s="6">
        <v>1175.1283144081374</v>
      </c>
      <c r="GB526" s="6">
        <v>18809.871685591861</v>
      </c>
      <c r="GC526" s="7">
        <v>3.064145122680037E-2</v>
      </c>
      <c r="GD526" s="7">
        <v>2.9039614310543006E-2</v>
      </c>
      <c r="GE526" s="7"/>
      <c r="GF526" s="7"/>
      <c r="GG526" s="7">
        <v>-5.2276796696114916E-2</v>
      </c>
      <c r="GH526" s="42">
        <v>1.7919485610978121</v>
      </c>
      <c r="GI526" s="6">
        <v>12327.792198775709</v>
      </c>
      <c r="GJ526" s="14">
        <v>0.50394797582841711</v>
      </c>
      <c r="GK526" s="14">
        <v>0.5088757306530971</v>
      </c>
      <c r="GL526" s="14">
        <v>0.49605202417158262</v>
      </c>
      <c r="GM526" s="14">
        <v>0.4911242693469024</v>
      </c>
      <c r="GO526" s="5">
        <v>343.14810671672558</v>
      </c>
      <c r="GP526" s="5">
        <v>318.91892952659737</v>
      </c>
      <c r="GQ526" s="5">
        <v>535.04305713031317</v>
      </c>
      <c r="GR526" s="5">
        <v>410.15490233172511</v>
      </c>
      <c r="GS526" s="5">
        <v>339.42744393800166</v>
      </c>
      <c r="GT526" s="5">
        <v>293.4407446948278</v>
      </c>
      <c r="GU526" s="5">
        <v>258.04012322764959</v>
      </c>
      <c r="GV526" s="39" t="s">
        <v>392</v>
      </c>
      <c r="GW526" s="5">
        <v>506.67318900241941</v>
      </c>
      <c r="GX526" s="5">
        <v>383.5889342400979</v>
      </c>
      <c r="GY526" s="5">
        <v>309.75612270545639</v>
      </c>
      <c r="GZ526" s="5">
        <v>276.37139208343041</v>
      </c>
      <c r="HA526" s="5">
        <v>241.34874471337258</v>
      </c>
      <c r="HB526" s="39">
        <v>285.07739276510199</v>
      </c>
      <c r="HC526" s="5">
        <v>287.56655829738071</v>
      </c>
      <c r="HD526" s="5">
        <v>239.99799238008356</v>
      </c>
      <c r="HE526" s="5">
        <v>241.14168635502031</v>
      </c>
      <c r="HF526" s="5">
        <v>221.05790951107167</v>
      </c>
      <c r="HG526" s="5">
        <v>210.75500473779988</v>
      </c>
      <c r="HH526" s="39">
        <v>239.85525260560689</v>
      </c>
      <c r="HI526" s="16"/>
      <c r="HJ526" s="19" t="str">
        <f t="shared" si="1507"/>
        <v>On</v>
      </c>
      <c r="HK526" s="1" t="str">
        <f t="shared" si="1507"/>
        <v>On</v>
      </c>
      <c r="HL526" s="16"/>
      <c r="HM526" s="639">
        <f t="shared" si="1413"/>
        <v>2.4909940070666322E-2</v>
      </c>
      <c r="HN526" s="639">
        <f t="shared" si="1414"/>
        <v>2.2052381276269151E-3</v>
      </c>
      <c r="HO526" s="639">
        <f t="shared" si="1415"/>
        <v>2.079866082302006E-3</v>
      </c>
      <c r="HP526" s="644">
        <f>(FT526*$GD526-HM526)/$JF526*INDEX(Input!$1:$1048576,$JG$93,$C526*2+6)</f>
        <v>23.700803309556992</v>
      </c>
      <c r="HQ526" s="644">
        <f>(FU526*$GD526-HN526)/$JF526*INDEX(Input!$1:$1048576,$JG$93,$C526*2+6)</f>
        <v>-29.701161800595795</v>
      </c>
      <c r="HR526" s="644">
        <f>(FV526*$GD526-HO526)/$JF526*INDEX(Input!$1:$1048576,$JG$93,$C526*2+6)</f>
        <v>1.6294795094404351</v>
      </c>
      <c r="HS526" s="644">
        <f t="shared" si="1416"/>
        <v>-1.161535186623992</v>
      </c>
      <c r="HT526" s="644">
        <f t="shared" si="1417"/>
        <v>-43.712431105570715</v>
      </c>
      <c r="HU526" s="644">
        <f t="shared" si="1418"/>
        <v>-5.5482672102551756E-2</v>
      </c>
      <c r="HV526" s="648">
        <f t="shared" si="1419"/>
        <v>0</v>
      </c>
      <c r="HW526" s="648">
        <f t="shared" si="1420"/>
        <v>0</v>
      </c>
      <c r="HX526" s="648">
        <f t="shared" si="1421"/>
        <v>0</v>
      </c>
      <c r="HY526" s="644">
        <f>INDEX(Input!$1:$1048576,HY$93,$C526*2+6)*INDEX(Input!$1:$1048576,$JG$93,$C526*2+6)</f>
        <v>333.00000000000006</v>
      </c>
      <c r="HZ526" s="644">
        <f>INDEX(Input!$1:$1048576,HZ$93,$C526*2+6)*INDEX(Input!$1:$1048576,$JG$93,$C526*2+6)</f>
        <v>429</v>
      </c>
      <c r="IA526" s="644">
        <f>INDEX(Input!$1:$1048576,IA$93,$C526*2+6)*INDEX(Input!$1:$1048576,$JG$93,$C526*2+6)</f>
        <v>59</v>
      </c>
      <c r="IB526" s="644">
        <f t="shared" si="1445"/>
        <v>355.53926812293309</v>
      </c>
      <c r="IC526" s="644">
        <f t="shared" si="1446"/>
        <v>355.58640709383349</v>
      </c>
      <c r="ID526" s="644">
        <f>IF(AND(INDEX(Input!$1:$1048576,IA$93,$C526*2+7)="TOS",Y526&lt;=INDEX(Y:Y,MATCH(C526*1000+2,A:A))),0,1)*MAX(IA526+HR526+HU526+HX526,0%)</f>
        <v>60.573996837337887</v>
      </c>
      <c r="IE526" s="128">
        <f t="shared" si="1508"/>
        <v>0.46072232631194637</v>
      </c>
      <c r="IF526" s="128">
        <f t="shared" si="1468"/>
        <v>0.46078341091857178</v>
      </c>
      <c r="IG526" s="128">
        <f t="shared" si="1423"/>
        <v>7.8494262769481904E-2</v>
      </c>
      <c r="IH526" s="21"/>
      <c r="II526" s="19">
        <f t="shared" si="1424"/>
        <v>1240</v>
      </c>
      <c r="IJ526" s="19">
        <f t="shared" si="1425"/>
        <v>1985.7442651839444</v>
      </c>
      <c r="IK526" s="19">
        <f t="shared" si="1426"/>
        <v>-21.44990394013189</v>
      </c>
      <c r="IL526" s="19">
        <f t="shared" si="1448"/>
        <v>30.000000000000227</v>
      </c>
      <c r="IM526" s="19">
        <f t="shared" si="1427"/>
        <v>-738.57050327691309</v>
      </c>
      <c r="IN526" s="19">
        <f t="shared" si="1428"/>
        <v>15.000000000000227</v>
      </c>
      <c r="IO526" s="39">
        <f t="shared" si="1429"/>
        <v>0</v>
      </c>
      <c r="IP526" s="39">
        <f t="shared" si="1430"/>
        <v>0</v>
      </c>
      <c r="IQ526" s="39">
        <f t="shared" si="1431"/>
        <v>0</v>
      </c>
      <c r="IR526" s="39">
        <v>0</v>
      </c>
      <c r="IS526" s="39">
        <v>0</v>
      </c>
      <c r="IT526" s="39">
        <v>0</v>
      </c>
      <c r="IU526" s="39">
        <v>0</v>
      </c>
      <c r="IV526" s="39">
        <v>0</v>
      </c>
      <c r="IW526" s="39">
        <v>0</v>
      </c>
      <c r="IX526" s="39">
        <f>INDEX(Input!$1:$1048576,IX$93,$C526*2+6)+INDEX(Input!$1:$1048576,IX$94,$C526*2+6)</f>
        <v>1270</v>
      </c>
      <c r="IY526" s="39">
        <f>INDEX(Input!$1:$1048576,IY$93,$C526*2+6)+INDEX(Input!$1:$1048576,IY$94,$C526*2+6)</f>
        <v>2130.0624533823611</v>
      </c>
      <c r="IZ526" s="39">
        <f>INDEX(Input!$1:$1048576,IZ$93,$C526*2+6)+INDEX(Input!$1:$1048576,IZ$94,$C526*2+6)</f>
        <v>3653.7164157747857</v>
      </c>
      <c r="JA526" s="19">
        <f t="shared" si="1449"/>
        <v>1300.0000000000002</v>
      </c>
      <c r="JB526" s="19">
        <f t="shared" si="1450"/>
        <v>1391.491950105448</v>
      </c>
      <c r="JC526" s="19">
        <f t="shared" si="1451"/>
        <v>3668.7164157747857</v>
      </c>
      <c r="JD526" s="19">
        <f t="shared" si="1452"/>
        <v>1528.0886216073918</v>
      </c>
      <c r="JE526" s="21"/>
      <c r="JF526" s="1">
        <f t="shared" si="1432"/>
        <v>2.9195044280595241E-2</v>
      </c>
      <c r="JG526" s="15">
        <f>INDEX(Input!$1:$1048576,JG$93,$C526*2+6)/(1+VLOOKUP(C526*1000+INDEX(Input!$1:$1048576,JG$93+1,$C526*2+6),$A:$KK,$JK$92,FALSE))</f>
        <v>821</v>
      </c>
      <c r="JH526" s="1">
        <f t="shared" si="1453"/>
        <v>-5.3238477242367457E-3</v>
      </c>
      <c r="JI526" s="1">
        <f t="shared" si="1454"/>
        <v>-5.4725272794515542E-2</v>
      </c>
      <c r="JJ526" s="1">
        <f t="shared" si="1492"/>
        <v>0</v>
      </c>
      <c r="JK526" s="1">
        <f t="shared" si="1496"/>
        <v>-6.0049120518752289E-2</v>
      </c>
      <c r="JL526" s="15">
        <f t="shared" si="1457"/>
        <v>-49.300327945895631</v>
      </c>
      <c r="JM526" s="15">
        <f t="shared" si="1483"/>
        <v>771.69967205410433</v>
      </c>
      <c r="JN526" s="21"/>
      <c r="JO526" s="19">
        <f>INDEX(Input!$1:$1048576,JO$93,$C526*2+6)</f>
        <v>5995.5</v>
      </c>
      <c r="JP526" s="19">
        <f>INDEX(Input!$1:$1048576,JP$93,$C526*2+6)</f>
        <v>1890.7138380411029</v>
      </c>
      <c r="JQ526" s="39">
        <f t="shared" si="1469"/>
        <v>4467.4113783926077</v>
      </c>
      <c r="JR526" s="39">
        <f t="shared" si="1486"/>
        <v>-362.6252164337111</v>
      </c>
      <c r="JS526" s="39">
        <f t="shared" si="1471"/>
        <v>1.1792254881640325</v>
      </c>
      <c r="JT526" s="39">
        <f t="shared" si="1459"/>
        <v>-0.37305057286771293</v>
      </c>
      <c r="JU526" s="385">
        <f>(JQ526*JM526-INDEX(Input!$1:$1048576,Input!A$18,$C526*2+6)*JL526*INDEX(Input!$1:$1048576,Input!A$19,$C526*2+6))/1000000</f>
        <v>3.4474998956363496</v>
      </c>
      <c r="JV526" s="39">
        <f t="shared" si="1493"/>
        <v>7.7470456668095267E-2</v>
      </c>
      <c r="JW526" s="1">
        <f t="shared" si="1484"/>
        <v>2.2988065259101447E-2</v>
      </c>
      <c r="JX526" s="19">
        <f t="shared" si="1475"/>
        <v>7566.8984043496666</v>
      </c>
      <c r="JZ526" s="341"/>
      <c r="KA526" s="342"/>
      <c r="KB526" s="469">
        <f t="shared" si="1472"/>
        <v>2.5122967434604799</v>
      </c>
      <c r="KI526" s="473">
        <f t="shared" si="1499"/>
        <v>22.539268122932981</v>
      </c>
      <c r="KJ526" s="473">
        <f t="shared" si="1500"/>
        <v>-73.413592906166571</v>
      </c>
      <c r="KK526" s="473">
        <f t="shared" si="1461"/>
        <v>1.573996837337873</v>
      </c>
      <c r="KN526" s="544">
        <f t="shared" si="1476"/>
        <v>5002</v>
      </c>
      <c r="KO526" s="541">
        <f t="shared" si="1436"/>
        <v>-6.3860741216529182E-2</v>
      </c>
      <c r="KP526" s="546">
        <f t="shared" si="1437"/>
        <v>-354.14521674466943</v>
      </c>
      <c r="KQ526" s="546">
        <f t="shared" si="1438"/>
        <v>-390.83014411587465</v>
      </c>
      <c r="KR526" s="548">
        <f t="shared" si="1439"/>
        <v>3.2577408473957776</v>
      </c>
      <c r="KS526" s="548">
        <f t="shared" si="1440"/>
        <v>2.951955871031493</v>
      </c>
      <c r="KT526" s="473">
        <f t="shared" si="1474"/>
        <v>595.94378802984284</v>
      </c>
      <c r="KU526" s="663">
        <f t="shared" si="1462"/>
        <v>3.8571196793822344</v>
      </c>
      <c r="KV526" s="117"/>
    </row>
    <row r="527" spans="1:308" s="26" customFormat="1" ht="15">
      <c r="A527" s="561">
        <f t="shared" si="1441"/>
        <v>5027</v>
      </c>
      <c r="B527" s="561">
        <f t="shared" si="1463"/>
        <v>27</v>
      </c>
      <c r="C527" s="561">
        <f t="shared" si="1464"/>
        <v>5</v>
      </c>
      <c r="D527" s="561" t="str">
        <f t="shared" si="1509"/>
        <v xml:space="preserve">750 Combo, </v>
      </c>
      <c r="E527" s="475">
        <f>INDEX(Input!$1:$1048576,E$93,$C527*2+MIN($B527,2)+5)
+INDEX(Scenarios!E$121:E$200,MATCH($B527,Scenarios!$B$121:$B$200,0))</f>
        <v>1277.4263093788063</v>
      </c>
      <c r="F527" s="475">
        <f>INDEX(Input!$1:$1048576,F$93,$C527*2+MIN($B527,2)+5)
+INDEX(Scenarios!F$121:F$200,MATCH($B527,Scenarios!$B$121:$B$200,0))</f>
        <v>0</v>
      </c>
      <c r="G527" s="475">
        <f>INDEX(Input!$1:$1048576,G$93,$C527*2+MIN($B527,2)+5)
+INDEX(Scenarios!G$121:G$200,MATCH($B527,Scenarios!$B$121:$B$200,0))</f>
        <v>0</v>
      </c>
      <c r="H527" s="475">
        <f>INDEX(Input!$1:$1048576,H$93,$C527*2+MIN($B527,2)+5)
+INDEX(Scenarios!H$121:H$200,MATCH($B527,Scenarios!$B$121:$B$200,0))</f>
        <v>0</v>
      </c>
      <c r="I527" s="476">
        <f>INDEX(Input!$1:$1048576,I$93,$C527*2+MIN($B527,2)+5)</f>
        <v>0.7</v>
      </c>
      <c r="J527" s="476" t="str">
        <f>INDEX(Input!$1:$1048576,J$93,$C527*2+MIN($B527,2)+5)</f>
        <v>Market</v>
      </c>
      <c r="K527" s="476" t="str">
        <f>INDEX(Input!$1:$1048576,K$93,$C527*2+MIN($B527,2)+5)</f>
        <v>Market</v>
      </c>
      <c r="L527" s="476" t="str">
        <f>INDEX(Input!$1:$1048576,L$93,$C527*2+MIN($B527,2)+5)</f>
        <v>Market</v>
      </c>
      <c r="M527" s="476" t="str">
        <f>INDEX(Input!$1:$1048576,M$93,$C527*2+MIN($B527,2)+5)</f>
        <v>Market</v>
      </c>
      <c r="N527" s="476" t="str">
        <f>INDEX(Input!$1:$1048576,N$93,$C527*2+MIN($B527,2)+5)</f>
        <v>Market</v>
      </c>
      <c r="O527" s="476" t="str">
        <f>INDEX(Input!$1:$1048576,O$93,$C527*2+MIN($B527,2)+5)</f>
        <v>Market</v>
      </c>
      <c r="P527" s="476" t="str">
        <f>INDEX(Input!$1:$1048576,P$93,$C527*2+MIN($B527,2)+5)</f>
        <v>N</v>
      </c>
      <c r="Q527" s="477">
        <f>INDEX(Input!$1:$1048576,Q$93,$C527*2+MIN($B527,2)+5)
+INDEX(Scenarios!Q$121:Q$200,MATCH($B527,Scenarios!$B$121:$B$200,0))</f>
        <v>750</v>
      </c>
      <c r="R527" s="478">
        <f>IFERROR(MAX(0,INDEX(Input!$1:$1048576,R$93,$C527*2+MIN($B527,2)+5)
+INDEX(Scenarios!R$121:R$200,MATCH($B527,Scenarios!$B$121:$B$200,0)),),"Market")</f>
        <v>0</v>
      </c>
      <c r="S527" s="478">
        <f>IFERROR(MAX(0,INDEX(Input!$1:$1048576,S$93,$C527*2+MIN($B527,2)+5)
+INDEX(Scenarios!S$121:S$200,MATCH($B527,Scenarios!$B$121:$B$200,0)),),"Market")</f>
        <v>0</v>
      </c>
      <c r="T527" s="478">
        <f>IFERROR(MAX(0,INDEX(Input!$1:$1048576,T$93,$C527*2+MIN($B527,2)+5)
+INDEX(Scenarios!T$121:T$200,MATCH($B527,Scenarios!$B$121:$B$200,0)),),"Market")</f>
        <v>0</v>
      </c>
      <c r="U527" s="478">
        <f>IFERROR(MAX(0,INDEX(Input!$1:$1048576,U$93,$C527*2+MIN($B527,2)+5)
+INDEX(Scenarios!U$121:U$200,MATCH($B527,Scenarios!$B$121:$B$200,0)),),"Market")</f>
        <v>0</v>
      </c>
      <c r="V527" s="478">
        <f>IFERROR(MAX(0,INDEX(Input!$1:$1048576,V$93,$C527*2+MIN($B527,2)+5)
+INDEX(Scenarios!V$121:V$200,MATCH($B527,Scenarios!$B$121:$B$200,0)),),"Market")</f>
        <v>1.9E-2</v>
      </c>
      <c r="W527" s="885">
        <f>IFERROR(MAX(0,INDEX(Input!$1:$1048576,W$93,$C527*2+MIN($B527,2)+5)-0%,),"Market")</f>
        <v>3.9E-2</v>
      </c>
      <c r="X527" s="476" t="str">
        <f>INDEX(Input!$1:$1048576,X$93,$C527*2+MIN($B527,2)+5)</f>
        <v>Y</v>
      </c>
      <c r="Y527" s="475">
        <f>INDEX(Input!$1:$1048576,Y$93,$C527*2+MIN($B527,2)+5)
++INDEX(Scenarios!Y$121:Y$200,MATCH($B527,Scenarios!$B$121:$B$200,0))</f>
        <v>-717.93641739252325</v>
      </c>
      <c r="Z527" s="477">
        <f>INDEX(Input!$1:$1048576,Z$93,$C527*2+MIN($B527,2)+5)
+INDEX(Scenarios!Z$121:Z$200,MATCH($B527,Scenarios!$B$121:$B$200,0))</f>
        <v>0</v>
      </c>
      <c r="AA527" s="475">
        <f>INDEX(Input!$1:$1048576,AA$93,$C527*2+MIN($B527,2)+5)
+INDEX(Scenarios!AA$121:AA$200,MATCH($B527,Scenarios!$B$121:$B$200,0))</f>
        <v>0</v>
      </c>
      <c r="AB527" s="476">
        <f>INDEX(Input!$1:$1048576,AB$93,$C527*2+MIN($B527,2)+5)</f>
        <v>0.27</v>
      </c>
      <c r="AC527" s="475">
        <f>INDEX(Input!$1:$1048576,AC$93,$C527*2+MIN($B527,2)+5)
+INDEX(Scenarios!AC$121:AC$200,MATCH($B527,Scenarios!$B$121:$B$200,0))</f>
        <v>0</v>
      </c>
      <c r="AD527" s="476">
        <f>INDEX(Input!$1:$1048576,AD$93,$C527*2+MIN($B527,2)+5)</f>
        <v>0.27</v>
      </c>
      <c r="AE527" s="475">
        <f>INDEX(Input!$1:$1048576,AE$93,$C527*2+MIN($B527,2)+5)
+INDEX(Scenarios!AE$121:AE$200,MATCH($B527,Scenarios!$B$121:$B$200,0))</f>
        <v>0</v>
      </c>
      <c r="AF527" s="476">
        <f>INDEX(Input!$1:$1048576,AF$93,$C527*2+MIN($B527,2)+5)</f>
        <v>0.2</v>
      </c>
      <c r="AG527" s="475">
        <f>INDEX(Input!$1:$1048576,AG$93,$C527*2+MIN($B527,2)+5)
+INDEX(Scenarios!AG$121:AG$200,MATCH($B527,Scenarios!$B$121:$B$200,0))</f>
        <v>500</v>
      </c>
      <c r="AH527" s="476">
        <f>INDEX(Input!$1:$1048576,AH$93,$C527*2+MIN($B527,2)+5)</f>
        <v>1</v>
      </c>
      <c r="AI527" s="475">
        <f>INDEX(Input!$1:$1048576,AI$93,$C527*2+MIN($B527,2)+5)
+INDEX(Scenarios!AI$121:AI$200,MATCH($B527,Scenarios!$B$121:$B$200,0))</f>
        <v>0</v>
      </c>
      <c r="AJ527" s="476">
        <f>INDEX(Input!$1:$1048576,AJ$93,$C527*2+MIN($B527,2)+5)</f>
        <v>0.27</v>
      </c>
      <c r="AK527" s="150">
        <f>ROUND(INDEX(Input!$1:$1048576,AK$93,$C526*2+MIN($B527,1)+5)+(Y527-VLOOKUP($C527*1000+1,$A:$HH,Y$92,FALSE)),0)</f>
        <v>2587</v>
      </c>
      <c r="AL527" s="150">
        <f>ROUND(INDEX(Input!$1:$1048576,AL$93,$C526*2+MIN($B527,1)+5)-(Y527-VLOOKUP($C527*1000+1,$A:$HH,Y$92,FALSE))/36,0)</f>
        <v>3406</v>
      </c>
      <c r="AM527" s="32" t="str">
        <f t="shared" si="1442"/>
        <v>std/std/std/std</v>
      </c>
      <c r="AN527" s="32" t="str">
        <f t="shared" si="1443"/>
        <v>$750 + 0/0/0/1.9/3.9</v>
      </c>
      <c r="AO527" s="32" t="str">
        <f t="shared" si="1444"/>
        <v>0/0/0/1.9/3.9</v>
      </c>
      <c r="AP527" s="32" t="str">
        <f t="shared" si="1396"/>
        <v>0/0.9/1.9/3.9</v>
      </c>
      <c r="AQ527" s="536">
        <f t="shared" si="1394"/>
        <v>0.35741926975030647</v>
      </c>
      <c r="AR527" s="32"/>
      <c r="AS527" s="302"/>
      <c r="AT527" s="3">
        <f t="shared" si="1465"/>
        <v>27</v>
      </c>
      <c r="AU527" s="41" t="s">
        <v>121</v>
      </c>
      <c r="AV527" s="41" t="s">
        <v>116</v>
      </c>
      <c r="AW527" s="41" t="str">
        <f>INDEX(Input!$1:$1048576,AW$93,$C527*2+6)</f>
        <v>Kia</v>
      </c>
      <c r="AX527" s="41" t="str">
        <f>INDEX(Input!$1:$1048576,AX$93,$C527*2+6)</f>
        <v>Kia-LR - R2</v>
      </c>
      <c r="AY527" s="41" t="str">
        <f>IF(LEN(D527)=0,"",INDEX(Input!$1:$1048576,AY$93,$C527*2+6))</f>
        <v>Compact SUV (52)</v>
      </c>
      <c r="AZ527" s="41" t="str">
        <f>INDEX(Input!$1:$1048576,AZ$93,$C527*2+6)</f>
        <v>Kia Soul</v>
      </c>
      <c r="BA527" s="3">
        <f>INDEX(Input!$1:$1048576,BA$93,$C527*2+6)</f>
        <v>2020</v>
      </c>
      <c r="BB527" s="128">
        <f>INDEX(Input!$1:$1048576,BB$93,$C527*2+6)</f>
        <v>1</v>
      </c>
      <c r="BC527" s="128">
        <f>INDEX(Input!$1:$1048576,BC$93,$C527*2+6)</f>
        <v>0.7</v>
      </c>
      <c r="BD527" s="1">
        <f>INDEX(Input!$1:$1048576,BD$93,$C527*2+6)</f>
        <v>4.4999999999999998E-2</v>
      </c>
      <c r="BE527" s="1">
        <f>INDEX(Input!$1:$1048576,BE$93,$C527*2+6)</f>
        <v>4.4999999999999998E-2</v>
      </c>
      <c r="BF527" s="1">
        <f>INDEX(Input!$1:$1048576,BF$93,$C527*2+6)</f>
        <v>0.05</v>
      </c>
      <c r="BG527" s="1">
        <f>INDEX(Input!$1:$1048576,BG$93,$C527*2+6)</f>
        <v>5.45E-2</v>
      </c>
      <c r="BH527" s="1">
        <f>INDEX(Input!$1:$1048576,BH$93,$C527*2+6)</f>
        <v>5.45E-2</v>
      </c>
      <c r="BI527" s="1">
        <f>INDEX(Input!$1:$1048576,BI$93,$C527*2+6)</f>
        <v>0.05</v>
      </c>
      <c r="BJ527" s="1">
        <f>INDEX(Input!$1:$1048576,BJ$93,$C527*2+6)</f>
        <v>0.05</v>
      </c>
      <c r="BK527" s="1">
        <f>INDEX(Input!$1:$1048576,BK$93,$C527*2+6)</f>
        <v>0.05</v>
      </c>
      <c r="BL527" s="1">
        <f>INDEX(Input!$1:$1048576,BL$93,$C527*2+6)</f>
        <v>5.5E-2</v>
      </c>
      <c r="BM527" s="1">
        <f>INDEX(Input!$1:$1048576,BM$93,$C527*2+6)</f>
        <v>0.06</v>
      </c>
      <c r="BN527" s="1">
        <f>INDEX(Input!$1:$1048576,BN$93,$C527*2+6)</f>
        <v>4.4999999999999998E-2</v>
      </c>
      <c r="BO527" s="1">
        <f>INDEX(Input!$1:$1048576,BO$93,$C527*2+6)</f>
        <v>4.4999999999999998E-2</v>
      </c>
      <c r="BP527" s="1">
        <f>INDEX(Input!$1:$1048576,BP$93,$C527*2+6)</f>
        <v>0.05</v>
      </c>
      <c r="BQ527" s="1">
        <f>INDEX(Input!$1:$1048576,BQ$93,$C527*2+6)</f>
        <v>5.45E-2</v>
      </c>
      <c r="BR527" s="1">
        <f>INDEX(Input!$1:$1048576,BR$93,$C527*2+6)</f>
        <v>5.45E-2</v>
      </c>
      <c r="BS527" s="1">
        <f>INDEX(Input!$1:$1048576,BS$93,$C527*2+6)</f>
        <v>0.05</v>
      </c>
      <c r="BT527" s="1">
        <f>INDEX(Input!$1:$1048576,BT$93,$C527*2+6)</f>
        <v>0.05</v>
      </c>
      <c r="BU527" s="1">
        <f>INDEX(Input!$1:$1048576,BU$93,$C527*2+6)</f>
        <v>0.05</v>
      </c>
      <c r="BV527" s="1">
        <f>INDEX(Input!$1:$1048576,BV$93,$C527*2+6)</f>
        <v>5.5E-2</v>
      </c>
      <c r="BW527" s="1">
        <f>INDEX(Input!$1:$1048576,BW$93,$C527*2+6)</f>
        <v>0.06</v>
      </c>
      <c r="BX527" s="127">
        <f>INDEX(Input!$1:$1048576,BX$93,$C527*2+6)</f>
        <v>19985</v>
      </c>
      <c r="BY527" s="20">
        <f>INDEX(Input!$1:$1048576,BY$93,$C527*2+6)</f>
        <v>0.1</v>
      </c>
      <c r="BZ527" s="20">
        <f>INDEX(Input!$1:$1048576,BZ$93,$C527*2+6)</f>
        <v>0.1</v>
      </c>
      <c r="CA527" s="20">
        <f>INDEX(Input!$1:$1048576,CA$93,$C527*2+6)</f>
        <v>0.1</v>
      </c>
      <c r="CB527" s="20">
        <f>INDEX(Input!$1:$1048576,CB$93,$C527*2+6)</f>
        <v>0.1</v>
      </c>
      <c r="CC527" s="20">
        <f>INDEX(Input!$1:$1048576,CC$93,$C527*2+6)</f>
        <v>0.1</v>
      </c>
      <c r="CD527" s="384">
        <f>INDEX(Input!$1:$1048576,CD$93,$C527*2+6)</f>
        <v>0.1</v>
      </c>
      <c r="CE527" s="384">
        <f>INDEX(Input!$1:$1048576,CE$93,$C527*2+6)</f>
        <v>0.1</v>
      </c>
      <c r="CF527" s="384">
        <f>INDEX(Input!$1:$1048576,CF$93,$C527*2+6)</f>
        <v>0.1</v>
      </c>
      <c r="CG527" s="384">
        <f>INDEX(Input!$1:$1048576,CG$93,$C527*2+6)</f>
        <v>0.1</v>
      </c>
      <c r="CH527" s="384">
        <f>INDEX(Input!$1:$1048576,CH$93,$C527*2+6)</f>
        <v>0.1</v>
      </c>
      <c r="CI527" s="304">
        <f t="shared" si="1397"/>
        <v>1277.4263093788063</v>
      </c>
      <c r="CJ527" s="16" t="str">
        <f>INDEX(Input!$1:$1048576,CJ$93,$C527*2+6)</f>
        <v>N</v>
      </c>
      <c r="CK527" s="1" t="str">
        <f t="shared" si="1398"/>
        <v>Market</v>
      </c>
      <c r="CL527" s="1" t="str">
        <f t="shared" si="1399"/>
        <v>Market</v>
      </c>
      <c r="CM527" s="1" t="str">
        <f t="shared" si="1400"/>
        <v>Market</v>
      </c>
      <c r="CN527" s="1" t="str">
        <f t="shared" si="1401"/>
        <v>Market</v>
      </c>
      <c r="CO527" s="1" t="str">
        <f t="shared" si="1402"/>
        <v>Market</v>
      </c>
      <c r="CP527" s="304">
        <f t="shared" si="1403"/>
        <v>1250</v>
      </c>
      <c r="CQ527" s="1">
        <f t="shared" si="1404"/>
        <v>0</v>
      </c>
      <c r="CR527" s="1">
        <f t="shared" si="1405"/>
        <v>0</v>
      </c>
      <c r="CS527" s="1">
        <f t="shared" si="1406"/>
        <v>0</v>
      </c>
      <c r="CT527" s="1">
        <f t="shared" si="1407"/>
        <v>1.9E-2</v>
      </c>
      <c r="CU527" s="1">
        <f t="shared" si="1408"/>
        <v>3.9E-2</v>
      </c>
      <c r="CV527" s="304">
        <f t="shared" si="1409"/>
        <v>-717.93641739252325</v>
      </c>
      <c r="CW527" s="20" t="s">
        <v>122</v>
      </c>
      <c r="CX527" s="20" t="s">
        <v>122</v>
      </c>
      <c r="CY527" s="20" t="s">
        <v>122</v>
      </c>
      <c r="CZ527" s="20" t="s">
        <v>122</v>
      </c>
      <c r="DA527" s="20" t="s">
        <v>122</v>
      </c>
      <c r="DB527" s="503">
        <f t="shared" si="1410"/>
        <v>0</v>
      </c>
      <c r="DC527" s="127">
        <v>0</v>
      </c>
      <c r="DD527" s="127">
        <v>0</v>
      </c>
      <c r="DE527" s="127">
        <v>0</v>
      </c>
      <c r="DF527" s="127">
        <v>0</v>
      </c>
      <c r="DG527" s="127">
        <v>0</v>
      </c>
      <c r="DH527" s="127">
        <v>0</v>
      </c>
      <c r="DI527" s="127">
        <v>0</v>
      </c>
      <c r="DJ527" s="127">
        <v>0</v>
      </c>
      <c r="DK527" s="127">
        <v>0</v>
      </c>
      <c r="DL527" s="127">
        <v>0</v>
      </c>
      <c r="DM527" s="304">
        <f>INDEX(Input!$1:$1048576,DM$93,$C527*2+6)</f>
        <v>21036.84210526316</v>
      </c>
      <c r="DN527" s="20">
        <v>0</v>
      </c>
      <c r="DO527" s="20">
        <v>0</v>
      </c>
      <c r="DP527" s="20">
        <v>0</v>
      </c>
      <c r="DQ527" s="20">
        <v>0</v>
      </c>
      <c r="DR527" s="20">
        <v>0</v>
      </c>
      <c r="DS527" s="20">
        <f>INDEX(Input!$1:$1048576,DS$93,$C527*2+6)</f>
        <v>0.6</v>
      </c>
      <c r="DT527" s="20">
        <f>INDEX(Input!$1:$1048576,DT$93,$C527*2+6)</f>
        <v>0.55000000000000004</v>
      </c>
      <c r="DU527" s="20">
        <f>INDEX(Input!$1:$1048576,DU$93,$C527*2+6)</f>
        <v>0.52</v>
      </c>
      <c r="DV527" s="20">
        <f>INDEX(Input!$1:$1048576,DV$93,$C527*2+6)</f>
        <v>0.5</v>
      </c>
      <c r="DW527" s="20">
        <f>INDEX(Input!$1:$1048576,DW$93,$C527*2+6)</f>
        <v>0.45</v>
      </c>
      <c r="DX527" s="20"/>
      <c r="DY527" s="7">
        <v>0.11522521975433182</v>
      </c>
      <c r="DZ527" s="7">
        <v>0</v>
      </c>
      <c r="EA527" s="7">
        <v>0.7063682163640852</v>
      </c>
      <c r="EB527" s="7">
        <v>0</v>
      </c>
      <c r="EC527" s="7">
        <v>0</v>
      </c>
      <c r="ED527" s="7">
        <v>0</v>
      </c>
      <c r="EE527" s="7">
        <v>0</v>
      </c>
      <c r="EF527" s="7">
        <v>0</v>
      </c>
      <c r="EG527" s="7">
        <v>0</v>
      </c>
      <c r="EH527" s="7">
        <v>1.2087922473937461E-2</v>
      </c>
      <c r="EI527" s="7">
        <v>3.3604416969842246E-2</v>
      </c>
      <c r="EJ527" s="7">
        <v>0.29192506323291467</v>
      </c>
      <c r="EK527" s="7">
        <v>0.53733446659224937</v>
      </c>
      <c r="EL527" s="7">
        <v>0.12504813073105642</v>
      </c>
      <c r="EM527" s="7">
        <v>0.11014257435504538</v>
      </c>
      <c r="EN527" s="7">
        <v>5.8459365787552647E-2</v>
      </c>
      <c r="EO527" s="7">
        <v>0.71697458064279562</v>
      </c>
      <c r="EP527" s="7">
        <v>8.9846602949813253E-2</v>
      </c>
      <c r="EQ527" s="7">
        <v>8.8450141993210663E-2</v>
      </c>
      <c r="ER527" s="7">
        <v>4.6269308626627884E-2</v>
      </c>
      <c r="ES527" s="7">
        <v>6.8263989526537561E-2</v>
      </c>
      <c r="ET527" s="7">
        <v>0.17840656388158294</v>
      </c>
      <c r="EU527" s="6">
        <v>1270</v>
      </c>
      <c r="EV527" s="6">
        <v>0</v>
      </c>
      <c r="EW527" s="6">
        <v>1270</v>
      </c>
      <c r="EX527" s="6">
        <v>0</v>
      </c>
      <c r="EY527" s="6">
        <v>2765.754003911145</v>
      </c>
      <c r="EZ527" s="6">
        <v>-6.4499039401316622</v>
      </c>
      <c r="FA527" s="6">
        <v>0</v>
      </c>
      <c r="FB527" s="6">
        <v>0</v>
      </c>
      <c r="FC527" s="6">
        <v>0</v>
      </c>
      <c r="FD527" s="6">
        <v>0</v>
      </c>
      <c r="FE527" s="6">
        <v>0</v>
      </c>
      <c r="FF527" s="6">
        <v>0</v>
      </c>
      <c r="FG527" s="6">
        <v>0</v>
      </c>
      <c r="FH527" s="6">
        <v>1172.1349461895761</v>
      </c>
      <c r="FI527" s="6">
        <v>1553.9796069512411</v>
      </c>
      <c r="FJ527" s="6">
        <v>2101.2110117447401</v>
      </c>
      <c r="FK527" s="6">
        <v>1772.7139978623227</v>
      </c>
      <c r="FL527" s="6">
        <v>907.07682140966324</v>
      </c>
      <c r="FM527" s="6">
        <v>1745.754003911145</v>
      </c>
      <c r="FN527" s="6">
        <v>0</v>
      </c>
      <c r="FO527" s="6">
        <v>0</v>
      </c>
      <c r="FP527" s="6">
        <v>0</v>
      </c>
      <c r="FQ527" s="6">
        <v>0</v>
      </c>
      <c r="FR527" s="6">
        <v>0</v>
      </c>
      <c r="FS527" s="6">
        <v>0</v>
      </c>
      <c r="FT527" s="7">
        <v>0.82159343611841706</v>
      </c>
      <c r="FU527" s="7">
        <v>0.11014257435504538</v>
      </c>
      <c r="FV527" s="7">
        <v>6.8263989526537561E-2</v>
      </c>
      <c r="FW527" s="6">
        <v>1270</v>
      </c>
      <c r="FX527" s="6">
        <v>2765.754003911145</v>
      </c>
      <c r="FY527" s="6">
        <v>-6.4499039401316622</v>
      </c>
      <c r="FZ527" s="6">
        <v>1758.1538569113241</v>
      </c>
      <c r="GA527" s="6">
        <v>1347.610633718921</v>
      </c>
      <c r="GB527" s="6">
        <v>18637.389366281081</v>
      </c>
      <c r="GC527" s="7">
        <v>3.064145122680037E-2</v>
      </c>
      <c r="GD527" s="7">
        <v>2.951182898833437E-2</v>
      </c>
      <c r="GE527" s="7"/>
      <c r="GF527" s="7"/>
      <c r="GG527" s="7">
        <v>-3.6865820424261862E-2</v>
      </c>
      <c r="GH527" s="42">
        <v>1.7946062181949247</v>
      </c>
      <c r="GI527" s="6">
        <v>12483.758384338884</v>
      </c>
      <c r="GJ527" s="14">
        <v>0.50394797582841722</v>
      </c>
      <c r="GK527" s="14">
        <v>0.50887573065309732</v>
      </c>
      <c r="GL527" s="14">
        <v>0.49605202417158273</v>
      </c>
      <c r="GM527" s="14">
        <v>0.49112426934690218</v>
      </c>
      <c r="GO527" s="5">
        <v>343.14810671672558</v>
      </c>
      <c r="GP527" s="5">
        <v>318.91892952659737</v>
      </c>
      <c r="GQ527" s="5">
        <v>535.04305713031317</v>
      </c>
      <c r="GR527" s="5">
        <v>410.15490233172511</v>
      </c>
      <c r="GS527" s="5">
        <v>339.42744393800166</v>
      </c>
      <c r="GT527" s="5">
        <v>293.4407446948278</v>
      </c>
      <c r="GU527" s="5">
        <v>258.04012322764959</v>
      </c>
      <c r="GV527" s="39" t="s">
        <v>392</v>
      </c>
      <c r="GW527" s="5">
        <v>471.29166666666669</v>
      </c>
      <c r="GX527" s="5">
        <v>353.46875</v>
      </c>
      <c r="GY527" s="5">
        <v>282.77499999999998</v>
      </c>
      <c r="GZ527" s="5">
        <v>249.51909707886276</v>
      </c>
      <c r="HA527" s="5">
        <v>231.13162741960522</v>
      </c>
      <c r="HB527" s="39">
        <v>263.10194704087485</v>
      </c>
      <c r="HC527" s="5">
        <v>287.56655829738071</v>
      </c>
      <c r="HD527" s="5">
        <v>239.99799238008356</v>
      </c>
      <c r="HE527" s="5">
        <v>241.14168635502031</v>
      </c>
      <c r="HF527" s="5">
        <v>221.05790951107167</v>
      </c>
      <c r="HG527" s="5">
        <v>210.75500473779988</v>
      </c>
      <c r="HH527" s="39">
        <v>239.85327175398163</v>
      </c>
      <c r="HI527" s="16"/>
      <c r="HJ527" s="19" t="str">
        <f t="shared" si="1507"/>
        <v>On</v>
      </c>
      <c r="HK527" s="1" t="str">
        <f t="shared" si="1507"/>
        <v>On</v>
      </c>
      <c r="HL527" s="16"/>
      <c r="HM527" s="639">
        <f t="shared" si="1413"/>
        <v>2.4909940070666322E-2</v>
      </c>
      <c r="HN527" s="639">
        <f t="shared" si="1414"/>
        <v>2.2052381276269151E-3</v>
      </c>
      <c r="HO527" s="639">
        <f t="shared" si="1415"/>
        <v>2.079866082302006E-3</v>
      </c>
      <c r="HP527" s="644">
        <f>(FT527*$GD527-HM527)/$JF527*INDEX(Input!$1:$1048576,$JG$93,$C527*2+6)</f>
        <v>-18.650411363451955</v>
      </c>
      <c r="HQ527" s="644">
        <f>(FU527*$GD527-HN527)/$JF527*INDEX(Input!$1:$1048576,$JG$93,$C527*2+6)</f>
        <v>29.394277642600262</v>
      </c>
      <c r="HR527" s="644">
        <f>(FV527*$GD527-HO527)/$JF527*INDEX(Input!$1:$1048576,$JG$93,$C527*2+6)</f>
        <v>-1.8354966752464581</v>
      </c>
      <c r="HS527" s="644">
        <f t="shared" si="1416"/>
        <v>-1.7487639421810437</v>
      </c>
      <c r="HT527" s="644">
        <f t="shared" si="1417"/>
        <v>45.914051910733612</v>
      </c>
      <c r="HU527" s="644">
        <f t="shared" si="1418"/>
        <v>0.53174608345451013</v>
      </c>
      <c r="HV527" s="648">
        <f t="shared" si="1419"/>
        <v>0</v>
      </c>
      <c r="HW527" s="648">
        <f t="shared" si="1420"/>
        <v>0</v>
      </c>
      <c r="HX527" s="648">
        <f t="shared" si="1421"/>
        <v>0</v>
      </c>
      <c r="HY527" s="644">
        <f>INDEX(Input!$1:$1048576,HY$93,$C527*2+6)*INDEX(Input!$1:$1048576,$JG$93,$C527*2+6)</f>
        <v>333.00000000000006</v>
      </c>
      <c r="HZ527" s="644">
        <f>INDEX(Input!$1:$1048576,HZ$93,$C527*2+6)*INDEX(Input!$1:$1048576,$JG$93,$C527*2+6)</f>
        <v>429</v>
      </c>
      <c r="IA527" s="644">
        <f>INDEX(Input!$1:$1048576,IA$93,$C527*2+6)*INDEX(Input!$1:$1048576,$JG$93,$C527*2+6)</f>
        <v>59</v>
      </c>
      <c r="IB527" s="644">
        <f t="shared" si="1445"/>
        <v>312.60082469436702</v>
      </c>
      <c r="IC527" s="644">
        <f t="shared" si="1446"/>
        <v>504.30832955333392</v>
      </c>
      <c r="ID527" s="644">
        <f>IF(AND(INDEX(Input!$1:$1048576,IA$93,$C527*2+7)="TOS",Y527&lt;=INDEX(Y:Y,MATCH(C527*1000+2,A:A))),0,1)*MAX(IA527+HR527+HU527+HX527,0%)</f>
        <v>57.696249408208047</v>
      </c>
      <c r="IE527" s="128">
        <f t="shared" si="1508"/>
        <v>0.35741926975030647</v>
      </c>
      <c r="IF527" s="128">
        <f t="shared" si="1468"/>
        <v>0.57661240994543528</v>
      </c>
      <c r="IG527" s="128">
        <f t="shared" si="1423"/>
        <v>6.5968320304258213E-2</v>
      </c>
      <c r="IH527" s="21"/>
      <c r="II527" s="19">
        <f t="shared" si="1424"/>
        <v>1240</v>
      </c>
      <c r="IJ527" s="19">
        <f t="shared" si="1425"/>
        <v>1985.7442651839444</v>
      </c>
      <c r="IK527" s="19">
        <f t="shared" si="1426"/>
        <v>-21.44990394013189</v>
      </c>
      <c r="IL527" s="19">
        <f t="shared" si="1448"/>
        <v>30</v>
      </c>
      <c r="IM527" s="19">
        <f t="shared" si="1427"/>
        <v>780.00973872720056</v>
      </c>
      <c r="IN527" s="19">
        <f t="shared" si="1428"/>
        <v>15.000000000000227</v>
      </c>
      <c r="IO527" s="39">
        <f t="shared" si="1429"/>
        <v>0</v>
      </c>
      <c r="IP527" s="39">
        <f t="shared" si="1430"/>
        <v>0</v>
      </c>
      <c r="IQ527" s="39">
        <f t="shared" si="1431"/>
        <v>0</v>
      </c>
      <c r="IR527" s="39">
        <v>0</v>
      </c>
      <c r="IS527" s="39">
        <v>0</v>
      </c>
      <c r="IT527" s="39">
        <v>0</v>
      </c>
      <c r="IU527" s="39">
        <v>0</v>
      </c>
      <c r="IV527" s="39">
        <v>0</v>
      </c>
      <c r="IW527" s="39">
        <v>0</v>
      </c>
      <c r="IX527" s="39">
        <f>INDEX(Input!$1:$1048576,IX$93,$C527*2+6)+INDEX(Input!$1:$1048576,IX$94,$C527*2+6)</f>
        <v>1270</v>
      </c>
      <c r="IY527" s="39">
        <f>INDEX(Input!$1:$1048576,IY$93,$C527*2+6)+INDEX(Input!$1:$1048576,IY$94,$C527*2+6)</f>
        <v>2130.0624533823611</v>
      </c>
      <c r="IZ527" s="39">
        <f>INDEX(Input!$1:$1048576,IZ$93,$C527*2+6)+INDEX(Input!$1:$1048576,IZ$94,$C527*2+6)</f>
        <v>3653.7164157747857</v>
      </c>
      <c r="JA527" s="19">
        <f t="shared" si="1449"/>
        <v>1300</v>
      </c>
      <c r="JB527" s="19">
        <f t="shared" si="1450"/>
        <v>2910.0721921095619</v>
      </c>
      <c r="JC527" s="19">
        <f t="shared" si="1451"/>
        <v>3668.7164157747857</v>
      </c>
      <c r="JD527" s="19">
        <f t="shared" si="1452"/>
        <v>2384.6478501042097</v>
      </c>
      <c r="JE527" s="21"/>
      <c r="JF527" s="1">
        <f t="shared" si="1432"/>
        <v>2.9195044280595241E-2</v>
      </c>
      <c r="JG527" s="15">
        <f>INDEX(Input!$1:$1048576,JG$93,$C527*2+6)/(1+VLOOKUP(C527*1000+INDEX(Input!$1:$1048576,JG$93+1,$C527*2+6),$A:$KK,$JK$92,FALSE))</f>
        <v>821</v>
      </c>
      <c r="JH527" s="1">
        <f t="shared" si="1453"/>
        <v>1.0850632891476064E-2</v>
      </c>
      <c r="JI527" s="1">
        <f t="shared" si="1454"/>
        <v>5.4442185203419091E-2</v>
      </c>
      <c r="JJ527" s="1">
        <f t="shared" si="1492"/>
        <v>0</v>
      </c>
      <c r="JK527" s="1">
        <f t="shared" si="1496"/>
        <v>6.529281809489515E-2</v>
      </c>
      <c r="JL527" s="15">
        <f t="shared" si="1457"/>
        <v>53.605403655908916</v>
      </c>
      <c r="JM527" s="15">
        <f t="shared" si="1483"/>
        <v>874.60540365590896</v>
      </c>
      <c r="JN527" s="21"/>
      <c r="JO527" s="19">
        <f>INDEX(Input!$1:$1048576,JO$93,$C527*2+6)</f>
        <v>5995.5</v>
      </c>
      <c r="JP527" s="19">
        <f>INDEX(Input!$1:$1048576,JP$93,$C527*2+6)</f>
        <v>1890.7138380411029</v>
      </c>
      <c r="JQ527" s="39">
        <f t="shared" si="1469"/>
        <v>3610.8521498957903</v>
      </c>
      <c r="JR527" s="39">
        <f t="shared" si="1486"/>
        <v>493.93401206310682</v>
      </c>
      <c r="JS527" s="39">
        <f t="shared" si="1471"/>
        <v>2.0856258955175879</v>
      </c>
      <c r="JT527" s="39">
        <f t="shared" si="1459"/>
        <v>0.53334983448584239</v>
      </c>
      <c r="JU527" s="385">
        <f>(JQ527*JM527-INDEX(Input!$1:$1048576,Input!A$18,$C527*2+6)*JL527*INDEX(Input!$1:$1048576,Input!A$19,$C527*2+6))/1000000</f>
        <v>3.1580708021014141</v>
      </c>
      <c r="JV527" s="39">
        <f t="shared" si="1493"/>
        <v>-0.21195863686684024</v>
      </c>
      <c r="JW527" s="1">
        <f t="shared" si="1484"/>
        <v>-6.2895188515543668E-2</v>
      </c>
      <c r="JX527" s="19">
        <f t="shared" si="1475"/>
        <v>9949.553554514674</v>
      </c>
      <c r="JZ527" s="341"/>
      <c r="KA527" s="342"/>
      <c r="KB527" s="469">
        <f t="shared" si="1472"/>
        <v>2.5122967434604799</v>
      </c>
      <c r="KI527" s="473">
        <f t="shared" si="1499"/>
        <v>-20.399175305633037</v>
      </c>
      <c r="KJ527" s="473">
        <f t="shared" si="1500"/>
        <v>75.308329553333863</v>
      </c>
      <c r="KK527" s="473">
        <f t="shared" si="1461"/>
        <v>-1.3037505917919532</v>
      </c>
      <c r="KN527" s="544">
        <f t="shared" si="1476"/>
        <v>5002</v>
      </c>
      <c r="KO527" s="541">
        <f t="shared" si="1436"/>
        <v>6.0972919849909823E-2</v>
      </c>
      <c r="KP527" s="546">
        <f t="shared" si="1437"/>
        <v>432.46407360577854</v>
      </c>
      <c r="KQ527" s="546">
        <f t="shared" si="1438"/>
        <v>465.72908438094328</v>
      </c>
      <c r="KR527" s="548">
        <f t="shared" si="1439"/>
        <v>2.5471288607054285</v>
      </c>
      <c r="KS527" s="548">
        <f t="shared" si="1440"/>
        <v>2.3651984813525386</v>
      </c>
      <c r="KT527" s="473">
        <f t="shared" si="1474"/>
        <v>595.94378802984284</v>
      </c>
      <c r="KU527" s="663">
        <f t="shared" si="1462"/>
        <v>3.918814841791014</v>
      </c>
      <c r="KV527" s="117"/>
    </row>
    <row r="528" spans="1:308" s="26" customFormat="1" ht="15">
      <c r="A528" s="561">
        <f t="shared" si="1441"/>
        <v>5028</v>
      </c>
      <c r="B528" s="561">
        <f t="shared" si="1463"/>
        <v>28</v>
      </c>
      <c r="C528" s="561">
        <f t="shared" si="1464"/>
        <v>5</v>
      </c>
      <c r="D528" s="561" t="str">
        <f t="shared" si="1509"/>
        <v xml:space="preserve">1000 Combo, </v>
      </c>
      <c r="E528" s="475">
        <f>INDEX(Input!$1:$1048576,E$93,$C528*2+MIN($B528,2)+5)
+INDEX(Scenarios!E$121:E$200,MATCH($B528,Scenarios!$B$121:$B$200,0))</f>
        <v>1277.4263093788063</v>
      </c>
      <c r="F528" s="475">
        <f>INDEX(Input!$1:$1048576,F$93,$C528*2+MIN($B528,2)+5)
+INDEX(Scenarios!F$121:F$200,MATCH($B528,Scenarios!$B$121:$B$200,0))</f>
        <v>0</v>
      </c>
      <c r="G528" s="475">
        <f>INDEX(Input!$1:$1048576,G$93,$C528*2+MIN($B528,2)+5)
+INDEX(Scenarios!G$121:G$200,MATCH($B528,Scenarios!$B$121:$B$200,0))</f>
        <v>0</v>
      </c>
      <c r="H528" s="475">
        <f>INDEX(Input!$1:$1048576,H$93,$C528*2+MIN($B528,2)+5)
+INDEX(Scenarios!H$121:H$200,MATCH($B528,Scenarios!$B$121:$B$200,0))</f>
        <v>0</v>
      </c>
      <c r="I528" s="476">
        <f>INDEX(Input!$1:$1048576,I$93,$C528*2+MIN($B528,2)+5)</f>
        <v>0.7</v>
      </c>
      <c r="J528" s="476" t="str">
        <f>INDEX(Input!$1:$1048576,J$93,$C528*2+MIN($B528,2)+5)</f>
        <v>Market</v>
      </c>
      <c r="K528" s="476" t="str">
        <f>INDEX(Input!$1:$1048576,K$93,$C528*2+MIN($B528,2)+5)</f>
        <v>Market</v>
      </c>
      <c r="L528" s="476" t="str">
        <f>INDEX(Input!$1:$1048576,L$93,$C528*2+MIN($B528,2)+5)</f>
        <v>Market</v>
      </c>
      <c r="M528" s="476" t="str">
        <f>INDEX(Input!$1:$1048576,M$93,$C528*2+MIN($B528,2)+5)</f>
        <v>Market</v>
      </c>
      <c r="N528" s="476" t="str">
        <f>INDEX(Input!$1:$1048576,N$93,$C528*2+MIN($B528,2)+5)</f>
        <v>Market</v>
      </c>
      <c r="O528" s="476" t="str">
        <f>INDEX(Input!$1:$1048576,O$93,$C528*2+MIN($B528,2)+5)</f>
        <v>Market</v>
      </c>
      <c r="P528" s="476" t="str">
        <f>INDEX(Input!$1:$1048576,P$93,$C528*2+MIN($B528,2)+5)</f>
        <v>N</v>
      </c>
      <c r="Q528" s="477">
        <f>INDEX(Input!$1:$1048576,Q$93,$C528*2+MIN($B528,2)+5)
+INDEX(Scenarios!Q$121:Q$200,MATCH($B528,Scenarios!$B$121:$B$200,0))</f>
        <v>1000</v>
      </c>
      <c r="R528" s="478">
        <f>IFERROR(MAX(0,INDEX(Input!$1:$1048576,R$93,$C528*2+MIN($B528,2)+5)
+INDEX(Scenarios!R$121:R$200,MATCH($B528,Scenarios!$B$121:$B$200,0)),),"Market")</f>
        <v>0</v>
      </c>
      <c r="S528" s="478">
        <f>IFERROR(MAX(0,INDEX(Input!$1:$1048576,S$93,$C528*2+MIN($B528,2)+5)
+INDEX(Scenarios!S$121:S$200,MATCH($B528,Scenarios!$B$121:$B$200,0)),),"Market")</f>
        <v>0</v>
      </c>
      <c r="T528" s="478">
        <f>IFERROR(MAX(0,INDEX(Input!$1:$1048576,T$93,$C528*2+MIN($B528,2)+5)
+INDEX(Scenarios!T$121:T$200,MATCH($B528,Scenarios!$B$121:$B$200,0)),),"Market")</f>
        <v>0</v>
      </c>
      <c r="U528" s="478">
        <f>IFERROR(MAX(0,INDEX(Input!$1:$1048576,U$93,$C528*2+MIN($B528,2)+5)
+INDEX(Scenarios!U$121:U$200,MATCH($B528,Scenarios!$B$121:$B$200,0)),),"Market")</f>
        <v>0</v>
      </c>
      <c r="V528" s="478">
        <f>IFERROR(MAX(0,INDEX(Input!$1:$1048576,V$93,$C528*2+MIN($B528,2)+5)
+INDEX(Scenarios!V$121:V$200,MATCH($B528,Scenarios!$B$121:$B$200,0)),),"Market")</f>
        <v>1.9E-2</v>
      </c>
      <c r="W528" s="885">
        <f>IFERROR(MAX(0,INDEX(Input!$1:$1048576,W$93,$C528*2+MIN($B528,2)+5)-0%,),"Market")</f>
        <v>3.9E-2</v>
      </c>
      <c r="X528" s="476" t="str">
        <f>INDEX(Input!$1:$1048576,X$93,$C528*2+MIN($B528,2)+5)</f>
        <v>Y</v>
      </c>
      <c r="Y528" s="475">
        <f>INDEX(Input!$1:$1048576,Y$93,$C528*2+MIN($B528,2)+5)
++INDEX(Scenarios!Y$121:Y$200,MATCH($B528,Scenarios!$B$121:$B$200,0))</f>
        <v>-717.93641739252325</v>
      </c>
      <c r="Z528" s="477">
        <f>INDEX(Input!$1:$1048576,Z$93,$C528*2+MIN($B528,2)+5)
+INDEX(Scenarios!Z$121:Z$200,MATCH($B528,Scenarios!$B$121:$B$200,0))</f>
        <v>0</v>
      </c>
      <c r="AA528" s="475">
        <f>INDEX(Input!$1:$1048576,AA$93,$C528*2+MIN($B528,2)+5)
+INDEX(Scenarios!AA$121:AA$200,MATCH($B528,Scenarios!$B$121:$B$200,0))</f>
        <v>0</v>
      </c>
      <c r="AB528" s="476">
        <f>INDEX(Input!$1:$1048576,AB$93,$C528*2+MIN($B528,2)+5)</f>
        <v>0.27</v>
      </c>
      <c r="AC528" s="475">
        <f>INDEX(Input!$1:$1048576,AC$93,$C528*2+MIN($B528,2)+5)
+INDEX(Scenarios!AC$121:AC$200,MATCH($B528,Scenarios!$B$121:$B$200,0))</f>
        <v>0</v>
      </c>
      <c r="AD528" s="476">
        <f>INDEX(Input!$1:$1048576,AD$93,$C528*2+MIN($B528,2)+5)</f>
        <v>0.27</v>
      </c>
      <c r="AE528" s="475">
        <f>INDEX(Input!$1:$1048576,AE$93,$C528*2+MIN($B528,2)+5)
+INDEX(Scenarios!AE$121:AE$200,MATCH($B528,Scenarios!$B$121:$B$200,0))</f>
        <v>0</v>
      </c>
      <c r="AF528" s="476">
        <f>INDEX(Input!$1:$1048576,AF$93,$C528*2+MIN($B528,2)+5)</f>
        <v>0.2</v>
      </c>
      <c r="AG528" s="475">
        <f>INDEX(Input!$1:$1048576,AG$93,$C528*2+MIN($B528,2)+5)
+INDEX(Scenarios!AG$121:AG$200,MATCH($B528,Scenarios!$B$121:$B$200,0))</f>
        <v>500</v>
      </c>
      <c r="AH528" s="476">
        <f>INDEX(Input!$1:$1048576,AH$93,$C528*2+MIN($B528,2)+5)</f>
        <v>1</v>
      </c>
      <c r="AI528" s="475">
        <f>INDEX(Input!$1:$1048576,AI$93,$C528*2+MIN($B528,2)+5)
+INDEX(Scenarios!AI$121:AI$200,MATCH($B528,Scenarios!$B$121:$B$200,0))</f>
        <v>0</v>
      </c>
      <c r="AJ528" s="476">
        <f>INDEX(Input!$1:$1048576,AJ$93,$C528*2+MIN($B528,2)+5)</f>
        <v>0.27</v>
      </c>
      <c r="AK528" s="150">
        <f>ROUND(INDEX(Input!$1:$1048576,AK$93,$C527*2+MIN($B528,1)+5)+(Y528-VLOOKUP($C528*1000+1,$A:$HH,Y$92,FALSE)),0)</f>
        <v>2587</v>
      </c>
      <c r="AL528" s="150">
        <f>ROUND(INDEX(Input!$1:$1048576,AL$93,$C527*2+MIN($B528,1)+5)-(Y528-VLOOKUP($C528*1000+1,$A:$HH,Y$92,FALSE))/36,0)</f>
        <v>3406</v>
      </c>
      <c r="AM528" s="32" t="str">
        <f t="shared" si="1442"/>
        <v>std/std/std/std</v>
      </c>
      <c r="AN528" s="32" t="str">
        <f t="shared" si="1443"/>
        <v>$1000 + 0/0/0/1.9/3.9</v>
      </c>
      <c r="AO528" s="32" t="str">
        <f t="shared" si="1444"/>
        <v>0/0/0/1.9/3.9</v>
      </c>
      <c r="AP528" s="32" t="str">
        <f t="shared" si="1396"/>
        <v>0/0.9/1.9/3.9</v>
      </c>
      <c r="AQ528" s="536">
        <f t="shared" si="1394"/>
        <v>0.34025390325617283</v>
      </c>
      <c r="AR528" s="32"/>
      <c r="AS528" s="302"/>
      <c r="AT528" s="3">
        <f t="shared" si="1465"/>
        <v>28</v>
      </c>
      <c r="AU528" s="41" t="s">
        <v>121</v>
      </c>
      <c r="AV528" s="41" t="s">
        <v>116</v>
      </c>
      <c r="AW528" s="41" t="str">
        <f>INDEX(Input!$1:$1048576,AW$93,$C528*2+6)</f>
        <v>Kia</v>
      </c>
      <c r="AX528" s="41" t="str">
        <f>INDEX(Input!$1:$1048576,AX$93,$C528*2+6)</f>
        <v>Kia-LR - R2</v>
      </c>
      <c r="AY528" s="41" t="str">
        <f>IF(LEN(D528)=0,"",INDEX(Input!$1:$1048576,AY$93,$C528*2+6))</f>
        <v>Compact SUV (52)</v>
      </c>
      <c r="AZ528" s="41" t="str">
        <f>INDEX(Input!$1:$1048576,AZ$93,$C528*2+6)</f>
        <v>Kia Soul</v>
      </c>
      <c r="BA528" s="3">
        <f>INDEX(Input!$1:$1048576,BA$93,$C528*2+6)</f>
        <v>2020</v>
      </c>
      <c r="BB528" s="128">
        <f>INDEX(Input!$1:$1048576,BB$93,$C528*2+6)</f>
        <v>1</v>
      </c>
      <c r="BC528" s="128">
        <f>INDEX(Input!$1:$1048576,BC$93,$C528*2+6)</f>
        <v>0.7</v>
      </c>
      <c r="BD528" s="1">
        <f>INDEX(Input!$1:$1048576,BD$93,$C528*2+6)</f>
        <v>4.4999999999999998E-2</v>
      </c>
      <c r="BE528" s="1">
        <f>INDEX(Input!$1:$1048576,BE$93,$C528*2+6)</f>
        <v>4.4999999999999998E-2</v>
      </c>
      <c r="BF528" s="1">
        <f>INDEX(Input!$1:$1048576,BF$93,$C528*2+6)</f>
        <v>0.05</v>
      </c>
      <c r="BG528" s="1">
        <f>INDEX(Input!$1:$1048576,BG$93,$C528*2+6)</f>
        <v>5.45E-2</v>
      </c>
      <c r="BH528" s="1">
        <f>INDEX(Input!$1:$1048576,BH$93,$C528*2+6)</f>
        <v>5.45E-2</v>
      </c>
      <c r="BI528" s="1">
        <f>INDEX(Input!$1:$1048576,BI$93,$C528*2+6)</f>
        <v>0.05</v>
      </c>
      <c r="BJ528" s="1">
        <f>INDEX(Input!$1:$1048576,BJ$93,$C528*2+6)</f>
        <v>0.05</v>
      </c>
      <c r="BK528" s="1">
        <f>INDEX(Input!$1:$1048576,BK$93,$C528*2+6)</f>
        <v>0.05</v>
      </c>
      <c r="BL528" s="1">
        <f>INDEX(Input!$1:$1048576,BL$93,$C528*2+6)</f>
        <v>5.5E-2</v>
      </c>
      <c r="BM528" s="1">
        <f>INDEX(Input!$1:$1048576,BM$93,$C528*2+6)</f>
        <v>0.06</v>
      </c>
      <c r="BN528" s="1">
        <f>INDEX(Input!$1:$1048576,BN$93,$C528*2+6)</f>
        <v>4.4999999999999998E-2</v>
      </c>
      <c r="BO528" s="1">
        <f>INDEX(Input!$1:$1048576,BO$93,$C528*2+6)</f>
        <v>4.4999999999999998E-2</v>
      </c>
      <c r="BP528" s="1">
        <f>INDEX(Input!$1:$1048576,BP$93,$C528*2+6)</f>
        <v>0.05</v>
      </c>
      <c r="BQ528" s="1">
        <f>INDEX(Input!$1:$1048576,BQ$93,$C528*2+6)</f>
        <v>5.45E-2</v>
      </c>
      <c r="BR528" s="1">
        <f>INDEX(Input!$1:$1048576,BR$93,$C528*2+6)</f>
        <v>5.45E-2</v>
      </c>
      <c r="BS528" s="1">
        <f>INDEX(Input!$1:$1048576,BS$93,$C528*2+6)</f>
        <v>0.05</v>
      </c>
      <c r="BT528" s="1">
        <f>INDEX(Input!$1:$1048576,BT$93,$C528*2+6)</f>
        <v>0.05</v>
      </c>
      <c r="BU528" s="1">
        <f>INDEX(Input!$1:$1048576,BU$93,$C528*2+6)</f>
        <v>0.05</v>
      </c>
      <c r="BV528" s="1">
        <f>INDEX(Input!$1:$1048576,BV$93,$C528*2+6)</f>
        <v>5.5E-2</v>
      </c>
      <c r="BW528" s="1">
        <f>INDEX(Input!$1:$1048576,BW$93,$C528*2+6)</f>
        <v>0.06</v>
      </c>
      <c r="BX528" s="127">
        <f>INDEX(Input!$1:$1048576,BX$93,$C528*2+6)</f>
        <v>19985</v>
      </c>
      <c r="BY528" s="20">
        <f>INDEX(Input!$1:$1048576,BY$93,$C528*2+6)</f>
        <v>0.1</v>
      </c>
      <c r="BZ528" s="20">
        <f>INDEX(Input!$1:$1048576,BZ$93,$C528*2+6)</f>
        <v>0.1</v>
      </c>
      <c r="CA528" s="20">
        <f>INDEX(Input!$1:$1048576,CA$93,$C528*2+6)</f>
        <v>0.1</v>
      </c>
      <c r="CB528" s="20">
        <f>INDEX(Input!$1:$1048576,CB$93,$C528*2+6)</f>
        <v>0.1</v>
      </c>
      <c r="CC528" s="20">
        <f>INDEX(Input!$1:$1048576,CC$93,$C528*2+6)</f>
        <v>0.1</v>
      </c>
      <c r="CD528" s="384">
        <f>INDEX(Input!$1:$1048576,CD$93,$C528*2+6)</f>
        <v>0.1</v>
      </c>
      <c r="CE528" s="384">
        <f>INDEX(Input!$1:$1048576,CE$93,$C528*2+6)</f>
        <v>0.1</v>
      </c>
      <c r="CF528" s="384">
        <f>INDEX(Input!$1:$1048576,CF$93,$C528*2+6)</f>
        <v>0.1</v>
      </c>
      <c r="CG528" s="384">
        <f>INDEX(Input!$1:$1048576,CG$93,$C528*2+6)</f>
        <v>0.1</v>
      </c>
      <c r="CH528" s="384">
        <f>INDEX(Input!$1:$1048576,CH$93,$C528*2+6)</f>
        <v>0.1</v>
      </c>
      <c r="CI528" s="304">
        <f t="shared" si="1397"/>
        <v>1277.4263093788063</v>
      </c>
      <c r="CJ528" s="16" t="str">
        <f>INDEX(Input!$1:$1048576,CJ$93,$C528*2+6)</f>
        <v>N</v>
      </c>
      <c r="CK528" s="1" t="str">
        <f t="shared" si="1398"/>
        <v>Market</v>
      </c>
      <c r="CL528" s="1" t="str">
        <f t="shared" si="1399"/>
        <v>Market</v>
      </c>
      <c r="CM528" s="1" t="str">
        <f t="shared" si="1400"/>
        <v>Market</v>
      </c>
      <c r="CN528" s="1" t="str">
        <f t="shared" si="1401"/>
        <v>Market</v>
      </c>
      <c r="CO528" s="1" t="str">
        <f t="shared" si="1402"/>
        <v>Market</v>
      </c>
      <c r="CP528" s="304">
        <f t="shared" si="1403"/>
        <v>1500</v>
      </c>
      <c r="CQ528" s="1">
        <f t="shared" si="1404"/>
        <v>0</v>
      </c>
      <c r="CR528" s="1">
        <f t="shared" si="1405"/>
        <v>0</v>
      </c>
      <c r="CS528" s="1">
        <f t="shared" si="1406"/>
        <v>0</v>
      </c>
      <c r="CT528" s="1">
        <f t="shared" si="1407"/>
        <v>1.9E-2</v>
      </c>
      <c r="CU528" s="1">
        <f t="shared" si="1408"/>
        <v>3.9E-2</v>
      </c>
      <c r="CV528" s="304">
        <f t="shared" si="1409"/>
        <v>-717.93641739252325</v>
      </c>
      <c r="CW528" s="20" t="s">
        <v>122</v>
      </c>
      <c r="CX528" s="20" t="s">
        <v>122</v>
      </c>
      <c r="CY528" s="20" t="s">
        <v>122</v>
      </c>
      <c r="CZ528" s="20" t="s">
        <v>122</v>
      </c>
      <c r="DA528" s="20" t="s">
        <v>122</v>
      </c>
      <c r="DB528" s="503">
        <f t="shared" si="1410"/>
        <v>0</v>
      </c>
      <c r="DC528" s="127">
        <v>0</v>
      </c>
      <c r="DD528" s="127">
        <v>0</v>
      </c>
      <c r="DE528" s="127">
        <v>0</v>
      </c>
      <c r="DF528" s="127">
        <v>0</v>
      </c>
      <c r="DG528" s="127">
        <v>0</v>
      </c>
      <c r="DH528" s="127">
        <v>0</v>
      </c>
      <c r="DI528" s="127">
        <v>0</v>
      </c>
      <c r="DJ528" s="127">
        <v>0</v>
      </c>
      <c r="DK528" s="127">
        <v>0</v>
      </c>
      <c r="DL528" s="127">
        <v>0</v>
      </c>
      <c r="DM528" s="304">
        <f>INDEX(Input!$1:$1048576,DM$93,$C528*2+6)</f>
        <v>21036.84210526316</v>
      </c>
      <c r="DN528" s="20">
        <v>0</v>
      </c>
      <c r="DO528" s="20">
        <v>0</v>
      </c>
      <c r="DP528" s="20">
        <v>0</v>
      </c>
      <c r="DQ528" s="20">
        <v>0</v>
      </c>
      <c r="DR528" s="20">
        <v>0</v>
      </c>
      <c r="DS528" s="20">
        <f>INDEX(Input!$1:$1048576,DS$93,$C528*2+6)</f>
        <v>0.6</v>
      </c>
      <c r="DT528" s="20">
        <f>INDEX(Input!$1:$1048576,DT$93,$C528*2+6)</f>
        <v>0.55000000000000004</v>
      </c>
      <c r="DU528" s="20">
        <f>INDEX(Input!$1:$1048576,DU$93,$C528*2+6)</f>
        <v>0.52</v>
      </c>
      <c r="DV528" s="20">
        <f>INDEX(Input!$1:$1048576,DV$93,$C528*2+6)</f>
        <v>0.5</v>
      </c>
      <c r="DW528" s="20">
        <f>INDEX(Input!$1:$1048576,DW$93,$C528*2+6)</f>
        <v>0.45</v>
      </c>
      <c r="DX528" s="20"/>
      <c r="DY528" s="7">
        <v>0.11358271885618702</v>
      </c>
      <c r="DZ528" s="7">
        <v>0</v>
      </c>
      <c r="EA528" s="7">
        <v>0.69464056141232666</v>
      </c>
      <c r="EB528" s="7">
        <v>0</v>
      </c>
      <c r="EC528" s="7">
        <v>0</v>
      </c>
      <c r="ED528" s="7">
        <v>0</v>
      </c>
      <c r="EE528" s="7">
        <v>0</v>
      </c>
      <c r="EF528" s="7">
        <v>0</v>
      </c>
      <c r="EG528" s="7">
        <v>0</v>
      </c>
      <c r="EH528" s="7">
        <v>1.2087691207928812E-2</v>
      </c>
      <c r="EI528" s="7">
        <v>3.3603400791320709E-2</v>
      </c>
      <c r="EJ528" s="7">
        <v>0.29191956186761991</v>
      </c>
      <c r="EK528" s="7">
        <v>0.53734061472808092</v>
      </c>
      <c r="EL528" s="7">
        <v>0.12504873140504955</v>
      </c>
      <c r="EM528" s="7">
        <v>0.1244911360436302</v>
      </c>
      <c r="EN528" s="7">
        <v>5.8454555740319318E-2</v>
      </c>
      <c r="EO528" s="7">
        <v>0.71694597658107595</v>
      </c>
      <c r="EP528" s="7">
        <v>8.9869715864771244E-2</v>
      </c>
      <c r="EQ528" s="7">
        <v>8.8460946154787251E-2</v>
      </c>
      <c r="ER528" s="7">
        <v>4.6268805659045689E-2</v>
      </c>
      <c r="ES528" s="7">
        <v>6.7285583687856129E-2</v>
      </c>
      <c r="ET528" s="7">
        <v>0.19177671973148624</v>
      </c>
      <c r="EU528" s="6">
        <v>1270</v>
      </c>
      <c r="EV528" s="6">
        <v>0</v>
      </c>
      <c r="EW528" s="6">
        <v>1270</v>
      </c>
      <c r="EX528" s="6">
        <v>0</v>
      </c>
      <c r="EY528" s="6">
        <v>3015.7520314773938</v>
      </c>
      <c r="EZ528" s="6">
        <v>-6.4499039401316622</v>
      </c>
      <c r="FA528" s="6">
        <v>0</v>
      </c>
      <c r="FB528" s="6">
        <v>0</v>
      </c>
      <c r="FC528" s="6">
        <v>0</v>
      </c>
      <c r="FD528" s="6">
        <v>0</v>
      </c>
      <c r="FE528" s="6">
        <v>0</v>
      </c>
      <c r="FF528" s="6">
        <v>0</v>
      </c>
      <c r="FG528" s="6">
        <v>0</v>
      </c>
      <c r="FH528" s="6">
        <v>1172.1344123696133</v>
      </c>
      <c r="FI528" s="6">
        <v>1553.9796069512402</v>
      </c>
      <c r="FJ528" s="6">
        <v>2101.2110117447419</v>
      </c>
      <c r="FK528" s="6">
        <v>1772.7139978623229</v>
      </c>
      <c r="FL528" s="6">
        <v>907.07682140966358</v>
      </c>
      <c r="FM528" s="6">
        <v>1745.7520314773935</v>
      </c>
      <c r="FN528" s="6">
        <v>0</v>
      </c>
      <c r="FO528" s="6">
        <v>0</v>
      </c>
      <c r="FP528" s="6">
        <v>0</v>
      </c>
      <c r="FQ528" s="6">
        <v>0</v>
      </c>
      <c r="FR528" s="6">
        <v>0</v>
      </c>
      <c r="FS528" s="6">
        <v>0</v>
      </c>
      <c r="FT528" s="7">
        <v>0.80822328026851364</v>
      </c>
      <c r="FU528" s="7">
        <v>0.1244911360436302</v>
      </c>
      <c r="FV528" s="7">
        <v>6.7285583687856129E-2</v>
      </c>
      <c r="FW528" s="6">
        <v>1270</v>
      </c>
      <c r="FX528" s="6">
        <v>3015.7520314773938</v>
      </c>
      <c r="FY528" s="6">
        <v>-6.4499039401316622</v>
      </c>
      <c r="FZ528" s="6">
        <v>1758.1538569113241</v>
      </c>
      <c r="GA528" s="6">
        <v>1401.4439768141763</v>
      </c>
      <c r="GB528" s="6">
        <v>18583.556023185825</v>
      </c>
      <c r="GC528" s="7">
        <v>3.064145122680037E-2</v>
      </c>
      <c r="GD528" s="7">
        <v>2.9603027109331465E-2</v>
      </c>
      <c r="GE528" s="7"/>
      <c r="GF528" s="7"/>
      <c r="GG528" s="7">
        <v>-3.3889521412766965E-2</v>
      </c>
      <c r="GH528" s="42">
        <v>1.8986916909890303</v>
      </c>
      <c r="GI528" s="6">
        <v>11927.112833346539</v>
      </c>
      <c r="GJ528" s="14">
        <v>0.50394797582841722</v>
      </c>
      <c r="GK528" s="14">
        <v>0.50887573065309699</v>
      </c>
      <c r="GL528" s="14">
        <v>0.49605202417158267</v>
      </c>
      <c r="GM528" s="14">
        <v>0.49112426934690218</v>
      </c>
      <c r="GO528" s="5">
        <v>343.14810671672558</v>
      </c>
      <c r="GP528" s="5">
        <v>318.91892952659737</v>
      </c>
      <c r="GQ528" s="5">
        <v>535.04305713031317</v>
      </c>
      <c r="GR528" s="5">
        <v>410.15490233172511</v>
      </c>
      <c r="GS528" s="5">
        <v>339.42744393800166</v>
      </c>
      <c r="GT528" s="5">
        <v>293.4407446948278</v>
      </c>
      <c r="GU528" s="5">
        <v>258.04012322764959</v>
      </c>
      <c r="GV528" s="39" t="s">
        <v>392</v>
      </c>
      <c r="GW528" s="5">
        <v>464.34722222222223</v>
      </c>
      <c r="GX528" s="5">
        <v>348.26041666666669</v>
      </c>
      <c r="GY528" s="5">
        <v>278.60833333333335</v>
      </c>
      <c r="GZ528" s="5">
        <v>245.84245344171217</v>
      </c>
      <c r="HA528" s="5">
        <v>227.72592165501612</v>
      </c>
      <c r="HB528" s="39">
        <v>259.22481546545328</v>
      </c>
      <c r="HC528" s="5">
        <v>287.56655829738071</v>
      </c>
      <c r="HD528" s="5">
        <v>239.99799238008356</v>
      </c>
      <c r="HE528" s="5">
        <v>241.14168635502031</v>
      </c>
      <c r="HF528" s="5">
        <v>221.05790951107167</v>
      </c>
      <c r="HG528" s="5">
        <v>210.75500473779988</v>
      </c>
      <c r="HH528" s="39">
        <v>239.85287945759336</v>
      </c>
      <c r="HI528" s="16"/>
      <c r="HJ528" s="19" t="str">
        <f t="shared" si="1507"/>
        <v>On</v>
      </c>
      <c r="HK528" s="1" t="str">
        <f t="shared" si="1507"/>
        <v>On</v>
      </c>
      <c r="HL528" s="16"/>
      <c r="HM528" s="639">
        <f t="shared" si="1413"/>
        <v>2.4909940070666322E-2</v>
      </c>
      <c r="HN528" s="639">
        <f t="shared" si="1414"/>
        <v>2.2052381276269151E-3</v>
      </c>
      <c r="HO528" s="639">
        <f t="shared" si="1415"/>
        <v>2.079866082302006E-3</v>
      </c>
      <c r="HP528" s="644">
        <f>(FT528*$GD528-HM528)/$JF528*INDEX(Input!$1:$1048576,$JG$93,$C528*2+6)</f>
        <v>-27.673644886675131</v>
      </c>
      <c r="HQ528" s="644">
        <f>(FU528*$GD528-HN528)/$JF528*INDEX(Input!$1:$1048576,$JG$93,$C528*2+6)</f>
        <v>41.621539246693168</v>
      </c>
      <c r="HR528" s="644">
        <f>(FV528*$GD528-HO528)/$JF528*INDEX(Input!$1:$1048576,$JG$93,$C528*2+6)</f>
        <v>-2.4749231539059804</v>
      </c>
      <c r="HS528" s="644">
        <f t="shared" si="1416"/>
        <v>-1.8454371548034498</v>
      </c>
      <c r="HT528" s="644">
        <f t="shared" si="1417"/>
        <v>60.668915270608188</v>
      </c>
      <c r="HU528" s="644">
        <f t="shared" si="1418"/>
        <v>0.62841929607691616</v>
      </c>
      <c r="HV528" s="648">
        <f t="shared" si="1419"/>
        <v>0</v>
      </c>
      <c r="HW528" s="648">
        <f t="shared" si="1420"/>
        <v>0</v>
      </c>
      <c r="HX528" s="648">
        <f t="shared" si="1421"/>
        <v>0</v>
      </c>
      <c r="HY528" s="644">
        <f>INDEX(Input!$1:$1048576,HY$93,$C528*2+6)*INDEX(Input!$1:$1048576,$JG$93,$C528*2+6)</f>
        <v>333.00000000000006</v>
      </c>
      <c r="HZ528" s="644">
        <f>INDEX(Input!$1:$1048576,HZ$93,$C528*2+6)*INDEX(Input!$1:$1048576,$JG$93,$C528*2+6)</f>
        <v>429</v>
      </c>
      <c r="IA528" s="644">
        <f>INDEX(Input!$1:$1048576,IA$93,$C528*2+6)*INDEX(Input!$1:$1048576,$JG$93,$C528*2+6)</f>
        <v>59</v>
      </c>
      <c r="IB528" s="644">
        <f t="shared" si="1445"/>
        <v>303.4809179585215</v>
      </c>
      <c r="IC528" s="644">
        <f t="shared" si="1446"/>
        <v>531.29045451730133</v>
      </c>
      <c r="ID528" s="644">
        <f>IF(AND(INDEX(Input!$1:$1048576,IA$93,$C528*2+7)="TOS",Y528&lt;=INDEX(Y:Y,MATCH(C528*1000+2,A:A))),0,1)*MAX(IA528+HR528+HU528+HX528,0%)</f>
        <v>57.15349614217093</v>
      </c>
      <c r="IE528" s="128">
        <f t="shared" si="1508"/>
        <v>0.34025390325617283</v>
      </c>
      <c r="IF528" s="128">
        <f t="shared" si="1468"/>
        <v>0.59566727334390535</v>
      </c>
      <c r="IG528" s="128">
        <f t="shared" si="1423"/>
        <v>6.4078823399921866E-2</v>
      </c>
      <c r="IH528" s="21"/>
      <c r="II528" s="19">
        <f t="shared" si="1424"/>
        <v>1240</v>
      </c>
      <c r="IJ528" s="19">
        <f t="shared" si="1425"/>
        <v>1985.7442651839444</v>
      </c>
      <c r="IK528" s="19">
        <f t="shared" si="1426"/>
        <v>-21.44990394013189</v>
      </c>
      <c r="IL528" s="19">
        <f t="shared" si="1448"/>
        <v>30</v>
      </c>
      <c r="IM528" s="19">
        <f t="shared" si="1427"/>
        <v>1030.0077662934493</v>
      </c>
      <c r="IN528" s="19">
        <f t="shared" si="1428"/>
        <v>15.000000000000227</v>
      </c>
      <c r="IO528" s="39">
        <f t="shared" si="1429"/>
        <v>0</v>
      </c>
      <c r="IP528" s="39">
        <f t="shared" si="1430"/>
        <v>0</v>
      </c>
      <c r="IQ528" s="39">
        <f t="shared" si="1431"/>
        <v>0</v>
      </c>
      <c r="IR528" s="39">
        <v>0</v>
      </c>
      <c r="IS528" s="39">
        <v>0</v>
      </c>
      <c r="IT528" s="39">
        <v>0</v>
      </c>
      <c r="IU528" s="39">
        <v>0</v>
      </c>
      <c r="IV528" s="39">
        <v>0</v>
      </c>
      <c r="IW528" s="39">
        <v>0</v>
      </c>
      <c r="IX528" s="39">
        <f>INDEX(Input!$1:$1048576,IX$93,$C528*2+6)+INDEX(Input!$1:$1048576,IX$94,$C528*2+6)</f>
        <v>1270</v>
      </c>
      <c r="IY528" s="39">
        <f>INDEX(Input!$1:$1048576,IY$93,$C528*2+6)+INDEX(Input!$1:$1048576,IY$94,$C528*2+6)</f>
        <v>2130.0624533823611</v>
      </c>
      <c r="IZ528" s="39">
        <f>INDEX(Input!$1:$1048576,IZ$93,$C528*2+6)+INDEX(Input!$1:$1048576,IZ$94,$C528*2+6)</f>
        <v>3653.7164157747857</v>
      </c>
      <c r="JA528" s="19">
        <f t="shared" si="1449"/>
        <v>1300</v>
      </c>
      <c r="JB528" s="19">
        <f t="shared" si="1450"/>
        <v>3160.0702196758102</v>
      </c>
      <c r="JC528" s="19">
        <f t="shared" si="1451"/>
        <v>3668.7164157747857</v>
      </c>
      <c r="JD528" s="19">
        <f t="shared" si="1452"/>
        <v>2559.7675168734172</v>
      </c>
      <c r="JE528" s="21"/>
      <c r="JF528" s="1">
        <f t="shared" si="1432"/>
        <v>2.9195044280595241E-2</v>
      </c>
      <c r="JG528" s="15">
        <f>INDEX(Input!$1:$1048576,JG$93,$C528*2+6)/(1+VLOOKUP(C528*1000+INDEX(Input!$1:$1048576,JG$93+1,$C528*2+6),$A:$KK,$JK$92,FALSE))</f>
        <v>821</v>
      </c>
      <c r="JH528" s="1">
        <f t="shared" si="1453"/>
        <v>1.3974386365544527E-2</v>
      </c>
      <c r="JI528" s="1">
        <f t="shared" si="1454"/>
        <v>7.2414004155763281E-2</v>
      </c>
      <c r="JJ528" s="1">
        <f t="shared" si="1492"/>
        <v>0</v>
      </c>
      <c r="JK528" s="1">
        <f t="shared" si="1496"/>
        <v>8.6388390521307812E-2</v>
      </c>
      <c r="JL528" s="15">
        <f t="shared" si="1457"/>
        <v>70.92486861799371</v>
      </c>
      <c r="JM528" s="15">
        <f t="shared" si="1483"/>
        <v>891.92486861799375</v>
      </c>
      <c r="JN528" s="21"/>
      <c r="JO528" s="19">
        <f>INDEX(Input!$1:$1048576,JO$93,$C528*2+6)</f>
        <v>5995.5</v>
      </c>
      <c r="JP528" s="19">
        <f>INDEX(Input!$1:$1048576,JP$93,$C528*2+6)</f>
        <v>1890.7138380411029</v>
      </c>
      <c r="JQ528" s="39">
        <f t="shared" si="1469"/>
        <v>3435.7324831265828</v>
      </c>
      <c r="JR528" s="39">
        <f t="shared" si="1486"/>
        <v>669.05367883231429</v>
      </c>
      <c r="JS528" s="39">
        <f t="shared" si="1471"/>
        <v>2.283120306179931</v>
      </c>
      <c r="JT528" s="39">
        <f t="shared" si="1459"/>
        <v>0.73084424514818536</v>
      </c>
      <c r="JU528" s="385">
        <f>(JQ528*JM528-INDEX(Input!$1:$1048576,Input!A$18,$C528*2+6)*JL528*INDEX(Input!$1:$1048576,Input!A$19,$C528*2+6))/1000000</f>
        <v>3.0644152436192504</v>
      </c>
      <c r="JV528" s="39">
        <f t="shared" si="1493"/>
        <v>-0.30561419534900391</v>
      </c>
      <c r="JW528" s="1">
        <f t="shared" si="1484"/>
        <v>-9.0685912655578668E-2</v>
      </c>
      <c r="JX528" s="19">
        <f t="shared" si="1475"/>
        <v>10304.48500489389</v>
      </c>
      <c r="JZ528" s="341"/>
      <c r="KA528" s="342"/>
      <c r="KB528" s="469">
        <f t="shared" si="1472"/>
        <v>2.5122967434604799</v>
      </c>
      <c r="KI528" s="473">
        <f t="shared" si="1499"/>
        <v>-29.519082041478555</v>
      </c>
      <c r="KJ528" s="473">
        <f t="shared" si="1500"/>
        <v>102.29045451730133</v>
      </c>
      <c r="KK528" s="473">
        <f t="shared" si="1461"/>
        <v>-1.8465038578290631</v>
      </c>
      <c r="KN528" s="544">
        <f t="shared" si="1476"/>
        <v>5002</v>
      </c>
      <c r="KO528" s="541">
        <f t="shared" si="1436"/>
        <v>8.198294703960074E-2</v>
      </c>
      <c r="KP528" s="546">
        <f t="shared" si="1437"/>
        <v>595.67102207952894</v>
      </c>
      <c r="KQ528" s="546">
        <f t="shared" si="1438"/>
        <v>640.84875115015075</v>
      </c>
      <c r="KR528" s="548">
        <f t="shared" si="1439"/>
        <v>2.4864573332309741</v>
      </c>
      <c r="KS528" s="548">
        <f t="shared" si="1440"/>
        <v>2.3111702697159666</v>
      </c>
      <c r="KT528" s="473">
        <f t="shared" si="1474"/>
        <v>595.94378802984284</v>
      </c>
      <c r="KU528" s="663">
        <f t="shared" si="1462"/>
        <v>3.8776215402575751</v>
      </c>
      <c r="KV528" s="117"/>
    </row>
    <row r="529" spans="1:308" s="26" customFormat="1" ht="15">
      <c r="A529" s="561">
        <f t="shared" si="1441"/>
        <v>5029</v>
      </c>
      <c r="B529" s="561">
        <f t="shared" si="1463"/>
        <v>29</v>
      </c>
      <c r="C529" s="561">
        <f t="shared" si="1464"/>
        <v>5</v>
      </c>
      <c r="D529" s="561" t="str">
        <f t="shared" si="1509"/>
        <v xml:space="preserve">-720 Lease, </v>
      </c>
      <c r="E529" s="475">
        <f>INDEX(Input!$1:$1048576,E$93,$C529*2+MIN($B529,2)+5)
+INDEX(Scenarios!E$121:E$200,MATCH($B529,Scenarios!$B$121:$B$200,0))</f>
        <v>1277.4263093788063</v>
      </c>
      <c r="F529" s="475">
        <f>INDEX(Input!$1:$1048576,F$93,$C529*2+MIN($B529,2)+5)
+INDEX(Scenarios!F$121:F$200,MATCH($B529,Scenarios!$B$121:$B$200,0))</f>
        <v>0</v>
      </c>
      <c r="G529" s="475">
        <f>INDEX(Input!$1:$1048576,G$93,$C529*2+MIN($B529,2)+5)
+INDEX(Scenarios!G$121:G$200,MATCH($B529,Scenarios!$B$121:$B$200,0))</f>
        <v>0</v>
      </c>
      <c r="H529" s="475">
        <f>INDEX(Input!$1:$1048576,H$93,$C529*2+MIN($B529,2)+5)
+INDEX(Scenarios!H$121:H$200,MATCH($B529,Scenarios!$B$121:$B$200,0))</f>
        <v>0</v>
      </c>
      <c r="I529" s="476">
        <f>INDEX(Input!$1:$1048576,I$93,$C529*2+MIN($B529,2)+5)</f>
        <v>0.7</v>
      </c>
      <c r="J529" s="476" t="str">
        <f>INDEX(Input!$1:$1048576,J$93,$C529*2+MIN($B529,2)+5)</f>
        <v>Market</v>
      </c>
      <c r="K529" s="476" t="str">
        <f>INDEX(Input!$1:$1048576,K$93,$C529*2+MIN($B529,2)+5)</f>
        <v>Market</v>
      </c>
      <c r="L529" s="476" t="str">
        <f>INDEX(Input!$1:$1048576,L$93,$C529*2+MIN($B529,2)+5)</f>
        <v>Market</v>
      </c>
      <c r="M529" s="476" t="str">
        <f>INDEX(Input!$1:$1048576,M$93,$C529*2+MIN($B529,2)+5)</f>
        <v>Market</v>
      </c>
      <c r="N529" s="476" t="str">
        <f>INDEX(Input!$1:$1048576,N$93,$C529*2+MIN($B529,2)+5)</f>
        <v>Market</v>
      </c>
      <c r="O529" s="476" t="str">
        <f>INDEX(Input!$1:$1048576,O$93,$C529*2+MIN($B529,2)+5)</f>
        <v>Market</v>
      </c>
      <c r="P529" s="476" t="str">
        <f>INDEX(Input!$1:$1048576,P$93,$C529*2+MIN($B529,2)+5)</f>
        <v>N</v>
      </c>
      <c r="Q529" s="477">
        <f>INDEX(Input!$1:$1048576,Q$93,$C529*2+MIN($B529,2)+5)
+INDEX(Scenarios!Q$121:Q$200,MATCH($B529,Scenarios!$B$121:$B$200,0))</f>
        <v>0</v>
      </c>
      <c r="R529" s="478">
        <f>IFERROR(MAX(0,INDEX(Input!$1:$1048576,R$93,$C529*2+MIN($B529,2)+5)
+INDEX(Scenarios!R$121:R$200,MATCH($B529,Scenarios!$B$121:$B$200,0)),),"Market")</f>
        <v>0</v>
      </c>
      <c r="S529" s="478">
        <f>IFERROR(MAX(0,INDEX(Input!$1:$1048576,S$93,$C529*2+MIN($B529,2)+5)
+INDEX(Scenarios!S$121:S$200,MATCH($B529,Scenarios!$B$121:$B$200,0)),),"Market")</f>
        <v>0</v>
      </c>
      <c r="T529" s="478">
        <f>IFERROR(MAX(0,INDEX(Input!$1:$1048576,T$93,$C529*2+MIN($B529,2)+5)
+INDEX(Scenarios!T$121:T$200,MATCH($B529,Scenarios!$B$121:$B$200,0)),),"Market")</f>
        <v>0</v>
      </c>
      <c r="U529" s="478">
        <f>IFERROR(MAX(0,INDEX(Input!$1:$1048576,U$93,$C529*2+MIN($B529,2)+5)
+INDEX(Scenarios!U$121:U$200,MATCH($B529,Scenarios!$B$121:$B$200,0)),),"Market")</f>
        <v>0</v>
      </c>
      <c r="V529" s="478">
        <f>IFERROR(MAX(0,INDEX(Input!$1:$1048576,V$93,$C529*2+MIN($B529,2)+5)
+INDEX(Scenarios!V$121:V$200,MATCH($B529,Scenarios!$B$121:$B$200,0)),),"Market")</f>
        <v>1.9E-2</v>
      </c>
      <c r="W529" s="885">
        <f>IFERROR(MAX(0,INDEX(Input!$1:$1048576,W$93,$C529*2+MIN($B529,2)+5)-0%,),"Market")</f>
        <v>3.9E-2</v>
      </c>
      <c r="X529" s="476" t="str">
        <f>INDEX(Input!$1:$1048576,X$93,$C529*2+MIN($B529,2)+5)</f>
        <v>Y</v>
      </c>
      <c r="Y529" s="475">
        <f>INDEX(Input!$1:$1048576,Y$93,$C529*2+MIN($B529,2)+5)
++INDEX(Scenarios!Y$121:Y$200,MATCH($B529,Scenarios!$B$121:$B$200,0))</f>
        <v>-1437.9364173925233</v>
      </c>
      <c r="Z529" s="477">
        <f>INDEX(Input!$1:$1048576,Z$93,$C529*2+MIN($B529,2)+5)
+INDEX(Scenarios!Z$121:Z$200,MATCH($B529,Scenarios!$B$121:$B$200,0))</f>
        <v>0</v>
      </c>
      <c r="AA529" s="475">
        <f>INDEX(Input!$1:$1048576,AA$93,$C529*2+MIN($B529,2)+5)
+INDEX(Scenarios!AA$121:AA$200,MATCH($B529,Scenarios!$B$121:$B$200,0))</f>
        <v>0</v>
      </c>
      <c r="AB529" s="476">
        <f>INDEX(Input!$1:$1048576,AB$93,$C529*2+MIN($B529,2)+5)</f>
        <v>0.27</v>
      </c>
      <c r="AC529" s="475">
        <f>INDEX(Input!$1:$1048576,AC$93,$C529*2+MIN($B529,2)+5)
+INDEX(Scenarios!AC$121:AC$200,MATCH($B529,Scenarios!$B$121:$B$200,0))</f>
        <v>0</v>
      </c>
      <c r="AD529" s="476">
        <f>INDEX(Input!$1:$1048576,AD$93,$C529*2+MIN($B529,2)+5)</f>
        <v>0.27</v>
      </c>
      <c r="AE529" s="475">
        <f>INDEX(Input!$1:$1048576,AE$93,$C529*2+MIN($B529,2)+5)
+INDEX(Scenarios!AE$121:AE$200,MATCH($B529,Scenarios!$B$121:$B$200,0))</f>
        <v>0</v>
      </c>
      <c r="AF529" s="476">
        <f>INDEX(Input!$1:$1048576,AF$93,$C529*2+MIN($B529,2)+5)</f>
        <v>0.2</v>
      </c>
      <c r="AG529" s="475">
        <f>INDEX(Input!$1:$1048576,AG$93,$C529*2+MIN($B529,2)+5)
+INDEX(Scenarios!AG$121:AG$200,MATCH($B529,Scenarios!$B$121:$B$200,0))</f>
        <v>500</v>
      </c>
      <c r="AH529" s="476">
        <f>INDEX(Input!$1:$1048576,AH$93,$C529*2+MIN($B529,2)+5)</f>
        <v>1</v>
      </c>
      <c r="AI529" s="475">
        <f>INDEX(Input!$1:$1048576,AI$93,$C529*2+MIN($B529,2)+5)
+INDEX(Scenarios!AI$121:AI$200,MATCH($B529,Scenarios!$B$121:$B$200,0))</f>
        <v>0</v>
      </c>
      <c r="AJ529" s="476">
        <f>INDEX(Input!$1:$1048576,AJ$93,$C529*2+MIN($B529,2)+5)</f>
        <v>0.27</v>
      </c>
      <c r="AK529" s="150">
        <f>ROUND(INDEX(Input!$1:$1048576,AK$93,$C528*2+MIN($B529,1)+5)+(Y529-VLOOKUP($C529*1000+1,$A:$HH,Y$92,FALSE)),0)</f>
        <v>1867</v>
      </c>
      <c r="AL529" s="150">
        <f>ROUND(INDEX(Input!$1:$1048576,AL$93,$C528*2+MIN($B529,1)+5)-(Y529-VLOOKUP($C529*1000+1,$A:$HH,Y$92,FALSE))/36,0)</f>
        <v>3426</v>
      </c>
      <c r="AM529" s="32" t="str">
        <f t="shared" si="1442"/>
        <v>std/std/std/std</v>
      </c>
      <c r="AN529" s="32" t="str">
        <f t="shared" si="1443"/>
        <v>$0 + 0/0/0/1.9/3.9</v>
      </c>
      <c r="AO529" s="32" t="str">
        <f t="shared" si="1444"/>
        <v>0/0/0/1.9/3.9</v>
      </c>
      <c r="AP529" s="32" t="str">
        <f t="shared" si="1396"/>
        <v>0/0.9/1.9/3.9</v>
      </c>
      <c r="AQ529" s="536">
        <f t="shared" si="1394"/>
        <v>0.42412815401880866</v>
      </c>
      <c r="AR529" s="32"/>
      <c r="AS529" s="302"/>
      <c r="AT529" s="3">
        <f t="shared" si="1465"/>
        <v>29</v>
      </c>
      <c r="AU529" s="41" t="s">
        <v>121</v>
      </c>
      <c r="AV529" s="41" t="s">
        <v>116</v>
      </c>
      <c r="AW529" s="41" t="str">
        <f>INDEX(Input!$1:$1048576,AW$93,$C529*2+6)</f>
        <v>Kia</v>
      </c>
      <c r="AX529" s="41" t="str">
        <f>INDEX(Input!$1:$1048576,AX$93,$C529*2+6)</f>
        <v>Kia-LR - R2</v>
      </c>
      <c r="AY529" s="41" t="str">
        <f>IF(LEN(D529)=0,"",INDEX(Input!$1:$1048576,AY$93,$C529*2+6))</f>
        <v>Compact SUV (52)</v>
      </c>
      <c r="AZ529" s="41" t="str">
        <f>INDEX(Input!$1:$1048576,AZ$93,$C529*2+6)</f>
        <v>Kia Soul</v>
      </c>
      <c r="BA529" s="3">
        <f>INDEX(Input!$1:$1048576,BA$93,$C529*2+6)</f>
        <v>2020</v>
      </c>
      <c r="BB529" s="128">
        <f>INDEX(Input!$1:$1048576,BB$93,$C529*2+6)</f>
        <v>1</v>
      </c>
      <c r="BC529" s="128">
        <f>INDEX(Input!$1:$1048576,BC$93,$C529*2+6)</f>
        <v>0.7</v>
      </c>
      <c r="BD529" s="1">
        <f>INDEX(Input!$1:$1048576,BD$93,$C529*2+6)</f>
        <v>4.4999999999999998E-2</v>
      </c>
      <c r="BE529" s="1">
        <f>INDEX(Input!$1:$1048576,BE$93,$C529*2+6)</f>
        <v>4.4999999999999998E-2</v>
      </c>
      <c r="BF529" s="1">
        <f>INDEX(Input!$1:$1048576,BF$93,$C529*2+6)</f>
        <v>0.05</v>
      </c>
      <c r="BG529" s="1">
        <f>INDEX(Input!$1:$1048576,BG$93,$C529*2+6)</f>
        <v>5.45E-2</v>
      </c>
      <c r="BH529" s="1">
        <f>INDEX(Input!$1:$1048576,BH$93,$C529*2+6)</f>
        <v>5.45E-2</v>
      </c>
      <c r="BI529" s="1">
        <f>INDEX(Input!$1:$1048576,BI$93,$C529*2+6)</f>
        <v>0.05</v>
      </c>
      <c r="BJ529" s="1">
        <f>INDEX(Input!$1:$1048576,BJ$93,$C529*2+6)</f>
        <v>0.05</v>
      </c>
      <c r="BK529" s="1">
        <f>INDEX(Input!$1:$1048576,BK$93,$C529*2+6)</f>
        <v>0.05</v>
      </c>
      <c r="BL529" s="1">
        <f>INDEX(Input!$1:$1048576,BL$93,$C529*2+6)</f>
        <v>5.5E-2</v>
      </c>
      <c r="BM529" s="1">
        <f>INDEX(Input!$1:$1048576,BM$93,$C529*2+6)</f>
        <v>0.06</v>
      </c>
      <c r="BN529" s="1">
        <f>INDEX(Input!$1:$1048576,BN$93,$C529*2+6)</f>
        <v>4.4999999999999998E-2</v>
      </c>
      <c r="BO529" s="1">
        <f>INDEX(Input!$1:$1048576,BO$93,$C529*2+6)</f>
        <v>4.4999999999999998E-2</v>
      </c>
      <c r="BP529" s="1">
        <f>INDEX(Input!$1:$1048576,BP$93,$C529*2+6)</f>
        <v>0.05</v>
      </c>
      <c r="BQ529" s="1">
        <f>INDEX(Input!$1:$1048576,BQ$93,$C529*2+6)</f>
        <v>5.45E-2</v>
      </c>
      <c r="BR529" s="1">
        <f>INDEX(Input!$1:$1048576,BR$93,$C529*2+6)</f>
        <v>5.45E-2</v>
      </c>
      <c r="BS529" s="1">
        <f>INDEX(Input!$1:$1048576,BS$93,$C529*2+6)</f>
        <v>0.05</v>
      </c>
      <c r="BT529" s="1">
        <f>INDEX(Input!$1:$1048576,BT$93,$C529*2+6)</f>
        <v>0.05</v>
      </c>
      <c r="BU529" s="1">
        <f>INDEX(Input!$1:$1048576,BU$93,$C529*2+6)</f>
        <v>0.05</v>
      </c>
      <c r="BV529" s="1">
        <f>INDEX(Input!$1:$1048576,BV$93,$C529*2+6)</f>
        <v>5.5E-2</v>
      </c>
      <c r="BW529" s="1">
        <f>INDEX(Input!$1:$1048576,BW$93,$C529*2+6)</f>
        <v>0.06</v>
      </c>
      <c r="BX529" s="127">
        <f>INDEX(Input!$1:$1048576,BX$93,$C529*2+6)</f>
        <v>19985</v>
      </c>
      <c r="BY529" s="20">
        <f>INDEX(Input!$1:$1048576,BY$93,$C529*2+6)</f>
        <v>0.1</v>
      </c>
      <c r="BZ529" s="20">
        <f>INDEX(Input!$1:$1048576,BZ$93,$C529*2+6)</f>
        <v>0.1</v>
      </c>
      <c r="CA529" s="20">
        <f>INDEX(Input!$1:$1048576,CA$93,$C529*2+6)</f>
        <v>0.1</v>
      </c>
      <c r="CB529" s="20">
        <f>INDEX(Input!$1:$1048576,CB$93,$C529*2+6)</f>
        <v>0.1</v>
      </c>
      <c r="CC529" s="20">
        <f>INDEX(Input!$1:$1048576,CC$93,$C529*2+6)</f>
        <v>0.1</v>
      </c>
      <c r="CD529" s="384">
        <f>INDEX(Input!$1:$1048576,CD$93,$C529*2+6)</f>
        <v>0.1</v>
      </c>
      <c r="CE529" s="384">
        <f>INDEX(Input!$1:$1048576,CE$93,$C529*2+6)</f>
        <v>0.1</v>
      </c>
      <c r="CF529" s="384">
        <f>INDEX(Input!$1:$1048576,CF$93,$C529*2+6)</f>
        <v>0.1</v>
      </c>
      <c r="CG529" s="384">
        <f>INDEX(Input!$1:$1048576,CG$93,$C529*2+6)</f>
        <v>0.1</v>
      </c>
      <c r="CH529" s="384">
        <f>INDEX(Input!$1:$1048576,CH$93,$C529*2+6)</f>
        <v>0.1</v>
      </c>
      <c r="CI529" s="304">
        <f t="shared" si="1397"/>
        <v>1277.4263093788063</v>
      </c>
      <c r="CJ529" s="16" t="str">
        <f>INDEX(Input!$1:$1048576,CJ$93,$C529*2+6)</f>
        <v>N</v>
      </c>
      <c r="CK529" s="1" t="str">
        <f t="shared" si="1398"/>
        <v>Market</v>
      </c>
      <c r="CL529" s="1" t="str">
        <f t="shared" si="1399"/>
        <v>Market</v>
      </c>
      <c r="CM529" s="1" t="str">
        <f t="shared" si="1400"/>
        <v>Market</v>
      </c>
      <c r="CN529" s="1" t="str">
        <f t="shared" si="1401"/>
        <v>Market</v>
      </c>
      <c r="CO529" s="1" t="str">
        <f t="shared" si="1402"/>
        <v>Market</v>
      </c>
      <c r="CP529" s="304">
        <f t="shared" si="1403"/>
        <v>500</v>
      </c>
      <c r="CQ529" s="1">
        <f t="shared" si="1404"/>
        <v>0</v>
      </c>
      <c r="CR529" s="1">
        <f t="shared" si="1405"/>
        <v>0</v>
      </c>
      <c r="CS529" s="1">
        <f t="shared" si="1406"/>
        <v>0</v>
      </c>
      <c r="CT529" s="1">
        <f t="shared" si="1407"/>
        <v>1.9E-2</v>
      </c>
      <c r="CU529" s="1">
        <f t="shared" si="1408"/>
        <v>3.9E-2</v>
      </c>
      <c r="CV529" s="304">
        <f t="shared" si="1409"/>
        <v>-1437.9364173925233</v>
      </c>
      <c r="CW529" s="20" t="s">
        <v>122</v>
      </c>
      <c r="CX529" s="20" t="s">
        <v>122</v>
      </c>
      <c r="CY529" s="20" t="s">
        <v>122</v>
      </c>
      <c r="CZ529" s="20" t="s">
        <v>122</v>
      </c>
      <c r="DA529" s="20" t="s">
        <v>122</v>
      </c>
      <c r="DB529" s="503">
        <f t="shared" si="1410"/>
        <v>0</v>
      </c>
      <c r="DC529" s="127">
        <v>0</v>
      </c>
      <c r="DD529" s="127">
        <v>0</v>
      </c>
      <c r="DE529" s="127">
        <v>0</v>
      </c>
      <c r="DF529" s="127">
        <v>0</v>
      </c>
      <c r="DG529" s="127">
        <v>0</v>
      </c>
      <c r="DH529" s="127">
        <v>0</v>
      </c>
      <c r="DI529" s="127">
        <v>0</v>
      </c>
      <c r="DJ529" s="127">
        <v>0</v>
      </c>
      <c r="DK529" s="127">
        <v>0</v>
      </c>
      <c r="DL529" s="127">
        <v>0</v>
      </c>
      <c r="DM529" s="304">
        <f>INDEX(Input!$1:$1048576,DM$93,$C529*2+6)</f>
        <v>21036.84210526316</v>
      </c>
      <c r="DN529" s="20">
        <v>0</v>
      </c>
      <c r="DO529" s="20">
        <v>0</v>
      </c>
      <c r="DP529" s="20">
        <v>0</v>
      </c>
      <c r="DQ529" s="20">
        <v>0</v>
      </c>
      <c r="DR529" s="20">
        <v>0</v>
      </c>
      <c r="DS529" s="20">
        <f>INDEX(Input!$1:$1048576,DS$93,$C529*2+6)</f>
        <v>0.6</v>
      </c>
      <c r="DT529" s="20">
        <f>INDEX(Input!$1:$1048576,DT$93,$C529*2+6)</f>
        <v>0.55000000000000004</v>
      </c>
      <c r="DU529" s="20">
        <f>INDEX(Input!$1:$1048576,DU$93,$C529*2+6)</f>
        <v>0.52</v>
      </c>
      <c r="DV529" s="20">
        <f>INDEX(Input!$1:$1048576,DV$93,$C529*2+6)</f>
        <v>0.5</v>
      </c>
      <c r="DW529" s="20">
        <f>INDEX(Input!$1:$1048576,DW$93,$C529*2+6)</f>
        <v>0.45</v>
      </c>
      <c r="DX529" s="20"/>
      <c r="DY529" s="7">
        <v>0.12171483367733549</v>
      </c>
      <c r="DZ529" s="7">
        <v>0</v>
      </c>
      <c r="EA529" s="7">
        <v>0.74981249214951817</v>
      </c>
      <c r="EB529" s="7">
        <v>0</v>
      </c>
      <c r="EC529" s="7">
        <v>0</v>
      </c>
      <c r="ED529" s="7">
        <v>0</v>
      </c>
      <c r="EE529" s="7">
        <v>0</v>
      </c>
      <c r="EF529" s="7">
        <v>0</v>
      </c>
      <c r="EG529" s="7">
        <v>0</v>
      </c>
      <c r="EH529" s="7">
        <v>1.2089982091610198E-2</v>
      </c>
      <c r="EI529" s="7">
        <v>3.3615943389899129E-2</v>
      </c>
      <c r="EJ529" s="7">
        <v>0.29201951886527072</v>
      </c>
      <c r="EK529" s="7">
        <v>0.5372246662694552</v>
      </c>
      <c r="EL529" s="7">
        <v>0.12504988938376485</v>
      </c>
      <c r="EM529" s="7">
        <v>7.718852330057234E-2</v>
      </c>
      <c r="EN529" s="7">
        <v>5.6551848213535906E-2</v>
      </c>
      <c r="EO529" s="7">
        <v>0.69681051698620589</v>
      </c>
      <c r="EP529" s="7">
        <v>9.9223159453305357E-2</v>
      </c>
      <c r="EQ529" s="7">
        <v>9.7694852636975554E-2</v>
      </c>
      <c r="ER529" s="7">
        <v>4.9719622709977165E-2</v>
      </c>
      <c r="ES529" s="7">
        <v>5.1284150872573979E-2</v>
      </c>
      <c r="ET529" s="7">
        <v>0.12847267417314634</v>
      </c>
      <c r="EU529" s="6">
        <v>1270</v>
      </c>
      <c r="EV529" s="6">
        <v>0</v>
      </c>
      <c r="EW529" s="6">
        <v>1270</v>
      </c>
      <c r="EX529" s="6">
        <v>0</v>
      </c>
      <c r="EY529" s="6">
        <v>2015.7798304448031</v>
      </c>
      <c r="EZ529" s="6">
        <v>-726.44990394013166</v>
      </c>
      <c r="FA529" s="6">
        <v>0</v>
      </c>
      <c r="FB529" s="6">
        <v>0</v>
      </c>
      <c r="FC529" s="6">
        <v>0</v>
      </c>
      <c r="FD529" s="6">
        <v>0</v>
      </c>
      <c r="FE529" s="6">
        <v>0</v>
      </c>
      <c r="FF529" s="6">
        <v>0</v>
      </c>
      <c r="FG529" s="6">
        <v>0</v>
      </c>
      <c r="FH529" s="6">
        <v>1172.141454333886</v>
      </c>
      <c r="FI529" s="6">
        <v>1553.9796069512397</v>
      </c>
      <c r="FJ529" s="6">
        <v>2101.2110117447414</v>
      </c>
      <c r="FK529" s="6">
        <v>1772.7139978623236</v>
      </c>
      <c r="FL529" s="6">
        <v>907.07682140966301</v>
      </c>
      <c r="FM529" s="6">
        <v>1745.7798304448031</v>
      </c>
      <c r="FN529" s="6">
        <v>0</v>
      </c>
      <c r="FO529" s="6">
        <v>0</v>
      </c>
      <c r="FP529" s="6">
        <v>0</v>
      </c>
      <c r="FQ529" s="6">
        <v>0</v>
      </c>
      <c r="FR529" s="6">
        <v>0</v>
      </c>
      <c r="FS529" s="6">
        <v>0</v>
      </c>
      <c r="FT529" s="7">
        <v>0.87152732582685366</v>
      </c>
      <c r="FU529" s="7">
        <v>7.718852330057234E-2</v>
      </c>
      <c r="FV529" s="7">
        <v>5.1284150872573979E-2</v>
      </c>
      <c r="FW529" s="6">
        <v>1270</v>
      </c>
      <c r="FX529" s="6">
        <v>2015.7798304448029</v>
      </c>
      <c r="FY529" s="6">
        <v>-726.44990394013166</v>
      </c>
      <c r="FZ529" s="6">
        <v>1758.1538569113241</v>
      </c>
      <c r="GA529" s="6">
        <v>1225.179405736184</v>
      </c>
      <c r="GB529" s="6">
        <v>18759.820594263816</v>
      </c>
      <c r="GC529" s="7">
        <v>3.064145122680037E-2</v>
      </c>
      <c r="GD529" s="7">
        <v>2.9165296059140224E-2</v>
      </c>
      <c r="GE529" s="7"/>
      <c r="GF529" s="7"/>
      <c r="GG529" s="7">
        <v>-4.8175106222417927E-2</v>
      </c>
      <c r="GH529" s="42">
        <v>1.8064271105907934</v>
      </c>
      <c r="GI529" s="6">
        <v>12288.454465566243</v>
      </c>
      <c r="GJ529" s="14">
        <v>0.50394797582841744</v>
      </c>
      <c r="GK529" s="14">
        <v>0.50887573065309766</v>
      </c>
      <c r="GL529" s="14">
        <v>0.49605202417158284</v>
      </c>
      <c r="GM529" s="14">
        <v>0.49112426934690279</v>
      </c>
      <c r="GO529" s="5">
        <v>343.14810671672558</v>
      </c>
      <c r="GP529" s="5">
        <v>318.91892952659737</v>
      </c>
      <c r="GQ529" s="5">
        <v>535.04305713031317</v>
      </c>
      <c r="GR529" s="5">
        <v>410.15490233172511</v>
      </c>
      <c r="GS529" s="5">
        <v>339.42744393800166</v>
      </c>
      <c r="GT529" s="5">
        <v>293.4407446948278</v>
      </c>
      <c r="GU529" s="5">
        <v>258.04012322764959</v>
      </c>
      <c r="GV529" s="39" t="s">
        <v>392</v>
      </c>
      <c r="GW529" s="5">
        <v>492.125</v>
      </c>
      <c r="GX529" s="5">
        <v>369.09375</v>
      </c>
      <c r="GY529" s="5">
        <v>295.27499999999998</v>
      </c>
      <c r="GZ529" s="5">
        <v>260.54902799031458</v>
      </c>
      <c r="HA529" s="5">
        <v>241.34874471337258</v>
      </c>
      <c r="HB529" s="39">
        <v>274.73727891358749</v>
      </c>
      <c r="HC529" s="5">
        <v>319.06655829738077</v>
      </c>
      <c r="HD529" s="5">
        <v>261.49799238008359</v>
      </c>
      <c r="HE529" s="5">
        <v>261.10322481655879</v>
      </c>
      <c r="HF529" s="5">
        <v>237.70790951107165</v>
      </c>
      <c r="HG529" s="5">
        <v>224.55500473779989</v>
      </c>
      <c r="HH529" s="39">
        <v>260.55347104934361</v>
      </c>
      <c r="HI529" s="16"/>
      <c r="HJ529" s="19" t="str">
        <f t="shared" si="1507"/>
        <v>On</v>
      </c>
      <c r="HK529" s="1" t="str">
        <f t="shared" si="1507"/>
        <v>On</v>
      </c>
      <c r="HL529" s="16"/>
      <c r="HM529" s="639">
        <f t="shared" si="1413"/>
        <v>2.4909940070666322E-2</v>
      </c>
      <c r="HN529" s="639">
        <f t="shared" si="1414"/>
        <v>2.2052381276269151E-3</v>
      </c>
      <c r="HO529" s="639">
        <f t="shared" si="1415"/>
        <v>2.079866082302006E-3</v>
      </c>
      <c r="HP529" s="644">
        <f>(FT529*$GD529-HM529)/$JF529*INDEX(Input!$1:$1048576,$JG$93,$C529*2+6)</f>
        <v>14.297172670018325</v>
      </c>
      <c r="HQ529" s="644">
        <f>(FU529*$GD529-HN529)/$JF529*INDEX(Input!$1:$1048576,$JG$93,$C529*2+6)</f>
        <v>1.2932384421706851</v>
      </c>
      <c r="HR529" s="644">
        <f>(FV529*$GD529-HO529)/$JF529*INDEX(Input!$1:$1048576,$JG$93,$C529*2+6)</f>
        <v>-16.426967124224429</v>
      </c>
      <c r="HS529" s="644">
        <f t="shared" si="1416"/>
        <v>-1.4587520031323966</v>
      </c>
      <c r="HT529" s="644">
        <f t="shared" si="1417"/>
        <v>1.6506368723955178</v>
      </c>
      <c r="HU529" s="644">
        <f t="shared" si="1418"/>
        <v>-4.9451341085215814</v>
      </c>
      <c r="HV529" s="648">
        <f t="shared" si="1419"/>
        <v>0</v>
      </c>
      <c r="HW529" s="648">
        <f t="shared" si="1420"/>
        <v>0</v>
      </c>
      <c r="HX529" s="648">
        <f t="shared" si="1421"/>
        <v>0</v>
      </c>
      <c r="HY529" s="644">
        <f>INDEX(Input!$1:$1048576,HY$93,$C529*2+6)*INDEX(Input!$1:$1048576,$JG$93,$C529*2+6)</f>
        <v>333.00000000000006</v>
      </c>
      <c r="HZ529" s="644">
        <f>INDEX(Input!$1:$1048576,HZ$93,$C529*2+6)*INDEX(Input!$1:$1048576,$JG$93,$C529*2+6)</f>
        <v>429</v>
      </c>
      <c r="IA529" s="644">
        <f>INDEX(Input!$1:$1048576,IA$93,$C529*2+6)*INDEX(Input!$1:$1048576,$JG$93,$C529*2+6)</f>
        <v>59</v>
      </c>
      <c r="IB529" s="644">
        <f t="shared" si="1445"/>
        <v>345.83842066688601</v>
      </c>
      <c r="IC529" s="644">
        <f t="shared" si="1446"/>
        <v>431.94387531456618</v>
      </c>
      <c r="ID529" s="644">
        <f>IF(AND(INDEX(Input!$1:$1048576,IA$93,$C529*2+7)="TOS",Y529&lt;=INDEX(Y:Y,MATCH(C529*1000+2,A:A))),0,1)*MAX(IA529+HR529+HU529+HX529,0%)</f>
        <v>37.627898767253988</v>
      </c>
      <c r="IE529" s="128">
        <f t="shared" si="1508"/>
        <v>0.42412815401880866</v>
      </c>
      <c r="IF529" s="128">
        <f t="shared" si="1468"/>
        <v>0.52972587060636767</v>
      </c>
      <c r="IG529" s="128">
        <f t="shared" si="1423"/>
        <v>4.6145975374823692E-2</v>
      </c>
      <c r="IH529" s="21"/>
      <c r="II529" s="19">
        <f t="shared" si="1424"/>
        <v>1240</v>
      </c>
      <c r="IJ529" s="19">
        <f t="shared" si="1425"/>
        <v>1985.7442651839444</v>
      </c>
      <c r="IK529" s="19">
        <f t="shared" si="1426"/>
        <v>-21.44990394013189</v>
      </c>
      <c r="IL529" s="19">
        <f t="shared" si="1448"/>
        <v>30</v>
      </c>
      <c r="IM529" s="19">
        <f t="shared" si="1427"/>
        <v>30.035565260858448</v>
      </c>
      <c r="IN529" s="19">
        <f t="shared" si="1428"/>
        <v>-704.99999999999977</v>
      </c>
      <c r="IO529" s="39">
        <f t="shared" si="1429"/>
        <v>0</v>
      </c>
      <c r="IP529" s="39">
        <f t="shared" si="1430"/>
        <v>0</v>
      </c>
      <c r="IQ529" s="39">
        <f t="shared" si="1431"/>
        <v>0</v>
      </c>
      <c r="IR529" s="39">
        <v>0</v>
      </c>
      <c r="IS529" s="39">
        <v>0</v>
      </c>
      <c r="IT529" s="39">
        <v>0</v>
      </c>
      <c r="IU529" s="39">
        <v>0</v>
      </c>
      <c r="IV529" s="39">
        <v>0</v>
      </c>
      <c r="IW529" s="39">
        <v>0</v>
      </c>
      <c r="IX529" s="39">
        <f>INDEX(Input!$1:$1048576,IX$93,$C529*2+6)+INDEX(Input!$1:$1048576,IX$94,$C529*2+6)</f>
        <v>1270</v>
      </c>
      <c r="IY529" s="39">
        <f>INDEX(Input!$1:$1048576,IY$93,$C529*2+6)+INDEX(Input!$1:$1048576,IY$94,$C529*2+6)</f>
        <v>2130.0624533823611</v>
      </c>
      <c r="IZ529" s="39">
        <f>INDEX(Input!$1:$1048576,IZ$93,$C529*2+6)+INDEX(Input!$1:$1048576,IZ$94,$C529*2+6)</f>
        <v>3653.7164157747857</v>
      </c>
      <c r="JA529" s="19">
        <f t="shared" si="1449"/>
        <v>1300</v>
      </c>
      <c r="JB529" s="19">
        <f t="shared" si="1450"/>
        <v>2160.0980186432198</v>
      </c>
      <c r="JC529" s="19">
        <f t="shared" si="1451"/>
        <v>2948.7164157747857</v>
      </c>
      <c r="JD529" s="19">
        <f t="shared" si="1452"/>
        <v>1831.6977988550022</v>
      </c>
      <c r="JE529" s="21"/>
      <c r="JF529" s="1">
        <f t="shared" si="1432"/>
        <v>2.9195044280595241E-2</v>
      </c>
      <c r="JG529" s="15">
        <f>INDEX(Input!$1:$1048576,JG$93,$C529*2+6)/(1+VLOOKUP(C529*1000+INDEX(Input!$1:$1048576,JG$93+1,$C529*2+6),$A:$KK,$JK$92,FALSE))</f>
        <v>821</v>
      </c>
      <c r="JH529" s="1">
        <f t="shared" si="1453"/>
        <v>-1.0189476395072103E-3</v>
      </c>
      <c r="JI529" s="1">
        <f t="shared" si="1454"/>
        <v>-5.7895849442855789E-3</v>
      </c>
      <c r="JJ529" s="1">
        <f t="shared" si="1492"/>
        <v>0</v>
      </c>
      <c r="JK529" s="1">
        <f t="shared" si="1496"/>
        <v>-6.8085325837927892E-3</v>
      </c>
      <c r="JL529" s="15">
        <f t="shared" si="1457"/>
        <v>-5.5898052512938801</v>
      </c>
      <c r="JM529" s="15">
        <f t="shared" si="1483"/>
        <v>815.41019474870609</v>
      </c>
      <c r="JN529" s="21"/>
      <c r="JO529" s="19">
        <f>INDEX(Input!$1:$1048576,JO$93,$C529*2+6)</f>
        <v>5995.5</v>
      </c>
      <c r="JP529" s="19">
        <f>INDEX(Input!$1:$1048576,JP$93,$C529*2+6)</f>
        <v>1890.7138380411029</v>
      </c>
      <c r="JQ529" s="39">
        <f t="shared" si="1469"/>
        <v>4163.8022011449975</v>
      </c>
      <c r="JR529" s="39">
        <f t="shared" si="1486"/>
        <v>-59.01603918610067</v>
      </c>
      <c r="JS529" s="39">
        <f t="shared" si="1471"/>
        <v>1.4935850588851336</v>
      </c>
      <c r="JT529" s="39">
        <f t="shared" si="1459"/>
        <v>-5.8691002146611923E-2</v>
      </c>
      <c r="JU529" s="385">
        <f>(JQ529*JM529-INDEX(Input!$1:$1048576,Input!A$18,$C529*2+6)*JL529*INDEX(Input!$1:$1048576,Input!A$19,$C529*2+6))/1000000</f>
        <v>3.3952067637307337</v>
      </c>
      <c r="JV529" s="39">
        <f t="shared" si="1493"/>
        <v>2.5177324762479358E-2</v>
      </c>
      <c r="JW529" s="1">
        <f t="shared" si="1484"/>
        <v>7.4709509867627389E-3</v>
      </c>
      <c r="JX529" s="19">
        <f t="shared" si="1475"/>
        <v>10499.65061538175</v>
      </c>
      <c r="JZ529" s="341"/>
      <c r="KA529" s="342"/>
      <c r="KB529" s="469">
        <f t="shared" si="1472"/>
        <v>2.5122967434604799</v>
      </c>
      <c r="KI529" s="473">
        <f t="shared" si="1499"/>
        <v>12.838420666885895</v>
      </c>
      <c r="KJ529" s="473">
        <f t="shared" si="1500"/>
        <v>2.9438753145661281</v>
      </c>
      <c r="KK529" s="473">
        <f t="shared" si="1461"/>
        <v>-21.372101232746019</v>
      </c>
      <c r="KN529" s="544">
        <f t="shared" si="1476"/>
        <v>5002</v>
      </c>
      <c r="KO529" s="541">
        <f t="shared" si="1436"/>
        <v>-1.0836050655958718E-2</v>
      </c>
      <c r="KP529" s="546">
        <f t="shared" si="1437"/>
        <v>-33.207042693587468</v>
      </c>
      <c r="KQ529" s="546">
        <f t="shared" si="1438"/>
        <v>-87.220966868264213</v>
      </c>
      <c r="KR529" s="548">
        <f t="shared" si="1439"/>
        <v>5.8952847206442627</v>
      </c>
      <c r="KS529" s="548">
        <f t="shared" si="1440"/>
        <v>2.2444714664189074</v>
      </c>
      <c r="KT529" s="473">
        <f t="shared" si="1474"/>
        <v>595.94378802984284</v>
      </c>
      <c r="KU529" s="663">
        <f t="shared" si="1462"/>
        <v>4.0180581671411248</v>
      </c>
      <c r="KV529" s="117"/>
    </row>
    <row r="530" spans="1:308" s="26" customFormat="1" ht="15">
      <c r="A530" s="561">
        <f t="shared" si="1441"/>
        <v>5030</v>
      </c>
      <c r="B530" s="561">
        <f t="shared" si="1463"/>
        <v>30</v>
      </c>
      <c r="C530" s="561">
        <f t="shared" si="1464"/>
        <v>5</v>
      </c>
      <c r="D530" s="561" t="str">
        <f t="shared" si="1509"/>
        <v xml:space="preserve">1080 Lease, </v>
      </c>
      <c r="E530" s="475">
        <f>INDEX(Input!$1:$1048576,E$93,$C530*2+MIN($B530,2)+5)
+INDEX(Scenarios!E$121:E$200,MATCH($B530,Scenarios!$B$121:$B$200,0))</f>
        <v>1277.4263093788063</v>
      </c>
      <c r="F530" s="475">
        <f>INDEX(Input!$1:$1048576,F$93,$C530*2+MIN($B530,2)+5)
+INDEX(Scenarios!F$121:F$200,MATCH($B530,Scenarios!$B$121:$B$200,0))</f>
        <v>0</v>
      </c>
      <c r="G530" s="475">
        <f>INDEX(Input!$1:$1048576,G$93,$C530*2+MIN($B530,2)+5)
+INDEX(Scenarios!G$121:G$200,MATCH($B530,Scenarios!$B$121:$B$200,0))</f>
        <v>0</v>
      </c>
      <c r="H530" s="475">
        <f>INDEX(Input!$1:$1048576,H$93,$C530*2+MIN($B530,2)+5)
+INDEX(Scenarios!H$121:H$200,MATCH($B530,Scenarios!$B$121:$B$200,0))</f>
        <v>0</v>
      </c>
      <c r="I530" s="476">
        <f>INDEX(Input!$1:$1048576,I$93,$C530*2+MIN($B530,2)+5)</f>
        <v>0.7</v>
      </c>
      <c r="J530" s="476" t="str">
        <f>INDEX(Input!$1:$1048576,J$93,$C530*2+MIN($B530,2)+5)</f>
        <v>Market</v>
      </c>
      <c r="K530" s="476" t="str">
        <f>INDEX(Input!$1:$1048576,K$93,$C530*2+MIN($B530,2)+5)</f>
        <v>Market</v>
      </c>
      <c r="L530" s="476" t="str">
        <f>INDEX(Input!$1:$1048576,L$93,$C530*2+MIN($B530,2)+5)</f>
        <v>Market</v>
      </c>
      <c r="M530" s="476" t="str">
        <f>INDEX(Input!$1:$1048576,M$93,$C530*2+MIN($B530,2)+5)</f>
        <v>Market</v>
      </c>
      <c r="N530" s="476" t="str">
        <f>INDEX(Input!$1:$1048576,N$93,$C530*2+MIN($B530,2)+5)</f>
        <v>Market</v>
      </c>
      <c r="O530" s="476" t="str">
        <f>INDEX(Input!$1:$1048576,O$93,$C530*2+MIN($B530,2)+5)</f>
        <v>Market</v>
      </c>
      <c r="P530" s="476" t="str">
        <f>INDEX(Input!$1:$1048576,P$93,$C530*2+MIN($B530,2)+5)</f>
        <v>N</v>
      </c>
      <c r="Q530" s="477">
        <f>INDEX(Input!$1:$1048576,Q$93,$C530*2+MIN($B530,2)+5)
+INDEX(Scenarios!Q$121:Q$200,MATCH($B530,Scenarios!$B$121:$B$200,0))</f>
        <v>0</v>
      </c>
      <c r="R530" s="478">
        <f>IFERROR(MAX(0,INDEX(Input!$1:$1048576,R$93,$C530*2+MIN($B530,2)+5)
+INDEX(Scenarios!R$121:R$200,MATCH($B530,Scenarios!$B$121:$B$200,0)),),"Market")</f>
        <v>0</v>
      </c>
      <c r="S530" s="478">
        <f>IFERROR(MAX(0,INDEX(Input!$1:$1048576,S$93,$C530*2+MIN($B530,2)+5)
+INDEX(Scenarios!S$121:S$200,MATCH($B530,Scenarios!$B$121:$B$200,0)),),"Market")</f>
        <v>0</v>
      </c>
      <c r="T530" s="478">
        <f>IFERROR(MAX(0,INDEX(Input!$1:$1048576,T$93,$C530*2+MIN($B530,2)+5)
+INDEX(Scenarios!T$121:T$200,MATCH($B530,Scenarios!$B$121:$B$200,0)),),"Market")</f>
        <v>0</v>
      </c>
      <c r="U530" s="478">
        <f>IFERROR(MAX(0,INDEX(Input!$1:$1048576,U$93,$C530*2+MIN($B530,2)+5)
+INDEX(Scenarios!U$121:U$200,MATCH($B530,Scenarios!$B$121:$B$200,0)),),"Market")</f>
        <v>0</v>
      </c>
      <c r="V530" s="478">
        <f>IFERROR(MAX(0,INDEX(Input!$1:$1048576,V$93,$C530*2+MIN($B530,2)+5)
+INDEX(Scenarios!V$121:V$200,MATCH($B530,Scenarios!$B$121:$B$200,0)),),"Market")</f>
        <v>1.9E-2</v>
      </c>
      <c r="W530" s="885">
        <f>IFERROR(MAX(0,INDEX(Input!$1:$1048576,W$93,$C530*2+MIN($B530,2)+5)-0%,),"Market")</f>
        <v>3.9E-2</v>
      </c>
      <c r="X530" s="476" t="str">
        <f>INDEX(Input!$1:$1048576,X$93,$C530*2+MIN($B530,2)+5)</f>
        <v>Y</v>
      </c>
      <c r="Y530" s="475">
        <f>INDEX(Input!$1:$1048576,Y$93,$C530*2+MIN($B530,2)+5)
++INDEX(Scenarios!Y$121:Y$200,MATCH($B530,Scenarios!$B$121:$B$200,0))</f>
        <v>362.06358260747675</v>
      </c>
      <c r="Z530" s="477">
        <f>INDEX(Input!$1:$1048576,Z$93,$C530*2+MIN($B530,2)+5)
+INDEX(Scenarios!Z$121:Z$200,MATCH($B530,Scenarios!$B$121:$B$200,0))</f>
        <v>0</v>
      </c>
      <c r="AA530" s="475">
        <f>INDEX(Input!$1:$1048576,AA$93,$C530*2+MIN($B530,2)+5)
+INDEX(Scenarios!AA$121:AA$200,MATCH($B530,Scenarios!$B$121:$B$200,0))</f>
        <v>0</v>
      </c>
      <c r="AB530" s="476">
        <f>INDEX(Input!$1:$1048576,AB$93,$C530*2+MIN($B530,2)+5)</f>
        <v>0.27</v>
      </c>
      <c r="AC530" s="475">
        <f>INDEX(Input!$1:$1048576,AC$93,$C530*2+MIN($B530,2)+5)
+INDEX(Scenarios!AC$121:AC$200,MATCH($B530,Scenarios!$B$121:$B$200,0))</f>
        <v>0</v>
      </c>
      <c r="AD530" s="476">
        <f>INDEX(Input!$1:$1048576,AD$93,$C530*2+MIN($B530,2)+5)</f>
        <v>0.27</v>
      </c>
      <c r="AE530" s="475">
        <f>INDEX(Input!$1:$1048576,AE$93,$C530*2+MIN($B530,2)+5)
+INDEX(Scenarios!AE$121:AE$200,MATCH($B530,Scenarios!$B$121:$B$200,0))</f>
        <v>0</v>
      </c>
      <c r="AF530" s="476">
        <f>INDEX(Input!$1:$1048576,AF$93,$C530*2+MIN($B530,2)+5)</f>
        <v>0.2</v>
      </c>
      <c r="AG530" s="475">
        <f>INDEX(Input!$1:$1048576,AG$93,$C530*2+MIN($B530,2)+5)
+INDEX(Scenarios!AG$121:AG$200,MATCH($B530,Scenarios!$B$121:$B$200,0))</f>
        <v>500</v>
      </c>
      <c r="AH530" s="476">
        <f>INDEX(Input!$1:$1048576,AH$93,$C530*2+MIN($B530,2)+5)</f>
        <v>1</v>
      </c>
      <c r="AI530" s="475">
        <f>INDEX(Input!$1:$1048576,AI$93,$C530*2+MIN($B530,2)+5)
+INDEX(Scenarios!AI$121:AI$200,MATCH($B530,Scenarios!$B$121:$B$200,0))</f>
        <v>0</v>
      </c>
      <c r="AJ530" s="476">
        <f>INDEX(Input!$1:$1048576,AJ$93,$C530*2+MIN($B530,2)+5)</f>
        <v>0.27</v>
      </c>
      <c r="AK530" s="150">
        <f>ROUND(INDEX(Input!$1:$1048576,AK$93,$C529*2+MIN($B530,1)+5)+(Y530-VLOOKUP($C530*1000+1,$A:$HH,Y$92,FALSE)),0)</f>
        <v>3667</v>
      </c>
      <c r="AL530" s="150">
        <f>ROUND(INDEX(Input!$1:$1048576,AL$93,$C529*2+MIN($B530,1)+5)-(Y530-VLOOKUP($C530*1000+1,$A:$HH,Y$92,FALSE))/36,0)</f>
        <v>3376</v>
      </c>
      <c r="AM530" s="32" t="str">
        <f t="shared" si="1442"/>
        <v>std/std/std/std</v>
      </c>
      <c r="AN530" s="32" t="str">
        <f t="shared" si="1443"/>
        <v>$0 + 0/0/0/1.9/3.9</v>
      </c>
      <c r="AO530" s="32" t="str">
        <f t="shared" si="1444"/>
        <v>0/0/0/1.9/3.9</v>
      </c>
      <c r="AP530" s="32" t="str">
        <f t="shared" si="1396"/>
        <v>0/0.9/1.9/3.9</v>
      </c>
      <c r="AQ530" s="536">
        <f t="shared" si="1394"/>
        <v>0.36455840634120001</v>
      </c>
      <c r="AR530" s="32"/>
      <c r="AS530" s="302"/>
      <c r="AT530" s="3">
        <f t="shared" si="1465"/>
        <v>30</v>
      </c>
      <c r="AU530" s="41" t="s">
        <v>121</v>
      </c>
      <c r="AV530" s="41" t="s">
        <v>116</v>
      </c>
      <c r="AW530" s="41" t="str">
        <f>INDEX(Input!$1:$1048576,AW$93,$C530*2+6)</f>
        <v>Kia</v>
      </c>
      <c r="AX530" s="41" t="str">
        <f>INDEX(Input!$1:$1048576,AX$93,$C530*2+6)</f>
        <v>Kia-LR - R2</v>
      </c>
      <c r="AY530" s="41" t="str">
        <f>IF(LEN(D530)=0,"",INDEX(Input!$1:$1048576,AY$93,$C530*2+6))</f>
        <v>Compact SUV (52)</v>
      </c>
      <c r="AZ530" s="41" t="str">
        <f>INDEX(Input!$1:$1048576,AZ$93,$C530*2+6)</f>
        <v>Kia Soul</v>
      </c>
      <c r="BA530" s="3">
        <f>INDEX(Input!$1:$1048576,BA$93,$C530*2+6)</f>
        <v>2020</v>
      </c>
      <c r="BB530" s="128">
        <f>INDEX(Input!$1:$1048576,BB$93,$C530*2+6)</f>
        <v>1</v>
      </c>
      <c r="BC530" s="128">
        <f>INDEX(Input!$1:$1048576,BC$93,$C530*2+6)</f>
        <v>0.7</v>
      </c>
      <c r="BD530" s="1">
        <f>INDEX(Input!$1:$1048576,BD$93,$C530*2+6)</f>
        <v>4.4999999999999998E-2</v>
      </c>
      <c r="BE530" s="1">
        <f>INDEX(Input!$1:$1048576,BE$93,$C530*2+6)</f>
        <v>4.4999999999999998E-2</v>
      </c>
      <c r="BF530" s="1">
        <f>INDEX(Input!$1:$1048576,BF$93,$C530*2+6)</f>
        <v>0.05</v>
      </c>
      <c r="BG530" s="1">
        <f>INDEX(Input!$1:$1048576,BG$93,$C530*2+6)</f>
        <v>5.45E-2</v>
      </c>
      <c r="BH530" s="1">
        <f>INDEX(Input!$1:$1048576,BH$93,$C530*2+6)</f>
        <v>5.45E-2</v>
      </c>
      <c r="BI530" s="1">
        <f>INDEX(Input!$1:$1048576,BI$93,$C530*2+6)</f>
        <v>0.05</v>
      </c>
      <c r="BJ530" s="1">
        <f>INDEX(Input!$1:$1048576,BJ$93,$C530*2+6)</f>
        <v>0.05</v>
      </c>
      <c r="BK530" s="1">
        <f>INDEX(Input!$1:$1048576,BK$93,$C530*2+6)</f>
        <v>0.05</v>
      </c>
      <c r="BL530" s="1">
        <f>INDEX(Input!$1:$1048576,BL$93,$C530*2+6)</f>
        <v>5.5E-2</v>
      </c>
      <c r="BM530" s="1">
        <f>INDEX(Input!$1:$1048576,BM$93,$C530*2+6)</f>
        <v>0.06</v>
      </c>
      <c r="BN530" s="1">
        <f>INDEX(Input!$1:$1048576,BN$93,$C530*2+6)</f>
        <v>4.4999999999999998E-2</v>
      </c>
      <c r="BO530" s="1">
        <f>INDEX(Input!$1:$1048576,BO$93,$C530*2+6)</f>
        <v>4.4999999999999998E-2</v>
      </c>
      <c r="BP530" s="1">
        <f>INDEX(Input!$1:$1048576,BP$93,$C530*2+6)</f>
        <v>0.05</v>
      </c>
      <c r="BQ530" s="1">
        <f>INDEX(Input!$1:$1048576,BQ$93,$C530*2+6)</f>
        <v>5.45E-2</v>
      </c>
      <c r="BR530" s="1">
        <f>INDEX(Input!$1:$1048576,BR$93,$C530*2+6)</f>
        <v>5.45E-2</v>
      </c>
      <c r="BS530" s="1">
        <f>INDEX(Input!$1:$1048576,BS$93,$C530*2+6)</f>
        <v>0.05</v>
      </c>
      <c r="BT530" s="1">
        <f>INDEX(Input!$1:$1048576,BT$93,$C530*2+6)</f>
        <v>0.05</v>
      </c>
      <c r="BU530" s="1">
        <f>INDEX(Input!$1:$1048576,BU$93,$C530*2+6)</f>
        <v>0.05</v>
      </c>
      <c r="BV530" s="1">
        <f>INDEX(Input!$1:$1048576,BV$93,$C530*2+6)</f>
        <v>5.5E-2</v>
      </c>
      <c r="BW530" s="1">
        <f>INDEX(Input!$1:$1048576,BW$93,$C530*2+6)</f>
        <v>0.06</v>
      </c>
      <c r="BX530" s="127">
        <f>INDEX(Input!$1:$1048576,BX$93,$C530*2+6)</f>
        <v>19985</v>
      </c>
      <c r="BY530" s="20">
        <f>INDEX(Input!$1:$1048576,BY$93,$C530*2+6)</f>
        <v>0.1</v>
      </c>
      <c r="BZ530" s="20">
        <f>INDEX(Input!$1:$1048576,BZ$93,$C530*2+6)</f>
        <v>0.1</v>
      </c>
      <c r="CA530" s="20">
        <f>INDEX(Input!$1:$1048576,CA$93,$C530*2+6)</f>
        <v>0.1</v>
      </c>
      <c r="CB530" s="20">
        <f>INDEX(Input!$1:$1048576,CB$93,$C530*2+6)</f>
        <v>0.1</v>
      </c>
      <c r="CC530" s="20">
        <f>INDEX(Input!$1:$1048576,CC$93,$C530*2+6)</f>
        <v>0.1</v>
      </c>
      <c r="CD530" s="384">
        <f>INDEX(Input!$1:$1048576,CD$93,$C530*2+6)</f>
        <v>0.1</v>
      </c>
      <c r="CE530" s="384">
        <f>INDEX(Input!$1:$1048576,CE$93,$C530*2+6)</f>
        <v>0.1</v>
      </c>
      <c r="CF530" s="384">
        <f>INDEX(Input!$1:$1048576,CF$93,$C530*2+6)</f>
        <v>0.1</v>
      </c>
      <c r="CG530" s="384">
        <f>INDEX(Input!$1:$1048576,CG$93,$C530*2+6)</f>
        <v>0.1</v>
      </c>
      <c r="CH530" s="384">
        <f>INDEX(Input!$1:$1048576,CH$93,$C530*2+6)</f>
        <v>0.1</v>
      </c>
      <c r="CI530" s="304">
        <f t="shared" si="1397"/>
        <v>1277.4263093788063</v>
      </c>
      <c r="CJ530" s="16" t="str">
        <f>INDEX(Input!$1:$1048576,CJ$93,$C530*2+6)</f>
        <v>N</v>
      </c>
      <c r="CK530" s="1" t="str">
        <f t="shared" si="1398"/>
        <v>Market</v>
      </c>
      <c r="CL530" s="1" t="str">
        <f t="shared" si="1399"/>
        <v>Market</v>
      </c>
      <c r="CM530" s="1" t="str">
        <f t="shared" si="1400"/>
        <v>Market</v>
      </c>
      <c r="CN530" s="1" t="str">
        <f t="shared" si="1401"/>
        <v>Market</v>
      </c>
      <c r="CO530" s="1" t="str">
        <f t="shared" si="1402"/>
        <v>Market</v>
      </c>
      <c r="CP530" s="304">
        <f t="shared" si="1403"/>
        <v>500</v>
      </c>
      <c r="CQ530" s="1">
        <f t="shared" si="1404"/>
        <v>0</v>
      </c>
      <c r="CR530" s="1">
        <f t="shared" si="1405"/>
        <v>0</v>
      </c>
      <c r="CS530" s="1">
        <f t="shared" si="1406"/>
        <v>0</v>
      </c>
      <c r="CT530" s="1">
        <f t="shared" si="1407"/>
        <v>1.9E-2</v>
      </c>
      <c r="CU530" s="1">
        <f t="shared" si="1408"/>
        <v>3.9E-2</v>
      </c>
      <c r="CV530" s="304">
        <f t="shared" si="1409"/>
        <v>362.06358260747675</v>
      </c>
      <c r="CW530" s="20" t="s">
        <v>122</v>
      </c>
      <c r="CX530" s="20" t="s">
        <v>122</v>
      </c>
      <c r="CY530" s="20" t="s">
        <v>122</v>
      </c>
      <c r="CZ530" s="20" t="s">
        <v>122</v>
      </c>
      <c r="DA530" s="20" t="s">
        <v>122</v>
      </c>
      <c r="DB530" s="503">
        <f t="shared" si="1410"/>
        <v>0</v>
      </c>
      <c r="DC530" s="127">
        <v>0</v>
      </c>
      <c r="DD530" s="127">
        <v>0</v>
      </c>
      <c r="DE530" s="127">
        <v>0</v>
      </c>
      <c r="DF530" s="127">
        <v>0</v>
      </c>
      <c r="DG530" s="127">
        <v>0</v>
      </c>
      <c r="DH530" s="127">
        <v>0</v>
      </c>
      <c r="DI530" s="127">
        <v>0</v>
      </c>
      <c r="DJ530" s="127">
        <v>0</v>
      </c>
      <c r="DK530" s="127">
        <v>0</v>
      </c>
      <c r="DL530" s="127">
        <v>0</v>
      </c>
      <c r="DM530" s="304">
        <f>INDEX(Input!$1:$1048576,DM$93,$C530*2+6)</f>
        <v>21036.84210526316</v>
      </c>
      <c r="DN530" s="20">
        <v>0</v>
      </c>
      <c r="DO530" s="20">
        <v>0</v>
      </c>
      <c r="DP530" s="20">
        <v>0</v>
      </c>
      <c r="DQ530" s="20">
        <v>0</v>
      </c>
      <c r="DR530" s="20">
        <v>0</v>
      </c>
      <c r="DS530" s="20">
        <f>INDEX(Input!$1:$1048576,DS$93,$C530*2+6)</f>
        <v>0.6</v>
      </c>
      <c r="DT530" s="20">
        <f>INDEX(Input!$1:$1048576,DT$93,$C530*2+6)</f>
        <v>0.55000000000000004</v>
      </c>
      <c r="DU530" s="20">
        <f>INDEX(Input!$1:$1048576,DU$93,$C530*2+6)</f>
        <v>0.52</v>
      </c>
      <c r="DV530" s="20">
        <f>INDEX(Input!$1:$1048576,DV$93,$C530*2+6)</f>
        <v>0.5</v>
      </c>
      <c r="DW530" s="20">
        <f>INDEX(Input!$1:$1048576,DW$93,$C530*2+6)</f>
        <v>0.45</v>
      </c>
      <c r="DX530" s="20"/>
      <c r="DY530" s="7">
        <v>0.11303518077238908</v>
      </c>
      <c r="DZ530" s="7">
        <v>0</v>
      </c>
      <c r="EA530" s="7">
        <v>0.69780780731485481</v>
      </c>
      <c r="EB530" s="7">
        <v>0</v>
      </c>
      <c r="EC530" s="7">
        <v>0</v>
      </c>
      <c r="ED530" s="7">
        <v>0</v>
      </c>
      <c r="EE530" s="7">
        <v>0</v>
      </c>
      <c r="EF530" s="7">
        <v>0</v>
      </c>
      <c r="EG530" s="7">
        <v>0</v>
      </c>
      <c r="EH530" s="7">
        <v>1.2085118775052844E-2</v>
      </c>
      <c r="EI530" s="7">
        <v>3.3578494348692658E-2</v>
      </c>
      <c r="EJ530" s="7">
        <v>0.291578882302366</v>
      </c>
      <c r="EK530" s="7">
        <v>0.53772416127135303</v>
      </c>
      <c r="EL530" s="7">
        <v>0.12503334330253557</v>
      </c>
      <c r="EM530" s="7">
        <v>7.1592650095132285E-2</v>
      </c>
      <c r="EN530" s="7">
        <v>6.1890058519504632E-2</v>
      </c>
      <c r="EO530" s="7">
        <v>0.74816370788876951</v>
      </c>
      <c r="EP530" s="7">
        <v>7.5432293396322292E-2</v>
      </c>
      <c r="EQ530" s="7">
        <v>7.4067854214652187E-2</v>
      </c>
      <c r="ER530" s="7">
        <v>4.0446085980751376E-2</v>
      </c>
      <c r="ES530" s="7">
        <v>0.11756436181762389</v>
      </c>
      <c r="ET530" s="7">
        <v>0.18915701191275611</v>
      </c>
      <c r="EU530" s="6">
        <v>1270</v>
      </c>
      <c r="EV530" s="6">
        <v>0</v>
      </c>
      <c r="EW530" s="6">
        <v>1270</v>
      </c>
      <c r="EX530" s="6">
        <v>0</v>
      </c>
      <c r="EY530" s="6">
        <v>2015.6602415985838</v>
      </c>
      <c r="EZ530" s="6">
        <v>1073.5500960598683</v>
      </c>
      <c r="FA530" s="6">
        <v>0</v>
      </c>
      <c r="FB530" s="6">
        <v>0</v>
      </c>
      <c r="FC530" s="6">
        <v>0</v>
      </c>
      <c r="FD530" s="6">
        <v>0</v>
      </c>
      <c r="FE530" s="6">
        <v>0</v>
      </c>
      <c r="FF530" s="6">
        <v>0</v>
      </c>
      <c r="FG530" s="6">
        <v>0</v>
      </c>
      <c r="FH530" s="6">
        <v>1172.1186062550116</v>
      </c>
      <c r="FI530" s="6">
        <v>1553.9796069512399</v>
      </c>
      <c r="FJ530" s="6">
        <v>2101.211011744741</v>
      </c>
      <c r="FK530" s="6">
        <v>1772.713997862322</v>
      </c>
      <c r="FL530" s="6">
        <v>907.07682140966313</v>
      </c>
      <c r="FM530" s="6">
        <v>1745.6602415985838</v>
      </c>
      <c r="FN530" s="6">
        <v>0</v>
      </c>
      <c r="FO530" s="6">
        <v>0</v>
      </c>
      <c r="FP530" s="6">
        <v>0</v>
      </c>
      <c r="FQ530" s="6">
        <v>0</v>
      </c>
      <c r="FR530" s="6">
        <v>0</v>
      </c>
      <c r="FS530" s="6">
        <v>0</v>
      </c>
      <c r="FT530" s="7">
        <v>0.81084298808724387</v>
      </c>
      <c r="FU530" s="7">
        <v>7.1592650095132285E-2</v>
      </c>
      <c r="FV530" s="7">
        <v>0.11756436181762389</v>
      </c>
      <c r="FW530" s="6">
        <v>1270.0000000000002</v>
      </c>
      <c r="FX530" s="6">
        <v>2015.6602415985838</v>
      </c>
      <c r="FY530" s="6">
        <v>1073.5500960598683</v>
      </c>
      <c r="FZ530" s="6">
        <v>1758.1538569113241</v>
      </c>
      <c r="GA530" s="6">
        <v>1300.2882851807644</v>
      </c>
      <c r="GB530" s="6">
        <v>18684.711714819234</v>
      </c>
      <c r="GC530" s="7">
        <v>3.064145122680037E-2</v>
      </c>
      <c r="GD530" s="7">
        <v>2.9637163623001037E-2</v>
      </c>
      <c r="GE530" s="7"/>
      <c r="GF530" s="7"/>
      <c r="GG530" s="7">
        <v>-3.2775458197650202E-2</v>
      </c>
      <c r="GH530" s="42">
        <v>1.4305891784008118</v>
      </c>
      <c r="GI530" s="6">
        <v>15270.057036221015</v>
      </c>
      <c r="GJ530" s="14">
        <v>0.50394797582841699</v>
      </c>
      <c r="GK530" s="14">
        <v>0.50887573065309744</v>
      </c>
      <c r="GL530" s="14">
        <v>0.49605202417158273</v>
      </c>
      <c r="GM530" s="14">
        <v>0.49112426934690256</v>
      </c>
      <c r="GO530" s="5">
        <v>343.14810671672558</v>
      </c>
      <c r="GP530" s="5">
        <v>318.91892952659737</v>
      </c>
      <c r="GQ530" s="5">
        <v>535.04305713031317</v>
      </c>
      <c r="GR530" s="5">
        <v>410.15490233172511</v>
      </c>
      <c r="GS530" s="5">
        <v>339.42744393800166</v>
      </c>
      <c r="GT530" s="5">
        <v>293.4407446948278</v>
      </c>
      <c r="GU530" s="5">
        <v>258.04012322764959</v>
      </c>
      <c r="GV530" s="39" t="s">
        <v>392</v>
      </c>
      <c r="GW530" s="5">
        <v>492.125</v>
      </c>
      <c r="GX530" s="5">
        <v>369.09375</v>
      </c>
      <c r="GY530" s="5">
        <v>295.27499999999998</v>
      </c>
      <c r="GZ530" s="5">
        <v>260.54902799031458</v>
      </c>
      <c r="HA530" s="5">
        <v>241.34874471337258</v>
      </c>
      <c r="HB530" s="39">
        <v>274.71710394705809</v>
      </c>
      <c r="HC530" s="5">
        <v>240.31655829738074</v>
      </c>
      <c r="HD530" s="5">
        <v>207.74799238008356</v>
      </c>
      <c r="HE530" s="5">
        <v>211.19937866271263</v>
      </c>
      <c r="HF530" s="5">
        <v>196.08290951107165</v>
      </c>
      <c r="HG530" s="5">
        <v>190.05500473779989</v>
      </c>
      <c r="HH530" s="39">
        <v>208.44438905651674</v>
      </c>
      <c r="HI530" s="16"/>
      <c r="HJ530" s="19" t="str">
        <f t="shared" si="1507"/>
        <v>On</v>
      </c>
      <c r="HK530" s="1" t="str">
        <f t="shared" si="1507"/>
        <v>On</v>
      </c>
      <c r="HL530" s="16"/>
      <c r="HM530" s="639">
        <f t="shared" si="1413"/>
        <v>2.4909940070666322E-2</v>
      </c>
      <c r="HN530" s="639">
        <f t="shared" si="1414"/>
        <v>2.2052381276269151E-3</v>
      </c>
      <c r="HO530" s="639">
        <f t="shared" si="1415"/>
        <v>2.079866082302006E-3</v>
      </c>
      <c r="HP530" s="644">
        <f>(FT530*$GD530-HM530)/$JF530*INDEX(Input!$1:$1048576,$JG$93,$C530*2+6)</f>
        <v>-24.714432016540826</v>
      </c>
      <c r="HQ530" s="644">
        <f>(FU530*$GD530-HN530)/$JF530*INDEX(Input!$1:$1048576,$JG$93,$C530*2+6)</f>
        <v>-2.3462944353786113</v>
      </c>
      <c r="HR530" s="644">
        <f>(FV530*$GD530-HO530)/$JF530*INDEX(Input!$1:$1048576,$JG$93,$C530*2+6)</f>
        <v>39.493657761306594</v>
      </c>
      <c r="HS530" s="644">
        <f t="shared" si="1416"/>
        <v>-1.4587057586157195</v>
      </c>
      <c r="HT530" s="644">
        <f t="shared" si="1417"/>
        <v>1.6435787483674753</v>
      </c>
      <c r="HU530" s="644">
        <f t="shared" si="1418"/>
        <v>8.0219902792803435</v>
      </c>
      <c r="HV530" s="648">
        <f t="shared" si="1419"/>
        <v>0</v>
      </c>
      <c r="HW530" s="648">
        <f t="shared" si="1420"/>
        <v>0</v>
      </c>
      <c r="HX530" s="648">
        <f t="shared" si="1421"/>
        <v>0</v>
      </c>
      <c r="HY530" s="644">
        <f>INDEX(Input!$1:$1048576,HY$93,$C530*2+6)*INDEX(Input!$1:$1048576,$JG$93,$C530*2+6)</f>
        <v>333.00000000000006</v>
      </c>
      <c r="HZ530" s="644">
        <f>INDEX(Input!$1:$1048576,HZ$93,$C530*2+6)*INDEX(Input!$1:$1048576,$JG$93,$C530*2+6)</f>
        <v>429</v>
      </c>
      <c r="IA530" s="644">
        <f>INDEX(Input!$1:$1048576,IA$93,$C530*2+6)*INDEX(Input!$1:$1048576,$JG$93,$C530*2+6)</f>
        <v>59</v>
      </c>
      <c r="IB530" s="644">
        <f t="shared" si="1445"/>
        <v>306.82686222484347</v>
      </c>
      <c r="IC530" s="644">
        <f t="shared" si="1446"/>
        <v>428.29728431298884</v>
      </c>
      <c r="ID530" s="644">
        <f>IF(AND(INDEX(Input!$1:$1048576,IA$93,$C530*2+7)="TOS",Y530&lt;=INDEX(Y:Y,MATCH(C530*1000+2,A:A))),0,1)*MAX(IA530+HR530+HU530+HX530,0%)</f>
        <v>106.51564804058694</v>
      </c>
      <c r="IE530" s="128">
        <f t="shared" si="1508"/>
        <v>0.36455840634120001</v>
      </c>
      <c r="IF530" s="128">
        <f t="shared" si="1468"/>
        <v>0.50888430783803973</v>
      </c>
      <c r="IG530" s="128">
        <f t="shared" si="1423"/>
        <v>0.12655728582076023</v>
      </c>
      <c r="IH530" s="21"/>
      <c r="II530" s="19">
        <f t="shared" si="1424"/>
        <v>1240</v>
      </c>
      <c r="IJ530" s="19">
        <f t="shared" si="1425"/>
        <v>1985.7442651839444</v>
      </c>
      <c r="IK530" s="19">
        <f t="shared" si="1426"/>
        <v>-21.44990394013189</v>
      </c>
      <c r="IL530" s="19">
        <f t="shared" si="1448"/>
        <v>30.000000000000227</v>
      </c>
      <c r="IM530" s="19">
        <f t="shared" si="1427"/>
        <v>29.915976414639317</v>
      </c>
      <c r="IN530" s="19">
        <f t="shared" si="1428"/>
        <v>1095.0000000000002</v>
      </c>
      <c r="IO530" s="39">
        <f t="shared" si="1429"/>
        <v>0</v>
      </c>
      <c r="IP530" s="39">
        <f t="shared" si="1430"/>
        <v>0</v>
      </c>
      <c r="IQ530" s="39">
        <f t="shared" si="1431"/>
        <v>0</v>
      </c>
      <c r="IR530" s="39">
        <v>0</v>
      </c>
      <c r="IS530" s="39">
        <v>0</v>
      </c>
      <c r="IT530" s="39">
        <v>0</v>
      </c>
      <c r="IU530" s="39">
        <v>0</v>
      </c>
      <c r="IV530" s="39">
        <v>0</v>
      </c>
      <c r="IW530" s="39">
        <v>0</v>
      </c>
      <c r="IX530" s="39">
        <f>INDEX(Input!$1:$1048576,IX$93,$C530*2+6)+INDEX(Input!$1:$1048576,IX$94,$C530*2+6)</f>
        <v>1270</v>
      </c>
      <c r="IY530" s="39">
        <f>INDEX(Input!$1:$1048576,IY$93,$C530*2+6)+INDEX(Input!$1:$1048576,IY$94,$C530*2+6)</f>
        <v>2130.0624533823611</v>
      </c>
      <c r="IZ530" s="39">
        <f>INDEX(Input!$1:$1048576,IZ$93,$C530*2+6)+INDEX(Input!$1:$1048576,IZ$94,$C530*2+6)</f>
        <v>3653.7164157747857</v>
      </c>
      <c r="JA530" s="19">
        <f t="shared" si="1449"/>
        <v>1300.0000000000002</v>
      </c>
      <c r="JB530" s="19">
        <f t="shared" si="1450"/>
        <v>2159.9784297970004</v>
      </c>
      <c r="JC530" s="19">
        <f t="shared" si="1451"/>
        <v>4748.7164157747857</v>
      </c>
      <c r="JD530" s="19">
        <f t="shared" si="1452"/>
        <v>2174.0897171488482</v>
      </c>
      <c r="JE530" s="21"/>
      <c r="JF530" s="1">
        <f t="shared" si="1432"/>
        <v>2.9195044280595241E-2</v>
      </c>
      <c r="JG530" s="15">
        <f>INDEX(Input!$1:$1048576,JG$93,$C530*2+6)/(1+VLOOKUP(C530*1000+INDEX(Input!$1:$1048576,JG$93+1,$C530*2+6),$A:$KK,$JK$92,FALSE))</f>
        <v>821</v>
      </c>
      <c r="JH530" s="1">
        <f t="shared" si="1453"/>
        <v>1.5143643494990448E-2</v>
      </c>
      <c r="JI530" s="1">
        <f t="shared" si="1454"/>
        <v>9.9961793776274059E-3</v>
      </c>
      <c r="JJ530" s="1">
        <f t="shared" si="1492"/>
        <v>0</v>
      </c>
      <c r="JK530" s="1">
        <f t="shared" si="1496"/>
        <v>2.5139822872617852E-2</v>
      </c>
      <c r="JL530" s="15">
        <f t="shared" si="1457"/>
        <v>20.639794578419256</v>
      </c>
      <c r="JM530" s="15">
        <f t="shared" si="1483"/>
        <v>841.63979457841924</v>
      </c>
      <c r="JN530" s="21"/>
      <c r="JO530" s="19">
        <f>INDEX(Input!$1:$1048576,JO$93,$C530*2+6)</f>
        <v>5995.5</v>
      </c>
      <c r="JP530" s="19">
        <f>INDEX(Input!$1:$1048576,JP$93,$C530*2+6)</f>
        <v>1890.7138380411029</v>
      </c>
      <c r="JQ530" s="39">
        <f t="shared" si="1469"/>
        <v>3821.4102828511518</v>
      </c>
      <c r="JR530" s="39">
        <f t="shared" si="1486"/>
        <v>283.37587910774528</v>
      </c>
      <c r="JS530" s="39">
        <f t="shared" si="1471"/>
        <v>1.8298004229362101</v>
      </c>
      <c r="JT530" s="39">
        <f t="shared" si="1459"/>
        <v>0.27752436190446467</v>
      </c>
      <c r="JU530" s="385">
        <f>(JQ530*JM530-INDEX(Input!$1:$1048576,Input!A$18,$C530*2+6)*JL530*INDEX(Input!$1:$1048576,Input!A$19,$C530*2+6))/1000000</f>
        <v>3.2162509654587024</v>
      </c>
      <c r="JV530" s="39">
        <f t="shared" si="1493"/>
        <v>-0.15377847350955198</v>
      </c>
      <c r="JW530" s="1">
        <f t="shared" si="1484"/>
        <v>-4.5631195897396011E-2</v>
      </c>
      <c r="JX530" s="19">
        <f t="shared" si="1475"/>
        <v>13446.081590106574</v>
      </c>
      <c r="JZ530" s="341"/>
      <c r="KA530" s="342"/>
      <c r="KB530" s="469">
        <f t="shared" si="1472"/>
        <v>2.5122967434604799</v>
      </c>
      <c r="KI530" s="473">
        <f t="shared" si="1499"/>
        <v>-26.17313777515659</v>
      </c>
      <c r="KJ530" s="473">
        <f t="shared" si="1500"/>
        <v>-0.70271568701116394</v>
      </c>
      <c r="KK530" s="473">
        <f t="shared" si="1461"/>
        <v>47.515648040586925</v>
      </c>
      <c r="KN530" s="544">
        <f t="shared" si="1476"/>
        <v>5002</v>
      </c>
      <c r="KO530" s="541">
        <f t="shared" si="1436"/>
        <v>2.0982750144378004E-2</v>
      </c>
      <c r="KP530" s="546">
        <f t="shared" si="1437"/>
        <v>136.63836083854545</v>
      </c>
      <c r="KQ530" s="546">
        <f t="shared" si="1438"/>
        <v>255.17095142558173</v>
      </c>
      <c r="KR530" s="548">
        <f t="shared" si="1439"/>
        <v>2.7743019332234859</v>
      </c>
      <c r="KS530" s="548">
        <f t="shared" si="1440"/>
        <v>1.4855768907434552</v>
      </c>
      <c r="KT530" s="473">
        <f t="shared" si="1474"/>
        <v>595.94378802984284</v>
      </c>
      <c r="KU530" s="663">
        <f t="shared" si="1462"/>
        <v>3.7898579219279185</v>
      </c>
      <c r="KV530" s="117"/>
    </row>
    <row r="531" spans="1:308" s="26" customFormat="1" ht="15">
      <c r="A531" s="561">
        <f t="shared" si="1441"/>
        <v>5031</v>
      </c>
      <c r="B531" s="561">
        <f t="shared" si="1463"/>
        <v>31</v>
      </c>
      <c r="C531" s="561">
        <f t="shared" si="1464"/>
        <v>5</v>
      </c>
      <c r="D531" s="561" t="str">
        <f t="shared" si="1509"/>
        <v xml:space="preserve">250 CC, 250 Combo, </v>
      </c>
      <c r="E531" s="475">
        <f>INDEX(Input!$1:$1048576,E$93,$C531*2+MIN($B531,2)+5)
+INDEX(Scenarios!E$121:E$200,MATCH($B531,Scenarios!$B$121:$B$200,0))</f>
        <v>1527.4263093788063</v>
      </c>
      <c r="F531" s="475">
        <f>INDEX(Input!$1:$1048576,F$93,$C531*2+MIN($B531,2)+5)
+INDEX(Scenarios!F$121:F$200,MATCH($B531,Scenarios!$B$121:$B$200,0))</f>
        <v>0</v>
      </c>
      <c r="G531" s="475">
        <f>INDEX(Input!$1:$1048576,G$93,$C531*2+MIN($B531,2)+5)
+INDEX(Scenarios!G$121:G$200,MATCH($B531,Scenarios!$B$121:$B$200,0))</f>
        <v>0</v>
      </c>
      <c r="H531" s="475">
        <f>INDEX(Input!$1:$1048576,H$93,$C531*2+MIN($B531,2)+5)
+INDEX(Scenarios!H$121:H$200,MATCH($B531,Scenarios!$B$121:$B$200,0))</f>
        <v>0</v>
      </c>
      <c r="I531" s="476">
        <f>INDEX(Input!$1:$1048576,I$93,$C531*2+MIN($B531,2)+5)</f>
        <v>0.7</v>
      </c>
      <c r="J531" s="476" t="str">
        <f>INDEX(Input!$1:$1048576,J$93,$C531*2+MIN($B531,2)+5)</f>
        <v>Market</v>
      </c>
      <c r="K531" s="476" t="str">
        <f>INDEX(Input!$1:$1048576,K$93,$C531*2+MIN($B531,2)+5)</f>
        <v>Market</v>
      </c>
      <c r="L531" s="476" t="str">
        <f>INDEX(Input!$1:$1048576,L$93,$C531*2+MIN($B531,2)+5)</f>
        <v>Market</v>
      </c>
      <c r="M531" s="476" t="str">
        <f>INDEX(Input!$1:$1048576,M$93,$C531*2+MIN($B531,2)+5)</f>
        <v>Market</v>
      </c>
      <c r="N531" s="476" t="str">
        <f>INDEX(Input!$1:$1048576,N$93,$C531*2+MIN($B531,2)+5)</f>
        <v>Market</v>
      </c>
      <c r="O531" s="476" t="str">
        <f>INDEX(Input!$1:$1048576,O$93,$C531*2+MIN($B531,2)+5)</f>
        <v>Market</v>
      </c>
      <c r="P531" s="476" t="str">
        <f>INDEX(Input!$1:$1048576,P$93,$C531*2+MIN($B531,2)+5)</f>
        <v>N</v>
      </c>
      <c r="Q531" s="477">
        <f>INDEX(Input!$1:$1048576,Q$93,$C531*2+MIN($B531,2)+5)
+INDEX(Scenarios!Q$121:Q$200,MATCH($B531,Scenarios!$B$121:$B$200,0))</f>
        <v>250</v>
      </c>
      <c r="R531" s="478">
        <f>IFERROR(MAX(0,INDEX(Input!$1:$1048576,R$93,$C531*2+MIN($B531,2)+5)
+INDEX(Scenarios!R$121:R$200,MATCH($B531,Scenarios!$B$121:$B$200,0)),),"Market")</f>
        <v>0</v>
      </c>
      <c r="S531" s="478">
        <f>IFERROR(MAX(0,INDEX(Input!$1:$1048576,S$93,$C531*2+MIN($B531,2)+5)
+INDEX(Scenarios!S$121:S$200,MATCH($B531,Scenarios!$B$121:$B$200,0)),),"Market")</f>
        <v>0</v>
      </c>
      <c r="T531" s="478">
        <f>IFERROR(MAX(0,INDEX(Input!$1:$1048576,T$93,$C531*2+MIN($B531,2)+5)
+INDEX(Scenarios!T$121:T$200,MATCH($B531,Scenarios!$B$121:$B$200,0)),),"Market")</f>
        <v>0</v>
      </c>
      <c r="U531" s="478">
        <f>IFERROR(MAX(0,INDEX(Input!$1:$1048576,U$93,$C531*2+MIN($B531,2)+5)
+INDEX(Scenarios!U$121:U$200,MATCH($B531,Scenarios!$B$121:$B$200,0)),),"Market")</f>
        <v>0</v>
      </c>
      <c r="V531" s="478">
        <f>IFERROR(MAX(0,INDEX(Input!$1:$1048576,V$93,$C531*2+MIN($B531,2)+5)
+INDEX(Scenarios!V$121:V$200,MATCH($B531,Scenarios!$B$121:$B$200,0)),),"Market")</f>
        <v>1.9E-2</v>
      </c>
      <c r="W531" s="885">
        <f>IFERROR(MAX(0,INDEX(Input!$1:$1048576,W$93,$C531*2+MIN($B531,2)+5)-0%,),"Market")</f>
        <v>3.9E-2</v>
      </c>
      <c r="X531" s="476" t="str">
        <f>INDEX(Input!$1:$1048576,X$93,$C531*2+MIN($B531,2)+5)</f>
        <v>Y</v>
      </c>
      <c r="Y531" s="475">
        <f>INDEX(Input!$1:$1048576,Y$93,$C531*2+MIN($B531,2)+5)
++INDEX(Scenarios!Y$121:Y$200,MATCH($B531,Scenarios!$B$121:$B$200,0))</f>
        <v>-717.93641739252325</v>
      </c>
      <c r="Z531" s="477">
        <f>INDEX(Input!$1:$1048576,Z$93,$C531*2+MIN($B531,2)+5)
+INDEX(Scenarios!Z$121:Z$200,MATCH($B531,Scenarios!$B$121:$B$200,0))</f>
        <v>0</v>
      </c>
      <c r="AA531" s="475">
        <f>INDEX(Input!$1:$1048576,AA$93,$C531*2+MIN($B531,2)+5)
+INDEX(Scenarios!AA$121:AA$200,MATCH($B531,Scenarios!$B$121:$B$200,0))</f>
        <v>0</v>
      </c>
      <c r="AB531" s="476">
        <f>INDEX(Input!$1:$1048576,AB$93,$C531*2+MIN($B531,2)+5)</f>
        <v>0.27</v>
      </c>
      <c r="AC531" s="475">
        <f>INDEX(Input!$1:$1048576,AC$93,$C531*2+MIN($B531,2)+5)
+INDEX(Scenarios!AC$121:AC$200,MATCH($B531,Scenarios!$B$121:$B$200,0))</f>
        <v>0</v>
      </c>
      <c r="AD531" s="476">
        <f>INDEX(Input!$1:$1048576,AD$93,$C531*2+MIN($B531,2)+5)</f>
        <v>0.27</v>
      </c>
      <c r="AE531" s="475">
        <f>INDEX(Input!$1:$1048576,AE$93,$C531*2+MIN($B531,2)+5)
+INDEX(Scenarios!AE$121:AE$200,MATCH($B531,Scenarios!$B$121:$B$200,0))</f>
        <v>0</v>
      </c>
      <c r="AF531" s="476">
        <f>INDEX(Input!$1:$1048576,AF$93,$C531*2+MIN($B531,2)+5)</f>
        <v>0.2</v>
      </c>
      <c r="AG531" s="475">
        <f>INDEX(Input!$1:$1048576,AG$93,$C531*2+MIN($B531,2)+5)
+INDEX(Scenarios!AG$121:AG$200,MATCH($B531,Scenarios!$B$121:$B$200,0))</f>
        <v>500</v>
      </c>
      <c r="AH531" s="476">
        <f>INDEX(Input!$1:$1048576,AH$93,$C531*2+MIN($B531,2)+5)</f>
        <v>1</v>
      </c>
      <c r="AI531" s="475">
        <f>INDEX(Input!$1:$1048576,AI$93,$C531*2+MIN($B531,2)+5)
+INDEX(Scenarios!AI$121:AI$200,MATCH($B531,Scenarios!$B$121:$B$200,0))</f>
        <v>0</v>
      </c>
      <c r="AJ531" s="476">
        <f>INDEX(Input!$1:$1048576,AJ$93,$C531*2+MIN($B531,2)+5)</f>
        <v>0.27</v>
      </c>
      <c r="AK531" s="150">
        <f>ROUND(INDEX(Input!$1:$1048576,AK$93,$C530*2+MIN($B531,1)+5)+(Y531-VLOOKUP($C531*1000+1,$A:$HH,Y$92,FALSE)),0)</f>
        <v>2587</v>
      </c>
      <c r="AL531" s="150">
        <f>ROUND(INDEX(Input!$1:$1048576,AL$93,$C530*2+MIN($B531,1)+5)-(Y531-VLOOKUP($C531*1000+1,$A:$HH,Y$92,FALSE))/36,0)</f>
        <v>3406</v>
      </c>
      <c r="AM531" s="32" t="str">
        <f t="shared" si="1442"/>
        <v>std/std/std/std</v>
      </c>
      <c r="AN531" s="32" t="str">
        <f t="shared" si="1443"/>
        <v>$250 + 0/0/0/1.9/3.9</v>
      </c>
      <c r="AO531" s="32" t="str">
        <f t="shared" si="1444"/>
        <v>0/0/0/1.9/3.9</v>
      </c>
      <c r="AP531" s="32" t="str">
        <f t="shared" si="1396"/>
        <v>0/0.9/1.9/3.9</v>
      </c>
      <c r="AQ531" s="536">
        <f t="shared" si="1394"/>
        <v>0.41097315039764648</v>
      </c>
      <c r="AR531" s="32"/>
      <c r="AS531" s="302"/>
      <c r="AT531" s="3">
        <f t="shared" si="1465"/>
        <v>31</v>
      </c>
      <c r="AU531" s="41" t="s">
        <v>121</v>
      </c>
      <c r="AV531" s="41" t="s">
        <v>116</v>
      </c>
      <c r="AW531" s="41" t="str">
        <f>INDEX(Input!$1:$1048576,AW$93,$C531*2+6)</f>
        <v>Kia</v>
      </c>
      <c r="AX531" s="41" t="str">
        <f>INDEX(Input!$1:$1048576,AX$93,$C531*2+6)</f>
        <v>Kia-LR - R2</v>
      </c>
      <c r="AY531" s="41" t="str">
        <f>IF(LEN(D531)=0,"",INDEX(Input!$1:$1048576,AY$93,$C531*2+6))</f>
        <v>Compact SUV (52)</v>
      </c>
      <c r="AZ531" s="41" t="str">
        <f>INDEX(Input!$1:$1048576,AZ$93,$C531*2+6)</f>
        <v>Kia Soul</v>
      </c>
      <c r="BA531" s="3">
        <f>INDEX(Input!$1:$1048576,BA$93,$C531*2+6)</f>
        <v>2020</v>
      </c>
      <c r="BB531" s="128">
        <f>INDEX(Input!$1:$1048576,BB$93,$C531*2+6)</f>
        <v>1</v>
      </c>
      <c r="BC531" s="128">
        <f>INDEX(Input!$1:$1048576,BC$93,$C531*2+6)</f>
        <v>0.7</v>
      </c>
      <c r="BD531" s="1">
        <f>INDEX(Input!$1:$1048576,BD$93,$C531*2+6)</f>
        <v>4.4999999999999998E-2</v>
      </c>
      <c r="BE531" s="1">
        <f>INDEX(Input!$1:$1048576,BE$93,$C531*2+6)</f>
        <v>4.4999999999999998E-2</v>
      </c>
      <c r="BF531" s="1">
        <f>INDEX(Input!$1:$1048576,BF$93,$C531*2+6)</f>
        <v>0.05</v>
      </c>
      <c r="BG531" s="1">
        <f>INDEX(Input!$1:$1048576,BG$93,$C531*2+6)</f>
        <v>5.45E-2</v>
      </c>
      <c r="BH531" s="1">
        <f>INDEX(Input!$1:$1048576,BH$93,$C531*2+6)</f>
        <v>5.45E-2</v>
      </c>
      <c r="BI531" s="1">
        <f>INDEX(Input!$1:$1048576,BI$93,$C531*2+6)</f>
        <v>0.05</v>
      </c>
      <c r="BJ531" s="1">
        <f>INDEX(Input!$1:$1048576,BJ$93,$C531*2+6)</f>
        <v>0.05</v>
      </c>
      <c r="BK531" s="1">
        <f>INDEX(Input!$1:$1048576,BK$93,$C531*2+6)</f>
        <v>0.05</v>
      </c>
      <c r="BL531" s="1">
        <f>INDEX(Input!$1:$1048576,BL$93,$C531*2+6)</f>
        <v>5.5E-2</v>
      </c>
      <c r="BM531" s="1">
        <f>INDEX(Input!$1:$1048576,BM$93,$C531*2+6)</f>
        <v>0.06</v>
      </c>
      <c r="BN531" s="1">
        <f>INDEX(Input!$1:$1048576,BN$93,$C531*2+6)</f>
        <v>4.4999999999999998E-2</v>
      </c>
      <c r="BO531" s="1">
        <f>INDEX(Input!$1:$1048576,BO$93,$C531*2+6)</f>
        <v>4.4999999999999998E-2</v>
      </c>
      <c r="BP531" s="1">
        <f>INDEX(Input!$1:$1048576,BP$93,$C531*2+6)</f>
        <v>0.05</v>
      </c>
      <c r="BQ531" s="1">
        <f>INDEX(Input!$1:$1048576,BQ$93,$C531*2+6)</f>
        <v>5.45E-2</v>
      </c>
      <c r="BR531" s="1">
        <f>INDEX(Input!$1:$1048576,BR$93,$C531*2+6)</f>
        <v>5.45E-2</v>
      </c>
      <c r="BS531" s="1">
        <f>INDEX(Input!$1:$1048576,BS$93,$C531*2+6)</f>
        <v>0.05</v>
      </c>
      <c r="BT531" s="1">
        <f>INDEX(Input!$1:$1048576,BT$93,$C531*2+6)</f>
        <v>0.05</v>
      </c>
      <c r="BU531" s="1">
        <f>INDEX(Input!$1:$1048576,BU$93,$C531*2+6)</f>
        <v>0.05</v>
      </c>
      <c r="BV531" s="1">
        <f>INDEX(Input!$1:$1048576,BV$93,$C531*2+6)</f>
        <v>5.5E-2</v>
      </c>
      <c r="BW531" s="1">
        <f>INDEX(Input!$1:$1048576,BW$93,$C531*2+6)</f>
        <v>0.06</v>
      </c>
      <c r="BX531" s="127">
        <f>INDEX(Input!$1:$1048576,BX$93,$C531*2+6)</f>
        <v>19985</v>
      </c>
      <c r="BY531" s="20">
        <f>INDEX(Input!$1:$1048576,BY$93,$C531*2+6)</f>
        <v>0.1</v>
      </c>
      <c r="BZ531" s="20">
        <f>INDEX(Input!$1:$1048576,BZ$93,$C531*2+6)</f>
        <v>0.1</v>
      </c>
      <c r="CA531" s="20">
        <f>INDEX(Input!$1:$1048576,CA$93,$C531*2+6)</f>
        <v>0.1</v>
      </c>
      <c r="CB531" s="20">
        <f>INDEX(Input!$1:$1048576,CB$93,$C531*2+6)</f>
        <v>0.1</v>
      </c>
      <c r="CC531" s="20">
        <f>INDEX(Input!$1:$1048576,CC$93,$C531*2+6)</f>
        <v>0.1</v>
      </c>
      <c r="CD531" s="384">
        <f>INDEX(Input!$1:$1048576,CD$93,$C531*2+6)</f>
        <v>0.1</v>
      </c>
      <c r="CE531" s="384">
        <f>INDEX(Input!$1:$1048576,CE$93,$C531*2+6)</f>
        <v>0.1</v>
      </c>
      <c r="CF531" s="384">
        <f>INDEX(Input!$1:$1048576,CF$93,$C531*2+6)</f>
        <v>0.1</v>
      </c>
      <c r="CG531" s="384">
        <f>INDEX(Input!$1:$1048576,CG$93,$C531*2+6)</f>
        <v>0.1</v>
      </c>
      <c r="CH531" s="384">
        <f>INDEX(Input!$1:$1048576,CH$93,$C531*2+6)</f>
        <v>0.1</v>
      </c>
      <c r="CI531" s="304">
        <f t="shared" si="1397"/>
        <v>1527.4263093788063</v>
      </c>
      <c r="CJ531" s="16" t="str">
        <f>INDEX(Input!$1:$1048576,CJ$93,$C531*2+6)</f>
        <v>N</v>
      </c>
      <c r="CK531" s="1" t="str">
        <f t="shared" si="1398"/>
        <v>Market</v>
      </c>
      <c r="CL531" s="1" t="str">
        <f t="shared" si="1399"/>
        <v>Market</v>
      </c>
      <c r="CM531" s="1" t="str">
        <f t="shared" si="1400"/>
        <v>Market</v>
      </c>
      <c r="CN531" s="1" t="str">
        <f t="shared" si="1401"/>
        <v>Market</v>
      </c>
      <c r="CO531" s="1" t="str">
        <f t="shared" si="1402"/>
        <v>Market</v>
      </c>
      <c r="CP531" s="304">
        <f t="shared" si="1403"/>
        <v>750</v>
      </c>
      <c r="CQ531" s="1">
        <f t="shared" si="1404"/>
        <v>0</v>
      </c>
      <c r="CR531" s="1">
        <f t="shared" si="1405"/>
        <v>0</v>
      </c>
      <c r="CS531" s="1">
        <f t="shared" si="1406"/>
        <v>0</v>
      </c>
      <c r="CT531" s="1">
        <f t="shared" si="1407"/>
        <v>1.9E-2</v>
      </c>
      <c r="CU531" s="1">
        <f t="shared" si="1408"/>
        <v>3.9E-2</v>
      </c>
      <c r="CV531" s="304">
        <f t="shared" si="1409"/>
        <v>-717.93641739252325</v>
      </c>
      <c r="CW531" s="20" t="s">
        <v>122</v>
      </c>
      <c r="CX531" s="20" t="s">
        <v>122</v>
      </c>
      <c r="CY531" s="20" t="s">
        <v>122</v>
      </c>
      <c r="CZ531" s="20" t="s">
        <v>122</v>
      </c>
      <c r="DA531" s="20" t="s">
        <v>122</v>
      </c>
      <c r="DB531" s="503">
        <f t="shared" si="1410"/>
        <v>0</v>
      </c>
      <c r="DC531" s="127">
        <v>0</v>
      </c>
      <c r="DD531" s="127">
        <v>0</v>
      </c>
      <c r="DE531" s="127">
        <v>0</v>
      </c>
      <c r="DF531" s="127">
        <v>0</v>
      </c>
      <c r="DG531" s="127">
        <v>0</v>
      </c>
      <c r="DH531" s="127">
        <v>0</v>
      </c>
      <c r="DI531" s="127">
        <v>0</v>
      </c>
      <c r="DJ531" s="127">
        <v>0</v>
      </c>
      <c r="DK531" s="127">
        <v>0</v>
      </c>
      <c r="DL531" s="127">
        <v>0</v>
      </c>
      <c r="DM531" s="304">
        <f>INDEX(Input!$1:$1048576,DM$93,$C531*2+6)</f>
        <v>21036.84210526316</v>
      </c>
      <c r="DN531" s="20">
        <v>0</v>
      </c>
      <c r="DO531" s="20">
        <v>0</v>
      </c>
      <c r="DP531" s="20">
        <v>0</v>
      </c>
      <c r="DQ531" s="20">
        <v>0</v>
      </c>
      <c r="DR531" s="20">
        <v>0</v>
      </c>
      <c r="DS531" s="20">
        <f>INDEX(Input!$1:$1048576,DS$93,$C531*2+6)</f>
        <v>0.6</v>
      </c>
      <c r="DT531" s="20">
        <f>INDEX(Input!$1:$1048576,DT$93,$C531*2+6)</f>
        <v>0.55000000000000004</v>
      </c>
      <c r="DU531" s="20">
        <f>INDEX(Input!$1:$1048576,DU$93,$C531*2+6)</f>
        <v>0.52</v>
      </c>
      <c r="DV531" s="20">
        <f>INDEX(Input!$1:$1048576,DV$93,$C531*2+6)</f>
        <v>0.5</v>
      </c>
      <c r="DW531" s="20">
        <f>INDEX(Input!$1:$1048576,DW$93,$C531*2+6)</f>
        <v>0.45</v>
      </c>
      <c r="DX531" s="20"/>
      <c r="DY531" s="7">
        <v>0.12320767021188288</v>
      </c>
      <c r="DZ531" s="7">
        <v>0</v>
      </c>
      <c r="EA531" s="7">
        <v>0.73877614027718252</v>
      </c>
      <c r="EB531" s="7">
        <v>0</v>
      </c>
      <c r="EC531" s="7">
        <v>0</v>
      </c>
      <c r="ED531" s="7">
        <v>0</v>
      </c>
      <c r="EE531" s="7">
        <v>0</v>
      </c>
      <c r="EF531" s="7">
        <v>0</v>
      </c>
      <c r="EG531" s="7">
        <v>0</v>
      </c>
      <c r="EH531" s="7">
        <v>1.2089227952633352E-2</v>
      </c>
      <c r="EI531" s="7">
        <v>3.3610476375677004E-2</v>
      </c>
      <c r="EJ531" s="7">
        <v>0.29195941791646124</v>
      </c>
      <c r="EK531" s="7">
        <v>0.5372937093056247</v>
      </c>
      <c r="EL531" s="7">
        <v>0.12504716844960359</v>
      </c>
      <c r="EM531" s="7">
        <v>7.6020022879140947E-2</v>
      </c>
      <c r="EN531" s="7">
        <v>5.8477611438632206E-2</v>
      </c>
      <c r="EO531" s="7">
        <v>0.71702652178738435</v>
      </c>
      <c r="EP531" s="7">
        <v>8.9807179495283135E-2</v>
      </c>
      <c r="EQ531" s="7">
        <v>8.8423873543465287E-2</v>
      </c>
      <c r="ER531" s="7">
        <v>4.6264813735234868E-2</v>
      </c>
      <c r="ES531" s="7">
        <v>6.1996166631793713E-2</v>
      </c>
      <c r="ET531" s="7">
        <v>0.13801618951093461</v>
      </c>
      <c r="EU531" s="6">
        <v>1520</v>
      </c>
      <c r="EV531" s="6">
        <v>0</v>
      </c>
      <c r="EW531" s="6">
        <v>1520</v>
      </c>
      <c r="EX531" s="6">
        <v>0</v>
      </c>
      <c r="EY531" s="6">
        <v>2265.7640518197722</v>
      </c>
      <c r="EZ531" s="6">
        <v>-6.4499039401316622</v>
      </c>
      <c r="FA531" s="6">
        <v>0</v>
      </c>
      <c r="FB531" s="6">
        <v>0</v>
      </c>
      <c r="FC531" s="6">
        <v>0</v>
      </c>
      <c r="FD531" s="6">
        <v>0</v>
      </c>
      <c r="FE531" s="6">
        <v>0</v>
      </c>
      <c r="FF531" s="6">
        <v>0</v>
      </c>
      <c r="FG531" s="6">
        <v>0</v>
      </c>
      <c r="FH531" s="6">
        <v>1172.1381684525181</v>
      </c>
      <c r="FI531" s="6">
        <v>1553.9796069512399</v>
      </c>
      <c r="FJ531" s="6">
        <v>2101.2110117447401</v>
      </c>
      <c r="FK531" s="6">
        <v>1772.7139978623229</v>
      </c>
      <c r="FL531" s="6">
        <v>907.07682140966313</v>
      </c>
      <c r="FM531" s="6">
        <v>1745.764051819772</v>
      </c>
      <c r="FN531" s="6">
        <v>0</v>
      </c>
      <c r="FO531" s="6">
        <v>0</v>
      </c>
      <c r="FP531" s="6">
        <v>0</v>
      </c>
      <c r="FQ531" s="6">
        <v>0</v>
      </c>
      <c r="FR531" s="6">
        <v>0</v>
      </c>
      <c r="FS531" s="6">
        <v>0</v>
      </c>
      <c r="FT531" s="7">
        <v>0.86198381048906536</v>
      </c>
      <c r="FU531" s="7">
        <v>7.6020022879140947E-2</v>
      </c>
      <c r="FV531" s="7">
        <v>6.1996166631793713E-2</v>
      </c>
      <c r="FW531" s="6">
        <v>1520.0000000000002</v>
      </c>
      <c r="FX531" s="6">
        <v>2265.7640518197722</v>
      </c>
      <c r="FY531" s="6">
        <v>-6.4499039401316622</v>
      </c>
      <c r="FZ531" s="6">
        <v>1758.1538569113241</v>
      </c>
      <c r="GA531" s="6">
        <v>1482.0589576820223</v>
      </c>
      <c r="GB531" s="6">
        <v>18502.941042317976</v>
      </c>
      <c r="GC531" s="7">
        <v>3.064145122680037E-2</v>
      </c>
      <c r="GD531" s="7">
        <v>3.0150532798866553E-2</v>
      </c>
      <c r="GE531" s="7"/>
      <c r="GF531" s="7"/>
      <c r="GG531" s="7">
        <v>-1.6021383070278269E-2</v>
      </c>
      <c r="GH531" s="42">
        <v>1.1597003115714568</v>
      </c>
      <c r="GI531" s="6">
        <v>18714.959389448955</v>
      </c>
      <c r="GJ531" s="14">
        <v>0.50394797582841733</v>
      </c>
      <c r="GK531" s="14">
        <v>0.50887573065309732</v>
      </c>
      <c r="GL531" s="14">
        <v>0.49605202417158278</v>
      </c>
      <c r="GM531" s="14">
        <v>0.49112426934690245</v>
      </c>
      <c r="GO531" s="5">
        <v>343.14810671672558</v>
      </c>
      <c r="GP531" s="5">
        <v>314.14940645767444</v>
      </c>
      <c r="GQ531" s="5">
        <v>535.04305713031317</v>
      </c>
      <c r="GR531" s="5">
        <v>410.15490233172511</v>
      </c>
      <c r="GS531" s="5">
        <v>339.42744393800166</v>
      </c>
      <c r="GT531" s="5">
        <v>293.4407446948278</v>
      </c>
      <c r="GU531" s="5">
        <v>258.04012322764959</v>
      </c>
      <c r="GV531" s="39" t="s">
        <v>392</v>
      </c>
      <c r="GW531" s="5">
        <v>485.18055555555554</v>
      </c>
      <c r="GX531" s="5">
        <v>363.88541666666669</v>
      </c>
      <c r="GY531" s="5">
        <v>291.10833333333335</v>
      </c>
      <c r="GZ531" s="5">
        <v>256.87238435316397</v>
      </c>
      <c r="HA531" s="5">
        <v>237.94303894878348</v>
      </c>
      <c r="HB531" s="39">
        <v>270.85765956538665</v>
      </c>
      <c r="HC531" s="5">
        <v>287.56655829738071</v>
      </c>
      <c r="HD531" s="5">
        <v>239.99799238008356</v>
      </c>
      <c r="HE531" s="5">
        <v>241.14168635502031</v>
      </c>
      <c r="HF531" s="5">
        <v>221.05790951107167</v>
      </c>
      <c r="HG531" s="5">
        <v>210.75500473779988</v>
      </c>
      <c r="HH531" s="39">
        <v>239.85472355573873</v>
      </c>
      <c r="HI531" s="16"/>
      <c r="HJ531" s="19" t="str">
        <f t="shared" si="1507"/>
        <v>On</v>
      </c>
      <c r="HK531" s="1" t="str">
        <f t="shared" si="1507"/>
        <v>On</v>
      </c>
      <c r="HL531" s="16"/>
      <c r="HM531" s="639">
        <f t="shared" si="1413"/>
        <v>2.4909940070666322E-2</v>
      </c>
      <c r="HN531" s="639">
        <f t="shared" si="1414"/>
        <v>2.2052381276269151E-3</v>
      </c>
      <c r="HO531" s="639">
        <f t="shared" si="1415"/>
        <v>2.079866082302006E-3</v>
      </c>
      <c r="HP531" s="644">
        <f>(FT531*$GD531-HM531)/$JF531*INDEX(Input!$1:$1048576,$JG$93,$C531*2+6)</f>
        <v>30.352097013980075</v>
      </c>
      <c r="HQ531" s="644">
        <f>(FU531*$GD531-HN531)/$JF531*INDEX(Input!$1:$1048576,$JG$93,$C531*2+6)</f>
        <v>2.4410916846295714</v>
      </c>
      <c r="HR531" s="644">
        <f>(FV531*$GD531-HO531)/$JF531*INDEX(Input!$1:$1048576,$JG$93,$C531*2+6)</f>
        <v>-5.9236944803001021</v>
      </c>
      <c r="HS531" s="644">
        <f t="shared" si="1416"/>
        <v>-13.614897986534363</v>
      </c>
      <c r="HT531" s="644">
        <f t="shared" si="1417"/>
        <v>15.387520732366186</v>
      </c>
      <c r="HU531" s="644">
        <f t="shared" si="1418"/>
        <v>1.3555666778423405</v>
      </c>
      <c r="HV531" s="648">
        <f t="shared" si="1419"/>
        <v>0</v>
      </c>
      <c r="HW531" s="648">
        <f t="shared" si="1420"/>
        <v>0</v>
      </c>
      <c r="HX531" s="648">
        <f t="shared" si="1421"/>
        <v>0</v>
      </c>
      <c r="HY531" s="644">
        <f>INDEX(Input!$1:$1048576,HY$93,$C531*2+6)*INDEX(Input!$1:$1048576,$JG$93,$C531*2+6)</f>
        <v>333.00000000000006</v>
      </c>
      <c r="HZ531" s="644">
        <f>INDEX(Input!$1:$1048576,HZ$93,$C531*2+6)*INDEX(Input!$1:$1048576,$JG$93,$C531*2+6)</f>
        <v>429</v>
      </c>
      <c r="IA531" s="644">
        <f>INDEX(Input!$1:$1048576,IA$93,$C531*2+6)*INDEX(Input!$1:$1048576,$JG$93,$C531*2+6)</f>
        <v>59</v>
      </c>
      <c r="IB531" s="644">
        <f t="shared" si="1445"/>
        <v>349.73719902744574</v>
      </c>
      <c r="IC531" s="644">
        <f t="shared" si="1446"/>
        <v>446.82861241699572</v>
      </c>
      <c r="ID531" s="644">
        <f>IF(AND(INDEX(Input!$1:$1048576,IA$93,$C531*2+7)="TOS",Y531&lt;=INDEX(Y:Y,MATCH(C531*1000+2,A:A))),0,1)*MAX(IA531+HR531+HU531+HX531,0%)</f>
        <v>54.431872197542241</v>
      </c>
      <c r="IE531" s="128">
        <f t="shared" si="1508"/>
        <v>0.41097315039764648</v>
      </c>
      <c r="IF531" s="128">
        <f t="shared" si="1468"/>
        <v>0.52506442850081525</v>
      </c>
      <c r="IG531" s="128">
        <f t="shared" si="1423"/>
        <v>6.3962421101538311E-2</v>
      </c>
      <c r="IH531" s="21"/>
      <c r="II531" s="19">
        <f t="shared" si="1424"/>
        <v>1240</v>
      </c>
      <c r="IJ531" s="19">
        <f t="shared" si="1425"/>
        <v>1985.7442651839444</v>
      </c>
      <c r="IK531" s="19">
        <f t="shared" si="1426"/>
        <v>-21.44990394013189</v>
      </c>
      <c r="IL531" s="19">
        <f t="shared" si="1448"/>
        <v>280.00000000000023</v>
      </c>
      <c r="IM531" s="19">
        <f t="shared" si="1427"/>
        <v>280.01978663582781</v>
      </c>
      <c r="IN531" s="19">
        <f t="shared" si="1428"/>
        <v>15.000000000000227</v>
      </c>
      <c r="IO531" s="39">
        <f t="shared" si="1429"/>
        <v>0</v>
      </c>
      <c r="IP531" s="39">
        <f t="shared" si="1430"/>
        <v>0</v>
      </c>
      <c r="IQ531" s="39">
        <f t="shared" si="1431"/>
        <v>0</v>
      </c>
      <c r="IR531" s="39">
        <v>0</v>
      </c>
      <c r="IS531" s="39">
        <v>0</v>
      </c>
      <c r="IT531" s="39">
        <v>0</v>
      </c>
      <c r="IU531" s="39">
        <v>0</v>
      </c>
      <c r="IV531" s="39">
        <v>0</v>
      </c>
      <c r="IW531" s="39">
        <v>0</v>
      </c>
      <c r="IX531" s="39">
        <f>INDEX(Input!$1:$1048576,IX$93,$C531*2+6)+INDEX(Input!$1:$1048576,IX$94,$C531*2+6)</f>
        <v>1270</v>
      </c>
      <c r="IY531" s="39">
        <f>INDEX(Input!$1:$1048576,IY$93,$C531*2+6)+INDEX(Input!$1:$1048576,IY$94,$C531*2+6)</f>
        <v>2130.0624533823611</v>
      </c>
      <c r="IZ531" s="39">
        <f>INDEX(Input!$1:$1048576,IZ$93,$C531*2+6)+INDEX(Input!$1:$1048576,IZ$94,$C531*2+6)</f>
        <v>3653.7164157747857</v>
      </c>
      <c r="JA531" s="19">
        <f t="shared" si="1449"/>
        <v>1550.0000000000002</v>
      </c>
      <c r="JB531" s="19">
        <f t="shared" si="1450"/>
        <v>2410.0822400181887</v>
      </c>
      <c r="JC531" s="19">
        <f t="shared" si="1451"/>
        <v>3668.7164157747857</v>
      </c>
      <c r="JD531" s="19">
        <f t="shared" si="1452"/>
        <v>2137.1168213993801</v>
      </c>
      <c r="JE531" s="21"/>
      <c r="JF531" s="1">
        <f t="shared" si="1432"/>
        <v>2.9195044280595241E-2</v>
      </c>
      <c r="JG531" s="15">
        <f>INDEX(Input!$1:$1048576,JG$93,$C531*2+6)/(1+VLOOKUP(C531*1000+INDEX(Input!$1:$1048576,JG$93+1,$C531*2+6),$A:$KK,$JK$92,FALSE))</f>
        <v>821</v>
      </c>
      <c r="JH531" s="1">
        <f t="shared" si="1453"/>
        <v>3.2727763968708336E-2</v>
      </c>
      <c r="JI531" s="1">
        <f t="shared" si="1454"/>
        <v>3.8102185428430741E-3</v>
      </c>
      <c r="JJ531" s="1">
        <f t="shared" si="1492"/>
        <v>0</v>
      </c>
      <c r="JK531" s="1">
        <f t="shared" si="1496"/>
        <v>3.6537982511551409E-2</v>
      </c>
      <c r="JL531" s="15">
        <f t="shared" si="1457"/>
        <v>29.997683641983706</v>
      </c>
      <c r="JM531" s="15">
        <f t="shared" si="1483"/>
        <v>850.99768364198371</v>
      </c>
      <c r="JN531" s="21"/>
      <c r="JO531" s="19">
        <f>INDEX(Input!$1:$1048576,JO$93,$C531*2+6)</f>
        <v>5995.5</v>
      </c>
      <c r="JP531" s="19">
        <f>INDEX(Input!$1:$1048576,JP$93,$C531*2+6)</f>
        <v>1890.7138380411029</v>
      </c>
      <c r="JQ531" s="39">
        <f t="shared" si="1469"/>
        <v>3858.3831786006199</v>
      </c>
      <c r="JR531" s="39">
        <f t="shared" si="1486"/>
        <v>246.4029833582772</v>
      </c>
      <c r="JS531" s="39">
        <f t="shared" si="1471"/>
        <v>1.8186814646831915</v>
      </c>
      <c r="JT531" s="39">
        <f t="shared" si="1459"/>
        <v>0.26640540365144588</v>
      </c>
      <c r="JU531" s="385">
        <f>(JQ531*JM531-INDEX(Input!$1:$1048576,Input!A$18,$C531*2+6)*JL531*INDEX(Input!$1:$1048576,Input!A$19,$C531*2+6))/1000000</f>
        <v>3.2834751475923221</v>
      </c>
      <c r="JV531" s="39">
        <f t="shared" si="1493"/>
        <v>-8.6554291375932291E-2</v>
      </c>
      <c r="JW531" s="1">
        <f t="shared" si="1484"/>
        <v>-2.5683541625805849E-2</v>
      </c>
      <c r="JX531" s="19">
        <f t="shared" si="1475"/>
        <v>8880.8658305401368</v>
      </c>
      <c r="JZ531" s="341"/>
      <c r="KA531" s="342"/>
      <c r="KB531" s="469">
        <f t="shared" si="1472"/>
        <v>2.5122967434604799</v>
      </c>
      <c r="KI531" s="473">
        <f t="shared" si="1499"/>
        <v>16.737199027445683</v>
      </c>
      <c r="KJ531" s="473">
        <f t="shared" si="1500"/>
        <v>17.828612416995725</v>
      </c>
      <c r="KK531" s="473">
        <f t="shared" si="1461"/>
        <v>-4.5681278024577594</v>
      </c>
      <c r="KN531" s="544">
        <f t="shared" si="1476"/>
        <v>5002</v>
      </c>
      <c r="KO531" s="541">
        <f t="shared" si="1436"/>
        <v>3.2334688792252653E-2</v>
      </c>
      <c r="KP531" s="546">
        <f t="shared" si="1437"/>
        <v>234.01901058685792</v>
      </c>
      <c r="KQ531" s="546">
        <f t="shared" si="1438"/>
        <v>218.19805567611365</v>
      </c>
      <c r="KR531" s="548">
        <f t="shared" si="1439"/>
        <v>2.4962122219941532</v>
      </c>
      <c r="KS531" s="548">
        <f t="shared" si="1440"/>
        <v>2.6772058650834376</v>
      </c>
      <c r="KT531" s="473">
        <f t="shared" si="1474"/>
        <v>595.94378802984284</v>
      </c>
      <c r="KU531" s="663">
        <f t="shared" si="1462"/>
        <v>4.002265708261457</v>
      </c>
      <c r="KV531" s="117"/>
    </row>
    <row r="532" spans="1:308" s="26" customFormat="1" ht="15">
      <c r="A532" s="561">
        <f t="shared" si="1441"/>
        <v>5032</v>
      </c>
      <c r="B532" s="561">
        <f t="shared" si="1463"/>
        <v>32</v>
      </c>
      <c r="C532" s="561">
        <f t="shared" si="1464"/>
        <v>5</v>
      </c>
      <c r="D532" s="561" t="str">
        <f t="shared" si="1509"/>
        <v xml:space="preserve">500 CC, 500 Combo, </v>
      </c>
      <c r="E532" s="475">
        <f>INDEX(Input!$1:$1048576,E$93,$C532*2+MIN($B532,2)+5)
+INDEX(Scenarios!E$121:E$200,MATCH($B532,Scenarios!$B$121:$B$200,0))</f>
        <v>1777.4263093788063</v>
      </c>
      <c r="F532" s="475">
        <f>INDEX(Input!$1:$1048576,F$93,$C532*2+MIN($B532,2)+5)
+INDEX(Scenarios!F$121:F$200,MATCH($B532,Scenarios!$B$121:$B$200,0))</f>
        <v>0</v>
      </c>
      <c r="G532" s="475">
        <f>INDEX(Input!$1:$1048576,G$93,$C532*2+MIN($B532,2)+5)
+INDEX(Scenarios!G$121:G$200,MATCH($B532,Scenarios!$B$121:$B$200,0))</f>
        <v>0</v>
      </c>
      <c r="H532" s="475">
        <f>INDEX(Input!$1:$1048576,H$93,$C532*2+MIN($B532,2)+5)
+INDEX(Scenarios!H$121:H$200,MATCH($B532,Scenarios!$B$121:$B$200,0))</f>
        <v>0</v>
      </c>
      <c r="I532" s="476">
        <f>INDEX(Input!$1:$1048576,I$93,$C532*2+MIN($B532,2)+5)</f>
        <v>0.7</v>
      </c>
      <c r="J532" s="476" t="str">
        <f>INDEX(Input!$1:$1048576,J$93,$C532*2+MIN($B532,2)+5)</f>
        <v>Market</v>
      </c>
      <c r="K532" s="476" t="str">
        <f>INDEX(Input!$1:$1048576,K$93,$C532*2+MIN($B532,2)+5)</f>
        <v>Market</v>
      </c>
      <c r="L532" s="476" t="str">
        <f>INDEX(Input!$1:$1048576,L$93,$C532*2+MIN($B532,2)+5)</f>
        <v>Market</v>
      </c>
      <c r="M532" s="476" t="str">
        <f>INDEX(Input!$1:$1048576,M$93,$C532*2+MIN($B532,2)+5)</f>
        <v>Market</v>
      </c>
      <c r="N532" s="476" t="str">
        <f>INDEX(Input!$1:$1048576,N$93,$C532*2+MIN($B532,2)+5)</f>
        <v>Market</v>
      </c>
      <c r="O532" s="476" t="str">
        <f>INDEX(Input!$1:$1048576,O$93,$C532*2+MIN($B532,2)+5)</f>
        <v>Market</v>
      </c>
      <c r="P532" s="476" t="str">
        <f>INDEX(Input!$1:$1048576,P$93,$C532*2+MIN($B532,2)+5)</f>
        <v>N</v>
      </c>
      <c r="Q532" s="477">
        <f>INDEX(Input!$1:$1048576,Q$93,$C532*2+MIN($B532,2)+5)
+INDEX(Scenarios!Q$121:Q$200,MATCH($B532,Scenarios!$B$121:$B$200,0))</f>
        <v>500</v>
      </c>
      <c r="R532" s="478">
        <f>IFERROR(MAX(0,INDEX(Input!$1:$1048576,R$93,$C532*2+MIN($B532,2)+5)
+INDEX(Scenarios!R$121:R$200,MATCH($B532,Scenarios!$B$121:$B$200,0)),),"Market")</f>
        <v>0</v>
      </c>
      <c r="S532" s="478">
        <f>IFERROR(MAX(0,INDEX(Input!$1:$1048576,S$93,$C532*2+MIN($B532,2)+5)
+INDEX(Scenarios!S$121:S$200,MATCH($B532,Scenarios!$B$121:$B$200,0)),),"Market")</f>
        <v>0</v>
      </c>
      <c r="T532" s="478">
        <f>IFERROR(MAX(0,INDEX(Input!$1:$1048576,T$93,$C532*2+MIN($B532,2)+5)
+INDEX(Scenarios!T$121:T$200,MATCH($B532,Scenarios!$B$121:$B$200,0)),),"Market")</f>
        <v>0</v>
      </c>
      <c r="U532" s="478">
        <f>IFERROR(MAX(0,INDEX(Input!$1:$1048576,U$93,$C532*2+MIN($B532,2)+5)
+INDEX(Scenarios!U$121:U$200,MATCH($B532,Scenarios!$B$121:$B$200,0)),),"Market")</f>
        <v>0</v>
      </c>
      <c r="V532" s="478">
        <f>IFERROR(MAX(0,INDEX(Input!$1:$1048576,V$93,$C532*2+MIN($B532,2)+5)
+INDEX(Scenarios!V$121:V$200,MATCH($B532,Scenarios!$B$121:$B$200,0)),),"Market")</f>
        <v>1.9E-2</v>
      </c>
      <c r="W532" s="885">
        <f>IFERROR(MAX(0,INDEX(Input!$1:$1048576,W$93,$C532*2+MIN($B532,2)+5)-0%,),"Market")</f>
        <v>3.9E-2</v>
      </c>
      <c r="X532" s="476" t="str">
        <f>INDEX(Input!$1:$1048576,X$93,$C532*2+MIN($B532,2)+5)</f>
        <v>Y</v>
      </c>
      <c r="Y532" s="475">
        <f>INDEX(Input!$1:$1048576,Y$93,$C532*2+MIN($B532,2)+5)
++INDEX(Scenarios!Y$121:Y$200,MATCH($B532,Scenarios!$B$121:$B$200,0))</f>
        <v>-717.93641739252325</v>
      </c>
      <c r="Z532" s="477">
        <f>INDEX(Input!$1:$1048576,Z$93,$C532*2+MIN($B532,2)+5)
+INDEX(Scenarios!Z$121:Z$200,MATCH($B532,Scenarios!$B$121:$B$200,0))</f>
        <v>0</v>
      </c>
      <c r="AA532" s="475">
        <f>INDEX(Input!$1:$1048576,AA$93,$C532*2+MIN($B532,2)+5)
+INDEX(Scenarios!AA$121:AA$200,MATCH($B532,Scenarios!$B$121:$B$200,0))</f>
        <v>0</v>
      </c>
      <c r="AB532" s="476">
        <f>INDEX(Input!$1:$1048576,AB$93,$C532*2+MIN($B532,2)+5)</f>
        <v>0.27</v>
      </c>
      <c r="AC532" s="475">
        <f>INDEX(Input!$1:$1048576,AC$93,$C532*2+MIN($B532,2)+5)
+INDEX(Scenarios!AC$121:AC$200,MATCH($B532,Scenarios!$B$121:$B$200,0))</f>
        <v>0</v>
      </c>
      <c r="AD532" s="476">
        <f>INDEX(Input!$1:$1048576,AD$93,$C532*2+MIN($B532,2)+5)</f>
        <v>0.27</v>
      </c>
      <c r="AE532" s="475">
        <f>INDEX(Input!$1:$1048576,AE$93,$C532*2+MIN($B532,2)+5)
+INDEX(Scenarios!AE$121:AE$200,MATCH($B532,Scenarios!$B$121:$B$200,0))</f>
        <v>0</v>
      </c>
      <c r="AF532" s="476">
        <f>INDEX(Input!$1:$1048576,AF$93,$C532*2+MIN($B532,2)+5)</f>
        <v>0.2</v>
      </c>
      <c r="AG532" s="475">
        <f>INDEX(Input!$1:$1048576,AG$93,$C532*2+MIN($B532,2)+5)
+INDEX(Scenarios!AG$121:AG$200,MATCH($B532,Scenarios!$B$121:$B$200,0))</f>
        <v>500</v>
      </c>
      <c r="AH532" s="476">
        <f>INDEX(Input!$1:$1048576,AH$93,$C532*2+MIN($B532,2)+5)</f>
        <v>1</v>
      </c>
      <c r="AI532" s="475">
        <f>INDEX(Input!$1:$1048576,AI$93,$C532*2+MIN($B532,2)+5)
+INDEX(Scenarios!AI$121:AI$200,MATCH($B532,Scenarios!$B$121:$B$200,0))</f>
        <v>0</v>
      </c>
      <c r="AJ532" s="476">
        <f>INDEX(Input!$1:$1048576,AJ$93,$C532*2+MIN($B532,2)+5)</f>
        <v>0.27</v>
      </c>
      <c r="AK532" s="150">
        <f>ROUND(INDEX(Input!$1:$1048576,AK$93,$C531*2+MIN($B532,1)+5)+(Y532-VLOOKUP($C532*1000+1,$A:$HH,Y$92,FALSE)),0)</f>
        <v>2587</v>
      </c>
      <c r="AL532" s="150">
        <f>ROUND(INDEX(Input!$1:$1048576,AL$93,$C531*2+MIN($B532,1)+5)-(Y532-VLOOKUP($C532*1000+1,$A:$HH,Y$92,FALSE))/36,0)</f>
        <v>3406</v>
      </c>
      <c r="AM532" s="32" t="str">
        <f t="shared" si="1442"/>
        <v>std/std/std/std</v>
      </c>
      <c r="AN532" s="32" t="str">
        <f t="shared" si="1443"/>
        <v>$500 + 0/0/0/1.9/3.9</v>
      </c>
      <c r="AO532" s="32" t="str">
        <f t="shared" si="1444"/>
        <v>0/0/0/1.9/3.9</v>
      </c>
      <c r="AP532" s="32" t="str">
        <f t="shared" si="1396"/>
        <v>0/0.9/1.9/3.9</v>
      </c>
      <c r="AQ532" s="536">
        <f t="shared" si="1394"/>
        <v>0.41585499024628136</v>
      </c>
      <c r="AR532" s="32"/>
      <c r="AS532" s="302"/>
      <c r="AT532" s="3">
        <f t="shared" si="1465"/>
        <v>32</v>
      </c>
      <c r="AU532" s="41" t="s">
        <v>121</v>
      </c>
      <c r="AV532" s="41" t="s">
        <v>116</v>
      </c>
      <c r="AW532" s="41" t="str">
        <f>INDEX(Input!$1:$1048576,AW$93,$C532*2+6)</f>
        <v>Kia</v>
      </c>
      <c r="AX532" s="41" t="str">
        <f>INDEX(Input!$1:$1048576,AX$93,$C532*2+6)</f>
        <v>Kia-LR - R2</v>
      </c>
      <c r="AY532" s="41" t="str">
        <f>IF(LEN(D532)=0,"",INDEX(Input!$1:$1048576,AY$93,$C532*2+6))</f>
        <v>Compact SUV (52)</v>
      </c>
      <c r="AZ532" s="41" t="str">
        <f>INDEX(Input!$1:$1048576,AZ$93,$C532*2+6)</f>
        <v>Kia Soul</v>
      </c>
      <c r="BA532" s="3">
        <f>INDEX(Input!$1:$1048576,BA$93,$C532*2+6)</f>
        <v>2020</v>
      </c>
      <c r="BB532" s="128">
        <f>INDEX(Input!$1:$1048576,BB$93,$C532*2+6)</f>
        <v>1</v>
      </c>
      <c r="BC532" s="128">
        <f>INDEX(Input!$1:$1048576,BC$93,$C532*2+6)</f>
        <v>0.7</v>
      </c>
      <c r="BD532" s="1">
        <f>INDEX(Input!$1:$1048576,BD$93,$C532*2+6)</f>
        <v>4.4999999999999998E-2</v>
      </c>
      <c r="BE532" s="1">
        <f>INDEX(Input!$1:$1048576,BE$93,$C532*2+6)</f>
        <v>4.4999999999999998E-2</v>
      </c>
      <c r="BF532" s="1">
        <f>INDEX(Input!$1:$1048576,BF$93,$C532*2+6)</f>
        <v>0.05</v>
      </c>
      <c r="BG532" s="1">
        <f>INDEX(Input!$1:$1048576,BG$93,$C532*2+6)</f>
        <v>5.45E-2</v>
      </c>
      <c r="BH532" s="1">
        <f>INDEX(Input!$1:$1048576,BH$93,$C532*2+6)</f>
        <v>5.45E-2</v>
      </c>
      <c r="BI532" s="1">
        <f>INDEX(Input!$1:$1048576,BI$93,$C532*2+6)</f>
        <v>0.05</v>
      </c>
      <c r="BJ532" s="1">
        <f>INDEX(Input!$1:$1048576,BJ$93,$C532*2+6)</f>
        <v>0.05</v>
      </c>
      <c r="BK532" s="1">
        <f>INDEX(Input!$1:$1048576,BK$93,$C532*2+6)</f>
        <v>0.05</v>
      </c>
      <c r="BL532" s="1">
        <f>INDEX(Input!$1:$1048576,BL$93,$C532*2+6)</f>
        <v>5.5E-2</v>
      </c>
      <c r="BM532" s="1">
        <f>INDEX(Input!$1:$1048576,BM$93,$C532*2+6)</f>
        <v>0.06</v>
      </c>
      <c r="BN532" s="1">
        <f>INDEX(Input!$1:$1048576,BN$93,$C532*2+6)</f>
        <v>4.4999999999999998E-2</v>
      </c>
      <c r="BO532" s="1">
        <f>INDEX(Input!$1:$1048576,BO$93,$C532*2+6)</f>
        <v>4.4999999999999998E-2</v>
      </c>
      <c r="BP532" s="1">
        <f>INDEX(Input!$1:$1048576,BP$93,$C532*2+6)</f>
        <v>0.05</v>
      </c>
      <c r="BQ532" s="1">
        <f>INDEX(Input!$1:$1048576,BQ$93,$C532*2+6)</f>
        <v>5.45E-2</v>
      </c>
      <c r="BR532" s="1">
        <f>INDEX(Input!$1:$1048576,BR$93,$C532*2+6)</f>
        <v>5.45E-2</v>
      </c>
      <c r="BS532" s="1">
        <f>INDEX(Input!$1:$1048576,BS$93,$C532*2+6)</f>
        <v>0.05</v>
      </c>
      <c r="BT532" s="1">
        <f>INDEX(Input!$1:$1048576,BT$93,$C532*2+6)</f>
        <v>0.05</v>
      </c>
      <c r="BU532" s="1">
        <f>INDEX(Input!$1:$1048576,BU$93,$C532*2+6)</f>
        <v>0.05</v>
      </c>
      <c r="BV532" s="1">
        <f>INDEX(Input!$1:$1048576,BV$93,$C532*2+6)</f>
        <v>5.5E-2</v>
      </c>
      <c r="BW532" s="1">
        <f>INDEX(Input!$1:$1048576,BW$93,$C532*2+6)</f>
        <v>0.06</v>
      </c>
      <c r="BX532" s="127">
        <f>INDEX(Input!$1:$1048576,BX$93,$C532*2+6)</f>
        <v>19985</v>
      </c>
      <c r="BY532" s="20">
        <f>INDEX(Input!$1:$1048576,BY$93,$C532*2+6)</f>
        <v>0.1</v>
      </c>
      <c r="BZ532" s="20">
        <f>INDEX(Input!$1:$1048576,BZ$93,$C532*2+6)</f>
        <v>0.1</v>
      </c>
      <c r="CA532" s="20">
        <f>INDEX(Input!$1:$1048576,CA$93,$C532*2+6)</f>
        <v>0.1</v>
      </c>
      <c r="CB532" s="20">
        <f>INDEX(Input!$1:$1048576,CB$93,$C532*2+6)</f>
        <v>0.1</v>
      </c>
      <c r="CC532" s="20">
        <f>INDEX(Input!$1:$1048576,CC$93,$C532*2+6)</f>
        <v>0.1</v>
      </c>
      <c r="CD532" s="384">
        <f>INDEX(Input!$1:$1048576,CD$93,$C532*2+6)</f>
        <v>0.1</v>
      </c>
      <c r="CE532" s="384">
        <f>INDEX(Input!$1:$1048576,CE$93,$C532*2+6)</f>
        <v>0.1</v>
      </c>
      <c r="CF532" s="384">
        <f>INDEX(Input!$1:$1048576,CF$93,$C532*2+6)</f>
        <v>0.1</v>
      </c>
      <c r="CG532" s="384">
        <f>INDEX(Input!$1:$1048576,CG$93,$C532*2+6)</f>
        <v>0.1</v>
      </c>
      <c r="CH532" s="384">
        <f>INDEX(Input!$1:$1048576,CH$93,$C532*2+6)</f>
        <v>0.1</v>
      </c>
      <c r="CI532" s="304">
        <f t="shared" si="1397"/>
        <v>1777.4263093788063</v>
      </c>
      <c r="CJ532" s="16" t="str">
        <f>INDEX(Input!$1:$1048576,CJ$93,$C532*2+6)</f>
        <v>N</v>
      </c>
      <c r="CK532" s="1" t="str">
        <f t="shared" si="1398"/>
        <v>Market</v>
      </c>
      <c r="CL532" s="1" t="str">
        <f t="shared" si="1399"/>
        <v>Market</v>
      </c>
      <c r="CM532" s="1" t="str">
        <f t="shared" si="1400"/>
        <v>Market</v>
      </c>
      <c r="CN532" s="1" t="str">
        <f t="shared" si="1401"/>
        <v>Market</v>
      </c>
      <c r="CO532" s="1" t="str">
        <f t="shared" si="1402"/>
        <v>Market</v>
      </c>
      <c r="CP532" s="304">
        <f t="shared" si="1403"/>
        <v>1000</v>
      </c>
      <c r="CQ532" s="1">
        <f t="shared" si="1404"/>
        <v>0</v>
      </c>
      <c r="CR532" s="1">
        <f t="shared" si="1405"/>
        <v>0</v>
      </c>
      <c r="CS532" s="1">
        <f t="shared" si="1406"/>
        <v>0</v>
      </c>
      <c r="CT532" s="1">
        <f t="shared" si="1407"/>
        <v>1.9E-2</v>
      </c>
      <c r="CU532" s="1">
        <f t="shared" si="1408"/>
        <v>3.9E-2</v>
      </c>
      <c r="CV532" s="304">
        <f t="shared" si="1409"/>
        <v>-717.93641739252325</v>
      </c>
      <c r="CW532" s="20" t="s">
        <v>122</v>
      </c>
      <c r="CX532" s="20" t="s">
        <v>122</v>
      </c>
      <c r="CY532" s="20" t="s">
        <v>122</v>
      </c>
      <c r="CZ532" s="20" t="s">
        <v>122</v>
      </c>
      <c r="DA532" s="20" t="s">
        <v>122</v>
      </c>
      <c r="DB532" s="503">
        <f t="shared" si="1410"/>
        <v>0</v>
      </c>
      <c r="DC532" s="127">
        <v>0</v>
      </c>
      <c r="DD532" s="127">
        <v>0</v>
      </c>
      <c r="DE532" s="127">
        <v>0</v>
      </c>
      <c r="DF532" s="127">
        <v>0</v>
      </c>
      <c r="DG532" s="127">
        <v>0</v>
      </c>
      <c r="DH532" s="127">
        <v>0</v>
      </c>
      <c r="DI532" s="127">
        <v>0</v>
      </c>
      <c r="DJ532" s="127">
        <v>0</v>
      </c>
      <c r="DK532" s="127">
        <v>0</v>
      </c>
      <c r="DL532" s="127">
        <v>0</v>
      </c>
      <c r="DM532" s="304">
        <f>INDEX(Input!$1:$1048576,DM$93,$C532*2+6)</f>
        <v>21036.84210526316</v>
      </c>
      <c r="DN532" s="20">
        <v>0</v>
      </c>
      <c r="DO532" s="20">
        <v>0</v>
      </c>
      <c r="DP532" s="20">
        <v>0</v>
      </c>
      <c r="DQ532" s="20">
        <v>0</v>
      </c>
      <c r="DR532" s="20">
        <v>0</v>
      </c>
      <c r="DS532" s="20">
        <f>INDEX(Input!$1:$1048576,DS$93,$C532*2+6)</f>
        <v>0.6</v>
      </c>
      <c r="DT532" s="20">
        <f>INDEX(Input!$1:$1048576,DT$93,$C532*2+6)</f>
        <v>0.55000000000000004</v>
      </c>
      <c r="DU532" s="20">
        <f>INDEX(Input!$1:$1048576,DU$93,$C532*2+6)</f>
        <v>0.52</v>
      </c>
      <c r="DV532" s="20">
        <f>INDEX(Input!$1:$1048576,DV$93,$C532*2+6)</f>
        <v>0.5</v>
      </c>
      <c r="DW532" s="20">
        <f>INDEX(Input!$1:$1048576,DW$93,$C532*2+6)</f>
        <v>0.45</v>
      </c>
      <c r="DX532" s="20"/>
      <c r="DY532" s="7">
        <v>0.12721203498610467</v>
      </c>
      <c r="DZ532" s="7">
        <v>0</v>
      </c>
      <c r="EA532" s="7">
        <v>0.74204362140738656</v>
      </c>
      <c r="EB532" s="7">
        <v>0</v>
      </c>
      <c r="EC532" s="7">
        <v>0</v>
      </c>
      <c r="ED532" s="7">
        <v>0</v>
      </c>
      <c r="EE532" s="7">
        <v>0</v>
      </c>
      <c r="EF532" s="7">
        <v>0</v>
      </c>
      <c r="EG532" s="7">
        <v>0</v>
      </c>
      <c r="EH532" s="7">
        <v>1.2089859695838114E-2</v>
      </c>
      <c r="EI532" s="7">
        <v>3.361525431257828E-2</v>
      </c>
      <c r="EJ532" s="7">
        <v>0.29201635879691618</v>
      </c>
      <c r="EK532" s="7">
        <v>0.5372301957874146</v>
      </c>
      <c r="EL532" s="7">
        <v>0.12504833140725313</v>
      </c>
      <c r="EM532" s="7">
        <v>7.639056394053044E-2</v>
      </c>
      <c r="EN532" s="7">
        <v>5.8483658132700081E-2</v>
      </c>
      <c r="EO532" s="7">
        <v>0.71700956649548586</v>
      </c>
      <c r="EP532" s="7">
        <v>8.982312532796935E-2</v>
      </c>
      <c r="EQ532" s="7">
        <v>8.8424077218498376E-2</v>
      </c>
      <c r="ER532" s="7">
        <v>4.6259572825346436E-2</v>
      </c>
      <c r="ES532" s="7">
        <v>5.4353779665978381E-2</v>
      </c>
      <c r="ET532" s="7">
        <v>0.1307443436065088</v>
      </c>
      <c r="EU532" s="6">
        <v>1770</v>
      </c>
      <c r="EV532" s="6">
        <v>0</v>
      </c>
      <c r="EW532" s="6">
        <v>1770</v>
      </c>
      <c r="EX532" s="6">
        <v>0</v>
      </c>
      <c r="EY532" s="6">
        <v>2515.7803607656206</v>
      </c>
      <c r="EZ532" s="6">
        <v>-6.4499039401316622</v>
      </c>
      <c r="FA532" s="6">
        <v>0</v>
      </c>
      <c r="FB532" s="6">
        <v>0</v>
      </c>
      <c r="FC532" s="6">
        <v>0</v>
      </c>
      <c r="FD532" s="6">
        <v>0</v>
      </c>
      <c r="FE532" s="6">
        <v>0</v>
      </c>
      <c r="FF532" s="6">
        <v>0</v>
      </c>
      <c r="FG532" s="6">
        <v>0</v>
      </c>
      <c r="FH532" s="6">
        <v>1172.1410836926136</v>
      </c>
      <c r="FI532" s="6">
        <v>1553.9796069512399</v>
      </c>
      <c r="FJ532" s="6">
        <v>2101.211011744741</v>
      </c>
      <c r="FK532" s="6">
        <v>1772.7139978623225</v>
      </c>
      <c r="FL532" s="6">
        <v>907.07682140966324</v>
      </c>
      <c r="FM532" s="6">
        <v>1745.7803607656206</v>
      </c>
      <c r="FN532" s="6">
        <v>0</v>
      </c>
      <c r="FO532" s="6">
        <v>0</v>
      </c>
      <c r="FP532" s="6">
        <v>0</v>
      </c>
      <c r="FQ532" s="6">
        <v>0</v>
      </c>
      <c r="FR532" s="6">
        <v>0</v>
      </c>
      <c r="FS532" s="6">
        <v>0</v>
      </c>
      <c r="FT532" s="7">
        <v>0.86925565639349123</v>
      </c>
      <c r="FU532" s="7">
        <v>7.639056394053044E-2</v>
      </c>
      <c r="FV532" s="7">
        <v>5.4353779665978381E-2</v>
      </c>
      <c r="FW532" s="6">
        <v>1770</v>
      </c>
      <c r="FX532" s="6">
        <v>2515.7803607656206</v>
      </c>
      <c r="FY532" s="6">
        <v>-6.4499039401316622</v>
      </c>
      <c r="FZ532" s="6">
        <v>1758.1538569113241</v>
      </c>
      <c r="GA532" s="6">
        <v>1730.4138156682477</v>
      </c>
      <c r="GB532" s="6">
        <v>18254.586184331751</v>
      </c>
      <c r="GC532" s="7">
        <v>3.064145122680037E-2</v>
      </c>
      <c r="GD532" s="7">
        <v>3.1034156269424566E-2</v>
      </c>
      <c r="GE532" s="7"/>
      <c r="GF532" s="7"/>
      <c r="GG532" s="7">
        <v>1.2816137190027043E-2</v>
      </c>
      <c r="GH532" s="42">
        <v>-9.233241562199126</v>
      </c>
      <c r="GI532" s="6">
        <v>-434.04813037447468</v>
      </c>
      <c r="GJ532" s="14">
        <v>0.50394797582841744</v>
      </c>
      <c r="GK532" s="14">
        <v>0.50887573065309744</v>
      </c>
      <c r="GL532" s="14">
        <v>0.49605202417158284</v>
      </c>
      <c r="GM532" s="14">
        <v>0.49112426934690273</v>
      </c>
      <c r="GO532" s="5">
        <v>343.14810671672558</v>
      </c>
      <c r="GP532" s="5">
        <v>309.37988338875158</v>
      </c>
      <c r="GQ532" s="5">
        <v>535.04305713031317</v>
      </c>
      <c r="GR532" s="5">
        <v>410.15490233172511</v>
      </c>
      <c r="GS532" s="5">
        <v>339.42744393800166</v>
      </c>
      <c r="GT532" s="5">
        <v>293.4407446948278</v>
      </c>
      <c r="GU532" s="5">
        <v>258.04012322764959</v>
      </c>
      <c r="GV532" s="39" t="s">
        <v>392</v>
      </c>
      <c r="GW532" s="5">
        <v>478.23611111111109</v>
      </c>
      <c r="GX532" s="5">
        <v>358.67708333333331</v>
      </c>
      <c r="GY532" s="5">
        <v>286.94166666666666</v>
      </c>
      <c r="GZ532" s="5">
        <v>253.19574071601335</v>
      </c>
      <c r="HA532" s="5">
        <v>234.53733318419435</v>
      </c>
      <c r="HB532" s="39">
        <v>266.98338906907264</v>
      </c>
      <c r="HC532" s="5">
        <v>287.56655829738071</v>
      </c>
      <c r="HD532" s="5">
        <v>239.99799238008356</v>
      </c>
      <c r="HE532" s="5">
        <v>241.14168635502031</v>
      </c>
      <c r="HF532" s="5">
        <v>221.05790951107167</v>
      </c>
      <c r="HG532" s="5">
        <v>210.75500473779988</v>
      </c>
      <c r="HH532" s="39">
        <v>239.85517882769801</v>
      </c>
      <c r="HI532" s="16"/>
      <c r="HJ532" s="19" t="str">
        <f t="shared" si="1507"/>
        <v>On</v>
      </c>
      <c r="HK532" s="1" t="str">
        <f t="shared" si="1507"/>
        <v>On</v>
      </c>
      <c r="HL532" s="16"/>
      <c r="HM532" s="639">
        <f t="shared" si="1413"/>
        <v>2.4909940070666322E-2</v>
      </c>
      <c r="HN532" s="639">
        <f t="shared" si="1414"/>
        <v>2.2052381276269151E-3</v>
      </c>
      <c r="HO532" s="639">
        <f t="shared" si="1415"/>
        <v>2.079866082302006E-3</v>
      </c>
      <c r="HP532" s="644">
        <f>(FT532*$GD532-HM532)/$JF532*INDEX(Input!$1:$1048576,$JG$93,$C532*2+6)</f>
        <v>58.11742643729108</v>
      </c>
      <c r="HQ532" s="644">
        <f>(FU532*$GD532-HN532)/$JF532*INDEX(Input!$1:$1048576,$JG$93,$C532*2+6)</f>
        <v>4.6534578149673322</v>
      </c>
      <c r="HR532" s="644">
        <f>(FV532*$GD532-HO532)/$JF532*INDEX(Input!$1:$1048576,$JG$93,$C532*2+6)</f>
        <v>-11.052827985001692</v>
      </c>
      <c r="HS532" s="644">
        <f t="shared" si="1416"/>
        <v>-25.771056378068447</v>
      </c>
      <c r="HT532" s="644">
        <f t="shared" si="1417"/>
        <v>29.126298398173958</v>
      </c>
      <c r="HU532" s="644">
        <f t="shared" si="1418"/>
        <v>2.4694116194109617</v>
      </c>
      <c r="HV532" s="648">
        <f t="shared" si="1419"/>
        <v>0</v>
      </c>
      <c r="HW532" s="648">
        <f t="shared" si="1420"/>
        <v>0</v>
      </c>
      <c r="HX532" s="648">
        <f t="shared" si="1421"/>
        <v>0</v>
      </c>
      <c r="HY532" s="644">
        <f>INDEX(Input!$1:$1048576,HY$93,$C532*2+6)*INDEX(Input!$1:$1048576,$JG$93,$C532*2+6)</f>
        <v>333.00000000000006</v>
      </c>
      <c r="HZ532" s="644">
        <f>INDEX(Input!$1:$1048576,HZ$93,$C532*2+6)*INDEX(Input!$1:$1048576,$JG$93,$C532*2+6)</f>
        <v>429</v>
      </c>
      <c r="IA532" s="644">
        <f>INDEX(Input!$1:$1048576,IA$93,$C532*2+6)*INDEX(Input!$1:$1048576,$JG$93,$C532*2+6)</f>
        <v>59</v>
      </c>
      <c r="IB532" s="644">
        <f t="shared" si="1445"/>
        <v>365.34637005922275</v>
      </c>
      <c r="IC532" s="644">
        <f t="shared" si="1446"/>
        <v>462.7797562131413</v>
      </c>
      <c r="ID532" s="644">
        <f>IF(AND(INDEX(Input!$1:$1048576,IA$93,$C532*2+7)="TOS",Y532&lt;=INDEX(Y:Y,MATCH(C532*1000+2,A:A))),0,1)*MAX(IA532+HR532+HU532+HX532,0%)</f>
        <v>50.416583634409271</v>
      </c>
      <c r="IE532" s="128">
        <f t="shared" si="1508"/>
        <v>0.41585499024628136</v>
      </c>
      <c r="IF532" s="128">
        <f t="shared" si="1468"/>
        <v>0.52675840456549838</v>
      </c>
      <c r="IG532" s="128">
        <f t="shared" si="1423"/>
        <v>5.7386605188220433E-2</v>
      </c>
      <c r="IH532" s="21"/>
      <c r="II532" s="19">
        <f t="shared" si="1424"/>
        <v>1240</v>
      </c>
      <c r="IJ532" s="19">
        <f t="shared" si="1425"/>
        <v>1985.7442651839444</v>
      </c>
      <c r="IK532" s="19">
        <f t="shared" si="1426"/>
        <v>-21.44990394013189</v>
      </c>
      <c r="IL532" s="19">
        <f t="shared" si="1448"/>
        <v>530</v>
      </c>
      <c r="IM532" s="19">
        <f t="shared" si="1427"/>
        <v>530.03609558167614</v>
      </c>
      <c r="IN532" s="19">
        <f t="shared" si="1428"/>
        <v>15.000000000000227</v>
      </c>
      <c r="IO532" s="39">
        <f t="shared" si="1429"/>
        <v>0</v>
      </c>
      <c r="IP532" s="39">
        <f t="shared" si="1430"/>
        <v>0</v>
      </c>
      <c r="IQ532" s="39">
        <f t="shared" si="1431"/>
        <v>0</v>
      </c>
      <c r="IR532" s="39">
        <v>0</v>
      </c>
      <c r="IS532" s="39">
        <v>0</v>
      </c>
      <c r="IT532" s="39">
        <v>0</v>
      </c>
      <c r="IU532" s="39">
        <v>0</v>
      </c>
      <c r="IV532" s="39">
        <v>0</v>
      </c>
      <c r="IW532" s="39">
        <v>0</v>
      </c>
      <c r="IX532" s="39">
        <f>INDEX(Input!$1:$1048576,IX$93,$C532*2+6)+INDEX(Input!$1:$1048576,IX$94,$C532*2+6)</f>
        <v>1270</v>
      </c>
      <c r="IY532" s="39">
        <f>INDEX(Input!$1:$1048576,IY$93,$C532*2+6)+INDEX(Input!$1:$1048576,IY$94,$C532*2+6)</f>
        <v>2130.0624533823611</v>
      </c>
      <c r="IZ532" s="39">
        <f>INDEX(Input!$1:$1048576,IZ$93,$C532*2+6)+INDEX(Input!$1:$1048576,IZ$94,$C532*2+6)</f>
        <v>3653.7164157747857</v>
      </c>
      <c r="JA532" s="19">
        <f t="shared" si="1449"/>
        <v>1800</v>
      </c>
      <c r="JB532" s="19">
        <f t="shared" si="1450"/>
        <v>2660.098548964037</v>
      </c>
      <c r="JC532" s="19">
        <f t="shared" si="1451"/>
        <v>3668.7164157747857</v>
      </c>
      <c r="JD532" s="19">
        <f t="shared" si="1452"/>
        <v>2360.3034305822107</v>
      </c>
      <c r="JE532" s="21"/>
      <c r="JF532" s="1">
        <f t="shared" si="1432"/>
        <v>2.9195044280595241E-2</v>
      </c>
      <c r="JG532" s="15">
        <f>INDEX(Input!$1:$1048576,JG$93,$C532*2+6)/(1+VLOOKUP(C532*1000+INDEX(Input!$1:$1048576,JG$93+1,$C532*2+6),$A:$KK,$JK$92,FALSE))</f>
        <v>821</v>
      </c>
      <c r="JH532" s="1">
        <f t="shared" si="1453"/>
        <v>6.299397840104351E-2</v>
      </c>
      <c r="JI532" s="1">
        <f t="shared" si="1454"/>
        <v>7.0945842137837669E-3</v>
      </c>
      <c r="JJ532" s="1">
        <f t="shared" si="1492"/>
        <v>0</v>
      </c>
      <c r="JK532" s="1">
        <f t="shared" si="1496"/>
        <v>7.0088562614827279E-2</v>
      </c>
      <c r="JL532" s="15">
        <f t="shared" si="1457"/>
        <v>57.542709906773197</v>
      </c>
      <c r="JM532" s="15">
        <f t="shared" si="1483"/>
        <v>878.54270990677321</v>
      </c>
      <c r="JN532" s="21"/>
      <c r="JO532" s="19">
        <f>INDEX(Input!$1:$1048576,JO$93,$C532*2+6)</f>
        <v>5995.5</v>
      </c>
      <c r="JP532" s="19">
        <f>INDEX(Input!$1:$1048576,JP$93,$C532*2+6)</f>
        <v>1890.7138380411029</v>
      </c>
      <c r="JQ532" s="39">
        <f t="shared" si="1469"/>
        <v>3635.1965694177893</v>
      </c>
      <c r="JR532" s="39">
        <f t="shared" si="1486"/>
        <v>469.58959254110778</v>
      </c>
      <c r="JS532" s="39">
        <f t="shared" si="1471"/>
        <v>2.0736273721059488</v>
      </c>
      <c r="JT532" s="39">
        <f t="shared" si="1459"/>
        <v>0.52135131107420329</v>
      </c>
      <c r="JU532" s="385">
        <f>(JQ532*JM532-INDEX(Input!$1:$1048576,Input!A$18,$C532*2+6)*JL532*INDEX(Input!$1:$1048576,Input!A$19,$C532*2+6))/1000000</f>
        <v>3.1936754451401099</v>
      </c>
      <c r="JV532" s="39">
        <f t="shared" si="1493"/>
        <v>-0.17635399382814443</v>
      </c>
      <c r="JW532" s="1">
        <f t="shared" si="1484"/>
        <v>-5.233010483200283E-2</v>
      </c>
      <c r="JX532" s="19">
        <f t="shared" si="1475"/>
        <v>9060.2495419291408</v>
      </c>
      <c r="JZ532" s="341"/>
      <c r="KA532" s="342"/>
      <c r="KB532" s="469">
        <f t="shared" si="1472"/>
        <v>2.5122967434604799</v>
      </c>
      <c r="KI532" s="473">
        <f t="shared" si="1499"/>
        <v>32.346370059222693</v>
      </c>
      <c r="KJ532" s="473">
        <f t="shared" si="1500"/>
        <v>33.779756213141354</v>
      </c>
      <c r="KK532" s="473">
        <f t="shared" si="1461"/>
        <v>-8.583416365590729</v>
      </c>
      <c r="KN532" s="544">
        <f t="shared" si="1476"/>
        <v>5002</v>
      </c>
      <c r="KO532" s="541">
        <f t="shared" si="1436"/>
        <v>6.5749217014163586E-2</v>
      </c>
      <c r="KP532" s="546">
        <f t="shared" si="1437"/>
        <v>471.32493516536408</v>
      </c>
      <c r="KQ532" s="546">
        <f t="shared" si="1438"/>
        <v>441.38466485894423</v>
      </c>
      <c r="KR532" s="548">
        <f t="shared" si="1439"/>
        <v>2.5201948953776863</v>
      </c>
      <c r="KS532" s="548">
        <f t="shared" si="1440"/>
        <v>2.6911462727133282</v>
      </c>
      <c r="KT532" s="473">
        <f t="shared" si="1474"/>
        <v>595.94378802984284</v>
      </c>
      <c r="KU532" s="663">
        <f t="shared" si="1462"/>
        <v>4.0151796330946166</v>
      </c>
      <c r="KV532" s="117"/>
    </row>
    <row r="533" spans="1:308" s="26" customFormat="1" ht="15">
      <c r="A533" s="561">
        <f t="shared" si="1441"/>
        <v>5033</v>
      </c>
      <c r="B533" s="561">
        <f t="shared" si="1463"/>
        <v>33</v>
      </c>
      <c r="C533" s="561">
        <f t="shared" si="1464"/>
        <v>5</v>
      </c>
      <c r="D533" s="561" t="str">
        <f t="shared" si="1509"/>
        <v xml:space="preserve">750 CC, 750 Combo, </v>
      </c>
      <c r="E533" s="475">
        <f>INDEX(Input!$1:$1048576,E$93,$C533*2+MIN($B533,2)+5)
+INDEX(Scenarios!E$121:E$200,MATCH($B533,Scenarios!$B$121:$B$200,0))</f>
        <v>2027.4263093788063</v>
      </c>
      <c r="F533" s="475">
        <f>INDEX(Input!$1:$1048576,F$93,$C533*2+MIN($B533,2)+5)
+INDEX(Scenarios!F$121:F$200,MATCH($B533,Scenarios!$B$121:$B$200,0))</f>
        <v>0</v>
      </c>
      <c r="G533" s="475">
        <f>INDEX(Input!$1:$1048576,G$93,$C533*2+MIN($B533,2)+5)
+INDEX(Scenarios!G$121:G$200,MATCH($B533,Scenarios!$B$121:$B$200,0))</f>
        <v>0</v>
      </c>
      <c r="H533" s="475">
        <f>INDEX(Input!$1:$1048576,H$93,$C533*2+MIN($B533,2)+5)
+INDEX(Scenarios!H$121:H$200,MATCH($B533,Scenarios!$B$121:$B$200,0))</f>
        <v>0</v>
      </c>
      <c r="I533" s="476">
        <f>INDEX(Input!$1:$1048576,I$93,$C533*2+MIN($B533,2)+5)</f>
        <v>0.7</v>
      </c>
      <c r="J533" s="476" t="str">
        <f>INDEX(Input!$1:$1048576,J$93,$C533*2+MIN($B533,2)+5)</f>
        <v>Market</v>
      </c>
      <c r="K533" s="476" t="str">
        <f>INDEX(Input!$1:$1048576,K$93,$C533*2+MIN($B533,2)+5)</f>
        <v>Market</v>
      </c>
      <c r="L533" s="476" t="str">
        <f>INDEX(Input!$1:$1048576,L$93,$C533*2+MIN($B533,2)+5)</f>
        <v>Market</v>
      </c>
      <c r="M533" s="476" t="str">
        <f>INDEX(Input!$1:$1048576,M$93,$C533*2+MIN($B533,2)+5)</f>
        <v>Market</v>
      </c>
      <c r="N533" s="476" t="str">
        <f>INDEX(Input!$1:$1048576,N$93,$C533*2+MIN($B533,2)+5)</f>
        <v>Market</v>
      </c>
      <c r="O533" s="476" t="str">
        <f>INDEX(Input!$1:$1048576,O$93,$C533*2+MIN($B533,2)+5)</f>
        <v>Market</v>
      </c>
      <c r="P533" s="476" t="str">
        <f>INDEX(Input!$1:$1048576,P$93,$C533*2+MIN($B533,2)+5)</f>
        <v>N</v>
      </c>
      <c r="Q533" s="477">
        <f>INDEX(Input!$1:$1048576,Q$93,$C533*2+MIN($B533,2)+5)
+INDEX(Scenarios!Q$121:Q$200,MATCH($B533,Scenarios!$B$121:$B$200,0))</f>
        <v>750</v>
      </c>
      <c r="R533" s="478">
        <f>IFERROR(MAX(0,INDEX(Input!$1:$1048576,R$93,$C533*2+MIN($B533,2)+5)
+INDEX(Scenarios!R$121:R$200,MATCH($B533,Scenarios!$B$121:$B$200,0)),),"Market")</f>
        <v>0</v>
      </c>
      <c r="S533" s="478">
        <f>IFERROR(MAX(0,INDEX(Input!$1:$1048576,S$93,$C533*2+MIN($B533,2)+5)
+INDEX(Scenarios!S$121:S$200,MATCH($B533,Scenarios!$B$121:$B$200,0)),),"Market")</f>
        <v>0</v>
      </c>
      <c r="T533" s="478">
        <f>IFERROR(MAX(0,INDEX(Input!$1:$1048576,T$93,$C533*2+MIN($B533,2)+5)
+INDEX(Scenarios!T$121:T$200,MATCH($B533,Scenarios!$B$121:$B$200,0)),),"Market")</f>
        <v>0</v>
      </c>
      <c r="U533" s="478">
        <f>IFERROR(MAX(0,INDEX(Input!$1:$1048576,U$93,$C533*2+MIN($B533,2)+5)
+INDEX(Scenarios!U$121:U$200,MATCH($B533,Scenarios!$B$121:$B$200,0)),),"Market")</f>
        <v>0</v>
      </c>
      <c r="V533" s="478">
        <f>IFERROR(MAX(0,INDEX(Input!$1:$1048576,V$93,$C533*2+MIN($B533,2)+5)
+INDEX(Scenarios!V$121:V$200,MATCH($B533,Scenarios!$B$121:$B$200,0)),),"Market")</f>
        <v>1.9E-2</v>
      </c>
      <c r="W533" s="885">
        <f>IFERROR(MAX(0,INDEX(Input!$1:$1048576,W$93,$C533*2+MIN($B533,2)+5)-0%,),"Market")</f>
        <v>3.9E-2</v>
      </c>
      <c r="X533" s="476" t="str">
        <f>INDEX(Input!$1:$1048576,X$93,$C533*2+MIN($B533,2)+5)</f>
        <v>Y</v>
      </c>
      <c r="Y533" s="475">
        <f>INDEX(Input!$1:$1048576,Y$93,$C533*2+MIN($B533,2)+5)
++INDEX(Scenarios!Y$121:Y$200,MATCH($B533,Scenarios!$B$121:$B$200,0))</f>
        <v>-717.93641739252325</v>
      </c>
      <c r="Z533" s="477">
        <f>INDEX(Input!$1:$1048576,Z$93,$C533*2+MIN($B533,2)+5)
+INDEX(Scenarios!Z$121:Z$200,MATCH($B533,Scenarios!$B$121:$B$200,0))</f>
        <v>0</v>
      </c>
      <c r="AA533" s="475">
        <f>INDEX(Input!$1:$1048576,AA$93,$C533*2+MIN($B533,2)+5)
+INDEX(Scenarios!AA$121:AA$200,MATCH($B533,Scenarios!$B$121:$B$200,0))</f>
        <v>0</v>
      </c>
      <c r="AB533" s="476">
        <f>INDEX(Input!$1:$1048576,AB$93,$C533*2+MIN($B533,2)+5)</f>
        <v>0.27</v>
      </c>
      <c r="AC533" s="475">
        <f>INDEX(Input!$1:$1048576,AC$93,$C533*2+MIN($B533,2)+5)
+INDEX(Scenarios!AC$121:AC$200,MATCH($B533,Scenarios!$B$121:$B$200,0))</f>
        <v>0</v>
      </c>
      <c r="AD533" s="476">
        <f>INDEX(Input!$1:$1048576,AD$93,$C533*2+MIN($B533,2)+5)</f>
        <v>0.27</v>
      </c>
      <c r="AE533" s="475">
        <f>INDEX(Input!$1:$1048576,AE$93,$C533*2+MIN($B533,2)+5)
+INDEX(Scenarios!AE$121:AE$200,MATCH($B533,Scenarios!$B$121:$B$200,0))</f>
        <v>0</v>
      </c>
      <c r="AF533" s="476">
        <f>INDEX(Input!$1:$1048576,AF$93,$C533*2+MIN($B533,2)+5)</f>
        <v>0.2</v>
      </c>
      <c r="AG533" s="475">
        <f>INDEX(Input!$1:$1048576,AG$93,$C533*2+MIN($B533,2)+5)
+INDEX(Scenarios!AG$121:AG$200,MATCH($B533,Scenarios!$B$121:$B$200,0))</f>
        <v>500</v>
      </c>
      <c r="AH533" s="476">
        <f>INDEX(Input!$1:$1048576,AH$93,$C533*2+MIN($B533,2)+5)</f>
        <v>1</v>
      </c>
      <c r="AI533" s="475">
        <f>INDEX(Input!$1:$1048576,AI$93,$C533*2+MIN($B533,2)+5)
+INDEX(Scenarios!AI$121:AI$200,MATCH($B533,Scenarios!$B$121:$B$200,0))</f>
        <v>0</v>
      </c>
      <c r="AJ533" s="476">
        <f>INDEX(Input!$1:$1048576,AJ$93,$C533*2+MIN($B533,2)+5)</f>
        <v>0.27</v>
      </c>
      <c r="AK533" s="150">
        <f>ROUND(INDEX(Input!$1:$1048576,AK$93,$C532*2+MIN($B533,1)+5)+(Y533-VLOOKUP($C533*1000+1,$A:$HH,Y$92,FALSE)),0)</f>
        <v>2587</v>
      </c>
      <c r="AL533" s="150">
        <f>ROUND(INDEX(Input!$1:$1048576,AL$93,$C532*2+MIN($B533,1)+5)-(Y533-VLOOKUP($C533*1000+1,$A:$HH,Y$92,FALSE))/36,0)</f>
        <v>3406</v>
      </c>
      <c r="AM533" s="32" t="str">
        <f t="shared" si="1442"/>
        <v>std/std/std/std</v>
      </c>
      <c r="AN533" s="32" t="str">
        <f t="shared" si="1443"/>
        <v>$750 + 0/0/0/1.9/3.9</v>
      </c>
      <c r="AO533" s="32" t="str">
        <f t="shared" si="1444"/>
        <v>0/0/0/1.9/3.9</v>
      </c>
      <c r="AP533" s="32" t="str">
        <f t="shared" si="1396"/>
        <v>0/0.9/1.9/3.9</v>
      </c>
      <c r="AQ533" s="536">
        <f t="shared" si="1394"/>
        <v>0.42049689975697302</v>
      </c>
      <c r="AR533" s="32"/>
      <c r="AS533" s="302"/>
      <c r="AT533" s="3">
        <f t="shared" si="1465"/>
        <v>33</v>
      </c>
      <c r="AU533" s="41" t="s">
        <v>121</v>
      </c>
      <c r="AV533" s="41" t="s">
        <v>116</v>
      </c>
      <c r="AW533" s="41" t="str">
        <f>INDEX(Input!$1:$1048576,AW$93,$C533*2+6)</f>
        <v>Kia</v>
      </c>
      <c r="AX533" s="41" t="str">
        <f>INDEX(Input!$1:$1048576,AX$93,$C533*2+6)</f>
        <v>Kia-LR - R2</v>
      </c>
      <c r="AY533" s="41" t="str">
        <f>IF(LEN(D533)=0,"",INDEX(Input!$1:$1048576,AY$93,$C533*2+6))</f>
        <v>Compact SUV (52)</v>
      </c>
      <c r="AZ533" s="41" t="str">
        <f>INDEX(Input!$1:$1048576,AZ$93,$C533*2+6)</f>
        <v>Kia Soul</v>
      </c>
      <c r="BA533" s="3">
        <f>INDEX(Input!$1:$1048576,BA$93,$C533*2+6)</f>
        <v>2020</v>
      </c>
      <c r="BB533" s="128">
        <f>INDEX(Input!$1:$1048576,BB$93,$C533*2+6)</f>
        <v>1</v>
      </c>
      <c r="BC533" s="128">
        <f>INDEX(Input!$1:$1048576,BC$93,$C533*2+6)</f>
        <v>0.7</v>
      </c>
      <c r="BD533" s="1">
        <f>INDEX(Input!$1:$1048576,BD$93,$C533*2+6)</f>
        <v>4.4999999999999998E-2</v>
      </c>
      <c r="BE533" s="1">
        <f>INDEX(Input!$1:$1048576,BE$93,$C533*2+6)</f>
        <v>4.4999999999999998E-2</v>
      </c>
      <c r="BF533" s="1">
        <f>INDEX(Input!$1:$1048576,BF$93,$C533*2+6)</f>
        <v>0.05</v>
      </c>
      <c r="BG533" s="1">
        <f>INDEX(Input!$1:$1048576,BG$93,$C533*2+6)</f>
        <v>5.45E-2</v>
      </c>
      <c r="BH533" s="1">
        <f>INDEX(Input!$1:$1048576,BH$93,$C533*2+6)</f>
        <v>5.45E-2</v>
      </c>
      <c r="BI533" s="1">
        <f>INDEX(Input!$1:$1048576,BI$93,$C533*2+6)</f>
        <v>0.05</v>
      </c>
      <c r="BJ533" s="1">
        <f>INDEX(Input!$1:$1048576,BJ$93,$C533*2+6)</f>
        <v>0.05</v>
      </c>
      <c r="BK533" s="1">
        <f>INDEX(Input!$1:$1048576,BK$93,$C533*2+6)</f>
        <v>0.05</v>
      </c>
      <c r="BL533" s="1">
        <f>INDEX(Input!$1:$1048576,BL$93,$C533*2+6)</f>
        <v>5.5E-2</v>
      </c>
      <c r="BM533" s="1">
        <f>INDEX(Input!$1:$1048576,BM$93,$C533*2+6)</f>
        <v>0.06</v>
      </c>
      <c r="BN533" s="1">
        <f>INDEX(Input!$1:$1048576,BN$93,$C533*2+6)</f>
        <v>4.4999999999999998E-2</v>
      </c>
      <c r="BO533" s="1">
        <f>INDEX(Input!$1:$1048576,BO$93,$C533*2+6)</f>
        <v>4.4999999999999998E-2</v>
      </c>
      <c r="BP533" s="1">
        <f>INDEX(Input!$1:$1048576,BP$93,$C533*2+6)</f>
        <v>0.05</v>
      </c>
      <c r="BQ533" s="1">
        <f>INDEX(Input!$1:$1048576,BQ$93,$C533*2+6)</f>
        <v>5.45E-2</v>
      </c>
      <c r="BR533" s="1">
        <f>INDEX(Input!$1:$1048576,BR$93,$C533*2+6)</f>
        <v>5.45E-2</v>
      </c>
      <c r="BS533" s="1">
        <f>INDEX(Input!$1:$1048576,BS$93,$C533*2+6)</f>
        <v>0.05</v>
      </c>
      <c r="BT533" s="1">
        <f>INDEX(Input!$1:$1048576,BT$93,$C533*2+6)</f>
        <v>0.05</v>
      </c>
      <c r="BU533" s="1">
        <f>INDEX(Input!$1:$1048576,BU$93,$C533*2+6)</f>
        <v>0.05</v>
      </c>
      <c r="BV533" s="1">
        <f>INDEX(Input!$1:$1048576,BV$93,$C533*2+6)</f>
        <v>5.5E-2</v>
      </c>
      <c r="BW533" s="1">
        <f>INDEX(Input!$1:$1048576,BW$93,$C533*2+6)</f>
        <v>0.06</v>
      </c>
      <c r="BX533" s="127">
        <f>INDEX(Input!$1:$1048576,BX$93,$C533*2+6)</f>
        <v>19985</v>
      </c>
      <c r="BY533" s="20">
        <f>INDEX(Input!$1:$1048576,BY$93,$C533*2+6)</f>
        <v>0.1</v>
      </c>
      <c r="BZ533" s="20">
        <f>INDEX(Input!$1:$1048576,BZ$93,$C533*2+6)</f>
        <v>0.1</v>
      </c>
      <c r="CA533" s="20">
        <f>INDEX(Input!$1:$1048576,CA$93,$C533*2+6)</f>
        <v>0.1</v>
      </c>
      <c r="CB533" s="20">
        <f>INDEX(Input!$1:$1048576,CB$93,$C533*2+6)</f>
        <v>0.1</v>
      </c>
      <c r="CC533" s="20">
        <f>INDEX(Input!$1:$1048576,CC$93,$C533*2+6)</f>
        <v>0.1</v>
      </c>
      <c r="CD533" s="384">
        <f>INDEX(Input!$1:$1048576,CD$93,$C533*2+6)</f>
        <v>0.1</v>
      </c>
      <c r="CE533" s="384">
        <f>INDEX(Input!$1:$1048576,CE$93,$C533*2+6)</f>
        <v>0.1</v>
      </c>
      <c r="CF533" s="384">
        <f>INDEX(Input!$1:$1048576,CF$93,$C533*2+6)</f>
        <v>0.1</v>
      </c>
      <c r="CG533" s="384">
        <f>INDEX(Input!$1:$1048576,CG$93,$C533*2+6)</f>
        <v>0.1</v>
      </c>
      <c r="CH533" s="384">
        <f>INDEX(Input!$1:$1048576,CH$93,$C533*2+6)</f>
        <v>0.1</v>
      </c>
      <c r="CI533" s="304">
        <f t="shared" si="1397"/>
        <v>2027.4263093788063</v>
      </c>
      <c r="CJ533" s="16" t="str">
        <f>INDEX(Input!$1:$1048576,CJ$93,$C533*2+6)</f>
        <v>N</v>
      </c>
      <c r="CK533" s="1" t="str">
        <f t="shared" si="1398"/>
        <v>Market</v>
      </c>
      <c r="CL533" s="1" t="str">
        <f t="shared" si="1399"/>
        <v>Market</v>
      </c>
      <c r="CM533" s="1" t="str">
        <f t="shared" si="1400"/>
        <v>Market</v>
      </c>
      <c r="CN533" s="1" t="str">
        <f t="shared" si="1401"/>
        <v>Market</v>
      </c>
      <c r="CO533" s="1" t="str">
        <f t="shared" si="1402"/>
        <v>Market</v>
      </c>
      <c r="CP533" s="304">
        <f t="shared" si="1403"/>
        <v>1250</v>
      </c>
      <c r="CQ533" s="1">
        <f t="shared" si="1404"/>
        <v>0</v>
      </c>
      <c r="CR533" s="1">
        <f t="shared" si="1405"/>
        <v>0</v>
      </c>
      <c r="CS533" s="1">
        <f t="shared" si="1406"/>
        <v>0</v>
      </c>
      <c r="CT533" s="1">
        <f t="shared" si="1407"/>
        <v>1.9E-2</v>
      </c>
      <c r="CU533" s="1">
        <f t="shared" si="1408"/>
        <v>3.9E-2</v>
      </c>
      <c r="CV533" s="304">
        <f t="shared" si="1409"/>
        <v>-717.93641739252325</v>
      </c>
      <c r="CW533" s="20" t="s">
        <v>122</v>
      </c>
      <c r="CX533" s="20" t="s">
        <v>122</v>
      </c>
      <c r="CY533" s="20" t="s">
        <v>122</v>
      </c>
      <c r="CZ533" s="20" t="s">
        <v>122</v>
      </c>
      <c r="DA533" s="20" t="s">
        <v>122</v>
      </c>
      <c r="DB533" s="503">
        <f t="shared" si="1410"/>
        <v>0</v>
      </c>
      <c r="DC533" s="127">
        <v>0</v>
      </c>
      <c r="DD533" s="127">
        <v>0</v>
      </c>
      <c r="DE533" s="127">
        <v>0</v>
      </c>
      <c r="DF533" s="127">
        <v>0</v>
      </c>
      <c r="DG533" s="127">
        <v>0</v>
      </c>
      <c r="DH533" s="127">
        <v>0</v>
      </c>
      <c r="DI533" s="127">
        <v>0</v>
      </c>
      <c r="DJ533" s="127">
        <v>0</v>
      </c>
      <c r="DK533" s="127">
        <v>0</v>
      </c>
      <c r="DL533" s="127">
        <v>0</v>
      </c>
      <c r="DM533" s="304">
        <f>INDEX(Input!$1:$1048576,DM$93,$C533*2+6)</f>
        <v>21036.84210526316</v>
      </c>
      <c r="DN533" s="20">
        <v>0</v>
      </c>
      <c r="DO533" s="20">
        <v>0</v>
      </c>
      <c r="DP533" s="20">
        <v>0</v>
      </c>
      <c r="DQ533" s="20">
        <v>0</v>
      </c>
      <c r="DR533" s="20">
        <v>0</v>
      </c>
      <c r="DS533" s="20">
        <f>INDEX(Input!$1:$1048576,DS$93,$C533*2+6)</f>
        <v>0.6</v>
      </c>
      <c r="DT533" s="20">
        <f>INDEX(Input!$1:$1048576,DT$93,$C533*2+6)</f>
        <v>0.55000000000000004</v>
      </c>
      <c r="DU533" s="20">
        <f>INDEX(Input!$1:$1048576,DU$93,$C533*2+6)</f>
        <v>0.52</v>
      </c>
      <c r="DV533" s="20">
        <f>INDEX(Input!$1:$1048576,DV$93,$C533*2+6)</f>
        <v>0.5</v>
      </c>
      <c r="DW533" s="20">
        <f>INDEX(Input!$1:$1048576,DW$93,$C533*2+6)</f>
        <v>0.45</v>
      </c>
      <c r="DX533" s="20"/>
      <c r="DY533" s="7">
        <v>0.13120220015003622</v>
      </c>
      <c r="DZ533" s="7">
        <v>0</v>
      </c>
      <c r="EA533" s="7">
        <v>0.74452293555562143</v>
      </c>
      <c r="EB533" s="7">
        <v>0</v>
      </c>
      <c r="EC533" s="7">
        <v>0</v>
      </c>
      <c r="ED533" s="7">
        <v>0</v>
      </c>
      <c r="EE533" s="7">
        <v>0</v>
      </c>
      <c r="EF533" s="7">
        <v>0</v>
      </c>
      <c r="EG533" s="7">
        <v>0</v>
      </c>
      <c r="EH533" s="7">
        <v>1.2090423572141781E-2</v>
      </c>
      <c r="EI533" s="7">
        <v>3.3619487053842878E-2</v>
      </c>
      <c r="EJ533" s="7">
        <v>0.29206666675665621</v>
      </c>
      <c r="EK533" s="7">
        <v>0.53717418465209266</v>
      </c>
      <c r="EL533" s="7">
        <v>0.12504923796526646</v>
      </c>
      <c r="EM533" s="7">
        <v>7.6676228945072242E-2</v>
      </c>
      <c r="EN533" s="7">
        <v>5.8488896586458589E-2</v>
      </c>
      <c r="EO533" s="7">
        <v>0.71699087286930641</v>
      </c>
      <c r="EP533" s="7">
        <v>8.984027163583802E-2</v>
      </c>
      <c r="EQ533" s="7">
        <v>8.8425307900909467E-2</v>
      </c>
      <c r="ER533" s="7">
        <v>4.6254651007487872E-2</v>
      </c>
      <c r="ES533" s="7">
        <v>4.7598635349270085E-2</v>
      </c>
      <c r="ET533" s="7">
        <v>0.12427486429434229</v>
      </c>
      <c r="EU533" s="6">
        <v>2020</v>
      </c>
      <c r="EV533" s="6">
        <v>0</v>
      </c>
      <c r="EW533" s="6">
        <v>2020</v>
      </c>
      <c r="EX533" s="6">
        <v>0</v>
      </c>
      <c r="EY533" s="6">
        <v>2765.7948687247927</v>
      </c>
      <c r="EZ533" s="6">
        <v>-6.4499039401316622</v>
      </c>
      <c r="FA533" s="6">
        <v>0</v>
      </c>
      <c r="FB533" s="6">
        <v>0</v>
      </c>
      <c r="FC533" s="6">
        <v>0</v>
      </c>
      <c r="FD533" s="6">
        <v>0</v>
      </c>
      <c r="FE533" s="6">
        <v>0</v>
      </c>
      <c r="FF533" s="6">
        <v>0</v>
      </c>
      <c r="FG533" s="6">
        <v>0</v>
      </c>
      <c r="FH533" s="6">
        <v>1172.143663408621</v>
      </c>
      <c r="FI533" s="6">
        <v>1553.979606951239</v>
      </c>
      <c r="FJ533" s="6">
        <v>2101.2110117447419</v>
      </c>
      <c r="FK533" s="6">
        <v>1772.7139978623227</v>
      </c>
      <c r="FL533" s="6">
        <v>907.07682140966278</v>
      </c>
      <c r="FM533" s="6">
        <v>1745.7948687247924</v>
      </c>
      <c r="FN533" s="6">
        <v>0</v>
      </c>
      <c r="FO533" s="6">
        <v>0</v>
      </c>
      <c r="FP533" s="6">
        <v>0</v>
      </c>
      <c r="FQ533" s="6">
        <v>0</v>
      </c>
      <c r="FR533" s="6">
        <v>0</v>
      </c>
      <c r="FS533" s="6">
        <v>0</v>
      </c>
      <c r="FT533" s="7">
        <v>0.87572513570565769</v>
      </c>
      <c r="FU533" s="7">
        <v>7.6676228945072242E-2</v>
      </c>
      <c r="FV533" s="7">
        <v>4.7598635349270085E-2</v>
      </c>
      <c r="FW533" s="6">
        <v>2020</v>
      </c>
      <c r="FX533" s="6">
        <v>2765.7948687247927</v>
      </c>
      <c r="FY533" s="6">
        <v>-6.4499039401316622</v>
      </c>
      <c r="FZ533" s="6">
        <v>1758.1538569113241</v>
      </c>
      <c r="GA533" s="6">
        <v>1980.7284880691925</v>
      </c>
      <c r="GB533" s="6">
        <v>18004.271511930809</v>
      </c>
      <c r="GC533" s="7">
        <v>3.064145122680037E-2</v>
      </c>
      <c r="GD533" s="7">
        <v>3.1949829336094533E-2</v>
      </c>
      <c r="GE533" s="7"/>
      <c r="GF533" s="7"/>
      <c r="GG533" s="7">
        <v>4.2699613004941406E-2</v>
      </c>
      <c r="GH533" s="42">
        <v>3.8340028307111327</v>
      </c>
      <c r="GI533" s="6">
        <v>7193.2963661928434</v>
      </c>
      <c r="GJ533" s="14">
        <v>0.50394797582841722</v>
      </c>
      <c r="GK533" s="14">
        <v>0.50887573065309777</v>
      </c>
      <c r="GL533" s="14">
        <v>0.49605202417158306</v>
      </c>
      <c r="GM533" s="14">
        <v>0.49112426934690229</v>
      </c>
      <c r="GO533" s="5">
        <v>343.14810671672558</v>
      </c>
      <c r="GP533" s="5">
        <v>304.61036031982871</v>
      </c>
      <c r="GQ533" s="5">
        <v>535.04305713031317</v>
      </c>
      <c r="GR533" s="5">
        <v>410.15490233172511</v>
      </c>
      <c r="GS533" s="5">
        <v>339.42744393800166</v>
      </c>
      <c r="GT533" s="5">
        <v>293.4407446948278</v>
      </c>
      <c r="GU533" s="5">
        <v>258.04012322764959</v>
      </c>
      <c r="GV533" s="39" t="s">
        <v>392</v>
      </c>
      <c r="GW533" s="5">
        <v>471.29166666666669</v>
      </c>
      <c r="GX533" s="5">
        <v>353.46875</v>
      </c>
      <c r="GY533" s="5">
        <v>282.77499999999998</v>
      </c>
      <c r="GZ533" s="5">
        <v>249.51909707886276</v>
      </c>
      <c r="HA533" s="5">
        <v>231.13162741960522</v>
      </c>
      <c r="HB533" s="39">
        <v>263.10875703965507</v>
      </c>
      <c r="HC533" s="5">
        <v>287.56655829738071</v>
      </c>
      <c r="HD533" s="5">
        <v>239.99799238008356</v>
      </c>
      <c r="HE533" s="5">
        <v>241.14168635502031</v>
      </c>
      <c r="HF533" s="5">
        <v>221.05790951107167</v>
      </c>
      <c r="HG533" s="5">
        <v>210.75500473779988</v>
      </c>
      <c r="HH533" s="39">
        <v>239.85556824299192</v>
      </c>
      <c r="HI533" s="16"/>
      <c r="HJ533" s="19" t="str">
        <f t="shared" si="1507"/>
        <v>On</v>
      </c>
      <c r="HK533" s="1" t="str">
        <f t="shared" si="1507"/>
        <v>On</v>
      </c>
      <c r="HL533" s="16"/>
      <c r="HM533" s="639">
        <f t="shared" si="1413"/>
        <v>2.4909940070666322E-2</v>
      </c>
      <c r="HN533" s="639">
        <f t="shared" si="1414"/>
        <v>2.2052381276269151E-3</v>
      </c>
      <c r="HO533" s="639">
        <f t="shared" si="1415"/>
        <v>2.079866082302006E-3</v>
      </c>
      <c r="HP533" s="644">
        <f>(FT533*$GD533-HM533)/$JF533*INDEX(Input!$1:$1048576,$JG$93,$C533*2+6)</f>
        <v>86.313236038166636</v>
      </c>
      <c r="HQ533" s="644">
        <f>(FU533*$GD533-HN533)/$JF533*INDEX(Input!$1:$1048576,$JG$93,$C533*2+6)</f>
        <v>6.8771631048213964</v>
      </c>
      <c r="HR533" s="644">
        <f>(FV533*$GD533-HO533)/$JF533*INDEX(Input!$1:$1048576,$JG$93,$C533*2+6)</f>
        <v>-15.722507372460273</v>
      </c>
      <c r="HS533" s="644">
        <f t="shared" si="1416"/>
        <v>-37.927214073168379</v>
      </c>
      <c r="HT533" s="644">
        <f t="shared" si="1417"/>
        <v>42.864969769893811</v>
      </c>
      <c r="HU533" s="644">
        <f t="shared" si="1418"/>
        <v>3.5832558645454178</v>
      </c>
      <c r="HV533" s="648">
        <f t="shared" si="1419"/>
        <v>0</v>
      </c>
      <c r="HW533" s="648">
        <f t="shared" si="1420"/>
        <v>0</v>
      </c>
      <c r="HX533" s="648">
        <f t="shared" si="1421"/>
        <v>0</v>
      </c>
      <c r="HY533" s="644">
        <f>INDEX(Input!$1:$1048576,HY$93,$C533*2+6)*INDEX(Input!$1:$1048576,$JG$93,$C533*2+6)</f>
        <v>333.00000000000006</v>
      </c>
      <c r="HZ533" s="644">
        <f>INDEX(Input!$1:$1048576,HZ$93,$C533*2+6)*INDEX(Input!$1:$1048576,$JG$93,$C533*2+6)</f>
        <v>429</v>
      </c>
      <c r="IA533" s="644">
        <f>INDEX(Input!$1:$1048576,IA$93,$C533*2+6)*INDEX(Input!$1:$1048576,$JG$93,$C533*2+6)</f>
        <v>59</v>
      </c>
      <c r="IB533" s="644">
        <f t="shared" si="1445"/>
        <v>381.38602196499824</v>
      </c>
      <c r="IC533" s="644">
        <f t="shared" si="1446"/>
        <v>478.74213287471525</v>
      </c>
      <c r="ID533" s="644">
        <f>IF(AND(INDEX(Input!$1:$1048576,IA$93,$C533*2+7)="TOS",Y533&lt;=INDEX(Y:Y,MATCH(C533*1000+2,A:A))),0,1)*MAX(IA533+HR533+HU533+HX533,0%)</f>
        <v>46.86074849208515</v>
      </c>
      <c r="IE533" s="128">
        <f t="shared" ref="IE533:IE536" si="1510">IB533/SUM($IB533:$ID533)</f>
        <v>0.42049689975697302</v>
      </c>
      <c r="IF533" s="128">
        <f t="shared" si="1468"/>
        <v>0.52783681378688241</v>
      </c>
      <c r="IG533" s="128">
        <f t="shared" si="1423"/>
        <v>5.16662864561446E-2</v>
      </c>
      <c r="IH533" s="21"/>
      <c r="II533" s="19">
        <f t="shared" si="1424"/>
        <v>1240</v>
      </c>
      <c r="IJ533" s="19">
        <f t="shared" si="1425"/>
        <v>1985.7442651839444</v>
      </c>
      <c r="IK533" s="19">
        <f t="shared" si="1426"/>
        <v>-21.44990394013189</v>
      </c>
      <c r="IL533" s="19">
        <f t="shared" si="1448"/>
        <v>780</v>
      </c>
      <c r="IM533" s="19">
        <f t="shared" si="1427"/>
        <v>780.05060354084821</v>
      </c>
      <c r="IN533" s="19">
        <f t="shared" si="1428"/>
        <v>15.000000000000227</v>
      </c>
      <c r="IO533" s="39">
        <f t="shared" si="1429"/>
        <v>0</v>
      </c>
      <c r="IP533" s="39">
        <f t="shared" si="1430"/>
        <v>0</v>
      </c>
      <c r="IQ533" s="39">
        <f t="shared" si="1431"/>
        <v>0</v>
      </c>
      <c r="IR533" s="39">
        <v>0</v>
      </c>
      <c r="IS533" s="39">
        <v>0</v>
      </c>
      <c r="IT533" s="39">
        <v>0</v>
      </c>
      <c r="IU533" s="39">
        <v>0</v>
      </c>
      <c r="IV533" s="39">
        <v>0</v>
      </c>
      <c r="IW533" s="39">
        <v>0</v>
      </c>
      <c r="IX533" s="39">
        <f>INDEX(Input!$1:$1048576,IX$93,$C533*2+6)+INDEX(Input!$1:$1048576,IX$94,$C533*2+6)</f>
        <v>1270</v>
      </c>
      <c r="IY533" s="39">
        <f>INDEX(Input!$1:$1048576,IY$93,$C533*2+6)+INDEX(Input!$1:$1048576,IY$94,$C533*2+6)</f>
        <v>2130.0624533823611</v>
      </c>
      <c r="IZ533" s="39">
        <f>INDEX(Input!$1:$1048576,IZ$93,$C533*2+6)+INDEX(Input!$1:$1048576,IZ$94,$C533*2+6)</f>
        <v>3653.7164157747857</v>
      </c>
      <c r="JA533" s="19">
        <f t="shared" si="1449"/>
        <v>2050</v>
      </c>
      <c r="JB533" s="19">
        <f t="shared" si="1450"/>
        <v>2910.1130569232091</v>
      </c>
      <c r="JC533" s="19">
        <f t="shared" si="1451"/>
        <v>3668.7164157747857</v>
      </c>
      <c r="JD533" s="19">
        <f t="shared" si="1452"/>
        <v>2587.6324014915263</v>
      </c>
      <c r="JE533" s="21"/>
      <c r="JF533" s="1">
        <f t="shared" si="1432"/>
        <v>2.9195044280595241E-2</v>
      </c>
      <c r="JG533" s="15">
        <f>INDEX(Input!$1:$1048576,JG$93,$C533*2+6)/(1+VLOOKUP(C533*1000+INDEX(Input!$1:$1048576,JG$93+1,$C533*2+6),$A:$KK,$JK$92,FALSE))</f>
        <v>821</v>
      </c>
      <c r="JH533" s="1">
        <f t="shared" si="1453"/>
        <v>9.4357968051799954E-2</v>
      </c>
      <c r="JI533" s="1">
        <f t="shared" si="1454"/>
        <v>1.037882041567704E-2</v>
      </c>
      <c r="JJ533" s="1">
        <f t="shared" si="1492"/>
        <v>0</v>
      </c>
      <c r="JK533" s="1">
        <f t="shared" si="1496"/>
        <v>0.104736788467477</v>
      </c>
      <c r="JL533" s="15">
        <f t="shared" si="1457"/>
        <v>85.98890333179861</v>
      </c>
      <c r="JM533" s="15">
        <f t="shared" si="1483"/>
        <v>906.98890333179861</v>
      </c>
      <c r="JN533" s="21"/>
      <c r="JO533" s="19">
        <f>INDEX(Input!$1:$1048576,JO$93,$C533*2+6)</f>
        <v>5995.5</v>
      </c>
      <c r="JP533" s="19">
        <f>INDEX(Input!$1:$1048576,JP$93,$C533*2+6)</f>
        <v>1890.7138380411029</v>
      </c>
      <c r="JQ533" s="39">
        <f t="shared" si="1469"/>
        <v>3407.8675985084737</v>
      </c>
      <c r="JR533" s="39">
        <f t="shared" si="1486"/>
        <v>696.91856345042333</v>
      </c>
      <c r="JS533" s="39">
        <f t="shared" si="1471"/>
        <v>2.3469538740546279</v>
      </c>
      <c r="JT533" s="39">
        <f t="shared" si="1459"/>
        <v>0.79467781302288243</v>
      </c>
      <c r="JU533" s="385">
        <f>(JQ533*JM533-INDEX(Input!$1:$1048576,Input!A$18,$C533*2+6)*JL533*INDEX(Input!$1:$1048576,Input!A$19,$C533*2+6))/1000000</f>
        <v>3.0908980958711711</v>
      </c>
      <c r="JV533" s="39">
        <f t="shared" si="1493"/>
        <v>-0.27913134309708321</v>
      </c>
      <c r="JW533" s="1">
        <f t="shared" si="1484"/>
        <v>-8.2827568171790267E-2</v>
      </c>
      <c r="JX533" s="19">
        <f t="shared" si="1475"/>
        <v>9241.6321435862701</v>
      </c>
      <c r="JZ533" s="341"/>
      <c r="KA533" s="342"/>
      <c r="KB533" s="469">
        <f t="shared" si="1472"/>
        <v>2.5122967434604799</v>
      </c>
      <c r="KI533" s="473">
        <f t="shared" ref="KI533:KI536" si="1511">$JM533*IE533-$JG533*HY533/SUM($HY533:$IA533)</f>
        <v>48.386021964998179</v>
      </c>
      <c r="KJ533" s="473">
        <f t="shared" ref="KJ533:KJ536" si="1512">$JM533*IF533-$JG533*HZ533/SUM($HY533:$IA533)</f>
        <v>49.742132874715253</v>
      </c>
      <c r="KK533" s="473">
        <f t="shared" si="1461"/>
        <v>-12.13925150791485</v>
      </c>
      <c r="KN533" s="544">
        <f t="shared" si="1476"/>
        <v>5002</v>
      </c>
      <c r="KO533" s="541">
        <f t="shared" si="1436"/>
        <v>0.10025693989194062</v>
      </c>
      <c r="KP533" s="546">
        <f t="shared" si="1437"/>
        <v>711.27621808966933</v>
      </c>
      <c r="KQ533" s="546">
        <f t="shared" si="1438"/>
        <v>668.71363576825979</v>
      </c>
      <c r="KR533" s="548">
        <f t="shared" si="1439"/>
        <v>2.5464790953540049</v>
      </c>
      <c r="KS533" s="548">
        <f t="shared" si="1440"/>
        <v>2.7085585271592709</v>
      </c>
      <c r="KT533" s="473">
        <f t="shared" si="1474"/>
        <v>595.94378802984284</v>
      </c>
      <c r="KU533" s="663">
        <f t="shared" si="1462"/>
        <v>4.0310966935038675</v>
      </c>
      <c r="KV533" s="117"/>
    </row>
    <row r="534" spans="1:308" s="26" customFormat="1" ht="15">
      <c r="A534" s="561">
        <f t="shared" si="1441"/>
        <v>5034</v>
      </c>
      <c r="B534" s="561">
        <f t="shared" si="1463"/>
        <v>34</v>
      </c>
      <c r="C534" s="561">
        <f t="shared" si="1464"/>
        <v>5</v>
      </c>
      <c r="D534" s="561" t="str">
        <f t="shared" si="1509"/>
        <v xml:space="preserve">1000 CC, 1000 Combo, </v>
      </c>
      <c r="E534" s="475">
        <f>INDEX(Input!$1:$1048576,E$93,$C534*2+MIN($B534,2)+5)
+INDEX(Scenarios!E$121:E$200,MATCH($B534,Scenarios!$B$121:$B$200,0))</f>
        <v>2277.4263093788063</v>
      </c>
      <c r="F534" s="475">
        <f>INDEX(Input!$1:$1048576,F$93,$C534*2+MIN($B534,2)+5)
+INDEX(Scenarios!F$121:F$200,MATCH($B534,Scenarios!$B$121:$B$200,0))</f>
        <v>0</v>
      </c>
      <c r="G534" s="475">
        <f>INDEX(Input!$1:$1048576,G$93,$C534*2+MIN($B534,2)+5)
+INDEX(Scenarios!G$121:G$200,MATCH($B534,Scenarios!$B$121:$B$200,0))</f>
        <v>0</v>
      </c>
      <c r="H534" s="475">
        <f>INDEX(Input!$1:$1048576,H$93,$C534*2+MIN($B534,2)+5)
+INDEX(Scenarios!H$121:H$200,MATCH($B534,Scenarios!$B$121:$B$200,0))</f>
        <v>0</v>
      </c>
      <c r="I534" s="476">
        <f>INDEX(Input!$1:$1048576,I$93,$C534*2+MIN($B534,2)+5)</f>
        <v>0.7</v>
      </c>
      <c r="J534" s="476" t="str">
        <f>INDEX(Input!$1:$1048576,J$93,$C534*2+MIN($B534,2)+5)</f>
        <v>Market</v>
      </c>
      <c r="K534" s="476" t="str">
        <f>INDEX(Input!$1:$1048576,K$93,$C534*2+MIN($B534,2)+5)</f>
        <v>Market</v>
      </c>
      <c r="L534" s="476" t="str">
        <f>INDEX(Input!$1:$1048576,L$93,$C534*2+MIN($B534,2)+5)</f>
        <v>Market</v>
      </c>
      <c r="M534" s="476" t="str">
        <f>INDEX(Input!$1:$1048576,M$93,$C534*2+MIN($B534,2)+5)</f>
        <v>Market</v>
      </c>
      <c r="N534" s="476" t="str">
        <f>INDEX(Input!$1:$1048576,N$93,$C534*2+MIN($B534,2)+5)</f>
        <v>Market</v>
      </c>
      <c r="O534" s="476" t="str">
        <f>INDEX(Input!$1:$1048576,O$93,$C534*2+MIN($B534,2)+5)</f>
        <v>Market</v>
      </c>
      <c r="P534" s="476" t="str">
        <f>INDEX(Input!$1:$1048576,P$93,$C534*2+MIN($B534,2)+5)</f>
        <v>N</v>
      </c>
      <c r="Q534" s="477">
        <f>INDEX(Input!$1:$1048576,Q$93,$C534*2+MIN($B534,2)+5)
+INDEX(Scenarios!Q$121:Q$200,MATCH($B534,Scenarios!$B$121:$B$200,0))</f>
        <v>1000</v>
      </c>
      <c r="R534" s="478">
        <f>IFERROR(MAX(0,INDEX(Input!$1:$1048576,R$93,$C534*2+MIN($B534,2)+5)
+INDEX(Scenarios!R$121:R$200,MATCH($B534,Scenarios!$B$121:$B$200,0)),),"Market")</f>
        <v>0</v>
      </c>
      <c r="S534" s="478">
        <f>IFERROR(MAX(0,INDEX(Input!$1:$1048576,S$93,$C534*2+MIN($B534,2)+5)
+INDEX(Scenarios!S$121:S$200,MATCH($B534,Scenarios!$B$121:$B$200,0)),),"Market")</f>
        <v>0</v>
      </c>
      <c r="T534" s="478">
        <f>IFERROR(MAX(0,INDEX(Input!$1:$1048576,T$93,$C534*2+MIN($B534,2)+5)
+INDEX(Scenarios!T$121:T$200,MATCH($B534,Scenarios!$B$121:$B$200,0)),),"Market")</f>
        <v>0</v>
      </c>
      <c r="U534" s="478">
        <f>IFERROR(MAX(0,INDEX(Input!$1:$1048576,U$93,$C534*2+MIN($B534,2)+5)
+INDEX(Scenarios!U$121:U$200,MATCH($B534,Scenarios!$B$121:$B$200,0)),),"Market")</f>
        <v>0</v>
      </c>
      <c r="V534" s="478">
        <f>IFERROR(MAX(0,INDEX(Input!$1:$1048576,V$93,$C534*2+MIN($B534,2)+5)
+INDEX(Scenarios!V$121:V$200,MATCH($B534,Scenarios!$B$121:$B$200,0)),),"Market")</f>
        <v>1.9E-2</v>
      </c>
      <c r="W534" s="885">
        <f>IFERROR(MAX(0,INDEX(Input!$1:$1048576,W$93,$C534*2+MIN($B534,2)+5)-0%,),"Market")</f>
        <v>3.9E-2</v>
      </c>
      <c r="X534" s="476" t="str">
        <f>INDEX(Input!$1:$1048576,X$93,$C534*2+MIN($B534,2)+5)</f>
        <v>Y</v>
      </c>
      <c r="Y534" s="475">
        <f>INDEX(Input!$1:$1048576,Y$93,$C534*2+MIN($B534,2)+5)
++INDEX(Scenarios!Y$121:Y$200,MATCH($B534,Scenarios!$B$121:$B$200,0))</f>
        <v>-717.93641739252325</v>
      </c>
      <c r="Z534" s="477">
        <f>INDEX(Input!$1:$1048576,Z$93,$C534*2+MIN($B534,2)+5)
+INDEX(Scenarios!Z$121:Z$200,MATCH($B534,Scenarios!$B$121:$B$200,0))</f>
        <v>0</v>
      </c>
      <c r="AA534" s="475">
        <f>INDEX(Input!$1:$1048576,AA$93,$C534*2+MIN($B534,2)+5)
+INDEX(Scenarios!AA$121:AA$200,MATCH($B534,Scenarios!$B$121:$B$200,0))</f>
        <v>0</v>
      </c>
      <c r="AB534" s="476">
        <f>INDEX(Input!$1:$1048576,AB$93,$C534*2+MIN($B534,2)+5)</f>
        <v>0.27</v>
      </c>
      <c r="AC534" s="475">
        <f>INDEX(Input!$1:$1048576,AC$93,$C534*2+MIN($B534,2)+5)
+INDEX(Scenarios!AC$121:AC$200,MATCH($B534,Scenarios!$B$121:$B$200,0))</f>
        <v>0</v>
      </c>
      <c r="AD534" s="476">
        <f>INDEX(Input!$1:$1048576,AD$93,$C534*2+MIN($B534,2)+5)</f>
        <v>0.27</v>
      </c>
      <c r="AE534" s="475">
        <f>INDEX(Input!$1:$1048576,AE$93,$C534*2+MIN($B534,2)+5)
+INDEX(Scenarios!AE$121:AE$200,MATCH($B534,Scenarios!$B$121:$B$200,0))</f>
        <v>0</v>
      </c>
      <c r="AF534" s="476">
        <f>INDEX(Input!$1:$1048576,AF$93,$C534*2+MIN($B534,2)+5)</f>
        <v>0.2</v>
      </c>
      <c r="AG534" s="475">
        <f>INDEX(Input!$1:$1048576,AG$93,$C534*2+MIN($B534,2)+5)
+INDEX(Scenarios!AG$121:AG$200,MATCH($B534,Scenarios!$B$121:$B$200,0))</f>
        <v>500</v>
      </c>
      <c r="AH534" s="476">
        <f>INDEX(Input!$1:$1048576,AH$93,$C534*2+MIN($B534,2)+5)</f>
        <v>1</v>
      </c>
      <c r="AI534" s="475">
        <f>INDEX(Input!$1:$1048576,AI$93,$C534*2+MIN($B534,2)+5)
+INDEX(Scenarios!AI$121:AI$200,MATCH($B534,Scenarios!$B$121:$B$200,0))</f>
        <v>0</v>
      </c>
      <c r="AJ534" s="476">
        <f>INDEX(Input!$1:$1048576,AJ$93,$C534*2+MIN($B534,2)+5)</f>
        <v>0.27</v>
      </c>
      <c r="AK534" s="150">
        <f>ROUND(INDEX(Input!$1:$1048576,AK$93,$C533*2+MIN($B534,1)+5)+(Y534-VLOOKUP($C534*1000+1,$A:$HH,Y$92,FALSE)),0)</f>
        <v>2587</v>
      </c>
      <c r="AL534" s="150">
        <f>ROUND(INDEX(Input!$1:$1048576,AL$93,$C533*2+MIN($B534,1)+5)-(Y534-VLOOKUP($C534*1000+1,$A:$HH,Y$92,FALSE))/36,0)</f>
        <v>3406</v>
      </c>
      <c r="AM534" s="32" t="str">
        <f t="shared" si="1442"/>
        <v>std/std/std/std</v>
      </c>
      <c r="AN534" s="32" t="str">
        <f t="shared" si="1443"/>
        <v>$1000 + 0/0/0/1.9/3.9</v>
      </c>
      <c r="AO534" s="32" t="str">
        <f t="shared" si="1444"/>
        <v>0/0/0/1.9/3.9</v>
      </c>
      <c r="AP534" s="32" t="str">
        <f t="shared" si="1396"/>
        <v>0/0.9/1.9/3.9</v>
      </c>
      <c r="AQ534" s="536">
        <f t="shared" si="1394"/>
        <v>0.42494734079585655</v>
      </c>
      <c r="AR534" s="32"/>
      <c r="AS534" s="302"/>
      <c r="AT534" s="3">
        <f t="shared" si="1465"/>
        <v>34</v>
      </c>
      <c r="AU534" s="41" t="s">
        <v>121</v>
      </c>
      <c r="AV534" s="41" t="s">
        <v>116</v>
      </c>
      <c r="AW534" s="41" t="str">
        <f>INDEX(Input!$1:$1048576,AW$93,$C534*2+6)</f>
        <v>Kia</v>
      </c>
      <c r="AX534" s="41" t="str">
        <f>INDEX(Input!$1:$1048576,AX$93,$C534*2+6)</f>
        <v>Kia-LR - R2</v>
      </c>
      <c r="AY534" s="41" t="str">
        <f>IF(LEN(D534)=0,"",INDEX(Input!$1:$1048576,AY$93,$C534*2+6))</f>
        <v>Compact SUV (52)</v>
      </c>
      <c r="AZ534" s="41" t="str">
        <f>INDEX(Input!$1:$1048576,AZ$93,$C534*2+6)</f>
        <v>Kia Soul</v>
      </c>
      <c r="BA534" s="3">
        <f>INDEX(Input!$1:$1048576,BA$93,$C534*2+6)</f>
        <v>2020</v>
      </c>
      <c r="BB534" s="128">
        <f>INDEX(Input!$1:$1048576,BB$93,$C534*2+6)</f>
        <v>1</v>
      </c>
      <c r="BC534" s="128">
        <f>INDEX(Input!$1:$1048576,BC$93,$C534*2+6)</f>
        <v>0.7</v>
      </c>
      <c r="BD534" s="1">
        <f>INDEX(Input!$1:$1048576,BD$93,$C534*2+6)</f>
        <v>4.4999999999999998E-2</v>
      </c>
      <c r="BE534" s="1">
        <f>INDEX(Input!$1:$1048576,BE$93,$C534*2+6)</f>
        <v>4.4999999999999998E-2</v>
      </c>
      <c r="BF534" s="1">
        <f>INDEX(Input!$1:$1048576,BF$93,$C534*2+6)</f>
        <v>0.05</v>
      </c>
      <c r="BG534" s="1">
        <f>INDEX(Input!$1:$1048576,BG$93,$C534*2+6)</f>
        <v>5.45E-2</v>
      </c>
      <c r="BH534" s="1">
        <f>INDEX(Input!$1:$1048576,BH$93,$C534*2+6)</f>
        <v>5.45E-2</v>
      </c>
      <c r="BI534" s="1">
        <f>INDEX(Input!$1:$1048576,BI$93,$C534*2+6)</f>
        <v>0.05</v>
      </c>
      <c r="BJ534" s="1">
        <f>INDEX(Input!$1:$1048576,BJ$93,$C534*2+6)</f>
        <v>0.05</v>
      </c>
      <c r="BK534" s="1">
        <f>INDEX(Input!$1:$1048576,BK$93,$C534*2+6)</f>
        <v>0.05</v>
      </c>
      <c r="BL534" s="1">
        <f>INDEX(Input!$1:$1048576,BL$93,$C534*2+6)</f>
        <v>5.5E-2</v>
      </c>
      <c r="BM534" s="1">
        <f>INDEX(Input!$1:$1048576,BM$93,$C534*2+6)</f>
        <v>0.06</v>
      </c>
      <c r="BN534" s="1">
        <f>INDEX(Input!$1:$1048576,BN$93,$C534*2+6)</f>
        <v>4.4999999999999998E-2</v>
      </c>
      <c r="BO534" s="1">
        <f>INDEX(Input!$1:$1048576,BO$93,$C534*2+6)</f>
        <v>4.4999999999999998E-2</v>
      </c>
      <c r="BP534" s="1">
        <f>INDEX(Input!$1:$1048576,BP$93,$C534*2+6)</f>
        <v>0.05</v>
      </c>
      <c r="BQ534" s="1">
        <f>INDEX(Input!$1:$1048576,BQ$93,$C534*2+6)</f>
        <v>5.45E-2</v>
      </c>
      <c r="BR534" s="1">
        <f>INDEX(Input!$1:$1048576,BR$93,$C534*2+6)</f>
        <v>5.45E-2</v>
      </c>
      <c r="BS534" s="1">
        <f>INDEX(Input!$1:$1048576,BS$93,$C534*2+6)</f>
        <v>0.05</v>
      </c>
      <c r="BT534" s="1">
        <f>INDEX(Input!$1:$1048576,BT$93,$C534*2+6)</f>
        <v>0.05</v>
      </c>
      <c r="BU534" s="1">
        <f>INDEX(Input!$1:$1048576,BU$93,$C534*2+6)</f>
        <v>0.05</v>
      </c>
      <c r="BV534" s="1">
        <f>INDEX(Input!$1:$1048576,BV$93,$C534*2+6)</f>
        <v>5.5E-2</v>
      </c>
      <c r="BW534" s="1">
        <f>INDEX(Input!$1:$1048576,BW$93,$C534*2+6)</f>
        <v>0.06</v>
      </c>
      <c r="BX534" s="127">
        <f>INDEX(Input!$1:$1048576,BX$93,$C534*2+6)</f>
        <v>19985</v>
      </c>
      <c r="BY534" s="20">
        <f>INDEX(Input!$1:$1048576,BY$93,$C534*2+6)</f>
        <v>0.1</v>
      </c>
      <c r="BZ534" s="20">
        <f>INDEX(Input!$1:$1048576,BZ$93,$C534*2+6)</f>
        <v>0.1</v>
      </c>
      <c r="CA534" s="20">
        <f>INDEX(Input!$1:$1048576,CA$93,$C534*2+6)</f>
        <v>0.1</v>
      </c>
      <c r="CB534" s="20">
        <f>INDEX(Input!$1:$1048576,CB$93,$C534*2+6)</f>
        <v>0.1</v>
      </c>
      <c r="CC534" s="20">
        <f>INDEX(Input!$1:$1048576,CC$93,$C534*2+6)</f>
        <v>0.1</v>
      </c>
      <c r="CD534" s="384">
        <f>INDEX(Input!$1:$1048576,CD$93,$C534*2+6)</f>
        <v>0.1</v>
      </c>
      <c r="CE534" s="384">
        <f>INDEX(Input!$1:$1048576,CE$93,$C534*2+6)</f>
        <v>0.1</v>
      </c>
      <c r="CF534" s="384">
        <f>INDEX(Input!$1:$1048576,CF$93,$C534*2+6)</f>
        <v>0.1</v>
      </c>
      <c r="CG534" s="384">
        <f>INDEX(Input!$1:$1048576,CG$93,$C534*2+6)</f>
        <v>0.1</v>
      </c>
      <c r="CH534" s="384">
        <f>INDEX(Input!$1:$1048576,CH$93,$C534*2+6)</f>
        <v>0.1</v>
      </c>
      <c r="CI534" s="304">
        <f t="shared" si="1397"/>
        <v>2277.4263093788063</v>
      </c>
      <c r="CJ534" s="16" t="str">
        <f>INDEX(Input!$1:$1048576,CJ$93,$C534*2+6)</f>
        <v>N</v>
      </c>
      <c r="CK534" s="1" t="str">
        <f t="shared" si="1398"/>
        <v>Market</v>
      </c>
      <c r="CL534" s="1" t="str">
        <f t="shared" si="1399"/>
        <v>Market</v>
      </c>
      <c r="CM534" s="1" t="str">
        <f t="shared" si="1400"/>
        <v>Market</v>
      </c>
      <c r="CN534" s="1" t="str">
        <f t="shared" si="1401"/>
        <v>Market</v>
      </c>
      <c r="CO534" s="1" t="str">
        <f t="shared" si="1402"/>
        <v>Market</v>
      </c>
      <c r="CP534" s="304">
        <f t="shared" si="1403"/>
        <v>1500</v>
      </c>
      <c r="CQ534" s="1">
        <f t="shared" si="1404"/>
        <v>0</v>
      </c>
      <c r="CR534" s="1">
        <f t="shared" si="1405"/>
        <v>0</v>
      </c>
      <c r="CS534" s="1">
        <f t="shared" si="1406"/>
        <v>0</v>
      </c>
      <c r="CT534" s="1">
        <f t="shared" si="1407"/>
        <v>1.9E-2</v>
      </c>
      <c r="CU534" s="1">
        <f t="shared" si="1408"/>
        <v>3.9E-2</v>
      </c>
      <c r="CV534" s="304">
        <f t="shared" si="1409"/>
        <v>-717.93641739252325</v>
      </c>
      <c r="CW534" s="20" t="s">
        <v>122</v>
      </c>
      <c r="CX534" s="20" t="s">
        <v>122</v>
      </c>
      <c r="CY534" s="20" t="s">
        <v>122</v>
      </c>
      <c r="CZ534" s="20" t="s">
        <v>122</v>
      </c>
      <c r="DA534" s="20" t="s">
        <v>122</v>
      </c>
      <c r="DB534" s="503">
        <f t="shared" si="1410"/>
        <v>0</v>
      </c>
      <c r="DC534" s="127">
        <v>0</v>
      </c>
      <c r="DD534" s="127">
        <v>0</v>
      </c>
      <c r="DE534" s="127">
        <v>0</v>
      </c>
      <c r="DF534" s="127">
        <v>0</v>
      </c>
      <c r="DG534" s="127">
        <v>0</v>
      </c>
      <c r="DH534" s="127">
        <v>0</v>
      </c>
      <c r="DI534" s="127">
        <v>0</v>
      </c>
      <c r="DJ534" s="127">
        <v>0</v>
      </c>
      <c r="DK534" s="127">
        <v>0</v>
      </c>
      <c r="DL534" s="127">
        <v>0</v>
      </c>
      <c r="DM534" s="304">
        <f>INDEX(Input!$1:$1048576,DM$93,$C534*2+6)</f>
        <v>21036.84210526316</v>
      </c>
      <c r="DN534" s="20">
        <v>0</v>
      </c>
      <c r="DO534" s="20">
        <v>0</v>
      </c>
      <c r="DP534" s="20">
        <v>0</v>
      </c>
      <c r="DQ534" s="20">
        <v>0</v>
      </c>
      <c r="DR534" s="20">
        <v>0</v>
      </c>
      <c r="DS534" s="20">
        <f>INDEX(Input!$1:$1048576,DS$93,$C534*2+6)</f>
        <v>0.6</v>
      </c>
      <c r="DT534" s="20">
        <f>INDEX(Input!$1:$1048576,DT$93,$C534*2+6)</f>
        <v>0.55000000000000004</v>
      </c>
      <c r="DU534" s="20">
        <f>INDEX(Input!$1:$1048576,DU$93,$C534*2+6)</f>
        <v>0.52</v>
      </c>
      <c r="DV534" s="20">
        <f>INDEX(Input!$1:$1048576,DV$93,$C534*2+6)</f>
        <v>0.5</v>
      </c>
      <c r="DW534" s="20">
        <f>INDEX(Input!$1:$1048576,DW$93,$C534*2+6)</f>
        <v>0.45</v>
      </c>
      <c r="DX534" s="20"/>
      <c r="DY534" s="7">
        <v>0.13518444673465332</v>
      </c>
      <c r="DZ534" s="7">
        <v>0</v>
      </c>
      <c r="EA534" s="7">
        <v>0.7462902779417131</v>
      </c>
      <c r="EB534" s="7">
        <v>0</v>
      </c>
      <c r="EC534" s="7">
        <v>0</v>
      </c>
      <c r="ED534" s="7">
        <v>0</v>
      </c>
      <c r="EE534" s="7">
        <v>0</v>
      </c>
      <c r="EF534" s="7">
        <v>0</v>
      </c>
      <c r="EG534" s="7">
        <v>0</v>
      </c>
      <c r="EH534" s="7">
        <v>1.2090925322273568E-2</v>
      </c>
      <c r="EI534" s="7">
        <v>3.3623229261806435E-2</v>
      </c>
      <c r="EJ534" s="7">
        <v>0.29211106585050273</v>
      </c>
      <c r="EK534" s="7">
        <v>0.53712484871704747</v>
      </c>
      <c r="EL534" s="7">
        <v>0.12504993084836974</v>
      </c>
      <c r="EM534" s="7">
        <v>7.6885189623136924E-2</v>
      </c>
      <c r="EN534" s="7">
        <v>5.8493395061122465E-2</v>
      </c>
      <c r="EO534" s="7">
        <v>0.71697065029530072</v>
      </c>
      <c r="EP534" s="7">
        <v>8.9858472069246284E-2</v>
      </c>
      <c r="EQ534" s="7">
        <v>8.8427461335775254E-2</v>
      </c>
      <c r="ER534" s="7">
        <v>4.6250021238555199E-2</v>
      </c>
      <c r="ES534" s="7">
        <v>4.1640085700496557E-2</v>
      </c>
      <c r="ET534" s="7">
        <v>0.11852527532363354</v>
      </c>
      <c r="EU534" s="6">
        <v>2270</v>
      </c>
      <c r="EV534" s="6">
        <v>0</v>
      </c>
      <c r="EW534" s="6">
        <v>2270</v>
      </c>
      <c r="EX534" s="6">
        <v>0</v>
      </c>
      <c r="EY534" s="6">
        <v>3015.8077615753787</v>
      </c>
      <c r="EZ534" s="6">
        <v>-6.4499039401316622</v>
      </c>
      <c r="FA534" s="6">
        <v>0</v>
      </c>
      <c r="FB534" s="6">
        <v>0</v>
      </c>
      <c r="FC534" s="6">
        <v>0</v>
      </c>
      <c r="FD534" s="6">
        <v>0</v>
      </c>
      <c r="FE534" s="6">
        <v>0</v>
      </c>
      <c r="FF534" s="6">
        <v>0</v>
      </c>
      <c r="FG534" s="6">
        <v>0</v>
      </c>
      <c r="FH534" s="6">
        <v>1172.1459421453169</v>
      </c>
      <c r="FI534" s="6">
        <v>1553.9796069512404</v>
      </c>
      <c r="FJ534" s="6">
        <v>2101.2110117447423</v>
      </c>
      <c r="FK534" s="6">
        <v>1772.7139978623236</v>
      </c>
      <c r="FL534" s="6">
        <v>907.07682140966347</v>
      </c>
      <c r="FM534" s="6">
        <v>1745.8077615753787</v>
      </c>
      <c r="FN534" s="6">
        <v>0</v>
      </c>
      <c r="FO534" s="6">
        <v>0</v>
      </c>
      <c r="FP534" s="6">
        <v>0</v>
      </c>
      <c r="FQ534" s="6">
        <v>0</v>
      </c>
      <c r="FR534" s="6">
        <v>0</v>
      </c>
      <c r="FS534" s="6">
        <v>0</v>
      </c>
      <c r="FT534" s="7">
        <v>0.88147472467636645</v>
      </c>
      <c r="FU534" s="7">
        <v>7.6885189623136924E-2</v>
      </c>
      <c r="FV534" s="7">
        <v>4.1640085700496557E-2</v>
      </c>
      <c r="FW534" s="6">
        <v>2270</v>
      </c>
      <c r="FX534" s="6">
        <v>3015.8077615753787</v>
      </c>
      <c r="FY534" s="6">
        <v>-6.4499039401316622</v>
      </c>
      <c r="FZ534" s="6">
        <v>1758.1538569113241</v>
      </c>
      <c r="GA534" s="6">
        <v>2232.550002078176</v>
      </c>
      <c r="GB534" s="6">
        <v>17752.449997921824</v>
      </c>
      <c r="GC534" s="7">
        <v>3.064145122680037E-2</v>
      </c>
      <c r="GD534" s="7">
        <v>3.2897991721006131E-2</v>
      </c>
      <c r="GE534" s="7"/>
      <c r="GF534" s="7"/>
      <c r="GG534" s="7">
        <v>7.3643394939208712E-2</v>
      </c>
      <c r="GH534" s="42">
        <v>3.102392932266441</v>
      </c>
      <c r="GI534" s="6">
        <v>8674.3516810808524</v>
      </c>
      <c r="GJ534" s="14">
        <v>0.50394797582841733</v>
      </c>
      <c r="GK534" s="14">
        <v>0.50887573065309744</v>
      </c>
      <c r="GL534" s="14">
        <v>0.49605202417158289</v>
      </c>
      <c r="GM534" s="14">
        <v>0.49112426934690251</v>
      </c>
      <c r="GO534" s="5">
        <v>343.14810671672558</v>
      </c>
      <c r="GP534" s="5">
        <v>299.84083725090579</v>
      </c>
      <c r="GQ534" s="5">
        <v>535.04305713031317</v>
      </c>
      <c r="GR534" s="5">
        <v>410.15490233172511</v>
      </c>
      <c r="GS534" s="5">
        <v>339.42744393800166</v>
      </c>
      <c r="GT534" s="5">
        <v>293.4407446948278</v>
      </c>
      <c r="GU534" s="5">
        <v>258.04012322764959</v>
      </c>
      <c r="GV534" s="39" t="s">
        <v>392</v>
      </c>
      <c r="GW534" s="5">
        <v>464.34722222222223</v>
      </c>
      <c r="GX534" s="5">
        <v>348.26041666666669</v>
      </c>
      <c r="GY534" s="5">
        <v>278.60833333333335</v>
      </c>
      <c r="GZ534" s="5">
        <v>245.84245344171217</v>
      </c>
      <c r="HA534" s="5">
        <v>227.72592165501612</v>
      </c>
      <c r="HB534" s="39">
        <v>259.23380599317022</v>
      </c>
      <c r="HC534" s="5">
        <v>287.56655829738071</v>
      </c>
      <c r="HD534" s="5">
        <v>239.99799238008356</v>
      </c>
      <c r="HE534" s="5">
        <v>241.14168635502031</v>
      </c>
      <c r="HF534" s="5">
        <v>221.05790951107167</v>
      </c>
      <c r="HG534" s="5">
        <v>210.75500473779988</v>
      </c>
      <c r="HH534" s="39">
        <v>239.85589764674731</v>
      </c>
      <c r="HI534" s="16"/>
      <c r="HJ534" s="19" t="str">
        <f t="shared" si="1507"/>
        <v>On</v>
      </c>
      <c r="HK534" s="1" t="str">
        <f t="shared" si="1507"/>
        <v>On</v>
      </c>
      <c r="HL534" s="16"/>
      <c r="HM534" s="639">
        <f t="shared" si="1413"/>
        <v>2.4909940070666322E-2</v>
      </c>
      <c r="HN534" s="639">
        <f t="shared" si="1414"/>
        <v>2.2052381276269151E-3</v>
      </c>
      <c r="HO534" s="639">
        <f t="shared" si="1415"/>
        <v>2.079866082302006E-3</v>
      </c>
      <c r="HP534" s="644">
        <f>(FT534*$GD534-HM534)/$JF534*INDEX(Input!$1:$1048576,$JG$93,$C534*2+6)</f>
        <v>114.98223594220843</v>
      </c>
      <c r="HQ534" s="644">
        <f>(FU534*$GD534-HN534)/$JF534*INDEX(Input!$1:$1048576,$JG$93,$C534*2+6)</f>
        <v>9.1149338558332254</v>
      </c>
      <c r="HR534" s="644">
        <f>(FV534*$GD534-HO534)/$JF534*INDEX(Input!$1:$1048576,$JG$93,$C534*2+6)</f>
        <v>-19.965803551134393</v>
      </c>
      <c r="HS534" s="644">
        <f t="shared" si="1416"/>
        <v>-50.083371143712441</v>
      </c>
      <c r="HT534" s="644">
        <f t="shared" si="1417"/>
        <v>56.603545818035592</v>
      </c>
      <c r="HU534" s="644">
        <f t="shared" si="1418"/>
        <v>4.6970994851240029</v>
      </c>
      <c r="HV534" s="648">
        <f t="shared" si="1419"/>
        <v>0</v>
      </c>
      <c r="HW534" s="648">
        <f t="shared" si="1420"/>
        <v>0</v>
      </c>
      <c r="HX534" s="648">
        <f t="shared" si="1421"/>
        <v>0</v>
      </c>
      <c r="HY534" s="644">
        <f>INDEX(Input!$1:$1048576,HY$93,$C534*2+6)*INDEX(Input!$1:$1048576,$JG$93,$C534*2+6)</f>
        <v>333.00000000000006</v>
      </c>
      <c r="HZ534" s="644">
        <f>INDEX(Input!$1:$1048576,HZ$93,$C534*2+6)*INDEX(Input!$1:$1048576,$JG$93,$C534*2+6)</f>
        <v>429</v>
      </c>
      <c r="IA534" s="644">
        <f>INDEX(Input!$1:$1048576,IA$93,$C534*2+6)*INDEX(Input!$1:$1048576,$JG$93,$C534*2+6)</f>
        <v>59</v>
      </c>
      <c r="IB534" s="644">
        <f t="shared" si="1445"/>
        <v>397.89886479849605</v>
      </c>
      <c r="IC534" s="644">
        <f t="shared" si="1446"/>
        <v>494.71847967386879</v>
      </c>
      <c r="ID534" s="644">
        <f>IF(AND(INDEX(Input!$1:$1048576,IA$93,$C534*2+7)="TOS",Y534&lt;=INDEX(Y:Y,MATCH(C534*1000+2,A:A))),0,1)*MAX(IA534+HR534+HU534+HX534,0%)</f>
        <v>43.731295933989614</v>
      </c>
      <c r="IE534" s="128">
        <f t="shared" si="1510"/>
        <v>0.42494734079585655</v>
      </c>
      <c r="IF534" s="128">
        <f t="shared" si="1468"/>
        <v>0.52834858547898567</v>
      </c>
      <c r="IG534" s="128">
        <f t="shared" si="1423"/>
        <v>4.6704073725157766E-2</v>
      </c>
      <c r="IH534" s="21"/>
      <c r="II534" s="19">
        <f t="shared" si="1424"/>
        <v>1240</v>
      </c>
      <c r="IJ534" s="19">
        <f t="shared" si="1425"/>
        <v>1985.7442651839444</v>
      </c>
      <c r="IK534" s="19">
        <f t="shared" si="1426"/>
        <v>-21.44990394013189</v>
      </c>
      <c r="IL534" s="19">
        <f t="shared" si="1448"/>
        <v>1030</v>
      </c>
      <c r="IM534" s="19">
        <f t="shared" si="1427"/>
        <v>1030.0634963914342</v>
      </c>
      <c r="IN534" s="19">
        <f t="shared" si="1428"/>
        <v>15.000000000000227</v>
      </c>
      <c r="IO534" s="39">
        <f t="shared" si="1429"/>
        <v>0</v>
      </c>
      <c r="IP534" s="39">
        <f t="shared" si="1430"/>
        <v>0</v>
      </c>
      <c r="IQ534" s="39">
        <f t="shared" si="1431"/>
        <v>0</v>
      </c>
      <c r="IR534" s="39">
        <v>0</v>
      </c>
      <c r="IS534" s="39">
        <v>0</v>
      </c>
      <c r="IT534" s="39">
        <v>0</v>
      </c>
      <c r="IU534" s="39">
        <v>0</v>
      </c>
      <c r="IV534" s="39">
        <v>0</v>
      </c>
      <c r="IW534" s="39">
        <v>0</v>
      </c>
      <c r="IX534" s="39">
        <f>INDEX(Input!$1:$1048576,IX$93,$C534*2+6)+INDEX(Input!$1:$1048576,IX$94,$C534*2+6)</f>
        <v>1270</v>
      </c>
      <c r="IY534" s="39">
        <f>INDEX(Input!$1:$1048576,IY$93,$C534*2+6)+INDEX(Input!$1:$1048576,IY$94,$C534*2+6)</f>
        <v>2130.0624533823611</v>
      </c>
      <c r="IZ534" s="39">
        <f>INDEX(Input!$1:$1048576,IZ$93,$C534*2+6)+INDEX(Input!$1:$1048576,IZ$94,$C534*2+6)</f>
        <v>3653.7164157747857</v>
      </c>
      <c r="JA534" s="19">
        <f t="shared" si="1449"/>
        <v>2300</v>
      </c>
      <c r="JB534" s="19">
        <f t="shared" si="1450"/>
        <v>3160.1259497737956</v>
      </c>
      <c r="JC534" s="19">
        <f t="shared" si="1451"/>
        <v>3668.7164157747857</v>
      </c>
      <c r="JD534" s="19">
        <f t="shared" si="1452"/>
        <v>2818.3709612879329</v>
      </c>
      <c r="JE534" s="21"/>
      <c r="JF534" s="1">
        <f t="shared" si="1432"/>
        <v>2.9195044280595241E-2</v>
      </c>
      <c r="JG534" s="15">
        <f>INDEX(Input!$1:$1048576,JG$93,$C534*2+6)/(1+VLOOKUP(C534*1000+INDEX(Input!$1:$1048576,JG$93+1,$C534*2+6),$A:$KK,$JK$92,FALSE))</f>
        <v>821</v>
      </c>
      <c r="JH534" s="1">
        <f t="shared" si="1453"/>
        <v>0.12683479445421106</v>
      </c>
      <c r="JI534" s="1">
        <f t="shared" si="1454"/>
        <v>1.3662940510897873E-2</v>
      </c>
      <c r="JJ534" s="1">
        <f t="shared" si="1492"/>
        <v>0</v>
      </c>
      <c r="JK534" s="1">
        <f t="shared" si="1496"/>
        <v>0.14049773496510892</v>
      </c>
      <c r="JL534" s="15">
        <f t="shared" si="1457"/>
        <v>115.34864040635442</v>
      </c>
      <c r="JM534" s="15">
        <f t="shared" si="1483"/>
        <v>936.34864040635443</v>
      </c>
      <c r="JN534" s="21"/>
      <c r="JO534" s="19">
        <f>INDEX(Input!$1:$1048576,JO$93,$C534*2+6)</f>
        <v>5995.5</v>
      </c>
      <c r="JP534" s="19">
        <f>INDEX(Input!$1:$1048576,JP$93,$C534*2+6)</f>
        <v>1890.7138380411029</v>
      </c>
      <c r="JQ534" s="39">
        <f t="shared" si="1469"/>
        <v>3177.1290387120671</v>
      </c>
      <c r="JR534" s="39">
        <f t="shared" si="1486"/>
        <v>927.65712324683</v>
      </c>
      <c r="JS534" s="39">
        <f t="shared" si="1471"/>
        <v>2.6389778177627061</v>
      </c>
      <c r="JT534" s="39">
        <f t="shared" si="1459"/>
        <v>1.0867017567309605</v>
      </c>
      <c r="JU534" s="385">
        <f>(JQ534*JM534-INDEX(Input!$1:$1048576,Input!A$18,$C534*2+6)*JL534*INDEX(Input!$1:$1048576,Input!A$19,$C534*2+6))/1000000</f>
        <v>2.9749004557935916</v>
      </c>
      <c r="JV534" s="39">
        <f t="shared" si="1493"/>
        <v>-0.39512898317466272</v>
      </c>
      <c r="JW534" s="1">
        <f t="shared" si="1484"/>
        <v>-0.11724793220074445</v>
      </c>
      <c r="JX534" s="19">
        <f t="shared" si="1475"/>
        <v>9421.0192066650088</v>
      </c>
      <c r="JZ534" s="341"/>
      <c r="KA534" s="342"/>
      <c r="KB534" s="469">
        <f t="shared" si="1472"/>
        <v>2.5122967434604799</v>
      </c>
      <c r="KI534" s="473">
        <f t="shared" si="1511"/>
        <v>64.898864798495993</v>
      </c>
      <c r="KJ534" s="473">
        <f t="shared" si="1512"/>
        <v>65.718479673868785</v>
      </c>
      <c r="KK534" s="473">
        <f t="shared" si="1461"/>
        <v>-15.268704066010386</v>
      </c>
      <c r="KN534" s="544">
        <f t="shared" si="1476"/>
        <v>5002</v>
      </c>
      <c r="KO534" s="541">
        <f t="shared" si="1436"/>
        <v>0.13587287119056812</v>
      </c>
      <c r="KP534" s="546">
        <f t="shared" si="1437"/>
        <v>953.32869626963281</v>
      </c>
      <c r="KQ534" s="546">
        <f t="shared" si="1438"/>
        <v>899.45219556466645</v>
      </c>
      <c r="KR534" s="548">
        <f t="shared" si="1439"/>
        <v>2.5748625191588226</v>
      </c>
      <c r="KS534" s="548">
        <f t="shared" si="1440"/>
        <v>2.7290948207894412</v>
      </c>
      <c r="KT534" s="473">
        <f t="shared" si="1474"/>
        <v>595.94378802984284</v>
      </c>
      <c r="KU534" s="663">
        <f t="shared" si="1462"/>
        <v>4.0504202693734292</v>
      </c>
      <c r="KV534" s="117"/>
    </row>
    <row r="535" spans="1:308" s="26" customFormat="1" ht="15">
      <c r="A535" s="561">
        <f t="shared" si="1441"/>
        <v>5035</v>
      </c>
      <c r="B535" s="561">
        <f t="shared" si="1463"/>
        <v>35</v>
      </c>
      <c r="C535" s="561">
        <f t="shared" si="1464"/>
        <v>5</v>
      </c>
      <c r="D535" s="561" t="str">
        <f t="shared" si="1509"/>
        <v xml:space="preserve">250 CC, 0/0/0.9/3.9, </v>
      </c>
      <c r="E535" s="475">
        <f>INDEX(Input!$1:$1048576,E$93,$C535*2+MIN($B535,2)+5)
+INDEX(Scenarios!E$121:E$200,MATCH($B535,Scenarios!$B$121:$B$200,0))</f>
        <v>1527.4263093788063</v>
      </c>
      <c r="F535" s="475">
        <f>INDEX(Input!$1:$1048576,F$93,$C535*2+MIN($B535,2)+5)
+INDEX(Scenarios!F$121:F$200,MATCH($B535,Scenarios!$B$121:$B$200,0))</f>
        <v>0</v>
      </c>
      <c r="G535" s="475">
        <f>INDEX(Input!$1:$1048576,G$93,$C535*2+MIN($B535,2)+5)
+INDEX(Scenarios!G$121:G$200,MATCH($B535,Scenarios!$B$121:$B$200,0))</f>
        <v>0</v>
      </c>
      <c r="H535" s="475">
        <f>INDEX(Input!$1:$1048576,H$93,$C535*2+MIN($B535,2)+5)
+INDEX(Scenarios!H$121:H$200,MATCH($B535,Scenarios!$B$121:$B$200,0))</f>
        <v>0</v>
      </c>
      <c r="I535" s="476">
        <f>INDEX(Input!$1:$1048576,I$93,$C535*2+MIN($B535,2)+5)</f>
        <v>0.7</v>
      </c>
      <c r="J535" s="476" t="str">
        <f>INDEX(Input!$1:$1048576,J$93,$C535*2+MIN($B535,2)+5)</f>
        <v>Market</v>
      </c>
      <c r="K535" s="476" t="str">
        <f>INDEX(Input!$1:$1048576,K$93,$C535*2+MIN($B535,2)+5)</f>
        <v>Market</v>
      </c>
      <c r="L535" s="476" t="str">
        <f>INDEX(Input!$1:$1048576,L$93,$C535*2+MIN($B535,2)+5)</f>
        <v>Market</v>
      </c>
      <c r="M535" s="476" t="str">
        <f>INDEX(Input!$1:$1048576,M$93,$C535*2+MIN($B535,2)+5)</f>
        <v>Market</v>
      </c>
      <c r="N535" s="476" t="str">
        <f>INDEX(Input!$1:$1048576,N$93,$C535*2+MIN($B535,2)+5)</f>
        <v>Market</v>
      </c>
      <c r="O535" s="476" t="str">
        <f>INDEX(Input!$1:$1048576,O$93,$C535*2+MIN($B535,2)+5)</f>
        <v>Market</v>
      </c>
      <c r="P535" s="476" t="str">
        <f>INDEX(Input!$1:$1048576,P$93,$C535*2+MIN($B535,2)+5)</f>
        <v>N</v>
      </c>
      <c r="Q535" s="477">
        <f>INDEX(Input!$1:$1048576,Q$93,$C535*2+MIN($B535,2)+5)
+INDEX(Scenarios!Q$121:Q$200,MATCH($B535,Scenarios!$B$121:$B$200,0))</f>
        <v>0</v>
      </c>
      <c r="R535" s="478">
        <f>IFERROR(MAX(0,INDEX(Input!$1:$1048576,R$93,$C535*2+MIN($B535,2)+5)
+INDEX(Scenarios!R$121:R$200,MATCH($B535,Scenarios!$B$121:$B$200,0)),),"Market")</f>
        <v>0</v>
      </c>
      <c r="S535" s="478">
        <f>IFERROR(MAX(0,INDEX(Input!$1:$1048576,S$93,$C535*2+MIN($B535,2)+5)
+INDEX(Scenarios!S$121:S$200,MATCH($B535,Scenarios!$B$121:$B$200,0)),),"Market")</f>
        <v>0</v>
      </c>
      <c r="T535" s="478">
        <f>IFERROR(MAX(0,INDEX(Input!$1:$1048576,T$93,$C535*2+MIN($B535,2)+5)
+INDEX(Scenarios!T$121:T$200,MATCH($B535,Scenarios!$B$121:$B$200,0)),),"Market")</f>
        <v>0</v>
      </c>
      <c r="U535" s="478">
        <f>IFERROR(MAX(0,INDEX(Input!$1:$1048576,U$93,$C535*2+MIN($B535,2)+5)
+INDEX(Scenarios!U$121:U$200,MATCH($B535,Scenarios!$B$121:$B$200,0)),),"Market")</f>
        <v>0</v>
      </c>
      <c r="V535" s="478">
        <f>IFERROR(MAX(0,INDEX(Input!$1:$1048576,V$93,$C535*2+MIN($B535,2)+5)
+INDEX(Scenarios!V$121:V$200,MATCH($B535,Scenarios!$B$121:$B$200,0)),),"Market")</f>
        <v>8.9999999999999993E-3</v>
      </c>
      <c r="W535" s="885">
        <f>IFERROR(MAX(0,INDEX(Input!$1:$1048576,W$93,$C535*2+MIN($B535,2)+5)-0%,),"Market")</f>
        <v>3.9E-2</v>
      </c>
      <c r="X535" s="476" t="str">
        <f>INDEX(Input!$1:$1048576,X$93,$C535*2+MIN($B535,2)+5)</f>
        <v>Y</v>
      </c>
      <c r="Y535" s="475">
        <f>INDEX(Input!$1:$1048576,Y$93,$C535*2+MIN($B535,2)+5)
++INDEX(Scenarios!Y$121:Y$200,MATCH($B535,Scenarios!$B$121:$B$200,0))</f>
        <v>-717.93641739252325</v>
      </c>
      <c r="Z535" s="477">
        <f>INDEX(Input!$1:$1048576,Z$93,$C535*2+MIN($B535,2)+5)
+INDEX(Scenarios!Z$121:Z$200,MATCH($B535,Scenarios!$B$121:$B$200,0))</f>
        <v>0</v>
      </c>
      <c r="AA535" s="475">
        <f>INDEX(Input!$1:$1048576,AA$93,$C535*2+MIN($B535,2)+5)
+INDEX(Scenarios!AA$121:AA$200,MATCH($B535,Scenarios!$B$121:$B$200,0))</f>
        <v>0</v>
      </c>
      <c r="AB535" s="476">
        <f>INDEX(Input!$1:$1048576,AB$93,$C535*2+MIN($B535,2)+5)</f>
        <v>0.27</v>
      </c>
      <c r="AC535" s="475">
        <f>INDEX(Input!$1:$1048576,AC$93,$C535*2+MIN($B535,2)+5)
+INDEX(Scenarios!AC$121:AC$200,MATCH($B535,Scenarios!$B$121:$B$200,0))</f>
        <v>0</v>
      </c>
      <c r="AD535" s="476">
        <f>INDEX(Input!$1:$1048576,AD$93,$C535*2+MIN($B535,2)+5)</f>
        <v>0.27</v>
      </c>
      <c r="AE535" s="475">
        <f>INDEX(Input!$1:$1048576,AE$93,$C535*2+MIN($B535,2)+5)
+INDEX(Scenarios!AE$121:AE$200,MATCH($B535,Scenarios!$B$121:$B$200,0))</f>
        <v>0</v>
      </c>
      <c r="AF535" s="476">
        <f>INDEX(Input!$1:$1048576,AF$93,$C535*2+MIN($B535,2)+5)</f>
        <v>0.2</v>
      </c>
      <c r="AG535" s="475">
        <f>INDEX(Input!$1:$1048576,AG$93,$C535*2+MIN($B535,2)+5)
+INDEX(Scenarios!AG$121:AG$200,MATCH($B535,Scenarios!$B$121:$B$200,0))</f>
        <v>500</v>
      </c>
      <c r="AH535" s="476">
        <f>INDEX(Input!$1:$1048576,AH$93,$C535*2+MIN($B535,2)+5)</f>
        <v>1</v>
      </c>
      <c r="AI535" s="475">
        <f>INDEX(Input!$1:$1048576,AI$93,$C535*2+MIN($B535,2)+5)
+INDEX(Scenarios!AI$121:AI$200,MATCH($B535,Scenarios!$B$121:$B$200,0))</f>
        <v>0</v>
      </c>
      <c r="AJ535" s="476">
        <f>INDEX(Input!$1:$1048576,AJ$93,$C535*2+MIN($B535,2)+5)</f>
        <v>0.27</v>
      </c>
      <c r="AK535" s="150">
        <f>ROUND(INDEX(Input!$1:$1048576,AK$93,$C534*2+MIN($B535,1)+5)+(Y535-VLOOKUP($C535*1000+1,$A:$HH,Y$92,FALSE)),0)</f>
        <v>2587</v>
      </c>
      <c r="AL535" s="150">
        <f>ROUND(INDEX(Input!$1:$1048576,AL$93,$C534*2+MIN($B535,1)+5)-(Y535-VLOOKUP($C535*1000+1,$A:$HH,Y$92,FALSE))/36,0)</f>
        <v>3406</v>
      </c>
      <c r="AM535" s="32" t="str">
        <f t="shared" si="1442"/>
        <v>std/std/std/std</v>
      </c>
      <c r="AN535" s="32" t="str">
        <f t="shared" si="1443"/>
        <v>$0 + 0/0/0/0.9/3.9</v>
      </c>
      <c r="AO535" s="32" t="str">
        <f t="shared" si="1444"/>
        <v>0/0/0/0.9/3.9</v>
      </c>
      <c r="AP535" s="32" t="str">
        <f t="shared" si="1396"/>
        <v>0/0/0.9/3.9</v>
      </c>
      <c r="AQ535" s="536">
        <f t="shared" si="1394"/>
        <v>0.40325683000491358</v>
      </c>
      <c r="AR535" s="32"/>
      <c r="AS535" s="302"/>
      <c r="AT535" s="3">
        <f t="shared" si="1465"/>
        <v>35</v>
      </c>
      <c r="AU535" s="41" t="s">
        <v>121</v>
      </c>
      <c r="AV535" s="41" t="s">
        <v>116</v>
      </c>
      <c r="AW535" s="41" t="str">
        <f>INDEX(Input!$1:$1048576,AW$93,$C535*2+6)</f>
        <v>Kia</v>
      </c>
      <c r="AX535" s="41" t="str">
        <f>INDEX(Input!$1:$1048576,AX$93,$C535*2+6)</f>
        <v>Kia-LR - R2</v>
      </c>
      <c r="AY535" s="41" t="str">
        <f>IF(LEN(D535)=0,"",INDEX(Input!$1:$1048576,AY$93,$C535*2+6))</f>
        <v>Compact SUV (52)</v>
      </c>
      <c r="AZ535" s="41" t="str">
        <f>INDEX(Input!$1:$1048576,AZ$93,$C535*2+6)</f>
        <v>Kia Soul</v>
      </c>
      <c r="BA535" s="3">
        <f>INDEX(Input!$1:$1048576,BA$93,$C535*2+6)</f>
        <v>2020</v>
      </c>
      <c r="BB535" s="128">
        <f>INDEX(Input!$1:$1048576,BB$93,$C535*2+6)</f>
        <v>1</v>
      </c>
      <c r="BC535" s="128">
        <f>INDEX(Input!$1:$1048576,BC$93,$C535*2+6)</f>
        <v>0.7</v>
      </c>
      <c r="BD535" s="1">
        <f>INDEX(Input!$1:$1048576,BD$93,$C535*2+6)</f>
        <v>4.4999999999999998E-2</v>
      </c>
      <c r="BE535" s="1">
        <f>INDEX(Input!$1:$1048576,BE$93,$C535*2+6)</f>
        <v>4.4999999999999998E-2</v>
      </c>
      <c r="BF535" s="1">
        <f>INDEX(Input!$1:$1048576,BF$93,$C535*2+6)</f>
        <v>0.05</v>
      </c>
      <c r="BG535" s="1">
        <f>INDEX(Input!$1:$1048576,BG$93,$C535*2+6)</f>
        <v>5.45E-2</v>
      </c>
      <c r="BH535" s="1">
        <f>INDEX(Input!$1:$1048576,BH$93,$C535*2+6)</f>
        <v>5.45E-2</v>
      </c>
      <c r="BI535" s="1">
        <f>INDEX(Input!$1:$1048576,BI$93,$C535*2+6)</f>
        <v>0.05</v>
      </c>
      <c r="BJ535" s="1">
        <f>INDEX(Input!$1:$1048576,BJ$93,$C535*2+6)</f>
        <v>0.05</v>
      </c>
      <c r="BK535" s="1">
        <f>INDEX(Input!$1:$1048576,BK$93,$C535*2+6)</f>
        <v>0.05</v>
      </c>
      <c r="BL535" s="1">
        <f>INDEX(Input!$1:$1048576,BL$93,$C535*2+6)</f>
        <v>5.5E-2</v>
      </c>
      <c r="BM535" s="1">
        <f>INDEX(Input!$1:$1048576,BM$93,$C535*2+6)</f>
        <v>0.06</v>
      </c>
      <c r="BN535" s="1">
        <f>INDEX(Input!$1:$1048576,BN$93,$C535*2+6)</f>
        <v>4.4999999999999998E-2</v>
      </c>
      <c r="BO535" s="1">
        <f>INDEX(Input!$1:$1048576,BO$93,$C535*2+6)</f>
        <v>4.4999999999999998E-2</v>
      </c>
      <c r="BP535" s="1">
        <f>INDEX(Input!$1:$1048576,BP$93,$C535*2+6)</f>
        <v>0.05</v>
      </c>
      <c r="BQ535" s="1">
        <f>INDEX(Input!$1:$1048576,BQ$93,$C535*2+6)</f>
        <v>5.45E-2</v>
      </c>
      <c r="BR535" s="1">
        <f>INDEX(Input!$1:$1048576,BR$93,$C535*2+6)</f>
        <v>5.45E-2</v>
      </c>
      <c r="BS535" s="1">
        <f>INDEX(Input!$1:$1048576,BS$93,$C535*2+6)</f>
        <v>0.05</v>
      </c>
      <c r="BT535" s="1">
        <f>INDEX(Input!$1:$1048576,BT$93,$C535*2+6)</f>
        <v>0.05</v>
      </c>
      <c r="BU535" s="1">
        <f>INDEX(Input!$1:$1048576,BU$93,$C535*2+6)</f>
        <v>0.05</v>
      </c>
      <c r="BV535" s="1">
        <f>INDEX(Input!$1:$1048576,BV$93,$C535*2+6)</f>
        <v>5.5E-2</v>
      </c>
      <c r="BW535" s="1">
        <f>INDEX(Input!$1:$1048576,BW$93,$C535*2+6)</f>
        <v>0.06</v>
      </c>
      <c r="BX535" s="127">
        <f>INDEX(Input!$1:$1048576,BX$93,$C535*2+6)</f>
        <v>19985</v>
      </c>
      <c r="BY535" s="20">
        <f>INDEX(Input!$1:$1048576,BY$93,$C535*2+6)</f>
        <v>0.1</v>
      </c>
      <c r="BZ535" s="20">
        <f>INDEX(Input!$1:$1048576,BZ$93,$C535*2+6)</f>
        <v>0.1</v>
      </c>
      <c r="CA535" s="20">
        <f>INDEX(Input!$1:$1048576,CA$93,$C535*2+6)</f>
        <v>0.1</v>
      </c>
      <c r="CB535" s="20">
        <f>INDEX(Input!$1:$1048576,CB$93,$C535*2+6)</f>
        <v>0.1</v>
      </c>
      <c r="CC535" s="20">
        <f>INDEX(Input!$1:$1048576,CC$93,$C535*2+6)</f>
        <v>0.1</v>
      </c>
      <c r="CD535" s="384">
        <f>INDEX(Input!$1:$1048576,CD$93,$C535*2+6)</f>
        <v>0.1</v>
      </c>
      <c r="CE535" s="384">
        <f>INDEX(Input!$1:$1048576,CE$93,$C535*2+6)</f>
        <v>0.1</v>
      </c>
      <c r="CF535" s="384">
        <f>INDEX(Input!$1:$1048576,CF$93,$C535*2+6)</f>
        <v>0.1</v>
      </c>
      <c r="CG535" s="384">
        <f>INDEX(Input!$1:$1048576,CG$93,$C535*2+6)</f>
        <v>0.1</v>
      </c>
      <c r="CH535" s="384">
        <f>INDEX(Input!$1:$1048576,CH$93,$C535*2+6)</f>
        <v>0.1</v>
      </c>
      <c r="CI535" s="304">
        <f t="shared" si="1397"/>
        <v>1527.4263093788063</v>
      </c>
      <c r="CJ535" s="16" t="str">
        <f>INDEX(Input!$1:$1048576,CJ$93,$C535*2+6)</f>
        <v>N</v>
      </c>
      <c r="CK535" s="1" t="str">
        <f t="shared" si="1398"/>
        <v>Market</v>
      </c>
      <c r="CL535" s="1" t="str">
        <f t="shared" si="1399"/>
        <v>Market</v>
      </c>
      <c r="CM535" s="1" t="str">
        <f t="shared" si="1400"/>
        <v>Market</v>
      </c>
      <c r="CN535" s="1" t="str">
        <f t="shared" si="1401"/>
        <v>Market</v>
      </c>
      <c r="CO535" s="1" t="str">
        <f t="shared" si="1402"/>
        <v>Market</v>
      </c>
      <c r="CP535" s="304">
        <f t="shared" si="1403"/>
        <v>500</v>
      </c>
      <c r="CQ535" s="1">
        <f t="shared" si="1404"/>
        <v>0</v>
      </c>
      <c r="CR535" s="1">
        <f t="shared" si="1405"/>
        <v>0</v>
      </c>
      <c r="CS535" s="1">
        <f t="shared" si="1406"/>
        <v>0</v>
      </c>
      <c r="CT535" s="1">
        <f t="shared" si="1407"/>
        <v>8.9999999999999993E-3</v>
      </c>
      <c r="CU535" s="1">
        <f t="shared" si="1408"/>
        <v>3.9E-2</v>
      </c>
      <c r="CV535" s="304">
        <f t="shared" si="1409"/>
        <v>-717.93641739252325</v>
      </c>
      <c r="CW535" s="20" t="s">
        <v>122</v>
      </c>
      <c r="CX535" s="20" t="s">
        <v>122</v>
      </c>
      <c r="CY535" s="20" t="s">
        <v>122</v>
      </c>
      <c r="CZ535" s="20" t="s">
        <v>122</v>
      </c>
      <c r="DA535" s="20" t="s">
        <v>122</v>
      </c>
      <c r="DB535" s="503">
        <f t="shared" si="1410"/>
        <v>0</v>
      </c>
      <c r="DC535" s="127">
        <v>0</v>
      </c>
      <c r="DD535" s="127">
        <v>0</v>
      </c>
      <c r="DE535" s="127">
        <v>0</v>
      </c>
      <c r="DF535" s="127">
        <v>0</v>
      </c>
      <c r="DG535" s="127">
        <v>0</v>
      </c>
      <c r="DH535" s="127">
        <v>0</v>
      </c>
      <c r="DI535" s="127">
        <v>0</v>
      </c>
      <c r="DJ535" s="127">
        <v>0</v>
      </c>
      <c r="DK535" s="127">
        <v>0</v>
      </c>
      <c r="DL535" s="127">
        <v>0</v>
      </c>
      <c r="DM535" s="304">
        <f>INDEX(Input!$1:$1048576,DM$93,$C535*2+6)</f>
        <v>21036.84210526316</v>
      </c>
      <c r="DN535" s="20">
        <v>0</v>
      </c>
      <c r="DO535" s="20">
        <v>0</v>
      </c>
      <c r="DP535" s="20">
        <v>0</v>
      </c>
      <c r="DQ535" s="20">
        <v>0</v>
      </c>
      <c r="DR535" s="20">
        <v>0</v>
      </c>
      <c r="DS535" s="20">
        <f>INDEX(Input!$1:$1048576,DS$93,$C535*2+6)</f>
        <v>0.6</v>
      </c>
      <c r="DT535" s="20">
        <f>INDEX(Input!$1:$1048576,DT$93,$C535*2+6)</f>
        <v>0.55000000000000004</v>
      </c>
      <c r="DU535" s="20">
        <f>INDEX(Input!$1:$1048576,DU$93,$C535*2+6)</f>
        <v>0.52</v>
      </c>
      <c r="DV535" s="20">
        <f>INDEX(Input!$1:$1048576,DV$93,$C535*2+6)</f>
        <v>0.5</v>
      </c>
      <c r="DW535" s="20">
        <f>INDEX(Input!$1:$1048576,DW$93,$C535*2+6)</f>
        <v>0.45</v>
      </c>
      <c r="DX535" s="20"/>
      <c r="DY535" s="7">
        <v>0.12199356339919604</v>
      </c>
      <c r="DZ535" s="7">
        <v>0</v>
      </c>
      <c r="EA535" s="7">
        <v>0.73300529167398898</v>
      </c>
      <c r="EB535" s="7">
        <v>0</v>
      </c>
      <c r="EC535" s="7">
        <v>0</v>
      </c>
      <c r="ED535" s="7">
        <v>0</v>
      </c>
      <c r="EE535" s="7">
        <v>0</v>
      </c>
      <c r="EF535" s="7">
        <v>0</v>
      </c>
      <c r="EG535" s="7">
        <v>0</v>
      </c>
      <c r="EH535" s="7">
        <v>9.4871490534627137E-3</v>
      </c>
      <c r="EI535" s="7">
        <v>2.6373315761526083E-2</v>
      </c>
      <c r="EJ535" s="7">
        <v>0.22904641634522319</v>
      </c>
      <c r="EK535" s="7">
        <v>0.63696020371759865</v>
      </c>
      <c r="EL535" s="7">
        <v>9.8132915122189524E-2</v>
      </c>
      <c r="EM535" s="7">
        <v>8.361476946153143E-2</v>
      </c>
      <c r="EN535" s="7">
        <v>5.8475901943629637E-2</v>
      </c>
      <c r="EO535" s="7">
        <v>0.71701697497069261</v>
      </c>
      <c r="EP535" s="7">
        <v>8.9816027332571713E-2</v>
      </c>
      <c r="EQ535" s="7">
        <v>8.842738127102695E-2</v>
      </c>
      <c r="ER535" s="7">
        <v>4.6263714482078999E-2</v>
      </c>
      <c r="ES535" s="7">
        <v>6.1386375465283582E-2</v>
      </c>
      <c r="ET535" s="7">
        <v>0.14500114492681498</v>
      </c>
      <c r="EU535" s="6">
        <v>1520</v>
      </c>
      <c r="EV535" s="6">
        <v>0</v>
      </c>
      <c r="EW535" s="6">
        <v>1520</v>
      </c>
      <c r="EX535" s="6">
        <v>0</v>
      </c>
      <c r="EY535" s="6">
        <v>2326.386261117394</v>
      </c>
      <c r="EZ535" s="6">
        <v>-6.4499039401316622</v>
      </c>
      <c r="FA535" s="6">
        <v>0</v>
      </c>
      <c r="FB535" s="6">
        <v>0</v>
      </c>
      <c r="FC535" s="6">
        <v>0</v>
      </c>
      <c r="FD535" s="6">
        <v>0</v>
      </c>
      <c r="FE535" s="6">
        <v>0</v>
      </c>
      <c r="FF535" s="6">
        <v>0</v>
      </c>
      <c r="FG535" s="6">
        <v>0</v>
      </c>
      <c r="FH535" s="6">
        <v>1172.1355020601366</v>
      </c>
      <c r="FI535" s="6">
        <v>1553.9796069512406</v>
      </c>
      <c r="FJ535" s="6">
        <v>2101.2110117447414</v>
      </c>
      <c r="FK535" s="6">
        <v>2251.3078348034687</v>
      </c>
      <c r="FL535" s="6">
        <v>907.07682140966335</v>
      </c>
      <c r="FM535" s="6">
        <v>2056.386261117394</v>
      </c>
      <c r="FN535" s="6">
        <v>0</v>
      </c>
      <c r="FO535" s="6">
        <v>0</v>
      </c>
      <c r="FP535" s="6">
        <v>0</v>
      </c>
      <c r="FQ535" s="6">
        <v>0</v>
      </c>
      <c r="FR535" s="6">
        <v>0</v>
      </c>
      <c r="FS535" s="6">
        <v>0</v>
      </c>
      <c r="FT535" s="7">
        <v>0.85499885507318507</v>
      </c>
      <c r="FU535" s="7">
        <v>8.361476946153143E-2</v>
      </c>
      <c r="FV535" s="7">
        <v>6.1386375465283582E-2</v>
      </c>
      <c r="FW535" s="6">
        <v>1520</v>
      </c>
      <c r="FX535" s="6">
        <v>2326.386261117394</v>
      </c>
      <c r="FY535" s="6">
        <v>-6.4499039401316622</v>
      </c>
      <c r="FZ535" s="6">
        <v>1758.1538569113241</v>
      </c>
      <c r="GA535" s="6">
        <v>1493.7225743880624</v>
      </c>
      <c r="GB535" s="6">
        <v>18491.277425611937</v>
      </c>
      <c r="GC535" s="7">
        <v>3.064145122680037E-2</v>
      </c>
      <c r="GD535" s="7">
        <v>3.0215240942145456E-2</v>
      </c>
      <c r="GE535" s="7"/>
      <c r="GF535" s="7"/>
      <c r="GG535" s="7">
        <v>-1.3909598520651385E-2</v>
      </c>
      <c r="GH535" s="42">
        <v>1.0512497756794874</v>
      </c>
      <c r="GI535" s="6">
        <v>20504.42817675785</v>
      </c>
      <c r="GJ535" s="14">
        <v>0.50394797582841733</v>
      </c>
      <c r="GK535" s="14">
        <v>0.50887573065309766</v>
      </c>
      <c r="GL535" s="14">
        <v>0.49605202417158289</v>
      </c>
      <c r="GM535" s="14">
        <v>0.49112426934690234</v>
      </c>
      <c r="GO535" s="5">
        <v>343.14810671672558</v>
      </c>
      <c r="GP535" s="5">
        <v>314.14940645767444</v>
      </c>
      <c r="GQ535" s="5">
        <v>535.04305713031317</v>
      </c>
      <c r="GR535" s="5">
        <v>410.15490233172511</v>
      </c>
      <c r="GS535" s="5">
        <v>339.42744393800166</v>
      </c>
      <c r="GT535" s="5">
        <v>293.4407446948278</v>
      </c>
      <c r="GU535" s="5">
        <v>258.04012322764959</v>
      </c>
      <c r="GV535" s="39" t="s">
        <v>392</v>
      </c>
      <c r="GW535" s="5">
        <v>492.125</v>
      </c>
      <c r="GX535" s="5">
        <v>369.09375</v>
      </c>
      <c r="GY535" s="5">
        <v>295.27499999999998</v>
      </c>
      <c r="GZ535" s="5">
        <v>252.85821728143046</v>
      </c>
      <c r="HA535" s="5">
        <v>241.34874471337258</v>
      </c>
      <c r="HB535" s="39">
        <v>266.77964729968005</v>
      </c>
      <c r="HC535" s="5">
        <v>287.56655829738071</v>
      </c>
      <c r="HD535" s="5">
        <v>239.99799238008356</v>
      </c>
      <c r="HE535" s="5">
        <v>241.14168635502031</v>
      </c>
      <c r="HF535" s="5">
        <v>221.05790951107167</v>
      </c>
      <c r="HG535" s="5">
        <v>210.75500473779988</v>
      </c>
      <c r="HH535" s="39">
        <v>239.85461806552698</v>
      </c>
      <c r="HI535" s="16"/>
      <c r="HJ535" s="19" t="str">
        <f t="shared" ref="HJ535:HK550" si="1513">HJ534</f>
        <v>On</v>
      </c>
      <c r="HK535" s="1" t="str">
        <f t="shared" si="1513"/>
        <v>On</v>
      </c>
      <c r="HL535" s="16"/>
      <c r="HM535" s="639">
        <f t="shared" si="1413"/>
        <v>2.4909940070666322E-2</v>
      </c>
      <c r="HN535" s="639">
        <f t="shared" si="1414"/>
        <v>2.2052381276269151E-3</v>
      </c>
      <c r="HO535" s="639">
        <f t="shared" si="1415"/>
        <v>2.079866082302006E-3</v>
      </c>
      <c r="HP535" s="644">
        <f>(FT535*$GD535-HM535)/$JF535*INDEX(Input!$1:$1048576,$JG$93,$C535*2+6)</f>
        <v>25.985583319022993</v>
      </c>
      <c r="HQ535" s="644">
        <f>(FU535*$GD535-HN535)/$JF535*INDEX(Input!$1:$1048576,$JG$93,$C535*2+6)</f>
        <v>9.0325970285620301</v>
      </c>
      <c r="HR535" s="644">
        <f>(FV535*$GD535-HO535)/$JF535*INDEX(Input!$1:$1048576,$JG$93,$C535*2+6)</f>
        <v>-6.329014779528884</v>
      </c>
      <c r="HS535" s="644">
        <f t="shared" si="1416"/>
        <v>-13.638340346404634</v>
      </c>
      <c r="HT535" s="644">
        <f t="shared" si="1417"/>
        <v>18.965438620230707</v>
      </c>
      <c r="HU535" s="644">
        <f t="shared" si="1418"/>
        <v>1.379009037712623</v>
      </c>
      <c r="HV535" s="648">
        <f t="shared" si="1419"/>
        <v>0</v>
      </c>
      <c r="HW535" s="648">
        <f t="shared" si="1420"/>
        <v>0</v>
      </c>
      <c r="HX535" s="648">
        <f t="shared" si="1421"/>
        <v>0</v>
      </c>
      <c r="HY535" s="644">
        <f>INDEX(Input!$1:$1048576,HY$93,$C535*2+6)*INDEX(Input!$1:$1048576,$JG$93,$C535*2+6)</f>
        <v>333.00000000000006</v>
      </c>
      <c r="HZ535" s="644">
        <f>INDEX(Input!$1:$1048576,HZ$93,$C535*2+6)*INDEX(Input!$1:$1048576,$JG$93,$C535*2+6)</f>
        <v>429</v>
      </c>
      <c r="IA535" s="644">
        <f>INDEX(Input!$1:$1048576,IA$93,$C535*2+6)*INDEX(Input!$1:$1048576,$JG$93,$C535*2+6)</f>
        <v>59</v>
      </c>
      <c r="IB535" s="644">
        <f t="shared" si="1445"/>
        <v>345.34724297261835</v>
      </c>
      <c r="IC535" s="644">
        <f t="shared" si="1446"/>
        <v>456.99803564879272</v>
      </c>
      <c r="ID535" s="644">
        <f>IF(AND(INDEX(Input!$1:$1048576,IA$93,$C535*2+7)="TOS",Y535&lt;=INDEX(Y:Y,MATCH(C535*1000+2,A:A))),0,1)*MAX(IA535+HR535+HU535+HX535,0%)</f>
        <v>54.049994258183737</v>
      </c>
      <c r="IE535" s="128">
        <f t="shared" si="1510"/>
        <v>0.40325683000491358</v>
      </c>
      <c r="IF535" s="128">
        <f t="shared" si="1468"/>
        <v>0.53362979703537494</v>
      </c>
      <c r="IG535" s="128">
        <f t="shared" si="1423"/>
        <v>6.3113372959711464E-2</v>
      </c>
      <c r="IH535" s="21"/>
      <c r="II535" s="19">
        <f t="shared" si="1424"/>
        <v>1240</v>
      </c>
      <c r="IJ535" s="19">
        <f t="shared" si="1425"/>
        <v>1985.7442651839444</v>
      </c>
      <c r="IK535" s="19">
        <f t="shared" si="1426"/>
        <v>-21.44990394013189</v>
      </c>
      <c r="IL535" s="19">
        <f t="shared" si="1448"/>
        <v>280</v>
      </c>
      <c r="IM535" s="19">
        <f t="shared" si="1427"/>
        <v>340.64199593344961</v>
      </c>
      <c r="IN535" s="19">
        <f t="shared" si="1428"/>
        <v>15.000000000000227</v>
      </c>
      <c r="IO535" s="39">
        <f t="shared" si="1429"/>
        <v>0</v>
      </c>
      <c r="IP535" s="39">
        <f t="shared" si="1430"/>
        <v>0</v>
      </c>
      <c r="IQ535" s="39">
        <f t="shared" si="1431"/>
        <v>0</v>
      </c>
      <c r="IR535" s="39">
        <v>0</v>
      </c>
      <c r="IS535" s="39">
        <v>0</v>
      </c>
      <c r="IT535" s="39">
        <v>0</v>
      </c>
      <c r="IU535" s="39">
        <v>0</v>
      </c>
      <c r="IV535" s="39">
        <v>0</v>
      </c>
      <c r="IW535" s="39">
        <v>0</v>
      </c>
      <c r="IX535" s="39">
        <f>INDEX(Input!$1:$1048576,IX$93,$C535*2+6)+INDEX(Input!$1:$1048576,IX$94,$C535*2+6)</f>
        <v>1270</v>
      </c>
      <c r="IY535" s="39">
        <f>INDEX(Input!$1:$1048576,IY$93,$C535*2+6)+INDEX(Input!$1:$1048576,IY$94,$C535*2+6)</f>
        <v>2130.0624533823611</v>
      </c>
      <c r="IZ535" s="39">
        <f>INDEX(Input!$1:$1048576,IZ$93,$C535*2+6)+INDEX(Input!$1:$1048576,IZ$94,$C535*2+6)</f>
        <v>3653.7164157747857</v>
      </c>
      <c r="JA535" s="19">
        <f t="shared" si="1449"/>
        <v>1550</v>
      </c>
      <c r="JB535" s="19">
        <f t="shared" si="1450"/>
        <v>2470.704449315811</v>
      </c>
      <c r="JC535" s="19">
        <f t="shared" si="1451"/>
        <v>3668.7164157747857</v>
      </c>
      <c r="JD535" s="19">
        <f t="shared" si="1452"/>
        <v>2175.0346677626198</v>
      </c>
      <c r="JE535" s="21"/>
      <c r="JF535" s="1">
        <f t="shared" si="1432"/>
        <v>2.9195044280595241E-2</v>
      </c>
      <c r="JG535" s="15">
        <f>INDEX(Input!$1:$1048576,JG$93,$C535*2+6)/(1+VLOOKUP(C535*1000+INDEX(Input!$1:$1048576,JG$93+1,$C535*2+6),$A:$KK,$JK$92,FALSE))</f>
        <v>821</v>
      </c>
      <c r="JH535" s="1">
        <f t="shared" si="1453"/>
        <v>3.4944172433685916E-2</v>
      </c>
      <c r="JI535" s="1">
        <f t="shared" si="1454"/>
        <v>8.1682184062590694E-3</v>
      </c>
      <c r="JJ535" s="1">
        <f t="shared" si="1492"/>
        <v>0</v>
      </c>
      <c r="JK535" s="1">
        <f t="shared" si="1496"/>
        <v>4.3112390839944989E-2</v>
      </c>
      <c r="JL535" s="15">
        <f t="shared" si="1457"/>
        <v>35.395272879594835</v>
      </c>
      <c r="JM535" s="15">
        <f t="shared" si="1483"/>
        <v>856.39527287959481</v>
      </c>
      <c r="JN535" s="21"/>
      <c r="JO535" s="19">
        <f>INDEX(Input!$1:$1048576,JO$93,$C535*2+6)</f>
        <v>5995.5</v>
      </c>
      <c r="JP535" s="19">
        <f>INDEX(Input!$1:$1048576,JP$93,$C535*2+6)</f>
        <v>1890.7138380411029</v>
      </c>
      <c r="JQ535" s="39">
        <f t="shared" si="1469"/>
        <v>3820.4653322373802</v>
      </c>
      <c r="JR535" s="39">
        <f t="shared" si="1486"/>
        <v>284.32082972151693</v>
      </c>
      <c r="JS535" s="39">
        <f t="shared" si="1471"/>
        <v>1.8626894078211478</v>
      </c>
      <c r="JT535" s="39">
        <f t="shared" si="1459"/>
        <v>0.31041334678940219</v>
      </c>
      <c r="JU535" s="385">
        <f>(JQ535*JM535-INDEX(Input!$1:$1048576,Input!A$18,$C535*2+6)*JL535*INDEX(Input!$1:$1048576,Input!A$19,$C535*2+6))/1000000</f>
        <v>3.2718284507284632</v>
      </c>
      <c r="JV535" s="39">
        <f t="shared" si="1493"/>
        <v>-9.8200988239791176E-2</v>
      </c>
      <c r="JW535" s="1">
        <f t="shared" si="1484"/>
        <v>-2.9139504570576017E-2</v>
      </c>
      <c r="JX535" s="19">
        <f t="shared" si="1475"/>
        <v>8769.9096951546217</v>
      </c>
      <c r="JZ535" s="341"/>
      <c r="KA535" s="342"/>
      <c r="KB535" s="469">
        <f t="shared" si="1472"/>
        <v>2.5122967434604799</v>
      </c>
      <c r="KI535" s="473">
        <f t="shared" si="1511"/>
        <v>12.34724297261829</v>
      </c>
      <c r="KJ535" s="473">
        <f t="shared" si="1512"/>
        <v>27.998035648792722</v>
      </c>
      <c r="KK535" s="473">
        <f t="shared" si="1461"/>
        <v>-4.9500057418162626</v>
      </c>
      <c r="KN535" s="544">
        <f t="shared" si="1476"/>
        <v>5002</v>
      </c>
      <c r="KO535" s="541">
        <f t="shared" si="1436"/>
        <v>3.888243705637362E-2</v>
      </c>
      <c r="KP535" s="546">
        <f t="shared" si="1437"/>
        <v>266.58124672906411</v>
      </c>
      <c r="KQ535" s="546">
        <f t="shared" si="1438"/>
        <v>256.11590203935339</v>
      </c>
      <c r="KR535" s="548">
        <f t="shared" si="1439"/>
        <v>2.6350438189713539</v>
      </c>
      <c r="KS535" s="548">
        <f t="shared" si="1440"/>
        <v>2.7427163282472113</v>
      </c>
      <c r="KT535" s="473">
        <f t="shared" si="1474"/>
        <v>595.94378802984284</v>
      </c>
      <c r="KU535" s="663">
        <f t="shared" si="1462"/>
        <v>4.0157188094594076</v>
      </c>
      <c r="KV535" s="117"/>
    </row>
    <row r="536" spans="1:308" s="26" customFormat="1" ht="15">
      <c r="A536" s="561">
        <f t="shared" si="1441"/>
        <v>5036</v>
      </c>
      <c r="B536" s="561">
        <f t="shared" si="1463"/>
        <v>36</v>
      </c>
      <c r="C536" s="561">
        <f t="shared" si="1464"/>
        <v>5</v>
      </c>
      <c r="D536" s="561" t="str">
        <f t="shared" si="1509"/>
        <v xml:space="preserve">500 CC, 0/0/0.9/3.9, </v>
      </c>
      <c r="E536" s="475">
        <f>INDEX(Input!$1:$1048576,E$93,$C536*2+MIN($B536,2)+5)
+INDEX(Scenarios!E$121:E$200,MATCH($B536,Scenarios!$B$121:$B$200,0))</f>
        <v>1777.4263093788063</v>
      </c>
      <c r="F536" s="475">
        <f>INDEX(Input!$1:$1048576,F$93,$C536*2+MIN($B536,2)+5)
+INDEX(Scenarios!F$121:F$200,MATCH($B536,Scenarios!$B$121:$B$200,0))</f>
        <v>0</v>
      </c>
      <c r="G536" s="475">
        <f>INDEX(Input!$1:$1048576,G$93,$C536*2+MIN($B536,2)+5)
+INDEX(Scenarios!G$121:G$200,MATCH($B536,Scenarios!$B$121:$B$200,0))</f>
        <v>0</v>
      </c>
      <c r="H536" s="475">
        <f>INDEX(Input!$1:$1048576,H$93,$C536*2+MIN($B536,2)+5)
+INDEX(Scenarios!H$121:H$200,MATCH($B536,Scenarios!$B$121:$B$200,0))</f>
        <v>0</v>
      </c>
      <c r="I536" s="476">
        <f>INDEX(Input!$1:$1048576,I$93,$C536*2+MIN($B536,2)+5)</f>
        <v>0.7</v>
      </c>
      <c r="J536" s="476" t="str">
        <f>INDEX(Input!$1:$1048576,J$93,$C536*2+MIN($B536,2)+5)</f>
        <v>Market</v>
      </c>
      <c r="K536" s="476" t="str">
        <f>INDEX(Input!$1:$1048576,K$93,$C536*2+MIN($B536,2)+5)</f>
        <v>Market</v>
      </c>
      <c r="L536" s="476" t="str">
        <f>INDEX(Input!$1:$1048576,L$93,$C536*2+MIN($B536,2)+5)</f>
        <v>Market</v>
      </c>
      <c r="M536" s="476" t="str">
        <f>INDEX(Input!$1:$1048576,M$93,$C536*2+MIN($B536,2)+5)</f>
        <v>Market</v>
      </c>
      <c r="N536" s="476" t="str">
        <f>INDEX(Input!$1:$1048576,N$93,$C536*2+MIN($B536,2)+5)</f>
        <v>Market</v>
      </c>
      <c r="O536" s="476" t="str">
        <f>INDEX(Input!$1:$1048576,O$93,$C536*2+MIN($B536,2)+5)</f>
        <v>Market</v>
      </c>
      <c r="P536" s="476" t="str">
        <f>INDEX(Input!$1:$1048576,P$93,$C536*2+MIN($B536,2)+5)</f>
        <v>N</v>
      </c>
      <c r="Q536" s="477">
        <f>INDEX(Input!$1:$1048576,Q$93,$C536*2+MIN($B536,2)+5)
+INDEX(Scenarios!Q$121:Q$200,MATCH($B536,Scenarios!$B$121:$B$200,0))</f>
        <v>0</v>
      </c>
      <c r="R536" s="478">
        <f>IFERROR(MAX(0,INDEX(Input!$1:$1048576,R$93,$C536*2+MIN($B536,2)+5)
+INDEX(Scenarios!R$121:R$200,MATCH($B536,Scenarios!$B$121:$B$200,0)),),"Market")</f>
        <v>0</v>
      </c>
      <c r="S536" s="478">
        <f>IFERROR(MAX(0,INDEX(Input!$1:$1048576,S$93,$C536*2+MIN($B536,2)+5)
+INDEX(Scenarios!S$121:S$200,MATCH($B536,Scenarios!$B$121:$B$200,0)),),"Market")</f>
        <v>0</v>
      </c>
      <c r="T536" s="478">
        <f>IFERROR(MAX(0,INDEX(Input!$1:$1048576,T$93,$C536*2+MIN($B536,2)+5)
+INDEX(Scenarios!T$121:T$200,MATCH($B536,Scenarios!$B$121:$B$200,0)),),"Market")</f>
        <v>0</v>
      </c>
      <c r="U536" s="478">
        <f>IFERROR(MAX(0,INDEX(Input!$1:$1048576,U$93,$C536*2+MIN($B536,2)+5)
+INDEX(Scenarios!U$121:U$200,MATCH($B536,Scenarios!$B$121:$B$200,0)),),"Market")</f>
        <v>0</v>
      </c>
      <c r="V536" s="478">
        <f>IFERROR(MAX(0,INDEX(Input!$1:$1048576,V$93,$C536*2+MIN($B536,2)+5)
+INDEX(Scenarios!V$121:V$200,MATCH($B536,Scenarios!$B$121:$B$200,0)),),"Market")</f>
        <v>8.9999999999999993E-3</v>
      </c>
      <c r="W536" s="885">
        <f>IFERROR(MAX(0,INDEX(Input!$1:$1048576,W$93,$C536*2+MIN($B536,2)+5)-0%,),"Market")</f>
        <v>3.9E-2</v>
      </c>
      <c r="X536" s="476" t="str">
        <f>INDEX(Input!$1:$1048576,X$93,$C536*2+MIN($B536,2)+5)</f>
        <v>Y</v>
      </c>
      <c r="Y536" s="475">
        <f>INDEX(Input!$1:$1048576,Y$93,$C536*2+MIN($B536,2)+5)
++INDEX(Scenarios!Y$121:Y$200,MATCH($B536,Scenarios!$B$121:$B$200,0))</f>
        <v>-717.93641739252325</v>
      </c>
      <c r="Z536" s="477">
        <f>INDEX(Input!$1:$1048576,Z$93,$C536*2+MIN($B536,2)+5)
+INDEX(Scenarios!Z$121:Z$200,MATCH($B536,Scenarios!$B$121:$B$200,0))</f>
        <v>0</v>
      </c>
      <c r="AA536" s="475">
        <f>INDEX(Input!$1:$1048576,AA$93,$C536*2+MIN($B536,2)+5)
+INDEX(Scenarios!AA$121:AA$200,MATCH($B536,Scenarios!$B$121:$B$200,0))</f>
        <v>0</v>
      </c>
      <c r="AB536" s="476">
        <f>INDEX(Input!$1:$1048576,AB$93,$C536*2+MIN($B536,2)+5)</f>
        <v>0.27</v>
      </c>
      <c r="AC536" s="475">
        <f>INDEX(Input!$1:$1048576,AC$93,$C536*2+MIN($B536,2)+5)
+INDEX(Scenarios!AC$121:AC$200,MATCH($B536,Scenarios!$B$121:$B$200,0))</f>
        <v>0</v>
      </c>
      <c r="AD536" s="476">
        <f>INDEX(Input!$1:$1048576,AD$93,$C536*2+MIN($B536,2)+5)</f>
        <v>0.27</v>
      </c>
      <c r="AE536" s="475">
        <f>INDEX(Input!$1:$1048576,AE$93,$C536*2+MIN($B536,2)+5)
+INDEX(Scenarios!AE$121:AE$200,MATCH($B536,Scenarios!$B$121:$B$200,0))</f>
        <v>0</v>
      </c>
      <c r="AF536" s="476">
        <f>INDEX(Input!$1:$1048576,AF$93,$C536*2+MIN($B536,2)+5)</f>
        <v>0.2</v>
      </c>
      <c r="AG536" s="475">
        <f>INDEX(Input!$1:$1048576,AG$93,$C536*2+MIN($B536,2)+5)
+INDEX(Scenarios!AG$121:AG$200,MATCH($B536,Scenarios!$B$121:$B$200,0))</f>
        <v>500</v>
      </c>
      <c r="AH536" s="476">
        <f>INDEX(Input!$1:$1048576,AH$93,$C536*2+MIN($B536,2)+5)</f>
        <v>1</v>
      </c>
      <c r="AI536" s="475">
        <f>INDEX(Input!$1:$1048576,AI$93,$C536*2+MIN($B536,2)+5)
+INDEX(Scenarios!AI$121:AI$200,MATCH($B536,Scenarios!$B$121:$B$200,0))</f>
        <v>0</v>
      </c>
      <c r="AJ536" s="476">
        <f>INDEX(Input!$1:$1048576,AJ$93,$C536*2+MIN($B536,2)+5)</f>
        <v>0.27</v>
      </c>
      <c r="AK536" s="150">
        <f>ROUND(INDEX(Input!$1:$1048576,AK$93,$C535*2+MIN($B536,1)+5)+(Y536-VLOOKUP($C536*1000+1,$A:$HH,Y$92,FALSE)),0)</f>
        <v>2587</v>
      </c>
      <c r="AL536" s="150">
        <f>ROUND(INDEX(Input!$1:$1048576,AL$93,$C535*2+MIN($B536,1)+5)-(Y536-VLOOKUP($C536*1000+1,$A:$HH,Y$92,FALSE))/36,0)</f>
        <v>3406</v>
      </c>
      <c r="AM536" s="32" t="str">
        <f t="shared" si="1442"/>
        <v>std/std/std/std</v>
      </c>
      <c r="AN536" s="32" t="str">
        <f t="shared" si="1443"/>
        <v>$0 + 0/0/0/0.9/3.9</v>
      </c>
      <c r="AO536" s="32" t="str">
        <f t="shared" si="1444"/>
        <v>0/0/0/0.9/3.9</v>
      </c>
      <c r="AP536" s="32" t="str">
        <f t="shared" si="1396"/>
        <v>0/0/0.9/3.9</v>
      </c>
      <c r="AQ536" s="536">
        <f t="shared" si="1394"/>
        <v>0.42370519674150098</v>
      </c>
      <c r="AR536" s="32"/>
      <c r="AS536" s="302"/>
      <c r="AT536" s="3">
        <f t="shared" si="1465"/>
        <v>36</v>
      </c>
      <c r="AU536" s="41" t="s">
        <v>121</v>
      </c>
      <c r="AV536" s="41" t="s">
        <v>116</v>
      </c>
      <c r="AW536" s="41" t="str">
        <f>INDEX(Input!$1:$1048576,AW$93,$C536*2+6)</f>
        <v>Kia</v>
      </c>
      <c r="AX536" s="41" t="str">
        <f>INDEX(Input!$1:$1048576,AX$93,$C536*2+6)</f>
        <v>Kia-LR - R2</v>
      </c>
      <c r="AY536" s="41" t="str">
        <f>IF(LEN(D536)=0,"",INDEX(Input!$1:$1048576,AY$93,$C536*2+6))</f>
        <v>Compact SUV (52)</v>
      </c>
      <c r="AZ536" s="41" t="str">
        <f>INDEX(Input!$1:$1048576,AZ$93,$C536*2+6)</f>
        <v>Kia Soul</v>
      </c>
      <c r="BA536" s="3">
        <f>INDEX(Input!$1:$1048576,BA$93,$C536*2+6)</f>
        <v>2020</v>
      </c>
      <c r="BB536" s="128">
        <f>INDEX(Input!$1:$1048576,BB$93,$C536*2+6)</f>
        <v>1</v>
      </c>
      <c r="BC536" s="128">
        <f>INDEX(Input!$1:$1048576,BC$93,$C536*2+6)</f>
        <v>0.7</v>
      </c>
      <c r="BD536" s="1">
        <f>INDEX(Input!$1:$1048576,BD$93,$C536*2+6)</f>
        <v>4.4999999999999998E-2</v>
      </c>
      <c r="BE536" s="1">
        <f>INDEX(Input!$1:$1048576,BE$93,$C536*2+6)</f>
        <v>4.4999999999999998E-2</v>
      </c>
      <c r="BF536" s="1">
        <f>INDEX(Input!$1:$1048576,BF$93,$C536*2+6)</f>
        <v>0.05</v>
      </c>
      <c r="BG536" s="1">
        <f>INDEX(Input!$1:$1048576,BG$93,$C536*2+6)</f>
        <v>5.45E-2</v>
      </c>
      <c r="BH536" s="1">
        <f>INDEX(Input!$1:$1048576,BH$93,$C536*2+6)</f>
        <v>5.45E-2</v>
      </c>
      <c r="BI536" s="1">
        <f>INDEX(Input!$1:$1048576,BI$93,$C536*2+6)</f>
        <v>0.05</v>
      </c>
      <c r="BJ536" s="1">
        <f>INDEX(Input!$1:$1048576,BJ$93,$C536*2+6)</f>
        <v>0.05</v>
      </c>
      <c r="BK536" s="1">
        <f>INDEX(Input!$1:$1048576,BK$93,$C536*2+6)</f>
        <v>0.05</v>
      </c>
      <c r="BL536" s="1">
        <f>INDEX(Input!$1:$1048576,BL$93,$C536*2+6)</f>
        <v>5.5E-2</v>
      </c>
      <c r="BM536" s="1">
        <f>INDEX(Input!$1:$1048576,BM$93,$C536*2+6)</f>
        <v>0.06</v>
      </c>
      <c r="BN536" s="1">
        <f>INDEX(Input!$1:$1048576,BN$93,$C536*2+6)</f>
        <v>4.4999999999999998E-2</v>
      </c>
      <c r="BO536" s="1">
        <f>INDEX(Input!$1:$1048576,BO$93,$C536*2+6)</f>
        <v>4.4999999999999998E-2</v>
      </c>
      <c r="BP536" s="1">
        <f>INDEX(Input!$1:$1048576,BP$93,$C536*2+6)</f>
        <v>0.05</v>
      </c>
      <c r="BQ536" s="1">
        <f>INDEX(Input!$1:$1048576,BQ$93,$C536*2+6)</f>
        <v>5.45E-2</v>
      </c>
      <c r="BR536" s="1">
        <f>INDEX(Input!$1:$1048576,BR$93,$C536*2+6)</f>
        <v>5.45E-2</v>
      </c>
      <c r="BS536" s="1">
        <f>INDEX(Input!$1:$1048576,BS$93,$C536*2+6)</f>
        <v>0.05</v>
      </c>
      <c r="BT536" s="1">
        <f>INDEX(Input!$1:$1048576,BT$93,$C536*2+6)</f>
        <v>0.05</v>
      </c>
      <c r="BU536" s="1">
        <f>INDEX(Input!$1:$1048576,BU$93,$C536*2+6)</f>
        <v>0.05</v>
      </c>
      <c r="BV536" s="1">
        <f>INDEX(Input!$1:$1048576,BV$93,$C536*2+6)</f>
        <v>5.5E-2</v>
      </c>
      <c r="BW536" s="1">
        <f>INDEX(Input!$1:$1048576,BW$93,$C536*2+6)</f>
        <v>0.06</v>
      </c>
      <c r="BX536" s="127">
        <f>INDEX(Input!$1:$1048576,BX$93,$C536*2+6)</f>
        <v>19985</v>
      </c>
      <c r="BY536" s="20">
        <f>INDEX(Input!$1:$1048576,BY$93,$C536*2+6)</f>
        <v>0.1</v>
      </c>
      <c r="BZ536" s="20">
        <f>INDEX(Input!$1:$1048576,BZ$93,$C536*2+6)</f>
        <v>0.1</v>
      </c>
      <c r="CA536" s="20">
        <f>INDEX(Input!$1:$1048576,CA$93,$C536*2+6)</f>
        <v>0.1</v>
      </c>
      <c r="CB536" s="20">
        <f>INDEX(Input!$1:$1048576,CB$93,$C536*2+6)</f>
        <v>0.1</v>
      </c>
      <c r="CC536" s="20">
        <f>INDEX(Input!$1:$1048576,CC$93,$C536*2+6)</f>
        <v>0.1</v>
      </c>
      <c r="CD536" s="384">
        <f>INDEX(Input!$1:$1048576,CD$93,$C536*2+6)</f>
        <v>0.1</v>
      </c>
      <c r="CE536" s="384">
        <f>INDEX(Input!$1:$1048576,CE$93,$C536*2+6)</f>
        <v>0.1</v>
      </c>
      <c r="CF536" s="384">
        <f>INDEX(Input!$1:$1048576,CF$93,$C536*2+6)</f>
        <v>0.1</v>
      </c>
      <c r="CG536" s="384">
        <f>INDEX(Input!$1:$1048576,CG$93,$C536*2+6)</f>
        <v>0.1</v>
      </c>
      <c r="CH536" s="384">
        <f>INDEX(Input!$1:$1048576,CH$93,$C536*2+6)</f>
        <v>0.1</v>
      </c>
      <c r="CI536" s="304">
        <f t="shared" si="1397"/>
        <v>1777.4263093788063</v>
      </c>
      <c r="CJ536" s="16" t="str">
        <f>INDEX(Input!$1:$1048576,CJ$93,$C536*2+6)</f>
        <v>N</v>
      </c>
      <c r="CK536" s="1" t="str">
        <f t="shared" si="1398"/>
        <v>Market</v>
      </c>
      <c r="CL536" s="1" t="str">
        <f t="shared" si="1399"/>
        <v>Market</v>
      </c>
      <c r="CM536" s="1" t="str">
        <f t="shared" si="1400"/>
        <v>Market</v>
      </c>
      <c r="CN536" s="1" t="str">
        <f t="shared" si="1401"/>
        <v>Market</v>
      </c>
      <c r="CO536" s="1" t="str">
        <f t="shared" si="1402"/>
        <v>Market</v>
      </c>
      <c r="CP536" s="304">
        <f t="shared" si="1403"/>
        <v>500</v>
      </c>
      <c r="CQ536" s="1">
        <f t="shared" si="1404"/>
        <v>0</v>
      </c>
      <c r="CR536" s="1">
        <f t="shared" si="1405"/>
        <v>0</v>
      </c>
      <c r="CS536" s="1">
        <f t="shared" si="1406"/>
        <v>0</v>
      </c>
      <c r="CT536" s="1">
        <f t="shared" si="1407"/>
        <v>8.9999999999999993E-3</v>
      </c>
      <c r="CU536" s="1">
        <f t="shared" si="1408"/>
        <v>3.9E-2</v>
      </c>
      <c r="CV536" s="304">
        <f t="shared" si="1409"/>
        <v>-717.93641739252325</v>
      </c>
      <c r="CW536" s="20" t="s">
        <v>122</v>
      </c>
      <c r="CX536" s="20" t="s">
        <v>122</v>
      </c>
      <c r="CY536" s="20" t="s">
        <v>122</v>
      </c>
      <c r="CZ536" s="20" t="s">
        <v>122</v>
      </c>
      <c r="DA536" s="20" t="s">
        <v>122</v>
      </c>
      <c r="DB536" s="503">
        <f t="shared" si="1410"/>
        <v>0</v>
      </c>
      <c r="DC536" s="127">
        <v>0</v>
      </c>
      <c r="DD536" s="127">
        <v>0</v>
      </c>
      <c r="DE536" s="127">
        <v>0</v>
      </c>
      <c r="DF536" s="127">
        <v>0</v>
      </c>
      <c r="DG536" s="127">
        <v>0</v>
      </c>
      <c r="DH536" s="127">
        <v>0</v>
      </c>
      <c r="DI536" s="127">
        <v>0</v>
      </c>
      <c r="DJ536" s="127">
        <v>0</v>
      </c>
      <c r="DK536" s="127">
        <v>0</v>
      </c>
      <c r="DL536" s="127">
        <v>0</v>
      </c>
      <c r="DM536" s="304">
        <f>INDEX(Input!$1:$1048576,DM$93,$C536*2+6)</f>
        <v>21036.84210526316</v>
      </c>
      <c r="DN536" s="20">
        <v>0</v>
      </c>
      <c r="DO536" s="20">
        <v>0</v>
      </c>
      <c r="DP536" s="20">
        <v>0</v>
      </c>
      <c r="DQ536" s="20">
        <v>0</v>
      </c>
      <c r="DR536" s="20">
        <v>0</v>
      </c>
      <c r="DS536" s="20">
        <f>INDEX(Input!$1:$1048576,DS$93,$C536*2+6)</f>
        <v>0.6</v>
      </c>
      <c r="DT536" s="20">
        <f>INDEX(Input!$1:$1048576,DT$93,$C536*2+6)</f>
        <v>0.55000000000000004</v>
      </c>
      <c r="DU536" s="20">
        <f>INDEX(Input!$1:$1048576,DU$93,$C536*2+6)</f>
        <v>0.52</v>
      </c>
      <c r="DV536" s="20">
        <f>INDEX(Input!$1:$1048576,DV$93,$C536*2+6)</f>
        <v>0.5</v>
      </c>
      <c r="DW536" s="20">
        <f>INDEX(Input!$1:$1048576,DW$93,$C536*2+6)</f>
        <v>0.45</v>
      </c>
      <c r="DX536" s="20"/>
      <c r="DY536" s="7">
        <v>0.12721589922751425</v>
      </c>
      <c r="DZ536" s="7">
        <v>0</v>
      </c>
      <c r="EA536" s="7">
        <v>0.74442513983366021</v>
      </c>
      <c r="EB536" s="7">
        <v>0</v>
      </c>
      <c r="EC536" s="7">
        <v>0</v>
      </c>
      <c r="ED536" s="7">
        <v>0</v>
      </c>
      <c r="EE536" s="7">
        <v>0</v>
      </c>
      <c r="EF536" s="7">
        <v>0</v>
      </c>
      <c r="EG536" s="7">
        <v>0</v>
      </c>
      <c r="EH536" s="7">
        <v>9.4879043343885153E-3</v>
      </c>
      <c r="EI536" s="7">
        <v>2.6377171140613543E-2</v>
      </c>
      <c r="EJ536" s="7">
        <v>0.22907865426297655</v>
      </c>
      <c r="EK536" s="7">
        <v>0.63692239846502907</v>
      </c>
      <c r="EL536" s="7">
        <v>9.8133871796992914E-2</v>
      </c>
      <c r="EM536" s="7">
        <v>7.4000280495778142E-2</v>
      </c>
      <c r="EN536" s="7">
        <v>5.8485104838406139E-2</v>
      </c>
      <c r="EO536" s="7">
        <v>0.71701851201224598</v>
      </c>
      <c r="EP536" s="7">
        <v>8.9816926248456636E-2</v>
      </c>
      <c r="EQ536" s="7">
        <v>8.8420584823627343E-2</v>
      </c>
      <c r="ER536" s="7">
        <v>4.6258872077263993E-2</v>
      </c>
      <c r="ES536" s="7">
        <v>5.4358680443047327E-2</v>
      </c>
      <c r="ET536" s="7">
        <v>0.12835896093882557</v>
      </c>
      <c r="EU536" s="6">
        <v>1770</v>
      </c>
      <c r="EV536" s="6">
        <v>0</v>
      </c>
      <c r="EW536" s="6">
        <v>1770</v>
      </c>
      <c r="EX536" s="6">
        <v>0</v>
      </c>
      <c r="EY536" s="6">
        <v>2326.3766569574709</v>
      </c>
      <c r="EZ536" s="6">
        <v>-6.4499039401316622</v>
      </c>
      <c r="FA536" s="6">
        <v>0</v>
      </c>
      <c r="FB536" s="6">
        <v>0</v>
      </c>
      <c r="FC536" s="6">
        <v>0</v>
      </c>
      <c r="FD536" s="6">
        <v>0</v>
      </c>
      <c r="FE536" s="6">
        <v>0</v>
      </c>
      <c r="FF536" s="6">
        <v>0</v>
      </c>
      <c r="FG536" s="6">
        <v>0</v>
      </c>
      <c r="FH536" s="6">
        <v>1172.1380509897335</v>
      </c>
      <c r="FI536" s="6">
        <v>1553.9796069512395</v>
      </c>
      <c r="FJ536" s="6">
        <v>2101.211011744741</v>
      </c>
      <c r="FK536" s="6">
        <v>2251.307834803466</v>
      </c>
      <c r="FL536" s="6">
        <v>907.07682140966369</v>
      </c>
      <c r="FM536" s="6">
        <v>2056.3766569574709</v>
      </c>
      <c r="FN536" s="6">
        <v>0</v>
      </c>
      <c r="FO536" s="6">
        <v>0</v>
      </c>
      <c r="FP536" s="6">
        <v>0</v>
      </c>
      <c r="FQ536" s="6">
        <v>0</v>
      </c>
      <c r="FR536" s="6">
        <v>0</v>
      </c>
      <c r="FS536" s="6">
        <v>0</v>
      </c>
      <c r="FT536" s="7">
        <v>0.87164103906117441</v>
      </c>
      <c r="FU536" s="7">
        <v>7.4000280495778142E-2</v>
      </c>
      <c r="FV536" s="7">
        <v>5.4358680443047327E-2</v>
      </c>
      <c r="FW536" s="6">
        <v>1770.0000000000002</v>
      </c>
      <c r="FX536" s="6">
        <v>2326.3766569574709</v>
      </c>
      <c r="FY536" s="6">
        <v>-6.4499039401316622</v>
      </c>
      <c r="FZ536" s="6">
        <v>1758.1538569113241</v>
      </c>
      <c r="GA536" s="6">
        <v>1714.6065560247923</v>
      </c>
      <c r="GB536" s="6">
        <v>18270.393443975208</v>
      </c>
      <c r="GC536" s="7">
        <v>3.064145122680037E-2</v>
      </c>
      <c r="GD536" s="7">
        <v>3.1034577522312475E-2</v>
      </c>
      <c r="GE536" s="7"/>
      <c r="GF536" s="7"/>
      <c r="GG536" s="7">
        <v>1.2829885001277592E-2</v>
      </c>
      <c r="GH536" s="42">
        <v>-5.8879711607989336</v>
      </c>
      <c r="GI536" s="6">
        <v>-1679.6016447654313</v>
      </c>
      <c r="GJ536" s="14">
        <v>0.50394797582841711</v>
      </c>
      <c r="GK536" s="14">
        <v>0.5088757306530971</v>
      </c>
      <c r="GL536" s="14">
        <v>0.49605202417158256</v>
      </c>
      <c r="GM536" s="14">
        <v>0.49112426934690212</v>
      </c>
      <c r="GO536" s="5">
        <v>343.14810671672558</v>
      </c>
      <c r="GP536" s="5">
        <v>309.37988338875158</v>
      </c>
      <c r="GQ536" s="5">
        <v>535.04305713031317</v>
      </c>
      <c r="GR536" s="5">
        <v>410.15490233172511</v>
      </c>
      <c r="GS536" s="5">
        <v>339.42744393800166</v>
      </c>
      <c r="GT536" s="5">
        <v>293.4407446948278</v>
      </c>
      <c r="GU536" s="5">
        <v>258.04012322764959</v>
      </c>
      <c r="GV536" s="39" t="s">
        <v>392</v>
      </c>
      <c r="GW536" s="5">
        <v>492.125</v>
      </c>
      <c r="GX536" s="5">
        <v>369.09375</v>
      </c>
      <c r="GY536" s="5">
        <v>295.27499999999998</v>
      </c>
      <c r="GZ536" s="5">
        <v>252.85821728143046</v>
      </c>
      <c r="HA536" s="5">
        <v>241.34874471337258</v>
      </c>
      <c r="HB536" s="39">
        <v>266.78163256328958</v>
      </c>
      <c r="HC536" s="5">
        <v>287.56655829738071</v>
      </c>
      <c r="HD536" s="5">
        <v>239.99799238008356</v>
      </c>
      <c r="HE536" s="5">
        <v>241.14168635502031</v>
      </c>
      <c r="HF536" s="5">
        <v>221.05790951107167</v>
      </c>
      <c r="HG536" s="5">
        <v>210.75500473779988</v>
      </c>
      <c r="HH536" s="39">
        <v>239.85532719377966</v>
      </c>
      <c r="HI536" s="16"/>
      <c r="HJ536" s="19" t="str">
        <f t="shared" si="1513"/>
        <v>On</v>
      </c>
      <c r="HK536" s="1" t="str">
        <f t="shared" si="1513"/>
        <v>On</v>
      </c>
      <c r="HL536" s="16"/>
      <c r="HM536" s="639">
        <f t="shared" si="1413"/>
        <v>2.4909940070666322E-2</v>
      </c>
      <c r="HN536" s="639">
        <f t="shared" si="1414"/>
        <v>2.2052381276269151E-3</v>
      </c>
      <c r="HO536" s="639">
        <f t="shared" si="1415"/>
        <v>2.079866082302006E-3</v>
      </c>
      <c r="HP536" s="644">
        <f>(FT536*$GD536-HM536)/$JF536*INDEX(Input!$1:$1048576,$JG$93,$C536*2+6)</f>
        <v>60.209518545431564</v>
      </c>
      <c r="HQ536" s="644">
        <f>(FU536*$GD536-HN536)/$JF536*INDEX(Input!$1:$1048576,$JG$93,$C536*2+6)</f>
        <v>2.5682909109172511</v>
      </c>
      <c r="HR536" s="644">
        <f>(FV536*$GD536-HO536)/$JF536*INDEX(Input!$1:$1048576,$JG$93,$C536*2+6)</f>
        <v>-11.047907047752297</v>
      </c>
      <c r="HS536" s="644">
        <f t="shared" si="1416"/>
        <v>-25.697814742092493</v>
      </c>
      <c r="HT536" s="644">
        <f t="shared" si="1417"/>
        <v>17.94770712387745</v>
      </c>
      <c r="HU536" s="644">
        <f t="shared" si="1418"/>
        <v>2.3961699834349979</v>
      </c>
      <c r="HV536" s="648">
        <f t="shared" si="1419"/>
        <v>0</v>
      </c>
      <c r="HW536" s="648">
        <f t="shared" si="1420"/>
        <v>0</v>
      </c>
      <c r="HX536" s="648">
        <f t="shared" si="1421"/>
        <v>0</v>
      </c>
      <c r="HY536" s="644">
        <f>INDEX(Input!$1:$1048576,HY$93,$C536*2+6)*INDEX(Input!$1:$1048576,$JG$93,$C536*2+6)</f>
        <v>333.00000000000006</v>
      </c>
      <c r="HZ536" s="644">
        <f>INDEX(Input!$1:$1048576,HZ$93,$C536*2+6)*INDEX(Input!$1:$1048576,$JG$93,$C536*2+6)</f>
        <v>429</v>
      </c>
      <c r="IA536" s="644">
        <f>INDEX(Input!$1:$1048576,IA$93,$C536*2+6)*INDEX(Input!$1:$1048576,$JG$93,$C536*2+6)</f>
        <v>59</v>
      </c>
      <c r="IB536" s="644">
        <f t="shared" si="1445"/>
        <v>367.51170380333917</v>
      </c>
      <c r="IC536" s="644">
        <f t="shared" si="1446"/>
        <v>449.51599803479473</v>
      </c>
      <c r="ID536" s="644">
        <f>IF(AND(INDEX(Input!$1:$1048576,IA$93,$C536*2+7)="TOS",Y536&lt;=INDEX(Y:Y,MATCH(C536*1000+2,A:A))),0,1)*MAX(IA536+HR536+HU536+HX536,0%)</f>
        <v>50.348262935682698</v>
      </c>
      <c r="IE536" s="128">
        <f t="shared" si="1510"/>
        <v>0.42370519674150098</v>
      </c>
      <c r="IF536" s="128">
        <f t="shared" si="1468"/>
        <v>0.51824816030268239</v>
      </c>
      <c r="IG536" s="128">
        <f t="shared" si="1423"/>
        <v>5.8046642955816609E-2</v>
      </c>
      <c r="IH536" s="21"/>
      <c r="II536" s="19">
        <f t="shared" si="1424"/>
        <v>1240</v>
      </c>
      <c r="IJ536" s="19">
        <f t="shared" si="1425"/>
        <v>1985.7442651839444</v>
      </c>
      <c r="IK536" s="19">
        <f t="shared" si="1426"/>
        <v>-21.44990394013189</v>
      </c>
      <c r="IL536" s="19">
        <f t="shared" si="1448"/>
        <v>530.00000000000023</v>
      </c>
      <c r="IM536" s="19">
        <f t="shared" si="1427"/>
        <v>340.63239177352648</v>
      </c>
      <c r="IN536" s="19">
        <f t="shared" si="1428"/>
        <v>15.000000000000227</v>
      </c>
      <c r="IO536" s="39">
        <f t="shared" si="1429"/>
        <v>0</v>
      </c>
      <c r="IP536" s="39">
        <f t="shared" si="1430"/>
        <v>0</v>
      </c>
      <c r="IQ536" s="39">
        <f t="shared" si="1431"/>
        <v>0</v>
      </c>
      <c r="IR536" s="39">
        <v>0</v>
      </c>
      <c r="IS536" s="39">
        <v>0</v>
      </c>
      <c r="IT536" s="39">
        <v>0</v>
      </c>
      <c r="IU536" s="39">
        <v>0</v>
      </c>
      <c r="IV536" s="39">
        <v>0</v>
      </c>
      <c r="IW536" s="39">
        <v>0</v>
      </c>
      <c r="IX536" s="39">
        <f>INDEX(Input!$1:$1048576,IX$93,$C536*2+6)+INDEX(Input!$1:$1048576,IX$94,$C536*2+6)</f>
        <v>1270</v>
      </c>
      <c r="IY536" s="39">
        <f>INDEX(Input!$1:$1048576,IY$93,$C536*2+6)+INDEX(Input!$1:$1048576,IY$94,$C536*2+6)</f>
        <v>2130.0624533823611</v>
      </c>
      <c r="IZ536" s="39">
        <f>INDEX(Input!$1:$1048576,IZ$93,$C536*2+6)+INDEX(Input!$1:$1048576,IZ$94,$C536*2+6)</f>
        <v>3653.7164157747857</v>
      </c>
      <c r="JA536" s="19">
        <f t="shared" si="1449"/>
        <v>1800.0000000000002</v>
      </c>
      <c r="JB536" s="19">
        <f t="shared" si="1450"/>
        <v>2470.6948451558874</v>
      </c>
      <c r="JC536" s="19">
        <f t="shared" si="1451"/>
        <v>3668.7164157747857</v>
      </c>
      <c r="JD536" s="19">
        <f t="shared" si="1452"/>
        <v>2256.0590841986832</v>
      </c>
      <c r="JE536" s="21"/>
      <c r="JF536" s="1">
        <f t="shared" si="1432"/>
        <v>2.9195044280595241E-2</v>
      </c>
      <c r="JG536" s="15">
        <f>INDEX(Input!$1:$1048576,JG$93,$C536*2+6)/(1+VLOOKUP(C536*1000+INDEX(Input!$1:$1048576,JG$93+1,$C536*2+6),$A:$KK,$JK$92,FALSE))</f>
        <v>821</v>
      </c>
      <c r="JH536" s="1">
        <f t="shared" si="1453"/>
        <v>6.3008407318631568E-2</v>
      </c>
      <c r="JI536" s="1">
        <f t="shared" si="1454"/>
        <v>-6.5212395064312371E-3</v>
      </c>
      <c r="JJ536" s="1">
        <f t="shared" si="1492"/>
        <v>0</v>
      </c>
      <c r="JK536" s="1">
        <f t="shared" si="1496"/>
        <v>5.6487167812200333E-2</v>
      </c>
      <c r="JL536" s="15">
        <f t="shared" si="1457"/>
        <v>46.37596477381647</v>
      </c>
      <c r="JM536" s="15">
        <f t="shared" si="1483"/>
        <v>867.37596477381646</v>
      </c>
      <c r="JN536" s="21"/>
      <c r="JO536" s="19">
        <f>INDEX(Input!$1:$1048576,JO$93,$C536*2+6)</f>
        <v>5995.5</v>
      </c>
      <c r="JP536" s="19">
        <f>INDEX(Input!$1:$1048576,JP$93,$C536*2+6)</f>
        <v>1890.7138380411029</v>
      </c>
      <c r="JQ536" s="39">
        <f t="shared" si="1469"/>
        <v>3739.4409158013168</v>
      </c>
      <c r="JR536" s="39">
        <f t="shared" si="1486"/>
        <v>365.34524615758028</v>
      </c>
      <c r="JS536" s="39">
        <f t="shared" si="1471"/>
        <v>1.9568514247435658</v>
      </c>
      <c r="JT536" s="39">
        <f t="shared" si="1459"/>
        <v>0.40457536371182024</v>
      </c>
      <c r="JU536" s="385">
        <f>(JQ536*JM536-INDEX(Input!$1:$1048576,Input!A$18,$C536*2+6)*JL536*INDEX(Input!$1:$1048576,Input!A$19,$C536*2+6))/1000000</f>
        <v>3.2435011720578508</v>
      </c>
      <c r="JV536" s="39">
        <f t="shared" si="1493"/>
        <v>-0.12652826691040353</v>
      </c>
      <c r="JW536" s="1">
        <f t="shared" si="1484"/>
        <v>-3.7545151815985493E-2</v>
      </c>
      <c r="JX536" s="19">
        <f t="shared" si="1475"/>
        <v>8723.8155731099851</v>
      </c>
      <c r="JZ536" s="341"/>
      <c r="KA536" s="342"/>
      <c r="KB536" s="469">
        <f t="shared" si="1472"/>
        <v>2.5122967434604799</v>
      </c>
      <c r="KI536" s="473">
        <f t="shared" si="1511"/>
        <v>34.51170380333906</v>
      </c>
      <c r="KJ536" s="473">
        <f t="shared" si="1512"/>
        <v>20.51599803479462</v>
      </c>
      <c r="KK536" s="473">
        <f t="shared" si="1461"/>
        <v>-8.6517370643173095</v>
      </c>
      <c r="KN536" s="544">
        <f t="shared" si="1476"/>
        <v>5002</v>
      </c>
      <c r="KO536" s="541">
        <f t="shared" si="1436"/>
        <v>5.2202977602185285E-2</v>
      </c>
      <c r="KP536" s="546">
        <f t="shared" si="1437"/>
        <v>372.83650058147009</v>
      </c>
      <c r="KQ536" s="546">
        <f t="shared" si="1438"/>
        <v>337.14031847541673</v>
      </c>
      <c r="KR536" s="548">
        <f t="shared" si="1439"/>
        <v>2.529535688059938</v>
      </c>
      <c r="KS536" s="548">
        <f t="shared" si="1440"/>
        <v>2.7973611649209396</v>
      </c>
      <c r="KT536" s="473">
        <f t="shared" si="1474"/>
        <v>595.94378802984284</v>
      </c>
      <c r="KU536" s="663">
        <f t="shared" si="1462"/>
        <v>4.0347217618565745</v>
      </c>
      <c r="KV536" s="117"/>
    </row>
    <row r="537" spans="1:308" s="26" customFormat="1" ht="15">
      <c r="A537" s="561">
        <f t="shared" si="1441"/>
        <v>5037</v>
      </c>
      <c r="B537" s="561">
        <f t="shared" si="1463"/>
        <v>37</v>
      </c>
      <c r="C537" s="561">
        <f t="shared" si="1464"/>
        <v>5</v>
      </c>
      <c r="D537" s="561" t="str">
        <f t="shared" si="1509"/>
        <v xml:space="preserve">750 CC, 0/0/0.9/3.9, </v>
      </c>
      <c r="E537" s="475">
        <f>INDEX(Input!$1:$1048576,E$93,$C537*2+MIN($B537,2)+5)
+INDEX(Scenarios!E$121:E$200,MATCH($B537,Scenarios!$B$121:$B$200,0))</f>
        <v>2027.4263093788063</v>
      </c>
      <c r="F537" s="475">
        <f>INDEX(Input!$1:$1048576,F$93,$C537*2+MIN($B537,2)+5)
+INDEX(Scenarios!F$121:F$200,MATCH($B537,Scenarios!$B$121:$B$200,0))</f>
        <v>0</v>
      </c>
      <c r="G537" s="475">
        <f>INDEX(Input!$1:$1048576,G$93,$C537*2+MIN($B537,2)+5)
+INDEX(Scenarios!G$121:G$200,MATCH($B537,Scenarios!$B$121:$B$200,0))</f>
        <v>0</v>
      </c>
      <c r="H537" s="475">
        <f>INDEX(Input!$1:$1048576,H$93,$C537*2+MIN($B537,2)+5)
+INDEX(Scenarios!H$121:H$200,MATCH($B537,Scenarios!$B$121:$B$200,0))</f>
        <v>0</v>
      </c>
      <c r="I537" s="476">
        <f>INDEX(Input!$1:$1048576,I$93,$C537*2+MIN($B537,2)+5)</f>
        <v>0.7</v>
      </c>
      <c r="J537" s="476" t="str">
        <f>INDEX(Input!$1:$1048576,J$93,$C537*2+MIN($B537,2)+5)</f>
        <v>Market</v>
      </c>
      <c r="K537" s="476" t="str">
        <f>INDEX(Input!$1:$1048576,K$93,$C537*2+MIN($B537,2)+5)</f>
        <v>Market</v>
      </c>
      <c r="L537" s="476" t="str">
        <f>INDEX(Input!$1:$1048576,L$93,$C537*2+MIN($B537,2)+5)</f>
        <v>Market</v>
      </c>
      <c r="M537" s="476" t="str">
        <f>INDEX(Input!$1:$1048576,M$93,$C537*2+MIN($B537,2)+5)</f>
        <v>Market</v>
      </c>
      <c r="N537" s="476" t="str">
        <f>INDEX(Input!$1:$1048576,N$93,$C537*2+MIN($B537,2)+5)</f>
        <v>Market</v>
      </c>
      <c r="O537" s="476" t="str">
        <f>INDEX(Input!$1:$1048576,O$93,$C537*2+MIN($B537,2)+5)</f>
        <v>Market</v>
      </c>
      <c r="P537" s="476" t="str">
        <f>INDEX(Input!$1:$1048576,P$93,$C537*2+MIN($B537,2)+5)</f>
        <v>N</v>
      </c>
      <c r="Q537" s="477">
        <f>INDEX(Input!$1:$1048576,Q$93,$C537*2+MIN($B537,2)+5)
+INDEX(Scenarios!Q$121:Q$200,MATCH($B537,Scenarios!$B$121:$B$200,0))</f>
        <v>0</v>
      </c>
      <c r="R537" s="478">
        <f>IFERROR(MAX(0,INDEX(Input!$1:$1048576,R$93,$C537*2+MIN($B537,2)+5)
+INDEX(Scenarios!R$121:R$200,MATCH($B537,Scenarios!$B$121:$B$200,0)),),"Market")</f>
        <v>0</v>
      </c>
      <c r="S537" s="478">
        <f>IFERROR(MAX(0,INDEX(Input!$1:$1048576,S$93,$C537*2+MIN($B537,2)+5)
+INDEX(Scenarios!S$121:S$200,MATCH($B537,Scenarios!$B$121:$B$200,0)),),"Market")</f>
        <v>0</v>
      </c>
      <c r="T537" s="478">
        <f>IFERROR(MAX(0,INDEX(Input!$1:$1048576,T$93,$C537*2+MIN($B537,2)+5)
+INDEX(Scenarios!T$121:T$200,MATCH($B537,Scenarios!$B$121:$B$200,0)),),"Market")</f>
        <v>0</v>
      </c>
      <c r="U537" s="478">
        <f>IFERROR(MAX(0,INDEX(Input!$1:$1048576,U$93,$C537*2+MIN($B537,2)+5)
+INDEX(Scenarios!U$121:U$200,MATCH($B537,Scenarios!$B$121:$B$200,0)),),"Market")</f>
        <v>0</v>
      </c>
      <c r="V537" s="478">
        <f>IFERROR(MAX(0,INDEX(Input!$1:$1048576,V$93,$C537*2+MIN($B537,2)+5)
+INDEX(Scenarios!V$121:V$200,MATCH($B537,Scenarios!$B$121:$B$200,0)),),"Market")</f>
        <v>8.9999999999999993E-3</v>
      </c>
      <c r="W537" s="885">
        <f>IFERROR(MAX(0,INDEX(Input!$1:$1048576,W$93,$C537*2+MIN($B537,2)+5)-0%,),"Market")</f>
        <v>3.9E-2</v>
      </c>
      <c r="X537" s="476" t="str">
        <f>INDEX(Input!$1:$1048576,X$93,$C537*2+MIN($B537,2)+5)</f>
        <v>Y</v>
      </c>
      <c r="Y537" s="475">
        <f>INDEX(Input!$1:$1048576,Y$93,$C537*2+MIN($B537,2)+5)
++INDEX(Scenarios!Y$121:Y$200,MATCH($B537,Scenarios!$B$121:$B$200,0))</f>
        <v>-717.93641739252325</v>
      </c>
      <c r="Z537" s="477">
        <f>INDEX(Input!$1:$1048576,Z$93,$C537*2+MIN($B537,2)+5)
+INDEX(Scenarios!Z$121:Z$200,MATCH($B537,Scenarios!$B$121:$B$200,0))</f>
        <v>0</v>
      </c>
      <c r="AA537" s="475">
        <f>INDEX(Input!$1:$1048576,AA$93,$C537*2+MIN($B537,2)+5)
+INDEX(Scenarios!AA$121:AA$200,MATCH($B537,Scenarios!$B$121:$B$200,0))</f>
        <v>0</v>
      </c>
      <c r="AB537" s="476">
        <f>INDEX(Input!$1:$1048576,AB$93,$C537*2+MIN($B537,2)+5)</f>
        <v>0.27</v>
      </c>
      <c r="AC537" s="475">
        <f>INDEX(Input!$1:$1048576,AC$93,$C537*2+MIN($B537,2)+5)
+INDEX(Scenarios!AC$121:AC$200,MATCH($B537,Scenarios!$B$121:$B$200,0))</f>
        <v>0</v>
      </c>
      <c r="AD537" s="476">
        <f>INDEX(Input!$1:$1048576,AD$93,$C537*2+MIN($B537,2)+5)</f>
        <v>0.27</v>
      </c>
      <c r="AE537" s="475">
        <f>INDEX(Input!$1:$1048576,AE$93,$C537*2+MIN($B537,2)+5)
+INDEX(Scenarios!AE$121:AE$200,MATCH($B537,Scenarios!$B$121:$B$200,0))</f>
        <v>0</v>
      </c>
      <c r="AF537" s="476">
        <f>INDEX(Input!$1:$1048576,AF$93,$C537*2+MIN($B537,2)+5)</f>
        <v>0.2</v>
      </c>
      <c r="AG537" s="475">
        <f>INDEX(Input!$1:$1048576,AG$93,$C537*2+MIN($B537,2)+5)
+INDEX(Scenarios!AG$121:AG$200,MATCH($B537,Scenarios!$B$121:$B$200,0))</f>
        <v>500</v>
      </c>
      <c r="AH537" s="476">
        <f>INDEX(Input!$1:$1048576,AH$93,$C537*2+MIN($B537,2)+5)</f>
        <v>1</v>
      </c>
      <c r="AI537" s="475">
        <f>INDEX(Input!$1:$1048576,AI$93,$C537*2+MIN($B537,2)+5)
+INDEX(Scenarios!AI$121:AI$200,MATCH($B537,Scenarios!$B$121:$B$200,0))</f>
        <v>0</v>
      </c>
      <c r="AJ537" s="476">
        <f>INDEX(Input!$1:$1048576,AJ$93,$C537*2+MIN($B537,2)+5)</f>
        <v>0.27</v>
      </c>
      <c r="AK537" s="150">
        <f>ROUND(INDEX(Input!$1:$1048576,AK$93,$C536*2+MIN($B537,1)+5)+(Y537-VLOOKUP($C537*1000+1,$A:$HH,Y$92,FALSE)),0)</f>
        <v>2587</v>
      </c>
      <c r="AL537" s="150">
        <f>ROUND(INDEX(Input!$1:$1048576,AL$93,$C536*2+MIN($B537,1)+5)-(Y537-VLOOKUP($C537*1000+1,$A:$HH,Y$92,FALSE))/36,0)</f>
        <v>3406</v>
      </c>
      <c r="AM537" s="32" t="str">
        <f t="shared" si="1442"/>
        <v>std/std/std/std</v>
      </c>
      <c r="AN537" s="32" t="str">
        <f t="shared" si="1443"/>
        <v>$0 + 0/0/0/0.9/3.9</v>
      </c>
      <c r="AO537" s="32" t="str">
        <f t="shared" si="1444"/>
        <v>0/0/0/0.9/3.9</v>
      </c>
      <c r="AP537" s="32" t="str">
        <f t="shared" si="1396"/>
        <v>0/0/0.9/3.9</v>
      </c>
      <c r="AQ537" s="536">
        <f t="shared" si="1394"/>
        <v>0.44334306988086097</v>
      </c>
      <c r="AR537" s="32"/>
      <c r="AS537" s="302"/>
      <c r="AT537" s="3">
        <f t="shared" si="1465"/>
        <v>37</v>
      </c>
      <c r="AU537" s="41" t="s">
        <v>121</v>
      </c>
      <c r="AV537" s="41" t="s">
        <v>116</v>
      </c>
      <c r="AW537" s="41" t="str">
        <f>INDEX(Input!$1:$1048576,AW$93,$C537*2+6)</f>
        <v>Kia</v>
      </c>
      <c r="AX537" s="41" t="str">
        <f>INDEX(Input!$1:$1048576,AX$93,$C537*2+6)</f>
        <v>Kia-LR - R2</v>
      </c>
      <c r="AY537" s="41" t="str">
        <f>IF(LEN(D537)=0,"",INDEX(Input!$1:$1048576,AY$93,$C537*2+6))</f>
        <v>Compact SUV (52)</v>
      </c>
      <c r="AZ537" s="41" t="str">
        <f>INDEX(Input!$1:$1048576,AZ$93,$C537*2+6)</f>
        <v>Kia Soul</v>
      </c>
      <c r="BA537" s="3">
        <f>INDEX(Input!$1:$1048576,BA$93,$C537*2+6)</f>
        <v>2020</v>
      </c>
      <c r="BB537" s="128">
        <f>INDEX(Input!$1:$1048576,BB$93,$C537*2+6)</f>
        <v>1</v>
      </c>
      <c r="BC537" s="128">
        <f>INDEX(Input!$1:$1048576,BC$93,$C537*2+6)</f>
        <v>0.7</v>
      </c>
      <c r="BD537" s="1">
        <f>INDEX(Input!$1:$1048576,BD$93,$C537*2+6)</f>
        <v>4.4999999999999998E-2</v>
      </c>
      <c r="BE537" s="1">
        <f>INDEX(Input!$1:$1048576,BE$93,$C537*2+6)</f>
        <v>4.4999999999999998E-2</v>
      </c>
      <c r="BF537" s="1">
        <f>INDEX(Input!$1:$1048576,BF$93,$C537*2+6)</f>
        <v>0.05</v>
      </c>
      <c r="BG537" s="1">
        <f>INDEX(Input!$1:$1048576,BG$93,$C537*2+6)</f>
        <v>5.45E-2</v>
      </c>
      <c r="BH537" s="1">
        <f>INDEX(Input!$1:$1048576,BH$93,$C537*2+6)</f>
        <v>5.45E-2</v>
      </c>
      <c r="BI537" s="1">
        <f>INDEX(Input!$1:$1048576,BI$93,$C537*2+6)</f>
        <v>0.05</v>
      </c>
      <c r="BJ537" s="1">
        <f>INDEX(Input!$1:$1048576,BJ$93,$C537*2+6)</f>
        <v>0.05</v>
      </c>
      <c r="BK537" s="1">
        <f>INDEX(Input!$1:$1048576,BK$93,$C537*2+6)</f>
        <v>0.05</v>
      </c>
      <c r="BL537" s="1">
        <f>INDEX(Input!$1:$1048576,BL$93,$C537*2+6)</f>
        <v>5.5E-2</v>
      </c>
      <c r="BM537" s="1">
        <f>INDEX(Input!$1:$1048576,BM$93,$C537*2+6)</f>
        <v>0.06</v>
      </c>
      <c r="BN537" s="1">
        <f>INDEX(Input!$1:$1048576,BN$93,$C537*2+6)</f>
        <v>4.4999999999999998E-2</v>
      </c>
      <c r="BO537" s="1">
        <f>INDEX(Input!$1:$1048576,BO$93,$C537*2+6)</f>
        <v>4.4999999999999998E-2</v>
      </c>
      <c r="BP537" s="1">
        <f>INDEX(Input!$1:$1048576,BP$93,$C537*2+6)</f>
        <v>0.05</v>
      </c>
      <c r="BQ537" s="1">
        <f>INDEX(Input!$1:$1048576,BQ$93,$C537*2+6)</f>
        <v>5.45E-2</v>
      </c>
      <c r="BR537" s="1">
        <f>INDEX(Input!$1:$1048576,BR$93,$C537*2+6)</f>
        <v>5.45E-2</v>
      </c>
      <c r="BS537" s="1">
        <f>INDEX(Input!$1:$1048576,BS$93,$C537*2+6)</f>
        <v>0.05</v>
      </c>
      <c r="BT537" s="1">
        <f>INDEX(Input!$1:$1048576,BT$93,$C537*2+6)</f>
        <v>0.05</v>
      </c>
      <c r="BU537" s="1">
        <f>INDEX(Input!$1:$1048576,BU$93,$C537*2+6)</f>
        <v>0.05</v>
      </c>
      <c r="BV537" s="1">
        <f>INDEX(Input!$1:$1048576,BV$93,$C537*2+6)</f>
        <v>5.5E-2</v>
      </c>
      <c r="BW537" s="1">
        <f>INDEX(Input!$1:$1048576,BW$93,$C537*2+6)</f>
        <v>0.06</v>
      </c>
      <c r="BX537" s="127">
        <f>INDEX(Input!$1:$1048576,BX$93,$C537*2+6)</f>
        <v>19985</v>
      </c>
      <c r="BY537" s="20">
        <f>INDEX(Input!$1:$1048576,BY$93,$C537*2+6)</f>
        <v>0.1</v>
      </c>
      <c r="BZ537" s="20">
        <f>INDEX(Input!$1:$1048576,BZ$93,$C537*2+6)</f>
        <v>0.1</v>
      </c>
      <c r="CA537" s="20">
        <f>INDEX(Input!$1:$1048576,CA$93,$C537*2+6)</f>
        <v>0.1</v>
      </c>
      <c r="CB537" s="20">
        <f>INDEX(Input!$1:$1048576,CB$93,$C537*2+6)</f>
        <v>0.1</v>
      </c>
      <c r="CC537" s="20">
        <f>INDEX(Input!$1:$1048576,CC$93,$C537*2+6)</f>
        <v>0.1</v>
      </c>
      <c r="CD537" s="384">
        <f>INDEX(Input!$1:$1048576,CD$93,$C537*2+6)</f>
        <v>0.1</v>
      </c>
      <c r="CE537" s="384">
        <f>INDEX(Input!$1:$1048576,CE$93,$C537*2+6)</f>
        <v>0.1</v>
      </c>
      <c r="CF537" s="384">
        <f>INDEX(Input!$1:$1048576,CF$93,$C537*2+6)</f>
        <v>0.1</v>
      </c>
      <c r="CG537" s="384">
        <f>INDEX(Input!$1:$1048576,CG$93,$C537*2+6)</f>
        <v>0.1</v>
      </c>
      <c r="CH537" s="384">
        <f>INDEX(Input!$1:$1048576,CH$93,$C537*2+6)</f>
        <v>0.1</v>
      </c>
      <c r="CI537" s="304">
        <f t="shared" si="1397"/>
        <v>2027.4263093788063</v>
      </c>
      <c r="CJ537" s="16" t="str">
        <f>INDEX(Input!$1:$1048576,CJ$93,$C537*2+6)</f>
        <v>N</v>
      </c>
      <c r="CK537" s="1" t="str">
        <f t="shared" si="1398"/>
        <v>Market</v>
      </c>
      <c r="CL537" s="1" t="str">
        <f t="shared" si="1399"/>
        <v>Market</v>
      </c>
      <c r="CM537" s="1" t="str">
        <f t="shared" si="1400"/>
        <v>Market</v>
      </c>
      <c r="CN537" s="1" t="str">
        <f t="shared" si="1401"/>
        <v>Market</v>
      </c>
      <c r="CO537" s="1" t="str">
        <f t="shared" si="1402"/>
        <v>Market</v>
      </c>
      <c r="CP537" s="304">
        <f t="shared" si="1403"/>
        <v>500</v>
      </c>
      <c r="CQ537" s="1">
        <f t="shared" si="1404"/>
        <v>0</v>
      </c>
      <c r="CR537" s="1">
        <f t="shared" si="1405"/>
        <v>0</v>
      </c>
      <c r="CS537" s="1">
        <f t="shared" si="1406"/>
        <v>0</v>
      </c>
      <c r="CT537" s="1">
        <f t="shared" si="1407"/>
        <v>8.9999999999999993E-3</v>
      </c>
      <c r="CU537" s="1">
        <f t="shared" si="1408"/>
        <v>3.9E-2</v>
      </c>
      <c r="CV537" s="304">
        <f t="shared" si="1409"/>
        <v>-717.93641739252325</v>
      </c>
      <c r="CW537" s="20" t="s">
        <v>122</v>
      </c>
      <c r="CX537" s="20" t="s">
        <v>122</v>
      </c>
      <c r="CY537" s="20" t="s">
        <v>122</v>
      </c>
      <c r="CZ537" s="20" t="s">
        <v>122</v>
      </c>
      <c r="DA537" s="20" t="s">
        <v>122</v>
      </c>
      <c r="DB537" s="503">
        <f t="shared" si="1410"/>
        <v>0</v>
      </c>
      <c r="DC537" s="127">
        <v>0</v>
      </c>
      <c r="DD537" s="127">
        <v>0</v>
      </c>
      <c r="DE537" s="127">
        <v>0</v>
      </c>
      <c r="DF537" s="127">
        <v>0</v>
      </c>
      <c r="DG537" s="127">
        <v>0</v>
      </c>
      <c r="DH537" s="127">
        <v>0</v>
      </c>
      <c r="DI537" s="127">
        <v>0</v>
      </c>
      <c r="DJ537" s="127">
        <v>0</v>
      </c>
      <c r="DK537" s="127">
        <v>0</v>
      </c>
      <c r="DL537" s="127">
        <v>0</v>
      </c>
      <c r="DM537" s="304">
        <f>INDEX(Input!$1:$1048576,DM$93,$C537*2+6)</f>
        <v>21036.84210526316</v>
      </c>
      <c r="DN537" s="20">
        <v>0</v>
      </c>
      <c r="DO537" s="20">
        <v>0</v>
      </c>
      <c r="DP537" s="20">
        <v>0</v>
      </c>
      <c r="DQ537" s="20">
        <v>0</v>
      </c>
      <c r="DR537" s="20">
        <v>0</v>
      </c>
      <c r="DS537" s="20">
        <f>INDEX(Input!$1:$1048576,DS$93,$C537*2+6)</f>
        <v>0.6</v>
      </c>
      <c r="DT537" s="20">
        <f>INDEX(Input!$1:$1048576,DT$93,$C537*2+6)</f>
        <v>0.55000000000000004</v>
      </c>
      <c r="DU537" s="20">
        <f>INDEX(Input!$1:$1048576,DU$93,$C537*2+6)</f>
        <v>0.52</v>
      </c>
      <c r="DV537" s="20">
        <f>INDEX(Input!$1:$1048576,DV$93,$C537*2+6)</f>
        <v>0.5</v>
      </c>
      <c r="DW537" s="20">
        <f>INDEX(Input!$1:$1048576,DW$93,$C537*2+6)</f>
        <v>0.45</v>
      </c>
      <c r="DX537" s="20"/>
      <c r="DY537" s="7">
        <v>0.13236930825146098</v>
      </c>
      <c r="DZ537" s="7">
        <v>0</v>
      </c>
      <c r="EA537" s="7">
        <v>0.75426102049841981</v>
      </c>
      <c r="EB537" s="7">
        <v>0</v>
      </c>
      <c r="EC537" s="7">
        <v>0</v>
      </c>
      <c r="ED537" s="7">
        <v>0</v>
      </c>
      <c r="EE537" s="7">
        <v>0</v>
      </c>
      <c r="EF537" s="7">
        <v>0</v>
      </c>
      <c r="EG537" s="7">
        <v>0</v>
      </c>
      <c r="EH537" s="7">
        <v>9.488573686686156E-3</v>
      </c>
      <c r="EI537" s="7">
        <v>2.6380342981398477E-2</v>
      </c>
      <c r="EJ537" s="7">
        <v>0.22910109060345293</v>
      </c>
      <c r="EK537" s="7">
        <v>0.63689573310590608</v>
      </c>
      <c r="EL537" s="7">
        <v>9.8134259622556688E-2</v>
      </c>
      <c r="EM537" s="7">
        <v>6.5343341588399592E-2</v>
      </c>
      <c r="EN537" s="7">
        <v>5.8493200378974597E-2</v>
      </c>
      <c r="EO537" s="7">
        <v>0.71701628120273164</v>
      </c>
      <c r="EP537" s="7">
        <v>8.982068906778172E-2</v>
      </c>
      <c r="EQ537" s="7">
        <v>8.8415550679236177E-2</v>
      </c>
      <c r="ER537" s="7">
        <v>4.6254278671275517E-2</v>
      </c>
      <c r="ES537" s="7">
        <v>4.802632966171954E-2</v>
      </c>
      <c r="ET537" s="7">
        <v>0.11336967125011929</v>
      </c>
      <c r="EU537" s="6">
        <v>2020</v>
      </c>
      <c r="EV537" s="6">
        <v>0</v>
      </c>
      <c r="EW537" s="6">
        <v>2020</v>
      </c>
      <c r="EX537" s="6">
        <v>0</v>
      </c>
      <c r="EY537" s="6">
        <v>2326.3698533668007</v>
      </c>
      <c r="EZ537" s="6">
        <v>-6.4499039401316622</v>
      </c>
      <c r="FA537" s="6">
        <v>0</v>
      </c>
      <c r="FB537" s="6">
        <v>0</v>
      </c>
      <c r="FC537" s="6">
        <v>0</v>
      </c>
      <c r="FD537" s="6">
        <v>0</v>
      </c>
      <c r="FE537" s="6">
        <v>0</v>
      </c>
      <c r="FF537" s="6">
        <v>0</v>
      </c>
      <c r="FG537" s="6">
        <v>0</v>
      </c>
      <c r="FH537" s="6">
        <v>1172.1401080739756</v>
      </c>
      <c r="FI537" s="6">
        <v>1553.979606951239</v>
      </c>
      <c r="FJ537" s="6">
        <v>2101.2110117447396</v>
      </c>
      <c r="FK537" s="6">
        <v>2251.3078348034669</v>
      </c>
      <c r="FL537" s="6">
        <v>907.07682140966313</v>
      </c>
      <c r="FM537" s="6">
        <v>2056.3698533668007</v>
      </c>
      <c r="FN537" s="6">
        <v>0</v>
      </c>
      <c r="FO537" s="6">
        <v>0</v>
      </c>
      <c r="FP537" s="6">
        <v>0</v>
      </c>
      <c r="FQ537" s="6">
        <v>0</v>
      </c>
      <c r="FR537" s="6">
        <v>0</v>
      </c>
      <c r="FS537" s="6">
        <v>0</v>
      </c>
      <c r="FT537" s="7">
        <v>0.88663032874988079</v>
      </c>
      <c r="FU537" s="7">
        <v>6.5343341588399592E-2</v>
      </c>
      <c r="FV537" s="7">
        <v>4.802632966171954E-2</v>
      </c>
      <c r="FW537" s="6">
        <v>2020</v>
      </c>
      <c r="FX537" s="6">
        <v>2326.3698533668007</v>
      </c>
      <c r="FY537" s="6">
        <v>-6.4499039401316622</v>
      </c>
      <c r="FZ537" s="6">
        <v>1758.1538569113241</v>
      </c>
      <c r="GA537" s="6">
        <v>1942.6962788513461</v>
      </c>
      <c r="GB537" s="6">
        <v>18042.303721148655</v>
      </c>
      <c r="GC537" s="7">
        <v>3.064145122680037E-2</v>
      </c>
      <c r="GD537" s="7">
        <v>3.1890090287496405E-2</v>
      </c>
      <c r="GE537" s="7"/>
      <c r="GF537" s="7"/>
      <c r="GG537" s="7">
        <v>4.0749997493719201E-2</v>
      </c>
      <c r="GH537" s="42">
        <v>4.4130162124818222</v>
      </c>
      <c r="GI537" s="6">
        <v>6471.3449485467327</v>
      </c>
      <c r="GJ537" s="14">
        <v>0.50394797582841722</v>
      </c>
      <c r="GK537" s="14">
        <v>0.50887573065309755</v>
      </c>
      <c r="GL537" s="14">
        <v>0.49605202417158262</v>
      </c>
      <c r="GM537" s="14">
        <v>0.49112426934690256</v>
      </c>
      <c r="GO537" s="5">
        <v>343.14810671672558</v>
      </c>
      <c r="GP537" s="5">
        <v>304.61036031982871</v>
      </c>
      <c r="GQ537" s="5">
        <v>535.04305713031317</v>
      </c>
      <c r="GR537" s="5">
        <v>410.15490233172511</v>
      </c>
      <c r="GS537" s="5">
        <v>339.42744393800166</v>
      </c>
      <c r="GT537" s="5">
        <v>293.4407446948278</v>
      </c>
      <c r="GU537" s="5">
        <v>258.04012322764959</v>
      </c>
      <c r="GV537" s="39" t="s">
        <v>392</v>
      </c>
      <c r="GW537" s="5">
        <v>492.125</v>
      </c>
      <c r="GX537" s="5">
        <v>369.09375</v>
      </c>
      <c r="GY537" s="5">
        <v>295.27499999999998</v>
      </c>
      <c r="GZ537" s="5">
        <v>252.85821728143046</v>
      </c>
      <c r="HA537" s="5">
        <v>241.34874471337258</v>
      </c>
      <c r="HB537" s="39">
        <v>266.78310861137493</v>
      </c>
      <c r="HC537" s="5">
        <v>287.56655829738071</v>
      </c>
      <c r="HD537" s="5">
        <v>239.99799238008356</v>
      </c>
      <c r="HE537" s="5">
        <v>241.14168635502031</v>
      </c>
      <c r="HF537" s="5">
        <v>221.05790951107167</v>
      </c>
      <c r="HG537" s="5">
        <v>210.75500473779988</v>
      </c>
      <c r="HH537" s="39">
        <v>239.85594626257497</v>
      </c>
      <c r="HI537" s="16"/>
      <c r="HJ537" s="19" t="str">
        <f t="shared" si="1513"/>
        <v>On</v>
      </c>
      <c r="HK537" s="1" t="str">
        <f t="shared" si="1513"/>
        <v>On</v>
      </c>
      <c r="HL537" s="16"/>
      <c r="HM537" s="639">
        <f t="shared" si="1413"/>
        <v>2.4909940070666322E-2</v>
      </c>
      <c r="HN537" s="639">
        <f t="shared" si="1414"/>
        <v>2.2052381276269151E-3</v>
      </c>
      <c r="HO537" s="639">
        <f t="shared" si="1415"/>
        <v>2.079866082302006E-3</v>
      </c>
      <c r="HP537" s="644">
        <f>(FT537*$GD537-HM537)/$JF537*INDEX(Input!$1:$1048576,$JG$93,$C537*2+6)</f>
        <v>94.621721061642972</v>
      </c>
      <c r="HQ537" s="644">
        <f>(FU537*$GD537-HN537)/$JF537*INDEX(Input!$1:$1048576,$JG$93,$C537*2+6)</f>
        <v>-3.4148448328807559</v>
      </c>
      <c r="HR537" s="644">
        <f>(FV537*$GD537-HO537)/$JF537*INDEX(Input!$1:$1048576,$JG$93,$C537*2+6)</f>
        <v>-15.418918848046747</v>
      </c>
      <c r="HS537" s="644">
        <f t="shared" si="1416"/>
        <v>-37.757290220748978</v>
      </c>
      <c r="HT537" s="644">
        <f t="shared" si="1417"/>
        <v>16.930140916894914</v>
      </c>
      <c r="HU537" s="644">
        <f t="shared" si="1418"/>
        <v>3.4133320121260224</v>
      </c>
      <c r="HV537" s="648">
        <f t="shared" si="1419"/>
        <v>0</v>
      </c>
      <c r="HW537" s="648">
        <f t="shared" si="1420"/>
        <v>0</v>
      </c>
      <c r="HX537" s="648">
        <f t="shared" si="1421"/>
        <v>0</v>
      </c>
      <c r="HY537" s="644">
        <f>INDEX(Input!$1:$1048576,HY$93,$C537*2+6)*INDEX(Input!$1:$1048576,$JG$93,$C537*2+6)</f>
        <v>333.00000000000006</v>
      </c>
      <c r="HZ537" s="644">
        <f>INDEX(Input!$1:$1048576,HZ$93,$C537*2+6)*INDEX(Input!$1:$1048576,$JG$93,$C537*2+6)</f>
        <v>429</v>
      </c>
      <c r="IA537" s="644">
        <f>INDEX(Input!$1:$1048576,IA$93,$C537*2+6)*INDEX(Input!$1:$1048576,$JG$93,$C537*2+6)</f>
        <v>59</v>
      </c>
      <c r="IB537" s="644">
        <f t="shared" si="1445"/>
        <v>389.86443084089404</v>
      </c>
      <c r="IC537" s="644">
        <f t="shared" si="1446"/>
        <v>442.51529608401415</v>
      </c>
      <c r="ID537" s="644">
        <f>IF(AND(INDEX(Input!$1:$1048576,IA$93,$C537*2+7)="TOS",Y537&lt;=INDEX(Y:Y,MATCH(C537*1000+2,A:A))),0,1)*MAX(IA537+HR537+HU537+HX537,0%)</f>
        <v>46.994413164079276</v>
      </c>
      <c r="IE537" s="128">
        <f t="shared" ref="IE537:IE550" si="1514">IB537/SUM($IB537:$ID537)</f>
        <v>0.44334306988086097</v>
      </c>
      <c r="IF537" s="128">
        <f t="shared" si="1468"/>
        <v>0.50321618058865614</v>
      </c>
      <c r="IG537" s="128">
        <f t="shared" si="1423"/>
        <v>5.3440749530482799E-2</v>
      </c>
      <c r="IH537" s="21"/>
      <c r="II537" s="19">
        <f t="shared" si="1424"/>
        <v>1240</v>
      </c>
      <c r="IJ537" s="19">
        <f t="shared" si="1425"/>
        <v>1985.7442651839444</v>
      </c>
      <c r="IK537" s="19">
        <f t="shared" si="1426"/>
        <v>-21.44990394013189</v>
      </c>
      <c r="IL537" s="19">
        <f t="shared" si="1448"/>
        <v>780</v>
      </c>
      <c r="IM537" s="19">
        <f t="shared" si="1427"/>
        <v>340.62558818285629</v>
      </c>
      <c r="IN537" s="19">
        <f t="shared" si="1428"/>
        <v>15.000000000000227</v>
      </c>
      <c r="IO537" s="39">
        <f t="shared" si="1429"/>
        <v>0</v>
      </c>
      <c r="IP537" s="39">
        <f t="shared" si="1430"/>
        <v>0</v>
      </c>
      <c r="IQ537" s="39">
        <f t="shared" si="1431"/>
        <v>0</v>
      </c>
      <c r="IR537" s="39">
        <v>0</v>
      </c>
      <c r="IS537" s="39">
        <v>0</v>
      </c>
      <c r="IT537" s="39">
        <v>0</v>
      </c>
      <c r="IU537" s="39">
        <v>0</v>
      </c>
      <c r="IV537" s="39">
        <v>0</v>
      </c>
      <c r="IW537" s="39">
        <v>0</v>
      </c>
      <c r="IX537" s="39">
        <f>INDEX(Input!$1:$1048576,IX$93,$C537*2+6)+INDEX(Input!$1:$1048576,IX$94,$C537*2+6)</f>
        <v>1270</v>
      </c>
      <c r="IY537" s="39">
        <f>INDEX(Input!$1:$1048576,IY$93,$C537*2+6)+INDEX(Input!$1:$1048576,IY$94,$C537*2+6)</f>
        <v>2130.0624533823611</v>
      </c>
      <c r="IZ537" s="39">
        <f>INDEX(Input!$1:$1048576,IZ$93,$C537*2+6)+INDEX(Input!$1:$1048576,IZ$94,$C537*2+6)</f>
        <v>3653.7164157747857</v>
      </c>
      <c r="JA537" s="19">
        <f t="shared" si="1449"/>
        <v>2050</v>
      </c>
      <c r="JB537" s="19">
        <f t="shared" si="1450"/>
        <v>2470.6880415652176</v>
      </c>
      <c r="JC537" s="19">
        <f t="shared" si="1451"/>
        <v>3668.7164157747857</v>
      </c>
      <c r="JD537" s="19">
        <f t="shared" si="1452"/>
        <v>2348.202448032072</v>
      </c>
      <c r="JE537" s="21"/>
      <c r="JF537" s="1">
        <f t="shared" si="1432"/>
        <v>2.9195044280595241E-2</v>
      </c>
      <c r="JG537" s="15">
        <f>INDEX(Input!$1:$1048576,JG$93,$C537*2+6)/(1+VLOOKUP(C537*1000+INDEX(Input!$1:$1048576,JG$93+1,$C537*2+6),$A:$KK,$JK$92,FALSE))</f>
        <v>821</v>
      </c>
      <c r="JH537" s="1">
        <f t="shared" si="1453"/>
        <v>9.2311762948496301E-2</v>
      </c>
      <c r="JI537" s="1">
        <f t="shared" si="1454"/>
        <v>-2.1210496092238781E-2</v>
      </c>
      <c r="JJ537" s="1">
        <f t="shared" si="1492"/>
        <v>0</v>
      </c>
      <c r="JK537" s="1">
        <f t="shared" si="1496"/>
        <v>7.110126685625752E-2</v>
      </c>
      <c r="JL537" s="15">
        <f t="shared" si="1457"/>
        <v>58.374140088987424</v>
      </c>
      <c r="JM537" s="15">
        <f t="shared" si="1483"/>
        <v>879.37414008898747</v>
      </c>
      <c r="JN537" s="21"/>
      <c r="JO537" s="19">
        <f>INDEX(Input!$1:$1048576,JO$93,$C537*2+6)</f>
        <v>5995.5</v>
      </c>
      <c r="JP537" s="19">
        <f>INDEX(Input!$1:$1048576,JP$93,$C537*2+6)</f>
        <v>1890.7138380411029</v>
      </c>
      <c r="JQ537" s="39">
        <f t="shared" si="1469"/>
        <v>3647.297551967928</v>
      </c>
      <c r="JR537" s="39">
        <f t="shared" si="1486"/>
        <v>457.48860999096905</v>
      </c>
      <c r="JS537" s="39">
        <f t="shared" si="1471"/>
        <v>2.0649485084930586</v>
      </c>
      <c r="JT537" s="39">
        <f t="shared" si="1459"/>
        <v>0.51267244746131313</v>
      </c>
      <c r="JU537" s="385">
        <f>(JQ537*JM537-INDEX(Input!$1:$1048576,Input!A$18,$C537*2+6)*JL537*INDEX(Input!$1:$1048576,Input!A$19,$C537*2+6))/1000000</f>
        <v>3.2073391484104659</v>
      </c>
      <c r="JV537" s="39">
        <f t="shared" si="1493"/>
        <v>-0.1626902905577885</v>
      </c>
      <c r="JW537" s="1">
        <f t="shared" si="1484"/>
        <v>-4.8275628894089623E-2</v>
      </c>
      <c r="JX537" s="19">
        <f t="shared" si="1475"/>
        <v>8782.5267606474154</v>
      </c>
      <c r="JZ537" s="341"/>
      <c r="KA537" s="342"/>
      <c r="KB537" s="469">
        <f t="shared" si="1472"/>
        <v>2.5122967434604799</v>
      </c>
      <c r="KI537" s="473">
        <f t="shared" ref="KI537:KI550" si="1515">$JM537*IE537-$JG537*HY537/SUM($HY537:$IA537)</f>
        <v>56.864430840893931</v>
      </c>
      <c r="KJ537" s="473">
        <f t="shared" ref="KJ537:KJ550" si="1516">$JM537*IF537-$JG537*HZ537/SUM($HY537:$IA537)</f>
        <v>13.515296084014096</v>
      </c>
      <c r="KK537" s="473">
        <f t="shared" si="1461"/>
        <v>-12.005586835920724</v>
      </c>
      <c r="KN537" s="544">
        <f t="shared" si="1476"/>
        <v>5002</v>
      </c>
      <c r="KO537" s="541">
        <f t="shared" si="1436"/>
        <v>6.6757814610734378E-2</v>
      </c>
      <c r="KP537" s="546">
        <f t="shared" si="1437"/>
        <v>488.8183832742277</v>
      </c>
      <c r="KQ537" s="546">
        <f t="shared" si="1438"/>
        <v>429.28368230880551</v>
      </c>
      <c r="KR537" s="548">
        <f t="shared" si="1439"/>
        <v>2.4672805750509528</v>
      </c>
      <c r="KS537" s="548">
        <f t="shared" si="1440"/>
        <v>2.809452470435946</v>
      </c>
      <c r="KT537" s="473">
        <f t="shared" si="1474"/>
        <v>595.94378802984284</v>
      </c>
      <c r="KU537" s="663">
        <f t="shared" si="1462"/>
        <v>4.0477496607152634</v>
      </c>
      <c r="KV537" s="117"/>
    </row>
    <row r="538" spans="1:308" s="26" customFormat="1" ht="15">
      <c r="A538" s="561">
        <f t="shared" si="1441"/>
        <v>5038</v>
      </c>
      <c r="B538" s="561">
        <f t="shared" si="1463"/>
        <v>38</v>
      </c>
      <c r="C538" s="561">
        <f t="shared" si="1464"/>
        <v>5</v>
      </c>
      <c r="D538" s="561" t="str">
        <f t="shared" si="1509"/>
        <v xml:space="preserve">1000 CC, 0/0/0.9/3.9, </v>
      </c>
      <c r="E538" s="475">
        <f>INDEX(Input!$1:$1048576,E$93,$C538*2+MIN($B538,2)+5)
+INDEX(Scenarios!E$121:E$200,MATCH($B538,Scenarios!$B$121:$B$200,0))</f>
        <v>2277.4263093788063</v>
      </c>
      <c r="F538" s="475">
        <f>INDEX(Input!$1:$1048576,F$93,$C538*2+MIN($B538,2)+5)
+INDEX(Scenarios!F$121:F$200,MATCH($B538,Scenarios!$B$121:$B$200,0))</f>
        <v>0</v>
      </c>
      <c r="G538" s="475">
        <f>INDEX(Input!$1:$1048576,G$93,$C538*2+MIN($B538,2)+5)
+INDEX(Scenarios!G$121:G$200,MATCH($B538,Scenarios!$B$121:$B$200,0))</f>
        <v>0</v>
      </c>
      <c r="H538" s="475">
        <f>INDEX(Input!$1:$1048576,H$93,$C538*2+MIN($B538,2)+5)
+INDEX(Scenarios!H$121:H$200,MATCH($B538,Scenarios!$B$121:$B$200,0))</f>
        <v>0</v>
      </c>
      <c r="I538" s="476">
        <f>INDEX(Input!$1:$1048576,I$93,$C538*2+MIN($B538,2)+5)</f>
        <v>0.7</v>
      </c>
      <c r="J538" s="476" t="str">
        <f>INDEX(Input!$1:$1048576,J$93,$C538*2+MIN($B538,2)+5)</f>
        <v>Market</v>
      </c>
      <c r="K538" s="476" t="str">
        <f>INDEX(Input!$1:$1048576,K$93,$C538*2+MIN($B538,2)+5)</f>
        <v>Market</v>
      </c>
      <c r="L538" s="476" t="str">
        <f>INDEX(Input!$1:$1048576,L$93,$C538*2+MIN($B538,2)+5)</f>
        <v>Market</v>
      </c>
      <c r="M538" s="476" t="str">
        <f>INDEX(Input!$1:$1048576,M$93,$C538*2+MIN($B538,2)+5)</f>
        <v>Market</v>
      </c>
      <c r="N538" s="476" t="str">
        <f>INDEX(Input!$1:$1048576,N$93,$C538*2+MIN($B538,2)+5)</f>
        <v>Market</v>
      </c>
      <c r="O538" s="476" t="str">
        <f>INDEX(Input!$1:$1048576,O$93,$C538*2+MIN($B538,2)+5)</f>
        <v>Market</v>
      </c>
      <c r="P538" s="476" t="str">
        <f>INDEX(Input!$1:$1048576,P$93,$C538*2+MIN($B538,2)+5)</f>
        <v>N</v>
      </c>
      <c r="Q538" s="477">
        <f>INDEX(Input!$1:$1048576,Q$93,$C538*2+MIN($B538,2)+5)
+INDEX(Scenarios!Q$121:Q$200,MATCH($B538,Scenarios!$B$121:$B$200,0))</f>
        <v>0</v>
      </c>
      <c r="R538" s="478">
        <f>IFERROR(MAX(0,INDEX(Input!$1:$1048576,R$93,$C538*2+MIN($B538,2)+5)
+INDEX(Scenarios!R$121:R$200,MATCH($B538,Scenarios!$B$121:$B$200,0)),),"Market")</f>
        <v>0</v>
      </c>
      <c r="S538" s="478">
        <f>IFERROR(MAX(0,INDEX(Input!$1:$1048576,S$93,$C538*2+MIN($B538,2)+5)
+INDEX(Scenarios!S$121:S$200,MATCH($B538,Scenarios!$B$121:$B$200,0)),),"Market")</f>
        <v>0</v>
      </c>
      <c r="T538" s="478">
        <f>IFERROR(MAX(0,INDEX(Input!$1:$1048576,T$93,$C538*2+MIN($B538,2)+5)
+INDEX(Scenarios!T$121:T$200,MATCH($B538,Scenarios!$B$121:$B$200,0)),),"Market")</f>
        <v>0</v>
      </c>
      <c r="U538" s="478">
        <f>IFERROR(MAX(0,INDEX(Input!$1:$1048576,U$93,$C538*2+MIN($B538,2)+5)
+INDEX(Scenarios!U$121:U$200,MATCH($B538,Scenarios!$B$121:$B$200,0)),),"Market")</f>
        <v>0</v>
      </c>
      <c r="V538" s="478">
        <f>IFERROR(MAX(0,INDEX(Input!$1:$1048576,V$93,$C538*2+MIN($B538,2)+5)
+INDEX(Scenarios!V$121:V$200,MATCH($B538,Scenarios!$B$121:$B$200,0)),),"Market")</f>
        <v>8.9999999999999993E-3</v>
      </c>
      <c r="W538" s="885">
        <f>IFERROR(MAX(0,INDEX(Input!$1:$1048576,W$93,$C538*2+MIN($B538,2)+5)-0%,),"Market")</f>
        <v>3.9E-2</v>
      </c>
      <c r="X538" s="476" t="str">
        <f>INDEX(Input!$1:$1048576,X$93,$C538*2+MIN($B538,2)+5)</f>
        <v>Y</v>
      </c>
      <c r="Y538" s="475">
        <f>INDEX(Input!$1:$1048576,Y$93,$C538*2+MIN($B538,2)+5)
++INDEX(Scenarios!Y$121:Y$200,MATCH($B538,Scenarios!$B$121:$B$200,0))</f>
        <v>-717.93641739252325</v>
      </c>
      <c r="Z538" s="477">
        <f>INDEX(Input!$1:$1048576,Z$93,$C538*2+MIN($B538,2)+5)
+INDEX(Scenarios!Z$121:Z$200,MATCH($B538,Scenarios!$B$121:$B$200,0))</f>
        <v>0</v>
      </c>
      <c r="AA538" s="475">
        <f>INDEX(Input!$1:$1048576,AA$93,$C538*2+MIN($B538,2)+5)
+INDEX(Scenarios!AA$121:AA$200,MATCH($B538,Scenarios!$B$121:$B$200,0))</f>
        <v>0</v>
      </c>
      <c r="AB538" s="476">
        <f>INDEX(Input!$1:$1048576,AB$93,$C538*2+MIN($B538,2)+5)</f>
        <v>0.27</v>
      </c>
      <c r="AC538" s="475">
        <f>INDEX(Input!$1:$1048576,AC$93,$C538*2+MIN($B538,2)+5)
+INDEX(Scenarios!AC$121:AC$200,MATCH($B538,Scenarios!$B$121:$B$200,0))</f>
        <v>0</v>
      </c>
      <c r="AD538" s="476">
        <f>INDEX(Input!$1:$1048576,AD$93,$C538*2+MIN($B538,2)+5)</f>
        <v>0.27</v>
      </c>
      <c r="AE538" s="475">
        <f>INDEX(Input!$1:$1048576,AE$93,$C538*2+MIN($B538,2)+5)
+INDEX(Scenarios!AE$121:AE$200,MATCH($B538,Scenarios!$B$121:$B$200,0))</f>
        <v>0</v>
      </c>
      <c r="AF538" s="476">
        <f>INDEX(Input!$1:$1048576,AF$93,$C538*2+MIN($B538,2)+5)</f>
        <v>0.2</v>
      </c>
      <c r="AG538" s="475">
        <f>INDEX(Input!$1:$1048576,AG$93,$C538*2+MIN($B538,2)+5)
+INDEX(Scenarios!AG$121:AG$200,MATCH($B538,Scenarios!$B$121:$B$200,0))</f>
        <v>500</v>
      </c>
      <c r="AH538" s="476">
        <f>INDEX(Input!$1:$1048576,AH$93,$C538*2+MIN($B538,2)+5)</f>
        <v>1</v>
      </c>
      <c r="AI538" s="475">
        <f>INDEX(Input!$1:$1048576,AI$93,$C538*2+MIN($B538,2)+5)
+INDEX(Scenarios!AI$121:AI$200,MATCH($B538,Scenarios!$B$121:$B$200,0))</f>
        <v>0</v>
      </c>
      <c r="AJ538" s="476">
        <f>INDEX(Input!$1:$1048576,AJ$93,$C538*2+MIN($B538,2)+5)</f>
        <v>0.27</v>
      </c>
      <c r="AK538" s="150">
        <f>ROUND(INDEX(Input!$1:$1048576,AK$93,$C537*2+MIN($B538,1)+5)+(Y538-VLOOKUP($C538*1000+1,$A:$HH,Y$92,FALSE)),0)</f>
        <v>2587</v>
      </c>
      <c r="AL538" s="150">
        <f>ROUND(INDEX(Input!$1:$1048576,AL$93,$C537*2+MIN($B538,1)+5)-(Y538-VLOOKUP($C538*1000+1,$A:$HH,Y$92,FALSE))/36,0)</f>
        <v>3406</v>
      </c>
      <c r="AM538" s="32" t="str">
        <f t="shared" si="1442"/>
        <v>std/std/std/std</v>
      </c>
      <c r="AN538" s="32" t="str">
        <f t="shared" si="1443"/>
        <v>$0 + 0/0/0/0.9/3.9</v>
      </c>
      <c r="AO538" s="32" t="str">
        <f t="shared" si="1444"/>
        <v>0/0/0/0.9/3.9</v>
      </c>
      <c r="AP538" s="32" t="str">
        <f t="shared" si="1396"/>
        <v>0/0/0.9/3.9</v>
      </c>
      <c r="AQ538" s="536">
        <f t="shared" si="1394"/>
        <v>0.46216747893073828</v>
      </c>
      <c r="AR538" s="32"/>
      <c r="AS538" s="302"/>
      <c r="AT538" s="3">
        <f t="shared" si="1465"/>
        <v>38</v>
      </c>
      <c r="AU538" s="41" t="s">
        <v>121</v>
      </c>
      <c r="AV538" s="41" t="s">
        <v>116</v>
      </c>
      <c r="AW538" s="41" t="str">
        <f>INDEX(Input!$1:$1048576,AW$93,$C538*2+6)</f>
        <v>Kia</v>
      </c>
      <c r="AX538" s="41" t="str">
        <f>INDEX(Input!$1:$1048576,AX$93,$C538*2+6)</f>
        <v>Kia-LR - R2</v>
      </c>
      <c r="AY538" s="41" t="str">
        <f>IF(LEN(D538)=0,"",INDEX(Input!$1:$1048576,AY$93,$C538*2+6))</f>
        <v>Compact SUV (52)</v>
      </c>
      <c r="AZ538" s="41" t="str">
        <f>INDEX(Input!$1:$1048576,AZ$93,$C538*2+6)</f>
        <v>Kia Soul</v>
      </c>
      <c r="BA538" s="3">
        <f>INDEX(Input!$1:$1048576,BA$93,$C538*2+6)</f>
        <v>2020</v>
      </c>
      <c r="BB538" s="128">
        <f>INDEX(Input!$1:$1048576,BB$93,$C538*2+6)</f>
        <v>1</v>
      </c>
      <c r="BC538" s="128">
        <f>INDEX(Input!$1:$1048576,BC$93,$C538*2+6)</f>
        <v>0.7</v>
      </c>
      <c r="BD538" s="1">
        <f>INDEX(Input!$1:$1048576,BD$93,$C538*2+6)</f>
        <v>4.4999999999999998E-2</v>
      </c>
      <c r="BE538" s="1">
        <f>INDEX(Input!$1:$1048576,BE$93,$C538*2+6)</f>
        <v>4.4999999999999998E-2</v>
      </c>
      <c r="BF538" s="1">
        <f>INDEX(Input!$1:$1048576,BF$93,$C538*2+6)</f>
        <v>0.05</v>
      </c>
      <c r="BG538" s="1">
        <f>INDEX(Input!$1:$1048576,BG$93,$C538*2+6)</f>
        <v>5.45E-2</v>
      </c>
      <c r="BH538" s="1">
        <f>INDEX(Input!$1:$1048576,BH$93,$C538*2+6)</f>
        <v>5.45E-2</v>
      </c>
      <c r="BI538" s="1">
        <f>INDEX(Input!$1:$1048576,BI$93,$C538*2+6)</f>
        <v>0.05</v>
      </c>
      <c r="BJ538" s="1">
        <f>INDEX(Input!$1:$1048576,BJ$93,$C538*2+6)</f>
        <v>0.05</v>
      </c>
      <c r="BK538" s="1">
        <f>INDEX(Input!$1:$1048576,BK$93,$C538*2+6)</f>
        <v>0.05</v>
      </c>
      <c r="BL538" s="1">
        <f>INDEX(Input!$1:$1048576,BL$93,$C538*2+6)</f>
        <v>5.5E-2</v>
      </c>
      <c r="BM538" s="1">
        <f>INDEX(Input!$1:$1048576,BM$93,$C538*2+6)</f>
        <v>0.06</v>
      </c>
      <c r="BN538" s="1">
        <f>INDEX(Input!$1:$1048576,BN$93,$C538*2+6)</f>
        <v>4.4999999999999998E-2</v>
      </c>
      <c r="BO538" s="1">
        <f>INDEX(Input!$1:$1048576,BO$93,$C538*2+6)</f>
        <v>4.4999999999999998E-2</v>
      </c>
      <c r="BP538" s="1">
        <f>INDEX(Input!$1:$1048576,BP$93,$C538*2+6)</f>
        <v>0.05</v>
      </c>
      <c r="BQ538" s="1">
        <f>INDEX(Input!$1:$1048576,BQ$93,$C538*2+6)</f>
        <v>5.45E-2</v>
      </c>
      <c r="BR538" s="1">
        <f>INDEX(Input!$1:$1048576,BR$93,$C538*2+6)</f>
        <v>5.45E-2</v>
      </c>
      <c r="BS538" s="1">
        <f>INDEX(Input!$1:$1048576,BS$93,$C538*2+6)</f>
        <v>0.05</v>
      </c>
      <c r="BT538" s="1">
        <f>INDEX(Input!$1:$1048576,BT$93,$C538*2+6)</f>
        <v>0.05</v>
      </c>
      <c r="BU538" s="1">
        <f>INDEX(Input!$1:$1048576,BU$93,$C538*2+6)</f>
        <v>0.05</v>
      </c>
      <c r="BV538" s="1">
        <f>INDEX(Input!$1:$1048576,BV$93,$C538*2+6)</f>
        <v>5.5E-2</v>
      </c>
      <c r="BW538" s="1">
        <f>INDEX(Input!$1:$1048576,BW$93,$C538*2+6)</f>
        <v>0.06</v>
      </c>
      <c r="BX538" s="127">
        <f>INDEX(Input!$1:$1048576,BX$93,$C538*2+6)</f>
        <v>19985</v>
      </c>
      <c r="BY538" s="20">
        <f>INDEX(Input!$1:$1048576,BY$93,$C538*2+6)</f>
        <v>0.1</v>
      </c>
      <c r="BZ538" s="20">
        <f>INDEX(Input!$1:$1048576,BZ$93,$C538*2+6)</f>
        <v>0.1</v>
      </c>
      <c r="CA538" s="20">
        <f>INDEX(Input!$1:$1048576,CA$93,$C538*2+6)</f>
        <v>0.1</v>
      </c>
      <c r="CB538" s="20">
        <f>INDEX(Input!$1:$1048576,CB$93,$C538*2+6)</f>
        <v>0.1</v>
      </c>
      <c r="CC538" s="20">
        <f>INDEX(Input!$1:$1048576,CC$93,$C538*2+6)</f>
        <v>0.1</v>
      </c>
      <c r="CD538" s="384">
        <f>INDEX(Input!$1:$1048576,CD$93,$C538*2+6)</f>
        <v>0.1</v>
      </c>
      <c r="CE538" s="384">
        <f>INDEX(Input!$1:$1048576,CE$93,$C538*2+6)</f>
        <v>0.1</v>
      </c>
      <c r="CF538" s="384">
        <f>INDEX(Input!$1:$1048576,CF$93,$C538*2+6)</f>
        <v>0.1</v>
      </c>
      <c r="CG538" s="384">
        <f>INDEX(Input!$1:$1048576,CG$93,$C538*2+6)</f>
        <v>0.1</v>
      </c>
      <c r="CH538" s="384">
        <f>INDEX(Input!$1:$1048576,CH$93,$C538*2+6)</f>
        <v>0.1</v>
      </c>
      <c r="CI538" s="304">
        <f t="shared" si="1397"/>
        <v>2277.4263093788063</v>
      </c>
      <c r="CJ538" s="16" t="str">
        <f>INDEX(Input!$1:$1048576,CJ$93,$C538*2+6)</f>
        <v>N</v>
      </c>
      <c r="CK538" s="1" t="str">
        <f t="shared" si="1398"/>
        <v>Market</v>
      </c>
      <c r="CL538" s="1" t="str">
        <f t="shared" si="1399"/>
        <v>Market</v>
      </c>
      <c r="CM538" s="1" t="str">
        <f t="shared" si="1400"/>
        <v>Market</v>
      </c>
      <c r="CN538" s="1" t="str">
        <f t="shared" si="1401"/>
        <v>Market</v>
      </c>
      <c r="CO538" s="1" t="str">
        <f t="shared" si="1402"/>
        <v>Market</v>
      </c>
      <c r="CP538" s="304">
        <f t="shared" si="1403"/>
        <v>500</v>
      </c>
      <c r="CQ538" s="1">
        <f t="shared" si="1404"/>
        <v>0</v>
      </c>
      <c r="CR538" s="1">
        <f t="shared" si="1405"/>
        <v>0</v>
      </c>
      <c r="CS538" s="1">
        <f t="shared" si="1406"/>
        <v>0</v>
      </c>
      <c r="CT538" s="1">
        <f t="shared" si="1407"/>
        <v>8.9999999999999993E-3</v>
      </c>
      <c r="CU538" s="1">
        <f t="shared" si="1408"/>
        <v>3.9E-2</v>
      </c>
      <c r="CV538" s="304">
        <f t="shared" si="1409"/>
        <v>-717.93641739252325</v>
      </c>
      <c r="CW538" s="20" t="s">
        <v>122</v>
      </c>
      <c r="CX538" s="20" t="s">
        <v>122</v>
      </c>
      <c r="CY538" s="20" t="s">
        <v>122</v>
      </c>
      <c r="CZ538" s="20" t="s">
        <v>122</v>
      </c>
      <c r="DA538" s="20" t="s">
        <v>122</v>
      </c>
      <c r="DB538" s="503">
        <f t="shared" si="1410"/>
        <v>0</v>
      </c>
      <c r="DC538" s="127">
        <v>0</v>
      </c>
      <c r="DD538" s="127">
        <v>0</v>
      </c>
      <c r="DE538" s="127">
        <v>0</v>
      </c>
      <c r="DF538" s="127">
        <v>0</v>
      </c>
      <c r="DG538" s="127">
        <v>0</v>
      </c>
      <c r="DH538" s="127">
        <v>0</v>
      </c>
      <c r="DI538" s="127">
        <v>0</v>
      </c>
      <c r="DJ538" s="127">
        <v>0</v>
      </c>
      <c r="DK538" s="127">
        <v>0</v>
      </c>
      <c r="DL538" s="127">
        <v>0</v>
      </c>
      <c r="DM538" s="304">
        <f>INDEX(Input!$1:$1048576,DM$93,$C538*2+6)</f>
        <v>21036.84210526316</v>
      </c>
      <c r="DN538" s="20">
        <v>0</v>
      </c>
      <c r="DO538" s="20">
        <v>0</v>
      </c>
      <c r="DP538" s="20">
        <v>0</v>
      </c>
      <c r="DQ538" s="20">
        <v>0</v>
      </c>
      <c r="DR538" s="20">
        <v>0</v>
      </c>
      <c r="DS538" s="20">
        <f>INDEX(Input!$1:$1048576,DS$93,$C538*2+6)</f>
        <v>0.6</v>
      </c>
      <c r="DT538" s="20">
        <f>INDEX(Input!$1:$1048576,DT$93,$C538*2+6)</f>
        <v>0.55000000000000004</v>
      </c>
      <c r="DU538" s="20">
        <f>INDEX(Input!$1:$1048576,DU$93,$C538*2+6)</f>
        <v>0.52</v>
      </c>
      <c r="DV538" s="20">
        <f>INDEX(Input!$1:$1048576,DV$93,$C538*2+6)</f>
        <v>0.5</v>
      </c>
      <c r="DW538" s="20">
        <f>INDEX(Input!$1:$1048576,DW$93,$C538*2+6)</f>
        <v>0.45</v>
      </c>
      <c r="DX538" s="20"/>
      <c r="DY538" s="7">
        <v>0.1374564031363445</v>
      </c>
      <c r="DZ538" s="7">
        <v>0</v>
      </c>
      <c r="EA538" s="7">
        <v>0.76261800197691554</v>
      </c>
      <c r="EB538" s="7">
        <v>0</v>
      </c>
      <c r="EC538" s="7">
        <v>0</v>
      </c>
      <c r="ED538" s="7">
        <v>0</v>
      </c>
      <c r="EE538" s="7">
        <v>0</v>
      </c>
      <c r="EF538" s="7">
        <v>0</v>
      </c>
      <c r="EG538" s="7">
        <v>0</v>
      </c>
      <c r="EH538" s="7">
        <v>9.4891633161500368E-3</v>
      </c>
      <c r="EI538" s="7">
        <v>2.638288583794253E-2</v>
      </c>
      <c r="EJ538" s="7">
        <v>0.22911455560928698</v>
      </c>
      <c r="EK538" s="7">
        <v>0.63687926149517449</v>
      </c>
      <c r="EL538" s="7">
        <v>9.8134133741445168E-2</v>
      </c>
      <c r="EM538" s="7">
        <v>5.7581135490190893E-2</v>
      </c>
      <c r="EN538" s="7">
        <v>5.8500269439742909E-2</v>
      </c>
      <c r="EO538" s="7">
        <v>0.71701063311434876</v>
      </c>
      <c r="EP538" s="7">
        <v>8.9827045945307341E-2</v>
      </c>
      <c r="EQ538" s="7">
        <v>8.8412129982560705E-2</v>
      </c>
      <c r="ER538" s="7">
        <v>4.6249921518040277E-2</v>
      </c>
      <c r="ES538" s="7">
        <v>4.2344459396549024E-2</v>
      </c>
      <c r="ET538" s="7">
        <v>9.9925594886739993E-2</v>
      </c>
      <c r="EU538" s="6">
        <v>2270</v>
      </c>
      <c r="EV538" s="6">
        <v>0</v>
      </c>
      <c r="EW538" s="6">
        <v>2270</v>
      </c>
      <c r="EX538" s="6">
        <v>0</v>
      </c>
      <c r="EY538" s="6">
        <v>2326.3656072416729</v>
      </c>
      <c r="EZ538" s="6">
        <v>-6.4499039401316622</v>
      </c>
      <c r="FA538" s="6">
        <v>0</v>
      </c>
      <c r="FB538" s="6">
        <v>0</v>
      </c>
      <c r="FC538" s="6">
        <v>0</v>
      </c>
      <c r="FD538" s="6">
        <v>0</v>
      </c>
      <c r="FE538" s="6">
        <v>0</v>
      </c>
      <c r="FF538" s="6">
        <v>0</v>
      </c>
      <c r="FG538" s="6">
        <v>0</v>
      </c>
      <c r="FH538" s="6">
        <v>1172.1417131589094</v>
      </c>
      <c r="FI538" s="6">
        <v>1553.9796069512395</v>
      </c>
      <c r="FJ538" s="6">
        <v>2101.2110117447405</v>
      </c>
      <c r="FK538" s="6">
        <v>2251.3078348034687</v>
      </c>
      <c r="FL538" s="6">
        <v>907.07682140966313</v>
      </c>
      <c r="FM538" s="6">
        <v>2056.3656072416729</v>
      </c>
      <c r="FN538" s="6">
        <v>0</v>
      </c>
      <c r="FO538" s="6">
        <v>0</v>
      </c>
      <c r="FP538" s="6">
        <v>0</v>
      </c>
      <c r="FQ538" s="6">
        <v>0</v>
      </c>
      <c r="FR538" s="6">
        <v>0</v>
      </c>
      <c r="FS538" s="6">
        <v>0</v>
      </c>
      <c r="FT538" s="7">
        <v>0.90007440511326009</v>
      </c>
      <c r="FU538" s="7">
        <v>5.7581135490190893E-2</v>
      </c>
      <c r="FV538" s="7">
        <v>4.2344459396549024E-2</v>
      </c>
      <c r="FW538" s="6">
        <v>2270</v>
      </c>
      <c r="FX538" s="6">
        <v>2326.3656072416729</v>
      </c>
      <c r="FY538" s="6">
        <v>-6.4499039401316622</v>
      </c>
      <c r="FZ538" s="6">
        <v>1758.1538569113241</v>
      </c>
      <c r="GA538" s="6">
        <v>2176.8505551418989</v>
      </c>
      <c r="GB538" s="6">
        <v>17808.1494448581</v>
      </c>
      <c r="GC538" s="7">
        <v>3.064145122680037E-2</v>
      </c>
      <c r="GD538" s="7">
        <v>3.2781973743135712E-2</v>
      </c>
      <c r="GE538" s="7"/>
      <c r="GF538" s="7"/>
      <c r="GG538" s="7">
        <v>6.9857086744740921E-2</v>
      </c>
      <c r="GH538" s="42">
        <v>3.3343799568842631</v>
      </c>
      <c r="GI538" s="6">
        <v>8170.4686365901034</v>
      </c>
      <c r="GJ538" s="14">
        <v>0.50394797582841733</v>
      </c>
      <c r="GK538" s="14">
        <v>0.50887573065309732</v>
      </c>
      <c r="GL538" s="14">
        <v>0.4960520241715824</v>
      </c>
      <c r="GM538" s="14">
        <v>0.49112426934690245</v>
      </c>
      <c r="GO538" s="5">
        <v>343.14810671672558</v>
      </c>
      <c r="GP538" s="5">
        <v>299.84083725090579</v>
      </c>
      <c r="GQ538" s="5">
        <v>535.04305713031317</v>
      </c>
      <c r="GR538" s="5">
        <v>410.15490233172511</v>
      </c>
      <c r="GS538" s="5">
        <v>339.42744393800166</v>
      </c>
      <c r="GT538" s="5">
        <v>293.4407446948278</v>
      </c>
      <c r="GU538" s="5">
        <v>258.04012322764959</v>
      </c>
      <c r="GV538" s="39" t="s">
        <v>392</v>
      </c>
      <c r="GW538" s="5">
        <v>492.125</v>
      </c>
      <c r="GX538" s="5">
        <v>369.09375</v>
      </c>
      <c r="GY538" s="5">
        <v>295.27499999999998</v>
      </c>
      <c r="GZ538" s="5">
        <v>252.85821728143046</v>
      </c>
      <c r="HA538" s="5">
        <v>241.34874471337258</v>
      </c>
      <c r="HB538" s="39">
        <v>266.78411785145647</v>
      </c>
      <c r="HC538" s="5">
        <v>287.56655829738071</v>
      </c>
      <c r="HD538" s="5">
        <v>239.99799238008356</v>
      </c>
      <c r="HE538" s="5">
        <v>241.14168635502031</v>
      </c>
      <c r="HF538" s="5">
        <v>221.05790951107167</v>
      </c>
      <c r="HG538" s="5">
        <v>210.75500473779988</v>
      </c>
      <c r="HH538" s="39">
        <v>239.85648200243742</v>
      </c>
      <c r="HI538" s="16"/>
      <c r="HJ538" s="19" t="str">
        <f t="shared" si="1513"/>
        <v>On</v>
      </c>
      <c r="HK538" s="1" t="str">
        <f t="shared" si="1513"/>
        <v>On</v>
      </c>
      <c r="HL538" s="16"/>
      <c r="HM538" s="639">
        <f t="shared" si="1413"/>
        <v>2.4909940070666322E-2</v>
      </c>
      <c r="HN538" s="639">
        <f t="shared" si="1414"/>
        <v>2.2052381276269151E-3</v>
      </c>
      <c r="HO538" s="639">
        <f t="shared" si="1415"/>
        <v>2.079866082302006E-3</v>
      </c>
      <c r="HP538" s="644">
        <f>(FT538*$GD538-HM538)/$JF538*INDEX(Input!$1:$1048576,$JG$93,$C538*2+6)</f>
        <v>129.25283153433335</v>
      </c>
      <c r="HQ538" s="644">
        <f>(FU538*$GD538-HN538)/$JF538*INDEX(Input!$1:$1048576,$JG$93,$C538*2+6)</f>
        <v>-8.9317143751340691</v>
      </c>
      <c r="HR538" s="644">
        <f>(FV538*$GD538-HO538)/$JF538*INDEX(Input!$1:$1048576,$JG$93,$C538*2+6)</f>
        <v>-19.452316946313161</v>
      </c>
      <c r="HS538" s="644">
        <f t="shared" si="1416"/>
        <v>-49.816766688366933</v>
      </c>
      <c r="HT538" s="644">
        <f t="shared" si="1417"/>
        <v>15.912725651321768</v>
      </c>
      <c r="HU538" s="644">
        <f t="shared" si="1418"/>
        <v>4.4304950297784904</v>
      </c>
      <c r="HV538" s="648">
        <f t="shared" si="1419"/>
        <v>0</v>
      </c>
      <c r="HW538" s="648">
        <f t="shared" si="1420"/>
        <v>0</v>
      </c>
      <c r="HX538" s="648">
        <f t="shared" si="1421"/>
        <v>0</v>
      </c>
      <c r="HY538" s="644">
        <f>INDEX(Input!$1:$1048576,HY$93,$C538*2+6)*INDEX(Input!$1:$1048576,$JG$93,$C538*2+6)</f>
        <v>333.00000000000006</v>
      </c>
      <c r="HZ538" s="644">
        <f>INDEX(Input!$1:$1048576,HZ$93,$C538*2+6)*INDEX(Input!$1:$1048576,$JG$93,$C538*2+6)</f>
        <v>429</v>
      </c>
      <c r="IA538" s="644">
        <f>INDEX(Input!$1:$1048576,IA$93,$C538*2+6)*INDEX(Input!$1:$1048576,$JG$93,$C538*2+6)</f>
        <v>59</v>
      </c>
      <c r="IB538" s="644">
        <f t="shared" si="1445"/>
        <v>412.43606484596648</v>
      </c>
      <c r="IC538" s="644">
        <f t="shared" si="1446"/>
        <v>435.9810112761877</v>
      </c>
      <c r="ID538" s="644">
        <f>IF(AND(INDEX(Input!$1:$1048576,IA$93,$C538*2+7)="TOS",Y538&lt;=INDEX(Y:Y,MATCH(C538*1000+2,A:A))),0,1)*MAX(IA538+HR538+HU538+HX538,0%)</f>
        <v>43.97817808346533</v>
      </c>
      <c r="IE538" s="128">
        <f t="shared" si="1514"/>
        <v>0.46216747893073828</v>
      </c>
      <c r="IF538" s="128">
        <f t="shared" si="1468"/>
        <v>0.48855146777341779</v>
      </c>
      <c r="IG538" s="128">
        <f t="shared" si="1423"/>
        <v>4.9281053295843938E-2</v>
      </c>
      <c r="IH538" s="21"/>
      <c r="II538" s="19">
        <f t="shared" si="1424"/>
        <v>1240</v>
      </c>
      <c r="IJ538" s="19">
        <f t="shared" si="1425"/>
        <v>1985.7442651839444</v>
      </c>
      <c r="IK538" s="19">
        <f t="shared" si="1426"/>
        <v>-21.44990394013189</v>
      </c>
      <c r="IL538" s="19">
        <f t="shared" si="1448"/>
        <v>1030</v>
      </c>
      <c r="IM538" s="19">
        <f t="shared" si="1427"/>
        <v>340.6213420577285</v>
      </c>
      <c r="IN538" s="19">
        <f t="shared" si="1428"/>
        <v>15.000000000000227</v>
      </c>
      <c r="IO538" s="39">
        <f t="shared" si="1429"/>
        <v>0</v>
      </c>
      <c r="IP538" s="39">
        <f t="shared" si="1430"/>
        <v>0</v>
      </c>
      <c r="IQ538" s="39">
        <f t="shared" si="1431"/>
        <v>0</v>
      </c>
      <c r="IR538" s="39">
        <v>0</v>
      </c>
      <c r="IS538" s="39">
        <v>0</v>
      </c>
      <c r="IT538" s="39">
        <v>0</v>
      </c>
      <c r="IU538" s="39">
        <v>0</v>
      </c>
      <c r="IV538" s="39">
        <v>0</v>
      </c>
      <c r="IW538" s="39">
        <v>0</v>
      </c>
      <c r="IX538" s="39">
        <f>INDEX(Input!$1:$1048576,IX$93,$C538*2+6)+INDEX(Input!$1:$1048576,IX$94,$C538*2+6)</f>
        <v>1270</v>
      </c>
      <c r="IY538" s="39">
        <f>INDEX(Input!$1:$1048576,IY$93,$C538*2+6)+INDEX(Input!$1:$1048576,IY$94,$C538*2+6)</f>
        <v>2130.0624533823611</v>
      </c>
      <c r="IZ538" s="39">
        <f>INDEX(Input!$1:$1048576,IZ$93,$C538*2+6)+INDEX(Input!$1:$1048576,IZ$94,$C538*2+6)</f>
        <v>3653.7164157747857</v>
      </c>
      <c r="JA538" s="19">
        <f t="shared" si="1449"/>
        <v>2300</v>
      </c>
      <c r="JB538" s="19">
        <f t="shared" si="1450"/>
        <v>2470.6837954400899</v>
      </c>
      <c r="JC538" s="19">
        <f t="shared" si="1451"/>
        <v>3668.7164157747857</v>
      </c>
      <c r="JD538" s="19">
        <f t="shared" si="1452"/>
        <v>2450.8396054200871</v>
      </c>
      <c r="JE538" s="21"/>
      <c r="JF538" s="1">
        <f t="shared" si="1432"/>
        <v>2.9195044280595241E-2</v>
      </c>
      <c r="JG538" s="15">
        <f>INDEX(Input!$1:$1048576,JG$93,$C538*2+6)/(1+VLOOKUP(C538*1000+INDEX(Input!$1:$1048576,JG$93+1,$C538*2+6),$A:$KK,$JK$92,FALSE))</f>
        <v>821</v>
      </c>
      <c r="JH538" s="1">
        <f t="shared" si="1453"/>
        <v>0.12286090159913049</v>
      </c>
      <c r="JI538" s="1">
        <f t="shared" si="1454"/>
        <v>-3.5899568827365003E-2</v>
      </c>
      <c r="JJ538" s="1">
        <f t="shared" si="1492"/>
        <v>0</v>
      </c>
      <c r="JK538" s="1">
        <f t="shared" si="1496"/>
        <v>8.6961332771765487E-2</v>
      </c>
      <c r="JL538" s="15">
        <f t="shared" si="1457"/>
        <v>71.395254205619466</v>
      </c>
      <c r="JM538" s="15">
        <f t="shared" si="1483"/>
        <v>892.39525420561949</v>
      </c>
      <c r="JN538" s="21"/>
      <c r="JO538" s="19">
        <f>INDEX(Input!$1:$1048576,JO$93,$C538*2+6)</f>
        <v>5995.5</v>
      </c>
      <c r="JP538" s="19">
        <f>INDEX(Input!$1:$1048576,JP$93,$C538*2+6)</f>
        <v>1890.7138380411029</v>
      </c>
      <c r="JQ538" s="39">
        <f t="shared" si="1469"/>
        <v>3544.6603945799129</v>
      </c>
      <c r="JR538" s="39">
        <f t="shared" si="1486"/>
        <v>560.12576737898416</v>
      </c>
      <c r="JS538" s="39">
        <f t="shared" si="1471"/>
        <v>2.1871176326960584</v>
      </c>
      <c r="JT538" s="39">
        <f t="shared" si="1459"/>
        <v>0.6348415716643131</v>
      </c>
      <c r="JU538" s="385">
        <f>(JQ538*JM538-INDEX(Input!$1:$1048576,Input!A$18,$C538*2+6)*JL538*INDEX(Input!$1:$1048576,Input!A$19,$C538*2+6))/1000000</f>
        <v>3.1632381138937329</v>
      </c>
      <c r="JV538" s="39">
        <f t="shared" si="1493"/>
        <v>-0.20679132507452147</v>
      </c>
      <c r="JW538" s="1">
        <f t="shared" si="1484"/>
        <v>-6.1361874968614907E-2</v>
      </c>
      <c r="JX538" s="19">
        <f t="shared" si="1475"/>
        <v>8891.9295648974003</v>
      </c>
      <c r="JZ538" s="341"/>
      <c r="KA538" s="342"/>
      <c r="KB538" s="469">
        <f t="shared" si="1472"/>
        <v>2.5122967434604799</v>
      </c>
      <c r="KI538" s="473">
        <f t="shared" si="1515"/>
        <v>79.436064845966428</v>
      </c>
      <c r="KJ538" s="473">
        <f t="shared" si="1516"/>
        <v>6.9810112761877008</v>
      </c>
      <c r="KK538" s="473">
        <f t="shared" si="1461"/>
        <v>-15.02182191653467</v>
      </c>
      <c r="KN538" s="544">
        <f t="shared" si="1476"/>
        <v>5002</v>
      </c>
      <c r="KO538" s="541">
        <f t="shared" si="1436"/>
        <v>8.2553565936159812E-2</v>
      </c>
      <c r="KP538" s="546">
        <f t="shared" si="1437"/>
        <v>613.92127190035603</v>
      </c>
      <c r="KQ538" s="546">
        <f t="shared" si="1438"/>
        <v>531.92083969682062</v>
      </c>
      <c r="KR538" s="548">
        <f t="shared" si="1439"/>
        <v>2.4293333634869594</v>
      </c>
      <c r="KS538" s="548">
        <f t="shared" si="1440"/>
        <v>2.8038371822994366</v>
      </c>
      <c r="KT538" s="473">
        <f t="shared" si="1474"/>
        <v>595.94378802984284</v>
      </c>
      <c r="KU538" s="663">
        <f t="shared" si="1462"/>
        <v>4.0564080563967932</v>
      </c>
      <c r="KV538" s="117"/>
    </row>
    <row r="539" spans="1:308" s="26" customFormat="1" ht="15">
      <c r="A539" s="561">
        <f t="shared" si="1441"/>
        <v>5039</v>
      </c>
      <c r="B539" s="561">
        <f t="shared" si="1463"/>
        <v>39</v>
      </c>
      <c r="C539" s="561">
        <f t="shared" si="1464"/>
        <v>5</v>
      </c>
      <c r="D539" s="561" t="str">
        <f t="shared" si="1509"/>
        <v xml:space="preserve">250 CC, 360 Lease, </v>
      </c>
      <c r="E539" s="475">
        <f>INDEX(Input!$1:$1048576,E$93,$C539*2+MIN($B539,2)+5)
+INDEX(Scenarios!E$121:E$200,MATCH($B539,Scenarios!$B$121:$B$200,0))</f>
        <v>1527.4263093788063</v>
      </c>
      <c r="F539" s="475">
        <f>INDEX(Input!$1:$1048576,F$93,$C539*2+MIN($B539,2)+5)
+INDEX(Scenarios!F$121:F$200,MATCH($B539,Scenarios!$B$121:$B$200,0))</f>
        <v>0</v>
      </c>
      <c r="G539" s="475">
        <f>INDEX(Input!$1:$1048576,G$93,$C539*2+MIN($B539,2)+5)
+INDEX(Scenarios!G$121:G$200,MATCH($B539,Scenarios!$B$121:$B$200,0))</f>
        <v>0</v>
      </c>
      <c r="H539" s="475">
        <f>INDEX(Input!$1:$1048576,H$93,$C539*2+MIN($B539,2)+5)
+INDEX(Scenarios!H$121:H$200,MATCH($B539,Scenarios!$B$121:$B$200,0))</f>
        <v>0</v>
      </c>
      <c r="I539" s="476">
        <f>INDEX(Input!$1:$1048576,I$93,$C539*2+MIN($B539,2)+5)</f>
        <v>0.7</v>
      </c>
      <c r="J539" s="476" t="str">
        <f>INDEX(Input!$1:$1048576,J$93,$C539*2+MIN($B539,2)+5)</f>
        <v>Market</v>
      </c>
      <c r="K539" s="476" t="str">
        <f>INDEX(Input!$1:$1048576,K$93,$C539*2+MIN($B539,2)+5)</f>
        <v>Market</v>
      </c>
      <c r="L539" s="476" t="str">
        <f>INDEX(Input!$1:$1048576,L$93,$C539*2+MIN($B539,2)+5)</f>
        <v>Market</v>
      </c>
      <c r="M539" s="476" t="str">
        <f>INDEX(Input!$1:$1048576,M$93,$C539*2+MIN($B539,2)+5)</f>
        <v>Market</v>
      </c>
      <c r="N539" s="476" t="str">
        <f>INDEX(Input!$1:$1048576,N$93,$C539*2+MIN($B539,2)+5)</f>
        <v>Market</v>
      </c>
      <c r="O539" s="476" t="str">
        <f>INDEX(Input!$1:$1048576,O$93,$C539*2+MIN($B539,2)+5)</f>
        <v>Market</v>
      </c>
      <c r="P539" s="476" t="str">
        <f>INDEX(Input!$1:$1048576,P$93,$C539*2+MIN($B539,2)+5)</f>
        <v>N</v>
      </c>
      <c r="Q539" s="477">
        <f>INDEX(Input!$1:$1048576,Q$93,$C539*2+MIN($B539,2)+5)
+INDEX(Scenarios!Q$121:Q$200,MATCH($B539,Scenarios!$B$121:$B$200,0))</f>
        <v>0</v>
      </c>
      <c r="R539" s="478">
        <f>IFERROR(MAX(0,INDEX(Input!$1:$1048576,R$93,$C539*2+MIN($B539,2)+5)
+INDEX(Scenarios!R$121:R$200,MATCH($B539,Scenarios!$B$121:$B$200,0)),),"Market")</f>
        <v>0</v>
      </c>
      <c r="S539" s="478">
        <f>IFERROR(MAX(0,INDEX(Input!$1:$1048576,S$93,$C539*2+MIN($B539,2)+5)
+INDEX(Scenarios!S$121:S$200,MATCH($B539,Scenarios!$B$121:$B$200,0)),),"Market")</f>
        <v>0</v>
      </c>
      <c r="T539" s="478">
        <f>IFERROR(MAX(0,INDEX(Input!$1:$1048576,T$93,$C539*2+MIN($B539,2)+5)
+INDEX(Scenarios!T$121:T$200,MATCH($B539,Scenarios!$B$121:$B$200,0)),),"Market")</f>
        <v>0</v>
      </c>
      <c r="U539" s="478">
        <f>IFERROR(MAX(0,INDEX(Input!$1:$1048576,U$93,$C539*2+MIN($B539,2)+5)
+INDEX(Scenarios!U$121:U$200,MATCH($B539,Scenarios!$B$121:$B$200,0)),),"Market")</f>
        <v>0</v>
      </c>
      <c r="V539" s="478">
        <f>IFERROR(MAX(0,INDEX(Input!$1:$1048576,V$93,$C539*2+MIN($B539,2)+5)
+INDEX(Scenarios!V$121:V$200,MATCH($B539,Scenarios!$B$121:$B$200,0)),),"Market")</f>
        <v>1.9E-2</v>
      </c>
      <c r="W539" s="885">
        <f>IFERROR(MAX(0,INDEX(Input!$1:$1048576,W$93,$C539*2+MIN($B539,2)+5)-0%,),"Market")</f>
        <v>3.9E-2</v>
      </c>
      <c r="X539" s="476" t="str">
        <f>INDEX(Input!$1:$1048576,X$93,$C539*2+MIN($B539,2)+5)</f>
        <v>Y</v>
      </c>
      <c r="Y539" s="475">
        <f>INDEX(Input!$1:$1048576,Y$93,$C539*2+MIN($B539,2)+5)
++INDEX(Scenarios!Y$121:Y$200,MATCH($B539,Scenarios!$B$121:$B$200,0))</f>
        <v>-357.93641739252325</v>
      </c>
      <c r="Z539" s="477">
        <f>INDEX(Input!$1:$1048576,Z$93,$C539*2+MIN($B539,2)+5)
+INDEX(Scenarios!Z$121:Z$200,MATCH($B539,Scenarios!$B$121:$B$200,0))</f>
        <v>0</v>
      </c>
      <c r="AA539" s="475">
        <f>INDEX(Input!$1:$1048576,AA$93,$C539*2+MIN($B539,2)+5)
+INDEX(Scenarios!AA$121:AA$200,MATCH($B539,Scenarios!$B$121:$B$200,0))</f>
        <v>0</v>
      </c>
      <c r="AB539" s="476">
        <f>INDEX(Input!$1:$1048576,AB$93,$C539*2+MIN($B539,2)+5)</f>
        <v>0.27</v>
      </c>
      <c r="AC539" s="475">
        <f>INDEX(Input!$1:$1048576,AC$93,$C539*2+MIN($B539,2)+5)
+INDEX(Scenarios!AC$121:AC$200,MATCH($B539,Scenarios!$B$121:$B$200,0))</f>
        <v>0</v>
      </c>
      <c r="AD539" s="476">
        <f>INDEX(Input!$1:$1048576,AD$93,$C539*2+MIN($B539,2)+5)</f>
        <v>0.27</v>
      </c>
      <c r="AE539" s="475">
        <f>INDEX(Input!$1:$1048576,AE$93,$C539*2+MIN($B539,2)+5)
+INDEX(Scenarios!AE$121:AE$200,MATCH($B539,Scenarios!$B$121:$B$200,0))</f>
        <v>0</v>
      </c>
      <c r="AF539" s="476">
        <f>INDEX(Input!$1:$1048576,AF$93,$C539*2+MIN($B539,2)+5)</f>
        <v>0.2</v>
      </c>
      <c r="AG539" s="475">
        <f>INDEX(Input!$1:$1048576,AG$93,$C539*2+MIN($B539,2)+5)
+INDEX(Scenarios!AG$121:AG$200,MATCH($B539,Scenarios!$B$121:$B$200,0))</f>
        <v>500</v>
      </c>
      <c r="AH539" s="476">
        <f>INDEX(Input!$1:$1048576,AH$93,$C539*2+MIN($B539,2)+5)</f>
        <v>1</v>
      </c>
      <c r="AI539" s="475">
        <f>INDEX(Input!$1:$1048576,AI$93,$C539*2+MIN($B539,2)+5)
+INDEX(Scenarios!AI$121:AI$200,MATCH($B539,Scenarios!$B$121:$B$200,0))</f>
        <v>0</v>
      </c>
      <c r="AJ539" s="476">
        <f>INDEX(Input!$1:$1048576,AJ$93,$C539*2+MIN($B539,2)+5)</f>
        <v>0.27</v>
      </c>
      <c r="AK539" s="150">
        <f>ROUND(INDEX(Input!$1:$1048576,AK$93,$C538*2+MIN($B539,1)+5)+(Y539-VLOOKUP($C539*1000+1,$A:$HH,Y$92,FALSE)),0)</f>
        <v>2947</v>
      </c>
      <c r="AL539" s="150">
        <f>ROUND(INDEX(Input!$1:$1048576,AL$93,$C538*2+MIN($B539,1)+5)-(Y539-VLOOKUP($C539*1000+1,$A:$HH,Y$92,FALSE))/36,0)</f>
        <v>3396</v>
      </c>
      <c r="AM539" s="32" t="str">
        <f t="shared" si="1442"/>
        <v>std/std/std/std</v>
      </c>
      <c r="AN539" s="32" t="str">
        <f t="shared" si="1443"/>
        <v>$0 + 0/0/0/1.9/3.9</v>
      </c>
      <c r="AO539" s="32" t="str">
        <f t="shared" si="1444"/>
        <v>0/0/0/1.9/3.9</v>
      </c>
      <c r="AP539" s="32" t="str">
        <f t="shared" si="1396"/>
        <v>0/0.9/1.9/3.9</v>
      </c>
      <c r="AQ539" s="536">
        <f t="shared" si="1394"/>
        <v>0.41542504384180645</v>
      </c>
      <c r="AR539" s="32"/>
      <c r="AS539" s="302"/>
      <c r="AT539" s="3">
        <f t="shared" si="1465"/>
        <v>39</v>
      </c>
      <c r="AU539" s="41" t="s">
        <v>121</v>
      </c>
      <c r="AV539" s="41" t="s">
        <v>116</v>
      </c>
      <c r="AW539" s="41" t="str">
        <f>INDEX(Input!$1:$1048576,AW$93,$C539*2+6)</f>
        <v>Kia</v>
      </c>
      <c r="AX539" s="41" t="str">
        <f>INDEX(Input!$1:$1048576,AX$93,$C539*2+6)</f>
        <v>Kia-LR - R2</v>
      </c>
      <c r="AY539" s="41" t="str">
        <f>IF(LEN(D539)=0,"",INDEX(Input!$1:$1048576,AY$93,$C539*2+6))</f>
        <v>Compact SUV (52)</v>
      </c>
      <c r="AZ539" s="41" t="str">
        <f>INDEX(Input!$1:$1048576,AZ$93,$C539*2+6)</f>
        <v>Kia Soul</v>
      </c>
      <c r="BA539" s="3">
        <f>INDEX(Input!$1:$1048576,BA$93,$C539*2+6)</f>
        <v>2020</v>
      </c>
      <c r="BB539" s="128">
        <f>INDEX(Input!$1:$1048576,BB$93,$C539*2+6)</f>
        <v>1</v>
      </c>
      <c r="BC539" s="128">
        <f>INDEX(Input!$1:$1048576,BC$93,$C539*2+6)</f>
        <v>0.7</v>
      </c>
      <c r="BD539" s="1">
        <f>INDEX(Input!$1:$1048576,BD$93,$C539*2+6)</f>
        <v>4.4999999999999998E-2</v>
      </c>
      <c r="BE539" s="1">
        <f>INDEX(Input!$1:$1048576,BE$93,$C539*2+6)</f>
        <v>4.4999999999999998E-2</v>
      </c>
      <c r="BF539" s="1">
        <f>INDEX(Input!$1:$1048576,BF$93,$C539*2+6)</f>
        <v>0.05</v>
      </c>
      <c r="BG539" s="1">
        <f>INDEX(Input!$1:$1048576,BG$93,$C539*2+6)</f>
        <v>5.45E-2</v>
      </c>
      <c r="BH539" s="1">
        <f>INDEX(Input!$1:$1048576,BH$93,$C539*2+6)</f>
        <v>5.45E-2</v>
      </c>
      <c r="BI539" s="1">
        <f>INDEX(Input!$1:$1048576,BI$93,$C539*2+6)</f>
        <v>0.05</v>
      </c>
      <c r="BJ539" s="1">
        <f>INDEX(Input!$1:$1048576,BJ$93,$C539*2+6)</f>
        <v>0.05</v>
      </c>
      <c r="BK539" s="1">
        <f>INDEX(Input!$1:$1048576,BK$93,$C539*2+6)</f>
        <v>0.05</v>
      </c>
      <c r="BL539" s="1">
        <f>INDEX(Input!$1:$1048576,BL$93,$C539*2+6)</f>
        <v>5.5E-2</v>
      </c>
      <c r="BM539" s="1">
        <f>INDEX(Input!$1:$1048576,BM$93,$C539*2+6)</f>
        <v>0.06</v>
      </c>
      <c r="BN539" s="1">
        <f>INDEX(Input!$1:$1048576,BN$93,$C539*2+6)</f>
        <v>4.4999999999999998E-2</v>
      </c>
      <c r="BO539" s="1">
        <f>INDEX(Input!$1:$1048576,BO$93,$C539*2+6)</f>
        <v>4.4999999999999998E-2</v>
      </c>
      <c r="BP539" s="1">
        <f>INDEX(Input!$1:$1048576,BP$93,$C539*2+6)</f>
        <v>0.05</v>
      </c>
      <c r="BQ539" s="1">
        <f>INDEX(Input!$1:$1048576,BQ$93,$C539*2+6)</f>
        <v>5.45E-2</v>
      </c>
      <c r="BR539" s="1">
        <f>INDEX(Input!$1:$1048576,BR$93,$C539*2+6)</f>
        <v>5.45E-2</v>
      </c>
      <c r="BS539" s="1">
        <f>INDEX(Input!$1:$1048576,BS$93,$C539*2+6)</f>
        <v>0.05</v>
      </c>
      <c r="BT539" s="1">
        <f>INDEX(Input!$1:$1048576,BT$93,$C539*2+6)</f>
        <v>0.05</v>
      </c>
      <c r="BU539" s="1">
        <f>INDEX(Input!$1:$1048576,BU$93,$C539*2+6)</f>
        <v>0.05</v>
      </c>
      <c r="BV539" s="1">
        <f>INDEX(Input!$1:$1048576,BV$93,$C539*2+6)</f>
        <v>5.5E-2</v>
      </c>
      <c r="BW539" s="1">
        <f>INDEX(Input!$1:$1048576,BW$93,$C539*2+6)</f>
        <v>0.06</v>
      </c>
      <c r="BX539" s="127">
        <f>INDEX(Input!$1:$1048576,BX$93,$C539*2+6)</f>
        <v>19985</v>
      </c>
      <c r="BY539" s="20">
        <f>INDEX(Input!$1:$1048576,BY$93,$C539*2+6)</f>
        <v>0.1</v>
      </c>
      <c r="BZ539" s="20">
        <f>INDEX(Input!$1:$1048576,BZ$93,$C539*2+6)</f>
        <v>0.1</v>
      </c>
      <c r="CA539" s="20">
        <f>INDEX(Input!$1:$1048576,CA$93,$C539*2+6)</f>
        <v>0.1</v>
      </c>
      <c r="CB539" s="20">
        <f>INDEX(Input!$1:$1048576,CB$93,$C539*2+6)</f>
        <v>0.1</v>
      </c>
      <c r="CC539" s="20">
        <f>INDEX(Input!$1:$1048576,CC$93,$C539*2+6)</f>
        <v>0.1</v>
      </c>
      <c r="CD539" s="384">
        <f>INDEX(Input!$1:$1048576,CD$93,$C539*2+6)</f>
        <v>0.1</v>
      </c>
      <c r="CE539" s="384">
        <f>INDEX(Input!$1:$1048576,CE$93,$C539*2+6)</f>
        <v>0.1</v>
      </c>
      <c r="CF539" s="384">
        <f>INDEX(Input!$1:$1048576,CF$93,$C539*2+6)</f>
        <v>0.1</v>
      </c>
      <c r="CG539" s="384">
        <f>INDEX(Input!$1:$1048576,CG$93,$C539*2+6)</f>
        <v>0.1</v>
      </c>
      <c r="CH539" s="384">
        <f>INDEX(Input!$1:$1048576,CH$93,$C539*2+6)</f>
        <v>0.1</v>
      </c>
      <c r="CI539" s="304">
        <f t="shared" si="1397"/>
        <v>1527.4263093788063</v>
      </c>
      <c r="CJ539" s="16" t="str">
        <f>INDEX(Input!$1:$1048576,CJ$93,$C539*2+6)</f>
        <v>N</v>
      </c>
      <c r="CK539" s="1" t="str">
        <f t="shared" si="1398"/>
        <v>Market</v>
      </c>
      <c r="CL539" s="1" t="str">
        <f t="shared" si="1399"/>
        <v>Market</v>
      </c>
      <c r="CM539" s="1" t="str">
        <f t="shared" si="1400"/>
        <v>Market</v>
      </c>
      <c r="CN539" s="1" t="str">
        <f t="shared" si="1401"/>
        <v>Market</v>
      </c>
      <c r="CO539" s="1" t="str">
        <f t="shared" si="1402"/>
        <v>Market</v>
      </c>
      <c r="CP539" s="304">
        <f t="shared" si="1403"/>
        <v>500</v>
      </c>
      <c r="CQ539" s="1">
        <f t="shared" si="1404"/>
        <v>0</v>
      </c>
      <c r="CR539" s="1">
        <f t="shared" si="1405"/>
        <v>0</v>
      </c>
      <c r="CS539" s="1">
        <f t="shared" si="1406"/>
        <v>0</v>
      </c>
      <c r="CT539" s="1">
        <f t="shared" si="1407"/>
        <v>1.9E-2</v>
      </c>
      <c r="CU539" s="1">
        <f t="shared" si="1408"/>
        <v>3.9E-2</v>
      </c>
      <c r="CV539" s="304">
        <f t="shared" si="1409"/>
        <v>-357.93641739252325</v>
      </c>
      <c r="CW539" s="20" t="s">
        <v>122</v>
      </c>
      <c r="CX539" s="20" t="s">
        <v>122</v>
      </c>
      <c r="CY539" s="20" t="s">
        <v>122</v>
      </c>
      <c r="CZ539" s="20" t="s">
        <v>122</v>
      </c>
      <c r="DA539" s="20" t="s">
        <v>122</v>
      </c>
      <c r="DB539" s="503">
        <f t="shared" si="1410"/>
        <v>0</v>
      </c>
      <c r="DC539" s="127">
        <v>0</v>
      </c>
      <c r="DD539" s="127">
        <v>0</v>
      </c>
      <c r="DE539" s="127">
        <v>0</v>
      </c>
      <c r="DF539" s="127">
        <v>0</v>
      </c>
      <c r="DG539" s="127">
        <v>0</v>
      </c>
      <c r="DH539" s="127">
        <v>0</v>
      </c>
      <c r="DI539" s="127">
        <v>0</v>
      </c>
      <c r="DJ539" s="127">
        <v>0</v>
      </c>
      <c r="DK539" s="127">
        <v>0</v>
      </c>
      <c r="DL539" s="127">
        <v>0</v>
      </c>
      <c r="DM539" s="304">
        <f>INDEX(Input!$1:$1048576,DM$93,$C539*2+6)</f>
        <v>21036.84210526316</v>
      </c>
      <c r="DN539" s="20">
        <v>0</v>
      </c>
      <c r="DO539" s="20">
        <v>0</v>
      </c>
      <c r="DP539" s="20">
        <v>0</v>
      </c>
      <c r="DQ539" s="20">
        <v>0</v>
      </c>
      <c r="DR539" s="20">
        <v>0</v>
      </c>
      <c r="DS539" s="20">
        <f>INDEX(Input!$1:$1048576,DS$93,$C539*2+6)</f>
        <v>0.6</v>
      </c>
      <c r="DT539" s="20">
        <f>INDEX(Input!$1:$1048576,DT$93,$C539*2+6)</f>
        <v>0.55000000000000004</v>
      </c>
      <c r="DU539" s="20">
        <f>INDEX(Input!$1:$1048576,DU$93,$C539*2+6)</f>
        <v>0.52</v>
      </c>
      <c r="DV539" s="20">
        <f>INDEX(Input!$1:$1048576,DV$93,$C539*2+6)</f>
        <v>0.5</v>
      </c>
      <c r="DW539" s="20">
        <f>INDEX(Input!$1:$1048576,DW$93,$C539*2+6)</f>
        <v>0.45</v>
      </c>
      <c r="DX539" s="20"/>
      <c r="DY539" s="7">
        <v>0.12274290383891807</v>
      </c>
      <c r="DZ539" s="7">
        <v>0</v>
      </c>
      <c r="EA539" s="7">
        <v>0.73726359089611471</v>
      </c>
      <c r="EB539" s="7">
        <v>0</v>
      </c>
      <c r="EC539" s="7">
        <v>0</v>
      </c>
      <c r="ED539" s="7">
        <v>0</v>
      </c>
      <c r="EE539" s="7">
        <v>0</v>
      </c>
      <c r="EF539" s="7">
        <v>0</v>
      </c>
      <c r="EG539" s="7">
        <v>0</v>
      </c>
      <c r="EH539" s="7">
        <v>1.2088555754884479E-2</v>
      </c>
      <c r="EI539" s="7">
        <v>3.3603653156473394E-2</v>
      </c>
      <c r="EJ539" s="7">
        <v>0.2918622750727326</v>
      </c>
      <c r="EK539" s="7">
        <v>0.53740193911103185</v>
      </c>
      <c r="EL539" s="7">
        <v>0.12504357690487772</v>
      </c>
      <c r="EM539" s="7">
        <v>6.6026597425994746E-2</v>
      </c>
      <c r="EN539" s="7">
        <v>5.9539940364325111E-2</v>
      </c>
      <c r="EO539" s="7">
        <v>0.72734075390162589</v>
      </c>
      <c r="EP539" s="7">
        <v>8.5027030808892248E-2</v>
      </c>
      <c r="EQ539" s="7">
        <v>8.3682751637179392E-2</v>
      </c>
      <c r="ER539" s="7">
        <v>4.4409523287976843E-2</v>
      </c>
      <c r="ES539" s="7">
        <v>7.3966907838972543E-2</v>
      </c>
      <c r="ET539" s="7">
        <v>0.13999350526496723</v>
      </c>
      <c r="EU539" s="6">
        <v>1520</v>
      </c>
      <c r="EV539" s="6">
        <v>0</v>
      </c>
      <c r="EW539" s="6">
        <v>1520</v>
      </c>
      <c r="EX539" s="6">
        <v>0</v>
      </c>
      <c r="EY539" s="6">
        <v>2015.7370930160737</v>
      </c>
      <c r="EZ539" s="6">
        <v>353.55009605986834</v>
      </c>
      <c r="FA539" s="6">
        <v>0</v>
      </c>
      <c r="FB539" s="6">
        <v>0</v>
      </c>
      <c r="FC539" s="6">
        <v>0</v>
      </c>
      <c r="FD539" s="6">
        <v>0</v>
      </c>
      <c r="FE539" s="6">
        <v>0</v>
      </c>
      <c r="FF539" s="6">
        <v>0</v>
      </c>
      <c r="FG539" s="6">
        <v>0</v>
      </c>
      <c r="FH539" s="6">
        <v>1172.1337988100602</v>
      </c>
      <c r="FI539" s="6">
        <v>1553.9796069512399</v>
      </c>
      <c r="FJ539" s="6">
        <v>2101.211011744741</v>
      </c>
      <c r="FK539" s="6">
        <v>1772.7139978623225</v>
      </c>
      <c r="FL539" s="6">
        <v>907.07682140966347</v>
      </c>
      <c r="FM539" s="6">
        <v>1745.7370930160737</v>
      </c>
      <c r="FN539" s="6">
        <v>0</v>
      </c>
      <c r="FO539" s="6">
        <v>0</v>
      </c>
      <c r="FP539" s="6">
        <v>0</v>
      </c>
      <c r="FQ539" s="6">
        <v>0</v>
      </c>
      <c r="FR539" s="6">
        <v>0</v>
      </c>
      <c r="FS539" s="6">
        <v>0</v>
      </c>
      <c r="FT539" s="7">
        <v>0.86000649473503277</v>
      </c>
      <c r="FU539" s="7">
        <v>6.6026597425994746E-2</v>
      </c>
      <c r="FV539" s="7">
        <v>7.3966907838972543E-2</v>
      </c>
      <c r="FW539" s="6">
        <v>1520</v>
      </c>
      <c r="FX539" s="6">
        <v>2015.7370930160737</v>
      </c>
      <c r="FY539" s="6">
        <v>353.55009605986834</v>
      </c>
      <c r="FZ539" s="6">
        <v>1758.1538569113241</v>
      </c>
      <c r="GA539" s="6">
        <v>1466.4531409261872</v>
      </c>
      <c r="GB539" s="6">
        <v>18518.546859073813</v>
      </c>
      <c r="GC539" s="7">
        <v>3.064145122680037E-2</v>
      </c>
      <c r="GD539" s="7">
        <v>3.01757684762625E-2</v>
      </c>
      <c r="GE539" s="7"/>
      <c r="GF539" s="7"/>
      <c r="GG539" s="7">
        <v>-1.5197803364174971E-2</v>
      </c>
      <c r="GH539" s="42">
        <v>1.0412319325555333</v>
      </c>
      <c r="GI539" s="6">
        <v>20660.063493376765</v>
      </c>
      <c r="GJ539" s="14">
        <v>0.50394797582841699</v>
      </c>
      <c r="GK539" s="14">
        <v>0.50887573065309732</v>
      </c>
      <c r="GL539" s="14">
        <v>0.49605202417158267</v>
      </c>
      <c r="GM539" s="14">
        <v>0.49112426934690229</v>
      </c>
      <c r="GO539" s="5">
        <v>343.14810671672558</v>
      </c>
      <c r="GP539" s="5">
        <v>314.14940645767444</v>
      </c>
      <c r="GQ539" s="5">
        <v>535.04305713031317</v>
      </c>
      <c r="GR539" s="5">
        <v>410.15490233172511</v>
      </c>
      <c r="GS539" s="5">
        <v>339.42744393800166</v>
      </c>
      <c r="GT539" s="5">
        <v>293.4407446948278</v>
      </c>
      <c r="GU539" s="5">
        <v>258.04012322764959</v>
      </c>
      <c r="GV539" s="39" t="s">
        <v>392</v>
      </c>
      <c r="GW539" s="5">
        <v>492.125</v>
      </c>
      <c r="GX539" s="5">
        <v>369.09375</v>
      </c>
      <c r="GY539" s="5">
        <v>295.27499999999998</v>
      </c>
      <c r="GZ539" s="5">
        <v>260.54902799031458</v>
      </c>
      <c r="HA539" s="5">
        <v>241.34874471337258</v>
      </c>
      <c r="HB539" s="39">
        <v>274.73027532614765</v>
      </c>
      <c r="HC539" s="5">
        <v>271.81655829738071</v>
      </c>
      <c r="HD539" s="5">
        <v>229.24799238008356</v>
      </c>
      <c r="HE539" s="5">
        <v>231.16091712425109</v>
      </c>
      <c r="HF539" s="5">
        <v>212.73290951107165</v>
      </c>
      <c r="HG539" s="5">
        <v>203.85500473779987</v>
      </c>
      <c r="HH539" s="39">
        <v>229.4354545133053</v>
      </c>
      <c r="HI539" s="16"/>
      <c r="HJ539" s="19" t="str">
        <f t="shared" si="1513"/>
        <v>On</v>
      </c>
      <c r="HK539" s="1" t="str">
        <f t="shared" si="1513"/>
        <v>On</v>
      </c>
      <c r="HL539" s="16"/>
      <c r="HM539" s="639">
        <f t="shared" si="1413"/>
        <v>2.4909940070666322E-2</v>
      </c>
      <c r="HN539" s="639">
        <f t="shared" si="1414"/>
        <v>2.2052381276269151E-3</v>
      </c>
      <c r="HO539" s="639">
        <f t="shared" si="1415"/>
        <v>2.079866082302006E-3</v>
      </c>
      <c r="HP539" s="644">
        <f>(FT539*$GD539-HM539)/$JF539*INDEX(Input!$1:$1048576,$JG$93,$C539*2+6)</f>
        <v>29.285901630014049</v>
      </c>
      <c r="HQ539" s="644">
        <f>(FU539*$GD539-HN539)/$JF539*INDEX(Input!$1:$1048576,$JG$93,$C539*2+6)</f>
        <v>-5.9851726094084468</v>
      </c>
      <c r="HR539" s="644">
        <f>(FV539*$GD539-HO539)/$JF539*INDEX(Input!$1:$1048576,$JG$93,$C539*2+6)</f>
        <v>4.2784230061644815</v>
      </c>
      <c r="HS539" s="644">
        <f t="shared" si="1416"/>
        <v>-13.518213586321</v>
      </c>
      <c r="HT539" s="644">
        <f t="shared" si="1417"/>
        <v>0.6309498531981097</v>
      </c>
      <c r="HU539" s="644">
        <f t="shared" si="1418"/>
        <v>3.8523164040927109</v>
      </c>
      <c r="HV539" s="648">
        <f t="shared" si="1419"/>
        <v>0</v>
      </c>
      <c r="HW539" s="648">
        <f t="shared" si="1420"/>
        <v>0</v>
      </c>
      <c r="HX539" s="648">
        <f t="shared" si="1421"/>
        <v>0</v>
      </c>
      <c r="HY539" s="644">
        <f>INDEX(Input!$1:$1048576,HY$93,$C539*2+6)*INDEX(Input!$1:$1048576,$JG$93,$C539*2+6)</f>
        <v>333.00000000000006</v>
      </c>
      <c r="HZ539" s="644">
        <f>INDEX(Input!$1:$1048576,HZ$93,$C539*2+6)*INDEX(Input!$1:$1048576,$JG$93,$C539*2+6)</f>
        <v>429</v>
      </c>
      <c r="IA539" s="644">
        <f>INDEX(Input!$1:$1048576,IA$93,$C539*2+6)*INDEX(Input!$1:$1048576,$JG$93,$C539*2+6)</f>
        <v>59</v>
      </c>
      <c r="IB539" s="644">
        <f t="shared" si="1445"/>
        <v>348.76768804369317</v>
      </c>
      <c r="IC539" s="644">
        <f t="shared" si="1446"/>
        <v>423.64577724378967</v>
      </c>
      <c r="ID539" s="644">
        <f>IF(AND(INDEX(Input!$1:$1048576,IA$93,$C539*2+7)="TOS",Y539&lt;=INDEX(Y:Y,MATCH(C539*1000+2,A:A))),0,1)*MAX(IA539+HR539+HU539+HX539,0%)</f>
        <v>67.130739410257192</v>
      </c>
      <c r="IE539" s="128">
        <f t="shared" si="1514"/>
        <v>0.41542504384180645</v>
      </c>
      <c r="IF539" s="128">
        <f t="shared" si="1468"/>
        <v>0.5046140213621203</v>
      </c>
      <c r="IG539" s="128">
        <f t="shared" si="1423"/>
        <v>7.9960934796073288E-2</v>
      </c>
      <c r="IH539" s="21"/>
      <c r="II539" s="19">
        <f t="shared" si="1424"/>
        <v>1240</v>
      </c>
      <c r="IJ539" s="19">
        <f t="shared" si="1425"/>
        <v>1985.7442651839444</v>
      </c>
      <c r="IK539" s="19">
        <f t="shared" si="1426"/>
        <v>-21.44990394013189</v>
      </c>
      <c r="IL539" s="19">
        <f t="shared" si="1448"/>
        <v>280</v>
      </c>
      <c r="IM539" s="19">
        <f t="shared" si="1427"/>
        <v>29.992827832129251</v>
      </c>
      <c r="IN539" s="19">
        <f t="shared" si="1428"/>
        <v>375.00000000000023</v>
      </c>
      <c r="IO539" s="39">
        <f t="shared" si="1429"/>
        <v>0</v>
      </c>
      <c r="IP539" s="39">
        <f t="shared" si="1430"/>
        <v>0</v>
      </c>
      <c r="IQ539" s="39">
        <f t="shared" si="1431"/>
        <v>0</v>
      </c>
      <c r="IR539" s="39">
        <v>0</v>
      </c>
      <c r="IS539" s="39">
        <v>0</v>
      </c>
      <c r="IT539" s="39">
        <v>0</v>
      </c>
      <c r="IU539" s="39">
        <v>0</v>
      </c>
      <c r="IV539" s="39">
        <v>0</v>
      </c>
      <c r="IW539" s="39">
        <v>0</v>
      </c>
      <c r="IX539" s="39">
        <f>INDEX(Input!$1:$1048576,IX$93,$C539*2+6)+INDEX(Input!$1:$1048576,IX$94,$C539*2+6)</f>
        <v>1270</v>
      </c>
      <c r="IY539" s="39">
        <f>INDEX(Input!$1:$1048576,IY$93,$C539*2+6)+INDEX(Input!$1:$1048576,IY$94,$C539*2+6)</f>
        <v>2130.0624533823611</v>
      </c>
      <c r="IZ539" s="39">
        <f>INDEX(Input!$1:$1048576,IZ$93,$C539*2+6)+INDEX(Input!$1:$1048576,IZ$94,$C539*2+6)</f>
        <v>3653.7164157747857</v>
      </c>
      <c r="JA539" s="19">
        <f t="shared" si="1449"/>
        <v>1550</v>
      </c>
      <c r="JB539" s="19">
        <f t="shared" si="1450"/>
        <v>2160.0552812144906</v>
      </c>
      <c r="JC539" s="19">
        <f t="shared" si="1451"/>
        <v>4028.7164157747857</v>
      </c>
      <c r="JD539" s="19">
        <f t="shared" si="1452"/>
        <v>2056.0429304065674</v>
      </c>
      <c r="JE539" s="21"/>
      <c r="JF539" s="1">
        <f t="shared" si="1432"/>
        <v>2.9195044280595241E-2</v>
      </c>
      <c r="JG539" s="15">
        <f>INDEX(Input!$1:$1048576,JG$93,$C539*2+6)/(1+VLOOKUP(C539*1000+INDEX(Input!$1:$1048576,JG$93+1,$C539*2+6),$A:$KK,$JK$92,FALSE))</f>
        <v>821</v>
      </c>
      <c r="JH539" s="1">
        <f t="shared" si="1453"/>
        <v>3.3592146195822264E-2</v>
      </c>
      <c r="JI539" s="1">
        <f t="shared" si="1454"/>
        <v>-1.1004807952533712E-2</v>
      </c>
      <c r="JJ539" s="1">
        <f t="shared" si="1492"/>
        <v>0</v>
      </c>
      <c r="JK539" s="1">
        <f t="shared" si="1496"/>
        <v>2.2587338243288554E-2</v>
      </c>
      <c r="JL539" s="15">
        <f t="shared" si="1457"/>
        <v>18.544204697739904</v>
      </c>
      <c r="JM539" s="15">
        <f t="shared" si="1483"/>
        <v>839.54420469773993</v>
      </c>
      <c r="JN539" s="21"/>
      <c r="JO539" s="19">
        <f>INDEX(Input!$1:$1048576,JO$93,$C539*2+6)</f>
        <v>5995.5</v>
      </c>
      <c r="JP539" s="19">
        <f>INDEX(Input!$1:$1048576,JP$93,$C539*2+6)</f>
        <v>1890.7138380411029</v>
      </c>
      <c r="JQ539" s="39">
        <f t="shared" si="1469"/>
        <v>3939.4570695934326</v>
      </c>
      <c r="JR539" s="39">
        <f t="shared" si="1486"/>
        <v>165.32909236546448</v>
      </c>
      <c r="JS539" s="39">
        <f t="shared" si="1471"/>
        <v>1.7261389268325924</v>
      </c>
      <c r="JT539" s="39">
        <f t="shared" si="1459"/>
        <v>0.17386286580084684</v>
      </c>
      <c r="JU539" s="385">
        <f>(JQ539*JM539-INDEX(Input!$1:$1048576,Input!A$18,$C539*2+6)*JL539*INDEX(Input!$1:$1048576,Input!A$19,$C539*2+6))/1000000</f>
        <v>3.3073483524327072</v>
      </c>
      <c r="JV539" s="39">
        <f t="shared" si="1493"/>
        <v>-6.2681086535547159E-2</v>
      </c>
      <c r="JW539" s="1">
        <f t="shared" si="1484"/>
        <v>-1.859956646394673E-2</v>
      </c>
      <c r="JX539" s="19">
        <f t="shared" si="1475"/>
        <v>9375.5903062284779</v>
      </c>
      <c r="JZ539" s="341"/>
      <c r="KA539" s="342"/>
      <c r="KB539" s="469">
        <f t="shared" si="1472"/>
        <v>2.5122967434604799</v>
      </c>
      <c r="KI539" s="473">
        <f t="shared" si="1515"/>
        <v>15.767688043693056</v>
      </c>
      <c r="KJ539" s="473">
        <f t="shared" si="1516"/>
        <v>-5.3542227562103903</v>
      </c>
      <c r="KK539" s="473">
        <f t="shared" si="1461"/>
        <v>8.1307394102571919</v>
      </c>
      <c r="KN539" s="544">
        <f t="shared" si="1476"/>
        <v>5002</v>
      </c>
      <c r="KO539" s="541">
        <f t="shared" si="1436"/>
        <v>1.8440616165764867E-2</v>
      </c>
      <c r="KP539" s="546">
        <f t="shared" si="1437"/>
        <v>132.63783503671027</v>
      </c>
      <c r="KQ539" s="546">
        <f t="shared" si="1438"/>
        <v>137.12416468330093</v>
      </c>
      <c r="KR539" s="548">
        <f t="shared" si="1439"/>
        <v>2.511724272102442</v>
      </c>
      <c r="KS539" s="548">
        <f t="shared" si="1440"/>
        <v>2.4295474866174045</v>
      </c>
      <c r="KT539" s="473">
        <f t="shared" si="1474"/>
        <v>595.94378802984284</v>
      </c>
      <c r="KU539" s="663">
        <f t="shared" si="1462"/>
        <v>3.9732781280428955</v>
      </c>
      <c r="KV539" s="117"/>
    </row>
    <row r="540" spans="1:308" s="26" customFormat="1" ht="15">
      <c r="A540" s="561">
        <f t="shared" si="1441"/>
        <v>5040</v>
      </c>
      <c r="B540" s="561">
        <f t="shared" si="1463"/>
        <v>40</v>
      </c>
      <c r="C540" s="561">
        <f t="shared" si="1464"/>
        <v>5</v>
      </c>
      <c r="D540" s="561" t="str">
        <f t="shared" si="1509"/>
        <v xml:space="preserve">500 CC, 360 Lease, </v>
      </c>
      <c r="E540" s="475">
        <f>INDEX(Input!$1:$1048576,E$93,$C540*2+MIN($B540,2)+5)
+INDEX(Scenarios!E$121:E$200,MATCH($B540,Scenarios!$B$121:$B$200,0))</f>
        <v>1777.4263093788063</v>
      </c>
      <c r="F540" s="475">
        <f>INDEX(Input!$1:$1048576,F$93,$C540*2+MIN($B540,2)+5)
+INDEX(Scenarios!F$121:F$200,MATCH($B540,Scenarios!$B$121:$B$200,0))</f>
        <v>0</v>
      </c>
      <c r="G540" s="475">
        <f>INDEX(Input!$1:$1048576,G$93,$C540*2+MIN($B540,2)+5)
+INDEX(Scenarios!G$121:G$200,MATCH($B540,Scenarios!$B$121:$B$200,0))</f>
        <v>0</v>
      </c>
      <c r="H540" s="475">
        <f>INDEX(Input!$1:$1048576,H$93,$C540*2+MIN($B540,2)+5)
+INDEX(Scenarios!H$121:H$200,MATCH($B540,Scenarios!$B$121:$B$200,0))</f>
        <v>0</v>
      </c>
      <c r="I540" s="476">
        <f>INDEX(Input!$1:$1048576,I$93,$C540*2+MIN($B540,2)+5)</f>
        <v>0.7</v>
      </c>
      <c r="J540" s="476" t="str">
        <f>INDEX(Input!$1:$1048576,J$93,$C540*2+MIN($B540,2)+5)</f>
        <v>Market</v>
      </c>
      <c r="K540" s="476" t="str">
        <f>INDEX(Input!$1:$1048576,K$93,$C540*2+MIN($B540,2)+5)</f>
        <v>Market</v>
      </c>
      <c r="L540" s="476" t="str">
        <f>INDEX(Input!$1:$1048576,L$93,$C540*2+MIN($B540,2)+5)</f>
        <v>Market</v>
      </c>
      <c r="M540" s="476" t="str">
        <f>INDEX(Input!$1:$1048576,M$93,$C540*2+MIN($B540,2)+5)</f>
        <v>Market</v>
      </c>
      <c r="N540" s="476" t="str">
        <f>INDEX(Input!$1:$1048576,N$93,$C540*2+MIN($B540,2)+5)</f>
        <v>Market</v>
      </c>
      <c r="O540" s="476" t="str">
        <f>INDEX(Input!$1:$1048576,O$93,$C540*2+MIN($B540,2)+5)</f>
        <v>Market</v>
      </c>
      <c r="P540" s="476" t="str">
        <f>INDEX(Input!$1:$1048576,P$93,$C540*2+MIN($B540,2)+5)</f>
        <v>N</v>
      </c>
      <c r="Q540" s="477">
        <f>INDEX(Input!$1:$1048576,Q$93,$C540*2+MIN($B540,2)+5)
+INDEX(Scenarios!Q$121:Q$200,MATCH($B540,Scenarios!$B$121:$B$200,0))</f>
        <v>0</v>
      </c>
      <c r="R540" s="478">
        <f>IFERROR(MAX(0,INDEX(Input!$1:$1048576,R$93,$C540*2+MIN($B540,2)+5)
+INDEX(Scenarios!R$121:R$200,MATCH($B540,Scenarios!$B$121:$B$200,0)),),"Market")</f>
        <v>0</v>
      </c>
      <c r="S540" s="478">
        <f>IFERROR(MAX(0,INDEX(Input!$1:$1048576,S$93,$C540*2+MIN($B540,2)+5)
+INDEX(Scenarios!S$121:S$200,MATCH($B540,Scenarios!$B$121:$B$200,0)),),"Market")</f>
        <v>0</v>
      </c>
      <c r="T540" s="478">
        <f>IFERROR(MAX(0,INDEX(Input!$1:$1048576,T$93,$C540*2+MIN($B540,2)+5)
+INDEX(Scenarios!T$121:T$200,MATCH($B540,Scenarios!$B$121:$B$200,0)),),"Market")</f>
        <v>0</v>
      </c>
      <c r="U540" s="478">
        <f>IFERROR(MAX(0,INDEX(Input!$1:$1048576,U$93,$C540*2+MIN($B540,2)+5)
+INDEX(Scenarios!U$121:U$200,MATCH($B540,Scenarios!$B$121:$B$200,0)),),"Market")</f>
        <v>0</v>
      </c>
      <c r="V540" s="478">
        <f>IFERROR(MAX(0,INDEX(Input!$1:$1048576,V$93,$C540*2+MIN($B540,2)+5)
+INDEX(Scenarios!V$121:V$200,MATCH($B540,Scenarios!$B$121:$B$200,0)),),"Market")</f>
        <v>1.9E-2</v>
      </c>
      <c r="W540" s="885">
        <f>IFERROR(MAX(0,INDEX(Input!$1:$1048576,W$93,$C540*2+MIN($B540,2)+5)-0%,),"Market")</f>
        <v>3.9E-2</v>
      </c>
      <c r="X540" s="476" t="str">
        <f>INDEX(Input!$1:$1048576,X$93,$C540*2+MIN($B540,2)+5)</f>
        <v>Y</v>
      </c>
      <c r="Y540" s="475">
        <f>INDEX(Input!$1:$1048576,Y$93,$C540*2+MIN($B540,2)+5)
++INDEX(Scenarios!Y$121:Y$200,MATCH($B540,Scenarios!$B$121:$B$200,0))</f>
        <v>-357.93641739252325</v>
      </c>
      <c r="Z540" s="477">
        <f>INDEX(Input!$1:$1048576,Z$93,$C540*2+MIN($B540,2)+5)
+INDEX(Scenarios!Z$121:Z$200,MATCH($B540,Scenarios!$B$121:$B$200,0))</f>
        <v>0</v>
      </c>
      <c r="AA540" s="475">
        <f>INDEX(Input!$1:$1048576,AA$93,$C540*2+MIN($B540,2)+5)
+INDEX(Scenarios!AA$121:AA$200,MATCH($B540,Scenarios!$B$121:$B$200,0))</f>
        <v>0</v>
      </c>
      <c r="AB540" s="476">
        <f>INDEX(Input!$1:$1048576,AB$93,$C540*2+MIN($B540,2)+5)</f>
        <v>0.27</v>
      </c>
      <c r="AC540" s="475">
        <f>INDEX(Input!$1:$1048576,AC$93,$C540*2+MIN($B540,2)+5)
+INDEX(Scenarios!AC$121:AC$200,MATCH($B540,Scenarios!$B$121:$B$200,0))</f>
        <v>0</v>
      </c>
      <c r="AD540" s="476">
        <f>INDEX(Input!$1:$1048576,AD$93,$C540*2+MIN($B540,2)+5)</f>
        <v>0.27</v>
      </c>
      <c r="AE540" s="475">
        <f>INDEX(Input!$1:$1048576,AE$93,$C540*2+MIN($B540,2)+5)
+INDEX(Scenarios!AE$121:AE$200,MATCH($B540,Scenarios!$B$121:$B$200,0))</f>
        <v>0</v>
      </c>
      <c r="AF540" s="476">
        <f>INDEX(Input!$1:$1048576,AF$93,$C540*2+MIN($B540,2)+5)</f>
        <v>0.2</v>
      </c>
      <c r="AG540" s="475">
        <f>INDEX(Input!$1:$1048576,AG$93,$C540*2+MIN($B540,2)+5)
+INDEX(Scenarios!AG$121:AG$200,MATCH($B540,Scenarios!$B$121:$B$200,0))</f>
        <v>500</v>
      </c>
      <c r="AH540" s="476">
        <f>INDEX(Input!$1:$1048576,AH$93,$C540*2+MIN($B540,2)+5)</f>
        <v>1</v>
      </c>
      <c r="AI540" s="475">
        <f>INDEX(Input!$1:$1048576,AI$93,$C540*2+MIN($B540,2)+5)
+INDEX(Scenarios!AI$121:AI$200,MATCH($B540,Scenarios!$B$121:$B$200,0))</f>
        <v>0</v>
      </c>
      <c r="AJ540" s="476">
        <f>INDEX(Input!$1:$1048576,AJ$93,$C540*2+MIN($B540,2)+5)</f>
        <v>0.27</v>
      </c>
      <c r="AK540" s="150">
        <f>ROUND(INDEX(Input!$1:$1048576,AK$93,$C539*2+MIN($B540,1)+5)+(Y540-VLOOKUP($C540*1000+1,$A:$HH,Y$92,FALSE)),0)</f>
        <v>2947</v>
      </c>
      <c r="AL540" s="150">
        <f>ROUND(INDEX(Input!$1:$1048576,AL$93,$C539*2+MIN($B540,1)+5)-(Y540-VLOOKUP($C540*1000+1,$A:$HH,Y$92,FALSE))/36,0)</f>
        <v>3396</v>
      </c>
      <c r="AM540" s="32" t="str">
        <f t="shared" si="1442"/>
        <v>std/std/std/std</v>
      </c>
      <c r="AN540" s="32" t="str">
        <f t="shared" si="1443"/>
        <v>$0 + 0/0/0/1.9/3.9</v>
      </c>
      <c r="AO540" s="32" t="str">
        <f t="shared" si="1444"/>
        <v>0/0/0/1.9/3.9</v>
      </c>
      <c r="AP540" s="32" t="str">
        <f t="shared" si="1396"/>
        <v>0/0.9/1.9/3.9</v>
      </c>
      <c r="AQ540" s="536">
        <f t="shared" si="1394"/>
        <v>0.43577941423640587</v>
      </c>
      <c r="AR540" s="32"/>
      <c r="AS540" s="302"/>
      <c r="AT540" s="3">
        <f t="shared" si="1465"/>
        <v>40</v>
      </c>
      <c r="AU540" s="41" t="s">
        <v>121</v>
      </c>
      <c r="AV540" s="41" t="s">
        <v>116</v>
      </c>
      <c r="AW540" s="41" t="str">
        <f>INDEX(Input!$1:$1048576,AW$93,$C540*2+6)</f>
        <v>Kia</v>
      </c>
      <c r="AX540" s="41" t="str">
        <f>INDEX(Input!$1:$1048576,AX$93,$C540*2+6)</f>
        <v>Kia-LR - R2</v>
      </c>
      <c r="AY540" s="41" t="str">
        <f>IF(LEN(D540)=0,"",INDEX(Input!$1:$1048576,AY$93,$C540*2+6))</f>
        <v>Compact SUV (52)</v>
      </c>
      <c r="AZ540" s="41" t="str">
        <f>INDEX(Input!$1:$1048576,AZ$93,$C540*2+6)</f>
        <v>Kia Soul</v>
      </c>
      <c r="BA540" s="3">
        <f>INDEX(Input!$1:$1048576,BA$93,$C540*2+6)</f>
        <v>2020</v>
      </c>
      <c r="BB540" s="128">
        <f>INDEX(Input!$1:$1048576,BB$93,$C540*2+6)</f>
        <v>1</v>
      </c>
      <c r="BC540" s="128">
        <f>INDEX(Input!$1:$1048576,BC$93,$C540*2+6)</f>
        <v>0.7</v>
      </c>
      <c r="BD540" s="1">
        <f>INDEX(Input!$1:$1048576,BD$93,$C540*2+6)</f>
        <v>4.4999999999999998E-2</v>
      </c>
      <c r="BE540" s="1">
        <f>INDEX(Input!$1:$1048576,BE$93,$C540*2+6)</f>
        <v>4.4999999999999998E-2</v>
      </c>
      <c r="BF540" s="1">
        <f>INDEX(Input!$1:$1048576,BF$93,$C540*2+6)</f>
        <v>0.05</v>
      </c>
      <c r="BG540" s="1">
        <f>INDEX(Input!$1:$1048576,BG$93,$C540*2+6)</f>
        <v>5.45E-2</v>
      </c>
      <c r="BH540" s="1">
        <f>INDEX(Input!$1:$1048576,BH$93,$C540*2+6)</f>
        <v>5.45E-2</v>
      </c>
      <c r="BI540" s="1">
        <f>INDEX(Input!$1:$1048576,BI$93,$C540*2+6)</f>
        <v>0.05</v>
      </c>
      <c r="BJ540" s="1">
        <f>INDEX(Input!$1:$1048576,BJ$93,$C540*2+6)</f>
        <v>0.05</v>
      </c>
      <c r="BK540" s="1">
        <f>INDEX(Input!$1:$1048576,BK$93,$C540*2+6)</f>
        <v>0.05</v>
      </c>
      <c r="BL540" s="1">
        <f>INDEX(Input!$1:$1048576,BL$93,$C540*2+6)</f>
        <v>5.5E-2</v>
      </c>
      <c r="BM540" s="1">
        <f>INDEX(Input!$1:$1048576,BM$93,$C540*2+6)</f>
        <v>0.06</v>
      </c>
      <c r="BN540" s="1">
        <f>INDEX(Input!$1:$1048576,BN$93,$C540*2+6)</f>
        <v>4.4999999999999998E-2</v>
      </c>
      <c r="BO540" s="1">
        <f>INDEX(Input!$1:$1048576,BO$93,$C540*2+6)</f>
        <v>4.4999999999999998E-2</v>
      </c>
      <c r="BP540" s="1">
        <f>INDEX(Input!$1:$1048576,BP$93,$C540*2+6)</f>
        <v>0.05</v>
      </c>
      <c r="BQ540" s="1">
        <f>INDEX(Input!$1:$1048576,BQ$93,$C540*2+6)</f>
        <v>5.45E-2</v>
      </c>
      <c r="BR540" s="1">
        <f>INDEX(Input!$1:$1048576,BR$93,$C540*2+6)</f>
        <v>5.45E-2</v>
      </c>
      <c r="BS540" s="1">
        <f>INDEX(Input!$1:$1048576,BS$93,$C540*2+6)</f>
        <v>0.05</v>
      </c>
      <c r="BT540" s="1">
        <f>INDEX(Input!$1:$1048576,BT$93,$C540*2+6)</f>
        <v>0.05</v>
      </c>
      <c r="BU540" s="1">
        <f>INDEX(Input!$1:$1048576,BU$93,$C540*2+6)</f>
        <v>0.05</v>
      </c>
      <c r="BV540" s="1">
        <f>INDEX(Input!$1:$1048576,BV$93,$C540*2+6)</f>
        <v>5.5E-2</v>
      </c>
      <c r="BW540" s="1">
        <f>INDEX(Input!$1:$1048576,BW$93,$C540*2+6)</f>
        <v>0.06</v>
      </c>
      <c r="BX540" s="127">
        <f>INDEX(Input!$1:$1048576,BX$93,$C540*2+6)</f>
        <v>19985</v>
      </c>
      <c r="BY540" s="20">
        <f>INDEX(Input!$1:$1048576,BY$93,$C540*2+6)</f>
        <v>0.1</v>
      </c>
      <c r="BZ540" s="20">
        <f>INDEX(Input!$1:$1048576,BZ$93,$C540*2+6)</f>
        <v>0.1</v>
      </c>
      <c r="CA540" s="20">
        <f>INDEX(Input!$1:$1048576,CA$93,$C540*2+6)</f>
        <v>0.1</v>
      </c>
      <c r="CB540" s="20">
        <f>INDEX(Input!$1:$1048576,CB$93,$C540*2+6)</f>
        <v>0.1</v>
      </c>
      <c r="CC540" s="20">
        <f>INDEX(Input!$1:$1048576,CC$93,$C540*2+6)</f>
        <v>0.1</v>
      </c>
      <c r="CD540" s="384">
        <f>INDEX(Input!$1:$1048576,CD$93,$C540*2+6)</f>
        <v>0.1</v>
      </c>
      <c r="CE540" s="384">
        <f>INDEX(Input!$1:$1048576,CE$93,$C540*2+6)</f>
        <v>0.1</v>
      </c>
      <c r="CF540" s="384">
        <f>INDEX(Input!$1:$1048576,CF$93,$C540*2+6)</f>
        <v>0.1</v>
      </c>
      <c r="CG540" s="384">
        <f>INDEX(Input!$1:$1048576,CG$93,$C540*2+6)</f>
        <v>0.1</v>
      </c>
      <c r="CH540" s="384">
        <f>INDEX(Input!$1:$1048576,CH$93,$C540*2+6)</f>
        <v>0.1</v>
      </c>
      <c r="CI540" s="304">
        <f t="shared" si="1397"/>
        <v>1777.4263093788063</v>
      </c>
      <c r="CJ540" s="16" t="str">
        <f>INDEX(Input!$1:$1048576,CJ$93,$C540*2+6)</f>
        <v>N</v>
      </c>
      <c r="CK540" s="1" t="str">
        <f t="shared" si="1398"/>
        <v>Market</v>
      </c>
      <c r="CL540" s="1" t="str">
        <f t="shared" si="1399"/>
        <v>Market</v>
      </c>
      <c r="CM540" s="1" t="str">
        <f t="shared" si="1400"/>
        <v>Market</v>
      </c>
      <c r="CN540" s="1" t="str">
        <f t="shared" si="1401"/>
        <v>Market</v>
      </c>
      <c r="CO540" s="1" t="str">
        <f t="shared" si="1402"/>
        <v>Market</v>
      </c>
      <c r="CP540" s="304">
        <f t="shared" si="1403"/>
        <v>500</v>
      </c>
      <c r="CQ540" s="1">
        <f t="shared" si="1404"/>
        <v>0</v>
      </c>
      <c r="CR540" s="1">
        <f t="shared" si="1405"/>
        <v>0</v>
      </c>
      <c r="CS540" s="1">
        <f t="shared" si="1406"/>
        <v>0</v>
      </c>
      <c r="CT540" s="1">
        <f t="shared" si="1407"/>
        <v>1.9E-2</v>
      </c>
      <c r="CU540" s="1">
        <f t="shared" si="1408"/>
        <v>3.9E-2</v>
      </c>
      <c r="CV540" s="304">
        <f t="shared" si="1409"/>
        <v>-357.93641739252325</v>
      </c>
      <c r="CW540" s="20" t="s">
        <v>122</v>
      </c>
      <c r="CX540" s="20" t="s">
        <v>122</v>
      </c>
      <c r="CY540" s="20" t="s">
        <v>122</v>
      </c>
      <c r="CZ540" s="20" t="s">
        <v>122</v>
      </c>
      <c r="DA540" s="20" t="s">
        <v>122</v>
      </c>
      <c r="DB540" s="503">
        <f t="shared" si="1410"/>
        <v>0</v>
      </c>
      <c r="DC540" s="127">
        <v>0</v>
      </c>
      <c r="DD540" s="127">
        <v>0</v>
      </c>
      <c r="DE540" s="127">
        <v>0</v>
      </c>
      <c r="DF540" s="127">
        <v>0</v>
      </c>
      <c r="DG540" s="127">
        <v>0</v>
      </c>
      <c r="DH540" s="127">
        <v>0</v>
      </c>
      <c r="DI540" s="127">
        <v>0</v>
      </c>
      <c r="DJ540" s="127">
        <v>0</v>
      </c>
      <c r="DK540" s="127">
        <v>0</v>
      </c>
      <c r="DL540" s="127">
        <v>0</v>
      </c>
      <c r="DM540" s="304">
        <f>INDEX(Input!$1:$1048576,DM$93,$C540*2+6)</f>
        <v>21036.84210526316</v>
      </c>
      <c r="DN540" s="20">
        <v>0</v>
      </c>
      <c r="DO540" s="20">
        <v>0</v>
      </c>
      <c r="DP540" s="20">
        <v>0</v>
      </c>
      <c r="DQ540" s="20">
        <v>0</v>
      </c>
      <c r="DR540" s="20">
        <v>0</v>
      </c>
      <c r="DS540" s="20">
        <f>INDEX(Input!$1:$1048576,DS$93,$C540*2+6)</f>
        <v>0.6</v>
      </c>
      <c r="DT540" s="20">
        <f>INDEX(Input!$1:$1048576,DT$93,$C540*2+6)</f>
        <v>0.55000000000000004</v>
      </c>
      <c r="DU540" s="20">
        <f>INDEX(Input!$1:$1048576,DU$93,$C540*2+6)</f>
        <v>0.52</v>
      </c>
      <c r="DV540" s="20">
        <f>INDEX(Input!$1:$1048576,DV$93,$C540*2+6)</f>
        <v>0.5</v>
      </c>
      <c r="DW540" s="20">
        <f>INDEX(Input!$1:$1048576,DW$93,$C540*2+6)</f>
        <v>0.45</v>
      </c>
      <c r="DX540" s="20"/>
      <c r="DY540" s="7">
        <v>0.12790589547796807</v>
      </c>
      <c r="DZ540" s="7">
        <v>0</v>
      </c>
      <c r="EA540" s="7">
        <v>0.74824585170669378</v>
      </c>
      <c r="EB540" s="7">
        <v>0</v>
      </c>
      <c r="EC540" s="7">
        <v>0</v>
      </c>
      <c r="ED540" s="7">
        <v>0</v>
      </c>
      <c r="EE540" s="7">
        <v>0</v>
      </c>
      <c r="EF540" s="7">
        <v>0</v>
      </c>
      <c r="EG540" s="7">
        <v>0</v>
      </c>
      <c r="EH540" s="7">
        <v>1.2089451816769228E-2</v>
      </c>
      <c r="EI540" s="7">
        <v>3.3608541659491328E-2</v>
      </c>
      <c r="EJ540" s="7">
        <v>0.29190088810395015</v>
      </c>
      <c r="EK540" s="7">
        <v>0.537357044982959</v>
      </c>
      <c r="EL540" s="7">
        <v>0.12504407343682999</v>
      </c>
      <c r="EM540" s="7">
        <v>5.8392731727168051E-2</v>
      </c>
      <c r="EN540" s="7">
        <v>5.954964096977218E-2</v>
      </c>
      <c r="EO540" s="7">
        <v>0.72734066968475675</v>
      </c>
      <c r="EP540" s="7">
        <v>8.5028980060206261E-2</v>
      </c>
      <c r="EQ540" s="7">
        <v>8.3676309038831762E-2</v>
      </c>
      <c r="ER540" s="7">
        <v>4.4404400246432919E-2</v>
      </c>
      <c r="ES540" s="7">
        <v>6.5455521088170196E-2</v>
      </c>
      <c r="ET540" s="7">
        <v>0.12384825281533815</v>
      </c>
      <c r="EU540" s="6">
        <v>1770</v>
      </c>
      <c r="EV540" s="6">
        <v>0</v>
      </c>
      <c r="EW540" s="6">
        <v>1770</v>
      </c>
      <c r="EX540" s="6">
        <v>0</v>
      </c>
      <c r="EY540" s="6">
        <v>2015.7477731612814</v>
      </c>
      <c r="EZ540" s="6">
        <v>353.55009605986834</v>
      </c>
      <c r="FA540" s="6">
        <v>0</v>
      </c>
      <c r="FB540" s="6">
        <v>0</v>
      </c>
      <c r="FC540" s="6">
        <v>0</v>
      </c>
      <c r="FD540" s="6">
        <v>0</v>
      </c>
      <c r="FE540" s="6">
        <v>0</v>
      </c>
      <c r="FF540" s="6">
        <v>0</v>
      </c>
      <c r="FG540" s="6">
        <v>0</v>
      </c>
      <c r="FH540" s="6">
        <v>1172.136539796842</v>
      </c>
      <c r="FI540" s="6">
        <v>1553.9796069512395</v>
      </c>
      <c r="FJ540" s="6">
        <v>2101.2110117447419</v>
      </c>
      <c r="FK540" s="6">
        <v>1772.713997862324</v>
      </c>
      <c r="FL540" s="6">
        <v>907.07682140966313</v>
      </c>
      <c r="FM540" s="6">
        <v>1745.7477731612814</v>
      </c>
      <c r="FN540" s="6">
        <v>0</v>
      </c>
      <c r="FO540" s="6">
        <v>0</v>
      </c>
      <c r="FP540" s="6">
        <v>0</v>
      </c>
      <c r="FQ540" s="6">
        <v>0</v>
      </c>
      <c r="FR540" s="6">
        <v>0</v>
      </c>
      <c r="FS540" s="6">
        <v>0</v>
      </c>
      <c r="FT540" s="7">
        <v>0.87615174718466182</v>
      </c>
      <c r="FU540" s="7">
        <v>5.8392731727168051E-2</v>
      </c>
      <c r="FV540" s="7">
        <v>6.5455521088170196E-2</v>
      </c>
      <c r="FW540" s="6">
        <v>1770</v>
      </c>
      <c r="FX540" s="6">
        <v>2015.7477731612814</v>
      </c>
      <c r="FY540" s="6">
        <v>353.55009605986834</v>
      </c>
      <c r="FZ540" s="6">
        <v>1758.1538569113241</v>
      </c>
      <c r="GA540" s="6">
        <v>1691.6354172330659</v>
      </c>
      <c r="GB540" s="6">
        <v>18293.364582766935</v>
      </c>
      <c r="GC540" s="7">
        <v>3.064145122680037E-2</v>
      </c>
      <c r="GD540" s="7">
        <v>3.0998807526376262E-2</v>
      </c>
      <c r="GE540" s="7"/>
      <c r="GF540" s="7"/>
      <c r="GG540" s="7">
        <v>1.1662512226683698E-2</v>
      </c>
      <c r="GH540" s="42">
        <v>-3.5039202359170121</v>
      </c>
      <c r="GI540" s="6">
        <v>-4011.9761533567462</v>
      </c>
      <c r="GJ540" s="14">
        <v>0.50394797582841755</v>
      </c>
      <c r="GK540" s="14">
        <v>0.50887573065309755</v>
      </c>
      <c r="GL540" s="14">
        <v>0.49605202417158267</v>
      </c>
      <c r="GM540" s="14">
        <v>0.4911242693469024</v>
      </c>
      <c r="GO540" s="5">
        <v>343.14810671672558</v>
      </c>
      <c r="GP540" s="5">
        <v>309.37988338875158</v>
      </c>
      <c r="GQ540" s="5">
        <v>535.04305713031317</v>
      </c>
      <c r="GR540" s="5">
        <v>410.15490233172511</v>
      </c>
      <c r="GS540" s="5">
        <v>339.42744393800166</v>
      </c>
      <c r="GT540" s="5">
        <v>293.4407446948278</v>
      </c>
      <c r="GU540" s="5">
        <v>258.04012322764959</v>
      </c>
      <c r="GV540" s="39" t="s">
        <v>392</v>
      </c>
      <c r="GW540" s="5">
        <v>492.125</v>
      </c>
      <c r="GX540" s="5">
        <v>369.09375</v>
      </c>
      <c r="GY540" s="5">
        <v>295.27499999999998</v>
      </c>
      <c r="GZ540" s="5">
        <v>260.54902799031458</v>
      </c>
      <c r="HA540" s="5">
        <v>241.34874471337258</v>
      </c>
      <c r="HB540" s="39">
        <v>274.73234479523774</v>
      </c>
      <c r="HC540" s="5">
        <v>271.81655829738071</v>
      </c>
      <c r="HD540" s="5">
        <v>229.24799238008356</v>
      </c>
      <c r="HE540" s="5">
        <v>231.16091712425109</v>
      </c>
      <c r="HF540" s="5">
        <v>212.73290951107165</v>
      </c>
      <c r="HG540" s="5">
        <v>203.85500473779987</v>
      </c>
      <c r="HH540" s="39">
        <v>229.43610767231513</v>
      </c>
      <c r="HI540" s="16"/>
      <c r="HJ540" s="19" t="str">
        <f t="shared" si="1513"/>
        <v>On</v>
      </c>
      <c r="HK540" s="1" t="str">
        <f t="shared" si="1513"/>
        <v>On</v>
      </c>
      <c r="HL540" s="16"/>
      <c r="HM540" s="639">
        <f t="shared" si="1413"/>
        <v>2.4909940070666322E-2</v>
      </c>
      <c r="HN540" s="639">
        <f t="shared" si="1414"/>
        <v>2.2052381276269151E-3</v>
      </c>
      <c r="HO540" s="639">
        <f t="shared" si="1415"/>
        <v>2.079866082302006E-3</v>
      </c>
      <c r="HP540" s="644">
        <f>(FT540*$GD540-HM540)/$JF540*INDEX(Input!$1:$1048576,$JG$93,$C540*2+6)</f>
        <v>63.264831216010883</v>
      </c>
      <c r="HQ540" s="644">
        <f>(FU540*$GD540-HN540)/$JF540*INDEX(Input!$1:$1048576,$JG$93,$C540*2+6)</f>
        <v>-11.111620594825546</v>
      </c>
      <c r="HR540" s="644">
        <f>(FV540*$GD540-HO540)/$JF540*INDEX(Input!$1:$1048576,$JG$93,$C540*2+6)</f>
        <v>-1.4292038153280766</v>
      </c>
      <c r="HS540" s="644">
        <f t="shared" si="1416"/>
        <v>-25.577695825866506</v>
      </c>
      <c r="HT540" s="644">
        <f t="shared" si="1417"/>
        <v>-0.38558446510750111</v>
      </c>
      <c r="HU540" s="644">
        <f t="shared" si="1418"/>
        <v>4.869485193672741</v>
      </c>
      <c r="HV540" s="648">
        <f t="shared" si="1419"/>
        <v>0</v>
      </c>
      <c r="HW540" s="648">
        <f t="shared" si="1420"/>
        <v>0</v>
      </c>
      <c r="HX540" s="648">
        <f t="shared" si="1421"/>
        <v>0</v>
      </c>
      <c r="HY540" s="644">
        <f>INDEX(Input!$1:$1048576,HY$93,$C540*2+6)*INDEX(Input!$1:$1048576,$JG$93,$C540*2+6)</f>
        <v>333.00000000000006</v>
      </c>
      <c r="HZ540" s="644">
        <f>INDEX(Input!$1:$1048576,HZ$93,$C540*2+6)*INDEX(Input!$1:$1048576,$JG$93,$C540*2+6)</f>
        <v>429</v>
      </c>
      <c r="IA540" s="644">
        <f>INDEX(Input!$1:$1048576,IA$93,$C540*2+6)*INDEX(Input!$1:$1048576,$JG$93,$C540*2+6)</f>
        <v>59</v>
      </c>
      <c r="IB540" s="644">
        <f t="shared" si="1445"/>
        <v>370.68713539014448</v>
      </c>
      <c r="IC540" s="644">
        <f t="shared" si="1446"/>
        <v>417.50279494006696</v>
      </c>
      <c r="ID540" s="644">
        <f>IF(AND(INDEX(Input!$1:$1048576,IA$93,$C540*2+7)="TOS",Y540&lt;=INDEX(Y:Y,MATCH(C540*1000+2,A:A))),0,1)*MAX(IA540+HR540+HU540+HX540,0%)</f>
        <v>62.440281378344665</v>
      </c>
      <c r="IE540" s="128">
        <f t="shared" si="1514"/>
        <v>0.43577941423640587</v>
      </c>
      <c r="IF540" s="128">
        <f t="shared" si="1468"/>
        <v>0.49081585534268829</v>
      </c>
      <c r="IG540" s="128">
        <f t="shared" si="1423"/>
        <v>7.3404730420905895E-2</v>
      </c>
      <c r="IH540" s="21"/>
      <c r="II540" s="19">
        <f t="shared" si="1424"/>
        <v>1240</v>
      </c>
      <c r="IJ540" s="19">
        <f t="shared" si="1425"/>
        <v>1985.7442651839444</v>
      </c>
      <c r="IK540" s="19">
        <f t="shared" si="1426"/>
        <v>-21.44990394013189</v>
      </c>
      <c r="IL540" s="19">
        <f t="shared" si="1448"/>
        <v>530</v>
      </c>
      <c r="IM540" s="19">
        <f t="shared" si="1427"/>
        <v>30.003507977336994</v>
      </c>
      <c r="IN540" s="19">
        <f t="shared" si="1428"/>
        <v>375.00000000000023</v>
      </c>
      <c r="IO540" s="39">
        <f t="shared" si="1429"/>
        <v>0</v>
      </c>
      <c r="IP540" s="39">
        <f t="shared" si="1430"/>
        <v>0</v>
      </c>
      <c r="IQ540" s="39">
        <f t="shared" si="1431"/>
        <v>0</v>
      </c>
      <c r="IR540" s="39">
        <v>0</v>
      </c>
      <c r="IS540" s="39">
        <v>0</v>
      </c>
      <c r="IT540" s="39">
        <v>0</v>
      </c>
      <c r="IU540" s="39">
        <v>0</v>
      </c>
      <c r="IV540" s="39">
        <v>0</v>
      </c>
      <c r="IW540" s="39">
        <v>0</v>
      </c>
      <c r="IX540" s="39">
        <f>INDEX(Input!$1:$1048576,IX$93,$C540*2+6)+INDEX(Input!$1:$1048576,IX$94,$C540*2+6)</f>
        <v>1270</v>
      </c>
      <c r="IY540" s="39">
        <f>INDEX(Input!$1:$1048576,IY$93,$C540*2+6)+INDEX(Input!$1:$1048576,IY$94,$C540*2+6)</f>
        <v>2130.0624533823611</v>
      </c>
      <c r="IZ540" s="39">
        <f>INDEX(Input!$1:$1048576,IZ$93,$C540*2+6)+INDEX(Input!$1:$1048576,IZ$94,$C540*2+6)</f>
        <v>3653.7164157747857</v>
      </c>
      <c r="JA540" s="19">
        <f t="shared" si="1449"/>
        <v>1800</v>
      </c>
      <c r="JB540" s="19">
        <f t="shared" si="1450"/>
        <v>2160.0659613596981</v>
      </c>
      <c r="JC540" s="19">
        <f t="shared" si="1451"/>
        <v>4028.7164157747857</v>
      </c>
      <c r="JD540" s="19">
        <f t="shared" si="1452"/>
        <v>2140.3244104891437</v>
      </c>
      <c r="JE540" s="21"/>
      <c r="JF540" s="1">
        <f t="shared" si="1432"/>
        <v>2.9195044280595241E-2</v>
      </c>
      <c r="JG540" s="15">
        <f>INDEX(Input!$1:$1048576,JG$93,$C540*2+6)/(1+VLOOKUP(C540*1000+INDEX(Input!$1:$1048576,JG$93+1,$C540*2+6),$A:$KK,$JK$92,FALSE))</f>
        <v>821</v>
      </c>
      <c r="JH540" s="1">
        <f t="shared" si="1453"/>
        <v>6.178319951992358E-2</v>
      </c>
      <c r="JI540" s="1">
        <f t="shared" si="1454"/>
        <v>-2.5692807670281689E-2</v>
      </c>
      <c r="JJ540" s="1">
        <f t="shared" si="1492"/>
        <v>0</v>
      </c>
      <c r="JK540" s="1">
        <f t="shared" si="1496"/>
        <v>3.6090391849641891E-2</v>
      </c>
      <c r="JL540" s="15">
        <f t="shared" si="1457"/>
        <v>29.630211708555994</v>
      </c>
      <c r="JM540" s="15">
        <f t="shared" si="1483"/>
        <v>850.63021170855598</v>
      </c>
      <c r="JN540" s="21"/>
      <c r="JO540" s="19">
        <f>INDEX(Input!$1:$1048576,JO$93,$C540*2+6)</f>
        <v>5995.5</v>
      </c>
      <c r="JP540" s="19">
        <f>INDEX(Input!$1:$1048576,JP$93,$C540*2+6)</f>
        <v>1890.7138380411029</v>
      </c>
      <c r="JQ540" s="39">
        <f t="shared" si="1469"/>
        <v>3855.1755895108563</v>
      </c>
      <c r="JR540" s="39">
        <f t="shared" si="1486"/>
        <v>249.61057244804078</v>
      </c>
      <c r="JS540" s="39">
        <f t="shared" si="1471"/>
        <v>1.8206246064193705</v>
      </c>
      <c r="JT540" s="39">
        <f t="shared" si="1459"/>
        <v>0.26834854538762498</v>
      </c>
      <c r="JU540" s="385">
        <f>(JQ540*JM540-INDEX(Input!$1:$1048576,Input!A$18,$C540*2+6)*JL540*INDEX(Input!$1:$1048576,Input!A$19,$C540*2+6))/1000000</f>
        <v>3.2793288278792767</v>
      </c>
      <c r="JV540" s="39">
        <f t="shared" si="1493"/>
        <v>-9.0700611088977645E-2</v>
      </c>
      <c r="JW540" s="1">
        <f t="shared" si="1484"/>
        <v>-2.6913892810605813E-2</v>
      </c>
      <c r="JX540" s="19">
        <f t="shared" si="1475"/>
        <v>9056.5854887272671</v>
      </c>
      <c r="JZ540" s="341"/>
      <c r="KA540" s="342"/>
      <c r="KB540" s="469">
        <f t="shared" si="1472"/>
        <v>2.5122967434604799</v>
      </c>
      <c r="KI540" s="473">
        <f t="shared" si="1515"/>
        <v>37.687135390144363</v>
      </c>
      <c r="KJ540" s="473">
        <f t="shared" si="1516"/>
        <v>-11.497205059933094</v>
      </c>
      <c r="KK540" s="473">
        <f t="shared" si="1461"/>
        <v>3.4402813783446575</v>
      </c>
      <c r="KN540" s="544">
        <f t="shared" si="1476"/>
        <v>5002</v>
      </c>
      <c r="KO540" s="541">
        <f t="shared" si="1436"/>
        <v>3.1888913167563038E-2</v>
      </c>
      <c r="KP540" s="546">
        <f t="shared" si="1437"/>
        <v>244.31640889085031</v>
      </c>
      <c r="KQ540" s="546">
        <f t="shared" si="1438"/>
        <v>221.40564476587724</v>
      </c>
      <c r="KR540" s="548">
        <f t="shared" si="1439"/>
        <v>2.3580393080162296</v>
      </c>
      <c r="KS540" s="548">
        <f t="shared" si="1440"/>
        <v>2.6020461057674891</v>
      </c>
      <c r="KT540" s="473">
        <f t="shared" si="1474"/>
        <v>595.94378802984284</v>
      </c>
      <c r="KU540" s="663">
        <f t="shared" si="1462"/>
        <v>3.9905191486804799</v>
      </c>
      <c r="KV540" s="117"/>
    </row>
    <row r="541" spans="1:308" s="26" customFormat="1" ht="15">
      <c r="A541" s="561">
        <f t="shared" si="1441"/>
        <v>5041</v>
      </c>
      <c r="B541" s="561">
        <f t="shared" si="1463"/>
        <v>41</v>
      </c>
      <c r="C541" s="561">
        <f t="shared" si="1464"/>
        <v>5</v>
      </c>
      <c r="D541" s="561" t="str">
        <f t="shared" si="1509"/>
        <v xml:space="preserve">750 CC, 360 Lease, </v>
      </c>
      <c r="E541" s="475">
        <f>INDEX(Input!$1:$1048576,E$93,$C541*2+MIN($B541,2)+5)
+INDEX(Scenarios!E$121:E$200,MATCH($B541,Scenarios!$B$121:$B$200,0))</f>
        <v>2027.4263093788063</v>
      </c>
      <c r="F541" s="475">
        <f>INDEX(Input!$1:$1048576,F$93,$C541*2+MIN($B541,2)+5)
+INDEX(Scenarios!F$121:F$200,MATCH($B541,Scenarios!$B$121:$B$200,0))</f>
        <v>0</v>
      </c>
      <c r="G541" s="475">
        <f>INDEX(Input!$1:$1048576,G$93,$C541*2+MIN($B541,2)+5)
+INDEX(Scenarios!G$121:G$200,MATCH($B541,Scenarios!$B$121:$B$200,0))</f>
        <v>0</v>
      </c>
      <c r="H541" s="475">
        <f>INDEX(Input!$1:$1048576,H$93,$C541*2+MIN($B541,2)+5)
+INDEX(Scenarios!H$121:H$200,MATCH($B541,Scenarios!$B$121:$B$200,0))</f>
        <v>0</v>
      </c>
      <c r="I541" s="476">
        <f>INDEX(Input!$1:$1048576,I$93,$C541*2+MIN($B541,2)+5)</f>
        <v>0.7</v>
      </c>
      <c r="J541" s="476" t="str">
        <f>INDEX(Input!$1:$1048576,J$93,$C541*2+MIN($B541,2)+5)</f>
        <v>Market</v>
      </c>
      <c r="K541" s="476" t="str">
        <f>INDEX(Input!$1:$1048576,K$93,$C541*2+MIN($B541,2)+5)</f>
        <v>Market</v>
      </c>
      <c r="L541" s="476" t="str">
        <f>INDEX(Input!$1:$1048576,L$93,$C541*2+MIN($B541,2)+5)</f>
        <v>Market</v>
      </c>
      <c r="M541" s="476" t="str">
        <f>INDEX(Input!$1:$1048576,M$93,$C541*2+MIN($B541,2)+5)</f>
        <v>Market</v>
      </c>
      <c r="N541" s="476" t="str">
        <f>INDEX(Input!$1:$1048576,N$93,$C541*2+MIN($B541,2)+5)</f>
        <v>Market</v>
      </c>
      <c r="O541" s="476" t="str">
        <f>INDEX(Input!$1:$1048576,O$93,$C541*2+MIN($B541,2)+5)</f>
        <v>Market</v>
      </c>
      <c r="P541" s="476" t="str">
        <f>INDEX(Input!$1:$1048576,P$93,$C541*2+MIN($B541,2)+5)</f>
        <v>N</v>
      </c>
      <c r="Q541" s="477">
        <f>INDEX(Input!$1:$1048576,Q$93,$C541*2+MIN($B541,2)+5)
+INDEX(Scenarios!Q$121:Q$200,MATCH($B541,Scenarios!$B$121:$B$200,0))</f>
        <v>0</v>
      </c>
      <c r="R541" s="478">
        <f>IFERROR(MAX(0,INDEX(Input!$1:$1048576,R$93,$C541*2+MIN($B541,2)+5)
+INDEX(Scenarios!R$121:R$200,MATCH($B541,Scenarios!$B$121:$B$200,0)),),"Market")</f>
        <v>0</v>
      </c>
      <c r="S541" s="478">
        <f>IFERROR(MAX(0,INDEX(Input!$1:$1048576,S$93,$C541*2+MIN($B541,2)+5)
+INDEX(Scenarios!S$121:S$200,MATCH($B541,Scenarios!$B$121:$B$200,0)),),"Market")</f>
        <v>0</v>
      </c>
      <c r="T541" s="478">
        <f>IFERROR(MAX(0,INDEX(Input!$1:$1048576,T$93,$C541*2+MIN($B541,2)+5)
+INDEX(Scenarios!T$121:T$200,MATCH($B541,Scenarios!$B$121:$B$200,0)),),"Market")</f>
        <v>0</v>
      </c>
      <c r="U541" s="478">
        <f>IFERROR(MAX(0,INDEX(Input!$1:$1048576,U$93,$C541*2+MIN($B541,2)+5)
+INDEX(Scenarios!U$121:U$200,MATCH($B541,Scenarios!$B$121:$B$200,0)),),"Market")</f>
        <v>0</v>
      </c>
      <c r="V541" s="478">
        <f>IFERROR(MAX(0,INDEX(Input!$1:$1048576,V$93,$C541*2+MIN($B541,2)+5)
+INDEX(Scenarios!V$121:V$200,MATCH($B541,Scenarios!$B$121:$B$200,0)),),"Market")</f>
        <v>1.9E-2</v>
      </c>
      <c r="W541" s="885">
        <f>IFERROR(MAX(0,INDEX(Input!$1:$1048576,W$93,$C541*2+MIN($B541,2)+5)-0%,),"Market")</f>
        <v>3.9E-2</v>
      </c>
      <c r="X541" s="476" t="str">
        <f>INDEX(Input!$1:$1048576,X$93,$C541*2+MIN($B541,2)+5)</f>
        <v>Y</v>
      </c>
      <c r="Y541" s="475">
        <f>INDEX(Input!$1:$1048576,Y$93,$C541*2+MIN($B541,2)+5)
++INDEX(Scenarios!Y$121:Y$200,MATCH($B541,Scenarios!$B$121:$B$200,0))</f>
        <v>-357.93641739252325</v>
      </c>
      <c r="Z541" s="477">
        <f>INDEX(Input!$1:$1048576,Z$93,$C541*2+MIN($B541,2)+5)
+INDEX(Scenarios!Z$121:Z$200,MATCH($B541,Scenarios!$B$121:$B$200,0))</f>
        <v>0</v>
      </c>
      <c r="AA541" s="475">
        <f>INDEX(Input!$1:$1048576,AA$93,$C541*2+MIN($B541,2)+5)
+INDEX(Scenarios!AA$121:AA$200,MATCH($B541,Scenarios!$B$121:$B$200,0))</f>
        <v>0</v>
      </c>
      <c r="AB541" s="476">
        <f>INDEX(Input!$1:$1048576,AB$93,$C541*2+MIN($B541,2)+5)</f>
        <v>0.27</v>
      </c>
      <c r="AC541" s="475">
        <f>INDEX(Input!$1:$1048576,AC$93,$C541*2+MIN($B541,2)+5)
+INDEX(Scenarios!AC$121:AC$200,MATCH($B541,Scenarios!$B$121:$B$200,0))</f>
        <v>0</v>
      </c>
      <c r="AD541" s="476">
        <f>INDEX(Input!$1:$1048576,AD$93,$C541*2+MIN($B541,2)+5)</f>
        <v>0.27</v>
      </c>
      <c r="AE541" s="475">
        <f>INDEX(Input!$1:$1048576,AE$93,$C541*2+MIN($B541,2)+5)
+INDEX(Scenarios!AE$121:AE$200,MATCH($B541,Scenarios!$B$121:$B$200,0))</f>
        <v>0</v>
      </c>
      <c r="AF541" s="476">
        <f>INDEX(Input!$1:$1048576,AF$93,$C541*2+MIN($B541,2)+5)</f>
        <v>0.2</v>
      </c>
      <c r="AG541" s="475">
        <f>INDEX(Input!$1:$1048576,AG$93,$C541*2+MIN($B541,2)+5)
+INDEX(Scenarios!AG$121:AG$200,MATCH($B541,Scenarios!$B$121:$B$200,0))</f>
        <v>500</v>
      </c>
      <c r="AH541" s="476">
        <f>INDEX(Input!$1:$1048576,AH$93,$C541*2+MIN($B541,2)+5)</f>
        <v>1</v>
      </c>
      <c r="AI541" s="475">
        <f>INDEX(Input!$1:$1048576,AI$93,$C541*2+MIN($B541,2)+5)
+INDEX(Scenarios!AI$121:AI$200,MATCH($B541,Scenarios!$B$121:$B$200,0))</f>
        <v>0</v>
      </c>
      <c r="AJ541" s="476">
        <f>INDEX(Input!$1:$1048576,AJ$93,$C541*2+MIN($B541,2)+5)</f>
        <v>0.27</v>
      </c>
      <c r="AK541" s="150">
        <f>ROUND(INDEX(Input!$1:$1048576,AK$93,$C540*2+MIN($B541,1)+5)+(Y541-VLOOKUP($C541*1000+1,$A:$HH,Y$92,FALSE)),0)</f>
        <v>2947</v>
      </c>
      <c r="AL541" s="150">
        <f>ROUND(INDEX(Input!$1:$1048576,AL$93,$C540*2+MIN($B541,1)+5)-(Y541-VLOOKUP($C541*1000+1,$A:$HH,Y$92,FALSE))/36,0)</f>
        <v>3396</v>
      </c>
      <c r="AM541" s="32" t="str">
        <f t="shared" si="1442"/>
        <v>std/std/std/std</v>
      </c>
      <c r="AN541" s="32" t="str">
        <f t="shared" si="1443"/>
        <v>$0 + 0/0/0/1.9/3.9</v>
      </c>
      <c r="AO541" s="32" t="str">
        <f t="shared" si="1444"/>
        <v>0/0/0/1.9/3.9</v>
      </c>
      <c r="AP541" s="32" t="str">
        <f t="shared" si="1396"/>
        <v>0/0.9/1.9/3.9</v>
      </c>
      <c r="AQ541" s="536">
        <f t="shared" si="1394"/>
        <v>0.4553035103535365</v>
      </c>
      <c r="AR541" s="32"/>
      <c r="AS541" s="302"/>
      <c r="AT541" s="3">
        <f t="shared" si="1465"/>
        <v>41</v>
      </c>
      <c r="AU541" s="41" t="s">
        <v>121</v>
      </c>
      <c r="AV541" s="41" t="s">
        <v>116</v>
      </c>
      <c r="AW541" s="41" t="str">
        <f>INDEX(Input!$1:$1048576,AW$93,$C541*2+6)</f>
        <v>Kia</v>
      </c>
      <c r="AX541" s="41" t="str">
        <f>INDEX(Input!$1:$1048576,AX$93,$C541*2+6)</f>
        <v>Kia-LR - R2</v>
      </c>
      <c r="AY541" s="41" t="str">
        <f>IF(LEN(D541)=0,"",INDEX(Input!$1:$1048576,AY$93,$C541*2+6))</f>
        <v>Compact SUV (52)</v>
      </c>
      <c r="AZ541" s="41" t="str">
        <f>INDEX(Input!$1:$1048576,AZ$93,$C541*2+6)</f>
        <v>Kia Soul</v>
      </c>
      <c r="BA541" s="3">
        <f>INDEX(Input!$1:$1048576,BA$93,$C541*2+6)</f>
        <v>2020</v>
      </c>
      <c r="BB541" s="128">
        <f>INDEX(Input!$1:$1048576,BB$93,$C541*2+6)</f>
        <v>1</v>
      </c>
      <c r="BC541" s="128">
        <f>INDEX(Input!$1:$1048576,BC$93,$C541*2+6)</f>
        <v>0.7</v>
      </c>
      <c r="BD541" s="1">
        <f>INDEX(Input!$1:$1048576,BD$93,$C541*2+6)</f>
        <v>4.4999999999999998E-2</v>
      </c>
      <c r="BE541" s="1">
        <f>INDEX(Input!$1:$1048576,BE$93,$C541*2+6)</f>
        <v>4.4999999999999998E-2</v>
      </c>
      <c r="BF541" s="1">
        <f>INDEX(Input!$1:$1048576,BF$93,$C541*2+6)</f>
        <v>0.05</v>
      </c>
      <c r="BG541" s="1">
        <f>INDEX(Input!$1:$1048576,BG$93,$C541*2+6)</f>
        <v>5.45E-2</v>
      </c>
      <c r="BH541" s="1">
        <f>INDEX(Input!$1:$1048576,BH$93,$C541*2+6)</f>
        <v>5.45E-2</v>
      </c>
      <c r="BI541" s="1">
        <f>INDEX(Input!$1:$1048576,BI$93,$C541*2+6)</f>
        <v>0.05</v>
      </c>
      <c r="BJ541" s="1">
        <f>INDEX(Input!$1:$1048576,BJ$93,$C541*2+6)</f>
        <v>0.05</v>
      </c>
      <c r="BK541" s="1">
        <f>INDEX(Input!$1:$1048576,BK$93,$C541*2+6)</f>
        <v>0.05</v>
      </c>
      <c r="BL541" s="1">
        <f>INDEX(Input!$1:$1048576,BL$93,$C541*2+6)</f>
        <v>5.5E-2</v>
      </c>
      <c r="BM541" s="1">
        <f>INDEX(Input!$1:$1048576,BM$93,$C541*2+6)</f>
        <v>0.06</v>
      </c>
      <c r="BN541" s="1">
        <f>INDEX(Input!$1:$1048576,BN$93,$C541*2+6)</f>
        <v>4.4999999999999998E-2</v>
      </c>
      <c r="BO541" s="1">
        <f>INDEX(Input!$1:$1048576,BO$93,$C541*2+6)</f>
        <v>4.4999999999999998E-2</v>
      </c>
      <c r="BP541" s="1">
        <f>INDEX(Input!$1:$1048576,BP$93,$C541*2+6)</f>
        <v>0.05</v>
      </c>
      <c r="BQ541" s="1">
        <f>INDEX(Input!$1:$1048576,BQ$93,$C541*2+6)</f>
        <v>5.45E-2</v>
      </c>
      <c r="BR541" s="1">
        <f>INDEX(Input!$1:$1048576,BR$93,$C541*2+6)</f>
        <v>5.45E-2</v>
      </c>
      <c r="BS541" s="1">
        <f>INDEX(Input!$1:$1048576,BS$93,$C541*2+6)</f>
        <v>0.05</v>
      </c>
      <c r="BT541" s="1">
        <f>INDEX(Input!$1:$1048576,BT$93,$C541*2+6)</f>
        <v>0.05</v>
      </c>
      <c r="BU541" s="1">
        <f>INDEX(Input!$1:$1048576,BU$93,$C541*2+6)</f>
        <v>0.05</v>
      </c>
      <c r="BV541" s="1">
        <f>INDEX(Input!$1:$1048576,BV$93,$C541*2+6)</f>
        <v>5.5E-2</v>
      </c>
      <c r="BW541" s="1">
        <f>INDEX(Input!$1:$1048576,BW$93,$C541*2+6)</f>
        <v>0.06</v>
      </c>
      <c r="BX541" s="127">
        <f>INDEX(Input!$1:$1048576,BX$93,$C541*2+6)</f>
        <v>19985</v>
      </c>
      <c r="BY541" s="20">
        <f>INDEX(Input!$1:$1048576,BY$93,$C541*2+6)</f>
        <v>0.1</v>
      </c>
      <c r="BZ541" s="20">
        <f>INDEX(Input!$1:$1048576,BZ$93,$C541*2+6)</f>
        <v>0.1</v>
      </c>
      <c r="CA541" s="20">
        <f>INDEX(Input!$1:$1048576,CA$93,$C541*2+6)</f>
        <v>0.1</v>
      </c>
      <c r="CB541" s="20">
        <f>INDEX(Input!$1:$1048576,CB$93,$C541*2+6)</f>
        <v>0.1</v>
      </c>
      <c r="CC541" s="20">
        <f>INDEX(Input!$1:$1048576,CC$93,$C541*2+6)</f>
        <v>0.1</v>
      </c>
      <c r="CD541" s="384">
        <f>INDEX(Input!$1:$1048576,CD$93,$C541*2+6)</f>
        <v>0.1</v>
      </c>
      <c r="CE541" s="384">
        <f>INDEX(Input!$1:$1048576,CE$93,$C541*2+6)</f>
        <v>0.1</v>
      </c>
      <c r="CF541" s="384">
        <f>INDEX(Input!$1:$1048576,CF$93,$C541*2+6)</f>
        <v>0.1</v>
      </c>
      <c r="CG541" s="384">
        <f>INDEX(Input!$1:$1048576,CG$93,$C541*2+6)</f>
        <v>0.1</v>
      </c>
      <c r="CH541" s="384">
        <f>INDEX(Input!$1:$1048576,CH$93,$C541*2+6)</f>
        <v>0.1</v>
      </c>
      <c r="CI541" s="304">
        <f t="shared" si="1397"/>
        <v>2027.4263093788063</v>
      </c>
      <c r="CJ541" s="16" t="str">
        <f>INDEX(Input!$1:$1048576,CJ$93,$C541*2+6)</f>
        <v>N</v>
      </c>
      <c r="CK541" s="1" t="str">
        <f t="shared" si="1398"/>
        <v>Market</v>
      </c>
      <c r="CL541" s="1" t="str">
        <f t="shared" si="1399"/>
        <v>Market</v>
      </c>
      <c r="CM541" s="1" t="str">
        <f t="shared" si="1400"/>
        <v>Market</v>
      </c>
      <c r="CN541" s="1" t="str">
        <f t="shared" si="1401"/>
        <v>Market</v>
      </c>
      <c r="CO541" s="1" t="str">
        <f t="shared" si="1402"/>
        <v>Market</v>
      </c>
      <c r="CP541" s="304">
        <f t="shared" si="1403"/>
        <v>500</v>
      </c>
      <c r="CQ541" s="1">
        <f t="shared" si="1404"/>
        <v>0</v>
      </c>
      <c r="CR541" s="1">
        <f t="shared" si="1405"/>
        <v>0</v>
      </c>
      <c r="CS541" s="1">
        <f t="shared" si="1406"/>
        <v>0</v>
      </c>
      <c r="CT541" s="1">
        <f t="shared" si="1407"/>
        <v>1.9E-2</v>
      </c>
      <c r="CU541" s="1">
        <f t="shared" si="1408"/>
        <v>3.9E-2</v>
      </c>
      <c r="CV541" s="304">
        <f t="shared" si="1409"/>
        <v>-357.93641739252325</v>
      </c>
      <c r="CW541" s="20" t="s">
        <v>122</v>
      </c>
      <c r="CX541" s="20" t="s">
        <v>122</v>
      </c>
      <c r="CY541" s="20" t="s">
        <v>122</v>
      </c>
      <c r="CZ541" s="20" t="s">
        <v>122</v>
      </c>
      <c r="DA541" s="20" t="s">
        <v>122</v>
      </c>
      <c r="DB541" s="503">
        <f t="shared" si="1410"/>
        <v>0</v>
      </c>
      <c r="DC541" s="127">
        <v>0</v>
      </c>
      <c r="DD541" s="127">
        <v>0</v>
      </c>
      <c r="DE541" s="127">
        <v>0</v>
      </c>
      <c r="DF541" s="127">
        <v>0</v>
      </c>
      <c r="DG541" s="127">
        <v>0</v>
      </c>
      <c r="DH541" s="127">
        <v>0</v>
      </c>
      <c r="DI541" s="127">
        <v>0</v>
      </c>
      <c r="DJ541" s="127">
        <v>0</v>
      </c>
      <c r="DK541" s="127">
        <v>0</v>
      </c>
      <c r="DL541" s="127">
        <v>0</v>
      </c>
      <c r="DM541" s="304">
        <f>INDEX(Input!$1:$1048576,DM$93,$C541*2+6)</f>
        <v>21036.84210526316</v>
      </c>
      <c r="DN541" s="20">
        <v>0</v>
      </c>
      <c r="DO541" s="20">
        <v>0</v>
      </c>
      <c r="DP541" s="20">
        <v>0</v>
      </c>
      <c r="DQ541" s="20">
        <v>0</v>
      </c>
      <c r="DR541" s="20">
        <v>0</v>
      </c>
      <c r="DS541" s="20">
        <f>INDEX(Input!$1:$1048576,DS$93,$C541*2+6)</f>
        <v>0.6</v>
      </c>
      <c r="DT541" s="20">
        <f>INDEX(Input!$1:$1048576,DT$93,$C541*2+6)</f>
        <v>0.55000000000000004</v>
      </c>
      <c r="DU541" s="20">
        <f>INDEX(Input!$1:$1048576,DU$93,$C541*2+6)</f>
        <v>0.52</v>
      </c>
      <c r="DV541" s="20">
        <f>INDEX(Input!$1:$1048576,DV$93,$C541*2+6)</f>
        <v>0.5</v>
      </c>
      <c r="DW541" s="20">
        <f>INDEX(Input!$1:$1048576,DW$93,$C541*2+6)</f>
        <v>0.45</v>
      </c>
      <c r="DX541" s="20"/>
      <c r="DY541" s="7">
        <v>0.13300188330450211</v>
      </c>
      <c r="DZ541" s="7">
        <v>0</v>
      </c>
      <c r="EA541" s="7">
        <v>0.75767368890977083</v>
      </c>
      <c r="EB541" s="7">
        <v>0</v>
      </c>
      <c r="EC541" s="7">
        <v>0</v>
      </c>
      <c r="ED541" s="7">
        <v>0</v>
      </c>
      <c r="EE541" s="7">
        <v>0</v>
      </c>
      <c r="EF541" s="7">
        <v>0</v>
      </c>
      <c r="EG541" s="7">
        <v>0</v>
      </c>
      <c r="EH541" s="7">
        <v>1.2090273255687733E-2</v>
      </c>
      <c r="EI541" s="7">
        <v>3.3612634749924201E-2</v>
      </c>
      <c r="EJ541" s="7">
        <v>0.29192784175737718</v>
      </c>
      <c r="EK541" s="7">
        <v>0.53732508600228901</v>
      </c>
      <c r="EL541" s="7">
        <v>0.12504416423472231</v>
      </c>
      <c r="EM541" s="7">
        <v>5.1528439982592378E-2</v>
      </c>
      <c r="EN541" s="7">
        <v>5.9558190539771093E-2</v>
      </c>
      <c r="EO541" s="7">
        <v>0.7273370357970147</v>
      </c>
      <c r="EP541" s="7">
        <v>8.5033583278586108E-2</v>
      </c>
      <c r="EQ541" s="7">
        <v>8.3671592539528813E-2</v>
      </c>
      <c r="ER541" s="7">
        <v>4.4399597845098671E-2</v>
      </c>
      <c r="ES541" s="7">
        <v>5.779598780313476E-2</v>
      </c>
      <c r="ET541" s="7">
        <v>0.10932442778572701</v>
      </c>
      <c r="EU541" s="6">
        <v>2020</v>
      </c>
      <c r="EV541" s="6">
        <v>0</v>
      </c>
      <c r="EW541" s="6">
        <v>2020</v>
      </c>
      <c r="EX541" s="6">
        <v>0</v>
      </c>
      <c r="EY541" s="6">
        <v>2015.7551870497223</v>
      </c>
      <c r="EZ541" s="6">
        <v>353.55009605986834</v>
      </c>
      <c r="FA541" s="6">
        <v>0</v>
      </c>
      <c r="FB541" s="6">
        <v>0</v>
      </c>
      <c r="FC541" s="6">
        <v>0</v>
      </c>
      <c r="FD541" s="6">
        <v>0</v>
      </c>
      <c r="FE541" s="6">
        <v>0</v>
      </c>
      <c r="FF541" s="6">
        <v>0</v>
      </c>
      <c r="FG541" s="6">
        <v>0</v>
      </c>
      <c r="FH541" s="6">
        <v>1172.1387671367456</v>
      </c>
      <c r="FI541" s="6">
        <v>1553.9796069512397</v>
      </c>
      <c r="FJ541" s="6">
        <v>2101.2110117447419</v>
      </c>
      <c r="FK541" s="6">
        <v>1772.7139978623227</v>
      </c>
      <c r="FL541" s="6">
        <v>907.07682140966358</v>
      </c>
      <c r="FM541" s="6">
        <v>1745.7551870497223</v>
      </c>
      <c r="FN541" s="6">
        <v>0</v>
      </c>
      <c r="FO541" s="6">
        <v>0</v>
      </c>
      <c r="FP541" s="6">
        <v>0</v>
      </c>
      <c r="FQ541" s="6">
        <v>0</v>
      </c>
      <c r="FR541" s="6">
        <v>0</v>
      </c>
      <c r="FS541" s="6">
        <v>0</v>
      </c>
      <c r="FT541" s="7">
        <v>0.89067557221427296</v>
      </c>
      <c r="FU541" s="7">
        <v>5.1528439982592378E-2</v>
      </c>
      <c r="FV541" s="7">
        <v>5.779598780313476E-2</v>
      </c>
      <c r="FW541" s="6">
        <v>2019.9999999999998</v>
      </c>
      <c r="FX541" s="6">
        <v>2015.7551870497223</v>
      </c>
      <c r="FY541" s="6">
        <v>353.55009605986834</v>
      </c>
      <c r="FZ541" s="6">
        <v>1758.1538569113241</v>
      </c>
      <c r="GA541" s="6">
        <v>1923.4671530879953</v>
      </c>
      <c r="GB541" s="6">
        <v>18061.532846912003</v>
      </c>
      <c r="GC541" s="7">
        <v>3.064145122680037E-2</v>
      </c>
      <c r="GD541" s="7">
        <v>3.1857732111056983E-2</v>
      </c>
      <c r="GE541" s="7"/>
      <c r="GF541" s="7"/>
      <c r="GG541" s="7">
        <v>3.9693971256583284E-2</v>
      </c>
      <c r="GH541" s="42">
        <v>4.7986703665688815</v>
      </c>
      <c r="GI541" s="6">
        <v>6088.1624693636086</v>
      </c>
      <c r="GJ541" s="14">
        <v>0.50394797582841699</v>
      </c>
      <c r="GK541" s="14">
        <v>0.50887573065309721</v>
      </c>
      <c r="GL541" s="14">
        <v>0.49605202417158245</v>
      </c>
      <c r="GM541" s="14">
        <v>0.49112426934690195</v>
      </c>
      <c r="GO541" s="5">
        <v>343.14810671672558</v>
      </c>
      <c r="GP541" s="5">
        <v>304.61036031982871</v>
      </c>
      <c r="GQ541" s="5">
        <v>535.04305713031317</v>
      </c>
      <c r="GR541" s="5">
        <v>410.15490233172511</v>
      </c>
      <c r="GS541" s="5">
        <v>339.42744393800166</v>
      </c>
      <c r="GT541" s="5">
        <v>293.4407446948278</v>
      </c>
      <c r="GU541" s="5">
        <v>258.04012322764959</v>
      </c>
      <c r="GV541" s="39" t="s">
        <v>392</v>
      </c>
      <c r="GW541" s="5">
        <v>492.125</v>
      </c>
      <c r="GX541" s="5">
        <v>369.09375</v>
      </c>
      <c r="GY541" s="5">
        <v>295.27499999999998</v>
      </c>
      <c r="GZ541" s="5">
        <v>260.54902799031458</v>
      </c>
      <c r="HA541" s="5">
        <v>241.34874471337258</v>
      </c>
      <c r="HB541" s="39">
        <v>274.73391355258633</v>
      </c>
      <c r="HC541" s="5">
        <v>271.81655829738071</v>
      </c>
      <c r="HD541" s="5">
        <v>229.24799238008356</v>
      </c>
      <c r="HE541" s="5">
        <v>231.16091712425109</v>
      </c>
      <c r="HF541" s="5">
        <v>212.73290951107165</v>
      </c>
      <c r="HG541" s="5">
        <v>203.85500473779987</v>
      </c>
      <c r="HH541" s="39">
        <v>229.43668026155393</v>
      </c>
      <c r="HI541" s="16"/>
      <c r="HJ541" s="19" t="str">
        <f t="shared" ref="HJ541:HK541" si="1517">HJ540</f>
        <v>On</v>
      </c>
      <c r="HK541" s="1" t="str">
        <f t="shared" si="1517"/>
        <v>On</v>
      </c>
      <c r="HL541" s="16"/>
      <c r="HM541" s="639">
        <f t="shared" si="1413"/>
        <v>2.4909940070666322E-2</v>
      </c>
      <c r="HN541" s="639">
        <f t="shared" si="1414"/>
        <v>2.2052381276269151E-3</v>
      </c>
      <c r="HO541" s="639">
        <f t="shared" si="1415"/>
        <v>2.079866082302006E-3</v>
      </c>
      <c r="HP541" s="644">
        <f>(FT541*$GD541-HM541)/$JF541*INDEX(Input!$1:$1048576,$JG$93,$C541*2+6)</f>
        <v>97.43897546242961</v>
      </c>
      <c r="HQ541" s="644">
        <f>(FU541*$GD541-HN541)/$JF541*INDEX(Input!$1:$1048576,$JG$93,$C541*2+6)</f>
        <v>-15.850770586363005</v>
      </c>
      <c r="HR541" s="644">
        <f>(FV541*$GD541-HO541)/$JF541*INDEX(Input!$1:$1048576,$JG$93,$C541*2+6)</f>
        <v>-6.7101986021702871</v>
      </c>
      <c r="HS541" s="644">
        <f t="shared" si="1416"/>
        <v>-37.637176802363904</v>
      </c>
      <c r="HT541" s="644">
        <f t="shared" si="1417"/>
        <v>-1.4023115576232241</v>
      </c>
      <c r="HU541" s="644">
        <f t="shared" si="1418"/>
        <v>5.8866527202046663</v>
      </c>
      <c r="HV541" s="648">
        <f t="shared" si="1419"/>
        <v>0</v>
      </c>
      <c r="HW541" s="648">
        <f t="shared" si="1420"/>
        <v>0</v>
      </c>
      <c r="HX541" s="648">
        <f t="shared" si="1421"/>
        <v>0</v>
      </c>
      <c r="HY541" s="644">
        <f>INDEX(Input!$1:$1048576,HY$93,$C541*2+6)*INDEX(Input!$1:$1048576,$JG$93,$C541*2+6)</f>
        <v>333.00000000000006</v>
      </c>
      <c r="HZ541" s="644">
        <f>INDEX(Input!$1:$1048576,HZ$93,$C541*2+6)*INDEX(Input!$1:$1048576,$JG$93,$C541*2+6)</f>
        <v>429</v>
      </c>
      <c r="IA541" s="644">
        <f>INDEX(Input!$1:$1048576,IA$93,$C541*2+6)*INDEX(Input!$1:$1048576,$JG$93,$C541*2+6)</f>
        <v>59</v>
      </c>
      <c r="IB541" s="644">
        <f t="shared" si="1445"/>
        <v>392.80179866006586</v>
      </c>
      <c r="IC541" s="644">
        <f t="shared" si="1446"/>
        <v>411.74691785601374</v>
      </c>
      <c r="ID541" s="644">
        <f>IF(AND(INDEX(Input!$1:$1048576,IA$93,$C541*2+7)="TOS",Y541&lt;=INDEX(Y:Y,MATCH(C541*1000+2,A:A))),0,1)*MAX(IA541+HR541+HU541+HX541,0%)</f>
        <v>58.176454118034378</v>
      </c>
      <c r="IE541" s="128">
        <f t="shared" ref="IE541:IE542" si="1518">IB541/SUM($IB541:$ID541)</f>
        <v>0.4553035103535365</v>
      </c>
      <c r="IF541" s="128">
        <f t="shared" ref="IF541:IF542" si="1519">IC541/SUM($IB541:$ID541)</f>
        <v>0.47726313300141054</v>
      </c>
      <c r="IG541" s="128">
        <f t="shared" si="1423"/>
        <v>6.7433356645052955E-2</v>
      </c>
      <c r="IH541" s="21"/>
      <c r="II541" s="19">
        <f t="shared" si="1424"/>
        <v>1240</v>
      </c>
      <c r="IJ541" s="19">
        <f t="shared" si="1425"/>
        <v>1985.7442651839444</v>
      </c>
      <c r="IK541" s="19">
        <f t="shared" si="1426"/>
        <v>-21.44990394013189</v>
      </c>
      <c r="IL541" s="19">
        <f t="shared" si="1448"/>
        <v>779.99999999999977</v>
      </c>
      <c r="IM541" s="19">
        <f t="shared" si="1427"/>
        <v>30.010921865777846</v>
      </c>
      <c r="IN541" s="19">
        <f t="shared" si="1428"/>
        <v>375.00000000000023</v>
      </c>
      <c r="IO541" s="39">
        <f t="shared" si="1429"/>
        <v>0</v>
      </c>
      <c r="IP541" s="39">
        <f t="shared" si="1430"/>
        <v>0</v>
      </c>
      <c r="IQ541" s="39">
        <f t="shared" si="1431"/>
        <v>0</v>
      </c>
      <c r="IR541" s="39">
        <v>0</v>
      </c>
      <c r="IS541" s="39">
        <v>0</v>
      </c>
      <c r="IT541" s="39">
        <v>0</v>
      </c>
      <c r="IU541" s="39">
        <v>0</v>
      </c>
      <c r="IV541" s="39">
        <v>0</v>
      </c>
      <c r="IW541" s="39">
        <v>0</v>
      </c>
      <c r="IX541" s="39">
        <f>INDEX(Input!$1:$1048576,IX$93,$C541*2+6)+INDEX(Input!$1:$1048576,IX$94,$C541*2+6)</f>
        <v>1270</v>
      </c>
      <c r="IY541" s="39">
        <f>INDEX(Input!$1:$1048576,IY$93,$C541*2+6)+INDEX(Input!$1:$1048576,IY$94,$C541*2+6)</f>
        <v>2130.0624533823611</v>
      </c>
      <c r="IZ541" s="39">
        <f>INDEX(Input!$1:$1048576,IZ$93,$C541*2+6)+INDEX(Input!$1:$1048576,IZ$94,$C541*2+6)</f>
        <v>3653.7164157747857</v>
      </c>
      <c r="JA541" s="19">
        <f t="shared" si="1449"/>
        <v>2050</v>
      </c>
      <c r="JB541" s="19">
        <f t="shared" si="1450"/>
        <v>2160.0733752481392</v>
      </c>
      <c r="JC541" s="19">
        <f t="shared" si="1451"/>
        <v>4028.7164157747857</v>
      </c>
      <c r="JD541" s="19">
        <f t="shared" si="1452"/>
        <v>2235.965453695329</v>
      </c>
      <c r="JE541" s="21"/>
      <c r="JF541" s="1">
        <f t="shared" si="1432"/>
        <v>2.9195044280595241E-2</v>
      </c>
      <c r="JG541" s="15">
        <f>INDEX(Input!$1:$1048576,JG$93,$C541*2+6)/(1+VLOOKUP(C541*1000+INDEX(Input!$1:$1048576,JG$93+1,$C541*2+6),$A:$KK,$JK$92,FALSE))</f>
        <v>821</v>
      </c>
      <c r="JH541" s="1">
        <f t="shared" si="1453"/>
        <v>9.1203418116804283E-2</v>
      </c>
      <c r="JI541" s="1">
        <f t="shared" si="1454"/>
        <v>-4.0381042192183261E-2</v>
      </c>
      <c r="JJ541" s="1">
        <f t="shared" ref="JJ541:JJ542" si="1520">SUM(HV541:HX541)/SUM(HY541:IA541)</f>
        <v>0</v>
      </c>
      <c r="JK541" s="1">
        <f t="shared" ref="JK541:JK542" si="1521">SUM(JH541:JJ541)</f>
        <v>5.0822375924621022E-2</v>
      </c>
      <c r="JL541" s="15">
        <f t="shared" si="1457"/>
        <v>41.725170634113859</v>
      </c>
      <c r="JM541" s="15">
        <f t="shared" si="1483"/>
        <v>862.72517063411385</v>
      </c>
      <c r="JN541" s="21"/>
      <c r="JO541" s="19">
        <f>INDEX(Input!$1:$1048576,JO$93,$C541*2+6)</f>
        <v>5995.5</v>
      </c>
      <c r="JP541" s="19">
        <f>INDEX(Input!$1:$1048576,JP$93,$C541*2+6)</f>
        <v>1890.7138380411029</v>
      </c>
      <c r="JQ541" s="39">
        <f t="shared" si="1469"/>
        <v>3759.534546304671</v>
      </c>
      <c r="JR541" s="39">
        <f t="shared" si="1486"/>
        <v>345.25161565422604</v>
      </c>
      <c r="JS541" s="39">
        <f t="shared" si="1471"/>
        <v>1.9290236775712863</v>
      </c>
      <c r="JT541" s="39">
        <f t="shared" si="1459"/>
        <v>0.37674761653954092</v>
      </c>
      <c r="JU541" s="385">
        <f>(JQ541*JM541-INDEX(Input!$1:$1048576,Input!A$18,$C541*2+6)*JL541*INDEX(Input!$1:$1048576,Input!A$19,$C541*2+6))/1000000</f>
        <v>3.2434450829655432</v>
      </c>
      <c r="JV541" s="39">
        <f t="shared" si="1493"/>
        <v>-0.12658435600271112</v>
      </c>
      <c r="JW541" s="1">
        <f t="shared" si="1484"/>
        <v>-3.7561795318163553E-2</v>
      </c>
      <c r="JX541" s="19">
        <f t="shared" si="1475"/>
        <v>9029.2648493453453</v>
      </c>
      <c r="JZ541" s="341"/>
      <c r="KA541" s="342"/>
      <c r="KB541" s="469">
        <f t="shared" si="1472"/>
        <v>2.5122967434604799</v>
      </c>
      <c r="KI541" s="473">
        <f t="shared" ref="KI541:KI542" si="1522">$JM541*IE541-$JG541*HY541/SUM($HY541:$IA541)</f>
        <v>59.801798660065742</v>
      </c>
      <c r="KJ541" s="473">
        <f t="shared" ref="KJ541:KJ542" si="1523">$JM541*IF541-$JG541*HZ541/SUM($HY541:$IA541)</f>
        <v>-17.253082143986319</v>
      </c>
      <c r="KK541" s="473">
        <f t="shared" si="1461"/>
        <v>-0.82354588196563583</v>
      </c>
      <c r="KN541" s="544">
        <f t="shared" si="1476"/>
        <v>5002</v>
      </c>
      <c r="KO541" s="541">
        <f t="shared" si="1436"/>
        <v>4.656115716819853E-2</v>
      </c>
      <c r="KP541" s="546">
        <f t="shared" si="1437"/>
        <v>365.75815077402791</v>
      </c>
      <c r="KQ541" s="546">
        <f t="shared" si="1438"/>
        <v>317.0466879720625</v>
      </c>
      <c r="KR541" s="548">
        <f t="shared" si="1439"/>
        <v>2.2998192821745103</v>
      </c>
      <c r="KS541" s="548">
        <f t="shared" si="1440"/>
        <v>2.6531664883271833</v>
      </c>
      <c r="KT541" s="473">
        <f t="shared" si="1474"/>
        <v>595.94378802984284</v>
      </c>
      <c r="KU541" s="663">
        <f t="shared" si="1462"/>
        <v>4.001232017073618</v>
      </c>
      <c r="KV541" s="117"/>
    </row>
    <row r="542" spans="1:308" s="26" customFormat="1" ht="15">
      <c r="A542" s="561">
        <f t="shared" si="1441"/>
        <v>5042</v>
      </c>
      <c r="B542" s="561">
        <f t="shared" si="1463"/>
        <v>42</v>
      </c>
      <c r="C542" s="561">
        <f t="shared" si="1464"/>
        <v>5</v>
      </c>
      <c r="D542" s="561" t="str">
        <f t="shared" si="1509"/>
        <v xml:space="preserve">1000 CC, 360 Lease, </v>
      </c>
      <c r="E542" s="475">
        <f>INDEX(Input!$1:$1048576,E$93,$C542*2+MIN($B542,2)+5)
+INDEX(Scenarios!E$121:E$200,MATCH($B542,Scenarios!$B$121:$B$200,0))</f>
        <v>2277.4263093788063</v>
      </c>
      <c r="F542" s="475">
        <f>INDEX(Input!$1:$1048576,F$93,$C542*2+MIN($B542,2)+5)
+INDEX(Scenarios!F$121:F$200,MATCH($B542,Scenarios!$B$121:$B$200,0))</f>
        <v>0</v>
      </c>
      <c r="G542" s="475">
        <f>INDEX(Input!$1:$1048576,G$93,$C542*2+MIN($B542,2)+5)
+INDEX(Scenarios!G$121:G$200,MATCH($B542,Scenarios!$B$121:$B$200,0))</f>
        <v>0</v>
      </c>
      <c r="H542" s="475">
        <f>INDEX(Input!$1:$1048576,H$93,$C542*2+MIN($B542,2)+5)
+INDEX(Scenarios!H$121:H$200,MATCH($B542,Scenarios!$B$121:$B$200,0))</f>
        <v>0</v>
      </c>
      <c r="I542" s="476">
        <f>INDEX(Input!$1:$1048576,I$93,$C542*2+MIN($B542,2)+5)</f>
        <v>0.7</v>
      </c>
      <c r="J542" s="476" t="str">
        <f>INDEX(Input!$1:$1048576,J$93,$C542*2+MIN($B542,2)+5)</f>
        <v>Market</v>
      </c>
      <c r="K542" s="476" t="str">
        <f>INDEX(Input!$1:$1048576,K$93,$C542*2+MIN($B542,2)+5)</f>
        <v>Market</v>
      </c>
      <c r="L542" s="476" t="str">
        <f>INDEX(Input!$1:$1048576,L$93,$C542*2+MIN($B542,2)+5)</f>
        <v>Market</v>
      </c>
      <c r="M542" s="476" t="str">
        <f>INDEX(Input!$1:$1048576,M$93,$C542*2+MIN($B542,2)+5)</f>
        <v>Market</v>
      </c>
      <c r="N542" s="476" t="str">
        <f>INDEX(Input!$1:$1048576,N$93,$C542*2+MIN($B542,2)+5)</f>
        <v>Market</v>
      </c>
      <c r="O542" s="476" t="str">
        <f>INDEX(Input!$1:$1048576,O$93,$C542*2+MIN($B542,2)+5)</f>
        <v>Market</v>
      </c>
      <c r="P542" s="476" t="str">
        <f>INDEX(Input!$1:$1048576,P$93,$C542*2+MIN($B542,2)+5)</f>
        <v>N</v>
      </c>
      <c r="Q542" s="477">
        <f>INDEX(Input!$1:$1048576,Q$93,$C542*2+MIN($B542,2)+5)
+INDEX(Scenarios!Q$121:Q$200,MATCH($B542,Scenarios!$B$121:$B$200,0))</f>
        <v>0</v>
      </c>
      <c r="R542" s="478">
        <f>IFERROR(MAX(0,INDEX(Input!$1:$1048576,R$93,$C542*2+MIN($B542,2)+5)
+INDEX(Scenarios!R$121:R$200,MATCH($B542,Scenarios!$B$121:$B$200,0)),),"Market")</f>
        <v>0</v>
      </c>
      <c r="S542" s="478">
        <f>IFERROR(MAX(0,INDEX(Input!$1:$1048576,S$93,$C542*2+MIN($B542,2)+5)
+INDEX(Scenarios!S$121:S$200,MATCH($B542,Scenarios!$B$121:$B$200,0)),),"Market")</f>
        <v>0</v>
      </c>
      <c r="T542" s="478">
        <f>IFERROR(MAX(0,INDEX(Input!$1:$1048576,T$93,$C542*2+MIN($B542,2)+5)
+INDEX(Scenarios!T$121:T$200,MATCH($B542,Scenarios!$B$121:$B$200,0)),),"Market")</f>
        <v>0</v>
      </c>
      <c r="U542" s="478">
        <f>IFERROR(MAX(0,INDEX(Input!$1:$1048576,U$93,$C542*2+MIN($B542,2)+5)
+INDEX(Scenarios!U$121:U$200,MATCH($B542,Scenarios!$B$121:$B$200,0)),),"Market")</f>
        <v>0</v>
      </c>
      <c r="V542" s="478">
        <f>IFERROR(MAX(0,INDEX(Input!$1:$1048576,V$93,$C542*2+MIN($B542,2)+5)
+INDEX(Scenarios!V$121:V$200,MATCH($B542,Scenarios!$B$121:$B$200,0)),),"Market")</f>
        <v>1.9E-2</v>
      </c>
      <c r="W542" s="885">
        <f>IFERROR(MAX(0,INDEX(Input!$1:$1048576,W$93,$C542*2+MIN($B542,2)+5)-0%,),"Market")</f>
        <v>3.9E-2</v>
      </c>
      <c r="X542" s="476" t="str">
        <f>INDEX(Input!$1:$1048576,X$93,$C542*2+MIN($B542,2)+5)</f>
        <v>Y</v>
      </c>
      <c r="Y542" s="475">
        <f>INDEX(Input!$1:$1048576,Y$93,$C542*2+MIN($B542,2)+5)
++INDEX(Scenarios!Y$121:Y$200,MATCH($B542,Scenarios!$B$121:$B$200,0))</f>
        <v>-357.93641739252325</v>
      </c>
      <c r="Z542" s="477">
        <f>INDEX(Input!$1:$1048576,Z$93,$C542*2+MIN($B542,2)+5)
+INDEX(Scenarios!Z$121:Z$200,MATCH($B542,Scenarios!$B$121:$B$200,0))</f>
        <v>0</v>
      </c>
      <c r="AA542" s="475">
        <f>INDEX(Input!$1:$1048576,AA$93,$C542*2+MIN($B542,2)+5)
+INDEX(Scenarios!AA$121:AA$200,MATCH($B542,Scenarios!$B$121:$B$200,0))</f>
        <v>0</v>
      </c>
      <c r="AB542" s="476">
        <f>INDEX(Input!$1:$1048576,AB$93,$C542*2+MIN($B542,2)+5)</f>
        <v>0.27</v>
      </c>
      <c r="AC542" s="475">
        <f>INDEX(Input!$1:$1048576,AC$93,$C542*2+MIN($B542,2)+5)
+INDEX(Scenarios!AC$121:AC$200,MATCH($B542,Scenarios!$B$121:$B$200,0))</f>
        <v>0</v>
      </c>
      <c r="AD542" s="476">
        <f>INDEX(Input!$1:$1048576,AD$93,$C542*2+MIN($B542,2)+5)</f>
        <v>0.27</v>
      </c>
      <c r="AE542" s="475">
        <f>INDEX(Input!$1:$1048576,AE$93,$C542*2+MIN($B542,2)+5)
+INDEX(Scenarios!AE$121:AE$200,MATCH($B542,Scenarios!$B$121:$B$200,0))</f>
        <v>0</v>
      </c>
      <c r="AF542" s="476">
        <f>INDEX(Input!$1:$1048576,AF$93,$C542*2+MIN($B542,2)+5)</f>
        <v>0.2</v>
      </c>
      <c r="AG542" s="475">
        <f>INDEX(Input!$1:$1048576,AG$93,$C542*2+MIN($B542,2)+5)
+INDEX(Scenarios!AG$121:AG$200,MATCH($B542,Scenarios!$B$121:$B$200,0))</f>
        <v>500</v>
      </c>
      <c r="AH542" s="476">
        <f>INDEX(Input!$1:$1048576,AH$93,$C542*2+MIN($B542,2)+5)</f>
        <v>1</v>
      </c>
      <c r="AI542" s="475">
        <f>INDEX(Input!$1:$1048576,AI$93,$C542*2+MIN($B542,2)+5)
+INDEX(Scenarios!AI$121:AI$200,MATCH($B542,Scenarios!$B$121:$B$200,0))</f>
        <v>0</v>
      </c>
      <c r="AJ542" s="476">
        <f>INDEX(Input!$1:$1048576,AJ$93,$C542*2+MIN($B542,2)+5)</f>
        <v>0.27</v>
      </c>
      <c r="AK542" s="150">
        <f>ROUND(INDEX(Input!$1:$1048576,AK$93,$C541*2+MIN($B542,1)+5)+(Y542-VLOOKUP($C542*1000+1,$A:$HH,Y$92,FALSE)),0)</f>
        <v>2947</v>
      </c>
      <c r="AL542" s="150">
        <f>ROUND(INDEX(Input!$1:$1048576,AL$93,$C541*2+MIN($B542,1)+5)-(Y542-VLOOKUP($C542*1000+1,$A:$HH,Y$92,FALSE))/36,0)</f>
        <v>3396</v>
      </c>
      <c r="AM542" s="32" t="str">
        <f t="shared" si="1442"/>
        <v>std/std/std/std</v>
      </c>
      <c r="AN542" s="32" t="str">
        <f t="shared" si="1443"/>
        <v>$0 + 0/0/0/1.9/3.9</v>
      </c>
      <c r="AO542" s="32" t="str">
        <f t="shared" si="1444"/>
        <v>0/0/0/1.9/3.9</v>
      </c>
      <c r="AP542" s="32" t="str">
        <f t="shared" si="1396"/>
        <v>0/0.9/1.9/3.9</v>
      </c>
      <c r="AQ542" s="536">
        <f t="shared" si="1394"/>
        <v>0.47399871498355534</v>
      </c>
      <c r="AR542" s="32"/>
      <c r="AS542" s="302"/>
      <c r="AT542" s="3">
        <f t="shared" si="1465"/>
        <v>42</v>
      </c>
      <c r="AU542" s="41" t="s">
        <v>121</v>
      </c>
      <c r="AV542" s="41" t="s">
        <v>116</v>
      </c>
      <c r="AW542" s="41" t="str">
        <f>INDEX(Input!$1:$1048576,AW$93,$C542*2+6)</f>
        <v>Kia</v>
      </c>
      <c r="AX542" s="41" t="str">
        <f>INDEX(Input!$1:$1048576,AX$93,$C542*2+6)</f>
        <v>Kia-LR - R2</v>
      </c>
      <c r="AY542" s="41" t="str">
        <f>IF(LEN(D542)=0,"",INDEX(Input!$1:$1048576,AY$93,$C542*2+6))</f>
        <v>Compact SUV (52)</v>
      </c>
      <c r="AZ542" s="41" t="str">
        <f>INDEX(Input!$1:$1048576,AZ$93,$C542*2+6)</f>
        <v>Kia Soul</v>
      </c>
      <c r="BA542" s="3">
        <f>INDEX(Input!$1:$1048576,BA$93,$C542*2+6)</f>
        <v>2020</v>
      </c>
      <c r="BB542" s="128">
        <f>INDEX(Input!$1:$1048576,BB$93,$C542*2+6)</f>
        <v>1</v>
      </c>
      <c r="BC542" s="128">
        <f>INDEX(Input!$1:$1048576,BC$93,$C542*2+6)</f>
        <v>0.7</v>
      </c>
      <c r="BD542" s="1">
        <f>INDEX(Input!$1:$1048576,BD$93,$C542*2+6)</f>
        <v>4.4999999999999998E-2</v>
      </c>
      <c r="BE542" s="1">
        <f>INDEX(Input!$1:$1048576,BE$93,$C542*2+6)</f>
        <v>4.4999999999999998E-2</v>
      </c>
      <c r="BF542" s="1">
        <f>INDEX(Input!$1:$1048576,BF$93,$C542*2+6)</f>
        <v>0.05</v>
      </c>
      <c r="BG542" s="1">
        <f>INDEX(Input!$1:$1048576,BG$93,$C542*2+6)</f>
        <v>5.45E-2</v>
      </c>
      <c r="BH542" s="1">
        <f>INDEX(Input!$1:$1048576,BH$93,$C542*2+6)</f>
        <v>5.45E-2</v>
      </c>
      <c r="BI542" s="1">
        <f>INDEX(Input!$1:$1048576,BI$93,$C542*2+6)</f>
        <v>0.05</v>
      </c>
      <c r="BJ542" s="1">
        <f>INDEX(Input!$1:$1048576,BJ$93,$C542*2+6)</f>
        <v>0.05</v>
      </c>
      <c r="BK542" s="1">
        <f>INDEX(Input!$1:$1048576,BK$93,$C542*2+6)</f>
        <v>0.05</v>
      </c>
      <c r="BL542" s="1">
        <f>INDEX(Input!$1:$1048576,BL$93,$C542*2+6)</f>
        <v>5.5E-2</v>
      </c>
      <c r="BM542" s="1">
        <f>INDEX(Input!$1:$1048576,BM$93,$C542*2+6)</f>
        <v>0.06</v>
      </c>
      <c r="BN542" s="1">
        <f>INDEX(Input!$1:$1048576,BN$93,$C542*2+6)</f>
        <v>4.4999999999999998E-2</v>
      </c>
      <c r="BO542" s="1">
        <f>INDEX(Input!$1:$1048576,BO$93,$C542*2+6)</f>
        <v>4.4999999999999998E-2</v>
      </c>
      <c r="BP542" s="1">
        <f>INDEX(Input!$1:$1048576,BP$93,$C542*2+6)</f>
        <v>0.05</v>
      </c>
      <c r="BQ542" s="1">
        <f>INDEX(Input!$1:$1048576,BQ$93,$C542*2+6)</f>
        <v>5.45E-2</v>
      </c>
      <c r="BR542" s="1">
        <f>INDEX(Input!$1:$1048576,BR$93,$C542*2+6)</f>
        <v>5.45E-2</v>
      </c>
      <c r="BS542" s="1">
        <f>INDEX(Input!$1:$1048576,BS$93,$C542*2+6)</f>
        <v>0.05</v>
      </c>
      <c r="BT542" s="1">
        <f>INDEX(Input!$1:$1048576,BT$93,$C542*2+6)</f>
        <v>0.05</v>
      </c>
      <c r="BU542" s="1">
        <f>INDEX(Input!$1:$1048576,BU$93,$C542*2+6)</f>
        <v>0.05</v>
      </c>
      <c r="BV542" s="1">
        <f>INDEX(Input!$1:$1048576,BV$93,$C542*2+6)</f>
        <v>5.5E-2</v>
      </c>
      <c r="BW542" s="1">
        <f>INDEX(Input!$1:$1048576,BW$93,$C542*2+6)</f>
        <v>0.06</v>
      </c>
      <c r="BX542" s="127">
        <f>INDEX(Input!$1:$1048576,BX$93,$C542*2+6)</f>
        <v>19985</v>
      </c>
      <c r="BY542" s="20">
        <f>INDEX(Input!$1:$1048576,BY$93,$C542*2+6)</f>
        <v>0.1</v>
      </c>
      <c r="BZ542" s="20">
        <f>INDEX(Input!$1:$1048576,BZ$93,$C542*2+6)</f>
        <v>0.1</v>
      </c>
      <c r="CA542" s="20">
        <f>INDEX(Input!$1:$1048576,CA$93,$C542*2+6)</f>
        <v>0.1</v>
      </c>
      <c r="CB542" s="20">
        <f>INDEX(Input!$1:$1048576,CB$93,$C542*2+6)</f>
        <v>0.1</v>
      </c>
      <c r="CC542" s="20">
        <f>INDEX(Input!$1:$1048576,CC$93,$C542*2+6)</f>
        <v>0.1</v>
      </c>
      <c r="CD542" s="384">
        <f>INDEX(Input!$1:$1048576,CD$93,$C542*2+6)</f>
        <v>0.1</v>
      </c>
      <c r="CE542" s="384">
        <f>INDEX(Input!$1:$1048576,CE$93,$C542*2+6)</f>
        <v>0.1</v>
      </c>
      <c r="CF542" s="384">
        <f>INDEX(Input!$1:$1048576,CF$93,$C542*2+6)</f>
        <v>0.1</v>
      </c>
      <c r="CG542" s="384">
        <f>INDEX(Input!$1:$1048576,CG$93,$C542*2+6)</f>
        <v>0.1</v>
      </c>
      <c r="CH542" s="384">
        <f>INDEX(Input!$1:$1048576,CH$93,$C542*2+6)</f>
        <v>0.1</v>
      </c>
      <c r="CI542" s="304">
        <f t="shared" si="1397"/>
        <v>2277.4263093788063</v>
      </c>
      <c r="CJ542" s="16" t="str">
        <f>INDEX(Input!$1:$1048576,CJ$93,$C542*2+6)</f>
        <v>N</v>
      </c>
      <c r="CK542" s="1" t="str">
        <f t="shared" si="1398"/>
        <v>Market</v>
      </c>
      <c r="CL542" s="1" t="str">
        <f t="shared" si="1399"/>
        <v>Market</v>
      </c>
      <c r="CM542" s="1" t="str">
        <f t="shared" si="1400"/>
        <v>Market</v>
      </c>
      <c r="CN542" s="1" t="str">
        <f t="shared" si="1401"/>
        <v>Market</v>
      </c>
      <c r="CO542" s="1" t="str">
        <f t="shared" si="1402"/>
        <v>Market</v>
      </c>
      <c r="CP542" s="304">
        <f t="shared" si="1403"/>
        <v>500</v>
      </c>
      <c r="CQ542" s="1">
        <f t="shared" si="1404"/>
        <v>0</v>
      </c>
      <c r="CR542" s="1">
        <f t="shared" si="1405"/>
        <v>0</v>
      </c>
      <c r="CS542" s="1">
        <f t="shared" si="1406"/>
        <v>0</v>
      </c>
      <c r="CT542" s="1">
        <f t="shared" si="1407"/>
        <v>1.9E-2</v>
      </c>
      <c r="CU542" s="1">
        <f t="shared" si="1408"/>
        <v>3.9E-2</v>
      </c>
      <c r="CV542" s="304">
        <f t="shared" si="1409"/>
        <v>-357.93641739252325</v>
      </c>
      <c r="CW542" s="20" t="s">
        <v>122</v>
      </c>
      <c r="CX542" s="20" t="s">
        <v>122</v>
      </c>
      <c r="CY542" s="20" t="s">
        <v>122</v>
      </c>
      <c r="CZ542" s="20" t="s">
        <v>122</v>
      </c>
      <c r="DA542" s="20" t="s">
        <v>122</v>
      </c>
      <c r="DB542" s="503">
        <f t="shared" si="1410"/>
        <v>0</v>
      </c>
      <c r="DC542" s="127">
        <v>0</v>
      </c>
      <c r="DD542" s="127">
        <v>0</v>
      </c>
      <c r="DE542" s="127">
        <v>0</v>
      </c>
      <c r="DF542" s="127">
        <v>0</v>
      </c>
      <c r="DG542" s="127">
        <v>0</v>
      </c>
      <c r="DH542" s="127">
        <v>0</v>
      </c>
      <c r="DI542" s="127">
        <v>0</v>
      </c>
      <c r="DJ542" s="127">
        <v>0</v>
      </c>
      <c r="DK542" s="127">
        <v>0</v>
      </c>
      <c r="DL542" s="127">
        <v>0</v>
      </c>
      <c r="DM542" s="304">
        <f>INDEX(Input!$1:$1048576,DM$93,$C542*2+6)</f>
        <v>21036.84210526316</v>
      </c>
      <c r="DN542" s="20">
        <v>0</v>
      </c>
      <c r="DO542" s="20">
        <v>0</v>
      </c>
      <c r="DP542" s="20">
        <v>0</v>
      </c>
      <c r="DQ542" s="20">
        <v>0</v>
      </c>
      <c r="DR542" s="20">
        <v>0</v>
      </c>
      <c r="DS542" s="20">
        <f>INDEX(Input!$1:$1048576,DS$93,$C542*2+6)</f>
        <v>0.6</v>
      </c>
      <c r="DT542" s="20">
        <f>INDEX(Input!$1:$1048576,DT$93,$C542*2+6)</f>
        <v>0.55000000000000004</v>
      </c>
      <c r="DU542" s="20">
        <f>INDEX(Input!$1:$1048576,DU$93,$C542*2+6)</f>
        <v>0.52</v>
      </c>
      <c r="DV542" s="20">
        <f>INDEX(Input!$1:$1048576,DV$93,$C542*2+6)</f>
        <v>0.5</v>
      </c>
      <c r="DW542" s="20">
        <f>INDEX(Input!$1:$1048576,DW$93,$C542*2+6)</f>
        <v>0.45</v>
      </c>
      <c r="DX542" s="20"/>
      <c r="DY542" s="7">
        <v>0.13803404172882308</v>
      </c>
      <c r="DZ542" s="7">
        <v>0</v>
      </c>
      <c r="EA542" s="7">
        <v>0.76565382633026724</v>
      </c>
      <c r="EB542" s="7">
        <v>0</v>
      </c>
      <c r="EC542" s="7">
        <v>0</v>
      </c>
      <c r="ED542" s="7">
        <v>0</v>
      </c>
      <c r="EE542" s="7">
        <v>0</v>
      </c>
      <c r="EF542" s="7">
        <v>0</v>
      </c>
      <c r="EG542" s="7">
        <v>0</v>
      </c>
      <c r="EH542" s="7">
        <v>1.209102484365931E-2</v>
      </c>
      <c r="EI542" s="7">
        <v>3.3615996374843027E-2</v>
      </c>
      <c r="EJ542" s="7">
        <v>0.29194414486900344</v>
      </c>
      <c r="EK542" s="7">
        <v>0.53730493428884896</v>
      </c>
      <c r="EL542" s="7">
        <v>0.12504389962364551</v>
      </c>
      <c r="EM542" s="7">
        <v>4.5381067014401227E-2</v>
      </c>
      <c r="EN542" s="7">
        <v>5.9565672256150337E-2</v>
      </c>
      <c r="EO542" s="7">
        <v>0.72733019769836238</v>
      </c>
      <c r="EP542" s="7">
        <v>8.5040580456325912E-2</v>
      </c>
      <c r="EQ542" s="7">
        <v>8.3668452838005308E-2</v>
      </c>
      <c r="ER542" s="7">
        <v>4.4395096751155813E-2</v>
      </c>
      <c r="ES542" s="7">
        <v>5.0931064926508347E-2</v>
      </c>
      <c r="ET542" s="7">
        <v>9.6312131940909651E-2</v>
      </c>
      <c r="EU542" s="6">
        <v>2270</v>
      </c>
      <c r="EV542" s="6">
        <v>0</v>
      </c>
      <c r="EW542" s="6">
        <v>2270</v>
      </c>
      <c r="EX542" s="6">
        <v>0</v>
      </c>
      <c r="EY542" s="6">
        <v>2015.7596061753418</v>
      </c>
      <c r="EZ542" s="6">
        <v>353.55009605986834</v>
      </c>
      <c r="FA542" s="6">
        <v>0</v>
      </c>
      <c r="FB542" s="6">
        <v>0</v>
      </c>
      <c r="FC542" s="6">
        <v>0</v>
      </c>
      <c r="FD542" s="6">
        <v>0</v>
      </c>
      <c r="FE542" s="6">
        <v>0</v>
      </c>
      <c r="FF542" s="6">
        <v>0</v>
      </c>
      <c r="FG542" s="6">
        <v>0</v>
      </c>
      <c r="FH542" s="6">
        <v>1172.1405232366151</v>
      </c>
      <c r="FI542" s="6">
        <v>1553.9796069512402</v>
      </c>
      <c r="FJ542" s="6">
        <v>2101.2110117447401</v>
      </c>
      <c r="FK542" s="6">
        <v>1772.7139978623227</v>
      </c>
      <c r="FL542" s="6">
        <v>907.07682140966358</v>
      </c>
      <c r="FM542" s="6">
        <v>1745.7596061753418</v>
      </c>
      <c r="FN542" s="6">
        <v>0</v>
      </c>
      <c r="FO542" s="6">
        <v>0</v>
      </c>
      <c r="FP542" s="6">
        <v>0</v>
      </c>
      <c r="FQ542" s="6">
        <v>0</v>
      </c>
      <c r="FR542" s="6">
        <v>0</v>
      </c>
      <c r="FS542" s="6">
        <v>0</v>
      </c>
      <c r="FT542" s="7">
        <v>0.90368786805909029</v>
      </c>
      <c r="FU542" s="7">
        <v>4.5381067014401227E-2</v>
      </c>
      <c r="FV542" s="7">
        <v>5.0931064926508347E-2</v>
      </c>
      <c r="FW542" s="6">
        <v>2270</v>
      </c>
      <c r="FX542" s="6">
        <v>2015.759606175342</v>
      </c>
      <c r="FY542" s="6">
        <v>353.55009605986834</v>
      </c>
      <c r="FZ542" s="6">
        <v>1758.1538569113241</v>
      </c>
      <c r="GA542" s="6">
        <v>2160.8554651640998</v>
      </c>
      <c r="GB542" s="6">
        <v>17824.144534835901</v>
      </c>
      <c r="GC542" s="7">
        <v>3.064145122680037E-2</v>
      </c>
      <c r="GD542" s="7">
        <v>3.2752748311910385E-2</v>
      </c>
      <c r="GE542" s="7"/>
      <c r="GF542" s="7"/>
      <c r="GG542" s="7">
        <v>6.8903299307944671E-2</v>
      </c>
      <c r="GH542" s="42">
        <v>3.4194858139352435</v>
      </c>
      <c r="GI542" s="6">
        <v>8005.3014103866899</v>
      </c>
      <c r="GJ542" s="14">
        <v>0.50394797582841744</v>
      </c>
      <c r="GK542" s="14">
        <v>0.50887573065309744</v>
      </c>
      <c r="GL542" s="14">
        <v>0.49605202417158284</v>
      </c>
      <c r="GM542" s="14">
        <v>0.49112426934690245</v>
      </c>
      <c r="GO542" s="5">
        <v>343.14810671672558</v>
      </c>
      <c r="GP542" s="5">
        <v>299.84083725090579</v>
      </c>
      <c r="GQ542" s="5">
        <v>535.04305713031317</v>
      </c>
      <c r="GR542" s="5">
        <v>410.15490233172511</v>
      </c>
      <c r="GS542" s="5">
        <v>339.42744393800166</v>
      </c>
      <c r="GT542" s="5">
        <v>293.4407446948278</v>
      </c>
      <c r="GU542" s="5">
        <v>258.04012322764959</v>
      </c>
      <c r="GV542" s="39" t="s">
        <v>392</v>
      </c>
      <c r="GW542" s="5">
        <v>492.125</v>
      </c>
      <c r="GX542" s="5">
        <v>369.09375</v>
      </c>
      <c r="GY542" s="5">
        <v>295.27499999999998</v>
      </c>
      <c r="GZ542" s="5">
        <v>260.54902799031458</v>
      </c>
      <c r="HA542" s="5">
        <v>241.34874471337258</v>
      </c>
      <c r="HB542" s="39">
        <v>274.73502371094935</v>
      </c>
      <c r="HC542" s="5">
        <v>271.81655829738071</v>
      </c>
      <c r="HD542" s="5">
        <v>229.24799238008356</v>
      </c>
      <c r="HE542" s="5">
        <v>231.16091712425109</v>
      </c>
      <c r="HF542" s="5">
        <v>212.73290951107165</v>
      </c>
      <c r="HG542" s="5">
        <v>203.85500473779987</v>
      </c>
      <c r="HH542" s="39">
        <v>229.43717828121908</v>
      </c>
      <c r="HI542" s="16"/>
      <c r="HJ542" s="19" t="str">
        <f t="shared" ref="HJ542:HK542" si="1524">HJ541</f>
        <v>On</v>
      </c>
      <c r="HK542" s="1" t="str">
        <f t="shared" si="1524"/>
        <v>On</v>
      </c>
      <c r="HL542" s="16"/>
      <c r="HM542" s="639">
        <f t="shared" si="1413"/>
        <v>2.4909940070666322E-2</v>
      </c>
      <c r="HN542" s="639">
        <f t="shared" si="1414"/>
        <v>2.2052381276269151E-3</v>
      </c>
      <c r="HO542" s="639">
        <f t="shared" si="1415"/>
        <v>2.079866082302006E-3</v>
      </c>
      <c r="HP542" s="644">
        <f>(FT542*$GD542-HM542)/$JF542*INDEX(Input!$1:$1048576,$JG$93,$C542*2+6)</f>
        <v>131.8412703278789</v>
      </c>
      <c r="HQ542" s="644">
        <f>(FU542*$GD542-HN542)/$JF542*INDEX(Input!$1:$1048576,$JG$93,$C542*2+6)</f>
        <v>-20.215873498368449</v>
      </c>
      <c r="HR542" s="644">
        <f>(FV542*$GD542-HO542)/$JF542*INDEX(Input!$1:$1048576,$JG$93,$C542*2+6)</f>
        <v>-11.578451134308535</v>
      </c>
      <c r="HS542" s="644">
        <f t="shared" si="1416"/>
        <v>-49.696656620798805</v>
      </c>
      <c r="HT542" s="644">
        <f t="shared" si="1417"/>
        <v>-2.4192154007983477</v>
      </c>
      <c r="HU542" s="644">
        <f t="shared" si="1418"/>
        <v>6.9038190886740853</v>
      </c>
      <c r="HV542" s="648">
        <f t="shared" si="1419"/>
        <v>0</v>
      </c>
      <c r="HW542" s="648">
        <f t="shared" si="1420"/>
        <v>0</v>
      </c>
      <c r="HX542" s="648">
        <f t="shared" si="1421"/>
        <v>0</v>
      </c>
      <c r="HY542" s="644">
        <f>INDEX(Input!$1:$1048576,HY$93,$C542*2+6)*INDEX(Input!$1:$1048576,$JG$93,$C542*2+6)</f>
        <v>333.00000000000006</v>
      </c>
      <c r="HZ542" s="644">
        <f>INDEX(Input!$1:$1048576,HZ$93,$C542*2+6)*INDEX(Input!$1:$1048576,$JG$93,$C542*2+6)</f>
        <v>429</v>
      </c>
      <c r="IA542" s="644">
        <f>INDEX(Input!$1:$1048576,IA$93,$C542*2+6)*INDEX(Input!$1:$1048576,$JG$93,$C542*2+6)</f>
        <v>59</v>
      </c>
      <c r="IB542" s="644">
        <f t="shared" si="1445"/>
        <v>415.14461370708023</v>
      </c>
      <c r="IC542" s="644">
        <f t="shared" si="1446"/>
        <v>406.36491110083318</v>
      </c>
      <c r="ID542" s="644">
        <f>IF(AND(INDEX(Input!$1:$1048576,IA$93,$C542*2+7)="TOS",Y542&lt;=INDEX(Y:Y,MATCH(C542*1000+2,A:A))),0,1)*MAX(IA542+HR542+HU542+HX542,0%)</f>
        <v>54.325367954365547</v>
      </c>
      <c r="IE542" s="128">
        <f t="shared" si="1518"/>
        <v>0.47399871498355534</v>
      </c>
      <c r="IF542" s="128">
        <f t="shared" si="1519"/>
        <v>0.46397433404280874</v>
      </c>
      <c r="IG542" s="128">
        <f t="shared" si="1423"/>
        <v>6.2026950973635912E-2</v>
      </c>
      <c r="IH542" s="21"/>
      <c r="II542" s="19">
        <f t="shared" si="1424"/>
        <v>1240</v>
      </c>
      <c r="IJ542" s="19">
        <f t="shared" si="1425"/>
        <v>1985.7442651839444</v>
      </c>
      <c r="IK542" s="19">
        <f t="shared" si="1426"/>
        <v>-21.44990394013189</v>
      </c>
      <c r="IL542" s="19">
        <f t="shared" si="1448"/>
        <v>1030</v>
      </c>
      <c r="IM542" s="19">
        <f t="shared" si="1427"/>
        <v>30.015340991397579</v>
      </c>
      <c r="IN542" s="19">
        <f t="shared" si="1428"/>
        <v>375.00000000000023</v>
      </c>
      <c r="IO542" s="39">
        <f t="shared" si="1429"/>
        <v>0</v>
      </c>
      <c r="IP542" s="39">
        <f t="shared" si="1430"/>
        <v>0</v>
      </c>
      <c r="IQ542" s="39">
        <f t="shared" si="1431"/>
        <v>0</v>
      </c>
      <c r="IR542" s="39">
        <v>0</v>
      </c>
      <c r="IS542" s="39">
        <v>0</v>
      </c>
      <c r="IT542" s="39">
        <v>0</v>
      </c>
      <c r="IU542" s="39">
        <v>0</v>
      </c>
      <c r="IV542" s="39">
        <v>0</v>
      </c>
      <c r="IW542" s="39">
        <v>0</v>
      </c>
      <c r="IX542" s="39">
        <f>INDEX(Input!$1:$1048576,IX$93,$C542*2+6)+INDEX(Input!$1:$1048576,IX$94,$C542*2+6)</f>
        <v>1270</v>
      </c>
      <c r="IY542" s="39">
        <f>INDEX(Input!$1:$1048576,IY$93,$C542*2+6)+INDEX(Input!$1:$1048576,IY$94,$C542*2+6)</f>
        <v>2130.0624533823611</v>
      </c>
      <c r="IZ542" s="39">
        <f>INDEX(Input!$1:$1048576,IZ$93,$C542*2+6)+INDEX(Input!$1:$1048576,IZ$94,$C542*2+6)</f>
        <v>3653.7164157747857</v>
      </c>
      <c r="JA542" s="19">
        <f t="shared" si="1449"/>
        <v>2300</v>
      </c>
      <c r="JB542" s="19">
        <f t="shared" si="1450"/>
        <v>2160.0777943737585</v>
      </c>
      <c r="JC542" s="19">
        <f t="shared" si="1451"/>
        <v>4028.7164157747857</v>
      </c>
      <c r="JD542" s="19">
        <f t="shared" si="1452"/>
        <v>2342.3066961953455</v>
      </c>
      <c r="JE542" s="21"/>
      <c r="JF542" s="1">
        <f t="shared" si="1432"/>
        <v>2.9195044280595241E-2</v>
      </c>
      <c r="JG542" s="15">
        <f>INDEX(Input!$1:$1048576,JG$93,$C542*2+6)/(1+VLOOKUP(C542*1000+INDEX(Input!$1:$1048576,JG$93+1,$C542*2+6),$A:$KK,$JK$92,FALSE))</f>
        <v>821</v>
      </c>
      <c r="JH542" s="1">
        <f t="shared" si="1453"/>
        <v>0.12185986077369296</v>
      </c>
      <c r="JI542" s="1">
        <f t="shared" si="1454"/>
        <v>-5.5069492001124327E-2</v>
      </c>
      <c r="JJ542" s="1">
        <f t="shared" si="1520"/>
        <v>0</v>
      </c>
      <c r="JK542" s="1">
        <f t="shared" si="1521"/>
        <v>6.6790368772568637E-2</v>
      </c>
      <c r="JL542" s="15">
        <f t="shared" si="1457"/>
        <v>54.834892762278848</v>
      </c>
      <c r="JM542" s="15">
        <f t="shared" si="1483"/>
        <v>875.83489276227886</v>
      </c>
      <c r="JN542" s="21"/>
      <c r="JO542" s="19">
        <f>INDEX(Input!$1:$1048576,JO$93,$C542*2+6)</f>
        <v>5995.5</v>
      </c>
      <c r="JP542" s="19">
        <f>INDEX(Input!$1:$1048576,JP$93,$C542*2+6)</f>
        <v>1890.7138380411029</v>
      </c>
      <c r="JQ542" s="39">
        <f t="shared" si="1469"/>
        <v>3653.1933038046545</v>
      </c>
      <c r="JR542" s="39">
        <f t="shared" si="1486"/>
        <v>451.59285815424255</v>
      </c>
      <c r="JS542" s="39">
        <f t="shared" si="1471"/>
        <v>2.0514739340786181</v>
      </c>
      <c r="JT542" s="39">
        <f t="shared" si="1459"/>
        <v>0.49919787304687269</v>
      </c>
      <c r="JU542" s="385">
        <f>(JQ542*JM542-INDEX(Input!$1:$1048576,Input!A$18,$C542*2+6)*JL542*INDEX(Input!$1:$1048576,Input!A$19,$C542*2+6))/1000000</f>
        <v>3.1995941654776248</v>
      </c>
      <c r="JV542" s="39">
        <f t="shared" si="1493"/>
        <v>-0.17043527349062959</v>
      </c>
      <c r="JW542" s="1">
        <f t="shared" si="1484"/>
        <v>-5.0573823338115678E-2</v>
      </c>
      <c r="JX542" s="19">
        <f t="shared" si="1475"/>
        <v>9103.6536756076766</v>
      </c>
      <c r="JZ542" s="341"/>
      <c r="KA542" s="342"/>
      <c r="KB542" s="469">
        <f t="shared" si="1472"/>
        <v>2.5122967434604799</v>
      </c>
      <c r="KI542" s="473">
        <f t="shared" si="1522"/>
        <v>82.144613707080111</v>
      </c>
      <c r="KJ542" s="473">
        <f t="shared" si="1523"/>
        <v>-22.635088899166874</v>
      </c>
      <c r="KK542" s="473">
        <f t="shared" si="1461"/>
        <v>-4.6746320456344606</v>
      </c>
      <c r="KN542" s="544">
        <f t="shared" si="1476"/>
        <v>5002</v>
      </c>
      <c r="KO542" s="541">
        <f t="shared" si="1436"/>
        <v>6.2464397768587476E-2</v>
      </c>
      <c r="KP542" s="546">
        <f t="shared" si="1437"/>
        <v>496.33485174691447</v>
      </c>
      <c r="KQ542" s="546">
        <f t="shared" si="1438"/>
        <v>423.38793047207901</v>
      </c>
      <c r="KR542" s="548">
        <f t="shared" si="1439"/>
        <v>2.2736402256775254</v>
      </c>
      <c r="KS542" s="548">
        <f t="shared" si="1440"/>
        <v>2.6653732974371969</v>
      </c>
      <c r="KT542" s="473">
        <f t="shared" si="1474"/>
        <v>595.94378802984284</v>
      </c>
      <c r="KU542" s="663">
        <f t="shared" si="1462"/>
        <v>4.0072712779114896</v>
      </c>
      <c r="KV542" s="117"/>
    </row>
    <row r="543" spans="1:308" s="26" customFormat="1" ht="15">
      <c r="A543" s="561">
        <f t="shared" si="1441"/>
        <v>5043</v>
      </c>
      <c r="B543" s="561">
        <f t="shared" si="1463"/>
        <v>43</v>
      </c>
      <c r="C543" s="561">
        <f t="shared" si="1464"/>
        <v>5</v>
      </c>
      <c r="D543" s="561" t="str">
        <f t="shared" si="1509"/>
        <v xml:space="preserve">0/0/0.9/3.9, 360 Lease, </v>
      </c>
      <c r="E543" s="475">
        <f>INDEX(Input!$1:$1048576,E$93,$C543*2+MIN($B543,2)+5)
+INDEX(Scenarios!E$121:E$200,MATCH($B543,Scenarios!$B$121:$B$200,0))</f>
        <v>1277.4263093788063</v>
      </c>
      <c r="F543" s="475">
        <f>INDEX(Input!$1:$1048576,F$93,$C543*2+MIN($B543,2)+5)
+INDEX(Scenarios!F$121:F$200,MATCH($B543,Scenarios!$B$121:$B$200,0))</f>
        <v>0</v>
      </c>
      <c r="G543" s="475">
        <f>INDEX(Input!$1:$1048576,G$93,$C543*2+MIN($B543,2)+5)
+INDEX(Scenarios!G$121:G$200,MATCH($B543,Scenarios!$B$121:$B$200,0))</f>
        <v>0</v>
      </c>
      <c r="H543" s="475">
        <f>INDEX(Input!$1:$1048576,H$93,$C543*2+MIN($B543,2)+5)
+INDEX(Scenarios!H$121:H$200,MATCH($B543,Scenarios!$B$121:$B$200,0))</f>
        <v>0</v>
      </c>
      <c r="I543" s="476">
        <f>INDEX(Input!$1:$1048576,I$93,$C543*2+MIN($B543,2)+5)</f>
        <v>0.7</v>
      </c>
      <c r="J543" s="476" t="str">
        <f>INDEX(Input!$1:$1048576,J$93,$C543*2+MIN($B543,2)+5)</f>
        <v>Market</v>
      </c>
      <c r="K543" s="476" t="str">
        <f>INDEX(Input!$1:$1048576,K$93,$C543*2+MIN($B543,2)+5)</f>
        <v>Market</v>
      </c>
      <c r="L543" s="476" t="str">
        <f>INDEX(Input!$1:$1048576,L$93,$C543*2+MIN($B543,2)+5)</f>
        <v>Market</v>
      </c>
      <c r="M543" s="476" t="str">
        <f>INDEX(Input!$1:$1048576,M$93,$C543*2+MIN($B543,2)+5)</f>
        <v>Market</v>
      </c>
      <c r="N543" s="476" t="str">
        <f>INDEX(Input!$1:$1048576,N$93,$C543*2+MIN($B543,2)+5)</f>
        <v>Market</v>
      </c>
      <c r="O543" s="476" t="str">
        <f>INDEX(Input!$1:$1048576,O$93,$C543*2+MIN($B543,2)+5)</f>
        <v>Market</v>
      </c>
      <c r="P543" s="476" t="str">
        <f>INDEX(Input!$1:$1048576,P$93,$C543*2+MIN($B543,2)+5)</f>
        <v>N</v>
      </c>
      <c r="Q543" s="477">
        <f>INDEX(Input!$1:$1048576,Q$93,$C543*2+MIN($B543,2)+5)
+INDEX(Scenarios!Q$121:Q$200,MATCH($B543,Scenarios!$B$121:$B$200,0))</f>
        <v>0</v>
      </c>
      <c r="R543" s="478">
        <f>IFERROR(MAX(0,INDEX(Input!$1:$1048576,R$93,$C543*2+MIN($B543,2)+5)
+INDEX(Scenarios!R$121:R$200,MATCH($B543,Scenarios!$B$121:$B$200,0)),),"Market")</f>
        <v>0</v>
      </c>
      <c r="S543" s="478">
        <f>IFERROR(MAX(0,INDEX(Input!$1:$1048576,S$93,$C543*2+MIN($B543,2)+5)
+INDEX(Scenarios!S$121:S$200,MATCH($B543,Scenarios!$B$121:$B$200,0)),),"Market")</f>
        <v>0</v>
      </c>
      <c r="T543" s="478">
        <f>IFERROR(MAX(0,INDEX(Input!$1:$1048576,T$93,$C543*2+MIN($B543,2)+5)
+INDEX(Scenarios!T$121:T$200,MATCH($B543,Scenarios!$B$121:$B$200,0)),),"Market")</f>
        <v>0</v>
      </c>
      <c r="U543" s="478">
        <f>IFERROR(MAX(0,INDEX(Input!$1:$1048576,U$93,$C543*2+MIN($B543,2)+5)
+INDEX(Scenarios!U$121:U$200,MATCH($B543,Scenarios!$B$121:$B$200,0)),),"Market")</f>
        <v>0</v>
      </c>
      <c r="V543" s="478">
        <f>IFERROR(MAX(0,INDEX(Input!$1:$1048576,V$93,$C543*2+MIN($B543,2)+5)
+INDEX(Scenarios!V$121:V$200,MATCH($B543,Scenarios!$B$121:$B$200,0)),),"Market")</f>
        <v>8.9999999999999993E-3</v>
      </c>
      <c r="W543" s="885">
        <f>IFERROR(MAX(0,INDEX(Input!$1:$1048576,W$93,$C543*2+MIN($B543,2)+5)-0%,),"Market")</f>
        <v>3.9E-2</v>
      </c>
      <c r="X543" s="476" t="str">
        <f>INDEX(Input!$1:$1048576,X$93,$C543*2+MIN($B543,2)+5)</f>
        <v>Y</v>
      </c>
      <c r="Y543" s="475">
        <f>INDEX(Input!$1:$1048576,Y$93,$C543*2+MIN($B543,2)+5)
++INDEX(Scenarios!Y$121:Y$200,MATCH($B543,Scenarios!$B$121:$B$200,0))</f>
        <v>-357.93641739252325</v>
      </c>
      <c r="Z543" s="477">
        <f>INDEX(Input!$1:$1048576,Z$93,$C543*2+MIN($B543,2)+5)
+INDEX(Scenarios!Z$121:Z$200,MATCH($B543,Scenarios!$B$121:$B$200,0))</f>
        <v>0</v>
      </c>
      <c r="AA543" s="475">
        <f>INDEX(Input!$1:$1048576,AA$93,$C543*2+MIN($B543,2)+5)
+INDEX(Scenarios!AA$121:AA$200,MATCH($B543,Scenarios!$B$121:$B$200,0))</f>
        <v>0</v>
      </c>
      <c r="AB543" s="476">
        <f>INDEX(Input!$1:$1048576,AB$93,$C543*2+MIN($B543,2)+5)</f>
        <v>0.27</v>
      </c>
      <c r="AC543" s="475">
        <f>INDEX(Input!$1:$1048576,AC$93,$C543*2+MIN($B543,2)+5)
+INDEX(Scenarios!AC$121:AC$200,MATCH($B543,Scenarios!$B$121:$B$200,0))</f>
        <v>0</v>
      </c>
      <c r="AD543" s="476">
        <f>INDEX(Input!$1:$1048576,AD$93,$C543*2+MIN($B543,2)+5)</f>
        <v>0.27</v>
      </c>
      <c r="AE543" s="475">
        <f>INDEX(Input!$1:$1048576,AE$93,$C543*2+MIN($B543,2)+5)
+INDEX(Scenarios!AE$121:AE$200,MATCH($B543,Scenarios!$B$121:$B$200,0))</f>
        <v>0</v>
      </c>
      <c r="AF543" s="476">
        <f>INDEX(Input!$1:$1048576,AF$93,$C543*2+MIN($B543,2)+5)</f>
        <v>0.2</v>
      </c>
      <c r="AG543" s="475">
        <f>INDEX(Input!$1:$1048576,AG$93,$C543*2+MIN($B543,2)+5)
+INDEX(Scenarios!AG$121:AG$200,MATCH($B543,Scenarios!$B$121:$B$200,0))</f>
        <v>500</v>
      </c>
      <c r="AH543" s="476">
        <f>INDEX(Input!$1:$1048576,AH$93,$C543*2+MIN($B543,2)+5)</f>
        <v>1</v>
      </c>
      <c r="AI543" s="475">
        <f>INDEX(Input!$1:$1048576,AI$93,$C543*2+MIN($B543,2)+5)
+INDEX(Scenarios!AI$121:AI$200,MATCH($B543,Scenarios!$B$121:$B$200,0))</f>
        <v>0</v>
      </c>
      <c r="AJ543" s="476">
        <f>INDEX(Input!$1:$1048576,AJ$93,$C543*2+MIN($B543,2)+5)</f>
        <v>0.27</v>
      </c>
      <c r="AK543" s="150">
        <f>ROUND(INDEX(Input!$1:$1048576,AK$93,$C542*2+MIN($B543,1)+5)+(Y543-VLOOKUP($C543*1000+1,$A:$HH,Y$92,FALSE)),0)</f>
        <v>2947</v>
      </c>
      <c r="AL543" s="150">
        <f>ROUND(INDEX(Input!$1:$1048576,AL$93,$C542*2+MIN($B543,1)+5)-(Y543-VLOOKUP($C543*1000+1,$A:$HH,Y$92,FALSE))/36,0)</f>
        <v>3396</v>
      </c>
      <c r="AM543" s="32" t="str">
        <f t="shared" si="1442"/>
        <v>std/std/std/std</v>
      </c>
      <c r="AN543" s="32" t="str">
        <f t="shared" si="1443"/>
        <v>$0 + 0/0/0/0.9/3.9</v>
      </c>
      <c r="AO543" s="32" t="str">
        <f t="shared" si="1444"/>
        <v>0/0/0/0.9/3.9</v>
      </c>
      <c r="AP543" s="32" t="str">
        <f t="shared" si="1396"/>
        <v>0/0/0.9/3.9</v>
      </c>
      <c r="AQ543" s="536">
        <f t="shared" si="1394"/>
        <v>0.37125578048629704</v>
      </c>
      <c r="AR543" s="32"/>
      <c r="AS543" s="302"/>
      <c r="AT543" s="3">
        <f t="shared" si="1465"/>
        <v>43</v>
      </c>
      <c r="AU543" s="41" t="s">
        <v>121</v>
      </c>
      <c r="AV543" s="41" t="s">
        <v>116</v>
      </c>
      <c r="AW543" s="41" t="str">
        <f>INDEX(Input!$1:$1048576,AW$93,$C543*2+6)</f>
        <v>Kia</v>
      </c>
      <c r="AX543" s="41" t="str">
        <f>INDEX(Input!$1:$1048576,AX$93,$C543*2+6)</f>
        <v>Kia-LR - R2</v>
      </c>
      <c r="AY543" s="41" t="str">
        <f>IF(LEN(D543)=0,"",INDEX(Input!$1:$1048576,AY$93,$C543*2+6))</f>
        <v>Compact SUV (52)</v>
      </c>
      <c r="AZ543" s="41" t="str">
        <f>INDEX(Input!$1:$1048576,AZ$93,$C543*2+6)</f>
        <v>Kia Soul</v>
      </c>
      <c r="BA543" s="3">
        <f>INDEX(Input!$1:$1048576,BA$93,$C543*2+6)</f>
        <v>2020</v>
      </c>
      <c r="BB543" s="128">
        <f>INDEX(Input!$1:$1048576,BB$93,$C543*2+6)</f>
        <v>1</v>
      </c>
      <c r="BC543" s="128">
        <f>INDEX(Input!$1:$1048576,BC$93,$C543*2+6)</f>
        <v>0.7</v>
      </c>
      <c r="BD543" s="1">
        <f>INDEX(Input!$1:$1048576,BD$93,$C543*2+6)</f>
        <v>4.4999999999999998E-2</v>
      </c>
      <c r="BE543" s="1">
        <f>INDEX(Input!$1:$1048576,BE$93,$C543*2+6)</f>
        <v>4.4999999999999998E-2</v>
      </c>
      <c r="BF543" s="1">
        <f>INDEX(Input!$1:$1048576,BF$93,$C543*2+6)</f>
        <v>0.05</v>
      </c>
      <c r="BG543" s="1">
        <f>INDEX(Input!$1:$1048576,BG$93,$C543*2+6)</f>
        <v>5.45E-2</v>
      </c>
      <c r="BH543" s="1">
        <f>INDEX(Input!$1:$1048576,BH$93,$C543*2+6)</f>
        <v>5.45E-2</v>
      </c>
      <c r="BI543" s="1">
        <f>INDEX(Input!$1:$1048576,BI$93,$C543*2+6)</f>
        <v>0.05</v>
      </c>
      <c r="BJ543" s="1">
        <f>INDEX(Input!$1:$1048576,BJ$93,$C543*2+6)</f>
        <v>0.05</v>
      </c>
      <c r="BK543" s="1">
        <f>INDEX(Input!$1:$1048576,BK$93,$C543*2+6)</f>
        <v>0.05</v>
      </c>
      <c r="BL543" s="1">
        <f>INDEX(Input!$1:$1048576,BL$93,$C543*2+6)</f>
        <v>5.5E-2</v>
      </c>
      <c r="BM543" s="1">
        <f>INDEX(Input!$1:$1048576,BM$93,$C543*2+6)</f>
        <v>0.06</v>
      </c>
      <c r="BN543" s="1">
        <f>INDEX(Input!$1:$1048576,BN$93,$C543*2+6)</f>
        <v>4.4999999999999998E-2</v>
      </c>
      <c r="BO543" s="1">
        <f>INDEX(Input!$1:$1048576,BO$93,$C543*2+6)</f>
        <v>4.4999999999999998E-2</v>
      </c>
      <c r="BP543" s="1">
        <f>INDEX(Input!$1:$1048576,BP$93,$C543*2+6)</f>
        <v>0.05</v>
      </c>
      <c r="BQ543" s="1">
        <f>INDEX(Input!$1:$1048576,BQ$93,$C543*2+6)</f>
        <v>5.45E-2</v>
      </c>
      <c r="BR543" s="1">
        <f>INDEX(Input!$1:$1048576,BR$93,$C543*2+6)</f>
        <v>5.45E-2</v>
      </c>
      <c r="BS543" s="1">
        <f>INDEX(Input!$1:$1048576,BS$93,$C543*2+6)</f>
        <v>0.05</v>
      </c>
      <c r="BT543" s="1">
        <f>INDEX(Input!$1:$1048576,BT$93,$C543*2+6)</f>
        <v>0.05</v>
      </c>
      <c r="BU543" s="1">
        <f>INDEX(Input!$1:$1048576,BU$93,$C543*2+6)</f>
        <v>0.05</v>
      </c>
      <c r="BV543" s="1">
        <f>INDEX(Input!$1:$1048576,BV$93,$C543*2+6)</f>
        <v>5.5E-2</v>
      </c>
      <c r="BW543" s="1">
        <f>INDEX(Input!$1:$1048576,BW$93,$C543*2+6)</f>
        <v>0.06</v>
      </c>
      <c r="BX543" s="127">
        <f>INDEX(Input!$1:$1048576,BX$93,$C543*2+6)</f>
        <v>19985</v>
      </c>
      <c r="BY543" s="20">
        <f>INDEX(Input!$1:$1048576,BY$93,$C543*2+6)</f>
        <v>0.1</v>
      </c>
      <c r="BZ543" s="20">
        <f>INDEX(Input!$1:$1048576,BZ$93,$C543*2+6)</f>
        <v>0.1</v>
      </c>
      <c r="CA543" s="20">
        <f>INDEX(Input!$1:$1048576,CA$93,$C543*2+6)</f>
        <v>0.1</v>
      </c>
      <c r="CB543" s="20">
        <f>INDEX(Input!$1:$1048576,CB$93,$C543*2+6)</f>
        <v>0.1</v>
      </c>
      <c r="CC543" s="20">
        <f>INDEX(Input!$1:$1048576,CC$93,$C543*2+6)</f>
        <v>0.1</v>
      </c>
      <c r="CD543" s="384">
        <f>INDEX(Input!$1:$1048576,CD$93,$C543*2+6)</f>
        <v>0.1</v>
      </c>
      <c r="CE543" s="384">
        <f>INDEX(Input!$1:$1048576,CE$93,$C543*2+6)</f>
        <v>0.1</v>
      </c>
      <c r="CF543" s="384">
        <f>INDEX(Input!$1:$1048576,CF$93,$C543*2+6)</f>
        <v>0.1</v>
      </c>
      <c r="CG543" s="384">
        <f>INDEX(Input!$1:$1048576,CG$93,$C543*2+6)</f>
        <v>0.1</v>
      </c>
      <c r="CH543" s="384">
        <f>INDEX(Input!$1:$1048576,CH$93,$C543*2+6)</f>
        <v>0.1</v>
      </c>
      <c r="CI543" s="304">
        <f t="shared" si="1397"/>
        <v>1277.4263093788063</v>
      </c>
      <c r="CJ543" s="16" t="str">
        <f>INDEX(Input!$1:$1048576,CJ$93,$C543*2+6)</f>
        <v>N</v>
      </c>
      <c r="CK543" s="1" t="str">
        <f t="shared" si="1398"/>
        <v>Market</v>
      </c>
      <c r="CL543" s="1" t="str">
        <f t="shared" si="1399"/>
        <v>Market</v>
      </c>
      <c r="CM543" s="1" t="str">
        <f t="shared" si="1400"/>
        <v>Market</v>
      </c>
      <c r="CN543" s="1" t="str">
        <f t="shared" si="1401"/>
        <v>Market</v>
      </c>
      <c r="CO543" s="1" t="str">
        <f t="shared" si="1402"/>
        <v>Market</v>
      </c>
      <c r="CP543" s="304">
        <f t="shared" si="1403"/>
        <v>500</v>
      </c>
      <c r="CQ543" s="1">
        <f t="shared" si="1404"/>
        <v>0</v>
      </c>
      <c r="CR543" s="1">
        <f t="shared" si="1405"/>
        <v>0</v>
      </c>
      <c r="CS543" s="1">
        <f t="shared" si="1406"/>
        <v>0</v>
      </c>
      <c r="CT543" s="1">
        <f t="shared" si="1407"/>
        <v>8.9999999999999993E-3</v>
      </c>
      <c r="CU543" s="1">
        <f t="shared" si="1408"/>
        <v>3.9E-2</v>
      </c>
      <c r="CV543" s="304">
        <f t="shared" si="1409"/>
        <v>-357.93641739252325</v>
      </c>
      <c r="CW543" s="20" t="s">
        <v>122</v>
      </c>
      <c r="CX543" s="20" t="s">
        <v>122</v>
      </c>
      <c r="CY543" s="20" t="s">
        <v>122</v>
      </c>
      <c r="CZ543" s="20" t="s">
        <v>122</v>
      </c>
      <c r="DA543" s="20" t="s">
        <v>122</v>
      </c>
      <c r="DB543" s="503">
        <f t="shared" si="1410"/>
        <v>0</v>
      </c>
      <c r="DC543" s="127">
        <v>0</v>
      </c>
      <c r="DD543" s="127">
        <v>0</v>
      </c>
      <c r="DE543" s="127">
        <v>0</v>
      </c>
      <c r="DF543" s="127">
        <v>0</v>
      </c>
      <c r="DG543" s="127">
        <v>0</v>
      </c>
      <c r="DH543" s="127">
        <v>0</v>
      </c>
      <c r="DI543" s="127">
        <v>0</v>
      </c>
      <c r="DJ543" s="127">
        <v>0</v>
      </c>
      <c r="DK543" s="127">
        <v>0</v>
      </c>
      <c r="DL543" s="127">
        <v>0</v>
      </c>
      <c r="DM543" s="304">
        <f>INDEX(Input!$1:$1048576,DM$93,$C543*2+6)</f>
        <v>21036.84210526316</v>
      </c>
      <c r="DN543" s="20">
        <v>0</v>
      </c>
      <c r="DO543" s="20">
        <v>0</v>
      </c>
      <c r="DP543" s="20">
        <v>0</v>
      </c>
      <c r="DQ543" s="20">
        <v>0</v>
      </c>
      <c r="DR543" s="20">
        <v>0</v>
      </c>
      <c r="DS543" s="20">
        <f>INDEX(Input!$1:$1048576,DS$93,$C543*2+6)</f>
        <v>0.6</v>
      </c>
      <c r="DT543" s="20">
        <f>INDEX(Input!$1:$1048576,DT$93,$C543*2+6)</f>
        <v>0.55000000000000004</v>
      </c>
      <c r="DU543" s="20">
        <f>INDEX(Input!$1:$1048576,DU$93,$C543*2+6)</f>
        <v>0.52</v>
      </c>
      <c r="DV543" s="20">
        <f>INDEX(Input!$1:$1048576,DV$93,$C543*2+6)</f>
        <v>0.5</v>
      </c>
      <c r="DW543" s="20">
        <f>INDEX(Input!$1:$1048576,DW$93,$C543*2+6)</f>
        <v>0.45</v>
      </c>
      <c r="DX543" s="20"/>
      <c r="DY543" s="7">
        <v>0.11510064311862016</v>
      </c>
      <c r="DZ543" s="7">
        <v>0</v>
      </c>
      <c r="EA543" s="7">
        <v>0.71030033961847694</v>
      </c>
      <c r="EB543" s="7">
        <v>0</v>
      </c>
      <c r="EC543" s="7">
        <v>0</v>
      </c>
      <c r="ED543" s="7">
        <v>0</v>
      </c>
      <c r="EE543" s="7">
        <v>0</v>
      </c>
      <c r="EF543" s="7">
        <v>0</v>
      </c>
      <c r="EG543" s="7">
        <v>0</v>
      </c>
      <c r="EH543" s="7">
        <v>9.4853281366552144E-3</v>
      </c>
      <c r="EI543" s="7">
        <v>2.6362518410115436E-2</v>
      </c>
      <c r="EJ543" s="7">
        <v>0.22893337398258456</v>
      </c>
      <c r="EK543" s="7">
        <v>0.63709230560323415</v>
      </c>
      <c r="EL543" s="7">
        <v>9.812647386741026E-2</v>
      </c>
      <c r="EM543" s="7">
        <v>9.2930815865894134E-2</v>
      </c>
      <c r="EN543" s="7">
        <v>5.9524042119351563E-2</v>
      </c>
      <c r="EO543" s="7">
        <v>0.72730855350691703</v>
      </c>
      <c r="EP543" s="7">
        <v>8.5051940718966185E-2</v>
      </c>
      <c r="EQ543" s="7">
        <v>8.3701785025577291E-2</v>
      </c>
      <c r="ER543" s="7">
        <v>4.4413678629188449E-2</v>
      </c>
      <c r="ES543" s="7">
        <v>8.1668201397008755E-2</v>
      </c>
      <c r="ET543" s="7">
        <v>0.17459901726290294</v>
      </c>
      <c r="EU543" s="6">
        <v>1270</v>
      </c>
      <c r="EV543" s="6">
        <v>0</v>
      </c>
      <c r="EW543" s="6">
        <v>1270</v>
      </c>
      <c r="EX543" s="6">
        <v>0</v>
      </c>
      <c r="EY543" s="6">
        <v>2326.4213115052307</v>
      </c>
      <c r="EZ543" s="6">
        <v>353.55009605986834</v>
      </c>
      <c r="FA543" s="6">
        <v>0</v>
      </c>
      <c r="FB543" s="6">
        <v>0</v>
      </c>
      <c r="FC543" s="6">
        <v>0</v>
      </c>
      <c r="FD543" s="6">
        <v>0</v>
      </c>
      <c r="FE543" s="6">
        <v>0</v>
      </c>
      <c r="FF543" s="6">
        <v>0</v>
      </c>
      <c r="FG543" s="6">
        <v>0</v>
      </c>
      <c r="FH543" s="6">
        <v>1172.1281404731037</v>
      </c>
      <c r="FI543" s="6">
        <v>1553.9796069512399</v>
      </c>
      <c r="FJ543" s="6">
        <v>2101.211011744741</v>
      </c>
      <c r="FK543" s="6">
        <v>2251.3078348034692</v>
      </c>
      <c r="FL543" s="6">
        <v>907.07682140966313</v>
      </c>
      <c r="FM543" s="6">
        <v>2056.4213115052307</v>
      </c>
      <c r="FN543" s="6">
        <v>0</v>
      </c>
      <c r="FO543" s="6">
        <v>0</v>
      </c>
      <c r="FP543" s="6">
        <v>0</v>
      </c>
      <c r="FQ543" s="6">
        <v>0</v>
      </c>
      <c r="FR543" s="6">
        <v>0</v>
      </c>
      <c r="FS543" s="6">
        <v>0</v>
      </c>
      <c r="FT543" s="7">
        <v>0.82540098273709706</v>
      </c>
      <c r="FU543" s="7">
        <v>9.2930815865894134E-2</v>
      </c>
      <c r="FV543" s="7">
        <v>8.1668201397008755E-2</v>
      </c>
      <c r="FW543" s="6">
        <v>1270</v>
      </c>
      <c r="FX543" s="6">
        <v>2326.4213115052307</v>
      </c>
      <c r="FY543" s="6">
        <v>353.55009605986834</v>
      </c>
      <c r="FZ543" s="6">
        <v>1758.1538569113241</v>
      </c>
      <c r="GA543" s="6">
        <v>1293.3292790510468</v>
      </c>
      <c r="GB543" s="6">
        <v>18691.670720948954</v>
      </c>
      <c r="GC543" s="7">
        <v>3.064145122680037E-2</v>
      </c>
      <c r="GD543" s="7">
        <v>2.9520291783647401E-2</v>
      </c>
      <c r="GE543" s="7"/>
      <c r="GF543" s="7"/>
      <c r="GG543" s="7">
        <v>-3.6589632614148299E-2</v>
      </c>
      <c r="GH543" s="42">
        <v>1.5731608065130327</v>
      </c>
      <c r="GI543" s="6">
        <v>13997.052838181322</v>
      </c>
      <c r="GJ543" s="14">
        <v>0.50394797582841766</v>
      </c>
      <c r="GK543" s="14">
        <v>0.50887573065309777</v>
      </c>
      <c r="GL543" s="14">
        <v>0.49605202417158334</v>
      </c>
      <c r="GM543" s="14">
        <v>0.49112426934690284</v>
      </c>
      <c r="GO543" s="5">
        <v>343.14810671672558</v>
      </c>
      <c r="GP543" s="5">
        <v>318.91892952659737</v>
      </c>
      <c r="GQ543" s="5">
        <v>535.04305713031317</v>
      </c>
      <c r="GR543" s="5">
        <v>410.15490233172511</v>
      </c>
      <c r="GS543" s="5">
        <v>339.42744393800166</v>
      </c>
      <c r="GT543" s="5">
        <v>293.4407446948278</v>
      </c>
      <c r="GU543" s="5">
        <v>258.04012322764959</v>
      </c>
      <c r="GV543" s="39" t="s">
        <v>392</v>
      </c>
      <c r="GW543" s="5">
        <v>492.125</v>
      </c>
      <c r="GX543" s="5">
        <v>369.09375</v>
      </c>
      <c r="GY543" s="5">
        <v>295.27499999999998</v>
      </c>
      <c r="GZ543" s="5">
        <v>252.85821728143046</v>
      </c>
      <c r="HA543" s="5">
        <v>241.34874471337258</v>
      </c>
      <c r="HB543" s="39">
        <v>266.77323582099172</v>
      </c>
      <c r="HC543" s="5">
        <v>271.81655829738071</v>
      </c>
      <c r="HD543" s="5">
        <v>229.24799238008356</v>
      </c>
      <c r="HE543" s="5">
        <v>231.16091712425109</v>
      </c>
      <c r="HF543" s="5">
        <v>212.73290951107165</v>
      </c>
      <c r="HG543" s="5">
        <v>203.85500473779987</v>
      </c>
      <c r="HH543" s="39">
        <v>229.43440554408511</v>
      </c>
      <c r="HI543" s="16"/>
      <c r="HJ543" s="19" t="str">
        <f t="shared" si="1513"/>
        <v>On</v>
      </c>
      <c r="HK543" s="1" t="str">
        <f t="shared" si="1513"/>
        <v>On</v>
      </c>
      <c r="HL543" s="16"/>
      <c r="HM543" s="639">
        <f t="shared" si="1413"/>
        <v>2.4909940070666322E-2</v>
      </c>
      <c r="HN543" s="639">
        <f t="shared" si="1414"/>
        <v>2.2052381276269151E-3</v>
      </c>
      <c r="HO543" s="639">
        <f t="shared" si="1415"/>
        <v>2.079866082302006E-3</v>
      </c>
      <c r="HP543" s="644">
        <f>(FT543*$GD543-HM543)/$JF543*INDEX(Input!$1:$1048576,$JG$93,$C543*2+6)</f>
        <v>-15.294064286109638</v>
      </c>
      <c r="HQ543" s="644">
        <f>(FU543*$GD543-HN543)/$JF543*INDEX(Input!$1:$1048576,$JG$93,$C543*2+6)</f>
        <v>15.132211269018303</v>
      </c>
      <c r="HR543" s="644">
        <f>(FV543*$GD543-HO543)/$JF543*INDEX(Input!$1:$1048576,$JG$93,$C543*2+6)</f>
        <v>9.3082066735337161</v>
      </c>
      <c r="HS543" s="644">
        <f t="shared" si="1416"/>
        <v>-1.5788757906688236</v>
      </c>
      <c r="HT543" s="644">
        <f t="shared" si="1417"/>
        <v>19.984671950896587</v>
      </c>
      <c r="HU543" s="644">
        <f t="shared" si="1418"/>
        <v>2.9552920584060121</v>
      </c>
      <c r="HV543" s="648">
        <f t="shared" si="1419"/>
        <v>0</v>
      </c>
      <c r="HW543" s="648">
        <f t="shared" si="1420"/>
        <v>0</v>
      </c>
      <c r="HX543" s="648">
        <f t="shared" si="1421"/>
        <v>0</v>
      </c>
      <c r="HY543" s="644">
        <f>INDEX(Input!$1:$1048576,HY$93,$C543*2+6)*INDEX(Input!$1:$1048576,$JG$93,$C543*2+6)</f>
        <v>333.00000000000006</v>
      </c>
      <c r="HZ543" s="644">
        <f>INDEX(Input!$1:$1048576,HZ$93,$C543*2+6)*INDEX(Input!$1:$1048576,$JG$93,$C543*2+6)</f>
        <v>429</v>
      </c>
      <c r="IA543" s="644">
        <f>INDEX(Input!$1:$1048576,IA$93,$C543*2+6)*INDEX(Input!$1:$1048576,$JG$93,$C543*2+6)</f>
        <v>59</v>
      </c>
      <c r="IB543" s="644">
        <f t="shared" si="1445"/>
        <v>316.12705992322162</v>
      </c>
      <c r="IC543" s="644">
        <f t="shared" si="1446"/>
        <v>464.11688321991488</v>
      </c>
      <c r="ID543" s="644">
        <f>IF(AND(INDEX(Input!$1:$1048576,IA$93,$C543*2+7)="TOS",Y543&lt;=INDEX(Y:Y,MATCH(C543*1000+2,A:A))),0,1)*MAX(IA543+HR543+HU543+HX543,0%)</f>
        <v>71.263498731939734</v>
      </c>
      <c r="IE543" s="128">
        <f t="shared" si="1514"/>
        <v>0.37125578048629704</v>
      </c>
      <c r="IF543" s="128">
        <f t="shared" si="1468"/>
        <v>0.54505323194580491</v>
      </c>
      <c r="IG543" s="128">
        <f t="shared" si="1423"/>
        <v>8.3690987567898126E-2</v>
      </c>
      <c r="IH543" s="21"/>
      <c r="II543" s="19">
        <f t="shared" si="1424"/>
        <v>1240</v>
      </c>
      <c r="IJ543" s="19">
        <f t="shared" si="1425"/>
        <v>1985.7442651839444</v>
      </c>
      <c r="IK543" s="19">
        <f t="shared" si="1426"/>
        <v>-21.44990394013189</v>
      </c>
      <c r="IL543" s="19">
        <f t="shared" si="1448"/>
        <v>30</v>
      </c>
      <c r="IM543" s="19">
        <f t="shared" si="1427"/>
        <v>340.6770463212863</v>
      </c>
      <c r="IN543" s="19">
        <f t="shared" si="1428"/>
        <v>375.00000000000023</v>
      </c>
      <c r="IO543" s="39">
        <f t="shared" si="1429"/>
        <v>0</v>
      </c>
      <c r="IP543" s="39">
        <f t="shared" si="1430"/>
        <v>0</v>
      </c>
      <c r="IQ543" s="39">
        <f t="shared" si="1431"/>
        <v>0</v>
      </c>
      <c r="IR543" s="39">
        <v>0</v>
      </c>
      <c r="IS543" s="39">
        <v>0</v>
      </c>
      <c r="IT543" s="39">
        <v>0</v>
      </c>
      <c r="IU543" s="39">
        <v>0</v>
      </c>
      <c r="IV543" s="39">
        <v>0</v>
      </c>
      <c r="IW543" s="39">
        <v>0</v>
      </c>
      <c r="IX543" s="39">
        <f>INDEX(Input!$1:$1048576,IX$93,$C543*2+6)+INDEX(Input!$1:$1048576,IX$94,$C543*2+6)</f>
        <v>1270</v>
      </c>
      <c r="IY543" s="39">
        <f>INDEX(Input!$1:$1048576,IY$93,$C543*2+6)+INDEX(Input!$1:$1048576,IY$94,$C543*2+6)</f>
        <v>2130.0624533823611</v>
      </c>
      <c r="IZ543" s="39">
        <f>INDEX(Input!$1:$1048576,IZ$93,$C543*2+6)+INDEX(Input!$1:$1048576,IZ$94,$C543*2+6)</f>
        <v>3653.7164157747857</v>
      </c>
      <c r="JA543" s="19">
        <f t="shared" si="1449"/>
        <v>1300</v>
      </c>
      <c r="JB543" s="19">
        <f t="shared" si="1450"/>
        <v>2470.7394997036472</v>
      </c>
      <c r="JC543" s="19">
        <f t="shared" si="1451"/>
        <v>4028.7164157747857</v>
      </c>
      <c r="JD543" s="19">
        <f t="shared" si="1452"/>
        <v>2166.4843197090145</v>
      </c>
      <c r="JE543" s="21"/>
      <c r="JF543" s="1">
        <f t="shared" si="1432"/>
        <v>2.9195044280595241E-2</v>
      </c>
      <c r="JG543" s="15">
        <f>INDEX(Input!$1:$1048576,JG$93,$C543*2+6)/(1+VLOOKUP(C543*1000+INDEX(Input!$1:$1048576,JG$93+1,$C543*2+6),$A:$KK,$JK$92,FALSE))</f>
        <v>821</v>
      </c>
      <c r="JH543" s="1">
        <f t="shared" si="1453"/>
        <v>1.1140503844631403E-2</v>
      </c>
      <c r="JI543" s="1">
        <f t="shared" si="1454"/>
        <v>2.601837785460874E-2</v>
      </c>
      <c r="JJ543" s="1">
        <f t="shared" si="1492"/>
        <v>0</v>
      </c>
      <c r="JK543" s="1">
        <f t="shared" si="1496"/>
        <v>3.7158881699240143E-2</v>
      </c>
      <c r="JL543" s="15">
        <f t="shared" si="1457"/>
        <v>30.507441875076157</v>
      </c>
      <c r="JM543" s="15">
        <f t="shared" si="1483"/>
        <v>851.50744187507621</v>
      </c>
      <c r="JN543" s="21"/>
      <c r="JO543" s="19">
        <f>INDEX(Input!$1:$1048576,JO$93,$C543*2+6)</f>
        <v>5995.5</v>
      </c>
      <c r="JP543" s="19">
        <f>INDEX(Input!$1:$1048576,JP$93,$C543*2+6)</f>
        <v>1890.7138380411029</v>
      </c>
      <c r="JQ543" s="39">
        <f t="shared" si="1469"/>
        <v>3829.0156802909855</v>
      </c>
      <c r="JR543" s="39">
        <f t="shared" si="1486"/>
        <v>275.77048166791155</v>
      </c>
      <c r="JS543" s="39">
        <f t="shared" si="1471"/>
        <v>1.8447775209378878</v>
      </c>
      <c r="JT543" s="39">
        <f t="shared" si="1459"/>
        <v>0.29250145990614218</v>
      </c>
      <c r="JU543" s="385">
        <f>(JQ543*JM543-INDEX(Input!$1:$1048576,Input!A$18,$C543*2+6)*JL543*INDEX(Input!$1:$1048576,Input!A$19,$C543*2+6))/1000000</f>
        <v>3.2604353468241318</v>
      </c>
      <c r="JV543" s="39">
        <f t="shared" si="1493"/>
        <v>-0.10959409214412252</v>
      </c>
      <c r="JW543" s="1">
        <f t="shared" si="1484"/>
        <v>-3.2520218036337131E-2</v>
      </c>
      <c r="JX543" s="19">
        <f t="shared" si="1475"/>
        <v>9587.8723986067416</v>
      </c>
      <c r="JZ543" s="341"/>
      <c r="KA543" s="342"/>
      <c r="KB543" s="469">
        <f t="shared" si="1472"/>
        <v>2.5122967434604799</v>
      </c>
      <c r="KI543" s="473">
        <f t="shared" si="1515"/>
        <v>-16.872940076778434</v>
      </c>
      <c r="KJ543" s="473">
        <f t="shared" si="1516"/>
        <v>35.116883219914882</v>
      </c>
      <c r="KK543" s="473">
        <f t="shared" si="1461"/>
        <v>12.263498731939734</v>
      </c>
      <c r="KN543" s="544">
        <f t="shared" si="1476"/>
        <v>5002</v>
      </c>
      <c r="KO543" s="541">
        <f t="shared" si="1436"/>
        <v>3.2953070154545738E-2</v>
      </c>
      <c r="KP543" s="546">
        <f t="shared" si="1437"/>
        <v>199.46348087423408</v>
      </c>
      <c r="KQ543" s="546">
        <f t="shared" si="1438"/>
        <v>247.56555398574801</v>
      </c>
      <c r="KR543" s="548">
        <f t="shared" si="1439"/>
        <v>2.9846708767015522</v>
      </c>
      <c r="KS543" s="548">
        <f t="shared" si="1440"/>
        <v>2.4047482888718679</v>
      </c>
      <c r="KT543" s="473">
        <f t="shared" si="1474"/>
        <v>595.94378802984284</v>
      </c>
      <c r="KU543" s="663">
        <f t="shared" si="1462"/>
        <v>3.9559164877688264</v>
      </c>
      <c r="KV543" s="117"/>
    </row>
    <row r="544" spans="1:308" s="26" customFormat="1" ht="15">
      <c r="A544" s="561">
        <f t="shared" si="1441"/>
        <v>5044</v>
      </c>
      <c r="B544" s="561">
        <f t="shared" si="1463"/>
        <v>44</v>
      </c>
      <c r="C544" s="561">
        <f t="shared" si="1464"/>
        <v>5</v>
      </c>
      <c r="D544" s="561" t="str">
        <f t="shared" si="1509"/>
        <v xml:space="preserve">0/0/0/3.9, 360 Lease, </v>
      </c>
      <c r="E544" s="475">
        <f>INDEX(Input!$1:$1048576,E$93,$C544*2+MIN($B544,2)+5)
+INDEX(Scenarios!E$121:E$200,MATCH($B544,Scenarios!$B$121:$B$200,0))</f>
        <v>1277.4263093788063</v>
      </c>
      <c r="F544" s="475">
        <f>INDEX(Input!$1:$1048576,F$93,$C544*2+MIN($B544,2)+5)
+INDEX(Scenarios!F$121:F$200,MATCH($B544,Scenarios!$B$121:$B$200,0))</f>
        <v>0</v>
      </c>
      <c r="G544" s="475">
        <f>INDEX(Input!$1:$1048576,G$93,$C544*2+MIN($B544,2)+5)
+INDEX(Scenarios!G$121:G$200,MATCH($B544,Scenarios!$B$121:$B$200,0))</f>
        <v>0</v>
      </c>
      <c r="H544" s="475">
        <f>INDEX(Input!$1:$1048576,H$93,$C544*2+MIN($B544,2)+5)
+INDEX(Scenarios!H$121:H$200,MATCH($B544,Scenarios!$B$121:$B$200,0))</f>
        <v>0</v>
      </c>
      <c r="I544" s="476">
        <f>INDEX(Input!$1:$1048576,I$93,$C544*2+MIN($B544,2)+5)</f>
        <v>0.7</v>
      </c>
      <c r="J544" s="476" t="str">
        <f>INDEX(Input!$1:$1048576,J$93,$C544*2+MIN($B544,2)+5)</f>
        <v>Market</v>
      </c>
      <c r="K544" s="476" t="str">
        <f>INDEX(Input!$1:$1048576,K$93,$C544*2+MIN($B544,2)+5)</f>
        <v>Market</v>
      </c>
      <c r="L544" s="476" t="str">
        <f>INDEX(Input!$1:$1048576,L$93,$C544*2+MIN($B544,2)+5)</f>
        <v>Market</v>
      </c>
      <c r="M544" s="476" t="str">
        <f>INDEX(Input!$1:$1048576,M$93,$C544*2+MIN($B544,2)+5)</f>
        <v>Market</v>
      </c>
      <c r="N544" s="476" t="str">
        <f>INDEX(Input!$1:$1048576,N$93,$C544*2+MIN($B544,2)+5)</f>
        <v>Market</v>
      </c>
      <c r="O544" s="476" t="str">
        <f>INDEX(Input!$1:$1048576,O$93,$C544*2+MIN($B544,2)+5)</f>
        <v>Market</v>
      </c>
      <c r="P544" s="476" t="str">
        <f>INDEX(Input!$1:$1048576,P$93,$C544*2+MIN($B544,2)+5)</f>
        <v>N</v>
      </c>
      <c r="Q544" s="477">
        <f>INDEX(Input!$1:$1048576,Q$93,$C544*2+MIN($B544,2)+5)
+INDEX(Scenarios!Q$121:Q$200,MATCH($B544,Scenarios!$B$121:$B$200,0))</f>
        <v>0</v>
      </c>
      <c r="R544" s="478">
        <f>IFERROR(MAX(0,INDEX(Input!$1:$1048576,R$93,$C544*2+MIN($B544,2)+5)
+INDEX(Scenarios!R$121:R$200,MATCH($B544,Scenarios!$B$121:$B$200,0)),),"Market")</f>
        <v>0</v>
      </c>
      <c r="S544" s="478">
        <f>IFERROR(MAX(0,INDEX(Input!$1:$1048576,S$93,$C544*2+MIN($B544,2)+5)
+INDEX(Scenarios!S$121:S$200,MATCH($B544,Scenarios!$B$121:$B$200,0)),),"Market")</f>
        <v>0</v>
      </c>
      <c r="T544" s="478">
        <f>IFERROR(MAX(0,INDEX(Input!$1:$1048576,T$93,$C544*2+MIN($B544,2)+5)
+INDEX(Scenarios!T$121:T$200,MATCH($B544,Scenarios!$B$121:$B$200,0)),),"Market")</f>
        <v>0</v>
      </c>
      <c r="U544" s="478">
        <f>IFERROR(MAX(0,INDEX(Input!$1:$1048576,U$93,$C544*2+MIN($B544,2)+5)
+INDEX(Scenarios!U$121:U$200,MATCH($B544,Scenarios!$B$121:$B$200,0)),),"Market")</f>
        <v>0</v>
      </c>
      <c r="V544" s="478">
        <f>IFERROR(MAX(0,INDEX(Input!$1:$1048576,V$93,$C544*2+MIN($B544,2)+5)
+INDEX(Scenarios!V$121:V$200,MATCH($B544,Scenarios!$B$121:$B$200,0)),),"Market")</f>
        <v>0</v>
      </c>
      <c r="W544" s="885">
        <f>IFERROR(MAX(0,INDEX(Input!$1:$1048576,W$93,$C544*2+MIN($B544,2)+5)-0%,),"Market")</f>
        <v>3.9E-2</v>
      </c>
      <c r="X544" s="476" t="str">
        <f>INDEX(Input!$1:$1048576,X$93,$C544*2+MIN($B544,2)+5)</f>
        <v>Y</v>
      </c>
      <c r="Y544" s="475">
        <f>INDEX(Input!$1:$1048576,Y$93,$C544*2+MIN($B544,2)+5)
++INDEX(Scenarios!Y$121:Y$200,MATCH($B544,Scenarios!$B$121:$B$200,0))</f>
        <v>-357.93641739252325</v>
      </c>
      <c r="Z544" s="477">
        <f>INDEX(Input!$1:$1048576,Z$93,$C544*2+MIN($B544,2)+5)
+INDEX(Scenarios!Z$121:Z$200,MATCH($B544,Scenarios!$B$121:$B$200,0))</f>
        <v>0</v>
      </c>
      <c r="AA544" s="475">
        <f>INDEX(Input!$1:$1048576,AA$93,$C544*2+MIN($B544,2)+5)
+INDEX(Scenarios!AA$121:AA$200,MATCH($B544,Scenarios!$B$121:$B$200,0))</f>
        <v>0</v>
      </c>
      <c r="AB544" s="476">
        <f>INDEX(Input!$1:$1048576,AB$93,$C544*2+MIN($B544,2)+5)</f>
        <v>0.27</v>
      </c>
      <c r="AC544" s="475">
        <f>INDEX(Input!$1:$1048576,AC$93,$C544*2+MIN($B544,2)+5)
+INDEX(Scenarios!AC$121:AC$200,MATCH($B544,Scenarios!$B$121:$B$200,0))</f>
        <v>0</v>
      </c>
      <c r="AD544" s="476">
        <f>INDEX(Input!$1:$1048576,AD$93,$C544*2+MIN($B544,2)+5)</f>
        <v>0.27</v>
      </c>
      <c r="AE544" s="475">
        <f>INDEX(Input!$1:$1048576,AE$93,$C544*2+MIN($B544,2)+5)
+INDEX(Scenarios!AE$121:AE$200,MATCH($B544,Scenarios!$B$121:$B$200,0))</f>
        <v>0</v>
      </c>
      <c r="AF544" s="476">
        <f>INDEX(Input!$1:$1048576,AF$93,$C544*2+MIN($B544,2)+5)</f>
        <v>0.2</v>
      </c>
      <c r="AG544" s="475">
        <f>INDEX(Input!$1:$1048576,AG$93,$C544*2+MIN($B544,2)+5)
+INDEX(Scenarios!AG$121:AG$200,MATCH($B544,Scenarios!$B$121:$B$200,0))</f>
        <v>500</v>
      </c>
      <c r="AH544" s="476">
        <f>INDEX(Input!$1:$1048576,AH$93,$C544*2+MIN($B544,2)+5)</f>
        <v>1</v>
      </c>
      <c r="AI544" s="475">
        <f>INDEX(Input!$1:$1048576,AI$93,$C544*2+MIN($B544,2)+5)
+INDEX(Scenarios!AI$121:AI$200,MATCH($B544,Scenarios!$B$121:$B$200,0))</f>
        <v>0</v>
      </c>
      <c r="AJ544" s="476">
        <f>INDEX(Input!$1:$1048576,AJ$93,$C544*2+MIN($B544,2)+5)</f>
        <v>0.27</v>
      </c>
      <c r="AK544" s="150">
        <f>ROUND(INDEX(Input!$1:$1048576,AK$93,$C543*2+MIN($B544,1)+5)+(Y544-VLOOKUP($C544*1000+1,$A:$HH,Y$92,FALSE)),0)</f>
        <v>2947</v>
      </c>
      <c r="AL544" s="150">
        <f>ROUND(INDEX(Input!$1:$1048576,AL$93,$C543*2+MIN($B544,1)+5)-(Y544-VLOOKUP($C544*1000+1,$A:$HH,Y$92,FALSE))/36,0)</f>
        <v>3396</v>
      </c>
      <c r="AM544" s="32" t="str">
        <f t="shared" si="1442"/>
        <v>std/std/std/std</v>
      </c>
      <c r="AN544" s="32" t="str">
        <f t="shared" si="1443"/>
        <v>$0 + 0/0/0/0/3.9</v>
      </c>
      <c r="AO544" s="32" t="str">
        <f t="shared" si="1444"/>
        <v>0/0/0/0/3.9</v>
      </c>
      <c r="AP544" s="32" t="str">
        <f t="shared" si="1396"/>
        <v>0/0/0/3.9</v>
      </c>
      <c r="AQ544" s="536">
        <f t="shared" si="1394"/>
        <v>0.34492227973557149</v>
      </c>
      <c r="AR544" s="32"/>
      <c r="AS544" s="302"/>
      <c r="AT544" s="3">
        <f t="shared" si="1465"/>
        <v>44</v>
      </c>
      <c r="AU544" s="41" t="s">
        <v>121</v>
      </c>
      <c r="AV544" s="41" t="s">
        <v>116</v>
      </c>
      <c r="AW544" s="41" t="str">
        <f>INDEX(Input!$1:$1048576,AW$93,$C544*2+6)</f>
        <v>Kia</v>
      </c>
      <c r="AX544" s="41" t="str">
        <f>INDEX(Input!$1:$1048576,AX$93,$C544*2+6)</f>
        <v>Kia-LR - R2</v>
      </c>
      <c r="AY544" s="41" t="str">
        <f>IF(LEN(D544)=0,"",INDEX(Input!$1:$1048576,AY$93,$C544*2+6))</f>
        <v>Compact SUV (52)</v>
      </c>
      <c r="AZ544" s="41" t="str">
        <f>INDEX(Input!$1:$1048576,AZ$93,$C544*2+6)</f>
        <v>Kia Soul</v>
      </c>
      <c r="BA544" s="3">
        <f>INDEX(Input!$1:$1048576,BA$93,$C544*2+6)</f>
        <v>2020</v>
      </c>
      <c r="BB544" s="128">
        <f>INDEX(Input!$1:$1048576,BB$93,$C544*2+6)</f>
        <v>1</v>
      </c>
      <c r="BC544" s="128">
        <f>INDEX(Input!$1:$1048576,BC$93,$C544*2+6)</f>
        <v>0.7</v>
      </c>
      <c r="BD544" s="1">
        <f>INDEX(Input!$1:$1048576,BD$93,$C544*2+6)</f>
        <v>4.4999999999999998E-2</v>
      </c>
      <c r="BE544" s="1">
        <f>INDEX(Input!$1:$1048576,BE$93,$C544*2+6)</f>
        <v>4.4999999999999998E-2</v>
      </c>
      <c r="BF544" s="1">
        <f>INDEX(Input!$1:$1048576,BF$93,$C544*2+6)</f>
        <v>0.05</v>
      </c>
      <c r="BG544" s="1">
        <f>INDEX(Input!$1:$1048576,BG$93,$C544*2+6)</f>
        <v>5.45E-2</v>
      </c>
      <c r="BH544" s="1">
        <f>INDEX(Input!$1:$1048576,BH$93,$C544*2+6)</f>
        <v>5.45E-2</v>
      </c>
      <c r="BI544" s="1">
        <f>INDEX(Input!$1:$1048576,BI$93,$C544*2+6)</f>
        <v>0.05</v>
      </c>
      <c r="BJ544" s="1">
        <f>INDEX(Input!$1:$1048576,BJ$93,$C544*2+6)</f>
        <v>0.05</v>
      </c>
      <c r="BK544" s="1">
        <f>INDEX(Input!$1:$1048576,BK$93,$C544*2+6)</f>
        <v>0.05</v>
      </c>
      <c r="BL544" s="1">
        <f>INDEX(Input!$1:$1048576,BL$93,$C544*2+6)</f>
        <v>5.5E-2</v>
      </c>
      <c r="BM544" s="1">
        <f>INDEX(Input!$1:$1048576,BM$93,$C544*2+6)</f>
        <v>0.06</v>
      </c>
      <c r="BN544" s="1">
        <f>INDEX(Input!$1:$1048576,BN$93,$C544*2+6)</f>
        <v>4.4999999999999998E-2</v>
      </c>
      <c r="BO544" s="1">
        <f>INDEX(Input!$1:$1048576,BO$93,$C544*2+6)</f>
        <v>4.4999999999999998E-2</v>
      </c>
      <c r="BP544" s="1">
        <f>INDEX(Input!$1:$1048576,BP$93,$C544*2+6)</f>
        <v>0.05</v>
      </c>
      <c r="BQ544" s="1">
        <f>INDEX(Input!$1:$1048576,BQ$93,$C544*2+6)</f>
        <v>5.45E-2</v>
      </c>
      <c r="BR544" s="1">
        <f>INDEX(Input!$1:$1048576,BR$93,$C544*2+6)</f>
        <v>5.45E-2</v>
      </c>
      <c r="BS544" s="1">
        <f>INDEX(Input!$1:$1048576,BS$93,$C544*2+6)</f>
        <v>0.05</v>
      </c>
      <c r="BT544" s="1">
        <f>INDEX(Input!$1:$1048576,BT$93,$C544*2+6)</f>
        <v>0.05</v>
      </c>
      <c r="BU544" s="1">
        <f>INDEX(Input!$1:$1048576,BU$93,$C544*2+6)</f>
        <v>0.05</v>
      </c>
      <c r="BV544" s="1">
        <f>INDEX(Input!$1:$1048576,BV$93,$C544*2+6)</f>
        <v>5.5E-2</v>
      </c>
      <c r="BW544" s="1">
        <f>INDEX(Input!$1:$1048576,BW$93,$C544*2+6)</f>
        <v>0.06</v>
      </c>
      <c r="BX544" s="127">
        <f>INDEX(Input!$1:$1048576,BX$93,$C544*2+6)</f>
        <v>19985</v>
      </c>
      <c r="BY544" s="20">
        <f>INDEX(Input!$1:$1048576,BY$93,$C544*2+6)</f>
        <v>0.1</v>
      </c>
      <c r="BZ544" s="20">
        <f>INDEX(Input!$1:$1048576,BZ$93,$C544*2+6)</f>
        <v>0.1</v>
      </c>
      <c r="CA544" s="20">
        <f>INDEX(Input!$1:$1048576,CA$93,$C544*2+6)</f>
        <v>0.1</v>
      </c>
      <c r="CB544" s="20">
        <f>INDEX(Input!$1:$1048576,CB$93,$C544*2+6)</f>
        <v>0.1</v>
      </c>
      <c r="CC544" s="20">
        <f>INDEX(Input!$1:$1048576,CC$93,$C544*2+6)</f>
        <v>0.1</v>
      </c>
      <c r="CD544" s="384">
        <f>INDEX(Input!$1:$1048576,CD$93,$C544*2+6)</f>
        <v>0.1</v>
      </c>
      <c r="CE544" s="384">
        <f>INDEX(Input!$1:$1048576,CE$93,$C544*2+6)</f>
        <v>0.1</v>
      </c>
      <c r="CF544" s="384">
        <f>INDEX(Input!$1:$1048576,CF$93,$C544*2+6)</f>
        <v>0.1</v>
      </c>
      <c r="CG544" s="384">
        <f>INDEX(Input!$1:$1048576,CG$93,$C544*2+6)</f>
        <v>0.1</v>
      </c>
      <c r="CH544" s="384">
        <f>INDEX(Input!$1:$1048576,CH$93,$C544*2+6)</f>
        <v>0.1</v>
      </c>
      <c r="CI544" s="304">
        <f t="shared" si="1397"/>
        <v>1277.4263093788063</v>
      </c>
      <c r="CJ544" s="16" t="str">
        <f>INDEX(Input!$1:$1048576,CJ$93,$C544*2+6)</f>
        <v>N</v>
      </c>
      <c r="CK544" s="1" t="str">
        <f t="shared" si="1398"/>
        <v>Market</v>
      </c>
      <c r="CL544" s="1" t="str">
        <f t="shared" si="1399"/>
        <v>Market</v>
      </c>
      <c r="CM544" s="1" t="str">
        <f t="shared" si="1400"/>
        <v>Market</v>
      </c>
      <c r="CN544" s="1" t="str">
        <f t="shared" si="1401"/>
        <v>Market</v>
      </c>
      <c r="CO544" s="1" t="str">
        <f t="shared" si="1402"/>
        <v>Market</v>
      </c>
      <c r="CP544" s="304">
        <f t="shared" si="1403"/>
        <v>500</v>
      </c>
      <c r="CQ544" s="1">
        <f t="shared" si="1404"/>
        <v>0</v>
      </c>
      <c r="CR544" s="1">
        <f t="shared" si="1405"/>
        <v>0</v>
      </c>
      <c r="CS544" s="1">
        <f t="shared" si="1406"/>
        <v>0</v>
      </c>
      <c r="CT544" s="1">
        <f t="shared" si="1407"/>
        <v>0</v>
      </c>
      <c r="CU544" s="1">
        <f t="shared" si="1408"/>
        <v>3.9E-2</v>
      </c>
      <c r="CV544" s="304">
        <f t="shared" si="1409"/>
        <v>-357.93641739252325</v>
      </c>
      <c r="CW544" s="20" t="s">
        <v>122</v>
      </c>
      <c r="CX544" s="20" t="s">
        <v>122</v>
      </c>
      <c r="CY544" s="20" t="s">
        <v>122</v>
      </c>
      <c r="CZ544" s="20" t="s">
        <v>122</v>
      </c>
      <c r="DA544" s="20" t="s">
        <v>122</v>
      </c>
      <c r="DB544" s="503">
        <f t="shared" si="1410"/>
        <v>0</v>
      </c>
      <c r="DC544" s="127">
        <v>0</v>
      </c>
      <c r="DD544" s="127">
        <v>0</v>
      </c>
      <c r="DE544" s="127">
        <v>0</v>
      </c>
      <c r="DF544" s="127">
        <v>0</v>
      </c>
      <c r="DG544" s="127">
        <v>0</v>
      </c>
      <c r="DH544" s="127">
        <v>0</v>
      </c>
      <c r="DI544" s="127">
        <v>0</v>
      </c>
      <c r="DJ544" s="127">
        <v>0</v>
      </c>
      <c r="DK544" s="127">
        <v>0</v>
      </c>
      <c r="DL544" s="127">
        <v>0</v>
      </c>
      <c r="DM544" s="304">
        <f>INDEX(Input!$1:$1048576,DM$93,$C544*2+6)</f>
        <v>21036.84210526316</v>
      </c>
      <c r="DN544" s="20">
        <v>0</v>
      </c>
      <c r="DO544" s="20">
        <v>0</v>
      </c>
      <c r="DP544" s="20">
        <v>0</v>
      </c>
      <c r="DQ544" s="20">
        <v>0</v>
      </c>
      <c r="DR544" s="20">
        <v>0</v>
      </c>
      <c r="DS544" s="20">
        <f>INDEX(Input!$1:$1048576,DS$93,$C544*2+6)</f>
        <v>0.6</v>
      </c>
      <c r="DT544" s="20">
        <f>INDEX(Input!$1:$1048576,DT$93,$C544*2+6)</f>
        <v>0.55000000000000004</v>
      </c>
      <c r="DU544" s="20">
        <f>INDEX(Input!$1:$1048576,DU$93,$C544*2+6)</f>
        <v>0.52</v>
      </c>
      <c r="DV544" s="20">
        <f>INDEX(Input!$1:$1048576,DV$93,$C544*2+6)</f>
        <v>0.5</v>
      </c>
      <c r="DW544" s="20">
        <f>INDEX(Input!$1:$1048576,DW$93,$C544*2+6)</f>
        <v>0.45</v>
      </c>
      <c r="DX544" s="20"/>
      <c r="DY544" s="7">
        <v>0.11212597959805</v>
      </c>
      <c r="DZ544" s="7">
        <v>0</v>
      </c>
      <c r="EA544" s="7">
        <v>0.69230696982674556</v>
      </c>
      <c r="EB544" s="7">
        <v>0</v>
      </c>
      <c r="EC544" s="7">
        <v>0</v>
      </c>
      <c r="ED544" s="7">
        <v>0</v>
      </c>
      <c r="EE544" s="7">
        <v>0</v>
      </c>
      <c r="EF544" s="7">
        <v>0</v>
      </c>
      <c r="EG544" s="7">
        <v>0</v>
      </c>
      <c r="EH544" s="7">
        <v>7.398209102879273E-3</v>
      </c>
      <c r="EI544" s="7">
        <v>2.0559410595602633E-2</v>
      </c>
      <c r="EJ544" s="7">
        <v>0.17850325055985816</v>
      </c>
      <c r="EK544" s="7">
        <v>0.71700058154122992</v>
      </c>
      <c r="EL544" s="7">
        <v>7.6538548200429754E-2</v>
      </c>
      <c r="EM544" s="7">
        <v>0.11601499418919686</v>
      </c>
      <c r="EN544" s="7">
        <v>5.9517411916983093E-2</v>
      </c>
      <c r="EO544" s="7">
        <v>0.72727182792777745</v>
      </c>
      <c r="EP544" s="7">
        <v>8.5082828805537358E-2</v>
      </c>
      <c r="EQ544" s="7">
        <v>8.3715792922694043E-2</v>
      </c>
      <c r="ER544" s="7">
        <v>4.441213842700819E-2</v>
      </c>
      <c r="ES544" s="7">
        <v>7.9552056386007514E-2</v>
      </c>
      <c r="ET544" s="7">
        <v>0.19556705057520449</v>
      </c>
      <c r="EU544" s="6">
        <v>1270</v>
      </c>
      <c r="EV544" s="6">
        <v>0</v>
      </c>
      <c r="EW544" s="6">
        <v>1270</v>
      </c>
      <c r="EX544" s="6">
        <v>0</v>
      </c>
      <c r="EY544" s="6">
        <v>2672.5232735560999</v>
      </c>
      <c r="EZ544" s="6">
        <v>353.55009605986834</v>
      </c>
      <c r="FA544" s="6">
        <v>0</v>
      </c>
      <c r="FB544" s="6">
        <v>0</v>
      </c>
      <c r="FC544" s="6">
        <v>0</v>
      </c>
      <c r="FD544" s="6">
        <v>0</v>
      </c>
      <c r="FE544" s="6">
        <v>0</v>
      </c>
      <c r="FF544" s="6">
        <v>0</v>
      </c>
      <c r="FG544" s="6">
        <v>0</v>
      </c>
      <c r="FH544" s="6">
        <v>1172.1250101694582</v>
      </c>
      <c r="FI544" s="6">
        <v>1553.9796069512399</v>
      </c>
      <c r="FJ544" s="6">
        <v>2101.211011744741</v>
      </c>
      <c r="FK544" s="6">
        <v>2674.2006261592269</v>
      </c>
      <c r="FL544" s="6">
        <v>907.07682140966313</v>
      </c>
      <c r="FM544" s="6">
        <v>2402.5232735560999</v>
      </c>
      <c r="FN544" s="6">
        <v>0</v>
      </c>
      <c r="FO544" s="6">
        <v>0</v>
      </c>
      <c r="FP544" s="6">
        <v>0</v>
      </c>
      <c r="FQ544" s="6">
        <v>0</v>
      </c>
      <c r="FR544" s="6">
        <v>0</v>
      </c>
      <c r="FS544" s="6">
        <v>0</v>
      </c>
      <c r="FT544" s="7">
        <v>0.8044329494247956</v>
      </c>
      <c r="FU544" s="7">
        <v>0.11601499418919686</v>
      </c>
      <c r="FV544" s="7">
        <v>7.9552056386007514E-2</v>
      </c>
      <c r="FW544" s="6">
        <v>1270</v>
      </c>
      <c r="FX544" s="6">
        <v>2672.5232735561003</v>
      </c>
      <c r="FY544" s="6">
        <v>353.55009605986834</v>
      </c>
      <c r="FZ544" s="6">
        <v>1758.1538569113241</v>
      </c>
      <c r="GA544" s="6">
        <v>1359.8082549986277</v>
      </c>
      <c r="GB544" s="6">
        <v>18625.191745001372</v>
      </c>
      <c r="GC544" s="7">
        <v>3.064145122680037E-2</v>
      </c>
      <c r="GD544" s="7">
        <v>2.9687672810589569E-2</v>
      </c>
      <c r="GE544" s="7"/>
      <c r="GF544" s="7"/>
      <c r="GG544" s="7">
        <v>-3.1127064092074854E-2</v>
      </c>
      <c r="GH544" s="42">
        <v>1.5616448955207827</v>
      </c>
      <c r="GI544" s="6">
        <v>14157.211849965928</v>
      </c>
      <c r="GJ544" s="14">
        <v>0.50394797582841733</v>
      </c>
      <c r="GK544" s="14">
        <v>0.50887573065309732</v>
      </c>
      <c r="GL544" s="14">
        <v>0.49605202417158273</v>
      </c>
      <c r="GM544" s="14">
        <v>0.49112426934690206</v>
      </c>
      <c r="GO544" s="5">
        <v>343.14810671672558</v>
      </c>
      <c r="GP544" s="5">
        <v>318.91892952659737</v>
      </c>
      <c r="GQ544" s="5">
        <v>535.04305713031317</v>
      </c>
      <c r="GR544" s="5">
        <v>410.15490233172511</v>
      </c>
      <c r="GS544" s="5">
        <v>339.42744393800166</v>
      </c>
      <c r="GT544" s="5">
        <v>293.4407446948278</v>
      </c>
      <c r="GU544" s="5">
        <v>258.04012322764959</v>
      </c>
      <c r="GV544" s="39" t="s">
        <v>392</v>
      </c>
      <c r="GW544" s="5">
        <v>492.125</v>
      </c>
      <c r="GX544" s="5">
        <v>369.09375</v>
      </c>
      <c r="GY544" s="5">
        <v>295.27499999999998</v>
      </c>
      <c r="GZ544" s="5">
        <v>246.0625</v>
      </c>
      <c r="HA544" s="5">
        <v>241.34874471337258</v>
      </c>
      <c r="HB544" s="39">
        <v>258.83617904418384</v>
      </c>
      <c r="HC544" s="5">
        <v>271.81655829738071</v>
      </c>
      <c r="HD544" s="5">
        <v>229.24799238008356</v>
      </c>
      <c r="HE544" s="5">
        <v>231.16091712425109</v>
      </c>
      <c r="HF544" s="5">
        <v>212.73290951107165</v>
      </c>
      <c r="HG544" s="5">
        <v>203.85500473779987</v>
      </c>
      <c r="HH544" s="39">
        <v>229.43399016121674</v>
      </c>
      <c r="HI544" s="16"/>
      <c r="HJ544" s="19" t="str">
        <f t="shared" si="1513"/>
        <v>On</v>
      </c>
      <c r="HK544" s="1" t="str">
        <f t="shared" si="1513"/>
        <v>On</v>
      </c>
      <c r="HL544" s="16"/>
      <c r="HM544" s="639">
        <f t="shared" si="1413"/>
        <v>2.4909940070666322E-2</v>
      </c>
      <c r="HN544" s="639">
        <f t="shared" si="1414"/>
        <v>2.2052381276269151E-3</v>
      </c>
      <c r="HO544" s="639">
        <f t="shared" si="1415"/>
        <v>2.079866082302006E-3</v>
      </c>
      <c r="HP544" s="644">
        <f>(FT544*$GD544-HM544)/$JF544*INDEX(Input!$1:$1048576,$JG$93,$C544*2+6)</f>
        <v>-28.914169241429136</v>
      </c>
      <c r="HQ544" s="644">
        <f>(FU544*$GD544-HN544)/$JF544*INDEX(Input!$1:$1048576,$JG$93,$C544*2+6)</f>
        <v>34.841535340444523</v>
      </c>
      <c r="HR544" s="644">
        <f>(FV544*$GD544-HO544)/$JF544*INDEX(Input!$1:$1048576,$JG$93,$C544*2+6)</f>
        <v>7.9259447313491336</v>
      </c>
      <c r="HS544" s="644">
        <f t="shared" si="1416"/>
        <v>-1.7127120008665586</v>
      </c>
      <c r="HT544" s="644">
        <f t="shared" si="1417"/>
        <v>40.411581748382176</v>
      </c>
      <c r="HU544" s="644">
        <f t="shared" si="1418"/>
        <v>3.0891282686037469</v>
      </c>
      <c r="HV544" s="648">
        <f t="shared" si="1419"/>
        <v>0</v>
      </c>
      <c r="HW544" s="648">
        <f t="shared" si="1420"/>
        <v>0</v>
      </c>
      <c r="HX544" s="648">
        <f t="shared" si="1421"/>
        <v>0</v>
      </c>
      <c r="HY544" s="644">
        <f>INDEX(Input!$1:$1048576,HY$93,$C544*2+6)*INDEX(Input!$1:$1048576,$JG$93,$C544*2+6)</f>
        <v>333.00000000000006</v>
      </c>
      <c r="HZ544" s="644">
        <f>INDEX(Input!$1:$1048576,HZ$93,$C544*2+6)*INDEX(Input!$1:$1048576,$JG$93,$C544*2+6)</f>
        <v>429</v>
      </c>
      <c r="IA544" s="644">
        <f>INDEX(Input!$1:$1048576,IA$93,$C544*2+6)*INDEX(Input!$1:$1048576,$JG$93,$C544*2+6)</f>
        <v>59</v>
      </c>
      <c r="IB544" s="644">
        <f t="shared" si="1445"/>
        <v>302.37311875770445</v>
      </c>
      <c r="IC544" s="644">
        <f t="shared" si="1446"/>
        <v>504.25311708882668</v>
      </c>
      <c r="ID544" s="644">
        <f>IF(AND(INDEX(Input!$1:$1048576,IA$93,$C544*2+7)="TOS",Y544&lt;=INDEX(Y:Y,MATCH(C544*1000+2,A:A))),0,1)*MAX(IA544+HR544+HU544+HX544,0%)</f>
        <v>70.015072999952878</v>
      </c>
      <c r="IE544" s="128">
        <f t="shared" si="1514"/>
        <v>0.34492227973557149</v>
      </c>
      <c r="IF544" s="128">
        <f t="shared" si="1468"/>
        <v>0.57521030779663007</v>
      </c>
      <c r="IG544" s="128">
        <f t="shared" si="1423"/>
        <v>7.9867412467798507E-2</v>
      </c>
      <c r="IH544" s="21"/>
      <c r="II544" s="19">
        <f t="shared" si="1424"/>
        <v>1240</v>
      </c>
      <c r="IJ544" s="19">
        <f t="shared" si="1425"/>
        <v>1985.7442651839444</v>
      </c>
      <c r="IK544" s="19">
        <f t="shared" si="1426"/>
        <v>-21.44990394013189</v>
      </c>
      <c r="IL544" s="19">
        <f t="shared" si="1448"/>
        <v>30</v>
      </c>
      <c r="IM544" s="19">
        <f t="shared" si="1427"/>
        <v>686.77900837215589</v>
      </c>
      <c r="IN544" s="19">
        <f t="shared" si="1428"/>
        <v>375.00000000000023</v>
      </c>
      <c r="IO544" s="39">
        <f t="shared" si="1429"/>
        <v>0</v>
      </c>
      <c r="IP544" s="39">
        <f t="shared" si="1430"/>
        <v>0</v>
      </c>
      <c r="IQ544" s="39">
        <f t="shared" si="1431"/>
        <v>0</v>
      </c>
      <c r="IR544" s="39">
        <v>0</v>
      </c>
      <c r="IS544" s="39">
        <v>0</v>
      </c>
      <c r="IT544" s="39">
        <v>0</v>
      </c>
      <c r="IU544" s="39">
        <v>0</v>
      </c>
      <c r="IV544" s="39">
        <v>0</v>
      </c>
      <c r="IW544" s="39">
        <v>0</v>
      </c>
      <c r="IX544" s="39">
        <f>INDEX(Input!$1:$1048576,IX$93,$C544*2+6)+INDEX(Input!$1:$1048576,IX$94,$C544*2+6)</f>
        <v>1270</v>
      </c>
      <c r="IY544" s="39">
        <f>INDEX(Input!$1:$1048576,IY$93,$C544*2+6)+INDEX(Input!$1:$1048576,IY$94,$C544*2+6)</f>
        <v>2130.0624533823611</v>
      </c>
      <c r="IZ544" s="39">
        <f>INDEX(Input!$1:$1048576,IZ$93,$C544*2+6)+INDEX(Input!$1:$1048576,IZ$94,$C544*2+6)</f>
        <v>3653.7164157747857</v>
      </c>
      <c r="JA544" s="19">
        <f t="shared" si="1449"/>
        <v>1300</v>
      </c>
      <c r="JB544" s="19">
        <f t="shared" si="1450"/>
        <v>2816.8414617545168</v>
      </c>
      <c r="JC544" s="19">
        <f t="shared" si="1451"/>
        <v>4028.7164157747857</v>
      </c>
      <c r="JD544" s="19">
        <f t="shared" si="1452"/>
        <v>2390.4383635808435</v>
      </c>
      <c r="JE544" s="21"/>
      <c r="JF544" s="1">
        <f t="shared" si="1432"/>
        <v>2.9195044280595241E-2</v>
      </c>
      <c r="JG544" s="15">
        <f>INDEX(Input!$1:$1048576,JG$93,$C544*2+6)/(1+VLOOKUP(C544*1000+INDEX(Input!$1:$1048576,JG$93+1,$C544*2+6),$A:$KK,$JK$92,FALSE))</f>
        <v>821</v>
      </c>
      <c r="JH544" s="1">
        <f t="shared" si="1453"/>
        <v>1.6873703812867871E-2</v>
      </c>
      <c r="JI544" s="1">
        <f t="shared" si="1454"/>
        <v>5.0898901359463289E-2</v>
      </c>
      <c r="JJ544" s="1">
        <f t="shared" si="1492"/>
        <v>0</v>
      </c>
      <c r="JK544" s="1">
        <f t="shared" si="1496"/>
        <v>6.7772605172331163E-2</v>
      </c>
      <c r="JL544" s="15">
        <f t="shared" si="1457"/>
        <v>55.641308846483888</v>
      </c>
      <c r="JM544" s="15">
        <f t="shared" si="1483"/>
        <v>876.64130884648387</v>
      </c>
      <c r="JN544" s="21"/>
      <c r="JO544" s="19">
        <f>INDEX(Input!$1:$1048576,JO$93,$C544*2+6)</f>
        <v>5995.5</v>
      </c>
      <c r="JP544" s="19">
        <f>INDEX(Input!$1:$1048576,JP$93,$C544*2+6)</f>
        <v>1890.7138380411029</v>
      </c>
      <c r="JQ544" s="39">
        <f t="shared" si="1469"/>
        <v>3605.0616364191565</v>
      </c>
      <c r="JR544" s="39">
        <f t="shared" si="1486"/>
        <v>499.72452553974063</v>
      </c>
      <c r="JS544" s="39">
        <f t="shared" si="1471"/>
        <v>2.0955570157663579</v>
      </c>
      <c r="JT544" s="39">
        <f t="shared" si="1459"/>
        <v>0.54328095473461224</v>
      </c>
      <c r="JU544" s="385">
        <f>(JQ544*JM544-INDEX(Input!$1:$1048576,Input!A$18,$C544*2+6)*JL544*INDEX(Input!$1:$1048576,Input!A$19,$C544*2+6))/1000000</f>
        <v>3.1603459514227361</v>
      </c>
      <c r="JV544" s="39">
        <f t="shared" si="1493"/>
        <v>-0.20968348754551824</v>
      </c>
      <c r="JW544" s="1">
        <f t="shared" si="1484"/>
        <v>-6.2220075920082628E-2</v>
      </c>
      <c r="JX544" s="19">
        <f t="shared" si="1475"/>
        <v>9763.9858946082913</v>
      </c>
      <c r="JZ544" s="341"/>
      <c r="KA544" s="342"/>
      <c r="KB544" s="469">
        <f t="shared" si="1472"/>
        <v>2.5122967434604799</v>
      </c>
      <c r="KI544" s="473">
        <f t="shared" si="1515"/>
        <v>-30.62688124229561</v>
      </c>
      <c r="KJ544" s="473">
        <f t="shared" si="1516"/>
        <v>75.253117088826627</v>
      </c>
      <c r="KK544" s="473">
        <f t="shared" si="1461"/>
        <v>11.015072999952864</v>
      </c>
      <c r="KN544" s="544">
        <f t="shared" si="1476"/>
        <v>5002</v>
      </c>
      <c r="KO544" s="541">
        <f t="shared" si="1436"/>
        <v>6.3442651074474332E-2</v>
      </c>
      <c r="KP544" s="546">
        <f t="shared" si="1437"/>
        <v>406.5374767894956</v>
      </c>
      <c r="KQ544" s="546">
        <f t="shared" si="1438"/>
        <v>471.51959785757708</v>
      </c>
      <c r="KR544" s="548">
        <f t="shared" si="1439"/>
        <v>2.8193220882875876</v>
      </c>
      <c r="KS544" s="548">
        <f t="shared" si="1440"/>
        <v>2.4307793212351827</v>
      </c>
      <c r="KT544" s="473">
        <f t="shared" si="1474"/>
        <v>595.94378802984284</v>
      </c>
      <c r="KU544" s="663">
        <f t="shared" si="1462"/>
        <v>3.9379004666469974</v>
      </c>
      <c r="KV544" s="117"/>
    </row>
    <row r="545" spans="1:308" s="26" customFormat="1" ht="15">
      <c r="A545" s="561">
        <f t="shared" si="1441"/>
        <v>5045</v>
      </c>
      <c r="B545" s="561">
        <f t="shared" si="1463"/>
        <v>45</v>
      </c>
      <c r="C545" s="561">
        <f t="shared" si="1464"/>
        <v>5</v>
      </c>
      <c r="D545" s="561" t="str">
        <f t="shared" si="1509"/>
        <v xml:space="preserve">0/0/0/3.9, 360 Lease, </v>
      </c>
      <c r="E545" s="475">
        <f>INDEX(Input!$1:$1048576,E$93,$C545*2+MIN($B545,2)+5)
+INDEX(Scenarios!E$121:E$200,MATCH($B545,Scenarios!$B$121:$B$200,0))</f>
        <v>1277.4263093788063</v>
      </c>
      <c r="F545" s="475">
        <f>INDEX(Input!$1:$1048576,F$93,$C545*2+MIN($B545,2)+5)
+INDEX(Scenarios!F$121:F$200,MATCH($B545,Scenarios!$B$121:$B$200,0))</f>
        <v>0</v>
      </c>
      <c r="G545" s="475">
        <f>INDEX(Input!$1:$1048576,G$93,$C545*2+MIN($B545,2)+5)
+INDEX(Scenarios!G$121:G$200,MATCH($B545,Scenarios!$B$121:$B$200,0))</f>
        <v>0</v>
      </c>
      <c r="H545" s="475">
        <f>INDEX(Input!$1:$1048576,H$93,$C545*2+MIN($B545,2)+5)
+INDEX(Scenarios!H$121:H$200,MATCH($B545,Scenarios!$B$121:$B$200,0))</f>
        <v>0</v>
      </c>
      <c r="I545" s="476">
        <f>INDEX(Input!$1:$1048576,I$93,$C545*2+MIN($B545,2)+5)</f>
        <v>0.7</v>
      </c>
      <c r="J545" s="476" t="str">
        <f>INDEX(Input!$1:$1048576,J$93,$C545*2+MIN($B545,2)+5)</f>
        <v>Market</v>
      </c>
      <c r="K545" s="476" t="str">
        <f>INDEX(Input!$1:$1048576,K$93,$C545*2+MIN($B545,2)+5)</f>
        <v>Market</v>
      </c>
      <c r="L545" s="476" t="str">
        <f>INDEX(Input!$1:$1048576,L$93,$C545*2+MIN($B545,2)+5)</f>
        <v>Market</v>
      </c>
      <c r="M545" s="476" t="str">
        <f>INDEX(Input!$1:$1048576,M$93,$C545*2+MIN($B545,2)+5)</f>
        <v>Market</v>
      </c>
      <c r="N545" s="476" t="str">
        <f>INDEX(Input!$1:$1048576,N$93,$C545*2+MIN($B545,2)+5)</f>
        <v>Market</v>
      </c>
      <c r="O545" s="476" t="str">
        <f>INDEX(Input!$1:$1048576,O$93,$C545*2+MIN($B545,2)+5)</f>
        <v>Market</v>
      </c>
      <c r="P545" s="476" t="str">
        <f>INDEX(Input!$1:$1048576,P$93,$C545*2+MIN($B545,2)+5)</f>
        <v>N</v>
      </c>
      <c r="Q545" s="477">
        <f>INDEX(Input!$1:$1048576,Q$93,$C545*2+MIN($B545,2)+5)
+INDEX(Scenarios!Q$121:Q$200,MATCH($B545,Scenarios!$B$121:$B$200,0))</f>
        <v>0</v>
      </c>
      <c r="R545" s="478">
        <f>IFERROR(MAX(0,INDEX(Input!$1:$1048576,R$93,$C545*2+MIN($B545,2)+5)
+INDEX(Scenarios!R$121:R$200,MATCH($B545,Scenarios!$B$121:$B$200,0)),),"Market")</f>
        <v>0</v>
      </c>
      <c r="S545" s="478">
        <f>IFERROR(MAX(0,INDEX(Input!$1:$1048576,S$93,$C545*2+MIN($B545,2)+5)
+INDEX(Scenarios!S$121:S$200,MATCH($B545,Scenarios!$B$121:$B$200,0)),),"Market")</f>
        <v>0</v>
      </c>
      <c r="T545" s="478">
        <f>IFERROR(MAX(0,INDEX(Input!$1:$1048576,T$93,$C545*2+MIN($B545,2)+5)
+INDEX(Scenarios!T$121:T$200,MATCH($B545,Scenarios!$B$121:$B$200,0)),),"Market")</f>
        <v>0</v>
      </c>
      <c r="U545" s="478">
        <f>IFERROR(MAX(0,INDEX(Input!$1:$1048576,U$93,$C545*2+MIN($B545,2)+5)
+INDEX(Scenarios!U$121:U$200,MATCH($B545,Scenarios!$B$121:$B$200,0)),),"Market")</f>
        <v>0</v>
      </c>
      <c r="V545" s="478">
        <f>IFERROR(MAX(0,INDEX(Input!$1:$1048576,V$93,$C545*2+MIN($B545,2)+5)
+INDEX(Scenarios!V$121:V$200,MATCH($B545,Scenarios!$B$121:$B$200,0)),),"Market")</f>
        <v>0</v>
      </c>
      <c r="W545" s="885">
        <f>IFERROR(MAX(0,INDEX(Input!$1:$1048576,W$93,$C545*2+MIN($B545,2)+5)-0%,),"Market")</f>
        <v>3.9E-2</v>
      </c>
      <c r="X545" s="476" t="str">
        <f>INDEX(Input!$1:$1048576,X$93,$C545*2+MIN($B545,2)+5)</f>
        <v>Y</v>
      </c>
      <c r="Y545" s="475">
        <f>INDEX(Input!$1:$1048576,Y$93,$C545*2+MIN($B545,2)+5)
++INDEX(Scenarios!Y$121:Y$200,MATCH($B545,Scenarios!$B$121:$B$200,0))</f>
        <v>-357.93641739252325</v>
      </c>
      <c r="Z545" s="477">
        <f>INDEX(Input!$1:$1048576,Z$93,$C545*2+MIN($B545,2)+5)
+INDEX(Scenarios!Z$121:Z$200,MATCH($B545,Scenarios!$B$121:$B$200,0))</f>
        <v>0</v>
      </c>
      <c r="AA545" s="475">
        <f>INDEX(Input!$1:$1048576,AA$93,$C545*2+MIN($B545,2)+5)
+INDEX(Scenarios!AA$121:AA$200,MATCH($B545,Scenarios!$B$121:$B$200,0))</f>
        <v>0</v>
      </c>
      <c r="AB545" s="476">
        <f>INDEX(Input!$1:$1048576,AB$93,$C545*2+MIN($B545,2)+5)</f>
        <v>0.27</v>
      </c>
      <c r="AC545" s="475">
        <f>INDEX(Input!$1:$1048576,AC$93,$C545*2+MIN($B545,2)+5)
+INDEX(Scenarios!AC$121:AC$200,MATCH($B545,Scenarios!$B$121:$B$200,0))</f>
        <v>0</v>
      </c>
      <c r="AD545" s="476">
        <f>INDEX(Input!$1:$1048576,AD$93,$C545*2+MIN($B545,2)+5)</f>
        <v>0.27</v>
      </c>
      <c r="AE545" s="475">
        <f>INDEX(Input!$1:$1048576,AE$93,$C545*2+MIN($B545,2)+5)
+INDEX(Scenarios!AE$121:AE$200,MATCH($B545,Scenarios!$B$121:$B$200,0))</f>
        <v>0</v>
      </c>
      <c r="AF545" s="476">
        <f>INDEX(Input!$1:$1048576,AF$93,$C545*2+MIN($B545,2)+5)</f>
        <v>0.2</v>
      </c>
      <c r="AG545" s="475">
        <f>INDEX(Input!$1:$1048576,AG$93,$C545*2+MIN($B545,2)+5)
+INDEX(Scenarios!AG$121:AG$200,MATCH($B545,Scenarios!$B$121:$B$200,0))</f>
        <v>500</v>
      </c>
      <c r="AH545" s="476">
        <f>INDEX(Input!$1:$1048576,AH$93,$C545*2+MIN($B545,2)+5)</f>
        <v>1</v>
      </c>
      <c r="AI545" s="475">
        <f>INDEX(Input!$1:$1048576,AI$93,$C545*2+MIN($B545,2)+5)
+INDEX(Scenarios!AI$121:AI$200,MATCH($B545,Scenarios!$B$121:$B$200,0))</f>
        <v>0</v>
      </c>
      <c r="AJ545" s="476">
        <f>INDEX(Input!$1:$1048576,AJ$93,$C545*2+MIN($B545,2)+5)</f>
        <v>0.27</v>
      </c>
      <c r="AK545" s="150">
        <f>ROUND(INDEX(Input!$1:$1048576,AK$93,$C544*2+MIN($B545,1)+5)+(Y545-VLOOKUP($C545*1000+1,$A:$HH,Y$92,FALSE)),0)</f>
        <v>2947</v>
      </c>
      <c r="AL545" s="150">
        <f>ROUND(INDEX(Input!$1:$1048576,AL$93,$C544*2+MIN($B545,1)+5)-(Y545-VLOOKUP($C545*1000+1,$A:$HH,Y$92,FALSE))/36,0)</f>
        <v>3396</v>
      </c>
      <c r="AM545" s="32" t="str">
        <f t="shared" si="1442"/>
        <v>std/std/std/std</v>
      </c>
      <c r="AN545" s="32" t="str">
        <f t="shared" si="1443"/>
        <v>$0 + 0/0/0/0/3.9</v>
      </c>
      <c r="AO545" s="32" t="str">
        <f t="shared" si="1444"/>
        <v>0/0/0/0/3.9</v>
      </c>
      <c r="AP545" s="32" t="str">
        <f t="shared" si="1396"/>
        <v>0/0/0/3.9</v>
      </c>
      <c r="AQ545" s="536">
        <f t="shared" si="1394"/>
        <v>0.34492227973557149</v>
      </c>
      <c r="AR545" s="32"/>
      <c r="AS545" s="302"/>
      <c r="AT545" s="3">
        <f t="shared" si="1465"/>
        <v>45</v>
      </c>
      <c r="AU545" s="41" t="s">
        <v>121</v>
      </c>
      <c r="AV545" s="41" t="s">
        <v>116</v>
      </c>
      <c r="AW545" s="41" t="str">
        <f>INDEX(Input!$1:$1048576,AW$93,$C545*2+6)</f>
        <v>Kia</v>
      </c>
      <c r="AX545" s="41" t="str">
        <f>INDEX(Input!$1:$1048576,AX$93,$C545*2+6)</f>
        <v>Kia-LR - R2</v>
      </c>
      <c r="AY545" s="41" t="str">
        <f>IF(LEN(D545)=0,"",INDEX(Input!$1:$1048576,AY$93,$C545*2+6))</f>
        <v>Compact SUV (52)</v>
      </c>
      <c r="AZ545" s="41" t="str">
        <f>INDEX(Input!$1:$1048576,AZ$93,$C545*2+6)</f>
        <v>Kia Soul</v>
      </c>
      <c r="BA545" s="3">
        <f>INDEX(Input!$1:$1048576,BA$93,$C545*2+6)</f>
        <v>2020</v>
      </c>
      <c r="BB545" s="128">
        <f>INDEX(Input!$1:$1048576,BB$93,$C545*2+6)</f>
        <v>1</v>
      </c>
      <c r="BC545" s="128">
        <f>INDEX(Input!$1:$1048576,BC$93,$C545*2+6)</f>
        <v>0.7</v>
      </c>
      <c r="BD545" s="1">
        <f>INDEX(Input!$1:$1048576,BD$93,$C545*2+6)</f>
        <v>4.4999999999999998E-2</v>
      </c>
      <c r="BE545" s="1">
        <f>INDEX(Input!$1:$1048576,BE$93,$C545*2+6)</f>
        <v>4.4999999999999998E-2</v>
      </c>
      <c r="BF545" s="1">
        <f>INDEX(Input!$1:$1048576,BF$93,$C545*2+6)</f>
        <v>0.05</v>
      </c>
      <c r="BG545" s="1">
        <f>INDEX(Input!$1:$1048576,BG$93,$C545*2+6)</f>
        <v>5.45E-2</v>
      </c>
      <c r="BH545" s="1">
        <f>INDEX(Input!$1:$1048576,BH$93,$C545*2+6)</f>
        <v>5.45E-2</v>
      </c>
      <c r="BI545" s="1">
        <f>INDEX(Input!$1:$1048576,BI$93,$C545*2+6)</f>
        <v>0.05</v>
      </c>
      <c r="BJ545" s="1">
        <f>INDEX(Input!$1:$1048576,BJ$93,$C545*2+6)</f>
        <v>0.05</v>
      </c>
      <c r="BK545" s="1">
        <f>INDEX(Input!$1:$1048576,BK$93,$C545*2+6)</f>
        <v>0.05</v>
      </c>
      <c r="BL545" s="1">
        <f>INDEX(Input!$1:$1048576,BL$93,$C545*2+6)</f>
        <v>5.5E-2</v>
      </c>
      <c r="BM545" s="1">
        <f>INDEX(Input!$1:$1048576,BM$93,$C545*2+6)</f>
        <v>0.06</v>
      </c>
      <c r="BN545" s="1">
        <f>INDEX(Input!$1:$1048576,BN$93,$C545*2+6)</f>
        <v>4.4999999999999998E-2</v>
      </c>
      <c r="BO545" s="1">
        <f>INDEX(Input!$1:$1048576,BO$93,$C545*2+6)</f>
        <v>4.4999999999999998E-2</v>
      </c>
      <c r="BP545" s="1">
        <f>INDEX(Input!$1:$1048576,BP$93,$C545*2+6)</f>
        <v>0.05</v>
      </c>
      <c r="BQ545" s="1">
        <f>INDEX(Input!$1:$1048576,BQ$93,$C545*2+6)</f>
        <v>5.45E-2</v>
      </c>
      <c r="BR545" s="1">
        <f>INDEX(Input!$1:$1048576,BR$93,$C545*2+6)</f>
        <v>5.45E-2</v>
      </c>
      <c r="BS545" s="1">
        <f>INDEX(Input!$1:$1048576,BS$93,$C545*2+6)</f>
        <v>0.05</v>
      </c>
      <c r="BT545" s="1">
        <f>INDEX(Input!$1:$1048576,BT$93,$C545*2+6)</f>
        <v>0.05</v>
      </c>
      <c r="BU545" s="1">
        <f>INDEX(Input!$1:$1048576,BU$93,$C545*2+6)</f>
        <v>0.05</v>
      </c>
      <c r="BV545" s="1">
        <f>INDEX(Input!$1:$1048576,BV$93,$C545*2+6)</f>
        <v>5.5E-2</v>
      </c>
      <c r="BW545" s="1">
        <f>INDEX(Input!$1:$1048576,BW$93,$C545*2+6)</f>
        <v>0.06</v>
      </c>
      <c r="BX545" s="127">
        <f>INDEX(Input!$1:$1048576,BX$93,$C545*2+6)</f>
        <v>19985</v>
      </c>
      <c r="BY545" s="20">
        <f>INDEX(Input!$1:$1048576,BY$93,$C545*2+6)</f>
        <v>0.1</v>
      </c>
      <c r="BZ545" s="20">
        <f>INDEX(Input!$1:$1048576,BZ$93,$C545*2+6)</f>
        <v>0.1</v>
      </c>
      <c r="CA545" s="20">
        <f>INDEX(Input!$1:$1048576,CA$93,$C545*2+6)</f>
        <v>0.1</v>
      </c>
      <c r="CB545" s="20">
        <f>INDEX(Input!$1:$1048576,CB$93,$C545*2+6)</f>
        <v>0.1</v>
      </c>
      <c r="CC545" s="20">
        <f>INDEX(Input!$1:$1048576,CC$93,$C545*2+6)</f>
        <v>0.1</v>
      </c>
      <c r="CD545" s="384">
        <f>INDEX(Input!$1:$1048576,CD$93,$C545*2+6)</f>
        <v>0.1</v>
      </c>
      <c r="CE545" s="384">
        <f>INDEX(Input!$1:$1048576,CE$93,$C545*2+6)</f>
        <v>0.1</v>
      </c>
      <c r="CF545" s="384">
        <f>INDEX(Input!$1:$1048576,CF$93,$C545*2+6)</f>
        <v>0.1</v>
      </c>
      <c r="CG545" s="384">
        <f>INDEX(Input!$1:$1048576,CG$93,$C545*2+6)</f>
        <v>0.1</v>
      </c>
      <c r="CH545" s="384">
        <f>INDEX(Input!$1:$1048576,CH$93,$C545*2+6)</f>
        <v>0.1</v>
      </c>
      <c r="CI545" s="304">
        <f t="shared" si="1397"/>
        <v>1277.4263093788063</v>
      </c>
      <c r="CJ545" s="16" t="str">
        <f>INDEX(Input!$1:$1048576,CJ$93,$C545*2+6)</f>
        <v>N</v>
      </c>
      <c r="CK545" s="1" t="str">
        <f t="shared" si="1398"/>
        <v>Market</v>
      </c>
      <c r="CL545" s="1" t="str">
        <f t="shared" si="1399"/>
        <v>Market</v>
      </c>
      <c r="CM545" s="1" t="str">
        <f t="shared" si="1400"/>
        <v>Market</v>
      </c>
      <c r="CN545" s="1" t="str">
        <f t="shared" si="1401"/>
        <v>Market</v>
      </c>
      <c r="CO545" s="1" t="str">
        <f t="shared" si="1402"/>
        <v>Market</v>
      </c>
      <c r="CP545" s="304">
        <f t="shared" si="1403"/>
        <v>500</v>
      </c>
      <c r="CQ545" s="1">
        <f t="shared" si="1404"/>
        <v>0</v>
      </c>
      <c r="CR545" s="1">
        <f t="shared" si="1405"/>
        <v>0</v>
      </c>
      <c r="CS545" s="1">
        <f t="shared" si="1406"/>
        <v>0</v>
      </c>
      <c r="CT545" s="1">
        <f t="shared" si="1407"/>
        <v>0</v>
      </c>
      <c r="CU545" s="1">
        <f t="shared" si="1408"/>
        <v>3.9E-2</v>
      </c>
      <c r="CV545" s="304">
        <f t="shared" si="1409"/>
        <v>-357.93641739252325</v>
      </c>
      <c r="CW545" s="20" t="s">
        <v>122</v>
      </c>
      <c r="CX545" s="20" t="s">
        <v>122</v>
      </c>
      <c r="CY545" s="20" t="s">
        <v>122</v>
      </c>
      <c r="CZ545" s="20" t="s">
        <v>122</v>
      </c>
      <c r="DA545" s="20" t="s">
        <v>122</v>
      </c>
      <c r="DB545" s="503">
        <f t="shared" si="1410"/>
        <v>0</v>
      </c>
      <c r="DC545" s="127">
        <v>0</v>
      </c>
      <c r="DD545" s="127">
        <v>0</v>
      </c>
      <c r="DE545" s="127">
        <v>0</v>
      </c>
      <c r="DF545" s="127">
        <v>0</v>
      </c>
      <c r="DG545" s="127">
        <v>0</v>
      </c>
      <c r="DH545" s="127">
        <v>0</v>
      </c>
      <c r="DI545" s="127">
        <v>0</v>
      </c>
      <c r="DJ545" s="127">
        <v>0</v>
      </c>
      <c r="DK545" s="127">
        <v>0</v>
      </c>
      <c r="DL545" s="127">
        <v>0</v>
      </c>
      <c r="DM545" s="304">
        <f>INDEX(Input!$1:$1048576,DM$93,$C545*2+6)</f>
        <v>21036.84210526316</v>
      </c>
      <c r="DN545" s="20">
        <v>0</v>
      </c>
      <c r="DO545" s="20">
        <v>0</v>
      </c>
      <c r="DP545" s="20">
        <v>0</v>
      </c>
      <c r="DQ545" s="20">
        <v>0</v>
      </c>
      <c r="DR545" s="20">
        <v>0</v>
      </c>
      <c r="DS545" s="20">
        <f>INDEX(Input!$1:$1048576,DS$93,$C545*2+6)</f>
        <v>0.6</v>
      </c>
      <c r="DT545" s="20">
        <f>INDEX(Input!$1:$1048576,DT$93,$C545*2+6)</f>
        <v>0.55000000000000004</v>
      </c>
      <c r="DU545" s="20">
        <f>INDEX(Input!$1:$1048576,DU$93,$C545*2+6)</f>
        <v>0.52</v>
      </c>
      <c r="DV545" s="20">
        <f>INDEX(Input!$1:$1048576,DV$93,$C545*2+6)</f>
        <v>0.5</v>
      </c>
      <c r="DW545" s="20">
        <f>INDEX(Input!$1:$1048576,DW$93,$C545*2+6)</f>
        <v>0.45</v>
      </c>
      <c r="DX545" s="20"/>
      <c r="DY545" s="7">
        <v>0.11212597959805</v>
      </c>
      <c r="DZ545" s="7">
        <v>0</v>
      </c>
      <c r="EA545" s="7">
        <v>0.69230696982674556</v>
      </c>
      <c r="EB545" s="7">
        <v>0</v>
      </c>
      <c r="EC545" s="7">
        <v>0</v>
      </c>
      <c r="ED545" s="7">
        <v>0</v>
      </c>
      <c r="EE545" s="7">
        <v>0</v>
      </c>
      <c r="EF545" s="7">
        <v>0</v>
      </c>
      <c r="EG545" s="7">
        <v>0</v>
      </c>
      <c r="EH545" s="7">
        <v>7.398209102879273E-3</v>
      </c>
      <c r="EI545" s="7">
        <v>2.0559410595602633E-2</v>
      </c>
      <c r="EJ545" s="7">
        <v>0.17850325055985816</v>
      </c>
      <c r="EK545" s="7">
        <v>0.71700058154122992</v>
      </c>
      <c r="EL545" s="7">
        <v>7.6538548200429754E-2</v>
      </c>
      <c r="EM545" s="7">
        <v>0.11601499418919686</v>
      </c>
      <c r="EN545" s="7">
        <v>5.9517411916983093E-2</v>
      </c>
      <c r="EO545" s="7">
        <v>0.72727182792777745</v>
      </c>
      <c r="EP545" s="7">
        <v>8.5082828805537358E-2</v>
      </c>
      <c r="EQ545" s="7">
        <v>8.3715792922694043E-2</v>
      </c>
      <c r="ER545" s="7">
        <v>4.441213842700819E-2</v>
      </c>
      <c r="ES545" s="7">
        <v>7.9552056386007514E-2</v>
      </c>
      <c r="ET545" s="7">
        <v>0.19556705057520449</v>
      </c>
      <c r="EU545" s="6">
        <v>1270</v>
      </c>
      <c r="EV545" s="6">
        <v>0</v>
      </c>
      <c r="EW545" s="6">
        <v>1270</v>
      </c>
      <c r="EX545" s="6">
        <v>0</v>
      </c>
      <c r="EY545" s="6">
        <v>2672.5232735560999</v>
      </c>
      <c r="EZ545" s="6">
        <v>353.55009605986834</v>
      </c>
      <c r="FA545" s="6">
        <v>0</v>
      </c>
      <c r="FB545" s="6">
        <v>0</v>
      </c>
      <c r="FC545" s="6">
        <v>0</v>
      </c>
      <c r="FD545" s="6">
        <v>0</v>
      </c>
      <c r="FE545" s="6">
        <v>0</v>
      </c>
      <c r="FF545" s="6">
        <v>0</v>
      </c>
      <c r="FG545" s="6">
        <v>0</v>
      </c>
      <c r="FH545" s="6">
        <v>1172.1250101694582</v>
      </c>
      <c r="FI545" s="6">
        <v>1553.9796069512399</v>
      </c>
      <c r="FJ545" s="6">
        <v>2101.211011744741</v>
      </c>
      <c r="FK545" s="6">
        <v>2674.2006261592269</v>
      </c>
      <c r="FL545" s="6">
        <v>907.07682140966313</v>
      </c>
      <c r="FM545" s="6">
        <v>2402.5232735560999</v>
      </c>
      <c r="FN545" s="6">
        <v>0</v>
      </c>
      <c r="FO545" s="6">
        <v>0</v>
      </c>
      <c r="FP545" s="6">
        <v>0</v>
      </c>
      <c r="FQ545" s="6">
        <v>0</v>
      </c>
      <c r="FR545" s="6">
        <v>0</v>
      </c>
      <c r="FS545" s="6">
        <v>0</v>
      </c>
      <c r="FT545" s="7">
        <v>0.8044329494247956</v>
      </c>
      <c r="FU545" s="7">
        <v>0.11601499418919686</v>
      </c>
      <c r="FV545" s="7">
        <v>7.9552056386007514E-2</v>
      </c>
      <c r="FW545" s="6">
        <v>1270</v>
      </c>
      <c r="FX545" s="6">
        <v>2672.5232735561003</v>
      </c>
      <c r="FY545" s="6">
        <v>353.55009605986834</v>
      </c>
      <c r="FZ545" s="6">
        <v>1758.1538569113241</v>
      </c>
      <c r="GA545" s="6">
        <v>1359.8082549986277</v>
      </c>
      <c r="GB545" s="6">
        <v>18625.191745001372</v>
      </c>
      <c r="GC545" s="7">
        <v>3.064145122680037E-2</v>
      </c>
      <c r="GD545" s="7">
        <v>2.9687672810589569E-2</v>
      </c>
      <c r="GE545" s="7"/>
      <c r="GF545" s="7"/>
      <c r="GG545" s="7">
        <v>-3.1127064092074854E-2</v>
      </c>
      <c r="GH545" s="42">
        <v>1.5616448955207827</v>
      </c>
      <c r="GI545" s="6">
        <v>14157.211849965928</v>
      </c>
      <c r="GJ545" s="14">
        <v>0.50394797582841733</v>
      </c>
      <c r="GK545" s="14">
        <v>0.50887573065309732</v>
      </c>
      <c r="GL545" s="14">
        <v>0.49605202417158273</v>
      </c>
      <c r="GM545" s="14">
        <v>0.49112426934690206</v>
      </c>
      <c r="GO545" s="5">
        <v>343.14810671672558</v>
      </c>
      <c r="GP545" s="5">
        <v>318.91892952659737</v>
      </c>
      <c r="GQ545" s="5">
        <v>535.04305713031317</v>
      </c>
      <c r="GR545" s="5">
        <v>410.15490233172511</v>
      </c>
      <c r="GS545" s="5">
        <v>339.42744393800166</v>
      </c>
      <c r="GT545" s="5">
        <v>293.4407446948278</v>
      </c>
      <c r="GU545" s="5">
        <v>258.04012322764959</v>
      </c>
      <c r="GV545" s="39" t="s">
        <v>392</v>
      </c>
      <c r="GW545" s="5">
        <v>492.125</v>
      </c>
      <c r="GX545" s="5">
        <v>369.09375</v>
      </c>
      <c r="GY545" s="5">
        <v>295.27499999999998</v>
      </c>
      <c r="GZ545" s="5">
        <v>246.0625</v>
      </c>
      <c r="HA545" s="5">
        <v>241.34874471337258</v>
      </c>
      <c r="HB545" s="39">
        <v>258.83617904418384</v>
      </c>
      <c r="HC545" s="5">
        <v>271.81655829738071</v>
      </c>
      <c r="HD545" s="5">
        <v>229.24799238008356</v>
      </c>
      <c r="HE545" s="5">
        <v>231.16091712425109</v>
      </c>
      <c r="HF545" s="5">
        <v>212.73290951107165</v>
      </c>
      <c r="HG545" s="5">
        <v>203.85500473779987</v>
      </c>
      <c r="HH545" s="39">
        <v>229.43399016121674</v>
      </c>
      <c r="HI545" s="16"/>
      <c r="HJ545" s="19" t="str">
        <f t="shared" si="1513"/>
        <v>On</v>
      </c>
      <c r="HK545" s="1" t="str">
        <f t="shared" si="1513"/>
        <v>On</v>
      </c>
      <c r="HL545" s="16"/>
      <c r="HM545" s="639">
        <f t="shared" si="1413"/>
        <v>2.4909940070666322E-2</v>
      </c>
      <c r="HN545" s="639">
        <f t="shared" si="1414"/>
        <v>2.2052381276269151E-3</v>
      </c>
      <c r="HO545" s="639">
        <f t="shared" si="1415"/>
        <v>2.079866082302006E-3</v>
      </c>
      <c r="HP545" s="644">
        <f>(FT545*$GD545-HM545)/$JF545*INDEX(Input!$1:$1048576,$JG$93,$C545*2+6)</f>
        <v>-28.914169241429136</v>
      </c>
      <c r="HQ545" s="644">
        <f>(FU545*$GD545-HN545)/$JF545*INDEX(Input!$1:$1048576,$JG$93,$C545*2+6)</f>
        <v>34.841535340444523</v>
      </c>
      <c r="HR545" s="644">
        <f>(FV545*$GD545-HO545)/$JF545*INDEX(Input!$1:$1048576,$JG$93,$C545*2+6)</f>
        <v>7.9259447313491336</v>
      </c>
      <c r="HS545" s="644">
        <f t="shared" si="1416"/>
        <v>-1.7127120008665586</v>
      </c>
      <c r="HT545" s="644">
        <f t="shared" si="1417"/>
        <v>40.411581748382176</v>
      </c>
      <c r="HU545" s="644">
        <f t="shared" si="1418"/>
        <v>3.0891282686037469</v>
      </c>
      <c r="HV545" s="648">
        <f t="shared" si="1419"/>
        <v>0</v>
      </c>
      <c r="HW545" s="648">
        <f t="shared" si="1420"/>
        <v>0</v>
      </c>
      <c r="HX545" s="648">
        <f t="shared" si="1421"/>
        <v>0</v>
      </c>
      <c r="HY545" s="644">
        <f>INDEX(Input!$1:$1048576,HY$93,$C545*2+6)*INDEX(Input!$1:$1048576,$JG$93,$C545*2+6)</f>
        <v>333.00000000000006</v>
      </c>
      <c r="HZ545" s="644">
        <f>INDEX(Input!$1:$1048576,HZ$93,$C545*2+6)*INDEX(Input!$1:$1048576,$JG$93,$C545*2+6)</f>
        <v>429</v>
      </c>
      <c r="IA545" s="644">
        <f>INDEX(Input!$1:$1048576,IA$93,$C545*2+6)*INDEX(Input!$1:$1048576,$JG$93,$C545*2+6)</f>
        <v>59</v>
      </c>
      <c r="IB545" s="644">
        <f t="shared" si="1445"/>
        <v>302.37311875770445</v>
      </c>
      <c r="IC545" s="644">
        <f t="shared" si="1446"/>
        <v>504.25311708882668</v>
      </c>
      <c r="ID545" s="644">
        <f>IF(AND(INDEX(Input!$1:$1048576,IA$93,$C545*2+7)="TOS",Y545&lt;=INDEX(Y:Y,MATCH(C545*1000+2,A:A))),0,1)*MAX(IA545+HR545+HU545+HX545,0%)</f>
        <v>70.015072999952878</v>
      </c>
      <c r="IE545" s="128">
        <f t="shared" si="1514"/>
        <v>0.34492227973557149</v>
      </c>
      <c r="IF545" s="128">
        <f t="shared" si="1468"/>
        <v>0.57521030779663007</v>
      </c>
      <c r="IG545" s="128">
        <f t="shared" si="1423"/>
        <v>7.9867412467798507E-2</v>
      </c>
      <c r="IH545" s="21"/>
      <c r="II545" s="19">
        <f t="shared" si="1424"/>
        <v>1240</v>
      </c>
      <c r="IJ545" s="19">
        <f t="shared" si="1425"/>
        <v>1985.7442651839444</v>
      </c>
      <c r="IK545" s="19">
        <f t="shared" si="1426"/>
        <v>-21.44990394013189</v>
      </c>
      <c r="IL545" s="19">
        <f t="shared" si="1448"/>
        <v>30</v>
      </c>
      <c r="IM545" s="19">
        <f t="shared" si="1427"/>
        <v>686.77900837215589</v>
      </c>
      <c r="IN545" s="19">
        <f t="shared" si="1428"/>
        <v>375.00000000000023</v>
      </c>
      <c r="IO545" s="39">
        <f t="shared" si="1429"/>
        <v>0</v>
      </c>
      <c r="IP545" s="39">
        <f t="shared" si="1430"/>
        <v>0</v>
      </c>
      <c r="IQ545" s="39">
        <f t="shared" si="1431"/>
        <v>0</v>
      </c>
      <c r="IR545" s="39">
        <v>0</v>
      </c>
      <c r="IS545" s="39">
        <v>0</v>
      </c>
      <c r="IT545" s="39">
        <v>0</v>
      </c>
      <c r="IU545" s="39">
        <v>0</v>
      </c>
      <c r="IV545" s="39">
        <v>0</v>
      </c>
      <c r="IW545" s="39">
        <v>0</v>
      </c>
      <c r="IX545" s="39">
        <f>INDEX(Input!$1:$1048576,IX$93,$C545*2+6)+INDEX(Input!$1:$1048576,IX$94,$C545*2+6)</f>
        <v>1270</v>
      </c>
      <c r="IY545" s="39">
        <f>INDEX(Input!$1:$1048576,IY$93,$C545*2+6)+INDEX(Input!$1:$1048576,IY$94,$C545*2+6)</f>
        <v>2130.0624533823611</v>
      </c>
      <c r="IZ545" s="39">
        <f>INDEX(Input!$1:$1048576,IZ$93,$C545*2+6)+INDEX(Input!$1:$1048576,IZ$94,$C545*2+6)</f>
        <v>3653.7164157747857</v>
      </c>
      <c r="JA545" s="19">
        <f t="shared" si="1449"/>
        <v>1300</v>
      </c>
      <c r="JB545" s="19">
        <f t="shared" si="1450"/>
        <v>2816.8414617545168</v>
      </c>
      <c r="JC545" s="19">
        <f t="shared" si="1451"/>
        <v>4028.7164157747857</v>
      </c>
      <c r="JD545" s="19">
        <f t="shared" si="1452"/>
        <v>2390.4383635808435</v>
      </c>
      <c r="JE545" s="21"/>
      <c r="JF545" s="1">
        <f t="shared" si="1432"/>
        <v>2.9195044280595241E-2</v>
      </c>
      <c r="JG545" s="15">
        <f>INDEX(Input!$1:$1048576,JG$93,$C545*2+6)/(1+VLOOKUP(C545*1000+INDEX(Input!$1:$1048576,JG$93+1,$C545*2+6),$A:$KK,$JK$92,FALSE))</f>
        <v>821</v>
      </c>
      <c r="JH545" s="1">
        <f t="shared" si="1453"/>
        <v>1.6873703812867871E-2</v>
      </c>
      <c r="JI545" s="1">
        <f t="shared" si="1454"/>
        <v>5.0898901359463289E-2</v>
      </c>
      <c r="JJ545" s="1">
        <f t="shared" si="1492"/>
        <v>0</v>
      </c>
      <c r="JK545" s="1">
        <f t="shared" si="1496"/>
        <v>6.7772605172331163E-2</v>
      </c>
      <c r="JL545" s="15">
        <f t="shared" si="1457"/>
        <v>55.641308846483888</v>
      </c>
      <c r="JM545" s="15">
        <f t="shared" si="1483"/>
        <v>876.64130884648387</v>
      </c>
      <c r="JN545" s="21"/>
      <c r="JO545" s="19">
        <f>INDEX(Input!$1:$1048576,JO$93,$C545*2+6)</f>
        <v>5995.5</v>
      </c>
      <c r="JP545" s="19">
        <f>INDEX(Input!$1:$1048576,JP$93,$C545*2+6)</f>
        <v>1890.7138380411029</v>
      </c>
      <c r="JQ545" s="39">
        <f t="shared" si="1469"/>
        <v>3605.0616364191565</v>
      </c>
      <c r="JR545" s="39">
        <f t="shared" si="1486"/>
        <v>499.72452553974063</v>
      </c>
      <c r="JS545" s="39">
        <f t="shared" si="1471"/>
        <v>2.0955570157663579</v>
      </c>
      <c r="JT545" s="39">
        <f t="shared" si="1459"/>
        <v>0.54328095473461224</v>
      </c>
      <c r="JU545" s="385">
        <f>(JQ545*JM545-INDEX(Input!$1:$1048576,Input!A$18,$C545*2+6)*JL545*INDEX(Input!$1:$1048576,Input!A$19,$C545*2+6))/1000000</f>
        <v>3.1603459514227361</v>
      </c>
      <c r="JV545" s="39">
        <f t="shared" si="1493"/>
        <v>-0.20968348754551824</v>
      </c>
      <c r="JW545" s="1">
        <f t="shared" si="1484"/>
        <v>-6.2220075920082628E-2</v>
      </c>
      <c r="JX545" s="19">
        <f t="shared" si="1475"/>
        <v>9763.9858946082913</v>
      </c>
      <c r="JZ545" s="341"/>
      <c r="KA545" s="342"/>
      <c r="KB545" s="469">
        <f t="shared" si="1472"/>
        <v>2.5122967434604799</v>
      </c>
      <c r="KI545" s="473">
        <f t="shared" si="1515"/>
        <v>-30.62688124229561</v>
      </c>
      <c r="KJ545" s="473">
        <f t="shared" si="1516"/>
        <v>75.253117088826627</v>
      </c>
      <c r="KK545" s="473">
        <f t="shared" si="1461"/>
        <v>11.015072999952864</v>
      </c>
      <c r="KN545" s="544">
        <f t="shared" si="1476"/>
        <v>5002</v>
      </c>
      <c r="KO545" s="541">
        <f t="shared" si="1436"/>
        <v>6.3442651074474332E-2</v>
      </c>
      <c r="KP545" s="546">
        <f t="shared" si="1437"/>
        <v>406.5374767894956</v>
      </c>
      <c r="KQ545" s="546">
        <f t="shared" si="1438"/>
        <v>471.51959785757708</v>
      </c>
      <c r="KR545" s="548">
        <f t="shared" si="1439"/>
        <v>2.8193220882875876</v>
      </c>
      <c r="KS545" s="548">
        <f t="shared" si="1440"/>
        <v>2.4307793212351827</v>
      </c>
      <c r="KT545" s="473">
        <f t="shared" si="1474"/>
        <v>595.94378802984284</v>
      </c>
      <c r="KU545" s="663">
        <f t="shared" si="1462"/>
        <v>3.9379014666469976</v>
      </c>
      <c r="KV545" s="117"/>
    </row>
    <row r="546" spans="1:308" s="26" customFormat="1" ht="15">
      <c r="A546" s="561">
        <f t="shared" si="1441"/>
        <v>5046</v>
      </c>
      <c r="B546" s="561">
        <f t="shared" si="1463"/>
        <v>46</v>
      </c>
      <c r="C546" s="561">
        <f t="shared" si="1464"/>
        <v>5</v>
      </c>
      <c r="D546" s="561" t="str">
        <f t="shared" si="1509"/>
        <v xml:space="preserve">0/0/0/3.9, 360 Lease, </v>
      </c>
      <c r="E546" s="475">
        <f>INDEX(Input!$1:$1048576,E$93,$C546*2+MIN($B546,2)+5)
+INDEX(Scenarios!E$121:E$200,MATCH($B546,Scenarios!$B$121:$B$200,0))</f>
        <v>1277.4263093788063</v>
      </c>
      <c r="F546" s="475">
        <f>INDEX(Input!$1:$1048576,F$93,$C546*2+MIN($B546,2)+5)
+INDEX(Scenarios!F$121:F$200,MATCH($B546,Scenarios!$B$121:$B$200,0))</f>
        <v>0</v>
      </c>
      <c r="G546" s="475">
        <f>INDEX(Input!$1:$1048576,G$93,$C546*2+MIN($B546,2)+5)
+INDEX(Scenarios!G$121:G$200,MATCH($B546,Scenarios!$B$121:$B$200,0))</f>
        <v>0</v>
      </c>
      <c r="H546" s="475">
        <f>INDEX(Input!$1:$1048576,H$93,$C546*2+MIN($B546,2)+5)
+INDEX(Scenarios!H$121:H$200,MATCH($B546,Scenarios!$B$121:$B$200,0))</f>
        <v>0</v>
      </c>
      <c r="I546" s="476">
        <f>INDEX(Input!$1:$1048576,I$93,$C546*2+MIN($B546,2)+5)</f>
        <v>0.7</v>
      </c>
      <c r="J546" s="476" t="str">
        <f>INDEX(Input!$1:$1048576,J$93,$C546*2+MIN($B546,2)+5)</f>
        <v>Market</v>
      </c>
      <c r="K546" s="476" t="str">
        <f>INDEX(Input!$1:$1048576,K$93,$C546*2+MIN($B546,2)+5)</f>
        <v>Market</v>
      </c>
      <c r="L546" s="476" t="str">
        <f>INDEX(Input!$1:$1048576,L$93,$C546*2+MIN($B546,2)+5)</f>
        <v>Market</v>
      </c>
      <c r="M546" s="476" t="str">
        <f>INDEX(Input!$1:$1048576,M$93,$C546*2+MIN($B546,2)+5)</f>
        <v>Market</v>
      </c>
      <c r="N546" s="476" t="str">
        <f>INDEX(Input!$1:$1048576,N$93,$C546*2+MIN($B546,2)+5)</f>
        <v>Market</v>
      </c>
      <c r="O546" s="476" t="str">
        <f>INDEX(Input!$1:$1048576,O$93,$C546*2+MIN($B546,2)+5)</f>
        <v>Market</v>
      </c>
      <c r="P546" s="476" t="str">
        <f>INDEX(Input!$1:$1048576,P$93,$C546*2+MIN($B546,2)+5)</f>
        <v>N</v>
      </c>
      <c r="Q546" s="477">
        <f>INDEX(Input!$1:$1048576,Q$93,$C546*2+MIN($B546,2)+5)
+INDEX(Scenarios!Q$121:Q$200,MATCH($B546,Scenarios!$B$121:$B$200,0))</f>
        <v>0</v>
      </c>
      <c r="R546" s="478">
        <f>IFERROR(MAX(0,INDEX(Input!$1:$1048576,R$93,$C546*2+MIN($B546,2)+5)
+INDEX(Scenarios!R$121:R$200,MATCH($B546,Scenarios!$B$121:$B$200,0)),),"Market")</f>
        <v>0</v>
      </c>
      <c r="S546" s="478">
        <f>IFERROR(MAX(0,INDEX(Input!$1:$1048576,S$93,$C546*2+MIN($B546,2)+5)
+INDEX(Scenarios!S$121:S$200,MATCH($B546,Scenarios!$B$121:$B$200,0)),),"Market")</f>
        <v>0</v>
      </c>
      <c r="T546" s="478">
        <f>IFERROR(MAX(0,INDEX(Input!$1:$1048576,T$93,$C546*2+MIN($B546,2)+5)
+INDEX(Scenarios!T$121:T$200,MATCH($B546,Scenarios!$B$121:$B$200,0)),),"Market")</f>
        <v>0</v>
      </c>
      <c r="U546" s="478">
        <f>IFERROR(MAX(0,INDEX(Input!$1:$1048576,U$93,$C546*2+MIN($B546,2)+5)
+INDEX(Scenarios!U$121:U$200,MATCH($B546,Scenarios!$B$121:$B$200,0)),),"Market")</f>
        <v>0</v>
      </c>
      <c r="V546" s="478">
        <f>IFERROR(MAX(0,INDEX(Input!$1:$1048576,V$93,$C546*2+MIN($B546,2)+5)
+INDEX(Scenarios!V$121:V$200,MATCH($B546,Scenarios!$B$121:$B$200,0)),),"Market")</f>
        <v>0</v>
      </c>
      <c r="W546" s="885">
        <f>IFERROR(MAX(0,INDEX(Input!$1:$1048576,W$93,$C546*2+MIN($B546,2)+5)-0%,),"Market")</f>
        <v>3.9E-2</v>
      </c>
      <c r="X546" s="476" t="str">
        <f>INDEX(Input!$1:$1048576,X$93,$C546*2+MIN($B546,2)+5)</f>
        <v>Y</v>
      </c>
      <c r="Y546" s="475">
        <f>INDEX(Input!$1:$1048576,Y$93,$C546*2+MIN($B546,2)+5)
++INDEX(Scenarios!Y$121:Y$200,MATCH($B546,Scenarios!$B$121:$B$200,0))</f>
        <v>-357.93641739252325</v>
      </c>
      <c r="Z546" s="477">
        <f>INDEX(Input!$1:$1048576,Z$93,$C546*2+MIN($B546,2)+5)
+INDEX(Scenarios!Z$121:Z$200,MATCH($B546,Scenarios!$B$121:$B$200,0))</f>
        <v>0</v>
      </c>
      <c r="AA546" s="475">
        <f>INDEX(Input!$1:$1048576,AA$93,$C546*2+MIN($B546,2)+5)
+INDEX(Scenarios!AA$121:AA$200,MATCH($B546,Scenarios!$B$121:$B$200,0))</f>
        <v>0</v>
      </c>
      <c r="AB546" s="476">
        <f>INDEX(Input!$1:$1048576,AB$93,$C546*2+MIN($B546,2)+5)</f>
        <v>0.27</v>
      </c>
      <c r="AC546" s="475">
        <f>INDEX(Input!$1:$1048576,AC$93,$C546*2+MIN($B546,2)+5)
+INDEX(Scenarios!AC$121:AC$200,MATCH($B546,Scenarios!$B$121:$B$200,0))</f>
        <v>0</v>
      </c>
      <c r="AD546" s="476">
        <f>INDEX(Input!$1:$1048576,AD$93,$C546*2+MIN($B546,2)+5)</f>
        <v>0.27</v>
      </c>
      <c r="AE546" s="475">
        <f>INDEX(Input!$1:$1048576,AE$93,$C546*2+MIN($B546,2)+5)
+INDEX(Scenarios!AE$121:AE$200,MATCH($B546,Scenarios!$B$121:$B$200,0))</f>
        <v>0</v>
      </c>
      <c r="AF546" s="476">
        <f>INDEX(Input!$1:$1048576,AF$93,$C546*2+MIN($B546,2)+5)</f>
        <v>0.2</v>
      </c>
      <c r="AG546" s="475">
        <f>INDEX(Input!$1:$1048576,AG$93,$C546*2+MIN($B546,2)+5)
+INDEX(Scenarios!AG$121:AG$200,MATCH($B546,Scenarios!$B$121:$B$200,0))</f>
        <v>500</v>
      </c>
      <c r="AH546" s="476">
        <f>INDEX(Input!$1:$1048576,AH$93,$C546*2+MIN($B546,2)+5)</f>
        <v>1</v>
      </c>
      <c r="AI546" s="475">
        <f>INDEX(Input!$1:$1048576,AI$93,$C546*2+MIN($B546,2)+5)
+INDEX(Scenarios!AI$121:AI$200,MATCH($B546,Scenarios!$B$121:$B$200,0))</f>
        <v>0</v>
      </c>
      <c r="AJ546" s="476">
        <f>INDEX(Input!$1:$1048576,AJ$93,$C546*2+MIN($B546,2)+5)</f>
        <v>0.27</v>
      </c>
      <c r="AK546" s="150">
        <f>ROUND(INDEX(Input!$1:$1048576,AK$93,$C545*2+MIN($B546,1)+5)+(Y546-VLOOKUP($C546*1000+1,$A:$HH,Y$92,FALSE)),0)</f>
        <v>2947</v>
      </c>
      <c r="AL546" s="150">
        <f>ROUND(INDEX(Input!$1:$1048576,AL$93,$C545*2+MIN($B546,1)+5)-(Y546-VLOOKUP($C546*1000+1,$A:$HH,Y$92,FALSE))/36,0)</f>
        <v>3396</v>
      </c>
      <c r="AM546" s="32" t="str">
        <f t="shared" si="1442"/>
        <v>std/std/std/std</v>
      </c>
      <c r="AN546" s="32" t="str">
        <f t="shared" si="1443"/>
        <v>$0 + 0/0/0/0/3.9</v>
      </c>
      <c r="AO546" s="32" t="str">
        <f t="shared" si="1444"/>
        <v>0/0/0/0/3.9</v>
      </c>
      <c r="AP546" s="32" t="str">
        <f t="shared" si="1396"/>
        <v>0/0/0/3.9</v>
      </c>
      <c r="AQ546" s="536">
        <f t="shared" si="1394"/>
        <v>0.34492227973557149</v>
      </c>
      <c r="AR546" s="32"/>
      <c r="AS546" s="302"/>
      <c r="AT546" s="3">
        <f t="shared" si="1465"/>
        <v>46</v>
      </c>
      <c r="AU546" s="41" t="s">
        <v>121</v>
      </c>
      <c r="AV546" s="41" t="s">
        <v>116</v>
      </c>
      <c r="AW546" s="41" t="str">
        <f>INDEX(Input!$1:$1048576,AW$93,$C546*2+6)</f>
        <v>Kia</v>
      </c>
      <c r="AX546" s="41" t="str">
        <f>INDEX(Input!$1:$1048576,AX$93,$C546*2+6)</f>
        <v>Kia-LR - R2</v>
      </c>
      <c r="AY546" s="41" t="str">
        <f>IF(LEN(D546)=0,"",INDEX(Input!$1:$1048576,AY$93,$C546*2+6))</f>
        <v>Compact SUV (52)</v>
      </c>
      <c r="AZ546" s="41" t="str">
        <f>INDEX(Input!$1:$1048576,AZ$93,$C546*2+6)</f>
        <v>Kia Soul</v>
      </c>
      <c r="BA546" s="3">
        <f>INDEX(Input!$1:$1048576,BA$93,$C546*2+6)</f>
        <v>2020</v>
      </c>
      <c r="BB546" s="128">
        <f>INDEX(Input!$1:$1048576,BB$93,$C546*2+6)</f>
        <v>1</v>
      </c>
      <c r="BC546" s="128">
        <f>INDEX(Input!$1:$1048576,BC$93,$C546*2+6)</f>
        <v>0.7</v>
      </c>
      <c r="BD546" s="1">
        <f>INDEX(Input!$1:$1048576,BD$93,$C546*2+6)</f>
        <v>4.4999999999999998E-2</v>
      </c>
      <c r="BE546" s="1">
        <f>INDEX(Input!$1:$1048576,BE$93,$C546*2+6)</f>
        <v>4.4999999999999998E-2</v>
      </c>
      <c r="BF546" s="1">
        <f>INDEX(Input!$1:$1048576,BF$93,$C546*2+6)</f>
        <v>0.05</v>
      </c>
      <c r="BG546" s="1">
        <f>INDEX(Input!$1:$1048576,BG$93,$C546*2+6)</f>
        <v>5.45E-2</v>
      </c>
      <c r="BH546" s="1">
        <f>INDEX(Input!$1:$1048576,BH$93,$C546*2+6)</f>
        <v>5.45E-2</v>
      </c>
      <c r="BI546" s="1">
        <f>INDEX(Input!$1:$1048576,BI$93,$C546*2+6)</f>
        <v>0.05</v>
      </c>
      <c r="BJ546" s="1">
        <f>INDEX(Input!$1:$1048576,BJ$93,$C546*2+6)</f>
        <v>0.05</v>
      </c>
      <c r="BK546" s="1">
        <f>INDEX(Input!$1:$1048576,BK$93,$C546*2+6)</f>
        <v>0.05</v>
      </c>
      <c r="BL546" s="1">
        <f>INDEX(Input!$1:$1048576,BL$93,$C546*2+6)</f>
        <v>5.5E-2</v>
      </c>
      <c r="BM546" s="1">
        <f>INDEX(Input!$1:$1048576,BM$93,$C546*2+6)</f>
        <v>0.06</v>
      </c>
      <c r="BN546" s="1">
        <f>INDEX(Input!$1:$1048576,BN$93,$C546*2+6)</f>
        <v>4.4999999999999998E-2</v>
      </c>
      <c r="BO546" s="1">
        <f>INDEX(Input!$1:$1048576,BO$93,$C546*2+6)</f>
        <v>4.4999999999999998E-2</v>
      </c>
      <c r="BP546" s="1">
        <f>INDEX(Input!$1:$1048576,BP$93,$C546*2+6)</f>
        <v>0.05</v>
      </c>
      <c r="BQ546" s="1">
        <f>INDEX(Input!$1:$1048576,BQ$93,$C546*2+6)</f>
        <v>5.45E-2</v>
      </c>
      <c r="BR546" s="1">
        <f>INDEX(Input!$1:$1048576,BR$93,$C546*2+6)</f>
        <v>5.45E-2</v>
      </c>
      <c r="BS546" s="1">
        <f>INDEX(Input!$1:$1048576,BS$93,$C546*2+6)</f>
        <v>0.05</v>
      </c>
      <c r="BT546" s="1">
        <f>INDEX(Input!$1:$1048576,BT$93,$C546*2+6)</f>
        <v>0.05</v>
      </c>
      <c r="BU546" s="1">
        <f>INDEX(Input!$1:$1048576,BU$93,$C546*2+6)</f>
        <v>0.05</v>
      </c>
      <c r="BV546" s="1">
        <f>INDEX(Input!$1:$1048576,BV$93,$C546*2+6)</f>
        <v>5.5E-2</v>
      </c>
      <c r="BW546" s="1">
        <f>INDEX(Input!$1:$1048576,BW$93,$C546*2+6)</f>
        <v>0.06</v>
      </c>
      <c r="BX546" s="127">
        <f>INDEX(Input!$1:$1048576,BX$93,$C546*2+6)</f>
        <v>19985</v>
      </c>
      <c r="BY546" s="20">
        <f>INDEX(Input!$1:$1048576,BY$93,$C546*2+6)</f>
        <v>0.1</v>
      </c>
      <c r="BZ546" s="20">
        <f>INDEX(Input!$1:$1048576,BZ$93,$C546*2+6)</f>
        <v>0.1</v>
      </c>
      <c r="CA546" s="20">
        <f>INDEX(Input!$1:$1048576,CA$93,$C546*2+6)</f>
        <v>0.1</v>
      </c>
      <c r="CB546" s="20">
        <f>INDEX(Input!$1:$1048576,CB$93,$C546*2+6)</f>
        <v>0.1</v>
      </c>
      <c r="CC546" s="20">
        <f>INDEX(Input!$1:$1048576,CC$93,$C546*2+6)</f>
        <v>0.1</v>
      </c>
      <c r="CD546" s="384">
        <f>INDEX(Input!$1:$1048576,CD$93,$C546*2+6)</f>
        <v>0.1</v>
      </c>
      <c r="CE546" s="384">
        <f>INDEX(Input!$1:$1048576,CE$93,$C546*2+6)</f>
        <v>0.1</v>
      </c>
      <c r="CF546" s="384">
        <f>INDEX(Input!$1:$1048576,CF$93,$C546*2+6)</f>
        <v>0.1</v>
      </c>
      <c r="CG546" s="384">
        <f>INDEX(Input!$1:$1048576,CG$93,$C546*2+6)</f>
        <v>0.1</v>
      </c>
      <c r="CH546" s="384">
        <f>INDEX(Input!$1:$1048576,CH$93,$C546*2+6)</f>
        <v>0.1</v>
      </c>
      <c r="CI546" s="304">
        <f t="shared" si="1397"/>
        <v>1277.4263093788063</v>
      </c>
      <c r="CJ546" s="16" t="str">
        <f>INDEX(Input!$1:$1048576,CJ$93,$C546*2+6)</f>
        <v>N</v>
      </c>
      <c r="CK546" s="1" t="str">
        <f t="shared" si="1398"/>
        <v>Market</v>
      </c>
      <c r="CL546" s="1" t="str">
        <f t="shared" si="1399"/>
        <v>Market</v>
      </c>
      <c r="CM546" s="1" t="str">
        <f t="shared" si="1400"/>
        <v>Market</v>
      </c>
      <c r="CN546" s="1" t="str">
        <f t="shared" si="1401"/>
        <v>Market</v>
      </c>
      <c r="CO546" s="1" t="str">
        <f t="shared" si="1402"/>
        <v>Market</v>
      </c>
      <c r="CP546" s="304">
        <f t="shared" si="1403"/>
        <v>500</v>
      </c>
      <c r="CQ546" s="1">
        <f t="shared" si="1404"/>
        <v>0</v>
      </c>
      <c r="CR546" s="1">
        <f t="shared" si="1405"/>
        <v>0</v>
      </c>
      <c r="CS546" s="1">
        <f t="shared" si="1406"/>
        <v>0</v>
      </c>
      <c r="CT546" s="1">
        <f t="shared" si="1407"/>
        <v>0</v>
      </c>
      <c r="CU546" s="1">
        <f t="shared" si="1408"/>
        <v>3.9E-2</v>
      </c>
      <c r="CV546" s="304">
        <f t="shared" si="1409"/>
        <v>-357.93641739252325</v>
      </c>
      <c r="CW546" s="20" t="s">
        <v>122</v>
      </c>
      <c r="CX546" s="20" t="s">
        <v>122</v>
      </c>
      <c r="CY546" s="20" t="s">
        <v>122</v>
      </c>
      <c r="CZ546" s="20" t="s">
        <v>122</v>
      </c>
      <c r="DA546" s="20" t="s">
        <v>122</v>
      </c>
      <c r="DB546" s="503">
        <f t="shared" si="1410"/>
        <v>0</v>
      </c>
      <c r="DC546" s="127">
        <v>0</v>
      </c>
      <c r="DD546" s="127">
        <v>0</v>
      </c>
      <c r="DE546" s="127">
        <v>0</v>
      </c>
      <c r="DF546" s="127">
        <v>0</v>
      </c>
      <c r="DG546" s="127">
        <v>0</v>
      </c>
      <c r="DH546" s="127">
        <v>0</v>
      </c>
      <c r="DI546" s="127">
        <v>0</v>
      </c>
      <c r="DJ546" s="127">
        <v>0</v>
      </c>
      <c r="DK546" s="127">
        <v>0</v>
      </c>
      <c r="DL546" s="127">
        <v>0</v>
      </c>
      <c r="DM546" s="304">
        <f>INDEX(Input!$1:$1048576,DM$93,$C546*2+6)</f>
        <v>21036.84210526316</v>
      </c>
      <c r="DN546" s="20">
        <v>0</v>
      </c>
      <c r="DO546" s="20">
        <v>0</v>
      </c>
      <c r="DP546" s="20">
        <v>0</v>
      </c>
      <c r="DQ546" s="20">
        <v>0</v>
      </c>
      <c r="DR546" s="20">
        <v>0</v>
      </c>
      <c r="DS546" s="20">
        <f>INDEX(Input!$1:$1048576,DS$93,$C546*2+6)</f>
        <v>0.6</v>
      </c>
      <c r="DT546" s="20">
        <f>INDEX(Input!$1:$1048576,DT$93,$C546*2+6)</f>
        <v>0.55000000000000004</v>
      </c>
      <c r="DU546" s="20">
        <f>INDEX(Input!$1:$1048576,DU$93,$C546*2+6)</f>
        <v>0.52</v>
      </c>
      <c r="DV546" s="20">
        <f>INDEX(Input!$1:$1048576,DV$93,$C546*2+6)</f>
        <v>0.5</v>
      </c>
      <c r="DW546" s="20">
        <f>INDEX(Input!$1:$1048576,DW$93,$C546*2+6)</f>
        <v>0.45</v>
      </c>
      <c r="DX546" s="20"/>
      <c r="DY546" s="7">
        <v>0.11212597959805</v>
      </c>
      <c r="DZ546" s="7">
        <v>0</v>
      </c>
      <c r="EA546" s="7">
        <v>0.69230696982674556</v>
      </c>
      <c r="EB546" s="7">
        <v>0</v>
      </c>
      <c r="EC546" s="7">
        <v>0</v>
      </c>
      <c r="ED546" s="7">
        <v>0</v>
      </c>
      <c r="EE546" s="7">
        <v>0</v>
      </c>
      <c r="EF546" s="7">
        <v>0</v>
      </c>
      <c r="EG546" s="7">
        <v>0</v>
      </c>
      <c r="EH546" s="7">
        <v>7.398209102879273E-3</v>
      </c>
      <c r="EI546" s="7">
        <v>2.0559410595602633E-2</v>
      </c>
      <c r="EJ546" s="7">
        <v>0.17850325055985816</v>
      </c>
      <c r="EK546" s="7">
        <v>0.71700058154122992</v>
      </c>
      <c r="EL546" s="7">
        <v>7.6538548200429754E-2</v>
      </c>
      <c r="EM546" s="7">
        <v>0.11601499418919686</v>
      </c>
      <c r="EN546" s="7">
        <v>5.9517411916983093E-2</v>
      </c>
      <c r="EO546" s="7">
        <v>0.72727182792777745</v>
      </c>
      <c r="EP546" s="7">
        <v>8.5082828805537358E-2</v>
      </c>
      <c r="EQ546" s="7">
        <v>8.3715792922694043E-2</v>
      </c>
      <c r="ER546" s="7">
        <v>4.441213842700819E-2</v>
      </c>
      <c r="ES546" s="7">
        <v>7.9552056386007514E-2</v>
      </c>
      <c r="ET546" s="7">
        <v>0.19556705057520449</v>
      </c>
      <c r="EU546" s="6">
        <v>1270</v>
      </c>
      <c r="EV546" s="6">
        <v>0</v>
      </c>
      <c r="EW546" s="6">
        <v>1270</v>
      </c>
      <c r="EX546" s="6">
        <v>0</v>
      </c>
      <c r="EY546" s="6">
        <v>2672.5232735560999</v>
      </c>
      <c r="EZ546" s="6">
        <v>353.55009605986834</v>
      </c>
      <c r="FA546" s="6">
        <v>0</v>
      </c>
      <c r="FB546" s="6">
        <v>0</v>
      </c>
      <c r="FC546" s="6">
        <v>0</v>
      </c>
      <c r="FD546" s="6">
        <v>0</v>
      </c>
      <c r="FE546" s="6">
        <v>0</v>
      </c>
      <c r="FF546" s="6">
        <v>0</v>
      </c>
      <c r="FG546" s="6">
        <v>0</v>
      </c>
      <c r="FH546" s="6">
        <v>1172.1250101694582</v>
      </c>
      <c r="FI546" s="6">
        <v>1553.9796069512399</v>
      </c>
      <c r="FJ546" s="6">
        <v>2101.211011744741</v>
      </c>
      <c r="FK546" s="6">
        <v>2674.2006261592269</v>
      </c>
      <c r="FL546" s="6">
        <v>907.07682140966313</v>
      </c>
      <c r="FM546" s="6">
        <v>2402.5232735560999</v>
      </c>
      <c r="FN546" s="6">
        <v>0</v>
      </c>
      <c r="FO546" s="6">
        <v>0</v>
      </c>
      <c r="FP546" s="6">
        <v>0</v>
      </c>
      <c r="FQ546" s="6">
        <v>0</v>
      </c>
      <c r="FR546" s="6">
        <v>0</v>
      </c>
      <c r="FS546" s="6">
        <v>0</v>
      </c>
      <c r="FT546" s="7">
        <v>0.8044329494247956</v>
      </c>
      <c r="FU546" s="7">
        <v>0.11601499418919686</v>
      </c>
      <c r="FV546" s="7">
        <v>7.9552056386007514E-2</v>
      </c>
      <c r="FW546" s="6">
        <v>1270</v>
      </c>
      <c r="FX546" s="6">
        <v>2672.5232735561003</v>
      </c>
      <c r="FY546" s="6">
        <v>353.55009605986834</v>
      </c>
      <c r="FZ546" s="6">
        <v>1758.1538569113241</v>
      </c>
      <c r="GA546" s="6">
        <v>1359.8082549986277</v>
      </c>
      <c r="GB546" s="6">
        <v>18625.191745001372</v>
      </c>
      <c r="GC546" s="7">
        <v>3.064145122680037E-2</v>
      </c>
      <c r="GD546" s="7">
        <v>2.9687672810589569E-2</v>
      </c>
      <c r="GE546" s="7"/>
      <c r="GF546" s="7"/>
      <c r="GG546" s="7">
        <v>-3.1127064092074854E-2</v>
      </c>
      <c r="GH546" s="42">
        <v>1.5616448955207827</v>
      </c>
      <c r="GI546" s="6">
        <v>14157.211849965928</v>
      </c>
      <c r="GJ546" s="14">
        <v>0.50394797582841733</v>
      </c>
      <c r="GK546" s="14">
        <v>0.50887573065309732</v>
      </c>
      <c r="GL546" s="14">
        <v>0.49605202417158273</v>
      </c>
      <c r="GM546" s="14">
        <v>0.49112426934690206</v>
      </c>
      <c r="GO546" s="5">
        <v>343.14810671672558</v>
      </c>
      <c r="GP546" s="5">
        <v>318.91892952659737</v>
      </c>
      <c r="GQ546" s="5">
        <v>535.04305713031317</v>
      </c>
      <c r="GR546" s="5">
        <v>410.15490233172511</v>
      </c>
      <c r="GS546" s="5">
        <v>339.42744393800166</v>
      </c>
      <c r="GT546" s="5">
        <v>293.4407446948278</v>
      </c>
      <c r="GU546" s="5">
        <v>258.04012322764959</v>
      </c>
      <c r="GV546" s="39" t="s">
        <v>392</v>
      </c>
      <c r="GW546" s="5">
        <v>492.125</v>
      </c>
      <c r="GX546" s="5">
        <v>369.09375</v>
      </c>
      <c r="GY546" s="5">
        <v>295.27499999999998</v>
      </c>
      <c r="GZ546" s="5">
        <v>246.0625</v>
      </c>
      <c r="HA546" s="5">
        <v>241.34874471337258</v>
      </c>
      <c r="HB546" s="39">
        <v>258.83617904418384</v>
      </c>
      <c r="HC546" s="5">
        <v>271.81655829738071</v>
      </c>
      <c r="HD546" s="5">
        <v>229.24799238008356</v>
      </c>
      <c r="HE546" s="5">
        <v>231.16091712425109</v>
      </c>
      <c r="HF546" s="5">
        <v>212.73290951107165</v>
      </c>
      <c r="HG546" s="5">
        <v>203.85500473779987</v>
      </c>
      <c r="HH546" s="39">
        <v>229.43399016121674</v>
      </c>
      <c r="HI546" s="16"/>
      <c r="HJ546" s="19" t="str">
        <f t="shared" si="1513"/>
        <v>On</v>
      </c>
      <c r="HK546" s="1" t="str">
        <f t="shared" si="1513"/>
        <v>On</v>
      </c>
      <c r="HL546" s="16"/>
      <c r="HM546" s="639">
        <f t="shared" si="1413"/>
        <v>2.4909940070666322E-2</v>
      </c>
      <c r="HN546" s="639">
        <f t="shared" si="1414"/>
        <v>2.2052381276269151E-3</v>
      </c>
      <c r="HO546" s="639">
        <f t="shared" si="1415"/>
        <v>2.079866082302006E-3</v>
      </c>
      <c r="HP546" s="644">
        <f>(FT546*$GD546-HM546)/$JF546*INDEX(Input!$1:$1048576,$JG$93,$C546*2+6)</f>
        <v>-28.914169241429136</v>
      </c>
      <c r="HQ546" s="644">
        <f>(FU546*$GD546-HN546)/$JF546*INDEX(Input!$1:$1048576,$JG$93,$C546*2+6)</f>
        <v>34.841535340444523</v>
      </c>
      <c r="HR546" s="644">
        <f>(FV546*$GD546-HO546)/$JF546*INDEX(Input!$1:$1048576,$JG$93,$C546*2+6)</f>
        <v>7.9259447313491336</v>
      </c>
      <c r="HS546" s="644">
        <f t="shared" si="1416"/>
        <v>-1.7127120008665586</v>
      </c>
      <c r="HT546" s="644">
        <f t="shared" si="1417"/>
        <v>40.411581748382176</v>
      </c>
      <c r="HU546" s="644">
        <f t="shared" si="1418"/>
        <v>3.0891282686037469</v>
      </c>
      <c r="HV546" s="648">
        <f t="shared" si="1419"/>
        <v>0</v>
      </c>
      <c r="HW546" s="648">
        <f t="shared" si="1420"/>
        <v>0</v>
      </c>
      <c r="HX546" s="648">
        <f t="shared" si="1421"/>
        <v>0</v>
      </c>
      <c r="HY546" s="644">
        <f>INDEX(Input!$1:$1048576,HY$93,$C546*2+6)*INDEX(Input!$1:$1048576,$JG$93,$C546*2+6)</f>
        <v>333.00000000000006</v>
      </c>
      <c r="HZ546" s="644">
        <f>INDEX(Input!$1:$1048576,HZ$93,$C546*2+6)*INDEX(Input!$1:$1048576,$JG$93,$C546*2+6)</f>
        <v>429</v>
      </c>
      <c r="IA546" s="644">
        <f>INDEX(Input!$1:$1048576,IA$93,$C546*2+6)*INDEX(Input!$1:$1048576,$JG$93,$C546*2+6)</f>
        <v>59</v>
      </c>
      <c r="IB546" s="644">
        <f t="shared" si="1445"/>
        <v>302.37311875770445</v>
      </c>
      <c r="IC546" s="644">
        <f t="shared" si="1446"/>
        <v>504.25311708882668</v>
      </c>
      <c r="ID546" s="644">
        <f>IF(AND(INDEX(Input!$1:$1048576,IA$93,$C546*2+7)="TOS",Y546&lt;=INDEX(Y:Y,MATCH(C546*1000+2,A:A))),0,1)*MAX(IA546+HR546+HU546+HX546,0%)</f>
        <v>70.015072999952878</v>
      </c>
      <c r="IE546" s="128">
        <f t="shared" si="1514"/>
        <v>0.34492227973557149</v>
      </c>
      <c r="IF546" s="128">
        <f t="shared" si="1468"/>
        <v>0.57521030779663007</v>
      </c>
      <c r="IG546" s="128">
        <f t="shared" si="1423"/>
        <v>7.9867412467798507E-2</v>
      </c>
      <c r="IH546" s="21"/>
      <c r="II546" s="19">
        <f t="shared" si="1424"/>
        <v>1240</v>
      </c>
      <c r="IJ546" s="19">
        <f t="shared" si="1425"/>
        <v>1985.7442651839444</v>
      </c>
      <c r="IK546" s="19">
        <f t="shared" si="1426"/>
        <v>-21.44990394013189</v>
      </c>
      <c r="IL546" s="19">
        <f t="shared" si="1448"/>
        <v>30</v>
      </c>
      <c r="IM546" s="19">
        <f t="shared" si="1427"/>
        <v>686.77900837215589</v>
      </c>
      <c r="IN546" s="19">
        <f t="shared" si="1428"/>
        <v>375.00000000000023</v>
      </c>
      <c r="IO546" s="39">
        <f t="shared" si="1429"/>
        <v>0</v>
      </c>
      <c r="IP546" s="39">
        <f t="shared" si="1430"/>
        <v>0</v>
      </c>
      <c r="IQ546" s="39">
        <f t="shared" si="1431"/>
        <v>0</v>
      </c>
      <c r="IR546" s="39">
        <v>0</v>
      </c>
      <c r="IS546" s="39">
        <v>0</v>
      </c>
      <c r="IT546" s="39">
        <v>0</v>
      </c>
      <c r="IU546" s="39">
        <v>0</v>
      </c>
      <c r="IV546" s="39">
        <v>0</v>
      </c>
      <c r="IW546" s="39">
        <v>0</v>
      </c>
      <c r="IX546" s="39">
        <f>INDEX(Input!$1:$1048576,IX$93,$C546*2+6)+INDEX(Input!$1:$1048576,IX$94,$C546*2+6)</f>
        <v>1270</v>
      </c>
      <c r="IY546" s="39">
        <f>INDEX(Input!$1:$1048576,IY$93,$C546*2+6)+INDEX(Input!$1:$1048576,IY$94,$C546*2+6)</f>
        <v>2130.0624533823611</v>
      </c>
      <c r="IZ546" s="39">
        <f>INDEX(Input!$1:$1048576,IZ$93,$C546*2+6)+INDEX(Input!$1:$1048576,IZ$94,$C546*2+6)</f>
        <v>3653.7164157747857</v>
      </c>
      <c r="JA546" s="19">
        <f t="shared" si="1449"/>
        <v>1300</v>
      </c>
      <c r="JB546" s="19">
        <f t="shared" si="1450"/>
        <v>2816.8414617545168</v>
      </c>
      <c r="JC546" s="19">
        <f t="shared" si="1451"/>
        <v>4028.7164157747857</v>
      </c>
      <c r="JD546" s="19">
        <f t="shared" si="1452"/>
        <v>2390.4383635808435</v>
      </c>
      <c r="JE546" s="21"/>
      <c r="JF546" s="1">
        <f t="shared" si="1432"/>
        <v>2.9195044280595241E-2</v>
      </c>
      <c r="JG546" s="15">
        <f>INDEX(Input!$1:$1048576,JG$93,$C546*2+6)/(1+VLOOKUP(C546*1000+INDEX(Input!$1:$1048576,JG$93+1,$C546*2+6),$A:$KK,$JK$92,FALSE))</f>
        <v>821</v>
      </c>
      <c r="JH546" s="1">
        <f t="shared" si="1453"/>
        <v>1.6873703812867871E-2</v>
      </c>
      <c r="JI546" s="1">
        <f t="shared" si="1454"/>
        <v>5.0898901359463289E-2</v>
      </c>
      <c r="JJ546" s="1">
        <f t="shared" si="1492"/>
        <v>0</v>
      </c>
      <c r="JK546" s="1">
        <f t="shared" si="1496"/>
        <v>6.7772605172331163E-2</v>
      </c>
      <c r="JL546" s="15">
        <f t="shared" si="1457"/>
        <v>55.641308846483888</v>
      </c>
      <c r="JM546" s="15">
        <f t="shared" si="1483"/>
        <v>876.64130884648387</v>
      </c>
      <c r="JN546" s="21"/>
      <c r="JO546" s="19">
        <f>INDEX(Input!$1:$1048576,JO$93,$C546*2+6)</f>
        <v>5995.5</v>
      </c>
      <c r="JP546" s="19">
        <f>INDEX(Input!$1:$1048576,JP$93,$C546*2+6)</f>
        <v>1890.7138380411029</v>
      </c>
      <c r="JQ546" s="39">
        <f t="shared" si="1469"/>
        <v>3605.0616364191565</v>
      </c>
      <c r="JR546" s="39">
        <f t="shared" si="1486"/>
        <v>499.72452553974063</v>
      </c>
      <c r="JS546" s="39">
        <f t="shared" si="1471"/>
        <v>2.0955570157663579</v>
      </c>
      <c r="JT546" s="39">
        <f t="shared" si="1459"/>
        <v>0.54328095473461224</v>
      </c>
      <c r="JU546" s="385">
        <f>(JQ546*JM546-INDEX(Input!$1:$1048576,Input!A$18,$C546*2+6)*JL546*INDEX(Input!$1:$1048576,Input!A$19,$C546*2+6))/1000000</f>
        <v>3.1603459514227361</v>
      </c>
      <c r="JV546" s="39">
        <f t="shared" si="1493"/>
        <v>-0.20968348754551824</v>
      </c>
      <c r="JW546" s="1">
        <f t="shared" si="1484"/>
        <v>-6.2220075920082628E-2</v>
      </c>
      <c r="JX546" s="19">
        <f t="shared" si="1475"/>
        <v>9763.9858946082913</v>
      </c>
      <c r="JZ546" s="341"/>
      <c r="KA546" s="342"/>
      <c r="KB546" s="469">
        <f t="shared" si="1472"/>
        <v>2.5122967434604799</v>
      </c>
      <c r="KI546" s="473">
        <f t="shared" si="1515"/>
        <v>-30.62688124229561</v>
      </c>
      <c r="KJ546" s="473">
        <f t="shared" si="1516"/>
        <v>75.253117088826627</v>
      </c>
      <c r="KK546" s="473">
        <f t="shared" si="1461"/>
        <v>11.015072999952864</v>
      </c>
      <c r="KN546" s="544">
        <f t="shared" si="1476"/>
        <v>5002</v>
      </c>
      <c r="KO546" s="541">
        <f t="shared" si="1436"/>
        <v>6.3442651074474332E-2</v>
      </c>
      <c r="KP546" s="546">
        <f t="shared" si="1437"/>
        <v>406.5374767894956</v>
      </c>
      <c r="KQ546" s="546">
        <f t="shared" si="1438"/>
        <v>471.51959785757708</v>
      </c>
      <c r="KR546" s="548">
        <f t="shared" si="1439"/>
        <v>2.8193220882875876</v>
      </c>
      <c r="KS546" s="548">
        <f t="shared" si="1440"/>
        <v>2.4307793212351827</v>
      </c>
      <c r="KT546" s="473">
        <f t="shared" si="1474"/>
        <v>595.94378802984284</v>
      </c>
      <c r="KU546" s="663">
        <f t="shared" si="1462"/>
        <v>3.9379024666469977</v>
      </c>
      <c r="KV546" s="117"/>
    </row>
    <row r="547" spans="1:308" s="26" customFormat="1" ht="15">
      <c r="A547" s="561">
        <f t="shared" si="1441"/>
        <v>5047</v>
      </c>
      <c r="B547" s="561">
        <f t="shared" si="1463"/>
        <v>47</v>
      </c>
      <c r="C547" s="561">
        <f t="shared" si="1464"/>
        <v>5</v>
      </c>
      <c r="D547" s="561" t="str">
        <f t="shared" si="1509"/>
        <v xml:space="preserve">250 CC, -360 Lease, </v>
      </c>
      <c r="E547" s="475">
        <f>INDEX(Input!$1:$1048576,E$93,$C547*2+MIN($B547,2)+5)
+INDEX(Scenarios!E$121:E$200,MATCH($B547,Scenarios!$B$121:$B$200,0))</f>
        <v>1527.4263093788063</v>
      </c>
      <c r="F547" s="475">
        <f>INDEX(Input!$1:$1048576,F$93,$C547*2+MIN($B547,2)+5)
+INDEX(Scenarios!F$121:F$200,MATCH($B547,Scenarios!$B$121:$B$200,0))</f>
        <v>0</v>
      </c>
      <c r="G547" s="475">
        <f>INDEX(Input!$1:$1048576,G$93,$C547*2+MIN($B547,2)+5)
+INDEX(Scenarios!G$121:G$200,MATCH($B547,Scenarios!$B$121:$B$200,0))</f>
        <v>0</v>
      </c>
      <c r="H547" s="475">
        <f>INDEX(Input!$1:$1048576,H$93,$C547*2+MIN($B547,2)+5)
+INDEX(Scenarios!H$121:H$200,MATCH($B547,Scenarios!$B$121:$B$200,0))</f>
        <v>0</v>
      </c>
      <c r="I547" s="476">
        <f>INDEX(Input!$1:$1048576,I$93,$C547*2+MIN($B547,2)+5)</f>
        <v>0.7</v>
      </c>
      <c r="J547" s="476" t="str">
        <f>INDEX(Input!$1:$1048576,J$93,$C547*2+MIN($B547,2)+5)</f>
        <v>Market</v>
      </c>
      <c r="K547" s="476" t="str">
        <f>INDEX(Input!$1:$1048576,K$93,$C547*2+MIN($B547,2)+5)</f>
        <v>Market</v>
      </c>
      <c r="L547" s="476" t="str">
        <f>INDEX(Input!$1:$1048576,L$93,$C547*2+MIN($B547,2)+5)</f>
        <v>Market</v>
      </c>
      <c r="M547" s="476" t="str">
        <f>INDEX(Input!$1:$1048576,M$93,$C547*2+MIN($B547,2)+5)</f>
        <v>Market</v>
      </c>
      <c r="N547" s="476" t="str">
        <f>INDEX(Input!$1:$1048576,N$93,$C547*2+MIN($B547,2)+5)</f>
        <v>Market</v>
      </c>
      <c r="O547" s="476" t="str">
        <f>INDEX(Input!$1:$1048576,O$93,$C547*2+MIN($B547,2)+5)</f>
        <v>Market</v>
      </c>
      <c r="P547" s="476" t="str">
        <f>INDEX(Input!$1:$1048576,P$93,$C547*2+MIN($B547,2)+5)</f>
        <v>N</v>
      </c>
      <c r="Q547" s="477">
        <f>INDEX(Input!$1:$1048576,Q$93,$C547*2+MIN($B547,2)+5)
+INDEX(Scenarios!Q$121:Q$200,MATCH($B547,Scenarios!$B$121:$B$200,0))</f>
        <v>0</v>
      </c>
      <c r="R547" s="478">
        <f>IFERROR(MAX(0,INDEX(Input!$1:$1048576,R$93,$C547*2+MIN($B547,2)+5)
+INDEX(Scenarios!R$121:R$200,MATCH($B547,Scenarios!$B$121:$B$200,0)),),"Market")</f>
        <v>0</v>
      </c>
      <c r="S547" s="478">
        <f>IFERROR(MAX(0,INDEX(Input!$1:$1048576,S$93,$C547*2+MIN($B547,2)+5)
+INDEX(Scenarios!S$121:S$200,MATCH($B547,Scenarios!$B$121:$B$200,0)),),"Market")</f>
        <v>0</v>
      </c>
      <c r="T547" s="478">
        <f>IFERROR(MAX(0,INDEX(Input!$1:$1048576,T$93,$C547*2+MIN($B547,2)+5)
+INDEX(Scenarios!T$121:T$200,MATCH($B547,Scenarios!$B$121:$B$200,0)),),"Market")</f>
        <v>0</v>
      </c>
      <c r="U547" s="478">
        <f>IFERROR(MAX(0,INDEX(Input!$1:$1048576,U$93,$C547*2+MIN($B547,2)+5)
+INDEX(Scenarios!U$121:U$200,MATCH($B547,Scenarios!$B$121:$B$200,0)),),"Market")</f>
        <v>0</v>
      </c>
      <c r="V547" s="478">
        <f>IFERROR(MAX(0,INDEX(Input!$1:$1048576,V$93,$C547*2+MIN($B547,2)+5)
+INDEX(Scenarios!V$121:V$200,MATCH($B547,Scenarios!$B$121:$B$200,0)),),"Market")</f>
        <v>1.9E-2</v>
      </c>
      <c r="W547" s="885">
        <f>IFERROR(MAX(0,INDEX(Input!$1:$1048576,W$93,$C547*2+MIN($B547,2)+5)-0%,),"Market")</f>
        <v>3.9E-2</v>
      </c>
      <c r="X547" s="476" t="str">
        <f>INDEX(Input!$1:$1048576,X$93,$C547*2+MIN($B547,2)+5)</f>
        <v>Y</v>
      </c>
      <c r="Y547" s="475">
        <f>INDEX(Input!$1:$1048576,Y$93,$C547*2+MIN($B547,2)+5)
++INDEX(Scenarios!Y$121:Y$200,MATCH($B547,Scenarios!$B$121:$B$200,0))</f>
        <v>-1077.9364173925233</v>
      </c>
      <c r="Z547" s="477">
        <f>INDEX(Input!$1:$1048576,Z$93,$C547*2+MIN($B547,2)+5)
+INDEX(Scenarios!Z$121:Z$200,MATCH($B547,Scenarios!$B$121:$B$200,0))</f>
        <v>0</v>
      </c>
      <c r="AA547" s="475">
        <f>INDEX(Input!$1:$1048576,AA$93,$C547*2+MIN($B547,2)+5)
+INDEX(Scenarios!AA$121:AA$200,MATCH($B547,Scenarios!$B$121:$B$200,0))</f>
        <v>0</v>
      </c>
      <c r="AB547" s="476">
        <f>INDEX(Input!$1:$1048576,AB$93,$C547*2+MIN($B547,2)+5)</f>
        <v>0.27</v>
      </c>
      <c r="AC547" s="475">
        <f>INDEX(Input!$1:$1048576,AC$93,$C547*2+MIN($B547,2)+5)
+INDEX(Scenarios!AC$121:AC$200,MATCH($B547,Scenarios!$B$121:$B$200,0))</f>
        <v>0</v>
      </c>
      <c r="AD547" s="476">
        <f>INDEX(Input!$1:$1048576,AD$93,$C547*2+MIN($B547,2)+5)</f>
        <v>0.27</v>
      </c>
      <c r="AE547" s="475">
        <f>INDEX(Input!$1:$1048576,AE$93,$C547*2+MIN($B547,2)+5)
+INDEX(Scenarios!AE$121:AE$200,MATCH($B547,Scenarios!$B$121:$B$200,0))</f>
        <v>0</v>
      </c>
      <c r="AF547" s="476">
        <f>INDEX(Input!$1:$1048576,AF$93,$C547*2+MIN($B547,2)+5)</f>
        <v>0.2</v>
      </c>
      <c r="AG547" s="475">
        <f>INDEX(Input!$1:$1048576,AG$93,$C547*2+MIN($B547,2)+5)
+INDEX(Scenarios!AG$121:AG$200,MATCH($B547,Scenarios!$B$121:$B$200,0))</f>
        <v>500</v>
      </c>
      <c r="AH547" s="476">
        <f>INDEX(Input!$1:$1048576,AH$93,$C547*2+MIN($B547,2)+5)</f>
        <v>1</v>
      </c>
      <c r="AI547" s="475">
        <f>INDEX(Input!$1:$1048576,AI$93,$C547*2+MIN($B547,2)+5)
+INDEX(Scenarios!AI$121:AI$200,MATCH($B547,Scenarios!$B$121:$B$200,0))</f>
        <v>0</v>
      </c>
      <c r="AJ547" s="476">
        <f>INDEX(Input!$1:$1048576,AJ$93,$C547*2+MIN($B547,2)+5)</f>
        <v>0.27</v>
      </c>
      <c r="AK547" s="150">
        <f>ROUND(INDEX(Input!$1:$1048576,AK$93,$C546*2+MIN($B547,1)+5)+(Y547-VLOOKUP($C547*1000+1,$A:$HH,Y$92,FALSE)),0)</f>
        <v>2227</v>
      </c>
      <c r="AL547" s="150">
        <f>ROUND(INDEX(Input!$1:$1048576,AL$93,$C546*2+MIN($B547,1)+5)-(Y547-VLOOKUP($C547*1000+1,$A:$HH,Y$92,FALSE))/36,0)</f>
        <v>3416</v>
      </c>
      <c r="AM547" s="32" t="str">
        <f t="shared" si="1442"/>
        <v>std/std/std/std</v>
      </c>
      <c r="AN547" s="32" t="str">
        <f t="shared" si="1443"/>
        <v>$0 + 0/0/0/1.9/3.9</v>
      </c>
      <c r="AO547" s="32" t="str">
        <f t="shared" si="1444"/>
        <v>0/0/0/1.9/3.9</v>
      </c>
      <c r="AP547" s="32" t="str">
        <f t="shared" si="1396"/>
        <v>0/0.9/1.9/3.9</v>
      </c>
      <c r="AQ547" s="536">
        <f t="shared" si="1394"/>
        <v>0.43542624192157103</v>
      </c>
      <c r="AR547" s="32"/>
      <c r="AS547" s="302"/>
      <c r="AT547" s="3">
        <f t="shared" si="1465"/>
        <v>47</v>
      </c>
      <c r="AU547" s="41" t="s">
        <v>121</v>
      </c>
      <c r="AV547" s="41" t="s">
        <v>116</v>
      </c>
      <c r="AW547" s="41" t="str">
        <f>INDEX(Input!$1:$1048576,AW$93,$C547*2+6)</f>
        <v>Kia</v>
      </c>
      <c r="AX547" s="41" t="str">
        <f>INDEX(Input!$1:$1048576,AX$93,$C547*2+6)</f>
        <v>Kia-LR - R2</v>
      </c>
      <c r="AY547" s="41" t="str">
        <f>IF(LEN(D547)=0,"",INDEX(Input!$1:$1048576,AY$93,$C547*2+6))</f>
        <v>Compact SUV (52)</v>
      </c>
      <c r="AZ547" s="41" t="str">
        <f>INDEX(Input!$1:$1048576,AZ$93,$C547*2+6)</f>
        <v>Kia Soul</v>
      </c>
      <c r="BA547" s="3">
        <f>INDEX(Input!$1:$1048576,BA$93,$C547*2+6)</f>
        <v>2020</v>
      </c>
      <c r="BB547" s="128">
        <f>INDEX(Input!$1:$1048576,BB$93,$C547*2+6)</f>
        <v>1</v>
      </c>
      <c r="BC547" s="128">
        <f>INDEX(Input!$1:$1048576,BC$93,$C547*2+6)</f>
        <v>0.7</v>
      </c>
      <c r="BD547" s="1">
        <f>INDEX(Input!$1:$1048576,BD$93,$C547*2+6)</f>
        <v>4.4999999999999998E-2</v>
      </c>
      <c r="BE547" s="1">
        <f>INDEX(Input!$1:$1048576,BE$93,$C547*2+6)</f>
        <v>4.4999999999999998E-2</v>
      </c>
      <c r="BF547" s="1">
        <f>INDEX(Input!$1:$1048576,BF$93,$C547*2+6)</f>
        <v>0.05</v>
      </c>
      <c r="BG547" s="1">
        <f>INDEX(Input!$1:$1048576,BG$93,$C547*2+6)</f>
        <v>5.45E-2</v>
      </c>
      <c r="BH547" s="1">
        <f>INDEX(Input!$1:$1048576,BH$93,$C547*2+6)</f>
        <v>5.45E-2</v>
      </c>
      <c r="BI547" s="1">
        <f>INDEX(Input!$1:$1048576,BI$93,$C547*2+6)</f>
        <v>0.05</v>
      </c>
      <c r="BJ547" s="1">
        <f>INDEX(Input!$1:$1048576,BJ$93,$C547*2+6)</f>
        <v>0.05</v>
      </c>
      <c r="BK547" s="1">
        <f>INDEX(Input!$1:$1048576,BK$93,$C547*2+6)</f>
        <v>0.05</v>
      </c>
      <c r="BL547" s="1">
        <f>INDEX(Input!$1:$1048576,BL$93,$C547*2+6)</f>
        <v>5.5E-2</v>
      </c>
      <c r="BM547" s="1">
        <f>INDEX(Input!$1:$1048576,BM$93,$C547*2+6)</f>
        <v>0.06</v>
      </c>
      <c r="BN547" s="1">
        <f>INDEX(Input!$1:$1048576,BN$93,$C547*2+6)</f>
        <v>4.4999999999999998E-2</v>
      </c>
      <c r="BO547" s="1">
        <f>INDEX(Input!$1:$1048576,BO$93,$C547*2+6)</f>
        <v>4.4999999999999998E-2</v>
      </c>
      <c r="BP547" s="1">
        <f>INDEX(Input!$1:$1048576,BP$93,$C547*2+6)</f>
        <v>0.05</v>
      </c>
      <c r="BQ547" s="1">
        <f>INDEX(Input!$1:$1048576,BQ$93,$C547*2+6)</f>
        <v>5.45E-2</v>
      </c>
      <c r="BR547" s="1">
        <f>INDEX(Input!$1:$1048576,BR$93,$C547*2+6)</f>
        <v>5.45E-2</v>
      </c>
      <c r="BS547" s="1">
        <f>INDEX(Input!$1:$1048576,BS$93,$C547*2+6)</f>
        <v>0.05</v>
      </c>
      <c r="BT547" s="1">
        <f>INDEX(Input!$1:$1048576,BT$93,$C547*2+6)</f>
        <v>0.05</v>
      </c>
      <c r="BU547" s="1">
        <f>INDEX(Input!$1:$1048576,BU$93,$C547*2+6)</f>
        <v>0.05</v>
      </c>
      <c r="BV547" s="1">
        <f>INDEX(Input!$1:$1048576,BV$93,$C547*2+6)</f>
        <v>5.5E-2</v>
      </c>
      <c r="BW547" s="1">
        <f>INDEX(Input!$1:$1048576,BW$93,$C547*2+6)</f>
        <v>0.06</v>
      </c>
      <c r="BX547" s="127">
        <f>INDEX(Input!$1:$1048576,BX$93,$C547*2+6)</f>
        <v>19985</v>
      </c>
      <c r="BY547" s="20">
        <f>INDEX(Input!$1:$1048576,BY$93,$C547*2+6)</f>
        <v>0.1</v>
      </c>
      <c r="BZ547" s="20">
        <f>INDEX(Input!$1:$1048576,BZ$93,$C547*2+6)</f>
        <v>0.1</v>
      </c>
      <c r="CA547" s="20">
        <f>INDEX(Input!$1:$1048576,CA$93,$C547*2+6)</f>
        <v>0.1</v>
      </c>
      <c r="CB547" s="20">
        <f>INDEX(Input!$1:$1048576,CB$93,$C547*2+6)</f>
        <v>0.1</v>
      </c>
      <c r="CC547" s="20">
        <f>INDEX(Input!$1:$1048576,CC$93,$C547*2+6)</f>
        <v>0.1</v>
      </c>
      <c r="CD547" s="384">
        <f>INDEX(Input!$1:$1048576,CD$93,$C547*2+6)</f>
        <v>0.1</v>
      </c>
      <c r="CE547" s="384">
        <f>INDEX(Input!$1:$1048576,CE$93,$C547*2+6)</f>
        <v>0.1</v>
      </c>
      <c r="CF547" s="384">
        <f>INDEX(Input!$1:$1048576,CF$93,$C547*2+6)</f>
        <v>0.1</v>
      </c>
      <c r="CG547" s="384">
        <f>INDEX(Input!$1:$1048576,CG$93,$C547*2+6)</f>
        <v>0.1</v>
      </c>
      <c r="CH547" s="384">
        <f>INDEX(Input!$1:$1048576,CH$93,$C547*2+6)</f>
        <v>0.1</v>
      </c>
      <c r="CI547" s="304">
        <f t="shared" si="1397"/>
        <v>1527.4263093788063</v>
      </c>
      <c r="CJ547" s="16" t="str">
        <f>INDEX(Input!$1:$1048576,CJ$93,$C547*2+6)</f>
        <v>N</v>
      </c>
      <c r="CK547" s="1" t="str">
        <f t="shared" si="1398"/>
        <v>Market</v>
      </c>
      <c r="CL547" s="1" t="str">
        <f t="shared" si="1399"/>
        <v>Market</v>
      </c>
      <c r="CM547" s="1" t="str">
        <f t="shared" si="1400"/>
        <v>Market</v>
      </c>
      <c r="CN547" s="1" t="str">
        <f t="shared" si="1401"/>
        <v>Market</v>
      </c>
      <c r="CO547" s="1" t="str">
        <f t="shared" si="1402"/>
        <v>Market</v>
      </c>
      <c r="CP547" s="304">
        <f t="shared" si="1403"/>
        <v>500</v>
      </c>
      <c r="CQ547" s="1">
        <f t="shared" si="1404"/>
        <v>0</v>
      </c>
      <c r="CR547" s="1">
        <f t="shared" si="1405"/>
        <v>0</v>
      </c>
      <c r="CS547" s="1">
        <f t="shared" si="1406"/>
        <v>0</v>
      </c>
      <c r="CT547" s="1">
        <f t="shared" si="1407"/>
        <v>1.9E-2</v>
      </c>
      <c r="CU547" s="1">
        <f t="shared" si="1408"/>
        <v>3.9E-2</v>
      </c>
      <c r="CV547" s="304">
        <f t="shared" si="1409"/>
        <v>-1077.9364173925233</v>
      </c>
      <c r="CW547" s="20" t="s">
        <v>122</v>
      </c>
      <c r="CX547" s="20" t="s">
        <v>122</v>
      </c>
      <c r="CY547" s="20" t="s">
        <v>122</v>
      </c>
      <c r="CZ547" s="20" t="s">
        <v>122</v>
      </c>
      <c r="DA547" s="20" t="s">
        <v>122</v>
      </c>
      <c r="DB547" s="503">
        <f t="shared" si="1410"/>
        <v>0</v>
      </c>
      <c r="DC547" s="127">
        <v>0</v>
      </c>
      <c r="DD547" s="127">
        <v>0</v>
      </c>
      <c r="DE547" s="127">
        <v>0</v>
      </c>
      <c r="DF547" s="127">
        <v>0</v>
      </c>
      <c r="DG547" s="127">
        <v>0</v>
      </c>
      <c r="DH547" s="127">
        <v>0</v>
      </c>
      <c r="DI547" s="127">
        <v>0</v>
      </c>
      <c r="DJ547" s="127">
        <v>0</v>
      </c>
      <c r="DK547" s="127">
        <v>0</v>
      </c>
      <c r="DL547" s="127">
        <v>0</v>
      </c>
      <c r="DM547" s="304">
        <f>INDEX(Input!$1:$1048576,DM$93,$C547*2+6)</f>
        <v>21036.84210526316</v>
      </c>
      <c r="DN547" s="20">
        <v>0</v>
      </c>
      <c r="DO547" s="20">
        <v>0</v>
      </c>
      <c r="DP547" s="20">
        <v>0</v>
      </c>
      <c r="DQ547" s="20">
        <v>0</v>
      </c>
      <c r="DR547" s="20">
        <v>0</v>
      </c>
      <c r="DS547" s="20">
        <f>INDEX(Input!$1:$1048576,DS$93,$C547*2+6)</f>
        <v>0.6</v>
      </c>
      <c r="DT547" s="20">
        <f>INDEX(Input!$1:$1048576,DT$93,$C547*2+6)</f>
        <v>0.55000000000000004</v>
      </c>
      <c r="DU547" s="20">
        <f>INDEX(Input!$1:$1048576,DU$93,$C547*2+6)</f>
        <v>0.52</v>
      </c>
      <c r="DV547" s="20">
        <f>INDEX(Input!$1:$1048576,DV$93,$C547*2+6)</f>
        <v>0.5</v>
      </c>
      <c r="DW547" s="20">
        <f>INDEX(Input!$1:$1048576,DW$93,$C547*2+6)</f>
        <v>0.45</v>
      </c>
      <c r="DX547" s="20"/>
      <c r="DY547" s="7">
        <v>0.12556728308020806</v>
      </c>
      <c r="DZ547" s="7">
        <v>0</v>
      </c>
      <c r="EA547" s="7">
        <v>0.75374667037342447</v>
      </c>
      <c r="EB547" s="7">
        <v>0</v>
      </c>
      <c r="EC547" s="7">
        <v>0</v>
      </c>
      <c r="ED547" s="7">
        <v>0</v>
      </c>
      <c r="EE547" s="7">
        <v>0</v>
      </c>
      <c r="EF547" s="7">
        <v>0</v>
      </c>
      <c r="EG547" s="7">
        <v>0</v>
      </c>
      <c r="EH547" s="7">
        <v>1.2090123734225432E-2</v>
      </c>
      <c r="EI547" s="7">
        <v>3.3615389660430151E-2</v>
      </c>
      <c r="EJ547" s="7">
        <v>0.29199775933677546</v>
      </c>
      <c r="EK547" s="7">
        <v>0.53724856354008022</v>
      </c>
      <c r="EL547" s="7">
        <v>0.12504816372848929</v>
      </c>
      <c r="EM547" s="7">
        <v>6.7571308184114234E-2</v>
      </c>
      <c r="EN547" s="7">
        <v>5.7489858742451626E-2</v>
      </c>
      <c r="EO547" s="7">
        <v>0.70686037261833601</v>
      </c>
      <c r="EP547" s="7">
        <v>9.4528222939187972E-2</v>
      </c>
      <c r="EQ547" s="7">
        <v>9.3088220020408258E-2</v>
      </c>
      <c r="ER547" s="7">
        <v>4.8033325679615942E-2</v>
      </c>
      <c r="ES547" s="7">
        <v>5.3114738362253333E-2</v>
      </c>
      <c r="ET547" s="7">
        <v>0.1206860465463674</v>
      </c>
      <c r="EU547" s="6">
        <v>1520</v>
      </c>
      <c r="EV547" s="6">
        <v>0</v>
      </c>
      <c r="EW547" s="6">
        <v>1520</v>
      </c>
      <c r="EX547" s="6">
        <v>0</v>
      </c>
      <c r="EY547" s="6">
        <v>2015.7742059031748</v>
      </c>
      <c r="EZ547" s="6">
        <v>-366.44990394013166</v>
      </c>
      <c r="FA547" s="6">
        <v>0</v>
      </c>
      <c r="FB547" s="6">
        <v>0</v>
      </c>
      <c r="FC547" s="6">
        <v>0</v>
      </c>
      <c r="FD547" s="6">
        <v>0</v>
      </c>
      <c r="FE547" s="6">
        <v>0</v>
      </c>
      <c r="FF547" s="6">
        <v>0</v>
      </c>
      <c r="FG547" s="6">
        <v>0</v>
      </c>
      <c r="FH547" s="6">
        <v>1172.1409211824503</v>
      </c>
      <c r="FI547" s="6">
        <v>1553.9796069512408</v>
      </c>
      <c r="FJ547" s="6">
        <v>2101.2110117447401</v>
      </c>
      <c r="FK547" s="6">
        <v>1772.7139978623225</v>
      </c>
      <c r="FL547" s="6">
        <v>907.07682140966381</v>
      </c>
      <c r="FM547" s="6">
        <v>1745.7742059031748</v>
      </c>
      <c r="FN547" s="6">
        <v>0</v>
      </c>
      <c r="FO547" s="6">
        <v>0</v>
      </c>
      <c r="FP547" s="6">
        <v>0</v>
      </c>
      <c r="FQ547" s="6">
        <v>0</v>
      </c>
      <c r="FR547" s="6">
        <v>0</v>
      </c>
      <c r="FS547" s="6">
        <v>0</v>
      </c>
      <c r="FT547" s="7">
        <v>0.8793139534536325</v>
      </c>
      <c r="FU547" s="7">
        <v>6.7571308184114234E-2</v>
      </c>
      <c r="FV547" s="7">
        <v>5.3114738362253333E-2</v>
      </c>
      <c r="FW547" s="6">
        <v>1519.9999999999998</v>
      </c>
      <c r="FX547" s="6">
        <v>2015.7742059031748</v>
      </c>
      <c r="FY547" s="6">
        <v>-366.44990394013166</v>
      </c>
      <c r="FZ547" s="6">
        <v>1758.1538569113241</v>
      </c>
      <c r="GA547" s="6">
        <v>1453.3018185755398</v>
      </c>
      <c r="GB547" s="6">
        <v>18531.698181424461</v>
      </c>
      <c r="GC547" s="7">
        <v>3.064145122680037E-2</v>
      </c>
      <c r="GD547" s="7">
        <v>3.0027599139312501E-2</v>
      </c>
      <c r="GE547" s="7"/>
      <c r="GF547" s="7"/>
      <c r="GG547" s="7">
        <v>-2.0033388201632141E-2</v>
      </c>
      <c r="GH547" s="42">
        <v>1.3133166679654187</v>
      </c>
      <c r="GI547" s="6">
        <v>16670.499991321365</v>
      </c>
      <c r="GJ547" s="14">
        <v>0.50394797582841755</v>
      </c>
      <c r="GK547" s="14">
        <v>0.50887573065309788</v>
      </c>
      <c r="GL547" s="14">
        <v>0.49605202417158317</v>
      </c>
      <c r="GM547" s="14">
        <v>0.49112426934690295</v>
      </c>
      <c r="GO547" s="5">
        <v>343.14810671672558</v>
      </c>
      <c r="GP547" s="5">
        <v>314.14940645767444</v>
      </c>
      <c r="GQ547" s="5">
        <v>535.04305713031317</v>
      </c>
      <c r="GR547" s="5">
        <v>410.15490233172511</v>
      </c>
      <c r="GS547" s="5">
        <v>339.42744393800166</v>
      </c>
      <c r="GT547" s="5">
        <v>293.4407446948278</v>
      </c>
      <c r="GU547" s="5">
        <v>258.04012322764959</v>
      </c>
      <c r="GV547" s="39" t="s">
        <v>392</v>
      </c>
      <c r="GW547" s="5">
        <v>492.125</v>
      </c>
      <c r="GX547" s="5">
        <v>369.09375</v>
      </c>
      <c r="GY547" s="5">
        <v>295.27499999999998</v>
      </c>
      <c r="GZ547" s="5">
        <v>260.54902799031458</v>
      </c>
      <c r="HA547" s="5">
        <v>241.34874471337258</v>
      </c>
      <c r="HB547" s="39">
        <v>274.73652912249531</v>
      </c>
      <c r="HC547" s="5">
        <v>303.31655829738077</v>
      </c>
      <c r="HD547" s="5">
        <v>250.74799238008356</v>
      </c>
      <c r="HE547" s="5">
        <v>251.12245558578954</v>
      </c>
      <c r="HF547" s="5">
        <v>229.38290951107166</v>
      </c>
      <c r="HG547" s="5">
        <v>217.65500473779989</v>
      </c>
      <c r="HH547" s="39">
        <v>250.22714536235551</v>
      </c>
      <c r="HI547" s="16"/>
      <c r="HJ547" s="19" t="str">
        <f t="shared" si="1513"/>
        <v>On</v>
      </c>
      <c r="HK547" s="1" t="str">
        <f t="shared" si="1513"/>
        <v>On</v>
      </c>
      <c r="HL547" s="16"/>
      <c r="HM547" s="639">
        <f t="shared" si="1413"/>
        <v>2.4909940070666322E-2</v>
      </c>
      <c r="HN547" s="639">
        <f t="shared" si="1414"/>
        <v>2.2052381276269151E-3</v>
      </c>
      <c r="HO547" s="639">
        <f t="shared" si="1415"/>
        <v>2.079866082302006E-3</v>
      </c>
      <c r="HP547" s="644">
        <f>(FT547*$GD547-HM547)/$JF547*INDEX(Input!$1:$1048576,$JG$93,$C547*2+6)</f>
        <v>42.005970084312757</v>
      </c>
      <c r="HQ547" s="644">
        <f>(FU547*$GD547-HN547)/$JF547*INDEX(Input!$1:$1048576,$JG$93,$C547*2+6)</f>
        <v>-4.9559127141225368</v>
      </c>
      <c r="HR547" s="644">
        <f>(FV547*$GD547-HO547)/$JF547*INDEX(Input!$1:$1048576,$JG$93,$C547*2+6)</f>
        <v>-13.637606529648618</v>
      </c>
      <c r="HS547" s="644">
        <f t="shared" si="1416"/>
        <v>-13.518227937722317</v>
      </c>
      <c r="HT547" s="644">
        <f t="shared" si="1417"/>
        <v>0.63314025279205177</v>
      </c>
      <c r="HU547" s="644">
        <f t="shared" si="1418"/>
        <v>-1.3345374974334023</v>
      </c>
      <c r="HV547" s="648">
        <f t="shared" si="1419"/>
        <v>0</v>
      </c>
      <c r="HW547" s="648">
        <f t="shared" si="1420"/>
        <v>0</v>
      </c>
      <c r="HX547" s="648">
        <f t="shared" si="1421"/>
        <v>0</v>
      </c>
      <c r="HY547" s="644">
        <f>INDEX(Input!$1:$1048576,HY$93,$C547*2+6)*INDEX(Input!$1:$1048576,$JG$93,$C547*2+6)</f>
        <v>333.00000000000006</v>
      </c>
      <c r="HZ547" s="644">
        <f>INDEX(Input!$1:$1048576,HZ$93,$C547*2+6)*INDEX(Input!$1:$1048576,$JG$93,$C547*2+6)</f>
        <v>429</v>
      </c>
      <c r="IA547" s="644">
        <f>INDEX(Input!$1:$1048576,IA$93,$C547*2+6)*INDEX(Input!$1:$1048576,$JG$93,$C547*2+6)</f>
        <v>59</v>
      </c>
      <c r="IB547" s="644">
        <f t="shared" si="1445"/>
        <v>361.48774214659051</v>
      </c>
      <c r="IC547" s="644">
        <f t="shared" si="1446"/>
        <v>424.67722753866951</v>
      </c>
      <c r="ID547" s="644">
        <f>IF(AND(INDEX(Input!$1:$1048576,IA$93,$C547*2+7)="TOS",Y547&lt;=INDEX(Y:Y,MATCH(C547*1000+2,A:A))),0,1)*MAX(IA547+HR547+HU547+HX547,0%)</f>
        <v>44.027855972917976</v>
      </c>
      <c r="IE547" s="128">
        <f t="shared" si="1514"/>
        <v>0.43542624192157103</v>
      </c>
      <c r="IF547" s="128">
        <f t="shared" si="1468"/>
        <v>0.51154046916990015</v>
      </c>
      <c r="IG547" s="128">
        <f t="shared" si="1423"/>
        <v>5.3033288908528722E-2</v>
      </c>
      <c r="IH547" s="21"/>
      <c r="II547" s="19">
        <f t="shared" si="1424"/>
        <v>1240</v>
      </c>
      <c r="IJ547" s="19">
        <f t="shared" si="1425"/>
        <v>1985.7442651839444</v>
      </c>
      <c r="IK547" s="19">
        <f t="shared" si="1426"/>
        <v>-21.44990394013189</v>
      </c>
      <c r="IL547" s="19">
        <f t="shared" si="1448"/>
        <v>279.99999999999977</v>
      </c>
      <c r="IM547" s="19">
        <f t="shared" si="1427"/>
        <v>30.029940719230353</v>
      </c>
      <c r="IN547" s="19">
        <f t="shared" si="1428"/>
        <v>-344.99999999999977</v>
      </c>
      <c r="IO547" s="39">
        <f t="shared" si="1429"/>
        <v>0</v>
      </c>
      <c r="IP547" s="39">
        <f t="shared" si="1430"/>
        <v>0</v>
      </c>
      <c r="IQ547" s="39">
        <f t="shared" si="1431"/>
        <v>0</v>
      </c>
      <c r="IR547" s="39">
        <v>0</v>
      </c>
      <c r="IS547" s="39">
        <v>0</v>
      </c>
      <c r="IT547" s="39">
        <v>0</v>
      </c>
      <c r="IU547" s="39">
        <v>0</v>
      </c>
      <c r="IV547" s="39">
        <v>0</v>
      </c>
      <c r="IW547" s="39">
        <v>0</v>
      </c>
      <c r="IX547" s="39">
        <f>INDEX(Input!$1:$1048576,IX$93,$C547*2+6)+INDEX(Input!$1:$1048576,IX$94,$C547*2+6)</f>
        <v>1270</v>
      </c>
      <c r="IY547" s="39">
        <f>INDEX(Input!$1:$1048576,IY$93,$C547*2+6)+INDEX(Input!$1:$1048576,IY$94,$C547*2+6)</f>
        <v>2130.0624533823611</v>
      </c>
      <c r="IZ547" s="39">
        <f>INDEX(Input!$1:$1048576,IZ$93,$C547*2+6)+INDEX(Input!$1:$1048576,IZ$94,$C547*2+6)</f>
        <v>3653.7164157747857</v>
      </c>
      <c r="JA547" s="19">
        <f t="shared" si="1449"/>
        <v>1549.9999999999998</v>
      </c>
      <c r="JB547" s="19">
        <f t="shared" si="1450"/>
        <v>2160.0923941015917</v>
      </c>
      <c r="JC547" s="19">
        <f t="shared" si="1451"/>
        <v>3308.7164157747857</v>
      </c>
      <c r="JD547" s="19">
        <f t="shared" si="1452"/>
        <v>1955.3574653016719</v>
      </c>
      <c r="JE547" s="21"/>
      <c r="JF547" s="1">
        <f t="shared" si="1432"/>
        <v>2.9195044280595241E-2</v>
      </c>
      <c r="JG547" s="15">
        <f>INDEX(Input!$1:$1048576,JG$93,$C547*2+6)/(1+VLOOKUP(C547*1000+INDEX(Input!$1:$1048576,JG$93+1,$C547*2+6),$A:$KK,$JK$92,FALSE))</f>
        <v>821</v>
      </c>
      <c r="JH547" s="1">
        <f t="shared" si="1453"/>
        <v>2.8516992497614614E-2</v>
      </c>
      <c r="JI547" s="1">
        <f t="shared" si="1454"/>
        <v>-1.7319884509578158E-2</v>
      </c>
      <c r="JJ547" s="1">
        <f t="shared" si="1492"/>
        <v>0</v>
      </c>
      <c r="JK547" s="1">
        <f t="shared" si="1496"/>
        <v>1.1197107988036456E-2</v>
      </c>
      <c r="JL547" s="15">
        <f t="shared" si="1457"/>
        <v>9.1928256581779308</v>
      </c>
      <c r="JM547" s="15">
        <f t="shared" si="1483"/>
        <v>830.19282565817798</v>
      </c>
      <c r="JN547" s="21"/>
      <c r="JO547" s="19">
        <f>INDEX(Input!$1:$1048576,JO$93,$C547*2+6)</f>
        <v>5995.5</v>
      </c>
      <c r="JP547" s="19">
        <f>INDEX(Input!$1:$1048576,JP$93,$C547*2+6)</f>
        <v>1890.7138380411029</v>
      </c>
      <c r="JQ547" s="39">
        <f t="shared" si="1469"/>
        <v>4040.1425346983278</v>
      </c>
      <c r="JR547" s="39">
        <f t="shared" si="1486"/>
        <v>64.643627260569019</v>
      </c>
      <c r="JS547" s="39">
        <f t="shared" si="1471"/>
        <v>1.6233237392906077</v>
      </c>
      <c r="JT547" s="39">
        <f t="shared" si="1459"/>
        <v>7.1047678258862115E-2</v>
      </c>
      <c r="JU547" s="385">
        <f>(JQ547*JM547-INDEX(Input!$1:$1048576,Input!A$18,$C547*2+6)*JL547*INDEX(Input!$1:$1048576,Input!A$19,$C547*2+6))/1000000</f>
        <v>3.3540973469429982</v>
      </c>
      <c r="JV547" s="39">
        <f t="shared" si="1493"/>
        <v>-1.5932092025256139E-2</v>
      </c>
      <c r="JW547" s="1">
        <f t="shared" si="1484"/>
        <v>-4.7275824481028276E-3</v>
      </c>
      <c r="JX547" s="19">
        <f t="shared" si="1475"/>
        <v>7728.6006393103034</v>
      </c>
      <c r="JZ547" s="341"/>
      <c r="KA547" s="342"/>
      <c r="KB547" s="469">
        <f t="shared" si="1472"/>
        <v>2.5122967434604799</v>
      </c>
      <c r="KI547" s="473">
        <f t="shared" si="1515"/>
        <v>28.487742146590392</v>
      </c>
      <c r="KJ547" s="473">
        <f t="shared" si="1516"/>
        <v>-4.322772461330544</v>
      </c>
      <c r="KK547" s="473">
        <f t="shared" si="1461"/>
        <v>-14.972144027082031</v>
      </c>
      <c r="KN547" s="544">
        <f t="shared" si="1476"/>
        <v>5002</v>
      </c>
      <c r="KO547" s="541">
        <f t="shared" si="1436"/>
        <v>7.0965747469096119E-3</v>
      </c>
      <c r="KP547" s="546">
        <f t="shared" si="1437"/>
        <v>89.77913888668067</v>
      </c>
      <c r="KQ547" s="546">
        <f t="shared" si="1438"/>
        <v>36.438699578405476</v>
      </c>
      <c r="KR547" s="548">
        <f t="shared" si="1439"/>
        <v>1.4280299126572076</v>
      </c>
      <c r="KS547" s="548">
        <f t="shared" si="1440"/>
        <v>3.5184377419101116</v>
      </c>
      <c r="KT547" s="473">
        <f t="shared" si="1474"/>
        <v>595.94378802984284</v>
      </c>
      <c r="KU547" s="663">
        <f t="shared" si="1462"/>
        <v>4.0174972462940932</v>
      </c>
      <c r="KV547" s="117"/>
    </row>
    <row r="548" spans="1:308" s="26" customFormat="1" ht="15">
      <c r="A548" s="561">
        <f t="shared" si="1441"/>
        <v>5048</v>
      </c>
      <c r="B548" s="561">
        <f t="shared" si="1463"/>
        <v>48</v>
      </c>
      <c r="C548" s="561">
        <f t="shared" si="1464"/>
        <v>5</v>
      </c>
      <c r="D548" s="561" t="str">
        <f t="shared" si="1509"/>
        <v xml:space="preserve">500 CC, -360 Lease, </v>
      </c>
      <c r="E548" s="475">
        <f>INDEX(Input!$1:$1048576,E$93,$C548*2+MIN($B548,2)+5)
+INDEX(Scenarios!E$121:E$200,MATCH($B548,Scenarios!$B$121:$B$200,0))</f>
        <v>1777.4263093788063</v>
      </c>
      <c r="F548" s="475">
        <f>INDEX(Input!$1:$1048576,F$93,$C548*2+MIN($B548,2)+5)
+INDEX(Scenarios!F$121:F$200,MATCH($B548,Scenarios!$B$121:$B$200,0))</f>
        <v>0</v>
      </c>
      <c r="G548" s="475">
        <f>INDEX(Input!$1:$1048576,G$93,$C548*2+MIN($B548,2)+5)
+INDEX(Scenarios!G$121:G$200,MATCH($B548,Scenarios!$B$121:$B$200,0))</f>
        <v>0</v>
      </c>
      <c r="H548" s="475">
        <f>INDEX(Input!$1:$1048576,H$93,$C548*2+MIN($B548,2)+5)
+INDEX(Scenarios!H$121:H$200,MATCH($B548,Scenarios!$B$121:$B$200,0))</f>
        <v>0</v>
      </c>
      <c r="I548" s="476">
        <f>INDEX(Input!$1:$1048576,I$93,$C548*2+MIN($B548,2)+5)</f>
        <v>0.7</v>
      </c>
      <c r="J548" s="476" t="str">
        <f>INDEX(Input!$1:$1048576,J$93,$C548*2+MIN($B548,2)+5)</f>
        <v>Market</v>
      </c>
      <c r="K548" s="476" t="str">
        <f>INDEX(Input!$1:$1048576,K$93,$C548*2+MIN($B548,2)+5)</f>
        <v>Market</v>
      </c>
      <c r="L548" s="476" t="str">
        <f>INDEX(Input!$1:$1048576,L$93,$C548*2+MIN($B548,2)+5)</f>
        <v>Market</v>
      </c>
      <c r="M548" s="476" t="str">
        <f>INDEX(Input!$1:$1048576,M$93,$C548*2+MIN($B548,2)+5)</f>
        <v>Market</v>
      </c>
      <c r="N548" s="476" t="str">
        <f>INDEX(Input!$1:$1048576,N$93,$C548*2+MIN($B548,2)+5)</f>
        <v>Market</v>
      </c>
      <c r="O548" s="476" t="str">
        <f>INDEX(Input!$1:$1048576,O$93,$C548*2+MIN($B548,2)+5)</f>
        <v>Market</v>
      </c>
      <c r="P548" s="476" t="str">
        <f>INDEX(Input!$1:$1048576,P$93,$C548*2+MIN($B548,2)+5)</f>
        <v>N</v>
      </c>
      <c r="Q548" s="477">
        <f>INDEX(Input!$1:$1048576,Q$93,$C548*2+MIN($B548,2)+5)
+INDEX(Scenarios!Q$121:Q$200,MATCH($B548,Scenarios!$B$121:$B$200,0))</f>
        <v>0</v>
      </c>
      <c r="R548" s="478">
        <f>IFERROR(MAX(0,INDEX(Input!$1:$1048576,R$93,$C548*2+MIN($B548,2)+5)
+INDEX(Scenarios!R$121:R$200,MATCH($B548,Scenarios!$B$121:$B$200,0)),),"Market")</f>
        <v>0</v>
      </c>
      <c r="S548" s="478">
        <f>IFERROR(MAX(0,INDEX(Input!$1:$1048576,S$93,$C548*2+MIN($B548,2)+5)
+INDEX(Scenarios!S$121:S$200,MATCH($B548,Scenarios!$B$121:$B$200,0)),),"Market")</f>
        <v>0</v>
      </c>
      <c r="T548" s="478">
        <f>IFERROR(MAX(0,INDEX(Input!$1:$1048576,T$93,$C548*2+MIN($B548,2)+5)
+INDEX(Scenarios!T$121:T$200,MATCH($B548,Scenarios!$B$121:$B$200,0)),),"Market")</f>
        <v>0</v>
      </c>
      <c r="U548" s="478">
        <f>IFERROR(MAX(0,INDEX(Input!$1:$1048576,U$93,$C548*2+MIN($B548,2)+5)
+INDEX(Scenarios!U$121:U$200,MATCH($B548,Scenarios!$B$121:$B$200,0)),),"Market")</f>
        <v>0</v>
      </c>
      <c r="V548" s="478">
        <f>IFERROR(MAX(0,INDEX(Input!$1:$1048576,V$93,$C548*2+MIN($B548,2)+5)
+INDEX(Scenarios!V$121:V$200,MATCH($B548,Scenarios!$B$121:$B$200,0)),),"Market")</f>
        <v>1.9E-2</v>
      </c>
      <c r="W548" s="885">
        <f>IFERROR(MAX(0,INDEX(Input!$1:$1048576,W$93,$C548*2+MIN($B548,2)+5)-0%,),"Market")</f>
        <v>3.9E-2</v>
      </c>
      <c r="X548" s="476" t="str">
        <f>INDEX(Input!$1:$1048576,X$93,$C548*2+MIN($B548,2)+5)</f>
        <v>Y</v>
      </c>
      <c r="Y548" s="475">
        <f>INDEX(Input!$1:$1048576,Y$93,$C548*2+MIN($B548,2)+5)
++INDEX(Scenarios!Y$121:Y$200,MATCH($B548,Scenarios!$B$121:$B$200,0))</f>
        <v>-1077.9364173925233</v>
      </c>
      <c r="Z548" s="477">
        <f>INDEX(Input!$1:$1048576,Z$93,$C548*2+MIN($B548,2)+5)
+INDEX(Scenarios!Z$121:Z$200,MATCH($B548,Scenarios!$B$121:$B$200,0))</f>
        <v>0</v>
      </c>
      <c r="AA548" s="475">
        <f>INDEX(Input!$1:$1048576,AA$93,$C548*2+MIN($B548,2)+5)
+INDEX(Scenarios!AA$121:AA$200,MATCH($B548,Scenarios!$B$121:$B$200,0))</f>
        <v>0</v>
      </c>
      <c r="AB548" s="476">
        <f>INDEX(Input!$1:$1048576,AB$93,$C548*2+MIN($B548,2)+5)</f>
        <v>0.27</v>
      </c>
      <c r="AC548" s="475">
        <f>INDEX(Input!$1:$1048576,AC$93,$C548*2+MIN($B548,2)+5)
+INDEX(Scenarios!AC$121:AC$200,MATCH($B548,Scenarios!$B$121:$B$200,0))</f>
        <v>0</v>
      </c>
      <c r="AD548" s="476">
        <f>INDEX(Input!$1:$1048576,AD$93,$C548*2+MIN($B548,2)+5)</f>
        <v>0.27</v>
      </c>
      <c r="AE548" s="475">
        <f>INDEX(Input!$1:$1048576,AE$93,$C548*2+MIN($B548,2)+5)
+INDEX(Scenarios!AE$121:AE$200,MATCH($B548,Scenarios!$B$121:$B$200,0))</f>
        <v>0</v>
      </c>
      <c r="AF548" s="476">
        <f>INDEX(Input!$1:$1048576,AF$93,$C548*2+MIN($B548,2)+5)</f>
        <v>0.2</v>
      </c>
      <c r="AG548" s="475">
        <f>INDEX(Input!$1:$1048576,AG$93,$C548*2+MIN($B548,2)+5)
+INDEX(Scenarios!AG$121:AG$200,MATCH($B548,Scenarios!$B$121:$B$200,0))</f>
        <v>500</v>
      </c>
      <c r="AH548" s="476">
        <f>INDEX(Input!$1:$1048576,AH$93,$C548*2+MIN($B548,2)+5)</f>
        <v>1</v>
      </c>
      <c r="AI548" s="475">
        <f>INDEX(Input!$1:$1048576,AI$93,$C548*2+MIN($B548,2)+5)
+INDEX(Scenarios!AI$121:AI$200,MATCH($B548,Scenarios!$B$121:$B$200,0))</f>
        <v>0</v>
      </c>
      <c r="AJ548" s="476">
        <f>INDEX(Input!$1:$1048576,AJ$93,$C548*2+MIN($B548,2)+5)</f>
        <v>0.27</v>
      </c>
      <c r="AK548" s="150">
        <f>ROUND(INDEX(Input!$1:$1048576,AK$93,$C547*2+MIN($B548,1)+5)+(Y548-VLOOKUP($C548*1000+1,$A:$HH,Y$92,FALSE)),0)</f>
        <v>2227</v>
      </c>
      <c r="AL548" s="150">
        <f>ROUND(INDEX(Input!$1:$1048576,AL$93,$C547*2+MIN($B548,1)+5)-(Y548-VLOOKUP($C548*1000+1,$A:$HH,Y$92,FALSE))/36,0)</f>
        <v>3416</v>
      </c>
      <c r="AM548" s="32" t="str">
        <f t="shared" si="1442"/>
        <v>std/std/std/std</v>
      </c>
      <c r="AN548" s="32" t="str">
        <f t="shared" si="1443"/>
        <v>$0 + 0/0/0/1.9/3.9</v>
      </c>
      <c r="AO548" s="32" t="str">
        <f t="shared" si="1444"/>
        <v>0/0/0/1.9/3.9</v>
      </c>
      <c r="AP548" s="32" t="str">
        <f t="shared" si="1396"/>
        <v>0/0.9/1.9/3.9</v>
      </c>
      <c r="AQ548" s="536">
        <f t="shared" si="1394"/>
        <v>0.454404894763909</v>
      </c>
      <c r="AR548" s="32"/>
      <c r="AS548" s="302"/>
      <c r="AT548" s="3">
        <f t="shared" si="1465"/>
        <v>48</v>
      </c>
      <c r="AU548" s="41" t="s">
        <v>121</v>
      </c>
      <c r="AV548" s="41" t="s">
        <v>116</v>
      </c>
      <c r="AW548" s="41" t="str">
        <f>INDEX(Input!$1:$1048576,AW$93,$C548*2+6)</f>
        <v>Kia</v>
      </c>
      <c r="AX548" s="41" t="str">
        <f>INDEX(Input!$1:$1048576,AX$93,$C548*2+6)</f>
        <v>Kia-LR - R2</v>
      </c>
      <c r="AY548" s="41" t="str">
        <f>IF(LEN(D548)=0,"",INDEX(Input!$1:$1048576,AY$93,$C548*2+6))</f>
        <v>Compact SUV (52)</v>
      </c>
      <c r="AZ548" s="41" t="str">
        <f>INDEX(Input!$1:$1048576,AZ$93,$C548*2+6)</f>
        <v>Kia Soul</v>
      </c>
      <c r="BA548" s="3">
        <f>INDEX(Input!$1:$1048576,BA$93,$C548*2+6)</f>
        <v>2020</v>
      </c>
      <c r="BB548" s="128">
        <f>INDEX(Input!$1:$1048576,BB$93,$C548*2+6)</f>
        <v>1</v>
      </c>
      <c r="BC548" s="128">
        <f>INDEX(Input!$1:$1048576,BC$93,$C548*2+6)</f>
        <v>0.7</v>
      </c>
      <c r="BD548" s="1">
        <f>INDEX(Input!$1:$1048576,BD$93,$C548*2+6)</f>
        <v>4.4999999999999998E-2</v>
      </c>
      <c r="BE548" s="1">
        <f>INDEX(Input!$1:$1048576,BE$93,$C548*2+6)</f>
        <v>4.4999999999999998E-2</v>
      </c>
      <c r="BF548" s="1">
        <f>INDEX(Input!$1:$1048576,BF$93,$C548*2+6)</f>
        <v>0.05</v>
      </c>
      <c r="BG548" s="1">
        <f>INDEX(Input!$1:$1048576,BG$93,$C548*2+6)</f>
        <v>5.45E-2</v>
      </c>
      <c r="BH548" s="1">
        <f>INDEX(Input!$1:$1048576,BH$93,$C548*2+6)</f>
        <v>5.45E-2</v>
      </c>
      <c r="BI548" s="1">
        <f>INDEX(Input!$1:$1048576,BI$93,$C548*2+6)</f>
        <v>0.05</v>
      </c>
      <c r="BJ548" s="1">
        <f>INDEX(Input!$1:$1048576,BJ$93,$C548*2+6)</f>
        <v>0.05</v>
      </c>
      <c r="BK548" s="1">
        <f>INDEX(Input!$1:$1048576,BK$93,$C548*2+6)</f>
        <v>0.05</v>
      </c>
      <c r="BL548" s="1">
        <f>INDEX(Input!$1:$1048576,BL$93,$C548*2+6)</f>
        <v>5.5E-2</v>
      </c>
      <c r="BM548" s="1">
        <f>INDEX(Input!$1:$1048576,BM$93,$C548*2+6)</f>
        <v>0.06</v>
      </c>
      <c r="BN548" s="1">
        <f>INDEX(Input!$1:$1048576,BN$93,$C548*2+6)</f>
        <v>4.4999999999999998E-2</v>
      </c>
      <c r="BO548" s="1">
        <f>INDEX(Input!$1:$1048576,BO$93,$C548*2+6)</f>
        <v>4.4999999999999998E-2</v>
      </c>
      <c r="BP548" s="1">
        <f>INDEX(Input!$1:$1048576,BP$93,$C548*2+6)</f>
        <v>0.05</v>
      </c>
      <c r="BQ548" s="1">
        <f>INDEX(Input!$1:$1048576,BQ$93,$C548*2+6)</f>
        <v>5.45E-2</v>
      </c>
      <c r="BR548" s="1">
        <f>INDEX(Input!$1:$1048576,BR$93,$C548*2+6)</f>
        <v>5.45E-2</v>
      </c>
      <c r="BS548" s="1">
        <f>INDEX(Input!$1:$1048576,BS$93,$C548*2+6)</f>
        <v>0.05</v>
      </c>
      <c r="BT548" s="1">
        <f>INDEX(Input!$1:$1048576,BT$93,$C548*2+6)</f>
        <v>0.05</v>
      </c>
      <c r="BU548" s="1">
        <f>INDEX(Input!$1:$1048576,BU$93,$C548*2+6)</f>
        <v>0.05</v>
      </c>
      <c r="BV548" s="1">
        <f>INDEX(Input!$1:$1048576,BV$93,$C548*2+6)</f>
        <v>5.5E-2</v>
      </c>
      <c r="BW548" s="1">
        <f>INDEX(Input!$1:$1048576,BW$93,$C548*2+6)</f>
        <v>0.06</v>
      </c>
      <c r="BX548" s="127">
        <f>INDEX(Input!$1:$1048576,BX$93,$C548*2+6)</f>
        <v>19985</v>
      </c>
      <c r="BY548" s="20">
        <f>INDEX(Input!$1:$1048576,BY$93,$C548*2+6)</f>
        <v>0.1</v>
      </c>
      <c r="BZ548" s="20">
        <f>INDEX(Input!$1:$1048576,BZ$93,$C548*2+6)</f>
        <v>0.1</v>
      </c>
      <c r="CA548" s="20">
        <f>INDEX(Input!$1:$1048576,CA$93,$C548*2+6)</f>
        <v>0.1</v>
      </c>
      <c r="CB548" s="20">
        <f>INDEX(Input!$1:$1048576,CB$93,$C548*2+6)</f>
        <v>0.1</v>
      </c>
      <c r="CC548" s="20">
        <f>INDEX(Input!$1:$1048576,CC$93,$C548*2+6)</f>
        <v>0.1</v>
      </c>
      <c r="CD548" s="384">
        <f>INDEX(Input!$1:$1048576,CD$93,$C548*2+6)</f>
        <v>0.1</v>
      </c>
      <c r="CE548" s="384">
        <f>INDEX(Input!$1:$1048576,CE$93,$C548*2+6)</f>
        <v>0.1</v>
      </c>
      <c r="CF548" s="384">
        <f>INDEX(Input!$1:$1048576,CF$93,$C548*2+6)</f>
        <v>0.1</v>
      </c>
      <c r="CG548" s="384">
        <f>INDEX(Input!$1:$1048576,CG$93,$C548*2+6)</f>
        <v>0.1</v>
      </c>
      <c r="CH548" s="384">
        <f>INDEX(Input!$1:$1048576,CH$93,$C548*2+6)</f>
        <v>0.1</v>
      </c>
      <c r="CI548" s="304">
        <f t="shared" si="1397"/>
        <v>1777.4263093788063</v>
      </c>
      <c r="CJ548" s="16" t="str">
        <f>INDEX(Input!$1:$1048576,CJ$93,$C548*2+6)</f>
        <v>N</v>
      </c>
      <c r="CK548" s="1" t="str">
        <f t="shared" si="1398"/>
        <v>Market</v>
      </c>
      <c r="CL548" s="1" t="str">
        <f t="shared" si="1399"/>
        <v>Market</v>
      </c>
      <c r="CM548" s="1" t="str">
        <f t="shared" si="1400"/>
        <v>Market</v>
      </c>
      <c r="CN548" s="1" t="str">
        <f t="shared" si="1401"/>
        <v>Market</v>
      </c>
      <c r="CO548" s="1" t="str">
        <f t="shared" si="1402"/>
        <v>Market</v>
      </c>
      <c r="CP548" s="304">
        <f t="shared" si="1403"/>
        <v>500</v>
      </c>
      <c r="CQ548" s="1">
        <f t="shared" si="1404"/>
        <v>0</v>
      </c>
      <c r="CR548" s="1">
        <f t="shared" si="1405"/>
        <v>0</v>
      </c>
      <c r="CS548" s="1">
        <f t="shared" si="1406"/>
        <v>0</v>
      </c>
      <c r="CT548" s="1">
        <f t="shared" si="1407"/>
        <v>1.9E-2</v>
      </c>
      <c r="CU548" s="1">
        <f t="shared" si="1408"/>
        <v>3.9E-2</v>
      </c>
      <c r="CV548" s="304">
        <f t="shared" si="1409"/>
        <v>-1077.9364173925233</v>
      </c>
      <c r="CW548" s="20" t="s">
        <v>122</v>
      </c>
      <c r="CX548" s="20" t="s">
        <v>122</v>
      </c>
      <c r="CY548" s="20" t="s">
        <v>122</v>
      </c>
      <c r="CZ548" s="20" t="s">
        <v>122</v>
      </c>
      <c r="DA548" s="20" t="s">
        <v>122</v>
      </c>
      <c r="DB548" s="503">
        <f t="shared" si="1410"/>
        <v>0</v>
      </c>
      <c r="DC548" s="127">
        <v>0</v>
      </c>
      <c r="DD548" s="127">
        <v>0</v>
      </c>
      <c r="DE548" s="127">
        <v>0</v>
      </c>
      <c r="DF548" s="127">
        <v>0</v>
      </c>
      <c r="DG548" s="127">
        <v>0</v>
      </c>
      <c r="DH548" s="127">
        <v>0</v>
      </c>
      <c r="DI548" s="127">
        <v>0</v>
      </c>
      <c r="DJ548" s="127">
        <v>0</v>
      </c>
      <c r="DK548" s="127">
        <v>0</v>
      </c>
      <c r="DL548" s="127">
        <v>0</v>
      </c>
      <c r="DM548" s="304">
        <f>INDEX(Input!$1:$1048576,DM$93,$C548*2+6)</f>
        <v>21036.84210526316</v>
      </c>
      <c r="DN548" s="20">
        <v>0</v>
      </c>
      <c r="DO548" s="20">
        <v>0</v>
      </c>
      <c r="DP548" s="20">
        <v>0</v>
      </c>
      <c r="DQ548" s="20">
        <v>0</v>
      </c>
      <c r="DR548" s="20">
        <v>0</v>
      </c>
      <c r="DS548" s="20">
        <f>INDEX(Input!$1:$1048576,DS$93,$C548*2+6)</f>
        <v>0.6</v>
      </c>
      <c r="DT548" s="20">
        <f>INDEX(Input!$1:$1048576,DT$93,$C548*2+6)</f>
        <v>0.55000000000000004</v>
      </c>
      <c r="DU548" s="20">
        <f>INDEX(Input!$1:$1048576,DU$93,$C548*2+6)</f>
        <v>0.52</v>
      </c>
      <c r="DV548" s="20">
        <f>INDEX(Input!$1:$1048576,DV$93,$C548*2+6)</f>
        <v>0.5</v>
      </c>
      <c r="DW548" s="20">
        <f>INDEX(Input!$1:$1048576,DW$93,$C548*2+6)</f>
        <v>0.45</v>
      </c>
      <c r="DX548" s="20"/>
      <c r="DY548" s="7">
        <v>0.13050556751774525</v>
      </c>
      <c r="DZ548" s="7">
        <v>0</v>
      </c>
      <c r="EA548" s="7">
        <v>0.76302134420104351</v>
      </c>
      <c r="EB548" s="7">
        <v>0</v>
      </c>
      <c r="EC548" s="7">
        <v>0</v>
      </c>
      <c r="ED548" s="7">
        <v>0</v>
      </c>
      <c r="EE548" s="7">
        <v>0</v>
      </c>
      <c r="EF548" s="7">
        <v>0</v>
      </c>
      <c r="EG548" s="7">
        <v>0</v>
      </c>
      <c r="EH548" s="7">
        <v>1.2090865445078541E-2</v>
      </c>
      <c r="EI548" s="7">
        <v>3.3619007359802125E-2</v>
      </c>
      <c r="EJ548" s="7">
        <v>0.2920208433638985</v>
      </c>
      <c r="EK548" s="7">
        <v>0.53722136527223052</v>
      </c>
      <c r="EL548" s="7">
        <v>0.1250479185589902</v>
      </c>
      <c r="EM548" s="7">
        <v>5.9598627602648155E-2</v>
      </c>
      <c r="EN548" s="7">
        <v>5.7497757085646813E-2</v>
      </c>
      <c r="EO548" s="7">
        <v>0.70685750817987536</v>
      </c>
      <c r="EP548" s="7">
        <v>9.4533212797048793E-2</v>
      </c>
      <c r="EQ548" s="7">
        <v>9.3083189692517124E-2</v>
      </c>
      <c r="ER548" s="7">
        <v>4.8028332244911751E-2</v>
      </c>
      <c r="ES548" s="7">
        <v>4.6874460678563046E-2</v>
      </c>
      <c r="ET548" s="7">
        <v>0.10647308828121128</v>
      </c>
      <c r="EU548" s="6">
        <v>1770</v>
      </c>
      <c r="EV548" s="6">
        <v>0</v>
      </c>
      <c r="EW548" s="6">
        <v>1770</v>
      </c>
      <c r="EX548" s="6">
        <v>0</v>
      </c>
      <c r="EY548" s="6">
        <v>2015.7807880574151</v>
      </c>
      <c r="EZ548" s="6">
        <v>-366.44990394013166</v>
      </c>
      <c r="FA548" s="6">
        <v>0</v>
      </c>
      <c r="FB548" s="6">
        <v>0</v>
      </c>
      <c r="FC548" s="6">
        <v>0</v>
      </c>
      <c r="FD548" s="6">
        <v>0</v>
      </c>
      <c r="FE548" s="6">
        <v>0</v>
      </c>
      <c r="FF548" s="6">
        <v>0</v>
      </c>
      <c r="FG548" s="6">
        <v>0</v>
      </c>
      <c r="FH548" s="6">
        <v>1172.1428779710102</v>
      </c>
      <c r="FI548" s="6">
        <v>1553.9796069512399</v>
      </c>
      <c r="FJ548" s="6">
        <v>2101.211011744741</v>
      </c>
      <c r="FK548" s="6">
        <v>1772.7139978623231</v>
      </c>
      <c r="FL548" s="6">
        <v>907.07682140966347</v>
      </c>
      <c r="FM548" s="6">
        <v>1745.7807880574151</v>
      </c>
      <c r="FN548" s="6">
        <v>0</v>
      </c>
      <c r="FO548" s="6">
        <v>0</v>
      </c>
      <c r="FP548" s="6">
        <v>0</v>
      </c>
      <c r="FQ548" s="6">
        <v>0</v>
      </c>
      <c r="FR548" s="6">
        <v>0</v>
      </c>
      <c r="FS548" s="6">
        <v>0</v>
      </c>
      <c r="FT548" s="7">
        <v>0.89352691171878873</v>
      </c>
      <c r="FU548" s="7">
        <v>5.9598627602648155E-2</v>
      </c>
      <c r="FV548" s="7">
        <v>4.6874460678563046E-2</v>
      </c>
      <c r="FW548" s="6">
        <v>1770.0000000000002</v>
      </c>
      <c r="FX548" s="6">
        <v>2015.7807880574151</v>
      </c>
      <c r="FY548" s="6">
        <v>-366.44990394013166</v>
      </c>
      <c r="FZ548" s="6">
        <v>1758.1538569113241</v>
      </c>
      <c r="GA548" s="6">
        <v>1684.5032606453576</v>
      </c>
      <c r="GB548" s="6">
        <v>18300.496739354643</v>
      </c>
      <c r="GC548" s="7">
        <v>3.064145122680037E-2</v>
      </c>
      <c r="GD548" s="7">
        <v>3.0864461448937338E-2</v>
      </c>
      <c r="GE548" s="7"/>
      <c r="GF548" s="7"/>
      <c r="GG548" s="7">
        <v>7.2780567893570621E-3</v>
      </c>
      <c r="GH548" s="42">
        <v>-1.9748918856005717</v>
      </c>
      <c r="GI548" s="6">
        <v>-8435.0380396737128</v>
      </c>
      <c r="GJ548" s="14">
        <v>0.50394797582841722</v>
      </c>
      <c r="GK548" s="14">
        <v>0.50887573065309755</v>
      </c>
      <c r="GL548" s="14">
        <v>0.49605202417158284</v>
      </c>
      <c r="GM548" s="14">
        <v>0.49112426934690251</v>
      </c>
      <c r="GO548" s="5">
        <v>343.14810671672558</v>
      </c>
      <c r="GP548" s="5">
        <v>309.37988338875158</v>
      </c>
      <c r="GQ548" s="5">
        <v>535.04305713031317</v>
      </c>
      <c r="GR548" s="5">
        <v>410.15490233172511</v>
      </c>
      <c r="GS548" s="5">
        <v>339.42744393800166</v>
      </c>
      <c r="GT548" s="5">
        <v>293.4407446948278</v>
      </c>
      <c r="GU548" s="5">
        <v>258.04012322764959</v>
      </c>
      <c r="GV548" s="39" t="s">
        <v>392</v>
      </c>
      <c r="GW548" s="5">
        <v>492.125</v>
      </c>
      <c r="GX548" s="5">
        <v>369.09375</v>
      </c>
      <c r="GY548" s="5">
        <v>295.27499999999998</v>
      </c>
      <c r="GZ548" s="5">
        <v>260.54902799031458</v>
      </c>
      <c r="HA548" s="5">
        <v>241.34874471337258</v>
      </c>
      <c r="HB548" s="39">
        <v>274.73789988968309</v>
      </c>
      <c r="HC548" s="5">
        <v>303.31655829738077</v>
      </c>
      <c r="HD548" s="5">
        <v>250.74799238008356</v>
      </c>
      <c r="HE548" s="5">
        <v>251.12245558578954</v>
      </c>
      <c r="HF548" s="5">
        <v>229.38290951107166</v>
      </c>
      <c r="HG548" s="5">
        <v>217.65500473779989</v>
      </c>
      <c r="HH548" s="39">
        <v>250.22783515649382</v>
      </c>
      <c r="HI548" s="16"/>
      <c r="HJ548" s="19" t="str">
        <f t="shared" si="1513"/>
        <v>On</v>
      </c>
      <c r="HK548" s="1" t="str">
        <f t="shared" si="1513"/>
        <v>On</v>
      </c>
      <c r="HL548" s="16"/>
      <c r="HM548" s="639">
        <f t="shared" si="1413"/>
        <v>2.4909940070666322E-2</v>
      </c>
      <c r="HN548" s="639">
        <f t="shared" si="1414"/>
        <v>2.2052381276269151E-3</v>
      </c>
      <c r="HO548" s="639">
        <f t="shared" si="1415"/>
        <v>2.079866082302006E-3</v>
      </c>
      <c r="HP548" s="644">
        <f>(FT548*$GD548-HM548)/$JF548*INDEX(Input!$1:$1048576,$JG$93,$C548*2+6)</f>
        <v>75.035457474269109</v>
      </c>
      <c r="HQ548" s="644">
        <f>(FU548*$GD548-HN548)/$JF548*INDEX(Input!$1:$1048576,$JG$93,$C548*2+6)</f>
        <v>-10.285574299162798</v>
      </c>
      <c r="HR548" s="644">
        <f>(FV548*$GD548-HO548)/$JF548*INDEX(Input!$1:$1048576,$JG$93,$C548*2+6)</f>
        <v>-17.803850758233576</v>
      </c>
      <c r="HS548" s="644">
        <f t="shared" si="1416"/>
        <v>-25.577708592591538</v>
      </c>
      <c r="HT548" s="644">
        <f t="shared" si="1417"/>
        <v>-0.38363592860889661</v>
      </c>
      <c r="HU548" s="644">
        <f t="shared" si="1418"/>
        <v>-0.31737029252968046</v>
      </c>
      <c r="HV548" s="648">
        <f t="shared" si="1419"/>
        <v>0</v>
      </c>
      <c r="HW548" s="648">
        <f t="shared" si="1420"/>
        <v>0</v>
      </c>
      <c r="HX548" s="648">
        <f t="shared" si="1421"/>
        <v>0</v>
      </c>
      <c r="HY548" s="644">
        <f>INDEX(Input!$1:$1048576,HY$93,$C548*2+6)*INDEX(Input!$1:$1048576,$JG$93,$C548*2+6)</f>
        <v>333.00000000000006</v>
      </c>
      <c r="HZ548" s="644">
        <f>INDEX(Input!$1:$1048576,HZ$93,$C548*2+6)*INDEX(Input!$1:$1048576,$JG$93,$C548*2+6)</f>
        <v>429</v>
      </c>
      <c r="IA548" s="644">
        <f>INDEX(Input!$1:$1048576,IA$93,$C548*2+6)*INDEX(Input!$1:$1048576,$JG$93,$C548*2+6)</f>
        <v>59</v>
      </c>
      <c r="IB548" s="644">
        <f t="shared" si="1445"/>
        <v>382.45774888167767</v>
      </c>
      <c r="IC548" s="644">
        <f t="shared" si="1446"/>
        <v>418.33078977222829</v>
      </c>
      <c r="ID548" s="644">
        <f>IF(AND(INDEX(Input!$1:$1048576,IA$93,$C548*2+7)="TOS",Y548&lt;=INDEX(Y:Y,MATCH(C548*1000+2,A:A))),0,1)*MAX(IA548+HR548+HU548+HX548,0%)</f>
        <v>40.878778949236739</v>
      </c>
      <c r="IE548" s="128">
        <f t="shared" si="1514"/>
        <v>0.454404894763909</v>
      </c>
      <c r="IF548" s="128">
        <f t="shared" si="1468"/>
        <v>0.49702629652239477</v>
      </c>
      <c r="IG548" s="128">
        <f t="shared" si="1423"/>
        <v>4.8568808713696093E-2</v>
      </c>
      <c r="IH548" s="21"/>
      <c r="II548" s="19">
        <f t="shared" si="1424"/>
        <v>1240</v>
      </c>
      <c r="IJ548" s="19">
        <f t="shared" si="1425"/>
        <v>1985.7442651839444</v>
      </c>
      <c r="IK548" s="19">
        <f t="shared" si="1426"/>
        <v>-21.44990394013189</v>
      </c>
      <c r="IL548" s="19">
        <f t="shared" si="1448"/>
        <v>530.00000000000023</v>
      </c>
      <c r="IM548" s="19">
        <f t="shared" si="1427"/>
        <v>30.036522873470631</v>
      </c>
      <c r="IN548" s="19">
        <f t="shared" si="1428"/>
        <v>-344.99999999999977</v>
      </c>
      <c r="IO548" s="39">
        <f t="shared" si="1429"/>
        <v>0</v>
      </c>
      <c r="IP548" s="39">
        <f t="shared" si="1430"/>
        <v>0</v>
      </c>
      <c r="IQ548" s="39">
        <f t="shared" si="1431"/>
        <v>0</v>
      </c>
      <c r="IR548" s="39">
        <v>0</v>
      </c>
      <c r="IS548" s="39">
        <v>0</v>
      </c>
      <c r="IT548" s="39">
        <v>0</v>
      </c>
      <c r="IU548" s="39">
        <v>0</v>
      </c>
      <c r="IV548" s="39">
        <v>0</v>
      </c>
      <c r="IW548" s="39">
        <v>0</v>
      </c>
      <c r="IX548" s="39">
        <f>INDEX(Input!$1:$1048576,IX$93,$C548*2+6)+INDEX(Input!$1:$1048576,IX$94,$C548*2+6)</f>
        <v>1270</v>
      </c>
      <c r="IY548" s="39">
        <f>INDEX(Input!$1:$1048576,IY$93,$C548*2+6)+INDEX(Input!$1:$1048576,IY$94,$C548*2+6)</f>
        <v>2130.0624533823611</v>
      </c>
      <c r="IZ548" s="39">
        <f>INDEX(Input!$1:$1048576,IZ$93,$C548*2+6)+INDEX(Input!$1:$1048576,IZ$94,$C548*2+6)</f>
        <v>3653.7164157747857</v>
      </c>
      <c r="JA548" s="19">
        <f t="shared" si="1449"/>
        <v>1800.0000000000002</v>
      </c>
      <c r="JB548" s="19">
        <f t="shared" si="1450"/>
        <v>2160.098976255832</v>
      </c>
      <c r="JC548" s="19">
        <f t="shared" si="1451"/>
        <v>3308.7164157747857</v>
      </c>
      <c r="JD548" s="19">
        <f t="shared" si="1452"/>
        <v>2052.2552195509206</v>
      </c>
      <c r="JE548" s="21"/>
      <c r="JF548" s="1">
        <f t="shared" si="1432"/>
        <v>2.9195044280595241E-2</v>
      </c>
      <c r="JG548" s="15">
        <f>INDEX(Input!$1:$1048576,JG$93,$C548*2+6)/(1+VLOOKUP(C548*1000+INDEX(Input!$1:$1048576,JG$93+1,$C548*2+6),$A:$KK,$JK$92,FALSE))</f>
        <v>821</v>
      </c>
      <c r="JH548" s="1">
        <f t="shared" si="1453"/>
        <v>5.7181525477311479E-2</v>
      </c>
      <c r="JI548" s="1">
        <f t="shared" si="1454"/>
        <v>-3.2008178823057384E-2</v>
      </c>
      <c r="JJ548" s="1">
        <f t="shared" si="1492"/>
        <v>0</v>
      </c>
      <c r="JK548" s="1">
        <f t="shared" si="1496"/>
        <v>2.5173346654254095E-2</v>
      </c>
      <c r="JL548" s="15">
        <f t="shared" si="1457"/>
        <v>20.66731760314261</v>
      </c>
      <c r="JM548" s="15">
        <f t="shared" si="1483"/>
        <v>841.66731760314258</v>
      </c>
      <c r="JN548" s="21"/>
      <c r="JO548" s="19">
        <f>INDEX(Input!$1:$1048576,JO$93,$C548*2+6)</f>
        <v>5995.5</v>
      </c>
      <c r="JP548" s="19">
        <f>INDEX(Input!$1:$1048576,JP$93,$C548*2+6)</f>
        <v>1890.7138380411029</v>
      </c>
      <c r="JQ548" s="39">
        <f t="shared" si="1469"/>
        <v>3943.2447804490794</v>
      </c>
      <c r="JR548" s="39">
        <f t="shared" si="1486"/>
        <v>161.54138150981771</v>
      </c>
      <c r="JS548" s="39">
        <f t="shared" si="1471"/>
        <v>1.7273161456764718</v>
      </c>
      <c r="JT548" s="39">
        <f t="shared" si="1459"/>
        <v>0.17504008464472626</v>
      </c>
      <c r="JU548" s="385">
        <f>(JQ548*JM548-INDEX(Input!$1:$1048576,Input!A$18,$C548*2+6)*JL548*INDEX(Input!$1:$1048576,Input!A$19,$C548*2+6))/1000000</f>
        <v>3.3189002570131696</v>
      </c>
      <c r="JV548" s="39">
        <f t="shared" si="1493"/>
        <v>-5.1129181955084757E-2</v>
      </c>
      <c r="JW548" s="1">
        <f t="shared" si="1484"/>
        <v>-1.5171731547466281E-2</v>
      </c>
      <c r="JX548" s="19">
        <f t="shared" si="1475"/>
        <v>8469.4147545354499</v>
      </c>
      <c r="JZ548" s="341"/>
      <c r="KA548" s="342"/>
      <c r="KB548" s="469">
        <f t="shared" si="1472"/>
        <v>2.5122967434604799</v>
      </c>
      <c r="KI548" s="473">
        <f t="shared" si="1515"/>
        <v>49.457748881677503</v>
      </c>
      <c r="KJ548" s="473">
        <f t="shared" si="1516"/>
        <v>-10.669210227771828</v>
      </c>
      <c r="KK548" s="473">
        <f t="shared" si="1461"/>
        <v>-18.121221050763275</v>
      </c>
      <c r="KN548" s="544">
        <f t="shared" si="1476"/>
        <v>5002</v>
      </c>
      <c r="KO548" s="541">
        <f t="shared" si="1436"/>
        <v>2.1016137982803995E-2</v>
      </c>
      <c r="KP548" s="546">
        <f t="shared" si="1437"/>
        <v>209.7350969760858</v>
      </c>
      <c r="KQ548" s="546">
        <f t="shared" si="1438"/>
        <v>133.33645382765417</v>
      </c>
      <c r="KR548" s="548">
        <f t="shared" si="1439"/>
        <v>1.8102800222863853</v>
      </c>
      <c r="KS548" s="548">
        <f t="shared" si="1440"/>
        <v>2.8475277775038572</v>
      </c>
      <c r="KT548" s="473">
        <f t="shared" si="1474"/>
        <v>595.94378802984284</v>
      </c>
      <c r="KU548" s="663">
        <f t="shared" si="1462"/>
        <v>4.0153131688331918</v>
      </c>
      <c r="KV548" s="117"/>
    </row>
    <row r="549" spans="1:308" s="26" customFormat="1" ht="15">
      <c r="A549" s="561">
        <f t="shared" si="1441"/>
        <v>5049</v>
      </c>
      <c r="B549" s="561">
        <f t="shared" si="1463"/>
        <v>49</v>
      </c>
      <c r="C549" s="561">
        <f t="shared" si="1464"/>
        <v>5</v>
      </c>
      <c r="D549" s="561" t="str">
        <f t="shared" si="1509"/>
        <v xml:space="preserve">750 CC, -360 Lease, </v>
      </c>
      <c r="E549" s="475">
        <f>INDEX(Input!$1:$1048576,E$93,$C549*2+MIN($B549,2)+5)
+INDEX(Scenarios!E$121:E$200,MATCH($B549,Scenarios!$B$121:$B$200,0))</f>
        <v>2027.4263093788063</v>
      </c>
      <c r="F549" s="475">
        <f>INDEX(Input!$1:$1048576,F$93,$C549*2+MIN($B549,2)+5)
+INDEX(Scenarios!F$121:F$200,MATCH($B549,Scenarios!$B$121:$B$200,0))</f>
        <v>0</v>
      </c>
      <c r="G549" s="475">
        <f>INDEX(Input!$1:$1048576,G$93,$C549*2+MIN($B549,2)+5)
+INDEX(Scenarios!G$121:G$200,MATCH($B549,Scenarios!$B$121:$B$200,0))</f>
        <v>0</v>
      </c>
      <c r="H549" s="475">
        <f>INDEX(Input!$1:$1048576,H$93,$C549*2+MIN($B549,2)+5)
+INDEX(Scenarios!H$121:H$200,MATCH($B549,Scenarios!$B$121:$B$200,0))</f>
        <v>0</v>
      </c>
      <c r="I549" s="476">
        <f>INDEX(Input!$1:$1048576,I$93,$C549*2+MIN($B549,2)+5)</f>
        <v>0.7</v>
      </c>
      <c r="J549" s="476" t="str">
        <f>INDEX(Input!$1:$1048576,J$93,$C549*2+MIN($B549,2)+5)</f>
        <v>Market</v>
      </c>
      <c r="K549" s="476" t="str">
        <f>INDEX(Input!$1:$1048576,K$93,$C549*2+MIN($B549,2)+5)</f>
        <v>Market</v>
      </c>
      <c r="L549" s="476" t="str">
        <f>INDEX(Input!$1:$1048576,L$93,$C549*2+MIN($B549,2)+5)</f>
        <v>Market</v>
      </c>
      <c r="M549" s="476" t="str">
        <f>INDEX(Input!$1:$1048576,M$93,$C549*2+MIN($B549,2)+5)</f>
        <v>Market</v>
      </c>
      <c r="N549" s="476" t="str">
        <f>INDEX(Input!$1:$1048576,N$93,$C549*2+MIN($B549,2)+5)</f>
        <v>Market</v>
      </c>
      <c r="O549" s="476" t="str">
        <f>INDEX(Input!$1:$1048576,O$93,$C549*2+MIN($B549,2)+5)</f>
        <v>Market</v>
      </c>
      <c r="P549" s="476" t="str">
        <f>INDEX(Input!$1:$1048576,P$93,$C549*2+MIN($B549,2)+5)</f>
        <v>N</v>
      </c>
      <c r="Q549" s="477">
        <f>INDEX(Input!$1:$1048576,Q$93,$C549*2+MIN($B549,2)+5)
+INDEX(Scenarios!Q$121:Q$200,MATCH($B549,Scenarios!$B$121:$B$200,0))</f>
        <v>0</v>
      </c>
      <c r="R549" s="478">
        <f>IFERROR(MAX(0,INDEX(Input!$1:$1048576,R$93,$C549*2+MIN($B549,2)+5)
+INDEX(Scenarios!R$121:R$200,MATCH($B549,Scenarios!$B$121:$B$200,0)),),"Market")</f>
        <v>0</v>
      </c>
      <c r="S549" s="478">
        <f>IFERROR(MAX(0,INDEX(Input!$1:$1048576,S$93,$C549*2+MIN($B549,2)+5)
+INDEX(Scenarios!S$121:S$200,MATCH($B549,Scenarios!$B$121:$B$200,0)),),"Market")</f>
        <v>0</v>
      </c>
      <c r="T549" s="478">
        <f>IFERROR(MAX(0,INDEX(Input!$1:$1048576,T$93,$C549*2+MIN($B549,2)+5)
+INDEX(Scenarios!T$121:T$200,MATCH($B549,Scenarios!$B$121:$B$200,0)),),"Market")</f>
        <v>0</v>
      </c>
      <c r="U549" s="478">
        <f>IFERROR(MAX(0,INDEX(Input!$1:$1048576,U$93,$C549*2+MIN($B549,2)+5)
+INDEX(Scenarios!U$121:U$200,MATCH($B549,Scenarios!$B$121:$B$200,0)),),"Market")</f>
        <v>0</v>
      </c>
      <c r="V549" s="478">
        <f>IFERROR(MAX(0,INDEX(Input!$1:$1048576,V$93,$C549*2+MIN($B549,2)+5)
+INDEX(Scenarios!V$121:V$200,MATCH($B549,Scenarios!$B$121:$B$200,0)),),"Market")</f>
        <v>1.9E-2</v>
      </c>
      <c r="W549" s="885">
        <f>IFERROR(MAX(0,INDEX(Input!$1:$1048576,W$93,$C549*2+MIN($B549,2)+5)-0%,),"Market")</f>
        <v>3.9E-2</v>
      </c>
      <c r="X549" s="476" t="str">
        <f>INDEX(Input!$1:$1048576,X$93,$C549*2+MIN($B549,2)+5)</f>
        <v>Y</v>
      </c>
      <c r="Y549" s="475">
        <f>INDEX(Input!$1:$1048576,Y$93,$C549*2+MIN($B549,2)+5)
++INDEX(Scenarios!Y$121:Y$200,MATCH($B549,Scenarios!$B$121:$B$200,0))</f>
        <v>-1077.9364173925233</v>
      </c>
      <c r="Z549" s="477">
        <f>INDEX(Input!$1:$1048576,Z$93,$C549*2+MIN($B549,2)+5)
+INDEX(Scenarios!Z$121:Z$200,MATCH($B549,Scenarios!$B$121:$B$200,0))</f>
        <v>0</v>
      </c>
      <c r="AA549" s="475">
        <f>INDEX(Input!$1:$1048576,AA$93,$C549*2+MIN($B549,2)+5)
+INDEX(Scenarios!AA$121:AA$200,MATCH($B549,Scenarios!$B$121:$B$200,0))</f>
        <v>0</v>
      </c>
      <c r="AB549" s="476">
        <f>INDEX(Input!$1:$1048576,AB$93,$C549*2+MIN($B549,2)+5)</f>
        <v>0.27</v>
      </c>
      <c r="AC549" s="475">
        <f>INDEX(Input!$1:$1048576,AC$93,$C549*2+MIN($B549,2)+5)
+INDEX(Scenarios!AC$121:AC$200,MATCH($B549,Scenarios!$B$121:$B$200,0))</f>
        <v>0</v>
      </c>
      <c r="AD549" s="476">
        <f>INDEX(Input!$1:$1048576,AD$93,$C549*2+MIN($B549,2)+5)</f>
        <v>0.27</v>
      </c>
      <c r="AE549" s="475">
        <f>INDEX(Input!$1:$1048576,AE$93,$C549*2+MIN($B549,2)+5)
+INDEX(Scenarios!AE$121:AE$200,MATCH($B549,Scenarios!$B$121:$B$200,0))</f>
        <v>0</v>
      </c>
      <c r="AF549" s="476">
        <f>INDEX(Input!$1:$1048576,AF$93,$C549*2+MIN($B549,2)+5)</f>
        <v>0.2</v>
      </c>
      <c r="AG549" s="475">
        <f>INDEX(Input!$1:$1048576,AG$93,$C549*2+MIN($B549,2)+5)
+INDEX(Scenarios!AG$121:AG$200,MATCH($B549,Scenarios!$B$121:$B$200,0))</f>
        <v>500</v>
      </c>
      <c r="AH549" s="476">
        <f>INDEX(Input!$1:$1048576,AH$93,$C549*2+MIN($B549,2)+5)</f>
        <v>1</v>
      </c>
      <c r="AI549" s="475">
        <f>INDEX(Input!$1:$1048576,AI$93,$C549*2+MIN($B549,2)+5)
+INDEX(Scenarios!AI$121:AI$200,MATCH($B549,Scenarios!$B$121:$B$200,0))</f>
        <v>0</v>
      </c>
      <c r="AJ549" s="476">
        <f>INDEX(Input!$1:$1048576,AJ$93,$C549*2+MIN($B549,2)+5)</f>
        <v>0.27</v>
      </c>
      <c r="AK549" s="150">
        <f>ROUND(INDEX(Input!$1:$1048576,AK$93,$C548*2+MIN($B549,1)+5)+(Y549-VLOOKUP($C549*1000+1,$A:$HH,Y$92,FALSE)),0)</f>
        <v>2227</v>
      </c>
      <c r="AL549" s="150">
        <f>ROUND(INDEX(Input!$1:$1048576,AL$93,$C548*2+MIN($B549,1)+5)-(Y549-VLOOKUP($C549*1000+1,$A:$HH,Y$92,FALSE))/36,0)</f>
        <v>3416</v>
      </c>
      <c r="AM549" s="32" t="str">
        <f t="shared" si="1442"/>
        <v>std/std/std/std</v>
      </c>
      <c r="AN549" s="32" t="str">
        <f t="shared" si="1443"/>
        <v>$0 + 0/0/0/1.9/3.9</v>
      </c>
      <c r="AO549" s="32" t="str">
        <f t="shared" si="1444"/>
        <v>0/0/0/1.9/3.9</v>
      </c>
      <c r="AP549" s="32" t="str">
        <f t="shared" si="1396"/>
        <v>0/0.9/1.9/3.9</v>
      </c>
      <c r="AQ549" s="536">
        <f t="shared" ref="AQ549:AQ599" si="1525">SUM(IE549,G549*IF549,H549*IG549,AC549*AD549,AE549*AF549,AI549)</f>
        <v>0.47259418551663512</v>
      </c>
      <c r="AR549" s="32"/>
      <c r="AS549" s="302"/>
      <c r="AT549" s="3">
        <f t="shared" si="1465"/>
        <v>49</v>
      </c>
      <c r="AU549" s="41" t="s">
        <v>121</v>
      </c>
      <c r="AV549" s="41" t="s">
        <v>116</v>
      </c>
      <c r="AW549" s="41" t="str">
        <f>INDEX(Input!$1:$1048576,AW$93,$C549*2+6)</f>
        <v>Kia</v>
      </c>
      <c r="AX549" s="41" t="str">
        <f>INDEX(Input!$1:$1048576,AX$93,$C549*2+6)</f>
        <v>Kia-LR - R2</v>
      </c>
      <c r="AY549" s="41" t="str">
        <f>IF(LEN(D549)=0,"",INDEX(Input!$1:$1048576,AY$93,$C549*2+6))</f>
        <v>Compact SUV (52)</v>
      </c>
      <c r="AZ549" s="41" t="str">
        <f>INDEX(Input!$1:$1048576,AZ$93,$C549*2+6)</f>
        <v>Kia Soul</v>
      </c>
      <c r="BA549" s="3">
        <f>INDEX(Input!$1:$1048576,BA$93,$C549*2+6)</f>
        <v>2020</v>
      </c>
      <c r="BB549" s="128">
        <f>INDEX(Input!$1:$1048576,BB$93,$C549*2+6)</f>
        <v>1</v>
      </c>
      <c r="BC549" s="128">
        <f>INDEX(Input!$1:$1048576,BC$93,$C549*2+6)</f>
        <v>0.7</v>
      </c>
      <c r="BD549" s="1">
        <f>INDEX(Input!$1:$1048576,BD$93,$C549*2+6)</f>
        <v>4.4999999999999998E-2</v>
      </c>
      <c r="BE549" s="1">
        <f>INDEX(Input!$1:$1048576,BE$93,$C549*2+6)</f>
        <v>4.4999999999999998E-2</v>
      </c>
      <c r="BF549" s="1">
        <f>INDEX(Input!$1:$1048576,BF$93,$C549*2+6)</f>
        <v>0.05</v>
      </c>
      <c r="BG549" s="1">
        <f>INDEX(Input!$1:$1048576,BG$93,$C549*2+6)</f>
        <v>5.45E-2</v>
      </c>
      <c r="BH549" s="1">
        <f>INDEX(Input!$1:$1048576,BH$93,$C549*2+6)</f>
        <v>5.45E-2</v>
      </c>
      <c r="BI549" s="1">
        <f>INDEX(Input!$1:$1048576,BI$93,$C549*2+6)</f>
        <v>0.05</v>
      </c>
      <c r="BJ549" s="1">
        <f>INDEX(Input!$1:$1048576,BJ$93,$C549*2+6)</f>
        <v>0.05</v>
      </c>
      <c r="BK549" s="1">
        <f>INDEX(Input!$1:$1048576,BK$93,$C549*2+6)</f>
        <v>0.05</v>
      </c>
      <c r="BL549" s="1">
        <f>INDEX(Input!$1:$1048576,BL$93,$C549*2+6)</f>
        <v>5.5E-2</v>
      </c>
      <c r="BM549" s="1">
        <f>INDEX(Input!$1:$1048576,BM$93,$C549*2+6)</f>
        <v>0.06</v>
      </c>
      <c r="BN549" s="1">
        <f>INDEX(Input!$1:$1048576,BN$93,$C549*2+6)</f>
        <v>4.4999999999999998E-2</v>
      </c>
      <c r="BO549" s="1">
        <f>INDEX(Input!$1:$1048576,BO$93,$C549*2+6)</f>
        <v>4.4999999999999998E-2</v>
      </c>
      <c r="BP549" s="1">
        <f>INDEX(Input!$1:$1048576,BP$93,$C549*2+6)</f>
        <v>0.05</v>
      </c>
      <c r="BQ549" s="1">
        <f>INDEX(Input!$1:$1048576,BQ$93,$C549*2+6)</f>
        <v>5.45E-2</v>
      </c>
      <c r="BR549" s="1">
        <f>INDEX(Input!$1:$1048576,BR$93,$C549*2+6)</f>
        <v>5.45E-2</v>
      </c>
      <c r="BS549" s="1">
        <f>INDEX(Input!$1:$1048576,BS$93,$C549*2+6)</f>
        <v>0.05</v>
      </c>
      <c r="BT549" s="1">
        <f>INDEX(Input!$1:$1048576,BT$93,$C549*2+6)</f>
        <v>0.05</v>
      </c>
      <c r="BU549" s="1">
        <f>INDEX(Input!$1:$1048576,BU$93,$C549*2+6)</f>
        <v>0.05</v>
      </c>
      <c r="BV549" s="1">
        <f>INDEX(Input!$1:$1048576,BV$93,$C549*2+6)</f>
        <v>5.5E-2</v>
      </c>
      <c r="BW549" s="1">
        <f>INDEX(Input!$1:$1048576,BW$93,$C549*2+6)</f>
        <v>0.06</v>
      </c>
      <c r="BX549" s="127">
        <f>INDEX(Input!$1:$1048576,BX$93,$C549*2+6)</f>
        <v>19985</v>
      </c>
      <c r="BY549" s="20">
        <f>INDEX(Input!$1:$1048576,BY$93,$C549*2+6)</f>
        <v>0.1</v>
      </c>
      <c r="BZ549" s="20">
        <f>INDEX(Input!$1:$1048576,BZ$93,$C549*2+6)</f>
        <v>0.1</v>
      </c>
      <c r="CA549" s="20">
        <f>INDEX(Input!$1:$1048576,CA$93,$C549*2+6)</f>
        <v>0.1</v>
      </c>
      <c r="CB549" s="20">
        <f>INDEX(Input!$1:$1048576,CB$93,$C549*2+6)</f>
        <v>0.1</v>
      </c>
      <c r="CC549" s="20">
        <f>INDEX(Input!$1:$1048576,CC$93,$C549*2+6)</f>
        <v>0.1</v>
      </c>
      <c r="CD549" s="384">
        <f>INDEX(Input!$1:$1048576,CD$93,$C549*2+6)</f>
        <v>0.1</v>
      </c>
      <c r="CE549" s="384">
        <f>INDEX(Input!$1:$1048576,CE$93,$C549*2+6)</f>
        <v>0.1</v>
      </c>
      <c r="CF549" s="384">
        <f>INDEX(Input!$1:$1048576,CF$93,$C549*2+6)</f>
        <v>0.1</v>
      </c>
      <c r="CG549" s="384">
        <f>INDEX(Input!$1:$1048576,CG$93,$C549*2+6)</f>
        <v>0.1</v>
      </c>
      <c r="CH549" s="384">
        <f>INDEX(Input!$1:$1048576,CH$93,$C549*2+6)</f>
        <v>0.1</v>
      </c>
      <c r="CI549" s="304">
        <f t="shared" si="1397"/>
        <v>2027.4263093788063</v>
      </c>
      <c r="CJ549" s="16" t="str">
        <f>INDEX(Input!$1:$1048576,CJ$93,$C549*2+6)</f>
        <v>N</v>
      </c>
      <c r="CK549" s="1" t="str">
        <f t="shared" si="1398"/>
        <v>Market</v>
      </c>
      <c r="CL549" s="1" t="str">
        <f t="shared" si="1399"/>
        <v>Market</v>
      </c>
      <c r="CM549" s="1" t="str">
        <f t="shared" si="1400"/>
        <v>Market</v>
      </c>
      <c r="CN549" s="1" t="str">
        <f t="shared" si="1401"/>
        <v>Market</v>
      </c>
      <c r="CO549" s="1" t="str">
        <f t="shared" si="1402"/>
        <v>Market</v>
      </c>
      <c r="CP549" s="304">
        <f t="shared" si="1403"/>
        <v>500</v>
      </c>
      <c r="CQ549" s="1">
        <f t="shared" si="1404"/>
        <v>0</v>
      </c>
      <c r="CR549" s="1">
        <f t="shared" si="1405"/>
        <v>0</v>
      </c>
      <c r="CS549" s="1">
        <f t="shared" si="1406"/>
        <v>0</v>
      </c>
      <c r="CT549" s="1">
        <f t="shared" si="1407"/>
        <v>1.9E-2</v>
      </c>
      <c r="CU549" s="1">
        <f t="shared" si="1408"/>
        <v>3.9E-2</v>
      </c>
      <c r="CV549" s="304">
        <f t="shared" si="1409"/>
        <v>-1077.9364173925233</v>
      </c>
      <c r="CW549" s="20" t="s">
        <v>122</v>
      </c>
      <c r="CX549" s="20" t="s">
        <v>122</v>
      </c>
      <c r="CY549" s="20" t="s">
        <v>122</v>
      </c>
      <c r="CZ549" s="20" t="s">
        <v>122</v>
      </c>
      <c r="DA549" s="20" t="s">
        <v>122</v>
      </c>
      <c r="DB549" s="503">
        <f t="shared" si="1410"/>
        <v>0</v>
      </c>
      <c r="DC549" s="127">
        <v>0</v>
      </c>
      <c r="DD549" s="127">
        <v>0</v>
      </c>
      <c r="DE549" s="127">
        <v>0</v>
      </c>
      <c r="DF549" s="127">
        <v>0</v>
      </c>
      <c r="DG549" s="127">
        <v>0</v>
      </c>
      <c r="DH549" s="127">
        <v>0</v>
      </c>
      <c r="DI549" s="127">
        <v>0</v>
      </c>
      <c r="DJ549" s="127">
        <v>0</v>
      </c>
      <c r="DK549" s="127">
        <v>0</v>
      </c>
      <c r="DL549" s="127">
        <v>0</v>
      </c>
      <c r="DM549" s="304">
        <f>INDEX(Input!$1:$1048576,DM$93,$C549*2+6)</f>
        <v>21036.84210526316</v>
      </c>
      <c r="DN549" s="20">
        <v>0</v>
      </c>
      <c r="DO549" s="20">
        <v>0</v>
      </c>
      <c r="DP549" s="20">
        <v>0</v>
      </c>
      <c r="DQ549" s="20">
        <v>0</v>
      </c>
      <c r="DR549" s="20">
        <v>0</v>
      </c>
      <c r="DS549" s="20">
        <f>INDEX(Input!$1:$1048576,DS$93,$C549*2+6)</f>
        <v>0.6</v>
      </c>
      <c r="DT549" s="20">
        <f>INDEX(Input!$1:$1048576,DT$93,$C549*2+6)</f>
        <v>0.55000000000000004</v>
      </c>
      <c r="DU549" s="20">
        <f>INDEX(Input!$1:$1048576,DU$93,$C549*2+6)</f>
        <v>0.52</v>
      </c>
      <c r="DV549" s="20">
        <f>INDEX(Input!$1:$1048576,DV$93,$C549*2+6)</f>
        <v>0.5</v>
      </c>
      <c r="DW549" s="20">
        <f>INDEX(Input!$1:$1048576,DW$93,$C549*2+6)</f>
        <v>0.45</v>
      </c>
      <c r="DX549" s="20"/>
      <c r="DY549" s="7">
        <v>0.13538475653802262</v>
      </c>
      <c r="DZ549" s="7">
        <v>0</v>
      </c>
      <c r="EA549" s="7">
        <v>0.77086167780693982</v>
      </c>
      <c r="EB549" s="7">
        <v>0</v>
      </c>
      <c r="EC549" s="7">
        <v>0</v>
      </c>
      <c r="ED549" s="7">
        <v>0</v>
      </c>
      <c r="EE549" s="7">
        <v>0</v>
      </c>
      <c r="EF549" s="7">
        <v>0</v>
      </c>
      <c r="EG549" s="7">
        <v>0</v>
      </c>
      <c r="EH549" s="7">
        <v>1.2091544120028924E-2</v>
      </c>
      <c r="EI549" s="7">
        <v>3.3621941787051524E-2</v>
      </c>
      <c r="EJ549" s="7">
        <v>0.2920337439475309</v>
      </c>
      <c r="EK549" s="7">
        <v>0.53720540038149789</v>
      </c>
      <c r="EL549" s="7">
        <v>0.12504736976389066</v>
      </c>
      <c r="EM549" s="7">
        <v>5.2465851940611374E-2</v>
      </c>
      <c r="EN549" s="7">
        <v>5.7504649157040004E-2</v>
      </c>
      <c r="EO549" s="7">
        <v>0.70685120123520717</v>
      </c>
      <c r="EP549" s="7">
        <v>9.4540794078403073E-2</v>
      </c>
      <c r="EQ549" s="7">
        <v>9.3079778444546082E-2</v>
      </c>
      <c r="ER549" s="7">
        <v>4.8023577084803239E-2</v>
      </c>
      <c r="ES549" s="7">
        <v>4.1287713714426195E-2</v>
      </c>
      <c r="ET549" s="7">
        <v>9.3753565655037674E-2</v>
      </c>
      <c r="EU549" s="6">
        <v>2020</v>
      </c>
      <c r="EV549" s="6">
        <v>0</v>
      </c>
      <c r="EW549" s="6">
        <v>2020</v>
      </c>
      <c r="EX549" s="6">
        <v>0</v>
      </c>
      <c r="EY549" s="6">
        <v>2015.7844697728701</v>
      </c>
      <c r="EZ549" s="6">
        <v>-366.44990394013166</v>
      </c>
      <c r="FA549" s="6">
        <v>0</v>
      </c>
      <c r="FB549" s="6">
        <v>0</v>
      </c>
      <c r="FC549" s="6">
        <v>0</v>
      </c>
      <c r="FD549" s="6">
        <v>0</v>
      </c>
      <c r="FE549" s="6">
        <v>0</v>
      </c>
      <c r="FF549" s="6">
        <v>0</v>
      </c>
      <c r="FG549" s="6">
        <v>0</v>
      </c>
      <c r="FH549" s="6">
        <v>1172.1443920494446</v>
      </c>
      <c r="FI549" s="6">
        <v>1553.9796069512397</v>
      </c>
      <c r="FJ549" s="6">
        <v>2101.2110117447405</v>
      </c>
      <c r="FK549" s="6">
        <v>1772.7139978623238</v>
      </c>
      <c r="FL549" s="6">
        <v>907.07682140966335</v>
      </c>
      <c r="FM549" s="6">
        <v>1745.7844697728701</v>
      </c>
      <c r="FN549" s="6">
        <v>0</v>
      </c>
      <c r="FO549" s="6">
        <v>0</v>
      </c>
      <c r="FP549" s="6">
        <v>0</v>
      </c>
      <c r="FQ549" s="6">
        <v>0</v>
      </c>
      <c r="FR549" s="6">
        <v>0</v>
      </c>
      <c r="FS549" s="6">
        <v>0</v>
      </c>
      <c r="FT549" s="7">
        <v>0.90624643434496244</v>
      </c>
      <c r="FU549" s="7">
        <v>5.2465851940611374E-2</v>
      </c>
      <c r="FV549" s="7">
        <v>4.1287713714426195E-2</v>
      </c>
      <c r="FW549" s="6">
        <v>2020.0000000000002</v>
      </c>
      <c r="FX549" s="6">
        <v>2015.7844697728699</v>
      </c>
      <c r="FY549" s="6">
        <v>-366.44990394013166</v>
      </c>
      <c r="FZ549" s="6">
        <v>1758.1538569113241</v>
      </c>
      <c r="GA549" s="6">
        <v>1921.2477681875523</v>
      </c>
      <c r="GB549" s="6">
        <v>18063.752231812447</v>
      </c>
      <c r="GC549" s="7">
        <v>3.064145122680037E-2</v>
      </c>
      <c r="GD549" s="7">
        <v>3.1736127433731935E-2</v>
      </c>
      <c r="GE549" s="7"/>
      <c r="GF549" s="7"/>
      <c r="GG549" s="7">
        <v>3.5725338164600787E-2</v>
      </c>
      <c r="GH549" s="42">
        <v>4.3776673061099824</v>
      </c>
      <c r="GI549" s="6">
        <v>6486.4644926532519</v>
      </c>
      <c r="GJ549" s="14">
        <v>0.50394797582841722</v>
      </c>
      <c r="GK549" s="14">
        <v>0.5088757306530971</v>
      </c>
      <c r="GL549" s="14">
        <v>0.49605202417158284</v>
      </c>
      <c r="GM549" s="14">
        <v>0.49112426934690234</v>
      </c>
      <c r="GO549" s="5">
        <v>343.14810671672558</v>
      </c>
      <c r="GP549" s="5">
        <v>304.61036031982871</v>
      </c>
      <c r="GQ549" s="5">
        <v>535.04305713031317</v>
      </c>
      <c r="GR549" s="5">
        <v>410.15490233172511</v>
      </c>
      <c r="GS549" s="5">
        <v>339.42744393800166</v>
      </c>
      <c r="GT549" s="5">
        <v>293.4407446948278</v>
      </c>
      <c r="GU549" s="5">
        <v>258.04012322764959</v>
      </c>
      <c r="GV549" s="39" t="s">
        <v>392</v>
      </c>
      <c r="GW549" s="5">
        <v>492.125</v>
      </c>
      <c r="GX549" s="5">
        <v>369.09375</v>
      </c>
      <c r="GY549" s="5">
        <v>295.27499999999998</v>
      </c>
      <c r="GZ549" s="5">
        <v>260.54902799031458</v>
      </c>
      <c r="HA549" s="5">
        <v>241.34874471337258</v>
      </c>
      <c r="HB549" s="39">
        <v>274.73883409341192</v>
      </c>
      <c r="HC549" s="5">
        <v>303.31655829738077</v>
      </c>
      <c r="HD549" s="5">
        <v>250.74799238008356</v>
      </c>
      <c r="HE549" s="5">
        <v>251.12245558578954</v>
      </c>
      <c r="HF549" s="5">
        <v>229.38290951107166</v>
      </c>
      <c r="HG549" s="5">
        <v>217.65500473779989</v>
      </c>
      <c r="HH549" s="39">
        <v>250.22843054576433</v>
      </c>
      <c r="HI549" s="16"/>
      <c r="HJ549" s="19" t="str">
        <f t="shared" si="1513"/>
        <v>On</v>
      </c>
      <c r="HK549" s="1" t="str">
        <f t="shared" si="1513"/>
        <v>On</v>
      </c>
      <c r="HL549" s="16"/>
      <c r="HM549" s="639">
        <f t="shared" si="1413"/>
        <v>2.4909940070666322E-2</v>
      </c>
      <c r="HN549" s="639">
        <f t="shared" si="1414"/>
        <v>2.2052381276269151E-3</v>
      </c>
      <c r="HO549" s="639">
        <f t="shared" si="1415"/>
        <v>2.079866082302006E-3</v>
      </c>
      <c r="HP549" s="644">
        <f>(FT549*$GD549-HM549)/$JF549*INDEX(Input!$1:$1048576,$JG$93,$C549*2+6)</f>
        <v>108.28950392568109</v>
      </c>
      <c r="HQ549" s="644">
        <f>(FU549*$GD549-HN549)/$JF549*INDEX(Input!$1:$1048576,$JG$93,$C549*2+6)</f>
        <v>-15.190379771610134</v>
      </c>
      <c r="HR549" s="644">
        <f>(FV549*$GD549-HO549)/$JF549*INDEX(Input!$1:$1048576,$JG$93,$C549*2+6)</f>
        <v>-21.640788668282521</v>
      </c>
      <c r="HS549" s="644">
        <f t="shared" si="1416"/>
        <v>-37.637188125872939</v>
      </c>
      <c r="HT549" s="644">
        <f t="shared" si="1417"/>
        <v>-1.4005832936722888</v>
      </c>
      <c r="HU549" s="644">
        <f t="shared" si="1418"/>
        <v>0.69979579078624832</v>
      </c>
      <c r="HV549" s="648">
        <f t="shared" si="1419"/>
        <v>0</v>
      </c>
      <c r="HW549" s="648">
        <f t="shared" si="1420"/>
        <v>0</v>
      </c>
      <c r="HX549" s="648">
        <f t="shared" si="1421"/>
        <v>0</v>
      </c>
      <c r="HY549" s="644">
        <f>INDEX(Input!$1:$1048576,HY$93,$C549*2+6)*INDEX(Input!$1:$1048576,$JG$93,$C549*2+6)</f>
        <v>333.00000000000006</v>
      </c>
      <c r="HZ549" s="644">
        <f>INDEX(Input!$1:$1048576,HZ$93,$C549*2+6)*INDEX(Input!$1:$1048576,$JG$93,$C549*2+6)</f>
        <v>429</v>
      </c>
      <c r="IA549" s="644">
        <f>INDEX(Input!$1:$1048576,IA$93,$C549*2+6)*INDEX(Input!$1:$1048576,$JG$93,$C549*2+6)</f>
        <v>59</v>
      </c>
      <c r="IB549" s="644">
        <f t="shared" si="1445"/>
        <v>403.65231579980821</v>
      </c>
      <c r="IC549" s="644">
        <f t="shared" si="1446"/>
        <v>412.40903693471756</v>
      </c>
      <c r="ID549" s="644">
        <f>IF(AND(INDEX(Input!$1:$1048576,IA$93,$C549*2+7)="TOS",Y549&lt;=INDEX(Y:Y,MATCH(C549*1000+2,A:A))),0,1)*MAX(IA549+HR549+HU549+HX549,0%)</f>
        <v>38.059007122503722</v>
      </c>
      <c r="IE549" s="128">
        <f t="shared" si="1514"/>
        <v>0.47259418551663512</v>
      </c>
      <c r="IF549" s="128">
        <f t="shared" si="1468"/>
        <v>0.48284651240927018</v>
      </c>
      <c r="IG549" s="128">
        <f t="shared" si="1423"/>
        <v>4.4559302074094552E-2</v>
      </c>
      <c r="IH549" s="21"/>
      <c r="II549" s="19">
        <f t="shared" si="1424"/>
        <v>1240</v>
      </c>
      <c r="IJ549" s="19">
        <f t="shared" si="1425"/>
        <v>1985.7442651839444</v>
      </c>
      <c r="IK549" s="19">
        <f t="shared" si="1426"/>
        <v>-21.44990394013189</v>
      </c>
      <c r="IL549" s="19">
        <f t="shared" si="1448"/>
        <v>780.00000000000023</v>
      </c>
      <c r="IM549" s="19">
        <f t="shared" si="1427"/>
        <v>30.040204588925462</v>
      </c>
      <c r="IN549" s="19">
        <f t="shared" si="1428"/>
        <v>-344.99999999999977</v>
      </c>
      <c r="IO549" s="39">
        <f t="shared" si="1429"/>
        <v>0</v>
      </c>
      <c r="IP549" s="39">
        <f t="shared" si="1430"/>
        <v>0</v>
      </c>
      <c r="IQ549" s="39">
        <f t="shared" si="1431"/>
        <v>0</v>
      </c>
      <c r="IR549" s="39">
        <v>0</v>
      </c>
      <c r="IS549" s="39">
        <v>0</v>
      </c>
      <c r="IT549" s="39">
        <v>0</v>
      </c>
      <c r="IU549" s="39">
        <v>0</v>
      </c>
      <c r="IV549" s="39">
        <v>0</v>
      </c>
      <c r="IW549" s="39">
        <v>0</v>
      </c>
      <c r="IX549" s="39">
        <f>INDEX(Input!$1:$1048576,IX$93,$C549*2+6)+INDEX(Input!$1:$1048576,IX$94,$C549*2+6)</f>
        <v>1270</v>
      </c>
      <c r="IY549" s="39">
        <f>INDEX(Input!$1:$1048576,IY$93,$C549*2+6)+INDEX(Input!$1:$1048576,IY$94,$C549*2+6)</f>
        <v>2130.0624533823611</v>
      </c>
      <c r="IZ549" s="39">
        <f>INDEX(Input!$1:$1048576,IZ$93,$C549*2+6)+INDEX(Input!$1:$1048576,IZ$94,$C549*2+6)</f>
        <v>3653.7164157747857</v>
      </c>
      <c r="JA549" s="19">
        <f t="shared" si="1449"/>
        <v>2050</v>
      </c>
      <c r="JB549" s="19">
        <f t="shared" si="1450"/>
        <v>2160.1026579712866</v>
      </c>
      <c r="JC549" s="19">
        <f t="shared" si="1451"/>
        <v>3308.7164157747857</v>
      </c>
      <c r="JD549" s="19">
        <f t="shared" si="1452"/>
        <v>2159.2502094045562</v>
      </c>
      <c r="JE549" s="21"/>
      <c r="JF549" s="1">
        <f t="shared" si="1432"/>
        <v>2.9195044280595241E-2</v>
      </c>
      <c r="JG549" s="15">
        <f>INDEX(Input!$1:$1048576,JG$93,$C549*2+6)/(1+VLOOKUP(C549*1000+INDEX(Input!$1:$1048576,JG$93+1,$C549*2+6),$A:$KK,$JK$92,FALSE))</f>
        <v>821</v>
      </c>
      <c r="JH549" s="1">
        <f t="shared" si="1453"/>
        <v>8.7038167461374452E-2</v>
      </c>
      <c r="JI549" s="1">
        <f t="shared" si="1454"/>
        <v>-4.6696681642824582E-2</v>
      </c>
      <c r="JJ549" s="1">
        <f t="shared" si="1492"/>
        <v>0</v>
      </c>
      <c r="JK549" s="1">
        <f t="shared" si="1496"/>
        <v>4.034148581854987E-2</v>
      </c>
      <c r="JL549" s="15">
        <f t="shared" si="1457"/>
        <v>33.120359857029442</v>
      </c>
      <c r="JM549" s="15">
        <f t="shared" si="1483"/>
        <v>854.12035985702948</v>
      </c>
      <c r="JN549" s="21"/>
      <c r="JO549" s="19">
        <f>INDEX(Input!$1:$1048576,JO$93,$C549*2+6)</f>
        <v>5995.5</v>
      </c>
      <c r="JP549" s="19">
        <f>INDEX(Input!$1:$1048576,JP$93,$C549*2+6)</f>
        <v>1890.7138380411029</v>
      </c>
      <c r="JQ549" s="39">
        <f t="shared" si="1469"/>
        <v>3836.2497905954438</v>
      </c>
      <c r="JR549" s="39">
        <f t="shared" si="1486"/>
        <v>268.53637136345333</v>
      </c>
      <c r="JS549" s="39">
        <f t="shared" si="1471"/>
        <v>1.8442595658779859</v>
      </c>
      <c r="JT549" s="39">
        <f t="shared" si="1459"/>
        <v>0.29198350484624042</v>
      </c>
      <c r="JU549" s="385">
        <f>(JQ549*JM549-INDEX(Input!$1:$1048576,Input!A$18,$C549*2+6)*JL549*INDEX(Input!$1:$1048576,Input!A$19,$C549*2+6))/1000000</f>
        <v>3.2766190516448344</v>
      </c>
      <c r="JV549" s="39">
        <f t="shared" si="1493"/>
        <v>-9.3410387323419997E-2</v>
      </c>
      <c r="JW549" s="1">
        <f t="shared" si="1484"/>
        <v>-2.7717973689873134E-2</v>
      </c>
      <c r="JX549" s="19">
        <f t="shared" si="1475"/>
        <v>8815.8312924933398</v>
      </c>
      <c r="JZ549" s="341"/>
      <c r="KA549" s="342"/>
      <c r="KB549" s="469">
        <f t="shared" si="1472"/>
        <v>2.5122967434604799</v>
      </c>
      <c r="KI549" s="473">
        <f t="shared" si="1515"/>
        <v>70.652315799808093</v>
      </c>
      <c r="KJ549" s="473">
        <f t="shared" si="1516"/>
        <v>-16.590963065282494</v>
      </c>
      <c r="KK549" s="473">
        <f t="shared" si="1461"/>
        <v>-20.940992877496278</v>
      </c>
      <c r="KN549" s="544">
        <f t="shared" si="1476"/>
        <v>5002</v>
      </c>
      <c r="KO549" s="541">
        <f t="shared" si="1436"/>
        <v>3.6122768408241912E-2</v>
      </c>
      <c r="KP549" s="546">
        <f t="shared" si="1437"/>
        <v>338.4229918250573</v>
      </c>
      <c r="KQ549" s="546">
        <f t="shared" si="1438"/>
        <v>240.33144368128978</v>
      </c>
      <c r="KR549" s="548">
        <f t="shared" si="1439"/>
        <v>1.9283467265356895</v>
      </c>
      <c r="KS549" s="548">
        <f t="shared" si="1440"/>
        <v>2.7154036045973684</v>
      </c>
      <c r="KT549" s="473">
        <f t="shared" si="1474"/>
        <v>595.94378802984284</v>
      </c>
      <c r="KU549" s="663">
        <f t="shared" si="1462"/>
        <v>4.0097567025773291</v>
      </c>
      <c r="KV549" s="117"/>
    </row>
    <row r="550" spans="1:308" s="26" customFormat="1" ht="15">
      <c r="A550" s="561">
        <f t="shared" si="1441"/>
        <v>5050</v>
      </c>
      <c r="B550" s="561">
        <f t="shared" si="1463"/>
        <v>50</v>
      </c>
      <c r="C550" s="561">
        <f t="shared" si="1464"/>
        <v>5</v>
      </c>
      <c r="D550" s="561" t="str">
        <f t="shared" si="1509"/>
        <v xml:space="preserve">1000 CC, -360 Lease, </v>
      </c>
      <c r="E550" s="475">
        <f>INDEX(Input!$1:$1048576,E$93,$C550*2+MIN($B550,2)+5)
+INDEX(Scenarios!E$121:E$200,MATCH($B550,Scenarios!$B$121:$B$200,0))</f>
        <v>2277.4263093788063</v>
      </c>
      <c r="F550" s="475">
        <f>INDEX(Input!$1:$1048576,F$93,$C550*2+MIN($B550,2)+5)
+INDEX(Scenarios!F$121:F$200,MATCH($B550,Scenarios!$B$121:$B$200,0))</f>
        <v>0</v>
      </c>
      <c r="G550" s="475">
        <f>INDEX(Input!$1:$1048576,G$93,$C550*2+MIN($B550,2)+5)
+INDEX(Scenarios!G$121:G$200,MATCH($B550,Scenarios!$B$121:$B$200,0))</f>
        <v>0</v>
      </c>
      <c r="H550" s="475">
        <f>INDEX(Input!$1:$1048576,H$93,$C550*2+MIN($B550,2)+5)
+INDEX(Scenarios!H$121:H$200,MATCH($B550,Scenarios!$B$121:$B$200,0))</f>
        <v>0</v>
      </c>
      <c r="I550" s="476">
        <f>INDEX(Input!$1:$1048576,I$93,$C550*2+MIN($B550,2)+5)</f>
        <v>0.7</v>
      </c>
      <c r="J550" s="476" t="str">
        <f>INDEX(Input!$1:$1048576,J$93,$C550*2+MIN($B550,2)+5)</f>
        <v>Market</v>
      </c>
      <c r="K550" s="476" t="str">
        <f>INDEX(Input!$1:$1048576,K$93,$C550*2+MIN($B550,2)+5)</f>
        <v>Market</v>
      </c>
      <c r="L550" s="476" t="str">
        <f>INDEX(Input!$1:$1048576,L$93,$C550*2+MIN($B550,2)+5)</f>
        <v>Market</v>
      </c>
      <c r="M550" s="476" t="str">
        <f>INDEX(Input!$1:$1048576,M$93,$C550*2+MIN($B550,2)+5)</f>
        <v>Market</v>
      </c>
      <c r="N550" s="476" t="str">
        <f>INDEX(Input!$1:$1048576,N$93,$C550*2+MIN($B550,2)+5)</f>
        <v>Market</v>
      </c>
      <c r="O550" s="476" t="str">
        <f>INDEX(Input!$1:$1048576,O$93,$C550*2+MIN($B550,2)+5)</f>
        <v>Market</v>
      </c>
      <c r="P550" s="476" t="str">
        <f>INDEX(Input!$1:$1048576,P$93,$C550*2+MIN($B550,2)+5)</f>
        <v>N</v>
      </c>
      <c r="Q550" s="477">
        <f>INDEX(Input!$1:$1048576,Q$93,$C550*2+MIN($B550,2)+5)
+INDEX(Scenarios!Q$121:Q$200,MATCH($B550,Scenarios!$B$121:$B$200,0))</f>
        <v>0</v>
      </c>
      <c r="R550" s="478">
        <f>IFERROR(MAX(0,INDEX(Input!$1:$1048576,R$93,$C550*2+MIN($B550,2)+5)
+INDEX(Scenarios!R$121:R$200,MATCH($B550,Scenarios!$B$121:$B$200,0)),),"Market")</f>
        <v>0</v>
      </c>
      <c r="S550" s="478">
        <f>IFERROR(MAX(0,INDEX(Input!$1:$1048576,S$93,$C550*2+MIN($B550,2)+5)
+INDEX(Scenarios!S$121:S$200,MATCH($B550,Scenarios!$B$121:$B$200,0)),),"Market")</f>
        <v>0</v>
      </c>
      <c r="T550" s="478">
        <f>IFERROR(MAX(0,INDEX(Input!$1:$1048576,T$93,$C550*2+MIN($B550,2)+5)
+INDEX(Scenarios!T$121:T$200,MATCH($B550,Scenarios!$B$121:$B$200,0)),),"Market")</f>
        <v>0</v>
      </c>
      <c r="U550" s="478">
        <f>IFERROR(MAX(0,INDEX(Input!$1:$1048576,U$93,$C550*2+MIN($B550,2)+5)
+INDEX(Scenarios!U$121:U$200,MATCH($B550,Scenarios!$B$121:$B$200,0)),),"Market")</f>
        <v>0</v>
      </c>
      <c r="V550" s="478">
        <f>IFERROR(MAX(0,INDEX(Input!$1:$1048576,V$93,$C550*2+MIN($B550,2)+5)
+INDEX(Scenarios!V$121:V$200,MATCH($B550,Scenarios!$B$121:$B$200,0)),),"Market")</f>
        <v>1.9E-2</v>
      </c>
      <c r="W550" s="885">
        <f>IFERROR(MAX(0,INDEX(Input!$1:$1048576,W$93,$C550*2+MIN($B550,2)+5)-0%,),"Market")</f>
        <v>3.9E-2</v>
      </c>
      <c r="X550" s="476" t="str">
        <f>INDEX(Input!$1:$1048576,X$93,$C550*2+MIN($B550,2)+5)</f>
        <v>Y</v>
      </c>
      <c r="Y550" s="475">
        <f>INDEX(Input!$1:$1048576,Y$93,$C550*2+MIN($B550,2)+5)
++INDEX(Scenarios!Y$121:Y$200,MATCH($B550,Scenarios!$B$121:$B$200,0))</f>
        <v>-1077.9364173925233</v>
      </c>
      <c r="Z550" s="477">
        <f>INDEX(Input!$1:$1048576,Z$93,$C550*2+MIN($B550,2)+5)
+INDEX(Scenarios!Z$121:Z$200,MATCH($B550,Scenarios!$B$121:$B$200,0))</f>
        <v>0</v>
      </c>
      <c r="AA550" s="475">
        <f>INDEX(Input!$1:$1048576,AA$93,$C550*2+MIN($B550,2)+5)
+INDEX(Scenarios!AA$121:AA$200,MATCH($B550,Scenarios!$B$121:$B$200,0))</f>
        <v>0</v>
      </c>
      <c r="AB550" s="476">
        <f>INDEX(Input!$1:$1048576,AB$93,$C550*2+MIN($B550,2)+5)</f>
        <v>0.27</v>
      </c>
      <c r="AC550" s="475">
        <f>INDEX(Input!$1:$1048576,AC$93,$C550*2+MIN($B550,2)+5)
+INDEX(Scenarios!AC$121:AC$200,MATCH($B550,Scenarios!$B$121:$B$200,0))</f>
        <v>0</v>
      </c>
      <c r="AD550" s="476">
        <f>INDEX(Input!$1:$1048576,AD$93,$C550*2+MIN($B550,2)+5)</f>
        <v>0.27</v>
      </c>
      <c r="AE550" s="475">
        <f>INDEX(Input!$1:$1048576,AE$93,$C550*2+MIN($B550,2)+5)
+INDEX(Scenarios!AE$121:AE$200,MATCH($B550,Scenarios!$B$121:$B$200,0))</f>
        <v>0</v>
      </c>
      <c r="AF550" s="476">
        <f>INDEX(Input!$1:$1048576,AF$93,$C550*2+MIN($B550,2)+5)</f>
        <v>0.2</v>
      </c>
      <c r="AG550" s="475">
        <f>INDEX(Input!$1:$1048576,AG$93,$C550*2+MIN($B550,2)+5)
+INDEX(Scenarios!AG$121:AG$200,MATCH($B550,Scenarios!$B$121:$B$200,0))</f>
        <v>500</v>
      </c>
      <c r="AH550" s="476">
        <f>INDEX(Input!$1:$1048576,AH$93,$C550*2+MIN($B550,2)+5)</f>
        <v>1</v>
      </c>
      <c r="AI550" s="475">
        <f>INDEX(Input!$1:$1048576,AI$93,$C550*2+MIN($B550,2)+5)
+INDEX(Scenarios!AI$121:AI$200,MATCH($B550,Scenarios!$B$121:$B$200,0))</f>
        <v>0</v>
      </c>
      <c r="AJ550" s="476">
        <f>INDEX(Input!$1:$1048576,AJ$93,$C550*2+MIN($B550,2)+5)</f>
        <v>0.27</v>
      </c>
      <c r="AK550" s="150">
        <f>ROUND(INDEX(Input!$1:$1048576,AK$93,$C549*2+MIN($B550,1)+5)+(Y550-VLOOKUP($C550*1000+1,$A:$HH,Y$92,FALSE)),0)</f>
        <v>2227</v>
      </c>
      <c r="AL550" s="150">
        <f>ROUND(INDEX(Input!$1:$1048576,AL$93,$C549*2+MIN($B550,1)+5)-(Y550-VLOOKUP($C550*1000+1,$A:$HH,Y$92,FALSE))/36,0)</f>
        <v>3416</v>
      </c>
      <c r="AM550" s="32" t="str">
        <f t="shared" si="1442"/>
        <v>std/std/std/std</v>
      </c>
      <c r="AN550" s="32" t="str">
        <f t="shared" si="1443"/>
        <v>$0 + 0/0/0/1.9/3.9</v>
      </c>
      <c r="AO550" s="32" t="str">
        <f t="shared" si="1444"/>
        <v>0/0/0/1.9/3.9</v>
      </c>
      <c r="AP550" s="32" t="str">
        <f t="shared" ref="AP550:AP599" si="1526">IF(X550="Y",
IF(U550="market","std",ROUND(U550*1000,0)/10)&amp;"/"
&amp;MAX(IF(V550="market","std",ROUND(V550*1000,0)/10-1),0)&amp;"/"
&amp;IF(V550="market","std",ROUND(V550*1000,0)/10)&amp;"/"
&amp;IF(W550="market","std",ROUND(W550*1000,0)/10),
IF(U550="market","std",ROUND(U550*1000,0)/10)&amp;"/"
&amp;MAX(IF(V550="market","std",ROUND(V550*1000,0)/10-1),0)&amp;"/"
&amp;IF(V550="market","std",ROUND(V550*1000,0)/10)&amp;"/"
&amp;IF(W550="market","std",ROUND(W550*1000,0)/10))</f>
        <v>0/0.9/1.9/3.9</v>
      </c>
      <c r="AQ550" s="536">
        <f t="shared" si="1525"/>
        <v>0.49000998851487126</v>
      </c>
      <c r="AR550" s="32"/>
      <c r="AS550" s="302"/>
      <c r="AT550" s="3">
        <f t="shared" si="1465"/>
        <v>50</v>
      </c>
      <c r="AU550" s="41" t="s">
        <v>121</v>
      </c>
      <c r="AV550" s="41" t="s">
        <v>116</v>
      </c>
      <c r="AW550" s="41" t="str">
        <f>INDEX(Input!$1:$1048576,AW$93,$C550*2+6)</f>
        <v>Kia</v>
      </c>
      <c r="AX550" s="41" t="str">
        <f>INDEX(Input!$1:$1048576,AX$93,$C550*2+6)</f>
        <v>Kia-LR - R2</v>
      </c>
      <c r="AY550" s="41" t="str">
        <f>IF(LEN(D550)=0,"",INDEX(Input!$1:$1048576,AY$93,$C550*2+6))</f>
        <v>Compact SUV (52)</v>
      </c>
      <c r="AZ550" s="41" t="str">
        <f>INDEX(Input!$1:$1048576,AZ$93,$C550*2+6)</f>
        <v>Kia Soul</v>
      </c>
      <c r="BA550" s="3">
        <f>INDEX(Input!$1:$1048576,BA$93,$C550*2+6)</f>
        <v>2020</v>
      </c>
      <c r="BB550" s="128">
        <f>INDEX(Input!$1:$1048576,BB$93,$C550*2+6)</f>
        <v>1</v>
      </c>
      <c r="BC550" s="128">
        <f>INDEX(Input!$1:$1048576,BC$93,$C550*2+6)</f>
        <v>0.7</v>
      </c>
      <c r="BD550" s="1">
        <f>INDEX(Input!$1:$1048576,BD$93,$C550*2+6)</f>
        <v>4.4999999999999998E-2</v>
      </c>
      <c r="BE550" s="1">
        <f>INDEX(Input!$1:$1048576,BE$93,$C550*2+6)</f>
        <v>4.4999999999999998E-2</v>
      </c>
      <c r="BF550" s="1">
        <f>INDEX(Input!$1:$1048576,BF$93,$C550*2+6)</f>
        <v>0.05</v>
      </c>
      <c r="BG550" s="1">
        <f>INDEX(Input!$1:$1048576,BG$93,$C550*2+6)</f>
        <v>5.45E-2</v>
      </c>
      <c r="BH550" s="1">
        <f>INDEX(Input!$1:$1048576,BH$93,$C550*2+6)</f>
        <v>5.45E-2</v>
      </c>
      <c r="BI550" s="1">
        <f>INDEX(Input!$1:$1048576,BI$93,$C550*2+6)</f>
        <v>0.05</v>
      </c>
      <c r="BJ550" s="1">
        <f>INDEX(Input!$1:$1048576,BJ$93,$C550*2+6)</f>
        <v>0.05</v>
      </c>
      <c r="BK550" s="1">
        <f>INDEX(Input!$1:$1048576,BK$93,$C550*2+6)</f>
        <v>0.05</v>
      </c>
      <c r="BL550" s="1">
        <f>INDEX(Input!$1:$1048576,BL$93,$C550*2+6)</f>
        <v>5.5E-2</v>
      </c>
      <c r="BM550" s="1">
        <f>INDEX(Input!$1:$1048576,BM$93,$C550*2+6)</f>
        <v>0.06</v>
      </c>
      <c r="BN550" s="1">
        <f>INDEX(Input!$1:$1048576,BN$93,$C550*2+6)</f>
        <v>4.4999999999999998E-2</v>
      </c>
      <c r="BO550" s="1">
        <f>INDEX(Input!$1:$1048576,BO$93,$C550*2+6)</f>
        <v>4.4999999999999998E-2</v>
      </c>
      <c r="BP550" s="1">
        <f>INDEX(Input!$1:$1048576,BP$93,$C550*2+6)</f>
        <v>0.05</v>
      </c>
      <c r="BQ550" s="1">
        <f>INDEX(Input!$1:$1048576,BQ$93,$C550*2+6)</f>
        <v>5.45E-2</v>
      </c>
      <c r="BR550" s="1">
        <f>INDEX(Input!$1:$1048576,BR$93,$C550*2+6)</f>
        <v>5.45E-2</v>
      </c>
      <c r="BS550" s="1">
        <f>INDEX(Input!$1:$1048576,BS$93,$C550*2+6)</f>
        <v>0.05</v>
      </c>
      <c r="BT550" s="1">
        <f>INDEX(Input!$1:$1048576,BT$93,$C550*2+6)</f>
        <v>0.05</v>
      </c>
      <c r="BU550" s="1">
        <f>INDEX(Input!$1:$1048576,BU$93,$C550*2+6)</f>
        <v>0.05</v>
      </c>
      <c r="BV550" s="1">
        <f>INDEX(Input!$1:$1048576,BV$93,$C550*2+6)</f>
        <v>5.5E-2</v>
      </c>
      <c r="BW550" s="1">
        <f>INDEX(Input!$1:$1048576,BW$93,$C550*2+6)</f>
        <v>0.06</v>
      </c>
      <c r="BX550" s="127">
        <f>INDEX(Input!$1:$1048576,BX$93,$C550*2+6)</f>
        <v>19985</v>
      </c>
      <c r="BY550" s="20">
        <f>INDEX(Input!$1:$1048576,BY$93,$C550*2+6)</f>
        <v>0.1</v>
      </c>
      <c r="BZ550" s="20">
        <f>INDEX(Input!$1:$1048576,BZ$93,$C550*2+6)</f>
        <v>0.1</v>
      </c>
      <c r="CA550" s="20">
        <f>INDEX(Input!$1:$1048576,CA$93,$C550*2+6)</f>
        <v>0.1</v>
      </c>
      <c r="CB550" s="20">
        <f>INDEX(Input!$1:$1048576,CB$93,$C550*2+6)</f>
        <v>0.1</v>
      </c>
      <c r="CC550" s="20">
        <f>INDEX(Input!$1:$1048576,CC$93,$C550*2+6)</f>
        <v>0.1</v>
      </c>
      <c r="CD550" s="384">
        <f>INDEX(Input!$1:$1048576,CD$93,$C550*2+6)</f>
        <v>0.1</v>
      </c>
      <c r="CE550" s="384">
        <f>INDEX(Input!$1:$1048576,CE$93,$C550*2+6)</f>
        <v>0.1</v>
      </c>
      <c r="CF550" s="384">
        <f>INDEX(Input!$1:$1048576,CF$93,$C550*2+6)</f>
        <v>0.1</v>
      </c>
      <c r="CG550" s="384">
        <f>INDEX(Input!$1:$1048576,CG$93,$C550*2+6)</f>
        <v>0.1</v>
      </c>
      <c r="CH550" s="384">
        <f>INDEX(Input!$1:$1048576,CH$93,$C550*2+6)</f>
        <v>0.1</v>
      </c>
      <c r="CI550" s="304">
        <f t="shared" ref="CI550:CI599" si="1527">E550+F550*I550+AA550*AB550</f>
        <v>2277.4263093788063</v>
      </c>
      <c r="CJ550" s="16" t="str">
        <f>INDEX(Input!$1:$1048576,CJ$93,$C550*2+6)</f>
        <v>N</v>
      </c>
      <c r="CK550" s="1" t="str">
        <f t="shared" ref="CK550:CK599" si="1528">K550</f>
        <v>Market</v>
      </c>
      <c r="CL550" s="1" t="str">
        <f t="shared" ref="CL550:CL599" si="1529">L550</f>
        <v>Market</v>
      </c>
      <c r="CM550" s="1" t="str">
        <f t="shared" ref="CM550:CM599" si="1530">M550</f>
        <v>Market</v>
      </c>
      <c r="CN550" s="1" t="str">
        <f t="shared" ref="CN550:CN599" si="1531">N550</f>
        <v>Market</v>
      </c>
      <c r="CO550" s="1" t="str">
        <f t="shared" ref="CO550:CO599" si="1532">O550</f>
        <v>Market</v>
      </c>
      <c r="CP550" s="304">
        <f t="shared" ref="CP550:CP599" si="1533">Q550+G550*I550+AG550*AH550</f>
        <v>500</v>
      </c>
      <c r="CQ550" s="1">
        <f t="shared" ref="CQ550:CQ599" si="1534">S550</f>
        <v>0</v>
      </c>
      <c r="CR550" s="1">
        <f t="shared" ref="CR550:CR599" si="1535">T550</f>
        <v>0</v>
      </c>
      <c r="CS550" s="1">
        <f t="shared" ref="CS550:CS599" si="1536">U550</f>
        <v>0</v>
      </c>
      <c r="CT550" s="1">
        <f t="shared" ref="CT550:CT599" si="1537">V550</f>
        <v>1.9E-2</v>
      </c>
      <c r="CU550" s="1">
        <f t="shared" ref="CU550:CU599" si="1538">W550</f>
        <v>3.9E-2</v>
      </c>
      <c r="CV550" s="304">
        <f t="shared" ref="CV550:CV599" si="1539">Y550+H550*I550+AC550*AD550</f>
        <v>-1077.9364173925233</v>
      </c>
      <c r="CW550" s="20" t="s">
        <v>122</v>
      </c>
      <c r="CX550" s="20" t="s">
        <v>122</v>
      </c>
      <c r="CY550" s="20" t="s">
        <v>122</v>
      </c>
      <c r="CZ550" s="20" t="s">
        <v>122</v>
      </c>
      <c r="DA550" s="20" t="s">
        <v>122</v>
      </c>
      <c r="DB550" s="503">
        <f t="shared" ref="DB550:DB599" si="1540">Z550+AE550*AF550</f>
        <v>0</v>
      </c>
      <c r="DC550" s="127">
        <v>0</v>
      </c>
      <c r="DD550" s="127">
        <v>0</v>
      </c>
      <c r="DE550" s="127">
        <v>0</v>
      </c>
      <c r="DF550" s="127">
        <v>0</v>
      </c>
      <c r="DG550" s="127">
        <v>0</v>
      </c>
      <c r="DH550" s="127">
        <v>0</v>
      </c>
      <c r="DI550" s="127">
        <v>0</v>
      </c>
      <c r="DJ550" s="127">
        <v>0</v>
      </c>
      <c r="DK550" s="127">
        <v>0</v>
      </c>
      <c r="DL550" s="127">
        <v>0</v>
      </c>
      <c r="DM550" s="304">
        <f>INDEX(Input!$1:$1048576,DM$93,$C550*2+6)</f>
        <v>21036.84210526316</v>
      </c>
      <c r="DN550" s="20">
        <v>0</v>
      </c>
      <c r="DO550" s="20">
        <v>0</v>
      </c>
      <c r="DP550" s="20">
        <v>0</v>
      </c>
      <c r="DQ550" s="20">
        <v>0</v>
      </c>
      <c r="DR550" s="20">
        <v>0</v>
      </c>
      <c r="DS550" s="20">
        <f>INDEX(Input!$1:$1048576,DS$93,$C550*2+6)</f>
        <v>0.6</v>
      </c>
      <c r="DT550" s="20">
        <f>INDEX(Input!$1:$1048576,DT$93,$C550*2+6)</f>
        <v>0.55000000000000004</v>
      </c>
      <c r="DU550" s="20">
        <f>INDEX(Input!$1:$1048576,DU$93,$C550*2+6)</f>
        <v>0.52</v>
      </c>
      <c r="DV550" s="20">
        <f>INDEX(Input!$1:$1048576,DV$93,$C550*2+6)</f>
        <v>0.5</v>
      </c>
      <c r="DW550" s="20">
        <f>INDEX(Input!$1:$1048576,DW$93,$C550*2+6)</f>
        <v>0.45</v>
      </c>
      <c r="DX550" s="20"/>
      <c r="DY550" s="7">
        <v>0.14020997116749712</v>
      </c>
      <c r="DZ550" s="7">
        <v>0</v>
      </c>
      <c r="EA550" s="7">
        <v>0.77737928749964502</v>
      </c>
      <c r="EB550" s="7">
        <v>0</v>
      </c>
      <c r="EC550" s="7">
        <v>0</v>
      </c>
      <c r="ED550" s="7">
        <v>0</v>
      </c>
      <c r="EE550" s="7">
        <v>0</v>
      </c>
      <c r="EF550" s="7">
        <v>0</v>
      </c>
      <c r="EG550" s="7">
        <v>0</v>
      </c>
      <c r="EH550" s="7">
        <v>1.2092164394415017E-2</v>
      </c>
      <c r="EI550" s="7">
        <v>3.3624252589261661E-2</v>
      </c>
      <c r="EJ550" s="7">
        <v>0.29203739896018382</v>
      </c>
      <c r="EK550" s="7">
        <v>0.53719962676424027</v>
      </c>
      <c r="EL550" s="7">
        <v>0.12504655729189937</v>
      </c>
      <c r="EM550" s="7">
        <v>4.6106985787266026E-2</v>
      </c>
      <c r="EN550" s="7">
        <v>5.7510615727763129E-2</v>
      </c>
      <c r="EO550" s="7">
        <v>0.70684179652966861</v>
      </c>
      <c r="EP550" s="7">
        <v>9.4550704271318634E-2</v>
      </c>
      <c r="EQ550" s="7">
        <v>9.3077838192804394E-2</v>
      </c>
      <c r="ER550" s="7">
        <v>4.8019045278444791E-2</v>
      </c>
      <c r="ES550" s="7">
        <v>3.6303755545591711E-2</v>
      </c>
      <c r="ET550" s="7">
        <v>8.2410741332857723E-2</v>
      </c>
      <c r="EU550" s="6">
        <v>2270</v>
      </c>
      <c r="EV550" s="6">
        <v>0</v>
      </c>
      <c r="EW550" s="6">
        <v>2270</v>
      </c>
      <c r="EX550" s="6">
        <v>0</v>
      </c>
      <c r="EY550" s="6">
        <v>2015.7855092015304</v>
      </c>
      <c r="EZ550" s="6">
        <v>-366.44990394013166</v>
      </c>
      <c r="FA550" s="6">
        <v>0</v>
      </c>
      <c r="FB550" s="6">
        <v>0</v>
      </c>
      <c r="FC550" s="6">
        <v>0</v>
      </c>
      <c r="FD550" s="6">
        <v>0</v>
      </c>
      <c r="FE550" s="6">
        <v>0</v>
      </c>
      <c r="FF550" s="6">
        <v>0</v>
      </c>
      <c r="FG550" s="6">
        <v>0</v>
      </c>
      <c r="FH550" s="6">
        <v>1172.1455028361131</v>
      </c>
      <c r="FI550" s="6">
        <v>1553.9796069512411</v>
      </c>
      <c r="FJ550" s="6">
        <v>2101.2110117447401</v>
      </c>
      <c r="FK550" s="6">
        <v>1772.7139978623231</v>
      </c>
      <c r="FL550" s="6">
        <v>907.07682140966324</v>
      </c>
      <c r="FM550" s="6">
        <v>1745.7855092015304</v>
      </c>
      <c r="FN550" s="6">
        <v>0</v>
      </c>
      <c r="FO550" s="6">
        <v>0</v>
      </c>
      <c r="FP550" s="6">
        <v>0</v>
      </c>
      <c r="FQ550" s="6">
        <v>0</v>
      </c>
      <c r="FR550" s="6">
        <v>0</v>
      </c>
      <c r="FS550" s="6">
        <v>0</v>
      </c>
      <c r="FT550" s="7">
        <v>0.91758925866714214</v>
      </c>
      <c r="FU550" s="7">
        <v>4.6106985787266026E-2</v>
      </c>
      <c r="FV550" s="7">
        <v>3.6303755545591711E-2</v>
      </c>
      <c r="FW550" s="6">
        <v>2270</v>
      </c>
      <c r="FX550" s="6">
        <v>2015.7855092015304</v>
      </c>
      <c r="FY550" s="6">
        <v>-366.44990394013166</v>
      </c>
      <c r="FZ550" s="6">
        <v>1758.1538569113241</v>
      </c>
      <c r="GA550" s="6">
        <v>2162.5659032649965</v>
      </c>
      <c r="GB550" s="6">
        <v>17822.434096735004</v>
      </c>
      <c r="GC550" s="7">
        <v>3.064145122680037E-2</v>
      </c>
      <c r="GD550" s="7">
        <v>3.264284692426965E-2</v>
      </c>
      <c r="GE550" s="7"/>
      <c r="GF550" s="7"/>
      <c r="GG550" s="7">
        <v>6.5316609277264598E-2</v>
      </c>
      <c r="GH550" s="42">
        <v>3.2277783220744047</v>
      </c>
      <c r="GI550" s="6">
        <v>8354.1311242483844</v>
      </c>
      <c r="GJ550" s="14">
        <v>0.50394797582841688</v>
      </c>
      <c r="GK550" s="14">
        <v>0.50887573065309732</v>
      </c>
      <c r="GL550" s="14">
        <v>0.49605202417158284</v>
      </c>
      <c r="GM550" s="14">
        <v>0.49112426934690229</v>
      </c>
      <c r="GO550" s="5">
        <v>343.14810671672558</v>
      </c>
      <c r="GP550" s="5">
        <v>299.84083725090579</v>
      </c>
      <c r="GQ550" s="5">
        <v>535.04305713031317</v>
      </c>
      <c r="GR550" s="5">
        <v>410.15490233172511</v>
      </c>
      <c r="GS550" s="5">
        <v>339.42744393800166</v>
      </c>
      <c r="GT550" s="5">
        <v>293.4407446948278</v>
      </c>
      <c r="GU550" s="5">
        <v>258.04012322764959</v>
      </c>
      <c r="GV550" s="39" t="s">
        <v>392</v>
      </c>
      <c r="GW550" s="5">
        <v>492.125</v>
      </c>
      <c r="GX550" s="5">
        <v>369.09375</v>
      </c>
      <c r="GY550" s="5">
        <v>295.27499999999998</v>
      </c>
      <c r="GZ550" s="5">
        <v>260.54902799031458</v>
      </c>
      <c r="HA550" s="5">
        <v>241.34874471337258</v>
      </c>
      <c r="HB550" s="39">
        <v>274.7393710829989</v>
      </c>
      <c r="HC550" s="5">
        <v>303.31655829738077</v>
      </c>
      <c r="HD550" s="5">
        <v>250.74799238008356</v>
      </c>
      <c r="HE550" s="5">
        <v>251.12245558578954</v>
      </c>
      <c r="HF550" s="5">
        <v>229.38290951107166</v>
      </c>
      <c r="HG550" s="5">
        <v>217.65500473779989</v>
      </c>
      <c r="HH550" s="39">
        <v>250.22893933548434</v>
      </c>
      <c r="HI550" s="16"/>
      <c r="HJ550" s="19" t="str">
        <f t="shared" si="1513"/>
        <v>On</v>
      </c>
      <c r="HK550" s="1" t="str">
        <f t="shared" si="1513"/>
        <v>On</v>
      </c>
      <c r="HL550" s="16"/>
      <c r="HM550" s="639">
        <f t="shared" si="1413"/>
        <v>2.4909940070666322E-2</v>
      </c>
      <c r="HN550" s="639">
        <f t="shared" si="1414"/>
        <v>2.2052381276269151E-3</v>
      </c>
      <c r="HO550" s="639">
        <f t="shared" si="1415"/>
        <v>2.079866082302006E-3</v>
      </c>
      <c r="HP550" s="644">
        <f>(FT550*$GD550-HM550)/$JF550*INDEX(Input!$1:$1048576,$JG$93,$C550*2+6)</f>
        <v>141.80923892846204</v>
      </c>
      <c r="HQ550" s="644">
        <f>(FU550*$GD550-HN550)/$JF550*INDEX(Input!$1:$1048576,$JG$93,$C550*2+6)</f>
        <v>-19.6897646408488</v>
      </c>
      <c r="HR550" s="644">
        <f>(FV550*$GD550-HO550)/$JF550*INDEX(Input!$1:$1048576,$JG$93,$C550*2+6)</f>
        <v>-25.163088702060239</v>
      </c>
      <c r="HS550" s="644">
        <f t="shared" si="1416"/>
        <v>-49.696666637392866</v>
      </c>
      <c r="HT550" s="644">
        <f t="shared" si="1417"/>
        <v>-2.4176866062884947</v>
      </c>
      <c r="HU550" s="644">
        <f t="shared" si="1418"/>
        <v>1.7169608523407027</v>
      </c>
      <c r="HV550" s="648">
        <f t="shared" si="1419"/>
        <v>0</v>
      </c>
      <c r="HW550" s="648">
        <f t="shared" si="1420"/>
        <v>0</v>
      </c>
      <c r="HX550" s="648">
        <f t="shared" si="1421"/>
        <v>0</v>
      </c>
      <c r="HY550" s="644">
        <f>INDEX(Input!$1:$1048576,HY$93,$C550*2+6)*INDEX(Input!$1:$1048576,$JG$93,$C550*2+6)</f>
        <v>333.00000000000006</v>
      </c>
      <c r="HZ550" s="644">
        <f>INDEX(Input!$1:$1048576,HZ$93,$C550*2+6)*INDEX(Input!$1:$1048576,$JG$93,$C550*2+6)</f>
        <v>429</v>
      </c>
      <c r="IA550" s="644">
        <f>INDEX(Input!$1:$1048576,IA$93,$C550*2+6)*INDEX(Input!$1:$1048576,$JG$93,$C550*2+6)</f>
        <v>59</v>
      </c>
      <c r="IB550" s="644">
        <f t="shared" si="1445"/>
        <v>425.11257229106928</v>
      </c>
      <c r="IC550" s="644">
        <f t="shared" si="1446"/>
        <v>406.89254875286269</v>
      </c>
      <c r="ID550" s="644">
        <f>IF(AND(INDEX(Input!$1:$1048576,IA$93,$C550*2+7)="TOS",Y550&lt;=INDEX(Y:Y,MATCH(C550*1000+2,A:A))),0,1)*MAX(IA550+HR550+HU550+HX550,0%)</f>
        <v>35.553872150280469</v>
      </c>
      <c r="IE550" s="128">
        <f t="shared" si="1514"/>
        <v>0.49000998851487126</v>
      </c>
      <c r="IF550" s="128">
        <f t="shared" si="1468"/>
        <v>0.46900850771513525</v>
      </c>
      <c r="IG550" s="128">
        <f t="shared" si="1423"/>
        <v>4.0981503769993606E-2</v>
      </c>
      <c r="IH550" s="21"/>
      <c r="II550" s="19">
        <f t="shared" si="1424"/>
        <v>1240</v>
      </c>
      <c r="IJ550" s="19">
        <f t="shared" si="1425"/>
        <v>1985.7442651839444</v>
      </c>
      <c r="IK550" s="19">
        <f t="shared" si="1426"/>
        <v>-21.44990394013189</v>
      </c>
      <c r="IL550" s="19">
        <f t="shared" si="1448"/>
        <v>1030</v>
      </c>
      <c r="IM550" s="19">
        <f t="shared" si="1427"/>
        <v>30.041244017585996</v>
      </c>
      <c r="IN550" s="19">
        <f t="shared" si="1428"/>
        <v>-344.99999999999977</v>
      </c>
      <c r="IO550" s="39">
        <f t="shared" si="1429"/>
        <v>0</v>
      </c>
      <c r="IP550" s="39">
        <f t="shared" si="1430"/>
        <v>0</v>
      </c>
      <c r="IQ550" s="39">
        <f t="shared" si="1431"/>
        <v>0</v>
      </c>
      <c r="IR550" s="39">
        <v>0</v>
      </c>
      <c r="IS550" s="39">
        <v>0</v>
      </c>
      <c r="IT550" s="39">
        <v>0</v>
      </c>
      <c r="IU550" s="39">
        <v>0</v>
      </c>
      <c r="IV550" s="39">
        <v>0</v>
      </c>
      <c r="IW550" s="39">
        <v>0</v>
      </c>
      <c r="IX550" s="39">
        <f>INDEX(Input!$1:$1048576,IX$93,$C550*2+6)+INDEX(Input!$1:$1048576,IX$94,$C550*2+6)</f>
        <v>1270</v>
      </c>
      <c r="IY550" s="39">
        <f>INDEX(Input!$1:$1048576,IY$93,$C550*2+6)+INDEX(Input!$1:$1048576,IY$94,$C550*2+6)</f>
        <v>2130.0624533823611</v>
      </c>
      <c r="IZ550" s="39">
        <f>INDEX(Input!$1:$1048576,IZ$93,$C550*2+6)+INDEX(Input!$1:$1048576,IZ$94,$C550*2+6)</f>
        <v>3653.7164157747857</v>
      </c>
      <c r="JA550" s="19">
        <f t="shared" si="1449"/>
        <v>2300</v>
      </c>
      <c r="JB550" s="19">
        <f t="shared" si="1450"/>
        <v>2160.1036973999471</v>
      </c>
      <c r="JC550" s="19">
        <f t="shared" si="1451"/>
        <v>3308.7164157747857</v>
      </c>
      <c r="JD550" s="19">
        <f t="shared" si="1452"/>
        <v>2275.7261594786132</v>
      </c>
      <c r="JE550" s="21"/>
      <c r="JF550" s="1">
        <f t="shared" si="1432"/>
        <v>2.9195044280595241E-2</v>
      </c>
      <c r="JG550" s="15">
        <f>INDEX(Input!$1:$1048576,JG$93,$C550*2+6)/(1+VLOOKUP(C550*1000+INDEX(Input!$1:$1048576,JG$93+1,$C550*2+6),$A:$KK,$JK$92,FALSE))</f>
        <v>821</v>
      </c>
      <c r="JH550" s="1">
        <f t="shared" si="1453"/>
        <v>0.11809547574366991</v>
      </c>
      <c r="JI550" s="1">
        <f t="shared" si="1454"/>
        <v>-6.138537441088996E-2</v>
      </c>
      <c r="JJ550" s="1">
        <f t="shared" si="1492"/>
        <v>0</v>
      </c>
      <c r="JK550" s="1">
        <f t="shared" si="1496"/>
        <v>5.6710101332779948E-2</v>
      </c>
      <c r="JL550" s="15">
        <f t="shared" si="1457"/>
        <v>46.558993194212334</v>
      </c>
      <c r="JM550" s="15">
        <f t="shared" si="1483"/>
        <v>867.55899319421235</v>
      </c>
      <c r="JN550" s="21"/>
      <c r="JO550" s="19">
        <f>INDEX(Input!$1:$1048576,JO$93,$C550*2+6)</f>
        <v>5995.5</v>
      </c>
      <c r="JP550" s="19">
        <f>INDEX(Input!$1:$1048576,JP$93,$C550*2+6)</f>
        <v>1890.7138380411029</v>
      </c>
      <c r="JQ550" s="39">
        <f t="shared" si="1469"/>
        <v>3719.7738405213868</v>
      </c>
      <c r="JR550" s="39">
        <f t="shared" si="1486"/>
        <v>385.01232143751031</v>
      </c>
      <c r="JS550" s="39">
        <f t="shared" si="1471"/>
        <v>1.9743266957029972</v>
      </c>
      <c r="JT550" s="39">
        <f t="shared" si="1459"/>
        <v>0.42205063467125176</v>
      </c>
      <c r="JU550" s="385">
        <f>(JQ550*JM550-INDEX(Input!$1:$1048576,Input!A$18,$C550*2+6)*JL550*INDEX(Input!$1:$1048576,Input!A$19,$C550*2+6))/1000000</f>
        <v>3.2271232479929028</v>
      </c>
      <c r="JV550" s="39">
        <f t="shared" si="1493"/>
        <v>-0.14290619097535151</v>
      </c>
      <c r="JW550" s="1">
        <f t="shared" si="1484"/>
        <v>-4.2405027482223634E-2</v>
      </c>
      <c r="JX550" s="19">
        <f t="shared" si="1475"/>
        <v>9064.8574145653147</v>
      </c>
      <c r="JZ550" s="341"/>
      <c r="KA550" s="342"/>
      <c r="KB550" s="469">
        <f t="shared" si="1472"/>
        <v>2.5122967434604799</v>
      </c>
      <c r="KI550" s="473">
        <f t="shared" si="1515"/>
        <v>92.112572291069228</v>
      </c>
      <c r="KJ550" s="473">
        <f t="shared" si="1516"/>
        <v>-22.107451247137305</v>
      </c>
      <c r="KK550" s="473">
        <f t="shared" si="1461"/>
        <v>-23.446127849719531</v>
      </c>
      <c r="KN550" s="544">
        <f t="shared" si="1476"/>
        <v>5002</v>
      </c>
      <c r="KO550" s="541">
        <f t="shared" si="1436"/>
        <v>5.2425007098906073E-2</v>
      </c>
      <c r="KP550" s="546">
        <f t="shared" si="1437"/>
        <v>475.27530012428434</v>
      </c>
      <c r="KQ550" s="546">
        <f t="shared" si="1438"/>
        <v>356.80739375534677</v>
      </c>
      <c r="KR550" s="548">
        <f t="shared" si="1439"/>
        <v>1.9927701622800544</v>
      </c>
      <c r="KS550" s="548">
        <f t="shared" si="1440"/>
        <v>2.6544137075976137</v>
      </c>
      <c r="KT550" s="473">
        <f t="shared" si="1474"/>
        <v>595.94378802984284</v>
      </c>
      <c r="KU550" s="663">
        <f t="shared" si="1462"/>
        <v>4.0025646666976611</v>
      </c>
      <c r="KV550" s="117"/>
    </row>
    <row r="551" spans="1:308" s="26" customFormat="1" ht="15" outlineLevel="1">
      <c r="A551" s="561">
        <f t="shared" ref="A551:A579" si="1541">C551*1000+B551</f>
        <v>5051</v>
      </c>
      <c r="B551" s="561">
        <f t="shared" ref="B551:B566" si="1542">B550+1</f>
        <v>51</v>
      </c>
      <c r="C551" s="561">
        <f t="shared" ref="C551:C566" si="1543">C550</f>
        <v>5</v>
      </c>
      <c r="D551" s="561" t="str">
        <f t="shared" si="1509"/>
        <v xml:space="preserve">0/0/0.9/3.9, -360 Lease, </v>
      </c>
      <c r="E551" s="475">
        <f>INDEX(Input!$1:$1048576,E$93,$C551*2+MIN($B551,2)+5)
+INDEX(Scenarios!E$121:E$200,MATCH($B551,Scenarios!$B$121:$B$200,0))</f>
        <v>1277.4263093788063</v>
      </c>
      <c r="F551" s="475">
        <f>INDEX(Input!$1:$1048576,F$93,$C551*2+MIN($B551,2)+5)
+INDEX(Scenarios!F$121:F$200,MATCH($B551,Scenarios!$B$121:$B$200,0))</f>
        <v>0</v>
      </c>
      <c r="G551" s="475">
        <f>INDEX(Input!$1:$1048576,G$93,$C551*2+MIN($B551,2)+5)
+INDEX(Scenarios!G$121:G$200,MATCH($B551,Scenarios!$B$121:$B$200,0))</f>
        <v>0</v>
      </c>
      <c r="H551" s="475">
        <f>INDEX(Input!$1:$1048576,H$93,$C551*2+MIN($B551,2)+5)
+INDEX(Scenarios!H$121:H$200,MATCH($B551,Scenarios!$B$121:$B$200,0))</f>
        <v>0</v>
      </c>
      <c r="I551" s="476">
        <f>INDEX(Input!$1:$1048576,I$93,$C551*2+MIN($B551,2)+5)</f>
        <v>0.7</v>
      </c>
      <c r="J551" s="476" t="str">
        <f>INDEX(Input!$1:$1048576,J$93,$C551*2+MIN($B551,2)+5)</f>
        <v>Market</v>
      </c>
      <c r="K551" s="476" t="str">
        <f>INDEX(Input!$1:$1048576,K$93,$C551*2+MIN($B551,2)+5)</f>
        <v>Market</v>
      </c>
      <c r="L551" s="476" t="str">
        <f>INDEX(Input!$1:$1048576,L$93,$C551*2+MIN($B551,2)+5)</f>
        <v>Market</v>
      </c>
      <c r="M551" s="476" t="str">
        <f>INDEX(Input!$1:$1048576,M$93,$C551*2+MIN($B551,2)+5)</f>
        <v>Market</v>
      </c>
      <c r="N551" s="476" t="str">
        <f>INDEX(Input!$1:$1048576,N$93,$C551*2+MIN($B551,2)+5)</f>
        <v>Market</v>
      </c>
      <c r="O551" s="476" t="str">
        <f>INDEX(Input!$1:$1048576,O$93,$C551*2+MIN($B551,2)+5)</f>
        <v>Market</v>
      </c>
      <c r="P551" s="476" t="str">
        <f>INDEX(Input!$1:$1048576,P$93,$C551*2+MIN($B551,2)+5)</f>
        <v>N</v>
      </c>
      <c r="Q551" s="477">
        <f>INDEX(Input!$1:$1048576,Q$93,$C551*2+MIN($B551,2)+5)
+INDEX(Scenarios!Q$121:Q$200,MATCH($B551,Scenarios!$B$121:$B$200,0))</f>
        <v>0</v>
      </c>
      <c r="R551" s="478">
        <f>IFERROR(MAX(0,INDEX(Input!$1:$1048576,R$93,$C551*2+MIN($B551,2)+5)
+INDEX(Scenarios!R$121:R$200,MATCH($B551,Scenarios!$B$121:$B$200,0)),),"Market")</f>
        <v>0</v>
      </c>
      <c r="S551" s="478">
        <f>IFERROR(MAX(0,INDEX(Input!$1:$1048576,S$93,$C551*2+MIN($B551,2)+5)
+INDEX(Scenarios!S$121:S$200,MATCH($B551,Scenarios!$B$121:$B$200,0)),),"Market")</f>
        <v>0</v>
      </c>
      <c r="T551" s="478">
        <f>IFERROR(MAX(0,INDEX(Input!$1:$1048576,T$93,$C551*2+MIN($B551,2)+5)
+INDEX(Scenarios!T$121:T$200,MATCH($B551,Scenarios!$B$121:$B$200,0)),),"Market")</f>
        <v>0</v>
      </c>
      <c r="U551" s="478">
        <f>IFERROR(MAX(0,INDEX(Input!$1:$1048576,U$93,$C551*2+MIN($B551,2)+5)
+INDEX(Scenarios!U$121:U$200,MATCH($B551,Scenarios!$B$121:$B$200,0)),),"Market")</f>
        <v>0</v>
      </c>
      <c r="V551" s="478">
        <f>IFERROR(MAX(0,INDEX(Input!$1:$1048576,V$93,$C551*2+MIN($B551,2)+5)
+INDEX(Scenarios!V$121:V$200,MATCH($B551,Scenarios!$B$121:$B$200,0)),),"Market")</f>
        <v>8.9999999999999993E-3</v>
      </c>
      <c r="W551" s="885">
        <f>IFERROR(MAX(0,INDEX(Input!$1:$1048576,W$93,$C551*2+MIN($B551,2)+5)-0%,),"Market")</f>
        <v>3.9E-2</v>
      </c>
      <c r="X551" s="476" t="str">
        <f>INDEX(Input!$1:$1048576,X$93,$C551*2+MIN($B551,2)+5)</f>
        <v>Y</v>
      </c>
      <c r="Y551" s="475">
        <f>INDEX(Input!$1:$1048576,Y$93,$C551*2+MIN($B551,2)+5)
++INDEX(Scenarios!Y$121:Y$200,MATCH($B551,Scenarios!$B$121:$B$200,0))</f>
        <v>-1077.9364173925233</v>
      </c>
      <c r="Z551" s="477">
        <f>INDEX(Input!$1:$1048576,Z$93,$C551*2+MIN($B551,2)+5)
+INDEX(Scenarios!Z$121:Z$200,MATCH($B551,Scenarios!$B$121:$B$200,0))</f>
        <v>0</v>
      </c>
      <c r="AA551" s="475">
        <f>INDEX(Input!$1:$1048576,AA$93,$C551*2+MIN($B551,2)+5)
+INDEX(Scenarios!AA$121:AA$200,MATCH($B551,Scenarios!$B$121:$B$200,0))</f>
        <v>0</v>
      </c>
      <c r="AB551" s="476">
        <f>INDEX(Input!$1:$1048576,AB$93,$C551*2+MIN($B551,2)+5)</f>
        <v>0.27</v>
      </c>
      <c r="AC551" s="475">
        <f>INDEX(Input!$1:$1048576,AC$93,$C551*2+MIN($B551,2)+5)
+INDEX(Scenarios!AC$121:AC$200,MATCH($B551,Scenarios!$B$121:$B$200,0))</f>
        <v>0</v>
      </c>
      <c r="AD551" s="476">
        <f>INDEX(Input!$1:$1048576,AD$93,$C551*2+MIN($B551,2)+5)</f>
        <v>0.27</v>
      </c>
      <c r="AE551" s="475">
        <f>INDEX(Input!$1:$1048576,AE$93,$C551*2+MIN($B551,2)+5)
+INDEX(Scenarios!AE$121:AE$200,MATCH($B551,Scenarios!$B$121:$B$200,0))</f>
        <v>0</v>
      </c>
      <c r="AF551" s="476">
        <f>INDEX(Input!$1:$1048576,AF$93,$C551*2+MIN($B551,2)+5)</f>
        <v>0.2</v>
      </c>
      <c r="AG551" s="475">
        <f>INDEX(Input!$1:$1048576,AG$93,$C551*2+MIN($B551,2)+5)
+INDEX(Scenarios!AG$121:AG$200,MATCH($B551,Scenarios!$B$121:$B$200,0))</f>
        <v>500</v>
      </c>
      <c r="AH551" s="476">
        <f>INDEX(Input!$1:$1048576,AH$93,$C551*2+MIN($B551,2)+5)</f>
        <v>1</v>
      </c>
      <c r="AI551" s="475">
        <f>INDEX(Input!$1:$1048576,AI$93,$C551*2+MIN($B551,2)+5)
+INDEX(Scenarios!AI$121:AI$200,MATCH($B551,Scenarios!$B$121:$B$200,0))</f>
        <v>0</v>
      </c>
      <c r="AJ551" s="476">
        <f>INDEX(Input!$1:$1048576,AJ$93,$C551*2+MIN($B551,2)+5)</f>
        <v>0.27</v>
      </c>
      <c r="AK551" s="150">
        <f>ROUND(INDEX(Input!$1:$1048576,AK$93,$C550*2+MIN($B551,1)+5)+(Y551-VLOOKUP($C551*1000+1,$A:$HH,Y$92,FALSE)),0)</f>
        <v>2227</v>
      </c>
      <c r="AL551" s="150">
        <f>ROUND(INDEX(Input!$1:$1048576,AL$93,$C550*2+MIN($B551,1)+5)-(Y551-VLOOKUP($C551*1000+1,$A:$HH,Y$92,FALSE))/36,0)</f>
        <v>3416</v>
      </c>
      <c r="AM551" s="32" t="str">
        <f t="shared" ref="AM551:AM579" si="1544">IF(K551="market","std",ROUND(K551*1000,0)/10)&amp;"/"&amp;IF(L551="market","std",ROUND(L551*1000,0)/10)&amp;"/"&amp;IF(M551="market","std",ROUND(M551*1000,0)/10)&amp;"/"&amp;IF(N551="market","std",ROUND(N551*1000,0)/10)&amp;IF(P551="N","","/"&amp;IF(O551="market","std",ROUND(O551*1000,0)/10))</f>
        <v>std/std/std/std</v>
      </c>
      <c r="AN551" s="32" t="str">
        <f t="shared" ref="AN551:AN579" si="1545">"$"&amp;ROUND(Q551,0)&amp;" + "&amp;IF(S551="market","std",ROUND(S551*1000,0)/10)&amp;"/"&amp;IF(T551="market","std",ROUND(T551*1000,0)/10)&amp;"/"&amp;IF(U551="market","std",ROUND(U551*1000,0)/10)&amp;"/"&amp;IF(V551="market","std",ROUND(V551*1000,0)/10)&amp;IF(X551="N","","/"&amp;IF(W551="market","std",ROUND(W551*1000,0)/10))</f>
        <v>$0 + 0/0/0/0.9/3.9</v>
      </c>
      <c r="AO551" s="32" t="str">
        <f t="shared" ref="AO551:AO579" si="1546">IF(S551="market","std",ROUND(S551*1000,0)/10)&amp;"/"&amp;IF(T551="market","std",ROUND(T551*1000,0)/10)&amp;"/"&amp;IF(U551="market","std",ROUND(U551*1000,0)/10)&amp;"/"&amp;IF(V551="market","std",ROUND(V551*1000,0)/10)&amp;IF(X551="N","","/"&amp;IF(W551="market","std",ROUND(W551*1000,0)/10))</f>
        <v>0/0/0/0.9/3.9</v>
      </c>
      <c r="AP551" s="32" t="str">
        <f t="shared" si="1526"/>
        <v>0/0/0.9/3.9</v>
      </c>
      <c r="AQ551" s="536">
        <f t="shared" si="1525"/>
        <v>0.39119640718757698</v>
      </c>
      <c r="AR551" s="32"/>
      <c r="AS551" s="302"/>
      <c r="AT551" s="3">
        <f t="shared" ref="AT551:AT566" si="1547">AT550+1</f>
        <v>51</v>
      </c>
      <c r="AU551" s="41" t="s">
        <v>121</v>
      </c>
      <c r="AV551" s="41" t="s">
        <v>116</v>
      </c>
      <c r="AW551" s="41" t="str">
        <f>INDEX(Input!$1:$1048576,AW$93,$C551*2+6)</f>
        <v>Kia</v>
      </c>
      <c r="AX551" s="41" t="str">
        <f>INDEX(Input!$1:$1048576,AX$93,$C551*2+6)</f>
        <v>Kia-LR - R2</v>
      </c>
      <c r="AY551" s="41" t="str">
        <f>IF(LEN(D551)=0,"",INDEX(Input!$1:$1048576,AY$93,$C551*2+6))</f>
        <v>Compact SUV (52)</v>
      </c>
      <c r="AZ551" s="41" t="str">
        <f>INDEX(Input!$1:$1048576,AZ$93,$C551*2+6)</f>
        <v>Kia Soul</v>
      </c>
      <c r="BA551" s="3">
        <f>INDEX(Input!$1:$1048576,BA$93,$C551*2+6)</f>
        <v>2020</v>
      </c>
      <c r="BB551" s="128">
        <f>INDEX(Input!$1:$1048576,BB$93,$C551*2+6)</f>
        <v>1</v>
      </c>
      <c r="BC551" s="128">
        <f>INDEX(Input!$1:$1048576,BC$93,$C551*2+6)</f>
        <v>0.7</v>
      </c>
      <c r="BD551" s="1">
        <f>INDEX(Input!$1:$1048576,BD$93,$C551*2+6)</f>
        <v>4.4999999999999998E-2</v>
      </c>
      <c r="BE551" s="1">
        <f>INDEX(Input!$1:$1048576,BE$93,$C551*2+6)</f>
        <v>4.4999999999999998E-2</v>
      </c>
      <c r="BF551" s="1">
        <f>INDEX(Input!$1:$1048576,BF$93,$C551*2+6)</f>
        <v>0.05</v>
      </c>
      <c r="BG551" s="1">
        <f>INDEX(Input!$1:$1048576,BG$93,$C551*2+6)</f>
        <v>5.45E-2</v>
      </c>
      <c r="BH551" s="1">
        <f>INDEX(Input!$1:$1048576,BH$93,$C551*2+6)</f>
        <v>5.45E-2</v>
      </c>
      <c r="BI551" s="1">
        <f>INDEX(Input!$1:$1048576,BI$93,$C551*2+6)</f>
        <v>0.05</v>
      </c>
      <c r="BJ551" s="1">
        <f>INDEX(Input!$1:$1048576,BJ$93,$C551*2+6)</f>
        <v>0.05</v>
      </c>
      <c r="BK551" s="1">
        <f>INDEX(Input!$1:$1048576,BK$93,$C551*2+6)</f>
        <v>0.05</v>
      </c>
      <c r="BL551" s="1">
        <f>INDEX(Input!$1:$1048576,BL$93,$C551*2+6)</f>
        <v>5.5E-2</v>
      </c>
      <c r="BM551" s="1">
        <f>INDEX(Input!$1:$1048576,BM$93,$C551*2+6)</f>
        <v>0.06</v>
      </c>
      <c r="BN551" s="1">
        <f>INDEX(Input!$1:$1048576,BN$93,$C551*2+6)</f>
        <v>4.4999999999999998E-2</v>
      </c>
      <c r="BO551" s="1">
        <f>INDEX(Input!$1:$1048576,BO$93,$C551*2+6)</f>
        <v>4.4999999999999998E-2</v>
      </c>
      <c r="BP551" s="1">
        <f>INDEX(Input!$1:$1048576,BP$93,$C551*2+6)</f>
        <v>0.05</v>
      </c>
      <c r="BQ551" s="1">
        <f>INDEX(Input!$1:$1048576,BQ$93,$C551*2+6)</f>
        <v>5.45E-2</v>
      </c>
      <c r="BR551" s="1">
        <f>INDEX(Input!$1:$1048576,BR$93,$C551*2+6)</f>
        <v>5.45E-2</v>
      </c>
      <c r="BS551" s="1">
        <f>INDEX(Input!$1:$1048576,BS$93,$C551*2+6)</f>
        <v>0.05</v>
      </c>
      <c r="BT551" s="1">
        <f>INDEX(Input!$1:$1048576,BT$93,$C551*2+6)</f>
        <v>0.05</v>
      </c>
      <c r="BU551" s="1">
        <f>INDEX(Input!$1:$1048576,BU$93,$C551*2+6)</f>
        <v>0.05</v>
      </c>
      <c r="BV551" s="1">
        <f>INDEX(Input!$1:$1048576,BV$93,$C551*2+6)</f>
        <v>5.5E-2</v>
      </c>
      <c r="BW551" s="1">
        <f>INDEX(Input!$1:$1048576,BW$93,$C551*2+6)</f>
        <v>0.06</v>
      </c>
      <c r="BX551" s="127">
        <f>INDEX(Input!$1:$1048576,BX$93,$C551*2+6)</f>
        <v>19985</v>
      </c>
      <c r="BY551" s="20">
        <f>INDEX(Input!$1:$1048576,BY$93,$C551*2+6)</f>
        <v>0.1</v>
      </c>
      <c r="BZ551" s="20">
        <f>INDEX(Input!$1:$1048576,BZ$93,$C551*2+6)</f>
        <v>0.1</v>
      </c>
      <c r="CA551" s="20">
        <f>INDEX(Input!$1:$1048576,CA$93,$C551*2+6)</f>
        <v>0.1</v>
      </c>
      <c r="CB551" s="20">
        <f>INDEX(Input!$1:$1048576,CB$93,$C551*2+6)</f>
        <v>0.1</v>
      </c>
      <c r="CC551" s="20">
        <f>INDEX(Input!$1:$1048576,CC$93,$C551*2+6)</f>
        <v>0.1</v>
      </c>
      <c r="CD551" s="384">
        <f>INDEX(Input!$1:$1048576,CD$93,$C551*2+6)</f>
        <v>0.1</v>
      </c>
      <c r="CE551" s="384">
        <f>INDEX(Input!$1:$1048576,CE$93,$C551*2+6)</f>
        <v>0.1</v>
      </c>
      <c r="CF551" s="384">
        <f>INDEX(Input!$1:$1048576,CF$93,$C551*2+6)</f>
        <v>0.1</v>
      </c>
      <c r="CG551" s="384">
        <f>INDEX(Input!$1:$1048576,CG$93,$C551*2+6)</f>
        <v>0.1</v>
      </c>
      <c r="CH551" s="384">
        <f>INDEX(Input!$1:$1048576,CH$93,$C551*2+6)</f>
        <v>0.1</v>
      </c>
      <c r="CI551" s="304">
        <f t="shared" si="1527"/>
        <v>1277.4263093788063</v>
      </c>
      <c r="CJ551" s="16" t="str">
        <f>INDEX(Input!$1:$1048576,CJ$93,$C551*2+6)</f>
        <v>N</v>
      </c>
      <c r="CK551" s="1" t="str">
        <f t="shared" si="1528"/>
        <v>Market</v>
      </c>
      <c r="CL551" s="1" t="str">
        <f t="shared" si="1529"/>
        <v>Market</v>
      </c>
      <c r="CM551" s="1" t="str">
        <f t="shared" si="1530"/>
        <v>Market</v>
      </c>
      <c r="CN551" s="1" t="str">
        <f t="shared" si="1531"/>
        <v>Market</v>
      </c>
      <c r="CO551" s="1" t="str">
        <f t="shared" si="1532"/>
        <v>Market</v>
      </c>
      <c r="CP551" s="304">
        <f t="shared" si="1533"/>
        <v>500</v>
      </c>
      <c r="CQ551" s="1">
        <f t="shared" si="1534"/>
        <v>0</v>
      </c>
      <c r="CR551" s="1">
        <f t="shared" si="1535"/>
        <v>0</v>
      </c>
      <c r="CS551" s="1">
        <f t="shared" si="1536"/>
        <v>0</v>
      </c>
      <c r="CT551" s="1">
        <f t="shared" si="1537"/>
        <v>8.9999999999999993E-3</v>
      </c>
      <c r="CU551" s="1">
        <f t="shared" si="1538"/>
        <v>3.9E-2</v>
      </c>
      <c r="CV551" s="304">
        <f t="shared" si="1539"/>
        <v>-1077.9364173925233</v>
      </c>
      <c r="CW551" s="20" t="s">
        <v>122</v>
      </c>
      <c r="CX551" s="20" t="s">
        <v>122</v>
      </c>
      <c r="CY551" s="20" t="s">
        <v>122</v>
      </c>
      <c r="CZ551" s="20" t="s">
        <v>122</v>
      </c>
      <c r="DA551" s="20" t="s">
        <v>122</v>
      </c>
      <c r="DB551" s="503">
        <f t="shared" si="1540"/>
        <v>0</v>
      </c>
      <c r="DC551" s="127">
        <v>0</v>
      </c>
      <c r="DD551" s="127">
        <v>0</v>
      </c>
      <c r="DE551" s="127">
        <v>0</v>
      </c>
      <c r="DF551" s="127">
        <v>0</v>
      </c>
      <c r="DG551" s="127">
        <v>0</v>
      </c>
      <c r="DH551" s="127">
        <v>0</v>
      </c>
      <c r="DI551" s="127">
        <v>0</v>
      </c>
      <c r="DJ551" s="127">
        <v>0</v>
      </c>
      <c r="DK551" s="127">
        <v>0</v>
      </c>
      <c r="DL551" s="127">
        <v>0</v>
      </c>
      <c r="DM551" s="304">
        <f>INDEX(Input!$1:$1048576,DM$93,$C551*2+6)</f>
        <v>21036.84210526316</v>
      </c>
      <c r="DN551" s="20">
        <v>0</v>
      </c>
      <c r="DO551" s="20">
        <v>0</v>
      </c>
      <c r="DP551" s="20">
        <v>0</v>
      </c>
      <c r="DQ551" s="20">
        <v>0</v>
      </c>
      <c r="DR551" s="20">
        <v>0</v>
      </c>
      <c r="DS551" s="20">
        <f>INDEX(Input!$1:$1048576,DS$93,$C551*2+6)</f>
        <v>0.6</v>
      </c>
      <c r="DT551" s="20">
        <f>INDEX(Input!$1:$1048576,DT$93,$C551*2+6)</f>
        <v>0.55000000000000004</v>
      </c>
      <c r="DU551" s="20">
        <f>INDEX(Input!$1:$1048576,DU$93,$C551*2+6)</f>
        <v>0.52</v>
      </c>
      <c r="DV551" s="20">
        <f>INDEX(Input!$1:$1048576,DV$93,$C551*2+6)</f>
        <v>0.5</v>
      </c>
      <c r="DW551" s="20">
        <f>INDEX(Input!$1:$1048576,DW$93,$C551*2+6)</f>
        <v>0.45</v>
      </c>
      <c r="DX551" s="20"/>
      <c r="DY551" s="7">
        <v>0.11802682462308904</v>
      </c>
      <c r="DZ551" s="7">
        <v>0</v>
      </c>
      <c r="EA551" s="7">
        <v>0.72785278776033757</v>
      </c>
      <c r="EB551" s="7">
        <v>0</v>
      </c>
      <c r="EC551" s="7">
        <v>0</v>
      </c>
      <c r="ED551" s="7">
        <v>0</v>
      </c>
      <c r="EE551" s="7">
        <v>0</v>
      </c>
      <c r="EF551" s="7">
        <v>0</v>
      </c>
      <c r="EG551" s="7">
        <v>0</v>
      </c>
      <c r="EH551" s="7">
        <v>9.4871135546012886E-3</v>
      </c>
      <c r="EI551" s="7">
        <v>2.6373833171616751E-2</v>
      </c>
      <c r="EJ551" s="7">
        <v>0.22906063969329085</v>
      </c>
      <c r="EK551" s="7">
        <v>0.63694323075554737</v>
      </c>
      <c r="EL551" s="7">
        <v>9.8135182824943587E-2</v>
      </c>
      <c r="EM551" s="7">
        <v>9.532954971748675E-2</v>
      </c>
      <c r="EN551" s="7">
        <v>5.7475513689424093E-2</v>
      </c>
      <c r="EO551" s="7">
        <v>0.70682755122585172</v>
      </c>
      <c r="EP551" s="7">
        <v>9.4553444311008192E-2</v>
      </c>
      <c r="EQ551" s="7">
        <v>9.3106804414591793E-2</v>
      </c>
      <c r="ER551" s="7">
        <v>4.8036686359124274E-2</v>
      </c>
      <c r="ES551" s="7">
        <v>5.8790837899086561E-2</v>
      </c>
      <c r="ET551" s="7">
        <v>0.15412038761657332</v>
      </c>
      <c r="EU551" s="6">
        <v>1270</v>
      </c>
      <c r="EV551" s="6">
        <v>0</v>
      </c>
      <c r="EW551" s="6">
        <v>1270</v>
      </c>
      <c r="EX551" s="6">
        <v>0</v>
      </c>
      <c r="EY551" s="6">
        <v>2326.3807595856392</v>
      </c>
      <c r="EZ551" s="6">
        <v>-366.44990394013166</v>
      </c>
      <c r="FA551" s="6">
        <v>0</v>
      </c>
      <c r="FB551" s="6">
        <v>0</v>
      </c>
      <c r="FC551" s="6">
        <v>0</v>
      </c>
      <c r="FD551" s="6">
        <v>0</v>
      </c>
      <c r="FE551" s="6">
        <v>0</v>
      </c>
      <c r="FF551" s="6">
        <v>0</v>
      </c>
      <c r="FG551" s="6">
        <v>0</v>
      </c>
      <c r="FH551" s="6">
        <v>1172.135940470489</v>
      </c>
      <c r="FI551" s="6">
        <v>1553.9796069512395</v>
      </c>
      <c r="FJ551" s="6">
        <v>2101.2110117447405</v>
      </c>
      <c r="FK551" s="6">
        <v>2251.3078348034674</v>
      </c>
      <c r="FL551" s="6">
        <v>907.0768214096629</v>
      </c>
      <c r="FM551" s="6">
        <v>2056.3807595856392</v>
      </c>
      <c r="FN551" s="6">
        <v>0</v>
      </c>
      <c r="FO551" s="6">
        <v>0</v>
      </c>
      <c r="FP551" s="6">
        <v>0</v>
      </c>
      <c r="FQ551" s="6">
        <v>0</v>
      </c>
      <c r="FR551" s="6">
        <v>0</v>
      </c>
      <c r="FS551" s="6">
        <v>0</v>
      </c>
      <c r="FT551" s="7">
        <v>0.84587961238342657</v>
      </c>
      <c r="FU551" s="7">
        <v>9.532954971748675E-2</v>
      </c>
      <c r="FV551" s="7">
        <v>5.8790837899086561E-2</v>
      </c>
      <c r="FW551" s="6">
        <v>1270</v>
      </c>
      <c r="FX551" s="6">
        <v>2326.3807595856392</v>
      </c>
      <c r="FY551" s="6">
        <v>-366.44990394013166</v>
      </c>
      <c r="FZ551" s="6">
        <v>1758.1538569113241</v>
      </c>
      <c r="GA551" s="6">
        <v>1274.4960411089955</v>
      </c>
      <c r="GB551" s="6">
        <v>18710.503958891004</v>
      </c>
      <c r="GC551" s="7">
        <v>3.064145122680037E-2</v>
      </c>
      <c r="GD551" s="7">
        <v>2.9359908159902186E-2</v>
      </c>
      <c r="GE551" s="7"/>
      <c r="GF551" s="7"/>
      <c r="GG551" s="7">
        <v>-4.1823837174438078E-2</v>
      </c>
      <c r="GH551" s="42">
        <v>1.7281833532340922</v>
      </c>
      <c r="GI551" s="6">
        <v>12838.662518352527</v>
      </c>
      <c r="GJ551" s="14">
        <v>0.50394797582841733</v>
      </c>
      <c r="GK551" s="14">
        <v>0.50887573065309744</v>
      </c>
      <c r="GL551" s="14">
        <v>0.49605202417158267</v>
      </c>
      <c r="GM551" s="14">
        <v>0.49112426934690256</v>
      </c>
      <c r="GO551" s="5">
        <v>343.14810671672558</v>
      </c>
      <c r="GP551" s="5">
        <v>318.91892952659737</v>
      </c>
      <c r="GQ551" s="5">
        <v>535.04305713031317</v>
      </c>
      <c r="GR551" s="5">
        <v>410.15490233172511</v>
      </c>
      <c r="GS551" s="5">
        <v>339.42744393800166</v>
      </c>
      <c r="GT551" s="5">
        <v>293.4407446948278</v>
      </c>
      <c r="GU551" s="5">
        <v>258.04012322764959</v>
      </c>
      <c r="GV551" s="39" t="s">
        <v>392</v>
      </c>
      <c r="GW551" s="5">
        <v>492.125</v>
      </c>
      <c r="GX551" s="5">
        <v>369.09375</v>
      </c>
      <c r="GY551" s="5">
        <v>295.27499999999998</v>
      </c>
      <c r="GZ551" s="5">
        <v>252.85821728143046</v>
      </c>
      <c r="HA551" s="5">
        <v>241.34874471337258</v>
      </c>
      <c r="HB551" s="39">
        <v>266.78027615602099</v>
      </c>
      <c r="HC551" s="5">
        <v>303.31655829738077</v>
      </c>
      <c r="HD551" s="5">
        <v>250.74799238008356</v>
      </c>
      <c r="HE551" s="5">
        <v>251.12245558578954</v>
      </c>
      <c r="HF551" s="5">
        <v>229.38290951107166</v>
      </c>
      <c r="HG551" s="5">
        <v>217.65500473779989</v>
      </c>
      <c r="HH551" s="39">
        <v>250.22589243591847</v>
      </c>
      <c r="HI551" s="16"/>
      <c r="HJ551" s="19" t="str">
        <f t="shared" ref="HJ551" si="1548">HJ550</f>
        <v>On</v>
      </c>
      <c r="HK551" s="1" t="str">
        <f t="shared" ref="HK551:HK574" si="1549">HK550</f>
        <v>On</v>
      </c>
      <c r="HL551" s="16"/>
      <c r="HM551" s="639">
        <f t="shared" si="1413"/>
        <v>2.4909940070666322E-2</v>
      </c>
      <c r="HN551" s="639">
        <f t="shared" si="1414"/>
        <v>2.2052381276269151E-3</v>
      </c>
      <c r="HO551" s="639">
        <f t="shared" si="1415"/>
        <v>2.079866082302006E-3</v>
      </c>
      <c r="HP551" s="644">
        <f>(FT551*$GD551-HM551)/$JF551*INDEX(Input!$1:$1048576,$JG$93,$C551*2+6)</f>
        <v>-2.1088753243299396</v>
      </c>
      <c r="HQ551" s="644">
        <f>(FU551*$GD551-HN551)/$JF551*INDEX(Input!$1:$1048576,$JG$93,$C551*2+6)</f>
        <v>16.693557836583405</v>
      </c>
      <c r="HR551" s="644">
        <f>(FV551*$GD551-HO551)/$JF551*INDEX(Input!$1:$1048576,$JG$93,$C551*2+6)</f>
        <v>-9.948510578068019</v>
      </c>
      <c r="HS551" s="644">
        <f t="shared" ref="HS551:HS561" si="1550">IF(AND(HJ551="On",HK551="On"),IL551/1000*INDEX(KG:KG,MATCH(C551*1000+3,$KF:$KF,0))*SUM(HY551:IA551)*1.1
+INDEX(HR:HR,MATCH(C551*1000+4,$KF:$KF,0))/INDEX(IM:IM,MATCH(C551*1000+4,$KF:$KF,0))*IM551*20%,0)</f>
        <v>-1.5788601094077228</v>
      </c>
      <c r="HT551" s="644">
        <f t="shared" si="1417"/>
        <v>19.982278579883307</v>
      </c>
      <c r="HU551" s="644">
        <f t="shared" si="1418"/>
        <v>-2.2315918757825326</v>
      </c>
      <c r="HV551" s="648">
        <f t="shared" si="1419"/>
        <v>0</v>
      </c>
      <c r="HW551" s="648">
        <f t="shared" si="1420"/>
        <v>0</v>
      </c>
      <c r="HX551" s="648">
        <f t="shared" si="1421"/>
        <v>0</v>
      </c>
      <c r="HY551" s="644">
        <f>INDEX(Input!$1:$1048576,HY$93,$C551*2+6)*INDEX(Input!$1:$1048576,$JG$93,$C551*2+6)</f>
        <v>333.00000000000006</v>
      </c>
      <c r="HZ551" s="644">
        <f>INDEX(Input!$1:$1048576,HZ$93,$C551*2+6)*INDEX(Input!$1:$1048576,$JG$93,$C551*2+6)</f>
        <v>429</v>
      </c>
      <c r="IA551" s="644">
        <f>INDEX(Input!$1:$1048576,IA$93,$C551*2+6)*INDEX(Input!$1:$1048576,$JG$93,$C551*2+6)</f>
        <v>59</v>
      </c>
      <c r="IB551" s="644">
        <f t="shared" ref="IB551:IB583" si="1551">SUM(HP551:IA551)-IC551-ID551</f>
        <v>329.3122645662624</v>
      </c>
      <c r="IC551" s="644">
        <f t="shared" ref="IC551:IC583" si="1552">MAX(HZ551+HQ551+HT551+HW551,0%)</f>
        <v>465.67583641646672</v>
      </c>
      <c r="ID551" s="644">
        <f>IF(AND(INDEX(Input!$1:$1048576,IA$93,$C551*2+7)="TOS",Y551&lt;=INDEX(Y:Y,MATCH(C551*1000+2,A:A))),0,1)*MAX(IA551+HR551+HU551+HX551,0%)</f>
        <v>46.819897546149448</v>
      </c>
      <c r="IE551" s="128">
        <f t="shared" ref="IE551:IE561" si="1553">IB551/SUM($IB551:$ID551)</f>
        <v>0.39119640718757698</v>
      </c>
      <c r="IF551" s="128">
        <f t="shared" ref="IF551:IF561" si="1554">IC551/SUM($IB551:$ID551)</f>
        <v>0.55318533113283497</v>
      </c>
      <c r="IG551" s="128">
        <f t="shared" ref="IG551:IG583" si="1555">ID551/SUM($IB551:$ID551)</f>
        <v>5.5618261679588062E-2</v>
      </c>
      <c r="IH551" s="21"/>
      <c r="II551" s="19">
        <f t="shared" si="1424"/>
        <v>1240</v>
      </c>
      <c r="IJ551" s="19">
        <f t="shared" si="1425"/>
        <v>1985.7442651839444</v>
      </c>
      <c r="IK551" s="19">
        <f t="shared" si="1426"/>
        <v>-21.44990394013189</v>
      </c>
      <c r="IL551" s="19">
        <f t="shared" ref="IL551:IL583" si="1556">(FW551-FA551*DZ551/FT551)-II551</f>
        <v>30</v>
      </c>
      <c r="IM551" s="19">
        <f t="shared" ref="IM551:IM583" si="1557">FX551-IJ551</f>
        <v>340.63649440169479</v>
      </c>
      <c r="IN551" s="19">
        <f t="shared" ref="IN551:IN583" si="1558">FY551-IK551</f>
        <v>-344.99999999999977</v>
      </c>
      <c r="IO551" s="39">
        <f t="shared" si="1429"/>
        <v>0</v>
      </c>
      <c r="IP551" s="39">
        <f t="shared" si="1430"/>
        <v>0</v>
      </c>
      <c r="IQ551" s="39">
        <f t="shared" si="1431"/>
        <v>0</v>
      </c>
      <c r="IR551" s="39">
        <v>0</v>
      </c>
      <c r="IS551" s="39">
        <v>0</v>
      </c>
      <c r="IT551" s="39">
        <v>0</v>
      </c>
      <c r="IU551" s="39">
        <v>0</v>
      </c>
      <c r="IV551" s="39">
        <v>0</v>
      </c>
      <c r="IW551" s="39">
        <v>0</v>
      </c>
      <c r="IX551" s="39">
        <f>INDEX(Input!$1:$1048576,IX$93,$C551*2+6)+INDEX(Input!$1:$1048576,IX$94,$C551*2+6)</f>
        <v>1270</v>
      </c>
      <c r="IY551" s="39">
        <f>INDEX(Input!$1:$1048576,IY$93,$C551*2+6)+INDEX(Input!$1:$1048576,IY$94,$C551*2+6)</f>
        <v>2130.0624533823611</v>
      </c>
      <c r="IZ551" s="39">
        <f>INDEX(Input!$1:$1048576,IZ$93,$C551*2+6)+INDEX(Input!$1:$1048576,IZ$94,$C551*2+6)</f>
        <v>3653.7164157747857</v>
      </c>
      <c r="JA551" s="19">
        <f t="shared" ref="JA551:JA583" si="1559">(IL551+IO551+IR551+IU551+IX551)</f>
        <v>1300</v>
      </c>
      <c r="JB551" s="19">
        <f t="shared" ref="JB551:JB583" si="1560">(IM551+IP551+IS551+IV551+IY551)</f>
        <v>2470.6989477840561</v>
      </c>
      <c r="JC551" s="19">
        <f t="shared" ref="JC551:JC583" si="1561">(IN551+IQ551+IT551+IW551+IZ551)</f>
        <v>3308.7164157747857</v>
      </c>
      <c r="JD551" s="19">
        <f t="shared" ref="JD551:JD583" si="1562">SUMPRODUCT(IE551:IG551,JA551:JC551)</f>
        <v>2059.3348003394312</v>
      </c>
      <c r="JE551" s="21"/>
      <c r="JF551" s="1">
        <f t="shared" si="1432"/>
        <v>2.9195044280595241E-2</v>
      </c>
      <c r="JG551" s="15">
        <f>INDEX(Input!$1:$1048576,JG$93,$C551*2+6)/(1+VLOOKUP(C551*1000+INDEX(Input!$1:$1048576,JG$93+1,$C551*2+6),$A:$KK,$JK$92,FALSE))</f>
        <v>821</v>
      </c>
      <c r="JH551" s="1">
        <f t="shared" ref="JH551:JH583" si="1563">SUM(HP551:HR551)/SUM(HY551:IA551)</f>
        <v>5.6469816494341615E-3</v>
      </c>
      <c r="JI551" s="1">
        <f t="shared" ref="JI551:JI583" si="1564">SUM(HS551:HU551)/SUM(HY551:IA551)</f>
        <v>1.9697718142135265E-2</v>
      </c>
      <c r="JJ551" s="1">
        <f t="shared" ref="JJ551:JJ583" si="1565">SUM(HV551:HX551)/SUM(HY551:IA551)</f>
        <v>0</v>
      </c>
      <c r="JK551" s="1">
        <f t="shared" ref="JK551:JK583" si="1566">SUM(JH551:JJ551)</f>
        <v>2.5344699791569426E-2</v>
      </c>
      <c r="JL551" s="15">
        <f t="shared" ref="JL551:JL583" si="1567">JG551*JK551</f>
        <v>20.8079985288785</v>
      </c>
      <c r="JM551" s="15">
        <f t="shared" ref="JM551:JM583" si="1568">JG551+JL551</f>
        <v>841.80799852887844</v>
      </c>
      <c r="JN551" s="21"/>
      <c r="JO551" s="19">
        <f>INDEX(Input!$1:$1048576,JO$93,$C551*2+6)</f>
        <v>5995.5</v>
      </c>
      <c r="JP551" s="19">
        <f>INDEX(Input!$1:$1048576,JP$93,$C551*2+6)</f>
        <v>1890.7138380411029</v>
      </c>
      <c r="JQ551" s="39">
        <f t="shared" ref="JQ551:JQ583" si="1569">JO551-JD551</f>
        <v>3936.1651996605688</v>
      </c>
      <c r="JR551" s="39">
        <f t="shared" ref="JR551:JR583" si="1570">JD551-JP551</f>
        <v>168.62096229832832</v>
      </c>
      <c r="JS551" s="39">
        <f t="shared" ref="JS551:JS583" si="1571">JM551*JD551/1000000</f>
        <v>1.7335645065746041</v>
      </c>
      <c r="JT551" s="39">
        <f t="shared" ref="JT551:JT583" si="1572">(JD551*JM551-JP551*JG551)/1000000</f>
        <v>0.18128844554285867</v>
      </c>
      <c r="JU551" s="385">
        <f>(JQ551*JM551-INDEX(Input!$1:$1048576,Input!A$18,$C551*2+6)*JL551*INDEX(Input!$1:$1048576,Input!A$19,$C551*2+6))/1000000</f>
        <v>3.3134953486052869</v>
      </c>
      <c r="JV551" s="39">
        <f t="shared" ref="JV551:JV583" si="1573">JU551-(JO551-JP551)*JG551/1000000</f>
        <v>-5.6534090362967415E-2</v>
      </c>
      <c r="JW551" s="1">
        <f t="shared" ref="JW551:JW583" si="1574">JV551/(JU551-JV551)</f>
        <v>-1.677554792526546E-2</v>
      </c>
      <c r="JX551" s="19">
        <f t="shared" ref="JX551:JX583" si="1575">IF(JL551=0,0,JT551/JL551)*1000000</f>
        <v>8712.4403287157311</v>
      </c>
      <c r="JZ551" s="341"/>
      <c r="KA551" s="342"/>
      <c r="KB551" s="469">
        <f t="shared" ref="KB551:KB587" si="1576">KB550</f>
        <v>2.5122967434604799</v>
      </c>
      <c r="KI551" s="473">
        <f t="shared" ref="KI551:KI561" si="1577">$JM551*IE551-$JG551*HY551/SUM($HY551:$IA551)</f>
        <v>-3.6877354337377142</v>
      </c>
      <c r="KJ551" s="473">
        <f t="shared" ref="KJ551:KJ561" si="1578">$JM551*IF551-$JG551*HZ551/SUM($HY551:$IA551)</f>
        <v>36.675836416466666</v>
      </c>
      <c r="KK551" s="473">
        <f t="shared" ref="KK551:KK583" si="1579">$JM551*IG551-$JG551*IA551/SUM($HY551:$IA551)</f>
        <v>-12.180102453850559</v>
      </c>
      <c r="KN551" s="544">
        <f t="shared" ref="KN551:KN583" si="1580">KM551+(KN550-KM550)</f>
        <v>5002</v>
      </c>
      <c r="KO551" s="541">
        <f t="shared" si="1436"/>
        <v>2.118679626129305E-2</v>
      </c>
      <c r="KP551" s="546">
        <f t="shared" si="1437"/>
        <v>151.81616299567204</v>
      </c>
      <c r="KQ551" s="546">
        <f t="shared" si="1438"/>
        <v>140.41603461616478</v>
      </c>
      <c r="KR551" s="548">
        <f t="shared" si="1439"/>
        <v>2.5212228711214539</v>
      </c>
      <c r="KS551" s="548">
        <f t="shared" si="1440"/>
        <v>2.725916476682265</v>
      </c>
      <c r="KT551" s="473">
        <f t="shared" ref="KT551:KT587" si="1581">KT550</f>
        <v>595.94378802984284</v>
      </c>
      <c r="KU551" s="663">
        <f t="shared" si="1462"/>
        <v>4.0038033961728994</v>
      </c>
      <c r="KV551" s="117"/>
    </row>
    <row r="552" spans="1:308" s="26" customFormat="1" ht="15" outlineLevel="1">
      <c r="A552" s="561">
        <f t="shared" si="1541"/>
        <v>5052</v>
      </c>
      <c r="B552" s="561">
        <f t="shared" si="1542"/>
        <v>52</v>
      </c>
      <c r="C552" s="561">
        <f t="shared" si="1543"/>
        <v>5</v>
      </c>
      <c r="D552" s="561" t="str">
        <f t="shared" si="1509"/>
        <v xml:space="preserve">0/0/0/3.9, -360 Lease, </v>
      </c>
      <c r="E552" s="475">
        <f>INDEX(Input!$1:$1048576,E$93,$C552*2+MIN($B552,2)+5)
+INDEX(Scenarios!E$121:E$200,MATCH($B552,Scenarios!$B$121:$B$200,0))</f>
        <v>1277.4263093788063</v>
      </c>
      <c r="F552" s="475">
        <f>INDEX(Input!$1:$1048576,F$93,$C552*2+MIN($B552,2)+5)
+INDEX(Scenarios!F$121:F$200,MATCH($B552,Scenarios!$B$121:$B$200,0))</f>
        <v>0</v>
      </c>
      <c r="G552" s="475">
        <f>INDEX(Input!$1:$1048576,G$93,$C552*2+MIN($B552,2)+5)
+INDEX(Scenarios!G$121:G$200,MATCH($B552,Scenarios!$B$121:$B$200,0))</f>
        <v>0</v>
      </c>
      <c r="H552" s="475">
        <f>INDEX(Input!$1:$1048576,H$93,$C552*2+MIN($B552,2)+5)
+INDEX(Scenarios!H$121:H$200,MATCH($B552,Scenarios!$B$121:$B$200,0))</f>
        <v>0</v>
      </c>
      <c r="I552" s="476">
        <f>INDEX(Input!$1:$1048576,I$93,$C552*2+MIN($B552,2)+5)</f>
        <v>0.7</v>
      </c>
      <c r="J552" s="476" t="str">
        <f>INDEX(Input!$1:$1048576,J$93,$C552*2+MIN($B552,2)+5)</f>
        <v>Market</v>
      </c>
      <c r="K552" s="476" t="str">
        <f>INDEX(Input!$1:$1048576,K$93,$C552*2+MIN($B552,2)+5)</f>
        <v>Market</v>
      </c>
      <c r="L552" s="476" t="str">
        <f>INDEX(Input!$1:$1048576,L$93,$C552*2+MIN($B552,2)+5)</f>
        <v>Market</v>
      </c>
      <c r="M552" s="476" t="str">
        <f>INDEX(Input!$1:$1048576,M$93,$C552*2+MIN($B552,2)+5)</f>
        <v>Market</v>
      </c>
      <c r="N552" s="476" t="str">
        <f>INDEX(Input!$1:$1048576,N$93,$C552*2+MIN($B552,2)+5)</f>
        <v>Market</v>
      </c>
      <c r="O552" s="476" t="str">
        <f>INDEX(Input!$1:$1048576,O$93,$C552*2+MIN($B552,2)+5)</f>
        <v>Market</v>
      </c>
      <c r="P552" s="476" t="str">
        <f>INDEX(Input!$1:$1048576,P$93,$C552*2+MIN($B552,2)+5)</f>
        <v>N</v>
      </c>
      <c r="Q552" s="477">
        <f>INDEX(Input!$1:$1048576,Q$93,$C552*2+MIN($B552,2)+5)
+INDEX(Scenarios!Q$121:Q$200,MATCH($B552,Scenarios!$B$121:$B$200,0))</f>
        <v>0</v>
      </c>
      <c r="R552" s="478">
        <f>IFERROR(MAX(0,INDEX(Input!$1:$1048576,R$93,$C552*2+MIN($B552,2)+5)
+INDEX(Scenarios!R$121:R$200,MATCH($B552,Scenarios!$B$121:$B$200,0)),),"Market")</f>
        <v>0</v>
      </c>
      <c r="S552" s="478">
        <f>IFERROR(MAX(0,INDEX(Input!$1:$1048576,S$93,$C552*2+MIN($B552,2)+5)
+INDEX(Scenarios!S$121:S$200,MATCH($B552,Scenarios!$B$121:$B$200,0)),),"Market")</f>
        <v>0</v>
      </c>
      <c r="T552" s="478">
        <f>IFERROR(MAX(0,INDEX(Input!$1:$1048576,T$93,$C552*2+MIN($B552,2)+5)
+INDEX(Scenarios!T$121:T$200,MATCH($B552,Scenarios!$B$121:$B$200,0)),),"Market")</f>
        <v>0</v>
      </c>
      <c r="U552" s="478">
        <f>IFERROR(MAX(0,INDEX(Input!$1:$1048576,U$93,$C552*2+MIN($B552,2)+5)
+INDEX(Scenarios!U$121:U$200,MATCH($B552,Scenarios!$B$121:$B$200,0)),),"Market")</f>
        <v>0</v>
      </c>
      <c r="V552" s="478">
        <f>IFERROR(MAX(0,INDEX(Input!$1:$1048576,V$93,$C552*2+MIN($B552,2)+5)
+INDEX(Scenarios!V$121:V$200,MATCH($B552,Scenarios!$B$121:$B$200,0)),),"Market")</f>
        <v>0</v>
      </c>
      <c r="W552" s="885">
        <f>IFERROR(MAX(0,INDEX(Input!$1:$1048576,W$93,$C552*2+MIN($B552,2)+5)-0%,),"Market")</f>
        <v>3.9E-2</v>
      </c>
      <c r="X552" s="476" t="str">
        <f>INDEX(Input!$1:$1048576,X$93,$C552*2+MIN($B552,2)+5)</f>
        <v>Y</v>
      </c>
      <c r="Y552" s="475">
        <f>INDEX(Input!$1:$1048576,Y$93,$C552*2+MIN($B552,2)+5)
++INDEX(Scenarios!Y$121:Y$200,MATCH($B552,Scenarios!$B$121:$B$200,0))</f>
        <v>-1077.9364173925233</v>
      </c>
      <c r="Z552" s="477">
        <f>INDEX(Input!$1:$1048576,Z$93,$C552*2+MIN($B552,2)+5)
+INDEX(Scenarios!Z$121:Z$200,MATCH($B552,Scenarios!$B$121:$B$200,0))</f>
        <v>0</v>
      </c>
      <c r="AA552" s="475">
        <f>INDEX(Input!$1:$1048576,AA$93,$C552*2+MIN($B552,2)+5)
+INDEX(Scenarios!AA$121:AA$200,MATCH($B552,Scenarios!$B$121:$B$200,0))</f>
        <v>0</v>
      </c>
      <c r="AB552" s="476">
        <f>INDEX(Input!$1:$1048576,AB$93,$C552*2+MIN($B552,2)+5)</f>
        <v>0.27</v>
      </c>
      <c r="AC552" s="475">
        <f>INDEX(Input!$1:$1048576,AC$93,$C552*2+MIN($B552,2)+5)
+INDEX(Scenarios!AC$121:AC$200,MATCH($B552,Scenarios!$B$121:$B$200,0))</f>
        <v>0</v>
      </c>
      <c r="AD552" s="476">
        <f>INDEX(Input!$1:$1048576,AD$93,$C552*2+MIN($B552,2)+5)</f>
        <v>0.27</v>
      </c>
      <c r="AE552" s="475">
        <f>INDEX(Input!$1:$1048576,AE$93,$C552*2+MIN($B552,2)+5)
+INDEX(Scenarios!AE$121:AE$200,MATCH($B552,Scenarios!$B$121:$B$200,0))</f>
        <v>0</v>
      </c>
      <c r="AF552" s="476">
        <f>INDEX(Input!$1:$1048576,AF$93,$C552*2+MIN($B552,2)+5)</f>
        <v>0.2</v>
      </c>
      <c r="AG552" s="475">
        <f>INDEX(Input!$1:$1048576,AG$93,$C552*2+MIN($B552,2)+5)
+INDEX(Scenarios!AG$121:AG$200,MATCH($B552,Scenarios!$B$121:$B$200,0))</f>
        <v>500</v>
      </c>
      <c r="AH552" s="476">
        <f>INDEX(Input!$1:$1048576,AH$93,$C552*2+MIN($B552,2)+5)</f>
        <v>1</v>
      </c>
      <c r="AI552" s="475">
        <f>INDEX(Input!$1:$1048576,AI$93,$C552*2+MIN($B552,2)+5)
+INDEX(Scenarios!AI$121:AI$200,MATCH($B552,Scenarios!$B$121:$B$200,0))</f>
        <v>0</v>
      </c>
      <c r="AJ552" s="476">
        <f>INDEX(Input!$1:$1048576,AJ$93,$C552*2+MIN($B552,2)+5)</f>
        <v>0.27</v>
      </c>
      <c r="AK552" s="150">
        <f>ROUND(INDEX(Input!$1:$1048576,AK$93,$C551*2+MIN($B552,1)+5)+(Y552-VLOOKUP($C552*1000+1,$A:$HH,Y$92,FALSE)),0)</f>
        <v>2227</v>
      </c>
      <c r="AL552" s="150">
        <f>ROUND(INDEX(Input!$1:$1048576,AL$93,$C551*2+MIN($B552,1)+5)-(Y552-VLOOKUP($C552*1000+1,$A:$HH,Y$92,FALSE))/36,0)</f>
        <v>3416</v>
      </c>
      <c r="AM552" s="32" t="str">
        <f t="shared" si="1544"/>
        <v>std/std/std/std</v>
      </c>
      <c r="AN552" s="32" t="str">
        <f t="shared" si="1545"/>
        <v>$0 + 0/0/0/0/3.9</v>
      </c>
      <c r="AO552" s="32" t="str">
        <f t="shared" si="1546"/>
        <v>0/0/0/0/3.9</v>
      </c>
      <c r="AP552" s="32" t="str">
        <f t="shared" si="1526"/>
        <v>0/0/0/3.9</v>
      </c>
      <c r="AQ552" s="536">
        <f t="shared" si="1525"/>
        <v>0.3632435365836777</v>
      </c>
      <c r="AR552" s="32"/>
      <c r="AS552" s="302"/>
      <c r="AT552" s="3">
        <f t="shared" si="1547"/>
        <v>52</v>
      </c>
      <c r="AU552" s="41" t="s">
        <v>121</v>
      </c>
      <c r="AV552" s="41" t="s">
        <v>116</v>
      </c>
      <c r="AW552" s="41" t="str">
        <f>INDEX(Input!$1:$1048576,AW$93,$C552*2+6)</f>
        <v>Kia</v>
      </c>
      <c r="AX552" s="41" t="str">
        <f>INDEX(Input!$1:$1048576,AX$93,$C552*2+6)</f>
        <v>Kia-LR - R2</v>
      </c>
      <c r="AY552" s="41" t="str">
        <f>IF(LEN(D552)=0,"",INDEX(Input!$1:$1048576,AY$93,$C552*2+6))</f>
        <v>Compact SUV (52)</v>
      </c>
      <c r="AZ552" s="41" t="str">
        <f>INDEX(Input!$1:$1048576,AZ$93,$C552*2+6)</f>
        <v>Kia Soul</v>
      </c>
      <c r="BA552" s="3">
        <f>INDEX(Input!$1:$1048576,BA$93,$C552*2+6)</f>
        <v>2020</v>
      </c>
      <c r="BB552" s="128">
        <f>INDEX(Input!$1:$1048576,BB$93,$C552*2+6)</f>
        <v>1</v>
      </c>
      <c r="BC552" s="128">
        <f>INDEX(Input!$1:$1048576,BC$93,$C552*2+6)</f>
        <v>0.7</v>
      </c>
      <c r="BD552" s="1">
        <f>INDEX(Input!$1:$1048576,BD$93,$C552*2+6)</f>
        <v>4.4999999999999998E-2</v>
      </c>
      <c r="BE552" s="1">
        <f>INDEX(Input!$1:$1048576,BE$93,$C552*2+6)</f>
        <v>4.4999999999999998E-2</v>
      </c>
      <c r="BF552" s="1">
        <f>INDEX(Input!$1:$1048576,BF$93,$C552*2+6)</f>
        <v>0.05</v>
      </c>
      <c r="BG552" s="1">
        <f>INDEX(Input!$1:$1048576,BG$93,$C552*2+6)</f>
        <v>5.45E-2</v>
      </c>
      <c r="BH552" s="1">
        <f>INDEX(Input!$1:$1048576,BH$93,$C552*2+6)</f>
        <v>5.45E-2</v>
      </c>
      <c r="BI552" s="1">
        <f>INDEX(Input!$1:$1048576,BI$93,$C552*2+6)</f>
        <v>0.05</v>
      </c>
      <c r="BJ552" s="1">
        <f>INDEX(Input!$1:$1048576,BJ$93,$C552*2+6)</f>
        <v>0.05</v>
      </c>
      <c r="BK552" s="1">
        <f>INDEX(Input!$1:$1048576,BK$93,$C552*2+6)</f>
        <v>0.05</v>
      </c>
      <c r="BL552" s="1">
        <f>INDEX(Input!$1:$1048576,BL$93,$C552*2+6)</f>
        <v>5.5E-2</v>
      </c>
      <c r="BM552" s="1">
        <f>INDEX(Input!$1:$1048576,BM$93,$C552*2+6)</f>
        <v>0.06</v>
      </c>
      <c r="BN552" s="1">
        <f>INDEX(Input!$1:$1048576,BN$93,$C552*2+6)</f>
        <v>4.4999999999999998E-2</v>
      </c>
      <c r="BO552" s="1">
        <f>INDEX(Input!$1:$1048576,BO$93,$C552*2+6)</f>
        <v>4.4999999999999998E-2</v>
      </c>
      <c r="BP552" s="1">
        <f>INDEX(Input!$1:$1048576,BP$93,$C552*2+6)</f>
        <v>0.05</v>
      </c>
      <c r="BQ552" s="1">
        <f>INDEX(Input!$1:$1048576,BQ$93,$C552*2+6)</f>
        <v>5.45E-2</v>
      </c>
      <c r="BR552" s="1">
        <f>INDEX(Input!$1:$1048576,BR$93,$C552*2+6)</f>
        <v>5.45E-2</v>
      </c>
      <c r="BS552" s="1">
        <f>INDEX(Input!$1:$1048576,BS$93,$C552*2+6)</f>
        <v>0.05</v>
      </c>
      <c r="BT552" s="1">
        <f>INDEX(Input!$1:$1048576,BT$93,$C552*2+6)</f>
        <v>0.05</v>
      </c>
      <c r="BU552" s="1">
        <f>INDEX(Input!$1:$1048576,BU$93,$C552*2+6)</f>
        <v>0.05</v>
      </c>
      <c r="BV552" s="1">
        <f>INDEX(Input!$1:$1048576,BV$93,$C552*2+6)</f>
        <v>5.5E-2</v>
      </c>
      <c r="BW552" s="1">
        <f>INDEX(Input!$1:$1048576,BW$93,$C552*2+6)</f>
        <v>0.06</v>
      </c>
      <c r="BX552" s="127">
        <f>INDEX(Input!$1:$1048576,BX$93,$C552*2+6)</f>
        <v>19985</v>
      </c>
      <c r="BY552" s="20">
        <f>INDEX(Input!$1:$1048576,BY$93,$C552*2+6)</f>
        <v>0.1</v>
      </c>
      <c r="BZ552" s="20">
        <f>INDEX(Input!$1:$1048576,BZ$93,$C552*2+6)</f>
        <v>0.1</v>
      </c>
      <c r="CA552" s="20">
        <f>INDEX(Input!$1:$1048576,CA$93,$C552*2+6)</f>
        <v>0.1</v>
      </c>
      <c r="CB552" s="20">
        <f>INDEX(Input!$1:$1048576,CB$93,$C552*2+6)</f>
        <v>0.1</v>
      </c>
      <c r="CC552" s="20">
        <f>INDEX(Input!$1:$1048576,CC$93,$C552*2+6)</f>
        <v>0.1</v>
      </c>
      <c r="CD552" s="384">
        <f>INDEX(Input!$1:$1048576,CD$93,$C552*2+6)</f>
        <v>0.1</v>
      </c>
      <c r="CE552" s="384">
        <f>INDEX(Input!$1:$1048576,CE$93,$C552*2+6)</f>
        <v>0.1</v>
      </c>
      <c r="CF552" s="384">
        <f>INDEX(Input!$1:$1048576,CF$93,$C552*2+6)</f>
        <v>0.1</v>
      </c>
      <c r="CG552" s="384">
        <f>INDEX(Input!$1:$1048576,CG$93,$C552*2+6)</f>
        <v>0.1</v>
      </c>
      <c r="CH552" s="384">
        <f>INDEX(Input!$1:$1048576,CH$93,$C552*2+6)</f>
        <v>0.1</v>
      </c>
      <c r="CI552" s="304">
        <f t="shared" si="1527"/>
        <v>1277.4263093788063</v>
      </c>
      <c r="CJ552" s="16" t="str">
        <f>INDEX(Input!$1:$1048576,CJ$93,$C552*2+6)</f>
        <v>N</v>
      </c>
      <c r="CK552" s="1" t="str">
        <f t="shared" si="1528"/>
        <v>Market</v>
      </c>
      <c r="CL552" s="1" t="str">
        <f t="shared" si="1529"/>
        <v>Market</v>
      </c>
      <c r="CM552" s="1" t="str">
        <f t="shared" si="1530"/>
        <v>Market</v>
      </c>
      <c r="CN552" s="1" t="str">
        <f t="shared" si="1531"/>
        <v>Market</v>
      </c>
      <c r="CO552" s="1" t="str">
        <f t="shared" si="1532"/>
        <v>Market</v>
      </c>
      <c r="CP552" s="304">
        <f t="shared" si="1533"/>
        <v>500</v>
      </c>
      <c r="CQ552" s="1">
        <f t="shared" si="1534"/>
        <v>0</v>
      </c>
      <c r="CR552" s="1">
        <f t="shared" si="1535"/>
        <v>0</v>
      </c>
      <c r="CS552" s="1">
        <f t="shared" si="1536"/>
        <v>0</v>
      </c>
      <c r="CT552" s="1">
        <f t="shared" si="1537"/>
        <v>0</v>
      </c>
      <c r="CU552" s="1">
        <f t="shared" si="1538"/>
        <v>3.9E-2</v>
      </c>
      <c r="CV552" s="304">
        <f t="shared" si="1539"/>
        <v>-1077.9364173925233</v>
      </c>
      <c r="CW552" s="20" t="s">
        <v>122</v>
      </c>
      <c r="CX552" s="20" t="s">
        <v>122</v>
      </c>
      <c r="CY552" s="20" t="s">
        <v>122</v>
      </c>
      <c r="CZ552" s="20" t="s">
        <v>122</v>
      </c>
      <c r="DA552" s="20" t="s">
        <v>122</v>
      </c>
      <c r="DB552" s="503">
        <f t="shared" si="1540"/>
        <v>0</v>
      </c>
      <c r="DC552" s="127">
        <v>0</v>
      </c>
      <c r="DD552" s="127">
        <v>0</v>
      </c>
      <c r="DE552" s="127">
        <v>0</v>
      </c>
      <c r="DF552" s="127">
        <v>0</v>
      </c>
      <c r="DG552" s="127">
        <v>0</v>
      </c>
      <c r="DH552" s="127">
        <v>0</v>
      </c>
      <c r="DI552" s="127">
        <v>0</v>
      </c>
      <c r="DJ552" s="127">
        <v>0</v>
      </c>
      <c r="DK552" s="127">
        <v>0</v>
      </c>
      <c r="DL552" s="127">
        <v>0</v>
      </c>
      <c r="DM552" s="304">
        <f>INDEX(Input!$1:$1048576,DM$93,$C552*2+6)</f>
        <v>21036.84210526316</v>
      </c>
      <c r="DN552" s="20">
        <v>0</v>
      </c>
      <c r="DO552" s="20">
        <v>0</v>
      </c>
      <c r="DP552" s="20">
        <v>0</v>
      </c>
      <c r="DQ552" s="20">
        <v>0</v>
      </c>
      <c r="DR552" s="20">
        <v>0</v>
      </c>
      <c r="DS552" s="20">
        <f>INDEX(Input!$1:$1048576,DS$93,$C552*2+6)</f>
        <v>0.6</v>
      </c>
      <c r="DT552" s="20">
        <f>INDEX(Input!$1:$1048576,DT$93,$C552*2+6)</f>
        <v>0.55000000000000004</v>
      </c>
      <c r="DU552" s="20">
        <f>INDEX(Input!$1:$1048576,DU$93,$C552*2+6)</f>
        <v>0.52</v>
      </c>
      <c r="DV552" s="20">
        <f>INDEX(Input!$1:$1048576,DV$93,$C552*2+6)</f>
        <v>0.5</v>
      </c>
      <c r="DW552" s="20">
        <f>INDEX(Input!$1:$1048576,DW$93,$C552*2+6)</f>
        <v>0.45</v>
      </c>
      <c r="DX552" s="20"/>
      <c r="DY552" s="7">
        <v>0.11489785254236462</v>
      </c>
      <c r="DZ552" s="7">
        <v>0</v>
      </c>
      <c r="EA552" s="7">
        <v>0.70895029635620288</v>
      </c>
      <c r="EB552" s="7">
        <v>0</v>
      </c>
      <c r="EC552" s="7">
        <v>0</v>
      </c>
      <c r="ED552" s="7">
        <v>0</v>
      </c>
      <c r="EE552" s="7">
        <v>0</v>
      </c>
      <c r="EF552" s="7">
        <v>0</v>
      </c>
      <c r="EG552" s="7">
        <v>0</v>
      </c>
      <c r="EH552" s="7">
        <v>7.3997898357704124E-3</v>
      </c>
      <c r="EI552" s="7">
        <v>2.0568600785137552E-2</v>
      </c>
      <c r="EJ552" s="7">
        <v>0.17860445817864856</v>
      </c>
      <c r="EK552" s="7">
        <v>0.71687980847168131</v>
      </c>
      <c r="EL552" s="7">
        <v>7.654734272876193E-2</v>
      </c>
      <c r="EM552" s="7">
        <v>0.11892282223503256</v>
      </c>
      <c r="EN552" s="7">
        <v>5.7468382547966997E-2</v>
      </c>
      <c r="EO552" s="7">
        <v>0.70678634868434131</v>
      </c>
      <c r="EP552" s="7">
        <v>9.4588664549299595E-2</v>
      </c>
      <c r="EQ552" s="7">
        <v>9.3122188874475056E-2</v>
      </c>
      <c r="ER552" s="7">
        <v>4.8034415343917301E-2</v>
      </c>
      <c r="ES552" s="7">
        <v>5.7229028866399981E-2</v>
      </c>
      <c r="ET552" s="7">
        <v>0.17615185110143255</v>
      </c>
      <c r="EU552" s="6">
        <v>1270</v>
      </c>
      <c r="EV552" s="6">
        <v>0</v>
      </c>
      <c r="EW552" s="6">
        <v>1270</v>
      </c>
      <c r="EX552" s="6">
        <v>0</v>
      </c>
      <c r="EY552" s="6">
        <v>2672.4371282642969</v>
      </c>
      <c r="EZ552" s="6">
        <v>-366.44990394013166</v>
      </c>
      <c r="FA552" s="6">
        <v>0</v>
      </c>
      <c r="FB552" s="6">
        <v>0</v>
      </c>
      <c r="FC552" s="6">
        <v>0</v>
      </c>
      <c r="FD552" s="6">
        <v>0</v>
      </c>
      <c r="FE552" s="6">
        <v>0</v>
      </c>
      <c r="FF552" s="6">
        <v>0</v>
      </c>
      <c r="FG552" s="6">
        <v>0</v>
      </c>
      <c r="FH552" s="6">
        <v>1172.1325869858974</v>
      </c>
      <c r="FI552" s="6">
        <v>1553.9796069512397</v>
      </c>
      <c r="FJ552" s="6">
        <v>2101.211011744741</v>
      </c>
      <c r="FK552" s="6">
        <v>2674.2006261592273</v>
      </c>
      <c r="FL552" s="6">
        <v>907.07682140966358</v>
      </c>
      <c r="FM552" s="6">
        <v>2402.4371282642969</v>
      </c>
      <c r="FN552" s="6">
        <v>0</v>
      </c>
      <c r="FO552" s="6">
        <v>0</v>
      </c>
      <c r="FP552" s="6">
        <v>0</v>
      </c>
      <c r="FQ552" s="6">
        <v>0</v>
      </c>
      <c r="FR552" s="6">
        <v>0</v>
      </c>
      <c r="FS552" s="6">
        <v>0</v>
      </c>
      <c r="FT552" s="7">
        <v>0.8238481488985675</v>
      </c>
      <c r="FU552" s="7">
        <v>0.11892282223503256</v>
      </c>
      <c r="FV552" s="7">
        <v>5.7229028866399981E-2</v>
      </c>
      <c r="FW552" s="6">
        <v>1269.9999999999998</v>
      </c>
      <c r="FX552" s="6">
        <v>2672.4371282642969</v>
      </c>
      <c r="FY552" s="6">
        <v>-366.44990394013166</v>
      </c>
      <c r="FZ552" s="6">
        <v>1758.1538569113241</v>
      </c>
      <c r="GA552" s="6">
        <v>1343.1293425093772</v>
      </c>
      <c r="GB552" s="6">
        <v>18641.870657490625</v>
      </c>
      <c r="GC552" s="7">
        <v>3.064145122680037E-2</v>
      </c>
      <c r="GD552" s="7">
        <v>2.9530667695555186E-2</v>
      </c>
      <c r="GE552" s="7"/>
      <c r="GF552" s="7"/>
      <c r="GG552" s="7">
        <v>-3.625100923006034E-2</v>
      </c>
      <c r="GH552" s="42">
        <v>1.7456231965158284</v>
      </c>
      <c r="GI552" s="6">
        <v>12791.762724495255</v>
      </c>
      <c r="GJ552" s="14">
        <v>0.50394797582841699</v>
      </c>
      <c r="GK552" s="14">
        <v>0.50887573065309777</v>
      </c>
      <c r="GL552" s="14">
        <v>0.49605202417158284</v>
      </c>
      <c r="GM552" s="14">
        <v>0.49112426934690251</v>
      </c>
      <c r="GO552" s="5">
        <v>343.14810671672558</v>
      </c>
      <c r="GP552" s="5">
        <v>318.91892952659737</v>
      </c>
      <c r="GQ552" s="5">
        <v>535.04305713031317</v>
      </c>
      <c r="GR552" s="5">
        <v>410.15490233172511</v>
      </c>
      <c r="GS552" s="5">
        <v>339.42744393800166</v>
      </c>
      <c r="GT552" s="5">
        <v>293.4407446948278</v>
      </c>
      <c r="GU552" s="5">
        <v>258.04012322764959</v>
      </c>
      <c r="GV552" s="39" t="s">
        <v>392</v>
      </c>
      <c r="GW552" s="5">
        <v>492.125</v>
      </c>
      <c r="GX552" s="5">
        <v>369.09375</v>
      </c>
      <c r="GY552" s="5">
        <v>295.27499999999998</v>
      </c>
      <c r="GZ552" s="5">
        <v>246.0625</v>
      </c>
      <c r="HA552" s="5">
        <v>241.34874471337258</v>
      </c>
      <c r="HB552" s="39">
        <v>258.84263790846239</v>
      </c>
      <c r="HC552" s="5">
        <v>303.31655829738077</v>
      </c>
      <c r="HD552" s="5">
        <v>250.74799238008356</v>
      </c>
      <c r="HE552" s="5">
        <v>251.12245558578954</v>
      </c>
      <c r="HF552" s="5">
        <v>229.38290951107166</v>
      </c>
      <c r="HG552" s="5">
        <v>217.65500473779989</v>
      </c>
      <c r="HH552" s="39">
        <v>250.22527721513993</v>
      </c>
      <c r="HI552" s="16"/>
      <c r="HJ552" s="19" t="str">
        <f t="shared" ref="HJ552" si="1582">HJ551</f>
        <v>On</v>
      </c>
      <c r="HK552" s="1" t="str">
        <f t="shared" si="1549"/>
        <v>On</v>
      </c>
      <c r="HL552" s="16"/>
      <c r="HM552" s="639">
        <f t="shared" si="1413"/>
        <v>2.4909940070666322E-2</v>
      </c>
      <c r="HN552" s="639">
        <f t="shared" si="1414"/>
        <v>2.2052381276269151E-3</v>
      </c>
      <c r="HO552" s="639">
        <f t="shared" si="1415"/>
        <v>2.079866082302006E-3</v>
      </c>
      <c r="HP552" s="644">
        <f>(FT552*$GD552-HM552)/$JF552*INDEX(Input!$1:$1048576,$JG$93,$C552*2+6)</f>
        <v>-16.342758579253967</v>
      </c>
      <c r="HQ552" s="644">
        <f>(FU552*$GD552-HN552)/$JF552*INDEX(Input!$1:$1048576,$JG$93,$C552*2+6)</f>
        <v>36.744080263143225</v>
      </c>
      <c r="HR552" s="644">
        <f>(FV552*$GD552-HO552)/$JF552*INDEX(Input!$1:$1048576,$JG$93,$C552*2+6)</f>
        <v>-10.963184819501626</v>
      </c>
      <c r="HS552" s="644">
        <f t="shared" si="1550"/>
        <v>-1.712678688835281</v>
      </c>
      <c r="HT552" s="644">
        <f t="shared" si="1417"/>
        <v>40.406497460229872</v>
      </c>
      <c r="HU552" s="644">
        <f t="shared" si="1418"/>
        <v>-2.0977732963549651</v>
      </c>
      <c r="HV552" s="648">
        <f t="shared" si="1419"/>
        <v>0</v>
      </c>
      <c r="HW552" s="648">
        <f t="shared" si="1420"/>
        <v>0</v>
      </c>
      <c r="HX552" s="648">
        <f t="shared" si="1421"/>
        <v>0</v>
      </c>
      <c r="HY552" s="644">
        <f>INDEX(Input!$1:$1048576,HY$93,$C552*2+6)*INDEX(Input!$1:$1048576,$JG$93,$C552*2+6)</f>
        <v>333.00000000000006</v>
      </c>
      <c r="HZ552" s="644">
        <f>INDEX(Input!$1:$1048576,HZ$93,$C552*2+6)*INDEX(Input!$1:$1048576,$JG$93,$C552*2+6)</f>
        <v>429</v>
      </c>
      <c r="IA552" s="644">
        <f>INDEX(Input!$1:$1048576,IA$93,$C552*2+6)*INDEX(Input!$1:$1048576,$JG$93,$C552*2+6)</f>
        <v>59</v>
      </c>
      <c r="IB552" s="644">
        <f t="shared" si="1551"/>
        <v>314.94456273191088</v>
      </c>
      <c r="IC552" s="644">
        <f t="shared" si="1552"/>
        <v>506.15057772337309</v>
      </c>
      <c r="ID552" s="644">
        <f>IF(AND(INDEX(Input!$1:$1048576,IA$93,$C552*2+7)="TOS",Y552&lt;=INDEX(Y:Y,MATCH(C552*1000+2,A:A))),0,1)*MAX(IA552+HR552+HU552+HX552,0%)</f>
        <v>45.939041884143407</v>
      </c>
      <c r="IE552" s="128">
        <f t="shared" si="1553"/>
        <v>0.3632435365836777</v>
      </c>
      <c r="IF552" s="128">
        <f t="shared" si="1554"/>
        <v>0.58377234488919461</v>
      </c>
      <c r="IG552" s="128">
        <f t="shared" si="1555"/>
        <v>5.2984118527127623E-2</v>
      </c>
      <c r="IH552" s="21"/>
      <c r="II552" s="19">
        <f t="shared" si="1424"/>
        <v>1240</v>
      </c>
      <c r="IJ552" s="19">
        <f t="shared" si="1425"/>
        <v>1985.7442651839444</v>
      </c>
      <c r="IK552" s="19">
        <f t="shared" si="1426"/>
        <v>-21.44990394013189</v>
      </c>
      <c r="IL552" s="19">
        <f t="shared" si="1556"/>
        <v>29.999999999999773</v>
      </c>
      <c r="IM552" s="19">
        <f t="shared" si="1557"/>
        <v>686.69286308035248</v>
      </c>
      <c r="IN552" s="19">
        <f t="shared" si="1558"/>
        <v>-344.99999999999977</v>
      </c>
      <c r="IO552" s="39">
        <f t="shared" si="1429"/>
        <v>0</v>
      </c>
      <c r="IP552" s="39">
        <f t="shared" si="1430"/>
        <v>0</v>
      </c>
      <c r="IQ552" s="39">
        <f t="shared" si="1431"/>
        <v>0</v>
      </c>
      <c r="IR552" s="39">
        <v>0</v>
      </c>
      <c r="IS552" s="39">
        <v>0</v>
      </c>
      <c r="IT552" s="39">
        <v>0</v>
      </c>
      <c r="IU552" s="39">
        <v>0</v>
      </c>
      <c r="IV552" s="39">
        <v>0</v>
      </c>
      <c r="IW552" s="39">
        <v>0</v>
      </c>
      <c r="IX552" s="39">
        <f>INDEX(Input!$1:$1048576,IX$93,$C552*2+6)+INDEX(Input!$1:$1048576,IX$94,$C552*2+6)</f>
        <v>1270</v>
      </c>
      <c r="IY552" s="39">
        <f>INDEX(Input!$1:$1048576,IY$93,$C552*2+6)+INDEX(Input!$1:$1048576,IY$94,$C552*2+6)</f>
        <v>2130.0624533823611</v>
      </c>
      <c r="IZ552" s="39">
        <f>INDEX(Input!$1:$1048576,IZ$93,$C552*2+6)+INDEX(Input!$1:$1048576,IZ$94,$C552*2+6)</f>
        <v>3653.7164157747857</v>
      </c>
      <c r="JA552" s="19">
        <f t="shared" si="1559"/>
        <v>1299.9999999999998</v>
      </c>
      <c r="JB552" s="19">
        <f t="shared" si="1560"/>
        <v>2816.7553164627134</v>
      </c>
      <c r="JC552" s="19">
        <f t="shared" si="1561"/>
        <v>3308.7164157747857</v>
      </c>
      <c r="JD552" s="19">
        <f t="shared" si="1562"/>
        <v>2291.8698763753887</v>
      </c>
      <c r="JE552" s="21"/>
      <c r="JF552" s="1">
        <f t="shared" si="1432"/>
        <v>2.9195044280595241E-2</v>
      </c>
      <c r="JG552" s="15">
        <f>INDEX(Input!$1:$1048576,JG$93,$C552*2+6)/(1+VLOOKUP(C552*1000+INDEX(Input!$1:$1048576,JG$93+1,$C552*2+6),$A:$KK,$JK$92,FALSE))</f>
        <v>821</v>
      </c>
      <c r="JH552" s="1">
        <f t="shared" si="1563"/>
        <v>1.1495903610703571E-2</v>
      </c>
      <c r="JI552" s="1">
        <f t="shared" si="1564"/>
        <v>4.4574964037807092E-2</v>
      </c>
      <c r="JJ552" s="1">
        <f t="shared" si="1565"/>
        <v>0</v>
      </c>
      <c r="JK552" s="1">
        <f t="shared" si="1566"/>
        <v>5.6070867648510665E-2</v>
      </c>
      <c r="JL552" s="15">
        <f t="shared" si="1567"/>
        <v>46.034182339427254</v>
      </c>
      <c r="JM552" s="15">
        <f t="shared" si="1568"/>
        <v>867.03418233942728</v>
      </c>
      <c r="JN552" s="21"/>
      <c r="JO552" s="19">
        <f>INDEX(Input!$1:$1048576,JO$93,$C552*2+6)</f>
        <v>5995.5</v>
      </c>
      <c r="JP552" s="19">
        <f>INDEX(Input!$1:$1048576,JP$93,$C552*2+6)</f>
        <v>1890.7138380411029</v>
      </c>
      <c r="JQ552" s="39">
        <f t="shared" si="1569"/>
        <v>3703.6301236246113</v>
      </c>
      <c r="JR552" s="39">
        <f t="shared" si="1570"/>
        <v>401.15603833428577</v>
      </c>
      <c r="JS552" s="39">
        <f t="shared" si="1571"/>
        <v>1.9871295242914992</v>
      </c>
      <c r="JT552" s="39">
        <f t="shared" si="1572"/>
        <v>0.43485346325975377</v>
      </c>
      <c r="JU552" s="385">
        <f>(JQ552*JM552-INDEX(Input!$1:$1048576,Input!A$18,$C552*2+6)*JL552*INDEX(Input!$1:$1048576,Input!A$19,$C552*2+6))/1000000</f>
        <v>3.2111739159245372</v>
      </c>
      <c r="JV552" s="39">
        <f t="shared" si="1573"/>
        <v>-0.1588555230437172</v>
      </c>
      <c r="JW552" s="1">
        <f t="shared" si="1574"/>
        <v>-4.7137725625432912E-2</v>
      </c>
      <c r="JX552" s="19">
        <f t="shared" si="1575"/>
        <v>9446.3166534254142</v>
      </c>
      <c r="JZ552" s="341"/>
      <c r="KA552" s="342"/>
      <c r="KB552" s="469">
        <f t="shared" si="1576"/>
        <v>2.5122967434604799</v>
      </c>
      <c r="KI552" s="473">
        <f t="shared" si="1577"/>
        <v>-18.055437268089236</v>
      </c>
      <c r="KJ552" s="473">
        <f t="shared" si="1578"/>
        <v>77.150577723372976</v>
      </c>
      <c r="KK552" s="473">
        <f t="shared" si="1579"/>
        <v>-13.0609581158566</v>
      </c>
      <c r="KN552" s="544">
        <f t="shared" si="1580"/>
        <v>5002</v>
      </c>
      <c r="KO552" s="541">
        <f t="shared" si="1436"/>
        <v>5.1788365588754326E-2</v>
      </c>
      <c r="KP552" s="546">
        <f t="shared" si="1437"/>
        <v>364.28399001212779</v>
      </c>
      <c r="KQ552" s="546">
        <f t="shared" si="1438"/>
        <v>372.95111065212222</v>
      </c>
      <c r="KR552" s="548">
        <f t="shared" si="1439"/>
        <v>2.5683610736933815</v>
      </c>
      <c r="KS552" s="548">
        <f t="shared" si="1440"/>
        <v>2.5086741746951642</v>
      </c>
      <c r="KT552" s="473">
        <f t="shared" si="1581"/>
        <v>595.94378802984284</v>
      </c>
      <c r="KU552" s="663">
        <f t="shared" si="1462"/>
        <v>3.9666942035210835</v>
      </c>
      <c r="KV552" s="117"/>
    </row>
    <row r="553" spans="1:308" s="26" customFormat="1" ht="15" outlineLevel="1">
      <c r="A553" s="561">
        <f t="shared" si="1541"/>
        <v>5053</v>
      </c>
      <c r="B553" s="561">
        <f t="shared" si="1542"/>
        <v>53</v>
      </c>
      <c r="C553" s="561">
        <f t="shared" si="1543"/>
        <v>5</v>
      </c>
      <c r="D553" s="561" t="str">
        <f t="shared" si="1509"/>
        <v xml:space="preserve">0/0/0/3.9, -360 Lease, </v>
      </c>
      <c r="E553" s="475">
        <f>INDEX(Input!$1:$1048576,E$93,$C553*2+MIN($B553,2)+5)
+INDEX(Scenarios!E$121:E$200,MATCH($B553,Scenarios!$B$121:$B$200,0))</f>
        <v>1277.4263093788063</v>
      </c>
      <c r="F553" s="475">
        <f>INDEX(Input!$1:$1048576,F$93,$C553*2+MIN($B553,2)+5)
+INDEX(Scenarios!F$121:F$200,MATCH($B553,Scenarios!$B$121:$B$200,0))</f>
        <v>0</v>
      </c>
      <c r="G553" s="475">
        <f>INDEX(Input!$1:$1048576,G$93,$C553*2+MIN($B553,2)+5)
+INDEX(Scenarios!G$121:G$200,MATCH($B553,Scenarios!$B$121:$B$200,0))</f>
        <v>0</v>
      </c>
      <c r="H553" s="475">
        <f>INDEX(Input!$1:$1048576,H$93,$C553*2+MIN($B553,2)+5)
+INDEX(Scenarios!H$121:H$200,MATCH($B553,Scenarios!$B$121:$B$200,0))</f>
        <v>0</v>
      </c>
      <c r="I553" s="476">
        <f>INDEX(Input!$1:$1048576,I$93,$C553*2+MIN($B553,2)+5)</f>
        <v>0.7</v>
      </c>
      <c r="J553" s="476" t="str">
        <f>INDEX(Input!$1:$1048576,J$93,$C553*2+MIN($B553,2)+5)</f>
        <v>Market</v>
      </c>
      <c r="K553" s="476" t="str">
        <f>INDEX(Input!$1:$1048576,K$93,$C553*2+MIN($B553,2)+5)</f>
        <v>Market</v>
      </c>
      <c r="L553" s="476" t="str">
        <f>INDEX(Input!$1:$1048576,L$93,$C553*2+MIN($B553,2)+5)</f>
        <v>Market</v>
      </c>
      <c r="M553" s="476" t="str">
        <f>INDEX(Input!$1:$1048576,M$93,$C553*2+MIN($B553,2)+5)</f>
        <v>Market</v>
      </c>
      <c r="N553" s="476" t="str">
        <f>INDEX(Input!$1:$1048576,N$93,$C553*2+MIN($B553,2)+5)</f>
        <v>Market</v>
      </c>
      <c r="O553" s="476" t="str">
        <f>INDEX(Input!$1:$1048576,O$93,$C553*2+MIN($B553,2)+5)</f>
        <v>Market</v>
      </c>
      <c r="P553" s="476" t="str">
        <f>INDEX(Input!$1:$1048576,P$93,$C553*2+MIN($B553,2)+5)</f>
        <v>N</v>
      </c>
      <c r="Q553" s="477">
        <f>INDEX(Input!$1:$1048576,Q$93,$C553*2+MIN($B553,2)+5)
+INDEX(Scenarios!Q$121:Q$200,MATCH($B553,Scenarios!$B$121:$B$200,0))</f>
        <v>0</v>
      </c>
      <c r="R553" s="478">
        <f>IFERROR(MAX(0,INDEX(Input!$1:$1048576,R$93,$C553*2+MIN($B553,2)+5)
+INDEX(Scenarios!R$121:R$200,MATCH($B553,Scenarios!$B$121:$B$200,0)),),"Market")</f>
        <v>0</v>
      </c>
      <c r="S553" s="478">
        <f>IFERROR(MAX(0,INDEX(Input!$1:$1048576,S$93,$C553*2+MIN($B553,2)+5)
+INDEX(Scenarios!S$121:S$200,MATCH($B553,Scenarios!$B$121:$B$200,0)),),"Market")</f>
        <v>0</v>
      </c>
      <c r="T553" s="478">
        <f>IFERROR(MAX(0,INDEX(Input!$1:$1048576,T$93,$C553*2+MIN($B553,2)+5)
+INDEX(Scenarios!T$121:T$200,MATCH($B553,Scenarios!$B$121:$B$200,0)),),"Market")</f>
        <v>0</v>
      </c>
      <c r="U553" s="478">
        <f>IFERROR(MAX(0,INDEX(Input!$1:$1048576,U$93,$C553*2+MIN($B553,2)+5)
+INDEX(Scenarios!U$121:U$200,MATCH($B553,Scenarios!$B$121:$B$200,0)),),"Market")</f>
        <v>0</v>
      </c>
      <c r="V553" s="478">
        <f>IFERROR(MAX(0,INDEX(Input!$1:$1048576,V$93,$C553*2+MIN($B553,2)+5)
+INDEX(Scenarios!V$121:V$200,MATCH($B553,Scenarios!$B$121:$B$200,0)),),"Market")</f>
        <v>0</v>
      </c>
      <c r="W553" s="885">
        <f>IFERROR(MAX(0,INDEX(Input!$1:$1048576,W$93,$C553*2+MIN($B553,2)+5)-0%,),"Market")</f>
        <v>3.9E-2</v>
      </c>
      <c r="X553" s="476" t="str">
        <f>INDEX(Input!$1:$1048576,X$93,$C553*2+MIN($B553,2)+5)</f>
        <v>Y</v>
      </c>
      <c r="Y553" s="475">
        <f>INDEX(Input!$1:$1048576,Y$93,$C553*2+MIN($B553,2)+5)
++INDEX(Scenarios!Y$121:Y$200,MATCH($B553,Scenarios!$B$121:$B$200,0))</f>
        <v>-1077.9364173925233</v>
      </c>
      <c r="Z553" s="477">
        <f>INDEX(Input!$1:$1048576,Z$93,$C553*2+MIN($B553,2)+5)
+INDEX(Scenarios!Z$121:Z$200,MATCH($B553,Scenarios!$B$121:$B$200,0))</f>
        <v>0</v>
      </c>
      <c r="AA553" s="475">
        <f>INDEX(Input!$1:$1048576,AA$93,$C553*2+MIN($B553,2)+5)
+INDEX(Scenarios!AA$121:AA$200,MATCH($B553,Scenarios!$B$121:$B$200,0))</f>
        <v>0</v>
      </c>
      <c r="AB553" s="476">
        <f>INDEX(Input!$1:$1048576,AB$93,$C553*2+MIN($B553,2)+5)</f>
        <v>0.27</v>
      </c>
      <c r="AC553" s="475">
        <f>INDEX(Input!$1:$1048576,AC$93,$C553*2+MIN($B553,2)+5)
+INDEX(Scenarios!AC$121:AC$200,MATCH($B553,Scenarios!$B$121:$B$200,0))</f>
        <v>0</v>
      </c>
      <c r="AD553" s="476">
        <f>INDEX(Input!$1:$1048576,AD$93,$C553*2+MIN($B553,2)+5)</f>
        <v>0.27</v>
      </c>
      <c r="AE553" s="475">
        <f>INDEX(Input!$1:$1048576,AE$93,$C553*2+MIN($B553,2)+5)
+INDEX(Scenarios!AE$121:AE$200,MATCH($B553,Scenarios!$B$121:$B$200,0))</f>
        <v>0</v>
      </c>
      <c r="AF553" s="476">
        <f>INDEX(Input!$1:$1048576,AF$93,$C553*2+MIN($B553,2)+5)</f>
        <v>0.2</v>
      </c>
      <c r="AG553" s="475">
        <f>INDEX(Input!$1:$1048576,AG$93,$C553*2+MIN($B553,2)+5)
+INDEX(Scenarios!AG$121:AG$200,MATCH($B553,Scenarios!$B$121:$B$200,0))</f>
        <v>500</v>
      </c>
      <c r="AH553" s="476">
        <f>INDEX(Input!$1:$1048576,AH$93,$C553*2+MIN($B553,2)+5)</f>
        <v>1</v>
      </c>
      <c r="AI553" s="475">
        <f>INDEX(Input!$1:$1048576,AI$93,$C553*2+MIN($B553,2)+5)
+INDEX(Scenarios!AI$121:AI$200,MATCH($B553,Scenarios!$B$121:$B$200,0))</f>
        <v>0</v>
      </c>
      <c r="AJ553" s="476">
        <f>INDEX(Input!$1:$1048576,AJ$93,$C553*2+MIN($B553,2)+5)</f>
        <v>0.27</v>
      </c>
      <c r="AK553" s="150">
        <f>ROUND(INDEX(Input!$1:$1048576,AK$93,$C552*2+MIN($B553,1)+5)+(Y553-VLOOKUP($C553*1000+1,$A:$HH,Y$92,FALSE)),0)</f>
        <v>2227</v>
      </c>
      <c r="AL553" s="150">
        <f>ROUND(INDEX(Input!$1:$1048576,AL$93,$C552*2+MIN($B553,1)+5)-(Y553-VLOOKUP($C553*1000+1,$A:$HH,Y$92,FALSE))/36,0)</f>
        <v>3416</v>
      </c>
      <c r="AM553" s="32" t="str">
        <f t="shared" si="1544"/>
        <v>std/std/std/std</v>
      </c>
      <c r="AN553" s="32" t="str">
        <f t="shared" si="1545"/>
        <v>$0 + 0/0/0/0/3.9</v>
      </c>
      <c r="AO553" s="32" t="str">
        <f t="shared" si="1546"/>
        <v>0/0/0/0/3.9</v>
      </c>
      <c r="AP553" s="32" t="str">
        <f t="shared" si="1526"/>
        <v>0/0/0/3.9</v>
      </c>
      <c r="AQ553" s="536">
        <f t="shared" si="1525"/>
        <v>0.3632435365836777</v>
      </c>
      <c r="AR553" s="32"/>
      <c r="AS553" s="302"/>
      <c r="AT553" s="3">
        <f t="shared" si="1547"/>
        <v>53</v>
      </c>
      <c r="AU553" s="41" t="s">
        <v>121</v>
      </c>
      <c r="AV553" s="41" t="s">
        <v>116</v>
      </c>
      <c r="AW553" s="41" t="str">
        <f>INDEX(Input!$1:$1048576,AW$93,$C553*2+6)</f>
        <v>Kia</v>
      </c>
      <c r="AX553" s="41" t="str">
        <f>INDEX(Input!$1:$1048576,AX$93,$C553*2+6)</f>
        <v>Kia-LR - R2</v>
      </c>
      <c r="AY553" s="41" t="str">
        <f>IF(LEN(D553)=0,"",INDEX(Input!$1:$1048576,AY$93,$C553*2+6))</f>
        <v>Compact SUV (52)</v>
      </c>
      <c r="AZ553" s="41" t="str">
        <f>INDEX(Input!$1:$1048576,AZ$93,$C553*2+6)</f>
        <v>Kia Soul</v>
      </c>
      <c r="BA553" s="3">
        <f>INDEX(Input!$1:$1048576,BA$93,$C553*2+6)</f>
        <v>2020</v>
      </c>
      <c r="BB553" s="128">
        <f>INDEX(Input!$1:$1048576,BB$93,$C553*2+6)</f>
        <v>1</v>
      </c>
      <c r="BC553" s="128">
        <f>INDEX(Input!$1:$1048576,BC$93,$C553*2+6)</f>
        <v>0.7</v>
      </c>
      <c r="BD553" s="1">
        <f>INDEX(Input!$1:$1048576,BD$93,$C553*2+6)</f>
        <v>4.4999999999999998E-2</v>
      </c>
      <c r="BE553" s="1">
        <f>INDEX(Input!$1:$1048576,BE$93,$C553*2+6)</f>
        <v>4.4999999999999998E-2</v>
      </c>
      <c r="BF553" s="1">
        <f>INDEX(Input!$1:$1048576,BF$93,$C553*2+6)</f>
        <v>0.05</v>
      </c>
      <c r="BG553" s="1">
        <f>INDEX(Input!$1:$1048576,BG$93,$C553*2+6)</f>
        <v>5.45E-2</v>
      </c>
      <c r="BH553" s="1">
        <f>INDEX(Input!$1:$1048576,BH$93,$C553*2+6)</f>
        <v>5.45E-2</v>
      </c>
      <c r="BI553" s="1">
        <f>INDEX(Input!$1:$1048576,BI$93,$C553*2+6)</f>
        <v>0.05</v>
      </c>
      <c r="BJ553" s="1">
        <f>INDEX(Input!$1:$1048576,BJ$93,$C553*2+6)</f>
        <v>0.05</v>
      </c>
      <c r="BK553" s="1">
        <f>INDEX(Input!$1:$1048576,BK$93,$C553*2+6)</f>
        <v>0.05</v>
      </c>
      <c r="BL553" s="1">
        <f>INDEX(Input!$1:$1048576,BL$93,$C553*2+6)</f>
        <v>5.5E-2</v>
      </c>
      <c r="BM553" s="1">
        <f>INDEX(Input!$1:$1048576,BM$93,$C553*2+6)</f>
        <v>0.06</v>
      </c>
      <c r="BN553" s="1">
        <f>INDEX(Input!$1:$1048576,BN$93,$C553*2+6)</f>
        <v>4.4999999999999998E-2</v>
      </c>
      <c r="BO553" s="1">
        <f>INDEX(Input!$1:$1048576,BO$93,$C553*2+6)</f>
        <v>4.4999999999999998E-2</v>
      </c>
      <c r="BP553" s="1">
        <f>INDEX(Input!$1:$1048576,BP$93,$C553*2+6)</f>
        <v>0.05</v>
      </c>
      <c r="BQ553" s="1">
        <f>INDEX(Input!$1:$1048576,BQ$93,$C553*2+6)</f>
        <v>5.45E-2</v>
      </c>
      <c r="BR553" s="1">
        <f>INDEX(Input!$1:$1048576,BR$93,$C553*2+6)</f>
        <v>5.45E-2</v>
      </c>
      <c r="BS553" s="1">
        <f>INDEX(Input!$1:$1048576,BS$93,$C553*2+6)</f>
        <v>0.05</v>
      </c>
      <c r="BT553" s="1">
        <f>INDEX(Input!$1:$1048576,BT$93,$C553*2+6)</f>
        <v>0.05</v>
      </c>
      <c r="BU553" s="1">
        <f>INDEX(Input!$1:$1048576,BU$93,$C553*2+6)</f>
        <v>0.05</v>
      </c>
      <c r="BV553" s="1">
        <f>INDEX(Input!$1:$1048576,BV$93,$C553*2+6)</f>
        <v>5.5E-2</v>
      </c>
      <c r="BW553" s="1">
        <f>INDEX(Input!$1:$1048576,BW$93,$C553*2+6)</f>
        <v>0.06</v>
      </c>
      <c r="BX553" s="127">
        <f>INDEX(Input!$1:$1048576,BX$93,$C553*2+6)</f>
        <v>19985</v>
      </c>
      <c r="BY553" s="20">
        <f>INDEX(Input!$1:$1048576,BY$93,$C553*2+6)</f>
        <v>0.1</v>
      </c>
      <c r="BZ553" s="20">
        <f>INDEX(Input!$1:$1048576,BZ$93,$C553*2+6)</f>
        <v>0.1</v>
      </c>
      <c r="CA553" s="20">
        <f>INDEX(Input!$1:$1048576,CA$93,$C553*2+6)</f>
        <v>0.1</v>
      </c>
      <c r="CB553" s="20">
        <f>INDEX(Input!$1:$1048576,CB$93,$C553*2+6)</f>
        <v>0.1</v>
      </c>
      <c r="CC553" s="20">
        <f>INDEX(Input!$1:$1048576,CC$93,$C553*2+6)</f>
        <v>0.1</v>
      </c>
      <c r="CD553" s="384">
        <f>INDEX(Input!$1:$1048576,CD$93,$C553*2+6)</f>
        <v>0.1</v>
      </c>
      <c r="CE553" s="384">
        <f>INDEX(Input!$1:$1048576,CE$93,$C553*2+6)</f>
        <v>0.1</v>
      </c>
      <c r="CF553" s="384">
        <f>INDEX(Input!$1:$1048576,CF$93,$C553*2+6)</f>
        <v>0.1</v>
      </c>
      <c r="CG553" s="384">
        <f>INDEX(Input!$1:$1048576,CG$93,$C553*2+6)</f>
        <v>0.1</v>
      </c>
      <c r="CH553" s="384">
        <f>INDEX(Input!$1:$1048576,CH$93,$C553*2+6)</f>
        <v>0.1</v>
      </c>
      <c r="CI553" s="304">
        <f t="shared" si="1527"/>
        <v>1277.4263093788063</v>
      </c>
      <c r="CJ553" s="16" t="str">
        <f>INDEX(Input!$1:$1048576,CJ$93,$C553*2+6)</f>
        <v>N</v>
      </c>
      <c r="CK553" s="1" t="str">
        <f t="shared" si="1528"/>
        <v>Market</v>
      </c>
      <c r="CL553" s="1" t="str">
        <f t="shared" si="1529"/>
        <v>Market</v>
      </c>
      <c r="CM553" s="1" t="str">
        <f t="shared" si="1530"/>
        <v>Market</v>
      </c>
      <c r="CN553" s="1" t="str">
        <f t="shared" si="1531"/>
        <v>Market</v>
      </c>
      <c r="CO553" s="1" t="str">
        <f t="shared" si="1532"/>
        <v>Market</v>
      </c>
      <c r="CP553" s="304">
        <f t="shared" si="1533"/>
        <v>500</v>
      </c>
      <c r="CQ553" s="1">
        <f t="shared" si="1534"/>
        <v>0</v>
      </c>
      <c r="CR553" s="1">
        <f t="shared" si="1535"/>
        <v>0</v>
      </c>
      <c r="CS553" s="1">
        <f t="shared" si="1536"/>
        <v>0</v>
      </c>
      <c r="CT553" s="1">
        <f t="shared" si="1537"/>
        <v>0</v>
      </c>
      <c r="CU553" s="1">
        <f t="shared" si="1538"/>
        <v>3.9E-2</v>
      </c>
      <c r="CV553" s="304">
        <f t="shared" si="1539"/>
        <v>-1077.9364173925233</v>
      </c>
      <c r="CW553" s="20" t="s">
        <v>122</v>
      </c>
      <c r="CX553" s="20" t="s">
        <v>122</v>
      </c>
      <c r="CY553" s="20" t="s">
        <v>122</v>
      </c>
      <c r="CZ553" s="20" t="s">
        <v>122</v>
      </c>
      <c r="DA553" s="20" t="s">
        <v>122</v>
      </c>
      <c r="DB553" s="503">
        <f t="shared" si="1540"/>
        <v>0</v>
      </c>
      <c r="DC553" s="127">
        <v>0</v>
      </c>
      <c r="DD553" s="127">
        <v>0</v>
      </c>
      <c r="DE553" s="127">
        <v>0</v>
      </c>
      <c r="DF553" s="127">
        <v>0</v>
      </c>
      <c r="DG553" s="127">
        <v>0</v>
      </c>
      <c r="DH553" s="127">
        <v>0</v>
      </c>
      <c r="DI553" s="127">
        <v>0</v>
      </c>
      <c r="DJ553" s="127">
        <v>0</v>
      </c>
      <c r="DK553" s="127">
        <v>0</v>
      </c>
      <c r="DL553" s="127">
        <v>0</v>
      </c>
      <c r="DM553" s="304">
        <f>INDEX(Input!$1:$1048576,DM$93,$C553*2+6)</f>
        <v>21036.84210526316</v>
      </c>
      <c r="DN553" s="20">
        <v>0</v>
      </c>
      <c r="DO553" s="20">
        <v>0</v>
      </c>
      <c r="DP553" s="20">
        <v>0</v>
      </c>
      <c r="DQ553" s="20">
        <v>0</v>
      </c>
      <c r="DR553" s="20">
        <v>0</v>
      </c>
      <c r="DS553" s="20">
        <f>INDEX(Input!$1:$1048576,DS$93,$C553*2+6)</f>
        <v>0.6</v>
      </c>
      <c r="DT553" s="20">
        <f>INDEX(Input!$1:$1048576,DT$93,$C553*2+6)</f>
        <v>0.55000000000000004</v>
      </c>
      <c r="DU553" s="20">
        <f>INDEX(Input!$1:$1048576,DU$93,$C553*2+6)</f>
        <v>0.52</v>
      </c>
      <c r="DV553" s="20">
        <f>INDEX(Input!$1:$1048576,DV$93,$C553*2+6)</f>
        <v>0.5</v>
      </c>
      <c r="DW553" s="20">
        <f>INDEX(Input!$1:$1048576,DW$93,$C553*2+6)</f>
        <v>0.45</v>
      </c>
      <c r="DX553" s="20"/>
      <c r="DY553" s="7">
        <v>0.11489785254236462</v>
      </c>
      <c r="DZ553" s="7">
        <v>0</v>
      </c>
      <c r="EA553" s="7">
        <v>0.70895029635620288</v>
      </c>
      <c r="EB553" s="7">
        <v>0</v>
      </c>
      <c r="EC553" s="7">
        <v>0</v>
      </c>
      <c r="ED553" s="7">
        <v>0</v>
      </c>
      <c r="EE553" s="7">
        <v>0</v>
      </c>
      <c r="EF553" s="7">
        <v>0</v>
      </c>
      <c r="EG553" s="7">
        <v>0</v>
      </c>
      <c r="EH553" s="7">
        <v>7.3997898357704124E-3</v>
      </c>
      <c r="EI553" s="7">
        <v>2.0568600785137552E-2</v>
      </c>
      <c r="EJ553" s="7">
        <v>0.17860445817864856</v>
      </c>
      <c r="EK553" s="7">
        <v>0.71687980847168131</v>
      </c>
      <c r="EL553" s="7">
        <v>7.654734272876193E-2</v>
      </c>
      <c r="EM553" s="7">
        <v>0.11892282223503256</v>
      </c>
      <c r="EN553" s="7">
        <v>5.7468382547966997E-2</v>
      </c>
      <c r="EO553" s="7">
        <v>0.70678634868434131</v>
      </c>
      <c r="EP553" s="7">
        <v>9.4588664549299595E-2</v>
      </c>
      <c r="EQ553" s="7">
        <v>9.3122188874475056E-2</v>
      </c>
      <c r="ER553" s="7">
        <v>4.8034415343917301E-2</v>
      </c>
      <c r="ES553" s="7">
        <v>5.7229028866399981E-2</v>
      </c>
      <c r="ET553" s="7">
        <v>0.17615185110143255</v>
      </c>
      <c r="EU553" s="6">
        <v>1270</v>
      </c>
      <c r="EV553" s="6">
        <v>0</v>
      </c>
      <c r="EW553" s="6">
        <v>1270</v>
      </c>
      <c r="EX553" s="6">
        <v>0</v>
      </c>
      <c r="EY553" s="6">
        <v>2672.4371282642969</v>
      </c>
      <c r="EZ553" s="6">
        <v>-366.44990394013166</v>
      </c>
      <c r="FA553" s="6">
        <v>0</v>
      </c>
      <c r="FB553" s="6">
        <v>0</v>
      </c>
      <c r="FC553" s="6">
        <v>0</v>
      </c>
      <c r="FD553" s="6">
        <v>0</v>
      </c>
      <c r="FE553" s="6">
        <v>0</v>
      </c>
      <c r="FF553" s="6">
        <v>0</v>
      </c>
      <c r="FG553" s="6">
        <v>0</v>
      </c>
      <c r="FH553" s="6">
        <v>1172.1325869858974</v>
      </c>
      <c r="FI553" s="6">
        <v>1553.9796069512397</v>
      </c>
      <c r="FJ553" s="6">
        <v>2101.211011744741</v>
      </c>
      <c r="FK553" s="6">
        <v>2674.2006261592273</v>
      </c>
      <c r="FL553" s="6">
        <v>907.07682140966358</v>
      </c>
      <c r="FM553" s="6">
        <v>2402.4371282642969</v>
      </c>
      <c r="FN553" s="6">
        <v>0</v>
      </c>
      <c r="FO553" s="6">
        <v>0</v>
      </c>
      <c r="FP553" s="6">
        <v>0</v>
      </c>
      <c r="FQ553" s="6">
        <v>0</v>
      </c>
      <c r="FR553" s="6">
        <v>0</v>
      </c>
      <c r="FS553" s="6">
        <v>0</v>
      </c>
      <c r="FT553" s="7">
        <v>0.8238481488985675</v>
      </c>
      <c r="FU553" s="7">
        <v>0.11892282223503256</v>
      </c>
      <c r="FV553" s="7">
        <v>5.7229028866399981E-2</v>
      </c>
      <c r="FW553" s="6">
        <v>1269.9999999999998</v>
      </c>
      <c r="FX553" s="6">
        <v>2672.4371282642969</v>
      </c>
      <c r="FY553" s="6">
        <v>-366.44990394013166</v>
      </c>
      <c r="FZ553" s="6">
        <v>1758.1538569113241</v>
      </c>
      <c r="GA553" s="6">
        <v>1343.1293425093772</v>
      </c>
      <c r="GB553" s="6">
        <v>18641.870657490625</v>
      </c>
      <c r="GC553" s="7">
        <v>3.064145122680037E-2</v>
      </c>
      <c r="GD553" s="7">
        <v>2.9530667695555186E-2</v>
      </c>
      <c r="GE553" s="7"/>
      <c r="GF553" s="7"/>
      <c r="GG553" s="7">
        <v>-3.625100923006034E-2</v>
      </c>
      <c r="GH553" s="42">
        <v>1.7456231965158284</v>
      </c>
      <c r="GI553" s="6">
        <v>12791.762724495255</v>
      </c>
      <c r="GJ553" s="14">
        <v>0.50394797582841699</v>
      </c>
      <c r="GK553" s="14">
        <v>0.50887573065309777</v>
      </c>
      <c r="GL553" s="14">
        <v>0.49605202417158284</v>
      </c>
      <c r="GM553" s="14">
        <v>0.49112426934690251</v>
      </c>
      <c r="GO553" s="5">
        <v>343.14810671672558</v>
      </c>
      <c r="GP553" s="5">
        <v>318.91892952659737</v>
      </c>
      <c r="GQ553" s="5">
        <v>535.04305713031317</v>
      </c>
      <c r="GR553" s="5">
        <v>410.15490233172511</v>
      </c>
      <c r="GS553" s="5">
        <v>339.42744393800166</v>
      </c>
      <c r="GT553" s="5">
        <v>293.4407446948278</v>
      </c>
      <c r="GU553" s="5">
        <v>258.04012322764959</v>
      </c>
      <c r="GV553" s="39" t="s">
        <v>392</v>
      </c>
      <c r="GW553" s="5">
        <v>492.125</v>
      </c>
      <c r="GX553" s="5">
        <v>369.09375</v>
      </c>
      <c r="GY553" s="5">
        <v>295.27499999999998</v>
      </c>
      <c r="GZ553" s="5">
        <v>246.0625</v>
      </c>
      <c r="HA553" s="5">
        <v>241.34874471337258</v>
      </c>
      <c r="HB553" s="39">
        <v>258.84263790846239</v>
      </c>
      <c r="HC553" s="5">
        <v>303.31655829738077</v>
      </c>
      <c r="HD553" s="5">
        <v>250.74799238008356</v>
      </c>
      <c r="HE553" s="5">
        <v>251.12245558578954</v>
      </c>
      <c r="HF553" s="5">
        <v>229.38290951107166</v>
      </c>
      <c r="HG553" s="5">
        <v>217.65500473779989</v>
      </c>
      <c r="HH553" s="39">
        <v>250.22527721513993</v>
      </c>
      <c r="HI553" s="16"/>
      <c r="HJ553" s="19" t="str">
        <f t="shared" ref="HJ553" si="1583">HJ552</f>
        <v>On</v>
      </c>
      <c r="HK553" s="1" t="str">
        <f t="shared" si="1549"/>
        <v>On</v>
      </c>
      <c r="HL553" s="16"/>
      <c r="HM553" s="639">
        <f t="shared" si="1413"/>
        <v>2.4909940070666322E-2</v>
      </c>
      <c r="HN553" s="639">
        <f t="shared" si="1414"/>
        <v>2.2052381276269151E-3</v>
      </c>
      <c r="HO553" s="639">
        <f t="shared" si="1415"/>
        <v>2.079866082302006E-3</v>
      </c>
      <c r="HP553" s="644">
        <f>(FT553*$GD553-HM553)/$JF553*INDEX(Input!$1:$1048576,$JG$93,$C553*2+6)</f>
        <v>-16.342758579253967</v>
      </c>
      <c r="HQ553" s="644">
        <f>(FU553*$GD553-HN553)/$JF553*INDEX(Input!$1:$1048576,$JG$93,$C553*2+6)</f>
        <v>36.744080263143225</v>
      </c>
      <c r="HR553" s="644">
        <f>(FV553*$GD553-HO553)/$JF553*INDEX(Input!$1:$1048576,$JG$93,$C553*2+6)</f>
        <v>-10.963184819501626</v>
      </c>
      <c r="HS553" s="644">
        <f t="shared" si="1550"/>
        <v>-1.712678688835281</v>
      </c>
      <c r="HT553" s="644">
        <f t="shared" si="1417"/>
        <v>40.406497460229872</v>
      </c>
      <c r="HU553" s="644">
        <f t="shared" si="1418"/>
        <v>-2.0977732963549651</v>
      </c>
      <c r="HV553" s="648">
        <f t="shared" si="1419"/>
        <v>0</v>
      </c>
      <c r="HW553" s="648">
        <f t="shared" si="1420"/>
        <v>0</v>
      </c>
      <c r="HX553" s="648">
        <f t="shared" si="1421"/>
        <v>0</v>
      </c>
      <c r="HY553" s="644">
        <f>INDEX(Input!$1:$1048576,HY$93,$C553*2+6)*INDEX(Input!$1:$1048576,$JG$93,$C553*2+6)</f>
        <v>333.00000000000006</v>
      </c>
      <c r="HZ553" s="644">
        <f>INDEX(Input!$1:$1048576,HZ$93,$C553*2+6)*INDEX(Input!$1:$1048576,$JG$93,$C553*2+6)</f>
        <v>429</v>
      </c>
      <c r="IA553" s="644">
        <f>INDEX(Input!$1:$1048576,IA$93,$C553*2+6)*INDEX(Input!$1:$1048576,$JG$93,$C553*2+6)</f>
        <v>59</v>
      </c>
      <c r="IB553" s="644">
        <f t="shared" si="1551"/>
        <v>314.94456273191088</v>
      </c>
      <c r="IC553" s="644">
        <f t="shared" si="1552"/>
        <v>506.15057772337309</v>
      </c>
      <c r="ID553" s="644">
        <f>IF(AND(INDEX(Input!$1:$1048576,IA$93,$C553*2+7)="TOS",Y553&lt;=INDEX(Y:Y,MATCH(C553*1000+2,A:A))),0,1)*MAX(IA553+HR553+HU553+HX553,0%)</f>
        <v>45.939041884143407</v>
      </c>
      <c r="IE553" s="128">
        <f t="shared" si="1553"/>
        <v>0.3632435365836777</v>
      </c>
      <c r="IF553" s="128">
        <f t="shared" si="1554"/>
        <v>0.58377234488919461</v>
      </c>
      <c r="IG553" s="128">
        <f t="shared" si="1555"/>
        <v>5.2984118527127623E-2</v>
      </c>
      <c r="IH553" s="21"/>
      <c r="II553" s="19">
        <f t="shared" si="1424"/>
        <v>1240</v>
      </c>
      <c r="IJ553" s="19">
        <f t="shared" si="1425"/>
        <v>1985.7442651839444</v>
      </c>
      <c r="IK553" s="19">
        <f t="shared" si="1426"/>
        <v>-21.44990394013189</v>
      </c>
      <c r="IL553" s="19">
        <f t="shared" si="1556"/>
        <v>29.999999999999773</v>
      </c>
      <c r="IM553" s="19">
        <f t="shared" si="1557"/>
        <v>686.69286308035248</v>
      </c>
      <c r="IN553" s="19">
        <f t="shared" si="1558"/>
        <v>-344.99999999999977</v>
      </c>
      <c r="IO553" s="39">
        <f t="shared" si="1429"/>
        <v>0</v>
      </c>
      <c r="IP553" s="39">
        <f t="shared" si="1430"/>
        <v>0</v>
      </c>
      <c r="IQ553" s="39">
        <f t="shared" si="1431"/>
        <v>0</v>
      </c>
      <c r="IR553" s="39">
        <v>0</v>
      </c>
      <c r="IS553" s="39">
        <v>0</v>
      </c>
      <c r="IT553" s="39">
        <v>0</v>
      </c>
      <c r="IU553" s="39">
        <v>0</v>
      </c>
      <c r="IV553" s="39">
        <v>0</v>
      </c>
      <c r="IW553" s="39">
        <v>0</v>
      </c>
      <c r="IX553" s="39">
        <f>INDEX(Input!$1:$1048576,IX$93,$C553*2+6)+INDEX(Input!$1:$1048576,IX$94,$C553*2+6)</f>
        <v>1270</v>
      </c>
      <c r="IY553" s="39">
        <f>INDEX(Input!$1:$1048576,IY$93,$C553*2+6)+INDEX(Input!$1:$1048576,IY$94,$C553*2+6)</f>
        <v>2130.0624533823611</v>
      </c>
      <c r="IZ553" s="39">
        <f>INDEX(Input!$1:$1048576,IZ$93,$C553*2+6)+INDEX(Input!$1:$1048576,IZ$94,$C553*2+6)</f>
        <v>3653.7164157747857</v>
      </c>
      <c r="JA553" s="19">
        <f t="shared" si="1559"/>
        <v>1299.9999999999998</v>
      </c>
      <c r="JB553" s="19">
        <f t="shared" si="1560"/>
        <v>2816.7553164627134</v>
      </c>
      <c r="JC553" s="19">
        <f t="shared" si="1561"/>
        <v>3308.7164157747857</v>
      </c>
      <c r="JD553" s="19">
        <f t="shared" si="1562"/>
        <v>2291.8698763753887</v>
      </c>
      <c r="JE553" s="21"/>
      <c r="JF553" s="1">
        <f t="shared" si="1432"/>
        <v>2.9195044280595241E-2</v>
      </c>
      <c r="JG553" s="15">
        <f>INDEX(Input!$1:$1048576,JG$93,$C553*2+6)/(1+VLOOKUP(C553*1000+INDEX(Input!$1:$1048576,JG$93+1,$C553*2+6),$A:$KK,$JK$92,FALSE))</f>
        <v>821</v>
      </c>
      <c r="JH553" s="1">
        <f t="shared" si="1563"/>
        <v>1.1495903610703571E-2</v>
      </c>
      <c r="JI553" s="1">
        <f t="shared" si="1564"/>
        <v>4.4574964037807092E-2</v>
      </c>
      <c r="JJ553" s="1">
        <f t="shared" si="1565"/>
        <v>0</v>
      </c>
      <c r="JK553" s="1">
        <f t="shared" si="1566"/>
        <v>5.6070867648510665E-2</v>
      </c>
      <c r="JL553" s="15">
        <f t="shared" si="1567"/>
        <v>46.034182339427254</v>
      </c>
      <c r="JM553" s="15">
        <f t="shared" si="1568"/>
        <v>867.03418233942728</v>
      </c>
      <c r="JN553" s="21"/>
      <c r="JO553" s="19">
        <f>INDEX(Input!$1:$1048576,JO$93,$C553*2+6)</f>
        <v>5995.5</v>
      </c>
      <c r="JP553" s="19">
        <f>INDEX(Input!$1:$1048576,JP$93,$C553*2+6)</f>
        <v>1890.7138380411029</v>
      </c>
      <c r="JQ553" s="39">
        <f t="shared" si="1569"/>
        <v>3703.6301236246113</v>
      </c>
      <c r="JR553" s="39">
        <f t="shared" si="1570"/>
        <v>401.15603833428577</v>
      </c>
      <c r="JS553" s="39">
        <f t="shared" si="1571"/>
        <v>1.9871295242914992</v>
      </c>
      <c r="JT553" s="39">
        <f t="shared" si="1572"/>
        <v>0.43485346325975377</v>
      </c>
      <c r="JU553" s="385">
        <f>(JQ553*JM553-INDEX(Input!$1:$1048576,Input!A$18,$C553*2+6)*JL553*INDEX(Input!$1:$1048576,Input!A$19,$C553*2+6))/1000000</f>
        <v>3.2111739159245372</v>
      </c>
      <c r="JV553" s="39">
        <f t="shared" si="1573"/>
        <v>-0.1588555230437172</v>
      </c>
      <c r="JW553" s="1">
        <f t="shared" si="1574"/>
        <v>-4.7137725625432912E-2</v>
      </c>
      <c r="JX553" s="19">
        <f t="shared" si="1575"/>
        <v>9446.3166534254142</v>
      </c>
      <c r="JZ553" s="341"/>
      <c r="KA553" s="342"/>
      <c r="KB553" s="469">
        <f t="shared" si="1576"/>
        <v>2.5122967434604799</v>
      </c>
      <c r="KI553" s="473">
        <f t="shared" si="1577"/>
        <v>-18.055437268089236</v>
      </c>
      <c r="KJ553" s="473">
        <f t="shared" si="1578"/>
        <v>77.150577723372976</v>
      </c>
      <c r="KK553" s="473">
        <f t="shared" si="1579"/>
        <v>-13.0609581158566</v>
      </c>
      <c r="KN553" s="544">
        <f t="shared" si="1580"/>
        <v>5002</v>
      </c>
      <c r="KO553" s="541">
        <f t="shared" si="1436"/>
        <v>5.1788365588754326E-2</v>
      </c>
      <c r="KP553" s="546">
        <f t="shared" si="1437"/>
        <v>364.28399001212779</v>
      </c>
      <c r="KQ553" s="546">
        <f t="shared" si="1438"/>
        <v>372.95111065212222</v>
      </c>
      <c r="KR553" s="548">
        <f t="shared" si="1439"/>
        <v>2.5683610736933815</v>
      </c>
      <c r="KS553" s="548">
        <f t="shared" si="1440"/>
        <v>2.5086741746951642</v>
      </c>
      <c r="KT553" s="473">
        <f t="shared" si="1581"/>
        <v>595.94378802984284</v>
      </c>
      <c r="KU553" s="663">
        <f t="shared" si="1462"/>
        <v>3.9666952035210832</v>
      </c>
      <c r="KV553" s="117"/>
    </row>
    <row r="554" spans="1:308" s="26" customFormat="1" ht="15" outlineLevel="1">
      <c r="A554" s="561">
        <f t="shared" si="1541"/>
        <v>5054</v>
      </c>
      <c r="B554" s="561">
        <f t="shared" si="1542"/>
        <v>54</v>
      </c>
      <c r="C554" s="561">
        <f t="shared" si="1543"/>
        <v>5</v>
      </c>
      <c r="D554" s="561" t="str">
        <f t="shared" si="1509"/>
        <v xml:space="preserve">0/0/0/3.9, -360 Lease, </v>
      </c>
      <c r="E554" s="475">
        <f>INDEX(Input!$1:$1048576,E$93,$C554*2+MIN($B554,2)+5)
+INDEX(Scenarios!E$121:E$200,MATCH($B554,Scenarios!$B$121:$B$200,0))</f>
        <v>1277.4263093788063</v>
      </c>
      <c r="F554" s="475">
        <f>INDEX(Input!$1:$1048576,F$93,$C554*2+MIN($B554,2)+5)
+INDEX(Scenarios!F$121:F$200,MATCH($B554,Scenarios!$B$121:$B$200,0))</f>
        <v>0</v>
      </c>
      <c r="G554" s="475">
        <f>INDEX(Input!$1:$1048576,G$93,$C554*2+MIN($B554,2)+5)
+INDEX(Scenarios!G$121:G$200,MATCH($B554,Scenarios!$B$121:$B$200,0))</f>
        <v>0</v>
      </c>
      <c r="H554" s="475">
        <f>INDEX(Input!$1:$1048576,H$93,$C554*2+MIN($B554,2)+5)
+INDEX(Scenarios!H$121:H$200,MATCH($B554,Scenarios!$B$121:$B$200,0))</f>
        <v>0</v>
      </c>
      <c r="I554" s="476">
        <f>INDEX(Input!$1:$1048576,I$93,$C554*2+MIN($B554,2)+5)</f>
        <v>0.7</v>
      </c>
      <c r="J554" s="476" t="str">
        <f>INDEX(Input!$1:$1048576,J$93,$C554*2+MIN($B554,2)+5)</f>
        <v>Market</v>
      </c>
      <c r="K554" s="476" t="str">
        <f>INDEX(Input!$1:$1048576,K$93,$C554*2+MIN($B554,2)+5)</f>
        <v>Market</v>
      </c>
      <c r="L554" s="476" t="str">
        <f>INDEX(Input!$1:$1048576,L$93,$C554*2+MIN($B554,2)+5)</f>
        <v>Market</v>
      </c>
      <c r="M554" s="476" t="str">
        <f>INDEX(Input!$1:$1048576,M$93,$C554*2+MIN($B554,2)+5)</f>
        <v>Market</v>
      </c>
      <c r="N554" s="476" t="str">
        <f>INDEX(Input!$1:$1048576,N$93,$C554*2+MIN($B554,2)+5)</f>
        <v>Market</v>
      </c>
      <c r="O554" s="476" t="str">
        <f>INDEX(Input!$1:$1048576,O$93,$C554*2+MIN($B554,2)+5)</f>
        <v>Market</v>
      </c>
      <c r="P554" s="476" t="str">
        <f>INDEX(Input!$1:$1048576,P$93,$C554*2+MIN($B554,2)+5)</f>
        <v>N</v>
      </c>
      <c r="Q554" s="477">
        <f>INDEX(Input!$1:$1048576,Q$93,$C554*2+MIN($B554,2)+5)
+INDEX(Scenarios!Q$121:Q$200,MATCH($B554,Scenarios!$B$121:$B$200,0))</f>
        <v>0</v>
      </c>
      <c r="R554" s="478">
        <f>IFERROR(MAX(0,INDEX(Input!$1:$1048576,R$93,$C554*2+MIN($B554,2)+5)
+INDEX(Scenarios!R$121:R$200,MATCH($B554,Scenarios!$B$121:$B$200,0)),),"Market")</f>
        <v>0</v>
      </c>
      <c r="S554" s="478">
        <f>IFERROR(MAX(0,INDEX(Input!$1:$1048576,S$93,$C554*2+MIN($B554,2)+5)
+INDEX(Scenarios!S$121:S$200,MATCH($B554,Scenarios!$B$121:$B$200,0)),),"Market")</f>
        <v>0</v>
      </c>
      <c r="T554" s="478">
        <f>IFERROR(MAX(0,INDEX(Input!$1:$1048576,T$93,$C554*2+MIN($B554,2)+5)
+INDEX(Scenarios!T$121:T$200,MATCH($B554,Scenarios!$B$121:$B$200,0)),),"Market")</f>
        <v>0</v>
      </c>
      <c r="U554" s="478">
        <f>IFERROR(MAX(0,INDEX(Input!$1:$1048576,U$93,$C554*2+MIN($B554,2)+5)
+INDEX(Scenarios!U$121:U$200,MATCH($B554,Scenarios!$B$121:$B$200,0)),),"Market")</f>
        <v>0</v>
      </c>
      <c r="V554" s="478">
        <f>IFERROR(MAX(0,INDEX(Input!$1:$1048576,V$93,$C554*2+MIN($B554,2)+5)
+INDEX(Scenarios!V$121:V$200,MATCH($B554,Scenarios!$B$121:$B$200,0)),),"Market")</f>
        <v>0</v>
      </c>
      <c r="W554" s="885">
        <f>IFERROR(MAX(0,INDEX(Input!$1:$1048576,W$93,$C554*2+MIN($B554,2)+5)-0%,),"Market")</f>
        <v>3.9E-2</v>
      </c>
      <c r="X554" s="476" t="str">
        <f>INDEX(Input!$1:$1048576,X$93,$C554*2+MIN($B554,2)+5)</f>
        <v>Y</v>
      </c>
      <c r="Y554" s="475">
        <f>INDEX(Input!$1:$1048576,Y$93,$C554*2+MIN($B554,2)+5)
++INDEX(Scenarios!Y$121:Y$200,MATCH($B554,Scenarios!$B$121:$B$200,0))</f>
        <v>-1077.9364173925233</v>
      </c>
      <c r="Z554" s="477">
        <f>INDEX(Input!$1:$1048576,Z$93,$C554*2+MIN($B554,2)+5)
+INDEX(Scenarios!Z$121:Z$200,MATCH($B554,Scenarios!$B$121:$B$200,0))</f>
        <v>0</v>
      </c>
      <c r="AA554" s="475">
        <f>INDEX(Input!$1:$1048576,AA$93,$C554*2+MIN($B554,2)+5)
+INDEX(Scenarios!AA$121:AA$200,MATCH($B554,Scenarios!$B$121:$B$200,0))</f>
        <v>0</v>
      </c>
      <c r="AB554" s="476">
        <f>INDEX(Input!$1:$1048576,AB$93,$C554*2+MIN($B554,2)+5)</f>
        <v>0.27</v>
      </c>
      <c r="AC554" s="475">
        <f>INDEX(Input!$1:$1048576,AC$93,$C554*2+MIN($B554,2)+5)
+INDEX(Scenarios!AC$121:AC$200,MATCH($B554,Scenarios!$B$121:$B$200,0))</f>
        <v>0</v>
      </c>
      <c r="AD554" s="476">
        <f>INDEX(Input!$1:$1048576,AD$93,$C554*2+MIN($B554,2)+5)</f>
        <v>0.27</v>
      </c>
      <c r="AE554" s="475">
        <f>INDEX(Input!$1:$1048576,AE$93,$C554*2+MIN($B554,2)+5)
+INDEX(Scenarios!AE$121:AE$200,MATCH($B554,Scenarios!$B$121:$B$200,0))</f>
        <v>0</v>
      </c>
      <c r="AF554" s="476">
        <f>INDEX(Input!$1:$1048576,AF$93,$C554*2+MIN($B554,2)+5)</f>
        <v>0.2</v>
      </c>
      <c r="AG554" s="475">
        <f>INDEX(Input!$1:$1048576,AG$93,$C554*2+MIN($B554,2)+5)
+INDEX(Scenarios!AG$121:AG$200,MATCH($B554,Scenarios!$B$121:$B$200,0))</f>
        <v>500</v>
      </c>
      <c r="AH554" s="476">
        <f>INDEX(Input!$1:$1048576,AH$93,$C554*2+MIN($B554,2)+5)</f>
        <v>1</v>
      </c>
      <c r="AI554" s="475">
        <f>INDEX(Input!$1:$1048576,AI$93,$C554*2+MIN($B554,2)+5)
+INDEX(Scenarios!AI$121:AI$200,MATCH($B554,Scenarios!$B$121:$B$200,0))</f>
        <v>0</v>
      </c>
      <c r="AJ554" s="476">
        <f>INDEX(Input!$1:$1048576,AJ$93,$C554*2+MIN($B554,2)+5)</f>
        <v>0.27</v>
      </c>
      <c r="AK554" s="150">
        <f>ROUND(INDEX(Input!$1:$1048576,AK$93,$C553*2+MIN($B554,1)+5)+(Y554-VLOOKUP($C554*1000+1,$A:$HH,Y$92,FALSE)),0)</f>
        <v>2227</v>
      </c>
      <c r="AL554" s="150">
        <f>ROUND(INDEX(Input!$1:$1048576,AL$93,$C553*2+MIN($B554,1)+5)-(Y554-VLOOKUP($C554*1000+1,$A:$HH,Y$92,FALSE))/36,0)</f>
        <v>3416</v>
      </c>
      <c r="AM554" s="32" t="str">
        <f t="shared" si="1544"/>
        <v>std/std/std/std</v>
      </c>
      <c r="AN554" s="32" t="str">
        <f t="shared" si="1545"/>
        <v>$0 + 0/0/0/0/3.9</v>
      </c>
      <c r="AO554" s="32" t="str">
        <f t="shared" si="1546"/>
        <v>0/0/0/0/3.9</v>
      </c>
      <c r="AP554" s="32" t="str">
        <f t="shared" si="1526"/>
        <v>0/0/0/3.9</v>
      </c>
      <c r="AQ554" s="536">
        <f t="shared" si="1525"/>
        <v>0.3632435365836777</v>
      </c>
      <c r="AR554" s="32"/>
      <c r="AS554" s="302"/>
      <c r="AT554" s="3">
        <f t="shared" si="1547"/>
        <v>54</v>
      </c>
      <c r="AU554" s="41" t="s">
        <v>121</v>
      </c>
      <c r="AV554" s="41" t="s">
        <v>116</v>
      </c>
      <c r="AW554" s="41" t="str">
        <f>INDEX(Input!$1:$1048576,AW$93,$C554*2+6)</f>
        <v>Kia</v>
      </c>
      <c r="AX554" s="41" t="str">
        <f>INDEX(Input!$1:$1048576,AX$93,$C554*2+6)</f>
        <v>Kia-LR - R2</v>
      </c>
      <c r="AY554" s="41" t="str">
        <f>IF(LEN(D554)=0,"",INDEX(Input!$1:$1048576,AY$93,$C554*2+6))</f>
        <v>Compact SUV (52)</v>
      </c>
      <c r="AZ554" s="41" t="str">
        <f>INDEX(Input!$1:$1048576,AZ$93,$C554*2+6)</f>
        <v>Kia Soul</v>
      </c>
      <c r="BA554" s="3">
        <f>INDEX(Input!$1:$1048576,BA$93,$C554*2+6)</f>
        <v>2020</v>
      </c>
      <c r="BB554" s="128">
        <f>INDEX(Input!$1:$1048576,BB$93,$C554*2+6)</f>
        <v>1</v>
      </c>
      <c r="BC554" s="128">
        <f>INDEX(Input!$1:$1048576,BC$93,$C554*2+6)</f>
        <v>0.7</v>
      </c>
      <c r="BD554" s="1">
        <f>INDEX(Input!$1:$1048576,BD$93,$C554*2+6)</f>
        <v>4.4999999999999998E-2</v>
      </c>
      <c r="BE554" s="1">
        <f>INDEX(Input!$1:$1048576,BE$93,$C554*2+6)</f>
        <v>4.4999999999999998E-2</v>
      </c>
      <c r="BF554" s="1">
        <f>INDEX(Input!$1:$1048576,BF$93,$C554*2+6)</f>
        <v>0.05</v>
      </c>
      <c r="BG554" s="1">
        <f>INDEX(Input!$1:$1048576,BG$93,$C554*2+6)</f>
        <v>5.45E-2</v>
      </c>
      <c r="BH554" s="1">
        <f>INDEX(Input!$1:$1048576,BH$93,$C554*2+6)</f>
        <v>5.45E-2</v>
      </c>
      <c r="BI554" s="1">
        <f>INDEX(Input!$1:$1048576,BI$93,$C554*2+6)</f>
        <v>0.05</v>
      </c>
      <c r="BJ554" s="1">
        <f>INDEX(Input!$1:$1048576,BJ$93,$C554*2+6)</f>
        <v>0.05</v>
      </c>
      <c r="BK554" s="1">
        <f>INDEX(Input!$1:$1048576,BK$93,$C554*2+6)</f>
        <v>0.05</v>
      </c>
      <c r="BL554" s="1">
        <f>INDEX(Input!$1:$1048576,BL$93,$C554*2+6)</f>
        <v>5.5E-2</v>
      </c>
      <c r="BM554" s="1">
        <f>INDEX(Input!$1:$1048576,BM$93,$C554*2+6)</f>
        <v>0.06</v>
      </c>
      <c r="BN554" s="1">
        <f>INDEX(Input!$1:$1048576,BN$93,$C554*2+6)</f>
        <v>4.4999999999999998E-2</v>
      </c>
      <c r="BO554" s="1">
        <f>INDEX(Input!$1:$1048576,BO$93,$C554*2+6)</f>
        <v>4.4999999999999998E-2</v>
      </c>
      <c r="BP554" s="1">
        <f>INDEX(Input!$1:$1048576,BP$93,$C554*2+6)</f>
        <v>0.05</v>
      </c>
      <c r="BQ554" s="1">
        <f>INDEX(Input!$1:$1048576,BQ$93,$C554*2+6)</f>
        <v>5.45E-2</v>
      </c>
      <c r="BR554" s="1">
        <f>INDEX(Input!$1:$1048576,BR$93,$C554*2+6)</f>
        <v>5.45E-2</v>
      </c>
      <c r="BS554" s="1">
        <f>INDEX(Input!$1:$1048576,BS$93,$C554*2+6)</f>
        <v>0.05</v>
      </c>
      <c r="BT554" s="1">
        <f>INDEX(Input!$1:$1048576,BT$93,$C554*2+6)</f>
        <v>0.05</v>
      </c>
      <c r="BU554" s="1">
        <f>INDEX(Input!$1:$1048576,BU$93,$C554*2+6)</f>
        <v>0.05</v>
      </c>
      <c r="BV554" s="1">
        <f>INDEX(Input!$1:$1048576,BV$93,$C554*2+6)</f>
        <v>5.5E-2</v>
      </c>
      <c r="BW554" s="1">
        <f>INDEX(Input!$1:$1048576,BW$93,$C554*2+6)</f>
        <v>0.06</v>
      </c>
      <c r="BX554" s="127">
        <f>INDEX(Input!$1:$1048576,BX$93,$C554*2+6)</f>
        <v>19985</v>
      </c>
      <c r="BY554" s="20">
        <f>INDEX(Input!$1:$1048576,BY$93,$C554*2+6)</f>
        <v>0.1</v>
      </c>
      <c r="BZ554" s="20">
        <f>INDEX(Input!$1:$1048576,BZ$93,$C554*2+6)</f>
        <v>0.1</v>
      </c>
      <c r="CA554" s="20">
        <f>INDEX(Input!$1:$1048576,CA$93,$C554*2+6)</f>
        <v>0.1</v>
      </c>
      <c r="CB554" s="20">
        <f>INDEX(Input!$1:$1048576,CB$93,$C554*2+6)</f>
        <v>0.1</v>
      </c>
      <c r="CC554" s="20">
        <f>INDEX(Input!$1:$1048576,CC$93,$C554*2+6)</f>
        <v>0.1</v>
      </c>
      <c r="CD554" s="384">
        <f>INDEX(Input!$1:$1048576,CD$93,$C554*2+6)</f>
        <v>0.1</v>
      </c>
      <c r="CE554" s="384">
        <f>INDEX(Input!$1:$1048576,CE$93,$C554*2+6)</f>
        <v>0.1</v>
      </c>
      <c r="CF554" s="384">
        <f>INDEX(Input!$1:$1048576,CF$93,$C554*2+6)</f>
        <v>0.1</v>
      </c>
      <c r="CG554" s="384">
        <f>INDEX(Input!$1:$1048576,CG$93,$C554*2+6)</f>
        <v>0.1</v>
      </c>
      <c r="CH554" s="384">
        <f>INDEX(Input!$1:$1048576,CH$93,$C554*2+6)</f>
        <v>0.1</v>
      </c>
      <c r="CI554" s="304">
        <f t="shared" si="1527"/>
        <v>1277.4263093788063</v>
      </c>
      <c r="CJ554" s="16" t="str">
        <f>INDEX(Input!$1:$1048576,CJ$93,$C554*2+6)</f>
        <v>N</v>
      </c>
      <c r="CK554" s="1" t="str">
        <f t="shared" si="1528"/>
        <v>Market</v>
      </c>
      <c r="CL554" s="1" t="str">
        <f t="shared" si="1529"/>
        <v>Market</v>
      </c>
      <c r="CM554" s="1" t="str">
        <f t="shared" si="1530"/>
        <v>Market</v>
      </c>
      <c r="CN554" s="1" t="str">
        <f t="shared" si="1531"/>
        <v>Market</v>
      </c>
      <c r="CO554" s="1" t="str">
        <f t="shared" si="1532"/>
        <v>Market</v>
      </c>
      <c r="CP554" s="304">
        <f t="shared" si="1533"/>
        <v>500</v>
      </c>
      <c r="CQ554" s="1">
        <f t="shared" si="1534"/>
        <v>0</v>
      </c>
      <c r="CR554" s="1">
        <f t="shared" si="1535"/>
        <v>0</v>
      </c>
      <c r="CS554" s="1">
        <f t="shared" si="1536"/>
        <v>0</v>
      </c>
      <c r="CT554" s="1">
        <f t="shared" si="1537"/>
        <v>0</v>
      </c>
      <c r="CU554" s="1">
        <f t="shared" si="1538"/>
        <v>3.9E-2</v>
      </c>
      <c r="CV554" s="304">
        <f t="shared" si="1539"/>
        <v>-1077.9364173925233</v>
      </c>
      <c r="CW554" s="20" t="s">
        <v>122</v>
      </c>
      <c r="CX554" s="20" t="s">
        <v>122</v>
      </c>
      <c r="CY554" s="20" t="s">
        <v>122</v>
      </c>
      <c r="CZ554" s="20" t="s">
        <v>122</v>
      </c>
      <c r="DA554" s="20" t="s">
        <v>122</v>
      </c>
      <c r="DB554" s="503">
        <f t="shared" si="1540"/>
        <v>0</v>
      </c>
      <c r="DC554" s="127">
        <v>0</v>
      </c>
      <c r="DD554" s="127">
        <v>0</v>
      </c>
      <c r="DE554" s="127">
        <v>0</v>
      </c>
      <c r="DF554" s="127">
        <v>0</v>
      </c>
      <c r="DG554" s="127">
        <v>0</v>
      </c>
      <c r="DH554" s="127">
        <v>0</v>
      </c>
      <c r="DI554" s="127">
        <v>0</v>
      </c>
      <c r="DJ554" s="127">
        <v>0</v>
      </c>
      <c r="DK554" s="127">
        <v>0</v>
      </c>
      <c r="DL554" s="127">
        <v>0</v>
      </c>
      <c r="DM554" s="304">
        <f>INDEX(Input!$1:$1048576,DM$93,$C554*2+6)</f>
        <v>21036.84210526316</v>
      </c>
      <c r="DN554" s="20">
        <v>0</v>
      </c>
      <c r="DO554" s="20">
        <v>0</v>
      </c>
      <c r="DP554" s="20">
        <v>0</v>
      </c>
      <c r="DQ554" s="20">
        <v>0</v>
      </c>
      <c r="DR554" s="20">
        <v>0</v>
      </c>
      <c r="DS554" s="20">
        <f>INDEX(Input!$1:$1048576,DS$93,$C554*2+6)</f>
        <v>0.6</v>
      </c>
      <c r="DT554" s="20">
        <f>INDEX(Input!$1:$1048576,DT$93,$C554*2+6)</f>
        <v>0.55000000000000004</v>
      </c>
      <c r="DU554" s="20">
        <f>INDEX(Input!$1:$1048576,DU$93,$C554*2+6)</f>
        <v>0.52</v>
      </c>
      <c r="DV554" s="20">
        <f>INDEX(Input!$1:$1048576,DV$93,$C554*2+6)</f>
        <v>0.5</v>
      </c>
      <c r="DW554" s="20">
        <f>INDEX(Input!$1:$1048576,DW$93,$C554*2+6)</f>
        <v>0.45</v>
      </c>
      <c r="DX554" s="20"/>
      <c r="DY554" s="7">
        <v>0.11489785254236462</v>
      </c>
      <c r="DZ554" s="7">
        <v>0</v>
      </c>
      <c r="EA554" s="7">
        <v>0.70895029635620288</v>
      </c>
      <c r="EB554" s="7">
        <v>0</v>
      </c>
      <c r="EC554" s="7">
        <v>0</v>
      </c>
      <c r="ED554" s="7">
        <v>0</v>
      </c>
      <c r="EE554" s="7">
        <v>0</v>
      </c>
      <c r="EF554" s="7">
        <v>0</v>
      </c>
      <c r="EG554" s="7">
        <v>0</v>
      </c>
      <c r="EH554" s="7">
        <v>7.3997898357704124E-3</v>
      </c>
      <c r="EI554" s="7">
        <v>2.0568600785137552E-2</v>
      </c>
      <c r="EJ554" s="7">
        <v>0.17860445817864856</v>
      </c>
      <c r="EK554" s="7">
        <v>0.71687980847168131</v>
      </c>
      <c r="EL554" s="7">
        <v>7.654734272876193E-2</v>
      </c>
      <c r="EM554" s="7">
        <v>0.11892282223503256</v>
      </c>
      <c r="EN554" s="7">
        <v>5.7468382547966997E-2</v>
      </c>
      <c r="EO554" s="7">
        <v>0.70678634868434131</v>
      </c>
      <c r="EP554" s="7">
        <v>9.4588664549299595E-2</v>
      </c>
      <c r="EQ554" s="7">
        <v>9.3122188874475056E-2</v>
      </c>
      <c r="ER554" s="7">
        <v>4.8034415343917301E-2</v>
      </c>
      <c r="ES554" s="7">
        <v>5.7229028866399981E-2</v>
      </c>
      <c r="ET554" s="7">
        <v>0.17615185110143255</v>
      </c>
      <c r="EU554" s="6">
        <v>1270</v>
      </c>
      <c r="EV554" s="6">
        <v>0</v>
      </c>
      <c r="EW554" s="6">
        <v>1270</v>
      </c>
      <c r="EX554" s="6">
        <v>0</v>
      </c>
      <c r="EY554" s="6">
        <v>2672.4371282642969</v>
      </c>
      <c r="EZ554" s="6">
        <v>-366.44990394013166</v>
      </c>
      <c r="FA554" s="6">
        <v>0</v>
      </c>
      <c r="FB554" s="6">
        <v>0</v>
      </c>
      <c r="FC554" s="6">
        <v>0</v>
      </c>
      <c r="FD554" s="6">
        <v>0</v>
      </c>
      <c r="FE554" s="6">
        <v>0</v>
      </c>
      <c r="FF554" s="6">
        <v>0</v>
      </c>
      <c r="FG554" s="6">
        <v>0</v>
      </c>
      <c r="FH554" s="6">
        <v>1172.1325869858974</v>
      </c>
      <c r="FI554" s="6">
        <v>1553.9796069512397</v>
      </c>
      <c r="FJ554" s="6">
        <v>2101.211011744741</v>
      </c>
      <c r="FK554" s="6">
        <v>2674.2006261592273</v>
      </c>
      <c r="FL554" s="6">
        <v>907.07682140966358</v>
      </c>
      <c r="FM554" s="6">
        <v>2402.4371282642969</v>
      </c>
      <c r="FN554" s="6">
        <v>0</v>
      </c>
      <c r="FO554" s="6">
        <v>0</v>
      </c>
      <c r="FP554" s="6">
        <v>0</v>
      </c>
      <c r="FQ554" s="6">
        <v>0</v>
      </c>
      <c r="FR554" s="6">
        <v>0</v>
      </c>
      <c r="FS554" s="6">
        <v>0</v>
      </c>
      <c r="FT554" s="7">
        <v>0.8238481488985675</v>
      </c>
      <c r="FU554" s="7">
        <v>0.11892282223503256</v>
      </c>
      <c r="FV554" s="7">
        <v>5.7229028866399981E-2</v>
      </c>
      <c r="FW554" s="6">
        <v>1269.9999999999998</v>
      </c>
      <c r="FX554" s="6">
        <v>2672.4371282642969</v>
      </c>
      <c r="FY554" s="6">
        <v>-366.44990394013166</v>
      </c>
      <c r="FZ554" s="6">
        <v>1758.1538569113241</v>
      </c>
      <c r="GA554" s="6">
        <v>1343.1293425093772</v>
      </c>
      <c r="GB554" s="6">
        <v>18641.870657490625</v>
      </c>
      <c r="GC554" s="7">
        <v>3.064145122680037E-2</v>
      </c>
      <c r="GD554" s="7">
        <v>2.9530667695555186E-2</v>
      </c>
      <c r="GE554" s="7"/>
      <c r="GF554" s="7"/>
      <c r="GG554" s="7">
        <v>-3.625100923006034E-2</v>
      </c>
      <c r="GH554" s="42">
        <v>1.7456231965158284</v>
      </c>
      <c r="GI554" s="6">
        <v>12791.762724495255</v>
      </c>
      <c r="GJ554" s="14">
        <v>0.50394797582841699</v>
      </c>
      <c r="GK554" s="14">
        <v>0.50887573065309777</v>
      </c>
      <c r="GL554" s="14">
        <v>0.49605202417158284</v>
      </c>
      <c r="GM554" s="14">
        <v>0.49112426934690251</v>
      </c>
      <c r="GO554" s="5">
        <v>343.14810671672558</v>
      </c>
      <c r="GP554" s="5">
        <v>318.91892952659737</v>
      </c>
      <c r="GQ554" s="5">
        <v>535.04305713031317</v>
      </c>
      <c r="GR554" s="5">
        <v>410.15490233172511</v>
      </c>
      <c r="GS554" s="5">
        <v>339.42744393800166</v>
      </c>
      <c r="GT554" s="5">
        <v>293.4407446948278</v>
      </c>
      <c r="GU554" s="5">
        <v>258.04012322764959</v>
      </c>
      <c r="GV554" s="39" t="s">
        <v>392</v>
      </c>
      <c r="GW554" s="5">
        <v>492.125</v>
      </c>
      <c r="GX554" s="5">
        <v>369.09375</v>
      </c>
      <c r="GY554" s="5">
        <v>295.27499999999998</v>
      </c>
      <c r="GZ554" s="5">
        <v>246.0625</v>
      </c>
      <c r="HA554" s="5">
        <v>241.34874471337258</v>
      </c>
      <c r="HB554" s="39">
        <v>258.84263790846239</v>
      </c>
      <c r="HC554" s="5">
        <v>303.31655829738077</v>
      </c>
      <c r="HD554" s="5">
        <v>250.74799238008356</v>
      </c>
      <c r="HE554" s="5">
        <v>251.12245558578954</v>
      </c>
      <c r="HF554" s="5">
        <v>229.38290951107166</v>
      </c>
      <c r="HG554" s="5">
        <v>217.65500473779989</v>
      </c>
      <c r="HH554" s="39">
        <v>250.22527721513993</v>
      </c>
      <c r="HI554" s="16"/>
      <c r="HJ554" s="19" t="str">
        <f t="shared" ref="HJ554" si="1584">HJ553</f>
        <v>On</v>
      </c>
      <c r="HK554" s="1" t="str">
        <f t="shared" si="1549"/>
        <v>On</v>
      </c>
      <c r="HL554" s="16"/>
      <c r="HM554" s="639">
        <f t="shared" si="1413"/>
        <v>2.4909940070666322E-2</v>
      </c>
      <c r="HN554" s="639">
        <f t="shared" si="1414"/>
        <v>2.2052381276269151E-3</v>
      </c>
      <c r="HO554" s="639">
        <f t="shared" si="1415"/>
        <v>2.079866082302006E-3</v>
      </c>
      <c r="HP554" s="644">
        <f>(FT554*$GD554-HM554)/$JF554*INDEX(Input!$1:$1048576,$JG$93,$C554*2+6)</f>
        <v>-16.342758579253967</v>
      </c>
      <c r="HQ554" s="644">
        <f>(FU554*$GD554-HN554)/$JF554*INDEX(Input!$1:$1048576,$JG$93,$C554*2+6)</f>
        <v>36.744080263143225</v>
      </c>
      <c r="HR554" s="644">
        <f>(FV554*$GD554-HO554)/$JF554*INDEX(Input!$1:$1048576,$JG$93,$C554*2+6)</f>
        <v>-10.963184819501626</v>
      </c>
      <c r="HS554" s="644">
        <f t="shared" si="1550"/>
        <v>-1.712678688835281</v>
      </c>
      <c r="HT554" s="644">
        <f t="shared" si="1417"/>
        <v>40.406497460229872</v>
      </c>
      <c r="HU554" s="644">
        <f t="shared" si="1418"/>
        <v>-2.0977732963549651</v>
      </c>
      <c r="HV554" s="648">
        <f t="shared" si="1419"/>
        <v>0</v>
      </c>
      <c r="HW554" s="648">
        <f t="shared" si="1420"/>
        <v>0</v>
      </c>
      <c r="HX554" s="648">
        <f t="shared" si="1421"/>
        <v>0</v>
      </c>
      <c r="HY554" s="644">
        <f>INDEX(Input!$1:$1048576,HY$93,$C554*2+6)*INDEX(Input!$1:$1048576,$JG$93,$C554*2+6)</f>
        <v>333.00000000000006</v>
      </c>
      <c r="HZ554" s="644">
        <f>INDEX(Input!$1:$1048576,HZ$93,$C554*2+6)*INDEX(Input!$1:$1048576,$JG$93,$C554*2+6)</f>
        <v>429</v>
      </c>
      <c r="IA554" s="644">
        <f>INDEX(Input!$1:$1048576,IA$93,$C554*2+6)*INDEX(Input!$1:$1048576,$JG$93,$C554*2+6)</f>
        <v>59</v>
      </c>
      <c r="IB554" s="644">
        <f t="shared" si="1551"/>
        <v>314.94456273191088</v>
      </c>
      <c r="IC554" s="644">
        <f t="shared" si="1552"/>
        <v>506.15057772337309</v>
      </c>
      <c r="ID554" s="644">
        <f>IF(AND(INDEX(Input!$1:$1048576,IA$93,$C554*2+7)="TOS",Y554&lt;=INDEX(Y:Y,MATCH(C554*1000+2,A:A))),0,1)*MAX(IA554+HR554+HU554+HX554,0%)</f>
        <v>45.939041884143407</v>
      </c>
      <c r="IE554" s="128">
        <f t="shared" si="1553"/>
        <v>0.3632435365836777</v>
      </c>
      <c r="IF554" s="128">
        <f t="shared" si="1554"/>
        <v>0.58377234488919461</v>
      </c>
      <c r="IG554" s="128">
        <f t="shared" si="1555"/>
        <v>5.2984118527127623E-2</v>
      </c>
      <c r="IH554" s="21"/>
      <c r="II554" s="19">
        <f t="shared" si="1424"/>
        <v>1240</v>
      </c>
      <c r="IJ554" s="19">
        <f t="shared" si="1425"/>
        <v>1985.7442651839444</v>
      </c>
      <c r="IK554" s="19">
        <f t="shared" si="1426"/>
        <v>-21.44990394013189</v>
      </c>
      <c r="IL554" s="19">
        <f t="shared" si="1556"/>
        <v>29.999999999999773</v>
      </c>
      <c r="IM554" s="19">
        <f t="shared" si="1557"/>
        <v>686.69286308035248</v>
      </c>
      <c r="IN554" s="19">
        <f t="shared" si="1558"/>
        <v>-344.99999999999977</v>
      </c>
      <c r="IO554" s="39">
        <f t="shared" si="1429"/>
        <v>0</v>
      </c>
      <c r="IP554" s="39">
        <f t="shared" si="1430"/>
        <v>0</v>
      </c>
      <c r="IQ554" s="39">
        <f t="shared" si="1431"/>
        <v>0</v>
      </c>
      <c r="IR554" s="39">
        <v>0</v>
      </c>
      <c r="IS554" s="39">
        <v>0</v>
      </c>
      <c r="IT554" s="39">
        <v>0</v>
      </c>
      <c r="IU554" s="39">
        <v>0</v>
      </c>
      <c r="IV554" s="39">
        <v>0</v>
      </c>
      <c r="IW554" s="39">
        <v>0</v>
      </c>
      <c r="IX554" s="39">
        <f>INDEX(Input!$1:$1048576,IX$93,$C554*2+6)+INDEX(Input!$1:$1048576,IX$94,$C554*2+6)</f>
        <v>1270</v>
      </c>
      <c r="IY554" s="39">
        <f>INDEX(Input!$1:$1048576,IY$93,$C554*2+6)+INDEX(Input!$1:$1048576,IY$94,$C554*2+6)</f>
        <v>2130.0624533823611</v>
      </c>
      <c r="IZ554" s="39">
        <f>INDEX(Input!$1:$1048576,IZ$93,$C554*2+6)+INDEX(Input!$1:$1048576,IZ$94,$C554*2+6)</f>
        <v>3653.7164157747857</v>
      </c>
      <c r="JA554" s="19">
        <f t="shared" si="1559"/>
        <v>1299.9999999999998</v>
      </c>
      <c r="JB554" s="19">
        <f t="shared" si="1560"/>
        <v>2816.7553164627134</v>
      </c>
      <c r="JC554" s="19">
        <f t="shared" si="1561"/>
        <v>3308.7164157747857</v>
      </c>
      <c r="JD554" s="19">
        <f t="shared" si="1562"/>
        <v>2291.8698763753887</v>
      </c>
      <c r="JE554" s="21"/>
      <c r="JF554" s="1">
        <f t="shared" si="1432"/>
        <v>2.9195044280595241E-2</v>
      </c>
      <c r="JG554" s="15">
        <f>INDEX(Input!$1:$1048576,JG$93,$C554*2+6)/(1+VLOOKUP(C554*1000+INDEX(Input!$1:$1048576,JG$93+1,$C554*2+6),$A:$KK,$JK$92,FALSE))</f>
        <v>821</v>
      </c>
      <c r="JH554" s="1">
        <f t="shared" si="1563"/>
        <v>1.1495903610703571E-2</v>
      </c>
      <c r="JI554" s="1">
        <f t="shared" si="1564"/>
        <v>4.4574964037807092E-2</v>
      </c>
      <c r="JJ554" s="1">
        <f t="shared" si="1565"/>
        <v>0</v>
      </c>
      <c r="JK554" s="1">
        <f t="shared" si="1566"/>
        <v>5.6070867648510665E-2</v>
      </c>
      <c r="JL554" s="15">
        <f t="shared" si="1567"/>
        <v>46.034182339427254</v>
      </c>
      <c r="JM554" s="15">
        <f t="shared" si="1568"/>
        <v>867.03418233942728</v>
      </c>
      <c r="JN554" s="21"/>
      <c r="JO554" s="19">
        <f>INDEX(Input!$1:$1048576,JO$93,$C554*2+6)</f>
        <v>5995.5</v>
      </c>
      <c r="JP554" s="19">
        <f>INDEX(Input!$1:$1048576,JP$93,$C554*2+6)</f>
        <v>1890.7138380411029</v>
      </c>
      <c r="JQ554" s="39">
        <f t="shared" si="1569"/>
        <v>3703.6301236246113</v>
      </c>
      <c r="JR554" s="39">
        <f t="shared" si="1570"/>
        <v>401.15603833428577</v>
      </c>
      <c r="JS554" s="39">
        <f t="shared" si="1571"/>
        <v>1.9871295242914992</v>
      </c>
      <c r="JT554" s="39">
        <f t="shared" si="1572"/>
        <v>0.43485346325975377</v>
      </c>
      <c r="JU554" s="385">
        <f>(JQ554*JM554-INDEX(Input!$1:$1048576,Input!A$18,$C554*2+6)*JL554*INDEX(Input!$1:$1048576,Input!A$19,$C554*2+6))/1000000</f>
        <v>3.2111739159245372</v>
      </c>
      <c r="JV554" s="39">
        <f t="shared" si="1573"/>
        <v>-0.1588555230437172</v>
      </c>
      <c r="JW554" s="1">
        <f t="shared" si="1574"/>
        <v>-4.7137725625432912E-2</v>
      </c>
      <c r="JX554" s="19">
        <f t="shared" si="1575"/>
        <v>9446.3166534254142</v>
      </c>
      <c r="JZ554" s="341"/>
      <c r="KA554" s="342"/>
      <c r="KB554" s="469">
        <f t="shared" si="1576"/>
        <v>2.5122967434604799</v>
      </c>
      <c r="KI554" s="473">
        <f t="shared" si="1577"/>
        <v>-18.055437268089236</v>
      </c>
      <c r="KJ554" s="473">
        <f t="shared" si="1578"/>
        <v>77.150577723372976</v>
      </c>
      <c r="KK554" s="473">
        <f t="shared" si="1579"/>
        <v>-13.0609581158566</v>
      </c>
      <c r="KN554" s="544">
        <f t="shared" si="1580"/>
        <v>5002</v>
      </c>
      <c r="KO554" s="541">
        <f t="shared" si="1436"/>
        <v>5.1788365588754326E-2</v>
      </c>
      <c r="KP554" s="546">
        <f t="shared" si="1437"/>
        <v>364.28399001212779</v>
      </c>
      <c r="KQ554" s="546">
        <f t="shared" si="1438"/>
        <v>372.95111065212222</v>
      </c>
      <c r="KR554" s="548">
        <f t="shared" si="1439"/>
        <v>2.5683610736933815</v>
      </c>
      <c r="KS554" s="548">
        <f t="shared" si="1440"/>
        <v>2.5086741746951642</v>
      </c>
      <c r="KT554" s="473">
        <f t="shared" si="1581"/>
        <v>595.94378802984284</v>
      </c>
      <c r="KU554" s="663">
        <f t="shared" si="1462"/>
        <v>3.9666962035210833</v>
      </c>
      <c r="KV554" s="117"/>
    </row>
    <row r="555" spans="1:308" s="26" customFormat="1" ht="15" outlineLevel="1">
      <c r="A555" s="561">
        <f t="shared" si="1541"/>
        <v>5055</v>
      </c>
      <c r="B555" s="561">
        <f t="shared" si="1542"/>
        <v>55</v>
      </c>
      <c r="C555" s="561">
        <f t="shared" si="1543"/>
        <v>5</v>
      </c>
      <c r="D555" s="561" t="str">
        <f t="shared" si="1509"/>
        <v xml:space="preserve">500 CC, 500 Combo, 360 Lease, </v>
      </c>
      <c r="E555" s="475">
        <f>INDEX(Input!$1:$1048576,E$93,$C555*2+MIN($B555,2)+5)
+INDEX(Scenarios!E$121:E$200,MATCH($B555,Scenarios!$B$121:$B$200,0))</f>
        <v>1777.4263093788063</v>
      </c>
      <c r="F555" s="475">
        <f>INDEX(Input!$1:$1048576,F$93,$C555*2+MIN($B555,2)+5)
+INDEX(Scenarios!F$121:F$200,MATCH($B555,Scenarios!$B$121:$B$200,0))</f>
        <v>0</v>
      </c>
      <c r="G555" s="475">
        <f>INDEX(Input!$1:$1048576,G$93,$C555*2+MIN($B555,2)+5)
+INDEX(Scenarios!G$121:G$200,MATCH($B555,Scenarios!$B$121:$B$200,0))</f>
        <v>0</v>
      </c>
      <c r="H555" s="475">
        <f>INDEX(Input!$1:$1048576,H$93,$C555*2+MIN($B555,2)+5)
+INDEX(Scenarios!H$121:H$200,MATCH($B555,Scenarios!$B$121:$B$200,0))</f>
        <v>0</v>
      </c>
      <c r="I555" s="476">
        <f>INDEX(Input!$1:$1048576,I$93,$C555*2+MIN($B555,2)+5)</f>
        <v>0.7</v>
      </c>
      <c r="J555" s="476" t="str">
        <f>INDEX(Input!$1:$1048576,J$93,$C555*2+MIN($B555,2)+5)</f>
        <v>Market</v>
      </c>
      <c r="K555" s="476" t="str">
        <f>INDEX(Input!$1:$1048576,K$93,$C555*2+MIN($B555,2)+5)</f>
        <v>Market</v>
      </c>
      <c r="L555" s="476" t="str">
        <f>INDEX(Input!$1:$1048576,L$93,$C555*2+MIN($B555,2)+5)</f>
        <v>Market</v>
      </c>
      <c r="M555" s="476" t="str">
        <f>INDEX(Input!$1:$1048576,M$93,$C555*2+MIN($B555,2)+5)</f>
        <v>Market</v>
      </c>
      <c r="N555" s="476" t="str">
        <f>INDEX(Input!$1:$1048576,N$93,$C555*2+MIN($B555,2)+5)</f>
        <v>Market</v>
      </c>
      <c r="O555" s="476" t="str">
        <f>INDEX(Input!$1:$1048576,O$93,$C555*2+MIN($B555,2)+5)</f>
        <v>Market</v>
      </c>
      <c r="P555" s="476" t="str">
        <f>INDEX(Input!$1:$1048576,P$93,$C555*2+MIN($B555,2)+5)</f>
        <v>N</v>
      </c>
      <c r="Q555" s="477">
        <f>INDEX(Input!$1:$1048576,Q$93,$C555*2+MIN($B555,2)+5)
+INDEX(Scenarios!Q$121:Q$200,MATCH($B555,Scenarios!$B$121:$B$200,0))</f>
        <v>500</v>
      </c>
      <c r="R555" s="478">
        <f>IFERROR(MAX(0,INDEX(Input!$1:$1048576,R$93,$C555*2+MIN($B555,2)+5)
+INDEX(Scenarios!R$121:R$200,MATCH($B555,Scenarios!$B$121:$B$200,0)),),"Market")</f>
        <v>0</v>
      </c>
      <c r="S555" s="478">
        <f>IFERROR(MAX(0,INDEX(Input!$1:$1048576,S$93,$C555*2+MIN($B555,2)+5)
+INDEX(Scenarios!S$121:S$200,MATCH($B555,Scenarios!$B$121:$B$200,0)),),"Market")</f>
        <v>0</v>
      </c>
      <c r="T555" s="478">
        <f>IFERROR(MAX(0,INDEX(Input!$1:$1048576,T$93,$C555*2+MIN($B555,2)+5)
+INDEX(Scenarios!T$121:T$200,MATCH($B555,Scenarios!$B$121:$B$200,0)),),"Market")</f>
        <v>0</v>
      </c>
      <c r="U555" s="478">
        <f>IFERROR(MAX(0,INDEX(Input!$1:$1048576,U$93,$C555*2+MIN($B555,2)+5)
+INDEX(Scenarios!U$121:U$200,MATCH($B555,Scenarios!$B$121:$B$200,0)),),"Market")</f>
        <v>0</v>
      </c>
      <c r="V555" s="478">
        <f>IFERROR(MAX(0,INDEX(Input!$1:$1048576,V$93,$C555*2+MIN($B555,2)+5)
+INDEX(Scenarios!V$121:V$200,MATCH($B555,Scenarios!$B$121:$B$200,0)),),"Market")</f>
        <v>1.9E-2</v>
      </c>
      <c r="W555" s="885">
        <f>IFERROR(MAX(0,INDEX(Input!$1:$1048576,W$93,$C555*2+MIN($B555,2)+5)-0%,),"Market")</f>
        <v>3.9E-2</v>
      </c>
      <c r="X555" s="476" t="str">
        <f>INDEX(Input!$1:$1048576,X$93,$C555*2+MIN($B555,2)+5)</f>
        <v>Y</v>
      </c>
      <c r="Y555" s="475">
        <f>INDEX(Input!$1:$1048576,Y$93,$C555*2+MIN($B555,2)+5)
++INDEX(Scenarios!Y$121:Y$200,MATCH($B555,Scenarios!$B$121:$B$200,0))</f>
        <v>-357.93641739252325</v>
      </c>
      <c r="Z555" s="477">
        <f>INDEX(Input!$1:$1048576,Z$93,$C555*2+MIN($B555,2)+5)
+INDEX(Scenarios!Z$121:Z$200,MATCH($B555,Scenarios!$B$121:$B$200,0))</f>
        <v>0</v>
      </c>
      <c r="AA555" s="475">
        <f>INDEX(Input!$1:$1048576,AA$93,$C555*2+MIN($B555,2)+5)
+INDEX(Scenarios!AA$121:AA$200,MATCH($B555,Scenarios!$B$121:$B$200,0))</f>
        <v>0</v>
      </c>
      <c r="AB555" s="476">
        <f>INDEX(Input!$1:$1048576,AB$93,$C555*2+MIN($B555,2)+5)</f>
        <v>0.27</v>
      </c>
      <c r="AC555" s="475">
        <f>INDEX(Input!$1:$1048576,AC$93,$C555*2+MIN($B555,2)+5)
+INDEX(Scenarios!AC$121:AC$200,MATCH($B555,Scenarios!$B$121:$B$200,0))</f>
        <v>0</v>
      </c>
      <c r="AD555" s="476">
        <f>INDEX(Input!$1:$1048576,AD$93,$C555*2+MIN($B555,2)+5)</f>
        <v>0.27</v>
      </c>
      <c r="AE555" s="475">
        <f>INDEX(Input!$1:$1048576,AE$93,$C555*2+MIN($B555,2)+5)
+INDEX(Scenarios!AE$121:AE$200,MATCH($B555,Scenarios!$B$121:$B$200,0))</f>
        <v>0</v>
      </c>
      <c r="AF555" s="476">
        <f>INDEX(Input!$1:$1048576,AF$93,$C555*2+MIN($B555,2)+5)</f>
        <v>0.2</v>
      </c>
      <c r="AG555" s="475">
        <f>INDEX(Input!$1:$1048576,AG$93,$C555*2+MIN($B555,2)+5)
+INDEX(Scenarios!AG$121:AG$200,MATCH($B555,Scenarios!$B$121:$B$200,0))</f>
        <v>500</v>
      </c>
      <c r="AH555" s="476">
        <f>INDEX(Input!$1:$1048576,AH$93,$C555*2+MIN($B555,2)+5)</f>
        <v>1</v>
      </c>
      <c r="AI555" s="475">
        <f>INDEX(Input!$1:$1048576,AI$93,$C555*2+MIN($B555,2)+5)
+INDEX(Scenarios!AI$121:AI$200,MATCH($B555,Scenarios!$B$121:$B$200,0))</f>
        <v>0</v>
      </c>
      <c r="AJ555" s="476">
        <f>INDEX(Input!$1:$1048576,AJ$93,$C555*2+MIN($B555,2)+5)</f>
        <v>0.27</v>
      </c>
      <c r="AK555" s="150">
        <f>ROUND(INDEX(Input!$1:$1048576,AK$93,$C554*2+MIN($B555,1)+5)+(Y555-VLOOKUP($C555*1000+1,$A:$HH,Y$92,FALSE)),0)</f>
        <v>2947</v>
      </c>
      <c r="AL555" s="150">
        <f>ROUND(INDEX(Input!$1:$1048576,AL$93,$C554*2+MIN($B555,1)+5)-(Y555-VLOOKUP($C555*1000+1,$A:$HH,Y$92,FALSE))/36,0)</f>
        <v>3396</v>
      </c>
      <c r="AM555" s="32" t="str">
        <f t="shared" si="1544"/>
        <v>std/std/std/std</v>
      </c>
      <c r="AN555" s="32" t="str">
        <f t="shared" si="1545"/>
        <v>$500 + 0/0/0/1.9/3.9</v>
      </c>
      <c r="AO555" s="32" t="str">
        <f t="shared" si="1546"/>
        <v>0/0/0/1.9/3.9</v>
      </c>
      <c r="AP555" s="32" t="str">
        <f t="shared" si="1526"/>
        <v>0/0.9/1.9/3.9</v>
      </c>
      <c r="AQ555" s="536">
        <f t="shared" si="1525"/>
        <v>0.40658335853957644</v>
      </c>
      <c r="AR555" s="32"/>
      <c r="AS555" s="302"/>
      <c r="AT555" s="3">
        <f t="shared" si="1547"/>
        <v>55</v>
      </c>
      <c r="AU555" s="41" t="s">
        <v>121</v>
      </c>
      <c r="AV555" s="41" t="s">
        <v>116</v>
      </c>
      <c r="AW555" s="41" t="str">
        <f>INDEX(Input!$1:$1048576,AW$93,$C555*2+6)</f>
        <v>Kia</v>
      </c>
      <c r="AX555" s="41" t="str">
        <f>INDEX(Input!$1:$1048576,AX$93,$C555*2+6)</f>
        <v>Kia-LR - R2</v>
      </c>
      <c r="AY555" s="41" t="str">
        <f>IF(LEN(D555)=0,"",INDEX(Input!$1:$1048576,AY$93,$C555*2+6))</f>
        <v>Compact SUV (52)</v>
      </c>
      <c r="AZ555" s="41" t="str">
        <f>INDEX(Input!$1:$1048576,AZ$93,$C555*2+6)</f>
        <v>Kia Soul</v>
      </c>
      <c r="BA555" s="3">
        <f>INDEX(Input!$1:$1048576,BA$93,$C555*2+6)</f>
        <v>2020</v>
      </c>
      <c r="BB555" s="128">
        <f>INDEX(Input!$1:$1048576,BB$93,$C555*2+6)</f>
        <v>1</v>
      </c>
      <c r="BC555" s="128">
        <f>INDEX(Input!$1:$1048576,BC$93,$C555*2+6)</f>
        <v>0.7</v>
      </c>
      <c r="BD555" s="1">
        <f>INDEX(Input!$1:$1048576,BD$93,$C555*2+6)</f>
        <v>4.4999999999999998E-2</v>
      </c>
      <c r="BE555" s="1">
        <f>INDEX(Input!$1:$1048576,BE$93,$C555*2+6)</f>
        <v>4.4999999999999998E-2</v>
      </c>
      <c r="BF555" s="1">
        <f>INDEX(Input!$1:$1048576,BF$93,$C555*2+6)</f>
        <v>0.05</v>
      </c>
      <c r="BG555" s="1">
        <f>INDEX(Input!$1:$1048576,BG$93,$C555*2+6)</f>
        <v>5.45E-2</v>
      </c>
      <c r="BH555" s="1">
        <f>INDEX(Input!$1:$1048576,BH$93,$C555*2+6)</f>
        <v>5.45E-2</v>
      </c>
      <c r="BI555" s="1">
        <f>INDEX(Input!$1:$1048576,BI$93,$C555*2+6)</f>
        <v>0.05</v>
      </c>
      <c r="BJ555" s="1">
        <f>INDEX(Input!$1:$1048576,BJ$93,$C555*2+6)</f>
        <v>0.05</v>
      </c>
      <c r="BK555" s="1">
        <f>INDEX(Input!$1:$1048576,BK$93,$C555*2+6)</f>
        <v>0.05</v>
      </c>
      <c r="BL555" s="1">
        <f>INDEX(Input!$1:$1048576,BL$93,$C555*2+6)</f>
        <v>5.5E-2</v>
      </c>
      <c r="BM555" s="1">
        <f>INDEX(Input!$1:$1048576,BM$93,$C555*2+6)</f>
        <v>0.06</v>
      </c>
      <c r="BN555" s="1">
        <f>INDEX(Input!$1:$1048576,BN$93,$C555*2+6)</f>
        <v>4.4999999999999998E-2</v>
      </c>
      <c r="BO555" s="1">
        <f>INDEX(Input!$1:$1048576,BO$93,$C555*2+6)</f>
        <v>4.4999999999999998E-2</v>
      </c>
      <c r="BP555" s="1">
        <f>INDEX(Input!$1:$1048576,BP$93,$C555*2+6)</f>
        <v>0.05</v>
      </c>
      <c r="BQ555" s="1">
        <f>INDEX(Input!$1:$1048576,BQ$93,$C555*2+6)</f>
        <v>5.45E-2</v>
      </c>
      <c r="BR555" s="1">
        <f>INDEX(Input!$1:$1048576,BR$93,$C555*2+6)</f>
        <v>5.45E-2</v>
      </c>
      <c r="BS555" s="1">
        <f>INDEX(Input!$1:$1048576,BS$93,$C555*2+6)</f>
        <v>0.05</v>
      </c>
      <c r="BT555" s="1">
        <f>INDEX(Input!$1:$1048576,BT$93,$C555*2+6)</f>
        <v>0.05</v>
      </c>
      <c r="BU555" s="1">
        <f>INDEX(Input!$1:$1048576,BU$93,$C555*2+6)</f>
        <v>0.05</v>
      </c>
      <c r="BV555" s="1">
        <f>INDEX(Input!$1:$1048576,BV$93,$C555*2+6)</f>
        <v>5.5E-2</v>
      </c>
      <c r="BW555" s="1">
        <f>INDEX(Input!$1:$1048576,BW$93,$C555*2+6)</f>
        <v>0.06</v>
      </c>
      <c r="BX555" s="127">
        <f>INDEX(Input!$1:$1048576,BX$93,$C555*2+6)</f>
        <v>19985</v>
      </c>
      <c r="BY555" s="20">
        <f>INDEX(Input!$1:$1048576,BY$93,$C555*2+6)</f>
        <v>0.1</v>
      </c>
      <c r="BZ555" s="20">
        <f>INDEX(Input!$1:$1048576,BZ$93,$C555*2+6)</f>
        <v>0.1</v>
      </c>
      <c r="CA555" s="20">
        <f>INDEX(Input!$1:$1048576,CA$93,$C555*2+6)</f>
        <v>0.1</v>
      </c>
      <c r="CB555" s="20">
        <f>INDEX(Input!$1:$1048576,CB$93,$C555*2+6)</f>
        <v>0.1</v>
      </c>
      <c r="CC555" s="20">
        <f>INDEX(Input!$1:$1048576,CC$93,$C555*2+6)</f>
        <v>0.1</v>
      </c>
      <c r="CD555" s="384">
        <f>INDEX(Input!$1:$1048576,CD$93,$C555*2+6)</f>
        <v>0.1</v>
      </c>
      <c r="CE555" s="384">
        <f>INDEX(Input!$1:$1048576,CE$93,$C555*2+6)</f>
        <v>0.1</v>
      </c>
      <c r="CF555" s="384">
        <f>INDEX(Input!$1:$1048576,CF$93,$C555*2+6)</f>
        <v>0.1</v>
      </c>
      <c r="CG555" s="384">
        <f>INDEX(Input!$1:$1048576,CG$93,$C555*2+6)</f>
        <v>0.1</v>
      </c>
      <c r="CH555" s="384">
        <f>INDEX(Input!$1:$1048576,CH$93,$C555*2+6)</f>
        <v>0.1</v>
      </c>
      <c r="CI555" s="304">
        <f t="shared" si="1527"/>
        <v>1777.4263093788063</v>
      </c>
      <c r="CJ555" s="16" t="str">
        <f>INDEX(Input!$1:$1048576,CJ$93,$C555*2+6)</f>
        <v>N</v>
      </c>
      <c r="CK555" s="1" t="str">
        <f t="shared" si="1528"/>
        <v>Market</v>
      </c>
      <c r="CL555" s="1" t="str">
        <f t="shared" si="1529"/>
        <v>Market</v>
      </c>
      <c r="CM555" s="1" t="str">
        <f t="shared" si="1530"/>
        <v>Market</v>
      </c>
      <c r="CN555" s="1" t="str">
        <f t="shared" si="1531"/>
        <v>Market</v>
      </c>
      <c r="CO555" s="1" t="str">
        <f t="shared" si="1532"/>
        <v>Market</v>
      </c>
      <c r="CP555" s="304">
        <f t="shared" si="1533"/>
        <v>1000</v>
      </c>
      <c r="CQ555" s="1">
        <f t="shared" si="1534"/>
        <v>0</v>
      </c>
      <c r="CR555" s="1">
        <f t="shared" si="1535"/>
        <v>0</v>
      </c>
      <c r="CS555" s="1">
        <f t="shared" si="1536"/>
        <v>0</v>
      </c>
      <c r="CT555" s="1">
        <f t="shared" si="1537"/>
        <v>1.9E-2</v>
      </c>
      <c r="CU555" s="1">
        <f t="shared" si="1538"/>
        <v>3.9E-2</v>
      </c>
      <c r="CV555" s="304">
        <f t="shared" si="1539"/>
        <v>-357.93641739252325</v>
      </c>
      <c r="CW555" s="20" t="s">
        <v>122</v>
      </c>
      <c r="CX555" s="20" t="s">
        <v>122</v>
      </c>
      <c r="CY555" s="20" t="s">
        <v>122</v>
      </c>
      <c r="CZ555" s="20" t="s">
        <v>122</v>
      </c>
      <c r="DA555" s="20" t="s">
        <v>122</v>
      </c>
      <c r="DB555" s="503">
        <f t="shared" si="1540"/>
        <v>0</v>
      </c>
      <c r="DC555" s="127">
        <v>0</v>
      </c>
      <c r="DD555" s="127">
        <v>0</v>
      </c>
      <c r="DE555" s="127">
        <v>0</v>
      </c>
      <c r="DF555" s="127">
        <v>0</v>
      </c>
      <c r="DG555" s="127">
        <v>0</v>
      </c>
      <c r="DH555" s="127">
        <v>0</v>
      </c>
      <c r="DI555" s="127">
        <v>0</v>
      </c>
      <c r="DJ555" s="127">
        <v>0</v>
      </c>
      <c r="DK555" s="127">
        <v>0</v>
      </c>
      <c r="DL555" s="127">
        <v>0</v>
      </c>
      <c r="DM555" s="304">
        <f>INDEX(Input!$1:$1048576,DM$93,$C555*2+6)</f>
        <v>21036.84210526316</v>
      </c>
      <c r="DN555" s="20">
        <v>0</v>
      </c>
      <c r="DO555" s="20">
        <v>0</v>
      </c>
      <c r="DP555" s="20">
        <v>0</v>
      </c>
      <c r="DQ555" s="20">
        <v>0</v>
      </c>
      <c r="DR555" s="20">
        <v>0</v>
      </c>
      <c r="DS555" s="20">
        <f>INDEX(Input!$1:$1048576,DS$93,$C555*2+6)</f>
        <v>0.6</v>
      </c>
      <c r="DT555" s="20">
        <f>INDEX(Input!$1:$1048576,DT$93,$C555*2+6)</f>
        <v>0.55000000000000004</v>
      </c>
      <c r="DU555" s="20">
        <f>INDEX(Input!$1:$1048576,DU$93,$C555*2+6)</f>
        <v>0.52</v>
      </c>
      <c r="DV555" s="20">
        <f>INDEX(Input!$1:$1048576,DV$93,$C555*2+6)</f>
        <v>0.5</v>
      </c>
      <c r="DW555" s="20">
        <f>INDEX(Input!$1:$1048576,DW$93,$C555*2+6)</f>
        <v>0.45</v>
      </c>
      <c r="DX555" s="20"/>
      <c r="DY555" s="7">
        <v>0.12583348827535032</v>
      </c>
      <c r="DZ555" s="7">
        <v>0</v>
      </c>
      <c r="EA555" s="7">
        <v>0.73422791620102423</v>
      </c>
      <c r="EB555" s="7">
        <v>0</v>
      </c>
      <c r="EC555" s="7">
        <v>0</v>
      </c>
      <c r="ED555" s="7">
        <v>0</v>
      </c>
      <c r="EE555" s="7">
        <v>0</v>
      </c>
      <c r="EF555" s="7">
        <v>0</v>
      </c>
      <c r="EG555" s="7">
        <v>0</v>
      </c>
      <c r="EH555" s="7">
        <v>1.2089106221334731E-2</v>
      </c>
      <c r="EI555" s="7">
        <v>3.3609650612172873E-2</v>
      </c>
      <c r="EJ555" s="7">
        <v>0.29195201801862763</v>
      </c>
      <c r="EK555" s="7">
        <v>0.53730305183502403</v>
      </c>
      <c r="EL555" s="7">
        <v>0.12504617331284054</v>
      </c>
      <c r="EM555" s="7">
        <v>7.5549430191173245E-2</v>
      </c>
      <c r="EN555" s="7">
        <v>5.9544139157134329E-2</v>
      </c>
      <c r="EO555" s="7">
        <v>0.72730975718202406</v>
      </c>
      <c r="EP555" s="7">
        <v>8.5053676676774284E-2</v>
      </c>
      <c r="EQ555" s="7">
        <v>8.3688229194361877E-2</v>
      </c>
      <c r="ER555" s="7">
        <v>4.4404197789704537E-2</v>
      </c>
      <c r="ES555" s="7">
        <v>6.4389165332452161E-2</v>
      </c>
      <c r="ET555" s="7">
        <v>0.13993859552362539</v>
      </c>
      <c r="EU555" s="6">
        <v>1770</v>
      </c>
      <c r="EV555" s="6">
        <v>0</v>
      </c>
      <c r="EW555" s="6">
        <v>1770</v>
      </c>
      <c r="EX555" s="6">
        <v>0</v>
      </c>
      <c r="EY555" s="6">
        <v>2515.7627303221634</v>
      </c>
      <c r="EZ555" s="6">
        <v>353.55009605986834</v>
      </c>
      <c r="FA555" s="6">
        <v>0</v>
      </c>
      <c r="FB555" s="6">
        <v>0</v>
      </c>
      <c r="FC555" s="6">
        <v>0</v>
      </c>
      <c r="FD555" s="6">
        <v>0</v>
      </c>
      <c r="FE555" s="6">
        <v>0</v>
      </c>
      <c r="FF555" s="6">
        <v>0</v>
      </c>
      <c r="FG555" s="6">
        <v>0</v>
      </c>
      <c r="FH555" s="6">
        <v>1172.1376876562056</v>
      </c>
      <c r="FI555" s="6">
        <v>1553.9796069512397</v>
      </c>
      <c r="FJ555" s="6">
        <v>2101.211011744741</v>
      </c>
      <c r="FK555" s="6">
        <v>1772.7139978623229</v>
      </c>
      <c r="FL555" s="6">
        <v>907.07682140966403</v>
      </c>
      <c r="FM555" s="6">
        <v>1745.7627303221634</v>
      </c>
      <c r="FN555" s="6">
        <v>0</v>
      </c>
      <c r="FO555" s="6">
        <v>0</v>
      </c>
      <c r="FP555" s="6">
        <v>0</v>
      </c>
      <c r="FQ555" s="6">
        <v>0</v>
      </c>
      <c r="FR555" s="6">
        <v>0</v>
      </c>
      <c r="FS555" s="6">
        <v>0</v>
      </c>
      <c r="FT555" s="7">
        <v>0.86006140447637458</v>
      </c>
      <c r="FU555" s="7">
        <v>7.5549430191173245E-2</v>
      </c>
      <c r="FV555" s="7">
        <v>6.4389165332452161E-2</v>
      </c>
      <c r="FW555" s="6">
        <v>1770</v>
      </c>
      <c r="FX555" s="6">
        <v>2515.7627303221634</v>
      </c>
      <c r="FY555" s="6">
        <v>353.55009605986834</v>
      </c>
      <c r="FZ555" s="6">
        <v>1758.1538569113241</v>
      </c>
      <c r="GA555" s="6">
        <v>1735.1379222837159</v>
      </c>
      <c r="GB555" s="6">
        <v>18249.862077716283</v>
      </c>
      <c r="GC555" s="7">
        <v>3.064145122680037E-2</v>
      </c>
      <c r="GD555" s="7">
        <v>3.1107278662968137E-2</v>
      </c>
      <c r="GE555" s="7"/>
      <c r="GF555" s="7"/>
      <c r="GG555" s="7">
        <v>1.5202525256386479E-2</v>
      </c>
      <c r="GH555" s="42">
        <v>-13.200527033320688</v>
      </c>
      <c r="GI555" s="6">
        <v>221.18321808485609</v>
      </c>
      <c r="GJ555" s="14">
        <v>0.50394797582841733</v>
      </c>
      <c r="GK555" s="14">
        <v>0.50887573065309755</v>
      </c>
      <c r="GL555" s="14">
        <v>0.49605202417158267</v>
      </c>
      <c r="GM555" s="14">
        <v>0.49112426934690262</v>
      </c>
      <c r="GO555" s="5">
        <v>343.14810671672558</v>
      </c>
      <c r="GP555" s="5">
        <v>309.37988338875158</v>
      </c>
      <c r="GQ555" s="5">
        <v>535.04305713031317</v>
      </c>
      <c r="GR555" s="5">
        <v>410.15490233172511</v>
      </c>
      <c r="GS555" s="5">
        <v>339.42744393800166</v>
      </c>
      <c r="GT555" s="5">
        <v>293.4407446948278</v>
      </c>
      <c r="GU555" s="5">
        <v>258.04012322764959</v>
      </c>
      <c r="GV555" s="39" t="s">
        <v>392</v>
      </c>
      <c r="GW555" s="5">
        <v>478.23611111111109</v>
      </c>
      <c r="GX555" s="5">
        <v>358.67708333333331</v>
      </c>
      <c r="GY555" s="5">
        <v>286.94166666666666</v>
      </c>
      <c r="GZ555" s="5">
        <v>253.19574071601335</v>
      </c>
      <c r="HA555" s="5">
        <v>234.53733318419435</v>
      </c>
      <c r="HB555" s="39">
        <v>266.98049744851414</v>
      </c>
      <c r="HC555" s="5">
        <v>271.81655829738071</v>
      </c>
      <c r="HD555" s="5">
        <v>229.24799238008356</v>
      </c>
      <c r="HE555" s="5">
        <v>231.16091712425109</v>
      </c>
      <c r="HF555" s="5">
        <v>212.73290951107165</v>
      </c>
      <c r="HG555" s="5">
        <v>203.85500473779987</v>
      </c>
      <c r="HH555" s="39">
        <v>229.43572898943472</v>
      </c>
      <c r="HI555" s="16"/>
      <c r="HJ555" s="19" t="str">
        <f t="shared" ref="HJ555" si="1585">HJ554</f>
        <v>On</v>
      </c>
      <c r="HK555" s="1" t="str">
        <f t="shared" si="1549"/>
        <v>On</v>
      </c>
      <c r="HL555" s="16"/>
      <c r="HM555" s="639">
        <f t="shared" si="1413"/>
        <v>2.4909940070666322E-2</v>
      </c>
      <c r="HN555" s="639">
        <f t="shared" si="1414"/>
        <v>2.2052381276269151E-3</v>
      </c>
      <c r="HO555" s="639">
        <f t="shared" si="1415"/>
        <v>2.079866082302006E-3</v>
      </c>
      <c r="HP555" s="644">
        <f>(FT555*$GD555-HM555)/$JF555*INDEX(Input!$1:$1048576,$JG$93,$C555*2+6)</f>
        <v>51.861972661576161</v>
      </c>
      <c r="HQ555" s="644">
        <f>(FU555*$GD555-HN555)/$JF555*INDEX(Input!$1:$1048576,$JG$93,$C555*2+6)</f>
        <v>4.0747367613718737</v>
      </c>
      <c r="HR555" s="644">
        <f>(FV555*$GD555-HO555)/$JF555*INDEX(Input!$1:$1048576,$JG$93,$C555*2+6)</f>
        <v>-2.1623628989516828</v>
      </c>
      <c r="HS555" s="644">
        <f t="shared" si="1550"/>
        <v>-25.771049560448223</v>
      </c>
      <c r="HT555" s="644">
        <f t="shared" si="1417"/>
        <v>29.125257850827573</v>
      </c>
      <c r="HU555" s="644">
        <f t="shared" si="1418"/>
        <v>5.0628389282544584</v>
      </c>
      <c r="HV555" s="648">
        <f t="shared" si="1419"/>
        <v>0</v>
      </c>
      <c r="HW555" s="648">
        <f t="shared" si="1420"/>
        <v>0</v>
      </c>
      <c r="HX555" s="648">
        <f t="shared" si="1421"/>
        <v>0</v>
      </c>
      <c r="HY555" s="644">
        <f>INDEX(Input!$1:$1048576,HY$93,$C555*2+6)*INDEX(Input!$1:$1048576,$JG$93,$C555*2+6)</f>
        <v>333.00000000000006</v>
      </c>
      <c r="HZ555" s="644">
        <f>INDEX(Input!$1:$1048576,HZ$93,$C555*2+6)*INDEX(Input!$1:$1048576,$JG$93,$C555*2+6)</f>
        <v>429</v>
      </c>
      <c r="IA555" s="644">
        <f>INDEX(Input!$1:$1048576,IA$93,$C555*2+6)*INDEX(Input!$1:$1048576,$JG$93,$C555*2+6)</f>
        <v>59</v>
      </c>
      <c r="IB555" s="644">
        <f t="shared" si="1551"/>
        <v>359.09092310112806</v>
      </c>
      <c r="IC555" s="644">
        <f t="shared" si="1552"/>
        <v>462.19999461219942</v>
      </c>
      <c r="ID555" s="644">
        <f>IF(AND(INDEX(Input!$1:$1048576,IA$93,$C555*2+7)="TOS",Y555&lt;=INDEX(Y:Y,MATCH(C555*1000+2,A:A))),0,1)*MAX(IA555+HR555+HU555+HX555,0%)</f>
        <v>61.900476029302773</v>
      </c>
      <c r="IE555" s="128">
        <f t="shared" si="1553"/>
        <v>0.40658335853957644</v>
      </c>
      <c r="IF555" s="128">
        <f t="shared" si="1554"/>
        <v>0.52332936879465175</v>
      </c>
      <c r="IG555" s="128">
        <f t="shared" si="1555"/>
        <v>7.0087272665771833E-2</v>
      </c>
      <c r="IH555" s="21"/>
      <c r="II555" s="19">
        <f t="shared" si="1424"/>
        <v>1240</v>
      </c>
      <c r="IJ555" s="19">
        <f t="shared" si="1425"/>
        <v>1985.7442651839444</v>
      </c>
      <c r="IK555" s="19">
        <f t="shared" si="1426"/>
        <v>-21.44990394013189</v>
      </c>
      <c r="IL555" s="19">
        <f t="shared" si="1556"/>
        <v>530</v>
      </c>
      <c r="IM555" s="19">
        <f t="shared" si="1557"/>
        <v>530.01846513821897</v>
      </c>
      <c r="IN555" s="19">
        <f t="shared" si="1558"/>
        <v>375.00000000000023</v>
      </c>
      <c r="IO555" s="39">
        <f t="shared" si="1429"/>
        <v>0</v>
      </c>
      <c r="IP555" s="39">
        <f t="shared" si="1430"/>
        <v>0</v>
      </c>
      <c r="IQ555" s="39">
        <f t="shared" si="1431"/>
        <v>0</v>
      </c>
      <c r="IR555" s="39">
        <v>0</v>
      </c>
      <c r="IS555" s="39">
        <v>0</v>
      </c>
      <c r="IT555" s="39">
        <v>0</v>
      </c>
      <c r="IU555" s="39">
        <v>0</v>
      </c>
      <c r="IV555" s="39">
        <v>0</v>
      </c>
      <c r="IW555" s="39">
        <v>0</v>
      </c>
      <c r="IX555" s="39">
        <f>INDEX(Input!$1:$1048576,IX$93,$C555*2+6)+INDEX(Input!$1:$1048576,IX$94,$C555*2+6)</f>
        <v>1270</v>
      </c>
      <c r="IY555" s="39">
        <f>INDEX(Input!$1:$1048576,IY$93,$C555*2+6)+INDEX(Input!$1:$1048576,IY$94,$C555*2+6)</f>
        <v>2130.0624533823611</v>
      </c>
      <c r="IZ555" s="39">
        <f>INDEX(Input!$1:$1048576,IZ$93,$C555*2+6)+INDEX(Input!$1:$1048576,IZ$94,$C555*2+6)</f>
        <v>3653.7164157747857</v>
      </c>
      <c r="JA555" s="19">
        <f t="shared" si="1559"/>
        <v>1800</v>
      </c>
      <c r="JB555" s="19">
        <f t="shared" si="1560"/>
        <v>2660.0809185205799</v>
      </c>
      <c r="JC555" s="19">
        <f t="shared" si="1561"/>
        <v>4028.7164157747857</v>
      </c>
      <c r="JD555" s="19">
        <f t="shared" si="1562"/>
        <v>2406.3102593287886</v>
      </c>
      <c r="JE555" s="21"/>
      <c r="JF555" s="1">
        <f t="shared" si="1432"/>
        <v>2.9195044280595241E-2</v>
      </c>
      <c r="JG555" s="15">
        <f>INDEX(Input!$1:$1048576,JG$93,$C555*2+6)/(1+VLOOKUP(C555*1000+INDEX(Input!$1:$1048576,JG$93+1,$C555*2+6),$A:$KK,$JK$92,FALSE))</f>
        <v>821</v>
      </c>
      <c r="JH555" s="1">
        <f t="shared" si="1563"/>
        <v>6.5498595035318324E-2</v>
      </c>
      <c r="JI555" s="1">
        <f t="shared" si="1564"/>
        <v>1.0252189060455308E-2</v>
      </c>
      <c r="JJ555" s="1">
        <f t="shared" si="1565"/>
        <v>0</v>
      </c>
      <c r="JK555" s="1">
        <f t="shared" si="1566"/>
        <v>7.5750784095773627E-2</v>
      </c>
      <c r="JL555" s="15">
        <f t="shared" si="1567"/>
        <v>62.191393742630147</v>
      </c>
      <c r="JM555" s="15">
        <f t="shared" si="1568"/>
        <v>883.19139374263011</v>
      </c>
      <c r="JN555" s="21"/>
      <c r="JO555" s="19">
        <f>INDEX(Input!$1:$1048576,JO$93,$C555*2+6)</f>
        <v>5995.5</v>
      </c>
      <c r="JP555" s="19">
        <f>INDEX(Input!$1:$1048576,JP$93,$C555*2+6)</f>
        <v>1890.7138380411029</v>
      </c>
      <c r="JQ555" s="39">
        <f t="shared" si="1569"/>
        <v>3589.1897406712114</v>
      </c>
      <c r="JR555" s="39">
        <f t="shared" si="1570"/>
        <v>515.59642128768564</v>
      </c>
      <c r="JS555" s="39">
        <f t="shared" si="1571"/>
        <v>2.1252325117137825</v>
      </c>
      <c r="JT555" s="39">
        <f t="shared" si="1572"/>
        <v>0.57295645068203682</v>
      </c>
      <c r="JU555" s="385">
        <f>(JQ555*JM555-INDEX(Input!$1:$1048576,Input!A$18,$C555*2+6)*JL555*INDEX(Input!$1:$1048576,Input!A$19,$C555*2+6))/1000000</f>
        <v>3.1699414894701565</v>
      </c>
      <c r="JV555" s="39">
        <f t="shared" si="1573"/>
        <v>-0.20008794949809783</v>
      </c>
      <c r="JW555" s="1">
        <f t="shared" si="1574"/>
        <v>-5.9372760126200977E-2</v>
      </c>
      <c r="JX555" s="19">
        <f t="shared" si="1575"/>
        <v>9212.7932210867002</v>
      </c>
      <c r="JZ555" s="341"/>
      <c r="KA555" s="342"/>
      <c r="KB555" s="469">
        <f t="shared" si="1576"/>
        <v>2.5122967434604799</v>
      </c>
      <c r="KI555" s="473">
        <f t="shared" si="1577"/>
        <v>26.090923101127942</v>
      </c>
      <c r="KJ555" s="473">
        <f t="shared" si="1578"/>
        <v>33.199994612199362</v>
      </c>
      <c r="KK555" s="473">
        <f t="shared" si="1579"/>
        <v>2.9004760293027658</v>
      </c>
      <c r="KN555" s="544">
        <f t="shared" si="1580"/>
        <v>5002</v>
      </c>
      <c r="KO555" s="541">
        <f t="shared" si="1436"/>
        <v>7.1388477464844113E-2</v>
      </c>
      <c r="KP555" s="546">
        <f t="shared" si="1437"/>
        <v>490.19667433519555</v>
      </c>
      <c r="KQ555" s="546">
        <f t="shared" si="1438"/>
        <v>487.3914936055221</v>
      </c>
      <c r="KR555" s="548">
        <f t="shared" si="1439"/>
        <v>2.6310052691000236</v>
      </c>
      <c r="KS555" s="548">
        <f t="shared" si="1440"/>
        <v>2.6461480144646403</v>
      </c>
      <c r="KT555" s="473">
        <f t="shared" si="1581"/>
        <v>595.94378802984284</v>
      </c>
      <c r="KU555" s="663">
        <f t="shared" si="1462"/>
        <v>4.0032214675514162</v>
      </c>
      <c r="KV555" s="117"/>
    </row>
    <row r="556" spans="1:308" s="26" customFormat="1" ht="15" outlineLevel="1">
      <c r="A556" s="561">
        <f t="shared" si="1541"/>
        <v>5056</v>
      </c>
      <c r="B556" s="561">
        <f t="shared" si="1542"/>
        <v>56</v>
      </c>
      <c r="C556" s="561">
        <f t="shared" si="1543"/>
        <v>5</v>
      </c>
      <c r="D556" s="561" t="str">
        <f t="shared" si="1509"/>
        <v xml:space="preserve">1000 CC, 1000 Combo, 720 Lease, </v>
      </c>
      <c r="E556" s="475">
        <f>INDEX(Input!$1:$1048576,E$93,$C556*2+MIN($B556,2)+5)
+INDEX(Scenarios!E$121:E$200,MATCH($B556,Scenarios!$B$121:$B$200,0))</f>
        <v>2277.4263093788063</v>
      </c>
      <c r="F556" s="475">
        <f>INDEX(Input!$1:$1048576,F$93,$C556*2+MIN($B556,2)+5)
+INDEX(Scenarios!F$121:F$200,MATCH($B556,Scenarios!$B$121:$B$200,0))</f>
        <v>0</v>
      </c>
      <c r="G556" s="475">
        <f>INDEX(Input!$1:$1048576,G$93,$C556*2+MIN($B556,2)+5)
+INDEX(Scenarios!G$121:G$200,MATCH($B556,Scenarios!$B$121:$B$200,0))</f>
        <v>0</v>
      </c>
      <c r="H556" s="475">
        <f>INDEX(Input!$1:$1048576,H$93,$C556*2+MIN($B556,2)+5)
+INDEX(Scenarios!H$121:H$200,MATCH($B556,Scenarios!$B$121:$B$200,0))</f>
        <v>0</v>
      </c>
      <c r="I556" s="476">
        <f>INDEX(Input!$1:$1048576,I$93,$C556*2+MIN($B556,2)+5)</f>
        <v>0.7</v>
      </c>
      <c r="J556" s="476" t="str">
        <f>INDEX(Input!$1:$1048576,J$93,$C556*2+MIN($B556,2)+5)</f>
        <v>Market</v>
      </c>
      <c r="K556" s="476" t="str">
        <f>INDEX(Input!$1:$1048576,K$93,$C556*2+MIN($B556,2)+5)</f>
        <v>Market</v>
      </c>
      <c r="L556" s="476" t="str">
        <f>INDEX(Input!$1:$1048576,L$93,$C556*2+MIN($B556,2)+5)</f>
        <v>Market</v>
      </c>
      <c r="M556" s="476" t="str">
        <f>INDEX(Input!$1:$1048576,M$93,$C556*2+MIN($B556,2)+5)</f>
        <v>Market</v>
      </c>
      <c r="N556" s="476" t="str">
        <f>INDEX(Input!$1:$1048576,N$93,$C556*2+MIN($B556,2)+5)</f>
        <v>Market</v>
      </c>
      <c r="O556" s="476" t="str">
        <f>INDEX(Input!$1:$1048576,O$93,$C556*2+MIN($B556,2)+5)</f>
        <v>Market</v>
      </c>
      <c r="P556" s="476" t="str">
        <f>INDEX(Input!$1:$1048576,P$93,$C556*2+MIN($B556,2)+5)</f>
        <v>N</v>
      </c>
      <c r="Q556" s="477">
        <f>INDEX(Input!$1:$1048576,Q$93,$C556*2+MIN($B556,2)+5)
+INDEX(Scenarios!Q$121:Q$200,MATCH($B556,Scenarios!$B$121:$B$200,0))</f>
        <v>1000</v>
      </c>
      <c r="R556" s="478">
        <f>IFERROR(MAX(0,INDEX(Input!$1:$1048576,R$93,$C556*2+MIN($B556,2)+5)
+INDEX(Scenarios!R$121:R$200,MATCH($B556,Scenarios!$B$121:$B$200,0)),),"Market")</f>
        <v>0</v>
      </c>
      <c r="S556" s="478">
        <f>IFERROR(MAX(0,INDEX(Input!$1:$1048576,S$93,$C556*2+MIN($B556,2)+5)
+INDEX(Scenarios!S$121:S$200,MATCH($B556,Scenarios!$B$121:$B$200,0)),),"Market")</f>
        <v>0</v>
      </c>
      <c r="T556" s="478">
        <f>IFERROR(MAX(0,INDEX(Input!$1:$1048576,T$93,$C556*2+MIN($B556,2)+5)
+INDEX(Scenarios!T$121:T$200,MATCH($B556,Scenarios!$B$121:$B$200,0)),),"Market")</f>
        <v>0</v>
      </c>
      <c r="U556" s="478">
        <f>IFERROR(MAX(0,INDEX(Input!$1:$1048576,U$93,$C556*2+MIN($B556,2)+5)
+INDEX(Scenarios!U$121:U$200,MATCH($B556,Scenarios!$B$121:$B$200,0)),),"Market")</f>
        <v>0</v>
      </c>
      <c r="V556" s="478">
        <f>IFERROR(MAX(0,INDEX(Input!$1:$1048576,V$93,$C556*2+MIN($B556,2)+5)
+INDEX(Scenarios!V$121:V$200,MATCH($B556,Scenarios!$B$121:$B$200,0)),),"Market")</f>
        <v>1.9E-2</v>
      </c>
      <c r="W556" s="885">
        <f>IFERROR(MAX(0,INDEX(Input!$1:$1048576,W$93,$C556*2+MIN($B556,2)+5)-0%,),"Market")</f>
        <v>3.9E-2</v>
      </c>
      <c r="X556" s="476" t="str">
        <f>INDEX(Input!$1:$1048576,X$93,$C556*2+MIN($B556,2)+5)</f>
        <v>Y</v>
      </c>
      <c r="Y556" s="475">
        <f>INDEX(Input!$1:$1048576,Y$93,$C556*2+MIN($B556,2)+5)
++INDEX(Scenarios!Y$121:Y$200,MATCH($B556,Scenarios!$B$121:$B$200,0))</f>
        <v>2.0635826074767465</v>
      </c>
      <c r="Z556" s="477">
        <f>INDEX(Input!$1:$1048576,Z$93,$C556*2+MIN($B556,2)+5)
+INDEX(Scenarios!Z$121:Z$200,MATCH($B556,Scenarios!$B$121:$B$200,0))</f>
        <v>0</v>
      </c>
      <c r="AA556" s="475">
        <f>INDEX(Input!$1:$1048576,AA$93,$C556*2+MIN($B556,2)+5)
+INDEX(Scenarios!AA$121:AA$200,MATCH($B556,Scenarios!$B$121:$B$200,0))</f>
        <v>0</v>
      </c>
      <c r="AB556" s="476">
        <f>INDEX(Input!$1:$1048576,AB$93,$C556*2+MIN($B556,2)+5)</f>
        <v>0.27</v>
      </c>
      <c r="AC556" s="475">
        <f>INDEX(Input!$1:$1048576,AC$93,$C556*2+MIN($B556,2)+5)
+INDEX(Scenarios!AC$121:AC$200,MATCH($B556,Scenarios!$B$121:$B$200,0))</f>
        <v>0</v>
      </c>
      <c r="AD556" s="476">
        <f>INDEX(Input!$1:$1048576,AD$93,$C556*2+MIN($B556,2)+5)</f>
        <v>0.27</v>
      </c>
      <c r="AE556" s="475">
        <f>INDEX(Input!$1:$1048576,AE$93,$C556*2+MIN($B556,2)+5)
+INDEX(Scenarios!AE$121:AE$200,MATCH($B556,Scenarios!$B$121:$B$200,0))</f>
        <v>0</v>
      </c>
      <c r="AF556" s="476">
        <f>INDEX(Input!$1:$1048576,AF$93,$C556*2+MIN($B556,2)+5)</f>
        <v>0.2</v>
      </c>
      <c r="AG556" s="475">
        <f>INDEX(Input!$1:$1048576,AG$93,$C556*2+MIN($B556,2)+5)
+INDEX(Scenarios!AG$121:AG$200,MATCH($B556,Scenarios!$B$121:$B$200,0))</f>
        <v>500</v>
      </c>
      <c r="AH556" s="476">
        <f>INDEX(Input!$1:$1048576,AH$93,$C556*2+MIN($B556,2)+5)</f>
        <v>1</v>
      </c>
      <c r="AI556" s="475">
        <f>INDEX(Input!$1:$1048576,AI$93,$C556*2+MIN($B556,2)+5)
+INDEX(Scenarios!AI$121:AI$200,MATCH($B556,Scenarios!$B$121:$B$200,0))</f>
        <v>0</v>
      </c>
      <c r="AJ556" s="476">
        <f>INDEX(Input!$1:$1048576,AJ$93,$C556*2+MIN($B556,2)+5)</f>
        <v>0.27</v>
      </c>
      <c r="AK556" s="150">
        <f>ROUND(INDEX(Input!$1:$1048576,AK$93,$C555*2+MIN($B556,1)+5)+(Y556-VLOOKUP($C556*1000+1,$A:$HH,Y$92,FALSE)),0)</f>
        <v>3307</v>
      </c>
      <c r="AL556" s="150">
        <f>ROUND(INDEX(Input!$1:$1048576,AL$93,$C555*2+MIN($B556,1)+5)-(Y556-VLOOKUP($C556*1000+1,$A:$HH,Y$92,FALSE))/36,0)</f>
        <v>3386</v>
      </c>
      <c r="AM556" s="32" t="str">
        <f t="shared" si="1544"/>
        <v>std/std/std/std</v>
      </c>
      <c r="AN556" s="32" t="str">
        <f t="shared" si="1545"/>
        <v>$1000 + 0/0/0/1.9/3.9</v>
      </c>
      <c r="AO556" s="32" t="str">
        <f t="shared" si="1546"/>
        <v>0/0/0/1.9/3.9</v>
      </c>
      <c r="AP556" s="32" t="str">
        <f t="shared" si="1526"/>
        <v>0/0.9/1.9/3.9</v>
      </c>
      <c r="AQ556" s="536">
        <f t="shared" si="1525"/>
        <v>0.40873653007737748</v>
      </c>
      <c r="AR556" s="32"/>
      <c r="AS556" s="302"/>
      <c r="AT556" s="3">
        <f t="shared" si="1547"/>
        <v>56</v>
      </c>
      <c r="AU556" s="41" t="s">
        <v>121</v>
      </c>
      <c r="AV556" s="41" t="s">
        <v>116</v>
      </c>
      <c r="AW556" s="41" t="str">
        <f>INDEX(Input!$1:$1048576,AW$93,$C556*2+6)</f>
        <v>Kia</v>
      </c>
      <c r="AX556" s="41" t="str">
        <f>INDEX(Input!$1:$1048576,AX$93,$C556*2+6)</f>
        <v>Kia-LR - R2</v>
      </c>
      <c r="AY556" s="41" t="str">
        <f>IF(LEN(D556)=0,"",INDEX(Input!$1:$1048576,AY$93,$C556*2+6))</f>
        <v>Compact SUV (52)</v>
      </c>
      <c r="AZ556" s="41" t="str">
        <f>INDEX(Input!$1:$1048576,AZ$93,$C556*2+6)</f>
        <v>Kia Soul</v>
      </c>
      <c r="BA556" s="3">
        <f>INDEX(Input!$1:$1048576,BA$93,$C556*2+6)</f>
        <v>2020</v>
      </c>
      <c r="BB556" s="128">
        <f>INDEX(Input!$1:$1048576,BB$93,$C556*2+6)</f>
        <v>1</v>
      </c>
      <c r="BC556" s="128">
        <f>INDEX(Input!$1:$1048576,BC$93,$C556*2+6)</f>
        <v>0.7</v>
      </c>
      <c r="BD556" s="1">
        <f>INDEX(Input!$1:$1048576,BD$93,$C556*2+6)</f>
        <v>4.4999999999999998E-2</v>
      </c>
      <c r="BE556" s="1">
        <f>INDEX(Input!$1:$1048576,BE$93,$C556*2+6)</f>
        <v>4.4999999999999998E-2</v>
      </c>
      <c r="BF556" s="1">
        <f>INDEX(Input!$1:$1048576,BF$93,$C556*2+6)</f>
        <v>0.05</v>
      </c>
      <c r="BG556" s="1">
        <f>INDEX(Input!$1:$1048576,BG$93,$C556*2+6)</f>
        <v>5.45E-2</v>
      </c>
      <c r="BH556" s="1">
        <f>INDEX(Input!$1:$1048576,BH$93,$C556*2+6)</f>
        <v>5.45E-2</v>
      </c>
      <c r="BI556" s="1">
        <f>INDEX(Input!$1:$1048576,BI$93,$C556*2+6)</f>
        <v>0.05</v>
      </c>
      <c r="BJ556" s="1">
        <f>INDEX(Input!$1:$1048576,BJ$93,$C556*2+6)</f>
        <v>0.05</v>
      </c>
      <c r="BK556" s="1">
        <f>INDEX(Input!$1:$1048576,BK$93,$C556*2+6)</f>
        <v>0.05</v>
      </c>
      <c r="BL556" s="1">
        <f>INDEX(Input!$1:$1048576,BL$93,$C556*2+6)</f>
        <v>5.5E-2</v>
      </c>
      <c r="BM556" s="1">
        <f>INDEX(Input!$1:$1048576,BM$93,$C556*2+6)</f>
        <v>0.06</v>
      </c>
      <c r="BN556" s="1">
        <f>INDEX(Input!$1:$1048576,BN$93,$C556*2+6)</f>
        <v>4.4999999999999998E-2</v>
      </c>
      <c r="BO556" s="1">
        <f>INDEX(Input!$1:$1048576,BO$93,$C556*2+6)</f>
        <v>4.4999999999999998E-2</v>
      </c>
      <c r="BP556" s="1">
        <f>INDEX(Input!$1:$1048576,BP$93,$C556*2+6)</f>
        <v>0.05</v>
      </c>
      <c r="BQ556" s="1">
        <f>INDEX(Input!$1:$1048576,BQ$93,$C556*2+6)</f>
        <v>5.45E-2</v>
      </c>
      <c r="BR556" s="1">
        <f>INDEX(Input!$1:$1048576,BR$93,$C556*2+6)</f>
        <v>5.45E-2</v>
      </c>
      <c r="BS556" s="1">
        <f>INDEX(Input!$1:$1048576,BS$93,$C556*2+6)</f>
        <v>0.05</v>
      </c>
      <c r="BT556" s="1">
        <f>INDEX(Input!$1:$1048576,BT$93,$C556*2+6)</f>
        <v>0.05</v>
      </c>
      <c r="BU556" s="1">
        <f>INDEX(Input!$1:$1048576,BU$93,$C556*2+6)</f>
        <v>0.05</v>
      </c>
      <c r="BV556" s="1">
        <f>INDEX(Input!$1:$1048576,BV$93,$C556*2+6)</f>
        <v>5.5E-2</v>
      </c>
      <c r="BW556" s="1">
        <f>INDEX(Input!$1:$1048576,BW$93,$C556*2+6)</f>
        <v>0.06</v>
      </c>
      <c r="BX556" s="127">
        <f>INDEX(Input!$1:$1048576,BX$93,$C556*2+6)</f>
        <v>19985</v>
      </c>
      <c r="BY556" s="20">
        <f>INDEX(Input!$1:$1048576,BY$93,$C556*2+6)</f>
        <v>0.1</v>
      </c>
      <c r="BZ556" s="20">
        <f>INDEX(Input!$1:$1048576,BZ$93,$C556*2+6)</f>
        <v>0.1</v>
      </c>
      <c r="CA556" s="20">
        <f>INDEX(Input!$1:$1048576,CA$93,$C556*2+6)</f>
        <v>0.1</v>
      </c>
      <c r="CB556" s="20">
        <f>INDEX(Input!$1:$1048576,CB$93,$C556*2+6)</f>
        <v>0.1</v>
      </c>
      <c r="CC556" s="20">
        <f>INDEX(Input!$1:$1048576,CC$93,$C556*2+6)</f>
        <v>0.1</v>
      </c>
      <c r="CD556" s="384">
        <f>INDEX(Input!$1:$1048576,CD$93,$C556*2+6)</f>
        <v>0.1</v>
      </c>
      <c r="CE556" s="384">
        <f>INDEX(Input!$1:$1048576,CE$93,$C556*2+6)</f>
        <v>0.1</v>
      </c>
      <c r="CF556" s="384">
        <f>INDEX(Input!$1:$1048576,CF$93,$C556*2+6)</f>
        <v>0.1</v>
      </c>
      <c r="CG556" s="384">
        <f>INDEX(Input!$1:$1048576,CG$93,$C556*2+6)</f>
        <v>0.1</v>
      </c>
      <c r="CH556" s="384">
        <f>INDEX(Input!$1:$1048576,CH$93,$C556*2+6)</f>
        <v>0.1</v>
      </c>
      <c r="CI556" s="304">
        <f t="shared" si="1527"/>
        <v>2277.4263093788063</v>
      </c>
      <c r="CJ556" s="16" t="str">
        <f>INDEX(Input!$1:$1048576,CJ$93,$C556*2+6)</f>
        <v>N</v>
      </c>
      <c r="CK556" s="1" t="str">
        <f t="shared" si="1528"/>
        <v>Market</v>
      </c>
      <c r="CL556" s="1" t="str">
        <f t="shared" si="1529"/>
        <v>Market</v>
      </c>
      <c r="CM556" s="1" t="str">
        <f t="shared" si="1530"/>
        <v>Market</v>
      </c>
      <c r="CN556" s="1" t="str">
        <f t="shared" si="1531"/>
        <v>Market</v>
      </c>
      <c r="CO556" s="1" t="str">
        <f t="shared" si="1532"/>
        <v>Market</v>
      </c>
      <c r="CP556" s="304">
        <f t="shared" si="1533"/>
        <v>1500</v>
      </c>
      <c r="CQ556" s="1">
        <f t="shared" si="1534"/>
        <v>0</v>
      </c>
      <c r="CR556" s="1">
        <f t="shared" si="1535"/>
        <v>0</v>
      </c>
      <c r="CS556" s="1">
        <f t="shared" si="1536"/>
        <v>0</v>
      </c>
      <c r="CT556" s="1">
        <f t="shared" si="1537"/>
        <v>1.9E-2</v>
      </c>
      <c r="CU556" s="1">
        <f t="shared" si="1538"/>
        <v>3.9E-2</v>
      </c>
      <c r="CV556" s="304">
        <f t="shared" si="1539"/>
        <v>2.0635826074767465</v>
      </c>
      <c r="CW556" s="20" t="s">
        <v>122</v>
      </c>
      <c r="CX556" s="20" t="s">
        <v>122</v>
      </c>
      <c r="CY556" s="20" t="s">
        <v>122</v>
      </c>
      <c r="CZ556" s="20" t="s">
        <v>122</v>
      </c>
      <c r="DA556" s="20" t="s">
        <v>122</v>
      </c>
      <c r="DB556" s="503">
        <f t="shared" si="1540"/>
        <v>0</v>
      </c>
      <c r="DC556" s="127">
        <v>0</v>
      </c>
      <c r="DD556" s="127">
        <v>0</v>
      </c>
      <c r="DE556" s="127">
        <v>0</v>
      </c>
      <c r="DF556" s="127">
        <v>0</v>
      </c>
      <c r="DG556" s="127">
        <v>0</v>
      </c>
      <c r="DH556" s="127">
        <v>0</v>
      </c>
      <c r="DI556" s="127">
        <v>0</v>
      </c>
      <c r="DJ556" s="127">
        <v>0</v>
      </c>
      <c r="DK556" s="127">
        <v>0</v>
      </c>
      <c r="DL556" s="127">
        <v>0</v>
      </c>
      <c r="DM556" s="304">
        <f>INDEX(Input!$1:$1048576,DM$93,$C556*2+6)</f>
        <v>21036.84210526316</v>
      </c>
      <c r="DN556" s="20">
        <v>0</v>
      </c>
      <c r="DO556" s="20">
        <v>0</v>
      </c>
      <c r="DP556" s="20">
        <v>0</v>
      </c>
      <c r="DQ556" s="20">
        <v>0</v>
      </c>
      <c r="DR556" s="20">
        <v>0</v>
      </c>
      <c r="DS556" s="20">
        <f>INDEX(Input!$1:$1048576,DS$93,$C556*2+6)</f>
        <v>0.6</v>
      </c>
      <c r="DT556" s="20">
        <f>INDEX(Input!$1:$1048576,DT$93,$C556*2+6)</f>
        <v>0.55000000000000004</v>
      </c>
      <c r="DU556" s="20">
        <f>INDEX(Input!$1:$1048576,DU$93,$C556*2+6)</f>
        <v>0.52</v>
      </c>
      <c r="DV556" s="20">
        <f>INDEX(Input!$1:$1048576,DV$93,$C556*2+6)</f>
        <v>0.5</v>
      </c>
      <c r="DW556" s="20">
        <f>INDEX(Input!$1:$1048576,DW$93,$C556*2+6)</f>
        <v>0.45</v>
      </c>
      <c r="DX556" s="20"/>
      <c r="DY556" s="7">
        <v>0.13267691374694021</v>
      </c>
      <c r="DZ556" s="7">
        <v>0</v>
      </c>
      <c r="EA556" s="7">
        <v>0.73283777921333915</v>
      </c>
      <c r="EB556" s="7">
        <v>0</v>
      </c>
      <c r="EC556" s="7">
        <v>0</v>
      </c>
      <c r="ED556" s="7">
        <v>0</v>
      </c>
      <c r="EE556" s="7">
        <v>0</v>
      </c>
      <c r="EF556" s="7">
        <v>0</v>
      </c>
      <c r="EG556" s="7">
        <v>0</v>
      </c>
      <c r="EH556" s="7">
        <v>1.2089608122818703E-2</v>
      </c>
      <c r="EI556" s="7">
        <v>3.3613570394260106E-2</v>
      </c>
      <c r="EJ556" s="7">
        <v>0.29200130521422757</v>
      </c>
      <c r="EK556" s="7">
        <v>0.53724907608020522</v>
      </c>
      <c r="EL556" s="7">
        <v>0.12504644018848837</v>
      </c>
      <c r="EM556" s="7">
        <v>7.5437574406096816E-2</v>
      </c>
      <c r="EN556" s="7">
        <v>6.069632723679734E-2</v>
      </c>
      <c r="EO556" s="7">
        <v>0.73766875853359648</v>
      </c>
      <c r="EP556" s="7">
        <v>8.0285549834737624E-2</v>
      </c>
      <c r="EQ556" s="7">
        <v>7.8896522902164687E-2</v>
      </c>
      <c r="ER556" s="7">
        <v>4.2452841492703584E-2</v>
      </c>
      <c r="ES556" s="7">
        <v>5.9047732633623895E-2</v>
      </c>
      <c r="ET556" s="7">
        <v>0.1344853070397207</v>
      </c>
      <c r="EU556" s="6">
        <v>2270</v>
      </c>
      <c r="EV556" s="6">
        <v>0</v>
      </c>
      <c r="EW556" s="6">
        <v>2270</v>
      </c>
      <c r="EX556" s="6">
        <v>0</v>
      </c>
      <c r="EY556" s="6">
        <v>3015.7775604032804</v>
      </c>
      <c r="EZ556" s="6">
        <v>713.55009605986834</v>
      </c>
      <c r="FA556" s="6">
        <v>0</v>
      </c>
      <c r="FB556" s="6">
        <v>0</v>
      </c>
      <c r="FC556" s="6">
        <v>0</v>
      </c>
      <c r="FD556" s="6">
        <v>0</v>
      </c>
      <c r="FE556" s="6">
        <v>0</v>
      </c>
      <c r="FF556" s="6">
        <v>0</v>
      </c>
      <c r="FG556" s="6">
        <v>0</v>
      </c>
      <c r="FH556" s="6">
        <v>1172.1401048817506</v>
      </c>
      <c r="FI556" s="6">
        <v>1553.9796069512402</v>
      </c>
      <c r="FJ556" s="6">
        <v>2101.2110117447423</v>
      </c>
      <c r="FK556" s="6">
        <v>1772.7139978623231</v>
      </c>
      <c r="FL556" s="6">
        <v>907.07682140966369</v>
      </c>
      <c r="FM556" s="6">
        <v>1745.7775604032802</v>
      </c>
      <c r="FN556" s="6">
        <v>0</v>
      </c>
      <c r="FO556" s="6">
        <v>0</v>
      </c>
      <c r="FP556" s="6">
        <v>0</v>
      </c>
      <c r="FQ556" s="6">
        <v>0</v>
      </c>
      <c r="FR556" s="6">
        <v>0</v>
      </c>
      <c r="FS556" s="6">
        <v>0</v>
      </c>
      <c r="FT556" s="7">
        <v>0.86551469296027939</v>
      </c>
      <c r="FU556" s="7">
        <v>7.5437574406096816E-2</v>
      </c>
      <c r="FV556" s="7">
        <v>5.9047732633623895E-2</v>
      </c>
      <c r="FW556" s="6">
        <v>2270</v>
      </c>
      <c r="FX556" s="6">
        <v>3015.7775604032804</v>
      </c>
      <c r="FY556" s="6">
        <v>713.55009605986834</v>
      </c>
      <c r="FZ556" s="6">
        <v>1758.1538569113241</v>
      </c>
      <c r="GA556" s="6">
        <v>2234.3548124178333</v>
      </c>
      <c r="GB556" s="6">
        <v>17750.645187582166</v>
      </c>
      <c r="GC556" s="7">
        <v>3.064145122680037E-2</v>
      </c>
      <c r="GD556" s="7">
        <v>3.303076377790113E-2</v>
      </c>
      <c r="GE556" s="7"/>
      <c r="GF556" s="7"/>
      <c r="GG556" s="7">
        <v>7.7976481381892296E-2</v>
      </c>
      <c r="GH556" s="42">
        <v>3.2724839427497034</v>
      </c>
      <c r="GI556" s="6">
        <v>8341.3366493424819</v>
      </c>
      <c r="GJ556" s="14">
        <v>0.50394797582841777</v>
      </c>
      <c r="GK556" s="14">
        <v>0.50887573065309788</v>
      </c>
      <c r="GL556" s="14">
        <v>0.49605202417158306</v>
      </c>
      <c r="GM556" s="14">
        <v>0.49112426934690279</v>
      </c>
      <c r="GO556" s="5">
        <v>343.14810671672558</v>
      </c>
      <c r="GP556" s="5">
        <v>299.84083725090579</v>
      </c>
      <c r="GQ556" s="5">
        <v>535.04305713031317</v>
      </c>
      <c r="GR556" s="5">
        <v>410.15490233172511</v>
      </c>
      <c r="GS556" s="5">
        <v>339.42744393800166</v>
      </c>
      <c r="GT556" s="5">
        <v>293.4407446948278</v>
      </c>
      <c r="GU556" s="5">
        <v>258.04012322764959</v>
      </c>
      <c r="GV556" s="39" t="s">
        <v>392</v>
      </c>
      <c r="GW556" s="5">
        <v>464.34722222222223</v>
      </c>
      <c r="GX556" s="5">
        <v>348.26041666666669</v>
      </c>
      <c r="GY556" s="5">
        <v>278.60833333333335</v>
      </c>
      <c r="GZ556" s="5">
        <v>245.84245344171217</v>
      </c>
      <c r="HA556" s="5">
        <v>227.72592165501612</v>
      </c>
      <c r="HB556" s="39">
        <v>259.22899577209245</v>
      </c>
      <c r="HC556" s="5">
        <v>256.06655829738071</v>
      </c>
      <c r="HD556" s="5">
        <v>218.49799238008356</v>
      </c>
      <c r="HE556" s="5">
        <v>221.18014789348186</v>
      </c>
      <c r="HF556" s="5">
        <v>204.40790951107164</v>
      </c>
      <c r="HG556" s="5">
        <v>196.95500473779987</v>
      </c>
      <c r="HH556" s="39">
        <v>218.96738509552688</v>
      </c>
      <c r="HI556" s="16"/>
      <c r="HJ556" s="19" t="str">
        <f t="shared" ref="HJ556" si="1586">HJ555</f>
        <v>On</v>
      </c>
      <c r="HK556" s="1" t="str">
        <f t="shared" si="1549"/>
        <v>On</v>
      </c>
      <c r="HL556" s="16"/>
      <c r="HM556" s="639">
        <f t="shared" si="1413"/>
        <v>2.4909940070666322E-2</v>
      </c>
      <c r="HN556" s="639">
        <f t="shared" si="1414"/>
        <v>2.2052381276269151E-3</v>
      </c>
      <c r="HO556" s="639">
        <f t="shared" si="1415"/>
        <v>2.079866082302006E-3</v>
      </c>
      <c r="HP556" s="644">
        <f>(FT556*$GD556-HM556)/$JF556*INDEX(Input!$1:$1048576,$JG$93,$C556*2+6)</f>
        <v>103.44869174691351</v>
      </c>
      <c r="HQ556" s="644">
        <f>(FU556*$GD556-HN556)/$JF556*INDEX(Input!$1:$1048576,$JG$93,$C556*2+6)</f>
        <v>8.0573617155652357</v>
      </c>
      <c r="HR556" s="644">
        <f>(FV556*$GD556-HO556)/$JF556*INDEX(Input!$1:$1048576,$JG$93,$C556*2+6)</f>
        <v>-3.6409761904010414</v>
      </c>
      <c r="HS556" s="644">
        <f t="shared" si="1550"/>
        <v>-50.083359465042975</v>
      </c>
      <c r="HT556" s="644">
        <f t="shared" si="1417"/>
        <v>56.601763347301912</v>
      </c>
      <c r="HU556" s="644">
        <f t="shared" si="1418"/>
        <v>9.883956059381978</v>
      </c>
      <c r="HV556" s="648">
        <f t="shared" si="1419"/>
        <v>0</v>
      </c>
      <c r="HW556" s="648">
        <f t="shared" si="1420"/>
        <v>0</v>
      </c>
      <c r="HX556" s="648">
        <f t="shared" si="1421"/>
        <v>0</v>
      </c>
      <c r="HY556" s="644">
        <f>INDEX(Input!$1:$1048576,HY$93,$C556*2+6)*INDEX(Input!$1:$1048576,$JG$93,$C556*2+6)</f>
        <v>333.00000000000006</v>
      </c>
      <c r="HZ556" s="644">
        <f>INDEX(Input!$1:$1048576,HZ$93,$C556*2+6)*INDEX(Input!$1:$1048576,$JG$93,$C556*2+6)</f>
        <v>429</v>
      </c>
      <c r="IA556" s="644">
        <f>INDEX(Input!$1:$1048576,IA$93,$C556*2+6)*INDEX(Input!$1:$1048576,$JG$93,$C556*2+6)</f>
        <v>59</v>
      </c>
      <c r="IB556" s="644">
        <f t="shared" si="1551"/>
        <v>386.36533228187068</v>
      </c>
      <c r="IC556" s="644">
        <f t="shared" si="1552"/>
        <v>493.65912506286713</v>
      </c>
      <c r="ID556" s="644">
        <f>IF(AND(INDEX(Input!$1:$1048576,IA$93,$C556*2+7)="TOS",Y556&lt;=INDEX(Y:Y,MATCH(C556*1000+2,A:A))),0,1)*MAX(IA556+HR556+HU556+HX556,0%)</f>
        <v>65.242979868980939</v>
      </c>
      <c r="IE556" s="128">
        <f t="shared" si="1553"/>
        <v>0.40873653007737748</v>
      </c>
      <c r="IF556" s="128">
        <f t="shared" si="1554"/>
        <v>0.52224281259278593</v>
      </c>
      <c r="IG556" s="128">
        <f t="shared" si="1555"/>
        <v>6.9020657329836629E-2</v>
      </c>
      <c r="IH556" s="21"/>
      <c r="II556" s="19">
        <f t="shared" si="1424"/>
        <v>1240</v>
      </c>
      <c r="IJ556" s="19">
        <f t="shared" si="1425"/>
        <v>1985.7442651839444</v>
      </c>
      <c r="IK556" s="19">
        <f t="shared" si="1426"/>
        <v>-21.44990394013189</v>
      </c>
      <c r="IL556" s="19">
        <f t="shared" si="1556"/>
        <v>1030</v>
      </c>
      <c r="IM556" s="19">
        <f t="shared" si="1557"/>
        <v>1030.033295219336</v>
      </c>
      <c r="IN556" s="19">
        <f t="shared" si="1558"/>
        <v>735.00000000000023</v>
      </c>
      <c r="IO556" s="39">
        <f t="shared" si="1429"/>
        <v>0</v>
      </c>
      <c r="IP556" s="39">
        <f t="shared" si="1430"/>
        <v>0</v>
      </c>
      <c r="IQ556" s="39">
        <f t="shared" si="1431"/>
        <v>0</v>
      </c>
      <c r="IR556" s="39">
        <v>0</v>
      </c>
      <c r="IS556" s="39">
        <v>0</v>
      </c>
      <c r="IT556" s="39">
        <v>0</v>
      </c>
      <c r="IU556" s="39">
        <v>0</v>
      </c>
      <c r="IV556" s="39">
        <v>0</v>
      </c>
      <c r="IW556" s="39">
        <v>0</v>
      </c>
      <c r="IX556" s="39">
        <f>INDEX(Input!$1:$1048576,IX$93,$C556*2+6)+INDEX(Input!$1:$1048576,IX$94,$C556*2+6)</f>
        <v>1270</v>
      </c>
      <c r="IY556" s="39">
        <f>INDEX(Input!$1:$1048576,IY$93,$C556*2+6)+INDEX(Input!$1:$1048576,IY$94,$C556*2+6)</f>
        <v>2130.0624533823611</v>
      </c>
      <c r="IZ556" s="39">
        <f>INDEX(Input!$1:$1048576,IZ$93,$C556*2+6)+INDEX(Input!$1:$1048576,IZ$94,$C556*2+6)</f>
        <v>3653.7164157747857</v>
      </c>
      <c r="JA556" s="19">
        <f t="shared" si="1559"/>
        <v>2300</v>
      </c>
      <c r="JB556" s="19">
        <f t="shared" si="1560"/>
        <v>3160.0957486016969</v>
      </c>
      <c r="JC556" s="19">
        <f t="shared" si="1561"/>
        <v>4388.7164157747857</v>
      </c>
      <c r="JD556" s="19">
        <f t="shared" si="1562"/>
        <v>2893.3434028412439</v>
      </c>
      <c r="JE556" s="21"/>
      <c r="JF556" s="1">
        <f t="shared" si="1432"/>
        <v>2.9195044280595241E-2</v>
      </c>
      <c r="JG556" s="15">
        <f>INDEX(Input!$1:$1048576,JG$93,$C556*2+6)/(1+VLOOKUP(C556*1000+INDEX(Input!$1:$1048576,JG$93+1,$C556*2+6),$A:$KK,$JK$92,FALSE))</f>
        <v>821</v>
      </c>
      <c r="JH556" s="1">
        <f t="shared" si="1563"/>
        <v>0.13138255453359038</v>
      </c>
      <c r="JI556" s="1">
        <f t="shared" si="1564"/>
        <v>1.9978513936225233E-2</v>
      </c>
      <c r="JJ556" s="1">
        <f t="shared" si="1565"/>
        <v>0</v>
      </c>
      <c r="JK556" s="1">
        <f t="shared" si="1566"/>
        <v>0.15136106846981562</v>
      </c>
      <c r="JL556" s="15">
        <f t="shared" si="1567"/>
        <v>124.26743721371862</v>
      </c>
      <c r="JM556" s="15">
        <f t="shared" si="1568"/>
        <v>945.26743721371861</v>
      </c>
      <c r="JN556" s="21"/>
      <c r="JO556" s="19">
        <f>INDEX(Input!$1:$1048576,JO$93,$C556*2+6)</f>
        <v>5995.5</v>
      </c>
      <c r="JP556" s="19">
        <f>INDEX(Input!$1:$1048576,JP$93,$C556*2+6)</f>
        <v>1890.7138380411029</v>
      </c>
      <c r="JQ556" s="39">
        <f t="shared" si="1569"/>
        <v>3102.1565971587561</v>
      </c>
      <c r="JR556" s="39">
        <f t="shared" si="1570"/>
        <v>1002.629564800141</v>
      </c>
      <c r="JS556" s="39">
        <f t="shared" si="1571"/>
        <v>2.7349833033829625</v>
      </c>
      <c r="JT556" s="39">
        <f t="shared" si="1572"/>
        <v>1.182707242351217</v>
      </c>
      <c r="JU556" s="385">
        <f>(JQ556*JM556-INDEX(Input!$1:$1048576,Input!A$18,$C556*2+6)*JL556*INDEX(Input!$1:$1048576,Input!A$19,$C556*2+6))/1000000</f>
        <v>2.9323676164318875</v>
      </c>
      <c r="JV556" s="39">
        <f t="shared" si="1573"/>
        <v>-0.43766182253636687</v>
      </c>
      <c r="JW556" s="1">
        <f t="shared" si="1574"/>
        <v>-0.12986884253164224</v>
      </c>
      <c r="JX556" s="19">
        <f t="shared" si="1575"/>
        <v>9517.4348877668072</v>
      </c>
      <c r="JZ556" s="341"/>
      <c r="KA556" s="342"/>
      <c r="KB556" s="469">
        <f t="shared" si="1576"/>
        <v>2.5122967434604799</v>
      </c>
      <c r="KI556" s="473">
        <f t="shared" si="1577"/>
        <v>53.365332281870565</v>
      </c>
      <c r="KJ556" s="473">
        <f t="shared" si="1578"/>
        <v>64.659125062867076</v>
      </c>
      <c r="KK556" s="473">
        <f t="shared" si="1579"/>
        <v>6.2429798689809388</v>
      </c>
      <c r="KN556" s="544">
        <f t="shared" si="1580"/>
        <v>5002</v>
      </c>
      <c r="KO556" s="541">
        <f t="shared" si="1436"/>
        <v>0.14669215249240186</v>
      </c>
      <c r="KP556" s="546">
        <f t="shared" si="1437"/>
        <v>980.69083489636114</v>
      </c>
      <c r="KQ556" s="546">
        <f t="shared" si="1438"/>
        <v>974.42463711797745</v>
      </c>
      <c r="KR556" s="548">
        <f t="shared" si="1439"/>
        <v>2.7023321204370276</v>
      </c>
      <c r="KS556" s="548">
        <f t="shared" si="1440"/>
        <v>2.7197099112732901</v>
      </c>
      <c r="KT556" s="473">
        <f t="shared" si="1581"/>
        <v>595.94378802984284</v>
      </c>
      <c r="KU556" s="663">
        <f t="shared" si="1462"/>
        <v>4.0488610116009713</v>
      </c>
      <c r="KV556" s="117"/>
    </row>
    <row r="557" spans="1:308" s="26" customFormat="1" ht="15" outlineLevel="1">
      <c r="A557" s="561">
        <f t="shared" si="1541"/>
        <v>5057</v>
      </c>
      <c r="B557" s="561">
        <f t="shared" si="1542"/>
        <v>57</v>
      </c>
      <c r="C557" s="561">
        <f t="shared" si="1543"/>
        <v>5</v>
      </c>
      <c r="D557" s="561" t="str">
        <f t="shared" si="1509"/>
        <v xml:space="preserve">500 CC, 0/0/0.9/3.9, 360 Lease, </v>
      </c>
      <c r="E557" s="475">
        <f>INDEX(Input!$1:$1048576,E$93,$C557*2+MIN($B557,2)+5)
+INDEX(Scenarios!E$121:E$200,MATCH($B557,Scenarios!$B$121:$B$200,0))</f>
        <v>1777.4263093788063</v>
      </c>
      <c r="F557" s="475">
        <f>INDEX(Input!$1:$1048576,F$93,$C557*2+MIN($B557,2)+5)
+INDEX(Scenarios!F$121:F$200,MATCH($B557,Scenarios!$B$121:$B$200,0))</f>
        <v>0</v>
      </c>
      <c r="G557" s="475">
        <f>INDEX(Input!$1:$1048576,G$93,$C557*2+MIN($B557,2)+5)
+INDEX(Scenarios!G$121:G$200,MATCH($B557,Scenarios!$B$121:$B$200,0))</f>
        <v>0</v>
      </c>
      <c r="H557" s="475">
        <f>INDEX(Input!$1:$1048576,H$93,$C557*2+MIN($B557,2)+5)
+INDEX(Scenarios!H$121:H$200,MATCH($B557,Scenarios!$B$121:$B$200,0))</f>
        <v>0</v>
      </c>
      <c r="I557" s="476">
        <f>INDEX(Input!$1:$1048576,I$93,$C557*2+MIN($B557,2)+5)</f>
        <v>0.7</v>
      </c>
      <c r="J557" s="476" t="str">
        <f>INDEX(Input!$1:$1048576,J$93,$C557*2+MIN($B557,2)+5)</f>
        <v>Market</v>
      </c>
      <c r="K557" s="476" t="str">
        <f>INDEX(Input!$1:$1048576,K$93,$C557*2+MIN($B557,2)+5)</f>
        <v>Market</v>
      </c>
      <c r="L557" s="476" t="str">
        <f>INDEX(Input!$1:$1048576,L$93,$C557*2+MIN($B557,2)+5)</f>
        <v>Market</v>
      </c>
      <c r="M557" s="476" t="str">
        <f>INDEX(Input!$1:$1048576,M$93,$C557*2+MIN($B557,2)+5)</f>
        <v>Market</v>
      </c>
      <c r="N557" s="476" t="str">
        <f>INDEX(Input!$1:$1048576,N$93,$C557*2+MIN($B557,2)+5)</f>
        <v>Market</v>
      </c>
      <c r="O557" s="476" t="str">
        <f>INDEX(Input!$1:$1048576,O$93,$C557*2+MIN($B557,2)+5)</f>
        <v>Market</v>
      </c>
      <c r="P557" s="476" t="str">
        <f>INDEX(Input!$1:$1048576,P$93,$C557*2+MIN($B557,2)+5)</f>
        <v>N</v>
      </c>
      <c r="Q557" s="477">
        <f>INDEX(Input!$1:$1048576,Q$93,$C557*2+MIN($B557,2)+5)
+INDEX(Scenarios!Q$121:Q$200,MATCH($B557,Scenarios!$B$121:$B$200,0))</f>
        <v>0</v>
      </c>
      <c r="R557" s="478">
        <f>IFERROR(MAX(0,INDEX(Input!$1:$1048576,R$93,$C557*2+MIN($B557,2)+5)
+INDEX(Scenarios!R$121:R$200,MATCH($B557,Scenarios!$B$121:$B$200,0)),),"Market")</f>
        <v>0</v>
      </c>
      <c r="S557" s="478">
        <f>IFERROR(MAX(0,INDEX(Input!$1:$1048576,S$93,$C557*2+MIN($B557,2)+5)
+INDEX(Scenarios!S$121:S$200,MATCH($B557,Scenarios!$B$121:$B$200,0)),),"Market")</f>
        <v>0</v>
      </c>
      <c r="T557" s="478">
        <f>IFERROR(MAX(0,INDEX(Input!$1:$1048576,T$93,$C557*2+MIN($B557,2)+5)
+INDEX(Scenarios!T$121:T$200,MATCH($B557,Scenarios!$B$121:$B$200,0)),),"Market")</f>
        <v>0</v>
      </c>
      <c r="U557" s="478">
        <f>IFERROR(MAX(0,INDEX(Input!$1:$1048576,U$93,$C557*2+MIN($B557,2)+5)
+INDEX(Scenarios!U$121:U$200,MATCH($B557,Scenarios!$B$121:$B$200,0)),),"Market")</f>
        <v>0</v>
      </c>
      <c r="V557" s="478">
        <f>IFERROR(MAX(0,INDEX(Input!$1:$1048576,V$93,$C557*2+MIN($B557,2)+5)
+INDEX(Scenarios!V$121:V$200,MATCH($B557,Scenarios!$B$121:$B$200,0)),),"Market")</f>
        <v>8.9999999999999993E-3</v>
      </c>
      <c r="W557" s="885">
        <f>IFERROR(MAX(0,INDEX(Input!$1:$1048576,W$93,$C557*2+MIN($B557,2)+5)-0%,),"Market")</f>
        <v>3.9E-2</v>
      </c>
      <c r="X557" s="476" t="str">
        <f>INDEX(Input!$1:$1048576,X$93,$C557*2+MIN($B557,2)+5)</f>
        <v>Y</v>
      </c>
      <c r="Y557" s="475">
        <f>INDEX(Input!$1:$1048576,Y$93,$C557*2+MIN($B557,2)+5)
++INDEX(Scenarios!Y$121:Y$200,MATCH($B557,Scenarios!$B$121:$B$200,0))</f>
        <v>-357.93641739252325</v>
      </c>
      <c r="Z557" s="477">
        <f>INDEX(Input!$1:$1048576,Z$93,$C557*2+MIN($B557,2)+5)
+INDEX(Scenarios!Z$121:Z$200,MATCH($B557,Scenarios!$B$121:$B$200,0))</f>
        <v>0</v>
      </c>
      <c r="AA557" s="475">
        <f>INDEX(Input!$1:$1048576,AA$93,$C557*2+MIN($B557,2)+5)
+INDEX(Scenarios!AA$121:AA$200,MATCH($B557,Scenarios!$B$121:$B$200,0))</f>
        <v>0</v>
      </c>
      <c r="AB557" s="476">
        <f>INDEX(Input!$1:$1048576,AB$93,$C557*2+MIN($B557,2)+5)</f>
        <v>0.27</v>
      </c>
      <c r="AC557" s="475">
        <f>INDEX(Input!$1:$1048576,AC$93,$C557*2+MIN($B557,2)+5)
+INDEX(Scenarios!AC$121:AC$200,MATCH($B557,Scenarios!$B$121:$B$200,0))</f>
        <v>0</v>
      </c>
      <c r="AD557" s="476">
        <f>INDEX(Input!$1:$1048576,AD$93,$C557*2+MIN($B557,2)+5)</f>
        <v>0.27</v>
      </c>
      <c r="AE557" s="475">
        <f>INDEX(Input!$1:$1048576,AE$93,$C557*2+MIN($B557,2)+5)
+INDEX(Scenarios!AE$121:AE$200,MATCH($B557,Scenarios!$B$121:$B$200,0))</f>
        <v>0</v>
      </c>
      <c r="AF557" s="476">
        <f>INDEX(Input!$1:$1048576,AF$93,$C557*2+MIN($B557,2)+5)</f>
        <v>0.2</v>
      </c>
      <c r="AG557" s="475">
        <f>INDEX(Input!$1:$1048576,AG$93,$C557*2+MIN($B557,2)+5)
+INDEX(Scenarios!AG$121:AG$200,MATCH($B557,Scenarios!$B$121:$B$200,0))</f>
        <v>500</v>
      </c>
      <c r="AH557" s="476">
        <f>INDEX(Input!$1:$1048576,AH$93,$C557*2+MIN($B557,2)+5)</f>
        <v>1</v>
      </c>
      <c r="AI557" s="475">
        <f>INDEX(Input!$1:$1048576,AI$93,$C557*2+MIN($B557,2)+5)
+INDEX(Scenarios!AI$121:AI$200,MATCH($B557,Scenarios!$B$121:$B$200,0))</f>
        <v>0</v>
      </c>
      <c r="AJ557" s="476">
        <f>INDEX(Input!$1:$1048576,AJ$93,$C557*2+MIN($B557,2)+5)</f>
        <v>0.27</v>
      </c>
      <c r="AK557" s="150">
        <f>ROUND(INDEX(Input!$1:$1048576,AK$93,$C556*2+MIN($B557,1)+5)+(Y557-VLOOKUP($C557*1000+1,$A:$HH,Y$92,FALSE)),0)</f>
        <v>2947</v>
      </c>
      <c r="AL557" s="150">
        <f>ROUND(INDEX(Input!$1:$1048576,AL$93,$C556*2+MIN($B557,1)+5)-(Y557-VLOOKUP($C557*1000+1,$A:$HH,Y$92,FALSE))/36,0)</f>
        <v>3396</v>
      </c>
      <c r="AM557" s="32" t="str">
        <f t="shared" si="1544"/>
        <v>std/std/std/std</v>
      </c>
      <c r="AN557" s="32" t="str">
        <f t="shared" si="1545"/>
        <v>$0 + 0/0/0/0.9/3.9</v>
      </c>
      <c r="AO557" s="32" t="str">
        <f t="shared" si="1546"/>
        <v>0/0/0/0.9/3.9</v>
      </c>
      <c r="AP557" s="32" t="str">
        <f t="shared" si="1526"/>
        <v>0/0/0.9/3.9</v>
      </c>
      <c r="AQ557" s="536">
        <f t="shared" si="1525"/>
        <v>0.41424887011418021</v>
      </c>
      <c r="AR557" s="32"/>
      <c r="AS557" s="302"/>
      <c r="AT557" s="3">
        <f t="shared" si="1547"/>
        <v>57</v>
      </c>
      <c r="AU557" s="41" t="s">
        <v>121</v>
      </c>
      <c r="AV557" s="41" t="s">
        <v>116</v>
      </c>
      <c r="AW557" s="41" t="str">
        <f>INDEX(Input!$1:$1048576,AW$93,$C557*2+6)</f>
        <v>Kia</v>
      </c>
      <c r="AX557" s="41" t="str">
        <f>INDEX(Input!$1:$1048576,AX$93,$C557*2+6)</f>
        <v>Kia-LR - R2</v>
      </c>
      <c r="AY557" s="41" t="str">
        <f>IF(LEN(D557)=0,"",INDEX(Input!$1:$1048576,AY$93,$C557*2+6))</f>
        <v>Compact SUV (52)</v>
      </c>
      <c r="AZ557" s="41" t="str">
        <f>INDEX(Input!$1:$1048576,AZ$93,$C557*2+6)</f>
        <v>Kia Soul</v>
      </c>
      <c r="BA557" s="3">
        <f>INDEX(Input!$1:$1048576,BA$93,$C557*2+6)</f>
        <v>2020</v>
      </c>
      <c r="BB557" s="128">
        <f>INDEX(Input!$1:$1048576,BB$93,$C557*2+6)</f>
        <v>1</v>
      </c>
      <c r="BC557" s="128">
        <f>INDEX(Input!$1:$1048576,BC$93,$C557*2+6)</f>
        <v>0.7</v>
      </c>
      <c r="BD557" s="1">
        <f>INDEX(Input!$1:$1048576,BD$93,$C557*2+6)</f>
        <v>4.4999999999999998E-2</v>
      </c>
      <c r="BE557" s="1">
        <f>INDEX(Input!$1:$1048576,BE$93,$C557*2+6)</f>
        <v>4.4999999999999998E-2</v>
      </c>
      <c r="BF557" s="1">
        <f>INDEX(Input!$1:$1048576,BF$93,$C557*2+6)</f>
        <v>0.05</v>
      </c>
      <c r="BG557" s="1">
        <f>INDEX(Input!$1:$1048576,BG$93,$C557*2+6)</f>
        <v>5.45E-2</v>
      </c>
      <c r="BH557" s="1">
        <f>INDEX(Input!$1:$1048576,BH$93,$C557*2+6)</f>
        <v>5.45E-2</v>
      </c>
      <c r="BI557" s="1">
        <f>INDEX(Input!$1:$1048576,BI$93,$C557*2+6)</f>
        <v>0.05</v>
      </c>
      <c r="BJ557" s="1">
        <f>INDEX(Input!$1:$1048576,BJ$93,$C557*2+6)</f>
        <v>0.05</v>
      </c>
      <c r="BK557" s="1">
        <f>INDEX(Input!$1:$1048576,BK$93,$C557*2+6)</f>
        <v>0.05</v>
      </c>
      <c r="BL557" s="1">
        <f>INDEX(Input!$1:$1048576,BL$93,$C557*2+6)</f>
        <v>5.5E-2</v>
      </c>
      <c r="BM557" s="1">
        <f>INDEX(Input!$1:$1048576,BM$93,$C557*2+6)</f>
        <v>0.06</v>
      </c>
      <c r="BN557" s="1">
        <f>INDEX(Input!$1:$1048576,BN$93,$C557*2+6)</f>
        <v>4.4999999999999998E-2</v>
      </c>
      <c r="BO557" s="1">
        <f>INDEX(Input!$1:$1048576,BO$93,$C557*2+6)</f>
        <v>4.4999999999999998E-2</v>
      </c>
      <c r="BP557" s="1">
        <f>INDEX(Input!$1:$1048576,BP$93,$C557*2+6)</f>
        <v>0.05</v>
      </c>
      <c r="BQ557" s="1">
        <f>INDEX(Input!$1:$1048576,BQ$93,$C557*2+6)</f>
        <v>5.45E-2</v>
      </c>
      <c r="BR557" s="1">
        <f>INDEX(Input!$1:$1048576,BR$93,$C557*2+6)</f>
        <v>5.45E-2</v>
      </c>
      <c r="BS557" s="1">
        <f>INDEX(Input!$1:$1048576,BS$93,$C557*2+6)</f>
        <v>0.05</v>
      </c>
      <c r="BT557" s="1">
        <f>INDEX(Input!$1:$1048576,BT$93,$C557*2+6)</f>
        <v>0.05</v>
      </c>
      <c r="BU557" s="1">
        <f>INDEX(Input!$1:$1048576,BU$93,$C557*2+6)</f>
        <v>0.05</v>
      </c>
      <c r="BV557" s="1">
        <f>INDEX(Input!$1:$1048576,BV$93,$C557*2+6)</f>
        <v>5.5E-2</v>
      </c>
      <c r="BW557" s="1">
        <f>INDEX(Input!$1:$1048576,BW$93,$C557*2+6)</f>
        <v>0.06</v>
      </c>
      <c r="BX557" s="127">
        <f>INDEX(Input!$1:$1048576,BX$93,$C557*2+6)</f>
        <v>19985</v>
      </c>
      <c r="BY557" s="20">
        <f>INDEX(Input!$1:$1048576,BY$93,$C557*2+6)</f>
        <v>0.1</v>
      </c>
      <c r="BZ557" s="20">
        <f>INDEX(Input!$1:$1048576,BZ$93,$C557*2+6)</f>
        <v>0.1</v>
      </c>
      <c r="CA557" s="20">
        <f>INDEX(Input!$1:$1048576,CA$93,$C557*2+6)</f>
        <v>0.1</v>
      </c>
      <c r="CB557" s="20">
        <f>INDEX(Input!$1:$1048576,CB$93,$C557*2+6)</f>
        <v>0.1</v>
      </c>
      <c r="CC557" s="20">
        <f>INDEX(Input!$1:$1048576,CC$93,$C557*2+6)</f>
        <v>0.1</v>
      </c>
      <c r="CD557" s="384">
        <f>INDEX(Input!$1:$1048576,CD$93,$C557*2+6)</f>
        <v>0.1</v>
      </c>
      <c r="CE557" s="384">
        <f>INDEX(Input!$1:$1048576,CE$93,$C557*2+6)</f>
        <v>0.1</v>
      </c>
      <c r="CF557" s="384">
        <f>INDEX(Input!$1:$1048576,CF$93,$C557*2+6)</f>
        <v>0.1</v>
      </c>
      <c r="CG557" s="384">
        <f>INDEX(Input!$1:$1048576,CG$93,$C557*2+6)</f>
        <v>0.1</v>
      </c>
      <c r="CH557" s="384">
        <f>INDEX(Input!$1:$1048576,CH$93,$C557*2+6)</f>
        <v>0.1</v>
      </c>
      <c r="CI557" s="304">
        <f t="shared" si="1527"/>
        <v>1777.4263093788063</v>
      </c>
      <c r="CJ557" s="16" t="str">
        <f>INDEX(Input!$1:$1048576,CJ$93,$C557*2+6)</f>
        <v>N</v>
      </c>
      <c r="CK557" s="1" t="str">
        <f t="shared" si="1528"/>
        <v>Market</v>
      </c>
      <c r="CL557" s="1" t="str">
        <f t="shared" si="1529"/>
        <v>Market</v>
      </c>
      <c r="CM557" s="1" t="str">
        <f t="shared" si="1530"/>
        <v>Market</v>
      </c>
      <c r="CN557" s="1" t="str">
        <f t="shared" si="1531"/>
        <v>Market</v>
      </c>
      <c r="CO557" s="1" t="str">
        <f t="shared" si="1532"/>
        <v>Market</v>
      </c>
      <c r="CP557" s="304">
        <f t="shared" si="1533"/>
        <v>500</v>
      </c>
      <c r="CQ557" s="1">
        <f t="shared" si="1534"/>
        <v>0</v>
      </c>
      <c r="CR557" s="1">
        <f t="shared" si="1535"/>
        <v>0</v>
      </c>
      <c r="CS557" s="1">
        <f t="shared" si="1536"/>
        <v>0</v>
      </c>
      <c r="CT557" s="1">
        <f t="shared" si="1537"/>
        <v>8.9999999999999993E-3</v>
      </c>
      <c r="CU557" s="1">
        <f t="shared" si="1538"/>
        <v>3.9E-2</v>
      </c>
      <c r="CV557" s="304">
        <f t="shared" si="1539"/>
        <v>-357.93641739252325</v>
      </c>
      <c r="CW557" s="20" t="s">
        <v>122</v>
      </c>
      <c r="CX557" s="20" t="s">
        <v>122</v>
      </c>
      <c r="CY557" s="20" t="s">
        <v>122</v>
      </c>
      <c r="CZ557" s="20" t="s">
        <v>122</v>
      </c>
      <c r="DA557" s="20" t="s">
        <v>122</v>
      </c>
      <c r="DB557" s="503">
        <f t="shared" si="1540"/>
        <v>0</v>
      </c>
      <c r="DC557" s="127">
        <v>0</v>
      </c>
      <c r="DD557" s="127">
        <v>0</v>
      </c>
      <c r="DE557" s="127">
        <v>0</v>
      </c>
      <c r="DF557" s="127">
        <v>0</v>
      </c>
      <c r="DG557" s="127">
        <v>0</v>
      </c>
      <c r="DH557" s="127">
        <v>0</v>
      </c>
      <c r="DI557" s="127">
        <v>0</v>
      </c>
      <c r="DJ557" s="127">
        <v>0</v>
      </c>
      <c r="DK557" s="127">
        <v>0</v>
      </c>
      <c r="DL557" s="127">
        <v>0</v>
      </c>
      <c r="DM557" s="304">
        <f>INDEX(Input!$1:$1048576,DM$93,$C557*2+6)</f>
        <v>21036.84210526316</v>
      </c>
      <c r="DN557" s="20">
        <v>0</v>
      </c>
      <c r="DO557" s="20">
        <v>0</v>
      </c>
      <c r="DP557" s="20">
        <v>0</v>
      </c>
      <c r="DQ557" s="20">
        <v>0</v>
      </c>
      <c r="DR557" s="20">
        <v>0</v>
      </c>
      <c r="DS557" s="20">
        <f>INDEX(Input!$1:$1048576,DS$93,$C557*2+6)</f>
        <v>0.6</v>
      </c>
      <c r="DT557" s="20">
        <f>INDEX(Input!$1:$1048576,DT$93,$C557*2+6)</f>
        <v>0.55000000000000004</v>
      </c>
      <c r="DU557" s="20">
        <f>INDEX(Input!$1:$1048576,DU$93,$C557*2+6)</f>
        <v>0.52</v>
      </c>
      <c r="DV557" s="20">
        <f>INDEX(Input!$1:$1048576,DV$93,$C557*2+6)</f>
        <v>0.5</v>
      </c>
      <c r="DW557" s="20">
        <f>INDEX(Input!$1:$1048576,DW$93,$C557*2+6)</f>
        <v>0.45</v>
      </c>
      <c r="DX557" s="20"/>
      <c r="DY557" s="7">
        <v>0.12583685227275962</v>
      </c>
      <c r="DZ557" s="7">
        <v>0</v>
      </c>
      <c r="EA557" s="7">
        <v>0.73658128211667484</v>
      </c>
      <c r="EB557" s="7">
        <v>0</v>
      </c>
      <c r="EC557" s="7">
        <v>0</v>
      </c>
      <c r="ED557" s="7">
        <v>0</v>
      </c>
      <c r="EE557" s="7">
        <v>0</v>
      </c>
      <c r="EF557" s="7">
        <v>0</v>
      </c>
      <c r="EG557" s="7">
        <v>0</v>
      </c>
      <c r="EH557" s="7">
        <v>9.4871134587218853E-3</v>
      </c>
      <c r="EI557" s="7">
        <v>2.6372199077626887E-2</v>
      </c>
      <c r="EJ557" s="7">
        <v>0.22902307256419094</v>
      </c>
      <c r="EK557" s="7">
        <v>0.63698740711244972</v>
      </c>
      <c r="EL557" s="7">
        <v>9.8130207787010565E-2</v>
      </c>
      <c r="EM557" s="7">
        <v>7.3186933668840035E-2</v>
      </c>
      <c r="EN557" s="7">
        <v>5.9545580997249381E-2</v>
      </c>
      <c r="EO557" s="7">
        <v>0.72731828372039742</v>
      </c>
      <c r="EP557" s="7">
        <v>8.5047805314263439E-2</v>
      </c>
      <c r="EQ557" s="7">
        <v>8.3684859721196908E-2</v>
      </c>
      <c r="ER557" s="7">
        <v>4.4403470246892583E-2</v>
      </c>
      <c r="ES557" s="7">
        <v>6.439493194172545E-2</v>
      </c>
      <c r="ET557" s="7">
        <v>0.13758186561056548</v>
      </c>
      <c r="EU557" s="6">
        <v>1770</v>
      </c>
      <c r="EV557" s="6">
        <v>0</v>
      </c>
      <c r="EW557" s="6">
        <v>1770</v>
      </c>
      <c r="EX557" s="6">
        <v>0</v>
      </c>
      <c r="EY557" s="6">
        <v>2326.3942130407277</v>
      </c>
      <c r="EZ557" s="6">
        <v>353.55009605986834</v>
      </c>
      <c r="FA557" s="6">
        <v>0</v>
      </c>
      <c r="FB557" s="6">
        <v>0</v>
      </c>
      <c r="FC557" s="6">
        <v>0</v>
      </c>
      <c r="FD557" s="6">
        <v>0</v>
      </c>
      <c r="FE557" s="6">
        <v>0</v>
      </c>
      <c r="FF557" s="6">
        <v>0</v>
      </c>
      <c r="FG557" s="6">
        <v>0</v>
      </c>
      <c r="FH557" s="6">
        <v>1172.1346276095619</v>
      </c>
      <c r="FI557" s="6">
        <v>1553.9796069512395</v>
      </c>
      <c r="FJ557" s="6">
        <v>2101.2110117447419</v>
      </c>
      <c r="FK557" s="6">
        <v>2251.3078348034674</v>
      </c>
      <c r="FL557" s="6">
        <v>907.07682140966335</v>
      </c>
      <c r="FM557" s="6">
        <v>2056.3942130407277</v>
      </c>
      <c r="FN557" s="6">
        <v>0</v>
      </c>
      <c r="FO557" s="6">
        <v>0</v>
      </c>
      <c r="FP557" s="6">
        <v>0</v>
      </c>
      <c r="FQ557" s="6">
        <v>0</v>
      </c>
      <c r="FR557" s="6">
        <v>0</v>
      </c>
      <c r="FS557" s="6">
        <v>0</v>
      </c>
      <c r="FT557" s="7">
        <v>0.86241813438943449</v>
      </c>
      <c r="FU557" s="7">
        <v>7.3186933668840035E-2</v>
      </c>
      <c r="FV557" s="7">
        <v>6.439493194172545E-2</v>
      </c>
      <c r="FW557" s="6">
        <v>1770</v>
      </c>
      <c r="FX557" s="6">
        <v>2326.3942130407277</v>
      </c>
      <c r="FY557" s="6">
        <v>353.55009605986834</v>
      </c>
      <c r="FZ557" s="6">
        <v>1758.1538569113241</v>
      </c>
      <c r="GA557" s="6">
        <v>1719.5085912004497</v>
      </c>
      <c r="GB557" s="6">
        <v>18265.491408799549</v>
      </c>
      <c r="GC557" s="7">
        <v>3.064145122680037E-2</v>
      </c>
      <c r="GD557" s="7">
        <v>3.1107708750534702E-2</v>
      </c>
      <c r="GE557" s="7"/>
      <c r="GF557" s="7"/>
      <c r="GG557" s="7">
        <v>1.5216561392057107E-2</v>
      </c>
      <c r="GH557" s="42">
        <v>-7.8690875538394875</v>
      </c>
      <c r="GI557" s="6">
        <v>-820.17594824134642</v>
      </c>
      <c r="GJ557" s="14">
        <v>0.50394797582841744</v>
      </c>
      <c r="GK557" s="14">
        <v>0.50887573065309777</v>
      </c>
      <c r="GL557" s="14">
        <v>0.49605202417158306</v>
      </c>
      <c r="GM557" s="14">
        <v>0.49112426934690279</v>
      </c>
      <c r="GO557" s="5">
        <v>343.14810671672558</v>
      </c>
      <c r="GP557" s="5">
        <v>309.37988338875158</v>
      </c>
      <c r="GQ557" s="5">
        <v>535.04305713031317</v>
      </c>
      <c r="GR557" s="5">
        <v>410.15490233172511</v>
      </c>
      <c r="GS557" s="5">
        <v>339.42744393800166</v>
      </c>
      <c r="GT557" s="5">
        <v>293.4407446948278</v>
      </c>
      <c r="GU557" s="5">
        <v>258.04012322764959</v>
      </c>
      <c r="GV557" s="39" t="s">
        <v>392</v>
      </c>
      <c r="GW557" s="5">
        <v>492.125</v>
      </c>
      <c r="GX557" s="5">
        <v>369.09375</v>
      </c>
      <c r="GY557" s="5">
        <v>295.27499999999998</v>
      </c>
      <c r="GZ557" s="5">
        <v>252.85821728143046</v>
      </c>
      <c r="HA557" s="5">
        <v>241.34874471337258</v>
      </c>
      <c r="HB557" s="39">
        <v>266.77854997660506</v>
      </c>
      <c r="HC557" s="5">
        <v>271.81655829738071</v>
      </c>
      <c r="HD557" s="5">
        <v>229.24799238008356</v>
      </c>
      <c r="HE557" s="5">
        <v>231.16091712425109</v>
      </c>
      <c r="HF557" s="5">
        <v>212.73290951107165</v>
      </c>
      <c r="HG557" s="5">
        <v>203.85500473779987</v>
      </c>
      <c r="HH557" s="39">
        <v>229.43585325664037</v>
      </c>
      <c r="HI557" s="16"/>
      <c r="HJ557" s="19" t="str">
        <f t="shared" ref="HJ557" si="1587">HJ556</f>
        <v>On</v>
      </c>
      <c r="HK557" s="1" t="str">
        <f t="shared" si="1549"/>
        <v>On</v>
      </c>
      <c r="HL557" s="16"/>
      <c r="HM557" s="639">
        <f t="shared" si="1413"/>
        <v>2.4909940070666322E-2</v>
      </c>
      <c r="HN557" s="639">
        <f t="shared" si="1414"/>
        <v>2.2052381276269151E-3</v>
      </c>
      <c r="HO557" s="639">
        <f t="shared" si="1415"/>
        <v>2.079866082302006E-3</v>
      </c>
      <c r="HP557" s="644">
        <f>(FT557*$GD557-HM557)/$JF557*INDEX(Input!$1:$1048576,$JG$93,$C557*2+6)</f>
        <v>53.934010119088306</v>
      </c>
      <c r="HQ557" s="644">
        <f>(FU557*$GD557-HN557)/$JF557*INDEX(Input!$1:$1048576,$JG$93,$C557*2+6)</f>
        <v>2.0089705753412113</v>
      </c>
      <c r="HR557" s="644">
        <f>(FV557*$GD557-HO557)/$JF557*INDEX(Input!$1:$1048576,$JG$93,$C557*2+6)</f>
        <v>-2.1565395872307991</v>
      </c>
      <c r="HS557" s="644">
        <f t="shared" si="1550"/>
        <v>-25.697821530957924</v>
      </c>
      <c r="HT557" s="644">
        <f t="shared" si="1417"/>
        <v>17.948743282490817</v>
      </c>
      <c r="HU557" s="644">
        <f t="shared" si="1418"/>
        <v>4.9896108987641581</v>
      </c>
      <c r="HV557" s="648">
        <f t="shared" si="1419"/>
        <v>0</v>
      </c>
      <c r="HW557" s="648">
        <f t="shared" si="1420"/>
        <v>0</v>
      </c>
      <c r="HX557" s="648">
        <f t="shared" si="1421"/>
        <v>0</v>
      </c>
      <c r="HY557" s="644">
        <f>INDEX(Input!$1:$1048576,HY$93,$C557*2+6)*INDEX(Input!$1:$1048576,$JG$93,$C557*2+6)</f>
        <v>333.00000000000006</v>
      </c>
      <c r="HZ557" s="644">
        <f>INDEX(Input!$1:$1048576,HZ$93,$C557*2+6)*INDEX(Input!$1:$1048576,$JG$93,$C557*2+6)</f>
        <v>429</v>
      </c>
      <c r="IA557" s="644">
        <f>INDEX(Input!$1:$1048576,IA$93,$C557*2+6)*INDEX(Input!$1:$1048576,$JG$93,$C557*2+6)</f>
        <v>59</v>
      </c>
      <c r="IB557" s="644">
        <f t="shared" si="1551"/>
        <v>361.23618858813052</v>
      </c>
      <c r="IC557" s="644">
        <f t="shared" si="1552"/>
        <v>448.957713857832</v>
      </c>
      <c r="ID557" s="644">
        <f>IF(AND(INDEX(Input!$1:$1048576,IA$93,$C557*2+7)="TOS",Y557&lt;=INDEX(Y:Y,MATCH(C557*1000+2,A:A))),0,1)*MAX(IA557+HR557+HU557+HX557,0%)</f>
        <v>61.833071311533359</v>
      </c>
      <c r="IE557" s="128">
        <f t="shared" si="1553"/>
        <v>0.41424887011418021</v>
      </c>
      <c r="IF557" s="128">
        <f t="shared" si="1554"/>
        <v>0.5148438378268374</v>
      </c>
      <c r="IG557" s="128">
        <f t="shared" si="1555"/>
        <v>7.0907292058982427E-2</v>
      </c>
      <c r="IH557" s="21"/>
      <c r="II557" s="19">
        <f t="shared" si="1424"/>
        <v>1240</v>
      </c>
      <c r="IJ557" s="19">
        <f t="shared" si="1425"/>
        <v>1985.7442651839444</v>
      </c>
      <c r="IK557" s="19">
        <f t="shared" si="1426"/>
        <v>-21.44990394013189</v>
      </c>
      <c r="IL557" s="19">
        <f t="shared" si="1556"/>
        <v>530</v>
      </c>
      <c r="IM557" s="19">
        <f t="shared" si="1557"/>
        <v>340.64994785678323</v>
      </c>
      <c r="IN557" s="19">
        <f t="shared" si="1558"/>
        <v>375.00000000000023</v>
      </c>
      <c r="IO557" s="39">
        <f t="shared" si="1429"/>
        <v>0</v>
      </c>
      <c r="IP557" s="39">
        <f t="shared" si="1430"/>
        <v>0</v>
      </c>
      <c r="IQ557" s="39">
        <f t="shared" si="1431"/>
        <v>0</v>
      </c>
      <c r="IR557" s="39">
        <v>0</v>
      </c>
      <c r="IS557" s="39">
        <v>0</v>
      </c>
      <c r="IT557" s="39">
        <v>0</v>
      </c>
      <c r="IU557" s="39">
        <v>0</v>
      </c>
      <c r="IV557" s="39">
        <v>0</v>
      </c>
      <c r="IW557" s="39">
        <v>0</v>
      </c>
      <c r="IX557" s="39">
        <f>INDEX(Input!$1:$1048576,IX$93,$C557*2+6)+INDEX(Input!$1:$1048576,IX$94,$C557*2+6)</f>
        <v>1270</v>
      </c>
      <c r="IY557" s="39">
        <f>INDEX(Input!$1:$1048576,IY$93,$C557*2+6)+INDEX(Input!$1:$1048576,IY$94,$C557*2+6)</f>
        <v>2130.0624533823611</v>
      </c>
      <c r="IZ557" s="39">
        <f>INDEX(Input!$1:$1048576,IZ$93,$C557*2+6)+INDEX(Input!$1:$1048576,IZ$94,$C557*2+6)</f>
        <v>3653.7164157747857</v>
      </c>
      <c r="JA557" s="19">
        <f t="shared" si="1559"/>
        <v>1800</v>
      </c>
      <c r="JB557" s="19">
        <f t="shared" si="1560"/>
        <v>2470.7124012391441</v>
      </c>
      <c r="JC557" s="19">
        <f t="shared" si="1561"/>
        <v>4028.7164157747857</v>
      </c>
      <c r="JD557" s="19">
        <f t="shared" si="1562"/>
        <v>2303.3443925420061</v>
      </c>
      <c r="JE557" s="21"/>
      <c r="JF557" s="1">
        <f t="shared" si="1432"/>
        <v>2.9195044280595241E-2</v>
      </c>
      <c r="JG557" s="15">
        <f>INDEX(Input!$1:$1048576,JG$93,$C557*2+6)/(1+VLOOKUP(C557*1000+INDEX(Input!$1:$1048576,JG$93+1,$C557*2+6),$A:$KK,$JK$92,FALSE))</f>
        <v>821</v>
      </c>
      <c r="JH557" s="1">
        <f t="shared" si="1563"/>
        <v>6.5513326561752405E-2</v>
      </c>
      <c r="JI557" s="1">
        <f t="shared" si="1564"/>
        <v>-3.3611051762520694E-3</v>
      </c>
      <c r="JJ557" s="1">
        <f t="shared" si="1565"/>
        <v>0</v>
      </c>
      <c r="JK557" s="1">
        <f t="shared" si="1566"/>
        <v>6.2152221385500334E-2</v>
      </c>
      <c r="JL557" s="15">
        <f t="shared" si="1567"/>
        <v>51.026973757495774</v>
      </c>
      <c r="JM557" s="15">
        <f t="shared" si="1568"/>
        <v>872.02697375749574</v>
      </c>
      <c r="JN557" s="21"/>
      <c r="JO557" s="19">
        <f>INDEX(Input!$1:$1048576,JO$93,$C557*2+6)</f>
        <v>5995.5</v>
      </c>
      <c r="JP557" s="19">
        <f>INDEX(Input!$1:$1048576,JP$93,$C557*2+6)</f>
        <v>1890.7138380411029</v>
      </c>
      <c r="JQ557" s="39">
        <f t="shared" si="1569"/>
        <v>3692.1556074579939</v>
      </c>
      <c r="JR557" s="39">
        <f t="shared" si="1570"/>
        <v>412.63055450090314</v>
      </c>
      <c r="JS557" s="39">
        <f t="shared" si="1571"/>
        <v>2.0085784401497029</v>
      </c>
      <c r="JT557" s="39">
        <f t="shared" si="1572"/>
        <v>0.45630237911795729</v>
      </c>
      <c r="JU557" s="385">
        <f>(JQ557*JM557-INDEX(Input!$1:$1048576,Input!A$18,$C557*2+6)*JL557*INDEX(Input!$1:$1048576,Input!A$19,$C557*2+6))/1000000</f>
        <v>3.2196592810133629</v>
      </c>
      <c r="JV557" s="39">
        <f t="shared" si="1573"/>
        <v>-0.1503701579548915</v>
      </c>
      <c r="JW557" s="1">
        <f t="shared" si="1574"/>
        <v>-4.4619835131448529E-2</v>
      </c>
      <c r="JX557" s="19">
        <f t="shared" si="1575"/>
        <v>8942.3758752874746</v>
      </c>
      <c r="JZ557" s="341"/>
      <c r="KA557" s="342"/>
      <c r="KB557" s="469">
        <f t="shared" si="1576"/>
        <v>2.5122967434604799</v>
      </c>
      <c r="KI557" s="473">
        <f t="shared" si="1577"/>
        <v>28.23618858813046</v>
      </c>
      <c r="KJ557" s="473">
        <f t="shared" si="1578"/>
        <v>19.957713857831948</v>
      </c>
      <c r="KK557" s="473">
        <f t="shared" si="1579"/>
        <v>2.8330713115333523</v>
      </c>
      <c r="KN557" s="544">
        <f t="shared" si="1580"/>
        <v>5002</v>
      </c>
      <c r="KO557" s="541">
        <f t="shared" si="1436"/>
        <v>5.7845058660723758E-2</v>
      </c>
      <c r="KP557" s="546">
        <f t="shared" si="1437"/>
        <v>392.58651323169886</v>
      </c>
      <c r="KQ557" s="546">
        <f t="shared" si="1438"/>
        <v>384.4256268187396</v>
      </c>
      <c r="KR557" s="548">
        <f t="shared" si="1439"/>
        <v>2.6619190765460012</v>
      </c>
      <c r="KS557" s="548">
        <f t="shared" si="1440"/>
        <v>2.7184283665326032</v>
      </c>
      <c r="KT557" s="473">
        <f t="shared" si="1581"/>
        <v>595.94378802984284</v>
      </c>
      <c r="KU557" s="663">
        <f t="shared" si="1462"/>
        <v>4.0196301375708652</v>
      </c>
      <c r="KV557" s="117"/>
    </row>
    <row r="558" spans="1:308" s="26" customFormat="1" ht="15" outlineLevel="1">
      <c r="A558" s="561">
        <f t="shared" si="1541"/>
        <v>5058</v>
      </c>
      <c r="B558" s="561">
        <f t="shared" si="1542"/>
        <v>58</v>
      </c>
      <c r="C558" s="561">
        <f t="shared" si="1543"/>
        <v>5</v>
      </c>
      <c r="D558" s="561" t="str">
        <f t="shared" si="1509"/>
        <v xml:space="preserve">1000 CC, 0/0/0.9/3.9, 360 Lease, </v>
      </c>
      <c r="E558" s="475">
        <f>INDEX(Input!$1:$1048576,E$93,$C558*2+MIN($B558,2)+5)
+INDEX(Scenarios!E$121:E$200,MATCH($B558,Scenarios!$B$121:$B$200,0))</f>
        <v>2277.4263093788063</v>
      </c>
      <c r="F558" s="475">
        <f>INDEX(Input!$1:$1048576,F$93,$C558*2+MIN($B558,2)+5)
+INDEX(Scenarios!F$121:F$200,MATCH($B558,Scenarios!$B$121:$B$200,0))</f>
        <v>0</v>
      </c>
      <c r="G558" s="475">
        <f>INDEX(Input!$1:$1048576,G$93,$C558*2+MIN($B558,2)+5)
+INDEX(Scenarios!G$121:G$200,MATCH($B558,Scenarios!$B$121:$B$200,0))</f>
        <v>0</v>
      </c>
      <c r="H558" s="475">
        <f>INDEX(Input!$1:$1048576,H$93,$C558*2+MIN($B558,2)+5)
+INDEX(Scenarios!H$121:H$200,MATCH($B558,Scenarios!$B$121:$B$200,0))</f>
        <v>0</v>
      </c>
      <c r="I558" s="476">
        <f>INDEX(Input!$1:$1048576,I$93,$C558*2+MIN($B558,2)+5)</f>
        <v>0.7</v>
      </c>
      <c r="J558" s="476" t="str">
        <f>INDEX(Input!$1:$1048576,J$93,$C558*2+MIN($B558,2)+5)</f>
        <v>Market</v>
      </c>
      <c r="K558" s="476" t="str">
        <f>INDEX(Input!$1:$1048576,K$93,$C558*2+MIN($B558,2)+5)</f>
        <v>Market</v>
      </c>
      <c r="L558" s="476" t="str">
        <f>INDEX(Input!$1:$1048576,L$93,$C558*2+MIN($B558,2)+5)</f>
        <v>Market</v>
      </c>
      <c r="M558" s="476" t="str">
        <f>INDEX(Input!$1:$1048576,M$93,$C558*2+MIN($B558,2)+5)</f>
        <v>Market</v>
      </c>
      <c r="N558" s="476" t="str">
        <f>INDEX(Input!$1:$1048576,N$93,$C558*2+MIN($B558,2)+5)</f>
        <v>Market</v>
      </c>
      <c r="O558" s="476" t="str">
        <f>INDEX(Input!$1:$1048576,O$93,$C558*2+MIN($B558,2)+5)</f>
        <v>Market</v>
      </c>
      <c r="P558" s="476" t="str">
        <f>INDEX(Input!$1:$1048576,P$93,$C558*2+MIN($B558,2)+5)</f>
        <v>N</v>
      </c>
      <c r="Q558" s="477">
        <f>INDEX(Input!$1:$1048576,Q$93,$C558*2+MIN($B558,2)+5)
+INDEX(Scenarios!Q$121:Q$200,MATCH($B558,Scenarios!$B$121:$B$200,0))</f>
        <v>0</v>
      </c>
      <c r="R558" s="478">
        <f>IFERROR(MAX(0,INDEX(Input!$1:$1048576,R$93,$C558*2+MIN($B558,2)+5)
+INDEX(Scenarios!R$121:R$200,MATCH($B558,Scenarios!$B$121:$B$200,0)),),"Market")</f>
        <v>0</v>
      </c>
      <c r="S558" s="478">
        <f>IFERROR(MAX(0,INDEX(Input!$1:$1048576,S$93,$C558*2+MIN($B558,2)+5)
+INDEX(Scenarios!S$121:S$200,MATCH($B558,Scenarios!$B$121:$B$200,0)),),"Market")</f>
        <v>0</v>
      </c>
      <c r="T558" s="478">
        <f>IFERROR(MAX(0,INDEX(Input!$1:$1048576,T$93,$C558*2+MIN($B558,2)+5)
+INDEX(Scenarios!T$121:T$200,MATCH($B558,Scenarios!$B$121:$B$200,0)),),"Market")</f>
        <v>0</v>
      </c>
      <c r="U558" s="478">
        <f>IFERROR(MAX(0,INDEX(Input!$1:$1048576,U$93,$C558*2+MIN($B558,2)+5)
+INDEX(Scenarios!U$121:U$200,MATCH($B558,Scenarios!$B$121:$B$200,0)),),"Market")</f>
        <v>0</v>
      </c>
      <c r="V558" s="478">
        <f>IFERROR(MAX(0,INDEX(Input!$1:$1048576,V$93,$C558*2+MIN($B558,2)+5)
+INDEX(Scenarios!V$121:V$200,MATCH($B558,Scenarios!$B$121:$B$200,0)),),"Market")</f>
        <v>8.9999999999999993E-3</v>
      </c>
      <c r="W558" s="885">
        <f>IFERROR(MAX(0,INDEX(Input!$1:$1048576,W$93,$C558*2+MIN($B558,2)+5)-0%,),"Market")</f>
        <v>3.9E-2</v>
      </c>
      <c r="X558" s="476" t="str">
        <f>INDEX(Input!$1:$1048576,X$93,$C558*2+MIN($B558,2)+5)</f>
        <v>Y</v>
      </c>
      <c r="Y558" s="475">
        <f>INDEX(Input!$1:$1048576,Y$93,$C558*2+MIN($B558,2)+5)
++INDEX(Scenarios!Y$121:Y$200,MATCH($B558,Scenarios!$B$121:$B$200,0))</f>
        <v>-357.93641739252325</v>
      </c>
      <c r="Z558" s="477">
        <f>INDEX(Input!$1:$1048576,Z$93,$C558*2+MIN($B558,2)+5)
+INDEX(Scenarios!Z$121:Z$200,MATCH($B558,Scenarios!$B$121:$B$200,0))</f>
        <v>0</v>
      </c>
      <c r="AA558" s="475">
        <f>INDEX(Input!$1:$1048576,AA$93,$C558*2+MIN($B558,2)+5)
+INDEX(Scenarios!AA$121:AA$200,MATCH($B558,Scenarios!$B$121:$B$200,0))</f>
        <v>0</v>
      </c>
      <c r="AB558" s="476">
        <f>INDEX(Input!$1:$1048576,AB$93,$C558*2+MIN($B558,2)+5)</f>
        <v>0.27</v>
      </c>
      <c r="AC558" s="475">
        <f>INDEX(Input!$1:$1048576,AC$93,$C558*2+MIN($B558,2)+5)
+INDEX(Scenarios!AC$121:AC$200,MATCH($B558,Scenarios!$B$121:$B$200,0))</f>
        <v>0</v>
      </c>
      <c r="AD558" s="476">
        <f>INDEX(Input!$1:$1048576,AD$93,$C558*2+MIN($B558,2)+5)</f>
        <v>0.27</v>
      </c>
      <c r="AE558" s="475">
        <f>INDEX(Input!$1:$1048576,AE$93,$C558*2+MIN($B558,2)+5)
+INDEX(Scenarios!AE$121:AE$200,MATCH($B558,Scenarios!$B$121:$B$200,0))</f>
        <v>0</v>
      </c>
      <c r="AF558" s="476">
        <f>INDEX(Input!$1:$1048576,AF$93,$C558*2+MIN($B558,2)+5)</f>
        <v>0.2</v>
      </c>
      <c r="AG558" s="475">
        <f>INDEX(Input!$1:$1048576,AG$93,$C558*2+MIN($B558,2)+5)
+INDEX(Scenarios!AG$121:AG$200,MATCH($B558,Scenarios!$B$121:$B$200,0))</f>
        <v>500</v>
      </c>
      <c r="AH558" s="476">
        <f>INDEX(Input!$1:$1048576,AH$93,$C558*2+MIN($B558,2)+5)</f>
        <v>1</v>
      </c>
      <c r="AI558" s="475">
        <f>INDEX(Input!$1:$1048576,AI$93,$C558*2+MIN($B558,2)+5)
+INDEX(Scenarios!AI$121:AI$200,MATCH($B558,Scenarios!$B$121:$B$200,0))</f>
        <v>0</v>
      </c>
      <c r="AJ558" s="476">
        <f>INDEX(Input!$1:$1048576,AJ$93,$C558*2+MIN($B558,2)+5)</f>
        <v>0.27</v>
      </c>
      <c r="AK558" s="150">
        <f>ROUND(INDEX(Input!$1:$1048576,AK$93,$C557*2+MIN($B558,1)+5)+(Y558-VLOOKUP($C558*1000+1,$A:$HH,Y$92,FALSE)),0)</f>
        <v>2947</v>
      </c>
      <c r="AL558" s="150">
        <f>ROUND(INDEX(Input!$1:$1048576,AL$93,$C557*2+MIN($B558,1)+5)-(Y558-VLOOKUP($C558*1000+1,$A:$HH,Y$92,FALSE))/36,0)</f>
        <v>3396</v>
      </c>
      <c r="AM558" s="32" t="str">
        <f t="shared" si="1544"/>
        <v>std/std/std/std</v>
      </c>
      <c r="AN558" s="32" t="str">
        <f t="shared" si="1545"/>
        <v>$0 + 0/0/0/0.9/3.9</v>
      </c>
      <c r="AO558" s="32" t="str">
        <f t="shared" si="1546"/>
        <v>0/0/0/0.9/3.9</v>
      </c>
      <c r="AP558" s="32" t="str">
        <f t="shared" si="1526"/>
        <v>0/0/0.9/3.9</v>
      </c>
      <c r="AQ558" s="536">
        <f t="shared" si="1525"/>
        <v>0.45398346443364407</v>
      </c>
      <c r="AR558" s="32"/>
      <c r="AS558" s="302"/>
      <c r="AT558" s="3">
        <f t="shared" si="1547"/>
        <v>58</v>
      </c>
      <c r="AU558" s="41" t="s">
        <v>121</v>
      </c>
      <c r="AV558" s="41" t="s">
        <v>116</v>
      </c>
      <c r="AW558" s="41" t="str">
        <f>INDEX(Input!$1:$1048576,AW$93,$C558*2+6)</f>
        <v>Kia</v>
      </c>
      <c r="AX558" s="41" t="str">
        <f>INDEX(Input!$1:$1048576,AX$93,$C558*2+6)</f>
        <v>Kia-LR - R2</v>
      </c>
      <c r="AY558" s="41" t="str">
        <f>IF(LEN(D558)=0,"",INDEX(Input!$1:$1048576,AY$93,$C558*2+6))</f>
        <v>Compact SUV (52)</v>
      </c>
      <c r="AZ558" s="41" t="str">
        <f>INDEX(Input!$1:$1048576,AZ$93,$C558*2+6)</f>
        <v>Kia Soul</v>
      </c>
      <c r="BA558" s="3">
        <f>INDEX(Input!$1:$1048576,BA$93,$C558*2+6)</f>
        <v>2020</v>
      </c>
      <c r="BB558" s="128">
        <f>INDEX(Input!$1:$1048576,BB$93,$C558*2+6)</f>
        <v>1</v>
      </c>
      <c r="BC558" s="128">
        <f>INDEX(Input!$1:$1048576,BC$93,$C558*2+6)</f>
        <v>0.7</v>
      </c>
      <c r="BD558" s="1">
        <f>INDEX(Input!$1:$1048576,BD$93,$C558*2+6)</f>
        <v>4.4999999999999998E-2</v>
      </c>
      <c r="BE558" s="1">
        <f>INDEX(Input!$1:$1048576,BE$93,$C558*2+6)</f>
        <v>4.4999999999999998E-2</v>
      </c>
      <c r="BF558" s="1">
        <f>INDEX(Input!$1:$1048576,BF$93,$C558*2+6)</f>
        <v>0.05</v>
      </c>
      <c r="BG558" s="1">
        <f>INDEX(Input!$1:$1048576,BG$93,$C558*2+6)</f>
        <v>5.45E-2</v>
      </c>
      <c r="BH558" s="1">
        <f>INDEX(Input!$1:$1048576,BH$93,$C558*2+6)</f>
        <v>5.45E-2</v>
      </c>
      <c r="BI558" s="1">
        <f>INDEX(Input!$1:$1048576,BI$93,$C558*2+6)</f>
        <v>0.05</v>
      </c>
      <c r="BJ558" s="1">
        <f>INDEX(Input!$1:$1048576,BJ$93,$C558*2+6)</f>
        <v>0.05</v>
      </c>
      <c r="BK558" s="1">
        <f>INDEX(Input!$1:$1048576,BK$93,$C558*2+6)</f>
        <v>0.05</v>
      </c>
      <c r="BL558" s="1">
        <f>INDEX(Input!$1:$1048576,BL$93,$C558*2+6)</f>
        <v>5.5E-2</v>
      </c>
      <c r="BM558" s="1">
        <f>INDEX(Input!$1:$1048576,BM$93,$C558*2+6)</f>
        <v>0.06</v>
      </c>
      <c r="BN558" s="1">
        <f>INDEX(Input!$1:$1048576,BN$93,$C558*2+6)</f>
        <v>4.4999999999999998E-2</v>
      </c>
      <c r="BO558" s="1">
        <f>INDEX(Input!$1:$1048576,BO$93,$C558*2+6)</f>
        <v>4.4999999999999998E-2</v>
      </c>
      <c r="BP558" s="1">
        <f>INDEX(Input!$1:$1048576,BP$93,$C558*2+6)</f>
        <v>0.05</v>
      </c>
      <c r="BQ558" s="1">
        <f>INDEX(Input!$1:$1048576,BQ$93,$C558*2+6)</f>
        <v>5.45E-2</v>
      </c>
      <c r="BR558" s="1">
        <f>INDEX(Input!$1:$1048576,BR$93,$C558*2+6)</f>
        <v>5.45E-2</v>
      </c>
      <c r="BS558" s="1">
        <f>INDEX(Input!$1:$1048576,BS$93,$C558*2+6)</f>
        <v>0.05</v>
      </c>
      <c r="BT558" s="1">
        <f>INDEX(Input!$1:$1048576,BT$93,$C558*2+6)</f>
        <v>0.05</v>
      </c>
      <c r="BU558" s="1">
        <f>INDEX(Input!$1:$1048576,BU$93,$C558*2+6)</f>
        <v>0.05</v>
      </c>
      <c r="BV558" s="1">
        <f>INDEX(Input!$1:$1048576,BV$93,$C558*2+6)</f>
        <v>5.5E-2</v>
      </c>
      <c r="BW558" s="1">
        <f>INDEX(Input!$1:$1048576,BW$93,$C558*2+6)</f>
        <v>0.06</v>
      </c>
      <c r="BX558" s="127">
        <f>INDEX(Input!$1:$1048576,BX$93,$C558*2+6)</f>
        <v>19985</v>
      </c>
      <c r="BY558" s="20">
        <f>INDEX(Input!$1:$1048576,BY$93,$C558*2+6)</f>
        <v>0.1</v>
      </c>
      <c r="BZ558" s="20">
        <f>INDEX(Input!$1:$1048576,BZ$93,$C558*2+6)</f>
        <v>0.1</v>
      </c>
      <c r="CA558" s="20">
        <f>INDEX(Input!$1:$1048576,CA$93,$C558*2+6)</f>
        <v>0.1</v>
      </c>
      <c r="CB558" s="20">
        <f>INDEX(Input!$1:$1048576,CB$93,$C558*2+6)</f>
        <v>0.1</v>
      </c>
      <c r="CC558" s="20">
        <f>INDEX(Input!$1:$1048576,CC$93,$C558*2+6)</f>
        <v>0.1</v>
      </c>
      <c r="CD558" s="384">
        <f>INDEX(Input!$1:$1048576,CD$93,$C558*2+6)</f>
        <v>0.1</v>
      </c>
      <c r="CE558" s="384">
        <f>INDEX(Input!$1:$1048576,CE$93,$C558*2+6)</f>
        <v>0.1</v>
      </c>
      <c r="CF558" s="384">
        <f>INDEX(Input!$1:$1048576,CF$93,$C558*2+6)</f>
        <v>0.1</v>
      </c>
      <c r="CG558" s="384">
        <f>INDEX(Input!$1:$1048576,CG$93,$C558*2+6)</f>
        <v>0.1</v>
      </c>
      <c r="CH558" s="384">
        <f>INDEX(Input!$1:$1048576,CH$93,$C558*2+6)</f>
        <v>0.1</v>
      </c>
      <c r="CI558" s="304">
        <f t="shared" si="1527"/>
        <v>2277.4263093788063</v>
      </c>
      <c r="CJ558" s="16" t="str">
        <f>INDEX(Input!$1:$1048576,CJ$93,$C558*2+6)</f>
        <v>N</v>
      </c>
      <c r="CK558" s="1" t="str">
        <f t="shared" si="1528"/>
        <v>Market</v>
      </c>
      <c r="CL558" s="1" t="str">
        <f t="shared" si="1529"/>
        <v>Market</v>
      </c>
      <c r="CM558" s="1" t="str">
        <f t="shared" si="1530"/>
        <v>Market</v>
      </c>
      <c r="CN558" s="1" t="str">
        <f t="shared" si="1531"/>
        <v>Market</v>
      </c>
      <c r="CO558" s="1" t="str">
        <f t="shared" si="1532"/>
        <v>Market</v>
      </c>
      <c r="CP558" s="304">
        <f t="shared" si="1533"/>
        <v>500</v>
      </c>
      <c r="CQ558" s="1">
        <f t="shared" si="1534"/>
        <v>0</v>
      </c>
      <c r="CR558" s="1">
        <f t="shared" si="1535"/>
        <v>0</v>
      </c>
      <c r="CS558" s="1">
        <f t="shared" si="1536"/>
        <v>0</v>
      </c>
      <c r="CT558" s="1">
        <f t="shared" si="1537"/>
        <v>8.9999999999999993E-3</v>
      </c>
      <c r="CU558" s="1">
        <f t="shared" si="1538"/>
        <v>3.9E-2</v>
      </c>
      <c r="CV558" s="304">
        <f t="shared" si="1539"/>
        <v>-357.93641739252325</v>
      </c>
      <c r="CW558" s="20" t="s">
        <v>122</v>
      </c>
      <c r="CX558" s="20" t="s">
        <v>122</v>
      </c>
      <c r="CY558" s="20" t="s">
        <v>122</v>
      </c>
      <c r="CZ558" s="20" t="s">
        <v>122</v>
      </c>
      <c r="DA558" s="20" t="s">
        <v>122</v>
      </c>
      <c r="DB558" s="503">
        <f t="shared" si="1540"/>
        <v>0</v>
      </c>
      <c r="DC558" s="127">
        <v>0</v>
      </c>
      <c r="DD558" s="127">
        <v>0</v>
      </c>
      <c r="DE558" s="127">
        <v>0</v>
      </c>
      <c r="DF558" s="127">
        <v>0</v>
      </c>
      <c r="DG558" s="127">
        <v>0</v>
      </c>
      <c r="DH558" s="127">
        <v>0</v>
      </c>
      <c r="DI558" s="127">
        <v>0</v>
      </c>
      <c r="DJ558" s="127">
        <v>0</v>
      </c>
      <c r="DK558" s="127">
        <v>0</v>
      </c>
      <c r="DL558" s="127">
        <v>0</v>
      </c>
      <c r="DM558" s="304">
        <f>INDEX(Input!$1:$1048576,DM$93,$C558*2+6)</f>
        <v>21036.84210526316</v>
      </c>
      <c r="DN558" s="20">
        <v>0</v>
      </c>
      <c r="DO558" s="20">
        <v>0</v>
      </c>
      <c r="DP558" s="20">
        <v>0</v>
      </c>
      <c r="DQ558" s="20">
        <v>0</v>
      </c>
      <c r="DR558" s="20">
        <v>0</v>
      </c>
      <c r="DS558" s="20">
        <f>INDEX(Input!$1:$1048576,DS$93,$C558*2+6)</f>
        <v>0.6</v>
      </c>
      <c r="DT558" s="20">
        <f>INDEX(Input!$1:$1048576,DT$93,$C558*2+6)</f>
        <v>0.55000000000000004</v>
      </c>
      <c r="DU558" s="20">
        <f>INDEX(Input!$1:$1048576,DU$93,$C558*2+6)</f>
        <v>0.52</v>
      </c>
      <c r="DV558" s="20">
        <f>INDEX(Input!$1:$1048576,DV$93,$C558*2+6)</f>
        <v>0.5</v>
      </c>
      <c r="DW558" s="20">
        <f>INDEX(Input!$1:$1048576,DW$93,$C558*2+6)</f>
        <v>0.45</v>
      </c>
      <c r="DX558" s="20"/>
      <c r="DY558" s="7">
        <v>0.13629106487573842</v>
      </c>
      <c r="DZ558" s="7">
        <v>0</v>
      </c>
      <c r="EA558" s="7">
        <v>0.75633504190373724</v>
      </c>
      <c r="EB558" s="7">
        <v>0</v>
      </c>
      <c r="EC558" s="7">
        <v>0</v>
      </c>
      <c r="ED558" s="7">
        <v>0</v>
      </c>
      <c r="EE558" s="7">
        <v>0</v>
      </c>
      <c r="EF558" s="7">
        <v>0</v>
      </c>
      <c r="EG558" s="7">
        <v>0</v>
      </c>
      <c r="EH558" s="7">
        <v>9.4885286343270158E-3</v>
      </c>
      <c r="EI558" s="7">
        <v>2.6378949485334074E-2</v>
      </c>
      <c r="EJ558" s="7">
        <v>0.22907108982407434</v>
      </c>
      <c r="EK558" s="7">
        <v>0.63693001970516416</v>
      </c>
      <c r="EL558" s="7">
        <v>9.8131412351100553E-2</v>
      </c>
      <c r="EM558" s="7">
        <v>5.7086771020500728E-2</v>
      </c>
      <c r="EN558" s="7">
        <v>5.9562412146794842E-2</v>
      </c>
      <c r="EO558" s="7">
        <v>0.72731283444580308</v>
      </c>
      <c r="EP558" s="7">
        <v>8.5055163673477222E-2</v>
      </c>
      <c r="EQ558" s="7">
        <v>8.3675158583774362E-2</v>
      </c>
      <c r="ER558" s="7">
        <v>4.4394431150150876E-2</v>
      </c>
      <c r="ES558" s="7">
        <v>5.0287122200023494E-2</v>
      </c>
      <c r="ET558" s="7">
        <v>0.10737389322052426</v>
      </c>
      <c r="EU558" s="6">
        <v>2270</v>
      </c>
      <c r="EV558" s="6">
        <v>0</v>
      </c>
      <c r="EW558" s="6">
        <v>2270</v>
      </c>
      <c r="EX558" s="6">
        <v>0</v>
      </c>
      <c r="EY558" s="6">
        <v>2326.3791936917078</v>
      </c>
      <c r="EZ558" s="6">
        <v>353.55009605986834</v>
      </c>
      <c r="FA558" s="6">
        <v>0</v>
      </c>
      <c r="FB558" s="6">
        <v>0</v>
      </c>
      <c r="FC558" s="6">
        <v>0</v>
      </c>
      <c r="FD558" s="6">
        <v>0</v>
      </c>
      <c r="FE558" s="6">
        <v>0</v>
      </c>
      <c r="FF558" s="6">
        <v>0</v>
      </c>
      <c r="FG558" s="6">
        <v>0</v>
      </c>
      <c r="FH558" s="6">
        <v>1172.1390087934346</v>
      </c>
      <c r="FI558" s="6">
        <v>1553.9796069512395</v>
      </c>
      <c r="FJ558" s="6">
        <v>2101.211011744741</v>
      </c>
      <c r="FK558" s="6">
        <v>2251.3078348034669</v>
      </c>
      <c r="FL558" s="6">
        <v>907.07682140966369</v>
      </c>
      <c r="FM558" s="6">
        <v>2056.3791936917078</v>
      </c>
      <c r="FN558" s="6">
        <v>0</v>
      </c>
      <c r="FO558" s="6">
        <v>0</v>
      </c>
      <c r="FP558" s="6">
        <v>0</v>
      </c>
      <c r="FQ558" s="6">
        <v>0</v>
      </c>
      <c r="FR558" s="6">
        <v>0</v>
      </c>
      <c r="FS558" s="6">
        <v>0</v>
      </c>
      <c r="FT558" s="7">
        <v>0.89262610677947563</v>
      </c>
      <c r="FU558" s="7">
        <v>5.7086771020500728E-2</v>
      </c>
      <c r="FV558" s="7">
        <v>5.0287122200023494E-2</v>
      </c>
      <c r="FW558" s="6">
        <v>2270</v>
      </c>
      <c r="FX558" s="6">
        <v>2326.3791936917078</v>
      </c>
      <c r="FY558" s="6">
        <v>353.55009605986834</v>
      </c>
      <c r="FZ558" s="6">
        <v>1758.1538569113241</v>
      </c>
      <c r="GA558" s="6">
        <v>2176.8457556109379</v>
      </c>
      <c r="GB558" s="6">
        <v>17808.154244389061</v>
      </c>
      <c r="GC558" s="7">
        <v>3.064145122680037E-2</v>
      </c>
      <c r="GD558" s="7">
        <v>3.2842023512486815E-2</v>
      </c>
      <c r="GE558" s="7"/>
      <c r="GF558" s="7"/>
      <c r="GG558" s="7">
        <v>7.1816842792410782E-2</v>
      </c>
      <c r="GH558" s="42">
        <v>3.427961247074526</v>
      </c>
      <c r="GI558" s="6">
        <v>8006.8416510007974</v>
      </c>
      <c r="GJ558" s="14">
        <v>0.50394797582841711</v>
      </c>
      <c r="GK558" s="14">
        <v>0.50887573065309744</v>
      </c>
      <c r="GL558" s="14">
        <v>0.49605202417158295</v>
      </c>
      <c r="GM558" s="14">
        <v>0.49112426934690268</v>
      </c>
      <c r="GO558" s="5">
        <v>343.14810671672558</v>
      </c>
      <c r="GP558" s="5">
        <v>299.84083725090579</v>
      </c>
      <c r="GQ558" s="5">
        <v>535.04305713031317</v>
      </c>
      <c r="GR558" s="5">
        <v>410.15490233172511</v>
      </c>
      <c r="GS558" s="5">
        <v>339.42744393800166</v>
      </c>
      <c r="GT558" s="5">
        <v>293.4407446948278</v>
      </c>
      <c r="GU558" s="5">
        <v>258.04012322764959</v>
      </c>
      <c r="GV558" s="39" t="s">
        <v>392</v>
      </c>
      <c r="GW558" s="5">
        <v>492.125</v>
      </c>
      <c r="GX558" s="5">
        <v>369.09375</v>
      </c>
      <c r="GY558" s="5">
        <v>295.27499999999998</v>
      </c>
      <c r="GZ558" s="5">
        <v>252.85821728143046</v>
      </c>
      <c r="HA558" s="5">
        <v>241.34874471337258</v>
      </c>
      <c r="HB558" s="39">
        <v>266.78169609213694</v>
      </c>
      <c r="HC558" s="5">
        <v>271.81655829738071</v>
      </c>
      <c r="HD558" s="5">
        <v>229.24799238008356</v>
      </c>
      <c r="HE558" s="5">
        <v>231.16091712425109</v>
      </c>
      <c r="HF558" s="5">
        <v>212.73290951107165</v>
      </c>
      <c r="HG558" s="5">
        <v>203.85500473779987</v>
      </c>
      <c r="HH558" s="39">
        <v>229.43697355528718</v>
      </c>
      <c r="HI558" s="16"/>
      <c r="HJ558" s="19" t="str">
        <f t="shared" ref="HJ558" si="1588">HJ557</f>
        <v>On</v>
      </c>
      <c r="HK558" s="1" t="str">
        <f t="shared" si="1549"/>
        <v>On</v>
      </c>
      <c r="HL558" s="16"/>
      <c r="HM558" s="639">
        <f t="shared" si="1413"/>
        <v>2.4909940070666322E-2</v>
      </c>
      <c r="HN558" s="639">
        <f t="shared" si="1414"/>
        <v>2.2052381276269151E-3</v>
      </c>
      <c r="HO558" s="639">
        <f t="shared" si="1415"/>
        <v>2.079866082302006E-3</v>
      </c>
      <c r="HP558" s="644">
        <f>(FT558*$GD558-HM558)/$JF558*INDEX(Input!$1:$1048576,$JG$93,$C558*2+6)</f>
        <v>123.89383060730262</v>
      </c>
      <c r="HQ558" s="644">
        <f>(FU558*$GD558-HN558)/$JF558*INDEX(Input!$1:$1048576,$JG$93,$C558*2+6)</f>
        <v>-9.2910527105433225</v>
      </c>
      <c r="HR558" s="644">
        <f>(FV558*$GD558-HO558)/$JF558*INDEX(Input!$1:$1048576,$JG$93,$C558*2+6)</f>
        <v>-12.045305450208545</v>
      </c>
      <c r="HS558" s="644">
        <f t="shared" si="1550"/>
        <v>-49.816771942191473</v>
      </c>
      <c r="HT558" s="644">
        <f t="shared" si="1417"/>
        <v>15.913527522503561</v>
      </c>
      <c r="HU558" s="644">
        <f t="shared" si="1418"/>
        <v>7.0239344100667553</v>
      </c>
      <c r="HV558" s="648">
        <f t="shared" si="1419"/>
        <v>0</v>
      </c>
      <c r="HW558" s="648">
        <f t="shared" si="1420"/>
        <v>0</v>
      </c>
      <c r="HX558" s="648">
        <f t="shared" si="1421"/>
        <v>0</v>
      </c>
      <c r="HY558" s="644">
        <f>INDEX(Input!$1:$1048576,HY$93,$C558*2+6)*INDEX(Input!$1:$1048576,$JG$93,$C558*2+6)</f>
        <v>333.00000000000006</v>
      </c>
      <c r="HZ558" s="644">
        <f>INDEX(Input!$1:$1048576,HZ$93,$C558*2+6)*INDEX(Input!$1:$1048576,$JG$93,$C558*2+6)</f>
        <v>429</v>
      </c>
      <c r="IA558" s="644">
        <f>INDEX(Input!$1:$1048576,IA$93,$C558*2+6)*INDEX(Input!$1:$1048576,$JG$93,$C558*2+6)</f>
        <v>59</v>
      </c>
      <c r="IB558" s="644">
        <f t="shared" si="1551"/>
        <v>407.07705866511117</v>
      </c>
      <c r="IC558" s="644">
        <f t="shared" si="1552"/>
        <v>435.62247481196022</v>
      </c>
      <c r="ID558" s="644">
        <f>IF(AND(INDEX(Input!$1:$1048576,IA$93,$C558*2+7)="TOS",Y558&lt;=INDEX(Y:Y,MATCH(C558*1000+2,A:A))),0,1)*MAX(IA558+HR558+HU558+HX558,0%)</f>
        <v>53.978628959858213</v>
      </c>
      <c r="IE558" s="128">
        <f t="shared" si="1553"/>
        <v>0.45398346443364407</v>
      </c>
      <c r="IF558" s="128">
        <f t="shared" si="1554"/>
        <v>0.48581809289082689</v>
      </c>
      <c r="IG558" s="128">
        <f t="shared" si="1555"/>
        <v>6.0198442675529026E-2</v>
      </c>
      <c r="IH558" s="21"/>
      <c r="II558" s="19">
        <f t="shared" si="1424"/>
        <v>1240</v>
      </c>
      <c r="IJ558" s="19">
        <f t="shared" si="1425"/>
        <v>1985.7442651839444</v>
      </c>
      <c r="IK558" s="19">
        <f t="shared" si="1426"/>
        <v>-21.44990394013189</v>
      </c>
      <c r="IL558" s="19">
        <f t="shared" si="1556"/>
        <v>1030</v>
      </c>
      <c r="IM558" s="19">
        <f t="shared" si="1557"/>
        <v>340.63492850776333</v>
      </c>
      <c r="IN558" s="19">
        <f t="shared" si="1558"/>
        <v>375.00000000000023</v>
      </c>
      <c r="IO558" s="39">
        <f t="shared" si="1429"/>
        <v>0</v>
      </c>
      <c r="IP558" s="39">
        <f t="shared" si="1430"/>
        <v>0</v>
      </c>
      <c r="IQ558" s="39">
        <f t="shared" si="1431"/>
        <v>0</v>
      </c>
      <c r="IR558" s="39">
        <v>0</v>
      </c>
      <c r="IS558" s="39">
        <v>0</v>
      </c>
      <c r="IT558" s="39">
        <v>0</v>
      </c>
      <c r="IU558" s="39">
        <v>0</v>
      </c>
      <c r="IV558" s="39">
        <v>0</v>
      </c>
      <c r="IW558" s="39">
        <v>0</v>
      </c>
      <c r="IX558" s="39">
        <f>INDEX(Input!$1:$1048576,IX$93,$C558*2+6)+INDEX(Input!$1:$1048576,IX$94,$C558*2+6)</f>
        <v>1270</v>
      </c>
      <c r="IY558" s="39">
        <f>INDEX(Input!$1:$1048576,IY$93,$C558*2+6)+INDEX(Input!$1:$1048576,IY$94,$C558*2+6)</f>
        <v>2130.0624533823611</v>
      </c>
      <c r="IZ558" s="39">
        <f>INDEX(Input!$1:$1048576,IZ$93,$C558*2+6)+INDEX(Input!$1:$1048576,IZ$94,$C558*2+6)</f>
        <v>3653.7164157747857</v>
      </c>
      <c r="JA558" s="19">
        <f t="shared" si="1559"/>
        <v>2300</v>
      </c>
      <c r="JB558" s="19">
        <f t="shared" si="1560"/>
        <v>2470.6973818901242</v>
      </c>
      <c r="JC558" s="19">
        <f t="shared" si="1561"/>
        <v>4028.7164157747857</v>
      </c>
      <c r="JD558" s="19">
        <f t="shared" si="1562"/>
        <v>2486.9939125885817</v>
      </c>
      <c r="JE558" s="21"/>
      <c r="JF558" s="1">
        <f t="shared" si="1432"/>
        <v>2.9195044280595241E-2</v>
      </c>
      <c r="JG558" s="15">
        <f>INDEX(Input!$1:$1048576,JG$93,$C558*2+6)/(1+VLOOKUP(C558*1000+INDEX(Input!$1:$1048576,JG$93+1,$C558*2+6),$A:$KK,$JK$92,FALSE))</f>
        <v>821</v>
      </c>
      <c r="JH558" s="1">
        <f t="shared" si="1563"/>
        <v>0.12491774963039068</v>
      </c>
      <c r="JI558" s="1">
        <f t="shared" si="1564"/>
        <v>-3.2739719865555607E-2</v>
      </c>
      <c r="JJ558" s="1">
        <f t="shared" si="1565"/>
        <v>0</v>
      </c>
      <c r="JK558" s="1">
        <f t="shared" si="1566"/>
        <v>9.2178029764835079E-2</v>
      </c>
      <c r="JL558" s="15">
        <f t="shared" si="1567"/>
        <v>75.678162436929597</v>
      </c>
      <c r="JM558" s="15">
        <f t="shared" si="1568"/>
        <v>896.6781624369296</v>
      </c>
      <c r="JN558" s="21"/>
      <c r="JO558" s="19">
        <f>INDEX(Input!$1:$1048576,JO$93,$C558*2+6)</f>
        <v>5995.5</v>
      </c>
      <c r="JP558" s="19">
        <f>INDEX(Input!$1:$1048576,JP$93,$C558*2+6)</f>
        <v>1890.7138380411029</v>
      </c>
      <c r="JQ558" s="39">
        <f t="shared" si="1569"/>
        <v>3508.5060874114183</v>
      </c>
      <c r="JR558" s="39">
        <f t="shared" si="1570"/>
        <v>596.28007454747876</v>
      </c>
      <c r="JS558" s="39">
        <f t="shared" si="1571"/>
        <v>2.230033131531759</v>
      </c>
      <c r="JT558" s="39">
        <f t="shared" si="1572"/>
        <v>0.67775707050001366</v>
      </c>
      <c r="JU558" s="385">
        <f>(JQ558*JM558-INDEX(Input!$1:$1048576,Input!A$18,$C558*2+6)*JL558*INDEX(Input!$1:$1048576,Input!A$19,$C558*2+6))/1000000</f>
        <v>3.1460007913588521</v>
      </c>
      <c r="JV558" s="39">
        <f t="shared" si="1573"/>
        <v>-0.22402864760940222</v>
      </c>
      <c r="JW558" s="1">
        <f t="shared" si="1574"/>
        <v>-6.6476762789938512E-2</v>
      </c>
      <c r="JX558" s="19">
        <f t="shared" si="1575"/>
        <v>8955.7812805623871</v>
      </c>
      <c r="JZ558" s="341"/>
      <c r="KA558" s="342"/>
      <c r="KB558" s="469">
        <f t="shared" si="1576"/>
        <v>2.5122967434604799</v>
      </c>
      <c r="KI558" s="473">
        <f t="shared" si="1577"/>
        <v>74.07705866511111</v>
      </c>
      <c r="KJ558" s="473">
        <f t="shared" si="1578"/>
        <v>6.6224748119602168</v>
      </c>
      <c r="KK558" s="473">
        <f t="shared" si="1579"/>
        <v>-5.021371040141787</v>
      </c>
      <c r="KN558" s="544">
        <f t="shared" si="1580"/>
        <v>5002</v>
      </c>
      <c r="KO558" s="541">
        <f t="shared" si="1436"/>
        <v>8.774910855758411E-2</v>
      </c>
      <c r="KP558" s="546">
        <f t="shared" si="1437"/>
        <v>626.56625676145882</v>
      </c>
      <c r="KQ558" s="546">
        <f t="shared" si="1438"/>
        <v>568.07514686531522</v>
      </c>
      <c r="KR558" s="548">
        <f t="shared" si="1439"/>
        <v>2.530111550581343</v>
      </c>
      <c r="KS558" s="548">
        <f t="shared" si="1440"/>
        <v>2.7906211566980175</v>
      </c>
      <c r="KT558" s="473">
        <f t="shared" si="1581"/>
        <v>595.94378802984284</v>
      </c>
      <c r="KU558" s="663">
        <f t="shared" si="1462"/>
        <v>4.0552106262716556</v>
      </c>
      <c r="KV558" s="117"/>
    </row>
    <row r="559" spans="1:308" s="26" customFormat="1" ht="15" outlineLevel="1">
      <c r="A559" s="561">
        <f t="shared" si="1541"/>
        <v>5059</v>
      </c>
      <c r="B559" s="561">
        <f t="shared" si="1542"/>
        <v>59</v>
      </c>
      <c r="C559" s="561">
        <f t="shared" si="1543"/>
        <v>5</v>
      </c>
      <c r="D559" s="561" t="str">
        <f t="shared" si="1509"/>
        <v xml:space="preserve">250 CC, 0/0/0.9/3.9, -360 Lease, </v>
      </c>
      <c r="E559" s="475">
        <f>INDEX(Input!$1:$1048576,E$93,$C559*2+MIN($B559,2)+5)
+INDEX(Scenarios!E$121:E$200,MATCH($B559,Scenarios!$B$121:$B$200,0))</f>
        <v>1527.4263093788063</v>
      </c>
      <c r="F559" s="475">
        <f>INDEX(Input!$1:$1048576,F$93,$C559*2+MIN($B559,2)+5)
+INDEX(Scenarios!F$121:F$200,MATCH($B559,Scenarios!$B$121:$B$200,0))</f>
        <v>0</v>
      </c>
      <c r="G559" s="475">
        <f>INDEX(Input!$1:$1048576,G$93,$C559*2+MIN($B559,2)+5)
+INDEX(Scenarios!G$121:G$200,MATCH($B559,Scenarios!$B$121:$B$200,0))</f>
        <v>0</v>
      </c>
      <c r="H559" s="475">
        <f>INDEX(Input!$1:$1048576,H$93,$C559*2+MIN($B559,2)+5)
+INDEX(Scenarios!H$121:H$200,MATCH($B559,Scenarios!$B$121:$B$200,0))</f>
        <v>0</v>
      </c>
      <c r="I559" s="476">
        <f>INDEX(Input!$1:$1048576,I$93,$C559*2+MIN($B559,2)+5)</f>
        <v>0.7</v>
      </c>
      <c r="J559" s="476" t="str">
        <f>INDEX(Input!$1:$1048576,J$93,$C559*2+MIN($B559,2)+5)</f>
        <v>Market</v>
      </c>
      <c r="K559" s="476" t="str">
        <f>INDEX(Input!$1:$1048576,K$93,$C559*2+MIN($B559,2)+5)</f>
        <v>Market</v>
      </c>
      <c r="L559" s="476" t="str">
        <f>INDEX(Input!$1:$1048576,L$93,$C559*2+MIN($B559,2)+5)</f>
        <v>Market</v>
      </c>
      <c r="M559" s="476" t="str">
        <f>INDEX(Input!$1:$1048576,M$93,$C559*2+MIN($B559,2)+5)</f>
        <v>Market</v>
      </c>
      <c r="N559" s="476" t="str">
        <f>INDEX(Input!$1:$1048576,N$93,$C559*2+MIN($B559,2)+5)</f>
        <v>Market</v>
      </c>
      <c r="O559" s="476" t="str">
        <f>INDEX(Input!$1:$1048576,O$93,$C559*2+MIN($B559,2)+5)</f>
        <v>Market</v>
      </c>
      <c r="P559" s="476" t="str">
        <f>INDEX(Input!$1:$1048576,P$93,$C559*2+MIN($B559,2)+5)</f>
        <v>N</v>
      </c>
      <c r="Q559" s="477">
        <f>INDEX(Input!$1:$1048576,Q$93,$C559*2+MIN($B559,2)+5)
+INDEX(Scenarios!Q$121:Q$200,MATCH($B559,Scenarios!$B$121:$B$200,0))</f>
        <v>0</v>
      </c>
      <c r="R559" s="478">
        <f>IFERROR(MAX(0,INDEX(Input!$1:$1048576,R$93,$C559*2+MIN($B559,2)+5)
+INDEX(Scenarios!R$121:R$200,MATCH($B559,Scenarios!$B$121:$B$200,0)),),"Market")</f>
        <v>0</v>
      </c>
      <c r="S559" s="478">
        <f>IFERROR(MAX(0,INDEX(Input!$1:$1048576,S$93,$C559*2+MIN($B559,2)+5)
+INDEX(Scenarios!S$121:S$200,MATCH($B559,Scenarios!$B$121:$B$200,0)),),"Market")</f>
        <v>0</v>
      </c>
      <c r="T559" s="478">
        <f>IFERROR(MAX(0,INDEX(Input!$1:$1048576,T$93,$C559*2+MIN($B559,2)+5)
+INDEX(Scenarios!T$121:T$200,MATCH($B559,Scenarios!$B$121:$B$200,0)),),"Market")</f>
        <v>0</v>
      </c>
      <c r="U559" s="478">
        <f>IFERROR(MAX(0,INDEX(Input!$1:$1048576,U$93,$C559*2+MIN($B559,2)+5)
+INDEX(Scenarios!U$121:U$200,MATCH($B559,Scenarios!$B$121:$B$200,0)),),"Market")</f>
        <v>0</v>
      </c>
      <c r="V559" s="478">
        <f>IFERROR(MAX(0,INDEX(Input!$1:$1048576,V$93,$C559*2+MIN($B559,2)+5)
+INDEX(Scenarios!V$121:V$200,MATCH($B559,Scenarios!$B$121:$B$200,0)),),"Market")</f>
        <v>8.9999999999999993E-3</v>
      </c>
      <c r="W559" s="885">
        <f>IFERROR(MAX(0,INDEX(Input!$1:$1048576,W$93,$C559*2+MIN($B559,2)+5)-0%,),"Market")</f>
        <v>3.9E-2</v>
      </c>
      <c r="X559" s="476" t="str">
        <f>INDEX(Input!$1:$1048576,X$93,$C559*2+MIN($B559,2)+5)</f>
        <v>Y</v>
      </c>
      <c r="Y559" s="475">
        <f>INDEX(Input!$1:$1048576,Y$93,$C559*2+MIN($B559,2)+5)
++INDEX(Scenarios!Y$121:Y$200,MATCH($B559,Scenarios!$B$121:$B$200,0))</f>
        <v>-1077.9364173925233</v>
      </c>
      <c r="Z559" s="477">
        <f>INDEX(Input!$1:$1048576,Z$93,$C559*2+MIN($B559,2)+5)
+INDEX(Scenarios!Z$121:Z$200,MATCH($B559,Scenarios!$B$121:$B$200,0))</f>
        <v>0</v>
      </c>
      <c r="AA559" s="475">
        <f>INDEX(Input!$1:$1048576,AA$93,$C559*2+MIN($B559,2)+5)
+INDEX(Scenarios!AA$121:AA$200,MATCH($B559,Scenarios!$B$121:$B$200,0))</f>
        <v>0</v>
      </c>
      <c r="AB559" s="476">
        <f>INDEX(Input!$1:$1048576,AB$93,$C559*2+MIN($B559,2)+5)</f>
        <v>0.27</v>
      </c>
      <c r="AC559" s="475">
        <f>INDEX(Input!$1:$1048576,AC$93,$C559*2+MIN($B559,2)+5)
+INDEX(Scenarios!AC$121:AC$200,MATCH($B559,Scenarios!$B$121:$B$200,0))</f>
        <v>0</v>
      </c>
      <c r="AD559" s="476">
        <f>INDEX(Input!$1:$1048576,AD$93,$C559*2+MIN($B559,2)+5)</f>
        <v>0.27</v>
      </c>
      <c r="AE559" s="475">
        <f>INDEX(Input!$1:$1048576,AE$93,$C559*2+MIN($B559,2)+5)
+INDEX(Scenarios!AE$121:AE$200,MATCH($B559,Scenarios!$B$121:$B$200,0))</f>
        <v>0</v>
      </c>
      <c r="AF559" s="476">
        <f>INDEX(Input!$1:$1048576,AF$93,$C559*2+MIN($B559,2)+5)</f>
        <v>0.2</v>
      </c>
      <c r="AG559" s="475">
        <f>INDEX(Input!$1:$1048576,AG$93,$C559*2+MIN($B559,2)+5)
+INDEX(Scenarios!AG$121:AG$200,MATCH($B559,Scenarios!$B$121:$B$200,0))</f>
        <v>500</v>
      </c>
      <c r="AH559" s="476">
        <f>INDEX(Input!$1:$1048576,AH$93,$C559*2+MIN($B559,2)+5)</f>
        <v>1</v>
      </c>
      <c r="AI559" s="475">
        <f>INDEX(Input!$1:$1048576,AI$93,$C559*2+MIN($B559,2)+5)
+INDEX(Scenarios!AI$121:AI$200,MATCH($B559,Scenarios!$B$121:$B$200,0))</f>
        <v>0</v>
      </c>
      <c r="AJ559" s="476">
        <f>INDEX(Input!$1:$1048576,AJ$93,$C559*2+MIN($B559,2)+5)</f>
        <v>0.27</v>
      </c>
      <c r="AK559" s="150">
        <f>ROUND(INDEX(Input!$1:$1048576,AK$93,$C558*2+MIN($B559,1)+5)+(Y559-VLOOKUP($C559*1000+1,$A:$HH,Y$92,FALSE)),0)</f>
        <v>2227</v>
      </c>
      <c r="AL559" s="150">
        <f>ROUND(INDEX(Input!$1:$1048576,AL$93,$C558*2+MIN($B559,1)+5)-(Y559-VLOOKUP($C559*1000+1,$A:$HH,Y$92,FALSE))/36,0)</f>
        <v>3416</v>
      </c>
      <c r="AM559" s="32" t="str">
        <f t="shared" si="1544"/>
        <v>std/std/std/std</v>
      </c>
      <c r="AN559" s="32" t="str">
        <f t="shared" si="1545"/>
        <v>$0 + 0/0/0/0.9/3.9</v>
      </c>
      <c r="AO559" s="32" t="str">
        <f t="shared" si="1546"/>
        <v>0/0/0/0.9/3.9</v>
      </c>
      <c r="AP559" s="32" t="str">
        <f t="shared" si="1526"/>
        <v>0/0/0.9/3.9</v>
      </c>
      <c r="AQ559" s="536">
        <f t="shared" si="1525"/>
        <v>0.41187768599414737</v>
      </c>
      <c r="AR559" s="32"/>
      <c r="AS559" s="302"/>
      <c r="AT559" s="3">
        <f t="shared" si="1547"/>
        <v>59</v>
      </c>
      <c r="AU559" s="41" t="s">
        <v>121</v>
      </c>
      <c r="AV559" s="41" t="s">
        <v>116</v>
      </c>
      <c r="AW559" s="41" t="str">
        <f>INDEX(Input!$1:$1048576,AW$93,$C559*2+6)</f>
        <v>Kia</v>
      </c>
      <c r="AX559" s="41" t="str">
        <f>INDEX(Input!$1:$1048576,AX$93,$C559*2+6)</f>
        <v>Kia-LR - R2</v>
      </c>
      <c r="AY559" s="41" t="str">
        <f>IF(LEN(D559)=0,"",INDEX(Input!$1:$1048576,AY$93,$C559*2+6))</f>
        <v>Compact SUV (52)</v>
      </c>
      <c r="AZ559" s="41" t="str">
        <f>INDEX(Input!$1:$1048576,AZ$93,$C559*2+6)</f>
        <v>Kia Soul</v>
      </c>
      <c r="BA559" s="3">
        <f>INDEX(Input!$1:$1048576,BA$93,$C559*2+6)</f>
        <v>2020</v>
      </c>
      <c r="BB559" s="128">
        <f>INDEX(Input!$1:$1048576,BB$93,$C559*2+6)</f>
        <v>1</v>
      </c>
      <c r="BC559" s="128">
        <f>INDEX(Input!$1:$1048576,BC$93,$C559*2+6)</f>
        <v>0.7</v>
      </c>
      <c r="BD559" s="1">
        <f>INDEX(Input!$1:$1048576,BD$93,$C559*2+6)</f>
        <v>4.4999999999999998E-2</v>
      </c>
      <c r="BE559" s="1">
        <f>INDEX(Input!$1:$1048576,BE$93,$C559*2+6)</f>
        <v>4.4999999999999998E-2</v>
      </c>
      <c r="BF559" s="1">
        <f>INDEX(Input!$1:$1048576,BF$93,$C559*2+6)</f>
        <v>0.05</v>
      </c>
      <c r="BG559" s="1">
        <f>INDEX(Input!$1:$1048576,BG$93,$C559*2+6)</f>
        <v>5.45E-2</v>
      </c>
      <c r="BH559" s="1">
        <f>INDEX(Input!$1:$1048576,BH$93,$C559*2+6)</f>
        <v>5.45E-2</v>
      </c>
      <c r="BI559" s="1">
        <f>INDEX(Input!$1:$1048576,BI$93,$C559*2+6)</f>
        <v>0.05</v>
      </c>
      <c r="BJ559" s="1">
        <f>INDEX(Input!$1:$1048576,BJ$93,$C559*2+6)</f>
        <v>0.05</v>
      </c>
      <c r="BK559" s="1">
        <f>INDEX(Input!$1:$1048576,BK$93,$C559*2+6)</f>
        <v>0.05</v>
      </c>
      <c r="BL559" s="1">
        <f>INDEX(Input!$1:$1048576,BL$93,$C559*2+6)</f>
        <v>5.5E-2</v>
      </c>
      <c r="BM559" s="1">
        <f>INDEX(Input!$1:$1048576,BM$93,$C559*2+6)</f>
        <v>0.06</v>
      </c>
      <c r="BN559" s="1">
        <f>INDEX(Input!$1:$1048576,BN$93,$C559*2+6)</f>
        <v>4.4999999999999998E-2</v>
      </c>
      <c r="BO559" s="1">
        <f>INDEX(Input!$1:$1048576,BO$93,$C559*2+6)</f>
        <v>4.4999999999999998E-2</v>
      </c>
      <c r="BP559" s="1">
        <f>INDEX(Input!$1:$1048576,BP$93,$C559*2+6)</f>
        <v>0.05</v>
      </c>
      <c r="BQ559" s="1">
        <f>INDEX(Input!$1:$1048576,BQ$93,$C559*2+6)</f>
        <v>5.45E-2</v>
      </c>
      <c r="BR559" s="1">
        <f>INDEX(Input!$1:$1048576,BR$93,$C559*2+6)</f>
        <v>5.45E-2</v>
      </c>
      <c r="BS559" s="1">
        <f>INDEX(Input!$1:$1048576,BS$93,$C559*2+6)</f>
        <v>0.05</v>
      </c>
      <c r="BT559" s="1">
        <f>INDEX(Input!$1:$1048576,BT$93,$C559*2+6)</f>
        <v>0.05</v>
      </c>
      <c r="BU559" s="1">
        <f>INDEX(Input!$1:$1048576,BU$93,$C559*2+6)</f>
        <v>0.05</v>
      </c>
      <c r="BV559" s="1">
        <f>INDEX(Input!$1:$1048576,BV$93,$C559*2+6)</f>
        <v>5.5E-2</v>
      </c>
      <c r="BW559" s="1">
        <f>INDEX(Input!$1:$1048576,BW$93,$C559*2+6)</f>
        <v>0.06</v>
      </c>
      <c r="BX559" s="127">
        <f>INDEX(Input!$1:$1048576,BX$93,$C559*2+6)</f>
        <v>19985</v>
      </c>
      <c r="BY559" s="20">
        <f>INDEX(Input!$1:$1048576,BY$93,$C559*2+6)</f>
        <v>0.1</v>
      </c>
      <c r="BZ559" s="20">
        <f>INDEX(Input!$1:$1048576,BZ$93,$C559*2+6)</f>
        <v>0.1</v>
      </c>
      <c r="CA559" s="20">
        <f>INDEX(Input!$1:$1048576,CA$93,$C559*2+6)</f>
        <v>0.1</v>
      </c>
      <c r="CB559" s="20">
        <f>INDEX(Input!$1:$1048576,CB$93,$C559*2+6)</f>
        <v>0.1</v>
      </c>
      <c r="CC559" s="20">
        <f>INDEX(Input!$1:$1048576,CC$93,$C559*2+6)</f>
        <v>0.1</v>
      </c>
      <c r="CD559" s="384">
        <f>INDEX(Input!$1:$1048576,CD$93,$C559*2+6)</f>
        <v>0.1</v>
      </c>
      <c r="CE559" s="384">
        <f>INDEX(Input!$1:$1048576,CE$93,$C559*2+6)</f>
        <v>0.1</v>
      </c>
      <c r="CF559" s="384">
        <f>INDEX(Input!$1:$1048576,CF$93,$C559*2+6)</f>
        <v>0.1</v>
      </c>
      <c r="CG559" s="384">
        <f>INDEX(Input!$1:$1048576,CG$93,$C559*2+6)</f>
        <v>0.1</v>
      </c>
      <c r="CH559" s="384">
        <f>INDEX(Input!$1:$1048576,CH$93,$C559*2+6)</f>
        <v>0.1</v>
      </c>
      <c r="CI559" s="304">
        <f t="shared" si="1527"/>
        <v>1527.4263093788063</v>
      </c>
      <c r="CJ559" s="16" t="str">
        <f>INDEX(Input!$1:$1048576,CJ$93,$C559*2+6)</f>
        <v>N</v>
      </c>
      <c r="CK559" s="1" t="str">
        <f t="shared" si="1528"/>
        <v>Market</v>
      </c>
      <c r="CL559" s="1" t="str">
        <f t="shared" si="1529"/>
        <v>Market</v>
      </c>
      <c r="CM559" s="1" t="str">
        <f t="shared" si="1530"/>
        <v>Market</v>
      </c>
      <c r="CN559" s="1" t="str">
        <f t="shared" si="1531"/>
        <v>Market</v>
      </c>
      <c r="CO559" s="1" t="str">
        <f t="shared" si="1532"/>
        <v>Market</v>
      </c>
      <c r="CP559" s="304">
        <f t="shared" si="1533"/>
        <v>500</v>
      </c>
      <c r="CQ559" s="1">
        <f t="shared" si="1534"/>
        <v>0</v>
      </c>
      <c r="CR559" s="1">
        <f t="shared" si="1535"/>
        <v>0</v>
      </c>
      <c r="CS559" s="1">
        <f t="shared" si="1536"/>
        <v>0</v>
      </c>
      <c r="CT559" s="1">
        <f t="shared" si="1537"/>
        <v>8.9999999999999993E-3</v>
      </c>
      <c r="CU559" s="1">
        <f t="shared" si="1538"/>
        <v>3.9E-2</v>
      </c>
      <c r="CV559" s="304">
        <f t="shared" si="1539"/>
        <v>-1077.9364173925233</v>
      </c>
      <c r="CW559" s="20" t="s">
        <v>122</v>
      </c>
      <c r="CX559" s="20" t="s">
        <v>122</v>
      </c>
      <c r="CY559" s="20" t="s">
        <v>122</v>
      </c>
      <c r="CZ559" s="20" t="s">
        <v>122</v>
      </c>
      <c r="DA559" s="20" t="s">
        <v>122</v>
      </c>
      <c r="DB559" s="503">
        <f t="shared" si="1540"/>
        <v>0</v>
      </c>
      <c r="DC559" s="127">
        <v>0</v>
      </c>
      <c r="DD559" s="127">
        <v>0</v>
      </c>
      <c r="DE559" s="127">
        <v>0</v>
      </c>
      <c r="DF559" s="127">
        <v>0</v>
      </c>
      <c r="DG559" s="127">
        <v>0</v>
      </c>
      <c r="DH559" s="127">
        <v>0</v>
      </c>
      <c r="DI559" s="127">
        <v>0</v>
      </c>
      <c r="DJ559" s="127">
        <v>0</v>
      </c>
      <c r="DK559" s="127">
        <v>0</v>
      </c>
      <c r="DL559" s="127">
        <v>0</v>
      </c>
      <c r="DM559" s="304">
        <f>INDEX(Input!$1:$1048576,DM$93,$C559*2+6)</f>
        <v>21036.84210526316</v>
      </c>
      <c r="DN559" s="20">
        <v>0</v>
      </c>
      <c r="DO559" s="20">
        <v>0</v>
      </c>
      <c r="DP559" s="20">
        <v>0</v>
      </c>
      <c r="DQ559" s="20">
        <v>0</v>
      </c>
      <c r="DR559" s="20">
        <v>0</v>
      </c>
      <c r="DS559" s="20">
        <f>INDEX(Input!$1:$1048576,DS$93,$C559*2+6)</f>
        <v>0.6</v>
      </c>
      <c r="DT559" s="20">
        <f>INDEX(Input!$1:$1048576,DT$93,$C559*2+6)</f>
        <v>0.55000000000000004</v>
      </c>
      <c r="DU559" s="20">
        <f>INDEX(Input!$1:$1048576,DU$93,$C559*2+6)</f>
        <v>0.52</v>
      </c>
      <c r="DV559" s="20">
        <f>INDEX(Input!$1:$1048576,DV$93,$C559*2+6)</f>
        <v>0.5</v>
      </c>
      <c r="DW559" s="20">
        <f>INDEX(Input!$1:$1048576,DW$93,$C559*2+6)</f>
        <v>0.45</v>
      </c>
      <c r="DX559" s="20"/>
      <c r="DY559" s="7">
        <v>0.12322263461647831</v>
      </c>
      <c r="DZ559" s="7">
        <v>0</v>
      </c>
      <c r="EA559" s="7">
        <v>0.7401862190929781</v>
      </c>
      <c r="EB559" s="7">
        <v>0</v>
      </c>
      <c r="EC559" s="7">
        <v>0</v>
      </c>
      <c r="ED559" s="7">
        <v>0</v>
      </c>
      <c r="EE559" s="7">
        <v>0</v>
      </c>
      <c r="EF559" s="7">
        <v>0</v>
      </c>
      <c r="EG559" s="7">
        <v>0</v>
      </c>
      <c r="EH559" s="7">
        <v>9.4878800276564073E-3</v>
      </c>
      <c r="EI559" s="7">
        <v>2.6377888733085782E-2</v>
      </c>
      <c r="EJ559" s="7">
        <v>0.22909723195149573</v>
      </c>
      <c r="EK559" s="7">
        <v>0.63690074410444708</v>
      </c>
      <c r="EL559" s="7">
        <v>9.8136255183314508E-2</v>
      </c>
      <c r="EM559" s="7">
        <v>8.4469405700165465E-2</v>
      </c>
      <c r="EN559" s="7">
        <v>5.7485038733914459E-2</v>
      </c>
      <c r="EO559" s="7">
        <v>0.70683213115854548</v>
      </c>
      <c r="EP559" s="7">
        <v>9.4552408218679301E-2</v>
      </c>
      <c r="EQ559" s="7">
        <v>9.3098711955847999E-2</v>
      </c>
      <c r="ER559" s="7">
        <v>4.8031709933012597E-2</v>
      </c>
      <c r="ES559" s="7">
        <v>5.2121740590378163E-2</v>
      </c>
      <c r="ET559" s="7">
        <v>0.1365911462905435</v>
      </c>
      <c r="EU559" s="6">
        <v>1520</v>
      </c>
      <c r="EV559" s="6">
        <v>0</v>
      </c>
      <c r="EW559" s="6">
        <v>1520</v>
      </c>
      <c r="EX559" s="6">
        <v>0</v>
      </c>
      <c r="EY559" s="6">
        <v>2326.3701961782181</v>
      </c>
      <c r="EZ559" s="6">
        <v>-366.44990394013166</v>
      </c>
      <c r="FA559" s="6">
        <v>0</v>
      </c>
      <c r="FB559" s="6">
        <v>0</v>
      </c>
      <c r="FC559" s="6">
        <v>0</v>
      </c>
      <c r="FD559" s="6">
        <v>0</v>
      </c>
      <c r="FE559" s="6">
        <v>0</v>
      </c>
      <c r="FF559" s="6">
        <v>0</v>
      </c>
      <c r="FG559" s="6">
        <v>0</v>
      </c>
      <c r="FH559" s="6">
        <v>1172.1386476436464</v>
      </c>
      <c r="FI559" s="6">
        <v>1553.9796069512411</v>
      </c>
      <c r="FJ559" s="6">
        <v>2101.211011744741</v>
      </c>
      <c r="FK559" s="6">
        <v>2251.3078348034687</v>
      </c>
      <c r="FL559" s="6">
        <v>907.07682140966313</v>
      </c>
      <c r="FM559" s="6">
        <v>2056.3701961782181</v>
      </c>
      <c r="FN559" s="6">
        <v>0</v>
      </c>
      <c r="FO559" s="6">
        <v>0</v>
      </c>
      <c r="FP559" s="6">
        <v>0</v>
      </c>
      <c r="FQ559" s="6">
        <v>0</v>
      </c>
      <c r="FR559" s="6">
        <v>0</v>
      </c>
      <c r="FS559" s="6">
        <v>0</v>
      </c>
      <c r="FT559" s="7">
        <v>0.86340885370945641</v>
      </c>
      <c r="FU559" s="7">
        <v>8.4469405700165465E-2</v>
      </c>
      <c r="FV559" s="7">
        <v>5.2121740590378163E-2</v>
      </c>
      <c r="FW559" s="6">
        <v>1520</v>
      </c>
      <c r="FX559" s="6">
        <v>2326.3701961782181</v>
      </c>
      <c r="FY559" s="6">
        <v>-366.44990394013166</v>
      </c>
      <c r="FZ559" s="6">
        <v>1758.1538569113241</v>
      </c>
      <c r="GA559" s="6">
        <v>1489.7885587155888</v>
      </c>
      <c r="GB559" s="6">
        <v>18495.211441284409</v>
      </c>
      <c r="GC559" s="7">
        <v>3.064145122680037E-2</v>
      </c>
      <c r="GD559" s="7">
        <v>3.0149748362766741E-2</v>
      </c>
      <c r="GE559" s="7"/>
      <c r="GF559" s="7"/>
      <c r="GG559" s="7">
        <v>-1.6046983558127441E-2</v>
      </c>
      <c r="GH559" s="42">
        <v>1.1950090736965235</v>
      </c>
      <c r="GI559" s="6">
        <v>18213.510947015428</v>
      </c>
      <c r="GJ559" s="14">
        <v>0.50394797582841744</v>
      </c>
      <c r="GK559" s="14">
        <v>0.50887573065309755</v>
      </c>
      <c r="GL559" s="14">
        <v>0.49605202417158301</v>
      </c>
      <c r="GM559" s="14">
        <v>0.49112426934690251</v>
      </c>
      <c r="GO559" s="5">
        <v>343.14810671672558</v>
      </c>
      <c r="GP559" s="5">
        <v>314.14940645767444</v>
      </c>
      <c r="GQ559" s="5">
        <v>535.04305713031317</v>
      </c>
      <c r="GR559" s="5">
        <v>410.15490233172511</v>
      </c>
      <c r="GS559" s="5">
        <v>339.42744393800166</v>
      </c>
      <c r="GT559" s="5">
        <v>293.4407446948278</v>
      </c>
      <c r="GU559" s="5">
        <v>258.04012322764959</v>
      </c>
      <c r="GV559" s="39" t="s">
        <v>392</v>
      </c>
      <c r="GW559" s="5">
        <v>492.125</v>
      </c>
      <c r="GX559" s="5">
        <v>369.09375</v>
      </c>
      <c r="GY559" s="5">
        <v>295.27499999999998</v>
      </c>
      <c r="GZ559" s="5">
        <v>252.85821728143046</v>
      </c>
      <c r="HA559" s="5">
        <v>241.34874471337258</v>
      </c>
      <c r="HB559" s="39">
        <v>266.78247073149686</v>
      </c>
      <c r="HC559" s="5">
        <v>303.31655829738077</v>
      </c>
      <c r="HD559" s="5">
        <v>250.74799238008356</v>
      </c>
      <c r="HE559" s="5">
        <v>251.12245558578954</v>
      </c>
      <c r="HF559" s="5">
        <v>229.38290951107166</v>
      </c>
      <c r="HG559" s="5">
        <v>217.65500473779989</v>
      </c>
      <c r="HH559" s="39">
        <v>250.22673034672857</v>
      </c>
      <c r="HI559" s="16"/>
      <c r="HJ559" s="19" t="str">
        <f t="shared" ref="HJ559" si="1589">HJ558</f>
        <v>On</v>
      </c>
      <c r="HK559" s="1" t="str">
        <f t="shared" si="1549"/>
        <v>On</v>
      </c>
      <c r="HL559" s="16"/>
      <c r="HM559" s="639">
        <f t="shared" si="1413"/>
        <v>2.4909940070666322E-2</v>
      </c>
      <c r="HN559" s="639">
        <f t="shared" si="1414"/>
        <v>2.2052381276269151E-3</v>
      </c>
      <c r="HO559" s="639">
        <f t="shared" si="1415"/>
        <v>2.079866082302006E-3</v>
      </c>
      <c r="HP559" s="644">
        <f>(FT559*$GD559-HM559)/$JF559*INDEX(Input!$1:$1048576,$JG$93,$C559*2+6)</f>
        <v>31.541301499550027</v>
      </c>
      <c r="HQ559" s="644">
        <f>(FU559*$GD559-HN559)/$JF559*INDEX(Input!$1:$1048576,$JG$93,$C559*2+6)</f>
        <v>9.6032022881728079</v>
      </c>
      <c r="HR559" s="644">
        <f>(FV559*$GD559-HO559)/$JF559*INDEX(Input!$1:$1048576,$JG$93,$C559*2+6)</f>
        <v>-14.29706886248216</v>
      </c>
      <c r="HS559" s="644">
        <f t="shared" si="1550"/>
        <v>-13.638334134158498</v>
      </c>
      <c r="HT559" s="644">
        <f t="shared" si="1417"/>
        <v>18.964490468820333</v>
      </c>
      <c r="HU559" s="644">
        <f t="shared" si="1418"/>
        <v>-1.214431300997235</v>
      </c>
      <c r="HV559" s="648">
        <f t="shared" si="1419"/>
        <v>0</v>
      </c>
      <c r="HW559" s="648">
        <f t="shared" si="1420"/>
        <v>0</v>
      </c>
      <c r="HX559" s="648">
        <f t="shared" si="1421"/>
        <v>0</v>
      </c>
      <c r="HY559" s="644">
        <f>INDEX(Input!$1:$1048576,HY$93,$C559*2+6)*INDEX(Input!$1:$1048576,$JG$93,$C559*2+6)</f>
        <v>333.00000000000006</v>
      </c>
      <c r="HZ559" s="644">
        <f>INDEX(Input!$1:$1048576,HZ$93,$C559*2+6)*INDEX(Input!$1:$1048576,$JG$93,$C559*2+6)</f>
        <v>429</v>
      </c>
      <c r="IA559" s="644">
        <f>INDEX(Input!$1:$1048576,IA$93,$C559*2+6)*INDEX(Input!$1:$1048576,$JG$93,$C559*2+6)</f>
        <v>59</v>
      </c>
      <c r="IB559" s="644">
        <f t="shared" si="1551"/>
        <v>350.90296736539159</v>
      </c>
      <c r="IC559" s="644">
        <f t="shared" si="1552"/>
        <v>457.5676927569931</v>
      </c>
      <c r="ID559" s="644">
        <f>IF(AND(INDEX(Input!$1:$1048576,IA$93,$C559*2+7)="TOS",Y559&lt;=INDEX(Y:Y,MATCH(C559*1000+2,A:A))),0,1)*MAX(IA559+HR559+HU559+HX559,0%)</f>
        <v>43.488499836520603</v>
      </c>
      <c r="IE559" s="128">
        <f t="shared" si="1553"/>
        <v>0.41187768599414737</v>
      </c>
      <c r="IF559" s="128">
        <f t="shared" si="1554"/>
        <v>0.53707702700099391</v>
      </c>
      <c r="IG559" s="128">
        <f t="shared" si="1555"/>
        <v>5.104528700485865E-2</v>
      </c>
      <c r="IH559" s="21"/>
      <c r="II559" s="19">
        <f t="shared" si="1424"/>
        <v>1240</v>
      </c>
      <c r="IJ559" s="19">
        <f t="shared" si="1425"/>
        <v>1985.7442651839444</v>
      </c>
      <c r="IK559" s="19">
        <f t="shared" si="1426"/>
        <v>-21.44990394013189</v>
      </c>
      <c r="IL559" s="19">
        <f t="shared" si="1556"/>
        <v>280</v>
      </c>
      <c r="IM559" s="19">
        <f t="shared" si="1557"/>
        <v>340.62593099427363</v>
      </c>
      <c r="IN559" s="19">
        <f t="shared" si="1558"/>
        <v>-344.99999999999977</v>
      </c>
      <c r="IO559" s="39">
        <f t="shared" si="1429"/>
        <v>0</v>
      </c>
      <c r="IP559" s="39">
        <f t="shared" si="1430"/>
        <v>0</v>
      </c>
      <c r="IQ559" s="39">
        <f t="shared" si="1431"/>
        <v>0</v>
      </c>
      <c r="IR559" s="39">
        <v>0</v>
      </c>
      <c r="IS559" s="39">
        <v>0</v>
      </c>
      <c r="IT559" s="39">
        <v>0</v>
      </c>
      <c r="IU559" s="39">
        <v>0</v>
      </c>
      <c r="IV559" s="39">
        <v>0</v>
      </c>
      <c r="IW559" s="39">
        <v>0</v>
      </c>
      <c r="IX559" s="39">
        <f>INDEX(Input!$1:$1048576,IX$93,$C559*2+6)+INDEX(Input!$1:$1048576,IX$94,$C559*2+6)</f>
        <v>1270</v>
      </c>
      <c r="IY559" s="39">
        <f>INDEX(Input!$1:$1048576,IY$93,$C559*2+6)+INDEX(Input!$1:$1048576,IY$94,$C559*2+6)</f>
        <v>2130.0624533823611</v>
      </c>
      <c r="IZ559" s="39">
        <f>INDEX(Input!$1:$1048576,IZ$93,$C559*2+6)+INDEX(Input!$1:$1048576,IZ$94,$C559*2+6)</f>
        <v>3653.7164157747857</v>
      </c>
      <c r="JA559" s="19">
        <f t="shared" si="1559"/>
        <v>1550</v>
      </c>
      <c r="JB559" s="19">
        <f t="shared" si="1560"/>
        <v>2470.6883843766345</v>
      </c>
      <c r="JC559" s="19">
        <f t="shared" si="1561"/>
        <v>3308.7164157747857</v>
      </c>
      <c r="JD559" s="19">
        <f t="shared" si="1562"/>
        <v>2134.254764478731</v>
      </c>
      <c r="JE559" s="21"/>
      <c r="JF559" s="1">
        <f t="shared" si="1432"/>
        <v>2.9195044280595241E-2</v>
      </c>
      <c r="JG559" s="15">
        <f>INDEX(Input!$1:$1048576,JG$93,$C559*2+6)/(1+VLOOKUP(C559*1000+INDEX(Input!$1:$1048576,JG$93+1,$C559*2+6),$A:$KK,$JK$92,FALSE))</f>
        <v>821</v>
      </c>
      <c r="JH559" s="1">
        <f t="shared" si="1563"/>
        <v>3.2700895158636632E-2</v>
      </c>
      <c r="JI559" s="1">
        <f t="shared" si="1564"/>
        <v>5.0081912712114495E-3</v>
      </c>
      <c r="JJ559" s="1">
        <f t="shared" si="1565"/>
        <v>0</v>
      </c>
      <c r="JK559" s="1">
        <f t="shared" si="1566"/>
        <v>3.7709086429848084E-2</v>
      </c>
      <c r="JL559" s="15">
        <f t="shared" si="1567"/>
        <v>30.959159958905275</v>
      </c>
      <c r="JM559" s="15">
        <f t="shared" si="1568"/>
        <v>851.95915995890527</v>
      </c>
      <c r="JN559" s="21"/>
      <c r="JO559" s="19">
        <f>INDEX(Input!$1:$1048576,JO$93,$C559*2+6)</f>
        <v>5995.5</v>
      </c>
      <c r="JP559" s="19">
        <f>INDEX(Input!$1:$1048576,JP$93,$C559*2+6)</f>
        <v>1890.7138380411029</v>
      </c>
      <c r="JQ559" s="39">
        <f t="shared" si="1569"/>
        <v>3861.245235521269</v>
      </c>
      <c r="JR559" s="39">
        <f t="shared" si="1570"/>
        <v>243.54092643762806</v>
      </c>
      <c r="JS559" s="39">
        <f t="shared" si="1571"/>
        <v>1.818297896283591</v>
      </c>
      <c r="JT559" s="39">
        <f t="shared" si="1572"/>
        <v>0.26602183525184542</v>
      </c>
      <c r="JU559" s="385">
        <f>(JQ559*JM559-INDEX(Input!$1:$1048576,Input!A$18,$C559*2+6)*JL559*INDEX(Input!$1:$1048576,Input!A$19,$C559*2+6))/1000000</f>
        <v>3.2896232472500255</v>
      </c>
      <c r="JV559" s="39">
        <f t="shared" si="1573"/>
        <v>-8.0406191718228825E-2</v>
      </c>
      <c r="JW559" s="1">
        <f t="shared" si="1574"/>
        <v>-2.3859195646328078E-2</v>
      </c>
      <c r="JX559" s="19">
        <f t="shared" si="1575"/>
        <v>8592.6696849965829</v>
      </c>
      <c r="JZ559" s="341"/>
      <c r="KA559" s="342"/>
      <c r="KB559" s="469">
        <f t="shared" si="1576"/>
        <v>2.5122967434604799</v>
      </c>
      <c r="KI559" s="473">
        <f t="shared" si="1577"/>
        <v>17.902967365391476</v>
      </c>
      <c r="KJ559" s="473">
        <f t="shared" si="1578"/>
        <v>28.56769275699304</v>
      </c>
      <c r="KK559" s="473">
        <f t="shared" si="1579"/>
        <v>-15.511500163479404</v>
      </c>
      <c r="KN559" s="544">
        <f t="shared" si="1580"/>
        <v>5002</v>
      </c>
      <c r="KO559" s="541">
        <f t="shared" si="1436"/>
        <v>3.3501043734797786E-2</v>
      </c>
      <c r="KP559" s="546">
        <f t="shared" si="1437"/>
        <v>251.42237861419795</v>
      </c>
      <c r="KQ559" s="546">
        <f t="shared" si="1438"/>
        <v>215.33599875546452</v>
      </c>
      <c r="KR559" s="548">
        <f t="shared" si="1439"/>
        <v>2.4072343157433509</v>
      </c>
      <c r="KS559" s="548">
        <f t="shared" si="1440"/>
        <v>2.8106428142245572</v>
      </c>
      <c r="KT559" s="473">
        <f t="shared" si="1581"/>
        <v>595.94378802984284</v>
      </c>
      <c r="KU559" s="663">
        <f t="shared" si="1462"/>
        <v>4.0227681956584895</v>
      </c>
      <c r="KV559" s="117"/>
    </row>
    <row r="560" spans="1:308" s="26" customFormat="1" ht="15" outlineLevel="1">
      <c r="A560" s="561">
        <f t="shared" si="1541"/>
        <v>5060</v>
      </c>
      <c r="B560" s="561">
        <f t="shared" si="1542"/>
        <v>60</v>
      </c>
      <c r="C560" s="561">
        <f t="shared" si="1543"/>
        <v>5</v>
      </c>
      <c r="D560" s="561" t="str">
        <f t="shared" si="1509"/>
        <v xml:space="preserve">500 CC, 0/0/0.9/3.9, -360 Lease, </v>
      </c>
      <c r="E560" s="475">
        <f>INDEX(Input!$1:$1048576,E$93,$C560*2+MIN($B560,2)+5)
+INDEX(Scenarios!E$121:E$200,MATCH($B560,Scenarios!$B$121:$B$200,0))</f>
        <v>1777.4263093788063</v>
      </c>
      <c r="F560" s="475">
        <f>INDEX(Input!$1:$1048576,F$93,$C560*2+MIN($B560,2)+5)
+INDEX(Scenarios!F$121:F$200,MATCH($B560,Scenarios!$B$121:$B$200,0))</f>
        <v>0</v>
      </c>
      <c r="G560" s="475">
        <f>INDEX(Input!$1:$1048576,G$93,$C560*2+MIN($B560,2)+5)
+INDEX(Scenarios!G$121:G$200,MATCH($B560,Scenarios!$B$121:$B$200,0))</f>
        <v>0</v>
      </c>
      <c r="H560" s="475">
        <f>INDEX(Input!$1:$1048576,H$93,$C560*2+MIN($B560,2)+5)
+INDEX(Scenarios!H$121:H$200,MATCH($B560,Scenarios!$B$121:$B$200,0))</f>
        <v>0</v>
      </c>
      <c r="I560" s="476">
        <f>INDEX(Input!$1:$1048576,I$93,$C560*2+MIN($B560,2)+5)</f>
        <v>0.7</v>
      </c>
      <c r="J560" s="476" t="str">
        <f>INDEX(Input!$1:$1048576,J$93,$C560*2+MIN($B560,2)+5)</f>
        <v>Market</v>
      </c>
      <c r="K560" s="476" t="str">
        <f>INDEX(Input!$1:$1048576,K$93,$C560*2+MIN($B560,2)+5)</f>
        <v>Market</v>
      </c>
      <c r="L560" s="476" t="str">
        <f>INDEX(Input!$1:$1048576,L$93,$C560*2+MIN($B560,2)+5)</f>
        <v>Market</v>
      </c>
      <c r="M560" s="476" t="str">
        <f>INDEX(Input!$1:$1048576,M$93,$C560*2+MIN($B560,2)+5)</f>
        <v>Market</v>
      </c>
      <c r="N560" s="476" t="str">
        <f>INDEX(Input!$1:$1048576,N$93,$C560*2+MIN($B560,2)+5)</f>
        <v>Market</v>
      </c>
      <c r="O560" s="476" t="str">
        <f>INDEX(Input!$1:$1048576,O$93,$C560*2+MIN($B560,2)+5)</f>
        <v>Market</v>
      </c>
      <c r="P560" s="476" t="str">
        <f>INDEX(Input!$1:$1048576,P$93,$C560*2+MIN($B560,2)+5)</f>
        <v>N</v>
      </c>
      <c r="Q560" s="477">
        <f>INDEX(Input!$1:$1048576,Q$93,$C560*2+MIN($B560,2)+5)
+INDEX(Scenarios!Q$121:Q$200,MATCH($B560,Scenarios!$B$121:$B$200,0))</f>
        <v>0</v>
      </c>
      <c r="R560" s="478">
        <f>IFERROR(MAX(0,INDEX(Input!$1:$1048576,R$93,$C560*2+MIN($B560,2)+5)
+INDEX(Scenarios!R$121:R$200,MATCH($B560,Scenarios!$B$121:$B$200,0)),),"Market")</f>
        <v>0</v>
      </c>
      <c r="S560" s="478">
        <f>IFERROR(MAX(0,INDEX(Input!$1:$1048576,S$93,$C560*2+MIN($B560,2)+5)
+INDEX(Scenarios!S$121:S$200,MATCH($B560,Scenarios!$B$121:$B$200,0)),),"Market")</f>
        <v>0</v>
      </c>
      <c r="T560" s="478">
        <f>IFERROR(MAX(0,INDEX(Input!$1:$1048576,T$93,$C560*2+MIN($B560,2)+5)
+INDEX(Scenarios!T$121:T$200,MATCH($B560,Scenarios!$B$121:$B$200,0)),),"Market")</f>
        <v>0</v>
      </c>
      <c r="U560" s="478">
        <f>IFERROR(MAX(0,INDEX(Input!$1:$1048576,U$93,$C560*2+MIN($B560,2)+5)
+INDEX(Scenarios!U$121:U$200,MATCH($B560,Scenarios!$B$121:$B$200,0)),),"Market")</f>
        <v>0</v>
      </c>
      <c r="V560" s="478">
        <f>IFERROR(MAX(0,INDEX(Input!$1:$1048576,V$93,$C560*2+MIN($B560,2)+5)
+INDEX(Scenarios!V$121:V$200,MATCH($B560,Scenarios!$B$121:$B$200,0)),),"Market")</f>
        <v>8.9999999999999993E-3</v>
      </c>
      <c r="W560" s="885">
        <f>IFERROR(MAX(0,INDEX(Input!$1:$1048576,W$93,$C560*2+MIN($B560,2)+5)-0%,),"Market")</f>
        <v>3.9E-2</v>
      </c>
      <c r="X560" s="476" t="str">
        <f>INDEX(Input!$1:$1048576,X$93,$C560*2+MIN($B560,2)+5)</f>
        <v>Y</v>
      </c>
      <c r="Y560" s="475">
        <f>INDEX(Input!$1:$1048576,Y$93,$C560*2+MIN($B560,2)+5)
++INDEX(Scenarios!Y$121:Y$200,MATCH($B560,Scenarios!$B$121:$B$200,0))</f>
        <v>-1077.9364173925233</v>
      </c>
      <c r="Z560" s="477">
        <f>INDEX(Input!$1:$1048576,Z$93,$C560*2+MIN($B560,2)+5)
+INDEX(Scenarios!Z$121:Z$200,MATCH($B560,Scenarios!$B$121:$B$200,0))</f>
        <v>0</v>
      </c>
      <c r="AA560" s="475">
        <f>INDEX(Input!$1:$1048576,AA$93,$C560*2+MIN($B560,2)+5)
+INDEX(Scenarios!AA$121:AA$200,MATCH($B560,Scenarios!$B$121:$B$200,0))</f>
        <v>0</v>
      </c>
      <c r="AB560" s="476">
        <f>INDEX(Input!$1:$1048576,AB$93,$C560*2+MIN($B560,2)+5)</f>
        <v>0.27</v>
      </c>
      <c r="AC560" s="475">
        <f>INDEX(Input!$1:$1048576,AC$93,$C560*2+MIN($B560,2)+5)
+INDEX(Scenarios!AC$121:AC$200,MATCH($B560,Scenarios!$B$121:$B$200,0))</f>
        <v>0</v>
      </c>
      <c r="AD560" s="476">
        <f>INDEX(Input!$1:$1048576,AD$93,$C560*2+MIN($B560,2)+5)</f>
        <v>0.27</v>
      </c>
      <c r="AE560" s="475">
        <f>INDEX(Input!$1:$1048576,AE$93,$C560*2+MIN($B560,2)+5)
+INDEX(Scenarios!AE$121:AE$200,MATCH($B560,Scenarios!$B$121:$B$200,0))</f>
        <v>0</v>
      </c>
      <c r="AF560" s="476">
        <f>INDEX(Input!$1:$1048576,AF$93,$C560*2+MIN($B560,2)+5)</f>
        <v>0.2</v>
      </c>
      <c r="AG560" s="475">
        <f>INDEX(Input!$1:$1048576,AG$93,$C560*2+MIN($B560,2)+5)
+INDEX(Scenarios!AG$121:AG$200,MATCH($B560,Scenarios!$B$121:$B$200,0))</f>
        <v>500</v>
      </c>
      <c r="AH560" s="476">
        <f>INDEX(Input!$1:$1048576,AH$93,$C560*2+MIN($B560,2)+5)</f>
        <v>1</v>
      </c>
      <c r="AI560" s="475">
        <f>INDEX(Input!$1:$1048576,AI$93,$C560*2+MIN($B560,2)+5)
+INDEX(Scenarios!AI$121:AI$200,MATCH($B560,Scenarios!$B$121:$B$200,0))</f>
        <v>0</v>
      </c>
      <c r="AJ560" s="476">
        <f>INDEX(Input!$1:$1048576,AJ$93,$C560*2+MIN($B560,2)+5)</f>
        <v>0.27</v>
      </c>
      <c r="AK560" s="150">
        <f>ROUND(INDEX(Input!$1:$1048576,AK$93,$C559*2+MIN($B560,1)+5)+(Y560-VLOOKUP($C560*1000+1,$A:$HH,Y$92,FALSE)),0)</f>
        <v>2227</v>
      </c>
      <c r="AL560" s="150">
        <f>ROUND(INDEX(Input!$1:$1048576,AL$93,$C559*2+MIN($B560,1)+5)-(Y560-VLOOKUP($C560*1000+1,$A:$HH,Y$92,FALSE))/36,0)</f>
        <v>3416</v>
      </c>
      <c r="AM560" s="32" t="str">
        <f t="shared" si="1544"/>
        <v>std/std/std/std</v>
      </c>
      <c r="AN560" s="32" t="str">
        <f t="shared" si="1545"/>
        <v>$0 + 0/0/0/0.9/3.9</v>
      </c>
      <c r="AO560" s="32" t="str">
        <f t="shared" si="1546"/>
        <v>0/0/0/0.9/3.9</v>
      </c>
      <c r="AP560" s="32" t="str">
        <f t="shared" si="1526"/>
        <v>0/0/0.9/3.9</v>
      </c>
      <c r="AQ560" s="536">
        <f t="shared" si="1525"/>
        <v>0.43177088996030549</v>
      </c>
      <c r="AR560" s="32"/>
      <c r="AS560" s="302"/>
      <c r="AT560" s="3">
        <f t="shared" si="1547"/>
        <v>60</v>
      </c>
      <c r="AU560" s="41" t="s">
        <v>121</v>
      </c>
      <c r="AV560" s="41" t="s">
        <v>116</v>
      </c>
      <c r="AW560" s="41" t="str">
        <f>INDEX(Input!$1:$1048576,AW$93,$C560*2+6)</f>
        <v>Kia</v>
      </c>
      <c r="AX560" s="41" t="str">
        <f>INDEX(Input!$1:$1048576,AX$93,$C560*2+6)</f>
        <v>Kia-LR - R2</v>
      </c>
      <c r="AY560" s="41" t="str">
        <f>IF(LEN(D560)=0,"",INDEX(Input!$1:$1048576,AY$93,$C560*2+6))</f>
        <v>Compact SUV (52)</v>
      </c>
      <c r="AZ560" s="41" t="str">
        <f>INDEX(Input!$1:$1048576,AZ$93,$C560*2+6)</f>
        <v>Kia Soul</v>
      </c>
      <c r="BA560" s="3">
        <f>INDEX(Input!$1:$1048576,BA$93,$C560*2+6)</f>
        <v>2020</v>
      </c>
      <c r="BB560" s="128">
        <f>INDEX(Input!$1:$1048576,BB$93,$C560*2+6)</f>
        <v>1</v>
      </c>
      <c r="BC560" s="128">
        <f>INDEX(Input!$1:$1048576,BC$93,$C560*2+6)</f>
        <v>0.7</v>
      </c>
      <c r="BD560" s="1">
        <f>INDEX(Input!$1:$1048576,BD$93,$C560*2+6)</f>
        <v>4.4999999999999998E-2</v>
      </c>
      <c r="BE560" s="1">
        <f>INDEX(Input!$1:$1048576,BE$93,$C560*2+6)</f>
        <v>4.4999999999999998E-2</v>
      </c>
      <c r="BF560" s="1">
        <f>INDEX(Input!$1:$1048576,BF$93,$C560*2+6)</f>
        <v>0.05</v>
      </c>
      <c r="BG560" s="1">
        <f>INDEX(Input!$1:$1048576,BG$93,$C560*2+6)</f>
        <v>5.45E-2</v>
      </c>
      <c r="BH560" s="1">
        <f>INDEX(Input!$1:$1048576,BH$93,$C560*2+6)</f>
        <v>5.45E-2</v>
      </c>
      <c r="BI560" s="1">
        <f>INDEX(Input!$1:$1048576,BI$93,$C560*2+6)</f>
        <v>0.05</v>
      </c>
      <c r="BJ560" s="1">
        <f>INDEX(Input!$1:$1048576,BJ$93,$C560*2+6)</f>
        <v>0.05</v>
      </c>
      <c r="BK560" s="1">
        <f>INDEX(Input!$1:$1048576,BK$93,$C560*2+6)</f>
        <v>0.05</v>
      </c>
      <c r="BL560" s="1">
        <f>INDEX(Input!$1:$1048576,BL$93,$C560*2+6)</f>
        <v>5.5E-2</v>
      </c>
      <c r="BM560" s="1">
        <f>INDEX(Input!$1:$1048576,BM$93,$C560*2+6)</f>
        <v>0.06</v>
      </c>
      <c r="BN560" s="1">
        <f>INDEX(Input!$1:$1048576,BN$93,$C560*2+6)</f>
        <v>4.4999999999999998E-2</v>
      </c>
      <c r="BO560" s="1">
        <f>INDEX(Input!$1:$1048576,BO$93,$C560*2+6)</f>
        <v>4.4999999999999998E-2</v>
      </c>
      <c r="BP560" s="1">
        <f>INDEX(Input!$1:$1048576,BP$93,$C560*2+6)</f>
        <v>0.05</v>
      </c>
      <c r="BQ560" s="1">
        <f>INDEX(Input!$1:$1048576,BQ$93,$C560*2+6)</f>
        <v>5.45E-2</v>
      </c>
      <c r="BR560" s="1">
        <f>INDEX(Input!$1:$1048576,BR$93,$C560*2+6)</f>
        <v>5.45E-2</v>
      </c>
      <c r="BS560" s="1">
        <f>INDEX(Input!$1:$1048576,BS$93,$C560*2+6)</f>
        <v>0.05</v>
      </c>
      <c r="BT560" s="1">
        <f>INDEX(Input!$1:$1048576,BT$93,$C560*2+6)</f>
        <v>0.05</v>
      </c>
      <c r="BU560" s="1">
        <f>INDEX(Input!$1:$1048576,BU$93,$C560*2+6)</f>
        <v>0.05</v>
      </c>
      <c r="BV560" s="1">
        <f>INDEX(Input!$1:$1048576,BV$93,$C560*2+6)</f>
        <v>5.5E-2</v>
      </c>
      <c r="BW560" s="1">
        <f>INDEX(Input!$1:$1048576,BW$93,$C560*2+6)</f>
        <v>0.06</v>
      </c>
      <c r="BX560" s="127">
        <f>INDEX(Input!$1:$1048576,BX$93,$C560*2+6)</f>
        <v>19985</v>
      </c>
      <c r="BY560" s="20">
        <f>INDEX(Input!$1:$1048576,BY$93,$C560*2+6)</f>
        <v>0.1</v>
      </c>
      <c r="BZ560" s="20">
        <f>INDEX(Input!$1:$1048576,BZ$93,$C560*2+6)</f>
        <v>0.1</v>
      </c>
      <c r="CA560" s="20">
        <f>INDEX(Input!$1:$1048576,CA$93,$C560*2+6)</f>
        <v>0.1</v>
      </c>
      <c r="CB560" s="20">
        <f>INDEX(Input!$1:$1048576,CB$93,$C560*2+6)</f>
        <v>0.1</v>
      </c>
      <c r="CC560" s="20">
        <f>INDEX(Input!$1:$1048576,CC$93,$C560*2+6)</f>
        <v>0.1</v>
      </c>
      <c r="CD560" s="384">
        <f>INDEX(Input!$1:$1048576,CD$93,$C560*2+6)</f>
        <v>0.1</v>
      </c>
      <c r="CE560" s="384">
        <f>INDEX(Input!$1:$1048576,CE$93,$C560*2+6)</f>
        <v>0.1</v>
      </c>
      <c r="CF560" s="384">
        <f>INDEX(Input!$1:$1048576,CF$93,$C560*2+6)</f>
        <v>0.1</v>
      </c>
      <c r="CG560" s="384">
        <f>INDEX(Input!$1:$1048576,CG$93,$C560*2+6)</f>
        <v>0.1</v>
      </c>
      <c r="CH560" s="384">
        <f>INDEX(Input!$1:$1048576,CH$93,$C560*2+6)</f>
        <v>0.1</v>
      </c>
      <c r="CI560" s="304">
        <f t="shared" si="1527"/>
        <v>1777.4263093788063</v>
      </c>
      <c r="CJ560" s="16" t="str">
        <f>INDEX(Input!$1:$1048576,CJ$93,$C560*2+6)</f>
        <v>N</v>
      </c>
      <c r="CK560" s="1" t="str">
        <f t="shared" si="1528"/>
        <v>Market</v>
      </c>
      <c r="CL560" s="1" t="str">
        <f t="shared" si="1529"/>
        <v>Market</v>
      </c>
      <c r="CM560" s="1" t="str">
        <f t="shared" si="1530"/>
        <v>Market</v>
      </c>
      <c r="CN560" s="1" t="str">
        <f t="shared" si="1531"/>
        <v>Market</v>
      </c>
      <c r="CO560" s="1" t="str">
        <f t="shared" si="1532"/>
        <v>Market</v>
      </c>
      <c r="CP560" s="304">
        <f t="shared" si="1533"/>
        <v>500</v>
      </c>
      <c r="CQ560" s="1">
        <f t="shared" si="1534"/>
        <v>0</v>
      </c>
      <c r="CR560" s="1">
        <f t="shared" si="1535"/>
        <v>0</v>
      </c>
      <c r="CS560" s="1">
        <f t="shared" si="1536"/>
        <v>0</v>
      </c>
      <c r="CT560" s="1">
        <f t="shared" si="1537"/>
        <v>8.9999999999999993E-3</v>
      </c>
      <c r="CU560" s="1">
        <f t="shared" si="1538"/>
        <v>3.9E-2</v>
      </c>
      <c r="CV560" s="304">
        <f t="shared" si="1539"/>
        <v>-1077.9364173925233</v>
      </c>
      <c r="CW560" s="20" t="s">
        <v>122</v>
      </c>
      <c r="CX560" s="20" t="s">
        <v>122</v>
      </c>
      <c r="CY560" s="20" t="s">
        <v>122</v>
      </c>
      <c r="CZ560" s="20" t="s">
        <v>122</v>
      </c>
      <c r="DA560" s="20" t="s">
        <v>122</v>
      </c>
      <c r="DB560" s="503">
        <f t="shared" si="1540"/>
        <v>0</v>
      </c>
      <c r="DC560" s="127">
        <v>0</v>
      </c>
      <c r="DD560" s="127">
        <v>0</v>
      </c>
      <c r="DE560" s="127">
        <v>0</v>
      </c>
      <c r="DF560" s="127">
        <v>0</v>
      </c>
      <c r="DG560" s="127">
        <v>0</v>
      </c>
      <c r="DH560" s="127">
        <v>0</v>
      </c>
      <c r="DI560" s="127">
        <v>0</v>
      </c>
      <c r="DJ560" s="127">
        <v>0</v>
      </c>
      <c r="DK560" s="127">
        <v>0</v>
      </c>
      <c r="DL560" s="127">
        <v>0</v>
      </c>
      <c r="DM560" s="304">
        <f>INDEX(Input!$1:$1048576,DM$93,$C560*2+6)</f>
        <v>21036.84210526316</v>
      </c>
      <c r="DN560" s="20">
        <v>0</v>
      </c>
      <c r="DO560" s="20">
        <v>0</v>
      </c>
      <c r="DP560" s="20">
        <v>0</v>
      </c>
      <c r="DQ560" s="20">
        <v>0</v>
      </c>
      <c r="DR560" s="20">
        <v>0</v>
      </c>
      <c r="DS560" s="20">
        <f>INDEX(Input!$1:$1048576,DS$93,$C560*2+6)</f>
        <v>0.6</v>
      </c>
      <c r="DT560" s="20">
        <f>INDEX(Input!$1:$1048576,DT$93,$C560*2+6)</f>
        <v>0.55000000000000004</v>
      </c>
      <c r="DU560" s="20">
        <f>INDEX(Input!$1:$1048576,DU$93,$C560*2+6)</f>
        <v>0.52</v>
      </c>
      <c r="DV560" s="20">
        <f>INDEX(Input!$1:$1048576,DV$93,$C560*2+6)</f>
        <v>0.5</v>
      </c>
      <c r="DW560" s="20">
        <f>INDEX(Input!$1:$1048576,DW$93,$C560*2+6)</f>
        <v>0.45</v>
      </c>
      <c r="DX560" s="20"/>
      <c r="DY560" s="7">
        <v>0.12835051087474952</v>
      </c>
      <c r="DZ560" s="7">
        <v>0</v>
      </c>
      <c r="EA560" s="7">
        <v>0.75088041265092054</v>
      </c>
      <c r="EB560" s="7">
        <v>0</v>
      </c>
      <c r="EC560" s="7">
        <v>0</v>
      </c>
      <c r="ED560" s="7">
        <v>0</v>
      </c>
      <c r="EE560" s="7">
        <v>0</v>
      </c>
      <c r="EF560" s="7">
        <v>0</v>
      </c>
      <c r="EG560" s="7">
        <v>0</v>
      </c>
      <c r="EH560" s="7">
        <v>9.4885605041999162E-3</v>
      </c>
      <c r="EI560" s="7">
        <v>2.6381249935306932E-2</v>
      </c>
      <c r="EJ560" s="7">
        <v>0.2291237197883739</v>
      </c>
      <c r="EK560" s="7">
        <v>0.63686970944132804</v>
      </c>
      <c r="EL560" s="7">
        <v>9.813676033079094E-2</v>
      </c>
      <c r="EM560" s="7">
        <v>7.4669444857692446E-2</v>
      </c>
      <c r="EN560" s="7">
        <v>5.7493439135015825E-2</v>
      </c>
      <c r="EO560" s="7">
        <v>0.70683259038175461</v>
      </c>
      <c r="EP560" s="7">
        <v>9.455452884847064E-2</v>
      </c>
      <c r="EQ560" s="7">
        <v>9.3092494734817205E-2</v>
      </c>
      <c r="ER560" s="7">
        <v>4.8026946899941379E-2</v>
      </c>
      <c r="ES560" s="7">
        <v>4.6099631616637507E-2</v>
      </c>
      <c r="ET560" s="7">
        <v>0.12076907647432997</v>
      </c>
      <c r="EU560" s="6">
        <v>1770</v>
      </c>
      <c r="EV560" s="6">
        <v>0</v>
      </c>
      <c r="EW560" s="6">
        <v>1770</v>
      </c>
      <c r="EX560" s="6">
        <v>0</v>
      </c>
      <c r="EY560" s="6">
        <v>2326.3624841253359</v>
      </c>
      <c r="EZ560" s="6">
        <v>-366.44990394013166</v>
      </c>
      <c r="FA560" s="6">
        <v>0</v>
      </c>
      <c r="FB560" s="6">
        <v>0</v>
      </c>
      <c r="FC560" s="6">
        <v>0</v>
      </c>
      <c r="FD560" s="6">
        <v>0</v>
      </c>
      <c r="FE560" s="6">
        <v>0</v>
      </c>
      <c r="FF560" s="6">
        <v>0</v>
      </c>
      <c r="FG560" s="6">
        <v>0</v>
      </c>
      <c r="FH560" s="6">
        <v>1172.1408537416189</v>
      </c>
      <c r="FI560" s="6">
        <v>1553.9796069512404</v>
      </c>
      <c r="FJ560" s="6">
        <v>2101.2110117447405</v>
      </c>
      <c r="FK560" s="6">
        <v>2251.3078348034674</v>
      </c>
      <c r="FL560" s="6">
        <v>907.07682140966369</v>
      </c>
      <c r="FM560" s="6">
        <v>2056.3624841253359</v>
      </c>
      <c r="FN560" s="6">
        <v>0</v>
      </c>
      <c r="FO560" s="6">
        <v>0</v>
      </c>
      <c r="FP560" s="6">
        <v>0</v>
      </c>
      <c r="FQ560" s="6">
        <v>0</v>
      </c>
      <c r="FR560" s="6">
        <v>0</v>
      </c>
      <c r="FS560" s="6">
        <v>0</v>
      </c>
      <c r="FT560" s="7">
        <v>0.87923092352567012</v>
      </c>
      <c r="FU560" s="7">
        <v>7.4669444857692446E-2</v>
      </c>
      <c r="FV560" s="7">
        <v>4.6099631616637507E-2</v>
      </c>
      <c r="FW560" s="6">
        <v>1769.9999999999998</v>
      </c>
      <c r="FX560" s="6">
        <v>2326.3624841253359</v>
      </c>
      <c r="FY560" s="6">
        <v>-366.44990394013166</v>
      </c>
      <c r="FZ560" s="6">
        <v>1758.1538569113241</v>
      </c>
      <c r="GA560" s="6">
        <v>1713.0537242902449</v>
      </c>
      <c r="GB560" s="6">
        <v>18271.946275709754</v>
      </c>
      <c r="GC560" s="7">
        <v>3.064145122680037E-2</v>
      </c>
      <c r="GD560" s="7">
        <v>3.0975127495784835E-2</v>
      </c>
      <c r="GE560" s="7"/>
      <c r="GF560" s="7"/>
      <c r="GG560" s="7">
        <v>1.0889701878500344E-2</v>
      </c>
      <c r="GH560" s="42">
        <v>-4.8255000460932518</v>
      </c>
      <c r="GI560" s="6">
        <v>-2428.4859729645518</v>
      </c>
      <c r="GJ560" s="14">
        <v>0.50394797582841666</v>
      </c>
      <c r="GK560" s="14">
        <v>0.50887573065309688</v>
      </c>
      <c r="GL560" s="14">
        <v>0.4960520241715824</v>
      </c>
      <c r="GM560" s="14">
        <v>0.49112426934690212</v>
      </c>
      <c r="GO560" s="5">
        <v>343.14810671672558</v>
      </c>
      <c r="GP560" s="5">
        <v>309.37988338875158</v>
      </c>
      <c r="GQ560" s="5">
        <v>535.04305713031317</v>
      </c>
      <c r="GR560" s="5">
        <v>410.15490233172511</v>
      </c>
      <c r="GS560" s="5">
        <v>339.42744393800166</v>
      </c>
      <c r="GT560" s="5">
        <v>293.4407446948278</v>
      </c>
      <c r="GU560" s="5">
        <v>258.04012322764959</v>
      </c>
      <c r="GV560" s="39" t="s">
        <v>392</v>
      </c>
      <c r="GW560" s="5">
        <v>492.125</v>
      </c>
      <c r="GX560" s="5">
        <v>369.09375</v>
      </c>
      <c r="GY560" s="5">
        <v>295.27499999999998</v>
      </c>
      <c r="GZ560" s="5">
        <v>252.85821728143046</v>
      </c>
      <c r="HA560" s="5">
        <v>241.34874471337258</v>
      </c>
      <c r="HB560" s="39">
        <v>266.78414195290145</v>
      </c>
      <c r="HC560" s="5">
        <v>303.31655829738077</v>
      </c>
      <c r="HD560" s="5">
        <v>250.74799238008356</v>
      </c>
      <c r="HE560" s="5">
        <v>251.12245558578954</v>
      </c>
      <c r="HF560" s="5">
        <v>229.38290951107166</v>
      </c>
      <c r="HG560" s="5">
        <v>217.65500473779989</v>
      </c>
      <c r="HH560" s="39">
        <v>250.22746319230248</v>
      </c>
      <c r="HI560" s="16"/>
      <c r="HJ560" s="19" t="str">
        <f t="shared" ref="HJ560" si="1590">HJ559</f>
        <v>On</v>
      </c>
      <c r="HK560" s="1" t="str">
        <f t="shared" si="1549"/>
        <v>On</v>
      </c>
      <c r="HL560" s="16"/>
      <c r="HM560" s="639">
        <f t="shared" si="1413"/>
        <v>2.4909940070666322E-2</v>
      </c>
      <c r="HN560" s="639">
        <f t="shared" si="1414"/>
        <v>2.2052381276269151E-3</v>
      </c>
      <c r="HO560" s="639">
        <f t="shared" si="1415"/>
        <v>2.079866082302006E-3</v>
      </c>
      <c r="HP560" s="644">
        <f>(FT560*$GD560-HM560)/$JF560*INDEX(Input!$1:$1048576,$JG$93,$C560*2+6)</f>
        <v>65.363533490170667</v>
      </c>
      <c r="HQ560" s="644">
        <f>(FU560*$GD560-HN560)/$JF560*INDEX(Input!$1:$1048576,$JG$93,$C560*2+6)</f>
        <v>3.0274577780615122</v>
      </c>
      <c r="HR560" s="644">
        <f>(FV560*$GD560-HO560)/$JF560*INDEX(Input!$1:$1048576,$JG$93,$C560*2+6)</f>
        <v>-18.332895598823558</v>
      </c>
      <c r="HS560" s="644">
        <f t="shared" si="1550"/>
        <v>-25.69780926151638</v>
      </c>
      <c r="HT560" s="644">
        <f t="shared" si="1417"/>
        <v>17.946870644471552</v>
      </c>
      <c r="HU560" s="644">
        <f t="shared" si="1418"/>
        <v>-0.19726962360482406</v>
      </c>
      <c r="HV560" s="648">
        <f t="shared" si="1419"/>
        <v>0</v>
      </c>
      <c r="HW560" s="648">
        <f t="shared" si="1420"/>
        <v>0</v>
      </c>
      <c r="HX560" s="648">
        <f t="shared" si="1421"/>
        <v>0</v>
      </c>
      <c r="HY560" s="644">
        <f>INDEX(Input!$1:$1048576,HY$93,$C560*2+6)*INDEX(Input!$1:$1048576,$JG$93,$C560*2+6)</f>
        <v>333.00000000000006</v>
      </c>
      <c r="HZ560" s="644">
        <f>INDEX(Input!$1:$1048576,HZ$93,$C560*2+6)*INDEX(Input!$1:$1048576,$JG$93,$C560*2+6)</f>
        <v>429</v>
      </c>
      <c r="IA560" s="644">
        <f>INDEX(Input!$1:$1048576,IA$93,$C560*2+6)*INDEX(Input!$1:$1048576,$JG$93,$C560*2+6)</f>
        <v>59</v>
      </c>
      <c r="IB560" s="644">
        <f t="shared" si="1551"/>
        <v>372.66572422865437</v>
      </c>
      <c r="IC560" s="644">
        <f t="shared" si="1552"/>
        <v>449.97432842253306</v>
      </c>
      <c r="ID560" s="644">
        <f>IF(AND(INDEX(Input!$1:$1048576,IA$93,$C560*2+7)="TOS",Y560&lt;=INDEX(Y:Y,MATCH(C560*1000+2,A:A))),0,1)*MAX(IA560+HR560+HU560+HX560,0%)</f>
        <v>40.46983477757162</v>
      </c>
      <c r="IE560" s="128">
        <f t="shared" si="1553"/>
        <v>0.43177088996030549</v>
      </c>
      <c r="IF560" s="128">
        <f t="shared" si="1554"/>
        <v>0.521340717997132</v>
      </c>
      <c r="IG560" s="128">
        <f t="shared" si="1555"/>
        <v>4.6888392042562475E-2</v>
      </c>
      <c r="IH560" s="21"/>
      <c r="II560" s="19">
        <f t="shared" si="1424"/>
        <v>1240</v>
      </c>
      <c r="IJ560" s="19">
        <f t="shared" si="1425"/>
        <v>1985.7442651839444</v>
      </c>
      <c r="IK560" s="19">
        <f t="shared" si="1426"/>
        <v>-21.44990394013189</v>
      </c>
      <c r="IL560" s="19">
        <f t="shared" si="1556"/>
        <v>529.99999999999977</v>
      </c>
      <c r="IM560" s="19">
        <f t="shared" si="1557"/>
        <v>340.61821894139143</v>
      </c>
      <c r="IN560" s="19">
        <f t="shared" si="1558"/>
        <v>-344.99999999999977</v>
      </c>
      <c r="IO560" s="39">
        <f t="shared" si="1429"/>
        <v>0</v>
      </c>
      <c r="IP560" s="39">
        <f t="shared" si="1430"/>
        <v>0</v>
      </c>
      <c r="IQ560" s="39">
        <f t="shared" si="1431"/>
        <v>0</v>
      </c>
      <c r="IR560" s="39">
        <v>0</v>
      </c>
      <c r="IS560" s="39">
        <v>0</v>
      </c>
      <c r="IT560" s="39">
        <v>0</v>
      </c>
      <c r="IU560" s="39">
        <v>0</v>
      </c>
      <c r="IV560" s="39">
        <v>0</v>
      </c>
      <c r="IW560" s="39">
        <v>0</v>
      </c>
      <c r="IX560" s="39">
        <f>INDEX(Input!$1:$1048576,IX$93,$C560*2+6)+INDEX(Input!$1:$1048576,IX$94,$C560*2+6)</f>
        <v>1270</v>
      </c>
      <c r="IY560" s="39">
        <f>INDEX(Input!$1:$1048576,IY$93,$C560*2+6)+INDEX(Input!$1:$1048576,IY$94,$C560*2+6)</f>
        <v>2130.0624533823611</v>
      </c>
      <c r="IZ560" s="39">
        <f>INDEX(Input!$1:$1048576,IZ$93,$C560*2+6)+INDEX(Input!$1:$1048576,IZ$94,$C560*2+6)</f>
        <v>3653.7164157747857</v>
      </c>
      <c r="JA560" s="19">
        <f t="shared" si="1559"/>
        <v>1799.9999999999998</v>
      </c>
      <c r="JB560" s="19">
        <f t="shared" si="1560"/>
        <v>2470.6806723237523</v>
      </c>
      <c r="JC560" s="19">
        <f t="shared" si="1561"/>
        <v>3308.7164157747857</v>
      </c>
      <c r="JD560" s="19">
        <f t="shared" si="1562"/>
        <v>2220.3944300399617</v>
      </c>
      <c r="JE560" s="21"/>
      <c r="JF560" s="1">
        <f t="shared" si="1432"/>
        <v>2.9195044280595241E-2</v>
      </c>
      <c r="JG560" s="15">
        <f>INDEX(Input!$1:$1048576,JG$93,$C560*2+6)/(1+VLOOKUP(C560*1000+INDEX(Input!$1:$1048576,JG$93+1,$C560*2+6),$A:$KK,$JK$92,FALSE))</f>
        <v>821</v>
      </c>
      <c r="JH560" s="1">
        <f t="shared" si="1563"/>
        <v>6.0972101911581769E-2</v>
      </c>
      <c r="JI560" s="1">
        <f t="shared" si="1564"/>
        <v>-9.6811306219849597E-3</v>
      </c>
      <c r="JJ560" s="1">
        <f t="shared" si="1565"/>
        <v>0</v>
      </c>
      <c r="JK560" s="1">
        <f t="shared" si="1566"/>
        <v>5.129097128959681E-2</v>
      </c>
      <c r="JL560" s="15">
        <f t="shared" si="1567"/>
        <v>42.109887428758981</v>
      </c>
      <c r="JM560" s="15">
        <f t="shared" si="1568"/>
        <v>863.10988742875895</v>
      </c>
      <c r="JN560" s="21"/>
      <c r="JO560" s="19">
        <f>INDEX(Input!$1:$1048576,JO$93,$C560*2+6)</f>
        <v>5995.5</v>
      </c>
      <c r="JP560" s="19">
        <f>INDEX(Input!$1:$1048576,JP$93,$C560*2+6)</f>
        <v>1890.7138380411029</v>
      </c>
      <c r="JQ560" s="39">
        <f t="shared" si="1569"/>
        <v>3775.1055699600383</v>
      </c>
      <c r="JR560" s="39">
        <f t="shared" si="1570"/>
        <v>329.68059199885874</v>
      </c>
      <c r="JS560" s="39">
        <f t="shared" si="1571"/>
        <v>1.9164443865592347</v>
      </c>
      <c r="JT560" s="39">
        <f t="shared" si="1572"/>
        <v>0.36416832552748918</v>
      </c>
      <c r="JU560" s="385">
        <f>(JQ560*JM560-INDEX(Input!$1:$1048576,Input!A$18,$C560*2+6)*JL560*INDEX(Input!$1:$1048576,Input!A$19,$C560*2+6))/1000000</f>
        <v>3.2583309435198893</v>
      </c>
      <c r="JV560" s="39">
        <f t="shared" si="1573"/>
        <v>-0.11169849544836508</v>
      </c>
      <c r="JW560" s="1">
        <f t="shared" si="1574"/>
        <v>-3.3144664600485492E-2</v>
      </c>
      <c r="JX560" s="19">
        <f t="shared" si="1575"/>
        <v>8648.0479470192095</v>
      </c>
      <c r="JZ560" s="341"/>
      <c r="KA560" s="342"/>
      <c r="KB560" s="469">
        <f t="shared" si="1576"/>
        <v>2.5122967434604799</v>
      </c>
      <c r="KI560" s="473">
        <f t="shared" si="1577"/>
        <v>39.665724228654312</v>
      </c>
      <c r="KJ560" s="473">
        <f t="shared" si="1578"/>
        <v>20.974328422532949</v>
      </c>
      <c r="KK560" s="473">
        <f t="shared" si="1579"/>
        <v>-18.530165222428387</v>
      </c>
      <c r="KN560" s="544">
        <f t="shared" si="1580"/>
        <v>5002</v>
      </c>
      <c r="KO560" s="541">
        <f t="shared" si="1436"/>
        <v>4.7027852319204477E-2</v>
      </c>
      <c r="KP560" s="546">
        <f t="shared" si="1437"/>
        <v>360.94278121919382</v>
      </c>
      <c r="KQ560" s="546">
        <f t="shared" si="1438"/>
        <v>301.4756643166952</v>
      </c>
      <c r="KR560" s="548">
        <f t="shared" si="1439"/>
        <v>2.3538606241202698</v>
      </c>
      <c r="KS560" s="548">
        <f t="shared" si="1440"/>
        <v>2.8181677688578453</v>
      </c>
      <c r="KT560" s="473">
        <f t="shared" si="1581"/>
        <v>595.94378802984284</v>
      </c>
      <c r="KU560" s="663">
        <f t="shared" si="1462"/>
        <v>4.0351207353770935</v>
      </c>
      <c r="KV560" s="117"/>
    </row>
    <row r="561" spans="1:308" s="26" customFormat="1" ht="15" outlineLevel="1">
      <c r="A561" s="561">
        <f t="shared" si="1541"/>
        <v>5061</v>
      </c>
      <c r="B561" s="561">
        <f t="shared" si="1542"/>
        <v>61</v>
      </c>
      <c r="C561" s="561">
        <f t="shared" si="1543"/>
        <v>5</v>
      </c>
      <c r="D561" s="561" t="str">
        <f t="shared" si="1509"/>
        <v xml:space="preserve">750 CC, 0/0/0.9/3.9, -360 Lease, </v>
      </c>
      <c r="E561" s="475">
        <f>INDEX(Input!$1:$1048576,E$93,$C561*2+MIN($B561,2)+5)
+INDEX(Scenarios!E$121:E$200,MATCH($B561,Scenarios!$B$121:$B$200,0))</f>
        <v>2027.4263093788063</v>
      </c>
      <c r="F561" s="475">
        <f>INDEX(Input!$1:$1048576,F$93,$C561*2+MIN($B561,2)+5)
+INDEX(Scenarios!F$121:F$200,MATCH($B561,Scenarios!$B$121:$B$200,0))</f>
        <v>0</v>
      </c>
      <c r="G561" s="475">
        <f>INDEX(Input!$1:$1048576,G$93,$C561*2+MIN($B561,2)+5)
+INDEX(Scenarios!G$121:G$200,MATCH($B561,Scenarios!$B$121:$B$200,0))</f>
        <v>0</v>
      </c>
      <c r="H561" s="475">
        <f>INDEX(Input!$1:$1048576,H$93,$C561*2+MIN($B561,2)+5)
+INDEX(Scenarios!H$121:H$200,MATCH($B561,Scenarios!$B$121:$B$200,0))</f>
        <v>0</v>
      </c>
      <c r="I561" s="476">
        <f>INDEX(Input!$1:$1048576,I$93,$C561*2+MIN($B561,2)+5)</f>
        <v>0.7</v>
      </c>
      <c r="J561" s="476" t="str">
        <f>INDEX(Input!$1:$1048576,J$93,$C561*2+MIN($B561,2)+5)</f>
        <v>Market</v>
      </c>
      <c r="K561" s="476" t="str">
        <f>INDEX(Input!$1:$1048576,K$93,$C561*2+MIN($B561,2)+5)</f>
        <v>Market</v>
      </c>
      <c r="L561" s="476" t="str">
        <f>INDEX(Input!$1:$1048576,L$93,$C561*2+MIN($B561,2)+5)</f>
        <v>Market</v>
      </c>
      <c r="M561" s="476" t="str">
        <f>INDEX(Input!$1:$1048576,M$93,$C561*2+MIN($B561,2)+5)</f>
        <v>Market</v>
      </c>
      <c r="N561" s="476" t="str">
        <f>INDEX(Input!$1:$1048576,N$93,$C561*2+MIN($B561,2)+5)</f>
        <v>Market</v>
      </c>
      <c r="O561" s="476" t="str">
        <f>INDEX(Input!$1:$1048576,O$93,$C561*2+MIN($B561,2)+5)</f>
        <v>Market</v>
      </c>
      <c r="P561" s="476" t="str">
        <f>INDEX(Input!$1:$1048576,P$93,$C561*2+MIN($B561,2)+5)</f>
        <v>N</v>
      </c>
      <c r="Q561" s="477">
        <f>INDEX(Input!$1:$1048576,Q$93,$C561*2+MIN($B561,2)+5)
+INDEX(Scenarios!Q$121:Q$200,MATCH($B561,Scenarios!$B$121:$B$200,0))</f>
        <v>0</v>
      </c>
      <c r="R561" s="478">
        <f>IFERROR(MAX(0,INDEX(Input!$1:$1048576,R$93,$C561*2+MIN($B561,2)+5)
+INDEX(Scenarios!R$121:R$200,MATCH($B561,Scenarios!$B$121:$B$200,0)),),"Market")</f>
        <v>0</v>
      </c>
      <c r="S561" s="478">
        <f>IFERROR(MAX(0,INDEX(Input!$1:$1048576,S$93,$C561*2+MIN($B561,2)+5)
+INDEX(Scenarios!S$121:S$200,MATCH($B561,Scenarios!$B$121:$B$200,0)),),"Market")</f>
        <v>0</v>
      </c>
      <c r="T561" s="478">
        <f>IFERROR(MAX(0,INDEX(Input!$1:$1048576,T$93,$C561*2+MIN($B561,2)+5)
+INDEX(Scenarios!T$121:T$200,MATCH($B561,Scenarios!$B$121:$B$200,0)),),"Market")</f>
        <v>0</v>
      </c>
      <c r="U561" s="478">
        <f>IFERROR(MAX(0,INDEX(Input!$1:$1048576,U$93,$C561*2+MIN($B561,2)+5)
+INDEX(Scenarios!U$121:U$200,MATCH($B561,Scenarios!$B$121:$B$200,0)),),"Market")</f>
        <v>0</v>
      </c>
      <c r="V561" s="478">
        <f>IFERROR(MAX(0,INDEX(Input!$1:$1048576,V$93,$C561*2+MIN($B561,2)+5)
+INDEX(Scenarios!V$121:V$200,MATCH($B561,Scenarios!$B$121:$B$200,0)),),"Market")</f>
        <v>8.9999999999999993E-3</v>
      </c>
      <c r="W561" s="885">
        <f>IFERROR(MAX(0,INDEX(Input!$1:$1048576,W$93,$C561*2+MIN($B561,2)+5)-0%,),"Market")</f>
        <v>3.9E-2</v>
      </c>
      <c r="X561" s="476" t="str">
        <f>INDEX(Input!$1:$1048576,X$93,$C561*2+MIN($B561,2)+5)</f>
        <v>Y</v>
      </c>
      <c r="Y561" s="475">
        <f>INDEX(Input!$1:$1048576,Y$93,$C561*2+MIN($B561,2)+5)
++INDEX(Scenarios!Y$121:Y$200,MATCH($B561,Scenarios!$B$121:$B$200,0))</f>
        <v>-1077.9364173925233</v>
      </c>
      <c r="Z561" s="477">
        <f>INDEX(Input!$1:$1048576,Z$93,$C561*2+MIN($B561,2)+5)
+INDEX(Scenarios!Z$121:Z$200,MATCH($B561,Scenarios!$B$121:$B$200,0))</f>
        <v>0</v>
      </c>
      <c r="AA561" s="475">
        <f>INDEX(Input!$1:$1048576,AA$93,$C561*2+MIN($B561,2)+5)
+INDEX(Scenarios!AA$121:AA$200,MATCH($B561,Scenarios!$B$121:$B$200,0))</f>
        <v>0</v>
      </c>
      <c r="AB561" s="476">
        <f>INDEX(Input!$1:$1048576,AB$93,$C561*2+MIN($B561,2)+5)</f>
        <v>0.27</v>
      </c>
      <c r="AC561" s="475">
        <f>INDEX(Input!$1:$1048576,AC$93,$C561*2+MIN($B561,2)+5)
+INDEX(Scenarios!AC$121:AC$200,MATCH($B561,Scenarios!$B$121:$B$200,0))</f>
        <v>0</v>
      </c>
      <c r="AD561" s="476">
        <f>INDEX(Input!$1:$1048576,AD$93,$C561*2+MIN($B561,2)+5)</f>
        <v>0.27</v>
      </c>
      <c r="AE561" s="475">
        <f>INDEX(Input!$1:$1048576,AE$93,$C561*2+MIN($B561,2)+5)
+INDEX(Scenarios!AE$121:AE$200,MATCH($B561,Scenarios!$B$121:$B$200,0))</f>
        <v>0</v>
      </c>
      <c r="AF561" s="476">
        <f>INDEX(Input!$1:$1048576,AF$93,$C561*2+MIN($B561,2)+5)</f>
        <v>0.2</v>
      </c>
      <c r="AG561" s="475">
        <f>INDEX(Input!$1:$1048576,AG$93,$C561*2+MIN($B561,2)+5)
+INDEX(Scenarios!AG$121:AG$200,MATCH($B561,Scenarios!$B$121:$B$200,0))</f>
        <v>500</v>
      </c>
      <c r="AH561" s="476">
        <f>INDEX(Input!$1:$1048576,AH$93,$C561*2+MIN($B561,2)+5)</f>
        <v>1</v>
      </c>
      <c r="AI561" s="475">
        <f>INDEX(Input!$1:$1048576,AI$93,$C561*2+MIN($B561,2)+5)
+INDEX(Scenarios!AI$121:AI$200,MATCH($B561,Scenarios!$B$121:$B$200,0))</f>
        <v>0</v>
      </c>
      <c r="AJ561" s="476">
        <f>INDEX(Input!$1:$1048576,AJ$93,$C561*2+MIN($B561,2)+5)</f>
        <v>0.27</v>
      </c>
      <c r="AK561" s="150">
        <f>ROUND(INDEX(Input!$1:$1048576,AK$93,$C560*2+MIN($B561,1)+5)+(Y561-VLOOKUP($C561*1000+1,$A:$HH,Y$92,FALSE)),0)</f>
        <v>2227</v>
      </c>
      <c r="AL561" s="150">
        <f>ROUND(INDEX(Input!$1:$1048576,AL$93,$C560*2+MIN($B561,1)+5)-(Y561-VLOOKUP($C561*1000+1,$A:$HH,Y$92,FALSE))/36,0)</f>
        <v>3416</v>
      </c>
      <c r="AM561" s="32" t="str">
        <f t="shared" si="1544"/>
        <v>std/std/std/std</v>
      </c>
      <c r="AN561" s="32" t="str">
        <f t="shared" si="1545"/>
        <v>$0 + 0/0/0/0.9/3.9</v>
      </c>
      <c r="AO561" s="32" t="str">
        <f t="shared" si="1546"/>
        <v>0/0/0/0.9/3.9</v>
      </c>
      <c r="AP561" s="32" t="str">
        <f t="shared" si="1526"/>
        <v>0/0/0.9/3.9</v>
      </c>
      <c r="AQ561" s="536">
        <f t="shared" si="1525"/>
        <v>0.45086490777683963</v>
      </c>
      <c r="AR561" s="32"/>
      <c r="AS561" s="302"/>
      <c r="AT561" s="3">
        <f t="shared" si="1547"/>
        <v>61</v>
      </c>
      <c r="AU561" s="41" t="s">
        <v>121</v>
      </c>
      <c r="AV561" s="41" t="s">
        <v>116</v>
      </c>
      <c r="AW561" s="41" t="str">
        <f>INDEX(Input!$1:$1048576,AW$93,$C561*2+6)</f>
        <v>Kia</v>
      </c>
      <c r="AX561" s="41" t="str">
        <f>INDEX(Input!$1:$1048576,AX$93,$C561*2+6)</f>
        <v>Kia-LR - R2</v>
      </c>
      <c r="AY561" s="41" t="str">
        <f>IF(LEN(D561)=0,"",INDEX(Input!$1:$1048576,AY$93,$C561*2+6))</f>
        <v>Compact SUV (52)</v>
      </c>
      <c r="AZ561" s="41" t="str">
        <f>INDEX(Input!$1:$1048576,AZ$93,$C561*2+6)</f>
        <v>Kia Soul</v>
      </c>
      <c r="BA561" s="3">
        <f>INDEX(Input!$1:$1048576,BA$93,$C561*2+6)</f>
        <v>2020</v>
      </c>
      <c r="BB561" s="128">
        <f>INDEX(Input!$1:$1048576,BB$93,$C561*2+6)</f>
        <v>1</v>
      </c>
      <c r="BC561" s="128">
        <f>INDEX(Input!$1:$1048576,BC$93,$C561*2+6)</f>
        <v>0.7</v>
      </c>
      <c r="BD561" s="1">
        <f>INDEX(Input!$1:$1048576,BD$93,$C561*2+6)</f>
        <v>4.4999999999999998E-2</v>
      </c>
      <c r="BE561" s="1">
        <f>INDEX(Input!$1:$1048576,BE$93,$C561*2+6)</f>
        <v>4.4999999999999998E-2</v>
      </c>
      <c r="BF561" s="1">
        <f>INDEX(Input!$1:$1048576,BF$93,$C561*2+6)</f>
        <v>0.05</v>
      </c>
      <c r="BG561" s="1">
        <f>INDEX(Input!$1:$1048576,BG$93,$C561*2+6)</f>
        <v>5.45E-2</v>
      </c>
      <c r="BH561" s="1">
        <f>INDEX(Input!$1:$1048576,BH$93,$C561*2+6)</f>
        <v>5.45E-2</v>
      </c>
      <c r="BI561" s="1">
        <f>INDEX(Input!$1:$1048576,BI$93,$C561*2+6)</f>
        <v>0.05</v>
      </c>
      <c r="BJ561" s="1">
        <f>INDEX(Input!$1:$1048576,BJ$93,$C561*2+6)</f>
        <v>0.05</v>
      </c>
      <c r="BK561" s="1">
        <f>INDEX(Input!$1:$1048576,BK$93,$C561*2+6)</f>
        <v>0.05</v>
      </c>
      <c r="BL561" s="1">
        <f>INDEX(Input!$1:$1048576,BL$93,$C561*2+6)</f>
        <v>5.5E-2</v>
      </c>
      <c r="BM561" s="1">
        <f>INDEX(Input!$1:$1048576,BM$93,$C561*2+6)</f>
        <v>0.06</v>
      </c>
      <c r="BN561" s="1">
        <f>INDEX(Input!$1:$1048576,BN$93,$C561*2+6)</f>
        <v>4.4999999999999998E-2</v>
      </c>
      <c r="BO561" s="1">
        <f>INDEX(Input!$1:$1048576,BO$93,$C561*2+6)</f>
        <v>4.4999999999999998E-2</v>
      </c>
      <c r="BP561" s="1">
        <f>INDEX(Input!$1:$1048576,BP$93,$C561*2+6)</f>
        <v>0.05</v>
      </c>
      <c r="BQ561" s="1">
        <f>INDEX(Input!$1:$1048576,BQ$93,$C561*2+6)</f>
        <v>5.45E-2</v>
      </c>
      <c r="BR561" s="1">
        <f>INDEX(Input!$1:$1048576,BR$93,$C561*2+6)</f>
        <v>5.45E-2</v>
      </c>
      <c r="BS561" s="1">
        <f>INDEX(Input!$1:$1048576,BS$93,$C561*2+6)</f>
        <v>0.05</v>
      </c>
      <c r="BT561" s="1">
        <f>INDEX(Input!$1:$1048576,BT$93,$C561*2+6)</f>
        <v>0.05</v>
      </c>
      <c r="BU561" s="1">
        <f>INDEX(Input!$1:$1048576,BU$93,$C561*2+6)</f>
        <v>0.05</v>
      </c>
      <c r="BV561" s="1">
        <f>INDEX(Input!$1:$1048576,BV$93,$C561*2+6)</f>
        <v>5.5E-2</v>
      </c>
      <c r="BW561" s="1">
        <f>INDEX(Input!$1:$1048576,BW$93,$C561*2+6)</f>
        <v>0.06</v>
      </c>
      <c r="BX561" s="127">
        <f>INDEX(Input!$1:$1048576,BX$93,$C561*2+6)</f>
        <v>19985</v>
      </c>
      <c r="BY561" s="20">
        <f>INDEX(Input!$1:$1048576,BY$93,$C561*2+6)</f>
        <v>0.1</v>
      </c>
      <c r="BZ561" s="20">
        <f>INDEX(Input!$1:$1048576,BZ$93,$C561*2+6)</f>
        <v>0.1</v>
      </c>
      <c r="CA561" s="20">
        <f>INDEX(Input!$1:$1048576,CA$93,$C561*2+6)</f>
        <v>0.1</v>
      </c>
      <c r="CB561" s="20">
        <f>INDEX(Input!$1:$1048576,CB$93,$C561*2+6)</f>
        <v>0.1</v>
      </c>
      <c r="CC561" s="20">
        <f>INDEX(Input!$1:$1048576,CC$93,$C561*2+6)</f>
        <v>0.1</v>
      </c>
      <c r="CD561" s="384">
        <f>INDEX(Input!$1:$1048576,CD$93,$C561*2+6)</f>
        <v>0.1</v>
      </c>
      <c r="CE561" s="384">
        <f>INDEX(Input!$1:$1048576,CE$93,$C561*2+6)</f>
        <v>0.1</v>
      </c>
      <c r="CF561" s="384">
        <f>INDEX(Input!$1:$1048576,CF$93,$C561*2+6)</f>
        <v>0.1</v>
      </c>
      <c r="CG561" s="384">
        <f>INDEX(Input!$1:$1048576,CG$93,$C561*2+6)</f>
        <v>0.1</v>
      </c>
      <c r="CH561" s="384">
        <f>INDEX(Input!$1:$1048576,CH$93,$C561*2+6)</f>
        <v>0.1</v>
      </c>
      <c r="CI561" s="304">
        <f t="shared" si="1527"/>
        <v>2027.4263093788063</v>
      </c>
      <c r="CJ561" s="16" t="str">
        <f>INDEX(Input!$1:$1048576,CJ$93,$C561*2+6)</f>
        <v>N</v>
      </c>
      <c r="CK561" s="1" t="str">
        <f t="shared" si="1528"/>
        <v>Market</v>
      </c>
      <c r="CL561" s="1" t="str">
        <f t="shared" si="1529"/>
        <v>Market</v>
      </c>
      <c r="CM561" s="1" t="str">
        <f t="shared" si="1530"/>
        <v>Market</v>
      </c>
      <c r="CN561" s="1" t="str">
        <f t="shared" si="1531"/>
        <v>Market</v>
      </c>
      <c r="CO561" s="1" t="str">
        <f t="shared" si="1532"/>
        <v>Market</v>
      </c>
      <c r="CP561" s="304">
        <f t="shared" si="1533"/>
        <v>500</v>
      </c>
      <c r="CQ561" s="1">
        <f t="shared" si="1534"/>
        <v>0</v>
      </c>
      <c r="CR561" s="1">
        <f t="shared" si="1535"/>
        <v>0</v>
      </c>
      <c r="CS561" s="1">
        <f t="shared" si="1536"/>
        <v>0</v>
      </c>
      <c r="CT561" s="1">
        <f t="shared" si="1537"/>
        <v>8.9999999999999993E-3</v>
      </c>
      <c r="CU561" s="1">
        <f t="shared" si="1538"/>
        <v>3.9E-2</v>
      </c>
      <c r="CV561" s="304">
        <f t="shared" si="1539"/>
        <v>-1077.9364173925233</v>
      </c>
      <c r="CW561" s="20" t="s">
        <v>122</v>
      </c>
      <c r="CX561" s="20" t="s">
        <v>122</v>
      </c>
      <c r="CY561" s="20" t="s">
        <v>122</v>
      </c>
      <c r="CZ561" s="20" t="s">
        <v>122</v>
      </c>
      <c r="DA561" s="20" t="s">
        <v>122</v>
      </c>
      <c r="DB561" s="503">
        <f t="shared" si="1540"/>
        <v>0</v>
      </c>
      <c r="DC561" s="127">
        <v>0</v>
      </c>
      <c r="DD561" s="127">
        <v>0</v>
      </c>
      <c r="DE561" s="127">
        <v>0</v>
      </c>
      <c r="DF561" s="127">
        <v>0</v>
      </c>
      <c r="DG561" s="127">
        <v>0</v>
      </c>
      <c r="DH561" s="127">
        <v>0</v>
      </c>
      <c r="DI561" s="127">
        <v>0</v>
      </c>
      <c r="DJ561" s="127">
        <v>0</v>
      </c>
      <c r="DK561" s="127">
        <v>0</v>
      </c>
      <c r="DL561" s="127">
        <v>0</v>
      </c>
      <c r="DM561" s="304">
        <f>INDEX(Input!$1:$1048576,DM$93,$C561*2+6)</f>
        <v>21036.84210526316</v>
      </c>
      <c r="DN561" s="20">
        <v>0</v>
      </c>
      <c r="DO561" s="20">
        <v>0</v>
      </c>
      <c r="DP561" s="20">
        <v>0</v>
      </c>
      <c r="DQ561" s="20">
        <v>0</v>
      </c>
      <c r="DR561" s="20">
        <v>0</v>
      </c>
      <c r="DS561" s="20">
        <f>INDEX(Input!$1:$1048576,DS$93,$C561*2+6)</f>
        <v>0.6</v>
      </c>
      <c r="DT561" s="20">
        <f>INDEX(Input!$1:$1048576,DT$93,$C561*2+6)</f>
        <v>0.55000000000000004</v>
      </c>
      <c r="DU561" s="20">
        <f>INDEX(Input!$1:$1048576,DU$93,$C561*2+6)</f>
        <v>0.52</v>
      </c>
      <c r="DV561" s="20">
        <f>INDEX(Input!$1:$1048576,DV$93,$C561*2+6)</f>
        <v>0.5</v>
      </c>
      <c r="DW561" s="20">
        <f>INDEX(Input!$1:$1048576,DW$93,$C561*2+6)</f>
        <v>0.45</v>
      </c>
      <c r="DX561" s="20"/>
      <c r="DY561" s="7">
        <v>0.13341204443559973</v>
      </c>
      <c r="DZ561" s="7">
        <v>0</v>
      </c>
      <c r="EA561" s="7">
        <v>0.76003741138691527</v>
      </c>
      <c r="EB561" s="7">
        <v>0</v>
      </c>
      <c r="EC561" s="7">
        <v>0</v>
      </c>
      <c r="ED561" s="7">
        <v>0</v>
      </c>
      <c r="EE561" s="7">
        <v>0</v>
      </c>
      <c r="EF561" s="7">
        <v>0</v>
      </c>
      <c r="EG561" s="7">
        <v>0</v>
      </c>
      <c r="EH561" s="7">
        <v>9.4891610494580742E-3</v>
      </c>
      <c r="EI561" s="7">
        <v>2.6383970608740835E-2</v>
      </c>
      <c r="EJ561" s="7">
        <v>0.22914093476855837</v>
      </c>
      <c r="EK561" s="7">
        <v>0.63684918460480011</v>
      </c>
      <c r="EL561" s="7">
        <v>9.813674896844278E-2</v>
      </c>
      <c r="EM561" s="7">
        <v>6.5864911097425496E-2</v>
      </c>
      <c r="EN561" s="7">
        <v>5.7500795797305604E-2</v>
      </c>
      <c r="EO561" s="7">
        <v>0.7068292973945064</v>
      </c>
      <c r="EP561" s="7">
        <v>9.455951877772098E-2</v>
      </c>
      <c r="EQ561" s="7">
        <v>9.3087999219884157E-2</v>
      </c>
      <c r="ER561" s="7">
        <v>4.802238881058276E-2</v>
      </c>
      <c r="ES561" s="7">
        <v>4.0685633080059583E-2</v>
      </c>
      <c r="ET561" s="7">
        <v>0.10655054417748491</v>
      </c>
      <c r="EU561" s="6">
        <v>2020</v>
      </c>
      <c r="EV561" s="6">
        <v>0</v>
      </c>
      <c r="EW561" s="6">
        <v>2020</v>
      </c>
      <c r="EX561" s="6">
        <v>0</v>
      </c>
      <c r="EY561" s="6">
        <v>2326.3573867476612</v>
      </c>
      <c r="EZ561" s="6">
        <v>-366.44990394013166</v>
      </c>
      <c r="FA561" s="6">
        <v>0</v>
      </c>
      <c r="FB561" s="6">
        <v>0</v>
      </c>
      <c r="FC561" s="6">
        <v>0</v>
      </c>
      <c r="FD561" s="6">
        <v>0</v>
      </c>
      <c r="FE561" s="6">
        <v>0</v>
      </c>
      <c r="FF561" s="6">
        <v>0</v>
      </c>
      <c r="FG561" s="6">
        <v>0</v>
      </c>
      <c r="FH561" s="6">
        <v>1172.1425982094081</v>
      </c>
      <c r="FI561" s="6">
        <v>1553.979606951239</v>
      </c>
      <c r="FJ561" s="6">
        <v>2101.2110117447414</v>
      </c>
      <c r="FK561" s="6">
        <v>2251.3078348034669</v>
      </c>
      <c r="FL561" s="6">
        <v>907.07682140966324</v>
      </c>
      <c r="FM561" s="6">
        <v>2056.3573867476612</v>
      </c>
      <c r="FN561" s="6">
        <v>0</v>
      </c>
      <c r="FO561" s="6">
        <v>0</v>
      </c>
      <c r="FP561" s="6">
        <v>0</v>
      </c>
      <c r="FQ561" s="6">
        <v>0</v>
      </c>
      <c r="FR561" s="6">
        <v>0</v>
      </c>
      <c r="FS561" s="6">
        <v>0</v>
      </c>
      <c r="FT561" s="7">
        <v>0.893449455822515</v>
      </c>
      <c r="FU561" s="7">
        <v>6.5864911097425496E-2</v>
      </c>
      <c r="FV561" s="7">
        <v>4.0685633080059583E-2</v>
      </c>
      <c r="FW561" s="6">
        <v>2019.9999999999998</v>
      </c>
      <c r="FX561" s="6">
        <v>2326.3573867476612</v>
      </c>
      <c r="FY561" s="6">
        <v>-366.44990394013166</v>
      </c>
      <c r="FZ561" s="6">
        <v>1758.1538569113241</v>
      </c>
      <c r="GA561" s="6">
        <v>1943.0839768865226</v>
      </c>
      <c r="GB561" s="6">
        <v>18041.916023113477</v>
      </c>
      <c r="GC561" s="7">
        <v>3.064145122680037E-2</v>
      </c>
      <c r="GD561" s="7">
        <v>3.1836223536890966E-2</v>
      </c>
      <c r="GE561" s="7"/>
      <c r="GF561" s="7"/>
      <c r="GG561" s="7">
        <v>3.8992027539661536E-2</v>
      </c>
      <c r="GH561" s="42">
        <v>4.2137844851052053</v>
      </c>
      <c r="GI561" s="6">
        <v>6685.8514512655638</v>
      </c>
      <c r="GJ561" s="14">
        <v>0.50394797582841722</v>
      </c>
      <c r="GK561" s="14">
        <v>0.50887573065309732</v>
      </c>
      <c r="GL561" s="14">
        <v>0.49605202417158273</v>
      </c>
      <c r="GM561" s="14">
        <v>0.49112426934690218</v>
      </c>
      <c r="GO561" s="5">
        <v>343.14810671672558</v>
      </c>
      <c r="GP561" s="5">
        <v>304.61036031982871</v>
      </c>
      <c r="GQ561" s="5">
        <v>535.04305713031317</v>
      </c>
      <c r="GR561" s="5">
        <v>410.15490233172511</v>
      </c>
      <c r="GS561" s="5">
        <v>339.42744393800166</v>
      </c>
      <c r="GT561" s="5">
        <v>293.4407446948278</v>
      </c>
      <c r="GU561" s="5">
        <v>258.04012322764959</v>
      </c>
      <c r="GV561" s="39" t="s">
        <v>392</v>
      </c>
      <c r="GW561" s="5">
        <v>492.125</v>
      </c>
      <c r="GX561" s="5">
        <v>369.09375</v>
      </c>
      <c r="GY561" s="5">
        <v>295.27499999999998</v>
      </c>
      <c r="GZ561" s="5">
        <v>252.85821728143046</v>
      </c>
      <c r="HA561" s="5">
        <v>241.34874471337258</v>
      </c>
      <c r="HB561" s="39">
        <v>266.78533221720795</v>
      </c>
      <c r="HC561" s="5">
        <v>303.31655829738077</v>
      </c>
      <c r="HD561" s="5">
        <v>250.74799238008356</v>
      </c>
      <c r="HE561" s="5">
        <v>251.12245558578954</v>
      </c>
      <c r="HF561" s="5">
        <v>229.38290951107166</v>
      </c>
      <c r="HG561" s="5">
        <v>217.65500473779989</v>
      </c>
      <c r="HH561" s="39">
        <v>250.22809867787785</v>
      </c>
      <c r="HI561" s="16"/>
      <c r="HJ561" s="19" t="str">
        <f t="shared" ref="HJ561:HJ562" si="1591">HJ560</f>
        <v>On</v>
      </c>
      <c r="HK561" s="1" t="str">
        <f t="shared" si="1549"/>
        <v>On</v>
      </c>
      <c r="HL561" s="16"/>
      <c r="HM561" s="639">
        <f t="shared" si="1413"/>
        <v>2.4909940070666322E-2</v>
      </c>
      <c r="HN561" s="639">
        <f t="shared" si="1414"/>
        <v>2.2052381276269151E-3</v>
      </c>
      <c r="HO561" s="639">
        <f t="shared" si="1415"/>
        <v>2.079866082302006E-3</v>
      </c>
      <c r="HP561" s="644">
        <f>(FT561*$GD561-HM561)/$JF561*INDEX(Input!$1:$1048576,$JG$93,$C561*2+6)</f>
        <v>99.383636420064249</v>
      </c>
      <c r="HQ561" s="644">
        <f>(FU561*$GD561-HN561)/$JF561*INDEX(Input!$1:$1048576,$JG$93,$C561*2+6)</f>
        <v>-3.0468796309075548</v>
      </c>
      <c r="HR561" s="644">
        <f>(FV561*$GD561-HO561)/$JF561*INDEX(Input!$1:$1048576,$JG$93,$C561*2+6)</f>
        <v>-22.063597667420318</v>
      </c>
      <c r="HS561" s="644">
        <f t="shared" si="1550"/>
        <v>-37.757285399958455</v>
      </c>
      <c r="HT561" s="644">
        <f t="shared" si="1417"/>
        <v>16.929405138041957</v>
      </c>
      <c r="HU561" s="644">
        <f t="shared" si="1418"/>
        <v>0.81989306487177327</v>
      </c>
      <c r="HV561" s="648">
        <f t="shared" si="1419"/>
        <v>0</v>
      </c>
      <c r="HW561" s="648">
        <f t="shared" si="1420"/>
        <v>0</v>
      </c>
      <c r="HX561" s="648">
        <f t="shared" si="1421"/>
        <v>0</v>
      </c>
      <c r="HY561" s="644">
        <f>INDEX(Input!$1:$1048576,HY$93,$C561*2+6)*INDEX(Input!$1:$1048576,$JG$93,$C561*2+6)</f>
        <v>333.00000000000006</v>
      </c>
      <c r="HZ561" s="644">
        <f>INDEX(Input!$1:$1048576,HZ$93,$C561*2+6)*INDEX(Input!$1:$1048576,$JG$93,$C561*2+6)</f>
        <v>429</v>
      </c>
      <c r="IA561" s="644">
        <f>INDEX(Input!$1:$1048576,IA$93,$C561*2+6)*INDEX(Input!$1:$1048576,$JG$93,$C561*2+6)</f>
        <v>59</v>
      </c>
      <c r="IB561" s="644">
        <f t="shared" si="1551"/>
        <v>394.62635102010586</v>
      </c>
      <c r="IC561" s="644">
        <f t="shared" si="1552"/>
        <v>442.8825255071344</v>
      </c>
      <c r="ID561" s="644">
        <f>IF(AND(INDEX(Input!$1:$1048576,IA$93,$C561*2+7)="TOS",Y561&lt;=INDEX(Y:Y,MATCH(C561*1000+2,A:A))),0,1)*MAX(IA561+HR561+HU561+HX561,0%)</f>
        <v>37.756295397451453</v>
      </c>
      <c r="IE561" s="128">
        <f t="shared" si="1553"/>
        <v>0.45086490777683963</v>
      </c>
      <c r="IF561" s="128">
        <f t="shared" si="1554"/>
        <v>0.50599811315837462</v>
      </c>
      <c r="IG561" s="128">
        <f t="shared" si="1555"/>
        <v>4.3136979064785662E-2</v>
      </c>
      <c r="IH561" s="21"/>
      <c r="II561" s="19">
        <f t="shared" si="1424"/>
        <v>1240</v>
      </c>
      <c r="IJ561" s="19">
        <f t="shared" si="1425"/>
        <v>1985.7442651839444</v>
      </c>
      <c r="IK561" s="19">
        <f t="shared" si="1426"/>
        <v>-21.44990394013189</v>
      </c>
      <c r="IL561" s="19">
        <f t="shared" si="1556"/>
        <v>779.99999999999977</v>
      </c>
      <c r="IM561" s="19">
        <f t="shared" si="1557"/>
        <v>340.61312156371673</v>
      </c>
      <c r="IN561" s="19">
        <f t="shared" si="1558"/>
        <v>-344.99999999999977</v>
      </c>
      <c r="IO561" s="39">
        <f t="shared" si="1429"/>
        <v>0</v>
      </c>
      <c r="IP561" s="39">
        <f t="shared" si="1430"/>
        <v>0</v>
      </c>
      <c r="IQ561" s="39">
        <f t="shared" si="1431"/>
        <v>0</v>
      </c>
      <c r="IR561" s="39">
        <v>0</v>
      </c>
      <c r="IS561" s="39">
        <v>0</v>
      </c>
      <c r="IT561" s="39">
        <v>0</v>
      </c>
      <c r="IU561" s="39">
        <v>0</v>
      </c>
      <c r="IV561" s="39">
        <v>0</v>
      </c>
      <c r="IW561" s="39">
        <v>0</v>
      </c>
      <c r="IX561" s="39">
        <f>INDEX(Input!$1:$1048576,IX$93,$C561*2+6)+INDEX(Input!$1:$1048576,IX$94,$C561*2+6)</f>
        <v>1270</v>
      </c>
      <c r="IY561" s="39">
        <f>INDEX(Input!$1:$1048576,IY$93,$C561*2+6)+INDEX(Input!$1:$1048576,IY$94,$C561*2+6)</f>
        <v>2130.0624533823611</v>
      </c>
      <c r="IZ561" s="39">
        <f>INDEX(Input!$1:$1048576,IZ$93,$C561*2+6)+INDEX(Input!$1:$1048576,IZ$94,$C561*2+6)</f>
        <v>3653.7164157747857</v>
      </c>
      <c r="JA561" s="19">
        <f t="shared" si="1559"/>
        <v>2050</v>
      </c>
      <c r="JB561" s="19">
        <f t="shared" si="1560"/>
        <v>2470.6755749460781</v>
      </c>
      <c r="JC561" s="19">
        <f t="shared" si="1561"/>
        <v>3308.7164157747857</v>
      </c>
      <c r="JD561" s="19">
        <f t="shared" si="1562"/>
        <v>2317.1582708503088</v>
      </c>
      <c r="JE561" s="21"/>
      <c r="JF561" s="1">
        <f t="shared" si="1432"/>
        <v>2.9195044280595241E-2</v>
      </c>
      <c r="JG561" s="15">
        <f>INDEX(Input!$1:$1048576,JG$93,$C561*2+6)/(1+VLOOKUP(C561*1000+INDEX(Input!$1:$1048576,JG$93+1,$C561*2+6),$A:$KK,$JK$92,FALSE))</f>
        <v>821</v>
      </c>
      <c r="JH561" s="1">
        <f t="shared" si="1563"/>
        <v>9.0466698077632607E-2</v>
      </c>
      <c r="JI561" s="1">
        <f t="shared" si="1564"/>
        <v>-2.4370264551820613E-2</v>
      </c>
      <c r="JJ561" s="1">
        <f t="shared" si="1565"/>
        <v>0</v>
      </c>
      <c r="JK561" s="1">
        <f t="shared" si="1566"/>
        <v>6.6096433525811987E-2</v>
      </c>
      <c r="JL561" s="15">
        <f t="shared" si="1567"/>
        <v>54.265171924691643</v>
      </c>
      <c r="JM561" s="15">
        <f t="shared" si="1568"/>
        <v>875.26517192469169</v>
      </c>
      <c r="JN561" s="21"/>
      <c r="JO561" s="19">
        <f>INDEX(Input!$1:$1048576,JO$93,$C561*2+6)</f>
        <v>5995.5</v>
      </c>
      <c r="JP561" s="19">
        <f>INDEX(Input!$1:$1048576,JP$93,$C561*2+6)</f>
        <v>1890.7138380411029</v>
      </c>
      <c r="JQ561" s="39">
        <f t="shared" si="1569"/>
        <v>3678.3417291496912</v>
      </c>
      <c r="JR561" s="39">
        <f t="shared" si="1570"/>
        <v>426.44443280920586</v>
      </c>
      <c r="JS561" s="39">
        <f t="shared" si="1571"/>
        <v>2.0281279323125165</v>
      </c>
      <c r="JT561" s="39">
        <f t="shared" si="1572"/>
        <v>0.47585187128077122</v>
      </c>
      <c r="JU561" s="385">
        <f>(JQ561*JM561-INDEX(Input!$1:$1048576,Input!A$18,$C561*2+6)*JL561*INDEX(Input!$1:$1048576,Input!A$19,$C561*2+6))/1000000</f>
        <v>3.2195244059619723</v>
      </c>
      <c r="JV561" s="39">
        <f t="shared" si="1573"/>
        <v>-0.15050503300628204</v>
      </c>
      <c r="JW561" s="1">
        <f t="shared" si="1574"/>
        <v>-4.4659857052275383E-2</v>
      </c>
      <c r="JX561" s="19">
        <f t="shared" si="1575"/>
        <v>8769.0106638038669</v>
      </c>
      <c r="JZ561" s="341"/>
      <c r="KA561" s="342"/>
      <c r="KB561" s="469">
        <f t="shared" si="1576"/>
        <v>2.5122967434604799</v>
      </c>
      <c r="KI561" s="473">
        <f t="shared" si="1577"/>
        <v>61.626351020105744</v>
      </c>
      <c r="KJ561" s="473">
        <f t="shared" si="1578"/>
        <v>13.882525507134346</v>
      </c>
      <c r="KK561" s="473">
        <f t="shared" si="1579"/>
        <v>-21.243704602548554</v>
      </c>
      <c r="KN561" s="544">
        <f t="shared" si="1580"/>
        <v>5002</v>
      </c>
      <c r="KO561" s="541">
        <f t="shared" si="1436"/>
        <v>6.1773276517760989E-2</v>
      </c>
      <c r="KP561" s="546">
        <f t="shared" si="1437"/>
        <v>479.78827649021844</v>
      </c>
      <c r="KQ561" s="546">
        <f t="shared" si="1438"/>
        <v>398.23950512704232</v>
      </c>
      <c r="KR561" s="548">
        <f t="shared" si="1439"/>
        <v>2.3260281385805426</v>
      </c>
      <c r="KS561" s="548">
        <f t="shared" si="1440"/>
        <v>2.8023363260289664</v>
      </c>
      <c r="KT561" s="473">
        <f t="shared" si="1581"/>
        <v>595.94378802984284</v>
      </c>
      <c r="KU561" s="663">
        <f t="shared" si="1462"/>
        <v>4.0425359903470914</v>
      </c>
      <c r="KV561" s="117"/>
    </row>
    <row r="562" spans="1:308" s="26" customFormat="1" ht="15" outlineLevel="1">
      <c r="A562" s="561">
        <f t="shared" si="1541"/>
        <v>5062</v>
      </c>
      <c r="B562" s="561">
        <f t="shared" si="1542"/>
        <v>62</v>
      </c>
      <c r="C562" s="561">
        <f t="shared" si="1543"/>
        <v>5</v>
      </c>
      <c r="D562" s="561" t="str">
        <f t="shared" si="1509"/>
        <v xml:space="preserve">1000 CC, 0/0/0.9/3.9, -360 Lease, </v>
      </c>
      <c r="E562" s="475">
        <f>INDEX(Input!$1:$1048576,E$93,$C562*2+MIN($B562,2)+5)
+INDEX(Scenarios!E$121:E$200,MATCH($B562,Scenarios!$B$121:$B$200,0))</f>
        <v>2277.4263093788063</v>
      </c>
      <c r="F562" s="475">
        <f>INDEX(Input!$1:$1048576,F$93,$C562*2+MIN($B562,2)+5)
+INDEX(Scenarios!F$121:F$200,MATCH($B562,Scenarios!$B$121:$B$200,0))</f>
        <v>0</v>
      </c>
      <c r="G562" s="475">
        <f>INDEX(Input!$1:$1048576,G$93,$C562*2+MIN($B562,2)+5)
+INDEX(Scenarios!G$121:G$200,MATCH($B562,Scenarios!$B$121:$B$200,0))</f>
        <v>0</v>
      </c>
      <c r="H562" s="475">
        <f>INDEX(Input!$1:$1048576,H$93,$C562*2+MIN($B562,2)+5)
+INDEX(Scenarios!H$121:H$200,MATCH($B562,Scenarios!$B$121:$B$200,0))</f>
        <v>0</v>
      </c>
      <c r="I562" s="476">
        <f>INDEX(Input!$1:$1048576,I$93,$C562*2+MIN($B562,2)+5)</f>
        <v>0.7</v>
      </c>
      <c r="J562" s="476" t="str">
        <f>INDEX(Input!$1:$1048576,J$93,$C562*2+MIN($B562,2)+5)</f>
        <v>Market</v>
      </c>
      <c r="K562" s="476" t="str">
        <f>INDEX(Input!$1:$1048576,K$93,$C562*2+MIN($B562,2)+5)</f>
        <v>Market</v>
      </c>
      <c r="L562" s="476" t="str">
        <f>INDEX(Input!$1:$1048576,L$93,$C562*2+MIN($B562,2)+5)</f>
        <v>Market</v>
      </c>
      <c r="M562" s="476" t="str">
        <f>INDEX(Input!$1:$1048576,M$93,$C562*2+MIN($B562,2)+5)</f>
        <v>Market</v>
      </c>
      <c r="N562" s="476" t="str">
        <f>INDEX(Input!$1:$1048576,N$93,$C562*2+MIN($B562,2)+5)</f>
        <v>Market</v>
      </c>
      <c r="O562" s="476" t="str">
        <f>INDEX(Input!$1:$1048576,O$93,$C562*2+MIN($B562,2)+5)</f>
        <v>Market</v>
      </c>
      <c r="P562" s="476" t="str">
        <f>INDEX(Input!$1:$1048576,P$93,$C562*2+MIN($B562,2)+5)</f>
        <v>N</v>
      </c>
      <c r="Q562" s="477">
        <f>INDEX(Input!$1:$1048576,Q$93,$C562*2+MIN($B562,2)+5)
+INDEX(Scenarios!Q$121:Q$200,MATCH($B562,Scenarios!$B$121:$B$200,0))</f>
        <v>0</v>
      </c>
      <c r="R562" s="478">
        <f>IFERROR(MAX(0,INDEX(Input!$1:$1048576,R$93,$C562*2+MIN($B562,2)+5)
+INDEX(Scenarios!R$121:R$200,MATCH($B562,Scenarios!$B$121:$B$200,0)),),"Market")</f>
        <v>0</v>
      </c>
      <c r="S562" s="478">
        <f>IFERROR(MAX(0,INDEX(Input!$1:$1048576,S$93,$C562*2+MIN($B562,2)+5)
+INDEX(Scenarios!S$121:S$200,MATCH($B562,Scenarios!$B$121:$B$200,0)),),"Market")</f>
        <v>0</v>
      </c>
      <c r="T562" s="478">
        <f>IFERROR(MAX(0,INDEX(Input!$1:$1048576,T$93,$C562*2+MIN($B562,2)+5)
+INDEX(Scenarios!T$121:T$200,MATCH($B562,Scenarios!$B$121:$B$200,0)),),"Market")</f>
        <v>0</v>
      </c>
      <c r="U562" s="478">
        <f>IFERROR(MAX(0,INDEX(Input!$1:$1048576,U$93,$C562*2+MIN($B562,2)+5)
+INDEX(Scenarios!U$121:U$200,MATCH($B562,Scenarios!$B$121:$B$200,0)),),"Market")</f>
        <v>0</v>
      </c>
      <c r="V562" s="478">
        <f>IFERROR(MAX(0,INDEX(Input!$1:$1048576,V$93,$C562*2+MIN($B562,2)+5)
+INDEX(Scenarios!V$121:V$200,MATCH($B562,Scenarios!$B$121:$B$200,0)),),"Market")</f>
        <v>8.9999999999999993E-3</v>
      </c>
      <c r="W562" s="885">
        <f>IFERROR(MAX(0,INDEX(Input!$1:$1048576,W$93,$C562*2+MIN($B562,2)+5)-0%,),"Market")</f>
        <v>3.9E-2</v>
      </c>
      <c r="X562" s="476" t="str">
        <f>INDEX(Input!$1:$1048576,X$93,$C562*2+MIN($B562,2)+5)</f>
        <v>Y</v>
      </c>
      <c r="Y562" s="475">
        <f>INDEX(Input!$1:$1048576,Y$93,$C562*2+MIN($B562,2)+5)
++INDEX(Scenarios!Y$121:Y$200,MATCH($B562,Scenarios!$B$121:$B$200,0))</f>
        <v>-1077.9364173925233</v>
      </c>
      <c r="Z562" s="477">
        <f>INDEX(Input!$1:$1048576,Z$93,$C562*2+MIN($B562,2)+5)
+INDEX(Scenarios!Z$121:Z$200,MATCH($B562,Scenarios!$B$121:$B$200,0))</f>
        <v>0</v>
      </c>
      <c r="AA562" s="475">
        <f>INDEX(Input!$1:$1048576,AA$93,$C562*2+MIN($B562,2)+5)
+INDEX(Scenarios!AA$121:AA$200,MATCH($B562,Scenarios!$B$121:$B$200,0))</f>
        <v>0</v>
      </c>
      <c r="AB562" s="476">
        <f>INDEX(Input!$1:$1048576,AB$93,$C562*2+MIN($B562,2)+5)</f>
        <v>0.27</v>
      </c>
      <c r="AC562" s="475">
        <f>INDEX(Input!$1:$1048576,AC$93,$C562*2+MIN($B562,2)+5)
+INDEX(Scenarios!AC$121:AC$200,MATCH($B562,Scenarios!$B$121:$B$200,0))</f>
        <v>0</v>
      </c>
      <c r="AD562" s="476">
        <f>INDEX(Input!$1:$1048576,AD$93,$C562*2+MIN($B562,2)+5)</f>
        <v>0.27</v>
      </c>
      <c r="AE562" s="475">
        <f>INDEX(Input!$1:$1048576,AE$93,$C562*2+MIN($B562,2)+5)
+INDEX(Scenarios!AE$121:AE$200,MATCH($B562,Scenarios!$B$121:$B$200,0))</f>
        <v>0</v>
      </c>
      <c r="AF562" s="476">
        <f>INDEX(Input!$1:$1048576,AF$93,$C562*2+MIN($B562,2)+5)</f>
        <v>0.2</v>
      </c>
      <c r="AG562" s="475">
        <f>INDEX(Input!$1:$1048576,AG$93,$C562*2+MIN($B562,2)+5)
+INDEX(Scenarios!AG$121:AG$200,MATCH($B562,Scenarios!$B$121:$B$200,0))</f>
        <v>500</v>
      </c>
      <c r="AH562" s="476">
        <f>INDEX(Input!$1:$1048576,AH$93,$C562*2+MIN($B562,2)+5)</f>
        <v>1</v>
      </c>
      <c r="AI562" s="475">
        <f>INDEX(Input!$1:$1048576,AI$93,$C562*2+MIN($B562,2)+5)
+INDEX(Scenarios!AI$121:AI$200,MATCH($B562,Scenarios!$B$121:$B$200,0))</f>
        <v>0</v>
      </c>
      <c r="AJ562" s="476">
        <f>INDEX(Input!$1:$1048576,AJ$93,$C562*2+MIN($B562,2)+5)</f>
        <v>0.27</v>
      </c>
      <c r="AK562" s="150">
        <f>ROUND(INDEX(Input!$1:$1048576,AK$93,$C561*2+MIN($B562,1)+5)+(Y562-VLOOKUP($C562*1000+1,$A:$HH,Y$92,FALSE)),0)</f>
        <v>2227</v>
      </c>
      <c r="AL562" s="150">
        <f>ROUND(INDEX(Input!$1:$1048576,AL$93,$C561*2+MIN($B562,1)+5)-(Y562-VLOOKUP($C562*1000+1,$A:$HH,Y$92,FALSE))/36,0)</f>
        <v>3416</v>
      </c>
      <c r="AM562" s="32" t="str">
        <f t="shared" si="1544"/>
        <v>std/std/std/std</v>
      </c>
      <c r="AN562" s="32" t="str">
        <f t="shared" si="1545"/>
        <v>$0 + 0/0/0/0.9/3.9</v>
      </c>
      <c r="AO562" s="32" t="str">
        <f t="shared" si="1546"/>
        <v>0/0/0/0.9/3.9</v>
      </c>
      <c r="AP562" s="32" t="str">
        <f t="shared" si="1526"/>
        <v>0/0/0.9/3.9</v>
      </c>
      <c r="AQ562" s="536">
        <f t="shared" si="1525"/>
        <v>0.46916371803395179</v>
      </c>
      <c r="AR562" s="32"/>
      <c r="AS562" s="302"/>
      <c r="AT562" s="3">
        <f t="shared" si="1547"/>
        <v>62</v>
      </c>
      <c r="AU562" s="41" t="s">
        <v>121</v>
      </c>
      <c r="AV562" s="41" t="s">
        <v>116</v>
      </c>
      <c r="AW562" s="41" t="str">
        <f>INDEX(Input!$1:$1048576,AW$93,$C562*2+6)</f>
        <v>Kia</v>
      </c>
      <c r="AX562" s="41" t="str">
        <f>INDEX(Input!$1:$1048576,AX$93,$C562*2+6)</f>
        <v>Kia-LR - R2</v>
      </c>
      <c r="AY562" s="41" t="str">
        <f>IF(LEN(D562)=0,"",INDEX(Input!$1:$1048576,AY$93,$C562*2+6))</f>
        <v>Compact SUV (52)</v>
      </c>
      <c r="AZ562" s="41" t="str">
        <f>INDEX(Input!$1:$1048576,AZ$93,$C562*2+6)</f>
        <v>Kia Soul</v>
      </c>
      <c r="BA562" s="3">
        <f>INDEX(Input!$1:$1048576,BA$93,$C562*2+6)</f>
        <v>2020</v>
      </c>
      <c r="BB562" s="128">
        <f>INDEX(Input!$1:$1048576,BB$93,$C562*2+6)</f>
        <v>1</v>
      </c>
      <c r="BC562" s="128">
        <f>INDEX(Input!$1:$1048576,BC$93,$C562*2+6)</f>
        <v>0.7</v>
      </c>
      <c r="BD562" s="1">
        <f>INDEX(Input!$1:$1048576,BD$93,$C562*2+6)</f>
        <v>4.4999999999999998E-2</v>
      </c>
      <c r="BE562" s="1">
        <f>INDEX(Input!$1:$1048576,BE$93,$C562*2+6)</f>
        <v>4.4999999999999998E-2</v>
      </c>
      <c r="BF562" s="1">
        <f>INDEX(Input!$1:$1048576,BF$93,$C562*2+6)</f>
        <v>0.05</v>
      </c>
      <c r="BG562" s="1">
        <f>INDEX(Input!$1:$1048576,BG$93,$C562*2+6)</f>
        <v>5.45E-2</v>
      </c>
      <c r="BH562" s="1">
        <f>INDEX(Input!$1:$1048576,BH$93,$C562*2+6)</f>
        <v>5.45E-2</v>
      </c>
      <c r="BI562" s="1">
        <f>INDEX(Input!$1:$1048576,BI$93,$C562*2+6)</f>
        <v>0.05</v>
      </c>
      <c r="BJ562" s="1">
        <f>INDEX(Input!$1:$1048576,BJ$93,$C562*2+6)</f>
        <v>0.05</v>
      </c>
      <c r="BK562" s="1">
        <f>INDEX(Input!$1:$1048576,BK$93,$C562*2+6)</f>
        <v>0.05</v>
      </c>
      <c r="BL562" s="1">
        <f>INDEX(Input!$1:$1048576,BL$93,$C562*2+6)</f>
        <v>5.5E-2</v>
      </c>
      <c r="BM562" s="1">
        <f>INDEX(Input!$1:$1048576,BM$93,$C562*2+6)</f>
        <v>0.06</v>
      </c>
      <c r="BN562" s="1">
        <f>INDEX(Input!$1:$1048576,BN$93,$C562*2+6)</f>
        <v>4.4999999999999998E-2</v>
      </c>
      <c r="BO562" s="1">
        <f>INDEX(Input!$1:$1048576,BO$93,$C562*2+6)</f>
        <v>4.4999999999999998E-2</v>
      </c>
      <c r="BP562" s="1">
        <f>INDEX(Input!$1:$1048576,BP$93,$C562*2+6)</f>
        <v>0.05</v>
      </c>
      <c r="BQ562" s="1">
        <f>INDEX(Input!$1:$1048576,BQ$93,$C562*2+6)</f>
        <v>5.45E-2</v>
      </c>
      <c r="BR562" s="1">
        <f>INDEX(Input!$1:$1048576,BR$93,$C562*2+6)</f>
        <v>5.45E-2</v>
      </c>
      <c r="BS562" s="1">
        <f>INDEX(Input!$1:$1048576,BS$93,$C562*2+6)</f>
        <v>0.05</v>
      </c>
      <c r="BT562" s="1">
        <f>INDEX(Input!$1:$1048576,BT$93,$C562*2+6)</f>
        <v>0.05</v>
      </c>
      <c r="BU562" s="1">
        <f>INDEX(Input!$1:$1048576,BU$93,$C562*2+6)</f>
        <v>0.05</v>
      </c>
      <c r="BV562" s="1">
        <f>INDEX(Input!$1:$1048576,BV$93,$C562*2+6)</f>
        <v>5.5E-2</v>
      </c>
      <c r="BW562" s="1">
        <f>INDEX(Input!$1:$1048576,BW$93,$C562*2+6)</f>
        <v>0.06</v>
      </c>
      <c r="BX562" s="127">
        <f>INDEX(Input!$1:$1048576,BX$93,$C562*2+6)</f>
        <v>19985</v>
      </c>
      <c r="BY562" s="20">
        <f>INDEX(Input!$1:$1048576,BY$93,$C562*2+6)</f>
        <v>0.1</v>
      </c>
      <c r="BZ562" s="20">
        <f>INDEX(Input!$1:$1048576,BZ$93,$C562*2+6)</f>
        <v>0.1</v>
      </c>
      <c r="CA562" s="20">
        <f>INDEX(Input!$1:$1048576,CA$93,$C562*2+6)</f>
        <v>0.1</v>
      </c>
      <c r="CB562" s="20">
        <f>INDEX(Input!$1:$1048576,CB$93,$C562*2+6)</f>
        <v>0.1</v>
      </c>
      <c r="CC562" s="20">
        <f>INDEX(Input!$1:$1048576,CC$93,$C562*2+6)</f>
        <v>0.1</v>
      </c>
      <c r="CD562" s="384">
        <f>INDEX(Input!$1:$1048576,CD$93,$C562*2+6)</f>
        <v>0.1</v>
      </c>
      <c r="CE562" s="384">
        <f>INDEX(Input!$1:$1048576,CE$93,$C562*2+6)</f>
        <v>0.1</v>
      </c>
      <c r="CF562" s="384">
        <f>INDEX(Input!$1:$1048576,CF$93,$C562*2+6)</f>
        <v>0.1</v>
      </c>
      <c r="CG562" s="384">
        <f>INDEX(Input!$1:$1048576,CG$93,$C562*2+6)</f>
        <v>0.1</v>
      </c>
      <c r="CH562" s="384">
        <f>INDEX(Input!$1:$1048576,CH$93,$C562*2+6)</f>
        <v>0.1</v>
      </c>
      <c r="CI562" s="304">
        <f t="shared" si="1527"/>
        <v>2277.4263093788063</v>
      </c>
      <c r="CJ562" s="16" t="str">
        <f>INDEX(Input!$1:$1048576,CJ$93,$C562*2+6)</f>
        <v>N</v>
      </c>
      <c r="CK562" s="1" t="str">
        <f t="shared" si="1528"/>
        <v>Market</v>
      </c>
      <c r="CL562" s="1" t="str">
        <f t="shared" si="1529"/>
        <v>Market</v>
      </c>
      <c r="CM562" s="1" t="str">
        <f t="shared" si="1530"/>
        <v>Market</v>
      </c>
      <c r="CN562" s="1" t="str">
        <f t="shared" si="1531"/>
        <v>Market</v>
      </c>
      <c r="CO562" s="1" t="str">
        <f t="shared" si="1532"/>
        <v>Market</v>
      </c>
      <c r="CP562" s="304">
        <f t="shared" si="1533"/>
        <v>500</v>
      </c>
      <c r="CQ562" s="1">
        <f t="shared" si="1534"/>
        <v>0</v>
      </c>
      <c r="CR562" s="1">
        <f t="shared" si="1535"/>
        <v>0</v>
      </c>
      <c r="CS562" s="1">
        <f t="shared" si="1536"/>
        <v>0</v>
      </c>
      <c r="CT562" s="1">
        <f t="shared" si="1537"/>
        <v>8.9999999999999993E-3</v>
      </c>
      <c r="CU562" s="1">
        <f t="shared" si="1538"/>
        <v>3.9E-2</v>
      </c>
      <c r="CV562" s="304">
        <f t="shared" si="1539"/>
        <v>-1077.9364173925233</v>
      </c>
      <c r="CW562" s="20" t="s">
        <v>122</v>
      </c>
      <c r="CX562" s="20" t="s">
        <v>122</v>
      </c>
      <c r="CY562" s="20" t="s">
        <v>122</v>
      </c>
      <c r="CZ562" s="20" t="s">
        <v>122</v>
      </c>
      <c r="DA562" s="20" t="s">
        <v>122</v>
      </c>
      <c r="DB562" s="503">
        <f t="shared" si="1540"/>
        <v>0</v>
      </c>
      <c r="DC562" s="127">
        <v>0</v>
      </c>
      <c r="DD562" s="127">
        <v>0</v>
      </c>
      <c r="DE562" s="127">
        <v>0</v>
      </c>
      <c r="DF562" s="127">
        <v>0</v>
      </c>
      <c r="DG562" s="127">
        <v>0</v>
      </c>
      <c r="DH562" s="127">
        <v>0</v>
      </c>
      <c r="DI562" s="127">
        <v>0</v>
      </c>
      <c r="DJ562" s="127">
        <v>0</v>
      </c>
      <c r="DK562" s="127">
        <v>0</v>
      </c>
      <c r="DL562" s="127">
        <v>0</v>
      </c>
      <c r="DM562" s="304">
        <f>INDEX(Input!$1:$1048576,DM$93,$C562*2+6)</f>
        <v>21036.84210526316</v>
      </c>
      <c r="DN562" s="20">
        <v>0</v>
      </c>
      <c r="DO562" s="20">
        <v>0</v>
      </c>
      <c r="DP562" s="20">
        <v>0</v>
      </c>
      <c r="DQ562" s="20">
        <v>0</v>
      </c>
      <c r="DR562" s="20">
        <v>0</v>
      </c>
      <c r="DS562" s="20">
        <f>INDEX(Input!$1:$1048576,DS$93,$C562*2+6)</f>
        <v>0.6</v>
      </c>
      <c r="DT562" s="20">
        <f>INDEX(Input!$1:$1048576,DT$93,$C562*2+6)</f>
        <v>0.55000000000000004</v>
      </c>
      <c r="DU562" s="20">
        <f>INDEX(Input!$1:$1048576,DU$93,$C562*2+6)</f>
        <v>0.52</v>
      </c>
      <c r="DV562" s="20">
        <f>INDEX(Input!$1:$1048576,DV$93,$C562*2+6)</f>
        <v>0.5</v>
      </c>
      <c r="DW562" s="20">
        <f>INDEX(Input!$1:$1048576,DW$93,$C562*2+6)</f>
        <v>0.45</v>
      </c>
      <c r="DX562" s="20"/>
      <c r="DY562" s="7">
        <v>0.13841082946105704</v>
      </c>
      <c r="DZ562" s="7">
        <v>0</v>
      </c>
      <c r="EA562" s="7">
        <v>0.76776550863151916</v>
      </c>
      <c r="EB562" s="7">
        <v>0</v>
      </c>
      <c r="EC562" s="7">
        <v>0</v>
      </c>
      <c r="ED562" s="7">
        <v>0</v>
      </c>
      <c r="EE562" s="7">
        <v>0</v>
      </c>
      <c r="EF562" s="7">
        <v>0</v>
      </c>
      <c r="EG562" s="7">
        <v>0</v>
      </c>
      <c r="EH562" s="7">
        <v>9.4896877379734412E-3</v>
      </c>
      <c r="EI562" s="7">
        <v>2.6386103858444497E-2</v>
      </c>
      <c r="EJ562" s="7">
        <v>0.22914968626225807</v>
      </c>
      <c r="EK562" s="7">
        <v>0.63683824994461891</v>
      </c>
      <c r="EL562" s="7">
        <v>9.8136272196705107E-2</v>
      </c>
      <c r="EM562" s="7">
        <v>5.7985997871440181E-2</v>
      </c>
      <c r="EN562" s="7">
        <v>5.7507188773944999E-2</v>
      </c>
      <c r="EO562" s="7">
        <v>0.70682260660327634</v>
      </c>
      <c r="EP562" s="7">
        <v>9.4567103114961776E-2</v>
      </c>
      <c r="EQ562" s="7">
        <v>9.3085075987029975E-2</v>
      </c>
      <c r="ER562" s="7">
        <v>4.8018025520786871E-2</v>
      </c>
      <c r="ES562" s="7">
        <v>3.583766403598377E-2</v>
      </c>
      <c r="ET562" s="7">
        <v>9.3823661907423792E-2</v>
      </c>
      <c r="EU562" s="6">
        <v>2270</v>
      </c>
      <c r="EV562" s="6">
        <v>0</v>
      </c>
      <c r="EW562" s="6">
        <v>2270</v>
      </c>
      <c r="EX562" s="6">
        <v>0</v>
      </c>
      <c r="EY562" s="6">
        <v>2326.3546706500947</v>
      </c>
      <c r="EZ562" s="6">
        <v>-366.44990394013166</v>
      </c>
      <c r="FA562" s="6">
        <v>0</v>
      </c>
      <c r="FB562" s="6">
        <v>0</v>
      </c>
      <c r="FC562" s="6">
        <v>0</v>
      </c>
      <c r="FD562" s="6">
        <v>0</v>
      </c>
      <c r="FE562" s="6">
        <v>0</v>
      </c>
      <c r="FF562" s="6">
        <v>0</v>
      </c>
      <c r="FG562" s="6">
        <v>0</v>
      </c>
      <c r="FH562" s="6">
        <v>1172.143919817765</v>
      </c>
      <c r="FI562" s="6">
        <v>1553.9796069512399</v>
      </c>
      <c r="FJ562" s="6">
        <v>2101.2110117447423</v>
      </c>
      <c r="FK562" s="6">
        <v>2251.3078348034674</v>
      </c>
      <c r="FL562" s="6">
        <v>907.07682140966358</v>
      </c>
      <c r="FM562" s="6">
        <v>2056.3546706500947</v>
      </c>
      <c r="FN562" s="6">
        <v>0</v>
      </c>
      <c r="FO562" s="6">
        <v>0</v>
      </c>
      <c r="FP562" s="6">
        <v>0</v>
      </c>
      <c r="FQ562" s="6">
        <v>0</v>
      </c>
      <c r="FR562" s="6">
        <v>0</v>
      </c>
      <c r="FS562" s="6">
        <v>0</v>
      </c>
      <c r="FT562" s="7">
        <v>0.90617633809257625</v>
      </c>
      <c r="FU562" s="7">
        <v>5.7985997871440181E-2</v>
      </c>
      <c r="FV562" s="7">
        <v>3.583766403598377E-2</v>
      </c>
      <c r="FW562" s="6">
        <v>2270</v>
      </c>
      <c r="FX562" s="6">
        <v>2326.3546706500947</v>
      </c>
      <c r="FY562" s="6">
        <v>-366.44990394013166</v>
      </c>
      <c r="FZ562" s="6">
        <v>1758.1538569113241</v>
      </c>
      <c r="GA562" s="6">
        <v>2178.7835759072545</v>
      </c>
      <c r="GB562" s="6">
        <v>17806.216424092745</v>
      </c>
      <c r="GC562" s="7">
        <v>3.064145122680037E-2</v>
      </c>
      <c r="GD562" s="7">
        <v>3.2733246627001521E-2</v>
      </c>
      <c r="GE562" s="7"/>
      <c r="GF562" s="7"/>
      <c r="GG562" s="7">
        <v>6.826685148553191E-2</v>
      </c>
      <c r="GH562" s="42">
        <v>3.2435012680393953</v>
      </c>
      <c r="GI562" s="6">
        <v>8340.3350440466093</v>
      </c>
      <c r="GJ562" s="14">
        <v>0.50394797582841722</v>
      </c>
      <c r="GK562" s="14">
        <v>0.50887573065309755</v>
      </c>
      <c r="GL562" s="14">
        <v>0.49605202417158295</v>
      </c>
      <c r="GM562" s="14">
        <v>0.49112426934690251</v>
      </c>
      <c r="GO562" s="5">
        <v>343.14810671672558</v>
      </c>
      <c r="GP562" s="5">
        <v>299.84083725090579</v>
      </c>
      <c r="GQ562" s="5">
        <v>535.04305713031317</v>
      </c>
      <c r="GR562" s="5">
        <v>410.15490233172511</v>
      </c>
      <c r="GS562" s="5">
        <v>339.42744393800166</v>
      </c>
      <c r="GT562" s="5">
        <v>293.4407446948278</v>
      </c>
      <c r="GU562" s="5">
        <v>258.04012322764959</v>
      </c>
      <c r="GV562" s="39" t="s">
        <v>392</v>
      </c>
      <c r="GW562" s="5">
        <v>492.125</v>
      </c>
      <c r="GX562" s="5">
        <v>369.09375</v>
      </c>
      <c r="GY562" s="5">
        <v>295.27499999999998</v>
      </c>
      <c r="GZ562" s="5">
        <v>252.85821728143046</v>
      </c>
      <c r="HA562" s="5">
        <v>241.34874471337258</v>
      </c>
      <c r="HB562" s="39">
        <v>266.78608289328815</v>
      </c>
      <c r="HC562" s="5">
        <v>303.31655829738077</v>
      </c>
      <c r="HD562" s="5">
        <v>250.74799238008356</v>
      </c>
      <c r="HE562" s="5">
        <v>251.12245558578954</v>
      </c>
      <c r="HF562" s="5">
        <v>229.38290951107166</v>
      </c>
      <c r="HG562" s="5">
        <v>217.65500473779989</v>
      </c>
      <c r="HH562" s="39">
        <v>250.22864443695445</v>
      </c>
      <c r="HI562" s="16"/>
      <c r="HJ562" s="19" t="str">
        <f t="shared" si="1591"/>
        <v>On</v>
      </c>
      <c r="HK562" s="1" t="str">
        <f t="shared" si="1549"/>
        <v>On</v>
      </c>
      <c r="HL562" s="16"/>
      <c r="HM562" s="639">
        <f t="shared" si="1413"/>
        <v>2.4909940070666322E-2</v>
      </c>
      <c r="HN562" s="639">
        <f t="shared" si="1414"/>
        <v>2.2052381276269151E-3</v>
      </c>
      <c r="HO562" s="639">
        <f t="shared" si="1415"/>
        <v>2.079866082302006E-3</v>
      </c>
      <c r="HP562" s="644">
        <f>(FT562*$GD562-HM562)/$JF562*INDEX(Input!$1:$1048576,$JG$93,$C562*2+6)</f>
        <v>133.6363109836125</v>
      </c>
      <c r="HQ562" s="644">
        <f>(FU562*$GD562-HN562)/$JF562*INDEX(Input!$1:$1048576,$JG$93,$C562*2+6)</f>
        <v>-8.6379405906362585</v>
      </c>
      <c r="HR562" s="644">
        <f>(FV562*$GD562-HO562)/$JF562*INDEX(Input!$1:$1048576,$JG$93,$C562*2+6)</f>
        <v>-25.499835693705265</v>
      </c>
      <c r="HS562" s="644">
        <f t="shared" ref="HS562" si="1592">IF(AND(HJ562="On",HK562="On"),IL562/1000*INDEX(KG:KG,MATCH(C562*1000+3,$KF:$KF,0))*SUM(HY562:IA562)*1.1
+INDEX(HR:HR,MATCH(C562*1000+4,$KF:$KF,0))/INDEX(IM:IM,MATCH(C562*1000+4,$KF:$KF,0))*IM562*20%,0)</f>
        <v>-49.816762459231796</v>
      </c>
      <c r="HT562" s="644">
        <f t="shared" si="1417"/>
        <v>15.912080174571695</v>
      </c>
      <c r="HU562" s="644">
        <f t="shared" si="1418"/>
        <v>1.8370566741796299</v>
      </c>
      <c r="HV562" s="648">
        <f t="shared" si="1419"/>
        <v>0</v>
      </c>
      <c r="HW562" s="648">
        <f t="shared" si="1420"/>
        <v>0</v>
      </c>
      <c r="HX562" s="648">
        <f t="shared" si="1421"/>
        <v>0</v>
      </c>
      <c r="HY562" s="644">
        <f>INDEX(Input!$1:$1048576,HY$93,$C562*2+6)*INDEX(Input!$1:$1048576,$JG$93,$C562*2+6)</f>
        <v>333.00000000000006</v>
      </c>
      <c r="HZ562" s="644">
        <f>INDEX(Input!$1:$1048576,HZ$93,$C562*2+6)*INDEX(Input!$1:$1048576,$JG$93,$C562*2+6)</f>
        <v>429</v>
      </c>
      <c r="IA562" s="644">
        <f>INDEX(Input!$1:$1048576,IA$93,$C562*2+6)*INDEX(Input!$1:$1048576,$JG$93,$C562*2+6)</f>
        <v>59</v>
      </c>
      <c r="IB562" s="644">
        <f t="shared" si="1551"/>
        <v>416.81954852438082</v>
      </c>
      <c r="IC562" s="644">
        <f t="shared" si="1552"/>
        <v>436.27413958393544</v>
      </c>
      <c r="ID562" s="644">
        <f>IF(AND(INDEX(Input!$1:$1048576,IA$93,$C562*2+7)="TOS",Y562&lt;=INDEX(Y:Y,MATCH(C562*1000+2,A:A))),0,1)*MAX(IA562+HR562+HU562+HX562,0%)</f>
        <v>35.337220980474363</v>
      </c>
      <c r="IE562" s="128">
        <f t="shared" ref="IE562" si="1593">IB562/SUM($IB562:$ID562)</f>
        <v>0.46916371803395179</v>
      </c>
      <c r="IF562" s="128">
        <f t="shared" ref="IF562" si="1594">IC562/SUM($IB562:$ID562)</f>
        <v>0.49106141526682723</v>
      </c>
      <c r="IG562" s="128">
        <f t="shared" si="1555"/>
        <v>3.9774866699220986E-2</v>
      </c>
      <c r="IH562" s="21"/>
      <c r="II562" s="19">
        <f t="shared" si="1424"/>
        <v>1240</v>
      </c>
      <c r="IJ562" s="19">
        <f t="shared" si="1425"/>
        <v>1985.7442651839444</v>
      </c>
      <c r="IK562" s="19">
        <f t="shared" si="1426"/>
        <v>-21.44990394013189</v>
      </c>
      <c r="IL562" s="19">
        <f t="shared" si="1556"/>
        <v>1030</v>
      </c>
      <c r="IM562" s="19">
        <f t="shared" si="1557"/>
        <v>340.61040546615027</v>
      </c>
      <c r="IN562" s="19">
        <f t="shared" si="1558"/>
        <v>-344.99999999999977</v>
      </c>
      <c r="IO562" s="39">
        <f t="shared" si="1429"/>
        <v>0</v>
      </c>
      <c r="IP562" s="39">
        <f t="shared" si="1430"/>
        <v>0</v>
      </c>
      <c r="IQ562" s="39">
        <f t="shared" si="1431"/>
        <v>0</v>
      </c>
      <c r="IR562" s="39">
        <v>0</v>
      </c>
      <c r="IS562" s="39">
        <v>0</v>
      </c>
      <c r="IT562" s="39">
        <v>0</v>
      </c>
      <c r="IU562" s="39">
        <v>0</v>
      </c>
      <c r="IV562" s="39">
        <v>0</v>
      </c>
      <c r="IW562" s="39">
        <v>0</v>
      </c>
      <c r="IX562" s="39">
        <f>INDEX(Input!$1:$1048576,IX$93,$C562*2+6)+INDEX(Input!$1:$1048576,IX$94,$C562*2+6)</f>
        <v>1270</v>
      </c>
      <c r="IY562" s="39">
        <f>INDEX(Input!$1:$1048576,IY$93,$C562*2+6)+INDEX(Input!$1:$1048576,IY$94,$C562*2+6)</f>
        <v>2130.0624533823611</v>
      </c>
      <c r="IZ562" s="39">
        <f>INDEX(Input!$1:$1048576,IZ$93,$C562*2+6)+INDEX(Input!$1:$1048576,IZ$94,$C562*2+6)</f>
        <v>3653.7164157747857</v>
      </c>
      <c r="JA562" s="19">
        <f t="shared" si="1559"/>
        <v>2300</v>
      </c>
      <c r="JB562" s="19">
        <f t="shared" si="1560"/>
        <v>2470.6728588485112</v>
      </c>
      <c r="JC562" s="19">
        <f t="shared" si="1561"/>
        <v>3308.7164157747857</v>
      </c>
      <c r="JD562" s="19">
        <f t="shared" si="1562"/>
        <v>2423.9324165885432</v>
      </c>
      <c r="JE562" s="21"/>
      <c r="JF562" s="1">
        <f t="shared" si="1432"/>
        <v>2.9195044280595241E-2</v>
      </c>
      <c r="JG562" s="15">
        <f>INDEX(Input!$1:$1048576,JG$93,$C562*2+6)/(1+VLOOKUP(C562*1000+INDEX(Input!$1:$1048576,JG$93+1,$C562*2+6),$A:$KK,$JK$92,FALSE))</f>
        <v>821</v>
      </c>
      <c r="JH562" s="1">
        <f t="shared" si="1563"/>
        <v>0.12119188148510472</v>
      </c>
      <c r="JI562" s="1">
        <f t="shared" si="1564"/>
        <v>-3.9059227296565739E-2</v>
      </c>
      <c r="JJ562" s="1">
        <f t="shared" si="1565"/>
        <v>0</v>
      </c>
      <c r="JK562" s="1">
        <f t="shared" si="1566"/>
        <v>8.2132654188538989E-2</v>
      </c>
      <c r="JL562" s="15">
        <f t="shared" si="1567"/>
        <v>67.430909088790514</v>
      </c>
      <c r="JM562" s="15">
        <f t="shared" si="1568"/>
        <v>888.43090908879049</v>
      </c>
      <c r="JN562" s="21"/>
      <c r="JO562" s="19">
        <f>INDEX(Input!$1:$1048576,JO$93,$C562*2+6)</f>
        <v>5995.5</v>
      </c>
      <c r="JP562" s="19">
        <f>INDEX(Input!$1:$1048576,JP$93,$C562*2+6)</f>
        <v>1890.7138380411029</v>
      </c>
      <c r="JQ562" s="39">
        <f t="shared" si="1569"/>
        <v>3571.5675834114568</v>
      </c>
      <c r="JR562" s="39">
        <f t="shared" si="1570"/>
        <v>533.2185785474403</v>
      </c>
      <c r="JS562" s="39">
        <f t="shared" si="1571"/>
        <v>2.1534964804395482</v>
      </c>
      <c r="JT562" s="39">
        <f t="shared" si="1572"/>
        <v>0.60122041940780291</v>
      </c>
      <c r="JU562" s="385">
        <f>(JQ562*JM562-INDEX(Input!$1:$1048576,Input!A$18,$C562*2+6)*JL562*INDEX(Input!$1:$1048576,Input!A$19,$C562*2+6))/1000000</f>
        <v>3.1730910350022947</v>
      </c>
      <c r="JV562" s="39">
        <f t="shared" si="1573"/>
        <v>-0.19693840396595963</v>
      </c>
      <c r="JW562" s="1">
        <f t="shared" si="1574"/>
        <v>-5.8438185046316087E-2</v>
      </c>
      <c r="JX562" s="19">
        <f t="shared" si="1575"/>
        <v>8916.0954157705073</v>
      </c>
      <c r="JZ562" s="341"/>
      <c r="KA562" s="342"/>
      <c r="KB562" s="469">
        <f t="shared" si="1576"/>
        <v>2.5122967434604799</v>
      </c>
      <c r="KI562" s="473">
        <f t="shared" ref="KI562" si="1595">$JM562*IE562-$JG562*HY562/SUM($HY562:$IA562)</f>
        <v>83.819548524380707</v>
      </c>
      <c r="KJ562" s="473">
        <f t="shared" ref="KJ562" si="1596">$JM562*IF562-$JG562*HZ562/SUM($HY562:$IA562)</f>
        <v>7.27413958393538</v>
      </c>
      <c r="KK562" s="473">
        <f t="shared" si="1579"/>
        <v>-23.662779019525644</v>
      </c>
      <c r="KN562" s="544">
        <f t="shared" si="1580"/>
        <v>5002</v>
      </c>
      <c r="KO562" s="541">
        <f t="shared" si="1436"/>
        <v>7.774446826043846E-2</v>
      </c>
      <c r="KP562" s="546">
        <f t="shared" si="1437"/>
        <v>607.3728280155683</v>
      </c>
      <c r="KQ562" s="546">
        <f t="shared" si="1438"/>
        <v>505.01365086527676</v>
      </c>
      <c r="KR562" s="548">
        <f t="shared" si="1439"/>
        <v>2.312480595646154</v>
      </c>
      <c r="KS562" s="548">
        <f t="shared" si="1440"/>
        <v>2.7811879474985144</v>
      </c>
      <c r="KT562" s="473">
        <f t="shared" si="1581"/>
        <v>595.94378802984284</v>
      </c>
      <c r="KU562" s="663">
        <f t="shared" si="1462"/>
        <v>4.0466137277122263</v>
      </c>
    </row>
    <row r="563" spans="1:308" s="26" customFormat="1" ht="15" outlineLevel="1">
      <c r="A563" s="561">
        <f t="shared" si="1541"/>
        <v>5063</v>
      </c>
      <c r="B563" s="561">
        <f t="shared" si="1542"/>
        <v>63</v>
      </c>
      <c r="C563" s="561">
        <f t="shared" si="1543"/>
        <v>5</v>
      </c>
      <c r="D563" s="561" t="str">
        <f t="shared" si="1509"/>
        <v xml:space="preserve">500 CC, 500 Combo, -180 Lease, </v>
      </c>
      <c r="E563" s="475">
        <f>INDEX(Input!$1:$1048576,E$93,$C563*2+MIN($B563,2)+5)
+INDEX(Scenarios!E$121:E$200,MATCH($B563,Scenarios!$B$121:$B$200,0))</f>
        <v>1777.4263093788063</v>
      </c>
      <c r="F563" s="475">
        <f>INDEX(Input!$1:$1048576,F$93,$C563*2+MIN($B563,2)+5)
+INDEX(Scenarios!F$121:F$200,MATCH($B563,Scenarios!$B$121:$B$200,0))</f>
        <v>0</v>
      </c>
      <c r="G563" s="475">
        <f>INDEX(Input!$1:$1048576,G$93,$C563*2+MIN($B563,2)+5)
+INDEX(Scenarios!G$121:G$200,MATCH($B563,Scenarios!$B$121:$B$200,0))</f>
        <v>0</v>
      </c>
      <c r="H563" s="475">
        <f>INDEX(Input!$1:$1048576,H$93,$C563*2+MIN($B563,2)+5)
+INDEX(Scenarios!H$121:H$200,MATCH($B563,Scenarios!$B$121:$B$200,0))</f>
        <v>0</v>
      </c>
      <c r="I563" s="476">
        <f>INDEX(Input!$1:$1048576,I$93,$C563*2+MIN($B563,2)+5)</f>
        <v>0.7</v>
      </c>
      <c r="J563" s="476" t="str">
        <f>INDEX(Input!$1:$1048576,J$93,$C563*2+MIN($B563,2)+5)</f>
        <v>Market</v>
      </c>
      <c r="K563" s="476" t="str">
        <f>INDEX(Input!$1:$1048576,K$93,$C563*2+MIN($B563,2)+5)</f>
        <v>Market</v>
      </c>
      <c r="L563" s="476" t="str">
        <f>INDEX(Input!$1:$1048576,L$93,$C563*2+MIN($B563,2)+5)</f>
        <v>Market</v>
      </c>
      <c r="M563" s="476" t="str">
        <f>INDEX(Input!$1:$1048576,M$93,$C563*2+MIN($B563,2)+5)</f>
        <v>Market</v>
      </c>
      <c r="N563" s="476" t="str">
        <f>INDEX(Input!$1:$1048576,N$93,$C563*2+MIN($B563,2)+5)</f>
        <v>Market</v>
      </c>
      <c r="O563" s="476" t="str">
        <f>INDEX(Input!$1:$1048576,O$93,$C563*2+MIN($B563,2)+5)</f>
        <v>Market</v>
      </c>
      <c r="P563" s="476" t="str">
        <f>INDEX(Input!$1:$1048576,P$93,$C563*2+MIN($B563,2)+5)</f>
        <v>N</v>
      </c>
      <c r="Q563" s="477">
        <f>INDEX(Input!$1:$1048576,Q$93,$C563*2+MIN($B563,2)+5)
+INDEX(Scenarios!Q$121:Q$200,MATCH($B563,Scenarios!$B$121:$B$200,0))</f>
        <v>500</v>
      </c>
      <c r="R563" s="478">
        <f>IFERROR(MAX(0,INDEX(Input!$1:$1048576,R$93,$C563*2+MIN($B563,2)+5)
+INDEX(Scenarios!R$121:R$200,MATCH($B563,Scenarios!$B$121:$B$200,0)),),"Market")</f>
        <v>0</v>
      </c>
      <c r="S563" s="478">
        <f>IFERROR(MAX(0,INDEX(Input!$1:$1048576,S$93,$C563*2+MIN($B563,2)+5)
+INDEX(Scenarios!S$121:S$200,MATCH($B563,Scenarios!$B$121:$B$200,0)),),"Market")</f>
        <v>0</v>
      </c>
      <c r="T563" s="478">
        <f>IFERROR(MAX(0,INDEX(Input!$1:$1048576,T$93,$C563*2+MIN($B563,2)+5)
+INDEX(Scenarios!T$121:T$200,MATCH($B563,Scenarios!$B$121:$B$200,0)),),"Market")</f>
        <v>0</v>
      </c>
      <c r="U563" s="478">
        <f>IFERROR(MAX(0,INDEX(Input!$1:$1048576,U$93,$C563*2+MIN($B563,2)+5)
+INDEX(Scenarios!U$121:U$200,MATCH($B563,Scenarios!$B$121:$B$200,0)),),"Market")</f>
        <v>0</v>
      </c>
      <c r="V563" s="478">
        <f>IFERROR(MAX(0,INDEX(Input!$1:$1048576,V$93,$C563*2+MIN($B563,2)+5)
+INDEX(Scenarios!V$121:V$200,MATCH($B563,Scenarios!$B$121:$B$200,0)),),"Market")</f>
        <v>1.9E-2</v>
      </c>
      <c r="W563" s="885">
        <f>IFERROR(MAX(0,INDEX(Input!$1:$1048576,W$93,$C563*2+MIN($B563,2)+5)-0%,),"Market")</f>
        <v>3.9E-2</v>
      </c>
      <c r="X563" s="476" t="str">
        <f>INDEX(Input!$1:$1048576,X$93,$C563*2+MIN($B563,2)+5)</f>
        <v>Y</v>
      </c>
      <c r="Y563" s="475">
        <f>INDEX(Input!$1:$1048576,Y$93,$C563*2+MIN($B563,2)+5)
++INDEX(Scenarios!Y$121:Y$200,MATCH($B563,Scenarios!$B$121:$B$200,0))</f>
        <v>-897.93641739252325</v>
      </c>
      <c r="Z563" s="477">
        <f>INDEX(Input!$1:$1048576,Z$93,$C563*2+MIN($B563,2)+5)
+INDEX(Scenarios!Z$121:Z$200,MATCH($B563,Scenarios!$B$121:$B$200,0))</f>
        <v>0</v>
      </c>
      <c r="AA563" s="475">
        <f>INDEX(Input!$1:$1048576,AA$93,$C563*2+MIN($B563,2)+5)
+INDEX(Scenarios!AA$121:AA$200,MATCH($B563,Scenarios!$B$121:$B$200,0))</f>
        <v>0</v>
      </c>
      <c r="AB563" s="476">
        <f>INDEX(Input!$1:$1048576,AB$93,$C563*2+MIN($B563,2)+5)</f>
        <v>0.27</v>
      </c>
      <c r="AC563" s="475">
        <f>INDEX(Input!$1:$1048576,AC$93,$C563*2+MIN($B563,2)+5)
+INDEX(Scenarios!AC$121:AC$200,MATCH($B563,Scenarios!$B$121:$B$200,0))</f>
        <v>0</v>
      </c>
      <c r="AD563" s="476">
        <f>INDEX(Input!$1:$1048576,AD$93,$C563*2+MIN($B563,2)+5)</f>
        <v>0.27</v>
      </c>
      <c r="AE563" s="475">
        <f>INDEX(Input!$1:$1048576,AE$93,$C563*2+MIN($B563,2)+5)
+INDEX(Scenarios!AE$121:AE$200,MATCH($B563,Scenarios!$B$121:$B$200,0))</f>
        <v>0</v>
      </c>
      <c r="AF563" s="476">
        <f>INDEX(Input!$1:$1048576,AF$93,$C563*2+MIN($B563,2)+5)</f>
        <v>0.2</v>
      </c>
      <c r="AG563" s="475">
        <f>INDEX(Input!$1:$1048576,AG$93,$C563*2+MIN($B563,2)+5)
+INDEX(Scenarios!AG$121:AG$200,MATCH($B563,Scenarios!$B$121:$B$200,0))</f>
        <v>500</v>
      </c>
      <c r="AH563" s="476">
        <f>INDEX(Input!$1:$1048576,AH$93,$C563*2+MIN($B563,2)+5)</f>
        <v>1</v>
      </c>
      <c r="AI563" s="475">
        <f>INDEX(Input!$1:$1048576,AI$93,$C563*2+MIN($B563,2)+5)
+INDEX(Scenarios!AI$121:AI$200,MATCH($B563,Scenarios!$B$121:$B$200,0))</f>
        <v>0</v>
      </c>
      <c r="AJ563" s="476">
        <f>INDEX(Input!$1:$1048576,AJ$93,$C563*2+MIN($B563,2)+5)</f>
        <v>0.27</v>
      </c>
      <c r="AK563" s="150">
        <f>ROUND(INDEX(Input!$1:$1048576,AK$93,$C562*2+MIN($B563,1)+5)+(Y563-VLOOKUP($C563*1000+1,$A:$HH,Y$92,FALSE)),0)</f>
        <v>2407</v>
      </c>
      <c r="AL563" s="150">
        <f>ROUND(INDEX(Input!$1:$1048576,AL$93,$C562*2+MIN($B563,1)+5)-(Y563-VLOOKUP($C563*1000+1,$A:$HH,Y$92,FALSE))/36,0)</f>
        <v>3411</v>
      </c>
      <c r="AM563" s="32" t="str">
        <f t="shared" si="1544"/>
        <v>std/std/std/std</v>
      </c>
      <c r="AN563" s="32" t="str">
        <f t="shared" si="1545"/>
        <v>$500 + 0/0/0/1.9/3.9</v>
      </c>
      <c r="AO563" s="32" t="str">
        <f t="shared" si="1546"/>
        <v>0/0/0/1.9/3.9</v>
      </c>
      <c r="AP563" s="32" t="str">
        <f t="shared" si="1526"/>
        <v>0/0.9/1.9/3.9</v>
      </c>
      <c r="AQ563" s="536">
        <f t="shared" si="1525"/>
        <v>0.41996056402305892</v>
      </c>
      <c r="AR563" s="32"/>
      <c r="AS563" s="302"/>
      <c r="AT563" s="3">
        <f t="shared" si="1547"/>
        <v>63</v>
      </c>
      <c r="AU563" s="41" t="s">
        <v>121</v>
      </c>
      <c r="AV563" s="41" t="s">
        <v>116</v>
      </c>
      <c r="AW563" s="41" t="str">
        <f>INDEX(Input!$1:$1048576,AW$93,$C563*2+6)</f>
        <v>Kia</v>
      </c>
      <c r="AX563" s="41" t="str">
        <f>INDEX(Input!$1:$1048576,AX$93,$C563*2+6)</f>
        <v>Kia-LR - R2</v>
      </c>
      <c r="AY563" s="41" t="str">
        <f>IF(LEN(D563)=0,"",INDEX(Input!$1:$1048576,AY$93,$C563*2+6))</f>
        <v>Compact SUV (52)</v>
      </c>
      <c r="AZ563" s="41" t="str">
        <f>INDEX(Input!$1:$1048576,AZ$93,$C563*2+6)</f>
        <v>Kia Soul</v>
      </c>
      <c r="BA563" s="3">
        <f>INDEX(Input!$1:$1048576,BA$93,$C563*2+6)</f>
        <v>2020</v>
      </c>
      <c r="BB563" s="128">
        <f>INDEX(Input!$1:$1048576,BB$93,$C563*2+6)</f>
        <v>1</v>
      </c>
      <c r="BC563" s="128">
        <f>INDEX(Input!$1:$1048576,BC$93,$C563*2+6)</f>
        <v>0.7</v>
      </c>
      <c r="BD563" s="1">
        <f>INDEX(Input!$1:$1048576,BD$93,$C563*2+6)</f>
        <v>4.4999999999999998E-2</v>
      </c>
      <c r="BE563" s="1">
        <f>INDEX(Input!$1:$1048576,BE$93,$C563*2+6)</f>
        <v>4.4999999999999998E-2</v>
      </c>
      <c r="BF563" s="1">
        <f>INDEX(Input!$1:$1048576,BF$93,$C563*2+6)</f>
        <v>0.05</v>
      </c>
      <c r="BG563" s="1">
        <f>INDEX(Input!$1:$1048576,BG$93,$C563*2+6)</f>
        <v>5.45E-2</v>
      </c>
      <c r="BH563" s="1">
        <f>INDEX(Input!$1:$1048576,BH$93,$C563*2+6)</f>
        <v>5.45E-2</v>
      </c>
      <c r="BI563" s="1">
        <f>INDEX(Input!$1:$1048576,BI$93,$C563*2+6)</f>
        <v>0.05</v>
      </c>
      <c r="BJ563" s="1">
        <f>INDEX(Input!$1:$1048576,BJ$93,$C563*2+6)</f>
        <v>0.05</v>
      </c>
      <c r="BK563" s="1">
        <f>INDEX(Input!$1:$1048576,BK$93,$C563*2+6)</f>
        <v>0.05</v>
      </c>
      <c r="BL563" s="1">
        <f>INDEX(Input!$1:$1048576,BL$93,$C563*2+6)</f>
        <v>5.5E-2</v>
      </c>
      <c r="BM563" s="1">
        <f>INDEX(Input!$1:$1048576,BM$93,$C563*2+6)</f>
        <v>0.06</v>
      </c>
      <c r="BN563" s="1">
        <f>INDEX(Input!$1:$1048576,BN$93,$C563*2+6)</f>
        <v>4.4999999999999998E-2</v>
      </c>
      <c r="BO563" s="1">
        <f>INDEX(Input!$1:$1048576,BO$93,$C563*2+6)</f>
        <v>4.4999999999999998E-2</v>
      </c>
      <c r="BP563" s="1">
        <f>INDEX(Input!$1:$1048576,BP$93,$C563*2+6)</f>
        <v>0.05</v>
      </c>
      <c r="BQ563" s="1">
        <f>INDEX(Input!$1:$1048576,BQ$93,$C563*2+6)</f>
        <v>5.45E-2</v>
      </c>
      <c r="BR563" s="1">
        <f>INDEX(Input!$1:$1048576,BR$93,$C563*2+6)</f>
        <v>5.45E-2</v>
      </c>
      <c r="BS563" s="1">
        <f>INDEX(Input!$1:$1048576,BS$93,$C563*2+6)</f>
        <v>0.05</v>
      </c>
      <c r="BT563" s="1">
        <f>INDEX(Input!$1:$1048576,BT$93,$C563*2+6)</f>
        <v>0.05</v>
      </c>
      <c r="BU563" s="1">
        <f>INDEX(Input!$1:$1048576,BU$93,$C563*2+6)</f>
        <v>0.05</v>
      </c>
      <c r="BV563" s="1">
        <f>INDEX(Input!$1:$1048576,BV$93,$C563*2+6)</f>
        <v>5.5E-2</v>
      </c>
      <c r="BW563" s="1">
        <f>INDEX(Input!$1:$1048576,BW$93,$C563*2+6)</f>
        <v>0.06</v>
      </c>
      <c r="BX563" s="127">
        <f>INDEX(Input!$1:$1048576,BX$93,$C563*2+6)</f>
        <v>19985</v>
      </c>
      <c r="BY563" s="20">
        <f>INDEX(Input!$1:$1048576,BY$93,$C563*2+6)</f>
        <v>0.1</v>
      </c>
      <c r="BZ563" s="20">
        <f>INDEX(Input!$1:$1048576,BZ$93,$C563*2+6)</f>
        <v>0.1</v>
      </c>
      <c r="CA563" s="20">
        <f>INDEX(Input!$1:$1048576,CA$93,$C563*2+6)</f>
        <v>0.1</v>
      </c>
      <c r="CB563" s="20">
        <f>INDEX(Input!$1:$1048576,CB$93,$C563*2+6)</f>
        <v>0.1</v>
      </c>
      <c r="CC563" s="20">
        <f>INDEX(Input!$1:$1048576,CC$93,$C563*2+6)</f>
        <v>0.1</v>
      </c>
      <c r="CD563" s="384">
        <f>INDEX(Input!$1:$1048576,CD$93,$C563*2+6)</f>
        <v>0.1</v>
      </c>
      <c r="CE563" s="384">
        <f>INDEX(Input!$1:$1048576,CE$93,$C563*2+6)</f>
        <v>0.1</v>
      </c>
      <c r="CF563" s="384">
        <f>INDEX(Input!$1:$1048576,CF$93,$C563*2+6)</f>
        <v>0.1</v>
      </c>
      <c r="CG563" s="384">
        <f>INDEX(Input!$1:$1048576,CG$93,$C563*2+6)</f>
        <v>0.1</v>
      </c>
      <c r="CH563" s="384">
        <f>INDEX(Input!$1:$1048576,CH$93,$C563*2+6)</f>
        <v>0.1</v>
      </c>
      <c r="CI563" s="304">
        <f t="shared" si="1527"/>
        <v>1777.4263093788063</v>
      </c>
      <c r="CJ563" s="16" t="str">
        <f>INDEX(Input!$1:$1048576,CJ$93,$C563*2+6)</f>
        <v>N</v>
      </c>
      <c r="CK563" s="1" t="str">
        <f t="shared" si="1528"/>
        <v>Market</v>
      </c>
      <c r="CL563" s="1" t="str">
        <f t="shared" si="1529"/>
        <v>Market</v>
      </c>
      <c r="CM563" s="1" t="str">
        <f t="shared" si="1530"/>
        <v>Market</v>
      </c>
      <c r="CN563" s="1" t="str">
        <f t="shared" si="1531"/>
        <v>Market</v>
      </c>
      <c r="CO563" s="1" t="str">
        <f t="shared" si="1532"/>
        <v>Market</v>
      </c>
      <c r="CP563" s="304">
        <f t="shared" si="1533"/>
        <v>1000</v>
      </c>
      <c r="CQ563" s="1">
        <f t="shared" si="1534"/>
        <v>0</v>
      </c>
      <c r="CR563" s="1">
        <f t="shared" si="1535"/>
        <v>0</v>
      </c>
      <c r="CS563" s="1">
        <f t="shared" si="1536"/>
        <v>0</v>
      </c>
      <c r="CT563" s="1">
        <f t="shared" si="1537"/>
        <v>1.9E-2</v>
      </c>
      <c r="CU563" s="1">
        <f t="shared" si="1538"/>
        <v>3.9E-2</v>
      </c>
      <c r="CV563" s="304">
        <f t="shared" si="1539"/>
        <v>-897.93641739252325</v>
      </c>
      <c r="CW563" s="20" t="s">
        <v>122</v>
      </c>
      <c r="CX563" s="20" t="s">
        <v>122</v>
      </c>
      <c r="CY563" s="20" t="s">
        <v>122</v>
      </c>
      <c r="CZ563" s="20" t="s">
        <v>122</v>
      </c>
      <c r="DA563" s="20" t="s">
        <v>122</v>
      </c>
      <c r="DB563" s="503">
        <f t="shared" si="1540"/>
        <v>0</v>
      </c>
      <c r="DC563" s="127">
        <v>0</v>
      </c>
      <c r="DD563" s="127">
        <v>0</v>
      </c>
      <c r="DE563" s="127">
        <v>0</v>
      </c>
      <c r="DF563" s="127">
        <v>0</v>
      </c>
      <c r="DG563" s="127">
        <v>0</v>
      </c>
      <c r="DH563" s="127">
        <v>0</v>
      </c>
      <c r="DI563" s="127">
        <v>0</v>
      </c>
      <c r="DJ563" s="127">
        <v>0</v>
      </c>
      <c r="DK563" s="127">
        <v>0</v>
      </c>
      <c r="DL563" s="127">
        <v>0</v>
      </c>
      <c r="DM563" s="304">
        <f>INDEX(Input!$1:$1048576,DM$93,$C563*2+6)</f>
        <v>21036.84210526316</v>
      </c>
      <c r="DN563" s="20">
        <v>0</v>
      </c>
      <c r="DO563" s="20">
        <v>0</v>
      </c>
      <c r="DP563" s="20">
        <v>0</v>
      </c>
      <c r="DQ563" s="20">
        <v>0</v>
      </c>
      <c r="DR563" s="20">
        <v>0</v>
      </c>
      <c r="DS563" s="20">
        <f>INDEX(Input!$1:$1048576,DS$93,$C563*2+6)</f>
        <v>0.6</v>
      </c>
      <c r="DT563" s="20">
        <f>INDEX(Input!$1:$1048576,DT$93,$C563*2+6)</f>
        <v>0.55000000000000004</v>
      </c>
      <c r="DU563" s="20">
        <f>INDEX(Input!$1:$1048576,DU$93,$C563*2+6)</f>
        <v>0.52</v>
      </c>
      <c r="DV563" s="20">
        <f>INDEX(Input!$1:$1048576,DV$93,$C563*2+6)</f>
        <v>0.5</v>
      </c>
      <c r="DW563" s="20">
        <f>INDEX(Input!$1:$1048576,DW$93,$C563*2+6)</f>
        <v>0.45</v>
      </c>
      <c r="DX563" s="20"/>
      <c r="DY563" s="7">
        <v>0.12780648754904458</v>
      </c>
      <c r="DZ563" s="7">
        <v>0</v>
      </c>
      <c r="EA563" s="7">
        <v>0.7454145588221418</v>
      </c>
      <c r="EB563" s="7">
        <v>0</v>
      </c>
      <c r="EC563" s="7">
        <v>0</v>
      </c>
      <c r="ED563" s="7">
        <v>0</v>
      </c>
      <c r="EE563" s="7">
        <v>0</v>
      </c>
      <c r="EF563" s="7">
        <v>0</v>
      </c>
      <c r="EG563" s="7">
        <v>0</v>
      </c>
      <c r="EH563" s="7">
        <v>1.2090188579234259E-2</v>
      </c>
      <c r="EI563" s="7">
        <v>3.3617667644589087E-2</v>
      </c>
      <c r="EJ563" s="7">
        <v>0.29204379072539982</v>
      </c>
      <c r="EK563" s="7">
        <v>0.53719914291657156</v>
      </c>
      <c r="EL563" s="7">
        <v>0.12504921013420525</v>
      </c>
      <c r="EM563" s="7">
        <v>7.6753267119388666E-2</v>
      </c>
      <c r="EN563" s="7">
        <v>5.797973811886848E-2</v>
      </c>
      <c r="EO563" s="7">
        <v>0.71190083715419561</v>
      </c>
      <c r="EP563" s="7">
        <v>9.2196380652810703E-2</v>
      </c>
      <c r="EQ563" s="7">
        <v>9.0768524871308473E-2</v>
      </c>
      <c r="ER563" s="7">
        <v>4.7154519202816714E-2</v>
      </c>
      <c r="ES563" s="7">
        <v>5.0025686509424842E-2</v>
      </c>
      <c r="ET563" s="7">
        <v>0.12677895362881356</v>
      </c>
      <c r="EU563" s="6">
        <v>1770</v>
      </c>
      <c r="EV563" s="6">
        <v>0</v>
      </c>
      <c r="EW563" s="6">
        <v>1770</v>
      </c>
      <c r="EX563" s="6">
        <v>0</v>
      </c>
      <c r="EY563" s="6">
        <v>2515.7879036520917</v>
      </c>
      <c r="EZ563" s="6">
        <v>-186.44990394013166</v>
      </c>
      <c r="FA563" s="6">
        <v>0</v>
      </c>
      <c r="FB563" s="6">
        <v>0</v>
      </c>
      <c r="FC563" s="6">
        <v>0</v>
      </c>
      <c r="FD563" s="6">
        <v>0</v>
      </c>
      <c r="FE563" s="6">
        <v>0</v>
      </c>
      <c r="FF563" s="6">
        <v>0</v>
      </c>
      <c r="FG563" s="6">
        <v>0</v>
      </c>
      <c r="FH563" s="6">
        <v>1172.1425423765654</v>
      </c>
      <c r="FI563" s="6">
        <v>1553.9796069512404</v>
      </c>
      <c r="FJ563" s="6">
        <v>2101.2110117447405</v>
      </c>
      <c r="FK563" s="6">
        <v>1772.713997862324</v>
      </c>
      <c r="FL563" s="6">
        <v>907.07682140966358</v>
      </c>
      <c r="FM563" s="6">
        <v>1745.7879036520919</v>
      </c>
      <c r="FN563" s="6">
        <v>0</v>
      </c>
      <c r="FO563" s="6">
        <v>0</v>
      </c>
      <c r="FP563" s="6">
        <v>0</v>
      </c>
      <c r="FQ563" s="6">
        <v>0</v>
      </c>
      <c r="FR563" s="6">
        <v>0</v>
      </c>
      <c r="FS563" s="6">
        <v>0</v>
      </c>
      <c r="FT563" s="7">
        <v>0.87322104637118636</v>
      </c>
      <c r="FU563" s="7">
        <v>7.6753267119388666E-2</v>
      </c>
      <c r="FV563" s="7">
        <v>5.0025686509424842E-2</v>
      </c>
      <c r="FW563" s="6">
        <v>1770</v>
      </c>
      <c r="FX563" s="6">
        <v>2515.7879036520917</v>
      </c>
      <c r="FY563" s="6">
        <v>-186.44990394013166</v>
      </c>
      <c r="FZ563" s="6">
        <v>1758.1538569113241</v>
      </c>
      <c r="GA563" s="6">
        <v>1729.3689086175141</v>
      </c>
      <c r="GB563" s="6">
        <v>18255.631091382485</v>
      </c>
      <c r="GC563" s="7">
        <v>3.064145122680037E-2</v>
      </c>
      <c r="GD563" s="7">
        <v>3.1002921499451511E-2</v>
      </c>
      <c r="GE563" s="7"/>
      <c r="GF563" s="7"/>
      <c r="GG563" s="7">
        <v>1.1796773918298703E-2</v>
      </c>
      <c r="GH563" s="42">
        <v>-8.1903404637311077</v>
      </c>
      <c r="GI563" s="6">
        <v>-710.70059624600219</v>
      </c>
      <c r="GJ563" s="14">
        <v>0.50394797582841711</v>
      </c>
      <c r="GK563" s="14">
        <v>0.50887573065309755</v>
      </c>
      <c r="GL563" s="14">
        <v>0.49605202417158267</v>
      </c>
      <c r="GM563" s="14">
        <v>0.49112426934690262</v>
      </c>
      <c r="GO563" s="5">
        <v>343.14810671672558</v>
      </c>
      <c r="GP563" s="5">
        <v>309.37988338875158</v>
      </c>
      <c r="GQ563" s="5">
        <v>535.04305713031317</v>
      </c>
      <c r="GR563" s="5">
        <v>410.15490233172511</v>
      </c>
      <c r="GS563" s="5">
        <v>339.42744393800166</v>
      </c>
      <c r="GT563" s="5">
        <v>293.4407446948278</v>
      </c>
      <c r="GU563" s="5">
        <v>258.04012322764959</v>
      </c>
      <c r="GV563" s="39" t="s">
        <v>392</v>
      </c>
      <c r="GW563" s="5">
        <v>478.23611111111109</v>
      </c>
      <c r="GX563" s="5">
        <v>358.67708333333331</v>
      </c>
      <c r="GY563" s="5">
        <v>286.94166666666666</v>
      </c>
      <c r="GZ563" s="5">
        <v>253.19574071601335</v>
      </c>
      <c r="HA563" s="5">
        <v>234.53733318419435</v>
      </c>
      <c r="HB563" s="39">
        <v>266.98462696279626</v>
      </c>
      <c r="HC563" s="5">
        <v>295.44155829738077</v>
      </c>
      <c r="HD563" s="5">
        <v>245.37299238008356</v>
      </c>
      <c r="HE563" s="5">
        <v>246.13207097040492</v>
      </c>
      <c r="HF563" s="5">
        <v>225.22040951107164</v>
      </c>
      <c r="HG563" s="5">
        <v>214.20500473779987</v>
      </c>
      <c r="HH563" s="39">
        <v>245.04700732745619</v>
      </c>
      <c r="HI563" s="16"/>
      <c r="HJ563" s="19" t="str">
        <f t="shared" ref="HJ563" si="1597">HJ562</f>
        <v>On</v>
      </c>
      <c r="HK563" s="1" t="str">
        <f t="shared" si="1549"/>
        <v>On</v>
      </c>
      <c r="HL563" s="16"/>
      <c r="HM563" s="639">
        <f t="shared" si="1413"/>
        <v>2.4909940070666322E-2</v>
      </c>
      <c r="HN563" s="639">
        <f t="shared" si="1414"/>
        <v>2.2052381276269151E-3</v>
      </c>
      <c r="HO563" s="639">
        <f t="shared" si="1415"/>
        <v>2.079866082302006E-3</v>
      </c>
      <c r="HP563" s="644">
        <f>(FT563*$GD563-HM563)/$JF563*INDEX(Input!$1:$1048576,$JG$93,$C563*2+6)</f>
        <v>60.811091819902536</v>
      </c>
      <c r="HQ563" s="644">
        <f>(FU563*$GD563-HN563)/$JF563*INDEX(Input!$1:$1048576,$JG$93,$C563*2+6)</f>
        <v>4.9025784625513777</v>
      </c>
      <c r="HR563" s="644">
        <f>(FV563*$GD563-HO563)/$JF563*INDEX(Input!$1:$1048576,$JG$93,$C563*2+6)</f>
        <v>-14.87397357175144</v>
      </c>
      <c r="HS563" s="644">
        <f t="shared" ref="HS563:HS583" si="1598">IF(AND(HJ563="On",HK563="On"),IL563/1000*INDEX(KG:KG,MATCH(C563*1000+3,$KF:$KF,0))*SUM(HY563:IA563)*1.1
+INDEX(HR:HR,MATCH(C563*1000+4,$KF:$KF,0))/INDEX(IM:IM,MATCH(C563*1000+4,$KF:$KF,0))*IM563*20%,0)</f>
        <v>-25.77105929487173</v>
      </c>
      <c r="HT563" s="644">
        <f t="shared" si="1417"/>
        <v>29.126743578723193</v>
      </c>
      <c r="HU563" s="644">
        <f t="shared" si="1418"/>
        <v>1.1726974729823836</v>
      </c>
      <c r="HV563" s="648">
        <f t="shared" si="1419"/>
        <v>0</v>
      </c>
      <c r="HW563" s="648">
        <f t="shared" si="1420"/>
        <v>0</v>
      </c>
      <c r="HX563" s="648">
        <f t="shared" si="1421"/>
        <v>0</v>
      </c>
      <c r="HY563" s="644">
        <f>INDEX(Input!$1:$1048576,HY$93,$C563*2+6)*INDEX(Input!$1:$1048576,$JG$93,$C563*2+6)</f>
        <v>333.00000000000006</v>
      </c>
      <c r="HZ563" s="644">
        <f>INDEX(Input!$1:$1048576,HZ$93,$C563*2+6)*INDEX(Input!$1:$1048576,$JG$93,$C563*2+6)</f>
        <v>429</v>
      </c>
      <c r="IA563" s="644">
        <f>INDEX(Input!$1:$1048576,IA$93,$C563*2+6)*INDEX(Input!$1:$1048576,$JG$93,$C563*2+6)</f>
        <v>59</v>
      </c>
      <c r="IB563" s="644">
        <f t="shared" si="1551"/>
        <v>368.04003252503094</v>
      </c>
      <c r="IC563" s="644">
        <f t="shared" si="1552"/>
        <v>463.02932204127455</v>
      </c>
      <c r="ID563" s="644">
        <f>IF(AND(INDEX(Input!$1:$1048576,IA$93,$C563*2+7)="TOS",Y563&lt;=INDEX(Y:Y,MATCH(C563*1000+2,A:A))),0,1)*MAX(IA563+HR563+HU563+HX563,0%)</f>
        <v>45.298723901230943</v>
      </c>
      <c r="IE563" s="128">
        <f t="shared" ref="IE563:IE574" si="1599">IB563/SUM($IB563:$ID563)</f>
        <v>0.41996056402305892</v>
      </c>
      <c r="IF563" s="128">
        <f t="shared" ref="IF563:IF574" si="1600">IC563/SUM($IB563:$ID563)</f>
        <v>0.52835028273844953</v>
      </c>
      <c r="IG563" s="128">
        <f t="shared" si="1555"/>
        <v>5.1689153238491624E-2</v>
      </c>
      <c r="IH563" s="21"/>
      <c r="II563" s="19">
        <f t="shared" si="1424"/>
        <v>1240</v>
      </c>
      <c r="IJ563" s="19">
        <f t="shared" si="1425"/>
        <v>1985.7442651839444</v>
      </c>
      <c r="IK563" s="19">
        <f t="shared" si="1426"/>
        <v>-21.44990394013189</v>
      </c>
      <c r="IL563" s="19">
        <f t="shared" si="1556"/>
        <v>530</v>
      </c>
      <c r="IM563" s="19">
        <f t="shared" si="1557"/>
        <v>530.04363846814726</v>
      </c>
      <c r="IN563" s="19">
        <f t="shared" si="1558"/>
        <v>-164.99999999999977</v>
      </c>
      <c r="IO563" s="39">
        <f t="shared" si="1429"/>
        <v>0</v>
      </c>
      <c r="IP563" s="39">
        <f t="shared" si="1430"/>
        <v>0</v>
      </c>
      <c r="IQ563" s="39">
        <f t="shared" si="1431"/>
        <v>0</v>
      </c>
      <c r="IR563" s="39">
        <v>0</v>
      </c>
      <c r="IS563" s="39">
        <v>0</v>
      </c>
      <c r="IT563" s="39">
        <v>0</v>
      </c>
      <c r="IU563" s="39">
        <v>0</v>
      </c>
      <c r="IV563" s="39">
        <v>0</v>
      </c>
      <c r="IW563" s="39">
        <v>0</v>
      </c>
      <c r="IX563" s="39">
        <f>INDEX(Input!$1:$1048576,IX$93,$C563*2+6)+INDEX(Input!$1:$1048576,IX$94,$C563*2+6)</f>
        <v>1270</v>
      </c>
      <c r="IY563" s="39">
        <f>INDEX(Input!$1:$1048576,IY$93,$C563*2+6)+INDEX(Input!$1:$1048576,IY$94,$C563*2+6)</f>
        <v>2130.0624533823611</v>
      </c>
      <c r="IZ563" s="39">
        <f>INDEX(Input!$1:$1048576,IZ$93,$C563*2+6)+INDEX(Input!$1:$1048576,IZ$94,$C563*2+6)</f>
        <v>3653.7164157747857</v>
      </c>
      <c r="JA563" s="19">
        <f t="shared" si="1559"/>
        <v>1800</v>
      </c>
      <c r="JB563" s="19">
        <f t="shared" si="1560"/>
        <v>2660.1060918505082</v>
      </c>
      <c r="JC563" s="19">
        <f t="shared" si="1561"/>
        <v>3488.7164157747857</v>
      </c>
      <c r="JD563" s="19">
        <f t="shared" si="1562"/>
        <v>2341.7256184056182</v>
      </c>
      <c r="JE563" s="21"/>
      <c r="JF563" s="1">
        <f t="shared" si="1432"/>
        <v>2.9195044280595241E-2</v>
      </c>
      <c r="JG563" s="15">
        <f>INDEX(Input!$1:$1048576,JG$93,$C563*2+6)/(1+VLOOKUP(C563*1000+INDEX(Input!$1:$1048576,JG$93+1,$C563*2+6),$A:$KK,$JK$92,FALSE))</f>
        <v>821</v>
      </c>
      <c r="JH563" s="1">
        <f t="shared" si="1563"/>
        <v>6.1924112924119944E-2</v>
      </c>
      <c r="JI563" s="1">
        <f t="shared" si="1564"/>
        <v>5.5156903250107754E-3</v>
      </c>
      <c r="JJ563" s="1">
        <f t="shared" si="1565"/>
        <v>0</v>
      </c>
      <c r="JK563" s="1">
        <f t="shared" si="1566"/>
        <v>6.7439803249130723E-2</v>
      </c>
      <c r="JL563" s="15">
        <f t="shared" si="1567"/>
        <v>55.368078467536321</v>
      </c>
      <c r="JM563" s="15">
        <f t="shared" si="1568"/>
        <v>876.36807846753629</v>
      </c>
      <c r="JN563" s="21"/>
      <c r="JO563" s="19">
        <f>INDEX(Input!$1:$1048576,JO$93,$C563*2+6)</f>
        <v>5995.5</v>
      </c>
      <c r="JP563" s="19">
        <f>INDEX(Input!$1:$1048576,JP$93,$C563*2+6)</f>
        <v>1890.7138380411029</v>
      </c>
      <c r="JQ563" s="39">
        <f t="shared" si="1569"/>
        <v>3653.7743815943818</v>
      </c>
      <c r="JR563" s="39">
        <f t="shared" si="1570"/>
        <v>451.01178036451529</v>
      </c>
      <c r="JS563" s="39">
        <f t="shared" si="1571"/>
        <v>2.0522135805003345</v>
      </c>
      <c r="JT563" s="39">
        <f t="shared" si="1572"/>
        <v>0.49993751946858922</v>
      </c>
      <c r="JU563" s="385">
        <f>(JQ563*JM563-INDEX(Input!$1:$1048576,Input!A$18,$C563*2+6)*JL563*INDEX(Input!$1:$1048576,Input!A$19,$C563*2+6))/1000000</f>
        <v>3.2020512339517793</v>
      </c>
      <c r="JV563" s="39">
        <f t="shared" si="1573"/>
        <v>-0.16797820501647509</v>
      </c>
      <c r="JW563" s="1">
        <f t="shared" si="1574"/>
        <v>-4.9844729269754445E-2</v>
      </c>
      <c r="JX563" s="19">
        <f t="shared" si="1575"/>
        <v>9029.3456682213564</v>
      </c>
      <c r="JZ563" s="341"/>
      <c r="KA563" s="342"/>
      <c r="KB563" s="469">
        <f t="shared" si="1576"/>
        <v>2.5122967434604799</v>
      </c>
      <c r="KI563" s="473">
        <f t="shared" ref="KI563:KI574" si="1601">$JM563*IE563-$JG563*HY563/SUM($HY563:$IA563)</f>
        <v>35.040032525030824</v>
      </c>
      <c r="KJ563" s="473">
        <f t="shared" ref="KJ563:KJ574" si="1602">$JM563*IF563-$JG563*HZ563/SUM($HY563:$IA563)</f>
        <v>34.029322041274497</v>
      </c>
      <c r="KK563" s="473">
        <f t="shared" si="1579"/>
        <v>-13.701276098769064</v>
      </c>
      <c r="KN563" s="544">
        <f t="shared" si="1580"/>
        <v>5002</v>
      </c>
      <c r="KO563" s="541">
        <f t="shared" si="1436"/>
        <v>6.3111198705517957E-2</v>
      </c>
      <c r="KP563" s="546">
        <f t="shared" si="1437"/>
        <v>464.87365395850298</v>
      </c>
      <c r="KQ563" s="546">
        <f t="shared" si="1438"/>
        <v>422.80685268235175</v>
      </c>
      <c r="KR563" s="548">
        <f t="shared" si="1439"/>
        <v>2.4526493013696271</v>
      </c>
      <c r="KS563" s="548">
        <f t="shared" si="1440"/>
        <v>2.6966735174064498</v>
      </c>
      <c r="KT563" s="473">
        <f t="shared" si="1581"/>
        <v>595.94378802984284</v>
      </c>
      <c r="KU563" s="663">
        <f t="shared" si="1462"/>
        <v>4.0159222031372321</v>
      </c>
    </row>
    <row r="564" spans="1:308" s="26" customFormat="1" ht="15" outlineLevel="1">
      <c r="A564" s="561">
        <f t="shared" si="1541"/>
        <v>5064</v>
      </c>
      <c r="B564" s="561">
        <f t="shared" si="1542"/>
        <v>64</v>
      </c>
      <c r="C564" s="561">
        <f t="shared" si="1543"/>
        <v>5</v>
      </c>
      <c r="D564" s="561" t="str">
        <f t="shared" si="1509"/>
        <v xml:space="preserve">1000 CC, 1000 Combo, -180 Lease, </v>
      </c>
      <c r="E564" s="475">
        <f>INDEX(Input!$1:$1048576,E$93,$C564*2+MIN($B564,2)+5)
+INDEX(Scenarios!E$121:E$200,MATCH($B564,Scenarios!$B$121:$B$200,0))</f>
        <v>2277.4263093788063</v>
      </c>
      <c r="F564" s="475">
        <f>INDEX(Input!$1:$1048576,F$93,$C564*2+MIN($B564,2)+5)
+INDEX(Scenarios!F$121:F$200,MATCH($B564,Scenarios!$B$121:$B$200,0))</f>
        <v>0</v>
      </c>
      <c r="G564" s="475">
        <f>INDEX(Input!$1:$1048576,G$93,$C564*2+MIN($B564,2)+5)
+INDEX(Scenarios!G$121:G$200,MATCH($B564,Scenarios!$B$121:$B$200,0))</f>
        <v>0</v>
      </c>
      <c r="H564" s="475">
        <f>INDEX(Input!$1:$1048576,H$93,$C564*2+MIN($B564,2)+5)
+INDEX(Scenarios!H$121:H$200,MATCH($B564,Scenarios!$B$121:$B$200,0))</f>
        <v>0</v>
      </c>
      <c r="I564" s="476">
        <f>INDEX(Input!$1:$1048576,I$93,$C564*2+MIN($B564,2)+5)</f>
        <v>0.7</v>
      </c>
      <c r="J564" s="476" t="str">
        <f>INDEX(Input!$1:$1048576,J$93,$C564*2+MIN($B564,2)+5)</f>
        <v>Market</v>
      </c>
      <c r="K564" s="476" t="str">
        <f>INDEX(Input!$1:$1048576,K$93,$C564*2+MIN($B564,2)+5)</f>
        <v>Market</v>
      </c>
      <c r="L564" s="476" t="str">
        <f>INDEX(Input!$1:$1048576,L$93,$C564*2+MIN($B564,2)+5)</f>
        <v>Market</v>
      </c>
      <c r="M564" s="476" t="str">
        <f>INDEX(Input!$1:$1048576,M$93,$C564*2+MIN($B564,2)+5)</f>
        <v>Market</v>
      </c>
      <c r="N564" s="476" t="str">
        <f>INDEX(Input!$1:$1048576,N$93,$C564*2+MIN($B564,2)+5)</f>
        <v>Market</v>
      </c>
      <c r="O564" s="476" t="str">
        <f>INDEX(Input!$1:$1048576,O$93,$C564*2+MIN($B564,2)+5)</f>
        <v>Market</v>
      </c>
      <c r="P564" s="476" t="str">
        <f>INDEX(Input!$1:$1048576,P$93,$C564*2+MIN($B564,2)+5)</f>
        <v>N</v>
      </c>
      <c r="Q564" s="477">
        <f>INDEX(Input!$1:$1048576,Q$93,$C564*2+MIN($B564,2)+5)
+INDEX(Scenarios!Q$121:Q$200,MATCH($B564,Scenarios!$B$121:$B$200,0))</f>
        <v>1000</v>
      </c>
      <c r="R564" s="478">
        <f>IFERROR(MAX(0,INDEX(Input!$1:$1048576,R$93,$C564*2+MIN($B564,2)+5)
+INDEX(Scenarios!R$121:R$200,MATCH($B564,Scenarios!$B$121:$B$200,0)),),"Market")</f>
        <v>0</v>
      </c>
      <c r="S564" s="478">
        <f>IFERROR(MAX(0,INDEX(Input!$1:$1048576,S$93,$C564*2+MIN($B564,2)+5)
+INDEX(Scenarios!S$121:S$200,MATCH($B564,Scenarios!$B$121:$B$200,0)),),"Market")</f>
        <v>0</v>
      </c>
      <c r="T564" s="478">
        <f>IFERROR(MAX(0,INDEX(Input!$1:$1048576,T$93,$C564*2+MIN($B564,2)+5)
+INDEX(Scenarios!T$121:T$200,MATCH($B564,Scenarios!$B$121:$B$200,0)),),"Market")</f>
        <v>0</v>
      </c>
      <c r="U564" s="478">
        <f>IFERROR(MAX(0,INDEX(Input!$1:$1048576,U$93,$C564*2+MIN($B564,2)+5)
+INDEX(Scenarios!U$121:U$200,MATCH($B564,Scenarios!$B$121:$B$200,0)),),"Market")</f>
        <v>0</v>
      </c>
      <c r="V564" s="478">
        <f>IFERROR(MAX(0,INDEX(Input!$1:$1048576,V$93,$C564*2+MIN($B564,2)+5)
+INDEX(Scenarios!V$121:V$200,MATCH($B564,Scenarios!$B$121:$B$200,0)),),"Market")</f>
        <v>1.9E-2</v>
      </c>
      <c r="W564" s="885">
        <f>IFERROR(MAX(0,INDEX(Input!$1:$1048576,W$93,$C564*2+MIN($B564,2)+5)-0%,),"Market")</f>
        <v>3.9E-2</v>
      </c>
      <c r="X564" s="476" t="str">
        <f>INDEX(Input!$1:$1048576,X$93,$C564*2+MIN($B564,2)+5)</f>
        <v>Y</v>
      </c>
      <c r="Y564" s="475">
        <f>INDEX(Input!$1:$1048576,Y$93,$C564*2+MIN($B564,2)+5)
++INDEX(Scenarios!Y$121:Y$200,MATCH($B564,Scenarios!$B$121:$B$200,0))</f>
        <v>-897.93641739252325</v>
      </c>
      <c r="Z564" s="477">
        <f>INDEX(Input!$1:$1048576,Z$93,$C564*2+MIN($B564,2)+5)
+INDEX(Scenarios!Z$121:Z$200,MATCH($B564,Scenarios!$B$121:$B$200,0))</f>
        <v>0</v>
      </c>
      <c r="AA564" s="475">
        <f>INDEX(Input!$1:$1048576,AA$93,$C564*2+MIN($B564,2)+5)
+INDEX(Scenarios!AA$121:AA$200,MATCH($B564,Scenarios!$B$121:$B$200,0))</f>
        <v>0</v>
      </c>
      <c r="AB564" s="476">
        <f>INDEX(Input!$1:$1048576,AB$93,$C564*2+MIN($B564,2)+5)</f>
        <v>0.27</v>
      </c>
      <c r="AC564" s="475">
        <f>INDEX(Input!$1:$1048576,AC$93,$C564*2+MIN($B564,2)+5)
+INDEX(Scenarios!AC$121:AC$200,MATCH($B564,Scenarios!$B$121:$B$200,0))</f>
        <v>0</v>
      </c>
      <c r="AD564" s="476">
        <f>INDEX(Input!$1:$1048576,AD$93,$C564*2+MIN($B564,2)+5)</f>
        <v>0.27</v>
      </c>
      <c r="AE564" s="475">
        <f>INDEX(Input!$1:$1048576,AE$93,$C564*2+MIN($B564,2)+5)
+INDEX(Scenarios!AE$121:AE$200,MATCH($B564,Scenarios!$B$121:$B$200,0))</f>
        <v>0</v>
      </c>
      <c r="AF564" s="476">
        <f>INDEX(Input!$1:$1048576,AF$93,$C564*2+MIN($B564,2)+5)</f>
        <v>0.2</v>
      </c>
      <c r="AG564" s="475">
        <f>INDEX(Input!$1:$1048576,AG$93,$C564*2+MIN($B564,2)+5)
+INDEX(Scenarios!AG$121:AG$200,MATCH($B564,Scenarios!$B$121:$B$200,0))</f>
        <v>500</v>
      </c>
      <c r="AH564" s="476">
        <f>INDEX(Input!$1:$1048576,AH$93,$C564*2+MIN($B564,2)+5)</f>
        <v>1</v>
      </c>
      <c r="AI564" s="475">
        <f>INDEX(Input!$1:$1048576,AI$93,$C564*2+MIN($B564,2)+5)
+INDEX(Scenarios!AI$121:AI$200,MATCH($B564,Scenarios!$B$121:$B$200,0))</f>
        <v>0</v>
      </c>
      <c r="AJ564" s="476">
        <f>INDEX(Input!$1:$1048576,AJ$93,$C564*2+MIN($B564,2)+5)</f>
        <v>0.27</v>
      </c>
      <c r="AK564" s="150">
        <f>ROUND(INDEX(Input!$1:$1048576,AK$93,$C563*2+MIN($B564,1)+5)+(Y564-VLOOKUP($C564*1000+1,$A:$HH,Y$92,FALSE)),0)</f>
        <v>2407</v>
      </c>
      <c r="AL564" s="150">
        <f>ROUND(INDEX(Input!$1:$1048576,AL$93,$C563*2+MIN($B564,1)+5)-(Y564-VLOOKUP($C564*1000+1,$A:$HH,Y$92,FALSE))/36,0)</f>
        <v>3411</v>
      </c>
      <c r="AM564" s="32" t="str">
        <f t="shared" si="1544"/>
        <v>std/std/std/std</v>
      </c>
      <c r="AN564" s="32" t="str">
        <f t="shared" si="1545"/>
        <v>$1000 + 0/0/0/1.9/3.9</v>
      </c>
      <c r="AO564" s="32" t="str">
        <f t="shared" si="1546"/>
        <v>0/0/0/1.9/3.9</v>
      </c>
      <c r="AP564" s="32" t="str">
        <f t="shared" si="1526"/>
        <v>0/0.9/1.9/3.9</v>
      </c>
      <c r="AQ564" s="536">
        <f t="shared" si="1525"/>
        <v>0.42823674079485241</v>
      </c>
      <c r="AR564" s="32"/>
      <c r="AS564" s="302"/>
      <c r="AT564" s="3">
        <f t="shared" si="1547"/>
        <v>64</v>
      </c>
      <c r="AU564" s="41" t="s">
        <v>121</v>
      </c>
      <c r="AV564" s="41" t="s">
        <v>116</v>
      </c>
      <c r="AW564" s="41" t="str">
        <f>INDEX(Input!$1:$1048576,AW$93,$C564*2+6)</f>
        <v>Kia</v>
      </c>
      <c r="AX564" s="41" t="str">
        <f>INDEX(Input!$1:$1048576,AX$93,$C564*2+6)</f>
        <v>Kia-LR - R2</v>
      </c>
      <c r="AY564" s="41" t="str">
        <f>IF(LEN(D564)=0,"",INDEX(Input!$1:$1048576,AY$93,$C564*2+6))</f>
        <v>Compact SUV (52)</v>
      </c>
      <c r="AZ564" s="41" t="str">
        <f>INDEX(Input!$1:$1048576,AZ$93,$C564*2+6)</f>
        <v>Kia Soul</v>
      </c>
      <c r="BA564" s="3">
        <f>INDEX(Input!$1:$1048576,BA$93,$C564*2+6)</f>
        <v>2020</v>
      </c>
      <c r="BB564" s="128">
        <f>INDEX(Input!$1:$1048576,BB$93,$C564*2+6)</f>
        <v>1</v>
      </c>
      <c r="BC564" s="128">
        <f>INDEX(Input!$1:$1048576,BC$93,$C564*2+6)</f>
        <v>0.7</v>
      </c>
      <c r="BD564" s="1">
        <f>INDEX(Input!$1:$1048576,BD$93,$C564*2+6)</f>
        <v>4.4999999999999998E-2</v>
      </c>
      <c r="BE564" s="1">
        <f>INDEX(Input!$1:$1048576,BE$93,$C564*2+6)</f>
        <v>4.4999999999999998E-2</v>
      </c>
      <c r="BF564" s="1">
        <f>INDEX(Input!$1:$1048576,BF$93,$C564*2+6)</f>
        <v>0.05</v>
      </c>
      <c r="BG564" s="1">
        <f>INDEX(Input!$1:$1048576,BG$93,$C564*2+6)</f>
        <v>5.45E-2</v>
      </c>
      <c r="BH564" s="1">
        <f>INDEX(Input!$1:$1048576,BH$93,$C564*2+6)</f>
        <v>5.45E-2</v>
      </c>
      <c r="BI564" s="1">
        <f>INDEX(Input!$1:$1048576,BI$93,$C564*2+6)</f>
        <v>0.05</v>
      </c>
      <c r="BJ564" s="1">
        <f>INDEX(Input!$1:$1048576,BJ$93,$C564*2+6)</f>
        <v>0.05</v>
      </c>
      <c r="BK564" s="1">
        <f>INDEX(Input!$1:$1048576,BK$93,$C564*2+6)</f>
        <v>0.05</v>
      </c>
      <c r="BL564" s="1">
        <f>INDEX(Input!$1:$1048576,BL$93,$C564*2+6)</f>
        <v>5.5E-2</v>
      </c>
      <c r="BM564" s="1">
        <f>INDEX(Input!$1:$1048576,BM$93,$C564*2+6)</f>
        <v>0.06</v>
      </c>
      <c r="BN564" s="1">
        <f>INDEX(Input!$1:$1048576,BN$93,$C564*2+6)</f>
        <v>4.4999999999999998E-2</v>
      </c>
      <c r="BO564" s="1">
        <f>INDEX(Input!$1:$1048576,BO$93,$C564*2+6)</f>
        <v>4.4999999999999998E-2</v>
      </c>
      <c r="BP564" s="1">
        <f>INDEX(Input!$1:$1048576,BP$93,$C564*2+6)</f>
        <v>0.05</v>
      </c>
      <c r="BQ564" s="1">
        <f>INDEX(Input!$1:$1048576,BQ$93,$C564*2+6)</f>
        <v>5.45E-2</v>
      </c>
      <c r="BR564" s="1">
        <f>INDEX(Input!$1:$1048576,BR$93,$C564*2+6)</f>
        <v>5.45E-2</v>
      </c>
      <c r="BS564" s="1">
        <f>INDEX(Input!$1:$1048576,BS$93,$C564*2+6)</f>
        <v>0.05</v>
      </c>
      <c r="BT564" s="1">
        <f>INDEX(Input!$1:$1048576,BT$93,$C564*2+6)</f>
        <v>0.05</v>
      </c>
      <c r="BU564" s="1">
        <f>INDEX(Input!$1:$1048576,BU$93,$C564*2+6)</f>
        <v>0.05</v>
      </c>
      <c r="BV564" s="1">
        <f>INDEX(Input!$1:$1048576,BV$93,$C564*2+6)</f>
        <v>5.5E-2</v>
      </c>
      <c r="BW564" s="1">
        <f>INDEX(Input!$1:$1048576,BW$93,$C564*2+6)</f>
        <v>0.06</v>
      </c>
      <c r="BX564" s="127">
        <f>INDEX(Input!$1:$1048576,BX$93,$C564*2+6)</f>
        <v>19985</v>
      </c>
      <c r="BY564" s="20">
        <f>INDEX(Input!$1:$1048576,BY$93,$C564*2+6)</f>
        <v>0.1</v>
      </c>
      <c r="BZ564" s="20">
        <f>INDEX(Input!$1:$1048576,BZ$93,$C564*2+6)</f>
        <v>0.1</v>
      </c>
      <c r="CA564" s="20">
        <f>INDEX(Input!$1:$1048576,CA$93,$C564*2+6)</f>
        <v>0.1</v>
      </c>
      <c r="CB564" s="20">
        <f>INDEX(Input!$1:$1048576,CB$93,$C564*2+6)</f>
        <v>0.1</v>
      </c>
      <c r="CC564" s="20">
        <f>INDEX(Input!$1:$1048576,CC$93,$C564*2+6)</f>
        <v>0.1</v>
      </c>
      <c r="CD564" s="384">
        <f>INDEX(Input!$1:$1048576,CD$93,$C564*2+6)</f>
        <v>0.1</v>
      </c>
      <c r="CE564" s="384">
        <f>INDEX(Input!$1:$1048576,CE$93,$C564*2+6)</f>
        <v>0.1</v>
      </c>
      <c r="CF564" s="384">
        <f>INDEX(Input!$1:$1048576,CF$93,$C564*2+6)</f>
        <v>0.1</v>
      </c>
      <c r="CG564" s="384">
        <f>INDEX(Input!$1:$1048576,CG$93,$C564*2+6)</f>
        <v>0.1</v>
      </c>
      <c r="CH564" s="384">
        <f>INDEX(Input!$1:$1048576,CH$93,$C564*2+6)</f>
        <v>0.1</v>
      </c>
      <c r="CI564" s="304">
        <f t="shared" si="1527"/>
        <v>2277.4263093788063</v>
      </c>
      <c r="CJ564" s="16" t="str">
        <f>INDEX(Input!$1:$1048576,CJ$93,$C564*2+6)</f>
        <v>N</v>
      </c>
      <c r="CK564" s="1" t="str">
        <f t="shared" si="1528"/>
        <v>Market</v>
      </c>
      <c r="CL564" s="1" t="str">
        <f t="shared" si="1529"/>
        <v>Market</v>
      </c>
      <c r="CM564" s="1" t="str">
        <f t="shared" si="1530"/>
        <v>Market</v>
      </c>
      <c r="CN564" s="1" t="str">
        <f t="shared" si="1531"/>
        <v>Market</v>
      </c>
      <c r="CO564" s="1" t="str">
        <f t="shared" si="1532"/>
        <v>Market</v>
      </c>
      <c r="CP564" s="304">
        <f t="shared" si="1533"/>
        <v>1500</v>
      </c>
      <c r="CQ564" s="1">
        <f t="shared" si="1534"/>
        <v>0</v>
      </c>
      <c r="CR564" s="1">
        <f t="shared" si="1535"/>
        <v>0</v>
      </c>
      <c r="CS564" s="1">
        <f t="shared" si="1536"/>
        <v>0</v>
      </c>
      <c r="CT564" s="1">
        <f t="shared" si="1537"/>
        <v>1.9E-2</v>
      </c>
      <c r="CU564" s="1">
        <f t="shared" si="1538"/>
        <v>3.9E-2</v>
      </c>
      <c r="CV564" s="304">
        <f t="shared" si="1539"/>
        <v>-897.93641739252325</v>
      </c>
      <c r="CW564" s="20" t="s">
        <v>122</v>
      </c>
      <c r="CX564" s="20" t="s">
        <v>122</v>
      </c>
      <c r="CY564" s="20" t="s">
        <v>122</v>
      </c>
      <c r="CZ564" s="20" t="s">
        <v>122</v>
      </c>
      <c r="DA564" s="20" t="s">
        <v>122</v>
      </c>
      <c r="DB564" s="503">
        <f t="shared" si="1540"/>
        <v>0</v>
      </c>
      <c r="DC564" s="127">
        <v>0</v>
      </c>
      <c r="DD564" s="127">
        <v>0</v>
      </c>
      <c r="DE564" s="127">
        <v>0</v>
      </c>
      <c r="DF564" s="127">
        <v>0</v>
      </c>
      <c r="DG564" s="127">
        <v>0</v>
      </c>
      <c r="DH564" s="127">
        <v>0</v>
      </c>
      <c r="DI564" s="127">
        <v>0</v>
      </c>
      <c r="DJ564" s="127">
        <v>0</v>
      </c>
      <c r="DK564" s="127">
        <v>0</v>
      </c>
      <c r="DL564" s="127">
        <v>0</v>
      </c>
      <c r="DM564" s="304">
        <f>INDEX(Input!$1:$1048576,DM$93,$C564*2+6)</f>
        <v>21036.84210526316</v>
      </c>
      <c r="DN564" s="20">
        <v>0</v>
      </c>
      <c r="DO564" s="20">
        <v>0</v>
      </c>
      <c r="DP564" s="20">
        <v>0</v>
      </c>
      <c r="DQ564" s="20">
        <v>0</v>
      </c>
      <c r="DR564" s="20">
        <v>0</v>
      </c>
      <c r="DS564" s="20">
        <f>INDEX(Input!$1:$1048576,DS$93,$C564*2+6)</f>
        <v>0.6</v>
      </c>
      <c r="DT564" s="20">
        <f>INDEX(Input!$1:$1048576,DT$93,$C564*2+6)</f>
        <v>0.55000000000000004</v>
      </c>
      <c r="DU564" s="20">
        <f>INDEX(Input!$1:$1048576,DU$93,$C564*2+6)</f>
        <v>0.52</v>
      </c>
      <c r="DV564" s="20">
        <f>INDEX(Input!$1:$1048576,DV$93,$C564*2+6)</f>
        <v>0.5</v>
      </c>
      <c r="DW564" s="20">
        <f>INDEX(Input!$1:$1048576,DW$93,$C564*2+6)</f>
        <v>0.45</v>
      </c>
      <c r="DX564" s="20"/>
      <c r="DY564" s="7">
        <v>0.13566813839622144</v>
      </c>
      <c r="DZ564" s="7">
        <v>0</v>
      </c>
      <c r="EA564" s="7">
        <v>0.74888628748152919</v>
      </c>
      <c r="EB564" s="7">
        <v>0</v>
      </c>
      <c r="EC564" s="7">
        <v>0</v>
      </c>
      <c r="ED564" s="7">
        <v>0</v>
      </c>
      <c r="EE564" s="7">
        <v>0</v>
      </c>
      <c r="EF564" s="7">
        <v>0</v>
      </c>
      <c r="EG564" s="7">
        <v>0</v>
      </c>
      <c r="EH564" s="7">
        <v>1.209118482128535E-2</v>
      </c>
      <c r="EI564" s="7">
        <v>3.3625090464773182E-2</v>
      </c>
      <c r="EJ564" s="7">
        <v>0.29213185363688182</v>
      </c>
      <c r="EK564" s="7">
        <v>0.53710133168705487</v>
      </c>
      <c r="EL564" s="7">
        <v>0.12505053939000496</v>
      </c>
      <c r="EM564" s="7">
        <v>7.716439383491884E-2</v>
      </c>
      <c r="EN564" s="7">
        <v>5.7988685920742515E-2</v>
      </c>
      <c r="EO564" s="7">
        <v>0.71186010338262751</v>
      </c>
      <c r="EP564" s="7">
        <v>9.2233696268636547E-2</v>
      </c>
      <c r="EQ564" s="7">
        <v>9.0772657408119656E-2</v>
      </c>
      <c r="ER564" s="7">
        <v>4.7144857019873719E-2</v>
      </c>
      <c r="ES564" s="7">
        <v>3.828118028733047E-2</v>
      </c>
      <c r="ET564" s="7">
        <v>0.11544557412224939</v>
      </c>
      <c r="EU564" s="6">
        <v>2270</v>
      </c>
      <c r="EV564" s="6">
        <v>0</v>
      </c>
      <c r="EW564" s="6">
        <v>2270</v>
      </c>
      <c r="EX564" s="6">
        <v>0</v>
      </c>
      <c r="EY564" s="6">
        <v>3015.8135141084035</v>
      </c>
      <c r="EZ564" s="6">
        <v>-186.44990394013166</v>
      </c>
      <c r="FA564" s="6">
        <v>0</v>
      </c>
      <c r="FB564" s="6">
        <v>0</v>
      </c>
      <c r="FC564" s="6">
        <v>0</v>
      </c>
      <c r="FD564" s="6">
        <v>0</v>
      </c>
      <c r="FE564" s="6">
        <v>0</v>
      </c>
      <c r="FF564" s="6">
        <v>0</v>
      </c>
      <c r="FG564" s="6">
        <v>0</v>
      </c>
      <c r="FH564" s="6">
        <v>1172.1470619240461</v>
      </c>
      <c r="FI564" s="6">
        <v>1553.9796069512402</v>
      </c>
      <c r="FJ564" s="6">
        <v>2101.211011744741</v>
      </c>
      <c r="FK564" s="6">
        <v>1772.7139978623227</v>
      </c>
      <c r="FL564" s="6">
        <v>907.07682140966301</v>
      </c>
      <c r="FM564" s="6">
        <v>1745.8135141084035</v>
      </c>
      <c r="FN564" s="6">
        <v>0</v>
      </c>
      <c r="FO564" s="6">
        <v>0</v>
      </c>
      <c r="FP564" s="6">
        <v>0</v>
      </c>
      <c r="FQ564" s="6">
        <v>0</v>
      </c>
      <c r="FR564" s="6">
        <v>0</v>
      </c>
      <c r="FS564" s="6">
        <v>0</v>
      </c>
      <c r="FT564" s="7">
        <v>0.88455442587775068</v>
      </c>
      <c r="FU564" s="7">
        <v>7.716439383491884E-2</v>
      </c>
      <c r="FV564" s="7">
        <v>3.828118028733047E-2</v>
      </c>
      <c r="FW564" s="6">
        <v>2269.9999999999995</v>
      </c>
      <c r="FX564" s="6">
        <v>3015.8135141084035</v>
      </c>
      <c r="FY564" s="6">
        <v>-186.44990394013166</v>
      </c>
      <c r="FZ564" s="6">
        <v>1758.1538569113241</v>
      </c>
      <c r="GA564" s="6">
        <v>2233.5144460905376</v>
      </c>
      <c r="GB564" s="6">
        <v>17751.485553909464</v>
      </c>
      <c r="GC564" s="7">
        <v>3.064145122680037E-2</v>
      </c>
      <c r="GD564" s="7">
        <v>3.2872722703518126E-2</v>
      </c>
      <c r="GE564" s="7"/>
      <c r="GF564" s="7"/>
      <c r="GG564" s="7">
        <v>7.2818727161531649E-2</v>
      </c>
      <c r="GH564" s="42">
        <v>3.0614280936414788</v>
      </c>
      <c r="GI564" s="6">
        <v>8761.5135983516702</v>
      </c>
      <c r="GJ564" s="14">
        <v>0.50394797582841744</v>
      </c>
      <c r="GK564" s="14">
        <v>0.50887573065309732</v>
      </c>
      <c r="GL564" s="14">
        <v>0.49605202417158273</v>
      </c>
      <c r="GM564" s="14">
        <v>0.49112426934690256</v>
      </c>
      <c r="GO564" s="5">
        <v>343.14810671672558</v>
      </c>
      <c r="GP564" s="5">
        <v>299.84083725090579</v>
      </c>
      <c r="GQ564" s="5">
        <v>535.04305713031317</v>
      </c>
      <c r="GR564" s="5">
        <v>410.15490233172511</v>
      </c>
      <c r="GS564" s="5">
        <v>339.42744393800166</v>
      </c>
      <c r="GT564" s="5">
        <v>293.4407446948278</v>
      </c>
      <c r="GU564" s="5">
        <v>258.04012322764959</v>
      </c>
      <c r="GV564" s="39" t="s">
        <v>392</v>
      </c>
      <c r="GW564" s="5">
        <v>464.34722222222223</v>
      </c>
      <c r="GX564" s="5">
        <v>348.26041666666669</v>
      </c>
      <c r="GY564" s="5">
        <v>278.60833333333335</v>
      </c>
      <c r="GZ564" s="5">
        <v>245.84245344171217</v>
      </c>
      <c r="HA564" s="5">
        <v>227.72592165501612</v>
      </c>
      <c r="HB564" s="39">
        <v>259.23472342100672</v>
      </c>
      <c r="HC564" s="5">
        <v>295.44155829738077</v>
      </c>
      <c r="HD564" s="5">
        <v>245.37299238008356</v>
      </c>
      <c r="HE564" s="5">
        <v>246.13207097040492</v>
      </c>
      <c r="HF564" s="5">
        <v>225.22040951107164</v>
      </c>
      <c r="HG564" s="5">
        <v>214.20500473779987</v>
      </c>
      <c r="HH564" s="39">
        <v>245.04770152605718</v>
      </c>
      <c r="HI564" s="16"/>
      <c r="HJ564" s="19" t="str">
        <f t="shared" ref="HJ564" si="1603">HJ563</f>
        <v>On</v>
      </c>
      <c r="HK564" s="1" t="str">
        <f t="shared" si="1549"/>
        <v>On</v>
      </c>
      <c r="HL564" s="16"/>
      <c r="HM564" s="639">
        <f t="shared" si="1413"/>
        <v>2.4909940070666322E-2</v>
      </c>
      <c r="HN564" s="639">
        <f t="shared" si="1414"/>
        <v>2.2052381276269151E-3</v>
      </c>
      <c r="HO564" s="639">
        <f t="shared" si="1415"/>
        <v>2.079866082302006E-3</v>
      </c>
      <c r="HP564" s="644">
        <f>(FT564*$GD564-HM564)/$JF564*INDEX(Input!$1:$1048576,$JG$93,$C564*2+6)</f>
        <v>117.20280384076862</v>
      </c>
      <c r="HQ564" s="644">
        <f>(FU564*$GD564-HN564)/$JF564*INDEX(Input!$1:$1048576,$JG$93,$C564*2+6)</f>
        <v>9.3184017685813849</v>
      </c>
      <c r="HR564" s="644">
        <f>(FV564*$GD564-HO564)/$JF564*INDEX(Input!$1:$1048576,$JG$93,$C564*2+6)</f>
        <v>-23.100434734666301</v>
      </c>
      <c r="HS564" s="644">
        <f t="shared" si="1598"/>
        <v>-50.083373368193357</v>
      </c>
      <c r="HT564" s="644">
        <f t="shared" si="1417"/>
        <v>56.603885332069304</v>
      </c>
      <c r="HU564" s="644">
        <f t="shared" si="1418"/>
        <v>3.4003846463730834</v>
      </c>
      <c r="HV564" s="648">
        <f t="shared" si="1419"/>
        <v>0</v>
      </c>
      <c r="HW564" s="648">
        <f t="shared" si="1420"/>
        <v>0</v>
      </c>
      <c r="HX564" s="648">
        <f t="shared" si="1421"/>
        <v>0</v>
      </c>
      <c r="HY564" s="644">
        <f>INDEX(Input!$1:$1048576,HY$93,$C564*2+6)*INDEX(Input!$1:$1048576,$JG$93,$C564*2+6)</f>
        <v>333.00000000000006</v>
      </c>
      <c r="HZ564" s="644">
        <f>INDEX(Input!$1:$1048576,HZ$93,$C564*2+6)*INDEX(Input!$1:$1048576,$JG$93,$C564*2+6)</f>
        <v>429</v>
      </c>
      <c r="IA564" s="644">
        <f>INDEX(Input!$1:$1048576,IA$93,$C564*2+6)*INDEX(Input!$1:$1048576,$JG$93,$C564*2+6)</f>
        <v>59</v>
      </c>
      <c r="IB564" s="644">
        <f t="shared" si="1551"/>
        <v>400.11943047257535</v>
      </c>
      <c r="IC564" s="644">
        <f t="shared" si="1552"/>
        <v>494.92228710065069</v>
      </c>
      <c r="ID564" s="644">
        <f>IF(AND(INDEX(Input!$1:$1048576,IA$93,$C564*2+7)="TOS",Y564&lt;=INDEX(Y:Y,MATCH(C564*1000+2,A:A))),0,1)*MAX(IA564+HR564+HU564+HX564,0%)</f>
        <v>39.299949911706783</v>
      </c>
      <c r="IE564" s="128">
        <f t="shared" si="1599"/>
        <v>0.42823674079485241</v>
      </c>
      <c r="IF564" s="128">
        <f t="shared" si="1600"/>
        <v>0.52970161165228324</v>
      </c>
      <c r="IG564" s="128">
        <f t="shared" si="1555"/>
        <v>4.2061647552864311E-2</v>
      </c>
      <c r="IH564" s="21"/>
      <c r="II564" s="19">
        <f t="shared" si="1424"/>
        <v>1240</v>
      </c>
      <c r="IJ564" s="19">
        <f t="shared" si="1425"/>
        <v>1985.7442651839444</v>
      </c>
      <c r="IK564" s="19">
        <f t="shared" si="1426"/>
        <v>-21.44990394013189</v>
      </c>
      <c r="IL564" s="19">
        <f t="shared" si="1556"/>
        <v>1029.9999999999995</v>
      </c>
      <c r="IM564" s="19">
        <f t="shared" si="1557"/>
        <v>1030.0692489244591</v>
      </c>
      <c r="IN564" s="19">
        <f t="shared" si="1558"/>
        <v>-164.99999999999977</v>
      </c>
      <c r="IO564" s="39">
        <f t="shared" si="1429"/>
        <v>0</v>
      </c>
      <c r="IP564" s="39">
        <f t="shared" si="1430"/>
        <v>0</v>
      </c>
      <c r="IQ564" s="39">
        <f t="shared" si="1431"/>
        <v>0</v>
      </c>
      <c r="IR564" s="39">
        <v>0</v>
      </c>
      <c r="IS564" s="39">
        <v>0</v>
      </c>
      <c r="IT564" s="39">
        <v>0</v>
      </c>
      <c r="IU564" s="39">
        <v>0</v>
      </c>
      <c r="IV564" s="39">
        <v>0</v>
      </c>
      <c r="IW564" s="39">
        <v>0</v>
      </c>
      <c r="IX564" s="39">
        <f>INDEX(Input!$1:$1048576,IX$93,$C564*2+6)+INDEX(Input!$1:$1048576,IX$94,$C564*2+6)</f>
        <v>1270</v>
      </c>
      <c r="IY564" s="39">
        <f>INDEX(Input!$1:$1048576,IY$93,$C564*2+6)+INDEX(Input!$1:$1048576,IY$94,$C564*2+6)</f>
        <v>2130.0624533823611</v>
      </c>
      <c r="IZ564" s="39">
        <f>INDEX(Input!$1:$1048576,IZ$93,$C564*2+6)+INDEX(Input!$1:$1048576,IZ$94,$C564*2+6)</f>
        <v>3653.7164157747857</v>
      </c>
      <c r="JA564" s="19">
        <f t="shared" si="1559"/>
        <v>2299.9999999999995</v>
      </c>
      <c r="JB564" s="19">
        <f t="shared" si="1560"/>
        <v>3160.1317023068204</v>
      </c>
      <c r="JC564" s="19">
        <f t="shared" si="1561"/>
        <v>3488.7164157747857</v>
      </c>
      <c r="JD564" s="19">
        <f t="shared" si="1562"/>
        <v>2805.6125198657674</v>
      </c>
      <c r="JE564" s="21"/>
      <c r="JF564" s="1">
        <f t="shared" si="1432"/>
        <v>2.9195044280595241E-2</v>
      </c>
      <c r="JG564" s="15">
        <f>INDEX(Input!$1:$1048576,JG$93,$C564*2+6)/(1+VLOOKUP(C564*1000+INDEX(Input!$1:$1048576,JG$93+1,$C564*2+6),$A:$KK,$JK$92,FALSE))</f>
        <v>821</v>
      </c>
      <c r="JH564" s="1">
        <f t="shared" si="1563"/>
        <v>0.12596927024931023</v>
      </c>
      <c r="JI564" s="1">
        <f t="shared" si="1564"/>
        <v>1.2083917917477503E-2</v>
      </c>
      <c r="JJ564" s="1">
        <f t="shared" si="1565"/>
        <v>0</v>
      </c>
      <c r="JK564" s="1">
        <f t="shared" si="1566"/>
        <v>0.13805318816678774</v>
      </c>
      <c r="JL564" s="15">
        <f t="shared" si="1567"/>
        <v>113.34166748493274</v>
      </c>
      <c r="JM564" s="15">
        <f t="shared" si="1568"/>
        <v>934.34166748493271</v>
      </c>
      <c r="JN564" s="21"/>
      <c r="JO564" s="19">
        <f>INDEX(Input!$1:$1048576,JO$93,$C564*2+6)</f>
        <v>5995.5</v>
      </c>
      <c r="JP564" s="19">
        <f>INDEX(Input!$1:$1048576,JP$93,$C564*2+6)</f>
        <v>1890.7138380411029</v>
      </c>
      <c r="JQ564" s="39">
        <f t="shared" si="1569"/>
        <v>3189.8874801342326</v>
      </c>
      <c r="JR564" s="39">
        <f t="shared" si="1570"/>
        <v>914.89868182466444</v>
      </c>
      <c r="JS564" s="39">
        <f t="shared" si="1571"/>
        <v>2.621400680127985</v>
      </c>
      <c r="JT564" s="39">
        <f t="shared" si="1572"/>
        <v>1.0691246190962393</v>
      </c>
      <c r="JU564" s="385">
        <f>(JQ564*JM564-INDEX(Input!$1:$1048576,Input!A$18,$C564*2+6)*JL564*INDEX(Input!$1:$1048576,Input!A$19,$C564*2+6))/1000000</f>
        <v>2.9804447872779289</v>
      </c>
      <c r="JV564" s="39">
        <f t="shared" si="1573"/>
        <v>-0.38958465169032541</v>
      </c>
      <c r="JW564" s="1">
        <f t="shared" si="1574"/>
        <v>-0.11560274435157399</v>
      </c>
      <c r="JX564" s="19">
        <f t="shared" si="1575"/>
        <v>9432.7588681220441</v>
      </c>
      <c r="JZ564" s="341"/>
      <c r="KA564" s="342"/>
      <c r="KB564" s="469">
        <f t="shared" si="1576"/>
        <v>2.5122967434604799</v>
      </c>
      <c r="KI564" s="473">
        <f t="shared" si="1601"/>
        <v>67.119430472575232</v>
      </c>
      <c r="KJ564" s="473">
        <f t="shared" si="1602"/>
        <v>65.922287100650578</v>
      </c>
      <c r="KK564" s="473">
        <f t="shared" si="1579"/>
        <v>-19.700050088293217</v>
      </c>
      <c r="KN564" s="544">
        <f t="shared" si="1580"/>
        <v>5002</v>
      </c>
      <c r="KO564" s="541">
        <f t="shared" si="1436"/>
        <v>0.1334382373412919</v>
      </c>
      <c r="KP564" s="546">
        <f t="shared" si="1437"/>
        <v>950.40315692775744</v>
      </c>
      <c r="KQ564" s="546">
        <f t="shared" si="1438"/>
        <v>886.69375414250089</v>
      </c>
      <c r="KR564" s="548">
        <f t="shared" si="1439"/>
        <v>2.5365088678358867</v>
      </c>
      <c r="KS564" s="548">
        <f t="shared" si="1440"/>
        <v>2.7187583360140066</v>
      </c>
      <c r="KT564" s="473">
        <f t="shared" si="1581"/>
        <v>595.94378802984284</v>
      </c>
      <c r="KU564" s="663">
        <f t="shared" si="1462"/>
        <v>4.0448802538143509</v>
      </c>
    </row>
    <row r="565" spans="1:308" s="26" customFormat="1" ht="15" outlineLevel="1">
      <c r="A565" s="561">
        <f t="shared" si="1541"/>
        <v>5065</v>
      </c>
      <c r="B565" s="561">
        <f t="shared" si="1542"/>
        <v>65</v>
      </c>
      <c r="C565" s="561">
        <f t="shared" si="1543"/>
        <v>5</v>
      </c>
      <c r="D565" s="561" t="str">
        <f t="shared" si="1509"/>
        <v xml:space="preserve">500 CC, 500 Combo, -360 Lease, </v>
      </c>
      <c r="E565" s="475">
        <f>INDEX(Input!$1:$1048576,E$93,$C565*2+MIN($B565,2)+5)
+INDEX(Scenarios!E$121:E$200,MATCH($B565,Scenarios!$B$121:$B$200,0))</f>
        <v>1777.4263093788063</v>
      </c>
      <c r="F565" s="475">
        <f>INDEX(Input!$1:$1048576,F$93,$C565*2+MIN($B565,2)+5)
+INDEX(Scenarios!F$121:F$200,MATCH($B565,Scenarios!$B$121:$B$200,0))</f>
        <v>0</v>
      </c>
      <c r="G565" s="475">
        <f>INDEX(Input!$1:$1048576,G$93,$C565*2+MIN($B565,2)+5)
+INDEX(Scenarios!G$121:G$200,MATCH($B565,Scenarios!$B$121:$B$200,0))</f>
        <v>0</v>
      </c>
      <c r="H565" s="475">
        <f>INDEX(Input!$1:$1048576,H$93,$C565*2+MIN($B565,2)+5)
+INDEX(Scenarios!H$121:H$200,MATCH($B565,Scenarios!$B$121:$B$200,0))</f>
        <v>0</v>
      </c>
      <c r="I565" s="476">
        <f>INDEX(Input!$1:$1048576,I$93,$C565*2+MIN($B565,2)+5)</f>
        <v>0.7</v>
      </c>
      <c r="J565" s="476" t="str">
        <f>INDEX(Input!$1:$1048576,J$93,$C565*2+MIN($B565,2)+5)</f>
        <v>Market</v>
      </c>
      <c r="K565" s="476" t="str">
        <f>INDEX(Input!$1:$1048576,K$93,$C565*2+MIN($B565,2)+5)</f>
        <v>Market</v>
      </c>
      <c r="L565" s="476" t="str">
        <f>INDEX(Input!$1:$1048576,L$93,$C565*2+MIN($B565,2)+5)</f>
        <v>Market</v>
      </c>
      <c r="M565" s="476" t="str">
        <f>INDEX(Input!$1:$1048576,M$93,$C565*2+MIN($B565,2)+5)</f>
        <v>Market</v>
      </c>
      <c r="N565" s="476" t="str">
        <f>INDEX(Input!$1:$1048576,N$93,$C565*2+MIN($B565,2)+5)</f>
        <v>Market</v>
      </c>
      <c r="O565" s="476" t="str">
        <f>INDEX(Input!$1:$1048576,O$93,$C565*2+MIN($B565,2)+5)</f>
        <v>Market</v>
      </c>
      <c r="P565" s="476" t="str">
        <f>INDEX(Input!$1:$1048576,P$93,$C565*2+MIN($B565,2)+5)</f>
        <v>N</v>
      </c>
      <c r="Q565" s="477">
        <f>INDEX(Input!$1:$1048576,Q$93,$C565*2+MIN($B565,2)+5)
+INDEX(Scenarios!Q$121:Q$200,MATCH($B565,Scenarios!$B$121:$B$200,0))</f>
        <v>500</v>
      </c>
      <c r="R565" s="478">
        <f>IFERROR(MAX(0,INDEX(Input!$1:$1048576,R$93,$C565*2+MIN($B565,2)+5)
+INDEX(Scenarios!R$121:R$200,MATCH($B565,Scenarios!$B$121:$B$200,0)),),"Market")</f>
        <v>0</v>
      </c>
      <c r="S565" s="478">
        <f>IFERROR(MAX(0,INDEX(Input!$1:$1048576,S$93,$C565*2+MIN($B565,2)+5)
+INDEX(Scenarios!S$121:S$200,MATCH($B565,Scenarios!$B$121:$B$200,0)),),"Market")</f>
        <v>0</v>
      </c>
      <c r="T565" s="478">
        <f>IFERROR(MAX(0,INDEX(Input!$1:$1048576,T$93,$C565*2+MIN($B565,2)+5)
+INDEX(Scenarios!T$121:T$200,MATCH($B565,Scenarios!$B$121:$B$200,0)),),"Market")</f>
        <v>0</v>
      </c>
      <c r="U565" s="478">
        <f>IFERROR(MAX(0,INDEX(Input!$1:$1048576,U$93,$C565*2+MIN($B565,2)+5)
+INDEX(Scenarios!U$121:U$200,MATCH($B565,Scenarios!$B$121:$B$200,0)),),"Market")</f>
        <v>0</v>
      </c>
      <c r="V565" s="478">
        <f>IFERROR(MAX(0,INDEX(Input!$1:$1048576,V$93,$C565*2+MIN($B565,2)+5)
+INDEX(Scenarios!V$121:V$200,MATCH($B565,Scenarios!$B$121:$B$200,0)),),"Market")</f>
        <v>1.9E-2</v>
      </c>
      <c r="W565" s="885">
        <f>IFERROR(MAX(0,INDEX(Input!$1:$1048576,W$93,$C565*2+MIN($B565,2)+5)-0%,),"Market")</f>
        <v>3.9E-2</v>
      </c>
      <c r="X565" s="476" t="str">
        <f>INDEX(Input!$1:$1048576,X$93,$C565*2+MIN($B565,2)+5)</f>
        <v>Y</v>
      </c>
      <c r="Y565" s="475">
        <f>INDEX(Input!$1:$1048576,Y$93,$C565*2+MIN($B565,2)+5)
++INDEX(Scenarios!Y$121:Y$200,MATCH($B565,Scenarios!$B$121:$B$200,0))</f>
        <v>-1077.9364173925233</v>
      </c>
      <c r="Z565" s="477">
        <f>INDEX(Input!$1:$1048576,Z$93,$C565*2+MIN($B565,2)+5)
+INDEX(Scenarios!Z$121:Z$200,MATCH($B565,Scenarios!$B$121:$B$200,0))</f>
        <v>0</v>
      </c>
      <c r="AA565" s="475">
        <f>INDEX(Input!$1:$1048576,AA$93,$C565*2+MIN($B565,2)+5)
+INDEX(Scenarios!AA$121:AA$200,MATCH($B565,Scenarios!$B$121:$B$200,0))</f>
        <v>0</v>
      </c>
      <c r="AB565" s="476">
        <f>INDEX(Input!$1:$1048576,AB$93,$C565*2+MIN($B565,2)+5)</f>
        <v>0.27</v>
      </c>
      <c r="AC565" s="475">
        <f>INDEX(Input!$1:$1048576,AC$93,$C565*2+MIN($B565,2)+5)
+INDEX(Scenarios!AC$121:AC$200,MATCH($B565,Scenarios!$B$121:$B$200,0))</f>
        <v>0</v>
      </c>
      <c r="AD565" s="476">
        <f>INDEX(Input!$1:$1048576,AD$93,$C565*2+MIN($B565,2)+5)</f>
        <v>0.27</v>
      </c>
      <c r="AE565" s="475">
        <f>INDEX(Input!$1:$1048576,AE$93,$C565*2+MIN($B565,2)+5)
+INDEX(Scenarios!AE$121:AE$200,MATCH($B565,Scenarios!$B$121:$B$200,0))</f>
        <v>0</v>
      </c>
      <c r="AF565" s="476">
        <f>INDEX(Input!$1:$1048576,AF$93,$C565*2+MIN($B565,2)+5)</f>
        <v>0.2</v>
      </c>
      <c r="AG565" s="475">
        <f>INDEX(Input!$1:$1048576,AG$93,$C565*2+MIN($B565,2)+5)
+INDEX(Scenarios!AG$121:AG$200,MATCH($B565,Scenarios!$B$121:$B$200,0))</f>
        <v>500</v>
      </c>
      <c r="AH565" s="476">
        <f>INDEX(Input!$1:$1048576,AH$93,$C565*2+MIN($B565,2)+5)</f>
        <v>1</v>
      </c>
      <c r="AI565" s="475">
        <f>INDEX(Input!$1:$1048576,AI$93,$C565*2+MIN($B565,2)+5)
+INDEX(Scenarios!AI$121:AI$200,MATCH($B565,Scenarios!$B$121:$B$200,0))</f>
        <v>0</v>
      </c>
      <c r="AJ565" s="476">
        <f>INDEX(Input!$1:$1048576,AJ$93,$C565*2+MIN($B565,2)+5)</f>
        <v>0.27</v>
      </c>
      <c r="AK565" s="150">
        <f>ROUND(INDEX(Input!$1:$1048576,AK$93,$C564*2+MIN($B565,1)+5)+(Y565-VLOOKUP($C565*1000+1,$A:$HH,Y$92,FALSE)),0)</f>
        <v>2227</v>
      </c>
      <c r="AL565" s="150">
        <f>ROUND(INDEX(Input!$1:$1048576,AL$93,$C564*2+MIN($B565,1)+5)-(Y565-VLOOKUP($C565*1000+1,$A:$HH,Y$92,FALSE))/36,0)</f>
        <v>3416</v>
      </c>
      <c r="AM565" s="32" t="str">
        <f t="shared" si="1544"/>
        <v>std/std/std/std</v>
      </c>
      <c r="AN565" s="32" t="str">
        <f t="shared" si="1545"/>
        <v>$500 + 0/0/0/1.9/3.9</v>
      </c>
      <c r="AO565" s="32" t="str">
        <f t="shared" si="1546"/>
        <v>0/0/0/1.9/3.9</v>
      </c>
      <c r="AP565" s="32" t="str">
        <f t="shared" si="1526"/>
        <v>0/0.9/1.9/3.9</v>
      </c>
      <c r="AQ565" s="536">
        <f t="shared" si="1525"/>
        <v>0.42375958456184482</v>
      </c>
      <c r="AR565" s="32"/>
      <c r="AS565" s="302"/>
      <c r="AT565" s="3">
        <f t="shared" si="1547"/>
        <v>65</v>
      </c>
      <c r="AU565" s="41" t="s">
        <v>121</v>
      </c>
      <c r="AV565" s="41" t="s">
        <v>116</v>
      </c>
      <c r="AW565" s="41" t="str">
        <f>INDEX(Input!$1:$1048576,AW$93,$C565*2+6)</f>
        <v>Kia</v>
      </c>
      <c r="AX565" s="41" t="str">
        <f>INDEX(Input!$1:$1048576,AX$93,$C565*2+6)</f>
        <v>Kia-LR - R2</v>
      </c>
      <c r="AY565" s="41" t="str">
        <f>IF(LEN(D565)=0,"",INDEX(Input!$1:$1048576,AY$93,$C565*2+6))</f>
        <v>Compact SUV (52)</v>
      </c>
      <c r="AZ565" s="41" t="str">
        <f>INDEX(Input!$1:$1048576,AZ$93,$C565*2+6)</f>
        <v>Kia Soul</v>
      </c>
      <c r="BA565" s="3">
        <f>INDEX(Input!$1:$1048576,BA$93,$C565*2+6)</f>
        <v>2020</v>
      </c>
      <c r="BB565" s="128">
        <f>INDEX(Input!$1:$1048576,BB$93,$C565*2+6)</f>
        <v>1</v>
      </c>
      <c r="BC565" s="128">
        <f>INDEX(Input!$1:$1048576,BC$93,$C565*2+6)</f>
        <v>0.7</v>
      </c>
      <c r="BD565" s="1">
        <f>INDEX(Input!$1:$1048576,BD$93,$C565*2+6)</f>
        <v>4.4999999999999998E-2</v>
      </c>
      <c r="BE565" s="1">
        <f>INDEX(Input!$1:$1048576,BE$93,$C565*2+6)</f>
        <v>4.4999999999999998E-2</v>
      </c>
      <c r="BF565" s="1">
        <f>INDEX(Input!$1:$1048576,BF$93,$C565*2+6)</f>
        <v>0.05</v>
      </c>
      <c r="BG565" s="1">
        <f>INDEX(Input!$1:$1048576,BG$93,$C565*2+6)</f>
        <v>5.45E-2</v>
      </c>
      <c r="BH565" s="1">
        <f>INDEX(Input!$1:$1048576,BH$93,$C565*2+6)</f>
        <v>5.45E-2</v>
      </c>
      <c r="BI565" s="1">
        <f>INDEX(Input!$1:$1048576,BI$93,$C565*2+6)</f>
        <v>0.05</v>
      </c>
      <c r="BJ565" s="1">
        <f>INDEX(Input!$1:$1048576,BJ$93,$C565*2+6)</f>
        <v>0.05</v>
      </c>
      <c r="BK565" s="1">
        <f>INDEX(Input!$1:$1048576,BK$93,$C565*2+6)</f>
        <v>0.05</v>
      </c>
      <c r="BL565" s="1">
        <f>INDEX(Input!$1:$1048576,BL$93,$C565*2+6)</f>
        <v>5.5E-2</v>
      </c>
      <c r="BM565" s="1">
        <f>INDEX(Input!$1:$1048576,BM$93,$C565*2+6)</f>
        <v>0.06</v>
      </c>
      <c r="BN565" s="1">
        <f>INDEX(Input!$1:$1048576,BN$93,$C565*2+6)</f>
        <v>4.4999999999999998E-2</v>
      </c>
      <c r="BO565" s="1">
        <f>INDEX(Input!$1:$1048576,BO$93,$C565*2+6)</f>
        <v>4.4999999999999998E-2</v>
      </c>
      <c r="BP565" s="1">
        <f>INDEX(Input!$1:$1048576,BP$93,$C565*2+6)</f>
        <v>0.05</v>
      </c>
      <c r="BQ565" s="1">
        <f>INDEX(Input!$1:$1048576,BQ$93,$C565*2+6)</f>
        <v>5.45E-2</v>
      </c>
      <c r="BR565" s="1">
        <f>INDEX(Input!$1:$1048576,BR$93,$C565*2+6)</f>
        <v>5.45E-2</v>
      </c>
      <c r="BS565" s="1">
        <f>INDEX(Input!$1:$1048576,BS$93,$C565*2+6)</f>
        <v>0.05</v>
      </c>
      <c r="BT565" s="1">
        <f>INDEX(Input!$1:$1048576,BT$93,$C565*2+6)</f>
        <v>0.05</v>
      </c>
      <c r="BU565" s="1">
        <f>INDEX(Input!$1:$1048576,BU$93,$C565*2+6)</f>
        <v>0.05</v>
      </c>
      <c r="BV565" s="1">
        <f>INDEX(Input!$1:$1048576,BV$93,$C565*2+6)</f>
        <v>5.5E-2</v>
      </c>
      <c r="BW565" s="1">
        <f>INDEX(Input!$1:$1048576,BW$93,$C565*2+6)</f>
        <v>0.06</v>
      </c>
      <c r="BX565" s="127">
        <f>INDEX(Input!$1:$1048576,BX$93,$C565*2+6)</f>
        <v>19985</v>
      </c>
      <c r="BY565" s="20">
        <f>INDEX(Input!$1:$1048576,BY$93,$C565*2+6)</f>
        <v>0.1</v>
      </c>
      <c r="BZ565" s="20">
        <f>INDEX(Input!$1:$1048576,BZ$93,$C565*2+6)</f>
        <v>0.1</v>
      </c>
      <c r="CA565" s="20">
        <f>INDEX(Input!$1:$1048576,CA$93,$C565*2+6)</f>
        <v>0.1</v>
      </c>
      <c r="CB565" s="20">
        <f>INDEX(Input!$1:$1048576,CB$93,$C565*2+6)</f>
        <v>0.1</v>
      </c>
      <c r="CC565" s="20">
        <f>INDEX(Input!$1:$1048576,CC$93,$C565*2+6)</f>
        <v>0.1</v>
      </c>
      <c r="CD565" s="384">
        <f>INDEX(Input!$1:$1048576,CD$93,$C565*2+6)</f>
        <v>0.1</v>
      </c>
      <c r="CE565" s="384">
        <f>INDEX(Input!$1:$1048576,CE$93,$C565*2+6)</f>
        <v>0.1</v>
      </c>
      <c r="CF565" s="384">
        <f>INDEX(Input!$1:$1048576,CF$93,$C565*2+6)</f>
        <v>0.1</v>
      </c>
      <c r="CG565" s="384">
        <f>INDEX(Input!$1:$1048576,CG$93,$C565*2+6)</f>
        <v>0.1</v>
      </c>
      <c r="CH565" s="384">
        <f>INDEX(Input!$1:$1048576,CH$93,$C565*2+6)</f>
        <v>0.1</v>
      </c>
      <c r="CI565" s="304">
        <f t="shared" si="1527"/>
        <v>1777.4263093788063</v>
      </c>
      <c r="CJ565" s="16" t="str">
        <f>INDEX(Input!$1:$1048576,CJ$93,$C565*2+6)</f>
        <v>N</v>
      </c>
      <c r="CK565" s="1" t="str">
        <f t="shared" si="1528"/>
        <v>Market</v>
      </c>
      <c r="CL565" s="1" t="str">
        <f t="shared" si="1529"/>
        <v>Market</v>
      </c>
      <c r="CM565" s="1" t="str">
        <f t="shared" si="1530"/>
        <v>Market</v>
      </c>
      <c r="CN565" s="1" t="str">
        <f t="shared" si="1531"/>
        <v>Market</v>
      </c>
      <c r="CO565" s="1" t="str">
        <f t="shared" si="1532"/>
        <v>Market</v>
      </c>
      <c r="CP565" s="304">
        <f t="shared" si="1533"/>
        <v>1000</v>
      </c>
      <c r="CQ565" s="1">
        <f t="shared" si="1534"/>
        <v>0</v>
      </c>
      <c r="CR565" s="1">
        <f t="shared" si="1535"/>
        <v>0</v>
      </c>
      <c r="CS565" s="1">
        <f t="shared" si="1536"/>
        <v>0</v>
      </c>
      <c r="CT565" s="1">
        <f t="shared" si="1537"/>
        <v>1.9E-2</v>
      </c>
      <c r="CU565" s="1">
        <f t="shared" si="1538"/>
        <v>3.9E-2</v>
      </c>
      <c r="CV565" s="304">
        <f t="shared" si="1539"/>
        <v>-1077.9364173925233</v>
      </c>
      <c r="CW565" s="20" t="s">
        <v>122</v>
      </c>
      <c r="CX565" s="20" t="s">
        <v>122</v>
      </c>
      <c r="CY565" s="20" t="s">
        <v>122</v>
      </c>
      <c r="CZ565" s="20" t="s">
        <v>122</v>
      </c>
      <c r="DA565" s="20" t="s">
        <v>122</v>
      </c>
      <c r="DB565" s="503">
        <f t="shared" si="1540"/>
        <v>0</v>
      </c>
      <c r="DC565" s="127">
        <v>0</v>
      </c>
      <c r="DD565" s="127">
        <v>0</v>
      </c>
      <c r="DE565" s="127">
        <v>0</v>
      </c>
      <c r="DF565" s="127">
        <v>0</v>
      </c>
      <c r="DG565" s="127">
        <v>0</v>
      </c>
      <c r="DH565" s="127">
        <v>0</v>
      </c>
      <c r="DI565" s="127">
        <v>0</v>
      </c>
      <c r="DJ565" s="127">
        <v>0</v>
      </c>
      <c r="DK565" s="127">
        <v>0</v>
      </c>
      <c r="DL565" s="127">
        <v>0</v>
      </c>
      <c r="DM565" s="304">
        <f>INDEX(Input!$1:$1048576,DM$93,$C565*2+6)</f>
        <v>21036.84210526316</v>
      </c>
      <c r="DN565" s="20">
        <v>0</v>
      </c>
      <c r="DO565" s="20">
        <v>0</v>
      </c>
      <c r="DP565" s="20">
        <v>0</v>
      </c>
      <c r="DQ565" s="20">
        <v>0</v>
      </c>
      <c r="DR565" s="20">
        <v>0</v>
      </c>
      <c r="DS565" s="20">
        <f>INDEX(Input!$1:$1048576,DS$93,$C565*2+6)</f>
        <v>0.6</v>
      </c>
      <c r="DT565" s="20">
        <f>INDEX(Input!$1:$1048576,DT$93,$C565*2+6)</f>
        <v>0.55000000000000004</v>
      </c>
      <c r="DU565" s="20">
        <f>INDEX(Input!$1:$1048576,DU$93,$C565*2+6)</f>
        <v>0.52</v>
      </c>
      <c r="DV565" s="20">
        <f>INDEX(Input!$1:$1048576,DV$93,$C565*2+6)</f>
        <v>0.5</v>
      </c>
      <c r="DW565" s="20">
        <f>INDEX(Input!$1:$1048576,DW$93,$C565*2+6)</f>
        <v>0.45</v>
      </c>
      <c r="DX565" s="20"/>
      <c r="DY565" s="7">
        <v>0.12834622968590384</v>
      </c>
      <c r="DZ565" s="7">
        <v>0</v>
      </c>
      <c r="EA565" s="7">
        <v>0.74847571538082713</v>
      </c>
      <c r="EB565" s="7">
        <v>0</v>
      </c>
      <c r="EC565" s="7">
        <v>0</v>
      </c>
      <c r="ED565" s="7">
        <v>0</v>
      </c>
      <c r="EE565" s="7">
        <v>0</v>
      </c>
      <c r="EF565" s="7">
        <v>0</v>
      </c>
      <c r="EG565" s="7">
        <v>0</v>
      </c>
      <c r="EH565" s="7">
        <v>1.2090489527550902E-2</v>
      </c>
      <c r="EI565" s="7">
        <v>3.3619857637765323E-2</v>
      </c>
      <c r="EJ565" s="7">
        <v>0.29206852525669469</v>
      </c>
      <c r="EK565" s="7">
        <v>0.53717114866622528</v>
      </c>
      <c r="EL565" s="7">
        <v>0.12504997891176356</v>
      </c>
      <c r="EM565" s="7">
        <v>7.7082579920388777E-2</v>
      </c>
      <c r="EN565" s="7">
        <v>5.749198709180374E-2</v>
      </c>
      <c r="EO565" s="7">
        <v>0.70682325234975829</v>
      </c>
      <c r="EP565" s="7">
        <v>9.4561046032228396E-2</v>
      </c>
      <c r="EQ565" s="7">
        <v>9.3096098519543341E-2</v>
      </c>
      <c r="ER565" s="7">
        <v>4.8027616006666697E-2</v>
      </c>
      <c r="ES565" s="7">
        <v>4.6095475012880298E-2</v>
      </c>
      <c r="ET565" s="7">
        <v>0.12317805493326905</v>
      </c>
      <c r="EU565" s="6">
        <v>1770</v>
      </c>
      <c r="EV565" s="6">
        <v>0</v>
      </c>
      <c r="EW565" s="6">
        <v>1770</v>
      </c>
      <c r="EX565" s="6">
        <v>0</v>
      </c>
      <c r="EY565" s="6">
        <v>2515.7947195988991</v>
      </c>
      <c r="EZ565" s="6">
        <v>-366.44990394013166</v>
      </c>
      <c r="FA565" s="6">
        <v>0</v>
      </c>
      <c r="FB565" s="6">
        <v>0</v>
      </c>
      <c r="FC565" s="6">
        <v>0</v>
      </c>
      <c r="FD565" s="6">
        <v>0</v>
      </c>
      <c r="FE565" s="6">
        <v>0</v>
      </c>
      <c r="FF565" s="6">
        <v>0</v>
      </c>
      <c r="FG565" s="6">
        <v>0</v>
      </c>
      <c r="FH565" s="6">
        <v>1172.1438638586142</v>
      </c>
      <c r="FI565" s="6">
        <v>1553.9796069512395</v>
      </c>
      <c r="FJ565" s="6">
        <v>2101.2110117447405</v>
      </c>
      <c r="FK565" s="6">
        <v>1772.7139978623229</v>
      </c>
      <c r="FL565" s="6">
        <v>907.07682140966358</v>
      </c>
      <c r="FM565" s="6">
        <v>1745.7947195988991</v>
      </c>
      <c r="FN565" s="6">
        <v>0</v>
      </c>
      <c r="FO565" s="6">
        <v>0</v>
      </c>
      <c r="FP565" s="6">
        <v>0</v>
      </c>
      <c r="FQ565" s="6">
        <v>0</v>
      </c>
      <c r="FR565" s="6">
        <v>0</v>
      </c>
      <c r="FS565" s="6">
        <v>0</v>
      </c>
      <c r="FT565" s="7">
        <v>0.87682194506673095</v>
      </c>
      <c r="FU565" s="7">
        <v>7.7082579920388777E-2</v>
      </c>
      <c r="FV565" s="7">
        <v>4.6095475012880298E-2</v>
      </c>
      <c r="FW565" s="6">
        <v>1770</v>
      </c>
      <c r="FX565" s="6">
        <v>2515.7947195988991</v>
      </c>
      <c r="FY565" s="6">
        <v>-366.44990394013166</v>
      </c>
      <c r="FZ565" s="6">
        <v>1758.1538569113241</v>
      </c>
      <c r="GA565" s="6">
        <v>1729.0071079143434</v>
      </c>
      <c r="GB565" s="6">
        <v>18255.992892085658</v>
      </c>
      <c r="GC565" s="7">
        <v>3.064145122680037E-2</v>
      </c>
      <c r="GD565" s="7">
        <v>3.0974713446352286E-2</v>
      </c>
      <c r="GE565" s="7"/>
      <c r="GF565" s="7"/>
      <c r="GG565" s="7">
        <v>1.0876189155833122E-2</v>
      </c>
      <c r="GH565" s="42">
        <v>-7.4574574441163657</v>
      </c>
      <c r="GI565" s="6">
        <v>-950.86068211473616</v>
      </c>
      <c r="GJ565" s="14">
        <v>0.50394797582841733</v>
      </c>
      <c r="GK565" s="14">
        <v>0.50887573065309732</v>
      </c>
      <c r="GL565" s="14">
        <v>0.49605202417158273</v>
      </c>
      <c r="GM565" s="14">
        <v>0.49112426934690234</v>
      </c>
      <c r="GO565" s="5">
        <v>343.14810671672558</v>
      </c>
      <c r="GP565" s="5">
        <v>309.37988338875158</v>
      </c>
      <c r="GQ565" s="5">
        <v>535.04305713031317</v>
      </c>
      <c r="GR565" s="5">
        <v>410.15490233172511</v>
      </c>
      <c r="GS565" s="5">
        <v>339.42744393800166</v>
      </c>
      <c r="GT565" s="5">
        <v>293.4407446948278</v>
      </c>
      <c r="GU565" s="5">
        <v>258.04012322764959</v>
      </c>
      <c r="GV565" s="39" t="s">
        <v>392</v>
      </c>
      <c r="GW565" s="5">
        <v>478.23611111111109</v>
      </c>
      <c r="GX565" s="5">
        <v>358.67708333333331</v>
      </c>
      <c r="GY565" s="5">
        <v>286.94166666666666</v>
      </c>
      <c r="GZ565" s="5">
        <v>253.19574071601335</v>
      </c>
      <c r="HA565" s="5">
        <v>234.53733318419435</v>
      </c>
      <c r="HB565" s="39">
        <v>266.98574603723392</v>
      </c>
      <c r="HC565" s="5">
        <v>303.31655829738077</v>
      </c>
      <c r="HD565" s="5">
        <v>250.74799238008356</v>
      </c>
      <c r="HE565" s="5">
        <v>251.12245558578954</v>
      </c>
      <c r="HF565" s="5">
        <v>229.38290951107166</v>
      </c>
      <c r="HG565" s="5">
        <v>217.65500473779989</v>
      </c>
      <c r="HH565" s="39">
        <v>250.22729016301898</v>
      </c>
      <c r="HI565" s="16"/>
      <c r="HJ565" s="19" t="str">
        <f t="shared" ref="HJ565" si="1604">HJ564</f>
        <v>On</v>
      </c>
      <c r="HK565" s="1" t="str">
        <f t="shared" si="1549"/>
        <v>On</v>
      </c>
      <c r="HL565" s="16"/>
      <c r="HM565" s="639">
        <f t="shared" ref="HM565:HM583" si="1605">VLOOKUP($C565*1000+1,$A:$HH,FT$92,FALSE)*$JF565</f>
        <v>2.4909940070666322E-2</v>
      </c>
      <c r="HN565" s="639">
        <f t="shared" ref="HN565:HN583" si="1606">VLOOKUP($C565*1000+1,$A:$HH,FU$92,FALSE)*$JF565</f>
        <v>2.2052381276269151E-3</v>
      </c>
      <c r="HO565" s="639">
        <f t="shared" ref="HO565:HO583" si="1607">VLOOKUP($C565*1000+1,$A:$HH,FV$92,FALSE)*$JF565</f>
        <v>2.079866082302006E-3</v>
      </c>
      <c r="HP565" s="644">
        <f>(FT565*$GD565-HM565)/$JF565*INDEX(Input!$1:$1048576,$JG$93,$C565*2+6)</f>
        <v>63.254963962250514</v>
      </c>
      <c r="HQ565" s="644">
        <f>(FU565*$GD565-HN565)/$JF565*INDEX(Input!$1:$1048576,$JG$93,$C565*2+6)</f>
        <v>5.1285410938398526</v>
      </c>
      <c r="HR565" s="644">
        <f>(FV565*$GD565-HO565)/$JF565*INDEX(Input!$1:$1048576,$JG$93,$C565*2+6)</f>
        <v>-18.33705295813369</v>
      </c>
      <c r="HS565" s="644">
        <f t="shared" si="1598"/>
        <v>-25.771061930570426</v>
      </c>
      <c r="HT565" s="644">
        <f t="shared" ref="HT565:HT574" si="1608">IF(AND(HJ565="On",HK565="On"),IM565/1000*INDEX(KG:KG,MATCH(C565*1000+4,$KF:$KF,0))*SUM(HY565:IA565)*1.1
+INDEX(HR:HR,MATCH(C565*1000+3,$KF:$KF,0))/INDEX(IL:IL,MATCH(C565*1000+3,$KF:$KF,0))*IL565*20%,0)</f>
        <v>29.127145855352296</v>
      </c>
      <c r="HU565" s="644">
        <f t="shared" ref="HU565:HU583" si="1609">IF(HJ565="On",IN565/1000*INDEX(KG:KG,MATCH(C565*1000+5,$KF:$KF,0))*SUM(HY565:IA565)*1.1
-INDEX(HR:HR,MATCH(C565*1000+3,$KF:$KF,0))/INDEX(IL:IL,MATCH(C565*1000+3,$KF:$KF,0))*IL565*20%
-INDEX(HR:HR,MATCH(C565*1000+4,$KF:$KF,0))/INDEX(IM:IM,MATCH(C565*1000+4,$KF:$KF,0))*IM565*20%,0)</f>
        <v>-0.12401695455078249</v>
      </c>
      <c r="HV565" s="648">
        <f t="shared" ref="HV565:HV583" si="1610">IL565/1000*0+IM565/1000*0+IN565/1000*0
+(CP565-INDEX(CP:CP,MATCH(C565*1000+1,A:A,0)))/1000*0+IF(FU565&gt;0,0,0)</f>
        <v>0</v>
      </c>
      <c r="HW565" s="648">
        <f t="shared" ref="HW565:HW583" si="1611">IL565/1000*0+IM565/1000*0+IN565/1000*0
+(CP565-INDEX(CP:CP,MATCH(C565*1000+1,A:A,0)))/1000*0+IF(FU565&gt;0,0,0)</f>
        <v>0</v>
      </c>
      <c r="HX565" s="648">
        <f t="shared" ref="HX565:HX583" si="1612">IL565/1000*0+IM565/1000*0+IN565/1000*0
+(CP565-INDEX(CP:CP,MATCH(C565*1000+1,A:A,0)))/1000*0+IF(FU565&gt;0,0,0)</f>
        <v>0</v>
      </c>
      <c r="HY565" s="644">
        <f>INDEX(Input!$1:$1048576,HY$93,$C565*2+6)*INDEX(Input!$1:$1048576,$JG$93,$C565*2+6)</f>
        <v>333.00000000000006</v>
      </c>
      <c r="HZ565" s="644">
        <f>INDEX(Input!$1:$1048576,HZ$93,$C565*2+6)*INDEX(Input!$1:$1048576,$JG$93,$C565*2+6)</f>
        <v>429</v>
      </c>
      <c r="IA565" s="644">
        <f>INDEX(Input!$1:$1048576,IA$93,$C565*2+6)*INDEX(Input!$1:$1048576,$JG$93,$C565*2+6)</f>
        <v>59</v>
      </c>
      <c r="IB565" s="644">
        <f t="shared" si="1551"/>
        <v>370.4839020316802</v>
      </c>
      <c r="IC565" s="644">
        <f t="shared" si="1552"/>
        <v>463.25568694919212</v>
      </c>
      <c r="ID565" s="644">
        <f>IF(AND(INDEX(Input!$1:$1048576,IA$93,$C565*2+7)="TOS",Y565&lt;=INDEX(Y:Y,MATCH(C565*1000+2,A:A))),0,1)*MAX(IA565+HR565+HU565+HX565,0%)</f>
        <v>40.538930087315528</v>
      </c>
      <c r="IE565" s="128">
        <f t="shared" si="1599"/>
        <v>0.42375958456184482</v>
      </c>
      <c r="IF565" s="128">
        <f t="shared" si="1600"/>
        <v>0.52987197654465223</v>
      </c>
      <c r="IG565" s="128">
        <f t="shared" si="1555"/>
        <v>4.6368438893502957E-2</v>
      </c>
      <c r="IH565" s="21"/>
      <c r="II565" s="19">
        <f t="shared" ref="II565:II583" si="1613">VLOOKUP($C565*1000+1,$A:$HH,FW$92,FALSE)-VLOOKUP($C565*1000+1,$A:$HH,FA$92,FALSE)*VLOOKUP($C565*1000+1,$A:$HH,DZ$92,FALSE)/VLOOKUP($C565*1000+1,$A:$HH,FT$92,FALSE)</f>
        <v>1240</v>
      </c>
      <c r="IJ565" s="19">
        <f t="shared" ref="IJ565:IJ583" si="1614">VLOOKUP($C565*1000+1,$A:$HH,FX$92,FALSE)</f>
        <v>1985.7442651839444</v>
      </c>
      <c r="IK565" s="19">
        <f t="shared" ref="IK565:IK583" si="1615">VLOOKUP($C565*1000+1,$A:$HH,FY$92,FALSE)</f>
        <v>-21.44990394013189</v>
      </c>
      <c r="IL565" s="19">
        <f t="shared" si="1556"/>
        <v>530</v>
      </c>
      <c r="IM565" s="19">
        <f t="shared" si="1557"/>
        <v>530.05045441495463</v>
      </c>
      <c r="IN565" s="19">
        <f t="shared" si="1558"/>
        <v>-344.99999999999977</v>
      </c>
      <c r="IO565" s="39">
        <f t="shared" ref="IO565:IO583" si="1616">(F565-VLOOKUP($C565*1000+1,$A:$HH,F$92,FALSE))*(1-$I565)</f>
        <v>0</v>
      </c>
      <c r="IP565" s="39">
        <f t="shared" ref="IP565:IP583" si="1617">(G565-VLOOKUP($C565*1000+1,$A:$HH,G$92,FALSE))*(1-$I565)</f>
        <v>0</v>
      </c>
      <c r="IQ565" s="39">
        <f t="shared" ref="IQ565:IQ583" si="1618">(H565-VLOOKUP($C565*1000+1,$A:$HH,H$92,FALSE))*(1-$I565)</f>
        <v>0</v>
      </c>
      <c r="IR565" s="39">
        <v>0</v>
      </c>
      <c r="IS565" s="39">
        <v>0</v>
      </c>
      <c r="IT565" s="39">
        <v>0</v>
      </c>
      <c r="IU565" s="39">
        <v>0</v>
      </c>
      <c r="IV565" s="39">
        <v>0</v>
      </c>
      <c r="IW565" s="39">
        <v>0</v>
      </c>
      <c r="IX565" s="39">
        <f>INDEX(Input!$1:$1048576,IX$93,$C565*2+6)+INDEX(Input!$1:$1048576,IX$94,$C565*2+6)</f>
        <v>1270</v>
      </c>
      <c r="IY565" s="39">
        <f>INDEX(Input!$1:$1048576,IY$93,$C565*2+6)+INDEX(Input!$1:$1048576,IY$94,$C565*2+6)</f>
        <v>2130.0624533823611</v>
      </c>
      <c r="IZ565" s="39">
        <f>INDEX(Input!$1:$1048576,IZ$93,$C565*2+6)+INDEX(Input!$1:$1048576,IZ$94,$C565*2+6)</f>
        <v>3653.7164157747857</v>
      </c>
      <c r="JA565" s="19">
        <f t="shared" si="1559"/>
        <v>1800</v>
      </c>
      <c r="JB565" s="19">
        <f t="shared" si="1560"/>
        <v>2660.1129077973155</v>
      </c>
      <c r="JC565" s="19">
        <f t="shared" si="1561"/>
        <v>3308.7164157747857</v>
      </c>
      <c r="JD565" s="19">
        <f t="shared" si="1562"/>
        <v>2325.7065514386099</v>
      </c>
      <c r="JE565" s="21"/>
      <c r="JF565" s="1">
        <f t="shared" ref="JF565:JF583" si="1619">VLOOKUP($C565*1000+1,$A:$HH,GD$92,FALSE)</f>
        <v>2.9195044280595241E-2</v>
      </c>
      <c r="JG565" s="15">
        <f>INDEX(Input!$1:$1048576,JG$93,$C565*2+6)/(1+VLOOKUP(C565*1000+INDEX(Input!$1:$1048576,JG$93+1,$C565*2+6),$A:$KK,$JK$92,FALSE))</f>
        <v>821</v>
      </c>
      <c r="JH565" s="1">
        <f t="shared" si="1563"/>
        <v>6.0957919729545285E-2</v>
      </c>
      <c r="JI565" s="1">
        <f t="shared" si="1564"/>
        <v>3.9367441781133841E-3</v>
      </c>
      <c r="JJ565" s="1">
        <f t="shared" si="1565"/>
        <v>0</v>
      </c>
      <c r="JK565" s="1">
        <f t="shared" si="1566"/>
        <v>6.4894663907658662E-2</v>
      </c>
      <c r="JL565" s="15">
        <f t="shared" si="1567"/>
        <v>53.278519068187762</v>
      </c>
      <c r="JM565" s="15">
        <f t="shared" si="1568"/>
        <v>874.27851906818773</v>
      </c>
      <c r="JN565" s="21"/>
      <c r="JO565" s="19">
        <f>INDEX(Input!$1:$1048576,JO$93,$C565*2+6)</f>
        <v>5995.5</v>
      </c>
      <c r="JP565" s="19">
        <f>INDEX(Input!$1:$1048576,JP$93,$C565*2+6)</f>
        <v>1890.7138380411029</v>
      </c>
      <c r="JQ565" s="39">
        <f t="shared" si="1569"/>
        <v>3669.7934485613901</v>
      </c>
      <c r="JR565" s="39">
        <f t="shared" si="1570"/>
        <v>434.99271339750703</v>
      </c>
      <c r="JS565" s="39">
        <f t="shared" si="1571"/>
        <v>2.0333152795789302</v>
      </c>
      <c r="JT565" s="39">
        <f t="shared" si="1572"/>
        <v>0.48103921854718451</v>
      </c>
      <c r="JU565" s="385">
        <f>(JQ565*JM565-INDEX(Input!$1:$1048576,Input!A$18,$C565*2+6)*JL565*INDEX(Input!$1:$1048576,Input!A$19,$C565*2+6))/1000000</f>
        <v>3.2084215814943895</v>
      </c>
      <c r="JV565" s="39">
        <f t="shared" si="1573"/>
        <v>-0.16160785747386486</v>
      </c>
      <c r="JW565" s="1">
        <f t="shared" si="1574"/>
        <v>-4.7954434939102973E-2</v>
      </c>
      <c r="JX565" s="19">
        <f t="shared" si="1575"/>
        <v>9028.7648185478502</v>
      </c>
      <c r="JZ565" s="341"/>
      <c r="KA565" s="342"/>
      <c r="KB565" s="469">
        <f t="shared" si="1576"/>
        <v>2.5122967434604799</v>
      </c>
      <c r="KI565" s="473">
        <f t="shared" si="1601"/>
        <v>37.483902031680088</v>
      </c>
      <c r="KJ565" s="473">
        <f t="shared" si="1602"/>
        <v>34.255686949192068</v>
      </c>
      <c r="KK565" s="473">
        <f t="shared" si="1579"/>
        <v>-18.461069912684479</v>
      </c>
      <c r="KN565" s="544">
        <f t="shared" si="1580"/>
        <v>5002</v>
      </c>
      <c r="KO565" s="541">
        <f t="shared" ref="KO565:KO583" si="1620">JM565/INDEX(JM:JM,MATCH(KN565,A:A,0))-1</f>
        <v>6.0576380228683169E-2</v>
      </c>
      <c r="KP565" s="546">
        <f t="shared" ref="KP565:KP583" si="1621">(IL565-INDEX(IL:IL,MATCH(KN565,A:A,0)))*IE565
+(IM565-IF(HN565=0,INDEX(IX:IX,MATCH(KN565,A:A,0)),INDEX(IM:IM,MATCH(KN565,A:A,0))))*IF565
+(IN565-INDEX(IN:IN,MATCH(KN565,A:A,0)))*IG565</f>
        <v>460.14909645447136</v>
      </c>
      <c r="KQ565" s="546">
        <f t="shared" ref="KQ565:KQ583" si="1622">JD565-INDEX(JD:JD,MATCH(KN565,A:A,0))</f>
        <v>406.78778571534349</v>
      </c>
      <c r="KR565" s="548">
        <f t="shared" ref="KR565:KR583" si="1623">KO565/(KP565/(BX565-INDEX(JD:JD,MATCH(KN565,A:A,0))))</f>
        <v>2.3783113224000569</v>
      </c>
      <c r="KS565" s="548">
        <f t="shared" ref="KS565:KS583" si="1624">KO565/(KQ565/(BX565-INDEX(JD:JD,MATCH(KN565,A:A,0))))</f>
        <v>2.6902917061910858</v>
      </c>
      <c r="KT565" s="473">
        <f t="shared" si="1581"/>
        <v>595.94378802984284</v>
      </c>
      <c r="KU565" s="663">
        <f t="shared" si="1462"/>
        <v>4.013454783748986</v>
      </c>
    </row>
    <row r="566" spans="1:308" s="26" customFormat="1" ht="15" outlineLevel="1">
      <c r="A566" s="561">
        <f t="shared" si="1541"/>
        <v>5066</v>
      </c>
      <c r="B566" s="561">
        <f t="shared" si="1542"/>
        <v>66</v>
      </c>
      <c r="C566" s="561">
        <f t="shared" si="1543"/>
        <v>5</v>
      </c>
      <c r="D566" s="561" t="str">
        <f t="shared" si="1509"/>
        <v xml:space="preserve">1000 CC, 1000 Combo, -360 Lease, </v>
      </c>
      <c r="E566" s="475">
        <f>INDEX(Input!$1:$1048576,E$93,$C566*2+MIN($B566,2)+5)
+INDEX(Scenarios!E$121:E$200,MATCH($B566,Scenarios!$B$121:$B$200,0))</f>
        <v>2277.4263093788063</v>
      </c>
      <c r="F566" s="475">
        <f>INDEX(Input!$1:$1048576,F$93,$C566*2+MIN($B566,2)+5)
+INDEX(Scenarios!F$121:F$200,MATCH($B566,Scenarios!$B$121:$B$200,0))</f>
        <v>0</v>
      </c>
      <c r="G566" s="475">
        <f>INDEX(Input!$1:$1048576,G$93,$C566*2+MIN($B566,2)+5)
+INDEX(Scenarios!G$121:G$200,MATCH($B566,Scenarios!$B$121:$B$200,0))</f>
        <v>0</v>
      </c>
      <c r="H566" s="475">
        <f>INDEX(Input!$1:$1048576,H$93,$C566*2+MIN($B566,2)+5)
+INDEX(Scenarios!H$121:H$200,MATCH($B566,Scenarios!$B$121:$B$200,0))</f>
        <v>0</v>
      </c>
      <c r="I566" s="476">
        <f>INDEX(Input!$1:$1048576,I$93,$C566*2+MIN($B566,2)+5)</f>
        <v>0.7</v>
      </c>
      <c r="J566" s="476" t="str">
        <f>INDEX(Input!$1:$1048576,J$93,$C566*2+MIN($B566,2)+5)</f>
        <v>Market</v>
      </c>
      <c r="K566" s="476" t="str">
        <f>INDEX(Input!$1:$1048576,K$93,$C566*2+MIN($B566,2)+5)</f>
        <v>Market</v>
      </c>
      <c r="L566" s="476" t="str">
        <f>INDEX(Input!$1:$1048576,L$93,$C566*2+MIN($B566,2)+5)</f>
        <v>Market</v>
      </c>
      <c r="M566" s="476" t="str">
        <f>INDEX(Input!$1:$1048576,M$93,$C566*2+MIN($B566,2)+5)</f>
        <v>Market</v>
      </c>
      <c r="N566" s="476" t="str">
        <f>INDEX(Input!$1:$1048576,N$93,$C566*2+MIN($B566,2)+5)</f>
        <v>Market</v>
      </c>
      <c r="O566" s="476" t="str">
        <f>INDEX(Input!$1:$1048576,O$93,$C566*2+MIN($B566,2)+5)</f>
        <v>Market</v>
      </c>
      <c r="P566" s="476" t="str">
        <f>INDEX(Input!$1:$1048576,P$93,$C566*2+MIN($B566,2)+5)</f>
        <v>N</v>
      </c>
      <c r="Q566" s="477">
        <f>INDEX(Input!$1:$1048576,Q$93,$C566*2+MIN($B566,2)+5)
+INDEX(Scenarios!Q$121:Q$200,MATCH($B566,Scenarios!$B$121:$B$200,0))</f>
        <v>1000</v>
      </c>
      <c r="R566" s="478">
        <f>IFERROR(MAX(0,INDEX(Input!$1:$1048576,R$93,$C566*2+MIN($B566,2)+5)
+INDEX(Scenarios!R$121:R$200,MATCH($B566,Scenarios!$B$121:$B$200,0)),),"Market")</f>
        <v>0</v>
      </c>
      <c r="S566" s="478">
        <f>IFERROR(MAX(0,INDEX(Input!$1:$1048576,S$93,$C566*2+MIN($B566,2)+5)
+INDEX(Scenarios!S$121:S$200,MATCH($B566,Scenarios!$B$121:$B$200,0)),),"Market")</f>
        <v>0</v>
      </c>
      <c r="T566" s="478">
        <f>IFERROR(MAX(0,INDEX(Input!$1:$1048576,T$93,$C566*2+MIN($B566,2)+5)
+INDEX(Scenarios!T$121:T$200,MATCH($B566,Scenarios!$B$121:$B$200,0)),),"Market")</f>
        <v>0</v>
      </c>
      <c r="U566" s="478">
        <f>IFERROR(MAX(0,INDEX(Input!$1:$1048576,U$93,$C566*2+MIN($B566,2)+5)
+INDEX(Scenarios!U$121:U$200,MATCH($B566,Scenarios!$B$121:$B$200,0)),),"Market")</f>
        <v>0</v>
      </c>
      <c r="V566" s="478">
        <f>IFERROR(MAX(0,INDEX(Input!$1:$1048576,V$93,$C566*2+MIN($B566,2)+5)
+INDEX(Scenarios!V$121:V$200,MATCH($B566,Scenarios!$B$121:$B$200,0)),),"Market")</f>
        <v>1.9E-2</v>
      </c>
      <c r="W566" s="885">
        <f>IFERROR(MAX(0,INDEX(Input!$1:$1048576,W$93,$C566*2+MIN($B566,2)+5)-0%,),"Market")</f>
        <v>3.9E-2</v>
      </c>
      <c r="X566" s="476" t="str">
        <f>INDEX(Input!$1:$1048576,X$93,$C566*2+MIN($B566,2)+5)</f>
        <v>Y</v>
      </c>
      <c r="Y566" s="475">
        <f>INDEX(Input!$1:$1048576,Y$93,$C566*2+MIN($B566,2)+5)
++INDEX(Scenarios!Y$121:Y$200,MATCH($B566,Scenarios!$B$121:$B$200,0))</f>
        <v>-1077.9364173925233</v>
      </c>
      <c r="Z566" s="477">
        <f>INDEX(Input!$1:$1048576,Z$93,$C566*2+MIN($B566,2)+5)
+INDEX(Scenarios!Z$121:Z$200,MATCH($B566,Scenarios!$B$121:$B$200,0))</f>
        <v>0</v>
      </c>
      <c r="AA566" s="475">
        <f>INDEX(Input!$1:$1048576,AA$93,$C566*2+MIN($B566,2)+5)
+INDEX(Scenarios!AA$121:AA$200,MATCH($B566,Scenarios!$B$121:$B$200,0))</f>
        <v>0</v>
      </c>
      <c r="AB566" s="476">
        <f>INDEX(Input!$1:$1048576,AB$93,$C566*2+MIN($B566,2)+5)</f>
        <v>0.27</v>
      </c>
      <c r="AC566" s="475">
        <f>INDEX(Input!$1:$1048576,AC$93,$C566*2+MIN($B566,2)+5)
+INDEX(Scenarios!AC$121:AC$200,MATCH($B566,Scenarios!$B$121:$B$200,0))</f>
        <v>0</v>
      </c>
      <c r="AD566" s="476">
        <f>INDEX(Input!$1:$1048576,AD$93,$C566*2+MIN($B566,2)+5)</f>
        <v>0.27</v>
      </c>
      <c r="AE566" s="475">
        <f>INDEX(Input!$1:$1048576,AE$93,$C566*2+MIN($B566,2)+5)
+INDEX(Scenarios!AE$121:AE$200,MATCH($B566,Scenarios!$B$121:$B$200,0))</f>
        <v>0</v>
      </c>
      <c r="AF566" s="476">
        <f>INDEX(Input!$1:$1048576,AF$93,$C566*2+MIN($B566,2)+5)</f>
        <v>0.2</v>
      </c>
      <c r="AG566" s="475">
        <f>INDEX(Input!$1:$1048576,AG$93,$C566*2+MIN($B566,2)+5)
+INDEX(Scenarios!AG$121:AG$200,MATCH($B566,Scenarios!$B$121:$B$200,0))</f>
        <v>500</v>
      </c>
      <c r="AH566" s="476">
        <f>INDEX(Input!$1:$1048576,AH$93,$C566*2+MIN($B566,2)+5)</f>
        <v>1</v>
      </c>
      <c r="AI566" s="475">
        <f>INDEX(Input!$1:$1048576,AI$93,$C566*2+MIN($B566,2)+5)
+INDEX(Scenarios!AI$121:AI$200,MATCH($B566,Scenarios!$B$121:$B$200,0))</f>
        <v>0</v>
      </c>
      <c r="AJ566" s="476">
        <f>INDEX(Input!$1:$1048576,AJ$93,$C566*2+MIN($B566,2)+5)</f>
        <v>0.27</v>
      </c>
      <c r="AK566" s="150">
        <f>ROUND(INDEX(Input!$1:$1048576,AK$93,$C565*2+MIN($B566,1)+5)+(Y566-VLOOKUP($C566*1000+1,$A:$HH,Y$92,FALSE)),0)</f>
        <v>2227</v>
      </c>
      <c r="AL566" s="150">
        <f>ROUND(INDEX(Input!$1:$1048576,AL$93,$C565*2+MIN($B566,1)+5)-(Y566-VLOOKUP($C566*1000+1,$A:$HH,Y$92,FALSE))/36,0)</f>
        <v>3416</v>
      </c>
      <c r="AM566" s="32" t="str">
        <f t="shared" si="1544"/>
        <v>std/std/std/std</v>
      </c>
      <c r="AN566" s="32" t="str">
        <f t="shared" si="1545"/>
        <v>$1000 + 0/0/0/1.9/3.9</v>
      </c>
      <c r="AO566" s="32" t="str">
        <f t="shared" si="1546"/>
        <v>0/0/0/1.9/3.9</v>
      </c>
      <c r="AP566" s="32" t="str">
        <f t="shared" si="1526"/>
        <v>0/0.9/1.9/3.9</v>
      </c>
      <c r="AQ566" s="536">
        <f t="shared" si="1525"/>
        <v>0.43128317251285592</v>
      </c>
      <c r="AR566" s="32"/>
      <c r="AS566" s="302"/>
      <c r="AT566" s="3">
        <f t="shared" si="1547"/>
        <v>66</v>
      </c>
      <c r="AU566" s="41" t="s">
        <v>121</v>
      </c>
      <c r="AV566" s="41" t="s">
        <v>116</v>
      </c>
      <c r="AW566" s="41" t="str">
        <f>INDEX(Input!$1:$1048576,AW$93,$C566*2+6)</f>
        <v>Kia</v>
      </c>
      <c r="AX566" s="41" t="str">
        <f>INDEX(Input!$1:$1048576,AX$93,$C566*2+6)</f>
        <v>Kia-LR - R2</v>
      </c>
      <c r="AY566" s="41" t="str">
        <f>IF(LEN(D566)=0,"",INDEX(Input!$1:$1048576,AY$93,$C566*2+6))</f>
        <v>Compact SUV (52)</v>
      </c>
      <c r="AZ566" s="41" t="str">
        <f>INDEX(Input!$1:$1048576,AZ$93,$C566*2+6)</f>
        <v>Kia Soul</v>
      </c>
      <c r="BA566" s="3">
        <f>INDEX(Input!$1:$1048576,BA$93,$C566*2+6)</f>
        <v>2020</v>
      </c>
      <c r="BB566" s="128">
        <f>INDEX(Input!$1:$1048576,BB$93,$C566*2+6)</f>
        <v>1</v>
      </c>
      <c r="BC566" s="128">
        <f>INDEX(Input!$1:$1048576,BC$93,$C566*2+6)</f>
        <v>0.7</v>
      </c>
      <c r="BD566" s="1">
        <f>INDEX(Input!$1:$1048576,BD$93,$C566*2+6)</f>
        <v>4.4999999999999998E-2</v>
      </c>
      <c r="BE566" s="1">
        <f>INDEX(Input!$1:$1048576,BE$93,$C566*2+6)</f>
        <v>4.4999999999999998E-2</v>
      </c>
      <c r="BF566" s="1">
        <f>INDEX(Input!$1:$1048576,BF$93,$C566*2+6)</f>
        <v>0.05</v>
      </c>
      <c r="BG566" s="1">
        <f>INDEX(Input!$1:$1048576,BG$93,$C566*2+6)</f>
        <v>5.45E-2</v>
      </c>
      <c r="BH566" s="1">
        <f>INDEX(Input!$1:$1048576,BH$93,$C566*2+6)</f>
        <v>5.45E-2</v>
      </c>
      <c r="BI566" s="1">
        <f>INDEX(Input!$1:$1048576,BI$93,$C566*2+6)</f>
        <v>0.05</v>
      </c>
      <c r="BJ566" s="1">
        <f>INDEX(Input!$1:$1048576,BJ$93,$C566*2+6)</f>
        <v>0.05</v>
      </c>
      <c r="BK566" s="1">
        <f>INDEX(Input!$1:$1048576,BK$93,$C566*2+6)</f>
        <v>0.05</v>
      </c>
      <c r="BL566" s="1">
        <f>INDEX(Input!$1:$1048576,BL$93,$C566*2+6)</f>
        <v>5.5E-2</v>
      </c>
      <c r="BM566" s="1">
        <f>INDEX(Input!$1:$1048576,BM$93,$C566*2+6)</f>
        <v>0.06</v>
      </c>
      <c r="BN566" s="1">
        <f>INDEX(Input!$1:$1048576,BN$93,$C566*2+6)</f>
        <v>4.4999999999999998E-2</v>
      </c>
      <c r="BO566" s="1">
        <f>INDEX(Input!$1:$1048576,BO$93,$C566*2+6)</f>
        <v>4.4999999999999998E-2</v>
      </c>
      <c r="BP566" s="1">
        <f>INDEX(Input!$1:$1048576,BP$93,$C566*2+6)</f>
        <v>0.05</v>
      </c>
      <c r="BQ566" s="1">
        <f>INDEX(Input!$1:$1048576,BQ$93,$C566*2+6)</f>
        <v>5.45E-2</v>
      </c>
      <c r="BR566" s="1">
        <f>INDEX(Input!$1:$1048576,BR$93,$C566*2+6)</f>
        <v>5.45E-2</v>
      </c>
      <c r="BS566" s="1">
        <f>INDEX(Input!$1:$1048576,BS$93,$C566*2+6)</f>
        <v>0.05</v>
      </c>
      <c r="BT566" s="1">
        <f>INDEX(Input!$1:$1048576,BT$93,$C566*2+6)</f>
        <v>0.05</v>
      </c>
      <c r="BU566" s="1">
        <f>INDEX(Input!$1:$1048576,BU$93,$C566*2+6)</f>
        <v>0.05</v>
      </c>
      <c r="BV566" s="1">
        <f>INDEX(Input!$1:$1048576,BV$93,$C566*2+6)</f>
        <v>5.5E-2</v>
      </c>
      <c r="BW566" s="1">
        <f>INDEX(Input!$1:$1048576,BW$93,$C566*2+6)</f>
        <v>0.06</v>
      </c>
      <c r="BX566" s="127">
        <f>INDEX(Input!$1:$1048576,BX$93,$C566*2+6)</f>
        <v>19985</v>
      </c>
      <c r="BY566" s="20">
        <f>INDEX(Input!$1:$1048576,BY$93,$C566*2+6)</f>
        <v>0.1</v>
      </c>
      <c r="BZ566" s="20">
        <f>INDEX(Input!$1:$1048576,BZ$93,$C566*2+6)</f>
        <v>0.1</v>
      </c>
      <c r="CA566" s="20">
        <f>INDEX(Input!$1:$1048576,CA$93,$C566*2+6)</f>
        <v>0.1</v>
      </c>
      <c r="CB566" s="20">
        <f>INDEX(Input!$1:$1048576,CB$93,$C566*2+6)</f>
        <v>0.1</v>
      </c>
      <c r="CC566" s="20">
        <f>INDEX(Input!$1:$1048576,CC$93,$C566*2+6)</f>
        <v>0.1</v>
      </c>
      <c r="CD566" s="384">
        <f>INDEX(Input!$1:$1048576,CD$93,$C566*2+6)</f>
        <v>0.1</v>
      </c>
      <c r="CE566" s="384">
        <f>INDEX(Input!$1:$1048576,CE$93,$C566*2+6)</f>
        <v>0.1</v>
      </c>
      <c r="CF566" s="384">
        <f>INDEX(Input!$1:$1048576,CF$93,$C566*2+6)</f>
        <v>0.1</v>
      </c>
      <c r="CG566" s="384">
        <f>INDEX(Input!$1:$1048576,CG$93,$C566*2+6)</f>
        <v>0.1</v>
      </c>
      <c r="CH566" s="384">
        <f>INDEX(Input!$1:$1048576,CH$93,$C566*2+6)</f>
        <v>0.1</v>
      </c>
      <c r="CI566" s="304">
        <f t="shared" si="1527"/>
        <v>2277.4263093788063</v>
      </c>
      <c r="CJ566" s="16" t="str">
        <f>INDEX(Input!$1:$1048576,CJ$93,$C566*2+6)</f>
        <v>N</v>
      </c>
      <c r="CK566" s="1" t="str">
        <f t="shared" si="1528"/>
        <v>Market</v>
      </c>
      <c r="CL566" s="1" t="str">
        <f t="shared" si="1529"/>
        <v>Market</v>
      </c>
      <c r="CM566" s="1" t="str">
        <f t="shared" si="1530"/>
        <v>Market</v>
      </c>
      <c r="CN566" s="1" t="str">
        <f t="shared" si="1531"/>
        <v>Market</v>
      </c>
      <c r="CO566" s="1" t="str">
        <f t="shared" si="1532"/>
        <v>Market</v>
      </c>
      <c r="CP566" s="304">
        <f t="shared" si="1533"/>
        <v>1500</v>
      </c>
      <c r="CQ566" s="1">
        <f t="shared" si="1534"/>
        <v>0</v>
      </c>
      <c r="CR566" s="1">
        <f t="shared" si="1535"/>
        <v>0</v>
      </c>
      <c r="CS566" s="1">
        <f t="shared" si="1536"/>
        <v>0</v>
      </c>
      <c r="CT566" s="1">
        <f t="shared" si="1537"/>
        <v>1.9E-2</v>
      </c>
      <c r="CU566" s="1">
        <f t="shared" si="1538"/>
        <v>3.9E-2</v>
      </c>
      <c r="CV566" s="304">
        <f t="shared" si="1539"/>
        <v>-1077.9364173925233</v>
      </c>
      <c r="CW566" s="20" t="s">
        <v>122</v>
      </c>
      <c r="CX566" s="20" t="s">
        <v>122</v>
      </c>
      <c r="CY566" s="20" t="s">
        <v>122</v>
      </c>
      <c r="CZ566" s="20" t="s">
        <v>122</v>
      </c>
      <c r="DA566" s="20" t="s">
        <v>122</v>
      </c>
      <c r="DB566" s="503">
        <f t="shared" si="1540"/>
        <v>0</v>
      </c>
      <c r="DC566" s="127">
        <v>0</v>
      </c>
      <c r="DD566" s="127">
        <v>0</v>
      </c>
      <c r="DE566" s="127">
        <v>0</v>
      </c>
      <c r="DF566" s="127">
        <v>0</v>
      </c>
      <c r="DG566" s="127">
        <v>0</v>
      </c>
      <c r="DH566" s="127">
        <v>0</v>
      </c>
      <c r="DI566" s="127">
        <v>0</v>
      </c>
      <c r="DJ566" s="127">
        <v>0</v>
      </c>
      <c r="DK566" s="127">
        <v>0</v>
      </c>
      <c r="DL566" s="127">
        <v>0</v>
      </c>
      <c r="DM566" s="304">
        <f>INDEX(Input!$1:$1048576,DM$93,$C566*2+6)</f>
        <v>21036.84210526316</v>
      </c>
      <c r="DN566" s="20">
        <v>0</v>
      </c>
      <c r="DO566" s="20">
        <v>0</v>
      </c>
      <c r="DP566" s="20">
        <v>0</v>
      </c>
      <c r="DQ566" s="20">
        <v>0</v>
      </c>
      <c r="DR566" s="20">
        <v>0</v>
      </c>
      <c r="DS566" s="20">
        <f>INDEX(Input!$1:$1048576,DS$93,$C566*2+6)</f>
        <v>0.6</v>
      </c>
      <c r="DT566" s="20">
        <f>INDEX(Input!$1:$1048576,DT$93,$C566*2+6)</f>
        <v>0.55000000000000004</v>
      </c>
      <c r="DU566" s="20">
        <f>INDEX(Input!$1:$1048576,DU$93,$C566*2+6)</f>
        <v>0.52</v>
      </c>
      <c r="DV566" s="20">
        <f>INDEX(Input!$1:$1048576,DV$93,$C566*2+6)</f>
        <v>0.5</v>
      </c>
      <c r="DW566" s="20">
        <f>INDEX(Input!$1:$1048576,DW$93,$C566*2+6)</f>
        <v>0.45</v>
      </c>
      <c r="DX566" s="20"/>
      <c r="DY566" s="7">
        <v>0.13610636033256593</v>
      </c>
      <c r="DZ566" s="7">
        <v>0</v>
      </c>
      <c r="EA566" s="7">
        <v>0.75123868744090128</v>
      </c>
      <c r="EB566" s="7">
        <v>0</v>
      </c>
      <c r="EC566" s="7">
        <v>0</v>
      </c>
      <c r="ED566" s="7">
        <v>0</v>
      </c>
      <c r="EE566" s="7">
        <v>0</v>
      </c>
      <c r="EF566" s="7">
        <v>0</v>
      </c>
      <c r="EG566" s="7">
        <v>0</v>
      </c>
      <c r="EH566" s="7">
        <v>1.2091421741534108E-2</v>
      </c>
      <c r="EI566" s="7">
        <v>3.3626776563804819E-2</v>
      </c>
      <c r="EJ566" s="7">
        <v>0.29215056806119299</v>
      </c>
      <c r="EK566" s="7">
        <v>0.53708016330837915</v>
      </c>
      <c r="EL566" s="7">
        <v>0.12505107032508911</v>
      </c>
      <c r="EM566" s="7">
        <v>7.7417335844005841E-2</v>
      </c>
      <c r="EN566" s="7">
        <v>5.7500206386277751E-2</v>
      </c>
      <c r="EO566" s="7">
        <v>0.70678080172317403</v>
      </c>
      <c r="EP566" s="7">
        <v>9.4600248802286999E-2</v>
      </c>
      <c r="EQ566" s="7">
        <v>9.3100917526287616E-2</v>
      </c>
      <c r="ER566" s="7">
        <v>4.8017825561973926E-2</v>
      </c>
      <c r="ES566" s="7">
        <v>3.5237616382527016E-2</v>
      </c>
      <c r="ET566" s="7">
        <v>0.11265495222653291</v>
      </c>
      <c r="EU566" s="6">
        <v>2270</v>
      </c>
      <c r="EV566" s="6">
        <v>0</v>
      </c>
      <c r="EW566" s="6">
        <v>2270</v>
      </c>
      <c r="EX566" s="6">
        <v>0</v>
      </c>
      <c r="EY566" s="6">
        <v>3015.8187032957244</v>
      </c>
      <c r="EZ566" s="6">
        <v>-366.44990394013166</v>
      </c>
      <c r="FA566" s="6">
        <v>0</v>
      </c>
      <c r="FB566" s="6">
        <v>0</v>
      </c>
      <c r="FC566" s="6">
        <v>0</v>
      </c>
      <c r="FD566" s="6">
        <v>0</v>
      </c>
      <c r="FE566" s="6">
        <v>0</v>
      </c>
      <c r="FF566" s="6">
        <v>0</v>
      </c>
      <c r="FG566" s="6">
        <v>0</v>
      </c>
      <c r="FH566" s="6">
        <v>1172.1480747311386</v>
      </c>
      <c r="FI566" s="6">
        <v>1553.9796069512406</v>
      </c>
      <c r="FJ566" s="6">
        <v>2101.211011744741</v>
      </c>
      <c r="FK566" s="6">
        <v>1772.7139978623231</v>
      </c>
      <c r="FL566" s="6">
        <v>907.07682140966335</v>
      </c>
      <c r="FM566" s="6">
        <v>1745.8187032957244</v>
      </c>
      <c r="FN566" s="6">
        <v>0</v>
      </c>
      <c r="FO566" s="6">
        <v>0</v>
      </c>
      <c r="FP566" s="6">
        <v>0</v>
      </c>
      <c r="FQ566" s="6">
        <v>0</v>
      </c>
      <c r="FR566" s="6">
        <v>0</v>
      </c>
      <c r="FS566" s="6">
        <v>0</v>
      </c>
      <c r="FT566" s="7">
        <v>0.88734504777346723</v>
      </c>
      <c r="FU566" s="7">
        <v>7.7417335844005841E-2</v>
      </c>
      <c r="FV566" s="7">
        <v>3.5237616382527016E-2</v>
      </c>
      <c r="FW566" s="6">
        <v>2270</v>
      </c>
      <c r="FX566" s="6">
        <v>3015.8187032957244</v>
      </c>
      <c r="FY566" s="6">
        <v>-366.44990394013166</v>
      </c>
      <c r="FZ566" s="6">
        <v>1758.1538569113241</v>
      </c>
      <c r="GA566" s="6">
        <v>2234.8370867049935</v>
      </c>
      <c r="GB566" s="6">
        <v>17750.162913295007</v>
      </c>
      <c r="GC566" s="7">
        <v>3.064145122680037E-2</v>
      </c>
      <c r="GD566" s="7">
        <v>3.2849922030665335E-2</v>
      </c>
      <c r="GE566" s="7"/>
      <c r="GF566" s="7"/>
      <c r="GG566" s="7">
        <v>7.20746151191866E-2</v>
      </c>
      <c r="GH566" s="42">
        <v>3.0217366442289588</v>
      </c>
      <c r="GI566" s="6">
        <v>8848.5835355122381</v>
      </c>
      <c r="GJ566" s="14">
        <v>0.50394797582841733</v>
      </c>
      <c r="GK566" s="14">
        <v>0.50887573065309755</v>
      </c>
      <c r="GL566" s="14">
        <v>0.49605202417158301</v>
      </c>
      <c r="GM566" s="14">
        <v>0.49112426934690256</v>
      </c>
      <c r="GO566" s="5">
        <v>343.14810671672558</v>
      </c>
      <c r="GP566" s="5">
        <v>299.84083725090579</v>
      </c>
      <c r="GQ566" s="5">
        <v>535.04305713031317</v>
      </c>
      <c r="GR566" s="5">
        <v>410.15490233172511</v>
      </c>
      <c r="GS566" s="5">
        <v>339.42744393800166</v>
      </c>
      <c r="GT566" s="5">
        <v>293.4407446948278</v>
      </c>
      <c r="GU566" s="5">
        <v>258.04012322764959</v>
      </c>
      <c r="GV566" s="39" t="s">
        <v>392</v>
      </c>
      <c r="GW566" s="5">
        <v>464.34722222222223</v>
      </c>
      <c r="GX566" s="5">
        <v>348.26041666666669</v>
      </c>
      <c r="GY566" s="5">
        <v>278.60833333333335</v>
      </c>
      <c r="GZ566" s="5">
        <v>245.84245344171217</v>
      </c>
      <c r="HA566" s="5">
        <v>227.72592165501612</v>
      </c>
      <c r="HB566" s="39">
        <v>259.23555145191642</v>
      </c>
      <c r="HC566" s="5">
        <v>303.31655829738077</v>
      </c>
      <c r="HD566" s="5">
        <v>250.74799238008356</v>
      </c>
      <c r="HE566" s="5">
        <v>251.12245558578954</v>
      </c>
      <c r="HF566" s="5">
        <v>229.38290951107166</v>
      </c>
      <c r="HG566" s="5">
        <v>217.65500473779989</v>
      </c>
      <c r="HH566" s="39">
        <v>250.22795795612402</v>
      </c>
      <c r="HI566" s="16"/>
      <c r="HJ566" s="19" t="str">
        <f t="shared" ref="HJ566" si="1625">HJ565</f>
        <v>On</v>
      </c>
      <c r="HK566" s="1" t="str">
        <f t="shared" si="1549"/>
        <v>On</v>
      </c>
      <c r="HL566" s="16"/>
      <c r="HM566" s="639">
        <f t="shared" si="1605"/>
        <v>2.4909940070666322E-2</v>
      </c>
      <c r="HN566" s="639">
        <f t="shared" si="1606"/>
        <v>2.2052381276269151E-3</v>
      </c>
      <c r="HO566" s="639">
        <f t="shared" si="1607"/>
        <v>2.079866082302006E-3</v>
      </c>
      <c r="HP566" s="644">
        <f>(FT566*$GD566-HM566)/$JF566*INDEX(Input!$1:$1048576,$JG$93,$C566*2+6)</f>
        <v>119.21356254038457</v>
      </c>
      <c r="HQ566" s="644">
        <f>(FU566*$GD566-HN566)/$JF566*INDEX(Input!$1:$1048576,$JG$93,$C566*2+6)</f>
        <v>9.502587972195121</v>
      </c>
      <c r="HR566" s="644">
        <f>(FV566*$GD566-HO566)/$JF566*INDEX(Input!$1:$1048576,$JG$93,$C566*2+6)</f>
        <v>-25.936562169843004</v>
      </c>
      <c r="HS566" s="644">
        <f t="shared" si="1598"/>
        <v>-50.083375374830858</v>
      </c>
      <c r="HT566" s="644">
        <f t="shared" si="1608"/>
        <v>56.604191597485112</v>
      </c>
      <c r="HU566" s="644">
        <f t="shared" si="1609"/>
        <v>2.103669589778693</v>
      </c>
      <c r="HV566" s="648">
        <f t="shared" si="1610"/>
        <v>0</v>
      </c>
      <c r="HW566" s="648">
        <f t="shared" si="1611"/>
        <v>0</v>
      </c>
      <c r="HX566" s="648">
        <f t="shared" si="1612"/>
        <v>0</v>
      </c>
      <c r="HY566" s="644">
        <f>INDEX(Input!$1:$1048576,HY$93,$C566*2+6)*INDEX(Input!$1:$1048576,$JG$93,$C566*2+6)</f>
        <v>333.00000000000006</v>
      </c>
      <c r="HZ566" s="644">
        <f>INDEX(Input!$1:$1048576,HZ$93,$C566*2+6)*INDEX(Input!$1:$1048576,$JG$93,$C566*2+6)</f>
        <v>429</v>
      </c>
      <c r="IA566" s="644">
        <f>INDEX(Input!$1:$1048576,IA$93,$C566*2+6)*INDEX(Input!$1:$1048576,$JG$93,$C566*2+6)</f>
        <v>59</v>
      </c>
      <c r="IB566" s="644">
        <f t="shared" si="1551"/>
        <v>402.13018716555382</v>
      </c>
      <c r="IC566" s="644">
        <f t="shared" si="1552"/>
        <v>495.10677956968021</v>
      </c>
      <c r="ID566" s="644">
        <f>IF(AND(INDEX(Input!$1:$1048576,IA$93,$C566*2+7)="TOS",Y566&lt;=INDEX(Y:Y,MATCH(C566*1000+2,A:A))),0,1)*MAX(IA566+HR566+HU566+HX566,0%)</f>
        <v>35.167107419935689</v>
      </c>
      <c r="IE566" s="128">
        <f t="shared" si="1599"/>
        <v>0.43128317251285592</v>
      </c>
      <c r="IF566" s="128">
        <f t="shared" si="1600"/>
        <v>0.5310002318665169</v>
      </c>
      <c r="IG566" s="128">
        <f t="shared" si="1555"/>
        <v>3.7716595620627041E-2</v>
      </c>
      <c r="IH566" s="21"/>
      <c r="II566" s="19">
        <f t="shared" si="1613"/>
        <v>1240</v>
      </c>
      <c r="IJ566" s="19">
        <f t="shared" si="1614"/>
        <v>1985.7442651839444</v>
      </c>
      <c r="IK566" s="19">
        <f t="shared" si="1615"/>
        <v>-21.44990394013189</v>
      </c>
      <c r="IL566" s="19">
        <f t="shared" si="1556"/>
        <v>1030</v>
      </c>
      <c r="IM566" s="19">
        <f t="shared" si="1557"/>
        <v>1030.07443811178</v>
      </c>
      <c r="IN566" s="19">
        <f t="shared" si="1558"/>
        <v>-344.99999999999977</v>
      </c>
      <c r="IO566" s="39">
        <f t="shared" si="1616"/>
        <v>0</v>
      </c>
      <c r="IP566" s="39">
        <f t="shared" si="1617"/>
        <v>0</v>
      </c>
      <c r="IQ566" s="39">
        <f t="shared" si="1618"/>
        <v>0</v>
      </c>
      <c r="IR566" s="39">
        <v>0</v>
      </c>
      <c r="IS566" s="39">
        <v>0</v>
      </c>
      <c r="IT566" s="39">
        <v>0</v>
      </c>
      <c r="IU566" s="39">
        <v>0</v>
      </c>
      <c r="IV566" s="39">
        <v>0</v>
      </c>
      <c r="IW566" s="39">
        <v>0</v>
      </c>
      <c r="IX566" s="39">
        <f>INDEX(Input!$1:$1048576,IX$93,$C566*2+6)+INDEX(Input!$1:$1048576,IX$94,$C566*2+6)</f>
        <v>1270</v>
      </c>
      <c r="IY566" s="39">
        <f>INDEX(Input!$1:$1048576,IY$93,$C566*2+6)+INDEX(Input!$1:$1048576,IY$94,$C566*2+6)</f>
        <v>2130.0624533823611</v>
      </c>
      <c r="IZ566" s="39">
        <f>INDEX(Input!$1:$1048576,IZ$93,$C566*2+6)+INDEX(Input!$1:$1048576,IZ$94,$C566*2+6)</f>
        <v>3653.7164157747857</v>
      </c>
      <c r="JA566" s="19">
        <f t="shared" si="1559"/>
        <v>2300</v>
      </c>
      <c r="JB566" s="19">
        <f t="shared" si="1560"/>
        <v>3160.1368914941413</v>
      </c>
      <c r="JC566" s="19">
        <f t="shared" si="1561"/>
        <v>3308.7164157747857</v>
      </c>
      <c r="JD566" s="19">
        <f t="shared" si="1562"/>
        <v>2794.7782379699997</v>
      </c>
      <c r="JE566" s="21"/>
      <c r="JF566" s="1">
        <f t="shared" si="1619"/>
        <v>2.9195044280595241E-2</v>
      </c>
      <c r="JG566" s="15">
        <f>INDEX(Input!$1:$1048576,JG$93,$C566*2+6)/(1+VLOOKUP(C566*1000+INDEX(Input!$1:$1048576,JG$93+1,$C566*2+6),$A:$KK,$JK$92,FALSE))</f>
        <v>821</v>
      </c>
      <c r="JH566" s="1">
        <f t="shared" si="1563"/>
        <v>0.12518829274389368</v>
      </c>
      <c r="JI566" s="1">
        <f t="shared" si="1564"/>
        <v>1.0504854826349511E-2</v>
      </c>
      <c r="JJ566" s="1">
        <f t="shared" si="1565"/>
        <v>0</v>
      </c>
      <c r="JK566" s="1">
        <f t="shared" si="1566"/>
        <v>0.1356931475702432</v>
      </c>
      <c r="JL566" s="15">
        <f t="shared" si="1567"/>
        <v>111.40407415516967</v>
      </c>
      <c r="JM566" s="15">
        <f t="shared" si="1568"/>
        <v>932.40407415516961</v>
      </c>
      <c r="JN566" s="21"/>
      <c r="JO566" s="19">
        <f>INDEX(Input!$1:$1048576,JO$93,$C566*2+6)</f>
        <v>5995.5</v>
      </c>
      <c r="JP566" s="19">
        <f>INDEX(Input!$1:$1048576,JP$93,$C566*2+6)</f>
        <v>1890.7138380411029</v>
      </c>
      <c r="JQ566" s="39">
        <f t="shared" si="1569"/>
        <v>3200.7217620300003</v>
      </c>
      <c r="JR566" s="39">
        <f t="shared" si="1570"/>
        <v>904.06439992889682</v>
      </c>
      <c r="JS566" s="39">
        <f t="shared" si="1571"/>
        <v>2.6058626154434341</v>
      </c>
      <c r="JT566" s="39">
        <f t="shared" si="1572"/>
        <v>1.0535865544116887</v>
      </c>
      <c r="JU566" s="385">
        <f>(JQ566*JM566-INDEX(Input!$1:$1048576,Input!A$18,$C566*2+6)*JL566*INDEX(Input!$1:$1048576,Input!A$19,$C566*2+6))/1000000</f>
        <v>2.9843660111538854</v>
      </c>
      <c r="JV566" s="39">
        <f t="shared" si="1573"/>
        <v>-0.38566342781436891</v>
      </c>
      <c r="JW566" s="1">
        <f t="shared" si="1574"/>
        <v>-0.11443918660023369</v>
      </c>
      <c r="JX566" s="19">
        <f t="shared" si="1575"/>
        <v>9457.3431214391312</v>
      </c>
      <c r="JZ566" s="341"/>
      <c r="KA566" s="342"/>
      <c r="KB566" s="469">
        <f t="shared" si="1576"/>
        <v>2.5122967434604799</v>
      </c>
      <c r="KI566" s="473">
        <f t="shared" si="1601"/>
        <v>69.13018716555365</v>
      </c>
      <c r="KJ566" s="473">
        <f t="shared" si="1602"/>
        <v>66.1067795696801</v>
      </c>
      <c r="KK566" s="473">
        <f t="shared" si="1579"/>
        <v>-23.832892580064318</v>
      </c>
      <c r="KN566" s="544">
        <f t="shared" si="1580"/>
        <v>5002</v>
      </c>
      <c r="KO566" s="541">
        <f t="shared" si="1620"/>
        <v>0.13108776701036629</v>
      </c>
      <c r="KP566" s="546">
        <f t="shared" si="1621"/>
        <v>948.74417447099881</v>
      </c>
      <c r="KQ566" s="546">
        <f t="shared" si="1622"/>
        <v>875.85947224673328</v>
      </c>
      <c r="KR566" s="548">
        <f t="shared" si="1623"/>
        <v>2.4961863391147614</v>
      </c>
      <c r="KS566" s="548">
        <f t="shared" si="1624"/>
        <v>2.7039066456109246</v>
      </c>
      <c r="KT566" s="473">
        <f t="shared" si="1581"/>
        <v>595.94378802984284</v>
      </c>
      <c r="KU566" s="663">
        <f t="shared" ref="KU566:KU583" si="1626">IF(D566="",0,IFERROR((JM566/KT566-1)/(JD566/BX566)+B566*10^-6,0))</f>
        <v>4.0373129254072539</v>
      </c>
    </row>
    <row r="567" spans="1:308" s="26" customFormat="1" ht="15" outlineLevel="1">
      <c r="A567" s="561">
        <f t="shared" si="1541"/>
        <v>5067</v>
      </c>
      <c r="B567" s="561">
        <f t="shared" ref="B567:B599" si="1627">B566+1</f>
        <v>67</v>
      </c>
      <c r="C567" s="561">
        <f t="shared" ref="C567:C599" si="1628">C566</f>
        <v>5</v>
      </c>
      <c r="D567" s="561" t="str">
        <f t="shared" si="1509"/>
        <v xml:space="preserve">-180 Lease, </v>
      </c>
      <c r="E567" s="475">
        <f>INDEX(Input!$1:$1048576,E$93,$C567*2+MIN($B567,2)+5)
+INDEX(Scenarios!E$121:E$200,MATCH($B567,Scenarios!$B$121:$B$200,0))</f>
        <v>1277.4263093788063</v>
      </c>
      <c r="F567" s="475">
        <f>INDEX(Input!$1:$1048576,F$93,$C567*2+MIN($B567,2)+5)
+INDEX(Scenarios!F$121:F$200,MATCH($B567,Scenarios!$B$121:$B$200,0))</f>
        <v>0</v>
      </c>
      <c r="G567" s="475">
        <f>INDEX(Input!$1:$1048576,G$93,$C567*2+MIN($B567,2)+5)
+INDEX(Scenarios!G$121:G$200,MATCH($B567,Scenarios!$B$121:$B$200,0))</f>
        <v>0</v>
      </c>
      <c r="H567" s="475">
        <f>INDEX(Input!$1:$1048576,H$93,$C567*2+MIN($B567,2)+5)
+INDEX(Scenarios!H$121:H$200,MATCH($B567,Scenarios!$B$121:$B$200,0))</f>
        <v>0</v>
      </c>
      <c r="I567" s="476">
        <f>INDEX(Input!$1:$1048576,I$93,$C567*2+MIN($B567,2)+5)</f>
        <v>0.7</v>
      </c>
      <c r="J567" s="476" t="str">
        <f>INDEX(Input!$1:$1048576,J$93,$C567*2+MIN($B567,2)+5)</f>
        <v>Market</v>
      </c>
      <c r="K567" s="476" t="str">
        <f>INDEX(Input!$1:$1048576,K$93,$C567*2+MIN($B567,2)+5)</f>
        <v>Market</v>
      </c>
      <c r="L567" s="476" t="str">
        <f>INDEX(Input!$1:$1048576,L$93,$C567*2+MIN($B567,2)+5)</f>
        <v>Market</v>
      </c>
      <c r="M567" s="476" t="str">
        <f>INDEX(Input!$1:$1048576,M$93,$C567*2+MIN($B567,2)+5)</f>
        <v>Market</v>
      </c>
      <c r="N567" s="476" t="str">
        <f>INDEX(Input!$1:$1048576,N$93,$C567*2+MIN($B567,2)+5)</f>
        <v>Market</v>
      </c>
      <c r="O567" s="476" t="str">
        <f>INDEX(Input!$1:$1048576,O$93,$C567*2+MIN($B567,2)+5)</f>
        <v>Market</v>
      </c>
      <c r="P567" s="476" t="str">
        <f>INDEX(Input!$1:$1048576,P$93,$C567*2+MIN($B567,2)+5)</f>
        <v>N</v>
      </c>
      <c r="Q567" s="477">
        <f>INDEX(Input!$1:$1048576,Q$93,$C567*2+MIN($B567,2)+5)
+INDEX(Scenarios!Q$121:Q$200,MATCH($B567,Scenarios!$B$121:$B$200,0))</f>
        <v>0</v>
      </c>
      <c r="R567" s="478">
        <f>IFERROR(MAX(0,INDEX(Input!$1:$1048576,R$93,$C567*2+MIN($B567,2)+5)
+INDEX(Scenarios!R$121:R$200,MATCH($B567,Scenarios!$B$121:$B$200,0)),),"Market")</f>
        <v>0</v>
      </c>
      <c r="S567" s="478">
        <f>IFERROR(MAX(0,INDEX(Input!$1:$1048576,S$93,$C567*2+MIN($B567,2)+5)
+INDEX(Scenarios!S$121:S$200,MATCH($B567,Scenarios!$B$121:$B$200,0)),),"Market")</f>
        <v>0</v>
      </c>
      <c r="T567" s="478">
        <f>IFERROR(MAX(0,INDEX(Input!$1:$1048576,T$93,$C567*2+MIN($B567,2)+5)
+INDEX(Scenarios!T$121:T$200,MATCH($B567,Scenarios!$B$121:$B$200,0)),),"Market")</f>
        <v>0</v>
      </c>
      <c r="U567" s="478">
        <f>IFERROR(MAX(0,INDEX(Input!$1:$1048576,U$93,$C567*2+MIN($B567,2)+5)
+INDEX(Scenarios!U$121:U$200,MATCH($B567,Scenarios!$B$121:$B$200,0)),),"Market")</f>
        <v>0</v>
      </c>
      <c r="V567" s="478">
        <f>IFERROR(MAX(0,INDEX(Input!$1:$1048576,V$93,$C567*2+MIN($B567,2)+5)
+INDEX(Scenarios!V$121:V$200,MATCH($B567,Scenarios!$B$121:$B$200,0)),),"Market")</f>
        <v>1.9E-2</v>
      </c>
      <c r="W567" s="885">
        <f>IFERROR(MAX(0,INDEX(Input!$1:$1048576,W$93,$C567*2+MIN($B567,2)+5)-0%,),"Market")</f>
        <v>3.9E-2</v>
      </c>
      <c r="X567" s="476" t="str">
        <f>INDEX(Input!$1:$1048576,X$93,$C567*2+MIN($B567,2)+5)</f>
        <v>Y</v>
      </c>
      <c r="Y567" s="475">
        <f>INDEX(Input!$1:$1048576,Y$93,$C567*2+MIN($B567,2)+5)
++INDEX(Scenarios!Y$121:Y$200,MATCH($B567,Scenarios!$B$121:$B$200,0))</f>
        <v>-897.93641739252325</v>
      </c>
      <c r="Z567" s="477">
        <f>INDEX(Input!$1:$1048576,Z$93,$C567*2+MIN($B567,2)+5)
+INDEX(Scenarios!Z$121:Z$200,MATCH($B567,Scenarios!$B$121:$B$200,0))</f>
        <v>0</v>
      </c>
      <c r="AA567" s="475">
        <f>INDEX(Input!$1:$1048576,AA$93,$C567*2+MIN($B567,2)+5)
+INDEX(Scenarios!AA$121:AA$200,MATCH($B567,Scenarios!$B$121:$B$200,0))</f>
        <v>0</v>
      </c>
      <c r="AB567" s="476">
        <f>INDEX(Input!$1:$1048576,AB$93,$C567*2+MIN($B567,2)+5)</f>
        <v>0.27</v>
      </c>
      <c r="AC567" s="475">
        <f>INDEX(Input!$1:$1048576,AC$93,$C567*2+MIN($B567,2)+5)
+INDEX(Scenarios!AC$121:AC$200,MATCH($B567,Scenarios!$B$121:$B$200,0))</f>
        <v>0</v>
      </c>
      <c r="AD567" s="476">
        <f>INDEX(Input!$1:$1048576,AD$93,$C567*2+MIN($B567,2)+5)</f>
        <v>0.27</v>
      </c>
      <c r="AE567" s="475">
        <f>INDEX(Input!$1:$1048576,AE$93,$C567*2+MIN($B567,2)+5)
+INDEX(Scenarios!AE$121:AE$200,MATCH($B567,Scenarios!$B$121:$B$200,0))</f>
        <v>0</v>
      </c>
      <c r="AF567" s="476">
        <f>INDEX(Input!$1:$1048576,AF$93,$C567*2+MIN($B567,2)+5)</f>
        <v>0.2</v>
      </c>
      <c r="AG567" s="475">
        <f>INDEX(Input!$1:$1048576,AG$93,$C567*2+MIN($B567,2)+5)
+INDEX(Scenarios!AG$121:AG$200,MATCH($B567,Scenarios!$B$121:$B$200,0))</f>
        <v>500</v>
      </c>
      <c r="AH567" s="476">
        <f>INDEX(Input!$1:$1048576,AH$93,$C567*2+MIN($B567,2)+5)</f>
        <v>1</v>
      </c>
      <c r="AI567" s="475">
        <f>INDEX(Input!$1:$1048576,AI$93,$C567*2+MIN($B567,2)+5)
+INDEX(Scenarios!AI$121:AI$200,MATCH($B567,Scenarios!$B$121:$B$200,0))</f>
        <v>0</v>
      </c>
      <c r="AJ567" s="476">
        <f>INDEX(Input!$1:$1048576,AJ$93,$C567*2+MIN($B567,2)+5)</f>
        <v>0.27</v>
      </c>
      <c r="AK567" s="150">
        <f>ROUND(INDEX(Input!$1:$1048576,AK$93,$C566*2+MIN($B567,1)+5)+(Y567-VLOOKUP($C567*1000+1,$A:$HH,Y$92,FALSE)),0)</f>
        <v>2407</v>
      </c>
      <c r="AL567" s="150">
        <f>ROUND(INDEX(Input!$1:$1048576,AL$93,$C566*2+MIN($B567,1)+5)-(Y567-VLOOKUP($C567*1000+1,$A:$HH,Y$92,FALSE))/36,0)</f>
        <v>3411</v>
      </c>
      <c r="AM567" s="32" t="str">
        <f t="shared" si="1544"/>
        <v>std/std/std/std</v>
      </c>
      <c r="AN567" s="32" t="str">
        <f t="shared" si="1545"/>
        <v>$0 + 0/0/0/1.9/3.9</v>
      </c>
      <c r="AO567" s="32" t="str">
        <f t="shared" si="1546"/>
        <v>0/0/0/1.9/3.9</v>
      </c>
      <c r="AP567" s="32" t="str">
        <f t="shared" si="1526"/>
        <v>0/0.9/1.9/3.9</v>
      </c>
      <c r="AQ567" s="536">
        <f t="shared" si="1525"/>
        <v>0.41091672801430251</v>
      </c>
      <c r="AR567" s="32"/>
      <c r="AS567" s="302"/>
      <c r="AT567" s="3">
        <f t="shared" ref="AT567:AT599" si="1629">AT566+1</f>
        <v>67</v>
      </c>
      <c r="AU567" s="41" t="s">
        <v>121</v>
      </c>
      <c r="AV567" s="41" t="s">
        <v>116</v>
      </c>
      <c r="AW567" s="41" t="str">
        <f>INDEX(Input!$1:$1048576,AW$93,$C567*2+6)</f>
        <v>Kia</v>
      </c>
      <c r="AX567" s="41" t="str">
        <f>INDEX(Input!$1:$1048576,AX$93,$C567*2+6)</f>
        <v>Kia-LR - R2</v>
      </c>
      <c r="AY567" s="41" t="str">
        <f>IF(LEN(D567)=0,"",INDEX(Input!$1:$1048576,AY$93,$C567*2+6))</f>
        <v>Compact SUV (52)</v>
      </c>
      <c r="AZ567" s="41" t="str">
        <f>INDEX(Input!$1:$1048576,AZ$93,$C567*2+6)</f>
        <v>Kia Soul</v>
      </c>
      <c r="BA567" s="3">
        <f>INDEX(Input!$1:$1048576,BA$93,$C567*2+6)</f>
        <v>2020</v>
      </c>
      <c r="BB567" s="128">
        <f>INDEX(Input!$1:$1048576,BB$93,$C567*2+6)</f>
        <v>1</v>
      </c>
      <c r="BC567" s="128">
        <f>INDEX(Input!$1:$1048576,BC$93,$C567*2+6)</f>
        <v>0.7</v>
      </c>
      <c r="BD567" s="1">
        <f>INDEX(Input!$1:$1048576,BD$93,$C567*2+6)</f>
        <v>4.4999999999999998E-2</v>
      </c>
      <c r="BE567" s="1">
        <f>INDEX(Input!$1:$1048576,BE$93,$C567*2+6)</f>
        <v>4.4999999999999998E-2</v>
      </c>
      <c r="BF567" s="1">
        <f>INDEX(Input!$1:$1048576,BF$93,$C567*2+6)</f>
        <v>0.05</v>
      </c>
      <c r="BG567" s="1">
        <f>INDEX(Input!$1:$1048576,BG$93,$C567*2+6)</f>
        <v>5.45E-2</v>
      </c>
      <c r="BH567" s="1">
        <f>INDEX(Input!$1:$1048576,BH$93,$C567*2+6)</f>
        <v>5.45E-2</v>
      </c>
      <c r="BI567" s="1">
        <f>INDEX(Input!$1:$1048576,BI$93,$C567*2+6)</f>
        <v>0.05</v>
      </c>
      <c r="BJ567" s="1">
        <f>INDEX(Input!$1:$1048576,BJ$93,$C567*2+6)</f>
        <v>0.05</v>
      </c>
      <c r="BK567" s="1">
        <f>INDEX(Input!$1:$1048576,BK$93,$C567*2+6)</f>
        <v>0.05</v>
      </c>
      <c r="BL567" s="1">
        <f>INDEX(Input!$1:$1048576,BL$93,$C567*2+6)</f>
        <v>5.5E-2</v>
      </c>
      <c r="BM567" s="1">
        <f>INDEX(Input!$1:$1048576,BM$93,$C567*2+6)</f>
        <v>0.06</v>
      </c>
      <c r="BN567" s="1">
        <f>INDEX(Input!$1:$1048576,BN$93,$C567*2+6)</f>
        <v>4.4999999999999998E-2</v>
      </c>
      <c r="BO567" s="1">
        <f>INDEX(Input!$1:$1048576,BO$93,$C567*2+6)</f>
        <v>4.4999999999999998E-2</v>
      </c>
      <c r="BP567" s="1">
        <f>INDEX(Input!$1:$1048576,BP$93,$C567*2+6)</f>
        <v>0.05</v>
      </c>
      <c r="BQ567" s="1">
        <f>INDEX(Input!$1:$1048576,BQ$93,$C567*2+6)</f>
        <v>5.45E-2</v>
      </c>
      <c r="BR567" s="1">
        <f>INDEX(Input!$1:$1048576,BR$93,$C567*2+6)</f>
        <v>5.45E-2</v>
      </c>
      <c r="BS567" s="1">
        <f>INDEX(Input!$1:$1048576,BS$93,$C567*2+6)</f>
        <v>0.05</v>
      </c>
      <c r="BT567" s="1">
        <f>INDEX(Input!$1:$1048576,BT$93,$C567*2+6)</f>
        <v>0.05</v>
      </c>
      <c r="BU567" s="1">
        <f>INDEX(Input!$1:$1048576,BU$93,$C567*2+6)</f>
        <v>0.05</v>
      </c>
      <c r="BV567" s="1">
        <f>INDEX(Input!$1:$1048576,BV$93,$C567*2+6)</f>
        <v>5.5E-2</v>
      </c>
      <c r="BW567" s="1">
        <f>INDEX(Input!$1:$1048576,BW$93,$C567*2+6)</f>
        <v>0.06</v>
      </c>
      <c r="BX567" s="127">
        <f>INDEX(Input!$1:$1048576,BX$93,$C567*2+6)</f>
        <v>19985</v>
      </c>
      <c r="BY567" s="20">
        <f>INDEX(Input!$1:$1048576,BY$93,$C567*2+6)</f>
        <v>0.1</v>
      </c>
      <c r="BZ567" s="20">
        <f>INDEX(Input!$1:$1048576,BZ$93,$C567*2+6)</f>
        <v>0.1</v>
      </c>
      <c r="CA567" s="20">
        <f>INDEX(Input!$1:$1048576,CA$93,$C567*2+6)</f>
        <v>0.1</v>
      </c>
      <c r="CB567" s="20">
        <f>INDEX(Input!$1:$1048576,CB$93,$C567*2+6)</f>
        <v>0.1</v>
      </c>
      <c r="CC567" s="20">
        <f>INDEX(Input!$1:$1048576,CC$93,$C567*2+6)</f>
        <v>0.1</v>
      </c>
      <c r="CD567" s="384">
        <f>INDEX(Input!$1:$1048576,CD$93,$C567*2+6)</f>
        <v>0.1</v>
      </c>
      <c r="CE567" s="384">
        <f>INDEX(Input!$1:$1048576,CE$93,$C567*2+6)</f>
        <v>0.1</v>
      </c>
      <c r="CF567" s="384">
        <f>INDEX(Input!$1:$1048576,CF$93,$C567*2+6)</f>
        <v>0.1</v>
      </c>
      <c r="CG567" s="384">
        <f>INDEX(Input!$1:$1048576,CG$93,$C567*2+6)</f>
        <v>0.1</v>
      </c>
      <c r="CH567" s="384">
        <f>INDEX(Input!$1:$1048576,CH$93,$C567*2+6)</f>
        <v>0.1</v>
      </c>
      <c r="CI567" s="304">
        <f t="shared" si="1527"/>
        <v>1277.4263093788063</v>
      </c>
      <c r="CJ567" s="16" t="str">
        <f>INDEX(Input!$1:$1048576,CJ$93,$C567*2+6)</f>
        <v>N</v>
      </c>
      <c r="CK567" s="1" t="str">
        <f t="shared" si="1528"/>
        <v>Market</v>
      </c>
      <c r="CL567" s="1" t="str">
        <f t="shared" si="1529"/>
        <v>Market</v>
      </c>
      <c r="CM567" s="1" t="str">
        <f t="shared" si="1530"/>
        <v>Market</v>
      </c>
      <c r="CN567" s="1" t="str">
        <f t="shared" si="1531"/>
        <v>Market</v>
      </c>
      <c r="CO567" s="1" t="str">
        <f t="shared" si="1532"/>
        <v>Market</v>
      </c>
      <c r="CP567" s="304">
        <f t="shared" si="1533"/>
        <v>500</v>
      </c>
      <c r="CQ567" s="1">
        <f t="shared" si="1534"/>
        <v>0</v>
      </c>
      <c r="CR567" s="1">
        <f t="shared" si="1535"/>
        <v>0</v>
      </c>
      <c r="CS567" s="1">
        <f t="shared" si="1536"/>
        <v>0</v>
      </c>
      <c r="CT567" s="1">
        <f t="shared" si="1537"/>
        <v>1.9E-2</v>
      </c>
      <c r="CU567" s="1">
        <f t="shared" si="1538"/>
        <v>3.9E-2</v>
      </c>
      <c r="CV567" s="304">
        <f t="shared" si="1539"/>
        <v>-897.93641739252325</v>
      </c>
      <c r="CW567" s="20" t="s">
        <v>122</v>
      </c>
      <c r="CX567" s="20" t="s">
        <v>122</v>
      </c>
      <c r="CY567" s="20" t="s">
        <v>122</v>
      </c>
      <c r="CZ567" s="20" t="s">
        <v>122</v>
      </c>
      <c r="DA567" s="20" t="s">
        <v>122</v>
      </c>
      <c r="DB567" s="503">
        <f t="shared" si="1540"/>
        <v>0</v>
      </c>
      <c r="DC567" s="127">
        <v>0</v>
      </c>
      <c r="DD567" s="127">
        <v>0</v>
      </c>
      <c r="DE567" s="127">
        <v>0</v>
      </c>
      <c r="DF567" s="127">
        <v>0</v>
      </c>
      <c r="DG567" s="127">
        <v>0</v>
      </c>
      <c r="DH567" s="127">
        <v>0</v>
      </c>
      <c r="DI567" s="127">
        <v>0</v>
      </c>
      <c r="DJ567" s="127">
        <v>0</v>
      </c>
      <c r="DK567" s="127">
        <v>0</v>
      </c>
      <c r="DL567" s="127">
        <v>0</v>
      </c>
      <c r="DM567" s="304">
        <f>INDEX(Input!$1:$1048576,DM$93,$C567*2+6)</f>
        <v>21036.84210526316</v>
      </c>
      <c r="DN567" s="20">
        <v>0</v>
      </c>
      <c r="DO567" s="20">
        <v>0</v>
      </c>
      <c r="DP567" s="20">
        <v>0</v>
      </c>
      <c r="DQ567" s="20">
        <v>0</v>
      </c>
      <c r="DR567" s="20">
        <v>0</v>
      </c>
      <c r="DS567" s="20">
        <f>INDEX(Input!$1:$1048576,DS$93,$C567*2+6)</f>
        <v>0.6</v>
      </c>
      <c r="DT567" s="20">
        <f>INDEX(Input!$1:$1048576,DT$93,$C567*2+6)</f>
        <v>0.55000000000000004</v>
      </c>
      <c r="DU567" s="20">
        <f>INDEX(Input!$1:$1048576,DU$93,$C567*2+6)</f>
        <v>0.52</v>
      </c>
      <c r="DV567" s="20">
        <f>INDEX(Input!$1:$1048576,DV$93,$C567*2+6)</f>
        <v>0.5</v>
      </c>
      <c r="DW567" s="20">
        <f>INDEX(Input!$1:$1048576,DW$93,$C567*2+6)</f>
        <v>0.45</v>
      </c>
      <c r="DX567" s="20"/>
      <c r="DY567" s="7">
        <v>0.11990698601096079</v>
      </c>
      <c r="DZ567" s="7">
        <v>0</v>
      </c>
      <c r="EA567" s="7">
        <v>0.73897756118271851</v>
      </c>
      <c r="EB567" s="7">
        <v>0</v>
      </c>
      <c r="EC567" s="7">
        <v>0</v>
      </c>
      <c r="ED567" s="7">
        <v>0</v>
      </c>
      <c r="EE567" s="7">
        <v>0</v>
      </c>
      <c r="EF567" s="7">
        <v>0</v>
      </c>
      <c r="EG567" s="7">
        <v>0</v>
      </c>
      <c r="EH567" s="7">
        <v>1.2088935347312379E-2</v>
      </c>
      <c r="EI567" s="7">
        <v>3.3608201154260157E-2</v>
      </c>
      <c r="EJ567" s="7">
        <v>0.29193101229410889</v>
      </c>
      <c r="EK567" s="7">
        <v>0.53732489245737347</v>
      </c>
      <c r="EL567" s="7">
        <v>0.12504695874694483</v>
      </c>
      <c r="EM567" s="7">
        <v>7.6022776354257388E-2</v>
      </c>
      <c r="EN567" s="7">
        <v>5.7967728208710829E-2</v>
      </c>
      <c r="EO567" s="7">
        <v>0.71193495486935843</v>
      </c>
      <c r="EP567" s="7">
        <v>9.2163596281827617E-2</v>
      </c>
      <c r="EQ567" s="7">
        <v>9.0768319110750673E-2</v>
      </c>
      <c r="ER567" s="7">
        <v>4.7165401529352273E-2</v>
      </c>
      <c r="ES567" s="7">
        <v>6.5092676452063361E-2</v>
      </c>
      <c r="ET567" s="7">
        <v>0.14111545280632073</v>
      </c>
      <c r="EU567" s="6">
        <v>1270</v>
      </c>
      <c r="EV567" s="6">
        <v>0</v>
      </c>
      <c r="EW567" s="6">
        <v>1270</v>
      </c>
      <c r="EX567" s="6">
        <v>0</v>
      </c>
      <c r="EY567" s="6">
        <v>2015.7555586467806</v>
      </c>
      <c r="EZ567" s="6">
        <v>-186.44990394013166</v>
      </c>
      <c r="FA567" s="6">
        <v>0</v>
      </c>
      <c r="FB567" s="6">
        <v>0</v>
      </c>
      <c r="FC567" s="6">
        <v>0</v>
      </c>
      <c r="FD567" s="6">
        <v>0</v>
      </c>
      <c r="FE567" s="6">
        <v>0</v>
      </c>
      <c r="FF567" s="6">
        <v>0</v>
      </c>
      <c r="FG567" s="6">
        <v>0</v>
      </c>
      <c r="FH567" s="6">
        <v>1172.1367673247787</v>
      </c>
      <c r="FI567" s="6">
        <v>1553.9796069512397</v>
      </c>
      <c r="FJ567" s="6">
        <v>2101.2110117447414</v>
      </c>
      <c r="FK567" s="6">
        <v>1772.7139978623229</v>
      </c>
      <c r="FL567" s="6">
        <v>907.07682140966403</v>
      </c>
      <c r="FM567" s="6">
        <v>1745.7555586467806</v>
      </c>
      <c r="FN567" s="6">
        <v>0</v>
      </c>
      <c r="FO567" s="6">
        <v>0</v>
      </c>
      <c r="FP567" s="6">
        <v>0</v>
      </c>
      <c r="FQ567" s="6">
        <v>0</v>
      </c>
      <c r="FR567" s="6">
        <v>0</v>
      </c>
      <c r="FS567" s="6">
        <v>0</v>
      </c>
      <c r="FT567" s="7">
        <v>0.85888454719367935</v>
      </c>
      <c r="FU567" s="7">
        <v>7.6022776354257388E-2</v>
      </c>
      <c r="FV567" s="7">
        <v>6.5092676452063361E-2</v>
      </c>
      <c r="FW567" s="6">
        <v>1270</v>
      </c>
      <c r="FX567" s="6">
        <v>2015.7555586467804</v>
      </c>
      <c r="FY567" s="6">
        <v>-186.44990394013166</v>
      </c>
      <c r="FZ567" s="6">
        <v>1758.1538569113241</v>
      </c>
      <c r="GA567" s="6">
        <v>1231.8901856841348</v>
      </c>
      <c r="GB567" s="6">
        <v>18753.109814315867</v>
      </c>
      <c r="GC567" s="7">
        <v>3.064145122680037E-2</v>
      </c>
      <c r="GD567" s="7">
        <v>2.9260104814270167E-2</v>
      </c>
      <c r="GE567" s="7"/>
      <c r="GF567" s="7"/>
      <c r="GG567" s="7">
        <v>-4.5080972252450509E-2</v>
      </c>
      <c r="GH567" s="42">
        <v>1.7119616643199456</v>
      </c>
      <c r="GI567" s="6">
        <v>12905.632896470119</v>
      </c>
      <c r="GJ567" s="14">
        <v>0.50394797582841755</v>
      </c>
      <c r="GK567" s="14">
        <v>0.50887573065309766</v>
      </c>
      <c r="GL567" s="14">
        <v>0.49605202417158278</v>
      </c>
      <c r="GM567" s="14">
        <v>0.49112426934690251</v>
      </c>
      <c r="GO567" s="5">
        <v>343.14810671672558</v>
      </c>
      <c r="GP567" s="5">
        <v>318.91892952659737</v>
      </c>
      <c r="GQ567" s="5">
        <v>535.04305713031317</v>
      </c>
      <c r="GR567" s="5">
        <v>410.15490233172511</v>
      </c>
      <c r="GS567" s="5">
        <v>339.42744393800166</v>
      </c>
      <c r="GT567" s="5">
        <v>293.4407446948278</v>
      </c>
      <c r="GU567" s="5">
        <v>258.04012322764959</v>
      </c>
      <c r="GV567" s="39" t="s">
        <v>392</v>
      </c>
      <c r="GW567" s="5">
        <v>492.125</v>
      </c>
      <c r="GX567" s="5">
        <v>369.09375</v>
      </c>
      <c r="GY567" s="5">
        <v>295.27499999999998</v>
      </c>
      <c r="GZ567" s="5">
        <v>260.54902799031458</v>
      </c>
      <c r="HA567" s="5">
        <v>241.34874471337258</v>
      </c>
      <c r="HB567" s="39">
        <v>274.7331789262883</v>
      </c>
      <c r="HC567" s="5">
        <v>295.44155829738077</v>
      </c>
      <c r="HD567" s="5">
        <v>245.37299238008356</v>
      </c>
      <c r="HE567" s="5">
        <v>246.13207097040492</v>
      </c>
      <c r="HF567" s="5">
        <v>225.22040951107164</v>
      </c>
      <c r="HG567" s="5">
        <v>214.20500473779987</v>
      </c>
      <c r="HH567" s="39">
        <v>245.04604608895136</v>
      </c>
      <c r="HI567" s="16"/>
      <c r="HJ567" s="19" t="str">
        <f t="shared" ref="HJ567" si="1630">HJ566</f>
        <v>On</v>
      </c>
      <c r="HK567" s="1" t="str">
        <f t="shared" si="1549"/>
        <v>On</v>
      </c>
      <c r="HL567" s="16"/>
      <c r="HM567" s="639">
        <f t="shared" si="1605"/>
        <v>2.4909940070666322E-2</v>
      </c>
      <c r="HN567" s="639">
        <f t="shared" si="1606"/>
        <v>2.2052381276269151E-3</v>
      </c>
      <c r="HO567" s="639">
        <f t="shared" si="1607"/>
        <v>2.079866082302006E-3</v>
      </c>
      <c r="HP567" s="644">
        <f>(FT567*$GD567-HM567)/$JF567*INDEX(Input!$1:$1048576,$JG$93,$C567*2+6)</f>
        <v>6.2179316802048907</v>
      </c>
      <c r="HQ567" s="644">
        <f>(FU567*$GD567-HN567)/$JF567*INDEX(Input!$1:$1048576,$JG$93,$C567*2+6)</f>
        <v>0.53982254923435113</v>
      </c>
      <c r="HR567" s="644">
        <f>(FV567*$GD567-HO567)/$JF567*INDEX(Input!$1:$1048576,$JG$93,$C567*2+6)</f>
        <v>-4.9281732350162448</v>
      </c>
      <c r="HS567" s="644">
        <f t="shared" si="1598"/>
        <v>-1.4587426173275813</v>
      </c>
      <c r="HT567" s="644">
        <f t="shared" si="1608"/>
        <v>1.6492043528400373</v>
      </c>
      <c r="HU567" s="644">
        <f t="shared" si="1609"/>
        <v>-1.0549923046308136</v>
      </c>
      <c r="HV567" s="648">
        <f t="shared" si="1610"/>
        <v>0</v>
      </c>
      <c r="HW567" s="648">
        <f t="shared" si="1611"/>
        <v>0</v>
      </c>
      <c r="HX567" s="648">
        <f t="shared" si="1612"/>
        <v>0</v>
      </c>
      <c r="HY567" s="644">
        <f>INDEX(Input!$1:$1048576,HY$93,$C567*2+6)*INDEX(Input!$1:$1048576,$JG$93,$C567*2+6)</f>
        <v>333.00000000000006</v>
      </c>
      <c r="HZ567" s="644">
        <f>INDEX(Input!$1:$1048576,HZ$93,$C567*2+6)*INDEX(Input!$1:$1048576,$JG$93,$C567*2+6)</f>
        <v>429</v>
      </c>
      <c r="IA567" s="644">
        <f>INDEX(Input!$1:$1048576,IA$93,$C567*2+6)*INDEX(Input!$1:$1048576,$JG$93,$C567*2+6)</f>
        <v>59</v>
      </c>
      <c r="IB567" s="644">
        <f t="shared" si="1551"/>
        <v>337.7591890628774</v>
      </c>
      <c r="IC567" s="644">
        <f t="shared" si="1552"/>
        <v>431.18902690207443</v>
      </c>
      <c r="ID567" s="644">
        <f>IF(AND(INDEX(Input!$1:$1048576,IA$93,$C567*2+7)="TOS",Y567&lt;=INDEX(Y:Y,MATCH(C567*1000+2,A:A))),0,1)*MAX(IA567+HR567+HU567+HX567,0%)</f>
        <v>53.016834460352939</v>
      </c>
      <c r="IE567" s="128">
        <f t="shared" si="1599"/>
        <v>0.41091672801430251</v>
      </c>
      <c r="IF567" s="128">
        <f t="shared" si="1600"/>
        <v>0.52458316406393035</v>
      </c>
      <c r="IG567" s="128">
        <f t="shared" si="1555"/>
        <v>6.450010792176715E-2</v>
      </c>
      <c r="IH567" s="21"/>
      <c r="II567" s="19">
        <f t="shared" si="1613"/>
        <v>1240</v>
      </c>
      <c r="IJ567" s="19">
        <f t="shared" si="1614"/>
        <v>1985.7442651839444</v>
      </c>
      <c r="IK567" s="19">
        <f t="shared" si="1615"/>
        <v>-21.44990394013189</v>
      </c>
      <c r="IL567" s="19">
        <f t="shared" si="1556"/>
        <v>30</v>
      </c>
      <c r="IM567" s="19">
        <f t="shared" si="1557"/>
        <v>30.011293462835965</v>
      </c>
      <c r="IN567" s="19">
        <f t="shared" si="1558"/>
        <v>-164.99999999999977</v>
      </c>
      <c r="IO567" s="39">
        <f t="shared" si="1616"/>
        <v>0</v>
      </c>
      <c r="IP567" s="39">
        <f t="shared" si="1617"/>
        <v>0</v>
      </c>
      <c r="IQ567" s="39">
        <f t="shared" si="1618"/>
        <v>0</v>
      </c>
      <c r="IR567" s="39">
        <v>0</v>
      </c>
      <c r="IS567" s="39">
        <v>0</v>
      </c>
      <c r="IT567" s="39">
        <v>0</v>
      </c>
      <c r="IU567" s="39">
        <v>0</v>
      </c>
      <c r="IV567" s="39">
        <v>0</v>
      </c>
      <c r="IW567" s="39">
        <v>0</v>
      </c>
      <c r="IX567" s="39">
        <f>INDEX(Input!$1:$1048576,IX$93,$C567*2+6)+INDEX(Input!$1:$1048576,IX$94,$C567*2+6)</f>
        <v>1270</v>
      </c>
      <c r="IY567" s="39">
        <f>INDEX(Input!$1:$1048576,IY$93,$C567*2+6)+INDEX(Input!$1:$1048576,IY$94,$C567*2+6)</f>
        <v>2130.0624533823611</v>
      </c>
      <c r="IZ567" s="39">
        <f>INDEX(Input!$1:$1048576,IZ$93,$C567*2+6)+INDEX(Input!$1:$1048576,IZ$94,$C567*2+6)</f>
        <v>3653.7164157747857</v>
      </c>
      <c r="JA567" s="19">
        <f t="shared" si="1559"/>
        <v>1300</v>
      </c>
      <c r="JB567" s="19">
        <f t="shared" si="1560"/>
        <v>2160.0737468451971</v>
      </c>
      <c r="JC567" s="19">
        <f t="shared" si="1561"/>
        <v>3488.7164157747857</v>
      </c>
      <c r="JD567" s="19">
        <f t="shared" si="1562"/>
        <v>1892.3526524759905</v>
      </c>
      <c r="JE567" s="21"/>
      <c r="JF567" s="1">
        <f t="shared" si="1619"/>
        <v>2.9195044280595241E-2</v>
      </c>
      <c r="JG567" s="15">
        <f>INDEX(Input!$1:$1048576,JG$93,$C567*2+6)/(1+VLOOKUP(C567*1000+INDEX(Input!$1:$1048576,JG$93+1,$C567*2+6),$A:$KK,$JK$92,FALSE))</f>
        <v>821</v>
      </c>
      <c r="JH567" s="1">
        <f t="shared" si="1563"/>
        <v>2.2284786777381207E-3</v>
      </c>
      <c r="JI567" s="1">
        <f t="shared" si="1564"/>
        <v>-1.053021399656952E-3</v>
      </c>
      <c r="JJ567" s="1">
        <f t="shared" si="1565"/>
        <v>0</v>
      </c>
      <c r="JK567" s="1">
        <f t="shared" si="1566"/>
        <v>1.1754572780811687E-3</v>
      </c>
      <c r="JL567" s="15">
        <f t="shared" si="1567"/>
        <v>0.96505042530463958</v>
      </c>
      <c r="JM567" s="15">
        <f t="shared" si="1568"/>
        <v>821.96505042530464</v>
      </c>
      <c r="JN567" s="21"/>
      <c r="JO567" s="19">
        <f>INDEX(Input!$1:$1048576,JO$93,$C567*2+6)</f>
        <v>5995.5</v>
      </c>
      <c r="JP567" s="19">
        <f>INDEX(Input!$1:$1048576,JP$93,$C567*2+6)</f>
        <v>1890.7138380411029</v>
      </c>
      <c r="JQ567" s="39">
        <f t="shared" si="1569"/>
        <v>4103.1473475240091</v>
      </c>
      <c r="JR567" s="39">
        <f t="shared" si="1570"/>
        <v>1.6388144348875358</v>
      </c>
      <c r="JS567" s="39">
        <f t="shared" si="1571"/>
        <v>1.5554477434148866</v>
      </c>
      <c r="JT567" s="39">
        <f t="shared" si="1572"/>
        <v>3.1716823831410149E-3</v>
      </c>
      <c r="JU567" s="385">
        <f>(JQ567*JM567-INDEX(Input!$1:$1048576,Input!A$18,$C567*2+6)*JL567*INDEX(Input!$1:$1048576,Input!A$19,$C567*2+6))/1000000</f>
        <v>3.3726437164100269</v>
      </c>
      <c r="JV567" s="39">
        <f t="shared" si="1573"/>
        <v>2.6142774417725612E-3</v>
      </c>
      <c r="JW567" s="1">
        <f t="shared" si="1574"/>
        <v>7.7574320614033892E-4</v>
      </c>
      <c r="JX567" s="19">
        <f t="shared" si="1575"/>
        <v>3286.5457596578985</v>
      </c>
      <c r="JZ567" s="341"/>
      <c r="KA567" s="342"/>
      <c r="KB567" s="469">
        <f t="shared" si="1576"/>
        <v>2.5122967434604799</v>
      </c>
      <c r="KI567" s="473">
        <f t="shared" si="1601"/>
        <v>4.759189062877283</v>
      </c>
      <c r="KJ567" s="473">
        <f t="shared" si="1602"/>
        <v>2.1890269020743744</v>
      </c>
      <c r="KK567" s="473">
        <f t="shared" si="1579"/>
        <v>-5.9831655396470751</v>
      </c>
      <c r="KN567" s="544">
        <f t="shared" si="1580"/>
        <v>5002</v>
      </c>
      <c r="KO567" s="541">
        <f t="shared" si="1620"/>
        <v>-2.8844368912539498E-3</v>
      </c>
      <c r="KP567" s="546">
        <f t="shared" si="1621"/>
        <v>-11.604867752959912</v>
      </c>
      <c r="KQ567" s="546">
        <f t="shared" si="1622"/>
        <v>-26.566113247276007</v>
      </c>
      <c r="KR567" s="548">
        <f t="shared" si="1623"/>
        <v>4.4903976763757019</v>
      </c>
      <c r="KS567" s="548">
        <f t="shared" si="1624"/>
        <v>1.9615391497994807</v>
      </c>
      <c r="KT567" s="473">
        <f t="shared" si="1581"/>
        <v>595.94378802984284</v>
      </c>
      <c r="KU567" s="663">
        <f t="shared" si="1626"/>
        <v>4.0054687057103378</v>
      </c>
    </row>
    <row r="568" spans="1:308" s="26" customFormat="1" ht="15" outlineLevel="1">
      <c r="A568" s="561">
        <f t="shared" si="1541"/>
        <v>5068</v>
      </c>
      <c r="B568" s="561">
        <f t="shared" si="1627"/>
        <v>68</v>
      </c>
      <c r="C568" s="561">
        <f t="shared" si="1628"/>
        <v>5</v>
      </c>
      <c r="D568" s="561" t="str">
        <f t="shared" si="1509"/>
        <v xml:space="preserve">180 Lease, </v>
      </c>
      <c r="E568" s="475">
        <f>INDEX(Input!$1:$1048576,E$93,$C568*2+MIN($B568,2)+5)
+INDEX(Scenarios!E$121:E$200,MATCH($B568,Scenarios!$B$121:$B$200,0))</f>
        <v>1277.4263093788063</v>
      </c>
      <c r="F568" s="475">
        <f>INDEX(Input!$1:$1048576,F$93,$C568*2+MIN($B568,2)+5)
+INDEX(Scenarios!F$121:F$200,MATCH($B568,Scenarios!$B$121:$B$200,0))</f>
        <v>0</v>
      </c>
      <c r="G568" s="475">
        <f>INDEX(Input!$1:$1048576,G$93,$C568*2+MIN($B568,2)+5)
+INDEX(Scenarios!G$121:G$200,MATCH($B568,Scenarios!$B$121:$B$200,0))</f>
        <v>0</v>
      </c>
      <c r="H568" s="475">
        <f>INDEX(Input!$1:$1048576,H$93,$C568*2+MIN($B568,2)+5)
+INDEX(Scenarios!H$121:H$200,MATCH($B568,Scenarios!$B$121:$B$200,0))</f>
        <v>0</v>
      </c>
      <c r="I568" s="476">
        <f>INDEX(Input!$1:$1048576,I$93,$C568*2+MIN($B568,2)+5)</f>
        <v>0.7</v>
      </c>
      <c r="J568" s="476" t="str">
        <f>INDEX(Input!$1:$1048576,J$93,$C568*2+MIN($B568,2)+5)</f>
        <v>Market</v>
      </c>
      <c r="K568" s="476" t="str">
        <f>INDEX(Input!$1:$1048576,K$93,$C568*2+MIN($B568,2)+5)</f>
        <v>Market</v>
      </c>
      <c r="L568" s="476" t="str">
        <f>INDEX(Input!$1:$1048576,L$93,$C568*2+MIN($B568,2)+5)</f>
        <v>Market</v>
      </c>
      <c r="M568" s="476" t="str">
        <f>INDEX(Input!$1:$1048576,M$93,$C568*2+MIN($B568,2)+5)</f>
        <v>Market</v>
      </c>
      <c r="N568" s="476" t="str">
        <f>INDEX(Input!$1:$1048576,N$93,$C568*2+MIN($B568,2)+5)</f>
        <v>Market</v>
      </c>
      <c r="O568" s="476" t="str">
        <f>INDEX(Input!$1:$1048576,O$93,$C568*2+MIN($B568,2)+5)</f>
        <v>Market</v>
      </c>
      <c r="P568" s="476" t="str">
        <f>INDEX(Input!$1:$1048576,P$93,$C568*2+MIN($B568,2)+5)</f>
        <v>N</v>
      </c>
      <c r="Q568" s="477">
        <f>INDEX(Input!$1:$1048576,Q$93,$C568*2+MIN($B568,2)+5)
+INDEX(Scenarios!Q$121:Q$200,MATCH($B568,Scenarios!$B$121:$B$200,0))</f>
        <v>0</v>
      </c>
      <c r="R568" s="478">
        <f>IFERROR(MAX(0,INDEX(Input!$1:$1048576,R$93,$C568*2+MIN($B568,2)+5)
+INDEX(Scenarios!R$121:R$200,MATCH($B568,Scenarios!$B$121:$B$200,0)),),"Market")</f>
        <v>0</v>
      </c>
      <c r="S568" s="478">
        <f>IFERROR(MAX(0,INDEX(Input!$1:$1048576,S$93,$C568*2+MIN($B568,2)+5)
+INDEX(Scenarios!S$121:S$200,MATCH($B568,Scenarios!$B$121:$B$200,0)),),"Market")</f>
        <v>0</v>
      </c>
      <c r="T568" s="478">
        <f>IFERROR(MAX(0,INDEX(Input!$1:$1048576,T$93,$C568*2+MIN($B568,2)+5)
+INDEX(Scenarios!T$121:T$200,MATCH($B568,Scenarios!$B$121:$B$200,0)),),"Market")</f>
        <v>0</v>
      </c>
      <c r="U568" s="478">
        <f>IFERROR(MAX(0,INDEX(Input!$1:$1048576,U$93,$C568*2+MIN($B568,2)+5)
+INDEX(Scenarios!U$121:U$200,MATCH($B568,Scenarios!$B$121:$B$200,0)),),"Market")</f>
        <v>0</v>
      </c>
      <c r="V568" s="478">
        <f>IFERROR(MAX(0,INDEX(Input!$1:$1048576,V$93,$C568*2+MIN($B568,2)+5)
+INDEX(Scenarios!V$121:V$200,MATCH($B568,Scenarios!$B$121:$B$200,0)),),"Market")</f>
        <v>1.9E-2</v>
      </c>
      <c r="W568" s="885">
        <f>IFERROR(MAX(0,INDEX(Input!$1:$1048576,W$93,$C568*2+MIN($B568,2)+5)-0%,),"Market")</f>
        <v>3.9E-2</v>
      </c>
      <c r="X568" s="476" t="str">
        <f>INDEX(Input!$1:$1048576,X$93,$C568*2+MIN($B568,2)+5)</f>
        <v>Y</v>
      </c>
      <c r="Y568" s="475">
        <f>INDEX(Input!$1:$1048576,Y$93,$C568*2+MIN($B568,2)+5)
++INDEX(Scenarios!Y$121:Y$200,MATCH($B568,Scenarios!$B$121:$B$200,0))</f>
        <v>-537.93641739252325</v>
      </c>
      <c r="Z568" s="477">
        <f>INDEX(Input!$1:$1048576,Z$93,$C568*2+MIN($B568,2)+5)
+INDEX(Scenarios!Z$121:Z$200,MATCH($B568,Scenarios!$B$121:$B$200,0))</f>
        <v>0</v>
      </c>
      <c r="AA568" s="475">
        <f>INDEX(Input!$1:$1048576,AA$93,$C568*2+MIN($B568,2)+5)
+INDEX(Scenarios!AA$121:AA$200,MATCH($B568,Scenarios!$B$121:$B$200,0))</f>
        <v>0</v>
      </c>
      <c r="AB568" s="476">
        <f>INDEX(Input!$1:$1048576,AB$93,$C568*2+MIN($B568,2)+5)</f>
        <v>0.27</v>
      </c>
      <c r="AC568" s="475">
        <f>INDEX(Input!$1:$1048576,AC$93,$C568*2+MIN($B568,2)+5)
+INDEX(Scenarios!AC$121:AC$200,MATCH($B568,Scenarios!$B$121:$B$200,0))</f>
        <v>0</v>
      </c>
      <c r="AD568" s="476">
        <f>INDEX(Input!$1:$1048576,AD$93,$C568*2+MIN($B568,2)+5)</f>
        <v>0.27</v>
      </c>
      <c r="AE568" s="475">
        <f>INDEX(Input!$1:$1048576,AE$93,$C568*2+MIN($B568,2)+5)
+INDEX(Scenarios!AE$121:AE$200,MATCH($B568,Scenarios!$B$121:$B$200,0))</f>
        <v>0</v>
      </c>
      <c r="AF568" s="476">
        <f>INDEX(Input!$1:$1048576,AF$93,$C568*2+MIN($B568,2)+5)</f>
        <v>0.2</v>
      </c>
      <c r="AG568" s="475">
        <f>INDEX(Input!$1:$1048576,AG$93,$C568*2+MIN($B568,2)+5)
+INDEX(Scenarios!AG$121:AG$200,MATCH($B568,Scenarios!$B$121:$B$200,0))</f>
        <v>500</v>
      </c>
      <c r="AH568" s="476">
        <f>INDEX(Input!$1:$1048576,AH$93,$C568*2+MIN($B568,2)+5)</f>
        <v>1</v>
      </c>
      <c r="AI568" s="475">
        <f>INDEX(Input!$1:$1048576,AI$93,$C568*2+MIN($B568,2)+5)
+INDEX(Scenarios!AI$121:AI$200,MATCH($B568,Scenarios!$B$121:$B$200,0))</f>
        <v>0</v>
      </c>
      <c r="AJ568" s="476">
        <f>INDEX(Input!$1:$1048576,AJ$93,$C568*2+MIN($B568,2)+5)</f>
        <v>0.27</v>
      </c>
      <c r="AK568" s="150">
        <f>ROUND(INDEX(Input!$1:$1048576,AK$93,$C567*2+MIN($B568,1)+5)+(Y568-VLOOKUP($C568*1000+1,$A:$HH,Y$92,FALSE)),0)</f>
        <v>2767</v>
      </c>
      <c r="AL568" s="150">
        <f>ROUND(INDEX(Input!$1:$1048576,AL$93,$C567*2+MIN($B568,1)+5)-(Y568-VLOOKUP($C568*1000+1,$A:$HH,Y$92,FALSE))/36,0)</f>
        <v>3401</v>
      </c>
      <c r="AM568" s="32" t="str">
        <f t="shared" si="1544"/>
        <v>std/std/std/std</v>
      </c>
      <c r="AN568" s="32" t="str">
        <f t="shared" si="1545"/>
        <v>$0 + 0/0/0/1.9/3.9</v>
      </c>
      <c r="AO568" s="32" t="str">
        <f t="shared" si="1546"/>
        <v>0/0/0/1.9/3.9</v>
      </c>
      <c r="AP568" s="32" t="str">
        <f t="shared" si="1526"/>
        <v>0/0.9/1.9/3.9</v>
      </c>
      <c r="AQ568" s="536">
        <f t="shared" si="1525"/>
        <v>0.40025923164261407</v>
      </c>
      <c r="AR568" s="32"/>
      <c r="AS568" s="302"/>
      <c r="AT568" s="3">
        <f t="shared" si="1629"/>
        <v>68</v>
      </c>
      <c r="AU568" s="41" t="s">
        <v>121</v>
      </c>
      <c r="AV568" s="41" t="s">
        <v>116</v>
      </c>
      <c r="AW568" s="41" t="str">
        <f>INDEX(Input!$1:$1048576,AW$93,$C568*2+6)</f>
        <v>Kia</v>
      </c>
      <c r="AX568" s="41" t="str">
        <f>INDEX(Input!$1:$1048576,AX$93,$C568*2+6)</f>
        <v>Kia-LR - R2</v>
      </c>
      <c r="AY568" s="41" t="str">
        <f>IF(LEN(D568)=0,"",INDEX(Input!$1:$1048576,AY$93,$C568*2+6))</f>
        <v>Compact SUV (52)</v>
      </c>
      <c r="AZ568" s="41" t="str">
        <f>INDEX(Input!$1:$1048576,AZ$93,$C568*2+6)</f>
        <v>Kia Soul</v>
      </c>
      <c r="BA568" s="3">
        <f>INDEX(Input!$1:$1048576,BA$93,$C568*2+6)</f>
        <v>2020</v>
      </c>
      <c r="BB568" s="128">
        <f>INDEX(Input!$1:$1048576,BB$93,$C568*2+6)</f>
        <v>1</v>
      </c>
      <c r="BC568" s="128">
        <f>INDEX(Input!$1:$1048576,BC$93,$C568*2+6)</f>
        <v>0.7</v>
      </c>
      <c r="BD568" s="1">
        <f>INDEX(Input!$1:$1048576,BD$93,$C568*2+6)</f>
        <v>4.4999999999999998E-2</v>
      </c>
      <c r="BE568" s="1">
        <f>INDEX(Input!$1:$1048576,BE$93,$C568*2+6)</f>
        <v>4.4999999999999998E-2</v>
      </c>
      <c r="BF568" s="1">
        <f>INDEX(Input!$1:$1048576,BF$93,$C568*2+6)</f>
        <v>0.05</v>
      </c>
      <c r="BG568" s="1">
        <f>INDEX(Input!$1:$1048576,BG$93,$C568*2+6)</f>
        <v>5.45E-2</v>
      </c>
      <c r="BH568" s="1">
        <f>INDEX(Input!$1:$1048576,BH$93,$C568*2+6)</f>
        <v>5.45E-2</v>
      </c>
      <c r="BI568" s="1">
        <f>INDEX(Input!$1:$1048576,BI$93,$C568*2+6)</f>
        <v>0.05</v>
      </c>
      <c r="BJ568" s="1">
        <f>INDEX(Input!$1:$1048576,BJ$93,$C568*2+6)</f>
        <v>0.05</v>
      </c>
      <c r="BK568" s="1">
        <f>INDEX(Input!$1:$1048576,BK$93,$C568*2+6)</f>
        <v>0.05</v>
      </c>
      <c r="BL568" s="1">
        <f>INDEX(Input!$1:$1048576,BL$93,$C568*2+6)</f>
        <v>5.5E-2</v>
      </c>
      <c r="BM568" s="1">
        <f>INDEX(Input!$1:$1048576,BM$93,$C568*2+6)</f>
        <v>0.06</v>
      </c>
      <c r="BN568" s="1">
        <f>INDEX(Input!$1:$1048576,BN$93,$C568*2+6)</f>
        <v>4.4999999999999998E-2</v>
      </c>
      <c r="BO568" s="1">
        <f>INDEX(Input!$1:$1048576,BO$93,$C568*2+6)</f>
        <v>4.4999999999999998E-2</v>
      </c>
      <c r="BP568" s="1">
        <f>INDEX(Input!$1:$1048576,BP$93,$C568*2+6)</f>
        <v>0.05</v>
      </c>
      <c r="BQ568" s="1">
        <f>INDEX(Input!$1:$1048576,BQ$93,$C568*2+6)</f>
        <v>5.45E-2</v>
      </c>
      <c r="BR568" s="1">
        <f>INDEX(Input!$1:$1048576,BR$93,$C568*2+6)</f>
        <v>5.45E-2</v>
      </c>
      <c r="BS568" s="1">
        <f>INDEX(Input!$1:$1048576,BS$93,$C568*2+6)</f>
        <v>0.05</v>
      </c>
      <c r="BT568" s="1">
        <f>INDEX(Input!$1:$1048576,BT$93,$C568*2+6)</f>
        <v>0.05</v>
      </c>
      <c r="BU568" s="1">
        <f>INDEX(Input!$1:$1048576,BU$93,$C568*2+6)</f>
        <v>0.05</v>
      </c>
      <c r="BV568" s="1">
        <f>INDEX(Input!$1:$1048576,BV$93,$C568*2+6)</f>
        <v>5.5E-2</v>
      </c>
      <c r="BW568" s="1">
        <f>INDEX(Input!$1:$1048576,BW$93,$C568*2+6)</f>
        <v>0.06</v>
      </c>
      <c r="BX568" s="127">
        <f>INDEX(Input!$1:$1048576,BX$93,$C568*2+6)</f>
        <v>19985</v>
      </c>
      <c r="BY568" s="20">
        <f>INDEX(Input!$1:$1048576,BY$93,$C568*2+6)</f>
        <v>0.1</v>
      </c>
      <c r="BZ568" s="20">
        <f>INDEX(Input!$1:$1048576,BZ$93,$C568*2+6)</f>
        <v>0.1</v>
      </c>
      <c r="CA568" s="20">
        <f>INDEX(Input!$1:$1048576,CA$93,$C568*2+6)</f>
        <v>0.1</v>
      </c>
      <c r="CB568" s="20">
        <f>INDEX(Input!$1:$1048576,CB$93,$C568*2+6)</f>
        <v>0.1</v>
      </c>
      <c r="CC568" s="20">
        <f>INDEX(Input!$1:$1048576,CC$93,$C568*2+6)</f>
        <v>0.1</v>
      </c>
      <c r="CD568" s="384">
        <f>INDEX(Input!$1:$1048576,CD$93,$C568*2+6)</f>
        <v>0.1</v>
      </c>
      <c r="CE568" s="384">
        <f>INDEX(Input!$1:$1048576,CE$93,$C568*2+6)</f>
        <v>0.1</v>
      </c>
      <c r="CF568" s="384">
        <f>INDEX(Input!$1:$1048576,CF$93,$C568*2+6)</f>
        <v>0.1</v>
      </c>
      <c r="CG568" s="384">
        <f>INDEX(Input!$1:$1048576,CG$93,$C568*2+6)</f>
        <v>0.1</v>
      </c>
      <c r="CH568" s="384">
        <f>INDEX(Input!$1:$1048576,CH$93,$C568*2+6)</f>
        <v>0.1</v>
      </c>
      <c r="CI568" s="304">
        <f t="shared" si="1527"/>
        <v>1277.4263093788063</v>
      </c>
      <c r="CJ568" s="16" t="str">
        <f>INDEX(Input!$1:$1048576,CJ$93,$C568*2+6)</f>
        <v>N</v>
      </c>
      <c r="CK568" s="1" t="str">
        <f t="shared" si="1528"/>
        <v>Market</v>
      </c>
      <c r="CL568" s="1" t="str">
        <f t="shared" si="1529"/>
        <v>Market</v>
      </c>
      <c r="CM568" s="1" t="str">
        <f t="shared" si="1530"/>
        <v>Market</v>
      </c>
      <c r="CN568" s="1" t="str">
        <f t="shared" si="1531"/>
        <v>Market</v>
      </c>
      <c r="CO568" s="1" t="str">
        <f t="shared" si="1532"/>
        <v>Market</v>
      </c>
      <c r="CP568" s="304">
        <f t="shared" si="1533"/>
        <v>500</v>
      </c>
      <c r="CQ568" s="1">
        <f t="shared" si="1534"/>
        <v>0</v>
      </c>
      <c r="CR568" s="1">
        <f t="shared" si="1535"/>
        <v>0</v>
      </c>
      <c r="CS568" s="1">
        <f t="shared" si="1536"/>
        <v>0</v>
      </c>
      <c r="CT568" s="1">
        <f t="shared" si="1537"/>
        <v>1.9E-2</v>
      </c>
      <c r="CU568" s="1">
        <f t="shared" si="1538"/>
        <v>3.9E-2</v>
      </c>
      <c r="CV568" s="304">
        <f t="shared" si="1539"/>
        <v>-537.93641739252325</v>
      </c>
      <c r="CW568" s="20" t="s">
        <v>122</v>
      </c>
      <c r="CX568" s="20" t="s">
        <v>122</v>
      </c>
      <c r="CY568" s="20" t="s">
        <v>122</v>
      </c>
      <c r="CZ568" s="20" t="s">
        <v>122</v>
      </c>
      <c r="DA568" s="20" t="s">
        <v>122</v>
      </c>
      <c r="DB568" s="503">
        <f t="shared" si="1540"/>
        <v>0</v>
      </c>
      <c r="DC568" s="127">
        <v>0</v>
      </c>
      <c r="DD568" s="127">
        <v>0</v>
      </c>
      <c r="DE568" s="127">
        <v>0</v>
      </c>
      <c r="DF568" s="127">
        <v>0</v>
      </c>
      <c r="DG568" s="127">
        <v>0</v>
      </c>
      <c r="DH568" s="127">
        <v>0</v>
      </c>
      <c r="DI568" s="127">
        <v>0</v>
      </c>
      <c r="DJ568" s="127">
        <v>0</v>
      </c>
      <c r="DK568" s="127">
        <v>0</v>
      </c>
      <c r="DL568" s="127">
        <v>0</v>
      </c>
      <c r="DM568" s="304">
        <f>INDEX(Input!$1:$1048576,DM$93,$C568*2+6)</f>
        <v>21036.84210526316</v>
      </c>
      <c r="DN568" s="20">
        <v>0</v>
      </c>
      <c r="DO568" s="20">
        <v>0</v>
      </c>
      <c r="DP568" s="20">
        <v>0</v>
      </c>
      <c r="DQ568" s="20">
        <v>0</v>
      </c>
      <c r="DR568" s="20">
        <v>0</v>
      </c>
      <c r="DS568" s="20">
        <f>INDEX(Input!$1:$1048576,DS$93,$C568*2+6)</f>
        <v>0.6</v>
      </c>
      <c r="DT568" s="20">
        <f>INDEX(Input!$1:$1048576,DT$93,$C568*2+6)</f>
        <v>0.55000000000000004</v>
      </c>
      <c r="DU568" s="20">
        <f>INDEX(Input!$1:$1048576,DU$93,$C568*2+6)</f>
        <v>0.52</v>
      </c>
      <c r="DV568" s="20">
        <f>INDEX(Input!$1:$1048576,DV$93,$C568*2+6)</f>
        <v>0.5</v>
      </c>
      <c r="DW568" s="20">
        <f>INDEX(Input!$1:$1048576,DW$93,$C568*2+6)</f>
        <v>0.45</v>
      </c>
      <c r="DX568" s="20"/>
      <c r="DY568" s="7">
        <v>0.11838708207359595</v>
      </c>
      <c r="DZ568" s="7">
        <v>0</v>
      </c>
      <c r="EA568" s="7">
        <v>0.72987088129662991</v>
      </c>
      <c r="EB568" s="7">
        <v>0</v>
      </c>
      <c r="EC568" s="7">
        <v>0</v>
      </c>
      <c r="ED568" s="7">
        <v>0</v>
      </c>
      <c r="EE568" s="7">
        <v>0</v>
      </c>
      <c r="EF568" s="7">
        <v>0</v>
      </c>
      <c r="EG568" s="7">
        <v>0</v>
      </c>
      <c r="EH568" s="7">
        <v>1.2088071928064728E-2</v>
      </c>
      <c r="EI568" s="7">
        <v>3.3601673433315903E-2</v>
      </c>
      <c r="EJ568" s="7">
        <v>0.29185518605579797</v>
      </c>
      <c r="EK568" s="7">
        <v>0.53741080547597808</v>
      </c>
      <c r="EL568" s="7">
        <v>0.12504426310684333</v>
      </c>
      <c r="EM568" s="7">
        <v>7.5042735444395187E-2</v>
      </c>
      <c r="EN568" s="7">
        <v>5.899074407581914E-2</v>
      </c>
      <c r="EO568" s="7">
        <v>0.72217646179492745</v>
      </c>
      <c r="EP568" s="7">
        <v>8.741381660719498E-2</v>
      </c>
      <c r="EQ568" s="7">
        <v>8.6065399849126159E-2</v>
      </c>
      <c r="ER568" s="7">
        <v>4.5353577672932445E-2</v>
      </c>
      <c r="ES568" s="7">
        <v>7.6699301185378904E-2</v>
      </c>
      <c r="ET568" s="7">
        <v>0.15174203662977415</v>
      </c>
      <c r="EU568" s="6">
        <v>1270</v>
      </c>
      <c r="EV568" s="6">
        <v>0</v>
      </c>
      <c r="EW568" s="6">
        <v>1270</v>
      </c>
      <c r="EX568" s="6">
        <v>0</v>
      </c>
      <c r="EY568" s="6">
        <v>2015.7348818135792</v>
      </c>
      <c r="EZ568" s="6">
        <v>173.55009605986834</v>
      </c>
      <c r="FA568" s="6">
        <v>0</v>
      </c>
      <c r="FB568" s="6">
        <v>0</v>
      </c>
      <c r="FC568" s="6">
        <v>0</v>
      </c>
      <c r="FD568" s="6">
        <v>0</v>
      </c>
      <c r="FE568" s="6">
        <v>0</v>
      </c>
      <c r="FF568" s="6">
        <v>0</v>
      </c>
      <c r="FG568" s="6">
        <v>0</v>
      </c>
      <c r="FH568" s="6">
        <v>1172.1327986493934</v>
      </c>
      <c r="FI568" s="6">
        <v>1553.9796069512399</v>
      </c>
      <c r="FJ568" s="6">
        <v>2101.211011744741</v>
      </c>
      <c r="FK568" s="6">
        <v>1772.7139978623215</v>
      </c>
      <c r="FL568" s="6">
        <v>907.07682140966278</v>
      </c>
      <c r="FM568" s="6">
        <v>1745.7348818135792</v>
      </c>
      <c r="FN568" s="6">
        <v>0</v>
      </c>
      <c r="FO568" s="6">
        <v>0</v>
      </c>
      <c r="FP568" s="6">
        <v>0</v>
      </c>
      <c r="FQ568" s="6">
        <v>0</v>
      </c>
      <c r="FR568" s="6">
        <v>0</v>
      </c>
      <c r="FS568" s="6">
        <v>0</v>
      </c>
      <c r="FT568" s="7">
        <v>0.84825796337022585</v>
      </c>
      <c r="FU568" s="7">
        <v>7.5042735444395187E-2</v>
      </c>
      <c r="FV568" s="7">
        <v>7.6699301185378904E-2</v>
      </c>
      <c r="FW568" s="6">
        <v>1270</v>
      </c>
      <c r="FX568" s="6">
        <v>2015.7348818135795</v>
      </c>
      <c r="FY568" s="6">
        <v>173.55009605986834</v>
      </c>
      <c r="FZ568" s="6">
        <v>1758.1538569113241</v>
      </c>
      <c r="GA568" s="6">
        <v>1241.8650440306096</v>
      </c>
      <c r="GB568" s="6">
        <v>18743.134955969392</v>
      </c>
      <c r="GC568" s="7">
        <v>3.064145122680037E-2</v>
      </c>
      <c r="GD568" s="7">
        <v>2.9341173701336338E-2</v>
      </c>
      <c r="GE568" s="7"/>
      <c r="GF568" s="7"/>
      <c r="GG568" s="7">
        <v>-4.2435246158535472E-2</v>
      </c>
      <c r="GH568" s="42">
        <v>1.642623999048906</v>
      </c>
      <c r="GI568" s="6">
        <v>13408.374246119156</v>
      </c>
      <c r="GJ568" s="14">
        <v>0.50394797582841744</v>
      </c>
      <c r="GK568" s="14">
        <v>0.50887573065309721</v>
      </c>
      <c r="GL568" s="14">
        <v>0.49605202417158312</v>
      </c>
      <c r="GM568" s="14">
        <v>0.49112426934690251</v>
      </c>
      <c r="GO568" s="5">
        <v>343.14810671672558</v>
      </c>
      <c r="GP568" s="5">
        <v>318.91892952659737</v>
      </c>
      <c r="GQ568" s="5">
        <v>535.04305713031317</v>
      </c>
      <c r="GR568" s="5">
        <v>410.15490233172511</v>
      </c>
      <c r="GS568" s="5">
        <v>339.42744393800166</v>
      </c>
      <c r="GT568" s="5">
        <v>293.4407446948278</v>
      </c>
      <c r="GU568" s="5">
        <v>258.04012322764959</v>
      </c>
      <c r="GV568" s="39" t="s">
        <v>392</v>
      </c>
      <c r="GW568" s="5">
        <v>492.125</v>
      </c>
      <c r="GX568" s="5">
        <v>369.09375</v>
      </c>
      <c r="GY568" s="5">
        <v>295.27499999999998</v>
      </c>
      <c r="GZ568" s="5">
        <v>260.54902799031458</v>
      </c>
      <c r="HA568" s="5">
        <v>241.34874471337258</v>
      </c>
      <c r="HB568" s="39">
        <v>274.72968904670597</v>
      </c>
      <c r="HC568" s="5">
        <v>279.69155829738071</v>
      </c>
      <c r="HD568" s="5">
        <v>234.62299238008356</v>
      </c>
      <c r="HE568" s="5">
        <v>236.1513017396357</v>
      </c>
      <c r="HF568" s="5">
        <v>216.89540951107165</v>
      </c>
      <c r="HG568" s="5">
        <v>207.30500473779989</v>
      </c>
      <c r="HH568" s="39">
        <v>234.65051598966747</v>
      </c>
      <c r="HI568" s="16"/>
      <c r="HJ568" s="19" t="str">
        <f t="shared" ref="HJ568" si="1631">HJ567</f>
        <v>On</v>
      </c>
      <c r="HK568" s="1" t="str">
        <f t="shared" si="1549"/>
        <v>On</v>
      </c>
      <c r="HL568" s="16"/>
      <c r="HM568" s="639">
        <f t="shared" si="1605"/>
        <v>2.4909940070666322E-2</v>
      </c>
      <c r="HN568" s="639">
        <f t="shared" si="1606"/>
        <v>2.2052381276269151E-3</v>
      </c>
      <c r="HO568" s="639">
        <f t="shared" si="1607"/>
        <v>2.079866082302006E-3</v>
      </c>
      <c r="HP568" s="644">
        <f>(FT568*$GD568-HM568)/$JF568*INDEX(Input!$1:$1048576,$JG$93,$C568*2+6)</f>
        <v>-0.59211526580645191</v>
      </c>
      <c r="HQ568" s="644">
        <f>(FU568*$GD568-HN568)/$JF568*INDEX(Input!$1:$1048576,$JG$93,$C568*2+6)</f>
        <v>-9.5505029802673655E-2</v>
      </c>
      <c r="HR568" s="644">
        <f>(FV568*$GD568-HO568)/$JF568*INDEX(Input!$1:$1048576,$JG$93,$C568*2+6)</f>
        <v>4.7969565677304331</v>
      </c>
      <c r="HS568" s="644">
        <f t="shared" si="1598"/>
        <v>-1.4587346216809283</v>
      </c>
      <c r="HT568" s="644">
        <f t="shared" si="1608"/>
        <v>1.6479840078174604</v>
      </c>
      <c r="HU568" s="644">
        <f t="shared" si="1609"/>
        <v>1.5384338261862558</v>
      </c>
      <c r="HV568" s="648">
        <f t="shared" si="1610"/>
        <v>0</v>
      </c>
      <c r="HW568" s="648">
        <f t="shared" si="1611"/>
        <v>0</v>
      </c>
      <c r="HX568" s="648">
        <f t="shared" si="1612"/>
        <v>0</v>
      </c>
      <c r="HY568" s="644">
        <f>INDEX(Input!$1:$1048576,HY$93,$C568*2+6)*INDEX(Input!$1:$1048576,$JG$93,$C568*2+6)</f>
        <v>333.00000000000006</v>
      </c>
      <c r="HZ568" s="644">
        <f>INDEX(Input!$1:$1048576,HZ$93,$C568*2+6)*INDEX(Input!$1:$1048576,$JG$93,$C568*2+6)</f>
        <v>429</v>
      </c>
      <c r="IA568" s="644">
        <f>INDEX(Input!$1:$1048576,IA$93,$C568*2+6)*INDEX(Input!$1:$1048576,$JG$93,$C568*2+6)</f>
        <v>59</v>
      </c>
      <c r="IB568" s="644">
        <f t="shared" si="1551"/>
        <v>330.94915011251277</v>
      </c>
      <c r="IC568" s="644">
        <f t="shared" si="1552"/>
        <v>430.55247897801479</v>
      </c>
      <c r="ID568" s="644">
        <f>IF(AND(INDEX(Input!$1:$1048576,IA$93,$C568*2+7)="TOS",Y568&lt;=INDEX(Y:Y,MATCH(C568*1000+2,A:A))),0,1)*MAX(IA568+HR568+HU568+HX568,0%)</f>
        <v>65.335390393916683</v>
      </c>
      <c r="IE568" s="128">
        <f t="shared" si="1599"/>
        <v>0.40025923164261407</v>
      </c>
      <c r="IF568" s="128">
        <f t="shared" si="1600"/>
        <v>0.52072230540243125</v>
      </c>
      <c r="IG568" s="128">
        <f t="shared" si="1555"/>
        <v>7.9018462954954669E-2</v>
      </c>
      <c r="IH568" s="21"/>
      <c r="II568" s="19">
        <f t="shared" si="1613"/>
        <v>1240</v>
      </c>
      <c r="IJ568" s="19">
        <f t="shared" si="1614"/>
        <v>1985.7442651839444</v>
      </c>
      <c r="IK568" s="19">
        <f t="shared" si="1615"/>
        <v>-21.44990394013189</v>
      </c>
      <c r="IL568" s="19">
        <f t="shared" si="1556"/>
        <v>30</v>
      </c>
      <c r="IM568" s="19">
        <f t="shared" si="1557"/>
        <v>29.990616629635042</v>
      </c>
      <c r="IN568" s="19">
        <f t="shared" si="1558"/>
        <v>195.00000000000023</v>
      </c>
      <c r="IO568" s="39">
        <f t="shared" si="1616"/>
        <v>0</v>
      </c>
      <c r="IP568" s="39">
        <f t="shared" si="1617"/>
        <v>0</v>
      </c>
      <c r="IQ568" s="39">
        <f t="shared" si="1618"/>
        <v>0</v>
      </c>
      <c r="IR568" s="39">
        <v>0</v>
      </c>
      <c r="IS568" s="39">
        <v>0</v>
      </c>
      <c r="IT568" s="39">
        <v>0</v>
      </c>
      <c r="IU568" s="39">
        <v>0</v>
      </c>
      <c r="IV568" s="39">
        <v>0</v>
      </c>
      <c r="IW568" s="39">
        <v>0</v>
      </c>
      <c r="IX568" s="39">
        <f>INDEX(Input!$1:$1048576,IX$93,$C568*2+6)+INDEX(Input!$1:$1048576,IX$94,$C568*2+6)</f>
        <v>1270</v>
      </c>
      <c r="IY568" s="39">
        <f>INDEX(Input!$1:$1048576,IY$93,$C568*2+6)+INDEX(Input!$1:$1048576,IY$94,$C568*2+6)</f>
        <v>2130.0624533823611</v>
      </c>
      <c r="IZ568" s="39">
        <f>INDEX(Input!$1:$1048576,IZ$93,$C568*2+6)+INDEX(Input!$1:$1048576,IZ$94,$C568*2+6)</f>
        <v>3653.7164157747857</v>
      </c>
      <c r="JA568" s="19">
        <f t="shared" si="1559"/>
        <v>1300</v>
      </c>
      <c r="JB568" s="19">
        <f t="shared" si="1560"/>
        <v>2160.0530700119962</v>
      </c>
      <c r="JC568" s="19">
        <f t="shared" si="1561"/>
        <v>3848.7164157747857</v>
      </c>
      <c r="JD568" s="19">
        <f t="shared" si="1562"/>
        <v>1949.24447106767</v>
      </c>
      <c r="JE568" s="21"/>
      <c r="JF568" s="1">
        <f t="shared" si="1619"/>
        <v>2.9195044280595241E-2</v>
      </c>
      <c r="JG568" s="15">
        <f>INDEX(Input!$1:$1048576,JG$93,$C568*2+6)/(1+VLOOKUP(C568*1000+INDEX(Input!$1:$1048576,JG$93+1,$C568*2+6),$A:$KK,$JK$92,FALSE))</f>
        <v>821</v>
      </c>
      <c r="JH568" s="1">
        <f t="shared" si="1563"/>
        <v>5.0052816956410564E-3</v>
      </c>
      <c r="JI568" s="1">
        <f t="shared" si="1564"/>
        <v>2.1043644486270253E-3</v>
      </c>
      <c r="JJ568" s="1">
        <f t="shared" si="1565"/>
        <v>0</v>
      </c>
      <c r="JK568" s="1">
        <f t="shared" si="1566"/>
        <v>7.1096461442680817E-3</v>
      </c>
      <c r="JL568" s="15">
        <f t="shared" si="1567"/>
        <v>5.8370194844440952</v>
      </c>
      <c r="JM568" s="15">
        <f t="shared" si="1568"/>
        <v>826.83701948444411</v>
      </c>
      <c r="JN568" s="21"/>
      <c r="JO568" s="19">
        <f>INDEX(Input!$1:$1048576,JO$93,$C568*2+6)</f>
        <v>5995.5</v>
      </c>
      <c r="JP568" s="19">
        <f>INDEX(Input!$1:$1048576,JP$93,$C568*2+6)</f>
        <v>1890.7138380411029</v>
      </c>
      <c r="JQ568" s="39">
        <f t="shared" si="1569"/>
        <v>4046.25552893233</v>
      </c>
      <c r="JR568" s="39">
        <f t="shared" si="1570"/>
        <v>58.530633026567102</v>
      </c>
      <c r="JS568" s="39">
        <f t="shared" si="1571"/>
        <v>1.6117074887041241</v>
      </c>
      <c r="JT568" s="39">
        <f t="shared" si="1572"/>
        <v>5.9431427672378488E-2</v>
      </c>
      <c r="JU568" s="385">
        <f>(JQ568*JM568-INDEX(Input!$1:$1048576,Input!A$18,$C568*2+6)*JL568*INDEX(Input!$1:$1048576,Input!A$19,$C568*2+6))/1000000</f>
        <v>3.3455938616148604</v>
      </c>
      <c r="JV568" s="39">
        <f t="shared" si="1573"/>
        <v>-2.4435577353393967E-2</v>
      </c>
      <c r="JW568" s="1">
        <f t="shared" si="1574"/>
        <v>-7.2508498207288653E-3</v>
      </c>
      <c r="JX568" s="19">
        <f t="shared" si="1575"/>
        <v>10181.810739327797</v>
      </c>
      <c r="JZ568" s="341"/>
      <c r="KA568" s="342"/>
      <c r="KB568" s="469">
        <f t="shared" si="1576"/>
        <v>2.5122967434604799</v>
      </c>
      <c r="KI568" s="473">
        <f t="shared" si="1601"/>
        <v>-2.0508498874873453</v>
      </c>
      <c r="KJ568" s="473">
        <f t="shared" si="1602"/>
        <v>1.552478978014733</v>
      </c>
      <c r="KK568" s="473">
        <f t="shared" si="1579"/>
        <v>6.3353903939166827</v>
      </c>
      <c r="KN568" s="544">
        <f t="shared" si="1580"/>
        <v>5002</v>
      </c>
      <c r="KO568" s="541">
        <f t="shared" si="1620"/>
        <v>3.0256880822332466E-3</v>
      </c>
      <c r="KP568" s="546">
        <f t="shared" si="1621"/>
        <v>14.217670201005319</v>
      </c>
      <c r="KQ568" s="546">
        <f t="shared" si="1622"/>
        <v>30.325705344403559</v>
      </c>
      <c r="KR568" s="548">
        <f t="shared" si="1623"/>
        <v>3.844675387064731</v>
      </c>
      <c r="KS568" s="548">
        <f t="shared" si="1624"/>
        <v>1.8025080064064016</v>
      </c>
      <c r="KT568" s="473">
        <f t="shared" si="1581"/>
        <v>595.94378802984284</v>
      </c>
      <c r="KU568" s="663">
        <f t="shared" si="1626"/>
        <v>3.9723836044811947</v>
      </c>
    </row>
    <row r="569" spans="1:308" s="26" customFormat="1" ht="15" outlineLevel="1">
      <c r="A569" s="561">
        <f t="shared" si="1541"/>
        <v>5069</v>
      </c>
      <c r="B569" s="561">
        <f t="shared" si="1627"/>
        <v>69</v>
      </c>
      <c r="C569" s="561">
        <f t="shared" si="1628"/>
        <v>5</v>
      </c>
      <c r="D569" s="561" t="str">
        <f t="shared" si="1509"/>
        <v xml:space="preserve">500 CC, 0/1.8/2.8/3.9, 1000 Combo, </v>
      </c>
      <c r="E569" s="475">
        <f>INDEX(Input!$1:$1048576,E$93,$C569*2+MIN($B569,2)+5)
+INDEX(Scenarios!E$121:E$200,MATCH($B569,Scenarios!$B$121:$B$200,0))</f>
        <v>1777.4263093788063</v>
      </c>
      <c r="F569" s="475">
        <f>INDEX(Input!$1:$1048576,F$93,$C569*2+MIN($B569,2)+5)
+INDEX(Scenarios!F$121:F$200,MATCH($B569,Scenarios!$B$121:$B$200,0))</f>
        <v>0</v>
      </c>
      <c r="G569" s="475">
        <f>INDEX(Input!$1:$1048576,G$93,$C569*2+MIN($B569,2)+5)
+INDEX(Scenarios!G$121:G$200,MATCH($B569,Scenarios!$B$121:$B$200,0))</f>
        <v>0</v>
      </c>
      <c r="H569" s="475">
        <f>INDEX(Input!$1:$1048576,H$93,$C569*2+MIN($B569,2)+5)
+INDEX(Scenarios!H$121:H$200,MATCH($B569,Scenarios!$B$121:$B$200,0))</f>
        <v>0</v>
      </c>
      <c r="I569" s="476">
        <f>INDEX(Input!$1:$1048576,I$93,$C569*2+MIN($B569,2)+5)</f>
        <v>0.7</v>
      </c>
      <c r="J569" s="476" t="str">
        <f>INDEX(Input!$1:$1048576,J$93,$C569*2+MIN($B569,2)+5)</f>
        <v>Market</v>
      </c>
      <c r="K569" s="476" t="str">
        <f>INDEX(Input!$1:$1048576,K$93,$C569*2+MIN($B569,2)+5)</f>
        <v>Market</v>
      </c>
      <c r="L569" s="476" t="str">
        <f>INDEX(Input!$1:$1048576,L$93,$C569*2+MIN($B569,2)+5)</f>
        <v>Market</v>
      </c>
      <c r="M569" s="476" t="str">
        <f>INDEX(Input!$1:$1048576,M$93,$C569*2+MIN($B569,2)+5)</f>
        <v>Market</v>
      </c>
      <c r="N569" s="476" t="str">
        <f>INDEX(Input!$1:$1048576,N$93,$C569*2+MIN($B569,2)+5)</f>
        <v>Market</v>
      </c>
      <c r="O569" s="476" t="str">
        <f>INDEX(Input!$1:$1048576,O$93,$C569*2+MIN($B569,2)+5)</f>
        <v>Market</v>
      </c>
      <c r="P569" s="476" t="str">
        <f>INDEX(Input!$1:$1048576,P$93,$C569*2+MIN($B569,2)+5)</f>
        <v>N</v>
      </c>
      <c r="Q569" s="477">
        <f>INDEX(Input!$1:$1048576,Q$93,$C569*2+MIN($B569,2)+5)
+INDEX(Scenarios!Q$121:Q$200,MATCH($B569,Scenarios!$B$121:$B$200,0))</f>
        <v>1000</v>
      </c>
      <c r="R569" s="478">
        <f>IFERROR(MAX(0,INDEX(Input!$1:$1048576,R$93,$C569*2+MIN($B569,2)+5)
+INDEX(Scenarios!R$121:R$200,MATCH($B569,Scenarios!$B$121:$B$200,0)),),"Market")</f>
        <v>0</v>
      </c>
      <c r="S569" s="478">
        <f>IFERROR(MAX(0,INDEX(Input!$1:$1048576,S$93,$C569*2+MIN($B569,2)+5)
+INDEX(Scenarios!S$121:S$200,MATCH($B569,Scenarios!$B$121:$B$200,0)),),"Market")</f>
        <v>0</v>
      </c>
      <c r="T569" s="478">
        <f>IFERROR(MAX(0,INDEX(Input!$1:$1048576,T$93,$C569*2+MIN($B569,2)+5)
+INDEX(Scenarios!T$121:T$200,MATCH($B569,Scenarios!$B$121:$B$200,0)),),"Market")</f>
        <v>0</v>
      </c>
      <c r="U569" s="478">
        <f>IFERROR(MAX(0,INDEX(Input!$1:$1048576,U$93,$C569*2+MIN($B569,2)+5)
+INDEX(Scenarios!U$121:U$200,MATCH($B569,Scenarios!$B$121:$B$200,0)),),"Market")</f>
        <v>0</v>
      </c>
      <c r="V569" s="478">
        <f>IFERROR(MAX(0,INDEX(Input!$1:$1048576,V$93,$C569*2+MIN($B569,2)+5)
+INDEX(Scenarios!V$121:V$200,MATCH($B569,Scenarios!$B$121:$B$200,0)),),"Market")</f>
        <v>2.7999999999999997E-2</v>
      </c>
      <c r="W569" s="885">
        <f>IFERROR(MAX(0,INDEX(Input!$1:$1048576,W$93,$C569*2+MIN($B569,2)+5)-0%,),"Market")</f>
        <v>3.9E-2</v>
      </c>
      <c r="X569" s="476" t="str">
        <f>INDEX(Input!$1:$1048576,X$93,$C569*2+MIN($B569,2)+5)</f>
        <v>Y</v>
      </c>
      <c r="Y569" s="475">
        <f>INDEX(Input!$1:$1048576,Y$93,$C569*2+MIN($B569,2)+5)
++INDEX(Scenarios!Y$121:Y$200,MATCH($B569,Scenarios!$B$121:$B$200,0))</f>
        <v>-717.93641739252325</v>
      </c>
      <c r="Z569" s="477">
        <f>INDEX(Input!$1:$1048576,Z$93,$C569*2+MIN($B569,2)+5)
+INDEX(Scenarios!Z$121:Z$200,MATCH($B569,Scenarios!$B$121:$B$200,0))</f>
        <v>0</v>
      </c>
      <c r="AA569" s="475">
        <f>INDEX(Input!$1:$1048576,AA$93,$C569*2+MIN($B569,2)+5)
+INDEX(Scenarios!AA$121:AA$200,MATCH($B569,Scenarios!$B$121:$B$200,0))</f>
        <v>0</v>
      </c>
      <c r="AB569" s="476">
        <f>INDEX(Input!$1:$1048576,AB$93,$C569*2+MIN($B569,2)+5)</f>
        <v>0.27</v>
      </c>
      <c r="AC569" s="475">
        <f>INDEX(Input!$1:$1048576,AC$93,$C569*2+MIN($B569,2)+5)
+INDEX(Scenarios!AC$121:AC$200,MATCH($B569,Scenarios!$B$121:$B$200,0))</f>
        <v>0</v>
      </c>
      <c r="AD569" s="476">
        <f>INDEX(Input!$1:$1048576,AD$93,$C569*2+MIN($B569,2)+5)</f>
        <v>0.27</v>
      </c>
      <c r="AE569" s="475">
        <f>INDEX(Input!$1:$1048576,AE$93,$C569*2+MIN($B569,2)+5)
+INDEX(Scenarios!AE$121:AE$200,MATCH($B569,Scenarios!$B$121:$B$200,0))</f>
        <v>0</v>
      </c>
      <c r="AF569" s="476">
        <f>INDEX(Input!$1:$1048576,AF$93,$C569*2+MIN($B569,2)+5)</f>
        <v>0.2</v>
      </c>
      <c r="AG569" s="475">
        <f>INDEX(Input!$1:$1048576,AG$93,$C569*2+MIN($B569,2)+5)
+INDEX(Scenarios!AG$121:AG$200,MATCH($B569,Scenarios!$B$121:$B$200,0))</f>
        <v>500</v>
      </c>
      <c r="AH569" s="476">
        <f>INDEX(Input!$1:$1048576,AH$93,$C569*2+MIN($B569,2)+5)</f>
        <v>1</v>
      </c>
      <c r="AI569" s="475">
        <f>INDEX(Input!$1:$1048576,AI$93,$C569*2+MIN($B569,2)+5)
+INDEX(Scenarios!AI$121:AI$200,MATCH($B569,Scenarios!$B$121:$B$200,0))</f>
        <v>0</v>
      </c>
      <c r="AJ569" s="476">
        <f>INDEX(Input!$1:$1048576,AJ$93,$C569*2+MIN($B569,2)+5)</f>
        <v>0.27</v>
      </c>
      <c r="AK569" s="150">
        <f>ROUND(INDEX(Input!$1:$1048576,AK$93,$C568*2+MIN($B569,1)+5)+(Y569-VLOOKUP($C569*1000+1,$A:$HH,Y$92,FALSE)),0)</f>
        <v>2587</v>
      </c>
      <c r="AL569" s="150">
        <f>ROUND(INDEX(Input!$1:$1048576,AL$93,$C568*2+MIN($B569,1)+5)-(Y569-VLOOKUP($C569*1000+1,$A:$HH,Y$92,FALSE))/36,0)</f>
        <v>3406</v>
      </c>
      <c r="AM569" s="32" t="str">
        <f t="shared" si="1544"/>
        <v>std/std/std/std</v>
      </c>
      <c r="AN569" s="32" t="str">
        <f t="shared" si="1545"/>
        <v>$1000 + 0/0/0/2.8/3.9</v>
      </c>
      <c r="AO569" s="32" t="str">
        <f t="shared" si="1546"/>
        <v>0/0/0/2.8/3.9</v>
      </c>
      <c r="AP569" s="32" t="str">
        <f t="shared" si="1526"/>
        <v>0/1.8/2.8/3.9</v>
      </c>
      <c r="AQ569" s="536">
        <f t="shared" si="1525"/>
        <v>0.40166863336820313</v>
      </c>
      <c r="AR569" s="32"/>
      <c r="AS569" s="302"/>
      <c r="AT569" s="3">
        <f t="shared" si="1629"/>
        <v>69</v>
      </c>
      <c r="AU569" s="41" t="s">
        <v>121</v>
      </c>
      <c r="AV569" s="41" t="s">
        <v>116</v>
      </c>
      <c r="AW569" s="41" t="str">
        <f>INDEX(Input!$1:$1048576,AW$93,$C569*2+6)</f>
        <v>Kia</v>
      </c>
      <c r="AX569" s="41" t="str">
        <f>INDEX(Input!$1:$1048576,AX$93,$C569*2+6)</f>
        <v>Kia-LR - R2</v>
      </c>
      <c r="AY569" s="41" t="str">
        <f>IF(LEN(D569)=0,"",INDEX(Input!$1:$1048576,AY$93,$C569*2+6))</f>
        <v>Compact SUV (52)</v>
      </c>
      <c r="AZ569" s="41" t="str">
        <f>INDEX(Input!$1:$1048576,AZ$93,$C569*2+6)</f>
        <v>Kia Soul</v>
      </c>
      <c r="BA569" s="3">
        <f>INDEX(Input!$1:$1048576,BA$93,$C569*2+6)</f>
        <v>2020</v>
      </c>
      <c r="BB569" s="128">
        <f>INDEX(Input!$1:$1048576,BB$93,$C569*2+6)</f>
        <v>1</v>
      </c>
      <c r="BC569" s="128">
        <f>INDEX(Input!$1:$1048576,BC$93,$C569*2+6)</f>
        <v>0.7</v>
      </c>
      <c r="BD569" s="1">
        <f>INDEX(Input!$1:$1048576,BD$93,$C569*2+6)</f>
        <v>4.4999999999999998E-2</v>
      </c>
      <c r="BE569" s="1">
        <f>INDEX(Input!$1:$1048576,BE$93,$C569*2+6)</f>
        <v>4.4999999999999998E-2</v>
      </c>
      <c r="BF569" s="1">
        <f>INDEX(Input!$1:$1048576,BF$93,$C569*2+6)</f>
        <v>0.05</v>
      </c>
      <c r="BG569" s="1">
        <f>INDEX(Input!$1:$1048576,BG$93,$C569*2+6)</f>
        <v>5.45E-2</v>
      </c>
      <c r="BH569" s="1">
        <f>INDEX(Input!$1:$1048576,BH$93,$C569*2+6)</f>
        <v>5.45E-2</v>
      </c>
      <c r="BI569" s="1">
        <f>INDEX(Input!$1:$1048576,BI$93,$C569*2+6)</f>
        <v>0.05</v>
      </c>
      <c r="BJ569" s="1">
        <f>INDEX(Input!$1:$1048576,BJ$93,$C569*2+6)</f>
        <v>0.05</v>
      </c>
      <c r="BK569" s="1">
        <f>INDEX(Input!$1:$1048576,BK$93,$C569*2+6)</f>
        <v>0.05</v>
      </c>
      <c r="BL569" s="1">
        <f>INDEX(Input!$1:$1048576,BL$93,$C569*2+6)</f>
        <v>5.5E-2</v>
      </c>
      <c r="BM569" s="1">
        <f>INDEX(Input!$1:$1048576,BM$93,$C569*2+6)</f>
        <v>0.06</v>
      </c>
      <c r="BN569" s="1">
        <f>INDEX(Input!$1:$1048576,BN$93,$C569*2+6)</f>
        <v>4.4999999999999998E-2</v>
      </c>
      <c r="BO569" s="1">
        <f>INDEX(Input!$1:$1048576,BO$93,$C569*2+6)</f>
        <v>4.4999999999999998E-2</v>
      </c>
      <c r="BP569" s="1">
        <f>INDEX(Input!$1:$1048576,BP$93,$C569*2+6)</f>
        <v>0.05</v>
      </c>
      <c r="BQ569" s="1">
        <f>INDEX(Input!$1:$1048576,BQ$93,$C569*2+6)</f>
        <v>5.45E-2</v>
      </c>
      <c r="BR569" s="1">
        <f>INDEX(Input!$1:$1048576,BR$93,$C569*2+6)</f>
        <v>5.45E-2</v>
      </c>
      <c r="BS569" s="1">
        <f>INDEX(Input!$1:$1048576,BS$93,$C569*2+6)</f>
        <v>0.05</v>
      </c>
      <c r="BT569" s="1">
        <f>INDEX(Input!$1:$1048576,BT$93,$C569*2+6)</f>
        <v>0.05</v>
      </c>
      <c r="BU569" s="1">
        <f>INDEX(Input!$1:$1048576,BU$93,$C569*2+6)</f>
        <v>0.05</v>
      </c>
      <c r="BV569" s="1">
        <f>INDEX(Input!$1:$1048576,BV$93,$C569*2+6)</f>
        <v>5.5E-2</v>
      </c>
      <c r="BW569" s="1">
        <f>INDEX(Input!$1:$1048576,BW$93,$C569*2+6)</f>
        <v>0.06</v>
      </c>
      <c r="BX569" s="127">
        <f>INDEX(Input!$1:$1048576,BX$93,$C569*2+6)</f>
        <v>19985</v>
      </c>
      <c r="BY569" s="20">
        <f>INDEX(Input!$1:$1048576,BY$93,$C569*2+6)</f>
        <v>0.1</v>
      </c>
      <c r="BZ569" s="20">
        <f>INDEX(Input!$1:$1048576,BZ$93,$C569*2+6)</f>
        <v>0.1</v>
      </c>
      <c r="CA569" s="20">
        <f>INDEX(Input!$1:$1048576,CA$93,$C569*2+6)</f>
        <v>0.1</v>
      </c>
      <c r="CB569" s="20">
        <f>INDEX(Input!$1:$1048576,CB$93,$C569*2+6)</f>
        <v>0.1</v>
      </c>
      <c r="CC569" s="20">
        <f>INDEX(Input!$1:$1048576,CC$93,$C569*2+6)</f>
        <v>0.1</v>
      </c>
      <c r="CD569" s="384">
        <f>INDEX(Input!$1:$1048576,CD$93,$C569*2+6)</f>
        <v>0.1</v>
      </c>
      <c r="CE569" s="384">
        <f>INDEX(Input!$1:$1048576,CE$93,$C569*2+6)</f>
        <v>0.1</v>
      </c>
      <c r="CF569" s="384">
        <f>INDEX(Input!$1:$1048576,CF$93,$C569*2+6)</f>
        <v>0.1</v>
      </c>
      <c r="CG569" s="384">
        <f>INDEX(Input!$1:$1048576,CG$93,$C569*2+6)</f>
        <v>0.1</v>
      </c>
      <c r="CH569" s="384">
        <f>INDEX(Input!$1:$1048576,CH$93,$C569*2+6)</f>
        <v>0.1</v>
      </c>
      <c r="CI569" s="304">
        <f t="shared" si="1527"/>
        <v>1777.4263093788063</v>
      </c>
      <c r="CJ569" s="16" t="str">
        <f>INDEX(Input!$1:$1048576,CJ$93,$C569*2+6)</f>
        <v>N</v>
      </c>
      <c r="CK569" s="1" t="str">
        <f t="shared" si="1528"/>
        <v>Market</v>
      </c>
      <c r="CL569" s="1" t="str">
        <f t="shared" si="1529"/>
        <v>Market</v>
      </c>
      <c r="CM569" s="1" t="str">
        <f t="shared" si="1530"/>
        <v>Market</v>
      </c>
      <c r="CN569" s="1" t="str">
        <f t="shared" si="1531"/>
        <v>Market</v>
      </c>
      <c r="CO569" s="1" t="str">
        <f t="shared" si="1532"/>
        <v>Market</v>
      </c>
      <c r="CP569" s="304">
        <f t="shared" si="1533"/>
        <v>1500</v>
      </c>
      <c r="CQ569" s="1">
        <f t="shared" si="1534"/>
        <v>0</v>
      </c>
      <c r="CR569" s="1">
        <f t="shared" si="1535"/>
        <v>0</v>
      </c>
      <c r="CS569" s="1">
        <f t="shared" si="1536"/>
        <v>0</v>
      </c>
      <c r="CT569" s="1">
        <f t="shared" si="1537"/>
        <v>2.7999999999999997E-2</v>
      </c>
      <c r="CU569" s="1">
        <f t="shared" si="1538"/>
        <v>3.9E-2</v>
      </c>
      <c r="CV569" s="304">
        <f t="shared" si="1539"/>
        <v>-717.93641739252325</v>
      </c>
      <c r="CW569" s="20" t="s">
        <v>122</v>
      </c>
      <c r="CX569" s="20" t="s">
        <v>122</v>
      </c>
      <c r="CY569" s="20" t="s">
        <v>122</v>
      </c>
      <c r="CZ569" s="20" t="s">
        <v>122</v>
      </c>
      <c r="DA569" s="20" t="s">
        <v>122</v>
      </c>
      <c r="DB569" s="503">
        <f t="shared" si="1540"/>
        <v>0</v>
      </c>
      <c r="DC569" s="127">
        <v>0</v>
      </c>
      <c r="DD569" s="127">
        <v>0</v>
      </c>
      <c r="DE569" s="127">
        <v>0</v>
      </c>
      <c r="DF569" s="127">
        <v>0</v>
      </c>
      <c r="DG569" s="127">
        <v>0</v>
      </c>
      <c r="DH569" s="127">
        <v>0</v>
      </c>
      <c r="DI569" s="127">
        <v>0</v>
      </c>
      <c r="DJ569" s="127">
        <v>0</v>
      </c>
      <c r="DK569" s="127">
        <v>0</v>
      </c>
      <c r="DL569" s="127">
        <v>0</v>
      </c>
      <c r="DM569" s="304">
        <f>INDEX(Input!$1:$1048576,DM$93,$C569*2+6)</f>
        <v>21036.84210526316</v>
      </c>
      <c r="DN569" s="20">
        <v>0</v>
      </c>
      <c r="DO569" s="20">
        <v>0</v>
      </c>
      <c r="DP569" s="20">
        <v>0</v>
      </c>
      <c r="DQ569" s="20">
        <v>0</v>
      </c>
      <c r="DR569" s="20">
        <v>0</v>
      </c>
      <c r="DS569" s="20">
        <f>INDEX(Input!$1:$1048576,DS$93,$C569*2+6)</f>
        <v>0.6</v>
      </c>
      <c r="DT569" s="20">
        <f>INDEX(Input!$1:$1048576,DT$93,$C569*2+6)</f>
        <v>0.55000000000000004</v>
      </c>
      <c r="DU569" s="20">
        <f>INDEX(Input!$1:$1048576,DU$93,$C569*2+6)</f>
        <v>0.52</v>
      </c>
      <c r="DV569" s="20">
        <f>INDEX(Input!$1:$1048576,DV$93,$C569*2+6)</f>
        <v>0.5</v>
      </c>
      <c r="DW569" s="20">
        <f>INDEX(Input!$1:$1048576,DW$93,$C569*2+6)</f>
        <v>0.45</v>
      </c>
      <c r="DX569" s="20"/>
      <c r="DY569" s="7">
        <v>0.12681172399897067</v>
      </c>
      <c r="DZ569" s="7">
        <v>0</v>
      </c>
      <c r="EA569" s="7">
        <v>0.73618112834929317</v>
      </c>
      <c r="EB569" s="7">
        <v>0</v>
      </c>
      <c r="EC569" s="7">
        <v>0</v>
      </c>
      <c r="ED569" s="7">
        <v>0</v>
      </c>
      <c r="EE569" s="7">
        <v>0</v>
      </c>
      <c r="EF569" s="7">
        <v>0</v>
      </c>
      <c r="EG569" s="7">
        <v>0</v>
      </c>
      <c r="EH569" s="7">
        <v>1.4619994553790802E-2</v>
      </c>
      <c r="EI569" s="7">
        <v>4.0654298056539036E-2</v>
      </c>
      <c r="EJ569" s="7">
        <v>0.35324437293987437</v>
      </c>
      <c r="EK569" s="7">
        <v>0.44026032031459839</v>
      </c>
      <c r="EL569" s="7">
        <v>0.15122101413519715</v>
      </c>
      <c r="EM569" s="7">
        <v>8.2829794097338913E-2</v>
      </c>
      <c r="EN569" s="7">
        <v>5.8480673141453575E-2</v>
      </c>
      <c r="EO569" s="7">
        <v>0.71699281121744074</v>
      </c>
      <c r="EP569" s="7">
        <v>8.9835414137878516E-2</v>
      </c>
      <c r="EQ569" s="7">
        <v>8.843070041082024E-2</v>
      </c>
      <c r="ER569" s="7">
        <v>4.6260401092407005E-2</v>
      </c>
      <c r="ES569" s="7">
        <v>5.417735355439729E-2</v>
      </c>
      <c r="ET569" s="7">
        <v>0.13700714765173622</v>
      </c>
      <c r="EU569" s="6">
        <v>1770</v>
      </c>
      <c r="EV569" s="6">
        <v>0</v>
      </c>
      <c r="EW569" s="6">
        <v>1770</v>
      </c>
      <c r="EX569" s="6">
        <v>0</v>
      </c>
      <c r="EY569" s="6">
        <v>2817.0979490143709</v>
      </c>
      <c r="EZ569" s="6">
        <v>-6.4499039401316622</v>
      </c>
      <c r="FA569" s="6">
        <v>0</v>
      </c>
      <c r="FB569" s="6">
        <v>0</v>
      </c>
      <c r="FC569" s="6">
        <v>0</v>
      </c>
      <c r="FD569" s="6">
        <v>0</v>
      </c>
      <c r="FE569" s="6">
        <v>0</v>
      </c>
      <c r="FF569" s="6">
        <v>0</v>
      </c>
      <c r="FG569" s="6">
        <v>0</v>
      </c>
      <c r="FH569" s="6">
        <v>1172.1432959113304</v>
      </c>
      <c r="FI569" s="6">
        <v>1553.9796069512392</v>
      </c>
      <c r="FJ569" s="6">
        <v>2101.2110117447405</v>
      </c>
      <c r="FK569" s="6">
        <v>1334.1543630076696</v>
      </c>
      <c r="FL569" s="6">
        <v>907.07682140966335</v>
      </c>
      <c r="FM569" s="6">
        <v>1547.0979490143711</v>
      </c>
      <c r="FN569" s="6">
        <v>0</v>
      </c>
      <c r="FO569" s="6">
        <v>0</v>
      </c>
      <c r="FP569" s="6">
        <v>0</v>
      </c>
      <c r="FQ569" s="6">
        <v>0</v>
      </c>
      <c r="FR569" s="6">
        <v>0</v>
      </c>
      <c r="FS569" s="6">
        <v>0</v>
      </c>
      <c r="FT569" s="7">
        <v>0.86299285234826384</v>
      </c>
      <c r="FU569" s="7">
        <v>8.2829794097338913E-2</v>
      </c>
      <c r="FV569" s="7">
        <v>5.417735355439729E-2</v>
      </c>
      <c r="FW569" s="6">
        <v>1770</v>
      </c>
      <c r="FX569" s="6">
        <v>2817.0979490143709</v>
      </c>
      <c r="FY569" s="6">
        <v>-6.4499039401316622</v>
      </c>
      <c r="FZ569" s="6">
        <v>1758.1538569113241</v>
      </c>
      <c r="GA569" s="6">
        <v>1760.4875529991666</v>
      </c>
      <c r="GB569" s="6">
        <v>18224.512447000834</v>
      </c>
      <c r="GC569" s="7">
        <v>3.064145122680037E-2</v>
      </c>
      <c r="GD569" s="7">
        <v>3.1054354414356552E-2</v>
      </c>
      <c r="GE569" s="7"/>
      <c r="GF569" s="7"/>
      <c r="GG569" s="7">
        <v>1.3475314354401014E-2</v>
      </c>
      <c r="GH569" s="42">
        <v>115.39812693505839</v>
      </c>
      <c r="GI569" s="6">
        <v>1933.6706065789429</v>
      </c>
      <c r="GJ569" s="14">
        <v>0.50394797582841733</v>
      </c>
      <c r="GK569" s="14">
        <v>0.50887573065309699</v>
      </c>
      <c r="GL569" s="14">
        <v>0.49605202417158251</v>
      </c>
      <c r="GM569" s="14">
        <v>0.49112426934690212</v>
      </c>
      <c r="GO569" s="5">
        <v>343.14810671672558</v>
      </c>
      <c r="GP569" s="5">
        <v>309.37988338875158</v>
      </c>
      <c r="GQ569" s="5">
        <v>535.04305713031317</v>
      </c>
      <c r="GR569" s="5">
        <v>410.15490233172511</v>
      </c>
      <c r="GS569" s="5">
        <v>339.42744393800166</v>
      </c>
      <c r="GT569" s="5">
        <v>293.4407446948278</v>
      </c>
      <c r="GU569" s="5">
        <v>258.04012322764959</v>
      </c>
      <c r="GV569" s="39" t="s">
        <v>392</v>
      </c>
      <c r="GW569" s="5">
        <v>464.34722222222223</v>
      </c>
      <c r="GX569" s="5">
        <v>348.26041666666669</v>
      </c>
      <c r="GY569" s="5">
        <v>278.60833333333335</v>
      </c>
      <c r="GZ569" s="5">
        <v>252.49213887601286</v>
      </c>
      <c r="HA569" s="5">
        <v>227.72592165501612</v>
      </c>
      <c r="HB569" s="39">
        <v>264.96307740059024</v>
      </c>
      <c r="HC569" s="5">
        <v>287.56655829738071</v>
      </c>
      <c r="HD569" s="5">
        <v>239.99799238008356</v>
      </c>
      <c r="HE569" s="5">
        <v>241.14168635502031</v>
      </c>
      <c r="HF569" s="5">
        <v>221.05790951107167</v>
      </c>
      <c r="HG569" s="5">
        <v>210.75500473779988</v>
      </c>
      <c r="HH569" s="39">
        <v>239.85490122576809</v>
      </c>
      <c r="HI569" s="16"/>
      <c r="HJ569" s="19" t="str">
        <f t="shared" ref="HJ569" si="1632">HJ568</f>
        <v>On</v>
      </c>
      <c r="HK569" s="1" t="str">
        <f t="shared" si="1549"/>
        <v>On</v>
      </c>
      <c r="HL569" s="16"/>
      <c r="HM569" s="639">
        <f t="shared" si="1605"/>
        <v>2.4909940070666322E-2</v>
      </c>
      <c r="HN569" s="639">
        <f t="shared" si="1606"/>
        <v>2.2052381276269151E-3</v>
      </c>
      <c r="HO569" s="639">
        <f t="shared" si="1607"/>
        <v>2.079866082302006E-3</v>
      </c>
      <c r="HP569" s="644">
        <f>(FT569*$GD569-HM569)/$JF569*INDEX(Input!$1:$1048576,$JG$93,$C569*2+6)</f>
        <v>53.141941007063075</v>
      </c>
      <c r="HQ569" s="644">
        <f>(FU569*$GD569-HN569)/$JF569*INDEX(Input!$1:$1048576,$JG$93,$C569*2+6)</f>
        <v>10.320137257453004</v>
      </c>
      <c r="HR569" s="644">
        <f>(FV569*$GD569-HO569)/$JF569*INDEX(Input!$1:$1048576,$JG$93,$C569*2+6)</f>
        <v>-11.176025702073666</v>
      </c>
      <c r="HS569" s="644">
        <f t="shared" si="1598"/>
        <v>-25.88757465446934</v>
      </c>
      <c r="HT569" s="644">
        <f t="shared" si="1608"/>
        <v>46.910038077316472</v>
      </c>
      <c r="HU569" s="644">
        <f t="shared" si="1609"/>
        <v>2.5859298958118537</v>
      </c>
      <c r="HV569" s="648">
        <f t="shared" si="1610"/>
        <v>0</v>
      </c>
      <c r="HW569" s="648">
        <f t="shared" si="1611"/>
        <v>0</v>
      </c>
      <c r="HX569" s="648">
        <f t="shared" si="1612"/>
        <v>0</v>
      </c>
      <c r="HY569" s="644">
        <f>INDEX(Input!$1:$1048576,HY$93,$C569*2+6)*INDEX(Input!$1:$1048576,$JG$93,$C569*2+6)</f>
        <v>333.00000000000006</v>
      </c>
      <c r="HZ569" s="644">
        <f>INDEX(Input!$1:$1048576,HZ$93,$C569*2+6)*INDEX(Input!$1:$1048576,$JG$93,$C569*2+6)</f>
        <v>429</v>
      </c>
      <c r="IA569" s="644">
        <f>INDEX(Input!$1:$1048576,IA$93,$C569*2+6)*INDEX(Input!$1:$1048576,$JG$93,$C569*2+6)</f>
        <v>59</v>
      </c>
      <c r="IB569" s="644">
        <f t="shared" si="1551"/>
        <v>360.25436635259382</v>
      </c>
      <c r="IC569" s="644">
        <f t="shared" si="1552"/>
        <v>486.23017533476946</v>
      </c>
      <c r="ID569" s="644">
        <f>IF(AND(INDEX(Input!$1:$1048576,IA$93,$C569*2+7)="TOS",Y569&lt;=INDEX(Y:Y,MATCH(C569*1000+2,A:A))),0,1)*MAX(IA569+HR569+HU569+HX569,0%)</f>
        <v>50.409904193738186</v>
      </c>
      <c r="IE569" s="128">
        <f t="shared" si="1599"/>
        <v>0.40166863336820313</v>
      </c>
      <c r="IF569" s="128">
        <f t="shared" si="1600"/>
        <v>0.54212642030255975</v>
      </c>
      <c r="IG569" s="128">
        <f t="shared" si="1555"/>
        <v>5.6204946329237136E-2</v>
      </c>
      <c r="IH569" s="21"/>
      <c r="II569" s="19">
        <f t="shared" si="1613"/>
        <v>1240</v>
      </c>
      <c r="IJ569" s="19">
        <f t="shared" si="1614"/>
        <v>1985.7442651839444</v>
      </c>
      <c r="IK569" s="19">
        <f t="shared" si="1615"/>
        <v>-21.44990394013189</v>
      </c>
      <c r="IL569" s="19">
        <f t="shared" si="1556"/>
        <v>530</v>
      </c>
      <c r="IM569" s="19">
        <f t="shared" si="1557"/>
        <v>831.35368383042646</v>
      </c>
      <c r="IN569" s="19">
        <f t="shared" si="1558"/>
        <v>15.000000000000227</v>
      </c>
      <c r="IO569" s="39">
        <f t="shared" si="1616"/>
        <v>0</v>
      </c>
      <c r="IP569" s="39">
        <f t="shared" si="1617"/>
        <v>0</v>
      </c>
      <c r="IQ569" s="39">
        <f t="shared" si="1618"/>
        <v>0</v>
      </c>
      <c r="IR569" s="39">
        <v>0</v>
      </c>
      <c r="IS569" s="39">
        <v>0</v>
      </c>
      <c r="IT569" s="39">
        <v>0</v>
      </c>
      <c r="IU569" s="39">
        <v>0</v>
      </c>
      <c r="IV569" s="39">
        <v>0</v>
      </c>
      <c r="IW569" s="39">
        <v>0</v>
      </c>
      <c r="IX569" s="39">
        <f>INDEX(Input!$1:$1048576,IX$93,$C569*2+6)+INDEX(Input!$1:$1048576,IX$94,$C569*2+6)</f>
        <v>1270</v>
      </c>
      <c r="IY569" s="39">
        <f>INDEX(Input!$1:$1048576,IY$93,$C569*2+6)+INDEX(Input!$1:$1048576,IY$94,$C569*2+6)</f>
        <v>2130.0624533823611</v>
      </c>
      <c r="IZ569" s="39">
        <f>INDEX(Input!$1:$1048576,IZ$93,$C569*2+6)+INDEX(Input!$1:$1048576,IZ$94,$C569*2+6)</f>
        <v>3653.7164157747857</v>
      </c>
      <c r="JA569" s="19">
        <f t="shared" si="1559"/>
        <v>1800</v>
      </c>
      <c r="JB569" s="19">
        <f t="shared" si="1560"/>
        <v>2961.4161372127874</v>
      </c>
      <c r="JC569" s="19">
        <f t="shared" si="1561"/>
        <v>3668.7164157747857</v>
      </c>
      <c r="JD569" s="19">
        <f t="shared" si="1562"/>
        <v>2534.665478801981</v>
      </c>
      <c r="JE569" s="21"/>
      <c r="JF569" s="1">
        <f t="shared" si="1619"/>
        <v>2.9195044280595241E-2</v>
      </c>
      <c r="JG569" s="15">
        <f>INDEX(Input!$1:$1048576,JG$93,$C569*2+6)/(1+VLOOKUP(C569*1000+INDEX(Input!$1:$1048576,JG$93+1,$C569*2+6),$A:$KK,$JK$92,FALSE))</f>
        <v>821</v>
      </c>
      <c r="JH569" s="1">
        <f t="shared" si="1563"/>
        <v>6.3685813108943251E-2</v>
      </c>
      <c r="JI569" s="1">
        <f t="shared" si="1564"/>
        <v>2.8755655686551751E-2</v>
      </c>
      <c r="JJ569" s="1">
        <f t="shared" si="1565"/>
        <v>0</v>
      </c>
      <c r="JK569" s="1">
        <f t="shared" si="1566"/>
        <v>9.2441468795495002E-2</v>
      </c>
      <c r="JL569" s="15">
        <f t="shared" si="1567"/>
        <v>75.89444588110139</v>
      </c>
      <c r="JM569" s="15">
        <f t="shared" si="1568"/>
        <v>896.89444588110143</v>
      </c>
      <c r="JN569" s="21"/>
      <c r="JO569" s="19">
        <f>INDEX(Input!$1:$1048576,JO$93,$C569*2+6)</f>
        <v>5995.5</v>
      </c>
      <c r="JP569" s="19">
        <f>INDEX(Input!$1:$1048576,JP$93,$C569*2+6)</f>
        <v>1890.7138380411029</v>
      </c>
      <c r="JQ569" s="39">
        <f t="shared" si="1569"/>
        <v>3460.834521198019</v>
      </c>
      <c r="JR569" s="39">
        <f t="shared" si="1570"/>
        <v>643.95164076087804</v>
      </c>
      <c r="JS569" s="39">
        <f t="shared" si="1571"/>
        <v>2.2733273901040589</v>
      </c>
      <c r="JT569" s="39">
        <f t="shared" si="1572"/>
        <v>0.72105132907231362</v>
      </c>
      <c r="JU569" s="385">
        <f>(JQ569*JM569-INDEX(Input!$1:$1048576,Input!A$18,$C569*2+6)*JL569*INDEX(Input!$1:$1048576,Input!A$19,$C569*2+6))/1000000</f>
        <v>3.1040032601760843</v>
      </c>
      <c r="JV569" s="39">
        <f t="shared" si="1573"/>
        <v>-0.26602617879217005</v>
      </c>
      <c r="JW569" s="1">
        <f t="shared" si="1574"/>
        <v>-7.8938829351477377E-2</v>
      </c>
      <c r="JX569" s="19">
        <f t="shared" si="1575"/>
        <v>9500.7127425626786</v>
      </c>
      <c r="JZ569" s="341"/>
      <c r="KA569" s="342"/>
      <c r="KB569" s="469">
        <f t="shared" si="1576"/>
        <v>2.5122967434604799</v>
      </c>
      <c r="KI569" s="473">
        <f t="shared" si="1601"/>
        <v>27.254366352593763</v>
      </c>
      <c r="KJ569" s="473">
        <f t="shared" si="1602"/>
        <v>57.230175334769399</v>
      </c>
      <c r="KK569" s="473">
        <f t="shared" si="1579"/>
        <v>-8.5900958062618145</v>
      </c>
      <c r="KN569" s="544">
        <f t="shared" si="1580"/>
        <v>5002</v>
      </c>
      <c r="KO569" s="541">
        <f t="shared" si="1620"/>
        <v>8.8011479309375584E-2</v>
      </c>
      <c r="KP569" s="546">
        <f t="shared" si="1621"/>
        <v>635.26852216741952</v>
      </c>
      <c r="KQ569" s="546">
        <f t="shared" si="1622"/>
        <v>615.74671307871449</v>
      </c>
      <c r="KR569" s="548">
        <f t="shared" si="1623"/>
        <v>2.5029140895053019</v>
      </c>
      <c r="KS569" s="548">
        <f t="shared" si="1624"/>
        <v>2.5822671903549139</v>
      </c>
      <c r="KT569" s="473">
        <f t="shared" si="1581"/>
        <v>595.94378802984284</v>
      </c>
      <c r="KU569" s="663">
        <f t="shared" si="1626"/>
        <v>3.9818145419496598</v>
      </c>
    </row>
    <row r="570" spans="1:308" s="26" customFormat="1" ht="15" outlineLevel="1">
      <c r="A570" s="561">
        <f t="shared" si="1541"/>
        <v>5070</v>
      </c>
      <c r="B570" s="561">
        <f t="shared" si="1627"/>
        <v>70</v>
      </c>
      <c r="C570" s="561">
        <f t="shared" si="1628"/>
        <v>5</v>
      </c>
      <c r="D570" s="561" t="str">
        <f t="shared" si="1509"/>
        <v xml:space="preserve">750 CC, 0/1.8/2.8/3.9, 1500 Combo, </v>
      </c>
      <c r="E570" s="475">
        <f>INDEX(Input!$1:$1048576,E$93,$C570*2+MIN($B570,2)+5)
+INDEX(Scenarios!E$121:E$200,MATCH($B570,Scenarios!$B$121:$B$200,0))</f>
        <v>2027.4263093788063</v>
      </c>
      <c r="F570" s="475">
        <f>INDEX(Input!$1:$1048576,F$93,$C570*2+MIN($B570,2)+5)
+INDEX(Scenarios!F$121:F$200,MATCH($B570,Scenarios!$B$121:$B$200,0))</f>
        <v>0</v>
      </c>
      <c r="G570" s="475">
        <f>INDEX(Input!$1:$1048576,G$93,$C570*2+MIN($B570,2)+5)
+INDEX(Scenarios!G$121:G$200,MATCH($B570,Scenarios!$B$121:$B$200,0))</f>
        <v>0</v>
      </c>
      <c r="H570" s="475">
        <f>INDEX(Input!$1:$1048576,H$93,$C570*2+MIN($B570,2)+5)
+INDEX(Scenarios!H$121:H$200,MATCH($B570,Scenarios!$B$121:$B$200,0))</f>
        <v>0</v>
      </c>
      <c r="I570" s="476">
        <f>INDEX(Input!$1:$1048576,I$93,$C570*2+MIN($B570,2)+5)</f>
        <v>0.7</v>
      </c>
      <c r="J570" s="476" t="str">
        <f>INDEX(Input!$1:$1048576,J$93,$C570*2+MIN($B570,2)+5)</f>
        <v>Market</v>
      </c>
      <c r="K570" s="476" t="str">
        <f>INDEX(Input!$1:$1048576,K$93,$C570*2+MIN($B570,2)+5)</f>
        <v>Market</v>
      </c>
      <c r="L570" s="476" t="str">
        <f>INDEX(Input!$1:$1048576,L$93,$C570*2+MIN($B570,2)+5)</f>
        <v>Market</v>
      </c>
      <c r="M570" s="476" t="str">
        <f>INDEX(Input!$1:$1048576,M$93,$C570*2+MIN($B570,2)+5)</f>
        <v>Market</v>
      </c>
      <c r="N570" s="476" t="str">
        <f>INDEX(Input!$1:$1048576,N$93,$C570*2+MIN($B570,2)+5)</f>
        <v>Market</v>
      </c>
      <c r="O570" s="476" t="str">
        <f>INDEX(Input!$1:$1048576,O$93,$C570*2+MIN($B570,2)+5)</f>
        <v>Market</v>
      </c>
      <c r="P570" s="476" t="str">
        <f>INDEX(Input!$1:$1048576,P$93,$C570*2+MIN($B570,2)+5)</f>
        <v>N</v>
      </c>
      <c r="Q570" s="477">
        <f>INDEX(Input!$1:$1048576,Q$93,$C570*2+MIN($B570,2)+5)
+INDEX(Scenarios!Q$121:Q$200,MATCH($B570,Scenarios!$B$121:$B$200,0))</f>
        <v>1500</v>
      </c>
      <c r="R570" s="478">
        <f>IFERROR(MAX(0,INDEX(Input!$1:$1048576,R$93,$C570*2+MIN($B570,2)+5)
+INDEX(Scenarios!R$121:R$200,MATCH($B570,Scenarios!$B$121:$B$200,0)),),"Market")</f>
        <v>0</v>
      </c>
      <c r="S570" s="478">
        <f>IFERROR(MAX(0,INDEX(Input!$1:$1048576,S$93,$C570*2+MIN($B570,2)+5)
+INDEX(Scenarios!S$121:S$200,MATCH($B570,Scenarios!$B$121:$B$200,0)),),"Market")</f>
        <v>0</v>
      </c>
      <c r="T570" s="478">
        <f>IFERROR(MAX(0,INDEX(Input!$1:$1048576,T$93,$C570*2+MIN($B570,2)+5)
+INDEX(Scenarios!T$121:T$200,MATCH($B570,Scenarios!$B$121:$B$200,0)),),"Market")</f>
        <v>0</v>
      </c>
      <c r="U570" s="478">
        <f>IFERROR(MAX(0,INDEX(Input!$1:$1048576,U$93,$C570*2+MIN($B570,2)+5)
+INDEX(Scenarios!U$121:U$200,MATCH($B570,Scenarios!$B$121:$B$200,0)),),"Market")</f>
        <v>0</v>
      </c>
      <c r="V570" s="478">
        <f>IFERROR(MAX(0,INDEX(Input!$1:$1048576,V$93,$C570*2+MIN($B570,2)+5)
+INDEX(Scenarios!V$121:V$200,MATCH($B570,Scenarios!$B$121:$B$200,0)),),"Market")</f>
        <v>2.7999999999999997E-2</v>
      </c>
      <c r="W570" s="885">
        <f>IFERROR(MAX(0,INDEX(Input!$1:$1048576,W$93,$C570*2+MIN($B570,2)+5)-0%,),"Market")</f>
        <v>3.9E-2</v>
      </c>
      <c r="X570" s="476" t="str">
        <f>INDEX(Input!$1:$1048576,X$93,$C570*2+MIN($B570,2)+5)</f>
        <v>Y</v>
      </c>
      <c r="Y570" s="475">
        <f>INDEX(Input!$1:$1048576,Y$93,$C570*2+MIN($B570,2)+5)
++INDEX(Scenarios!Y$121:Y$200,MATCH($B570,Scenarios!$B$121:$B$200,0))</f>
        <v>-717.93641739252325</v>
      </c>
      <c r="Z570" s="477">
        <f>INDEX(Input!$1:$1048576,Z$93,$C570*2+MIN($B570,2)+5)
+INDEX(Scenarios!Z$121:Z$200,MATCH($B570,Scenarios!$B$121:$B$200,0))</f>
        <v>0</v>
      </c>
      <c r="AA570" s="475">
        <f>INDEX(Input!$1:$1048576,AA$93,$C570*2+MIN($B570,2)+5)
+INDEX(Scenarios!AA$121:AA$200,MATCH($B570,Scenarios!$B$121:$B$200,0))</f>
        <v>0</v>
      </c>
      <c r="AB570" s="476">
        <f>INDEX(Input!$1:$1048576,AB$93,$C570*2+MIN($B570,2)+5)</f>
        <v>0.27</v>
      </c>
      <c r="AC570" s="475">
        <f>INDEX(Input!$1:$1048576,AC$93,$C570*2+MIN($B570,2)+5)
+INDEX(Scenarios!AC$121:AC$200,MATCH($B570,Scenarios!$B$121:$B$200,0))</f>
        <v>0</v>
      </c>
      <c r="AD570" s="476">
        <f>INDEX(Input!$1:$1048576,AD$93,$C570*2+MIN($B570,2)+5)</f>
        <v>0.27</v>
      </c>
      <c r="AE570" s="475">
        <f>INDEX(Input!$1:$1048576,AE$93,$C570*2+MIN($B570,2)+5)
+INDEX(Scenarios!AE$121:AE$200,MATCH($B570,Scenarios!$B$121:$B$200,0))</f>
        <v>0</v>
      </c>
      <c r="AF570" s="476">
        <f>INDEX(Input!$1:$1048576,AF$93,$C570*2+MIN($B570,2)+5)</f>
        <v>0.2</v>
      </c>
      <c r="AG570" s="475">
        <f>INDEX(Input!$1:$1048576,AG$93,$C570*2+MIN($B570,2)+5)
+INDEX(Scenarios!AG$121:AG$200,MATCH($B570,Scenarios!$B$121:$B$200,0))</f>
        <v>500</v>
      </c>
      <c r="AH570" s="476">
        <f>INDEX(Input!$1:$1048576,AH$93,$C570*2+MIN($B570,2)+5)</f>
        <v>1</v>
      </c>
      <c r="AI570" s="475">
        <f>INDEX(Input!$1:$1048576,AI$93,$C570*2+MIN($B570,2)+5)
+INDEX(Scenarios!AI$121:AI$200,MATCH($B570,Scenarios!$B$121:$B$200,0))</f>
        <v>0</v>
      </c>
      <c r="AJ570" s="476">
        <f>INDEX(Input!$1:$1048576,AJ$93,$C570*2+MIN($B570,2)+5)</f>
        <v>0.27</v>
      </c>
      <c r="AK570" s="150">
        <f>ROUND(INDEX(Input!$1:$1048576,AK$93,$C569*2+MIN($B570,1)+5)+(Y570-VLOOKUP($C570*1000+1,$A:$HH,Y$92,FALSE)),0)</f>
        <v>2587</v>
      </c>
      <c r="AL570" s="150">
        <f>ROUND(INDEX(Input!$1:$1048576,AL$93,$C569*2+MIN($B570,1)+5)-(Y570-VLOOKUP($C570*1000+1,$A:$HH,Y$92,FALSE))/36,0)</f>
        <v>3406</v>
      </c>
      <c r="AM570" s="32" t="str">
        <f t="shared" si="1544"/>
        <v>std/std/std/std</v>
      </c>
      <c r="AN570" s="32" t="str">
        <f t="shared" si="1545"/>
        <v>$1500 + 0/0/0/2.8/3.9</v>
      </c>
      <c r="AO570" s="32" t="str">
        <f t="shared" si="1546"/>
        <v>0/0/0/2.8/3.9</v>
      </c>
      <c r="AP570" s="32" t="str">
        <f t="shared" si="1526"/>
        <v>0/1.8/2.8/3.9</v>
      </c>
      <c r="AQ570" s="536">
        <f t="shared" si="1525"/>
        <v>0.3907237149415439</v>
      </c>
      <c r="AR570" s="32"/>
      <c r="AS570" s="302"/>
      <c r="AT570" s="3">
        <f t="shared" si="1629"/>
        <v>70</v>
      </c>
      <c r="AU570" s="41" t="s">
        <v>121</v>
      </c>
      <c r="AV570" s="41" t="s">
        <v>116</v>
      </c>
      <c r="AW570" s="41" t="str">
        <f>INDEX(Input!$1:$1048576,AW$93,$C570*2+6)</f>
        <v>Kia</v>
      </c>
      <c r="AX570" s="41" t="str">
        <f>INDEX(Input!$1:$1048576,AX$93,$C570*2+6)</f>
        <v>Kia-LR - R2</v>
      </c>
      <c r="AY570" s="41" t="str">
        <f>IF(LEN(D570)=0,"",INDEX(Input!$1:$1048576,AY$93,$C570*2+6))</f>
        <v>Compact SUV (52)</v>
      </c>
      <c r="AZ570" s="41" t="str">
        <f>INDEX(Input!$1:$1048576,AZ$93,$C570*2+6)</f>
        <v>Kia Soul</v>
      </c>
      <c r="BA570" s="3">
        <f>INDEX(Input!$1:$1048576,BA$93,$C570*2+6)</f>
        <v>2020</v>
      </c>
      <c r="BB570" s="128">
        <f>INDEX(Input!$1:$1048576,BB$93,$C570*2+6)</f>
        <v>1</v>
      </c>
      <c r="BC570" s="128">
        <f>INDEX(Input!$1:$1048576,BC$93,$C570*2+6)</f>
        <v>0.7</v>
      </c>
      <c r="BD570" s="1">
        <f>INDEX(Input!$1:$1048576,BD$93,$C570*2+6)</f>
        <v>4.4999999999999998E-2</v>
      </c>
      <c r="BE570" s="1">
        <f>INDEX(Input!$1:$1048576,BE$93,$C570*2+6)</f>
        <v>4.4999999999999998E-2</v>
      </c>
      <c r="BF570" s="1">
        <f>INDEX(Input!$1:$1048576,BF$93,$C570*2+6)</f>
        <v>0.05</v>
      </c>
      <c r="BG570" s="1">
        <f>INDEX(Input!$1:$1048576,BG$93,$C570*2+6)</f>
        <v>5.45E-2</v>
      </c>
      <c r="BH570" s="1">
        <f>INDEX(Input!$1:$1048576,BH$93,$C570*2+6)</f>
        <v>5.45E-2</v>
      </c>
      <c r="BI570" s="1">
        <f>INDEX(Input!$1:$1048576,BI$93,$C570*2+6)</f>
        <v>0.05</v>
      </c>
      <c r="BJ570" s="1">
        <f>INDEX(Input!$1:$1048576,BJ$93,$C570*2+6)</f>
        <v>0.05</v>
      </c>
      <c r="BK570" s="1">
        <f>INDEX(Input!$1:$1048576,BK$93,$C570*2+6)</f>
        <v>0.05</v>
      </c>
      <c r="BL570" s="1">
        <f>INDEX(Input!$1:$1048576,BL$93,$C570*2+6)</f>
        <v>5.5E-2</v>
      </c>
      <c r="BM570" s="1">
        <f>INDEX(Input!$1:$1048576,BM$93,$C570*2+6)</f>
        <v>0.06</v>
      </c>
      <c r="BN570" s="1">
        <f>INDEX(Input!$1:$1048576,BN$93,$C570*2+6)</f>
        <v>4.4999999999999998E-2</v>
      </c>
      <c r="BO570" s="1">
        <f>INDEX(Input!$1:$1048576,BO$93,$C570*2+6)</f>
        <v>4.4999999999999998E-2</v>
      </c>
      <c r="BP570" s="1">
        <f>INDEX(Input!$1:$1048576,BP$93,$C570*2+6)</f>
        <v>0.05</v>
      </c>
      <c r="BQ570" s="1">
        <f>INDEX(Input!$1:$1048576,BQ$93,$C570*2+6)</f>
        <v>5.45E-2</v>
      </c>
      <c r="BR570" s="1">
        <f>INDEX(Input!$1:$1048576,BR$93,$C570*2+6)</f>
        <v>5.45E-2</v>
      </c>
      <c r="BS570" s="1">
        <f>INDEX(Input!$1:$1048576,BS$93,$C570*2+6)</f>
        <v>0.05</v>
      </c>
      <c r="BT570" s="1">
        <f>INDEX(Input!$1:$1048576,BT$93,$C570*2+6)</f>
        <v>0.05</v>
      </c>
      <c r="BU570" s="1">
        <f>INDEX(Input!$1:$1048576,BU$93,$C570*2+6)</f>
        <v>0.05</v>
      </c>
      <c r="BV570" s="1">
        <f>INDEX(Input!$1:$1048576,BV$93,$C570*2+6)</f>
        <v>5.5E-2</v>
      </c>
      <c r="BW570" s="1">
        <f>INDEX(Input!$1:$1048576,BW$93,$C570*2+6)</f>
        <v>0.06</v>
      </c>
      <c r="BX570" s="127">
        <f>INDEX(Input!$1:$1048576,BX$93,$C570*2+6)</f>
        <v>19985</v>
      </c>
      <c r="BY570" s="20">
        <f>INDEX(Input!$1:$1048576,BY$93,$C570*2+6)</f>
        <v>0.1</v>
      </c>
      <c r="BZ570" s="20">
        <f>INDEX(Input!$1:$1048576,BZ$93,$C570*2+6)</f>
        <v>0.1</v>
      </c>
      <c r="CA570" s="20">
        <f>INDEX(Input!$1:$1048576,CA$93,$C570*2+6)</f>
        <v>0.1</v>
      </c>
      <c r="CB570" s="20">
        <f>INDEX(Input!$1:$1048576,CB$93,$C570*2+6)</f>
        <v>0.1</v>
      </c>
      <c r="CC570" s="20">
        <f>INDEX(Input!$1:$1048576,CC$93,$C570*2+6)</f>
        <v>0.1</v>
      </c>
      <c r="CD570" s="384">
        <f>INDEX(Input!$1:$1048576,CD$93,$C570*2+6)</f>
        <v>0.1</v>
      </c>
      <c r="CE570" s="384">
        <f>INDEX(Input!$1:$1048576,CE$93,$C570*2+6)</f>
        <v>0.1</v>
      </c>
      <c r="CF570" s="384">
        <f>INDEX(Input!$1:$1048576,CF$93,$C570*2+6)</f>
        <v>0.1</v>
      </c>
      <c r="CG570" s="384">
        <f>INDEX(Input!$1:$1048576,CG$93,$C570*2+6)</f>
        <v>0.1</v>
      </c>
      <c r="CH570" s="384">
        <f>INDEX(Input!$1:$1048576,CH$93,$C570*2+6)</f>
        <v>0.1</v>
      </c>
      <c r="CI570" s="304">
        <f t="shared" si="1527"/>
        <v>2027.4263093788063</v>
      </c>
      <c r="CJ570" s="16" t="str">
        <f>INDEX(Input!$1:$1048576,CJ$93,$C570*2+6)</f>
        <v>N</v>
      </c>
      <c r="CK570" s="1" t="str">
        <f t="shared" si="1528"/>
        <v>Market</v>
      </c>
      <c r="CL570" s="1" t="str">
        <f t="shared" si="1529"/>
        <v>Market</v>
      </c>
      <c r="CM570" s="1" t="str">
        <f t="shared" si="1530"/>
        <v>Market</v>
      </c>
      <c r="CN570" s="1" t="str">
        <f t="shared" si="1531"/>
        <v>Market</v>
      </c>
      <c r="CO570" s="1" t="str">
        <f t="shared" si="1532"/>
        <v>Market</v>
      </c>
      <c r="CP570" s="304">
        <f t="shared" si="1533"/>
        <v>2000</v>
      </c>
      <c r="CQ570" s="1">
        <f t="shared" si="1534"/>
        <v>0</v>
      </c>
      <c r="CR570" s="1">
        <f t="shared" si="1535"/>
        <v>0</v>
      </c>
      <c r="CS570" s="1">
        <f t="shared" si="1536"/>
        <v>0</v>
      </c>
      <c r="CT570" s="1">
        <f t="shared" si="1537"/>
        <v>2.7999999999999997E-2</v>
      </c>
      <c r="CU570" s="1">
        <f t="shared" si="1538"/>
        <v>3.9E-2</v>
      </c>
      <c r="CV570" s="304">
        <f t="shared" si="1539"/>
        <v>-717.93641739252325</v>
      </c>
      <c r="CW570" s="20" t="s">
        <v>122</v>
      </c>
      <c r="CX570" s="20" t="s">
        <v>122</v>
      </c>
      <c r="CY570" s="20" t="s">
        <v>122</v>
      </c>
      <c r="CZ570" s="20" t="s">
        <v>122</v>
      </c>
      <c r="DA570" s="20" t="s">
        <v>122</v>
      </c>
      <c r="DB570" s="503">
        <f t="shared" si="1540"/>
        <v>0</v>
      </c>
      <c r="DC570" s="127">
        <v>0</v>
      </c>
      <c r="DD570" s="127">
        <v>0</v>
      </c>
      <c r="DE570" s="127">
        <v>0</v>
      </c>
      <c r="DF570" s="127">
        <v>0</v>
      </c>
      <c r="DG570" s="127">
        <v>0</v>
      </c>
      <c r="DH570" s="127">
        <v>0</v>
      </c>
      <c r="DI570" s="127">
        <v>0</v>
      </c>
      <c r="DJ570" s="127">
        <v>0</v>
      </c>
      <c r="DK570" s="127">
        <v>0</v>
      </c>
      <c r="DL570" s="127">
        <v>0</v>
      </c>
      <c r="DM570" s="304">
        <f>INDEX(Input!$1:$1048576,DM$93,$C570*2+6)</f>
        <v>21036.84210526316</v>
      </c>
      <c r="DN570" s="20">
        <v>0</v>
      </c>
      <c r="DO570" s="20">
        <v>0</v>
      </c>
      <c r="DP570" s="20">
        <v>0</v>
      </c>
      <c r="DQ570" s="20">
        <v>0</v>
      </c>
      <c r="DR570" s="20">
        <v>0</v>
      </c>
      <c r="DS570" s="20">
        <f>INDEX(Input!$1:$1048576,DS$93,$C570*2+6)</f>
        <v>0.6</v>
      </c>
      <c r="DT570" s="20">
        <f>INDEX(Input!$1:$1048576,DT$93,$C570*2+6)</f>
        <v>0.55000000000000004</v>
      </c>
      <c r="DU570" s="20">
        <f>INDEX(Input!$1:$1048576,DU$93,$C570*2+6)</f>
        <v>0.52</v>
      </c>
      <c r="DV570" s="20">
        <f>INDEX(Input!$1:$1048576,DV$93,$C570*2+6)</f>
        <v>0.5</v>
      </c>
      <c r="DW570" s="20">
        <f>INDEX(Input!$1:$1048576,DW$93,$C570*2+6)</f>
        <v>0.45</v>
      </c>
      <c r="DX570" s="20"/>
      <c r="DY570" s="7">
        <v>0.12942535693874341</v>
      </c>
      <c r="DZ570" s="7">
        <v>0</v>
      </c>
      <c r="EA570" s="7">
        <v>0.72928129527050933</v>
      </c>
      <c r="EB570" s="7">
        <v>0</v>
      </c>
      <c r="EC570" s="7">
        <v>0</v>
      </c>
      <c r="ED570" s="7">
        <v>0</v>
      </c>
      <c r="EE570" s="7">
        <v>0</v>
      </c>
      <c r="EF570" s="7">
        <v>0</v>
      </c>
      <c r="EG570" s="7">
        <v>0</v>
      </c>
      <c r="EH570" s="7">
        <v>1.4620105006839849E-2</v>
      </c>
      <c r="EI570" s="7">
        <v>4.0658087965779348E-2</v>
      </c>
      <c r="EJ570" s="7">
        <v>0.35330861482017994</v>
      </c>
      <c r="EK570" s="7">
        <v>0.44019364518348481</v>
      </c>
      <c r="EL570" s="7">
        <v>0.15121954702371618</v>
      </c>
      <c r="EM570" s="7">
        <v>9.4346423618791905E-2</v>
      </c>
      <c r="EN570" s="7">
        <v>5.8482031121212329E-2</v>
      </c>
      <c r="EO570" s="7">
        <v>0.71695168535291121</v>
      </c>
      <c r="EP570" s="7">
        <v>8.9870473548981103E-2</v>
      </c>
      <c r="EQ570" s="7">
        <v>8.8440506831301793E-2</v>
      </c>
      <c r="ER570" s="7">
        <v>4.6255303145592855E-2</v>
      </c>
      <c r="ES570" s="7">
        <v>4.6946924171955326E-2</v>
      </c>
      <c r="ET570" s="7">
        <v>0.14129334779074723</v>
      </c>
      <c r="EU570" s="6">
        <v>2020</v>
      </c>
      <c r="EV570" s="6">
        <v>0</v>
      </c>
      <c r="EW570" s="6">
        <v>2020</v>
      </c>
      <c r="EX570" s="6">
        <v>0</v>
      </c>
      <c r="EY570" s="6">
        <v>3317.1487043502034</v>
      </c>
      <c r="EZ570" s="6">
        <v>-6.4499039401316622</v>
      </c>
      <c r="FA570" s="6">
        <v>0</v>
      </c>
      <c r="FB570" s="6">
        <v>0</v>
      </c>
      <c r="FC570" s="6">
        <v>0</v>
      </c>
      <c r="FD570" s="6">
        <v>0</v>
      </c>
      <c r="FE570" s="6">
        <v>0</v>
      </c>
      <c r="FF570" s="6">
        <v>0</v>
      </c>
      <c r="FG570" s="6">
        <v>0</v>
      </c>
      <c r="FH570" s="6">
        <v>1172.1457843301598</v>
      </c>
      <c r="FI570" s="6">
        <v>1553.9796069512402</v>
      </c>
      <c r="FJ570" s="6">
        <v>2101.211011744741</v>
      </c>
      <c r="FK570" s="6">
        <v>1334.1543630076696</v>
      </c>
      <c r="FL570" s="6">
        <v>907.07682140966335</v>
      </c>
      <c r="FM570" s="6">
        <v>1547.1487043502034</v>
      </c>
      <c r="FN570" s="6">
        <v>0</v>
      </c>
      <c r="FO570" s="6">
        <v>0</v>
      </c>
      <c r="FP570" s="6">
        <v>0</v>
      </c>
      <c r="FQ570" s="6">
        <v>0</v>
      </c>
      <c r="FR570" s="6">
        <v>0</v>
      </c>
      <c r="FS570" s="6">
        <v>0</v>
      </c>
      <c r="FT570" s="7">
        <v>0.8587066522092528</v>
      </c>
      <c r="FU570" s="7">
        <v>9.4346423618791905E-2</v>
      </c>
      <c r="FV570" s="7">
        <v>4.6946924171955326E-2</v>
      </c>
      <c r="FW570" s="6">
        <v>2020</v>
      </c>
      <c r="FX570" s="6">
        <v>3317.1487043502038</v>
      </c>
      <c r="FY570" s="6">
        <v>-6.4499039401316622</v>
      </c>
      <c r="FZ570" s="6">
        <v>1758.1538569113241</v>
      </c>
      <c r="GA570" s="6">
        <v>2047.2457511786479</v>
      </c>
      <c r="GB570" s="6">
        <v>17937.754248821351</v>
      </c>
      <c r="GC570" s="7">
        <v>3.064145122680037E-2</v>
      </c>
      <c r="GD570" s="7">
        <v>3.2042099963344894E-2</v>
      </c>
      <c r="GE570" s="7"/>
      <c r="GF570" s="7"/>
      <c r="GG570" s="7">
        <v>4.5710913826413506E-2</v>
      </c>
      <c r="GH570" s="42">
        <v>3.160007703211936</v>
      </c>
      <c r="GI570" s="6">
        <v>8371.5974227541865</v>
      </c>
      <c r="GJ570" s="14">
        <v>0.50394797582841755</v>
      </c>
      <c r="GK570" s="14">
        <v>0.50887573065309744</v>
      </c>
      <c r="GL570" s="14">
        <v>0.49605202417158295</v>
      </c>
      <c r="GM570" s="14">
        <v>0.49112426934690273</v>
      </c>
      <c r="GO570" s="5">
        <v>343.14810671672558</v>
      </c>
      <c r="GP570" s="5">
        <v>304.61036031982871</v>
      </c>
      <c r="GQ570" s="5">
        <v>535.04305713031317</v>
      </c>
      <c r="GR570" s="5">
        <v>410.15490233172511</v>
      </c>
      <c r="GS570" s="5">
        <v>339.42744393800166</v>
      </c>
      <c r="GT570" s="5">
        <v>293.4407446948278</v>
      </c>
      <c r="GU570" s="5">
        <v>258.04012322764959</v>
      </c>
      <c r="GV570" s="39" t="s">
        <v>392</v>
      </c>
      <c r="GW570" s="5">
        <v>450.45833333333331</v>
      </c>
      <c r="GX570" s="5">
        <v>337.84375</v>
      </c>
      <c r="GY570" s="5">
        <v>270.27499999999998</v>
      </c>
      <c r="GZ570" s="5">
        <v>244.93995573731721</v>
      </c>
      <c r="HA570" s="5">
        <v>220.91451012583786</v>
      </c>
      <c r="HB570" s="39">
        <v>257.03991903053873</v>
      </c>
      <c r="HC570" s="5">
        <v>287.56655829738071</v>
      </c>
      <c r="HD570" s="5">
        <v>239.99799238008356</v>
      </c>
      <c r="HE570" s="5">
        <v>241.14168635502031</v>
      </c>
      <c r="HF570" s="5">
        <v>221.05790951107167</v>
      </c>
      <c r="HG570" s="5">
        <v>210.75500473779988</v>
      </c>
      <c r="HH570" s="39">
        <v>239.85496926493391</v>
      </c>
      <c r="HI570" s="16"/>
      <c r="HJ570" s="19" t="str">
        <f t="shared" ref="HJ570" si="1633">HJ569</f>
        <v>On</v>
      </c>
      <c r="HK570" s="1" t="str">
        <f t="shared" si="1549"/>
        <v>On</v>
      </c>
      <c r="HL570" s="16"/>
      <c r="HM570" s="639">
        <f t="shared" si="1605"/>
        <v>2.4909940070666322E-2</v>
      </c>
      <c r="HN570" s="639">
        <f t="shared" si="1606"/>
        <v>2.2052381276269151E-3</v>
      </c>
      <c r="HO570" s="639">
        <f t="shared" si="1607"/>
        <v>2.079866082302006E-3</v>
      </c>
      <c r="HP570" s="644">
        <f>(FT570*$GD570-HM570)/$JF570*INDEX(Input!$1:$1048576,$JG$93,$C570*2+6)</f>
        <v>73.250814248694198</v>
      </c>
      <c r="HQ570" s="644">
        <f>(FU570*$GD570-HN570)/$JF570*INDEX(Input!$1:$1048576,$JG$93,$C570*2+6)</f>
        <v>22.998072154281054</v>
      </c>
      <c r="HR570" s="644">
        <f>(FV570*$GD570-HO570)/$JF570*INDEX(Input!$1:$1048576,$JG$93,$C570*2+6)</f>
        <v>-16.186232855603784</v>
      </c>
      <c r="HS570" s="644">
        <f t="shared" si="1598"/>
        <v>-38.140420341635711</v>
      </c>
      <c r="HT570" s="644">
        <f t="shared" si="1608"/>
        <v>75.405828539029116</v>
      </c>
      <c r="HU570" s="644">
        <f t="shared" si="1609"/>
        <v>3.7964621330127555</v>
      </c>
      <c r="HV570" s="648">
        <f t="shared" si="1610"/>
        <v>0</v>
      </c>
      <c r="HW570" s="648">
        <f t="shared" si="1611"/>
        <v>0</v>
      </c>
      <c r="HX570" s="648">
        <f t="shared" si="1612"/>
        <v>0</v>
      </c>
      <c r="HY570" s="644">
        <f>INDEX(Input!$1:$1048576,HY$93,$C570*2+6)*INDEX(Input!$1:$1048576,$JG$93,$C570*2+6)</f>
        <v>333.00000000000006</v>
      </c>
      <c r="HZ570" s="644">
        <f>INDEX(Input!$1:$1048576,HZ$93,$C570*2+6)*INDEX(Input!$1:$1048576,$JG$93,$C570*2+6)</f>
        <v>429</v>
      </c>
      <c r="IA570" s="644">
        <f>INDEX(Input!$1:$1048576,IA$93,$C570*2+6)*INDEX(Input!$1:$1048576,$JG$93,$C570*2+6)</f>
        <v>59</v>
      </c>
      <c r="IB570" s="644">
        <f t="shared" si="1551"/>
        <v>368.11039390705855</v>
      </c>
      <c r="IC570" s="644">
        <f t="shared" si="1552"/>
        <v>527.40390069331011</v>
      </c>
      <c r="ID570" s="644">
        <f>IF(AND(INDEX(Input!$1:$1048576,IA$93,$C570*2+7)="TOS",Y570&lt;=INDEX(Y:Y,MATCH(C570*1000+2,A:A))),0,1)*MAX(IA570+HR570+HU570+HX570,0%)</f>
        <v>46.610229277408969</v>
      </c>
      <c r="IE570" s="128">
        <f t="shared" si="1599"/>
        <v>0.3907237149415439</v>
      </c>
      <c r="IF570" s="128">
        <f t="shared" si="1600"/>
        <v>0.55980275146911529</v>
      </c>
      <c r="IG570" s="128">
        <f t="shared" si="1555"/>
        <v>4.9473533589340833E-2</v>
      </c>
      <c r="IH570" s="21"/>
      <c r="II570" s="19">
        <f t="shared" si="1613"/>
        <v>1240</v>
      </c>
      <c r="IJ570" s="19">
        <f t="shared" si="1614"/>
        <v>1985.7442651839444</v>
      </c>
      <c r="IK570" s="19">
        <f t="shared" si="1615"/>
        <v>-21.44990394013189</v>
      </c>
      <c r="IL570" s="19">
        <f t="shared" si="1556"/>
        <v>780</v>
      </c>
      <c r="IM570" s="19">
        <f t="shared" si="1557"/>
        <v>1331.4044391662594</v>
      </c>
      <c r="IN570" s="19">
        <f t="shared" si="1558"/>
        <v>15.000000000000227</v>
      </c>
      <c r="IO570" s="39">
        <f t="shared" si="1616"/>
        <v>0</v>
      </c>
      <c r="IP570" s="39">
        <f t="shared" si="1617"/>
        <v>0</v>
      </c>
      <c r="IQ570" s="39">
        <f t="shared" si="1618"/>
        <v>0</v>
      </c>
      <c r="IR570" s="39">
        <v>0</v>
      </c>
      <c r="IS570" s="39">
        <v>0</v>
      </c>
      <c r="IT570" s="39">
        <v>0</v>
      </c>
      <c r="IU570" s="39">
        <v>0</v>
      </c>
      <c r="IV570" s="39">
        <v>0</v>
      </c>
      <c r="IW570" s="39">
        <v>0</v>
      </c>
      <c r="IX570" s="39">
        <f>INDEX(Input!$1:$1048576,IX$93,$C570*2+6)+INDEX(Input!$1:$1048576,IX$94,$C570*2+6)</f>
        <v>1270</v>
      </c>
      <c r="IY570" s="39">
        <f>INDEX(Input!$1:$1048576,IY$93,$C570*2+6)+INDEX(Input!$1:$1048576,IY$94,$C570*2+6)</f>
        <v>2130.0624533823611</v>
      </c>
      <c r="IZ570" s="39">
        <f>INDEX(Input!$1:$1048576,IZ$93,$C570*2+6)+INDEX(Input!$1:$1048576,IZ$94,$C570*2+6)</f>
        <v>3653.7164157747857</v>
      </c>
      <c r="JA570" s="19">
        <f t="shared" si="1559"/>
        <v>2050</v>
      </c>
      <c r="JB570" s="19">
        <f t="shared" si="1560"/>
        <v>3461.4668925486203</v>
      </c>
      <c r="JC570" s="19">
        <f t="shared" si="1561"/>
        <v>3668.7164157747857</v>
      </c>
      <c r="JD570" s="19">
        <f t="shared" si="1562"/>
        <v>2920.2266710237313</v>
      </c>
      <c r="JE570" s="21"/>
      <c r="JF570" s="1">
        <f t="shared" si="1619"/>
        <v>2.9195044280595241E-2</v>
      </c>
      <c r="JG570" s="15">
        <f>INDEX(Input!$1:$1048576,JG$93,$C570*2+6)/(1+VLOOKUP(C570*1000+INDEX(Input!$1:$1048576,JG$93+1,$C570*2+6),$A:$KK,$JK$92,FALSE))</f>
        <v>821</v>
      </c>
      <c r="JH570" s="1">
        <f t="shared" si="1563"/>
        <v>9.7518457426761837E-2</v>
      </c>
      <c r="JI570" s="1">
        <f t="shared" si="1564"/>
        <v>5.0014458380519072E-2</v>
      </c>
      <c r="JJ570" s="1">
        <f t="shared" si="1565"/>
        <v>0</v>
      </c>
      <c r="JK570" s="1">
        <f t="shared" si="1566"/>
        <v>0.1475329158072809</v>
      </c>
      <c r="JL570" s="15">
        <f t="shared" si="1567"/>
        <v>121.12452387777762</v>
      </c>
      <c r="JM570" s="15">
        <f t="shared" si="1568"/>
        <v>942.12452387777762</v>
      </c>
      <c r="JN570" s="21"/>
      <c r="JO570" s="19">
        <f>INDEX(Input!$1:$1048576,JO$93,$C570*2+6)</f>
        <v>5995.5</v>
      </c>
      <c r="JP570" s="19">
        <f>INDEX(Input!$1:$1048576,JP$93,$C570*2+6)</f>
        <v>1890.7138380411029</v>
      </c>
      <c r="JQ570" s="39">
        <f t="shared" si="1569"/>
        <v>3075.2733289762687</v>
      </c>
      <c r="JR570" s="39">
        <f t="shared" si="1570"/>
        <v>1029.5128329826284</v>
      </c>
      <c r="JS570" s="39">
        <f t="shared" si="1571"/>
        <v>2.75121716205342</v>
      </c>
      <c r="JT570" s="39">
        <f t="shared" si="1572"/>
        <v>1.1989411010216746</v>
      </c>
      <c r="JU570" s="385">
        <f>(JQ570*JM570-INDEX(Input!$1:$1048576,Input!A$18,$C570*2+6)*JL570*INDEX(Input!$1:$1048576,Input!A$19,$C570*2+6))/1000000</f>
        <v>2.8972904208557955</v>
      </c>
      <c r="JV570" s="39">
        <f t="shared" si="1573"/>
        <v>-0.47273901811245889</v>
      </c>
      <c r="JW570" s="1">
        <f t="shared" si="1574"/>
        <v>-0.14027741498222326</v>
      </c>
      <c r="JX570" s="19">
        <f t="shared" si="1575"/>
        <v>9898.4174520387205</v>
      </c>
      <c r="JZ570" s="341"/>
      <c r="KA570" s="342"/>
      <c r="KB570" s="469">
        <f t="shared" si="1576"/>
        <v>2.5122967434604799</v>
      </c>
      <c r="KI570" s="473">
        <f t="shared" si="1601"/>
        <v>35.110393907058494</v>
      </c>
      <c r="KJ570" s="473">
        <f t="shared" si="1602"/>
        <v>98.403900693310106</v>
      </c>
      <c r="KK570" s="473">
        <f t="shared" si="1579"/>
        <v>-12.389770722591031</v>
      </c>
      <c r="KN570" s="544">
        <f t="shared" si="1580"/>
        <v>5002</v>
      </c>
      <c r="KO570" s="541">
        <f t="shared" si="1620"/>
        <v>0.14287952347715693</v>
      </c>
      <c r="KP570" s="546">
        <f t="shared" si="1621"/>
        <v>1021.5717474611661</v>
      </c>
      <c r="KQ570" s="546">
        <f t="shared" si="1622"/>
        <v>1001.3079053004649</v>
      </c>
      <c r="KR570" s="548">
        <f t="shared" si="1623"/>
        <v>2.5267663130544742</v>
      </c>
      <c r="KS570" s="548">
        <f t="shared" si="1624"/>
        <v>2.5779014269127321</v>
      </c>
      <c r="KT570" s="473">
        <f t="shared" si="1581"/>
        <v>595.94378802984284</v>
      </c>
      <c r="KU570" s="663">
        <f t="shared" si="1626"/>
        <v>3.9755098704634784</v>
      </c>
    </row>
    <row r="571" spans="1:308" s="26" customFormat="1" ht="15" outlineLevel="1">
      <c r="A571" s="561">
        <f t="shared" si="1541"/>
        <v>5071</v>
      </c>
      <c r="B571" s="561">
        <f t="shared" si="1627"/>
        <v>71</v>
      </c>
      <c r="C571" s="561">
        <f t="shared" si="1628"/>
        <v>5</v>
      </c>
      <c r="D571" s="561" t="str">
        <f t="shared" si="1509"/>
        <v xml:space="preserve">1000 CC, 0/1.8/2.8/3.9, 2000 Combo, </v>
      </c>
      <c r="E571" s="475">
        <f>INDEX(Input!$1:$1048576,E$93,$C571*2+MIN($B571,2)+5)
+INDEX(Scenarios!E$121:E$200,MATCH($B571,Scenarios!$B$121:$B$200,0))</f>
        <v>2277.4263093788063</v>
      </c>
      <c r="F571" s="475">
        <f>INDEX(Input!$1:$1048576,F$93,$C571*2+MIN($B571,2)+5)
+INDEX(Scenarios!F$121:F$200,MATCH($B571,Scenarios!$B$121:$B$200,0))</f>
        <v>0</v>
      </c>
      <c r="G571" s="475">
        <f>INDEX(Input!$1:$1048576,G$93,$C571*2+MIN($B571,2)+5)
+INDEX(Scenarios!G$121:G$200,MATCH($B571,Scenarios!$B$121:$B$200,0))</f>
        <v>0</v>
      </c>
      <c r="H571" s="475">
        <f>INDEX(Input!$1:$1048576,H$93,$C571*2+MIN($B571,2)+5)
+INDEX(Scenarios!H$121:H$200,MATCH($B571,Scenarios!$B$121:$B$200,0))</f>
        <v>0</v>
      </c>
      <c r="I571" s="476">
        <f>INDEX(Input!$1:$1048576,I$93,$C571*2+MIN($B571,2)+5)</f>
        <v>0.7</v>
      </c>
      <c r="J571" s="476" t="str">
        <f>INDEX(Input!$1:$1048576,J$93,$C571*2+MIN($B571,2)+5)</f>
        <v>Market</v>
      </c>
      <c r="K571" s="476" t="str">
        <f>INDEX(Input!$1:$1048576,K$93,$C571*2+MIN($B571,2)+5)</f>
        <v>Market</v>
      </c>
      <c r="L571" s="476" t="str">
        <f>INDEX(Input!$1:$1048576,L$93,$C571*2+MIN($B571,2)+5)</f>
        <v>Market</v>
      </c>
      <c r="M571" s="476" t="str">
        <f>INDEX(Input!$1:$1048576,M$93,$C571*2+MIN($B571,2)+5)</f>
        <v>Market</v>
      </c>
      <c r="N571" s="476" t="str">
        <f>INDEX(Input!$1:$1048576,N$93,$C571*2+MIN($B571,2)+5)</f>
        <v>Market</v>
      </c>
      <c r="O571" s="476" t="str">
        <f>INDEX(Input!$1:$1048576,O$93,$C571*2+MIN($B571,2)+5)</f>
        <v>Market</v>
      </c>
      <c r="P571" s="476" t="str">
        <f>INDEX(Input!$1:$1048576,P$93,$C571*2+MIN($B571,2)+5)</f>
        <v>N</v>
      </c>
      <c r="Q571" s="477">
        <f>INDEX(Input!$1:$1048576,Q$93,$C571*2+MIN($B571,2)+5)
+INDEX(Scenarios!Q$121:Q$200,MATCH($B571,Scenarios!$B$121:$B$200,0))</f>
        <v>2000</v>
      </c>
      <c r="R571" s="478">
        <f>IFERROR(MAX(0,INDEX(Input!$1:$1048576,R$93,$C571*2+MIN($B571,2)+5)
+INDEX(Scenarios!R$121:R$200,MATCH($B571,Scenarios!$B$121:$B$200,0)),),"Market")</f>
        <v>0</v>
      </c>
      <c r="S571" s="478">
        <f>IFERROR(MAX(0,INDEX(Input!$1:$1048576,S$93,$C571*2+MIN($B571,2)+5)
+INDEX(Scenarios!S$121:S$200,MATCH($B571,Scenarios!$B$121:$B$200,0)),),"Market")</f>
        <v>0</v>
      </c>
      <c r="T571" s="478">
        <f>IFERROR(MAX(0,INDEX(Input!$1:$1048576,T$93,$C571*2+MIN($B571,2)+5)
+INDEX(Scenarios!T$121:T$200,MATCH($B571,Scenarios!$B$121:$B$200,0)),),"Market")</f>
        <v>0</v>
      </c>
      <c r="U571" s="478">
        <f>IFERROR(MAX(0,INDEX(Input!$1:$1048576,U$93,$C571*2+MIN($B571,2)+5)
+INDEX(Scenarios!U$121:U$200,MATCH($B571,Scenarios!$B$121:$B$200,0)),),"Market")</f>
        <v>0</v>
      </c>
      <c r="V571" s="478">
        <f>IFERROR(MAX(0,INDEX(Input!$1:$1048576,V$93,$C571*2+MIN($B571,2)+5)
+INDEX(Scenarios!V$121:V$200,MATCH($B571,Scenarios!$B$121:$B$200,0)),),"Market")</f>
        <v>2.7999999999999997E-2</v>
      </c>
      <c r="W571" s="885">
        <f>IFERROR(MAX(0,INDEX(Input!$1:$1048576,W$93,$C571*2+MIN($B571,2)+5)-0%,),"Market")</f>
        <v>3.9E-2</v>
      </c>
      <c r="X571" s="476" t="str">
        <f>INDEX(Input!$1:$1048576,X$93,$C571*2+MIN($B571,2)+5)</f>
        <v>Y</v>
      </c>
      <c r="Y571" s="475">
        <f>INDEX(Input!$1:$1048576,Y$93,$C571*2+MIN($B571,2)+5)
++INDEX(Scenarios!Y$121:Y$200,MATCH($B571,Scenarios!$B$121:$B$200,0))</f>
        <v>-717.93641739252325</v>
      </c>
      <c r="Z571" s="477">
        <f>INDEX(Input!$1:$1048576,Z$93,$C571*2+MIN($B571,2)+5)
+INDEX(Scenarios!Z$121:Z$200,MATCH($B571,Scenarios!$B$121:$B$200,0))</f>
        <v>0</v>
      </c>
      <c r="AA571" s="475">
        <f>INDEX(Input!$1:$1048576,AA$93,$C571*2+MIN($B571,2)+5)
+INDEX(Scenarios!AA$121:AA$200,MATCH($B571,Scenarios!$B$121:$B$200,0))</f>
        <v>0</v>
      </c>
      <c r="AB571" s="476">
        <f>INDEX(Input!$1:$1048576,AB$93,$C571*2+MIN($B571,2)+5)</f>
        <v>0.27</v>
      </c>
      <c r="AC571" s="475">
        <f>INDEX(Input!$1:$1048576,AC$93,$C571*2+MIN($B571,2)+5)
+INDEX(Scenarios!AC$121:AC$200,MATCH($B571,Scenarios!$B$121:$B$200,0))</f>
        <v>0</v>
      </c>
      <c r="AD571" s="476">
        <f>INDEX(Input!$1:$1048576,AD$93,$C571*2+MIN($B571,2)+5)</f>
        <v>0.27</v>
      </c>
      <c r="AE571" s="475">
        <f>INDEX(Input!$1:$1048576,AE$93,$C571*2+MIN($B571,2)+5)
+INDEX(Scenarios!AE$121:AE$200,MATCH($B571,Scenarios!$B$121:$B$200,0))</f>
        <v>0</v>
      </c>
      <c r="AF571" s="476">
        <f>INDEX(Input!$1:$1048576,AF$93,$C571*2+MIN($B571,2)+5)</f>
        <v>0.2</v>
      </c>
      <c r="AG571" s="475">
        <f>INDEX(Input!$1:$1048576,AG$93,$C571*2+MIN($B571,2)+5)
+INDEX(Scenarios!AG$121:AG$200,MATCH($B571,Scenarios!$B$121:$B$200,0))</f>
        <v>500</v>
      </c>
      <c r="AH571" s="476">
        <f>INDEX(Input!$1:$1048576,AH$93,$C571*2+MIN($B571,2)+5)</f>
        <v>1</v>
      </c>
      <c r="AI571" s="475">
        <f>INDEX(Input!$1:$1048576,AI$93,$C571*2+MIN($B571,2)+5)
+INDEX(Scenarios!AI$121:AI$200,MATCH($B571,Scenarios!$B$121:$B$200,0))</f>
        <v>0</v>
      </c>
      <c r="AJ571" s="476">
        <f>INDEX(Input!$1:$1048576,AJ$93,$C571*2+MIN($B571,2)+5)</f>
        <v>0.27</v>
      </c>
      <c r="AK571" s="150">
        <f>ROUND(INDEX(Input!$1:$1048576,AK$93,$C570*2+MIN($B571,1)+5)+(Y571-VLOOKUP($C571*1000+1,$A:$HH,Y$92,FALSE)),0)</f>
        <v>2587</v>
      </c>
      <c r="AL571" s="150">
        <f>ROUND(INDEX(Input!$1:$1048576,AL$93,$C570*2+MIN($B571,1)+5)-(Y571-VLOOKUP($C571*1000+1,$A:$HH,Y$92,FALSE))/36,0)</f>
        <v>3406</v>
      </c>
      <c r="AM571" s="32" t="str">
        <f t="shared" si="1544"/>
        <v>std/std/std/std</v>
      </c>
      <c r="AN571" s="32" t="str">
        <f t="shared" si="1545"/>
        <v>$2000 + 0/0/0/2.8/3.9</v>
      </c>
      <c r="AO571" s="32" t="str">
        <f t="shared" si="1546"/>
        <v>0/0/0/2.8/3.9</v>
      </c>
      <c r="AP571" s="32" t="str">
        <f t="shared" si="1526"/>
        <v>0/1.8/2.8/3.9</v>
      </c>
      <c r="AQ571" s="536">
        <f t="shared" si="1525"/>
        <v>0.37910863622775237</v>
      </c>
      <c r="AR571" s="32"/>
      <c r="AS571" s="302"/>
      <c r="AT571" s="3">
        <f t="shared" si="1629"/>
        <v>71</v>
      </c>
      <c r="AU571" s="41" t="s">
        <v>121</v>
      </c>
      <c r="AV571" s="41" t="s">
        <v>116</v>
      </c>
      <c r="AW571" s="41" t="str">
        <f>INDEX(Input!$1:$1048576,AW$93,$C571*2+6)</f>
        <v>Kia</v>
      </c>
      <c r="AX571" s="41" t="str">
        <f>INDEX(Input!$1:$1048576,AX$93,$C571*2+6)</f>
        <v>Kia-LR - R2</v>
      </c>
      <c r="AY571" s="41" t="str">
        <f>IF(LEN(D571)=0,"",INDEX(Input!$1:$1048576,AY$93,$C571*2+6))</f>
        <v>Compact SUV (52)</v>
      </c>
      <c r="AZ571" s="41" t="str">
        <f>INDEX(Input!$1:$1048576,AZ$93,$C571*2+6)</f>
        <v>Kia Soul</v>
      </c>
      <c r="BA571" s="3">
        <f>INDEX(Input!$1:$1048576,BA$93,$C571*2+6)</f>
        <v>2020</v>
      </c>
      <c r="BB571" s="128">
        <f>INDEX(Input!$1:$1048576,BB$93,$C571*2+6)</f>
        <v>1</v>
      </c>
      <c r="BC571" s="128">
        <f>INDEX(Input!$1:$1048576,BC$93,$C571*2+6)</f>
        <v>0.7</v>
      </c>
      <c r="BD571" s="1">
        <f>INDEX(Input!$1:$1048576,BD$93,$C571*2+6)</f>
        <v>4.4999999999999998E-2</v>
      </c>
      <c r="BE571" s="1">
        <f>INDEX(Input!$1:$1048576,BE$93,$C571*2+6)</f>
        <v>4.4999999999999998E-2</v>
      </c>
      <c r="BF571" s="1">
        <f>INDEX(Input!$1:$1048576,BF$93,$C571*2+6)</f>
        <v>0.05</v>
      </c>
      <c r="BG571" s="1">
        <f>INDEX(Input!$1:$1048576,BG$93,$C571*2+6)</f>
        <v>5.45E-2</v>
      </c>
      <c r="BH571" s="1">
        <f>INDEX(Input!$1:$1048576,BH$93,$C571*2+6)</f>
        <v>5.45E-2</v>
      </c>
      <c r="BI571" s="1">
        <f>INDEX(Input!$1:$1048576,BI$93,$C571*2+6)</f>
        <v>0.05</v>
      </c>
      <c r="BJ571" s="1">
        <f>INDEX(Input!$1:$1048576,BJ$93,$C571*2+6)</f>
        <v>0.05</v>
      </c>
      <c r="BK571" s="1">
        <f>INDEX(Input!$1:$1048576,BK$93,$C571*2+6)</f>
        <v>0.05</v>
      </c>
      <c r="BL571" s="1">
        <f>INDEX(Input!$1:$1048576,BL$93,$C571*2+6)</f>
        <v>5.5E-2</v>
      </c>
      <c r="BM571" s="1">
        <f>INDEX(Input!$1:$1048576,BM$93,$C571*2+6)</f>
        <v>0.06</v>
      </c>
      <c r="BN571" s="1">
        <f>INDEX(Input!$1:$1048576,BN$93,$C571*2+6)</f>
        <v>4.4999999999999998E-2</v>
      </c>
      <c r="BO571" s="1">
        <f>INDEX(Input!$1:$1048576,BO$93,$C571*2+6)</f>
        <v>4.4999999999999998E-2</v>
      </c>
      <c r="BP571" s="1">
        <f>INDEX(Input!$1:$1048576,BP$93,$C571*2+6)</f>
        <v>0.05</v>
      </c>
      <c r="BQ571" s="1">
        <f>INDEX(Input!$1:$1048576,BQ$93,$C571*2+6)</f>
        <v>5.45E-2</v>
      </c>
      <c r="BR571" s="1">
        <f>INDEX(Input!$1:$1048576,BR$93,$C571*2+6)</f>
        <v>5.45E-2</v>
      </c>
      <c r="BS571" s="1">
        <f>INDEX(Input!$1:$1048576,BS$93,$C571*2+6)</f>
        <v>0.05</v>
      </c>
      <c r="BT571" s="1">
        <f>INDEX(Input!$1:$1048576,BT$93,$C571*2+6)</f>
        <v>0.05</v>
      </c>
      <c r="BU571" s="1">
        <f>INDEX(Input!$1:$1048576,BU$93,$C571*2+6)</f>
        <v>0.05</v>
      </c>
      <c r="BV571" s="1">
        <f>INDEX(Input!$1:$1048576,BV$93,$C571*2+6)</f>
        <v>5.5E-2</v>
      </c>
      <c r="BW571" s="1">
        <f>INDEX(Input!$1:$1048576,BW$93,$C571*2+6)</f>
        <v>0.06</v>
      </c>
      <c r="BX571" s="127">
        <f>INDEX(Input!$1:$1048576,BX$93,$C571*2+6)</f>
        <v>19985</v>
      </c>
      <c r="BY571" s="20">
        <f>INDEX(Input!$1:$1048576,BY$93,$C571*2+6)</f>
        <v>0.1</v>
      </c>
      <c r="BZ571" s="20">
        <f>INDEX(Input!$1:$1048576,BZ$93,$C571*2+6)</f>
        <v>0.1</v>
      </c>
      <c r="CA571" s="20">
        <f>INDEX(Input!$1:$1048576,CA$93,$C571*2+6)</f>
        <v>0.1</v>
      </c>
      <c r="CB571" s="20">
        <f>INDEX(Input!$1:$1048576,CB$93,$C571*2+6)</f>
        <v>0.1</v>
      </c>
      <c r="CC571" s="20">
        <f>INDEX(Input!$1:$1048576,CC$93,$C571*2+6)</f>
        <v>0.1</v>
      </c>
      <c r="CD571" s="384">
        <f>INDEX(Input!$1:$1048576,CD$93,$C571*2+6)</f>
        <v>0.1</v>
      </c>
      <c r="CE571" s="384">
        <f>INDEX(Input!$1:$1048576,CE$93,$C571*2+6)</f>
        <v>0.1</v>
      </c>
      <c r="CF571" s="384">
        <f>INDEX(Input!$1:$1048576,CF$93,$C571*2+6)</f>
        <v>0.1</v>
      </c>
      <c r="CG571" s="384">
        <f>INDEX(Input!$1:$1048576,CG$93,$C571*2+6)</f>
        <v>0.1</v>
      </c>
      <c r="CH571" s="384">
        <f>INDEX(Input!$1:$1048576,CH$93,$C571*2+6)</f>
        <v>0.1</v>
      </c>
      <c r="CI571" s="304">
        <f t="shared" si="1527"/>
        <v>2277.4263093788063</v>
      </c>
      <c r="CJ571" s="16" t="str">
        <f>INDEX(Input!$1:$1048576,CJ$93,$C571*2+6)</f>
        <v>N</v>
      </c>
      <c r="CK571" s="1" t="str">
        <f t="shared" si="1528"/>
        <v>Market</v>
      </c>
      <c r="CL571" s="1" t="str">
        <f t="shared" si="1529"/>
        <v>Market</v>
      </c>
      <c r="CM571" s="1" t="str">
        <f t="shared" si="1530"/>
        <v>Market</v>
      </c>
      <c r="CN571" s="1" t="str">
        <f t="shared" si="1531"/>
        <v>Market</v>
      </c>
      <c r="CO571" s="1" t="str">
        <f t="shared" si="1532"/>
        <v>Market</v>
      </c>
      <c r="CP571" s="304">
        <f t="shared" si="1533"/>
        <v>2500</v>
      </c>
      <c r="CQ571" s="1">
        <f t="shared" si="1534"/>
        <v>0</v>
      </c>
      <c r="CR571" s="1">
        <f t="shared" si="1535"/>
        <v>0</v>
      </c>
      <c r="CS571" s="1">
        <f t="shared" si="1536"/>
        <v>0</v>
      </c>
      <c r="CT571" s="1">
        <f t="shared" si="1537"/>
        <v>2.7999999999999997E-2</v>
      </c>
      <c r="CU571" s="1">
        <f t="shared" si="1538"/>
        <v>3.9E-2</v>
      </c>
      <c r="CV571" s="304">
        <f t="shared" si="1539"/>
        <v>-717.93641739252325</v>
      </c>
      <c r="CW571" s="20" t="s">
        <v>122</v>
      </c>
      <c r="CX571" s="20" t="s">
        <v>122</v>
      </c>
      <c r="CY571" s="20" t="s">
        <v>122</v>
      </c>
      <c r="CZ571" s="20" t="s">
        <v>122</v>
      </c>
      <c r="DA571" s="20" t="s">
        <v>122</v>
      </c>
      <c r="DB571" s="503">
        <f t="shared" si="1540"/>
        <v>0</v>
      </c>
      <c r="DC571" s="127">
        <v>0</v>
      </c>
      <c r="DD571" s="127">
        <v>0</v>
      </c>
      <c r="DE571" s="127">
        <v>0</v>
      </c>
      <c r="DF571" s="127">
        <v>0</v>
      </c>
      <c r="DG571" s="127">
        <v>0</v>
      </c>
      <c r="DH571" s="127">
        <v>0</v>
      </c>
      <c r="DI571" s="127">
        <v>0</v>
      </c>
      <c r="DJ571" s="127">
        <v>0</v>
      </c>
      <c r="DK571" s="127">
        <v>0</v>
      </c>
      <c r="DL571" s="127">
        <v>0</v>
      </c>
      <c r="DM571" s="304">
        <f>INDEX(Input!$1:$1048576,DM$93,$C571*2+6)</f>
        <v>21036.84210526316</v>
      </c>
      <c r="DN571" s="20">
        <v>0</v>
      </c>
      <c r="DO571" s="20">
        <v>0</v>
      </c>
      <c r="DP571" s="20">
        <v>0</v>
      </c>
      <c r="DQ571" s="20">
        <v>0</v>
      </c>
      <c r="DR571" s="20">
        <v>0</v>
      </c>
      <c r="DS571" s="20">
        <f>INDEX(Input!$1:$1048576,DS$93,$C571*2+6)</f>
        <v>0.6</v>
      </c>
      <c r="DT571" s="20">
        <f>INDEX(Input!$1:$1048576,DT$93,$C571*2+6)</f>
        <v>0.55000000000000004</v>
      </c>
      <c r="DU571" s="20">
        <f>INDEX(Input!$1:$1048576,DU$93,$C571*2+6)</f>
        <v>0.52</v>
      </c>
      <c r="DV571" s="20">
        <f>INDEX(Input!$1:$1048576,DV$93,$C571*2+6)</f>
        <v>0.5</v>
      </c>
      <c r="DW571" s="20">
        <f>INDEX(Input!$1:$1048576,DW$93,$C571*2+6)</f>
        <v>0.45</v>
      </c>
      <c r="DX571" s="20"/>
      <c r="DY571" s="7">
        <v>0.13176947368613731</v>
      </c>
      <c r="DZ571" s="7">
        <v>0</v>
      </c>
      <c r="EA571" s="7">
        <v>0.72045563244804545</v>
      </c>
      <c r="EB571" s="7">
        <v>0</v>
      </c>
      <c r="EC571" s="7">
        <v>0</v>
      </c>
      <c r="ED571" s="7">
        <v>0</v>
      </c>
      <c r="EE571" s="7">
        <v>0</v>
      </c>
      <c r="EF571" s="7">
        <v>0</v>
      </c>
      <c r="EG571" s="7">
        <v>0</v>
      </c>
      <c r="EH571" s="7">
        <v>1.4620180028470374E-2</v>
      </c>
      <c r="EI571" s="7">
        <v>4.0660926504081006E-2</v>
      </c>
      <c r="EJ571" s="7">
        <v>0.35335743771331823</v>
      </c>
      <c r="EK571" s="7">
        <v>0.44014312413551132</v>
      </c>
      <c r="EL571" s="7">
        <v>0.15121833161861908</v>
      </c>
      <c r="EM571" s="7">
        <v>0.10719467269640244</v>
      </c>
      <c r="EN571" s="7">
        <v>5.8482058059929759E-2</v>
      </c>
      <c r="EO571" s="7">
        <v>0.71690571441315232</v>
      </c>
      <c r="EP571" s="7">
        <v>8.9909251528214565E-2</v>
      </c>
      <c r="EQ571" s="7">
        <v>8.8452512823291862E-2</v>
      </c>
      <c r="ER571" s="7">
        <v>4.6250463175411219E-2</v>
      </c>
      <c r="ES571" s="7">
        <v>4.0580221169414836E-2</v>
      </c>
      <c r="ET571" s="7">
        <v>0.14777489386581716</v>
      </c>
      <c r="EU571" s="6">
        <v>2270</v>
      </c>
      <c r="EV571" s="6">
        <v>0</v>
      </c>
      <c r="EW571" s="6">
        <v>2270</v>
      </c>
      <c r="EX571" s="6">
        <v>0</v>
      </c>
      <c r="EY571" s="6">
        <v>3817.1873125619823</v>
      </c>
      <c r="EZ571" s="6">
        <v>-6.4499039401316622</v>
      </c>
      <c r="FA571" s="6">
        <v>0</v>
      </c>
      <c r="FB571" s="6">
        <v>0</v>
      </c>
      <c r="FC571" s="6">
        <v>0</v>
      </c>
      <c r="FD571" s="6">
        <v>0</v>
      </c>
      <c r="FE571" s="6">
        <v>0</v>
      </c>
      <c r="FF571" s="6">
        <v>0</v>
      </c>
      <c r="FG571" s="6">
        <v>0</v>
      </c>
      <c r="FH571" s="6">
        <v>1172.1476575313459</v>
      </c>
      <c r="FI571" s="6">
        <v>1553.9796069512395</v>
      </c>
      <c r="FJ571" s="6">
        <v>2101.211011744741</v>
      </c>
      <c r="FK571" s="6">
        <v>1334.1543630076694</v>
      </c>
      <c r="FL571" s="6">
        <v>907.07682140966313</v>
      </c>
      <c r="FM571" s="6">
        <v>1547.187312561982</v>
      </c>
      <c r="FN571" s="6">
        <v>0</v>
      </c>
      <c r="FO571" s="6">
        <v>0</v>
      </c>
      <c r="FP571" s="6">
        <v>0</v>
      </c>
      <c r="FQ571" s="6">
        <v>0</v>
      </c>
      <c r="FR571" s="6">
        <v>0</v>
      </c>
      <c r="FS571" s="6">
        <v>0</v>
      </c>
      <c r="FT571" s="7">
        <v>0.85222510613418279</v>
      </c>
      <c r="FU571" s="7">
        <v>0.10719467269640244</v>
      </c>
      <c r="FV571" s="7">
        <v>4.0580221169414836E-2</v>
      </c>
      <c r="FW571" s="6">
        <v>2270</v>
      </c>
      <c r="FX571" s="6">
        <v>3817.1873125619823</v>
      </c>
      <c r="FY571" s="6">
        <v>-6.4499039401316622</v>
      </c>
      <c r="FZ571" s="6">
        <v>1758.1538569113241</v>
      </c>
      <c r="GA571" s="6">
        <v>2343.4713969871245</v>
      </c>
      <c r="GB571" s="6">
        <v>17641.528603012877</v>
      </c>
      <c r="GC571" s="7">
        <v>3.064145122680037E-2</v>
      </c>
      <c r="GD571" s="7">
        <v>3.3076836318897809E-2</v>
      </c>
      <c r="GE571" s="7"/>
      <c r="GF571" s="7"/>
      <c r="GG571" s="7">
        <v>7.9480083174629249E-2</v>
      </c>
      <c r="GH571" s="42">
        <v>2.7137568131637768</v>
      </c>
      <c r="GI571" s="6">
        <v>9707.8011346620733</v>
      </c>
      <c r="GJ571" s="14">
        <v>0.50394797582841744</v>
      </c>
      <c r="GK571" s="14">
        <v>0.5088757306530981</v>
      </c>
      <c r="GL571" s="14">
        <v>0.49605202417158295</v>
      </c>
      <c r="GM571" s="14">
        <v>0.4911242693469024</v>
      </c>
      <c r="GO571" s="5">
        <v>343.14810671672558</v>
      </c>
      <c r="GP571" s="5">
        <v>299.84083725090579</v>
      </c>
      <c r="GQ571" s="5">
        <v>535.04305713031317</v>
      </c>
      <c r="GR571" s="5">
        <v>410.15490233172511</v>
      </c>
      <c r="GS571" s="5">
        <v>339.42744393800166</v>
      </c>
      <c r="GT571" s="5">
        <v>293.4407446948278</v>
      </c>
      <c r="GU571" s="5">
        <v>258.04012322764959</v>
      </c>
      <c r="GV571" s="39" t="s">
        <v>392</v>
      </c>
      <c r="GW571" s="5">
        <v>436.56944444444446</v>
      </c>
      <c r="GX571" s="5">
        <v>327.42708333333331</v>
      </c>
      <c r="GY571" s="5">
        <v>261.94166666666666</v>
      </c>
      <c r="GZ571" s="5">
        <v>237.38777259862152</v>
      </c>
      <c r="HA571" s="5">
        <v>214.10309859665963</v>
      </c>
      <c r="HB571" s="39">
        <v>249.11615783454997</v>
      </c>
      <c r="HC571" s="5">
        <v>287.56655829738071</v>
      </c>
      <c r="HD571" s="5">
        <v>239.99799238008356</v>
      </c>
      <c r="HE571" s="5">
        <v>241.14168635502031</v>
      </c>
      <c r="HF571" s="5">
        <v>221.05790951107167</v>
      </c>
      <c r="HG571" s="5">
        <v>210.75500473779988</v>
      </c>
      <c r="HH571" s="39">
        <v>239.85492903721641</v>
      </c>
      <c r="HI571" s="16"/>
      <c r="HJ571" s="19" t="str">
        <f t="shared" ref="HJ571" si="1634">HJ570</f>
        <v>On</v>
      </c>
      <c r="HK571" s="1" t="str">
        <f t="shared" si="1549"/>
        <v>On</v>
      </c>
      <c r="HL571" s="16"/>
      <c r="HM571" s="639">
        <f t="shared" si="1605"/>
        <v>2.4909940070666322E-2</v>
      </c>
      <c r="HN571" s="639">
        <f t="shared" si="1606"/>
        <v>2.2052381276269151E-3</v>
      </c>
      <c r="HO571" s="639">
        <f t="shared" si="1607"/>
        <v>2.079866082302006E-3</v>
      </c>
      <c r="HP571" s="644">
        <f>(FT571*$GD571-HM571)/$JF571*INDEX(Input!$1:$1048576,$JG$93,$C571*2+6)</f>
        <v>92.208614834276702</v>
      </c>
      <c r="HQ571" s="644">
        <f>(FU571*$GD571-HN571)/$JF571*INDEX(Input!$1:$1048576,$JG$93,$C571*2+6)</f>
        <v>37.694304368050055</v>
      </c>
      <c r="HR571" s="644">
        <f>(FV571*$GD571-HO571)/$JF571*INDEX(Input!$1:$1048576,$JG$93,$C571*2+6)</f>
        <v>-20.742226284157621</v>
      </c>
      <c r="HS571" s="644">
        <f t="shared" si="1598"/>
        <v>-50.39326133155901</v>
      </c>
      <c r="HT571" s="644">
        <f t="shared" si="1608"/>
        <v>103.90090207846286</v>
      </c>
      <c r="HU571" s="644">
        <f t="shared" si="1609"/>
        <v>5.0069896729705707</v>
      </c>
      <c r="HV571" s="648">
        <f t="shared" si="1610"/>
        <v>0</v>
      </c>
      <c r="HW571" s="648">
        <f t="shared" si="1611"/>
        <v>0</v>
      </c>
      <c r="HX571" s="648">
        <f t="shared" si="1612"/>
        <v>0</v>
      </c>
      <c r="HY571" s="644">
        <f>INDEX(Input!$1:$1048576,HY$93,$C571*2+6)*INDEX(Input!$1:$1048576,$JG$93,$C571*2+6)</f>
        <v>333.00000000000006</v>
      </c>
      <c r="HZ571" s="644">
        <f>INDEX(Input!$1:$1048576,HZ$93,$C571*2+6)*INDEX(Input!$1:$1048576,$JG$93,$C571*2+6)</f>
        <v>429</v>
      </c>
      <c r="IA571" s="644">
        <f>INDEX(Input!$1:$1048576,IA$93,$C571*2+6)*INDEX(Input!$1:$1048576,$JG$93,$C571*2+6)</f>
        <v>59</v>
      </c>
      <c r="IB571" s="644">
        <f t="shared" si="1551"/>
        <v>374.81535350271787</v>
      </c>
      <c r="IC571" s="644">
        <f t="shared" si="1552"/>
        <v>570.59520644651286</v>
      </c>
      <c r="ID571" s="644">
        <f>IF(AND(INDEX(Input!$1:$1048576,IA$93,$C571*2+7)="TOS",Y571&lt;=INDEX(Y:Y,MATCH(C571*1000+2,A:A))),0,1)*MAX(IA571+HR571+HU571+HX571,0%)</f>
        <v>43.264763388812945</v>
      </c>
      <c r="IE571" s="128">
        <f t="shared" si="1599"/>
        <v>0.37910863622775237</v>
      </c>
      <c r="IF571" s="128">
        <f t="shared" si="1600"/>
        <v>0.57713102873855926</v>
      </c>
      <c r="IG571" s="128">
        <f t="shared" si="1555"/>
        <v>4.3760335033688348E-2</v>
      </c>
      <c r="IH571" s="21"/>
      <c r="II571" s="19">
        <f t="shared" si="1613"/>
        <v>1240</v>
      </c>
      <c r="IJ571" s="19">
        <f t="shared" si="1614"/>
        <v>1985.7442651839444</v>
      </c>
      <c r="IK571" s="19">
        <f t="shared" si="1615"/>
        <v>-21.44990394013189</v>
      </c>
      <c r="IL571" s="19">
        <f t="shared" si="1556"/>
        <v>1030</v>
      </c>
      <c r="IM571" s="19">
        <f t="shared" si="1557"/>
        <v>1831.4430473780378</v>
      </c>
      <c r="IN571" s="19">
        <f t="shared" si="1558"/>
        <v>15.000000000000227</v>
      </c>
      <c r="IO571" s="39">
        <f t="shared" si="1616"/>
        <v>0</v>
      </c>
      <c r="IP571" s="39">
        <f t="shared" si="1617"/>
        <v>0</v>
      </c>
      <c r="IQ571" s="39">
        <f t="shared" si="1618"/>
        <v>0</v>
      </c>
      <c r="IR571" s="39">
        <v>0</v>
      </c>
      <c r="IS571" s="39">
        <v>0</v>
      </c>
      <c r="IT571" s="39">
        <v>0</v>
      </c>
      <c r="IU571" s="39">
        <v>0</v>
      </c>
      <c r="IV571" s="39">
        <v>0</v>
      </c>
      <c r="IW571" s="39">
        <v>0</v>
      </c>
      <c r="IX571" s="39">
        <f>INDEX(Input!$1:$1048576,IX$93,$C571*2+6)+INDEX(Input!$1:$1048576,IX$94,$C571*2+6)</f>
        <v>1270</v>
      </c>
      <c r="IY571" s="39">
        <f>INDEX(Input!$1:$1048576,IY$93,$C571*2+6)+INDEX(Input!$1:$1048576,IY$94,$C571*2+6)</f>
        <v>2130.0624533823611</v>
      </c>
      <c r="IZ571" s="39">
        <f>INDEX(Input!$1:$1048576,IZ$93,$C571*2+6)+INDEX(Input!$1:$1048576,IZ$94,$C571*2+6)</f>
        <v>3653.7164157747857</v>
      </c>
      <c r="JA571" s="19">
        <f t="shared" si="1559"/>
        <v>2300</v>
      </c>
      <c r="JB571" s="19">
        <f t="shared" si="1560"/>
        <v>3961.5055007603987</v>
      </c>
      <c r="JC571" s="19">
        <f t="shared" si="1561"/>
        <v>3668.7164157747857</v>
      </c>
      <c r="JD571" s="19">
        <f t="shared" si="1562"/>
        <v>3318.8018678290373</v>
      </c>
      <c r="JE571" s="21"/>
      <c r="JF571" s="1">
        <f t="shared" si="1619"/>
        <v>2.9195044280595241E-2</v>
      </c>
      <c r="JG571" s="15">
        <f>INDEX(Input!$1:$1048576,JG$93,$C571*2+6)/(1+VLOOKUP(C571*1000+INDEX(Input!$1:$1048576,JG$93+1,$C571*2+6),$A:$KK,$JK$92,FALSE))</f>
        <v>821</v>
      </c>
      <c r="JH571" s="1">
        <f t="shared" si="1563"/>
        <v>0.13296064910861038</v>
      </c>
      <c r="JI571" s="1">
        <f t="shared" si="1564"/>
        <v>7.1272387843939619E-2</v>
      </c>
      <c r="JJ571" s="1">
        <f t="shared" si="1565"/>
        <v>0</v>
      </c>
      <c r="JK571" s="1">
        <f t="shared" si="1566"/>
        <v>0.20423303695255002</v>
      </c>
      <c r="JL571" s="15">
        <f t="shared" si="1567"/>
        <v>167.67532333804357</v>
      </c>
      <c r="JM571" s="15">
        <f t="shared" si="1568"/>
        <v>988.67532333804354</v>
      </c>
      <c r="JN571" s="21"/>
      <c r="JO571" s="19">
        <f>INDEX(Input!$1:$1048576,JO$93,$C571*2+6)</f>
        <v>5995.5</v>
      </c>
      <c r="JP571" s="19">
        <f>INDEX(Input!$1:$1048576,JP$93,$C571*2+6)</f>
        <v>1890.7138380411029</v>
      </c>
      <c r="JQ571" s="39">
        <f t="shared" si="1569"/>
        <v>2676.6981321709627</v>
      </c>
      <c r="JR571" s="39">
        <f t="shared" si="1570"/>
        <v>1428.0880297879344</v>
      </c>
      <c r="JS571" s="39">
        <f t="shared" si="1571"/>
        <v>3.2812175097707761</v>
      </c>
      <c r="JT571" s="39">
        <f t="shared" si="1572"/>
        <v>1.7289414487390307</v>
      </c>
      <c r="JU571" s="385">
        <f>(JQ571*JM571-INDEX(Input!$1:$1048576,Input!A$18,$C571*2+6)*JL571*INDEX(Input!$1:$1048576,Input!A$19,$C571*2+6))/1000000</f>
        <v>2.6463853913024638</v>
      </c>
      <c r="JV571" s="39">
        <f t="shared" si="1573"/>
        <v>-0.7236440476657906</v>
      </c>
      <c r="JW571" s="1">
        <f t="shared" si="1574"/>
        <v>-0.214729295625185</v>
      </c>
      <c r="JX571" s="19">
        <f t="shared" si="1575"/>
        <v>10311.245652130816</v>
      </c>
      <c r="JZ571" s="341"/>
      <c r="KA571" s="342"/>
      <c r="KB571" s="469">
        <f t="shared" si="1576"/>
        <v>2.5122967434604799</v>
      </c>
      <c r="KI571" s="473">
        <f t="shared" si="1601"/>
        <v>41.815353502717755</v>
      </c>
      <c r="KJ571" s="473">
        <f t="shared" si="1602"/>
        <v>141.59520644651275</v>
      </c>
      <c r="KK571" s="473">
        <f t="shared" si="1579"/>
        <v>-15.735236611187055</v>
      </c>
      <c r="KN571" s="544">
        <f t="shared" si="1580"/>
        <v>5002</v>
      </c>
      <c r="KO571" s="541">
        <f t="shared" si="1620"/>
        <v>0.19934971839963977</v>
      </c>
      <c r="KP571" s="546">
        <f t="shared" si="1621"/>
        <v>1418.7764652868034</v>
      </c>
      <c r="KQ571" s="546">
        <f t="shared" si="1622"/>
        <v>1399.8831021057708</v>
      </c>
      <c r="KR571" s="548">
        <f t="shared" si="1623"/>
        <v>2.5384324414417549</v>
      </c>
      <c r="KS571" s="548">
        <f t="shared" si="1624"/>
        <v>2.5726921063770138</v>
      </c>
      <c r="KT571" s="473">
        <f t="shared" si="1581"/>
        <v>595.94378802984284</v>
      </c>
      <c r="KU571" s="663">
        <f t="shared" si="1626"/>
        <v>3.9684514822782622</v>
      </c>
    </row>
    <row r="572" spans="1:308" s="26" customFormat="1" ht="15" outlineLevel="1">
      <c r="A572" s="561">
        <f t="shared" si="1541"/>
        <v>5072</v>
      </c>
      <c r="B572" s="561">
        <f t="shared" si="1627"/>
        <v>72</v>
      </c>
      <c r="C572" s="561">
        <f t="shared" si="1628"/>
        <v>5</v>
      </c>
      <c r="D572" s="561" t="str">
        <f t="shared" si="1509"/>
        <v xml:space="preserve">500 CC, 0/2.8/3.8/3.9, 1000 Combo, </v>
      </c>
      <c r="E572" s="475">
        <f>INDEX(Input!$1:$1048576,E$93,$C572*2+MIN($B572,2)+5)
+INDEX(Scenarios!E$121:E$200,MATCH($B572,Scenarios!$B$121:$B$200,0))</f>
        <v>1777.4263093788063</v>
      </c>
      <c r="F572" s="475">
        <f>INDEX(Input!$1:$1048576,F$93,$C572*2+MIN($B572,2)+5)
+INDEX(Scenarios!F$121:F$200,MATCH($B572,Scenarios!$B$121:$B$200,0))</f>
        <v>0</v>
      </c>
      <c r="G572" s="475">
        <f>INDEX(Input!$1:$1048576,G$93,$C572*2+MIN($B572,2)+5)
+INDEX(Scenarios!G$121:G$200,MATCH($B572,Scenarios!$B$121:$B$200,0))</f>
        <v>0</v>
      </c>
      <c r="H572" s="475">
        <f>INDEX(Input!$1:$1048576,H$93,$C572*2+MIN($B572,2)+5)
+INDEX(Scenarios!H$121:H$200,MATCH($B572,Scenarios!$B$121:$B$200,0))</f>
        <v>0</v>
      </c>
      <c r="I572" s="476">
        <f>INDEX(Input!$1:$1048576,I$93,$C572*2+MIN($B572,2)+5)</f>
        <v>0.7</v>
      </c>
      <c r="J572" s="476" t="str">
        <f>INDEX(Input!$1:$1048576,J$93,$C572*2+MIN($B572,2)+5)</f>
        <v>Market</v>
      </c>
      <c r="K572" s="476" t="str">
        <f>INDEX(Input!$1:$1048576,K$93,$C572*2+MIN($B572,2)+5)</f>
        <v>Market</v>
      </c>
      <c r="L572" s="476" t="str">
        <f>INDEX(Input!$1:$1048576,L$93,$C572*2+MIN($B572,2)+5)</f>
        <v>Market</v>
      </c>
      <c r="M572" s="476" t="str">
        <f>INDEX(Input!$1:$1048576,M$93,$C572*2+MIN($B572,2)+5)</f>
        <v>Market</v>
      </c>
      <c r="N572" s="476" t="str">
        <f>INDEX(Input!$1:$1048576,N$93,$C572*2+MIN($B572,2)+5)</f>
        <v>Market</v>
      </c>
      <c r="O572" s="476" t="str">
        <f>INDEX(Input!$1:$1048576,O$93,$C572*2+MIN($B572,2)+5)</f>
        <v>Market</v>
      </c>
      <c r="P572" s="476" t="str">
        <f>INDEX(Input!$1:$1048576,P$93,$C572*2+MIN($B572,2)+5)</f>
        <v>N</v>
      </c>
      <c r="Q572" s="477">
        <f>INDEX(Input!$1:$1048576,Q$93,$C572*2+MIN($B572,2)+5)
+INDEX(Scenarios!Q$121:Q$200,MATCH($B572,Scenarios!$B$121:$B$200,0))</f>
        <v>1000</v>
      </c>
      <c r="R572" s="478">
        <f>IFERROR(MAX(0,INDEX(Input!$1:$1048576,R$93,$C572*2+MIN($B572,2)+5)
+INDEX(Scenarios!R$121:R$200,MATCH($B572,Scenarios!$B$121:$B$200,0)),),"Market")</f>
        <v>0</v>
      </c>
      <c r="S572" s="478">
        <f>IFERROR(MAX(0,INDEX(Input!$1:$1048576,S$93,$C572*2+MIN($B572,2)+5)
+INDEX(Scenarios!S$121:S$200,MATCH($B572,Scenarios!$B$121:$B$200,0)),),"Market")</f>
        <v>0</v>
      </c>
      <c r="T572" s="478">
        <f>IFERROR(MAX(0,INDEX(Input!$1:$1048576,T$93,$C572*2+MIN($B572,2)+5)
+INDEX(Scenarios!T$121:T$200,MATCH($B572,Scenarios!$B$121:$B$200,0)),),"Market")</f>
        <v>0</v>
      </c>
      <c r="U572" s="478">
        <f>IFERROR(MAX(0,INDEX(Input!$1:$1048576,U$93,$C572*2+MIN($B572,2)+5)
+INDEX(Scenarios!U$121:U$200,MATCH($B572,Scenarios!$B$121:$B$200,0)),),"Market")</f>
        <v>0</v>
      </c>
      <c r="V572" s="478">
        <f>IFERROR(MAX(0,INDEX(Input!$1:$1048576,V$93,$C572*2+MIN($B572,2)+5)
+INDEX(Scenarios!V$121:V$200,MATCH($B572,Scenarios!$B$121:$B$200,0)),),"Market")</f>
        <v>3.7999999999999999E-2</v>
      </c>
      <c r="W572" s="885">
        <f>IFERROR(MAX(0,INDEX(Input!$1:$1048576,W$93,$C572*2+MIN($B572,2)+5)-0%,),"Market")</f>
        <v>3.9E-2</v>
      </c>
      <c r="X572" s="476" t="str">
        <f>INDEX(Input!$1:$1048576,X$93,$C572*2+MIN($B572,2)+5)</f>
        <v>Y</v>
      </c>
      <c r="Y572" s="475">
        <f>INDEX(Input!$1:$1048576,Y$93,$C572*2+MIN($B572,2)+5)
++INDEX(Scenarios!Y$121:Y$200,MATCH($B572,Scenarios!$B$121:$B$200,0))</f>
        <v>-717.93641739252325</v>
      </c>
      <c r="Z572" s="477">
        <f>INDEX(Input!$1:$1048576,Z$93,$C572*2+MIN($B572,2)+5)
+INDEX(Scenarios!Z$121:Z$200,MATCH($B572,Scenarios!$B$121:$B$200,0))</f>
        <v>0</v>
      </c>
      <c r="AA572" s="475">
        <f>INDEX(Input!$1:$1048576,AA$93,$C572*2+MIN($B572,2)+5)
+INDEX(Scenarios!AA$121:AA$200,MATCH($B572,Scenarios!$B$121:$B$200,0))</f>
        <v>0</v>
      </c>
      <c r="AB572" s="476">
        <f>INDEX(Input!$1:$1048576,AB$93,$C572*2+MIN($B572,2)+5)</f>
        <v>0.27</v>
      </c>
      <c r="AC572" s="475">
        <f>INDEX(Input!$1:$1048576,AC$93,$C572*2+MIN($B572,2)+5)
+INDEX(Scenarios!AC$121:AC$200,MATCH($B572,Scenarios!$B$121:$B$200,0))</f>
        <v>0</v>
      </c>
      <c r="AD572" s="476">
        <f>INDEX(Input!$1:$1048576,AD$93,$C572*2+MIN($B572,2)+5)</f>
        <v>0.27</v>
      </c>
      <c r="AE572" s="475">
        <f>INDEX(Input!$1:$1048576,AE$93,$C572*2+MIN($B572,2)+5)
+INDEX(Scenarios!AE$121:AE$200,MATCH($B572,Scenarios!$B$121:$B$200,0))</f>
        <v>0</v>
      </c>
      <c r="AF572" s="476">
        <f>INDEX(Input!$1:$1048576,AF$93,$C572*2+MIN($B572,2)+5)</f>
        <v>0.2</v>
      </c>
      <c r="AG572" s="475">
        <f>INDEX(Input!$1:$1048576,AG$93,$C572*2+MIN($B572,2)+5)
+INDEX(Scenarios!AG$121:AG$200,MATCH($B572,Scenarios!$B$121:$B$200,0))</f>
        <v>500</v>
      </c>
      <c r="AH572" s="476">
        <f>INDEX(Input!$1:$1048576,AH$93,$C572*2+MIN($B572,2)+5)</f>
        <v>1</v>
      </c>
      <c r="AI572" s="475">
        <f>INDEX(Input!$1:$1048576,AI$93,$C572*2+MIN($B572,2)+5)
+INDEX(Scenarios!AI$121:AI$200,MATCH($B572,Scenarios!$B$121:$B$200,0))</f>
        <v>0</v>
      </c>
      <c r="AJ572" s="476">
        <f>INDEX(Input!$1:$1048576,AJ$93,$C572*2+MIN($B572,2)+5)</f>
        <v>0.27</v>
      </c>
      <c r="AK572" s="150">
        <f>ROUND(INDEX(Input!$1:$1048576,AK$93,$C571*2+MIN($B572,1)+5)+(Y572-VLOOKUP($C572*1000+1,$A:$HH,Y$92,FALSE)),0)</f>
        <v>2587</v>
      </c>
      <c r="AL572" s="150">
        <f>ROUND(INDEX(Input!$1:$1048576,AL$93,$C571*2+MIN($B572,1)+5)-(Y572-VLOOKUP($C572*1000+1,$A:$HH,Y$92,FALSE))/36,0)</f>
        <v>3406</v>
      </c>
      <c r="AM572" s="32" t="str">
        <f t="shared" si="1544"/>
        <v>std/std/std/std</v>
      </c>
      <c r="AN572" s="32" t="str">
        <f t="shared" si="1545"/>
        <v>$1000 + 0/0/0/3.8/3.9</v>
      </c>
      <c r="AO572" s="32" t="str">
        <f t="shared" si="1546"/>
        <v>0/0/0/3.8/3.9</v>
      </c>
      <c r="AP572" s="32" t="str">
        <f t="shared" si="1526"/>
        <v>0/2.8/3.8/3.9</v>
      </c>
      <c r="AQ572" s="536">
        <f t="shared" si="1525"/>
        <v>0.41556342954668812</v>
      </c>
      <c r="AR572" s="32"/>
      <c r="AS572" s="302"/>
      <c r="AT572" s="3">
        <f t="shared" si="1629"/>
        <v>72</v>
      </c>
      <c r="AU572" s="41" t="s">
        <v>121</v>
      </c>
      <c r="AV572" s="41" t="s">
        <v>116</v>
      </c>
      <c r="AW572" s="41" t="str">
        <f>INDEX(Input!$1:$1048576,AW$93,$C572*2+6)</f>
        <v>Kia</v>
      </c>
      <c r="AX572" s="41" t="str">
        <f>INDEX(Input!$1:$1048576,AX$93,$C572*2+6)</f>
        <v>Kia-LR - R2</v>
      </c>
      <c r="AY572" s="41" t="str">
        <f>IF(LEN(D572)=0,"",INDEX(Input!$1:$1048576,AY$93,$C572*2+6))</f>
        <v>Compact SUV (52)</v>
      </c>
      <c r="AZ572" s="41" t="str">
        <f>INDEX(Input!$1:$1048576,AZ$93,$C572*2+6)</f>
        <v>Kia Soul</v>
      </c>
      <c r="BA572" s="3">
        <f>INDEX(Input!$1:$1048576,BA$93,$C572*2+6)</f>
        <v>2020</v>
      </c>
      <c r="BB572" s="128">
        <f>INDEX(Input!$1:$1048576,BB$93,$C572*2+6)</f>
        <v>1</v>
      </c>
      <c r="BC572" s="128">
        <f>INDEX(Input!$1:$1048576,BC$93,$C572*2+6)</f>
        <v>0.7</v>
      </c>
      <c r="BD572" s="1">
        <f>INDEX(Input!$1:$1048576,BD$93,$C572*2+6)</f>
        <v>4.4999999999999998E-2</v>
      </c>
      <c r="BE572" s="1">
        <f>INDEX(Input!$1:$1048576,BE$93,$C572*2+6)</f>
        <v>4.4999999999999998E-2</v>
      </c>
      <c r="BF572" s="1">
        <f>INDEX(Input!$1:$1048576,BF$93,$C572*2+6)</f>
        <v>0.05</v>
      </c>
      <c r="BG572" s="1">
        <f>INDEX(Input!$1:$1048576,BG$93,$C572*2+6)</f>
        <v>5.45E-2</v>
      </c>
      <c r="BH572" s="1">
        <f>INDEX(Input!$1:$1048576,BH$93,$C572*2+6)</f>
        <v>5.45E-2</v>
      </c>
      <c r="BI572" s="1">
        <f>INDEX(Input!$1:$1048576,BI$93,$C572*2+6)</f>
        <v>0.05</v>
      </c>
      <c r="BJ572" s="1">
        <f>INDEX(Input!$1:$1048576,BJ$93,$C572*2+6)</f>
        <v>0.05</v>
      </c>
      <c r="BK572" s="1">
        <f>INDEX(Input!$1:$1048576,BK$93,$C572*2+6)</f>
        <v>0.05</v>
      </c>
      <c r="BL572" s="1">
        <f>INDEX(Input!$1:$1048576,BL$93,$C572*2+6)</f>
        <v>5.5E-2</v>
      </c>
      <c r="BM572" s="1">
        <f>INDEX(Input!$1:$1048576,BM$93,$C572*2+6)</f>
        <v>0.06</v>
      </c>
      <c r="BN572" s="1">
        <f>INDEX(Input!$1:$1048576,BN$93,$C572*2+6)</f>
        <v>4.4999999999999998E-2</v>
      </c>
      <c r="BO572" s="1">
        <f>INDEX(Input!$1:$1048576,BO$93,$C572*2+6)</f>
        <v>4.4999999999999998E-2</v>
      </c>
      <c r="BP572" s="1">
        <f>INDEX(Input!$1:$1048576,BP$93,$C572*2+6)</f>
        <v>0.05</v>
      </c>
      <c r="BQ572" s="1">
        <f>INDEX(Input!$1:$1048576,BQ$93,$C572*2+6)</f>
        <v>5.45E-2</v>
      </c>
      <c r="BR572" s="1">
        <f>INDEX(Input!$1:$1048576,BR$93,$C572*2+6)</f>
        <v>5.45E-2</v>
      </c>
      <c r="BS572" s="1">
        <f>INDEX(Input!$1:$1048576,BS$93,$C572*2+6)</f>
        <v>0.05</v>
      </c>
      <c r="BT572" s="1">
        <f>INDEX(Input!$1:$1048576,BT$93,$C572*2+6)</f>
        <v>0.05</v>
      </c>
      <c r="BU572" s="1">
        <f>INDEX(Input!$1:$1048576,BU$93,$C572*2+6)</f>
        <v>0.05</v>
      </c>
      <c r="BV572" s="1">
        <f>INDEX(Input!$1:$1048576,BV$93,$C572*2+6)</f>
        <v>5.5E-2</v>
      </c>
      <c r="BW572" s="1">
        <f>INDEX(Input!$1:$1048576,BW$93,$C572*2+6)</f>
        <v>0.06</v>
      </c>
      <c r="BX572" s="127">
        <f>INDEX(Input!$1:$1048576,BX$93,$C572*2+6)</f>
        <v>19985</v>
      </c>
      <c r="BY572" s="20">
        <f>INDEX(Input!$1:$1048576,BY$93,$C572*2+6)</f>
        <v>0.1</v>
      </c>
      <c r="BZ572" s="20">
        <f>INDEX(Input!$1:$1048576,BZ$93,$C572*2+6)</f>
        <v>0.1</v>
      </c>
      <c r="CA572" s="20">
        <f>INDEX(Input!$1:$1048576,CA$93,$C572*2+6)</f>
        <v>0.1</v>
      </c>
      <c r="CB572" s="20">
        <f>INDEX(Input!$1:$1048576,CB$93,$C572*2+6)</f>
        <v>0.1</v>
      </c>
      <c r="CC572" s="20">
        <f>INDEX(Input!$1:$1048576,CC$93,$C572*2+6)</f>
        <v>0.1</v>
      </c>
      <c r="CD572" s="384">
        <f>INDEX(Input!$1:$1048576,CD$93,$C572*2+6)</f>
        <v>0.1</v>
      </c>
      <c r="CE572" s="384">
        <f>INDEX(Input!$1:$1048576,CE$93,$C572*2+6)</f>
        <v>0.1</v>
      </c>
      <c r="CF572" s="384">
        <f>INDEX(Input!$1:$1048576,CF$93,$C572*2+6)</f>
        <v>0.1</v>
      </c>
      <c r="CG572" s="384">
        <f>INDEX(Input!$1:$1048576,CG$93,$C572*2+6)</f>
        <v>0.1</v>
      </c>
      <c r="CH572" s="384">
        <f>INDEX(Input!$1:$1048576,CH$93,$C572*2+6)</f>
        <v>0.1</v>
      </c>
      <c r="CI572" s="304">
        <f t="shared" si="1527"/>
        <v>1777.4263093788063</v>
      </c>
      <c r="CJ572" s="16" t="str">
        <f>INDEX(Input!$1:$1048576,CJ$93,$C572*2+6)</f>
        <v>N</v>
      </c>
      <c r="CK572" s="1" t="str">
        <f t="shared" si="1528"/>
        <v>Market</v>
      </c>
      <c r="CL572" s="1" t="str">
        <f t="shared" si="1529"/>
        <v>Market</v>
      </c>
      <c r="CM572" s="1" t="str">
        <f t="shared" si="1530"/>
        <v>Market</v>
      </c>
      <c r="CN572" s="1" t="str">
        <f t="shared" si="1531"/>
        <v>Market</v>
      </c>
      <c r="CO572" s="1" t="str">
        <f t="shared" si="1532"/>
        <v>Market</v>
      </c>
      <c r="CP572" s="304">
        <f t="shared" si="1533"/>
        <v>1500</v>
      </c>
      <c r="CQ572" s="1">
        <f t="shared" si="1534"/>
        <v>0</v>
      </c>
      <c r="CR572" s="1">
        <f t="shared" si="1535"/>
        <v>0</v>
      </c>
      <c r="CS572" s="1">
        <f t="shared" si="1536"/>
        <v>0</v>
      </c>
      <c r="CT572" s="1">
        <f t="shared" si="1537"/>
        <v>3.7999999999999999E-2</v>
      </c>
      <c r="CU572" s="1">
        <f t="shared" si="1538"/>
        <v>3.9E-2</v>
      </c>
      <c r="CV572" s="304">
        <f t="shared" si="1539"/>
        <v>-717.93641739252325</v>
      </c>
      <c r="CW572" s="20" t="s">
        <v>122</v>
      </c>
      <c r="CX572" s="20" t="s">
        <v>122</v>
      </c>
      <c r="CY572" s="20" t="s">
        <v>122</v>
      </c>
      <c r="CZ572" s="20" t="s">
        <v>122</v>
      </c>
      <c r="DA572" s="20" t="s">
        <v>122</v>
      </c>
      <c r="DB572" s="503">
        <f t="shared" si="1540"/>
        <v>0</v>
      </c>
      <c r="DC572" s="127">
        <v>0</v>
      </c>
      <c r="DD572" s="127">
        <v>0</v>
      </c>
      <c r="DE572" s="127">
        <v>0</v>
      </c>
      <c r="DF572" s="127">
        <v>0</v>
      </c>
      <c r="DG572" s="127">
        <v>0</v>
      </c>
      <c r="DH572" s="127">
        <v>0</v>
      </c>
      <c r="DI572" s="127">
        <v>0</v>
      </c>
      <c r="DJ572" s="127">
        <v>0</v>
      </c>
      <c r="DK572" s="127">
        <v>0</v>
      </c>
      <c r="DL572" s="127">
        <v>0</v>
      </c>
      <c r="DM572" s="304">
        <f>INDEX(Input!$1:$1048576,DM$93,$C572*2+6)</f>
        <v>21036.84210526316</v>
      </c>
      <c r="DN572" s="20">
        <v>0</v>
      </c>
      <c r="DO572" s="20">
        <v>0</v>
      </c>
      <c r="DP572" s="20">
        <v>0</v>
      </c>
      <c r="DQ572" s="20">
        <v>0</v>
      </c>
      <c r="DR572" s="20">
        <v>0</v>
      </c>
      <c r="DS572" s="20">
        <f>INDEX(Input!$1:$1048576,DS$93,$C572*2+6)</f>
        <v>0.6</v>
      </c>
      <c r="DT572" s="20">
        <f>INDEX(Input!$1:$1048576,DT$93,$C572*2+6)</f>
        <v>0.55000000000000004</v>
      </c>
      <c r="DU572" s="20">
        <f>INDEX(Input!$1:$1048576,DU$93,$C572*2+6)</f>
        <v>0.52</v>
      </c>
      <c r="DV572" s="20">
        <f>INDEX(Input!$1:$1048576,DV$93,$C572*2+6)</f>
        <v>0.5</v>
      </c>
      <c r="DW572" s="20">
        <f>INDEX(Input!$1:$1048576,DW$93,$C572*2+6)</f>
        <v>0.45</v>
      </c>
      <c r="DX572" s="20"/>
      <c r="DY572" s="7">
        <v>0.12890941617714921</v>
      </c>
      <c r="DZ572" s="7">
        <v>0</v>
      </c>
      <c r="EA572" s="7">
        <v>0.74677778935250105</v>
      </c>
      <c r="EB572" s="7">
        <v>0</v>
      </c>
      <c r="EC572" s="7">
        <v>0</v>
      </c>
      <c r="ED572" s="7">
        <v>0</v>
      </c>
      <c r="EE572" s="7">
        <v>0</v>
      </c>
      <c r="EF572" s="7">
        <v>0</v>
      </c>
      <c r="EG572" s="7">
        <v>0</v>
      </c>
      <c r="EH572" s="7">
        <v>1.7783556779878529E-2</v>
      </c>
      <c r="EI572" s="7">
        <v>4.9454460843420325E-2</v>
      </c>
      <c r="EJ572" s="7">
        <v>0.42975835048193761</v>
      </c>
      <c r="EK572" s="7">
        <v>0.31906514918841383</v>
      </c>
      <c r="EL572" s="7">
        <v>0.18393848270634985</v>
      </c>
      <c r="EM572" s="7">
        <v>6.9239969634795659E-2</v>
      </c>
      <c r="EN572" s="7">
        <v>5.848421555440033E-2</v>
      </c>
      <c r="EO572" s="7">
        <v>0.71701498577018963</v>
      </c>
      <c r="EP572" s="7">
        <v>8.9816355485937804E-2</v>
      </c>
      <c r="EQ572" s="7">
        <v>8.8422615754609274E-2</v>
      </c>
      <c r="ER572" s="7">
        <v>4.6261827434862707E-2</v>
      </c>
      <c r="ES572" s="7">
        <v>5.5072824835554021E-2</v>
      </c>
      <c r="ET572" s="7">
        <v>0.12431279447034968</v>
      </c>
      <c r="EU572" s="6">
        <v>1770</v>
      </c>
      <c r="EV572" s="6">
        <v>0</v>
      </c>
      <c r="EW572" s="6">
        <v>1770</v>
      </c>
      <c r="EX572" s="6">
        <v>0</v>
      </c>
      <c r="EY572" s="6">
        <v>2704.9945277787378</v>
      </c>
      <c r="EZ572" s="6">
        <v>-6.4499039401316622</v>
      </c>
      <c r="FA572" s="6">
        <v>0</v>
      </c>
      <c r="FB572" s="6">
        <v>0</v>
      </c>
      <c r="FC572" s="6">
        <v>0</v>
      </c>
      <c r="FD572" s="6">
        <v>0</v>
      </c>
      <c r="FE572" s="6">
        <v>0</v>
      </c>
      <c r="FF572" s="6">
        <v>0</v>
      </c>
      <c r="FG572" s="6">
        <v>0</v>
      </c>
      <c r="FH572" s="6">
        <v>1172.1449814849298</v>
      </c>
      <c r="FI572" s="6">
        <v>1553.9796069512399</v>
      </c>
      <c r="FJ572" s="6">
        <v>2101.211011744741</v>
      </c>
      <c r="FK572" s="6">
        <v>838.19585232978307</v>
      </c>
      <c r="FL572" s="6">
        <v>907.07682140966256</v>
      </c>
      <c r="FM572" s="6">
        <v>1434.9945277787378</v>
      </c>
      <c r="FN572" s="6">
        <v>0</v>
      </c>
      <c r="FO572" s="6">
        <v>0</v>
      </c>
      <c r="FP572" s="6">
        <v>0</v>
      </c>
      <c r="FQ572" s="6">
        <v>0</v>
      </c>
      <c r="FR572" s="6">
        <v>0</v>
      </c>
      <c r="FS572" s="6">
        <v>0</v>
      </c>
      <c r="FT572" s="7">
        <v>0.87568720552965029</v>
      </c>
      <c r="FU572" s="7">
        <v>6.9239969634795659E-2</v>
      </c>
      <c r="FV572" s="7">
        <v>5.5072824835554021E-2</v>
      </c>
      <c r="FW572" s="6">
        <v>1769.9999999999998</v>
      </c>
      <c r="FX572" s="6">
        <v>2704.9945277787378</v>
      </c>
      <c r="FY572" s="6">
        <v>-6.4499039401316622</v>
      </c>
      <c r="FZ572" s="6">
        <v>1758.1538569113241</v>
      </c>
      <c r="GA572" s="6">
        <v>1736.9048783232679</v>
      </c>
      <c r="GB572" s="6">
        <v>18248.095121676732</v>
      </c>
      <c r="GC572" s="7">
        <v>3.064145122680037E-2</v>
      </c>
      <c r="GD572" s="7">
        <v>3.0944881753034295E-2</v>
      </c>
      <c r="GE572" s="7"/>
      <c r="GF572" s="7"/>
      <c r="GG572" s="7">
        <v>9.9026160343388403E-3</v>
      </c>
      <c r="GH572" s="42">
        <v>-9.3135667969236628</v>
      </c>
      <c r="GI572" s="6">
        <v>-408.88957784589843</v>
      </c>
      <c r="GJ572" s="14">
        <v>0.50394797582841699</v>
      </c>
      <c r="GK572" s="14">
        <v>0.50887573065309744</v>
      </c>
      <c r="GL572" s="14">
        <v>0.49605202417158267</v>
      </c>
      <c r="GM572" s="14">
        <v>0.49112426934690251</v>
      </c>
      <c r="GO572" s="5">
        <v>343.14810671672558</v>
      </c>
      <c r="GP572" s="5">
        <v>309.37988338875158</v>
      </c>
      <c r="GQ572" s="5">
        <v>535.04305713031317</v>
      </c>
      <c r="GR572" s="5">
        <v>410.15490233172511</v>
      </c>
      <c r="GS572" s="5">
        <v>339.42744393800166</v>
      </c>
      <c r="GT572" s="5">
        <v>293.4407446948278</v>
      </c>
      <c r="GU572" s="5">
        <v>258.04012322764959</v>
      </c>
      <c r="GV572" s="39" t="s">
        <v>392</v>
      </c>
      <c r="GW572" s="5">
        <v>464.34722222222223</v>
      </c>
      <c r="GX572" s="5">
        <v>348.26041666666669</v>
      </c>
      <c r="GY572" s="5">
        <v>278.60833333333335</v>
      </c>
      <c r="GZ572" s="5">
        <v>260.01213803316631</v>
      </c>
      <c r="HA572" s="5">
        <v>227.72592165501612</v>
      </c>
      <c r="HB572" s="39">
        <v>270.06340620965727</v>
      </c>
      <c r="HC572" s="5">
        <v>287.56655829738071</v>
      </c>
      <c r="HD572" s="5">
        <v>239.99799238008356</v>
      </c>
      <c r="HE572" s="5">
        <v>241.14168635502031</v>
      </c>
      <c r="HF572" s="5">
        <v>221.05790951107167</v>
      </c>
      <c r="HG572" s="5">
        <v>210.75500473779988</v>
      </c>
      <c r="HH572" s="39">
        <v>239.85515934955023</v>
      </c>
      <c r="HI572" s="16"/>
      <c r="HJ572" s="19" t="str">
        <f t="shared" ref="HJ572" si="1635">HJ571</f>
        <v>On</v>
      </c>
      <c r="HK572" s="1" t="str">
        <f t="shared" si="1549"/>
        <v>On</v>
      </c>
      <c r="HL572" s="16"/>
      <c r="HM572" s="639">
        <f t="shared" si="1605"/>
        <v>2.4909940070666322E-2</v>
      </c>
      <c r="HN572" s="639">
        <f t="shared" si="1606"/>
        <v>2.2052381276269151E-3</v>
      </c>
      <c r="HO572" s="639">
        <f t="shared" si="1607"/>
        <v>2.079866082302006E-3</v>
      </c>
      <c r="HP572" s="644">
        <f>(FT572*$GD572-HM572)/$JF572*INDEX(Input!$1:$1048576,$JG$93,$C572*2+6)</f>
        <v>61.531936191238351</v>
      </c>
      <c r="HQ572" s="644">
        <f>(FU572*$GD572-HN572)/$JF572*INDEX(Input!$1:$1048576,$JG$93,$C572*2+6)</f>
        <v>-1.7608224125330345</v>
      </c>
      <c r="HR572" s="644">
        <f>(FV572*$GD572-HO572)/$JF572*INDEX(Input!$1:$1048576,$JG$93,$C572*2+6)</f>
        <v>-10.563565022654242</v>
      </c>
      <c r="HS572" s="644">
        <f t="shared" si="1598"/>
        <v>-25.844224720942599</v>
      </c>
      <c r="HT572" s="644">
        <f t="shared" si="1608"/>
        <v>40.293703226162876</v>
      </c>
      <c r="HU572" s="644">
        <f t="shared" si="1609"/>
        <v>2.5425799622851191</v>
      </c>
      <c r="HV572" s="648">
        <f t="shared" si="1610"/>
        <v>0</v>
      </c>
      <c r="HW572" s="648">
        <f t="shared" si="1611"/>
        <v>0</v>
      </c>
      <c r="HX572" s="648">
        <f t="shared" si="1612"/>
        <v>0</v>
      </c>
      <c r="HY572" s="644">
        <f>INDEX(Input!$1:$1048576,HY$93,$C572*2+6)*INDEX(Input!$1:$1048576,$JG$93,$C572*2+6)</f>
        <v>333.00000000000006</v>
      </c>
      <c r="HZ572" s="644">
        <f>INDEX(Input!$1:$1048576,HZ$93,$C572*2+6)*INDEX(Input!$1:$1048576,$JG$93,$C572*2+6)</f>
        <v>429</v>
      </c>
      <c r="IA572" s="644">
        <f>INDEX(Input!$1:$1048576,IA$93,$C572*2+6)*INDEX(Input!$1:$1048576,$JG$93,$C572*2+6)</f>
        <v>59</v>
      </c>
      <c r="IB572" s="644">
        <f t="shared" si="1551"/>
        <v>368.68771147029582</v>
      </c>
      <c r="IC572" s="644">
        <f t="shared" si="1552"/>
        <v>467.53288081362984</v>
      </c>
      <c r="ID572" s="644">
        <f>IF(AND(INDEX(Input!$1:$1048576,IA$93,$C572*2+7)="TOS",Y572&lt;=INDEX(Y:Y,MATCH(C572*1000+2,A:A))),0,1)*MAX(IA572+HR572+HU572+HX572,0%)</f>
        <v>50.979014939630872</v>
      </c>
      <c r="IE572" s="128">
        <f t="shared" si="1599"/>
        <v>0.41556342954668812</v>
      </c>
      <c r="IF572" s="128">
        <f t="shared" si="1600"/>
        <v>0.52697597813050079</v>
      </c>
      <c r="IG572" s="128">
        <f t="shared" si="1555"/>
        <v>5.7460592322811054E-2</v>
      </c>
      <c r="IH572" s="21"/>
      <c r="II572" s="19">
        <f t="shared" si="1613"/>
        <v>1240</v>
      </c>
      <c r="IJ572" s="19">
        <f t="shared" si="1614"/>
        <v>1985.7442651839444</v>
      </c>
      <c r="IK572" s="19">
        <f t="shared" si="1615"/>
        <v>-21.44990394013189</v>
      </c>
      <c r="IL572" s="19">
        <f t="shared" si="1556"/>
        <v>529.99999999999977</v>
      </c>
      <c r="IM572" s="19">
        <f t="shared" si="1557"/>
        <v>719.25026259479341</v>
      </c>
      <c r="IN572" s="19">
        <f t="shared" si="1558"/>
        <v>15.000000000000227</v>
      </c>
      <c r="IO572" s="39">
        <f t="shared" si="1616"/>
        <v>0</v>
      </c>
      <c r="IP572" s="39">
        <f t="shared" si="1617"/>
        <v>0</v>
      </c>
      <c r="IQ572" s="39">
        <f t="shared" si="1618"/>
        <v>0</v>
      </c>
      <c r="IR572" s="39">
        <v>0</v>
      </c>
      <c r="IS572" s="39">
        <v>0</v>
      </c>
      <c r="IT572" s="39">
        <v>0</v>
      </c>
      <c r="IU572" s="39">
        <v>0</v>
      </c>
      <c r="IV572" s="39">
        <v>0</v>
      </c>
      <c r="IW572" s="39">
        <v>0</v>
      </c>
      <c r="IX572" s="39">
        <f>INDEX(Input!$1:$1048576,IX$93,$C572*2+6)+INDEX(Input!$1:$1048576,IX$94,$C572*2+6)</f>
        <v>1270</v>
      </c>
      <c r="IY572" s="39">
        <f>INDEX(Input!$1:$1048576,IY$93,$C572*2+6)+INDEX(Input!$1:$1048576,IY$94,$C572*2+6)</f>
        <v>2130.0624533823611</v>
      </c>
      <c r="IZ572" s="39">
        <f>INDEX(Input!$1:$1048576,IZ$93,$C572*2+6)+INDEX(Input!$1:$1048576,IZ$94,$C572*2+6)</f>
        <v>3653.7164157747857</v>
      </c>
      <c r="JA572" s="19">
        <f t="shared" si="1559"/>
        <v>1799.9999999999998</v>
      </c>
      <c r="JB572" s="19">
        <f t="shared" si="1560"/>
        <v>2849.3127159771548</v>
      </c>
      <c r="JC572" s="19">
        <f t="shared" si="1561"/>
        <v>3668.7164157747857</v>
      </c>
      <c r="JD572" s="19">
        <f t="shared" si="1562"/>
        <v>2460.3401470006129</v>
      </c>
      <c r="JE572" s="21"/>
      <c r="JF572" s="1">
        <f t="shared" si="1619"/>
        <v>2.9195044280595241E-2</v>
      </c>
      <c r="JG572" s="15">
        <f>INDEX(Input!$1:$1048576,JG$93,$C572*2+6)/(1+VLOOKUP(C572*1000+INDEX(Input!$1:$1048576,JG$93+1,$C572*2+6),$A:$KK,$JK$92,FALSE))</f>
        <v>821</v>
      </c>
      <c r="JH572" s="1">
        <f t="shared" si="1563"/>
        <v>5.9936112979355749E-2</v>
      </c>
      <c r="JI572" s="1">
        <f t="shared" si="1564"/>
        <v>2.0696782542637508E-2</v>
      </c>
      <c r="JJ572" s="1">
        <f t="shared" si="1565"/>
        <v>0</v>
      </c>
      <c r="JK572" s="1">
        <f t="shared" si="1566"/>
        <v>8.0632895521993264E-2</v>
      </c>
      <c r="JL572" s="15">
        <f t="shared" si="1567"/>
        <v>66.19960722355647</v>
      </c>
      <c r="JM572" s="15">
        <f t="shared" si="1568"/>
        <v>887.19960722355643</v>
      </c>
      <c r="JN572" s="21"/>
      <c r="JO572" s="19">
        <f>INDEX(Input!$1:$1048576,JO$93,$C572*2+6)</f>
        <v>5995.5</v>
      </c>
      <c r="JP572" s="19">
        <f>INDEX(Input!$1:$1048576,JP$93,$C572*2+6)</f>
        <v>1890.7138380411029</v>
      </c>
      <c r="JQ572" s="39">
        <f t="shared" si="1569"/>
        <v>3535.1598529993871</v>
      </c>
      <c r="JR572" s="39">
        <f t="shared" si="1570"/>
        <v>569.62630895950997</v>
      </c>
      <c r="JS572" s="39">
        <f t="shared" si="1571"/>
        <v>2.1828128120552908</v>
      </c>
      <c r="JT572" s="39">
        <f t="shared" si="1572"/>
        <v>0.63053675102354512</v>
      </c>
      <c r="JU572" s="385">
        <f>(JQ572*JM572-INDEX(Input!$1:$1048576,Input!A$18,$C572*2+6)*JL572*INDEX(Input!$1:$1048576,Input!A$19,$C572*2+6))/1000000</f>
        <v>3.1363924330535418</v>
      </c>
      <c r="JV572" s="39">
        <f t="shared" si="1573"/>
        <v>-0.23363700591471259</v>
      </c>
      <c r="JW572" s="1">
        <f t="shared" si="1574"/>
        <v>-6.9327882781416092E-2</v>
      </c>
      <c r="JX572" s="19">
        <f t="shared" si="1575"/>
        <v>9524.7808479319028</v>
      </c>
      <c r="JZ572" s="341"/>
      <c r="KA572" s="342"/>
      <c r="KB572" s="469">
        <f t="shared" si="1576"/>
        <v>2.5122967434604799</v>
      </c>
      <c r="KI572" s="473">
        <f t="shared" si="1601"/>
        <v>35.68771147029571</v>
      </c>
      <c r="KJ572" s="473">
        <f t="shared" si="1602"/>
        <v>38.532880813629788</v>
      </c>
      <c r="KK572" s="473">
        <f t="shared" si="1579"/>
        <v>-8.020985060369128</v>
      </c>
      <c r="KN572" s="544">
        <f t="shared" si="1580"/>
        <v>5002</v>
      </c>
      <c r="KO572" s="541">
        <f t="shared" si="1620"/>
        <v>7.6250791306565091E-2</v>
      </c>
      <c r="KP572" s="546">
        <f t="shared" si="1621"/>
        <v>570.99926986892217</v>
      </c>
      <c r="KQ572" s="546">
        <f t="shared" si="1622"/>
        <v>541.42138127734643</v>
      </c>
      <c r="KR572" s="548">
        <f t="shared" si="1623"/>
        <v>2.4125302125841883</v>
      </c>
      <c r="KS572" s="548">
        <f t="shared" si="1624"/>
        <v>2.5443269097949184</v>
      </c>
      <c r="KT572" s="473">
        <f t="shared" si="1581"/>
        <v>595.94378802984284</v>
      </c>
      <c r="KU572" s="663">
        <f t="shared" si="1626"/>
        <v>3.9699605376746976</v>
      </c>
    </row>
    <row r="573" spans="1:308" s="26" customFormat="1" ht="15" outlineLevel="1">
      <c r="A573" s="561">
        <f t="shared" si="1541"/>
        <v>5073</v>
      </c>
      <c r="B573" s="561">
        <f t="shared" si="1627"/>
        <v>73</v>
      </c>
      <c r="C573" s="561">
        <f t="shared" si="1628"/>
        <v>5</v>
      </c>
      <c r="D573" s="561" t="str">
        <f t="shared" si="1509"/>
        <v xml:space="preserve">750 CC, 0/2.8/3.8/3.9, 1500 Combo, </v>
      </c>
      <c r="E573" s="475">
        <f>INDEX(Input!$1:$1048576,E$93,$C573*2+MIN($B573,2)+5)
+INDEX(Scenarios!E$121:E$200,MATCH($B573,Scenarios!$B$121:$B$200,0))</f>
        <v>2027.4263093788063</v>
      </c>
      <c r="F573" s="475">
        <f>INDEX(Input!$1:$1048576,F$93,$C573*2+MIN($B573,2)+5)
+INDEX(Scenarios!F$121:F$200,MATCH($B573,Scenarios!$B$121:$B$200,0))</f>
        <v>0</v>
      </c>
      <c r="G573" s="475">
        <f>INDEX(Input!$1:$1048576,G$93,$C573*2+MIN($B573,2)+5)
+INDEX(Scenarios!G$121:G$200,MATCH($B573,Scenarios!$B$121:$B$200,0))</f>
        <v>0</v>
      </c>
      <c r="H573" s="475">
        <f>INDEX(Input!$1:$1048576,H$93,$C573*2+MIN($B573,2)+5)
+INDEX(Scenarios!H$121:H$200,MATCH($B573,Scenarios!$B$121:$B$200,0))</f>
        <v>0</v>
      </c>
      <c r="I573" s="476">
        <f>INDEX(Input!$1:$1048576,I$93,$C573*2+MIN($B573,2)+5)</f>
        <v>0.7</v>
      </c>
      <c r="J573" s="476" t="str">
        <f>INDEX(Input!$1:$1048576,J$93,$C573*2+MIN($B573,2)+5)</f>
        <v>Market</v>
      </c>
      <c r="K573" s="476" t="str">
        <f>INDEX(Input!$1:$1048576,K$93,$C573*2+MIN($B573,2)+5)</f>
        <v>Market</v>
      </c>
      <c r="L573" s="476" t="str">
        <f>INDEX(Input!$1:$1048576,L$93,$C573*2+MIN($B573,2)+5)</f>
        <v>Market</v>
      </c>
      <c r="M573" s="476" t="str">
        <f>INDEX(Input!$1:$1048576,M$93,$C573*2+MIN($B573,2)+5)</f>
        <v>Market</v>
      </c>
      <c r="N573" s="476" t="str">
        <f>INDEX(Input!$1:$1048576,N$93,$C573*2+MIN($B573,2)+5)</f>
        <v>Market</v>
      </c>
      <c r="O573" s="476" t="str">
        <f>INDEX(Input!$1:$1048576,O$93,$C573*2+MIN($B573,2)+5)</f>
        <v>Market</v>
      </c>
      <c r="P573" s="476" t="str">
        <f>INDEX(Input!$1:$1048576,P$93,$C573*2+MIN($B573,2)+5)</f>
        <v>N</v>
      </c>
      <c r="Q573" s="477">
        <f>INDEX(Input!$1:$1048576,Q$93,$C573*2+MIN($B573,2)+5)
+INDEX(Scenarios!Q$121:Q$200,MATCH($B573,Scenarios!$B$121:$B$200,0))</f>
        <v>1500</v>
      </c>
      <c r="R573" s="478">
        <f>IFERROR(MAX(0,INDEX(Input!$1:$1048576,R$93,$C573*2+MIN($B573,2)+5)
+INDEX(Scenarios!R$121:R$200,MATCH($B573,Scenarios!$B$121:$B$200,0)),),"Market")</f>
        <v>0</v>
      </c>
      <c r="S573" s="478">
        <f>IFERROR(MAX(0,INDEX(Input!$1:$1048576,S$93,$C573*2+MIN($B573,2)+5)
+INDEX(Scenarios!S$121:S$200,MATCH($B573,Scenarios!$B$121:$B$200,0)),),"Market")</f>
        <v>0</v>
      </c>
      <c r="T573" s="478">
        <f>IFERROR(MAX(0,INDEX(Input!$1:$1048576,T$93,$C573*2+MIN($B573,2)+5)
+INDEX(Scenarios!T$121:T$200,MATCH($B573,Scenarios!$B$121:$B$200,0)),),"Market")</f>
        <v>0</v>
      </c>
      <c r="U573" s="478">
        <f>IFERROR(MAX(0,INDEX(Input!$1:$1048576,U$93,$C573*2+MIN($B573,2)+5)
+INDEX(Scenarios!U$121:U$200,MATCH($B573,Scenarios!$B$121:$B$200,0)),),"Market")</f>
        <v>0</v>
      </c>
      <c r="V573" s="478">
        <f>IFERROR(MAX(0,INDEX(Input!$1:$1048576,V$93,$C573*2+MIN($B573,2)+5)
+INDEX(Scenarios!V$121:V$200,MATCH($B573,Scenarios!$B$121:$B$200,0)),),"Market")</f>
        <v>3.7999999999999999E-2</v>
      </c>
      <c r="W573" s="885">
        <f>IFERROR(MAX(0,INDEX(Input!$1:$1048576,W$93,$C573*2+MIN($B573,2)+5)-0%,),"Market")</f>
        <v>3.9E-2</v>
      </c>
      <c r="X573" s="476" t="str">
        <f>INDEX(Input!$1:$1048576,X$93,$C573*2+MIN($B573,2)+5)</f>
        <v>Y</v>
      </c>
      <c r="Y573" s="475">
        <f>INDEX(Input!$1:$1048576,Y$93,$C573*2+MIN($B573,2)+5)
++INDEX(Scenarios!Y$121:Y$200,MATCH($B573,Scenarios!$B$121:$B$200,0))</f>
        <v>-717.93641739252325</v>
      </c>
      <c r="Z573" s="477">
        <f>INDEX(Input!$1:$1048576,Z$93,$C573*2+MIN($B573,2)+5)
+INDEX(Scenarios!Z$121:Z$200,MATCH($B573,Scenarios!$B$121:$B$200,0))</f>
        <v>0</v>
      </c>
      <c r="AA573" s="475">
        <f>INDEX(Input!$1:$1048576,AA$93,$C573*2+MIN($B573,2)+5)
+INDEX(Scenarios!AA$121:AA$200,MATCH($B573,Scenarios!$B$121:$B$200,0))</f>
        <v>0</v>
      </c>
      <c r="AB573" s="476">
        <f>INDEX(Input!$1:$1048576,AB$93,$C573*2+MIN($B573,2)+5)</f>
        <v>0.27</v>
      </c>
      <c r="AC573" s="475">
        <f>INDEX(Input!$1:$1048576,AC$93,$C573*2+MIN($B573,2)+5)
+INDEX(Scenarios!AC$121:AC$200,MATCH($B573,Scenarios!$B$121:$B$200,0))</f>
        <v>0</v>
      </c>
      <c r="AD573" s="476">
        <f>INDEX(Input!$1:$1048576,AD$93,$C573*2+MIN($B573,2)+5)</f>
        <v>0.27</v>
      </c>
      <c r="AE573" s="475">
        <f>INDEX(Input!$1:$1048576,AE$93,$C573*2+MIN($B573,2)+5)
+INDEX(Scenarios!AE$121:AE$200,MATCH($B573,Scenarios!$B$121:$B$200,0))</f>
        <v>0</v>
      </c>
      <c r="AF573" s="476">
        <f>INDEX(Input!$1:$1048576,AF$93,$C573*2+MIN($B573,2)+5)</f>
        <v>0.2</v>
      </c>
      <c r="AG573" s="475">
        <f>INDEX(Input!$1:$1048576,AG$93,$C573*2+MIN($B573,2)+5)
+INDEX(Scenarios!AG$121:AG$200,MATCH($B573,Scenarios!$B$121:$B$200,0))</f>
        <v>500</v>
      </c>
      <c r="AH573" s="476">
        <f>INDEX(Input!$1:$1048576,AH$93,$C573*2+MIN($B573,2)+5)</f>
        <v>1</v>
      </c>
      <c r="AI573" s="475">
        <f>INDEX(Input!$1:$1048576,AI$93,$C573*2+MIN($B573,2)+5)
+INDEX(Scenarios!AI$121:AI$200,MATCH($B573,Scenarios!$B$121:$B$200,0))</f>
        <v>0</v>
      </c>
      <c r="AJ573" s="476">
        <f>INDEX(Input!$1:$1048576,AJ$93,$C573*2+MIN($B573,2)+5)</f>
        <v>0.27</v>
      </c>
      <c r="AK573" s="150">
        <f>ROUND(INDEX(Input!$1:$1048576,AK$93,$C572*2+MIN($B573,1)+5)+(Y573-VLOOKUP($C573*1000+1,$A:$HH,Y$92,FALSE)),0)</f>
        <v>2587</v>
      </c>
      <c r="AL573" s="150">
        <f>ROUND(INDEX(Input!$1:$1048576,AL$93,$C572*2+MIN($B573,1)+5)-(Y573-VLOOKUP($C573*1000+1,$A:$HH,Y$92,FALSE))/36,0)</f>
        <v>3406</v>
      </c>
      <c r="AM573" s="32" t="str">
        <f t="shared" si="1544"/>
        <v>std/std/std/std</v>
      </c>
      <c r="AN573" s="32" t="str">
        <f t="shared" si="1545"/>
        <v>$1500 + 0/0/0/3.8/3.9</v>
      </c>
      <c r="AO573" s="32" t="str">
        <f t="shared" si="1546"/>
        <v>0/0/0/3.8/3.9</v>
      </c>
      <c r="AP573" s="32" t="str">
        <f t="shared" si="1526"/>
        <v>0/2.8/3.8/3.9</v>
      </c>
      <c r="AQ573" s="536">
        <f t="shared" si="1525"/>
        <v>0.40560306468089219</v>
      </c>
      <c r="AR573" s="32"/>
      <c r="AS573" s="302"/>
      <c r="AT573" s="3">
        <f t="shared" si="1629"/>
        <v>73</v>
      </c>
      <c r="AU573" s="41" t="s">
        <v>121</v>
      </c>
      <c r="AV573" s="41" t="s">
        <v>116</v>
      </c>
      <c r="AW573" s="41" t="str">
        <f>INDEX(Input!$1:$1048576,AW$93,$C573*2+6)</f>
        <v>Kia</v>
      </c>
      <c r="AX573" s="41" t="str">
        <f>INDEX(Input!$1:$1048576,AX$93,$C573*2+6)</f>
        <v>Kia-LR - R2</v>
      </c>
      <c r="AY573" s="41" t="str">
        <f>IF(LEN(D573)=0,"",INDEX(Input!$1:$1048576,AY$93,$C573*2+6))</f>
        <v>Compact SUV (52)</v>
      </c>
      <c r="AZ573" s="41" t="str">
        <f>INDEX(Input!$1:$1048576,AZ$93,$C573*2+6)</f>
        <v>Kia Soul</v>
      </c>
      <c r="BA573" s="3">
        <f>INDEX(Input!$1:$1048576,BA$93,$C573*2+6)</f>
        <v>2020</v>
      </c>
      <c r="BB573" s="128">
        <f>INDEX(Input!$1:$1048576,BB$93,$C573*2+6)</f>
        <v>1</v>
      </c>
      <c r="BC573" s="128">
        <f>INDEX(Input!$1:$1048576,BC$93,$C573*2+6)</f>
        <v>0.7</v>
      </c>
      <c r="BD573" s="1">
        <f>INDEX(Input!$1:$1048576,BD$93,$C573*2+6)</f>
        <v>4.4999999999999998E-2</v>
      </c>
      <c r="BE573" s="1">
        <f>INDEX(Input!$1:$1048576,BE$93,$C573*2+6)</f>
        <v>4.4999999999999998E-2</v>
      </c>
      <c r="BF573" s="1">
        <f>INDEX(Input!$1:$1048576,BF$93,$C573*2+6)</f>
        <v>0.05</v>
      </c>
      <c r="BG573" s="1">
        <f>INDEX(Input!$1:$1048576,BG$93,$C573*2+6)</f>
        <v>5.45E-2</v>
      </c>
      <c r="BH573" s="1">
        <f>INDEX(Input!$1:$1048576,BH$93,$C573*2+6)</f>
        <v>5.45E-2</v>
      </c>
      <c r="BI573" s="1">
        <f>INDEX(Input!$1:$1048576,BI$93,$C573*2+6)</f>
        <v>0.05</v>
      </c>
      <c r="BJ573" s="1">
        <f>INDEX(Input!$1:$1048576,BJ$93,$C573*2+6)</f>
        <v>0.05</v>
      </c>
      <c r="BK573" s="1">
        <f>INDEX(Input!$1:$1048576,BK$93,$C573*2+6)</f>
        <v>0.05</v>
      </c>
      <c r="BL573" s="1">
        <f>INDEX(Input!$1:$1048576,BL$93,$C573*2+6)</f>
        <v>5.5E-2</v>
      </c>
      <c r="BM573" s="1">
        <f>INDEX(Input!$1:$1048576,BM$93,$C573*2+6)</f>
        <v>0.06</v>
      </c>
      <c r="BN573" s="1">
        <f>INDEX(Input!$1:$1048576,BN$93,$C573*2+6)</f>
        <v>4.4999999999999998E-2</v>
      </c>
      <c r="BO573" s="1">
        <f>INDEX(Input!$1:$1048576,BO$93,$C573*2+6)</f>
        <v>4.4999999999999998E-2</v>
      </c>
      <c r="BP573" s="1">
        <f>INDEX(Input!$1:$1048576,BP$93,$C573*2+6)</f>
        <v>0.05</v>
      </c>
      <c r="BQ573" s="1">
        <f>INDEX(Input!$1:$1048576,BQ$93,$C573*2+6)</f>
        <v>5.45E-2</v>
      </c>
      <c r="BR573" s="1">
        <f>INDEX(Input!$1:$1048576,BR$93,$C573*2+6)</f>
        <v>5.45E-2</v>
      </c>
      <c r="BS573" s="1">
        <f>INDEX(Input!$1:$1048576,BS$93,$C573*2+6)</f>
        <v>0.05</v>
      </c>
      <c r="BT573" s="1">
        <f>INDEX(Input!$1:$1048576,BT$93,$C573*2+6)</f>
        <v>0.05</v>
      </c>
      <c r="BU573" s="1">
        <f>INDEX(Input!$1:$1048576,BU$93,$C573*2+6)</f>
        <v>0.05</v>
      </c>
      <c r="BV573" s="1">
        <f>INDEX(Input!$1:$1048576,BV$93,$C573*2+6)</f>
        <v>5.5E-2</v>
      </c>
      <c r="BW573" s="1">
        <f>INDEX(Input!$1:$1048576,BW$93,$C573*2+6)</f>
        <v>0.06</v>
      </c>
      <c r="BX573" s="127">
        <f>INDEX(Input!$1:$1048576,BX$93,$C573*2+6)</f>
        <v>19985</v>
      </c>
      <c r="BY573" s="20">
        <f>INDEX(Input!$1:$1048576,BY$93,$C573*2+6)</f>
        <v>0.1</v>
      </c>
      <c r="BZ573" s="20">
        <f>INDEX(Input!$1:$1048576,BZ$93,$C573*2+6)</f>
        <v>0.1</v>
      </c>
      <c r="CA573" s="20">
        <f>INDEX(Input!$1:$1048576,CA$93,$C573*2+6)</f>
        <v>0.1</v>
      </c>
      <c r="CB573" s="20">
        <f>INDEX(Input!$1:$1048576,CB$93,$C573*2+6)</f>
        <v>0.1</v>
      </c>
      <c r="CC573" s="20">
        <f>INDEX(Input!$1:$1048576,CC$93,$C573*2+6)</f>
        <v>0.1</v>
      </c>
      <c r="CD573" s="384">
        <f>INDEX(Input!$1:$1048576,CD$93,$C573*2+6)</f>
        <v>0.1</v>
      </c>
      <c r="CE573" s="384">
        <f>INDEX(Input!$1:$1048576,CE$93,$C573*2+6)</f>
        <v>0.1</v>
      </c>
      <c r="CF573" s="384">
        <f>INDEX(Input!$1:$1048576,CF$93,$C573*2+6)</f>
        <v>0.1</v>
      </c>
      <c r="CG573" s="384">
        <f>INDEX(Input!$1:$1048576,CG$93,$C573*2+6)</f>
        <v>0.1</v>
      </c>
      <c r="CH573" s="384">
        <f>INDEX(Input!$1:$1048576,CH$93,$C573*2+6)</f>
        <v>0.1</v>
      </c>
      <c r="CI573" s="304">
        <f t="shared" si="1527"/>
        <v>2027.4263093788063</v>
      </c>
      <c r="CJ573" s="16" t="str">
        <f>INDEX(Input!$1:$1048576,CJ$93,$C573*2+6)</f>
        <v>N</v>
      </c>
      <c r="CK573" s="1" t="str">
        <f t="shared" si="1528"/>
        <v>Market</v>
      </c>
      <c r="CL573" s="1" t="str">
        <f t="shared" si="1529"/>
        <v>Market</v>
      </c>
      <c r="CM573" s="1" t="str">
        <f t="shared" si="1530"/>
        <v>Market</v>
      </c>
      <c r="CN573" s="1" t="str">
        <f t="shared" si="1531"/>
        <v>Market</v>
      </c>
      <c r="CO573" s="1" t="str">
        <f t="shared" si="1532"/>
        <v>Market</v>
      </c>
      <c r="CP573" s="304">
        <f t="shared" si="1533"/>
        <v>2000</v>
      </c>
      <c r="CQ573" s="1">
        <f t="shared" si="1534"/>
        <v>0</v>
      </c>
      <c r="CR573" s="1">
        <f t="shared" si="1535"/>
        <v>0</v>
      </c>
      <c r="CS573" s="1">
        <f t="shared" si="1536"/>
        <v>0</v>
      </c>
      <c r="CT573" s="1">
        <f t="shared" si="1537"/>
        <v>3.7999999999999999E-2</v>
      </c>
      <c r="CU573" s="1">
        <f t="shared" si="1538"/>
        <v>3.9E-2</v>
      </c>
      <c r="CV573" s="304">
        <f t="shared" si="1539"/>
        <v>-717.93641739252325</v>
      </c>
      <c r="CW573" s="20" t="s">
        <v>122</v>
      </c>
      <c r="CX573" s="20" t="s">
        <v>122</v>
      </c>
      <c r="CY573" s="20" t="s">
        <v>122</v>
      </c>
      <c r="CZ573" s="20" t="s">
        <v>122</v>
      </c>
      <c r="DA573" s="20" t="s">
        <v>122</v>
      </c>
      <c r="DB573" s="503">
        <f t="shared" si="1540"/>
        <v>0</v>
      </c>
      <c r="DC573" s="127">
        <v>0</v>
      </c>
      <c r="DD573" s="127">
        <v>0</v>
      </c>
      <c r="DE573" s="127">
        <v>0</v>
      </c>
      <c r="DF573" s="127">
        <v>0</v>
      </c>
      <c r="DG573" s="127">
        <v>0</v>
      </c>
      <c r="DH573" s="127">
        <v>0</v>
      </c>
      <c r="DI573" s="127">
        <v>0</v>
      </c>
      <c r="DJ573" s="127">
        <v>0</v>
      </c>
      <c r="DK573" s="127">
        <v>0</v>
      </c>
      <c r="DL573" s="127">
        <v>0</v>
      </c>
      <c r="DM573" s="304">
        <f>INDEX(Input!$1:$1048576,DM$93,$C573*2+6)</f>
        <v>21036.84210526316</v>
      </c>
      <c r="DN573" s="20">
        <v>0</v>
      </c>
      <c r="DO573" s="20">
        <v>0</v>
      </c>
      <c r="DP573" s="20">
        <v>0</v>
      </c>
      <c r="DQ573" s="20">
        <v>0</v>
      </c>
      <c r="DR573" s="20">
        <v>0</v>
      </c>
      <c r="DS573" s="20">
        <f>INDEX(Input!$1:$1048576,DS$93,$C573*2+6)</f>
        <v>0.6</v>
      </c>
      <c r="DT573" s="20">
        <f>INDEX(Input!$1:$1048576,DT$93,$C573*2+6)</f>
        <v>0.55000000000000004</v>
      </c>
      <c r="DU573" s="20">
        <f>INDEX(Input!$1:$1048576,DU$93,$C573*2+6)</f>
        <v>0.52</v>
      </c>
      <c r="DV573" s="20">
        <f>INDEX(Input!$1:$1048576,DV$93,$C573*2+6)</f>
        <v>0.5</v>
      </c>
      <c r="DW573" s="20">
        <f>INDEX(Input!$1:$1048576,DW$93,$C573*2+6)</f>
        <v>0.45</v>
      </c>
      <c r="DX573" s="20"/>
      <c r="DY573" s="7">
        <v>0.1318684669392664</v>
      </c>
      <c r="DZ573" s="7">
        <v>0</v>
      </c>
      <c r="EA573" s="7">
        <v>0.74124534996021485</v>
      </c>
      <c r="EB573" s="7">
        <v>0</v>
      </c>
      <c r="EC573" s="7">
        <v>0</v>
      </c>
      <c r="ED573" s="7">
        <v>0</v>
      </c>
      <c r="EE573" s="7">
        <v>0</v>
      </c>
      <c r="EF573" s="7">
        <v>0</v>
      </c>
      <c r="EG573" s="7">
        <v>0</v>
      </c>
      <c r="EH573" s="7">
        <v>1.7783093913951654E-2</v>
      </c>
      <c r="EI573" s="7">
        <v>4.9457872366175534E-2</v>
      </c>
      <c r="EJ573" s="7">
        <v>0.42983300360251675</v>
      </c>
      <c r="EK573" s="7">
        <v>0.31899608315177824</v>
      </c>
      <c r="EL573" s="7">
        <v>0.18392994696557793</v>
      </c>
      <c r="EM573" s="7">
        <v>7.9054166966676567E-2</v>
      </c>
      <c r="EN573" s="7">
        <v>5.8486114539977457E-2</v>
      </c>
      <c r="EO573" s="7">
        <v>0.7169771809404234</v>
      </c>
      <c r="EP573" s="7">
        <v>8.9848560559531804E-2</v>
      </c>
      <c r="EQ573" s="7">
        <v>8.8431204443733646E-2</v>
      </c>
      <c r="ER573" s="7">
        <v>4.6256939516334021E-2</v>
      </c>
      <c r="ES573" s="7">
        <v>4.7832016133842283E-2</v>
      </c>
      <c r="ET573" s="7">
        <v>0.12688618310051875</v>
      </c>
      <c r="EU573" s="6">
        <v>2020</v>
      </c>
      <c r="EV573" s="6">
        <v>0</v>
      </c>
      <c r="EW573" s="6">
        <v>2020</v>
      </c>
      <c r="EX573" s="6">
        <v>0</v>
      </c>
      <c r="EY573" s="6">
        <v>3205.0905638698869</v>
      </c>
      <c r="EZ573" s="6">
        <v>-6.4499039401316622</v>
      </c>
      <c r="FA573" s="6">
        <v>0</v>
      </c>
      <c r="FB573" s="6">
        <v>0</v>
      </c>
      <c r="FC573" s="6">
        <v>0</v>
      </c>
      <c r="FD573" s="6">
        <v>0</v>
      </c>
      <c r="FE573" s="6">
        <v>0</v>
      </c>
      <c r="FF573" s="6">
        <v>0</v>
      </c>
      <c r="FG573" s="6">
        <v>0</v>
      </c>
      <c r="FH573" s="6">
        <v>1172.1477188805254</v>
      </c>
      <c r="FI573" s="6">
        <v>1553.9796069512399</v>
      </c>
      <c r="FJ573" s="6">
        <v>2101.2110117447405</v>
      </c>
      <c r="FK573" s="6">
        <v>838.19585232978318</v>
      </c>
      <c r="FL573" s="6">
        <v>907.07682140966335</v>
      </c>
      <c r="FM573" s="6">
        <v>1435.0905638698871</v>
      </c>
      <c r="FN573" s="6">
        <v>0</v>
      </c>
      <c r="FO573" s="6">
        <v>0</v>
      </c>
      <c r="FP573" s="6">
        <v>0</v>
      </c>
      <c r="FQ573" s="6">
        <v>0</v>
      </c>
      <c r="FR573" s="6">
        <v>0</v>
      </c>
      <c r="FS573" s="6">
        <v>0</v>
      </c>
      <c r="FT573" s="7">
        <v>0.8731138168994812</v>
      </c>
      <c r="FU573" s="7">
        <v>7.9054166966676567E-2</v>
      </c>
      <c r="FV573" s="7">
        <v>4.7832016133842283E-2</v>
      </c>
      <c r="FW573" s="6">
        <v>2020.0000000000002</v>
      </c>
      <c r="FX573" s="6">
        <v>3205.0905638698869</v>
      </c>
      <c r="FY573" s="6">
        <v>-6.4499039401316622</v>
      </c>
      <c r="FZ573" s="6">
        <v>1758.1538569113241</v>
      </c>
      <c r="GA573" s="6">
        <v>2016.7571628071157</v>
      </c>
      <c r="GB573" s="6">
        <v>17968.242837192884</v>
      </c>
      <c r="GC573" s="7">
        <v>3.064145122680037E-2</v>
      </c>
      <c r="GD573" s="7">
        <v>3.1913597950699313E-2</v>
      </c>
      <c r="GE573" s="7"/>
      <c r="GF573" s="7"/>
      <c r="GG573" s="7">
        <v>4.1517182540827792E-2</v>
      </c>
      <c r="GH573" s="42">
        <v>3.2084697842679271</v>
      </c>
      <c r="GI573" s="6">
        <v>8245.5831589228728</v>
      </c>
      <c r="GJ573" s="14">
        <v>0.50394797582841733</v>
      </c>
      <c r="GK573" s="14">
        <v>0.50887573065309744</v>
      </c>
      <c r="GL573" s="14">
        <v>0.49605202417158278</v>
      </c>
      <c r="GM573" s="14">
        <v>0.49112426934690256</v>
      </c>
      <c r="GO573" s="5">
        <v>343.14810671672558</v>
      </c>
      <c r="GP573" s="5">
        <v>304.61036031982871</v>
      </c>
      <c r="GQ573" s="5">
        <v>535.04305713031317</v>
      </c>
      <c r="GR573" s="5">
        <v>410.15490233172511</v>
      </c>
      <c r="GS573" s="5">
        <v>339.42744393800166</v>
      </c>
      <c r="GT573" s="5">
        <v>293.4407446948278</v>
      </c>
      <c r="GU573" s="5">
        <v>258.04012322764959</v>
      </c>
      <c r="GV573" s="39" t="s">
        <v>392</v>
      </c>
      <c r="GW573" s="5">
        <v>450.45833333333331</v>
      </c>
      <c r="GX573" s="5">
        <v>337.84375</v>
      </c>
      <c r="GY573" s="5">
        <v>270.27499999999998</v>
      </c>
      <c r="GZ573" s="5">
        <v>252.23502745280661</v>
      </c>
      <c r="HA573" s="5">
        <v>220.91451012583786</v>
      </c>
      <c r="HB573" s="39">
        <v>261.98747088436767</v>
      </c>
      <c r="HC573" s="5">
        <v>287.56655829738071</v>
      </c>
      <c r="HD573" s="5">
        <v>239.99799238008356</v>
      </c>
      <c r="HE573" s="5">
        <v>241.14168635502031</v>
      </c>
      <c r="HF573" s="5">
        <v>221.05790951107167</v>
      </c>
      <c r="HG573" s="5">
        <v>210.75500473779988</v>
      </c>
      <c r="HH573" s="39">
        <v>239.85526678117699</v>
      </c>
      <c r="HI573" s="16"/>
      <c r="HJ573" s="19" t="str">
        <f t="shared" ref="HJ573" si="1636">HJ572</f>
        <v>On</v>
      </c>
      <c r="HK573" s="1" t="str">
        <f t="shared" si="1549"/>
        <v>On</v>
      </c>
      <c r="HL573" s="16"/>
      <c r="HM573" s="639">
        <f t="shared" si="1605"/>
        <v>2.4909940070666322E-2</v>
      </c>
      <c r="HN573" s="639">
        <f t="shared" si="1606"/>
        <v>2.2052381276269151E-3</v>
      </c>
      <c r="HO573" s="639">
        <f t="shared" si="1607"/>
        <v>2.079866082302006E-3</v>
      </c>
      <c r="HP573" s="644">
        <f>(FT573*$GD573-HM573)/$JF573*INDEX(Input!$1:$1048576,$JG$93,$C573*2+6)</f>
        <v>83.077460082902448</v>
      </c>
      <c r="HQ573" s="644">
        <f>(FU573*$GD573-HN573)/$JF573*INDEX(Input!$1:$1048576,$JG$93,$C573*2+6)</f>
        <v>8.9331181125204058</v>
      </c>
      <c r="HR573" s="644">
        <f>(FV573*$GD573-HO573)/$JF573*INDEX(Input!$1:$1048576,$JG$93,$C573*2+6)</f>
        <v>-15.561556857958525</v>
      </c>
      <c r="HS573" s="644">
        <f t="shared" si="1598"/>
        <v>-38.097087917991487</v>
      </c>
      <c r="HT573" s="644">
        <f t="shared" si="1608"/>
        <v>68.792166154390657</v>
      </c>
      <c r="HU573" s="644">
        <f t="shared" si="1609"/>
        <v>3.7531297093685159</v>
      </c>
      <c r="HV573" s="648">
        <f t="shared" si="1610"/>
        <v>0</v>
      </c>
      <c r="HW573" s="648">
        <f t="shared" si="1611"/>
        <v>0</v>
      </c>
      <c r="HX573" s="648">
        <f t="shared" si="1612"/>
        <v>0</v>
      </c>
      <c r="HY573" s="644">
        <f>INDEX(Input!$1:$1048576,HY$93,$C573*2+6)*INDEX(Input!$1:$1048576,$JG$93,$C573*2+6)</f>
        <v>333.00000000000006</v>
      </c>
      <c r="HZ573" s="644">
        <f>INDEX(Input!$1:$1048576,HZ$93,$C573*2+6)*INDEX(Input!$1:$1048576,$JG$93,$C573*2+6)</f>
        <v>429</v>
      </c>
      <c r="IA573" s="644">
        <f>INDEX(Input!$1:$1048576,IA$93,$C573*2+6)*INDEX(Input!$1:$1048576,$JG$93,$C573*2+6)</f>
        <v>59</v>
      </c>
      <c r="IB573" s="644">
        <f t="shared" si="1551"/>
        <v>377.98037216491099</v>
      </c>
      <c r="IC573" s="644">
        <f t="shared" si="1552"/>
        <v>506.72528426691105</v>
      </c>
      <c r="ID573" s="644">
        <f>IF(AND(INDEX(Input!$1:$1048576,IA$93,$C573*2+7)="TOS",Y573&lt;=INDEX(Y:Y,MATCH(C573*1000+2,A:A))),0,1)*MAX(IA573+HR573+HU573+HX573,0%)</f>
        <v>47.191572851409994</v>
      </c>
      <c r="IE573" s="128">
        <f t="shared" si="1599"/>
        <v>0.40560306468089219</v>
      </c>
      <c r="IF573" s="128">
        <f t="shared" si="1600"/>
        <v>0.54375661644219975</v>
      </c>
      <c r="IG573" s="128">
        <f t="shared" si="1555"/>
        <v>5.0640318876908084E-2</v>
      </c>
      <c r="IH573" s="21"/>
      <c r="II573" s="19">
        <f t="shared" si="1613"/>
        <v>1240</v>
      </c>
      <c r="IJ573" s="19">
        <f t="shared" si="1614"/>
        <v>1985.7442651839444</v>
      </c>
      <c r="IK573" s="19">
        <f t="shared" si="1615"/>
        <v>-21.44990394013189</v>
      </c>
      <c r="IL573" s="19">
        <f t="shared" si="1556"/>
        <v>780.00000000000023</v>
      </c>
      <c r="IM573" s="19">
        <f t="shared" si="1557"/>
        <v>1219.3462986859424</v>
      </c>
      <c r="IN573" s="19">
        <f t="shared" si="1558"/>
        <v>15.000000000000227</v>
      </c>
      <c r="IO573" s="39">
        <f t="shared" si="1616"/>
        <v>0</v>
      </c>
      <c r="IP573" s="39">
        <f t="shared" si="1617"/>
        <v>0</v>
      </c>
      <c r="IQ573" s="39">
        <f t="shared" si="1618"/>
        <v>0</v>
      </c>
      <c r="IR573" s="39">
        <v>0</v>
      </c>
      <c r="IS573" s="39">
        <v>0</v>
      </c>
      <c r="IT573" s="39">
        <v>0</v>
      </c>
      <c r="IU573" s="39">
        <v>0</v>
      </c>
      <c r="IV573" s="39">
        <v>0</v>
      </c>
      <c r="IW573" s="39">
        <v>0</v>
      </c>
      <c r="IX573" s="39">
        <f>INDEX(Input!$1:$1048576,IX$93,$C573*2+6)+INDEX(Input!$1:$1048576,IX$94,$C573*2+6)</f>
        <v>1270</v>
      </c>
      <c r="IY573" s="39">
        <f>INDEX(Input!$1:$1048576,IY$93,$C573*2+6)+INDEX(Input!$1:$1048576,IY$94,$C573*2+6)</f>
        <v>2130.0624533823611</v>
      </c>
      <c r="IZ573" s="39">
        <f>INDEX(Input!$1:$1048576,IZ$93,$C573*2+6)+INDEX(Input!$1:$1048576,IZ$94,$C573*2+6)</f>
        <v>3653.7164157747857</v>
      </c>
      <c r="JA573" s="19">
        <f t="shared" si="1559"/>
        <v>2050</v>
      </c>
      <c r="JB573" s="19">
        <f t="shared" si="1560"/>
        <v>3349.4087520683033</v>
      </c>
      <c r="JC573" s="19">
        <f t="shared" si="1561"/>
        <v>3668.7164157747857</v>
      </c>
      <c r="JD573" s="19">
        <f t="shared" si="1562"/>
        <v>2838.534421866163</v>
      </c>
      <c r="JE573" s="21"/>
      <c r="JF573" s="1">
        <f t="shared" si="1619"/>
        <v>2.9195044280595241E-2</v>
      </c>
      <c r="JG573" s="15">
        <f>INDEX(Input!$1:$1048576,JG$93,$C573*2+6)/(1+VLOOKUP(C573*1000+INDEX(Input!$1:$1048576,JG$93+1,$C573*2+6),$A:$KK,$JK$92,FALSE))</f>
        <v>821</v>
      </c>
      <c r="JH573" s="1">
        <f t="shared" si="1563"/>
        <v>9.3116956562075914E-2</v>
      </c>
      <c r="JI573" s="1">
        <f t="shared" si="1564"/>
        <v>4.1958840372433234E-2</v>
      </c>
      <c r="JJ573" s="1">
        <f t="shared" si="1565"/>
        <v>0</v>
      </c>
      <c r="JK573" s="1">
        <f t="shared" si="1566"/>
        <v>0.13507579693450916</v>
      </c>
      <c r="JL573" s="15">
        <f t="shared" si="1567"/>
        <v>110.89722928323202</v>
      </c>
      <c r="JM573" s="15">
        <f t="shared" si="1568"/>
        <v>931.89722928323204</v>
      </c>
      <c r="JN573" s="21"/>
      <c r="JO573" s="19">
        <f>INDEX(Input!$1:$1048576,JO$93,$C573*2+6)</f>
        <v>5995.5</v>
      </c>
      <c r="JP573" s="19">
        <f>INDEX(Input!$1:$1048576,JP$93,$C573*2+6)</f>
        <v>1890.7138380411029</v>
      </c>
      <c r="JQ573" s="39">
        <f t="shared" si="1569"/>
        <v>3156.965578133837</v>
      </c>
      <c r="JR573" s="39">
        <f t="shared" si="1570"/>
        <v>947.82058382506011</v>
      </c>
      <c r="JS573" s="39">
        <f t="shared" si="1571"/>
        <v>2.6452223629621585</v>
      </c>
      <c r="JT573" s="39">
        <f t="shared" si="1572"/>
        <v>1.0929463019304129</v>
      </c>
      <c r="JU573" s="385">
        <f>(JQ573*JM573-INDEX(Input!$1:$1048576,Input!A$18,$C573*2+6)*JL573*INDEX(Input!$1:$1048576,Input!A$19,$C573*2+6))/1000000</f>
        <v>2.9419674752054594</v>
      </c>
      <c r="JV573" s="39">
        <f t="shared" si="1573"/>
        <v>-0.42806196376279493</v>
      </c>
      <c r="JW573" s="1">
        <f t="shared" si="1574"/>
        <v>-0.1270202446343755</v>
      </c>
      <c r="JX573" s="19">
        <f t="shared" si="1575"/>
        <v>9855.4879052841188</v>
      </c>
      <c r="JZ573" s="341"/>
      <c r="KA573" s="342"/>
      <c r="KB573" s="469">
        <f t="shared" si="1576"/>
        <v>2.5122967434604799</v>
      </c>
      <c r="KI573" s="473">
        <f t="shared" si="1601"/>
        <v>44.980372164910932</v>
      </c>
      <c r="KJ573" s="473">
        <f t="shared" si="1602"/>
        <v>77.725284266911103</v>
      </c>
      <c r="KK573" s="473">
        <f t="shared" si="1579"/>
        <v>-11.808427148590006</v>
      </c>
      <c r="KN573" s="544">
        <f t="shared" si="1580"/>
        <v>5002</v>
      </c>
      <c r="KO573" s="541">
        <f t="shared" si="1620"/>
        <v>0.13047291981019726</v>
      </c>
      <c r="KP573" s="546">
        <f t="shared" si="1621"/>
        <v>950.9164167330448</v>
      </c>
      <c r="KQ573" s="546">
        <f t="shared" si="1622"/>
        <v>919.61565614289657</v>
      </c>
      <c r="KR573" s="548">
        <f t="shared" si="1623"/>
        <v>2.4788028965389368</v>
      </c>
      <c r="KS573" s="548">
        <f t="shared" si="1624"/>
        <v>2.5631733783771393</v>
      </c>
      <c r="KT573" s="473">
        <f t="shared" si="1581"/>
        <v>595.94378802984284</v>
      </c>
      <c r="KU573" s="663">
        <f t="shared" si="1626"/>
        <v>3.9690975422254722</v>
      </c>
    </row>
    <row r="574" spans="1:308" s="26" customFormat="1" ht="15" outlineLevel="1">
      <c r="A574" s="561">
        <f t="shared" si="1541"/>
        <v>5074</v>
      </c>
      <c r="B574" s="561">
        <f t="shared" si="1627"/>
        <v>74</v>
      </c>
      <c r="C574" s="561">
        <f t="shared" si="1628"/>
        <v>5</v>
      </c>
      <c r="D574" s="561" t="str">
        <f t="shared" si="1509"/>
        <v xml:space="preserve">1000 CC, 0/2.8/3.8/3.9, 2000 Combo, </v>
      </c>
      <c r="E574" s="475">
        <f>INDEX(Input!$1:$1048576,E$93,$C574*2+MIN($B574,2)+5)
+INDEX(Scenarios!E$121:E$200,MATCH($B574,Scenarios!$B$121:$B$200,0))</f>
        <v>2277.4263093788063</v>
      </c>
      <c r="F574" s="475">
        <f>INDEX(Input!$1:$1048576,F$93,$C574*2+MIN($B574,2)+5)
+INDEX(Scenarios!F$121:F$200,MATCH($B574,Scenarios!$B$121:$B$200,0))</f>
        <v>0</v>
      </c>
      <c r="G574" s="475">
        <f>INDEX(Input!$1:$1048576,G$93,$C574*2+MIN($B574,2)+5)
+INDEX(Scenarios!G$121:G$200,MATCH($B574,Scenarios!$B$121:$B$200,0))</f>
        <v>0</v>
      </c>
      <c r="H574" s="475">
        <f>INDEX(Input!$1:$1048576,H$93,$C574*2+MIN($B574,2)+5)
+INDEX(Scenarios!H$121:H$200,MATCH($B574,Scenarios!$B$121:$B$200,0))</f>
        <v>0</v>
      </c>
      <c r="I574" s="476">
        <f>INDEX(Input!$1:$1048576,I$93,$C574*2+MIN($B574,2)+5)</f>
        <v>0.7</v>
      </c>
      <c r="J574" s="476" t="str">
        <f>INDEX(Input!$1:$1048576,J$93,$C574*2+MIN($B574,2)+5)</f>
        <v>Market</v>
      </c>
      <c r="K574" s="476" t="str">
        <f>INDEX(Input!$1:$1048576,K$93,$C574*2+MIN($B574,2)+5)</f>
        <v>Market</v>
      </c>
      <c r="L574" s="476" t="str">
        <f>INDEX(Input!$1:$1048576,L$93,$C574*2+MIN($B574,2)+5)</f>
        <v>Market</v>
      </c>
      <c r="M574" s="476" t="str">
        <f>INDEX(Input!$1:$1048576,M$93,$C574*2+MIN($B574,2)+5)</f>
        <v>Market</v>
      </c>
      <c r="N574" s="476" t="str">
        <f>INDEX(Input!$1:$1048576,N$93,$C574*2+MIN($B574,2)+5)</f>
        <v>Market</v>
      </c>
      <c r="O574" s="476" t="str">
        <f>INDEX(Input!$1:$1048576,O$93,$C574*2+MIN($B574,2)+5)</f>
        <v>Market</v>
      </c>
      <c r="P574" s="476" t="str">
        <f>INDEX(Input!$1:$1048576,P$93,$C574*2+MIN($B574,2)+5)</f>
        <v>N</v>
      </c>
      <c r="Q574" s="477">
        <f>INDEX(Input!$1:$1048576,Q$93,$C574*2+MIN($B574,2)+5)
+INDEX(Scenarios!Q$121:Q$200,MATCH($B574,Scenarios!$B$121:$B$200,0))</f>
        <v>2000</v>
      </c>
      <c r="R574" s="478">
        <f>IFERROR(MAX(0,INDEX(Input!$1:$1048576,R$93,$C574*2+MIN($B574,2)+5)
+INDEX(Scenarios!R$121:R$200,MATCH($B574,Scenarios!$B$121:$B$200,0)),),"Market")</f>
        <v>0</v>
      </c>
      <c r="S574" s="478">
        <f>IFERROR(MAX(0,INDEX(Input!$1:$1048576,S$93,$C574*2+MIN($B574,2)+5)
+INDEX(Scenarios!S$121:S$200,MATCH($B574,Scenarios!$B$121:$B$200,0)),),"Market")</f>
        <v>0</v>
      </c>
      <c r="T574" s="478">
        <f>IFERROR(MAX(0,INDEX(Input!$1:$1048576,T$93,$C574*2+MIN($B574,2)+5)
+INDEX(Scenarios!T$121:T$200,MATCH($B574,Scenarios!$B$121:$B$200,0)),),"Market")</f>
        <v>0</v>
      </c>
      <c r="U574" s="478">
        <f>IFERROR(MAX(0,INDEX(Input!$1:$1048576,U$93,$C574*2+MIN($B574,2)+5)
+INDEX(Scenarios!U$121:U$200,MATCH($B574,Scenarios!$B$121:$B$200,0)),),"Market")</f>
        <v>0</v>
      </c>
      <c r="V574" s="478">
        <f>IFERROR(MAX(0,INDEX(Input!$1:$1048576,V$93,$C574*2+MIN($B574,2)+5)
+INDEX(Scenarios!V$121:V$200,MATCH($B574,Scenarios!$B$121:$B$200,0)),),"Market")</f>
        <v>3.7999999999999999E-2</v>
      </c>
      <c r="W574" s="885">
        <f>IFERROR(MAX(0,INDEX(Input!$1:$1048576,W$93,$C574*2+MIN($B574,2)+5)-0%,),"Market")</f>
        <v>3.9E-2</v>
      </c>
      <c r="X574" s="476" t="str">
        <f>INDEX(Input!$1:$1048576,X$93,$C574*2+MIN($B574,2)+5)</f>
        <v>Y</v>
      </c>
      <c r="Y574" s="475">
        <f>INDEX(Input!$1:$1048576,Y$93,$C574*2+MIN($B574,2)+5)
++INDEX(Scenarios!Y$121:Y$200,MATCH($B574,Scenarios!$B$121:$B$200,0))</f>
        <v>-717.93641739252325</v>
      </c>
      <c r="Z574" s="477">
        <f>INDEX(Input!$1:$1048576,Z$93,$C574*2+MIN($B574,2)+5)
+INDEX(Scenarios!Z$121:Z$200,MATCH($B574,Scenarios!$B$121:$B$200,0))</f>
        <v>0</v>
      </c>
      <c r="AA574" s="475">
        <f>INDEX(Input!$1:$1048576,AA$93,$C574*2+MIN($B574,2)+5)
+INDEX(Scenarios!AA$121:AA$200,MATCH($B574,Scenarios!$B$121:$B$200,0))</f>
        <v>0</v>
      </c>
      <c r="AB574" s="476">
        <f>INDEX(Input!$1:$1048576,AB$93,$C574*2+MIN($B574,2)+5)</f>
        <v>0.27</v>
      </c>
      <c r="AC574" s="475">
        <f>INDEX(Input!$1:$1048576,AC$93,$C574*2+MIN($B574,2)+5)
+INDEX(Scenarios!AC$121:AC$200,MATCH($B574,Scenarios!$B$121:$B$200,0))</f>
        <v>0</v>
      </c>
      <c r="AD574" s="476">
        <f>INDEX(Input!$1:$1048576,AD$93,$C574*2+MIN($B574,2)+5)</f>
        <v>0.27</v>
      </c>
      <c r="AE574" s="475">
        <f>INDEX(Input!$1:$1048576,AE$93,$C574*2+MIN($B574,2)+5)
+INDEX(Scenarios!AE$121:AE$200,MATCH($B574,Scenarios!$B$121:$B$200,0))</f>
        <v>0</v>
      </c>
      <c r="AF574" s="476">
        <f>INDEX(Input!$1:$1048576,AF$93,$C574*2+MIN($B574,2)+5)</f>
        <v>0.2</v>
      </c>
      <c r="AG574" s="475">
        <f>INDEX(Input!$1:$1048576,AG$93,$C574*2+MIN($B574,2)+5)
+INDEX(Scenarios!AG$121:AG$200,MATCH($B574,Scenarios!$B$121:$B$200,0))</f>
        <v>500</v>
      </c>
      <c r="AH574" s="476">
        <f>INDEX(Input!$1:$1048576,AH$93,$C574*2+MIN($B574,2)+5)</f>
        <v>1</v>
      </c>
      <c r="AI574" s="475">
        <f>INDEX(Input!$1:$1048576,AI$93,$C574*2+MIN($B574,2)+5)
+INDEX(Scenarios!AI$121:AI$200,MATCH($B574,Scenarios!$B$121:$B$200,0))</f>
        <v>0</v>
      </c>
      <c r="AJ574" s="476">
        <f>INDEX(Input!$1:$1048576,AJ$93,$C574*2+MIN($B574,2)+5)</f>
        <v>0.27</v>
      </c>
      <c r="AK574" s="150">
        <f>ROUND(INDEX(Input!$1:$1048576,AK$93,$C573*2+MIN($B574,1)+5)+(Y574-VLOOKUP($C574*1000+1,$A:$HH,Y$92,FALSE)),0)</f>
        <v>2587</v>
      </c>
      <c r="AL574" s="150">
        <f>ROUND(INDEX(Input!$1:$1048576,AL$93,$C573*2+MIN($B574,1)+5)-(Y574-VLOOKUP($C574*1000+1,$A:$HH,Y$92,FALSE))/36,0)</f>
        <v>3406</v>
      </c>
      <c r="AM574" s="32" t="str">
        <f t="shared" si="1544"/>
        <v>std/std/std/std</v>
      </c>
      <c r="AN574" s="32" t="str">
        <f t="shared" si="1545"/>
        <v>$2000 + 0/0/0/3.8/3.9</v>
      </c>
      <c r="AO574" s="32" t="str">
        <f t="shared" si="1546"/>
        <v>0/0/0/3.8/3.9</v>
      </c>
      <c r="AP574" s="32" t="str">
        <f t="shared" si="1526"/>
        <v>0/2.8/3.8/3.9</v>
      </c>
      <c r="AQ574" s="536">
        <f t="shared" si="1525"/>
        <v>0.39507156993670622</v>
      </c>
      <c r="AR574" s="32"/>
      <c r="AS574" s="302"/>
      <c r="AT574" s="3">
        <f t="shared" si="1629"/>
        <v>74</v>
      </c>
      <c r="AU574" s="41" t="s">
        <v>121</v>
      </c>
      <c r="AV574" s="41" t="s">
        <v>116</v>
      </c>
      <c r="AW574" s="41" t="str">
        <f>INDEX(Input!$1:$1048576,AW$93,$C574*2+6)</f>
        <v>Kia</v>
      </c>
      <c r="AX574" s="41" t="str">
        <f>INDEX(Input!$1:$1048576,AX$93,$C574*2+6)</f>
        <v>Kia-LR - R2</v>
      </c>
      <c r="AY574" s="41" t="str">
        <f>IF(LEN(D574)=0,"",INDEX(Input!$1:$1048576,AY$93,$C574*2+6))</f>
        <v>Compact SUV (52)</v>
      </c>
      <c r="AZ574" s="41" t="str">
        <f>INDEX(Input!$1:$1048576,AZ$93,$C574*2+6)</f>
        <v>Kia Soul</v>
      </c>
      <c r="BA574" s="3">
        <f>INDEX(Input!$1:$1048576,BA$93,$C574*2+6)</f>
        <v>2020</v>
      </c>
      <c r="BB574" s="128">
        <f>INDEX(Input!$1:$1048576,BB$93,$C574*2+6)</f>
        <v>1</v>
      </c>
      <c r="BC574" s="128">
        <f>INDEX(Input!$1:$1048576,BC$93,$C574*2+6)</f>
        <v>0.7</v>
      </c>
      <c r="BD574" s="1">
        <f>INDEX(Input!$1:$1048576,BD$93,$C574*2+6)</f>
        <v>4.4999999999999998E-2</v>
      </c>
      <c r="BE574" s="1">
        <f>INDEX(Input!$1:$1048576,BE$93,$C574*2+6)</f>
        <v>4.4999999999999998E-2</v>
      </c>
      <c r="BF574" s="1">
        <f>INDEX(Input!$1:$1048576,BF$93,$C574*2+6)</f>
        <v>0.05</v>
      </c>
      <c r="BG574" s="1">
        <f>INDEX(Input!$1:$1048576,BG$93,$C574*2+6)</f>
        <v>5.45E-2</v>
      </c>
      <c r="BH574" s="1">
        <f>INDEX(Input!$1:$1048576,BH$93,$C574*2+6)</f>
        <v>5.45E-2</v>
      </c>
      <c r="BI574" s="1">
        <f>INDEX(Input!$1:$1048576,BI$93,$C574*2+6)</f>
        <v>0.05</v>
      </c>
      <c r="BJ574" s="1">
        <f>INDEX(Input!$1:$1048576,BJ$93,$C574*2+6)</f>
        <v>0.05</v>
      </c>
      <c r="BK574" s="1">
        <f>INDEX(Input!$1:$1048576,BK$93,$C574*2+6)</f>
        <v>0.05</v>
      </c>
      <c r="BL574" s="1">
        <f>INDEX(Input!$1:$1048576,BL$93,$C574*2+6)</f>
        <v>5.5E-2</v>
      </c>
      <c r="BM574" s="1">
        <f>INDEX(Input!$1:$1048576,BM$93,$C574*2+6)</f>
        <v>0.06</v>
      </c>
      <c r="BN574" s="1">
        <f>INDEX(Input!$1:$1048576,BN$93,$C574*2+6)</f>
        <v>4.4999999999999998E-2</v>
      </c>
      <c r="BO574" s="1">
        <f>INDEX(Input!$1:$1048576,BO$93,$C574*2+6)</f>
        <v>4.4999999999999998E-2</v>
      </c>
      <c r="BP574" s="1">
        <f>INDEX(Input!$1:$1048576,BP$93,$C574*2+6)</f>
        <v>0.05</v>
      </c>
      <c r="BQ574" s="1">
        <f>INDEX(Input!$1:$1048576,BQ$93,$C574*2+6)</f>
        <v>5.45E-2</v>
      </c>
      <c r="BR574" s="1">
        <f>INDEX(Input!$1:$1048576,BR$93,$C574*2+6)</f>
        <v>5.45E-2</v>
      </c>
      <c r="BS574" s="1">
        <f>INDEX(Input!$1:$1048576,BS$93,$C574*2+6)</f>
        <v>0.05</v>
      </c>
      <c r="BT574" s="1">
        <f>INDEX(Input!$1:$1048576,BT$93,$C574*2+6)</f>
        <v>0.05</v>
      </c>
      <c r="BU574" s="1">
        <f>INDEX(Input!$1:$1048576,BU$93,$C574*2+6)</f>
        <v>0.05</v>
      </c>
      <c r="BV574" s="1">
        <f>INDEX(Input!$1:$1048576,BV$93,$C574*2+6)</f>
        <v>5.5E-2</v>
      </c>
      <c r="BW574" s="1">
        <f>INDEX(Input!$1:$1048576,BW$93,$C574*2+6)</f>
        <v>0.06</v>
      </c>
      <c r="BX574" s="127">
        <f>INDEX(Input!$1:$1048576,BX$93,$C574*2+6)</f>
        <v>19985</v>
      </c>
      <c r="BY574" s="20">
        <f>INDEX(Input!$1:$1048576,BY$93,$C574*2+6)</f>
        <v>0.1</v>
      </c>
      <c r="BZ574" s="20">
        <f>INDEX(Input!$1:$1048576,BZ$93,$C574*2+6)</f>
        <v>0.1</v>
      </c>
      <c r="CA574" s="20">
        <f>INDEX(Input!$1:$1048576,CA$93,$C574*2+6)</f>
        <v>0.1</v>
      </c>
      <c r="CB574" s="20">
        <f>INDEX(Input!$1:$1048576,CB$93,$C574*2+6)</f>
        <v>0.1</v>
      </c>
      <c r="CC574" s="20">
        <f>INDEX(Input!$1:$1048576,CC$93,$C574*2+6)</f>
        <v>0.1</v>
      </c>
      <c r="CD574" s="384">
        <f>INDEX(Input!$1:$1048576,CD$93,$C574*2+6)</f>
        <v>0.1</v>
      </c>
      <c r="CE574" s="384">
        <f>INDEX(Input!$1:$1048576,CE$93,$C574*2+6)</f>
        <v>0.1</v>
      </c>
      <c r="CF574" s="384">
        <f>INDEX(Input!$1:$1048576,CF$93,$C574*2+6)</f>
        <v>0.1</v>
      </c>
      <c r="CG574" s="384">
        <f>INDEX(Input!$1:$1048576,CG$93,$C574*2+6)</f>
        <v>0.1</v>
      </c>
      <c r="CH574" s="384">
        <f>INDEX(Input!$1:$1048576,CH$93,$C574*2+6)</f>
        <v>0.1</v>
      </c>
      <c r="CI574" s="304">
        <f t="shared" si="1527"/>
        <v>2277.4263093788063</v>
      </c>
      <c r="CJ574" s="16" t="str">
        <f>INDEX(Input!$1:$1048576,CJ$93,$C574*2+6)</f>
        <v>N</v>
      </c>
      <c r="CK574" s="1" t="str">
        <f t="shared" si="1528"/>
        <v>Market</v>
      </c>
      <c r="CL574" s="1" t="str">
        <f t="shared" si="1529"/>
        <v>Market</v>
      </c>
      <c r="CM574" s="1" t="str">
        <f t="shared" si="1530"/>
        <v>Market</v>
      </c>
      <c r="CN574" s="1" t="str">
        <f t="shared" si="1531"/>
        <v>Market</v>
      </c>
      <c r="CO574" s="1" t="str">
        <f t="shared" si="1532"/>
        <v>Market</v>
      </c>
      <c r="CP574" s="304">
        <f t="shared" si="1533"/>
        <v>2500</v>
      </c>
      <c r="CQ574" s="1">
        <f t="shared" si="1534"/>
        <v>0</v>
      </c>
      <c r="CR574" s="1">
        <f t="shared" si="1535"/>
        <v>0</v>
      </c>
      <c r="CS574" s="1">
        <f t="shared" si="1536"/>
        <v>0</v>
      </c>
      <c r="CT574" s="1">
        <f t="shared" si="1537"/>
        <v>3.7999999999999999E-2</v>
      </c>
      <c r="CU574" s="1">
        <f t="shared" si="1538"/>
        <v>3.9E-2</v>
      </c>
      <c r="CV574" s="304">
        <f t="shared" si="1539"/>
        <v>-717.93641739252325</v>
      </c>
      <c r="CW574" s="20" t="s">
        <v>122</v>
      </c>
      <c r="CX574" s="20" t="s">
        <v>122</v>
      </c>
      <c r="CY574" s="20" t="s">
        <v>122</v>
      </c>
      <c r="CZ574" s="20" t="s">
        <v>122</v>
      </c>
      <c r="DA574" s="20" t="s">
        <v>122</v>
      </c>
      <c r="DB574" s="503">
        <f t="shared" si="1540"/>
        <v>0</v>
      </c>
      <c r="DC574" s="127">
        <v>0</v>
      </c>
      <c r="DD574" s="127">
        <v>0</v>
      </c>
      <c r="DE574" s="127">
        <v>0</v>
      </c>
      <c r="DF574" s="127">
        <v>0</v>
      </c>
      <c r="DG574" s="127">
        <v>0</v>
      </c>
      <c r="DH574" s="127">
        <v>0</v>
      </c>
      <c r="DI574" s="127">
        <v>0</v>
      </c>
      <c r="DJ574" s="127">
        <v>0</v>
      </c>
      <c r="DK574" s="127">
        <v>0</v>
      </c>
      <c r="DL574" s="127">
        <v>0</v>
      </c>
      <c r="DM574" s="304">
        <f>INDEX(Input!$1:$1048576,DM$93,$C574*2+6)</f>
        <v>21036.84210526316</v>
      </c>
      <c r="DN574" s="20">
        <v>0</v>
      </c>
      <c r="DO574" s="20">
        <v>0</v>
      </c>
      <c r="DP574" s="20">
        <v>0</v>
      </c>
      <c r="DQ574" s="20">
        <v>0</v>
      </c>
      <c r="DR574" s="20">
        <v>0</v>
      </c>
      <c r="DS574" s="20">
        <f>INDEX(Input!$1:$1048576,DS$93,$C574*2+6)</f>
        <v>0.6</v>
      </c>
      <c r="DT574" s="20">
        <f>INDEX(Input!$1:$1048576,DT$93,$C574*2+6)</f>
        <v>0.55000000000000004</v>
      </c>
      <c r="DU574" s="20">
        <f>INDEX(Input!$1:$1048576,DU$93,$C574*2+6)</f>
        <v>0.52</v>
      </c>
      <c r="DV574" s="20">
        <f>INDEX(Input!$1:$1048576,DV$93,$C574*2+6)</f>
        <v>0.5</v>
      </c>
      <c r="DW574" s="20">
        <f>INDEX(Input!$1:$1048576,DW$93,$C574*2+6)</f>
        <v>0.45</v>
      </c>
      <c r="DX574" s="20"/>
      <c r="DY574" s="7">
        <v>0.13460124643925933</v>
      </c>
      <c r="DZ574" s="7">
        <v>0</v>
      </c>
      <c r="EA574" s="7">
        <v>0.73389100701866861</v>
      </c>
      <c r="EB574" s="7">
        <v>0</v>
      </c>
      <c r="EC574" s="7">
        <v>0</v>
      </c>
      <c r="ED574" s="7">
        <v>0</v>
      </c>
      <c r="EE574" s="7">
        <v>0</v>
      </c>
      <c r="EF574" s="7">
        <v>0</v>
      </c>
      <c r="EG574" s="7">
        <v>0</v>
      </c>
      <c r="EH574" s="7">
        <v>1.7782702741931014E-2</v>
      </c>
      <c r="EI574" s="7">
        <v>4.94604863783904E-2</v>
      </c>
      <c r="EJ574" s="7">
        <v>0.42989274594276794</v>
      </c>
      <c r="EK574" s="7">
        <v>0.31894124356895048</v>
      </c>
      <c r="EL574" s="7">
        <v>0.18392282136795998</v>
      </c>
      <c r="EM574" s="7">
        <v>9.0056958535181128E-2</v>
      </c>
      <c r="EN574" s="7">
        <v>5.8486738225850925E-2</v>
      </c>
      <c r="EO574" s="7">
        <v>0.71693488828815599</v>
      </c>
      <c r="EP574" s="7">
        <v>8.988416269871842E-2</v>
      </c>
      <c r="EQ574" s="7">
        <v>8.8441865458048857E-2</v>
      </c>
      <c r="ER574" s="7">
        <v>4.6252345329225841E-2</v>
      </c>
      <c r="ES574" s="7">
        <v>4.1450788006890768E-2</v>
      </c>
      <c r="ET574" s="7">
        <v>0.13150774654207195</v>
      </c>
      <c r="EU574" s="6">
        <v>2270</v>
      </c>
      <c r="EV574" s="6">
        <v>0</v>
      </c>
      <c r="EW574" s="6">
        <v>2270</v>
      </c>
      <c r="EX574" s="6">
        <v>0</v>
      </c>
      <c r="EY574" s="6">
        <v>3705.1673070910538</v>
      </c>
      <c r="EZ574" s="6">
        <v>-6.4499039401316622</v>
      </c>
      <c r="FA574" s="6">
        <v>0</v>
      </c>
      <c r="FB574" s="6">
        <v>0</v>
      </c>
      <c r="FC574" s="6">
        <v>0</v>
      </c>
      <c r="FD574" s="6">
        <v>0</v>
      </c>
      <c r="FE574" s="6">
        <v>0</v>
      </c>
      <c r="FF574" s="6">
        <v>0</v>
      </c>
      <c r="FG574" s="6">
        <v>0</v>
      </c>
      <c r="FH574" s="6">
        <v>1172.1498627047122</v>
      </c>
      <c r="FI574" s="6">
        <v>1553.9796069512404</v>
      </c>
      <c r="FJ574" s="6">
        <v>2101.211011744741</v>
      </c>
      <c r="FK574" s="6">
        <v>838.19585232978307</v>
      </c>
      <c r="FL574" s="6">
        <v>907.07682140966324</v>
      </c>
      <c r="FM574" s="6">
        <v>1435.1673070910535</v>
      </c>
      <c r="FN574" s="6">
        <v>0</v>
      </c>
      <c r="FO574" s="6">
        <v>0</v>
      </c>
      <c r="FP574" s="6">
        <v>0</v>
      </c>
      <c r="FQ574" s="6">
        <v>0</v>
      </c>
      <c r="FR574" s="6">
        <v>0</v>
      </c>
      <c r="FS574" s="6">
        <v>0</v>
      </c>
      <c r="FT574" s="7">
        <v>0.86849225345792791</v>
      </c>
      <c r="FU574" s="7">
        <v>9.0056958535181128E-2</v>
      </c>
      <c r="FV574" s="7">
        <v>4.1450788006890768E-2</v>
      </c>
      <c r="FW574" s="6">
        <v>2270.0000000000005</v>
      </c>
      <c r="FX574" s="6">
        <v>3705.1673070910538</v>
      </c>
      <c r="FY574" s="6">
        <v>-6.4499039401316622</v>
      </c>
      <c r="FZ574" s="6">
        <v>1758.1538569113241</v>
      </c>
      <c r="GA574" s="6">
        <v>2304.8861602892171</v>
      </c>
      <c r="GB574" s="6">
        <v>17680.113839710782</v>
      </c>
      <c r="GC574" s="7">
        <v>3.064145122680037E-2</v>
      </c>
      <c r="GD574" s="7">
        <v>3.2926293517603532E-2</v>
      </c>
      <c r="GE574" s="7"/>
      <c r="GF574" s="7"/>
      <c r="GG574" s="7">
        <v>7.4567039070419006E-2</v>
      </c>
      <c r="GH574" s="42">
        <v>2.7256890924776855</v>
      </c>
      <c r="GI574" s="6">
        <v>9636.976990147361</v>
      </c>
      <c r="GJ574" s="14">
        <v>0.50394797582841766</v>
      </c>
      <c r="GK574" s="14">
        <v>0.50887573065309777</v>
      </c>
      <c r="GL574" s="14">
        <v>0.49605202417158323</v>
      </c>
      <c r="GM574" s="14">
        <v>0.49112426934690284</v>
      </c>
      <c r="GO574" s="5">
        <v>343.14810671672558</v>
      </c>
      <c r="GP574" s="5">
        <v>299.84083725090579</v>
      </c>
      <c r="GQ574" s="5">
        <v>535.04305713031317</v>
      </c>
      <c r="GR574" s="5">
        <v>410.15490233172511</v>
      </c>
      <c r="GS574" s="5">
        <v>339.42744393800166</v>
      </c>
      <c r="GT574" s="5">
        <v>293.4407446948278</v>
      </c>
      <c r="GU574" s="5">
        <v>258.04012322764959</v>
      </c>
      <c r="GV574" s="39" t="s">
        <v>392</v>
      </c>
      <c r="GW574" s="5">
        <v>436.56944444444446</v>
      </c>
      <c r="GX574" s="5">
        <v>327.42708333333331</v>
      </c>
      <c r="GY574" s="5">
        <v>261.94166666666666</v>
      </c>
      <c r="GZ574" s="5">
        <v>244.45791687244687</v>
      </c>
      <c r="HA574" s="5">
        <v>214.10309859665963</v>
      </c>
      <c r="HB574" s="39">
        <v>253.91106777714197</v>
      </c>
      <c r="HC574" s="5">
        <v>287.56655829738071</v>
      </c>
      <c r="HD574" s="5">
        <v>239.99799238008356</v>
      </c>
      <c r="HE574" s="5">
        <v>241.14168635502031</v>
      </c>
      <c r="HF574" s="5">
        <v>221.05790951107167</v>
      </c>
      <c r="HG574" s="5">
        <v>210.75500473779988</v>
      </c>
      <c r="HH574" s="39">
        <v>239.85526959423376</v>
      </c>
      <c r="HI574" s="16"/>
      <c r="HJ574" s="19" t="str">
        <f t="shared" ref="HJ574:HK575" si="1637">HJ573</f>
        <v>On</v>
      </c>
      <c r="HK574" s="1" t="str">
        <f t="shared" si="1549"/>
        <v>On</v>
      </c>
      <c r="HL574" s="16"/>
      <c r="HM574" s="639">
        <f t="shared" si="1605"/>
        <v>2.4909940070666322E-2</v>
      </c>
      <c r="HN574" s="639">
        <f t="shared" si="1606"/>
        <v>2.2052381276269151E-3</v>
      </c>
      <c r="HO574" s="639">
        <f t="shared" si="1607"/>
        <v>2.079866082302006E-3</v>
      </c>
      <c r="HP574" s="644">
        <f>(FT574*$GD574-HM574)/$JF574*INDEX(Input!$1:$1048576,$JG$93,$C574*2+6)</f>
        <v>103.6629609104091</v>
      </c>
      <c r="HQ574" s="644">
        <f>(FU574*$GD574-HN574)/$JF574*INDEX(Input!$1:$1048576,$JG$93,$C574*2+6)</f>
        <v>21.372225028934707</v>
      </c>
      <c r="HR574" s="644">
        <f>(FV574*$GD574-HO574)/$JF574*INDEX(Input!$1:$1048576,$JG$93,$C574*2+6)</f>
        <v>-20.107938898999798</v>
      </c>
      <c r="HS574" s="644">
        <f t="shared" si="1598"/>
        <v>-50.349943654566623</v>
      </c>
      <c r="HT574" s="644">
        <f t="shared" si="1608"/>
        <v>97.28949041899304</v>
      </c>
      <c r="HU574" s="644">
        <f t="shared" si="1609"/>
        <v>4.9636719959781637</v>
      </c>
      <c r="HV574" s="648">
        <f t="shared" si="1610"/>
        <v>0</v>
      </c>
      <c r="HW574" s="648">
        <f t="shared" si="1611"/>
        <v>0</v>
      </c>
      <c r="HX574" s="648">
        <f t="shared" si="1612"/>
        <v>0</v>
      </c>
      <c r="HY574" s="644">
        <f>INDEX(Input!$1:$1048576,HY$93,$C574*2+6)*INDEX(Input!$1:$1048576,$JG$93,$C574*2+6)</f>
        <v>333.00000000000006</v>
      </c>
      <c r="HZ574" s="644">
        <f>INDEX(Input!$1:$1048576,HZ$93,$C574*2+6)*INDEX(Input!$1:$1048576,$JG$93,$C574*2+6)</f>
        <v>429</v>
      </c>
      <c r="IA574" s="644">
        <f>INDEX(Input!$1:$1048576,IA$93,$C574*2+6)*INDEX(Input!$1:$1048576,$JG$93,$C574*2+6)</f>
        <v>59</v>
      </c>
      <c r="IB574" s="644">
        <f t="shared" si="1551"/>
        <v>386.31301725584251</v>
      </c>
      <c r="IC574" s="644">
        <f t="shared" si="1552"/>
        <v>547.6617154479278</v>
      </c>
      <c r="ID574" s="644">
        <f>IF(AND(INDEX(Input!$1:$1048576,IA$93,$C574*2+7)="TOS",Y574&lt;=INDEX(Y:Y,MATCH(C574*1000+2,A:A))),0,1)*MAX(IA574+HR574+HU574+HX574,0%)</f>
        <v>43.855733096978369</v>
      </c>
      <c r="IE574" s="128">
        <f t="shared" si="1599"/>
        <v>0.39507156993670622</v>
      </c>
      <c r="IF574" s="128">
        <f t="shared" si="1600"/>
        <v>0.56007839252527869</v>
      </c>
      <c r="IG574" s="128">
        <f t="shared" si="1555"/>
        <v>4.48500375380151E-2</v>
      </c>
      <c r="IH574" s="21"/>
      <c r="II574" s="19">
        <f t="shared" si="1613"/>
        <v>1240</v>
      </c>
      <c r="IJ574" s="19">
        <f t="shared" si="1614"/>
        <v>1985.7442651839444</v>
      </c>
      <c r="IK574" s="19">
        <f t="shared" si="1615"/>
        <v>-21.44990394013189</v>
      </c>
      <c r="IL574" s="19">
        <f t="shared" si="1556"/>
        <v>1030.0000000000005</v>
      </c>
      <c r="IM574" s="19">
        <f t="shared" si="1557"/>
        <v>1719.4230419071093</v>
      </c>
      <c r="IN574" s="19">
        <f t="shared" si="1558"/>
        <v>15.000000000000227</v>
      </c>
      <c r="IO574" s="39">
        <f t="shared" si="1616"/>
        <v>0</v>
      </c>
      <c r="IP574" s="39">
        <f t="shared" si="1617"/>
        <v>0</v>
      </c>
      <c r="IQ574" s="39">
        <f t="shared" si="1618"/>
        <v>0</v>
      </c>
      <c r="IR574" s="39">
        <v>0</v>
      </c>
      <c r="IS574" s="39">
        <v>0</v>
      </c>
      <c r="IT574" s="39">
        <v>0</v>
      </c>
      <c r="IU574" s="39">
        <v>0</v>
      </c>
      <c r="IV574" s="39">
        <v>0</v>
      </c>
      <c r="IW574" s="39">
        <v>0</v>
      </c>
      <c r="IX574" s="39">
        <f>INDEX(Input!$1:$1048576,IX$93,$C574*2+6)+INDEX(Input!$1:$1048576,IX$94,$C574*2+6)</f>
        <v>1270</v>
      </c>
      <c r="IY574" s="39">
        <f>INDEX(Input!$1:$1048576,IY$93,$C574*2+6)+INDEX(Input!$1:$1048576,IY$94,$C574*2+6)</f>
        <v>2130.0624533823611</v>
      </c>
      <c r="IZ574" s="39">
        <f>INDEX(Input!$1:$1048576,IZ$93,$C574*2+6)+INDEX(Input!$1:$1048576,IZ$94,$C574*2+6)</f>
        <v>3653.7164157747857</v>
      </c>
      <c r="JA574" s="19">
        <f t="shared" si="1559"/>
        <v>2300.0000000000005</v>
      </c>
      <c r="JB574" s="19">
        <f t="shared" si="1560"/>
        <v>3849.4854952894702</v>
      </c>
      <c r="JC574" s="19">
        <f t="shared" si="1561"/>
        <v>3668.7164157747857</v>
      </c>
      <c r="JD574" s="19">
        <f t="shared" si="1562"/>
        <v>3229.2203280693589</v>
      </c>
      <c r="JE574" s="21"/>
      <c r="JF574" s="1">
        <f t="shared" si="1619"/>
        <v>2.9195044280595241E-2</v>
      </c>
      <c r="JG574" s="15">
        <f>INDEX(Input!$1:$1048576,JG$93,$C574*2+6)/(1+VLOOKUP(C574*1000+INDEX(Input!$1:$1048576,JG$93+1,$C574*2+6),$A:$KK,$JK$92,FALSE))</f>
        <v>821</v>
      </c>
      <c r="JH574" s="1">
        <f t="shared" si="1563"/>
        <v>0.12780419858750794</v>
      </c>
      <c r="JI574" s="1">
        <f t="shared" si="1564"/>
        <v>6.3219511279420937E-2</v>
      </c>
      <c r="JJ574" s="1">
        <f t="shared" si="1565"/>
        <v>0</v>
      </c>
      <c r="JK574" s="1">
        <f t="shared" si="1566"/>
        <v>0.19102370986692888</v>
      </c>
      <c r="JL574" s="15">
        <f t="shared" si="1567"/>
        <v>156.83046580074861</v>
      </c>
      <c r="JM574" s="15">
        <f t="shared" si="1568"/>
        <v>977.83046580074858</v>
      </c>
      <c r="JN574" s="21"/>
      <c r="JO574" s="19">
        <f>INDEX(Input!$1:$1048576,JO$93,$C574*2+6)</f>
        <v>5995.5</v>
      </c>
      <c r="JP574" s="19">
        <f>INDEX(Input!$1:$1048576,JP$93,$C574*2+6)</f>
        <v>1890.7138380411029</v>
      </c>
      <c r="JQ574" s="39">
        <f t="shared" si="1569"/>
        <v>2766.2796719306411</v>
      </c>
      <c r="JR574" s="39">
        <f t="shared" si="1570"/>
        <v>1338.5064900282559</v>
      </c>
      <c r="JS574" s="39">
        <f t="shared" si="1571"/>
        <v>3.1576300175693071</v>
      </c>
      <c r="JT574" s="39">
        <f t="shared" si="1572"/>
        <v>1.6053539565375616</v>
      </c>
      <c r="JU574" s="385">
        <f>(JQ574*JM574-INDEX(Input!$1:$1048576,Input!A$18,$C574*2+6)*JL574*INDEX(Input!$1:$1048576,Input!A$19,$C574*2+6))/1000000</f>
        <v>2.704952540139081</v>
      </c>
      <c r="JV574" s="39">
        <f t="shared" si="1573"/>
        <v>-0.66507689882917331</v>
      </c>
      <c r="JW574" s="1">
        <f t="shared" si="1574"/>
        <v>-0.19735047152371132</v>
      </c>
      <c r="JX574" s="19">
        <f t="shared" si="1575"/>
        <v>10236.237891285398</v>
      </c>
      <c r="JZ574" s="341"/>
      <c r="KA574" s="342"/>
      <c r="KB574" s="469">
        <f t="shared" si="1576"/>
        <v>2.5122967434604799</v>
      </c>
      <c r="KI574" s="473">
        <f t="shared" si="1601"/>
        <v>53.313017255842396</v>
      </c>
      <c r="KJ574" s="473">
        <f t="shared" si="1602"/>
        <v>118.6617154479278</v>
      </c>
      <c r="KK574" s="473">
        <f t="shared" si="1579"/>
        <v>-15.144266903021638</v>
      </c>
      <c r="KN574" s="544">
        <f t="shared" si="1580"/>
        <v>5002</v>
      </c>
      <c r="KO574" s="541">
        <f t="shared" si="1620"/>
        <v>0.18619395682007056</v>
      </c>
      <c r="KP574" s="546">
        <f t="shared" si="1621"/>
        <v>1341.280086572815</v>
      </c>
      <c r="KQ574" s="546">
        <f t="shared" si="1622"/>
        <v>1310.3015623460924</v>
      </c>
      <c r="KR574" s="548">
        <f t="shared" si="1623"/>
        <v>2.5078991203379779</v>
      </c>
      <c r="KS574" s="548">
        <f t="shared" si="1624"/>
        <v>2.5671915884919962</v>
      </c>
      <c r="KT574" s="473">
        <f t="shared" si="1581"/>
        <v>595.94378802984284</v>
      </c>
      <c r="KU574" s="663">
        <f t="shared" si="1626"/>
        <v>3.965918538949468</v>
      </c>
    </row>
    <row r="575" spans="1:308" s="26" customFormat="1" ht="15" outlineLevel="1">
      <c r="A575" s="561">
        <f t="shared" si="1541"/>
        <v>5075</v>
      </c>
      <c r="B575" s="561">
        <f t="shared" si="1627"/>
        <v>75</v>
      </c>
      <c r="C575" s="561">
        <f t="shared" si="1628"/>
        <v>5</v>
      </c>
      <c r="D575" s="561" t="str">
        <f t="shared" si="1509"/>
        <v xml:space="preserve">-500 OLP/CBP, </v>
      </c>
      <c r="E575" s="475">
        <f>INDEX(Input!$1:$1048576,E$93,$C575*2+MIN($B575,2)+5)
+INDEX(Scenarios!E$121:E$200,MATCH($B575,Scenarios!$B$121:$B$200,0))</f>
        <v>1277.4263093788063</v>
      </c>
      <c r="F575" s="475">
        <f>INDEX(Input!$1:$1048576,F$93,$C575*2+MIN($B575,2)+5)
+INDEX(Scenarios!F$121:F$200,MATCH($B575,Scenarios!$B$121:$B$200,0))</f>
        <v>0</v>
      </c>
      <c r="G575" s="475">
        <f>INDEX(Input!$1:$1048576,G$93,$C575*2+MIN($B575,2)+5)
+INDEX(Scenarios!G$121:G$200,MATCH($B575,Scenarios!$B$121:$B$200,0))</f>
        <v>0</v>
      </c>
      <c r="H575" s="475">
        <f>INDEX(Input!$1:$1048576,H$93,$C575*2+MIN($B575,2)+5)
+INDEX(Scenarios!H$121:H$200,MATCH($B575,Scenarios!$B$121:$B$200,0))</f>
        <v>0</v>
      </c>
      <c r="I575" s="476">
        <f>INDEX(Input!$1:$1048576,I$93,$C575*2+MIN($B575,2)+5)</f>
        <v>0.7</v>
      </c>
      <c r="J575" s="476" t="str">
        <f>INDEX(Input!$1:$1048576,J$93,$C575*2+MIN($B575,2)+5)</f>
        <v>Market</v>
      </c>
      <c r="K575" s="476" t="str">
        <f>INDEX(Input!$1:$1048576,K$93,$C575*2+MIN($B575,2)+5)</f>
        <v>Market</v>
      </c>
      <c r="L575" s="476" t="str">
        <f>INDEX(Input!$1:$1048576,L$93,$C575*2+MIN($B575,2)+5)</f>
        <v>Market</v>
      </c>
      <c r="M575" s="476" t="str">
        <f>INDEX(Input!$1:$1048576,M$93,$C575*2+MIN($B575,2)+5)</f>
        <v>Market</v>
      </c>
      <c r="N575" s="476" t="str">
        <f>INDEX(Input!$1:$1048576,N$93,$C575*2+MIN($B575,2)+5)</f>
        <v>Market</v>
      </c>
      <c r="O575" s="476" t="str">
        <f>INDEX(Input!$1:$1048576,O$93,$C575*2+MIN($B575,2)+5)</f>
        <v>Market</v>
      </c>
      <c r="P575" s="476" t="str">
        <f>INDEX(Input!$1:$1048576,P$93,$C575*2+MIN($B575,2)+5)</f>
        <v>N</v>
      </c>
      <c r="Q575" s="477">
        <f>INDEX(Input!$1:$1048576,Q$93,$C575*2+MIN($B575,2)+5)
+INDEX(Scenarios!Q$121:Q$200,MATCH($B575,Scenarios!$B$121:$B$200,0))</f>
        <v>0</v>
      </c>
      <c r="R575" s="478">
        <f>IFERROR(MAX(0,INDEX(Input!$1:$1048576,R$93,$C575*2+MIN($B575,2)+5)
+INDEX(Scenarios!R$121:R$200,MATCH($B575,Scenarios!$B$121:$B$200,0)),),"Market")</f>
        <v>0</v>
      </c>
      <c r="S575" s="478">
        <f>IFERROR(MAX(0,INDEX(Input!$1:$1048576,S$93,$C575*2+MIN($B575,2)+5)
+INDEX(Scenarios!S$121:S$200,MATCH($B575,Scenarios!$B$121:$B$200,0)),),"Market")</f>
        <v>0</v>
      </c>
      <c r="T575" s="478">
        <f>IFERROR(MAX(0,INDEX(Input!$1:$1048576,T$93,$C575*2+MIN($B575,2)+5)
+INDEX(Scenarios!T$121:T$200,MATCH($B575,Scenarios!$B$121:$B$200,0)),),"Market")</f>
        <v>0</v>
      </c>
      <c r="U575" s="478">
        <f>IFERROR(MAX(0,INDEX(Input!$1:$1048576,U$93,$C575*2+MIN($B575,2)+5)
+INDEX(Scenarios!U$121:U$200,MATCH($B575,Scenarios!$B$121:$B$200,0)),),"Market")</f>
        <v>0</v>
      </c>
      <c r="V575" s="478">
        <f>IFERROR(MAX(0,INDEX(Input!$1:$1048576,V$93,$C575*2+MIN($B575,2)+5)
+INDEX(Scenarios!V$121:V$200,MATCH($B575,Scenarios!$B$121:$B$200,0)),),"Market")</f>
        <v>1.9E-2</v>
      </c>
      <c r="W575" s="885">
        <f>IFERROR(MAX(0,INDEX(Input!$1:$1048576,W$93,$C575*2+MIN($B575,2)+5)-0%,),"Market")</f>
        <v>3.9E-2</v>
      </c>
      <c r="X575" s="476" t="str">
        <f>INDEX(Input!$1:$1048576,X$93,$C575*2+MIN($B575,2)+5)</f>
        <v>Y</v>
      </c>
      <c r="Y575" s="475">
        <f>INDEX(Input!$1:$1048576,Y$93,$C575*2+MIN($B575,2)+5)
++INDEX(Scenarios!Y$121:Y$200,MATCH($B575,Scenarios!$B$121:$B$200,0))</f>
        <v>-717.93641739252325</v>
      </c>
      <c r="Z575" s="477">
        <f>INDEX(Input!$1:$1048576,Z$93,$C575*2+MIN($B575,2)+5)
+INDEX(Scenarios!Z$121:Z$200,MATCH($B575,Scenarios!$B$121:$B$200,0))</f>
        <v>0</v>
      </c>
      <c r="AA575" s="475">
        <f>INDEX(Input!$1:$1048576,AA$93,$C575*2+MIN($B575,2)+5)
+INDEX(Scenarios!AA$121:AA$200,MATCH($B575,Scenarios!$B$121:$B$200,0))</f>
        <v>0</v>
      </c>
      <c r="AB575" s="476">
        <f>INDEX(Input!$1:$1048576,AB$93,$C575*2+MIN($B575,2)+5)</f>
        <v>0.27</v>
      </c>
      <c r="AC575" s="475">
        <f>INDEX(Input!$1:$1048576,AC$93,$C575*2+MIN($B575,2)+5)
+INDEX(Scenarios!AC$121:AC$200,MATCH($B575,Scenarios!$B$121:$B$200,0))</f>
        <v>0</v>
      </c>
      <c r="AD575" s="476">
        <f>INDEX(Input!$1:$1048576,AD$93,$C575*2+MIN($B575,2)+5)</f>
        <v>0.27</v>
      </c>
      <c r="AE575" s="475">
        <f>INDEX(Input!$1:$1048576,AE$93,$C575*2+MIN($B575,2)+5)
+INDEX(Scenarios!AE$121:AE$200,MATCH($B575,Scenarios!$B$121:$B$200,0))</f>
        <v>-500</v>
      </c>
      <c r="AF575" s="476">
        <f>INDEX(Input!$1:$1048576,AF$93,$C575*2+MIN($B575,2)+5)</f>
        <v>0.2</v>
      </c>
      <c r="AG575" s="475">
        <f>INDEX(Input!$1:$1048576,AG$93,$C575*2+MIN($B575,2)+5)
+INDEX(Scenarios!AG$121:AG$200,MATCH($B575,Scenarios!$B$121:$B$200,0))</f>
        <v>500</v>
      </c>
      <c r="AH575" s="476">
        <f>INDEX(Input!$1:$1048576,AH$93,$C575*2+MIN($B575,2)+5)</f>
        <v>1</v>
      </c>
      <c r="AI575" s="475">
        <f>INDEX(Input!$1:$1048576,AI$93,$C575*2+MIN($B575,2)+5)
+INDEX(Scenarios!AI$121:AI$200,MATCH($B575,Scenarios!$B$121:$B$200,0))</f>
        <v>0</v>
      </c>
      <c r="AJ575" s="476">
        <f>INDEX(Input!$1:$1048576,AJ$93,$C575*2+MIN($B575,2)+5)</f>
        <v>0.27</v>
      </c>
      <c r="AK575" s="150">
        <f>ROUND(INDEX(Input!$1:$1048576,AK$93,$C574*2+MIN($B575,1)+5)+(Y575-VLOOKUP($C575*1000+1,$A:$HH,Y$92,FALSE)),0)</f>
        <v>2587</v>
      </c>
      <c r="AL575" s="150">
        <f>ROUND(INDEX(Input!$1:$1048576,AL$93,$C574*2+MIN($B575,1)+5)-(Y575-VLOOKUP($C575*1000+1,$A:$HH,Y$92,FALSE))/36,0)</f>
        <v>3406</v>
      </c>
      <c r="AM575" s="32" t="str">
        <f t="shared" si="1544"/>
        <v>std/std/std/std</v>
      </c>
      <c r="AN575" s="32" t="str">
        <f t="shared" si="1545"/>
        <v>$0 + 0/0/0/1.9/3.9</v>
      </c>
      <c r="AO575" s="32" t="str">
        <f t="shared" si="1546"/>
        <v>0/0/0/1.9/3.9</v>
      </c>
      <c r="AP575" s="32" t="str">
        <f t="shared" si="1526"/>
        <v>0/0.9/1.9/3.9</v>
      </c>
      <c r="AQ575" s="536">
        <f t="shared" si="1525"/>
        <v>-99.593344338493637</v>
      </c>
      <c r="AR575" s="32"/>
      <c r="AS575" s="302"/>
      <c r="AT575" s="3">
        <f t="shared" si="1629"/>
        <v>75</v>
      </c>
      <c r="AU575" s="41" t="s">
        <v>121</v>
      </c>
      <c r="AV575" s="41" t="s">
        <v>116</v>
      </c>
      <c r="AW575" s="41" t="str">
        <f>INDEX(Input!$1:$1048576,AW$93,$C575*2+6)</f>
        <v>Kia</v>
      </c>
      <c r="AX575" s="41" t="str">
        <f>INDEX(Input!$1:$1048576,AX$93,$C575*2+6)</f>
        <v>Kia-LR - R2</v>
      </c>
      <c r="AY575" s="41" t="str">
        <f>IF(LEN(D575)=0,"",INDEX(Input!$1:$1048576,AY$93,$C575*2+6))</f>
        <v>Compact SUV (52)</v>
      </c>
      <c r="AZ575" s="41" t="str">
        <f>INDEX(Input!$1:$1048576,AZ$93,$C575*2+6)</f>
        <v>Kia Soul</v>
      </c>
      <c r="BA575" s="3">
        <f>INDEX(Input!$1:$1048576,BA$93,$C575*2+6)</f>
        <v>2020</v>
      </c>
      <c r="BB575" s="128">
        <f>INDEX(Input!$1:$1048576,BB$93,$C575*2+6)</f>
        <v>1</v>
      </c>
      <c r="BC575" s="128">
        <f>INDEX(Input!$1:$1048576,BC$93,$C575*2+6)</f>
        <v>0.7</v>
      </c>
      <c r="BD575" s="1">
        <f>INDEX(Input!$1:$1048576,BD$93,$C575*2+6)</f>
        <v>4.4999999999999998E-2</v>
      </c>
      <c r="BE575" s="1">
        <f>INDEX(Input!$1:$1048576,BE$93,$C575*2+6)</f>
        <v>4.4999999999999998E-2</v>
      </c>
      <c r="BF575" s="1">
        <f>INDEX(Input!$1:$1048576,BF$93,$C575*2+6)</f>
        <v>0.05</v>
      </c>
      <c r="BG575" s="1">
        <f>INDEX(Input!$1:$1048576,BG$93,$C575*2+6)</f>
        <v>5.45E-2</v>
      </c>
      <c r="BH575" s="1">
        <f>INDEX(Input!$1:$1048576,BH$93,$C575*2+6)</f>
        <v>5.45E-2</v>
      </c>
      <c r="BI575" s="1">
        <f>INDEX(Input!$1:$1048576,BI$93,$C575*2+6)</f>
        <v>0.05</v>
      </c>
      <c r="BJ575" s="1">
        <f>INDEX(Input!$1:$1048576,BJ$93,$C575*2+6)</f>
        <v>0.05</v>
      </c>
      <c r="BK575" s="1">
        <f>INDEX(Input!$1:$1048576,BK$93,$C575*2+6)</f>
        <v>0.05</v>
      </c>
      <c r="BL575" s="1">
        <f>INDEX(Input!$1:$1048576,BL$93,$C575*2+6)</f>
        <v>5.5E-2</v>
      </c>
      <c r="BM575" s="1">
        <f>INDEX(Input!$1:$1048576,BM$93,$C575*2+6)</f>
        <v>0.06</v>
      </c>
      <c r="BN575" s="1">
        <f>INDEX(Input!$1:$1048576,BN$93,$C575*2+6)</f>
        <v>4.4999999999999998E-2</v>
      </c>
      <c r="BO575" s="1">
        <f>INDEX(Input!$1:$1048576,BO$93,$C575*2+6)</f>
        <v>4.4999999999999998E-2</v>
      </c>
      <c r="BP575" s="1">
        <f>INDEX(Input!$1:$1048576,BP$93,$C575*2+6)</f>
        <v>0.05</v>
      </c>
      <c r="BQ575" s="1">
        <f>INDEX(Input!$1:$1048576,BQ$93,$C575*2+6)</f>
        <v>5.45E-2</v>
      </c>
      <c r="BR575" s="1">
        <f>INDEX(Input!$1:$1048576,BR$93,$C575*2+6)</f>
        <v>5.45E-2</v>
      </c>
      <c r="BS575" s="1">
        <f>INDEX(Input!$1:$1048576,BS$93,$C575*2+6)</f>
        <v>0.05</v>
      </c>
      <c r="BT575" s="1">
        <f>INDEX(Input!$1:$1048576,BT$93,$C575*2+6)</f>
        <v>0.05</v>
      </c>
      <c r="BU575" s="1">
        <f>INDEX(Input!$1:$1048576,BU$93,$C575*2+6)</f>
        <v>0.05</v>
      </c>
      <c r="BV575" s="1">
        <f>INDEX(Input!$1:$1048576,BV$93,$C575*2+6)</f>
        <v>5.5E-2</v>
      </c>
      <c r="BW575" s="1">
        <f>INDEX(Input!$1:$1048576,BW$93,$C575*2+6)</f>
        <v>0.06</v>
      </c>
      <c r="BX575" s="127">
        <f>INDEX(Input!$1:$1048576,BX$93,$C575*2+6)</f>
        <v>19985</v>
      </c>
      <c r="BY575" s="20">
        <f>INDEX(Input!$1:$1048576,BY$93,$C575*2+6)</f>
        <v>0.1</v>
      </c>
      <c r="BZ575" s="20">
        <f>INDEX(Input!$1:$1048576,BZ$93,$C575*2+6)</f>
        <v>0.1</v>
      </c>
      <c r="CA575" s="20">
        <f>INDEX(Input!$1:$1048576,CA$93,$C575*2+6)</f>
        <v>0.1</v>
      </c>
      <c r="CB575" s="20">
        <f>INDEX(Input!$1:$1048576,CB$93,$C575*2+6)</f>
        <v>0.1</v>
      </c>
      <c r="CC575" s="20">
        <f>INDEX(Input!$1:$1048576,CC$93,$C575*2+6)</f>
        <v>0.1</v>
      </c>
      <c r="CD575" s="384">
        <f>INDEX(Input!$1:$1048576,CD$93,$C575*2+6)</f>
        <v>0.1</v>
      </c>
      <c r="CE575" s="384">
        <f>INDEX(Input!$1:$1048576,CE$93,$C575*2+6)</f>
        <v>0.1</v>
      </c>
      <c r="CF575" s="384">
        <f>INDEX(Input!$1:$1048576,CF$93,$C575*2+6)</f>
        <v>0.1</v>
      </c>
      <c r="CG575" s="384">
        <f>INDEX(Input!$1:$1048576,CG$93,$C575*2+6)</f>
        <v>0.1</v>
      </c>
      <c r="CH575" s="384">
        <f>INDEX(Input!$1:$1048576,CH$93,$C575*2+6)</f>
        <v>0.1</v>
      </c>
      <c r="CI575" s="304">
        <f t="shared" si="1527"/>
        <v>1277.4263093788063</v>
      </c>
      <c r="CJ575" s="16" t="str">
        <f>INDEX(Input!$1:$1048576,CJ$93,$C575*2+6)</f>
        <v>N</v>
      </c>
      <c r="CK575" s="1" t="str">
        <f t="shared" si="1528"/>
        <v>Market</v>
      </c>
      <c r="CL575" s="1" t="str">
        <f t="shared" si="1529"/>
        <v>Market</v>
      </c>
      <c r="CM575" s="1" t="str">
        <f t="shared" si="1530"/>
        <v>Market</v>
      </c>
      <c r="CN575" s="1" t="str">
        <f t="shared" si="1531"/>
        <v>Market</v>
      </c>
      <c r="CO575" s="1" t="str">
        <f t="shared" si="1532"/>
        <v>Market</v>
      </c>
      <c r="CP575" s="304">
        <f t="shared" si="1533"/>
        <v>500</v>
      </c>
      <c r="CQ575" s="1">
        <f t="shared" si="1534"/>
        <v>0</v>
      </c>
      <c r="CR575" s="1">
        <f t="shared" si="1535"/>
        <v>0</v>
      </c>
      <c r="CS575" s="1">
        <f t="shared" si="1536"/>
        <v>0</v>
      </c>
      <c r="CT575" s="1">
        <f t="shared" si="1537"/>
        <v>1.9E-2</v>
      </c>
      <c r="CU575" s="1">
        <f t="shared" si="1538"/>
        <v>3.9E-2</v>
      </c>
      <c r="CV575" s="304">
        <f t="shared" si="1539"/>
        <v>-717.93641739252325</v>
      </c>
      <c r="CW575" s="20" t="s">
        <v>122</v>
      </c>
      <c r="CX575" s="20" t="s">
        <v>122</v>
      </c>
      <c r="CY575" s="20" t="s">
        <v>122</v>
      </c>
      <c r="CZ575" s="20" t="s">
        <v>122</v>
      </c>
      <c r="DA575" s="20" t="s">
        <v>122</v>
      </c>
      <c r="DB575" s="503">
        <f t="shared" si="1540"/>
        <v>-100</v>
      </c>
      <c r="DC575" s="127">
        <v>0</v>
      </c>
      <c r="DD575" s="127">
        <v>0</v>
      </c>
      <c r="DE575" s="127">
        <v>0</v>
      </c>
      <c r="DF575" s="127">
        <v>0</v>
      </c>
      <c r="DG575" s="127">
        <v>0</v>
      </c>
      <c r="DH575" s="127">
        <v>0</v>
      </c>
      <c r="DI575" s="127">
        <v>0</v>
      </c>
      <c r="DJ575" s="127">
        <v>0</v>
      </c>
      <c r="DK575" s="127">
        <v>0</v>
      </c>
      <c r="DL575" s="127">
        <v>0</v>
      </c>
      <c r="DM575" s="304">
        <f>INDEX(Input!$1:$1048576,DM$93,$C575*2+6)</f>
        <v>21036.84210526316</v>
      </c>
      <c r="DN575" s="20">
        <v>0</v>
      </c>
      <c r="DO575" s="20">
        <v>0</v>
      </c>
      <c r="DP575" s="20">
        <v>0</v>
      </c>
      <c r="DQ575" s="20">
        <v>0</v>
      </c>
      <c r="DR575" s="20">
        <v>0</v>
      </c>
      <c r="DS575" s="20">
        <f>INDEX(Input!$1:$1048576,DS$93,$C575*2+6)</f>
        <v>0.6</v>
      </c>
      <c r="DT575" s="20">
        <f>INDEX(Input!$1:$1048576,DT$93,$C575*2+6)</f>
        <v>0.55000000000000004</v>
      </c>
      <c r="DU575" s="20">
        <f>INDEX(Input!$1:$1048576,DU$93,$C575*2+6)</f>
        <v>0.52</v>
      </c>
      <c r="DV575" s="20">
        <f>INDEX(Input!$1:$1048576,DV$93,$C575*2+6)</f>
        <v>0.5</v>
      </c>
      <c r="DW575" s="20">
        <f>INDEX(Input!$1:$1048576,DW$93,$C575*2+6)</f>
        <v>0.45</v>
      </c>
      <c r="DX575" s="20"/>
      <c r="DY575" s="7">
        <v>0.11799253659205319</v>
      </c>
      <c r="DZ575" s="7">
        <v>0</v>
      </c>
      <c r="EA575" s="7">
        <v>0.73530580407924662</v>
      </c>
      <c r="EB575" s="7">
        <v>0</v>
      </c>
      <c r="EC575" s="7">
        <v>0</v>
      </c>
      <c r="ED575" s="7">
        <v>0</v>
      </c>
      <c r="EE575" s="7">
        <v>0</v>
      </c>
      <c r="EF575" s="7">
        <v>0</v>
      </c>
      <c r="EG575" s="7">
        <v>0</v>
      </c>
      <c r="EH575" s="7">
        <v>1.2088462405653477E-2</v>
      </c>
      <c r="EI575" s="7">
        <v>3.3604609537370302E-2</v>
      </c>
      <c r="EJ575" s="7">
        <v>0.29188856996730506</v>
      </c>
      <c r="EK575" s="7">
        <v>0.53737257184364184</v>
      </c>
      <c r="EL575" s="7">
        <v>0.12504578624602899</v>
      </c>
      <c r="EM575" s="7">
        <v>7.5620087894097202E-2</v>
      </c>
      <c r="EN575" s="7">
        <v>5.8186306514821824E-2</v>
      </c>
      <c r="EO575" s="7">
        <v>0.71420650561626664</v>
      </c>
      <c r="EP575" s="7">
        <v>9.1105143474298156E-2</v>
      </c>
      <c r="EQ575" s="7">
        <v>8.9729384440106891E-2</v>
      </c>
      <c r="ER575" s="7">
        <v>4.6772659954506267E-2</v>
      </c>
      <c r="ES575" s="7">
        <v>7.108157143460303E-2</v>
      </c>
      <c r="ET575" s="7">
        <v>0.14670165932870016</v>
      </c>
      <c r="EU575" s="6">
        <v>1170</v>
      </c>
      <c r="EV575" s="6">
        <v>0</v>
      </c>
      <c r="EW575" s="6">
        <v>1170</v>
      </c>
      <c r="EX575" s="6">
        <v>0</v>
      </c>
      <c r="EY575" s="6">
        <v>1915.7436746069159</v>
      </c>
      <c r="EZ575" s="6">
        <v>-106.44990394013166</v>
      </c>
      <c r="FA575" s="6">
        <v>0</v>
      </c>
      <c r="FB575" s="6">
        <v>0</v>
      </c>
      <c r="FC575" s="6">
        <v>0</v>
      </c>
      <c r="FD575" s="6">
        <v>0</v>
      </c>
      <c r="FE575" s="6">
        <v>0</v>
      </c>
      <c r="FF575" s="6">
        <v>0</v>
      </c>
      <c r="FG575" s="6">
        <v>0</v>
      </c>
      <c r="FH575" s="6">
        <v>1172.1345775711652</v>
      </c>
      <c r="FI575" s="6">
        <v>1553.9796069512399</v>
      </c>
      <c r="FJ575" s="6">
        <v>2101.2110117447414</v>
      </c>
      <c r="FK575" s="6">
        <v>1772.7139978623231</v>
      </c>
      <c r="FL575" s="6">
        <v>907.07682140966347</v>
      </c>
      <c r="FM575" s="6">
        <v>1745.7436746069159</v>
      </c>
      <c r="FN575" s="6">
        <v>0</v>
      </c>
      <c r="FO575" s="6">
        <v>0</v>
      </c>
      <c r="FP575" s="6">
        <v>0</v>
      </c>
      <c r="FQ575" s="6">
        <v>0</v>
      </c>
      <c r="FR575" s="6">
        <v>0</v>
      </c>
      <c r="FS575" s="6">
        <v>0</v>
      </c>
      <c r="FT575" s="7">
        <v>0.85329834067129984</v>
      </c>
      <c r="FU575" s="7">
        <v>7.5620087894097202E-2</v>
      </c>
      <c r="FV575" s="7">
        <v>7.108157143460303E-2</v>
      </c>
      <c r="FW575" s="6">
        <v>1170</v>
      </c>
      <c r="FX575" s="6">
        <v>1915.7436746069159</v>
      </c>
      <c r="FY575" s="6">
        <v>-106.44990394013166</v>
      </c>
      <c r="FZ575" s="6">
        <v>1758.1538569113241</v>
      </c>
      <c r="GA575" s="6">
        <v>1135.6611371906295</v>
      </c>
      <c r="GB575" s="6">
        <v>18849.338862809371</v>
      </c>
      <c r="GC575" s="7">
        <v>3.064145122680037E-2</v>
      </c>
      <c r="GD575" s="7">
        <v>2.8943802783863312E-2</v>
      </c>
      <c r="GE575" s="7"/>
      <c r="GF575" s="7"/>
      <c r="GG575" s="7">
        <v>-5.5403656647052657E-2</v>
      </c>
      <c r="GH575" s="42">
        <v>1.7787229360500059</v>
      </c>
      <c r="GI575" s="6">
        <v>12371.250219085818</v>
      </c>
      <c r="GJ575" s="14">
        <v>0.50394797582841777</v>
      </c>
      <c r="GK575" s="14">
        <v>0.50887573065309755</v>
      </c>
      <c r="GL575" s="14">
        <v>0.49605202417158312</v>
      </c>
      <c r="GM575" s="14">
        <v>0.49112426934690268</v>
      </c>
      <c r="GO575" s="5">
        <v>343.14810671672558</v>
      </c>
      <c r="GP575" s="5">
        <v>320.82673875416651</v>
      </c>
      <c r="GQ575" s="5">
        <v>535.04305713031317</v>
      </c>
      <c r="GR575" s="5">
        <v>410.15490233172511</v>
      </c>
      <c r="GS575" s="5">
        <v>339.42744393800166</v>
      </c>
      <c r="GT575" s="5">
        <v>293.4407446948278</v>
      </c>
      <c r="GU575" s="5">
        <v>258.04012322764959</v>
      </c>
      <c r="GV575" s="39" t="s">
        <v>392</v>
      </c>
      <c r="GW575" s="5">
        <v>494.90277777777777</v>
      </c>
      <c r="GX575" s="5">
        <v>371.17708333333331</v>
      </c>
      <c r="GY575" s="5">
        <v>296.94166666666666</v>
      </c>
      <c r="GZ575" s="5">
        <v>262.01968544517484</v>
      </c>
      <c r="HA575" s="5">
        <v>242.71102701920825</v>
      </c>
      <c r="HB575" s="39">
        <v>276.28193647083202</v>
      </c>
      <c r="HC575" s="5">
        <v>291.94155829738077</v>
      </c>
      <c r="HD575" s="5">
        <v>242.98410349119467</v>
      </c>
      <c r="HE575" s="5">
        <v>243.9141222524562</v>
      </c>
      <c r="HF575" s="5">
        <v>223.37040951107167</v>
      </c>
      <c r="HG575" s="5">
        <v>212.67167140446657</v>
      </c>
      <c r="HH575" s="39">
        <v>242.73976868959173</v>
      </c>
      <c r="HI575" s="16"/>
      <c r="HJ575" s="19" t="str">
        <f t="shared" si="1637"/>
        <v>On</v>
      </c>
      <c r="HK575" s="1" t="str">
        <f t="shared" si="1637"/>
        <v>On</v>
      </c>
      <c r="HL575" s="16"/>
      <c r="HM575" s="639">
        <f t="shared" si="1605"/>
        <v>2.4909940070666322E-2</v>
      </c>
      <c r="HN575" s="639">
        <f t="shared" si="1606"/>
        <v>2.2052381276269151E-3</v>
      </c>
      <c r="HO575" s="639">
        <f t="shared" si="1607"/>
        <v>2.079866082302006E-3</v>
      </c>
      <c r="HP575" s="644">
        <f>(FT575*$GD575-HM575)/$JF575*INDEX(Input!$1:$1048576,$JG$93,$C575*2+6)</f>
        <v>-5.968479072682582</v>
      </c>
      <c r="HQ575" s="644">
        <f>(FU575*$GD575-HN575)/$JF575*INDEX(Input!$1:$1048576,$JG$93,$C575*2+6)</f>
        <v>-0.46414669307313233</v>
      </c>
      <c r="HR575" s="644">
        <f>(FV575*$GD575-HO575)/$JF575*INDEX(Input!$1:$1048576,$JG$93,$C575*2+6)</f>
        <v>-0.63258937262354054</v>
      </c>
      <c r="HS575" s="644">
        <f t="shared" si="1598"/>
        <v>3.4037228121545597</v>
      </c>
      <c r="HT575" s="644">
        <f t="shared" ref="HT575" si="1638">IF(AND(HJ575="On",HK575="On"),IM575/1000*INDEX(KG:KG,MATCH(C575*1000+4,$KF:$KF,0))*SUM(HY575:IA575)*1.1
+INDEX(HR:HR,MATCH(C575*1000+3,$KF:$KF,0))/INDEX(IL:IL,MATCH(C575*1000+3,$KF:$KF,0))*IL575*20%,0)</f>
        <v>-3.8466230874885796</v>
      </c>
      <c r="HU575" s="644">
        <f t="shared" si="1609"/>
        <v>-0.92421365935704769</v>
      </c>
      <c r="HV575" s="648">
        <f t="shared" si="1610"/>
        <v>0</v>
      </c>
      <c r="HW575" s="648">
        <f t="shared" si="1611"/>
        <v>0</v>
      </c>
      <c r="HX575" s="648">
        <f t="shared" si="1612"/>
        <v>0</v>
      </c>
      <c r="HY575" s="644">
        <f>INDEX(Input!$1:$1048576,HY$93,$C575*2+6)*INDEX(Input!$1:$1048576,$JG$93,$C575*2+6)</f>
        <v>333.00000000000006</v>
      </c>
      <c r="HZ575" s="644">
        <f>INDEX(Input!$1:$1048576,HZ$93,$C575*2+6)*INDEX(Input!$1:$1048576,$JG$93,$C575*2+6)</f>
        <v>429</v>
      </c>
      <c r="IA575" s="644">
        <f>INDEX(Input!$1:$1048576,IA$93,$C575*2+6)*INDEX(Input!$1:$1048576,$JG$93,$C575*2+6)</f>
        <v>59</v>
      </c>
      <c r="IB575" s="644">
        <f t="shared" si="1551"/>
        <v>330.43524373947207</v>
      </c>
      <c r="IC575" s="644">
        <f t="shared" si="1552"/>
        <v>424.68923021943829</v>
      </c>
      <c r="ID575" s="644">
        <f>IF(AND(INDEX(Input!$1:$1048576,IA$93,$C575*2+7)="TOS",Y575&lt;=INDEX(Y:Y,MATCH(C575*1000+2,A:A))),0,1)*MAX(IA575+HR575+HU575+HX575,0%)</f>
        <v>57.443196968019407</v>
      </c>
      <c r="IE575" s="128">
        <f t="shared" ref="IE575" si="1639">IB575/SUM($IB575:$ID575)</f>
        <v>0.40665566150635901</v>
      </c>
      <c r="IF575" s="128">
        <f t="shared" ref="IF575" si="1640">IC575/SUM($IB575:$ID575)</f>
        <v>0.52265090701304617</v>
      </c>
      <c r="IG575" s="128">
        <f t="shared" si="1555"/>
        <v>7.0693431480594801E-2</v>
      </c>
      <c r="IH575" s="21"/>
      <c r="II575" s="19">
        <f t="shared" si="1613"/>
        <v>1240</v>
      </c>
      <c r="IJ575" s="19">
        <f t="shared" si="1614"/>
        <v>1985.7442651839444</v>
      </c>
      <c r="IK575" s="19">
        <f t="shared" si="1615"/>
        <v>-21.44990394013189</v>
      </c>
      <c r="IL575" s="19">
        <f t="shared" si="1556"/>
        <v>-70</v>
      </c>
      <c r="IM575" s="19">
        <f t="shared" si="1557"/>
        <v>-70.000590577028561</v>
      </c>
      <c r="IN575" s="19">
        <f t="shared" si="1558"/>
        <v>-84.999999999999773</v>
      </c>
      <c r="IO575" s="39">
        <f t="shared" si="1616"/>
        <v>0</v>
      </c>
      <c r="IP575" s="39">
        <f t="shared" si="1617"/>
        <v>0</v>
      </c>
      <c r="IQ575" s="39">
        <f t="shared" si="1618"/>
        <v>0</v>
      </c>
      <c r="IR575" s="39">
        <v>0</v>
      </c>
      <c r="IS575" s="39">
        <v>0</v>
      </c>
      <c r="IT575" s="39">
        <v>0</v>
      </c>
      <c r="IU575" s="39">
        <v>0</v>
      </c>
      <c r="IV575" s="39">
        <v>0</v>
      </c>
      <c r="IW575" s="39">
        <v>0</v>
      </c>
      <c r="IX575" s="39">
        <f>INDEX(Input!$1:$1048576,IX$93,$C575*2+6)+INDEX(Input!$1:$1048576,IX$94,$C575*2+6)</f>
        <v>1270</v>
      </c>
      <c r="IY575" s="39">
        <f>INDEX(Input!$1:$1048576,IY$93,$C575*2+6)+INDEX(Input!$1:$1048576,IY$94,$C575*2+6)</f>
        <v>2130.0624533823611</v>
      </c>
      <c r="IZ575" s="39">
        <f>INDEX(Input!$1:$1048576,IZ$93,$C575*2+6)+INDEX(Input!$1:$1048576,IZ$94,$C575*2+6)</f>
        <v>3653.7164157747857</v>
      </c>
      <c r="JA575" s="19">
        <f t="shared" si="1559"/>
        <v>1200</v>
      </c>
      <c r="JB575" s="19">
        <f t="shared" si="1560"/>
        <v>2060.0618628053326</v>
      </c>
      <c r="JC575" s="19">
        <f t="shared" si="1561"/>
        <v>3568.7164157747857</v>
      </c>
      <c r="JD575" s="19">
        <f t="shared" si="1562"/>
        <v>1816.9648043180721</v>
      </c>
      <c r="JE575" s="21"/>
      <c r="JF575" s="1">
        <f t="shared" si="1619"/>
        <v>2.9195044280595241E-2</v>
      </c>
      <c r="JG575" s="15">
        <f>INDEX(Input!$1:$1048576,JG$93,$C575*2+6)/(1+VLOOKUP(C575*1000+INDEX(Input!$1:$1048576,JG$93+1,$C575*2+6),$A:$KK,$JK$92,FALSE))</f>
        <v>821</v>
      </c>
      <c r="JH575" s="1">
        <f t="shared" si="1563"/>
        <v>-8.6056213622159004E-3</v>
      </c>
      <c r="JI575" s="1">
        <f t="shared" si="1564"/>
        <v>-1.665181406444662E-3</v>
      </c>
      <c r="JJ575" s="1">
        <f t="shared" si="1565"/>
        <v>0</v>
      </c>
      <c r="JK575" s="1">
        <f t="shared" si="1566"/>
        <v>-1.0270802768660563E-2</v>
      </c>
      <c r="JL575" s="15">
        <f t="shared" si="1567"/>
        <v>-8.4323290730703224</v>
      </c>
      <c r="JM575" s="15">
        <f t="shared" si="1568"/>
        <v>812.56767092692962</v>
      </c>
      <c r="JN575" s="21"/>
      <c r="JO575" s="19">
        <f>INDEX(Input!$1:$1048576,JO$93,$C575*2+6)</f>
        <v>5995.5</v>
      </c>
      <c r="JP575" s="19">
        <f>INDEX(Input!$1:$1048576,JP$93,$C575*2+6)</f>
        <v>1890.7138380411029</v>
      </c>
      <c r="JQ575" s="39">
        <f t="shared" si="1569"/>
        <v>4178.5351956819277</v>
      </c>
      <c r="JR575" s="39">
        <f t="shared" si="1570"/>
        <v>-73.749033723030834</v>
      </c>
      <c r="JS575" s="39">
        <f t="shared" si="1571"/>
        <v>1.4764068592009403</v>
      </c>
      <c r="JT575" s="39">
        <f t="shared" si="1572"/>
        <v>-7.5869201830805283E-2</v>
      </c>
      <c r="JU575" s="385">
        <f>(JQ575*JM575-INDEX(Input!$1:$1048576,Input!A$18,$C575*2+6)*JL575*INDEX(Input!$1:$1048576,Input!A$19,$C575*2+6))/1000000</f>
        <v>3.3953426118414662</v>
      </c>
      <c r="JV575" s="39">
        <f t="shared" si="1573"/>
        <v>2.5313172873211887E-2</v>
      </c>
      <c r="JW575" s="1">
        <f t="shared" si="1574"/>
        <v>7.5112616467117857E-3</v>
      </c>
      <c r="JX575" s="19">
        <f t="shared" si="1575"/>
        <v>8997.4194760855444</v>
      </c>
      <c r="JZ575" s="341"/>
      <c r="KA575" s="342"/>
      <c r="KB575" s="469">
        <f t="shared" si="1576"/>
        <v>2.5122967434604799</v>
      </c>
      <c r="KI575" s="473">
        <f t="shared" ref="KI575" si="1641">$JM575*IE575-$JG575*HY575/SUM($HY575:$IA575)</f>
        <v>-2.5647562605280427</v>
      </c>
      <c r="KJ575" s="473">
        <f t="shared" ref="KJ575" si="1642">$JM575*IF575-$JG575*HZ575/SUM($HY575:$IA575)</f>
        <v>-4.3107697805618272</v>
      </c>
      <c r="KK575" s="473">
        <f t="shared" si="1579"/>
        <v>-1.5568030319805999</v>
      </c>
      <c r="KN575" s="544">
        <f t="shared" si="1580"/>
        <v>5002</v>
      </c>
      <c r="KO575" s="541">
        <f t="shared" si="1620"/>
        <v>-1.4284280893648416E-2</v>
      </c>
      <c r="KP575" s="546">
        <f t="shared" si="1621"/>
        <v>-100.00107850700108</v>
      </c>
      <c r="KQ575" s="546">
        <f t="shared" si="1622"/>
        <v>-101.95396140519438</v>
      </c>
      <c r="KR575" s="548">
        <f t="shared" si="1623"/>
        <v>2.5805819582217056</v>
      </c>
      <c r="KS575" s="548">
        <f t="shared" si="1624"/>
        <v>2.5311520557035618</v>
      </c>
      <c r="KT575" s="473">
        <f t="shared" si="1581"/>
        <v>595.94378802984284</v>
      </c>
      <c r="KU575" s="663">
        <f t="shared" si="1626"/>
        <v>3.9982212535702777</v>
      </c>
    </row>
    <row r="576" spans="1:308" s="26" customFormat="1" ht="15" outlineLevel="1">
      <c r="A576" s="561">
        <f t="shared" si="1541"/>
        <v>5076</v>
      </c>
      <c r="B576" s="561">
        <f t="shared" si="1627"/>
        <v>76</v>
      </c>
      <c r="C576" s="561">
        <f t="shared" si="1628"/>
        <v>5</v>
      </c>
      <c r="D576" s="561" t="str">
        <f t="shared" si="1509"/>
        <v xml:space="preserve">-1000 Event (RBC), -500 Event (L), </v>
      </c>
      <c r="E576" s="475">
        <f>INDEX(Input!$1:$1048576,E$93,$C576*2+MIN($B576,2)+5)
+INDEX(Scenarios!E$121:E$200,MATCH($B576,Scenarios!$B$121:$B$200,0))</f>
        <v>1277.4263093788063</v>
      </c>
      <c r="F576" s="475">
        <f>INDEX(Input!$1:$1048576,F$93,$C576*2+MIN($B576,2)+5)
+INDEX(Scenarios!F$121:F$200,MATCH($B576,Scenarios!$B$121:$B$200,0))</f>
        <v>0</v>
      </c>
      <c r="G576" s="475">
        <f>INDEX(Input!$1:$1048576,G$93,$C576*2+MIN($B576,2)+5)
+INDEX(Scenarios!G$121:G$200,MATCH($B576,Scenarios!$B$121:$B$200,0))</f>
        <v>0</v>
      </c>
      <c r="H576" s="475">
        <f>INDEX(Input!$1:$1048576,H$93,$C576*2+MIN($B576,2)+5)
+INDEX(Scenarios!H$121:H$200,MATCH($B576,Scenarios!$B$121:$B$200,0))</f>
        <v>0</v>
      </c>
      <c r="I576" s="476">
        <f>INDEX(Input!$1:$1048576,I$93,$C576*2+MIN($B576,2)+5)</f>
        <v>0.7</v>
      </c>
      <c r="J576" s="476" t="str">
        <f>INDEX(Input!$1:$1048576,J$93,$C576*2+MIN($B576,2)+5)</f>
        <v>Market</v>
      </c>
      <c r="K576" s="476" t="str">
        <f>INDEX(Input!$1:$1048576,K$93,$C576*2+MIN($B576,2)+5)</f>
        <v>Market</v>
      </c>
      <c r="L576" s="476" t="str">
        <f>INDEX(Input!$1:$1048576,L$93,$C576*2+MIN($B576,2)+5)</f>
        <v>Market</v>
      </c>
      <c r="M576" s="476" t="str">
        <f>INDEX(Input!$1:$1048576,M$93,$C576*2+MIN($B576,2)+5)</f>
        <v>Market</v>
      </c>
      <c r="N576" s="476" t="str">
        <f>INDEX(Input!$1:$1048576,N$93,$C576*2+MIN($B576,2)+5)</f>
        <v>Market</v>
      </c>
      <c r="O576" s="476" t="str">
        <f>INDEX(Input!$1:$1048576,O$93,$C576*2+MIN($B576,2)+5)</f>
        <v>Market</v>
      </c>
      <c r="P576" s="476" t="str">
        <f>INDEX(Input!$1:$1048576,P$93,$C576*2+MIN($B576,2)+5)</f>
        <v>N</v>
      </c>
      <c r="Q576" s="477">
        <f>INDEX(Input!$1:$1048576,Q$93,$C576*2+MIN($B576,2)+5)
+INDEX(Scenarios!Q$121:Q$200,MATCH($B576,Scenarios!$B$121:$B$200,0))</f>
        <v>0</v>
      </c>
      <c r="R576" s="478">
        <f>IFERROR(MAX(0,INDEX(Input!$1:$1048576,R$93,$C576*2+MIN($B576,2)+5)
+INDEX(Scenarios!R$121:R$200,MATCH($B576,Scenarios!$B$121:$B$200,0)),),"Market")</f>
        <v>0</v>
      </c>
      <c r="S576" s="478">
        <f>IFERROR(MAX(0,INDEX(Input!$1:$1048576,S$93,$C576*2+MIN($B576,2)+5)
+INDEX(Scenarios!S$121:S$200,MATCH($B576,Scenarios!$B$121:$B$200,0)),),"Market")</f>
        <v>0</v>
      </c>
      <c r="T576" s="478">
        <f>IFERROR(MAX(0,INDEX(Input!$1:$1048576,T$93,$C576*2+MIN($B576,2)+5)
+INDEX(Scenarios!T$121:T$200,MATCH($B576,Scenarios!$B$121:$B$200,0)),),"Market")</f>
        <v>0</v>
      </c>
      <c r="U576" s="478">
        <f>IFERROR(MAX(0,INDEX(Input!$1:$1048576,U$93,$C576*2+MIN($B576,2)+5)
+INDEX(Scenarios!U$121:U$200,MATCH($B576,Scenarios!$B$121:$B$200,0)),),"Market")</f>
        <v>0</v>
      </c>
      <c r="V576" s="478">
        <f>IFERROR(MAX(0,INDEX(Input!$1:$1048576,V$93,$C576*2+MIN($B576,2)+5)
+INDEX(Scenarios!V$121:V$200,MATCH($B576,Scenarios!$B$121:$B$200,0)),),"Market")</f>
        <v>1.9E-2</v>
      </c>
      <c r="W576" s="885">
        <f>IFERROR(MAX(0,INDEX(Input!$1:$1048576,W$93,$C576*2+MIN($B576,2)+5)-0%,),"Market")</f>
        <v>3.9E-2</v>
      </c>
      <c r="X576" s="476" t="str">
        <f>INDEX(Input!$1:$1048576,X$93,$C576*2+MIN($B576,2)+5)</f>
        <v>Y</v>
      </c>
      <c r="Y576" s="475">
        <f>INDEX(Input!$1:$1048576,Y$93,$C576*2+MIN($B576,2)+5)
++INDEX(Scenarios!Y$121:Y$200,MATCH($B576,Scenarios!$B$121:$B$200,0))</f>
        <v>-717.93641739252325</v>
      </c>
      <c r="Z576" s="477">
        <f>INDEX(Input!$1:$1048576,Z$93,$C576*2+MIN($B576,2)+5)
+INDEX(Scenarios!Z$121:Z$200,MATCH($B576,Scenarios!$B$121:$B$200,0))</f>
        <v>0</v>
      </c>
      <c r="AA576" s="475">
        <f>INDEX(Input!$1:$1048576,AA$93,$C576*2+MIN($B576,2)+5)
+INDEX(Scenarios!AA$121:AA$200,MATCH($B576,Scenarios!$B$121:$B$200,0))</f>
        <v>-1000</v>
      </c>
      <c r="AB576" s="476">
        <f>INDEX(Input!$1:$1048576,AB$93,$C576*2+MIN($B576,2)+5)</f>
        <v>0.27</v>
      </c>
      <c r="AC576" s="475">
        <f>INDEX(Input!$1:$1048576,AC$93,$C576*2+MIN($B576,2)+5)
+INDEX(Scenarios!AC$121:AC$200,MATCH($B576,Scenarios!$B$121:$B$200,0))</f>
        <v>-500</v>
      </c>
      <c r="AD576" s="476">
        <f>INDEX(Input!$1:$1048576,AD$93,$C576*2+MIN($B576,2)+5)</f>
        <v>0.27</v>
      </c>
      <c r="AE576" s="475">
        <f>INDEX(Input!$1:$1048576,AE$93,$C576*2+MIN($B576,2)+5)
+INDEX(Scenarios!AE$121:AE$200,MATCH($B576,Scenarios!$B$121:$B$200,0))</f>
        <v>0</v>
      </c>
      <c r="AF576" s="476">
        <f>INDEX(Input!$1:$1048576,AF$93,$C576*2+MIN($B576,2)+5)</f>
        <v>0.2</v>
      </c>
      <c r="AG576" s="475">
        <f>INDEX(Input!$1:$1048576,AG$93,$C576*2+MIN($B576,2)+5)
+INDEX(Scenarios!AG$121:AG$200,MATCH($B576,Scenarios!$B$121:$B$200,0))</f>
        <v>500</v>
      </c>
      <c r="AH576" s="476">
        <f>INDEX(Input!$1:$1048576,AH$93,$C576*2+MIN($B576,2)+5)</f>
        <v>1</v>
      </c>
      <c r="AI576" s="475">
        <f>INDEX(Input!$1:$1048576,AI$93,$C576*2+MIN($B576,2)+5)
+INDEX(Scenarios!AI$121:AI$200,MATCH($B576,Scenarios!$B$121:$B$200,0))</f>
        <v>0</v>
      </c>
      <c r="AJ576" s="476">
        <f>INDEX(Input!$1:$1048576,AJ$93,$C576*2+MIN($B576,2)+5)</f>
        <v>0.27</v>
      </c>
      <c r="AK576" s="150">
        <f>ROUND(INDEX(Input!$1:$1048576,AK$93,$C575*2+MIN($B576,1)+5)+(Y576-VLOOKUP($C576*1000+1,$A:$HH,Y$92,FALSE)),0)</f>
        <v>2587</v>
      </c>
      <c r="AL576" s="150">
        <f>ROUND(INDEX(Input!$1:$1048576,AL$93,$C575*2+MIN($B576,1)+5)-(Y576-VLOOKUP($C576*1000+1,$A:$HH,Y$92,FALSE))/36,0)</f>
        <v>3406</v>
      </c>
      <c r="AM576" s="32" t="str">
        <f t="shared" si="1544"/>
        <v>std/std/std/std</v>
      </c>
      <c r="AN576" s="32" t="str">
        <f t="shared" si="1545"/>
        <v>$0 + 0/0/0/1.9/3.9</v>
      </c>
      <c r="AO576" s="32" t="str">
        <f t="shared" si="1546"/>
        <v>0/0/0/1.9/3.9</v>
      </c>
      <c r="AP576" s="32" t="str">
        <f t="shared" si="1526"/>
        <v>0/0.9/1.9/3.9</v>
      </c>
      <c r="AQ576" s="536">
        <f t="shared" si="1525"/>
        <v>-134.59582643632234</v>
      </c>
      <c r="AR576" s="32"/>
      <c r="AS576" s="302"/>
      <c r="AT576" s="3">
        <f t="shared" si="1629"/>
        <v>76</v>
      </c>
      <c r="AU576" s="41" t="s">
        <v>121</v>
      </c>
      <c r="AV576" s="41" t="s">
        <v>116</v>
      </c>
      <c r="AW576" s="41" t="str">
        <f>INDEX(Input!$1:$1048576,AW$93,$C576*2+6)</f>
        <v>Kia</v>
      </c>
      <c r="AX576" s="41" t="str">
        <f>INDEX(Input!$1:$1048576,AX$93,$C576*2+6)</f>
        <v>Kia-LR - R2</v>
      </c>
      <c r="AY576" s="41" t="str">
        <f>IF(LEN(D576)=0,"",INDEX(Input!$1:$1048576,AY$93,$C576*2+6))</f>
        <v>Compact SUV (52)</v>
      </c>
      <c r="AZ576" s="41" t="str">
        <f>INDEX(Input!$1:$1048576,AZ$93,$C576*2+6)</f>
        <v>Kia Soul</v>
      </c>
      <c r="BA576" s="3">
        <f>INDEX(Input!$1:$1048576,BA$93,$C576*2+6)</f>
        <v>2020</v>
      </c>
      <c r="BB576" s="128">
        <f>INDEX(Input!$1:$1048576,BB$93,$C576*2+6)</f>
        <v>1</v>
      </c>
      <c r="BC576" s="128">
        <f>INDEX(Input!$1:$1048576,BC$93,$C576*2+6)</f>
        <v>0.7</v>
      </c>
      <c r="BD576" s="1">
        <f>INDEX(Input!$1:$1048576,BD$93,$C576*2+6)</f>
        <v>4.4999999999999998E-2</v>
      </c>
      <c r="BE576" s="1">
        <f>INDEX(Input!$1:$1048576,BE$93,$C576*2+6)</f>
        <v>4.4999999999999998E-2</v>
      </c>
      <c r="BF576" s="1">
        <f>INDEX(Input!$1:$1048576,BF$93,$C576*2+6)</f>
        <v>0.05</v>
      </c>
      <c r="BG576" s="1">
        <f>INDEX(Input!$1:$1048576,BG$93,$C576*2+6)</f>
        <v>5.45E-2</v>
      </c>
      <c r="BH576" s="1">
        <f>INDEX(Input!$1:$1048576,BH$93,$C576*2+6)</f>
        <v>5.45E-2</v>
      </c>
      <c r="BI576" s="1">
        <f>INDEX(Input!$1:$1048576,BI$93,$C576*2+6)</f>
        <v>0.05</v>
      </c>
      <c r="BJ576" s="1">
        <f>INDEX(Input!$1:$1048576,BJ$93,$C576*2+6)</f>
        <v>0.05</v>
      </c>
      <c r="BK576" s="1">
        <f>INDEX(Input!$1:$1048576,BK$93,$C576*2+6)</f>
        <v>0.05</v>
      </c>
      <c r="BL576" s="1">
        <f>INDEX(Input!$1:$1048576,BL$93,$C576*2+6)</f>
        <v>5.5E-2</v>
      </c>
      <c r="BM576" s="1">
        <f>INDEX(Input!$1:$1048576,BM$93,$C576*2+6)</f>
        <v>0.06</v>
      </c>
      <c r="BN576" s="1">
        <f>INDEX(Input!$1:$1048576,BN$93,$C576*2+6)</f>
        <v>4.4999999999999998E-2</v>
      </c>
      <c r="BO576" s="1">
        <f>INDEX(Input!$1:$1048576,BO$93,$C576*2+6)</f>
        <v>4.4999999999999998E-2</v>
      </c>
      <c r="BP576" s="1">
        <f>INDEX(Input!$1:$1048576,BP$93,$C576*2+6)</f>
        <v>0.05</v>
      </c>
      <c r="BQ576" s="1">
        <f>INDEX(Input!$1:$1048576,BQ$93,$C576*2+6)</f>
        <v>5.45E-2</v>
      </c>
      <c r="BR576" s="1">
        <f>INDEX(Input!$1:$1048576,BR$93,$C576*2+6)</f>
        <v>5.45E-2</v>
      </c>
      <c r="BS576" s="1">
        <f>INDEX(Input!$1:$1048576,BS$93,$C576*2+6)</f>
        <v>0.05</v>
      </c>
      <c r="BT576" s="1">
        <f>INDEX(Input!$1:$1048576,BT$93,$C576*2+6)</f>
        <v>0.05</v>
      </c>
      <c r="BU576" s="1">
        <f>INDEX(Input!$1:$1048576,BU$93,$C576*2+6)</f>
        <v>0.05</v>
      </c>
      <c r="BV576" s="1">
        <f>INDEX(Input!$1:$1048576,BV$93,$C576*2+6)</f>
        <v>5.5E-2</v>
      </c>
      <c r="BW576" s="1">
        <f>INDEX(Input!$1:$1048576,BW$93,$C576*2+6)</f>
        <v>0.06</v>
      </c>
      <c r="BX576" s="127">
        <f>INDEX(Input!$1:$1048576,BX$93,$C576*2+6)</f>
        <v>19985</v>
      </c>
      <c r="BY576" s="20">
        <f>INDEX(Input!$1:$1048576,BY$93,$C576*2+6)</f>
        <v>0.1</v>
      </c>
      <c r="BZ576" s="20">
        <f>INDEX(Input!$1:$1048576,BZ$93,$C576*2+6)</f>
        <v>0.1</v>
      </c>
      <c r="CA576" s="20">
        <f>INDEX(Input!$1:$1048576,CA$93,$C576*2+6)</f>
        <v>0.1</v>
      </c>
      <c r="CB576" s="20">
        <f>INDEX(Input!$1:$1048576,CB$93,$C576*2+6)</f>
        <v>0.1</v>
      </c>
      <c r="CC576" s="20">
        <f>INDEX(Input!$1:$1048576,CC$93,$C576*2+6)</f>
        <v>0.1</v>
      </c>
      <c r="CD576" s="384">
        <f>INDEX(Input!$1:$1048576,CD$93,$C576*2+6)</f>
        <v>0.1</v>
      </c>
      <c r="CE576" s="384">
        <f>INDEX(Input!$1:$1048576,CE$93,$C576*2+6)</f>
        <v>0.1</v>
      </c>
      <c r="CF576" s="384">
        <f>INDEX(Input!$1:$1048576,CF$93,$C576*2+6)</f>
        <v>0.1</v>
      </c>
      <c r="CG576" s="384">
        <f>INDEX(Input!$1:$1048576,CG$93,$C576*2+6)</f>
        <v>0.1</v>
      </c>
      <c r="CH576" s="384">
        <f>INDEX(Input!$1:$1048576,CH$93,$C576*2+6)</f>
        <v>0.1</v>
      </c>
      <c r="CI576" s="304">
        <f t="shared" si="1527"/>
        <v>1007.4263093788063</v>
      </c>
      <c r="CJ576" s="16" t="str">
        <f>INDEX(Input!$1:$1048576,CJ$93,$C576*2+6)</f>
        <v>N</v>
      </c>
      <c r="CK576" s="1" t="str">
        <f t="shared" si="1528"/>
        <v>Market</v>
      </c>
      <c r="CL576" s="1" t="str">
        <f t="shared" si="1529"/>
        <v>Market</v>
      </c>
      <c r="CM576" s="1" t="str">
        <f t="shared" si="1530"/>
        <v>Market</v>
      </c>
      <c r="CN576" s="1" t="str">
        <f t="shared" si="1531"/>
        <v>Market</v>
      </c>
      <c r="CO576" s="1" t="str">
        <f t="shared" si="1532"/>
        <v>Market</v>
      </c>
      <c r="CP576" s="304">
        <f t="shared" si="1533"/>
        <v>500</v>
      </c>
      <c r="CQ576" s="1">
        <f t="shared" si="1534"/>
        <v>0</v>
      </c>
      <c r="CR576" s="1">
        <f t="shared" si="1535"/>
        <v>0</v>
      </c>
      <c r="CS576" s="1">
        <f t="shared" si="1536"/>
        <v>0</v>
      </c>
      <c r="CT576" s="1">
        <f t="shared" si="1537"/>
        <v>1.9E-2</v>
      </c>
      <c r="CU576" s="1">
        <f t="shared" si="1538"/>
        <v>3.9E-2</v>
      </c>
      <c r="CV576" s="304">
        <f t="shared" si="1539"/>
        <v>-852.93641739252325</v>
      </c>
      <c r="CW576" s="20" t="s">
        <v>122</v>
      </c>
      <c r="CX576" s="20" t="s">
        <v>122</v>
      </c>
      <c r="CY576" s="20" t="s">
        <v>122</v>
      </c>
      <c r="CZ576" s="20" t="s">
        <v>122</v>
      </c>
      <c r="DA576" s="20" t="s">
        <v>122</v>
      </c>
      <c r="DB576" s="503">
        <f t="shared" si="1540"/>
        <v>0</v>
      </c>
      <c r="DC576" s="127">
        <v>0</v>
      </c>
      <c r="DD576" s="127">
        <v>0</v>
      </c>
      <c r="DE576" s="127">
        <v>0</v>
      </c>
      <c r="DF576" s="127">
        <v>0</v>
      </c>
      <c r="DG576" s="127">
        <v>0</v>
      </c>
      <c r="DH576" s="127">
        <v>0</v>
      </c>
      <c r="DI576" s="127">
        <v>0</v>
      </c>
      <c r="DJ576" s="127">
        <v>0</v>
      </c>
      <c r="DK576" s="127">
        <v>0</v>
      </c>
      <c r="DL576" s="127">
        <v>0</v>
      </c>
      <c r="DM576" s="304">
        <f>INDEX(Input!$1:$1048576,DM$93,$C576*2+6)</f>
        <v>21036.84210526316</v>
      </c>
      <c r="DN576" s="20">
        <v>0</v>
      </c>
      <c r="DO576" s="20">
        <v>0</v>
      </c>
      <c r="DP576" s="20">
        <v>0</v>
      </c>
      <c r="DQ576" s="20">
        <v>0</v>
      </c>
      <c r="DR576" s="20">
        <v>0</v>
      </c>
      <c r="DS576" s="20">
        <f>INDEX(Input!$1:$1048576,DS$93,$C576*2+6)</f>
        <v>0.6</v>
      </c>
      <c r="DT576" s="20">
        <f>INDEX(Input!$1:$1048576,DT$93,$C576*2+6)</f>
        <v>0.55000000000000004</v>
      </c>
      <c r="DU576" s="20">
        <f>INDEX(Input!$1:$1048576,DU$93,$C576*2+6)</f>
        <v>0.52</v>
      </c>
      <c r="DV576" s="20">
        <f>INDEX(Input!$1:$1048576,DV$93,$C576*2+6)</f>
        <v>0.5</v>
      </c>
      <c r="DW576" s="20">
        <f>INDEX(Input!$1:$1048576,DW$93,$C576*2+6)</f>
        <v>0.45</v>
      </c>
      <c r="DX576" s="20"/>
      <c r="DY576" s="7">
        <v>0.11541468841385048</v>
      </c>
      <c r="DZ576" s="7">
        <v>0</v>
      </c>
      <c r="EA576" s="7">
        <v>0.73284954047330553</v>
      </c>
      <c r="EB576" s="7">
        <v>0</v>
      </c>
      <c r="EC576" s="7">
        <v>0</v>
      </c>
      <c r="ED576" s="7">
        <v>0</v>
      </c>
      <c r="EE576" s="7">
        <v>0</v>
      </c>
      <c r="EF576" s="7">
        <v>0</v>
      </c>
      <c r="EG576" s="7">
        <v>0</v>
      </c>
      <c r="EH576" s="7">
        <v>1.2088022501303204E-2</v>
      </c>
      <c r="EI576" s="7">
        <v>3.360122069309654E-2</v>
      </c>
      <c r="EJ576" s="7">
        <v>0.29184767224279018</v>
      </c>
      <c r="EK576" s="7">
        <v>0.53741822090844971</v>
      </c>
      <c r="EL576" s="7">
        <v>0.12504486365436007</v>
      </c>
      <c r="EM576" s="7">
        <v>7.5342934701299352E-2</v>
      </c>
      <c r="EN576" s="7">
        <v>5.8083816659615928E-2</v>
      </c>
      <c r="EO576" s="7">
        <v>0.71322346465997866</v>
      </c>
      <c r="EP576" s="7">
        <v>9.1556591474824145E-2</v>
      </c>
      <c r="EQ576" s="7">
        <v>9.0185968687129414E-2</v>
      </c>
      <c r="ER576" s="7">
        <v>4.6950158518451982E-2</v>
      </c>
      <c r="ES576" s="7">
        <v>7.6392836411544568E-2</v>
      </c>
      <c r="ET576" s="7">
        <v>0.15173577111284398</v>
      </c>
      <c r="EU576" s="6">
        <v>1000</v>
      </c>
      <c r="EV576" s="6">
        <v>0</v>
      </c>
      <c r="EW576" s="6">
        <v>1000</v>
      </c>
      <c r="EX576" s="6">
        <v>0</v>
      </c>
      <c r="EY576" s="6">
        <v>1745.732018826938</v>
      </c>
      <c r="EZ576" s="6">
        <v>-141.44990394013166</v>
      </c>
      <c r="FA576" s="6">
        <v>0</v>
      </c>
      <c r="FB576" s="6">
        <v>0</v>
      </c>
      <c r="FC576" s="6">
        <v>0</v>
      </c>
      <c r="FD576" s="6">
        <v>0</v>
      </c>
      <c r="FE576" s="6">
        <v>0</v>
      </c>
      <c r="FF576" s="6">
        <v>0</v>
      </c>
      <c r="FG576" s="6">
        <v>0</v>
      </c>
      <c r="FH576" s="6">
        <v>1172.1325024976452</v>
      </c>
      <c r="FI576" s="6">
        <v>1553.9796069512399</v>
      </c>
      <c r="FJ576" s="6">
        <v>2101.2110117447414</v>
      </c>
      <c r="FK576" s="6">
        <v>1772.7139978623234</v>
      </c>
      <c r="FL576" s="6">
        <v>907.07682140966324</v>
      </c>
      <c r="FM576" s="6">
        <v>1745.732018826938</v>
      </c>
      <c r="FN576" s="6">
        <v>0</v>
      </c>
      <c r="FO576" s="6">
        <v>0</v>
      </c>
      <c r="FP576" s="6">
        <v>0</v>
      </c>
      <c r="FQ576" s="6">
        <v>0</v>
      </c>
      <c r="FR576" s="6">
        <v>0</v>
      </c>
      <c r="FS576" s="6">
        <v>0</v>
      </c>
      <c r="FT576" s="7">
        <v>0.84826422888715602</v>
      </c>
      <c r="FU576" s="7">
        <v>7.5342934701299352E-2</v>
      </c>
      <c r="FV576" s="7">
        <v>7.6392836411544568E-2</v>
      </c>
      <c r="FW576" s="6">
        <v>1000</v>
      </c>
      <c r="FX576" s="6">
        <v>1745.732018826938</v>
      </c>
      <c r="FY576" s="6">
        <v>-141.44990394013166</v>
      </c>
      <c r="FZ576" s="6">
        <v>1758.1538569113241</v>
      </c>
      <c r="GA576" s="6">
        <v>968.98704301547434</v>
      </c>
      <c r="GB576" s="6">
        <v>19016.012956984527</v>
      </c>
      <c r="GC576" s="7">
        <v>3.064145122680037E-2</v>
      </c>
      <c r="GD576" s="7">
        <v>2.8380988286170448E-2</v>
      </c>
      <c r="GE576" s="7"/>
      <c r="GF576" s="7"/>
      <c r="GG576" s="7">
        <v>-7.3771406057061076E-2</v>
      </c>
      <c r="GH576" s="42">
        <v>1.8682001372715342</v>
      </c>
      <c r="GI576" s="6">
        <v>11666.449055403324</v>
      </c>
      <c r="GJ576" s="14">
        <v>0.50394797582841722</v>
      </c>
      <c r="GK576" s="14">
        <v>0.50887573065309721</v>
      </c>
      <c r="GL576" s="14">
        <v>0.49605202417158278</v>
      </c>
      <c r="GM576" s="14">
        <v>0.49112426934690234</v>
      </c>
      <c r="GO576" s="5">
        <v>343.14810671672558</v>
      </c>
      <c r="GP576" s="5">
        <v>324.070014441034</v>
      </c>
      <c r="GQ576" s="5">
        <v>535.04305713031317</v>
      </c>
      <c r="GR576" s="5">
        <v>410.15490233172511</v>
      </c>
      <c r="GS576" s="5">
        <v>339.42744393800166</v>
      </c>
      <c r="GT576" s="5">
        <v>293.4407446948278</v>
      </c>
      <c r="GU576" s="5">
        <v>258.04012322764959</v>
      </c>
      <c r="GV576" s="39" t="s">
        <v>392</v>
      </c>
      <c r="GW576" s="5">
        <v>499.625</v>
      </c>
      <c r="GX576" s="5">
        <v>374.71875</v>
      </c>
      <c r="GY576" s="5">
        <v>299.77499999999998</v>
      </c>
      <c r="GZ576" s="5">
        <v>264.51980311843727</v>
      </c>
      <c r="HA576" s="5">
        <v>245.02690693912888</v>
      </c>
      <c r="HB576" s="39">
        <v>278.91623976220421</v>
      </c>
      <c r="HC576" s="5">
        <v>293.47280829738077</v>
      </c>
      <c r="HD576" s="5">
        <v>244.02924238008356</v>
      </c>
      <c r="HE576" s="5">
        <v>244.88447481655879</v>
      </c>
      <c r="HF576" s="5">
        <v>224.17978451107166</v>
      </c>
      <c r="HG576" s="5">
        <v>213.34250473779989</v>
      </c>
      <c r="HH576" s="39">
        <v>243.7485257820733</v>
      </c>
      <c r="HI576" s="16"/>
      <c r="HJ576" s="19" t="str">
        <f t="shared" ref="HJ576:HK576" si="1643">HJ575</f>
        <v>On</v>
      </c>
      <c r="HK576" s="1" t="str">
        <f t="shared" si="1643"/>
        <v>On</v>
      </c>
      <c r="HL576" s="16"/>
      <c r="HM576" s="639">
        <f t="shared" si="1605"/>
        <v>2.4909940070666322E-2</v>
      </c>
      <c r="HN576" s="639">
        <f t="shared" si="1606"/>
        <v>2.2052381276269151E-3</v>
      </c>
      <c r="HO576" s="639">
        <f t="shared" si="1607"/>
        <v>2.079866082302006E-3</v>
      </c>
      <c r="HP576" s="644">
        <f>(FT576*$GD576-HM576)/$JF576*INDEX(Input!$1:$1048576,$JG$93,$C576*2+6)</f>
        <v>-23.491417122383673</v>
      </c>
      <c r="HQ576" s="644">
        <f>(FU576*$GD576-HN576)/$JF576*INDEX(Input!$1:$1048576,$JG$93,$C576*2+6)</f>
        <v>-1.8821858463261931</v>
      </c>
      <c r="HR576" s="644">
        <f>(FV576*$GD576-HO576)/$JF576*INDEX(Input!$1:$1048576,$JG$93,$C576*2+6)</f>
        <v>2.4813625939632415</v>
      </c>
      <c r="HS576" s="644">
        <f t="shared" si="1598"/>
        <v>11.66991073715038</v>
      </c>
      <c r="HT576" s="644">
        <f t="shared" ref="HT576:HT583" si="1644">IF(AND(HJ576="On",HK576="On"),IM576/1000*INDEX(KG:KG,MATCH(C576*1000+4,$KF:$KF,0))*SUM(HY576:IA576)*1.1
+INDEX(HR:HR,MATCH(C576*1000+3,$KF:$KF,0))/INDEX(IL:IL,MATCH(C576*1000+3,$KF:$KF,0))*IL576*20%,0)</f>
        <v>-13.189025287617293</v>
      </c>
      <c r="HU576" s="644">
        <f t="shared" si="1609"/>
        <v>-1.933767867338096</v>
      </c>
      <c r="HV576" s="648">
        <f t="shared" si="1610"/>
        <v>0</v>
      </c>
      <c r="HW576" s="648">
        <f t="shared" si="1611"/>
        <v>0</v>
      </c>
      <c r="HX576" s="648">
        <f t="shared" si="1612"/>
        <v>0</v>
      </c>
      <c r="HY576" s="644">
        <f>INDEX(Input!$1:$1048576,HY$93,$C576*2+6)*INDEX(Input!$1:$1048576,$JG$93,$C576*2+6)</f>
        <v>333.00000000000006</v>
      </c>
      <c r="HZ576" s="644">
        <f>INDEX(Input!$1:$1048576,HZ$93,$C576*2+6)*INDEX(Input!$1:$1048576,$JG$93,$C576*2+6)</f>
        <v>429</v>
      </c>
      <c r="IA576" s="644">
        <f>INDEX(Input!$1:$1048576,IA$93,$C576*2+6)*INDEX(Input!$1:$1048576,$JG$93,$C576*2+6)</f>
        <v>59</v>
      </c>
      <c r="IB576" s="644">
        <f t="shared" si="1551"/>
        <v>321.17849361476675</v>
      </c>
      <c r="IC576" s="644">
        <f t="shared" si="1552"/>
        <v>413.92878886605649</v>
      </c>
      <c r="ID576" s="644">
        <f>IF(AND(INDEX(Input!$1:$1048576,IA$93,$C576*2+7)="TOS",Y576&lt;=INDEX(Y:Y,MATCH(C576*1000+2,A:A))),0,1)*MAX(IA576+HR576+HU576+HX576,0%)</f>
        <v>59.547594726625142</v>
      </c>
      <c r="IE576" s="128">
        <f t="shared" ref="IE576:IE583" si="1645">IB576/SUM($IB576:$ID576)</f>
        <v>0.40417356367765883</v>
      </c>
      <c r="IF576" s="128">
        <f t="shared" ref="IF576:IF583" si="1646">IC576/SUM($IB576:$ID576)</f>
        <v>0.52089127083781617</v>
      </c>
      <c r="IG576" s="128">
        <f t="shared" si="1555"/>
        <v>7.493516548452514E-2</v>
      </c>
      <c r="IH576" s="21"/>
      <c r="II576" s="19">
        <f t="shared" si="1613"/>
        <v>1240</v>
      </c>
      <c r="IJ576" s="19">
        <f t="shared" si="1614"/>
        <v>1985.7442651839444</v>
      </c>
      <c r="IK576" s="19">
        <f t="shared" si="1615"/>
        <v>-21.44990394013189</v>
      </c>
      <c r="IL576" s="19">
        <f t="shared" si="1556"/>
        <v>-240</v>
      </c>
      <c r="IM576" s="19">
        <f t="shared" si="1557"/>
        <v>-240.01224635700646</v>
      </c>
      <c r="IN576" s="19">
        <f t="shared" si="1558"/>
        <v>-119.99999999999977</v>
      </c>
      <c r="IO576" s="39">
        <f t="shared" si="1616"/>
        <v>0</v>
      </c>
      <c r="IP576" s="39">
        <f t="shared" si="1617"/>
        <v>0</v>
      </c>
      <c r="IQ576" s="39">
        <f t="shared" si="1618"/>
        <v>0</v>
      </c>
      <c r="IR576" s="39">
        <v>0</v>
      </c>
      <c r="IS576" s="39">
        <v>0</v>
      </c>
      <c r="IT576" s="39">
        <v>0</v>
      </c>
      <c r="IU576" s="39">
        <v>0</v>
      </c>
      <c r="IV576" s="39">
        <v>0</v>
      </c>
      <c r="IW576" s="39">
        <v>0</v>
      </c>
      <c r="IX576" s="39">
        <f>INDEX(Input!$1:$1048576,IX$93,$C576*2+6)+INDEX(Input!$1:$1048576,IX$94,$C576*2+6)</f>
        <v>1270</v>
      </c>
      <c r="IY576" s="39">
        <f>INDEX(Input!$1:$1048576,IY$93,$C576*2+6)+INDEX(Input!$1:$1048576,IY$94,$C576*2+6)</f>
        <v>2130.0624533823611</v>
      </c>
      <c r="IZ576" s="39">
        <f>INDEX(Input!$1:$1048576,IZ$93,$C576*2+6)+INDEX(Input!$1:$1048576,IZ$94,$C576*2+6)</f>
        <v>3653.7164157747857</v>
      </c>
      <c r="JA576" s="19">
        <f t="shared" si="1559"/>
        <v>1030</v>
      </c>
      <c r="JB576" s="19">
        <f t="shared" si="1560"/>
        <v>1890.0502070253547</v>
      </c>
      <c r="JC576" s="19">
        <f t="shared" si="1561"/>
        <v>3533.7164157747857</v>
      </c>
      <c r="JD576" s="19">
        <f t="shared" si="1562"/>
        <v>1665.6090492641697</v>
      </c>
      <c r="JE576" s="21"/>
      <c r="JF576" s="1">
        <f t="shared" si="1619"/>
        <v>2.9195044280595241E-2</v>
      </c>
      <c r="JG576" s="15">
        <f>INDEX(Input!$1:$1048576,JG$93,$C576*2+6)/(1+VLOOKUP(C576*1000+INDEX(Input!$1:$1048576,JG$93+1,$C576*2+6),$A:$KK,$JK$92,FALSE))</f>
        <v>821</v>
      </c>
      <c r="JH576" s="1">
        <f t="shared" si="1563"/>
        <v>-2.7883362210410021E-2</v>
      </c>
      <c r="JI576" s="1">
        <f t="shared" si="1564"/>
        <v>-4.2057033103593293E-3</v>
      </c>
      <c r="JJ576" s="1">
        <f t="shared" si="1565"/>
        <v>0</v>
      </c>
      <c r="JK576" s="1">
        <f t="shared" si="1566"/>
        <v>-3.2089065520769351E-2</v>
      </c>
      <c r="JL576" s="15">
        <f t="shared" si="1567"/>
        <v>-26.345122792551638</v>
      </c>
      <c r="JM576" s="15">
        <f t="shared" si="1568"/>
        <v>794.65487720744841</v>
      </c>
      <c r="JN576" s="21"/>
      <c r="JO576" s="19">
        <f>INDEX(Input!$1:$1048576,JO$93,$C576*2+6)</f>
        <v>5995.5</v>
      </c>
      <c r="JP576" s="19">
        <f>INDEX(Input!$1:$1048576,JP$93,$C576*2+6)</f>
        <v>1890.7138380411029</v>
      </c>
      <c r="JQ576" s="39">
        <f t="shared" si="1569"/>
        <v>4329.8909507358303</v>
      </c>
      <c r="JR576" s="39">
        <f t="shared" si="1570"/>
        <v>-225.10478877693322</v>
      </c>
      <c r="JS576" s="39">
        <f t="shared" si="1571"/>
        <v>1.3235843545186337</v>
      </c>
      <c r="JT576" s="39">
        <f t="shared" si="1572"/>
        <v>-0.22869170651311194</v>
      </c>
      <c r="JU576" s="385">
        <f>(JQ576*JM576-INDEX(Input!$1:$1048576,Input!A$18,$C576*2+6)*JL576*INDEX(Input!$1:$1048576,Input!A$19,$C576*2+6))/1000000</f>
        <v>3.4407689617786232</v>
      </c>
      <c r="JV576" s="39">
        <f t="shared" si="1573"/>
        <v>7.0739522810368882E-2</v>
      </c>
      <c r="JW576" s="1">
        <f t="shared" si="1574"/>
        <v>2.0990772956578689E-2</v>
      </c>
      <c r="JX576" s="19">
        <f t="shared" si="1575"/>
        <v>8680.6088669196961</v>
      </c>
      <c r="JZ576" s="341"/>
      <c r="KA576" s="342"/>
      <c r="KB576" s="469">
        <f t="shared" si="1576"/>
        <v>2.5122967434604799</v>
      </c>
      <c r="KI576" s="473">
        <f t="shared" ref="KI576:KI583" si="1647">$JM576*IE576-$JG576*HY576/SUM($HY576:$IA576)</f>
        <v>-11.821506385233249</v>
      </c>
      <c r="KJ576" s="473">
        <f t="shared" ref="KJ576:KJ583" si="1648">$JM576*IF576-$JG576*HZ576/SUM($HY576:$IA576)</f>
        <v>-15.07121113394345</v>
      </c>
      <c r="KK576" s="473">
        <f t="shared" si="1579"/>
        <v>0.54759472662514952</v>
      </c>
      <c r="KN576" s="544">
        <f t="shared" si="1580"/>
        <v>5002</v>
      </c>
      <c r="KO576" s="541">
        <f t="shared" si="1620"/>
        <v>-3.6014067807592642E-2</v>
      </c>
      <c r="KP576" s="546">
        <f t="shared" si="1621"/>
        <v>-259.89089892956952</v>
      </c>
      <c r="KQ576" s="546">
        <f t="shared" si="1622"/>
        <v>-253.30971645909676</v>
      </c>
      <c r="KR576" s="548">
        <f t="shared" si="1623"/>
        <v>2.5034854135659481</v>
      </c>
      <c r="KS576" s="548">
        <f t="shared" si="1624"/>
        <v>2.5685279020624558</v>
      </c>
      <c r="KT576" s="473">
        <f t="shared" si="1581"/>
        <v>595.94378802984284</v>
      </c>
      <c r="KU576" s="663">
        <f t="shared" si="1626"/>
        <v>4.0008856361577063</v>
      </c>
    </row>
    <row r="577" spans="1:307" s="26" customFormat="1" ht="15" outlineLevel="1">
      <c r="A577" s="561">
        <f t="shared" si="1541"/>
        <v>5077</v>
      </c>
      <c r="B577" s="561">
        <f t="shared" si="1627"/>
        <v>77</v>
      </c>
      <c r="C577" s="561">
        <f t="shared" si="1628"/>
        <v>5</v>
      </c>
      <c r="D577" s="561" t="str">
        <f t="shared" si="1509"/>
        <v xml:space="preserve">-250 CC, -360 Lease, </v>
      </c>
      <c r="E577" s="475">
        <f>INDEX(Input!$1:$1048576,E$93,$C577*2+MIN($B577,2)+5)
+INDEX(Scenarios!E$121:E$200,MATCH($B577,Scenarios!$B$121:$B$200,0))</f>
        <v>1027.4263093788063</v>
      </c>
      <c r="F577" s="475">
        <f>INDEX(Input!$1:$1048576,F$93,$C577*2+MIN($B577,2)+5)
+INDEX(Scenarios!F$121:F$200,MATCH($B577,Scenarios!$B$121:$B$200,0))</f>
        <v>0</v>
      </c>
      <c r="G577" s="475">
        <f>INDEX(Input!$1:$1048576,G$93,$C577*2+MIN($B577,2)+5)
+INDEX(Scenarios!G$121:G$200,MATCH($B577,Scenarios!$B$121:$B$200,0))</f>
        <v>0</v>
      </c>
      <c r="H577" s="475">
        <f>INDEX(Input!$1:$1048576,H$93,$C577*2+MIN($B577,2)+5)
+INDEX(Scenarios!H$121:H$200,MATCH($B577,Scenarios!$B$121:$B$200,0))</f>
        <v>0</v>
      </c>
      <c r="I577" s="476">
        <f>INDEX(Input!$1:$1048576,I$93,$C577*2+MIN($B577,2)+5)</f>
        <v>0.7</v>
      </c>
      <c r="J577" s="476" t="str">
        <f>INDEX(Input!$1:$1048576,J$93,$C577*2+MIN($B577,2)+5)</f>
        <v>Market</v>
      </c>
      <c r="K577" s="476" t="str">
        <f>INDEX(Input!$1:$1048576,K$93,$C577*2+MIN($B577,2)+5)</f>
        <v>Market</v>
      </c>
      <c r="L577" s="476" t="str">
        <f>INDEX(Input!$1:$1048576,L$93,$C577*2+MIN($B577,2)+5)</f>
        <v>Market</v>
      </c>
      <c r="M577" s="476" t="str">
        <f>INDEX(Input!$1:$1048576,M$93,$C577*2+MIN($B577,2)+5)</f>
        <v>Market</v>
      </c>
      <c r="N577" s="476" t="str">
        <f>INDEX(Input!$1:$1048576,N$93,$C577*2+MIN($B577,2)+5)</f>
        <v>Market</v>
      </c>
      <c r="O577" s="476" t="str">
        <f>INDEX(Input!$1:$1048576,O$93,$C577*2+MIN($B577,2)+5)</f>
        <v>Market</v>
      </c>
      <c r="P577" s="476" t="str">
        <f>INDEX(Input!$1:$1048576,P$93,$C577*2+MIN($B577,2)+5)</f>
        <v>N</v>
      </c>
      <c r="Q577" s="477">
        <f>INDEX(Input!$1:$1048576,Q$93,$C577*2+MIN($B577,2)+5)
+INDEX(Scenarios!Q$121:Q$200,MATCH($B577,Scenarios!$B$121:$B$200,0))</f>
        <v>0</v>
      </c>
      <c r="R577" s="478">
        <f>IFERROR(MAX(0,INDEX(Input!$1:$1048576,R$93,$C577*2+MIN($B577,2)+5)
+INDEX(Scenarios!R$121:R$200,MATCH($B577,Scenarios!$B$121:$B$200,0)),),"Market")</f>
        <v>0</v>
      </c>
      <c r="S577" s="478">
        <f>IFERROR(MAX(0,INDEX(Input!$1:$1048576,S$93,$C577*2+MIN($B577,2)+5)
+INDEX(Scenarios!S$121:S$200,MATCH($B577,Scenarios!$B$121:$B$200,0)),),"Market")</f>
        <v>0</v>
      </c>
      <c r="T577" s="478">
        <f>IFERROR(MAX(0,INDEX(Input!$1:$1048576,T$93,$C577*2+MIN($B577,2)+5)
+INDEX(Scenarios!T$121:T$200,MATCH($B577,Scenarios!$B$121:$B$200,0)),),"Market")</f>
        <v>0</v>
      </c>
      <c r="U577" s="478">
        <f>IFERROR(MAX(0,INDEX(Input!$1:$1048576,U$93,$C577*2+MIN($B577,2)+5)
+INDEX(Scenarios!U$121:U$200,MATCH($B577,Scenarios!$B$121:$B$200,0)),),"Market")</f>
        <v>0</v>
      </c>
      <c r="V577" s="478">
        <f>IFERROR(MAX(0,INDEX(Input!$1:$1048576,V$93,$C577*2+MIN($B577,2)+5)
+INDEX(Scenarios!V$121:V$200,MATCH($B577,Scenarios!$B$121:$B$200,0)),),"Market")</f>
        <v>1.9E-2</v>
      </c>
      <c r="W577" s="885">
        <f>IFERROR(MAX(0,INDEX(Input!$1:$1048576,W$93,$C577*2+MIN($B577,2)+5)-0%,),"Market")</f>
        <v>3.9E-2</v>
      </c>
      <c r="X577" s="476" t="str">
        <f>INDEX(Input!$1:$1048576,X$93,$C577*2+MIN($B577,2)+5)</f>
        <v>Y</v>
      </c>
      <c r="Y577" s="475">
        <f>INDEX(Input!$1:$1048576,Y$93,$C577*2+MIN($B577,2)+5)
++INDEX(Scenarios!Y$121:Y$200,MATCH($B577,Scenarios!$B$121:$B$200,0))</f>
        <v>-1077.9364173925233</v>
      </c>
      <c r="Z577" s="477">
        <f>INDEX(Input!$1:$1048576,Z$93,$C577*2+MIN($B577,2)+5)
+INDEX(Scenarios!Z$121:Z$200,MATCH($B577,Scenarios!$B$121:$B$200,0))</f>
        <v>0</v>
      </c>
      <c r="AA577" s="475">
        <f>INDEX(Input!$1:$1048576,AA$93,$C577*2+MIN($B577,2)+5)
+INDEX(Scenarios!AA$121:AA$200,MATCH($B577,Scenarios!$B$121:$B$200,0))</f>
        <v>0</v>
      </c>
      <c r="AB577" s="476">
        <f>INDEX(Input!$1:$1048576,AB$93,$C577*2+MIN($B577,2)+5)</f>
        <v>0.27</v>
      </c>
      <c r="AC577" s="475">
        <f>INDEX(Input!$1:$1048576,AC$93,$C577*2+MIN($B577,2)+5)
+INDEX(Scenarios!AC$121:AC$200,MATCH($B577,Scenarios!$B$121:$B$200,0))</f>
        <v>0</v>
      </c>
      <c r="AD577" s="476">
        <f>INDEX(Input!$1:$1048576,AD$93,$C577*2+MIN($B577,2)+5)</f>
        <v>0.27</v>
      </c>
      <c r="AE577" s="475">
        <f>INDEX(Input!$1:$1048576,AE$93,$C577*2+MIN($B577,2)+5)
+INDEX(Scenarios!AE$121:AE$200,MATCH($B577,Scenarios!$B$121:$B$200,0))</f>
        <v>0</v>
      </c>
      <c r="AF577" s="476">
        <f>INDEX(Input!$1:$1048576,AF$93,$C577*2+MIN($B577,2)+5)</f>
        <v>0.2</v>
      </c>
      <c r="AG577" s="475">
        <f>INDEX(Input!$1:$1048576,AG$93,$C577*2+MIN($B577,2)+5)
+INDEX(Scenarios!AG$121:AG$200,MATCH($B577,Scenarios!$B$121:$B$200,0))</f>
        <v>500</v>
      </c>
      <c r="AH577" s="476">
        <f>INDEX(Input!$1:$1048576,AH$93,$C577*2+MIN($B577,2)+5)</f>
        <v>1</v>
      </c>
      <c r="AI577" s="475">
        <f>INDEX(Input!$1:$1048576,AI$93,$C577*2+MIN($B577,2)+5)
+INDEX(Scenarios!AI$121:AI$200,MATCH($B577,Scenarios!$B$121:$B$200,0))</f>
        <v>0</v>
      </c>
      <c r="AJ577" s="476">
        <f>INDEX(Input!$1:$1048576,AJ$93,$C577*2+MIN($B577,2)+5)</f>
        <v>0.27</v>
      </c>
      <c r="AK577" s="150">
        <f>ROUND(INDEX(Input!$1:$1048576,AK$93,$C576*2+MIN($B577,1)+5)+(Y577-VLOOKUP($C577*1000+1,$A:$HH,Y$92,FALSE)),0)</f>
        <v>2227</v>
      </c>
      <c r="AL577" s="150">
        <f>ROUND(INDEX(Input!$1:$1048576,AL$93,$C576*2+MIN($B577,1)+5)-(Y577-VLOOKUP($C577*1000+1,$A:$HH,Y$92,FALSE))/36,0)</f>
        <v>3416</v>
      </c>
      <c r="AM577" s="32" t="str">
        <f t="shared" si="1544"/>
        <v>std/std/std/std</v>
      </c>
      <c r="AN577" s="32" t="str">
        <f t="shared" si="1545"/>
        <v>$0 + 0/0/0/1.9/3.9</v>
      </c>
      <c r="AO577" s="32" t="str">
        <f t="shared" si="1546"/>
        <v>0/0/0/1.9/3.9</v>
      </c>
      <c r="AP577" s="32" t="str">
        <f t="shared" si="1526"/>
        <v>0/0.9/1.9/3.9</v>
      </c>
      <c r="AQ577" s="536">
        <f t="shared" si="1525"/>
        <v>0.39509975861845981</v>
      </c>
      <c r="AR577" s="32"/>
      <c r="AS577" s="302"/>
      <c r="AT577" s="3">
        <f t="shared" si="1629"/>
        <v>77</v>
      </c>
      <c r="AU577" s="41" t="s">
        <v>121</v>
      </c>
      <c r="AV577" s="41" t="s">
        <v>116</v>
      </c>
      <c r="AW577" s="41" t="str">
        <f>INDEX(Input!$1:$1048576,AW$93,$C577*2+6)</f>
        <v>Kia</v>
      </c>
      <c r="AX577" s="41" t="str">
        <f>INDEX(Input!$1:$1048576,AX$93,$C577*2+6)</f>
        <v>Kia-LR - R2</v>
      </c>
      <c r="AY577" s="41" t="str">
        <f>IF(LEN(D577)=0,"",INDEX(Input!$1:$1048576,AY$93,$C577*2+6))</f>
        <v>Compact SUV (52)</v>
      </c>
      <c r="AZ577" s="41" t="str">
        <f>INDEX(Input!$1:$1048576,AZ$93,$C577*2+6)</f>
        <v>Kia Soul</v>
      </c>
      <c r="BA577" s="3">
        <f>INDEX(Input!$1:$1048576,BA$93,$C577*2+6)</f>
        <v>2020</v>
      </c>
      <c r="BB577" s="128">
        <f>INDEX(Input!$1:$1048576,BB$93,$C577*2+6)</f>
        <v>1</v>
      </c>
      <c r="BC577" s="128">
        <f>INDEX(Input!$1:$1048576,BC$93,$C577*2+6)</f>
        <v>0.7</v>
      </c>
      <c r="BD577" s="1">
        <f>INDEX(Input!$1:$1048576,BD$93,$C577*2+6)</f>
        <v>4.4999999999999998E-2</v>
      </c>
      <c r="BE577" s="1">
        <f>INDEX(Input!$1:$1048576,BE$93,$C577*2+6)</f>
        <v>4.4999999999999998E-2</v>
      </c>
      <c r="BF577" s="1">
        <f>INDEX(Input!$1:$1048576,BF$93,$C577*2+6)</f>
        <v>0.05</v>
      </c>
      <c r="BG577" s="1">
        <f>INDEX(Input!$1:$1048576,BG$93,$C577*2+6)</f>
        <v>5.45E-2</v>
      </c>
      <c r="BH577" s="1">
        <f>INDEX(Input!$1:$1048576,BH$93,$C577*2+6)</f>
        <v>5.45E-2</v>
      </c>
      <c r="BI577" s="1">
        <f>INDEX(Input!$1:$1048576,BI$93,$C577*2+6)</f>
        <v>0.05</v>
      </c>
      <c r="BJ577" s="1">
        <f>INDEX(Input!$1:$1048576,BJ$93,$C577*2+6)</f>
        <v>0.05</v>
      </c>
      <c r="BK577" s="1">
        <f>INDEX(Input!$1:$1048576,BK$93,$C577*2+6)</f>
        <v>0.05</v>
      </c>
      <c r="BL577" s="1">
        <f>INDEX(Input!$1:$1048576,BL$93,$C577*2+6)</f>
        <v>5.5E-2</v>
      </c>
      <c r="BM577" s="1">
        <f>INDEX(Input!$1:$1048576,BM$93,$C577*2+6)</f>
        <v>0.06</v>
      </c>
      <c r="BN577" s="1">
        <f>INDEX(Input!$1:$1048576,BN$93,$C577*2+6)</f>
        <v>4.4999999999999998E-2</v>
      </c>
      <c r="BO577" s="1">
        <f>INDEX(Input!$1:$1048576,BO$93,$C577*2+6)</f>
        <v>4.4999999999999998E-2</v>
      </c>
      <c r="BP577" s="1">
        <f>INDEX(Input!$1:$1048576,BP$93,$C577*2+6)</f>
        <v>0.05</v>
      </c>
      <c r="BQ577" s="1">
        <f>INDEX(Input!$1:$1048576,BQ$93,$C577*2+6)</f>
        <v>5.45E-2</v>
      </c>
      <c r="BR577" s="1">
        <f>INDEX(Input!$1:$1048576,BR$93,$C577*2+6)</f>
        <v>5.45E-2</v>
      </c>
      <c r="BS577" s="1">
        <f>INDEX(Input!$1:$1048576,BS$93,$C577*2+6)</f>
        <v>0.05</v>
      </c>
      <c r="BT577" s="1">
        <f>INDEX(Input!$1:$1048576,BT$93,$C577*2+6)</f>
        <v>0.05</v>
      </c>
      <c r="BU577" s="1">
        <f>INDEX(Input!$1:$1048576,BU$93,$C577*2+6)</f>
        <v>0.05</v>
      </c>
      <c r="BV577" s="1">
        <f>INDEX(Input!$1:$1048576,BV$93,$C577*2+6)</f>
        <v>5.5E-2</v>
      </c>
      <c r="BW577" s="1">
        <f>INDEX(Input!$1:$1048576,BW$93,$C577*2+6)</f>
        <v>0.06</v>
      </c>
      <c r="BX577" s="127">
        <f>INDEX(Input!$1:$1048576,BX$93,$C577*2+6)</f>
        <v>19985</v>
      </c>
      <c r="BY577" s="20">
        <f>INDEX(Input!$1:$1048576,BY$93,$C577*2+6)</f>
        <v>0.1</v>
      </c>
      <c r="BZ577" s="20">
        <f>INDEX(Input!$1:$1048576,BZ$93,$C577*2+6)</f>
        <v>0.1</v>
      </c>
      <c r="CA577" s="20">
        <f>INDEX(Input!$1:$1048576,CA$93,$C577*2+6)</f>
        <v>0.1</v>
      </c>
      <c r="CB577" s="20">
        <f>INDEX(Input!$1:$1048576,CB$93,$C577*2+6)</f>
        <v>0.1</v>
      </c>
      <c r="CC577" s="20">
        <f>INDEX(Input!$1:$1048576,CC$93,$C577*2+6)</f>
        <v>0.1</v>
      </c>
      <c r="CD577" s="384">
        <f>INDEX(Input!$1:$1048576,CD$93,$C577*2+6)</f>
        <v>0.1</v>
      </c>
      <c r="CE577" s="384">
        <f>INDEX(Input!$1:$1048576,CE$93,$C577*2+6)</f>
        <v>0.1</v>
      </c>
      <c r="CF577" s="384">
        <f>INDEX(Input!$1:$1048576,CF$93,$C577*2+6)</f>
        <v>0.1</v>
      </c>
      <c r="CG577" s="384">
        <f>INDEX(Input!$1:$1048576,CG$93,$C577*2+6)</f>
        <v>0.1</v>
      </c>
      <c r="CH577" s="384">
        <f>INDEX(Input!$1:$1048576,CH$93,$C577*2+6)</f>
        <v>0.1</v>
      </c>
      <c r="CI577" s="304">
        <f t="shared" si="1527"/>
        <v>1027.4263093788063</v>
      </c>
      <c r="CJ577" s="16" t="str">
        <f>INDEX(Input!$1:$1048576,CJ$93,$C577*2+6)</f>
        <v>N</v>
      </c>
      <c r="CK577" s="1" t="str">
        <f t="shared" si="1528"/>
        <v>Market</v>
      </c>
      <c r="CL577" s="1" t="str">
        <f t="shared" si="1529"/>
        <v>Market</v>
      </c>
      <c r="CM577" s="1" t="str">
        <f t="shared" si="1530"/>
        <v>Market</v>
      </c>
      <c r="CN577" s="1" t="str">
        <f t="shared" si="1531"/>
        <v>Market</v>
      </c>
      <c r="CO577" s="1" t="str">
        <f t="shared" si="1532"/>
        <v>Market</v>
      </c>
      <c r="CP577" s="304">
        <f t="shared" si="1533"/>
        <v>500</v>
      </c>
      <c r="CQ577" s="1">
        <f t="shared" si="1534"/>
        <v>0</v>
      </c>
      <c r="CR577" s="1">
        <f t="shared" si="1535"/>
        <v>0</v>
      </c>
      <c r="CS577" s="1">
        <f t="shared" si="1536"/>
        <v>0</v>
      </c>
      <c r="CT577" s="1">
        <f t="shared" si="1537"/>
        <v>1.9E-2</v>
      </c>
      <c r="CU577" s="1">
        <f t="shared" si="1538"/>
        <v>3.9E-2</v>
      </c>
      <c r="CV577" s="304">
        <f t="shared" si="1539"/>
        <v>-1077.9364173925233</v>
      </c>
      <c r="CW577" s="20" t="s">
        <v>122</v>
      </c>
      <c r="CX577" s="20" t="s">
        <v>122</v>
      </c>
      <c r="CY577" s="20" t="s">
        <v>122</v>
      </c>
      <c r="CZ577" s="20" t="s">
        <v>122</v>
      </c>
      <c r="DA577" s="20" t="s">
        <v>122</v>
      </c>
      <c r="DB577" s="503">
        <f t="shared" si="1540"/>
        <v>0</v>
      </c>
      <c r="DC577" s="127">
        <v>0</v>
      </c>
      <c r="DD577" s="127">
        <v>0</v>
      </c>
      <c r="DE577" s="127">
        <v>0</v>
      </c>
      <c r="DF577" s="127">
        <v>0</v>
      </c>
      <c r="DG577" s="127">
        <v>0</v>
      </c>
      <c r="DH577" s="127">
        <v>0</v>
      </c>
      <c r="DI577" s="127">
        <v>0</v>
      </c>
      <c r="DJ577" s="127">
        <v>0</v>
      </c>
      <c r="DK577" s="127">
        <v>0</v>
      </c>
      <c r="DL577" s="127">
        <v>0</v>
      </c>
      <c r="DM577" s="304">
        <f>INDEX(Input!$1:$1048576,DM$93,$C577*2+6)</f>
        <v>21036.84210526316</v>
      </c>
      <c r="DN577" s="20">
        <v>0</v>
      </c>
      <c r="DO577" s="20">
        <v>0</v>
      </c>
      <c r="DP577" s="20">
        <v>0</v>
      </c>
      <c r="DQ577" s="20">
        <v>0</v>
      </c>
      <c r="DR577" s="20">
        <v>0</v>
      </c>
      <c r="DS577" s="20">
        <f>INDEX(Input!$1:$1048576,DS$93,$C577*2+6)</f>
        <v>0.6</v>
      </c>
      <c r="DT577" s="20">
        <f>INDEX(Input!$1:$1048576,DT$93,$C577*2+6)</f>
        <v>0.55000000000000004</v>
      </c>
      <c r="DU577" s="20">
        <f>INDEX(Input!$1:$1048576,DU$93,$C577*2+6)</f>
        <v>0.52</v>
      </c>
      <c r="DV577" s="20">
        <f>INDEX(Input!$1:$1048576,DV$93,$C577*2+6)</f>
        <v>0.5</v>
      </c>
      <c r="DW577" s="20">
        <f>INDEX(Input!$1:$1048576,DW$93,$C577*2+6)</f>
        <v>0.45</v>
      </c>
      <c r="DX577" s="20"/>
      <c r="DY577" s="7">
        <v>0.11550073952184449</v>
      </c>
      <c r="DZ577" s="7">
        <v>0</v>
      </c>
      <c r="EA577" s="7">
        <v>0.73046274824854185</v>
      </c>
      <c r="EB577" s="7">
        <v>0</v>
      </c>
      <c r="EC577" s="7">
        <v>0</v>
      </c>
      <c r="ED577" s="7">
        <v>0</v>
      </c>
      <c r="EE577" s="7">
        <v>0</v>
      </c>
      <c r="EF577" s="7">
        <v>0</v>
      </c>
      <c r="EG577" s="7">
        <v>0</v>
      </c>
      <c r="EH577" s="7">
        <v>1.2088432703924384E-2</v>
      </c>
      <c r="EI577" s="7">
        <v>3.360585647118678E-2</v>
      </c>
      <c r="EJ577" s="7">
        <v>0.29191707585150251</v>
      </c>
      <c r="EK577" s="7">
        <v>0.53734105688761802</v>
      </c>
      <c r="EL577" s="7">
        <v>0.12504757808576838</v>
      </c>
      <c r="EM577" s="7">
        <v>8.6287988769928201E-2</v>
      </c>
      <c r="EN577" s="7">
        <v>5.7470710381984098E-2</v>
      </c>
      <c r="EO577" s="7">
        <v>0.70685429386589682</v>
      </c>
      <c r="EP577" s="7">
        <v>9.4527151144056881E-2</v>
      </c>
      <c r="EQ577" s="7">
        <v>9.3103763203494311E-2</v>
      </c>
      <c r="ER577" s="7">
        <v>4.8044081404567958E-2</v>
      </c>
      <c r="ES577" s="7">
        <v>6.7748523459685517E-2</v>
      </c>
      <c r="ET577" s="7">
        <v>0.15403651222961368</v>
      </c>
      <c r="EU577" s="6">
        <v>1020</v>
      </c>
      <c r="EV577" s="6">
        <v>0</v>
      </c>
      <c r="EW577" s="6">
        <v>1020</v>
      </c>
      <c r="EX577" s="6">
        <v>0</v>
      </c>
      <c r="EY577" s="6">
        <v>2015.7512440409139</v>
      </c>
      <c r="EZ577" s="6">
        <v>-366.44990394013166</v>
      </c>
      <c r="FA577" s="6">
        <v>0</v>
      </c>
      <c r="FB577" s="6">
        <v>0</v>
      </c>
      <c r="FC577" s="6">
        <v>0</v>
      </c>
      <c r="FD577" s="6">
        <v>0</v>
      </c>
      <c r="FE577" s="6">
        <v>0</v>
      </c>
      <c r="FF577" s="6">
        <v>0</v>
      </c>
      <c r="FG577" s="6">
        <v>0</v>
      </c>
      <c r="FH577" s="6">
        <v>1172.1355146914375</v>
      </c>
      <c r="FI577" s="6">
        <v>1553.9796069512397</v>
      </c>
      <c r="FJ577" s="6">
        <v>2101.211011744741</v>
      </c>
      <c r="FK577" s="6">
        <v>1772.713997862322</v>
      </c>
      <c r="FL577" s="6">
        <v>907.07682140966301</v>
      </c>
      <c r="FM577" s="6">
        <v>1745.7512440409139</v>
      </c>
      <c r="FN577" s="6">
        <v>0</v>
      </c>
      <c r="FO577" s="6">
        <v>0</v>
      </c>
      <c r="FP577" s="6">
        <v>0</v>
      </c>
      <c r="FQ577" s="6">
        <v>0</v>
      </c>
      <c r="FR577" s="6">
        <v>0</v>
      </c>
      <c r="FS577" s="6">
        <v>0</v>
      </c>
      <c r="FT577" s="7">
        <v>0.84596348777038632</v>
      </c>
      <c r="FU577" s="7">
        <v>8.6287988769928201E-2</v>
      </c>
      <c r="FV577" s="7">
        <v>6.7748523459685517E-2</v>
      </c>
      <c r="FW577" s="6">
        <v>1019.9999999999999</v>
      </c>
      <c r="FX577" s="6">
        <v>2015.7512440409137</v>
      </c>
      <c r="FY577" s="6">
        <v>-366.44990394013166</v>
      </c>
      <c r="FZ577" s="6">
        <v>1758.1538569113241</v>
      </c>
      <c r="GA577" s="6">
        <v>1011.9914383206776</v>
      </c>
      <c r="GB577" s="6">
        <v>18973.008561679322</v>
      </c>
      <c r="GC577" s="7">
        <v>3.064145122680037E-2</v>
      </c>
      <c r="GD577" s="7">
        <v>2.845747720749104E-2</v>
      </c>
      <c r="GE577" s="7"/>
      <c r="GF577" s="7"/>
      <c r="GG577" s="7">
        <v>-7.1275149572521873E-2</v>
      </c>
      <c r="GH577" s="42">
        <v>1.9090131434082731</v>
      </c>
      <c r="GI577" s="6">
        <v>11480.751210356406</v>
      </c>
      <c r="GJ577" s="14">
        <v>0.50394797582841755</v>
      </c>
      <c r="GK577" s="14">
        <v>0.50887573065309744</v>
      </c>
      <c r="GL577" s="14">
        <v>0.49605202417158289</v>
      </c>
      <c r="GM577" s="14">
        <v>0.49112426934690245</v>
      </c>
      <c r="GO577" s="5">
        <v>343.14810671672558</v>
      </c>
      <c r="GP577" s="5">
        <v>323.68845259552023</v>
      </c>
      <c r="GQ577" s="5">
        <v>535.04305713031317</v>
      </c>
      <c r="GR577" s="5">
        <v>410.15490233172511</v>
      </c>
      <c r="GS577" s="5">
        <v>339.42744393800166</v>
      </c>
      <c r="GT577" s="5">
        <v>293.4407446948278</v>
      </c>
      <c r="GU577" s="5">
        <v>258.04012322764959</v>
      </c>
      <c r="GV577" s="39" t="s">
        <v>392</v>
      </c>
      <c r="GW577" s="5">
        <v>492.125</v>
      </c>
      <c r="GX577" s="5">
        <v>369.09375</v>
      </c>
      <c r="GY577" s="5">
        <v>295.27499999999998</v>
      </c>
      <c r="GZ577" s="5">
        <v>260.54902799031458</v>
      </c>
      <c r="HA577" s="5">
        <v>241.34874471337258</v>
      </c>
      <c r="HB577" s="39">
        <v>274.7323121751881</v>
      </c>
      <c r="HC577" s="5">
        <v>303.31655829738077</v>
      </c>
      <c r="HD577" s="5">
        <v>250.74799238008356</v>
      </c>
      <c r="HE577" s="5">
        <v>251.12245558578954</v>
      </c>
      <c r="HF577" s="5">
        <v>229.38290951107166</v>
      </c>
      <c r="HG577" s="5">
        <v>217.65500473779989</v>
      </c>
      <c r="HH577" s="39">
        <v>250.22545033869071</v>
      </c>
      <c r="HI577" s="16"/>
      <c r="HJ577" s="19" t="str">
        <f t="shared" ref="HJ577:HK577" si="1649">HJ576</f>
        <v>On</v>
      </c>
      <c r="HK577" s="1" t="str">
        <f t="shared" si="1649"/>
        <v>On</v>
      </c>
      <c r="HL577" s="16"/>
      <c r="HM577" s="639">
        <f t="shared" si="1605"/>
        <v>2.4909940070666322E-2</v>
      </c>
      <c r="HN577" s="639">
        <f t="shared" si="1606"/>
        <v>2.2052381276269151E-3</v>
      </c>
      <c r="HO577" s="639">
        <f t="shared" si="1607"/>
        <v>2.079866082302006E-3</v>
      </c>
      <c r="HP577" s="644">
        <f>(FT577*$GD577-HM577)/$JF577*INDEX(Input!$1:$1048576,$JG$93,$C577*2+6)</f>
        <v>-23.508021910876174</v>
      </c>
      <c r="HQ577" s="644">
        <f>(FU577*$GD577-HN577)/$JF577*INDEX(Input!$1:$1048576,$JG$93,$C577*2+6)</f>
        <v>7.0387488421443294</v>
      </c>
      <c r="HR577" s="644">
        <f>(FV577*$GD577-HO577)/$JF577*INDEX(Input!$1:$1048576,$JG$93,$C577*2+6)</f>
        <v>-4.2720062113626431</v>
      </c>
      <c r="HS577" s="644">
        <f t="shared" si="1598"/>
        <v>10.600737160689958</v>
      </c>
      <c r="HT577" s="644">
        <f t="shared" si="1644"/>
        <v>2.6661143647625254</v>
      </c>
      <c r="HU577" s="644">
        <f t="shared" si="1609"/>
        <v>-3.3688756959147326</v>
      </c>
      <c r="HV577" s="648">
        <f t="shared" si="1610"/>
        <v>0</v>
      </c>
      <c r="HW577" s="648">
        <f t="shared" si="1611"/>
        <v>0</v>
      </c>
      <c r="HX577" s="648">
        <f t="shared" si="1612"/>
        <v>0</v>
      </c>
      <c r="HY577" s="644">
        <f>INDEX(Input!$1:$1048576,HY$93,$C577*2+6)*INDEX(Input!$1:$1048576,$JG$93,$C577*2+6)</f>
        <v>333.00000000000006</v>
      </c>
      <c r="HZ577" s="644">
        <f>INDEX(Input!$1:$1048576,HZ$93,$C577*2+6)*INDEX(Input!$1:$1048576,$JG$93,$C577*2+6)</f>
        <v>429</v>
      </c>
      <c r="IA577" s="644">
        <f>INDEX(Input!$1:$1048576,IA$93,$C577*2+6)*INDEX(Input!$1:$1048576,$JG$93,$C577*2+6)</f>
        <v>59</v>
      </c>
      <c r="IB577" s="644">
        <f t="shared" si="1551"/>
        <v>320.09271524981381</v>
      </c>
      <c r="IC577" s="644">
        <f t="shared" si="1552"/>
        <v>438.70486320690685</v>
      </c>
      <c r="ID577" s="644">
        <f>IF(AND(INDEX(Input!$1:$1048576,IA$93,$C577*2+7)="TOS",Y577&lt;=INDEX(Y:Y,MATCH(C577*1000+2,A:A))),0,1)*MAX(IA577+HR577+HU577+HX577,0%)</f>
        <v>51.359118092722625</v>
      </c>
      <c r="IE577" s="128">
        <f t="shared" si="1645"/>
        <v>0.39509975861845981</v>
      </c>
      <c r="IF577" s="128">
        <f t="shared" si="1646"/>
        <v>0.5415061864888665</v>
      </c>
      <c r="IG577" s="128">
        <f t="shared" si="1555"/>
        <v>6.3394054892673732E-2</v>
      </c>
      <c r="IH577" s="21"/>
      <c r="II577" s="19">
        <f t="shared" si="1613"/>
        <v>1240</v>
      </c>
      <c r="IJ577" s="19">
        <f t="shared" si="1614"/>
        <v>1985.7442651839444</v>
      </c>
      <c r="IK577" s="19">
        <f t="shared" si="1615"/>
        <v>-21.44990394013189</v>
      </c>
      <c r="IL577" s="19">
        <f t="shared" si="1556"/>
        <v>-220.00000000000011</v>
      </c>
      <c r="IM577" s="19">
        <f t="shared" si="1557"/>
        <v>30.006978856969226</v>
      </c>
      <c r="IN577" s="19">
        <f t="shared" si="1558"/>
        <v>-344.99999999999977</v>
      </c>
      <c r="IO577" s="39">
        <f t="shared" si="1616"/>
        <v>0</v>
      </c>
      <c r="IP577" s="39">
        <f t="shared" si="1617"/>
        <v>0</v>
      </c>
      <c r="IQ577" s="39">
        <f t="shared" si="1618"/>
        <v>0</v>
      </c>
      <c r="IR577" s="39">
        <v>0</v>
      </c>
      <c r="IS577" s="39">
        <v>0</v>
      </c>
      <c r="IT577" s="39">
        <v>0</v>
      </c>
      <c r="IU577" s="39">
        <v>0</v>
      </c>
      <c r="IV577" s="39">
        <v>0</v>
      </c>
      <c r="IW577" s="39">
        <v>0</v>
      </c>
      <c r="IX577" s="39">
        <f>INDEX(Input!$1:$1048576,IX$93,$C577*2+6)+INDEX(Input!$1:$1048576,IX$94,$C577*2+6)</f>
        <v>1270</v>
      </c>
      <c r="IY577" s="39">
        <f>INDEX(Input!$1:$1048576,IY$93,$C577*2+6)+INDEX(Input!$1:$1048576,IY$94,$C577*2+6)</f>
        <v>2130.0624533823611</v>
      </c>
      <c r="IZ577" s="39">
        <f>INDEX(Input!$1:$1048576,IZ$93,$C577*2+6)+INDEX(Input!$1:$1048576,IZ$94,$C577*2+6)</f>
        <v>3653.7164157747857</v>
      </c>
      <c r="JA577" s="19">
        <f t="shared" si="1559"/>
        <v>1050</v>
      </c>
      <c r="JB577" s="19">
        <f t="shared" si="1560"/>
        <v>2160.0694322393301</v>
      </c>
      <c r="JC577" s="19">
        <f t="shared" si="1561"/>
        <v>3308.7164157747857</v>
      </c>
      <c r="JD577" s="19">
        <f t="shared" si="1562"/>
        <v>1794.298657438391</v>
      </c>
      <c r="JE577" s="21"/>
      <c r="JF577" s="1">
        <f t="shared" si="1619"/>
        <v>2.9195044280595241E-2</v>
      </c>
      <c r="JG577" s="15">
        <f>INDEX(Input!$1:$1048576,JG$93,$C577*2+6)/(1+VLOOKUP(C577*1000+INDEX(Input!$1:$1048576,JG$93+1,$C577*2+6),$A:$KK,$JK$92,FALSE))</f>
        <v>821</v>
      </c>
      <c r="JH577" s="1">
        <f t="shared" si="1563"/>
        <v>-2.5263433958702178E-2</v>
      </c>
      <c r="JI577" s="1">
        <f t="shared" si="1564"/>
        <v>1.2055999792372414E-2</v>
      </c>
      <c r="JJ577" s="1">
        <f t="shared" si="1565"/>
        <v>0</v>
      </c>
      <c r="JK577" s="1">
        <f t="shared" si="1566"/>
        <v>-1.3207434166329765E-2</v>
      </c>
      <c r="JL577" s="15">
        <f t="shared" si="1567"/>
        <v>-10.843303450556737</v>
      </c>
      <c r="JM577" s="15">
        <f t="shared" si="1568"/>
        <v>810.15669654944327</v>
      </c>
      <c r="JN577" s="21"/>
      <c r="JO577" s="19">
        <f>INDEX(Input!$1:$1048576,JO$93,$C577*2+6)</f>
        <v>5995.5</v>
      </c>
      <c r="JP577" s="19">
        <f>INDEX(Input!$1:$1048576,JP$93,$C577*2+6)</f>
        <v>1890.7138380411029</v>
      </c>
      <c r="JQ577" s="39">
        <f t="shared" si="1569"/>
        <v>4201.2013425616087</v>
      </c>
      <c r="JR577" s="39">
        <f t="shared" si="1570"/>
        <v>-96.415180602711871</v>
      </c>
      <c r="JS577" s="39">
        <f t="shared" si="1571"/>
        <v>1.4536630729333879</v>
      </c>
      <c r="JT577" s="39">
        <f t="shared" si="1572"/>
        <v>-9.8612988098357571E-2</v>
      </c>
      <c r="JU577" s="385">
        <f>(JQ577*JM577-INDEX(Input!$1:$1048576,Input!A$18,$C577*2+6)*JL577*INDEX(Input!$1:$1048576,Input!A$19,$C577*2+6))/1000000</f>
        <v>3.4036314012287989</v>
      </c>
      <c r="JV577" s="39">
        <f t="shared" si="1573"/>
        <v>3.3601962260544571E-2</v>
      </c>
      <c r="JW577" s="1">
        <f t="shared" si="1574"/>
        <v>9.9708215815562506E-3</v>
      </c>
      <c r="JX577" s="19">
        <f t="shared" si="1575"/>
        <v>9094.3676480154572</v>
      </c>
      <c r="JZ577" s="341"/>
      <c r="KA577" s="342"/>
      <c r="KB577" s="469">
        <f t="shared" si="1576"/>
        <v>2.5122967434604799</v>
      </c>
      <c r="KI577" s="473">
        <f t="shared" si="1647"/>
        <v>-12.90728475018625</v>
      </c>
      <c r="KJ577" s="473">
        <f t="shared" si="1648"/>
        <v>9.7048632069068503</v>
      </c>
      <c r="KK577" s="473">
        <f t="shared" si="1579"/>
        <v>-7.6408819072773753</v>
      </c>
      <c r="KN577" s="544">
        <f t="shared" si="1580"/>
        <v>5002</v>
      </c>
      <c r="KO577" s="541">
        <f t="shared" si="1620"/>
        <v>-1.7209003876461626E-2</v>
      </c>
      <c r="KP577" s="546">
        <f t="shared" si="1621"/>
        <v>-121.59381793611784</v>
      </c>
      <c r="KQ577" s="546">
        <f t="shared" si="1622"/>
        <v>-124.62010828487541</v>
      </c>
      <c r="KR577" s="548">
        <f t="shared" si="1623"/>
        <v>2.5568673413682692</v>
      </c>
      <c r="KS577" s="548">
        <f t="shared" si="1624"/>
        <v>2.4947760539770885</v>
      </c>
      <c r="KT577" s="473">
        <f t="shared" si="1581"/>
        <v>595.94378802984284</v>
      </c>
      <c r="KU577" s="663">
        <f t="shared" si="1626"/>
        <v>4.0036685249149047</v>
      </c>
    </row>
    <row r="578" spans="1:307" s="26" customFormat="1" ht="15" outlineLevel="1">
      <c r="A578" s="561">
        <f t="shared" si="1541"/>
        <v>5078</v>
      </c>
      <c r="B578" s="561">
        <f t="shared" si="1627"/>
        <v>78</v>
      </c>
      <c r="C578" s="561">
        <f t="shared" si="1628"/>
        <v>5</v>
      </c>
      <c r="D578" s="561" t="str">
        <f t="shared" si="1509"/>
        <v xml:space="preserve">-500 CC, -360 Lease, </v>
      </c>
      <c r="E578" s="475">
        <f>INDEX(Input!$1:$1048576,E$93,$C578*2+MIN($B578,2)+5)
+INDEX(Scenarios!E$121:E$200,MATCH($B578,Scenarios!$B$121:$B$200,0))</f>
        <v>777.42630937880631</v>
      </c>
      <c r="F578" s="475">
        <f>INDEX(Input!$1:$1048576,F$93,$C578*2+MIN($B578,2)+5)
+INDEX(Scenarios!F$121:F$200,MATCH($B578,Scenarios!$B$121:$B$200,0))</f>
        <v>0</v>
      </c>
      <c r="G578" s="475">
        <f>INDEX(Input!$1:$1048576,G$93,$C578*2+MIN($B578,2)+5)
+INDEX(Scenarios!G$121:G$200,MATCH($B578,Scenarios!$B$121:$B$200,0))</f>
        <v>0</v>
      </c>
      <c r="H578" s="475">
        <f>INDEX(Input!$1:$1048576,H$93,$C578*2+MIN($B578,2)+5)
+INDEX(Scenarios!H$121:H$200,MATCH($B578,Scenarios!$B$121:$B$200,0))</f>
        <v>0</v>
      </c>
      <c r="I578" s="476">
        <f>INDEX(Input!$1:$1048576,I$93,$C578*2+MIN($B578,2)+5)</f>
        <v>0.7</v>
      </c>
      <c r="J578" s="476" t="str">
        <f>INDEX(Input!$1:$1048576,J$93,$C578*2+MIN($B578,2)+5)</f>
        <v>Market</v>
      </c>
      <c r="K578" s="476" t="str">
        <f>INDEX(Input!$1:$1048576,K$93,$C578*2+MIN($B578,2)+5)</f>
        <v>Market</v>
      </c>
      <c r="L578" s="476" t="str">
        <f>INDEX(Input!$1:$1048576,L$93,$C578*2+MIN($B578,2)+5)</f>
        <v>Market</v>
      </c>
      <c r="M578" s="476" t="str">
        <f>INDEX(Input!$1:$1048576,M$93,$C578*2+MIN($B578,2)+5)</f>
        <v>Market</v>
      </c>
      <c r="N578" s="476" t="str">
        <f>INDEX(Input!$1:$1048576,N$93,$C578*2+MIN($B578,2)+5)</f>
        <v>Market</v>
      </c>
      <c r="O578" s="476" t="str">
        <f>INDEX(Input!$1:$1048576,O$93,$C578*2+MIN($B578,2)+5)</f>
        <v>Market</v>
      </c>
      <c r="P578" s="476" t="str">
        <f>INDEX(Input!$1:$1048576,P$93,$C578*2+MIN($B578,2)+5)</f>
        <v>N</v>
      </c>
      <c r="Q578" s="477">
        <f>INDEX(Input!$1:$1048576,Q$93,$C578*2+MIN($B578,2)+5)
+INDEX(Scenarios!Q$121:Q$200,MATCH($B578,Scenarios!$B$121:$B$200,0))</f>
        <v>0</v>
      </c>
      <c r="R578" s="478">
        <f>IFERROR(MAX(0,INDEX(Input!$1:$1048576,R$93,$C578*2+MIN($B578,2)+5)
+INDEX(Scenarios!R$121:R$200,MATCH($B578,Scenarios!$B$121:$B$200,0)),),"Market")</f>
        <v>0</v>
      </c>
      <c r="S578" s="478">
        <f>IFERROR(MAX(0,INDEX(Input!$1:$1048576,S$93,$C578*2+MIN($B578,2)+5)
+INDEX(Scenarios!S$121:S$200,MATCH($B578,Scenarios!$B$121:$B$200,0)),),"Market")</f>
        <v>0</v>
      </c>
      <c r="T578" s="478">
        <f>IFERROR(MAX(0,INDEX(Input!$1:$1048576,T$93,$C578*2+MIN($B578,2)+5)
+INDEX(Scenarios!T$121:T$200,MATCH($B578,Scenarios!$B$121:$B$200,0)),),"Market")</f>
        <v>0</v>
      </c>
      <c r="U578" s="478">
        <f>IFERROR(MAX(0,INDEX(Input!$1:$1048576,U$93,$C578*2+MIN($B578,2)+5)
+INDEX(Scenarios!U$121:U$200,MATCH($B578,Scenarios!$B$121:$B$200,0)),),"Market")</f>
        <v>0</v>
      </c>
      <c r="V578" s="478">
        <f>IFERROR(MAX(0,INDEX(Input!$1:$1048576,V$93,$C578*2+MIN($B578,2)+5)
+INDEX(Scenarios!V$121:V$200,MATCH($B578,Scenarios!$B$121:$B$200,0)),),"Market")</f>
        <v>1.9E-2</v>
      </c>
      <c r="W578" s="885">
        <f>IFERROR(MAX(0,INDEX(Input!$1:$1048576,W$93,$C578*2+MIN($B578,2)+5)-0%,),"Market")</f>
        <v>3.9E-2</v>
      </c>
      <c r="X578" s="476" t="str">
        <f>INDEX(Input!$1:$1048576,X$93,$C578*2+MIN($B578,2)+5)</f>
        <v>Y</v>
      </c>
      <c r="Y578" s="475">
        <f>INDEX(Input!$1:$1048576,Y$93,$C578*2+MIN($B578,2)+5)
++INDEX(Scenarios!Y$121:Y$200,MATCH($B578,Scenarios!$B$121:$B$200,0))</f>
        <v>-1077.9364173925233</v>
      </c>
      <c r="Z578" s="477">
        <f>INDEX(Input!$1:$1048576,Z$93,$C578*2+MIN($B578,2)+5)
+INDEX(Scenarios!Z$121:Z$200,MATCH($B578,Scenarios!$B$121:$B$200,0))</f>
        <v>0</v>
      </c>
      <c r="AA578" s="475">
        <f>INDEX(Input!$1:$1048576,AA$93,$C578*2+MIN($B578,2)+5)
+INDEX(Scenarios!AA$121:AA$200,MATCH($B578,Scenarios!$B$121:$B$200,0))</f>
        <v>0</v>
      </c>
      <c r="AB578" s="476">
        <f>INDEX(Input!$1:$1048576,AB$93,$C578*2+MIN($B578,2)+5)</f>
        <v>0.27</v>
      </c>
      <c r="AC578" s="475">
        <f>INDEX(Input!$1:$1048576,AC$93,$C578*2+MIN($B578,2)+5)
+INDEX(Scenarios!AC$121:AC$200,MATCH($B578,Scenarios!$B$121:$B$200,0))</f>
        <v>0</v>
      </c>
      <c r="AD578" s="476">
        <f>INDEX(Input!$1:$1048576,AD$93,$C578*2+MIN($B578,2)+5)</f>
        <v>0.27</v>
      </c>
      <c r="AE578" s="475">
        <f>INDEX(Input!$1:$1048576,AE$93,$C578*2+MIN($B578,2)+5)
+INDEX(Scenarios!AE$121:AE$200,MATCH($B578,Scenarios!$B$121:$B$200,0))</f>
        <v>0</v>
      </c>
      <c r="AF578" s="476">
        <f>INDEX(Input!$1:$1048576,AF$93,$C578*2+MIN($B578,2)+5)</f>
        <v>0.2</v>
      </c>
      <c r="AG578" s="475">
        <f>INDEX(Input!$1:$1048576,AG$93,$C578*2+MIN($B578,2)+5)
+INDEX(Scenarios!AG$121:AG$200,MATCH($B578,Scenarios!$B$121:$B$200,0))</f>
        <v>500</v>
      </c>
      <c r="AH578" s="476">
        <f>INDEX(Input!$1:$1048576,AH$93,$C578*2+MIN($B578,2)+5)</f>
        <v>1</v>
      </c>
      <c r="AI578" s="475">
        <f>INDEX(Input!$1:$1048576,AI$93,$C578*2+MIN($B578,2)+5)
+INDEX(Scenarios!AI$121:AI$200,MATCH($B578,Scenarios!$B$121:$B$200,0))</f>
        <v>0</v>
      </c>
      <c r="AJ578" s="476">
        <f>INDEX(Input!$1:$1048576,AJ$93,$C578*2+MIN($B578,2)+5)</f>
        <v>0.27</v>
      </c>
      <c r="AK578" s="150">
        <f>ROUND(INDEX(Input!$1:$1048576,AK$93,$C577*2+MIN($B578,1)+5)+(Y578-VLOOKUP($C578*1000+1,$A:$HH,Y$92,FALSE)),0)</f>
        <v>2227</v>
      </c>
      <c r="AL578" s="150">
        <f>ROUND(INDEX(Input!$1:$1048576,AL$93,$C577*2+MIN($B578,1)+5)-(Y578-VLOOKUP($C578*1000+1,$A:$HH,Y$92,FALSE))/36,0)</f>
        <v>3416</v>
      </c>
      <c r="AM578" s="32" t="str">
        <f t="shared" si="1544"/>
        <v>std/std/std/std</v>
      </c>
      <c r="AN578" s="32" t="str">
        <f t="shared" si="1545"/>
        <v>$0 + 0/0/0/1.9/3.9</v>
      </c>
      <c r="AO578" s="32" t="str">
        <f t="shared" si="1546"/>
        <v>0/0/0/1.9/3.9</v>
      </c>
      <c r="AP578" s="32" t="str">
        <f t="shared" si="1526"/>
        <v>0/0.9/1.9/3.9</v>
      </c>
      <c r="AQ578" s="536">
        <f t="shared" si="1525"/>
        <v>0.37379210925110767</v>
      </c>
      <c r="AR578" s="32"/>
      <c r="AS578" s="302"/>
      <c r="AT578" s="3">
        <f t="shared" si="1629"/>
        <v>78</v>
      </c>
      <c r="AU578" s="41" t="s">
        <v>121</v>
      </c>
      <c r="AV578" s="41" t="s">
        <v>116</v>
      </c>
      <c r="AW578" s="41" t="str">
        <f>INDEX(Input!$1:$1048576,AW$93,$C578*2+6)</f>
        <v>Kia</v>
      </c>
      <c r="AX578" s="41" t="str">
        <f>INDEX(Input!$1:$1048576,AX$93,$C578*2+6)</f>
        <v>Kia-LR - R2</v>
      </c>
      <c r="AY578" s="41" t="str">
        <f>IF(LEN(D578)=0,"",INDEX(Input!$1:$1048576,AY$93,$C578*2+6))</f>
        <v>Compact SUV (52)</v>
      </c>
      <c r="AZ578" s="41" t="str">
        <f>INDEX(Input!$1:$1048576,AZ$93,$C578*2+6)</f>
        <v>Kia Soul</v>
      </c>
      <c r="BA578" s="3">
        <f>INDEX(Input!$1:$1048576,BA$93,$C578*2+6)</f>
        <v>2020</v>
      </c>
      <c r="BB578" s="128">
        <f>INDEX(Input!$1:$1048576,BB$93,$C578*2+6)</f>
        <v>1</v>
      </c>
      <c r="BC578" s="128">
        <f>INDEX(Input!$1:$1048576,BC$93,$C578*2+6)</f>
        <v>0.7</v>
      </c>
      <c r="BD578" s="1">
        <f>INDEX(Input!$1:$1048576,BD$93,$C578*2+6)</f>
        <v>4.4999999999999998E-2</v>
      </c>
      <c r="BE578" s="1">
        <f>INDEX(Input!$1:$1048576,BE$93,$C578*2+6)</f>
        <v>4.4999999999999998E-2</v>
      </c>
      <c r="BF578" s="1">
        <f>INDEX(Input!$1:$1048576,BF$93,$C578*2+6)</f>
        <v>0.05</v>
      </c>
      <c r="BG578" s="1">
        <f>INDEX(Input!$1:$1048576,BG$93,$C578*2+6)</f>
        <v>5.45E-2</v>
      </c>
      <c r="BH578" s="1">
        <f>INDEX(Input!$1:$1048576,BH$93,$C578*2+6)</f>
        <v>5.45E-2</v>
      </c>
      <c r="BI578" s="1">
        <f>INDEX(Input!$1:$1048576,BI$93,$C578*2+6)</f>
        <v>0.05</v>
      </c>
      <c r="BJ578" s="1">
        <f>INDEX(Input!$1:$1048576,BJ$93,$C578*2+6)</f>
        <v>0.05</v>
      </c>
      <c r="BK578" s="1">
        <f>INDEX(Input!$1:$1048576,BK$93,$C578*2+6)</f>
        <v>0.05</v>
      </c>
      <c r="BL578" s="1">
        <f>INDEX(Input!$1:$1048576,BL$93,$C578*2+6)</f>
        <v>5.5E-2</v>
      </c>
      <c r="BM578" s="1">
        <f>INDEX(Input!$1:$1048576,BM$93,$C578*2+6)</f>
        <v>0.06</v>
      </c>
      <c r="BN578" s="1">
        <f>INDEX(Input!$1:$1048576,BN$93,$C578*2+6)</f>
        <v>4.4999999999999998E-2</v>
      </c>
      <c r="BO578" s="1">
        <f>INDEX(Input!$1:$1048576,BO$93,$C578*2+6)</f>
        <v>4.4999999999999998E-2</v>
      </c>
      <c r="BP578" s="1">
        <f>INDEX(Input!$1:$1048576,BP$93,$C578*2+6)</f>
        <v>0.05</v>
      </c>
      <c r="BQ578" s="1">
        <f>INDEX(Input!$1:$1048576,BQ$93,$C578*2+6)</f>
        <v>5.45E-2</v>
      </c>
      <c r="BR578" s="1">
        <f>INDEX(Input!$1:$1048576,BR$93,$C578*2+6)</f>
        <v>5.45E-2</v>
      </c>
      <c r="BS578" s="1">
        <f>INDEX(Input!$1:$1048576,BS$93,$C578*2+6)</f>
        <v>0.05</v>
      </c>
      <c r="BT578" s="1">
        <f>INDEX(Input!$1:$1048576,BT$93,$C578*2+6)</f>
        <v>0.05</v>
      </c>
      <c r="BU578" s="1">
        <f>INDEX(Input!$1:$1048576,BU$93,$C578*2+6)</f>
        <v>0.05</v>
      </c>
      <c r="BV578" s="1">
        <f>INDEX(Input!$1:$1048576,BV$93,$C578*2+6)</f>
        <v>5.5E-2</v>
      </c>
      <c r="BW578" s="1">
        <f>INDEX(Input!$1:$1048576,BW$93,$C578*2+6)</f>
        <v>0.06</v>
      </c>
      <c r="BX578" s="127">
        <f>INDEX(Input!$1:$1048576,BX$93,$C578*2+6)</f>
        <v>19985</v>
      </c>
      <c r="BY578" s="20">
        <f>INDEX(Input!$1:$1048576,BY$93,$C578*2+6)</f>
        <v>0.1</v>
      </c>
      <c r="BZ578" s="20">
        <f>INDEX(Input!$1:$1048576,BZ$93,$C578*2+6)</f>
        <v>0.1</v>
      </c>
      <c r="CA578" s="20">
        <f>INDEX(Input!$1:$1048576,CA$93,$C578*2+6)</f>
        <v>0.1</v>
      </c>
      <c r="CB578" s="20">
        <f>INDEX(Input!$1:$1048576,CB$93,$C578*2+6)</f>
        <v>0.1</v>
      </c>
      <c r="CC578" s="20">
        <f>INDEX(Input!$1:$1048576,CC$93,$C578*2+6)</f>
        <v>0.1</v>
      </c>
      <c r="CD578" s="384">
        <f>INDEX(Input!$1:$1048576,CD$93,$C578*2+6)</f>
        <v>0.1</v>
      </c>
      <c r="CE578" s="384">
        <f>INDEX(Input!$1:$1048576,CE$93,$C578*2+6)</f>
        <v>0.1</v>
      </c>
      <c r="CF578" s="384">
        <f>INDEX(Input!$1:$1048576,CF$93,$C578*2+6)</f>
        <v>0.1</v>
      </c>
      <c r="CG578" s="384">
        <f>INDEX(Input!$1:$1048576,CG$93,$C578*2+6)</f>
        <v>0.1</v>
      </c>
      <c r="CH578" s="384">
        <f>INDEX(Input!$1:$1048576,CH$93,$C578*2+6)</f>
        <v>0.1</v>
      </c>
      <c r="CI578" s="304">
        <f t="shared" si="1527"/>
        <v>777.42630937880631</v>
      </c>
      <c r="CJ578" s="16" t="str">
        <f>INDEX(Input!$1:$1048576,CJ$93,$C578*2+6)</f>
        <v>N</v>
      </c>
      <c r="CK578" s="1" t="str">
        <f t="shared" si="1528"/>
        <v>Market</v>
      </c>
      <c r="CL578" s="1" t="str">
        <f t="shared" si="1529"/>
        <v>Market</v>
      </c>
      <c r="CM578" s="1" t="str">
        <f t="shared" si="1530"/>
        <v>Market</v>
      </c>
      <c r="CN578" s="1" t="str">
        <f t="shared" si="1531"/>
        <v>Market</v>
      </c>
      <c r="CO578" s="1" t="str">
        <f t="shared" si="1532"/>
        <v>Market</v>
      </c>
      <c r="CP578" s="304">
        <f t="shared" si="1533"/>
        <v>500</v>
      </c>
      <c r="CQ578" s="1">
        <f t="shared" si="1534"/>
        <v>0</v>
      </c>
      <c r="CR578" s="1">
        <f t="shared" si="1535"/>
        <v>0</v>
      </c>
      <c r="CS578" s="1">
        <f t="shared" si="1536"/>
        <v>0</v>
      </c>
      <c r="CT578" s="1">
        <f t="shared" si="1537"/>
        <v>1.9E-2</v>
      </c>
      <c r="CU578" s="1">
        <f t="shared" si="1538"/>
        <v>3.9E-2</v>
      </c>
      <c r="CV578" s="304">
        <f t="shared" si="1539"/>
        <v>-1077.9364173925233</v>
      </c>
      <c r="CW578" s="20" t="s">
        <v>122</v>
      </c>
      <c r="CX578" s="20" t="s">
        <v>122</v>
      </c>
      <c r="CY578" s="20" t="s">
        <v>122</v>
      </c>
      <c r="CZ578" s="20" t="s">
        <v>122</v>
      </c>
      <c r="DA578" s="20" t="s">
        <v>122</v>
      </c>
      <c r="DB578" s="503">
        <f t="shared" si="1540"/>
        <v>0</v>
      </c>
      <c r="DC578" s="127">
        <v>0</v>
      </c>
      <c r="DD578" s="127">
        <v>0</v>
      </c>
      <c r="DE578" s="127">
        <v>0</v>
      </c>
      <c r="DF578" s="127">
        <v>0</v>
      </c>
      <c r="DG578" s="127">
        <v>0</v>
      </c>
      <c r="DH578" s="127">
        <v>0</v>
      </c>
      <c r="DI578" s="127">
        <v>0</v>
      </c>
      <c r="DJ578" s="127">
        <v>0</v>
      </c>
      <c r="DK578" s="127">
        <v>0</v>
      </c>
      <c r="DL578" s="127">
        <v>0</v>
      </c>
      <c r="DM578" s="304">
        <f>INDEX(Input!$1:$1048576,DM$93,$C578*2+6)</f>
        <v>21036.84210526316</v>
      </c>
      <c r="DN578" s="20">
        <v>0</v>
      </c>
      <c r="DO578" s="20">
        <v>0</v>
      </c>
      <c r="DP578" s="20">
        <v>0</v>
      </c>
      <c r="DQ578" s="20">
        <v>0</v>
      </c>
      <c r="DR578" s="20">
        <v>0</v>
      </c>
      <c r="DS578" s="20">
        <f>INDEX(Input!$1:$1048576,DS$93,$C578*2+6)</f>
        <v>0.6</v>
      </c>
      <c r="DT578" s="20">
        <f>INDEX(Input!$1:$1048576,DT$93,$C578*2+6)</f>
        <v>0.55000000000000004</v>
      </c>
      <c r="DU578" s="20">
        <f>INDEX(Input!$1:$1048576,DU$93,$C578*2+6)</f>
        <v>0.52</v>
      </c>
      <c r="DV578" s="20">
        <f>INDEX(Input!$1:$1048576,DV$93,$C578*2+6)</f>
        <v>0.5</v>
      </c>
      <c r="DW578" s="20">
        <f>INDEX(Input!$1:$1048576,DW$93,$C578*2+6)</f>
        <v>0.45</v>
      </c>
      <c r="DX578" s="20"/>
      <c r="DY578" s="7">
        <v>0.11037134385498051</v>
      </c>
      <c r="DZ578" s="7">
        <v>0</v>
      </c>
      <c r="EA578" s="7">
        <v>0.71625733228073407</v>
      </c>
      <c r="EB578" s="7">
        <v>0</v>
      </c>
      <c r="EC578" s="7">
        <v>0</v>
      </c>
      <c r="ED578" s="7">
        <v>0</v>
      </c>
      <c r="EE578" s="7">
        <v>0</v>
      </c>
      <c r="EF578" s="7">
        <v>0</v>
      </c>
      <c r="EG578" s="7">
        <v>0</v>
      </c>
      <c r="EH578" s="7">
        <v>1.2087474527407157E-2</v>
      </c>
      <c r="EI578" s="7">
        <v>3.3599816140059427E-2</v>
      </c>
      <c r="EJ578" s="7">
        <v>0.29185743868672059</v>
      </c>
      <c r="EK578" s="7">
        <v>0.53740860460694029</v>
      </c>
      <c r="EL578" s="7">
        <v>0.12504666603887268</v>
      </c>
      <c r="EM578" s="7">
        <v>9.7144030160125225E-2</v>
      </c>
      <c r="EN578" s="7">
        <v>5.7459294176870124E-2</v>
      </c>
      <c r="EO578" s="7">
        <v>0.70684457671562695</v>
      </c>
      <c r="EP578" s="7">
        <v>9.4531666243698478E-2</v>
      </c>
      <c r="EQ578" s="7">
        <v>9.311459701872972E-2</v>
      </c>
      <c r="ER578" s="7">
        <v>4.8049865845074598E-2</v>
      </c>
      <c r="ES578" s="7">
        <v>7.6227293704160232E-2</v>
      </c>
      <c r="ET578" s="7">
        <v>0.17337132386428539</v>
      </c>
      <c r="EU578" s="6">
        <v>770</v>
      </c>
      <c r="EV578" s="6">
        <v>0</v>
      </c>
      <c r="EW578" s="6">
        <v>770</v>
      </c>
      <c r="EX578" s="6">
        <v>0</v>
      </c>
      <c r="EY578" s="6">
        <v>2015.7342968926512</v>
      </c>
      <c r="EZ578" s="6">
        <v>-366.44990394013166</v>
      </c>
      <c r="FA578" s="6">
        <v>0</v>
      </c>
      <c r="FB578" s="6">
        <v>0</v>
      </c>
      <c r="FC578" s="6">
        <v>0</v>
      </c>
      <c r="FD578" s="6">
        <v>0</v>
      </c>
      <c r="FE578" s="6">
        <v>0</v>
      </c>
      <c r="FF578" s="6">
        <v>0</v>
      </c>
      <c r="FG578" s="6">
        <v>0</v>
      </c>
      <c r="FH578" s="6">
        <v>1172.1319814666417</v>
      </c>
      <c r="FI578" s="6">
        <v>1553.9796069512408</v>
      </c>
      <c r="FJ578" s="6">
        <v>2101.2110117447405</v>
      </c>
      <c r="FK578" s="6">
        <v>1772.7139978623227</v>
      </c>
      <c r="FL578" s="6">
        <v>907.07682140966335</v>
      </c>
      <c r="FM578" s="6">
        <v>1745.7342968926512</v>
      </c>
      <c r="FN578" s="6">
        <v>0</v>
      </c>
      <c r="FO578" s="6">
        <v>0</v>
      </c>
      <c r="FP578" s="6">
        <v>0</v>
      </c>
      <c r="FQ578" s="6">
        <v>0</v>
      </c>
      <c r="FR578" s="6">
        <v>0</v>
      </c>
      <c r="FS578" s="6">
        <v>0</v>
      </c>
      <c r="FT578" s="7">
        <v>0.82662867613571456</v>
      </c>
      <c r="FU578" s="7">
        <v>9.7144030160125225E-2</v>
      </c>
      <c r="FV578" s="7">
        <v>7.6227293704160232E-2</v>
      </c>
      <c r="FW578" s="6">
        <v>770.00000000000011</v>
      </c>
      <c r="FX578" s="6">
        <v>2015.7342968926512</v>
      </c>
      <c r="FY578" s="6">
        <v>-366.44990394013166</v>
      </c>
      <c r="FZ578" s="6">
        <v>1758.1538569113241</v>
      </c>
      <c r="GA578" s="6">
        <v>804.38714950113308</v>
      </c>
      <c r="GB578" s="6">
        <v>19180.612850498866</v>
      </c>
      <c r="GC578" s="7">
        <v>3.064145122680037E-2</v>
      </c>
      <c r="GD578" s="7">
        <v>2.7723884100382897E-2</v>
      </c>
      <c r="GE578" s="7"/>
      <c r="GF578" s="7"/>
      <c r="GG578" s="7">
        <v>-9.5216349409248599E-2</v>
      </c>
      <c r="GH578" s="42">
        <v>1.9951406650698329</v>
      </c>
      <c r="GI578" s="6">
        <v>10821.224733882933</v>
      </c>
      <c r="GJ578" s="14">
        <v>0.50394797582841744</v>
      </c>
      <c r="GK578" s="14">
        <v>0.50887573065309777</v>
      </c>
      <c r="GL578" s="14">
        <v>0.49605202417158278</v>
      </c>
      <c r="GM578" s="14">
        <v>0.4911242693469024</v>
      </c>
      <c r="GO578" s="5">
        <v>343.14810671672558</v>
      </c>
      <c r="GP578" s="5">
        <v>328.4579756644431</v>
      </c>
      <c r="GQ578" s="5">
        <v>535.04305713031317</v>
      </c>
      <c r="GR578" s="5">
        <v>410.15490233172511</v>
      </c>
      <c r="GS578" s="5">
        <v>339.42744393800166</v>
      </c>
      <c r="GT578" s="5">
        <v>293.4407446948278</v>
      </c>
      <c r="GU578" s="5">
        <v>258.04012322764959</v>
      </c>
      <c r="GV578" s="39" t="s">
        <v>392</v>
      </c>
      <c r="GW578" s="5">
        <v>492.125</v>
      </c>
      <c r="GX578" s="5">
        <v>369.09375</v>
      </c>
      <c r="GY578" s="5">
        <v>295.27499999999998</v>
      </c>
      <c r="GZ578" s="5">
        <v>260.54902799031458</v>
      </c>
      <c r="HA578" s="5">
        <v>241.34874471337258</v>
      </c>
      <c r="HB578" s="39">
        <v>274.72938119151058</v>
      </c>
      <c r="HC578" s="5">
        <v>303.31655829738077</v>
      </c>
      <c r="HD578" s="5">
        <v>250.74799238008356</v>
      </c>
      <c r="HE578" s="5">
        <v>251.12245558578954</v>
      </c>
      <c r="HF578" s="5">
        <v>229.38290951107166</v>
      </c>
      <c r="HG578" s="5">
        <v>217.65500473779989</v>
      </c>
      <c r="HH578" s="39">
        <v>250.22442900611978</v>
      </c>
      <c r="HI578" s="16"/>
      <c r="HJ578" s="19" t="str">
        <f t="shared" ref="HJ578:HK578" si="1650">HJ577</f>
        <v>On</v>
      </c>
      <c r="HK578" s="1" t="str">
        <f t="shared" si="1650"/>
        <v>On</v>
      </c>
      <c r="HL578" s="16"/>
      <c r="HM578" s="639">
        <f t="shared" si="1605"/>
        <v>2.4909940070666322E-2</v>
      </c>
      <c r="HN578" s="639">
        <f t="shared" si="1606"/>
        <v>2.2052381276269151E-3</v>
      </c>
      <c r="HO578" s="639">
        <f t="shared" si="1607"/>
        <v>2.079866082302006E-3</v>
      </c>
      <c r="HP578" s="644">
        <f>(FT578*$GD578-HM578)/$JF578*INDEX(Input!$1:$1048576,$JG$93,$C578*2+6)</f>
        <v>-56.033831751258703</v>
      </c>
      <c r="HQ578" s="644">
        <f>(FU578*$GD578-HN578)/$JF578*INDEX(Input!$1:$1048576,$JG$93,$C578*2+6)</f>
        <v>13.722355288379653</v>
      </c>
      <c r="HR578" s="644">
        <f>(FV578*$GD578-HO578)/$JF578*INDEX(Input!$1:$1048576,$JG$93,$C578*2+6)</f>
        <v>0.94067063892190528</v>
      </c>
      <c r="HS578" s="644">
        <f t="shared" si="1598"/>
        <v>22.660221823659853</v>
      </c>
      <c r="HT578" s="644">
        <f t="shared" si="1644"/>
        <v>3.682278805054902</v>
      </c>
      <c r="HU578" s="644">
        <f t="shared" si="1609"/>
        <v>-4.386046908919158</v>
      </c>
      <c r="HV578" s="648">
        <f t="shared" si="1610"/>
        <v>0</v>
      </c>
      <c r="HW578" s="648">
        <f t="shared" si="1611"/>
        <v>0</v>
      </c>
      <c r="HX578" s="648">
        <f t="shared" si="1612"/>
        <v>0</v>
      </c>
      <c r="HY578" s="644">
        <f>INDEX(Input!$1:$1048576,HY$93,$C578*2+6)*INDEX(Input!$1:$1048576,$JG$93,$C578*2+6)</f>
        <v>333.00000000000006</v>
      </c>
      <c r="HZ578" s="644">
        <f>INDEX(Input!$1:$1048576,HZ$93,$C578*2+6)*INDEX(Input!$1:$1048576,$JG$93,$C578*2+6)</f>
        <v>429</v>
      </c>
      <c r="IA578" s="644">
        <f>INDEX(Input!$1:$1048576,IA$93,$C578*2+6)*INDEX(Input!$1:$1048576,$JG$93,$C578*2+6)</f>
        <v>59</v>
      </c>
      <c r="IB578" s="644">
        <f t="shared" si="1551"/>
        <v>299.62639007240119</v>
      </c>
      <c r="IC578" s="644">
        <f t="shared" si="1552"/>
        <v>446.40463409343459</v>
      </c>
      <c r="ID578" s="644">
        <f>IF(AND(INDEX(Input!$1:$1048576,IA$93,$C578*2+7)="TOS",Y578&lt;=INDEX(Y:Y,MATCH(C578*1000+2,A:A))),0,1)*MAX(IA578+HR578+HU578+HX578,0%)</f>
        <v>55.554623730002753</v>
      </c>
      <c r="IE578" s="128">
        <f t="shared" si="1645"/>
        <v>0.37379210925110767</v>
      </c>
      <c r="IF578" s="128">
        <f t="shared" si="1646"/>
        <v>0.55690197955171261</v>
      </c>
      <c r="IG578" s="128">
        <f t="shared" si="1555"/>
        <v>6.9305911197179715E-2</v>
      </c>
      <c r="IH578" s="21"/>
      <c r="II578" s="19">
        <f t="shared" si="1613"/>
        <v>1240</v>
      </c>
      <c r="IJ578" s="19">
        <f t="shared" si="1614"/>
        <v>1985.7442651839444</v>
      </c>
      <c r="IK578" s="19">
        <f t="shared" si="1615"/>
        <v>-21.44990394013189</v>
      </c>
      <c r="IL578" s="19">
        <f t="shared" si="1556"/>
        <v>-469.99999999999989</v>
      </c>
      <c r="IM578" s="19">
        <f t="shared" si="1557"/>
        <v>29.990031708706738</v>
      </c>
      <c r="IN578" s="19">
        <f t="shared" si="1558"/>
        <v>-344.99999999999977</v>
      </c>
      <c r="IO578" s="39">
        <f t="shared" si="1616"/>
        <v>0</v>
      </c>
      <c r="IP578" s="39">
        <f t="shared" si="1617"/>
        <v>0</v>
      </c>
      <c r="IQ578" s="39">
        <f t="shared" si="1618"/>
        <v>0</v>
      </c>
      <c r="IR578" s="39">
        <v>0</v>
      </c>
      <c r="IS578" s="39">
        <v>0</v>
      </c>
      <c r="IT578" s="39">
        <v>0</v>
      </c>
      <c r="IU578" s="39">
        <v>0</v>
      </c>
      <c r="IV578" s="39">
        <v>0</v>
      </c>
      <c r="IW578" s="39">
        <v>0</v>
      </c>
      <c r="IX578" s="39">
        <f>INDEX(Input!$1:$1048576,IX$93,$C578*2+6)+INDEX(Input!$1:$1048576,IX$94,$C578*2+6)</f>
        <v>1270</v>
      </c>
      <c r="IY578" s="39">
        <f>INDEX(Input!$1:$1048576,IY$93,$C578*2+6)+INDEX(Input!$1:$1048576,IY$94,$C578*2+6)</f>
        <v>2130.0624533823611</v>
      </c>
      <c r="IZ578" s="39">
        <f>INDEX(Input!$1:$1048576,IZ$93,$C578*2+6)+INDEX(Input!$1:$1048576,IZ$94,$C578*2+6)</f>
        <v>3653.7164157747857</v>
      </c>
      <c r="JA578" s="19">
        <f t="shared" si="1559"/>
        <v>800.00000000000011</v>
      </c>
      <c r="JB578" s="19">
        <f t="shared" si="1560"/>
        <v>2160.0524850910679</v>
      </c>
      <c r="JC578" s="19">
        <f t="shared" si="1561"/>
        <v>3308.7164157747857</v>
      </c>
      <c r="JD578" s="19">
        <f t="shared" si="1562"/>
        <v>1731.2847983720362</v>
      </c>
      <c r="JE578" s="21"/>
      <c r="JF578" s="1">
        <f t="shared" si="1619"/>
        <v>2.9195044280595241E-2</v>
      </c>
      <c r="JG578" s="15">
        <f>INDEX(Input!$1:$1048576,JG$93,$C578*2+6)/(1+VLOOKUP(C578*1000+INDEX(Input!$1:$1048576,JG$93+1,$C578*2+6),$A:$KK,$JK$92,FALSE))</f>
        <v>821</v>
      </c>
      <c r="JH578" s="1">
        <f t="shared" si="1563"/>
        <v>-5.039075009008178E-2</v>
      </c>
      <c r="JI578" s="1">
        <f t="shared" si="1564"/>
        <v>2.6743548988788789E-2</v>
      </c>
      <c r="JJ578" s="1">
        <f t="shared" si="1565"/>
        <v>0</v>
      </c>
      <c r="JK578" s="1">
        <f t="shared" si="1566"/>
        <v>-2.3647201101292991E-2</v>
      </c>
      <c r="JL578" s="15">
        <f t="shared" si="1567"/>
        <v>-19.414352104161544</v>
      </c>
      <c r="JM578" s="15">
        <f t="shared" si="1568"/>
        <v>801.58564789583841</v>
      </c>
      <c r="JN578" s="21"/>
      <c r="JO578" s="19">
        <f>INDEX(Input!$1:$1048576,JO$93,$C578*2+6)</f>
        <v>5995.5</v>
      </c>
      <c r="JP578" s="19">
        <f>INDEX(Input!$1:$1048576,JP$93,$C578*2+6)</f>
        <v>1890.7138380411029</v>
      </c>
      <c r="JQ578" s="39">
        <f t="shared" si="1569"/>
        <v>4264.2152016279633</v>
      </c>
      <c r="JR578" s="39">
        <f t="shared" si="1570"/>
        <v>-159.4290396690667</v>
      </c>
      <c r="JS578" s="39">
        <f t="shared" si="1571"/>
        <v>1.3877730467952645</v>
      </c>
      <c r="JT578" s="39">
        <f t="shared" si="1572"/>
        <v>-0.16450301423648092</v>
      </c>
      <c r="JU578" s="385">
        <f>(JQ578*JM578-INDEX(Input!$1:$1048576,Input!A$18,$C578*2+6)*JL578*INDEX(Input!$1:$1048576,Input!A$19,$C578*2+6))/1000000</f>
        <v>3.4181337051642342</v>
      </c>
      <c r="JV578" s="39">
        <f t="shared" si="1573"/>
        <v>4.810426619597985E-2</v>
      </c>
      <c r="JW578" s="1">
        <f t="shared" si="1574"/>
        <v>1.4274138273019696E-2</v>
      </c>
      <c r="JX578" s="19">
        <f t="shared" si="1575"/>
        <v>8473.2682993433009</v>
      </c>
      <c r="JZ578" s="341"/>
      <c r="KA578" s="342"/>
      <c r="KB578" s="469">
        <f t="shared" si="1576"/>
        <v>2.5122967434604799</v>
      </c>
      <c r="KI578" s="473">
        <f t="shared" si="1647"/>
        <v>-33.37360992759892</v>
      </c>
      <c r="KJ578" s="473">
        <f t="shared" si="1648"/>
        <v>17.404634093434481</v>
      </c>
      <c r="KK578" s="473">
        <f t="shared" si="1579"/>
        <v>-3.4453762699972543</v>
      </c>
      <c r="KN578" s="544">
        <f t="shared" si="1580"/>
        <v>5002</v>
      </c>
      <c r="KO578" s="541">
        <f t="shared" si="1620"/>
        <v>-2.760643622501413E-2</v>
      </c>
      <c r="KP578" s="546">
        <f t="shared" si="1621"/>
        <v>-211.85255430936999</v>
      </c>
      <c r="KQ578" s="546">
        <f t="shared" si="1622"/>
        <v>-187.63396735123024</v>
      </c>
      <c r="KR578" s="548">
        <f t="shared" si="1623"/>
        <v>2.3541850654378753</v>
      </c>
      <c r="KS578" s="548">
        <f t="shared" si="1624"/>
        <v>2.6580481480541227</v>
      </c>
      <c r="KT578" s="473">
        <f t="shared" si="1581"/>
        <v>595.94378802984284</v>
      </c>
      <c r="KU578" s="663">
        <f t="shared" si="1626"/>
        <v>3.9833674203372844</v>
      </c>
    </row>
    <row r="579" spans="1:307" s="26" customFormat="1" ht="15" outlineLevel="1">
      <c r="A579" s="561">
        <f t="shared" si="1541"/>
        <v>5079</v>
      </c>
      <c r="B579" s="561">
        <f t="shared" si="1627"/>
        <v>79</v>
      </c>
      <c r="C579" s="561">
        <f t="shared" si="1628"/>
        <v>5</v>
      </c>
      <c r="D579" s="561" t="str">
        <f t="shared" si="1509"/>
        <v xml:space="preserve">0.9/1.9/2.9/3.9, -360 Lease, </v>
      </c>
      <c r="E579" s="475">
        <f>INDEX(Input!$1:$1048576,E$93,$C579*2+MIN($B579,2)+5)
+INDEX(Scenarios!E$121:E$200,MATCH($B579,Scenarios!$B$121:$B$200,0))</f>
        <v>1277.4263093788063</v>
      </c>
      <c r="F579" s="475">
        <f>INDEX(Input!$1:$1048576,F$93,$C579*2+MIN($B579,2)+5)
+INDEX(Scenarios!F$121:F$200,MATCH($B579,Scenarios!$B$121:$B$200,0))</f>
        <v>0</v>
      </c>
      <c r="G579" s="475">
        <f>INDEX(Input!$1:$1048576,G$93,$C579*2+MIN($B579,2)+5)
+INDEX(Scenarios!G$121:G$200,MATCH($B579,Scenarios!$B$121:$B$200,0))</f>
        <v>0</v>
      </c>
      <c r="H579" s="475">
        <f>INDEX(Input!$1:$1048576,H$93,$C579*2+MIN($B579,2)+5)
+INDEX(Scenarios!H$121:H$200,MATCH($B579,Scenarios!$B$121:$B$200,0))</f>
        <v>0</v>
      </c>
      <c r="I579" s="476">
        <f>INDEX(Input!$1:$1048576,I$93,$C579*2+MIN($B579,2)+5)</f>
        <v>0.7</v>
      </c>
      <c r="J579" s="476" t="str">
        <f>INDEX(Input!$1:$1048576,J$93,$C579*2+MIN($B579,2)+5)</f>
        <v>Market</v>
      </c>
      <c r="K579" s="476" t="str">
        <f>INDEX(Input!$1:$1048576,K$93,$C579*2+MIN($B579,2)+5)</f>
        <v>Market</v>
      </c>
      <c r="L579" s="476" t="str">
        <f>INDEX(Input!$1:$1048576,L$93,$C579*2+MIN($B579,2)+5)</f>
        <v>Market</v>
      </c>
      <c r="M579" s="476" t="str">
        <f>INDEX(Input!$1:$1048576,M$93,$C579*2+MIN($B579,2)+5)</f>
        <v>Market</v>
      </c>
      <c r="N579" s="476" t="str">
        <f>INDEX(Input!$1:$1048576,N$93,$C579*2+MIN($B579,2)+5)</f>
        <v>Market</v>
      </c>
      <c r="O579" s="476" t="str">
        <f>INDEX(Input!$1:$1048576,O$93,$C579*2+MIN($B579,2)+5)</f>
        <v>Market</v>
      </c>
      <c r="P579" s="476" t="str">
        <f>INDEX(Input!$1:$1048576,P$93,$C579*2+MIN($B579,2)+5)</f>
        <v>N</v>
      </c>
      <c r="Q579" s="477">
        <f>INDEX(Input!$1:$1048576,Q$93,$C579*2+MIN($B579,2)+5)
+INDEX(Scenarios!Q$121:Q$200,MATCH($B579,Scenarios!$B$121:$B$200,0))</f>
        <v>0</v>
      </c>
      <c r="R579" s="478">
        <f>IFERROR(MAX(0,INDEX(Input!$1:$1048576,R$93,$C579*2+MIN($B579,2)+5)
+INDEX(Scenarios!R$121:R$200,MATCH($B579,Scenarios!$B$121:$B$200,0)),),"Market")</f>
        <v>0</v>
      </c>
      <c r="S579" s="478">
        <f>IFERROR(MAX(0,INDEX(Input!$1:$1048576,S$93,$C579*2+MIN($B579,2)+5)
+INDEX(Scenarios!S$121:S$200,MATCH($B579,Scenarios!$B$121:$B$200,0)),),"Market")</f>
        <v>0</v>
      </c>
      <c r="T579" s="478">
        <f>IFERROR(MAX(0,INDEX(Input!$1:$1048576,T$93,$C579*2+MIN($B579,2)+5)
+INDEX(Scenarios!T$121:T$200,MATCH($B579,Scenarios!$B$121:$B$200,0)),),"Market")</f>
        <v>0</v>
      </c>
      <c r="U579" s="478">
        <f>IFERROR(MAX(0,INDEX(Input!$1:$1048576,U$93,$C579*2+MIN($B579,2)+5)
+INDEX(Scenarios!U$121:U$200,MATCH($B579,Scenarios!$B$121:$B$200,0)),),"Market")</f>
        <v>9.0000000000000011E-3</v>
      </c>
      <c r="V579" s="478">
        <f>IFERROR(MAX(0,INDEX(Input!$1:$1048576,V$93,$C579*2+MIN($B579,2)+5)
+INDEX(Scenarios!V$121:V$200,MATCH($B579,Scenarios!$B$121:$B$200,0)),),"Market")</f>
        <v>2.8999999999999998E-2</v>
      </c>
      <c r="W579" s="885">
        <f>IFERROR(MAX(0,INDEX(Input!$1:$1048576,W$93,$C579*2+MIN($B579,2)+5)-0%,),"Market")</f>
        <v>3.9E-2</v>
      </c>
      <c r="X579" s="476" t="str">
        <f>INDEX(Input!$1:$1048576,X$93,$C579*2+MIN($B579,2)+5)</f>
        <v>Y</v>
      </c>
      <c r="Y579" s="475">
        <f>INDEX(Input!$1:$1048576,Y$93,$C579*2+MIN($B579,2)+5)
++INDEX(Scenarios!Y$121:Y$200,MATCH($B579,Scenarios!$B$121:$B$200,0))</f>
        <v>-1077.9364173925233</v>
      </c>
      <c r="Z579" s="477">
        <f>INDEX(Input!$1:$1048576,Z$93,$C579*2+MIN($B579,2)+5)
+INDEX(Scenarios!Z$121:Z$200,MATCH($B579,Scenarios!$B$121:$B$200,0))</f>
        <v>0</v>
      </c>
      <c r="AA579" s="475">
        <f>INDEX(Input!$1:$1048576,AA$93,$C579*2+MIN($B579,2)+5)
+INDEX(Scenarios!AA$121:AA$200,MATCH($B579,Scenarios!$B$121:$B$200,0))</f>
        <v>0</v>
      </c>
      <c r="AB579" s="476">
        <f>INDEX(Input!$1:$1048576,AB$93,$C579*2+MIN($B579,2)+5)</f>
        <v>0.27</v>
      </c>
      <c r="AC579" s="475">
        <f>INDEX(Input!$1:$1048576,AC$93,$C579*2+MIN($B579,2)+5)
+INDEX(Scenarios!AC$121:AC$200,MATCH($B579,Scenarios!$B$121:$B$200,0))</f>
        <v>0</v>
      </c>
      <c r="AD579" s="476">
        <f>INDEX(Input!$1:$1048576,AD$93,$C579*2+MIN($B579,2)+5)</f>
        <v>0.27</v>
      </c>
      <c r="AE579" s="475">
        <f>INDEX(Input!$1:$1048576,AE$93,$C579*2+MIN($B579,2)+5)
+INDEX(Scenarios!AE$121:AE$200,MATCH($B579,Scenarios!$B$121:$B$200,0))</f>
        <v>0</v>
      </c>
      <c r="AF579" s="476">
        <f>INDEX(Input!$1:$1048576,AF$93,$C579*2+MIN($B579,2)+5)</f>
        <v>0.2</v>
      </c>
      <c r="AG579" s="475">
        <f>INDEX(Input!$1:$1048576,AG$93,$C579*2+MIN($B579,2)+5)
+INDEX(Scenarios!AG$121:AG$200,MATCH($B579,Scenarios!$B$121:$B$200,0))</f>
        <v>500</v>
      </c>
      <c r="AH579" s="476">
        <f>INDEX(Input!$1:$1048576,AH$93,$C579*2+MIN($B579,2)+5)</f>
        <v>1</v>
      </c>
      <c r="AI579" s="475">
        <f>INDEX(Input!$1:$1048576,AI$93,$C579*2+MIN($B579,2)+5)
+INDEX(Scenarios!AI$121:AI$200,MATCH($B579,Scenarios!$B$121:$B$200,0))</f>
        <v>0</v>
      </c>
      <c r="AJ579" s="476">
        <f>INDEX(Input!$1:$1048576,AJ$93,$C579*2+MIN($B579,2)+5)</f>
        <v>0.27</v>
      </c>
      <c r="AK579" s="150">
        <f>ROUND(INDEX(Input!$1:$1048576,AK$93,$C578*2+MIN($B579,1)+5)+(Y579-VLOOKUP($C579*1000+1,$A:$HH,Y$92,FALSE)),0)</f>
        <v>2227</v>
      </c>
      <c r="AL579" s="150">
        <f>ROUND(INDEX(Input!$1:$1048576,AL$93,$C578*2+MIN($B579,1)+5)-(Y579-VLOOKUP($C579*1000+1,$A:$HH,Y$92,FALSE))/36,0)</f>
        <v>3416</v>
      </c>
      <c r="AM579" s="32" t="str">
        <f t="shared" si="1544"/>
        <v>std/std/std/std</v>
      </c>
      <c r="AN579" s="32" t="str">
        <f t="shared" si="1545"/>
        <v>$0 + 0/0/0.9/2.9/3.9</v>
      </c>
      <c r="AO579" s="32" t="str">
        <f t="shared" si="1546"/>
        <v>0/0/0.9/2.9/3.9</v>
      </c>
      <c r="AP579" s="32" t="str">
        <f t="shared" si="1526"/>
        <v>0.9/1.9/2.9/3.9</v>
      </c>
      <c r="AQ579" s="536">
        <f t="shared" si="1525"/>
        <v>0.44406970292809589</v>
      </c>
      <c r="AR579" s="32"/>
      <c r="AS579" s="302"/>
      <c r="AT579" s="3">
        <f t="shared" si="1629"/>
        <v>79</v>
      </c>
      <c r="AU579" s="41" t="s">
        <v>121</v>
      </c>
      <c r="AV579" s="41" t="s">
        <v>116</v>
      </c>
      <c r="AW579" s="41" t="str">
        <f>INDEX(Input!$1:$1048576,AW$93,$C579*2+6)</f>
        <v>Kia</v>
      </c>
      <c r="AX579" s="41" t="str">
        <f>INDEX(Input!$1:$1048576,AX$93,$C579*2+6)</f>
        <v>Kia-LR - R2</v>
      </c>
      <c r="AY579" s="41" t="str">
        <f>IF(LEN(D579)=0,"",INDEX(Input!$1:$1048576,AY$93,$C579*2+6))</f>
        <v>Compact SUV (52)</v>
      </c>
      <c r="AZ579" s="41" t="str">
        <f>INDEX(Input!$1:$1048576,AZ$93,$C579*2+6)</f>
        <v>Kia Soul</v>
      </c>
      <c r="BA579" s="3">
        <f>INDEX(Input!$1:$1048576,BA$93,$C579*2+6)</f>
        <v>2020</v>
      </c>
      <c r="BB579" s="128">
        <f>INDEX(Input!$1:$1048576,BB$93,$C579*2+6)</f>
        <v>1</v>
      </c>
      <c r="BC579" s="128">
        <f>INDEX(Input!$1:$1048576,BC$93,$C579*2+6)</f>
        <v>0.7</v>
      </c>
      <c r="BD579" s="1">
        <f>INDEX(Input!$1:$1048576,BD$93,$C579*2+6)</f>
        <v>4.4999999999999998E-2</v>
      </c>
      <c r="BE579" s="1">
        <f>INDEX(Input!$1:$1048576,BE$93,$C579*2+6)</f>
        <v>4.4999999999999998E-2</v>
      </c>
      <c r="BF579" s="1">
        <f>INDEX(Input!$1:$1048576,BF$93,$C579*2+6)</f>
        <v>0.05</v>
      </c>
      <c r="BG579" s="1">
        <f>INDEX(Input!$1:$1048576,BG$93,$C579*2+6)</f>
        <v>5.45E-2</v>
      </c>
      <c r="BH579" s="1">
        <f>INDEX(Input!$1:$1048576,BH$93,$C579*2+6)</f>
        <v>5.45E-2</v>
      </c>
      <c r="BI579" s="1">
        <f>INDEX(Input!$1:$1048576,BI$93,$C579*2+6)</f>
        <v>0.05</v>
      </c>
      <c r="BJ579" s="1">
        <f>INDEX(Input!$1:$1048576,BJ$93,$C579*2+6)</f>
        <v>0.05</v>
      </c>
      <c r="BK579" s="1">
        <f>INDEX(Input!$1:$1048576,BK$93,$C579*2+6)</f>
        <v>0.05</v>
      </c>
      <c r="BL579" s="1">
        <f>INDEX(Input!$1:$1048576,BL$93,$C579*2+6)</f>
        <v>5.5E-2</v>
      </c>
      <c r="BM579" s="1">
        <f>INDEX(Input!$1:$1048576,BM$93,$C579*2+6)</f>
        <v>0.06</v>
      </c>
      <c r="BN579" s="1">
        <f>INDEX(Input!$1:$1048576,BN$93,$C579*2+6)</f>
        <v>4.4999999999999998E-2</v>
      </c>
      <c r="BO579" s="1">
        <f>INDEX(Input!$1:$1048576,BO$93,$C579*2+6)</f>
        <v>4.4999999999999998E-2</v>
      </c>
      <c r="BP579" s="1">
        <f>INDEX(Input!$1:$1048576,BP$93,$C579*2+6)</f>
        <v>0.05</v>
      </c>
      <c r="BQ579" s="1">
        <f>INDEX(Input!$1:$1048576,BQ$93,$C579*2+6)</f>
        <v>5.45E-2</v>
      </c>
      <c r="BR579" s="1">
        <f>INDEX(Input!$1:$1048576,BR$93,$C579*2+6)</f>
        <v>5.45E-2</v>
      </c>
      <c r="BS579" s="1">
        <f>INDEX(Input!$1:$1048576,BS$93,$C579*2+6)</f>
        <v>0.05</v>
      </c>
      <c r="BT579" s="1">
        <f>INDEX(Input!$1:$1048576,BT$93,$C579*2+6)</f>
        <v>0.05</v>
      </c>
      <c r="BU579" s="1">
        <f>INDEX(Input!$1:$1048576,BU$93,$C579*2+6)</f>
        <v>0.05</v>
      </c>
      <c r="BV579" s="1">
        <f>INDEX(Input!$1:$1048576,BV$93,$C579*2+6)</f>
        <v>5.5E-2</v>
      </c>
      <c r="BW579" s="1">
        <f>INDEX(Input!$1:$1048576,BW$93,$C579*2+6)</f>
        <v>0.06</v>
      </c>
      <c r="BX579" s="127">
        <f>INDEX(Input!$1:$1048576,BX$93,$C579*2+6)</f>
        <v>19985</v>
      </c>
      <c r="BY579" s="20">
        <f>INDEX(Input!$1:$1048576,BY$93,$C579*2+6)</f>
        <v>0.1</v>
      </c>
      <c r="BZ579" s="20">
        <f>INDEX(Input!$1:$1048576,BZ$93,$C579*2+6)</f>
        <v>0.1</v>
      </c>
      <c r="CA579" s="20">
        <f>INDEX(Input!$1:$1048576,CA$93,$C579*2+6)</f>
        <v>0.1</v>
      </c>
      <c r="CB579" s="20">
        <f>INDEX(Input!$1:$1048576,CB$93,$C579*2+6)</f>
        <v>0.1</v>
      </c>
      <c r="CC579" s="20">
        <f>INDEX(Input!$1:$1048576,CC$93,$C579*2+6)</f>
        <v>0.1</v>
      </c>
      <c r="CD579" s="384">
        <f>INDEX(Input!$1:$1048576,CD$93,$C579*2+6)</f>
        <v>0.1</v>
      </c>
      <c r="CE579" s="384">
        <f>INDEX(Input!$1:$1048576,CE$93,$C579*2+6)</f>
        <v>0.1</v>
      </c>
      <c r="CF579" s="384">
        <f>INDEX(Input!$1:$1048576,CF$93,$C579*2+6)</f>
        <v>0.1</v>
      </c>
      <c r="CG579" s="384">
        <f>INDEX(Input!$1:$1048576,CG$93,$C579*2+6)</f>
        <v>0.1</v>
      </c>
      <c r="CH579" s="384">
        <f>INDEX(Input!$1:$1048576,CH$93,$C579*2+6)</f>
        <v>0.1</v>
      </c>
      <c r="CI579" s="304">
        <f t="shared" si="1527"/>
        <v>1277.4263093788063</v>
      </c>
      <c r="CJ579" s="16" t="str">
        <f>INDEX(Input!$1:$1048576,CJ$93,$C579*2+6)</f>
        <v>N</v>
      </c>
      <c r="CK579" s="1" t="str">
        <f t="shared" si="1528"/>
        <v>Market</v>
      </c>
      <c r="CL579" s="1" t="str">
        <f t="shared" si="1529"/>
        <v>Market</v>
      </c>
      <c r="CM579" s="1" t="str">
        <f t="shared" si="1530"/>
        <v>Market</v>
      </c>
      <c r="CN579" s="1" t="str">
        <f t="shared" si="1531"/>
        <v>Market</v>
      </c>
      <c r="CO579" s="1" t="str">
        <f t="shared" si="1532"/>
        <v>Market</v>
      </c>
      <c r="CP579" s="304">
        <f t="shared" si="1533"/>
        <v>500</v>
      </c>
      <c r="CQ579" s="1">
        <f t="shared" si="1534"/>
        <v>0</v>
      </c>
      <c r="CR579" s="1">
        <f t="shared" si="1535"/>
        <v>0</v>
      </c>
      <c r="CS579" s="1">
        <f t="shared" si="1536"/>
        <v>9.0000000000000011E-3</v>
      </c>
      <c r="CT579" s="1">
        <f t="shared" si="1537"/>
        <v>2.8999999999999998E-2</v>
      </c>
      <c r="CU579" s="1">
        <f t="shared" si="1538"/>
        <v>3.9E-2</v>
      </c>
      <c r="CV579" s="304">
        <f t="shared" si="1539"/>
        <v>-1077.9364173925233</v>
      </c>
      <c r="CW579" s="20" t="s">
        <v>122</v>
      </c>
      <c r="CX579" s="20" t="s">
        <v>122</v>
      </c>
      <c r="CY579" s="20" t="s">
        <v>122</v>
      </c>
      <c r="CZ579" s="20" t="s">
        <v>122</v>
      </c>
      <c r="DA579" s="20" t="s">
        <v>122</v>
      </c>
      <c r="DB579" s="503">
        <f t="shared" si="1540"/>
        <v>0</v>
      </c>
      <c r="DC579" s="127">
        <v>0</v>
      </c>
      <c r="DD579" s="127">
        <v>0</v>
      </c>
      <c r="DE579" s="127">
        <v>0</v>
      </c>
      <c r="DF579" s="127">
        <v>0</v>
      </c>
      <c r="DG579" s="127">
        <v>0</v>
      </c>
      <c r="DH579" s="127">
        <v>0</v>
      </c>
      <c r="DI579" s="127">
        <v>0</v>
      </c>
      <c r="DJ579" s="127">
        <v>0</v>
      </c>
      <c r="DK579" s="127">
        <v>0</v>
      </c>
      <c r="DL579" s="127">
        <v>0</v>
      </c>
      <c r="DM579" s="304">
        <f>INDEX(Input!$1:$1048576,DM$93,$C579*2+6)</f>
        <v>21036.84210526316</v>
      </c>
      <c r="DN579" s="20">
        <v>0</v>
      </c>
      <c r="DO579" s="20">
        <v>0</v>
      </c>
      <c r="DP579" s="20">
        <v>0</v>
      </c>
      <c r="DQ579" s="20">
        <v>0</v>
      </c>
      <c r="DR579" s="20">
        <v>0</v>
      </c>
      <c r="DS579" s="20">
        <f>INDEX(Input!$1:$1048576,DS$93,$C579*2+6)</f>
        <v>0.6</v>
      </c>
      <c r="DT579" s="20">
        <f>INDEX(Input!$1:$1048576,DT$93,$C579*2+6)</f>
        <v>0.55000000000000004</v>
      </c>
      <c r="DU579" s="20">
        <f>INDEX(Input!$1:$1048576,DU$93,$C579*2+6)</f>
        <v>0.52</v>
      </c>
      <c r="DV579" s="20">
        <f>INDEX(Input!$1:$1048576,DV$93,$C579*2+6)</f>
        <v>0.5</v>
      </c>
      <c r="DW579" s="20">
        <f>INDEX(Input!$1:$1048576,DW$93,$C579*2+6)</f>
        <v>0.45</v>
      </c>
      <c r="DX579" s="20"/>
      <c r="DY579" s="7">
        <v>0.1232455196187385</v>
      </c>
      <c r="DZ579" s="7">
        <v>0</v>
      </c>
      <c r="EA579" s="7">
        <v>0.75821823892444273</v>
      </c>
      <c r="EB579" s="7">
        <v>0</v>
      </c>
      <c r="EC579" s="7">
        <v>0</v>
      </c>
      <c r="ED579" s="7">
        <v>0</v>
      </c>
      <c r="EE579" s="7">
        <v>0</v>
      </c>
      <c r="EF579" s="7">
        <v>0</v>
      </c>
      <c r="EG579" s="7">
        <v>0</v>
      </c>
      <c r="EH579" s="7">
        <v>1.6542043121275628E-2</v>
      </c>
      <c r="EI579" s="7">
        <v>4.5996761604846524E-2</v>
      </c>
      <c r="EJ579" s="7">
        <v>0.29039934860686351</v>
      </c>
      <c r="EK579" s="7">
        <v>0.4759605624285787</v>
      </c>
      <c r="EL579" s="7">
        <v>0.17110128423843554</v>
      </c>
      <c r="EM579" s="7">
        <v>5.7137051589273444E-2</v>
      </c>
      <c r="EN579" s="7">
        <v>5.7488076513218307E-2</v>
      </c>
      <c r="EO579" s="7">
        <v>0.70689999717122143</v>
      </c>
      <c r="EP579" s="7">
        <v>9.4492612801352807E-2</v>
      </c>
      <c r="EQ579" s="7">
        <v>9.307956664154865E-2</v>
      </c>
      <c r="ER579" s="7">
        <v>4.8039746872658468E-2</v>
      </c>
      <c r="ES579" s="7">
        <v>6.139918986754541E-2</v>
      </c>
      <c r="ET579" s="7">
        <v>0.11853624145681874</v>
      </c>
      <c r="EU579" s="6">
        <v>1270</v>
      </c>
      <c r="EV579" s="6">
        <v>0</v>
      </c>
      <c r="EW579" s="6">
        <v>1270</v>
      </c>
      <c r="EX579" s="6">
        <v>0</v>
      </c>
      <c r="EY579" s="6">
        <v>1631.5523483706068</v>
      </c>
      <c r="EZ579" s="6">
        <v>-366.44990394013166</v>
      </c>
      <c r="FA579" s="6">
        <v>0</v>
      </c>
      <c r="FB579" s="6">
        <v>0</v>
      </c>
      <c r="FC579" s="6">
        <v>0</v>
      </c>
      <c r="FD579" s="6">
        <v>0</v>
      </c>
      <c r="FE579" s="6">
        <v>0</v>
      </c>
      <c r="FF579" s="6">
        <v>0</v>
      </c>
      <c r="FG579" s="6">
        <v>0</v>
      </c>
      <c r="FH579" s="6">
        <v>1172.1421107816698</v>
      </c>
      <c r="FI579" s="6">
        <v>1553.9796069512399</v>
      </c>
      <c r="FJ579" s="6">
        <v>1735.1562230702798</v>
      </c>
      <c r="FK579" s="6">
        <v>1284.968747058685</v>
      </c>
      <c r="FL579" s="6">
        <v>907.07682140966313</v>
      </c>
      <c r="FM579" s="6">
        <v>1361.5523483706068</v>
      </c>
      <c r="FN579" s="6">
        <v>0</v>
      </c>
      <c r="FO579" s="6">
        <v>0</v>
      </c>
      <c r="FP579" s="6">
        <v>0</v>
      </c>
      <c r="FQ579" s="6">
        <v>0</v>
      </c>
      <c r="FR579" s="6">
        <v>0</v>
      </c>
      <c r="FS579" s="6">
        <v>0</v>
      </c>
      <c r="FT579" s="7">
        <v>0.88146375854318126</v>
      </c>
      <c r="FU579" s="7">
        <v>5.7137051589273444E-2</v>
      </c>
      <c r="FV579" s="7">
        <v>6.139918986754541E-2</v>
      </c>
      <c r="FW579" s="6">
        <v>1270</v>
      </c>
      <c r="FX579" s="6">
        <v>1631.5523483706068</v>
      </c>
      <c r="FY579" s="6">
        <v>-366.44990394013166</v>
      </c>
      <c r="FZ579" s="6">
        <v>1758.1538569113241</v>
      </c>
      <c r="GA579" s="6">
        <v>1190.1813368203279</v>
      </c>
      <c r="GB579" s="6">
        <v>18794.818663179671</v>
      </c>
      <c r="GC579" s="7">
        <v>3.064145122680037E-2</v>
      </c>
      <c r="GD579" s="7">
        <v>2.9087566932525077E-2</v>
      </c>
      <c r="GE579" s="7"/>
      <c r="GF579" s="7"/>
      <c r="GG579" s="7">
        <v>-5.0711837464023163E-2</v>
      </c>
      <c r="GH579" s="42">
        <v>1.7843751869476567</v>
      </c>
      <c r="GI579" s="6">
        <v>12390.18016340469</v>
      </c>
      <c r="GJ579" s="14">
        <v>0.50394797582841699</v>
      </c>
      <c r="GK579" s="14">
        <v>0.50887573065309721</v>
      </c>
      <c r="GL579" s="14">
        <v>0.49605202417158262</v>
      </c>
      <c r="GM579" s="14">
        <v>0.49112426934690229</v>
      </c>
      <c r="GO579" s="5">
        <v>343.14810671672558</v>
      </c>
      <c r="GP579" s="5">
        <v>318.91892952659737</v>
      </c>
      <c r="GQ579" s="5">
        <v>535.04305713031317</v>
      </c>
      <c r="GR579" s="5">
        <v>410.15490233172511</v>
      </c>
      <c r="GS579" s="5">
        <v>339.42744393800166</v>
      </c>
      <c r="GT579" s="5">
        <v>293.4407446948278</v>
      </c>
      <c r="GU579" s="5">
        <v>258.04012322764959</v>
      </c>
      <c r="GV579" s="39" t="s">
        <v>392</v>
      </c>
      <c r="GW579" s="5">
        <v>492.125</v>
      </c>
      <c r="GX579" s="5">
        <v>369.09375</v>
      </c>
      <c r="GY579" s="5">
        <v>302.07920908968697</v>
      </c>
      <c r="GZ579" s="5">
        <v>268.3868982438774</v>
      </c>
      <c r="HA579" s="5">
        <v>241.34874471337258</v>
      </c>
      <c r="HB579" s="39">
        <v>281.87813495337815</v>
      </c>
      <c r="HC579" s="5">
        <v>303.31655829738077</v>
      </c>
      <c r="HD579" s="5">
        <v>250.74799238008356</v>
      </c>
      <c r="HE579" s="5">
        <v>251.12245558578954</v>
      </c>
      <c r="HF579" s="5">
        <v>229.38290951107166</v>
      </c>
      <c r="HG579" s="5">
        <v>217.65500473779989</v>
      </c>
      <c r="HH579" s="39">
        <v>250.2270107221286</v>
      </c>
      <c r="HI579" s="16"/>
      <c r="HJ579" s="19" t="str">
        <f t="shared" ref="HJ579:HK579" si="1651">HJ578</f>
        <v>On</v>
      </c>
      <c r="HK579" s="1" t="str">
        <f t="shared" si="1651"/>
        <v>On</v>
      </c>
      <c r="HL579" s="16"/>
      <c r="HM579" s="639">
        <f t="shared" si="1605"/>
        <v>2.4909940070666322E-2</v>
      </c>
      <c r="HN579" s="639">
        <f t="shared" si="1606"/>
        <v>2.2052381276269151E-3</v>
      </c>
      <c r="HO579" s="639">
        <f t="shared" si="1607"/>
        <v>2.079866082302006E-3</v>
      </c>
      <c r="HP579" s="644">
        <f>(FT579*$GD579-HM579)/$JF579*INDEX(Input!$1:$1048576,$JG$93,$C579*2+6)</f>
        <v>20.519935300686555</v>
      </c>
      <c r="HQ579" s="644">
        <f>(FU579*$GD579-HN579)/$JF579*INDEX(Input!$1:$1048576,$JG$93,$C579*2+6)</f>
        <v>-15.277137944709677</v>
      </c>
      <c r="HR579" s="644">
        <f>(FV579*$GD579-HO579)/$JF579*INDEX(Input!$1:$1048576,$JG$93,$C579*2+6)</f>
        <v>-8.2651905374201142</v>
      </c>
      <c r="HS579" s="644">
        <f t="shared" si="1598"/>
        <v>-1.3101728106022184</v>
      </c>
      <c r="HT579" s="644">
        <f t="shared" si="1644"/>
        <v>-21.026438032169867</v>
      </c>
      <c r="HU579" s="644">
        <f t="shared" si="1609"/>
        <v>-2.5002791745880368</v>
      </c>
      <c r="HV579" s="648">
        <f t="shared" si="1610"/>
        <v>0</v>
      </c>
      <c r="HW579" s="648">
        <f t="shared" si="1611"/>
        <v>0</v>
      </c>
      <c r="HX579" s="648">
        <f t="shared" si="1612"/>
        <v>0</v>
      </c>
      <c r="HY579" s="644">
        <f>INDEX(Input!$1:$1048576,HY$93,$C579*2+6)*INDEX(Input!$1:$1048576,$JG$93,$C579*2+6)</f>
        <v>333.00000000000006</v>
      </c>
      <c r="HZ579" s="644">
        <f>INDEX(Input!$1:$1048576,HZ$93,$C579*2+6)*INDEX(Input!$1:$1048576,$JG$93,$C579*2+6)</f>
        <v>429</v>
      </c>
      <c r="IA579" s="644">
        <f>INDEX(Input!$1:$1048576,IA$93,$C579*2+6)*INDEX(Input!$1:$1048576,$JG$93,$C579*2+6)</f>
        <v>59</v>
      </c>
      <c r="IB579" s="644">
        <f t="shared" si="1551"/>
        <v>352.20976249008447</v>
      </c>
      <c r="IC579" s="644">
        <f t="shared" si="1552"/>
        <v>392.69642402312041</v>
      </c>
      <c r="ID579" s="644">
        <f>IF(AND(INDEX(Input!$1:$1048576,IA$93,$C579*2+7)="TOS",Y579&lt;=INDEX(Y:Y,MATCH(C579*1000+2,A:A))),0,1)*MAX(IA579+HR579+HU579+HX579,0%)</f>
        <v>48.234530287991852</v>
      </c>
      <c r="IE579" s="128">
        <f t="shared" si="1645"/>
        <v>0.44406970292809589</v>
      </c>
      <c r="IF579" s="128">
        <f t="shared" si="1646"/>
        <v>0.49511570356253826</v>
      </c>
      <c r="IG579" s="128">
        <f t="shared" si="1555"/>
        <v>6.0814593509365869E-2</v>
      </c>
      <c r="IH579" s="21"/>
      <c r="II579" s="19">
        <f t="shared" si="1613"/>
        <v>1240</v>
      </c>
      <c r="IJ579" s="19">
        <f t="shared" si="1614"/>
        <v>1985.7442651839444</v>
      </c>
      <c r="IK579" s="19">
        <f t="shared" si="1615"/>
        <v>-21.44990394013189</v>
      </c>
      <c r="IL579" s="19">
        <f t="shared" si="1556"/>
        <v>30</v>
      </c>
      <c r="IM579" s="19">
        <f t="shared" si="1557"/>
        <v>-354.19191681333768</v>
      </c>
      <c r="IN579" s="19">
        <f t="shared" si="1558"/>
        <v>-344.99999999999977</v>
      </c>
      <c r="IO579" s="39">
        <f t="shared" si="1616"/>
        <v>0</v>
      </c>
      <c r="IP579" s="39">
        <f t="shared" si="1617"/>
        <v>0</v>
      </c>
      <c r="IQ579" s="39">
        <f t="shared" si="1618"/>
        <v>0</v>
      </c>
      <c r="IR579" s="39">
        <v>0</v>
      </c>
      <c r="IS579" s="39">
        <v>0</v>
      </c>
      <c r="IT579" s="39">
        <v>0</v>
      </c>
      <c r="IU579" s="39">
        <v>0</v>
      </c>
      <c r="IV579" s="39">
        <v>0</v>
      </c>
      <c r="IW579" s="39">
        <v>0</v>
      </c>
      <c r="IX579" s="39">
        <f>INDEX(Input!$1:$1048576,IX$93,$C579*2+6)+INDEX(Input!$1:$1048576,IX$94,$C579*2+6)</f>
        <v>1270</v>
      </c>
      <c r="IY579" s="39">
        <f>INDEX(Input!$1:$1048576,IY$93,$C579*2+6)+INDEX(Input!$1:$1048576,IY$94,$C579*2+6)</f>
        <v>2130.0624533823611</v>
      </c>
      <c r="IZ579" s="39">
        <f>INDEX(Input!$1:$1048576,IZ$93,$C579*2+6)+INDEX(Input!$1:$1048576,IZ$94,$C579*2+6)</f>
        <v>3653.7164157747857</v>
      </c>
      <c r="JA579" s="19">
        <f t="shared" si="1559"/>
        <v>1300</v>
      </c>
      <c r="JB579" s="19">
        <f t="shared" si="1560"/>
        <v>1775.8705365690234</v>
      </c>
      <c r="JC579" s="19">
        <f t="shared" si="1561"/>
        <v>3308.7164157747857</v>
      </c>
      <c r="JD579" s="19">
        <f t="shared" si="1562"/>
        <v>1657.7702478189888</v>
      </c>
      <c r="JE579" s="21"/>
      <c r="JF579" s="1">
        <f t="shared" si="1619"/>
        <v>2.9195044280595241E-2</v>
      </c>
      <c r="JG579" s="15">
        <f>INDEX(Input!$1:$1048576,JG$93,$C579*2+6)/(1+VLOOKUP(C579*1000+INDEX(Input!$1:$1048576,JG$93+1,$C579*2+6),$A:$KK,$JK$92,FALSE))</f>
        <v>821</v>
      </c>
      <c r="JH579" s="1">
        <f t="shared" si="1563"/>
        <v>-3.6813558848273285E-3</v>
      </c>
      <c r="JI579" s="1">
        <f t="shared" si="1564"/>
        <v>-3.0251997585091502E-2</v>
      </c>
      <c r="JJ579" s="1">
        <f t="shared" si="1565"/>
        <v>0</v>
      </c>
      <c r="JK579" s="1">
        <f t="shared" si="1566"/>
        <v>-3.3933353469918832E-2</v>
      </c>
      <c r="JL579" s="15">
        <f t="shared" si="1567"/>
        <v>-27.859283198803361</v>
      </c>
      <c r="JM579" s="15">
        <f t="shared" si="1568"/>
        <v>793.14071680119662</v>
      </c>
      <c r="JN579" s="21"/>
      <c r="JO579" s="19">
        <f>INDEX(Input!$1:$1048576,JO$93,$C579*2+6)</f>
        <v>5995.5</v>
      </c>
      <c r="JP579" s="19">
        <f>INDEX(Input!$1:$1048576,JP$93,$C579*2+6)</f>
        <v>1890.7138380411029</v>
      </c>
      <c r="JQ579" s="39">
        <f t="shared" si="1569"/>
        <v>4337.7297521810115</v>
      </c>
      <c r="JR579" s="39">
        <f t="shared" si="1570"/>
        <v>-232.94359022211415</v>
      </c>
      <c r="JS579" s="39">
        <f t="shared" si="1571"/>
        <v>1.3148450826468501</v>
      </c>
      <c r="JT579" s="39">
        <f t="shared" si="1572"/>
        <v>-0.23743097838489549</v>
      </c>
      <c r="JU579" s="385">
        <f>(JQ579*JM579-INDEX(Input!$1:$1048576,Input!A$18,$C579*2+6)*JL579*INDEX(Input!$1:$1048576,Input!A$19,$C579*2+6))/1000000</f>
        <v>3.4404300849347247</v>
      </c>
      <c r="JV579" s="39">
        <f t="shared" si="1573"/>
        <v>7.0400645966470332E-2</v>
      </c>
      <c r="JW579" s="1">
        <f t="shared" si="1574"/>
        <v>2.0890216908023132E-2</v>
      </c>
      <c r="JX579" s="19">
        <f t="shared" si="1575"/>
        <v>8522.5085186360393</v>
      </c>
      <c r="JZ579" s="341"/>
      <c r="KA579" s="342"/>
      <c r="KB579" s="469">
        <f t="shared" si="1576"/>
        <v>2.5122967434604799</v>
      </c>
      <c r="KI579" s="473">
        <f t="shared" si="1647"/>
        <v>19.209762490084358</v>
      </c>
      <c r="KJ579" s="473">
        <f t="shared" si="1648"/>
        <v>-36.303575976879642</v>
      </c>
      <c r="KK579" s="473">
        <f t="shared" si="1579"/>
        <v>-10.765469712008155</v>
      </c>
      <c r="KN579" s="544">
        <f t="shared" si="1580"/>
        <v>5002</v>
      </c>
      <c r="KO579" s="541">
        <f t="shared" si="1620"/>
        <v>-3.7850876933887667E-2</v>
      </c>
      <c r="KP579" s="546">
        <f t="shared" si="1621"/>
        <v>-212.11343414270738</v>
      </c>
      <c r="KQ579" s="546">
        <f t="shared" si="1622"/>
        <v>-261.1485179042777</v>
      </c>
      <c r="KR579" s="548">
        <f t="shared" si="1623"/>
        <v>3.22382700671454</v>
      </c>
      <c r="KS579" s="548">
        <f t="shared" si="1624"/>
        <v>2.6184985576938056</v>
      </c>
      <c r="KT579" s="473">
        <f t="shared" si="1581"/>
        <v>595.94378802984284</v>
      </c>
      <c r="KU579" s="663">
        <f t="shared" si="1626"/>
        <v>3.9891765906648757</v>
      </c>
    </row>
    <row r="580" spans="1:307" s="26" customFormat="1" ht="15" outlineLevel="1">
      <c r="A580" s="561">
        <f t="shared" ref="A580:A599" si="1652">C580*1000+B580</f>
        <v>5080</v>
      </c>
      <c r="B580" s="561">
        <f t="shared" si="1627"/>
        <v>80</v>
      </c>
      <c r="C580" s="561">
        <f t="shared" si="1628"/>
        <v>5</v>
      </c>
      <c r="D580" s="561" t="str">
        <f t="shared" si="1509"/>
        <v xml:space="preserve">0.9/1.9/2.9/3.9, -360 Lease, </v>
      </c>
      <c r="E580" s="475">
        <f>INDEX(Input!$1:$1048576,E$93,$C580*2+MIN($B580,2)+5)
+INDEX(Scenarios!E$121:E$200,MATCH($B580,Scenarios!$B$121:$B$200,0))</f>
        <v>1277.4263093788063</v>
      </c>
      <c r="F580" s="475">
        <f>INDEX(Input!$1:$1048576,F$93,$C580*2+MIN($B580,2)+5)
+INDEX(Scenarios!F$121:F$200,MATCH($B580,Scenarios!$B$121:$B$200,0))</f>
        <v>0</v>
      </c>
      <c r="G580" s="475">
        <f>INDEX(Input!$1:$1048576,G$93,$C580*2+MIN($B580,2)+5)
+INDEX(Scenarios!G$121:G$200,MATCH($B580,Scenarios!$B$121:$B$200,0))</f>
        <v>0</v>
      </c>
      <c r="H580" s="475">
        <f>INDEX(Input!$1:$1048576,H$93,$C580*2+MIN($B580,2)+5)
+INDEX(Scenarios!H$121:H$200,MATCH($B580,Scenarios!$B$121:$B$200,0))</f>
        <v>0</v>
      </c>
      <c r="I580" s="476">
        <f>INDEX(Input!$1:$1048576,I$93,$C580*2+MIN($B580,2)+5)</f>
        <v>0.7</v>
      </c>
      <c r="J580" s="476" t="str">
        <f>INDEX(Input!$1:$1048576,J$93,$C580*2+MIN($B580,2)+5)</f>
        <v>Market</v>
      </c>
      <c r="K580" s="476" t="str">
        <f>INDEX(Input!$1:$1048576,K$93,$C580*2+MIN($B580,2)+5)</f>
        <v>Market</v>
      </c>
      <c r="L580" s="476" t="str">
        <f>INDEX(Input!$1:$1048576,L$93,$C580*2+MIN($B580,2)+5)</f>
        <v>Market</v>
      </c>
      <c r="M580" s="476" t="str">
        <f>INDEX(Input!$1:$1048576,M$93,$C580*2+MIN($B580,2)+5)</f>
        <v>Market</v>
      </c>
      <c r="N580" s="476" t="str">
        <f>INDEX(Input!$1:$1048576,N$93,$C580*2+MIN($B580,2)+5)</f>
        <v>Market</v>
      </c>
      <c r="O580" s="476" t="str">
        <f>INDEX(Input!$1:$1048576,O$93,$C580*2+MIN($B580,2)+5)</f>
        <v>Market</v>
      </c>
      <c r="P580" s="476" t="str">
        <f>INDEX(Input!$1:$1048576,P$93,$C580*2+MIN($B580,2)+5)</f>
        <v>N</v>
      </c>
      <c r="Q580" s="477">
        <f>INDEX(Input!$1:$1048576,Q$93,$C580*2+MIN($B580,2)+5)
+INDEX(Scenarios!Q$121:Q$200,MATCH($B580,Scenarios!$B$121:$B$200,0))</f>
        <v>0</v>
      </c>
      <c r="R580" s="478">
        <f>IFERROR(MAX(0,INDEX(Input!$1:$1048576,R$93,$C580*2+MIN($B580,2)+5)
+INDEX(Scenarios!R$121:R$200,MATCH($B580,Scenarios!$B$121:$B$200,0)),),"Market")</f>
        <v>0</v>
      </c>
      <c r="S580" s="478">
        <f>IFERROR(MAX(0,INDEX(Input!$1:$1048576,S$93,$C580*2+MIN($B580,2)+5)
+INDEX(Scenarios!S$121:S$200,MATCH($B580,Scenarios!$B$121:$B$200,0)),),"Market")</f>
        <v>0</v>
      </c>
      <c r="T580" s="478">
        <f>IFERROR(MAX(0,INDEX(Input!$1:$1048576,T$93,$C580*2+MIN($B580,2)+5)
+INDEX(Scenarios!T$121:T$200,MATCH($B580,Scenarios!$B$121:$B$200,0)),),"Market")</f>
        <v>0</v>
      </c>
      <c r="U580" s="478">
        <f>IFERROR(MAX(0,INDEX(Input!$1:$1048576,U$93,$C580*2+MIN($B580,2)+5)
+INDEX(Scenarios!U$121:U$200,MATCH($B580,Scenarios!$B$121:$B$200,0)),),"Market")</f>
        <v>9.0000000000000011E-3</v>
      </c>
      <c r="V580" s="478">
        <f>IFERROR(MAX(0,INDEX(Input!$1:$1048576,V$93,$C580*2+MIN($B580,2)+5)
+INDEX(Scenarios!V$121:V$200,MATCH($B580,Scenarios!$B$121:$B$200,0)),),"Market")</f>
        <v>2.8999999999999998E-2</v>
      </c>
      <c r="W580" s="885">
        <f>IFERROR(MAX(0,INDEX(Input!$1:$1048576,W$93,$C580*2+MIN($B580,2)+5)-0%,),"Market")</f>
        <v>3.9E-2</v>
      </c>
      <c r="X580" s="476" t="str">
        <f>INDEX(Input!$1:$1048576,X$93,$C580*2+MIN($B580,2)+5)</f>
        <v>Y</v>
      </c>
      <c r="Y580" s="475">
        <f>INDEX(Input!$1:$1048576,Y$93,$C580*2+MIN($B580,2)+5)
++INDEX(Scenarios!Y$121:Y$200,MATCH($B580,Scenarios!$B$121:$B$200,0))</f>
        <v>-1077.9364173925233</v>
      </c>
      <c r="Z580" s="477">
        <f>INDEX(Input!$1:$1048576,Z$93,$C580*2+MIN($B580,2)+5)
+INDEX(Scenarios!Z$121:Z$200,MATCH($B580,Scenarios!$B$121:$B$200,0))</f>
        <v>0</v>
      </c>
      <c r="AA580" s="475">
        <f>INDEX(Input!$1:$1048576,AA$93,$C580*2+MIN($B580,2)+5)
+INDEX(Scenarios!AA$121:AA$200,MATCH($B580,Scenarios!$B$121:$B$200,0))</f>
        <v>0</v>
      </c>
      <c r="AB580" s="476">
        <f>INDEX(Input!$1:$1048576,AB$93,$C580*2+MIN($B580,2)+5)</f>
        <v>0.27</v>
      </c>
      <c r="AC580" s="475">
        <f>INDEX(Input!$1:$1048576,AC$93,$C580*2+MIN($B580,2)+5)
+INDEX(Scenarios!AC$121:AC$200,MATCH($B580,Scenarios!$B$121:$B$200,0))</f>
        <v>0</v>
      </c>
      <c r="AD580" s="476">
        <f>INDEX(Input!$1:$1048576,AD$93,$C580*2+MIN($B580,2)+5)</f>
        <v>0.27</v>
      </c>
      <c r="AE580" s="475">
        <f>INDEX(Input!$1:$1048576,AE$93,$C580*2+MIN($B580,2)+5)
+INDEX(Scenarios!AE$121:AE$200,MATCH($B580,Scenarios!$B$121:$B$200,0))</f>
        <v>0</v>
      </c>
      <c r="AF580" s="476">
        <f>INDEX(Input!$1:$1048576,AF$93,$C580*2+MIN($B580,2)+5)</f>
        <v>0.2</v>
      </c>
      <c r="AG580" s="475">
        <f>INDEX(Input!$1:$1048576,AG$93,$C580*2+MIN($B580,2)+5)
+INDEX(Scenarios!AG$121:AG$200,MATCH($B580,Scenarios!$B$121:$B$200,0))</f>
        <v>500</v>
      </c>
      <c r="AH580" s="476">
        <f>INDEX(Input!$1:$1048576,AH$93,$C580*2+MIN($B580,2)+5)</f>
        <v>1</v>
      </c>
      <c r="AI580" s="475">
        <f>INDEX(Input!$1:$1048576,AI$93,$C580*2+MIN($B580,2)+5)
+INDEX(Scenarios!AI$121:AI$200,MATCH($B580,Scenarios!$B$121:$B$200,0))</f>
        <v>0</v>
      </c>
      <c r="AJ580" s="476">
        <f>INDEX(Input!$1:$1048576,AJ$93,$C580*2+MIN($B580,2)+5)</f>
        <v>0.27</v>
      </c>
      <c r="AK580" s="150">
        <f>ROUND(INDEX(Input!$1:$1048576,AK$93,$C579*2+MIN($B580,1)+5)+(Y580-VLOOKUP($C580*1000+1,$A:$HH,Y$92,FALSE)),0)</f>
        <v>2227</v>
      </c>
      <c r="AL580" s="150">
        <f>ROUND(INDEX(Input!$1:$1048576,AL$93,$C579*2+MIN($B580,1)+5)-(Y580-VLOOKUP($C580*1000+1,$A:$HH,Y$92,FALSE))/36,0)</f>
        <v>3416</v>
      </c>
      <c r="AM580" s="32" t="str">
        <f t="shared" ref="AM580:AM599" si="1653">IF(K580="market","std",ROUND(K580*1000,0)/10)&amp;"/"&amp;IF(L580="market","std",ROUND(L580*1000,0)/10)&amp;"/"&amp;IF(M580="market","std",ROUND(M580*1000,0)/10)&amp;"/"&amp;IF(N580="market","std",ROUND(N580*1000,0)/10)&amp;IF(P580="N","","/"&amp;IF(O580="market","std",ROUND(O580*1000,0)/10))</f>
        <v>std/std/std/std</v>
      </c>
      <c r="AN580" s="32" t="str">
        <f t="shared" ref="AN580:AN599" si="1654">"$"&amp;ROUND(Q580,0)&amp;" + "&amp;IF(S580="market","std",ROUND(S580*1000,0)/10)&amp;"/"&amp;IF(T580="market","std",ROUND(T580*1000,0)/10)&amp;"/"&amp;IF(U580="market","std",ROUND(U580*1000,0)/10)&amp;"/"&amp;IF(V580="market","std",ROUND(V580*1000,0)/10)&amp;IF(X580="N","","/"&amp;IF(W580="market","std",ROUND(W580*1000,0)/10))</f>
        <v>$0 + 0/0/0.9/2.9/3.9</v>
      </c>
      <c r="AO580" s="32" t="str">
        <f t="shared" ref="AO580:AO599" si="1655">IF(S580="market","std",ROUND(S580*1000,0)/10)&amp;"/"&amp;IF(T580="market","std",ROUND(T580*1000,0)/10)&amp;"/"&amp;IF(U580="market","std",ROUND(U580*1000,0)/10)&amp;"/"&amp;IF(V580="market","std",ROUND(V580*1000,0)/10)&amp;IF(X580="N","","/"&amp;IF(W580="market","std",ROUND(W580*1000,0)/10))</f>
        <v>0/0/0.9/2.9/3.9</v>
      </c>
      <c r="AP580" s="32" t="str">
        <f t="shared" si="1526"/>
        <v>0.9/1.9/2.9/3.9</v>
      </c>
      <c r="AQ580" s="536">
        <f t="shared" si="1525"/>
        <v>0.44406970292809589</v>
      </c>
      <c r="AR580" s="32"/>
      <c r="AS580" s="302"/>
      <c r="AT580" s="3">
        <f t="shared" si="1629"/>
        <v>80</v>
      </c>
      <c r="AU580" s="41" t="s">
        <v>121</v>
      </c>
      <c r="AV580" s="41" t="s">
        <v>116</v>
      </c>
      <c r="AW580" s="41" t="str">
        <f>INDEX(Input!$1:$1048576,AW$93,$C580*2+6)</f>
        <v>Kia</v>
      </c>
      <c r="AX580" s="41" t="str">
        <f>INDEX(Input!$1:$1048576,AX$93,$C580*2+6)</f>
        <v>Kia-LR - R2</v>
      </c>
      <c r="AY580" s="41" t="str">
        <f>IF(LEN(D580)=0,"",INDEX(Input!$1:$1048576,AY$93,$C580*2+6))</f>
        <v>Compact SUV (52)</v>
      </c>
      <c r="AZ580" s="41" t="str">
        <f>INDEX(Input!$1:$1048576,AZ$93,$C580*2+6)</f>
        <v>Kia Soul</v>
      </c>
      <c r="BA580" s="3">
        <f>INDEX(Input!$1:$1048576,BA$93,$C580*2+6)</f>
        <v>2020</v>
      </c>
      <c r="BB580" s="128">
        <f>INDEX(Input!$1:$1048576,BB$93,$C580*2+6)</f>
        <v>1</v>
      </c>
      <c r="BC580" s="128">
        <f>INDEX(Input!$1:$1048576,BC$93,$C580*2+6)</f>
        <v>0.7</v>
      </c>
      <c r="BD580" s="1">
        <f>INDEX(Input!$1:$1048576,BD$93,$C580*2+6)</f>
        <v>4.4999999999999998E-2</v>
      </c>
      <c r="BE580" s="1">
        <f>INDEX(Input!$1:$1048576,BE$93,$C580*2+6)</f>
        <v>4.4999999999999998E-2</v>
      </c>
      <c r="BF580" s="1">
        <f>INDEX(Input!$1:$1048576,BF$93,$C580*2+6)</f>
        <v>0.05</v>
      </c>
      <c r="BG580" s="1">
        <f>INDEX(Input!$1:$1048576,BG$93,$C580*2+6)</f>
        <v>5.45E-2</v>
      </c>
      <c r="BH580" s="1">
        <f>INDEX(Input!$1:$1048576,BH$93,$C580*2+6)</f>
        <v>5.45E-2</v>
      </c>
      <c r="BI580" s="1">
        <f>INDEX(Input!$1:$1048576,BI$93,$C580*2+6)</f>
        <v>0.05</v>
      </c>
      <c r="BJ580" s="1">
        <f>INDEX(Input!$1:$1048576,BJ$93,$C580*2+6)</f>
        <v>0.05</v>
      </c>
      <c r="BK580" s="1">
        <f>INDEX(Input!$1:$1048576,BK$93,$C580*2+6)</f>
        <v>0.05</v>
      </c>
      <c r="BL580" s="1">
        <f>INDEX(Input!$1:$1048576,BL$93,$C580*2+6)</f>
        <v>5.5E-2</v>
      </c>
      <c r="BM580" s="1">
        <f>INDEX(Input!$1:$1048576,BM$93,$C580*2+6)</f>
        <v>0.06</v>
      </c>
      <c r="BN580" s="1">
        <f>INDEX(Input!$1:$1048576,BN$93,$C580*2+6)</f>
        <v>4.4999999999999998E-2</v>
      </c>
      <c r="BO580" s="1">
        <f>INDEX(Input!$1:$1048576,BO$93,$C580*2+6)</f>
        <v>4.4999999999999998E-2</v>
      </c>
      <c r="BP580" s="1">
        <f>INDEX(Input!$1:$1048576,BP$93,$C580*2+6)</f>
        <v>0.05</v>
      </c>
      <c r="BQ580" s="1">
        <f>INDEX(Input!$1:$1048576,BQ$93,$C580*2+6)</f>
        <v>5.45E-2</v>
      </c>
      <c r="BR580" s="1">
        <f>INDEX(Input!$1:$1048576,BR$93,$C580*2+6)</f>
        <v>5.45E-2</v>
      </c>
      <c r="BS580" s="1">
        <f>INDEX(Input!$1:$1048576,BS$93,$C580*2+6)</f>
        <v>0.05</v>
      </c>
      <c r="BT580" s="1">
        <f>INDEX(Input!$1:$1048576,BT$93,$C580*2+6)</f>
        <v>0.05</v>
      </c>
      <c r="BU580" s="1">
        <f>INDEX(Input!$1:$1048576,BU$93,$C580*2+6)</f>
        <v>0.05</v>
      </c>
      <c r="BV580" s="1">
        <f>INDEX(Input!$1:$1048576,BV$93,$C580*2+6)</f>
        <v>5.5E-2</v>
      </c>
      <c r="BW580" s="1">
        <f>INDEX(Input!$1:$1048576,BW$93,$C580*2+6)</f>
        <v>0.06</v>
      </c>
      <c r="BX580" s="127">
        <f>INDEX(Input!$1:$1048576,BX$93,$C580*2+6)</f>
        <v>19985</v>
      </c>
      <c r="BY580" s="20">
        <f>INDEX(Input!$1:$1048576,BY$93,$C580*2+6)</f>
        <v>0.1</v>
      </c>
      <c r="BZ580" s="20">
        <f>INDEX(Input!$1:$1048576,BZ$93,$C580*2+6)</f>
        <v>0.1</v>
      </c>
      <c r="CA580" s="20">
        <f>INDEX(Input!$1:$1048576,CA$93,$C580*2+6)</f>
        <v>0.1</v>
      </c>
      <c r="CB580" s="20">
        <f>INDEX(Input!$1:$1048576,CB$93,$C580*2+6)</f>
        <v>0.1</v>
      </c>
      <c r="CC580" s="20">
        <f>INDEX(Input!$1:$1048576,CC$93,$C580*2+6)</f>
        <v>0.1</v>
      </c>
      <c r="CD580" s="384">
        <f>INDEX(Input!$1:$1048576,CD$93,$C580*2+6)</f>
        <v>0.1</v>
      </c>
      <c r="CE580" s="384">
        <f>INDEX(Input!$1:$1048576,CE$93,$C580*2+6)</f>
        <v>0.1</v>
      </c>
      <c r="CF580" s="384">
        <f>INDEX(Input!$1:$1048576,CF$93,$C580*2+6)</f>
        <v>0.1</v>
      </c>
      <c r="CG580" s="384">
        <f>INDEX(Input!$1:$1048576,CG$93,$C580*2+6)</f>
        <v>0.1</v>
      </c>
      <c r="CH580" s="384">
        <f>INDEX(Input!$1:$1048576,CH$93,$C580*2+6)</f>
        <v>0.1</v>
      </c>
      <c r="CI580" s="304">
        <f t="shared" si="1527"/>
        <v>1277.4263093788063</v>
      </c>
      <c r="CJ580" s="16" t="str">
        <f>INDEX(Input!$1:$1048576,CJ$93,$C580*2+6)</f>
        <v>N</v>
      </c>
      <c r="CK580" s="1" t="str">
        <f t="shared" si="1528"/>
        <v>Market</v>
      </c>
      <c r="CL580" s="1" t="str">
        <f t="shared" si="1529"/>
        <v>Market</v>
      </c>
      <c r="CM580" s="1" t="str">
        <f t="shared" si="1530"/>
        <v>Market</v>
      </c>
      <c r="CN580" s="1" t="str">
        <f t="shared" si="1531"/>
        <v>Market</v>
      </c>
      <c r="CO580" s="1" t="str">
        <f t="shared" si="1532"/>
        <v>Market</v>
      </c>
      <c r="CP580" s="304">
        <f t="shared" si="1533"/>
        <v>500</v>
      </c>
      <c r="CQ580" s="1">
        <f t="shared" si="1534"/>
        <v>0</v>
      </c>
      <c r="CR580" s="1">
        <f t="shared" si="1535"/>
        <v>0</v>
      </c>
      <c r="CS580" s="1">
        <f t="shared" si="1536"/>
        <v>9.0000000000000011E-3</v>
      </c>
      <c r="CT580" s="1">
        <f t="shared" si="1537"/>
        <v>2.8999999999999998E-2</v>
      </c>
      <c r="CU580" s="1">
        <f t="shared" si="1538"/>
        <v>3.9E-2</v>
      </c>
      <c r="CV580" s="304">
        <f t="shared" si="1539"/>
        <v>-1077.9364173925233</v>
      </c>
      <c r="CW580" s="20" t="s">
        <v>122</v>
      </c>
      <c r="CX580" s="20" t="s">
        <v>122</v>
      </c>
      <c r="CY580" s="20" t="s">
        <v>122</v>
      </c>
      <c r="CZ580" s="20" t="s">
        <v>122</v>
      </c>
      <c r="DA580" s="20" t="s">
        <v>122</v>
      </c>
      <c r="DB580" s="503">
        <f t="shared" si="1540"/>
        <v>0</v>
      </c>
      <c r="DC580" s="127">
        <v>0</v>
      </c>
      <c r="DD580" s="127">
        <v>0</v>
      </c>
      <c r="DE580" s="127">
        <v>0</v>
      </c>
      <c r="DF580" s="127">
        <v>0</v>
      </c>
      <c r="DG580" s="127">
        <v>0</v>
      </c>
      <c r="DH580" s="127">
        <v>0</v>
      </c>
      <c r="DI580" s="127">
        <v>0</v>
      </c>
      <c r="DJ580" s="127">
        <v>0</v>
      </c>
      <c r="DK580" s="127">
        <v>0</v>
      </c>
      <c r="DL580" s="127">
        <v>0</v>
      </c>
      <c r="DM580" s="304">
        <f>INDEX(Input!$1:$1048576,DM$93,$C580*2+6)</f>
        <v>21036.84210526316</v>
      </c>
      <c r="DN580" s="20">
        <v>0</v>
      </c>
      <c r="DO580" s="20">
        <v>0</v>
      </c>
      <c r="DP580" s="20">
        <v>0</v>
      </c>
      <c r="DQ580" s="20">
        <v>0</v>
      </c>
      <c r="DR580" s="20">
        <v>0</v>
      </c>
      <c r="DS580" s="20">
        <f>INDEX(Input!$1:$1048576,DS$93,$C580*2+6)</f>
        <v>0.6</v>
      </c>
      <c r="DT580" s="20">
        <f>INDEX(Input!$1:$1048576,DT$93,$C580*2+6)</f>
        <v>0.55000000000000004</v>
      </c>
      <c r="DU580" s="20">
        <f>INDEX(Input!$1:$1048576,DU$93,$C580*2+6)</f>
        <v>0.52</v>
      </c>
      <c r="DV580" s="20">
        <f>INDEX(Input!$1:$1048576,DV$93,$C580*2+6)</f>
        <v>0.5</v>
      </c>
      <c r="DW580" s="20">
        <f>INDEX(Input!$1:$1048576,DW$93,$C580*2+6)</f>
        <v>0.45</v>
      </c>
      <c r="DX580" s="20"/>
      <c r="DY580" s="7">
        <v>0.1232455196187385</v>
      </c>
      <c r="DZ580" s="7">
        <v>0</v>
      </c>
      <c r="EA580" s="7">
        <v>0.75821823892444273</v>
      </c>
      <c r="EB580" s="7">
        <v>0</v>
      </c>
      <c r="EC580" s="7">
        <v>0</v>
      </c>
      <c r="ED580" s="7">
        <v>0</v>
      </c>
      <c r="EE580" s="7">
        <v>0</v>
      </c>
      <c r="EF580" s="7">
        <v>0</v>
      </c>
      <c r="EG580" s="7">
        <v>0</v>
      </c>
      <c r="EH580" s="7">
        <v>1.6542043121275628E-2</v>
      </c>
      <c r="EI580" s="7">
        <v>4.5996761604846524E-2</v>
      </c>
      <c r="EJ580" s="7">
        <v>0.29039934860686351</v>
      </c>
      <c r="EK580" s="7">
        <v>0.4759605624285787</v>
      </c>
      <c r="EL580" s="7">
        <v>0.17110128423843554</v>
      </c>
      <c r="EM580" s="7">
        <v>5.7137051589273444E-2</v>
      </c>
      <c r="EN580" s="7">
        <v>5.7488076513218307E-2</v>
      </c>
      <c r="EO580" s="7">
        <v>0.70689999717122143</v>
      </c>
      <c r="EP580" s="7">
        <v>9.4492612801352807E-2</v>
      </c>
      <c r="EQ580" s="7">
        <v>9.307956664154865E-2</v>
      </c>
      <c r="ER580" s="7">
        <v>4.8039746872658468E-2</v>
      </c>
      <c r="ES580" s="7">
        <v>6.139918986754541E-2</v>
      </c>
      <c r="ET580" s="7">
        <v>0.11853624145681874</v>
      </c>
      <c r="EU580" s="6">
        <v>1270</v>
      </c>
      <c r="EV580" s="6">
        <v>0</v>
      </c>
      <c r="EW580" s="6">
        <v>1270</v>
      </c>
      <c r="EX580" s="6">
        <v>0</v>
      </c>
      <c r="EY580" s="6">
        <v>1631.5523483706068</v>
      </c>
      <c r="EZ580" s="6">
        <v>-366.44990394013166</v>
      </c>
      <c r="FA580" s="6">
        <v>0</v>
      </c>
      <c r="FB580" s="6">
        <v>0</v>
      </c>
      <c r="FC580" s="6">
        <v>0</v>
      </c>
      <c r="FD580" s="6">
        <v>0</v>
      </c>
      <c r="FE580" s="6">
        <v>0</v>
      </c>
      <c r="FF580" s="6">
        <v>0</v>
      </c>
      <c r="FG580" s="6">
        <v>0</v>
      </c>
      <c r="FH580" s="6">
        <v>1172.1421107816698</v>
      </c>
      <c r="FI580" s="6">
        <v>1553.9796069512399</v>
      </c>
      <c r="FJ580" s="6">
        <v>1735.1562230702798</v>
      </c>
      <c r="FK580" s="6">
        <v>1284.968747058685</v>
      </c>
      <c r="FL580" s="6">
        <v>907.07682140966313</v>
      </c>
      <c r="FM580" s="6">
        <v>1361.5523483706068</v>
      </c>
      <c r="FN580" s="6">
        <v>0</v>
      </c>
      <c r="FO580" s="6">
        <v>0</v>
      </c>
      <c r="FP580" s="6">
        <v>0</v>
      </c>
      <c r="FQ580" s="6">
        <v>0</v>
      </c>
      <c r="FR580" s="6">
        <v>0</v>
      </c>
      <c r="FS580" s="6">
        <v>0</v>
      </c>
      <c r="FT580" s="7">
        <v>0.88146375854318126</v>
      </c>
      <c r="FU580" s="7">
        <v>5.7137051589273444E-2</v>
      </c>
      <c r="FV580" s="7">
        <v>6.139918986754541E-2</v>
      </c>
      <c r="FW580" s="6">
        <v>1270</v>
      </c>
      <c r="FX580" s="6">
        <v>1631.5523483706068</v>
      </c>
      <c r="FY580" s="6">
        <v>-366.44990394013166</v>
      </c>
      <c r="FZ580" s="6">
        <v>1758.1538569113241</v>
      </c>
      <c r="GA580" s="6">
        <v>1190.1813368203279</v>
      </c>
      <c r="GB580" s="6">
        <v>18794.818663179671</v>
      </c>
      <c r="GC580" s="7">
        <v>3.064145122680037E-2</v>
      </c>
      <c r="GD580" s="7">
        <v>2.9087566932525077E-2</v>
      </c>
      <c r="GE580" s="7"/>
      <c r="GF580" s="7"/>
      <c r="GG580" s="7">
        <v>-5.0711837464023163E-2</v>
      </c>
      <c r="GH580" s="42">
        <v>1.7843751869476567</v>
      </c>
      <c r="GI580" s="6">
        <v>12390.18016340469</v>
      </c>
      <c r="GJ580" s="14">
        <v>0.50394797582841699</v>
      </c>
      <c r="GK580" s="14">
        <v>0.50887573065309721</v>
      </c>
      <c r="GL580" s="14">
        <v>0.49605202417158262</v>
      </c>
      <c r="GM580" s="14">
        <v>0.49112426934690229</v>
      </c>
      <c r="GO580" s="5">
        <v>343.14810671672558</v>
      </c>
      <c r="GP580" s="5">
        <v>318.91892952659737</v>
      </c>
      <c r="GQ580" s="5">
        <v>535.04305713031317</v>
      </c>
      <c r="GR580" s="5">
        <v>410.15490233172511</v>
      </c>
      <c r="GS580" s="5">
        <v>339.42744393800166</v>
      </c>
      <c r="GT580" s="5">
        <v>293.4407446948278</v>
      </c>
      <c r="GU580" s="5">
        <v>258.04012322764959</v>
      </c>
      <c r="GV580" s="39" t="s">
        <v>392</v>
      </c>
      <c r="GW580" s="5">
        <v>492.125</v>
      </c>
      <c r="GX580" s="5">
        <v>369.09375</v>
      </c>
      <c r="GY580" s="5">
        <v>302.07920908968697</v>
      </c>
      <c r="GZ580" s="5">
        <v>268.3868982438774</v>
      </c>
      <c r="HA580" s="5">
        <v>241.34874471337258</v>
      </c>
      <c r="HB580" s="39">
        <v>281.87813495337815</v>
      </c>
      <c r="HC580" s="5">
        <v>303.31655829738077</v>
      </c>
      <c r="HD580" s="5">
        <v>250.74799238008356</v>
      </c>
      <c r="HE580" s="5">
        <v>251.12245558578954</v>
      </c>
      <c r="HF580" s="5">
        <v>229.38290951107166</v>
      </c>
      <c r="HG580" s="5">
        <v>217.65500473779989</v>
      </c>
      <c r="HH580" s="39">
        <v>250.2270107221286</v>
      </c>
      <c r="HI580" s="16"/>
      <c r="HJ580" s="19" t="str">
        <f t="shared" ref="HJ580:HK580" si="1656">HJ579</f>
        <v>On</v>
      </c>
      <c r="HK580" s="1" t="str">
        <f t="shared" si="1656"/>
        <v>On</v>
      </c>
      <c r="HL580" s="16"/>
      <c r="HM580" s="639">
        <f t="shared" si="1605"/>
        <v>2.4909940070666322E-2</v>
      </c>
      <c r="HN580" s="639">
        <f t="shared" si="1606"/>
        <v>2.2052381276269151E-3</v>
      </c>
      <c r="HO580" s="639">
        <f t="shared" si="1607"/>
        <v>2.079866082302006E-3</v>
      </c>
      <c r="HP580" s="644">
        <f>(FT580*$GD580-HM580)/$JF580*INDEX(Input!$1:$1048576,$JG$93,$C580*2+6)</f>
        <v>20.519935300686555</v>
      </c>
      <c r="HQ580" s="644">
        <f>(FU580*$GD580-HN580)/$JF580*INDEX(Input!$1:$1048576,$JG$93,$C580*2+6)</f>
        <v>-15.277137944709677</v>
      </c>
      <c r="HR580" s="644">
        <f>(FV580*$GD580-HO580)/$JF580*INDEX(Input!$1:$1048576,$JG$93,$C580*2+6)</f>
        <v>-8.2651905374201142</v>
      </c>
      <c r="HS580" s="644">
        <f t="shared" si="1598"/>
        <v>-1.3101728106022184</v>
      </c>
      <c r="HT580" s="644">
        <f t="shared" si="1644"/>
        <v>-21.026438032169867</v>
      </c>
      <c r="HU580" s="644">
        <f t="shared" si="1609"/>
        <v>-2.5002791745880368</v>
      </c>
      <c r="HV580" s="648">
        <f t="shared" si="1610"/>
        <v>0</v>
      </c>
      <c r="HW580" s="648">
        <f t="shared" si="1611"/>
        <v>0</v>
      </c>
      <c r="HX580" s="648">
        <f t="shared" si="1612"/>
        <v>0</v>
      </c>
      <c r="HY580" s="644">
        <f>INDEX(Input!$1:$1048576,HY$93,$C580*2+6)*INDEX(Input!$1:$1048576,$JG$93,$C580*2+6)</f>
        <v>333.00000000000006</v>
      </c>
      <c r="HZ580" s="644">
        <f>INDEX(Input!$1:$1048576,HZ$93,$C580*2+6)*INDEX(Input!$1:$1048576,$JG$93,$C580*2+6)</f>
        <v>429</v>
      </c>
      <c r="IA580" s="644">
        <f>INDEX(Input!$1:$1048576,IA$93,$C580*2+6)*INDEX(Input!$1:$1048576,$JG$93,$C580*2+6)</f>
        <v>59</v>
      </c>
      <c r="IB580" s="644">
        <f t="shared" si="1551"/>
        <v>352.20976249008447</v>
      </c>
      <c r="IC580" s="644">
        <f t="shared" si="1552"/>
        <v>392.69642402312041</v>
      </c>
      <c r="ID580" s="644">
        <f>IF(AND(INDEX(Input!$1:$1048576,IA$93,$C580*2+7)="TOS",Y580&lt;=INDEX(Y:Y,MATCH(C580*1000+2,A:A))),0,1)*MAX(IA580+HR580+HU580+HX580,0%)</f>
        <v>48.234530287991852</v>
      </c>
      <c r="IE580" s="128">
        <f t="shared" si="1645"/>
        <v>0.44406970292809589</v>
      </c>
      <c r="IF580" s="128">
        <f t="shared" si="1646"/>
        <v>0.49511570356253826</v>
      </c>
      <c r="IG580" s="128">
        <f t="shared" si="1555"/>
        <v>6.0814593509365869E-2</v>
      </c>
      <c r="IH580" s="21"/>
      <c r="II580" s="19">
        <f t="shared" si="1613"/>
        <v>1240</v>
      </c>
      <c r="IJ580" s="19">
        <f t="shared" si="1614"/>
        <v>1985.7442651839444</v>
      </c>
      <c r="IK580" s="19">
        <f t="shared" si="1615"/>
        <v>-21.44990394013189</v>
      </c>
      <c r="IL580" s="19">
        <f t="shared" si="1556"/>
        <v>30</v>
      </c>
      <c r="IM580" s="19">
        <f t="shared" si="1557"/>
        <v>-354.19191681333768</v>
      </c>
      <c r="IN580" s="19">
        <f t="shared" si="1558"/>
        <v>-344.99999999999977</v>
      </c>
      <c r="IO580" s="39">
        <f t="shared" si="1616"/>
        <v>0</v>
      </c>
      <c r="IP580" s="39">
        <f t="shared" si="1617"/>
        <v>0</v>
      </c>
      <c r="IQ580" s="39">
        <f t="shared" si="1618"/>
        <v>0</v>
      </c>
      <c r="IR580" s="39">
        <v>0</v>
      </c>
      <c r="IS580" s="39">
        <v>0</v>
      </c>
      <c r="IT580" s="39">
        <v>0</v>
      </c>
      <c r="IU580" s="39">
        <v>0</v>
      </c>
      <c r="IV580" s="39">
        <v>0</v>
      </c>
      <c r="IW580" s="39">
        <v>0</v>
      </c>
      <c r="IX580" s="39">
        <f>INDEX(Input!$1:$1048576,IX$93,$C580*2+6)+INDEX(Input!$1:$1048576,IX$94,$C580*2+6)</f>
        <v>1270</v>
      </c>
      <c r="IY580" s="39">
        <f>INDEX(Input!$1:$1048576,IY$93,$C580*2+6)+INDEX(Input!$1:$1048576,IY$94,$C580*2+6)</f>
        <v>2130.0624533823611</v>
      </c>
      <c r="IZ580" s="39">
        <f>INDEX(Input!$1:$1048576,IZ$93,$C580*2+6)+INDEX(Input!$1:$1048576,IZ$94,$C580*2+6)</f>
        <v>3653.7164157747857</v>
      </c>
      <c r="JA580" s="19">
        <f t="shared" si="1559"/>
        <v>1300</v>
      </c>
      <c r="JB580" s="19">
        <f t="shared" si="1560"/>
        <v>1775.8705365690234</v>
      </c>
      <c r="JC580" s="19">
        <f t="shared" si="1561"/>
        <v>3308.7164157747857</v>
      </c>
      <c r="JD580" s="19">
        <f t="shared" si="1562"/>
        <v>1657.7702478189888</v>
      </c>
      <c r="JE580" s="21"/>
      <c r="JF580" s="1">
        <f t="shared" si="1619"/>
        <v>2.9195044280595241E-2</v>
      </c>
      <c r="JG580" s="15">
        <f>INDEX(Input!$1:$1048576,JG$93,$C580*2+6)/(1+VLOOKUP(C580*1000+INDEX(Input!$1:$1048576,JG$93+1,$C580*2+6),$A:$KK,$JK$92,FALSE))</f>
        <v>821</v>
      </c>
      <c r="JH580" s="1">
        <f t="shared" si="1563"/>
        <v>-3.6813558848273285E-3</v>
      </c>
      <c r="JI580" s="1">
        <f t="shared" si="1564"/>
        <v>-3.0251997585091502E-2</v>
      </c>
      <c r="JJ580" s="1">
        <f t="shared" si="1565"/>
        <v>0</v>
      </c>
      <c r="JK580" s="1">
        <f t="shared" si="1566"/>
        <v>-3.3933353469918832E-2</v>
      </c>
      <c r="JL580" s="15">
        <f t="shared" si="1567"/>
        <v>-27.859283198803361</v>
      </c>
      <c r="JM580" s="15">
        <f t="shared" si="1568"/>
        <v>793.14071680119662</v>
      </c>
      <c r="JN580" s="21"/>
      <c r="JO580" s="19">
        <f>INDEX(Input!$1:$1048576,JO$93,$C580*2+6)</f>
        <v>5995.5</v>
      </c>
      <c r="JP580" s="19">
        <f>INDEX(Input!$1:$1048576,JP$93,$C580*2+6)</f>
        <v>1890.7138380411029</v>
      </c>
      <c r="JQ580" s="39">
        <f t="shared" si="1569"/>
        <v>4337.7297521810115</v>
      </c>
      <c r="JR580" s="39">
        <f t="shared" si="1570"/>
        <v>-232.94359022211415</v>
      </c>
      <c r="JS580" s="39">
        <f t="shared" si="1571"/>
        <v>1.3148450826468501</v>
      </c>
      <c r="JT580" s="39">
        <f t="shared" si="1572"/>
        <v>-0.23743097838489549</v>
      </c>
      <c r="JU580" s="385">
        <f>(JQ580*JM580-INDEX(Input!$1:$1048576,Input!A$18,$C580*2+6)*JL580*INDEX(Input!$1:$1048576,Input!A$19,$C580*2+6))/1000000</f>
        <v>3.4404300849347247</v>
      </c>
      <c r="JV580" s="39">
        <f t="shared" si="1573"/>
        <v>7.0400645966470332E-2</v>
      </c>
      <c r="JW580" s="1">
        <f t="shared" si="1574"/>
        <v>2.0890216908023132E-2</v>
      </c>
      <c r="JX580" s="19">
        <f t="shared" si="1575"/>
        <v>8522.5085186360393</v>
      </c>
      <c r="JZ580" s="341"/>
      <c r="KA580" s="342"/>
      <c r="KB580" s="469">
        <f t="shared" si="1576"/>
        <v>2.5122967434604799</v>
      </c>
      <c r="KI580" s="473">
        <f t="shared" si="1647"/>
        <v>19.209762490084358</v>
      </c>
      <c r="KJ580" s="473">
        <f t="shared" si="1648"/>
        <v>-36.303575976879642</v>
      </c>
      <c r="KK580" s="473">
        <f t="shared" si="1579"/>
        <v>-10.765469712008155</v>
      </c>
      <c r="KN580" s="544">
        <f t="shared" si="1580"/>
        <v>5002</v>
      </c>
      <c r="KO580" s="541">
        <f t="shared" si="1620"/>
        <v>-3.7850876933887667E-2</v>
      </c>
      <c r="KP580" s="546">
        <f t="shared" si="1621"/>
        <v>-212.11343414270738</v>
      </c>
      <c r="KQ580" s="546">
        <f t="shared" si="1622"/>
        <v>-261.1485179042777</v>
      </c>
      <c r="KR580" s="548">
        <f t="shared" si="1623"/>
        <v>3.22382700671454</v>
      </c>
      <c r="KS580" s="548">
        <f t="shared" si="1624"/>
        <v>2.6184985576938056</v>
      </c>
      <c r="KT580" s="473">
        <f t="shared" si="1581"/>
        <v>595.94378802984284</v>
      </c>
      <c r="KU580" s="663">
        <f t="shared" si="1626"/>
        <v>3.9891775906648759</v>
      </c>
    </row>
    <row r="581" spans="1:307" s="26" customFormat="1" ht="15" outlineLevel="1">
      <c r="A581" s="561">
        <f t="shared" si="1652"/>
        <v>5081</v>
      </c>
      <c r="B581" s="561">
        <f t="shared" si="1627"/>
        <v>81</v>
      </c>
      <c r="C581" s="561">
        <f t="shared" si="1628"/>
        <v>5</v>
      </c>
      <c r="D581" s="561" t="str">
        <f t="shared" si="1509"/>
        <v xml:space="preserve">-250 CC, 0.9/1.9/2.9/3.9, -360 Lease, </v>
      </c>
      <c r="E581" s="475">
        <f>INDEX(Input!$1:$1048576,E$93,$C581*2+MIN($B581,2)+5)
+INDEX(Scenarios!E$121:E$200,MATCH($B581,Scenarios!$B$121:$B$200,0))</f>
        <v>1027.4263093788063</v>
      </c>
      <c r="F581" s="475">
        <f>INDEX(Input!$1:$1048576,F$93,$C581*2+MIN($B581,2)+5)
+INDEX(Scenarios!F$121:F$200,MATCH($B581,Scenarios!$B$121:$B$200,0))</f>
        <v>0</v>
      </c>
      <c r="G581" s="475">
        <f>INDEX(Input!$1:$1048576,G$93,$C581*2+MIN($B581,2)+5)
+INDEX(Scenarios!G$121:G$200,MATCH($B581,Scenarios!$B$121:$B$200,0))</f>
        <v>0</v>
      </c>
      <c r="H581" s="475">
        <f>INDEX(Input!$1:$1048576,H$93,$C581*2+MIN($B581,2)+5)
+INDEX(Scenarios!H$121:H$200,MATCH($B581,Scenarios!$B$121:$B$200,0))</f>
        <v>0</v>
      </c>
      <c r="I581" s="476">
        <f>INDEX(Input!$1:$1048576,I$93,$C581*2+MIN($B581,2)+5)</f>
        <v>0.7</v>
      </c>
      <c r="J581" s="476" t="str">
        <f>INDEX(Input!$1:$1048576,J$93,$C581*2+MIN($B581,2)+5)</f>
        <v>Market</v>
      </c>
      <c r="K581" s="476" t="str">
        <f>INDEX(Input!$1:$1048576,K$93,$C581*2+MIN($B581,2)+5)</f>
        <v>Market</v>
      </c>
      <c r="L581" s="476" t="str">
        <f>INDEX(Input!$1:$1048576,L$93,$C581*2+MIN($B581,2)+5)</f>
        <v>Market</v>
      </c>
      <c r="M581" s="476" t="str">
        <f>INDEX(Input!$1:$1048576,M$93,$C581*2+MIN($B581,2)+5)</f>
        <v>Market</v>
      </c>
      <c r="N581" s="476" t="str">
        <f>INDEX(Input!$1:$1048576,N$93,$C581*2+MIN($B581,2)+5)</f>
        <v>Market</v>
      </c>
      <c r="O581" s="476" t="str">
        <f>INDEX(Input!$1:$1048576,O$93,$C581*2+MIN($B581,2)+5)</f>
        <v>Market</v>
      </c>
      <c r="P581" s="476" t="str">
        <f>INDEX(Input!$1:$1048576,P$93,$C581*2+MIN($B581,2)+5)</f>
        <v>N</v>
      </c>
      <c r="Q581" s="477">
        <f>INDEX(Input!$1:$1048576,Q$93,$C581*2+MIN($B581,2)+5)
+INDEX(Scenarios!Q$121:Q$200,MATCH($B581,Scenarios!$B$121:$B$200,0))</f>
        <v>0</v>
      </c>
      <c r="R581" s="478">
        <f>IFERROR(MAX(0,INDEX(Input!$1:$1048576,R$93,$C581*2+MIN($B581,2)+5)
+INDEX(Scenarios!R$121:R$200,MATCH($B581,Scenarios!$B$121:$B$200,0)),),"Market")</f>
        <v>0</v>
      </c>
      <c r="S581" s="478">
        <f>IFERROR(MAX(0,INDEX(Input!$1:$1048576,S$93,$C581*2+MIN($B581,2)+5)
+INDEX(Scenarios!S$121:S$200,MATCH($B581,Scenarios!$B$121:$B$200,0)),),"Market")</f>
        <v>0</v>
      </c>
      <c r="T581" s="478">
        <f>IFERROR(MAX(0,INDEX(Input!$1:$1048576,T$93,$C581*2+MIN($B581,2)+5)
+INDEX(Scenarios!T$121:T$200,MATCH($B581,Scenarios!$B$121:$B$200,0)),),"Market")</f>
        <v>0</v>
      </c>
      <c r="U581" s="478">
        <f>IFERROR(MAX(0,INDEX(Input!$1:$1048576,U$93,$C581*2+MIN($B581,2)+5)
+INDEX(Scenarios!U$121:U$200,MATCH($B581,Scenarios!$B$121:$B$200,0)),),"Market")</f>
        <v>9.0000000000000011E-3</v>
      </c>
      <c r="V581" s="478">
        <f>IFERROR(MAX(0,INDEX(Input!$1:$1048576,V$93,$C581*2+MIN($B581,2)+5)
+INDEX(Scenarios!V$121:V$200,MATCH($B581,Scenarios!$B$121:$B$200,0)),),"Market")</f>
        <v>2.8999999999999998E-2</v>
      </c>
      <c r="W581" s="885">
        <f>IFERROR(MAX(0,INDEX(Input!$1:$1048576,W$93,$C581*2+MIN($B581,2)+5)-0%,),"Market")</f>
        <v>3.9E-2</v>
      </c>
      <c r="X581" s="476" t="str">
        <f>INDEX(Input!$1:$1048576,X$93,$C581*2+MIN($B581,2)+5)</f>
        <v>Y</v>
      </c>
      <c r="Y581" s="475">
        <f>INDEX(Input!$1:$1048576,Y$93,$C581*2+MIN($B581,2)+5)
++INDEX(Scenarios!Y$121:Y$200,MATCH($B581,Scenarios!$B$121:$B$200,0))</f>
        <v>-1077.9364173925233</v>
      </c>
      <c r="Z581" s="477">
        <f>INDEX(Input!$1:$1048576,Z$93,$C581*2+MIN($B581,2)+5)
+INDEX(Scenarios!Z$121:Z$200,MATCH($B581,Scenarios!$B$121:$B$200,0))</f>
        <v>0</v>
      </c>
      <c r="AA581" s="475">
        <f>INDEX(Input!$1:$1048576,AA$93,$C581*2+MIN($B581,2)+5)
+INDEX(Scenarios!AA$121:AA$200,MATCH($B581,Scenarios!$B$121:$B$200,0))</f>
        <v>0</v>
      </c>
      <c r="AB581" s="476">
        <f>INDEX(Input!$1:$1048576,AB$93,$C581*2+MIN($B581,2)+5)</f>
        <v>0.27</v>
      </c>
      <c r="AC581" s="475">
        <f>INDEX(Input!$1:$1048576,AC$93,$C581*2+MIN($B581,2)+5)
+INDEX(Scenarios!AC$121:AC$200,MATCH($B581,Scenarios!$B$121:$B$200,0))</f>
        <v>0</v>
      </c>
      <c r="AD581" s="476">
        <f>INDEX(Input!$1:$1048576,AD$93,$C581*2+MIN($B581,2)+5)</f>
        <v>0.27</v>
      </c>
      <c r="AE581" s="475">
        <f>INDEX(Input!$1:$1048576,AE$93,$C581*2+MIN($B581,2)+5)
+INDEX(Scenarios!AE$121:AE$200,MATCH($B581,Scenarios!$B$121:$B$200,0))</f>
        <v>0</v>
      </c>
      <c r="AF581" s="476">
        <f>INDEX(Input!$1:$1048576,AF$93,$C581*2+MIN($B581,2)+5)</f>
        <v>0.2</v>
      </c>
      <c r="AG581" s="475">
        <f>INDEX(Input!$1:$1048576,AG$93,$C581*2+MIN($B581,2)+5)
+INDEX(Scenarios!AG$121:AG$200,MATCH($B581,Scenarios!$B$121:$B$200,0))</f>
        <v>500</v>
      </c>
      <c r="AH581" s="476">
        <f>INDEX(Input!$1:$1048576,AH$93,$C581*2+MIN($B581,2)+5)</f>
        <v>1</v>
      </c>
      <c r="AI581" s="475">
        <f>INDEX(Input!$1:$1048576,AI$93,$C581*2+MIN($B581,2)+5)
+INDEX(Scenarios!AI$121:AI$200,MATCH($B581,Scenarios!$B$121:$B$200,0))</f>
        <v>0</v>
      </c>
      <c r="AJ581" s="476">
        <f>INDEX(Input!$1:$1048576,AJ$93,$C581*2+MIN($B581,2)+5)</f>
        <v>0.27</v>
      </c>
      <c r="AK581" s="150">
        <f>ROUND(INDEX(Input!$1:$1048576,AK$93,$C580*2+MIN($B581,1)+5)+(Y581-VLOOKUP($C581*1000+1,$A:$HH,Y$92,FALSE)),0)</f>
        <v>2227</v>
      </c>
      <c r="AL581" s="150">
        <f>ROUND(INDEX(Input!$1:$1048576,AL$93,$C580*2+MIN($B581,1)+5)-(Y581-VLOOKUP($C581*1000+1,$A:$HH,Y$92,FALSE))/36,0)</f>
        <v>3416</v>
      </c>
      <c r="AM581" s="32" t="str">
        <f t="shared" si="1653"/>
        <v>std/std/std/std</v>
      </c>
      <c r="AN581" s="32" t="str">
        <f t="shared" si="1654"/>
        <v>$0 + 0/0/0.9/2.9/3.9</v>
      </c>
      <c r="AO581" s="32" t="str">
        <f t="shared" si="1655"/>
        <v>0/0/0.9/2.9/3.9</v>
      </c>
      <c r="AP581" s="32" t="str">
        <f t="shared" si="1526"/>
        <v>0.9/1.9/2.9/3.9</v>
      </c>
      <c r="AQ581" s="536">
        <f t="shared" si="1525"/>
        <v>0.42449180162599809</v>
      </c>
      <c r="AR581" s="32"/>
      <c r="AS581" s="302"/>
      <c r="AT581" s="3">
        <f t="shared" si="1629"/>
        <v>81</v>
      </c>
      <c r="AU581" s="41" t="s">
        <v>121</v>
      </c>
      <c r="AV581" s="41" t="s">
        <v>116</v>
      </c>
      <c r="AW581" s="41" t="str">
        <f>INDEX(Input!$1:$1048576,AW$93,$C581*2+6)</f>
        <v>Kia</v>
      </c>
      <c r="AX581" s="41" t="str">
        <f>INDEX(Input!$1:$1048576,AX$93,$C581*2+6)</f>
        <v>Kia-LR - R2</v>
      </c>
      <c r="AY581" s="41" t="str">
        <f>IF(LEN(D581)=0,"",INDEX(Input!$1:$1048576,AY$93,$C581*2+6))</f>
        <v>Compact SUV (52)</v>
      </c>
      <c r="AZ581" s="41" t="str">
        <f>INDEX(Input!$1:$1048576,AZ$93,$C581*2+6)</f>
        <v>Kia Soul</v>
      </c>
      <c r="BA581" s="3">
        <f>INDEX(Input!$1:$1048576,BA$93,$C581*2+6)</f>
        <v>2020</v>
      </c>
      <c r="BB581" s="128">
        <f>INDEX(Input!$1:$1048576,BB$93,$C581*2+6)</f>
        <v>1</v>
      </c>
      <c r="BC581" s="128">
        <f>INDEX(Input!$1:$1048576,BC$93,$C581*2+6)</f>
        <v>0.7</v>
      </c>
      <c r="BD581" s="1">
        <f>INDEX(Input!$1:$1048576,BD$93,$C581*2+6)</f>
        <v>4.4999999999999998E-2</v>
      </c>
      <c r="BE581" s="1">
        <f>INDEX(Input!$1:$1048576,BE$93,$C581*2+6)</f>
        <v>4.4999999999999998E-2</v>
      </c>
      <c r="BF581" s="1">
        <f>INDEX(Input!$1:$1048576,BF$93,$C581*2+6)</f>
        <v>0.05</v>
      </c>
      <c r="BG581" s="1">
        <f>INDEX(Input!$1:$1048576,BG$93,$C581*2+6)</f>
        <v>5.45E-2</v>
      </c>
      <c r="BH581" s="1">
        <f>INDEX(Input!$1:$1048576,BH$93,$C581*2+6)</f>
        <v>5.45E-2</v>
      </c>
      <c r="BI581" s="1">
        <f>INDEX(Input!$1:$1048576,BI$93,$C581*2+6)</f>
        <v>0.05</v>
      </c>
      <c r="BJ581" s="1">
        <f>INDEX(Input!$1:$1048576,BJ$93,$C581*2+6)</f>
        <v>0.05</v>
      </c>
      <c r="BK581" s="1">
        <f>INDEX(Input!$1:$1048576,BK$93,$C581*2+6)</f>
        <v>0.05</v>
      </c>
      <c r="BL581" s="1">
        <f>INDEX(Input!$1:$1048576,BL$93,$C581*2+6)</f>
        <v>5.5E-2</v>
      </c>
      <c r="BM581" s="1">
        <f>INDEX(Input!$1:$1048576,BM$93,$C581*2+6)</f>
        <v>0.06</v>
      </c>
      <c r="BN581" s="1">
        <f>INDEX(Input!$1:$1048576,BN$93,$C581*2+6)</f>
        <v>4.4999999999999998E-2</v>
      </c>
      <c r="BO581" s="1">
        <f>INDEX(Input!$1:$1048576,BO$93,$C581*2+6)</f>
        <v>4.4999999999999998E-2</v>
      </c>
      <c r="BP581" s="1">
        <f>INDEX(Input!$1:$1048576,BP$93,$C581*2+6)</f>
        <v>0.05</v>
      </c>
      <c r="BQ581" s="1">
        <f>INDEX(Input!$1:$1048576,BQ$93,$C581*2+6)</f>
        <v>5.45E-2</v>
      </c>
      <c r="BR581" s="1">
        <f>INDEX(Input!$1:$1048576,BR$93,$C581*2+6)</f>
        <v>5.45E-2</v>
      </c>
      <c r="BS581" s="1">
        <f>INDEX(Input!$1:$1048576,BS$93,$C581*2+6)</f>
        <v>0.05</v>
      </c>
      <c r="BT581" s="1">
        <f>INDEX(Input!$1:$1048576,BT$93,$C581*2+6)</f>
        <v>0.05</v>
      </c>
      <c r="BU581" s="1">
        <f>INDEX(Input!$1:$1048576,BU$93,$C581*2+6)</f>
        <v>0.05</v>
      </c>
      <c r="BV581" s="1">
        <f>INDEX(Input!$1:$1048576,BV$93,$C581*2+6)</f>
        <v>5.5E-2</v>
      </c>
      <c r="BW581" s="1">
        <f>INDEX(Input!$1:$1048576,BW$93,$C581*2+6)</f>
        <v>0.06</v>
      </c>
      <c r="BX581" s="127">
        <f>INDEX(Input!$1:$1048576,BX$93,$C581*2+6)</f>
        <v>19985</v>
      </c>
      <c r="BY581" s="20">
        <f>INDEX(Input!$1:$1048576,BY$93,$C581*2+6)</f>
        <v>0.1</v>
      </c>
      <c r="BZ581" s="20">
        <f>INDEX(Input!$1:$1048576,BZ$93,$C581*2+6)</f>
        <v>0.1</v>
      </c>
      <c r="CA581" s="20">
        <f>INDEX(Input!$1:$1048576,CA$93,$C581*2+6)</f>
        <v>0.1</v>
      </c>
      <c r="CB581" s="20">
        <f>INDEX(Input!$1:$1048576,CB$93,$C581*2+6)</f>
        <v>0.1</v>
      </c>
      <c r="CC581" s="20">
        <f>INDEX(Input!$1:$1048576,CC$93,$C581*2+6)</f>
        <v>0.1</v>
      </c>
      <c r="CD581" s="384">
        <f>INDEX(Input!$1:$1048576,CD$93,$C581*2+6)</f>
        <v>0.1</v>
      </c>
      <c r="CE581" s="384">
        <f>INDEX(Input!$1:$1048576,CE$93,$C581*2+6)</f>
        <v>0.1</v>
      </c>
      <c r="CF581" s="384">
        <f>INDEX(Input!$1:$1048576,CF$93,$C581*2+6)</f>
        <v>0.1</v>
      </c>
      <c r="CG581" s="384">
        <f>INDEX(Input!$1:$1048576,CG$93,$C581*2+6)</f>
        <v>0.1</v>
      </c>
      <c r="CH581" s="384">
        <f>INDEX(Input!$1:$1048576,CH$93,$C581*2+6)</f>
        <v>0.1</v>
      </c>
      <c r="CI581" s="304">
        <f t="shared" si="1527"/>
        <v>1027.4263093788063</v>
      </c>
      <c r="CJ581" s="16" t="str">
        <f>INDEX(Input!$1:$1048576,CJ$93,$C581*2+6)</f>
        <v>N</v>
      </c>
      <c r="CK581" s="1" t="str">
        <f t="shared" si="1528"/>
        <v>Market</v>
      </c>
      <c r="CL581" s="1" t="str">
        <f t="shared" si="1529"/>
        <v>Market</v>
      </c>
      <c r="CM581" s="1" t="str">
        <f t="shared" si="1530"/>
        <v>Market</v>
      </c>
      <c r="CN581" s="1" t="str">
        <f t="shared" si="1531"/>
        <v>Market</v>
      </c>
      <c r="CO581" s="1" t="str">
        <f t="shared" si="1532"/>
        <v>Market</v>
      </c>
      <c r="CP581" s="304">
        <f t="shared" si="1533"/>
        <v>500</v>
      </c>
      <c r="CQ581" s="1">
        <f t="shared" si="1534"/>
        <v>0</v>
      </c>
      <c r="CR581" s="1">
        <f t="shared" si="1535"/>
        <v>0</v>
      </c>
      <c r="CS581" s="1">
        <f t="shared" si="1536"/>
        <v>9.0000000000000011E-3</v>
      </c>
      <c r="CT581" s="1">
        <f t="shared" si="1537"/>
        <v>2.8999999999999998E-2</v>
      </c>
      <c r="CU581" s="1">
        <f t="shared" si="1538"/>
        <v>3.9E-2</v>
      </c>
      <c r="CV581" s="304">
        <f t="shared" si="1539"/>
        <v>-1077.9364173925233</v>
      </c>
      <c r="CW581" s="20" t="s">
        <v>122</v>
      </c>
      <c r="CX581" s="20" t="s">
        <v>122</v>
      </c>
      <c r="CY581" s="20" t="s">
        <v>122</v>
      </c>
      <c r="CZ581" s="20" t="s">
        <v>122</v>
      </c>
      <c r="DA581" s="20" t="s">
        <v>122</v>
      </c>
      <c r="DB581" s="503">
        <f t="shared" si="1540"/>
        <v>0</v>
      </c>
      <c r="DC581" s="127">
        <v>0</v>
      </c>
      <c r="DD581" s="127">
        <v>0</v>
      </c>
      <c r="DE581" s="127">
        <v>0</v>
      </c>
      <c r="DF581" s="127">
        <v>0</v>
      </c>
      <c r="DG581" s="127">
        <v>0</v>
      </c>
      <c r="DH581" s="127">
        <v>0</v>
      </c>
      <c r="DI581" s="127">
        <v>0</v>
      </c>
      <c r="DJ581" s="127">
        <v>0</v>
      </c>
      <c r="DK581" s="127">
        <v>0</v>
      </c>
      <c r="DL581" s="127">
        <v>0</v>
      </c>
      <c r="DM581" s="304">
        <f>INDEX(Input!$1:$1048576,DM$93,$C581*2+6)</f>
        <v>21036.84210526316</v>
      </c>
      <c r="DN581" s="20">
        <v>0</v>
      </c>
      <c r="DO581" s="20">
        <v>0</v>
      </c>
      <c r="DP581" s="20">
        <v>0</v>
      </c>
      <c r="DQ581" s="20">
        <v>0</v>
      </c>
      <c r="DR581" s="20">
        <v>0</v>
      </c>
      <c r="DS581" s="20">
        <f>INDEX(Input!$1:$1048576,DS$93,$C581*2+6)</f>
        <v>0.6</v>
      </c>
      <c r="DT581" s="20">
        <f>INDEX(Input!$1:$1048576,DT$93,$C581*2+6)</f>
        <v>0.55000000000000004</v>
      </c>
      <c r="DU581" s="20">
        <f>INDEX(Input!$1:$1048576,DU$93,$C581*2+6)</f>
        <v>0.52</v>
      </c>
      <c r="DV581" s="20">
        <f>INDEX(Input!$1:$1048576,DV$93,$C581*2+6)</f>
        <v>0.5</v>
      </c>
      <c r="DW581" s="20">
        <f>INDEX(Input!$1:$1048576,DW$93,$C581*2+6)</f>
        <v>0.45</v>
      </c>
      <c r="DX581" s="20"/>
      <c r="DY581" s="7">
        <v>0.11840407538718246</v>
      </c>
      <c r="DZ581" s="7">
        <v>0</v>
      </c>
      <c r="EA581" s="7">
        <v>0.74745523029085037</v>
      </c>
      <c r="EB581" s="7">
        <v>0</v>
      </c>
      <c r="EC581" s="7">
        <v>0</v>
      </c>
      <c r="ED581" s="7">
        <v>0</v>
      </c>
      <c r="EE581" s="7">
        <v>0</v>
      </c>
      <c r="EF581" s="7">
        <v>0</v>
      </c>
      <c r="EG581" s="7">
        <v>0</v>
      </c>
      <c r="EH581" s="7">
        <v>1.6540904882392862E-2</v>
      </c>
      <c r="EI581" s="7">
        <v>4.5990635630198985E-2</v>
      </c>
      <c r="EJ581" s="7">
        <v>0.29036737148200364</v>
      </c>
      <c r="EK581" s="7">
        <v>0.47600024070506008</v>
      </c>
      <c r="EL581" s="7">
        <v>0.17110084730034442</v>
      </c>
      <c r="EM581" s="7">
        <v>6.4679774551050451E-2</v>
      </c>
      <c r="EN581" s="7">
        <v>5.7478750616075235E-2</v>
      </c>
      <c r="EO581" s="7">
        <v>0.706900135663314</v>
      </c>
      <c r="EP581" s="7">
        <v>9.4489262822964507E-2</v>
      </c>
      <c r="EQ581" s="7">
        <v>9.3086371899670298E-2</v>
      </c>
      <c r="ER581" s="7">
        <v>4.8045478997975802E-2</v>
      </c>
      <c r="ES581" s="7">
        <v>6.9460919770916563E-2</v>
      </c>
      <c r="ET581" s="7">
        <v>0.1341406943219671</v>
      </c>
      <c r="EU581" s="6">
        <v>1020</v>
      </c>
      <c r="EV581" s="6">
        <v>0</v>
      </c>
      <c r="EW581" s="6">
        <v>1020</v>
      </c>
      <c r="EX581" s="6">
        <v>0</v>
      </c>
      <c r="EY581" s="6">
        <v>1631.5365564897063</v>
      </c>
      <c r="EZ581" s="6">
        <v>-366.44990394013166</v>
      </c>
      <c r="FA581" s="6">
        <v>0</v>
      </c>
      <c r="FB581" s="6">
        <v>0</v>
      </c>
      <c r="FC581" s="6">
        <v>0</v>
      </c>
      <c r="FD581" s="6">
        <v>0</v>
      </c>
      <c r="FE581" s="6">
        <v>0</v>
      </c>
      <c r="FF581" s="6">
        <v>0</v>
      </c>
      <c r="FG581" s="6">
        <v>0</v>
      </c>
      <c r="FH581" s="6">
        <v>1172.1395858228234</v>
      </c>
      <c r="FI581" s="6">
        <v>1553.9796069512399</v>
      </c>
      <c r="FJ581" s="6">
        <v>1735.1562230702821</v>
      </c>
      <c r="FK581" s="6">
        <v>1284.9687470586853</v>
      </c>
      <c r="FL581" s="6">
        <v>907.07682140966301</v>
      </c>
      <c r="FM581" s="6">
        <v>1361.5365564897063</v>
      </c>
      <c r="FN581" s="6">
        <v>0</v>
      </c>
      <c r="FO581" s="6">
        <v>0</v>
      </c>
      <c r="FP581" s="6">
        <v>0</v>
      </c>
      <c r="FQ581" s="6">
        <v>0</v>
      </c>
      <c r="FR581" s="6">
        <v>0</v>
      </c>
      <c r="FS581" s="6">
        <v>0</v>
      </c>
      <c r="FT581" s="7">
        <v>0.86585930567803282</v>
      </c>
      <c r="FU581" s="7">
        <v>6.4679774551050451E-2</v>
      </c>
      <c r="FV581" s="7">
        <v>6.9460919770916563E-2</v>
      </c>
      <c r="FW581" s="6">
        <v>1020</v>
      </c>
      <c r="FX581" s="6">
        <v>1631.5365564897063</v>
      </c>
      <c r="FY581" s="6">
        <v>-366.44990394013166</v>
      </c>
      <c r="FZ581" s="6">
        <v>1758.1538569113241</v>
      </c>
      <c r="GA581" s="6">
        <v>963.24996105949924</v>
      </c>
      <c r="GB581" s="6">
        <v>19021.7500389405</v>
      </c>
      <c r="GC581" s="7">
        <v>3.064145122680037E-2</v>
      </c>
      <c r="GD581" s="7">
        <v>2.8305675767500385E-2</v>
      </c>
      <c r="GE581" s="7"/>
      <c r="GF581" s="7"/>
      <c r="GG581" s="7">
        <v>-7.6229270017635867E-2</v>
      </c>
      <c r="GH581" s="42">
        <v>1.9165108754057889</v>
      </c>
      <c r="GI581" s="6">
        <v>11391.054079712629</v>
      </c>
      <c r="GJ581" s="14">
        <v>0.50394797582841699</v>
      </c>
      <c r="GK581" s="14">
        <v>0.5088757306530971</v>
      </c>
      <c r="GL581" s="14">
        <v>0.49605202417158256</v>
      </c>
      <c r="GM581" s="14">
        <v>0.49112426934690256</v>
      </c>
      <c r="GO581" s="5">
        <v>343.14810671672558</v>
      </c>
      <c r="GP581" s="5">
        <v>323.68845259552023</v>
      </c>
      <c r="GQ581" s="5">
        <v>535.04305713031317</v>
      </c>
      <c r="GR581" s="5">
        <v>410.15490233172511</v>
      </c>
      <c r="GS581" s="5">
        <v>339.42744393800166</v>
      </c>
      <c r="GT581" s="5">
        <v>293.4407446948278</v>
      </c>
      <c r="GU581" s="5">
        <v>258.04012322764959</v>
      </c>
      <c r="GV581" s="39" t="s">
        <v>392</v>
      </c>
      <c r="GW581" s="5">
        <v>492.125</v>
      </c>
      <c r="GX581" s="5">
        <v>369.09375</v>
      </c>
      <c r="GY581" s="5">
        <v>302.07920908968697</v>
      </c>
      <c r="GZ581" s="5">
        <v>268.3868982438774</v>
      </c>
      <c r="HA581" s="5">
        <v>241.34874471337258</v>
      </c>
      <c r="HB581" s="39">
        <v>281.87619778911903</v>
      </c>
      <c r="HC581" s="5">
        <v>303.31655829738077</v>
      </c>
      <c r="HD581" s="5">
        <v>250.74799238008356</v>
      </c>
      <c r="HE581" s="5">
        <v>251.12245558578954</v>
      </c>
      <c r="HF581" s="5">
        <v>229.38290951107166</v>
      </c>
      <c r="HG581" s="5">
        <v>217.65500473779989</v>
      </c>
      <c r="HH581" s="39">
        <v>250.22618413059033</v>
      </c>
      <c r="HI581" s="16"/>
      <c r="HJ581" s="19" t="str">
        <f t="shared" ref="HJ581:HK581" si="1657">HJ580</f>
        <v>On</v>
      </c>
      <c r="HK581" s="1" t="str">
        <f t="shared" si="1657"/>
        <v>On</v>
      </c>
      <c r="HL581" s="16"/>
      <c r="HM581" s="639">
        <f t="shared" si="1605"/>
        <v>2.4909940070666322E-2</v>
      </c>
      <c r="HN581" s="639">
        <f t="shared" si="1606"/>
        <v>2.2052381276269151E-3</v>
      </c>
      <c r="HO581" s="639">
        <f t="shared" si="1607"/>
        <v>2.079866082302006E-3</v>
      </c>
      <c r="HP581" s="644">
        <f>(FT581*$GD581-HM581)/$JF581*INDEX(Input!$1:$1048576,$JG$93,$C581*2+6)</f>
        <v>-11.282435241824832</v>
      </c>
      <c r="HQ581" s="644">
        <f>(FU581*$GD581-HN581)/$JF581*INDEX(Input!$1:$1048576,$JG$93,$C581*2+6)</f>
        <v>-10.529520655328355</v>
      </c>
      <c r="HR581" s="644">
        <f>(FV581*$GD581-HO581)/$JF581*INDEX(Input!$1:$1048576,$JG$93,$C581*2+6)</f>
        <v>-3.1981637051039882</v>
      </c>
      <c r="HS581" s="644">
        <f t="shared" si="1598"/>
        <v>10.749311405630532</v>
      </c>
      <c r="HT581" s="644">
        <f t="shared" si="1644"/>
        <v>-20.010205408091256</v>
      </c>
      <c r="HU581" s="644">
        <f t="shared" si="1609"/>
        <v>-3.5174499408553093</v>
      </c>
      <c r="HV581" s="648">
        <f t="shared" si="1610"/>
        <v>0</v>
      </c>
      <c r="HW581" s="648">
        <f t="shared" si="1611"/>
        <v>0</v>
      </c>
      <c r="HX581" s="648">
        <f t="shared" si="1612"/>
        <v>0</v>
      </c>
      <c r="HY581" s="644">
        <f>INDEX(Input!$1:$1048576,HY$93,$C581*2+6)*INDEX(Input!$1:$1048576,$JG$93,$C581*2+6)</f>
        <v>333.00000000000006</v>
      </c>
      <c r="HZ581" s="644">
        <f>INDEX(Input!$1:$1048576,HZ$93,$C581*2+6)*INDEX(Input!$1:$1048576,$JG$93,$C581*2+6)</f>
        <v>429</v>
      </c>
      <c r="IA581" s="644">
        <f>INDEX(Input!$1:$1048576,IA$93,$C581*2+6)*INDEX(Input!$1:$1048576,$JG$93,$C581*2+6)</f>
        <v>59</v>
      </c>
      <c r="IB581" s="644">
        <f t="shared" si="1551"/>
        <v>332.46687616380575</v>
      </c>
      <c r="IC581" s="644">
        <f t="shared" si="1552"/>
        <v>398.46027393658034</v>
      </c>
      <c r="ID581" s="644">
        <f>IF(AND(INDEX(Input!$1:$1048576,IA$93,$C581*2+7)="TOS",Y581&lt;=INDEX(Y:Y,MATCH(C581*1000+2,A:A))),0,1)*MAX(IA581+HR581+HU581+HX581,0%)</f>
        <v>52.284386354040706</v>
      </c>
      <c r="IE581" s="128">
        <f t="shared" si="1645"/>
        <v>0.42449180162599809</v>
      </c>
      <c r="IF581" s="128">
        <f t="shared" si="1646"/>
        <v>0.50875179359639799</v>
      </c>
      <c r="IG581" s="128">
        <f t="shared" si="1555"/>
        <v>6.6756404777603792E-2</v>
      </c>
      <c r="IH581" s="21"/>
      <c r="II581" s="19">
        <f t="shared" si="1613"/>
        <v>1240</v>
      </c>
      <c r="IJ581" s="19">
        <f t="shared" si="1614"/>
        <v>1985.7442651839444</v>
      </c>
      <c r="IK581" s="19">
        <f t="shared" si="1615"/>
        <v>-21.44990394013189</v>
      </c>
      <c r="IL581" s="19">
        <f t="shared" si="1556"/>
        <v>-220</v>
      </c>
      <c r="IM581" s="19">
        <f t="shared" si="1557"/>
        <v>-354.20770869423814</v>
      </c>
      <c r="IN581" s="19">
        <f t="shared" si="1558"/>
        <v>-344.99999999999977</v>
      </c>
      <c r="IO581" s="39">
        <f t="shared" si="1616"/>
        <v>0</v>
      </c>
      <c r="IP581" s="39">
        <f t="shared" si="1617"/>
        <v>0</v>
      </c>
      <c r="IQ581" s="39">
        <f t="shared" si="1618"/>
        <v>0</v>
      </c>
      <c r="IR581" s="39">
        <v>0</v>
      </c>
      <c r="IS581" s="39">
        <v>0</v>
      </c>
      <c r="IT581" s="39">
        <v>0</v>
      </c>
      <c r="IU581" s="39">
        <v>0</v>
      </c>
      <c r="IV581" s="39">
        <v>0</v>
      </c>
      <c r="IW581" s="39">
        <v>0</v>
      </c>
      <c r="IX581" s="39">
        <f>INDEX(Input!$1:$1048576,IX$93,$C581*2+6)+INDEX(Input!$1:$1048576,IX$94,$C581*2+6)</f>
        <v>1270</v>
      </c>
      <c r="IY581" s="39">
        <f>INDEX(Input!$1:$1048576,IY$93,$C581*2+6)+INDEX(Input!$1:$1048576,IY$94,$C581*2+6)</f>
        <v>2130.0624533823611</v>
      </c>
      <c r="IZ581" s="39">
        <f>INDEX(Input!$1:$1048576,IZ$93,$C581*2+6)+INDEX(Input!$1:$1048576,IZ$94,$C581*2+6)</f>
        <v>3653.7164157747857</v>
      </c>
      <c r="JA581" s="19">
        <f t="shared" si="1559"/>
        <v>1050</v>
      </c>
      <c r="JB581" s="19">
        <f t="shared" si="1560"/>
        <v>1775.854744688123</v>
      </c>
      <c r="JC581" s="19">
        <f t="shared" si="1561"/>
        <v>3308.7164157747857</v>
      </c>
      <c r="JD581" s="19">
        <f t="shared" si="1562"/>
        <v>1570.0636905798181</v>
      </c>
      <c r="JE581" s="21"/>
      <c r="JF581" s="1">
        <f t="shared" si="1619"/>
        <v>2.9195044280595241E-2</v>
      </c>
      <c r="JG581" s="15">
        <f>INDEX(Input!$1:$1048576,JG$93,$C581*2+6)/(1+VLOOKUP(C581*1000+INDEX(Input!$1:$1048576,JG$93+1,$C581*2+6),$A:$KK,$JK$92,FALSE))</f>
        <v>821</v>
      </c>
      <c r="JH581" s="1">
        <f t="shared" si="1563"/>
        <v>-3.0462995861458189E-2</v>
      </c>
      <c r="JI581" s="1">
        <f t="shared" si="1564"/>
        <v>-1.5564365338996387E-2</v>
      </c>
      <c r="JJ581" s="1">
        <f t="shared" si="1565"/>
        <v>0</v>
      </c>
      <c r="JK581" s="1">
        <f t="shared" si="1566"/>
        <v>-4.6027361200454572E-2</v>
      </c>
      <c r="JL581" s="15">
        <f t="shared" si="1567"/>
        <v>-37.788463545573201</v>
      </c>
      <c r="JM581" s="15">
        <f t="shared" si="1568"/>
        <v>783.21153645442678</v>
      </c>
      <c r="JN581" s="21"/>
      <c r="JO581" s="19">
        <f>INDEX(Input!$1:$1048576,JO$93,$C581*2+6)</f>
        <v>5995.5</v>
      </c>
      <c r="JP581" s="19">
        <f>INDEX(Input!$1:$1048576,JP$93,$C581*2+6)</f>
        <v>1890.7138380411029</v>
      </c>
      <c r="JQ581" s="39">
        <f t="shared" si="1569"/>
        <v>4425.4363094201817</v>
      </c>
      <c r="JR581" s="39">
        <f t="shared" si="1570"/>
        <v>-320.65014746128486</v>
      </c>
      <c r="JS581" s="39">
        <f t="shared" si="1571"/>
        <v>1.2296919954303269</v>
      </c>
      <c r="JT581" s="39">
        <f t="shared" si="1572"/>
        <v>-0.3225840656014185</v>
      </c>
      <c r="JU581" s="385">
        <f>(JQ581*JM581-INDEX(Input!$1:$1048576,Input!A$18,$C581*2+6)*JL581*INDEX(Input!$1:$1048576,Input!A$19,$C581*2+6))/1000000</f>
        <v>3.4660527713821883</v>
      </c>
      <c r="JV581" s="39">
        <f t="shared" si="1573"/>
        <v>9.6023332413933904E-2</v>
      </c>
      <c r="JW581" s="1">
        <f t="shared" si="1574"/>
        <v>2.8493321543010545E-2</v>
      </c>
      <c r="JX581" s="19">
        <f t="shared" si="1575"/>
        <v>8536.5753284035873</v>
      </c>
      <c r="JZ581" s="341"/>
      <c r="KA581" s="342"/>
      <c r="KB581" s="469">
        <f t="shared" si="1576"/>
        <v>2.5122967434604799</v>
      </c>
      <c r="KI581" s="473">
        <f t="shared" si="1647"/>
        <v>-0.53312383619436332</v>
      </c>
      <c r="KJ581" s="473">
        <f t="shared" si="1648"/>
        <v>-30.539726063419721</v>
      </c>
      <c r="KK581" s="473">
        <f t="shared" si="1579"/>
        <v>-6.7156136459592943</v>
      </c>
      <c r="KN581" s="544">
        <f t="shared" si="1580"/>
        <v>5002</v>
      </c>
      <c r="KO581" s="541">
        <f t="shared" si="1620"/>
        <v>-4.9895841920604478E-2</v>
      </c>
      <c r="KP581" s="546">
        <f t="shared" si="1621"/>
        <v>-325.62236640680271</v>
      </c>
      <c r="KQ581" s="546">
        <f t="shared" si="1622"/>
        <v>-348.8550751434484</v>
      </c>
      <c r="KR581" s="548">
        <f t="shared" si="1623"/>
        <v>2.7683059469696154</v>
      </c>
      <c r="KS581" s="548">
        <f t="shared" si="1624"/>
        <v>2.5839450179121179</v>
      </c>
      <c r="KT581" s="473">
        <f t="shared" si="1581"/>
        <v>595.94378802984284</v>
      </c>
      <c r="KU581" s="663">
        <f t="shared" si="1626"/>
        <v>3.999939004824522</v>
      </c>
    </row>
    <row r="582" spans="1:307" s="26" customFormat="1" ht="15" outlineLevel="1">
      <c r="A582" s="561">
        <f t="shared" si="1652"/>
        <v>5082</v>
      </c>
      <c r="B582" s="561">
        <f t="shared" si="1627"/>
        <v>82</v>
      </c>
      <c r="C582" s="561">
        <f t="shared" si="1628"/>
        <v>5</v>
      </c>
      <c r="D582" s="561" t="str">
        <f t="shared" si="1509"/>
        <v xml:space="preserve">-500 CC, 0.9/1.9/2.9/3.9, -360 Lease, </v>
      </c>
      <c r="E582" s="475">
        <f>INDEX(Input!$1:$1048576,E$93,$C582*2+MIN($B582,2)+5)
+INDEX(Scenarios!E$121:E$200,MATCH($B582,Scenarios!$B$121:$B$200,0))</f>
        <v>777.42630937880631</v>
      </c>
      <c r="F582" s="475">
        <f>INDEX(Input!$1:$1048576,F$93,$C582*2+MIN($B582,2)+5)
+INDEX(Scenarios!F$121:F$200,MATCH($B582,Scenarios!$B$121:$B$200,0))</f>
        <v>0</v>
      </c>
      <c r="G582" s="475">
        <f>INDEX(Input!$1:$1048576,G$93,$C582*2+MIN($B582,2)+5)
+INDEX(Scenarios!G$121:G$200,MATCH($B582,Scenarios!$B$121:$B$200,0))</f>
        <v>0</v>
      </c>
      <c r="H582" s="475">
        <f>INDEX(Input!$1:$1048576,H$93,$C582*2+MIN($B582,2)+5)
+INDEX(Scenarios!H$121:H$200,MATCH($B582,Scenarios!$B$121:$B$200,0))</f>
        <v>0</v>
      </c>
      <c r="I582" s="476">
        <f>INDEX(Input!$1:$1048576,I$93,$C582*2+MIN($B582,2)+5)</f>
        <v>0.7</v>
      </c>
      <c r="J582" s="476" t="str">
        <f>INDEX(Input!$1:$1048576,J$93,$C582*2+MIN($B582,2)+5)</f>
        <v>Market</v>
      </c>
      <c r="K582" s="476" t="str">
        <f>INDEX(Input!$1:$1048576,K$93,$C582*2+MIN($B582,2)+5)</f>
        <v>Market</v>
      </c>
      <c r="L582" s="476" t="str">
        <f>INDEX(Input!$1:$1048576,L$93,$C582*2+MIN($B582,2)+5)</f>
        <v>Market</v>
      </c>
      <c r="M582" s="476" t="str">
        <f>INDEX(Input!$1:$1048576,M$93,$C582*2+MIN($B582,2)+5)</f>
        <v>Market</v>
      </c>
      <c r="N582" s="476" t="str">
        <f>INDEX(Input!$1:$1048576,N$93,$C582*2+MIN($B582,2)+5)</f>
        <v>Market</v>
      </c>
      <c r="O582" s="476" t="str">
        <f>INDEX(Input!$1:$1048576,O$93,$C582*2+MIN($B582,2)+5)</f>
        <v>Market</v>
      </c>
      <c r="P582" s="476" t="str">
        <f>INDEX(Input!$1:$1048576,P$93,$C582*2+MIN($B582,2)+5)</f>
        <v>N</v>
      </c>
      <c r="Q582" s="477">
        <f>INDEX(Input!$1:$1048576,Q$93,$C582*2+MIN($B582,2)+5)
+INDEX(Scenarios!Q$121:Q$200,MATCH($B582,Scenarios!$B$121:$B$200,0))</f>
        <v>0</v>
      </c>
      <c r="R582" s="478">
        <f>IFERROR(MAX(0,INDEX(Input!$1:$1048576,R$93,$C582*2+MIN($B582,2)+5)
+INDEX(Scenarios!R$121:R$200,MATCH($B582,Scenarios!$B$121:$B$200,0)),),"Market")</f>
        <v>0</v>
      </c>
      <c r="S582" s="478">
        <f>IFERROR(MAX(0,INDEX(Input!$1:$1048576,S$93,$C582*2+MIN($B582,2)+5)
+INDEX(Scenarios!S$121:S$200,MATCH($B582,Scenarios!$B$121:$B$200,0)),),"Market")</f>
        <v>0</v>
      </c>
      <c r="T582" s="478">
        <f>IFERROR(MAX(0,INDEX(Input!$1:$1048576,T$93,$C582*2+MIN($B582,2)+5)
+INDEX(Scenarios!T$121:T$200,MATCH($B582,Scenarios!$B$121:$B$200,0)),),"Market")</f>
        <v>0</v>
      </c>
      <c r="U582" s="478">
        <f>IFERROR(MAX(0,INDEX(Input!$1:$1048576,U$93,$C582*2+MIN($B582,2)+5)
+INDEX(Scenarios!U$121:U$200,MATCH($B582,Scenarios!$B$121:$B$200,0)),),"Market")</f>
        <v>9.0000000000000011E-3</v>
      </c>
      <c r="V582" s="478">
        <f>IFERROR(MAX(0,INDEX(Input!$1:$1048576,V$93,$C582*2+MIN($B582,2)+5)
+INDEX(Scenarios!V$121:V$200,MATCH($B582,Scenarios!$B$121:$B$200,0)),),"Market")</f>
        <v>2.8999999999999998E-2</v>
      </c>
      <c r="W582" s="885">
        <f>IFERROR(MAX(0,INDEX(Input!$1:$1048576,W$93,$C582*2+MIN($B582,2)+5)-0%,),"Market")</f>
        <v>3.9E-2</v>
      </c>
      <c r="X582" s="476" t="str">
        <f>INDEX(Input!$1:$1048576,X$93,$C582*2+MIN($B582,2)+5)</f>
        <v>Y</v>
      </c>
      <c r="Y582" s="475">
        <f>INDEX(Input!$1:$1048576,Y$93,$C582*2+MIN($B582,2)+5)
++INDEX(Scenarios!Y$121:Y$200,MATCH($B582,Scenarios!$B$121:$B$200,0))</f>
        <v>-1077.9364173925233</v>
      </c>
      <c r="Z582" s="477">
        <f>INDEX(Input!$1:$1048576,Z$93,$C582*2+MIN($B582,2)+5)
+INDEX(Scenarios!Z$121:Z$200,MATCH($B582,Scenarios!$B$121:$B$200,0))</f>
        <v>0</v>
      </c>
      <c r="AA582" s="475">
        <f>INDEX(Input!$1:$1048576,AA$93,$C582*2+MIN($B582,2)+5)
+INDEX(Scenarios!AA$121:AA$200,MATCH($B582,Scenarios!$B$121:$B$200,0))</f>
        <v>0</v>
      </c>
      <c r="AB582" s="476">
        <f>INDEX(Input!$1:$1048576,AB$93,$C582*2+MIN($B582,2)+5)</f>
        <v>0.27</v>
      </c>
      <c r="AC582" s="475">
        <f>INDEX(Input!$1:$1048576,AC$93,$C582*2+MIN($B582,2)+5)
+INDEX(Scenarios!AC$121:AC$200,MATCH($B582,Scenarios!$B$121:$B$200,0))</f>
        <v>0</v>
      </c>
      <c r="AD582" s="476">
        <f>INDEX(Input!$1:$1048576,AD$93,$C582*2+MIN($B582,2)+5)</f>
        <v>0.27</v>
      </c>
      <c r="AE582" s="475">
        <f>INDEX(Input!$1:$1048576,AE$93,$C582*2+MIN($B582,2)+5)
+INDEX(Scenarios!AE$121:AE$200,MATCH($B582,Scenarios!$B$121:$B$200,0))</f>
        <v>0</v>
      </c>
      <c r="AF582" s="476">
        <f>INDEX(Input!$1:$1048576,AF$93,$C582*2+MIN($B582,2)+5)</f>
        <v>0.2</v>
      </c>
      <c r="AG582" s="475">
        <f>INDEX(Input!$1:$1048576,AG$93,$C582*2+MIN($B582,2)+5)
+INDEX(Scenarios!AG$121:AG$200,MATCH($B582,Scenarios!$B$121:$B$200,0))</f>
        <v>500</v>
      </c>
      <c r="AH582" s="476">
        <f>INDEX(Input!$1:$1048576,AH$93,$C582*2+MIN($B582,2)+5)</f>
        <v>1</v>
      </c>
      <c r="AI582" s="475">
        <f>INDEX(Input!$1:$1048576,AI$93,$C582*2+MIN($B582,2)+5)
+INDEX(Scenarios!AI$121:AI$200,MATCH($B582,Scenarios!$B$121:$B$200,0))</f>
        <v>0</v>
      </c>
      <c r="AJ582" s="476">
        <f>INDEX(Input!$1:$1048576,AJ$93,$C582*2+MIN($B582,2)+5)</f>
        <v>0.27</v>
      </c>
      <c r="AK582" s="150">
        <f>ROUND(INDEX(Input!$1:$1048576,AK$93,$C581*2+MIN($B582,1)+5)+(Y582-VLOOKUP($C582*1000+1,$A:$HH,Y$92,FALSE)),0)</f>
        <v>2227</v>
      </c>
      <c r="AL582" s="150">
        <f>ROUND(INDEX(Input!$1:$1048576,AL$93,$C581*2+MIN($B582,1)+5)-(Y582-VLOOKUP($C582*1000+1,$A:$HH,Y$92,FALSE))/36,0)</f>
        <v>3416</v>
      </c>
      <c r="AM582" s="32" t="str">
        <f t="shared" si="1653"/>
        <v>std/std/std/std</v>
      </c>
      <c r="AN582" s="32" t="str">
        <f t="shared" si="1654"/>
        <v>$0 + 0/0/0.9/2.9/3.9</v>
      </c>
      <c r="AO582" s="32" t="str">
        <f t="shared" si="1655"/>
        <v>0/0/0.9/2.9/3.9</v>
      </c>
      <c r="AP582" s="32" t="str">
        <f t="shared" si="1526"/>
        <v>0.9/1.9/2.9/3.9</v>
      </c>
      <c r="AQ582" s="536">
        <f t="shared" si="1525"/>
        <v>0.40412394117099626</v>
      </c>
      <c r="AR582" s="32"/>
      <c r="AS582" s="302"/>
      <c r="AT582" s="3">
        <f t="shared" si="1629"/>
        <v>82</v>
      </c>
      <c r="AU582" s="41" t="s">
        <v>121</v>
      </c>
      <c r="AV582" s="41" t="s">
        <v>116</v>
      </c>
      <c r="AW582" s="41" t="str">
        <f>INDEX(Input!$1:$1048576,AW$93,$C582*2+6)</f>
        <v>Kia</v>
      </c>
      <c r="AX582" s="41" t="str">
        <f>INDEX(Input!$1:$1048576,AX$93,$C582*2+6)</f>
        <v>Kia-LR - R2</v>
      </c>
      <c r="AY582" s="41" t="str">
        <f>IF(LEN(D582)=0,"",INDEX(Input!$1:$1048576,AY$93,$C582*2+6))</f>
        <v>Compact SUV (52)</v>
      </c>
      <c r="AZ582" s="41" t="str">
        <f>INDEX(Input!$1:$1048576,AZ$93,$C582*2+6)</f>
        <v>Kia Soul</v>
      </c>
      <c r="BA582" s="3">
        <f>INDEX(Input!$1:$1048576,BA$93,$C582*2+6)</f>
        <v>2020</v>
      </c>
      <c r="BB582" s="128">
        <f>INDEX(Input!$1:$1048576,BB$93,$C582*2+6)</f>
        <v>1</v>
      </c>
      <c r="BC582" s="128">
        <f>INDEX(Input!$1:$1048576,BC$93,$C582*2+6)</f>
        <v>0.7</v>
      </c>
      <c r="BD582" s="1">
        <f>INDEX(Input!$1:$1048576,BD$93,$C582*2+6)</f>
        <v>4.4999999999999998E-2</v>
      </c>
      <c r="BE582" s="1">
        <f>INDEX(Input!$1:$1048576,BE$93,$C582*2+6)</f>
        <v>4.4999999999999998E-2</v>
      </c>
      <c r="BF582" s="1">
        <f>INDEX(Input!$1:$1048576,BF$93,$C582*2+6)</f>
        <v>0.05</v>
      </c>
      <c r="BG582" s="1">
        <f>INDEX(Input!$1:$1048576,BG$93,$C582*2+6)</f>
        <v>5.45E-2</v>
      </c>
      <c r="BH582" s="1">
        <f>INDEX(Input!$1:$1048576,BH$93,$C582*2+6)</f>
        <v>5.45E-2</v>
      </c>
      <c r="BI582" s="1">
        <f>INDEX(Input!$1:$1048576,BI$93,$C582*2+6)</f>
        <v>0.05</v>
      </c>
      <c r="BJ582" s="1">
        <f>INDEX(Input!$1:$1048576,BJ$93,$C582*2+6)</f>
        <v>0.05</v>
      </c>
      <c r="BK582" s="1">
        <f>INDEX(Input!$1:$1048576,BK$93,$C582*2+6)</f>
        <v>0.05</v>
      </c>
      <c r="BL582" s="1">
        <f>INDEX(Input!$1:$1048576,BL$93,$C582*2+6)</f>
        <v>5.5E-2</v>
      </c>
      <c r="BM582" s="1">
        <f>INDEX(Input!$1:$1048576,BM$93,$C582*2+6)</f>
        <v>0.06</v>
      </c>
      <c r="BN582" s="1">
        <f>INDEX(Input!$1:$1048576,BN$93,$C582*2+6)</f>
        <v>4.4999999999999998E-2</v>
      </c>
      <c r="BO582" s="1">
        <f>INDEX(Input!$1:$1048576,BO$93,$C582*2+6)</f>
        <v>4.4999999999999998E-2</v>
      </c>
      <c r="BP582" s="1">
        <f>INDEX(Input!$1:$1048576,BP$93,$C582*2+6)</f>
        <v>0.05</v>
      </c>
      <c r="BQ582" s="1">
        <f>INDEX(Input!$1:$1048576,BQ$93,$C582*2+6)</f>
        <v>5.45E-2</v>
      </c>
      <c r="BR582" s="1">
        <f>INDEX(Input!$1:$1048576,BR$93,$C582*2+6)</f>
        <v>5.45E-2</v>
      </c>
      <c r="BS582" s="1">
        <f>INDEX(Input!$1:$1048576,BS$93,$C582*2+6)</f>
        <v>0.05</v>
      </c>
      <c r="BT582" s="1">
        <f>INDEX(Input!$1:$1048576,BT$93,$C582*2+6)</f>
        <v>0.05</v>
      </c>
      <c r="BU582" s="1">
        <f>INDEX(Input!$1:$1048576,BU$93,$C582*2+6)</f>
        <v>0.05</v>
      </c>
      <c r="BV582" s="1">
        <f>INDEX(Input!$1:$1048576,BV$93,$C582*2+6)</f>
        <v>5.5E-2</v>
      </c>
      <c r="BW582" s="1">
        <f>INDEX(Input!$1:$1048576,BW$93,$C582*2+6)</f>
        <v>0.06</v>
      </c>
      <c r="BX582" s="127">
        <f>INDEX(Input!$1:$1048576,BX$93,$C582*2+6)</f>
        <v>19985</v>
      </c>
      <c r="BY582" s="20">
        <f>INDEX(Input!$1:$1048576,BY$93,$C582*2+6)</f>
        <v>0.1</v>
      </c>
      <c r="BZ582" s="20">
        <f>INDEX(Input!$1:$1048576,BZ$93,$C582*2+6)</f>
        <v>0.1</v>
      </c>
      <c r="CA582" s="20">
        <f>INDEX(Input!$1:$1048576,CA$93,$C582*2+6)</f>
        <v>0.1</v>
      </c>
      <c r="CB582" s="20">
        <f>INDEX(Input!$1:$1048576,CB$93,$C582*2+6)</f>
        <v>0.1</v>
      </c>
      <c r="CC582" s="20">
        <f>INDEX(Input!$1:$1048576,CC$93,$C582*2+6)</f>
        <v>0.1</v>
      </c>
      <c r="CD582" s="384">
        <f>INDEX(Input!$1:$1048576,CD$93,$C582*2+6)</f>
        <v>0.1</v>
      </c>
      <c r="CE582" s="384">
        <f>INDEX(Input!$1:$1048576,CE$93,$C582*2+6)</f>
        <v>0.1</v>
      </c>
      <c r="CF582" s="384">
        <f>INDEX(Input!$1:$1048576,CF$93,$C582*2+6)</f>
        <v>0.1</v>
      </c>
      <c r="CG582" s="384">
        <f>INDEX(Input!$1:$1048576,CG$93,$C582*2+6)</f>
        <v>0.1</v>
      </c>
      <c r="CH582" s="384">
        <f>INDEX(Input!$1:$1048576,CH$93,$C582*2+6)</f>
        <v>0.1</v>
      </c>
      <c r="CI582" s="304">
        <f t="shared" si="1527"/>
        <v>777.42630937880631</v>
      </c>
      <c r="CJ582" s="16" t="str">
        <f>INDEX(Input!$1:$1048576,CJ$93,$C582*2+6)</f>
        <v>N</v>
      </c>
      <c r="CK582" s="1" t="str">
        <f t="shared" si="1528"/>
        <v>Market</v>
      </c>
      <c r="CL582" s="1" t="str">
        <f t="shared" si="1529"/>
        <v>Market</v>
      </c>
      <c r="CM582" s="1" t="str">
        <f t="shared" si="1530"/>
        <v>Market</v>
      </c>
      <c r="CN582" s="1" t="str">
        <f t="shared" si="1531"/>
        <v>Market</v>
      </c>
      <c r="CO582" s="1" t="str">
        <f t="shared" si="1532"/>
        <v>Market</v>
      </c>
      <c r="CP582" s="304">
        <f t="shared" si="1533"/>
        <v>500</v>
      </c>
      <c r="CQ582" s="1">
        <f t="shared" si="1534"/>
        <v>0</v>
      </c>
      <c r="CR582" s="1">
        <f t="shared" si="1535"/>
        <v>0</v>
      </c>
      <c r="CS582" s="1">
        <f t="shared" si="1536"/>
        <v>9.0000000000000011E-3</v>
      </c>
      <c r="CT582" s="1">
        <f t="shared" si="1537"/>
        <v>2.8999999999999998E-2</v>
      </c>
      <c r="CU582" s="1">
        <f t="shared" si="1538"/>
        <v>3.9E-2</v>
      </c>
      <c r="CV582" s="304">
        <f t="shared" si="1539"/>
        <v>-1077.9364173925233</v>
      </c>
      <c r="CW582" s="20" t="s">
        <v>122</v>
      </c>
      <c r="CX582" s="20" t="s">
        <v>122</v>
      </c>
      <c r="CY582" s="20" t="s">
        <v>122</v>
      </c>
      <c r="CZ582" s="20" t="s">
        <v>122</v>
      </c>
      <c r="DA582" s="20" t="s">
        <v>122</v>
      </c>
      <c r="DB582" s="503">
        <f t="shared" si="1540"/>
        <v>0</v>
      </c>
      <c r="DC582" s="127">
        <v>0</v>
      </c>
      <c r="DD582" s="127">
        <v>0</v>
      </c>
      <c r="DE582" s="127">
        <v>0</v>
      </c>
      <c r="DF582" s="127">
        <v>0</v>
      </c>
      <c r="DG582" s="127">
        <v>0</v>
      </c>
      <c r="DH582" s="127">
        <v>0</v>
      </c>
      <c r="DI582" s="127">
        <v>0</v>
      </c>
      <c r="DJ582" s="127">
        <v>0</v>
      </c>
      <c r="DK582" s="127">
        <v>0</v>
      </c>
      <c r="DL582" s="127">
        <v>0</v>
      </c>
      <c r="DM582" s="304">
        <f>INDEX(Input!$1:$1048576,DM$93,$C582*2+6)</f>
        <v>21036.84210526316</v>
      </c>
      <c r="DN582" s="20">
        <v>0</v>
      </c>
      <c r="DO582" s="20">
        <v>0</v>
      </c>
      <c r="DP582" s="20">
        <v>0</v>
      </c>
      <c r="DQ582" s="20">
        <v>0</v>
      </c>
      <c r="DR582" s="20">
        <v>0</v>
      </c>
      <c r="DS582" s="20">
        <f>INDEX(Input!$1:$1048576,DS$93,$C582*2+6)</f>
        <v>0.6</v>
      </c>
      <c r="DT582" s="20">
        <f>INDEX(Input!$1:$1048576,DT$93,$C582*2+6)</f>
        <v>0.55000000000000004</v>
      </c>
      <c r="DU582" s="20">
        <f>INDEX(Input!$1:$1048576,DU$93,$C582*2+6)</f>
        <v>0.52</v>
      </c>
      <c r="DV582" s="20">
        <f>INDEX(Input!$1:$1048576,DV$93,$C582*2+6)</f>
        <v>0.5</v>
      </c>
      <c r="DW582" s="20">
        <f>INDEX(Input!$1:$1048576,DW$93,$C582*2+6)</f>
        <v>0.45</v>
      </c>
      <c r="DX582" s="20"/>
      <c r="DY582" s="7">
        <v>0.11350213165233503</v>
      </c>
      <c r="DZ582" s="7">
        <v>0</v>
      </c>
      <c r="EA582" s="7">
        <v>0.73504360229762034</v>
      </c>
      <c r="EB582" s="7">
        <v>0</v>
      </c>
      <c r="EC582" s="7">
        <v>0</v>
      </c>
      <c r="ED582" s="7">
        <v>0</v>
      </c>
      <c r="EE582" s="7">
        <v>0</v>
      </c>
      <c r="EF582" s="7">
        <v>0</v>
      </c>
      <c r="EG582" s="7">
        <v>0</v>
      </c>
      <c r="EH582" s="7">
        <v>1.6539668658574602E-2</v>
      </c>
      <c r="EI582" s="7">
        <v>4.5983396270715106E-2</v>
      </c>
      <c r="EJ582" s="7">
        <v>0.29032378625818711</v>
      </c>
      <c r="EK582" s="7">
        <v>0.47605332724249849</v>
      </c>
      <c r="EL582" s="7">
        <v>0.17109982157002515</v>
      </c>
      <c r="EM582" s="7">
        <v>7.3052174825379457E-2</v>
      </c>
      <c r="EN582" s="7">
        <v>5.7468230901405556E-2</v>
      </c>
      <c r="EO582" s="7">
        <v>0.70689617400027338</v>
      </c>
      <c r="EP582" s="7">
        <v>9.4488958695142039E-2</v>
      </c>
      <c r="EQ582" s="7">
        <v>9.3095108697144352E-2</v>
      </c>
      <c r="ER582" s="7">
        <v>4.8051527706034693E-2</v>
      </c>
      <c r="ES582" s="7">
        <v>7.8402091224665238E-2</v>
      </c>
      <c r="ET582" s="7">
        <v>0.15145426605004469</v>
      </c>
      <c r="EU582" s="6">
        <v>770</v>
      </c>
      <c r="EV582" s="6">
        <v>0</v>
      </c>
      <c r="EW582" s="6">
        <v>770</v>
      </c>
      <c r="EX582" s="6">
        <v>0</v>
      </c>
      <c r="EY582" s="6">
        <v>1631.5154639948046</v>
      </c>
      <c r="EZ582" s="6">
        <v>-366.44990394013166</v>
      </c>
      <c r="FA582" s="6">
        <v>0</v>
      </c>
      <c r="FB582" s="6">
        <v>0</v>
      </c>
      <c r="FC582" s="6">
        <v>0</v>
      </c>
      <c r="FD582" s="6">
        <v>0</v>
      </c>
      <c r="FE582" s="6">
        <v>0</v>
      </c>
      <c r="FF582" s="6">
        <v>0</v>
      </c>
      <c r="FG582" s="6">
        <v>0</v>
      </c>
      <c r="FH582" s="6">
        <v>1172.1365262704237</v>
      </c>
      <c r="FI582" s="6">
        <v>1553.9796069512399</v>
      </c>
      <c r="FJ582" s="6">
        <v>1735.1562230702809</v>
      </c>
      <c r="FK582" s="6">
        <v>1284.9687470586853</v>
      </c>
      <c r="FL582" s="6">
        <v>907.07682140966347</v>
      </c>
      <c r="FM582" s="6">
        <v>1361.5154639948046</v>
      </c>
      <c r="FN582" s="6">
        <v>0</v>
      </c>
      <c r="FO582" s="6">
        <v>0</v>
      </c>
      <c r="FP582" s="6">
        <v>0</v>
      </c>
      <c r="FQ582" s="6">
        <v>0</v>
      </c>
      <c r="FR582" s="6">
        <v>0</v>
      </c>
      <c r="FS582" s="6">
        <v>0</v>
      </c>
      <c r="FT582" s="7">
        <v>0.84854573394995536</v>
      </c>
      <c r="FU582" s="7">
        <v>7.3052174825379457E-2</v>
      </c>
      <c r="FV582" s="7">
        <v>7.8402091224665238E-2</v>
      </c>
      <c r="FW582" s="6">
        <v>769.99999999999989</v>
      </c>
      <c r="FX582" s="6">
        <v>1631.5154639948046</v>
      </c>
      <c r="FY582" s="6">
        <v>-366.44990394013166</v>
      </c>
      <c r="FZ582" s="6">
        <v>1758.1538569113241</v>
      </c>
      <c r="GA582" s="6">
        <v>743.83552924954017</v>
      </c>
      <c r="GB582" s="6">
        <v>19241.16447075046</v>
      </c>
      <c r="GC582" s="7">
        <v>3.064145122680037E-2</v>
      </c>
      <c r="GD582" s="7">
        <v>2.7556946269874191E-2</v>
      </c>
      <c r="GE582" s="7"/>
      <c r="GF582" s="7"/>
      <c r="GG582" s="7">
        <v>-0.10066445398083282</v>
      </c>
      <c r="GH582" s="42">
        <v>1.9833804220461202</v>
      </c>
      <c r="GI582" s="6">
        <v>10820.066885502829</v>
      </c>
      <c r="GJ582" s="14">
        <v>0.50394797582841733</v>
      </c>
      <c r="GK582" s="14">
        <v>0.50887573065309755</v>
      </c>
      <c r="GL582" s="14">
        <v>0.49605202417158284</v>
      </c>
      <c r="GM582" s="14">
        <v>0.49112426934690251</v>
      </c>
      <c r="GO582" s="5">
        <v>343.14810671672558</v>
      </c>
      <c r="GP582" s="5">
        <v>328.4579756644431</v>
      </c>
      <c r="GQ582" s="5">
        <v>535.04305713031317</v>
      </c>
      <c r="GR582" s="5">
        <v>410.15490233172511</v>
      </c>
      <c r="GS582" s="5">
        <v>339.42744393800166</v>
      </c>
      <c r="GT582" s="5">
        <v>293.4407446948278</v>
      </c>
      <c r="GU582" s="5">
        <v>258.04012322764959</v>
      </c>
      <c r="GV582" s="39" t="s">
        <v>392</v>
      </c>
      <c r="GW582" s="5">
        <v>492.125</v>
      </c>
      <c r="GX582" s="5">
        <v>369.09375</v>
      </c>
      <c r="GY582" s="5">
        <v>302.07920908968697</v>
      </c>
      <c r="GZ582" s="5">
        <v>268.3868982438774</v>
      </c>
      <c r="HA582" s="5">
        <v>241.34874471337258</v>
      </c>
      <c r="HB582" s="39">
        <v>281.87375139259109</v>
      </c>
      <c r="HC582" s="5">
        <v>303.31655829738077</v>
      </c>
      <c r="HD582" s="5">
        <v>250.74799238008356</v>
      </c>
      <c r="HE582" s="5">
        <v>251.12245558578954</v>
      </c>
      <c r="HF582" s="5">
        <v>229.38290951107166</v>
      </c>
      <c r="HG582" s="5">
        <v>217.65500473779989</v>
      </c>
      <c r="HH582" s="39">
        <v>250.22524417816854</v>
      </c>
      <c r="HI582" s="16"/>
      <c r="HJ582" s="19" t="str">
        <f t="shared" ref="HJ582:HK582" si="1658">HJ581</f>
        <v>On</v>
      </c>
      <c r="HK582" s="1" t="str">
        <f t="shared" si="1658"/>
        <v>On</v>
      </c>
      <c r="HL582" s="16"/>
      <c r="HM582" s="639">
        <f t="shared" si="1605"/>
        <v>2.4909940070666322E-2</v>
      </c>
      <c r="HN582" s="639">
        <f t="shared" si="1606"/>
        <v>2.2052381276269151E-3</v>
      </c>
      <c r="HO582" s="639">
        <f t="shared" si="1607"/>
        <v>2.079866082302006E-3</v>
      </c>
      <c r="HP582" s="644">
        <f>(FT582*$GD582-HM582)/$JF582*INDEX(Input!$1:$1048576,$JG$93,$C582*2+6)</f>
        <v>-42.930146446135332</v>
      </c>
      <c r="HQ582" s="644">
        <f>(FU582*$GD582-HN582)/$JF582*INDEX(Input!$1:$1048576,$JG$93,$C582*2+6)</f>
        <v>-5.4033014654623353</v>
      </c>
      <c r="HR582" s="644">
        <f>(FV582*$GD582-HO582)/$JF582*INDEX(Input!$1:$1048576,$JG$93,$C582*2+6)</f>
        <v>2.2681481341327223</v>
      </c>
      <c r="HS582" s="644">
        <f t="shared" si="1598"/>
        <v>22.808797671588994</v>
      </c>
      <c r="HT582" s="644">
        <f t="shared" si="1644"/>
        <v>-18.99428562582213</v>
      </c>
      <c r="HU582" s="644">
        <f t="shared" si="1609"/>
        <v>-4.5346227568482913</v>
      </c>
      <c r="HV582" s="648">
        <f t="shared" si="1610"/>
        <v>0</v>
      </c>
      <c r="HW582" s="648">
        <f t="shared" si="1611"/>
        <v>0</v>
      </c>
      <c r="HX582" s="648">
        <f t="shared" si="1612"/>
        <v>0</v>
      </c>
      <c r="HY582" s="644">
        <f>INDEX(Input!$1:$1048576,HY$93,$C582*2+6)*INDEX(Input!$1:$1048576,$JG$93,$C582*2+6)</f>
        <v>333.00000000000006</v>
      </c>
      <c r="HZ582" s="644">
        <f>INDEX(Input!$1:$1048576,HZ$93,$C582*2+6)*INDEX(Input!$1:$1048576,$JG$93,$C582*2+6)</f>
        <v>429</v>
      </c>
      <c r="IA582" s="644">
        <f>INDEX(Input!$1:$1048576,IA$93,$C582*2+6)*INDEX(Input!$1:$1048576,$JG$93,$C582*2+6)</f>
        <v>59</v>
      </c>
      <c r="IB582" s="644">
        <f t="shared" si="1551"/>
        <v>312.87865122545372</v>
      </c>
      <c r="IC582" s="644">
        <f t="shared" si="1552"/>
        <v>404.60241290871556</v>
      </c>
      <c r="ID582" s="644">
        <f>IF(AND(INDEX(Input!$1:$1048576,IA$93,$C582*2+7)="TOS",Y582&lt;=INDEX(Y:Y,MATCH(C582*1000+2,A:A))),0,1)*MAX(IA582+HR582+HU582+HX582,0%)</f>
        <v>56.73352537728443</v>
      </c>
      <c r="IE582" s="128">
        <f t="shared" si="1645"/>
        <v>0.40412394117099626</v>
      </c>
      <c r="IF582" s="128">
        <f t="shared" si="1646"/>
        <v>0.52259724679694874</v>
      </c>
      <c r="IG582" s="128">
        <f t="shared" si="1555"/>
        <v>7.3278812032054996E-2</v>
      </c>
      <c r="IH582" s="21"/>
      <c r="II582" s="19">
        <f t="shared" si="1613"/>
        <v>1240</v>
      </c>
      <c r="IJ582" s="19">
        <f t="shared" si="1614"/>
        <v>1985.7442651839444</v>
      </c>
      <c r="IK582" s="19">
        <f t="shared" si="1615"/>
        <v>-21.44990394013189</v>
      </c>
      <c r="IL582" s="19">
        <f t="shared" si="1556"/>
        <v>-470.00000000000011</v>
      </c>
      <c r="IM582" s="19">
        <f t="shared" si="1557"/>
        <v>-354.22880118913986</v>
      </c>
      <c r="IN582" s="19">
        <f t="shared" si="1558"/>
        <v>-344.99999999999977</v>
      </c>
      <c r="IO582" s="39">
        <f t="shared" si="1616"/>
        <v>0</v>
      </c>
      <c r="IP582" s="39">
        <f t="shared" si="1617"/>
        <v>0</v>
      </c>
      <c r="IQ582" s="39">
        <f t="shared" si="1618"/>
        <v>0</v>
      </c>
      <c r="IR582" s="39">
        <v>0</v>
      </c>
      <c r="IS582" s="39">
        <v>0</v>
      </c>
      <c r="IT582" s="39">
        <v>0</v>
      </c>
      <c r="IU582" s="39">
        <v>0</v>
      </c>
      <c r="IV582" s="39">
        <v>0</v>
      </c>
      <c r="IW582" s="39">
        <v>0</v>
      </c>
      <c r="IX582" s="39">
        <f>INDEX(Input!$1:$1048576,IX$93,$C582*2+6)+INDEX(Input!$1:$1048576,IX$94,$C582*2+6)</f>
        <v>1270</v>
      </c>
      <c r="IY582" s="39">
        <f>INDEX(Input!$1:$1048576,IY$93,$C582*2+6)+INDEX(Input!$1:$1048576,IY$94,$C582*2+6)</f>
        <v>2130.0624533823611</v>
      </c>
      <c r="IZ582" s="39">
        <f>INDEX(Input!$1:$1048576,IZ$93,$C582*2+6)+INDEX(Input!$1:$1048576,IZ$94,$C582*2+6)</f>
        <v>3653.7164157747857</v>
      </c>
      <c r="JA582" s="19">
        <f t="shared" si="1559"/>
        <v>799.99999999999989</v>
      </c>
      <c r="JB582" s="19">
        <f t="shared" si="1560"/>
        <v>1775.8336521932213</v>
      </c>
      <c r="JC582" s="19">
        <f t="shared" si="1561"/>
        <v>3308.7164157747857</v>
      </c>
      <c r="JD582" s="19">
        <f t="shared" si="1562"/>
        <v>1493.80373864128</v>
      </c>
      <c r="JE582" s="21"/>
      <c r="JF582" s="1">
        <f t="shared" si="1619"/>
        <v>2.9195044280595241E-2</v>
      </c>
      <c r="JG582" s="15">
        <f>INDEX(Input!$1:$1048576,JG$93,$C582*2+6)/(1+VLOOKUP(C582*1000+INDEX(Input!$1:$1048576,JG$93+1,$C582*2+6),$A:$KK,$JK$92,FALSE))</f>
        <v>821</v>
      </c>
      <c r="JH582" s="1">
        <f t="shared" si="1563"/>
        <v>-5.6108769521881784E-2</v>
      </c>
      <c r="JI582" s="1">
        <f t="shared" si="1564"/>
        <v>-8.7711414260831504E-4</v>
      </c>
      <c r="JJ582" s="1">
        <f t="shared" si="1565"/>
        <v>0</v>
      </c>
      <c r="JK582" s="1">
        <f t="shared" si="1566"/>
        <v>-5.6985883664490096E-2</v>
      </c>
      <c r="JL582" s="15">
        <f t="shared" si="1567"/>
        <v>-46.785410488546368</v>
      </c>
      <c r="JM582" s="15">
        <f t="shared" si="1568"/>
        <v>774.2145895114536</v>
      </c>
      <c r="JN582" s="21"/>
      <c r="JO582" s="19">
        <f>INDEX(Input!$1:$1048576,JO$93,$C582*2+6)</f>
        <v>5995.5</v>
      </c>
      <c r="JP582" s="19">
        <f>INDEX(Input!$1:$1048576,JP$93,$C582*2+6)</f>
        <v>1890.7138380411029</v>
      </c>
      <c r="JQ582" s="39">
        <f t="shared" si="1569"/>
        <v>4501.6962613587202</v>
      </c>
      <c r="JR582" s="39">
        <f t="shared" si="1570"/>
        <v>-396.91009939982291</v>
      </c>
      <c r="JS582" s="39">
        <f t="shared" si="1571"/>
        <v>1.1565246483228333</v>
      </c>
      <c r="JT582" s="39">
        <f t="shared" si="1572"/>
        <v>-0.39575141270891229</v>
      </c>
      <c r="JU582" s="385">
        <f>(JQ582*JM582-INDEX(Input!$1:$1048576,Input!A$18,$C582*2+6)*JL582*INDEX(Input!$1:$1048576,Input!A$19,$C582*2+6))/1000000</f>
        <v>3.485278923093087</v>
      </c>
      <c r="JV582" s="39">
        <f t="shared" si="1573"/>
        <v>0.1152494841248326</v>
      </c>
      <c r="JW582" s="1">
        <f t="shared" si="1574"/>
        <v>3.4198361234528747E-2</v>
      </c>
      <c r="JX582" s="19">
        <f t="shared" si="1575"/>
        <v>8458.8637478300407</v>
      </c>
      <c r="JZ582" s="341"/>
      <c r="KA582" s="342"/>
      <c r="KB582" s="469">
        <f t="shared" si="1576"/>
        <v>2.5122967434604799</v>
      </c>
      <c r="KI582" s="473">
        <f t="shared" si="1647"/>
        <v>-20.121348774546391</v>
      </c>
      <c r="KJ582" s="473">
        <f t="shared" si="1648"/>
        <v>-24.397587091284493</v>
      </c>
      <c r="KK582" s="473">
        <f t="shared" si="1579"/>
        <v>-2.2664746227155774</v>
      </c>
      <c r="KN582" s="544">
        <f t="shared" si="1580"/>
        <v>5002</v>
      </c>
      <c r="KO582" s="541">
        <f t="shared" si="1620"/>
        <v>-6.0809926178396756E-2</v>
      </c>
      <c r="KP582" s="546">
        <f t="shared" si="1621"/>
        <v>-429.24002632091697</v>
      </c>
      <c r="KQ582" s="546">
        <f t="shared" si="1622"/>
        <v>-425.11502708198645</v>
      </c>
      <c r="KR582" s="548">
        <f t="shared" si="1623"/>
        <v>2.5594003327358208</v>
      </c>
      <c r="KS582" s="548">
        <f t="shared" si="1624"/>
        <v>2.584234845166776</v>
      </c>
      <c r="KT582" s="473">
        <f t="shared" si="1581"/>
        <v>595.94378802984284</v>
      </c>
      <c r="KU582" s="663">
        <f t="shared" si="1626"/>
        <v>4.002159831253711</v>
      </c>
    </row>
    <row r="583" spans="1:307" s="26" customFormat="1" ht="15" outlineLevel="1">
      <c r="A583" s="561">
        <f t="shared" si="1652"/>
        <v>5083</v>
      </c>
      <c r="B583" s="561">
        <f t="shared" si="1627"/>
        <v>83</v>
      </c>
      <c r="C583" s="561">
        <f t="shared" si="1628"/>
        <v>5</v>
      </c>
      <c r="D583" s="561" t="str">
        <f t="shared" si="1509"/>
        <v xml:space="preserve">250 CC, 0.9/1.9/2.9/3.9, -360 Lease, </v>
      </c>
      <c r="E583" s="475">
        <f>INDEX(Input!$1:$1048576,E$93,$C583*2+MIN($B583,2)+5)
+INDEX(Scenarios!E$121:E$200,MATCH($B583,Scenarios!$B$121:$B$200,0))</f>
        <v>1527.4263093788063</v>
      </c>
      <c r="F583" s="475">
        <f>INDEX(Input!$1:$1048576,F$93,$C583*2+MIN($B583,2)+5)
+INDEX(Scenarios!F$121:F$200,MATCH($B583,Scenarios!$B$121:$B$200,0))</f>
        <v>0</v>
      </c>
      <c r="G583" s="475">
        <f>INDEX(Input!$1:$1048576,G$93,$C583*2+MIN($B583,2)+5)
+INDEX(Scenarios!G$121:G$200,MATCH($B583,Scenarios!$B$121:$B$200,0))</f>
        <v>0</v>
      </c>
      <c r="H583" s="475">
        <f>INDEX(Input!$1:$1048576,H$93,$C583*2+MIN($B583,2)+5)
+INDEX(Scenarios!H$121:H$200,MATCH($B583,Scenarios!$B$121:$B$200,0))</f>
        <v>0</v>
      </c>
      <c r="I583" s="476">
        <f>INDEX(Input!$1:$1048576,I$93,$C583*2+MIN($B583,2)+5)</f>
        <v>0.7</v>
      </c>
      <c r="J583" s="476" t="str">
        <f>INDEX(Input!$1:$1048576,J$93,$C583*2+MIN($B583,2)+5)</f>
        <v>Market</v>
      </c>
      <c r="K583" s="476" t="str">
        <f>INDEX(Input!$1:$1048576,K$93,$C583*2+MIN($B583,2)+5)</f>
        <v>Market</v>
      </c>
      <c r="L583" s="476" t="str">
        <f>INDEX(Input!$1:$1048576,L$93,$C583*2+MIN($B583,2)+5)</f>
        <v>Market</v>
      </c>
      <c r="M583" s="476" t="str">
        <f>INDEX(Input!$1:$1048576,M$93,$C583*2+MIN($B583,2)+5)</f>
        <v>Market</v>
      </c>
      <c r="N583" s="476" t="str">
        <f>INDEX(Input!$1:$1048576,N$93,$C583*2+MIN($B583,2)+5)</f>
        <v>Market</v>
      </c>
      <c r="O583" s="476" t="str">
        <f>INDEX(Input!$1:$1048576,O$93,$C583*2+MIN($B583,2)+5)</f>
        <v>Market</v>
      </c>
      <c r="P583" s="476" t="str">
        <f>INDEX(Input!$1:$1048576,P$93,$C583*2+MIN($B583,2)+5)</f>
        <v>N</v>
      </c>
      <c r="Q583" s="477">
        <f>INDEX(Input!$1:$1048576,Q$93,$C583*2+MIN($B583,2)+5)
+INDEX(Scenarios!Q$121:Q$200,MATCH($B583,Scenarios!$B$121:$B$200,0))</f>
        <v>0</v>
      </c>
      <c r="R583" s="478">
        <f>IFERROR(MAX(0,INDEX(Input!$1:$1048576,R$93,$C583*2+MIN($B583,2)+5)
+INDEX(Scenarios!R$121:R$200,MATCH($B583,Scenarios!$B$121:$B$200,0)),),"Market")</f>
        <v>0</v>
      </c>
      <c r="S583" s="478">
        <f>IFERROR(MAX(0,INDEX(Input!$1:$1048576,S$93,$C583*2+MIN($B583,2)+5)
+INDEX(Scenarios!S$121:S$200,MATCH($B583,Scenarios!$B$121:$B$200,0)),),"Market")</f>
        <v>0</v>
      </c>
      <c r="T583" s="478">
        <f>IFERROR(MAX(0,INDEX(Input!$1:$1048576,T$93,$C583*2+MIN($B583,2)+5)
+INDEX(Scenarios!T$121:T$200,MATCH($B583,Scenarios!$B$121:$B$200,0)),),"Market")</f>
        <v>0</v>
      </c>
      <c r="U583" s="478">
        <f>IFERROR(MAX(0,INDEX(Input!$1:$1048576,U$93,$C583*2+MIN($B583,2)+5)
+INDEX(Scenarios!U$121:U$200,MATCH($B583,Scenarios!$B$121:$B$200,0)),),"Market")</f>
        <v>9.0000000000000011E-3</v>
      </c>
      <c r="V583" s="478">
        <f>IFERROR(MAX(0,INDEX(Input!$1:$1048576,V$93,$C583*2+MIN($B583,2)+5)
+INDEX(Scenarios!V$121:V$200,MATCH($B583,Scenarios!$B$121:$B$200,0)),),"Market")</f>
        <v>2.8999999999999998E-2</v>
      </c>
      <c r="W583" s="885">
        <f>IFERROR(MAX(0,INDEX(Input!$1:$1048576,W$93,$C583*2+MIN($B583,2)+5)-0%,),"Market")</f>
        <v>3.9E-2</v>
      </c>
      <c r="X583" s="476" t="str">
        <f>INDEX(Input!$1:$1048576,X$93,$C583*2+MIN($B583,2)+5)</f>
        <v>Y</v>
      </c>
      <c r="Y583" s="475">
        <f>INDEX(Input!$1:$1048576,Y$93,$C583*2+MIN($B583,2)+5)
++INDEX(Scenarios!Y$121:Y$200,MATCH($B583,Scenarios!$B$121:$B$200,0))</f>
        <v>-1077.9364173925233</v>
      </c>
      <c r="Z583" s="477">
        <f>INDEX(Input!$1:$1048576,Z$93,$C583*2+MIN($B583,2)+5)
+INDEX(Scenarios!Z$121:Z$200,MATCH($B583,Scenarios!$B$121:$B$200,0))</f>
        <v>0</v>
      </c>
      <c r="AA583" s="475">
        <f>INDEX(Input!$1:$1048576,AA$93,$C583*2+MIN($B583,2)+5)
+INDEX(Scenarios!AA$121:AA$200,MATCH($B583,Scenarios!$B$121:$B$200,0))</f>
        <v>0</v>
      </c>
      <c r="AB583" s="476">
        <f>INDEX(Input!$1:$1048576,AB$93,$C583*2+MIN($B583,2)+5)</f>
        <v>0.27</v>
      </c>
      <c r="AC583" s="475">
        <f>INDEX(Input!$1:$1048576,AC$93,$C583*2+MIN($B583,2)+5)
+INDEX(Scenarios!AC$121:AC$200,MATCH($B583,Scenarios!$B$121:$B$200,0))</f>
        <v>0</v>
      </c>
      <c r="AD583" s="476">
        <f>INDEX(Input!$1:$1048576,AD$93,$C583*2+MIN($B583,2)+5)</f>
        <v>0.27</v>
      </c>
      <c r="AE583" s="475">
        <f>INDEX(Input!$1:$1048576,AE$93,$C583*2+MIN($B583,2)+5)
+INDEX(Scenarios!AE$121:AE$200,MATCH($B583,Scenarios!$B$121:$B$200,0))</f>
        <v>0</v>
      </c>
      <c r="AF583" s="476">
        <f>INDEX(Input!$1:$1048576,AF$93,$C583*2+MIN($B583,2)+5)</f>
        <v>0.2</v>
      </c>
      <c r="AG583" s="475">
        <f>INDEX(Input!$1:$1048576,AG$93,$C583*2+MIN($B583,2)+5)
+INDEX(Scenarios!AG$121:AG$200,MATCH($B583,Scenarios!$B$121:$B$200,0))</f>
        <v>500</v>
      </c>
      <c r="AH583" s="476">
        <f>INDEX(Input!$1:$1048576,AH$93,$C583*2+MIN($B583,2)+5)</f>
        <v>1</v>
      </c>
      <c r="AI583" s="475">
        <f>INDEX(Input!$1:$1048576,AI$93,$C583*2+MIN($B583,2)+5)
+INDEX(Scenarios!AI$121:AI$200,MATCH($B583,Scenarios!$B$121:$B$200,0))</f>
        <v>0</v>
      </c>
      <c r="AJ583" s="476">
        <f>INDEX(Input!$1:$1048576,AJ$93,$C583*2+MIN($B583,2)+5)</f>
        <v>0.27</v>
      </c>
      <c r="AK583" s="150">
        <f>ROUND(INDEX(Input!$1:$1048576,AK$93,$C582*2+MIN($B583,1)+5)+(Y583-VLOOKUP($C583*1000+1,$A:$HH,Y$92,FALSE)),0)</f>
        <v>2227</v>
      </c>
      <c r="AL583" s="150">
        <f>ROUND(INDEX(Input!$1:$1048576,AL$93,$C582*2+MIN($B583,1)+5)-(Y583-VLOOKUP($C583*1000+1,$A:$HH,Y$92,FALSE))/36,0)</f>
        <v>3416</v>
      </c>
      <c r="AM583" s="32" t="str">
        <f t="shared" si="1653"/>
        <v>std/std/std/std</v>
      </c>
      <c r="AN583" s="32" t="str">
        <f t="shared" si="1654"/>
        <v>$0 + 0/0/0.9/2.9/3.9</v>
      </c>
      <c r="AO583" s="32" t="str">
        <f t="shared" si="1655"/>
        <v>0/0/0.9/2.9/3.9</v>
      </c>
      <c r="AP583" s="32" t="str">
        <f t="shared" si="1526"/>
        <v>0.9/1.9/2.9/3.9</v>
      </c>
      <c r="AQ583" s="536">
        <f t="shared" si="1525"/>
        <v>0.46285017116064114</v>
      </c>
      <c r="AR583" s="32"/>
      <c r="AS583" s="302"/>
      <c r="AT583" s="3">
        <f t="shared" si="1629"/>
        <v>83</v>
      </c>
      <c r="AU583" s="41" t="s">
        <v>121</v>
      </c>
      <c r="AV583" s="41" t="s">
        <v>116</v>
      </c>
      <c r="AW583" s="41" t="str">
        <f>INDEX(Input!$1:$1048576,AW$93,$C583*2+6)</f>
        <v>Kia</v>
      </c>
      <c r="AX583" s="41" t="str">
        <f>INDEX(Input!$1:$1048576,AX$93,$C583*2+6)</f>
        <v>Kia-LR - R2</v>
      </c>
      <c r="AY583" s="41" t="str">
        <f>IF(LEN(D583)=0,"",INDEX(Input!$1:$1048576,AY$93,$C583*2+6))</f>
        <v>Compact SUV (52)</v>
      </c>
      <c r="AZ583" s="41" t="str">
        <f>INDEX(Input!$1:$1048576,AZ$93,$C583*2+6)</f>
        <v>Kia Soul</v>
      </c>
      <c r="BA583" s="3">
        <f>INDEX(Input!$1:$1048576,BA$93,$C583*2+6)</f>
        <v>2020</v>
      </c>
      <c r="BB583" s="128">
        <f>INDEX(Input!$1:$1048576,BB$93,$C583*2+6)</f>
        <v>1</v>
      </c>
      <c r="BC583" s="128">
        <f>INDEX(Input!$1:$1048576,BC$93,$C583*2+6)</f>
        <v>0.7</v>
      </c>
      <c r="BD583" s="1">
        <f>INDEX(Input!$1:$1048576,BD$93,$C583*2+6)</f>
        <v>4.4999999999999998E-2</v>
      </c>
      <c r="BE583" s="1">
        <f>INDEX(Input!$1:$1048576,BE$93,$C583*2+6)</f>
        <v>4.4999999999999998E-2</v>
      </c>
      <c r="BF583" s="1">
        <f>INDEX(Input!$1:$1048576,BF$93,$C583*2+6)</f>
        <v>0.05</v>
      </c>
      <c r="BG583" s="1">
        <f>INDEX(Input!$1:$1048576,BG$93,$C583*2+6)</f>
        <v>5.45E-2</v>
      </c>
      <c r="BH583" s="1">
        <f>INDEX(Input!$1:$1048576,BH$93,$C583*2+6)</f>
        <v>5.45E-2</v>
      </c>
      <c r="BI583" s="1">
        <f>INDEX(Input!$1:$1048576,BI$93,$C583*2+6)</f>
        <v>0.05</v>
      </c>
      <c r="BJ583" s="1">
        <f>INDEX(Input!$1:$1048576,BJ$93,$C583*2+6)</f>
        <v>0.05</v>
      </c>
      <c r="BK583" s="1">
        <f>INDEX(Input!$1:$1048576,BK$93,$C583*2+6)</f>
        <v>0.05</v>
      </c>
      <c r="BL583" s="1">
        <f>INDEX(Input!$1:$1048576,BL$93,$C583*2+6)</f>
        <v>5.5E-2</v>
      </c>
      <c r="BM583" s="1">
        <f>INDEX(Input!$1:$1048576,BM$93,$C583*2+6)</f>
        <v>0.06</v>
      </c>
      <c r="BN583" s="1">
        <f>INDEX(Input!$1:$1048576,BN$93,$C583*2+6)</f>
        <v>4.4999999999999998E-2</v>
      </c>
      <c r="BO583" s="1">
        <f>INDEX(Input!$1:$1048576,BO$93,$C583*2+6)</f>
        <v>4.4999999999999998E-2</v>
      </c>
      <c r="BP583" s="1">
        <f>INDEX(Input!$1:$1048576,BP$93,$C583*2+6)</f>
        <v>0.05</v>
      </c>
      <c r="BQ583" s="1">
        <f>INDEX(Input!$1:$1048576,BQ$93,$C583*2+6)</f>
        <v>5.45E-2</v>
      </c>
      <c r="BR583" s="1">
        <f>INDEX(Input!$1:$1048576,BR$93,$C583*2+6)</f>
        <v>5.45E-2</v>
      </c>
      <c r="BS583" s="1">
        <f>INDEX(Input!$1:$1048576,BS$93,$C583*2+6)</f>
        <v>0.05</v>
      </c>
      <c r="BT583" s="1">
        <f>INDEX(Input!$1:$1048576,BT$93,$C583*2+6)</f>
        <v>0.05</v>
      </c>
      <c r="BU583" s="1">
        <f>INDEX(Input!$1:$1048576,BU$93,$C583*2+6)</f>
        <v>0.05</v>
      </c>
      <c r="BV583" s="1">
        <f>INDEX(Input!$1:$1048576,BV$93,$C583*2+6)</f>
        <v>5.5E-2</v>
      </c>
      <c r="BW583" s="1">
        <f>INDEX(Input!$1:$1048576,BW$93,$C583*2+6)</f>
        <v>0.06</v>
      </c>
      <c r="BX583" s="127">
        <f>INDEX(Input!$1:$1048576,BX$93,$C583*2+6)</f>
        <v>19985</v>
      </c>
      <c r="BY583" s="20">
        <f>INDEX(Input!$1:$1048576,BY$93,$C583*2+6)</f>
        <v>0.1</v>
      </c>
      <c r="BZ583" s="20">
        <f>INDEX(Input!$1:$1048576,BZ$93,$C583*2+6)</f>
        <v>0.1</v>
      </c>
      <c r="CA583" s="20">
        <f>INDEX(Input!$1:$1048576,CA$93,$C583*2+6)</f>
        <v>0.1</v>
      </c>
      <c r="CB583" s="20">
        <f>INDEX(Input!$1:$1048576,CB$93,$C583*2+6)</f>
        <v>0.1</v>
      </c>
      <c r="CC583" s="20">
        <f>INDEX(Input!$1:$1048576,CC$93,$C583*2+6)</f>
        <v>0.1</v>
      </c>
      <c r="CD583" s="384">
        <f>INDEX(Input!$1:$1048576,CD$93,$C583*2+6)</f>
        <v>0.1</v>
      </c>
      <c r="CE583" s="384">
        <f>INDEX(Input!$1:$1048576,CE$93,$C583*2+6)</f>
        <v>0.1</v>
      </c>
      <c r="CF583" s="384">
        <f>INDEX(Input!$1:$1048576,CF$93,$C583*2+6)</f>
        <v>0.1</v>
      </c>
      <c r="CG583" s="384">
        <f>INDEX(Input!$1:$1048576,CG$93,$C583*2+6)</f>
        <v>0.1</v>
      </c>
      <c r="CH583" s="384">
        <f>INDEX(Input!$1:$1048576,CH$93,$C583*2+6)</f>
        <v>0.1</v>
      </c>
      <c r="CI583" s="304">
        <f t="shared" si="1527"/>
        <v>1527.4263093788063</v>
      </c>
      <c r="CJ583" s="16" t="str">
        <f>INDEX(Input!$1:$1048576,CJ$93,$C583*2+6)</f>
        <v>N</v>
      </c>
      <c r="CK583" s="1" t="str">
        <f t="shared" si="1528"/>
        <v>Market</v>
      </c>
      <c r="CL583" s="1" t="str">
        <f t="shared" si="1529"/>
        <v>Market</v>
      </c>
      <c r="CM583" s="1" t="str">
        <f t="shared" si="1530"/>
        <v>Market</v>
      </c>
      <c r="CN583" s="1" t="str">
        <f t="shared" si="1531"/>
        <v>Market</v>
      </c>
      <c r="CO583" s="1" t="str">
        <f t="shared" si="1532"/>
        <v>Market</v>
      </c>
      <c r="CP583" s="304">
        <f t="shared" si="1533"/>
        <v>500</v>
      </c>
      <c r="CQ583" s="1">
        <f t="shared" si="1534"/>
        <v>0</v>
      </c>
      <c r="CR583" s="1">
        <f t="shared" si="1535"/>
        <v>0</v>
      </c>
      <c r="CS583" s="1">
        <f t="shared" si="1536"/>
        <v>9.0000000000000011E-3</v>
      </c>
      <c r="CT583" s="1">
        <f t="shared" si="1537"/>
        <v>2.8999999999999998E-2</v>
      </c>
      <c r="CU583" s="1">
        <f t="shared" si="1538"/>
        <v>3.9E-2</v>
      </c>
      <c r="CV583" s="304">
        <f t="shared" si="1539"/>
        <v>-1077.9364173925233</v>
      </c>
      <c r="CW583" s="20" t="s">
        <v>122</v>
      </c>
      <c r="CX583" s="20" t="s">
        <v>122</v>
      </c>
      <c r="CY583" s="20" t="s">
        <v>122</v>
      </c>
      <c r="CZ583" s="20" t="s">
        <v>122</v>
      </c>
      <c r="DA583" s="20" t="s">
        <v>122</v>
      </c>
      <c r="DB583" s="503">
        <f t="shared" si="1540"/>
        <v>0</v>
      </c>
      <c r="DC583" s="127">
        <v>0</v>
      </c>
      <c r="DD583" s="127">
        <v>0</v>
      </c>
      <c r="DE583" s="127">
        <v>0</v>
      </c>
      <c r="DF583" s="127">
        <v>0</v>
      </c>
      <c r="DG583" s="127">
        <v>0</v>
      </c>
      <c r="DH583" s="127">
        <v>0</v>
      </c>
      <c r="DI583" s="127">
        <v>0</v>
      </c>
      <c r="DJ583" s="127">
        <v>0</v>
      </c>
      <c r="DK583" s="127">
        <v>0</v>
      </c>
      <c r="DL583" s="127">
        <v>0</v>
      </c>
      <c r="DM583" s="304">
        <f>INDEX(Input!$1:$1048576,DM$93,$C583*2+6)</f>
        <v>21036.84210526316</v>
      </c>
      <c r="DN583" s="20">
        <v>0</v>
      </c>
      <c r="DO583" s="20">
        <v>0</v>
      </c>
      <c r="DP583" s="20">
        <v>0</v>
      </c>
      <c r="DQ583" s="20">
        <v>0</v>
      </c>
      <c r="DR583" s="20">
        <v>0</v>
      </c>
      <c r="DS583" s="20">
        <f>INDEX(Input!$1:$1048576,DS$93,$C583*2+6)</f>
        <v>0.6</v>
      </c>
      <c r="DT583" s="20">
        <f>INDEX(Input!$1:$1048576,DT$93,$C583*2+6)</f>
        <v>0.55000000000000004</v>
      </c>
      <c r="DU583" s="20">
        <f>INDEX(Input!$1:$1048576,DU$93,$C583*2+6)</f>
        <v>0.52</v>
      </c>
      <c r="DV583" s="20">
        <f>INDEX(Input!$1:$1048576,DV$93,$C583*2+6)</f>
        <v>0.5</v>
      </c>
      <c r="DW583" s="20">
        <f>INDEX(Input!$1:$1048576,DW$93,$C583*2+6)</f>
        <v>0.45</v>
      </c>
      <c r="DX583" s="20"/>
      <c r="DY583" s="7">
        <v>0.12802879682517931</v>
      </c>
      <c r="DZ583" s="7">
        <v>0</v>
      </c>
      <c r="EA583" s="7">
        <v>0.76743981961137087</v>
      </c>
      <c r="EB583" s="7">
        <v>0</v>
      </c>
      <c r="EC583" s="7">
        <v>0</v>
      </c>
      <c r="ED583" s="7">
        <v>0</v>
      </c>
      <c r="EE583" s="7">
        <v>0</v>
      </c>
      <c r="EF583" s="7">
        <v>0</v>
      </c>
      <c r="EG583" s="7">
        <v>0</v>
      </c>
      <c r="EH583" s="7">
        <v>1.6543089312373322E-2</v>
      </c>
      <c r="EI583" s="7">
        <v>4.600186210170569E-2</v>
      </c>
      <c r="EJ583" s="7">
        <v>0.29042070644412105</v>
      </c>
      <c r="EK583" s="7">
        <v>0.4759331398640369</v>
      </c>
      <c r="EL583" s="7">
        <v>0.17110120227776351</v>
      </c>
      <c r="EM583" s="7">
        <v>5.0370312227981065E-2</v>
      </c>
      <c r="EN583" s="7">
        <v>5.7496293327649231E-2</v>
      </c>
      <c r="EO583" s="7">
        <v>0.7068961472054256</v>
      </c>
      <c r="EP583" s="7">
        <v>9.4498714551518093E-2</v>
      </c>
      <c r="EQ583" s="7">
        <v>9.3074529972778583E-2</v>
      </c>
      <c r="ER583" s="7">
        <v>4.8034314942628664E-2</v>
      </c>
      <c r="ES583" s="7">
        <v>5.4161071335468637E-2</v>
      </c>
      <c r="ET583" s="7">
        <v>0.10453138356344981</v>
      </c>
      <c r="EU583" s="6">
        <v>1520</v>
      </c>
      <c r="EV583" s="6">
        <v>0</v>
      </c>
      <c r="EW583" s="6">
        <v>1520</v>
      </c>
      <c r="EX583" s="6">
        <v>0</v>
      </c>
      <c r="EY583" s="6">
        <v>1631.5632820710282</v>
      </c>
      <c r="EZ583" s="6">
        <v>-366.44990394013166</v>
      </c>
      <c r="FA583" s="6">
        <v>0</v>
      </c>
      <c r="FB583" s="6">
        <v>0</v>
      </c>
      <c r="FC583" s="6">
        <v>0</v>
      </c>
      <c r="FD583" s="6">
        <v>0</v>
      </c>
      <c r="FE583" s="6">
        <v>0</v>
      </c>
      <c r="FF583" s="6">
        <v>0</v>
      </c>
      <c r="FG583" s="6">
        <v>0</v>
      </c>
      <c r="FH583" s="6">
        <v>1172.1441446504648</v>
      </c>
      <c r="FI583" s="6">
        <v>1553.9796069512415</v>
      </c>
      <c r="FJ583" s="6">
        <v>1735.15622307028</v>
      </c>
      <c r="FK583" s="6">
        <v>1284.9687470586844</v>
      </c>
      <c r="FL583" s="6">
        <v>907.07682140966301</v>
      </c>
      <c r="FM583" s="6">
        <v>1361.5632820710282</v>
      </c>
      <c r="FN583" s="6">
        <v>0</v>
      </c>
      <c r="FO583" s="6">
        <v>0</v>
      </c>
      <c r="FP583" s="6">
        <v>0</v>
      </c>
      <c r="FQ583" s="6">
        <v>0</v>
      </c>
      <c r="FR583" s="6">
        <v>0</v>
      </c>
      <c r="FS583" s="6">
        <v>0</v>
      </c>
      <c r="FT583" s="7">
        <v>0.89546861643655018</v>
      </c>
      <c r="FU583" s="7">
        <v>5.0370312227981065E-2</v>
      </c>
      <c r="FV583" s="7">
        <v>5.4161071335468637E-2</v>
      </c>
      <c r="FW583" s="6">
        <v>1520.0000000000002</v>
      </c>
      <c r="FX583" s="6">
        <v>1631.5632820710282</v>
      </c>
      <c r="FY583" s="6">
        <v>-366.44990394013166</v>
      </c>
      <c r="FZ583" s="6">
        <v>1758.1538569113241</v>
      </c>
      <c r="GA583" s="6">
        <v>1423.4473295330065</v>
      </c>
      <c r="GB583" s="6">
        <v>18561.552670466994</v>
      </c>
      <c r="GC583" s="7">
        <v>3.064145122680037E-2</v>
      </c>
      <c r="GD583" s="7">
        <v>2.990280147802038E-2</v>
      </c>
      <c r="GE583" s="7"/>
      <c r="GF583" s="7"/>
      <c r="GG583" s="7">
        <v>-2.4106226017582829E-2</v>
      </c>
      <c r="GH583" s="42">
        <v>1.4393592223460225</v>
      </c>
      <c r="GI583" s="6">
        <v>15308.098005843198</v>
      </c>
      <c r="GJ583" s="14">
        <v>0.50394797582841688</v>
      </c>
      <c r="GK583" s="14">
        <v>0.50887573065309755</v>
      </c>
      <c r="GL583" s="14">
        <v>0.49605202417158273</v>
      </c>
      <c r="GM583" s="14">
        <v>0.49112426934690245</v>
      </c>
      <c r="GO583" s="5">
        <v>343.14810671672558</v>
      </c>
      <c r="GP583" s="5">
        <v>314.14940645767444</v>
      </c>
      <c r="GQ583" s="5">
        <v>535.04305713031317</v>
      </c>
      <c r="GR583" s="5">
        <v>410.15490233172511</v>
      </c>
      <c r="GS583" s="5">
        <v>339.42744393800166</v>
      </c>
      <c r="GT583" s="5">
        <v>293.4407446948278</v>
      </c>
      <c r="GU583" s="5">
        <v>258.04012322764959</v>
      </c>
      <c r="GV583" s="39" t="s">
        <v>392</v>
      </c>
      <c r="GW583" s="5">
        <v>492.125</v>
      </c>
      <c r="GX583" s="5">
        <v>369.09375</v>
      </c>
      <c r="GY583" s="5">
        <v>302.07920908968697</v>
      </c>
      <c r="GZ583" s="5">
        <v>268.3868982438774</v>
      </c>
      <c r="HA583" s="5">
        <v>241.34874471337258</v>
      </c>
      <c r="HB583" s="39">
        <v>281.87960449212682</v>
      </c>
      <c r="HC583" s="5">
        <v>303.31655829738077</v>
      </c>
      <c r="HD583" s="5">
        <v>250.74799238008356</v>
      </c>
      <c r="HE583" s="5">
        <v>251.12245558578954</v>
      </c>
      <c r="HF583" s="5">
        <v>229.38290951107166</v>
      </c>
      <c r="HG583" s="5">
        <v>217.65500473779989</v>
      </c>
      <c r="HH583" s="39">
        <v>250.22773232079973</v>
      </c>
      <c r="HI583" s="16"/>
      <c r="HJ583" s="19" t="str">
        <f t="shared" ref="HJ583:HK583" si="1659">HJ582</f>
        <v>On</v>
      </c>
      <c r="HK583" s="1" t="str">
        <f t="shared" si="1659"/>
        <v>On</v>
      </c>
      <c r="HL583" s="16"/>
      <c r="HM583" s="639">
        <f t="shared" si="1605"/>
        <v>2.4909940070666322E-2</v>
      </c>
      <c r="HN583" s="639">
        <f t="shared" si="1606"/>
        <v>2.2052381276269151E-3</v>
      </c>
      <c r="HO583" s="639">
        <f t="shared" si="1607"/>
        <v>2.079866082302006E-3</v>
      </c>
      <c r="HP583" s="644">
        <f>(FT583*$GD583-HM583)/$JF583*INDEX(Input!$1:$1048576,$JG$93,$C583*2+6)</f>
        <v>52.504556134229666</v>
      </c>
      <c r="HQ583" s="644">
        <f>(FU583*$GD583-HN583)/$JF583*INDEX(Input!$1:$1048576,$JG$93,$C583*2+6)</f>
        <v>-19.657420530992141</v>
      </c>
      <c r="HR583" s="644">
        <f>(FV583*$GD583-HO583)/$JF583*INDEX(Input!$1:$1048576,$JG$93,$C583*2+6)</f>
        <v>-12.944146126621224</v>
      </c>
      <c r="HS583" s="644">
        <f t="shared" si="1598"/>
        <v>-13.3696551481965</v>
      </c>
      <c r="HT583" s="644">
        <f t="shared" si="1644"/>
        <v>-22.042957385667286</v>
      </c>
      <c r="HU583" s="644">
        <f t="shared" si="1609"/>
        <v>-1.4831102869592434</v>
      </c>
      <c r="HV583" s="648">
        <f t="shared" si="1610"/>
        <v>0</v>
      </c>
      <c r="HW583" s="648">
        <f t="shared" si="1611"/>
        <v>0</v>
      </c>
      <c r="HX583" s="648">
        <f t="shared" si="1612"/>
        <v>0</v>
      </c>
      <c r="HY583" s="644">
        <f>INDEX(Input!$1:$1048576,HY$93,$C583*2+6)*INDEX(Input!$1:$1048576,$JG$93,$C583*2+6)</f>
        <v>333.00000000000006</v>
      </c>
      <c r="HZ583" s="644">
        <f>INDEX(Input!$1:$1048576,HZ$93,$C583*2+6)*INDEX(Input!$1:$1048576,$JG$93,$C583*2+6)</f>
        <v>429</v>
      </c>
      <c r="IA583" s="644">
        <f>INDEX(Input!$1:$1048576,IA$93,$C583*2+6)*INDEX(Input!$1:$1048576,$JG$93,$C583*2+6)</f>
        <v>59</v>
      </c>
      <c r="IB583" s="644">
        <f t="shared" si="1551"/>
        <v>372.13490098603313</v>
      </c>
      <c r="IC583" s="644">
        <f t="shared" si="1552"/>
        <v>387.29962208334058</v>
      </c>
      <c r="ID583" s="644">
        <f>IF(AND(INDEX(Input!$1:$1048576,IA$93,$C583*2+7)="TOS",Y583&lt;=INDEX(Y:Y,MATCH(C583*1000+2,A:A))),0,1)*MAX(IA583+HR583+HU583+HX583,0%)</f>
        <v>44.572743586419534</v>
      </c>
      <c r="IE583" s="128">
        <f t="shared" si="1645"/>
        <v>0.46285017116064114</v>
      </c>
      <c r="IF583" s="128">
        <f t="shared" si="1646"/>
        <v>0.48171159409327702</v>
      </c>
      <c r="IG583" s="128">
        <f t="shared" si="1555"/>
        <v>5.5438234746081907E-2</v>
      </c>
      <c r="IH583" s="21"/>
      <c r="II583" s="19">
        <f t="shared" si="1613"/>
        <v>1240</v>
      </c>
      <c r="IJ583" s="19">
        <f t="shared" si="1614"/>
        <v>1985.7442651839444</v>
      </c>
      <c r="IK583" s="19">
        <f t="shared" si="1615"/>
        <v>-21.44990394013189</v>
      </c>
      <c r="IL583" s="19">
        <f t="shared" si="1556"/>
        <v>280.00000000000023</v>
      </c>
      <c r="IM583" s="19">
        <f t="shared" si="1557"/>
        <v>-354.18098311291624</v>
      </c>
      <c r="IN583" s="19">
        <f t="shared" si="1558"/>
        <v>-344.99999999999977</v>
      </c>
      <c r="IO583" s="39">
        <f t="shared" si="1616"/>
        <v>0</v>
      </c>
      <c r="IP583" s="39">
        <f t="shared" si="1617"/>
        <v>0</v>
      </c>
      <c r="IQ583" s="39">
        <f t="shared" si="1618"/>
        <v>0</v>
      </c>
      <c r="IR583" s="39">
        <v>0</v>
      </c>
      <c r="IS583" s="39">
        <v>0</v>
      </c>
      <c r="IT583" s="39">
        <v>0</v>
      </c>
      <c r="IU583" s="39">
        <v>0</v>
      </c>
      <c r="IV583" s="39">
        <v>0</v>
      </c>
      <c r="IW583" s="39">
        <v>0</v>
      </c>
      <c r="IX583" s="39">
        <f>INDEX(Input!$1:$1048576,IX$93,$C583*2+6)+INDEX(Input!$1:$1048576,IX$94,$C583*2+6)</f>
        <v>1270</v>
      </c>
      <c r="IY583" s="39">
        <f>INDEX(Input!$1:$1048576,IY$93,$C583*2+6)+INDEX(Input!$1:$1048576,IY$94,$C583*2+6)</f>
        <v>2130.0624533823611</v>
      </c>
      <c r="IZ583" s="39">
        <f>INDEX(Input!$1:$1048576,IZ$93,$C583*2+6)+INDEX(Input!$1:$1048576,IZ$94,$C583*2+6)</f>
        <v>3653.7164157747857</v>
      </c>
      <c r="JA583" s="19">
        <f t="shared" si="1559"/>
        <v>1550.0000000000002</v>
      </c>
      <c r="JB583" s="19">
        <f t="shared" si="1560"/>
        <v>1775.8814702694449</v>
      </c>
      <c r="JC583" s="19">
        <f t="shared" si="1561"/>
        <v>3308.7164157747857</v>
      </c>
      <c r="JD583" s="19">
        <f t="shared" si="1562"/>
        <v>1756.3098566291383</v>
      </c>
      <c r="JE583" s="21"/>
      <c r="JF583" s="1">
        <f t="shared" si="1619"/>
        <v>2.9195044280595241E-2</v>
      </c>
      <c r="JG583" s="15">
        <f>INDEX(Input!$1:$1048576,JG$93,$C583*2+6)/(1+VLOOKUP(C583*1000+INDEX(Input!$1:$1048576,JG$93+1,$C583*2+6),$A:$KK,$JK$92,FALSE))</f>
        <v>821</v>
      </c>
      <c r="JH583" s="1">
        <f t="shared" si="1563"/>
        <v>2.424237451475798E-2</v>
      </c>
      <c r="JI583" s="1">
        <f t="shared" si="1564"/>
        <v>-4.493997907530211E-2</v>
      </c>
      <c r="JJ583" s="1">
        <f t="shared" si="1565"/>
        <v>0</v>
      </c>
      <c r="JK583" s="1">
        <f t="shared" si="1566"/>
        <v>-2.069760456054413E-2</v>
      </c>
      <c r="JL583" s="15">
        <f t="shared" si="1567"/>
        <v>-16.99273334420673</v>
      </c>
      <c r="JM583" s="15">
        <f t="shared" si="1568"/>
        <v>804.00726665579327</v>
      </c>
      <c r="JN583" s="21"/>
      <c r="JO583" s="19">
        <f>INDEX(Input!$1:$1048576,JO$93,$C583*2+6)</f>
        <v>5995.5</v>
      </c>
      <c r="JP583" s="19">
        <f>INDEX(Input!$1:$1048576,JP$93,$C583*2+6)</f>
        <v>1890.7138380411029</v>
      </c>
      <c r="JQ583" s="39">
        <f t="shared" si="1569"/>
        <v>4239.1901433708617</v>
      </c>
      <c r="JR583" s="39">
        <f t="shared" si="1570"/>
        <v>-134.40398141196465</v>
      </c>
      <c r="JS583" s="39">
        <f t="shared" si="1571"/>
        <v>1.4120858872290216</v>
      </c>
      <c r="JT583" s="39">
        <f t="shared" si="1572"/>
        <v>-0.14019017380272389</v>
      </c>
      <c r="JU583" s="385">
        <f>(JQ583*JM583-INDEX(Input!$1:$1048576,Input!A$18,$C583*2+6)*JL583*INDEX(Input!$1:$1048576,Input!A$19,$C583*2+6))/1000000</f>
        <v>3.408339680005787</v>
      </c>
      <c r="JV583" s="39">
        <f t="shared" si="1573"/>
        <v>3.8310241037532666E-2</v>
      </c>
      <c r="JW583" s="1">
        <f t="shared" si="1574"/>
        <v>1.1367924741114865E-2</v>
      </c>
      <c r="JX583" s="19">
        <f t="shared" si="1575"/>
        <v>8250.0072803483617</v>
      </c>
      <c r="JZ583" s="341"/>
      <c r="KA583" s="342"/>
      <c r="KB583" s="469">
        <f t="shared" si="1576"/>
        <v>2.5122967434604799</v>
      </c>
      <c r="KI583" s="473">
        <f t="shared" si="1647"/>
        <v>39.134900986033131</v>
      </c>
      <c r="KJ583" s="473">
        <f t="shared" si="1648"/>
        <v>-41.700377916659363</v>
      </c>
      <c r="KK583" s="473">
        <f t="shared" si="1579"/>
        <v>-14.427256413580459</v>
      </c>
      <c r="KN583" s="544">
        <f t="shared" si="1580"/>
        <v>5002</v>
      </c>
      <c r="KO583" s="541">
        <f t="shared" si="1620"/>
        <v>-2.4668800674429892E-2</v>
      </c>
      <c r="KP583" s="546">
        <f t="shared" si="1621"/>
        <v>-89.310365053681139</v>
      </c>
      <c r="KQ583" s="546">
        <f t="shared" si="1622"/>
        <v>-162.60890909412819</v>
      </c>
      <c r="KR583" s="548">
        <f t="shared" si="1623"/>
        <v>4.9901101251635946</v>
      </c>
      <c r="KS583" s="548">
        <f t="shared" si="1624"/>
        <v>2.7407388649194515</v>
      </c>
      <c r="KT583" s="473">
        <f t="shared" si="1581"/>
        <v>595.94378802984284</v>
      </c>
      <c r="KU583" s="663">
        <f t="shared" si="1626"/>
        <v>3.9728543658217603</v>
      </c>
    </row>
    <row r="584" spans="1:307" s="26" customFormat="1" ht="15" outlineLevel="1">
      <c r="A584" s="561">
        <f t="shared" si="1652"/>
        <v>5084</v>
      </c>
      <c r="B584" s="561">
        <f t="shared" si="1627"/>
        <v>84</v>
      </c>
      <c r="C584" s="561">
        <f t="shared" si="1628"/>
        <v>5</v>
      </c>
      <c r="D584" s="561" t="str">
        <f t="shared" si="1509"/>
        <v xml:space="preserve">250 CC, 0.9/1.9/2.9/3.9, </v>
      </c>
      <c r="E584" s="475">
        <f>INDEX(Input!$1:$1048576,E$93,$C584*2+MIN($B584,2)+5)
+INDEX(Scenarios!E$121:E$200,MATCH($B584,Scenarios!$B$121:$B$200,0))</f>
        <v>1527.4263093788063</v>
      </c>
      <c r="F584" s="475">
        <f>INDEX(Input!$1:$1048576,F$93,$C584*2+MIN($B584,2)+5)
+INDEX(Scenarios!F$121:F$200,MATCH($B584,Scenarios!$B$121:$B$200,0))</f>
        <v>0</v>
      </c>
      <c r="G584" s="475">
        <f>INDEX(Input!$1:$1048576,G$93,$C584*2+MIN($B584,2)+5)
+INDEX(Scenarios!G$121:G$200,MATCH($B584,Scenarios!$B$121:$B$200,0))</f>
        <v>0</v>
      </c>
      <c r="H584" s="475">
        <f>INDEX(Input!$1:$1048576,H$93,$C584*2+MIN($B584,2)+5)
+INDEX(Scenarios!H$121:H$200,MATCH($B584,Scenarios!$B$121:$B$200,0))</f>
        <v>0</v>
      </c>
      <c r="I584" s="476">
        <f>INDEX(Input!$1:$1048576,I$93,$C584*2+MIN($B584,2)+5)</f>
        <v>0.7</v>
      </c>
      <c r="J584" s="476" t="str">
        <f>INDEX(Input!$1:$1048576,J$93,$C584*2+MIN($B584,2)+5)</f>
        <v>Market</v>
      </c>
      <c r="K584" s="476" t="str">
        <f>INDEX(Input!$1:$1048576,K$93,$C584*2+MIN($B584,2)+5)</f>
        <v>Market</v>
      </c>
      <c r="L584" s="476" t="str">
        <f>INDEX(Input!$1:$1048576,L$93,$C584*2+MIN($B584,2)+5)</f>
        <v>Market</v>
      </c>
      <c r="M584" s="476" t="str">
        <f>INDEX(Input!$1:$1048576,M$93,$C584*2+MIN($B584,2)+5)</f>
        <v>Market</v>
      </c>
      <c r="N584" s="476" t="str">
        <f>INDEX(Input!$1:$1048576,N$93,$C584*2+MIN($B584,2)+5)</f>
        <v>Market</v>
      </c>
      <c r="O584" s="476" t="str">
        <f>INDEX(Input!$1:$1048576,O$93,$C584*2+MIN($B584,2)+5)</f>
        <v>Market</v>
      </c>
      <c r="P584" s="476" t="str">
        <f>INDEX(Input!$1:$1048576,P$93,$C584*2+MIN($B584,2)+5)</f>
        <v>N</v>
      </c>
      <c r="Q584" s="477">
        <f>INDEX(Input!$1:$1048576,Q$93,$C584*2+MIN($B584,2)+5)
+INDEX(Scenarios!Q$121:Q$200,MATCH($B584,Scenarios!$B$121:$B$200,0))</f>
        <v>0</v>
      </c>
      <c r="R584" s="478">
        <f>IFERROR(MAX(0,INDEX(Input!$1:$1048576,R$93,$C584*2+MIN($B584,2)+5)
+INDEX(Scenarios!R$121:R$200,MATCH($B584,Scenarios!$B$121:$B$200,0)),),"Market")</f>
        <v>9.0000000000000011E-3</v>
      </c>
      <c r="S584" s="478">
        <f>IFERROR(MAX(0,INDEX(Input!$1:$1048576,S$93,$C584*2+MIN($B584,2)+5)
+INDEX(Scenarios!S$121:S$200,MATCH($B584,Scenarios!$B$121:$B$200,0)),),"Market")</f>
        <v>9.0000000000000011E-3</v>
      </c>
      <c r="T584" s="478">
        <f>IFERROR(MAX(0,INDEX(Input!$1:$1048576,T$93,$C584*2+MIN($B584,2)+5)
+INDEX(Scenarios!T$121:T$200,MATCH($B584,Scenarios!$B$121:$B$200,0)),),"Market")</f>
        <v>9.0000000000000011E-3</v>
      </c>
      <c r="U584" s="478">
        <f>IFERROR(MAX(0,INDEX(Input!$1:$1048576,U$93,$C584*2+MIN($B584,2)+5)
+INDEX(Scenarios!U$121:U$200,MATCH($B584,Scenarios!$B$121:$B$200,0)),),"Market")</f>
        <v>9.0000000000000011E-3</v>
      </c>
      <c r="V584" s="478">
        <f>IFERROR(MAX(0,INDEX(Input!$1:$1048576,V$93,$C584*2+MIN($B584,2)+5)
+INDEX(Scenarios!V$121:V$200,MATCH($B584,Scenarios!$B$121:$B$200,0)),),"Market")</f>
        <v>2.8999999999999998E-2</v>
      </c>
      <c r="W584" s="885">
        <f>IFERROR(MAX(0,INDEX(Input!$1:$1048576,W$93,$C584*2+MIN($B584,2)+5)-0%,),"Market")</f>
        <v>3.9E-2</v>
      </c>
      <c r="X584" s="476" t="str">
        <f>INDEX(Input!$1:$1048576,X$93,$C584*2+MIN($B584,2)+5)</f>
        <v>Y</v>
      </c>
      <c r="Y584" s="475">
        <f>INDEX(Input!$1:$1048576,Y$93,$C584*2+MIN($B584,2)+5)
++INDEX(Scenarios!Y$121:Y$200,MATCH($B584,Scenarios!$B$121:$B$200,0))</f>
        <v>-717.93641739252325</v>
      </c>
      <c r="Z584" s="477">
        <f>INDEX(Input!$1:$1048576,Z$93,$C584*2+MIN($B584,2)+5)
+INDEX(Scenarios!Z$121:Z$200,MATCH($B584,Scenarios!$B$121:$B$200,0))</f>
        <v>0</v>
      </c>
      <c r="AA584" s="475">
        <f>INDEX(Input!$1:$1048576,AA$93,$C584*2+MIN($B584,2)+5)
+INDEX(Scenarios!AA$121:AA$200,MATCH($B584,Scenarios!$B$121:$B$200,0))</f>
        <v>0</v>
      </c>
      <c r="AB584" s="476">
        <f>INDEX(Input!$1:$1048576,AB$93,$C584*2+MIN($B584,2)+5)</f>
        <v>0.27</v>
      </c>
      <c r="AC584" s="475">
        <f>INDEX(Input!$1:$1048576,AC$93,$C584*2+MIN($B584,2)+5)
+INDEX(Scenarios!AC$121:AC$200,MATCH($B584,Scenarios!$B$121:$B$200,0))</f>
        <v>0</v>
      </c>
      <c r="AD584" s="476">
        <f>INDEX(Input!$1:$1048576,AD$93,$C584*2+MIN($B584,2)+5)</f>
        <v>0.27</v>
      </c>
      <c r="AE584" s="475">
        <f>INDEX(Input!$1:$1048576,AE$93,$C584*2+MIN($B584,2)+5)
+INDEX(Scenarios!AE$121:AE$200,MATCH($B584,Scenarios!$B$121:$B$200,0))</f>
        <v>0</v>
      </c>
      <c r="AF584" s="476">
        <f>INDEX(Input!$1:$1048576,AF$93,$C584*2+MIN($B584,2)+5)</f>
        <v>0.2</v>
      </c>
      <c r="AG584" s="475">
        <f>INDEX(Input!$1:$1048576,AG$93,$C584*2+MIN($B584,2)+5)
+INDEX(Scenarios!AG$121:AG$200,MATCH($B584,Scenarios!$B$121:$B$200,0))</f>
        <v>500</v>
      </c>
      <c r="AH584" s="476">
        <f>INDEX(Input!$1:$1048576,AH$93,$C584*2+MIN($B584,2)+5)</f>
        <v>1</v>
      </c>
      <c r="AI584" s="475">
        <f>INDEX(Input!$1:$1048576,AI$93,$C584*2+MIN($B584,2)+5)
+INDEX(Scenarios!AI$121:AI$200,MATCH($B584,Scenarios!$B$121:$B$200,0))</f>
        <v>0</v>
      </c>
      <c r="AJ584" s="476">
        <f>INDEX(Input!$1:$1048576,AJ$93,$C584*2+MIN($B584,2)+5)</f>
        <v>0.27</v>
      </c>
      <c r="AK584" s="150">
        <f>ROUND(INDEX(Input!$1:$1048576,AK$93,$C583*2+MIN($B584,1)+5)+(Y584-VLOOKUP($C584*1000+1,$A:$HH,Y$92,FALSE)),0)</f>
        <v>2587</v>
      </c>
      <c r="AL584" s="150">
        <f>ROUND(INDEX(Input!$1:$1048576,AL$93,$C583*2+MIN($B584,1)+5)-(Y584-VLOOKUP($C584*1000+1,$A:$HH,Y$92,FALSE))/36,0)</f>
        <v>3406</v>
      </c>
      <c r="AM584" s="32" t="str">
        <f t="shared" si="1653"/>
        <v>std/std/std/std</v>
      </c>
      <c r="AN584" s="32" t="str">
        <f t="shared" si="1654"/>
        <v>$0 + 0.9/0.9/0.9/2.9/3.9</v>
      </c>
      <c r="AO584" s="32" t="str">
        <f t="shared" si="1655"/>
        <v>0.9/0.9/0.9/2.9/3.9</v>
      </c>
      <c r="AP584" s="32" t="str">
        <f t="shared" si="1526"/>
        <v>0.9/1.9/2.9/3.9</v>
      </c>
      <c r="AQ584" s="536">
        <f t="shared" si="1525"/>
        <v>0.45399458766098749</v>
      </c>
      <c r="AR584" s="32"/>
      <c r="AS584" s="302"/>
      <c r="AT584" s="3">
        <f t="shared" si="1629"/>
        <v>84</v>
      </c>
      <c r="AU584" s="41" t="s">
        <v>121</v>
      </c>
      <c r="AV584" s="41" t="s">
        <v>116</v>
      </c>
      <c r="AW584" s="41" t="str">
        <f>INDEX(Input!$1:$1048576,AW$93,$C584*2+6)</f>
        <v>Kia</v>
      </c>
      <c r="AX584" s="41" t="str">
        <f>INDEX(Input!$1:$1048576,AX$93,$C584*2+6)</f>
        <v>Kia-LR - R2</v>
      </c>
      <c r="AY584" s="41" t="str">
        <f>IF(LEN(D584)=0,"",INDEX(Input!$1:$1048576,AY$93,$C584*2+6))</f>
        <v>Compact SUV (52)</v>
      </c>
      <c r="AZ584" s="41" t="str">
        <f>INDEX(Input!$1:$1048576,AZ$93,$C584*2+6)</f>
        <v>Kia Soul</v>
      </c>
      <c r="BA584" s="3">
        <f>INDEX(Input!$1:$1048576,BA$93,$C584*2+6)</f>
        <v>2020</v>
      </c>
      <c r="BB584" s="128">
        <f>INDEX(Input!$1:$1048576,BB$93,$C584*2+6)</f>
        <v>1</v>
      </c>
      <c r="BC584" s="128">
        <f>INDEX(Input!$1:$1048576,BC$93,$C584*2+6)</f>
        <v>0.7</v>
      </c>
      <c r="BD584" s="1">
        <f>INDEX(Input!$1:$1048576,BD$93,$C584*2+6)</f>
        <v>4.4999999999999998E-2</v>
      </c>
      <c r="BE584" s="1">
        <f>INDEX(Input!$1:$1048576,BE$93,$C584*2+6)</f>
        <v>4.4999999999999998E-2</v>
      </c>
      <c r="BF584" s="1">
        <f>INDEX(Input!$1:$1048576,BF$93,$C584*2+6)</f>
        <v>0.05</v>
      </c>
      <c r="BG584" s="1">
        <f>INDEX(Input!$1:$1048576,BG$93,$C584*2+6)</f>
        <v>5.45E-2</v>
      </c>
      <c r="BH584" s="1">
        <f>INDEX(Input!$1:$1048576,BH$93,$C584*2+6)</f>
        <v>5.45E-2</v>
      </c>
      <c r="BI584" s="1">
        <f>INDEX(Input!$1:$1048576,BI$93,$C584*2+6)</f>
        <v>0.05</v>
      </c>
      <c r="BJ584" s="1">
        <f>INDEX(Input!$1:$1048576,BJ$93,$C584*2+6)</f>
        <v>0.05</v>
      </c>
      <c r="BK584" s="1">
        <f>INDEX(Input!$1:$1048576,BK$93,$C584*2+6)</f>
        <v>0.05</v>
      </c>
      <c r="BL584" s="1">
        <f>INDEX(Input!$1:$1048576,BL$93,$C584*2+6)</f>
        <v>5.5E-2</v>
      </c>
      <c r="BM584" s="1">
        <f>INDEX(Input!$1:$1048576,BM$93,$C584*2+6)</f>
        <v>0.06</v>
      </c>
      <c r="BN584" s="1">
        <f>INDEX(Input!$1:$1048576,BN$93,$C584*2+6)</f>
        <v>4.4999999999999998E-2</v>
      </c>
      <c r="BO584" s="1">
        <f>INDEX(Input!$1:$1048576,BO$93,$C584*2+6)</f>
        <v>4.4999999999999998E-2</v>
      </c>
      <c r="BP584" s="1">
        <f>INDEX(Input!$1:$1048576,BP$93,$C584*2+6)</f>
        <v>0.05</v>
      </c>
      <c r="BQ584" s="1">
        <f>INDEX(Input!$1:$1048576,BQ$93,$C584*2+6)</f>
        <v>5.45E-2</v>
      </c>
      <c r="BR584" s="1">
        <f>INDEX(Input!$1:$1048576,BR$93,$C584*2+6)</f>
        <v>5.45E-2</v>
      </c>
      <c r="BS584" s="1">
        <f>INDEX(Input!$1:$1048576,BS$93,$C584*2+6)</f>
        <v>0.05</v>
      </c>
      <c r="BT584" s="1">
        <f>INDEX(Input!$1:$1048576,BT$93,$C584*2+6)</f>
        <v>0.05</v>
      </c>
      <c r="BU584" s="1">
        <f>INDEX(Input!$1:$1048576,BU$93,$C584*2+6)</f>
        <v>0.05</v>
      </c>
      <c r="BV584" s="1">
        <f>INDEX(Input!$1:$1048576,BV$93,$C584*2+6)</f>
        <v>5.5E-2</v>
      </c>
      <c r="BW584" s="1">
        <f>INDEX(Input!$1:$1048576,BW$93,$C584*2+6)</f>
        <v>0.06</v>
      </c>
      <c r="BX584" s="127">
        <f>INDEX(Input!$1:$1048576,BX$93,$C584*2+6)</f>
        <v>19985</v>
      </c>
      <c r="BY584" s="20">
        <f>INDEX(Input!$1:$1048576,BY$93,$C584*2+6)</f>
        <v>0.1</v>
      </c>
      <c r="BZ584" s="20">
        <f>INDEX(Input!$1:$1048576,BZ$93,$C584*2+6)</f>
        <v>0.1</v>
      </c>
      <c r="CA584" s="20">
        <f>INDEX(Input!$1:$1048576,CA$93,$C584*2+6)</f>
        <v>0.1</v>
      </c>
      <c r="CB584" s="20">
        <f>INDEX(Input!$1:$1048576,CB$93,$C584*2+6)</f>
        <v>0.1</v>
      </c>
      <c r="CC584" s="20">
        <f>INDEX(Input!$1:$1048576,CC$93,$C584*2+6)</f>
        <v>0.1</v>
      </c>
      <c r="CD584" s="384">
        <f>INDEX(Input!$1:$1048576,CD$93,$C584*2+6)</f>
        <v>0.1</v>
      </c>
      <c r="CE584" s="384">
        <f>INDEX(Input!$1:$1048576,CE$93,$C584*2+6)</f>
        <v>0.1</v>
      </c>
      <c r="CF584" s="384">
        <f>INDEX(Input!$1:$1048576,CF$93,$C584*2+6)</f>
        <v>0.1</v>
      </c>
      <c r="CG584" s="384">
        <f>INDEX(Input!$1:$1048576,CG$93,$C584*2+6)</f>
        <v>0.1</v>
      </c>
      <c r="CH584" s="384">
        <f>INDEX(Input!$1:$1048576,CH$93,$C584*2+6)</f>
        <v>0.1</v>
      </c>
      <c r="CI584" s="304">
        <f t="shared" si="1527"/>
        <v>1527.4263093788063</v>
      </c>
      <c r="CJ584" s="16" t="str">
        <f>INDEX(Input!$1:$1048576,CJ$93,$C584*2+6)</f>
        <v>N</v>
      </c>
      <c r="CK584" s="1" t="str">
        <f t="shared" si="1528"/>
        <v>Market</v>
      </c>
      <c r="CL584" s="1" t="str">
        <f t="shared" si="1529"/>
        <v>Market</v>
      </c>
      <c r="CM584" s="1" t="str">
        <f t="shared" si="1530"/>
        <v>Market</v>
      </c>
      <c r="CN584" s="1" t="str">
        <f t="shared" si="1531"/>
        <v>Market</v>
      </c>
      <c r="CO584" s="1" t="str">
        <f t="shared" si="1532"/>
        <v>Market</v>
      </c>
      <c r="CP584" s="304">
        <f t="shared" si="1533"/>
        <v>500</v>
      </c>
      <c r="CQ584" s="1">
        <f t="shared" si="1534"/>
        <v>9.0000000000000011E-3</v>
      </c>
      <c r="CR584" s="1">
        <f t="shared" si="1535"/>
        <v>9.0000000000000011E-3</v>
      </c>
      <c r="CS584" s="1">
        <f t="shared" si="1536"/>
        <v>9.0000000000000011E-3</v>
      </c>
      <c r="CT584" s="1">
        <f t="shared" si="1537"/>
        <v>2.8999999999999998E-2</v>
      </c>
      <c r="CU584" s="1">
        <f t="shared" si="1538"/>
        <v>3.9E-2</v>
      </c>
      <c r="CV584" s="304">
        <f t="shared" si="1539"/>
        <v>-717.93641739252325</v>
      </c>
      <c r="CW584" s="20" t="s">
        <v>122</v>
      </c>
      <c r="CX584" s="20" t="s">
        <v>122</v>
      </c>
      <c r="CY584" s="20" t="s">
        <v>122</v>
      </c>
      <c r="CZ584" s="20" t="s">
        <v>122</v>
      </c>
      <c r="DA584" s="20" t="s">
        <v>122</v>
      </c>
      <c r="DB584" s="503">
        <f t="shared" si="1540"/>
        <v>0</v>
      </c>
      <c r="DC584" s="127">
        <v>0</v>
      </c>
      <c r="DD584" s="127">
        <v>0</v>
      </c>
      <c r="DE584" s="127">
        <v>0</v>
      </c>
      <c r="DF584" s="127">
        <v>0</v>
      </c>
      <c r="DG584" s="127">
        <v>0</v>
      </c>
      <c r="DH584" s="127">
        <v>0</v>
      </c>
      <c r="DI584" s="127">
        <v>0</v>
      </c>
      <c r="DJ584" s="127">
        <v>0</v>
      </c>
      <c r="DK584" s="127">
        <v>0</v>
      </c>
      <c r="DL584" s="127">
        <v>0</v>
      </c>
      <c r="DM584" s="304">
        <f>INDEX(Input!$1:$1048576,DM$93,$C584*2+6)</f>
        <v>21036.84210526316</v>
      </c>
      <c r="DN584" s="20">
        <v>0</v>
      </c>
      <c r="DO584" s="20">
        <v>0</v>
      </c>
      <c r="DP584" s="20">
        <v>0</v>
      </c>
      <c r="DQ584" s="20">
        <v>0</v>
      </c>
      <c r="DR584" s="20">
        <v>0</v>
      </c>
      <c r="DS584" s="20">
        <f>INDEX(Input!$1:$1048576,DS$93,$C584*2+6)</f>
        <v>0.6</v>
      </c>
      <c r="DT584" s="20">
        <f>INDEX(Input!$1:$1048576,DT$93,$C584*2+6)</f>
        <v>0.55000000000000004</v>
      </c>
      <c r="DU584" s="20">
        <f>INDEX(Input!$1:$1048576,DU$93,$C584*2+6)</f>
        <v>0.52</v>
      </c>
      <c r="DV584" s="20">
        <f>INDEX(Input!$1:$1048576,DV$93,$C584*2+6)</f>
        <v>0.5</v>
      </c>
      <c r="DW584" s="20">
        <f>INDEX(Input!$1:$1048576,DW$93,$C584*2+6)</f>
        <v>0.45</v>
      </c>
      <c r="DX584" s="20"/>
      <c r="DY584" s="7">
        <v>0.12679289502053326</v>
      </c>
      <c r="DZ584" s="7">
        <v>0</v>
      </c>
      <c r="EA584" s="7">
        <v>0.76019368602941728</v>
      </c>
      <c r="EB584" s="7">
        <v>0</v>
      </c>
      <c r="EC584" s="7">
        <v>0</v>
      </c>
      <c r="ED584" s="7">
        <v>0</v>
      </c>
      <c r="EE584" s="7">
        <v>0</v>
      </c>
      <c r="EF584" s="7">
        <v>0</v>
      </c>
      <c r="EG584" s="7">
        <v>0</v>
      </c>
      <c r="EH584" s="7">
        <v>1.3815370104030777E-2</v>
      </c>
      <c r="EI584" s="7">
        <v>3.5896129528329733E-2</v>
      </c>
      <c r="EJ584" s="7">
        <v>0.29433806386176864</v>
      </c>
      <c r="EK584" s="7">
        <v>0.48251059656258177</v>
      </c>
      <c r="EL584" s="7">
        <v>0.17343983994328924</v>
      </c>
      <c r="EM584" s="7">
        <v>4.9202957447091043E-2</v>
      </c>
      <c r="EN584" s="7">
        <v>5.8487200671701135E-2</v>
      </c>
      <c r="EO584" s="7">
        <v>0.71707938956569361</v>
      </c>
      <c r="EP584" s="7">
        <v>8.9764206949277559E-2</v>
      </c>
      <c r="EQ584" s="7">
        <v>8.840348086420384E-2</v>
      </c>
      <c r="ER584" s="7">
        <v>4.6265721949123394E-2</v>
      </c>
      <c r="ES584" s="7">
        <v>6.3810461502958327E-2</v>
      </c>
      <c r="ET584" s="7">
        <v>0.11301341895004938</v>
      </c>
      <c r="EU584" s="6">
        <v>1520</v>
      </c>
      <c r="EV584" s="6">
        <v>0</v>
      </c>
      <c r="EW584" s="6">
        <v>1520</v>
      </c>
      <c r="EX584" s="6">
        <v>0</v>
      </c>
      <c r="EY584" s="6">
        <v>1615.9325791896283</v>
      </c>
      <c r="EZ584" s="6">
        <v>-6.4499039401316622</v>
      </c>
      <c r="FA584" s="6">
        <v>0</v>
      </c>
      <c r="FB584" s="6">
        <v>0</v>
      </c>
      <c r="FC584" s="6">
        <v>0</v>
      </c>
      <c r="FD584" s="6">
        <v>0</v>
      </c>
      <c r="FE584" s="6">
        <v>0</v>
      </c>
      <c r="FF584" s="6">
        <v>0</v>
      </c>
      <c r="FG584" s="6">
        <v>0</v>
      </c>
      <c r="FH584" s="6">
        <v>940.7137429401015</v>
      </c>
      <c r="FI584" s="6">
        <v>1250.2588059868276</v>
      </c>
      <c r="FJ584" s="6">
        <v>1735.1562230702809</v>
      </c>
      <c r="FK584" s="6">
        <v>1284.9687470586857</v>
      </c>
      <c r="FL584" s="6">
        <v>907.07682140966358</v>
      </c>
      <c r="FM584" s="6">
        <v>1345.9325791896283</v>
      </c>
      <c r="FN584" s="6">
        <v>0</v>
      </c>
      <c r="FO584" s="6">
        <v>0</v>
      </c>
      <c r="FP584" s="6">
        <v>0</v>
      </c>
      <c r="FQ584" s="6">
        <v>0</v>
      </c>
      <c r="FR584" s="6">
        <v>0</v>
      </c>
      <c r="FS584" s="6">
        <v>0</v>
      </c>
      <c r="FT584" s="7">
        <v>0.88698658104995054</v>
      </c>
      <c r="FU584" s="7">
        <v>4.9202957447091043E-2</v>
      </c>
      <c r="FV584" s="7">
        <v>6.3810461502958327E-2</v>
      </c>
      <c r="FW584" s="6">
        <v>1520.0000000000002</v>
      </c>
      <c r="FX584" s="6">
        <v>1615.9325791896285</v>
      </c>
      <c r="FY584" s="6">
        <v>-6.4499039401316622</v>
      </c>
      <c r="FZ584" s="6">
        <v>1758.1538569113241</v>
      </c>
      <c r="GA584" s="6">
        <v>1427.3166937800906</v>
      </c>
      <c r="GB584" s="6">
        <v>18557.683306219908</v>
      </c>
      <c r="GC584" s="7">
        <v>3.064145122680037E-2</v>
      </c>
      <c r="GD584" s="7">
        <v>2.996564145027129E-2</v>
      </c>
      <c r="GE584" s="7"/>
      <c r="GF584" s="7"/>
      <c r="GG584" s="7">
        <v>-2.2055410219539044E-2</v>
      </c>
      <c r="GH584" s="42">
        <v>1.332309130769098</v>
      </c>
      <c r="GI584" s="6">
        <v>16427.589181940049</v>
      </c>
      <c r="GJ584" s="14">
        <v>0.50394797582841733</v>
      </c>
      <c r="GK584" s="14">
        <v>0.50887573065309744</v>
      </c>
      <c r="GL584" s="14">
        <v>0.49605202417158267</v>
      </c>
      <c r="GM584" s="14">
        <v>0.49112426934690262</v>
      </c>
      <c r="GO584" s="5">
        <v>343.14810671672558</v>
      </c>
      <c r="GP584" s="5">
        <v>314.14940645767444</v>
      </c>
      <c r="GQ584" s="5">
        <v>535.04305713031317</v>
      </c>
      <c r="GR584" s="5">
        <v>410.15490233172511</v>
      </c>
      <c r="GS584" s="5">
        <v>339.42744393800166</v>
      </c>
      <c r="GT584" s="5">
        <v>293.4407446948278</v>
      </c>
      <c r="GU584" s="5">
        <v>258.04012322764959</v>
      </c>
      <c r="GV584" s="39" t="s">
        <v>392</v>
      </c>
      <c r="GW584" s="5">
        <v>498.98309634060678</v>
      </c>
      <c r="GX584" s="5">
        <v>375.91567668562675</v>
      </c>
      <c r="GY584" s="5">
        <v>302.07920908968697</v>
      </c>
      <c r="GZ584" s="5">
        <v>268.3868982438774</v>
      </c>
      <c r="HA584" s="5">
        <v>241.34874471337258</v>
      </c>
      <c r="HB584" s="39">
        <v>280.65997354482585</v>
      </c>
      <c r="HC584" s="5">
        <v>287.56655829738071</v>
      </c>
      <c r="HD584" s="5">
        <v>239.99799238008356</v>
      </c>
      <c r="HE584" s="5">
        <v>241.14168635502031</v>
      </c>
      <c r="HF584" s="5">
        <v>221.05790951107167</v>
      </c>
      <c r="HG584" s="5">
        <v>210.75500473779988</v>
      </c>
      <c r="HH584" s="39">
        <v>239.85549023450966</v>
      </c>
      <c r="HI584" s="16"/>
      <c r="HJ584" s="19" t="str">
        <f t="shared" ref="HJ584:HK584" si="1660">HJ583</f>
        <v>On</v>
      </c>
      <c r="HK584" s="1" t="str">
        <f t="shared" si="1660"/>
        <v>On</v>
      </c>
      <c r="HL584" s="16"/>
      <c r="HM584" s="639">
        <f t="shared" ref="HM584:HM587" si="1661">VLOOKUP($C584*1000+1,$A:$HH,FT$92,FALSE)*$JF584</f>
        <v>2.4909940070666322E-2</v>
      </c>
      <c r="HN584" s="639">
        <f t="shared" ref="HN584:HN587" si="1662">VLOOKUP($C584*1000+1,$A:$HH,FU$92,FALSE)*$JF584</f>
        <v>2.2052381276269151E-3</v>
      </c>
      <c r="HO584" s="639">
        <f t="shared" ref="HO584:HO587" si="1663">VLOOKUP($C584*1000+1,$A:$HH,FV$92,FALSE)*$JF584</f>
        <v>2.079866082302006E-3</v>
      </c>
      <c r="HP584" s="644">
        <f>(FT584*$GD584-HM584)/$JF584*INDEX(Input!$1:$1048576,$JG$93,$C584*2+6)</f>
        <v>46.939413244441909</v>
      </c>
      <c r="HQ584" s="644">
        <f>(FU584*$GD584-HN584)/$JF584*INDEX(Input!$1:$1048576,$JG$93,$C584*2+6)</f>
        <v>-20.5521043327999</v>
      </c>
      <c r="HR584" s="644">
        <f>(FV584*$GD584-HO584)/$JF584*INDEX(Input!$1:$1048576,$JG$93,$C584*2+6)</f>
        <v>-4.7171833169178727</v>
      </c>
      <c r="HS584" s="644">
        <f t="shared" ref="HS584:HS587" si="1664">IF(AND(HJ584="On",HK584="On"),IL584/1000*INDEX(KG:KG,MATCH(C584*1000+3,$KF:$KF,0))*SUM(HY584:IA584)*1.1
+INDEX(HR:HR,MATCH(C584*1000+4,$KF:$KF,0))/INDEX(IM:IM,MATCH(C584*1000+4,$KF:$KF,0))*IM584*20%,0)</f>
        <v>-13.363610819455984</v>
      </c>
      <c r="HT584" s="644">
        <f t="shared" ref="HT584:HT587" si="1665">IF(AND(HJ584="On",HK584="On"),IM584/1000*INDEX(KG:KG,MATCH(C584*1000+4,$KF:$KF,0))*SUM(HY584:IA584)*1.1
+INDEX(HR:HR,MATCH(C584*1000+3,$KF:$KF,0))/INDEX(IL:IL,MATCH(C584*1000+3,$KF:$KF,0))*IL584*20%,0)</f>
        <v>-22.965480205063265</v>
      </c>
      <c r="HU584" s="644">
        <f t="shared" ref="HU584:HU587" si="1666">IF(HJ584="On",IN584/1000*INDEX(KG:KG,MATCH(C584*1000+5,$KF:$KF,0))*SUM(HY584:IA584)*1.1
-INDEX(HR:HR,MATCH(C584*1000+3,$KF:$KF,0))/INDEX(IL:IL,MATCH(C584*1000+3,$KF:$KF,0))*IL584*20%
-INDEX(HR:HR,MATCH(C584*1000+4,$KF:$KF,0))/INDEX(IM:IM,MATCH(C584*1000+4,$KF:$KF,0))*IM584*20%,0)</f>
        <v>1.1042795107639616</v>
      </c>
      <c r="HV584" s="648">
        <f t="shared" ref="HV584:HV587" si="1667">IL584/1000*0+IM584/1000*0+IN584/1000*0
+(CP584-INDEX(CP:CP,MATCH(C584*1000+1,A:A,0)))/1000*0+IF(FU584&gt;0,0,0)</f>
        <v>0</v>
      </c>
      <c r="HW584" s="648">
        <f t="shared" ref="HW584:HW587" si="1668">IL584/1000*0+IM584/1000*0+IN584/1000*0
+(CP584-INDEX(CP:CP,MATCH(C584*1000+1,A:A,0)))/1000*0+IF(FU584&gt;0,0,0)</f>
        <v>0</v>
      </c>
      <c r="HX584" s="648">
        <f t="shared" ref="HX584:HX587" si="1669">IL584/1000*0+IM584/1000*0+IN584/1000*0
+(CP584-INDEX(CP:CP,MATCH(C584*1000+1,A:A,0)))/1000*0+IF(FU584&gt;0,0,0)</f>
        <v>0</v>
      </c>
      <c r="HY584" s="644">
        <f>INDEX(Input!$1:$1048576,HY$93,$C584*2+6)*INDEX(Input!$1:$1048576,$JG$93,$C584*2+6)</f>
        <v>333.00000000000006</v>
      </c>
      <c r="HZ584" s="644">
        <f>INDEX(Input!$1:$1048576,HZ$93,$C584*2+6)*INDEX(Input!$1:$1048576,$JG$93,$C584*2+6)</f>
        <v>429</v>
      </c>
      <c r="IA584" s="644">
        <f>INDEX(Input!$1:$1048576,IA$93,$C584*2+6)*INDEX(Input!$1:$1048576,$JG$93,$C584*2+6)</f>
        <v>59</v>
      </c>
      <c r="IB584" s="644">
        <f t="shared" ref="IB584:IB587" si="1670">SUM(HP584:IA584)-IC584-ID584</f>
        <v>366.57580242498602</v>
      </c>
      <c r="IC584" s="644">
        <f t="shared" ref="IC584:IC587" si="1671">MAX(HZ584+HQ584+HT584+HW584,0%)</f>
        <v>385.48241546213683</v>
      </c>
      <c r="ID584" s="644">
        <f>IF(AND(INDEX(Input!$1:$1048576,IA$93,$C584*2+7)="TOS",Y584&lt;=INDEX(Y:Y,MATCH(C584*1000+2,A:A))),0,1)*MAX(IA584+HR584+HU584+HX584,0%)</f>
        <v>55.387096193846084</v>
      </c>
      <c r="IE584" s="128">
        <f t="shared" ref="IE584:IE587" si="1672">IB584/SUM($IB584:$ID584)</f>
        <v>0.45399458766098749</v>
      </c>
      <c r="IF584" s="128">
        <f t="shared" ref="IF584:IF587" si="1673">IC584/SUM($IB584:$ID584)</f>
        <v>0.47740993568201134</v>
      </c>
      <c r="IG584" s="128">
        <f t="shared" ref="IG584:IG587" si="1674">ID584/SUM($IB584:$ID584)</f>
        <v>6.8595476657001164E-2</v>
      </c>
      <c r="IH584" s="21"/>
      <c r="II584" s="19">
        <f t="shared" ref="II584:II587" si="1675">VLOOKUP($C584*1000+1,$A:$HH,FW$92,FALSE)-VLOOKUP($C584*1000+1,$A:$HH,FA$92,FALSE)*VLOOKUP($C584*1000+1,$A:$HH,DZ$92,FALSE)/VLOOKUP($C584*1000+1,$A:$HH,FT$92,FALSE)</f>
        <v>1240</v>
      </c>
      <c r="IJ584" s="19">
        <f t="shared" ref="IJ584:IJ587" si="1676">VLOOKUP($C584*1000+1,$A:$HH,FX$92,FALSE)</f>
        <v>1985.7442651839444</v>
      </c>
      <c r="IK584" s="19">
        <f t="shared" ref="IK584:IK587" si="1677">VLOOKUP($C584*1000+1,$A:$HH,FY$92,FALSE)</f>
        <v>-21.44990394013189</v>
      </c>
      <c r="IL584" s="19">
        <f t="shared" ref="IL584:IL587" si="1678">(FW584-FA584*DZ584/FT584)-II584</f>
        <v>280.00000000000023</v>
      </c>
      <c r="IM584" s="19">
        <f t="shared" ref="IM584:IM587" si="1679">FX584-IJ584</f>
        <v>-369.81168599431589</v>
      </c>
      <c r="IN584" s="19">
        <f t="shared" ref="IN584:IN587" si="1680">FY584-IK584</f>
        <v>15.000000000000227</v>
      </c>
      <c r="IO584" s="39">
        <f t="shared" ref="IO584:IO587" si="1681">(F584-VLOOKUP($C584*1000+1,$A:$HH,F$92,FALSE))*(1-$I584)</f>
        <v>0</v>
      </c>
      <c r="IP584" s="39">
        <f t="shared" ref="IP584:IP587" si="1682">(G584-VLOOKUP($C584*1000+1,$A:$HH,G$92,FALSE))*(1-$I584)</f>
        <v>0</v>
      </c>
      <c r="IQ584" s="39">
        <f t="shared" ref="IQ584:IQ587" si="1683">(H584-VLOOKUP($C584*1000+1,$A:$HH,H$92,FALSE))*(1-$I584)</f>
        <v>0</v>
      </c>
      <c r="IR584" s="39">
        <v>0</v>
      </c>
      <c r="IS584" s="39">
        <v>0</v>
      </c>
      <c r="IT584" s="39">
        <v>0</v>
      </c>
      <c r="IU584" s="39">
        <v>0</v>
      </c>
      <c r="IV584" s="39">
        <v>0</v>
      </c>
      <c r="IW584" s="39">
        <v>0</v>
      </c>
      <c r="IX584" s="39">
        <f>INDEX(Input!$1:$1048576,IX$93,$C584*2+6)+INDEX(Input!$1:$1048576,IX$94,$C584*2+6)</f>
        <v>1270</v>
      </c>
      <c r="IY584" s="39">
        <f>INDEX(Input!$1:$1048576,IY$93,$C584*2+6)+INDEX(Input!$1:$1048576,IY$94,$C584*2+6)</f>
        <v>2130.0624533823611</v>
      </c>
      <c r="IZ584" s="39">
        <f>INDEX(Input!$1:$1048576,IZ$93,$C584*2+6)+INDEX(Input!$1:$1048576,IZ$94,$C584*2+6)</f>
        <v>3653.7164157747857</v>
      </c>
      <c r="JA584" s="19">
        <f t="shared" ref="JA584:JA587" si="1684">(IL584+IO584+IR584+IU584+IX584)</f>
        <v>1550.0000000000002</v>
      </c>
      <c r="JB584" s="19">
        <f t="shared" ref="JB584:JB587" si="1685">(IM584+IP584+IS584+IV584+IY584)</f>
        <v>1760.2507673880452</v>
      </c>
      <c r="JC584" s="19">
        <f t="shared" ref="JC584:JC587" si="1686">(IN584+IQ584+IT584+IW584+IZ584)</f>
        <v>3668.7164157747857</v>
      </c>
      <c r="JD584" s="19">
        <f t="shared" ref="JD584:JD587" si="1687">SUMPRODUCT(IE584:IG584,JA584:JC584)</f>
        <v>1795.7101677769049</v>
      </c>
      <c r="JE584" s="21"/>
      <c r="JF584" s="1">
        <f t="shared" ref="JF584:JF587" si="1688">VLOOKUP($C584*1000+1,$A:$HH,GD$92,FALSE)</f>
        <v>2.9195044280595241E-2</v>
      </c>
      <c r="JG584" s="15">
        <f>INDEX(Input!$1:$1048576,JG$93,$C584*2+6)/(1+VLOOKUP(C584*1000+INDEX(Input!$1:$1048576,JG$93+1,$C584*2+6),$A:$KK,$JK$92,FALSE))</f>
        <v>821</v>
      </c>
      <c r="JH584" s="1">
        <f t="shared" ref="JH584:JH587" si="1689">SUM(HP584:HR584)/SUM(HY584:IA584)</f>
        <v>2.6394793659834517E-2</v>
      </c>
      <c r="JI584" s="1">
        <f t="shared" ref="JI584:JI587" si="1690">SUM(HS584:HU584)/SUM(HY584:IA584)</f>
        <v>-4.2904764328569177E-2</v>
      </c>
      <c r="JJ584" s="1">
        <f t="shared" ref="JJ584:JJ587" si="1691">SUM(HV584:HX584)/SUM(HY584:IA584)</f>
        <v>0</v>
      </c>
      <c r="JK584" s="1">
        <f t="shared" ref="JK584:JK587" si="1692">SUM(JH584:JJ584)</f>
        <v>-1.650997066873466E-2</v>
      </c>
      <c r="JL584" s="15">
        <f t="shared" ref="JL584:JL587" si="1693">JG584*JK584</f>
        <v>-13.554685919031156</v>
      </c>
      <c r="JM584" s="15">
        <f t="shared" ref="JM584:JM587" si="1694">JG584+JL584</f>
        <v>807.44531408096884</v>
      </c>
      <c r="JN584" s="21"/>
      <c r="JO584" s="19">
        <f>INDEX(Input!$1:$1048576,JO$93,$C584*2+6)</f>
        <v>5995.5</v>
      </c>
      <c r="JP584" s="19">
        <f>INDEX(Input!$1:$1048576,JP$93,$C584*2+6)</f>
        <v>1890.7138380411029</v>
      </c>
      <c r="JQ584" s="39">
        <f t="shared" ref="JQ584:JQ587" si="1695">JO584-JD584</f>
        <v>4199.7898322230949</v>
      </c>
      <c r="JR584" s="39">
        <f t="shared" ref="JR584:JR587" si="1696">JD584-JP584</f>
        <v>-95.003670264198036</v>
      </c>
      <c r="JS584" s="39">
        <f t="shared" ref="JS584:JS587" si="1697">JM584*JD584/1000000</f>
        <v>1.4499377604190122</v>
      </c>
      <c r="JT584" s="39">
        <f t="shared" ref="JT584:JT587" si="1698">(JD584*JM584-JP584*JG584)/1000000</f>
        <v>-0.10233830061273323</v>
      </c>
      <c r="JU584" s="385">
        <f>(JQ584*JM584-INDEX(Input!$1:$1048576,Input!A$18,$C584*2+6)*JL584*INDEX(Input!$1:$1048576,Input!A$19,$C584*2+6))/1000000</f>
        <v>3.3911006201534364</v>
      </c>
      <c r="JV584" s="39">
        <f t="shared" ref="JV584:JV587" si="1699">JU584-(JO584-JP584)*JG584/1000000</f>
        <v>2.1071181185182031E-2</v>
      </c>
      <c r="JW584" s="1">
        <f t="shared" ref="JW584:JW587" si="1700">JV584/(JU584-JV584)</f>
        <v>6.2525213998228584E-3</v>
      </c>
      <c r="JX584" s="19">
        <f t="shared" ref="JX584:JX587" si="1701">IF(JL584=0,0,JT584/JL584)*1000000</f>
        <v>7550.031127541466</v>
      </c>
      <c r="JZ584" s="341"/>
      <c r="KA584" s="342"/>
      <c r="KB584" s="469">
        <f t="shared" si="1576"/>
        <v>2.5122967434604799</v>
      </c>
      <c r="KI584" s="473">
        <f t="shared" ref="KI584:KI587" si="1702">$JM584*IE584-$JG584*HY584/SUM($HY584:$IA584)</f>
        <v>33.575802424985909</v>
      </c>
      <c r="KJ584" s="473">
        <f t="shared" ref="KJ584:KJ587" si="1703">$JM584*IF584-$JG584*HZ584/SUM($HY584:$IA584)</f>
        <v>-43.517584537863229</v>
      </c>
      <c r="KK584" s="473">
        <f t="shared" ref="KK584:KK587" si="1704">$JM584*IG584-$JG584*IA584/SUM($HY584:$IA584)</f>
        <v>-3.6129038061539305</v>
      </c>
      <c r="KN584" s="544">
        <f t="shared" ref="KN584:KN587" si="1705">KM584+(KN583-KM583)</f>
        <v>5002</v>
      </c>
      <c r="KO584" s="541">
        <f t="shared" ref="KO584:KO587" si="1706">JM584/INDEX(JM:JM,MATCH(KN584,A:A,0))-1</f>
        <v>-2.0498148172143238E-2</v>
      </c>
      <c r="KP584" s="546">
        <f t="shared" ref="KP584:KP587" si="1707">(IL584-INDEX(IL:IL,MATCH(KN584,A:A,0)))*IE584
+(IM584-IF(HN584=0,INDEX(IX:IX,MATCH(KN584,A:A,0)),INDEX(IM:IM,MATCH(KN584,A:A,0))))*IF584
+(IN584-INDEX(IN:IN,MATCH(KN584,A:A,0)))*IG584</f>
        <v>-77.376127583672485</v>
      </c>
      <c r="KQ584" s="546">
        <f t="shared" ref="KQ584:KQ587" si="1708">JD584-INDEX(JD:JD,MATCH(KN584,A:A,0))</f>
        <v>-123.20859794636158</v>
      </c>
      <c r="KR584" s="548">
        <f t="shared" ref="KR584:KR587" si="1709">KO584/(KP584/(BX584-INDEX(JD:JD,MATCH(KN584,A:A,0))))</f>
        <v>4.7859878956817195</v>
      </c>
      <c r="KS584" s="548">
        <f t="shared" ref="KS584:KS587" si="1710">KO584/(KQ584/(BX584-INDEX(JD:JD,MATCH(KN584,A:A,0))))</f>
        <v>3.0056442180390603</v>
      </c>
      <c r="KT584" s="473">
        <f t="shared" si="1581"/>
        <v>595.94378802984284</v>
      </c>
      <c r="KU584" s="663">
        <f t="shared" ref="KU584:KU587" si="1711">IF(D584="",0,IFERROR((JM584/KT584-1)/(JD584/BX584)+B584*10^-6,0))</f>
        <v>3.9498932176715473</v>
      </c>
    </row>
    <row r="585" spans="1:307" s="26" customFormat="1" ht="15" outlineLevel="1">
      <c r="A585" s="561">
        <f t="shared" si="1652"/>
        <v>5085</v>
      </c>
      <c r="B585" s="561">
        <f t="shared" si="1627"/>
        <v>85</v>
      </c>
      <c r="C585" s="561">
        <f t="shared" si="1628"/>
        <v>5</v>
      </c>
      <c r="D585" s="561" t="str">
        <f t="shared" ref="D585:D600" si="1712">IF(E585=INDEX(E:E,MATCH(C585*1000+2,A:A,0)),"",E585-INDEX(E:E,MATCH(C585*1000+2,A:A,0))&amp;E$100&amp;", ")
&amp;IF(F585=INDEX(F:F,MATCH(C585*1000+2,A:A,0)),"",F585-INDEX(F:F,MATCH(C585*1000+2,A:A,0))&amp;F$100&amp;", ")
&amp;IF(AM585=INDEX(AM:AM,MATCH(C585*1000+2,A:A,0)),"",AM585&amp;AM$100&amp;", ")
&amp;IF(AP585=INDEX(AP:AP,MATCH(C585*1000+2,A:A,0)),"",AP585&amp;AP$100&amp;", ")
&amp;IF(Q585=INDEX(Q:Q,MATCH(C585*1000+2,A:A,0)),"",Q585-INDEX(Q:Q,MATCH(C585*1000+2,A:A,0))&amp;Q$100&amp;", ")
&amp;IF(Y585=INDEX(Y:Y,MATCH(C585*1000+2,A:A,0)),"",Y585-INDEX(Y:Y,MATCH(C585*1000+2,A:A,0))&amp;Y$100&amp;", ")
&amp;IF(Z585=INDEX(Z:Z,MATCH(C585*1000+2,A:A,0)),"",Z585-INDEX(Z:Z,MATCH(C585*1000+2,A:A,0))&amp;Z$100&amp;", ")
&amp;IF(AA585=INDEX(AA:AA,MATCH(C585*1000+2,A:A,0)),"",AA585-INDEX(AA:AA,MATCH(C585*1000+2,A:A,0))&amp;AA$100&amp;", ")
&amp;IF(AC585=INDEX(AC:AC,MATCH(C585*1000+2,A:A,0)),"",AC585-INDEX(AC:AC,MATCH(C585*1000+2,A:A,0))&amp;AC$100&amp;", ")
&amp;IF(AE585=INDEX(AE:AE,MATCH(C585*1000+2,A:A,0)),"",AE585-INDEX(AE:AE,MATCH(C585*1000+2,A:A,0))&amp;AE$100&amp;", ")
&amp;IF(AG585=INDEX(AG:AG,MATCH(C585*1000+2,A:A,0)),"",AG585-INDEX(AG:AG,MATCH(C585*1000+2,A:A,0))&amp;AG$100&amp;", ")
&amp;IF(AI585=INDEX(AI:AI,MATCH(C585*1000+2,A:A,0)),"",AI585-INDEX(AI:AI,MATCH(C585*1000+2,A:A,0))&amp;AI$100&amp;", ")</f>
        <v xml:space="preserve">500 CC, 1.9/2.9/3.9/3.9, </v>
      </c>
      <c r="E585" s="475">
        <f>INDEX(Input!$1:$1048576,E$93,$C585*2+MIN($B585,2)+5)
+INDEX(Scenarios!E$121:E$200,MATCH($B585,Scenarios!$B$121:$B$200,0))</f>
        <v>1777.4263093788063</v>
      </c>
      <c r="F585" s="475">
        <f>INDEX(Input!$1:$1048576,F$93,$C585*2+MIN($B585,2)+5)
+INDEX(Scenarios!F$121:F$200,MATCH($B585,Scenarios!$B$121:$B$200,0))</f>
        <v>0</v>
      </c>
      <c r="G585" s="475">
        <f>INDEX(Input!$1:$1048576,G$93,$C585*2+MIN($B585,2)+5)
+INDEX(Scenarios!G$121:G$200,MATCH($B585,Scenarios!$B$121:$B$200,0))</f>
        <v>0</v>
      </c>
      <c r="H585" s="475">
        <f>INDEX(Input!$1:$1048576,H$93,$C585*2+MIN($B585,2)+5)
+INDEX(Scenarios!H$121:H$200,MATCH($B585,Scenarios!$B$121:$B$200,0))</f>
        <v>0</v>
      </c>
      <c r="I585" s="476">
        <f>INDEX(Input!$1:$1048576,I$93,$C585*2+MIN($B585,2)+5)</f>
        <v>0.7</v>
      </c>
      <c r="J585" s="476" t="str">
        <f>INDEX(Input!$1:$1048576,J$93,$C585*2+MIN($B585,2)+5)</f>
        <v>Market</v>
      </c>
      <c r="K585" s="476" t="str">
        <f>INDEX(Input!$1:$1048576,K$93,$C585*2+MIN($B585,2)+5)</f>
        <v>Market</v>
      </c>
      <c r="L585" s="476" t="str">
        <f>INDEX(Input!$1:$1048576,L$93,$C585*2+MIN($B585,2)+5)</f>
        <v>Market</v>
      </c>
      <c r="M585" s="476" t="str">
        <f>INDEX(Input!$1:$1048576,M$93,$C585*2+MIN($B585,2)+5)</f>
        <v>Market</v>
      </c>
      <c r="N585" s="476" t="str">
        <f>INDEX(Input!$1:$1048576,N$93,$C585*2+MIN($B585,2)+5)</f>
        <v>Market</v>
      </c>
      <c r="O585" s="476" t="str">
        <f>INDEX(Input!$1:$1048576,O$93,$C585*2+MIN($B585,2)+5)</f>
        <v>Market</v>
      </c>
      <c r="P585" s="476" t="str">
        <f>INDEX(Input!$1:$1048576,P$93,$C585*2+MIN($B585,2)+5)</f>
        <v>N</v>
      </c>
      <c r="Q585" s="477">
        <f>INDEX(Input!$1:$1048576,Q$93,$C585*2+MIN($B585,2)+5)
+INDEX(Scenarios!Q$121:Q$200,MATCH($B585,Scenarios!$B$121:$B$200,0))</f>
        <v>0</v>
      </c>
      <c r="R585" s="478">
        <f>IFERROR(MAX(0,INDEX(Input!$1:$1048576,R$93,$C585*2+MIN($B585,2)+5)
+INDEX(Scenarios!R$121:R$200,MATCH($B585,Scenarios!$B$121:$B$200,0)),),"Market")</f>
        <v>1.9E-2</v>
      </c>
      <c r="S585" s="478">
        <f>IFERROR(MAX(0,INDEX(Input!$1:$1048576,S$93,$C585*2+MIN($B585,2)+5)
+INDEX(Scenarios!S$121:S$200,MATCH($B585,Scenarios!$B$121:$B$200,0)),),"Market")</f>
        <v>1.9E-2</v>
      </c>
      <c r="T585" s="478">
        <f>IFERROR(MAX(0,INDEX(Input!$1:$1048576,T$93,$C585*2+MIN($B585,2)+5)
+INDEX(Scenarios!T$121:T$200,MATCH($B585,Scenarios!$B$121:$B$200,0)),),"Market")</f>
        <v>1.9E-2</v>
      </c>
      <c r="U585" s="478">
        <f>IFERROR(MAX(0,INDEX(Input!$1:$1048576,U$93,$C585*2+MIN($B585,2)+5)
+INDEX(Scenarios!U$121:U$200,MATCH($B585,Scenarios!$B$121:$B$200,0)),),"Market")</f>
        <v>1.9E-2</v>
      </c>
      <c r="V585" s="478">
        <f>IFERROR(MAX(0,INDEX(Input!$1:$1048576,V$93,$C585*2+MIN($B585,2)+5)
+INDEX(Scenarios!V$121:V$200,MATCH($B585,Scenarios!$B$121:$B$200,0)),),"Market")</f>
        <v>3.9E-2</v>
      </c>
      <c r="W585" s="885">
        <f>IFERROR(MAX(0,INDEX(Input!$1:$1048576,W$93,$C585*2+MIN($B585,2)+5)-0%,),"Market")</f>
        <v>3.9E-2</v>
      </c>
      <c r="X585" s="476" t="str">
        <f>INDEX(Input!$1:$1048576,X$93,$C585*2+MIN($B585,2)+5)</f>
        <v>Y</v>
      </c>
      <c r="Y585" s="475">
        <f>INDEX(Input!$1:$1048576,Y$93,$C585*2+MIN($B585,2)+5)
++INDEX(Scenarios!Y$121:Y$200,MATCH($B585,Scenarios!$B$121:$B$200,0))</f>
        <v>-717.93641739252325</v>
      </c>
      <c r="Z585" s="477">
        <f>INDEX(Input!$1:$1048576,Z$93,$C585*2+MIN($B585,2)+5)
+INDEX(Scenarios!Z$121:Z$200,MATCH($B585,Scenarios!$B$121:$B$200,0))</f>
        <v>0</v>
      </c>
      <c r="AA585" s="475">
        <f>INDEX(Input!$1:$1048576,AA$93,$C585*2+MIN($B585,2)+5)
+INDEX(Scenarios!AA$121:AA$200,MATCH($B585,Scenarios!$B$121:$B$200,0))</f>
        <v>0</v>
      </c>
      <c r="AB585" s="476">
        <f>INDEX(Input!$1:$1048576,AB$93,$C585*2+MIN($B585,2)+5)</f>
        <v>0.27</v>
      </c>
      <c r="AC585" s="475">
        <f>INDEX(Input!$1:$1048576,AC$93,$C585*2+MIN($B585,2)+5)
+INDEX(Scenarios!AC$121:AC$200,MATCH($B585,Scenarios!$B$121:$B$200,0))</f>
        <v>0</v>
      </c>
      <c r="AD585" s="476">
        <f>INDEX(Input!$1:$1048576,AD$93,$C585*2+MIN($B585,2)+5)</f>
        <v>0.27</v>
      </c>
      <c r="AE585" s="475">
        <f>INDEX(Input!$1:$1048576,AE$93,$C585*2+MIN($B585,2)+5)
+INDEX(Scenarios!AE$121:AE$200,MATCH($B585,Scenarios!$B$121:$B$200,0))</f>
        <v>0</v>
      </c>
      <c r="AF585" s="476">
        <f>INDEX(Input!$1:$1048576,AF$93,$C585*2+MIN($B585,2)+5)</f>
        <v>0.2</v>
      </c>
      <c r="AG585" s="475">
        <f>INDEX(Input!$1:$1048576,AG$93,$C585*2+MIN($B585,2)+5)
+INDEX(Scenarios!AG$121:AG$200,MATCH($B585,Scenarios!$B$121:$B$200,0))</f>
        <v>500</v>
      </c>
      <c r="AH585" s="476">
        <f>INDEX(Input!$1:$1048576,AH$93,$C585*2+MIN($B585,2)+5)</f>
        <v>1</v>
      </c>
      <c r="AI585" s="475">
        <f>INDEX(Input!$1:$1048576,AI$93,$C585*2+MIN($B585,2)+5)
+INDEX(Scenarios!AI$121:AI$200,MATCH($B585,Scenarios!$B$121:$B$200,0))</f>
        <v>0</v>
      </c>
      <c r="AJ585" s="476">
        <f>INDEX(Input!$1:$1048576,AJ$93,$C585*2+MIN($B585,2)+5)</f>
        <v>0.27</v>
      </c>
      <c r="AK585" s="150">
        <f>ROUND(INDEX(Input!$1:$1048576,AK$93,$C584*2+MIN($B585,1)+5)+(Y585-VLOOKUP($C585*1000+1,$A:$HH,Y$92,FALSE)),0)</f>
        <v>2587</v>
      </c>
      <c r="AL585" s="150">
        <f>ROUND(INDEX(Input!$1:$1048576,AL$93,$C584*2+MIN($B585,1)+5)-(Y585-VLOOKUP($C585*1000+1,$A:$HH,Y$92,FALSE))/36,0)</f>
        <v>3406</v>
      </c>
      <c r="AM585" s="32" t="str">
        <f t="shared" si="1653"/>
        <v>std/std/std/std</v>
      </c>
      <c r="AN585" s="32" t="str">
        <f t="shared" si="1654"/>
        <v>$0 + 1.9/1.9/1.9/3.9/3.9</v>
      </c>
      <c r="AO585" s="32" t="str">
        <f t="shared" si="1655"/>
        <v>1.9/1.9/1.9/3.9/3.9</v>
      </c>
      <c r="AP585" s="32" t="str">
        <f t="shared" si="1526"/>
        <v>1.9/2.9/3.9/3.9</v>
      </c>
      <c r="AQ585" s="536">
        <f t="shared" si="1525"/>
        <v>0.49725776497158269</v>
      </c>
      <c r="AR585" s="32"/>
      <c r="AS585" s="302"/>
      <c r="AT585" s="3">
        <f t="shared" si="1629"/>
        <v>85</v>
      </c>
      <c r="AU585" s="41" t="s">
        <v>121</v>
      </c>
      <c r="AV585" s="41" t="s">
        <v>116</v>
      </c>
      <c r="AW585" s="41" t="str">
        <f>INDEX(Input!$1:$1048576,AW$93,$C585*2+6)</f>
        <v>Kia</v>
      </c>
      <c r="AX585" s="41" t="str">
        <f>INDEX(Input!$1:$1048576,AX$93,$C585*2+6)</f>
        <v>Kia-LR - R2</v>
      </c>
      <c r="AY585" s="41" t="str">
        <f>IF(LEN(D585)=0,"",INDEX(Input!$1:$1048576,AY$93,$C585*2+6))</f>
        <v>Compact SUV (52)</v>
      </c>
      <c r="AZ585" s="41" t="str">
        <f>INDEX(Input!$1:$1048576,AZ$93,$C585*2+6)</f>
        <v>Kia Soul</v>
      </c>
      <c r="BA585" s="3">
        <f>INDEX(Input!$1:$1048576,BA$93,$C585*2+6)</f>
        <v>2020</v>
      </c>
      <c r="BB585" s="128">
        <f>INDEX(Input!$1:$1048576,BB$93,$C585*2+6)</f>
        <v>1</v>
      </c>
      <c r="BC585" s="128">
        <f>INDEX(Input!$1:$1048576,BC$93,$C585*2+6)</f>
        <v>0.7</v>
      </c>
      <c r="BD585" s="1">
        <f>INDEX(Input!$1:$1048576,BD$93,$C585*2+6)</f>
        <v>4.4999999999999998E-2</v>
      </c>
      <c r="BE585" s="1">
        <f>INDEX(Input!$1:$1048576,BE$93,$C585*2+6)</f>
        <v>4.4999999999999998E-2</v>
      </c>
      <c r="BF585" s="1">
        <f>INDEX(Input!$1:$1048576,BF$93,$C585*2+6)</f>
        <v>0.05</v>
      </c>
      <c r="BG585" s="1">
        <f>INDEX(Input!$1:$1048576,BG$93,$C585*2+6)</f>
        <v>5.45E-2</v>
      </c>
      <c r="BH585" s="1">
        <f>INDEX(Input!$1:$1048576,BH$93,$C585*2+6)</f>
        <v>5.45E-2</v>
      </c>
      <c r="BI585" s="1">
        <f>INDEX(Input!$1:$1048576,BI$93,$C585*2+6)</f>
        <v>0.05</v>
      </c>
      <c r="BJ585" s="1">
        <f>INDEX(Input!$1:$1048576,BJ$93,$C585*2+6)</f>
        <v>0.05</v>
      </c>
      <c r="BK585" s="1">
        <f>INDEX(Input!$1:$1048576,BK$93,$C585*2+6)</f>
        <v>0.05</v>
      </c>
      <c r="BL585" s="1">
        <f>INDEX(Input!$1:$1048576,BL$93,$C585*2+6)</f>
        <v>5.5E-2</v>
      </c>
      <c r="BM585" s="1">
        <f>INDEX(Input!$1:$1048576,BM$93,$C585*2+6)</f>
        <v>0.06</v>
      </c>
      <c r="BN585" s="1">
        <f>INDEX(Input!$1:$1048576,BN$93,$C585*2+6)</f>
        <v>4.4999999999999998E-2</v>
      </c>
      <c r="BO585" s="1">
        <f>INDEX(Input!$1:$1048576,BO$93,$C585*2+6)</f>
        <v>4.4999999999999998E-2</v>
      </c>
      <c r="BP585" s="1">
        <f>INDEX(Input!$1:$1048576,BP$93,$C585*2+6)</f>
        <v>0.05</v>
      </c>
      <c r="BQ585" s="1">
        <f>INDEX(Input!$1:$1048576,BQ$93,$C585*2+6)</f>
        <v>5.45E-2</v>
      </c>
      <c r="BR585" s="1">
        <f>INDEX(Input!$1:$1048576,BR$93,$C585*2+6)</f>
        <v>5.45E-2</v>
      </c>
      <c r="BS585" s="1">
        <f>INDEX(Input!$1:$1048576,BS$93,$C585*2+6)</f>
        <v>0.05</v>
      </c>
      <c r="BT585" s="1">
        <f>INDEX(Input!$1:$1048576,BT$93,$C585*2+6)</f>
        <v>0.05</v>
      </c>
      <c r="BU585" s="1">
        <f>INDEX(Input!$1:$1048576,BU$93,$C585*2+6)</f>
        <v>0.05</v>
      </c>
      <c r="BV585" s="1">
        <f>INDEX(Input!$1:$1048576,BV$93,$C585*2+6)</f>
        <v>5.5E-2</v>
      </c>
      <c r="BW585" s="1">
        <f>INDEX(Input!$1:$1048576,BW$93,$C585*2+6)</f>
        <v>0.06</v>
      </c>
      <c r="BX585" s="127">
        <f>INDEX(Input!$1:$1048576,BX$93,$C585*2+6)</f>
        <v>19985</v>
      </c>
      <c r="BY585" s="20">
        <f>INDEX(Input!$1:$1048576,BY$93,$C585*2+6)</f>
        <v>0.1</v>
      </c>
      <c r="BZ585" s="20">
        <f>INDEX(Input!$1:$1048576,BZ$93,$C585*2+6)</f>
        <v>0.1</v>
      </c>
      <c r="CA585" s="20">
        <f>INDEX(Input!$1:$1048576,CA$93,$C585*2+6)</f>
        <v>0.1</v>
      </c>
      <c r="CB585" s="20">
        <f>INDEX(Input!$1:$1048576,CB$93,$C585*2+6)</f>
        <v>0.1</v>
      </c>
      <c r="CC585" s="20">
        <f>INDEX(Input!$1:$1048576,CC$93,$C585*2+6)</f>
        <v>0.1</v>
      </c>
      <c r="CD585" s="384">
        <f>INDEX(Input!$1:$1048576,CD$93,$C585*2+6)</f>
        <v>0.1</v>
      </c>
      <c r="CE585" s="384">
        <f>INDEX(Input!$1:$1048576,CE$93,$C585*2+6)</f>
        <v>0.1</v>
      </c>
      <c r="CF585" s="384">
        <f>INDEX(Input!$1:$1048576,CF$93,$C585*2+6)</f>
        <v>0.1</v>
      </c>
      <c r="CG585" s="384">
        <f>INDEX(Input!$1:$1048576,CG$93,$C585*2+6)</f>
        <v>0.1</v>
      </c>
      <c r="CH585" s="384">
        <f>INDEX(Input!$1:$1048576,CH$93,$C585*2+6)</f>
        <v>0.1</v>
      </c>
      <c r="CI585" s="304">
        <f t="shared" si="1527"/>
        <v>1777.4263093788063</v>
      </c>
      <c r="CJ585" s="16" t="str">
        <f>INDEX(Input!$1:$1048576,CJ$93,$C585*2+6)</f>
        <v>N</v>
      </c>
      <c r="CK585" s="1" t="str">
        <f t="shared" si="1528"/>
        <v>Market</v>
      </c>
      <c r="CL585" s="1" t="str">
        <f t="shared" si="1529"/>
        <v>Market</v>
      </c>
      <c r="CM585" s="1" t="str">
        <f t="shared" si="1530"/>
        <v>Market</v>
      </c>
      <c r="CN585" s="1" t="str">
        <f t="shared" si="1531"/>
        <v>Market</v>
      </c>
      <c r="CO585" s="1" t="str">
        <f t="shared" si="1532"/>
        <v>Market</v>
      </c>
      <c r="CP585" s="304">
        <f t="shared" si="1533"/>
        <v>500</v>
      </c>
      <c r="CQ585" s="1">
        <f t="shared" si="1534"/>
        <v>1.9E-2</v>
      </c>
      <c r="CR585" s="1">
        <f t="shared" si="1535"/>
        <v>1.9E-2</v>
      </c>
      <c r="CS585" s="1">
        <f t="shared" si="1536"/>
        <v>1.9E-2</v>
      </c>
      <c r="CT585" s="1">
        <f t="shared" si="1537"/>
        <v>3.9E-2</v>
      </c>
      <c r="CU585" s="1">
        <f t="shared" si="1538"/>
        <v>3.9E-2</v>
      </c>
      <c r="CV585" s="304">
        <f t="shared" si="1539"/>
        <v>-717.93641739252325</v>
      </c>
      <c r="CW585" s="20" t="s">
        <v>122</v>
      </c>
      <c r="CX585" s="20" t="s">
        <v>122</v>
      </c>
      <c r="CY585" s="20" t="s">
        <v>122</v>
      </c>
      <c r="CZ585" s="20" t="s">
        <v>122</v>
      </c>
      <c r="DA585" s="20" t="s">
        <v>122</v>
      </c>
      <c r="DB585" s="503">
        <f t="shared" si="1540"/>
        <v>0</v>
      </c>
      <c r="DC585" s="127">
        <v>0</v>
      </c>
      <c r="DD585" s="127">
        <v>0</v>
      </c>
      <c r="DE585" s="127">
        <v>0</v>
      </c>
      <c r="DF585" s="127">
        <v>0</v>
      </c>
      <c r="DG585" s="127">
        <v>0</v>
      </c>
      <c r="DH585" s="127">
        <v>0</v>
      </c>
      <c r="DI585" s="127">
        <v>0</v>
      </c>
      <c r="DJ585" s="127">
        <v>0</v>
      </c>
      <c r="DK585" s="127">
        <v>0</v>
      </c>
      <c r="DL585" s="127">
        <v>0</v>
      </c>
      <c r="DM585" s="304">
        <f>INDEX(Input!$1:$1048576,DM$93,$C585*2+6)</f>
        <v>21036.84210526316</v>
      </c>
      <c r="DN585" s="20">
        <v>0</v>
      </c>
      <c r="DO585" s="20">
        <v>0</v>
      </c>
      <c r="DP585" s="20">
        <v>0</v>
      </c>
      <c r="DQ585" s="20">
        <v>0</v>
      </c>
      <c r="DR585" s="20">
        <v>0</v>
      </c>
      <c r="DS585" s="20">
        <f>INDEX(Input!$1:$1048576,DS$93,$C585*2+6)</f>
        <v>0.6</v>
      </c>
      <c r="DT585" s="20">
        <f>INDEX(Input!$1:$1048576,DT$93,$C585*2+6)</f>
        <v>0.55000000000000004</v>
      </c>
      <c r="DU585" s="20">
        <f>INDEX(Input!$1:$1048576,DU$93,$C585*2+6)</f>
        <v>0.52</v>
      </c>
      <c r="DV585" s="20">
        <f>INDEX(Input!$1:$1048576,DV$93,$C585*2+6)</f>
        <v>0.5</v>
      </c>
      <c r="DW585" s="20">
        <f>INDEX(Input!$1:$1048576,DW$93,$C585*2+6)</f>
        <v>0.45</v>
      </c>
      <c r="DX585" s="20"/>
      <c r="DY585" s="7">
        <v>0.13355945019205626</v>
      </c>
      <c r="DZ585" s="7">
        <v>0</v>
      </c>
      <c r="EA585" s="7">
        <v>0.77872143167589036</v>
      </c>
      <c r="EB585" s="7">
        <v>0</v>
      </c>
      <c r="EC585" s="7">
        <v>0</v>
      </c>
      <c r="ED585" s="7">
        <v>0</v>
      </c>
      <c r="EE585" s="7">
        <v>0</v>
      </c>
      <c r="EF585" s="7">
        <v>0</v>
      </c>
      <c r="EG585" s="7">
        <v>0</v>
      </c>
      <c r="EH585" s="7">
        <v>1.5632283799706031E-2</v>
      </c>
      <c r="EI585" s="7">
        <v>3.7698384778808547E-2</v>
      </c>
      <c r="EJ585" s="7">
        <v>0.29318971199700911</v>
      </c>
      <c r="EK585" s="7">
        <v>0.40444220576266754</v>
      </c>
      <c r="EL585" s="7">
        <v>0.24903741366180893</v>
      </c>
      <c r="EM585" s="7">
        <v>3.0639122877750575E-2</v>
      </c>
      <c r="EN585" s="7">
        <v>5.8499931984987409E-2</v>
      </c>
      <c r="EO585" s="7">
        <v>0.71709903526284124</v>
      </c>
      <c r="EP585" s="7">
        <v>8.9750457099003658E-2</v>
      </c>
      <c r="EQ585" s="7">
        <v>8.8389528122467892E-2</v>
      </c>
      <c r="ER585" s="7">
        <v>4.6261047530699713E-2</v>
      </c>
      <c r="ES585" s="7">
        <v>5.7079995254302664E-2</v>
      </c>
      <c r="ET585" s="7">
        <v>8.7719118132053422E-2</v>
      </c>
      <c r="EU585" s="6">
        <v>1770</v>
      </c>
      <c r="EV585" s="6">
        <v>0</v>
      </c>
      <c r="EW585" s="6">
        <v>1770</v>
      </c>
      <c r="EX585" s="6">
        <v>0</v>
      </c>
      <c r="EY585" s="6">
        <v>1247.1893742845173</v>
      </c>
      <c r="EZ585" s="6">
        <v>-6.4499039401316622</v>
      </c>
      <c r="FA585" s="6">
        <v>0</v>
      </c>
      <c r="FB585" s="6">
        <v>0</v>
      </c>
      <c r="FC585" s="6">
        <v>0</v>
      </c>
      <c r="FD585" s="6">
        <v>0</v>
      </c>
      <c r="FE585" s="6">
        <v>0</v>
      </c>
      <c r="FF585" s="6">
        <v>0</v>
      </c>
      <c r="FG585" s="6">
        <v>0</v>
      </c>
      <c r="FH585" s="6">
        <v>681.75782130129699</v>
      </c>
      <c r="FI585" s="6">
        <v>908.63567840587234</v>
      </c>
      <c r="FJ585" s="6">
        <v>1322.1514264406353</v>
      </c>
      <c r="FK585" s="6">
        <v>788.09921179939295</v>
      </c>
      <c r="FL585" s="6">
        <v>907.07682140966335</v>
      </c>
      <c r="FM585" s="6">
        <v>977.18937428451738</v>
      </c>
      <c r="FN585" s="6">
        <v>0</v>
      </c>
      <c r="FO585" s="6">
        <v>0</v>
      </c>
      <c r="FP585" s="6">
        <v>0</v>
      </c>
      <c r="FQ585" s="6">
        <v>0</v>
      </c>
      <c r="FR585" s="6">
        <v>0</v>
      </c>
      <c r="FS585" s="6">
        <v>0</v>
      </c>
      <c r="FT585" s="7">
        <v>0.91228088186794665</v>
      </c>
      <c r="FU585" s="7">
        <v>3.0639122877750575E-2</v>
      </c>
      <c r="FV585" s="7">
        <v>5.7079995254302664E-2</v>
      </c>
      <c r="FW585" s="6">
        <v>1769.9999999999998</v>
      </c>
      <c r="FX585" s="6">
        <v>1247.1893742845173</v>
      </c>
      <c r="FY585" s="6">
        <v>-6.4499039401316622</v>
      </c>
      <c r="FZ585" s="6">
        <v>1758.1538569113241</v>
      </c>
      <c r="GA585" s="6">
        <v>1652.5817889105003</v>
      </c>
      <c r="GB585" s="6">
        <v>18332.418211089498</v>
      </c>
      <c r="GC585" s="7">
        <v>3.064145122680037E-2</v>
      </c>
      <c r="GD585" s="7">
        <v>3.0712469806373165E-2</v>
      </c>
      <c r="GE585" s="7"/>
      <c r="GF585" s="7"/>
      <c r="GG585" s="7">
        <v>2.3177289824536473E-3</v>
      </c>
      <c r="GH585" s="42">
        <v>-0.43875065243559253</v>
      </c>
      <c r="GI585" s="6">
        <v>-43897.208026920664</v>
      </c>
      <c r="GJ585" s="14">
        <v>0.50394797582841733</v>
      </c>
      <c r="GK585" s="14">
        <v>0.50887573065309777</v>
      </c>
      <c r="GL585" s="14">
        <v>0.49605202417158301</v>
      </c>
      <c r="GM585" s="14">
        <v>0.49112426934690279</v>
      </c>
      <c r="GO585" s="5">
        <v>343.14810671672558</v>
      </c>
      <c r="GP585" s="5">
        <v>309.37988338875158</v>
      </c>
      <c r="GQ585" s="5">
        <v>535.04305713031317</v>
      </c>
      <c r="GR585" s="5">
        <v>410.15490233172511</v>
      </c>
      <c r="GS585" s="5">
        <v>339.42744393800166</v>
      </c>
      <c r="GT585" s="5">
        <v>293.4407446948278</v>
      </c>
      <c r="GU585" s="5">
        <v>258.04012322764959</v>
      </c>
      <c r="GV585" s="39" t="s">
        <v>392</v>
      </c>
      <c r="GW585" s="5">
        <v>506.67318900241941</v>
      </c>
      <c r="GX585" s="5">
        <v>383.5889342400979</v>
      </c>
      <c r="GY585" s="5">
        <v>309.75612270545639</v>
      </c>
      <c r="GZ585" s="5">
        <v>276.37139208343041</v>
      </c>
      <c r="HA585" s="5">
        <v>241.34874471337258</v>
      </c>
      <c r="HB585" s="39">
        <v>285.0795733272513</v>
      </c>
      <c r="HC585" s="5">
        <v>287.56655829738071</v>
      </c>
      <c r="HD585" s="5">
        <v>239.99799238008356</v>
      </c>
      <c r="HE585" s="5">
        <v>241.14168635502031</v>
      </c>
      <c r="HF585" s="5">
        <v>221.05790951107167</v>
      </c>
      <c r="HG585" s="5">
        <v>210.75500473779988</v>
      </c>
      <c r="HH585" s="39">
        <v>239.85648107924902</v>
      </c>
      <c r="HI585" s="16"/>
      <c r="HJ585" s="19" t="str">
        <f t="shared" ref="HJ585:HK585" si="1713">HJ584</f>
        <v>On</v>
      </c>
      <c r="HK585" s="1" t="str">
        <f t="shared" si="1713"/>
        <v>On</v>
      </c>
      <c r="HL585" s="16"/>
      <c r="HM585" s="639">
        <f t="shared" si="1661"/>
        <v>2.4909940070666322E-2</v>
      </c>
      <c r="HN585" s="639">
        <f t="shared" si="1662"/>
        <v>2.2052381276269151E-3</v>
      </c>
      <c r="HO585" s="639">
        <f t="shared" si="1663"/>
        <v>2.079866082302006E-3</v>
      </c>
      <c r="HP585" s="644">
        <f>(FT585*$GD585-HM585)/$JF585*INDEX(Input!$1:$1048576,$JG$93,$C585*2+6)</f>
        <v>87.413630502528207</v>
      </c>
      <c r="HQ585" s="644">
        <f>(FU585*$GD585-HN585)/$JF585*INDEX(Input!$1:$1048576,$JG$93,$C585*2+6)</f>
        <v>-35.551818929366171</v>
      </c>
      <c r="HR585" s="644">
        <f>(FV585*$GD585-HO585)/$JF585*INDEX(Input!$1:$1048576,$JG$93,$C585*2+6)</f>
        <v>-9.1899682051522387</v>
      </c>
      <c r="HS585" s="644">
        <f t="shared" si="1664"/>
        <v>-25.280497443020618</v>
      </c>
      <c r="HT585" s="644">
        <f t="shared" si="1665"/>
        <v>-45.745838983537986</v>
      </c>
      <c r="HU585" s="644">
        <f t="shared" si="1666"/>
        <v>1.9788526843631369</v>
      </c>
      <c r="HV585" s="648">
        <f t="shared" si="1667"/>
        <v>0</v>
      </c>
      <c r="HW585" s="648">
        <f t="shared" si="1668"/>
        <v>0</v>
      </c>
      <c r="HX585" s="648">
        <f t="shared" si="1669"/>
        <v>0</v>
      </c>
      <c r="HY585" s="644">
        <f>INDEX(Input!$1:$1048576,HY$93,$C585*2+6)*INDEX(Input!$1:$1048576,$JG$93,$C585*2+6)</f>
        <v>333.00000000000006</v>
      </c>
      <c r="HZ585" s="644">
        <f>INDEX(Input!$1:$1048576,HZ$93,$C585*2+6)*INDEX(Input!$1:$1048576,$JG$93,$C585*2+6)</f>
        <v>429</v>
      </c>
      <c r="IA585" s="644">
        <f>INDEX(Input!$1:$1048576,IA$93,$C585*2+6)*INDEX(Input!$1:$1048576,$JG$93,$C585*2+6)</f>
        <v>59</v>
      </c>
      <c r="IB585" s="644">
        <f t="shared" si="1670"/>
        <v>395.1331330595076</v>
      </c>
      <c r="IC585" s="644">
        <f t="shared" si="1671"/>
        <v>347.70234208709587</v>
      </c>
      <c r="ID585" s="644">
        <f>IF(AND(INDEX(Input!$1:$1048576,IA$93,$C585*2+7)="TOS",Y585&lt;=INDEX(Y:Y,MATCH(C585*1000+2,A:A))),0,1)*MAX(IA585+HR585+HU585+HX585,0%)</f>
        <v>51.7888844792109</v>
      </c>
      <c r="IE585" s="128">
        <f t="shared" si="1672"/>
        <v>0.49725776497158269</v>
      </c>
      <c r="IF585" s="128">
        <f t="shared" si="1673"/>
        <v>0.43756818913886253</v>
      </c>
      <c r="IG585" s="128">
        <f t="shared" si="1674"/>
        <v>6.5174045889554777E-2</v>
      </c>
      <c r="IH585" s="21"/>
      <c r="II585" s="19">
        <f t="shared" si="1675"/>
        <v>1240</v>
      </c>
      <c r="IJ585" s="19">
        <f t="shared" si="1676"/>
        <v>1985.7442651839444</v>
      </c>
      <c r="IK585" s="19">
        <f t="shared" si="1677"/>
        <v>-21.44990394013189</v>
      </c>
      <c r="IL585" s="19">
        <f t="shared" si="1678"/>
        <v>529.99999999999977</v>
      </c>
      <c r="IM585" s="19">
        <f t="shared" si="1679"/>
        <v>-738.55489089942716</v>
      </c>
      <c r="IN585" s="19">
        <f t="shared" si="1680"/>
        <v>15.000000000000227</v>
      </c>
      <c r="IO585" s="39">
        <f t="shared" si="1681"/>
        <v>0</v>
      </c>
      <c r="IP585" s="39">
        <f t="shared" si="1682"/>
        <v>0</v>
      </c>
      <c r="IQ585" s="39">
        <f t="shared" si="1683"/>
        <v>0</v>
      </c>
      <c r="IR585" s="39">
        <v>0</v>
      </c>
      <c r="IS585" s="39">
        <v>0</v>
      </c>
      <c r="IT585" s="39">
        <v>0</v>
      </c>
      <c r="IU585" s="39">
        <v>0</v>
      </c>
      <c r="IV585" s="39">
        <v>0</v>
      </c>
      <c r="IW585" s="39">
        <v>0</v>
      </c>
      <c r="IX585" s="39">
        <f>INDEX(Input!$1:$1048576,IX$93,$C585*2+6)+INDEX(Input!$1:$1048576,IX$94,$C585*2+6)</f>
        <v>1270</v>
      </c>
      <c r="IY585" s="39">
        <f>INDEX(Input!$1:$1048576,IY$93,$C585*2+6)+INDEX(Input!$1:$1048576,IY$94,$C585*2+6)</f>
        <v>2130.0624533823611</v>
      </c>
      <c r="IZ585" s="39">
        <f>INDEX(Input!$1:$1048576,IZ$93,$C585*2+6)+INDEX(Input!$1:$1048576,IZ$94,$C585*2+6)</f>
        <v>3653.7164157747857</v>
      </c>
      <c r="JA585" s="19">
        <f t="shared" si="1684"/>
        <v>1799.9999999999998</v>
      </c>
      <c r="JB585" s="19">
        <f t="shared" si="1685"/>
        <v>1391.507562482934</v>
      </c>
      <c r="JC585" s="19">
        <f t="shared" si="1686"/>
        <v>3668.7164157747857</v>
      </c>
      <c r="JD585" s="19">
        <f t="shared" si="1687"/>
        <v>1743.0485132750077</v>
      </c>
      <c r="JE585" s="21"/>
      <c r="JF585" s="1">
        <f t="shared" si="1688"/>
        <v>2.9195044280595241E-2</v>
      </c>
      <c r="JG585" s="15">
        <f>INDEX(Input!$1:$1048576,JG$93,$C585*2+6)/(1+VLOOKUP(C585*1000+INDEX(Input!$1:$1048576,JG$93+1,$C585*2+6),$A:$KK,$JK$92,FALSE))</f>
        <v>821</v>
      </c>
      <c r="JH585" s="1">
        <f t="shared" si="1689"/>
        <v>5.1975448682106941E-2</v>
      </c>
      <c r="JI585" s="1">
        <f t="shared" si="1690"/>
        <v>-8.4101685435073653E-2</v>
      </c>
      <c r="JJ585" s="1">
        <f t="shared" si="1691"/>
        <v>0</v>
      </c>
      <c r="JK585" s="1">
        <f t="shared" si="1692"/>
        <v>-3.2126236752966712E-2</v>
      </c>
      <c r="JL585" s="15">
        <f t="shared" si="1693"/>
        <v>-26.375640374185672</v>
      </c>
      <c r="JM585" s="15">
        <f t="shared" si="1694"/>
        <v>794.62435962581435</v>
      </c>
      <c r="JN585" s="21"/>
      <c r="JO585" s="19">
        <f>INDEX(Input!$1:$1048576,JO$93,$C585*2+6)</f>
        <v>5995.5</v>
      </c>
      <c r="JP585" s="19">
        <f>INDEX(Input!$1:$1048576,JP$93,$C585*2+6)</f>
        <v>1890.7138380411029</v>
      </c>
      <c r="JQ585" s="39">
        <f t="shared" si="1695"/>
        <v>4252.4514867249927</v>
      </c>
      <c r="JR585" s="39">
        <f t="shared" si="1696"/>
        <v>-147.66532476609518</v>
      </c>
      <c r="JS585" s="39">
        <f t="shared" si="1697"/>
        <v>1.3850688086578808</v>
      </c>
      <c r="JT585" s="39">
        <f t="shared" si="1698"/>
        <v>-0.16720725237386463</v>
      </c>
      <c r="JU585" s="385">
        <f>(JQ585*JM585-INDEX(Input!$1:$1048576,Input!A$18,$C585*2+6)*JL585*INDEX(Input!$1:$1048576,Input!A$19,$C585*2+6))/1000000</f>
        <v>3.3791015394786896</v>
      </c>
      <c r="JV585" s="39">
        <f t="shared" si="1699"/>
        <v>9.072100510435277E-3</v>
      </c>
      <c r="JW585" s="1">
        <f t="shared" si="1700"/>
        <v>2.6919944394351433E-3</v>
      </c>
      <c r="JX585" s="19">
        <f t="shared" si="1701"/>
        <v>6339.4575449820541</v>
      </c>
      <c r="JZ585" s="341"/>
      <c r="KA585" s="342"/>
      <c r="KB585" s="469">
        <f t="shared" si="1576"/>
        <v>2.5122967434604799</v>
      </c>
      <c r="KI585" s="473">
        <f t="shared" si="1702"/>
        <v>62.133133059507543</v>
      </c>
      <c r="KJ585" s="473">
        <f t="shared" si="1703"/>
        <v>-81.297657912904128</v>
      </c>
      <c r="KK585" s="473">
        <f t="shared" si="1704"/>
        <v>-7.2111155207891002</v>
      </c>
      <c r="KN585" s="544">
        <f t="shared" si="1705"/>
        <v>5002</v>
      </c>
      <c r="KO585" s="541">
        <f t="shared" si="1706"/>
        <v>-3.6051088305702694E-2</v>
      </c>
      <c r="KP585" s="546">
        <f t="shared" si="1707"/>
        <v>-87.666933897235253</v>
      </c>
      <c r="KQ585" s="546">
        <f t="shared" si="1708"/>
        <v>-175.87025244825873</v>
      </c>
      <c r="KR585" s="548">
        <f t="shared" si="1709"/>
        <v>7.4292764781573934</v>
      </c>
      <c r="KS585" s="548">
        <f t="shared" si="1710"/>
        <v>3.7033090067720393</v>
      </c>
      <c r="KT585" s="473">
        <f t="shared" si="1581"/>
        <v>595.94378802984284</v>
      </c>
      <c r="KU585" s="663">
        <f t="shared" si="1711"/>
        <v>3.8225611245830762</v>
      </c>
    </row>
    <row r="586" spans="1:307" s="26" customFormat="1" ht="15" outlineLevel="1">
      <c r="A586" s="561">
        <f t="shared" si="1652"/>
        <v>5086</v>
      </c>
      <c r="B586" s="561">
        <f t="shared" si="1627"/>
        <v>86</v>
      </c>
      <c r="C586" s="561">
        <f t="shared" si="1628"/>
        <v>5</v>
      </c>
      <c r="D586" s="561" t="str">
        <f t="shared" si="1712"/>
        <v xml:space="preserve">-250 CC, 0/0/0.9/3.9, </v>
      </c>
      <c r="E586" s="475">
        <f>INDEX(Input!$1:$1048576,E$93,$C586*2+MIN($B586,2)+5)
+INDEX(Scenarios!E$121:E$200,MATCH($B586,Scenarios!$B$121:$B$200,0))</f>
        <v>1027.4263093788063</v>
      </c>
      <c r="F586" s="475">
        <f>INDEX(Input!$1:$1048576,F$93,$C586*2+MIN($B586,2)+5)
+INDEX(Scenarios!F$121:F$200,MATCH($B586,Scenarios!$B$121:$B$200,0))</f>
        <v>0</v>
      </c>
      <c r="G586" s="475">
        <f>INDEX(Input!$1:$1048576,G$93,$C586*2+MIN($B586,2)+5)
+INDEX(Scenarios!G$121:G$200,MATCH($B586,Scenarios!$B$121:$B$200,0))</f>
        <v>0</v>
      </c>
      <c r="H586" s="475">
        <f>INDEX(Input!$1:$1048576,H$93,$C586*2+MIN($B586,2)+5)
+INDEX(Scenarios!H$121:H$200,MATCH($B586,Scenarios!$B$121:$B$200,0))</f>
        <v>0</v>
      </c>
      <c r="I586" s="476">
        <f>INDEX(Input!$1:$1048576,I$93,$C586*2+MIN($B586,2)+5)</f>
        <v>0.7</v>
      </c>
      <c r="J586" s="476" t="str">
        <f>INDEX(Input!$1:$1048576,J$93,$C586*2+MIN($B586,2)+5)</f>
        <v>Market</v>
      </c>
      <c r="K586" s="476" t="str">
        <f>INDEX(Input!$1:$1048576,K$93,$C586*2+MIN($B586,2)+5)</f>
        <v>Market</v>
      </c>
      <c r="L586" s="476" t="str">
        <f>INDEX(Input!$1:$1048576,L$93,$C586*2+MIN($B586,2)+5)</f>
        <v>Market</v>
      </c>
      <c r="M586" s="476" t="str">
        <f>INDEX(Input!$1:$1048576,M$93,$C586*2+MIN($B586,2)+5)</f>
        <v>Market</v>
      </c>
      <c r="N586" s="476" t="str">
        <f>INDEX(Input!$1:$1048576,N$93,$C586*2+MIN($B586,2)+5)</f>
        <v>Market</v>
      </c>
      <c r="O586" s="476" t="str">
        <f>INDEX(Input!$1:$1048576,O$93,$C586*2+MIN($B586,2)+5)</f>
        <v>Market</v>
      </c>
      <c r="P586" s="476" t="str">
        <f>INDEX(Input!$1:$1048576,P$93,$C586*2+MIN($B586,2)+5)</f>
        <v>N</v>
      </c>
      <c r="Q586" s="477">
        <f>INDEX(Input!$1:$1048576,Q$93,$C586*2+MIN($B586,2)+5)
+INDEX(Scenarios!Q$121:Q$200,MATCH($B586,Scenarios!$B$121:$B$200,0))</f>
        <v>0</v>
      </c>
      <c r="R586" s="478">
        <f>IFERROR(MAX(0,INDEX(Input!$1:$1048576,R$93,$C586*2+MIN($B586,2)+5)
+INDEX(Scenarios!R$121:R$200,MATCH($B586,Scenarios!$B$121:$B$200,0)),),"Market")</f>
        <v>0</v>
      </c>
      <c r="S586" s="478">
        <f>IFERROR(MAX(0,INDEX(Input!$1:$1048576,S$93,$C586*2+MIN($B586,2)+5)
+INDEX(Scenarios!S$121:S$200,MATCH($B586,Scenarios!$B$121:$B$200,0)),),"Market")</f>
        <v>0</v>
      </c>
      <c r="T586" s="478">
        <f>IFERROR(MAX(0,INDEX(Input!$1:$1048576,T$93,$C586*2+MIN($B586,2)+5)
+INDEX(Scenarios!T$121:T$200,MATCH($B586,Scenarios!$B$121:$B$200,0)),),"Market")</f>
        <v>0</v>
      </c>
      <c r="U586" s="478">
        <f>IFERROR(MAX(0,INDEX(Input!$1:$1048576,U$93,$C586*2+MIN($B586,2)+5)
+INDEX(Scenarios!U$121:U$200,MATCH($B586,Scenarios!$B$121:$B$200,0)),),"Market")</f>
        <v>0</v>
      </c>
      <c r="V586" s="478">
        <f>IFERROR(MAX(0,INDEX(Input!$1:$1048576,V$93,$C586*2+MIN($B586,2)+5)
+INDEX(Scenarios!V$121:V$200,MATCH($B586,Scenarios!$B$121:$B$200,0)),),"Market")</f>
        <v>8.9999999999999993E-3</v>
      </c>
      <c r="W586" s="885">
        <f>IFERROR(MAX(0,INDEX(Input!$1:$1048576,W$93,$C586*2+MIN($B586,2)+5)-0%,),"Market")</f>
        <v>3.9E-2</v>
      </c>
      <c r="X586" s="476" t="str">
        <f>INDEX(Input!$1:$1048576,X$93,$C586*2+MIN($B586,2)+5)</f>
        <v>Y</v>
      </c>
      <c r="Y586" s="475">
        <f>INDEX(Input!$1:$1048576,Y$93,$C586*2+MIN($B586,2)+5)
++INDEX(Scenarios!Y$121:Y$200,MATCH($B586,Scenarios!$B$121:$B$200,0))</f>
        <v>-717.93641739252325</v>
      </c>
      <c r="Z586" s="477">
        <f>INDEX(Input!$1:$1048576,Z$93,$C586*2+MIN($B586,2)+5)
+INDEX(Scenarios!Z$121:Z$200,MATCH($B586,Scenarios!$B$121:$B$200,0))</f>
        <v>0</v>
      </c>
      <c r="AA586" s="475">
        <f>INDEX(Input!$1:$1048576,AA$93,$C586*2+MIN($B586,2)+5)
+INDEX(Scenarios!AA$121:AA$200,MATCH($B586,Scenarios!$B$121:$B$200,0))</f>
        <v>0</v>
      </c>
      <c r="AB586" s="476">
        <f>INDEX(Input!$1:$1048576,AB$93,$C586*2+MIN($B586,2)+5)</f>
        <v>0.27</v>
      </c>
      <c r="AC586" s="475">
        <f>INDEX(Input!$1:$1048576,AC$93,$C586*2+MIN($B586,2)+5)
+INDEX(Scenarios!AC$121:AC$200,MATCH($B586,Scenarios!$B$121:$B$200,0))</f>
        <v>0</v>
      </c>
      <c r="AD586" s="476">
        <f>INDEX(Input!$1:$1048576,AD$93,$C586*2+MIN($B586,2)+5)</f>
        <v>0.27</v>
      </c>
      <c r="AE586" s="475">
        <f>INDEX(Input!$1:$1048576,AE$93,$C586*2+MIN($B586,2)+5)
+INDEX(Scenarios!AE$121:AE$200,MATCH($B586,Scenarios!$B$121:$B$200,0))</f>
        <v>0</v>
      </c>
      <c r="AF586" s="476">
        <f>INDEX(Input!$1:$1048576,AF$93,$C586*2+MIN($B586,2)+5)</f>
        <v>0.2</v>
      </c>
      <c r="AG586" s="475">
        <f>INDEX(Input!$1:$1048576,AG$93,$C586*2+MIN($B586,2)+5)
+INDEX(Scenarios!AG$121:AG$200,MATCH($B586,Scenarios!$B$121:$B$200,0))</f>
        <v>500</v>
      </c>
      <c r="AH586" s="476">
        <f>INDEX(Input!$1:$1048576,AH$93,$C586*2+MIN($B586,2)+5)</f>
        <v>1</v>
      </c>
      <c r="AI586" s="475">
        <f>INDEX(Input!$1:$1048576,AI$93,$C586*2+MIN($B586,2)+5)
+INDEX(Scenarios!AI$121:AI$200,MATCH($B586,Scenarios!$B$121:$B$200,0))</f>
        <v>0</v>
      </c>
      <c r="AJ586" s="476">
        <f>INDEX(Input!$1:$1048576,AJ$93,$C586*2+MIN($B586,2)+5)</f>
        <v>0.27</v>
      </c>
      <c r="AK586" s="150">
        <f>ROUND(INDEX(Input!$1:$1048576,AK$93,$C585*2+MIN($B586,1)+5)+(Y586-VLOOKUP($C586*1000+1,$A:$HH,Y$92,FALSE)),0)</f>
        <v>2587</v>
      </c>
      <c r="AL586" s="150">
        <f>ROUND(INDEX(Input!$1:$1048576,AL$93,$C585*2+MIN($B586,1)+5)-(Y586-VLOOKUP($C586*1000+1,$A:$HH,Y$92,FALSE))/36,0)</f>
        <v>3406</v>
      </c>
      <c r="AM586" s="32" t="str">
        <f t="shared" si="1653"/>
        <v>std/std/std/std</v>
      </c>
      <c r="AN586" s="32" t="str">
        <f t="shared" si="1654"/>
        <v>$0 + 0/0/0/0.9/3.9</v>
      </c>
      <c r="AO586" s="32" t="str">
        <f t="shared" si="1655"/>
        <v>0/0/0/0.9/3.9</v>
      </c>
      <c r="AP586" s="32" t="str">
        <f t="shared" si="1526"/>
        <v>0/0/0.9/3.9</v>
      </c>
      <c r="AQ586" s="536">
        <f t="shared" si="1525"/>
        <v>0.36002830510332806</v>
      </c>
      <c r="AR586" s="32"/>
      <c r="AS586" s="302"/>
      <c r="AT586" s="3">
        <f t="shared" si="1629"/>
        <v>86</v>
      </c>
      <c r="AU586" s="41" t="s">
        <v>121</v>
      </c>
      <c r="AV586" s="41" t="s">
        <v>116</v>
      </c>
      <c r="AW586" s="41" t="str">
        <f>INDEX(Input!$1:$1048576,AW$93,$C586*2+6)</f>
        <v>Kia</v>
      </c>
      <c r="AX586" s="41" t="str">
        <f>INDEX(Input!$1:$1048576,AX$93,$C586*2+6)</f>
        <v>Kia-LR - R2</v>
      </c>
      <c r="AY586" s="41" t="str">
        <f>IF(LEN(D586)=0,"",INDEX(Input!$1:$1048576,AY$93,$C586*2+6))</f>
        <v>Compact SUV (52)</v>
      </c>
      <c r="AZ586" s="41" t="str">
        <f>INDEX(Input!$1:$1048576,AZ$93,$C586*2+6)</f>
        <v>Kia Soul</v>
      </c>
      <c r="BA586" s="3">
        <f>INDEX(Input!$1:$1048576,BA$93,$C586*2+6)</f>
        <v>2020</v>
      </c>
      <c r="BB586" s="128">
        <f>INDEX(Input!$1:$1048576,BB$93,$C586*2+6)</f>
        <v>1</v>
      </c>
      <c r="BC586" s="128">
        <f>INDEX(Input!$1:$1048576,BC$93,$C586*2+6)</f>
        <v>0.7</v>
      </c>
      <c r="BD586" s="1">
        <f>INDEX(Input!$1:$1048576,BD$93,$C586*2+6)</f>
        <v>4.4999999999999998E-2</v>
      </c>
      <c r="BE586" s="1">
        <f>INDEX(Input!$1:$1048576,BE$93,$C586*2+6)</f>
        <v>4.4999999999999998E-2</v>
      </c>
      <c r="BF586" s="1">
        <f>INDEX(Input!$1:$1048576,BF$93,$C586*2+6)</f>
        <v>0.05</v>
      </c>
      <c r="BG586" s="1">
        <f>INDEX(Input!$1:$1048576,BG$93,$C586*2+6)</f>
        <v>5.45E-2</v>
      </c>
      <c r="BH586" s="1">
        <f>INDEX(Input!$1:$1048576,BH$93,$C586*2+6)</f>
        <v>5.45E-2</v>
      </c>
      <c r="BI586" s="1">
        <f>INDEX(Input!$1:$1048576,BI$93,$C586*2+6)</f>
        <v>0.05</v>
      </c>
      <c r="BJ586" s="1">
        <f>INDEX(Input!$1:$1048576,BJ$93,$C586*2+6)</f>
        <v>0.05</v>
      </c>
      <c r="BK586" s="1">
        <f>INDEX(Input!$1:$1048576,BK$93,$C586*2+6)</f>
        <v>0.05</v>
      </c>
      <c r="BL586" s="1">
        <f>INDEX(Input!$1:$1048576,BL$93,$C586*2+6)</f>
        <v>5.5E-2</v>
      </c>
      <c r="BM586" s="1">
        <f>INDEX(Input!$1:$1048576,BM$93,$C586*2+6)</f>
        <v>0.06</v>
      </c>
      <c r="BN586" s="1">
        <f>INDEX(Input!$1:$1048576,BN$93,$C586*2+6)</f>
        <v>4.4999999999999998E-2</v>
      </c>
      <c r="BO586" s="1">
        <f>INDEX(Input!$1:$1048576,BO$93,$C586*2+6)</f>
        <v>4.4999999999999998E-2</v>
      </c>
      <c r="BP586" s="1">
        <f>INDEX(Input!$1:$1048576,BP$93,$C586*2+6)</f>
        <v>0.05</v>
      </c>
      <c r="BQ586" s="1">
        <f>INDEX(Input!$1:$1048576,BQ$93,$C586*2+6)</f>
        <v>5.45E-2</v>
      </c>
      <c r="BR586" s="1">
        <f>INDEX(Input!$1:$1048576,BR$93,$C586*2+6)</f>
        <v>5.45E-2</v>
      </c>
      <c r="BS586" s="1">
        <f>INDEX(Input!$1:$1048576,BS$93,$C586*2+6)</f>
        <v>0.05</v>
      </c>
      <c r="BT586" s="1">
        <f>INDEX(Input!$1:$1048576,BT$93,$C586*2+6)</f>
        <v>0.05</v>
      </c>
      <c r="BU586" s="1">
        <f>INDEX(Input!$1:$1048576,BU$93,$C586*2+6)</f>
        <v>0.05</v>
      </c>
      <c r="BV586" s="1">
        <f>INDEX(Input!$1:$1048576,BV$93,$C586*2+6)</f>
        <v>5.5E-2</v>
      </c>
      <c r="BW586" s="1">
        <f>INDEX(Input!$1:$1048576,BW$93,$C586*2+6)</f>
        <v>0.06</v>
      </c>
      <c r="BX586" s="127">
        <f>INDEX(Input!$1:$1048576,BX$93,$C586*2+6)</f>
        <v>19985</v>
      </c>
      <c r="BY586" s="20">
        <f>INDEX(Input!$1:$1048576,BY$93,$C586*2+6)</f>
        <v>0.1</v>
      </c>
      <c r="BZ586" s="20">
        <f>INDEX(Input!$1:$1048576,BZ$93,$C586*2+6)</f>
        <v>0.1</v>
      </c>
      <c r="CA586" s="20">
        <f>INDEX(Input!$1:$1048576,CA$93,$C586*2+6)</f>
        <v>0.1</v>
      </c>
      <c r="CB586" s="20">
        <f>INDEX(Input!$1:$1048576,CB$93,$C586*2+6)</f>
        <v>0.1</v>
      </c>
      <c r="CC586" s="20">
        <f>INDEX(Input!$1:$1048576,CC$93,$C586*2+6)</f>
        <v>0.1</v>
      </c>
      <c r="CD586" s="384">
        <f>INDEX(Input!$1:$1048576,CD$93,$C586*2+6)</f>
        <v>0.1</v>
      </c>
      <c r="CE586" s="384">
        <f>INDEX(Input!$1:$1048576,CE$93,$C586*2+6)</f>
        <v>0.1</v>
      </c>
      <c r="CF586" s="384">
        <f>INDEX(Input!$1:$1048576,CF$93,$C586*2+6)</f>
        <v>0.1</v>
      </c>
      <c r="CG586" s="384">
        <f>INDEX(Input!$1:$1048576,CG$93,$C586*2+6)</f>
        <v>0.1</v>
      </c>
      <c r="CH586" s="384">
        <f>INDEX(Input!$1:$1048576,CH$93,$C586*2+6)</f>
        <v>0.1</v>
      </c>
      <c r="CI586" s="304">
        <f t="shared" si="1527"/>
        <v>1027.4263093788063</v>
      </c>
      <c r="CJ586" s="16" t="str">
        <f>INDEX(Input!$1:$1048576,CJ$93,$C586*2+6)</f>
        <v>N</v>
      </c>
      <c r="CK586" s="1" t="str">
        <f t="shared" si="1528"/>
        <v>Market</v>
      </c>
      <c r="CL586" s="1" t="str">
        <f t="shared" si="1529"/>
        <v>Market</v>
      </c>
      <c r="CM586" s="1" t="str">
        <f t="shared" si="1530"/>
        <v>Market</v>
      </c>
      <c r="CN586" s="1" t="str">
        <f t="shared" si="1531"/>
        <v>Market</v>
      </c>
      <c r="CO586" s="1" t="str">
        <f t="shared" si="1532"/>
        <v>Market</v>
      </c>
      <c r="CP586" s="304">
        <f t="shared" si="1533"/>
        <v>500</v>
      </c>
      <c r="CQ586" s="1">
        <f t="shared" si="1534"/>
        <v>0</v>
      </c>
      <c r="CR586" s="1">
        <f t="shared" si="1535"/>
        <v>0</v>
      </c>
      <c r="CS586" s="1">
        <f t="shared" si="1536"/>
        <v>0</v>
      </c>
      <c r="CT586" s="1">
        <f t="shared" si="1537"/>
        <v>8.9999999999999993E-3</v>
      </c>
      <c r="CU586" s="1">
        <f t="shared" si="1538"/>
        <v>3.9E-2</v>
      </c>
      <c r="CV586" s="304">
        <f t="shared" si="1539"/>
        <v>-717.93641739252325</v>
      </c>
      <c r="CW586" s="20" t="s">
        <v>122</v>
      </c>
      <c r="CX586" s="20" t="s">
        <v>122</v>
      </c>
      <c r="CY586" s="20" t="s">
        <v>122</v>
      </c>
      <c r="CZ586" s="20" t="s">
        <v>122</v>
      </c>
      <c r="DA586" s="20" t="s">
        <v>122</v>
      </c>
      <c r="DB586" s="503">
        <f t="shared" si="1540"/>
        <v>0</v>
      </c>
      <c r="DC586" s="127">
        <v>0</v>
      </c>
      <c r="DD586" s="127">
        <v>0</v>
      </c>
      <c r="DE586" s="127">
        <v>0</v>
      </c>
      <c r="DF586" s="127">
        <v>0</v>
      </c>
      <c r="DG586" s="127">
        <v>0</v>
      </c>
      <c r="DH586" s="127">
        <v>0</v>
      </c>
      <c r="DI586" s="127">
        <v>0</v>
      </c>
      <c r="DJ586" s="127">
        <v>0</v>
      </c>
      <c r="DK586" s="127">
        <v>0</v>
      </c>
      <c r="DL586" s="127">
        <v>0</v>
      </c>
      <c r="DM586" s="304">
        <f>INDEX(Input!$1:$1048576,DM$93,$C586*2+6)</f>
        <v>21036.84210526316</v>
      </c>
      <c r="DN586" s="20">
        <v>0</v>
      </c>
      <c r="DO586" s="20">
        <v>0</v>
      </c>
      <c r="DP586" s="20">
        <v>0</v>
      </c>
      <c r="DQ586" s="20">
        <v>0</v>
      </c>
      <c r="DR586" s="20">
        <v>0</v>
      </c>
      <c r="DS586" s="20">
        <f>INDEX(Input!$1:$1048576,DS$93,$C586*2+6)</f>
        <v>0.6</v>
      </c>
      <c r="DT586" s="20">
        <f>INDEX(Input!$1:$1048576,DT$93,$C586*2+6)</f>
        <v>0.55000000000000004</v>
      </c>
      <c r="DU586" s="20">
        <f>INDEX(Input!$1:$1048576,DU$93,$C586*2+6)</f>
        <v>0.52</v>
      </c>
      <c r="DV586" s="20">
        <f>INDEX(Input!$1:$1048576,DV$93,$C586*2+6)</f>
        <v>0.5</v>
      </c>
      <c r="DW586" s="20">
        <f>INDEX(Input!$1:$1048576,DW$93,$C586*2+6)</f>
        <v>0.45</v>
      </c>
      <c r="DX586" s="20"/>
      <c r="DY586" s="7">
        <v>0.11134353067709818</v>
      </c>
      <c r="DZ586" s="7">
        <v>0</v>
      </c>
      <c r="EA586" s="7">
        <v>0.70504075302071889</v>
      </c>
      <c r="EB586" s="7">
        <v>0</v>
      </c>
      <c r="EC586" s="7">
        <v>0</v>
      </c>
      <c r="ED586" s="7">
        <v>0</v>
      </c>
      <c r="EE586" s="7">
        <v>0</v>
      </c>
      <c r="EF586" s="7">
        <v>0</v>
      </c>
      <c r="EG586" s="7">
        <v>0</v>
      </c>
      <c r="EH586" s="7">
        <v>9.4853566625329715E-3</v>
      </c>
      <c r="EI586" s="7">
        <v>2.6363337707160872E-2</v>
      </c>
      <c r="EJ586" s="7">
        <v>0.22894916962464842</v>
      </c>
      <c r="EK586" s="7">
        <v>0.63707305517191692</v>
      </c>
      <c r="EL586" s="7">
        <v>9.8129080833740043E-2</v>
      </c>
      <c r="EM586" s="7">
        <v>0.10593382457471773</v>
      </c>
      <c r="EN586" s="7">
        <v>5.8453855162176029E-2</v>
      </c>
      <c r="EO586" s="7">
        <v>0.71700114761838796</v>
      </c>
      <c r="EP586" s="7">
        <v>8.9823945211250741E-2</v>
      </c>
      <c r="EQ586" s="7">
        <v>8.844686520776425E-2</v>
      </c>
      <c r="ER586" s="7">
        <v>4.6274186800420891E-2</v>
      </c>
      <c r="ES586" s="7">
        <v>7.7681891727465105E-2</v>
      </c>
      <c r="ET586" s="7">
        <v>0.18361571630218285</v>
      </c>
      <c r="EU586" s="6">
        <v>1020</v>
      </c>
      <c r="EV586" s="6">
        <v>0</v>
      </c>
      <c r="EW586" s="6">
        <v>1020</v>
      </c>
      <c r="EX586" s="6">
        <v>0</v>
      </c>
      <c r="EY586" s="6">
        <v>2326.4148401276443</v>
      </c>
      <c r="EZ586" s="6">
        <v>-6.4499039401316622</v>
      </c>
      <c r="FA586" s="6">
        <v>0</v>
      </c>
      <c r="FB586" s="6">
        <v>0</v>
      </c>
      <c r="FC586" s="6">
        <v>0</v>
      </c>
      <c r="FD586" s="6">
        <v>0</v>
      </c>
      <c r="FE586" s="6">
        <v>0</v>
      </c>
      <c r="FF586" s="6">
        <v>0</v>
      </c>
      <c r="FG586" s="6">
        <v>0</v>
      </c>
      <c r="FH586" s="6">
        <v>1172.1287695062513</v>
      </c>
      <c r="FI586" s="6">
        <v>1553.9796069512397</v>
      </c>
      <c r="FJ586" s="6">
        <v>2101.2110117447423</v>
      </c>
      <c r="FK586" s="6">
        <v>2251.3078348034674</v>
      </c>
      <c r="FL586" s="6">
        <v>907.07682140966278</v>
      </c>
      <c r="FM586" s="6">
        <v>2056.4148401276443</v>
      </c>
      <c r="FN586" s="6">
        <v>0</v>
      </c>
      <c r="FO586" s="6">
        <v>0</v>
      </c>
      <c r="FP586" s="6">
        <v>0</v>
      </c>
      <c r="FQ586" s="6">
        <v>0</v>
      </c>
      <c r="FR586" s="6">
        <v>0</v>
      </c>
      <c r="FS586" s="6">
        <v>0</v>
      </c>
      <c r="FT586" s="7">
        <v>0.81638428369781701</v>
      </c>
      <c r="FU586" s="7">
        <v>0.10593382457471773</v>
      </c>
      <c r="FV586" s="7">
        <v>7.7681891727465105E-2</v>
      </c>
      <c r="FW586" s="6">
        <v>1020.0000000000001</v>
      </c>
      <c r="FX586" s="6">
        <v>2326.4148401276443</v>
      </c>
      <c r="FY586" s="6">
        <v>-6.4499039401316622</v>
      </c>
      <c r="FZ586" s="6">
        <v>1758.1538569113241</v>
      </c>
      <c r="GA586" s="6">
        <v>1078.6569501943454</v>
      </c>
      <c r="GB586" s="6">
        <v>18906.343049805655</v>
      </c>
      <c r="GC586" s="7">
        <v>3.064145122680037E-2</v>
      </c>
      <c r="GD586" s="7">
        <v>2.8684443812108759E-2</v>
      </c>
      <c r="GE586" s="7"/>
      <c r="GF586" s="7"/>
      <c r="GG586" s="7">
        <v>-6.3867974144120362E-2</v>
      </c>
      <c r="GH586" s="42">
        <v>1.8784507341427636</v>
      </c>
      <c r="GI586" s="6">
        <v>11717.743531892862</v>
      </c>
      <c r="GJ586" s="14">
        <v>0.50394797582841733</v>
      </c>
      <c r="GK586" s="14">
        <v>0.50887573065309721</v>
      </c>
      <c r="GL586" s="14">
        <v>0.49605202417158262</v>
      </c>
      <c r="GM586" s="14">
        <v>0.49112426934690229</v>
      </c>
      <c r="GO586" s="5">
        <v>343.14810671672558</v>
      </c>
      <c r="GP586" s="5">
        <v>323.68845259552023</v>
      </c>
      <c r="GQ586" s="5">
        <v>535.04305713031317</v>
      </c>
      <c r="GR586" s="5">
        <v>410.15490233172511</v>
      </c>
      <c r="GS586" s="5">
        <v>339.42744393800166</v>
      </c>
      <c r="GT586" s="5">
        <v>293.4407446948278</v>
      </c>
      <c r="GU586" s="5">
        <v>258.04012322764959</v>
      </c>
      <c r="GV586" s="39" t="s">
        <v>392</v>
      </c>
      <c r="GW586" s="5">
        <v>492.125</v>
      </c>
      <c r="GX586" s="5">
        <v>369.09375</v>
      </c>
      <c r="GY586" s="5">
        <v>295.27499999999998</v>
      </c>
      <c r="GZ586" s="5">
        <v>252.85821728143046</v>
      </c>
      <c r="HA586" s="5">
        <v>241.34874471337258</v>
      </c>
      <c r="HB586" s="39">
        <v>266.77397787322502</v>
      </c>
      <c r="HC586" s="5">
        <v>287.56655829738071</v>
      </c>
      <c r="HD586" s="5">
        <v>239.99799238008356</v>
      </c>
      <c r="HE586" s="5">
        <v>241.14168635502031</v>
      </c>
      <c r="HF586" s="5">
        <v>221.05790951107167</v>
      </c>
      <c r="HG586" s="5">
        <v>210.75500473779988</v>
      </c>
      <c r="HH586" s="39">
        <v>239.85290311812795</v>
      </c>
      <c r="HI586" s="16"/>
      <c r="HJ586" s="19" t="str">
        <f t="shared" ref="HJ586:HK586" si="1714">HJ585</f>
        <v>On</v>
      </c>
      <c r="HK586" s="1" t="str">
        <f t="shared" si="1714"/>
        <v>On</v>
      </c>
      <c r="HL586" s="16"/>
      <c r="HM586" s="639">
        <f t="shared" si="1661"/>
        <v>2.4909940070666322E-2</v>
      </c>
      <c r="HN586" s="639">
        <f t="shared" si="1662"/>
        <v>2.2052381276269151E-3</v>
      </c>
      <c r="HO586" s="639">
        <f t="shared" si="1663"/>
        <v>2.079866082302006E-3</v>
      </c>
      <c r="HP586" s="644">
        <f>(FT586*$GD586-HM586)/$JF586*INDEX(Input!$1:$1048576,$JG$93,$C586*2+6)</f>
        <v>-41.968403369242147</v>
      </c>
      <c r="HQ586" s="644">
        <f>(FU586*$GD586-HN586)/$JF586*INDEX(Input!$1:$1048576,$JG$93,$C586*2+6)</f>
        <v>23.436630933299419</v>
      </c>
      <c r="HR586" s="644">
        <f>(FV586*$GD586-HO586)/$JF586*INDEX(Input!$1:$1048576,$JG$93,$C586*2+6)</f>
        <v>4.1730689313882063</v>
      </c>
      <c r="HS586" s="644">
        <f t="shared" si="1664"/>
        <v>10.480604821363489</v>
      </c>
      <c r="HT586" s="644">
        <f t="shared" si="1665"/>
        <v>21.00145467032668</v>
      </c>
      <c r="HU586" s="644">
        <f t="shared" si="1666"/>
        <v>-0.65530923012455145</v>
      </c>
      <c r="HV586" s="648">
        <f t="shared" si="1667"/>
        <v>0</v>
      </c>
      <c r="HW586" s="648">
        <f t="shared" si="1668"/>
        <v>0</v>
      </c>
      <c r="HX586" s="648">
        <f t="shared" si="1669"/>
        <v>0</v>
      </c>
      <c r="HY586" s="644">
        <f>INDEX(Input!$1:$1048576,HY$93,$C586*2+6)*INDEX(Input!$1:$1048576,$JG$93,$C586*2+6)</f>
        <v>333.00000000000006</v>
      </c>
      <c r="HZ586" s="644">
        <f>INDEX(Input!$1:$1048576,HZ$93,$C586*2+6)*INDEX(Input!$1:$1048576,$JG$93,$C586*2+6)</f>
        <v>429</v>
      </c>
      <c r="IA586" s="644">
        <f>INDEX(Input!$1:$1048576,IA$93,$C586*2+6)*INDEX(Input!$1:$1048576,$JG$93,$C586*2+6)</f>
        <v>59</v>
      </c>
      <c r="IB586" s="644">
        <f t="shared" si="1670"/>
        <v>301.51220145212142</v>
      </c>
      <c r="IC586" s="644">
        <f t="shared" si="1671"/>
        <v>473.43808560362606</v>
      </c>
      <c r="ID586" s="644">
        <f>IF(AND(INDEX(Input!$1:$1048576,IA$93,$C586*2+7)="TOS",Y586&lt;=INDEX(Y:Y,MATCH(C586*1000+2,A:A))),0,1)*MAX(IA586+HR586+HU586+HX586,0%)</f>
        <v>62.517759701263657</v>
      </c>
      <c r="IE586" s="128">
        <f t="shared" si="1672"/>
        <v>0.36002830510332806</v>
      </c>
      <c r="IF586" s="128">
        <f t="shared" si="1673"/>
        <v>0.5653207754456484</v>
      </c>
      <c r="IG586" s="128">
        <f t="shared" si="1674"/>
        <v>7.4650919451023534E-2</v>
      </c>
      <c r="IH586" s="21"/>
      <c r="II586" s="19">
        <f t="shared" si="1675"/>
        <v>1240</v>
      </c>
      <c r="IJ586" s="19">
        <f t="shared" si="1676"/>
        <v>1985.7442651839444</v>
      </c>
      <c r="IK586" s="19">
        <f t="shared" si="1677"/>
        <v>-21.44990394013189</v>
      </c>
      <c r="IL586" s="19">
        <f t="shared" si="1678"/>
        <v>-219.99999999999989</v>
      </c>
      <c r="IM586" s="19">
        <f t="shared" si="1679"/>
        <v>340.67057494369988</v>
      </c>
      <c r="IN586" s="19">
        <f t="shared" si="1680"/>
        <v>15.000000000000227</v>
      </c>
      <c r="IO586" s="39">
        <f t="shared" si="1681"/>
        <v>0</v>
      </c>
      <c r="IP586" s="39">
        <f t="shared" si="1682"/>
        <v>0</v>
      </c>
      <c r="IQ586" s="39">
        <f t="shared" si="1683"/>
        <v>0</v>
      </c>
      <c r="IR586" s="39">
        <v>0</v>
      </c>
      <c r="IS586" s="39">
        <v>0</v>
      </c>
      <c r="IT586" s="39">
        <v>0</v>
      </c>
      <c r="IU586" s="39">
        <v>0</v>
      </c>
      <c r="IV586" s="39">
        <v>0</v>
      </c>
      <c r="IW586" s="39">
        <v>0</v>
      </c>
      <c r="IX586" s="39">
        <f>INDEX(Input!$1:$1048576,IX$93,$C586*2+6)+INDEX(Input!$1:$1048576,IX$94,$C586*2+6)</f>
        <v>1270</v>
      </c>
      <c r="IY586" s="39">
        <f>INDEX(Input!$1:$1048576,IY$93,$C586*2+6)+INDEX(Input!$1:$1048576,IY$94,$C586*2+6)</f>
        <v>2130.0624533823611</v>
      </c>
      <c r="IZ586" s="39">
        <f>INDEX(Input!$1:$1048576,IZ$93,$C586*2+6)+INDEX(Input!$1:$1048576,IZ$94,$C586*2+6)</f>
        <v>3653.7164157747857</v>
      </c>
      <c r="JA586" s="19">
        <f t="shared" si="1684"/>
        <v>1050</v>
      </c>
      <c r="JB586" s="19">
        <f t="shared" si="1685"/>
        <v>2470.7330283260608</v>
      </c>
      <c r="JC586" s="19">
        <f t="shared" si="1686"/>
        <v>3668.7164157747857</v>
      </c>
      <c r="JD586" s="19">
        <f t="shared" si="1687"/>
        <v>2048.6594854936097</v>
      </c>
      <c r="JE586" s="21"/>
      <c r="JF586" s="1">
        <f t="shared" si="1688"/>
        <v>2.9195044280595241E-2</v>
      </c>
      <c r="JG586" s="15">
        <f>INDEX(Input!$1:$1048576,JG$93,$C586*2+6)/(1+VLOOKUP(C586*1000+INDEX(Input!$1:$1048576,JG$93+1,$C586*2+6),$A:$KK,$JK$92,FALSE))</f>
        <v>821</v>
      </c>
      <c r="JH586" s="1">
        <f t="shared" si="1689"/>
        <v>-1.7489285632831329E-2</v>
      </c>
      <c r="JI586" s="1">
        <f t="shared" si="1690"/>
        <v>3.7547807870360071E-2</v>
      </c>
      <c r="JJ586" s="1">
        <f t="shared" si="1691"/>
        <v>0</v>
      </c>
      <c r="JK586" s="1">
        <f t="shared" si="1692"/>
        <v>2.0058522237528742E-2</v>
      </c>
      <c r="JL586" s="15">
        <f t="shared" si="1693"/>
        <v>16.468046757011098</v>
      </c>
      <c r="JM586" s="15">
        <f t="shared" si="1694"/>
        <v>837.46804675701105</v>
      </c>
      <c r="JN586" s="21"/>
      <c r="JO586" s="19">
        <f>INDEX(Input!$1:$1048576,JO$93,$C586*2+6)</f>
        <v>5995.5</v>
      </c>
      <c r="JP586" s="19">
        <f>INDEX(Input!$1:$1048576,JP$93,$C586*2+6)</f>
        <v>1890.7138380411029</v>
      </c>
      <c r="JQ586" s="39">
        <f t="shared" si="1695"/>
        <v>3946.8405145063903</v>
      </c>
      <c r="JR586" s="39">
        <f t="shared" si="1696"/>
        <v>157.94564745250682</v>
      </c>
      <c r="JS586" s="39">
        <f t="shared" si="1697"/>
        <v>1.7156868577865565</v>
      </c>
      <c r="JT586" s="39">
        <f t="shared" si="1698"/>
        <v>0.16341079675481096</v>
      </c>
      <c r="JU586" s="385">
        <f>(JQ586*JM586-INDEX(Input!$1:$1048576,Input!A$18,$C586*2+6)*JL586*INDEX(Input!$1:$1048576,Input!A$19,$C586*2+6))/1000000</f>
        <v>3.3053528165451032</v>
      </c>
      <c r="JV586" s="39">
        <f t="shared" si="1699"/>
        <v>-6.4676622423151198E-2</v>
      </c>
      <c r="JW586" s="1">
        <f t="shared" si="1700"/>
        <v>-1.9191708438888937E-2</v>
      </c>
      <c r="JX586" s="19">
        <f t="shared" si="1701"/>
        <v>9922.9009466614807</v>
      </c>
      <c r="JZ586" s="341"/>
      <c r="KA586" s="342"/>
      <c r="KB586" s="469">
        <f t="shared" si="1576"/>
        <v>2.5122967434604799</v>
      </c>
      <c r="KI586" s="473">
        <f t="shared" si="1702"/>
        <v>-31.487798547878697</v>
      </c>
      <c r="KJ586" s="473">
        <f t="shared" si="1703"/>
        <v>44.438085603626007</v>
      </c>
      <c r="KK586" s="473">
        <f t="shared" si="1704"/>
        <v>3.5177597012636426</v>
      </c>
      <c r="KN586" s="544">
        <f t="shared" si="1705"/>
        <v>5002</v>
      </c>
      <c r="KO586" s="541">
        <f t="shared" si="1706"/>
        <v>1.5922054831434052E-2</v>
      </c>
      <c r="KP586" s="546">
        <f t="shared" si="1707"/>
        <v>85.620621367298995</v>
      </c>
      <c r="KQ586" s="546">
        <f t="shared" si="1708"/>
        <v>129.74071977034328</v>
      </c>
      <c r="KR586" s="548">
        <f t="shared" si="1709"/>
        <v>3.359577767689006</v>
      </c>
      <c r="KS586" s="548">
        <f t="shared" si="1710"/>
        <v>2.2171076013025797</v>
      </c>
      <c r="KT586" s="473">
        <f t="shared" si="1581"/>
        <v>595.94378802984284</v>
      </c>
      <c r="KU586" s="663">
        <f t="shared" si="1711"/>
        <v>3.9536596580448591</v>
      </c>
    </row>
    <row r="587" spans="1:307" s="26" customFormat="1" ht="15" outlineLevel="1">
      <c r="A587" s="561">
        <f t="shared" si="1652"/>
        <v>5087</v>
      </c>
      <c r="B587" s="561">
        <f t="shared" si="1627"/>
        <v>87</v>
      </c>
      <c r="C587" s="561">
        <f t="shared" si="1628"/>
        <v>5</v>
      </c>
      <c r="D587" s="561" t="str">
        <f t="shared" si="1712"/>
        <v xml:space="preserve">-500 CC, 0/0/0.9/3.9, </v>
      </c>
      <c r="E587" s="475">
        <f>INDEX(Input!$1:$1048576,E$93,$C587*2+MIN($B587,2)+5)
+INDEX(Scenarios!E$121:E$200,MATCH($B587,Scenarios!$B$121:$B$200,0))</f>
        <v>777.42630937880631</v>
      </c>
      <c r="F587" s="475">
        <f>INDEX(Input!$1:$1048576,F$93,$C587*2+MIN($B587,2)+5)
+INDEX(Scenarios!F$121:F$200,MATCH($B587,Scenarios!$B$121:$B$200,0))</f>
        <v>0</v>
      </c>
      <c r="G587" s="475">
        <f>INDEX(Input!$1:$1048576,G$93,$C587*2+MIN($B587,2)+5)
+INDEX(Scenarios!G$121:G$200,MATCH($B587,Scenarios!$B$121:$B$200,0))</f>
        <v>0</v>
      </c>
      <c r="H587" s="475">
        <f>INDEX(Input!$1:$1048576,H$93,$C587*2+MIN($B587,2)+5)
+INDEX(Scenarios!H$121:H$200,MATCH($B587,Scenarios!$B$121:$B$200,0))</f>
        <v>0</v>
      </c>
      <c r="I587" s="476">
        <f>INDEX(Input!$1:$1048576,I$93,$C587*2+MIN($B587,2)+5)</f>
        <v>0.7</v>
      </c>
      <c r="J587" s="476" t="str">
        <f>INDEX(Input!$1:$1048576,J$93,$C587*2+MIN($B587,2)+5)</f>
        <v>Market</v>
      </c>
      <c r="K587" s="476" t="str">
        <f>INDEX(Input!$1:$1048576,K$93,$C587*2+MIN($B587,2)+5)</f>
        <v>Market</v>
      </c>
      <c r="L587" s="476" t="str">
        <f>INDEX(Input!$1:$1048576,L$93,$C587*2+MIN($B587,2)+5)</f>
        <v>Market</v>
      </c>
      <c r="M587" s="476" t="str">
        <f>INDEX(Input!$1:$1048576,M$93,$C587*2+MIN($B587,2)+5)</f>
        <v>Market</v>
      </c>
      <c r="N587" s="476" t="str">
        <f>INDEX(Input!$1:$1048576,N$93,$C587*2+MIN($B587,2)+5)</f>
        <v>Market</v>
      </c>
      <c r="O587" s="476" t="str">
        <f>INDEX(Input!$1:$1048576,O$93,$C587*2+MIN($B587,2)+5)</f>
        <v>Market</v>
      </c>
      <c r="P587" s="476" t="str">
        <f>INDEX(Input!$1:$1048576,P$93,$C587*2+MIN($B587,2)+5)</f>
        <v>N</v>
      </c>
      <c r="Q587" s="477">
        <f>INDEX(Input!$1:$1048576,Q$93,$C587*2+MIN($B587,2)+5)
+INDEX(Scenarios!Q$121:Q$200,MATCH($B587,Scenarios!$B$121:$B$200,0))</f>
        <v>0</v>
      </c>
      <c r="R587" s="478">
        <f>IFERROR(MAX(0,INDEX(Input!$1:$1048576,R$93,$C587*2+MIN($B587,2)+5)
+INDEX(Scenarios!R$121:R$200,MATCH($B587,Scenarios!$B$121:$B$200,0)),),"Market")</f>
        <v>0</v>
      </c>
      <c r="S587" s="478">
        <f>IFERROR(MAX(0,INDEX(Input!$1:$1048576,S$93,$C587*2+MIN($B587,2)+5)
+INDEX(Scenarios!S$121:S$200,MATCH($B587,Scenarios!$B$121:$B$200,0)),),"Market")</f>
        <v>0</v>
      </c>
      <c r="T587" s="478">
        <f>IFERROR(MAX(0,INDEX(Input!$1:$1048576,T$93,$C587*2+MIN($B587,2)+5)
+INDEX(Scenarios!T$121:T$200,MATCH($B587,Scenarios!$B$121:$B$200,0)),),"Market")</f>
        <v>0</v>
      </c>
      <c r="U587" s="478">
        <f>IFERROR(MAX(0,INDEX(Input!$1:$1048576,U$93,$C587*2+MIN($B587,2)+5)
+INDEX(Scenarios!U$121:U$200,MATCH($B587,Scenarios!$B$121:$B$200,0)),),"Market")</f>
        <v>0</v>
      </c>
      <c r="V587" s="478">
        <f>IFERROR(MAX(0,INDEX(Input!$1:$1048576,V$93,$C587*2+MIN($B587,2)+5)
+INDEX(Scenarios!V$121:V$200,MATCH($B587,Scenarios!$B$121:$B$200,0)),),"Market")</f>
        <v>8.9999999999999993E-3</v>
      </c>
      <c r="W587" s="885">
        <f>IFERROR(MAX(0,INDEX(Input!$1:$1048576,W$93,$C587*2+MIN($B587,2)+5)-0%,),"Market")</f>
        <v>3.9E-2</v>
      </c>
      <c r="X587" s="476" t="str">
        <f>INDEX(Input!$1:$1048576,X$93,$C587*2+MIN($B587,2)+5)</f>
        <v>Y</v>
      </c>
      <c r="Y587" s="475">
        <f>INDEX(Input!$1:$1048576,Y$93,$C587*2+MIN($B587,2)+5)
++INDEX(Scenarios!Y$121:Y$200,MATCH($B587,Scenarios!$B$121:$B$200,0))</f>
        <v>-717.93641739252325</v>
      </c>
      <c r="Z587" s="477">
        <f>INDEX(Input!$1:$1048576,Z$93,$C587*2+MIN($B587,2)+5)
+INDEX(Scenarios!Z$121:Z$200,MATCH($B587,Scenarios!$B$121:$B$200,0))</f>
        <v>0</v>
      </c>
      <c r="AA587" s="475">
        <f>INDEX(Input!$1:$1048576,AA$93,$C587*2+MIN($B587,2)+5)
+INDEX(Scenarios!AA$121:AA$200,MATCH($B587,Scenarios!$B$121:$B$200,0))</f>
        <v>0</v>
      </c>
      <c r="AB587" s="476">
        <f>INDEX(Input!$1:$1048576,AB$93,$C587*2+MIN($B587,2)+5)</f>
        <v>0.27</v>
      </c>
      <c r="AC587" s="475">
        <f>INDEX(Input!$1:$1048576,AC$93,$C587*2+MIN($B587,2)+5)
+INDEX(Scenarios!AC$121:AC$200,MATCH($B587,Scenarios!$B$121:$B$200,0))</f>
        <v>0</v>
      </c>
      <c r="AD587" s="476">
        <f>INDEX(Input!$1:$1048576,AD$93,$C587*2+MIN($B587,2)+5)</f>
        <v>0.27</v>
      </c>
      <c r="AE587" s="475">
        <f>INDEX(Input!$1:$1048576,AE$93,$C587*2+MIN($B587,2)+5)
+INDEX(Scenarios!AE$121:AE$200,MATCH($B587,Scenarios!$B$121:$B$200,0))</f>
        <v>0</v>
      </c>
      <c r="AF587" s="476">
        <f>INDEX(Input!$1:$1048576,AF$93,$C587*2+MIN($B587,2)+5)</f>
        <v>0.2</v>
      </c>
      <c r="AG587" s="475">
        <f>INDEX(Input!$1:$1048576,AG$93,$C587*2+MIN($B587,2)+5)
+INDEX(Scenarios!AG$121:AG$200,MATCH($B587,Scenarios!$B$121:$B$200,0))</f>
        <v>500</v>
      </c>
      <c r="AH587" s="476">
        <f>INDEX(Input!$1:$1048576,AH$93,$C587*2+MIN($B587,2)+5)</f>
        <v>1</v>
      </c>
      <c r="AI587" s="475">
        <f>INDEX(Input!$1:$1048576,AI$93,$C587*2+MIN($B587,2)+5)
+INDEX(Scenarios!AI$121:AI$200,MATCH($B587,Scenarios!$B$121:$B$200,0))</f>
        <v>0</v>
      </c>
      <c r="AJ587" s="476">
        <f>INDEX(Input!$1:$1048576,AJ$93,$C587*2+MIN($B587,2)+5)</f>
        <v>0.27</v>
      </c>
      <c r="AK587" s="150">
        <f>ROUND(INDEX(Input!$1:$1048576,AK$93,$C586*2+MIN($B587,1)+5)+(Y587-VLOOKUP($C587*1000+1,$A:$HH,Y$92,FALSE)),0)</f>
        <v>2587</v>
      </c>
      <c r="AL587" s="150">
        <f>ROUND(INDEX(Input!$1:$1048576,AL$93,$C586*2+MIN($B587,1)+5)-(Y587-VLOOKUP($C587*1000+1,$A:$HH,Y$92,FALSE))/36,0)</f>
        <v>3406</v>
      </c>
      <c r="AM587" s="32" t="str">
        <f t="shared" si="1653"/>
        <v>std/std/std/std</v>
      </c>
      <c r="AN587" s="32" t="str">
        <f t="shared" si="1654"/>
        <v>$0 + 0/0/0/0.9/3.9</v>
      </c>
      <c r="AO587" s="32" t="str">
        <f t="shared" si="1655"/>
        <v>0/0/0/0.9/3.9</v>
      </c>
      <c r="AP587" s="32" t="str">
        <f t="shared" si="1526"/>
        <v>0/0/0.9/3.9</v>
      </c>
      <c r="AQ587" s="536">
        <f t="shared" si="1525"/>
        <v>0.33735146252383075</v>
      </c>
      <c r="AR587" s="32"/>
      <c r="AS587" s="302"/>
      <c r="AT587" s="3">
        <f t="shared" si="1629"/>
        <v>87</v>
      </c>
      <c r="AU587" s="41" t="s">
        <v>121</v>
      </c>
      <c r="AV587" s="41" t="s">
        <v>116</v>
      </c>
      <c r="AW587" s="41" t="str">
        <f>INDEX(Input!$1:$1048576,AW$93,$C587*2+6)</f>
        <v>Kia</v>
      </c>
      <c r="AX587" s="41" t="str">
        <f>INDEX(Input!$1:$1048576,AX$93,$C587*2+6)</f>
        <v>Kia-LR - R2</v>
      </c>
      <c r="AY587" s="41" t="str">
        <f>IF(LEN(D587)=0,"",INDEX(Input!$1:$1048576,AY$93,$C587*2+6))</f>
        <v>Compact SUV (52)</v>
      </c>
      <c r="AZ587" s="41" t="str">
        <f>INDEX(Input!$1:$1048576,AZ$93,$C587*2+6)</f>
        <v>Kia Soul</v>
      </c>
      <c r="BA587" s="3">
        <f>INDEX(Input!$1:$1048576,BA$93,$C587*2+6)</f>
        <v>2020</v>
      </c>
      <c r="BB587" s="128">
        <f>INDEX(Input!$1:$1048576,BB$93,$C587*2+6)</f>
        <v>1</v>
      </c>
      <c r="BC587" s="128">
        <f>INDEX(Input!$1:$1048576,BC$93,$C587*2+6)</f>
        <v>0.7</v>
      </c>
      <c r="BD587" s="1">
        <f>INDEX(Input!$1:$1048576,BD$93,$C587*2+6)</f>
        <v>4.4999999999999998E-2</v>
      </c>
      <c r="BE587" s="1">
        <f>INDEX(Input!$1:$1048576,BE$93,$C587*2+6)</f>
        <v>4.4999999999999998E-2</v>
      </c>
      <c r="BF587" s="1">
        <f>INDEX(Input!$1:$1048576,BF$93,$C587*2+6)</f>
        <v>0.05</v>
      </c>
      <c r="BG587" s="1">
        <f>INDEX(Input!$1:$1048576,BG$93,$C587*2+6)</f>
        <v>5.45E-2</v>
      </c>
      <c r="BH587" s="1">
        <f>INDEX(Input!$1:$1048576,BH$93,$C587*2+6)</f>
        <v>5.45E-2</v>
      </c>
      <c r="BI587" s="1">
        <f>INDEX(Input!$1:$1048576,BI$93,$C587*2+6)</f>
        <v>0.05</v>
      </c>
      <c r="BJ587" s="1">
        <f>INDEX(Input!$1:$1048576,BJ$93,$C587*2+6)</f>
        <v>0.05</v>
      </c>
      <c r="BK587" s="1">
        <f>INDEX(Input!$1:$1048576,BK$93,$C587*2+6)</f>
        <v>0.05</v>
      </c>
      <c r="BL587" s="1">
        <f>INDEX(Input!$1:$1048576,BL$93,$C587*2+6)</f>
        <v>5.5E-2</v>
      </c>
      <c r="BM587" s="1">
        <f>INDEX(Input!$1:$1048576,BM$93,$C587*2+6)</f>
        <v>0.06</v>
      </c>
      <c r="BN587" s="1">
        <f>INDEX(Input!$1:$1048576,BN$93,$C587*2+6)</f>
        <v>4.4999999999999998E-2</v>
      </c>
      <c r="BO587" s="1">
        <f>INDEX(Input!$1:$1048576,BO$93,$C587*2+6)</f>
        <v>4.4999999999999998E-2</v>
      </c>
      <c r="BP587" s="1">
        <f>INDEX(Input!$1:$1048576,BP$93,$C587*2+6)</f>
        <v>0.05</v>
      </c>
      <c r="BQ587" s="1">
        <f>INDEX(Input!$1:$1048576,BQ$93,$C587*2+6)</f>
        <v>5.45E-2</v>
      </c>
      <c r="BR587" s="1">
        <f>INDEX(Input!$1:$1048576,BR$93,$C587*2+6)</f>
        <v>5.45E-2</v>
      </c>
      <c r="BS587" s="1">
        <f>INDEX(Input!$1:$1048576,BS$93,$C587*2+6)</f>
        <v>0.05</v>
      </c>
      <c r="BT587" s="1">
        <f>INDEX(Input!$1:$1048576,BT$93,$C587*2+6)</f>
        <v>0.05</v>
      </c>
      <c r="BU587" s="1">
        <f>INDEX(Input!$1:$1048576,BU$93,$C587*2+6)</f>
        <v>0.05</v>
      </c>
      <c r="BV587" s="1">
        <f>INDEX(Input!$1:$1048576,BV$93,$C587*2+6)</f>
        <v>5.5E-2</v>
      </c>
      <c r="BW587" s="1">
        <f>INDEX(Input!$1:$1048576,BW$93,$C587*2+6)</f>
        <v>0.06</v>
      </c>
      <c r="BX587" s="127">
        <f>INDEX(Input!$1:$1048576,BX$93,$C587*2+6)</f>
        <v>19985</v>
      </c>
      <c r="BY587" s="20">
        <f>INDEX(Input!$1:$1048576,BY$93,$C587*2+6)</f>
        <v>0.1</v>
      </c>
      <c r="BZ587" s="20">
        <f>INDEX(Input!$1:$1048576,BZ$93,$C587*2+6)</f>
        <v>0.1</v>
      </c>
      <c r="CA587" s="20">
        <f>INDEX(Input!$1:$1048576,CA$93,$C587*2+6)</f>
        <v>0.1</v>
      </c>
      <c r="CB587" s="20">
        <f>INDEX(Input!$1:$1048576,CB$93,$C587*2+6)</f>
        <v>0.1</v>
      </c>
      <c r="CC587" s="20">
        <f>INDEX(Input!$1:$1048576,CC$93,$C587*2+6)</f>
        <v>0.1</v>
      </c>
      <c r="CD587" s="384">
        <f>INDEX(Input!$1:$1048576,CD$93,$C587*2+6)</f>
        <v>0.1</v>
      </c>
      <c r="CE587" s="384">
        <f>INDEX(Input!$1:$1048576,CE$93,$C587*2+6)</f>
        <v>0.1</v>
      </c>
      <c r="CF587" s="384">
        <f>INDEX(Input!$1:$1048576,CF$93,$C587*2+6)</f>
        <v>0.1</v>
      </c>
      <c r="CG587" s="384">
        <f>INDEX(Input!$1:$1048576,CG$93,$C587*2+6)</f>
        <v>0.1</v>
      </c>
      <c r="CH587" s="384">
        <f>INDEX(Input!$1:$1048576,CH$93,$C587*2+6)</f>
        <v>0.1</v>
      </c>
      <c r="CI587" s="304">
        <f t="shared" si="1527"/>
        <v>777.42630937880631</v>
      </c>
      <c r="CJ587" s="16" t="str">
        <f>INDEX(Input!$1:$1048576,CJ$93,$C587*2+6)</f>
        <v>N</v>
      </c>
      <c r="CK587" s="1" t="str">
        <f t="shared" si="1528"/>
        <v>Market</v>
      </c>
      <c r="CL587" s="1" t="str">
        <f t="shared" si="1529"/>
        <v>Market</v>
      </c>
      <c r="CM587" s="1" t="str">
        <f t="shared" si="1530"/>
        <v>Market</v>
      </c>
      <c r="CN587" s="1" t="str">
        <f t="shared" si="1531"/>
        <v>Market</v>
      </c>
      <c r="CO587" s="1" t="str">
        <f t="shared" si="1532"/>
        <v>Market</v>
      </c>
      <c r="CP587" s="304">
        <f t="shared" si="1533"/>
        <v>500</v>
      </c>
      <c r="CQ587" s="1">
        <f t="shared" si="1534"/>
        <v>0</v>
      </c>
      <c r="CR587" s="1">
        <f t="shared" si="1535"/>
        <v>0</v>
      </c>
      <c r="CS587" s="1">
        <f t="shared" si="1536"/>
        <v>0</v>
      </c>
      <c r="CT587" s="1">
        <f t="shared" si="1537"/>
        <v>8.9999999999999993E-3</v>
      </c>
      <c r="CU587" s="1">
        <f t="shared" si="1538"/>
        <v>3.9E-2</v>
      </c>
      <c r="CV587" s="304">
        <f t="shared" si="1539"/>
        <v>-717.93641739252325</v>
      </c>
      <c r="CW587" s="20" t="s">
        <v>122</v>
      </c>
      <c r="CX587" s="20" t="s">
        <v>122</v>
      </c>
      <c r="CY587" s="20" t="s">
        <v>122</v>
      </c>
      <c r="CZ587" s="20" t="s">
        <v>122</v>
      </c>
      <c r="DA587" s="20" t="s">
        <v>122</v>
      </c>
      <c r="DB587" s="503">
        <f t="shared" si="1540"/>
        <v>0</v>
      </c>
      <c r="DC587" s="127">
        <v>0</v>
      </c>
      <c r="DD587" s="127">
        <v>0</v>
      </c>
      <c r="DE587" s="127">
        <v>0</v>
      </c>
      <c r="DF587" s="127">
        <v>0</v>
      </c>
      <c r="DG587" s="127">
        <v>0</v>
      </c>
      <c r="DH587" s="127">
        <v>0</v>
      </c>
      <c r="DI587" s="127">
        <v>0</v>
      </c>
      <c r="DJ587" s="127">
        <v>0</v>
      </c>
      <c r="DK587" s="127">
        <v>0</v>
      </c>
      <c r="DL587" s="127">
        <v>0</v>
      </c>
      <c r="DM587" s="304">
        <f>INDEX(Input!$1:$1048576,DM$93,$C587*2+6)</f>
        <v>21036.84210526316</v>
      </c>
      <c r="DN587" s="20">
        <v>0</v>
      </c>
      <c r="DO587" s="20">
        <v>0</v>
      </c>
      <c r="DP587" s="20">
        <v>0</v>
      </c>
      <c r="DQ587" s="20">
        <v>0</v>
      </c>
      <c r="DR587" s="20">
        <v>0</v>
      </c>
      <c r="DS587" s="20">
        <f>INDEX(Input!$1:$1048576,DS$93,$C587*2+6)</f>
        <v>0.6</v>
      </c>
      <c r="DT587" s="20">
        <f>INDEX(Input!$1:$1048576,DT$93,$C587*2+6)</f>
        <v>0.55000000000000004</v>
      </c>
      <c r="DU587" s="20">
        <f>INDEX(Input!$1:$1048576,DU$93,$C587*2+6)</f>
        <v>0.52</v>
      </c>
      <c r="DV587" s="20">
        <f>INDEX(Input!$1:$1048576,DV$93,$C587*2+6)</f>
        <v>0.5</v>
      </c>
      <c r="DW587" s="20">
        <f>INDEX(Input!$1:$1048576,DW$93,$C587*2+6)</f>
        <v>0.45</v>
      </c>
      <c r="DX587" s="20"/>
      <c r="DY587" s="7">
        <v>0.10592388354782872</v>
      </c>
      <c r="DZ587" s="7">
        <v>0</v>
      </c>
      <c r="EA587" s="7">
        <v>0.68834845164512004</v>
      </c>
      <c r="EB587" s="7">
        <v>0</v>
      </c>
      <c r="EC587" s="7">
        <v>0</v>
      </c>
      <c r="ED587" s="7">
        <v>0</v>
      </c>
      <c r="EE587" s="7">
        <v>0</v>
      </c>
      <c r="EF587" s="7">
        <v>0</v>
      </c>
      <c r="EG587" s="7">
        <v>0</v>
      </c>
      <c r="EH587" s="7">
        <v>9.4843085468289089E-3</v>
      </c>
      <c r="EI587" s="7">
        <v>2.6357112503229457E-2</v>
      </c>
      <c r="EJ587" s="7">
        <v>0.22888252336120093</v>
      </c>
      <c r="EK587" s="7">
        <v>0.63714994945963155</v>
      </c>
      <c r="EL587" s="7">
        <v>9.8126106129109006E-2</v>
      </c>
      <c r="EM587" s="7">
        <v>0.11872055305703881</v>
      </c>
      <c r="EN587" s="7">
        <v>5.8440861244949495E-2</v>
      </c>
      <c r="EO587" s="7">
        <v>0.71698613488023899</v>
      </c>
      <c r="EP587" s="7">
        <v>8.9833327510145375E-2</v>
      </c>
      <c r="EQ587" s="7">
        <v>8.8459847086315879E-2</v>
      </c>
      <c r="ER587" s="7">
        <v>4.6279829278349345E-2</v>
      </c>
      <c r="ES587" s="7">
        <v>8.7007111750012495E-2</v>
      </c>
      <c r="ET587" s="7">
        <v>0.20572766480705126</v>
      </c>
      <c r="EU587" s="6">
        <v>770</v>
      </c>
      <c r="EV587" s="6">
        <v>0</v>
      </c>
      <c r="EW587" s="6">
        <v>770</v>
      </c>
      <c r="EX587" s="6">
        <v>0</v>
      </c>
      <c r="EY587" s="6">
        <v>2326.4342739266176</v>
      </c>
      <c r="EZ587" s="6">
        <v>-6.4499039401316622</v>
      </c>
      <c r="FA587" s="6">
        <v>0</v>
      </c>
      <c r="FB587" s="6">
        <v>0</v>
      </c>
      <c r="FC587" s="6">
        <v>0</v>
      </c>
      <c r="FD587" s="6">
        <v>0</v>
      </c>
      <c r="FE587" s="6">
        <v>0</v>
      </c>
      <c r="FF587" s="6">
        <v>0</v>
      </c>
      <c r="FG587" s="6">
        <v>0</v>
      </c>
      <c r="FH587" s="6">
        <v>1172.1245099852383</v>
      </c>
      <c r="FI587" s="6">
        <v>1553.9796069512395</v>
      </c>
      <c r="FJ587" s="6">
        <v>2101.2110117447405</v>
      </c>
      <c r="FK587" s="6">
        <v>2251.3078348034669</v>
      </c>
      <c r="FL587" s="6">
        <v>907.07682140966313</v>
      </c>
      <c r="FM587" s="6">
        <v>2056.4342739266176</v>
      </c>
      <c r="FN587" s="6">
        <v>0</v>
      </c>
      <c r="FO587" s="6">
        <v>0</v>
      </c>
      <c r="FP587" s="6">
        <v>0</v>
      </c>
      <c r="FQ587" s="6">
        <v>0</v>
      </c>
      <c r="FR587" s="6">
        <v>0</v>
      </c>
      <c r="FS587" s="6">
        <v>0</v>
      </c>
      <c r="FT587" s="7">
        <v>0.79427233519294882</v>
      </c>
      <c r="FU587" s="7">
        <v>0.11872055305703881</v>
      </c>
      <c r="FV587" s="7">
        <v>8.7007111750012495E-2</v>
      </c>
      <c r="FW587" s="6">
        <v>769.99999999999989</v>
      </c>
      <c r="FX587" s="6">
        <v>2326.4342739266176</v>
      </c>
      <c r="FY587" s="6">
        <v>-6.4499039401316622</v>
      </c>
      <c r="FZ587" s="6">
        <v>1758.1538569113241</v>
      </c>
      <c r="GA587" s="6">
        <v>887.22407423709319</v>
      </c>
      <c r="GB587" s="6">
        <v>19097.775925762908</v>
      </c>
      <c r="GC587" s="7">
        <v>3.064145122680037E-2</v>
      </c>
      <c r="GD587" s="7">
        <v>2.797268402000299E-2</v>
      </c>
      <c r="GE587" s="7"/>
      <c r="GF587" s="7"/>
      <c r="GG587" s="7">
        <v>-8.7096632174626196E-2</v>
      </c>
      <c r="GH587" s="42">
        <v>1.9985838452615892</v>
      </c>
      <c r="GI587" s="6">
        <v>10886.804550874151</v>
      </c>
      <c r="GJ587" s="14">
        <v>0.50394797582841744</v>
      </c>
      <c r="GK587" s="14">
        <v>0.50887573065309744</v>
      </c>
      <c r="GL587" s="14">
        <v>0.49605202417158301</v>
      </c>
      <c r="GM587" s="14">
        <v>0.49112426934690256</v>
      </c>
      <c r="GO587" s="5">
        <v>343.14810671672558</v>
      </c>
      <c r="GP587" s="5">
        <v>328.4579756644431</v>
      </c>
      <c r="GQ587" s="5">
        <v>535.04305713031317</v>
      </c>
      <c r="GR587" s="5">
        <v>410.15490233172511</v>
      </c>
      <c r="GS587" s="5">
        <v>339.42744393800166</v>
      </c>
      <c r="GT587" s="5">
        <v>293.4407446948278</v>
      </c>
      <c r="GU587" s="5">
        <v>258.04012322764959</v>
      </c>
      <c r="GV587" s="39" t="s">
        <v>392</v>
      </c>
      <c r="GW587" s="5">
        <v>492.125</v>
      </c>
      <c r="GX587" s="5">
        <v>369.09375</v>
      </c>
      <c r="GY587" s="5">
        <v>295.27499999999998</v>
      </c>
      <c r="GZ587" s="5">
        <v>252.85821728143046</v>
      </c>
      <c r="HA587" s="5">
        <v>241.34874471337258</v>
      </c>
      <c r="HB587" s="39">
        <v>266.77021082126322</v>
      </c>
      <c r="HC587" s="5">
        <v>287.56655829738071</v>
      </c>
      <c r="HD587" s="5">
        <v>239.99799238008356</v>
      </c>
      <c r="HE587" s="5">
        <v>241.14168635502031</v>
      </c>
      <c r="HF587" s="5">
        <v>221.05790951107167</v>
      </c>
      <c r="HG587" s="5">
        <v>210.75500473779988</v>
      </c>
      <c r="HH587" s="39">
        <v>239.8518848658305</v>
      </c>
      <c r="HI587" s="16"/>
      <c r="HJ587" s="19" t="str">
        <f t="shared" ref="HJ587:HK587" si="1715">HJ586</f>
        <v>On</v>
      </c>
      <c r="HK587" s="1" t="str">
        <f t="shared" si="1715"/>
        <v>On</v>
      </c>
      <c r="HL587" s="16"/>
      <c r="HM587" s="639">
        <f t="shared" si="1661"/>
        <v>2.4909940070666322E-2</v>
      </c>
      <c r="HN587" s="639">
        <f t="shared" si="1662"/>
        <v>2.2052381276269151E-3</v>
      </c>
      <c r="HO587" s="639">
        <f t="shared" si="1663"/>
        <v>2.079866082302006E-3</v>
      </c>
      <c r="HP587" s="644">
        <f>(FT587*$GD587-HM587)/$JF587*INDEX(Input!$1:$1048576,$JG$93,$C587*2+6)</f>
        <v>-75.702609662366811</v>
      </c>
      <c r="HQ587" s="644">
        <f>(FU587*$GD587-HN587)/$JF587*INDEX(Input!$1:$1048576,$JG$93,$C587*2+6)</f>
        <v>31.374677330665786</v>
      </c>
      <c r="HR587" s="644">
        <f>(FV587*$GD587-HO587)/$JF587*INDEX(Input!$1:$1048576,$JG$93,$C587*2+6)</f>
        <v>9.9536815410193764</v>
      </c>
      <c r="HS587" s="644">
        <f t="shared" si="1664"/>
        <v>22.540075415970218</v>
      </c>
      <c r="HT587" s="644">
        <f t="shared" si="1665"/>
        <v>22.019766311181371</v>
      </c>
      <c r="HU587" s="644">
        <f t="shared" si="1666"/>
        <v>-1.6724663747657929</v>
      </c>
      <c r="HV587" s="648">
        <f t="shared" si="1667"/>
        <v>0</v>
      </c>
      <c r="HW587" s="648">
        <f t="shared" si="1668"/>
        <v>0</v>
      </c>
      <c r="HX587" s="648">
        <f t="shared" si="1669"/>
        <v>0</v>
      </c>
      <c r="HY587" s="644">
        <f>INDEX(Input!$1:$1048576,HY$93,$C587*2+6)*INDEX(Input!$1:$1048576,$JG$93,$C587*2+6)</f>
        <v>333.00000000000006</v>
      </c>
      <c r="HZ587" s="644">
        <f>INDEX(Input!$1:$1048576,HZ$93,$C587*2+6)*INDEX(Input!$1:$1048576,$JG$93,$C587*2+6)</f>
        <v>429</v>
      </c>
      <c r="IA587" s="644">
        <f>INDEX(Input!$1:$1048576,IA$93,$C587*2+6)*INDEX(Input!$1:$1048576,$JG$93,$C587*2+6)</f>
        <v>59</v>
      </c>
      <c r="IB587" s="644">
        <f t="shared" si="1670"/>
        <v>279.83746575360351</v>
      </c>
      <c r="IC587" s="644">
        <f t="shared" si="1671"/>
        <v>482.39444364184715</v>
      </c>
      <c r="ID587" s="644">
        <f>IF(AND(INDEX(Input!$1:$1048576,IA$93,$C587*2+7)="TOS",Y587&lt;=INDEX(Y:Y,MATCH(C587*1000+2,A:A))),0,1)*MAX(IA587+HR587+HU587+HX587,0%)</f>
        <v>67.281215166253588</v>
      </c>
      <c r="IE587" s="128">
        <f t="shared" si="1672"/>
        <v>0.33735146252383075</v>
      </c>
      <c r="IF587" s="128">
        <f t="shared" si="1673"/>
        <v>0.58153925400123518</v>
      </c>
      <c r="IG587" s="128">
        <f t="shared" si="1674"/>
        <v>8.1109283474934096E-2</v>
      </c>
      <c r="IH587" s="21"/>
      <c r="II587" s="19">
        <f t="shared" si="1675"/>
        <v>1240</v>
      </c>
      <c r="IJ587" s="19">
        <f t="shared" si="1676"/>
        <v>1985.7442651839444</v>
      </c>
      <c r="IK587" s="19">
        <f t="shared" si="1677"/>
        <v>-21.44990394013189</v>
      </c>
      <c r="IL587" s="19">
        <f t="shared" si="1678"/>
        <v>-470.00000000000011</v>
      </c>
      <c r="IM587" s="19">
        <f t="shared" si="1679"/>
        <v>340.69000874267317</v>
      </c>
      <c r="IN587" s="19">
        <f t="shared" si="1680"/>
        <v>15.000000000000227</v>
      </c>
      <c r="IO587" s="39">
        <f t="shared" si="1681"/>
        <v>0</v>
      </c>
      <c r="IP587" s="39">
        <f t="shared" si="1682"/>
        <v>0</v>
      </c>
      <c r="IQ587" s="39">
        <f t="shared" si="1683"/>
        <v>0</v>
      </c>
      <c r="IR587" s="39">
        <v>0</v>
      </c>
      <c r="IS587" s="39">
        <v>0</v>
      </c>
      <c r="IT587" s="39">
        <v>0</v>
      </c>
      <c r="IU587" s="39">
        <v>0</v>
      </c>
      <c r="IV587" s="39">
        <v>0</v>
      </c>
      <c r="IW587" s="39">
        <v>0</v>
      </c>
      <c r="IX587" s="39">
        <f>INDEX(Input!$1:$1048576,IX$93,$C587*2+6)+INDEX(Input!$1:$1048576,IX$94,$C587*2+6)</f>
        <v>1270</v>
      </c>
      <c r="IY587" s="39">
        <f>INDEX(Input!$1:$1048576,IY$93,$C587*2+6)+INDEX(Input!$1:$1048576,IY$94,$C587*2+6)</f>
        <v>2130.0624533823611</v>
      </c>
      <c r="IZ587" s="39">
        <f>INDEX(Input!$1:$1048576,IZ$93,$C587*2+6)+INDEX(Input!$1:$1048576,IZ$94,$C587*2+6)</f>
        <v>3653.7164157747857</v>
      </c>
      <c r="JA587" s="19">
        <f t="shared" si="1684"/>
        <v>799.99999999999989</v>
      </c>
      <c r="JB587" s="19">
        <f t="shared" si="1685"/>
        <v>2470.7524621250341</v>
      </c>
      <c r="JC587" s="19">
        <f t="shared" si="1686"/>
        <v>3668.7164157747857</v>
      </c>
      <c r="JD587" s="19">
        <f t="shared" si="1687"/>
        <v>2004.2876734211932</v>
      </c>
      <c r="JE587" s="21"/>
      <c r="JF587" s="1">
        <f t="shared" si="1688"/>
        <v>2.9195044280595241E-2</v>
      </c>
      <c r="JG587" s="15">
        <f>INDEX(Input!$1:$1048576,JG$93,$C587*2+6)/(1+VLOOKUP(C587*1000+INDEX(Input!$1:$1048576,JG$93+1,$C587*2+6),$A:$KK,$JK$92,FALSE))</f>
        <v>821</v>
      </c>
      <c r="JH587" s="1">
        <f t="shared" si="1689"/>
        <v>-4.1868758575738907E-2</v>
      </c>
      <c r="JI587" s="1">
        <f t="shared" si="1690"/>
        <v>5.2237972414599029E-2</v>
      </c>
      <c r="JJ587" s="1">
        <f t="shared" si="1691"/>
        <v>0</v>
      </c>
      <c r="JK587" s="1">
        <f t="shared" si="1692"/>
        <v>1.0369213838860122E-2</v>
      </c>
      <c r="JL587" s="15">
        <f t="shared" si="1693"/>
        <v>8.51312456170416</v>
      </c>
      <c r="JM587" s="15">
        <f t="shared" si="1694"/>
        <v>829.51312456170422</v>
      </c>
      <c r="JN587" s="21"/>
      <c r="JO587" s="19">
        <f>INDEX(Input!$1:$1048576,JO$93,$C587*2+6)</f>
        <v>5995.5</v>
      </c>
      <c r="JP587" s="19">
        <f>INDEX(Input!$1:$1048576,JP$93,$C587*2+6)</f>
        <v>1890.7138380411029</v>
      </c>
      <c r="JQ587" s="39">
        <f t="shared" si="1695"/>
        <v>3991.2123265788068</v>
      </c>
      <c r="JR587" s="39">
        <f t="shared" si="1696"/>
        <v>113.57383538009026</v>
      </c>
      <c r="JS587" s="39">
        <f t="shared" si="1697"/>
        <v>1.6625829305001225</v>
      </c>
      <c r="JT587" s="39">
        <f t="shared" si="1698"/>
        <v>0.11030686946837698</v>
      </c>
      <c r="JU587" s="385">
        <f>(JQ587*JM587-INDEX(Input!$1:$1048576,Input!A$18,$C587*2+6)*JL587*INDEX(Input!$1:$1048576,Input!A$19,$C587*2+6))/1000000</f>
        <v>3.3107630078095753</v>
      </c>
      <c r="JV587" s="39">
        <f t="shared" si="1699"/>
        <v>-5.9266431158679023E-2</v>
      </c>
      <c r="JW587" s="1">
        <f t="shared" si="1700"/>
        <v>-1.758632446155237E-2</v>
      </c>
      <c r="JX587" s="19">
        <f t="shared" si="1701"/>
        <v>12957.271876954155</v>
      </c>
      <c r="JZ587" s="341"/>
      <c r="KA587" s="342"/>
      <c r="KB587" s="469">
        <f t="shared" si="1576"/>
        <v>2.5122967434604799</v>
      </c>
      <c r="KI587" s="473">
        <f t="shared" si="1702"/>
        <v>-53.162534246396547</v>
      </c>
      <c r="KJ587" s="473">
        <f t="shared" si="1703"/>
        <v>53.394443641847147</v>
      </c>
      <c r="KK587" s="473">
        <f t="shared" si="1704"/>
        <v>8.2812151662535882</v>
      </c>
      <c r="KN587" s="544">
        <f t="shared" si="1705"/>
        <v>5002</v>
      </c>
      <c r="KO587" s="541">
        <f t="shared" si="1706"/>
        <v>6.2720378140979083E-3</v>
      </c>
      <c r="KP587" s="546">
        <f t="shared" si="1707"/>
        <v>12.001848066656464</v>
      </c>
      <c r="KQ587" s="546">
        <f t="shared" si="1708"/>
        <v>85.368907697926716</v>
      </c>
      <c r="KR587" s="548">
        <f t="shared" si="1709"/>
        <v>9.4411413996107267</v>
      </c>
      <c r="KS587" s="548">
        <f t="shared" si="1710"/>
        <v>1.3273116373339775</v>
      </c>
      <c r="KT587" s="473">
        <f t="shared" si="1581"/>
        <v>595.94378802984284</v>
      </c>
      <c r="KU587" s="663">
        <f t="shared" si="1711"/>
        <v>3.9080876476002748</v>
      </c>
    </row>
    <row r="588" spans="1:307" s="26" customFormat="1" ht="15" outlineLevel="1">
      <c r="A588" s="561">
        <f t="shared" si="1652"/>
        <v>5088</v>
      </c>
      <c r="B588" s="561">
        <f t="shared" si="1627"/>
        <v>88</v>
      </c>
      <c r="C588" s="561">
        <f t="shared" si="1628"/>
        <v>5</v>
      </c>
      <c r="D588" s="561" t="str">
        <f t="shared" si="1712"/>
        <v/>
      </c>
      <c r="E588" s="475">
        <f>INDEX(Input!$1:$1048576,E$93,$C588*2+MIN($B588,2)+5)
+INDEX(Scenarios!E$121:E$200,MATCH($B588,Scenarios!$B$121:$B$200,0))</f>
        <v>1277.4263093788063</v>
      </c>
      <c r="F588" s="475">
        <f>INDEX(Input!$1:$1048576,F$93,$C588*2+MIN($B588,2)+5)
+INDEX(Scenarios!F$121:F$200,MATCH($B588,Scenarios!$B$121:$B$200,0))</f>
        <v>0</v>
      </c>
      <c r="G588" s="475">
        <f>INDEX(Input!$1:$1048576,G$93,$C588*2+MIN($B588,2)+5)
+INDEX(Scenarios!G$121:G$200,MATCH($B588,Scenarios!$B$121:$B$200,0))</f>
        <v>0</v>
      </c>
      <c r="H588" s="475">
        <f>INDEX(Input!$1:$1048576,H$93,$C588*2+MIN($B588,2)+5)
+INDEX(Scenarios!H$121:H$200,MATCH($B588,Scenarios!$B$121:$B$200,0))</f>
        <v>0</v>
      </c>
      <c r="I588" s="476">
        <f>INDEX(Input!$1:$1048576,I$93,$C588*2+MIN($B588,2)+5)</f>
        <v>0.7</v>
      </c>
      <c r="J588" s="476" t="str">
        <f>INDEX(Input!$1:$1048576,J$93,$C588*2+MIN($B588,2)+5)</f>
        <v>Market</v>
      </c>
      <c r="K588" s="476" t="str">
        <f>INDEX(Input!$1:$1048576,K$93,$C588*2+MIN($B588,2)+5)</f>
        <v>Market</v>
      </c>
      <c r="L588" s="476" t="str">
        <f>INDEX(Input!$1:$1048576,L$93,$C588*2+MIN($B588,2)+5)</f>
        <v>Market</v>
      </c>
      <c r="M588" s="476" t="str">
        <f>INDEX(Input!$1:$1048576,M$93,$C588*2+MIN($B588,2)+5)</f>
        <v>Market</v>
      </c>
      <c r="N588" s="476" t="str">
        <f>INDEX(Input!$1:$1048576,N$93,$C588*2+MIN($B588,2)+5)</f>
        <v>Market</v>
      </c>
      <c r="O588" s="476" t="str">
        <f>INDEX(Input!$1:$1048576,O$93,$C588*2+MIN($B588,2)+5)</f>
        <v>Market</v>
      </c>
      <c r="P588" s="476" t="str">
        <f>INDEX(Input!$1:$1048576,P$93,$C588*2+MIN($B588,2)+5)</f>
        <v>N</v>
      </c>
      <c r="Q588" s="477">
        <f>INDEX(Input!$1:$1048576,Q$93,$C588*2+MIN($B588,2)+5)
+INDEX(Scenarios!Q$121:Q$200,MATCH($B588,Scenarios!$B$121:$B$200,0))</f>
        <v>0</v>
      </c>
      <c r="R588" s="478">
        <f>IFERROR(MAX(0,INDEX(Input!$1:$1048576,R$93,$C588*2+MIN($B588,2)+5)
+INDEX(Scenarios!R$121:R$200,MATCH($B588,Scenarios!$B$121:$B$200,0)),),"Market")</f>
        <v>0</v>
      </c>
      <c r="S588" s="478">
        <f>IFERROR(MAX(0,INDEX(Input!$1:$1048576,S$93,$C588*2+MIN($B588,2)+5)
+INDEX(Scenarios!S$121:S$200,MATCH($B588,Scenarios!$B$121:$B$200,0)),),"Market")</f>
        <v>0</v>
      </c>
      <c r="T588" s="478">
        <f>IFERROR(MAX(0,INDEX(Input!$1:$1048576,T$93,$C588*2+MIN($B588,2)+5)
+INDEX(Scenarios!T$121:T$200,MATCH($B588,Scenarios!$B$121:$B$200,0)),),"Market")</f>
        <v>0</v>
      </c>
      <c r="U588" s="478">
        <f>IFERROR(MAX(0,INDEX(Input!$1:$1048576,U$93,$C588*2+MIN($B588,2)+5)
+INDEX(Scenarios!U$121:U$200,MATCH($B588,Scenarios!$B$121:$B$200,0)),),"Market")</f>
        <v>0</v>
      </c>
      <c r="V588" s="478">
        <f>IFERROR(MAX(0,INDEX(Input!$1:$1048576,V$93,$C588*2+MIN($B588,2)+5)
+INDEX(Scenarios!V$121:V$200,MATCH($B588,Scenarios!$B$121:$B$200,0)),),"Market")</f>
        <v>1.9E-2</v>
      </c>
      <c r="W588" s="885">
        <f>IFERROR(MAX(0,INDEX(Input!$1:$1048576,W$93,$C588*2+MIN($B588,2)+5)-0%,),"Market")</f>
        <v>3.9E-2</v>
      </c>
      <c r="X588" s="476" t="str">
        <f>INDEX(Input!$1:$1048576,X$93,$C588*2+MIN($B588,2)+5)</f>
        <v>Y</v>
      </c>
      <c r="Y588" s="475">
        <f>INDEX(Input!$1:$1048576,Y$93,$C588*2+MIN($B588,2)+5)
++INDEX(Scenarios!Y$121:Y$200,MATCH($B588,Scenarios!$B$121:$B$200,0))</f>
        <v>-717.93641739252325</v>
      </c>
      <c r="Z588" s="477">
        <f>INDEX(Input!$1:$1048576,Z$93,$C588*2+MIN($B588,2)+5)
+INDEX(Scenarios!Z$121:Z$200,MATCH($B588,Scenarios!$B$121:$B$200,0))</f>
        <v>0</v>
      </c>
      <c r="AA588" s="475">
        <f>INDEX(Input!$1:$1048576,AA$93,$C588*2+MIN($B588,2)+5)
+INDEX(Scenarios!AA$121:AA$200,MATCH($B588,Scenarios!$B$121:$B$200,0))</f>
        <v>0</v>
      </c>
      <c r="AB588" s="476">
        <f>INDEX(Input!$1:$1048576,AB$93,$C588*2+MIN($B588,2)+5)</f>
        <v>0.27</v>
      </c>
      <c r="AC588" s="475">
        <f>INDEX(Input!$1:$1048576,AC$93,$C588*2+MIN($B588,2)+5)
+INDEX(Scenarios!AC$121:AC$200,MATCH($B588,Scenarios!$B$121:$B$200,0))</f>
        <v>0</v>
      </c>
      <c r="AD588" s="476">
        <f>INDEX(Input!$1:$1048576,AD$93,$C588*2+MIN($B588,2)+5)</f>
        <v>0.27</v>
      </c>
      <c r="AE588" s="475">
        <f>INDEX(Input!$1:$1048576,AE$93,$C588*2+MIN($B588,2)+5)
+INDEX(Scenarios!AE$121:AE$200,MATCH($B588,Scenarios!$B$121:$B$200,0))</f>
        <v>0</v>
      </c>
      <c r="AF588" s="476">
        <f>INDEX(Input!$1:$1048576,AF$93,$C588*2+MIN($B588,2)+5)</f>
        <v>0.2</v>
      </c>
      <c r="AG588" s="475">
        <f>INDEX(Input!$1:$1048576,AG$93,$C588*2+MIN($B588,2)+5)
+INDEX(Scenarios!AG$121:AG$200,MATCH($B588,Scenarios!$B$121:$B$200,0))</f>
        <v>500</v>
      </c>
      <c r="AH588" s="476">
        <f>INDEX(Input!$1:$1048576,AH$93,$C588*2+MIN($B588,2)+5)</f>
        <v>1</v>
      </c>
      <c r="AI588" s="475">
        <f>INDEX(Input!$1:$1048576,AI$93,$C588*2+MIN($B588,2)+5)
+INDEX(Scenarios!AI$121:AI$200,MATCH($B588,Scenarios!$B$121:$B$200,0))</f>
        <v>0</v>
      </c>
      <c r="AJ588" s="476">
        <f>INDEX(Input!$1:$1048576,AJ$93,$C588*2+MIN($B588,2)+5)</f>
        <v>0.27</v>
      </c>
      <c r="AK588" s="150">
        <f>ROUND(INDEX(Input!$1:$1048576,AK$93,$C587*2+MIN($B588,1)+5)+(Y588-VLOOKUP($C588*1000+1,$A:$HH,Y$92,FALSE)),0)</f>
        <v>2587</v>
      </c>
      <c r="AL588" s="150">
        <f>ROUND(INDEX(Input!$1:$1048576,AL$93,$C587*2+MIN($B588,1)+5)-(Y588-VLOOKUP($C588*1000+1,$A:$HH,Y$92,FALSE))/36,0)</f>
        <v>3406</v>
      </c>
      <c r="AM588" s="32" t="str">
        <f t="shared" si="1653"/>
        <v>std/std/std/std</v>
      </c>
      <c r="AN588" s="32" t="str">
        <f t="shared" si="1654"/>
        <v>$0 + 0/0/0/1.9/3.9</v>
      </c>
      <c r="AO588" s="32" t="str">
        <f t="shared" si="1655"/>
        <v>0/0/0/1.9/3.9</v>
      </c>
      <c r="AP588" s="32" t="str">
        <f t="shared" si="1526"/>
        <v>0/0.9/1.9/3.9</v>
      </c>
      <c r="AQ588" s="536">
        <f t="shared" si="1525"/>
        <v>0</v>
      </c>
      <c r="AR588" s="32"/>
      <c r="AS588" s="302"/>
      <c r="AT588" s="3">
        <f t="shared" si="1629"/>
        <v>88</v>
      </c>
      <c r="AU588" s="41" t="s">
        <v>121</v>
      </c>
      <c r="AV588" s="41" t="s">
        <v>116</v>
      </c>
      <c r="AW588" s="41" t="str">
        <f>INDEX(Input!$1:$1048576,AW$93,$C588*2+6)</f>
        <v>Kia</v>
      </c>
      <c r="AX588" s="41" t="str">
        <f>INDEX(Input!$1:$1048576,AX$93,$C588*2+6)</f>
        <v>Kia-LR - R2</v>
      </c>
      <c r="AY588" s="41" t="str">
        <f>IF(LEN(D588)=0,"",INDEX(Input!$1:$1048576,AY$93,$C588*2+6))</f>
        <v/>
      </c>
      <c r="AZ588" s="41" t="str">
        <f>INDEX(Input!$1:$1048576,AZ$93,$C588*2+6)</f>
        <v>Kia Soul</v>
      </c>
      <c r="BA588" s="3">
        <f>INDEX(Input!$1:$1048576,BA$93,$C588*2+6)</f>
        <v>2020</v>
      </c>
      <c r="BB588" s="128">
        <f>INDEX(Input!$1:$1048576,BB$93,$C588*2+6)</f>
        <v>1</v>
      </c>
      <c r="BC588" s="128">
        <f>INDEX(Input!$1:$1048576,BC$93,$C588*2+6)</f>
        <v>0.7</v>
      </c>
      <c r="BD588" s="1">
        <f>INDEX(Input!$1:$1048576,BD$93,$C588*2+6)</f>
        <v>4.4999999999999998E-2</v>
      </c>
      <c r="BE588" s="1">
        <f>INDEX(Input!$1:$1048576,BE$93,$C588*2+6)</f>
        <v>4.4999999999999998E-2</v>
      </c>
      <c r="BF588" s="1">
        <f>INDEX(Input!$1:$1048576,BF$93,$C588*2+6)</f>
        <v>0.05</v>
      </c>
      <c r="BG588" s="1">
        <f>INDEX(Input!$1:$1048576,BG$93,$C588*2+6)</f>
        <v>5.45E-2</v>
      </c>
      <c r="BH588" s="1">
        <f>INDEX(Input!$1:$1048576,BH$93,$C588*2+6)</f>
        <v>5.45E-2</v>
      </c>
      <c r="BI588" s="1">
        <f>INDEX(Input!$1:$1048576,BI$93,$C588*2+6)</f>
        <v>0.05</v>
      </c>
      <c r="BJ588" s="1">
        <f>INDEX(Input!$1:$1048576,BJ$93,$C588*2+6)</f>
        <v>0.05</v>
      </c>
      <c r="BK588" s="1">
        <f>INDEX(Input!$1:$1048576,BK$93,$C588*2+6)</f>
        <v>0.05</v>
      </c>
      <c r="BL588" s="1">
        <f>INDEX(Input!$1:$1048576,BL$93,$C588*2+6)</f>
        <v>5.5E-2</v>
      </c>
      <c r="BM588" s="1">
        <f>INDEX(Input!$1:$1048576,BM$93,$C588*2+6)</f>
        <v>0.06</v>
      </c>
      <c r="BN588" s="1">
        <f>INDEX(Input!$1:$1048576,BN$93,$C588*2+6)</f>
        <v>4.4999999999999998E-2</v>
      </c>
      <c r="BO588" s="1">
        <f>INDEX(Input!$1:$1048576,BO$93,$C588*2+6)</f>
        <v>4.4999999999999998E-2</v>
      </c>
      <c r="BP588" s="1">
        <f>INDEX(Input!$1:$1048576,BP$93,$C588*2+6)</f>
        <v>0.05</v>
      </c>
      <c r="BQ588" s="1">
        <f>INDEX(Input!$1:$1048576,BQ$93,$C588*2+6)</f>
        <v>5.45E-2</v>
      </c>
      <c r="BR588" s="1">
        <f>INDEX(Input!$1:$1048576,BR$93,$C588*2+6)</f>
        <v>5.45E-2</v>
      </c>
      <c r="BS588" s="1">
        <f>INDEX(Input!$1:$1048576,BS$93,$C588*2+6)</f>
        <v>0.05</v>
      </c>
      <c r="BT588" s="1">
        <f>INDEX(Input!$1:$1048576,BT$93,$C588*2+6)</f>
        <v>0.05</v>
      </c>
      <c r="BU588" s="1">
        <f>INDEX(Input!$1:$1048576,BU$93,$C588*2+6)</f>
        <v>0.05</v>
      </c>
      <c r="BV588" s="1">
        <f>INDEX(Input!$1:$1048576,BV$93,$C588*2+6)</f>
        <v>5.5E-2</v>
      </c>
      <c r="BW588" s="1">
        <f>INDEX(Input!$1:$1048576,BW$93,$C588*2+6)</f>
        <v>0.06</v>
      </c>
      <c r="BX588" s="127">
        <f>INDEX(Input!$1:$1048576,BX$93,$C588*2+6)</f>
        <v>19985</v>
      </c>
      <c r="BY588" s="20">
        <f>INDEX(Input!$1:$1048576,BY$93,$C588*2+6)</f>
        <v>0.1</v>
      </c>
      <c r="BZ588" s="20">
        <f>INDEX(Input!$1:$1048576,BZ$93,$C588*2+6)</f>
        <v>0.1</v>
      </c>
      <c r="CA588" s="20">
        <f>INDEX(Input!$1:$1048576,CA$93,$C588*2+6)</f>
        <v>0.1</v>
      </c>
      <c r="CB588" s="20">
        <f>INDEX(Input!$1:$1048576,CB$93,$C588*2+6)</f>
        <v>0.1</v>
      </c>
      <c r="CC588" s="20">
        <f>INDEX(Input!$1:$1048576,CC$93,$C588*2+6)</f>
        <v>0.1</v>
      </c>
      <c r="CD588" s="384">
        <f>INDEX(Input!$1:$1048576,CD$93,$C588*2+6)</f>
        <v>0.1</v>
      </c>
      <c r="CE588" s="384">
        <f>INDEX(Input!$1:$1048576,CE$93,$C588*2+6)</f>
        <v>0.1</v>
      </c>
      <c r="CF588" s="384">
        <f>INDEX(Input!$1:$1048576,CF$93,$C588*2+6)</f>
        <v>0.1</v>
      </c>
      <c r="CG588" s="384">
        <f>INDEX(Input!$1:$1048576,CG$93,$C588*2+6)</f>
        <v>0.1</v>
      </c>
      <c r="CH588" s="384">
        <f>INDEX(Input!$1:$1048576,CH$93,$C588*2+6)</f>
        <v>0.1</v>
      </c>
      <c r="CI588" s="304">
        <f t="shared" si="1527"/>
        <v>1277.4263093788063</v>
      </c>
      <c r="CJ588" s="16" t="str">
        <f>INDEX(Input!$1:$1048576,CJ$93,$C588*2+6)</f>
        <v>N</v>
      </c>
      <c r="CK588" s="1" t="str">
        <f t="shared" si="1528"/>
        <v>Market</v>
      </c>
      <c r="CL588" s="1" t="str">
        <f t="shared" si="1529"/>
        <v>Market</v>
      </c>
      <c r="CM588" s="1" t="str">
        <f t="shared" si="1530"/>
        <v>Market</v>
      </c>
      <c r="CN588" s="1" t="str">
        <f t="shared" si="1531"/>
        <v>Market</v>
      </c>
      <c r="CO588" s="1" t="str">
        <f t="shared" si="1532"/>
        <v>Market</v>
      </c>
      <c r="CP588" s="304">
        <f t="shared" si="1533"/>
        <v>500</v>
      </c>
      <c r="CQ588" s="1">
        <f t="shared" si="1534"/>
        <v>0</v>
      </c>
      <c r="CR588" s="1">
        <f t="shared" si="1535"/>
        <v>0</v>
      </c>
      <c r="CS588" s="1">
        <f t="shared" si="1536"/>
        <v>0</v>
      </c>
      <c r="CT588" s="1">
        <f t="shared" si="1537"/>
        <v>1.9E-2</v>
      </c>
      <c r="CU588" s="1">
        <f t="shared" si="1538"/>
        <v>3.9E-2</v>
      </c>
      <c r="CV588" s="304">
        <f t="shared" si="1539"/>
        <v>-717.93641739252325</v>
      </c>
      <c r="CW588" s="20" t="s">
        <v>122</v>
      </c>
      <c r="CX588" s="20" t="s">
        <v>122</v>
      </c>
      <c r="CY588" s="20" t="s">
        <v>122</v>
      </c>
      <c r="CZ588" s="20" t="s">
        <v>122</v>
      </c>
      <c r="DA588" s="20" t="s">
        <v>122</v>
      </c>
      <c r="DB588" s="503">
        <f t="shared" si="1540"/>
        <v>0</v>
      </c>
      <c r="DC588" s="127">
        <v>0</v>
      </c>
      <c r="DD588" s="127">
        <v>0</v>
      </c>
      <c r="DE588" s="127">
        <v>0</v>
      </c>
      <c r="DF588" s="127">
        <v>0</v>
      </c>
      <c r="DG588" s="127">
        <v>0</v>
      </c>
      <c r="DH588" s="127">
        <v>0</v>
      </c>
      <c r="DI588" s="127">
        <v>0</v>
      </c>
      <c r="DJ588" s="127">
        <v>0</v>
      </c>
      <c r="DK588" s="127">
        <v>0</v>
      </c>
      <c r="DL588" s="127">
        <v>0</v>
      </c>
      <c r="DM588" s="304">
        <f>INDEX(Input!$1:$1048576,DM$93,$C588*2+6)</f>
        <v>21036.84210526316</v>
      </c>
      <c r="DN588" s="20">
        <v>0</v>
      </c>
      <c r="DO588" s="20">
        <v>0</v>
      </c>
      <c r="DP588" s="20">
        <v>0</v>
      </c>
      <c r="DQ588" s="20">
        <v>0</v>
      </c>
      <c r="DR588" s="20">
        <v>0</v>
      </c>
      <c r="DS588" s="20">
        <f>INDEX(Input!$1:$1048576,DS$93,$C588*2+6)</f>
        <v>0.6</v>
      </c>
      <c r="DT588" s="20">
        <f>INDEX(Input!$1:$1048576,DT$93,$C588*2+6)</f>
        <v>0.55000000000000004</v>
      </c>
      <c r="DU588" s="20">
        <f>INDEX(Input!$1:$1048576,DU$93,$C588*2+6)</f>
        <v>0.52</v>
      </c>
      <c r="DV588" s="20">
        <f>INDEX(Input!$1:$1048576,DV$93,$C588*2+6)</f>
        <v>0.5</v>
      </c>
      <c r="DW588" s="20">
        <f>INDEX(Input!$1:$1048576,DW$93,$C588*2+6)</f>
        <v>0.45</v>
      </c>
      <c r="DX588" s="20"/>
      <c r="DY588" s="7"/>
      <c r="DZ588" s="7"/>
      <c r="EA588" s="7"/>
      <c r="EB588" s="7"/>
      <c r="EC588" s="7"/>
      <c r="ED588" s="7"/>
      <c r="EE588" s="7"/>
      <c r="EF588" s="7"/>
      <c r="EG588" s="7"/>
      <c r="EH588" s="7"/>
      <c r="EI588" s="7"/>
      <c r="EJ588" s="7"/>
      <c r="EK588" s="7"/>
      <c r="EL588" s="7"/>
      <c r="EM588" s="7"/>
      <c r="EN588" s="7"/>
      <c r="EO588" s="7"/>
      <c r="EP588" s="7"/>
      <c r="EQ588" s="7"/>
      <c r="ER588" s="7"/>
      <c r="ES588" s="7"/>
      <c r="ET588" s="7"/>
      <c r="EU588" s="6"/>
      <c r="EV588" s="6"/>
      <c r="EW588" s="6"/>
      <c r="EX588" s="6"/>
      <c r="EY588" s="6"/>
      <c r="EZ588" s="6"/>
      <c r="FA588" s="6"/>
      <c r="FB588" s="6"/>
      <c r="FC588" s="6"/>
      <c r="FD588" s="6"/>
      <c r="FE588" s="6"/>
      <c r="FF588" s="6"/>
      <c r="FG588" s="6"/>
      <c r="FH588" s="6"/>
      <c r="FI588" s="6"/>
      <c r="FJ588" s="6"/>
      <c r="FK588" s="6"/>
      <c r="FL588" s="6"/>
      <c r="FM588" s="6"/>
      <c r="FN588" s="6"/>
      <c r="FO588" s="6"/>
      <c r="FP588" s="6"/>
      <c r="FQ588" s="6"/>
      <c r="FR588" s="6"/>
      <c r="FS588" s="6"/>
      <c r="FT588" s="7"/>
      <c r="FU588" s="7"/>
      <c r="FV588" s="7"/>
      <c r="FW588" s="6"/>
      <c r="FX588" s="6"/>
      <c r="FY588" s="6"/>
      <c r="FZ588" s="6"/>
      <c r="GA588" s="6"/>
      <c r="GB588" s="6"/>
      <c r="GC588" s="7"/>
      <c r="GD588" s="7"/>
      <c r="GE588" s="7"/>
      <c r="GF588" s="7"/>
      <c r="GG588" s="7"/>
      <c r="GH588" s="42"/>
      <c r="GI588" s="6"/>
      <c r="GJ588" s="14"/>
      <c r="GK588" s="14"/>
      <c r="GL588" s="14"/>
      <c r="GM588" s="14"/>
      <c r="GO588" s="5"/>
      <c r="GP588" s="5"/>
      <c r="GQ588" s="5"/>
      <c r="GR588" s="5"/>
      <c r="GS588" s="5"/>
      <c r="GT588" s="5"/>
      <c r="GU588" s="5"/>
      <c r="GV588" s="39"/>
      <c r="GW588" s="5"/>
      <c r="GX588" s="5"/>
      <c r="GY588" s="5"/>
      <c r="GZ588" s="5"/>
      <c r="HA588" s="5"/>
      <c r="HB588" s="39"/>
      <c r="HC588" s="5"/>
      <c r="HD588" s="5"/>
      <c r="HE588" s="5"/>
      <c r="HF588" s="5"/>
      <c r="HG588" s="5"/>
      <c r="HH588" s="39"/>
      <c r="HI588" s="16"/>
      <c r="HJ588" s="19"/>
      <c r="HK588" s="1"/>
      <c r="HL588" s="16"/>
      <c r="HM588" s="1"/>
      <c r="HN588" s="1"/>
      <c r="HO588" s="1"/>
      <c r="HP588" s="1"/>
      <c r="HQ588" s="1"/>
      <c r="HR588" s="1"/>
      <c r="HS588" s="1"/>
      <c r="HT588" s="1"/>
      <c r="HU588" s="1"/>
      <c r="HV588" s="1"/>
      <c r="HW588" s="1"/>
      <c r="HX588" s="1"/>
      <c r="HY588" s="1"/>
      <c r="HZ588" s="1"/>
      <c r="IA588" s="1"/>
      <c r="IB588" s="1"/>
      <c r="IC588" s="1"/>
      <c r="ID588" s="1"/>
      <c r="IE588" s="1"/>
      <c r="IF588" s="1"/>
      <c r="IG588" s="1"/>
      <c r="IH588" s="21"/>
      <c r="II588" s="19"/>
      <c r="IJ588" s="19"/>
      <c r="IK588" s="19"/>
      <c r="IL588" s="19"/>
      <c r="IM588" s="19"/>
      <c r="IN588" s="19"/>
      <c r="IO588" s="39"/>
      <c r="IP588" s="39"/>
      <c r="IQ588" s="39"/>
      <c r="IR588" s="39"/>
      <c r="IS588" s="39"/>
      <c r="IT588" s="39"/>
      <c r="IU588" s="39"/>
      <c r="IV588" s="39"/>
      <c r="IW588" s="39"/>
      <c r="IX588" s="39"/>
      <c r="IY588" s="39"/>
      <c r="IZ588" s="39"/>
      <c r="JA588" s="19"/>
      <c r="JB588" s="19"/>
      <c r="JC588" s="19"/>
      <c r="JD588" s="19"/>
      <c r="JE588" s="21"/>
      <c r="JF588" s="1"/>
      <c r="JG588" s="15"/>
      <c r="JH588" s="1"/>
      <c r="JI588" s="1"/>
      <c r="JJ588" s="1"/>
      <c r="JK588" s="1"/>
      <c r="JL588" s="15"/>
      <c r="JM588" s="15"/>
      <c r="JN588" s="21"/>
      <c r="JO588" s="19"/>
      <c r="JP588" s="19"/>
      <c r="JQ588" s="39"/>
      <c r="JR588" s="39"/>
      <c r="JS588" s="39"/>
      <c r="JT588" s="39"/>
      <c r="JU588" s="385"/>
      <c r="JV588" s="39"/>
      <c r="JW588" s="1"/>
      <c r="JX588" s="19"/>
      <c r="JZ588" s="341"/>
      <c r="KA588" s="342"/>
      <c r="KB588" s="469"/>
      <c r="KI588" s="473"/>
      <c r="KJ588" s="473"/>
      <c r="KK588" s="473"/>
    </row>
    <row r="589" spans="1:307" s="26" customFormat="1" ht="15" outlineLevel="1">
      <c r="A589" s="561">
        <f t="shared" si="1652"/>
        <v>5089</v>
      </c>
      <c r="B589" s="561">
        <f t="shared" si="1627"/>
        <v>89</v>
      </c>
      <c r="C589" s="561">
        <f t="shared" si="1628"/>
        <v>5</v>
      </c>
      <c r="D589" s="561" t="str">
        <f t="shared" si="1712"/>
        <v/>
      </c>
      <c r="E589" s="475">
        <f>INDEX(Input!$1:$1048576,E$93,$C589*2+MIN($B589,2)+5)
+INDEX(Scenarios!E$121:E$200,MATCH($B589,Scenarios!$B$121:$B$200,0))</f>
        <v>1277.4263093788063</v>
      </c>
      <c r="F589" s="475">
        <f>INDEX(Input!$1:$1048576,F$93,$C589*2+MIN($B589,2)+5)
+INDEX(Scenarios!F$121:F$200,MATCH($B589,Scenarios!$B$121:$B$200,0))</f>
        <v>0</v>
      </c>
      <c r="G589" s="475">
        <f>INDEX(Input!$1:$1048576,G$93,$C589*2+MIN($B589,2)+5)
+INDEX(Scenarios!G$121:G$200,MATCH($B589,Scenarios!$B$121:$B$200,0))</f>
        <v>0</v>
      </c>
      <c r="H589" s="475">
        <f>INDEX(Input!$1:$1048576,H$93,$C589*2+MIN($B589,2)+5)
+INDEX(Scenarios!H$121:H$200,MATCH($B589,Scenarios!$B$121:$B$200,0))</f>
        <v>0</v>
      </c>
      <c r="I589" s="476">
        <f>INDEX(Input!$1:$1048576,I$93,$C589*2+MIN($B589,2)+5)</f>
        <v>0.7</v>
      </c>
      <c r="J589" s="476" t="str">
        <f>INDEX(Input!$1:$1048576,J$93,$C589*2+MIN($B589,2)+5)</f>
        <v>Market</v>
      </c>
      <c r="K589" s="476" t="str">
        <f>INDEX(Input!$1:$1048576,K$93,$C589*2+MIN($B589,2)+5)</f>
        <v>Market</v>
      </c>
      <c r="L589" s="476" t="str">
        <f>INDEX(Input!$1:$1048576,L$93,$C589*2+MIN($B589,2)+5)</f>
        <v>Market</v>
      </c>
      <c r="M589" s="476" t="str">
        <f>INDEX(Input!$1:$1048576,M$93,$C589*2+MIN($B589,2)+5)</f>
        <v>Market</v>
      </c>
      <c r="N589" s="476" t="str">
        <f>INDEX(Input!$1:$1048576,N$93,$C589*2+MIN($B589,2)+5)</f>
        <v>Market</v>
      </c>
      <c r="O589" s="476" t="str">
        <f>INDEX(Input!$1:$1048576,O$93,$C589*2+MIN($B589,2)+5)</f>
        <v>Market</v>
      </c>
      <c r="P589" s="476" t="str">
        <f>INDEX(Input!$1:$1048576,P$93,$C589*2+MIN($B589,2)+5)</f>
        <v>N</v>
      </c>
      <c r="Q589" s="477">
        <f>INDEX(Input!$1:$1048576,Q$93,$C589*2+MIN($B589,2)+5)
+INDEX(Scenarios!Q$121:Q$200,MATCH($B589,Scenarios!$B$121:$B$200,0))</f>
        <v>0</v>
      </c>
      <c r="R589" s="478">
        <f>IFERROR(MAX(0,INDEX(Input!$1:$1048576,R$93,$C589*2+MIN($B589,2)+5)
+INDEX(Scenarios!R$121:R$200,MATCH($B589,Scenarios!$B$121:$B$200,0)),),"Market")</f>
        <v>0</v>
      </c>
      <c r="S589" s="478">
        <f>IFERROR(MAX(0,INDEX(Input!$1:$1048576,S$93,$C589*2+MIN($B589,2)+5)
+INDEX(Scenarios!S$121:S$200,MATCH($B589,Scenarios!$B$121:$B$200,0)),),"Market")</f>
        <v>0</v>
      </c>
      <c r="T589" s="478">
        <f>IFERROR(MAX(0,INDEX(Input!$1:$1048576,T$93,$C589*2+MIN($B589,2)+5)
+INDEX(Scenarios!T$121:T$200,MATCH($B589,Scenarios!$B$121:$B$200,0)),),"Market")</f>
        <v>0</v>
      </c>
      <c r="U589" s="478">
        <f>IFERROR(MAX(0,INDEX(Input!$1:$1048576,U$93,$C589*2+MIN($B589,2)+5)
+INDEX(Scenarios!U$121:U$200,MATCH($B589,Scenarios!$B$121:$B$200,0)),),"Market")</f>
        <v>0</v>
      </c>
      <c r="V589" s="478">
        <f>IFERROR(MAX(0,INDEX(Input!$1:$1048576,V$93,$C589*2+MIN($B589,2)+5)
+INDEX(Scenarios!V$121:V$200,MATCH($B589,Scenarios!$B$121:$B$200,0)),),"Market")</f>
        <v>1.9E-2</v>
      </c>
      <c r="W589" s="885">
        <f>IFERROR(MAX(0,INDEX(Input!$1:$1048576,W$93,$C589*2+MIN($B589,2)+5)-0%,),"Market")</f>
        <v>3.9E-2</v>
      </c>
      <c r="X589" s="476" t="str">
        <f>INDEX(Input!$1:$1048576,X$93,$C589*2+MIN($B589,2)+5)</f>
        <v>Y</v>
      </c>
      <c r="Y589" s="475">
        <f>INDEX(Input!$1:$1048576,Y$93,$C589*2+MIN($B589,2)+5)
++INDEX(Scenarios!Y$121:Y$200,MATCH($B589,Scenarios!$B$121:$B$200,0))</f>
        <v>-717.93641739252325</v>
      </c>
      <c r="Z589" s="477">
        <f>INDEX(Input!$1:$1048576,Z$93,$C589*2+MIN($B589,2)+5)
+INDEX(Scenarios!Z$121:Z$200,MATCH($B589,Scenarios!$B$121:$B$200,0))</f>
        <v>0</v>
      </c>
      <c r="AA589" s="475">
        <f>INDEX(Input!$1:$1048576,AA$93,$C589*2+MIN($B589,2)+5)
+INDEX(Scenarios!AA$121:AA$200,MATCH($B589,Scenarios!$B$121:$B$200,0))</f>
        <v>0</v>
      </c>
      <c r="AB589" s="476">
        <f>INDEX(Input!$1:$1048576,AB$93,$C589*2+MIN($B589,2)+5)</f>
        <v>0.27</v>
      </c>
      <c r="AC589" s="475">
        <f>INDEX(Input!$1:$1048576,AC$93,$C589*2+MIN($B589,2)+5)
+INDEX(Scenarios!AC$121:AC$200,MATCH($B589,Scenarios!$B$121:$B$200,0))</f>
        <v>0</v>
      </c>
      <c r="AD589" s="476">
        <f>INDEX(Input!$1:$1048576,AD$93,$C589*2+MIN($B589,2)+5)</f>
        <v>0.27</v>
      </c>
      <c r="AE589" s="475">
        <f>INDEX(Input!$1:$1048576,AE$93,$C589*2+MIN($B589,2)+5)
+INDEX(Scenarios!AE$121:AE$200,MATCH($B589,Scenarios!$B$121:$B$200,0))</f>
        <v>0</v>
      </c>
      <c r="AF589" s="476">
        <f>INDEX(Input!$1:$1048576,AF$93,$C589*2+MIN($B589,2)+5)</f>
        <v>0.2</v>
      </c>
      <c r="AG589" s="475">
        <f>INDEX(Input!$1:$1048576,AG$93,$C589*2+MIN($B589,2)+5)
+INDEX(Scenarios!AG$121:AG$200,MATCH($B589,Scenarios!$B$121:$B$200,0))</f>
        <v>500</v>
      </c>
      <c r="AH589" s="476">
        <f>INDEX(Input!$1:$1048576,AH$93,$C589*2+MIN($B589,2)+5)</f>
        <v>1</v>
      </c>
      <c r="AI589" s="475">
        <f>INDEX(Input!$1:$1048576,AI$93,$C589*2+MIN($B589,2)+5)
+INDEX(Scenarios!AI$121:AI$200,MATCH($B589,Scenarios!$B$121:$B$200,0))</f>
        <v>0</v>
      </c>
      <c r="AJ589" s="476">
        <f>INDEX(Input!$1:$1048576,AJ$93,$C589*2+MIN($B589,2)+5)</f>
        <v>0.27</v>
      </c>
      <c r="AK589" s="150">
        <f>ROUND(INDEX(Input!$1:$1048576,AK$93,$C588*2+MIN($B589,1)+5)+(Y589-VLOOKUP($C589*1000+1,$A:$HH,Y$92,FALSE)),0)</f>
        <v>2587</v>
      </c>
      <c r="AL589" s="150">
        <f>ROUND(INDEX(Input!$1:$1048576,AL$93,$C588*2+MIN($B589,1)+5)-(Y589-VLOOKUP($C589*1000+1,$A:$HH,Y$92,FALSE))/36,0)</f>
        <v>3406</v>
      </c>
      <c r="AM589" s="32" t="str">
        <f t="shared" si="1653"/>
        <v>std/std/std/std</v>
      </c>
      <c r="AN589" s="32" t="str">
        <f t="shared" si="1654"/>
        <v>$0 + 0/0/0/1.9/3.9</v>
      </c>
      <c r="AO589" s="32" t="str">
        <f t="shared" si="1655"/>
        <v>0/0/0/1.9/3.9</v>
      </c>
      <c r="AP589" s="32" t="str">
        <f t="shared" si="1526"/>
        <v>0/0.9/1.9/3.9</v>
      </c>
      <c r="AQ589" s="536">
        <f t="shared" si="1525"/>
        <v>0</v>
      </c>
      <c r="AR589" s="32"/>
      <c r="AS589" s="302"/>
      <c r="AT589" s="3">
        <f t="shared" si="1629"/>
        <v>89</v>
      </c>
      <c r="AU589" s="41" t="s">
        <v>121</v>
      </c>
      <c r="AV589" s="41" t="s">
        <v>116</v>
      </c>
      <c r="AW589" s="41" t="str">
        <f>INDEX(Input!$1:$1048576,AW$93,$C589*2+6)</f>
        <v>Kia</v>
      </c>
      <c r="AX589" s="41" t="str">
        <f>INDEX(Input!$1:$1048576,AX$93,$C589*2+6)</f>
        <v>Kia-LR - R2</v>
      </c>
      <c r="AY589" s="41" t="str">
        <f>IF(LEN(D589)=0,"",INDEX(Input!$1:$1048576,AY$93,$C589*2+6))</f>
        <v/>
      </c>
      <c r="AZ589" s="41" t="str">
        <f>INDEX(Input!$1:$1048576,AZ$93,$C589*2+6)</f>
        <v>Kia Soul</v>
      </c>
      <c r="BA589" s="3">
        <f>INDEX(Input!$1:$1048576,BA$93,$C589*2+6)</f>
        <v>2020</v>
      </c>
      <c r="BB589" s="128">
        <f>INDEX(Input!$1:$1048576,BB$93,$C589*2+6)</f>
        <v>1</v>
      </c>
      <c r="BC589" s="128">
        <f>INDEX(Input!$1:$1048576,BC$93,$C589*2+6)</f>
        <v>0.7</v>
      </c>
      <c r="BD589" s="1">
        <f>INDEX(Input!$1:$1048576,BD$93,$C589*2+6)</f>
        <v>4.4999999999999998E-2</v>
      </c>
      <c r="BE589" s="1">
        <f>INDEX(Input!$1:$1048576,BE$93,$C589*2+6)</f>
        <v>4.4999999999999998E-2</v>
      </c>
      <c r="BF589" s="1">
        <f>INDEX(Input!$1:$1048576,BF$93,$C589*2+6)</f>
        <v>0.05</v>
      </c>
      <c r="BG589" s="1">
        <f>INDEX(Input!$1:$1048576,BG$93,$C589*2+6)</f>
        <v>5.45E-2</v>
      </c>
      <c r="BH589" s="1">
        <f>INDEX(Input!$1:$1048576,BH$93,$C589*2+6)</f>
        <v>5.45E-2</v>
      </c>
      <c r="BI589" s="1">
        <f>INDEX(Input!$1:$1048576,BI$93,$C589*2+6)</f>
        <v>0.05</v>
      </c>
      <c r="BJ589" s="1">
        <f>INDEX(Input!$1:$1048576,BJ$93,$C589*2+6)</f>
        <v>0.05</v>
      </c>
      <c r="BK589" s="1">
        <f>INDEX(Input!$1:$1048576,BK$93,$C589*2+6)</f>
        <v>0.05</v>
      </c>
      <c r="BL589" s="1">
        <f>INDEX(Input!$1:$1048576,BL$93,$C589*2+6)</f>
        <v>5.5E-2</v>
      </c>
      <c r="BM589" s="1">
        <f>INDEX(Input!$1:$1048576,BM$93,$C589*2+6)</f>
        <v>0.06</v>
      </c>
      <c r="BN589" s="1">
        <f>INDEX(Input!$1:$1048576,BN$93,$C589*2+6)</f>
        <v>4.4999999999999998E-2</v>
      </c>
      <c r="BO589" s="1">
        <f>INDEX(Input!$1:$1048576,BO$93,$C589*2+6)</f>
        <v>4.4999999999999998E-2</v>
      </c>
      <c r="BP589" s="1">
        <f>INDEX(Input!$1:$1048576,BP$93,$C589*2+6)</f>
        <v>0.05</v>
      </c>
      <c r="BQ589" s="1">
        <f>INDEX(Input!$1:$1048576,BQ$93,$C589*2+6)</f>
        <v>5.45E-2</v>
      </c>
      <c r="BR589" s="1">
        <f>INDEX(Input!$1:$1048576,BR$93,$C589*2+6)</f>
        <v>5.45E-2</v>
      </c>
      <c r="BS589" s="1">
        <f>INDEX(Input!$1:$1048576,BS$93,$C589*2+6)</f>
        <v>0.05</v>
      </c>
      <c r="BT589" s="1">
        <f>INDEX(Input!$1:$1048576,BT$93,$C589*2+6)</f>
        <v>0.05</v>
      </c>
      <c r="BU589" s="1">
        <f>INDEX(Input!$1:$1048576,BU$93,$C589*2+6)</f>
        <v>0.05</v>
      </c>
      <c r="BV589" s="1">
        <f>INDEX(Input!$1:$1048576,BV$93,$C589*2+6)</f>
        <v>5.5E-2</v>
      </c>
      <c r="BW589" s="1">
        <f>INDEX(Input!$1:$1048576,BW$93,$C589*2+6)</f>
        <v>0.06</v>
      </c>
      <c r="BX589" s="127">
        <f>INDEX(Input!$1:$1048576,BX$93,$C589*2+6)</f>
        <v>19985</v>
      </c>
      <c r="BY589" s="20">
        <f>INDEX(Input!$1:$1048576,BY$93,$C589*2+6)</f>
        <v>0.1</v>
      </c>
      <c r="BZ589" s="20">
        <f>INDEX(Input!$1:$1048576,BZ$93,$C589*2+6)</f>
        <v>0.1</v>
      </c>
      <c r="CA589" s="20">
        <f>INDEX(Input!$1:$1048576,CA$93,$C589*2+6)</f>
        <v>0.1</v>
      </c>
      <c r="CB589" s="20">
        <f>INDEX(Input!$1:$1048576,CB$93,$C589*2+6)</f>
        <v>0.1</v>
      </c>
      <c r="CC589" s="20">
        <f>INDEX(Input!$1:$1048576,CC$93,$C589*2+6)</f>
        <v>0.1</v>
      </c>
      <c r="CD589" s="384">
        <f>INDEX(Input!$1:$1048576,CD$93,$C589*2+6)</f>
        <v>0.1</v>
      </c>
      <c r="CE589" s="384">
        <f>INDEX(Input!$1:$1048576,CE$93,$C589*2+6)</f>
        <v>0.1</v>
      </c>
      <c r="CF589" s="384">
        <f>INDEX(Input!$1:$1048576,CF$93,$C589*2+6)</f>
        <v>0.1</v>
      </c>
      <c r="CG589" s="384">
        <f>INDEX(Input!$1:$1048576,CG$93,$C589*2+6)</f>
        <v>0.1</v>
      </c>
      <c r="CH589" s="384">
        <f>INDEX(Input!$1:$1048576,CH$93,$C589*2+6)</f>
        <v>0.1</v>
      </c>
      <c r="CI589" s="304">
        <f t="shared" si="1527"/>
        <v>1277.4263093788063</v>
      </c>
      <c r="CJ589" s="16" t="str">
        <f>INDEX(Input!$1:$1048576,CJ$93,$C589*2+6)</f>
        <v>N</v>
      </c>
      <c r="CK589" s="1" t="str">
        <f t="shared" si="1528"/>
        <v>Market</v>
      </c>
      <c r="CL589" s="1" t="str">
        <f t="shared" si="1529"/>
        <v>Market</v>
      </c>
      <c r="CM589" s="1" t="str">
        <f t="shared" si="1530"/>
        <v>Market</v>
      </c>
      <c r="CN589" s="1" t="str">
        <f t="shared" si="1531"/>
        <v>Market</v>
      </c>
      <c r="CO589" s="1" t="str">
        <f t="shared" si="1532"/>
        <v>Market</v>
      </c>
      <c r="CP589" s="304">
        <f t="shared" si="1533"/>
        <v>500</v>
      </c>
      <c r="CQ589" s="1">
        <f t="shared" si="1534"/>
        <v>0</v>
      </c>
      <c r="CR589" s="1">
        <f t="shared" si="1535"/>
        <v>0</v>
      </c>
      <c r="CS589" s="1">
        <f t="shared" si="1536"/>
        <v>0</v>
      </c>
      <c r="CT589" s="1">
        <f t="shared" si="1537"/>
        <v>1.9E-2</v>
      </c>
      <c r="CU589" s="1">
        <f t="shared" si="1538"/>
        <v>3.9E-2</v>
      </c>
      <c r="CV589" s="304">
        <f t="shared" si="1539"/>
        <v>-717.93641739252325</v>
      </c>
      <c r="CW589" s="20" t="s">
        <v>122</v>
      </c>
      <c r="CX589" s="20" t="s">
        <v>122</v>
      </c>
      <c r="CY589" s="20" t="s">
        <v>122</v>
      </c>
      <c r="CZ589" s="20" t="s">
        <v>122</v>
      </c>
      <c r="DA589" s="20" t="s">
        <v>122</v>
      </c>
      <c r="DB589" s="503">
        <f t="shared" si="1540"/>
        <v>0</v>
      </c>
      <c r="DC589" s="127">
        <v>0</v>
      </c>
      <c r="DD589" s="127">
        <v>0</v>
      </c>
      <c r="DE589" s="127">
        <v>0</v>
      </c>
      <c r="DF589" s="127">
        <v>0</v>
      </c>
      <c r="DG589" s="127">
        <v>0</v>
      </c>
      <c r="DH589" s="127">
        <v>0</v>
      </c>
      <c r="DI589" s="127">
        <v>0</v>
      </c>
      <c r="DJ589" s="127">
        <v>0</v>
      </c>
      <c r="DK589" s="127">
        <v>0</v>
      </c>
      <c r="DL589" s="127">
        <v>0</v>
      </c>
      <c r="DM589" s="304">
        <f>INDEX(Input!$1:$1048576,DM$93,$C589*2+6)</f>
        <v>21036.84210526316</v>
      </c>
      <c r="DN589" s="20">
        <v>0</v>
      </c>
      <c r="DO589" s="20">
        <v>0</v>
      </c>
      <c r="DP589" s="20">
        <v>0</v>
      </c>
      <c r="DQ589" s="20">
        <v>0</v>
      </c>
      <c r="DR589" s="20">
        <v>0</v>
      </c>
      <c r="DS589" s="20">
        <f>INDEX(Input!$1:$1048576,DS$93,$C589*2+6)</f>
        <v>0.6</v>
      </c>
      <c r="DT589" s="20">
        <f>INDEX(Input!$1:$1048576,DT$93,$C589*2+6)</f>
        <v>0.55000000000000004</v>
      </c>
      <c r="DU589" s="20">
        <f>INDEX(Input!$1:$1048576,DU$93,$C589*2+6)</f>
        <v>0.52</v>
      </c>
      <c r="DV589" s="20">
        <f>INDEX(Input!$1:$1048576,DV$93,$C589*2+6)</f>
        <v>0.5</v>
      </c>
      <c r="DW589" s="20">
        <f>INDEX(Input!$1:$1048576,DW$93,$C589*2+6)</f>
        <v>0.45</v>
      </c>
      <c r="DX589" s="20"/>
      <c r="DY589" s="7"/>
      <c r="DZ589" s="7"/>
      <c r="EA589" s="7"/>
      <c r="EB589" s="7"/>
      <c r="EC589" s="7"/>
      <c r="ED589" s="7"/>
      <c r="EE589" s="7"/>
      <c r="EF589" s="7"/>
      <c r="EG589" s="7"/>
      <c r="EH589" s="7"/>
      <c r="EI589" s="7"/>
      <c r="EJ589" s="7"/>
      <c r="EK589" s="7"/>
      <c r="EL589" s="7"/>
      <c r="EM589" s="7"/>
      <c r="EN589" s="7"/>
      <c r="EO589" s="7"/>
      <c r="EP589" s="7"/>
      <c r="EQ589" s="7"/>
      <c r="ER589" s="7"/>
      <c r="ES589" s="7"/>
      <c r="ET589" s="7"/>
      <c r="EU589" s="6"/>
      <c r="EV589" s="6"/>
      <c r="EW589" s="6"/>
      <c r="EX589" s="6"/>
      <c r="EY589" s="6"/>
      <c r="EZ589" s="6"/>
      <c r="FA589" s="6"/>
      <c r="FB589" s="6"/>
      <c r="FC589" s="6"/>
      <c r="FD589" s="6"/>
      <c r="FE589" s="6"/>
      <c r="FF589" s="6"/>
      <c r="FG589" s="6"/>
      <c r="FH589" s="6"/>
      <c r="FI589" s="6"/>
      <c r="FJ589" s="6"/>
      <c r="FK589" s="6"/>
      <c r="FL589" s="6"/>
      <c r="FM589" s="6"/>
      <c r="FN589" s="6"/>
      <c r="FO589" s="6"/>
      <c r="FP589" s="6"/>
      <c r="FQ589" s="6"/>
      <c r="FR589" s="6"/>
      <c r="FS589" s="6"/>
      <c r="FT589" s="7"/>
      <c r="FU589" s="7"/>
      <c r="FV589" s="7"/>
      <c r="FW589" s="6"/>
      <c r="FX589" s="6"/>
      <c r="FY589" s="6"/>
      <c r="FZ589" s="6"/>
      <c r="GA589" s="6"/>
      <c r="GB589" s="6"/>
      <c r="GC589" s="7"/>
      <c r="GD589" s="7"/>
      <c r="GE589" s="7"/>
      <c r="GF589" s="7"/>
      <c r="GG589" s="7"/>
      <c r="GH589" s="42"/>
      <c r="GI589" s="6"/>
      <c r="GJ589" s="14"/>
      <c r="GK589" s="14"/>
      <c r="GL589" s="14"/>
      <c r="GM589" s="14"/>
      <c r="GO589" s="5"/>
      <c r="GP589" s="5"/>
      <c r="GQ589" s="5"/>
      <c r="GR589" s="5"/>
      <c r="GS589" s="5"/>
      <c r="GT589" s="5"/>
      <c r="GU589" s="5"/>
      <c r="GV589" s="39"/>
      <c r="GW589" s="5"/>
      <c r="GX589" s="5"/>
      <c r="GY589" s="5"/>
      <c r="GZ589" s="5"/>
      <c r="HA589" s="5"/>
      <c r="HB589" s="39"/>
      <c r="HC589" s="5"/>
      <c r="HD589" s="5"/>
      <c r="HE589" s="5"/>
      <c r="HF589" s="5"/>
      <c r="HG589" s="5"/>
      <c r="HH589" s="39"/>
      <c r="HI589" s="16"/>
      <c r="HJ589" s="19"/>
      <c r="HK589" s="1"/>
      <c r="HL589" s="16"/>
      <c r="HM589" s="1"/>
      <c r="HN589" s="1"/>
      <c r="HO589" s="1"/>
      <c r="HP589" s="1"/>
      <c r="HQ589" s="1"/>
      <c r="HR589" s="1"/>
      <c r="HS589" s="1"/>
      <c r="HT589" s="1"/>
      <c r="HU589" s="1"/>
      <c r="HV589" s="1"/>
      <c r="HW589" s="1"/>
      <c r="HX589" s="1"/>
      <c r="HY589" s="1"/>
      <c r="HZ589" s="1"/>
      <c r="IA589" s="1"/>
      <c r="IB589" s="1"/>
      <c r="IC589" s="1"/>
      <c r="ID589" s="1"/>
      <c r="IE589" s="1"/>
      <c r="IF589" s="1"/>
      <c r="IG589" s="1"/>
      <c r="IH589" s="21"/>
      <c r="II589" s="19"/>
      <c r="IJ589" s="19"/>
      <c r="IK589" s="19"/>
      <c r="IL589" s="19"/>
      <c r="IM589" s="19"/>
      <c r="IN589" s="19"/>
      <c r="IO589" s="39"/>
      <c r="IP589" s="39"/>
      <c r="IQ589" s="39"/>
      <c r="IR589" s="39"/>
      <c r="IS589" s="39"/>
      <c r="IT589" s="39"/>
      <c r="IU589" s="39"/>
      <c r="IV589" s="39"/>
      <c r="IW589" s="39"/>
      <c r="IX589" s="39"/>
      <c r="IY589" s="39"/>
      <c r="IZ589" s="39"/>
      <c r="JA589" s="19"/>
      <c r="JB589" s="19"/>
      <c r="JC589" s="19"/>
      <c r="JD589" s="19"/>
      <c r="JE589" s="21"/>
      <c r="JF589" s="1"/>
      <c r="JG589" s="15"/>
      <c r="JH589" s="1"/>
      <c r="JI589" s="1"/>
      <c r="JJ589" s="1"/>
      <c r="JK589" s="1"/>
      <c r="JL589" s="15"/>
      <c r="JM589" s="15"/>
      <c r="JN589" s="21"/>
      <c r="JO589" s="19"/>
      <c r="JP589" s="19"/>
      <c r="JQ589" s="39"/>
      <c r="JR589" s="39"/>
      <c r="JS589" s="39"/>
      <c r="JT589" s="39"/>
      <c r="JU589" s="385"/>
      <c r="JV589" s="39"/>
      <c r="JW589" s="1"/>
      <c r="JX589" s="19"/>
      <c r="JZ589" s="341"/>
      <c r="KA589" s="342"/>
      <c r="KB589" s="469"/>
      <c r="KI589" s="473"/>
      <c r="KJ589" s="473"/>
      <c r="KK589" s="473"/>
    </row>
    <row r="590" spans="1:307" s="26" customFormat="1" ht="15" outlineLevel="1">
      <c r="A590" s="561">
        <f t="shared" si="1652"/>
        <v>5090</v>
      </c>
      <c r="B590" s="561">
        <f t="shared" si="1627"/>
        <v>90</v>
      </c>
      <c r="C590" s="561">
        <f t="shared" si="1628"/>
        <v>5</v>
      </c>
      <c r="D590" s="561" t="str">
        <f t="shared" si="1712"/>
        <v/>
      </c>
      <c r="E590" s="475">
        <f>INDEX(Input!$1:$1048576,E$93,$C590*2+MIN($B590,2)+5)
+INDEX(Scenarios!E$121:E$200,MATCH($B590,Scenarios!$B$121:$B$200,0))</f>
        <v>1277.4263093788063</v>
      </c>
      <c r="F590" s="475">
        <f>INDEX(Input!$1:$1048576,F$93,$C590*2+MIN($B590,2)+5)
+INDEX(Scenarios!F$121:F$200,MATCH($B590,Scenarios!$B$121:$B$200,0))</f>
        <v>0</v>
      </c>
      <c r="G590" s="475">
        <f>INDEX(Input!$1:$1048576,G$93,$C590*2+MIN($B590,2)+5)
+INDEX(Scenarios!G$121:G$200,MATCH($B590,Scenarios!$B$121:$B$200,0))</f>
        <v>0</v>
      </c>
      <c r="H590" s="475">
        <f>INDEX(Input!$1:$1048576,H$93,$C590*2+MIN($B590,2)+5)
+INDEX(Scenarios!H$121:H$200,MATCH($B590,Scenarios!$B$121:$B$200,0))</f>
        <v>0</v>
      </c>
      <c r="I590" s="476">
        <f>INDEX(Input!$1:$1048576,I$93,$C590*2+MIN($B590,2)+5)</f>
        <v>0.7</v>
      </c>
      <c r="J590" s="476" t="str">
        <f>INDEX(Input!$1:$1048576,J$93,$C590*2+MIN($B590,2)+5)</f>
        <v>Market</v>
      </c>
      <c r="K590" s="476" t="str">
        <f>INDEX(Input!$1:$1048576,K$93,$C590*2+MIN($B590,2)+5)</f>
        <v>Market</v>
      </c>
      <c r="L590" s="476" t="str">
        <f>INDEX(Input!$1:$1048576,L$93,$C590*2+MIN($B590,2)+5)</f>
        <v>Market</v>
      </c>
      <c r="M590" s="476" t="str">
        <f>INDEX(Input!$1:$1048576,M$93,$C590*2+MIN($B590,2)+5)</f>
        <v>Market</v>
      </c>
      <c r="N590" s="476" t="str">
        <f>INDEX(Input!$1:$1048576,N$93,$C590*2+MIN($B590,2)+5)</f>
        <v>Market</v>
      </c>
      <c r="O590" s="476" t="str">
        <f>INDEX(Input!$1:$1048576,O$93,$C590*2+MIN($B590,2)+5)</f>
        <v>Market</v>
      </c>
      <c r="P590" s="476" t="str">
        <f>INDEX(Input!$1:$1048576,P$93,$C590*2+MIN($B590,2)+5)</f>
        <v>N</v>
      </c>
      <c r="Q590" s="477">
        <f>INDEX(Input!$1:$1048576,Q$93,$C590*2+MIN($B590,2)+5)
+INDEX(Scenarios!Q$121:Q$200,MATCH($B590,Scenarios!$B$121:$B$200,0))</f>
        <v>0</v>
      </c>
      <c r="R590" s="478">
        <f>IFERROR(MAX(0,INDEX(Input!$1:$1048576,R$93,$C590*2+MIN($B590,2)+5)
+INDEX(Scenarios!R$121:R$200,MATCH($B590,Scenarios!$B$121:$B$200,0)),),"Market")</f>
        <v>0</v>
      </c>
      <c r="S590" s="478">
        <f>IFERROR(MAX(0,INDEX(Input!$1:$1048576,S$93,$C590*2+MIN($B590,2)+5)
+INDEX(Scenarios!S$121:S$200,MATCH($B590,Scenarios!$B$121:$B$200,0)),),"Market")</f>
        <v>0</v>
      </c>
      <c r="T590" s="478">
        <f>IFERROR(MAX(0,INDEX(Input!$1:$1048576,T$93,$C590*2+MIN($B590,2)+5)
+INDEX(Scenarios!T$121:T$200,MATCH($B590,Scenarios!$B$121:$B$200,0)),),"Market")</f>
        <v>0</v>
      </c>
      <c r="U590" s="478">
        <f>IFERROR(MAX(0,INDEX(Input!$1:$1048576,U$93,$C590*2+MIN($B590,2)+5)
+INDEX(Scenarios!U$121:U$200,MATCH($B590,Scenarios!$B$121:$B$200,0)),),"Market")</f>
        <v>0</v>
      </c>
      <c r="V590" s="478">
        <f>IFERROR(MAX(0,INDEX(Input!$1:$1048576,V$93,$C590*2+MIN($B590,2)+5)
+INDEX(Scenarios!V$121:V$200,MATCH($B590,Scenarios!$B$121:$B$200,0)),),"Market")</f>
        <v>1.9E-2</v>
      </c>
      <c r="W590" s="885">
        <f>IFERROR(MAX(0,INDEX(Input!$1:$1048576,W$93,$C590*2+MIN($B590,2)+5)-0%,),"Market")</f>
        <v>3.9E-2</v>
      </c>
      <c r="X590" s="476" t="str">
        <f>INDEX(Input!$1:$1048576,X$93,$C590*2+MIN($B590,2)+5)</f>
        <v>Y</v>
      </c>
      <c r="Y590" s="475">
        <f>INDEX(Input!$1:$1048576,Y$93,$C590*2+MIN($B590,2)+5)
++INDEX(Scenarios!Y$121:Y$200,MATCH($B590,Scenarios!$B$121:$B$200,0))</f>
        <v>-717.93641739252325</v>
      </c>
      <c r="Z590" s="477">
        <f>INDEX(Input!$1:$1048576,Z$93,$C590*2+MIN($B590,2)+5)
+INDEX(Scenarios!Z$121:Z$200,MATCH($B590,Scenarios!$B$121:$B$200,0))</f>
        <v>0</v>
      </c>
      <c r="AA590" s="475">
        <f>INDEX(Input!$1:$1048576,AA$93,$C590*2+MIN($B590,2)+5)
+INDEX(Scenarios!AA$121:AA$200,MATCH($B590,Scenarios!$B$121:$B$200,0))</f>
        <v>0</v>
      </c>
      <c r="AB590" s="476">
        <f>INDEX(Input!$1:$1048576,AB$93,$C590*2+MIN($B590,2)+5)</f>
        <v>0.27</v>
      </c>
      <c r="AC590" s="475">
        <f>INDEX(Input!$1:$1048576,AC$93,$C590*2+MIN($B590,2)+5)
+INDEX(Scenarios!AC$121:AC$200,MATCH($B590,Scenarios!$B$121:$B$200,0))</f>
        <v>0</v>
      </c>
      <c r="AD590" s="476">
        <f>INDEX(Input!$1:$1048576,AD$93,$C590*2+MIN($B590,2)+5)</f>
        <v>0.27</v>
      </c>
      <c r="AE590" s="475">
        <f>INDEX(Input!$1:$1048576,AE$93,$C590*2+MIN($B590,2)+5)
+INDEX(Scenarios!AE$121:AE$200,MATCH($B590,Scenarios!$B$121:$B$200,0))</f>
        <v>0</v>
      </c>
      <c r="AF590" s="476">
        <f>INDEX(Input!$1:$1048576,AF$93,$C590*2+MIN($B590,2)+5)</f>
        <v>0.2</v>
      </c>
      <c r="AG590" s="475">
        <f>INDEX(Input!$1:$1048576,AG$93,$C590*2+MIN($B590,2)+5)
+INDEX(Scenarios!AG$121:AG$200,MATCH($B590,Scenarios!$B$121:$B$200,0))</f>
        <v>500</v>
      </c>
      <c r="AH590" s="476">
        <f>INDEX(Input!$1:$1048576,AH$93,$C590*2+MIN($B590,2)+5)</f>
        <v>1</v>
      </c>
      <c r="AI590" s="475">
        <f>INDEX(Input!$1:$1048576,AI$93,$C590*2+MIN($B590,2)+5)
+INDEX(Scenarios!AI$121:AI$200,MATCH($B590,Scenarios!$B$121:$B$200,0))</f>
        <v>0</v>
      </c>
      <c r="AJ590" s="476">
        <f>INDEX(Input!$1:$1048576,AJ$93,$C590*2+MIN($B590,2)+5)</f>
        <v>0.27</v>
      </c>
      <c r="AK590" s="150">
        <f>ROUND(INDEX(Input!$1:$1048576,AK$93,$C589*2+MIN($B590,1)+5)+(Y590-VLOOKUP($C590*1000+1,$A:$HH,Y$92,FALSE)),0)</f>
        <v>2587</v>
      </c>
      <c r="AL590" s="150">
        <f>ROUND(INDEX(Input!$1:$1048576,AL$93,$C589*2+MIN($B590,1)+5)-(Y590-VLOOKUP($C590*1000+1,$A:$HH,Y$92,FALSE))/36,0)</f>
        <v>3406</v>
      </c>
      <c r="AM590" s="32" t="str">
        <f t="shared" si="1653"/>
        <v>std/std/std/std</v>
      </c>
      <c r="AN590" s="32" t="str">
        <f t="shared" si="1654"/>
        <v>$0 + 0/0/0/1.9/3.9</v>
      </c>
      <c r="AO590" s="32" t="str">
        <f t="shared" si="1655"/>
        <v>0/0/0/1.9/3.9</v>
      </c>
      <c r="AP590" s="32" t="str">
        <f t="shared" si="1526"/>
        <v>0/0.9/1.9/3.9</v>
      </c>
      <c r="AQ590" s="536">
        <f t="shared" si="1525"/>
        <v>0</v>
      </c>
      <c r="AR590" s="32"/>
      <c r="AS590" s="302"/>
      <c r="AT590" s="3">
        <f t="shared" si="1629"/>
        <v>90</v>
      </c>
      <c r="AU590" s="41" t="s">
        <v>121</v>
      </c>
      <c r="AV590" s="41" t="s">
        <v>116</v>
      </c>
      <c r="AW590" s="41" t="str">
        <f>INDEX(Input!$1:$1048576,AW$93,$C590*2+6)</f>
        <v>Kia</v>
      </c>
      <c r="AX590" s="41" t="str">
        <f>INDEX(Input!$1:$1048576,AX$93,$C590*2+6)</f>
        <v>Kia-LR - R2</v>
      </c>
      <c r="AY590" s="41" t="str">
        <f>IF(LEN(D590)=0,"",INDEX(Input!$1:$1048576,AY$93,$C590*2+6))</f>
        <v/>
      </c>
      <c r="AZ590" s="41" t="str">
        <f>INDEX(Input!$1:$1048576,AZ$93,$C590*2+6)</f>
        <v>Kia Soul</v>
      </c>
      <c r="BA590" s="3">
        <f>INDEX(Input!$1:$1048576,BA$93,$C590*2+6)</f>
        <v>2020</v>
      </c>
      <c r="BB590" s="128">
        <f>INDEX(Input!$1:$1048576,BB$93,$C590*2+6)</f>
        <v>1</v>
      </c>
      <c r="BC590" s="128">
        <f>INDEX(Input!$1:$1048576,BC$93,$C590*2+6)</f>
        <v>0.7</v>
      </c>
      <c r="BD590" s="1">
        <f>INDEX(Input!$1:$1048576,BD$93,$C590*2+6)</f>
        <v>4.4999999999999998E-2</v>
      </c>
      <c r="BE590" s="1">
        <f>INDEX(Input!$1:$1048576,BE$93,$C590*2+6)</f>
        <v>4.4999999999999998E-2</v>
      </c>
      <c r="BF590" s="1">
        <f>INDEX(Input!$1:$1048576,BF$93,$C590*2+6)</f>
        <v>0.05</v>
      </c>
      <c r="BG590" s="1">
        <f>INDEX(Input!$1:$1048576,BG$93,$C590*2+6)</f>
        <v>5.45E-2</v>
      </c>
      <c r="BH590" s="1">
        <f>INDEX(Input!$1:$1048576,BH$93,$C590*2+6)</f>
        <v>5.45E-2</v>
      </c>
      <c r="BI590" s="1">
        <f>INDEX(Input!$1:$1048576,BI$93,$C590*2+6)</f>
        <v>0.05</v>
      </c>
      <c r="BJ590" s="1">
        <f>INDEX(Input!$1:$1048576,BJ$93,$C590*2+6)</f>
        <v>0.05</v>
      </c>
      <c r="BK590" s="1">
        <f>INDEX(Input!$1:$1048576,BK$93,$C590*2+6)</f>
        <v>0.05</v>
      </c>
      <c r="BL590" s="1">
        <f>INDEX(Input!$1:$1048576,BL$93,$C590*2+6)</f>
        <v>5.5E-2</v>
      </c>
      <c r="BM590" s="1">
        <f>INDEX(Input!$1:$1048576,BM$93,$C590*2+6)</f>
        <v>0.06</v>
      </c>
      <c r="BN590" s="1">
        <f>INDEX(Input!$1:$1048576,BN$93,$C590*2+6)</f>
        <v>4.4999999999999998E-2</v>
      </c>
      <c r="BO590" s="1">
        <f>INDEX(Input!$1:$1048576,BO$93,$C590*2+6)</f>
        <v>4.4999999999999998E-2</v>
      </c>
      <c r="BP590" s="1">
        <f>INDEX(Input!$1:$1048576,BP$93,$C590*2+6)</f>
        <v>0.05</v>
      </c>
      <c r="BQ590" s="1">
        <f>INDEX(Input!$1:$1048576,BQ$93,$C590*2+6)</f>
        <v>5.45E-2</v>
      </c>
      <c r="BR590" s="1">
        <f>INDEX(Input!$1:$1048576,BR$93,$C590*2+6)</f>
        <v>5.45E-2</v>
      </c>
      <c r="BS590" s="1">
        <f>INDEX(Input!$1:$1048576,BS$93,$C590*2+6)</f>
        <v>0.05</v>
      </c>
      <c r="BT590" s="1">
        <f>INDEX(Input!$1:$1048576,BT$93,$C590*2+6)</f>
        <v>0.05</v>
      </c>
      <c r="BU590" s="1">
        <f>INDEX(Input!$1:$1048576,BU$93,$C590*2+6)</f>
        <v>0.05</v>
      </c>
      <c r="BV590" s="1">
        <f>INDEX(Input!$1:$1048576,BV$93,$C590*2+6)</f>
        <v>5.5E-2</v>
      </c>
      <c r="BW590" s="1">
        <f>INDEX(Input!$1:$1048576,BW$93,$C590*2+6)</f>
        <v>0.06</v>
      </c>
      <c r="BX590" s="127">
        <f>INDEX(Input!$1:$1048576,BX$93,$C590*2+6)</f>
        <v>19985</v>
      </c>
      <c r="BY590" s="20">
        <f>INDEX(Input!$1:$1048576,BY$93,$C590*2+6)</f>
        <v>0.1</v>
      </c>
      <c r="BZ590" s="20">
        <f>INDEX(Input!$1:$1048576,BZ$93,$C590*2+6)</f>
        <v>0.1</v>
      </c>
      <c r="CA590" s="20">
        <f>INDEX(Input!$1:$1048576,CA$93,$C590*2+6)</f>
        <v>0.1</v>
      </c>
      <c r="CB590" s="20">
        <f>INDEX(Input!$1:$1048576,CB$93,$C590*2+6)</f>
        <v>0.1</v>
      </c>
      <c r="CC590" s="20">
        <f>INDEX(Input!$1:$1048576,CC$93,$C590*2+6)</f>
        <v>0.1</v>
      </c>
      <c r="CD590" s="384">
        <f>INDEX(Input!$1:$1048576,CD$93,$C590*2+6)</f>
        <v>0.1</v>
      </c>
      <c r="CE590" s="384">
        <f>INDEX(Input!$1:$1048576,CE$93,$C590*2+6)</f>
        <v>0.1</v>
      </c>
      <c r="CF590" s="384">
        <f>INDEX(Input!$1:$1048576,CF$93,$C590*2+6)</f>
        <v>0.1</v>
      </c>
      <c r="CG590" s="384">
        <f>INDEX(Input!$1:$1048576,CG$93,$C590*2+6)</f>
        <v>0.1</v>
      </c>
      <c r="CH590" s="384">
        <f>INDEX(Input!$1:$1048576,CH$93,$C590*2+6)</f>
        <v>0.1</v>
      </c>
      <c r="CI590" s="304">
        <f t="shared" si="1527"/>
        <v>1277.4263093788063</v>
      </c>
      <c r="CJ590" s="16" t="str">
        <f>INDEX(Input!$1:$1048576,CJ$93,$C590*2+6)</f>
        <v>N</v>
      </c>
      <c r="CK590" s="1" t="str">
        <f t="shared" si="1528"/>
        <v>Market</v>
      </c>
      <c r="CL590" s="1" t="str">
        <f t="shared" si="1529"/>
        <v>Market</v>
      </c>
      <c r="CM590" s="1" t="str">
        <f t="shared" si="1530"/>
        <v>Market</v>
      </c>
      <c r="CN590" s="1" t="str">
        <f t="shared" si="1531"/>
        <v>Market</v>
      </c>
      <c r="CO590" s="1" t="str">
        <f t="shared" si="1532"/>
        <v>Market</v>
      </c>
      <c r="CP590" s="304">
        <f t="shared" si="1533"/>
        <v>500</v>
      </c>
      <c r="CQ590" s="1">
        <f t="shared" si="1534"/>
        <v>0</v>
      </c>
      <c r="CR590" s="1">
        <f t="shared" si="1535"/>
        <v>0</v>
      </c>
      <c r="CS590" s="1">
        <f t="shared" si="1536"/>
        <v>0</v>
      </c>
      <c r="CT590" s="1">
        <f t="shared" si="1537"/>
        <v>1.9E-2</v>
      </c>
      <c r="CU590" s="1">
        <f t="shared" si="1538"/>
        <v>3.9E-2</v>
      </c>
      <c r="CV590" s="304">
        <f t="shared" si="1539"/>
        <v>-717.93641739252325</v>
      </c>
      <c r="CW590" s="20" t="s">
        <v>122</v>
      </c>
      <c r="CX590" s="20" t="s">
        <v>122</v>
      </c>
      <c r="CY590" s="20" t="s">
        <v>122</v>
      </c>
      <c r="CZ590" s="20" t="s">
        <v>122</v>
      </c>
      <c r="DA590" s="20" t="s">
        <v>122</v>
      </c>
      <c r="DB590" s="503">
        <f t="shared" si="1540"/>
        <v>0</v>
      </c>
      <c r="DC590" s="127">
        <v>0</v>
      </c>
      <c r="DD590" s="127">
        <v>0</v>
      </c>
      <c r="DE590" s="127">
        <v>0</v>
      </c>
      <c r="DF590" s="127">
        <v>0</v>
      </c>
      <c r="DG590" s="127">
        <v>0</v>
      </c>
      <c r="DH590" s="127">
        <v>0</v>
      </c>
      <c r="DI590" s="127">
        <v>0</v>
      </c>
      <c r="DJ590" s="127">
        <v>0</v>
      </c>
      <c r="DK590" s="127">
        <v>0</v>
      </c>
      <c r="DL590" s="127">
        <v>0</v>
      </c>
      <c r="DM590" s="304">
        <f>INDEX(Input!$1:$1048576,DM$93,$C590*2+6)</f>
        <v>21036.84210526316</v>
      </c>
      <c r="DN590" s="20">
        <v>0</v>
      </c>
      <c r="DO590" s="20">
        <v>0</v>
      </c>
      <c r="DP590" s="20">
        <v>0</v>
      </c>
      <c r="DQ590" s="20">
        <v>0</v>
      </c>
      <c r="DR590" s="20">
        <v>0</v>
      </c>
      <c r="DS590" s="20">
        <f>INDEX(Input!$1:$1048576,DS$93,$C590*2+6)</f>
        <v>0.6</v>
      </c>
      <c r="DT590" s="20">
        <f>INDEX(Input!$1:$1048576,DT$93,$C590*2+6)</f>
        <v>0.55000000000000004</v>
      </c>
      <c r="DU590" s="20">
        <f>INDEX(Input!$1:$1048576,DU$93,$C590*2+6)</f>
        <v>0.52</v>
      </c>
      <c r="DV590" s="20">
        <f>INDEX(Input!$1:$1048576,DV$93,$C590*2+6)</f>
        <v>0.5</v>
      </c>
      <c r="DW590" s="20">
        <f>INDEX(Input!$1:$1048576,DW$93,$C590*2+6)</f>
        <v>0.45</v>
      </c>
      <c r="DX590" s="20"/>
      <c r="DY590" s="7"/>
      <c r="DZ590" s="7"/>
      <c r="EA590" s="7"/>
      <c r="EB590" s="7"/>
      <c r="EC590" s="7"/>
      <c r="ED590" s="7"/>
      <c r="EE590" s="7"/>
      <c r="EF590" s="7"/>
      <c r="EG590" s="7"/>
      <c r="EH590" s="7"/>
      <c r="EI590" s="7"/>
      <c r="EJ590" s="7"/>
      <c r="EK590" s="7"/>
      <c r="EL590" s="7"/>
      <c r="EM590" s="7"/>
      <c r="EN590" s="7"/>
      <c r="EO590" s="7"/>
      <c r="EP590" s="7"/>
      <c r="EQ590" s="7"/>
      <c r="ER590" s="7"/>
      <c r="ES590" s="7"/>
      <c r="ET590" s="7"/>
      <c r="EU590" s="6"/>
      <c r="EV590" s="6"/>
      <c r="EW590" s="6"/>
      <c r="EX590" s="6"/>
      <c r="EY590" s="6"/>
      <c r="EZ590" s="6"/>
      <c r="FA590" s="6"/>
      <c r="FB590" s="6"/>
      <c r="FC590" s="6"/>
      <c r="FD590" s="6"/>
      <c r="FE590" s="6"/>
      <c r="FF590" s="6"/>
      <c r="FG590" s="6"/>
      <c r="FH590" s="6"/>
      <c r="FI590" s="6"/>
      <c r="FJ590" s="6"/>
      <c r="FK590" s="6"/>
      <c r="FL590" s="6"/>
      <c r="FM590" s="6"/>
      <c r="FN590" s="6"/>
      <c r="FO590" s="6"/>
      <c r="FP590" s="6"/>
      <c r="FQ590" s="6"/>
      <c r="FR590" s="6"/>
      <c r="FS590" s="6"/>
      <c r="FT590" s="7"/>
      <c r="FU590" s="7"/>
      <c r="FV590" s="7"/>
      <c r="FW590" s="6"/>
      <c r="FX590" s="6"/>
      <c r="FY590" s="6"/>
      <c r="FZ590" s="6"/>
      <c r="GA590" s="6"/>
      <c r="GB590" s="6"/>
      <c r="GC590" s="7"/>
      <c r="GD590" s="7"/>
      <c r="GE590" s="7"/>
      <c r="GF590" s="7"/>
      <c r="GG590" s="7"/>
      <c r="GH590" s="42"/>
      <c r="GI590" s="6"/>
      <c r="GJ590" s="14"/>
      <c r="GK590" s="14"/>
      <c r="GL590" s="14"/>
      <c r="GM590" s="14"/>
      <c r="GO590" s="5"/>
      <c r="GP590" s="5"/>
      <c r="GQ590" s="5"/>
      <c r="GR590" s="5"/>
      <c r="GS590" s="5"/>
      <c r="GT590" s="5"/>
      <c r="GU590" s="5"/>
      <c r="GV590" s="39"/>
      <c r="GW590" s="5"/>
      <c r="GX590" s="5"/>
      <c r="GY590" s="5"/>
      <c r="GZ590" s="5"/>
      <c r="HA590" s="5"/>
      <c r="HB590" s="39"/>
      <c r="HC590" s="5"/>
      <c r="HD590" s="5"/>
      <c r="HE590" s="5"/>
      <c r="HF590" s="5"/>
      <c r="HG590" s="5"/>
      <c r="HH590" s="39"/>
      <c r="HI590" s="16"/>
      <c r="HJ590" s="19"/>
      <c r="HK590" s="1"/>
      <c r="HL590" s="16"/>
      <c r="HM590" s="1"/>
      <c r="HN590" s="1"/>
      <c r="HO590" s="1"/>
      <c r="HP590" s="1"/>
      <c r="HQ590" s="1"/>
      <c r="HR590" s="1"/>
      <c r="HS590" s="1"/>
      <c r="HT590" s="1"/>
      <c r="HU590" s="1"/>
      <c r="HV590" s="1"/>
      <c r="HW590" s="1"/>
      <c r="HX590" s="1"/>
      <c r="HY590" s="1"/>
      <c r="HZ590" s="1"/>
      <c r="IA590" s="1"/>
      <c r="IB590" s="1"/>
      <c r="IC590" s="1"/>
      <c r="ID590" s="1"/>
      <c r="IE590" s="1"/>
      <c r="IF590" s="1"/>
      <c r="IG590" s="1"/>
      <c r="IH590" s="21"/>
      <c r="II590" s="19"/>
      <c r="IJ590" s="19"/>
      <c r="IK590" s="19"/>
      <c r="IL590" s="19"/>
      <c r="IM590" s="19"/>
      <c r="IN590" s="19"/>
      <c r="IO590" s="39"/>
      <c r="IP590" s="39"/>
      <c r="IQ590" s="39"/>
      <c r="IR590" s="39"/>
      <c r="IS590" s="39"/>
      <c r="IT590" s="39"/>
      <c r="IU590" s="39"/>
      <c r="IV590" s="39"/>
      <c r="IW590" s="39"/>
      <c r="IX590" s="39"/>
      <c r="IY590" s="39"/>
      <c r="IZ590" s="39"/>
      <c r="JA590" s="19"/>
      <c r="JB590" s="19"/>
      <c r="JC590" s="19"/>
      <c r="JD590" s="19"/>
      <c r="JE590" s="21"/>
      <c r="JF590" s="1"/>
      <c r="JG590" s="15"/>
      <c r="JH590" s="1"/>
      <c r="JI590" s="1"/>
      <c r="JJ590" s="1"/>
      <c r="JK590" s="1"/>
      <c r="JL590" s="15"/>
      <c r="JM590" s="15"/>
      <c r="JN590" s="21"/>
      <c r="JO590" s="19"/>
      <c r="JP590" s="19"/>
      <c r="JQ590" s="39"/>
      <c r="JR590" s="39"/>
      <c r="JS590" s="39"/>
      <c r="JT590" s="39"/>
      <c r="JU590" s="385"/>
      <c r="JV590" s="39"/>
      <c r="JW590" s="1"/>
      <c r="JX590" s="19"/>
      <c r="JZ590" s="341"/>
      <c r="KA590" s="342"/>
      <c r="KB590" s="469"/>
      <c r="KI590" s="473"/>
      <c r="KJ590" s="473"/>
      <c r="KK590" s="473"/>
    </row>
    <row r="591" spans="1:307" s="26" customFormat="1" ht="15" outlineLevel="1">
      <c r="A591" s="561">
        <f t="shared" si="1652"/>
        <v>5091</v>
      </c>
      <c r="B591" s="561">
        <f t="shared" si="1627"/>
        <v>91</v>
      </c>
      <c r="C591" s="561">
        <f t="shared" si="1628"/>
        <v>5</v>
      </c>
      <c r="D591" s="561" t="str">
        <f t="shared" si="1712"/>
        <v/>
      </c>
      <c r="E591" s="475">
        <f>INDEX(Input!$1:$1048576,E$93,$C591*2+MIN($B591,2)+5)
+INDEX(Scenarios!E$121:E$200,MATCH($B591,Scenarios!$B$121:$B$200,0))</f>
        <v>1277.4263093788063</v>
      </c>
      <c r="F591" s="475">
        <f>INDEX(Input!$1:$1048576,F$93,$C591*2+MIN($B591,2)+5)
+INDEX(Scenarios!F$121:F$200,MATCH($B591,Scenarios!$B$121:$B$200,0))</f>
        <v>0</v>
      </c>
      <c r="G591" s="475">
        <f>INDEX(Input!$1:$1048576,G$93,$C591*2+MIN($B591,2)+5)
+INDEX(Scenarios!G$121:G$200,MATCH($B591,Scenarios!$B$121:$B$200,0))</f>
        <v>0</v>
      </c>
      <c r="H591" s="475">
        <f>INDEX(Input!$1:$1048576,H$93,$C591*2+MIN($B591,2)+5)
+INDEX(Scenarios!H$121:H$200,MATCH($B591,Scenarios!$B$121:$B$200,0))</f>
        <v>0</v>
      </c>
      <c r="I591" s="476">
        <f>INDEX(Input!$1:$1048576,I$93,$C591*2+MIN($B591,2)+5)</f>
        <v>0.7</v>
      </c>
      <c r="J591" s="476" t="str">
        <f>INDEX(Input!$1:$1048576,J$93,$C591*2+MIN($B591,2)+5)</f>
        <v>Market</v>
      </c>
      <c r="K591" s="476" t="str">
        <f>INDEX(Input!$1:$1048576,K$93,$C591*2+MIN($B591,2)+5)</f>
        <v>Market</v>
      </c>
      <c r="L591" s="476" t="str">
        <f>INDEX(Input!$1:$1048576,L$93,$C591*2+MIN($B591,2)+5)</f>
        <v>Market</v>
      </c>
      <c r="M591" s="476" t="str">
        <f>INDEX(Input!$1:$1048576,M$93,$C591*2+MIN($B591,2)+5)</f>
        <v>Market</v>
      </c>
      <c r="N591" s="476" t="str">
        <f>INDEX(Input!$1:$1048576,N$93,$C591*2+MIN($B591,2)+5)</f>
        <v>Market</v>
      </c>
      <c r="O591" s="476" t="str">
        <f>INDEX(Input!$1:$1048576,O$93,$C591*2+MIN($B591,2)+5)</f>
        <v>Market</v>
      </c>
      <c r="P591" s="476" t="str">
        <f>INDEX(Input!$1:$1048576,P$93,$C591*2+MIN($B591,2)+5)</f>
        <v>N</v>
      </c>
      <c r="Q591" s="477">
        <f>INDEX(Input!$1:$1048576,Q$93,$C591*2+MIN($B591,2)+5)
+INDEX(Scenarios!Q$121:Q$200,MATCH($B591,Scenarios!$B$121:$B$200,0))</f>
        <v>0</v>
      </c>
      <c r="R591" s="478">
        <f>IFERROR(MAX(0,INDEX(Input!$1:$1048576,R$93,$C591*2+MIN($B591,2)+5)
+INDEX(Scenarios!R$121:R$200,MATCH($B591,Scenarios!$B$121:$B$200,0)),),"Market")</f>
        <v>0</v>
      </c>
      <c r="S591" s="478">
        <f>IFERROR(MAX(0,INDEX(Input!$1:$1048576,S$93,$C591*2+MIN($B591,2)+5)
+INDEX(Scenarios!S$121:S$200,MATCH($B591,Scenarios!$B$121:$B$200,0)),),"Market")</f>
        <v>0</v>
      </c>
      <c r="T591" s="478">
        <f>IFERROR(MAX(0,INDEX(Input!$1:$1048576,T$93,$C591*2+MIN($B591,2)+5)
+INDEX(Scenarios!T$121:T$200,MATCH($B591,Scenarios!$B$121:$B$200,0)),),"Market")</f>
        <v>0</v>
      </c>
      <c r="U591" s="478">
        <f>IFERROR(MAX(0,INDEX(Input!$1:$1048576,U$93,$C591*2+MIN($B591,2)+5)
+INDEX(Scenarios!U$121:U$200,MATCH($B591,Scenarios!$B$121:$B$200,0)),),"Market")</f>
        <v>0</v>
      </c>
      <c r="V591" s="478">
        <f>IFERROR(MAX(0,INDEX(Input!$1:$1048576,V$93,$C591*2+MIN($B591,2)+5)
+INDEX(Scenarios!V$121:V$200,MATCH($B591,Scenarios!$B$121:$B$200,0)),),"Market")</f>
        <v>1.9E-2</v>
      </c>
      <c r="W591" s="885">
        <f>IFERROR(MAX(0,INDEX(Input!$1:$1048576,W$93,$C591*2+MIN($B591,2)+5)-0%,),"Market")</f>
        <v>3.9E-2</v>
      </c>
      <c r="X591" s="476" t="str">
        <f>INDEX(Input!$1:$1048576,X$93,$C591*2+MIN($B591,2)+5)</f>
        <v>Y</v>
      </c>
      <c r="Y591" s="475">
        <f>INDEX(Input!$1:$1048576,Y$93,$C591*2+MIN($B591,2)+5)
++INDEX(Scenarios!Y$121:Y$200,MATCH($B591,Scenarios!$B$121:$B$200,0))</f>
        <v>-717.93641739252325</v>
      </c>
      <c r="Z591" s="477">
        <f>INDEX(Input!$1:$1048576,Z$93,$C591*2+MIN($B591,2)+5)
+INDEX(Scenarios!Z$121:Z$200,MATCH($B591,Scenarios!$B$121:$B$200,0))</f>
        <v>0</v>
      </c>
      <c r="AA591" s="475">
        <f>INDEX(Input!$1:$1048576,AA$93,$C591*2+MIN($B591,2)+5)
+INDEX(Scenarios!AA$121:AA$200,MATCH($B591,Scenarios!$B$121:$B$200,0))</f>
        <v>0</v>
      </c>
      <c r="AB591" s="476">
        <f>INDEX(Input!$1:$1048576,AB$93,$C591*2+MIN($B591,2)+5)</f>
        <v>0.27</v>
      </c>
      <c r="AC591" s="475">
        <f>INDEX(Input!$1:$1048576,AC$93,$C591*2+MIN($B591,2)+5)
+INDEX(Scenarios!AC$121:AC$200,MATCH($B591,Scenarios!$B$121:$B$200,0))</f>
        <v>0</v>
      </c>
      <c r="AD591" s="476">
        <f>INDEX(Input!$1:$1048576,AD$93,$C591*2+MIN($B591,2)+5)</f>
        <v>0.27</v>
      </c>
      <c r="AE591" s="475">
        <f>INDEX(Input!$1:$1048576,AE$93,$C591*2+MIN($B591,2)+5)
+INDEX(Scenarios!AE$121:AE$200,MATCH($B591,Scenarios!$B$121:$B$200,0))</f>
        <v>0</v>
      </c>
      <c r="AF591" s="476">
        <f>INDEX(Input!$1:$1048576,AF$93,$C591*2+MIN($B591,2)+5)</f>
        <v>0.2</v>
      </c>
      <c r="AG591" s="475">
        <f>INDEX(Input!$1:$1048576,AG$93,$C591*2+MIN($B591,2)+5)
+INDEX(Scenarios!AG$121:AG$200,MATCH($B591,Scenarios!$B$121:$B$200,0))</f>
        <v>500</v>
      </c>
      <c r="AH591" s="476">
        <f>INDEX(Input!$1:$1048576,AH$93,$C591*2+MIN($B591,2)+5)</f>
        <v>1</v>
      </c>
      <c r="AI591" s="475">
        <f>INDEX(Input!$1:$1048576,AI$93,$C591*2+MIN($B591,2)+5)
+INDEX(Scenarios!AI$121:AI$200,MATCH($B591,Scenarios!$B$121:$B$200,0))</f>
        <v>0</v>
      </c>
      <c r="AJ591" s="476">
        <f>INDEX(Input!$1:$1048576,AJ$93,$C591*2+MIN($B591,2)+5)</f>
        <v>0.27</v>
      </c>
      <c r="AK591" s="150">
        <f>ROUND(INDEX(Input!$1:$1048576,AK$93,$C590*2+MIN($B591,1)+5)+(Y591-VLOOKUP($C591*1000+1,$A:$HH,Y$92,FALSE)),0)</f>
        <v>2587</v>
      </c>
      <c r="AL591" s="150">
        <f>ROUND(INDEX(Input!$1:$1048576,AL$93,$C590*2+MIN($B591,1)+5)-(Y591-VLOOKUP($C591*1000+1,$A:$HH,Y$92,FALSE))/36,0)</f>
        <v>3406</v>
      </c>
      <c r="AM591" s="32" t="str">
        <f t="shared" si="1653"/>
        <v>std/std/std/std</v>
      </c>
      <c r="AN591" s="32" t="str">
        <f t="shared" si="1654"/>
        <v>$0 + 0/0/0/1.9/3.9</v>
      </c>
      <c r="AO591" s="32" t="str">
        <f t="shared" si="1655"/>
        <v>0/0/0/1.9/3.9</v>
      </c>
      <c r="AP591" s="32" t="str">
        <f t="shared" si="1526"/>
        <v>0/0.9/1.9/3.9</v>
      </c>
      <c r="AQ591" s="536">
        <f t="shared" si="1525"/>
        <v>0</v>
      </c>
      <c r="AR591" s="32"/>
      <c r="AS591" s="302"/>
      <c r="AT591" s="3">
        <f t="shared" si="1629"/>
        <v>91</v>
      </c>
      <c r="AU591" s="41" t="s">
        <v>121</v>
      </c>
      <c r="AV591" s="41" t="s">
        <v>116</v>
      </c>
      <c r="AW591" s="41" t="str">
        <f>INDEX(Input!$1:$1048576,AW$93,$C591*2+6)</f>
        <v>Kia</v>
      </c>
      <c r="AX591" s="41" t="str">
        <f>INDEX(Input!$1:$1048576,AX$93,$C591*2+6)</f>
        <v>Kia-LR - R2</v>
      </c>
      <c r="AY591" s="41" t="str">
        <f>IF(LEN(D591)=0,"",INDEX(Input!$1:$1048576,AY$93,$C591*2+6))</f>
        <v/>
      </c>
      <c r="AZ591" s="41" t="str">
        <f>INDEX(Input!$1:$1048576,AZ$93,$C591*2+6)</f>
        <v>Kia Soul</v>
      </c>
      <c r="BA591" s="3">
        <f>INDEX(Input!$1:$1048576,BA$93,$C591*2+6)</f>
        <v>2020</v>
      </c>
      <c r="BB591" s="128">
        <f>INDEX(Input!$1:$1048576,BB$93,$C591*2+6)</f>
        <v>1</v>
      </c>
      <c r="BC591" s="128">
        <f>INDEX(Input!$1:$1048576,BC$93,$C591*2+6)</f>
        <v>0.7</v>
      </c>
      <c r="BD591" s="1">
        <f>INDEX(Input!$1:$1048576,BD$93,$C591*2+6)</f>
        <v>4.4999999999999998E-2</v>
      </c>
      <c r="BE591" s="1">
        <f>INDEX(Input!$1:$1048576,BE$93,$C591*2+6)</f>
        <v>4.4999999999999998E-2</v>
      </c>
      <c r="BF591" s="1">
        <f>INDEX(Input!$1:$1048576,BF$93,$C591*2+6)</f>
        <v>0.05</v>
      </c>
      <c r="BG591" s="1">
        <f>INDEX(Input!$1:$1048576,BG$93,$C591*2+6)</f>
        <v>5.45E-2</v>
      </c>
      <c r="BH591" s="1">
        <f>INDEX(Input!$1:$1048576,BH$93,$C591*2+6)</f>
        <v>5.45E-2</v>
      </c>
      <c r="BI591" s="1">
        <f>INDEX(Input!$1:$1048576,BI$93,$C591*2+6)</f>
        <v>0.05</v>
      </c>
      <c r="BJ591" s="1">
        <f>INDEX(Input!$1:$1048576,BJ$93,$C591*2+6)</f>
        <v>0.05</v>
      </c>
      <c r="BK591" s="1">
        <f>INDEX(Input!$1:$1048576,BK$93,$C591*2+6)</f>
        <v>0.05</v>
      </c>
      <c r="BL591" s="1">
        <f>INDEX(Input!$1:$1048576,BL$93,$C591*2+6)</f>
        <v>5.5E-2</v>
      </c>
      <c r="BM591" s="1">
        <f>INDEX(Input!$1:$1048576,BM$93,$C591*2+6)</f>
        <v>0.06</v>
      </c>
      <c r="BN591" s="1">
        <f>INDEX(Input!$1:$1048576,BN$93,$C591*2+6)</f>
        <v>4.4999999999999998E-2</v>
      </c>
      <c r="BO591" s="1">
        <f>INDEX(Input!$1:$1048576,BO$93,$C591*2+6)</f>
        <v>4.4999999999999998E-2</v>
      </c>
      <c r="BP591" s="1">
        <f>INDEX(Input!$1:$1048576,BP$93,$C591*2+6)</f>
        <v>0.05</v>
      </c>
      <c r="BQ591" s="1">
        <f>INDEX(Input!$1:$1048576,BQ$93,$C591*2+6)</f>
        <v>5.45E-2</v>
      </c>
      <c r="BR591" s="1">
        <f>INDEX(Input!$1:$1048576,BR$93,$C591*2+6)</f>
        <v>5.45E-2</v>
      </c>
      <c r="BS591" s="1">
        <f>INDEX(Input!$1:$1048576,BS$93,$C591*2+6)</f>
        <v>0.05</v>
      </c>
      <c r="BT591" s="1">
        <f>INDEX(Input!$1:$1048576,BT$93,$C591*2+6)</f>
        <v>0.05</v>
      </c>
      <c r="BU591" s="1">
        <f>INDEX(Input!$1:$1048576,BU$93,$C591*2+6)</f>
        <v>0.05</v>
      </c>
      <c r="BV591" s="1">
        <f>INDEX(Input!$1:$1048576,BV$93,$C591*2+6)</f>
        <v>5.5E-2</v>
      </c>
      <c r="BW591" s="1">
        <f>INDEX(Input!$1:$1048576,BW$93,$C591*2+6)</f>
        <v>0.06</v>
      </c>
      <c r="BX591" s="127">
        <f>INDEX(Input!$1:$1048576,BX$93,$C591*2+6)</f>
        <v>19985</v>
      </c>
      <c r="BY591" s="20">
        <f>INDEX(Input!$1:$1048576,BY$93,$C591*2+6)</f>
        <v>0.1</v>
      </c>
      <c r="BZ591" s="20">
        <f>INDEX(Input!$1:$1048576,BZ$93,$C591*2+6)</f>
        <v>0.1</v>
      </c>
      <c r="CA591" s="20">
        <f>INDEX(Input!$1:$1048576,CA$93,$C591*2+6)</f>
        <v>0.1</v>
      </c>
      <c r="CB591" s="20">
        <f>INDEX(Input!$1:$1048576,CB$93,$C591*2+6)</f>
        <v>0.1</v>
      </c>
      <c r="CC591" s="20">
        <f>INDEX(Input!$1:$1048576,CC$93,$C591*2+6)</f>
        <v>0.1</v>
      </c>
      <c r="CD591" s="384">
        <f>INDEX(Input!$1:$1048576,CD$93,$C591*2+6)</f>
        <v>0.1</v>
      </c>
      <c r="CE591" s="384">
        <f>INDEX(Input!$1:$1048576,CE$93,$C591*2+6)</f>
        <v>0.1</v>
      </c>
      <c r="CF591" s="384">
        <f>INDEX(Input!$1:$1048576,CF$93,$C591*2+6)</f>
        <v>0.1</v>
      </c>
      <c r="CG591" s="384">
        <f>INDEX(Input!$1:$1048576,CG$93,$C591*2+6)</f>
        <v>0.1</v>
      </c>
      <c r="CH591" s="384">
        <f>INDEX(Input!$1:$1048576,CH$93,$C591*2+6)</f>
        <v>0.1</v>
      </c>
      <c r="CI591" s="304">
        <f t="shared" si="1527"/>
        <v>1277.4263093788063</v>
      </c>
      <c r="CJ591" s="16" t="str">
        <f>INDEX(Input!$1:$1048576,CJ$93,$C591*2+6)</f>
        <v>N</v>
      </c>
      <c r="CK591" s="1" t="str">
        <f t="shared" si="1528"/>
        <v>Market</v>
      </c>
      <c r="CL591" s="1" t="str">
        <f t="shared" si="1529"/>
        <v>Market</v>
      </c>
      <c r="CM591" s="1" t="str">
        <f t="shared" si="1530"/>
        <v>Market</v>
      </c>
      <c r="CN591" s="1" t="str">
        <f t="shared" si="1531"/>
        <v>Market</v>
      </c>
      <c r="CO591" s="1" t="str">
        <f t="shared" si="1532"/>
        <v>Market</v>
      </c>
      <c r="CP591" s="304">
        <f t="shared" si="1533"/>
        <v>500</v>
      </c>
      <c r="CQ591" s="1">
        <f t="shared" si="1534"/>
        <v>0</v>
      </c>
      <c r="CR591" s="1">
        <f t="shared" si="1535"/>
        <v>0</v>
      </c>
      <c r="CS591" s="1">
        <f t="shared" si="1536"/>
        <v>0</v>
      </c>
      <c r="CT591" s="1">
        <f t="shared" si="1537"/>
        <v>1.9E-2</v>
      </c>
      <c r="CU591" s="1">
        <f t="shared" si="1538"/>
        <v>3.9E-2</v>
      </c>
      <c r="CV591" s="304">
        <f t="shared" si="1539"/>
        <v>-717.93641739252325</v>
      </c>
      <c r="CW591" s="20" t="s">
        <v>122</v>
      </c>
      <c r="CX591" s="20" t="s">
        <v>122</v>
      </c>
      <c r="CY591" s="20" t="s">
        <v>122</v>
      </c>
      <c r="CZ591" s="20" t="s">
        <v>122</v>
      </c>
      <c r="DA591" s="20" t="s">
        <v>122</v>
      </c>
      <c r="DB591" s="503">
        <f t="shared" si="1540"/>
        <v>0</v>
      </c>
      <c r="DC591" s="127">
        <v>0</v>
      </c>
      <c r="DD591" s="127">
        <v>0</v>
      </c>
      <c r="DE591" s="127">
        <v>0</v>
      </c>
      <c r="DF591" s="127">
        <v>0</v>
      </c>
      <c r="DG591" s="127">
        <v>0</v>
      </c>
      <c r="DH591" s="127">
        <v>0</v>
      </c>
      <c r="DI591" s="127">
        <v>0</v>
      </c>
      <c r="DJ591" s="127">
        <v>0</v>
      </c>
      <c r="DK591" s="127">
        <v>0</v>
      </c>
      <c r="DL591" s="127">
        <v>0</v>
      </c>
      <c r="DM591" s="304">
        <f>INDEX(Input!$1:$1048576,DM$93,$C591*2+6)</f>
        <v>21036.84210526316</v>
      </c>
      <c r="DN591" s="20">
        <v>0</v>
      </c>
      <c r="DO591" s="20">
        <v>0</v>
      </c>
      <c r="DP591" s="20">
        <v>0</v>
      </c>
      <c r="DQ591" s="20">
        <v>0</v>
      </c>
      <c r="DR591" s="20">
        <v>0</v>
      </c>
      <c r="DS591" s="20">
        <f>INDEX(Input!$1:$1048576,DS$93,$C591*2+6)</f>
        <v>0.6</v>
      </c>
      <c r="DT591" s="20">
        <f>INDEX(Input!$1:$1048576,DT$93,$C591*2+6)</f>
        <v>0.55000000000000004</v>
      </c>
      <c r="DU591" s="20">
        <f>INDEX(Input!$1:$1048576,DU$93,$C591*2+6)</f>
        <v>0.52</v>
      </c>
      <c r="DV591" s="20">
        <f>INDEX(Input!$1:$1048576,DV$93,$C591*2+6)</f>
        <v>0.5</v>
      </c>
      <c r="DW591" s="20">
        <f>INDEX(Input!$1:$1048576,DW$93,$C591*2+6)</f>
        <v>0.45</v>
      </c>
      <c r="DX591" s="20"/>
      <c r="DY591" s="7"/>
      <c r="DZ591" s="7"/>
      <c r="EA591" s="7"/>
      <c r="EB591" s="7"/>
      <c r="EC591" s="7"/>
      <c r="ED591" s="7"/>
      <c r="EE591" s="7"/>
      <c r="EF591" s="7"/>
      <c r="EG591" s="7"/>
      <c r="EH591" s="7"/>
      <c r="EI591" s="7"/>
      <c r="EJ591" s="7"/>
      <c r="EK591" s="7"/>
      <c r="EL591" s="7"/>
      <c r="EM591" s="7"/>
      <c r="EN591" s="7"/>
      <c r="EO591" s="7"/>
      <c r="EP591" s="7"/>
      <c r="EQ591" s="7"/>
      <c r="ER591" s="7"/>
      <c r="ES591" s="7"/>
      <c r="ET591" s="7"/>
      <c r="EU591" s="6"/>
      <c r="EV591" s="6"/>
      <c r="EW591" s="6"/>
      <c r="EX591" s="6"/>
      <c r="EY591" s="6"/>
      <c r="EZ591" s="6"/>
      <c r="FA591" s="6"/>
      <c r="FB591" s="6"/>
      <c r="FC591" s="6"/>
      <c r="FD591" s="6"/>
      <c r="FE591" s="6"/>
      <c r="FF591" s="6"/>
      <c r="FG591" s="6"/>
      <c r="FH591" s="6"/>
      <c r="FI591" s="6"/>
      <c r="FJ591" s="6"/>
      <c r="FK591" s="6"/>
      <c r="FL591" s="6"/>
      <c r="FM591" s="6"/>
      <c r="FN591" s="6"/>
      <c r="FO591" s="6"/>
      <c r="FP591" s="6"/>
      <c r="FQ591" s="6"/>
      <c r="FR591" s="6"/>
      <c r="FS591" s="6"/>
      <c r="FT591" s="7"/>
      <c r="FU591" s="7"/>
      <c r="FV591" s="7"/>
      <c r="FW591" s="6"/>
      <c r="FX591" s="6"/>
      <c r="FY591" s="6"/>
      <c r="FZ591" s="6"/>
      <c r="GA591" s="6"/>
      <c r="GB591" s="6"/>
      <c r="GC591" s="7"/>
      <c r="GD591" s="7"/>
      <c r="GE591" s="7"/>
      <c r="GF591" s="7"/>
      <c r="GG591" s="7"/>
      <c r="GH591" s="42"/>
      <c r="GI591" s="6"/>
      <c r="GJ591" s="14"/>
      <c r="GK591" s="14"/>
      <c r="GL591" s="14"/>
      <c r="GM591" s="14"/>
      <c r="GO591" s="5"/>
      <c r="GP591" s="5"/>
      <c r="GQ591" s="5"/>
      <c r="GR591" s="5"/>
      <c r="GS591" s="5"/>
      <c r="GT591" s="5"/>
      <c r="GU591" s="5"/>
      <c r="GV591" s="39"/>
      <c r="GW591" s="5"/>
      <c r="GX591" s="5"/>
      <c r="GY591" s="5"/>
      <c r="GZ591" s="5"/>
      <c r="HA591" s="5"/>
      <c r="HB591" s="39"/>
      <c r="HC591" s="5"/>
      <c r="HD591" s="5"/>
      <c r="HE591" s="5"/>
      <c r="HF591" s="5"/>
      <c r="HG591" s="5"/>
      <c r="HH591" s="39"/>
      <c r="HI591" s="16"/>
      <c r="HJ591" s="19"/>
      <c r="HK591" s="1"/>
      <c r="HL591" s="16"/>
      <c r="HM591" s="1"/>
      <c r="HN591" s="1"/>
      <c r="HO591" s="1"/>
      <c r="HP591" s="1"/>
      <c r="HQ591" s="1"/>
      <c r="HR591" s="1"/>
      <c r="HS591" s="1"/>
      <c r="HT591" s="1"/>
      <c r="HU591" s="1"/>
      <c r="HV591" s="1"/>
      <c r="HW591" s="1"/>
      <c r="HX591" s="1"/>
      <c r="HY591" s="1"/>
      <c r="HZ591" s="1"/>
      <c r="IA591" s="1"/>
      <c r="IB591" s="1"/>
      <c r="IC591" s="1"/>
      <c r="ID591" s="1"/>
      <c r="IE591" s="1"/>
      <c r="IF591" s="1"/>
      <c r="IG591" s="1"/>
      <c r="IH591" s="21"/>
      <c r="II591" s="19"/>
      <c r="IJ591" s="19"/>
      <c r="IK591" s="19"/>
      <c r="IL591" s="19"/>
      <c r="IM591" s="19"/>
      <c r="IN591" s="19"/>
      <c r="IO591" s="39"/>
      <c r="IP591" s="39"/>
      <c r="IQ591" s="39"/>
      <c r="IR591" s="39"/>
      <c r="IS591" s="39"/>
      <c r="IT591" s="39"/>
      <c r="IU591" s="39"/>
      <c r="IV591" s="39"/>
      <c r="IW591" s="39"/>
      <c r="IX591" s="39"/>
      <c r="IY591" s="39"/>
      <c r="IZ591" s="39"/>
      <c r="JA591" s="19"/>
      <c r="JB591" s="19"/>
      <c r="JC591" s="19"/>
      <c r="JD591" s="19"/>
      <c r="JE591" s="21"/>
      <c r="JF591" s="1"/>
      <c r="JG591" s="15"/>
      <c r="JH591" s="1"/>
      <c r="JI591" s="1"/>
      <c r="JJ591" s="1"/>
      <c r="JK591" s="1"/>
      <c r="JL591" s="15"/>
      <c r="JM591" s="15"/>
      <c r="JN591" s="21"/>
      <c r="JO591" s="19"/>
      <c r="JP591" s="19"/>
      <c r="JQ591" s="39"/>
      <c r="JR591" s="39"/>
      <c r="JS591" s="39"/>
      <c r="JT591" s="39"/>
      <c r="JU591" s="385"/>
      <c r="JV591" s="39"/>
      <c r="JW591" s="1"/>
      <c r="JX591" s="19"/>
      <c r="JZ591" s="341"/>
      <c r="KA591" s="342"/>
      <c r="KB591" s="469"/>
      <c r="KI591" s="473"/>
      <c r="KJ591" s="473"/>
      <c r="KK591" s="473"/>
    </row>
    <row r="592" spans="1:307" s="26" customFormat="1" ht="15" outlineLevel="1">
      <c r="A592" s="561">
        <f t="shared" si="1652"/>
        <v>5092</v>
      </c>
      <c r="B592" s="561">
        <f t="shared" si="1627"/>
        <v>92</v>
      </c>
      <c r="C592" s="561">
        <f t="shared" si="1628"/>
        <v>5</v>
      </c>
      <c r="D592" s="561" t="str">
        <f t="shared" si="1712"/>
        <v/>
      </c>
      <c r="E592" s="475">
        <f>INDEX(Input!$1:$1048576,E$93,$C592*2+MIN($B592,2)+5)
+INDEX(Scenarios!E$121:E$200,MATCH($B592,Scenarios!$B$121:$B$200,0))</f>
        <v>1277.4263093788063</v>
      </c>
      <c r="F592" s="475">
        <f>INDEX(Input!$1:$1048576,F$93,$C592*2+MIN($B592,2)+5)
+INDEX(Scenarios!F$121:F$200,MATCH($B592,Scenarios!$B$121:$B$200,0))</f>
        <v>0</v>
      </c>
      <c r="G592" s="475">
        <f>INDEX(Input!$1:$1048576,G$93,$C592*2+MIN($B592,2)+5)
+INDEX(Scenarios!G$121:G$200,MATCH($B592,Scenarios!$B$121:$B$200,0))</f>
        <v>0</v>
      </c>
      <c r="H592" s="475">
        <f>INDEX(Input!$1:$1048576,H$93,$C592*2+MIN($B592,2)+5)
+INDEX(Scenarios!H$121:H$200,MATCH($B592,Scenarios!$B$121:$B$200,0))</f>
        <v>0</v>
      </c>
      <c r="I592" s="476">
        <f>INDEX(Input!$1:$1048576,I$93,$C592*2+MIN($B592,2)+5)</f>
        <v>0.7</v>
      </c>
      <c r="J592" s="476" t="str">
        <f>INDEX(Input!$1:$1048576,J$93,$C592*2+MIN($B592,2)+5)</f>
        <v>Market</v>
      </c>
      <c r="K592" s="476" t="str">
        <f>INDEX(Input!$1:$1048576,K$93,$C592*2+MIN($B592,2)+5)</f>
        <v>Market</v>
      </c>
      <c r="L592" s="476" t="str">
        <f>INDEX(Input!$1:$1048576,L$93,$C592*2+MIN($B592,2)+5)</f>
        <v>Market</v>
      </c>
      <c r="M592" s="476" t="str">
        <f>INDEX(Input!$1:$1048576,M$93,$C592*2+MIN($B592,2)+5)</f>
        <v>Market</v>
      </c>
      <c r="N592" s="476" t="str">
        <f>INDEX(Input!$1:$1048576,N$93,$C592*2+MIN($B592,2)+5)</f>
        <v>Market</v>
      </c>
      <c r="O592" s="476" t="str">
        <f>INDEX(Input!$1:$1048576,O$93,$C592*2+MIN($B592,2)+5)</f>
        <v>Market</v>
      </c>
      <c r="P592" s="476" t="str">
        <f>INDEX(Input!$1:$1048576,P$93,$C592*2+MIN($B592,2)+5)</f>
        <v>N</v>
      </c>
      <c r="Q592" s="477">
        <f>INDEX(Input!$1:$1048576,Q$93,$C592*2+MIN($B592,2)+5)
+INDEX(Scenarios!Q$121:Q$200,MATCH($B592,Scenarios!$B$121:$B$200,0))</f>
        <v>0</v>
      </c>
      <c r="R592" s="478">
        <f>IFERROR(MAX(0,INDEX(Input!$1:$1048576,R$93,$C592*2+MIN($B592,2)+5)
+INDEX(Scenarios!R$121:R$200,MATCH($B592,Scenarios!$B$121:$B$200,0)),),"Market")</f>
        <v>0</v>
      </c>
      <c r="S592" s="478">
        <f>IFERROR(MAX(0,INDEX(Input!$1:$1048576,S$93,$C592*2+MIN($B592,2)+5)
+INDEX(Scenarios!S$121:S$200,MATCH($B592,Scenarios!$B$121:$B$200,0)),),"Market")</f>
        <v>0</v>
      </c>
      <c r="T592" s="478">
        <f>IFERROR(MAX(0,INDEX(Input!$1:$1048576,T$93,$C592*2+MIN($B592,2)+5)
+INDEX(Scenarios!T$121:T$200,MATCH($B592,Scenarios!$B$121:$B$200,0)),),"Market")</f>
        <v>0</v>
      </c>
      <c r="U592" s="478">
        <f>IFERROR(MAX(0,INDEX(Input!$1:$1048576,U$93,$C592*2+MIN($B592,2)+5)
+INDEX(Scenarios!U$121:U$200,MATCH($B592,Scenarios!$B$121:$B$200,0)),),"Market")</f>
        <v>0</v>
      </c>
      <c r="V592" s="478">
        <f>IFERROR(MAX(0,INDEX(Input!$1:$1048576,V$93,$C592*2+MIN($B592,2)+5)
+INDEX(Scenarios!V$121:V$200,MATCH($B592,Scenarios!$B$121:$B$200,0)),),"Market")</f>
        <v>1.9E-2</v>
      </c>
      <c r="W592" s="885">
        <f>IFERROR(MAX(0,INDEX(Input!$1:$1048576,W$93,$C592*2+MIN($B592,2)+5)-0%,),"Market")</f>
        <v>3.9E-2</v>
      </c>
      <c r="X592" s="476" t="str">
        <f>INDEX(Input!$1:$1048576,X$93,$C592*2+MIN($B592,2)+5)</f>
        <v>Y</v>
      </c>
      <c r="Y592" s="475">
        <f>INDEX(Input!$1:$1048576,Y$93,$C592*2+MIN($B592,2)+5)
++INDEX(Scenarios!Y$121:Y$200,MATCH($B592,Scenarios!$B$121:$B$200,0))</f>
        <v>-717.93641739252325</v>
      </c>
      <c r="Z592" s="477">
        <f>INDEX(Input!$1:$1048576,Z$93,$C592*2+MIN($B592,2)+5)
+INDEX(Scenarios!Z$121:Z$200,MATCH($B592,Scenarios!$B$121:$B$200,0))</f>
        <v>0</v>
      </c>
      <c r="AA592" s="475">
        <f>INDEX(Input!$1:$1048576,AA$93,$C592*2+MIN($B592,2)+5)
+INDEX(Scenarios!AA$121:AA$200,MATCH($B592,Scenarios!$B$121:$B$200,0))</f>
        <v>0</v>
      </c>
      <c r="AB592" s="476">
        <f>INDEX(Input!$1:$1048576,AB$93,$C592*2+MIN($B592,2)+5)</f>
        <v>0.27</v>
      </c>
      <c r="AC592" s="475">
        <f>INDEX(Input!$1:$1048576,AC$93,$C592*2+MIN($B592,2)+5)
+INDEX(Scenarios!AC$121:AC$200,MATCH($B592,Scenarios!$B$121:$B$200,0))</f>
        <v>0</v>
      </c>
      <c r="AD592" s="476">
        <f>INDEX(Input!$1:$1048576,AD$93,$C592*2+MIN($B592,2)+5)</f>
        <v>0.27</v>
      </c>
      <c r="AE592" s="475">
        <f>INDEX(Input!$1:$1048576,AE$93,$C592*2+MIN($B592,2)+5)
+INDEX(Scenarios!AE$121:AE$200,MATCH($B592,Scenarios!$B$121:$B$200,0))</f>
        <v>0</v>
      </c>
      <c r="AF592" s="476">
        <f>INDEX(Input!$1:$1048576,AF$93,$C592*2+MIN($B592,2)+5)</f>
        <v>0.2</v>
      </c>
      <c r="AG592" s="475">
        <f>INDEX(Input!$1:$1048576,AG$93,$C592*2+MIN($B592,2)+5)
+INDEX(Scenarios!AG$121:AG$200,MATCH($B592,Scenarios!$B$121:$B$200,0))</f>
        <v>500</v>
      </c>
      <c r="AH592" s="476">
        <f>INDEX(Input!$1:$1048576,AH$93,$C592*2+MIN($B592,2)+5)</f>
        <v>1</v>
      </c>
      <c r="AI592" s="475">
        <f>INDEX(Input!$1:$1048576,AI$93,$C592*2+MIN($B592,2)+5)
+INDEX(Scenarios!AI$121:AI$200,MATCH($B592,Scenarios!$B$121:$B$200,0))</f>
        <v>0</v>
      </c>
      <c r="AJ592" s="476">
        <f>INDEX(Input!$1:$1048576,AJ$93,$C592*2+MIN($B592,2)+5)</f>
        <v>0.27</v>
      </c>
      <c r="AK592" s="150">
        <f>ROUND(INDEX(Input!$1:$1048576,AK$93,$C591*2+MIN($B592,1)+5)+(Y592-VLOOKUP($C592*1000+1,$A:$HH,Y$92,FALSE)),0)</f>
        <v>2587</v>
      </c>
      <c r="AL592" s="150">
        <f>ROUND(INDEX(Input!$1:$1048576,AL$93,$C591*2+MIN($B592,1)+5)-(Y592-VLOOKUP($C592*1000+1,$A:$HH,Y$92,FALSE))/36,0)</f>
        <v>3406</v>
      </c>
      <c r="AM592" s="32" t="str">
        <f t="shared" si="1653"/>
        <v>std/std/std/std</v>
      </c>
      <c r="AN592" s="32" t="str">
        <f t="shared" si="1654"/>
        <v>$0 + 0/0/0/1.9/3.9</v>
      </c>
      <c r="AO592" s="32" t="str">
        <f t="shared" si="1655"/>
        <v>0/0/0/1.9/3.9</v>
      </c>
      <c r="AP592" s="32" t="str">
        <f t="shared" si="1526"/>
        <v>0/0.9/1.9/3.9</v>
      </c>
      <c r="AQ592" s="536">
        <f t="shared" si="1525"/>
        <v>0</v>
      </c>
      <c r="AR592" s="32"/>
      <c r="AS592" s="302"/>
      <c r="AT592" s="3">
        <f t="shared" si="1629"/>
        <v>92</v>
      </c>
      <c r="AU592" s="41" t="s">
        <v>121</v>
      </c>
      <c r="AV592" s="41" t="s">
        <v>116</v>
      </c>
      <c r="AW592" s="41" t="str">
        <f>INDEX(Input!$1:$1048576,AW$93,$C592*2+6)</f>
        <v>Kia</v>
      </c>
      <c r="AX592" s="41" t="str">
        <f>INDEX(Input!$1:$1048576,AX$93,$C592*2+6)</f>
        <v>Kia-LR - R2</v>
      </c>
      <c r="AY592" s="41" t="str">
        <f>IF(LEN(D592)=0,"",INDEX(Input!$1:$1048576,AY$93,$C592*2+6))</f>
        <v/>
      </c>
      <c r="AZ592" s="41" t="str">
        <f>INDEX(Input!$1:$1048576,AZ$93,$C592*2+6)</f>
        <v>Kia Soul</v>
      </c>
      <c r="BA592" s="3">
        <f>INDEX(Input!$1:$1048576,BA$93,$C592*2+6)</f>
        <v>2020</v>
      </c>
      <c r="BB592" s="128">
        <f>INDEX(Input!$1:$1048576,BB$93,$C592*2+6)</f>
        <v>1</v>
      </c>
      <c r="BC592" s="128">
        <f>INDEX(Input!$1:$1048576,BC$93,$C592*2+6)</f>
        <v>0.7</v>
      </c>
      <c r="BD592" s="1">
        <f>INDEX(Input!$1:$1048576,BD$93,$C592*2+6)</f>
        <v>4.4999999999999998E-2</v>
      </c>
      <c r="BE592" s="1">
        <f>INDEX(Input!$1:$1048576,BE$93,$C592*2+6)</f>
        <v>4.4999999999999998E-2</v>
      </c>
      <c r="BF592" s="1">
        <f>INDEX(Input!$1:$1048576,BF$93,$C592*2+6)</f>
        <v>0.05</v>
      </c>
      <c r="BG592" s="1">
        <f>INDEX(Input!$1:$1048576,BG$93,$C592*2+6)</f>
        <v>5.45E-2</v>
      </c>
      <c r="BH592" s="1">
        <f>INDEX(Input!$1:$1048576,BH$93,$C592*2+6)</f>
        <v>5.45E-2</v>
      </c>
      <c r="BI592" s="1">
        <f>INDEX(Input!$1:$1048576,BI$93,$C592*2+6)</f>
        <v>0.05</v>
      </c>
      <c r="BJ592" s="1">
        <f>INDEX(Input!$1:$1048576,BJ$93,$C592*2+6)</f>
        <v>0.05</v>
      </c>
      <c r="BK592" s="1">
        <f>INDEX(Input!$1:$1048576,BK$93,$C592*2+6)</f>
        <v>0.05</v>
      </c>
      <c r="BL592" s="1">
        <f>INDEX(Input!$1:$1048576,BL$93,$C592*2+6)</f>
        <v>5.5E-2</v>
      </c>
      <c r="BM592" s="1">
        <f>INDEX(Input!$1:$1048576,BM$93,$C592*2+6)</f>
        <v>0.06</v>
      </c>
      <c r="BN592" s="1">
        <f>INDEX(Input!$1:$1048576,BN$93,$C592*2+6)</f>
        <v>4.4999999999999998E-2</v>
      </c>
      <c r="BO592" s="1">
        <f>INDEX(Input!$1:$1048576,BO$93,$C592*2+6)</f>
        <v>4.4999999999999998E-2</v>
      </c>
      <c r="BP592" s="1">
        <f>INDEX(Input!$1:$1048576,BP$93,$C592*2+6)</f>
        <v>0.05</v>
      </c>
      <c r="BQ592" s="1">
        <f>INDEX(Input!$1:$1048576,BQ$93,$C592*2+6)</f>
        <v>5.45E-2</v>
      </c>
      <c r="BR592" s="1">
        <f>INDEX(Input!$1:$1048576,BR$93,$C592*2+6)</f>
        <v>5.45E-2</v>
      </c>
      <c r="BS592" s="1">
        <f>INDEX(Input!$1:$1048576,BS$93,$C592*2+6)</f>
        <v>0.05</v>
      </c>
      <c r="BT592" s="1">
        <f>INDEX(Input!$1:$1048576,BT$93,$C592*2+6)</f>
        <v>0.05</v>
      </c>
      <c r="BU592" s="1">
        <f>INDEX(Input!$1:$1048576,BU$93,$C592*2+6)</f>
        <v>0.05</v>
      </c>
      <c r="BV592" s="1">
        <f>INDEX(Input!$1:$1048576,BV$93,$C592*2+6)</f>
        <v>5.5E-2</v>
      </c>
      <c r="BW592" s="1">
        <f>INDEX(Input!$1:$1048576,BW$93,$C592*2+6)</f>
        <v>0.06</v>
      </c>
      <c r="BX592" s="127">
        <f>INDEX(Input!$1:$1048576,BX$93,$C592*2+6)</f>
        <v>19985</v>
      </c>
      <c r="BY592" s="20">
        <f>INDEX(Input!$1:$1048576,BY$93,$C592*2+6)</f>
        <v>0.1</v>
      </c>
      <c r="BZ592" s="20">
        <f>INDEX(Input!$1:$1048576,BZ$93,$C592*2+6)</f>
        <v>0.1</v>
      </c>
      <c r="CA592" s="20">
        <f>INDEX(Input!$1:$1048576,CA$93,$C592*2+6)</f>
        <v>0.1</v>
      </c>
      <c r="CB592" s="20">
        <f>INDEX(Input!$1:$1048576,CB$93,$C592*2+6)</f>
        <v>0.1</v>
      </c>
      <c r="CC592" s="20">
        <f>INDEX(Input!$1:$1048576,CC$93,$C592*2+6)</f>
        <v>0.1</v>
      </c>
      <c r="CD592" s="384">
        <f>INDEX(Input!$1:$1048576,CD$93,$C592*2+6)</f>
        <v>0.1</v>
      </c>
      <c r="CE592" s="384">
        <f>INDEX(Input!$1:$1048576,CE$93,$C592*2+6)</f>
        <v>0.1</v>
      </c>
      <c r="CF592" s="384">
        <f>INDEX(Input!$1:$1048576,CF$93,$C592*2+6)</f>
        <v>0.1</v>
      </c>
      <c r="CG592" s="384">
        <f>INDEX(Input!$1:$1048576,CG$93,$C592*2+6)</f>
        <v>0.1</v>
      </c>
      <c r="CH592" s="384">
        <f>INDEX(Input!$1:$1048576,CH$93,$C592*2+6)</f>
        <v>0.1</v>
      </c>
      <c r="CI592" s="304">
        <f t="shared" si="1527"/>
        <v>1277.4263093788063</v>
      </c>
      <c r="CJ592" s="16" t="str">
        <f>INDEX(Input!$1:$1048576,CJ$93,$C592*2+6)</f>
        <v>N</v>
      </c>
      <c r="CK592" s="1" t="str">
        <f t="shared" si="1528"/>
        <v>Market</v>
      </c>
      <c r="CL592" s="1" t="str">
        <f t="shared" si="1529"/>
        <v>Market</v>
      </c>
      <c r="CM592" s="1" t="str">
        <f t="shared" si="1530"/>
        <v>Market</v>
      </c>
      <c r="CN592" s="1" t="str">
        <f t="shared" si="1531"/>
        <v>Market</v>
      </c>
      <c r="CO592" s="1" t="str">
        <f t="shared" si="1532"/>
        <v>Market</v>
      </c>
      <c r="CP592" s="304">
        <f t="shared" si="1533"/>
        <v>500</v>
      </c>
      <c r="CQ592" s="1">
        <f t="shared" si="1534"/>
        <v>0</v>
      </c>
      <c r="CR592" s="1">
        <f t="shared" si="1535"/>
        <v>0</v>
      </c>
      <c r="CS592" s="1">
        <f t="shared" si="1536"/>
        <v>0</v>
      </c>
      <c r="CT592" s="1">
        <f t="shared" si="1537"/>
        <v>1.9E-2</v>
      </c>
      <c r="CU592" s="1">
        <f t="shared" si="1538"/>
        <v>3.9E-2</v>
      </c>
      <c r="CV592" s="304">
        <f t="shared" si="1539"/>
        <v>-717.93641739252325</v>
      </c>
      <c r="CW592" s="20" t="s">
        <v>122</v>
      </c>
      <c r="CX592" s="20" t="s">
        <v>122</v>
      </c>
      <c r="CY592" s="20" t="s">
        <v>122</v>
      </c>
      <c r="CZ592" s="20" t="s">
        <v>122</v>
      </c>
      <c r="DA592" s="20" t="s">
        <v>122</v>
      </c>
      <c r="DB592" s="503">
        <f t="shared" si="1540"/>
        <v>0</v>
      </c>
      <c r="DC592" s="127">
        <v>0</v>
      </c>
      <c r="DD592" s="127">
        <v>0</v>
      </c>
      <c r="DE592" s="127">
        <v>0</v>
      </c>
      <c r="DF592" s="127">
        <v>0</v>
      </c>
      <c r="DG592" s="127">
        <v>0</v>
      </c>
      <c r="DH592" s="127">
        <v>0</v>
      </c>
      <c r="DI592" s="127">
        <v>0</v>
      </c>
      <c r="DJ592" s="127">
        <v>0</v>
      </c>
      <c r="DK592" s="127">
        <v>0</v>
      </c>
      <c r="DL592" s="127">
        <v>0</v>
      </c>
      <c r="DM592" s="304">
        <f>INDEX(Input!$1:$1048576,DM$93,$C592*2+6)</f>
        <v>21036.84210526316</v>
      </c>
      <c r="DN592" s="20">
        <v>0</v>
      </c>
      <c r="DO592" s="20">
        <v>0</v>
      </c>
      <c r="DP592" s="20">
        <v>0</v>
      </c>
      <c r="DQ592" s="20">
        <v>0</v>
      </c>
      <c r="DR592" s="20">
        <v>0</v>
      </c>
      <c r="DS592" s="20">
        <f>INDEX(Input!$1:$1048576,DS$93,$C592*2+6)</f>
        <v>0.6</v>
      </c>
      <c r="DT592" s="20">
        <f>INDEX(Input!$1:$1048576,DT$93,$C592*2+6)</f>
        <v>0.55000000000000004</v>
      </c>
      <c r="DU592" s="20">
        <f>INDEX(Input!$1:$1048576,DU$93,$C592*2+6)</f>
        <v>0.52</v>
      </c>
      <c r="DV592" s="20">
        <f>INDEX(Input!$1:$1048576,DV$93,$C592*2+6)</f>
        <v>0.5</v>
      </c>
      <c r="DW592" s="20">
        <f>INDEX(Input!$1:$1048576,DW$93,$C592*2+6)</f>
        <v>0.45</v>
      </c>
      <c r="DX592" s="20"/>
      <c r="DY592" s="7"/>
      <c r="DZ592" s="7"/>
      <c r="EA592" s="7"/>
      <c r="EB592" s="7"/>
      <c r="EC592" s="7"/>
      <c r="ED592" s="7"/>
      <c r="EE592" s="7"/>
      <c r="EF592" s="7"/>
      <c r="EG592" s="7"/>
      <c r="EH592" s="7"/>
      <c r="EI592" s="7"/>
      <c r="EJ592" s="7"/>
      <c r="EK592" s="7"/>
      <c r="EL592" s="7"/>
      <c r="EM592" s="7"/>
      <c r="EN592" s="7"/>
      <c r="EO592" s="7"/>
      <c r="EP592" s="7"/>
      <c r="EQ592" s="7"/>
      <c r="ER592" s="7"/>
      <c r="ES592" s="7"/>
      <c r="ET592" s="7"/>
      <c r="EU592" s="6"/>
      <c r="EV592" s="6"/>
      <c r="EW592" s="6"/>
      <c r="EX592" s="6"/>
      <c r="EY592" s="6"/>
      <c r="EZ592" s="6"/>
      <c r="FA592" s="6"/>
      <c r="FB592" s="6"/>
      <c r="FC592" s="6"/>
      <c r="FD592" s="6"/>
      <c r="FE592" s="6"/>
      <c r="FF592" s="6"/>
      <c r="FG592" s="6"/>
      <c r="FH592" s="6"/>
      <c r="FI592" s="6"/>
      <c r="FJ592" s="6"/>
      <c r="FK592" s="6"/>
      <c r="FL592" s="6"/>
      <c r="FM592" s="6"/>
      <c r="FN592" s="6"/>
      <c r="FO592" s="6"/>
      <c r="FP592" s="6"/>
      <c r="FQ592" s="6"/>
      <c r="FR592" s="6"/>
      <c r="FS592" s="6"/>
      <c r="FT592" s="7"/>
      <c r="FU592" s="7"/>
      <c r="FV592" s="7"/>
      <c r="FW592" s="6"/>
      <c r="FX592" s="6"/>
      <c r="FY592" s="6"/>
      <c r="FZ592" s="6"/>
      <c r="GA592" s="6"/>
      <c r="GB592" s="6"/>
      <c r="GC592" s="7"/>
      <c r="GD592" s="7"/>
      <c r="GE592" s="7"/>
      <c r="GF592" s="7"/>
      <c r="GG592" s="7"/>
      <c r="GH592" s="42"/>
      <c r="GI592" s="6"/>
      <c r="GJ592" s="14"/>
      <c r="GK592" s="14"/>
      <c r="GL592" s="14"/>
      <c r="GM592" s="14"/>
      <c r="GO592" s="5"/>
      <c r="GP592" s="5"/>
      <c r="GQ592" s="5"/>
      <c r="GR592" s="5"/>
      <c r="GS592" s="5"/>
      <c r="GT592" s="5"/>
      <c r="GU592" s="5"/>
      <c r="GV592" s="39"/>
      <c r="GW592" s="5"/>
      <c r="GX592" s="5"/>
      <c r="GY592" s="5"/>
      <c r="GZ592" s="5"/>
      <c r="HA592" s="5"/>
      <c r="HB592" s="39"/>
      <c r="HC592" s="5"/>
      <c r="HD592" s="5"/>
      <c r="HE592" s="5"/>
      <c r="HF592" s="5"/>
      <c r="HG592" s="5"/>
      <c r="HH592" s="39"/>
      <c r="HI592" s="16"/>
      <c r="HJ592" s="19"/>
      <c r="HK592" s="1"/>
      <c r="HL592" s="16"/>
      <c r="HM592" s="1"/>
      <c r="HN592" s="1"/>
      <c r="HO592" s="1"/>
      <c r="HP592" s="1"/>
      <c r="HQ592" s="1"/>
      <c r="HR592" s="1"/>
      <c r="HS592" s="1"/>
      <c r="HT592" s="1"/>
      <c r="HU592" s="1"/>
      <c r="HV592" s="1"/>
      <c r="HW592" s="1"/>
      <c r="HX592" s="1"/>
      <c r="HY592" s="1"/>
      <c r="HZ592" s="1"/>
      <c r="IA592" s="1"/>
      <c r="IB592" s="1"/>
      <c r="IC592" s="1"/>
      <c r="ID592" s="1"/>
      <c r="IE592" s="1"/>
      <c r="IF592" s="1"/>
      <c r="IG592" s="1"/>
      <c r="IH592" s="21"/>
      <c r="II592" s="19"/>
      <c r="IJ592" s="19"/>
      <c r="IK592" s="19"/>
      <c r="IL592" s="19"/>
      <c r="IM592" s="19"/>
      <c r="IN592" s="19"/>
      <c r="IO592" s="39"/>
      <c r="IP592" s="39"/>
      <c r="IQ592" s="39"/>
      <c r="IR592" s="39"/>
      <c r="IS592" s="39"/>
      <c r="IT592" s="39"/>
      <c r="IU592" s="39"/>
      <c r="IV592" s="39"/>
      <c r="IW592" s="39"/>
      <c r="IX592" s="39"/>
      <c r="IY592" s="39"/>
      <c r="IZ592" s="39"/>
      <c r="JA592" s="19"/>
      <c r="JB592" s="19"/>
      <c r="JC592" s="19"/>
      <c r="JD592" s="19"/>
      <c r="JE592" s="21"/>
      <c r="JF592" s="1"/>
      <c r="JG592" s="15"/>
      <c r="JH592" s="1"/>
      <c r="JI592" s="1"/>
      <c r="JJ592" s="1"/>
      <c r="JK592" s="1"/>
      <c r="JL592" s="15"/>
      <c r="JM592" s="15"/>
      <c r="JN592" s="21"/>
      <c r="JO592" s="19"/>
      <c r="JP592" s="19"/>
      <c r="JQ592" s="39"/>
      <c r="JR592" s="39"/>
      <c r="JS592" s="39"/>
      <c r="JT592" s="39"/>
      <c r="JU592" s="385"/>
      <c r="JV592" s="39"/>
      <c r="JW592" s="1"/>
      <c r="JX592" s="19"/>
      <c r="JZ592" s="341"/>
      <c r="KA592" s="342"/>
      <c r="KB592" s="469"/>
      <c r="KI592" s="473"/>
      <c r="KJ592" s="473"/>
      <c r="KK592" s="473"/>
    </row>
    <row r="593" spans="1:310" s="26" customFormat="1" ht="15" outlineLevel="1">
      <c r="A593" s="561">
        <f t="shared" si="1652"/>
        <v>5093</v>
      </c>
      <c r="B593" s="561">
        <f t="shared" si="1627"/>
        <v>93</v>
      </c>
      <c r="C593" s="561">
        <f t="shared" si="1628"/>
        <v>5</v>
      </c>
      <c r="D593" s="561" t="str">
        <f t="shared" si="1712"/>
        <v/>
      </c>
      <c r="E593" s="475">
        <f>INDEX(Input!$1:$1048576,E$93,$C593*2+MIN($B593,2)+5)
+INDEX(Scenarios!E$121:E$200,MATCH($B593,Scenarios!$B$121:$B$200,0))</f>
        <v>1277.4263093788063</v>
      </c>
      <c r="F593" s="475">
        <f>INDEX(Input!$1:$1048576,F$93,$C593*2+MIN($B593,2)+5)
+INDEX(Scenarios!F$121:F$200,MATCH($B593,Scenarios!$B$121:$B$200,0))</f>
        <v>0</v>
      </c>
      <c r="G593" s="475">
        <f>INDEX(Input!$1:$1048576,G$93,$C593*2+MIN($B593,2)+5)
+INDEX(Scenarios!G$121:G$200,MATCH($B593,Scenarios!$B$121:$B$200,0))</f>
        <v>0</v>
      </c>
      <c r="H593" s="475">
        <f>INDEX(Input!$1:$1048576,H$93,$C593*2+MIN($B593,2)+5)
+INDEX(Scenarios!H$121:H$200,MATCH($B593,Scenarios!$B$121:$B$200,0))</f>
        <v>0</v>
      </c>
      <c r="I593" s="476">
        <f>INDEX(Input!$1:$1048576,I$93,$C593*2+MIN($B593,2)+5)</f>
        <v>0.7</v>
      </c>
      <c r="J593" s="476" t="str">
        <f>INDEX(Input!$1:$1048576,J$93,$C593*2+MIN($B593,2)+5)</f>
        <v>Market</v>
      </c>
      <c r="K593" s="476" t="str">
        <f>INDEX(Input!$1:$1048576,K$93,$C593*2+MIN($B593,2)+5)</f>
        <v>Market</v>
      </c>
      <c r="L593" s="476" t="str">
        <f>INDEX(Input!$1:$1048576,L$93,$C593*2+MIN($B593,2)+5)</f>
        <v>Market</v>
      </c>
      <c r="M593" s="476" t="str">
        <f>INDEX(Input!$1:$1048576,M$93,$C593*2+MIN($B593,2)+5)</f>
        <v>Market</v>
      </c>
      <c r="N593" s="476" t="str">
        <f>INDEX(Input!$1:$1048576,N$93,$C593*2+MIN($B593,2)+5)</f>
        <v>Market</v>
      </c>
      <c r="O593" s="476" t="str">
        <f>INDEX(Input!$1:$1048576,O$93,$C593*2+MIN($B593,2)+5)</f>
        <v>Market</v>
      </c>
      <c r="P593" s="476" t="str">
        <f>INDEX(Input!$1:$1048576,P$93,$C593*2+MIN($B593,2)+5)</f>
        <v>N</v>
      </c>
      <c r="Q593" s="477">
        <f>INDEX(Input!$1:$1048576,Q$93,$C593*2+MIN($B593,2)+5)
+INDEX(Scenarios!Q$121:Q$200,MATCH($B593,Scenarios!$B$121:$B$200,0))</f>
        <v>0</v>
      </c>
      <c r="R593" s="478">
        <f>IFERROR(MAX(0,INDEX(Input!$1:$1048576,R$93,$C593*2+MIN($B593,2)+5)
+INDEX(Scenarios!R$121:R$200,MATCH($B593,Scenarios!$B$121:$B$200,0)),),"Market")</f>
        <v>0</v>
      </c>
      <c r="S593" s="478">
        <f>IFERROR(MAX(0,INDEX(Input!$1:$1048576,S$93,$C593*2+MIN($B593,2)+5)
+INDEX(Scenarios!S$121:S$200,MATCH($B593,Scenarios!$B$121:$B$200,0)),),"Market")</f>
        <v>0</v>
      </c>
      <c r="T593" s="478">
        <f>IFERROR(MAX(0,INDEX(Input!$1:$1048576,T$93,$C593*2+MIN($B593,2)+5)
+INDEX(Scenarios!T$121:T$200,MATCH($B593,Scenarios!$B$121:$B$200,0)),),"Market")</f>
        <v>0</v>
      </c>
      <c r="U593" s="478">
        <f>IFERROR(MAX(0,INDEX(Input!$1:$1048576,U$93,$C593*2+MIN($B593,2)+5)
+INDEX(Scenarios!U$121:U$200,MATCH($B593,Scenarios!$B$121:$B$200,0)),),"Market")</f>
        <v>0</v>
      </c>
      <c r="V593" s="478">
        <f>IFERROR(MAX(0,INDEX(Input!$1:$1048576,V$93,$C593*2+MIN($B593,2)+5)
+INDEX(Scenarios!V$121:V$200,MATCH($B593,Scenarios!$B$121:$B$200,0)),),"Market")</f>
        <v>1.9E-2</v>
      </c>
      <c r="W593" s="885">
        <f>IFERROR(MAX(0,INDEX(Input!$1:$1048576,W$93,$C593*2+MIN($B593,2)+5)-0%,),"Market")</f>
        <v>3.9E-2</v>
      </c>
      <c r="X593" s="476" t="str">
        <f>INDEX(Input!$1:$1048576,X$93,$C593*2+MIN($B593,2)+5)</f>
        <v>Y</v>
      </c>
      <c r="Y593" s="475">
        <f>INDEX(Input!$1:$1048576,Y$93,$C593*2+MIN($B593,2)+5)
++INDEX(Scenarios!Y$121:Y$200,MATCH($B593,Scenarios!$B$121:$B$200,0))</f>
        <v>-717.93641739252325</v>
      </c>
      <c r="Z593" s="477">
        <f>INDEX(Input!$1:$1048576,Z$93,$C593*2+MIN($B593,2)+5)
+INDEX(Scenarios!Z$121:Z$200,MATCH($B593,Scenarios!$B$121:$B$200,0))</f>
        <v>0</v>
      </c>
      <c r="AA593" s="475">
        <f>INDEX(Input!$1:$1048576,AA$93,$C593*2+MIN($B593,2)+5)
+INDEX(Scenarios!AA$121:AA$200,MATCH($B593,Scenarios!$B$121:$B$200,0))</f>
        <v>0</v>
      </c>
      <c r="AB593" s="476">
        <f>INDEX(Input!$1:$1048576,AB$93,$C593*2+MIN($B593,2)+5)</f>
        <v>0.27</v>
      </c>
      <c r="AC593" s="475">
        <f>INDEX(Input!$1:$1048576,AC$93,$C593*2+MIN($B593,2)+5)
+INDEX(Scenarios!AC$121:AC$200,MATCH($B593,Scenarios!$B$121:$B$200,0))</f>
        <v>0</v>
      </c>
      <c r="AD593" s="476">
        <f>INDEX(Input!$1:$1048576,AD$93,$C593*2+MIN($B593,2)+5)</f>
        <v>0.27</v>
      </c>
      <c r="AE593" s="475">
        <f>INDEX(Input!$1:$1048576,AE$93,$C593*2+MIN($B593,2)+5)
+INDEX(Scenarios!AE$121:AE$200,MATCH($B593,Scenarios!$B$121:$B$200,0))</f>
        <v>0</v>
      </c>
      <c r="AF593" s="476">
        <f>INDEX(Input!$1:$1048576,AF$93,$C593*2+MIN($B593,2)+5)</f>
        <v>0.2</v>
      </c>
      <c r="AG593" s="475">
        <f>INDEX(Input!$1:$1048576,AG$93,$C593*2+MIN($B593,2)+5)
+INDEX(Scenarios!AG$121:AG$200,MATCH($B593,Scenarios!$B$121:$B$200,0))</f>
        <v>500</v>
      </c>
      <c r="AH593" s="476">
        <f>INDEX(Input!$1:$1048576,AH$93,$C593*2+MIN($B593,2)+5)</f>
        <v>1</v>
      </c>
      <c r="AI593" s="475">
        <f>INDEX(Input!$1:$1048576,AI$93,$C593*2+MIN($B593,2)+5)
+INDEX(Scenarios!AI$121:AI$200,MATCH($B593,Scenarios!$B$121:$B$200,0))</f>
        <v>0</v>
      </c>
      <c r="AJ593" s="476">
        <f>INDEX(Input!$1:$1048576,AJ$93,$C593*2+MIN($B593,2)+5)</f>
        <v>0.27</v>
      </c>
      <c r="AK593" s="150">
        <f>ROUND(INDEX(Input!$1:$1048576,AK$93,$C592*2+MIN($B593,1)+5)+(Y593-VLOOKUP($C593*1000+1,$A:$HH,Y$92,FALSE)),0)</f>
        <v>2587</v>
      </c>
      <c r="AL593" s="150">
        <f>ROUND(INDEX(Input!$1:$1048576,AL$93,$C592*2+MIN($B593,1)+5)-(Y593-VLOOKUP($C593*1000+1,$A:$HH,Y$92,FALSE))/36,0)</f>
        <v>3406</v>
      </c>
      <c r="AM593" s="32" t="str">
        <f t="shared" si="1653"/>
        <v>std/std/std/std</v>
      </c>
      <c r="AN593" s="32" t="str">
        <f t="shared" si="1654"/>
        <v>$0 + 0/0/0/1.9/3.9</v>
      </c>
      <c r="AO593" s="32" t="str">
        <f t="shared" si="1655"/>
        <v>0/0/0/1.9/3.9</v>
      </c>
      <c r="AP593" s="32" t="str">
        <f t="shared" si="1526"/>
        <v>0/0.9/1.9/3.9</v>
      </c>
      <c r="AQ593" s="536">
        <f t="shared" si="1525"/>
        <v>0</v>
      </c>
      <c r="AR593" s="32"/>
      <c r="AS593" s="302"/>
      <c r="AT593" s="3">
        <f t="shared" si="1629"/>
        <v>93</v>
      </c>
      <c r="AU593" s="41" t="s">
        <v>121</v>
      </c>
      <c r="AV593" s="41" t="s">
        <v>116</v>
      </c>
      <c r="AW593" s="41" t="str">
        <f>INDEX(Input!$1:$1048576,AW$93,$C593*2+6)</f>
        <v>Kia</v>
      </c>
      <c r="AX593" s="41" t="str">
        <f>INDEX(Input!$1:$1048576,AX$93,$C593*2+6)</f>
        <v>Kia-LR - R2</v>
      </c>
      <c r="AY593" s="41" t="str">
        <f>IF(LEN(D593)=0,"",INDEX(Input!$1:$1048576,AY$93,$C593*2+6))</f>
        <v/>
      </c>
      <c r="AZ593" s="41" t="str">
        <f>INDEX(Input!$1:$1048576,AZ$93,$C593*2+6)</f>
        <v>Kia Soul</v>
      </c>
      <c r="BA593" s="3">
        <f>INDEX(Input!$1:$1048576,BA$93,$C593*2+6)</f>
        <v>2020</v>
      </c>
      <c r="BB593" s="128">
        <f>INDEX(Input!$1:$1048576,BB$93,$C593*2+6)</f>
        <v>1</v>
      </c>
      <c r="BC593" s="128">
        <f>INDEX(Input!$1:$1048576,BC$93,$C593*2+6)</f>
        <v>0.7</v>
      </c>
      <c r="BD593" s="1">
        <f>INDEX(Input!$1:$1048576,BD$93,$C593*2+6)</f>
        <v>4.4999999999999998E-2</v>
      </c>
      <c r="BE593" s="1">
        <f>INDEX(Input!$1:$1048576,BE$93,$C593*2+6)</f>
        <v>4.4999999999999998E-2</v>
      </c>
      <c r="BF593" s="1">
        <f>INDEX(Input!$1:$1048576,BF$93,$C593*2+6)</f>
        <v>0.05</v>
      </c>
      <c r="BG593" s="1">
        <f>INDEX(Input!$1:$1048576,BG$93,$C593*2+6)</f>
        <v>5.45E-2</v>
      </c>
      <c r="BH593" s="1">
        <f>INDEX(Input!$1:$1048576,BH$93,$C593*2+6)</f>
        <v>5.45E-2</v>
      </c>
      <c r="BI593" s="1">
        <f>INDEX(Input!$1:$1048576,BI$93,$C593*2+6)</f>
        <v>0.05</v>
      </c>
      <c r="BJ593" s="1">
        <f>INDEX(Input!$1:$1048576,BJ$93,$C593*2+6)</f>
        <v>0.05</v>
      </c>
      <c r="BK593" s="1">
        <f>INDEX(Input!$1:$1048576,BK$93,$C593*2+6)</f>
        <v>0.05</v>
      </c>
      <c r="BL593" s="1">
        <f>INDEX(Input!$1:$1048576,BL$93,$C593*2+6)</f>
        <v>5.5E-2</v>
      </c>
      <c r="BM593" s="1">
        <f>INDEX(Input!$1:$1048576,BM$93,$C593*2+6)</f>
        <v>0.06</v>
      </c>
      <c r="BN593" s="1">
        <f>INDEX(Input!$1:$1048576,BN$93,$C593*2+6)</f>
        <v>4.4999999999999998E-2</v>
      </c>
      <c r="BO593" s="1">
        <f>INDEX(Input!$1:$1048576,BO$93,$C593*2+6)</f>
        <v>4.4999999999999998E-2</v>
      </c>
      <c r="BP593" s="1">
        <f>INDEX(Input!$1:$1048576,BP$93,$C593*2+6)</f>
        <v>0.05</v>
      </c>
      <c r="BQ593" s="1">
        <f>INDEX(Input!$1:$1048576,BQ$93,$C593*2+6)</f>
        <v>5.45E-2</v>
      </c>
      <c r="BR593" s="1">
        <f>INDEX(Input!$1:$1048576,BR$93,$C593*2+6)</f>
        <v>5.45E-2</v>
      </c>
      <c r="BS593" s="1">
        <f>INDEX(Input!$1:$1048576,BS$93,$C593*2+6)</f>
        <v>0.05</v>
      </c>
      <c r="BT593" s="1">
        <f>INDEX(Input!$1:$1048576,BT$93,$C593*2+6)</f>
        <v>0.05</v>
      </c>
      <c r="BU593" s="1">
        <f>INDEX(Input!$1:$1048576,BU$93,$C593*2+6)</f>
        <v>0.05</v>
      </c>
      <c r="BV593" s="1">
        <f>INDEX(Input!$1:$1048576,BV$93,$C593*2+6)</f>
        <v>5.5E-2</v>
      </c>
      <c r="BW593" s="1">
        <f>INDEX(Input!$1:$1048576,BW$93,$C593*2+6)</f>
        <v>0.06</v>
      </c>
      <c r="BX593" s="127">
        <f>INDEX(Input!$1:$1048576,BX$93,$C593*2+6)</f>
        <v>19985</v>
      </c>
      <c r="BY593" s="20">
        <f>INDEX(Input!$1:$1048576,BY$93,$C593*2+6)</f>
        <v>0.1</v>
      </c>
      <c r="BZ593" s="20">
        <f>INDEX(Input!$1:$1048576,BZ$93,$C593*2+6)</f>
        <v>0.1</v>
      </c>
      <c r="CA593" s="20">
        <f>INDEX(Input!$1:$1048576,CA$93,$C593*2+6)</f>
        <v>0.1</v>
      </c>
      <c r="CB593" s="20">
        <f>INDEX(Input!$1:$1048576,CB$93,$C593*2+6)</f>
        <v>0.1</v>
      </c>
      <c r="CC593" s="20">
        <f>INDEX(Input!$1:$1048576,CC$93,$C593*2+6)</f>
        <v>0.1</v>
      </c>
      <c r="CD593" s="384">
        <f>INDEX(Input!$1:$1048576,CD$93,$C593*2+6)</f>
        <v>0.1</v>
      </c>
      <c r="CE593" s="384">
        <f>INDEX(Input!$1:$1048576,CE$93,$C593*2+6)</f>
        <v>0.1</v>
      </c>
      <c r="CF593" s="384">
        <f>INDEX(Input!$1:$1048576,CF$93,$C593*2+6)</f>
        <v>0.1</v>
      </c>
      <c r="CG593" s="384">
        <f>INDEX(Input!$1:$1048576,CG$93,$C593*2+6)</f>
        <v>0.1</v>
      </c>
      <c r="CH593" s="384">
        <f>INDEX(Input!$1:$1048576,CH$93,$C593*2+6)</f>
        <v>0.1</v>
      </c>
      <c r="CI593" s="304">
        <f t="shared" si="1527"/>
        <v>1277.4263093788063</v>
      </c>
      <c r="CJ593" s="16" t="str">
        <f>INDEX(Input!$1:$1048576,CJ$93,$C593*2+6)</f>
        <v>N</v>
      </c>
      <c r="CK593" s="1" t="str">
        <f t="shared" si="1528"/>
        <v>Market</v>
      </c>
      <c r="CL593" s="1" t="str">
        <f t="shared" si="1529"/>
        <v>Market</v>
      </c>
      <c r="CM593" s="1" t="str">
        <f t="shared" si="1530"/>
        <v>Market</v>
      </c>
      <c r="CN593" s="1" t="str">
        <f t="shared" si="1531"/>
        <v>Market</v>
      </c>
      <c r="CO593" s="1" t="str">
        <f t="shared" si="1532"/>
        <v>Market</v>
      </c>
      <c r="CP593" s="304">
        <f t="shared" si="1533"/>
        <v>500</v>
      </c>
      <c r="CQ593" s="1">
        <f t="shared" si="1534"/>
        <v>0</v>
      </c>
      <c r="CR593" s="1">
        <f t="shared" si="1535"/>
        <v>0</v>
      </c>
      <c r="CS593" s="1">
        <f t="shared" si="1536"/>
        <v>0</v>
      </c>
      <c r="CT593" s="1">
        <f t="shared" si="1537"/>
        <v>1.9E-2</v>
      </c>
      <c r="CU593" s="1">
        <f t="shared" si="1538"/>
        <v>3.9E-2</v>
      </c>
      <c r="CV593" s="304">
        <f t="shared" si="1539"/>
        <v>-717.93641739252325</v>
      </c>
      <c r="CW593" s="20" t="s">
        <v>122</v>
      </c>
      <c r="CX593" s="20" t="s">
        <v>122</v>
      </c>
      <c r="CY593" s="20" t="s">
        <v>122</v>
      </c>
      <c r="CZ593" s="20" t="s">
        <v>122</v>
      </c>
      <c r="DA593" s="20" t="s">
        <v>122</v>
      </c>
      <c r="DB593" s="503">
        <f t="shared" si="1540"/>
        <v>0</v>
      </c>
      <c r="DC593" s="127">
        <v>0</v>
      </c>
      <c r="DD593" s="127">
        <v>0</v>
      </c>
      <c r="DE593" s="127">
        <v>0</v>
      </c>
      <c r="DF593" s="127">
        <v>0</v>
      </c>
      <c r="DG593" s="127">
        <v>0</v>
      </c>
      <c r="DH593" s="127">
        <v>0</v>
      </c>
      <c r="DI593" s="127">
        <v>0</v>
      </c>
      <c r="DJ593" s="127">
        <v>0</v>
      </c>
      <c r="DK593" s="127">
        <v>0</v>
      </c>
      <c r="DL593" s="127">
        <v>0</v>
      </c>
      <c r="DM593" s="304">
        <f>INDEX(Input!$1:$1048576,DM$93,$C593*2+6)</f>
        <v>21036.84210526316</v>
      </c>
      <c r="DN593" s="20">
        <v>0</v>
      </c>
      <c r="DO593" s="20">
        <v>0</v>
      </c>
      <c r="DP593" s="20">
        <v>0</v>
      </c>
      <c r="DQ593" s="20">
        <v>0</v>
      </c>
      <c r="DR593" s="20">
        <v>0</v>
      </c>
      <c r="DS593" s="20">
        <f>INDEX(Input!$1:$1048576,DS$93,$C593*2+6)</f>
        <v>0.6</v>
      </c>
      <c r="DT593" s="20">
        <f>INDEX(Input!$1:$1048576,DT$93,$C593*2+6)</f>
        <v>0.55000000000000004</v>
      </c>
      <c r="DU593" s="20">
        <f>INDEX(Input!$1:$1048576,DU$93,$C593*2+6)</f>
        <v>0.52</v>
      </c>
      <c r="DV593" s="20">
        <f>INDEX(Input!$1:$1048576,DV$93,$C593*2+6)</f>
        <v>0.5</v>
      </c>
      <c r="DW593" s="20">
        <f>INDEX(Input!$1:$1048576,DW$93,$C593*2+6)</f>
        <v>0.45</v>
      </c>
      <c r="DX593" s="20"/>
      <c r="DY593" s="7"/>
      <c r="DZ593" s="7"/>
      <c r="EA593" s="7"/>
      <c r="EB593" s="7"/>
      <c r="EC593" s="7"/>
      <c r="ED593" s="7"/>
      <c r="EE593" s="7"/>
      <c r="EF593" s="7"/>
      <c r="EG593" s="7"/>
      <c r="EH593" s="7"/>
      <c r="EI593" s="7"/>
      <c r="EJ593" s="7"/>
      <c r="EK593" s="7"/>
      <c r="EL593" s="7"/>
      <c r="EM593" s="7"/>
      <c r="EN593" s="7"/>
      <c r="EO593" s="7"/>
      <c r="EP593" s="7"/>
      <c r="EQ593" s="7"/>
      <c r="ER593" s="7"/>
      <c r="ES593" s="7"/>
      <c r="ET593" s="7"/>
      <c r="EU593" s="6"/>
      <c r="EV593" s="6"/>
      <c r="EW593" s="6"/>
      <c r="EX593" s="6"/>
      <c r="EY593" s="6"/>
      <c r="EZ593" s="6"/>
      <c r="FA593" s="6"/>
      <c r="FB593" s="6"/>
      <c r="FC593" s="6"/>
      <c r="FD593" s="6"/>
      <c r="FE593" s="6"/>
      <c r="FF593" s="6"/>
      <c r="FG593" s="6"/>
      <c r="FH593" s="6"/>
      <c r="FI593" s="6"/>
      <c r="FJ593" s="6"/>
      <c r="FK593" s="6"/>
      <c r="FL593" s="6"/>
      <c r="FM593" s="6"/>
      <c r="FN593" s="6"/>
      <c r="FO593" s="6"/>
      <c r="FP593" s="6"/>
      <c r="FQ593" s="6"/>
      <c r="FR593" s="6"/>
      <c r="FS593" s="6"/>
      <c r="FT593" s="7"/>
      <c r="FU593" s="7"/>
      <c r="FV593" s="7"/>
      <c r="FW593" s="6"/>
      <c r="FX593" s="6"/>
      <c r="FY593" s="6"/>
      <c r="FZ593" s="6"/>
      <c r="GA593" s="6"/>
      <c r="GB593" s="6"/>
      <c r="GC593" s="7"/>
      <c r="GD593" s="7"/>
      <c r="GE593" s="7"/>
      <c r="GF593" s="7"/>
      <c r="GG593" s="7"/>
      <c r="GH593" s="42"/>
      <c r="GI593" s="6"/>
      <c r="GJ593" s="14"/>
      <c r="GK593" s="14"/>
      <c r="GL593" s="14"/>
      <c r="GM593" s="14"/>
      <c r="GO593" s="5"/>
      <c r="GP593" s="5"/>
      <c r="GQ593" s="5"/>
      <c r="GR593" s="5"/>
      <c r="GS593" s="5"/>
      <c r="GT593" s="5"/>
      <c r="GU593" s="5"/>
      <c r="GV593" s="39"/>
      <c r="GW593" s="5"/>
      <c r="GX593" s="5"/>
      <c r="GY593" s="5"/>
      <c r="GZ593" s="5"/>
      <c r="HA593" s="5"/>
      <c r="HB593" s="39"/>
      <c r="HC593" s="5"/>
      <c r="HD593" s="5"/>
      <c r="HE593" s="5"/>
      <c r="HF593" s="5"/>
      <c r="HG593" s="5"/>
      <c r="HH593" s="39"/>
      <c r="HI593" s="16"/>
      <c r="HJ593" s="19"/>
      <c r="HK593" s="1"/>
      <c r="HL593" s="16"/>
      <c r="HM593" s="1"/>
      <c r="HN593" s="1"/>
      <c r="HO593" s="1"/>
      <c r="HP593" s="1"/>
      <c r="HQ593" s="1"/>
      <c r="HR593" s="1"/>
      <c r="HS593" s="1"/>
      <c r="HT593" s="1"/>
      <c r="HU593" s="1"/>
      <c r="HV593" s="1"/>
      <c r="HW593" s="1"/>
      <c r="HX593" s="1"/>
      <c r="HY593" s="1"/>
      <c r="HZ593" s="1"/>
      <c r="IA593" s="1"/>
      <c r="IB593" s="1"/>
      <c r="IC593" s="1"/>
      <c r="ID593" s="1"/>
      <c r="IE593" s="1"/>
      <c r="IF593" s="1"/>
      <c r="IG593" s="1"/>
      <c r="IH593" s="21"/>
      <c r="II593" s="19"/>
      <c r="IJ593" s="19"/>
      <c r="IK593" s="19"/>
      <c r="IL593" s="19"/>
      <c r="IM593" s="19"/>
      <c r="IN593" s="19"/>
      <c r="IO593" s="39"/>
      <c r="IP593" s="39"/>
      <c r="IQ593" s="39"/>
      <c r="IR593" s="39"/>
      <c r="IS593" s="39"/>
      <c r="IT593" s="39"/>
      <c r="IU593" s="39"/>
      <c r="IV593" s="39"/>
      <c r="IW593" s="39"/>
      <c r="IX593" s="39"/>
      <c r="IY593" s="39"/>
      <c r="IZ593" s="39"/>
      <c r="JA593" s="19"/>
      <c r="JB593" s="19"/>
      <c r="JC593" s="19"/>
      <c r="JD593" s="19"/>
      <c r="JE593" s="21"/>
      <c r="JF593" s="1"/>
      <c r="JG593" s="15"/>
      <c r="JH593" s="1"/>
      <c r="JI593" s="1"/>
      <c r="JJ593" s="1"/>
      <c r="JK593" s="1"/>
      <c r="JL593" s="15"/>
      <c r="JM593" s="15"/>
      <c r="JN593" s="21"/>
      <c r="JO593" s="19"/>
      <c r="JP593" s="19"/>
      <c r="JQ593" s="39"/>
      <c r="JR593" s="39"/>
      <c r="JS593" s="39"/>
      <c r="JT593" s="39"/>
      <c r="JU593" s="385"/>
      <c r="JV593" s="39"/>
      <c r="JW593" s="1"/>
      <c r="JX593" s="19"/>
      <c r="JZ593" s="341"/>
      <c r="KA593" s="342"/>
      <c r="KB593" s="469"/>
      <c r="KI593" s="473"/>
      <c r="KJ593" s="473"/>
      <c r="KK593" s="473"/>
    </row>
    <row r="594" spans="1:310" s="26" customFormat="1" ht="15" outlineLevel="1">
      <c r="A594" s="561">
        <f t="shared" si="1652"/>
        <v>5094</v>
      </c>
      <c r="B594" s="561">
        <f t="shared" si="1627"/>
        <v>94</v>
      </c>
      <c r="C594" s="561">
        <f t="shared" si="1628"/>
        <v>5</v>
      </c>
      <c r="D594" s="561" t="str">
        <f t="shared" si="1712"/>
        <v/>
      </c>
      <c r="E594" s="475">
        <f>INDEX(Input!$1:$1048576,E$93,$C594*2+MIN($B594,2)+5)
+INDEX(Scenarios!E$121:E$200,MATCH($B594,Scenarios!$B$121:$B$200,0))</f>
        <v>1277.4263093788063</v>
      </c>
      <c r="F594" s="475">
        <f>INDEX(Input!$1:$1048576,F$93,$C594*2+MIN($B594,2)+5)
+INDEX(Scenarios!F$121:F$200,MATCH($B594,Scenarios!$B$121:$B$200,0))</f>
        <v>0</v>
      </c>
      <c r="G594" s="475">
        <f>INDEX(Input!$1:$1048576,G$93,$C594*2+MIN($B594,2)+5)
+INDEX(Scenarios!G$121:G$200,MATCH($B594,Scenarios!$B$121:$B$200,0))</f>
        <v>0</v>
      </c>
      <c r="H594" s="475">
        <f>INDEX(Input!$1:$1048576,H$93,$C594*2+MIN($B594,2)+5)
+INDEX(Scenarios!H$121:H$200,MATCH($B594,Scenarios!$B$121:$B$200,0))</f>
        <v>0</v>
      </c>
      <c r="I594" s="476">
        <f>INDEX(Input!$1:$1048576,I$93,$C594*2+MIN($B594,2)+5)</f>
        <v>0.7</v>
      </c>
      <c r="J594" s="476" t="str">
        <f>INDEX(Input!$1:$1048576,J$93,$C594*2+MIN($B594,2)+5)</f>
        <v>Market</v>
      </c>
      <c r="K594" s="476" t="str">
        <f>INDEX(Input!$1:$1048576,K$93,$C594*2+MIN($B594,2)+5)</f>
        <v>Market</v>
      </c>
      <c r="L594" s="476" t="str">
        <f>INDEX(Input!$1:$1048576,L$93,$C594*2+MIN($B594,2)+5)</f>
        <v>Market</v>
      </c>
      <c r="M594" s="476" t="str">
        <f>INDEX(Input!$1:$1048576,M$93,$C594*2+MIN($B594,2)+5)</f>
        <v>Market</v>
      </c>
      <c r="N594" s="476" t="str">
        <f>INDEX(Input!$1:$1048576,N$93,$C594*2+MIN($B594,2)+5)</f>
        <v>Market</v>
      </c>
      <c r="O594" s="476" t="str">
        <f>INDEX(Input!$1:$1048576,O$93,$C594*2+MIN($B594,2)+5)</f>
        <v>Market</v>
      </c>
      <c r="P594" s="476" t="str">
        <f>INDEX(Input!$1:$1048576,P$93,$C594*2+MIN($B594,2)+5)</f>
        <v>N</v>
      </c>
      <c r="Q594" s="477">
        <f>INDEX(Input!$1:$1048576,Q$93,$C594*2+MIN($B594,2)+5)
+INDEX(Scenarios!Q$121:Q$200,MATCH($B594,Scenarios!$B$121:$B$200,0))</f>
        <v>0</v>
      </c>
      <c r="R594" s="478">
        <f>IFERROR(MAX(0,INDEX(Input!$1:$1048576,R$93,$C594*2+MIN($B594,2)+5)
+INDEX(Scenarios!R$121:R$200,MATCH($B594,Scenarios!$B$121:$B$200,0)),),"Market")</f>
        <v>0</v>
      </c>
      <c r="S594" s="478">
        <f>IFERROR(MAX(0,INDEX(Input!$1:$1048576,S$93,$C594*2+MIN($B594,2)+5)
+INDEX(Scenarios!S$121:S$200,MATCH($B594,Scenarios!$B$121:$B$200,0)),),"Market")</f>
        <v>0</v>
      </c>
      <c r="T594" s="478">
        <f>IFERROR(MAX(0,INDEX(Input!$1:$1048576,T$93,$C594*2+MIN($B594,2)+5)
+INDEX(Scenarios!T$121:T$200,MATCH($B594,Scenarios!$B$121:$B$200,0)),),"Market")</f>
        <v>0</v>
      </c>
      <c r="U594" s="478">
        <f>IFERROR(MAX(0,INDEX(Input!$1:$1048576,U$93,$C594*2+MIN($B594,2)+5)
+INDEX(Scenarios!U$121:U$200,MATCH($B594,Scenarios!$B$121:$B$200,0)),),"Market")</f>
        <v>0</v>
      </c>
      <c r="V594" s="478">
        <f>IFERROR(MAX(0,INDEX(Input!$1:$1048576,V$93,$C594*2+MIN($B594,2)+5)
+INDEX(Scenarios!V$121:V$200,MATCH($B594,Scenarios!$B$121:$B$200,0)),),"Market")</f>
        <v>1.9E-2</v>
      </c>
      <c r="W594" s="885">
        <f>IFERROR(MAX(0,INDEX(Input!$1:$1048576,W$93,$C594*2+MIN($B594,2)+5)-0%,),"Market")</f>
        <v>3.9E-2</v>
      </c>
      <c r="X594" s="476" t="str">
        <f>INDEX(Input!$1:$1048576,X$93,$C594*2+MIN($B594,2)+5)</f>
        <v>Y</v>
      </c>
      <c r="Y594" s="475">
        <f>INDEX(Input!$1:$1048576,Y$93,$C594*2+MIN($B594,2)+5)
++INDEX(Scenarios!Y$121:Y$200,MATCH($B594,Scenarios!$B$121:$B$200,0))</f>
        <v>-717.93641739252325</v>
      </c>
      <c r="Z594" s="477">
        <f>INDEX(Input!$1:$1048576,Z$93,$C594*2+MIN($B594,2)+5)
+INDEX(Scenarios!Z$121:Z$200,MATCH($B594,Scenarios!$B$121:$B$200,0))</f>
        <v>0</v>
      </c>
      <c r="AA594" s="475">
        <f>INDEX(Input!$1:$1048576,AA$93,$C594*2+MIN($B594,2)+5)
+INDEX(Scenarios!AA$121:AA$200,MATCH($B594,Scenarios!$B$121:$B$200,0))</f>
        <v>0</v>
      </c>
      <c r="AB594" s="476">
        <f>INDEX(Input!$1:$1048576,AB$93,$C594*2+MIN($B594,2)+5)</f>
        <v>0.27</v>
      </c>
      <c r="AC594" s="475">
        <f>INDEX(Input!$1:$1048576,AC$93,$C594*2+MIN($B594,2)+5)
+INDEX(Scenarios!AC$121:AC$200,MATCH($B594,Scenarios!$B$121:$B$200,0))</f>
        <v>0</v>
      </c>
      <c r="AD594" s="476">
        <f>INDEX(Input!$1:$1048576,AD$93,$C594*2+MIN($B594,2)+5)</f>
        <v>0.27</v>
      </c>
      <c r="AE594" s="475">
        <f>INDEX(Input!$1:$1048576,AE$93,$C594*2+MIN($B594,2)+5)
+INDEX(Scenarios!AE$121:AE$200,MATCH($B594,Scenarios!$B$121:$B$200,0))</f>
        <v>0</v>
      </c>
      <c r="AF594" s="476">
        <f>INDEX(Input!$1:$1048576,AF$93,$C594*2+MIN($B594,2)+5)</f>
        <v>0.2</v>
      </c>
      <c r="AG594" s="475">
        <f>INDEX(Input!$1:$1048576,AG$93,$C594*2+MIN($B594,2)+5)
+INDEX(Scenarios!AG$121:AG$200,MATCH($B594,Scenarios!$B$121:$B$200,0))</f>
        <v>500</v>
      </c>
      <c r="AH594" s="476">
        <f>INDEX(Input!$1:$1048576,AH$93,$C594*2+MIN($B594,2)+5)</f>
        <v>1</v>
      </c>
      <c r="AI594" s="475">
        <f>INDEX(Input!$1:$1048576,AI$93,$C594*2+MIN($B594,2)+5)
+INDEX(Scenarios!AI$121:AI$200,MATCH($B594,Scenarios!$B$121:$B$200,0))</f>
        <v>0</v>
      </c>
      <c r="AJ594" s="476">
        <f>INDEX(Input!$1:$1048576,AJ$93,$C594*2+MIN($B594,2)+5)</f>
        <v>0.27</v>
      </c>
      <c r="AK594" s="150">
        <f>ROUND(INDEX(Input!$1:$1048576,AK$93,$C593*2+MIN($B594,1)+5)+(Y594-VLOOKUP($C594*1000+1,$A:$HH,Y$92,FALSE)),0)</f>
        <v>2587</v>
      </c>
      <c r="AL594" s="150">
        <f>ROUND(INDEX(Input!$1:$1048576,AL$93,$C593*2+MIN($B594,1)+5)-(Y594-VLOOKUP($C594*1000+1,$A:$HH,Y$92,FALSE))/36,0)</f>
        <v>3406</v>
      </c>
      <c r="AM594" s="32" t="str">
        <f t="shared" si="1653"/>
        <v>std/std/std/std</v>
      </c>
      <c r="AN594" s="32" t="str">
        <f t="shared" si="1654"/>
        <v>$0 + 0/0/0/1.9/3.9</v>
      </c>
      <c r="AO594" s="32" t="str">
        <f t="shared" si="1655"/>
        <v>0/0/0/1.9/3.9</v>
      </c>
      <c r="AP594" s="32" t="str">
        <f t="shared" si="1526"/>
        <v>0/0.9/1.9/3.9</v>
      </c>
      <c r="AQ594" s="536">
        <f t="shared" si="1525"/>
        <v>0</v>
      </c>
      <c r="AR594" s="32"/>
      <c r="AS594" s="302"/>
      <c r="AT594" s="3">
        <f t="shared" si="1629"/>
        <v>94</v>
      </c>
      <c r="AU594" s="41" t="s">
        <v>121</v>
      </c>
      <c r="AV594" s="41" t="s">
        <v>116</v>
      </c>
      <c r="AW594" s="41" t="str">
        <f>INDEX(Input!$1:$1048576,AW$93,$C594*2+6)</f>
        <v>Kia</v>
      </c>
      <c r="AX594" s="41" t="str">
        <f>INDEX(Input!$1:$1048576,AX$93,$C594*2+6)</f>
        <v>Kia-LR - R2</v>
      </c>
      <c r="AY594" s="41" t="str">
        <f>IF(LEN(D594)=0,"",INDEX(Input!$1:$1048576,AY$93,$C594*2+6))</f>
        <v/>
      </c>
      <c r="AZ594" s="41" t="str">
        <f>INDEX(Input!$1:$1048576,AZ$93,$C594*2+6)</f>
        <v>Kia Soul</v>
      </c>
      <c r="BA594" s="3">
        <f>INDEX(Input!$1:$1048576,BA$93,$C594*2+6)</f>
        <v>2020</v>
      </c>
      <c r="BB594" s="128">
        <f>INDEX(Input!$1:$1048576,BB$93,$C594*2+6)</f>
        <v>1</v>
      </c>
      <c r="BC594" s="128">
        <f>INDEX(Input!$1:$1048576,BC$93,$C594*2+6)</f>
        <v>0.7</v>
      </c>
      <c r="BD594" s="1">
        <f>INDEX(Input!$1:$1048576,BD$93,$C594*2+6)</f>
        <v>4.4999999999999998E-2</v>
      </c>
      <c r="BE594" s="1">
        <f>INDEX(Input!$1:$1048576,BE$93,$C594*2+6)</f>
        <v>4.4999999999999998E-2</v>
      </c>
      <c r="BF594" s="1">
        <f>INDEX(Input!$1:$1048576,BF$93,$C594*2+6)</f>
        <v>0.05</v>
      </c>
      <c r="BG594" s="1">
        <f>INDEX(Input!$1:$1048576,BG$93,$C594*2+6)</f>
        <v>5.45E-2</v>
      </c>
      <c r="BH594" s="1">
        <f>INDEX(Input!$1:$1048576,BH$93,$C594*2+6)</f>
        <v>5.45E-2</v>
      </c>
      <c r="BI594" s="1">
        <f>INDEX(Input!$1:$1048576,BI$93,$C594*2+6)</f>
        <v>0.05</v>
      </c>
      <c r="BJ594" s="1">
        <f>INDEX(Input!$1:$1048576,BJ$93,$C594*2+6)</f>
        <v>0.05</v>
      </c>
      <c r="BK594" s="1">
        <f>INDEX(Input!$1:$1048576,BK$93,$C594*2+6)</f>
        <v>0.05</v>
      </c>
      <c r="BL594" s="1">
        <f>INDEX(Input!$1:$1048576,BL$93,$C594*2+6)</f>
        <v>5.5E-2</v>
      </c>
      <c r="BM594" s="1">
        <f>INDEX(Input!$1:$1048576,BM$93,$C594*2+6)</f>
        <v>0.06</v>
      </c>
      <c r="BN594" s="1">
        <f>INDEX(Input!$1:$1048576,BN$93,$C594*2+6)</f>
        <v>4.4999999999999998E-2</v>
      </c>
      <c r="BO594" s="1">
        <f>INDEX(Input!$1:$1048576,BO$93,$C594*2+6)</f>
        <v>4.4999999999999998E-2</v>
      </c>
      <c r="BP594" s="1">
        <f>INDEX(Input!$1:$1048576,BP$93,$C594*2+6)</f>
        <v>0.05</v>
      </c>
      <c r="BQ594" s="1">
        <f>INDEX(Input!$1:$1048576,BQ$93,$C594*2+6)</f>
        <v>5.45E-2</v>
      </c>
      <c r="BR594" s="1">
        <f>INDEX(Input!$1:$1048576,BR$93,$C594*2+6)</f>
        <v>5.45E-2</v>
      </c>
      <c r="BS594" s="1">
        <f>INDEX(Input!$1:$1048576,BS$93,$C594*2+6)</f>
        <v>0.05</v>
      </c>
      <c r="BT594" s="1">
        <f>INDEX(Input!$1:$1048576,BT$93,$C594*2+6)</f>
        <v>0.05</v>
      </c>
      <c r="BU594" s="1">
        <f>INDEX(Input!$1:$1048576,BU$93,$C594*2+6)</f>
        <v>0.05</v>
      </c>
      <c r="BV594" s="1">
        <f>INDEX(Input!$1:$1048576,BV$93,$C594*2+6)</f>
        <v>5.5E-2</v>
      </c>
      <c r="BW594" s="1">
        <f>INDEX(Input!$1:$1048576,BW$93,$C594*2+6)</f>
        <v>0.06</v>
      </c>
      <c r="BX594" s="127">
        <f>INDEX(Input!$1:$1048576,BX$93,$C594*2+6)</f>
        <v>19985</v>
      </c>
      <c r="BY594" s="20">
        <f>INDEX(Input!$1:$1048576,BY$93,$C594*2+6)</f>
        <v>0.1</v>
      </c>
      <c r="BZ594" s="20">
        <f>INDEX(Input!$1:$1048576,BZ$93,$C594*2+6)</f>
        <v>0.1</v>
      </c>
      <c r="CA594" s="20">
        <f>INDEX(Input!$1:$1048576,CA$93,$C594*2+6)</f>
        <v>0.1</v>
      </c>
      <c r="CB594" s="20">
        <f>INDEX(Input!$1:$1048576,CB$93,$C594*2+6)</f>
        <v>0.1</v>
      </c>
      <c r="CC594" s="20">
        <f>INDEX(Input!$1:$1048576,CC$93,$C594*2+6)</f>
        <v>0.1</v>
      </c>
      <c r="CD594" s="384">
        <f>INDEX(Input!$1:$1048576,CD$93,$C594*2+6)</f>
        <v>0.1</v>
      </c>
      <c r="CE594" s="384">
        <f>INDEX(Input!$1:$1048576,CE$93,$C594*2+6)</f>
        <v>0.1</v>
      </c>
      <c r="CF594" s="384">
        <f>INDEX(Input!$1:$1048576,CF$93,$C594*2+6)</f>
        <v>0.1</v>
      </c>
      <c r="CG594" s="384">
        <f>INDEX(Input!$1:$1048576,CG$93,$C594*2+6)</f>
        <v>0.1</v>
      </c>
      <c r="CH594" s="384">
        <f>INDEX(Input!$1:$1048576,CH$93,$C594*2+6)</f>
        <v>0.1</v>
      </c>
      <c r="CI594" s="304">
        <f t="shared" si="1527"/>
        <v>1277.4263093788063</v>
      </c>
      <c r="CJ594" s="16" t="str">
        <f>INDEX(Input!$1:$1048576,CJ$93,$C594*2+6)</f>
        <v>N</v>
      </c>
      <c r="CK594" s="1" t="str">
        <f t="shared" si="1528"/>
        <v>Market</v>
      </c>
      <c r="CL594" s="1" t="str">
        <f t="shared" si="1529"/>
        <v>Market</v>
      </c>
      <c r="CM594" s="1" t="str">
        <f t="shared" si="1530"/>
        <v>Market</v>
      </c>
      <c r="CN594" s="1" t="str">
        <f t="shared" si="1531"/>
        <v>Market</v>
      </c>
      <c r="CO594" s="1" t="str">
        <f t="shared" si="1532"/>
        <v>Market</v>
      </c>
      <c r="CP594" s="304">
        <f t="shared" si="1533"/>
        <v>500</v>
      </c>
      <c r="CQ594" s="1">
        <f t="shared" si="1534"/>
        <v>0</v>
      </c>
      <c r="CR594" s="1">
        <f t="shared" si="1535"/>
        <v>0</v>
      </c>
      <c r="CS594" s="1">
        <f t="shared" si="1536"/>
        <v>0</v>
      </c>
      <c r="CT594" s="1">
        <f t="shared" si="1537"/>
        <v>1.9E-2</v>
      </c>
      <c r="CU594" s="1">
        <f t="shared" si="1538"/>
        <v>3.9E-2</v>
      </c>
      <c r="CV594" s="304">
        <f t="shared" si="1539"/>
        <v>-717.93641739252325</v>
      </c>
      <c r="CW594" s="20" t="s">
        <v>122</v>
      </c>
      <c r="CX594" s="20" t="s">
        <v>122</v>
      </c>
      <c r="CY594" s="20" t="s">
        <v>122</v>
      </c>
      <c r="CZ594" s="20" t="s">
        <v>122</v>
      </c>
      <c r="DA594" s="20" t="s">
        <v>122</v>
      </c>
      <c r="DB594" s="503">
        <f t="shared" si="1540"/>
        <v>0</v>
      </c>
      <c r="DC594" s="127">
        <v>0</v>
      </c>
      <c r="DD594" s="127">
        <v>0</v>
      </c>
      <c r="DE594" s="127">
        <v>0</v>
      </c>
      <c r="DF594" s="127">
        <v>0</v>
      </c>
      <c r="DG594" s="127">
        <v>0</v>
      </c>
      <c r="DH594" s="127">
        <v>0</v>
      </c>
      <c r="DI594" s="127">
        <v>0</v>
      </c>
      <c r="DJ594" s="127">
        <v>0</v>
      </c>
      <c r="DK594" s="127">
        <v>0</v>
      </c>
      <c r="DL594" s="127">
        <v>0</v>
      </c>
      <c r="DM594" s="304">
        <f>INDEX(Input!$1:$1048576,DM$93,$C594*2+6)</f>
        <v>21036.84210526316</v>
      </c>
      <c r="DN594" s="20">
        <v>0</v>
      </c>
      <c r="DO594" s="20">
        <v>0</v>
      </c>
      <c r="DP594" s="20">
        <v>0</v>
      </c>
      <c r="DQ594" s="20">
        <v>0</v>
      </c>
      <c r="DR594" s="20">
        <v>0</v>
      </c>
      <c r="DS594" s="20">
        <f>INDEX(Input!$1:$1048576,DS$93,$C594*2+6)</f>
        <v>0.6</v>
      </c>
      <c r="DT594" s="20">
        <f>INDEX(Input!$1:$1048576,DT$93,$C594*2+6)</f>
        <v>0.55000000000000004</v>
      </c>
      <c r="DU594" s="20">
        <f>INDEX(Input!$1:$1048576,DU$93,$C594*2+6)</f>
        <v>0.52</v>
      </c>
      <c r="DV594" s="20">
        <f>INDEX(Input!$1:$1048576,DV$93,$C594*2+6)</f>
        <v>0.5</v>
      </c>
      <c r="DW594" s="20">
        <f>INDEX(Input!$1:$1048576,DW$93,$C594*2+6)</f>
        <v>0.45</v>
      </c>
      <c r="DX594" s="20"/>
      <c r="DY594" s="7"/>
      <c r="DZ594" s="7"/>
      <c r="EA594" s="7"/>
      <c r="EB594" s="7"/>
      <c r="EC594" s="7"/>
      <c r="ED594" s="7"/>
      <c r="EE594" s="7"/>
      <c r="EF594" s="7"/>
      <c r="EG594" s="7"/>
      <c r="EH594" s="7"/>
      <c r="EI594" s="7"/>
      <c r="EJ594" s="7"/>
      <c r="EK594" s="7"/>
      <c r="EL594" s="7"/>
      <c r="EM594" s="7"/>
      <c r="EN594" s="7"/>
      <c r="EO594" s="7"/>
      <c r="EP594" s="7"/>
      <c r="EQ594" s="7"/>
      <c r="ER594" s="7"/>
      <c r="ES594" s="7"/>
      <c r="ET594" s="7"/>
      <c r="EU594" s="6"/>
      <c r="EV594" s="6"/>
      <c r="EW594" s="6"/>
      <c r="EX594" s="6"/>
      <c r="EY594" s="6"/>
      <c r="EZ594" s="6"/>
      <c r="FA594" s="6"/>
      <c r="FB594" s="6"/>
      <c r="FC594" s="6"/>
      <c r="FD594" s="6"/>
      <c r="FE594" s="6"/>
      <c r="FF594" s="6"/>
      <c r="FG594" s="6"/>
      <c r="FH594" s="6"/>
      <c r="FI594" s="6"/>
      <c r="FJ594" s="6"/>
      <c r="FK594" s="6"/>
      <c r="FL594" s="6"/>
      <c r="FM594" s="6"/>
      <c r="FN594" s="6"/>
      <c r="FO594" s="6"/>
      <c r="FP594" s="6"/>
      <c r="FQ594" s="6"/>
      <c r="FR594" s="6"/>
      <c r="FS594" s="6"/>
      <c r="FT594" s="7"/>
      <c r="FU594" s="7"/>
      <c r="FV594" s="7"/>
      <c r="FW594" s="6"/>
      <c r="FX594" s="6"/>
      <c r="FY594" s="6"/>
      <c r="FZ594" s="6"/>
      <c r="GA594" s="6"/>
      <c r="GB594" s="6"/>
      <c r="GC594" s="7"/>
      <c r="GD594" s="7"/>
      <c r="GE594" s="7"/>
      <c r="GF594" s="7"/>
      <c r="GG594" s="7"/>
      <c r="GH594" s="42"/>
      <c r="GI594" s="6"/>
      <c r="GJ594" s="14"/>
      <c r="GK594" s="14"/>
      <c r="GL594" s="14"/>
      <c r="GM594" s="14"/>
      <c r="GO594" s="5"/>
      <c r="GP594" s="5"/>
      <c r="GQ594" s="5"/>
      <c r="GR594" s="5"/>
      <c r="GS594" s="5"/>
      <c r="GT594" s="5"/>
      <c r="GU594" s="5"/>
      <c r="GV594" s="39"/>
      <c r="GW594" s="5"/>
      <c r="GX594" s="5"/>
      <c r="GY594" s="5"/>
      <c r="GZ594" s="5"/>
      <c r="HA594" s="5"/>
      <c r="HB594" s="39"/>
      <c r="HC594" s="5"/>
      <c r="HD594" s="5"/>
      <c r="HE594" s="5"/>
      <c r="HF594" s="5"/>
      <c r="HG594" s="5"/>
      <c r="HH594" s="39"/>
      <c r="HI594" s="16"/>
      <c r="HJ594" s="19"/>
      <c r="HK594" s="1"/>
      <c r="HL594" s="16"/>
      <c r="HM594" s="1"/>
      <c r="HN594" s="1"/>
      <c r="HO594" s="1"/>
      <c r="HP594" s="1"/>
      <c r="HQ594" s="1"/>
      <c r="HR594" s="1"/>
      <c r="HS594" s="1"/>
      <c r="HT594" s="1"/>
      <c r="HU594" s="1"/>
      <c r="HV594" s="1"/>
      <c r="HW594" s="1"/>
      <c r="HX594" s="1"/>
      <c r="HY594" s="1"/>
      <c r="HZ594" s="1"/>
      <c r="IA594" s="1"/>
      <c r="IB594" s="1"/>
      <c r="IC594" s="1"/>
      <c r="ID594" s="1"/>
      <c r="IE594" s="1"/>
      <c r="IF594" s="1"/>
      <c r="IG594" s="1"/>
      <c r="IH594" s="21"/>
      <c r="II594" s="19"/>
      <c r="IJ594" s="19"/>
      <c r="IK594" s="19"/>
      <c r="IL594" s="19"/>
      <c r="IM594" s="19"/>
      <c r="IN594" s="19"/>
      <c r="IO594" s="39"/>
      <c r="IP594" s="39"/>
      <c r="IQ594" s="39"/>
      <c r="IR594" s="39"/>
      <c r="IS594" s="39"/>
      <c r="IT594" s="39"/>
      <c r="IU594" s="39"/>
      <c r="IV594" s="39"/>
      <c r="IW594" s="39"/>
      <c r="IX594" s="39"/>
      <c r="IY594" s="39"/>
      <c r="IZ594" s="39"/>
      <c r="JA594" s="19"/>
      <c r="JB594" s="19"/>
      <c r="JC594" s="19"/>
      <c r="JD594" s="19"/>
      <c r="JE594" s="21"/>
      <c r="JF594" s="1"/>
      <c r="JG594" s="15"/>
      <c r="JH594" s="1"/>
      <c r="JI594" s="1"/>
      <c r="JJ594" s="1"/>
      <c r="JK594" s="1"/>
      <c r="JL594" s="15"/>
      <c r="JM594" s="15"/>
      <c r="JN594" s="21"/>
      <c r="JO594" s="19"/>
      <c r="JP594" s="19"/>
      <c r="JQ594" s="39"/>
      <c r="JR594" s="39"/>
      <c r="JS594" s="39"/>
      <c r="JT594" s="39"/>
      <c r="JU594" s="385"/>
      <c r="JV594" s="39"/>
      <c r="JW594" s="1"/>
      <c r="JX594" s="19"/>
      <c r="JZ594" s="341"/>
      <c r="KA594" s="342"/>
      <c r="KB594" s="469"/>
      <c r="KI594" s="473"/>
      <c r="KJ594" s="473"/>
      <c r="KK594" s="473"/>
    </row>
    <row r="595" spans="1:310" s="26" customFormat="1" ht="15" outlineLevel="1">
      <c r="A595" s="561">
        <f t="shared" si="1652"/>
        <v>5095</v>
      </c>
      <c r="B595" s="561">
        <f t="shared" si="1627"/>
        <v>95</v>
      </c>
      <c r="C595" s="561">
        <f t="shared" si="1628"/>
        <v>5</v>
      </c>
      <c r="D595" s="561" t="str">
        <f t="shared" si="1712"/>
        <v/>
      </c>
      <c r="E595" s="475">
        <f>INDEX(Input!$1:$1048576,E$93,$C595*2+MIN($B595,2)+5)
+INDEX(Scenarios!E$121:E$200,MATCH($B595,Scenarios!$B$121:$B$200,0))</f>
        <v>1277.4263093788063</v>
      </c>
      <c r="F595" s="475">
        <f>INDEX(Input!$1:$1048576,F$93,$C595*2+MIN($B595,2)+5)
+INDEX(Scenarios!F$121:F$200,MATCH($B595,Scenarios!$B$121:$B$200,0))</f>
        <v>0</v>
      </c>
      <c r="G595" s="475">
        <f>INDEX(Input!$1:$1048576,G$93,$C595*2+MIN($B595,2)+5)
+INDEX(Scenarios!G$121:G$200,MATCH($B595,Scenarios!$B$121:$B$200,0))</f>
        <v>0</v>
      </c>
      <c r="H595" s="475">
        <f>INDEX(Input!$1:$1048576,H$93,$C595*2+MIN($B595,2)+5)
+INDEX(Scenarios!H$121:H$200,MATCH($B595,Scenarios!$B$121:$B$200,0))</f>
        <v>0</v>
      </c>
      <c r="I595" s="476">
        <f>INDEX(Input!$1:$1048576,I$93,$C595*2+MIN($B595,2)+5)</f>
        <v>0.7</v>
      </c>
      <c r="J595" s="476" t="str">
        <f>INDEX(Input!$1:$1048576,J$93,$C595*2+MIN($B595,2)+5)</f>
        <v>Market</v>
      </c>
      <c r="K595" s="476" t="str">
        <f>INDEX(Input!$1:$1048576,K$93,$C595*2+MIN($B595,2)+5)</f>
        <v>Market</v>
      </c>
      <c r="L595" s="476" t="str">
        <f>INDEX(Input!$1:$1048576,L$93,$C595*2+MIN($B595,2)+5)</f>
        <v>Market</v>
      </c>
      <c r="M595" s="476" t="str">
        <f>INDEX(Input!$1:$1048576,M$93,$C595*2+MIN($B595,2)+5)</f>
        <v>Market</v>
      </c>
      <c r="N595" s="476" t="str">
        <f>INDEX(Input!$1:$1048576,N$93,$C595*2+MIN($B595,2)+5)</f>
        <v>Market</v>
      </c>
      <c r="O595" s="476" t="str">
        <f>INDEX(Input!$1:$1048576,O$93,$C595*2+MIN($B595,2)+5)</f>
        <v>Market</v>
      </c>
      <c r="P595" s="476" t="str">
        <f>INDEX(Input!$1:$1048576,P$93,$C595*2+MIN($B595,2)+5)</f>
        <v>N</v>
      </c>
      <c r="Q595" s="477">
        <f>INDEX(Input!$1:$1048576,Q$93,$C595*2+MIN($B595,2)+5)
+INDEX(Scenarios!Q$121:Q$200,MATCH($B595,Scenarios!$B$121:$B$200,0))</f>
        <v>0</v>
      </c>
      <c r="R595" s="478">
        <f>IFERROR(MAX(0,INDEX(Input!$1:$1048576,R$93,$C595*2+MIN($B595,2)+5)
+INDEX(Scenarios!R$121:R$200,MATCH($B595,Scenarios!$B$121:$B$200,0)),),"Market")</f>
        <v>0</v>
      </c>
      <c r="S595" s="478">
        <f>IFERROR(MAX(0,INDEX(Input!$1:$1048576,S$93,$C595*2+MIN($B595,2)+5)
+INDEX(Scenarios!S$121:S$200,MATCH($B595,Scenarios!$B$121:$B$200,0)),),"Market")</f>
        <v>0</v>
      </c>
      <c r="T595" s="478">
        <f>IFERROR(MAX(0,INDEX(Input!$1:$1048576,T$93,$C595*2+MIN($B595,2)+5)
+INDEX(Scenarios!T$121:T$200,MATCH($B595,Scenarios!$B$121:$B$200,0)),),"Market")</f>
        <v>0</v>
      </c>
      <c r="U595" s="478">
        <f>IFERROR(MAX(0,INDEX(Input!$1:$1048576,U$93,$C595*2+MIN($B595,2)+5)
+INDEX(Scenarios!U$121:U$200,MATCH($B595,Scenarios!$B$121:$B$200,0)),),"Market")</f>
        <v>0</v>
      </c>
      <c r="V595" s="478">
        <f>IFERROR(MAX(0,INDEX(Input!$1:$1048576,V$93,$C595*2+MIN($B595,2)+5)
+INDEX(Scenarios!V$121:V$200,MATCH($B595,Scenarios!$B$121:$B$200,0)),),"Market")</f>
        <v>1.9E-2</v>
      </c>
      <c r="W595" s="885">
        <f>IFERROR(MAX(0,INDEX(Input!$1:$1048576,W$93,$C595*2+MIN($B595,2)+5)-0%,),"Market")</f>
        <v>3.9E-2</v>
      </c>
      <c r="X595" s="476" t="str">
        <f>INDEX(Input!$1:$1048576,X$93,$C595*2+MIN($B595,2)+5)</f>
        <v>Y</v>
      </c>
      <c r="Y595" s="475">
        <f>INDEX(Input!$1:$1048576,Y$93,$C595*2+MIN($B595,2)+5)
++INDEX(Scenarios!Y$121:Y$200,MATCH($B595,Scenarios!$B$121:$B$200,0))</f>
        <v>-717.93641739252325</v>
      </c>
      <c r="Z595" s="477">
        <f>INDEX(Input!$1:$1048576,Z$93,$C595*2+MIN($B595,2)+5)
+INDEX(Scenarios!Z$121:Z$200,MATCH($B595,Scenarios!$B$121:$B$200,0))</f>
        <v>0</v>
      </c>
      <c r="AA595" s="475">
        <f>INDEX(Input!$1:$1048576,AA$93,$C595*2+MIN($B595,2)+5)
+INDEX(Scenarios!AA$121:AA$200,MATCH($B595,Scenarios!$B$121:$B$200,0))</f>
        <v>0</v>
      </c>
      <c r="AB595" s="476">
        <f>INDEX(Input!$1:$1048576,AB$93,$C595*2+MIN($B595,2)+5)</f>
        <v>0.27</v>
      </c>
      <c r="AC595" s="475">
        <f>INDEX(Input!$1:$1048576,AC$93,$C595*2+MIN($B595,2)+5)
+INDEX(Scenarios!AC$121:AC$200,MATCH($B595,Scenarios!$B$121:$B$200,0))</f>
        <v>0</v>
      </c>
      <c r="AD595" s="476">
        <f>INDEX(Input!$1:$1048576,AD$93,$C595*2+MIN($B595,2)+5)</f>
        <v>0.27</v>
      </c>
      <c r="AE595" s="475">
        <f>INDEX(Input!$1:$1048576,AE$93,$C595*2+MIN($B595,2)+5)
+INDEX(Scenarios!AE$121:AE$200,MATCH($B595,Scenarios!$B$121:$B$200,0))</f>
        <v>0</v>
      </c>
      <c r="AF595" s="476">
        <f>INDEX(Input!$1:$1048576,AF$93,$C595*2+MIN($B595,2)+5)</f>
        <v>0.2</v>
      </c>
      <c r="AG595" s="475">
        <f>INDEX(Input!$1:$1048576,AG$93,$C595*2+MIN($B595,2)+5)
+INDEX(Scenarios!AG$121:AG$200,MATCH($B595,Scenarios!$B$121:$B$200,0))</f>
        <v>500</v>
      </c>
      <c r="AH595" s="476">
        <f>INDEX(Input!$1:$1048576,AH$93,$C595*2+MIN($B595,2)+5)</f>
        <v>1</v>
      </c>
      <c r="AI595" s="475">
        <f>INDEX(Input!$1:$1048576,AI$93,$C595*2+MIN($B595,2)+5)
+INDEX(Scenarios!AI$121:AI$200,MATCH($B595,Scenarios!$B$121:$B$200,0))</f>
        <v>0</v>
      </c>
      <c r="AJ595" s="476">
        <f>INDEX(Input!$1:$1048576,AJ$93,$C595*2+MIN($B595,2)+5)</f>
        <v>0.27</v>
      </c>
      <c r="AK595" s="150">
        <f>ROUND(INDEX(Input!$1:$1048576,AK$93,$C594*2+MIN($B595,1)+5)+(Y595-VLOOKUP($C595*1000+1,$A:$HH,Y$92,FALSE)),0)</f>
        <v>2587</v>
      </c>
      <c r="AL595" s="150">
        <f>ROUND(INDEX(Input!$1:$1048576,AL$93,$C594*2+MIN($B595,1)+5)-(Y595-VLOOKUP($C595*1000+1,$A:$HH,Y$92,FALSE))/36,0)</f>
        <v>3406</v>
      </c>
      <c r="AM595" s="32" t="str">
        <f t="shared" si="1653"/>
        <v>std/std/std/std</v>
      </c>
      <c r="AN595" s="32" t="str">
        <f t="shared" si="1654"/>
        <v>$0 + 0/0/0/1.9/3.9</v>
      </c>
      <c r="AO595" s="32" t="str">
        <f t="shared" si="1655"/>
        <v>0/0/0/1.9/3.9</v>
      </c>
      <c r="AP595" s="32" t="str">
        <f t="shared" si="1526"/>
        <v>0/0.9/1.9/3.9</v>
      </c>
      <c r="AQ595" s="536">
        <f t="shared" si="1525"/>
        <v>0</v>
      </c>
      <c r="AR595" s="32"/>
      <c r="AS595" s="302"/>
      <c r="AT595" s="3">
        <f t="shared" si="1629"/>
        <v>95</v>
      </c>
      <c r="AU595" s="41" t="s">
        <v>121</v>
      </c>
      <c r="AV595" s="41" t="s">
        <v>116</v>
      </c>
      <c r="AW595" s="41" t="str">
        <f>INDEX(Input!$1:$1048576,AW$93,$C595*2+6)</f>
        <v>Kia</v>
      </c>
      <c r="AX595" s="41" t="str">
        <f>INDEX(Input!$1:$1048576,AX$93,$C595*2+6)</f>
        <v>Kia-LR - R2</v>
      </c>
      <c r="AY595" s="41" t="str">
        <f>IF(LEN(D595)=0,"",INDEX(Input!$1:$1048576,AY$93,$C595*2+6))</f>
        <v/>
      </c>
      <c r="AZ595" s="41" t="str">
        <f>INDEX(Input!$1:$1048576,AZ$93,$C595*2+6)</f>
        <v>Kia Soul</v>
      </c>
      <c r="BA595" s="3">
        <f>INDEX(Input!$1:$1048576,BA$93,$C595*2+6)</f>
        <v>2020</v>
      </c>
      <c r="BB595" s="128">
        <f>INDEX(Input!$1:$1048576,BB$93,$C595*2+6)</f>
        <v>1</v>
      </c>
      <c r="BC595" s="128">
        <f>INDEX(Input!$1:$1048576,BC$93,$C595*2+6)</f>
        <v>0.7</v>
      </c>
      <c r="BD595" s="1">
        <f>INDEX(Input!$1:$1048576,BD$93,$C595*2+6)</f>
        <v>4.4999999999999998E-2</v>
      </c>
      <c r="BE595" s="1">
        <f>INDEX(Input!$1:$1048576,BE$93,$C595*2+6)</f>
        <v>4.4999999999999998E-2</v>
      </c>
      <c r="BF595" s="1">
        <f>INDEX(Input!$1:$1048576,BF$93,$C595*2+6)</f>
        <v>0.05</v>
      </c>
      <c r="BG595" s="1">
        <f>INDEX(Input!$1:$1048576,BG$93,$C595*2+6)</f>
        <v>5.45E-2</v>
      </c>
      <c r="BH595" s="1">
        <f>INDEX(Input!$1:$1048576,BH$93,$C595*2+6)</f>
        <v>5.45E-2</v>
      </c>
      <c r="BI595" s="1">
        <f>INDEX(Input!$1:$1048576,BI$93,$C595*2+6)</f>
        <v>0.05</v>
      </c>
      <c r="BJ595" s="1">
        <f>INDEX(Input!$1:$1048576,BJ$93,$C595*2+6)</f>
        <v>0.05</v>
      </c>
      <c r="BK595" s="1">
        <f>INDEX(Input!$1:$1048576,BK$93,$C595*2+6)</f>
        <v>0.05</v>
      </c>
      <c r="BL595" s="1">
        <f>INDEX(Input!$1:$1048576,BL$93,$C595*2+6)</f>
        <v>5.5E-2</v>
      </c>
      <c r="BM595" s="1">
        <f>INDEX(Input!$1:$1048576,BM$93,$C595*2+6)</f>
        <v>0.06</v>
      </c>
      <c r="BN595" s="1">
        <f>INDEX(Input!$1:$1048576,BN$93,$C595*2+6)</f>
        <v>4.4999999999999998E-2</v>
      </c>
      <c r="BO595" s="1">
        <f>INDEX(Input!$1:$1048576,BO$93,$C595*2+6)</f>
        <v>4.4999999999999998E-2</v>
      </c>
      <c r="BP595" s="1">
        <f>INDEX(Input!$1:$1048576,BP$93,$C595*2+6)</f>
        <v>0.05</v>
      </c>
      <c r="BQ595" s="1">
        <f>INDEX(Input!$1:$1048576,BQ$93,$C595*2+6)</f>
        <v>5.45E-2</v>
      </c>
      <c r="BR595" s="1">
        <f>INDEX(Input!$1:$1048576,BR$93,$C595*2+6)</f>
        <v>5.45E-2</v>
      </c>
      <c r="BS595" s="1">
        <f>INDEX(Input!$1:$1048576,BS$93,$C595*2+6)</f>
        <v>0.05</v>
      </c>
      <c r="BT595" s="1">
        <f>INDEX(Input!$1:$1048576,BT$93,$C595*2+6)</f>
        <v>0.05</v>
      </c>
      <c r="BU595" s="1">
        <f>INDEX(Input!$1:$1048576,BU$93,$C595*2+6)</f>
        <v>0.05</v>
      </c>
      <c r="BV595" s="1">
        <f>INDEX(Input!$1:$1048576,BV$93,$C595*2+6)</f>
        <v>5.5E-2</v>
      </c>
      <c r="BW595" s="1">
        <f>INDEX(Input!$1:$1048576,BW$93,$C595*2+6)</f>
        <v>0.06</v>
      </c>
      <c r="BX595" s="127">
        <f>INDEX(Input!$1:$1048576,BX$93,$C595*2+6)</f>
        <v>19985</v>
      </c>
      <c r="BY595" s="20">
        <f>INDEX(Input!$1:$1048576,BY$93,$C595*2+6)</f>
        <v>0.1</v>
      </c>
      <c r="BZ595" s="20">
        <f>INDEX(Input!$1:$1048576,BZ$93,$C595*2+6)</f>
        <v>0.1</v>
      </c>
      <c r="CA595" s="20">
        <f>INDEX(Input!$1:$1048576,CA$93,$C595*2+6)</f>
        <v>0.1</v>
      </c>
      <c r="CB595" s="20">
        <f>INDEX(Input!$1:$1048576,CB$93,$C595*2+6)</f>
        <v>0.1</v>
      </c>
      <c r="CC595" s="20">
        <f>INDEX(Input!$1:$1048576,CC$93,$C595*2+6)</f>
        <v>0.1</v>
      </c>
      <c r="CD595" s="384">
        <f>INDEX(Input!$1:$1048576,CD$93,$C595*2+6)</f>
        <v>0.1</v>
      </c>
      <c r="CE595" s="384">
        <f>INDEX(Input!$1:$1048576,CE$93,$C595*2+6)</f>
        <v>0.1</v>
      </c>
      <c r="CF595" s="384">
        <f>INDEX(Input!$1:$1048576,CF$93,$C595*2+6)</f>
        <v>0.1</v>
      </c>
      <c r="CG595" s="384">
        <f>INDEX(Input!$1:$1048576,CG$93,$C595*2+6)</f>
        <v>0.1</v>
      </c>
      <c r="CH595" s="384">
        <f>INDEX(Input!$1:$1048576,CH$93,$C595*2+6)</f>
        <v>0.1</v>
      </c>
      <c r="CI595" s="304">
        <f t="shared" si="1527"/>
        <v>1277.4263093788063</v>
      </c>
      <c r="CJ595" s="16" t="str">
        <f>INDEX(Input!$1:$1048576,CJ$93,$C595*2+6)</f>
        <v>N</v>
      </c>
      <c r="CK595" s="1" t="str">
        <f t="shared" si="1528"/>
        <v>Market</v>
      </c>
      <c r="CL595" s="1" t="str">
        <f t="shared" si="1529"/>
        <v>Market</v>
      </c>
      <c r="CM595" s="1" t="str">
        <f t="shared" si="1530"/>
        <v>Market</v>
      </c>
      <c r="CN595" s="1" t="str">
        <f t="shared" si="1531"/>
        <v>Market</v>
      </c>
      <c r="CO595" s="1" t="str">
        <f t="shared" si="1532"/>
        <v>Market</v>
      </c>
      <c r="CP595" s="304">
        <f t="shared" si="1533"/>
        <v>500</v>
      </c>
      <c r="CQ595" s="1">
        <f t="shared" si="1534"/>
        <v>0</v>
      </c>
      <c r="CR595" s="1">
        <f t="shared" si="1535"/>
        <v>0</v>
      </c>
      <c r="CS595" s="1">
        <f t="shared" si="1536"/>
        <v>0</v>
      </c>
      <c r="CT595" s="1">
        <f t="shared" si="1537"/>
        <v>1.9E-2</v>
      </c>
      <c r="CU595" s="1">
        <f t="shared" si="1538"/>
        <v>3.9E-2</v>
      </c>
      <c r="CV595" s="304">
        <f t="shared" si="1539"/>
        <v>-717.93641739252325</v>
      </c>
      <c r="CW595" s="20" t="s">
        <v>122</v>
      </c>
      <c r="CX595" s="20" t="s">
        <v>122</v>
      </c>
      <c r="CY595" s="20" t="s">
        <v>122</v>
      </c>
      <c r="CZ595" s="20" t="s">
        <v>122</v>
      </c>
      <c r="DA595" s="20" t="s">
        <v>122</v>
      </c>
      <c r="DB595" s="503">
        <f t="shared" si="1540"/>
        <v>0</v>
      </c>
      <c r="DC595" s="127">
        <v>0</v>
      </c>
      <c r="DD595" s="127">
        <v>0</v>
      </c>
      <c r="DE595" s="127">
        <v>0</v>
      </c>
      <c r="DF595" s="127">
        <v>0</v>
      </c>
      <c r="DG595" s="127">
        <v>0</v>
      </c>
      <c r="DH595" s="127">
        <v>0</v>
      </c>
      <c r="DI595" s="127">
        <v>0</v>
      </c>
      <c r="DJ595" s="127">
        <v>0</v>
      </c>
      <c r="DK595" s="127">
        <v>0</v>
      </c>
      <c r="DL595" s="127">
        <v>0</v>
      </c>
      <c r="DM595" s="304">
        <f>INDEX(Input!$1:$1048576,DM$93,$C595*2+6)</f>
        <v>21036.84210526316</v>
      </c>
      <c r="DN595" s="20">
        <v>0</v>
      </c>
      <c r="DO595" s="20">
        <v>0</v>
      </c>
      <c r="DP595" s="20">
        <v>0</v>
      </c>
      <c r="DQ595" s="20">
        <v>0</v>
      </c>
      <c r="DR595" s="20">
        <v>0</v>
      </c>
      <c r="DS595" s="20">
        <f>INDEX(Input!$1:$1048576,DS$93,$C595*2+6)</f>
        <v>0.6</v>
      </c>
      <c r="DT595" s="20">
        <f>INDEX(Input!$1:$1048576,DT$93,$C595*2+6)</f>
        <v>0.55000000000000004</v>
      </c>
      <c r="DU595" s="20">
        <f>INDEX(Input!$1:$1048576,DU$93,$C595*2+6)</f>
        <v>0.52</v>
      </c>
      <c r="DV595" s="20">
        <f>INDEX(Input!$1:$1048576,DV$93,$C595*2+6)</f>
        <v>0.5</v>
      </c>
      <c r="DW595" s="20">
        <f>INDEX(Input!$1:$1048576,DW$93,$C595*2+6)</f>
        <v>0.45</v>
      </c>
      <c r="DX595" s="20"/>
      <c r="DY595" s="7"/>
      <c r="DZ595" s="7"/>
      <c r="EA595" s="7"/>
      <c r="EB595" s="7"/>
      <c r="EC595" s="7"/>
      <c r="ED595" s="7"/>
      <c r="EE595" s="7"/>
      <c r="EF595" s="7"/>
      <c r="EG595" s="7"/>
      <c r="EH595" s="7"/>
      <c r="EI595" s="7"/>
      <c r="EJ595" s="7"/>
      <c r="EK595" s="7"/>
      <c r="EL595" s="7"/>
      <c r="EM595" s="7"/>
      <c r="EN595" s="7"/>
      <c r="EO595" s="7"/>
      <c r="EP595" s="7"/>
      <c r="EQ595" s="7"/>
      <c r="ER595" s="7"/>
      <c r="ES595" s="7"/>
      <c r="ET595" s="7"/>
      <c r="EU595" s="6"/>
      <c r="EV595" s="6"/>
      <c r="EW595" s="6"/>
      <c r="EX595" s="6"/>
      <c r="EY595" s="6"/>
      <c r="EZ595" s="6"/>
      <c r="FA595" s="6"/>
      <c r="FB595" s="6"/>
      <c r="FC595" s="6"/>
      <c r="FD595" s="6"/>
      <c r="FE595" s="6"/>
      <c r="FF595" s="6"/>
      <c r="FG595" s="6"/>
      <c r="FH595" s="6"/>
      <c r="FI595" s="6"/>
      <c r="FJ595" s="6"/>
      <c r="FK595" s="6"/>
      <c r="FL595" s="6"/>
      <c r="FM595" s="6"/>
      <c r="FN595" s="6"/>
      <c r="FO595" s="6"/>
      <c r="FP595" s="6"/>
      <c r="FQ595" s="6"/>
      <c r="FR595" s="6"/>
      <c r="FS595" s="6"/>
      <c r="FT595" s="7"/>
      <c r="FU595" s="7"/>
      <c r="FV595" s="7"/>
      <c r="FW595" s="6"/>
      <c r="FX595" s="6"/>
      <c r="FY595" s="6"/>
      <c r="FZ595" s="6"/>
      <c r="GA595" s="6"/>
      <c r="GB595" s="6"/>
      <c r="GC595" s="7"/>
      <c r="GD595" s="7"/>
      <c r="GE595" s="7"/>
      <c r="GF595" s="7"/>
      <c r="GG595" s="7"/>
      <c r="GH595" s="42"/>
      <c r="GI595" s="6"/>
      <c r="GJ595" s="14"/>
      <c r="GK595" s="14"/>
      <c r="GL595" s="14"/>
      <c r="GM595" s="14"/>
      <c r="GO595" s="5"/>
      <c r="GP595" s="5"/>
      <c r="GQ595" s="5"/>
      <c r="GR595" s="5"/>
      <c r="GS595" s="5"/>
      <c r="GT595" s="5"/>
      <c r="GU595" s="5"/>
      <c r="GV595" s="39"/>
      <c r="GW595" s="5"/>
      <c r="GX595" s="5"/>
      <c r="GY595" s="5"/>
      <c r="GZ595" s="5"/>
      <c r="HA595" s="5"/>
      <c r="HB595" s="39"/>
      <c r="HC595" s="5"/>
      <c r="HD595" s="5"/>
      <c r="HE595" s="5"/>
      <c r="HF595" s="5"/>
      <c r="HG595" s="5"/>
      <c r="HH595" s="39"/>
      <c r="HI595" s="16"/>
      <c r="HJ595" s="19"/>
      <c r="HK595" s="1"/>
      <c r="HL595" s="16"/>
      <c r="HM595" s="1"/>
      <c r="HN595" s="1"/>
      <c r="HO595" s="1"/>
      <c r="HP595" s="1"/>
      <c r="HQ595" s="1"/>
      <c r="HR595" s="1"/>
      <c r="HS595" s="1"/>
      <c r="HT595" s="1"/>
      <c r="HU595" s="1"/>
      <c r="HV595" s="1"/>
      <c r="HW595" s="1"/>
      <c r="HX595" s="1"/>
      <c r="HY595" s="1"/>
      <c r="HZ595" s="1"/>
      <c r="IA595" s="1"/>
      <c r="IB595" s="1"/>
      <c r="IC595" s="1"/>
      <c r="ID595" s="1"/>
      <c r="IE595" s="1"/>
      <c r="IF595" s="1"/>
      <c r="IG595" s="1"/>
      <c r="IH595" s="21"/>
      <c r="II595" s="19"/>
      <c r="IJ595" s="19"/>
      <c r="IK595" s="19"/>
      <c r="IL595" s="19"/>
      <c r="IM595" s="19"/>
      <c r="IN595" s="19"/>
      <c r="IO595" s="39"/>
      <c r="IP595" s="39"/>
      <c r="IQ595" s="39"/>
      <c r="IR595" s="39"/>
      <c r="IS595" s="39"/>
      <c r="IT595" s="39"/>
      <c r="IU595" s="39"/>
      <c r="IV595" s="39"/>
      <c r="IW595" s="39"/>
      <c r="IX595" s="39"/>
      <c r="IY595" s="39"/>
      <c r="IZ595" s="39"/>
      <c r="JA595" s="19"/>
      <c r="JB595" s="19"/>
      <c r="JC595" s="19"/>
      <c r="JD595" s="19"/>
      <c r="JE595" s="21"/>
      <c r="JF595" s="1"/>
      <c r="JG595" s="15"/>
      <c r="JH595" s="1"/>
      <c r="JI595" s="1"/>
      <c r="JJ595" s="1"/>
      <c r="JK595" s="1"/>
      <c r="JL595" s="15"/>
      <c r="JM595" s="15"/>
      <c r="JN595" s="21"/>
      <c r="JO595" s="19"/>
      <c r="JP595" s="19"/>
      <c r="JQ595" s="39"/>
      <c r="JR595" s="39"/>
      <c r="JS595" s="39"/>
      <c r="JT595" s="39"/>
      <c r="JU595" s="385"/>
      <c r="JV595" s="39"/>
      <c r="JW595" s="1"/>
      <c r="JX595" s="19"/>
      <c r="JZ595" s="341"/>
      <c r="KA595" s="342"/>
      <c r="KB595" s="469"/>
      <c r="KI595" s="473"/>
      <c r="KJ595" s="473"/>
      <c r="KK595" s="473"/>
    </row>
    <row r="596" spans="1:310" s="26" customFormat="1" ht="15" outlineLevel="1">
      <c r="A596" s="561">
        <f t="shared" si="1652"/>
        <v>5096</v>
      </c>
      <c r="B596" s="561">
        <f t="shared" si="1627"/>
        <v>96</v>
      </c>
      <c r="C596" s="561">
        <f t="shared" si="1628"/>
        <v>5</v>
      </c>
      <c r="D596" s="561" t="str">
        <f t="shared" si="1712"/>
        <v/>
      </c>
      <c r="E596" s="475">
        <f>INDEX(Input!$1:$1048576,E$93,$C596*2+MIN($B596,2)+5)
+INDEX(Scenarios!E$121:E$200,MATCH($B596,Scenarios!$B$121:$B$200,0))</f>
        <v>1277.4263093788063</v>
      </c>
      <c r="F596" s="475">
        <f>INDEX(Input!$1:$1048576,F$93,$C596*2+MIN($B596,2)+5)
+INDEX(Scenarios!F$121:F$200,MATCH($B596,Scenarios!$B$121:$B$200,0))</f>
        <v>0</v>
      </c>
      <c r="G596" s="475">
        <f>INDEX(Input!$1:$1048576,G$93,$C596*2+MIN($B596,2)+5)
+INDEX(Scenarios!G$121:G$200,MATCH($B596,Scenarios!$B$121:$B$200,0))</f>
        <v>0</v>
      </c>
      <c r="H596" s="475">
        <f>INDEX(Input!$1:$1048576,H$93,$C596*2+MIN($B596,2)+5)
+INDEX(Scenarios!H$121:H$200,MATCH($B596,Scenarios!$B$121:$B$200,0))</f>
        <v>0</v>
      </c>
      <c r="I596" s="476">
        <f>INDEX(Input!$1:$1048576,I$93,$C596*2+MIN($B596,2)+5)</f>
        <v>0.7</v>
      </c>
      <c r="J596" s="476" t="str">
        <f>INDEX(Input!$1:$1048576,J$93,$C596*2+MIN($B596,2)+5)</f>
        <v>Market</v>
      </c>
      <c r="K596" s="476" t="str">
        <f>INDEX(Input!$1:$1048576,K$93,$C596*2+MIN($B596,2)+5)</f>
        <v>Market</v>
      </c>
      <c r="L596" s="476" t="str">
        <f>INDEX(Input!$1:$1048576,L$93,$C596*2+MIN($B596,2)+5)</f>
        <v>Market</v>
      </c>
      <c r="M596" s="476" t="str">
        <f>INDEX(Input!$1:$1048576,M$93,$C596*2+MIN($B596,2)+5)</f>
        <v>Market</v>
      </c>
      <c r="N596" s="476" t="str">
        <f>INDEX(Input!$1:$1048576,N$93,$C596*2+MIN($B596,2)+5)</f>
        <v>Market</v>
      </c>
      <c r="O596" s="476" t="str">
        <f>INDEX(Input!$1:$1048576,O$93,$C596*2+MIN($B596,2)+5)</f>
        <v>Market</v>
      </c>
      <c r="P596" s="476" t="str">
        <f>INDEX(Input!$1:$1048576,P$93,$C596*2+MIN($B596,2)+5)</f>
        <v>N</v>
      </c>
      <c r="Q596" s="477">
        <f>INDEX(Input!$1:$1048576,Q$93,$C596*2+MIN($B596,2)+5)
+INDEX(Scenarios!Q$121:Q$200,MATCH($B596,Scenarios!$B$121:$B$200,0))</f>
        <v>0</v>
      </c>
      <c r="R596" s="478">
        <f>IFERROR(MAX(0,INDEX(Input!$1:$1048576,R$93,$C596*2+MIN($B596,2)+5)
+INDEX(Scenarios!R$121:R$200,MATCH($B596,Scenarios!$B$121:$B$200,0)),),"Market")</f>
        <v>0</v>
      </c>
      <c r="S596" s="478">
        <f>IFERROR(MAX(0,INDEX(Input!$1:$1048576,S$93,$C596*2+MIN($B596,2)+5)
+INDEX(Scenarios!S$121:S$200,MATCH($B596,Scenarios!$B$121:$B$200,0)),),"Market")</f>
        <v>0</v>
      </c>
      <c r="T596" s="478">
        <f>IFERROR(MAX(0,INDEX(Input!$1:$1048576,T$93,$C596*2+MIN($B596,2)+5)
+INDEX(Scenarios!T$121:T$200,MATCH($B596,Scenarios!$B$121:$B$200,0)),),"Market")</f>
        <v>0</v>
      </c>
      <c r="U596" s="478">
        <f>IFERROR(MAX(0,INDEX(Input!$1:$1048576,U$93,$C596*2+MIN($B596,2)+5)
+INDEX(Scenarios!U$121:U$200,MATCH($B596,Scenarios!$B$121:$B$200,0)),),"Market")</f>
        <v>0</v>
      </c>
      <c r="V596" s="478">
        <f>IFERROR(MAX(0,INDEX(Input!$1:$1048576,V$93,$C596*2+MIN($B596,2)+5)
+INDEX(Scenarios!V$121:V$200,MATCH($B596,Scenarios!$B$121:$B$200,0)),),"Market")</f>
        <v>1.9E-2</v>
      </c>
      <c r="W596" s="885">
        <f>IFERROR(MAX(0,INDEX(Input!$1:$1048576,W$93,$C596*2+MIN($B596,2)+5)-0%,),"Market")</f>
        <v>3.9E-2</v>
      </c>
      <c r="X596" s="476" t="str">
        <f>INDEX(Input!$1:$1048576,X$93,$C596*2+MIN($B596,2)+5)</f>
        <v>Y</v>
      </c>
      <c r="Y596" s="475">
        <f>INDEX(Input!$1:$1048576,Y$93,$C596*2+MIN($B596,2)+5)
++INDEX(Scenarios!Y$121:Y$200,MATCH($B596,Scenarios!$B$121:$B$200,0))</f>
        <v>-717.93641739252325</v>
      </c>
      <c r="Z596" s="477">
        <f>INDEX(Input!$1:$1048576,Z$93,$C596*2+MIN($B596,2)+5)
+INDEX(Scenarios!Z$121:Z$200,MATCH($B596,Scenarios!$B$121:$B$200,0))</f>
        <v>0</v>
      </c>
      <c r="AA596" s="475">
        <f>INDEX(Input!$1:$1048576,AA$93,$C596*2+MIN($B596,2)+5)
+INDEX(Scenarios!AA$121:AA$200,MATCH($B596,Scenarios!$B$121:$B$200,0))</f>
        <v>0</v>
      </c>
      <c r="AB596" s="476">
        <f>INDEX(Input!$1:$1048576,AB$93,$C596*2+MIN($B596,2)+5)</f>
        <v>0.27</v>
      </c>
      <c r="AC596" s="475">
        <f>INDEX(Input!$1:$1048576,AC$93,$C596*2+MIN($B596,2)+5)
+INDEX(Scenarios!AC$121:AC$200,MATCH($B596,Scenarios!$B$121:$B$200,0))</f>
        <v>0</v>
      </c>
      <c r="AD596" s="476">
        <f>INDEX(Input!$1:$1048576,AD$93,$C596*2+MIN($B596,2)+5)</f>
        <v>0.27</v>
      </c>
      <c r="AE596" s="475">
        <f>INDEX(Input!$1:$1048576,AE$93,$C596*2+MIN($B596,2)+5)
+INDEX(Scenarios!AE$121:AE$200,MATCH($B596,Scenarios!$B$121:$B$200,0))</f>
        <v>0</v>
      </c>
      <c r="AF596" s="476">
        <f>INDEX(Input!$1:$1048576,AF$93,$C596*2+MIN($B596,2)+5)</f>
        <v>0.2</v>
      </c>
      <c r="AG596" s="475">
        <f>INDEX(Input!$1:$1048576,AG$93,$C596*2+MIN($B596,2)+5)
+INDEX(Scenarios!AG$121:AG$200,MATCH($B596,Scenarios!$B$121:$B$200,0))</f>
        <v>500</v>
      </c>
      <c r="AH596" s="476">
        <f>INDEX(Input!$1:$1048576,AH$93,$C596*2+MIN($B596,2)+5)</f>
        <v>1</v>
      </c>
      <c r="AI596" s="475">
        <f>INDEX(Input!$1:$1048576,AI$93,$C596*2+MIN($B596,2)+5)
+INDEX(Scenarios!AI$121:AI$200,MATCH($B596,Scenarios!$B$121:$B$200,0))</f>
        <v>0</v>
      </c>
      <c r="AJ596" s="476">
        <f>INDEX(Input!$1:$1048576,AJ$93,$C596*2+MIN($B596,2)+5)</f>
        <v>0.27</v>
      </c>
      <c r="AK596" s="150">
        <f>ROUND(INDEX(Input!$1:$1048576,AK$93,$C595*2+MIN($B596,1)+5)+(Y596-VLOOKUP($C596*1000+1,$A:$HH,Y$92,FALSE)),0)</f>
        <v>2587</v>
      </c>
      <c r="AL596" s="150">
        <f>ROUND(INDEX(Input!$1:$1048576,AL$93,$C595*2+MIN($B596,1)+5)-(Y596-VLOOKUP($C596*1000+1,$A:$HH,Y$92,FALSE))/36,0)</f>
        <v>3406</v>
      </c>
      <c r="AM596" s="32" t="str">
        <f t="shared" si="1653"/>
        <v>std/std/std/std</v>
      </c>
      <c r="AN596" s="32" t="str">
        <f t="shared" si="1654"/>
        <v>$0 + 0/0/0/1.9/3.9</v>
      </c>
      <c r="AO596" s="32" t="str">
        <f t="shared" si="1655"/>
        <v>0/0/0/1.9/3.9</v>
      </c>
      <c r="AP596" s="32" t="str">
        <f t="shared" si="1526"/>
        <v>0/0.9/1.9/3.9</v>
      </c>
      <c r="AQ596" s="536">
        <f t="shared" si="1525"/>
        <v>0</v>
      </c>
      <c r="AR596" s="32"/>
      <c r="AS596" s="302"/>
      <c r="AT596" s="3">
        <f t="shared" si="1629"/>
        <v>96</v>
      </c>
      <c r="AU596" s="41" t="s">
        <v>121</v>
      </c>
      <c r="AV596" s="41" t="s">
        <v>116</v>
      </c>
      <c r="AW596" s="41" t="str">
        <f>INDEX(Input!$1:$1048576,AW$93,$C596*2+6)</f>
        <v>Kia</v>
      </c>
      <c r="AX596" s="41" t="str">
        <f>INDEX(Input!$1:$1048576,AX$93,$C596*2+6)</f>
        <v>Kia-LR - R2</v>
      </c>
      <c r="AY596" s="41" t="str">
        <f>IF(LEN(D596)=0,"",INDEX(Input!$1:$1048576,AY$93,$C596*2+6))</f>
        <v/>
      </c>
      <c r="AZ596" s="41" t="str">
        <f>INDEX(Input!$1:$1048576,AZ$93,$C596*2+6)</f>
        <v>Kia Soul</v>
      </c>
      <c r="BA596" s="3">
        <f>INDEX(Input!$1:$1048576,BA$93,$C596*2+6)</f>
        <v>2020</v>
      </c>
      <c r="BB596" s="128">
        <f>INDEX(Input!$1:$1048576,BB$93,$C596*2+6)</f>
        <v>1</v>
      </c>
      <c r="BC596" s="128">
        <f>INDEX(Input!$1:$1048576,BC$93,$C596*2+6)</f>
        <v>0.7</v>
      </c>
      <c r="BD596" s="1">
        <f>INDEX(Input!$1:$1048576,BD$93,$C596*2+6)</f>
        <v>4.4999999999999998E-2</v>
      </c>
      <c r="BE596" s="1">
        <f>INDEX(Input!$1:$1048576,BE$93,$C596*2+6)</f>
        <v>4.4999999999999998E-2</v>
      </c>
      <c r="BF596" s="1">
        <f>INDEX(Input!$1:$1048576,BF$93,$C596*2+6)</f>
        <v>0.05</v>
      </c>
      <c r="BG596" s="1">
        <f>INDEX(Input!$1:$1048576,BG$93,$C596*2+6)</f>
        <v>5.45E-2</v>
      </c>
      <c r="BH596" s="1">
        <f>INDEX(Input!$1:$1048576,BH$93,$C596*2+6)</f>
        <v>5.45E-2</v>
      </c>
      <c r="BI596" s="1">
        <f>INDEX(Input!$1:$1048576,BI$93,$C596*2+6)</f>
        <v>0.05</v>
      </c>
      <c r="BJ596" s="1">
        <f>INDEX(Input!$1:$1048576,BJ$93,$C596*2+6)</f>
        <v>0.05</v>
      </c>
      <c r="BK596" s="1">
        <f>INDEX(Input!$1:$1048576,BK$93,$C596*2+6)</f>
        <v>0.05</v>
      </c>
      <c r="BL596" s="1">
        <f>INDEX(Input!$1:$1048576,BL$93,$C596*2+6)</f>
        <v>5.5E-2</v>
      </c>
      <c r="BM596" s="1">
        <f>INDEX(Input!$1:$1048576,BM$93,$C596*2+6)</f>
        <v>0.06</v>
      </c>
      <c r="BN596" s="1">
        <f>INDEX(Input!$1:$1048576,BN$93,$C596*2+6)</f>
        <v>4.4999999999999998E-2</v>
      </c>
      <c r="BO596" s="1">
        <f>INDEX(Input!$1:$1048576,BO$93,$C596*2+6)</f>
        <v>4.4999999999999998E-2</v>
      </c>
      <c r="BP596" s="1">
        <f>INDEX(Input!$1:$1048576,BP$93,$C596*2+6)</f>
        <v>0.05</v>
      </c>
      <c r="BQ596" s="1">
        <f>INDEX(Input!$1:$1048576,BQ$93,$C596*2+6)</f>
        <v>5.45E-2</v>
      </c>
      <c r="BR596" s="1">
        <f>INDEX(Input!$1:$1048576,BR$93,$C596*2+6)</f>
        <v>5.45E-2</v>
      </c>
      <c r="BS596" s="1">
        <f>INDEX(Input!$1:$1048576,BS$93,$C596*2+6)</f>
        <v>0.05</v>
      </c>
      <c r="BT596" s="1">
        <f>INDEX(Input!$1:$1048576,BT$93,$C596*2+6)</f>
        <v>0.05</v>
      </c>
      <c r="BU596" s="1">
        <f>INDEX(Input!$1:$1048576,BU$93,$C596*2+6)</f>
        <v>0.05</v>
      </c>
      <c r="BV596" s="1">
        <f>INDEX(Input!$1:$1048576,BV$93,$C596*2+6)</f>
        <v>5.5E-2</v>
      </c>
      <c r="BW596" s="1">
        <f>INDEX(Input!$1:$1048576,BW$93,$C596*2+6)</f>
        <v>0.06</v>
      </c>
      <c r="BX596" s="127">
        <f>INDEX(Input!$1:$1048576,BX$93,$C596*2+6)</f>
        <v>19985</v>
      </c>
      <c r="BY596" s="20">
        <f>INDEX(Input!$1:$1048576,BY$93,$C596*2+6)</f>
        <v>0.1</v>
      </c>
      <c r="BZ596" s="20">
        <f>INDEX(Input!$1:$1048576,BZ$93,$C596*2+6)</f>
        <v>0.1</v>
      </c>
      <c r="CA596" s="20">
        <f>INDEX(Input!$1:$1048576,CA$93,$C596*2+6)</f>
        <v>0.1</v>
      </c>
      <c r="CB596" s="20">
        <f>INDEX(Input!$1:$1048576,CB$93,$C596*2+6)</f>
        <v>0.1</v>
      </c>
      <c r="CC596" s="20">
        <f>INDEX(Input!$1:$1048576,CC$93,$C596*2+6)</f>
        <v>0.1</v>
      </c>
      <c r="CD596" s="384">
        <f>INDEX(Input!$1:$1048576,CD$93,$C596*2+6)</f>
        <v>0.1</v>
      </c>
      <c r="CE596" s="384">
        <f>INDEX(Input!$1:$1048576,CE$93,$C596*2+6)</f>
        <v>0.1</v>
      </c>
      <c r="CF596" s="384">
        <f>INDEX(Input!$1:$1048576,CF$93,$C596*2+6)</f>
        <v>0.1</v>
      </c>
      <c r="CG596" s="384">
        <f>INDEX(Input!$1:$1048576,CG$93,$C596*2+6)</f>
        <v>0.1</v>
      </c>
      <c r="CH596" s="384">
        <f>INDEX(Input!$1:$1048576,CH$93,$C596*2+6)</f>
        <v>0.1</v>
      </c>
      <c r="CI596" s="304">
        <f t="shared" si="1527"/>
        <v>1277.4263093788063</v>
      </c>
      <c r="CJ596" s="16" t="str">
        <f>INDEX(Input!$1:$1048576,CJ$93,$C596*2+6)</f>
        <v>N</v>
      </c>
      <c r="CK596" s="1" t="str">
        <f t="shared" si="1528"/>
        <v>Market</v>
      </c>
      <c r="CL596" s="1" t="str">
        <f t="shared" si="1529"/>
        <v>Market</v>
      </c>
      <c r="CM596" s="1" t="str">
        <f t="shared" si="1530"/>
        <v>Market</v>
      </c>
      <c r="CN596" s="1" t="str">
        <f t="shared" si="1531"/>
        <v>Market</v>
      </c>
      <c r="CO596" s="1" t="str">
        <f t="shared" si="1532"/>
        <v>Market</v>
      </c>
      <c r="CP596" s="304">
        <f t="shared" si="1533"/>
        <v>500</v>
      </c>
      <c r="CQ596" s="1">
        <f t="shared" si="1534"/>
        <v>0</v>
      </c>
      <c r="CR596" s="1">
        <f t="shared" si="1535"/>
        <v>0</v>
      </c>
      <c r="CS596" s="1">
        <f t="shared" si="1536"/>
        <v>0</v>
      </c>
      <c r="CT596" s="1">
        <f t="shared" si="1537"/>
        <v>1.9E-2</v>
      </c>
      <c r="CU596" s="1">
        <f t="shared" si="1538"/>
        <v>3.9E-2</v>
      </c>
      <c r="CV596" s="304">
        <f t="shared" si="1539"/>
        <v>-717.93641739252325</v>
      </c>
      <c r="CW596" s="20" t="s">
        <v>122</v>
      </c>
      <c r="CX596" s="20" t="s">
        <v>122</v>
      </c>
      <c r="CY596" s="20" t="s">
        <v>122</v>
      </c>
      <c r="CZ596" s="20" t="s">
        <v>122</v>
      </c>
      <c r="DA596" s="20" t="s">
        <v>122</v>
      </c>
      <c r="DB596" s="503">
        <f t="shared" si="1540"/>
        <v>0</v>
      </c>
      <c r="DC596" s="127">
        <v>0</v>
      </c>
      <c r="DD596" s="127">
        <v>0</v>
      </c>
      <c r="DE596" s="127">
        <v>0</v>
      </c>
      <c r="DF596" s="127">
        <v>0</v>
      </c>
      <c r="DG596" s="127">
        <v>0</v>
      </c>
      <c r="DH596" s="127">
        <v>0</v>
      </c>
      <c r="DI596" s="127">
        <v>0</v>
      </c>
      <c r="DJ596" s="127">
        <v>0</v>
      </c>
      <c r="DK596" s="127">
        <v>0</v>
      </c>
      <c r="DL596" s="127">
        <v>0</v>
      </c>
      <c r="DM596" s="304">
        <f>INDEX(Input!$1:$1048576,DM$93,$C596*2+6)</f>
        <v>21036.84210526316</v>
      </c>
      <c r="DN596" s="20">
        <v>0</v>
      </c>
      <c r="DO596" s="20">
        <v>0</v>
      </c>
      <c r="DP596" s="20">
        <v>0</v>
      </c>
      <c r="DQ596" s="20">
        <v>0</v>
      </c>
      <c r="DR596" s="20">
        <v>0</v>
      </c>
      <c r="DS596" s="20">
        <f>INDEX(Input!$1:$1048576,DS$93,$C596*2+6)</f>
        <v>0.6</v>
      </c>
      <c r="DT596" s="20">
        <f>INDEX(Input!$1:$1048576,DT$93,$C596*2+6)</f>
        <v>0.55000000000000004</v>
      </c>
      <c r="DU596" s="20">
        <f>INDEX(Input!$1:$1048576,DU$93,$C596*2+6)</f>
        <v>0.52</v>
      </c>
      <c r="DV596" s="20">
        <f>INDEX(Input!$1:$1048576,DV$93,$C596*2+6)</f>
        <v>0.5</v>
      </c>
      <c r="DW596" s="20">
        <f>INDEX(Input!$1:$1048576,DW$93,$C596*2+6)</f>
        <v>0.45</v>
      </c>
      <c r="DX596" s="20"/>
      <c r="DY596" s="7"/>
      <c r="DZ596" s="7"/>
      <c r="EA596" s="7"/>
      <c r="EB596" s="7"/>
      <c r="EC596" s="7"/>
      <c r="ED596" s="7"/>
      <c r="EE596" s="7"/>
      <c r="EF596" s="7"/>
      <c r="EG596" s="7"/>
      <c r="EH596" s="7"/>
      <c r="EI596" s="7"/>
      <c r="EJ596" s="7"/>
      <c r="EK596" s="7"/>
      <c r="EL596" s="7"/>
      <c r="EM596" s="7"/>
      <c r="EN596" s="7"/>
      <c r="EO596" s="7"/>
      <c r="EP596" s="7"/>
      <c r="EQ596" s="7"/>
      <c r="ER596" s="7"/>
      <c r="ES596" s="7"/>
      <c r="ET596" s="7"/>
      <c r="EU596" s="6"/>
      <c r="EV596" s="6"/>
      <c r="EW596" s="6"/>
      <c r="EX596" s="6"/>
      <c r="EY596" s="6"/>
      <c r="EZ596" s="6"/>
      <c r="FA596" s="6"/>
      <c r="FB596" s="6"/>
      <c r="FC596" s="6"/>
      <c r="FD596" s="6"/>
      <c r="FE596" s="6"/>
      <c r="FF596" s="6"/>
      <c r="FG596" s="6"/>
      <c r="FH596" s="6"/>
      <c r="FI596" s="6"/>
      <c r="FJ596" s="6"/>
      <c r="FK596" s="6"/>
      <c r="FL596" s="6"/>
      <c r="FM596" s="6"/>
      <c r="FN596" s="6"/>
      <c r="FO596" s="6"/>
      <c r="FP596" s="6"/>
      <c r="FQ596" s="6"/>
      <c r="FR596" s="6"/>
      <c r="FS596" s="6"/>
      <c r="FT596" s="7"/>
      <c r="FU596" s="7"/>
      <c r="FV596" s="7"/>
      <c r="FW596" s="6"/>
      <c r="FX596" s="6"/>
      <c r="FY596" s="6"/>
      <c r="FZ596" s="6"/>
      <c r="GA596" s="6"/>
      <c r="GB596" s="6"/>
      <c r="GC596" s="7"/>
      <c r="GD596" s="7"/>
      <c r="GE596" s="7"/>
      <c r="GF596" s="7"/>
      <c r="GG596" s="7"/>
      <c r="GH596" s="42"/>
      <c r="GI596" s="6"/>
      <c r="GJ596" s="14"/>
      <c r="GK596" s="14"/>
      <c r="GL596" s="14"/>
      <c r="GM596" s="14"/>
      <c r="GO596" s="5"/>
      <c r="GP596" s="5"/>
      <c r="GQ596" s="5"/>
      <c r="GR596" s="5"/>
      <c r="GS596" s="5"/>
      <c r="GT596" s="5"/>
      <c r="GU596" s="5"/>
      <c r="GV596" s="39"/>
      <c r="GW596" s="5"/>
      <c r="GX596" s="5"/>
      <c r="GY596" s="5"/>
      <c r="GZ596" s="5"/>
      <c r="HA596" s="5"/>
      <c r="HB596" s="39"/>
      <c r="HC596" s="5"/>
      <c r="HD596" s="5"/>
      <c r="HE596" s="5"/>
      <c r="HF596" s="5"/>
      <c r="HG596" s="5"/>
      <c r="HH596" s="39"/>
      <c r="HI596" s="16"/>
      <c r="HJ596" s="19"/>
      <c r="HK596" s="1"/>
      <c r="HL596" s="16"/>
      <c r="HM596" s="1"/>
      <c r="HN596" s="1"/>
      <c r="HO596" s="1"/>
      <c r="HP596" s="1"/>
      <c r="HQ596" s="1"/>
      <c r="HR596" s="1"/>
      <c r="HS596" s="1"/>
      <c r="HT596" s="1"/>
      <c r="HU596" s="1"/>
      <c r="HV596" s="1"/>
      <c r="HW596" s="1"/>
      <c r="HX596" s="1"/>
      <c r="HY596" s="1"/>
      <c r="HZ596" s="1"/>
      <c r="IA596" s="1"/>
      <c r="IB596" s="1"/>
      <c r="IC596" s="1"/>
      <c r="ID596" s="1"/>
      <c r="IE596" s="1"/>
      <c r="IF596" s="1"/>
      <c r="IG596" s="1"/>
      <c r="IH596" s="21"/>
      <c r="II596" s="19"/>
      <c r="IJ596" s="19"/>
      <c r="IK596" s="19"/>
      <c r="IL596" s="19"/>
      <c r="IM596" s="19"/>
      <c r="IN596" s="19"/>
      <c r="IO596" s="39"/>
      <c r="IP596" s="39"/>
      <c r="IQ596" s="39"/>
      <c r="IR596" s="39"/>
      <c r="IS596" s="39"/>
      <c r="IT596" s="39"/>
      <c r="IU596" s="39"/>
      <c r="IV596" s="39"/>
      <c r="IW596" s="39"/>
      <c r="IX596" s="39"/>
      <c r="IY596" s="39"/>
      <c r="IZ596" s="39"/>
      <c r="JA596" s="19"/>
      <c r="JB596" s="19"/>
      <c r="JC596" s="19"/>
      <c r="JD596" s="19"/>
      <c r="JE596" s="21"/>
      <c r="JF596" s="1"/>
      <c r="JG596" s="15"/>
      <c r="JH596" s="1"/>
      <c r="JI596" s="1"/>
      <c r="JJ596" s="1"/>
      <c r="JK596" s="1"/>
      <c r="JL596" s="15"/>
      <c r="JM596" s="15"/>
      <c r="JN596" s="21"/>
      <c r="JO596" s="19"/>
      <c r="JP596" s="19"/>
      <c r="JQ596" s="39"/>
      <c r="JR596" s="39"/>
      <c r="JS596" s="39"/>
      <c r="JT596" s="39"/>
      <c r="JU596" s="385"/>
      <c r="JV596" s="39"/>
      <c r="JW596" s="1"/>
      <c r="JX596" s="19"/>
      <c r="JZ596" s="341"/>
      <c r="KA596" s="342"/>
      <c r="KB596" s="469"/>
      <c r="KI596" s="473"/>
      <c r="KJ596" s="473"/>
      <c r="KK596" s="473"/>
    </row>
    <row r="597" spans="1:310" s="26" customFormat="1" ht="15" outlineLevel="1">
      <c r="A597" s="561">
        <f t="shared" si="1652"/>
        <v>5097</v>
      </c>
      <c r="B597" s="561">
        <f t="shared" si="1627"/>
        <v>97</v>
      </c>
      <c r="C597" s="561">
        <f t="shared" si="1628"/>
        <v>5</v>
      </c>
      <c r="D597" s="561" t="str">
        <f t="shared" si="1712"/>
        <v/>
      </c>
      <c r="E597" s="475">
        <f>INDEX(Input!$1:$1048576,E$93,$C597*2+MIN($B597,2)+5)
+INDEX(Scenarios!E$121:E$200,MATCH($B597,Scenarios!$B$121:$B$200,0))</f>
        <v>1277.4263093788063</v>
      </c>
      <c r="F597" s="475">
        <f>INDEX(Input!$1:$1048576,F$93,$C597*2+MIN($B597,2)+5)
+INDEX(Scenarios!F$121:F$200,MATCH($B597,Scenarios!$B$121:$B$200,0))</f>
        <v>0</v>
      </c>
      <c r="G597" s="475">
        <f>INDEX(Input!$1:$1048576,G$93,$C597*2+MIN($B597,2)+5)
+INDEX(Scenarios!G$121:G$200,MATCH($B597,Scenarios!$B$121:$B$200,0))</f>
        <v>0</v>
      </c>
      <c r="H597" s="475">
        <f>INDEX(Input!$1:$1048576,H$93,$C597*2+MIN($B597,2)+5)
+INDEX(Scenarios!H$121:H$200,MATCH($B597,Scenarios!$B$121:$B$200,0))</f>
        <v>0</v>
      </c>
      <c r="I597" s="476">
        <f>INDEX(Input!$1:$1048576,I$93,$C597*2+MIN($B597,2)+5)</f>
        <v>0.7</v>
      </c>
      <c r="J597" s="476" t="str">
        <f>INDEX(Input!$1:$1048576,J$93,$C597*2+MIN($B597,2)+5)</f>
        <v>Market</v>
      </c>
      <c r="K597" s="476" t="str">
        <f>INDEX(Input!$1:$1048576,K$93,$C597*2+MIN($B597,2)+5)</f>
        <v>Market</v>
      </c>
      <c r="L597" s="476" t="str">
        <f>INDEX(Input!$1:$1048576,L$93,$C597*2+MIN($B597,2)+5)</f>
        <v>Market</v>
      </c>
      <c r="M597" s="476" t="str">
        <f>INDEX(Input!$1:$1048576,M$93,$C597*2+MIN($B597,2)+5)</f>
        <v>Market</v>
      </c>
      <c r="N597" s="476" t="str">
        <f>INDEX(Input!$1:$1048576,N$93,$C597*2+MIN($B597,2)+5)</f>
        <v>Market</v>
      </c>
      <c r="O597" s="476" t="str">
        <f>INDEX(Input!$1:$1048576,O$93,$C597*2+MIN($B597,2)+5)</f>
        <v>Market</v>
      </c>
      <c r="P597" s="476" t="str">
        <f>INDEX(Input!$1:$1048576,P$93,$C597*2+MIN($B597,2)+5)</f>
        <v>N</v>
      </c>
      <c r="Q597" s="477">
        <f>INDEX(Input!$1:$1048576,Q$93,$C597*2+MIN($B597,2)+5)
+INDEX(Scenarios!Q$121:Q$200,MATCH($B597,Scenarios!$B$121:$B$200,0))</f>
        <v>0</v>
      </c>
      <c r="R597" s="478">
        <f>IFERROR(MAX(0,INDEX(Input!$1:$1048576,R$93,$C597*2+MIN($B597,2)+5)
+INDEX(Scenarios!R$121:R$200,MATCH($B597,Scenarios!$B$121:$B$200,0)),),"Market")</f>
        <v>0</v>
      </c>
      <c r="S597" s="478">
        <f>IFERROR(MAX(0,INDEX(Input!$1:$1048576,S$93,$C597*2+MIN($B597,2)+5)
+INDEX(Scenarios!S$121:S$200,MATCH($B597,Scenarios!$B$121:$B$200,0)),),"Market")</f>
        <v>0</v>
      </c>
      <c r="T597" s="478">
        <f>IFERROR(MAX(0,INDEX(Input!$1:$1048576,T$93,$C597*2+MIN($B597,2)+5)
+INDEX(Scenarios!T$121:T$200,MATCH($B597,Scenarios!$B$121:$B$200,0)),),"Market")</f>
        <v>0</v>
      </c>
      <c r="U597" s="478">
        <f>IFERROR(MAX(0,INDEX(Input!$1:$1048576,U$93,$C597*2+MIN($B597,2)+5)
+INDEX(Scenarios!U$121:U$200,MATCH($B597,Scenarios!$B$121:$B$200,0)),),"Market")</f>
        <v>0</v>
      </c>
      <c r="V597" s="478">
        <f>IFERROR(MAX(0,INDEX(Input!$1:$1048576,V$93,$C597*2+MIN($B597,2)+5)
+INDEX(Scenarios!V$121:V$200,MATCH($B597,Scenarios!$B$121:$B$200,0)),),"Market")</f>
        <v>1.9E-2</v>
      </c>
      <c r="W597" s="885">
        <f>IFERROR(MAX(0,INDEX(Input!$1:$1048576,W$93,$C597*2+MIN($B597,2)+5)-0%,),"Market")</f>
        <v>3.9E-2</v>
      </c>
      <c r="X597" s="476" t="str">
        <f>INDEX(Input!$1:$1048576,X$93,$C597*2+MIN($B597,2)+5)</f>
        <v>Y</v>
      </c>
      <c r="Y597" s="475">
        <f>INDEX(Input!$1:$1048576,Y$93,$C597*2+MIN($B597,2)+5)
++INDEX(Scenarios!Y$121:Y$200,MATCH($B597,Scenarios!$B$121:$B$200,0))</f>
        <v>-717.93641739252325</v>
      </c>
      <c r="Z597" s="477">
        <f>INDEX(Input!$1:$1048576,Z$93,$C597*2+MIN($B597,2)+5)
+INDEX(Scenarios!Z$121:Z$200,MATCH($B597,Scenarios!$B$121:$B$200,0))</f>
        <v>0</v>
      </c>
      <c r="AA597" s="475">
        <f>INDEX(Input!$1:$1048576,AA$93,$C597*2+MIN($B597,2)+5)
+INDEX(Scenarios!AA$121:AA$200,MATCH($B597,Scenarios!$B$121:$B$200,0))</f>
        <v>0</v>
      </c>
      <c r="AB597" s="476">
        <f>INDEX(Input!$1:$1048576,AB$93,$C597*2+MIN($B597,2)+5)</f>
        <v>0.27</v>
      </c>
      <c r="AC597" s="475">
        <f>INDEX(Input!$1:$1048576,AC$93,$C597*2+MIN($B597,2)+5)
+INDEX(Scenarios!AC$121:AC$200,MATCH($B597,Scenarios!$B$121:$B$200,0))</f>
        <v>0</v>
      </c>
      <c r="AD597" s="476">
        <f>INDEX(Input!$1:$1048576,AD$93,$C597*2+MIN($B597,2)+5)</f>
        <v>0.27</v>
      </c>
      <c r="AE597" s="475">
        <f>INDEX(Input!$1:$1048576,AE$93,$C597*2+MIN($B597,2)+5)
+INDEX(Scenarios!AE$121:AE$200,MATCH($B597,Scenarios!$B$121:$B$200,0))</f>
        <v>0</v>
      </c>
      <c r="AF597" s="476">
        <f>INDEX(Input!$1:$1048576,AF$93,$C597*2+MIN($B597,2)+5)</f>
        <v>0.2</v>
      </c>
      <c r="AG597" s="475">
        <f>INDEX(Input!$1:$1048576,AG$93,$C597*2+MIN($B597,2)+5)
+INDEX(Scenarios!AG$121:AG$200,MATCH($B597,Scenarios!$B$121:$B$200,0))</f>
        <v>500</v>
      </c>
      <c r="AH597" s="476">
        <f>INDEX(Input!$1:$1048576,AH$93,$C597*2+MIN($B597,2)+5)</f>
        <v>1</v>
      </c>
      <c r="AI597" s="475">
        <f>INDEX(Input!$1:$1048576,AI$93,$C597*2+MIN($B597,2)+5)
+INDEX(Scenarios!AI$121:AI$200,MATCH($B597,Scenarios!$B$121:$B$200,0))</f>
        <v>0</v>
      </c>
      <c r="AJ597" s="476">
        <f>INDEX(Input!$1:$1048576,AJ$93,$C597*2+MIN($B597,2)+5)</f>
        <v>0.27</v>
      </c>
      <c r="AK597" s="150">
        <f>ROUND(INDEX(Input!$1:$1048576,AK$93,$C596*2+MIN($B597,1)+5)+(Y597-VLOOKUP($C597*1000+1,$A:$HH,Y$92,FALSE)),0)</f>
        <v>2587</v>
      </c>
      <c r="AL597" s="150">
        <f>ROUND(INDEX(Input!$1:$1048576,AL$93,$C596*2+MIN($B597,1)+5)-(Y597-VLOOKUP($C597*1000+1,$A:$HH,Y$92,FALSE))/36,0)</f>
        <v>3406</v>
      </c>
      <c r="AM597" s="32" t="str">
        <f t="shared" si="1653"/>
        <v>std/std/std/std</v>
      </c>
      <c r="AN597" s="32" t="str">
        <f t="shared" si="1654"/>
        <v>$0 + 0/0/0/1.9/3.9</v>
      </c>
      <c r="AO597" s="32" t="str">
        <f t="shared" si="1655"/>
        <v>0/0/0/1.9/3.9</v>
      </c>
      <c r="AP597" s="32" t="str">
        <f t="shared" si="1526"/>
        <v>0/0.9/1.9/3.9</v>
      </c>
      <c r="AQ597" s="536">
        <f t="shared" si="1525"/>
        <v>0</v>
      </c>
      <c r="AR597" s="32"/>
      <c r="AS597" s="302"/>
      <c r="AT597" s="3">
        <f t="shared" si="1629"/>
        <v>97</v>
      </c>
      <c r="AU597" s="41" t="s">
        <v>121</v>
      </c>
      <c r="AV597" s="41" t="s">
        <v>116</v>
      </c>
      <c r="AW597" s="41" t="str">
        <f>INDEX(Input!$1:$1048576,AW$93,$C597*2+6)</f>
        <v>Kia</v>
      </c>
      <c r="AX597" s="41" t="str">
        <f>INDEX(Input!$1:$1048576,AX$93,$C597*2+6)</f>
        <v>Kia-LR - R2</v>
      </c>
      <c r="AY597" s="41" t="str">
        <f>IF(LEN(D597)=0,"",INDEX(Input!$1:$1048576,AY$93,$C597*2+6))</f>
        <v/>
      </c>
      <c r="AZ597" s="41" t="str">
        <f>INDEX(Input!$1:$1048576,AZ$93,$C597*2+6)</f>
        <v>Kia Soul</v>
      </c>
      <c r="BA597" s="3">
        <f>INDEX(Input!$1:$1048576,BA$93,$C597*2+6)</f>
        <v>2020</v>
      </c>
      <c r="BB597" s="128">
        <f>INDEX(Input!$1:$1048576,BB$93,$C597*2+6)</f>
        <v>1</v>
      </c>
      <c r="BC597" s="128">
        <f>INDEX(Input!$1:$1048576,BC$93,$C597*2+6)</f>
        <v>0.7</v>
      </c>
      <c r="BD597" s="1">
        <f>INDEX(Input!$1:$1048576,BD$93,$C597*2+6)</f>
        <v>4.4999999999999998E-2</v>
      </c>
      <c r="BE597" s="1">
        <f>INDEX(Input!$1:$1048576,BE$93,$C597*2+6)</f>
        <v>4.4999999999999998E-2</v>
      </c>
      <c r="BF597" s="1">
        <f>INDEX(Input!$1:$1048576,BF$93,$C597*2+6)</f>
        <v>0.05</v>
      </c>
      <c r="BG597" s="1">
        <f>INDEX(Input!$1:$1048576,BG$93,$C597*2+6)</f>
        <v>5.45E-2</v>
      </c>
      <c r="BH597" s="1">
        <f>INDEX(Input!$1:$1048576,BH$93,$C597*2+6)</f>
        <v>5.45E-2</v>
      </c>
      <c r="BI597" s="1">
        <f>INDEX(Input!$1:$1048576,BI$93,$C597*2+6)</f>
        <v>0.05</v>
      </c>
      <c r="BJ597" s="1">
        <f>INDEX(Input!$1:$1048576,BJ$93,$C597*2+6)</f>
        <v>0.05</v>
      </c>
      <c r="BK597" s="1">
        <f>INDEX(Input!$1:$1048576,BK$93,$C597*2+6)</f>
        <v>0.05</v>
      </c>
      <c r="BL597" s="1">
        <f>INDEX(Input!$1:$1048576,BL$93,$C597*2+6)</f>
        <v>5.5E-2</v>
      </c>
      <c r="BM597" s="1">
        <f>INDEX(Input!$1:$1048576,BM$93,$C597*2+6)</f>
        <v>0.06</v>
      </c>
      <c r="BN597" s="1">
        <f>INDEX(Input!$1:$1048576,BN$93,$C597*2+6)</f>
        <v>4.4999999999999998E-2</v>
      </c>
      <c r="BO597" s="1">
        <f>INDEX(Input!$1:$1048576,BO$93,$C597*2+6)</f>
        <v>4.4999999999999998E-2</v>
      </c>
      <c r="BP597" s="1">
        <f>INDEX(Input!$1:$1048576,BP$93,$C597*2+6)</f>
        <v>0.05</v>
      </c>
      <c r="BQ597" s="1">
        <f>INDEX(Input!$1:$1048576,BQ$93,$C597*2+6)</f>
        <v>5.45E-2</v>
      </c>
      <c r="BR597" s="1">
        <f>INDEX(Input!$1:$1048576,BR$93,$C597*2+6)</f>
        <v>5.45E-2</v>
      </c>
      <c r="BS597" s="1">
        <f>INDEX(Input!$1:$1048576,BS$93,$C597*2+6)</f>
        <v>0.05</v>
      </c>
      <c r="BT597" s="1">
        <f>INDEX(Input!$1:$1048576,BT$93,$C597*2+6)</f>
        <v>0.05</v>
      </c>
      <c r="BU597" s="1">
        <f>INDEX(Input!$1:$1048576,BU$93,$C597*2+6)</f>
        <v>0.05</v>
      </c>
      <c r="BV597" s="1">
        <f>INDEX(Input!$1:$1048576,BV$93,$C597*2+6)</f>
        <v>5.5E-2</v>
      </c>
      <c r="BW597" s="1">
        <f>INDEX(Input!$1:$1048576,BW$93,$C597*2+6)</f>
        <v>0.06</v>
      </c>
      <c r="BX597" s="127">
        <f>INDEX(Input!$1:$1048576,BX$93,$C597*2+6)</f>
        <v>19985</v>
      </c>
      <c r="BY597" s="20">
        <f>INDEX(Input!$1:$1048576,BY$93,$C597*2+6)</f>
        <v>0.1</v>
      </c>
      <c r="BZ597" s="20">
        <f>INDEX(Input!$1:$1048576,BZ$93,$C597*2+6)</f>
        <v>0.1</v>
      </c>
      <c r="CA597" s="20">
        <f>INDEX(Input!$1:$1048576,CA$93,$C597*2+6)</f>
        <v>0.1</v>
      </c>
      <c r="CB597" s="20">
        <f>INDEX(Input!$1:$1048576,CB$93,$C597*2+6)</f>
        <v>0.1</v>
      </c>
      <c r="CC597" s="20">
        <f>INDEX(Input!$1:$1048576,CC$93,$C597*2+6)</f>
        <v>0.1</v>
      </c>
      <c r="CD597" s="384">
        <f>INDEX(Input!$1:$1048576,CD$93,$C597*2+6)</f>
        <v>0.1</v>
      </c>
      <c r="CE597" s="384">
        <f>INDEX(Input!$1:$1048576,CE$93,$C597*2+6)</f>
        <v>0.1</v>
      </c>
      <c r="CF597" s="384">
        <f>INDEX(Input!$1:$1048576,CF$93,$C597*2+6)</f>
        <v>0.1</v>
      </c>
      <c r="CG597" s="384">
        <f>INDEX(Input!$1:$1048576,CG$93,$C597*2+6)</f>
        <v>0.1</v>
      </c>
      <c r="CH597" s="384">
        <f>INDEX(Input!$1:$1048576,CH$93,$C597*2+6)</f>
        <v>0.1</v>
      </c>
      <c r="CI597" s="304">
        <f t="shared" si="1527"/>
        <v>1277.4263093788063</v>
      </c>
      <c r="CJ597" s="16" t="str">
        <f>INDEX(Input!$1:$1048576,CJ$93,$C597*2+6)</f>
        <v>N</v>
      </c>
      <c r="CK597" s="1" t="str">
        <f t="shared" si="1528"/>
        <v>Market</v>
      </c>
      <c r="CL597" s="1" t="str">
        <f t="shared" si="1529"/>
        <v>Market</v>
      </c>
      <c r="CM597" s="1" t="str">
        <f t="shared" si="1530"/>
        <v>Market</v>
      </c>
      <c r="CN597" s="1" t="str">
        <f t="shared" si="1531"/>
        <v>Market</v>
      </c>
      <c r="CO597" s="1" t="str">
        <f t="shared" si="1532"/>
        <v>Market</v>
      </c>
      <c r="CP597" s="304">
        <f t="shared" si="1533"/>
        <v>500</v>
      </c>
      <c r="CQ597" s="1">
        <f t="shared" si="1534"/>
        <v>0</v>
      </c>
      <c r="CR597" s="1">
        <f t="shared" si="1535"/>
        <v>0</v>
      </c>
      <c r="CS597" s="1">
        <f t="shared" si="1536"/>
        <v>0</v>
      </c>
      <c r="CT597" s="1">
        <f t="shared" si="1537"/>
        <v>1.9E-2</v>
      </c>
      <c r="CU597" s="1">
        <f t="shared" si="1538"/>
        <v>3.9E-2</v>
      </c>
      <c r="CV597" s="304">
        <f t="shared" si="1539"/>
        <v>-717.93641739252325</v>
      </c>
      <c r="CW597" s="20" t="s">
        <v>122</v>
      </c>
      <c r="CX597" s="20" t="s">
        <v>122</v>
      </c>
      <c r="CY597" s="20" t="s">
        <v>122</v>
      </c>
      <c r="CZ597" s="20" t="s">
        <v>122</v>
      </c>
      <c r="DA597" s="20" t="s">
        <v>122</v>
      </c>
      <c r="DB597" s="503">
        <f t="shared" si="1540"/>
        <v>0</v>
      </c>
      <c r="DC597" s="127">
        <v>0</v>
      </c>
      <c r="DD597" s="127">
        <v>0</v>
      </c>
      <c r="DE597" s="127">
        <v>0</v>
      </c>
      <c r="DF597" s="127">
        <v>0</v>
      </c>
      <c r="DG597" s="127">
        <v>0</v>
      </c>
      <c r="DH597" s="127">
        <v>0</v>
      </c>
      <c r="DI597" s="127">
        <v>0</v>
      </c>
      <c r="DJ597" s="127">
        <v>0</v>
      </c>
      <c r="DK597" s="127">
        <v>0</v>
      </c>
      <c r="DL597" s="127">
        <v>0</v>
      </c>
      <c r="DM597" s="304">
        <f>INDEX(Input!$1:$1048576,DM$93,$C597*2+6)</f>
        <v>21036.84210526316</v>
      </c>
      <c r="DN597" s="20">
        <v>0</v>
      </c>
      <c r="DO597" s="20">
        <v>0</v>
      </c>
      <c r="DP597" s="20">
        <v>0</v>
      </c>
      <c r="DQ597" s="20">
        <v>0</v>
      </c>
      <c r="DR597" s="20">
        <v>0</v>
      </c>
      <c r="DS597" s="20">
        <f>INDEX(Input!$1:$1048576,DS$93,$C597*2+6)</f>
        <v>0.6</v>
      </c>
      <c r="DT597" s="20">
        <f>INDEX(Input!$1:$1048576,DT$93,$C597*2+6)</f>
        <v>0.55000000000000004</v>
      </c>
      <c r="DU597" s="20">
        <f>INDEX(Input!$1:$1048576,DU$93,$C597*2+6)</f>
        <v>0.52</v>
      </c>
      <c r="DV597" s="20">
        <f>INDEX(Input!$1:$1048576,DV$93,$C597*2+6)</f>
        <v>0.5</v>
      </c>
      <c r="DW597" s="20">
        <f>INDEX(Input!$1:$1048576,DW$93,$C597*2+6)</f>
        <v>0.45</v>
      </c>
      <c r="DX597" s="20"/>
      <c r="DY597" s="7"/>
      <c r="DZ597" s="7"/>
      <c r="EA597" s="7"/>
      <c r="EB597" s="7"/>
      <c r="EC597" s="7"/>
      <c r="ED597" s="7"/>
      <c r="EE597" s="7"/>
      <c r="EF597" s="7"/>
      <c r="EG597" s="7"/>
      <c r="EH597" s="7"/>
      <c r="EI597" s="7"/>
      <c r="EJ597" s="7"/>
      <c r="EK597" s="7"/>
      <c r="EL597" s="7"/>
      <c r="EM597" s="7"/>
      <c r="EN597" s="7"/>
      <c r="EO597" s="7"/>
      <c r="EP597" s="7"/>
      <c r="EQ597" s="7"/>
      <c r="ER597" s="7"/>
      <c r="ES597" s="7"/>
      <c r="ET597" s="7"/>
      <c r="EU597" s="6"/>
      <c r="EV597" s="6"/>
      <c r="EW597" s="6"/>
      <c r="EX597" s="6"/>
      <c r="EY597" s="6"/>
      <c r="EZ597" s="6"/>
      <c r="FA597" s="6"/>
      <c r="FB597" s="6"/>
      <c r="FC597" s="6"/>
      <c r="FD597" s="6"/>
      <c r="FE597" s="6"/>
      <c r="FF597" s="6"/>
      <c r="FG597" s="6"/>
      <c r="FH597" s="6"/>
      <c r="FI597" s="6"/>
      <c r="FJ597" s="6"/>
      <c r="FK597" s="6"/>
      <c r="FL597" s="6"/>
      <c r="FM597" s="6"/>
      <c r="FN597" s="6"/>
      <c r="FO597" s="6"/>
      <c r="FP597" s="6"/>
      <c r="FQ597" s="6"/>
      <c r="FR597" s="6"/>
      <c r="FS597" s="6"/>
      <c r="FT597" s="7"/>
      <c r="FU597" s="7"/>
      <c r="FV597" s="7"/>
      <c r="FW597" s="6"/>
      <c r="FX597" s="6"/>
      <c r="FY597" s="6"/>
      <c r="FZ597" s="6"/>
      <c r="GA597" s="6"/>
      <c r="GB597" s="6"/>
      <c r="GC597" s="7"/>
      <c r="GD597" s="7"/>
      <c r="GE597" s="7"/>
      <c r="GF597" s="7"/>
      <c r="GG597" s="7"/>
      <c r="GH597" s="42"/>
      <c r="GI597" s="6"/>
      <c r="GJ597" s="14"/>
      <c r="GK597" s="14"/>
      <c r="GL597" s="14"/>
      <c r="GM597" s="14"/>
      <c r="GO597" s="5"/>
      <c r="GP597" s="5"/>
      <c r="GQ597" s="5"/>
      <c r="GR597" s="5"/>
      <c r="GS597" s="5"/>
      <c r="GT597" s="5"/>
      <c r="GU597" s="5"/>
      <c r="GV597" s="39"/>
      <c r="GW597" s="5"/>
      <c r="GX597" s="5"/>
      <c r="GY597" s="5"/>
      <c r="GZ597" s="5"/>
      <c r="HA597" s="5"/>
      <c r="HB597" s="39"/>
      <c r="HC597" s="5"/>
      <c r="HD597" s="5"/>
      <c r="HE597" s="5"/>
      <c r="HF597" s="5"/>
      <c r="HG597" s="5"/>
      <c r="HH597" s="39"/>
      <c r="HI597" s="16"/>
      <c r="HJ597" s="19"/>
      <c r="HK597" s="1"/>
      <c r="HL597" s="16"/>
      <c r="HM597" s="1"/>
      <c r="HN597" s="1"/>
      <c r="HO597" s="1"/>
      <c r="HP597" s="1"/>
      <c r="HQ597" s="1"/>
      <c r="HR597" s="1"/>
      <c r="HS597" s="1"/>
      <c r="HT597" s="1"/>
      <c r="HU597" s="1"/>
      <c r="HV597" s="1"/>
      <c r="HW597" s="1"/>
      <c r="HX597" s="1"/>
      <c r="HY597" s="1"/>
      <c r="HZ597" s="1"/>
      <c r="IA597" s="1"/>
      <c r="IB597" s="1"/>
      <c r="IC597" s="1"/>
      <c r="ID597" s="1"/>
      <c r="IE597" s="1"/>
      <c r="IF597" s="1"/>
      <c r="IG597" s="1"/>
      <c r="IH597" s="21"/>
      <c r="II597" s="19"/>
      <c r="IJ597" s="19"/>
      <c r="IK597" s="19"/>
      <c r="IL597" s="19"/>
      <c r="IM597" s="19"/>
      <c r="IN597" s="19"/>
      <c r="IO597" s="39"/>
      <c r="IP597" s="39"/>
      <c r="IQ597" s="39"/>
      <c r="IR597" s="39"/>
      <c r="IS597" s="39"/>
      <c r="IT597" s="39"/>
      <c r="IU597" s="39"/>
      <c r="IV597" s="39"/>
      <c r="IW597" s="39"/>
      <c r="IX597" s="39"/>
      <c r="IY597" s="39"/>
      <c r="IZ597" s="39"/>
      <c r="JA597" s="19"/>
      <c r="JB597" s="19"/>
      <c r="JC597" s="19"/>
      <c r="JD597" s="19"/>
      <c r="JE597" s="21"/>
      <c r="JF597" s="1"/>
      <c r="JG597" s="15"/>
      <c r="JH597" s="1"/>
      <c r="JI597" s="1"/>
      <c r="JJ597" s="1"/>
      <c r="JK597" s="1"/>
      <c r="JL597" s="15"/>
      <c r="JM597" s="15"/>
      <c r="JN597" s="21"/>
      <c r="JO597" s="19"/>
      <c r="JP597" s="19"/>
      <c r="JQ597" s="39"/>
      <c r="JR597" s="39"/>
      <c r="JS597" s="39"/>
      <c r="JT597" s="39"/>
      <c r="JU597" s="385"/>
      <c r="JV597" s="39"/>
      <c r="JW597" s="1"/>
      <c r="JX597" s="19"/>
      <c r="JZ597" s="341"/>
      <c r="KA597" s="342"/>
      <c r="KB597" s="469"/>
      <c r="KI597" s="473"/>
      <c r="KJ597" s="473"/>
      <c r="KK597" s="473"/>
    </row>
    <row r="598" spans="1:310" s="26" customFormat="1" ht="15" outlineLevel="1">
      <c r="A598" s="561">
        <f t="shared" si="1652"/>
        <v>5098</v>
      </c>
      <c r="B598" s="561">
        <f t="shared" si="1627"/>
        <v>98</v>
      </c>
      <c r="C598" s="561">
        <f t="shared" si="1628"/>
        <v>5</v>
      </c>
      <c r="D598" s="561" t="str">
        <f t="shared" si="1712"/>
        <v/>
      </c>
      <c r="E598" s="475">
        <f>INDEX(Input!$1:$1048576,E$93,$C598*2+MIN($B598,2)+5)
+INDEX(Scenarios!E$121:E$200,MATCH($B598,Scenarios!$B$121:$B$200,0))</f>
        <v>1277.4263093788063</v>
      </c>
      <c r="F598" s="475">
        <f>INDEX(Input!$1:$1048576,F$93,$C598*2+MIN($B598,2)+5)
+INDEX(Scenarios!F$121:F$200,MATCH($B598,Scenarios!$B$121:$B$200,0))</f>
        <v>0</v>
      </c>
      <c r="G598" s="475">
        <f>INDEX(Input!$1:$1048576,G$93,$C598*2+MIN($B598,2)+5)
+INDEX(Scenarios!G$121:G$200,MATCH($B598,Scenarios!$B$121:$B$200,0))</f>
        <v>0</v>
      </c>
      <c r="H598" s="475">
        <f>INDEX(Input!$1:$1048576,H$93,$C598*2+MIN($B598,2)+5)
+INDEX(Scenarios!H$121:H$200,MATCH($B598,Scenarios!$B$121:$B$200,0))</f>
        <v>0</v>
      </c>
      <c r="I598" s="476">
        <f>INDEX(Input!$1:$1048576,I$93,$C598*2+MIN($B598,2)+5)</f>
        <v>0.7</v>
      </c>
      <c r="J598" s="476" t="str">
        <f>INDEX(Input!$1:$1048576,J$93,$C598*2+MIN($B598,2)+5)</f>
        <v>Market</v>
      </c>
      <c r="K598" s="476" t="str">
        <f>INDEX(Input!$1:$1048576,K$93,$C598*2+MIN($B598,2)+5)</f>
        <v>Market</v>
      </c>
      <c r="L598" s="476" t="str">
        <f>INDEX(Input!$1:$1048576,L$93,$C598*2+MIN($B598,2)+5)</f>
        <v>Market</v>
      </c>
      <c r="M598" s="476" t="str">
        <f>INDEX(Input!$1:$1048576,M$93,$C598*2+MIN($B598,2)+5)</f>
        <v>Market</v>
      </c>
      <c r="N598" s="476" t="str">
        <f>INDEX(Input!$1:$1048576,N$93,$C598*2+MIN($B598,2)+5)</f>
        <v>Market</v>
      </c>
      <c r="O598" s="476" t="str">
        <f>INDEX(Input!$1:$1048576,O$93,$C598*2+MIN($B598,2)+5)</f>
        <v>Market</v>
      </c>
      <c r="P598" s="476" t="str">
        <f>INDEX(Input!$1:$1048576,P$93,$C598*2+MIN($B598,2)+5)</f>
        <v>N</v>
      </c>
      <c r="Q598" s="477">
        <f>INDEX(Input!$1:$1048576,Q$93,$C598*2+MIN($B598,2)+5)
+INDEX(Scenarios!Q$121:Q$200,MATCH($B598,Scenarios!$B$121:$B$200,0))</f>
        <v>0</v>
      </c>
      <c r="R598" s="478">
        <f>IFERROR(MAX(0,INDEX(Input!$1:$1048576,R$93,$C598*2+MIN($B598,2)+5)
+INDEX(Scenarios!R$121:R$200,MATCH($B598,Scenarios!$B$121:$B$200,0)),),"Market")</f>
        <v>0</v>
      </c>
      <c r="S598" s="478">
        <f>IFERROR(MAX(0,INDEX(Input!$1:$1048576,S$93,$C598*2+MIN($B598,2)+5)
+INDEX(Scenarios!S$121:S$200,MATCH($B598,Scenarios!$B$121:$B$200,0)),),"Market")</f>
        <v>0</v>
      </c>
      <c r="T598" s="478">
        <f>IFERROR(MAX(0,INDEX(Input!$1:$1048576,T$93,$C598*2+MIN($B598,2)+5)
+INDEX(Scenarios!T$121:T$200,MATCH($B598,Scenarios!$B$121:$B$200,0)),),"Market")</f>
        <v>0</v>
      </c>
      <c r="U598" s="478">
        <f>IFERROR(MAX(0,INDEX(Input!$1:$1048576,U$93,$C598*2+MIN($B598,2)+5)
+INDEX(Scenarios!U$121:U$200,MATCH($B598,Scenarios!$B$121:$B$200,0)),),"Market")</f>
        <v>0</v>
      </c>
      <c r="V598" s="478">
        <f>IFERROR(MAX(0,INDEX(Input!$1:$1048576,V$93,$C598*2+MIN($B598,2)+5)
+INDEX(Scenarios!V$121:V$200,MATCH($B598,Scenarios!$B$121:$B$200,0)),),"Market")</f>
        <v>1.9E-2</v>
      </c>
      <c r="W598" s="885">
        <f>IFERROR(MAX(0,INDEX(Input!$1:$1048576,W$93,$C598*2+MIN($B598,2)+5)-0%,),"Market")</f>
        <v>3.9E-2</v>
      </c>
      <c r="X598" s="476" t="str">
        <f>INDEX(Input!$1:$1048576,X$93,$C598*2+MIN($B598,2)+5)</f>
        <v>Y</v>
      </c>
      <c r="Y598" s="475">
        <f>INDEX(Input!$1:$1048576,Y$93,$C598*2+MIN($B598,2)+5)
++INDEX(Scenarios!Y$121:Y$200,MATCH($B598,Scenarios!$B$121:$B$200,0))</f>
        <v>-717.93641739252325</v>
      </c>
      <c r="Z598" s="477">
        <f>INDEX(Input!$1:$1048576,Z$93,$C598*2+MIN($B598,2)+5)
+INDEX(Scenarios!Z$121:Z$200,MATCH($B598,Scenarios!$B$121:$B$200,0))</f>
        <v>0</v>
      </c>
      <c r="AA598" s="475">
        <f>INDEX(Input!$1:$1048576,AA$93,$C598*2+MIN($B598,2)+5)
+INDEX(Scenarios!AA$121:AA$200,MATCH($B598,Scenarios!$B$121:$B$200,0))</f>
        <v>0</v>
      </c>
      <c r="AB598" s="476">
        <f>INDEX(Input!$1:$1048576,AB$93,$C598*2+MIN($B598,2)+5)</f>
        <v>0.27</v>
      </c>
      <c r="AC598" s="475">
        <f>INDEX(Input!$1:$1048576,AC$93,$C598*2+MIN($B598,2)+5)
+INDEX(Scenarios!AC$121:AC$200,MATCH($B598,Scenarios!$B$121:$B$200,0))</f>
        <v>0</v>
      </c>
      <c r="AD598" s="476">
        <f>INDEX(Input!$1:$1048576,AD$93,$C598*2+MIN($B598,2)+5)</f>
        <v>0.27</v>
      </c>
      <c r="AE598" s="475">
        <f>INDEX(Input!$1:$1048576,AE$93,$C598*2+MIN($B598,2)+5)
+INDEX(Scenarios!AE$121:AE$200,MATCH($B598,Scenarios!$B$121:$B$200,0))</f>
        <v>0</v>
      </c>
      <c r="AF598" s="476">
        <f>INDEX(Input!$1:$1048576,AF$93,$C598*2+MIN($B598,2)+5)</f>
        <v>0.2</v>
      </c>
      <c r="AG598" s="475">
        <f>INDEX(Input!$1:$1048576,AG$93,$C598*2+MIN($B598,2)+5)
+INDEX(Scenarios!AG$121:AG$200,MATCH($B598,Scenarios!$B$121:$B$200,0))</f>
        <v>500</v>
      </c>
      <c r="AH598" s="476">
        <f>INDEX(Input!$1:$1048576,AH$93,$C598*2+MIN($B598,2)+5)</f>
        <v>1</v>
      </c>
      <c r="AI598" s="475">
        <f>INDEX(Input!$1:$1048576,AI$93,$C598*2+MIN($B598,2)+5)
+INDEX(Scenarios!AI$121:AI$200,MATCH($B598,Scenarios!$B$121:$B$200,0))</f>
        <v>0</v>
      </c>
      <c r="AJ598" s="476">
        <f>INDEX(Input!$1:$1048576,AJ$93,$C598*2+MIN($B598,2)+5)</f>
        <v>0.27</v>
      </c>
      <c r="AK598" s="150">
        <f>ROUND(INDEX(Input!$1:$1048576,AK$93,$C597*2+MIN($B598,1)+5)+(Y598-VLOOKUP($C598*1000+1,$A:$HH,Y$92,FALSE)),0)</f>
        <v>2587</v>
      </c>
      <c r="AL598" s="150">
        <f>ROUND(INDEX(Input!$1:$1048576,AL$93,$C597*2+MIN($B598,1)+5)-(Y598-VLOOKUP($C598*1000+1,$A:$HH,Y$92,FALSE))/36,0)</f>
        <v>3406</v>
      </c>
      <c r="AM598" s="32" t="str">
        <f t="shared" si="1653"/>
        <v>std/std/std/std</v>
      </c>
      <c r="AN598" s="32" t="str">
        <f t="shared" si="1654"/>
        <v>$0 + 0/0/0/1.9/3.9</v>
      </c>
      <c r="AO598" s="32" t="str">
        <f t="shared" si="1655"/>
        <v>0/0/0/1.9/3.9</v>
      </c>
      <c r="AP598" s="32" t="str">
        <f t="shared" si="1526"/>
        <v>0/0.9/1.9/3.9</v>
      </c>
      <c r="AQ598" s="536">
        <f t="shared" si="1525"/>
        <v>0</v>
      </c>
      <c r="AR598" s="32"/>
      <c r="AS598" s="302"/>
      <c r="AT598" s="3">
        <f t="shared" si="1629"/>
        <v>98</v>
      </c>
      <c r="AU598" s="41" t="s">
        <v>121</v>
      </c>
      <c r="AV598" s="41" t="s">
        <v>116</v>
      </c>
      <c r="AW598" s="41" t="str">
        <f>INDEX(Input!$1:$1048576,AW$93,$C598*2+6)</f>
        <v>Kia</v>
      </c>
      <c r="AX598" s="41" t="str">
        <f>INDEX(Input!$1:$1048576,AX$93,$C598*2+6)</f>
        <v>Kia-LR - R2</v>
      </c>
      <c r="AY598" s="41" t="str">
        <f>IF(LEN(D598)=0,"",INDEX(Input!$1:$1048576,AY$93,$C598*2+6))</f>
        <v/>
      </c>
      <c r="AZ598" s="41" t="str">
        <f>INDEX(Input!$1:$1048576,AZ$93,$C598*2+6)</f>
        <v>Kia Soul</v>
      </c>
      <c r="BA598" s="3">
        <f>INDEX(Input!$1:$1048576,BA$93,$C598*2+6)</f>
        <v>2020</v>
      </c>
      <c r="BB598" s="128">
        <f>INDEX(Input!$1:$1048576,BB$93,$C598*2+6)</f>
        <v>1</v>
      </c>
      <c r="BC598" s="128">
        <f>INDEX(Input!$1:$1048576,BC$93,$C598*2+6)</f>
        <v>0.7</v>
      </c>
      <c r="BD598" s="1">
        <f>INDEX(Input!$1:$1048576,BD$93,$C598*2+6)</f>
        <v>4.4999999999999998E-2</v>
      </c>
      <c r="BE598" s="1">
        <f>INDEX(Input!$1:$1048576,BE$93,$C598*2+6)</f>
        <v>4.4999999999999998E-2</v>
      </c>
      <c r="BF598" s="1">
        <f>INDEX(Input!$1:$1048576,BF$93,$C598*2+6)</f>
        <v>0.05</v>
      </c>
      <c r="BG598" s="1">
        <f>INDEX(Input!$1:$1048576,BG$93,$C598*2+6)</f>
        <v>5.45E-2</v>
      </c>
      <c r="BH598" s="1">
        <f>INDEX(Input!$1:$1048576,BH$93,$C598*2+6)</f>
        <v>5.45E-2</v>
      </c>
      <c r="BI598" s="1">
        <f>INDEX(Input!$1:$1048576,BI$93,$C598*2+6)</f>
        <v>0.05</v>
      </c>
      <c r="BJ598" s="1">
        <f>INDEX(Input!$1:$1048576,BJ$93,$C598*2+6)</f>
        <v>0.05</v>
      </c>
      <c r="BK598" s="1">
        <f>INDEX(Input!$1:$1048576,BK$93,$C598*2+6)</f>
        <v>0.05</v>
      </c>
      <c r="BL598" s="1">
        <f>INDEX(Input!$1:$1048576,BL$93,$C598*2+6)</f>
        <v>5.5E-2</v>
      </c>
      <c r="BM598" s="1">
        <f>INDEX(Input!$1:$1048576,BM$93,$C598*2+6)</f>
        <v>0.06</v>
      </c>
      <c r="BN598" s="1">
        <f>INDEX(Input!$1:$1048576,BN$93,$C598*2+6)</f>
        <v>4.4999999999999998E-2</v>
      </c>
      <c r="BO598" s="1">
        <f>INDEX(Input!$1:$1048576,BO$93,$C598*2+6)</f>
        <v>4.4999999999999998E-2</v>
      </c>
      <c r="BP598" s="1">
        <f>INDEX(Input!$1:$1048576,BP$93,$C598*2+6)</f>
        <v>0.05</v>
      </c>
      <c r="BQ598" s="1">
        <f>INDEX(Input!$1:$1048576,BQ$93,$C598*2+6)</f>
        <v>5.45E-2</v>
      </c>
      <c r="BR598" s="1">
        <f>INDEX(Input!$1:$1048576,BR$93,$C598*2+6)</f>
        <v>5.45E-2</v>
      </c>
      <c r="BS598" s="1">
        <f>INDEX(Input!$1:$1048576,BS$93,$C598*2+6)</f>
        <v>0.05</v>
      </c>
      <c r="BT598" s="1">
        <f>INDEX(Input!$1:$1048576,BT$93,$C598*2+6)</f>
        <v>0.05</v>
      </c>
      <c r="BU598" s="1">
        <f>INDEX(Input!$1:$1048576,BU$93,$C598*2+6)</f>
        <v>0.05</v>
      </c>
      <c r="BV598" s="1">
        <f>INDEX(Input!$1:$1048576,BV$93,$C598*2+6)</f>
        <v>5.5E-2</v>
      </c>
      <c r="BW598" s="1">
        <f>INDEX(Input!$1:$1048576,BW$93,$C598*2+6)</f>
        <v>0.06</v>
      </c>
      <c r="BX598" s="127">
        <f>INDEX(Input!$1:$1048576,BX$93,$C598*2+6)</f>
        <v>19985</v>
      </c>
      <c r="BY598" s="20">
        <f>INDEX(Input!$1:$1048576,BY$93,$C598*2+6)</f>
        <v>0.1</v>
      </c>
      <c r="BZ598" s="20">
        <f>INDEX(Input!$1:$1048576,BZ$93,$C598*2+6)</f>
        <v>0.1</v>
      </c>
      <c r="CA598" s="20">
        <f>INDEX(Input!$1:$1048576,CA$93,$C598*2+6)</f>
        <v>0.1</v>
      </c>
      <c r="CB598" s="20">
        <f>INDEX(Input!$1:$1048576,CB$93,$C598*2+6)</f>
        <v>0.1</v>
      </c>
      <c r="CC598" s="20">
        <f>INDEX(Input!$1:$1048576,CC$93,$C598*2+6)</f>
        <v>0.1</v>
      </c>
      <c r="CD598" s="384">
        <f>INDEX(Input!$1:$1048576,CD$93,$C598*2+6)</f>
        <v>0.1</v>
      </c>
      <c r="CE598" s="384">
        <f>INDEX(Input!$1:$1048576,CE$93,$C598*2+6)</f>
        <v>0.1</v>
      </c>
      <c r="CF598" s="384">
        <f>INDEX(Input!$1:$1048576,CF$93,$C598*2+6)</f>
        <v>0.1</v>
      </c>
      <c r="CG598" s="384">
        <f>INDEX(Input!$1:$1048576,CG$93,$C598*2+6)</f>
        <v>0.1</v>
      </c>
      <c r="CH598" s="384">
        <f>INDEX(Input!$1:$1048576,CH$93,$C598*2+6)</f>
        <v>0.1</v>
      </c>
      <c r="CI598" s="304">
        <f t="shared" si="1527"/>
        <v>1277.4263093788063</v>
      </c>
      <c r="CJ598" s="16" t="str">
        <f>INDEX(Input!$1:$1048576,CJ$93,$C598*2+6)</f>
        <v>N</v>
      </c>
      <c r="CK598" s="1" t="str">
        <f t="shared" si="1528"/>
        <v>Market</v>
      </c>
      <c r="CL598" s="1" t="str">
        <f t="shared" si="1529"/>
        <v>Market</v>
      </c>
      <c r="CM598" s="1" t="str">
        <f t="shared" si="1530"/>
        <v>Market</v>
      </c>
      <c r="CN598" s="1" t="str">
        <f t="shared" si="1531"/>
        <v>Market</v>
      </c>
      <c r="CO598" s="1" t="str">
        <f t="shared" si="1532"/>
        <v>Market</v>
      </c>
      <c r="CP598" s="304">
        <f t="shared" si="1533"/>
        <v>500</v>
      </c>
      <c r="CQ598" s="1">
        <f t="shared" si="1534"/>
        <v>0</v>
      </c>
      <c r="CR598" s="1">
        <f t="shared" si="1535"/>
        <v>0</v>
      </c>
      <c r="CS598" s="1">
        <f t="shared" si="1536"/>
        <v>0</v>
      </c>
      <c r="CT598" s="1">
        <f t="shared" si="1537"/>
        <v>1.9E-2</v>
      </c>
      <c r="CU598" s="1">
        <f t="shared" si="1538"/>
        <v>3.9E-2</v>
      </c>
      <c r="CV598" s="304">
        <f t="shared" si="1539"/>
        <v>-717.93641739252325</v>
      </c>
      <c r="CW598" s="20" t="s">
        <v>122</v>
      </c>
      <c r="CX598" s="20" t="s">
        <v>122</v>
      </c>
      <c r="CY598" s="20" t="s">
        <v>122</v>
      </c>
      <c r="CZ598" s="20" t="s">
        <v>122</v>
      </c>
      <c r="DA598" s="20" t="s">
        <v>122</v>
      </c>
      <c r="DB598" s="503">
        <f t="shared" si="1540"/>
        <v>0</v>
      </c>
      <c r="DC598" s="127">
        <v>0</v>
      </c>
      <c r="DD598" s="127">
        <v>0</v>
      </c>
      <c r="DE598" s="127">
        <v>0</v>
      </c>
      <c r="DF598" s="127">
        <v>0</v>
      </c>
      <c r="DG598" s="127">
        <v>0</v>
      </c>
      <c r="DH598" s="127">
        <v>0</v>
      </c>
      <c r="DI598" s="127">
        <v>0</v>
      </c>
      <c r="DJ598" s="127">
        <v>0</v>
      </c>
      <c r="DK598" s="127">
        <v>0</v>
      </c>
      <c r="DL598" s="127">
        <v>0</v>
      </c>
      <c r="DM598" s="304">
        <f>INDEX(Input!$1:$1048576,DM$93,$C598*2+6)</f>
        <v>21036.84210526316</v>
      </c>
      <c r="DN598" s="20">
        <v>0</v>
      </c>
      <c r="DO598" s="20">
        <v>0</v>
      </c>
      <c r="DP598" s="20">
        <v>0</v>
      </c>
      <c r="DQ598" s="20">
        <v>0</v>
      </c>
      <c r="DR598" s="20">
        <v>0</v>
      </c>
      <c r="DS598" s="20">
        <f>INDEX(Input!$1:$1048576,DS$93,$C598*2+6)</f>
        <v>0.6</v>
      </c>
      <c r="DT598" s="20">
        <f>INDEX(Input!$1:$1048576,DT$93,$C598*2+6)</f>
        <v>0.55000000000000004</v>
      </c>
      <c r="DU598" s="20">
        <f>INDEX(Input!$1:$1048576,DU$93,$C598*2+6)</f>
        <v>0.52</v>
      </c>
      <c r="DV598" s="20">
        <f>INDEX(Input!$1:$1048576,DV$93,$C598*2+6)</f>
        <v>0.5</v>
      </c>
      <c r="DW598" s="20">
        <f>INDEX(Input!$1:$1048576,DW$93,$C598*2+6)</f>
        <v>0.45</v>
      </c>
      <c r="DX598" s="20"/>
      <c r="DY598" s="7"/>
      <c r="DZ598" s="7"/>
      <c r="EA598" s="7"/>
      <c r="EB598" s="7"/>
      <c r="EC598" s="7"/>
      <c r="ED598" s="7"/>
      <c r="EE598" s="7"/>
      <c r="EF598" s="7"/>
      <c r="EG598" s="7"/>
      <c r="EH598" s="7"/>
      <c r="EI598" s="7"/>
      <c r="EJ598" s="7"/>
      <c r="EK598" s="7"/>
      <c r="EL598" s="7"/>
      <c r="EM598" s="7"/>
      <c r="EN598" s="7"/>
      <c r="EO598" s="7"/>
      <c r="EP598" s="7"/>
      <c r="EQ598" s="7"/>
      <c r="ER598" s="7"/>
      <c r="ES598" s="7"/>
      <c r="ET598" s="7"/>
      <c r="EU598" s="6"/>
      <c r="EV598" s="6"/>
      <c r="EW598" s="6"/>
      <c r="EX598" s="6"/>
      <c r="EY598" s="6"/>
      <c r="EZ598" s="6"/>
      <c r="FA598" s="6"/>
      <c r="FB598" s="6"/>
      <c r="FC598" s="6"/>
      <c r="FD598" s="6"/>
      <c r="FE598" s="6"/>
      <c r="FF598" s="6"/>
      <c r="FG598" s="6"/>
      <c r="FH598" s="6"/>
      <c r="FI598" s="6"/>
      <c r="FJ598" s="6"/>
      <c r="FK598" s="6"/>
      <c r="FL598" s="6"/>
      <c r="FM598" s="6"/>
      <c r="FN598" s="6"/>
      <c r="FO598" s="6"/>
      <c r="FP598" s="6"/>
      <c r="FQ598" s="6"/>
      <c r="FR598" s="6"/>
      <c r="FS598" s="6"/>
      <c r="FT598" s="7"/>
      <c r="FU598" s="7"/>
      <c r="FV598" s="7"/>
      <c r="FW598" s="6"/>
      <c r="FX598" s="6"/>
      <c r="FY598" s="6"/>
      <c r="FZ598" s="6"/>
      <c r="GA598" s="6"/>
      <c r="GB598" s="6"/>
      <c r="GC598" s="7"/>
      <c r="GD598" s="7"/>
      <c r="GE598" s="7"/>
      <c r="GF598" s="7"/>
      <c r="GG598" s="7"/>
      <c r="GH598" s="42"/>
      <c r="GI598" s="6"/>
      <c r="GJ598" s="14"/>
      <c r="GK598" s="14"/>
      <c r="GL598" s="14"/>
      <c r="GM598" s="14"/>
      <c r="GO598" s="5"/>
      <c r="GP598" s="5"/>
      <c r="GQ598" s="5"/>
      <c r="GR598" s="5"/>
      <c r="GS598" s="5"/>
      <c r="GT598" s="5"/>
      <c r="GU598" s="5"/>
      <c r="GV598" s="39"/>
      <c r="GW598" s="5"/>
      <c r="GX598" s="5"/>
      <c r="GY598" s="5"/>
      <c r="GZ598" s="5"/>
      <c r="HA598" s="5"/>
      <c r="HB598" s="39"/>
      <c r="HC598" s="5"/>
      <c r="HD598" s="5"/>
      <c r="HE598" s="5"/>
      <c r="HF598" s="5"/>
      <c r="HG598" s="5"/>
      <c r="HH598" s="39"/>
      <c r="HI598" s="16"/>
      <c r="HJ598" s="19"/>
      <c r="HK598" s="1"/>
      <c r="HL598" s="16"/>
      <c r="HM598" s="1"/>
      <c r="HN598" s="1"/>
      <c r="HO598" s="1"/>
      <c r="HP598" s="1"/>
      <c r="HQ598" s="1"/>
      <c r="HR598" s="1"/>
      <c r="HS598" s="1"/>
      <c r="HT598" s="1"/>
      <c r="HU598" s="1"/>
      <c r="HV598" s="1"/>
      <c r="HW598" s="1"/>
      <c r="HX598" s="1"/>
      <c r="HY598" s="1"/>
      <c r="HZ598" s="1"/>
      <c r="IA598" s="1"/>
      <c r="IB598" s="1"/>
      <c r="IC598" s="1"/>
      <c r="ID598" s="1"/>
      <c r="IE598" s="1"/>
      <c r="IF598" s="1"/>
      <c r="IG598" s="1"/>
      <c r="IH598" s="21"/>
      <c r="II598" s="19"/>
      <c r="IJ598" s="19"/>
      <c r="IK598" s="19"/>
      <c r="IL598" s="19"/>
      <c r="IM598" s="19"/>
      <c r="IN598" s="19"/>
      <c r="IO598" s="39"/>
      <c r="IP598" s="39"/>
      <c r="IQ598" s="39"/>
      <c r="IR598" s="39"/>
      <c r="IS598" s="39"/>
      <c r="IT598" s="39"/>
      <c r="IU598" s="39"/>
      <c r="IV598" s="39"/>
      <c r="IW598" s="39"/>
      <c r="IX598" s="39"/>
      <c r="IY598" s="39"/>
      <c r="IZ598" s="39"/>
      <c r="JA598" s="19"/>
      <c r="JB598" s="19"/>
      <c r="JC598" s="19"/>
      <c r="JD598" s="19"/>
      <c r="JE598" s="21"/>
      <c r="JF598" s="1"/>
      <c r="JG598" s="15"/>
      <c r="JH598" s="1"/>
      <c r="JI598" s="1"/>
      <c r="JJ598" s="1"/>
      <c r="JK598" s="1"/>
      <c r="JL598" s="15"/>
      <c r="JM598" s="15"/>
      <c r="JN598" s="21"/>
      <c r="JO598" s="19"/>
      <c r="JP598" s="19"/>
      <c r="JQ598" s="39"/>
      <c r="JR598" s="39"/>
      <c r="JS598" s="39"/>
      <c r="JT598" s="39"/>
      <c r="JU598" s="385"/>
      <c r="JV598" s="39"/>
      <c r="JW598" s="1"/>
      <c r="JX598" s="19"/>
      <c r="JZ598" s="341"/>
      <c r="KA598" s="342"/>
      <c r="KB598" s="469"/>
      <c r="KI598" s="473"/>
      <c r="KJ598" s="473"/>
      <c r="KK598" s="473"/>
    </row>
    <row r="599" spans="1:310" s="26" customFormat="1" ht="15" outlineLevel="1">
      <c r="A599" s="561">
        <f t="shared" si="1652"/>
        <v>5099</v>
      </c>
      <c r="B599" s="561">
        <f t="shared" si="1627"/>
        <v>99</v>
      </c>
      <c r="C599" s="561">
        <f t="shared" si="1628"/>
        <v>5</v>
      </c>
      <c r="D599" s="561" t="str">
        <f t="shared" si="1712"/>
        <v/>
      </c>
      <c r="E599" s="475">
        <f>INDEX(Input!$1:$1048576,E$93,$C599*2+MIN($B599,2)+5)
+INDEX(Scenarios!E$121:E$200,MATCH($B599,Scenarios!$B$121:$B$200,0))</f>
        <v>1277.4263093788063</v>
      </c>
      <c r="F599" s="475">
        <f>INDEX(Input!$1:$1048576,F$93,$C599*2+MIN($B599,2)+5)
+INDEX(Scenarios!F$121:F$200,MATCH($B599,Scenarios!$B$121:$B$200,0))</f>
        <v>0</v>
      </c>
      <c r="G599" s="475">
        <f>INDEX(Input!$1:$1048576,G$93,$C599*2+MIN($B599,2)+5)
+INDEX(Scenarios!G$121:G$200,MATCH($B599,Scenarios!$B$121:$B$200,0))</f>
        <v>0</v>
      </c>
      <c r="H599" s="475">
        <f>INDEX(Input!$1:$1048576,H$93,$C599*2+MIN($B599,2)+5)
+INDEX(Scenarios!H$121:H$200,MATCH($B599,Scenarios!$B$121:$B$200,0))</f>
        <v>0</v>
      </c>
      <c r="I599" s="476">
        <f>INDEX(Input!$1:$1048576,I$93,$C599*2+MIN($B599,2)+5)</f>
        <v>0.7</v>
      </c>
      <c r="J599" s="476" t="str">
        <f>INDEX(Input!$1:$1048576,J$93,$C599*2+MIN($B599,2)+5)</f>
        <v>Market</v>
      </c>
      <c r="K599" s="476" t="str">
        <f>INDEX(Input!$1:$1048576,K$93,$C599*2+MIN($B599,2)+5)</f>
        <v>Market</v>
      </c>
      <c r="L599" s="476" t="str">
        <f>INDEX(Input!$1:$1048576,L$93,$C599*2+MIN($B599,2)+5)</f>
        <v>Market</v>
      </c>
      <c r="M599" s="476" t="str">
        <f>INDEX(Input!$1:$1048576,M$93,$C599*2+MIN($B599,2)+5)</f>
        <v>Market</v>
      </c>
      <c r="N599" s="476" t="str">
        <f>INDEX(Input!$1:$1048576,N$93,$C599*2+MIN($B599,2)+5)</f>
        <v>Market</v>
      </c>
      <c r="O599" s="476" t="str">
        <f>INDEX(Input!$1:$1048576,O$93,$C599*2+MIN($B599,2)+5)</f>
        <v>Market</v>
      </c>
      <c r="P599" s="476" t="str">
        <f>INDEX(Input!$1:$1048576,P$93,$C599*2+MIN($B599,2)+5)</f>
        <v>N</v>
      </c>
      <c r="Q599" s="477">
        <f>INDEX(Input!$1:$1048576,Q$93,$C599*2+MIN($B599,2)+5)
+INDEX(Scenarios!Q$121:Q$200,MATCH($B599,Scenarios!$B$121:$B$200,0))</f>
        <v>0</v>
      </c>
      <c r="R599" s="478">
        <f>IFERROR(MAX(0,INDEX(Input!$1:$1048576,R$93,$C599*2+MIN($B599,2)+5)
+INDEX(Scenarios!R$121:R$200,MATCH($B599,Scenarios!$B$121:$B$200,0)),),"Market")</f>
        <v>0</v>
      </c>
      <c r="S599" s="478">
        <f>IFERROR(MAX(0,INDEX(Input!$1:$1048576,S$93,$C599*2+MIN($B599,2)+5)
+INDEX(Scenarios!S$121:S$200,MATCH($B599,Scenarios!$B$121:$B$200,0)),),"Market")</f>
        <v>0</v>
      </c>
      <c r="T599" s="478">
        <f>IFERROR(MAX(0,INDEX(Input!$1:$1048576,T$93,$C599*2+MIN($B599,2)+5)
+INDEX(Scenarios!T$121:T$200,MATCH($B599,Scenarios!$B$121:$B$200,0)),),"Market")</f>
        <v>0</v>
      </c>
      <c r="U599" s="478">
        <f>IFERROR(MAX(0,INDEX(Input!$1:$1048576,U$93,$C599*2+MIN($B599,2)+5)
+INDEX(Scenarios!U$121:U$200,MATCH($B599,Scenarios!$B$121:$B$200,0)),),"Market")</f>
        <v>0</v>
      </c>
      <c r="V599" s="478">
        <f>IFERROR(MAX(0,INDEX(Input!$1:$1048576,V$93,$C599*2+MIN($B599,2)+5)
+INDEX(Scenarios!V$121:V$200,MATCH($B599,Scenarios!$B$121:$B$200,0)),),"Market")</f>
        <v>1.9E-2</v>
      </c>
      <c r="W599" s="885">
        <f>IFERROR(MAX(0,INDEX(Input!$1:$1048576,W$93,$C599*2+MIN($B599,2)+5)-0%,),"Market")</f>
        <v>3.9E-2</v>
      </c>
      <c r="X599" s="476" t="str">
        <f>INDEX(Input!$1:$1048576,X$93,$C599*2+MIN($B599,2)+5)</f>
        <v>Y</v>
      </c>
      <c r="Y599" s="475">
        <f>INDEX(Input!$1:$1048576,Y$93,$C599*2+MIN($B599,2)+5)
++INDEX(Scenarios!Y$121:Y$200,MATCH($B599,Scenarios!$B$121:$B$200,0))</f>
        <v>-717.93641739252325</v>
      </c>
      <c r="Z599" s="477">
        <f>INDEX(Input!$1:$1048576,Z$93,$C599*2+MIN($B599,2)+5)
+INDEX(Scenarios!Z$121:Z$200,MATCH($B599,Scenarios!$B$121:$B$200,0))</f>
        <v>0</v>
      </c>
      <c r="AA599" s="475">
        <f>INDEX(Input!$1:$1048576,AA$93,$C599*2+MIN($B599,2)+5)
+INDEX(Scenarios!AA$121:AA$200,MATCH($B599,Scenarios!$B$121:$B$200,0))</f>
        <v>0</v>
      </c>
      <c r="AB599" s="476">
        <f>INDEX(Input!$1:$1048576,AB$93,$C599*2+MIN($B599,2)+5)</f>
        <v>0.27</v>
      </c>
      <c r="AC599" s="475">
        <f>INDEX(Input!$1:$1048576,AC$93,$C599*2+MIN($B599,2)+5)
+INDEX(Scenarios!AC$121:AC$200,MATCH($B599,Scenarios!$B$121:$B$200,0))</f>
        <v>0</v>
      </c>
      <c r="AD599" s="476">
        <f>INDEX(Input!$1:$1048576,AD$93,$C599*2+MIN($B599,2)+5)</f>
        <v>0.27</v>
      </c>
      <c r="AE599" s="475">
        <f>INDEX(Input!$1:$1048576,AE$93,$C599*2+MIN($B599,2)+5)
+INDEX(Scenarios!AE$121:AE$200,MATCH($B599,Scenarios!$B$121:$B$200,0))</f>
        <v>0</v>
      </c>
      <c r="AF599" s="476">
        <f>INDEX(Input!$1:$1048576,AF$93,$C599*2+MIN($B599,2)+5)</f>
        <v>0.2</v>
      </c>
      <c r="AG599" s="475">
        <f>INDEX(Input!$1:$1048576,AG$93,$C599*2+MIN($B599,2)+5)
+INDEX(Scenarios!AG$121:AG$200,MATCH($B599,Scenarios!$B$121:$B$200,0))</f>
        <v>500</v>
      </c>
      <c r="AH599" s="476">
        <f>INDEX(Input!$1:$1048576,AH$93,$C599*2+MIN($B599,2)+5)</f>
        <v>1</v>
      </c>
      <c r="AI599" s="475">
        <f>INDEX(Input!$1:$1048576,AI$93,$C599*2+MIN($B599,2)+5)
+INDEX(Scenarios!AI$121:AI$200,MATCH($B599,Scenarios!$B$121:$B$200,0))</f>
        <v>0</v>
      </c>
      <c r="AJ599" s="476">
        <f>INDEX(Input!$1:$1048576,AJ$93,$C599*2+MIN($B599,2)+5)</f>
        <v>0.27</v>
      </c>
      <c r="AK599" s="150">
        <f>ROUND(INDEX(Input!$1:$1048576,AK$93,$C598*2+MIN($B599,1)+5)+(Y599-VLOOKUP($C599*1000+1,$A:$HH,Y$92,FALSE)),0)</f>
        <v>2587</v>
      </c>
      <c r="AL599" s="150">
        <f>ROUND(INDEX(Input!$1:$1048576,AL$93,$C598*2+MIN($B599,1)+5)-(Y599-VLOOKUP($C599*1000+1,$A:$HH,Y$92,FALSE))/36,0)</f>
        <v>3406</v>
      </c>
      <c r="AM599" s="32" t="str">
        <f t="shared" si="1653"/>
        <v>std/std/std/std</v>
      </c>
      <c r="AN599" s="32" t="str">
        <f t="shared" si="1654"/>
        <v>$0 + 0/0/0/1.9/3.9</v>
      </c>
      <c r="AO599" s="32" t="str">
        <f t="shared" si="1655"/>
        <v>0/0/0/1.9/3.9</v>
      </c>
      <c r="AP599" s="32" t="str">
        <f t="shared" si="1526"/>
        <v>0/0.9/1.9/3.9</v>
      </c>
      <c r="AQ599" s="536">
        <f t="shared" si="1525"/>
        <v>0</v>
      </c>
      <c r="AR599" s="32"/>
      <c r="AS599" s="302"/>
      <c r="AT599" s="3">
        <f t="shared" si="1629"/>
        <v>99</v>
      </c>
      <c r="AU599" s="41" t="s">
        <v>121</v>
      </c>
      <c r="AV599" s="41" t="s">
        <v>116</v>
      </c>
      <c r="AW599" s="41" t="str">
        <f>INDEX(Input!$1:$1048576,AW$93,$C599*2+6)</f>
        <v>Kia</v>
      </c>
      <c r="AX599" s="41" t="str">
        <f>INDEX(Input!$1:$1048576,AX$93,$C599*2+6)</f>
        <v>Kia-LR - R2</v>
      </c>
      <c r="AY599" s="41" t="str">
        <f>IF(LEN(D599)=0,"",INDEX(Input!$1:$1048576,AY$93,$C599*2+6))</f>
        <v/>
      </c>
      <c r="AZ599" s="41" t="str">
        <f>INDEX(Input!$1:$1048576,AZ$93,$C599*2+6)</f>
        <v>Kia Soul</v>
      </c>
      <c r="BA599" s="3">
        <f>INDEX(Input!$1:$1048576,BA$93,$C599*2+6)</f>
        <v>2020</v>
      </c>
      <c r="BB599" s="128">
        <f>INDEX(Input!$1:$1048576,BB$93,$C599*2+6)</f>
        <v>1</v>
      </c>
      <c r="BC599" s="128">
        <f>INDEX(Input!$1:$1048576,BC$93,$C599*2+6)</f>
        <v>0.7</v>
      </c>
      <c r="BD599" s="1">
        <f>INDEX(Input!$1:$1048576,BD$93,$C599*2+6)</f>
        <v>4.4999999999999998E-2</v>
      </c>
      <c r="BE599" s="1">
        <f>INDEX(Input!$1:$1048576,BE$93,$C599*2+6)</f>
        <v>4.4999999999999998E-2</v>
      </c>
      <c r="BF599" s="1">
        <f>INDEX(Input!$1:$1048576,BF$93,$C599*2+6)</f>
        <v>0.05</v>
      </c>
      <c r="BG599" s="1">
        <f>INDEX(Input!$1:$1048576,BG$93,$C599*2+6)</f>
        <v>5.45E-2</v>
      </c>
      <c r="BH599" s="1">
        <f>INDEX(Input!$1:$1048576,BH$93,$C599*2+6)</f>
        <v>5.45E-2</v>
      </c>
      <c r="BI599" s="1">
        <f>INDEX(Input!$1:$1048576,BI$93,$C599*2+6)</f>
        <v>0.05</v>
      </c>
      <c r="BJ599" s="1">
        <f>INDEX(Input!$1:$1048576,BJ$93,$C599*2+6)</f>
        <v>0.05</v>
      </c>
      <c r="BK599" s="1">
        <f>INDEX(Input!$1:$1048576,BK$93,$C599*2+6)</f>
        <v>0.05</v>
      </c>
      <c r="BL599" s="1">
        <f>INDEX(Input!$1:$1048576,BL$93,$C599*2+6)</f>
        <v>5.5E-2</v>
      </c>
      <c r="BM599" s="1">
        <f>INDEX(Input!$1:$1048576,BM$93,$C599*2+6)</f>
        <v>0.06</v>
      </c>
      <c r="BN599" s="1">
        <f>INDEX(Input!$1:$1048576,BN$93,$C599*2+6)</f>
        <v>4.4999999999999998E-2</v>
      </c>
      <c r="BO599" s="1">
        <f>INDEX(Input!$1:$1048576,BO$93,$C599*2+6)</f>
        <v>4.4999999999999998E-2</v>
      </c>
      <c r="BP599" s="1">
        <f>INDEX(Input!$1:$1048576,BP$93,$C599*2+6)</f>
        <v>0.05</v>
      </c>
      <c r="BQ599" s="1">
        <f>INDEX(Input!$1:$1048576,BQ$93,$C599*2+6)</f>
        <v>5.45E-2</v>
      </c>
      <c r="BR599" s="1">
        <f>INDEX(Input!$1:$1048576,BR$93,$C599*2+6)</f>
        <v>5.45E-2</v>
      </c>
      <c r="BS599" s="1">
        <f>INDEX(Input!$1:$1048576,BS$93,$C599*2+6)</f>
        <v>0.05</v>
      </c>
      <c r="BT599" s="1">
        <f>INDEX(Input!$1:$1048576,BT$93,$C599*2+6)</f>
        <v>0.05</v>
      </c>
      <c r="BU599" s="1">
        <f>INDEX(Input!$1:$1048576,BU$93,$C599*2+6)</f>
        <v>0.05</v>
      </c>
      <c r="BV599" s="1">
        <f>INDEX(Input!$1:$1048576,BV$93,$C599*2+6)</f>
        <v>5.5E-2</v>
      </c>
      <c r="BW599" s="1">
        <f>INDEX(Input!$1:$1048576,BW$93,$C599*2+6)</f>
        <v>0.06</v>
      </c>
      <c r="BX599" s="127">
        <f>INDEX(Input!$1:$1048576,BX$93,$C599*2+6)</f>
        <v>19985</v>
      </c>
      <c r="BY599" s="20">
        <f>INDEX(Input!$1:$1048576,BY$93,$C599*2+6)</f>
        <v>0.1</v>
      </c>
      <c r="BZ599" s="20">
        <f>INDEX(Input!$1:$1048576,BZ$93,$C599*2+6)</f>
        <v>0.1</v>
      </c>
      <c r="CA599" s="20">
        <f>INDEX(Input!$1:$1048576,CA$93,$C599*2+6)</f>
        <v>0.1</v>
      </c>
      <c r="CB599" s="20">
        <f>INDEX(Input!$1:$1048576,CB$93,$C599*2+6)</f>
        <v>0.1</v>
      </c>
      <c r="CC599" s="20">
        <f>INDEX(Input!$1:$1048576,CC$93,$C599*2+6)</f>
        <v>0.1</v>
      </c>
      <c r="CD599" s="384">
        <f>INDEX(Input!$1:$1048576,CD$93,$C599*2+6)</f>
        <v>0.1</v>
      </c>
      <c r="CE599" s="384">
        <f>INDEX(Input!$1:$1048576,CE$93,$C599*2+6)</f>
        <v>0.1</v>
      </c>
      <c r="CF599" s="384">
        <f>INDEX(Input!$1:$1048576,CF$93,$C599*2+6)</f>
        <v>0.1</v>
      </c>
      <c r="CG599" s="384">
        <f>INDEX(Input!$1:$1048576,CG$93,$C599*2+6)</f>
        <v>0.1</v>
      </c>
      <c r="CH599" s="384">
        <f>INDEX(Input!$1:$1048576,CH$93,$C599*2+6)</f>
        <v>0.1</v>
      </c>
      <c r="CI599" s="304">
        <f t="shared" si="1527"/>
        <v>1277.4263093788063</v>
      </c>
      <c r="CJ599" s="16" t="str">
        <f>INDEX(Input!$1:$1048576,CJ$93,$C599*2+6)</f>
        <v>N</v>
      </c>
      <c r="CK599" s="1" t="str">
        <f t="shared" si="1528"/>
        <v>Market</v>
      </c>
      <c r="CL599" s="1" t="str">
        <f t="shared" si="1529"/>
        <v>Market</v>
      </c>
      <c r="CM599" s="1" t="str">
        <f t="shared" si="1530"/>
        <v>Market</v>
      </c>
      <c r="CN599" s="1" t="str">
        <f t="shared" si="1531"/>
        <v>Market</v>
      </c>
      <c r="CO599" s="1" t="str">
        <f t="shared" si="1532"/>
        <v>Market</v>
      </c>
      <c r="CP599" s="304">
        <f t="shared" si="1533"/>
        <v>500</v>
      </c>
      <c r="CQ599" s="1">
        <f t="shared" si="1534"/>
        <v>0</v>
      </c>
      <c r="CR599" s="1">
        <f t="shared" si="1535"/>
        <v>0</v>
      </c>
      <c r="CS599" s="1">
        <f t="shared" si="1536"/>
        <v>0</v>
      </c>
      <c r="CT599" s="1">
        <f t="shared" si="1537"/>
        <v>1.9E-2</v>
      </c>
      <c r="CU599" s="1">
        <f t="shared" si="1538"/>
        <v>3.9E-2</v>
      </c>
      <c r="CV599" s="304">
        <f t="shared" si="1539"/>
        <v>-717.93641739252325</v>
      </c>
      <c r="CW599" s="20" t="s">
        <v>122</v>
      </c>
      <c r="CX599" s="20" t="s">
        <v>122</v>
      </c>
      <c r="CY599" s="20" t="s">
        <v>122</v>
      </c>
      <c r="CZ599" s="20" t="s">
        <v>122</v>
      </c>
      <c r="DA599" s="20" t="s">
        <v>122</v>
      </c>
      <c r="DB599" s="503">
        <f t="shared" si="1540"/>
        <v>0</v>
      </c>
      <c r="DC599" s="127">
        <v>0</v>
      </c>
      <c r="DD599" s="127">
        <v>0</v>
      </c>
      <c r="DE599" s="127">
        <v>0</v>
      </c>
      <c r="DF599" s="127">
        <v>0</v>
      </c>
      <c r="DG599" s="127">
        <v>0</v>
      </c>
      <c r="DH599" s="127">
        <v>0</v>
      </c>
      <c r="DI599" s="127">
        <v>0</v>
      </c>
      <c r="DJ599" s="127">
        <v>0</v>
      </c>
      <c r="DK599" s="127">
        <v>0</v>
      </c>
      <c r="DL599" s="127">
        <v>0</v>
      </c>
      <c r="DM599" s="304">
        <f>INDEX(Input!$1:$1048576,DM$93,$C599*2+6)</f>
        <v>21036.84210526316</v>
      </c>
      <c r="DN599" s="20">
        <v>0</v>
      </c>
      <c r="DO599" s="20">
        <v>0</v>
      </c>
      <c r="DP599" s="20">
        <v>0</v>
      </c>
      <c r="DQ599" s="20">
        <v>0</v>
      </c>
      <c r="DR599" s="20">
        <v>0</v>
      </c>
      <c r="DS599" s="20">
        <f>INDEX(Input!$1:$1048576,DS$93,$C599*2+6)</f>
        <v>0.6</v>
      </c>
      <c r="DT599" s="20">
        <f>INDEX(Input!$1:$1048576,DT$93,$C599*2+6)</f>
        <v>0.55000000000000004</v>
      </c>
      <c r="DU599" s="20">
        <f>INDEX(Input!$1:$1048576,DU$93,$C599*2+6)</f>
        <v>0.52</v>
      </c>
      <c r="DV599" s="20">
        <f>INDEX(Input!$1:$1048576,DV$93,$C599*2+6)</f>
        <v>0.5</v>
      </c>
      <c r="DW599" s="20">
        <f>INDEX(Input!$1:$1048576,DW$93,$C599*2+6)</f>
        <v>0.45</v>
      </c>
      <c r="DX599" s="20"/>
      <c r="DY599" s="7"/>
      <c r="DZ599" s="7"/>
      <c r="EA599" s="7"/>
      <c r="EB599" s="7"/>
      <c r="EC599" s="7"/>
      <c r="ED599" s="7"/>
      <c r="EE599" s="7"/>
      <c r="EF599" s="7"/>
      <c r="EG599" s="7"/>
      <c r="EH599" s="7"/>
      <c r="EI599" s="7"/>
      <c r="EJ599" s="7"/>
      <c r="EK599" s="7"/>
      <c r="EL599" s="7"/>
      <c r="EM599" s="7"/>
      <c r="EN599" s="7"/>
      <c r="EO599" s="7"/>
      <c r="EP599" s="7"/>
      <c r="EQ599" s="7"/>
      <c r="ER599" s="7"/>
      <c r="ES599" s="7"/>
      <c r="ET599" s="7"/>
      <c r="EU599" s="6"/>
      <c r="EV599" s="6"/>
      <c r="EW599" s="6"/>
      <c r="EX599" s="6"/>
      <c r="EY599" s="6"/>
      <c r="EZ599" s="6"/>
      <c r="FA599" s="6"/>
      <c r="FB599" s="6"/>
      <c r="FC599" s="6"/>
      <c r="FD599" s="6"/>
      <c r="FE599" s="6"/>
      <c r="FF599" s="6"/>
      <c r="FG599" s="6"/>
      <c r="FH599" s="6"/>
      <c r="FI599" s="6"/>
      <c r="FJ599" s="6"/>
      <c r="FK599" s="6"/>
      <c r="FL599" s="6"/>
      <c r="FM599" s="6"/>
      <c r="FN599" s="6"/>
      <c r="FO599" s="6"/>
      <c r="FP599" s="6"/>
      <c r="FQ599" s="6"/>
      <c r="FR599" s="6"/>
      <c r="FS599" s="6"/>
      <c r="FT599" s="7"/>
      <c r="FU599" s="7"/>
      <c r="FV599" s="7"/>
      <c r="FW599" s="6"/>
      <c r="FX599" s="6"/>
      <c r="FY599" s="6"/>
      <c r="FZ599" s="6"/>
      <c r="GA599" s="6"/>
      <c r="GB599" s="6"/>
      <c r="GC599" s="7"/>
      <c r="GD599" s="7"/>
      <c r="GE599" s="7"/>
      <c r="GF599" s="7"/>
      <c r="GG599" s="7"/>
      <c r="GH599" s="42"/>
      <c r="GI599" s="6"/>
      <c r="GJ599" s="14"/>
      <c r="GK599" s="14"/>
      <c r="GL599" s="14"/>
      <c r="GM599" s="14"/>
      <c r="GO599" s="5"/>
      <c r="GP599" s="5"/>
      <c r="GQ599" s="5"/>
      <c r="GR599" s="5"/>
      <c r="GS599" s="5"/>
      <c r="GT599" s="5"/>
      <c r="GU599" s="5"/>
      <c r="GV599" s="39"/>
      <c r="GW599" s="5"/>
      <c r="GX599" s="5"/>
      <c r="GY599" s="5"/>
      <c r="GZ599" s="5"/>
      <c r="HA599" s="5"/>
      <c r="HB599" s="39"/>
      <c r="HC599" s="5"/>
      <c r="HD599" s="5"/>
      <c r="HE599" s="5"/>
      <c r="HF599" s="5"/>
      <c r="HG599" s="5"/>
      <c r="HH599" s="39"/>
      <c r="HI599" s="16"/>
      <c r="HJ599" s="19"/>
      <c r="HK599" s="1"/>
      <c r="HL599" s="16"/>
      <c r="HM599" s="1"/>
      <c r="HN599" s="1"/>
      <c r="HO599" s="1"/>
      <c r="HP599" s="1"/>
      <c r="HQ599" s="1"/>
      <c r="HR599" s="1"/>
      <c r="HS599" s="1"/>
      <c r="HT599" s="1"/>
      <c r="HU599" s="1"/>
      <c r="HV599" s="1"/>
      <c r="HW599" s="1"/>
      <c r="HX599" s="1"/>
      <c r="HY599" s="1"/>
      <c r="HZ599" s="1"/>
      <c r="IA599" s="1"/>
      <c r="IB599" s="1"/>
      <c r="IC599" s="1"/>
      <c r="ID599" s="1"/>
      <c r="IE599" s="1"/>
      <c r="IF599" s="1"/>
      <c r="IG599" s="1"/>
      <c r="IH599" s="21"/>
      <c r="II599" s="19"/>
      <c r="IJ599" s="19"/>
      <c r="IK599" s="19"/>
      <c r="IL599" s="19"/>
      <c r="IM599" s="19"/>
      <c r="IN599" s="19"/>
      <c r="IO599" s="39"/>
      <c r="IP599" s="39"/>
      <c r="IQ599" s="39"/>
      <c r="IR599" s="39"/>
      <c r="IS599" s="39"/>
      <c r="IT599" s="39"/>
      <c r="IU599" s="39"/>
      <c r="IV599" s="39"/>
      <c r="IW599" s="39"/>
      <c r="IX599" s="39"/>
      <c r="IY599" s="39"/>
      <c r="IZ599" s="39"/>
      <c r="JA599" s="19"/>
      <c r="JB599" s="19"/>
      <c r="JC599" s="19"/>
      <c r="JD599" s="19"/>
      <c r="JE599" s="21"/>
      <c r="JF599" s="1"/>
      <c r="JG599" s="15"/>
      <c r="JH599" s="1"/>
      <c r="JI599" s="1"/>
      <c r="JJ599" s="1"/>
      <c r="JK599" s="1"/>
      <c r="JL599" s="15"/>
      <c r="JM599" s="15"/>
      <c r="JN599" s="21"/>
      <c r="JO599" s="19"/>
      <c r="JP599" s="19"/>
      <c r="JQ599" s="39"/>
      <c r="JR599" s="39"/>
      <c r="JS599" s="39"/>
      <c r="JT599" s="39"/>
      <c r="JU599" s="385"/>
      <c r="JV599" s="39"/>
      <c r="JW599" s="1"/>
      <c r="JX599" s="19"/>
      <c r="JZ599" s="341"/>
      <c r="KA599" s="342"/>
      <c r="KB599" s="469"/>
      <c r="KI599" s="473"/>
      <c r="KJ599" s="473"/>
      <c r="KK599" s="473"/>
    </row>
    <row r="600" spans="1:310" s="26" customFormat="1" ht="15.75" outlineLevel="1" thickBot="1">
      <c r="A600" s="561"/>
      <c r="B600" s="561"/>
      <c r="C600" s="561"/>
      <c r="D600" s="561" t="e">
        <f t="shared" si="1712"/>
        <v>#VALUE!</v>
      </c>
      <c r="E600" s="475" t="e">
        <f>INDEX(Input!$1:$1048576,E$93,$C600*2+MIN($B600,2)+5)
+INDEX(Scenarios!E$121:E$200,MATCH($B600,Scenarios!$B$121:$B$200,0))</f>
        <v>#VALUE!</v>
      </c>
      <c r="F600" s="475" t="e">
        <f>INDEX(Input!$1:$1048576,F$93,$C600*2+MIN($B600,2)+5)
+INDEX(Scenarios!F$121:F$200,MATCH($B600,Scenarios!$B$121:$B$200,0))</f>
        <v>#VALUE!</v>
      </c>
      <c r="G600" s="475" t="e">
        <f>INDEX(Input!$1:$1048576,G$93,$C600*2+MIN($B600,2)+5)
+INDEX(Scenarios!G$121:G$200,MATCH($B600,Scenarios!$B$121:$B$200,0))</f>
        <v>#VALUE!</v>
      </c>
      <c r="H600" s="475" t="e">
        <f>INDEX(Input!$1:$1048576,H$93,$C600*2+MIN($B600,2)+5)
+INDEX(Scenarios!H$121:H$200,MATCH($B600,Scenarios!$B$121:$B$200,0))</f>
        <v>#VALUE!</v>
      </c>
      <c r="I600" s="476" t="str">
        <f>INDEX(Input!$1:$1048576,I$93,$C600*2+MIN($B600,2)+5)</f>
        <v>Dealer cash lift adjustment factor</v>
      </c>
      <c r="J600" s="476" t="str">
        <f>INDEX(Input!$1:$1048576,J$93,$C600*2+MIN($B600,2)+5)</f>
        <v>DSS Input Value: 36 mo</v>
      </c>
      <c r="K600" s="476" t="str">
        <f>INDEX(Input!$1:$1048576,K$93,$C600*2+MIN($B600,2)+5)</f>
        <v>DSS Input Value: 48 mo</v>
      </c>
      <c r="L600" s="476" t="str">
        <f>INDEX(Input!$1:$1048576,L$93,$C600*2+MIN($B600,2)+5)</f>
        <v>DSS Input Value: 60 mo</v>
      </c>
      <c r="M600" s="476" t="str">
        <f>INDEX(Input!$1:$1048576,M$93,$C600*2+MIN($B600,2)+5)</f>
        <v>DSS Input Value: 72 mo</v>
      </c>
      <c r="N600" s="476" t="str">
        <f>INDEX(Input!$1:$1048576,N$93,$C600*2+MIN($B600,2)+5)</f>
        <v>DSS Input Value: 72 mo</v>
      </c>
      <c r="O600" s="476" t="str">
        <f>INDEX(Input!$1:$1048576,O$93,$C600*2+MIN($B600,2)+5)</f>
        <v>DSS Input Value: 84 mo</v>
      </c>
      <c r="P600" s="476" t="str">
        <f>INDEX(Input!$1:$1048576,P$93,$C600*2+MIN($B600,2)+5)</f>
        <v xml:space="preserve"> - 75mo Term Available?</v>
      </c>
      <c r="Q600" s="477" t="e">
        <f>INDEX(Input!$1:$1048576,Q$93,$C600*2+MIN($B600,2)+5)
+INDEX(Scenarios!Q$121:Q$200,MATCH($B600,Scenarios!$B$121:$B$200,0))</f>
        <v>#VALUE!</v>
      </c>
      <c r="R600" s="478" t="str">
        <f>IFERROR(MAX(0,INDEX(Input!$1:$1048576,R$93,$C600*2+MIN($B600,2)+5)
+INDEX(Scenarios!R$121:R$200,MATCH($B600,Scenarios!$B$121:$B$200,0)),),"Market")</f>
        <v>Market</v>
      </c>
      <c r="S600" s="478" t="str">
        <f>IFERROR(MAX(0,INDEX(Input!$1:$1048576,S$93,$C600*2+MIN($B600,2)+5)
+INDEX(Scenarios!S$121:S$200,MATCH($B600,Scenarios!$B$121:$B$200,0)),),"Market")</f>
        <v>Market</v>
      </c>
      <c r="T600" s="478" t="str">
        <f>IFERROR(MAX(0,INDEX(Input!$1:$1048576,T$93,$C600*2+MIN($B600,2)+5)
+INDEX(Scenarios!T$121:T$200,MATCH($B600,Scenarios!$B$121:$B$200,0)),),"Market")</f>
        <v>Market</v>
      </c>
      <c r="U600" s="478" t="str">
        <f>IFERROR(MAX(0,INDEX(Input!$1:$1048576,U$93,$C600*2+MIN($B600,2)+5)
+INDEX(Scenarios!U$121:U$200,MATCH($B600,Scenarios!$B$121:$B$200,0)),),"Market")</f>
        <v>Market</v>
      </c>
      <c r="V600" s="478" t="str">
        <f>IFERROR(MAX(0,INDEX(Input!$1:$1048576,V$93,$C600*2+MIN($B600,2)+5)
+INDEX(Scenarios!V$121:V$200,MATCH($B600,Scenarios!$B$121:$B$200,0)),),"Market")</f>
        <v>Market</v>
      </c>
      <c r="W600" s="885" t="str">
        <f>IFERROR(MAX(0,INDEX(Input!$1:$1048576,W$93,$C600*2+MIN($B600,2)+5)-0%,),"Market")</f>
        <v>Market</v>
      </c>
      <c r="X600" s="476" t="str">
        <f>INDEX(Input!$1:$1048576,X$93,$C600*2+MIN($B600,2)+5)</f>
        <v xml:space="preserve"> - 75mo Term Available?</v>
      </c>
      <c r="Y600" s="475" t="e">
        <f>INDEX(Input!$1:$1048576,Y$93,$C600*2+MIN($B600,2)+5)
++INDEX(Scenarios!Y$121:Y$200,MATCH($B600,Scenarios!$B$121:$B$200,0))</f>
        <v>#VALUE!</v>
      </c>
      <c r="Z600" s="477" t="e">
        <f>INDEX(Input!$1:$1048576,Z$93,$C600*2+MIN($B600,2)+5)
+INDEX(Scenarios!Z$121:Z$200,MATCH($B600,Scenarios!$B$121:$B$200,0))</f>
        <v>#VALUE!</v>
      </c>
      <c r="AA600" s="475" t="e">
        <f>INDEX(Input!$1:$1048576,AA$93,$C600*2+MIN($B600,2)+5)
+INDEX(Scenarios!AA$121:AA$200,MATCH($B600,Scenarios!$B$121:$B$200,0))</f>
        <v>#VALUE!</v>
      </c>
      <c r="AB600" s="476" t="str">
        <f>INDEX(Input!$1:$1048576,AB$93,$C600*2+MIN($B600,2)+5)</f>
        <v>Percent of sales affected/pass thru</v>
      </c>
      <c r="AC600" s="475" t="e">
        <f>INDEX(Input!$1:$1048576,AC$93,$C600*2+MIN($B600,2)+5)
+INDEX(Scenarios!AC$121:AC$200,MATCH($B600,Scenarios!$B$121:$B$200,0))</f>
        <v>#VALUE!</v>
      </c>
      <c r="AD600" s="476" t="str">
        <f>INDEX(Input!$1:$1048576,AD$93,$C600*2+MIN($B600,2)+5)</f>
        <v>Percent of sales affected/pass thru</v>
      </c>
      <c r="AE600" s="475" t="e">
        <f>INDEX(Input!$1:$1048576,AE$93,$C600*2+MIN($B600,2)+5)
+INDEX(Scenarios!AE$121:AE$200,MATCH($B600,Scenarios!$B$121:$B$200,0))</f>
        <v>#VALUE!</v>
      </c>
      <c r="AF600" s="476" t="str">
        <f>INDEX(Input!$1:$1048576,AF$93,$C600*2+MIN($B600,2)+5)</f>
        <v>Percent of sales affected/pass thru</v>
      </c>
      <c r="AG600" s="475" t="e">
        <f>INDEX(Input!$1:$1048576,AG$93,$C600*2+MIN($B600,2)+5)
+INDEX(Scenarios!AG$121:AG$200,MATCH($B600,Scenarios!$B$121:$B$200,0))</f>
        <v>#VALUE!</v>
      </c>
      <c r="AH600" s="476" t="str">
        <f>INDEX(Input!$1:$1048576,AH$93,$C600*2+MIN($B600,2)+5)</f>
        <v>Percent of sales affected/pass thru</v>
      </c>
      <c r="AI600" s="475" t="e">
        <f>INDEX(Input!$1:$1048576,AI$93,$C600*2+MIN($B600,2)+5)
+INDEX(Scenarios!AI$121:AI$200,MATCH($B600,Scenarios!$B$121:$B$200,0))</f>
        <v>#VALUE!</v>
      </c>
      <c r="AJ600" s="476" t="str">
        <f>INDEX(Input!$1:$1048576,AJ$93,$C600*2+MIN($B600,2)+5)</f>
        <v>Percent of sales affected/pass thru</v>
      </c>
      <c r="AK600" s="150"/>
      <c r="AL600" s="150"/>
      <c r="AM600" s="32"/>
      <c r="AN600" s="32"/>
      <c r="AO600" s="32"/>
      <c r="AP600" s="32"/>
      <c r="AQ600" s="536"/>
      <c r="AR600" s="32"/>
      <c r="AS600" s="302"/>
      <c r="AT600" s="3"/>
      <c r="AU600" s="41"/>
      <c r="AV600" s="41"/>
      <c r="AW600" s="41"/>
      <c r="AX600" s="41"/>
      <c r="AY600" s="41"/>
      <c r="AZ600" s="41"/>
      <c r="BA600" s="3"/>
      <c r="BB600" s="128"/>
      <c r="BC600" s="128"/>
      <c r="BD600" s="1"/>
      <c r="BE600" s="1"/>
      <c r="BF600" s="1"/>
      <c r="BG600" s="1"/>
      <c r="BH600" s="1"/>
      <c r="BI600" s="1"/>
      <c r="BJ600" s="1"/>
      <c r="BK600" s="1"/>
      <c r="BL600" s="1"/>
      <c r="BM600" s="1"/>
      <c r="BN600" s="1"/>
      <c r="BO600" s="1"/>
      <c r="BP600" s="1"/>
      <c r="BQ600" s="1"/>
      <c r="BR600" s="1"/>
      <c r="BS600" s="1"/>
      <c r="BT600" s="1"/>
      <c r="BU600" s="1"/>
      <c r="BV600" s="1"/>
      <c r="BW600" s="1"/>
      <c r="BX600" s="127"/>
      <c r="BY600" s="20"/>
      <c r="BZ600" s="20"/>
      <c r="CA600" s="20"/>
      <c r="CB600" s="20"/>
      <c r="CC600" s="20"/>
      <c r="CD600" s="384"/>
      <c r="CE600" s="384"/>
      <c r="CF600" s="384"/>
      <c r="CG600" s="384"/>
      <c r="CH600" s="384"/>
      <c r="CI600" s="304"/>
      <c r="CJ600" s="16"/>
      <c r="CK600" s="1"/>
      <c r="CL600" s="1"/>
      <c r="CM600" s="1"/>
      <c r="CN600" s="1"/>
      <c r="CO600" s="1"/>
      <c r="CP600" s="304"/>
      <c r="CQ600" s="1"/>
      <c r="CR600" s="1"/>
      <c r="CS600" s="1"/>
      <c r="CT600" s="1"/>
      <c r="CU600" s="1"/>
      <c r="CV600" s="304"/>
      <c r="CW600" s="20"/>
      <c r="CX600" s="20"/>
      <c r="CY600" s="20"/>
      <c r="CZ600" s="20"/>
      <c r="DA600" s="20"/>
      <c r="DB600" s="503"/>
      <c r="DC600" s="127"/>
      <c r="DD600" s="127"/>
      <c r="DE600" s="127"/>
      <c r="DF600" s="127"/>
      <c r="DG600" s="127"/>
      <c r="DH600" s="127"/>
      <c r="DI600" s="127"/>
      <c r="DJ600" s="127"/>
      <c r="DK600" s="127"/>
      <c r="DL600" s="127"/>
      <c r="DM600" s="304"/>
      <c r="DN600" s="20"/>
      <c r="DO600" s="20"/>
      <c r="DP600" s="20"/>
      <c r="DQ600" s="20"/>
      <c r="DR600" s="20"/>
      <c r="DS600" s="20"/>
      <c r="DT600" s="20"/>
      <c r="DU600" s="20"/>
      <c r="DV600" s="20"/>
      <c r="DW600" s="20"/>
      <c r="DX600" s="20"/>
      <c r="DY600" s="7"/>
      <c r="DZ600" s="7"/>
      <c r="EA600" s="7"/>
      <c r="EB600" s="7"/>
      <c r="EC600" s="7"/>
      <c r="ED600" s="7"/>
      <c r="EE600" s="7"/>
      <c r="EF600" s="7"/>
      <c r="EG600" s="7"/>
      <c r="EH600" s="7"/>
      <c r="EI600" s="7"/>
      <c r="EJ600" s="7"/>
      <c r="EK600" s="7"/>
      <c r="EL600" s="7"/>
      <c r="EM600" s="7"/>
      <c r="EN600" s="7"/>
      <c r="EO600" s="7"/>
      <c r="EP600" s="7"/>
      <c r="EQ600" s="7"/>
      <c r="ER600" s="7"/>
      <c r="ES600" s="7"/>
      <c r="ET600" s="7"/>
      <c r="EU600" s="6"/>
      <c r="EV600" s="6"/>
      <c r="EW600" s="6"/>
      <c r="EX600" s="6"/>
      <c r="EY600" s="6"/>
      <c r="EZ600" s="6"/>
      <c r="FA600" s="6"/>
      <c r="FB600" s="6"/>
      <c r="FC600" s="6"/>
      <c r="FD600" s="6"/>
      <c r="FE600" s="6"/>
      <c r="FF600" s="6"/>
      <c r="FG600" s="6"/>
      <c r="FH600" s="6"/>
      <c r="FI600" s="6"/>
      <c r="FJ600" s="6"/>
      <c r="FK600" s="6"/>
      <c r="FL600" s="6"/>
      <c r="FM600" s="6"/>
      <c r="FN600" s="6"/>
      <c r="FO600" s="6"/>
      <c r="FP600" s="6"/>
      <c r="FQ600" s="6"/>
      <c r="FR600" s="6"/>
      <c r="FS600" s="6"/>
      <c r="FT600" s="7"/>
      <c r="FU600" s="7"/>
      <c r="FV600" s="7"/>
      <c r="FW600" s="6"/>
      <c r="FX600" s="6"/>
      <c r="FY600" s="6"/>
      <c r="FZ600" s="6"/>
      <c r="GA600" s="6"/>
      <c r="GB600" s="6"/>
      <c r="GC600" s="7"/>
      <c r="GD600" s="7"/>
      <c r="GE600" s="7"/>
      <c r="GF600" s="7"/>
      <c r="GG600" s="7"/>
      <c r="GH600" s="42"/>
      <c r="GI600" s="6"/>
      <c r="GJ600" s="14"/>
      <c r="GK600" s="14"/>
      <c r="GL600" s="14"/>
      <c r="GM600" s="14"/>
      <c r="GO600" s="5"/>
      <c r="GP600" s="5"/>
      <c r="GQ600" s="5"/>
      <c r="GR600" s="5"/>
      <c r="GS600" s="5"/>
      <c r="GT600" s="5"/>
      <c r="GU600" s="5"/>
      <c r="GV600" s="39"/>
      <c r="GW600" s="5"/>
      <c r="GX600" s="5"/>
      <c r="GY600" s="5"/>
      <c r="GZ600" s="5"/>
      <c r="HA600" s="5"/>
      <c r="HB600" s="39"/>
      <c r="HC600" s="5"/>
      <c r="HD600" s="5"/>
      <c r="HE600" s="5"/>
      <c r="HF600" s="5"/>
      <c r="HG600" s="5"/>
      <c r="HH600" s="39"/>
      <c r="HI600" s="16"/>
      <c r="HJ600" s="19"/>
      <c r="HK600" s="1"/>
      <c r="HL600" s="16"/>
      <c r="HM600" s="1"/>
      <c r="HN600" s="1"/>
      <c r="HO600" s="1"/>
      <c r="HP600" s="1"/>
      <c r="HQ600" s="1"/>
      <c r="HR600" s="1"/>
      <c r="HS600" s="1"/>
      <c r="HT600" s="1"/>
      <c r="HU600" s="1"/>
      <c r="HV600" s="1"/>
      <c r="HW600" s="1"/>
      <c r="HX600" s="1"/>
      <c r="HY600" s="1"/>
      <c r="HZ600" s="1"/>
      <c r="IA600" s="1"/>
      <c r="IB600" s="1"/>
      <c r="IC600" s="1"/>
      <c r="ID600" s="1"/>
      <c r="IE600" s="1"/>
      <c r="IF600" s="1"/>
      <c r="IG600" s="1"/>
      <c r="IH600" s="21"/>
      <c r="II600" s="19"/>
      <c r="IJ600" s="19"/>
      <c r="IK600" s="19"/>
      <c r="IL600" s="19"/>
      <c r="IM600" s="19"/>
      <c r="IN600" s="19"/>
      <c r="IO600" s="39"/>
      <c r="IP600" s="39"/>
      <c r="IQ600" s="39"/>
      <c r="IR600" s="39"/>
      <c r="IS600" s="39"/>
      <c r="IT600" s="39"/>
      <c r="IU600" s="39"/>
      <c r="IV600" s="39"/>
      <c r="IW600" s="39"/>
      <c r="IX600" s="39"/>
      <c r="IY600" s="39"/>
      <c r="IZ600" s="39"/>
      <c r="JA600" s="19"/>
      <c r="JB600" s="19"/>
      <c r="JC600" s="19"/>
      <c r="JD600" s="19"/>
      <c r="JE600" s="21"/>
      <c r="JF600" s="1"/>
      <c r="JG600" s="15"/>
      <c r="JH600" s="1"/>
      <c r="JI600" s="1"/>
      <c r="JJ600" s="1"/>
      <c r="JK600" s="1"/>
      <c r="JL600" s="15"/>
      <c r="JM600" s="15"/>
      <c r="JN600" s="21"/>
      <c r="JO600" s="19"/>
      <c r="JP600" s="19"/>
      <c r="JQ600" s="39"/>
      <c r="JR600" s="39"/>
      <c r="JS600" s="39"/>
      <c r="JT600" s="39"/>
      <c r="JU600" s="385"/>
      <c r="JV600" s="39"/>
      <c r="JW600" s="1"/>
      <c r="JX600" s="19"/>
      <c r="JZ600" s="341"/>
      <c r="KA600" s="342"/>
      <c r="KB600" s="469"/>
      <c r="KI600" s="473"/>
      <c r="KJ600" s="473"/>
      <c r="KK600" s="473"/>
    </row>
    <row r="601" spans="1:310" s="60" customFormat="1" ht="15.75" thickBot="1">
      <c r="A601" s="560">
        <f>C601*1000+B601</f>
        <v>6001</v>
      </c>
      <c r="B601" s="560">
        <v>1</v>
      </c>
      <c r="C601" s="559">
        <v>6</v>
      </c>
      <c r="D601" s="560" t="s">
        <v>566</v>
      </c>
      <c r="E601" s="365">
        <f>INDEX(Input!$1:$1048576,E$93,$C601*2+MIN($B601,1)+5)</f>
        <v>1000.0000000000002</v>
      </c>
      <c r="F601" s="366">
        <f>INDEX(Input!$1:$1048576,F$93,$C601*2+MIN($B601,1)+5)</f>
        <v>0</v>
      </c>
      <c r="G601" s="49">
        <f>INDEX(Input!$1:$1048576,G$93,$C601*2+MIN($B601,1)+5)</f>
        <v>0</v>
      </c>
      <c r="H601" s="49">
        <f>INDEX(Input!$1:$1048576,H$93,$C601*2+MIN($B601,1)+5)</f>
        <v>0</v>
      </c>
      <c r="I601" s="367">
        <f>INDEX(Input!$1:$1048576,I$93,$C601*2+MIN($B601,1)+5)</f>
        <v>0.7</v>
      </c>
      <c r="J601" s="367" t="str">
        <f>INDEX(Input!$1:$1048576,J$93,$C601*2+MIN($B601,1)+5)</f>
        <v>Market</v>
      </c>
      <c r="K601" s="367" t="str">
        <f>INDEX(Input!$1:$1048576,K$93,$C601*2+MIN($B601,1)+5)</f>
        <v>Market</v>
      </c>
      <c r="L601" s="367" t="str">
        <f>INDEX(Input!$1:$1048576,L$93,$C601*2+MIN($B601,1)+5)</f>
        <v>Market</v>
      </c>
      <c r="M601" s="367" t="str">
        <f>INDEX(Input!$1:$1048576,M$93,$C601*2+MIN($B601,1)+5)</f>
        <v>Market</v>
      </c>
      <c r="N601" s="367" t="str">
        <f>INDEX(Input!$1:$1048576,N$93,$C601*2+MIN($B601,1)+5)</f>
        <v>Market</v>
      </c>
      <c r="O601" s="367" t="str">
        <f>INDEX(Input!$1:$1048576,O$93,$C601*2+MIN($B601,1)+5)</f>
        <v>Market</v>
      </c>
      <c r="P601" s="367" t="str">
        <f>INDEX(Input!$1:$1048576,P$93,$C601*2+MIN($B601,1)+5)</f>
        <v>N</v>
      </c>
      <c r="Q601" s="47">
        <f>INDEX(Input!$1:$1048576,Q$93,$C601*2+MIN($B601,1)+5)</f>
        <v>0</v>
      </c>
      <c r="R601" s="38">
        <f>INDEX(Input!$1:$1048576,R$93,$C601*2+MIN($B601,1)+5)</f>
        <v>0</v>
      </c>
      <c r="S601" s="38">
        <f>INDEX(Input!$1:$1048576,S$93,$C601*2+MIN($B601,1)+5)</f>
        <v>0</v>
      </c>
      <c r="T601" s="38">
        <f>INDEX(Input!$1:$1048576,T$93,$C601*2+MIN($B601,1)+5)</f>
        <v>0</v>
      </c>
      <c r="U601" s="38">
        <f>INDEX(Input!$1:$1048576,U$93,$C601*2+MIN($B601,1)+5)</f>
        <v>0</v>
      </c>
      <c r="V601" s="38">
        <f>INDEX(Input!$1:$1048576,V$93,$C601*2+MIN($B601,1)+5)</f>
        <v>1.9E-2</v>
      </c>
      <c r="W601" s="22">
        <f>INDEX(Input!$1:$1048576,W$93,$C601*2+MIN($B601,1)+5)</f>
        <v>3.9E-2</v>
      </c>
      <c r="X601" s="367" t="str">
        <f>INDEX(Input!$1:$1048576,X$93,$C601*2+MIN($B601,1)+5)</f>
        <v>Y</v>
      </c>
      <c r="Y601" s="49">
        <f>INDEX(Input!$1:$1048576,Y$93,$C601*2+MIN($B601,1)+5)</f>
        <v>1216.1623510528204</v>
      </c>
      <c r="Z601" s="584">
        <f>INDEX(Input!$1:$1048576,Z$93,$C601*2+MIN($B601,1)+5)</f>
        <v>0</v>
      </c>
      <c r="AA601" s="49">
        <f>INDEX(Input!$1:$1048576,AA$93,$C601*2+MIN($B601,1)+5)</f>
        <v>1000</v>
      </c>
      <c r="AB601" s="367">
        <f>INDEX(Input!$1:$1048576,AB$93,$C601*2+MIN($B601,1)+5)</f>
        <v>0.27</v>
      </c>
      <c r="AC601" s="49">
        <f>INDEX(Input!$1:$1048576,AC$93,$C601*2+MIN($B601,1)+5)</f>
        <v>1000</v>
      </c>
      <c r="AD601" s="367">
        <f>INDEX(Input!$1:$1048576,AD$93,$C601*2+MIN($B601,1)+5)</f>
        <v>0.27</v>
      </c>
      <c r="AE601" s="49">
        <f>INDEX(Input!$1:$1048576,AE$93,$C601*2+MIN($B601,1)+5)</f>
        <v>0</v>
      </c>
      <c r="AF601" s="367">
        <f>INDEX(Input!$1:$1048576,AF$93,$C601*2+MIN($B601,1)+5)</f>
        <v>1</v>
      </c>
      <c r="AG601" s="49">
        <f>INDEX(Input!$1:$1048576,AG$93,$C601*2+MIN($B601,1)+5)</f>
        <v>0</v>
      </c>
      <c r="AH601" s="367">
        <f>INDEX(Input!$1:$1048576,AH$93,$C601*2+MIN($B601,1)+5)</f>
        <v>1</v>
      </c>
      <c r="AI601" s="49">
        <f>INDEX(Input!$1:$1048576,AI$93,$C601*2+MIN($B601,1)+5)</f>
        <v>0</v>
      </c>
      <c r="AJ601" s="367">
        <f>INDEX(Input!$1:$1048576,AJ$93,$C601*2+MIN($B601,1)+5)</f>
        <v>0.27</v>
      </c>
      <c r="AK601" s="298">
        <f>ROUND(INDEX(Input!$1:$1048576,AK$93,$C601*2+MIN($B601,1)+5),0)</f>
        <v>3539</v>
      </c>
      <c r="AL601" s="49">
        <f>ROUND(INDEX(Input!$1:$1048576,AL$93,$C601*2+MIN($B601,1)+5),0)</f>
        <v>3539</v>
      </c>
      <c r="AM601" s="46" t="str">
        <f>IF(K601="market","std",ROUND(K601*1000,0)/10)&amp;"/"&amp;IF(L601="market","std",ROUND(L601*1000,0)/10)&amp;"/"&amp;IF(M601="market","std",ROUND(M601*1000,0)/10)&amp;"/"&amp;IF(N601="market","std",ROUND(N601*1000,0)/10)&amp;IF(P601="N","","/"&amp;IF(O601="market","std",ROUND(O601*1000,0)/10))</f>
        <v>std/std/std/std</v>
      </c>
      <c r="AN601" s="46" t="str">
        <f>"$"&amp;ROUND(Q601,0)&amp;" + "&amp;IF(S601="market","std",ROUND(S601*1000,0)/10)&amp;"/"&amp;IF(T601="market","std",ROUND(T601*1000,0)/10)&amp;"/"&amp;IF(U601="market","std",ROUND(U601*1000,0)/10)&amp;"/"&amp;IF(V601="market","std",ROUND(V601*1000,0)/10)&amp;IF(X601="N","","/"&amp;IF(W601="market","std",ROUND(W601*1000,0)/10))</f>
        <v>$0 + 0/0/0/1.9/3.9</v>
      </c>
      <c r="AO601" s="44" t="str">
        <f>IF(S601="market","std",ROUND(S601*1000,0)/10)&amp;"/"&amp;IF(T601="market","std",ROUND(T601*1000,0)/10)&amp;"/"&amp;IF(U601="market","std",ROUND(U601*1000,0)/10)&amp;"/"&amp;IF(V601="market","std",ROUND(V601*1000,0)/10)&amp;IF(X601="N","","/"&amp;IF(W601="market","std",ROUND(W601*1000,0)/10))</f>
        <v>0/0/0/1.9/3.9</v>
      </c>
      <c r="AP601" s="44" t="str">
        <f t="shared" ref="AP601:AP664" si="1716">IF(X601="Y",
IF(U601="market","std",ROUND(U601*1000,0)/10)&amp;"/"
&amp;MAX(IF(V601="market","std",ROUND(V601*1000,0)/10-1),0)&amp;"/"
&amp;IF(V601="market","std",ROUND(V601*1000,0)/10)&amp;"/"
&amp;IF(W601="market","std",ROUND(W601*1000,0)/10),
IF(U601="market","std",ROUND(U601*1000,0)/10)&amp;"/"
&amp;MAX(IF(V601="market","std",ROUND(V601*1000,0)/10-1),0)&amp;"/"
&amp;IF(V601="market","std",ROUND(V601*1000,0)/10)&amp;"/"
&amp;IF(W601="market","std",ROUND(W601*1000,0)/10))</f>
        <v>0/0.9/1.9/3.9</v>
      </c>
      <c r="AQ601" s="507">
        <f t="shared" ref="AQ601:AQ632" si="1717">SUM(IE601,G601*IF601,H601*IG601,AC601*AD601,AE601*AF601,AI601)</f>
        <v>270.37153046984031</v>
      </c>
      <c r="AR601" s="44"/>
      <c r="AS601" s="368"/>
      <c r="AT601" s="579">
        <v>1</v>
      </c>
      <c r="AU601" s="45" t="s">
        <v>121</v>
      </c>
      <c r="AV601" s="45" t="s">
        <v>116</v>
      </c>
      <c r="AW601" s="45" t="str">
        <f>INDEX(Input!$1:$1048576,AW$93,$C601*2+6)</f>
        <v>Kia</v>
      </c>
      <c r="AX601" s="45" t="str">
        <f>INDEX(Input!$1:$1048576,AX$93,$C601*2+6)</f>
        <v>National</v>
      </c>
      <c r="AY601" s="10" t="str">
        <f>IF(LEN(D601)=0,"",INDEX(Input!$1:$1048576,AY$93,$C601*2+6))</f>
        <v>Compact SUV (52)</v>
      </c>
      <c r="AZ601" s="45" t="str">
        <f>INDEX(Input!$1:$1048576,AZ$93,$C601*2+6)</f>
        <v>Kia Soul</v>
      </c>
      <c r="BA601" s="50">
        <f>INDEX(Input!$1:$1048576,BA$93,$C601*2+6)</f>
        <v>2020</v>
      </c>
      <c r="BB601" s="48">
        <f>INDEX(Input!$1:$1048576,BB$93,$C601*2+6)</f>
        <v>1</v>
      </c>
      <c r="BC601" s="578">
        <f>INDEX(Input!$1:$1048576,BC$93,$C601*2+6)</f>
        <v>0.7</v>
      </c>
      <c r="BD601" s="38">
        <f>INDEX(Input!$1:$1048576,BD$93,$C601*2+6)</f>
        <v>4.4999999999999998E-2</v>
      </c>
      <c r="BE601" s="38">
        <f>INDEX(Input!$1:$1048576,BE$93,$C601*2+6)</f>
        <v>4.4999999999999998E-2</v>
      </c>
      <c r="BF601" s="38">
        <f>INDEX(Input!$1:$1048576,BF$93,$C601*2+6)</f>
        <v>0.05</v>
      </c>
      <c r="BG601" s="38">
        <f>INDEX(Input!$1:$1048576,BG$93,$C601*2+6)</f>
        <v>5.45E-2</v>
      </c>
      <c r="BH601" s="38">
        <f>INDEX(Input!$1:$1048576,BH$93,$C601*2+6)</f>
        <v>5.45E-2</v>
      </c>
      <c r="BI601" s="38">
        <f>INDEX(Input!$1:$1048576,BI$93,$C601*2+6)</f>
        <v>0.05</v>
      </c>
      <c r="BJ601" s="38">
        <f>INDEX(Input!$1:$1048576,BJ$93,$C601*2+6)</f>
        <v>0.05</v>
      </c>
      <c r="BK601" s="38">
        <f>INDEX(Input!$1:$1048576,BK$93,$C601*2+6)</f>
        <v>0.05</v>
      </c>
      <c r="BL601" s="38">
        <f>INDEX(Input!$1:$1048576,BL$93,$C601*2+6)</f>
        <v>5.5E-2</v>
      </c>
      <c r="BM601" s="38">
        <f>INDEX(Input!$1:$1048576,BM$93,$C601*2+6)</f>
        <v>0.06</v>
      </c>
      <c r="BN601" s="38">
        <f>INDEX(Input!$1:$1048576,BN$93,$C601*2+6)</f>
        <v>4.4999999999999998E-2</v>
      </c>
      <c r="BO601" s="38">
        <f>INDEX(Input!$1:$1048576,BO$93,$C601*2+6)</f>
        <v>4.4999999999999998E-2</v>
      </c>
      <c r="BP601" s="38">
        <f>INDEX(Input!$1:$1048576,BP$93,$C601*2+6)</f>
        <v>0.05</v>
      </c>
      <c r="BQ601" s="38">
        <f>INDEX(Input!$1:$1048576,BQ$93,$C601*2+6)</f>
        <v>5.45E-2</v>
      </c>
      <c r="BR601" s="38">
        <f>INDEX(Input!$1:$1048576,BR$93,$C601*2+6)</f>
        <v>5.45E-2</v>
      </c>
      <c r="BS601" s="38">
        <f>INDEX(Input!$1:$1048576,BS$93,$C601*2+6)</f>
        <v>0.05</v>
      </c>
      <c r="BT601" s="38">
        <f>INDEX(Input!$1:$1048576,BT$93,$C601*2+6)</f>
        <v>0.05</v>
      </c>
      <c r="BU601" s="38">
        <f>INDEX(Input!$1:$1048576,BU$93,$C601*2+6)</f>
        <v>0.05</v>
      </c>
      <c r="BV601" s="38">
        <f>INDEX(Input!$1:$1048576,BV$93,$C601*2+6)</f>
        <v>5.5E-2</v>
      </c>
      <c r="BW601" s="38">
        <f>INDEX(Input!$1:$1048576,BW$93,$C601*2+6)</f>
        <v>0.06</v>
      </c>
      <c r="BX601" s="29">
        <f>INDEX(Input!$1:$1048576,BX$93,$C601*2+6)</f>
        <v>19985</v>
      </c>
      <c r="BY601" s="367">
        <f>INDEX(Input!$1:$1048576,BY$93,$C601*2+6)</f>
        <v>0.1</v>
      </c>
      <c r="BZ601" s="367">
        <f>INDEX(Input!$1:$1048576,BZ$93,$C601*2+6)</f>
        <v>0.1</v>
      </c>
      <c r="CA601" s="367">
        <f>INDEX(Input!$1:$1048576,CA$93,$C601*2+6)</f>
        <v>0.1</v>
      </c>
      <c r="CB601" s="367">
        <f>INDEX(Input!$1:$1048576,CB$93,$C601*2+6)</f>
        <v>0.1</v>
      </c>
      <c r="CC601" s="367">
        <f>INDEX(Input!$1:$1048576,CC$93,$C601*2+6)</f>
        <v>0.1</v>
      </c>
      <c r="CD601" s="367">
        <f>INDEX(Input!$1:$1048576,CD$93,$C601*2+6)</f>
        <v>0.1</v>
      </c>
      <c r="CE601" s="367">
        <f>INDEX(Input!$1:$1048576,CE$93,$C601*2+6)</f>
        <v>0.1</v>
      </c>
      <c r="CF601" s="367">
        <f>INDEX(Input!$1:$1048576,CF$93,$C601*2+6)</f>
        <v>0.1</v>
      </c>
      <c r="CG601" s="367">
        <f>INDEX(Input!$1:$1048576,CG$93,$C601*2+6)</f>
        <v>0.1</v>
      </c>
      <c r="CH601" s="48">
        <f>INDEX(Input!$1:$1048576,CH$93,$C601*2+6)</f>
        <v>0.1</v>
      </c>
      <c r="CI601" s="298">
        <f t="shared" ref="CI601:CI664" si="1718">E601+F601*I601+AA601*AB601</f>
        <v>1270.0000000000002</v>
      </c>
      <c r="CJ601" s="46" t="str">
        <f>INDEX(Input!$1:$1048576,CJ$93,$C601*2+6)</f>
        <v>N</v>
      </c>
      <c r="CK601" s="38" t="str">
        <f t="shared" ref="CK601:CK664" si="1719">K601</f>
        <v>Market</v>
      </c>
      <c r="CL601" s="38" t="str">
        <f t="shared" ref="CL601:CL664" si="1720">L601</f>
        <v>Market</v>
      </c>
      <c r="CM601" s="38" t="str">
        <f t="shared" ref="CM601:CM664" si="1721">M601</f>
        <v>Market</v>
      </c>
      <c r="CN601" s="38" t="str">
        <f t="shared" ref="CN601:CN664" si="1722">N601</f>
        <v>Market</v>
      </c>
      <c r="CO601" s="38" t="str">
        <f t="shared" ref="CO601:CO664" si="1723">O601</f>
        <v>Market</v>
      </c>
      <c r="CP601" s="49">
        <f t="shared" ref="CP601:CP664" si="1724">Q601+G601*I601+AG601*AH601</f>
        <v>0</v>
      </c>
      <c r="CQ601" s="38">
        <f t="shared" ref="CQ601:CQ664" si="1725">S601</f>
        <v>0</v>
      </c>
      <c r="CR601" s="38">
        <f t="shared" ref="CR601:CR664" si="1726">T601</f>
        <v>0</v>
      </c>
      <c r="CS601" s="38">
        <f t="shared" ref="CS601:CS664" si="1727">U601</f>
        <v>0</v>
      </c>
      <c r="CT601" s="38">
        <f t="shared" ref="CT601:CT664" si="1728">V601</f>
        <v>1.9E-2</v>
      </c>
      <c r="CU601" s="38">
        <f t="shared" ref="CU601:CU664" si="1729">W601</f>
        <v>3.9E-2</v>
      </c>
      <c r="CV601" s="49">
        <f t="shared" ref="CV601:CV664" si="1730">Y601+H601*I601+AC601*AD601</f>
        <v>1486.1623510528204</v>
      </c>
      <c r="CW601" s="22" t="s">
        <v>122</v>
      </c>
      <c r="CX601" s="22" t="s">
        <v>122</v>
      </c>
      <c r="CY601" s="22" t="s">
        <v>122</v>
      </c>
      <c r="CZ601" s="22" t="s">
        <v>122</v>
      </c>
      <c r="DA601" s="22" t="s">
        <v>122</v>
      </c>
      <c r="DB601" s="502">
        <f t="shared" ref="DB601:DB664" si="1731">Z601+AE601*AF601</f>
        <v>0</v>
      </c>
      <c r="DC601" s="29">
        <v>0</v>
      </c>
      <c r="DD601" s="29">
        <v>0</v>
      </c>
      <c r="DE601" s="29">
        <v>0</v>
      </c>
      <c r="DF601" s="49">
        <v>0</v>
      </c>
      <c r="DG601" s="49">
        <v>0</v>
      </c>
      <c r="DH601" s="49">
        <v>0</v>
      </c>
      <c r="DI601" s="49">
        <v>0</v>
      </c>
      <c r="DJ601" s="49">
        <v>0</v>
      </c>
      <c r="DK601" s="29">
        <v>0</v>
      </c>
      <c r="DL601" s="29">
        <v>0</v>
      </c>
      <c r="DM601" s="49">
        <f>INDEX(Input!$1:$1048576,DM$93,$C601*2+6)</f>
        <v>21036.84210526316</v>
      </c>
      <c r="DN601" s="367">
        <v>0</v>
      </c>
      <c r="DO601" s="367">
        <v>0</v>
      </c>
      <c r="DP601" s="367">
        <v>0</v>
      </c>
      <c r="DQ601" s="367">
        <v>0</v>
      </c>
      <c r="DR601" s="367">
        <v>0</v>
      </c>
      <c r="DS601" s="367">
        <f>INDEX(Input!$1:$1048576,DS$93,$C601*2+6)</f>
        <v>0.6</v>
      </c>
      <c r="DT601" s="367">
        <f>INDEX(Input!$1:$1048576,DT$93,$C601*2+6)</f>
        <v>0.55000000000000004</v>
      </c>
      <c r="DU601" s="367">
        <f>INDEX(Input!$1:$1048576,DU$93,$C601*2+6)</f>
        <v>0.52</v>
      </c>
      <c r="DV601" s="367">
        <f>INDEX(Input!$1:$1048576,DV$93,$C601*2+6)</f>
        <v>0.5</v>
      </c>
      <c r="DW601" s="48">
        <f>INDEX(Input!$1:$1048576,DW$93,$C601*2+6)</f>
        <v>0.45</v>
      </c>
      <c r="DX601" s="577"/>
      <c r="DY601" s="4"/>
      <c r="DZ601" s="37"/>
      <c r="EA601" s="37"/>
      <c r="EB601" s="37"/>
      <c r="EC601" s="37"/>
      <c r="ED601" s="37"/>
      <c r="EE601" s="37"/>
      <c r="EF601" s="37"/>
      <c r="EG601" s="37"/>
      <c r="EH601" s="37"/>
      <c r="EI601" s="37"/>
      <c r="EJ601" s="37"/>
      <c r="EK601" s="37"/>
      <c r="EL601" s="37"/>
      <c r="EM601" s="37"/>
      <c r="EN601" s="37"/>
      <c r="EO601" s="37"/>
      <c r="EP601" s="37"/>
      <c r="EQ601" s="37"/>
      <c r="ER601" s="37"/>
      <c r="ES601" s="37"/>
      <c r="ET601" s="37"/>
      <c r="EU601" s="36"/>
      <c r="EV601" s="36"/>
      <c r="EW601" s="36"/>
      <c r="EX601" s="36"/>
      <c r="EY601" s="36"/>
      <c r="EZ601" s="36"/>
      <c r="FA601" s="36"/>
      <c r="FB601" s="36"/>
      <c r="FC601" s="36"/>
      <c r="FD601" s="36"/>
      <c r="FE601" s="36"/>
      <c r="FF601" s="36"/>
      <c r="FG601" s="36"/>
      <c r="FH601" s="36"/>
      <c r="FI601" s="36"/>
      <c r="FJ601" s="36"/>
      <c r="FK601" s="36"/>
      <c r="FL601" s="36"/>
      <c r="FM601" s="36"/>
      <c r="FN601" s="36"/>
      <c r="FO601" s="36"/>
      <c r="FP601" s="36"/>
      <c r="FQ601" s="36"/>
      <c r="FR601" s="36"/>
      <c r="FS601" s="36"/>
      <c r="FT601" s="37"/>
      <c r="FU601" s="37"/>
      <c r="FV601" s="37"/>
      <c r="FW601" s="36"/>
      <c r="FX601" s="36"/>
      <c r="FY601" s="36"/>
      <c r="FZ601" s="36"/>
      <c r="GA601" s="36"/>
      <c r="GB601" s="36"/>
      <c r="GC601" s="37"/>
      <c r="GD601" s="37"/>
      <c r="GE601" s="37"/>
      <c r="GF601" s="37"/>
      <c r="GG601" s="37"/>
      <c r="GH601" s="35"/>
      <c r="GI601" s="36"/>
      <c r="GJ601" s="34"/>
      <c r="GK601" s="34"/>
      <c r="GL601" s="34"/>
      <c r="GM601" s="33"/>
      <c r="GN601" s="61"/>
      <c r="GO601" s="13"/>
      <c r="GP601" s="27"/>
      <c r="GQ601" s="27"/>
      <c r="GR601" s="27"/>
      <c r="GS601" s="27"/>
      <c r="GT601" s="27"/>
      <c r="GU601" s="27"/>
      <c r="GV601" s="29"/>
      <c r="GW601" s="27"/>
      <c r="GX601" s="27"/>
      <c r="GY601" s="27"/>
      <c r="GZ601" s="27"/>
      <c r="HA601" s="27"/>
      <c r="HB601" s="29"/>
      <c r="HC601" s="27"/>
      <c r="HD601" s="27"/>
      <c r="HE601" s="27"/>
      <c r="HF601" s="27"/>
      <c r="HG601" s="27"/>
      <c r="HH601" s="12"/>
      <c r="HI601" s="94"/>
      <c r="HJ601" s="335"/>
      <c r="HK601" s="335"/>
      <c r="HL601" s="94"/>
      <c r="HM601" s="640">
        <f>(HM101*HY101+HM201*HY201+HM301*HY301+HM401*HY401+HM501*HY501)/HY601</f>
        <v>2.3149872625708352E-2</v>
      </c>
      <c r="HN601" s="22">
        <f t="shared" ref="HN601:HO601" si="1732">(HN101*HZ101+HN201*HZ201+HN301*HZ301+HN401*HZ401+HN501*HZ501)/HZ601</f>
        <v>1.3965040474190958E-3</v>
      </c>
      <c r="HO601" s="638">
        <f t="shared" si="1732"/>
        <v>3.5429561340050734E-3</v>
      </c>
      <c r="HP601" s="649">
        <f t="shared" ref="HP601:HX601" si="1733">HP101+HP201+HP301+HP401+HP501</f>
        <v>0</v>
      </c>
      <c r="HQ601" s="650">
        <f t="shared" si="1733"/>
        <v>0</v>
      </c>
      <c r="HR601" s="651">
        <f t="shared" si="1733"/>
        <v>0</v>
      </c>
      <c r="HS601" s="650">
        <f t="shared" si="1733"/>
        <v>0</v>
      </c>
      <c r="HT601" s="650">
        <f t="shared" si="1733"/>
        <v>0</v>
      </c>
      <c r="HU601" s="651">
        <f t="shared" si="1733"/>
        <v>0</v>
      </c>
      <c r="HV601" s="649">
        <f t="shared" si="1733"/>
        <v>0</v>
      </c>
      <c r="HW601" s="650">
        <f t="shared" si="1733"/>
        <v>0</v>
      </c>
      <c r="HX601" s="651">
        <f t="shared" si="1733"/>
        <v>0</v>
      </c>
      <c r="HY601" s="641">
        <f>HY101+HY201+HY301+HY401+HY501</f>
        <v>2396</v>
      </c>
      <c r="HZ601" s="641">
        <f t="shared" ref="HZ601:ID601" si="1734">HZ101+HZ201+HZ301+HZ401+HZ501</f>
        <v>3223</v>
      </c>
      <c r="IA601" s="642">
        <f t="shared" si="1734"/>
        <v>830</v>
      </c>
      <c r="IB601" s="649">
        <f t="shared" si="1734"/>
        <v>2396</v>
      </c>
      <c r="IC601" s="650">
        <f t="shared" si="1734"/>
        <v>3223</v>
      </c>
      <c r="ID601" s="651">
        <f t="shared" si="1734"/>
        <v>830</v>
      </c>
      <c r="IE601" s="129">
        <f>IB601/SUM($IB601:$ID601)</f>
        <v>0.37153046984028532</v>
      </c>
      <c r="IF601" s="652">
        <f t="shared" ref="IF601" si="1735">IC601/SUM($IB601:$ID601)</f>
        <v>0.49976740579934875</v>
      </c>
      <c r="IG601" s="653">
        <f t="shared" ref="IG601" si="1736">ID601/SUM($IB601:$ID601)</f>
        <v>0.12870212436036596</v>
      </c>
      <c r="IH601" s="95"/>
      <c r="II601" s="298"/>
      <c r="IJ601" s="49"/>
      <c r="IK601" s="40"/>
      <c r="IL601" s="298">
        <f>JA601-IX601</f>
        <v>0</v>
      </c>
      <c r="IM601" s="49">
        <f t="shared" ref="IM601:IN601" si="1737">JB601-IY601</f>
        <v>0</v>
      </c>
      <c r="IN601" s="40">
        <f t="shared" si="1737"/>
        <v>0</v>
      </c>
      <c r="IO601" s="25"/>
      <c r="IP601" s="29"/>
      <c r="IQ601" s="29"/>
      <c r="IR601" s="17"/>
      <c r="IS601" s="29"/>
      <c r="IT601" s="12"/>
      <c r="IU601" s="25"/>
      <c r="IV601" s="29"/>
      <c r="IW601" s="12"/>
      <c r="IX601" s="372">
        <f>(IX101*HY101+IX201*HY201+IX301*HY301+IX401*HY401+IX501*HY501)/HY601</f>
        <v>1554.1790484140233</v>
      </c>
      <c r="IY601" s="373">
        <f t="shared" ref="IY601:IZ601" si="1738">(IY101*HZ101+IY201*HZ201+IY301*HZ301+IY401*HZ401+IY501*HZ501)/HZ601</f>
        <v>2412.3001201524512</v>
      </c>
      <c r="IZ601" s="374">
        <f t="shared" si="1738"/>
        <v>3993.0862952928574</v>
      </c>
      <c r="JA601" s="298">
        <f>IFERROR((JA101*IB101+JA201*IB201+JA301*IB301+JA401*IB401+JA501*IB501)/IB601,0)</f>
        <v>1554.1790484140233</v>
      </c>
      <c r="JB601" s="49">
        <f>IFERROR((JB101*IC101+JB201*IC201+JB301*IC301+JB401*IC401+JB501*IC501)/IC601,0)</f>
        <v>2412.3001201524512</v>
      </c>
      <c r="JC601" s="49">
        <f>IFERROR((JC101*ID101+JC201*ID201+JC301*ID301+JC401*ID401+JC501*ID501)/ID601,0)</f>
        <v>3993.0862952928574</v>
      </c>
      <c r="JD601" s="40">
        <f>SUMPRODUCT(IE601:IG601,JA601:JC601)</f>
        <v>2296.9325340896921</v>
      </c>
      <c r="JE601" s="95"/>
      <c r="JF601" s="28">
        <f>(JF101*JG101+JF201*JG201+JF301*JG301+JF401*JG401+JF501*JG501)/JG601</f>
        <v>2.6651855648468406E-2</v>
      </c>
      <c r="JG601" s="23">
        <f>JG101+JG201+JG301+JG401+JG501</f>
        <v>6449</v>
      </c>
      <c r="JH601" s="38">
        <f t="shared" ref="JH601" si="1739">SUM(HP601:HR601)/SUM(HY601:IA601)</f>
        <v>0</v>
      </c>
      <c r="JI601" s="38">
        <f t="shared" ref="JI601" si="1740">SUM(HS601:HU601)/SUM(HY601:IA601)</f>
        <v>0</v>
      </c>
      <c r="JJ601" s="11">
        <f t="shared" ref="JJ601" si="1741">SUM(HV601:HX601)/SUM(HY601:IA601)</f>
        <v>0</v>
      </c>
      <c r="JK601" s="2">
        <f t="shared" ref="JK601" si="1742">JL601/JG601</f>
        <v>0</v>
      </c>
      <c r="JL601" s="9">
        <f>JL101+JL201+JL301+JL401+JL501</f>
        <v>0</v>
      </c>
      <c r="JM601" s="8">
        <f>JM101+JM201+JM301+JM401+JM501</f>
        <v>6449</v>
      </c>
      <c r="JN601" s="95"/>
      <c r="JO601" s="375">
        <f>INDEX(Input!$1:$1048576,JO$93,$C601*2+6)</f>
        <v>5995.5</v>
      </c>
      <c r="JP601" s="375">
        <f>INDEX(Input!$1:$1048576,JP$93,$C601*2+6)</f>
        <v>2296.6050414551746</v>
      </c>
      <c r="JQ601" s="25">
        <f>JO601-JD601</f>
        <v>3698.5674659103079</v>
      </c>
      <c r="JR601" s="29">
        <f t="shared" ref="JR601" si="1743">JD601-JP601</f>
        <v>0.32749263451751176</v>
      </c>
      <c r="JS601" s="29">
        <f t="shared" ref="JS601" si="1744">JM601*JD601/1000000</f>
        <v>14.812917912344425</v>
      </c>
      <c r="JT601" s="29">
        <f>(JD601*JM601-JP601*JG601)/1000000</f>
        <v>2.1120000000037255E-3</v>
      </c>
      <c r="JU601" s="376">
        <f>(JQ601*JM601-INDEX(Input!$1:$1048576,Input!A$18,$C601*2+6)*JL601*INDEX(Input!$1:$1048576,Input!A$19,$C601*2+6))/1000000</f>
        <v>23.852061587655573</v>
      </c>
      <c r="JV601" s="29">
        <f t="shared" ref="JV601:JV603" si="1745">JU601-(JO601-JP601)*JG601/1000000</f>
        <v>-2.1120000000038885E-3</v>
      </c>
      <c r="JW601" s="38">
        <f>JV601/(JU601-JV601)</f>
        <v>-8.8537965578352242E-5</v>
      </c>
      <c r="JX601" s="40">
        <f>IF(JL601=0,0,JT601/JL601)*1000000</f>
        <v>0</v>
      </c>
      <c r="JZ601" s="377"/>
      <c r="KA601" s="378"/>
      <c r="KB601" s="474">
        <f>KA606</f>
        <v>0</v>
      </c>
      <c r="KC601" s="379"/>
      <c r="KD601" s="379"/>
      <c r="KE601" s="379"/>
      <c r="KF601" s="379"/>
      <c r="KG601" s="380"/>
      <c r="KI601" s="381"/>
      <c r="KJ601" s="379"/>
      <c r="KK601" s="379"/>
      <c r="KL601" s="380"/>
      <c r="KN601" s="542">
        <f>C601*1000+$KN$97</f>
        <v>6002</v>
      </c>
      <c r="KO601" s="540">
        <f t="shared" ref="KO601" si="1746">JM601/INDEX(JM:JM,MATCH(KN601,A:A,0))-1</f>
        <v>-2.2921501252463838E-2</v>
      </c>
      <c r="KP601" s="545">
        <f t="shared" ref="KP601" si="1747">(IL601-INDEX(IL:IL,MATCH(KN601,A:A,0)))*IE601
+(IM601-IF(HN601=0,INDEX(IX:IX,MATCH(KN601,A:A,0)),INDEX(IM:IM,MATCH(KN601,A:A,0))))*IF601
+(IN601-INDEX(IN:IN,MATCH(KN601,A:A,0)))*IG601</f>
        <v>-164.1507143716054</v>
      </c>
      <c r="KQ601" s="545">
        <f t="shared" ref="KQ601" si="1748">JD601-INDEX(JD:JD,MATCH(KN601,A:A,0))</f>
        <v>-165.9007225154528</v>
      </c>
      <c r="KR601" s="549">
        <f t="shared" ref="KR601" si="1749">KO601/(KP601/(BX601-INDEX(JD:JD,MATCH(KN601,A:A,0))))</f>
        <v>2.4467415112515623</v>
      </c>
      <c r="KS601" s="549">
        <f t="shared" ref="KS601" si="1750">KO601/(KQ601/(BX601-INDEX(JD:JD,MATCH(KN601,A:A,0))))</f>
        <v>2.4209319939350786</v>
      </c>
      <c r="KT601" s="661">
        <f>(1+JK606/(JD606-JD601)*(0-JD601))*JM601</f>
        <v>4286.2445668946921</v>
      </c>
      <c r="KU601" s="662">
        <f>IF(D601="",0,IFERROR((JM601/KT601-1)/(JD601/BX601)+B601*10^-6,0))</f>
        <v>4.3902219458785945</v>
      </c>
      <c r="KV601" s="568"/>
      <c r="KW601" s="26"/>
    </row>
    <row r="602" spans="1:310" s="60" customFormat="1" ht="15.75" thickBot="1">
      <c r="A602" s="560">
        <f t="shared" ref="A602:A665" si="1751">C602*1000+B602</f>
        <v>6002</v>
      </c>
      <c r="B602" s="560">
        <f>B601+1</f>
        <v>2</v>
      </c>
      <c r="C602" s="560">
        <f>C601</f>
        <v>6</v>
      </c>
      <c r="D602" s="560" t="s">
        <v>567</v>
      </c>
      <c r="E602" s="365">
        <f>INDEX(Input!$1:$1048576,E$93,$C602*2+MIN($B602,2)+5)</f>
        <v>1267.2644913000609</v>
      </c>
      <c r="F602" s="49">
        <f>INDEX(Input!$1:$1048576,F$93,$C602*2+MIN($B602,2)+5)</f>
        <v>0</v>
      </c>
      <c r="G602" s="49">
        <f>INDEX(Input!$1:$1048576,G$93,$C602*2+MIN($B602,2)+5)</f>
        <v>0</v>
      </c>
      <c r="H602" s="49">
        <f>INDEX(Input!$1:$1048576,H$93,$C602*2+MIN($B602,2)+5)</f>
        <v>0</v>
      </c>
      <c r="I602" s="367">
        <f>INDEX(Input!$1:$1048576,I$93,$C602*2+MIN($B602,2)+5)</f>
        <v>0.7</v>
      </c>
      <c r="J602" s="367" t="str">
        <f>INDEX(Input!$1:$1048576,J$93,$C602*2+MIN($B602,2)+5)</f>
        <v>Market</v>
      </c>
      <c r="K602" s="367" t="str">
        <f>INDEX(Input!$1:$1048576,K$93,$C602*2+MIN($B602,2)+5)</f>
        <v>Market</v>
      </c>
      <c r="L602" s="367" t="str">
        <f>INDEX(Input!$1:$1048576,L$93,$C602*2+MIN($B602,2)+5)</f>
        <v>Market</v>
      </c>
      <c r="M602" s="367" t="str">
        <f>INDEX(Input!$1:$1048576,M$93,$C602*2+MIN($B602,2)+5)</f>
        <v>Market</v>
      </c>
      <c r="N602" s="367" t="str">
        <f>INDEX(Input!$1:$1048576,N$93,$C602*2+MIN($B602,2)+5)</f>
        <v>Market</v>
      </c>
      <c r="O602" s="367" t="str">
        <f>INDEX(Input!$1:$1048576,O$93,$C602*2+MIN($B602,2)+5)</f>
        <v>Market</v>
      </c>
      <c r="P602" s="367" t="str">
        <f>INDEX(Input!$1:$1048576,P$93,$C602*2+MIN($B602,2)+5)</f>
        <v>N</v>
      </c>
      <c r="Q602" s="47">
        <f>INDEX(Input!$1:$1048576,Q$93,$C602*2+MIN($B602,2)+5)</f>
        <v>0</v>
      </c>
      <c r="R602" s="38">
        <f>INDEX(Input!$1:$1048576,R$93,$C602*2+MIN($B602,2)+5)</f>
        <v>0</v>
      </c>
      <c r="S602" s="38">
        <f>INDEX(Input!$1:$1048576,S$93,$C602*2+MIN($B602,2)+5)</f>
        <v>0</v>
      </c>
      <c r="T602" s="38">
        <f>INDEX(Input!$1:$1048576,T$93,$C602*2+MIN($B602,2)+5)</f>
        <v>0</v>
      </c>
      <c r="U602" s="38">
        <f>INDEX(Input!$1:$1048576,U$93,$C602*2+MIN($B602,2)+5)</f>
        <v>0</v>
      </c>
      <c r="V602" s="38">
        <f>INDEX(Input!$1:$1048576,V$93,$C602*2+MIN($B602,2)+5)</f>
        <v>1.9E-2</v>
      </c>
      <c r="W602" s="22">
        <f>INDEX(Input!$1:$1048576,W$93,$C602*2+MIN($B602,2)+5)</f>
        <v>3.9E-2</v>
      </c>
      <c r="X602" s="367" t="str">
        <f>INDEX(Input!$1:$1048576,X$93,$C602*2+MIN($B602,2)+5)</f>
        <v>Y</v>
      </c>
      <c r="Y602" s="49">
        <f>INDEX(Input!$1:$1048576,Y$93,$C602*2+MIN($B602,2)+5)</f>
        <v>737.99367635402496</v>
      </c>
      <c r="Z602" s="584">
        <f>INDEX(Input!$1:$1048576,Z$93,$C602*2+MIN($B602,2)+5)</f>
        <v>0</v>
      </c>
      <c r="AA602" s="49">
        <f>INDEX(Input!$1:$1048576,AA$93,$C602*2+MIN($B602,2)+5)</f>
        <v>0</v>
      </c>
      <c r="AB602" s="367">
        <f>INDEX(Input!$1:$1048576,AB$93,$C602*2+MIN($B602,2)+5)</f>
        <v>0.27</v>
      </c>
      <c r="AC602" s="49">
        <f>INDEX(Input!$1:$1048576,AC$93,$C602*2+MIN($B602,2)+5)</f>
        <v>0</v>
      </c>
      <c r="AD602" s="367">
        <f>INDEX(Input!$1:$1048576,AD$93,$C602*2+MIN($B602,2)+5)</f>
        <v>0.27</v>
      </c>
      <c r="AE602" s="49">
        <f>INDEX(Input!$1:$1048576,AE$93,$C602*2+MIN($B602,2)+5)</f>
        <v>0</v>
      </c>
      <c r="AF602" s="367">
        <f>INDEX(Input!$1:$1048576,AF$93,$C602*2+MIN($B602,2)+5)</f>
        <v>1</v>
      </c>
      <c r="AG602" s="49">
        <f>INDEX(Input!$1:$1048576,AG$93,$C602*2+MIN($B602,2)+5)</f>
        <v>500</v>
      </c>
      <c r="AH602" s="367">
        <f>INDEX(Input!$1:$1048576,AH$93,$C602*2+MIN($B602,2)+5)</f>
        <v>1</v>
      </c>
      <c r="AI602" s="49">
        <f>INDEX(Input!$1:$1048576,AI$93,$C602*2+MIN($B602,2)+5)</f>
        <v>0</v>
      </c>
      <c r="AJ602" s="367">
        <f>INDEX(Input!$1:$1048576,AJ$93,$C602*2+MIN($B602,2)+5)</f>
        <v>0.27</v>
      </c>
      <c r="AK602" s="298">
        <f>ROUND(INDEX(Input!$1:$1048576,AK$93,$C602*2+MIN($B602,2)+5),0)</f>
        <v>3061</v>
      </c>
      <c r="AL602" s="49">
        <f>ROUND(INDEX(Input!$1:$1048576,AL$93,$C601*2+6)-(Y602-VLOOKUP($C602*1000+1,$A:$HH,Y$92,FALSE))/36,0)</f>
        <v>3552</v>
      </c>
      <c r="AM602" s="46" t="str">
        <f t="shared" ref="AM602:AM665" si="1752">IF(K602="market","std",ROUND(K602*1000,0)/10)&amp;"/"&amp;IF(L602="market","std",ROUND(L602*1000,0)/10)&amp;"/"&amp;IF(M602="market","std",ROUND(M602*1000,0)/10)&amp;"/"&amp;IF(N602="market","std",ROUND(N602*1000,0)/10)&amp;IF(P602="N","","/"&amp;IF(O602="market","std",ROUND(O602*1000,0)/10))</f>
        <v>std/std/std/std</v>
      </c>
      <c r="AN602" s="46" t="str">
        <f t="shared" ref="AN602:AN665" si="1753">"$"&amp;ROUND(Q602,0)&amp;" + "&amp;IF(S602="market","std",ROUND(S602*1000,0)/10)&amp;"/"&amp;IF(T602="market","std",ROUND(T602*1000,0)/10)&amp;"/"&amp;IF(U602="market","std",ROUND(U602*1000,0)/10)&amp;"/"&amp;IF(V602="market","std",ROUND(V602*1000,0)/10)&amp;IF(X602="N","","/"&amp;IF(W602="market","std",ROUND(W602*1000,0)/10))</f>
        <v>$0 + 0/0/0/1.9/3.9</v>
      </c>
      <c r="AO602" s="44" t="str">
        <f t="shared" ref="AO602:AO665" si="1754">IF(S602="market","std",ROUND(S602*1000,0)/10)&amp;"/"&amp;IF(T602="market","std",ROUND(T602*1000,0)/10)&amp;"/"&amp;IF(U602="market","std",ROUND(U602*1000,0)/10)&amp;"/"&amp;IF(V602="market","std",ROUND(V602*1000,0)/10)&amp;IF(X602="N","","/"&amp;IF(W602="market","std",ROUND(W602*1000,0)/10))</f>
        <v>0/0/0/1.9/3.9</v>
      </c>
      <c r="AP602" s="44" t="str">
        <f t="shared" si="1716"/>
        <v>0/0.9/1.9/3.9</v>
      </c>
      <c r="AQ602" s="507">
        <f t="shared" si="1717"/>
        <v>0.37072548496371732</v>
      </c>
      <c r="AR602" s="44"/>
      <c r="AS602" s="368"/>
      <c r="AT602" s="579">
        <f>AT601+1</f>
        <v>2</v>
      </c>
      <c r="AU602" s="45" t="s">
        <v>121</v>
      </c>
      <c r="AV602" s="45" t="s">
        <v>116</v>
      </c>
      <c r="AW602" s="45" t="str">
        <f>INDEX(Input!$1:$1048576,AW$93,$C602*2+6)</f>
        <v>Kia</v>
      </c>
      <c r="AX602" s="45" t="str">
        <f>INDEX(Input!$1:$1048576,AX$93,$C602*2+6)</f>
        <v>National</v>
      </c>
      <c r="AY602" s="10" t="str">
        <f>IF(LEN(D602)=0,"",INDEX(Input!$1:$1048576,AY$93,$C602*2+6))</f>
        <v>Compact SUV (52)</v>
      </c>
      <c r="AZ602" s="45" t="str">
        <f>INDEX(Input!$1:$1048576,AZ$93,$C602*2+6)</f>
        <v>Kia Soul</v>
      </c>
      <c r="BA602" s="50">
        <f>INDEX(Input!$1:$1048576,BA$93,$C602*2+6)</f>
        <v>2020</v>
      </c>
      <c r="BB602" s="48">
        <f>INDEX(Input!$1:$1048576,BB$93,$C602*2+6)</f>
        <v>1</v>
      </c>
      <c r="BC602" s="129">
        <f>INDEX(Input!$1:$1048576,BC$93,$C602*2+6)</f>
        <v>0.7</v>
      </c>
      <c r="BD602" s="38">
        <f>INDEX(Input!$1:$1048576,BD$93,$C602*2+6)</f>
        <v>4.4999999999999998E-2</v>
      </c>
      <c r="BE602" s="38">
        <f>INDEX(Input!$1:$1048576,BE$93,$C602*2+6)</f>
        <v>4.4999999999999998E-2</v>
      </c>
      <c r="BF602" s="38">
        <f>INDEX(Input!$1:$1048576,BF$93,$C602*2+6)</f>
        <v>0.05</v>
      </c>
      <c r="BG602" s="38">
        <f>INDEX(Input!$1:$1048576,BG$93,$C602*2+6)</f>
        <v>5.45E-2</v>
      </c>
      <c r="BH602" s="38">
        <f>INDEX(Input!$1:$1048576,BH$93,$C602*2+6)</f>
        <v>5.45E-2</v>
      </c>
      <c r="BI602" s="38">
        <f>INDEX(Input!$1:$1048576,BI$93,$C602*2+6)</f>
        <v>0.05</v>
      </c>
      <c r="BJ602" s="38">
        <f>INDEX(Input!$1:$1048576,BJ$93,$C602*2+6)</f>
        <v>0.05</v>
      </c>
      <c r="BK602" s="38">
        <f>INDEX(Input!$1:$1048576,BK$93,$C602*2+6)</f>
        <v>0.05</v>
      </c>
      <c r="BL602" s="38">
        <f>INDEX(Input!$1:$1048576,BL$93,$C602*2+6)</f>
        <v>5.5E-2</v>
      </c>
      <c r="BM602" s="38">
        <f>INDEX(Input!$1:$1048576,BM$93,$C602*2+6)</f>
        <v>0.06</v>
      </c>
      <c r="BN602" s="38">
        <f>INDEX(Input!$1:$1048576,BN$93,$C602*2+6)</f>
        <v>4.4999999999999998E-2</v>
      </c>
      <c r="BO602" s="38">
        <f>INDEX(Input!$1:$1048576,BO$93,$C602*2+6)</f>
        <v>4.4999999999999998E-2</v>
      </c>
      <c r="BP602" s="38">
        <f>INDEX(Input!$1:$1048576,BP$93,$C602*2+6)</f>
        <v>0.05</v>
      </c>
      <c r="BQ602" s="38">
        <f>INDEX(Input!$1:$1048576,BQ$93,$C602*2+6)</f>
        <v>5.45E-2</v>
      </c>
      <c r="BR602" s="38">
        <f>INDEX(Input!$1:$1048576,BR$93,$C602*2+6)</f>
        <v>5.45E-2</v>
      </c>
      <c r="BS602" s="38">
        <f>INDEX(Input!$1:$1048576,BS$93,$C602*2+6)</f>
        <v>0.05</v>
      </c>
      <c r="BT602" s="38">
        <f>INDEX(Input!$1:$1048576,BT$93,$C602*2+6)</f>
        <v>0.05</v>
      </c>
      <c r="BU602" s="38">
        <f>INDEX(Input!$1:$1048576,BU$93,$C602*2+6)</f>
        <v>0.05</v>
      </c>
      <c r="BV602" s="38">
        <f>INDEX(Input!$1:$1048576,BV$93,$C602*2+6)</f>
        <v>5.5E-2</v>
      </c>
      <c r="BW602" s="38">
        <f>INDEX(Input!$1:$1048576,BW$93,$C602*2+6)</f>
        <v>0.06</v>
      </c>
      <c r="BX602" s="29">
        <f>INDEX(Input!$1:$1048576,BX$93,$C602*2+6)</f>
        <v>19985</v>
      </c>
      <c r="BY602" s="367">
        <f>INDEX(Input!$1:$1048576,BY$93,$C602*2+6)</f>
        <v>0.1</v>
      </c>
      <c r="BZ602" s="367">
        <f>INDEX(Input!$1:$1048576,BZ$93,$C602*2+6)</f>
        <v>0.1</v>
      </c>
      <c r="CA602" s="367">
        <f>INDEX(Input!$1:$1048576,CA$93,$C602*2+6)</f>
        <v>0.1</v>
      </c>
      <c r="CB602" s="367">
        <f>INDEX(Input!$1:$1048576,CB$93,$C602*2+6)</f>
        <v>0.1</v>
      </c>
      <c r="CC602" s="367">
        <f>INDEX(Input!$1:$1048576,CC$93,$C602*2+6)</f>
        <v>0.1</v>
      </c>
      <c r="CD602" s="367">
        <f>INDEX(Input!$1:$1048576,CD$93,$C602*2+6)</f>
        <v>0.1</v>
      </c>
      <c r="CE602" s="367">
        <f>INDEX(Input!$1:$1048576,CE$93,$C602*2+6)</f>
        <v>0.1</v>
      </c>
      <c r="CF602" s="367">
        <f>INDEX(Input!$1:$1048576,CF$93,$C602*2+6)</f>
        <v>0.1</v>
      </c>
      <c r="CG602" s="367">
        <f>INDEX(Input!$1:$1048576,CG$93,$C602*2+6)</f>
        <v>0.1</v>
      </c>
      <c r="CH602" s="48">
        <f>INDEX(Input!$1:$1048576,CH$93,$C602*2+6)</f>
        <v>0.1</v>
      </c>
      <c r="CI602" s="298">
        <f t="shared" si="1718"/>
        <v>1267.2644913000609</v>
      </c>
      <c r="CJ602" s="46" t="str">
        <f>INDEX(Input!$1:$1048576,CJ$93,$C602*2+6)</f>
        <v>N</v>
      </c>
      <c r="CK602" s="38" t="str">
        <f t="shared" si="1719"/>
        <v>Market</v>
      </c>
      <c r="CL602" s="38" t="str">
        <f t="shared" si="1720"/>
        <v>Market</v>
      </c>
      <c r="CM602" s="38" t="str">
        <f t="shared" si="1721"/>
        <v>Market</v>
      </c>
      <c r="CN602" s="38" t="str">
        <f t="shared" si="1722"/>
        <v>Market</v>
      </c>
      <c r="CO602" s="38" t="str">
        <f t="shared" si="1723"/>
        <v>Market</v>
      </c>
      <c r="CP602" s="49">
        <f t="shared" si="1724"/>
        <v>500</v>
      </c>
      <c r="CQ602" s="38">
        <f t="shared" si="1725"/>
        <v>0</v>
      </c>
      <c r="CR602" s="38">
        <f t="shared" si="1726"/>
        <v>0</v>
      </c>
      <c r="CS602" s="38">
        <f t="shared" si="1727"/>
        <v>0</v>
      </c>
      <c r="CT602" s="38">
        <f t="shared" si="1728"/>
        <v>1.9E-2</v>
      </c>
      <c r="CU602" s="38">
        <f t="shared" si="1729"/>
        <v>3.9E-2</v>
      </c>
      <c r="CV602" s="49">
        <f t="shared" si="1730"/>
        <v>737.99367635402496</v>
      </c>
      <c r="CW602" s="22" t="s">
        <v>122</v>
      </c>
      <c r="CX602" s="22" t="s">
        <v>122</v>
      </c>
      <c r="CY602" s="22" t="s">
        <v>122</v>
      </c>
      <c r="CZ602" s="22" t="s">
        <v>122</v>
      </c>
      <c r="DA602" s="22" t="s">
        <v>122</v>
      </c>
      <c r="DB602" s="502">
        <f t="shared" si="1731"/>
        <v>0</v>
      </c>
      <c r="DC602" s="29">
        <v>0</v>
      </c>
      <c r="DD602" s="29">
        <v>0</v>
      </c>
      <c r="DE602" s="29">
        <v>0</v>
      </c>
      <c r="DF602" s="49">
        <v>0</v>
      </c>
      <c r="DG602" s="49">
        <v>0</v>
      </c>
      <c r="DH602" s="49">
        <v>0</v>
      </c>
      <c r="DI602" s="49">
        <v>0</v>
      </c>
      <c r="DJ602" s="49">
        <v>0</v>
      </c>
      <c r="DK602" s="29">
        <v>0</v>
      </c>
      <c r="DL602" s="29">
        <v>0</v>
      </c>
      <c r="DM602" s="49">
        <f>INDEX(Input!$1:$1048576,DM$93,$C602*2+6)</f>
        <v>21036.84210526316</v>
      </c>
      <c r="DN602" s="367">
        <v>0</v>
      </c>
      <c r="DO602" s="367">
        <v>0</v>
      </c>
      <c r="DP602" s="367">
        <v>0</v>
      </c>
      <c r="DQ602" s="367">
        <v>0</v>
      </c>
      <c r="DR602" s="367">
        <v>0</v>
      </c>
      <c r="DS602" s="367">
        <f>INDEX(Input!$1:$1048576,DS$93,$C602*2+6)</f>
        <v>0.6</v>
      </c>
      <c r="DT602" s="367">
        <f>INDEX(Input!$1:$1048576,DT$93,$C602*2+6)</f>
        <v>0.55000000000000004</v>
      </c>
      <c r="DU602" s="367">
        <f>INDEX(Input!$1:$1048576,DU$93,$C602*2+6)</f>
        <v>0.52</v>
      </c>
      <c r="DV602" s="367">
        <f>INDEX(Input!$1:$1048576,DV$93,$C602*2+6)</f>
        <v>0.5</v>
      </c>
      <c r="DW602" s="48">
        <f>INDEX(Input!$1:$1048576,DW$93,$C602*2+6)</f>
        <v>0.45</v>
      </c>
      <c r="DX602" s="577"/>
      <c r="DY602" s="4"/>
      <c r="DZ602" s="37"/>
      <c r="EA602" s="37"/>
      <c r="EB602" s="37"/>
      <c r="EC602" s="37"/>
      <c r="ED602" s="37"/>
      <c r="EE602" s="37"/>
      <c r="EF602" s="37"/>
      <c r="EG602" s="37"/>
      <c r="EH602" s="37"/>
      <c r="EI602" s="37"/>
      <c r="EJ602" s="37"/>
      <c r="EK602" s="37"/>
      <c r="EL602" s="37"/>
      <c r="EM602" s="37"/>
      <c r="EN602" s="37"/>
      <c r="EO602" s="37"/>
      <c r="EP602" s="37"/>
      <c r="EQ602" s="37"/>
      <c r="ER602" s="37"/>
      <c r="ES602" s="37"/>
      <c r="ET602" s="37"/>
      <c r="EU602" s="36"/>
      <c r="EV602" s="36"/>
      <c r="EW602" s="36"/>
      <c r="EX602" s="36"/>
      <c r="EY602" s="36"/>
      <c r="EZ602" s="36"/>
      <c r="FA602" s="36"/>
      <c r="FB602" s="36"/>
      <c r="FC602" s="36"/>
      <c r="FD602" s="36"/>
      <c r="FE602" s="36"/>
      <c r="FF602" s="36"/>
      <c r="FG602" s="36"/>
      <c r="FH602" s="36"/>
      <c r="FI602" s="36"/>
      <c r="FJ602" s="36"/>
      <c r="FK602" s="36"/>
      <c r="FL602" s="36"/>
      <c r="FM602" s="36"/>
      <c r="FN602" s="36"/>
      <c r="FO602" s="36"/>
      <c r="FP602" s="36"/>
      <c r="FQ602" s="36"/>
      <c r="FR602" s="36"/>
      <c r="FS602" s="36"/>
      <c r="FT602" s="37"/>
      <c r="FU602" s="37"/>
      <c r="FV602" s="37"/>
      <c r="FW602" s="36"/>
      <c r="FX602" s="36"/>
      <c r="FY602" s="36"/>
      <c r="FZ602" s="36"/>
      <c r="GA602" s="36"/>
      <c r="GB602" s="36"/>
      <c r="GC602" s="37"/>
      <c r="GD602" s="37"/>
      <c r="GE602" s="37"/>
      <c r="GF602" s="37"/>
      <c r="GG602" s="37"/>
      <c r="GH602" s="35"/>
      <c r="GI602" s="36"/>
      <c r="GJ602" s="34"/>
      <c r="GK602" s="34"/>
      <c r="GL602" s="34"/>
      <c r="GM602" s="33"/>
      <c r="GN602" s="61"/>
      <c r="GO602" s="13"/>
      <c r="GP602" s="27"/>
      <c r="GQ602" s="27"/>
      <c r="GR602" s="27"/>
      <c r="GS602" s="27"/>
      <c r="GT602" s="27"/>
      <c r="GU602" s="27"/>
      <c r="GV602" s="29"/>
      <c r="GW602" s="27"/>
      <c r="GX602" s="27"/>
      <c r="GY602" s="27"/>
      <c r="GZ602" s="27"/>
      <c r="HA602" s="27"/>
      <c r="HB602" s="29"/>
      <c r="HC602" s="27"/>
      <c r="HD602" s="27"/>
      <c r="HE602" s="27"/>
      <c r="HF602" s="27"/>
      <c r="HG602" s="27"/>
      <c r="HH602" s="12"/>
      <c r="HI602" s="94"/>
      <c r="HJ602" s="370"/>
      <c r="HK602" s="371"/>
      <c r="HL602" s="94"/>
      <c r="HM602" s="640">
        <f t="shared" ref="HM602:HM665" si="1755">(HM102*HY102+HM202*HY202+HM302*HY302+HM402*HY402+HM502*HY502)/HY602</f>
        <v>2.3149872625708352E-2</v>
      </c>
      <c r="HN602" s="22">
        <f t="shared" ref="HN602:HN665" si="1756">(HN102*HZ102+HN202*HZ202+HN302*HZ302+HN402*HZ402+HN502*HZ502)/HZ602</f>
        <v>1.3965040474190958E-3</v>
      </c>
      <c r="HO602" s="638">
        <f t="shared" ref="HO602:HO665" si="1757">(HO102*IA102+HO202*IA202+HO302*IA302+HO402*IA402+HO502*IA502)/IA602</f>
        <v>3.5429561340050734E-3</v>
      </c>
      <c r="HP602" s="650">
        <f t="shared" ref="HP602:ID602" si="1758">HP102+HP202+HP302+HP402+HP502</f>
        <v>110.99910041748898</v>
      </c>
      <c r="HQ602" s="650">
        <f t="shared" si="1758"/>
        <v>5.6079910961487451</v>
      </c>
      <c r="HR602" s="651">
        <f t="shared" si="1758"/>
        <v>8.357510133868514</v>
      </c>
      <c r="HS602" s="650">
        <f t="shared" si="1758"/>
        <v>-60.103937341378995</v>
      </c>
      <c r="HT602" s="650">
        <f t="shared" si="1758"/>
        <v>70.620848758987876</v>
      </c>
      <c r="HU602" s="651">
        <f t="shared" si="1758"/>
        <v>15.807008549702287</v>
      </c>
      <c r="HV602" s="649">
        <f t="shared" si="1758"/>
        <v>0</v>
      </c>
      <c r="HW602" s="650">
        <f t="shared" si="1758"/>
        <v>0</v>
      </c>
      <c r="HX602" s="651">
        <f t="shared" si="1758"/>
        <v>0</v>
      </c>
      <c r="HY602" s="643">
        <f t="shared" si="1758"/>
        <v>2396</v>
      </c>
      <c r="HZ602" s="641">
        <f t="shared" si="1758"/>
        <v>3223</v>
      </c>
      <c r="IA602" s="642">
        <f t="shared" si="1758"/>
        <v>830</v>
      </c>
      <c r="IB602" s="649">
        <f t="shared" si="1758"/>
        <v>2446.8951630761103</v>
      </c>
      <c r="IC602" s="650">
        <f t="shared" si="1758"/>
        <v>3299.2288398551364</v>
      </c>
      <c r="ID602" s="651">
        <f t="shared" si="1758"/>
        <v>854.16451868357092</v>
      </c>
      <c r="IE602" s="578">
        <f t="shared" ref="IE602:IE665" si="1759">IB602/SUM($IB602:$ID602)</f>
        <v>0.37072548496371732</v>
      </c>
      <c r="IF602" s="367">
        <f t="shared" ref="IF602:IF665" si="1760">IC602/SUM($IB602:$ID602)</f>
        <v>0.49986130591878297</v>
      </c>
      <c r="IG602" s="48">
        <f t="shared" ref="IG602:IG665" si="1761">ID602/SUM($IB602:$ID602)</f>
        <v>0.12941320911749962</v>
      </c>
      <c r="IH602" s="95"/>
      <c r="II602" s="298"/>
      <c r="IJ602" s="49"/>
      <c r="IK602" s="40"/>
      <c r="IL602" s="298">
        <f t="shared" ref="IL602:IL665" si="1762">JA602-IX602</f>
        <v>175.96275102966729</v>
      </c>
      <c r="IM602" s="49">
        <f t="shared" ref="IM602:IM665" si="1763">JB602-IY602</f>
        <v>175.804272861762</v>
      </c>
      <c r="IN602" s="40">
        <f t="shared" ref="IN602:IN665" si="1764">JC602-IZ602</f>
        <v>84.800041062580021</v>
      </c>
      <c r="IO602" s="25"/>
      <c r="IP602" s="29"/>
      <c r="IQ602" s="29"/>
      <c r="IR602" s="17"/>
      <c r="IS602" s="29"/>
      <c r="IT602" s="12"/>
      <c r="IU602" s="25"/>
      <c r="IV602" s="29"/>
      <c r="IW602" s="12"/>
      <c r="IX602" s="372">
        <f t="shared" ref="IX602:IX665" si="1765">(IX102*HY102+IX202*HY202+IX302*HY302+IX402*HY402+IX502*HY502)/HY602</f>
        <v>1554.1790484140233</v>
      </c>
      <c r="IY602" s="373">
        <f t="shared" ref="IY602:IY665" si="1766">(IY102*HZ102+IY202*HZ202+IY302*HZ302+IY402*HZ402+IY502*HZ502)/HZ602</f>
        <v>2412.3001201524512</v>
      </c>
      <c r="IZ602" s="374">
        <f t="shared" ref="IZ602:IZ665" si="1767">(IZ102*IA102+IZ202*IA202+IZ302*IA302+IZ402*IA402+IZ502*IA502)/IA602</f>
        <v>3993.0862952928574</v>
      </c>
      <c r="JA602" s="298">
        <f t="shared" ref="JA602:JC602" si="1768">IFERROR((JA102*IB102+JA202*IB202+JA302*IB302+JA402*IB402+JA502*IB502)/IB602,0)</f>
        <v>1730.1417994436906</v>
      </c>
      <c r="JB602" s="49">
        <f t="shared" si="1768"/>
        <v>2588.1043930142132</v>
      </c>
      <c r="JC602" s="49">
        <f t="shared" si="1768"/>
        <v>4077.8863363554374</v>
      </c>
      <c r="JD602" s="40">
        <f t="shared" ref="JD602:JD665" si="1769">SUMPRODUCT(IE602:IG602,JA602:JC602)</f>
        <v>2462.8332566051449</v>
      </c>
      <c r="JE602" s="95"/>
      <c r="JF602" s="28">
        <f t="shared" ref="JF602:JF665" si="1770">(JF102*JG102+JF202*JG202+JF302*JG302+JF402*JG402+JF502*JG502)/JG602</f>
        <v>2.6651855648468406E-2</v>
      </c>
      <c r="JG602" s="23">
        <f t="shared" ref="JG602:JG665" si="1771">JG102+JG202+JG302+JG402+JG502</f>
        <v>6449</v>
      </c>
      <c r="JH602" s="38">
        <f t="shared" ref="JH602:JH665" si="1772">SUM(HP602:HR602)/SUM(HY602:IA602)</f>
        <v>1.9377361086603543E-2</v>
      </c>
      <c r="JI602" s="38">
        <f t="shared" ref="JI602:JI665" si="1773">SUM(HS602:HU602)/SUM(HY602:IA602)</f>
        <v>4.0818607485363888E-3</v>
      </c>
      <c r="JJ602" s="11">
        <f t="shared" ref="JJ602:JJ665" si="1774">SUM(HV602:HX602)/SUM(HY602:IA602)</f>
        <v>0</v>
      </c>
      <c r="JK602" s="2">
        <f t="shared" ref="JK602:JK665" si="1775">JL602/JG602</f>
        <v>2.3459221835139932E-2</v>
      </c>
      <c r="JL602" s="9">
        <f t="shared" ref="JL602:JM602" si="1776">JL102+JL202+JL302+JL402+JL502</f>
        <v>151.28852161481743</v>
      </c>
      <c r="JM602" s="8">
        <f t="shared" si="1776"/>
        <v>6600.288521614817</v>
      </c>
      <c r="JN602" s="95"/>
      <c r="JO602" s="375">
        <f>INDEX(Input!$1:$1048576,JO$93,$C602*2+6)</f>
        <v>5995.5</v>
      </c>
      <c r="JP602" s="375">
        <f>INDEX(Input!$1:$1048576,JP$93,$C602*2+6)</f>
        <v>2296.6050414551746</v>
      </c>
      <c r="JQ602" s="25">
        <f>JO602-JD602</f>
        <v>3532.6667433948551</v>
      </c>
      <c r="JR602" s="29">
        <f>JD602-JP602</f>
        <v>166.22821514997031</v>
      </c>
      <c r="JS602" s="29">
        <f>JM602*JD602/1000000</f>
        <v>16.255410074222176</v>
      </c>
      <c r="JT602" s="29">
        <f t="shared" ref="JT602:JT603" si="1777">(JD602*JM602-JP602*JG602)/1000000</f>
        <v>1.444604161877757</v>
      </c>
      <c r="JU602" s="376">
        <f>(JQ602*JM602-INDEX(Input!$1:$1048576,Input!A$18,$C602*2+6)*JL602*INDEX(Input!$1:$1048576,Input!A$19,$C602*2+6))/1000000</f>
        <v>23.316619757119458</v>
      </c>
      <c r="JV602" s="29">
        <f t="shared" si="1745"/>
        <v>-0.53755383053611894</v>
      </c>
      <c r="JW602" s="38">
        <f>JV602/(JU602-JV602)</f>
        <v>-2.2535001204749366E-2</v>
      </c>
      <c r="JX602" s="40">
        <f>IF(JL602=0,0,JT602/JL602)*1000000</f>
        <v>9548.6699615965463</v>
      </c>
      <c r="JZ602" s="377"/>
      <c r="KA602" s="379"/>
      <c r="KB602" s="474">
        <f t="shared" ref="KB602:KB665" si="1778">KA607</f>
        <v>0</v>
      </c>
      <c r="KC602" s="379"/>
      <c r="KD602" s="379"/>
      <c r="KE602" s="379"/>
      <c r="KF602" s="379"/>
      <c r="KG602" s="380"/>
      <c r="KI602" s="789"/>
      <c r="KJ602" s="790"/>
      <c r="KK602" s="790"/>
      <c r="KL602" s="380"/>
      <c r="KN602" s="791">
        <f t="shared" ref="KN602:KN665" si="1779">C602*1000+$KN$97</f>
        <v>6002</v>
      </c>
      <c r="KO602" s="540">
        <f t="shared" ref="KO602:KO665" si="1780">JM602/INDEX(JM:JM,MATCH(KN602,A:A,0))-1</f>
        <v>0</v>
      </c>
      <c r="KP602" s="545">
        <f t="shared" ref="KP602:KP665" si="1781">(IL602-INDEX(IL:IL,MATCH(KN602,A:A,0)))*IE602
+(IM602-IF(HN602=0,INDEX(IX:IX,MATCH(KN602,A:A,0)),INDEX(IM:IM,MATCH(KN602,A:A,0))))*IF602
+(IN602-INDEX(IN:IN,MATCH(KN602,A:A,0)))*IG602</f>
        <v>0</v>
      </c>
      <c r="KQ602" s="545">
        <f t="shared" ref="KQ602:KQ665" si="1782">JD602-INDEX(JD:JD,MATCH(KN602,A:A,0))</f>
        <v>0</v>
      </c>
      <c r="KR602" s="790" t="e">
        <f t="shared" ref="KR602:KR665" si="1783">KO602/(KP602/(BX602-INDEX(JD:JD,MATCH(KN602,A:A,0))))</f>
        <v>#DIV/0!</v>
      </c>
      <c r="KS602" s="790" t="e">
        <f t="shared" ref="KS602:KS665" si="1784">KO602/(KQ602/(BX602-INDEX(JD:JD,MATCH(KN602,A:A,0))))</f>
        <v>#DIV/0!</v>
      </c>
      <c r="KT602" s="661">
        <f>KT601</f>
        <v>4286.2445668946921</v>
      </c>
      <c r="KU602" s="662">
        <f t="shared" ref="KU602:KU665" si="1785">IF(D602="",0,IFERROR((JM602/KT602-1)/(JD602/BX602)+B602*10^-6,0))</f>
        <v>4.3809066366606197</v>
      </c>
      <c r="KV602" s="568"/>
      <c r="KW602" s="26"/>
      <c r="KX602" s="582"/>
    </row>
    <row r="603" spans="1:310" s="26" customFormat="1" ht="15">
      <c r="A603" s="561">
        <f t="shared" si="1751"/>
        <v>6003</v>
      </c>
      <c r="B603" s="561">
        <f t="shared" ref="B603:B666" si="1786">B602+1</f>
        <v>3</v>
      </c>
      <c r="C603" s="561">
        <f t="shared" ref="C603:C666" si="1787">C602</f>
        <v>6</v>
      </c>
      <c r="D603" s="561" t="s">
        <v>740</v>
      </c>
      <c r="E603" s="475">
        <f>INDEX(Input!$1:$1048576,E$93,$C603*2+MIN($B603,1)+5)+500</f>
        <v>1500.0000000000002</v>
      </c>
      <c r="F603" s="115">
        <f>INDEX(Input!$1:$1048576,F$93,$C603*2+MIN($B603,1)+5)</f>
        <v>0</v>
      </c>
      <c r="G603" s="115">
        <f>INDEX(Input!$1:$1048576,G$93,$C603*2+MIN($B603,1)+5)</f>
        <v>0</v>
      </c>
      <c r="H603" s="115">
        <f>INDEX(Input!$1:$1048576,H$93,$C603*2+MIN($B603,1)+5)</f>
        <v>0</v>
      </c>
      <c r="I603" s="118">
        <f>INDEX(Input!$1:$1048576,I$93,$C603*2+MIN($B603,1)+5)</f>
        <v>0.7</v>
      </c>
      <c r="J603" s="118" t="str">
        <f>INDEX(Input!$1:$1048576,J$93,$C603*2+MIN($B603,1)+5)</f>
        <v>Market</v>
      </c>
      <c r="K603" s="118" t="str">
        <f>INDEX(Input!$1:$1048576,K$93,$C603*2+MIN($B603,1)+5)</f>
        <v>Market</v>
      </c>
      <c r="L603" s="118" t="str">
        <f>INDEX(Input!$1:$1048576,L$93,$C603*2+MIN($B603,1)+5)</f>
        <v>Market</v>
      </c>
      <c r="M603" s="118" t="str">
        <f>INDEX(Input!$1:$1048576,M$93,$C603*2+MIN($B603,1)+5)</f>
        <v>Market</v>
      </c>
      <c r="N603" s="118" t="str">
        <f>INDEX(Input!$1:$1048576,N$93,$C603*2+MIN($B603,1)+5)</f>
        <v>Market</v>
      </c>
      <c r="O603" s="118" t="str">
        <f>INDEX(Input!$1:$1048576,O$93,$C603*2+MIN($B603,1)+5)</f>
        <v>Market</v>
      </c>
      <c r="P603" s="118" t="str">
        <f>INDEX(Input!$1:$1048576,P$93,$C603*2+MIN($B603,1)+5)</f>
        <v>N</v>
      </c>
      <c r="Q603" s="30">
        <f>INDEX(Input!$1:$1048576,Q$93,$C603*2+MIN($B603,1)+5)</f>
        <v>0</v>
      </c>
      <c r="R603" s="383">
        <f>INDEX(Input!$1:$1048576,R$93,$C603*2+MIN($B603,1)+5)</f>
        <v>0</v>
      </c>
      <c r="S603" s="383">
        <f>INDEX(Input!$1:$1048576,S$93,$C603*2+MIN($B603,1)+5)</f>
        <v>0</v>
      </c>
      <c r="T603" s="383">
        <f>INDEX(Input!$1:$1048576,T$93,$C603*2+MIN($B603,1)+5)</f>
        <v>0</v>
      </c>
      <c r="U603" s="383">
        <f>INDEX(Input!$1:$1048576,U$93,$C603*2+MIN($B603,1)+5)</f>
        <v>0</v>
      </c>
      <c r="V603" s="383">
        <f>INDEX(Input!$1:$1048576,V$93,$C603*2+MIN($B603,1)+5)</f>
        <v>1.9E-2</v>
      </c>
      <c r="W603" s="884">
        <f>INDEX(Input!$1:$1048576,W$93,$C603*2+MIN($B603,1)+5)</f>
        <v>3.9E-2</v>
      </c>
      <c r="X603" s="118" t="str">
        <f>INDEX(Input!$1:$1048576,X$93,$C603*2+MIN($B603,1)+5)</f>
        <v>Y</v>
      </c>
      <c r="Y603" s="150">
        <f>INDEX(Input!$1:$1048576,Y$93,$C603*2+MIN($B603,1)+5)</f>
        <v>1216.1623510528204</v>
      </c>
      <c r="Z603" s="30">
        <f>INDEX(Input!$1:$1048576,Z$93,$C603*2+MIN($B603,1)+5)</f>
        <v>0</v>
      </c>
      <c r="AA603" s="115">
        <f>INDEX(Input!$1:$1048576,AA$93,$C603*2+MIN($B603,1)+5)</f>
        <v>1000</v>
      </c>
      <c r="AB603" s="118">
        <f>INDEX(Input!$1:$1048576,AB$93,$C603*2+MIN($B603,1)+5)</f>
        <v>0.27</v>
      </c>
      <c r="AC603" s="115">
        <f>INDEX(Input!$1:$1048576,AC$93,$C603*2+MIN($B603,1)+5)</f>
        <v>1000</v>
      </c>
      <c r="AD603" s="118">
        <f>INDEX(Input!$1:$1048576,AD$93,$C603*2+MIN($B603,1)+5)</f>
        <v>0.27</v>
      </c>
      <c r="AE603" s="115">
        <f>INDEX(Input!$1:$1048576,AE$93,$C603*2+MIN($B603,1)+5)</f>
        <v>0</v>
      </c>
      <c r="AF603" s="118">
        <f>INDEX(Input!$1:$1048576,AF$93,$C603*2+MIN($B603,1)+5)</f>
        <v>1</v>
      </c>
      <c r="AG603" s="115">
        <f>INDEX(Input!$1:$1048576,AG$93,$C603*2+MIN($B603,1)+5)</f>
        <v>0</v>
      </c>
      <c r="AH603" s="118">
        <f>INDEX(Input!$1:$1048576,AH$93,$C603*2+MIN($B603,1)+5)</f>
        <v>1</v>
      </c>
      <c r="AI603" s="115">
        <f>INDEX(Input!$1:$1048576,AI$93,$C603*2+MIN($B603,1)+5)</f>
        <v>0</v>
      </c>
      <c r="AJ603" s="118">
        <f>INDEX(Input!$1:$1048576,AJ$93,$C603*2+MIN($B603,1)+5)</f>
        <v>0.27</v>
      </c>
      <c r="AK603" s="150">
        <f>ROUND(INDEX(Input!$1:$1048576,AK$93,$C602*2+MIN($B603,1)+5)+(Y603-VLOOKUP($C603*1000+1,$A:$HH,Y$92,FALSE)),0)</f>
        <v>3539</v>
      </c>
      <c r="AL603" s="150">
        <f>ROUND(INDEX(Input!$1:$1048576,AL$93,$C602*2+MIN($B603,1)+5)-(Y603-VLOOKUP($C603*1000+1,$A:$HH,Y$92,FALSE))/36,0)</f>
        <v>3539</v>
      </c>
      <c r="AM603" s="32" t="str">
        <f t="shared" si="1752"/>
        <v>std/std/std/std</v>
      </c>
      <c r="AN603" s="32" t="str">
        <f t="shared" si="1753"/>
        <v>$0 + 0/0/0/1.9/3.9</v>
      </c>
      <c r="AO603" s="32" t="str">
        <f t="shared" si="1754"/>
        <v>0/0/0/1.9/3.9</v>
      </c>
      <c r="AP603" s="32" t="str">
        <f t="shared" si="1716"/>
        <v>0/0.9/1.9/3.9</v>
      </c>
      <c r="AQ603" s="536">
        <f t="shared" si="1717"/>
        <v>270.41396261987938</v>
      </c>
      <c r="AR603" s="32"/>
      <c r="AS603" s="302"/>
      <c r="AT603" s="3">
        <f t="shared" ref="AT603:AT666" si="1788">AT602+1</f>
        <v>3</v>
      </c>
      <c r="AU603" s="41" t="s">
        <v>121</v>
      </c>
      <c r="AV603" s="41" t="s">
        <v>116</v>
      </c>
      <c r="AW603" s="41" t="str">
        <f>INDEX(Input!$1:$1048576,AW$93,$C603*2+6)</f>
        <v>Kia</v>
      </c>
      <c r="AX603" s="41" t="str">
        <f>INDEX(Input!$1:$1048576,AX$93,$C603*2+6)</f>
        <v>National</v>
      </c>
      <c r="AY603" s="41" t="str">
        <f>IF(LEN(D603)=0,"",INDEX(Input!$1:$1048576,AY$93,$C603*2+6))</f>
        <v>Compact SUV (52)</v>
      </c>
      <c r="AZ603" s="41" t="str">
        <f>INDEX(Input!$1:$1048576,AZ$93,$C603*2+6)</f>
        <v>Kia Soul</v>
      </c>
      <c r="BA603" s="3">
        <f>INDEX(Input!$1:$1048576,BA$93,$C603*2+6)</f>
        <v>2020</v>
      </c>
      <c r="BB603" s="128">
        <f>INDEX(Input!$1:$1048576,BB$93,$C603*2+6)</f>
        <v>1</v>
      </c>
      <c r="BC603" s="128">
        <f>INDEX(Input!$1:$1048576,BC$93,$C603*2+6)</f>
        <v>0.7</v>
      </c>
      <c r="BD603" s="1">
        <f>INDEX(Input!$1:$1048576,BD$93,$C603*2+6)</f>
        <v>4.4999999999999998E-2</v>
      </c>
      <c r="BE603" s="1">
        <f>INDEX(Input!$1:$1048576,BE$93,$C603*2+6)</f>
        <v>4.4999999999999998E-2</v>
      </c>
      <c r="BF603" s="1">
        <f>INDEX(Input!$1:$1048576,BF$93,$C603*2+6)</f>
        <v>0.05</v>
      </c>
      <c r="BG603" s="1">
        <f>INDEX(Input!$1:$1048576,BG$93,$C603*2+6)</f>
        <v>5.45E-2</v>
      </c>
      <c r="BH603" s="1">
        <f>INDEX(Input!$1:$1048576,BH$93,$C603*2+6)</f>
        <v>5.45E-2</v>
      </c>
      <c r="BI603" s="1">
        <f>INDEX(Input!$1:$1048576,BI$93,$C603*2+6)</f>
        <v>0.05</v>
      </c>
      <c r="BJ603" s="1">
        <f>INDEX(Input!$1:$1048576,BJ$93,$C603*2+6)</f>
        <v>0.05</v>
      </c>
      <c r="BK603" s="1">
        <f>INDEX(Input!$1:$1048576,BK$93,$C603*2+6)</f>
        <v>0.05</v>
      </c>
      <c r="BL603" s="1">
        <f>INDEX(Input!$1:$1048576,BL$93,$C603*2+6)</f>
        <v>5.5E-2</v>
      </c>
      <c r="BM603" s="1">
        <f>INDEX(Input!$1:$1048576,BM$93,$C603*2+6)</f>
        <v>0.06</v>
      </c>
      <c r="BN603" s="1">
        <f>INDEX(Input!$1:$1048576,BN$93,$C603*2+6)</f>
        <v>4.4999999999999998E-2</v>
      </c>
      <c r="BO603" s="1">
        <f>INDEX(Input!$1:$1048576,BO$93,$C603*2+6)</f>
        <v>4.4999999999999998E-2</v>
      </c>
      <c r="BP603" s="1">
        <f>INDEX(Input!$1:$1048576,BP$93,$C603*2+6)</f>
        <v>0.05</v>
      </c>
      <c r="BQ603" s="1">
        <f>INDEX(Input!$1:$1048576,BQ$93,$C603*2+6)</f>
        <v>5.45E-2</v>
      </c>
      <c r="BR603" s="1">
        <f>INDEX(Input!$1:$1048576,BR$93,$C603*2+6)</f>
        <v>5.45E-2</v>
      </c>
      <c r="BS603" s="1">
        <f>INDEX(Input!$1:$1048576,BS$93,$C603*2+6)</f>
        <v>0.05</v>
      </c>
      <c r="BT603" s="1">
        <f>INDEX(Input!$1:$1048576,BT$93,$C603*2+6)</f>
        <v>0.05</v>
      </c>
      <c r="BU603" s="1">
        <f>INDEX(Input!$1:$1048576,BU$93,$C603*2+6)</f>
        <v>0.05</v>
      </c>
      <c r="BV603" s="1">
        <f>INDEX(Input!$1:$1048576,BV$93,$C603*2+6)</f>
        <v>5.5E-2</v>
      </c>
      <c r="BW603" s="1">
        <f>INDEX(Input!$1:$1048576,BW$93,$C603*2+6)</f>
        <v>0.06</v>
      </c>
      <c r="BX603" s="127">
        <f>INDEX(Input!$1:$1048576,BX$93,$C603*2+6)</f>
        <v>19985</v>
      </c>
      <c r="BY603" s="20">
        <f>INDEX(Input!$1:$1048576,BY$93,$C603*2+6)</f>
        <v>0.1</v>
      </c>
      <c r="BZ603" s="20">
        <f>INDEX(Input!$1:$1048576,BZ$93,$C603*2+6)</f>
        <v>0.1</v>
      </c>
      <c r="CA603" s="20">
        <f>INDEX(Input!$1:$1048576,CA$93,$C603*2+6)</f>
        <v>0.1</v>
      </c>
      <c r="CB603" s="20">
        <f>INDEX(Input!$1:$1048576,CB$93,$C603*2+6)</f>
        <v>0.1</v>
      </c>
      <c r="CC603" s="20">
        <f>INDEX(Input!$1:$1048576,CC$93,$C603*2+6)</f>
        <v>0.1</v>
      </c>
      <c r="CD603" s="384">
        <f>INDEX(Input!$1:$1048576,CD$93,$C603*2+6)</f>
        <v>0.1</v>
      </c>
      <c r="CE603" s="384">
        <f>INDEX(Input!$1:$1048576,CE$93,$C603*2+6)</f>
        <v>0.1</v>
      </c>
      <c r="CF603" s="384">
        <f>INDEX(Input!$1:$1048576,CF$93,$C603*2+6)</f>
        <v>0.1</v>
      </c>
      <c r="CG603" s="384">
        <f>INDEX(Input!$1:$1048576,CG$93,$C603*2+6)</f>
        <v>0.1</v>
      </c>
      <c r="CH603" s="384">
        <f>INDEX(Input!$1:$1048576,CH$93,$C603*2+6)</f>
        <v>0.1</v>
      </c>
      <c r="CI603" s="304">
        <f t="shared" si="1718"/>
        <v>1770.0000000000002</v>
      </c>
      <c r="CJ603" s="16" t="str">
        <f>INDEX(Input!$1:$1048576,CJ$93,$C603*2+6)</f>
        <v>N</v>
      </c>
      <c r="CK603" s="1" t="str">
        <f t="shared" si="1719"/>
        <v>Market</v>
      </c>
      <c r="CL603" s="1" t="str">
        <f t="shared" si="1720"/>
        <v>Market</v>
      </c>
      <c r="CM603" s="1" t="str">
        <f t="shared" si="1721"/>
        <v>Market</v>
      </c>
      <c r="CN603" s="1" t="str">
        <f t="shared" si="1722"/>
        <v>Market</v>
      </c>
      <c r="CO603" s="1" t="str">
        <f t="shared" si="1723"/>
        <v>Market</v>
      </c>
      <c r="CP603" s="304">
        <f t="shared" si="1724"/>
        <v>0</v>
      </c>
      <c r="CQ603" s="1">
        <f t="shared" si="1725"/>
        <v>0</v>
      </c>
      <c r="CR603" s="1">
        <f t="shared" si="1726"/>
        <v>0</v>
      </c>
      <c r="CS603" s="1">
        <f t="shared" si="1727"/>
        <v>0</v>
      </c>
      <c r="CT603" s="1">
        <f t="shared" si="1728"/>
        <v>1.9E-2</v>
      </c>
      <c r="CU603" s="1">
        <f t="shared" si="1729"/>
        <v>3.9E-2</v>
      </c>
      <c r="CV603" s="304">
        <f t="shared" si="1730"/>
        <v>1486.1623510528204</v>
      </c>
      <c r="CW603" s="20" t="s">
        <v>122</v>
      </c>
      <c r="CX603" s="20" t="s">
        <v>122</v>
      </c>
      <c r="CY603" s="20" t="s">
        <v>122</v>
      </c>
      <c r="CZ603" s="20" t="s">
        <v>122</v>
      </c>
      <c r="DA603" s="20" t="s">
        <v>122</v>
      </c>
      <c r="DB603" s="503">
        <f t="shared" si="1731"/>
        <v>0</v>
      </c>
      <c r="DC603" s="127">
        <v>0</v>
      </c>
      <c r="DD603" s="127">
        <v>0</v>
      </c>
      <c r="DE603" s="127">
        <v>0</v>
      </c>
      <c r="DF603" s="127">
        <v>0</v>
      </c>
      <c r="DG603" s="127">
        <v>0</v>
      </c>
      <c r="DH603" s="127">
        <v>0</v>
      </c>
      <c r="DI603" s="127">
        <v>0</v>
      </c>
      <c r="DJ603" s="127">
        <v>0</v>
      </c>
      <c r="DK603" s="127">
        <v>0</v>
      </c>
      <c r="DL603" s="127">
        <v>0</v>
      </c>
      <c r="DM603" s="304">
        <f>INDEX(Input!$1:$1048576,DM$93,$C603*2+6)</f>
        <v>21036.84210526316</v>
      </c>
      <c r="DN603" s="20">
        <v>0</v>
      </c>
      <c r="DO603" s="20">
        <v>0</v>
      </c>
      <c r="DP603" s="20">
        <v>0</v>
      </c>
      <c r="DQ603" s="20">
        <v>0</v>
      </c>
      <c r="DR603" s="20">
        <v>0</v>
      </c>
      <c r="DS603" s="20">
        <f>INDEX(Input!$1:$1048576,DS$93,$C603*2+6)</f>
        <v>0.6</v>
      </c>
      <c r="DT603" s="20">
        <f>INDEX(Input!$1:$1048576,DT$93,$C603*2+6)</f>
        <v>0.55000000000000004</v>
      </c>
      <c r="DU603" s="20">
        <f>INDEX(Input!$1:$1048576,DU$93,$C603*2+6)</f>
        <v>0.52</v>
      </c>
      <c r="DV603" s="20">
        <f>INDEX(Input!$1:$1048576,DV$93,$C603*2+6)</f>
        <v>0.5</v>
      </c>
      <c r="DW603" s="20">
        <f>INDEX(Input!$1:$1048576,DW$93,$C603*2+6)</f>
        <v>0.45</v>
      </c>
      <c r="DX603" s="20"/>
      <c r="DY603" s="7"/>
      <c r="DZ603" s="7"/>
      <c r="EA603" s="7"/>
      <c r="EB603" s="7"/>
      <c r="EC603" s="7"/>
      <c r="ED603" s="7"/>
      <c r="EE603" s="7"/>
      <c r="EF603" s="7"/>
      <c r="EG603" s="7"/>
      <c r="EH603" s="7"/>
      <c r="EI603" s="7"/>
      <c r="EJ603" s="7"/>
      <c r="EK603" s="7"/>
      <c r="EL603" s="7"/>
      <c r="EM603" s="7"/>
      <c r="EN603" s="7"/>
      <c r="EO603" s="7"/>
      <c r="EP603" s="7"/>
      <c r="EQ603" s="7"/>
      <c r="ER603" s="7"/>
      <c r="ES603" s="7"/>
      <c r="ET603" s="7"/>
      <c r="EU603" s="6"/>
      <c r="EV603" s="6"/>
      <c r="EW603" s="6"/>
      <c r="EX603" s="6"/>
      <c r="EY603" s="6"/>
      <c r="EZ603" s="6"/>
      <c r="FA603" s="6"/>
      <c r="FB603" s="6"/>
      <c r="FC603" s="6"/>
      <c r="FD603" s="6"/>
      <c r="FE603" s="6"/>
      <c r="FF603" s="6"/>
      <c r="FG603" s="6"/>
      <c r="FH603" s="6"/>
      <c r="FI603" s="6"/>
      <c r="FJ603" s="6"/>
      <c r="FK603" s="6"/>
      <c r="FL603" s="6"/>
      <c r="FM603" s="6"/>
      <c r="FN603" s="6"/>
      <c r="FO603" s="6"/>
      <c r="FP603" s="6"/>
      <c r="FQ603" s="6"/>
      <c r="FR603" s="6"/>
      <c r="FS603" s="6"/>
      <c r="FT603" s="7"/>
      <c r="FU603" s="7"/>
      <c r="FV603" s="7"/>
      <c r="FW603" s="6"/>
      <c r="FX603" s="6"/>
      <c r="FY603" s="6"/>
      <c r="FZ603" s="6"/>
      <c r="GA603" s="6"/>
      <c r="GB603" s="6"/>
      <c r="GC603" s="7"/>
      <c r="GD603" s="7"/>
      <c r="GE603" s="7"/>
      <c r="GF603" s="7"/>
      <c r="GG603" s="7"/>
      <c r="GH603" s="42"/>
      <c r="GI603" s="6"/>
      <c r="GJ603" s="14"/>
      <c r="GK603" s="14"/>
      <c r="GL603" s="14"/>
      <c r="GM603" s="14"/>
      <c r="GO603" s="5"/>
      <c r="GP603" s="5"/>
      <c r="GQ603" s="5"/>
      <c r="GR603" s="5"/>
      <c r="GS603" s="5"/>
      <c r="GT603" s="5"/>
      <c r="GU603" s="5"/>
      <c r="GV603" s="39"/>
      <c r="GW603" s="5"/>
      <c r="GX603" s="5"/>
      <c r="GY603" s="5"/>
      <c r="GZ603" s="5"/>
      <c r="HA603" s="5"/>
      <c r="HB603" s="39"/>
      <c r="HC603" s="5"/>
      <c r="HD603" s="5"/>
      <c r="HE603" s="5"/>
      <c r="HF603" s="5"/>
      <c r="HG603" s="5"/>
      <c r="HH603" s="39"/>
      <c r="HI603" s="16"/>
      <c r="HJ603" s="19"/>
      <c r="HK603" s="1"/>
      <c r="HL603" s="16"/>
      <c r="HM603" s="639">
        <f t="shared" si="1755"/>
        <v>2.3149872625708352E-2</v>
      </c>
      <c r="HN603" s="639">
        <f t="shared" si="1756"/>
        <v>1.3965040474190958E-3</v>
      </c>
      <c r="HO603" s="639">
        <f t="shared" si="1757"/>
        <v>3.5429561340050734E-3</v>
      </c>
      <c r="HP603" s="644">
        <f t="shared" ref="HP603:ID603" si="1789">HP103+HP203+HP303+HP403+HP503</f>
        <v>513.68534788665522</v>
      </c>
      <c r="HQ603" s="644">
        <f t="shared" si="1789"/>
        <v>-54.222548198413534</v>
      </c>
      <c r="HR603" s="644">
        <f t="shared" si="1789"/>
        <v>-128.33292191052885</v>
      </c>
      <c r="HS603" s="644">
        <f t="shared" si="1789"/>
        <v>-175.65162755096188</v>
      </c>
      <c r="HT603" s="644">
        <f t="shared" si="1789"/>
        <v>-25.602790280811067</v>
      </c>
      <c r="HU603" s="644">
        <f t="shared" si="1789"/>
        <v>25.667049549954257</v>
      </c>
      <c r="HV603" s="644">
        <f t="shared" si="1789"/>
        <v>0</v>
      </c>
      <c r="HW603" s="644">
        <f t="shared" si="1789"/>
        <v>0</v>
      </c>
      <c r="HX603" s="644">
        <f t="shared" si="1789"/>
        <v>0</v>
      </c>
      <c r="HY603" s="644">
        <f t="shared" si="1789"/>
        <v>2396</v>
      </c>
      <c r="HZ603" s="644">
        <f t="shared" si="1789"/>
        <v>3223</v>
      </c>
      <c r="IA603" s="644">
        <f t="shared" si="1789"/>
        <v>830</v>
      </c>
      <c r="IB603" s="644">
        <f t="shared" si="1789"/>
        <v>2734.0337203356935</v>
      </c>
      <c r="IC603" s="644">
        <f t="shared" si="1789"/>
        <v>3143.1746615207753</v>
      </c>
      <c r="ID603" s="644">
        <f t="shared" si="1789"/>
        <v>727.33412763942533</v>
      </c>
      <c r="IE603" s="20">
        <f t="shared" si="1759"/>
        <v>0.41396261987938582</v>
      </c>
      <c r="IF603" s="20">
        <f t="shared" si="1760"/>
        <v>0.47591103501893955</v>
      </c>
      <c r="IG603" s="20">
        <f t="shared" si="1761"/>
        <v>0.11012634510167468</v>
      </c>
      <c r="IH603" s="21"/>
      <c r="II603" s="19"/>
      <c r="IJ603" s="19"/>
      <c r="IK603" s="19"/>
      <c r="IL603" s="19">
        <f t="shared" si="1762"/>
        <v>494.6095005202128</v>
      </c>
      <c r="IM603" s="19">
        <f t="shared" si="1763"/>
        <v>1.4387472371731747</v>
      </c>
      <c r="IN603" s="19">
        <f t="shared" si="1764"/>
        <v>4.0012384063920763</v>
      </c>
      <c r="IO603" s="39"/>
      <c r="IP603" s="39"/>
      <c r="IQ603" s="39"/>
      <c r="IR603" s="39"/>
      <c r="IS603" s="39"/>
      <c r="IT603" s="39"/>
      <c r="IU603" s="39"/>
      <c r="IV603" s="39"/>
      <c r="IW603" s="39"/>
      <c r="IX603" s="19">
        <f t="shared" si="1765"/>
        <v>1554.1790484140233</v>
      </c>
      <c r="IY603" s="19">
        <f t="shared" si="1766"/>
        <v>2412.3001201524512</v>
      </c>
      <c r="IZ603" s="19">
        <f t="shared" si="1767"/>
        <v>3993.0862952928574</v>
      </c>
      <c r="JA603" s="19">
        <f t="shared" ref="JA603:JC603" si="1790">IFERROR((JA103*IB103+JA203*IB203+JA303*IB303+JA403*IB403+JA503*IB503)/IB603,0)</f>
        <v>2048.7885489342361</v>
      </c>
      <c r="JB603" s="19">
        <f t="shared" si="1790"/>
        <v>2413.7388673896244</v>
      </c>
      <c r="JC603" s="19">
        <f t="shared" si="1790"/>
        <v>3997.0875336992494</v>
      </c>
      <c r="JD603" s="19">
        <f t="shared" si="1769"/>
        <v>2437.0314790783059</v>
      </c>
      <c r="JE603" s="21"/>
      <c r="JF603" s="1">
        <f t="shared" si="1770"/>
        <v>2.6651855648468406E-2</v>
      </c>
      <c r="JG603" s="15">
        <f t="shared" si="1771"/>
        <v>6449</v>
      </c>
      <c r="JH603" s="1">
        <f t="shared" si="1772"/>
        <v>5.134592615563853E-2</v>
      </c>
      <c r="JI603" s="1">
        <f t="shared" si="1773"/>
        <v>-2.7227069046645784E-2</v>
      </c>
      <c r="JJ603" s="1">
        <f t="shared" si="1774"/>
        <v>0</v>
      </c>
      <c r="JK603" s="1">
        <f t="shared" si="1775"/>
        <v>2.4118857108992732E-2</v>
      </c>
      <c r="JL603" s="15">
        <f t="shared" ref="JL603:JM603" si="1791">JL103+JL203+JL303+JL403+JL503</f>
        <v>155.54250949589414</v>
      </c>
      <c r="JM603" s="15">
        <f t="shared" si="1791"/>
        <v>6604.5425094958946</v>
      </c>
      <c r="JN603" s="21"/>
      <c r="JO603" s="19">
        <f>INDEX(Input!$1:$1048576,JO$93,$C603*2+6)</f>
        <v>5995.5</v>
      </c>
      <c r="JP603" s="19">
        <f>INDEX(Input!$1:$1048576,JP$93,$C603*2+6)</f>
        <v>2296.6050414551746</v>
      </c>
      <c r="JQ603" s="39">
        <f t="shared" ref="JQ603" si="1792">JO603-JD603</f>
        <v>3558.4685209216941</v>
      </c>
      <c r="JR603" s="39">
        <f t="shared" ref="JR603" si="1793">JD603-JP603</f>
        <v>140.42643762313128</v>
      </c>
      <c r="JS603" s="39">
        <f t="shared" ref="JS603" si="1794">JM603*JD603/1000000</f>
        <v>16.095478000552326</v>
      </c>
      <c r="JT603" s="39">
        <f t="shared" si="1777"/>
        <v>1.2846720882079061</v>
      </c>
      <c r="JU603" s="385">
        <f>(JQ603*JM603-INDEX(Input!$1:$1048576,Input!A$18,$C603*2+6)*JL603*INDEX(Input!$1:$1048576,Input!A$19,$C603*2+6))/1000000</f>
        <v>23.502056615130311</v>
      </c>
      <c r="JV603" s="39">
        <f t="shared" si="1745"/>
        <v>-0.35211697252526619</v>
      </c>
      <c r="JW603" s="1">
        <f>JV603/(JU603-JV603)</f>
        <v>-1.4761231246656353E-2</v>
      </c>
      <c r="JX603" s="19">
        <f>IF(JL603=0,0,JT603/JL603)*1000000</f>
        <v>8259.2989683107662</v>
      </c>
      <c r="JZ603" s="468"/>
      <c r="KA603" s="472"/>
      <c r="KB603" s="469">
        <f t="shared" si="1778"/>
        <v>0</v>
      </c>
      <c r="KC603" s="472"/>
      <c r="KD603" s="472"/>
      <c r="KE603" s="472"/>
      <c r="KF603" s="472"/>
      <c r="KG603" s="792"/>
      <c r="KH603" s="472"/>
      <c r="KI603" s="472"/>
      <c r="KJ603" s="472"/>
      <c r="KK603" s="472"/>
      <c r="KL603" s="472"/>
      <c r="KN603" s="793">
        <f t="shared" si="1779"/>
        <v>6002</v>
      </c>
      <c r="KO603" s="541">
        <f t="shared" si="1780"/>
        <v>6.4451544309718223E-4</v>
      </c>
      <c r="KP603" s="546">
        <f t="shared" si="1781"/>
        <v>40.027288638419613</v>
      </c>
      <c r="KQ603" s="546">
        <f t="shared" si="1782"/>
        <v>-25.801777526839032</v>
      </c>
      <c r="KR603" s="472">
        <f t="shared" si="1783"/>
        <v>0.28214019602122459</v>
      </c>
      <c r="KS603" s="472">
        <f t="shared" si="1784"/>
        <v>-0.43769492434753909</v>
      </c>
      <c r="KT603" s="473">
        <f t="shared" ref="KT603:KT666" si="1795">KT602</f>
        <v>4286.2445668946921</v>
      </c>
      <c r="KU603" s="663">
        <f t="shared" si="1785"/>
        <v>4.4354287736460485</v>
      </c>
      <c r="KV603" s="117"/>
    </row>
    <row r="604" spans="1:310" s="26" customFormat="1" ht="15">
      <c r="A604" s="561">
        <f t="shared" si="1751"/>
        <v>6004</v>
      </c>
      <c r="B604" s="561">
        <f t="shared" si="1786"/>
        <v>4</v>
      </c>
      <c r="C604" s="561">
        <f t="shared" si="1787"/>
        <v>6</v>
      </c>
      <c r="D604" s="561" t="s">
        <v>741</v>
      </c>
      <c r="E604" s="115">
        <f>INDEX(Input!$1:$1048576,E$93,$C604*2+MIN($B604,1)+5)</f>
        <v>1000.0000000000002</v>
      </c>
      <c r="F604" s="115">
        <f>INDEX(Input!$1:$1048576,F$93,$C604*2+MIN($B604,1)+5)</f>
        <v>0</v>
      </c>
      <c r="G604" s="115">
        <f>INDEX(Input!$1:$1048576,G$93,$C604*2+MIN($B604,1)+5)</f>
        <v>0</v>
      </c>
      <c r="H604" s="115">
        <f>INDEX(Input!$1:$1048576,H$93,$C604*2+MIN($B604,1)+5)</f>
        <v>0</v>
      </c>
      <c r="I604" s="118">
        <f>INDEX(Input!$1:$1048576,I$93,$C604*2+MIN($B604,1)+5)</f>
        <v>0.7</v>
      </c>
      <c r="J604" s="478">
        <f>IF(INDEX(Input!$1:$1048576,J$93,$C604*2+MIN($B604,1)+5)="Market",BD602-1%,MAX(INDEX(Input!$1:$1048576,J$93,$C604*2+MIN($B604,1)+5)-1%,0))</f>
        <v>3.4999999999999996E-2</v>
      </c>
      <c r="K604" s="478">
        <f>IF(INDEX(Input!$1:$1048576,K$93,$C604*2+MIN($B604,1)+5)="Market",BE602-1%,MAX(INDEX(Input!$1:$1048576,K$93,$C604*2+MIN($B604,1)+5)-1%,0))</f>
        <v>3.4999999999999996E-2</v>
      </c>
      <c r="L604" s="478">
        <f>IF(INDEX(Input!$1:$1048576,L$93,$C604*2+MIN($B604,1)+5)="Market",BF602-1%,MAX(INDEX(Input!$1:$1048576,L$93,$C604*2+MIN($B604,1)+5)-1%,0))</f>
        <v>0.04</v>
      </c>
      <c r="M604" s="478">
        <f>IF(INDEX(Input!$1:$1048576,M$93,$C604*2+MIN($B604,1)+5)="Market",BG602-1%,MAX(INDEX(Input!$1:$1048576,M$93,$C604*2+MIN($B604,1)+5)-1%,0))</f>
        <v>4.4499999999999998E-2</v>
      </c>
      <c r="N604" s="478">
        <f>IF(INDEX(Input!$1:$1048576,N$93,$C604*2+MIN($B604,1)+5)="Market",BH602-1%,MAX(INDEX(Input!$1:$1048576,N$93,$C604*2+6)-IF(INDEX(Input!$1:$1048576,M$93,$C604*2+MIN($B604,1)+5)=0,0,1%),0))</f>
        <v>4.4499999999999998E-2</v>
      </c>
      <c r="O604" s="476" t="str">
        <f>INDEX(Input!$1:$1048576,O$93,$C604*2+MIN($B604,1)+5)</f>
        <v>Market</v>
      </c>
      <c r="P604" s="476" t="str">
        <f>INDEX(Input!$1:$1048576,P$93,$C604*2+MIN($B604,1)+5)</f>
        <v>N</v>
      </c>
      <c r="Q604" s="477">
        <f>INDEX(Input!$1:$1048576,Q$93,$C604*2+MIN($B604,1)+5)+IF(U602&gt;1.8%,0,500)</f>
        <v>500</v>
      </c>
      <c r="R604" s="478">
        <f>IF(INDEX(Input!$1:$1048576,R$93,$C604*2+MIN($B604,1)+5)="Market",BD602-1%,MAX(INDEX(Input!$1:$1048576,R$93,$C604*2+MIN($B604,1)+5)-1%,0))</f>
        <v>0</v>
      </c>
      <c r="S604" s="478">
        <f>IF(INDEX(Input!$1:$1048576,S$93,$C604*2+MIN($B604,1)+5)="Market",BE602-1%,MAX(INDEX(Input!$1:$1048576,S$93,$C604*2+MIN($B604,1)+5)-1%,0))</f>
        <v>0</v>
      </c>
      <c r="T604" s="478">
        <f>IF(INDEX(Input!$1:$1048576,T$93,$C604*2+MIN($B604,1)+5)="Market",BF602-1%,MAX(INDEX(Input!$1:$1048576,T$93,$C604*2+MIN($B604,1)+5)-1%,0))</f>
        <v>0</v>
      </c>
      <c r="U604" s="478">
        <f>IF(INDEX(Input!$1:$1048576,U$93,$C604*2+MIN($B604,1)+5)="Market",BG602-1%,MAX(INDEX(Input!$1:$1048576,U$93,$C604*2+MIN($B604,1)+5)-1%,0))</f>
        <v>0</v>
      </c>
      <c r="V604" s="478">
        <f>IF(INDEX(Input!$1:$1048576,V$93,$C604*2+MIN($B604,1)+5)="Market",BH602-1%,MAX(INDEX(Input!$1:$1048576,V$93,$C604*2+MIN($B604,1)+5)-IF(INDEX(Input!$1:$1048576,U$93,$C604*2+MIN($B604,1)+5)=0,0,1%),0))</f>
        <v>1.9E-2</v>
      </c>
      <c r="W604" s="885">
        <f>INDEX(Input!$1:$1048576,W$93,$C604*2+MIN($B604,1)+5)</f>
        <v>3.9E-2</v>
      </c>
      <c r="X604" s="476" t="str">
        <f>INDEX(Input!$1:$1048576,X$93,$C604*2+MIN($B604,1)+5)</f>
        <v>Y</v>
      </c>
      <c r="Y604" s="150">
        <f>INDEX(Input!$1:$1048576,Y$93,$C604*2+MIN($B604,1)+5)</f>
        <v>1216.1623510528204</v>
      </c>
      <c r="Z604" s="30">
        <f>INDEX(Input!$1:$1048576,Z$93,$C604*2+MIN($B604,1)+5)</f>
        <v>0</v>
      </c>
      <c r="AA604" s="115">
        <f>INDEX(Input!$1:$1048576,AA$93,$C604*2+MIN($B604,1)+5)</f>
        <v>1000</v>
      </c>
      <c r="AB604" s="118">
        <f>INDEX(Input!$1:$1048576,AB$93,$C604*2+MIN($B604,1)+5)</f>
        <v>0.27</v>
      </c>
      <c r="AC604" s="115">
        <f>INDEX(Input!$1:$1048576,AC$93,$C604*2+MIN($B604,1)+5)</f>
        <v>1000</v>
      </c>
      <c r="AD604" s="118">
        <f>INDEX(Input!$1:$1048576,AD$93,$C604*2+MIN($B604,1)+5)</f>
        <v>0.27</v>
      </c>
      <c r="AE604" s="115">
        <f>INDEX(Input!$1:$1048576,AE$93,$C604*2+MIN($B604,1)+5)</f>
        <v>0</v>
      </c>
      <c r="AF604" s="118">
        <f>INDEX(Input!$1:$1048576,AF$93,$C604*2+MIN($B604,1)+5)</f>
        <v>1</v>
      </c>
      <c r="AG604" s="115">
        <f>INDEX(Input!$1:$1048576,AG$93,$C604*2+MIN($B604,1)+5)</f>
        <v>0</v>
      </c>
      <c r="AH604" s="118">
        <f>INDEX(Input!$1:$1048576,AH$93,$C604*2+MIN($B604,1)+5)</f>
        <v>1</v>
      </c>
      <c r="AI604" s="115">
        <f>INDEX(Input!$1:$1048576,AI$93,$C604*2+MIN($B604,1)+5)</f>
        <v>0</v>
      </c>
      <c r="AJ604" s="118">
        <f>INDEX(Input!$1:$1048576,AJ$93,$C604*2+MIN($B604,1)+5)</f>
        <v>0.27</v>
      </c>
      <c r="AK604" s="150">
        <f>ROUND(INDEX(Input!$1:$1048576,AK$93,$C603*2+MIN($B604,1)+5)+(Y604-VLOOKUP($C604*1000+1,$A:$HH,Y$92,FALSE)),0)</f>
        <v>3539</v>
      </c>
      <c r="AL604" s="150">
        <f>ROUND(INDEX(Input!$1:$1048576,AL$93,$C603*2+MIN($B604,1)+5)-(Y604-VLOOKUP($C604*1000+1,$A:$HH,Y$92,FALSE))/36,0)</f>
        <v>3539</v>
      </c>
      <c r="AM604" s="32" t="str">
        <f t="shared" si="1752"/>
        <v>3.5/4/4.5/4.5</v>
      </c>
      <c r="AN604" s="32" t="str">
        <f t="shared" si="1753"/>
        <v>$500 + 0/0/0/1.9/3.9</v>
      </c>
      <c r="AO604" s="32" t="str">
        <f t="shared" si="1754"/>
        <v>0/0/0/1.9/3.9</v>
      </c>
      <c r="AP604" s="32" t="str">
        <f t="shared" si="1716"/>
        <v>0/0.9/1.9/3.9</v>
      </c>
      <c r="AQ604" s="536">
        <f t="shared" si="1717"/>
        <v>270.34743027496546</v>
      </c>
      <c r="AR604" s="32"/>
      <c r="AS604" s="302"/>
      <c r="AT604" s="3">
        <f t="shared" si="1788"/>
        <v>4</v>
      </c>
      <c r="AU604" s="41" t="s">
        <v>121</v>
      </c>
      <c r="AV604" s="41" t="s">
        <v>116</v>
      </c>
      <c r="AW604" s="41" t="str">
        <f>INDEX(Input!$1:$1048576,AW$93,$C604*2+6)</f>
        <v>Kia</v>
      </c>
      <c r="AX604" s="41" t="str">
        <f>INDEX(Input!$1:$1048576,AX$93,$C604*2+6)</f>
        <v>National</v>
      </c>
      <c r="AY604" s="41" t="str">
        <f>IF(LEN(D604)=0,"",INDEX(Input!$1:$1048576,AY$93,$C604*2+6))</f>
        <v>Compact SUV (52)</v>
      </c>
      <c r="AZ604" s="41" t="str">
        <f>INDEX(Input!$1:$1048576,AZ$93,$C604*2+6)</f>
        <v>Kia Soul</v>
      </c>
      <c r="BA604" s="3">
        <f>INDEX(Input!$1:$1048576,BA$93,$C604*2+6)</f>
        <v>2020</v>
      </c>
      <c r="BB604" s="128">
        <f>INDEX(Input!$1:$1048576,BB$93,$C604*2+6)</f>
        <v>1</v>
      </c>
      <c r="BC604" s="128">
        <f>INDEX(Input!$1:$1048576,BC$93,$C604*2+6)</f>
        <v>0.7</v>
      </c>
      <c r="BD604" s="1">
        <f>INDEX(Input!$1:$1048576,BD$93,$C604*2+6)</f>
        <v>4.4999999999999998E-2</v>
      </c>
      <c r="BE604" s="1">
        <f>INDEX(Input!$1:$1048576,BE$93,$C604*2+6)</f>
        <v>4.4999999999999998E-2</v>
      </c>
      <c r="BF604" s="1">
        <f>INDEX(Input!$1:$1048576,BF$93,$C604*2+6)</f>
        <v>0.05</v>
      </c>
      <c r="BG604" s="1">
        <f>INDEX(Input!$1:$1048576,BG$93,$C604*2+6)</f>
        <v>5.45E-2</v>
      </c>
      <c r="BH604" s="1">
        <f>INDEX(Input!$1:$1048576,BH$93,$C604*2+6)</f>
        <v>5.45E-2</v>
      </c>
      <c r="BI604" s="1">
        <f>INDEX(Input!$1:$1048576,BI$93,$C604*2+6)</f>
        <v>0.05</v>
      </c>
      <c r="BJ604" s="1">
        <f>INDEX(Input!$1:$1048576,BJ$93,$C604*2+6)</f>
        <v>0.05</v>
      </c>
      <c r="BK604" s="1">
        <f>INDEX(Input!$1:$1048576,BK$93,$C604*2+6)</f>
        <v>0.05</v>
      </c>
      <c r="BL604" s="1">
        <f>INDEX(Input!$1:$1048576,BL$93,$C604*2+6)</f>
        <v>5.5E-2</v>
      </c>
      <c r="BM604" s="1">
        <f>INDEX(Input!$1:$1048576,BM$93,$C604*2+6)</f>
        <v>0.06</v>
      </c>
      <c r="BN604" s="1">
        <f>INDEX(Input!$1:$1048576,BN$93,$C604*2+6)</f>
        <v>4.4999999999999998E-2</v>
      </c>
      <c r="BO604" s="1">
        <f>INDEX(Input!$1:$1048576,BO$93,$C604*2+6)</f>
        <v>4.4999999999999998E-2</v>
      </c>
      <c r="BP604" s="1">
        <f>INDEX(Input!$1:$1048576,BP$93,$C604*2+6)</f>
        <v>0.05</v>
      </c>
      <c r="BQ604" s="1">
        <f>INDEX(Input!$1:$1048576,BQ$93,$C604*2+6)</f>
        <v>5.45E-2</v>
      </c>
      <c r="BR604" s="1">
        <f>INDEX(Input!$1:$1048576,BR$93,$C604*2+6)</f>
        <v>5.45E-2</v>
      </c>
      <c r="BS604" s="1">
        <f>INDEX(Input!$1:$1048576,BS$93,$C604*2+6)</f>
        <v>0.05</v>
      </c>
      <c r="BT604" s="1">
        <f>INDEX(Input!$1:$1048576,BT$93,$C604*2+6)</f>
        <v>0.05</v>
      </c>
      <c r="BU604" s="1">
        <f>INDEX(Input!$1:$1048576,BU$93,$C604*2+6)</f>
        <v>0.05</v>
      </c>
      <c r="BV604" s="1">
        <f>INDEX(Input!$1:$1048576,BV$93,$C604*2+6)</f>
        <v>5.5E-2</v>
      </c>
      <c r="BW604" s="1">
        <f>INDEX(Input!$1:$1048576,BW$93,$C604*2+6)</f>
        <v>0.06</v>
      </c>
      <c r="BX604" s="127">
        <f>INDEX(Input!$1:$1048576,BX$93,$C604*2+6)</f>
        <v>19985</v>
      </c>
      <c r="BY604" s="20">
        <f>INDEX(Input!$1:$1048576,BY$93,$C604*2+6)</f>
        <v>0.1</v>
      </c>
      <c r="BZ604" s="20">
        <f>INDEX(Input!$1:$1048576,BZ$93,$C604*2+6)</f>
        <v>0.1</v>
      </c>
      <c r="CA604" s="20">
        <f>INDEX(Input!$1:$1048576,CA$93,$C604*2+6)</f>
        <v>0.1</v>
      </c>
      <c r="CB604" s="20">
        <f>INDEX(Input!$1:$1048576,CB$93,$C604*2+6)</f>
        <v>0.1</v>
      </c>
      <c r="CC604" s="20">
        <f>INDEX(Input!$1:$1048576,CC$93,$C604*2+6)</f>
        <v>0.1</v>
      </c>
      <c r="CD604" s="384">
        <f>INDEX(Input!$1:$1048576,CD$93,$C604*2+6)</f>
        <v>0.1</v>
      </c>
      <c r="CE604" s="384">
        <f>INDEX(Input!$1:$1048576,CE$93,$C604*2+6)</f>
        <v>0.1</v>
      </c>
      <c r="CF604" s="384">
        <f>INDEX(Input!$1:$1048576,CF$93,$C604*2+6)</f>
        <v>0.1</v>
      </c>
      <c r="CG604" s="384">
        <f>INDEX(Input!$1:$1048576,CG$93,$C604*2+6)</f>
        <v>0.1</v>
      </c>
      <c r="CH604" s="384">
        <f>INDEX(Input!$1:$1048576,CH$93,$C604*2+6)</f>
        <v>0.1</v>
      </c>
      <c r="CI604" s="304">
        <f t="shared" si="1718"/>
        <v>1270.0000000000002</v>
      </c>
      <c r="CJ604" s="16" t="str">
        <f>INDEX(Input!$1:$1048576,CJ$93,$C604*2+6)</f>
        <v>N</v>
      </c>
      <c r="CK604" s="1">
        <f t="shared" si="1719"/>
        <v>3.4999999999999996E-2</v>
      </c>
      <c r="CL604" s="1">
        <f t="shared" si="1720"/>
        <v>0.04</v>
      </c>
      <c r="CM604" s="1">
        <f t="shared" si="1721"/>
        <v>4.4499999999999998E-2</v>
      </c>
      <c r="CN604" s="1">
        <f t="shared" si="1722"/>
        <v>4.4499999999999998E-2</v>
      </c>
      <c r="CO604" s="1" t="str">
        <f t="shared" si="1723"/>
        <v>Market</v>
      </c>
      <c r="CP604" s="304">
        <f t="shared" si="1724"/>
        <v>500</v>
      </c>
      <c r="CQ604" s="1">
        <f t="shared" si="1725"/>
        <v>0</v>
      </c>
      <c r="CR604" s="1">
        <f t="shared" si="1726"/>
        <v>0</v>
      </c>
      <c r="CS604" s="1">
        <f t="shared" si="1727"/>
        <v>0</v>
      </c>
      <c r="CT604" s="1">
        <f t="shared" si="1728"/>
        <v>1.9E-2</v>
      </c>
      <c r="CU604" s="1">
        <f t="shared" si="1729"/>
        <v>3.9E-2</v>
      </c>
      <c r="CV604" s="304">
        <f t="shared" si="1730"/>
        <v>1486.1623510528204</v>
      </c>
      <c r="CW604" s="20" t="s">
        <v>122</v>
      </c>
      <c r="CX604" s="20" t="s">
        <v>122</v>
      </c>
      <c r="CY604" s="20" t="s">
        <v>122</v>
      </c>
      <c r="CZ604" s="20" t="s">
        <v>122</v>
      </c>
      <c r="DA604" s="20" t="s">
        <v>122</v>
      </c>
      <c r="DB604" s="503">
        <f t="shared" si="1731"/>
        <v>0</v>
      </c>
      <c r="DC604" s="127">
        <v>0</v>
      </c>
      <c r="DD604" s="127">
        <v>0</v>
      </c>
      <c r="DE604" s="127">
        <v>0</v>
      </c>
      <c r="DF604" s="127">
        <v>0</v>
      </c>
      <c r="DG604" s="127">
        <v>0</v>
      </c>
      <c r="DH604" s="127">
        <v>0</v>
      </c>
      <c r="DI604" s="127">
        <v>0</v>
      </c>
      <c r="DJ604" s="127">
        <v>0</v>
      </c>
      <c r="DK604" s="127">
        <v>0</v>
      </c>
      <c r="DL604" s="127">
        <v>0</v>
      </c>
      <c r="DM604" s="304">
        <f>INDEX(Input!$1:$1048576,DM$93,$C604*2+6)</f>
        <v>21036.84210526316</v>
      </c>
      <c r="DN604" s="20">
        <v>0</v>
      </c>
      <c r="DO604" s="20">
        <v>0</v>
      </c>
      <c r="DP604" s="20">
        <v>0</v>
      </c>
      <c r="DQ604" s="20">
        <v>0</v>
      </c>
      <c r="DR604" s="20">
        <v>0</v>
      </c>
      <c r="DS604" s="20">
        <f>INDEX(Input!$1:$1048576,DS$93,$C604*2+6)</f>
        <v>0.6</v>
      </c>
      <c r="DT604" s="20">
        <f>INDEX(Input!$1:$1048576,DT$93,$C604*2+6)</f>
        <v>0.55000000000000004</v>
      </c>
      <c r="DU604" s="20">
        <f>INDEX(Input!$1:$1048576,DU$93,$C604*2+6)</f>
        <v>0.52</v>
      </c>
      <c r="DV604" s="20">
        <f>INDEX(Input!$1:$1048576,DV$93,$C604*2+6)</f>
        <v>0.5</v>
      </c>
      <c r="DW604" s="20">
        <f>INDEX(Input!$1:$1048576,DW$93,$C604*2+6)</f>
        <v>0.45</v>
      </c>
      <c r="DX604" s="20"/>
      <c r="DY604" s="7"/>
      <c r="DZ604" s="7"/>
      <c r="EA604" s="7"/>
      <c r="EB604" s="7"/>
      <c r="EC604" s="7"/>
      <c r="ED604" s="7"/>
      <c r="EE604" s="7"/>
      <c r="EF604" s="7"/>
      <c r="EG604" s="7"/>
      <c r="EH604" s="7"/>
      <c r="EI604" s="7"/>
      <c r="EJ604" s="7"/>
      <c r="EK604" s="7"/>
      <c r="EL604" s="7"/>
      <c r="EM604" s="7"/>
      <c r="EN604" s="7"/>
      <c r="EO604" s="7"/>
      <c r="EP604" s="7"/>
      <c r="EQ604" s="7"/>
      <c r="ER604" s="7"/>
      <c r="ES604" s="7"/>
      <c r="ET604" s="7"/>
      <c r="EU604" s="6"/>
      <c r="EV604" s="6"/>
      <c r="EW604" s="6"/>
      <c r="EX604" s="6"/>
      <c r="EY604" s="6"/>
      <c r="EZ604" s="6"/>
      <c r="FA604" s="6"/>
      <c r="FB604" s="6"/>
      <c r="FC604" s="6"/>
      <c r="FD604" s="6"/>
      <c r="FE604" s="6"/>
      <c r="FF604" s="6"/>
      <c r="FG604" s="6"/>
      <c r="FH604" s="6"/>
      <c r="FI604" s="6"/>
      <c r="FJ604" s="6"/>
      <c r="FK604" s="6"/>
      <c r="FL604" s="6"/>
      <c r="FM604" s="6"/>
      <c r="FN604" s="6"/>
      <c r="FO604" s="6"/>
      <c r="FP604" s="6"/>
      <c r="FQ604" s="6"/>
      <c r="FR604" s="6"/>
      <c r="FS604" s="6"/>
      <c r="FT604" s="7"/>
      <c r="FU604" s="7"/>
      <c r="FV604" s="7"/>
      <c r="FW604" s="6"/>
      <c r="FX604" s="6"/>
      <c r="FY604" s="6"/>
      <c r="FZ604" s="6"/>
      <c r="GA604" s="6"/>
      <c r="GB604" s="6"/>
      <c r="GC604" s="7"/>
      <c r="GD604" s="7"/>
      <c r="GE604" s="7"/>
      <c r="GF604" s="7"/>
      <c r="GG604" s="7"/>
      <c r="GH604" s="42"/>
      <c r="GI604" s="6"/>
      <c r="GJ604" s="14"/>
      <c r="GK604" s="14"/>
      <c r="GL604" s="14"/>
      <c r="GM604" s="14"/>
      <c r="GO604" s="5"/>
      <c r="GP604" s="5"/>
      <c r="GQ604" s="5"/>
      <c r="GR604" s="5"/>
      <c r="GS604" s="5"/>
      <c r="GT604" s="5"/>
      <c r="GU604" s="5"/>
      <c r="GV604" s="39"/>
      <c r="GW604" s="5"/>
      <c r="GX604" s="5"/>
      <c r="GY604" s="5"/>
      <c r="GZ604" s="5"/>
      <c r="HA604" s="5"/>
      <c r="HB604" s="39"/>
      <c r="HC604" s="5"/>
      <c r="HD604" s="5"/>
      <c r="HE604" s="5"/>
      <c r="HF604" s="5"/>
      <c r="HG604" s="5"/>
      <c r="HH604" s="39"/>
      <c r="HI604" s="16"/>
      <c r="HJ604" s="19"/>
      <c r="HK604" s="1"/>
      <c r="HL604" s="16"/>
      <c r="HM604" s="639">
        <f t="shared" si="1755"/>
        <v>2.3149872625708352E-2</v>
      </c>
      <c r="HN604" s="639">
        <f t="shared" si="1756"/>
        <v>1.3965040474190958E-3</v>
      </c>
      <c r="HO604" s="639">
        <f t="shared" si="1757"/>
        <v>3.5429561340050734E-3</v>
      </c>
      <c r="HP604" s="644">
        <f t="shared" ref="HP604:ID604" si="1796">HP104+HP204+HP304+HP404+HP504</f>
        <v>-67.954837023153033</v>
      </c>
      <c r="HQ604" s="644">
        <f t="shared" si="1796"/>
        <v>97.265248561669353</v>
      </c>
      <c r="HR604" s="644">
        <f t="shared" si="1796"/>
        <v>-9.4310004795107414</v>
      </c>
      <c r="HS604" s="644">
        <f t="shared" si="1796"/>
        <v>-1.8862000959021483</v>
      </c>
      <c r="HT604" s="644">
        <f t="shared" si="1796"/>
        <v>226.44661691098167</v>
      </c>
      <c r="HU604" s="644">
        <f t="shared" si="1796"/>
        <v>1.8862000959021483</v>
      </c>
      <c r="HV604" s="644">
        <f t="shared" si="1796"/>
        <v>0</v>
      </c>
      <c r="HW604" s="644">
        <f t="shared" si="1796"/>
        <v>0</v>
      </c>
      <c r="HX604" s="644">
        <f t="shared" si="1796"/>
        <v>0</v>
      </c>
      <c r="HY604" s="644">
        <f t="shared" si="1796"/>
        <v>2396</v>
      </c>
      <c r="HZ604" s="644">
        <f t="shared" si="1796"/>
        <v>3223</v>
      </c>
      <c r="IA604" s="644">
        <f t="shared" si="1796"/>
        <v>830</v>
      </c>
      <c r="IB604" s="644">
        <f t="shared" si="1796"/>
        <v>2326.1589628809447</v>
      </c>
      <c r="IC604" s="644">
        <f t="shared" si="1796"/>
        <v>3546.711865472651</v>
      </c>
      <c r="ID604" s="644">
        <f t="shared" si="1796"/>
        <v>822.45519961639138</v>
      </c>
      <c r="IE604" s="20">
        <f t="shared" si="1759"/>
        <v>0.34743027496544965</v>
      </c>
      <c r="IF604" s="20">
        <f t="shared" si="1760"/>
        <v>0.52972952335048695</v>
      </c>
      <c r="IG604" s="20">
        <f t="shared" si="1761"/>
        <v>0.12284020168406325</v>
      </c>
      <c r="IH604" s="21"/>
      <c r="II604" s="19"/>
      <c r="IJ604" s="19"/>
      <c r="IK604" s="19"/>
      <c r="IL604" s="19">
        <f t="shared" si="1762"/>
        <v>1.1378518934116073</v>
      </c>
      <c r="IM604" s="19">
        <f t="shared" si="1763"/>
        <v>498.72334249473806</v>
      </c>
      <c r="IN604" s="19">
        <f t="shared" si="1764"/>
        <v>0.36466298668210584</v>
      </c>
      <c r="IO604" s="39"/>
      <c r="IP604" s="39"/>
      <c r="IQ604" s="39"/>
      <c r="IR604" s="39"/>
      <c r="IS604" s="39"/>
      <c r="IT604" s="39"/>
      <c r="IU604" s="39"/>
      <c r="IV604" s="39"/>
      <c r="IW604" s="39"/>
      <c r="IX604" s="19">
        <f t="shared" si="1765"/>
        <v>1554.1790484140233</v>
      </c>
      <c r="IY604" s="19">
        <f t="shared" si="1766"/>
        <v>2412.3001201524512</v>
      </c>
      <c r="IZ604" s="19">
        <f t="shared" si="1767"/>
        <v>3993.0862952928574</v>
      </c>
      <c r="JA604" s="19">
        <f t="shared" ref="JA604:JC604" si="1797">IFERROR((JA104*IB104+JA204*IB204+JA304*IB304+JA404*IB404+JA504*IB504)/IB604,0)</f>
        <v>1555.3169003074349</v>
      </c>
      <c r="JB604" s="19">
        <f t="shared" si="1797"/>
        <v>2911.0234626471893</v>
      </c>
      <c r="JC604" s="19">
        <f t="shared" si="1797"/>
        <v>3993.4509582795395</v>
      </c>
      <c r="JD604" s="19">
        <f t="shared" si="1769"/>
        <v>2572.9755707928771</v>
      </c>
      <c r="JE604" s="21"/>
      <c r="JF604" s="1">
        <f t="shared" si="1770"/>
        <v>2.6651855648468406E-2</v>
      </c>
      <c r="JG604" s="15">
        <f t="shared" si="1771"/>
        <v>6449</v>
      </c>
      <c r="JH604" s="1">
        <f t="shared" si="1772"/>
        <v>3.08255714979153E-3</v>
      </c>
      <c r="JI604" s="1">
        <f t="shared" si="1773"/>
        <v>3.5113446567061821E-2</v>
      </c>
      <c r="JJ604" s="1">
        <f t="shared" si="1774"/>
        <v>0</v>
      </c>
      <c r="JK604" s="1">
        <f t="shared" si="1775"/>
        <v>3.8196003716853354E-2</v>
      </c>
      <c r="JL604" s="15">
        <f t="shared" ref="JL604:JM604" si="1798">JL104+JL204+JL304+JL404+JL504</f>
        <v>246.32602796998728</v>
      </c>
      <c r="JM604" s="15">
        <f t="shared" si="1798"/>
        <v>6695.3260279699871</v>
      </c>
      <c r="JN604" s="21"/>
      <c r="JO604" s="19">
        <f>INDEX(Input!$1:$1048576,JO$93,$C604*2+6)</f>
        <v>5995.5</v>
      </c>
      <c r="JP604" s="19">
        <f>INDEX(Input!$1:$1048576,JP$93,$C604*2+6)</f>
        <v>2296.6050414551746</v>
      </c>
      <c r="JQ604" s="39">
        <f t="shared" ref="JQ604:JQ667" si="1799">JO604-JD604</f>
        <v>3422.5244292071229</v>
      </c>
      <c r="JR604" s="39">
        <f t="shared" ref="JR604:JR667" si="1800">JD604-JP604</f>
        <v>276.37052933770246</v>
      </c>
      <c r="JS604" s="39">
        <f t="shared" ref="JS604:JS667" si="1801">JM604*JD604/1000000</f>
        <v>17.226910308460486</v>
      </c>
      <c r="JT604" s="39">
        <f t="shared" ref="JT604:JT667" si="1802">(JD604*JM604-JP604*JG604)/1000000</f>
        <v>2.4161043961160646</v>
      </c>
      <c r="JU604" s="385">
        <f>(JQ604*JM604-INDEX(Input!$1:$1048576,Input!A$18,$C604*2+6)*JL604*INDEX(Input!$1:$1048576,Input!A$19,$C604*2+6))/1000000</f>
        <v>22.914916892233574</v>
      </c>
      <c r="JV604" s="39">
        <f t="shared" ref="JV604:JV667" si="1803">JU604-(JO604-JP604)*JG604/1000000</f>
        <v>-0.93925669542200296</v>
      </c>
      <c r="JW604" s="1">
        <f t="shared" ref="JW604:JW667" si="1804">JV604/(JU604-JV604)</f>
        <v>-3.9374941746381183E-2</v>
      </c>
      <c r="JX604" s="19">
        <f t="shared" ref="JX604:JX667" si="1805">IF(JL604=0,0,JT604/JL604)*1000000</f>
        <v>9808.5631308537395</v>
      </c>
      <c r="JZ604" s="468"/>
      <c r="KA604" s="472"/>
      <c r="KB604" s="469">
        <f t="shared" si="1778"/>
        <v>0</v>
      </c>
      <c r="KC604" s="472"/>
      <c r="KD604" s="472"/>
      <c r="KE604" s="472"/>
      <c r="KF604" s="472"/>
      <c r="KG604" s="792"/>
      <c r="KH604" s="472"/>
      <c r="KI604" s="472"/>
      <c r="KJ604" s="472"/>
      <c r="KK604" s="472"/>
      <c r="KL604" s="472"/>
      <c r="KN604" s="793">
        <f t="shared" si="1779"/>
        <v>6002</v>
      </c>
      <c r="KO604" s="541">
        <f t="shared" si="1780"/>
        <v>1.4398992717354453E-2</v>
      </c>
      <c r="KP604" s="546">
        <f t="shared" si="1781"/>
        <v>99.948243187629373</v>
      </c>
      <c r="KQ604" s="546">
        <f t="shared" si="1782"/>
        <v>110.14231418773215</v>
      </c>
      <c r="KR604" s="472">
        <f t="shared" si="1783"/>
        <v>2.5243220219166425</v>
      </c>
      <c r="KS604" s="472">
        <f t="shared" si="1784"/>
        <v>2.2906868553749224</v>
      </c>
      <c r="KT604" s="473">
        <f t="shared" si="1795"/>
        <v>4286.2445668946921</v>
      </c>
      <c r="KU604" s="663">
        <f t="shared" si="1785"/>
        <v>4.3655948217904159</v>
      </c>
      <c r="KV604" s="117"/>
    </row>
    <row r="605" spans="1:310" s="26" customFormat="1" ht="15">
      <c r="A605" s="561">
        <f t="shared" si="1751"/>
        <v>6005</v>
      </c>
      <c r="B605" s="561">
        <f t="shared" si="1786"/>
        <v>5</v>
      </c>
      <c r="C605" s="561">
        <f t="shared" si="1787"/>
        <v>6</v>
      </c>
      <c r="D605" s="561" t="s">
        <v>568</v>
      </c>
      <c r="E605" s="115">
        <f>INDEX(Input!$1:$1048576,E$93,$C605*2+MIN($B605,1)+5)</f>
        <v>1000.0000000000002</v>
      </c>
      <c r="F605" s="115">
        <f>INDEX(Input!$1:$1048576,F$93,$C605*2+MIN($B605,1)+5)</f>
        <v>0</v>
      </c>
      <c r="G605" s="115">
        <f>INDEX(Input!$1:$1048576,G$93,$C605*2+MIN($B605,1)+5)</f>
        <v>0</v>
      </c>
      <c r="H605" s="115">
        <f>INDEX(Input!$1:$1048576,H$93,$C605*2+MIN($B605,1)+5)</f>
        <v>0</v>
      </c>
      <c r="I605" s="118">
        <f>INDEX(Input!$1:$1048576,I$93,$C605*2+MIN($B605,1)+5)</f>
        <v>0.7</v>
      </c>
      <c r="J605" s="118" t="str">
        <f>INDEX(Input!$1:$1048576,J$93,$C605*2+MIN($B605,1)+5)</f>
        <v>Market</v>
      </c>
      <c r="K605" s="118" t="str">
        <f>INDEX(Input!$1:$1048576,K$93,$C605*2+MIN($B605,1)+5)</f>
        <v>Market</v>
      </c>
      <c r="L605" s="118" t="str">
        <f>INDEX(Input!$1:$1048576,L$93,$C605*2+MIN($B605,1)+5)</f>
        <v>Market</v>
      </c>
      <c r="M605" s="118" t="str">
        <f>INDEX(Input!$1:$1048576,M$93,$C605*2+MIN($B605,1)+5)</f>
        <v>Market</v>
      </c>
      <c r="N605" s="118" t="str">
        <f>INDEX(Input!$1:$1048576,N$93,$C605*2+MIN($B605,1)+5)</f>
        <v>Market</v>
      </c>
      <c r="O605" s="118" t="str">
        <f>INDEX(Input!$1:$1048576,O$93,$C605*2+MIN($B605,1)+5)</f>
        <v>Market</v>
      </c>
      <c r="P605" s="118" t="str">
        <f>INDEX(Input!$1:$1048576,P$93,$C605*2+MIN($B605,1)+5)</f>
        <v>N</v>
      </c>
      <c r="Q605" s="30">
        <f>INDEX(Input!$1:$1048576,Q$93,$C605*2+MIN($B605,1)+5)</f>
        <v>0</v>
      </c>
      <c r="R605" s="383">
        <f>INDEX(Input!$1:$1048576,R$93,$C605*2+MIN($B605,1)+5)</f>
        <v>0</v>
      </c>
      <c r="S605" s="383">
        <f>INDEX(Input!$1:$1048576,S$93,$C605*2+MIN($B605,1)+5)</f>
        <v>0</v>
      </c>
      <c r="T605" s="383">
        <f>INDEX(Input!$1:$1048576,T$93,$C605*2+MIN($B605,1)+5)</f>
        <v>0</v>
      </c>
      <c r="U605" s="383">
        <f>INDEX(Input!$1:$1048576,U$93,$C605*2+MIN($B605,1)+5)</f>
        <v>0</v>
      </c>
      <c r="V605" s="383">
        <f>INDEX(Input!$1:$1048576,V$93,$C605*2+MIN($B605,1)+5)</f>
        <v>1.9E-2</v>
      </c>
      <c r="W605" s="884">
        <f>INDEX(Input!$1:$1048576,W$93,$C605*2+MIN($B605,1)+5)</f>
        <v>3.9E-2</v>
      </c>
      <c r="X605" s="118" t="str">
        <f>INDEX(Input!$1:$1048576,X$93,$C605*2+MIN($B605,1)+5)</f>
        <v>Y</v>
      </c>
      <c r="Y605" s="475">
        <f>INDEX(Input!$1:$1048576,Y$93,$C605*2+MIN($B605,1)+5)+500</f>
        <v>1716.1623510528204</v>
      </c>
      <c r="Z605" s="30">
        <f>INDEX(Input!$1:$1048576,Z$93,$C605*2+MIN($B605,1)+5)</f>
        <v>0</v>
      </c>
      <c r="AA605" s="115">
        <f>INDEX(Input!$1:$1048576,AA$93,$C605*2+MIN($B605,1)+5)</f>
        <v>1000</v>
      </c>
      <c r="AB605" s="118">
        <f>INDEX(Input!$1:$1048576,AB$93,$C605*2+MIN($B605,1)+5)</f>
        <v>0.27</v>
      </c>
      <c r="AC605" s="115">
        <f>INDEX(Input!$1:$1048576,AC$93,$C605*2+MIN($B605,1)+5)</f>
        <v>1000</v>
      </c>
      <c r="AD605" s="118">
        <f>INDEX(Input!$1:$1048576,AD$93,$C605*2+MIN($B605,1)+5)</f>
        <v>0.27</v>
      </c>
      <c r="AE605" s="115">
        <f>INDEX(Input!$1:$1048576,AE$93,$C605*2+MIN($B605,1)+5)</f>
        <v>0</v>
      </c>
      <c r="AF605" s="118">
        <f>INDEX(Input!$1:$1048576,AF$93,$C605*2+MIN($B605,1)+5)</f>
        <v>1</v>
      </c>
      <c r="AG605" s="115">
        <f>INDEX(Input!$1:$1048576,AG$93,$C605*2+MIN($B605,1)+5)</f>
        <v>0</v>
      </c>
      <c r="AH605" s="118">
        <f>INDEX(Input!$1:$1048576,AH$93,$C605*2+MIN($B605,1)+5)</f>
        <v>1</v>
      </c>
      <c r="AI605" s="115">
        <f>INDEX(Input!$1:$1048576,AI$93,$C605*2+MIN($B605,1)+5)</f>
        <v>0</v>
      </c>
      <c r="AJ605" s="118">
        <f>INDEX(Input!$1:$1048576,AJ$93,$C605*2+MIN($B605,1)+5)</f>
        <v>0.27</v>
      </c>
      <c r="AK605" s="150">
        <f>ROUND(INDEX(Input!$1:$1048576,AK$93,$C604*2+MIN($B605,1)+5)+(Y605-VLOOKUP($C605*1000+1,$A:$HH,Y$92,FALSE)),0)</f>
        <v>4039</v>
      </c>
      <c r="AL605" s="150">
        <f>ROUND(INDEX(Input!$1:$1048576,AL$93,$C604*2+MIN($B605,1)+5)-(Y605-VLOOKUP($C605*1000+1,$A:$HH,Y$92,FALSE))/36,0)</f>
        <v>3525</v>
      </c>
      <c r="AM605" s="32" t="str">
        <f t="shared" si="1752"/>
        <v>std/std/std/std</v>
      </c>
      <c r="AN605" s="32" t="str">
        <f t="shared" si="1753"/>
        <v>$0 + 0/0/0/1.9/3.9</v>
      </c>
      <c r="AO605" s="32" t="str">
        <f t="shared" si="1754"/>
        <v>0/0/0/1.9/3.9</v>
      </c>
      <c r="AP605" s="32" t="str">
        <f t="shared" si="1716"/>
        <v>0/0.9/1.9/3.9</v>
      </c>
      <c r="AQ605" s="536">
        <f t="shared" si="1717"/>
        <v>270.34213373959682</v>
      </c>
      <c r="AR605" s="32"/>
      <c r="AS605" s="302"/>
      <c r="AT605" s="3">
        <f t="shared" si="1788"/>
        <v>5</v>
      </c>
      <c r="AU605" s="41" t="s">
        <v>121</v>
      </c>
      <c r="AV605" s="41" t="s">
        <v>116</v>
      </c>
      <c r="AW605" s="41" t="str">
        <f>INDEX(Input!$1:$1048576,AW$93,$C605*2+6)</f>
        <v>Kia</v>
      </c>
      <c r="AX605" s="41" t="str">
        <f>INDEX(Input!$1:$1048576,AX$93,$C605*2+6)</f>
        <v>National</v>
      </c>
      <c r="AY605" s="41" t="str">
        <f>IF(LEN(D605)=0,"",INDEX(Input!$1:$1048576,AY$93,$C605*2+6))</f>
        <v>Compact SUV (52)</v>
      </c>
      <c r="AZ605" s="41" t="str">
        <f>INDEX(Input!$1:$1048576,AZ$93,$C605*2+6)</f>
        <v>Kia Soul</v>
      </c>
      <c r="BA605" s="3">
        <f>INDEX(Input!$1:$1048576,BA$93,$C605*2+6)</f>
        <v>2020</v>
      </c>
      <c r="BB605" s="128">
        <f>INDEX(Input!$1:$1048576,BB$93,$C605*2+6)</f>
        <v>1</v>
      </c>
      <c r="BC605" s="128">
        <f>INDEX(Input!$1:$1048576,BC$93,$C605*2+6)</f>
        <v>0.7</v>
      </c>
      <c r="BD605" s="1">
        <f>INDEX(Input!$1:$1048576,BD$93,$C605*2+6)</f>
        <v>4.4999999999999998E-2</v>
      </c>
      <c r="BE605" s="1">
        <f>INDEX(Input!$1:$1048576,BE$93,$C605*2+6)</f>
        <v>4.4999999999999998E-2</v>
      </c>
      <c r="BF605" s="1">
        <f>INDEX(Input!$1:$1048576,BF$93,$C605*2+6)</f>
        <v>0.05</v>
      </c>
      <c r="BG605" s="1">
        <f>INDEX(Input!$1:$1048576,BG$93,$C605*2+6)</f>
        <v>5.45E-2</v>
      </c>
      <c r="BH605" s="1">
        <f>INDEX(Input!$1:$1048576,BH$93,$C605*2+6)</f>
        <v>5.45E-2</v>
      </c>
      <c r="BI605" s="1">
        <f>INDEX(Input!$1:$1048576,BI$93,$C605*2+6)</f>
        <v>0.05</v>
      </c>
      <c r="BJ605" s="1">
        <f>INDEX(Input!$1:$1048576,BJ$93,$C605*2+6)</f>
        <v>0.05</v>
      </c>
      <c r="BK605" s="1">
        <f>INDEX(Input!$1:$1048576,BK$93,$C605*2+6)</f>
        <v>0.05</v>
      </c>
      <c r="BL605" s="1">
        <f>INDEX(Input!$1:$1048576,BL$93,$C605*2+6)</f>
        <v>5.5E-2</v>
      </c>
      <c r="BM605" s="1">
        <f>INDEX(Input!$1:$1048576,BM$93,$C605*2+6)</f>
        <v>0.06</v>
      </c>
      <c r="BN605" s="1">
        <f>INDEX(Input!$1:$1048576,BN$93,$C605*2+6)</f>
        <v>4.4999999999999998E-2</v>
      </c>
      <c r="BO605" s="1">
        <f>INDEX(Input!$1:$1048576,BO$93,$C605*2+6)</f>
        <v>4.4999999999999998E-2</v>
      </c>
      <c r="BP605" s="1">
        <f>INDEX(Input!$1:$1048576,BP$93,$C605*2+6)</f>
        <v>0.05</v>
      </c>
      <c r="BQ605" s="1">
        <f>INDEX(Input!$1:$1048576,BQ$93,$C605*2+6)</f>
        <v>5.45E-2</v>
      </c>
      <c r="BR605" s="1">
        <f>INDEX(Input!$1:$1048576,BR$93,$C605*2+6)</f>
        <v>5.45E-2</v>
      </c>
      <c r="BS605" s="1">
        <f>INDEX(Input!$1:$1048576,BS$93,$C605*2+6)</f>
        <v>0.05</v>
      </c>
      <c r="BT605" s="1">
        <f>INDEX(Input!$1:$1048576,BT$93,$C605*2+6)</f>
        <v>0.05</v>
      </c>
      <c r="BU605" s="1">
        <f>INDEX(Input!$1:$1048576,BU$93,$C605*2+6)</f>
        <v>0.05</v>
      </c>
      <c r="BV605" s="1">
        <f>INDEX(Input!$1:$1048576,BV$93,$C605*2+6)</f>
        <v>5.5E-2</v>
      </c>
      <c r="BW605" s="1">
        <f>INDEX(Input!$1:$1048576,BW$93,$C605*2+6)</f>
        <v>0.06</v>
      </c>
      <c r="BX605" s="127">
        <f>INDEX(Input!$1:$1048576,BX$93,$C605*2+6)</f>
        <v>19985</v>
      </c>
      <c r="BY605" s="20">
        <f>INDEX(Input!$1:$1048576,BY$93,$C605*2+6)</f>
        <v>0.1</v>
      </c>
      <c r="BZ605" s="20">
        <f>INDEX(Input!$1:$1048576,BZ$93,$C605*2+6)</f>
        <v>0.1</v>
      </c>
      <c r="CA605" s="20">
        <f>INDEX(Input!$1:$1048576,CA$93,$C605*2+6)</f>
        <v>0.1</v>
      </c>
      <c r="CB605" s="20">
        <f>INDEX(Input!$1:$1048576,CB$93,$C605*2+6)</f>
        <v>0.1</v>
      </c>
      <c r="CC605" s="20">
        <f>INDEX(Input!$1:$1048576,CC$93,$C605*2+6)</f>
        <v>0.1</v>
      </c>
      <c r="CD605" s="384">
        <f>INDEX(Input!$1:$1048576,CD$93,$C605*2+6)</f>
        <v>0.1</v>
      </c>
      <c r="CE605" s="384">
        <f>INDEX(Input!$1:$1048576,CE$93,$C605*2+6)</f>
        <v>0.1</v>
      </c>
      <c r="CF605" s="384">
        <f>INDEX(Input!$1:$1048576,CF$93,$C605*2+6)</f>
        <v>0.1</v>
      </c>
      <c r="CG605" s="384">
        <f>INDEX(Input!$1:$1048576,CG$93,$C605*2+6)</f>
        <v>0.1</v>
      </c>
      <c r="CH605" s="384">
        <f>INDEX(Input!$1:$1048576,CH$93,$C605*2+6)</f>
        <v>0.1</v>
      </c>
      <c r="CI605" s="304">
        <f t="shared" si="1718"/>
        <v>1270.0000000000002</v>
      </c>
      <c r="CJ605" s="16" t="str">
        <f>INDEX(Input!$1:$1048576,CJ$93,$C605*2+6)</f>
        <v>N</v>
      </c>
      <c r="CK605" s="1" t="str">
        <f t="shared" si="1719"/>
        <v>Market</v>
      </c>
      <c r="CL605" s="1" t="str">
        <f t="shared" si="1720"/>
        <v>Market</v>
      </c>
      <c r="CM605" s="1" t="str">
        <f t="shared" si="1721"/>
        <v>Market</v>
      </c>
      <c r="CN605" s="1" t="str">
        <f t="shared" si="1722"/>
        <v>Market</v>
      </c>
      <c r="CO605" s="1" t="str">
        <f t="shared" si="1723"/>
        <v>Market</v>
      </c>
      <c r="CP605" s="304">
        <f t="shared" si="1724"/>
        <v>0</v>
      </c>
      <c r="CQ605" s="1">
        <f t="shared" si="1725"/>
        <v>0</v>
      </c>
      <c r="CR605" s="1">
        <f t="shared" si="1726"/>
        <v>0</v>
      </c>
      <c r="CS605" s="1">
        <f t="shared" si="1727"/>
        <v>0</v>
      </c>
      <c r="CT605" s="1">
        <f t="shared" si="1728"/>
        <v>1.9E-2</v>
      </c>
      <c r="CU605" s="1">
        <f t="shared" si="1729"/>
        <v>3.9E-2</v>
      </c>
      <c r="CV605" s="304">
        <f t="shared" si="1730"/>
        <v>1986.1623510528204</v>
      </c>
      <c r="CW605" s="20" t="s">
        <v>122</v>
      </c>
      <c r="CX605" s="20" t="s">
        <v>122</v>
      </c>
      <c r="CY605" s="20" t="s">
        <v>122</v>
      </c>
      <c r="CZ605" s="20" t="s">
        <v>122</v>
      </c>
      <c r="DA605" s="20" t="s">
        <v>122</v>
      </c>
      <c r="DB605" s="503">
        <f t="shared" si="1731"/>
        <v>0</v>
      </c>
      <c r="DC605" s="127">
        <v>0</v>
      </c>
      <c r="DD605" s="127">
        <v>0</v>
      </c>
      <c r="DE605" s="127">
        <v>0</v>
      </c>
      <c r="DF605" s="127">
        <v>0</v>
      </c>
      <c r="DG605" s="127">
        <v>0</v>
      </c>
      <c r="DH605" s="127">
        <v>0</v>
      </c>
      <c r="DI605" s="127">
        <v>0</v>
      </c>
      <c r="DJ605" s="127">
        <v>0</v>
      </c>
      <c r="DK605" s="127">
        <v>0</v>
      </c>
      <c r="DL605" s="127">
        <v>0</v>
      </c>
      <c r="DM605" s="304">
        <f>INDEX(Input!$1:$1048576,DM$93,$C605*2+6)</f>
        <v>21036.84210526316</v>
      </c>
      <c r="DN605" s="20">
        <v>0</v>
      </c>
      <c r="DO605" s="20">
        <v>0</v>
      </c>
      <c r="DP605" s="20">
        <v>0</v>
      </c>
      <c r="DQ605" s="20">
        <v>0</v>
      </c>
      <c r="DR605" s="20">
        <v>0</v>
      </c>
      <c r="DS605" s="20">
        <f>INDEX(Input!$1:$1048576,DS$93,$C605*2+6)</f>
        <v>0.6</v>
      </c>
      <c r="DT605" s="20">
        <f>INDEX(Input!$1:$1048576,DT$93,$C605*2+6)</f>
        <v>0.55000000000000004</v>
      </c>
      <c r="DU605" s="20">
        <f>INDEX(Input!$1:$1048576,DU$93,$C605*2+6)</f>
        <v>0.52</v>
      </c>
      <c r="DV605" s="20">
        <f>INDEX(Input!$1:$1048576,DV$93,$C605*2+6)</f>
        <v>0.5</v>
      </c>
      <c r="DW605" s="20">
        <f>INDEX(Input!$1:$1048576,DW$93,$C605*2+6)</f>
        <v>0.45</v>
      </c>
      <c r="DX605" s="20"/>
      <c r="DY605" s="7"/>
      <c r="DZ605" s="7"/>
      <c r="EA605" s="7"/>
      <c r="EB605" s="7"/>
      <c r="EC605" s="7"/>
      <c r="ED605" s="7"/>
      <c r="EE605" s="7"/>
      <c r="EF605" s="7"/>
      <c r="EG605" s="7"/>
      <c r="EH605" s="7"/>
      <c r="EI605" s="7"/>
      <c r="EJ605" s="7"/>
      <c r="EK605" s="7"/>
      <c r="EL605" s="7"/>
      <c r="EM605" s="7"/>
      <c r="EN605" s="7"/>
      <c r="EO605" s="7"/>
      <c r="EP605" s="7"/>
      <c r="EQ605" s="7"/>
      <c r="ER605" s="7"/>
      <c r="ES605" s="7"/>
      <c r="ET605" s="7"/>
      <c r="EU605" s="6"/>
      <c r="EV605" s="6"/>
      <c r="EW605" s="6"/>
      <c r="EX605" s="6"/>
      <c r="EY605" s="6"/>
      <c r="EZ605" s="6"/>
      <c r="FA605" s="6"/>
      <c r="FB605" s="6"/>
      <c r="FC605" s="6"/>
      <c r="FD605" s="6"/>
      <c r="FE605" s="6"/>
      <c r="FF605" s="6"/>
      <c r="FG605" s="6"/>
      <c r="FH605" s="6"/>
      <c r="FI605" s="6"/>
      <c r="FJ605" s="6"/>
      <c r="FK605" s="6"/>
      <c r="FL605" s="6"/>
      <c r="FM605" s="6"/>
      <c r="FN605" s="6"/>
      <c r="FO605" s="6"/>
      <c r="FP605" s="6"/>
      <c r="FQ605" s="6"/>
      <c r="FR605" s="6"/>
      <c r="FS605" s="6"/>
      <c r="FT605" s="7"/>
      <c r="FU605" s="7"/>
      <c r="FV605" s="7"/>
      <c r="FW605" s="6"/>
      <c r="FX605" s="6"/>
      <c r="FY605" s="6"/>
      <c r="FZ605" s="6"/>
      <c r="GA605" s="6"/>
      <c r="GB605" s="6"/>
      <c r="GC605" s="7"/>
      <c r="GD605" s="7"/>
      <c r="GE605" s="7"/>
      <c r="GF605" s="7"/>
      <c r="GG605" s="7"/>
      <c r="GH605" s="42"/>
      <c r="GI605" s="6"/>
      <c r="GJ605" s="14"/>
      <c r="GK605" s="14"/>
      <c r="GL605" s="14"/>
      <c r="GM605" s="14"/>
      <c r="GO605" s="5"/>
      <c r="GP605" s="5"/>
      <c r="GQ605" s="5"/>
      <c r="GR605" s="5"/>
      <c r="GS605" s="5"/>
      <c r="GT605" s="5"/>
      <c r="GU605" s="5"/>
      <c r="GV605" s="39"/>
      <c r="GW605" s="5"/>
      <c r="GX605" s="5"/>
      <c r="GY605" s="5"/>
      <c r="GZ605" s="5"/>
      <c r="HA605" s="5"/>
      <c r="HB605" s="39"/>
      <c r="HC605" s="5"/>
      <c r="HD605" s="5"/>
      <c r="HE605" s="5"/>
      <c r="HF605" s="5"/>
      <c r="HG605" s="5"/>
      <c r="HH605" s="39"/>
      <c r="HI605" s="16"/>
      <c r="HJ605" s="19"/>
      <c r="HK605" s="1"/>
      <c r="HL605" s="16"/>
      <c r="HM605" s="639">
        <f t="shared" si="1755"/>
        <v>2.3149872625708352E-2</v>
      </c>
      <c r="HN605" s="639">
        <f t="shared" si="1756"/>
        <v>1.3965040474190958E-3</v>
      </c>
      <c r="HO605" s="639">
        <f t="shared" si="1757"/>
        <v>3.5429561340050734E-3</v>
      </c>
      <c r="HP605" s="644">
        <f t="shared" ref="HP605:ID605" si="1806">HP105+HP205+HP305+HP405+HP505</f>
        <v>-154.5904446747528</v>
      </c>
      <c r="HQ605" s="644">
        <f t="shared" si="1806"/>
        <v>-11.404827962866015</v>
      </c>
      <c r="HR605" s="644">
        <f t="shared" si="1806"/>
        <v>230.12829576121982</v>
      </c>
      <c r="HS605" s="644">
        <f t="shared" si="1806"/>
        <v>6.1526700622088792E-4</v>
      </c>
      <c r="HT605" s="644">
        <f t="shared" si="1806"/>
        <v>-7.5649473722719934E-2</v>
      </c>
      <c r="HU605" s="644">
        <f t="shared" si="1806"/>
        <v>38.211035978415282</v>
      </c>
      <c r="HV605" s="644">
        <f t="shared" si="1806"/>
        <v>0</v>
      </c>
      <c r="HW605" s="644">
        <f t="shared" si="1806"/>
        <v>0</v>
      </c>
      <c r="HX605" s="644">
        <f t="shared" si="1806"/>
        <v>0</v>
      </c>
      <c r="HY605" s="644">
        <f t="shared" si="1806"/>
        <v>2396</v>
      </c>
      <c r="HZ605" s="644">
        <f t="shared" si="1806"/>
        <v>3223</v>
      </c>
      <c r="IA605" s="644">
        <f t="shared" si="1806"/>
        <v>830</v>
      </c>
      <c r="IB605" s="644">
        <f t="shared" si="1806"/>
        <v>2241.4101705922535</v>
      </c>
      <c r="IC605" s="644">
        <f t="shared" si="1806"/>
        <v>3211.5195225634111</v>
      </c>
      <c r="ID605" s="644">
        <f t="shared" si="1806"/>
        <v>1098.3393317396351</v>
      </c>
      <c r="IE605" s="20">
        <f t="shared" si="1759"/>
        <v>0.34213373959682186</v>
      </c>
      <c r="IF605" s="20">
        <f t="shared" si="1760"/>
        <v>0.49021334803370203</v>
      </c>
      <c r="IG605" s="20">
        <f t="shared" si="1761"/>
        <v>0.16765291236947616</v>
      </c>
      <c r="IH605" s="21"/>
      <c r="II605" s="19"/>
      <c r="IJ605" s="19"/>
      <c r="IK605" s="19"/>
      <c r="IL605" s="19">
        <f t="shared" si="1762"/>
        <v>5.4575102213452737</v>
      </c>
      <c r="IM605" s="19">
        <f t="shared" si="1763"/>
        <v>0.20314773206655445</v>
      </c>
      <c r="IN605" s="19">
        <f t="shared" si="1764"/>
        <v>497.02986068639711</v>
      </c>
      <c r="IO605" s="39"/>
      <c r="IP605" s="39"/>
      <c r="IQ605" s="39"/>
      <c r="IR605" s="39"/>
      <c r="IS605" s="39"/>
      <c r="IT605" s="39"/>
      <c r="IU605" s="39"/>
      <c r="IV605" s="39"/>
      <c r="IW605" s="39"/>
      <c r="IX605" s="19">
        <f t="shared" si="1765"/>
        <v>1554.1790484140233</v>
      </c>
      <c r="IY605" s="19">
        <f t="shared" si="1766"/>
        <v>2412.3001201524512</v>
      </c>
      <c r="IZ605" s="19">
        <f t="shared" si="1767"/>
        <v>3993.0862952928574</v>
      </c>
      <c r="JA605" s="19">
        <f t="shared" ref="JA605:JC605" si="1807">IFERROR((JA105*IB105+JA205*IB205+JA305*IB305+JA405*IB405+JA505*IB505)/IB605,0)</f>
        <v>1559.6365586353686</v>
      </c>
      <c r="JB605" s="19">
        <f t="shared" si="1807"/>
        <v>2412.5032678845178</v>
      </c>
      <c r="JC605" s="19">
        <f t="shared" si="1807"/>
        <v>4490.1161559792545</v>
      </c>
      <c r="JD605" s="19">
        <f t="shared" si="1769"/>
        <v>2469.0266427369124</v>
      </c>
      <c r="JE605" s="21"/>
      <c r="JF605" s="1">
        <f t="shared" si="1770"/>
        <v>2.6651855648468406E-2</v>
      </c>
      <c r="JG605" s="15">
        <f t="shared" si="1771"/>
        <v>6449</v>
      </c>
      <c r="JH605" s="1">
        <f t="shared" si="1772"/>
        <v>9.9446461658553257E-3</v>
      </c>
      <c r="JI605" s="1">
        <f t="shared" si="1773"/>
        <v>5.9134752320823044E-3</v>
      </c>
      <c r="JJ605" s="1">
        <f t="shared" si="1774"/>
        <v>0</v>
      </c>
      <c r="JK605" s="1">
        <f t="shared" si="1775"/>
        <v>1.5858121397937634E-2</v>
      </c>
      <c r="JL605" s="15">
        <f t="shared" ref="JL605:JM605" si="1808">JL105+JL205+JL305+JL405+JL505</f>
        <v>102.26902489529979</v>
      </c>
      <c r="JM605" s="15">
        <f t="shared" si="1808"/>
        <v>6551.2690248952995</v>
      </c>
      <c r="JN605" s="21"/>
      <c r="JO605" s="19">
        <f>INDEX(Input!$1:$1048576,JO$93,$C605*2+6)</f>
        <v>5995.5</v>
      </c>
      <c r="JP605" s="19">
        <f>INDEX(Input!$1:$1048576,JP$93,$C605*2+6)</f>
        <v>2296.6050414551746</v>
      </c>
      <c r="JQ605" s="39">
        <f t="shared" si="1799"/>
        <v>3526.4733572630876</v>
      </c>
      <c r="JR605" s="39">
        <f t="shared" si="1800"/>
        <v>172.42160128173782</v>
      </c>
      <c r="JS605" s="39">
        <f t="shared" si="1801"/>
        <v>16.175257766203568</v>
      </c>
      <c r="JT605" s="39">
        <f t="shared" si="1802"/>
        <v>1.364451853859147</v>
      </c>
      <c r="JU605" s="385">
        <f>(JQ605*JM605-INDEX(Input!$1:$1048576,Input!A$18,$C605*2+6)*JL605*INDEX(Input!$1:$1048576,Input!A$19,$C605*2+6))/1000000</f>
        <v>23.102875672556198</v>
      </c>
      <c r="JV605" s="39">
        <f t="shared" si="1803"/>
        <v>-0.7512979150993786</v>
      </c>
      <c r="JW605" s="1">
        <f t="shared" si="1804"/>
        <v>-3.1495449311569182E-2</v>
      </c>
      <c r="JX605" s="19">
        <f t="shared" si="1805"/>
        <v>13341.790001968195</v>
      </c>
      <c r="JZ605" s="468"/>
      <c r="KA605" s="472"/>
      <c r="KB605" s="469">
        <f t="shared" si="1778"/>
        <v>0</v>
      </c>
      <c r="KC605" s="472"/>
      <c r="KD605" s="472"/>
      <c r="KE605" s="472"/>
      <c r="KF605" s="472"/>
      <c r="KG605" s="792"/>
      <c r="KH605" s="472"/>
      <c r="KI605" s="472"/>
      <c r="KJ605" s="472"/>
      <c r="KK605" s="472"/>
      <c r="KL605" s="472"/>
      <c r="KN605" s="793">
        <f t="shared" si="1779"/>
        <v>6002</v>
      </c>
      <c r="KO605" s="541">
        <f t="shared" si="1780"/>
        <v>-7.4268718040108039E-3</v>
      </c>
      <c r="KP605" s="546">
        <f t="shared" si="1781"/>
        <v>-75.306081301444152</v>
      </c>
      <c r="KQ605" s="546">
        <f t="shared" si="1782"/>
        <v>6.193386131767511</v>
      </c>
      <c r="KR605" s="472">
        <f t="shared" si="1783"/>
        <v>1.728079377955887</v>
      </c>
      <c r="KS605" s="472">
        <f t="shared" si="1784"/>
        <v>-21.0119122823941</v>
      </c>
      <c r="KT605" s="473">
        <f t="shared" si="1795"/>
        <v>4286.2445668946921</v>
      </c>
      <c r="KU605" s="663">
        <f t="shared" si="1785"/>
        <v>4.2773504312888866</v>
      </c>
      <c r="KV605" s="117"/>
    </row>
    <row r="606" spans="1:310" s="26" customFormat="1" ht="15">
      <c r="A606" s="561">
        <f t="shared" si="1751"/>
        <v>6006</v>
      </c>
      <c r="B606" s="561">
        <f t="shared" si="1786"/>
        <v>6</v>
      </c>
      <c r="C606" s="561">
        <f t="shared" si="1787"/>
        <v>6</v>
      </c>
      <c r="D606" s="561" t="s">
        <v>742</v>
      </c>
      <c r="E606" s="115">
        <f>INDEX(Input!$1:$1048576,E$93,$C606*2+MIN($B606,1)+5)</f>
        <v>1000.0000000000002</v>
      </c>
      <c r="F606" s="115">
        <f>INDEX(Input!$1:$1048576,F$93,$C606*2+MIN($B606,1)+5)</f>
        <v>0</v>
      </c>
      <c r="G606" s="115">
        <f>INDEX(Input!$1:$1048576,G$93,$C606*2+MIN($B606,1)+5)</f>
        <v>0</v>
      </c>
      <c r="H606" s="115">
        <f>INDEX(Input!$1:$1048576,H$93,$C606*2+MIN($B606,1)+5)</f>
        <v>0</v>
      </c>
      <c r="I606" s="118">
        <f>INDEX(Input!$1:$1048576,I$93,$C606*2+MIN($B606,1)+5)</f>
        <v>0.7</v>
      </c>
      <c r="J606" s="118" t="str">
        <f>INDEX(Input!$1:$1048576,J$93,$C606*2+MIN($B606,1)+5)</f>
        <v>Market</v>
      </c>
      <c r="K606" s="118" t="str">
        <f>INDEX(Input!$1:$1048576,K$93,$C606*2+MIN($B606,1)+5)</f>
        <v>Market</v>
      </c>
      <c r="L606" s="118" t="str">
        <f>INDEX(Input!$1:$1048576,L$93,$C606*2+MIN($B606,1)+5)</f>
        <v>Market</v>
      </c>
      <c r="M606" s="118" t="str">
        <f>INDEX(Input!$1:$1048576,M$93,$C606*2+MIN($B606,1)+5)</f>
        <v>Market</v>
      </c>
      <c r="N606" s="118" t="str">
        <f>INDEX(Input!$1:$1048576,N$93,$C606*2+MIN($B606,1)+5)</f>
        <v>Market</v>
      </c>
      <c r="O606" s="118" t="str">
        <f>INDEX(Input!$1:$1048576,O$93,$C606*2+MIN($B606,1)+5)</f>
        <v>Market</v>
      </c>
      <c r="P606" s="118" t="str">
        <f>INDEX(Input!$1:$1048576,P$93,$C606*2+MIN($B606,1)+5)</f>
        <v>N</v>
      </c>
      <c r="Q606" s="30">
        <f>INDEX(Input!$1:$1048576,Q$93,$C606*2+MIN($B606,1)+5)</f>
        <v>0</v>
      </c>
      <c r="R606" s="383">
        <f>INDEX(Input!$1:$1048576,R$93,$C606*2+MIN($B606,1)+5)</f>
        <v>0</v>
      </c>
      <c r="S606" s="383">
        <f>INDEX(Input!$1:$1048576,S$93,$C606*2+MIN($B606,1)+5)</f>
        <v>0</v>
      </c>
      <c r="T606" s="383">
        <f>INDEX(Input!$1:$1048576,T$93,$C606*2+MIN($B606,1)+5)</f>
        <v>0</v>
      </c>
      <c r="U606" s="383">
        <f>INDEX(Input!$1:$1048576,U$93,$C606*2+MIN($B606,1)+5)</f>
        <v>0</v>
      </c>
      <c r="V606" s="383">
        <f>INDEX(Input!$1:$1048576,V$93,$C606*2+MIN($B606,1)+5)</f>
        <v>1.9E-2</v>
      </c>
      <c r="W606" s="884">
        <f>INDEX(Input!$1:$1048576,W$93,$C606*2+MIN($B606,1)+5)</f>
        <v>3.9E-2</v>
      </c>
      <c r="X606" s="118" t="str">
        <f>INDEX(Input!$1:$1048576,X$93,$C606*2+MIN($B606,1)+5)</f>
        <v>Y</v>
      </c>
      <c r="Y606" s="150">
        <f>INDEX(Input!$1:$1048576,Y$93,$C606*2+MIN($B606,1)+5)</f>
        <v>1216.1623510528204</v>
      </c>
      <c r="Z606" s="477">
        <f>INDEX(Input!$1:$1048576,Z$93,$C606*2+MIN($B606,1)+5)+500</f>
        <v>500</v>
      </c>
      <c r="AA606" s="115">
        <f>INDEX(Input!$1:$1048576,AA$93,$C606*2+MIN($B606,1)+5)</f>
        <v>1000</v>
      </c>
      <c r="AB606" s="118">
        <f>INDEX(Input!$1:$1048576,AB$93,$C606*2+MIN($B606,1)+5)</f>
        <v>0.27</v>
      </c>
      <c r="AC606" s="115">
        <f>INDEX(Input!$1:$1048576,AC$93,$C606*2+MIN($B606,1)+5)</f>
        <v>1000</v>
      </c>
      <c r="AD606" s="118">
        <f>INDEX(Input!$1:$1048576,AD$93,$C606*2+MIN($B606,1)+5)</f>
        <v>0.27</v>
      </c>
      <c r="AE606" s="115">
        <f>INDEX(Input!$1:$1048576,AE$93,$C606*2+MIN($B606,1)+5)</f>
        <v>0</v>
      </c>
      <c r="AF606" s="118">
        <f>INDEX(Input!$1:$1048576,AF$93,$C606*2+MIN($B606,1)+5)</f>
        <v>1</v>
      </c>
      <c r="AG606" s="115">
        <f>INDEX(Input!$1:$1048576,AG$93,$C606*2+MIN($B606,1)+5)</f>
        <v>0</v>
      </c>
      <c r="AH606" s="118">
        <f>INDEX(Input!$1:$1048576,AH$93,$C606*2+MIN($B606,1)+5)</f>
        <v>1</v>
      </c>
      <c r="AI606" s="115">
        <f>INDEX(Input!$1:$1048576,AI$93,$C606*2+MIN($B606,1)+5)</f>
        <v>0</v>
      </c>
      <c r="AJ606" s="118">
        <f>INDEX(Input!$1:$1048576,AJ$93,$C606*2+MIN($B606,1)+5)</f>
        <v>0.27</v>
      </c>
      <c r="AK606" s="150">
        <f>ROUND(INDEX(Input!$1:$1048576,AK$93,$C605*2+MIN($B606,1)+5)+(Y606-VLOOKUP($C606*1000+1,$A:$HH,Y$92,FALSE)),0)</f>
        <v>3539</v>
      </c>
      <c r="AL606" s="150">
        <f>ROUND(INDEX(Input!$1:$1048576,AL$93,$C605*2+MIN($B606,1)+5)-(Y606-VLOOKUP($C606*1000+1,$A:$HH,Y$92,FALSE))/36,0)</f>
        <v>3539</v>
      </c>
      <c r="AM606" s="32" t="str">
        <f t="shared" si="1752"/>
        <v>std/std/std/std</v>
      </c>
      <c r="AN606" s="32" t="str">
        <f t="shared" si="1753"/>
        <v>$0 + 0/0/0/1.9/3.9</v>
      </c>
      <c r="AO606" s="32" t="str">
        <f t="shared" si="1754"/>
        <v>0/0/0/1.9/3.9</v>
      </c>
      <c r="AP606" s="32" t="str">
        <f t="shared" si="1716"/>
        <v>0/0.9/1.9/3.9</v>
      </c>
      <c r="AQ606" s="536">
        <f t="shared" si="1717"/>
        <v>270.36528431327292</v>
      </c>
      <c r="AR606" s="32"/>
      <c r="AS606" s="302"/>
      <c r="AT606" s="3">
        <f t="shared" si="1788"/>
        <v>6</v>
      </c>
      <c r="AU606" s="41" t="s">
        <v>121</v>
      </c>
      <c r="AV606" s="41" t="s">
        <v>116</v>
      </c>
      <c r="AW606" s="41" t="str">
        <f>INDEX(Input!$1:$1048576,AW$93,$C606*2+6)</f>
        <v>Kia</v>
      </c>
      <c r="AX606" s="41" t="str">
        <f>INDEX(Input!$1:$1048576,AX$93,$C606*2+6)</f>
        <v>National</v>
      </c>
      <c r="AY606" s="41" t="str">
        <f>IF(LEN(D606)=0,"",INDEX(Input!$1:$1048576,AY$93,$C606*2+6))</f>
        <v>Compact SUV (52)</v>
      </c>
      <c r="AZ606" s="41" t="str">
        <f>INDEX(Input!$1:$1048576,AZ$93,$C606*2+6)</f>
        <v>Kia Soul</v>
      </c>
      <c r="BA606" s="3">
        <f>INDEX(Input!$1:$1048576,BA$93,$C606*2+6)</f>
        <v>2020</v>
      </c>
      <c r="BB606" s="128">
        <f>INDEX(Input!$1:$1048576,BB$93,$C606*2+6)</f>
        <v>1</v>
      </c>
      <c r="BC606" s="128">
        <f>INDEX(Input!$1:$1048576,BC$93,$C606*2+6)</f>
        <v>0.7</v>
      </c>
      <c r="BD606" s="1">
        <f>INDEX(Input!$1:$1048576,BD$93,$C606*2+6)</f>
        <v>4.4999999999999998E-2</v>
      </c>
      <c r="BE606" s="1">
        <f>INDEX(Input!$1:$1048576,BE$93,$C606*2+6)</f>
        <v>4.4999999999999998E-2</v>
      </c>
      <c r="BF606" s="1">
        <f>INDEX(Input!$1:$1048576,BF$93,$C606*2+6)</f>
        <v>0.05</v>
      </c>
      <c r="BG606" s="1">
        <f>INDEX(Input!$1:$1048576,BG$93,$C606*2+6)</f>
        <v>5.45E-2</v>
      </c>
      <c r="BH606" s="1">
        <f>INDEX(Input!$1:$1048576,BH$93,$C606*2+6)</f>
        <v>5.45E-2</v>
      </c>
      <c r="BI606" s="1">
        <f>INDEX(Input!$1:$1048576,BI$93,$C606*2+6)</f>
        <v>0.05</v>
      </c>
      <c r="BJ606" s="1">
        <f>INDEX(Input!$1:$1048576,BJ$93,$C606*2+6)</f>
        <v>0.05</v>
      </c>
      <c r="BK606" s="1">
        <f>INDEX(Input!$1:$1048576,BK$93,$C606*2+6)</f>
        <v>0.05</v>
      </c>
      <c r="BL606" s="1">
        <f>INDEX(Input!$1:$1048576,BL$93,$C606*2+6)</f>
        <v>5.5E-2</v>
      </c>
      <c r="BM606" s="1">
        <f>INDEX(Input!$1:$1048576,BM$93,$C606*2+6)</f>
        <v>0.06</v>
      </c>
      <c r="BN606" s="1">
        <f>INDEX(Input!$1:$1048576,BN$93,$C606*2+6)</f>
        <v>4.4999999999999998E-2</v>
      </c>
      <c r="BO606" s="1">
        <f>INDEX(Input!$1:$1048576,BO$93,$C606*2+6)</f>
        <v>4.4999999999999998E-2</v>
      </c>
      <c r="BP606" s="1">
        <f>INDEX(Input!$1:$1048576,BP$93,$C606*2+6)</f>
        <v>0.05</v>
      </c>
      <c r="BQ606" s="1">
        <f>INDEX(Input!$1:$1048576,BQ$93,$C606*2+6)</f>
        <v>5.45E-2</v>
      </c>
      <c r="BR606" s="1">
        <f>INDEX(Input!$1:$1048576,BR$93,$C606*2+6)</f>
        <v>5.45E-2</v>
      </c>
      <c r="BS606" s="1">
        <f>INDEX(Input!$1:$1048576,BS$93,$C606*2+6)</f>
        <v>0.05</v>
      </c>
      <c r="BT606" s="1">
        <f>INDEX(Input!$1:$1048576,BT$93,$C606*2+6)</f>
        <v>0.05</v>
      </c>
      <c r="BU606" s="1">
        <f>INDEX(Input!$1:$1048576,BU$93,$C606*2+6)</f>
        <v>0.05</v>
      </c>
      <c r="BV606" s="1">
        <f>INDEX(Input!$1:$1048576,BV$93,$C606*2+6)</f>
        <v>5.5E-2</v>
      </c>
      <c r="BW606" s="1">
        <f>INDEX(Input!$1:$1048576,BW$93,$C606*2+6)</f>
        <v>0.06</v>
      </c>
      <c r="BX606" s="127">
        <f>INDEX(Input!$1:$1048576,BX$93,$C606*2+6)</f>
        <v>19985</v>
      </c>
      <c r="BY606" s="20">
        <f>INDEX(Input!$1:$1048576,BY$93,$C606*2+6)</f>
        <v>0.1</v>
      </c>
      <c r="BZ606" s="20">
        <f>INDEX(Input!$1:$1048576,BZ$93,$C606*2+6)</f>
        <v>0.1</v>
      </c>
      <c r="CA606" s="20">
        <f>INDEX(Input!$1:$1048576,CA$93,$C606*2+6)</f>
        <v>0.1</v>
      </c>
      <c r="CB606" s="20">
        <f>INDEX(Input!$1:$1048576,CB$93,$C606*2+6)</f>
        <v>0.1</v>
      </c>
      <c r="CC606" s="20">
        <f>INDEX(Input!$1:$1048576,CC$93,$C606*2+6)</f>
        <v>0.1</v>
      </c>
      <c r="CD606" s="384">
        <f>INDEX(Input!$1:$1048576,CD$93,$C606*2+6)</f>
        <v>0.1</v>
      </c>
      <c r="CE606" s="384">
        <f>INDEX(Input!$1:$1048576,CE$93,$C606*2+6)</f>
        <v>0.1</v>
      </c>
      <c r="CF606" s="384">
        <f>INDEX(Input!$1:$1048576,CF$93,$C606*2+6)</f>
        <v>0.1</v>
      </c>
      <c r="CG606" s="384">
        <f>INDEX(Input!$1:$1048576,CG$93,$C606*2+6)</f>
        <v>0.1</v>
      </c>
      <c r="CH606" s="384">
        <f>INDEX(Input!$1:$1048576,CH$93,$C606*2+6)</f>
        <v>0.1</v>
      </c>
      <c r="CI606" s="304">
        <f t="shared" si="1718"/>
        <v>1270.0000000000002</v>
      </c>
      <c r="CJ606" s="16" t="str">
        <f>INDEX(Input!$1:$1048576,CJ$93,$C606*2+6)</f>
        <v>N</v>
      </c>
      <c r="CK606" s="1" t="str">
        <f t="shared" si="1719"/>
        <v>Market</v>
      </c>
      <c r="CL606" s="1" t="str">
        <f t="shared" si="1720"/>
        <v>Market</v>
      </c>
      <c r="CM606" s="1" t="str">
        <f t="shared" si="1721"/>
        <v>Market</v>
      </c>
      <c r="CN606" s="1" t="str">
        <f t="shared" si="1722"/>
        <v>Market</v>
      </c>
      <c r="CO606" s="1" t="str">
        <f t="shared" si="1723"/>
        <v>Market</v>
      </c>
      <c r="CP606" s="304">
        <f t="shared" si="1724"/>
        <v>0</v>
      </c>
      <c r="CQ606" s="1">
        <f t="shared" si="1725"/>
        <v>0</v>
      </c>
      <c r="CR606" s="1">
        <f t="shared" si="1726"/>
        <v>0</v>
      </c>
      <c r="CS606" s="1">
        <f t="shared" si="1727"/>
        <v>0</v>
      </c>
      <c r="CT606" s="1">
        <f t="shared" si="1728"/>
        <v>1.9E-2</v>
      </c>
      <c r="CU606" s="1">
        <f t="shared" si="1729"/>
        <v>3.9E-2</v>
      </c>
      <c r="CV606" s="304">
        <f t="shared" si="1730"/>
        <v>1486.1623510528204</v>
      </c>
      <c r="CW606" s="20" t="s">
        <v>122</v>
      </c>
      <c r="CX606" s="20" t="s">
        <v>122</v>
      </c>
      <c r="CY606" s="20" t="s">
        <v>122</v>
      </c>
      <c r="CZ606" s="20" t="s">
        <v>122</v>
      </c>
      <c r="DA606" s="20" t="s">
        <v>122</v>
      </c>
      <c r="DB606" s="503">
        <f t="shared" si="1731"/>
        <v>500</v>
      </c>
      <c r="DC606" s="127">
        <v>0</v>
      </c>
      <c r="DD606" s="127">
        <v>0</v>
      </c>
      <c r="DE606" s="127">
        <v>0</v>
      </c>
      <c r="DF606" s="127">
        <v>0</v>
      </c>
      <c r="DG606" s="127">
        <v>0</v>
      </c>
      <c r="DH606" s="127">
        <v>0</v>
      </c>
      <c r="DI606" s="127">
        <v>0</v>
      </c>
      <c r="DJ606" s="127">
        <v>0</v>
      </c>
      <c r="DK606" s="127">
        <v>0</v>
      </c>
      <c r="DL606" s="127">
        <v>0</v>
      </c>
      <c r="DM606" s="304">
        <f>INDEX(Input!$1:$1048576,DM$93,$C606*2+6)</f>
        <v>21036.84210526316</v>
      </c>
      <c r="DN606" s="20">
        <v>0</v>
      </c>
      <c r="DO606" s="20">
        <v>0</v>
      </c>
      <c r="DP606" s="20">
        <v>0</v>
      </c>
      <c r="DQ606" s="20">
        <v>0</v>
      </c>
      <c r="DR606" s="20">
        <v>0</v>
      </c>
      <c r="DS606" s="20">
        <f>INDEX(Input!$1:$1048576,DS$93,$C606*2+6)</f>
        <v>0.6</v>
      </c>
      <c r="DT606" s="20">
        <f>INDEX(Input!$1:$1048576,DT$93,$C606*2+6)</f>
        <v>0.55000000000000004</v>
      </c>
      <c r="DU606" s="20">
        <f>INDEX(Input!$1:$1048576,DU$93,$C606*2+6)</f>
        <v>0.52</v>
      </c>
      <c r="DV606" s="20">
        <f>INDEX(Input!$1:$1048576,DV$93,$C606*2+6)</f>
        <v>0.5</v>
      </c>
      <c r="DW606" s="20">
        <f>INDEX(Input!$1:$1048576,DW$93,$C606*2+6)</f>
        <v>0.45</v>
      </c>
      <c r="DX606" s="20"/>
      <c r="DY606" s="7"/>
      <c r="DZ606" s="7"/>
      <c r="EA606" s="7"/>
      <c r="EB606" s="7"/>
      <c r="EC606" s="7"/>
      <c r="ED606" s="7"/>
      <c r="EE606" s="7"/>
      <c r="EF606" s="7"/>
      <c r="EG606" s="7"/>
      <c r="EH606" s="7"/>
      <c r="EI606" s="7"/>
      <c r="EJ606" s="7"/>
      <c r="EK606" s="7"/>
      <c r="EL606" s="7"/>
      <c r="EM606" s="7"/>
      <c r="EN606" s="7"/>
      <c r="EO606" s="7"/>
      <c r="EP606" s="7"/>
      <c r="EQ606" s="7"/>
      <c r="ER606" s="7"/>
      <c r="ES606" s="7"/>
      <c r="ET606" s="7"/>
      <c r="EU606" s="6"/>
      <c r="EV606" s="6"/>
      <c r="EW606" s="6"/>
      <c r="EX606" s="6"/>
      <c r="EY606" s="6"/>
      <c r="EZ606" s="6"/>
      <c r="FA606" s="6"/>
      <c r="FB606" s="6"/>
      <c r="FC606" s="6"/>
      <c r="FD606" s="6"/>
      <c r="FE606" s="6"/>
      <c r="FF606" s="6"/>
      <c r="FG606" s="6"/>
      <c r="FH606" s="6"/>
      <c r="FI606" s="6"/>
      <c r="FJ606" s="6"/>
      <c r="FK606" s="6"/>
      <c r="FL606" s="6"/>
      <c r="FM606" s="6"/>
      <c r="FN606" s="6"/>
      <c r="FO606" s="6"/>
      <c r="FP606" s="6"/>
      <c r="FQ606" s="6"/>
      <c r="FR606" s="6"/>
      <c r="FS606" s="6"/>
      <c r="FT606" s="7"/>
      <c r="FU606" s="7"/>
      <c r="FV606" s="7"/>
      <c r="FW606" s="6"/>
      <c r="FX606" s="6"/>
      <c r="FY606" s="6"/>
      <c r="FZ606" s="6"/>
      <c r="GA606" s="6"/>
      <c r="GB606" s="6"/>
      <c r="GC606" s="7"/>
      <c r="GD606" s="7"/>
      <c r="GE606" s="7"/>
      <c r="GF606" s="7"/>
      <c r="GG606" s="7"/>
      <c r="GH606" s="42"/>
      <c r="GI606" s="6"/>
      <c r="GJ606" s="14"/>
      <c r="GK606" s="14"/>
      <c r="GL606" s="14"/>
      <c r="GM606" s="14"/>
      <c r="GO606" s="5"/>
      <c r="GP606" s="5"/>
      <c r="GQ606" s="5"/>
      <c r="GR606" s="5"/>
      <c r="GS606" s="5"/>
      <c r="GT606" s="5"/>
      <c r="GU606" s="5"/>
      <c r="GV606" s="39"/>
      <c r="GW606" s="5"/>
      <c r="GX606" s="5"/>
      <c r="GY606" s="5"/>
      <c r="GZ606" s="5"/>
      <c r="HA606" s="5"/>
      <c r="HB606" s="39"/>
      <c r="HC606" s="5"/>
      <c r="HD606" s="5"/>
      <c r="HE606" s="5"/>
      <c r="HF606" s="5"/>
      <c r="HG606" s="5"/>
      <c r="HH606" s="39"/>
      <c r="HI606" s="16"/>
      <c r="HJ606" s="19"/>
      <c r="HK606" s="1"/>
      <c r="HL606" s="16"/>
      <c r="HM606" s="639">
        <f t="shared" si="1755"/>
        <v>2.3149872625708352E-2</v>
      </c>
      <c r="HN606" s="639">
        <f t="shared" si="1756"/>
        <v>1.3965040474190958E-3</v>
      </c>
      <c r="HO606" s="639">
        <f t="shared" si="1757"/>
        <v>3.5429561340050734E-3</v>
      </c>
      <c r="HP606" s="644">
        <f t="shared" ref="HP606:ID606" si="1809">HP106+HP206+HP306+HP406+HP506</f>
        <v>316.6531376552752</v>
      </c>
      <c r="HQ606" s="644">
        <f t="shared" si="1809"/>
        <v>18.022671435400206</v>
      </c>
      <c r="HR606" s="644">
        <f t="shared" si="1809"/>
        <v>67.424174307277568</v>
      </c>
      <c r="HS606" s="644">
        <f t="shared" si="1809"/>
        <v>-177.53737516708944</v>
      </c>
      <c r="HT606" s="644">
        <f t="shared" si="1809"/>
        <v>200.78964252242298</v>
      </c>
      <c r="HU606" s="644">
        <f t="shared" si="1809"/>
        <v>65.764448411503324</v>
      </c>
      <c r="HV606" s="644">
        <f t="shared" si="1809"/>
        <v>0</v>
      </c>
      <c r="HW606" s="644">
        <f t="shared" si="1809"/>
        <v>0</v>
      </c>
      <c r="HX606" s="644">
        <f t="shared" si="1809"/>
        <v>0</v>
      </c>
      <c r="HY606" s="644">
        <f t="shared" si="1809"/>
        <v>2396</v>
      </c>
      <c r="HZ606" s="644">
        <f t="shared" si="1809"/>
        <v>3223</v>
      </c>
      <c r="IA606" s="644">
        <f t="shared" si="1809"/>
        <v>830</v>
      </c>
      <c r="IB606" s="644">
        <f t="shared" si="1809"/>
        <v>2535.1157624881862</v>
      </c>
      <c r="IC606" s="644">
        <f t="shared" si="1809"/>
        <v>3441.8123139578233</v>
      </c>
      <c r="ID606" s="644">
        <f t="shared" si="1809"/>
        <v>963.18862271878095</v>
      </c>
      <c r="IE606" s="20">
        <f t="shared" si="1759"/>
        <v>0.36528431327289862</v>
      </c>
      <c r="IF606" s="20">
        <f t="shared" si="1760"/>
        <v>0.49593003448660011</v>
      </c>
      <c r="IG606" s="20">
        <f t="shared" si="1761"/>
        <v>0.13878565224050141</v>
      </c>
      <c r="IH606" s="21"/>
      <c r="II606" s="19"/>
      <c r="IJ606" s="19"/>
      <c r="IK606" s="19"/>
      <c r="IL606" s="19">
        <f t="shared" si="1762"/>
        <v>499.8435821955668</v>
      </c>
      <c r="IM606" s="19">
        <f t="shared" si="1763"/>
        <v>500.35328817553682</v>
      </c>
      <c r="IN606" s="19">
        <f t="shared" si="1764"/>
        <v>501.20757450910969</v>
      </c>
      <c r="IO606" s="39"/>
      <c r="IP606" s="39"/>
      <c r="IQ606" s="39"/>
      <c r="IR606" s="39"/>
      <c r="IS606" s="39"/>
      <c r="IT606" s="39"/>
      <c r="IU606" s="39"/>
      <c r="IV606" s="39"/>
      <c r="IW606" s="39"/>
      <c r="IX606" s="19">
        <f t="shared" si="1765"/>
        <v>1554.1790484140233</v>
      </c>
      <c r="IY606" s="19">
        <f t="shared" si="1766"/>
        <v>2412.3001201524512</v>
      </c>
      <c r="IZ606" s="19">
        <f t="shared" si="1767"/>
        <v>3993.0862952928574</v>
      </c>
      <c r="JA606" s="19">
        <f t="shared" ref="JA606:JC606" si="1810">IFERROR((JA106*IB106+JA206*IB206+JA306*IB306+JA406*IB406+JA506*IB506)/IB606,0)</f>
        <v>2054.0226306095901</v>
      </c>
      <c r="JB606" s="19">
        <f t="shared" si="1810"/>
        <v>2912.653408327988</v>
      </c>
      <c r="JC606" s="19">
        <f t="shared" si="1810"/>
        <v>4494.293869801967</v>
      </c>
      <c r="JD606" s="19">
        <f t="shared" si="1769"/>
        <v>2818.5180573897824</v>
      </c>
      <c r="JE606" s="21"/>
      <c r="JF606" s="1">
        <f t="shared" si="1770"/>
        <v>2.6651855648468406E-2</v>
      </c>
      <c r="JG606" s="15">
        <f t="shared" si="1771"/>
        <v>6449</v>
      </c>
      <c r="JH606" s="1">
        <f t="shared" si="1772"/>
        <v>6.2350749480222192E-2</v>
      </c>
      <c r="JI606" s="1">
        <f t="shared" si="1773"/>
        <v>1.3803181232258779E-2</v>
      </c>
      <c r="JJ606" s="1">
        <f t="shared" si="1774"/>
        <v>0</v>
      </c>
      <c r="JK606" s="1">
        <f t="shared" si="1775"/>
        <v>7.6153930712480972E-2</v>
      </c>
      <c r="JL606" s="15">
        <f t="shared" ref="JL606:JM606" si="1811">JL106+JL206+JL306+JL406+JL506</f>
        <v>491.11669916478979</v>
      </c>
      <c r="JM606" s="15">
        <f t="shared" si="1811"/>
        <v>6940.1166991647897</v>
      </c>
      <c r="JN606" s="21"/>
      <c r="JO606" s="19">
        <f>INDEX(Input!$1:$1048576,JO$93,$C606*2+6)</f>
        <v>5995.5</v>
      </c>
      <c r="JP606" s="19">
        <f>INDEX(Input!$1:$1048576,JP$93,$C606*2+6)</f>
        <v>2296.6050414551746</v>
      </c>
      <c r="JQ606" s="39">
        <f t="shared" si="1799"/>
        <v>3176.9819426102176</v>
      </c>
      <c r="JR606" s="39">
        <f t="shared" si="1800"/>
        <v>521.91301593460776</v>
      </c>
      <c r="JS606" s="39">
        <f t="shared" si="1801"/>
        <v>19.560844236988331</v>
      </c>
      <c r="JT606" s="39">
        <f t="shared" si="1802"/>
        <v>4.7500383246439117</v>
      </c>
      <c r="JU606" s="385">
        <f>(JQ606*JM606-INDEX(Input!$1:$1048576,Input!A$18,$C606*2+6)*JL606*INDEX(Input!$1:$1048576,Input!A$19,$C606*2+6))/1000000</f>
        <v>22.048625432854163</v>
      </c>
      <c r="JV606" s="39">
        <f t="shared" si="1803"/>
        <v>-1.8055481548014143</v>
      </c>
      <c r="JW606" s="1">
        <f t="shared" si="1804"/>
        <v>-7.5691079725175511E-2</v>
      </c>
      <c r="JX606" s="19">
        <f t="shared" si="1805"/>
        <v>9671.9136871582505</v>
      </c>
      <c r="JZ606" s="468"/>
      <c r="KA606" s="472"/>
      <c r="KB606" s="469">
        <f t="shared" si="1778"/>
        <v>0</v>
      </c>
      <c r="KI606" s="472"/>
      <c r="KJ606" s="472"/>
      <c r="KK606" s="472"/>
      <c r="KN606" s="793">
        <f t="shared" si="1779"/>
        <v>6002</v>
      </c>
      <c r="KO606" s="541">
        <f t="shared" si="1780"/>
        <v>5.1486867041810935E-2</v>
      </c>
      <c r="KP606" s="546">
        <f t="shared" si="1781"/>
        <v>337.05358247907873</v>
      </c>
      <c r="KQ606" s="546">
        <f t="shared" si="1782"/>
        <v>355.68480078463745</v>
      </c>
      <c r="KR606" s="472">
        <f t="shared" si="1783"/>
        <v>2.6766114241126933</v>
      </c>
      <c r="KS606" s="472">
        <f t="shared" si="1784"/>
        <v>2.5364071430981929</v>
      </c>
      <c r="KT606" s="473">
        <f t="shared" si="1795"/>
        <v>4286.2445668946921</v>
      </c>
      <c r="KU606" s="663">
        <f t="shared" si="1785"/>
        <v>4.3902269458785943</v>
      </c>
      <c r="KV606" s="117"/>
    </row>
    <row r="607" spans="1:310" s="26" customFormat="1" ht="15">
      <c r="A607" s="561">
        <f t="shared" si="1751"/>
        <v>6007</v>
      </c>
      <c r="B607" s="561">
        <f t="shared" si="1786"/>
        <v>7</v>
      </c>
      <c r="C607" s="561">
        <f t="shared" si="1787"/>
        <v>6</v>
      </c>
      <c r="D607" s="561" t="s">
        <v>634</v>
      </c>
      <c r="E607" s="475">
        <f>INDEX(Input!$1:$1048576,E$93,$C607*2+MIN($B607,1)+5)</f>
        <v>1000.0000000000002</v>
      </c>
      <c r="F607" s="475">
        <f>INDEX(Input!$1:$1048576,F$93,$C607*2+MIN($B607,1)+5)</f>
        <v>0</v>
      </c>
      <c r="G607" s="475">
        <f>INDEX(Input!$1:$1048576,G$93,$C607*2+MIN($B607,1)+5)</f>
        <v>0</v>
      </c>
      <c r="H607" s="475">
        <f>INDEX(Input!$1:$1048576,H$93,$C607*2+MIN($B607,1)+5)</f>
        <v>0</v>
      </c>
      <c r="I607" s="476">
        <f>INDEX(Input!$1:$1048576,I$93,$C607*2+MIN($B607,1)+5)</f>
        <v>0.7</v>
      </c>
      <c r="J607" s="476" t="str">
        <f>INDEX(Input!$1:$1048576,J$93,$C607*2+MIN($B607,1)+5)</f>
        <v>Market</v>
      </c>
      <c r="K607" s="476" t="str">
        <f>INDEX(Input!$1:$1048576,K$93,$C607*2+MIN($B607,1)+5)</f>
        <v>Market</v>
      </c>
      <c r="L607" s="476" t="str">
        <f>INDEX(Input!$1:$1048576,L$93,$C607*2+MIN($B607,1)+5)</f>
        <v>Market</v>
      </c>
      <c r="M607" s="476" t="str">
        <f>INDEX(Input!$1:$1048576,M$93,$C607*2+MIN($B607,1)+5)</f>
        <v>Market</v>
      </c>
      <c r="N607" s="476" t="str">
        <f>INDEX(Input!$1:$1048576,N$93,$C607*2+MIN($B607,1)+5)</f>
        <v>Market</v>
      </c>
      <c r="O607" s="476" t="str">
        <f>INDEX(Input!$1:$1048576,O$93,$C607*2+MIN($B607,1)+5)</f>
        <v>Market</v>
      </c>
      <c r="P607" s="476" t="str">
        <f>INDEX(Input!$1:$1048576,P$93,$C607*2+MIN($B607,1)+5)</f>
        <v>N</v>
      </c>
      <c r="Q607" s="477">
        <f>INDEX(Input!$1:$1048576,Q$93,$C607*2+MIN($B607,1)+5)</f>
        <v>0</v>
      </c>
      <c r="R607" s="478">
        <f>IFERROR(MAX(0,INDEX(Input!$1:$1048576,R$93,$C607*2+MIN($B607,1)+5)-0%),"Market")</f>
        <v>0</v>
      </c>
      <c r="S607" s="478">
        <f>IFERROR(MAX(0,INDEX(Input!$1:$1048576,S$93,$C607*2+MIN($B607,1)+5)-0%),"Market")</f>
        <v>0</v>
      </c>
      <c r="T607" s="478">
        <f>IFERROR(MAX(0,INDEX(Input!$1:$1048576,T$93,$C607*2+MIN($B607,1)+5)-0%),"Market")</f>
        <v>0</v>
      </c>
      <c r="U607" s="478">
        <f>IFERROR(MAX(0,INDEX(Input!$1:$1048576,U$93,$C607*2+MIN($B607,1)+5)-0%),"Market")</f>
        <v>0</v>
      </c>
      <c r="V607" s="478">
        <f>IFERROR(MAX(0,INDEX(Input!$1:$1048576,V$93,$C607*2+MIN($B607,1)+5)-0%),"Market")</f>
        <v>1.9E-2</v>
      </c>
      <c r="W607" s="885">
        <f>IFERROR(MAX(0,INDEX(Input!$1:$1048576,W$93,$C607*2+MIN($B607,1)+5)-0%),"Market")</f>
        <v>3.9E-2</v>
      </c>
      <c r="X607" s="476" t="str">
        <f>INDEX(Input!$1:$1048576,X$93,$C607*2+MIN($B607,1)+5)</f>
        <v>Y</v>
      </c>
      <c r="Y607" s="475">
        <f>INDEX(Input!$1:$1048576,Y$93,$C607*2+MIN($B607,1)+5)</f>
        <v>1216.1623510528204</v>
      </c>
      <c r="Z607" s="477">
        <f>INDEX(Input!$1:$1048576,Z$93,$C607*2+MIN($B607,1)+5)</f>
        <v>0</v>
      </c>
      <c r="AA607" s="475">
        <f>INDEX(Input!$1:$1048576,AA$93,$C607*2+MIN($B607,1)+5)</f>
        <v>1000</v>
      </c>
      <c r="AB607" s="476">
        <f>INDEX(Input!$1:$1048576,AB$93,$C607*2+MIN($B607,1)+5)</f>
        <v>0.27</v>
      </c>
      <c r="AC607" s="475">
        <f>INDEX(Input!$1:$1048576,AC$93,$C607*2+MIN($B607,1)+5)</f>
        <v>1000</v>
      </c>
      <c r="AD607" s="476">
        <f>INDEX(Input!$1:$1048576,AD$93,$C607*2+MIN($B607,1)+5)</f>
        <v>0.27</v>
      </c>
      <c r="AE607" s="475">
        <f>INDEX(Input!$1:$1048576,AE$93,$C607*2+MIN($B607,1)+5)</f>
        <v>0</v>
      </c>
      <c r="AF607" s="476">
        <f>INDEX(Input!$1:$1048576,AF$93,$C607*2+MIN($B607,1)+5)</f>
        <v>1</v>
      </c>
      <c r="AG607" s="475">
        <f>INDEX(Input!$1:$1048576,AG$93,$C607*2+MIN($B607,1)+5)</f>
        <v>0</v>
      </c>
      <c r="AH607" s="476">
        <f>INDEX(Input!$1:$1048576,AH$93,$C607*2+MIN($B607,1)+5)</f>
        <v>1</v>
      </c>
      <c r="AI607" s="475">
        <f>INDEX(Input!$1:$1048576,AI$93,$C607*2+MIN($B607,1)+5)</f>
        <v>0</v>
      </c>
      <c r="AJ607" s="476">
        <f>INDEX(Input!$1:$1048576,AJ$93,$C607*2+MIN($B607,1)+5)</f>
        <v>0.27</v>
      </c>
      <c r="AK607" s="150">
        <f>ROUND(INDEX(Input!$1:$1048576,AK$93,$C606*2+MIN($B607,1)+5)+(Y607-VLOOKUP($C607*1000+1,$A:$HH,Y$92,FALSE)),0)</f>
        <v>3539</v>
      </c>
      <c r="AL607" s="150">
        <f>ROUND(INDEX(Input!$1:$1048576,AL$93,$C606*2+MIN($B607,1)+5)-(Y607-VLOOKUP($C607*1000+1,$A:$HH,Y$92,FALSE))/36,0)</f>
        <v>3539</v>
      </c>
      <c r="AM607" s="32" t="str">
        <f t="shared" si="1752"/>
        <v>std/std/std/std</v>
      </c>
      <c r="AN607" s="32" t="str">
        <f t="shared" si="1753"/>
        <v>$0 + 0/0/0/1.9/3.9</v>
      </c>
      <c r="AO607" s="32" t="str">
        <f t="shared" si="1754"/>
        <v>0/0/0/1.9/3.9</v>
      </c>
      <c r="AP607" s="32" t="str">
        <f t="shared" si="1716"/>
        <v>0/0.9/1.9/3.9</v>
      </c>
      <c r="AQ607" s="536">
        <f t="shared" si="1717"/>
        <v>270.37153046984031</v>
      </c>
      <c r="AR607" s="32"/>
      <c r="AS607" s="302"/>
      <c r="AT607" s="3">
        <f t="shared" si="1788"/>
        <v>7</v>
      </c>
      <c r="AU607" s="41" t="s">
        <v>121</v>
      </c>
      <c r="AV607" s="41" t="s">
        <v>116</v>
      </c>
      <c r="AW607" s="41" t="str">
        <f>INDEX(Input!$1:$1048576,AW$93,$C607*2+6)</f>
        <v>Kia</v>
      </c>
      <c r="AX607" s="41" t="str">
        <f>INDEX(Input!$1:$1048576,AX$93,$C607*2+6)</f>
        <v>National</v>
      </c>
      <c r="AY607" s="41" t="str">
        <f>IF(LEN(D607)=0,"",INDEX(Input!$1:$1048576,AY$93,$C607*2+6))</f>
        <v>Compact SUV (52)</v>
      </c>
      <c r="AZ607" s="41" t="str">
        <f>INDEX(Input!$1:$1048576,AZ$93,$C607*2+6)</f>
        <v>Kia Soul</v>
      </c>
      <c r="BA607" s="3">
        <f>INDEX(Input!$1:$1048576,BA$93,$C607*2+6)</f>
        <v>2020</v>
      </c>
      <c r="BB607" s="128">
        <f>INDEX(Input!$1:$1048576,BB$93,$C607*2+6)</f>
        <v>1</v>
      </c>
      <c r="BC607" s="128">
        <f>INDEX(Input!$1:$1048576,BC$93,$C607*2+6)</f>
        <v>0.7</v>
      </c>
      <c r="BD607" s="1">
        <f>INDEX(Input!$1:$1048576,BD$93,$C607*2+6)</f>
        <v>4.4999999999999998E-2</v>
      </c>
      <c r="BE607" s="1">
        <f>INDEX(Input!$1:$1048576,BE$93,$C607*2+6)</f>
        <v>4.4999999999999998E-2</v>
      </c>
      <c r="BF607" s="1">
        <f>INDEX(Input!$1:$1048576,BF$93,$C607*2+6)</f>
        <v>0.05</v>
      </c>
      <c r="BG607" s="1">
        <f>INDEX(Input!$1:$1048576,BG$93,$C607*2+6)</f>
        <v>5.45E-2</v>
      </c>
      <c r="BH607" s="1">
        <f>INDEX(Input!$1:$1048576,BH$93,$C607*2+6)</f>
        <v>5.45E-2</v>
      </c>
      <c r="BI607" s="1">
        <f>INDEX(Input!$1:$1048576,BI$93,$C607*2+6)</f>
        <v>0.05</v>
      </c>
      <c r="BJ607" s="1">
        <f>INDEX(Input!$1:$1048576,BJ$93,$C607*2+6)</f>
        <v>0.05</v>
      </c>
      <c r="BK607" s="1">
        <f>INDEX(Input!$1:$1048576,BK$93,$C607*2+6)</f>
        <v>0.05</v>
      </c>
      <c r="BL607" s="1">
        <f>INDEX(Input!$1:$1048576,BL$93,$C607*2+6)</f>
        <v>5.5E-2</v>
      </c>
      <c r="BM607" s="1">
        <f>INDEX(Input!$1:$1048576,BM$93,$C607*2+6)</f>
        <v>0.06</v>
      </c>
      <c r="BN607" s="1">
        <f>INDEX(Input!$1:$1048576,BN$93,$C607*2+6)</f>
        <v>4.4999999999999998E-2</v>
      </c>
      <c r="BO607" s="1">
        <f>INDEX(Input!$1:$1048576,BO$93,$C607*2+6)</f>
        <v>4.4999999999999998E-2</v>
      </c>
      <c r="BP607" s="1">
        <f>INDEX(Input!$1:$1048576,BP$93,$C607*2+6)</f>
        <v>0.05</v>
      </c>
      <c r="BQ607" s="1">
        <f>INDEX(Input!$1:$1048576,BQ$93,$C607*2+6)</f>
        <v>5.45E-2</v>
      </c>
      <c r="BR607" s="1">
        <f>INDEX(Input!$1:$1048576,BR$93,$C607*2+6)</f>
        <v>5.45E-2</v>
      </c>
      <c r="BS607" s="1">
        <f>INDEX(Input!$1:$1048576,BS$93,$C607*2+6)</f>
        <v>0.05</v>
      </c>
      <c r="BT607" s="1">
        <f>INDEX(Input!$1:$1048576,BT$93,$C607*2+6)</f>
        <v>0.05</v>
      </c>
      <c r="BU607" s="1">
        <f>INDEX(Input!$1:$1048576,BU$93,$C607*2+6)</f>
        <v>0.05</v>
      </c>
      <c r="BV607" s="1">
        <f>INDEX(Input!$1:$1048576,BV$93,$C607*2+6)</f>
        <v>5.5E-2</v>
      </c>
      <c r="BW607" s="1">
        <f>INDEX(Input!$1:$1048576,BW$93,$C607*2+6)</f>
        <v>0.06</v>
      </c>
      <c r="BX607" s="127">
        <f>INDEX(Input!$1:$1048576,BX$93,$C607*2+6)</f>
        <v>19985</v>
      </c>
      <c r="BY607" s="20">
        <f>INDEX(Input!$1:$1048576,BY$93,$C607*2+6)</f>
        <v>0.1</v>
      </c>
      <c r="BZ607" s="20">
        <f>INDEX(Input!$1:$1048576,BZ$93,$C607*2+6)</f>
        <v>0.1</v>
      </c>
      <c r="CA607" s="20">
        <f>INDEX(Input!$1:$1048576,CA$93,$C607*2+6)</f>
        <v>0.1</v>
      </c>
      <c r="CB607" s="20">
        <f>INDEX(Input!$1:$1048576,CB$93,$C607*2+6)</f>
        <v>0.1</v>
      </c>
      <c r="CC607" s="20">
        <f>INDEX(Input!$1:$1048576,CC$93,$C607*2+6)</f>
        <v>0.1</v>
      </c>
      <c r="CD607" s="384">
        <f>INDEX(Input!$1:$1048576,CD$93,$C607*2+6)</f>
        <v>0.1</v>
      </c>
      <c r="CE607" s="384">
        <f>INDEX(Input!$1:$1048576,CE$93,$C607*2+6)</f>
        <v>0.1</v>
      </c>
      <c r="CF607" s="384">
        <f>INDEX(Input!$1:$1048576,CF$93,$C607*2+6)</f>
        <v>0.1</v>
      </c>
      <c r="CG607" s="384">
        <f>INDEX(Input!$1:$1048576,CG$93,$C607*2+6)</f>
        <v>0.1</v>
      </c>
      <c r="CH607" s="384">
        <f>INDEX(Input!$1:$1048576,CH$93,$C607*2+6)</f>
        <v>0.1</v>
      </c>
      <c r="CI607" s="304">
        <f t="shared" si="1718"/>
        <v>1270.0000000000002</v>
      </c>
      <c r="CJ607" s="16" t="str">
        <f>INDEX(Input!$1:$1048576,CJ$93,$C607*2+6)</f>
        <v>N</v>
      </c>
      <c r="CK607" s="1" t="str">
        <f t="shared" si="1719"/>
        <v>Market</v>
      </c>
      <c r="CL607" s="1" t="str">
        <f t="shared" si="1720"/>
        <v>Market</v>
      </c>
      <c r="CM607" s="1" t="str">
        <f t="shared" si="1721"/>
        <v>Market</v>
      </c>
      <c r="CN607" s="1" t="str">
        <f t="shared" si="1722"/>
        <v>Market</v>
      </c>
      <c r="CO607" s="1" t="str">
        <f t="shared" si="1723"/>
        <v>Market</v>
      </c>
      <c r="CP607" s="304">
        <f t="shared" si="1724"/>
        <v>0</v>
      </c>
      <c r="CQ607" s="1">
        <f t="shared" si="1725"/>
        <v>0</v>
      </c>
      <c r="CR607" s="1">
        <f t="shared" si="1726"/>
        <v>0</v>
      </c>
      <c r="CS607" s="1">
        <f t="shared" si="1727"/>
        <v>0</v>
      </c>
      <c r="CT607" s="1">
        <f t="shared" si="1728"/>
        <v>1.9E-2</v>
      </c>
      <c r="CU607" s="1">
        <f t="shared" si="1729"/>
        <v>3.9E-2</v>
      </c>
      <c r="CV607" s="304">
        <f t="shared" si="1730"/>
        <v>1486.1623510528204</v>
      </c>
      <c r="CW607" s="20" t="s">
        <v>122</v>
      </c>
      <c r="CX607" s="20" t="s">
        <v>122</v>
      </c>
      <c r="CY607" s="20" t="s">
        <v>122</v>
      </c>
      <c r="CZ607" s="20" t="s">
        <v>122</v>
      </c>
      <c r="DA607" s="20" t="s">
        <v>122</v>
      </c>
      <c r="DB607" s="503">
        <f t="shared" si="1731"/>
        <v>0</v>
      </c>
      <c r="DC607" s="127">
        <v>0</v>
      </c>
      <c r="DD607" s="127">
        <v>0</v>
      </c>
      <c r="DE607" s="127">
        <v>0</v>
      </c>
      <c r="DF607" s="127">
        <v>0</v>
      </c>
      <c r="DG607" s="127">
        <v>0</v>
      </c>
      <c r="DH607" s="127">
        <v>0</v>
      </c>
      <c r="DI607" s="127">
        <v>0</v>
      </c>
      <c r="DJ607" s="127">
        <v>0</v>
      </c>
      <c r="DK607" s="127">
        <v>0</v>
      </c>
      <c r="DL607" s="127">
        <v>0</v>
      </c>
      <c r="DM607" s="304">
        <f>INDEX(Input!$1:$1048576,DM$93,$C607*2+6)</f>
        <v>21036.84210526316</v>
      </c>
      <c r="DN607" s="20">
        <v>0</v>
      </c>
      <c r="DO607" s="20">
        <v>0</v>
      </c>
      <c r="DP607" s="20">
        <v>0</v>
      </c>
      <c r="DQ607" s="20">
        <v>0</v>
      </c>
      <c r="DR607" s="20">
        <v>0</v>
      </c>
      <c r="DS607" s="20">
        <f>INDEX(Input!$1:$1048576,DS$93,$C607*2+6)</f>
        <v>0.6</v>
      </c>
      <c r="DT607" s="20">
        <f>INDEX(Input!$1:$1048576,DT$93,$C607*2+6)</f>
        <v>0.55000000000000004</v>
      </c>
      <c r="DU607" s="20">
        <f>INDEX(Input!$1:$1048576,DU$93,$C607*2+6)</f>
        <v>0.52</v>
      </c>
      <c r="DV607" s="20">
        <f>INDEX(Input!$1:$1048576,DV$93,$C607*2+6)</f>
        <v>0.5</v>
      </c>
      <c r="DW607" s="20">
        <f>INDEX(Input!$1:$1048576,DW$93,$C607*2+6)</f>
        <v>0.45</v>
      </c>
      <c r="DX607" s="20"/>
      <c r="DY607" s="7"/>
      <c r="DZ607" s="7"/>
      <c r="EA607" s="7"/>
      <c r="EB607" s="7"/>
      <c r="EC607" s="7"/>
      <c r="ED607" s="7"/>
      <c r="EE607" s="7"/>
      <c r="EF607" s="7"/>
      <c r="EG607" s="7"/>
      <c r="EH607" s="7"/>
      <c r="EI607" s="7"/>
      <c r="EJ607" s="7"/>
      <c r="EK607" s="7"/>
      <c r="EL607" s="7"/>
      <c r="EM607" s="7"/>
      <c r="EN607" s="7"/>
      <c r="EO607" s="7"/>
      <c r="EP607" s="7"/>
      <c r="EQ607" s="7"/>
      <c r="ER607" s="7"/>
      <c r="ES607" s="7"/>
      <c r="ET607" s="7"/>
      <c r="EU607" s="6"/>
      <c r="EV607" s="6"/>
      <c r="EW607" s="6"/>
      <c r="EX607" s="6"/>
      <c r="EY607" s="6"/>
      <c r="EZ607" s="6"/>
      <c r="FA607" s="6"/>
      <c r="FB607" s="6"/>
      <c r="FC607" s="6"/>
      <c r="FD607" s="6"/>
      <c r="FE607" s="6"/>
      <c r="FF607" s="6"/>
      <c r="FG607" s="6"/>
      <c r="FH607" s="6"/>
      <c r="FI607" s="6"/>
      <c r="FJ607" s="6"/>
      <c r="FK607" s="6"/>
      <c r="FL607" s="6"/>
      <c r="FM607" s="6"/>
      <c r="FN607" s="6"/>
      <c r="FO607" s="6"/>
      <c r="FP607" s="6"/>
      <c r="FQ607" s="6"/>
      <c r="FR607" s="6"/>
      <c r="FS607" s="6"/>
      <c r="FT607" s="7"/>
      <c r="FU607" s="7"/>
      <c r="FV607" s="7"/>
      <c r="FW607" s="6"/>
      <c r="FX607" s="6"/>
      <c r="FY607" s="6"/>
      <c r="FZ607" s="6"/>
      <c r="GA607" s="6"/>
      <c r="GB607" s="6"/>
      <c r="GC607" s="7"/>
      <c r="GD607" s="7"/>
      <c r="GE607" s="7"/>
      <c r="GF607" s="7"/>
      <c r="GG607" s="7"/>
      <c r="GH607" s="42"/>
      <c r="GI607" s="6"/>
      <c r="GJ607" s="14"/>
      <c r="GK607" s="14"/>
      <c r="GL607" s="14"/>
      <c r="GM607" s="14"/>
      <c r="GO607" s="5"/>
      <c r="GP607" s="5"/>
      <c r="GQ607" s="5"/>
      <c r="GR607" s="5"/>
      <c r="GS607" s="5"/>
      <c r="GT607" s="5"/>
      <c r="GU607" s="5"/>
      <c r="GV607" s="39"/>
      <c r="GW607" s="5"/>
      <c r="GX607" s="5"/>
      <c r="GY607" s="5"/>
      <c r="GZ607" s="5"/>
      <c r="HA607" s="5"/>
      <c r="HB607" s="39"/>
      <c r="HC607" s="5"/>
      <c r="HD607" s="5"/>
      <c r="HE607" s="5"/>
      <c r="HF607" s="5"/>
      <c r="HG607" s="5"/>
      <c r="HH607" s="39"/>
      <c r="HI607" s="16"/>
      <c r="HJ607" s="19"/>
      <c r="HK607" s="1"/>
      <c r="HL607" s="16"/>
      <c r="HM607" s="639">
        <f t="shared" si="1755"/>
        <v>2.3149872625708352E-2</v>
      </c>
      <c r="HN607" s="639">
        <f t="shared" si="1756"/>
        <v>1.3965040474190958E-3</v>
      </c>
      <c r="HO607" s="639">
        <f t="shared" si="1757"/>
        <v>3.5429561340050734E-3</v>
      </c>
      <c r="HP607" s="644">
        <f t="shared" ref="HP607:ID607" si="1812">HP107+HP207+HP307+HP407+HP507</f>
        <v>0</v>
      </c>
      <c r="HQ607" s="644">
        <f t="shared" si="1812"/>
        <v>0</v>
      </c>
      <c r="HR607" s="644">
        <f t="shared" si="1812"/>
        <v>0</v>
      </c>
      <c r="HS607" s="644">
        <f t="shared" si="1812"/>
        <v>0</v>
      </c>
      <c r="HT607" s="644">
        <f t="shared" si="1812"/>
        <v>0</v>
      </c>
      <c r="HU607" s="644">
        <f t="shared" si="1812"/>
        <v>0</v>
      </c>
      <c r="HV607" s="644">
        <f t="shared" si="1812"/>
        <v>0</v>
      </c>
      <c r="HW607" s="644">
        <f t="shared" si="1812"/>
        <v>0</v>
      </c>
      <c r="HX607" s="644">
        <f t="shared" si="1812"/>
        <v>0</v>
      </c>
      <c r="HY607" s="644">
        <f t="shared" si="1812"/>
        <v>2396</v>
      </c>
      <c r="HZ607" s="644">
        <f t="shared" si="1812"/>
        <v>3223</v>
      </c>
      <c r="IA607" s="644">
        <f t="shared" si="1812"/>
        <v>830</v>
      </c>
      <c r="IB607" s="644">
        <f t="shared" si="1812"/>
        <v>2396</v>
      </c>
      <c r="IC607" s="644">
        <f t="shared" si="1812"/>
        <v>3223</v>
      </c>
      <c r="ID607" s="644">
        <f t="shared" si="1812"/>
        <v>830</v>
      </c>
      <c r="IE607" s="20">
        <f t="shared" si="1759"/>
        <v>0.37153046984028532</v>
      </c>
      <c r="IF607" s="20">
        <f t="shared" si="1760"/>
        <v>0.49976740579934875</v>
      </c>
      <c r="IG607" s="20">
        <f t="shared" si="1761"/>
        <v>0.12870212436036596</v>
      </c>
      <c r="IH607" s="21"/>
      <c r="II607" s="19"/>
      <c r="IJ607" s="19"/>
      <c r="IK607" s="19"/>
      <c r="IL607" s="19">
        <f t="shared" si="1762"/>
        <v>0</v>
      </c>
      <c r="IM607" s="19">
        <f t="shared" si="1763"/>
        <v>0</v>
      </c>
      <c r="IN607" s="19">
        <f t="shared" si="1764"/>
        <v>0</v>
      </c>
      <c r="IO607" s="39"/>
      <c r="IP607" s="39"/>
      <c r="IQ607" s="39"/>
      <c r="IR607" s="39"/>
      <c r="IS607" s="39"/>
      <c r="IT607" s="39"/>
      <c r="IU607" s="39"/>
      <c r="IV607" s="39"/>
      <c r="IW607" s="39"/>
      <c r="IX607" s="19">
        <f t="shared" si="1765"/>
        <v>1554.1790484140233</v>
      </c>
      <c r="IY607" s="19">
        <f t="shared" si="1766"/>
        <v>2412.3001201524512</v>
      </c>
      <c r="IZ607" s="19">
        <f t="shared" si="1767"/>
        <v>3993.0862952928574</v>
      </c>
      <c r="JA607" s="19">
        <f t="shared" ref="JA607:JC607" si="1813">IFERROR((JA107*IB107+JA207*IB207+JA307*IB307+JA407*IB407+JA507*IB507)/IB607,0)</f>
        <v>1554.1790484140233</v>
      </c>
      <c r="JB607" s="19">
        <f t="shared" si="1813"/>
        <v>2412.3001201524512</v>
      </c>
      <c r="JC607" s="19">
        <f t="shared" si="1813"/>
        <v>3993.0862952928574</v>
      </c>
      <c r="JD607" s="19">
        <f t="shared" si="1769"/>
        <v>2296.9325340896921</v>
      </c>
      <c r="JE607" s="21"/>
      <c r="JF607" s="1">
        <f t="shared" si="1770"/>
        <v>2.6651855648468406E-2</v>
      </c>
      <c r="JG607" s="15">
        <f t="shared" si="1771"/>
        <v>6449</v>
      </c>
      <c r="JH607" s="1">
        <f t="shared" si="1772"/>
        <v>0</v>
      </c>
      <c r="JI607" s="1">
        <f t="shared" si="1773"/>
        <v>0</v>
      </c>
      <c r="JJ607" s="1">
        <f t="shared" si="1774"/>
        <v>0</v>
      </c>
      <c r="JK607" s="1">
        <f t="shared" si="1775"/>
        <v>0</v>
      </c>
      <c r="JL607" s="15">
        <f t="shared" ref="JL607:JM607" si="1814">JL107+JL207+JL307+JL407+JL507</f>
        <v>0</v>
      </c>
      <c r="JM607" s="15">
        <f t="shared" si="1814"/>
        <v>6449</v>
      </c>
      <c r="JN607" s="21"/>
      <c r="JO607" s="19">
        <f>INDEX(Input!$1:$1048576,JO$93,$C607*2+6)</f>
        <v>5995.5</v>
      </c>
      <c r="JP607" s="19">
        <f>INDEX(Input!$1:$1048576,JP$93,$C607*2+6)</f>
        <v>2296.6050414551746</v>
      </c>
      <c r="JQ607" s="39">
        <f t="shared" si="1799"/>
        <v>3698.5674659103079</v>
      </c>
      <c r="JR607" s="39">
        <f t="shared" si="1800"/>
        <v>0.32749263451751176</v>
      </c>
      <c r="JS607" s="39">
        <f t="shared" si="1801"/>
        <v>14.812917912344425</v>
      </c>
      <c r="JT607" s="39">
        <f t="shared" si="1802"/>
        <v>2.1120000000037255E-3</v>
      </c>
      <c r="JU607" s="385">
        <f>(JQ607*JM607-INDEX(Input!$1:$1048576,Input!A$18,$C607*2+6)*JL607*INDEX(Input!$1:$1048576,Input!A$19,$C607*2+6))/1000000</f>
        <v>23.852061587655573</v>
      </c>
      <c r="JV607" s="39">
        <f t="shared" si="1803"/>
        <v>-2.1120000000038885E-3</v>
      </c>
      <c r="JW607" s="1">
        <f t="shared" si="1804"/>
        <v>-8.8537965578352242E-5</v>
      </c>
      <c r="JX607" s="19">
        <f t="shared" si="1805"/>
        <v>0</v>
      </c>
      <c r="JZ607" s="468"/>
      <c r="KA607" s="472"/>
      <c r="KB607" s="469">
        <f t="shared" si="1778"/>
        <v>0</v>
      </c>
      <c r="KI607" s="472"/>
      <c r="KJ607" s="472"/>
      <c r="KK607" s="472"/>
      <c r="KN607" s="793">
        <f t="shared" si="1779"/>
        <v>6002</v>
      </c>
      <c r="KO607" s="541">
        <f t="shared" si="1780"/>
        <v>-2.2921501252463838E-2</v>
      </c>
      <c r="KP607" s="546">
        <f t="shared" si="1781"/>
        <v>-164.1507143716054</v>
      </c>
      <c r="KQ607" s="546">
        <f t="shared" si="1782"/>
        <v>-165.9007225154528</v>
      </c>
      <c r="KR607" s="472">
        <f t="shared" si="1783"/>
        <v>2.4467415112515623</v>
      </c>
      <c r="KS607" s="472">
        <f t="shared" si="1784"/>
        <v>2.4209319939350786</v>
      </c>
      <c r="KT607" s="473">
        <f t="shared" si="1795"/>
        <v>4286.2445668946921</v>
      </c>
      <c r="KU607" s="663">
        <f t="shared" si="1785"/>
        <v>4.3902279458785944</v>
      </c>
      <c r="KV607" s="117"/>
    </row>
    <row r="608" spans="1:310" s="26" customFormat="1" ht="15">
      <c r="A608" s="561">
        <f t="shared" si="1751"/>
        <v>6008</v>
      </c>
      <c r="B608" s="561">
        <f t="shared" si="1786"/>
        <v>8</v>
      </c>
      <c r="C608" s="561">
        <f t="shared" si="1787"/>
        <v>6</v>
      </c>
      <c r="D608" s="561" t="s">
        <v>569</v>
      </c>
      <c r="E608" s="475">
        <f>INDEX(Input!$1:$1048576,E$93,$C608*2+MIN($B608,2)+5)</f>
        <v>1267.2644913000609</v>
      </c>
      <c r="F608" s="475">
        <f>INDEX(Input!$1:$1048576,F$93,$C608*2+MIN($B608,2)+5)</f>
        <v>0</v>
      </c>
      <c r="G608" s="475">
        <f>INDEX(Input!$1:$1048576,G$93,$C608*2+MIN($B608,2)+5)</f>
        <v>0</v>
      </c>
      <c r="H608" s="475">
        <f>INDEX(Input!$1:$1048576,H$93,$C608*2+MIN($B608,2)+5)</f>
        <v>0</v>
      </c>
      <c r="I608" s="476">
        <f>INDEX(Input!$1:$1048576,I$93,$C608*2+MIN($B608,2)+5)</f>
        <v>0.7</v>
      </c>
      <c r="J608" s="476" t="str">
        <f>INDEX(Input!$1:$1048576,J$93,$C608*2+MIN($B608,2)+5)</f>
        <v>Market</v>
      </c>
      <c r="K608" s="476" t="str">
        <f>INDEX(Input!$1:$1048576,K$93,$C608*2+MIN($B608,2)+5)</f>
        <v>Market</v>
      </c>
      <c r="L608" s="476" t="str">
        <f>INDEX(Input!$1:$1048576,L$93,$C608*2+MIN($B608,2)+5)</f>
        <v>Market</v>
      </c>
      <c r="M608" s="476" t="str">
        <f>INDEX(Input!$1:$1048576,M$93,$C608*2+MIN($B608,2)+5)</f>
        <v>Market</v>
      </c>
      <c r="N608" s="476" t="str">
        <f>INDEX(Input!$1:$1048576,N$93,$C608*2+MIN($B608,2)+5)</f>
        <v>Market</v>
      </c>
      <c r="O608" s="476" t="str">
        <f>INDEX(Input!$1:$1048576,O$93,$C608*2+MIN($B608,2)+5)</f>
        <v>Market</v>
      </c>
      <c r="P608" s="476" t="str">
        <f>INDEX(Input!$1:$1048576,P$93,$C608*2+MIN($B608,2)+5)</f>
        <v>N</v>
      </c>
      <c r="Q608" s="477">
        <f>INDEX(Input!$1:$1048576,Q$93,$C608*2+MIN($B608,2)+5)</f>
        <v>0</v>
      </c>
      <c r="R608" s="478">
        <f>IFERROR(MAX(0,INDEX(Input!$1:$1048576,R$93,$C608*2+MIN($B608,2)+5)-0%,),"Market")</f>
        <v>0</v>
      </c>
      <c r="S608" s="478">
        <f>IFERROR(MAX(0,INDEX(Input!$1:$1048576,S$93,$C608*2+MIN($B608,2)+5)-0%,),"Market")</f>
        <v>0</v>
      </c>
      <c r="T608" s="478">
        <f>IFERROR(MAX(0,INDEX(Input!$1:$1048576,T$93,$C608*2+MIN($B608,2)+5)-0%,),"Market")</f>
        <v>0</v>
      </c>
      <c r="U608" s="478">
        <f>IFERROR(MAX(0,INDEX(Input!$1:$1048576,U$93,$C608*2+MIN($B608,2)+5)-0%,),"Market")</f>
        <v>0</v>
      </c>
      <c r="V608" s="478">
        <f>IFERROR(MAX(0,INDEX(Input!$1:$1048576,V$93,$C608*2+MIN($B608,2)+5)-0%,),"Market")</f>
        <v>1.9E-2</v>
      </c>
      <c r="W608" s="885">
        <f>IFERROR(MAX(0,INDEX(Input!$1:$1048576,W$93,$C608*2+MIN($B608,2)+5)-0%,),"Market")</f>
        <v>3.9E-2</v>
      </c>
      <c r="X608" s="476" t="str">
        <f>INDEX(Input!$1:$1048576,X$93,$C608*2+MIN($B608,2)+5)</f>
        <v>Y</v>
      </c>
      <c r="Y608" s="475">
        <f>INDEX(Input!$1:$1048576,Y$93,$C608*2+MIN($B608,2)+5)</f>
        <v>737.99367635402496</v>
      </c>
      <c r="Z608" s="477">
        <f>INDEX(Input!$1:$1048576,Z$93,$C608*2+MIN($B608,2)+5)</f>
        <v>0</v>
      </c>
      <c r="AA608" s="475">
        <f>INDEX(Input!$1:$1048576,AA$93,$C608*2+MIN($B608,2)+5)</f>
        <v>0</v>
      </c>
      <c r="AB608" s="476">
        <f>INDEX(Input!$1:$1048576,AB$93,$C608*2+MIN($B608,2)+5)</f>
        <v>0.27</v>
      </c>
      <c r="AC608" s="475">
        <f>INDEX(Input!$1:$1048576,AC$93,$C608*2+MIN($B608,2)+5)</f>
        <v>0</v>
      </c>
      <c r="AD608" s="476">
        <f>INDEX(Input!$1:$1048576,AD$93,$C608*2+MIN($B608,2)+5)</f>
        <v>0.27</v>
      </c>
      <c r="AE608" s="475">
        <f>INDEX(Input!$1:$1048576,AE$93,$C608*2+MIN($B608,2)+5)</f>
        <v>0</v>
      </c>
      <c r="AF608" s="476">
        <f>INDEX(Input!$1:$1048576,AF$93,$C608*2+MIN($B608,2)+5)</f>
        <v>1</v>
      </c>
      <c r="AG608" s="475">
        <f>INDEX(Input!$1:$1048576,AG$93,$C608*2+MIN($B608,2)+5)</f>
        <v>500</v>
      </c>
      <c r="AH608" s="476">
        <f>INDEX(Input!$1:$1048576,AH$93,$C608*2+MIN($B608,2)+5)</f>
        <v>1</v>
      </c>
      <c r="AI608" s="475">
        <f>INDEX(Input!$1:$1048576,AI$93,$C608*2+MIN($B608,2)+5)</f>
        <v>0</v>
      </c>
      <c r="AJ608" s="476">
        <f>INDEX(Input!$1:$1048576,AJ$93,$C608*2+MIN($B608,2)+5)</f>
        <v>0.27</v>
      </c>
      <c r="AK608" s="150">
        <f>ROUND(INDEX(Input!$1:$1048576,AK$93,$C607*2+MIN($B608,1)+5)+(Y608-VLOOKUP($C608*1000+1,$A:$HH,Y$92,FALSE)),0)</f>
        <v>3061</v>
      </c>
      <c r="AL608" s="150">
        <f>ROUND(INDEX(Input!$1:$1048576,AL$93,$C607*2+MIN($B608,1)+5)-(Y608-VLOOKUP($C608*1000+1,$A:$HH,Y$92,FALSE))/36,0)</f>
        <v>3552</v>
      </c>
      <c r="AM608" s="32" t="str">
        <f t="shared" si="1752"/>
        <v>std/std/std/std</v>
      </c>
      <c r="AN608" s="32" t="str">
        <f t="shared" si="1753"/>
        <v>$0 + 0/0/0/1.9/3.9</v>
      </c>
      <c r="AO608" s="32" t="str">
        <f t="shared" si="1754"/>
        <v>0/0/0/1.9/3.9</v>
      </c>
      <c r="AP608" s="32" t="str">
        <f t="shared" si="1716"/>
        <v>0/0.9/1.9/3.9</v>
      </c>
      <c r="AQ608" s="536">
        <f t="shared" si="1717"/>
        <v>0.37072548496371732</v>
      </c>
      <c r="AR608" s="32"/>
      <c r="AS608" s="302"/>
      <c r="AT608" s="3">
        <f t="shared" si="1788"/>
        <v>8</v>
      </c>
      <c r="AU608" s="41" t="s">
        <v>121</v>
      </c>
      <c r="AV608" s="41" t="s">
        <v>116</v>
      </c>
      <c r="AW608" s="41" t="str">
        <f>INDEX(Input!$1:$1048576,AW$93,$C608*2+6)</f>
        <v>Kia</v>
      </c>
      <c r="AX608" s="41" t="str">
        <f>INDEX(Input!$1:$1048576,AX$93,$C608*2+6)</f>
        <v>National</v>
      </c>
      <c r="AY608" s="41" t="str">
        <f>IF(LEN(D608)=0,"",INDEX(Input!$1:$1048576,AY$93,$C608*2+6))</f>
        <v>Compact SUV (52)</v>
      </c>
      <c r="AZ608" s="41" t="str">
        <f>INDEX(Input!$1:$1048576,AZ$93,$C608*2+6)</f>
        <v>Kia Soul</v>
      </c>
      <c r="BA608" s="3">
        <f>INDEX(Input!$1:$1048576,BA$93,$C608*2+6)</f>
        <v>2020</v>
      </c>
      <c r="BB608" s="128">
        <f>INDEX(Input!$1:$1048576,BB$93,$C608*2+6)</f>
        <v>1</v>
      </c>
      <c r="BC608" s="128">
        <f>INDEX(Input!$1:$1048576,BC$93,$C608*2+6)</f>
        <v>0.7</v>
      </c>
      <c r="BD608" s="1">
        <f>INDEX(Input!$1:$1048576,BD$93,$C608*2+6)</f>
        <v>4.4999999999999998E-2</v>
      </c>
      <c r="BE608" s="1">
        <f>INDEX(Input!$1:$1048576,BE$93,$C608*2+6)</f>
        <v>4.4999999999999998E-2</v>
      </c>
      <c r="BF608" s="1">
        <f>INDEX(Input!$1:$1048576,BF$93,$C608*2+6)</f>
        <v>0.05</v>
      </c>
      <c r="BG608" s="1">
        <f>INDEX(Input!$1:$1048576,BG$93,$C608*2+6)</f>
        <v>5.45E-2</v>
      </c>
      <c r="BH608" s="1">
        <f>INDEX(Input!$1:$1048576,BH$93,$C608*2+6)</f>
        <v>5.45E-2</v>
      </c>
      <c r="BI608" s="1">
        <f>INDEX(Input!$1:$1048576,BI$93,$C608*2+6)</f>
        <v>0.05</v>
      </c>
      <c r="BJ608" s="1">
        <f>INDEX(Input!$1:$1048576,BJ$93,$C608*2+6)</f>
        <v>0.05</v>
      </c>
      <c r="BK608" s="1">
        <f>INDEX(Input!$1:$1048576,BK$93,$C608*2+6)</f>
        <v>0.05</v>
      </c>
      <c r="BL608" s="1">
        <f>INDEX(Input!$1:$1048576,BL$93,$C608*2+6)</f>
        <v>5.5E-2</v>
      </c>
      <c r="BM608" s="1">
        <f>INDEX(Input!$1:$1048576,BM$93,$C608*2+6)</f>
        <v>0.06</v>
      </c>
      <c r="BN608" s="1">
        <f>INDEX(Input!$1:$1048576,BN$93,$C608*2+6)</f>
        <v>4.4999999999999998E-2</v>
      </c>
      <c r="BO608" s="1">
        <f>INDEX(Input!$1:$1048576,BO$93,$C608*2+6)</f>
        <v>4.4999999999999998E-2</v>
      </c>
      <c r="BP608" s="1">
        <f>INDEX(Input!$1:$1048576,BP$93,$C608*2+6)</f>
        <v>0.05</v>
      </c>
      <c r="BQ608" s="1">
        <f>INDEX(Input!$1:$1048576,BQ$93,$C608*2+6)</f>
        <v>5.45E-2</v>
      </c>
      <c r="BR608" s="1">
        <f>INDEX(Input!$1:$1048576,BR$93,$C608*2+6)</f>
        <v>5.45E-2</v>
      </c>
      <c r="BS608" s="1">
        <f>INDEX(Input!$1:$1048576,BS$93,$C608*2+6)</f>
        <v>0.05</v>
      </c>
      <c r="BT608" s="1">
        <f>INDEX(Input!$1:$1048576,BT$93,$C608*2+6)</f>
        <v>0.05</v>
      </c>
      <c r="BU608" s="1">
        <f>INDEX(Input!$1:$1048576,BU$93,$C608*2+6)</f>
        <v>0.05</v>
      </c>
      <c r="BV608" s="1">
        <f>INDEX(Input!$1:$1048576,BV$93,$C608*2+6)</f>
        <v>5.5E-2</v>
      </c>
      <c r="BW608" s="1">
        <f>INDEX(Input!$1:$1048576,BW$93,$C608*2+6)</f>
        <v>0.06</v>
      </c>
      <c r="BX608" s="127">
        <f>INDEX(Input!$1:$1048576,BX$93,$C608*2+6)</f>
        <v>19985</v>
      </c>
      <c r="BY608" s="20">
        <f>INDEX(Input!$1:$1048576,BY$93,$C608*2+6)</f>
        <v>0.1</v>
      </c>
      <c r="BZ608" s="20">
        <f>INDEX(Input!$1:$1048576,BZ$93,$C608*2+6)</f>
        <v>0.1</v>
      </c>
      <c r="CA608" s="20">
        <f>INDEX(Input!$1:$1048576,CA$93,$C608*2+6)</f>
        <v>0.1</v>
      </c>
      <c r="CB608" s="20">
        <f>INDEX(Input!$1:$1048576,CB$93,$C608*2+6)</f>
        <v>0.1</v>
      </c>
      <c r="CC608" s="20">
        <f>INDEX(Input!$1:$1048576,CC$93,$C608*2+6)</f>
        <v>0.1</v>
      </c>
      <c r="CD608" s="384">
        <f>INDEX(Input!$1:$1048576,CD$93,$C608*2+6)</f>
        <v>0.1</v>
      </c>
      <c r="CE608" s="384">
        <f>INDEX(Input!$1:$1048576,CE$93,$C608*2+6)</f>
        <v>0.1</v>
      </c>
      <c r="CF608" s="384">
        <f>INDEX(Input!$1:$1048576,CF$93,$C608*2+6)</f>
        <v>0.1</v>
      </c>
      <c r="CG608" s="384">
        <f>INDEX(Input!$1:$1048576,CG$93,$C608*2+6)</f>
        <v>0.1</v>
      </c>
      <c r="CH608" s="384">
        <f>INDEX(Input!$1:$1048576,CH$93,$C608*2+6)</f>
        <v>0.1</v>
      </c>
      <c r="CI608" s="304">
        <f t="shared" si="1718"/>
        <v>1267.2644913000609</v>
      </c>
      <c r="CJ608" s="16" t="str">
        <f>INDEX(Input!$1:$1048576,CJ$93,$C608*2+6)</f>
        <v>N</v>
      </c>
      <c r="CK608" s="1" t="str">
        <f t="shared" si="1719"/>
        <v>Market</v>
      </c>
      <c r="CL608" s="1" t="str">
        <f t="shared" si="1720"/>
        <v>Market</v>
      </c>
      <c r="CM608" s="1" t="str">
        <f t="shared" si="1721"/>
        <v>Market</v>
      </c>
      <c r="CN608" s="1" t="str">
        <f t="shared" si="1722"/>
        <v>Market</v>
      </c>
      <c r="CO608" s="1" t="str">
        <f t="shared" si="1723"/>
        <v>Market</v>
      </c>
      <c r="CP608" s="304">
        <f t="shared" si="1724"/>
        <v>500</v>
      </c>
      <c r="CQ608" s="1">
        <f t="shared" si="1725"/>
        <v>0</v>
      </c>
      <c r="CR608" s="1">
        <f t="shared" si="1726"/>
        <v>0</v>
      </c>
      <c r="CS608" s="1">
        <f t="shared" si="1727"/>
        <v>0</v>
      </c>
      <c r="CT608" s="1">
        <f t="shared" si="1728"/>
        <v>1.9E-2</v>
      </c>
      <c r="CU608" s="1">
        <f t="shared" si="1729"/>
        <v>3.9E-2</v>
      </c>
      <c r="CV608" s="304">
        <f t="shared" si="1730"/>
        <v>737.99367635402496</v>
      </c>
      <c r="CW608" s="20" t="s">
        <v>122</v>
      </c>
      <c r="CX608" s="20" t="s">
        <v>122</v>
      </c>
      <c r="CY608" s="20" t="s">
        <v>122</v>
      </c>
      <c r="CZ608" s="20" t="s">
        <v>122</v>
      </c>
      <c r="DA608" s="20" t="s">
        <v>122</v>
      </c>
      <c r="DB608" s="503">
        <f t="shared" si="1731"/>
        <v>0</v>
      </c>
      <c r="DC608" s="127">
        <v>0</v>
      </c>
      <c r="DD608" s="127">
        <v>0</v>
      </c>
      <c r="DE608" s="127">
        <v>0</v>
      </c>
      <c r="DF608" s="127">
        <v>0</v>
      </c>
      <c r="DG608" s="127">
        <v>0</v>
      </c>
      <c r="DH608" s="127">
        <v>0</v>
      </c>
      <c r="DI608" s="127">
        <v>0</v>
      </c>
      <c r="DJ608" s="127">
        <v>0</v>
      </c>
      <c r="DK608" s="127">
        <v>0</v>
      </c>
      <c r="DL608" s="127">
        <v>0</v>
      </c>
      <c r="DM608" s="304">
        <f>INDEX(Input!$1:$1048576,DM$93,$C608*2+6)</f>
        <v>21036.84210526316</v>
      </c>
      <c r="DN608" s="20">
        <v>0</v>
      </c>
      <c r="DO608" s="20">
        <v>0</v>
      </c>
      <c r="DP608" s="20">
        <v>0</v>
      </c>
      <c r="DQ608" s="20">
        <v>0</v>
      </c>
      <c r="DR608" s="20">
        <v>0</v>
      </c>
      <c r="DS608" s="20">
        <f>INDEX(Input!$1:$1048576,DS$93,$C608*2+6)</f>
        <v>0.6</v>
      </c>
      <c r="DT608" s="20">
        <f>INDEX(Input!$1:$1048576,DT$93,$C608*2+6)</f>
        <v>0.55000000000000004</v>
      </c>
      <c r="DU608" s="20">
        <f>INDEX(Input!$1:$1048576,DU$93,$C608*2+6)</f>
        <v>0.52</v>
      </c>
      <c r="DV608" s="20">
        <f>INDEX(Input!$1:$1048576,DV$93,$C608*2+6)</f>
        <v>0.5</v>
      </c>
      <c r="DW608" s="20">
        <f>INDEX(Input!$1:$1048576,DW$93,$C608*2+6)</f>
        <v>0.45</v>
      </c>
      <c r="DX608" s="20"/>
      <c r="DY608" s="7"/>
      <c r="DZ608" s="7"/>
      <c r="EA608" s="7"/>
      <c r="EB608" s="7"/>
      <c r="EC608" s="7"/>
      <c r="ED608" s="7"/>
      <c r="EE608" s="7"/>
      <c r="EF608" s="7"/>
      <c r="EG608" s="7"/>
      <c r="EH608" s="7"/>
      <c r="EI608" s="7"/>
      <c r="EJ608" s="7"/>
      <c r="EK608" s="7"/>
      <c r="EL608" s="7"/>
      <c r="EM608" s="7"/>
      <c r="EN608" s="7"/>
      <c r="EO608" s="7"/>
      <c r="EP608" s="7"/>
      <c r="EQ608" s="7"/>
      <c r="ER608" s="7"/>
      <c r="ES608" s="7"/>
      <c r="ET608" s="7"/>
      <c r="EU608" s="6"/>
      <c r="EV608" s="6"/>
      <c r="EW608" s="6"/>
      <c r="EX608" s="6"/>
      <c r="EY608" s="6"/>
      <c r="EZ608" s="6"/>
      <c r="FA608" s="6"/>
      <c r="FB608" s="6"/>
      <c r="FC608" s="6"/>
      <c r="FD608" s="6"/>
      <c r="FE608" s="6"/>
      <c r="FF608" s="6"/>
      <c r="FG608" s="6"/>
      <c r="FH608" s="6"/>
      <c r="FI608" s="6"/>
      <c r="FJ608" s="6"/>
      <c r="FK608" s="6"/>
      <c r="FL608" s="6"/>
      <c r="FM608" s="6"/>
      <c r="FN608" s="6"/>
      <c r="FO608" s="6"/>
      <c r="FP608" s="6"/>
      <c r="FQ608" s="6"/>
      <c r="FR608" s="6"/>
      <c r="FS608" s="6"/>
      <c r="FT608" s="7"/>
      <c r="FU608" s="7"/>
      <c r="FV608" s="7"/>
      <c r="FW608" s="6"/>
      <c r="FX608" s="6"/>
      <c r="FY608" s="6"/>
      <c r="FZ608" s="6"/>
      <c r="GA608" s="6"/>
      <c r="GB608" s="6"/>
      <c r="GC608" s="7"/>
      <c r="GD608" s="7"/>
      <c r="GE608" s="7"/>
      <c r="GF608" s="7"/>
      <c r="GG608" s="7"/>
      <c r="GH608" s="42"/>
      <c r="GI608" s="6"/>
      <c r="GJ608" s="14"/>
      <c r="GK608" s="14"/>
      <c r="GL608" s="14"/>
      <c r="GM608" s="14"/>
      <c r="GO608" s="5"/>
      <c r="GP608" s="5"/>
      <c r="GQ608" s="5"/>
      <c r="GR608" s="5"/>
      <c r="GS608" s="5"/>
      <c r="GT608" s="5"/>
      <c r="GU608" s="5"/>
      <c r="GV608" s="39"/>
      <c r="GW608" s="5"/>
      <c r="GX608" s="5"/>
      <c r="GY608" s="5"/>
      <c r="GZ608" s="5"/>
      <c r="HA608" s="5"/>
      <c r="HB608" s="39"/>
      <c r="HC608" s="5"/>
      <c r="HD608" s="5"/>
      <c r="HE608" s="5"/>
      <c r="HF608" s="5"/>
      <c r="HG608" s="5"/>
      <c r="HH608" s="39"/>
      <c r="HI608" s="16"/>
      <c r="HJ608" s="19"/>
      <c r="HK608" s="1"/>
      <c r="HL608" s="16"/>
      <c r="HM608" s="639">
        <f t="shared" si="1755"/>
        <v>2.3149872625708352E-2</v>
      </c>
      <c r="HN608" s="639">
        <f t="shared" si="1756"/>
        <v>1.3965040474190958E-3</v>
      </c>
      <c r="HO608" s="639">
        <f t="shared" si="1757"/>
        <v>3.5429561340050734E-3</v>
      </c>
      <c r="HP608" s="644">
        <f t="shared" ref="HP608:ID608" si="1815">HP108+HP208+HP308+HP408+HP508</f>
        <v>110.99910041748898</v>
      </c>
      <c r="HQ608" s="644">
        <f t="shared" si="1815"/>
        <v>5.6079910961487451</v>
      </c>
      <c r="HR608" s="644">
        <f t="shared" si="1815"/>
        <v>8.357510133868514</v>
      </c>
      <c r="HS608" s="644">
        <f t="shared" si="1815"/>
        <v>-60.103937341378995</v>
      </c>
      <c r="HT608" s="644">
        <f t="shared" si="1815"/>
        <v>70.620848758987876</v>
      </c>
      <c r="HU608" s="644">
        <f t="shared" si="1815"/>
        <v>15.807008549702287</v>
      </c>
      <c r="HV608" s="644">
        <f t="shared" si="1815"/>
        <v>0</v>
      </c>
      <c r="HW608" s="644">
        <f t="shared" si="1815"/>
        <v>0</v>
      </c>
      <c r="HX608" s="644">
        <f t="shared" si="1815"/>
        <v>0</v>
      </c>
      <c r="HY608" s="644">
        <f t="shared" si="1815"/>
        <v>2396</v>
      </c>
      <c r="HZ608" s="644">
        <f t="shared" si="1815"/>
        <v>3223</v>
      </c>
      <c r="IA608" s="644">
        <f t="shared" si="1815"/>
        <v>830</v>
      </c>
      <c r="IB608" s="644">
        <f t="shared" si="1815"/>
        <v>2446.8951630761103</v>
      </c>
      <c r="IC608" s="644">
        <f t="shared" si="1815"/>
        <v>3299.2288398551364</v>
      </c>
      <c r="ID608" s="644">
        <f t="shared" si="1815"/>
        <v>854.16451868357092</v>
      </c>
      <c r="IE608" s="20">
        <f t="shared" si="1759"/>
        <v>0.37072548496371732</v>
      </c>
      <c r="IF608" s="20">
        <f t="shared" si="1760"/>
        <v>0.49986130591878297</v>
      </c>
      <c r="IG608" s="20">
        <f t="shared" si="1761"/>
        <v>0.12941320911749962</v>
      </c>
      <c r="IH608" s="21"/>
      <c r="II608" s="19"/>
      <c r="IJ608" s="19"/>
      <c r="IK608" s="19"/>
      <c r="IL608" s="19">
        <f t="shared" si="1762"/>
        <v>175.96275102966729</v>
      </c>
      <c r="IM608" s="19">
        <f t="shared" si="1763"/>
        <v>175.804272861762</v>
      </c>
      <c r="IN608" s="19">
        <f t="shared" si="1764"/>
        <v>111.26223185485469</v>
      </c>
      <c r="IO608" s="39"/>
      <c r="IP608" s="39"/>
      <c r="IQ608" s="39"/>
      <c r="IR608" s="39"/>
      <c r="IS608" s="39"/>
      <c r="IT608" s="39"/>
      <c r="IU608" s="39"/>
      <c r="IV608" s="39"/>
      <c r="IW608" s="39"/>
      <c r="IX608" s="19">
        <f t="shared" si="1765"/>
        <v>1554.1790484140233</v>
      </c>
      <c r="IY608" s="19">
        <f t="shared" si="1766"/>
        <v>2412.3001201524512</v>
      </c>
      <c r="IZ608" s="19">
        <f t="shared" si="1767"/>
        <v>3993.0862952928574</v>
      </c>
      <c r="JA608" s="19">
        <f t="shared" ref="JA608:JC608" si="1816">IFERROR((JA108*IB108+JA208*IB208+JA308*IB308+JA408*IB408+JA508*IB508)/IB608,0)</f>
        <v>1730.1417994436906</v>
      </c>
      <c r="JB608" s="19">
        <f t="shared" si="1816"/>
        <v>2588.1043930142132</v>
      </c>
      <c r="JC608" s="19">
        <f t="shared" si="1816"/>
        <v>4104.348527147712</v>
      </c>
      <c r="JD608" s="19">
        <f t="shared" si="1769"/>
        <v>2466.2578136358529</v>
      </c>
      <c r="JE608" s="21"/>
      <c r="JF608" s="1">
        <f t="shared" si="1770"/>
        <v>2.6651855648468406E-2</v>
      </c>
      <c r="JG608" s="15">
        <f t="shared" si="1771"/>
        <v>6449</v>
      </c>
      <c r="JH608" s="1">
        <f t="shared" si="1772"/>
        <v>1.9377361086603543E-2</v>
      </c>
      <c r="JI608" s="1">
        <f t="shared" si="1773"/>
        <v>4.0818607485363888E-3</v>
      </c>
      <c r="JJ608" s="1">
        <f t="shared" si="1774"/>
        <v>0</v>
      </c>
      <c r="JK608" s="1">
        <f t="shared" si="1775"/>
        <v>2.3459221835139932E-2</v>
      </c>
      <c r="JL608" s="15">
        <f t="shared" ref="JL608:JM608" si="1817">JL108+JL208+JL308+JL408+JL508</f>
        <v>151.28852161481743</v>
      </c>
      <c r="JM608" s="15">
        <f t="shared" si="1817"/>
        <v>6600.288521614817</v>
      </c>
      <c r="JN608" s="21"/>
      <c r="JO608" s="19">
        <f>INDEX(Input!$1:$1048576,JO$93,$C608*2+6)</f>
        <v>5995.5</v>
      </c>
      <c r="JP608" s="19">
        <f>INDEX(Input!$1:$1048576,JP$93,$C608*2+6)</f>
        <v>2296.6050414551746</v>
      </c>
      <c r="JQ608" s="39">
        <f t="shared" si="1799"/>
        <v>3529.2421863641471</v>
      </c>
      <c r="JR608" s="39">
        <f t="shared" si="1800"/>
        <v>169.65277218067831</v>
      </c>
      <c r="JS608" s="39">
        <f t="shared" si="1801"/>
        <v>16.278013138683573</v>
      </c>
      <c r="JT608" s="39">
        <f t="shared" si="1802"/>
        <v>1.467207226339154</v>
      </c>
      <c r="JU608" s="385">
        <f>(JQ608*JM608-INDEX(Input!$1:$1048576,Input!A$18,$C608*2+6)*JL608*INDEX(Input!$1:$1048576,Input!A$19,$C608*2+6))/1000000</f>
        <v>23.294016692658058</v>
      </c>
      <c r="JV608" s="39">
        <f t="shared" si="1803"/>
        <v>-0.56015689499751886</v>
      </c>
      <c r="JW608" s="1">
        <f t="shared" si="1804"/>
        <v>-2.3482552977119167E-2</v>
      </c>
      <c r="JX608" s="19">
        <f t="shared" si="1805"/>
        <v>9698.0736587186911</v>
      </c>
      <c r="JZ608" s="341"/>
      <c r="KA608" s="60"/>
      <c r="KB608" s="469">
        <f t="shared" si="1778"/>
        <v>0</v>
      </c>
      <c r="KI608" s="472"/>
      <c r="KJ608" s="472"/>
      <c r="KK608" s="472"/>
      <c r="KN608" s="793">
        <f t="shared" si="1779"/>
        <v>6002</v>
      </c>
      <c r="KO608" s="541">
        <f t="shared" si="1780"/>
        <v>0</v>
      </c>
      <c r="KP608" s="546">
        <f t="shared" si="1781"/>
        <v>3.4245570307078146</v>
      </c>
      <c r="KQ608" s="546">
        <f t="shared" si="1782"/>
        <v>3.4245570307080015</v>
      </c>
      <c r="KR608" s="472">
        <f t="shared" si="1783"/>
        <v>0</v>
      </c>
      <c r="KS608" s="472">
        <f t="shared" si="1784"/>
        <v>0</v>
      </c>
      <c r="KT608" s="473">
        <f t="shared" si="1795"/>
        <v>4286.2445668946921</v>
      </c>
      <c r="KU608" s="663">
        <f t="shared" si="1785"/>
        <v>4.3748294698110755</v>
      </c>
      <c r="KV608" s="117"/>
    </row>
    <row r="609" spans="1:308" s="26" customFormat="1" ht="15">
      <c r="A609" s="561">
        <f t="shared" si="1751"/>
        <v>6009</v>
      </c>
      <c r="B609" s="561">
        <f t="shared" si="1786"/>
        <v>9</v>
      </c>
      <c r="C609" s="561">
        <f t="shared" si="1787"/>
        <v>6</v>
      </c>
      <c r="D609" s="561" t="str">
        <f t="shared" ref="D609:D618" si="1818">IF(E609=INDEX(E:E,MATCH(C609*1000+2,A:A,0)),"",E609-INDEX(E:E,MATCH(C609*1000+2,A:A,0))&amp;E$100&amp;", ")
&amp;IF(F609=INDEX(F:F,MATCH(C609*1000+2,A:A,0)),"",F609-INDEX(F:F,MATCH(C609*1000+2,A:A,0))&amp;F$100&amp;", ")
&amp;IF(AM609=INDEX(AM:AM,MATCH(C609*1000+2,A:A,0)),"",AM609&amp;AM$100&amp;", ")
&amp;IF(AP609=INDEX(AP:AP,MATCH(C609*1000+2,A:A,0)),"",AP609&amp;AP$100&amp;", ")
&amp;IF(Q609=INDEX(Q:Q,MATCH(C609*1000+2,A:A,0)),"",Q609-INDEX(Q:Q,MATCH(C609*1000+2,A:A,0))&amp;Q$100&amp;", ")
&amp;IF(Y609=INDEX(Y:Y,MATCH(C609*1000+2,A:A,0)),"",Y609-INDEX(Y:Y,MATCH(C609*1000+2,A:A,0))&amp;Y$100&amp;", ")
&amp;IF(Z609=INDEX(Z:Z,MATCH(C609*1000+2,A:A,0)),"",Z609-INDEX(Z:Z,MATCH(C609*1000+2,A:A,0))&amp;Z$100&amp;", ")
&amp;IF(AA609=INDEX(AA:AA,MATCH(C609*1000+2,A:A,0)),"",AA609-INDEX(AA:AA,MATCH(C609*1000+2,A:A,0))&amp;AA$100&amp;", ")
&amp;IF(AC609=INDEX(AC:AC,MATCH(C609*1000+2,A:A,0)),"",AC609-INDEX(AC:AC,MATCH(C609*1000+2,A:A,0))&amp;AC$100&amp;", ")
&amp;IF(AE609=INDEX(AE:AE,MATCH(C609*1000+2,A:A,0)),"",AE609-INDEX(AE:AE,MATCH(C609*1000+2,A:A,0))&amp;AE$100&amp;", ")
&amp;IF(AG609=INDEX(AG:AG,MATCH(C609*1000+2,A:A,0)),"",AG609-INDEX(AG:AG,MATCH(C609*1000+2,A:A,0))&amp;AG$100&amp;", ")
&amp;IF(AI609=INDEX(AI:AI,MATCH(C609*1000+2,A:A,0)),"",AI609-INDEX(AI:AI,MATCH(C609*1000+2,A:A,0))&amp;AI$100&amp;", ")</f>
        <v xml:space="preserve">250 CC, </v>
      </c>
      <c r="E609" s="475">
        <f>INDEX(Input!$1:$1048576,E$93,$C609*2+MIN($B609,2)+5)+IF(OR(BX609&gt;50000,INDEX(Input!$1:$1048576,E$93,$C609*2+MIN($B609,2)+5)&gt;0),0,250)+IF(BX609&gt;50000,500,250)*1</f>
        <v>1517.2644913000609</v>
      </c>
      <c r="F609" s="475">
        <f>INDEX(Input!$1:$1048576,F$93,$C609*2+MIN($B609,2)+5)</f>
        <v>0</v>
      </c>
      <c r="G609" s="475">
        <f>INDEX(Input!$1:$1048576,G$93,$C609*2+MIN($B609,2)+5)</f>
        <v>0</v>
      </c>
      <c r="H609" s="115">
        <f>INDEX(Input!$1:$1048576,H$93,$C609*2+MIN($B609,2)+5)</f>
        <v>0</v>
      </c>
      <c r="I609" s="118">
        <f>INDEX(Input!$1:$1048576,I$93,$C609*2+MIN($B609,2)+5)</f>
        <v>0.7</v>
      </c>
      <c r="J609" s="118" t="str">
        <f>INDEX(Input!$1:$1048576,J$93,$C609*2+MIN($B609,2)+5)</f>
        <v>Market</v>
      </c>
      <c r="K609" s="118" t="str">
        <f>INDEX(Input!$1:$1048576,K$93,$C609*2+MIN($B609,2)+5)</f>
        <v>Market</v>
      </c>
      <c r="L609" s="118" t="str">
        <f>INDEX(Input!$1:$1048576,L$93,$C609*2+MIN($B609,2)+5)</f>
        <v>Market</v>
      </c>
      <c r="M609" s="118" t="str">
        <f>INDEX(Input!$1:$1048576,M$93,$C609*2+MIN($B609,2)+5)</f>
        <v>Market</v>
      </c>
      <c r="N609" s="118" t="str">
        <f>INDEX(Input!$1:$1048576,N$93,$C609*2+MIN($B609,2)+5)</f>
        <v>Market</v>
      </c>
      <c r="O609" s="118" t="str">
        <f>INDEX(Input!$1:$1048576,O$93,$C609*2+MIN($B609,2)+5)</f>
        <v>Market</v>
      </c>
      <c r="P609" s="118" t="str">
        <f>INDEX(Input!$1:$1048576,P$93,$C609*2+MIN($B609,2)+5)</f>
        <v>N</v>
      </c>
      <c r="Q609" s="30">
        <f>INDEX(Input!$1:$1048576,Q$93,$C609*2+MIN($B609,2)+5)</f>
        <v>0</v>
      </c>
      <c r="R609" s="383">
        <f>INDEX(Input!$1:$1048576,R$93,$C609*2+MIN($B609,2)+5)</f>
        <v>0</v>
      </c>
      <c r="S609" s="383">
        <f>INDEX(Input!$1:$1048576,S$93,$C609*2+MIN($B609,2)+5)</f>
        <v>0</v>
      </c>
      <c r="T609" s="383">
        <f>INDEX(Input!$1:$1048576,T$93,$C609*2+MIN($B609,2)+5)</f>
        <v>0</v>
      </c>
      <c r="U609" s="383">
        <f>INDEX(Input!$1:$1048576,U$93,$C609*2+MIN($B609,2)+5)</f>
        <v>0</v>
      </c>
      <c r="V609" s="383">
        <f>INDEX(Input!$1:$1048576,V$93,$C609*2+MIN($B609,2)+5)</f>
        <v>1.9E-2</v>
      </c>
      <c r="W609" s="884">
        <f>INDEX(Input!$1:$1048576,W$93,$C609*2+MIN($B609,2)+5)</f>
        <v>3.9E-2</v>
      </c>
      <c r="X609" s="118" t="str">
        <f>INDEX(Input!$1:$1048576,X$93,$C609*2+MIN($B609,2)+5)</f>
        <v>Y</v>
      </c>
      <c r="Y609" s="150">
        <f>INDEX(Input!$1:$1048576,Y$93,$C609*2+MIN($B609,2)+5)</f>
        <v>737.99367635402496</v>
      </c>
      <c r="Z609" s="30">
        <f>INDEX(Input!$1:$1048576,Z$93,$C609*2+MIN($B609,2)+5)</f>
        <v>0</v>
      </c>
      <c r="AA609" s="115">
        <f>INDEX(Input!$1:$1048576,AA$93,$C609*2+MIN($B609,2)+5)</f>
        <v>0</v>
      </c>
      <c r="AB609" s="118">
        <f>INDEX(Input!$1:$1048576,AB$93,$C609*2+MIN($B609,2)+5)</f>
        <v>0.27</v>
      </c>
      <c r="AC609" s="115">
        <f>INDEX(Input!$1:$1048576,AC$93,$C609*2+MIN($B609,2)+5)</f>
        <v>0</v>
      </c>
      <c r="AD609" s="118">
        <f>INDEX(Input!$1:$1048576,AD$93,$C609*2+MIN($B609,2)+5)</f>
        <v>0.27</v>
      </c>
      <c r="AE609" s="115">
        <f>INDEX(Input!$1:$1048576,AE$93,$C609*2+MIN($B609,2)+5)</f>
        <v>0</v>
      </c>
      <c r="AF609" s="118">
        <f>INDEX(Input!$1:$1048576,AF$93,$C609*2+MIN($B609,2)+5)</f>
        <v>1</v>
      </c>
      <c r="AG609" s="115">
        <f>INDEX(Input!$1:$1048576,AG$93,$C609*2+MIN($B609,2)+5)</f>
        <v>500</v>
      </c>
      <c r="AH609" s="118">
        <f>INDEX(Input!$1:$1048576,AH$93,$C609*2+MIN($B609,2)+5)</f>
        <v>1</v>
      </c>
      <c r="AI609" s="115">
        <f>INDEX(Input!$1:$1048576,AI$93,$C609*2+MIN($B609,2)+5)</f>
        <v>0</v>
      </c>
      <c r="AJ609" s="118">
        <f>INDEX(Input!$1:$1048576,AJ$93,$C609*2+MIN($B609,2)+5)</f>
        <v>0.27</v>
      </c>
      <c r="AK609" s="150">
        <f>ROUND(INDEX(Input!$1:$1048576,AK$93,$C608*2+MIN($B609,1)+5)+(Y609-VLOOKUP($C609*1000+1,$A:$HH,Y$92,FALSE)),0)</f>
        <v>3061</v>
      </c>
      <c r="AL609" s="150">
        <f>ROUND(INDEX(Input!$1:$1048576,AL$93,$C608*2+MIN($B609,1)+5)-(Y609-VLOOKUP($C609*1000+1,$A:$HH,Y$92,FALSE))/36,0)</f>
        <v>3552</v>
      </c>
      <c r="AM609" s="32" t="str">
        <f t="shared" si="1752"/>
        <v>std/std/std/std</v>
      </c>
      <c r="AN609" s="32" t="str">
        <f t="shared" si="1753"/>
        <v>$0 + 0/0/0/1.9/3.9</v>
      </c>
      <c r="AO609" s="32" t="str">
        <f t="shared" si="1754"/>
        <v>0/0/0/1.9/3.9</v>
      </c>
      <c r="AP609" s="32" t="str">
        <f t="shared" si="1716"/>
        <v>0/0.9/1.9/3.9</v>
      </c>
      <c r="AQ609" s="536">
        <f t="shared" si="1717"/>
        <v>0.39224958099207047</v>
      </c>
      <c r="AR609" s="32"/>
      <c r="AS609" s="302"/>
      <c r="AT609" s="3">
        <f t="shared" si="1788"/>
        <v>9</v>
      </c>
      <c r="AU609" s="41" t="s">
        <v>121</v>
      </c>
      <c r="AV609" s="41" t="s">
        <v>116</v>
      </c>
      <c r="AW609" s="41" t="str">
        <f>INDEX(Input!$1:$1048576,AW$93,$C609*2+6)</f>
        <v>Kia</v>
      </c>
      <c r="AX609" s="41" t="str">
        <f>INDEX(Input!$1:$1048576,AX$93,$C609*2+6)</f>
        <v>National</v>
      </c>
      <c r="AY609" s="41" t="str">
        <f>IF(LEN(D609)=0,"",INDEX(Input!$1:$1048576,AY$93,$C609*2+6))</f>
        <v>Compact SUV (52)</v>
      </c>
      <c r="AZ609" s="41" t="str">
        <f>INDEX(Input!$1:$1048576,AZ$93,$C609*2+6)</f>
        <v>Kia Soul</v>
      </c>
      <c r="BA609" s="3">
        <f>INDEX(Input!$1:$1048576,BA$93,$C609*2+6)</f>
        <v>2020</v>
      </c>
      <c r="BB609" s="128">
        <f>INDEX(Input!$1:$1048576,BB$93,$C609*2+6)</f>
        <v>1</v>
      </c>
      <c r="BC609" s="128">
        <f>INDEX(Input!$1:$1048576,BC$93,$C609*2+6)</f>
        <v>0.7</v>
      </c>
      <c r="BD609" s="1">
        <f>INDEX(Input!$1:$1048576,BD$93,$C609*2+6)</f>
        <v>4.4999999999999998E-2</v>
      </c>
      <c r="BE609" s="1">
        <f>INDEX(Input!$1:$1048576,BE$93,$C609*2+6)</f>
        <v>4.4999999999999998E-2</v>
      </c>
      <c r="BF609" s="1">
        <f>INDEX(Input!$1:$1048576,BF$93,$C609*2+6)</f>
        <v>0.05</v>
      </c>
      <c r="BG609" s="1">
        <f>INDEX(Input!$1:$1048576,BG$93,$C609*2+6)</f>
        <v>5.45E-2</v>
      </c>
      <c r="BH609" s="1">
        <f>INDEX(Input!$1:$1048576,BH$93,$C609*2+6)</f>
        <v>5.45E-2</v>
      </c>
      <c r="BI609" s="1">
        <f>INDEX(Input!$1:$1048576,BI$93,$C609*2+6)</f>
        <v>0.05</v>
      </c>
      <c r="BJ609" s="1">
        <f>INDEX(Input!$1:$1048576,BJ$93,$C609*2+6)</f>
        <v>0.05</v>
      </c>
      <c r="BK609" s="1">
        <f>INDEX(Input!$1:$1048576,BK$93,$C609*2+6)</f>
        <v>0.05</v>
      </c>
      <c r="BL609" s="1">
        <f>INDEX(Input!$1:$1048576,BL$93,$C609*2+6)</f>
        <v>5.5E-2</v>
      </c>
      <c r="BM609" s="1">
        <f>INDEX(Input!$1:$1048576,BM$93,$C609*2+6)</f>
        <v>0.06</v>
      </c>
      <c r="BN609" s="1">
        <f>INDEX(Input!$1:$1048576,BN$93,$C609*2+6)</f>
        <v>4.4999999999999998E-2</v>
      </c>
      <c r="BO609" s="1">
        <f>INDEX(Input!$1:$1048576,BO$93,$C609*2+6)</f>
        <v>4.4999999999999998E-2</v>
      </c>
      <c r="BP609" s="1">
        <f>INDEX(Input!$1:$1048576,BP$93,$C609*2+6)</f>
        <v>0.05</v>
      </c>
      <c r="BQ609" s="1">
        <f>INDEX(Input!$1:$1048576,BQ$93,$C609*2+6)</f>
        <v>5.45E-2</v>
      </c>
      <c r="BR609" s="1">
        <f>INDEX(Input!$1:$1048576,BR$93,$C609*2+6)</f>
        <v>5.45E-2</v>
      </c>
      <c r="BS609" s="1">
        <f>INDEX(Input!$1:$1048576,BS$93,$C609*2+6)</f>
        <v>0.05</v>
      </c>
      <c r="BT609" s="1">
        <f>INDEX(Input!$1:$1048576,BT$93,$C609*2+6)</f>
        <v>0.05</v>
      </c>
      <c r="BU609" s="1">
        <f>INDEX(Input!$1:$1048576,BU$93,$C609*2+6)</f>
        <v>0.05</v>
      </c>
      <c r="BV609" s="1">
        <f>INDEX(Input!$1:$1048576,BV$93,$C609*2+6)</f>
        <v>5.5E-2</v>
      </c>
      <c r="BW609" s="1">
        <f>INDEX(Input!$1:$1048576,BW$93,$C609*2+6)</f>
        <v>0.06</v>
      </c>
      <c r="BX609" s="127">
        <f>INDEX(Input!$1:$1048576,BX$93,$C609*2+6)</f>
        <v>19985</v>
      </c>
      <c r="BY609" s="20">
        <f>INDEX(Input!$1:$1048576,BY$93,$C609*2+6)</f>
        <v>0.1</v>
      </c>
      <c r="BZ609" s="20">
        <f>INDEX(Input!$1:$1048576,BZ$93,$C609*2+6)</f>
        <v>0.1</v>
      </c>
      <c r="CA609" s="20">
        <f>INDEX(Input!$1:$1048576,CA$93,$C609*2+6)</f>
        <v>0.1</v>
      </c>
      <c r="CB609" s="20">
        <f>INDEX(Input!$1:$1048576,CB$93,$C609*2+6)</f>
        <v>0.1</v>
      </c>
      <c r="CC609" s="20">
        <f>INDEX(Input!$1:$1048576,CC$93,$C609*2+6)</f>
        <v>0.1</v>
      </c>
      <c r="CD609" s="384">
        <f>INDEX(Input!$1:$1048576,CD$93,$C609*2+6)</f>
        <v>0.1</v>
      </c>
      <c r="CE609" s="384">
        <f>INDEX(Input!$1:$1048576,CE$93,$C609*2+6)</f>
        <v>0.1</v>
      </c>
      <c r="CF609" s="384">
        <f>INDEX(Input!$1:$1048576,CF$93,$C609*2+6)</f>
        <v>0.1</v>
      </c>
      <c r="CG609" s="384">
        <f>INDEX(Input!$1:$1048576,CG$93,$C609*2+6)</f>
        <v>0.1</v>
      </c>
      <c r="CH609" s="384">
        <f>INDEX(Input!$1:$1048576,CH$93,$C609*2+6)</f>
        <v>0.1</v>
      </c>
      <c r="CI609" s="304">
        <f t="shared" si="1718"/>
        <v>1517.2644913000609</v>
      </c>
      <c r="CJ609" s="16" t="str">
        <f>INDEX(Input!$1:$1048576,CJ$93,$C609*2+6)</f>
        <v>N</v>
      </c>
      <c r="CK609" s="1" t="str">
        <f t="shared" si="1719"/>
        <v>Market</v>
      </c>
      <c r="CL609" s="1" t="str">
        <f t="shared" si="1720"/>
        <v>Market</v>
      </c>
      <c r="CM609" s="1" t="str">
        <f t="shared" si="1721"/>
        <v>Market</v>
      </c>
      <c r="CN609" s="1" t="str">
        <f t="shared" si="1722"/>
        <v>Market</v>
      </c>
      <c r="CO609" s="1" t="str">
        <f t="shared" si="1723"/>
        <v>Market</v>
      </c>
      <c r="CP609" s="304">
        <f t="shared" si="1724"/>
        <v>500</v>
      </c>
      <c r="CQ609" s="1">
        <f t="shared" si="1725"/>
        <v>0</v>
      </c>
      <c r="CR609" s="1">
        <f t="shared" si="1726"/>
        <v>0</v>
      </c>
      <c r="CS609" s="1">
        <f t="shared" si="1727"/>
        <v>0</v>
      </c>
      <c r="CT609" s="1">
        <f t="shared" si="1728"/>
        <v>1.9E-2</v>
      </c>
      <c r="CU609" s="1">
        <f t="shared" si="1729"/>
        <v>3.9E-2</v>
      </c>
      <c r="CV609" s="304">
        <f t="shared" si="1730"/>
        <v>737.99367635402496</v>
      </c>
      <c r="CW609" s="20" t="s">
        <v>122</v>
      </c>
      <c r="CX609" s="20" t="s">
        <v>122</v>
      </c>
      <c r="CY609" s="20" t="s">
        <v>122</v>
      </c>
      <c r="CZ609" s="20" t="s">
        <v>122</v>
      </c>
      <c r="DA609" s="20" t="s">
        <v>122</v>
      </c>
      <c r="DB609" s="503">
        <f t="shared" si="1731"/>
        <v>0</v>
      </c>
      <c r="DC609" s="127">
        <v>0</v>
      </c>
      <c r="DD609" s="127">
        <v>0</v>
      </c>
      <c r="DE609" s="127">
        <v>0</v>
      </c>
      <c r="DF609" s="127">
        <v>0</v>
      </c>
      <c r="DG609" s="127">
        <v>0</v>
      </c>
      <c r="DH609" s="127">
        <v>0</v>
      </c>
      <c r="DI609" s="127">
        <v>0</v>
      </c>
      <c r="DJ609" s="127">
        <v>0</v>
      </c>
      <c r="DK609" s="127">
        <v>0</v>
      </c>
      <c r="DL609" s="127">
        <v>0</v>
      </c>
      <c r="DM609" s="304">
        <f>INDEX(Input!$1:$1048576,DM$93,$C609*2+6)</f>
        <v>21036.84210526316</v>
      </c>
      <c r="DN609" s="20">
        <v>0</v>
      </c>
      <c r="DO609" s="20">
        <v>0</v>
      </c>
      <c r="DP609" s="20">
        <v>0</v>
      </c>
      <c r="DQ609" s="20">
        <v>0</v>
      </c>
      <c r="DR609" s="20">
        <v>0</v>
      </c>
      <c r="DS609" s="20">
        <f>INDEX(Input!$1:$1048576,DS$93,$C609*2+6)</f>
        <v>0.6</v>
      </c>
      <c r="DT609" s="20">
        <f>INDEX(Input!$1:$1048576,DT$93,$C609*2+6)</f>
        <v>0.55000000000000004</v>
      </c>
      <c r="DU609" s="20">
        <f>INDEX(Input!$1:$1048576,DU$93,$C609*2+6)</f>
        <v>0.52</v>
      </c>
      <c r="DV609" s="20">
        <f>INDEX(Input!$1:$1048576,DV$93,$C609*2+6)</f>
        <v>0.5</v>
      </c>
      <c r="DW609" s="20">
        <f>INDEX(Input!$1:$1048576,DW$93,$C609*2+6)</f>
        <v>0.45</v>
      </c>
      <c r="DX609" s="20"/>
      <c r="DY609" s="7"/>
      <c r="DZ609" s="7"/>
      <c r="EA609" s="7"/>
      <c r="EB609" s="7"/>
      <c r="EC609" s="7"/>
      <c r="ED609" s="7"/>
      <c r="EE609" s="7"/>
      <c r="EF609" s="7"/>
      <c r="EG609" s="7"/>
      <c r="EH609" s="7"/>
      <c r="EI609" s="7"/>
      <c r="EJ609" s="7"/>
      <c r="EK609" s="7"/>
      <c r="EL609" s="7"/>
      <c r="EM609" s="7"/>
      <c r="EN609" s="7"/>
      <c r="EO609" s="7"/>
      <c r="EP609" s="7"/>
      <c r="EQ609" s="7"/>
      <c r="ER609" s="7"/>
      <c r="ES609" s="7"/>
      <c r="ET609" s="7"/>
      <c r="EU609" s="6"/>
      <c r="EV609" s="6"/>
      <c r="EW609" s="6"/>
      <c r="EX609" s="6"/>
      <c r="EY609" s="6"/>
      <c r="EZ609" s="6"/>
      <c r="FA609" s="6"/>
      <c r="FB609" s="6"/>
      <c r="FC609" s="6"/>
      <c r="FD609" s="6"/>
      <c r="FE609" s="6"/>
      <c r="FF609" s="6"/>
      <c r="FG609" s="6"/>
      <c r="FH609" s="6"/>
      <c r="FI609" s="6"/>
      <c r="FJ609" s="6"/>
      <c r="FK609" s="6"/>
      <c r="FL609" s="6"/>
      <c r="FM609" s="6"/>
      <c r="FN609" s="6"/>
      <c r="FO609" s="6"/>
      <c r="FP609" s="6"/>
      <c r="FQ609" s="6"/>
      <c r="FR609" s="6"/>
      <c r="FS609" s="6"/>
      <c r="FT609" s="7"/>
      <c r="FU609" s="7"/>
      <c r="FV609" s="7"/>
      <c r="FW609" s="6"/>
      <c r="FX609" s="6"/>
      <c r="FY609" s="6"/>
      <c r="FZ609" s="6"/>
      <c r="GA609" s="6"/>
      <c r="GB609" s="6"/>
      <c r="GC609" s="7"/>
      <c r="GD609" s="7"/>
      <c r="GE609" s="7"/>
      <c r="GF609" s="7"/>
      <c r="GG609" s="7"/>
      <c r="GH609" s="42"/>
      <c r="GI609" s="6"/>
      <c r="GJ609" s="14"/>
      <c r="GK609" s="14"/>
      <c r="GL609" s="14"/>
      <c r="GM609" s="14"/>
      <c r="GO609" s="5"/>
      <c r="GP609" s="5"/>
      <c r="GQ609" s="5"/>
      <c r="GR609" s="5"/>
      <c r="GS609" s="5"/>
      <c r="GT609" s="5"/>
      <c r="GU609" s="5"/>
      <c r="GV609" s="39"/>
      <c r="GW609" s="5"/>
      <c r="GX609" s="5"/>
      <c r="GY609" s="5"/>
      <c r="GZ609" s="5"/>
      <c r="HA609" s="5"/>
      <c r="HB609" s="39"/>
      <c r="HC609" s="5"/>
      <c r="HD609" s="5"/>
      <c r="HE609" s="5"/>
      <c r="HF609" s="5"/>
      <c r="HG609" s="5"/>
      <c r="HH609" s="39"/>
      <c r="HI609" s="16"/>
      <c r="HJ609" s="19"/>
      <c r="HK609" s="1"/>
      <c r="HL609" s="16"/>
      <c r="HM609" s="639">
        <f t="shared" si="1755"/>
        <v>2.3149872625708352E-2</v>
      </c>
      <c r="HN609" s="639">
        <f t="shared" si="1756"/>
        <v>1.3965040474190958E-3</v>
      </c>
      <c r="HO609" s="639">
        <f t="shared" si="1757"/>
        <v>3.5429561340050734E-3</v>
      </c>
      <c r="HP609" s="644">
        <f t="shared" ref="HP609:ID609" si="1819">HP109+HP209+HP309+HP409+HP509</f>
        <v>371.17539222906203</v>
      </c>
      <c r="HQ609" s="644">
        <f t="shared" si="1819"/>
        <v>-22.921141534888001</v>
      </c>
      <c r="HR609" s="644">
        <f t="shared" si="1819"/>
        <v>-58.288967967702185</v>
      </c>
      <c r="HS609" s="644">
        <f t="shared" si="1819"/>
        <v>-147.92976684190259</v>
      </c>
      <c r="HT609" s="644">
        <f t="shared" si="1819"/>
        <v>57.821508836498637</v>
      </c>
      <c r="HU609" s="644">
        <f t="shared" si="1819"/>
        <v>28.640549049722161</v>
      </c>
      <c r="HV609" s="644">
        <f t="shared" si="1819"/>
        <v>0</v>
      </c>
      <c r="HW609" s="644">
        <f t="shared" si="1819"/>
        <v>0</v>
      </c>
      <c r="HX609" s="644">
        <f t="shared" si="1819"/>
        <v>0</v>
      </c>
      <c r="HY609" s="644">
        <f t="shared" si="1819"/>
        <v>2396</v>
      </c>
      <c r="HZ609" s="644">
        <f t="shared" si="1819"/>
        <v>3223</v>
      </c>
      <c r="IA609" s="644">
        <f t="shared" si="1819"/>
        <v>830</v>
      </c>
      <c r="IB609" s="644">
        <f t="shared" si="1819"/>
        <v>2619.2456253871596</v>
      </c>
      <c r="IC609" s="644">
        <f t="shared" si="1819"/>
        <v>3257.9003673016105</v>
      </c>
      <c r="ID609" s="644">
        <f t="shared" si="1819"/>
        <v>800.35158108202006</v>
      </c>
      <c r="IE609" s="20">
        <f t="shared" si="1759"/>
        <v>0.39224958099207047</v>
      </c>
      <c r="IF609" s="20">
        <f t="shared" si="1760"/>
        <v>0.48789240749388557</v>
      </c>
      <c r="IG609" s="20">
        <f t="shared" si="1761"/>
        <v>0.11985801151404397</v>
      </c>
      <c r="IH609" s="21"/>
      <c r="II609" s="19"/>
      <c r="IJ609" s="19"/>
      <c r="IK609" s="19"/>
      <c r="IL609" s="19">
        <f t="shared" si="1762"/>
        <v>421.84056883553762</v>
      </c>
      <c r="IM609" s="19">
        <f t="shared" si="1763"/>
        <v>176.8544798295261</v>
      </c>
      <c r="IN609" s="19">
        <f t="shared" si="1764"/>
        <v>112.8225302726878</v>
      </c>
      <c r="IO609" s="39"/>
      <c r="IP609" s="39"/>
      <c r="IQ609" s="39"/>
      <c r="IR609" s="39"/>
      <c r="IS609" s="39"/>
      <c r="IT609" s="39"/>
      <c r="IU609" s="39"/>
      <c r="IV609" s="39"/>
      <c r="IW609" s="39"/>
      <c r="IX609" s="19">
        <f t="shared" si="1765"/>
        <v>1554.1790484140233</v>
      </c>
      <c r="IY609" s="19">
        <f t="shared" si="1766"/>
        <v>2412.3001201524512</v>
      </c>
      <c r="IZ609" s="19">
        <f t="shared" si="1767"/>
        <v>3993.0862952928574</v>
      </c>
      <c r="JA609" s="19">
        <f t="shared" ref="JA609:JC609" si="1820">IFERROR((JA109*IB109+JA209*IB209+JA309*IB309+JA409*IB409+JA509*IB509)/IB609,0)</f>
        <v>1976.019617249561</v>
      </c>
      <c r="JB609" s="19">
        <f t="shared" si="1820"/>
        <v>2589.1545999819773</v>
      </c>
      <c r="JC609" s="19">
        <f t="shared" si="1820"/>
        <v>4105.9088255655452</v>
      </c>
      <c r="JD609" s="19">
        <f t="shared" si="1769"/>
        <v>2530.4478053475768</v>
      </c>
      <c r="JE609" s="21"/>
      <c r="JF609" s="1">
        <f t="shared" si="1770"/>
        <v>2.6651855648468406E-2</v>
      </c>
      <c r="JG609" s="15">
        <f t="shared" si="1771"/>
        <v>6449</v>
      </c>
      <c r="JH609" s="1">
        <f t="shared" si="1772"/>
        <v>4.4962828768254269E-2</v>
      </c>
      <c r="JI609" s="1">
        <f t="shared" si="1773"/>
        <v>-9.5313550869408886E-3</v>
      </c>
      <c r="JJ609" s="1">
        <f t="shared" si="1774"/>
        <v>0</v>
      </c>
      <c r="JK609" s="1">
        <f t="shared" si="1775"/>
        <v>3.5431473681313393E-2</v>
      </c>
      <c r="JL609" s="15">
        <f t="shared" ref="JL609:JM609" si="1821">JL109+JL209+JL309+JL409+JL509</f>
        <v>228.49757377079007</v>
      </c>
      <c r="JM609" s="15">
        <f t="shared" si="1821"/>
        <v>6677.4975737707891</v>
      </c>
      <c r="JN609" s="21"/>
      <c r="JO609" s="19">
        <f>INDEX(Input!$1:$1048576,JO$93,$C609*2+6)</f>
        <v>5995.5</v>
      </c>
      <c r="JP609" s="19">
        <f>INDEX(Input!$1:$1048576,JP$93,$C609*2+6)</f>
        <v>2296.6050414551746</v>
      </c>
      <c r="JQ609" s="39">
        <f t="shared" si="1799"/>
        <v>3465.0521946524232</v>
      </c>
      <c r="JR609" s="39">
        <f t="shared" si="1800"/>
        <v>233.84276389240222</v>
      </c>
      <c r="JS609" s="39">
        <f t="shared" si="1801"/>
        <v>16.897059080762062</v>
      </c>
      <c r="JT609" s="39">
        <f t="shared" si="1802"/>
        <v>2.0862531684176417</v>
      </c>
      <c r="JU609" s="385">
        <f>(JQ609*JM609-INDEX(Input!$1:$1048576,Input!A$18,$C609*2+6)*JL609*INDEX(Input!$1:$1048576,Input!A$19,$C609*2+6))/1000000</f>
        <v>23.137877622780703</v>
      </c>
      <c r="JV609" s="39">
        <f t="shared" si="1803"/>
        <v>-0.7162959648748739</v>
      </c>
      <c r="JW609" s="1">
        <f t="shared" si="1804"/>
        <v>-3.0028119072863364E-2</v>
      </c>
      <c r="JX609" s="19">
        <f t="shared" si="1805"/>
        <v>9130.3077489584157</v>
      </c>
      <c r="JZ609" s="341"/>
      <c r="KA609" s="60"/>
      <c r="KB609" s="469">
        <f t="shared" si="1778"/>
        <v>0</v>
      </c>
      <c r="KI609" s="472"/>
      <c r="KJ609" s="472"/>
      <c r="KK609" s="472"/>
      <c r="KN609" s="793">
        <f t="shared" si="1779"/>
        <v>6002</v>
      </c>
      <c r="KO609" s="541">
        <f t="shared" si="1780"/>
        <v>1.1697829860486397E-2</v>
      </c>
      <c r="KP609" s="546">
        <f t="shared" si="1781"/>
        <v>100.31657884986384</v>
      </c>
      <c r="KQ609" s="546">
        <f t="shared" si="1782"/>
        <v>67.614548742431907</v>
      </c>
      <c r="KR609" s="472">
        <f t="shared" si="1783"/>
        <v>2.0432447727117062</v>
      </c>
      <c r="KS609" s="472">
        <f t="shared" si="1784"/>
        <v>3.0314677708212678</v>
      </c>
      <c r="KT609" s="473">
        <f t="shared" si="1795"/>
        <v>4286.2445668946921</v>
      </c>
      <c r="KU609" s="663">
        <f t="shared" si="1785"/>
        <v>4.4061191537469275</v>
      </c>
      <c r="KV609" s="117"/>
    </row>
    <row r="610" spans="1:308" s="26" customFormat="1" ht="15">
      <c r="A610" s="561">
        <f t="shared" si="1751"/>
        <v>6010</v>
      </c>
      <c r="B610" s="561">
        <f t="shared" si="1786"/>
        <v>10</v>
      </c>
      <c r="C610" s="561">
        <f t="shared" si="1787"/>
        <v>6</v>
      </c>
      <c r="D610" s="561" t="str">
        <f t="shared" si="1818"/>
        <v xml:space="preserve">500 CC, </v>
      </c>
      <c r="E610" s="475">
        <f>INDEX(Input!$1:$1048576,E$93,$C610*2+MIN($B610,2)+5)+IF(OR(BX610&gt;50000,INDEX(Input!$1:$1048576,E$93,$C610*2+MIN($B610,2)+5)&gt;0),0,250)+IF(BX610&gt;50000,500,250)*2</f>
        <v>1767.2644913000609</v>
      </c>
      <c r="F610" s="475">
        <f>INDEX(Input!$1:$1048576,F$93,$C610*2+MIN($B610,2)+5)</f>
        <v>0</v>
      </c>
      <c r="G610" s="475">
        <f>INDEX(Input!$1:$1048576,G$93,$C610*2+MIN($B610,2)+5)</f>
        <v>0</v>
      </c>
      <c r="H610" s="115">
        <f>INDEX(Input!$1:$1048576,H$93,$C610*2+MIN($B610,2)+5)</f>
        <v>0</v>
      </c>
      <c r="I610" s="118">
        <f>INDEX(Input!$1:$1048576,I$93,$C610*2+MIN($B610,2)+5)</f>
        <v>0.7</v>
      </c>
      <c r="J610" s="118" t="str">
        <f>INDEX(Input!$1:$1048576,J$93,$C610*2+MIN($B610,2)+5)</f>
        <v>Market</v>
      </c>
      <c r="K610" s="118" t="str">
        <f>INDEX(Input!$1:$1048576,K$93,$C610*2+MIN($B610,2)+5)</f>
        <v>Market</v>
      </c>
      <c r="L610" s="118" t="str">
        <f>INDEX(Input!$1:$1048576,L$93,$C610*2+MIN($B610,2)+5)</f>
        <v>Market</v>
      </c>
      <c r="M610" s="118" t="str">
        <f>INDEX(Input!$1:$1048576,M$93,$C610*2+MIN($B610,2)+5)</f>
        <v>Market</v>
      </c>
      <c r="N610" s="118" t="str">
        <f>INDEX(Input!$1:$1048576,N$93,$C610*2+MIN($B610,2)+5)</f>
        <v>Market</v>
      </c>
      <c r="O610" s="118" t="str">
        <f>INDEX(Input!$1:$1048576,O$93,$C610*2+MIN($B610,2)+5)</f>
        <v>Market</v>
      </c>
      <c r="P610" s="118" t="str">
        <f>INDEX(Input!$1:$1048576,P$93,$C610*2+MIN($B610,2)+5)</f>
        <v>N</v>
      </c>
      <c r="Q610" s="30">
        <f>INDEX(Input!$1:$1048576,Q$93,$C610*2+MIN($B610,2)+5)</f>
        <v>0</v>
      </c>
      <c r="R610" s="383">
        <f>INDEX(Input!$1:$1048576,R$93,$C610*2+MIN($B610,2)+5)</f>
        <v>0</v>
      </c>
      <c r="S610" s="383">
        <f>INDEX(Input!$1:$1048576,S$93,$C610*2+MIN($B610,2)+5)</f>
        <v>0</v>
      </c>
      <c r="T610" s="383">
        <f>INDEX(Input!$1:$1048576,T$93,$C610*2+MIN($B610,2)+5)</f>
        <v>0</v>
      </c>
      <c r="U610" s="383">
        <f>INDEX(Input!$1:$1048576,U$93,$C610*2+MIN($B610,2)+5)</f>
        <v>0</v>
      </c>
      <c r="V610" s="383">
        <f>INDEX(Input!$1:$1048576,V$93,$C610*2+MIN($B610,2)+5)</f>
        <v>1.9E-2</v>
      </c>
      <c r="W610" s="884">
        <f>INDEX(Input!$1:$1048576,W$93,$C610*2+MIN($B610,2)+5)</f>
        <v>3.9E-2</v>
      </c>
      <c r="X610" s="118" t="str">
        <f>INDEX(Input!$1:$1048576,X$93,$C610*2+MIN($B610,2)+5)</f>
        <v>Y</v>
      </c>
      <c r="Y610" s="150">
        <f>INDEX(Input!$1:$1048576,Y$93,$C610*2+MIN($B610,2)+5)</f>
        <v>737.99367635402496</v>
      </c>
      <c r="Z610" s="30">
        <f>INDEX(Input!$1:$1048576,Z$93,$C610*2+MIN($B610,2)+5)</f>
        <v>0</v>
      </c>
      <c r="AA610" s="115">
        <f>INDEX(Input!$1:$1048576,AA$93,$C610*2+MIN($B610,2)+5)</f>
        <v>0</v>
      </c>
      <c r="AB610" s="118">
        <f>INDEX(Input!$1:$1048576,AB$93,$C610*2+MIN($B610,2)+5)</f>
        <v>0.27</v>
      </c>
      <c r="AC610" s="115">
        <f>INDEX(Input!$1:$1048576,AC$93,$C610*2+MIN($B610,2)+5)</f>
        <v>0</v>
      </c>
      <c r="AD610" s="118">
        <f>INDEX(Input!$1:$1048576,AD$93,$C610*2+MIN($B610,2)+5)</f>
        <v>0.27</v>
      </c>
      <c r="AE610" s="115">
        <f>INDEX(Input!$1:$1048576,AE$93,$C610*2+MIN($B610,2)+5)</f>
        <v>0</v>
      </c>
      <c r="AF610" s="118">
        <f>INDEX(Input!$1:$1048576,AF$93,$C610*2+MIN($B610,2)+5)</f>
        <v>1</v>
      </c>
      <c r="AG610" s="115">
        <f>INDEX(Input!$1:$1048576,AG$93,$C610*2+MIN($B610,2)+5)</f>
        <v>500</v>
      </c>
      <c r="AH610" s="118">
        <f>INDEX(Input!$1:$1048576,AH$93,$C610*2+MIN($B610,2)+5)</f>
        <v>1</v>
      </c>
      <c r="AI610" s="115">
        <f>INDEX(Input!$1:$1048576,AI$93,$C610*2+MIN($B610,2)+5)</f>
        <v>0</v>
      </c>
      <c r="AJ610" s="118">
        <f>INDEX(Input!$1:$1048576,AJ$93,$C610*2+MIN($B610,2)+5)</f>
        <v>0.27</v>
      </c>
      <c r="AK610" s="150">
        <f>ROUND(INDEX(Input!$1:$1048576,AK$93,$C609*2+MIN($B610,1)+5)+(Y610-VLOOKUP($C610*1000+1,$A:$HH,Y$92,FALSE)),0)</f>
        <v>3061</v>
      </c>
      <c r="AL610" s="150">
        <f>ROUND(INDEX(Input!$1:$1048576,AL$93,$C609*2+MIN($B610,1)+5)-(Y610-VLOOKUP($C610*1000+1,$A:$HH,Y$92,FALSE))/36,0)</f>
        <v>3552</v>
      </c>
      <c r="AM610" s="32" t="str">
        <f t="shared" si="1752"/>
        <v>std/std/std/std</v>
      </c>
      <c r="AN610" s="32" t="str">
        <f t="shared" si="1753"/>
        <v>$0 + 0/0/0/1.9/3.9</v>
      </c>
      <c r="AO610" s="32" t="str">
        <f t="shared" si="1754"/>
        <v>0/0/0/1.9/3.9</v>
      </c>
      <c r="AP610" s="32" t="str">
        <f t="shared" si="1716"/>
        <v>0/0.9/1.9/3.9</v>
      </c>
      <c r="AQ610" s="536">
        <f t="shared" si="1717"/>
        <v>0.41316660183483739</v>
      </c>
      <c r="AR610" s="32"/>
      <c r="AS610" s="302"/>
      <c r="AT610" s="3">
        <f t="shared" si="1788"/>
        <v>10</v>
      </c>
      <c r="AU610" s="41" t="s">
        <v>121</v>
      </c>
      <c r="AV610" s="41" t="s">
        <v>116</v>
      </c>
      <c r="AW610" s="41" t="str">
        <f>INDEX(Input!$1:$1048576,AW$93,$C610*2+6)</f>
        <v>Kia</v>
      </c>
      <c r="AX610" s="41" t="str">
        <f>INDEX(Input!$1:$1048576,AX$93,$C610*2+6)</f>
        <v>National</v>
      </c>
      <c r="AY610" s="41" t="str">
        <f>IF(LEN(D610)=0,"",INDEX(Input!$1:$1048576,AY$93,$C610*2+6))</f>
        <v>Compact SUV (52)</v>
      </c>
      <c r="AZ610" s="41" t="str">
        <f>INDEX(Input!$1:$1048576,AZ$93,$C610*2+6)</f>
        <v>Kia Soul</v>
      </c>
      <c r="BA610" s="3">
        <f>INDEX(Input!$1:$1048576,BA$93,$C610*2+6)</f>
        <v>2020</v>
      </c>
      <c r="BB610" s="128">
        <f>INDEX(Input!$1:$1048576,BB$93,$C610*2+6)</f>
        <v>1</v>
      </c>
      <c r="BC610" s="128">
        <f>INDEX(Input!$1:$1048576,BC$93,$C610*2+6)</f>
        <v>0.7</v>
      </c>
      <c r="BD610" s="1">
        <f>INDEX(Input!$1:$1048576,BD$93,$C610*2+6)</f>
        <v>4.4999999999999998E-2</v>
      </c>
      <c r="BE610" s="1">
        <f>INDEX(Input!$1:$1048576,BE$93,$C610*2+6)</f>
        <v>4.4999999999999998E-2</v>
      </c>
      <c r="BF610" s="1">
        <f>INDEX(Input!$1:$1048576,BF$93,$C610*2+6)</f>
        <v>0.05</v>
      </c>
      <c r="BG610" s="1">
        <f>INDEX(Input!$1:$1048576,BG$93,$C610*2+6)</f>
        <v>5.45E-2</v>
      </c>
      <c r="BH610" s="1">
        <f>INDEX(Input!$1:$1048576,BH$93,$C610*2+6)</f>
        <v>5.45E-2</v>
      </c>
      <c r="BI610" s="1">
        <f>INDEX(Input!$1:$1048576,BI$93,$C610*2+6)</f>
        <v>0.05</v>
      </c>
      <c r="BJ610" s="1">
        <f>INDEX(Input!$1:$1048576,BJ$93,$C610*2+6)</f>
        <v>0.05</v>
      </c>
      <c r="BK610" s="1">
        <f>INDEX(Input!$1:$1048576,BK$93,$C610*2+6)</f>
        <v>0.05</v>
      </c>
      <c r="BL610" s="1">
        <f>INDEX(Input!$1:$1048576,BL$93,$C610*2+6)</f>
        <v>5.5E-2</v>
      </c>
      <c r="BM610" s="1">
        <f>INDEX(Input!$1:$1048576,BM$93,$C610*2+6)</f>
        <v>0.06</v>
      </c>
      <c r="BN610" s="1">
        <f>INDEX(Input!$1:$1048576,BN$93,$C610*2+6)</f>
        <v>4.4999999999999998E-2</v>
      </c>
      <c r="BO610" s="1">
        <f>INDEX(Input!$1:$1048576,BO$93,$C610*2+6)</f>
        <v>4.4999999999999998E-2</v>
      </c>
      <c r="BP610" s="1">
        <f>INDEX(Input!$1:$1048576,BP$93,$C610*2+6)</f>
        <v>0.05</v>
      </c>
      <c r="BQ610" s="1">
        <f>INDEX(Input!$1:$1048576,BQ$93,$C610*2+6)</f>
        <v>5.45E-2</v>
      </c>
      <c r="BR610" s="1">
        <f>INDEX(Input!$1:$1048576,BR$93,$C610*2+6)</f>
        <v>5.45E-2</v>
      </c>
      <c r="BS610" s="1">
        <f>INDEX(Input!$1:$1048576,BS$93,$C610*2+6)</f>
        <v>0.05</v>
      </c>
      <c r="BT610" s="1">
        <f>INDEX(Input!$1:$1048576,BT$93,$C610*2+6)</f>
        <v>0.05</v>
      </c>
      <c r="BU610" s="1">
        <f>INDEX(Input!$1:$1048576,BU$93,$C610*2+6)</f>
        <v>0.05</v>
      </c>
      <c r="BV610" s="1">
        <f>INDEX(Input!$1:$1048576,BV$93,$C610*2+6)</f>
        <v>5.5E-2</v>
      </c>
      <c r="BW610" s="1">
        <f>INDEX(Input!$1:$1048576,BW$93,$C610*2+6)</f>
        <v>0.06</v>
      </c>
      <c r="BX610" s="127">
        <f>INDEX(Input!$1:$1048576,BX$93,$C610*2+6)</f>
        <v>19985</v>
      </c>
      <c r="BY610" s="20">
        <f>INDEX(Input!$1:$1048576,BY$93,$C610*2+6)</f>
        <v>0.1</v>
      </c>
      <c r="BZ610" s="20">
        <f>INDEX(Input!$1:$1048576,BZ$93,$C610*2+6)</f>
        <v>0.1</v>
      </c>
      <c r="CA610" s="20">
        <f>INDEX(Input!$1:$1048576,CA$93,$C610*2+6)</f>
        <v>0.1</v>
      </c>
      <c r="CB610" s="20">
        <f>INDEX(Input!$1:$1048576,CB$93,$C610*2+6)</f>
        <v>0.1</v>
      </c>
      <c r="CC610" s="20">
        <f>INDEX(Input!$1:$1048576,CC$93,$C610*2+6)</f>
        <v>0.1</v>
      </c>
      <c r="CD610" s="384">
        <f>INDEX(Input!$1:$1048576,CD$93,$C610*2+6)</f>
        <v>0.1</v>
      </c>
      <c r="CE610" s="384">
        <f>INDEX(Input!$1:$1048576,CE$93,$C610*2+6)</f>
        <v>0.1</v>
      </c>
      <c r="CF610" s="384">
        <f>INDEX(Input!$1:$1048576,CF$93,$C610*2+6)</f>
        <v>0.1</v>
      </c>
      <c r="CG610" s="384">
        <f>INDEX(Input!$1:$1048576,CG$93,$C610*2+6)</f>
        <v>0.1</v>
      </c>
      <c r="CH610" s="384">
        <f>INDEX(Input!$1:$1048576,CH$93,$C610*2+6)</f>
        <v>0.1</v>
      </c>
      <c r="CI610" s="304">
        <f t="shared" si="1718"/>
        <v>1767.2644913000609</v>
      </c>
      <c r="CJ610" s="16" t="str">
        <f>INDEX(Input!$1:$1048576,CJ$93,$C610*2+6)</f>
        <v>N</v>
      </c>
      <c r="CK610" s="1" t="str">
        <f t="shared" si="1719"/>
        <v>Market</v>
      </c>
      <c r="CL610" s="1" t="str">
        <f t="shared" si="1720"/>
        <v>Market</v>
      </c>
      <c r="CM610" s="1" t="str">
        <f t="shared" si="1721"/>
        <v>Market</v>
      </c>
      <c r="CN610" s="1" t="str">
        <f t="shared" si="1722"/>
        <v>Market</v>
      </c>
      <c r="CO610" s="1" t="str">
        <f t="shared" si="1723"/>
        <v>Market</v>
      </c>
      <c r="CP610" s="304">
        <f t="shared" si="1724"/>
        <v>500</v>
      </c>
      <c r="CQ610" s="1">
        <f t="shared" si="1725"/>
        <v>0</v>
      </c>
      <c r="CR610" s="1">
        <f t="shared" si="1726"/>
        <v>0</v>
      </c>
      <c r="CS610" s="1">
        <f t="shared" si="1727"/>
        <v>0</v>
      </c>
      <c r="CT610" s="1">
        <f t="shared" si="1728"/>
        <v>1.9E-2</v>
      </c>
      <c r="CU610" s="1">
        <f t="shared" si="1729"/>
        <v>3.9E-2</v>
      </c>
      <c r="CV610" s="304">
        <f t="shared" si="1730"/>
        <v>737.99367635402496</v>
      </c>
      <c r="CW610" s="20" t="s">
        <v>122</v>
      </c>
      <c r="CX610" s="20" t="s">
        <v>122</v>
      </c>
      <c r="CY610" s="20" t="s">
        <v>122</v>
      </c>
      <c r="CZ610" s="20" t="s">
        <v>122</v>
      </c>
      <c r="DA610" s="20" t="s">
        <v>122</v>
      </c>
      <c r="DB610" s="503">
        <f t="shared" si="1731"/>
        <v>0</v>
      </c>
      <c r="DC610" s="127">
        <v>0</v>
      </c>
      <c r="DD610" s="127">
        <v>0</v>
      </c>
      <c r="DE610" s="127">
        <v>0</v>
      </c>
      <c r="DF610" s="127">
        <v>0</v>
      </c>
      <c r="DG610" s="127">
        <v>0</v>
      </c>
      <c r="DH610" s="127">
        <v>0</v>
      </c>
      <c r="DI610" s="127">
        <v>0</v>
      </c>
      <c r="DJ610" s="127">
        <v>0</v>
      </c>
      <c r="DK610" s="127">
        <v>0</v>
      </c>
      <c r="DL610" s="127">
        <v>0</v>
      </c>
      <c r="DM610" s="304">
        <f>INDEX(Input!$1:$1048576,DM$93,$C610*2+6)</f>
        <v>21036.84210526316</v>
      </c>
      <c r="DN610" s="20">
        <v>0</v>
      </c>
      <c r="DO610" s="20">
        <v>0</v>
      </c>
      <c r="DP610" s="20">
        <v>0</v>
      </c>
      <c r="DQ610" s="20">
        <v>0</v>
      </c>
      <c r="DR610" s="20">
        <v>0</v>
      </c>
      <c r="DS610" s="20">
        <f>INDEX(Input!$1:$1048576,DS$93,$C610*2+6)</f>
        <v>0.6</v>
      </c>
      <c r="DT610" s="20">
        <f>INDEX(Input!$1:$1048576,DT$93,$C610*2+6)</f>
        <v>0.55000000000000004</v>
      </c>
      <c r="DU610" s="20">
        <f>INDEX(Input!$1:$1048576,DU$93,$C610*2+6)</f>
        <v>0.52</v>
      </c>
      <c r="DV610" s="20">
        <f>INDEX(Input!$1:$1048576,DV$93,$C610*2+6)</f>
        <v>0.5</v>
      </c>
      <c r="DW610" s="20">
        <f>INDEX(Input!$1:$1048576,DW$93,$C610*2+6)</f>
        <v>0.45</v>
      </c>
      <c r="DX610" s="20"/>
      <c r="DY610" s="7"/>
      <c r="DZ610" s="7"/>
      <c r="EA610" s="7"/>
      <c r="EB610" s="7"/>
      <c r="EC610" s="7"/>
      <c r="ED610" s="7"/>
      <c r="EE610" s="7"/>
      <c r="EF610" s="7"/>
      <c r="EG610" s="7"/>
      <c r="EH610" s="7"/>
      <c r="EI610" s="7"/>
      <c r="EJ610" s="7"/>
      <c r="EK610" s="7"/>
      <c r="EL610" s="7"/>
      <c r="EM610" s="7"/>
      <c r="EN610" s="7"/>
      <c r="EO610" s="7"/>
      <c r="EP610" s="7"/>
      <c r="EQ610" s="7"/>
      <c r="ER610" s="7"/>
      <c r="ES610" s="7"/>
      <c r="ET610" s="7"/>
      <c r="EU610" s="6"/>
      <c r="EV610" s="6"/>
      <c r="EW610" s="6"/>
      <c r="EX610" s="6"/>
      <c r="EY610" s="6"/>
      <c r="EZ610" s="6"/>
      <c r="FA610" s="6"/>
      <c r="FB610" s="6"/>
      <c r="FC610" s="6"/>
      <c r="FD610" s="6"/>
      <c r="FE610" s="6"/>
      <c r="FF610" s="6"/>
      <c r="FG610" s="6"/>
      <c r="FH610" s="6"/>
      <c r="FI610" s="6"/>
      <c r="FJ610" s="6"/>
      <c r="FK610" s="6"/>
      <c r="FL610" s="6"/>
      <c r="FM610" s="6"/>
      <c r="FN610" s="6"/>
      <c r="FO610" s="6"/>
      <c r="FP610" s="6"/>
      <c r="FQ610" s="6"/>
      <c r="FR610" s="6"/>
      <c r="FS610" s="6"/>
      <c r="FT610" s="7"/>
      <c r="FU610" s="7"/>
      <c r="FV610" s="7"/>
      <c r="FW610" s="6"/>
      <c r="FX610" s="6"/>
      <c r="FY610" s="6"/>
      <c r="FZ610" s="6"/>
      <c r="GA610" s="6"/>
      <c r="GB610" s="6"/>
      <c r="GC610" s="7"/>
      <c r="GD610" s="7"/>
      <c r="GE610" s="7"/>
      <c r="GF610" s="7"/>
      <c r="GG610" s="7"/>
      <c r="GH610" s="42"/>
      <c r="GI610" s="6"/>
      <c r="GJ610" s="14"/>
      <c r="GK610" s="14"/>
      <c r="GL610" s="14"/>
      <c r="GM610" s="14"/>
      <c r="GO610" s="5"/>
      <c r="GP610" s="5"/>
      <c r="GQ610" s="5"/>
      <c r="GR610" s="5"/>
      <c r="GS610" s="5"/>
      <c r="GT610" s="5"/>
      <c r="GU610" s="5"/>
      <c r="GV610" s="39"/>
      <c r="GW610" s="5"/>
      <c r="GX610" s="5"/>
      <c r="GY610" s="5"/>
      <c r="GZ610" s="5"/>
      <c r="HA610" s="5"/>
      <c r="HB610" s="39"/>
      <c r="HC610" s="5"/>
      <c r="HD610" s="5"/>
      <c r="HE610" s="5"/>
      <c r="HF610" s="5"/>
      <c r="HG610" s="5"/>
      <c r="HH610" s="39"/>
      <c r="HI610" s="16"/>
      <c r="HJ610" s="19"/>
      <c r="HK610" s="1"/>
      <c r="HL610" s="16"/>
      <c r="HM610" s="639">
        <f t="shared" si="1755"/>
        <v>2.3149872625708352E-2</v>
      </c>
      <c r="HN610" s="639">
        <f t="shared" si="1756"/>
        <v>1.3965040474190958E-3</v>
      </c>
      <c r="HO610" s="639">
        <f t="shared" si="1757"/>
        <v>3.5429561340050734E-3</v>
      </c>
      <c r="HP610" s="644">
        <f t="shared" ref="HP610:ID610" si="1822">HP110+HP210+HP310+HP410+HP510</f>
        <v>633.74065066963919</v>
      </c>
      <c r="HQ610" s="644">
        <f t="shared" si="1822"/>
        <v>-49.616269653377366</v>
      </c>
      <c r="HR610" s="644">
        <f t="shared" si="1822"/>
        <v>-121.49150013008872</v>
      </c>
      <c r="HS610" s="644">
        <f t="shared" si="1822"/>
        <v>-235.75556391789345</v>
      </c>
      <c r="HT610" s="644">
        <f t="shared" si="1822"/>
        <v>45.017787266355086</v>
      </c>
      <c r="HU610" s="644">
        <f t="shared" si="1822"/>
        <v>41.474057125209121</v>
      </c>
      <c r="HV610" s="644">
        <f t="shared" si="1822"/>
        <v>0</v>
      </c>
      <c r="HW610" s="644">
        <f t="shared" si="1822"/>
        <v>0</v>
      </c>
      <c r="HX610" s="644">
        <f t="shared" si="1822"/>
        <v>0</v>
      </c>
      <c r="HY610" s="644">
        <f t="shared" si="1822"/>
        <v>2396</v>
      </c>
      <c r="HZ610" s="644">
        <f t="shared" si="1822"/>
        <v>3223</v>
      </c>
      <c r="IA610" s="644">
        <f t="shared" si="1822"/>
        <v>830</v>
      </c>
      <c r="IB610" s="644">
        <f t="shared" si="1822"/>
        <v>2793.9850867517457</v>
      </c>
      <c r="IC610" s="644">
        <f t="shared" si="1822"/>
        <v>3218.4015176129783</v>
      </c>
      <c r="ID610" s="644">
        <f t="shared" si="1822"/>
        <v>749.98255699512038</v>
      </c>
      <c r="IE610" s="20">
        <f t="shared" si="1759"/>
        <v>0.41316660183483739</v>
      </c>
      <c r="IF610" s="20">
        <f t="shared" si="1760"/>
        <v>0.475928101648593</v>
      </c>
      <c r="IG610" s="20">
        <f t="shared" si="1761"/>
        <v>0.11090529651656972</v>
      </c>
      <c r="IH610" s="21"/>
      <c r="II610" s="19"/>
      <c r="IJ610" s="19"/>
      <c r="IK610" s="19"/>
      <c r="IL610" s="19">
        <f t="shared" si="1762"/>
        <v>668.12415428346867</v>
      </c>
      <c r="IM610" s="19">
        <f t="shared" si="1763"/>
        <v>177.9158783768853</v>
      </c>
      <c r="IN610" s="19">
        <f t="shared" si="1764"/>
        <v>114.43381419583693</v>
      </c>
      <c r="IO610" s="39"/>
      <c r="IP610" s="39"/>
      <c r="IQ610" s="39"/>
      <c r="IR610" s="39"/>
      <c r="IS610" s="39"/>
      <c r="IT610" s="39"/>
      <c r="IU610" s="39"/>
      <c r="IV610" s="39"/>
      <c r="IW610" s="39"/>
      <c r="IX610" s="19">
        <f t="shared" si="1765"/>
        <v>1554.1790484140233</v>
      </c>
      <c r="IY610" s="19">
        <f t="shared" si="1766"/>
        <v>2412.3001201524512</v>
      </c>
      <c r="IZ610" s="19">
        <f t="shared" si="1767"/>
        <v>3993.0862952928574</v>
      </c>
      <c r="JA610" s="19">
        <f t="shared" ref="JA610:JC610" si="1823">IFERROR((JA110*IB110+JA210*IB210+JA310*IB310+JA410*IB410+JA510*IB510)/IB610,0)</f>
        <v>2222.303202697492</v>
      </c>
      <c r="JB610" s="19">
        <f t="shared" si="1823"/>
        <v>2590.2159985293365</v>
      </c>
      <c r="JC610" s="19">
        <f t="shared" si="1823"/>
        <v>4107.5201094886943</v>
      </c>
      <c r="JD610" s="19">
        <f t="shared" si="1769"/>
        <v>2606.4837812356973</v>
      </c>
      <c r="JE610" s="21"/>
      <c r="JF610" s="1">
        <f t="shared" si="1770"/>
        <v>2.6651855648468406E-2</v>
      </c>
      <c r="JG610" s="15">
        <f t="shared" si="1771"/>
        <v>6449</v>
      </c>
      <c r="JH610" s="1">
        <f t="shared" si="1772"/>
        <v>7.1737150083140508E-2</v>
      </c>
      <c r="JI610" s="1">
        <f t="shared" si="1773"/>
        <v>-2.3145250352973986E-2</v>
      </c>
      <c r="JJ610" s="1">
        <f t="shared" si="1774"/>
        <v>0</v>
      </c>
      <c r="JK610" s="1">
        <f t="shared" si="1775"/>
        <v>4.8591899730166511E-2</v>
      </c>
      <c r="JL610" s="15">
        <f t="shared" ref="JL610:JM610" si="1824">JL110+JL210+JL310+JL410+JL510</f>
        <v>313.36916135984382</v>
      </c>
      <c r="JM610" s="15">
        <f t="shared" si="1824"/>
        <v>6762.3691613598439</v>
      </c>
      <c r="JN610" s="21"/>
      <c r="JO610" s="19">
        <f>INDEX(Input!$1:$1048576,JO$93,$C610*2+6)</f>
        <v>5995.5</v>
      </c>
      <c r="JP610" s="19">
        <f>INDEX(Input!$1:$1048576,JP$93,$C610*2+6)</f>
        <v>2296.6050414551746</v>
      </c>
      <c r="JQ610" s="39">
        <f t="shared" si="1799"/>
        <v>3389.0162187643027</v>
      </c>
      <c r="JR610" s="39">
        <f t="shared" si="1800"/>
        <v>309.87873978052266</v>
      </c>
      <c r="JS610" s="39">
        <f t="shared" si="1801"/>
        <v>17.626005541812876</v>
      </c>
      <c r="JT610" s="39">
        <f t="shared" si="1802"/>
        <v>2.8151996294684576</v>
      </c>
      <c r="JU610" s="385">
        <f>(JQ610*JM610-INDEX(Input!$1:$1048576,Input!A$18,$C610*2+6)*JL610*INDEX(Input!$1:$1048576,Input!A$19,$C610*2+6))/1000000</f>
        <v>22.917778765120065</v>
      </c>
      <c r="JV610" s="39">
        <f t="shared" si="1803"/>
        <v>-0.93639482253551165</v>
      </c>
      <c r="JW610" s="1">
        <f t="shared" si="1804"/>
        <v>-3.9254968070664649E-2</v>
      </c>
      <c r="JX610" s="19">
        <f t="shared" si="1805"/>
        <v>8983.652434885722</v>
      </c>
      <c r="JZ610" s="341"/>
      <c r="KA610" s="60"/>
      <c r="KB610" s="469">
        <f t="shared" si="1778"/>
        <v>0</v>
      </c>
      <c r="KI610" s="472"/>
      <c r="KJ610" s="472"/>
      <c r="KK610" s="472"/>
      <c r="KN610" s="793">
        <f t="shared" si="1779"/>
        <v>6002</v>
      </c>
      <c r="KO610" s="541">
        <f t="shared" si="1780"/>
        <v>2.4556599187178119E-2</v>
      </c>
      <c r="KP610" s="546">
        <f t="shared" si="1781"/>
        <v>207.63616933713013</v>
      </c>
      <c r="KQ610" s="546">
        <f t="shared" si="1782"/>
        <v>143.65052463055235</v>
      </c>
      <c r="KR610" s="472">
        <f t="shared" si="1783"/>
        <v>2.0723018873932997</v>
      </c>
      <c r="KS610" s="472">
        <f t="shared" si="1784"/>
        <v>2.9953585391705158</v>
      </c>
      <c r="KT610" s="473">
        <f t="shared" si="1795"/>
        <v>4286.2445668946921</v>
      </c>
      <c r="KU610" s="663">
        <f t="shared" si="1785"/>
        <v>4.4294076607362385</v>
      </c>
      <c r="KV610" s="117"/>
    </row>
    <row r="611" spans="1:308" s="26" customFormat="1" ht="15">
      <c r="A611" s="561">
        <f t="shared" si="1751"/>
        <v>6011</v>
      </c>
      <c r="B611" s="561">
        <f t="shared" si="1786"/>
        <v>11</v>
      </c>
      <c r="C611" s="561">
        <f t="shared" si="1787"/>
        <v>6</v>
      </c>
      <c r="D611" s="561" t="str">
        <f t="shared" si="1818"/>
        <v xml:space="preserve">750 CC, </v>
      </c>
      <c r="E611" s="475">
        <f>INDEX(Input!$1:$1048576,E$93,$C611*2+MIN($B611,2)+5)+IF(OR(BX611&gt;50000,INDEX(Input!$1:$1048576,E$93,$C611*2+MIN($B611,2)+5)&gt;0),0,250)+IF(BX611&gt;50000,500,250)*3</f>
        <v>2017.2644913000609</v>
      </c>
      <c r="F611" s="475">
        <f>INDEX(Input!$1:$1048576,F$93,$C611*2+MIN($B611,2)+5)</f>
        <v>0</v>
      </c>
      <c r="G611" s="475">
        <f>INDEX(Input!$1:$1048576,G$93,$C611*2+MIN($B611,2)+5)</f>
        <v>0</v>
      </c>
      <c r="H611" s="115">
        <f>INDEX(Input!$1:$1048576,H$93,$C611*2+MIN($B611,2)+5)</f>
        <v>0</v>
      </c>
      <c r="I611" s="118">
        <f>INDEX(Input!$1:$1048576,I$93,$C611*2+MIN($B611,2)+5)</f>
        <v>0.7</v>
      </c>
      <c r="J611" s="118" t="str">
        <f>INDEX(Input!$1:$1048576,J$93,$C611*2+MIN($B611,2)+5)</f>
        <v>Market</v>
      </c>
      <c r="K611" s="118" t="str">
        <f>INDEX(Input!$1:$1048576,K$93,$C611*2+MIN($B611,2)+5)</f>
        <v>Market</v>
      </c>
      <c r="L611" s="118" t="str">
        <f>INDEX(Input!$1:$1048576,L$93,$C611*2+MIN($B611,2)+5)</f>
        <v>Market</v>
      </c>
      <c r="M611" s="118" t="str">
        <f>INDEX(Input!$1:$1048576,M$93,$C611*2+MIN($B611,2)+5)</f>
        <v>Market</v>
      </c>
      <c r="N611" s="118" t="str">
        <f>INDEX(Input!$1:$1048576,N$93,$C611*2+MIN($B611,2)+5)</f>
        <v>Market</v>
      </c>
      <c r="O611" s="118" t="str">
        <f>INDEX(Input!$1:$1048576,O$93,$C611*2+MIN($B611,2)+5)</f>
        <v>Market</v>
      </c>
      <c r="P611" s="118" t="str">
        <f>INDEX(Input!$1:$1048576,P$93,$C611*2+MIN($B611,2)+5)</f>
        <v>N</v>
      </c>
      <c r="Q611" s="30">
        <f>INDEX(Input!$1:$1048576,Q$93,$C611*2+MIN($B611,2)+5)</f>
        <v>0</v>
      </c>
      <c r="R611" s="383">
        <f>INDEX(Input!$1:$1048576,R$93,$C611*2+MIN($B611,2)+5)</f>
        <v>0</v>
      </c>
      <c r="S611" s="383">
        <f>INDEX(Input!$1:$1048576,S$93,$C611*2+MIN($B611,2)+5)</f>
        <v>0</v>
      </c>
      <c r="T611" s="383">
        <f>INDEX(Input!$1:$1048576,T$93,$C611*2+MIN($B611,2)+5)</f>
        <v>0</v>
      </c>
      <c r="U611" s="383">
        <f>INDEX(Input!$1:$1048576,U$93,$C611*2+MIN($B611,2)+5)</f>
        <v>0</v>
      </c>
      <c r="V611" s="383">
        <f>INDEX(Input!$1:$1048576,V$93,$C611*2+MIN($B611,2)+5)</f>
        <v>1.9E-2</v>
      </c>
      <c r="W611" s="884">
        <f>INDEX(Input!$1:$1048576,W$93,$C611*2+MIN($B611,2)+5)</f>
        <v>3.9E-2</v>
      </c>
      <c r="X611" s="118" t="str">
        <f>INDEX(Input!$1:$1048576,X$93,$C611*2+MIN($B611,2)+5)</f>
        <v>Y</v>
      </c>
      <c r="Y611" s="150">
        <f>INDEX(Input!$1:$1048576,Y$93,$C611*2+MIN($B611,2)+5)</f>
        <v>737.99367635402496</v>
      </c>
      <c r="Z611" s="30">
        <f>INDEX(Input!$1:$1048576,Z$93,$C611*2+MIN($B611,2)+5)</f>
        <v>0</v>
      </c>
      <c r="AA611" s="115">
        <f>INDEX(Input!$1:$1048576,AA$93,$C611*2+MIN($B611,2)+5)</f>
        <v>0</v>
      </c>
      <c r="AB611" s="118">
        <f>INDEX(Input!$1:$1048576,AB$93,$C611*2+MIN($B611,2)+5)</f>
        <v>0.27</v>
      </c>
      <c r="AC611" s="115">
        <f>INDEX(Input!$1:$1048576,AC$93,$C611*2+MIN($B611,2)+5)</f>
        <v>0</v>
      </c>
      <c r="AD611" s="118">
        <f>INDEX(Input!$1:$1048576,AD$93,$C611*2+MIN($B611,2)+5)</f>
        <v>0.27</v>
      </c>
      <c r="AE611" s="115">
        <f>INDEX(Input!$1:$1048576,AE$93,$C611*2+MIN($B611,2)+5)</f>
        <v>0</v>
      </c>
      <c r="AF611" s="118">
        <f>INDEX(Input!$1:$1048576,AF$93,$C611*2+MIN($B611,2)+5)</f>
        <v>1</v>
      </c>
      <c r="AG611" s="115">
        <f>INDEX(Input!$1:$1048576,AG$93,$C611*2+MIN($B611,2)+5)</f>
        <v>500</v>
      </c>
      <c r="AH611" s="118">
        <f>INDEX(Input!$1:$1048576,AH$93,$C611*2+MIN($B611,2)+5)</f>
        <v>1</v>
      </c>
      <c r="AI611" s="115">
        <f>INDEX(Input!$1:$1048576,AI$93,$C611*2+MIN($B611,2)+5)</f>
        <v>0</v>
      </c>
      <c r="AJ611" s="118">
        <f>INDEX(Input!$1:$1048576,AJ$93,$C611*2+MIN($B611,2)+5)</f>
        <v>0.27</v>
      </c>
      <c r="AK611" s="150">
        <f>ROUND(INDEX(Input!$1:$1048576,AK$93,$C610*2+MIN($B611,1)+5)+(Y611-VLOOKUP($C611*1000+1,$A:$HH,Y$92,FALSE)),0)</f>
        <v>3061</v>
      </c>
      <c r="AL611" s="150">
        <f>ROUND(INDEX(Input!$1:$1048576,AL$93,$C610*2+MIN($B611,1)+5)-(Y611-VLOOKUP($C611*1000+1,$A:$HH,Y$92,FALSE))/36,0)</f>
        <v>3552</v>
      </c>
      <c r="AM611" s="32" t="str">
        <f t="shared" si="1752"/>
        <v>std/std/std/std</v>
      </c>
      <c r="AN611" s="32" t="str">
        <f t="shared" si="1753"/>
        <v>$0 + 0/0/0/1.9/3.9</v>
      </c>
      <c r="AO611" s="32" t="str">
        <f t="shared" si="1754"/>
        <v>0/0/0/1.9/3.9</v>
      </c>
      <c r="AP611" s="32" t="str">
        <f t="shared" si="1716"/>
        <v>0/0.9/1.9/3.9</v>
      </c>
      <c r="AQ611" s="536">
        <f t="shared" si="1717"/>
        <v>0.43342497242303246</v>
      </c>
      <c r="AR611" s="32"/>
      <c r="AS611" s="302"/>
      <c r="AT611" s="3">
        <f t="shared" si="1788"/>
        <v>11</v>
      </c>
      <c r="AU611" s="41" t="s">
        <v>121</v>
      </c>
      <c r="AV611" s="41" t="s">
        <v>116</v>
      </c>
      <c r="AW611" s="41" t="str">
        <f>INDEX(Input!$1:$1048576,AW$93,$C611*2+6)</f>
        <v>Kia</v>
      </c>
      <c r="AX611" s="41" t="str">
        <f>INDEX(Input!$1:$1048576,AX$93,$C611*2+6)</f>
        <v>National</v>
      </c>
      <c r="AY611" s="41" t="str">
        <f>IF(LEN(D611)=0,"",INDEX(Input!$1:$1048576,AY$93,$C611*2+6))</f>
        <v>Compact SUV (52)</v>
      </c>
      <c r="AZ611" s="41" t="str">
        <f>INDEX(Input!$1:$1048576,AZ$93,$C611*2+6)</f>
        <v>Kia Soul</v>
      </c>
      <c r="BA611" s="3">
        <f>INDEX(Input!$1:$1048576,BA$93,$C611*2+6)</f>
        <v>2020</v>
      </c>
      <c r="BB611" s="128">
        <f>INDEX(Input!$1:$1048576,BB$93,$C611*2+6)</f>
        <v>1</v>
      </c>
      <c r="BC611" s="128">
        <f>INDEX(Input!$1:$1048576,BC$93,$C611*2+6)</f>
        <v>0.7</v>
      </c>
      <c r="BD611" s="1">
        <f>INDEX(Input!$1:$1048576,BD$93,$C611*2+6)</f>
        <v>4.4999999999999998E-2</v>
      </c>
      <c r="BE611" s="1">
        <f>INDEX(Input!$1:$1048576,BE$93,$C611*2+6)</f>
        <v>4.4999999999999998E-2</v>
      </c>
      <c r="BF611" s="1">
        <f>INDEX(Input!$1:$1048576,BF$93,$C611*2+6)</f>
        <v>0.05</v>
      </c>
      <c r="BG611" s="1">
        <f>INDEX(Input!$1:$1048576,BG$93,$C611*2+6)</f>
        <v>5.45E-2</v>
      </c>
      <c r="BH611" s="1">
        <f>INDEX(Input!$1:$1048576,BH$93,$C611*2+6)</f>
        <v>5.45E-2</v>
      </c>
      <c r="BI611" s="1">
        <f>INDEX(Input!$1:$1048576,BI$93,$C611*2+6)</f>
        <v>0.05</v>
      </c>
      <c r="BJ611" s="1">
        <f>INDEX(Input!$1:$1048576,BJ$93,$C611*2+6)</f>
        <v>0.05</v>
      </c>
      <c r="BK611" s="1">
        <f>INDEX(Input!$1:$1048576,BK$93,$C611*2+6)</f>
        <v>0.05</v>
      </c>
      <c r="BL611" s="1">
        <f>INDEX(Input!$1:$1048576,BL$93,$C611*2+6)</f>
        <v>5.5E-2</v>
      </c>
      <c r="BM611" s="1">
        <f>INDEX(Input!$1:$1048576,BM$93,$C611*2+6)</f>
        <v>0.06</v>
      </c>
      <c r="BN611" s="1">
        <f>INDEX(Input!$1:$1048576,BN$93,$C611*2+6)</f>
        <v>4.4999999999999998E-2</v>
      </c>
      <c r="BO611" s="1">
        <f>INDEX(Input!$1:$1048576,BO$93,$C611*2+6)</f>
        <v>4.4999999999999998E-2</v>
      </c>
      <c r="BP611" s="1">
        <f>INDEX(Input!$1:$1048576,BP$93,$C611*2+6)</f>
        <v>0.05</v>
      </c>
      <c r="BQ611" s="1">
        <f>INDEX(Input!$1:$1048576,BQ$93,$C611*2+6)</f>
        <v>5.45E-2</v>
      </c>
      <c r="BR611" s="1">
        <f>INDEX(Input!$1:$1048576,BR$93,$C611*2+6)</f>
        <v>5.45E-2</v>
      </c>
      <c r="BS611" s="1">
        <f>INDEX(Input!$1:$1048576,BS$93,$C611*2+6)</f>
        <v>0.05</v>
      </c>
      <c r="BT611" s="1">
        <f>INDEX(Input!$1:$1048576,BT$93,$C611*2+6)</f>
        <v>0.05</v>
      </c>
      <c r="BU611" s="1">
        <f>INDEX(Input!$1:$1048576,BU$93,$C611*2+6)</f>
        <v>0.05</v>
      </c>
      <c r="BV611" s="1">
        <f>INDEX(Input!$1:$1048576,BV$93,$C611*2+6)</f>
        <v>5.5E-2</v>
      </c>
      <c r="BW611" s="1">
        <f>INDEX(Input!$1:$1048576,BW$93,$C611*2+6)</f>
        <v>0.06</v>
      </c>
      <c r="BX611" s="127">
        <f>INDEX(Input!$1:$1048576,BX$93,$C611*2+6)</f>
        <v>19985</v>
      </c>
      <c r="BY611" s="20">
        <f>INDEX(Input!$1:$1048576,BY$93,$C611*2+6)</f>
        <v>0.1</v>
      </c>
      <c r="BZ611" s="20">
        <f>INDEX(Input!$1:$1048576,BZ$93,$C611*2+6)</f>
        <v>0.1</v>
      </c>
      <c r="CA611" s="20">
        <f>INDEX(Input!$1:$1048576,CA$93,$C611*2+6)</f>
        <v>0.1</v>
      </c>
      <c r="CB611" s="20">
        <f>INDEX(Input!$1:$1048576,CB$93,$C611*2+6)</f>
        <v>0.1</v>
      </c>
      <c r="CC611" s="20">
        <f>INDEX(Input!$1:$1048576,CC$93,$C611*2+6)</f>
        <v>0.1</v>
      </c>
      <c r="CD611" s="384">
        <f>INDEX(Input!$1:$1048576,CD$93,$C611*2+6)</f>
        <v>0.1</v>
      </c>
      <c r="CE611" s="384">
        <f>INDEX(Input!$1:$1048576,CE$93,$C611*2+6)</f>
        <v>0.1</v>
      </c>
      <c r="CF611" s="384">
        <f>INDEX(Input!$1:$1048576,CF$93,$C611*2+6)</f>
        <v>0.1</v>
      </c>
      <c r="CG611" s="384">
        <f>INDEX(Input!$1:$1048576,CG$93,$C611*2+6)</f>
        <v>0.1</v>
      </c>
      <c r="CH611" s="384">
        <f>INDEX(Input!$1:$1048576,CH$93,$C611*2+6)</f>
        <v>0.1</v>
      </c>
      <c r="CI611" s="304">
        <f t="shared" si="1718"/>
        <v>2017.2644913000609</v>
      </c>
      <c r="CJ611" s="16" t="str">
        <f>INDEX(Input!$1:$1048576,CJ$93,$C611*2+6)</f>
        <v>N</v>
      </c>
      <c r="CK611" s="1" t="str">
        <f t="shared" si="1719"/>
        <v>Market</v>
      </c>
      <c r="CL611" s="1" t="str">
        <f t="shared" si="1720"/>
        <v>Market</v>
      </c>
      <c r="CM611" s="1" t="str">
        <f t="shared" si="1721"/>
        <v>Market</v>
      </c>
      <c r="CN611" s="1" t="str">
        <f t="shared" si="1722"/>
        <v>Market</v>
      </c>
      <c r="CO611" s="1" t="str">
        <f t="shared" si="1723"/>
        <v>Market</v>
      </c>
      <c r="CP611" s="304">
        <f t="shared" si="1724"/>
        <v>500</v>
      </c>
      <c r="CQ611" s="1">
        <f t="shared" si="1725"/>
        <v>0</v>
      </c>
      <c r="CR611" s="1">
        <f t="shared" si="1726"/>
        <v>0</v>
      </c>
      <c r="CS611" s="1">
        <f t="shared" si="1727"/>
        <v>0</v>
      </c>
      <c r="CT611" s="1">
        <f t="shared" si="1728"/>
        <v>1.9E-2</v>
      </c>
      <c r="CU611" s="1">
        <f t="shared" si="1729"/>
        <v>3.9E-2</v>
      </c>
      <c r="CV611" s="304">
        <f t="shared" si="1730"/>
        <v>737.99367635402496</v>
      </c>
      <c r="CW611" s="20" t="s">
        <v>122</v>
      </c>
      <c r="CX611" s="20" t="s">
        <v>122</v>
      </c>
      <c r="CY611" s="20" t="s">
        <v>122</v>
      </c>
      <c r="CZ611" s="20" t="s">
        <v>122</v>
      </c>
      <c r="DA611" s="20" t="s">
        <v>122</v>
      </c>
      <c r="DB611" s="503">
        <f t="shared" si="1731"/>
        <v>0</v>
      </c>
      <c r="DC611" s="127">
        <v>0</v>
      </c>
      <c r="DD611" s="127">
        <v>0</v>
      </c>
      <c r="DE611" s="127">
        <v>0</v>
      </c>
      <c r="DF611" s="127">
        <v>0</v>
      </c>
      <c r="DG611" s="127">
        <v>0</v>
      </c>
      <c r="DH611" s="127">
        <v>0</v>
      </c>
      <c r="DI611" s="127">
        <v>0</v>
      </c>
      <c r="DJ611" s="127">
        <v>0</v>
      </c>
      <c r="DK611" s="127">
        <v>0</v>
      </c>
      <c r="DL611" s="127">
        <v>0</v>
      </c>
      <c r="DM611" s="304">
        <f>INDEX(Input!$1:$1048576,DM$93,$C611*2+6)</f>
        <v>21036.84210526316</v>
      </c>
      <c r="DN611" s="20">
        <v>0</v>
      </c>
      <c r="DO611" s="20">
        <v>0</v>
      </c>
      <c r="DP611" s="20">
        <v>0</v>
      </c>
      <c r="DQ611" s="20">
        <v>0</v>
      </c>
      <c r="DR611" s="20">
        <v>0</v>
      </c>
      <c r="DS611" s="20">
        <f>INDEX(Input!$1:$1048576,DS$93,$C611*2+6)</f>
        <v>0.6</v>
      </c>
      <c r="DT611" s="20">
        <f>INDEX(Input!$1:$1048576,DT$93,$C611*2+6)</f>
        <v>0.55000000000000004</v>
      </c>
      <c r="DU611" s="20">
        <f>INDEX(Input!$1:$1048576,DU$93,$C611*2+6)</f>
        <v>0.52</v>
      </c>
      <c r="DV611" s="20">
        <f>INDEX(Input!$1:$1048576,DV$93,$C611*2+6)</f>
        <v>0.5</v>
      </c>
      <c r="DW611" s="20">
        <f>INDEX(Input!$1:$1048576,DW$93,$C611*2+6)</f>
        <v>0.45</v>
      </c>
      <c r="DX611" s="20"/>
      <c r="DY611" s="7"/>
      <c r="DZ611" s="7"/>
      <c r="EA611" s="7"/>
      <c r="EB611" s="7"/>
      <c r="EC611" s="7"/>
      <c r="ED611" s="7"/>
      <c r="EE611" s="7"/>
      <c r="EF611" s="7"/>
      <c r="EG611" s="7"/>
      <c r="EH611" s="7"/>
      <c r="EI611" s="7"/>
      <c r="EJ611" s="7"/>
      <c r="EK611" s="7"/>
      <c r="EL611" s="7"/>
      <c r="EM611" s="7"/>
      <c r="EN611" s="7"/>
      <c r="EO611" s="7"/>
      <c r="EP611" s="7"/>
      <c r="EQ611" s="7"/>
      <c r="ER611" s="7"/>
      <c r="ES611" s="7"/>
      <c r="ET611" s="7"/>
      <c r="EU611" s="6"/>
      <c r="EV611" s="6"/>
      <c r="EW611" s="6"/>
      <c r="EX611" s="6"/>
      <c r="EY611" s="6"/>
      <c r="EZ611" s="6"/>
      <c r="FA611" s="6"/>
      <c r="FB611" s="6"/>
      <c r="FC611" s="6"/>
      <c r="FD611" s="6"/>
      <c r="FE611" s="6"/>
      <c r="FF611" s="6"/>
      <c r="FG611" s="6"/>
      <c r="FH611" s="6"/>
      <c r="FI611" s="6"/>
      <c r="FJ611" s="6"/>
      <c r="FK611" s="6"/>
      <c r="FL611" s="6"/>
      <c r="FM611" s="6"/>
      <c r="FN611" s="6"/>
      <c r="FO611" s="6"/>
      <c r="FP611" s="6"/>
      <c r="FQ611" s="6"/>
      <c r="FR611" s="6"/>
      <c r="FS611" s="6"/>
      <c r="FT611" s="7"/>
      <c r="FU611" s="7"/>
      <c r="FV611" s="7"/>
      <c r="FW611" s="6"/>
      <c r="FX611" s="6"/>
      <c r="FY611" s="6"/>
      <c r="FZ611" s="6"/>
      <c r="GA611" s="6"/>
      <c r="GB611" s="6"/>
      <c r="GC611" s="7"/>
      <c r="GD611" s="7"/>
      <c r="GE611" s="7"/>
      <c r="GF611" s="7"/>
      <c r="GG611" s="7"/>
      <c r="GH611" s="42"/>
      <c r="GI611" s="6"/>
      <c r="GJ611" s="14"/>
      <c r="GK611" s="14"/>
      <c r="GL611" s="14"/>
      <c r="GM611" s="14"/>
      <c r="GO611" s="5"/>
      <c r="GP611" s="5"/>
      <c r="GQ611" s="5"/>
      <c r="GR611" s="5"/>
      <c r="GS611" s="5"/>
      <c r="GT611" s="5"/>
      <c r="GU611" s="5"/>
      <c r="GV611" s="39"/>
      <c r="GW611" s="5"/>
      <c r="GX611" s="5"/>
      <c r="GY611" s="5"/>
      <c r="GZ611" s="5"/>
      <c r="HA611" s="5"/>
      <c r="HB611" s="39"/>
      <c r="HC611" s="5"/>
      <c r="HD611" s="5"/>
      <c r="HE611" s="5"/>
      <c r="HF611" s="5"/>
      <c r="HG611" s="5"/>
      <c r="HH611" s="39"/>
      <c r="HI611" s="16"/>
      <c r="HJ611" s="19"/>
      <c r="HK611" s="1"/>
      <c r="HL611" s="16"/>
      <c r="HM611" s="639">
        <f t="shared" si="1755"/>
        <v>2.3149872625708352E-2</v>
      </c>
      <c r="HN611" s="639">
        <f t="shared" si="1756"/>
        <v>1.3965040474190958E-3</v>
      </c>
      <c r="HO611" s="639">
        <f t="shared" si="1757"/>
        <v>3.5429561340050734E-3</v>
      </c>
      <c r="HP611" s="644">
        <f t="shared" ref="HP611:ID611" si="1825">HP111+HP211+HP311+HP411+HP511</f>
        <v>898.69742769403547</v>
      </c>
      <c r="HQ611" s="644">
        <f t="shared" si="1825"/>
        <v>-74.501496994330026</v>
      </c>
      <c r="HR611" s="644">
        <f t="shared" si="1825"/>
        <v>-181.15993368175523</v>
      </c>
      <c r="HS611" s="644">
        <f t="shared" si="1825"/>
        <v>-323.58133015460442</v>
      </c>
      <c r="HT611" s="644">
        <f t="shared" si="1825"/>
        <v>32.209908318468173</v>
      </c>
      <c r="HU611" s="644">
        <f t="shared" si="1825"/>
        <v>54.307534361416387</v>
      </c>
      <c r="HV611" s="644">
        <f t="shared" si="1825"/>
        <v>0</v>
      </c>
      <c r="HW611" s="644">
        <f t="shared" si="1825"/>
        <v>0</v>
      </c>
      <c r="HX611" s="644">
        <f t="shared" si="1825"/>
        <v>0</v>
      </c>
      <c r="HY611" s="644">
        <f t="shared" si="1825"/>
        <v>2396</v>
      </c>
      <c r="HZ611" s="644">
        <f t="shared" si="1825"/>
        <v>3223</v>
      </c>
      <c r="IA611" s="644">
        <f t="shared" si="1825"/>
        <v>830</v>
      </c>
      <c r="IB611" s="644">
        <f t="shared" si="1825"/>
        <v>2971.1160975394309</v>
      </c>
      <c r="IC611" s="644">
        <f t="shared" si="1825"/>
        <v>3180.7084113241381</v>
      </c>
      <c r="ID611" s="644">
        <f t="shared" si="1825"/>
        <v>703.1476006796612</v>
      </c>
      <c r="IE611" s="20">
        <f t="shared" si="1759"/>
        <v>0.43342497242303246</v>
      </c>
      <c r="IF611" s="20">
        <f t="shared" si="1760"/>
        <v>0.4640001973014708</v>
      </c>
      <c r="IG611" s="20">
        <f t="shared" si="1761"/>
        <v>0.10257483027549683</v>
      </c>
      <c r="IH611" s="21"/>
      <c r="II611" s="19"/>
      <c r="IJ611" s="19"/>
      <c r="IK611" s="19"/>
      <c r="IL611" s="19">
        <f t="shared" si="1762"/>
        <v>914.77311593051172</v>
      </c>
      <c r="IM611" s="19">
        <f t="shared" si="1763"/>
        <v>178.98274802796413</v>
      </c>
      <c r="IN611" s="19">
        <f t="shared" si="1764"/>
        <v>116.07294612481473</v>
      </c>
      <c r="IO611" s="39"/>
      <c r="IP611" s="39"/>
      <c r="IQ611" s="39"/>
      <c r="IR611" s="39"/>
      <c r="IS611" s="39"/>
      <c r="IT611" s="39"/>
      <c r="IU611" s="39"/>
      <c r="IV611" s="39"/>
      <c r="IW611" s="39"/>
      <c r="IX611" s="19">
        <f t="shared" si="1765"/>
        <v>1554.1790484140233</v>
      </c>
      <c r="IY611" s="19">
        <f t="shared" si="1766"/>
        <v>2412.3001201524512</v>
      </c>
      <c r="IZ611" s="19">
        <f t="shared" si="1767"/>
        <v>3993.0862952928574</v>
      </c>
      <c r="JA611" s="19">
        <f t="shared" ref="JA611:JC611" si="1826">IFERROR((JA111*IB111+JA211*IB211+JA311*IB311+JA411*IB411+JA511*IB511)/IB611,0)</f>
        <v>2468.952164344535</v>
      </c>
      <c r="JB611" s="19">
        <f t="shared" si="1826"/>
        <v>2591.2828681804153</v>
      </c>
      <c r="JC611" s="19">
        <f t="shared" si="1826"/>
        <v>4109.1592414176721</v>
      </c>
      <c r="JD611" s="19">
        <f t="shared" si="1769"/>
        <v>2693.9575976078572</v>
      </c>
      <c r="JE611" s="21"/>
      <c r="JF611" s="1">
        <f t="shared" si="1770"/>
        <v>2.6651855648468406E-2</v>
      </c>
      <c r="JG611" s="15">
        <f t="shared" si="1771"/>
        <v>6449</v>
      </c>
      <c r="JH611" s="1">
        <f t="shared" si="1772"/>
        <v>9.9710962477585707E-2</v>
      </c>
      <c r="JI611" s="1">
        <f t="shared" si="1773"/>
        <v>-3.6759790273642394E-2</v>
      </c>
      <c r="JJ611" s="1">
        <f t="shared" si="1774"/>
        <v>0</v>
      </c>
      <c r="JK611" s="1">
        <f t="shared" si="1775"/>
        <v>6.295117220394332E-2</v>
      </c>
      <c r="JL611" s="15">
        <f t="shared" ref="JL611:JM611" si="1827">JL111+JL211+JL311+JL411+JL511</f>
        <v>405.97210954323043</v>
      </c>
      <c r="JM611" s="15">
        <f t="shared" si="1827"/>
        <v>6854.9721095432305</v>
      </c>
      <c r="JN611" s="21"/>
      <c r="JO611" s="19">
        <f>INDEX(Input!$1:$1048576,JO$93,$C611*2+6)</f>
        <v>5995.5</v>
      </c>
      <c r="JP611" s="19">
        <f>INDEX(Input!$1:$1048576,JP$93,$C611*2+6)</f>
        <v>2296.6050414551746</v>
      </c>
      <c r="JQ611" s="39">
        <f t="shared" si="1799"/>
        <v>3301.5424023921428</v>
      </c>
      <c r="JR611" s="39">
        <f t="shared" si="1800"/>
        <v>397.35255615268261</v>
      </c>
      <c r="JS611" s="39">
        <f t="shared" si="1801"/>
        <v>18.467004195893946</v>
      </c>
      <c r="JT611" s="39">
        <f t="shared" si="1802"/>
        <v>3.6561982835495268</v>
      </c>
      <c r="JU611" s="385">
        <f>(JQ611*JM611-INDEX(Input!$1:$1048576,Input!A$18,$C611*2+6)*JL611*INDEX(Input!$1:$1048576,Input!A$19,$C611*2+6))/1000000</f>
        <v>22.631981086872493</v>
      </c>
      <c r="JV611" s="39">
        <f t="shared" si="1803"/>
        <v>-1.2221925007830841</v>
      </c>
      <c r="JW611" s="1">
        <f t="shared" si="1804"/>
        <v>-5.1236002634589821E-2</v>
      </c>
      <c r="JX611" s="19">
        <f t="shared" si="1805"/>
        <v>9006.0331673109486</v>
      </c>
      <c r="JZ611" s="341"/>
      <c r="KA611" s="60"/>
      <c r="KB611" s="469">
        <f t="shared" si="1778"/>
        <v>0</v>
      </c>
      <c r="KI611" s="472"/>
      <c r="KJ611" s="472"/>
      <c r="KK611" s="472"/>
      <c r="KN611" s="793">
        <f t="shared" si="1779"/>
        <v>6002</v>
      </c>
      <c r="KO611" s="541">
        <f t="shared" si="1780"/>
        <v>3.8586735578962639E-2</v>
      </c>
      <c r="KP611" s="546">
        <f t="shared" si="1781"/>
        <v>324.90148806621511</v>
      </c>
      <c r="KQ611" s="546">
        <f t="shared" si="1782"/>
        <v>231.1243410027123</v>
      </c>
      <c r="KR611" s="472">
        <f t="shared" si="1783"/>
        <v>2.0810099052549611</v>
      </c>
      <c r="KS611" s="472">
        <f t="shared" si="1784"/>
        <v>2.925365679636208</v>
      </c>
      <c r="KT611" s="473">
        <f t="shared" si="1795"/>
        <v>4286.2445668946921</v>
      </c>
      <c r="KU611" s="663">
        <f t="shared" si="1785"/>
        <v>4.4458577836915776</v>
      </c>
      <c r="KV611" s="117"/>
    </row>
    <row r="612" spans="1:308" s="26" customFormat="1" ht="15">
      <c r="A612" s="561">
        <f t="shared" si="1751"/>
        <v>6012</v>
      </c>
      <c r="B612" s="561">
        <f t="shared" si="1786"/>
        <v>12</v>
      </c>
      <c r="C612" s="561">
        <f t="shared" si="1787"/>
        <v>6</v>
      </c>
      <c r="D612" s="561" t="str">
        <f t="shared" si="1818"/>
        <v xml:space="preserve">1000 CC, </v>
      </c>
      <c r="E612" s="475">
        <f>INDEX(Input!$1:$1048576,E$93,$C612*2+MIN($B612,2)+5)+IF(OR(BX612&gt;50000,INDEX(Input!$1:$1048576,E$93,$C612*2+MIN($B612,2)+5)&gt;0),0,250)+IF(BX612&gt;50000,500,250)*4</f>
        <v>2267.2644913000609</v>
      </c>
      <c r="F612" s="475">
        <f>INDEX(Input!$1:$1048576,F$93,$C612*2+MIN($B612,2)+5)</f>
        <v>0</v>
      </c>
      <c r="G612" s="475">
        <f>INDEX(Input!$1:$1048576,G$93,$C612*2+MIN($B612,2)+5)</f>
        <v>0</v>
      </c>
      <c r="H612" s="115">
        <f>INDEX(Input!$1:$1048576,H$93,$C612*2+MIN($B612,2)+5)</f>
        <v>0</v>
      </c>
      <c r="I612" s="118">
        <f>INDEX(Input!$1:$1048576,I$93,$C612*2+MIN($B612,2)+5)</f>
        <v>0.7</v>
      </c>
      <c r="J612" s="118" t="str">
        <f>INDEX(Input!$1:$1048576,J$93,$C612*2+MIN($B612,2)+5)</f>
        <v>Market</v>
      </c>
      <c r="K612" s="118" t="str">
        <f>INDEX(Input!$1:$1048576,K$93,$C612*2+MIN($B612,2)+5)</f>
        <v>Market</v>
      </c>
      <c r="L612" s="118" t="str">
        <f>INDEX(Input!$1:$1048576,L$93,$C612*2+MIN($B612,2)+5)</f>
        <v>Market</v>
      </c>
      <c r="M612" s="118" t="str">
        <f>INDEX(Input!$1:$1048576,M$93,$C612*2+MIN($B612,2)+5)</f>
        <v>Market</v>
      </c>
      <c r="N612" s="118" t="str">
        <f>INDEX(Input!$1:$1048576,N$93,$C612*2+MIN($B612,2)+5)</f>
        <v>Market</v>
      </c>
      <c r="O612" s="118" t="str">
        <f>INDEX(Input!$1:$1048576,O$93,$C612*2+MIN($B612,2)+5)</f>
        <v>Market</v>
      </c>
      <c r="P612" s="118" t="str">
        <f>INDEX(Input!$1:$1048576,P$93,$C612*2+MIN($B612,2)+5)</f>
        <v>N</v>
      </c>
      <c r="Q612" s="30">
        <f>INDEX(Input!$1:$1048576,Q$93,$C612*2+MIN($B612,2)+5)</f>
        <v>0</v>
      </c>
      <c r="R612" s="383">
        <f>INDEX(Input!$1:$1048576,R$93,$C612*2+MIN($B612,2)+5)</f>
        <v>0</v>
      </c>
      <c r="S612" s="383">
        <f>INDEX(Input!$1:$1048576,S$93,$C612*2+MIN($B612,2)+5)</f>
        <v>0</v>
      </c>
      <c r="T612" s="383">
        <f>INDEX(Input!$1:$1048576,T$93,$C612*2+MIN($B612,2)+5)</f>
        <v>0</v>
      </c>
      <c r="U612" s="383">
        <f>INDEX(Input!$1:$1048576,U$93,$C612*2+MIN($B612,2)+5)</f>
        <v>0</v>
      </c>
      <c r="V612" s="383">
        <f>INDEX(Input!$1:$1048576,V$93,$C612*2+MIN($B612,2)+5)</f>
        <v>1.9E-2</v>
      </c>
      <c r="W612" s="884">
        <f>INDEX(Input!$1:$1048576,W$93,$C612*2+MIN($B612,2)+5)</f>
        <v>3.9E-2</v>
      </c>
      <c r="X612" s="118" t="str">
        <f>INDEX(Input!$1:$1048576,X$93,$C612*2+MIN($B612,2)+5)</f>
        <v>Y</v>
      </c>
      <c r="Y612" s="150">
        <f>INDEX(Input!$1:$1048576,Y$93,$C612*2+MIN($B612,2)+5)</f>
        <v>737.99367635402496</v>
      </c>
      <c r="Z612" s="30">
        <f>INDEX(Input!$1:$1048576,Z$93,$C612*2+MIN($B612,2)+5)</f>
        <v>0</v>
      </c>
      <c r="AA612" s="115">
        <f>INDEX(Input!$1:$1048576,AA$93,$C612*2+MIN($B612,2)+5)</f>
        <v>0</v>
      </c>
      <c r="AB612" s="118">
        <f>INDEX(Input!$1:$1048576,AB$93,$C612*2+MIN($B612,2)+5)</f>
        <v>0.27</v>
      </c>
      <c r="AC612" s="115">
        <f>INDEX(Input!$1:$1048576,AC$93,$C612*2+MIN($B612,2)+5)</f>
        <v>0</v>
      </c>
      <c r="AD612" s="118">
        <f>INDEX(Input!$1:$1048576,AD$93,$C612*2+MIN($B612,2)+5)</f>
        <v>0.27</v>
      </c>
      <c r="AE612" s="115">
        <f>INDEX(Input!$1:$1048576,AE$93,$C612*2+MIN($B612,2)+5)</f>
        <v>0</v>
      </c>
      <c r="AF612" s="118">
        <f>INDEX(Input!$1:$1048576,AF$93,$C612*2+MIN($B612,2)+5)</f>
        <v>1</v>
      </c>
      <c r="AG612" s="115">
        <f>INDEX(Input!$1:$1048576,AG$93,$C612*2+MIN($B612,2)+5)</f>
        <v>500</v>
      </c>
      <c r="AH612" s="118">
        <f>INDEX(Input!$1:$1048576,AH$93,$C612*2+MIN($B612,2)+5)</f>
        <v>1</v>
      </c>
      <c r="AI612" s="115">
        <f>INDEX(Input!$1:$1048576,AI$93,$C612*2+MIN($B612,2)+5)</f>
        <v>0</v>
      </c>
      <c r="AJ612" s="118">
        <f>INDEX(Input!$1:$1048576,AJ$93,$C612*2+MIN($B612,2)+5)</f>
        <v>0.27</v>
      </c>
      <c r="AK612" s="150">
        <f>ROUND(INDEX(Input!$1:$1048576,AK$93,$C611*2+MIN($B612,1)+5)+(Y612-VLOOKUP($C612*1000+1,$A:$HH,Y$92,FALSE)),0)</f>
        <v>3061</v>
      </c>
      <c r="AL612" s="150">
        <f>ROUND(INDEX(Input!$1:$1048576,AL$93,$C611*2+MIN($B612,1)+5)-(Y612-VLOOKUP($C612*1000+1,$A:$HH,Y$92,FALSE))/36,0)</f>
        <v>3552</v>
      </c>
      <c r="AM612" s="32" t="str">
        <f t="shared" si="1752"/>
        <v>std/std/std/std</v>
      </c>
      <c r="AN612" s="32" t="str">
        <f t="shared" si="1753"/>
        <v>$0 + 0/0/0/1.9/3.9</v>
      </c>
      <c r="AO612" s="32" t="str">
        <f t="shared" si="1754"/>
        <v>0/0/0/1.9/3.9</v>
      </c>
      <c r="AP612" s="32" t="str">
        <f t="shared" si="1716"/>
        <v>0/0.9/1.9/3.9</v>
      </c>
      <c r="AQ612" s="536">
        <f t="shared" si="1717"/>
        <v>0.45298888530984244</v>
      </c>
      <c r="AR612" s="32"/>
      <c r="AS612" s="302"/>
      <c r="AT612" s="3">
        <f t="shared" si="1788"/>
        <v>12</v>
      </c>
      <c r="AU612" s="41" t="s">
        <v>121</v>
      </c>
      <c r="AV612" s="41" t="s">
        <v>116</v>
      </c>
      <c r="AW612" s="41" t="str">
        <f>INDEX(Input!$1:$1048576,AW$93,$C612*2+6)</f>
        <v>Kia</v>
      </c>
      <c r="AX612" s="41" t="str">
        <f>INDEX(Input!$1:$1048576,AX$93,$C612*2+6)</f>
        <v>National</v>
      </c>
      <c r="AY612" s="41" t="str">
        <f>IF(LEN(D612)=0,"",INDEX(Input!$1:$1048576,AY$93,$C612*2+6))</f>
        <v>Compact SUV (52)</v>
      </c>
      <c r="AZ612" s="41" t="str">
        <f>INDEX(Input!$1:$1048576,AZ$93,$C612*2+6)</f>
        <v>Kia Soul</v>
      </c>
      <c r="BA612" s="3">
        <f>INDEX(Input!$1:$1048576,BA$93,$C612*2+6)</f>
        <v>2020</v>
      </c>
      <c r="BB612" s="128">
        <f>INDEX(Input!$1:$1048576,BB$93,$C612*2+6)</f>
        <v>1</v>
      </c>
      <c r="BC612" s="128">
        <f>INDEX(Input!$1:$1048576,BC$93,$C612*2+6)</f>
        <v>0.7</v>
      </c>
      <c r="BD612" s="1">
        <f>INDEX(Input!$1:$1048576,BD$93,$C612*2+6)</f>
        <v>4.4999999999999998E-2</v>
      </c>
      <c r="BE612" s="1">
        <f>INDEX(Input!$1:$1048576,BE$93,$C612*2+6)</f>
        <v>4.4999999999999998E-2</v>
      </c>
      <c r="BF612" s="1">
        <f>INDEX(Input!$1:$1048576,BF$93,$C612*2+6)</f>
        <v>0.05</v>
      </c>
      <c r="BG612" s="1">
        <f>INDEX(Input!$1:$1048576,BG$93,$C612*2+6)</f>
        <v>5.45E-2</v>
      </c>
      <c r="BH612" s="1">
        <f>INDEX(Input!$1:$1048576,BH$93,$C612*2+6)</f>
        <v>5.45E-2</v>
      </c>
      <c r="BI612" s="1">
        <f>INDEX(Input!$1:$1048576,BI$93,$C612*2+6)</f>
        <v>0.05</v>
      </c>
      <c r="BJ612" s="1">
        <f>INDEX(Input!$1:$1048576,BJ$93,$C612*2+6)</f>
        <v>0.05</v>
      </c>
      <c r="BK612" s="1">
        <f>INDEX(Input!$1:$1048576,BK$93,$C612*2+6)</f>
        <v>0.05</v>
      </c>
      <c r="BL612" s="1">
        <f>INDEX(Input!$1:$1048576,BL$93,$C612*2+6)</f>
        <v>5.5E-2</v>
      </c>
      <c r="BM612" s="1">
        <f>INDEX(Input!$1:$1048576,BM$93,$C612*2+6)</f>
        <v>0.06</v>
      </c>
      <c r="BN612" s="1">
        <f>INDEX(Input!$1:$1048576,BN$93,$C612*2+6)</f>
        <v>4.4999999999999998E-2</v>
      </c>
      <c r="BO612" s="1">
        <f>INDEX(Input!$1:$1048576,BO$93,$C612*2+6)</f>
        <v>4.4999999999999998E-2</v>
      </c>
      <c r="BP612" s="1">
        <f>INDEX(Input!$1:$1048576,BP$93,$C612*2+6)</f>
        <v>0.05</v>
      </c>
      <c r="BQ612" s="1">
        <f>INDEX(Input!$1:$1048576,BQ$93,$C612*2+6)</f>
        <v>5.45E-2</v>
      </c>
      <c r="BR612" s="1">
        <f>INDEX(Input!$1:$1048576,BR$93,$C612*2+6)</f>
        <v>5.45E-2</v>
      </c>
      <c r="BS612" s="1">
        <f>INDEX(Input!$1:$1048576,BS$93,$C612*2+6)</f>
        <v>0.05</v>
      </c>
      <c r="BT612" s="1">
        <f>INDEX(Input!$1:$1048576,BT$93,$C612*2+6)</f>
        <v>0.05</v>
      </c>
      <c r="BU612" s="1">
        <f>INDEX(Input!$1:$1048576,BU$93,$C612*2+6)</f>
        <v>0.05</v>
      </c>
      <c r="BV612" s="1">
        <f>INDEX(Input!$1:$1048576,BV$93,$C612*2+6)</f>
        <v>5.5E-2</v>
      </c>
      <c r="BW612" s="1">
        <f>INDEX(Input!$1:$1048576,BW$93,$C612*2+6)</f>
        <v>0.06</v>
      </c>
      <c r="BX612" s="127">
        <f>INDEX(Input!$1:$1048576,BX$93,$C612*2+6)</f>
        <v>19985</v>
      </c>
      <c r="BY612" s="20">
        <f>INDEX(Input!$1:$1048576,BY$93,$C612*2+6)</f>
        <v>0.1</v>
      </c>
      <c r="BZ612" s="20">
        <f>INDEX(Input!$1:$1048576,BZ$93,$C612*2+6)</f>
        <v>0.1</v>
      </c>
      <c r="CA612" s="20">
        <f>INDEX(Input!$1:$1048576,CA$93,$C612*2+6)</f>
        <v>0.1</v>
      </c>
      <c r="CB612" s="20">
        <f>INDEX(Input!$1:$1048576,CB$93,$C612*2+6)</f>
        <v>0.1</v>
      </c>
      <c r="CC612" s="20">
        <f>INDEX(Input!$1:$1048576,CC$93,$C612*2+6)</f>
        <v>0.1</v>
      </c>
      <c r="CD612" s="384">
        <f>INDEX(Input!$1:$1048576,CD$93,$C612*2+6)</f>
        <v>0.1</v>
      </c>
      <c r="CE612" s="384">
        <f>INDEX(Input!$1:$1048576,CE$93,$C612*2+6)</f>
        <v>0.1</v>
      </c>
      <c r="CF612" s="384">
        <f>INDEX(Input!$1:$1048576,CF$93,$C612*2+6)</f>
        <v>0.1</v>
      </c>
      <c r="CG612" s="384">
        <f>INDEX(Input!$1:$1048576,CG$93,$C612*2+6)</f>
        <v>0.1</v>
      </c>
      <c r="CH612" s="384">
        <f>INDEX(Input!$1:$1048576,CH$93,$C612*2+6)</f>
        <v>0.1</v>
      </c>
      <c r="CI612" s="304">
        <f t="shared" si="1718"/>
        <v>2267.2644913000609</v>
      </c>
      <c r="CJ612" s="16" t="str">
        <f>INDEX(Input!$1:$1048576,CJ$93,$C612*2+6)</f>
        <v>N</v>
      </c>
      <c r="CK612" s="1" t="str">
        <f t="shared" si="1719"/>
        <v>Market</v>
      </c>
      <c r="CL612" s="1" t="str">
        <f t="shared" si="1720"/>
        <v>Market</v>
      </c>
      <c r="CM612" s="1" t="str">
        <f t="shared" si="1721"/>
        <v>Market</v>
      </c>
      <c r="CN612" s="1" t="str">
        <f t="shared" si="1722"/>
        <v>Market</v>
      </c>
      <c r="CO612" s="1" t="str">
        <f t="shared" si="1723"/>
        <v>Market</v>
      </c>
      <c r="CP612" s="304">
        <f t="shared" si="1724"/>
        <v>500</v>
      </c>
      <c r="CQ612" s="1">
        <f t="shared" si="1725"/>
        <v>0</v>
      </c>
      <c r="CR612" s="1">
        <f t="shared" si="1726"/>
        <v>0</v>
      </c>
      <c r="CS612" s="1">
        <f t="shared" si="1727"/>
        <v>0</v>
      </c>
      <c r="CT612" s="1">
        <f t="shared" si="1728"/>
        <v>1.9E-2</v>
      </c>
      <c r="CU612" s="1">
        <f t="shared" si="1729"/>
        <v>3.9E-2</v>
      </c>
      <c r="CV612" s="304">
        <f t="shared" si="1730"/>
        <v>737.99367635402496</v>
      </c>
      <c r="CW612" s="20" t="s">
        <v>122</v>
      </c>
      <c r="CX612" s="20" t="s">
        <v>122</v>
      </c>
      <c r="CY612" s="20" t="s">
        <v>122</v>
      </c>
      <c r="CZ612" s="20" t="s">
        <v>122</v>
      </c>
      <c r="DA612" s="20" t="s">
        <v>122</v>
      </c>
      <c r="DB612" s="503">
        <f t="shared" si="1731"/>
        <v>0</v>
      </c>
      <c r="DC612" s="127">
        <v>0</v>
      </c>
      <c r="DD612" s="127">
        <v>0</v>
      </c>
      <c r="DE612" s="127">
        <v>0</v>
      </c>
      <c r="DF612" s="127">
        <v>0</v>
      </c>
      <c r="DG612" s="127">
        <v>0</v>
      </c>
      <c r="DH612" s="127">
        <v>0</v>
      </c>
      <c r="DI612" s="127">
        <v>0</v>
      </c>
      <c r="DJ612" s="127">
        <v>0</v>
      </c>
      <c r="DK612" s="127">
        <v>0</v>
      </c>
      <c r="DL612" s="127">
        <v>0</v>
      </c>
      <c r="DM612" s="304">
        <f>INDEX(Input!$1:$1048576,DM$93,$C612*2+6)</f>
        <v>21036.84210526316</v>
      </c>
      <c r="DN612" s="20">
        <v>0</v>
      </c>
      <c r="DO612" s="20">
        <v>0</v>
      </c>
      <c r="DP612" s="20">
        <v>0</v>
      </c>
      <c r="DQ612" s="20">
        <v>0</v>
      </c>
      <c r="DR612" s="20">
        <v>0</v>
      </c>
      <c r="DS612" s="20">
        <f>INDEX(Input!$1:$1048576,DS$93,$C612*2+6)</f>
        <v>0.6</v>
      </c>
      <c r="DT612" s="20">
        <f>INDEX(Input!$1:$1048576,DT$93,$C612*2+6)</f>
        <v>0.55000000000000004</v>
      </c>
      <c r="DU612" s="20">
        <f>INDEX(Input!$1:$1048576,DU$93,$C612*2+6)</f>
        <v>0.52</v>
      </c>
      <c r="DV612" s="20">
        <f>INDEX(Input!$1:$1048576,DV$93,$C612*2+6)</f>
        <v>0.5</v>
      </c>
      <c r="DW612" s="20">
        <f>INDEX(Input!$1:$1048576,DW$93,$C612*2+6)</f>
        <v>0.45</v>
      </c>
      <c r="DX612" s="20"/>
      <c r="DY612" s="7"/>
      <c r="DZ612" s="7"/>
      <c r="EA612" s="7"/>
      <c r="EB612" s="7"/>
      <c r="EC612" s="7"/>
      <c r="ED612" s="7"/>
      <c r="EE612" s="7"/>
      <c r="EF612" s="7"/>
      <c r="EG612" s="7"/>
      <c r="EH612" s="7"/>
      <c r="EI612" s="7"/>
      <c r="EJ612" s="7"/>
      <c r="EK612" s="7"/>
      <c r="EL612" s="7"/>
      <c r="EM612" s="7"/>
      <c r="EN612" s="7"/>
      <c r="EO612" s="7"/>
      <c r="EP612" s="7"/>
      <c r="EQ612" s="7"/>
      <c r="ER612" s="7"/>
      <c r="ES612" s="7"/>
      <c r="ET612" s="7"/>
      <c r="EU612" s="6"/>
      <c r="EV612" s="6"/>
      <c r="EW612" s="6"/>
      <c r="EX612" s="6"/>
      <c r="EY612" s="6"/>
      <c r="EZ612" s="6"/>
      <c r="FA612" s="6"/>
      <c r="FB612" s="6"/>
      <c r="FC612" s="6"/>
      <c r="FD612" s="6"/>
      <c r="FE612" s="6"/>
      <c r="FF612" s="6"/>
      <c r="FG612" s="6"/>
      <c r="FH612" s="6"/>
      <c r="FI612" s="6"/>
      <c r="FJ612" s="6"/>
      <c r="FK612" s="6"/>
      <c r="FL612" s="6"/>
      <c r="FM612" s="6"/>
      <c r="FN612" s="6"/>
      <c r="FO612" s="6"/>
      <c r="FP612" s="6"/>
      <c r="FQ612" s="6"/>
      <c r="FR612" s="6"/>
      <c r="FS612" s="6"/>
      <c r="FT612" s="7"/>
      <c r="FU612" s="7"/>
      <c r="FV612" s="7"/>
      <c r="FW612" s="6"/>
      <c r="FX612" s="6"/>
      <c r="FY612" s="6"/>
      <c r="FZ612" s="6"/>
      <c r="GA612" s="6"/>
      <c r="GB612" s="6"/>
      <c r="GC612" s="7"/>
      <c r="GD612" s="7"/>
      <c r="GE612" s="7"/>
      <c r="GF612" s="7"/>
      <c r="GG612" s="7"/>
      <c r="GH612" s="42"/>
      <c r="GI612" s="6"/>
      <c r="GJ612" s="14"/>
      <c r="GK612" s="14"/>
      <c r="GL612" s="14"/>
      <c r="GM612" s="14"/>
      <c r="GO612" s="5"/>
      <c r="GP612" s="5"/>
      <c r="GQ612" s="5"/>
      <c r="GR612" s="5"/>
      <c r="GS612" s="5"/>
      <c r="GT612" s="5"/>
      <c r="GU612" s="5"/>
      <c r="GV612" s="39"/>
      <c r="GW612" s="5"/>
      <c r="GX612" s="5"/>
      <c r="GY612" s="5"/>
      <c r="GZ612" s="5"/>
      <c r="HA612" s="5"/>
      <c r="HB612" s="39"/>
      <c r="HC612" s="5"/>
      <c r="HD612" s="5"/>
      <c r="HE612" s="5"/>
      <c r="HF612" s="5"/>
      <c r="HG612" s="5"/>
      <c r="HH612" s="39"/>
      <c r="HI612" s="16"/>
      <c r="HJ612" s="19"/>
      <c r="HK612" s="1"/>
      <c r="HL612" s="16"/>
      <c r="HM612" s="639">
        <f t="shared" si="1755"/>
        <v>2.3149872625708352E-2</v>
      </c>
      <c r="HN612" s="639">
        <f t="shared" si="1756"/>
        <v>1.3965040474190958E-3</v>
      </c>
      <c r="HO612" s="639">
        <f t="shared" si="1757"/>
        <v>3.5429561340050734E-3</v>
      </c>
      <c r="HP612" s="644">
        <f t="shared" ref="HP612:ID612" si="1828">HP112+HP212+HP312+HP412+HP512</f>
        <v>1166.1148685755284</v>
      </c>
      <c r="HQ612" s="644">
        <f t="shared" si="1828"/>
        <v>-97.618217229299788</v>
      </c>
      <c r="HR612" s="644">
        <f t="shared" si="1828"/>
        <v>-237.25317383840195</v>
      </c>
      <c r="HS612" s="644">
        <f t="shared" si="1828"/>
        <v>-411.40706735401392</v>
      </c>
      <c r="HT612" s="644">
        <f t="shared" si="1828"/>
        <v>19.398121778774517</v>
      </c>
      <c r="HU612" s="644">
        <f t="shared" si="1828"/>
        <v>67.140982560322044</v>
      </c>
      <c r="HV612" s="644">
        <f t="shared" si="1828"/>
        <v>0</v>
      </c>
      <c r="HW612" s="644">
        <f t="shared" si="1828"/>
        <v>0</v>
      </c>
      <c r="HX612" s="644">
        <f t="shared" si="1828"/>
        <v>0</v>
      </c>
      <c r="HY612" s="644">
        <f t="shared" si="1828"/>
        <v>2396</v>
      </c>
      <c r="HZ612" s="644">
        <f t="shared" si="1828"/>
        <v>3223</v>
      </c>
      <c r="IA612" s="644">
        <f t="shared" si="1828"/>
        <v>830</v>
      </c>
      <c r="IB612" s="644">
        <f t="shared" si="1828"/>
        <v>3150.7078012215147</v>
      </c>
      <c r="IC612" s="644">
        <f t="shared" si="1828"/>
        <v>3144.7799045494748</v>
      </c>
      <c r="ID612" s="644">
        <f t="shared" si="1828"/>
        <v>659.88780872192001</v>
      </c>
      <c r="IE612" s="20">
        <f t="shared" si="1759"/>
        <v>0.45298888530984244</v>
      </c>
      <c r="IF612" s="20">
        <f t="shared" si="1760"/>
        <v>0.45213660973396763</v>
      </c>
      <c r="IG612" s="20">
        <f t="shared" si="1761"/>
        <v>9.4874504956189987E-2</v>
      </c>
      <c r="IH612" s="21"/>
      <c r="II612" s="19"/>
      <c r="IJ612" s="19"/>
      <c r="IK612" s="19"/>
      <c r="IL612" s="19">
        <f t="shared" si="1762"/>
        <v>1161.7515417796621</v>
      </c>
      <c r="IM612" s="19">
        <f t="shared" si="1763"/>
        <v>180.0500686614273</v>
      </c>
      <c r="IN612" s="19">
        <f t="shared" si="1764"/>
        <v>117.71630351394742</v>
      </c>
      <c r="IO612" s="39"/>
      <c r="IP612" s="39"/>
      <c r="IQ612" s="39"/>
      <c r="IR612" s="39"/>
      <c r="IS612" s="39"/>
      <c r="IT612" s="39"/>
      <c r="IU612" s="39"/>
      <c r="IV612" s="39"/>
      <c r="IW612" s="39"/>
      <c r="IX612" s="19">
        <f t="shared" si="1765"/>
        <v>1554.1790484140233</v>
      </c>
      <c r="IY612" s="19">
        <f t="shared" si="1766"/>
        <v>2412.3001201524512</v>
      </c>
      <c r="IZ612" s="19">
        <f t="shared" si="1767"/>
        <v>3993.0862952928574</v>
      </c>
      <c r="JA612" s="19">
        <f t="shared" ref="JA612:JC612" si="1829">IFERROR((JA112*IB112+JA212*IB212+JA312*IB312+JA412*IB412+JA512*IB512)/IB612,0)</f>
        <v>2715.9305901936855</v>
      </c>
      <c r="JB612" s="19">
        <f t="shared" si="1829"/>
        <v>2592.3501888138785</v>
      </c>
      <c r="JC612" s="19">
        <f t="shared" si="1829"/>
        <v>4110.8025988068048</v>
      </c>
      <c r="JD612" s="19">
        <f t="shared" si="1769"/>
        <v>2792.3931577786725</v>
      </c>
      <c r="JE612" s="21"/>
      <c r="JF612" s="1">
        <f t="shared" si="1770"/>
        <v>2.6651855648468406E-2</v>
      </c>
      <c r="JG612" s="15">
        <f t="shared" si="1771"/>
        <v>6449</v>
      </c>
      <c r="JH612" s="1">
        <f t="shared" si="1772"/>
        <v>0.12889494146500646</v>
      </c>
      <c r="JI612" s="1">
        <f t="shared" si="1773"/>
        <v>-5.0374936116439346E-2</v>
      </c>
      <c r="JJ612" s="1">
        <f t="shared" si="1774"/>
        <v>0</v>
      </c>
      <c r="JK612" s="1">
        <f t="shared" si="1775"/>
        <v>7.852000534856711E-2</v>
      </c>
      <c r="JL612" s="15">
        <f t="shared" ref="JL612:JM612" si="1830">JL112+JL212+JL312+JL412+JL512</f>
        <v>506.3755144929093</v>
      </c>
      <c r="JM612" s="15">
        <f t="shared" si="1830"/>
        <v>6955.3755144929091</v>
      </c>
      <c r="JN612" s="21"/>
      <c r="JO612" s="19">
        <f>INDEX(Input!$1:$1048576,JO$93,$C612*2+6)</f>
        <v>5995.5</v>
      </c>
      <c r="JP612" s="19">
        <f>INDEX(Input!$1:$1048576,JP$93,$C612*2+6)</f>
        <v>2296.6050414551746</v>
      </c>
      <c r="JQ612" s="39">
        <f t="shared" si="1799"/>
        <v>3203.1068422213275</v>
      </c>
      <c r="JR612" s="39">
        <f t="shared" si="1800"/>
        <v>495.78811632349789</v>
      </c>
      <c r="JS612" s="39">
        <f t="shared" si="1801"/>
        <v>19.422142996451313</v>
      </c>
      <c r="JT612" s="39">
        <f t="shared" si="1802"/>
        <v>4.6113370841068946</v>
      </c>
      <c r="JU612" s="385">
        <f>(JQ612*JM612-INDEX(Input!$1:$1048576,Input!A$18,$C612*2+6)*JL612*INDEX(Input!$1:$1048576,Input!A$19,$C612*2+6))/1000000</f>
        <v>22.278810900690925</v>
      </c>
      <c r="JV612" s="39">
        <f t="shared" si="1803"/>
        <v>-1.5753626869646524</v>
      </c>
      <c r="JW612" s="1">
        <f t="shared" si="1804"/>
        <v>-6.6041386056647763E-2</v>
      </c>
      <c r="JX612" s="19">
        <f t="shared" si="1805"/>
        <v>9106.5562060692137</v>
      </c>
      <c r="JZ612" s="341"/>
      <c r="KA612" s="60"/>
      <c r="KB612" s="469">
        <f t="shared" si="1778"/>
        <v>0</v>
      </c>
      <c r="KI612" s="472"/>
      <c r="KJ612" s="472"/>
      <c r="KK612" s="472"/>
      <c r="KN612" s="793">
        <f t="shared" si="1779"/>
        <v>6002</v>
      </c>
      <c r="KO612" s="541">
        <f t="shared" si="1780"/>
        <v>5.3798707695162484E-2</v>
      </c>
      <c r="KP612" s="546">
        <f t="shared" si="1781"/>
        <v>451.59395929634258</v>
      </c>
      <c r="KQ612" s="546">
        <f t="shared" si="1782"/>
        <v>329.55990117352758</v>
      </c>
      <c r="KR612" s="472">
        <f t="shared" si="1783"/>
        <v>2.087428114146237</v>
      </c>
      <c r="KS612" s="472">
        <f t="shared" si="1784"/>
        <v>2.8603902460737793</v>
      </c>
      <c r="KT612" s="473">
        <f t="shared" si="1795"/>
        <v>4286.2445668946921</v>
      </c>
      <c r="KU612" s="663">
        <f t="shared" si="1785"/>
        <v>4.456785063358331</v>
      </c>
      <c r="KV612" s="117"/>
    </row>
    <row r="613" spans="1:308" s="26" customFormat="1" ht="15">
      <c r="A613" s="561">
        <f t="shared" si="1751"/>
        <v>6013</v>
      </c>
      <c r="B613" s="561">
        <f t="shared" si="1786"/>
        <v>13</v>
      </c>
      <c r="C613" s="561">
        <f t="shared" si="1787"/>
        <v>6</v>
      </c>
      <c r="D613" s="561" t="str">
        <f t="shared" si="1818"/>
        <v xml:space="preserve">0/0/0.9/3.9, </v>
      </c>
      <c r="E613" s="115">
        <f>INDEX(Input!$1:$1048576,E$93,$C613*2+MIN($B613,2)+5)</f>
        <v>1267.2644913000609</v>
      </c>
      <c r="F613" s="115">
        <f>INDEX(Input!$1:$1048576,F$93,$C613*2+MIN($B613,2)+5)</f>
        <v>0</v>
      </c>
      <c r="G613" s="115">
        <f>INDEX(Input!$1:$1048576,G$93,$C613*2+MIN($B613,2)+5)</f>
        <v>0</v>
      </c>
      <c r="H613" s="115">
        <f>INDEX(Input!$1:$1048576,H$93,$C613*2+MIN($B613,2)+5)</f>
        <v>0</v>
      </c>
      <c r="I613" s="118">
        <f>INDEX(Input!$1:$1048576,I$93,$C613*2+MIN($B613,2)+5)</f>
        <v>0.7</v>
      </c>
      <c r="J613" s="476" t="str">
        <f>INDEX(Input!$1:$1048576,J$93,$C613*2+MIN($B613,2)+5)</f>
        <v>Market</v>
      </c>
      <c r="K613" s="476" t="str">
        <f>INDEX(Input!$1:$1048576,K$93,$C613*2+MIN($B613,2)+5)</f>
        <v>Market</v>
      </c>
      <c r="L613" s="476" t="str">
        <f>INDEX(Input!$1:$1048576,L$93,$C613*2+MIN($B613,2)+5)</f>
        <v>Market</v>
      </c>
      <c r="M613" s="476" t="str">
        <f>INDEX(Input!$1:$1048576,M$93,$C613*2+MIN($B613,2)+5)</f>
        <v>Market</v>
      </c>
      <c r="N613" s="476" t="str">
        <f>INDEX(Input!$1:$1048576,N$93,$C613*2+MIN($B613,2)+5)</f>
        <v>Market</v>
      </c>
      <c r="O613" s="476" t="str">
        <f>INDEX(Input!$1:$1048576,O$93,$C613*2+MIN($B613,2)+5)</f>
        <v>Market</v>
      </c>
      <c r="P613" s="476" t="str">
        <f>INDEX(Input!$1:$1048576,P$93,$C613*2+MIN($B613,2)+5)</f>
        <v>N</v>
      </c>
      <c r="Q613" s="477">
        <f>INDEX(Input!$1:$1048576,Q$93,$C613*2+MIN($B613,2)+5)</f>
        <v>0</v>
      </c>
      <c r="R613" s="478">
        <f>IFERROR(MAX(0,INDEX(Input!$1:$1048576,R$93,$C613*2+MIN($B613,2)+5)-1%,),"Market")</f>
        <v>0</v>
      </c>
      <c r="S613" s="478">
        <f>IFERROR(MAX(0,INDEX(Input!$1:$1048576,S$93,$C613*2+MIN($B613,2)+5)-1%,),"Market")</f>
        <v>0</v>
      </c>
      <c r="T613" s="478">
        <f>IFERROR(MAX(0,INDEX(Input!$1:$1048576,T$93,$C613*2+MIN($B613,2)+5)-1%,),"Market")</f>
        <v>0</v>
      </c>
      <c r="U613" s="478">
        <f>IFERROR(MAX(0,INDEX(Input!$1:$1048576,U$93,$C613*2+MIN($B613,2)+5)-1%,),"Market")</f>
        <v>0</v>
      </c>
      <c r="V613" s="478">
        <f>IFERROR(MAX(0,INDEX(Input!$1:$1048576,V$93,$C613*2+MIN($B613,2)+5)-1%,),"Market")</f>
        <v>8.9999999999999993E-3</v>
      </c>
      <c r="W613" s="885">
        <f>IFERROR(MAX(0,INDEX(Input!$1:$1048576,W$93,$C613*2+MIN($B613,2)+5)-0%,),"Market")</f>
        <v>3.9E-2</v>
      </c>
      <c r="X613" s="476" t="str">
        <f>INDEX(Input!$1:$1048576,X$93,$C613*2+MIN($B613,2)+5)</f>
        <v>Y</v>
      </c>
      <c r="Y613" s="150">
        <f>INDEX(Input!$1:$1048576,Y$93,$C613*2+MIN($B613,2)+5)</f>
        <v>737.99367635402496</v>
      </c>
      <c r="Z613" s="30">
        <f>INDEX(Input!$1:$1048576,Z$93,$C613*2+MIN($B613,2)+5)</f>
        <v>0</v>
      </c>
      <c r="AA613" s="475">
        <f>INDEX(Input!$1:$1048576,AA$93,$C613*2+MIN($B613,2)+5)</f>
        <v>0</v>
      </c>
      <c r="AB613" s="118">
        <f>INDEX(Input!$1:$1048576,AB$93,$C613*2+MIN($B613,2)+5)</f>
        <v>0.27</v>
      </c>
      <c r="AC613" s="115">
        <f>INDEX(Input!$1:$1048576,AC$93,$C613*2+MIN($B613,2)+5)</f>
        <v>0</v>
      </c>
      <c r="AD613" s="118">
        <f>INDEX(Input!$1:$1048576,AD$93,$C613*2+MIN($B613,2)+5)</f>
        <v>0.27</v>
      </c>
      <c r="AE613" s="115">
        <f>INDEX(Input!$1:$1048576,AE$93,$C613*2+MIN($B613,2)+5)</f>
        <v>0</v>
      </c>
      <c r="AF613" s="118">
        <f>INDEX(Input!$1:$1048576,AF$93,$C613*2+MIN($B613,2)+5)</f>
        <v>1</v>
      </c>
      <c r="AG613" s="115">
        <f>INDEX(Input!$1:$1048576,AG$93,$C613*2+MIN($B613,2)+5)</f>
        <v>500</v>
      </c>
      <c r="AH613" s="118">
        <f>INDEX(Input!$1:$1048576,AH$93,$C613*2+MIN($B613,2)+5)</f>
        <v>1</v>
      </c>
      <c r="AI613" s="115">
        <f>INDEX(Input!$1:$1048576,AI$93,$C613*2+MIN($B613,2)+5)</f>
        <v>0</v>
      </c>
      <c r="AJ613" s="118">
        <f>INDEX(Input!$1:$1048576,AJ$93,$C613*2+MIN($B613,2)+5)</f>
        <v>0.27</v>
      </c>
      <c r="AK613" s="150">
        <f>ROUND(INDEX(Input!$1:$1048576,AK$93,$C612*2+MIN($B613,1)+5)+(Y613-VLOOKUP($C613*1000+1,$A:$HH,Y$92,FALSE)),0)</f>
        <v>3061</v>
      </c>
      <c r="AL613" s="150">
        <f>ROUND(INDEX(Input!$1:$1048576,AL$93,$C612*2+MIN($B613,1)+5)-(Y613-VLOOKUP($C613*1000+1,$A:$HH,Y$92,FALSE))/36,0)</f>
        <v>3552</v>
      </c>
      <c r="AM613" s="32" t="str">
        <f t="shared" si="1752"/>
        <v>std/std/std/std</v>
      </c>
      <c r="AN613" s="32" t="str">
        <f t="shared" si="1753"/>
        <v>$0 + 0/0/0/0.9/3.9</v>
      </c>
      <c r="AO613" s="32" t="str">
        <f t="shared" si="1754"/>
        <v>0/0/0/0.9/3.9</v>
      </c>
      <c r="AP613" s="32" t="str">
        <f t="shared" si="1716"/>
        <v>0/0/0.9/3.9</v>
      </c>
      <c r="AQ613" s="536">
        <f t="shared" si="1717"/>
        <v>0.35288076726685191</v>
      </c>
      <c r="AR613" s="32"/>
      <c r="AS613" s="302"/>
      <c r="AT613" s="3">
        <f t="shared" si="1788"/>
        <v>13</v>
      </c>
      <c r="AU613" s="41" t="s">
        <v>121</v>
      </c>
      <c r="AV613" s="41" t="s">
        <v>116</v>
      </c>
      <c r="AW613" s="41" t="str">
        <f>INDEX(Input!$1:$1048576,AW$93,$C613*2+6)</f>
        <v>Kia</v>
      </c>
      <c r="AX613" s="41" t="str">
        <f>INDEX(Input!$1:$1048576,AX$93,$C613*2+6)</f>
        <v>National</v>
      </c>
      <c r="AY613" s="41" t="str">
        <f>IF(LEN(D613)=0,"",INDEX(Input!$1:$1048576,AY$93,$C613*2+6))</f>
        <v>Compact SUV (52)</v>
      </c>
      <c r="AZ613" s="41" t="str">
        <f>INDEX(Input!$1:$1048576,AZ$93,$C613*2+6)</f>
        <v>Kia Soul</v>
      </c>
      <c r="BA613" s="3">
        <f>INDEX(Input!$1:$1048576,BA$93,$C613*2+6)</f>
        <v>2020</v>
      </c>
      <c r="BB613" s="128">
        <f>INDEX(Input!$1:$1048576,BB$93,$C613*2+6)</f>
        <v>1</v>
      </c>
      <c r="BC613" s="128">
        <f>INDEX(Input!$1:$1048576,BC$93,$C613*2+6)</f>
        <v>0.7</v>
      </c>
      <c r="BD613" s="1">
        <f>INDEX(Input!$1:$1048576,BD$93,$C613*2+6)</f>
        <v>4.4999999999999998E-2</v>
      </c>
      <c r="BE613" s="1">
        <f>INDEX(Input!$1:$1048576,BE$93,$C613*2+6)</f>
        <v>4.4999999999999998E-2</v>
      </c>
      <c r="BF613" s="1">
        <f>INDEX(Input!$1:$1048576,BF$93,$C613*2+6)</f>
        <v>0.05</v>
      </c>
      <c r="BG613" s="1">
        <f>INDEX(Input!$1:$1048576,BG$93,$C613*2+6)</f>
        <v>5.45E-2</v>
      </c>
      <c r="BH613" s="1">
        <f>INDEX(Input!$1:$1048576,BH$93,$C613*2+6)</f>
        <v>5.45E-2</v>
      </c>
      <c r="BI613" s="1">
        <f>INDEX(Input!$1:$1048576,BI$93,$C613*2+6)</f>
        <v>0.05</v>
      </c>
      <c r="BJ613" s="1">
        <f>INDEX(Input!$1:$1048576,BJ$93,$C613*2+6)</f>
        <v>0.05</v>
      </c>
      <c r="BK613" s="1">
        <f>INDEX(Input!$1:$1048576,BK$93,$C613*2+6)</f>
        <v>0.05</v>
      </c>
      <c r="BL613" s="1">
        <f>INDEX(Input!$1:$1048576,BL$93,$C613*2+6)</f>
        <v>5.5E-2</v>
      </c>
      <c r="BM613" s="1">
        <f>INDEX(Input!$1:$1048576,BM$93,$C613*2+6)</f>
        <v>0.06</v>
      </c>
      <c r="BN613" s="1">
        <f>INDEX(Input!$1:$1048576,BN$93,$C613*2+6)</f>
        <v>4.4999999999999998E-2</v>
      </c>
      <c r="BO613" s="1">
        <f>INDEX(Input!$1:$1048576,BO$93,$C613*2+6)</f>
        <v>4.4999999999999998E-2</v>
      </c>
      <c r="BP613" s="1">
        <f>INDEX(Input!$1:$1048576,BP$93,$C613*2+6)</f>
        <v>0.05</v>
      </c>
      <c r="BQ613" s="1">
        <f>INDEX(Input!$1:$1048576,BQ$93,$C613*2+6)</f>
        <v>5.45E-2</v>
      </c>
      <c r="BR613" s="1">
        <f>INDEX(Input!$1:$1048576,BR$93,$C613*2+6)</f>
        <v>5.45E-2</v>
      </c>
      <c r="BS613" s="1">
        <f>INDEX(Input!$1:$1048576,BS$93,$C613*2+6)</f>
        <v>0.05</v>
      </c>
      <c r="BT613" s="1">
        <f>INDEX(Input!$1:$1048576,BT$93,$C613*2+6)</f>
        <v>0.05</v>
      </c>
      <c r="BU613" s="1">
        <f>INDEX(Input!$1:$1048576,BU$93,$C613*2+6)</f>
        <v>0.05</v>
      </c>
      <c r="BV613" s="1">
        <f>INDEX(Input!$1:$1048576,BV$93,$C613*2+6)</f>
        <v>5.5E-2</v>
      </c>
      <c r="BW613" s="1">
        <f>INDEX(Input!$1:$1048576,BW$93,$C613*2+6)</f>
        <v>0.06</v>
      </c>
      <c r="BX613" s="127">
        <f>INDEX(Input!$1:$1048576,BX$93,$C613*2+6)</f>
        <v>19985</v>
      </c>
      <c r="BY613" s="20">
        <f>INDEX(Input!$1:$1048576,BY$93,$C613*2+6)</f>
        <v>0.1</v>
      </c>
      <c r="BZ613" s="20">
        <f>INDEX(Input!$1:$1048576,BZ$93,$C613*2+6)</f>
        <v>0.1</v>
      </c>
      <c r="CA613" s="20">
        <f>INDEX(Input!$1:$1048576,CA$93,$C613*2+6)</f>
        <v>0.1</v>
      </c>
      <c r="CB613" s="20">
        <f>INDEX(Input!$1:$1048576,CB$93,$C613*2+6)</f>
        <v>0.1</v>
      </c>
      <c r="CC613" s="20">
        <f>INDEX(Input!$1:$1048576,CC$93,$C613*2+6)</f>
        <v>0.1</v>
      </c>
      <c r="CD613" s="384">
        <f>INDEX(Input!$1:$1048576,CD$93,$C613*2+6)</f>
        <v>0.1</v>
      </c>
      <c r="CE613" s="384">
        <f>INDEX(Input!$1:$1048576,CE$93,$C613*2+6)</f>
        <v>0.1</v>
      </c>
      <c r="CF613" s="384">
        <f>INDEX(Input!$1:$1048576,CF$93,$C613*2+6)</f>
        <v>0.1</v>
      </c>
      <c r="CG613" s="384">
        <f>INDEX(Input!$1:$1048576,CG$93,$C613*2+6)</f>
        <v>0.1</v>
      </c>
      <c r="CH613" s="384">
        <f>INDEX(Input!$1:$1048576,CH$93,$C613*2+6)</f>
        <v>0.1</v>
      </c>
      <c r="CI613" s="304">
        <f t="shared" si="1718"/>
        <v>1267.2644913000609</v>
      </c>
      <c r="CJ613" s="16" t="str">
        <f>INDEX(Input!$1:$1048576,CJ$93,$C613*2+6)</f>
        <v>N</v>
      </c>
      <c r="CK613" s="1" t="str">
        <f t="shared" si="1719"/>
        <v>Market</v>
      </c>
      <c r="CL613" s="1" t="str">
        <f t="shared" si="1720"/>
        <v>Market</v>
      </c>
      <c r="CM613" s="1" t="str">
        <f t="shared" si="1721"/>
        <v>Market</v>
      </c>
      <c r="CN613" s="1" t="str">
        <f t="shared" si="1722"/>
        <v>Market</v>
      </c>
      <c r="CO613" s="1" t="str">
        <f t="shared" si="1723"/>
        <v>Market</v>
      </c>
      <c r="CP613" s="304">
        <f t="shared" si="1724"/>
        <v>500</v>
      </c>
      <c r="CQ613" s="1">
        <f t="shared" si="1725"/>
        <v>0</v>
      </c>
      <c r="CR613" s="1">
        <f t="shared" si="1726"/>
        <v>0</v>
      </c>
      <c r="CS613" s="1">
        <f t="shared" si="1727"/>
        <v>0</v>
      </c>
      <c r="CT613" s="1">
        <f t="shared" si="1728"/>
        <v>8.9999999999999993E-3</v>
      </c>
      <c r="CU613" s="1">
        <f t="shared" si="1729"/>
        <v>3.9E-2</v>
      </c>
      <c r="CV613" s="304">
        <f t="shared" si="1730"/>
        <v>737.99367635402496</v>
      </c>
      <c r="CW613" s="20" t="s">
        <v>122</v>
      </c>
      <c r="CX613" s="20" t="s">
        <v>122</v>
      </c>
      <c r="CY613" s="20" t="s">
        <v>122</v>
      </c>
      <c r="CZ613" s="20" t="s">
        <v>122</v>
      </c>
      <c r="DA613" s="20" t="s">
        <v>122</v>
      </c>
      <c r="DB613" s="503">
        <f t="shared" si="1731"/>
        <v>0</v>
      </c>
      <c r="DC613" s="127">
        <v>0</v>
      </c>
      <c r="DD613" s="127">
        <v>0</v>
      </c>
      <c r="DE613" s="127">
        <v>0</v>
      </c>
      <c r="DF613" s="127">
        <v>0</v>
      </c>
      <c r="DG613" s="127">
        <v>0</v>
      </c>
      <c r="DH613" s="127">
        <v>0</v>
      </c>
      <c r="DI613" s="127">
        <v>0</v>
      </c>
      <c r="DJ613" s="127">
        <v>0</v>
      </c>
      <c r="DK613" s="127">
        <v>0</v>
      </c>
      <c r="DL613" s="127">
        <v>0</v>
      </c>
      <c r="DM613" s="304">
        <f>INDEX(Input!$1:$1048576,DM$93,$C613*2+6)</f>
        <v>21036.84210526316</v>
      </c>
      <c r="DN613" s="20">
        <v>0</v>
      </c>
      <c r="DO613" s="20">
        <v>0</v>
      </c>
      <c r="DP613" s="20">
        <v>0</v>
      </c>
      <c r="DQ613" s="20">
        <v>0</v>
      </c>
      <c r="DR613" s="20">
        <v>0</v>
      </c>
      <c r="DS613" s="20">
        <f>INDEX(Input!$1:$1048576,DS$93,$C613*2+6)</f>
        <v>0.6</v>
      </c>
      <c r="DT613" s="20">
        <f>INDEX(Input!$1:$1048576,DT$93,$C613*2+6)</f>
        <v>0.55000000000000004</v>
      </c>
      <c r="DU613" s="20">
        <f>INDEX(Input!$1:$1048576,DU$93,$C613*2+6)</f>
        <v>0.52</v>
      </c>
      <c r="DV613" s="20">
        <f>INDEX(Input!$1:$1048576,DV$93,$C613*2+6)</f>
        <v>0.5</v>
      </c>
      <c r="DW613" s="20">
        <f>INDEX(Input!$1:$1048576,DW$93,$C613*2+6)</f>
        <v>0.45</v>
      </c>
      <c r="DX613" s="20"/>
      <c r="DY613" s="7"/>
      <c r="DZ613" s="7"/>
      <c r="EA613" s="7"/>
      <c r="EB613" s="7"/>
      <c r="EC613" s="7"/>
      <c r="ED613" s="7"/>
      <c r="EE613" s="7"/>
      <c r="EF613" s="7"/>
      <c r="EG613" s="7"/>
      <c r="EH613" s="7"/>
      <c r="EI613" s="7"/>
      <c r="EJ613" s="7"/>
      <c r="EK613" s="7"/>
      <c r="EL613" s="7"/>
      <c r="EM613" s="7"/>
      <c r="EN613" s="7"/>
      <c r="EO613" s="7"/>
      <c r="EP613" s="7"/>
      <c r="EQ613" s="7"/>
      <c r="ER613" s="7"/>
      <c r="ES613" s="7"/>
      <c r="ET613" s="7"/>
      <c r="EU613" s="6"/>
      <c r="EV613" s="6"/>
      <c r="EW613" s="6"/>
      <c r="EX613" s="6"/>
      <c r="EY613" s="6"/>
      <c r="EZ613" s="6"/>
      <c r="FA613" s="6"/>
      <c r="FB613" s="6"/>
      <c r="FC613" s="6"/>
      <c r="FD613" s="6"/>
      <c r="FE613" s="6"/>
      <c r="FF613" s="6"/>
      <c r="FG613" s="6"/>
      <c r="FH613" s="6"/>
      <c r="FI613" s="6"/>
      <c r="FJ613" s="6"/>
      <c r="FK613" s="6"/>
      <c r="FL613" s="6"/>
      <c r="FM613" s="6"/>
      <c r="FN613" s="6"/>
      <c r="FO613" s="6"/>
      <c r="FP613" s="6"/>
      <c r="FQ613" s="6"/>
      <c r="FR613" s="6"/>
      <c r="FS613" s="6"/>
      <c r="FT613" s="7"/>
      <c r="FU613" s="7"/>
      <c r="FV613" s="7"/>
      <c r="FW613" s="6"/>
      <c r="FX613" s="6"/>
      <c r="FY613" s="6"/>
      <c r="FZ613" s="6"/>
      <c r="GA613" s="6"/>
      <c r="GB613" s="6"/>
      <c r="GC613" s="7"/>
      <c r="GD613" s="7"/>
      <c r="GE613" s="7"/>
      <c r="GF613" s="7"/>
      <c r="GG613" s="7"/>
      <c r="GH613" s="42"/>
      <c r="GI613" s="6"/>
      <c r="GJ613" s="14"/>
      <c r="GK613" s="14"/>
      <c r="GL613" s="14"/>
      <c r="GM613" s="14"/>
      <c r="GO613" s="5"/>
      <c r="GP613" s="5"/>
      <c r="GQ613" s="5"/>
      <c r="GR613" s="5"/>
      <c r="GS613" s="5"/>
      <c r="GT613" s="5"/>
      <c r="GU613" s="5"/>
      <c r="GV613" s="39"/>
      <c r="GW613" s="5"/>
      <c r="GX613" s="5"/>
      <c r="GY613" s="5"/>
      <c r="GZ613" s="5"/>
      <c r="HA613" s="5"/>
      <c r="HB613" s="39"/>
      <c r="HC613" s="5"/>
      <c r="HD613" s="5"/>
      <c r="HE613" s="5"/>
      <c r="HF613" s="5"/>
      <c r="HG613" s="5"/>
      <c r="HH613" s="39"/>
      <c r="HI613" s="16"/>
      <c r="HJ613" s="19"/>
      <c r="HK613" s="1"/>
      <c r="HL613" s="16"/>
      <c r="HM613" s="639">
        <f t="shared" si="1755"/>
        <v>2.3149872625708352E-2</v>
      </c>
      <c r="HN613" s="639">
        <f t="shared" si="1756"/>
        <v>1.3965040474190958E-3</v>
      </c>
      <c r="HO613" s="639">
        <f t="shared" si="1757"/>
        <v>3.5429561340050734E-3</v>
      </c>
      <c r="HP613" s="644">
        <f t="shared" ref="HP613:ID613" si="1831">HP113+HP213+HP313+HP413+HP513</f>
        <v>53.041064942153881</v>
      </c>
      <c r="HQ613" s="644">
        <f t="shared" si="1831"/>
        <v>94.220313823729185</v>
      </c>
      <c r="HR613" s="644">
        <f t="shared" si="1831"/>
        <v>-1.2612933308594223</v>
      </c>
      <c r="HS613" s="644">
        <f t="shared" si="1831"/>
        <v>-61.268045153007478</v>
      </c>
      <c r="HT613" s="644">
        <f t="shared" si="1831"/>
        <v>215.8118854855679</v>
      </c>
      <c r="HU613" s="644">
        <f t="shared" si="1831"/>
        <v>16.971116361330829</v>
      </c>
      <c r="HV613" s="644">
        <f t="shared" si="1831"/>
        <v>0</v>
      </c>
      <c r="HW613" s="644">
        <f t="shared" si="1831"/>
        <v>0</v>
      </c>
      <c r="HX613" s="644">
        <f t="shared" si="1831"/>
        <v>0</v>
      </c>
      <c r="HY613" s="644">
        <f t="shared" si="1831"/>
        <v>2396</v>
      </c>
      <c r="HZ613" s="644">
        <f t="shared" si="1831"/>
        <v>3223</v>
      </c>
      <c r="IA613" s="644">
        <f t="shared" si="1831"/>
        <v>830</v>
      </c>
      <c r="IB613" s="644">
        <f t="shared" si="1831"/>
        <v>2387.7730197891465</v>
      </c>
      <c r="IC613" s="644">
        <f t="shared" si="1831"/>
        <v>3533.0321993092971</v>
      </c>
      <c r="ID613" s="644">
        <f t="shared" si="1831"/>
        <v>845.70982303047151</v>
      </c>
      <c r="IE613" s="20">
        <f t="shared" si="1759"/>
        <v>0.35288076726685191</v>
      </c>
      <c r="IF613" s="20">
        <f t="shared" si="1760"/>
        <v>0.52213468488761627</v>
      </c>
      <c r="IG613" s="20">
        <f t="shared" si="1761"/>
        <v>0.12498454784553172</v>
      </c>
      <c r="IH613" s="21"/>
      <c r="II613" s="19"/>
      <c r="IJ613" s="19"/>
      <c r="IK613" s="19"/>
      <c r="IL613" s="19">
        <f t="shared" si="1762"/>
        <v>177.00541774892235</v>
      </c>
      <c r="IM613" s="19">
        <f t="shared" si="1763"/>
        <v>495.75967459840331</v>
      </c>
      <c r="IN613" s="19">
        <f t="shared" si="1764"/>
        <v>111.76859508038524</v>
      </c>
      <c r="IO613" s="39"/>
      <c r="IP613" s="39"/>
      <c r="IQ613" s="39"/>
      <c r="IR613" s="39"/>
      <c r="IS613" s="39"/>
      <c r="IT613" s="39"/>
      <c r="IU613" s="39"/>
      <c r="IV613" s="39"/>
      <c r="IW613" s="39"/>
      <c r="IX613" s="19">
        <f t="shared" si="1765"/>
        <v>1554.1790484140233</v>
      </c>
      <c r="IY613" s="19">
        <f t="shared" si="1766"/>
        <v>2412.3001201524512</v>
      </c>
      <c r="IZ613" s="19">
        <f t="shared" si="1767"/>
        <v>3993.0862952928574</v>
      </c>
      <c r="JA613" s="19">
        <f t="shared" ref="JA613:JC613" si="1832">IFERROR((JA113*IB113+JA213*IB213+JA313*IB313+JA413*IB413+JA513*IB513)/IB613,0)</f>
        <v>1731.1844661629457</v>
      </c>
      <c r="JB613" s="19">
        <f t="shared" si="1832"/>
        <v>2908.0597947508545</v>
      </c>
      <c r="JC613" s="19">
        <f t="shared" si="1832"/>
        <v>4104.8548903732426</v>
      </c>
      <c r="JD613" s="19">
        <f t="shared" si="1769"/>
        <v>2642.3440197114382</v>
      </c>
      <c r="JE613" s="21"/>
      <c r="JF613" s="1">
        <f t="shared" si="1770"/>
        <v>2.6651855648468406E-2</v>
      </c>
      <c r="JG613" s="15">
        <f t="shared" si="1771"/>
        <v>6449</v>
      </c>
      <c r="JH613" s="1">
        <f t="shared" si="1772"/>
        <v>2.2639182111183698E-2</v>
      </c>
      <c r="JI613" s="1">
        <f t="shared" si="1773"/>
        <v>2.659558950130117E-2</v>
      </c>
      <c r="JJ613" s="1">
        <f t="shared" si="1774"/>
        <v>0</v>
      </c>
      <c r="JK613" s="1">
        <f t="shared" si="1775"/>
        <v>4.9234771612484865E-2</v>
      </c>
      <c r="JL613" s="15">
        <f t="shared" ref="JL613:JM613" si="1833">JL113+JL213+JL313+JL413+JL513</f>
        <v>317.5150421289149</v>
      </c>
      <c r="JM613" s="15">
        <f t="shared" si="1833"/>
        <v>6766.5150421289145</v>
      </c>
      <c r="JN613" s="21"/>
      <c r="JO613" s="19">
        <f>INDEX(Input!$1:$1048576,JO$93,$C613*2+6)</f>
        <v>5995.5</v>
      </c>
      <c r="JP613" s="19">
        <f>INDEX(Input!$1:$1048576,JP$93,$C613*2+6)</f>
        <v>2296.6050414551746</v>
      </c>
      <c r="JQ613" s="39">
        <f t="shared" si="1799"/>
        <v>3353.1559802885618</v>
      </c>
      <c r="JR613" s="39">
        <f t="shared" si="1800"/>
        <v>345.73897825626364</v>
      </c>
      <c r="JS613" s="39">
        <f t="shared" si="1801"/>
        <v>17.879460555856827</v>
      </c>
      <c r="JT613" s="39">
        <f t="shared" si="1802"/>
        <v>3.0686546435124074</v>
      </c>
      <c r="JU613" s="385">
        <f>(JQ613*JM613-INDEX(Input!$1:$1048576,Input!A$18,$C613*2+6)*JL613*INDEX(Input!$1:$1048576,Input!A$19,$C613*2+6))/1000000</f>
        <v>22.689180379227079</v>
      </c>
      <c r="JV613" s="39">
        <f t="shared" si="1803"/>
        <v>-1.1649932084284984</v>
      </c>
      <c r="JW613" s="1">
        <f t="shared" si="1804"/>
        <v>-4.8838129065656544E-2</v>
      </c>
      <c r="JX613" s="19">
        <f t="shared" si="1805"/>
        <v>9664.5961178321031</v>
      </c>
      <c r="JZ613" s="341"/>
      <c r="KA613" s="60"/>
      <c r="KB613" s="469">
        <f t="shared" si="1778"/>
        <v>0</v>
      </c>
      <c r="KI613" s="472"/>
      <c r="KJ613" s="472"/>
      <c r="KK613" s="472"/>
      <c r="KN613" s="793">
        <f t="shared" si="1779"/>
        <v>6002</v>
      </c>
      <c r="KO613" s="541">
        <f t="shared" si="1780"/>
        <v>2.5184735480840548E-2</v>
      </c>
      <c r="KP613" s="546">
        <f t="shared" si="1781"/>
        <v>170.79840242570941</v>
      </c>
      <c r="KQ613" s="546">
        <f t="shared" si="1782"/>
        <v>179.51076310629333</v>
      </c>
      <c r="KR613" s="472">
        <f t="shared" si="1783"/>
        <v>2.5836959141085929</v>
      </c>
      <c r="KS613" s="472">
        <f t="shared" si="1784"/>
        <v>2.4582990281328136</v>
      </c>
      <c r="KT613" s="473">
        <f t="shared" si="1795"/>
        <v>4286.2445668946921</v>
      </c>
      <c r="KU613" s="663">
        <f t="shared" si="1785"/>
        <v>4.3766133284499347</v>
      </c>
      <c r="KV613" s="117"/>
    </row>
    <row r="614" spans="1:308" s="26" customFormat="1" ht="15">
      <c r="A614" s="561">
        <f t="shared" si="1751"/>
        <v>6014</v>
      </c>
      <c r="B614" s="561">
        <f t="shared" si="1786"/>
        <v>14</v>
      </c>
      <c r="C614" s="561">
        <f t="shared" si="1787"/>
        <v>6</v>
      </c>
      <c r="D614" s="561" t="str">
        <f t="shared" si="1818"/>
        <v xml:space="preserve">0/0/0/3.9, </v>
      </c>
      <c r="E614" s="115">
        <f>INDEX(Input!$1:$1048576,E$93,$C614*2+MIN($B614,2)+5)</f>
        <v>1267.2644913000609</v>
      </c>
      <c r="F614" s="115">
        <f>INDEX(Input!$1:$1048576,F$93,$C614*2+MIN($B614,2)+5)</f>
        <v>0</v>
      </c>
      <c r="G614" s="115">
        <f>INDEX(Input!$1:$1048576,G$93,$C614*2+MIN($B614,2)+5)</f>
        <v>0</v>
      </c>
      <c r="H614" s="115">
        <f>INDEX(Input!$1:$1048576,H$93,$C614*2+MIN($B614,2)+5)</f>
        <v>0</v>
      </c>
      <c r="I614" s="118">
        <f>INDEX(Input!$1:$1048576,I$93,$C614*2+MIN($B614,2)+5)</f>
        <v>0.7</v>
      </c>
      <c r="J614" s="476" t="str">
        <f>INDEX(Input!$1:$1048576,J$93,$C614*2+MIN($B614,2)+5)</f>
        <v>Market</v>
      </c>
      <c r="K614" s="476" t="str">
        <f>INDEX(Input!$1:$1048576,K$93,$C614*2+MIN($B614,2)+5)</f>
        <v>Market</v>
      </c>
      <c r="L614" s="476" t="str">
        <f>INDEX(Input!$1:$1048576,L$93,$C614*2+MIN($B614,2)+5)</f>
        <v>Market</v>
      </c>
      <c r="M614" s="476" t="str">
        <f>INDEX(Input!$1:$1048576,M$93,$C614*2+MIN($B614,2)+5)</f>
        <v>Market</v>
      </c>
      <c r="N614" s="476" t="str">
        <f>INDEX(Input!$1:$1048576,N$93,$C614*2+MIN($B614,2)+5)</f>
        <v>Market</v>
      </c>
      <c r="O614" s="476" t="str">
        <f>INDEX(Input!$1:$1048576,O$93,$C614*2+MIN($B614,2)+5)</f>
        <v>Market</v>
      </c>
      <c r="P614" s="476" t="str">
        <f>INDEX(Input!$1:$1048576,P$93,$C614*2+MIN($B614,2)+5)</f>
        <v>N</v>
      </c>
      <c r="Q614" s="477">
        <f>INDEX(Input!$1:$1048576,Q$93,$C614*2+MIN($B614,2)+5)</f>
        <v>0</v>
      </c>
      <c r="R614" s="478">
        <f>IFERROR(MAX(0,INDEX(Input!$1:$1048576,R$93,$C614*2+MIN($B614,2)+5)-2%,),"Market")</f>
        <v>0</v>
      </c>
      <c r="S614" s="478">
        <f>IFERROR(MAX(0,INDEX(Input!$1:$1048576,S$93,$C614*2+MIN($B614,2)+5)-2%,),"Market")</f>
        <v>0</v>
      </c>
      <c r="T614" s="478">
        <f>IFERROR(MAX(0,INDEX(Input!$1:$1048576,T$93,$C614*2+MIN($B614,2)+5)-2%,),"Market")</f>
        <v>0</v>
      </c>
      <c r="U614" s="478">
        <f>IFERROR(MAX(0,INDEX(Input!$1:$1048576,U$93,$C614*2+MIN($B614,2)+5)-2%,),"Market")</f>
        <v>0</v>
      </c>
      <c r="V614" s="478">
        <f>IFERROR(MAX(0,INDEX(Input!$1:$1048576,V$93,$C614*2+MIN($B614,2)+5)-2%,),"Market")</f>
        <v>0</v>
      </c>
      <c r="W614" s="885">
        <f>IFERROR(MAX(0,INDEX(Input!$1:$1048576,W$93,$C614*2+MIN($B614,2)+5)-0%,),"Market")</f>
        <v>3.9E-2</v>
      </c>
      <c r="X614" s="476" t="str">
        <f>INDEX(Input!$1:$1048576,X$93,$C614*2+MIN($B614,2)+5)</f>
        <v>Y</v>
      </c>
      <c r="Y614" s="150">
        <f>INDEX(Input!$1:$1048576,Y$93,$C614*2+MIN($B614,2)+5)</f>
        <v>737.99367635402496</v>
      </c>
      <c r="Z614" s="30">
        <f>INDEX(Input!$1:$1048576,Z$93,$C614*2+MIN($B614,2)+5)</f>
        <v>0</v>
      </c>
      <c r="AA614" s="475">
        <f>INDEX(Input!$1:$1048576,AA$93,$C614*2+MIN($B614,2)+5)</f>
        <v>0</v>
      </c>
      <c r="AB614" s="118">
        <f>INDEX(Input!$1:$1048576,AB$93,$C614*2+MIN($B614,2)+5)</f>
        <v>0.27</v>
      </c>
      <c r="AC614" s="115">
        <f>INDEX(Input!$1:$1048576,AC$93,$C614*2+MIN($B614,2)+5)</f>
        <v>0</v>
      </c>
      <c r="AD614" s="118">
        <f>INDEX(Input!$1:$1048576,AD$93,$C614*2+MIN($B614,2)+5)</f>
        <v>0.27</v>
      </c>
      <c r="AE614" s="115">
        <f>INDEX(Input!$1:$1048576,AE$93,$C614*2+MIN($B614,2)+5)</f>
        <v>0</v>
      </c>
      <c r="AF614" s="118">
        <f>INDEX(Input!$1:$1048576,AF$93,$C614*2+MIN($B614,2)+5)</f>
        <v>1</v>
      </c>
      <c r="AG614" s="115">
        <f>INDEX(Input!$1:$1048576,AG$93,$C614*2+MIN($B614,2)+5)</f>
        <v>500</v>
      </c>
      <c r="AH614" s="118">
        <f>INDEX(Input!$1:$1048576,AH$93,$C614*2+MIN($B614,2)+5)</f>
        <v>1</v>
      </c>
      <c r="AI614" s="115">
        <f>INDEX(Input!$1:$1048576,AI$93,$C614*2+MIN($B614,2)+5)</f>
        <v>0</v>
      </c>
      <c r="AJ614" s="118">
        <f>INDEX(Input!$1:$1048576,AJ$93,$C614*2+MIN($B614,2)+5)</f>
        <v>0.27</v>
      </c>
      <c r="AK614" s="150">
        <f>ROUND(INDEX(Input!$1:$1048576,AK$93,$C613*2+MIN($B614,1)+5)+(Y614-VLOOKUP($C614*1000+1,$A:$HH,Y$92,FALSE)),0)</f>
        <v>3061</v>
      </c>
      <c r="AL614" s="150">
        <f>ROUND(INDEX(Input!$1:$1048576,AL$93,$C613*2+MIN($B614,1)+5)-(Y614-VLOOKUP($C614*1000+1,$A:$HH,Y$92,FALSE))/36,0)</f>
        <v>3552</v>
      </c>
      <c r="AM614" s="32" t="str">
        <f t="shared" si="1752"/>
        <v>std/std/std/std</v>
      </c>
      <c r="AN614" s="32" t="str">
        <f t="shared" si="1753"/>
        <v>$0 + 0/0/0/0/3.9</v>
      </c>
      <c r="AO614" s="32" t="str">
        <f t="shared" si="1754"/>
        <v>0/0/0/0/3.9</v>
      </c>
      <c r="AP614" s="32" t="str">
        <f t="shared" si="1716"/>
        <v>0/0/0/3.9</v>
      </c>
      <c r="AQ614" s="536">
        <f t="shared" si="1717"/>
        <v>0.33266913435502177</v>
      </c>
      <c r="AR614" s="32"/>
      <c r="AS614" s="302"/>
      <c r="AT614" s="3">
        <f t="shared" si="1788"/>
        <v>14</v>
      </c>
      <c r="AU614" s="41" t="s">
        <v>121</v>
      </c>
      <c r="AV614" s="41" t="s">
        <v>116</v>
      </c>
      <c r="AW614" s="41" t="str">
        <f>INDEX(Input!$1:$1048576,AW$93,$C614*2+6)</f>
        <v>Kia</v>
      </c>
      <c r="AX614" s="41" t="str">
        <f>INDEX(Input!$1:$1048576,AX$93,$C614*2+6)</f>
        <v>National</v>
      </c>
      <c r="AY614" s="41" t="str">
        <f>IF(LEN(D614)=0,"",INDEX(Input!$1:$1048576,AY$93,$C614*2+6))</f>
        <v>Compact SUV (52)</v>
      </c>
      <c r="AZ614" s="41" t="str">
        <f>INDEX(Input!$1:$1048576,AZ$93,$C614*2+6)</f>
        <v>Kia Soul</v>
      </c>
      <c r="BA614" s="3">
        <f>INDEX(Input!$1:$1048576,BA$93,$C614*2+6)</f>
        <v>2020</v>
      </c>
      <c r="BB614" s="128">
        <f>INDEX(Input!$1:$1048576,BB$93,$C614*2+6)</f>
        <v>1</v>
      </c>
      <c r="BC614" s="128">
        <f>INDEX(Input!$1:$1048576,BC$93,$C614*2+6)</f>
        <v>0.7</v>
      </c>
      <c r="BD614" s="1">
        <f>INDEX(Input!$1:$1048576,BD$93,$C614*2+6)</f>
        <v>4.4999999999999998E-2</v>
      </c>
      <c r="BE614" s="1">
        <f>INDEX(Input!$1:$1048576,BE$93,$C614*2+6)</f>
        <v>4.4999999999999998E-2</v>
      </c>
      <c r="BF614" s="1">
        <f>INDEX(Input!$1:$1048576,BF$93,$C614*2+6)</f>
        <v>0.05</v>
      </c>
      <c r="BG614" s="1">
        <f>INDEX(Input!$1:$1048576,BG$93,$C614*2+6)</f>
        <v>5.45E-2</v>
      </c>
      <c r="BH614" s="1">
        <f>INDEX(Input!$1:$1048576,BH$93,$C614*2+6)</f>
        <v>5.45E-2</v>
      </c>
      <c r="BI614" s="1">
        <f>INDEX(Input!$1:$1048576,BI$93,$C614*2+6)</f>
        <v>0.05</v>
      </c>
      <c r="BJ614" s="1">
        <f>INDEX(Input!$1:$1048576,BJ$93,$C614*2+6)</f>
        <v>0.05</v>
      </c>
      <c r="BK614" s="1">
        <f>INDEX(Input!$1:$1048576,BK$93,$C614*2+6)</f>
        <v>0.05</v>
      </c>
      <c r="BL614" s="1">
        <f>INDEX(Input!$1:$1048576,BL$93,$C614*2+6)</f>
        <v>5.5E-2</v>
      </c>
      <c r="BM614" s="1">
        <f>INDEX(Input!$1:$1048576,BM$93,$C614*2+6)</f>
        <v>0.06</v>
      </c>
      <c r="BN614" s="1">
        <f>INDEX(Input!$1:$1048576,BN$93,$C614*2+6)</f>
        <v>4.4999999999999998E-2</v>
      </c>
      <c r="BO614" s="1">
        <f>INDEX(Input!$1:$1048576,BO$93,$C614*2+6)</f>
        <v>4.4999999999999998E-2</v>
      </c>
      <c r="BP614" s="1">
        <f>INDEX(Input!$1:$1048576,BP$93,$C614*2+6)</f>
        <v>0.05</v>
      </c>
      <c r="BQ614" s="1">
        <f>INDEX(Input!$1:$1048576,BQ$93,$C614*2+6)</f>
        <v>5.45E-2</v>
      </c>
      <c r="BR614" s="1">
        <f>INDEX(Input!$1:$1048576,BR$93,$C614*2+6)</f>
        <v>5.45E-2</v>
      </c>
      <c r="BS614" s="1">
        <f>INDEX(Input!$1:$1048576,BS$93,$C614*2+6)</f>
        <v>0.05</v>
      </c>
      <c r="BT614" s="1">
        <f>INDEX(Input!$1:$1048576,BT$93,$C614*2+6)</f>
        <v>0.05</v>
      </c>
      <c r="BU614" s="1">
        <f>INDEX(Input!$1:$1048576,BU$93,$C614*2+6)</f>
        <v>0.05</v>
      </c>
      <c r="BV614" s="1">
        <f>INDEX(Input!$1:$1048576,BV$93,$C614*2+6)</f>
        <v>5.5E-2</v>
      </c>
      <c r="BW614" s="1">
        <f>INDEX(Input!$1:$1048576,BW$93,$C614*2+6)</f>
        <v>0.06</v>
      </c>
      <c r="BX614" s="127">
        <f>INDEX(Input!$1:$1048576,BX$93,$C614*2+6)</f>
        <v>19985</v>
      </c>
      <c r="BY614" s="20">
        <f>INDEX(Input!$1:$1048576,BY$93,$C614*2+6)</f>
        <v>0.1</v>
      </c>
      <c r="BZ614" s="20">
        <f>INDEX(Input!$1:$1048576,BZ$93,$C614*2+6)</f>
        <v>0.1</v>
      </c>
      <c r="CA614" s="20">
        <f>INDEX(Input!$1:$1048576,CA$93,$C614*2+6)</f>
        <v>0.1</v>
      </c>
      <c r="CB614" s="20">
        <f>INDEX(Input!$1:$1048576,CB$93,$C614*2+6)</f>
        <v>0.1</v>
      </c>
      <c r="CC614" s="20">
        <f>INDEX(Input!$1:$1048576,CC$93,$C614*2+6)</f>
        <v>0.1</v>
      </c>
      <c r="CD614" s="384">
        <f>INDEX(Input!$1:$1048576,CD$93,$C614*2+6)</f>
        <v>0.1</v>
      </c>
      <c r="CE614" s="384">
        <f>INDEX(Input!$1:$1048576,CE$93,$C614*2+6)</f>
        <v>0.1</v>
      </c>
      <c r="CF614" s="384">
        <f>INDEX(Input!$1:$1048576,CF$93,$C614*2+6)</f>
        <v>0.1</v>
      </c>
      <c r="CG614" s="384">
        <f>INDEX(Input!$1:$1048576,CG$93,$C614*2+6)</f>
        <v>0.1</v>
      </c>
      <c r="CH614" s="384">
        <f>INDEX(Input!$1:$1048576,CH$93,$C614*2+6)</f>
        <v>0.1</v>
      </c>
      <c r="CI614" s="304">
        <f t="shared" si="1718"/>
        <v>1267.2644913000609</v>
      </c>
      <c r="CJ614" s="16" t="str">
        <f>INDEX(Input!$1:$1048576,CJ$93,$C614*2+6)</f>
        <v>N</v>
      </c>
      <c r="CK614" s="1" t="str">
        <f t="shared" si="1719"/>
        <v>Market</v>
      </c>
      <c r="CL614" s="1" t="str">
        <f t="shared" si="1720"/>
        <v>Market</v>
      </c>
      <c r="CM614" s="1" t="str">
        <f t="shared" si="1721"/>
        <v>Market</v>
      </c>
      <c r="CN614" s="1" t="str">
        <f t="shared" si="1722"/>
        <v>Market</v>
      </c>
      <c r="CO614" s="1" t="str">
        <f t="shared" si="1723"/>
        <v>Market</v>
      </c>
      <c r="CP614" s="304">
        <f t="shared" si="1724"/>
        <v>500</v>
      </c>
      <c r="CQ614" s="1">
        <f t="shared" si="1725"/>
        <v>0</v>
      </c>
      <c r="CR614" s="1">
        <f t="shared" si="1726"/>
        <v>0</v>
      </c>
      <c r="CS614" s="1">
        <f t="shared" si="1727"/>
        <v>0</v>
      </c>
      <c r="CT614" s="1">
        <f t="shared" si="1728"/>
        <v>0</v>
      </c>
      <c r="CU614" s="1">
        <f t="shared" si="1729"/>
        <v>3.9E-2</v>
      </c>
      <c r="CV614" s="304">
        <f t="shared" si="1730"/>
        <v>737.99367635402496</v>
      </c>
      <c r="CW614" s="20" t="s">
        <v>122</v>
      </c>
      <c r="CX614" s="20" t="s">
        <v>122</v>
      </c>
      <c r="CY614" s="20" t="s">
        <v>122</v>
      </c>
      <c r="CZ614" s="20" t="s">
        <v>122</v>
      </c>
      <c r="DA614" s="20" t="s">
        <v>122</v>
      </c>
      <c r="DB614" s="503">
        <f t="shared" si="1731"/>
        <v>0</v>
      </c>
      <c r="DC614" s="127">
        <v>0</v>
      </c>
      <c r="DD614" s="127">
        <v>0</v>
      </c>
      <c r="DE614" s="127">
        <v>0</v>
      </c>
      <c r="DF614" s="127">
        <v>0</v>
      </c>
      <c r="DG614" s="127">
        <v>0</v>
      </c>
      <c r="DH614" s="127">
        <v>0</v>
      </c>
      <c r="DI614" s="127">
        <v>0</v>
      </c>
      <c r="DJ614" s="127">
        <v>0</v>
      </c>
      <c r="DK614" s="127">
        <v>0</v>
      </c>
      <c r="DL614" s="127">
        <v>0</v>
      </c>
      <c r="DM614" s="304">
        <f>INDEX(Input!$1:$1048576,DM$93,$C614*2+6)</f>
        <v>21036.84210526316</v>
      </c>
      <c r="DN614" s="20">
        <v>0</v>
      </c>
      <c r="DO614" s="20">
        <v>0</v>
      </c>
      <c r="DP614" s="20">
        <v>0</v>
      </c>
      <c r="DQ614" s="20">
        <v>0</v>
      </c>
      <c r="DR614" s="20">
        <v>0</v>
      </c>
      <c r="DS614" s="20">
        <f>INDEX(Input!$1:$1048576,DS$93,$C614*2+6)</f>
        <v>0.6</v>
      </c>
      <c r="DT614" s="20">
        <f>INDEX(Input!$1:$1048576,DT$93,$C614*2+6)</f>
        <v>0.55000000000000004</v>
      </c>
      <c r="DU614" s="20">
        <f>INDEX(Input!$1:$1048576,DU$93,$C614*2+6)</f>
        <v>0.52</v>
      </c>
      <c r="DV614" s="20">
        <f>INDEX(Input!$1:$1048576,DV$93,$C614*2+6)</f>
        <v>0.5</v>
      </c>
      <c r="DW614" s="20">
        <f>INDEX(Input!$1:$1048576,DW$93,$C614*2+6)</f>
        <v>0.45</v>
      </c>
      <c r="DX614" s="20"/>
      <c r="DY614" s="7"/>
      <c r="DZ614" s="7"/>
      <c r="EA614" s="7"/>
      <c r="EB614" s="7"/>
      <c r="EC614" s="7"/>
      <c r="ED614" s="7"/>
      <c r="EE614" s="7"/>
      <c r="EF614" s="7"/>
      <c r="EG614" s="7"/>
      <c r="EH614" s="7"/>
      <c r="EI614" s="7"/>
      <c r="EJ614" s="7"/>
      <c r="EK614" s="7"/>
      <c r="EL614" s="7"/>
      <c r="EM614" s="7"/>
      <c r="EN614" s="7"/>
      <c r="EO614" s="7"/>
      <c r="EP614" s="7"/>
      <c r="EQ614" s="7"/>
      <c r="ER614" s="7"/>
      <c r="ES614" s="7"/>
      <c r="ET614" s="7"/>
      <c r="EU614" s="6"/>
      <c r="EV614" s="6"/>
      <c r="EW614" s="6"/>
      <c r="EX614" s="6"/>
      <c r="EY614" s="6"/>
      <c r="EZ614" s="6"/>
      <c r="FA614" s="6"/>
      <c r="FB614" s="6"/>
      <c r="FC614" s="6"/>
      <c r="FD614" s="6"/>
      <c r="FE614" s="6"/>
      <c r="FF614" s="6"/>
      <c r="FG614" s="6"/>
      <c r="FH614" s="6"/>
      <c r="FI614" s="6"/>
      <c r="FJ614" s="6"/>
      <c r="FK614" s="6"/>
      <c r="FL614" s="6"/>
      <c r="FM614" s="6"/>
      <c r="FN614" s="6"/>
      <c r="FO614" s="6"/>
      <c r="FP614" s="6"/>
      <c r="FQ614" s="6"/>
      <c r="FR614" s="6"/>
      <c r="FS614" s="6"/>
      <c r="FT614" s="7"/>
      <c r="FU614" s="7"/>
      <c r="FV614" s="7"/>
      <c r="FW614" s="6"/>
      <c r="FX614" s="6"/>
      <c r="FY614" s="6"/>
      <c r="FZ614" s="6"/>
      <c r="GA614" s="6"/>
      <c r="GB614" s="6"/>
      <c r="GC614" s="7"/>
      <c r="GD614" s="7"/>
      <c r="GE614" s="7"/>
      <c r="GF614" s="7"/>
      <c r="GG614" s="7"/>
      <c r="GH614" s="42"/>
      <c r="GI614" s="6"/>
      <c r="GJ614" s="14"/>
      <c r="GK614" s="14"/>
      <c r="GL614" s="14"/>
      <c r="GM614" s="14"/>
      <c r="GO614" s="5"/>
      <c r="GP614" s="5"/>
      <c r="GQ614" s="5"/>
      <c r="GR614" s="5"/>
      <c r="GS614" s="5"/>
      <c r="GT614" s="5"/>
      <c r="GU614" s="5"/>
      <c r="GV614" s="39"/>
      <c r="GW614" s="5"/>
      <c r="GX614" s="5"/>
      <c r="GY614" s="5"/>
      <c r="GZ614" s="5"/>
      <c r="HA614" s="5"/>
      <c r="HB614" s="39"/>
      <c r="HC614" s="5"/>
      <c r="HD614" s="5"/>
      <c r="HE614" s="5"/>
      <c r="HF614" s="5"/>
      <c r="HG614" s="5"/>
      <c r="HH614" s="39"/>
      <c r="HI614" s="16"/>
      <c r="HJ614" s="19"/>
      <c r="HK614" s="1"/>
      <c r="HL614" s="16"/>
      <c r="HM614" s="639">
        <f t="shared" si="1755"/>
        <v>2.3149872625708352E-2</v>
      </c>
      <c r="HN614" s="639">
        <f t="shared" si="1756"/>
        <v>1.3965040474190958E-3</v>
      </c>
      <c r="HO614" s="639">
        <f t="shared" si="1757"/>
        <v>3.5429561340050734E-3</v>
      </c>
      <c r="HP614" s="644">
        <f t="shared" ref="HP614:ID614" si="1834">HP114+HP214+HP314+HP414+HP514</f>
        <v>-20.594742122509874</v>
      </c>
      <c r="HQ614" s="644">
        <f t="shared" si="1834"/>
        <v>206.54710904358032</v>
      </c>
      <c r="HR614" s="644">
        <f t="shared" si="1834"/>
        <v>-13.288386783749303</v>
      </c>
      <c r="HS614" s="644">
        <f t="shared" si="1834"/>
        <v>-62.565552946653995</v>
      </c>
      <c r="HT614" s="644">
        <f t="shared" si="1834"/>
        <v>375.00533936311462</v>
      </c>
      <c r="HU614" s="644">
        <f t="shared" si="1834"/>
        <v>18.268624154977292</v>
      </c>
      <c r="HV614" s="644">
        <f t="shared" si="1834"/>
        <v>0</v>
      </c>
      <c r="HW614" s="644">
        <f t="shared" si="1834"/>
        <v>0</v>
      </c>
      <c r="HX614" s="644">
        <f t="shared" si="1834"/>
        <v>0</v>
      </c>
      <c r="HY614" s="644">
        <f t="shared" si="1834"/>
        <v>2396</v>
      </c>
      <c r="HZ614" s="644">
        <f t="shared" si="1834"/>
        <v>3223</v>
      </c>
      <c r="IA614" s="644">
        <f t="shared" si="1834"/>
        <v>830</v>
      </c>
      <c r="IB614" s="644">
        <f t="shared" si="1834"/>
        <v>2312.839704930836</v>
      </c>
      <c r="IC614" s="644">
        <f t="shared" si="1834"/>
        <v>3804.552448406695</v>
      </c>
      <c r="ID614" s="644">
        <f t="shared" si="1834"/>
        <v>834.9802373712281</v>
      </c>
      <c r="IE614" s="20">
        <f t="shared" si="1759"/>
        <v>0.33266913435502177</v>
      </c>
      <c r="IF614" s="20">
        <f t="shared" si="1760"/>
        <v>0.54723082058883221</v>
      </c>
      <c r="IG614" s="20">
        <f t="shared" si="1761"/>
        <v>0.1201000450561461</v>
      </c>
      <c r="IH614" s="21"/>
      <c r="II614" s="19"/>
      <c r="IJ614" s="19"/>
      <c r="IK614" s="19"/>
      <c r="IL614" s="19">
        <f t="shared" si="1762"/>
        <v>178.44271878569612</v>
      </c>
      <c r="IM614" s="19">
        <f t="shared" si="1763"/>
        <v>845.85629719803592</v>
      </c>
      <c r="IN614" s="19">
        <f t="shared" si="1764"/>
        <v>112.43061364769892</v>
      </c>
      <c r="IO614" s="39"/>
      <c r="IP614" s="39"/>
      <c r="IQ614" s="39"/>
      <c r="IR614" s="39"/>
      <c r="IS614" s="39"/>
      <c r="IT614" s="39"/>
      <c r="IU614" s="39"/>
      <c r="IV614" s="39"/>
      <c r="IW614" s="39"/>
      <c r="IX614" s="19">
        <f t="shared" si="1765"/>
        <v>1554.1790484140233</v>
      </c>
      <c r="IY614" s="19">
        <f t="shared" si="1766"/>
        <v>2412.3001201524512</v>
      </c>
      <c r="IZ614" s="19">
        <f t="shared" si="1767"/>
        <v>3993.0862952928574</v>
      </c>
      <c r="JA614" s="19">
        <f t="shared" ref="JA614:JC614" si="1835">IFERROR((JA114*IB114+JA214*IB214+JA314*IB314+JA414*IB414+JA514*IB514)/IB614,0)</f>
        <v>1732.6217671997194</v>
      </c>
      <c r="JB614" s="19">
        <f t="shared" si="1835"/>
        <v>3258.1564173504871</v>
      </c>
      <c r="JC614" s="19">
        <f t="shared" si="1835"/>
        <v>4105.5169089405563</v>
      </c>
      <c r="JD614" s="19">
        <f t="shared" si="1769"/>
        <v>2852.4261590750061</v>
      </c>
      <c r="JE614" s="21"/>
      <c r="JF614" s="1">
        <f t="shared" si="1770"/>
        <v>2.6651855648468406E-2</v>
      </c>
      <c r="JG614" s="15">
        <f t="shared" si="1771"/>
        <v>6449</v>
      </c>
      <c r="JH614" s="1">
        <f t="shared" si="1772"/>
        <v>2.6773760294203929E-2</v>
      </c>
      <c r="JI614" s="1">
        <f t="shared" si="1773"/>
        <v>5.128057227034237E-2</v>
      </c>
      <c r="JJ614" s="1">
        <f t="shared" si="1774"/>
        <v>0</v>
      </c>
      <c r="JK614" s="1">
        <f t="shared" si="1775"/>
        <v>7.8054332564546289E-2</v>
      </c>
      <c r="JL614" s="15">
        <f t="shared" ref="JL614:JM614" si="1836">JL114+JL214+JL314+JL414+JL514</f>
        <v>503.37239070875904</v>
      </c>
      <c r="JM614" s="15">
        <f t="shared" si="1836"/>
        <v>6952.3723907087588</v>
      </c>
      <c r="JN614" s="21"/>
      <c r="JO614" s="19">
        <f>INDEX(Input!$1:$1048576,JO$93,$C614*2+6)</f>
        <v>5995.5</v>
      </c>
      <c r="JP614" s="19">
        <f>INDEX(Input!$1:$1048576,JP$93,$C614*2+6)</f>
        <v>2296.6050414551746</v>
      </c>
      <c r="JQ614" s="39">
        <f t="shared" si="1799"/>
        <v>3143.0738409249939</v>
      </c>
      <c r="JR614" s="39">
        <f t="shared" si="1800"/>
        <v>555.82111761983151</v>
      </c>
      <c r="JS614" s="39">
        <f t="shared" si="1801"/>
        <v>19.831128874888503</v>
      </c>
      <c r="JT614" s="39">
        <f t="shared" si="1802"/>
        <v>5.0203229625440819</v>
      </c>
      <c r="JU614" s="385">
        <f>(JQ614*JM614-INDEX(Input!$1:$1048576,Input!A$18,$C614*2+6)*JL614*INDEX(Input!$1:$1048576,Input!A$19,$C614*2+6))/1000000</f>
        <v>21.851819793605859</v>
      </c>
      <c r="JV614" s="39">
        <f t="shared" si="1803"/>
        <v>-2.0023537940497178</v>
      </c>
      <c r="JW614" s="1">
        <f t="shared" si="1804"/>
        <v>-8.3941444740970886E-2</v>
      </c>
      <c r="JX614" s="19">
        <f t="shared" si="1805"/>
        <v>9973.3776726915057</v>
      </c>
      <c r="JZ614" s="341"/>
      <c r="KA614" s="60"/>
      <c r="KB614" s="469">
        <f t="shared" si="1778"/>
        <v>0</v>
      </c>
      <c r="KI614" s="472"/>
      <c r="KJ614" s="472"/>
      <c r="KK614" s="472"/>
      <c r="KN614" s="793">
        <f t="shared" si="1779"/>
        <v>6002</v>
      </c>
      <c r="KO614" s="541">
        <f t="shared" si="1780"/>
        <v>5.3343708830443815E-2</v>
      </c>
      <c r="KP614" s="546">
        <f t="shared" si="1781"/>
        <v>370.81656085377375</v>
      </c>
      <c r="KQ614" s="546">
        <f t="shared" si="1782"/>
        <v>389.5929024698612</v>
      </c>
      <c r="KR614" s="472">
        <f t="shared" si="1783"/>
        <v>2.5206462157085956</v>
      </c>
      <c r="KS614" s="472">
        <f t="shared" si="1784"/>
        <v>2.3991642427583724</v>
      </c>
      <c r="KT614" s="473">
        <f t="shared" si="1795"/>
        <v>4286.2445668946921</v>
      </c>
      <c r="KU614" s="663">
        <f t="shared" si="1785"/>
        <v>4.3580795836292801</v>
      </c>
      <c r="KV614" s="117"/>
    </row>
    <row r="615" spans="1:308" s="26" customFormat="1" ht="15">
      <c r="A615" s="561">
        <f t="shared" si="1751"/>
        <v>6015</v>
      </c>
      <c r="B615" s="561">
        <f t="shared" si="1786"/>
        <v>15</v>
      </c>
      <c r="C615" s="561">
        <f t="shared" si="1787"/>
        <v>6</v>
      </c>
      <c r="D615" s="561" t="str">
        <f t="shared" si="1818"/>
        <v xml:space="preserve">500 Combo, </v>
      </c>
      <c r="E615" s="115">
        <f>INDEX(Input!$1:$1048576,E$93,$C615*2+MIN($B615,2)+5)</f>
        <v>1267.2644913000609</v>
      </c>
      <c r="F615" s="115">
        <f>INDEX(Input!$1:$1048576,F$93,$C615*2+MIN($B615,2)+5)</f>
        <v>0</v>
      </c>
      <c r="G615" s="115">
        <f>INDEX(Input!$1:$1048576,G$93,$C615*2+MIN($B615,2)+5)</f>
        <v>0</v>
      </c>
      <c r="H615" s="115">
        <f>INDEX(Input!$1:$1048576,H$93,$C615*2+MIN($B615,2)+5)</f>
        <v>0</v>
      </c>
      <c r="I615" s="118">
        <f>INDEX(Input!$1:$1048576,I$93,$C615*2+MIN($B615,2)+5)</f>
        <v>0.7</v>
      </c>
      <c r="J615" s="476" t="str">
        <f>INDEX(Input!$1:$1048576,J$93,$C615*2+MIN($B615,2)+5)</f>
        <v>Market</v>
      </c>
      <c r="K615" s="476" t="str">
        <f>INDEX(Input!$1:$1048576,K$93,$C615*2+MIN($B615,2)+5)</f>
        <v>Market</v>
      </c>
      <c r="L615" s="476" t="str">
        <f>INDEX(Input!$1:$1048576,L$93,$C615*2+MIN($B615,2)+5)</f>
        <v>Market</v>
      </c>
      <c r="M615" s="476" t="str">
        <f>INDEX(Input!$1:$1048576,M$93,$C615*2+MIN($B615,2)+5)</f>
        <v>Market</v>
      </c>
      <c r="N615" s="476" t="str">
        <f>INDEX(Input!$1:$1048576,N$93,$C615*2+MIN($B615,2)+5)</f>
        <v>Market</v>
      </c>
      <c r="O615" s="476" t="str">
        <f>INDEX(Input!$1:$1048576,O$93,$C615*2+MIN($B615,2)+5)</f>
        <v>Market</v>
      </c>
      <c r="P615" s="476" t="str">
        <f>INDEX(Input!$1:$1048576,P$93,$C615*2+MIN($B615,2)+5)</f>
        <v>N</v>
      </c>
      <c r="Q615" s="477">
        <f>INDEX(Input!$1:$1048576,Q$93,$C615*2+MIN($B615,2)+5)+500</f>
        <v>500</v>
      </c>
      <c r="R615" s="478">
        <f>IFERROR(MAX(0,INDEX(Input!$1:$1048576,R$93,$C615*2+MIN($B615,2)+5)-0%,),"Market")</f>
        <v>0</v>
      </c>
      <c r="S615" s="478">
        <f>IFERROR(MAX(0,INDEX(Input!$1:$1048576,S$93,$C615*2+MIN($B615,2)+5)-0%,),"Market")</f>
        <v>0</v>
      </c>
      <c r="T615" s="478">
        <f>IFERROR(MAX(0,INDEX(Input!$1:$1048576,T$93,$C615*2+MIN($B615,2)+5)-0%,),"Market")</f>
        <v>0</v>
      </c>
      <c r="U615" s="478">
        <f>IFERROR(MAX(0,INDEX(Input!$1:$1048576,U$93,$C615*2+MIN($B615,2)+5)-0%,),"Market")</f>
        <v>0</v>
      </c>
      <c r="V615" s="478">
        <f>IFERROR(MAX(0,INDEX(Input!$1:$1048576,V$93,$C615*2+MIN($B615,2)+5)-0%,),"Market")</f>
        <v>1.9E-2</v>
      </c>
      <c r="W615" s="885">
        <f>IFERROR(MAX(0,INDEX(Input!$1:$1048576,W$93,$C615*2+MIN($B615,2)+5)-0%,),"Market")</f>
        <v>3.9E-2</v>
      </c>
      <c r="X615" s="476" t="str">
        <f>INDEX(Input!$1:$1048576,X$93,$C615*2+MIN($B615,2)+5)</f>
        <v>Y</v>
      </c>
      <c r="Y615" s="150">
        <f>INDEX(Input!$1:$1048576,Y$93,$C615*2+MIN($B615,2)+5)</f>
        <v>737.99367635402496</v>
      </c>
      <c r="Z615" s="30">
        <f>INDEX(Input!$1:$1048576,Z$93,$C615*2+MIN($B615,2)+5)</f>
        <v>0</v>
      </c>
      <c r="AA615" s="475">
        <f>INDEX(Input!$1:$1048576,AA$93,$C615*2+MIN($B615,2)+5)</f>
        <v>0</v>
      </c>
      <c r="AB615" s="118">
        <f>INDEX(Input!$1:$1048576,AB$93,$C615*2+MIN($B615,2)+5)</f>
        <v>0.27</v>
      </c>
      <c r="AC615" s="115">
        <f>INDEX(Input!$1:$1048576,AC$93,$C615*2+MIN($B615,2)+5)</f>
        <v>0</v>
      </c>
      <c r="AD615" s="118">
        <f>INDEX(Input!$1:$1048576,AD$93,$C615*2+MIN($B615,2)+5)</f>
        <v>0.27</v>
      </c>
      <c r="AE615" s="115">
        <f>INDEX(Input!$1:$1048576,AE$93,$C615*2+MIN($B615,2)+5)</f>
        <v>0</v>
      </c>
      <c r="AF615" s="118">
        <f>INDEX(Input!$1:$1048576,AF$93,$C615*2+MIN($B615,2)+5)</f>
        <v>1</v>
      </c>
      <c r="AG615" s="115">
        <f>INDEX(Input!$1:$1048576,AG$93,$C615*2+MIN($B615,2)+5)</f>
        <v>500</v>
      </c>
      <c r="AH615" s="118">
        <f>INDEX(Input!$1:$1048576,AH$93,$C615*2+MIN($B615,2)+5)</f>
        <v>1</v>
      </c>
      <c r="AI615" s="115">
        <f>INDEX(Input!$1:$1048576,AI$93,$C615*2+MIN($B615,2)+5)</f>
        <v>0</v>
      </c>
      <c r="AJ615" s="118">
        <f>INDEX(Input!$1:$1048576,AJ$93,$C615*2+MIN($B615,2)+5)</f>
        <v>0.27</v>
      </c>
      <c r="AK615" s="150">
        <f>ROUND(INDEX(Input!$1:$1048576,AK$93,$C614*2+MIN($B615,1)+5)+(Y615-VLOOKUP($C615*1000+1,$A:$HH,Y$92,FALSE)),0)</f>
        <v>3061</v>
      </c>
      <c r="AL615" s="150">
        <f>ROUND(INDEX(Input!$1:$1048576,AL$93,$C614*2+MIN($B615,1)+5)-(Y615-VLOOKUP($C615*1000+1,$A:$HH,Y$92,FALSE))/36,0)</f>
        <v>3552</v>
      </c>
      <c r="AM615" s="32" t="str">
        <f t="shared" si="1752"/>
        <v>std/std/std/std</v>
      </c>
      <c r="AN615" s="32" t="str">
        <f t="shared" si="1753"/>
        <v>$500 + 0/0/0/1.9/3.9</v>
      </c>
      <c r="AO615" s="32" t="str">
        <f t="shared" si="1754"/>
        <v>0/0/0/1.9/3.9</v>
      </c>
      <c r="AP615" s="32" t="str">
        <f t="shared" si="1716"/>
        <v>0/0.9/1.9/3.9</v>
      </c>
      <c r="AQ615" s="536">
        <f t="shared" si="1717"/>
        <v>0.34699031590918794</v>
      </c>
      <c r="AR615" s="32"/>
      <c r="AS615" s="302"/>
      <c r="AT615" s="3">
        <f t="shared" si="1788"/>
        <v>15</v>
      </c>
      <c r="AU615" s="41" t="s">
        <v>121</v>
      </c>
      <c r="AV615" s="41" t="s">
        <v>116</v>
      </c>
      <c r="AW615" s="41" t="str">
        <f>INDEX(Input!$1:$1048576,AW$93,$C615*2+6)</f>
        <v>Kia</v>
      </c>
      <c r="AX615" s="41" t="str">
        <f>INDEX(Input!$1:$1048576,AX$93,$C615*2+6)</f>
        <v>National</v>
      </c>
      <c r="AY615" s="41" t="str">
        <f>IF(LEN(D615)=0,"",INDEX(Input!$1:$1048576,AY$93,$C615*2+6))</f>
        <v>Compact SUV (52)</v>
      </c>
      <c r="AZ615" s="41" t="str">
        <f>INDEX(Input!$1:$1048576,AZ$93,$C615*2+6)</f>
        <v>Kia Soul</v>
      </c>
      <c r="BA615" s="3">
        <f>INDEX(Input!$1:$1048576,BA$93,$C615*2+6)</f>
        <v>2020</v>
      </c>
      <c r="BB615" s="128">
        <f>INDEX(Input!$1:$1048576,BB$93,$C615*2+6)</f>
        <v>1</v>
      </c>
      <c r="BC615" s="128">
        <f>INDEX(Input!$1:$1048576,BC$93,$C615*2+6)</f>
        <v>0.7</v>
      </c>
      <c r="BD615" s="1">
        <f>INDEX(Input!$1:$1048576,BD$93,$C615*2+6)</f>
        <v>4.4999999999999998E-2</v>
      </c>
      <c r="BE615" s="1">
        <f>INDEX(Input!$1:$1048576,BE$93,$C615*2+6)</f>
        <v>4.4999999999999998E-2</v>
      </c>
      <c r="BF615" s="1">
        <f>INDEX(Input!$1:$1048576,BF$93,$C615*2+6)</f>
        <v>0.05</v>
      </c>
      <c r="BG615" s="1">
        <f>INDEX(Input!$1:$1048576,BG$93,$C615*2+6)</f>
        <v>5.45E-2</v>
      </c>
      <c r="BH615" s="1">
        <f>INDEX(Input!$1:$1048576,BH$93,$C615*2+6)</f>
        <v>5.45E-2</v>
      </c>
      <c r="BI615" s="1">
        <f>INDEX(Input!$1:$1048576,BI$93,$C615*2+6)</f>
        <v>0.05</v>
      </c>
      <c r="BJ615" s="1">
        <f>INDEX(Input!$1:$1048576,BJ$93,$C615*2+6)</f>
        <v>0.05</v>
      </c>
      <c r="BK615" s="1">
        <f>INDEX(Input!$1:$1048576,BK$93,$C615*2+6)</f>
        <v>0.05</v>
      </c>
      <c r="BL615" s="1">
        <f>INDEX(Input!$1:$1048576,BL$93,$C615*2+6)</f>
        <v>5.5E-2</v>
      </c>
      <c r="BM615" s="1">
        <f>INDEX(Input!$1:$1048576,BM$93,$C615*2+6)</f>
        <v>0.06</v>
      </c>
      <c r="BN615" s="1">
        <f>INDEX(Input!$1:$1048576,BN$93,$C615*2+6)</f>
        <v>4.4999999999999998E-2</v>
      </c>
      <c r="BO615" s="1">
        <f>INDEX(Input!$1:$1048576,BO$93,$C615*2+6)</f>
        <v>4.4999999999999998E-2</v>
      </c>
      <c r="BP615" s="1">
        <f>INDEX(Input!$1:$1048576,BP$93,$C615*2+6)</f>
        <v>0.05</v>
      </c>
      <c r="BQ615" s="1">
        <f>INDEX(Input!$1:$1048576,BQ$93,$C615*2+6)</f>
        <v>5.45E-2</v>
      </c>
      <c r="BR615" s="1">
        <f>INDEX(Input!$1:$1048576,BR$93,$C615*2+6)</f>
        <v>5.45E-2</v>
      </c>
      <c r="BS615" s="1">
        <f>INDEX(Input!$1:$1048576,BS$93,$C615*2+6)</f>
        <v>0.05</v>
      </c>
      <c r="BT615" s="1">
        <f>INDEX(Input!$1:$1048576,BT$93,$C615*2+6)</f>
        <v>0.05</v>
      </c>
      <c r="BU615" s="1">
        <f>INDEX(Input!$1:$1048576,BU$93,$C615*2+6)</f>
        <v>0.05</v>
      </c>
      <c r="BV615" s="1">
        <f>INDEX(Input!$1:$1048576,BV$93,$C615*2+6)</f>
        <v>5.5E-2</v>
      </c>
      <c r="BW615" s="1">
        <f>INDEX(Input!$1:$1048576,BW$93,$C615*2+6)</f>
        <v>0.06</v>
      </c>
      <c r="BX615" s="127">
        <f>INDEX(Input!$1:$1048576,BX$93,$C615*2+6)</f>
        <v>19985</v>
      </c>
      <c r="BY615" s="20">
        <f>INDEX(Input!$1:$1048576,BY$93,$C615*2+6)</f>
        <v>0.1</v>
      </c>
      <c r="BZ615" s="20">
        <f>INDEX(Input!$1:$1048576,BZ$93,$C615*2+6)</f>
        <v>0.1</v>
      </c>
      <c r="CA615" s="20">
        <f>INDEX(Input!$1:$1048576,CA$93,$C615*2+6)</f>
        <v>0.1</v>
      </c>
      <c r="CB615" s="20">
        <f>INDEX(Input!$1:$1048576,CB$93,$C615*2+6)</f>
        <v>0.1</v>
      </c>
      <c r="CC615" s="20">
        <f>INDEX(Input!$1:$1048576,CC$93,$C615*2+6)</f>
        <v>0.1</v>
      </c>
      <c r="CD615" s="384">
        <f>INDEX(Input!$1:$1048576,CD$93,$C615*2+6)</f>
        <v>0.1</v>
      </c>
      <c r="CE615" s="384">
        <f>INDEX(Input!$1:$1048576,CE$93,$C615*2+6)</f>
        <v>0.1</v>
      </c>
      <c r="CF615" s="384">
        <f>INDEX(Input!$1:$1048576,CF$93,$C615*2+6)</f>
        <v>0.1</v>
      </c>
      <c r="CG615" s="384">
        <f>INDEX(Input!$1:$1048576,CG$93,$C615*2+6)</f>
        <v>0.1</v>
      </c>
      <c r="CH615" s="384">
        <f>INDEX(Input!$1:$1048576,CH$93,$C615*2+6)</f>
        <v>0.1</v>
      </c>
      <c r="CI615" s="304">
        <f t="shared" si="1718"/>
        <v>1267.2644913000609</v>
      </c>
      <c r="CJ615" s="16" t="str">
        <f>INDEX(Input!$1:$1048576,CJ$93,$C615*2+6)</f>
        <v>N</v>
      </c>
      <c r="CK615" s="1" t="str">
        <f t="shared" si="1719"/>
        <v>Market</v>
      </c>
      <c r="CL615" s="1" t="str">
        <f t="shared" si="1720"/>
        <v>Market</v>
      </c>
      <c r="CM615" s="1" t="str">
        <f t="shared" si="1721"/>
        <v>Market</v>
      </c>
      <c r="CN615" s="1" t="str">
        <f t="shared" si="1722"/>
        <v>Market</v>
      </c>
      <c r="CO615" s="1" t="str">
        <f t="shared" si="1723"/>
        <v>Market</v>
      </c>
      <c r="CP615" s="304">
        <f t="shared" si="1724"/>
        <v>1000</v>
      </c>
      <c r="CQ615" s="1">
        <f t="shared" si="1725"/>
        <v>0</v>
      </c>
      <c r="CR615" s="1">
        <f t="shared" si="1726"/>
        <v>0</v>
      </c>
      <c r="CS615" s="1">
        <f t="shared" si="1727"/>
        <v>0</v>
      </c>
      <c r="CT615" s="1">
        <f t="shared" si="1728"/>
        <v>1.9E-2</v>
      </c>
      <c r="CU615" s="1">
        <f t="shared" si="1729"/>
        <v>3.9E-2</v>
      </c>
      <c r="CV615" s="304">
        <f t="shared" si="1730"/>
        <v>737.99367635402496</v>
      </c>
      <c r="CW615" s="20" t="s">
        <v>122</v>
      </c>
      <c r="CX615" s="20" t="s">
        <v>122</v>
      </c>
      <c r="CY615" s="20" t="s">
        <v>122</v>
      </c>
      <c r="CZ615" s="20" t="s">
        <v>122</v>
      </c>
      <c r="DA615" s="20" t="s">
        <v>122</v>
      </c>
      <c r="DB615" s="503">
        <f t="shared" si="1731"/>
        <v>0</v>
      </c>
      <c r="DC615" s="127">
        <v>0</v>
      </c>
      <c r="DD615" s="127">
        <v>0</v>
      </c>
      <c r="DE615" s="127">
        <v>0</v>
      </c>
      <c r="DF615" s="127">
        <v>0</v>
      </c>
      <c r="DG615" s="127">
        <v>0</v>
      </c>
      <c r="DH615" s="127">
        <v>0</v>
      </c>
      <c r="DI615" s="127">
        <v>0</v>
      </c>
      <c r="DJ615" s="127">
        <v>0</v>
      </c>
      <c r="DK615" s="127">
        <v>0</v>
      </c>
      <c r="DL615" s="127">
        <v>0</v>
      </c>
      <c r="DM615" s="304">
        <f>INDEX(Input!$1:$1048576,DM$93,$C615*2+6)</f>
        <v>21036.84210526316</v>
      </c>
      <c r="DN615" s="20">
        <v>0</v>
      </c>
      <c r="DO615" s="20">
        <v>0</v>
      </c>
      <c r="DP615" s="20">
        <v>0</v>
      </c>
      <c r="DQ615" s="20">
        <v>0</v>
      </c>
      <c r="DR615" s="20">
        <v>0</v>
      </c>
      <c r="DS615" s="20">
        <f>INDEX(Input!$1:$1048576,DS$93,$C615*2+6)</f>
        <v>0.6</v>
      </c>
      <c r="DT615" s="20">
        <f>INDEX(Input!$1:$1048576,DT$93,$C615*2+6)</f>
        <v>0.55000000000000004</v>
      </c>
      <c r="DU615" s="20">
        <f>INDEX(Input!$1:$1048576,DU$93,$C615*2+6)</f>
        <v>0.52</v>
      </c>
      <c r="DV615" s="20">
        <f>INDEX(Input!$1:$1048576,DV$93,$C615*2+6)</f>
        <v>0.5</v>
      </c>
      <c r="DW615" s="20">
        <f>INDEX(Input!$1:$1048576,DW$93,$C615*2+6)</f>
        <v>0.45</v>
      </c>
      <c r="DX615" s="20"/>
      <c r="DY615" s="7"/>
      <c r="DZ615" s="7"/>
      <c r="EA615" s="7"/>
      <c r="EB615" s="7"/>
      <c r="EC615" s="7"/>
      <c r="ED615" s="7"/>
      <c r="EE615" s="7"/>
      <c r="EF615" s="7"/>
      <c r="EG615" s="7"/>
      <c r="EH615" s="7"/>
      <c r="EI615" s="7"/>
      <c r="EJ615" s="7"/>
      <c r="EK615" s="7"/>
      <c r="EL615" s="7"/>
      <c r="EM615" s="7"/>
      <c r="EN615" s="7"/>
      <c r="EO615" s="7"/>
      <c r="EP615" s="7"/>
      <c r="EQ615" s="7"/>
      <c r="ER615" s="7"/>
      <c r="ES615" s="7"/>
      <c r="ET615" s="7"/>
      <c r="EU615" s="6"/>
      <c r="EV615" s="6"/>
      <c r="EW615" s="6"/>
      <c r="EX615" s="6"/>
      <c r="EY615" s="6"/>
      <c r="EZ615" s="6"/>
      <c r="FA615" s="6"/>
      <c r="FB615" s="6"/>
      <c r="FC615" s="6"/>
      <c r="FD615" s="6"/>
      <c r="FE615" s="6"/>
      <c r="FF615" s="6"/>
      <c r="FG615" s="6"/>
      <c r="FH615" s="6"/>
      <c r="FI615" s="6"/>
      <c r="FJ615" s="6"/>
      <c r="FK615" s="6"/>
      <c r="FL615" s="6"/>
      <c r="FM615" s="6"/>
      <c r="FN615" s="6"/>
      <c r="FO615" s="6"/>
      <c r="FP615" s="6"/>
      <c r="FQ615" s="6"/>
      <c r="FR615" s="6"/>
      <c r="FS615" s="6"/>
      <c r="FT615" s="7"/>
      <c r="FU615" s="7"/>
      <c r="FV615" s="7"/>
      <c r="FW615" s="6"/>
      <c r="FX615" s="6"/>
      <c r="FY615" s="6"/>
      <c r="FZ615" s="6"/>
      <c r="GA615" s="6"/>
      <c r="GB615" s="6"/>
      <c r="GC615" s="7"/>
      <c r="GD615" s="7"/>
      <c r="GE615" s="7"/>
      <c r="GF615" s="7"/>
      <c r="GG615" s="7"/>
      <c r="GH615" s="42"/>
      <c r="GI615" s="6"/>
      <c r="GJ615" s="14"/>
      <c r="GK615" s="14"/>
      <c r="GL615" s="14"/>
      <c r="GM615" s="14"/>
      <c r="GO615" s="5"/>
      <c r="GP615" s="5"/>
      <c r="GQ615" s="5"/>
      <c r="GR615" s="5"/>
      <c r="GS615" s="5"/>
      <c r="GT615" s="5"/>
      <c r="GU615" s="5"/>
      <c r="GV615" s="39"/>
      <c r="GW615" s="5"/>
      <c r="GX615" s="5"/>
      <c r="GY615" s="5"/>
      <c r="GZ615" s="5"/>
      <c r="HA615" s="5"/>
      <c r="HB615" s="39"/>
      <c r="HC615" s="5"/>
      <c r="HD615" s="5"/>
      <c r="HE615" s="5"/>
      <c r="HF615" s="5"/>
      <c r="HG615" s="5"/>
      <c r="HH615" s="39"/>
      <c r="HI615" s="16"/>
      <c r="HJ615" s="19"/>
      <c r="HK615" s="1"/>
      <c r="HL615" s="16"/>
      <c r="HM615" s="639">
        <f t="shared" si="1755"/>
        <v>2.3149872625708352E-2</v>
      </c>
      <c r="HN615" s="639">
        <f t="shared" si="1756"/>
        <v>1.3965040474190958E-3</v>
      </c>
      <c r="HO615" s="639">
        <f t="shared" si="1757"/>
        <v>3.5429561340050734E-3</v>
      </c>
      <c r="HP615" s="644">
        <f t="shared" ref="HP615:ID615" si="1837">HP115+HP215+HP315+HP415+HP515</f>
        <v>41.80635145209073</v>
      </c>
      <c r="HQ615" s="644">
        <f t="shared" si="1837"/>
        <v>104.50944305634989</v>
      </c>
      <c r="HR615" s="644">
        <f t="shared" si="1837"/>
        <v>-1.1627713307429441</v>
      </c>
      <c r="HS615" s="644">
        <f t="shared" si="1837"/>
        <v>-61.990138390478485</v>
      </c>
      <c r="HT615" s="644">
        <f t="shared" si="1837"/>
        <v>297.06759233552935</v>
      </c>
      <c r="HU615" s="644">
        <f t="shared" si="1837"/>
        <v>17.693209598801815</v>
      </c>
      <c r="HV615" s="644">
        <f t="shared" si="1837"/>
        <v>0</v>
      </c>
      <c r="HW615" s="644">
        <f t="shared" si="1837"/>
        <v>0</v>
      </c>
      <c r="HX615" s="644">
        <f t="shared" si="1837"/>
        <v>0</v>
      </c>
      <c r="HY615" s="644">
        <f t="shared" si="1837"/>
        <v>2396</v>
      </c>
      <c r="HZ615" s="644">
        <f t="shared" si="1837"/>
        <v>3223</v>
      </c>
      <c r="IA615" s="644">
        <f t="shared" si="1837"/>
        <v>830</v>
      </c>
      <c r="IB615" s="644">
        <f t="shared" si="1837"/>
        <v>2375.8162130616124</v>
      </c>
      <c r="IC615" s="644">
        <f t="shared" si="1837"/>
        <v>3624.5770353918792</v>
      </c>
      <c r="ID615" s="644">
        <f t="shared" si="1837"/>
        <v>846.5304382680589</v>
      </c>
      <c r="IE615" s="20">
        <f t="shared" si="1759"/>
        <v>0.34699031590918794</v>
      </c>
      <c r="IF615" s="20">
        <f t="shared" si="1760"/>
        <v>0.52937307340245854</v>
      </c>
      <c r="IG615" s="20">
        <f t="shared" si="1761"/>
        <v>0.12363661068835358</v>
      </c>
      <c r="IH615" s="21"/>
      <c r="II615" s="19"/>
      <c r="IJ615" s="19"/>
      <c r="IK615" s="19"/>
      <c r="IL615" s="19">
        <f t="shared" si="1762"/>
        <v>177.67007417650484</v>
      </c>
      <c r="IM615" s="19">
        <f t="shared" si="1763"/>
        <v>673.56862962291552</v>
      </c>
      <c r="IN615" s="19">
        <f t="shared" si="1764"/>
        <v>111.68825612385444</v>
      </c>
      <c r="IO615" s="39"/>
      <c r="IP615" s="39"/>
      <c r="IQ615" s="39"/>
      <c r="IR615" s="39"/>
      <c r="IS615" s="39"/>
      <c r="IT615" s="39"/>
      <c r="IU615" s="39"/>
      <c r="IV615" s="39"/>
      <c r="IW615" s="39"/>
      <c r="IX615" s="19">
        <f t="shared" si="1765"/>
        <v>1554.1790484140233</v>
      </c>
      <c r="IY615" s="19">
        <f t="shared" si="1766"/>
        <v>2412.3001201524512</v>
      </c>
      <c r="IZ615" s="19">
        <f t="shared" si="1767"/>
        <v>3993.0862952928574</v>
      </c>
      <c r="JA615" s="19">
        <f t="shared" ref="JA615:JC615" si="1838">IFERROR((JA115*IB115+JA215*IB215+JA315*IB315+JA415*IB415+JA515*IB515)/IB615,0)</f>
        <v>1731.8491225905282</v>
      </c>
      <c r="JB615" s="19">
        <f t="shared" si="1838"/>
        <v>3085.8687497753667</v>
      </c>
      <c r="JC615" s="19">
        <f t="shared" si="1838"/>
        <v>4104.7745514167118</v>
      </c>
      <c r="JD615" s="19">
        <f t="shared" si="1769"/>
        <v>2742.0111115168947</v>
      </c>
      <c r="JE615" s="21"/>
      <c r="JF615" s="1">
        <f t="shared" si="1770"/>
        <v>2.6651855648468406E-2</v>
      </c>
      <c r="JG615" s="15">
        <f t="shared" si="1771"/>
        <v>6449</v>
      </c>
      <c r="JH615" s="1">
        <f t="shared" si="1772"/>
        <v>2.2507834265420638E-2</v>
      </c>
      <c r="JI615" s="1">
        <f t="shared" si="1773"/>
        <v>3.9195326956714634E-2</v>
      </c>
      <c r="JJ615" s="1">
        <f t="shared" si="1774"/>
        <v>0</v>
      </c>
      <c r="JK615" s="1">
        <f t="shared" si="1775"/>
        <v>6.1703161222135282E-2</v>
      </c>
      <c r="JL615" s="15">
        <f t="shared" ref="JL615:JM615" si="1839">JL115+JL215+JL315+JL415+JL515</f>
        <v>397.92368672155044</v>
      </c>
      <c r="JM615" s="15">
        <f t="shared" si="1839"/>
        <v>6846.9236867215513</v>
      </c>
      <c r="JN615" s="21"/>
      <c r="JO615" s="19">
        <f>INDEX(Input!$1:$1048576,JO$93,$C615*2+6)</f>
        <v>5995.5</v>
      </c>
      <c r="JP615" s="19">
        <f>INDEX(Input!$1:$1048576,JP$93,$C615*2+6)</f>
        <v>2296.6050414551746</v>
      </c>
      <c r="JQ615" s="39">
        <f t="shared" si="1799"/>
        <v>3253.4888884831053</v>
      </c>
      <c r="JR615" s="39">
        <f t="shared" si="1800"/>
        <v>445.40607006172013</v>
      </c>
      <c r="JS615" s="39">
        <f t="shared" si="1801"/>
        <v>18.774340828698715</v>
      </c>
      <c r="JT615" s="39">
        <f t="shared" si="1802"/>
        <v>3.9635349163542966</v>
      </c>
      <c r="JU615" s="385">
        <f>(JQ615*JM615-INDEX(Input!$1:$1048576,Input!A$18,$C615*2+6)*JL615*INDEX(Input!$1:$1048576,Input!A$19,$C615*2+6))/1000000</f>
        <v>22.276390135040348</v>
      </c>
      <c r="JV615" s="39">
        <f t="shared" si="1803"/>
        <v>-1.577783452615229</v>
      </c>
      <c r="JW615" s="1">
        <f t="shared" si="1804"/>
        <v>-6.6142867906005542E-2</v>
      </c>
      <c r="JX615" s="19">
        <f t="shared" si="1805"/>
        <v>9960.5402960789434</v>
      </c>
      <c r="JZ615" s="341"/>
      <c r="KA615" s="60"/>
      <c r="KB615" s="469">
        <f t="shared" si="1778"/>
        <v>0</v>
      </c>
      <c r="KI615" s="472"/>
      <c r="KJ615" s="472"/>
      <c r="KK615" s="472"/>
      <c r="KN615" s="793">
        <f t="shared" si="1779"/>
        <v>6002</v>
      </c>
      <c r="KO615" s="541">
        <f t="shared" si="1780"/>
        <v>3.7367330882437377E-2</v>
      </c>
      <c r="KP615" s="546">
        <f t="shared" si="1781"/>
        <v>267.41983974456548</v>
      </c>
      <c r="KQ615" s="546">
        <f t="shared" si="1782"/>
        <v>279.17785491174982</v>
      </c>
      <c r="KR615" s="472">
        <f t="shared" si="1783"/>
        <v>2.4484219387128761</v>
      </c>
      <c r="KS615" s="472">
        <f t="shared" si="1784"/>
        <v>2.3453027916008917</v>
      </c>
      <c r="KT615" s="473">
        <f t="shared" si="1795"/>
        <v>4286.2445668946921</v>
      </c>
      <c r="KU615" s="663">
        <f t="shared" si="1785"/>
        <v>4.3542629375069408</v>
      </c>
      <c r="KV615" s="117"/>
    </row>
    <row r="616" spans="1:308" s="26" customFormat="1" ht="15">
      <c r="A616" s="561">
        <f t="shared" si="1751"/>
        <v>6016</v>
      </c>
      <c r="B616" s="561">
        <f t="shared" si="1786"/>
        <v>16</v>
      </c>
      <c r="C616" s="561">
        <f t="shared" si="1787"/>
        <v>6</v>
      </c>
      <c r="D616" s="561" t="str">
        <f t="shared" si="1818"/>
        <v xml:space="preserve">-360 Lease, </v>
      </c>
      <c r="E616" s="115">
        <f>INDEX(Input!$1:$1048576,E$93,$C616*2+MIN($B616,2)+5)</f>
        <v>1267.2644913000609</v>
      </c>
      <c r="F616" s="115">
        <f>INDEX(Input!$1:$1048576,F$93,$C616*2+MIN($B616,2)+5)</f>
        <v>0</v>
      </c>
      <c r="G616" s="115">
        <f>INDEX(Input!$1:$1048576,G$93,$C616*2+MIN($B616,2)+5)</f>
        <v>0</v>
      </c>
      <c r="H616" s="115">
        <f>INDEX(Input!$1:$1048576,H$93,$C616*2+MIN($B616,2)+5)</f>
        <v>0</v>
      </c>
      <c r="I616" s="118">
        <f>INDEX(Input!$1:$1048576,I$93,$C616*2+MIN($B616,2)+5)</f>
        <v>0.7</v>
      </c>
      <c r="J616" s="118" t="str">
        <f>INDEX(Input!$1:$1048576,J$93,$C616*2+MIN($B616,2)+5)</f>
        <v>Market</v>
      </c>
      <c r="K616" s="118" t="str">
        <f>INDEX(Input!$1:$1048576,K$93,$C616*2+MIN($B616,2)+5)</f>
        <v>Market</v>
      </c>
      <c r="L616" s="118" t="str">
        <f>INDEX(Input!$1:$1048576,L$93,$C616*2+MIN($B616,2)+5)</f>
        <v>Market</v>
      </c>
      <c r="M616" s="118" t="str">
        <f>INDEX(Input!$1:$1048576,M$93,$C616*2+MIN($B616,2)+5)</f>
        <v>Market</v>
      </c>
      <c r="N616" s="118" t="str">
        <f>INDEX(Input!$1:$1048576,N$93,$C616*2+MIN($B616,2)+5)</f>
        <v>Market</v>
      </c>
      <c r="O616" s="118" t="str">
        <f>INDEX(Input!$1:$1048576,O$93,$C616*2+MIN($B616,2)+5)</f>
        <v>Market</v>
      </c>
      <c r="P616" s="118" t="str">
        <f>INDEX(Input!$1:$1048576,P$93,$C616*2+MIN($B616,2)+5)</f>
        <v>N</v>
      </c>
      <c r="Q616" s="30">
        <f>INDEX(Input!$1:$1048576,Q$93,$C616*2+MIN($B616,2)+5)</f>
        <v>0</v>
      </c>
      <c r="R616" s="383">
        <f>INDEX(Input!$1:$1048576,R$93,$C616*2+MIN($B616,2)+5)</f>
        <v>0</v>
      </c>
      <c r="S616" s="383">
        <f>INDEX(Input!$1:$1048576,S$93,$C616*2+MIN($B616,2)+5)</f>
        <v>0</v>
      </c>
      <c r="T616" s="383">
        <f>INDEX(Input!$1:$1048576,T$93,$C616*2+MIN($B616,2)+5)</f>
        <v>0</v>
      </c>
      <c r="U616" s="383">
        <f>INDEX(Input!$1:$1048576,U$93,$C616*2+MIN($B616,2)+5)</f>
        <v>0</v>
      </c>
      <c r="V616" s="383">
        <f>INDEX(Input!$1:$1048576,V$93,$C616*2+MIN($B616,2)+5)</f>
        <v>1.9E-2</v>
      </c>
      <c r="W616" s="884">
        <f>INDEX(Input!$1:$1048576,W$93,$C616*2+MIN($B616,2)+5)</f>
        <v>3.9E-2</v>
      </c>
      <c r="X616" s="118" t="str">
        <f>INDEX(Input!$1:$1048576,X$93,$C616*2+MIN($B616,2)+5)</f>
        <v>Y</v>
      </c>
      <c r="Y616" s="475">
        <f>INDEX(Input!$1:$1048576,Y$93,$C616*2+MIN($B616,2)+5)-360</f>
        <v>377.99367635402496</v>
      </c>
      <c r="Z616" s="30">
        <f>INDEX(Input!$1:$1048576,Z$93,$C616*2+MIN($B616,2)+5)</f>
        <v>0</v>
      </c>
      <c r="AA616" s="115">
        <f>INDEX(Input!$1:$1048576,AA$93,$C616*2+MIN($B616,2)+5)</f>
        <v>0</v>
      </c>
      <c r="AB616" s="118">
        <f>INDEX(Input!$1:$1048576,AB$93,$C616*2+MIN($B616,2)+5)</f>
        <v>0.27</v>
      </c>
      <c r="AC616" s="115">
        <f>INDEX(Input!$1:$1048576,AC$93,$C616*2+MIN($B616,2)+5)</f>
        <v>0</v>
      </c>
      <c r="AD616" s="118">
        <f>INDEX(Input!$1:$1048576,AD$93,$C616*2+MIN($B616,2)+5)</f>
        <v>0.27</v>
      </c>
      <c r="AE616" s="115">
        <f>INDEX(Input!$1:$1048576,AE$93,$C616*2+MIN($B616,2)+5)</f>
        <v>0</v>
      </c>
      <c r="AF616" s="118">
        <f>INDEX(Input!$1:$1048576,AF$93,$C616*2+MIN($B616,2)+5)</f>
        <v>1</v>
      </c>
      <c r="AG616" s="115">
        <f>INDEX(Input!$1:$1048576,AG$93,$C616*2+MIN($B616,2)+5)</f>
        <v>500</v>
      </c>
      <c r="AH616" s="118">
        <f>INDEX(Input!$1:$1048576,AH$93,$C616*2+MIN($B616,2)+5)</f>
        <v>1</v>
      </c>
      <c r="AI616" s="115">
        <f>INDEX(Input!$1:$1048576,AI$93,$C616*2+MIN($B616,2)+5)</f>
        <v>0</v>
      </c>
      <c r="AJ616" s="118">
        <f>INDEX(Input!$1:$1048576,AJ$93,$C616*2+MIN($B616,2)+5)</f>
        <v>0.27</v>
      </c>
      <c r="AK616" s="150">
        <f>ROUND(INDEX(Input!$1:$1048576,AK$93,$C615*2+MIN($B616,1)+5)+(Y616-VLOOKUP($C616*1000+1,$A:$HH,Y$92,FALSE)),0)</f>
        <v>2701</v>
      </c>
      <c r="AL616" s="150">
        <f>ROUND(INDEX(Input!$1:$1048576,AL$93,$C615*2+MIN($B616,1)+5)-(Y616-VLOOKUP($C616*1000+1,$A:$HH,Y$92,FALSE))/36,0)</f>
        <v>3562</v>
      </c>
      <c r="AM616" s="32" t="str">
        <f t="shared" si="1752"/>
        <v>std/std/std/std</v>
      </c>
      <c r="AN616" s="32" t="str">
        <f t="shared" si="1753"/>
        <v>$0 + 0/0/0/1.9/3.9</v>
      </c>
      <c r="AO616" s="32" t="str">
        <f t="shared" si="1754"/>
        <v>0/0/0/1.9/3.9</v>
      </c>
      <c r="AP616" s="32" t="str">
        <f t="shared" si="1716"/>
        <v>0/0.9/1.9/3.9</v>
      </c>
      <c r="AQ616" s="536">
        <f t="shared" si="1717"/>
        <v>0.3885005966052999</v>
      </c>
      <c r="AR616" s="32"/>
      <c r="AS616" s="302"/>
      <c r="AT616" s="3">
        <f t="shared" si="1788"/>
        <v>16</v>
      </c>
      <c r="AU616" s="41" t="s">
        <v>121</v>
      </c>
      <c r="AV616" s="41" t="s">
        <v>116</v>
      </c>
      <c r="AW616" s="41" t="str">
        <f>INDEX(Input!$1:$1048576,AW$93,$C616*2+6)</f>
        <v>Kia</v>
      </c>
      <c r="AX616" s="41" t="str">
        <f>INDEX(Input!$1:$1048576,AX$93,$C616*2+6)</f>
        <v>National</v>
      </c>
      <c r="AY616" s="41" t="str">
        <f>IF(LEN(D616)=0,"",INDEX(Input!$1:$1048576,AY$93,$C616*2+6))</f>
        <v>Compact SUV (52)</v>
      </c>
      <c r="AZ616" s="41" t="str">
        <f>INDEX(Input!$1:$1048576,AZ$93,$C616*2+6)</f>
        <v>Kia Soul</v>
      </c>
      <c r="BA616" s="3">
        <f>INDEX(Input!$1:$1048576,BA$93,$C616*2+6)</f>
        <v>2020</v>
      </c>
      <c r="BB616" s="128">
        <f>INDEX(Input!$1:$1048576,BB$93,$C616*2+6)</f>
        <v>1</v>
      </c>
      <c r="BC616" s="128">
        <f>INDEX(Input!$1:$1048576,BC$93,$C616*2+6)</f>
        <v>0.7</v>
      </c>
      <c r="BD616" s="1">
        <f>INDEX(Input!$1:$1048576,BD$93,$C616*2+6)</f>
        <v>4.4999999999999998E-2</v>
      </c>
      <c r="BE616" s="1">
        <f>INDEX(Input!$1:$1048576,BE$93,$C616*2+6)</f>
        <v>4.4999999999999998E-2</v>
      </c>
      <c r="BF616" s="1">
        <f>INDEX(Input!$1:$1048576,BF$93,$C616*2+6)</f>
        <v>0.05</v>
      </c>
      <c r="BG616" s="1">
        <f>INDEX(Input!$1:$1048576,BG$93,$C616*2+6)</f>
        <v>5.45E-2</v>
      </c>
      <c r="BH616" s="1">
        <f>INDEX(Input!$1:$1048576,BH$93,$C616*2+6)</f>
        <v>5.45E-2</v>
      </c>
      <c r="BI616" s="1">
        <f>INDEX(Input!$1:$1048576,BI$93,$C616*2+6)</f>
        <v>0.05</v>
      </c>
      <c r="BJ616" s="1">
        <f>INDEX(Input!$1:$1048576,BJ$93,$C616*2+6)</f>
        <v>0.05</v>
      </c>
      <c r="BK616" s="1">
        <f>INDEX(Input!$1:$1048576,BK$93,$C616*2+6)</f>
        <v>0.05</v>
      </c>
      <c r="BL616" s="1">
        <f>INDEX(Input!$1:$1048576,BL$93,$C616*2+6)</f>
        <v>5.5E-2</v>
      </c>
      <c r="BM616" s="1">
        <f>INDEX(Input!$1:$1048576,BM$93,$C616*2+6)</f>
        <v>0.06</v>
      </c>
      <c r="BN616" s="1">
        <f>INDEX(Input!$1:$1048576,BN$93,$C616*2+6)</f>
        <v>4.4999999999999998E-2</v>
      </c>
      <c r="BO616" s="1">
        <f>INDEX(Input!$1:$1048576,BO$93,$C616*2+6)</f>
        <v>4.4999999999999998E-2</v>
      </c>
      <c r="BP616" s="1">
        <f>INDEX(Input!$1:$1048576,BP$93,$C616*2+6)</f>
        <v>0.05</v>
      </c>
      <c r="BQ616" s="1">
        <f>INDEX(Input!$1:$1048576,BQ$93,$C616*2+6)</f>
        <v>5.45E-2</v>
      </c>
      <c r="BR616" s="1">
        <f>INDEX(Input!$1:$1048576,BR$93,$C616*2+6)</f>
        <v>5.45E-2</v>
      </c>
      <c r="BS616" s="1">
        <f>INDEX(Input!$1:$1048576,BS$93,$C616*2+6)</f>
        <v>0.05</v>
      </c>
      <c r="BT616" s="1">
        <f>INDEX(Input!$1:$1048576,BT$93,$C616*2+6)</f>
        <v>0.05</v>
      </c>
      <c r="BU616" s="1">
        <f>INDEX(Input!$1:$1048576,BU$93,$C616*2+6)</f>
        <v>0.05</v>
      </c>
      <c r="BV616" s="1">
        <f>INDEX(Input!$1:$1048576,BV$93,$C616*2+6)</f>
        <v>5.5E-2</v>
      </c>
      <c r="BW616" s="1">
        <f>INDEX(Input!$1:$1048576,BW$93,$C616*2+6)</f>
        <v>0.06</v>
      </c>
      <c r="BX616" s="127">
        <f>INDEX(Input!$1:$1048576,BX$93,$C616*2+6)</f>
        <v>19985</v>
      </c>
      <c r="BY616" s="20">
        <f>INDEX(Input!$1:$1048576,BY$93,$C616*2+6)</f>
        <v>0.1</v>
      </c>
      <c r="BZ616" s="20">
        <f>INDEX(Input!$1:$1048576,BZ$93,$C616*2+6)</f>
        <v>0.1</v>
      </c>
      <c r="CA616" s="20">
        <f>INDEX(Input!$1:$1048576,CA$93,$C616*2+6)</f>
        <v>0.1</v>
      </c>
      <c r="CB616" s="20">
        <f>INDEX(Input!$1:$1048576,CB$93,$C616*2+6)</f>
        <v>0.1</v>
      </c>
      <c r="CC616" s="20">
        <f>INDEX(Input!$1:$1048576,CC$93,$C616*2+6)</f>
        <v>0.1</v>
      </c>
      <c r="CD616" s="384">
        <f>INDEX(Input!$1:$1048576,CD$93,$C616*2+6)</f>
        <v>0.1</v>
      </c>
      <c r="CE616" s="384">
        <f>INDEX(Input!$1:$1048576,CE$93,$C616*2+6)</f>
        <v>0.1</v>
      </c>
      <c r="CF616" s="384">
        <f>INDEX(Input!$1:$1048576,CF$93,$C616*2+6)</f>
        <v>0.1</v>
      </c>
      <c r="CG616" s="384">
        <f>INDEX(Input!$1:$1048576,CG$93,$C616*2+6)</f>
        <v>0.1</v>
      </c>
      <c r="CH616" s="384">
        <f>INDEX(Input!$1:$1048576,CH$93,$C616*2+6)</f>
        <v>0.1</v>
      </c>
      <c r="CI616" s="304">
        <f t="shared" si="1718"/>
        <v>1267.2644913000609</v>
      </c>
      <c r="CJ616" s="16" t="str">
        <f>INDEX(Input!$1:$1048576,CJ$93,$C616*2+6)</f>
        <v>N</v>
      </c>
      <c r="CK616" s="1" t="str">
        <f t="shared" si="1719"/>
        <v>Market</v>
      </c>
      <c r="CL616" s="1" t="str">
        <f t="shared" si="1720"/>
        <v>Market</v>
      </c>
      <c r="CM616" s="1" t="str">
        <f t="shared" si="1721"/>
        <v>Market</v>
      </c>
      <c r="CN616" s="1" t="str">
        <f t="shared" si="1722"/>
        <v>Market</v>
      </c>
      <c r="CO616" s="1" t="str">
        <f t="shared" si="1723"/>
        <v>Market</v>
      </c>
      <c r="CP616" s="304">
        <f t="shared" si="1724"/>
        <v>500</v>
      </c>
      <c r="CQ616" s="1">
        <f t="shared" si="1725"/>
        <v>0</v>
      </c>
      <c r="CR616" s="1">
        <f t="shared" si="1726"/>
        <v>0</v>
      </c>
      <c r="CS616" s="1">
        <f t="shared" si="1727"/>
        <v>0</v>
      </c>
      <c r="CT616" s="1">
        <f t="shared" si="1728"/>
        <v>1.9E-2</v>
      </c>
      <c r="CU616" s="1">
        <f t="shared" si="1729"/>
        <v>3.9E-2</v>
      </c>
      <c r="CV616" s="304">
        <f t="shared" si="1730"/>
        <v>377.99367635402496</v>
      </c>
      <c r="CW616" s="20" t="s">
        <v>122</v>
      </c>
      <c r="CX616" s="20" t="s">
        <v>122</v>
      </c>
      <c r="CY616" s="20" t="s">
        <v>122</v>
      </c>
      <c r="CZ616" s="20" t="s">
        <v>122</v>
      </c>
      <c r="DA616" s="20" t="s">
        <v>122</v>
      </c>
      <c r="DB616" s="503">
        <f t="shared" si="1731"/>
        <v>0</v>
      </c>
      <c r="DC616" s="127">
        <v>0</v>
      </c>
      <c r="DD616" s="127">
        <v>0</v>
      </c>
      <c r="DE616" s="127">
        <v>0</v>
      </c>
      <c r="DF616" s="127">
        <v>0</v>
      </c>
      <c r="DG616" s="127">
        <v>0</v>
      </c>
      <c r="DH616" s="127">
        <v>0</v>
      </c>
      <c r="DI616" s="127">
        <v>0</v>
      </c>
      <c r="DJ616" s="127">
        <v>0</v>
      </c>
      <c r="DK616" s="127">
        <v>0</v>
      </c>
      <c r="DL616" s="127">
        <v>0</v>
      </c>
      <c r="DM616" s="304">
        <f>INDEX(Input!$1:$1048576,DM$93,$C616*2+6)</f>
        <v>21036.84210526316</v>
      </c>
      <c r="DN616" s="20">
        <v>0</v>
      </c>
      <c r="DO616" s="20">
        <v>0</v>
      </c>
      <c r="DP616" s="20">
        <v>0</v>
      </c>
      <c r="DQ616" s="20">
        <v>0</v>
      </c>
      <c r="DR616" s="20">
        <v>0</v>
      </c>
      <c r="DS616" s="20">
        <f>INDEX(Input!$1:$1048576,DS$93,$C616*2+6)</f>
        <v>0.6</v>
      </c>
      <c r="DT616" s="20">
        <f>INDEX(Input!$1:$1048576,DT$93,$C616*2+6)</f>
        <v>0.55000000000000004</v>
      </c>
      <c r="DU616" s="20">
        <f>INDEX(Input!$1:$1048576,DU$93,$C616*2+6)</f>
        <v>0.52</v>
      </c>
      <c r="DV616" s="20">
        <f>INDEX(Input!$1:$1048576,DV$93,$C616*2+6)</f>
        <v>0.5</v>
      </c>
      <c r="DW616" s="20">
        <f>INDEX(Input!$1:$1048576,DW$93,$C616*2+6)</f>
        <v>0.45</v>
      </c>
      <c r="DX616" s="20"/>
      <c r="DY616" s="7"/>
      <c r="DZ616" s="7"/>
      <c r="EA616" s="7"/>
      <c r="EB616" s="7"/>
      <c r="EC616" s="7"/>
      <c r="ED616" s="7"/>
      <c r="EE616" s="7"/>
      <c r="EF616" s="7"/>
      <c r="EG616" s="7"/>
      <c r="EH616" s="7"/>
      <c r="EI616" s="7"/>
      <c r="EJ616" s="7"/>
      <c r="EK616" s="7"/>
      <c r="EL616" s="7"/>
      <c r="EM616" s="7"/>
      <c r="EN616" s="7"/>
      <c r="EO616" s="7"/>
      <c r="EP616" s="7"/>
      <c r="EQ616" s="7"/>
      <c r="ER616" s="7"/>
      <c r="ES616" s="7"/>
      <c r="ET616" s="7"/>
      <c r="EU616" s="6"/>
      <c r="EV616" s="6"/>
      <c r="EW616" s="6"/>
      <c r="EX616" s="6"/>
      <c r="EY616" s="6"/>
      <c r="EZ616" s="6"/>
      <c r="FA616" s="6"/>
      <c r="FB616" s="6"/>
      <c r="FC616" s="6"/>
      <c r="FD616" s="6"/>
      <c r="FE616" s="6"/>
      <c r="FF616" s="6"/>
      <c r="FG616" s="6"/>
      <c r="FH616" s="6"/>
      <c r="FI616" s="6"/>
      <c r="FJ616" s="6"/>
      <c r="FK616" s="6"/>
      <c r="FL616" s="6"/>
      <c r="FM616" s="6"/>
      <c r="FN616" s="6"/>
      <c r="FO616" s="6"/>
      <c r="FP616" s="6"/>
      <c r="FQ616" s="6"/>
      <c r="FR616" s="6"/>
      <c r="FS616" s="6"/>
      <c r="FT616" s="7"/>
      <c r="FU616" s="7"/>
      <c r="FV616" s="7"/>
      <c r="FW616" s="6"/>
      <c r="FX616" s="6"/>
      <c r="FY616" s="6"/>
      <c r="FZ616" s="6"/>
      <c r="GA616" s="6"/>
      <c r="GB616" s="6"/>
      <c r="GC616" s="7"/>
      <c r="GD616" s="7"/>
      <c r="GE616" s="7"/>
      <c r="GF616" s="7"/>
      <c r="GG616" s="7"/>
      <c r="GH616" s="42"/>
      <c r="GI616" s="6"/>
      <c r="GJ616" s="14"/>
      <c r="GK616" s="14"/>
      <c r="GL616" s="14"/>
      <c r="GM616" s="14"/>
      <c r="GO616" s="5"/>
      <c r="GP616" s="5"/>
      <c r="GQ616" s="5"/>
      <c r="GR616" s="5"/>
      <c r="GS616" s="5"/>
      <c r="GT616" s="5"/>
      <c r="GU616" s="5"/>
      <c r="GV616" s="39"/>
      <c r="GW616" s="5"/>
      <c r="GX616" s="5"/>
      <c r="GY616" s="5"/>
      <c r="GZ616" s="5"/>
      <c r="HA616" s="5"/>
      <c r="HB616" s="39"/>
      <c r="HC616" s="5"/>
      <c r="HD616" s="5"/>
      <c r="HE616" s="5"/>
      <c r="HF616" s="5"/>
      <c r="HG616" s="5"/>
      <c r="HH616" s="39"/>
      <c r="HI616" s="16"/>
      <c r="HJ616" s="19"/>
      <c r="HK616" s="1"/>
      <c r="HL616" s="16"/>
      <c r="HM616" s="639">
        <f t="shared" si="1755"/>
        <v>2.3149872625708352E-2</v>
      </c>
      <c r="HN616" s="639">
        <f t="shared" si="1756"/>
        <v>1.3965040474190958E-3</v>
      </c>
      <c r="HO616" s="639">
        <f t="shared" si="1757"/>
        <v>3.5429561340050734E-3</v>
      </c>
      <c r="HP616" s="644">
        <f t="shared" ref="HP616:ID616" si="1840">HP116+HP216+HP316+HP416+HP516</f>
        <v>203.50616551046031</v>
      </c>
      <c r="HQ616" s="644">
        <f t="shared" si="1840"/>
        <v>12.444992317499757</v>
      </c>
      <c r="HR616" s="644">
        <f t="shared" si="1840"/>
        <v>-127.38892084447612</v>
      </c>
      <c r="HS616" s="644">
        <f t="shared" si="1840"/>
        <v>-60.104285718794571</v>
      </c>
      <c r="HT616" s="644">
        <f t="shared" si="1840"/>
        <v>70.664017978198501</v>
      </c>
      <c r="HU616" s="644">
        <f t="shared" si="1840"/>
        <v>-11.705031969585605</v>
      </c>
      <c r="HV616" s="644">
        <f t="shared" si="1840"/>
        <v>0</v>
      </c>
      <c r="HW616" s="644">
        <f t="shared" si="1840"/>
        <v>0</v>
      </c>
      <c r="HX616" s="644">
        <f t="shared" si="1840"/>
        <v>0</v>
      </c>
      <c r="HY616" s="644">
        <f t="shared" si="1840"/>
        <v>2396</v>
      </c>
      <c r="HZ616" s="644">
        <f t="shared" si="1840"/>
        <v>3223</v>
      </c>
      <c r="IA616" s="644">
        <f t="shared" si="1840"/>
        <v>830</v>
      </c>
      <c r="IB616" s="644">
        <f t="shared" si="1840"/>
        <v>2539.4018797916651</v>
      </c>
      <c r="IC616" s="644">
        <f t="shared" si="1840"/>
        <v>3306.1090102956982</v>
      </c>
      <c r="ID616" s="644">
        <f t="shared" si="1840"/>
        <v>690.90604718593829</v>
      </c>
      <c r="IE616" s="20">
        <f t="shared" si="1759"/>
        <v>0.3885005966052999</v>
      </c>
      <c r="IF616" s="20">
        <f t="shared" si="1760"/>
        <v>0.50579836660096189</v>
      </c>
      <c r="IG616" s="20">
        <f t="shared" si="1761"/>
        <v>0.10570103679373812</v>
      </c>
      <c r="IH616" s="21"/>
      <c r="II616" s="19"/>
      <c r="IJ616" s="19"/>
      <c r="IK616" s="19"/>
      <c r="IL616" s="19">
        <f t="shared" si="1762"/>
        <v>171.42094483737583</v>
      </c>
      <c r="IM616" s="19">
        <f t="shared" si="1763"/>
        <v>175.56385522873506</v>
      </c>
      <c r="IN616" s="19">
        <f t="shared" si="1764"/>
        <v>-246.82079411669929</v>
      </c>
      <c r="IO616" s="39"/>
      <c r="IP616" s="39"/>
      <c r="IQ616" s="39"/>
      <c r="IR616" s="39"/>
      <c r="IS616" s="39"/>
      <c r="IT616" s="39"/>
      <c r="IU616" s="39"/>
      <c r="IV616" s="39"/>
      <c r="IW616" s="39"/>
      <c r="IX616" s="19">
        <f t="shared" si="1765"/>
        <v>1554.1790484140233</v>
      </c>
      <c r="IY616" s="19">
        <f t="shared" si="1766"/>
        <v>2412.3001201524512</v>
      </c>
      <c r="IZ616" s="19">
        <f t="shared" si="1767"/>
        <v>3993.0862952928574</v>
      </c>
      <c r="JA616" s="19">
        <f t="shared" ref="JA616:JC616" si="1841">IFERROR((JA116*IB116+JA216*IB216+JA316*IB316+JA416*IB416+JA516*IB516)/IB616,0)</f>
        <v>1725.5999932513992</v>
      </c>
      <c r="JB616" s="19">
        <f t="shared" si="1841"/>
        <v>2587.8639753811863</v>
      </c>
      <c r="JC616" s="19">
        <f t="shared" si="1841"/>
        <v>3746.2655011761581</v>
      </c>
      <c r="JD616" s="19">
        <f t="shared" si="1769"/>
        <v>2375.3181461924787</v>
      </c>
      <c r="JE616" s="21"/>
      <c r="JF616" s="1">
        <f t="shared" si="1770"/>
        <v>2.6651855648468406E-2</v>
      </c>
      <c r="JG616" s="15">
        <f t="shared" si="1771"/>
        <v>6449</v>
      </c>
      <c r="JH616" s="1">
        <f t="shared" si="1772"/>
        <v>1.3732708479374158E-2</v>
      </c>
      <c r="JI616" s="1">
        <f t="shared" si="1773"/>
        <v>-1.7759338039722048E-4</v>
      </c>
      <c r="JJ616" s="1">
        <f t="shared" si="1774"/>
        <v>0</v>
      </c>
      <c r="JK616" s="1">
        <f t="shared" si="1775"/>
        <v>1.3555115098976936E-2</v>
      </c>
      <c r="JL616" s="15">
        <f t="shared" ref="JL616:JM616" si="1842">JL116+JL216+JL316+JL416+JL516</f>
        <v>87.416937273302253</v>
      </c>
      <c r="JM616" s="15">
        <f t="shared" si="1842"/>
        <v>6536.4169372733022</v>
      </c>
      <c r="JN616" s="21"/>
      <c r="JO616" s="19">
        <f>INDEX(Input!$1:$1048576,JO$93,$C616*2+6)</f>
        <v>5995.5</v>
      </c>
      <c r="JP616" s="19">
        <f>INDEX(Input!$1:$1048576,JP$93,$C616*2+6)</f>
        <v>2296.6050414551746</v>
      </c>
      <c r="JQ616" s="39">
        <f t="shared" si="1799"/>
        <v>3620.1818538075213</v>
      </c>
      <c r="JR616" s="39">
        <f t="shared" si="1800"/>
        <v>78.713104737304093</v>
      </c>
      <c r="JS616" s="39">
        <f t="shared" si="1801"/>
        <v>15.52606976218514</v>
      </c>
      <c r="JT616" s="39">
        <f t="shared" si="1802"/>
        <v>0.71526384984071922</v>
      </c>
      <c r="JU616" s="385">
        <f>(JQ616*JM616-INDEX(Input!$1:$1048576,Input!A$18,$C616*2+6)*JL616*INDEX(Input!$1:$1048576,Input!A$19,$C616*2+6))/1000000</f>
        <v>23.663017985236944</v>
      </c>
      <c r="JV616" s="39">
        <f t="shared" si="1803"/>
        <v>-0.1911556024186325</v>
      </c>
      <c r="JW616" s="1">
        <f t="shared" si="1804"/>
        <v>-8.0135076453688014E-3</v>
      </c>
      <c r="JX616" s="19">
        <f t="shared" si="1805"/>
        <v>8182.2112756536235</v>
      </c>
      <c r="JZ616" s="341"/>
      <c r="KA616" s="60"/>
      <c r="KB616" s="469">
        <f t="shared" si="1778"/>
        <v>0</v>
      </c>
      <c r="KI616" s="472"/>
      <c r="KJ616" s="472"/>
      <c r="KK616" s="472"/>
      <c r="KN616" s="793">
        <f t="shared" si="1779"/>
        <v>6002</v>
      </c>
      <c r="KO616" s="541">
        <f t="shared" si="1780"/>
        <v>-9.6770897412054024E-3</v>
      </c>
      <c r="KP616" s="546">
        <f t="shared" si="1781"/>
        <v>-36.938763362313132</v>
      </c>
      <c r="KQ616" s="546">
        <f t="shared" si="1782"/>
        <v>-87.515110412666218</v>
      </c>
      <c r="KR616" s="472">
        <f t="shared" si="1783"/>
        <v>4.5903967702718083</v>
      </c>
      <c r="KS616" s="472">
        <f t="shared" si="1784"/>
        <v>1.9375348923933435</v>
      </c>
      <c r="KT616" s="473">
        <f t="shared" si="1795"/>
        <v>4286.2445668946921</v>
      </c>
      <c r="KU616" s="663">
        <f t="shared" si="1785"/>
        <v>4.4169530133805388</v>
      </c>
      <c r="KV616" s="117"/>
    </row>
    <row r="617" spans="1:308" s="26" customFormat="1" ht="15">
      <c r="A617" s="561">
        <f t="shared" si="1751"/>
        <v>6017</v>
      </c>
      <c r="B617" s="561">
        <f t="shared" si="1786"/>
        <v>17</v>
      </c>
      <c r="C617" s="561">
        <f t="shared" si="1787"/>
        <v>6</v>
      </c>
      <c r="D617" s="561" t="str">
        <f t="shared" si="1818"/>
        <v xml:space="preserve">360 Lease, </v>
      </c>
      <c r="E617" s="115">
        <f>INDEX(Input!$1:$1048576,E$93,$C617*2+MIN($B617,2)+5)</f>
        <v>1267.2644913000609</v>
      </c>
      <c r="F617" s="115">
        <f>INDEX(Input!$1:$1048576,F$93,$C617*2+MIN($B617,2)+5)</f>
        <v>0</v>
      </c>
      <c r="G617" s="115">
        <f>INDEX(Input!$1:$1048576,G$93,$C617*2+MIN($B617,2)+5)</f>
        <v>0</v>
      </c>
      <c r="H617" s="115">
        <f>INDEX(Input!$1:$1048576,H$93,$C617*2+MIN($B617,2)+5)</f>
        <v>0</v>
      </c>
      <c r="I617" s="118">
        <f>INDEX(Input!$1:$1048576,I$93,$C617*2+MIN($B617,2)+5)</f>
        <v>0.7</v>
      </c>
      <c r="J617" s="118" t="str">
        <f>INDEX(Input!$1:$1048576,J$93,$C617*2+MIN($B617,2)+5)</f>
        <v>Market</v>
      </c>
      <c r="K617" s="118" t="str">
        <f>INDEX(Input!$1:$1048576,K$93,$C617*2+MIN($B617,2)+5)</f>
        <v>Market</v>
      </c>
      <c r="L617" s="118" t="str">
        <f>INDEX(Input!$1:$1048576,L$93,$C617*2+MIN($B617,2)+5)</f>
        <v>Market</v>
      </c>
      <c r="M617" s="118" t="str">
        <f>INDEX(Input!$1:$1048576,M$93,$C617*2+MIN($B617,2)+5)</f>
        <v>Market</v>
      </c>
      <c r="N617" s="118" t="str">
        <f>INDEX(Input!$1:$1048576,N$93,$C617*2+MIN($B617,2)+5)</f>
        <v>Market</v>
      </c>
      <c r="O617" s="118" t="str">
        <f>INDEX(Input!$1:$1048576,O$93,$C617*2+MIN($B617,2)+5)</f>
        <v>Market</v>
      </c>
      <c r="P617" s="118" t="str">
        <f>INDEX(Input!$1:$1048576,P$93,$C617*2+MIN($B617,2)+5)</f>
        <v>N</v>
      </c>
      <c r="Q617" s="30">
        <f>INDEX(Input!$1:$1048576,Q$93,$C617*2+MIN($B617,2)+5)</f>
        <v>0</v>
      </c>
      <c r="R617" s="383">
        <f>INDEX(Input!$1:$1048576,R$93,$C617*2+MIN($B617,2)+5)</f>
        <v>0</v>
      </c>
      <c r="S617" s="383">
        <f>INDEX(Input!$1:$1048576,S$93,$C617*2+MIN($B617,2)+5)</f>
        <v>0</v>
      </c>
      <c r="T617" s="383">
        <f>INDEX(Input!$1:$1048576,T$93,$C617*2+MIN($B617,2)+5)</f>
        <v>0</v>
      </c>
      <c r="U617" s="383">
        <f>INDEX(Input!$1:$1048576,U$93,$C617*2+MIN($B617,2)+5)</f>
        <v>0</v>
      </c>
      <c r="V617" s="383">
        <f>INDEX(Input!$1:$1048576,V$93,$C617*2+MIN($B617,2)+5)</f>
        <v>1.9E-2</v>
      </c>
      <c r="W617" s="884">
        <f>INDEX(Input!$1:$1048576,W$93,$C617*2+MIN($B617,2)+5)</f>
        <v>3.9E-2</v>
      </c>
      <c r="X617" s="118" t="str">
        <f>INDEX(Input!$1:$1048576,X$93,$C617*2+MIN($B617,2)+5)</f>
        <v>Y</v>
      </c>
      <c r="Y617" s="475">
        <f>INDEX(Input!$1:$1048576,Y$93,$C617*2+MIN($B617,2)+5)+360</f>
        <v>1097.993676354025</v>
      </c>
      <c r="Z617" s="30">
        <f>INDEX(Input!$1:$1048576,Z$93,$C617*2+MIN($B617,2)+5)</f>
        <v>0</v>
      </c>
      <c r="AA617" s="115">
        <f>INDEX(Input!$1:$1048576,AA$93,$C617*2+MIN($B617,2)+5)</f>
        <v>0</v>
      </c>
      <c r="AB617" s="118">
        <f>INDEX(Input!$1:$1048576,AB$93,$C617*2+MIN($B617,2)+5)</f>
        <v>0.27</v>
      </c>
      <c r="AC617" s="115">
        <f>INDEX(Input!$1:$1048576,AC$93,$C617*2+MIN($B617,2)+5)</f>
        <v>0</v>
      </c>
      <c r="AD617" s="118">
        <f>INDEX(Input!$1:$1048576,AD$93,$C617*2+MIN($B617,2)+5)</f>
        <v>0.27</v>
      </c>
      <c r="AE617" s="115">
        <f>INDEX(Input!$1:$1048576,AE$93,$C617*2+MIN($B617,2)+5)</f>
        <v>0</v>
      </c>
      <c r="AF617" s="118">
        <f>INDEX(Input!$1:$1048576,AF$93,$C617*2+MIN($B617,2)+5)</f>
        <v>1</v>
      </c>
      <c r="AG617" s="115">
        <f>INDEX(Input!$1:$1048576,AG$93,$C617*2+MIN($B617,2)+5)</f>
        <v>500</v>
      </c>
      <c r="AH617" s="118">
        <f>INDEX(Input!$1:$1048576,AH$93,$C617*2+MIN($B617,2)+5)</f>
        <v>1</v>
      </c>
      <c r="AI617" s="115">
        <f>INDEX(Input!$1:$1048576,AI$93,$C617*2+MIN($B617,2)+5)</f>
        <v>0</v>
      </c>
      <c r="AJ617" s="118">
        <f>INDEX(Input!$1:$1048576,AJ$93,$C617*2+MIN($B617,2)+5)</f>
        <v>0.27</v>
      </c>
      <c r="AK617" s="150">
        <f>ROUND(INDEX(Input!$1:$1048576,AK$93,$C616*2+MIN($B617,1)+5)+(Y617-VLOOKUP($C617*1000+1,$A:$HH,Y$92,FALSE)),0)</f>
        <v>3421</v>
      </c>
      <c r="AL617" s="150">
        <f>ROUND(INDEX(Input!$1:$1048576,AL$93,$C616*2+MIN($B617,1)+5)-(Y617-VLOOKUP($C617*1000+1,$A:$HH,Y$92,FALSE))/36,0)</f>
        <v>3542</v>
      </c>
      <c r="AM617" s="32" t="str">
        <f t="shared" si="1752"/>
        <v>std/std/std/std</v>
      </c>
      <c r="AN617" s="32" t="str">
        <f t="shared" si="1753"/>
        <v>$0 + 0/0/0/1.9/3.9</v>
      </c>
      <c r="AO617" s="32" t="str">
        <f t="shared" si="1754"/>
        <v>0/0/0/1.9/3.9</v>
      </c>
      <c r="AP617" s="32" t="str">
        <f t="shared" si="1716"/>
        <v>0/0.9/1.9/3.9</v>
      </c>
      <c r="AQ617" s="536">
        <f t="shared" si="1717"/>
        <v>0.35010322793927873</v>
      </c>
      <c r="AR617" s="32"/>
      <c r="AS617" s="302"/>
      <c r="AT617" s="3">
        <f t="shared" si="1788"/>
        <v>17</v>
      </c>
      <c r="AU617" s="41" t="s">
        <v>121</v>
      </c>
      <c r="AV617" s="41" t="s">
        <v>116</v>
      </c>
      <c r="AW617" s="41" t="str">
        <f>INDEX(Input!$1:$1048576,AW$93,$C617*2+6)</f>
        <v>Kia</v>
      </c>
      <c r="AX617" s="41" t="str">
        <f>INDEX(Input!$1:$1048576,AX$93,$C617*2+6)</f>
        <v>National</v>
      </c>
      <c r="AY617" s="41" t="str">
        <f>IF(LEN(D617)=0,"",INDEX(Input!$1:$1048576,AY$93,$C617*2+6))</f>
        <v>Compact SUV (52)</v>
      </c>
      <c r="AZ617" s="41" t="str">
        <f>INDEX(Input!$1:$1048576,AZ$93,$C617*2+6)</f>
        <v>Kia Soul</v>
      </c>
      <c r="BA617" s="3">
        <f>INDEX(Input!$1:$1048576,BA$93,$C617*2+6)</f>
        <v>2020</v>
      </c>
      <c r="BB617" s="128">
        <f>INDEX(Input!$1:$1048576,BB$93,$C617*2+6)</f>
        <v>1</v>
      </c>
      <c r="BC617" s="128">
        <f>INDEX(Input!$1:$1048576,BC$93,$C617*2+6)</f>
        <v>0.7</v>
      </c>
      <c r="BD617" s="1">
        <f>INDEX(Input!$1:$1048576,BD$93,$C617*2+6)</f>
        <v>4.4999999999999998E-2</v>
      </c>
      <c r="BE617" s="1">
        <f>INDEX(Input!$1:$1048576,BE$93,$C617*2+6)</f>
        <v>4.4999999999999998E-2</v>
      </c>
      <c r="BF617" s="1">
        <f>INDEX(Input!$1:$1048576,BF$93,$C617*2+6)</f>
        <v>0.05</v>
      </c>
      <c r="BG617" s="1">
        <f>INDEX(Input!$1:$1048576,BG$93,$C617*2+6)</f>
        <v>5.45E-2</v>
      </c>
      <c r="BH617" s="1">
        <f>INDEX(Input!$1:$1048576,BH$93,$C617*2+6)</f>
        <v>5.45E-2</v>
      </c>
      <c r="BI617" s="1">
        <f>INDEX(Input!$1:$1048576,BI$93,$C617*2+6)</f>
        <v>0.05</v>
      </c>
      <c r="BJ617" s="1">
        <f>INDEX(Input!$1:$1048576,BJ$93,$C617*2+6)</f>
        <v>0.05</v>
      </c>
      <c r="BK617" s="1">
        <f>INDEX(Input!$1:$1048576,BK$93,$C617*2+6)</f>
        <v>0.05</v>
      </c>
      <c r="BL617" s="1">
        <f>INDEX(Input!$1:$1048576,BL$93,$C617*2+6)</f>
        <v>5.5E-2</v>
      </c>
      <c r="BM617" s="1">
        <f>INDEX(Input!$1:$1048576,BM$93,$C617*2+6)</f>
        <v>0.06</v>
      </c>
      <c r="BN617" s="1">
        <f>INDEX(Input!$1:$1048576,BN$93,$C617*2+6)</f>
        <v>4.4999999999999998E-2</v>
      </c>
      <c r="BO617" s="1">
        <f>INDEX(Input!$1:$1048576,BO$93,$C617*2+6)</f>
        <v>4.4999999999999998E-2</v>
      </c>
      <c r="BP617" s="1">
        <f>INDEX(Input!$1:$1048576,BP$93,$C617*2+6)</f>
        <v>0.05</v>
      </c>
      <c r="BQ617" s="1">
        <f>INDEX(Input!$1:$1048576,BQ$93,$C617*2+6)</f>
        <v>5.45E-2</v>
      </c>
      <c r="BR617" s="1">
        <f>INDEX(Input!$1:$1048576,BR$93,$C617*2+6)</f>
        <v>5.45E-2</v>
      </c>
      <c r="BS617" s="1">
        <f>INDEX(Input!$1:$1048576,BS$93,$C617*2+6)</f>
        <v>0.05</v>
      </c>
      <c r="BT617" s="1">
        <f>INDEX(Input!$1:$1048576,BT$93,$C617*2+6)</f>
        <v>0.05</v>
      </c>
      <c r="BU617" s="1">
        <f>INDEX(Input!$1:$1048576,BU$93,$C617*2+6)</f>
        <v>0.05</v>
      </c>
      <c r="BV617" s="1">
        <f>INDEX(Input!$1:$1048576,BV$93,$C617*2+6)</f>
        <v>5.5E-2</v>
      </c>
      <c r="BW617" s="1">
        <f>INDEX(Input!$1:$1048576,BW$93,$C617*2+6)</f>
        <v>0.06</v>
      </c>
      <c r="BX617" s="127">
        <f>INDEX(Input!$1:$1048576,BX$93,$C617*2+6)</f>
        <v>19985</v>
      </c>
      <c r="BY617" s="20">
        <f>INDEX(Input!$1:$1048576,BY$93,$C617*2+6)</f>
        <v>0.1</v>
      </c>
      <c r="BZ617" s="20">
        <f>INDEX(Input!$1:$1048576,BZ$93,$C617*2+6)</f>
        <v>0.1</v>
      </c>
      <c r="CA617" s="20">
        <f>INDEX(Input!$1:$1048576,CA$93,$C617*2+6)</f>
        <v>0.1</v>
      </c>
      <c r="CB617" s="20">
        <f>INDEX(Input!$1:$1048576,CB$93,$C617*2+6)</f>
        <v>0.1</v>
      </c>
      <c r="CC617" s="20">
        <f>INDEX(Input!$1:$1048576,CC$93,$C617*2+6)</f>
        <v>0.1</v>
      </c>
      <c r="CD617" s="384">
        <f>INDEX(Input!$1:$1048576,CD$93,$C617*2+6)</f>
        <v>0.1</v>
      </c>
      <c r="CE617" s="384">
        <f>INDEX(Input!$1:$1048576,CE$93,$C617*2+6)</f>
        <v>0.1</v>
      </c>
      <c r="CF617" s="384">
        <f>INDEX(Input!$1:$1048576,CF$93,$C617*2+6)</f>
        <v>0.1</v>
      </c>
      <c r="CG617" s="384">
        <f>INDEX(Input!$1:$1048576,CG$93,$C617*2+6)</f>
        <v>0.1</v>
      </c>
      <c r="CH617" s="384">
        <f>INDEX(Input!$1:$1048576,CH$93,$C617*2+6)</f>
        <v>0.1</v>
      </c>
      <c r="CI617" s="304">
        <f t="shared" si="1718"/>
        <v>1267.2644913000609</v>
      </c>
      <c r="CJ617" s="16" t="str">
        <f>INDEX(Input!$1:$1048576,CJ$93,$C617*2+6)</f>
        <v>N</v>
      </c>
      <c r="CK617" s="1" t="str">
        <f t="shared" si="1719"/>
        <v>Market</v>
      </c>
      <c r="CL617" s="1" t="str">
        <f t="shared" si="1720"/>
        <v>Market</v>
      </c>
      <c r="CM617" s="1" t="str">
        <f t="shared" si="1721"/>
        <v>Market</v>
      </c>
      <c r="CN617" s="1" t="str">
        <f t="shared" si="1722"/>
        <v>Market</v>
      </c>
      <c r="CO617" s="1" t="str">
        <f t="shared" si="1723"/>
        <v>Market</v>
      </c>
      <c r="CP617" s="304">
        <f t="shared" si="1724"/>
        <v>500</v>
      </c>
      <c r="CQ617" s="1">
        <f t="shared" si="1725"/>
        <v>0</v>
      </c>
      <c r="CR617" s="1">
        <f t="shared" si="1726"/>
        <v>0</v>
      </c>
      <c r="CS617" s="1">
        <f t="shared" si="1727"/>
        <v>0</v>
      </c>
      <c r="CT617" s="1">
        <f t="shared" si="1728"/>
        <v>1.9E-2</v>
      </c>
      <c r="CU617" s="1">
        <f t="shared" si="1729"/>
        <v>3.9E-2</v>
      </c>
      <c r="CV617" s="304">
        <f t="shared" si="1730"/>
        <v>1097.993676354025</v>
      </c>
      <c r="CW617" s="20" t="s">
        <v>122</v>
      </c>
      <c r="CX617" s="20" t="s">
        <v>122</v>
      </c>
      <c r="CY617" s="20" t="s">
        <v>122</v>
      </c>
      <c r="CZ617" s="20" t="s">
        <v>122</v>
      </c>
      <c r="DA617" s="20" t="s">
        <v>122</v>
      </c>
      <c r="DB617" s="503">
        <f t="shared" si="1731"/>
        <v>0</v>
      </c>
      <c r="DC617" s="127">
        <v>0</v>
      </c>
      <c r="DD617" s="127">
        <v>0</v>
      </c>
      <c r="DE617" s="127">
        <v>0</v>
      </c>
      <c r="DF617" s="127">
        <v>0</v>
      </c>
      <c r="DG617" s="127">
        <v>0</v>
      </c>
      <c r="DH617" s="127">
        <v>0</v>
      </c>
      <c r="DI617" s="127">
        <v>0</v>
      </c>
      <c r="DJ617" s="127">
        <v>0</v>
      </c>
      <c r="DK617" s="127">
        <v>0</v>
      </c>
      <c r="DL617" s="127">
        <v>0</v>
      </c>
      <c r="DM617" s="304">
        <f>INDEX(Input!$1:$1048576,DM$93,$C617*2+6)</f>
        <v>21036.84210526316</v>
      </c>
      <c r="DN617" s="20">
        <v>0</v>
      </c>
      <c r="DO617" s="20">
        <v>0</v>
      </c>
      <c r="DP617" s="20">
        <v>0</v>
      </c>
      <c r="DQ617" s="20">
        <v>0</v>
      </c>
      <c r="DR617" s="20">
        <v>0</v>
      </c>
      <c r="DS617" s="20">
        <f>INDEX(Input!$1:$1048576,DS$93,$C617*2+6)</f>
        <v>0.6</v>
      </c>
      <c r="DT617" s="20">
        <f>INDEX(Input!$1:$1048576,DT$93,$C617*2+6)</f>
        <v>0.55000000000000004</v>
      </c>
      <c r="DU617" s="20">
        <f>INDEX(Input!$1:$1048576,DU$93,$C617*2+6)</f>
        <v>0.52</v>
      </c>
      <c r="DV617" s="20">
        <f>INDEX(Input!$1:$1048576,DV$93,$C617*2+6)</f>
        <v>0.5</v>
      </c>
      <c r="DW617" s="20">
        <f>INDEX(Input!$1:$1048576,DW$93,$C617*2+6)</f>
        <v>0.45</v>
      </c>
      <c r="DX617" s="20"/>
      <c r="DY617" s="7"/>
      <c r="DZ617" s="7"/>
      <c r="EA617" s="7"/>
      <c r="EB617" s="7"/>
      <c r="EC617" s="7"/>
      <c r="ED617" s="7"/>
      <c r="EE617" s="7"/>
      <c r="EF617" s="7"/>
      <c r="EG617" s="7"/>
      <c r="EH617" s="7"/>
      <c r="EI617" s="7"/>
      <c r="EJ617" s="7"/>
      <c r="EK617" s="7"/>
      <c r="EL617" s="7"/>
      <c r="EM617" s="7"/>
      <c r="EN617" s="7"/>
      <c r="EO617" s="7"/>
      <c r="EP617" s="7"/>
      <c r="EQ617" s="7"/>
      <c r="ER617" s="7"/>
      <c r="ES617" s="7"/>
      <c r="ET617" s="7"/>
      <c r="EU617" s="6"/>
      <c r="EV617" s="6"/>
      <c r="EW617" s="6"/>
      <c r="EX617" s="6"/>
      <c r="EY617" s="6"/>
      <c r="EZ617" s="6"/>
      <c r="FA617" s="6"/>
      <c r="FB617" s="6"/>
      <c r="FC617" s="6"/>
      <c r="FD617" s="6"/>
      <c r="FE617" s="6"/>
      <c r="FF617" s="6"/>
      <c r="FG617" s="6"/>
      <c r="FH617" s="6"/>
      <c r="FI617" s="6"/>
      <c r="FJ617" s="6"/>
      <c r="FK617" s="6"/>
      <c r="FL617" s="6"/>
      <c r="FM617" s="6"/>
      <c r="FN617" s="6"/>
      <c r="FO617" s="6"/>
      <c r="FP617" s="6"/>
      <c r="FQ617" s="6"/>
      <c r="FR617" s="6"/>
      <c r="FS617" s="6"/>
      <c r="FT617" s="7"/>
      <c r="FU617" s="7"/>
      <c r="FV617" s="7"/>
      <c r="FW617" s="6"/>
      <c r="FX617" s="6"/>
      <c r="FY617" s="6"/>
      <c r="FZ617" s="6"/>
      <c r="GA617" s="6"/>
      <c r="GB617" s="6"/>
      <c r="GC617" s="7"/>
      <c r="GD617" s="7"/>
      <c r="GE617" s="7"/>
      <c r="GF617" s="7"/>
      <c r="GG617" s="7"/>
      <c r="GH617" s="42"/>
      <c r="GI617" s="6"/>
      <c r="GJ617" s="14"/>
      <c r="GK617" s="14"/>
      <c r="GL617" s="14"/>
      <c r="GM617" s="14"/>
      <c r="GO617" s="5"/>
      <c r="GP617" s="5"/>
      <c r="GQ617" s="5"/>
      <c r="GR617" s="5"/>
      <c r="GS617" s="5"/>
      <c r="GT617" s="5"/>
      <c r="GU617" s="5"/>
      <c r="GV617" s="39"/>
      <c r="GW617" s="5"/>
      <c r="GX617" s="5"/>
      <c r="GY617" s="5"/>
      <c r="GZ617" s="5"/>
      <c r="HA617" s="5"/>
      <c r="HB617" s="39"/>
      <c r="HC617" s="5"/>
      <c r="HD617" s="5"/>
      <c r="HE617" s="5"/>
      <c r="HF617" s="5"/>
      <c r="HG617" s="5"/>
      <c r="HH617" s="39"/>
      <c r="HI617" s="16"/>
      <c r="HJ617" s="19"/>
      <c r="HK617" s="1"/>
      <c r="HL617" s="16"/>
      <c r="HM617" s="639">
        <f t="shared" si="1755"/>
        <v>2.3149872625708352E-2</v>
      </c>
      <c r="HN617" s="639">
        <f t="shared" si="1756"/>
        <v>1.3965040474190958E-3</v>
      </c>
      <c r="HO617" s="639">
        <f t="shared" si="1757"/>
        <v>3.5429561340050734E-3</v>
      </c>
      <c r="HP617" s="644">
        <f t="shared" ref="HP617:ID617" si="1843">HP117+HP217+HP317+HP417+HP517</f>
        <v>0.34754761463067219</v>
      </c>
      <c r="HQ617" s="644">
        <f t="shared" si="1843"/>
        <v>-2.5312866609091089</v>
      </c>
      <c r="HR617" s="644">
        <f t="shared" si="1843"/>
        <v>172.4159178369994</v>
      </c>
      <c r="HS617" s="644">
        <f t="shared" si="1843"/>
        <v>-60.1035019320854</v>
      </c>
      <c r="HT617" s="644">
        <f t="shared" si="1843"/>
        <v>70.567229986694784</v>
      </c>
      <c r="HU617" s="644">
        <f t="shared" si="1843"/>
        <v>43.318962037112222</v>
      </c>
      <c r="HV617" s="644">
        <f t="shared" si="1843"/>
        <v>0</v>
      </c>
      <c r="HW617" s="644">
        <f t="shared" si="1843"/>
        <v>0</v>
      </c>
      <c r="HX617" s="644">
        <f t="shared" si="1843"/>
        <v>0</v>
      </c>
      <c r="HY617" s="644">
        <f t="shared" si="1843"/>
        <v>2396</v>
      </c>
      <c r="HZ617" s="644">
        <f t="shared" si="1843"/>
        <v>3223</v>
      </c>
      <c r="IA617" s="644">
        <f t="shared" si="1843"/>
        <v>830</v>
      </c>
      <c r="IB617" s="644">
        <f t="shared" si="1843"/>
        <v>2336.2440456825461</v>
      </c>
      <c r="IC617" s="644">
        <f t="shared" si="1843"/>
        <v>3291.0359433257859</v>
      </c>
      <c r="ID617" s="644">
        <f t="shared" si="1843"/>
        <v>1045.7348798741116</v>
      </c>
      <c r="IE617" s="20">
        <f t="shared" si="1759"/>
        <v>0.35010322793927873</v>
      </c>
      <c r="IF617" s="20">
        <f t="shared" si="1760"/>
        <v>0.49318576505389222</v>
      </c>
      <c r="IG617" s="20">
        <f t="shared" si="1761"/>
        <v>0.15671100700682913</v>
      </c>
      <c r="IH617" s="21"/>
      <c r="II617" s="19"/>
      <c r="IJ617" s="19"/>
      <c r="IK617" s="19"/>
      <c r="IL617" s="19">
        <f t="shared" si="1762"/>
        <v>181.51461220122178</v>
      </c>
      <c r="IM617" s="19">
        <f t="shared" si="1763"/>
        <v>176.07043492784169</v>
      </c>
      <c r="IN617" s="19">
        <f t="shared" si="1764"/>
        <v>469.93979587645026</v>
      </c>
      <c r="IO617" s="39"/>
      <c r="IP617" s="39"/>
      <c r="IQ617" s="39"/>
      <c r="IR617" s="39"/>
      <c r="IS617" s="39"/>
      <c r="IT617" s="39"/>
      <c r="IU617" s="39"/>
      <c r="IV617" s="39"/>
      <c r="IW617" s="39"/>
      <c r="IX617" s="19">
        <f t="shared" si="1765"/>
        <v>1554.1790484140233</v>
      </c>
      <c r="IY617" s="19">
        <f t="shared" si="1766"/>
        <v>2412.3001201524512</v>
      </c>
      <c r="IZ617" s="19">
        <f t="shared" si="1767"/>
        <v>3993.0862952928574</v>
      </c>
      <c r="JA617" s="19">
        <f t="shared" ref="JA617:JC617" si="1844">IFERROR((JA117*IB117+JA217*IB217+JA317*IB317+JA417*IB417+JA517*IB517)/IB617,0)</f>
        <v>1735.6936606152451</v>
      </c>
      <c r="JB617" s="19">
        <f t="shared" si="1844"/>
        <v>2588.3705550802929</v>
      </c>
      <c r="JC617" s="19">
        <f t="shared" si="1844"/>
        <v>4463.0260911693076</v>
      </c>
      <c r="JD617" s="19">
        <f t="shared" si="1769"/>
        <v>2583.6247787902771</v>
      </c>
      <c r="JE617" s="21"/>
      <c r="JF617" s="1">
        <f t="shared" si="1770"/>
        <v>2.6651855648468406E-2</v>
      </c>
      <c r="JG617" s="15">
        <f t="shared" si="1771"/>
        <v>6449</v>
      </c>
      <c r="JH617" s="1">
        <f t="shared" si="1772"/>
        <v>2.6396678367300506E-2</v>
      </c>
      <c r="JI617" s="1">
        <f t="shared" si="1773"/>
        <v>8.3396945405057529E-3</v>
      </c>
      <c r="JJ617" s="1">
        <f t="shared" si="1774"/>
        <v>0</v>
      </c>
      <c r="JK617" s="1">
        <f t="shared" si="1775"/>
        <v>3.4736372907806262E-2</v>
      </c>
      <c r="JL617" s="15">
        <f t="shared" ref="JL617:JM617" si="1845">JL117+JL217+JL317+JL417+JL517</f>
        <v>224.01486888244258</v>
      </c>
      <c r="JM617" s="15">
        <f t="shared" si="1845"/>
        <v>6673.0148688824429</v>
      </c>
      <c r="JN617" s="21"/>
      <c r="JO617" s="19">
        <f>INDEX(Input!$1:$1048576,JO$93,$C617*2+6)</f>
        <v>5995.5</v>
      </c>
      <c r="JP617" s="19">
        <f>INDEX(Input!$1:$1048576,JP$93,$C617*2+6)</f>
        <v>2296.6050414551746</v>
      </c>
      <c r="JQ617" s="39">
        <f t="shared" si="1799"/>
        <v>3411.8752212097229</v>
      </c>
      <c r="JR617" s="39">
        <f t="shared" si="1800"/>
        <v>287.01973733510249</v>
      </c>
      <c r="JS617" s="39">
        <f t="shared" si="1801"/>
        <v>17.240566564480634</v>
      </c>
      <c r="JT617" s="39">
        <f t="shared" si="1802"/>
        <v>2.4297606521362121</v>
      </c>
      <c r="JU617" s="385">
        <f>(JQ617*JM617-INDEX(Input!$1:$1048576,Input!A$18,$C617*2+6)*JL617*INDEX(Input!$1:$1048576,Input!A$19,$C617*2+6))/1000000</f>
        <v>22.767494081904054</v>
      </c>
      <c r="JV617" s="39">
        <f t="shared" si="1803"/>
        <v>-1.0866795057515226</v>
      </c>
      <c r="JW617" s="1">
        <f t="shared" si="1804"/>
        <v>-4.555511016796969E-2</v>
      </c>
      <c r="JX617" s="19">
        <f t="shared" si="1805"/>
        <v>10846.425794223909</v>
      </c>
      <c r="JZ617" s="341"/>
      <c r="KA617" s="60"/>
      <c r="KB617" s="469">
        <f t="shared" si="1778"/>
        <v>0</v>
      </c>
      <c r="KI617" s="472"/>
      <c r="KJ617" s="472"/>
      <c r="KK617" s="472"/>
      <c r="KN617" s="793">
        <f t="shared" si="1779"/>
        <v>6002</v>
      </c>
      <c r="KO617" s="541">
        <f t="shared" si="1780"/>
        <v>1.1018661840230148E-2</v>
      </c>
      <c r="KP617" s="546">
        <f t="shared" si="1781"/>
        <v>62.430630674664684</v>
      </c>
      <c r="KQ617" s="546">
        <f t="shared" si="1782"/>
        <v>120.79152218513218</v>
      </c>
      <c r="KR617" s="472">
        <f t="shared" si="1783"/>
        <v>3.0925657480494713</v>
      </c>
      <c r="KS617" s="472">
        <f t="shared" si="1784"/>
        <v>1.598380635999296</v>
      </c>
      <c r="KT617" s="473">
        <f t="shared" si="1795"/>
        <v>4286.2445668946921</v>
      </c>
      <c r="KU617" s="663">
        <f t="shared" si="1785"/>
        <v>4.3073494138025294</v>
      </c>
      <c r="KV617" s="117"/>
    </row>
    <row r="618" spans="1:308" s="26" customFormat="1" ht="15">
      <c r="A618" s="561">
        <f t="shared" si="1751"/>
        <v>6018</v>
      </c>
      <c r="B618" s="561">
        <f t="shared" si="1786"/>
        <v>18</v>
      </c>
      <c r="C618" s="561">
        <f t="shared" si="1787"/>
        <v>6</v>
      </c>
      <c r="D618" s="561" t="str">
        <f t="shared" si="1818"/>
        <v xml:space="preserve">720 Lease, </v>
      </c>
      <c r="E618" s="115">
        <f>INDEX(Input!$1:$1048576,E$93,$C618*2+MIN($B618,2)+5)</f>
        <v>1267.2644913000609</v>
      </c>
      <c r="F618" s="115">
        <f>INDEX(Input!$1:$1048576,F$93,$C618*2+MIN($B618,2)+5)</f>
        <v>0</v>
      </c>
      <c r="G618" s="115">
        <f>INDEX(Input!$1:$1048576,G$93,$C618*2+MIN($B618,2)+5)</f>
        <v>0</v>
      </c>
      <c r="H618" s="115">
        <f>INDEX(Input!$1:$1048576,H$93,$C618*2+MIN($B618,2)+5)</f>
        <v>0</v>
      </c>
      <c r="I618" s="118">
        <f>INDEX(Input!$1:$1048576,I$93,$C618*2+MIN($B618,2)+5)</f>
        <v>0.7</v>
      </c>
      <c r="J618" s="118" t="str">
        <f>INDEX(Input!$1:$1048576,J$93,$C618*2+MIN($B618,2)+5)</f>
        <v>Market</v>
      </c>
      <c r="K618" s="118" t="str">
        <f>INDEX(Input!$1:$1048576,K$93,$C618*2+MIN($B618,2)+5)</f>
        <v>Market</v>
      </c>
      <c r="L618" s="118" t="str">
        <f>INDEX(Input!$1:$1048576,L$93,$C618*2+MIN($B618,2)+5)</f>
        <v>Market</v>
      </c>
      <c r="M618" s="118" t="str">
        <f>INDEX(Input!$1:$1048576,M$93,$C618*2+MIN($B618,2)+5)</f>
        <v>Market</v>
      </c>
      <c r="N618" s="118" t="str">
        <f>INDEX(Input!$1:$1048576,N$93,$C618*2+MIN($B618,2)+5)</f>
        <v>Market</v>
      </c>
      <c r="O618" s="118" t="str">
        <f>INDEX(Input!$1:$1048576,O$93,$C618*2+MIN($B618,2)+5)</f>
        <v>Market</v>
      </c>
      <c r="P618" s="118" t="str">
        <f>INDEX(Input!$1:$1048576,P$93,$C618*2+MIN($B618,2)+5)</f>
        <v>N</v>
      </c>
      <c r="Q618" s="30">
        <f>INDEX(Input!$1:$1048576,Q$93,$C618*2+MIN($B618,2)+5)</f>
        <v>0</v>
      </c>
      <c r="R618" s="383">
        <f>INDEX(Input!$1:$1048576,R$93,$C618*2+MIN($B618,2)+5)</f>
        <v>0</v>
      </c>
      <c r="S618" s="383">
        <f>INDEX(Input!$1:$1048576,S$93,$C618*2+MIN($B618,2)+5)</f>
        <v>0</v>
      </c>
      <c r="T618" s="383">
        <f>INDEX(Input!$1:$1048576,T$93,$C618*2+MIN($B618,2)+5)</f>
        <v>0</v>
      </c>
      <c r="U618" s="383">
        <f>INDEX(Input!$1:$1048576,U$93,$C618*2+MIN($B618,2)+5)</f>
        <v>0</v>
      </c>
      <c r="V618" s="383">
        <f>INDEX(Input!$1:$1048576,V$93,$C618*2+MIN($B618,2)+5)</f>
        <v>1.9E-2</v>
      </c>
      <c r="W618" s="884">
        <f>INDEX(Input!$1:$1048576,W$93,$C618*2+MIN($B618,2)+5)</f>
        <v>3.9E-2</v>
      </c>
      <c r="X618" s="118" t="str">
        <f>INDEX(Input!$1:$1048576,X$93,$C618*2+MIN($B618,2)+5)</f>
        <v>Y</v>
      </c>
      <c r="Y618" s="475">
        <f>INDEX(Input!$1:$1048576,Y$93,$C618*2+MIN($B618,2)+5)+720</f>
        <v>1457.993676354025</v>
      </c>
      <c r="Z618" s="30">
        <f>INDEX(Input!$1:$1048576,Z$93,$C618*2+MIN($B618,2)+5)</f>
        <v>0</v>
      </c>
      <c r="AA618" s="115">
        <f>INDEX(Input!$1:$1048576,AA$93,$C618*2+MIN($B618,2)+5)</f>
        <v>0</v>
      </c>
      <c r="AB618" s="118">
        <f>INDEX(Input!$1:$1048576,AB$93,$C618*2+MIN($B618,2)+5)</f>
        <v>0.27</v>
      </c>
      <c r="AC618" s="115">
        <f>INDEX(Input!$1:$1048576,AC$93,$C618*2+MIN($B618,2)+5)</f>
        <v>0</v>
      </c>
      <c r="AD618" s="118">
        <f>INDEX(Input!$1:$1048576,AD$93,$C618*2+MIN($B618,2)+5)</f>
        <v>0.27</v>
      </c>
      <c r="AE618" s="115">
        <f>INDEX(Input!$1:$1048576,AE$93,$C618*2+MIN($B618,2)+5)</f>
        <v>0</v>
      </c>
      <c r="AF618" s="118">
        <f>INDEX(Input!$1:$1048576,AF$93,$C618*2+MIN($B618,2)+5)</f>
        <v>1</v>
      </c>
      <c r="AG618" s="115">
        <f>INDEX(Input!$1:$1048576,AG$93,$C618*2+MIN($B618,2)+5)</f>
        <v>500</v>
      </c>
      <c r="AH618" s="118">
        <f>INDEX(Input!$1:$1048576,AH$93,$C618*2+MIN($B618,2)+5)</f>
        <v>1</v>
      </c>
      <c r="AI618" s="115">
        <f>INDEX(Input!$1:$1048576,AI$93,$C618*2+MIN($B618,2)+5)</f>
        <v>0</v>
      </c>
      <c r="AJ618" s="118">
        <f>INDEX(Input!$1:$1048576,AJ$93,$C618*2+MIN($B618,2)+5)</f>
        <v>0.27</v>
      </c>
      <c r="AK618" s="150">
        <f>ROUND(INDEX(Input!$1:$1048576,AK$93,$C617*2+MIN($B618,1)+5)+(Y618-VLOOKUP($C618*1000+1,$A:$HH,Y$92,FALSE)),0)</f>
        <v>3781</v>
      </c>
      <c r="AL618" s="150">
        <f>ROUND(INDEX(Input!$1:$1048576,AL$93,$C617*2+MIN($B618,1)+5)-(Y618-VLOOKUP($C618*1000+1,$A:$HH,Y$92,FALSE))/36,0)</f>
        <v>3532</v>
      </c>
      <c r="AM618" s="32" t="str">
        <f t="shared" si="1752"/>
        <v>std/std/std/std</v>
      </c>
      <c r="AN618" s="32" t="str">
        <f t="shared" si="1753"/>
        <v>$0 + 0/0/0/1.9/3.9</v>
      </c>
      <c r="AO618" s="32" t="str">
        <f t="shared" si="1754"/>
        <v>0/0/0/1.9/3.9</v>
      </c>
      <c r="AP618" s="32" t="str">
        <f t="shared" si="1716"/>
        <v>0/0.9/1.9/3.9</v>
      </c>
      <c r="AQ618" s="536">
        <f t="shared" si="1717"/>
        <v>0.32622780772626259</v>
      </c>
      <c r="AR618" s="32"/>
      <c r="AS618" s="302"/>
      <c r="AT618" s="3">
        <f t="shared" si="1788"/>
        <v>18</v>
      </c>
      <c r="AU618" s="41" t="s">
        <v>121</v>
      </c>
      <c r="AV618" s="41" t="s">
        <v>116</v>
      </c>
      <c r="AW618" s="41" t="str">
        <f>INDEX(Input!$1:$1048576,AW$93,$C618*2+6)</f>
        <v>Kia</v>
      </c>
      <c r="AX618" s="41" t="str">
        <f>INDEX(Input!$1:$1048576,AX$93,$C618*2+6)</f>
        <v>National</v>
      </c>
      <c r="AY618" s="41" t="str">
        <f>IF(LEN(D618)=0,"",INDEX(Input!$1:$1048576,AY$93,$C618*2+6))</f>
        <v>Compact SUV (52)</v>
      </c>
      <c r="AZ618" s="41" t="str">
        <f>INDEX(Input!$1:$1048576,AZ$93,$C618*2+6)</f>
        <v>Kia Soul</v>
      </c>
      <c r="BA618" s="3">
        <f>INDEX(Input!$1:$1048576,BA$93,$C618*2+6)</f>
        <v>2020</v>
      </c>
      <c r="BB618" s="128">
        <f>INDEX(Input!$1:$1048576,BB$93,$C618*2+6)</f>
        <v>1</v>
      </c>
      <c r="BC618" s="128">
        <f>INDEX(Input!$1:$1048576,BC$93,$C618*2+6)</f>
        <v>0.7</v>
      </c>
      <c r="BD618" s="1">
        <f>INDEX(Input!$1:$1048576,BD$93,$C618*2+6)</f>
        <v>4.4999999999999998E-2</v>
      </c>
      <c r="BE618" s="1">
        <f>INDEX(Input!$1:$1048576,BE$93,$C618*2+6)</f>
        <v>4.4999999999999998E-2</v>
      </c>
      <c r="BF618" s="1">
        <f>INDEX(Input!$1:$1048576,BF$93,$C618*2+6)</f>
        <v>0.05</v>
      </c>
      <c r="BG618" s="1">
        <f>INDEX(Input!$1:$1048576,BG$93,$C618*2+6)</f>
        <v>5.45E-2</v>
      </c>
      <c r="BH618" s="1">
        <f>INDEX(Input!$1:$1048576,BH$93,$C618*2+6)</f>
        <v>5.45E-2</v>
      </c>
      <c r="BI618" s="1">
        <f>INDEX(Input!$1:$1048576,BI$93,$C618*2+6)</f>
        <v>0.05</v>
      </c>
      <c r="BJ618" s="1">
        <f>INDEX(Input!$1:$1048576,BJ$93,$C618*2+6)</f>
        <v>0.05</v>
      </c>
      <c r="BK618" s="1">
        <f>INDEX(Input!$1:$1048576,BK$93,$C618*2+6)</f>
        <v>0.05</v>
      </c>
      <c r="BL618" s="1">
        <f>INDEX(Input!$1:$1048576,BL$93,$C618*2+6)</f>
        <v>5.5E-2</v>
      </c>
      <c r="BM618" s="1">
        <f>INDEX(Input!$1:$1048576,BM$93,$C618*2+6)</f>
        <v>0.06</v>
      </c>
      <c r="BN618" s="1">
        <f>INDEX(Input!$1:$1048576,BN$93,$C618*2+6)</f>
        <v>4.4999999999999998E-2</v>
      </c>
      <c r="BO618" s="1">
        <f>INDEX(Input!$1:$1048576,BO$93,$C618*2+6)</f>
        <v>4.4999999999999998E-2</v>
      </c>
      <c r="BP618" s="1">
        <f>INDEX(Input!$1:$1048576,BP$93,$C618*2+6)</f>
        <v>0.05</v>
      </c>
      <c r="BQ618" s="1">
        <f>INDEX(Input!$1:$1048576,BQ$93,$C618*2+6)</f>
        <v>5.45E-2</v>
      </c>
      <c r="BR618" s="1">
        <f>INDEX(Input!$1:$1048576,BR$93,$C618*2+6)</f>
        <v>5.45E-2</v>
      </c>
      <c r="BS618" s="1">
        <f>INDEX(Input!$1:$1048576,BS$93,$C618*2+6)</f>
        <v>0.05</v>
      </c>
      <c r="BT618" s="1">
        <f>INDEX(Input!$1:$1048576,BT$93,$C618*2+6)</f>
        <v>0.05</v>
      </c>
      <c r="BU618" s="1">
        <f>INDEX(Input!$1:$1048576,BU$93,$C618*2+6)</f>
        <v>0.05</v>
      </c>
      <c r="BV618" s="1">
        <f>INDEX(Input!$1:$1048576,BV$93,$C618*2+6)</f>
        <v>5.5E-2</v>
      </c>
      <c r="BW618" s="1">
        <f>INDEX(Input!$1:$1048576,BW$93,$C618*2+6)</f>
        <v>0.06</v>
      </c>
      <c r="BX618" s="127">
        <f>INDEX(Input!$1:$1048576,BX$93,$C618*2+6)</f>
        <v>19985</v>
      </c>
      <c r="BY618" s="20">
        <f>INDEX(Input!$1:$1048576,BY$93,$C618*2+6)</f>
        <v>0.1</v>
      </c>
      <c r="BZ618" s="20">
        <f>INDEX(Input!$1:$1048576,BZ$93,$C618*2+6)</f>
        <v>0.1</v>
      </c>
      <c r="CA618" s="20">
        <f>INDEX(Input!$1:$1048576,CA$93,$C618*2+6)</f>
        <v>0.1</v>
      </c>
      <c r="CB618" s="20">
        <f>INDEX(Input!$1:$1048576,CB$93,$C618*2+6)</f>
        <v>0.1</v>
      </c>
      <c r="CC618" s="20">
        <f>INDEX(Input!$1:$1048576,CC$93,$C618*2+6)</f>
        <v>0.1</v>
      </c>
      <c r="CD618" s="384">
        <f>INDEX(Input!$1:$1048576,CD$93,$C618*2+6)</f>
        <v>0.1</v>
      </c>
      <c r="CE618" s="384">
        <f>INDEX(Input!$1:$1048576,CE$93,$C618*2+6)</f>
        <v>0.1</v>
      </c>
      <c r="CF618" s="384">
        <f>INDEX(Input!$1:$1048576,CF$93,$C618*2+6)</f>
        <v>0.1</v>
      </c>
      <c r="CG618" s="384">
        <f>INDEX(Input!$1:$1048576,CG$93,$C618*2+6)</f>
        <v>0.1</v>
      </c>
      <c r="CH618" s="384">
        <f>INDEX(Input!$1:$1048576,CH$93,$C618*2+6)</f>
        <v>0.1</v>
      </c>
      <c r="CI618" s="304">
        <f t="shared" si="1718"/>
        <v>1267.2644913000609</v>
      </c>
      <c r="CJ618" s="16" t="str">
        <f>INDEX(Input!$1:$1048576,CJ$93,$C618*2+6)</f>
        <v>N</v>
      </c>
      <c r="CK618" s="1" t="str">
        <f t="shared" si="1719"/>
        <v>Market</v>
      </c>
      <c r="CL618" s="1" t="str">
        <f t="shared" si="1720"/>
        <v>Market</v>
      </c>
      <c r="CM618" s="1" t="str">
        <f t="shared" si="1721"/>
        <v>Market</v>
      </c>
      <c r="CN618" s="1" t="str">
        <f t="shared" si="1722"/>
        <v>Market</v>
      </c>
      <c r="CO618" s="1" t="str">
        <f t="shared" si="1723"/>
        <v>Market</v>
      </c>
      <c r="CP618" s="304">
        <f t="shared" si="1724"/>
        <v>500</v>
      </c>
      <c r="CQ618" s="1">
        <f t="shared" si="1725"/>
        <v>0</v>
      </c>
      <c r="CR618" s="1">
        <f t="shared" si="1726"/>
        <v>0</v>
      </c>
      <c r="CS618" s="1">
        <f t="shared" si="1727"/>
        <v>0</v>
      </c>
      <c r="CT618" s="1">
        <f t="shared" si="1728"/>
        <v>1.9E-2</v>
      </c>
      <c r="CU618" s="1">
        <f t="shared" si="1729"/>
        <v>3.9E-2</v>
      </c>
      <c r="CV618" s="304">
        <f t="shared" si="1730"/>
        <v>1457.993676354025</v>
      </c>
      <c r="CW618" s="20" t="s">
        <v>122</v>
      </c>
      <c r="CX618" s="20" t="s">
        <v>122</v>
      </c>
      <c r="CY618" s="20" t="s">
        <v>122</v>
      </c>
      <c r="CZ618" s="20" t="s">
        <v>122</v>
      </c>
      <c r="DA618" s="20" t="s">
        <v>122</v>
      </c>
      <c r="DB618" s="503">
        <f t="shared" si="1731"/>
        <v>0</v>
      </c>
      <c r="DC618" s="127">
        <v>0</v>
      </c>
      <c r="DD618" s="127">
        <v>0</v>
      </c>
      <c r="DE618" s="127">
        <v>0</v>
      </c>
      <c r="DF618" s="127">
        <v>0</v>
      </c>
      <c r="DG618" s="127">
        <v>0</v>
      </c>
      <c r="DH618" s="127">
        <v>0</v>
      </c>
      <c r="DI618" s="127">
        <v>0</v>
      </c>
      <c r="DJ618" s="127">
        <v>0</v>
      </c>
      <c r="DK618" s="127">
        <v>0</v>
      </c>
      <c r="DL618" s="127">
        <v>0</v>
      </c>
      <c r="DM618" s="304">
        <f>INDEX(Input!$1:$1048576,DM$93,$C618*2+6)</f>
        <v>21036.84210526316</v>
      </c>
      <c r="DN618" s="20">
        <v>0</v>
      </c>
      <c r="DO618" s="20">
        <v>0</v>
      </c>
      <c r="DP618" s="20">
        <v>0</v>
      </c>
      <c r="DQ618" s="20">
        <v>0</v>
      </c>
      <c r="DR618" s="20">
        <v>0</v>
      </c>
      <c r="DS618" s="20">
        <f>INDEX(Input!$1:$1048576,DS$93,$C618*2+6)</f>
        <v>0.6</v>
      </c>
      <c r="DT618" s="20">
        <f>INDEX(Input!$1:$1048576,DT$93,$C618*2+6)</f>
        <v>0.55000000000000004</v>
      </c>
      <c r="DU618" s="20">
        <f>INDEX(Input!$1:$1048576,DU$93,$C618*2+6)</f>
        <v>0.52</v>
      </c>
      <c r="DV618" s="20">
        <f>INDEX(Input!$1:$1048576,DV$93,$C618*2+6)</f>
        <v>0.5</v>
      </c>
      <c r="DW618" s="20">
        <f>INDEX(Input!$1:$1048576,DW$93,$C618*2+6)</f>
        <v>0.45</v>
      </c>
      <c r="DX618" s="20"/>
      <c r="DY618" s="7"/>
      <c r="DZ618" s="7"/>
      <c r="EA618" s="7"/>
      <c r="EB618" s="7"/>
      <c r="EC618" s="7"/>
      <c r="ED618" s="7"/>
      <c r="EE618" s="7"/>
      <c r="EF618" s="7"/>
      <c r="EG618" s="7"/>
      <c r="EH618" s="7"/>
      <c r="EI618" s="7"/>
      <c r="EJ618" s="7"/>
      <c r="EK618" s="7"/>
      <c r="EL618" s="7"/>
      <c r="EM618" s="7"/>
      <c r="EN618" s="7"/>
      <c r="EO618" s="7"/>
      <c r="EP618" s="7"/>
      <c r="EQ618" s="7"/>
      <c r="ER618" s="7"/>
      <c r="ES618" s="7"/>
      <c r="ET618" s="7"/>
      <c r="EU618" s="6"/>
      <c r="EV618" s="6"/>
      <c r="EW618" s="6"/>
      <c r="EX618" s="6"/>
      <c r="EY618" s="6"/>
      <c r="EZ618" s="6"/>
      <c r="FA618" s="6"/>
      <c r="FB618" s="6"/>
      <c r="FC618" s="6"/>
      <c r="FD618" s="6"/>
      <c r="FE618" s="6"/>
      <c r="FF618" s="6"/>
      <c r="FG618" s="6"/>
      <c r="FH618" s="6"/>
      <c r="FI618" s="6"/>
      <c r="FJ618" s="6"/>
      <c r="FK618" s="6"/>
      <c r="FL618" s="6"/>
      <c r="FM618" s="6"/>
      <c r="FN618" s="6"/>
      <c r="FO618" s="6"/>
      <c r="FP618" s="6"/>
      <c r="FQ618" s="6"/>
      <c r="FR618" s="6"/>
      <c r="FS618" s="6"/>
      <c r="FT618" s="7"/>
      <c r="FU618" s="7"/>
      <c r="FV618" s="7"/>
      <c r="FW618" s="6"/>
      <c r="FX618" s="6"/>
      <c r="FY618" s="6"/>
      <c r="FZ618" s="6"/>
      <c r="GA618" s="6"/>
      <c r="GB618" s="6"/>
      <c r="GC618" s="7"/>
      <c r="GD618" s="7"/>
      <c r="GE618" s="7"/>
      <c r="GF618" s="7"/>
      <c r="GG618" s="7"/>
      <c r="GH618" s="42"/>
      <c r="GI618" s="6"/>
      <c r="GJ618" s="14"/>
      <c r="GK618" s="14"/>
      <c r="GL618" s="14"/>
      <c r="GM618" s="14"/>
      <c r="GO618" s="5"/>
      <c r="GP618" s="5"/>
      <c r="GQ618" s="5"/>
      <c r="GR618" s="5"/>
      <c r="GS618" s="5"/>
      <c r="GT618" s="5"/>
      <c r="GU618" s="5"/>
      <c r="GV618" s="39"/>
      <c r="GW618" s="5"/>
      <c r="GX618" s="5"/>
      <c r="GY618" s="5"/>
      <c r="GZ618" s="5"/>
      <c r="HA618" s="5"/>
      <c r="HB618" s="39"/>
      <c r="HC618" s="5"/>
      <c r="HD618" s="5"/>
      <c r="HE618" s="5"/>
      <c r="HF618" s="5"/>
      <c r="HG618" s="5"/>
      <c r="HH618" s="39"/>
      <c r="HI618" s="16"/>
      <c r="HJ618" s="19"/>
      <c r="HK618" s="1"/>
      <c r="HL618" s="16"/>
      <c r="HM618" s="639">
        <f t="shared" si="1755"/>
        <v>2.3149872625708352E-2</v>
      </c>
      <c r="HN618" s="639">
        <f t="shared" si="1756"/>
        <v>1.3965040474190958E-3</v>
      </c>
      <c r="HO618" s="639">
        <f t="shared" si="1757"/>
        <v>3.5429561340050734E-3</v>
      </c>
      <c r="HP618" s="644">
        <f t="shared" ref="HP618:ID618" si="1846">HP118+HP218+HP318+HP418+HP518</f>
        <v>-131.57534006063761</v>
      </c>
      <c r="HQ618" s="644">
        <f t="shared" si="1846"/>
        <v>-12.17433730431101</v>
      </c>
      <c r="HR618" s="644">
        <f t="shared" si="1846"/>
        <v>370.52224678150924</v>
      </c>
      <c r="HS618" s="644">
        <f t="shared" si="1846"/>
        <v>-60.102959526859266</v>
      </c>
      <c r="HT618" s="644">
        <f t="shared" si="1846"/>
        <v>70.500818772830513</v>
      </c>
      <c r="HU618" s="644">
        <f t="shared" si="1846"/>
        <v>70.830808528589543</v>
      </c>
      <c r="HV618" s="644">
        <f t="shared" si="1846"/>
        <v>0</v>
      </c>
      <c r="HW618" s="644">
        <f t="shared" si="1846"/>
        <v>0</v>
      </c>
      <c r="HX618" s="644">
        <f t="shared" si="1846"/>
        <v>0</v>
      </c>
      <c r="HY618" s="644">
        <f t="shared" si="1846"/>
        <v>2396</v>
      </c>
      <c r="HZ618" s="644">
        <f t="shared" si="1846"/>
        <v>3223</v>
      </c>
      <c r="IA618" s="644">
        <f t="shared" si="1846"/>
        <v>830</v>
      </c>
      <c r="IB618" s="644">
        <f t="shared" si="1846"/>
        <v>2204.3217004125036</v>
      </c>
      <c r="IC618" s="644">
        <f t="shared" si="1846"/>
        <v>3281.3264814685194</v>
      </c>
      <c r="ID618" s="644">
        <f t="shared" si="1846"/>
        <v>1271.3530553100986</v>
      </c>
      <c r="IE618" s="20">
        <f t="shared" si="1759"/>
        <v>0.32622780772626259</v>
      </c>
      <c r="IF618" s="20">
        <f t="shared" si="1760"/>
        <v>0.48561874806353644</v>
      </c>
      <c r="IG618" s="20">
        <f t="shared" si="1761"/>
        <v>0.18815344421020097</v>
      </c>
      <c r="IH618" s="21"/>
      <c r="II618" s="19"/>
      <c r="IJ618" s="19"/>
      <c r="IK618" s="19"/>
      <c r="IL618" s="19">
        <f t="shared" si="1762"/>
        <v>188.36117879915787</v>
      </c>
      <c r="IM618" s="19">
        <f t="shared" si="1763"/>
        <v>176.35997311069241</v>
      </c>
      <c r="IN618" s="19">
        <f t="shared" si="1764"/>
        <v>829.03332885925192</v>
      </c>
      <c r="IO618" s="39"/>
      <c r="IP618" s="39"/>
      <c r="IQ618" s="39"/>
      <c r="IR618" s="39"/>
      <c r="IS618" s="39"/>
      <c r="IT618" s="39"/>
      <c r="IU618" s="39"/>
      <c r="IV618" s="39"/>
      <c r="IW618" s="39"/>
      <c r="IX618" s="19">
        <f t="shared" si="1765"/>
        <v>1554.1790484140233</v>
      </c>
      <c r="IY618" s="19">
        <f t="shared" si="1766"/>
        <v>2412.3001201524512</v>
      </c>
      <c r="IZ618" s="19">
        <f t="shared" si="1767"/>
        <v>3993.0862952928574</v>
      </c>
      <c r="JA618" s="19">
        <f t="shared" ref="JA618:JC618" si="1847">IFERROR((JA118*IB118+JA218*IB218+JA318*IB318+JA418*IB418+JA518*IB518)/IB618,0)</f>
        <v>1742.5402272131812</v>
      </c>
      <c r="JB618" s="19">
        <f t="shared" si="1847"/>
        <v>2588.6600932631436</v>
      </c>
      <c r="JC618" s="19">
        <f t="shared" si="1847"/>
        <v>4822.1196241521093</v>
      </c>
      <c r="JD618" s="19">
        <f t="shared" si="1769"/>
        <v>2732.8653675288842</v>
      </c>
      <c r="JE618" s="21"/>
      <c r="JF618" s="1">
        <f t="shared" si="1770"/>
        <v>2.6651855648468406E-2</v>
      </c>
      <c r="JG618" s="15">
        <f t="shared" si="1771"/>
        <v>6449</v>
      </c>
      <c r="JH618" s="1">
        <f t="shared" si="1772"/>
        <v>3.5163989675385421E-2</v>
      </c>
      <c r="JI618" s="1">
        <f t="shared" si="1773"/>
        <v>1.2595544700660689E-2</v>
      </c>
      <c r="JJ618" s="1">
        <f t="shared" si="1774"/>
        <v>0</v>
      </c>
      <c r="JK618" s="1">
        <f t="shared" si="1775"/>
        <v>4.7759534376046124E-2</v>
      </c>
      <c r="JL618" s="15">
        <f t="shared" ref="JL618:JM618" si="1848">JL118+JL218+JL318+JL418+JL518</f>
        <v>308.00123719112145</v>
      </c>
      <c r="JM618" s="15">
        <f t="shared" si="1848"/>
        <v>6757.0012371911225</v>
      </c>
      <c r="JN618" s="21"/>
      <c r="JO618" s="19">
        <f>INDEX(Input!$1:$1048576,JO$93,$C618*2+6)</f>
        <v>5995.5</v>
      </c>
      <c r="JP618" s="19">
        <f>INDEX(Input!$1:$1048576,JP$93,$C618*2+6)</f>
        <v>2296.6050414551746</v>
      </c>
      <c r="JQ618" s="39">
        <f t="shared" si="1799"/>
        <v>3262.6346324711158</v>
      </c>
      <c r="JR618" s="39">
        <f t="shared" si="1800"/>
        <v>436.26032607370962</v>
      </c>
      <c r="JS618" s="39">
        <f t="shared" si="1801"/>
        <v>18.465974669469443</v>
      </c>
      <c r="JT618" s="39">
        <f t="shared" si="1802"/>
        <v>3.655168757125022</v>
      </c>
      <c r="JU618" s="385">
        <f>(JQ618*JM618-INDEX(Input!$1:$1048576,Input!A$18,$C618*2+6)*JL618*INDEX(Input!$1:$1048576,Input!A$19,$C618*2+6))/1000000</f>
        <v>22.045626248109933</v>
      </c>
      <c r="JV618" s="39">
        <f t="shared" si="1803"/>
        <v>-1.808547339545644</v>
      </c>
      <c r="JW618" s="1">
        <f t="shared" si="1804"/>
        <v>-7.5816809704175148E-2</v>
      </c>
      <c r="JX618" s="19">
        <f t="shared" si="1805"/>
        <v>11867.383360076929</v>
      </c>
      <c r="JZ618" s="341"/>
      <c r="KA618" s="60"/>
      <c r="KB618" s="469">
        <f t="shared" si="1778"/>
        <v>0</v>
      </c>
      <c r="KI618" s="472"/>
      <c r="KJ618" s="472"/>
      <c r="KK618" s="472"/>
      <c r="KN618" s="793">
        <f t="shared" si="1779"/>
        <v>6002</v>
      </c>
      <c r="KO618" s="541">
        <f t="shared" si="1780"/>
        <v>2.3743312896564728E-2</v>
      </c>
      <c r="KP618" s="546">
        <f t="shared" si="1781"/>
        <v>144.34462676450306</v>
      </c>
      <c r="KQ618" s="546">
        <f t="shared" si="1782"/>
        <v>270.03211092373931</v>
      </c>
      <c r="KR618" s="472">
        <f t="shared" si="1783"/>
        <v>2.882229127191279</v>
      </c>
      <c r="KS618" s="472">
        <f t="shared" si="1784"/>
        <v>1.5406844993027451</v>
      </c>
      <c r="KT618" s="473">
        <f t="shared" si="1795"/>
        <v>4286.2445668946921</v>
      </c>
      <c r="KU618" s="663">
        <f t="shared" si="1785"/>
        <v>4.2154194873922197</v>
      </c>
      <c r="KV618" s="117"/>
    </row>
    <row r="619" spans="1:308" s="26" customFormat="1" ht="15">
      <c r="A619" s="561">
        <f t="shared" si="1751"/>
        <v>6019</v>
      </c>
      <c r="B619" s="561">
        <f t="shared" si="1786"/>
        <v>19</v>
      </c>
      <c r="C619" s="561">
        <f t="shared" si="1787"/>
        <v>6</v>
      </c>
      <c r="D619" s="765" t="str">
        <f>"Plan A: "&amp;IF(E619=INDEX(E:E,MATCH(C619*1000+2,A:A,0)),"",E619-INDEX(E:E,MATCH(C619*1000+2,A:A,0))&amp;E$100&amp;", ")
&amp;IF(F619=INDEX(F:F,MATCH(C619*1000+2,A:A,0)),"",F619-INDEX(F:F,MATCH(C619*1000+2,A:A,0))&amp;F$100&amp;", ")
&amp;IF(AM619=INDEX(AM:AM,MATCH(C619*1000+2,A:A,0)),"",AM619&amp;AM$100&amp;", ")
&amp;IF(AP619=INDEX(AP:AP,MATCH(C619*1000+2,A:A,0)),"",AP619&amp;AP$100&amp;", ")
&amp;IF(Q619=INDEX(Q:Q,MATCH(C619*1000+2,A:A,0)),"",Q619-INDEX(Q:Q,MATCH(C619*1000+2,A:A,0))&amp;Q$100&amp;", ")
&amp;IF(Y619=INDEX(Y:Y,MATCH(C619*1000+2,A:A,0)),"",Y619-INDEX(Y:Y,MATCH(C619*1000+2,A:A,0))&amp;Y$100&amp;", ")
&amp;IF(Z619=INDEX(Z:Z,MATCH(C619*1000+2,A:A,0)),"",Z619-INDEX(Z:Z,MATCH(C619*1000+2,A:A,0))&amp;Z$100&amp;", ")
&amp;IF(AA619=INDEX(AA:AA,MATCH(C619*1000+2,A:A,0)),"",AA619-INDEX(AA:AA,MATCH(C619*1000+2,A:A,0))&amp;AA$100&amp;", ")
&amp;IF(AC619=INDEX(AC:AC,MATCH(C619*1000+2,A:A,0)),"",AC619-INDEX(AC:AC,MATCH(C619*1000+2,A:A,0))&amp;AC$100&amp;", ")
&amp;IF(AE619=INDEX(AE:AE,MATCH(C619*1000+2,A:A,0)),"",AE619-INDEX(AE:AE,MATCH(C619*1000+2,A:A,0))&amp;AE$100&amp;", ")
&amp;IF(AG619=INDEX(AG:AG,MATCH(C619*1000+2,A:A,0)),"",AG619-INDEX(AG:AG,MATCH(C619*1000+2,A:A,0))&amp;AG$100&amp;", ")
&amp;IF(AI619=INDEX(AI:AI,MATCH(C619*1000+2,A:A,0)),"",AI619-INDEX(AI:AI,MATCH(C619*1000+2,A:A,0))&amp;AI$100&amp;", ")</f>
        <v xml:space="preserve">Plan A: 500 KMF BC, 500 (M5), </v>
      </c>
      <c r="E619" s="475">
        <f>INDEX(Input!$1:$1048576,E$93,$C619*2+MIN($B619,2)+5)</f>
        <v>1267.2644913000609</v>
      </c>
      <c r="F619" s="475">
        <f>INDEX(Input!$1:$1048576,F$93,$C619*2+MIN($B619,2)+5)</f>
        <v>0</v>
      </c>
      <c r="G619" s="475">
        <f>INDEX(Input!$1:$1048576,G$93,$C619*2+MIN($B619,2)+5)</f>
        <v>0</v>
      </c>
      <c r="H619" s="475">
        <f>INDEX(Input!$1:$1048576,H$93,$C619*2+MIN($B619,2)+5)</f>
        <v>0</v>
      </c>
      <c r="I619" s="476">
        <f>INDEX(Input!$1:$1048576,I$93,$C619*2+MIN($B619,2)+5)</f>
        <v>0.7</v>
      </c>
      <c r="J619" s="476" t="str">
        <f>INDEX(Input!$1:$1048576,J$93,$C619*2+MIN($B619,2)+5)</f>
        <v>Market</v>
      </c>
      <c r="K619" s="476" t="str">
        <f>INDEX(Input!$1:$1048576,K$93,$C619*2+MIN($B619,2)+5)</f>
        <v>Market</v>
      </c>
      <c r="L619" s="476" t="str">
        <f>INDEX(Input!$1:$1048576,L$93,$C619*2+MIN($B619,2)+5)</f>
        <v>Market</v>
      </c>
      <c r="M619" s="476" t="str">
        <f>INDEX(Input!$1:$1048576,M$93,$C619*2+MIN($B619,2)+5)</f>
        <v>Market</v>
      </c>
      <c r="N619" s="476" t="str">
        <f>INDEX(Input!$1:$1048576,N$93,$C619*2+MIN($B619,2)+5)</f>
        <v>Market</v>
      </c>
      <c r="O619" s="476" t="str">
        <f>INDEX(Input!$1:$1048576,O$93,$C619*2+MIN($B619,2)+5)</f>
        <v>Market</v>
      </c>
      <c r="P619" s="476" t="str">
        <f>INDEX(Input!$1:$1048576,P$93,$C619*2+MIN($B619,2)+5)</f>
        <v>N</v>
      </c>
      <c r="Q619" s="477">
        <f>INDEX(Input!$1:$1048576,Q$93,$C619*2+MIN($B619,2)+5)</f>
        <v>0</v>
      </c>
      <c r="R619" s="478">
        <f>IFERROR(MAX(0,INDEX(Input!$1:$1048576,R$93,$C619*2+MIN($B619,2)+5)-0%,),"Market")</f>
        <v>0</v>
      </c>
      <c r="S619" s="478">
        <f>IFERROR(MAX(0,INDEX(Input!$1:$1048576,S$93,$C619*2+MIN($B619,2)+5)-0%,),"Market")</f>
        <v>0</v>
      </c>
      <c r="T619" s="478">
        <f>IFERROR(MAX(0,INDEX(Input!$1:$1048576,T$93,$C619*2+MIN($B619,2)+5)-0%,),"Market")</f>
        <v>0</v>
      </c>
      <c r="U619" s="478">
        <f>IFERROR(MAX(0,INDEX(Input!$1:$1048576,U$93,$C619*2+MIN($B619,2)+5)-0%,),"Market")</f>
        <v>0</v>
      </c>
      <c r="V619" s="478">
        <f>IFERROR(MAX(0,INDEX(Input!$1:$1048576,V$93,$C619*2+MIN($B619,2)+5)-0%,),"Market")</f>
        <v>1.9E-2</v>
      </c>
      <c r="W619" s="885">
        <f>IFERROR(MAX(0,INDEX(Input!$1:$1048576,W$93,$C619*2+MIN($B619,2)+5)-0%,),"Market")</f>
        <v>3.9E-2</v>
      </c>
      <c r="X619" s="476" t="str">
        <f>INDEX(Input!$1:$1048576,X$93,$C619*2+MIN($B619,2)+5)</f>
        <v>Y</v>
      </c>
      <c r="Y619" s="475">
        <f>INDEX(Input!$1:$1048576,Y$93,$C619*2+MIN($B619,2)+5)</f>
        <v>737.99367635402496</v>
      </c>
      <c r="Z619" s="477">
        <f>INDEX(Input!$1:$1048576,Z$93,$C619*2+MIN($B619,2)+5)</f>
        <v>0</v>
      </c>
      <c r="AA619" s="475">
        <f>INDEX(Input!$1:$1048576,AA$93,$C619*2+MIN($B619,2)+5)</f>
        <v>0</v>
      </c>
      <c r="AB619" s="476">
        <f>INDEX(Input!$1:$1048576,AB$93,$C619*2+MIN($B619,2)+5)</f>
        <v>0.27</v>
      </c>
      <c r="AC619" s="475">
        <f>INDEX(Input!$1:$1048576,AC$93,$C619*2+MIN($B619,2)+5)</f>
        <v>0</v>
      </c>
      <c r="AD619" s="476">
        <f>INDEX(Input!$1:$1048576,AD$93,$C619*2+MIN($B619,2)+5)</f>
        <v>0.27</v>
      </c>
      <c r="AE619" s="475">
        <f>INDEX(Input!$1:$1048576,AE$93,$C619*2+MIN($B619,2)+5)</f>
        <v>0</v>
      </c>
      <c r="AF619" s="476">
        <f>INDEX(Input!$1:$1048576,AF$93,$C619*2+MIN($B619,2)+5)</f>
        <v>1</v>
      </c>
      <c r="AG619" s="475">
        <f>INDEX(Input!$1:$1048576,AG$93,$C619*2+MIN($B619,2)+5)+500</f>
        <v>1000</v>
      </c>
      <c r="AH619" s="476">
        <f>INDEX(Input!$1:$1048576,AH$93,$C619*2+MIN($B619,2)+5)</f>
        <v>1</v>
      </c>
      <c r="AI619" s="475">
        <f>INDEX(Input!$1:$1048576,AI$93,$C619*2+MIN($B619,2)+5)+500</f>
        <v>500</v>
      </c>
      <c r="AJ619" s="476">
        <f>INDEX(Input!$1:$1048576,AJ$93,$C619*2+MIN($B619,2)+5)</f>
        <v>0.27</v>
      </c>
      <c r="AK619" s="150">
        <f>ROUND(INDEX(Input!$1:$1048576,AK$93,$C618*2+MIN($B619,1)+5)+(Y619-VLOOKUP($C619*1000+1,$A:$HH,Y$92,FALSE)),0)</f>
        <v>3061</v>
      </c>
      <c r="AL619" s="150">
        <f>ROUND(INDEX(Input!$1:$1048576,AL$93,$C618*2+MIN($B619,1)+5)-(Y619-VLOOKUP($C619*1000+1,$A:$HH,Y$92,FALSE))/36,0)</f>
        <v>3552</v>
      </c>
      <c r="AM619" s="32" t="str">
        <f t="shared" si="1752"/>
        <v>std/std/std/std</v>
      </c>
      <c r="AN619" s="32" t="str">
        <f t="shared" si="1753"/>
        <v>$0 + 0/0/0/1.9/3.9</v>
      </c>
      <c r="AO619" s="32" t="str">
        <f t="shared" si="1754"/>
        <v>0/0/0/1.9/3.9</v>
      </c>
      <c r="AP619" s="32" t="str">
        <f t="shared" si="1716"/>
        <v>0/0.9/1.9/3.9</v>
      </c>
      <c r="AQ619" s="536">
        <f t="shared" si="1717"/>
        <v>500.36700758664017</v>
      </c>
      <c r="AR619" s="32"/>
      <c r="AS619" s="302"/>
      <c r="AT619" s="3">
        <f t="shared" si="1788"/>
        <v>19</v>
      </c>
      <c r="AU619" s="41" t="s">
        <v>121</v>
      </c>
      <c r="AV619" s="41" t="s">
        <v>116</v>
      </c>
      <c r="AW619" s="41" t="str">
        <f>INDEX(Input!$1:$1048576,AW$93,$C619*2+6)</f>
        <v>Kia</v>
      </c>
      <c r="AX619" s="41" t="str">
        <f>INDEX(Input!$1:$1048576,AX$93,$C619*2+6)</f>
        <v>National</v>
      </c>
      <c r="AY619" s="41" t="str">
        <f>IF(LEN(D619)=0,"",INDEX(Input!$1:$1048576,AY$93,$C619*2+6))</f>
        <v>Compact SUV (52)</v>
      </c>
      <c r="AZ619" s="41" t="str">
        <f>INDEX(Input!$1:$1048576,AZ$93,$C619*2+6)</f>
        <v>Kia Soul</v>
      </c>
      <c r="BA619" s="3">
        <f>INDEX(Input!$1:$1048576,BA$93,$C619*2+6)</f>
        <v>2020</v>
      </c>
      <c r="BB619" s="128">
        <f>INDEX(Input!$1:$1048576,BB$93,$C619*2+6)</f>
        <v>1</v>
      </c>
      <c r="BC619" s="128">
        <f>INDEX(Input!$1:$1048576,BC$93,$C619*2+6)</f>
        <v>0.7</v>
      </c>
      <c r="BD619" s="1">
        <f>INDEX(Input!$1:$1048576,BD$93,$C619*2+6)</f>
        <v>4.4999999999999998E-2</v>
      </c>
      <c r="BE619" s="1">
        <f>INDEX(Input!$1:$1048576,BE$93,$C619*2+6)</f>
        <v>4.4999999999999998E-2</v>
      </c>
      <c r="BF619" s="1">
        <f>INDEX(Input!$1:$1048576,BF$93,$C619*2+6)</f>
        <v>0.05</v>
      </c>
      <c r="BG619" s="1">
        <f>INDEX(Input!$1:$1048576,BG$93,$C619*2+6)</f>
        <v>5.45E-2</v>
      </c>
      <c r="BH619" s="1">
        <f>INDEX(Input!$1:$1048576,BH$93,$C619*2+6)</f>
        <v>5.45E-2</v>
      </c>
      <c r="BI619" s="1">
        <f>INDEX(Input!$1:$1048576,BI$93,$C619*2+6)</f>
        <v>0.05</v>
      </c>
      <c r="BJ619" s="1">
        <f>INDEX(Input!$1:$1048576,BJ$93,$C619*2+6)</f>
        <v>0.05</v>
      </c>
      <c r="BK619" s="1">
        <f>INDEX(Input!$1:$1048576,BK$93,$C619*2+6)</f>
        <v>0.05</v>
      </c>
      <c r="BL619" s="1">
        <f>INDEX(Input!$1:$1048576,BL$93,$C619*2+6)</f>
        <v>5.5E-2</v>
      </c>
      <c r="BM619" s="1">
        <f>INDEX(Input!$1:$1048576,BM$93,$C619*2+6)</f>
        <v>0.06</v>
      </c>
      <c r="BN619" s="1">
        <f>INDEX(Input!$1:$1048576,BN$93,$C619*2+6)</f>
        <v>4.4999999999999998E-2</v>
      </c>
      <c r="BO619" s="1">
        <f>INDEX(Input!$1:$1048576,BO$93,$C619*2+6)</f>
        <v>4.4999999999999998E-2</v>
      </c>
      <c r="BP619" s="1">
        <f>INDEX(Input!$1:$1048576,BP$93,$C619*2+6)</f>
        <v>0.05</v>
      </c>
      <c r="BQ619" s="1">
        <f>INDEX(Input!$1:$1048576,BQ$93,$C619*2+6)</f>
        <v>5.45E-2</v>
      </c>
      <c r="BR619" s="1">
        <f>INDEX(Input!$1:$1048576,BR$93,$C619*2+6)</f>
        <v>5.45E-2</v>
      </c>
      <c r="BS619" s="1">
        <f>INDEX(Input!$1:$1048576,BS$93,$C619*2+6)</f>
        <v>0.05</v>
      </c>
      <c r="BT619" s="1">
        <f>INDEX(Input!$1:$1048576,BT$93,$C619*2+6)</f>
        <v>0.05</v>
      </c>
      <c r="BU619" s="1">
        <f>INDEX(Input!$1:$1048576,BU$93,$C619*2+6)</f>
        <v>0.05</v>
      </c>
      <c r="BV619" s="1">
        <f>INDEX(Input!$1:$1048576,BV$93,$C619*2+6)</f>
        <v>5.5E-2</v>
      </c>
      <c r="BW619" s="1">
        <f>INDEX(Input!$1:$1048576,BW$93,$C619*2+6)</f>
        <v>0.06</v>
      </c>
      <c r="BX619" s="127">
        <f>INDEX(Input!$1:$1048576,BX$93,$C619*2+6)</f>
        <v>19985</v>
      </c>
      <c r="BY619" s="20">
        <f>INDEX(Input!$1:$1048576,BY$93,$C619*2+6)</f>
        <v>0.1</v>
      </c>
      <c r="BZ619" s="20">
        <f>INDEX(Input!$1:$1048576,BZ$93,$C619*2+6)</f>
        <v>0.1</v>
      </c>
      <c r="CA619" s="20">
        <f>INDEX(Input!$1:$1048576,CA$93,$C619*2+6)</f>
        <v>0.1</v>
      </c>
      <c r="CB619" s="20">
        <f>INDEX(Input!$1:$1048576,CB$93,$C619*2+6)</f>
        <v>0.1</v>
      </c>
      <c r="CC619" s="20">
        <f>INDEX(Input!$1:$1048576,CC$93,$C619*2+6)</f>
        <v>0.1</v>
      </c>
      <c r="CD619" s="384">
        <f>INDEX(Input!$1:$1048576,CD$93,$C619*2+6)</f>
        <v>0.1</v>
      </c>
      <c r="CE619" s="384">
        <f>INDEX(Input!$1:$1048576,CE$93,$C619*2+6)</f>
        <v>0.1</v>
      </c>
      <c r="CF619" s="384">
        <f>INDEX(Input!$1:$1048576,CF$93,$C619*2+6)</f>
        <v>0.1</v>
      </c>
      <c r="CG619" s="384">
        <f>INDEX(Input!$1:$1048576,CG$93,$C619*2+6)</f>
        <v>0.1</v>
      </c>
      <c r="CH619" s="384">
        <f>INDEX(Input!$1:$1048576,CH$93,$C619*2+6)</f>
        <v>0.1</v>
      </c>
      <c r="CI619" s="304">
        <f t="shared" si="1718"/>
        <v>1267.2644913000609</v>
      </c>
      <c r="CJ619" s="16" t="str">
        <f>INDEX(Input!$1:$1048576,CJ$93,$C619*2+6)</f>
        <v>N</v>
      </c>
      <c r="CK619" s="1" t="str">
        <f t="shared" si="1719"/>
        <v>Market</v>
      </c>
      <c r="CL619" s="1" t="str">
        <f t="shared" si="1720"/>
        <v>Market</v>
      </c>
      <c r="CM619" s="1" t="str">
        <f t="shared" si="1721"/>
        <v>Market</v>
      </c>
      <c r="CN619" s="1" t="str">
        <f t="shared" si="1722"/>
        <v>Market</v>
      </c>
      <c r="CO619" s="1" t="str">
        <f t="shared" si="1723"/>
        <v>Market</v>
      </c>
      <c r="CP619" s="304">
        <f t="shared" si="1724"/>
        <v>1000</v>
      </c>
      <c r="CQ619" s="1">
        <f t="shared" si="1725"/>
        <v>0</v>
      </c>
      <c r="CR619" s="1">
        <f t="shared" si="1726"/>
        <v>0</v>
      </c>
      <c r="CS619" s="1">
        <f t="shared" si="1727"/>
        <v>0</v>
      </c>
      <c r="CT619" s="1">
        <f t="shared" si="1728"/>
        <v>1.9E-2</v>
      </c>
      <c r="CU619" s="1">
        <f t="shared" si="1729"/>
        <v>3.9E-2</v>
      </c>
      <c r="CV619" s="304">
        <f t="shared" si="1730"/>
        <v>737.99367635402496</v>
      </c>
      <c r="CW619" s="20" t="s">
        <v>122</v>
      </c>
      <c r="CX619" s="20" t="s">
        <v>122</v>
      </c>
      <c r="CY619" s="20" t="s">
        <v>122</v>
      </c>
      <c r="CZ619" s="20" t="s">
        <v>122</v>
      </c>
      <c r="DA619" s="20" t="s">
        <v>122</v>
      </c>
      <c r="DB619" s="503">
        <f t="shared" si="1731"/>
        <v>0</v>
      </c>
      <c r="DC619" s="127">
        <v>0</v>
      </c>
      <c r="DD619" s="127">
        <v>0</v>
      </c>
      <c r="DE619" s="127">
        <v>0</v>
      </c>
      <c r="DF619" s="127">
        <v>0</v>
      </c>
      <c r="DG619" s="127">
        <v>0</v>
      </c>
      <c r="DH619" s="127">
        <v>0</v>
      </c>
      <c r="DI619" s="127">
        <v>0</v>
      </c>
      <c r="DJ619" s="127">
        <v>0</v>
      </c>
      <c r="DK619" s="127">
        <v>0</v>
      </c>
      <c r="DL619" s="127">
        <v>0</v>
      </c>
      <c r="DM619" s="304">
        <f>INDEX(Input!$1:$1048576,DM$93,$C619*2+6)</f>
        <v>21036.84210526316</v>
      </c>
      <c r="DN619" s="20">
        <v>0</v>
      </c>
      <c r="DO619" s="20">
        <v>0</v>
      </c>
      <c r="DP619" s="20">
        <v>0</v>
      </c>
      <c r="DQ619" s="20">
        <v>0</v>
      </c>
      <c r="DR619" s="20">
        <v>0</v>
      </c>
      <c r="DS619" s="20">
        <f>INDEX(Input!$1:$1048576,DS$93,$C619*2+6)</f>
        <v>0.6</v>
      </c>
      <c r="DT619" s="20">
        <f>INDEX(Input!$1:$1048576,DT$93,$C619*2+6)</f>
        <v>0.55000000000000004</v>
      </c>
      <c r="DU619" s="20">
        <f>INDEX(Input!$1:$1048576,DU$93,$C619*2+6)</f>
        <v>0.52</v>
      </c>
      <c r="DV619" s="20">
        <f>INDEX(Input!$1:$1048576,DV$93,$C619*2+6)</f>
        <v>0.5</v>
      </c>
      <c r="DW619" s="20">
        <f>INDEX(Input!$1:$1048576,DW$93,$C619*2+6)</f>
        <v>0.45</v>
      </c>
      <c r="DX619" s="20"/>
      <c r="DY619" s="7"/>
      <c r="DZ619" s="7"/>
      <c r="EA619" s="7"/>
      <c r="EB619" s="7"/>
      <c r="EC619" s="7"/>
      <c r="ED619" s="7"/>
      <c r="EE619" s="7"/>
      <c r="EF619" s="7"/>
      <c r="EG619" s="7"/>
      <c r="EH619" s="7"/>
      <c r="EI619" s="7"/>
      <c r="EJ619" s="7"/>
      <c r="EK619" s="7"/>
      <c r="EL619" s="7"/>
      <c r="EM619" s="7"/>
      <c r="EN619" s="7"/>
      <c r="EO619" s="7"/>
      <c r="EP619" s="7"/>
      <c r="EQ619" s="7"/>
      <c r="ER619" s="7"/>
      <c r="ES619" s="7"/>
      <c r="ET619" s="7"/>
      <c r="EU619" s="6"/>
      <c r="EV619" s="6"/>
      <c r="EW619" s="6"/>
      <c r="EX619" s="6"/>
      <c r="EY619" s="6"/>
      <c r="EZ619" s="6"/>
      <c r="FA619" s="6"/>
      <c r="FB619" s="6"/>
      <c r="FC619" s="6"/>
      <c r="FD619" s="6"/>
      <c r="FE619" s="6"/>
      <c r="FF619" s="6"/>
      <c r="FG619" s="6"/>
      <c r="FH619" s="6"/>
      <c r="FI619" s="6"/>
      <c r="FJ619" s="6"/>
      <c r="FK619" s="6"/>
      <c r="FL619" s="6"/>
      <c r="FM619" s="6"/>
      <c r="FN619" s="6"/>
      <c r="FO619" s="6"/>
      <c r="FP619" s="6"/>
      <c r="FQ619" s="6"/>
      <c r="FR619" s="6"/>
      <c r="FS619" s="6"/>
      <c r="FT619" s="7"/>
      <c r="FU619" s="7"/>
      <c r="FV619" s="7"/>
      <c r="FW619" s="6"/>
      <c r="FX619" s="6"/>
      <c r="FY619" s="6"/>
      <c r="FZ619" s="6"/>
      <c r="GA619" s="6"/>
      <c r="GB619" s="6"/>
      <c r="GC619" s="7"/>
      <c r="GD619" s="7"/>
      <c r="GE619" s="7"/>
      <c r="GF619" s="7"/>
      <c r="GG619" s="7"/>
      <c r="GH619" s="42"/>
      <c r="GI619" s="6"/>
      <c r="GJ619" s="14"/>
      <c r="GK619" s="14"/>
      <c r="GL619" s="14"/>
      <c r="GM619" s="14"/>
      <c r="GO619" s="5"/>
      <c r="GP619" s="5"/>
      <c r="GQ619" s="5"/>
      <c r="GR619" s="5"/>
      <c r="GS619" s="5"/>
      <c r="GT619" s="5"/>
      <c r="GU619" s="5"/>
      <c r="GV619" s="39"/>
      <c r="GW619" s="5"/>
      <c r="GX619" s="5"/>
      <c r="GY619" s="5"/>
      <c r="GZ619" s="5"/>
      <c r="HA619" s="5"/>
      <c r="HB619" s="39"/>
      <c r="HC619" s="5"/>
      <c r="HD619" s="5"/>
      <c r="HE619" s="5"/>
      <c r="HF619" s="5"/>
      <c r="HG619" s="5"/>
      <c r="HH619" s="39"/>
      <c r="HI619" s="16"/>
      <c r="HJ619" s="19"/>
      <c r="HK619" s="1"/>
      <c r="HL619" s="16"/>
      <c r="HM619" s="639">
        <f t="shared" si="1755"/>
        <v>2.3149872625708352E-2</v>
      </c>
      <c r="HN619" s="639">
        <f t="shared" si="1756"/>
        <v>1.3965040474190958E-3</v>
      </c>
      <c r="HO619" s="639">
        <f t="shared" si="1757"/>
        <v>3.5429561340050734E-3</v>
      </c>
      <c r="HP619" s="644">
        <f t="shared" ref="HP619:ID619" si="1849">HP119+HP219+HP319+HP419+HP519</f>
        <v>-94.996101665787108</v>
      </c>
      <c r="HQ619" s="644">
        <f t="shared" si="1849"/>
        <v>-6.8331863464608515</v>
      </c>
      <c r="HR619" s="644">
        <f t="shared" si="1849"/>
        <v>31.366135820119904</v>
      </c>
      <c r="HS619" s="644">
        <f t="shared" si="1849"/>
        <v>35.766399668361586</v>
      </c>
      <c r="HT619" s="644">
        <f t="shared" si="1849"/>
        <v>-37.82454562055419</v>
      </c>
      <c r="HU619" s="644">
        <f t="shared" si="1849"/>
        <v>-9.3888021757579718</v>
      </c>
      <c r="HV619" s="644">
        <f t="shared" si="1849"/>
        <v>0</v>
      </c>
      <c r="HW619" s="644">
        <f t="shared" si="1849"/>
        <v>0</v>
      </c>
      <c r="HX619" s="644">
        <f t="shared" si="1849"/>
        <v>0</v>
      </c>
      <c r="HY619" s="644">
        <f t="shared" si="1849"/>
        <v>2396</v>
      </c>
      <c r="HZ619" s="644">
        <f t="shared" si="1849"/>
        <v>3223</v>
      </c>
      <c r="IA619" s="644">
        <f t="shared" si="1849"/>
        <v>830</v>
      </c>
      <c r="IB619" s="644">
        <f t="shared" si="1849"/>
        <v>2336.7702980025747</v>
      </c>
      <c r="IC619" s="644">
        <f t="shared" si="1849"/>
        <v>3178.342268032985</v>
      </c>
      <c r="ID619" s="644">
        <f t="shared" si="1849"/>
        <v>851.97733364436192</v>
      </c>
      <c r="IE619" s="20">
        <f t="shared" si="1759"/>
        <v>0.36700758664017702</v>
      </c>
      <c r="IF619" s="20">
        <f t="shared" si="1760"/>
        <v>0.49918287916631471</v>
      </c>
      <c r="IG619" s="20">
        <f t="shared" si="1761"/>
        <v>0.13380953419350833</v>
      </c>
      <c r="IH619" s="21"/>
      <c r="II619" s="19"/>
      <c r="IJ619" s="19"/>
      <c r="IK619" s="19"/>
      <c r="IL619" s="19">
        <f t="shared" si="1762"/>
        <v>-91.994255806645469</v>
      </c>
      <c r="IM619" s="19">
        <f t="shared" si="1763"/>
        <v>-94.221243662191227</v>
      </c>
      <c r="IN619" s="19">
        <f t="shared" si="1764"/>
        <v>-25.006641208497967</v>
      </c>
      <c r="IO619" s="39"/>
      <c r="IP619" s="39"/>
      <c r="IQ619" s="39"/>
      <c r="IR619" s="39"/>
      <c r="IS619" s="39"/>
      <c r="IT619" s="39"/>
      <c r="IU619" s="39"/>
      <c r="IV619" s="39"/>
      <c r="IW619" s="39"/>
      <c r="IX619" s="19">
        <f t="shared" si="1765"/>
        <v>1554.1790484140233</v>
      </c>
      <c r="IY619" s="19">
        <f t="shared" si="1766"/>
        <v>2412.3001201524512</v>
      </c>
      <c r="IZ619" s="19">
        <f t="shared" si="1767"/>
        <v>3993.0862952928574</v>
      </c>
      <c r="JA619" s="19">
        <f t="shared" ref="JA619:JC619" si="1850">IFERROR((JA119*IB119+JA219*IB219+JA319*IB319+JA419*IB419+JA519*IB519)/IB619,0)</f>
        <v>1462.1847926073779</v>
      </c>
      <c r="JB619" s="19">
        <f t="shared" si="1850"/>
        <v>2318.07887649026</v>
      </c>
      <c r="JC619" s="19">
        <f t="shared" si="1850"/>
        <v>3968.0796540843594</v>
      </c>
      <c r="JD619" s="19">
        <f t="shared" si="1769"/>
        <v>2224.7450898135912</v>
      </c>
      <c r="JE619" s="21"/>
      <c r="JF619" s="1">
        <f t="shared" si="1770"/>
        <v>2.6651855648468406E-2</v>
      </c>
      <c r="JG619" s="15">
        <f t="shared" si="1771"/>
        <v>6449</v>
      </c>
      <c r="JH619" s="1">
        <f t="shared" si="1772"/>
        <v>-1.0926213706330911E-2</v>
      </c>
      <c r="JI619" s="1">
        <f t="shared" si="1773"/>
        <v>-1.7749958331447627E-3</v>
      </c>
      <c r="JJ619" s="1">
        <f t="shared" si="1774"/>
        <v>0</v>
      </c>
      <c r="JK619" s="1">
        <f t="shared" si="1775"/>
        <v>-1.2701209539475674E-2</v>
      </c>
      <c r="JL619" s="15">
        <f t="shared" ref="JL619:JM619" si="1851">JL119+JL219+JL319+JL419+JL519</f>
        <v>-81.910100320078627</v>
      </c>
      <c r="JM619" s="15">
        <f t="shared" si="1851"/>
        <v>6367.0898996799215</v>
      </c>
      <c r="JN619" s="21"/>
      <c r="JO619" s="19">
        <f>INDEX(Input!$1:$1048576,JO$93,$C619*2+6)</f>
        <v>5995.5</v>
      </c>
      <c r="JP619" s="19">
        <f>INDEX(Input!$1:$1048576,JP$93,$C619*2+6)</f>
        <v>2296.6050414551746</v>
      </c>
      <c r="JQ619" s="39">
        <f t="shared" si="1799"/>
        <v>3770.7549101864088</v>
      </c>
      <c r="JR619" s="39">
        <f t="shared" si="1800"/>
        <v>-71.859951641583393</v>
      </c>
      <c r="JS619" s="39">
        <f t="shared" si="1801"/>
        <v>14.165151990714618</v>
      </c>
      <c r="JT619" s="39">
        <f t="shared" si="1802"/>
        <v>-0.64565392162980328</v>
      </c>
      <c r="JU619" s="385">
        <f>(JQ619*JM619-INDEX(Input!$1:$1048576,Input!A$18,$C619*2+6)*JL619*INDEX(Input!$1:$1048576,Input!A$19,$C619*2+6))/1000000</f>
        <v>24.008735502816354</v>
      </c>
      <c r="JV619" s="39">
        <f t="shared" si="1803"/>
        <v>0.15456191516077666</v>
      </c>
      <c r="JW619" s="1">
        <f t="shared" si="1804"/>
        <v>6.4794495853237911E-3</v>
      </c>
      <c r="JX619" s="19">
        <f t="shared" si="1805"/>
        <v>7882.4701606614208</v>
      </c>
      <c r="JZ619" s="341"/>
      <c r="KA619" s="60"/>
      <c r="KB619" s="469">
        <f t="shared" si="1778"/>
        <v>0</v>
      </c>
      <c r="KI619" s="472"/>
      <c r="KJ619" s="472"/>
      <c r="KK619" s="472"/>
      <c r="KN619" s="793">
        <f t="shared" si="1779"/>
        <v>6002</v>
      </c>
      <c r="KO619" s="541">
        <f t="shared" si="1780"/>
        <v>-3.533158000157266E-2</v>
      </c>
      <c r="KP619" s="546">
        <f t="shared" si="1781"/>
        <v>-247.82755019514636</v>
      </c>
      <c r="KQ619" s="546">
        <f t="shared" si="1782"/>
        <v>-238.0881667915537</v>
      </c>
      <c r="KR619" s="472">
        <f t="shared" si="1783"/>
        <v>2.4980509051865525</v>
      </c>
      <c r="KS619" s="472">
        <f t="shared" si="1784"/>
        <v>2.6002377372965415</v>
      </c>
      <c r="KT619" s="473">
        <f t="shared" si="1795"/>
        <v>4286.2445668946921</v>
      </c>
      <c r="KU619" s="663">
        <f t="shared" si="1785"/>
        <v>4.3610256485217649</v>
      </c>
      <c r="KV619" s="117"/>
    </row>
    <row r="620" spans="1:308" s="26" customFormat="1" ht="15">
      <c r="A620" s="561">
        <f t="shared" si="1751"/>
        <v>6020</v>
      </c>
      <c r="B620" s="561">
        <f t="shared" si="1786"/>
        <v>20</v>
      </c>
      <c r="C620" s="561">
        <f t="shared" si="1787"/>
        <v>6</v>
      </c>
      <c r="D620" s="765" t="str">
        <f>"Plan B: "&amp;IF(E620=INDEX(E:E,MATCH(C620*1000+2,A:A,0)),"",E620-INDEX(E:E,MATCH(C620*1000+2,A:A,0))&amp;E$100&amp;", ")
&amp;IF(F620=INDEX(F:F,MATCH(C620*1000+2,A:A,0)),"",F620-INDEX(F:F,MATCH(C620*1000+2,A:A,0))&amp;F$100&amp;", ")
&amp;IF(AM620=INDEX(AM:AM,MATCH(C620*1000+2,A:A,0)),"",AM620&amp;AM$100&amp;", ")
&amp;IF(AP620=INDEX(AP:AP,MATCH(C620*1000+2,A:A,0)),"",AP620&amp;AP$100&amp;", ")
&amp;IF(Q620=INDEX(Q:Q,MATCH(C620*1000+2,A:A,0)),"",Q620-INDEX(Q:Q,MATCH(C620*1000+2,A:A,0))&amp;Q$100&amp;", ")
&amp;IF(Y620=INDEX(Y:Y,MATCH(C620*1000+2,A:A,0)),"",Y620-INDEX(Y:Y,MATCH(C620*1000+2,A:A,0))&amp;Y$100&amp;", ")
&amp;IF(Z620=INDEX(Z:Z,MATCH(C620*1000+2,A:A,0)),"",Z620-INDEX(Z:Z,MATCH(C620*1000+2,A:A,0))&amp;Z$100&amp;", ")
&amp;IF(AA620=INDEX(AA:AA,MATCH(C620*1000+2,A:A,0)),"",AA620-INDEX(AA:AA,MATCH(C620*1000+2,A:A,0))&amp;AA$100&amp;", ")
&amp;IF(AC620=INDEX(AC:AC,MATCH(C620*1000+2,A:A,0)),"",AC620-INDEX(AC:AC,MATCH(C620*1000+2,A:A,0))&amp;AC$100&amp;", ")
&amp;IF(AE620=INDEX(AE:AE,MATCH(C620*1000+2,A:A,0)),"",AE620-INDEX(AE:AE,MATCH(C620*1000+2,A:A,0))&amp;AE$100&amp;", ")
&amp;IF(AG620=INDEX(AG:AG,MATCH(C620*1000+2,A:A,0)),"",AG620-INDEX(AG:AG,MATCH(C620*1000+2,A:A,0))&amp;AG$100&amp;", ")
&amp;IF(AI620=INDEX(AI:AI,MATCH(C620*1000+2,A:A,0)),"",AI620-INDEX(AI:AI,MATCH(C620*1000+2,A:A,0))&amp;AI$100&amp;", ")</f>
        <v xml:space="preserve">Plan B: </v>
      </c>
      <c r="E620" s="475">
        <f>INDEX(Input!$1:$1048576,E$93,$C620*2+MIN($B620,2)+5)</f>
        <v>1267.2644913000609</v>
      </c>
      <c r="F620" s="475">
        <f>INDEX(Input!$1:$1048576,F$93,$C620*2+MIN($B620,2)+5)</f>
        <v>0</v>
      </c>
      <c r="G620" s="475">
        <f>INDEX(Input!$1:$1048576,G$93,$C620*2+MIN($B620,2)+5)</f>
        <v>0</v>
      </c>
      <c r="H620" s="475">
        <f>INDEX(Input!$1:$1048576,H$93,$C620*2+MIN($B620,2)+5)</f>
        <v>0</v>
      </c>
      <c r="I620" s="476">
        <f>INDEX(Input!$1:$1048576,I$93,$C620*2+MIN($B620,2)+5)</f>
        <v>0.7</v>
      </c>
      <c r="J620" s="476" t="str">
        <f>INDEX(Input!$1:$1048576,J$93,$C620*2+MIN($B620,2)+5)</f>
        <v>Market</v>
      </c>
      <c r="K620" s="476" t="str">
        <f>INDEX(Input!$1:$1048576,K$93,$C620*2+MIN($B620,2)+5)</f>
        <v>Market</v>
      </c>
      <c r="L620" s="476" t="str">
        <f>INDEX(Input!$1:$1048576,L$93,$C620*2+MIN($B620,2)+5)</f>
        <v>Market</v>
      </c>
      <c r="M620" s="476" t="str">
        <f>INDEX(Input!$1:$1048576,M$93,$C620*2+MIN($B620,2)+5)</f>
        <v>Market</v>
      </c>
      <c r="N620" s="476" t="str">
        <f>INDEX(Input!$1:$1048576,N$93,$C620*2+MIN($B620,2)+5)</f>
        <v>Market</v>
      </c>
      <c r="O620" s="476" t="str">
        <f>INDEX(Input!$1:$1048576,O$93,$C620*2+MIN($B620,2)+5)</f>
        <v>Market</v>
      </c>
      <c r="P620" s="476" t="str">
        <f>INDEX(Input!$1:$1048576,P$93,$C620*2+MIN($B620,2)+5)</f>
        <v>N</v>
      </c>
      <c r="Q620" s="477">
        <f>INDEX(Input!$1:$1048576,Q$93,$C620*2+MIN($B620,2)+5)</f>
        <v>0</v>
      </c>
      <c r="R620" s="478">
        <f>IFERROR(MAX(0,INDEX(Input!$1:$1048576,R$93,$C620*2+MIN($B620,2)+5)-0%,),"Market")</f>
        <v>0</v>
      </c>
      <c r="S620" s="478">
        <f>IFERROR(MAX(0,INDEX(Input!$1:$1048576,S$93,$C620*2+MIN($B620,2)+5)-0%,),"Market")</f>
        <v>0</v>
      </c>
      <c r="T620" s="478">
        <f>IFERROR(MAX(0,INDEX(Input!$1:$1048576,T$93,$C620*2+MIN($B620,2)+5)-0%,),"Market")</f>
        <v>0</v>
      </c>
      <c r="U620" s="478">
        <f>IFERROR(MAX(0,INDEX(Input!$1:$1048576,U$93,$C620*2+MIN($B620,2)+5)-0%,),"Market")</f>
        <v>0</v>
      </c>
      <c r="V620" s="478">
        <f>IFERROR(MAX(0,INDEX(Input!$1:$1048576,V$93,$C620*2+MIN($B620,2)+5)-0%,),"Market")</f>
        <v>1.9E-2</v>
      </c>
      <c r="W620" s="885">
        <f>IFERROR(MAX(0,INDEX(Input!$1:$1048576,W$93,$C620*2+MIN($B620,2)+5)-0%,),"Market")</f>
        <v>3.9E-2</v>
      </c>
      <c r="X620" s="476" t="str">
        <f>INDEX(Input!$1:$1048576,X$93,$C620*2+MIN($B620,2)+5)</f>
        <v>Y</v>
      </c>
      <c r="Y620" s="475">
        <f>INDEX(Input!$1:$1048576,Y$93,$C620*2+MIN($B620,2)+5)</f>
        <v>737.99367635402496</v>
      </c>
      <c r="Z620" s="477">
        <f>INDEX(Input!$1:$1048576,Z$93,$C620*2+MIN($B620,2)+5)</f>
        <v>0</v>
      </c>
      <c r="AA620" s="475">
        <f>INDEX(Input!$1:$1048576,AA$93,$C620*2+MIN($B620,2)+5)</f>
        <v>0</v>
      </c>
      <c r="AB620" s="476">
        <f>INDEX(Input!$1:$1048576,AB$93,$C620*2+MIN($B620,2)+5)</f>
        <v>0.27</v>
      </c>
      <c r="AC620" s="475">
        <f>INDEX(Input!$1:$1048576,AC$93,$C620*2+MIN($B620,2)+5)</f>
        <v>0</v>
      </c>
      <c r="AD620" s="476">
        <f>INDEX(Input!$1:$1048576,AD$93,$C620*2+MIN($B620,2)+5)</f>
        <v>0.27</v>
      </c>
      <c r="AE620" s="475">
        <f>INDEX(Input!$1:$1048576,AE$93,$C620*2+MIN($B620,2)+5)</f>
        <v>0</v>
      </c>
      <c r="AF620" s="476">
        <f>INDEX(Input!$1:$1048576,AF$93,$C620*2+MIN($B620,2)+5)</f>
        <v>1</v>
      </c>
      <c r="AG620" s="475">
        <f>INDEX(Input!$1:$1048576,AG$93,$C620*2+MIN($B620,2)+5)</f>
        <v>500</v>
      </c>
      <c r="AH620" s="476">
        <f>INDEX(Input!$1:$1048576,AH$93,$C620*2+MIN($B620,2)+5)</f>
        <v>1</v>
      </c>
      <c r="AI620" s="475">
        <f>INDEX(Input!$1:$1048576,AI$93,$C620*2+MIN($B620,2)+5)</f>
        <v>0</v>
      </c>
      <c r="AJ620" s="476">
        <f>INDEX(Input!$1:$1048576,AJ$93,$C620*2+MIN($B620,2)+5)</f>
        <v>0.27</v>
      </c>
      <c r="AK620" s="150">
        <f>ROUND(INDEX(Input!$1:$1048576,AK$93,$C619*2+MIN($B620,1)+5)+(Y620-VLOOKUP($C620*1000+1,$A:$HH,Y$92,FALSE)),0)</f>
        <v>3061</v>
      </c>
      <c r="AL620" s="150">
        <f>ROUND(INDEX(Input!$1:$1048576,AL$93,$C619*2+MIN($B620,1)+5)-(Y620-VLOOKUP($C620*1000+1,$A:$HH,Y$92,FALSE))/36,0)</f>
        <v>3552</v>
      </c>
      <c r="AM620" s="32" t="str">
        <f t="shared" si="1752"/>
        <v>std/std/std/std</v>
      </c>
      <c r="AN620" s="32" t="str">
        <f t="shared" si="1753"/>
        <v>$0 + 0/0/0/1.9/3.9</v>
      </c>
      <c r="AO620" s="32" t="str">
        <f t="shared" si="1754"/>
        <v>0/0/0/1.9/3.9</v>
      </c>
      <c r="AP620" s="32" t="str">
        <f t="shared" si="1716"/>
        <v>0/0.9/1.9/3.9</v>
      </c>
      <c r="AQ620" s="536">
        <f t="shared" si="1717"/>
        <v>0.37072548496371732</v>
      </c>
      <c r="AR620" s="32"/>
      <c r="AS620" s="302"/>
      <c r="AT620" s="3">
        <f t="shared" si="1788"/>
        <v>20</v>
      </c>
      <c r="AU620" s="41" t="s">
        <v>121</v>
      </c>
      <c r="AV620" s="41" t="s">
        <v>116</v>
      </c>
      <c r="AW620" s="41" t="str">
        <f>INDEX(Input!$1:$1048576,AW$93,$C620*2+6)</f>
        <v>Kia</v>
      </c>
      <c r="AX620" s="41" t="str">
        <f>INDEX(Input!$1:$1048576,AX$93,$C620*2+6)</f>
        <v>National</v>
      </c>
      <c r="AY620" s="41" t="str">
        <f>IF(LEN(D620)=0,"",INDEX(Input!$1:$1048576,AY$93,$C620*2+6))</f>
        <v>Compact SUV (52)</v>
      </c>
      <c r="AZ620" s="41" t="str">
        <f>INDEX(Input!$1:$1048576,AZ$93,$C620*2+6)</f>
        <v>Kia Soul</v>
      </c>
      <c r="BA620" s="3">
        <f>INDEX(Input!$1:$1048576,BA$93,$C620*2+6)</f>
        <v>2020</v>
      </c>
      <c r="BB620" s="128">
        <f>INDEX(Input!$1:$1048576,BB$93,$C620*2+6)</f>
        <v>1</v>
      </c>
      <c r="BC620" s="128">
        <f>INDEX(Input!$1:$1048576,BC$93,$C620*2+6)</f>
        <v>0.7</v>
      </c>
      <c r="BD620" s="1">
        <f>INDEX(Input!$1:$1048576,BD$93,$C620*2+6)</f>
        <v>4.4999999999999998E-2</v>
      </c>
      <c r="BE620" s="1">
        <f>INDEX(Input!$1:$1048576,BE$93,$C620*2+6)</f>
        <v>4.4999999999999998E-2</v>
      </c>
      <c r="BF620" s="1">
        <f>INDEX(Input!$1:$1048576,BF$93,$C620*2+6)</f>
        <v>0.05</v>
      </c>
      <c r="BG620" s="1">
        <f>INDEX(Input!$1:$1048576,BG$93,$C620*2+6)</f>
        <v>5.45E-2</v>
      </c>
      <c r="BH620" s="1">
        <f>INDEX(Input!$1:$1048576,BH$93,$C620*2+6)</f>
        <v>5.45E-2</v>
      </c>
      <c r="BI620" s="1">
        <f>INDEX(Input!$1:$1048576,BI$93,$C620*2+6)</f>
        <v>0.05</v>
      </c>
      <c r="BJ620" s="1">
        <f>INDEX(Input!$1:$1048576,BJ$93,$C620*2+6)</f>
        <v>0.05</v>
      </c>
      <c r="BK620" s="1">
        <f>INDEX(Input!$1:$1048576,BK$93,$C620*2+6)</f>
        <v>0.05</v>
      </c>
      <c r="BL620" s="1">
        <f>INDEX(Input!$1:$1048576,BL$93,$C620*2+6)</f>
        <v>5.5E-2</v>
      </c>
      <c r="BM620" s="1">
        <f>INDEX(Input!$1:$1048576,BM$93,$C620*2+6)</f>
        <v>0.06</v>
      </c>
      <c r="BN620" s="1">
        <f>INDEX(Input!$1:$1048576,BN$93,$C620*2+6)</f>
        <v>4.4999999999999998E-2</v>
      </c>
      <c r="BO620" s="1">
        <f>INDEX(Input!$1:$1048576,BO$93,$C620*2+6)</f>
        <v>4.4999999999999998E-2</v>
      </c>
      <c r="BP620" s="1">
        <f>INDEX(Input!$1:$1048576,BP$93,$C620*2+6)</f>
        <v>0.05</v>
      </c>
      <c r="BQ620" s="1">
        <f>INDEX(Input!$1:$1048576,BQ$93,$C620*2+6)</f>
        <v>5.45E-2</v>
      </c>
      <c r="BR620" s="1">
        <f>INDEX(Input!$1:$1048576,BR$93,$C620*2+6)</f>
        <v>5.45E-2</v>
      </c>
      <c r="BS620" s="1">
        <f>INDEX(Input!$1:$1048576,BS$93,$C620*2+6)</f>
        <v>0.05</v>
      </c>
      <c r="BT620" s="1">
        <f>INDEX(Input!$1:$1048576,BT$93,$C620*2+6)</f>
        <v>0.05</v>
      </c>
      <c r="BU620" s="1">
        <f>INDEX(Input!$1:$1048576,BU$93,$C620*2+6)</f>
        <v>0.05</v>
      </c>
      <c r="BV620" s="1">
        <f>INDEX(Input!$1:$1048576,BV$93,$C620*2+6)</f>
        <v>5.5E-2</v>
      </c>
      <c r="BW620" s="1">
        <f>INDEX(Input!$1:$1048576,BW$93,$C620*2+6)</f>
        <v>0.06</v>
      </c>
      <c r="BX620" s="127">
        <f>INDEX(Input!$1:$1048576,BX$93,$C620*2+6)</f>
        <v>19985</v>
      </c>
      <c r="BY620" s="20">
        <f>INDEX(Input!$1:$1048576,BY$93,$C620*2+6)</f>
        <v>0.1</v>
      </c>
      <c r="BZ620" s="20">
        <f>INDEX(Input!$1:$1048576,BZ$93,$C620*2+6)</f>
        <v>0.1</v>
      </c>
      <c r="CA620" s="20">
        <f>INDEX(Input!$1:$1048576,CA$93,$C620*2+6)</f>
        <v>0.1</v>
      </c>
      <c r="CB620" s="20">
        <f>INDEX(Input!$1:$1048576,CB$93,$C620*2+6)</f>
        <v>0.1</v>
      </c>
      <c r="CC620" s="20">
        <f>INDEX(Input!$1:$1048576,CC$93,$C620*2+6)</f>
        <v>0.1</v>
      </c>
      <c r="CD620" s="384">
        <f>INDEX(Input!$1:$1048576,CD$93,$C620*2+6)</f>
        <v>0.1</v>
      </c>
      <c r="CE620" s="384">
        <f>INDEX(Input!$1:$1048576,CE$93,$C620*2+6)</f>
        <v>0.1</v>
      </c>
      <c r="CF620" s="384">
        <f>INDEX(Input!$1:$1048576,CF$93,$C620*2+6)</f>
        <v>0.1</v>
      </c>
      <c r="CG620" s="384">
        <f>INDEX(Input!$1:$1048576,CG$93,$C620*2+6)</f>
        <v>0.1</v>
      </c>
      <c r="CH620" s="384">
        <f>INDEX(Input!$1:$1048576,CH$93,$C620*2+6)</f>
        <v>0.1</v>
      </c>
      <c r="CI620" s="304">
        <f t="shared" si="1718"/>
        <v>1267.2644913000609</v>
      </c>
      <c r="CJ620" s="16" t="str">
        <f>INDEX(Input!$1:$1048576,CJ$93,$C620*2+6)</f>
        <v>N</v>
      </c>
      <c r="CK620" s="1" t="str">
        <f t="shared" si="1719"/>
        <v>Market</v>
      </c>
      <c r="CL620" s="1" t="str">
        <f t="shared" si="1720"/>
        <v>Market</v>
      </c>
      <c r="CM620" s="1" t="str">
        <f t="shared" si="1721"/>
        <v>Market</v>
      </c>
      <c r="CN620" s="1" t="str">
        <f t="shared" si="1722"/>
        <v>Market</v>
      </c>
      <c r="CO620" s="1" t="str">
        <f t="shared" si="1723"/>
        <v>Market</v>
      </c>
      <c r="CP620" s="304">
        <f t="shared" si="1724"/>
        <v>500</v>
      </c>
      <c r="CQ620" s="1">
        <f t="shared" si="1725"/>
        <v>0</v>
      </c>
      <c r="CR620" s="1">
        <f t="shared" si="1726"/>
        <v>0</v>
      </c>
      <c r="CS620" s="1">
        <f t="shared" si="1727"/>
        <v>0</v>
      </c>
      <c r="CT620" s="1">
        <f t="shared" si="1728"/>
        <v>1.9E-2</v>
      </c>
      <c r="CU620" s="1">
        <f t="shared" si="1729"/>
        <v>3.9E-2</v>
      </c>
      <c r="CV620" s="304">
        <f t="shared" si="1730"/>
        <v>737.99367635402496</v>
      </c>
      <c r="CW620" s="20" t="s">
        <v>122</v>
      </c>
      <c r="CX620" s="20" t="s">
        <v>122</v>
      </c>
      <c r="CY620" s="20" t="s">
        <v>122</v>
      </c>
      <c r="CZ620" s="20" t="s">
        <v>122</v>
      </c>
      <c r="DA620" s="20" t="s">
        <v>122</v>
      </c>
      <c r="DB620" s="503">
        <f t="shared" si="1731"/>
        <v>0</v>
      </c>
      <c r="DC620" s="127">
        <v>0</v>
      </c>
      <c r="DD620" s="127">
        <v>0</v>
      </c>
      <c r="DE620" s="127">
        <v>0</v>
      </c>
      <c r="DF620" s="127">
        <v>0</v>
      </c>
      <c r="DG620" s="127">
        <v>0</v>
      </c>
      <c r="DH620" s="127">
        <v>0</v>
      </c>
      <c r="DI620" s="127">
        <v>0</v>
      </c>
      <c r="DJ620" s="127">
        <v>0</v>
      </c>
      <c r="DK620" s="127">
        <v>0</v>
      </c>
      <c r="DL620" s="127">
        <v>0</v>
      </c>
      <c r="DM620" s="304">
        <f>INDEX(Input!$1:$1048576,DM$93,$C620*2+6)</f>
        <v>21036.84210526316</v>
      </c>
      <c r="DN620" s="20">
        <v>0</v>
      </c>
      <c r="DO620" s="20">
        <v>0</v>
      </c>
      <c r="DP620" s="20">
        <v>0</v>
      </c>
      <c r="DQ620" s="20">
        <v>0</v>
      </c>
      <c r="DR620" s="20">
        <v>0</v>
      </c>
      <c r="DS620" s="20">
        <f>INDEX(Input!$1:$1048576,DS$93,$C620*2+6)</f>
        <v>0.6</v>
      </c>
      <c r="DT620" s="20">
        <f>INDEX(Input!$1:$1048576,DT$93,$C620*2+6)</f>
        <v>0.55000000000000004</v>
      </c>
      <c r="DU620" s="20">
        <f>INDEX(Input!$1:$1048576,DU$93,$C620*2+6)</f>
        <v>0.52</v>
      </c>
      <c r="DV620" s="20">
        <f>INDEX(Input!$1:$1048576,DV$93,$C620*2+6)</f>
        <v>0.5</v>
      </c>
      <c r="DW620" s="20">
        <f>INDEX(Input!$1:$1048576,DW$93,$C620*2+6)</f>
        <v>0.45</v>
      </c>
      <c r="DX620" s="20"/>
      <c r="DY620" s="7"/>
      <c r="DZ620" s="7"/>
      <c r="EA620" s="7"/>
      <c r="EB620" s="7"/>
      <c r="EC620" s="7"/>
      <c r="ED620" s="7"/>
      <c r="EE620" s="7"/>
      <c r="EF620" s="7"/>
      <c r="EG620" s="7"/>
      <c r="EH620" s="7"/>
      <c r="EI620" s="7"/>
      <c r="EJ620" s="7"/>
      <c r="EK620" s="7"/>
      <c r="EL620" s="7"/>
      <c r="EM620" s="7"/>
      <c r="EN620" s="7"/>
      <c r="EO620" s="7"/>
      <c r="EP620" s="7"/>
      <c r="EQ620" s="7"/>
      <c r="ER620" s="7"/>
      <c r="ES620" s="7"/>
      <c r="ET620" s="7"/>
      <c r="EU620" s="6"/>
      <c r="EV620" s="6"/>
      <c r="EW620" s="6"/>
      <c r="EX620" s="6"/>
      <c r="EY620" s="6"/>
      <c r="EZ620" s="6"/>
      <c r="FA620" s="6"/>
      <c r="FB620" s="6"/>
      <c r="FC620" s="6"/>
      <c r="FD620" s="6"/>
      <c r="FE620" s="6"/>
      <c r="FF620" s="6"/>
      <c r="FG620" s="6"/>
      <c r="FH620" s="6"/>
      <c r="FI620" s="6"/>
      <c r="FJ620" s="6"/>
      <c r="FK620" s="6"/>
      <c r="FL620" s="6"/>
      <c r="FM620" s="6"/>
      <c r="FN620" s="6"/>
      <c r="FO620" s="6"/>
      <c r="FP620" s="6"/>
      <c r="FQ620" s="6"/>
      <c r="FR620" s="6"/>
      <c r="FS620" s="6"/>
      <c r="FT620" s="7"/>
      <c r="FU620" s="7"/>
      <c r="FV620" s="7"/>
      <c r="FW620" s="6"/>
      <c r="FX620" s="6"/>
      <c r="FY620" s="6"/>
      <c r="FZ620" s="6"/>
      <c r="GA620" s="6"/>
      <c r="GB620" s="6"/>
      <c r="GC620" s="7"/>
      <c r="GD620" s="7"/>
      <c r="GE620" s="7"/>
      <c r="GF620" s="7"/>
      <c r="GG620" s="7"/>
      <c r="GH620" s="42"/>
      <c r="GI620" s="6"/>
      <c r="GJ620" s="14"/>
      <c r="GK620" s="14"/>
      <c r="GL620" s="14"/>
      <c r="GM620" s="14"/>
      <c r="GO620" s="5"/>
      <c r="GP620" s="5"/>
      <c r="GQ620" s="5"/>
      <c r="GR620" s="5"/>
      <c r="GS620" s="5"/>
      <c r="GT620" s="5"/>
      <c r="GU620" s="5"/>
      <c r="GV620" s="39"/>
      <c r="GW620" s="5"/>
      <c r="GX620" s="5"/>
      <c r="GY620" s="5"/>
      <c r="GZ620" s="5"/>
      <c r="HA620" s="5"/>
      <c r="HB620" s="39"/>
      <c r="HC620" s="5"/>
      <c r="HD620" s="5"/>
      <c r="HE620" s="5"/>
      <c r="HF620" s="5"/>
      <c r="HG620" s="5"/>
      <c r="HH620" s="39"/>
      <c r="HI620" s="16"/>
      <c r="HJ620" s="19"/>
      <c r="HK620" s="1"/>
      <c r="HL620" s="16"/>
      <c r="HM620" s="639">
        <f t="shared" si="1755"/>
        <v>2.3149872625708352E-2</v>
      </c>
      <c r="HN620" s="639">
        <f t="shared" si="1756"/>
        <v>1.3965040474190958E-3</v>
      </c>
      <c r="HO620" s="639">
        <f t="shared" si="1757"/>
        <v>3.5429561340050734E-3</v>
      </c>
      <c r="HP620" s="644">
        <f t="shared" ref="HP620:ID620" si="1852">HP120+HP220+HP320+HP420+HP520</f>
        <v>110.99910041748898</v>
      </c>
      <c r="HQ620" s="644">
        <f t="shared" si="1852"/>
        <v>5.6079910961487451</v>
      </c>
      <c r="HR620" s="644">
        <f t="shared" si="1852"/>
        <v>8.357510133868514</v>
      </c>
      <c r="HS620" s="644">
        <f t="shared" si="1852"/>
        <v>-60.103937341378995</v>
      </c>
      <c r="HT620" s="644">
        <f t="shared" si="1852"/>
        <v>70.620848758987876</v>
      </c>
      <c r="HU620" s="644">
        <f t="shared" si="1852"/>
        <v>15.807008549702287</v>
      </c>
      <c r="HV620" s="644">
        <f t="shared" si="1852"/>
        <v>0</v>
      </c>
      <c r="HW620" s="644">
        <f t="shared" si="1852"/>
        <v>0</v>
      </c>
      <c r="HX620" s="644">
        <f t="shared" si="1852"/>
        <v>0</v>
      </c>
      <c r="HY620" s="644">
        <f t="shared" si="1852"/>
        <v>2396</v>
      </c>
      <c r="HZ620" s="644">
        <f t="shared" si="1852"/>
        <v>3223</v>
      </c>
      <c r="IA620" s="644">
        <f t="shared" si="1852"/>
        <v>830</v>
      </c>
      <c r="IB620" s="644">
        <f t="shared" si="1852"/>
        <v>2446.8951630761103</v>
      </c>
      <c r="IC620" s="644">
        <f t="shared" si="1852"/>
        <v>3299.2288398551364</v>
      </c>
      <c r="ID620" s="644">
        <f t="shared" si="1852"/>
        <v>854.16451868357092</v>
      </c>
      <c r="IE620" s="20">
        <f t="shared" si="1759"/>
        <v>0.37072548496371732</v>
      </c>
      <c r="IF620" s="20">
        <f t="shared" si="1760"/>
        <v>0.49986130591878297</v>
      </c>
      <c r="IG620" s="20">
        <f t="shared" si="1761"/>
        <v>0.12941320911749962</v>
      </c>
      <c r="IH620" s="21"/>
      <c r="II620" s="19"/>
      <c r="IJ620" s="19"/>
      <c r="IK620" s="19"/>
      <c r="IL620" s="19">
        <f t="shared" si="1762"/>
        <v>175.96275102966729</v>
      </c>
      <c r="IM620" s="19">
        <f t="shared" si="1763"/>
        <v>175.804272861762</v>
      </c>
      <c r="IN620" s="19">
        <f t="shared" si="1764"/>
        <v>111.26223185485469</v>
      </c>
      <c r="IO620" s="39"/>
      <c r="IP620" s="39"/>
      <c r="IQ620" s="39"/>
      <c r="IR620" s="39"/>
      <c r="IS620" s="39"/>
      <c r="IT620" s="39"/>
      <c r="IU620" s="39"/>
      <c r="IV620" s="39"/>
      <c r="IW620" s="39"/>
      <c r="IX620" s="19">
        <f t="shared" si="1765"/>
        <v>1554.1790484140233</v>
      </c>
      <c r="IY620" s="19">
        <f t="shared" si="1766"/>
        <v>2412.3001201524512</v>
      </c>
      <c r="IZ620" s="19">
        <f t="shared" si="1767"/>
        <v>3993.0862952928574</v>
      </c>
      <c r="JA620" s="19">
        <f t="shared" ref="JA620:JC620" si="1853">IFERROR((JA120*IB120+JA220*IB220+JA320*IB320+JA420*IB420+JA520*IB520)/IB620,0)</f>
        <v>1730.1417994436906</v>
      </c>
      <c r="JB620" s="19">
        <f t="shared" si="1853"/>
        <v>2588.1043930142132</v>
      </c>
      <c r="JC620" s="19">
        <f t="shared" si="1853"/>
        <v>4104.348527147712</v>
      </c>
      <c r="JD620" s="19">
        <f t="shared" si="1769"/>
        <v>2466.2578136358529</v>
      </c>
      <c r="JE620" s="21"/>
      <c r="JF620" s="1">
        <f t="shared" si="1770"/>
        <v>2.6651855648468406E-2</v>
      </c>
      <c r="JG620" s="15">
        <f t="shared" si="1771"/>
        <v>6449</v>
      </c>
      <c r="JH620" s="1">
        <f t="shared" si="1772"/>
        <v>1.9377361086603543E-2</v>
      </c>
      <c r="JI620" s="1">
        <f t="shared" si="1773"/>
        <v>4.0818607485363888E-3</v>
      </c>
      <c r="JJ620" s="1">
        <f t="shared" si="1774"/>
        <v>0</v>
      </c>
      <c r="JK620" s="1">
        <f t="shared" si="1775"/>
        <v>2.3459221835139932E-2</v>
      </c>
      <c r="JL620" s="15">
        <f t="shared" ref="JL620:JM620" si="1854">JL120+JL220+JL320+JL420+JL520</f>
        <v>151.28852161481743</v>
      </c>
      <c r="JM620" s="15">
        <f t="shared" si="1854"/>
        <v>6600.288521614817</v>
      </c>
      <c r="JN620" s="21"/>
      <c r="JO620" s="19">
        <f>INDEX(Input!$1:$1048576,JO$93,$C620*2+6)</f>
        <v>5995.5</v>
      </c>
      <c r="JP620" s="19">
        <f>INDEX(Input!$1:$1048576,JP$93,$C620*2+6)</f>
        <v>2296.6050414551746</v>
      </c>
      <c r="JQ620" s="39">
        <f t="shared" si="1799"/>
        <v>3529.2421863641471</v>
      </c>
      <c r="JR620" s="39">
        <f t="shared" si="1800"/>
        <v>169.65277218067831</v>
      </c>
      <c r="JS620" s="39">
        <f t="shared" si="1801"/>
        <v>16.278013138683573</v>
      </c>
      <c r="JT620" s="39">
        <f t="shared" si="1802"/>
        <v>1.467207226339154</v>
      </c>
      <c r="JU620" s="385">
        <f>(JQ620*JM620-INDEX(Input!$1:$1048576,Input!A$18,$C620*2+6)*JL620*INDEX(Input!$1:$1048576,Input!A$19,$C620*2+6))/1000000</f>
        <v>23.294016692658058</v>
      </c>
      <c r="JV620" s="39">
        <f t="shared" si="1803"/>
        <v>-0.56015689499751886</v>
      </c>
      <c r="JW620" s="1">
        <f t="shared" si="1804"/>
        <v>-2.3482552977119167E-2</v>
      </c>
      <c r="JX620" s="19">
        <f t="shared" si="1805"/>
        <v>9698.0736587186911</v>
      </c>
      <c r="JZ620" s="341"/>
      <c r="KA620" s="60"/>
      <c r="KB620" s="469">
        <f t="shared" si="1778"/>
        <v>0</v>
      </c>
      <c r="KI620" s="472"/>
      <c r="KJ620" s="472"/>
      <c r="KK620" s="472"/>
      <c r="KN620" s="793">
        <f t="shared" si="1779"/>
        <v>6002</v>
      </c>
      <c r="KO620" s="541">
        <f t="shared" si="1780"/>
        <v>0</v>
      </c>
      <c r="KP620" s="546">
        <f t="shared" si="1781"/>
        <v>3.4245570307078146</v>
      </c>
      <c r="KQ620" s="546">
        <f t="shared" si="1782"/>
        <v>3.4245570307080015</v>
      </c>
      <c r="KR620" s="472">
        <f t="shared" si="1783"/>
        <v>0</v>
      </c>
      <c r="KS620" s="472">
        <f t="shared" si="1784"/>
        <v>0</v>
      </c>
      <c r="KT620" s="473">
        <f t="shared" si="1795"/>
        <v>4286.2445668946921</v>
      </c>
      <c r="KU620" s="663">
        <f t="shared" si="1785"/>
        <v>4.3748414698110754</v>
      </c>
      <c r="KV620" s="117"/>
    </row>
    <row r="621" spans="1:308" s="26" customFormat="1" ht="15">
      <c r="A621" s="561">
        <f t="shared" si="1751"/>
        <v>6021</v>
      </c>
      <c r="B621" s="561">
        <f t="shared" si="1786"/>
        <v>21</v>
      </c>
      <c r="C621" s="561">
        <f t="shared" si="1787"/>
        <v>6</v>
      </c>
      <c r="D621" s="561" t="str">
        <f t="shared" ref="D621:D652" si="1855">IF(E621=INDEX(E:E,MATCH(C621*1000+2,A:A,0)),"",E621-INDEX(E:E,MATCH(C621*1000+2,A:A,0))&amp;E$100&amp;", ")
&amp;IF(F621=INDEX(F:F,MATCH(C621*1000+2,A:A,0)),"",F621-INDEX(F:F,MATCH(C621*1000+2,A:A,0))&amp;F$100&amp;", ")
&amp;IF(AM621=INDEX(AM:AM,MATCH(C621*1000+2,A:A,0)),"",AM621&amp;AM$100&amp;", ")
&amp;IF(AP621=INDEX(AP:AP,MATCH(C621*1000+2,A:A,0)),"",AP621&amp;AP$100&amp;", ")
&amp;IF(Q621=INDEX(Q:Q,MATCH(C621*1000+2,A:A,0)),"",Q621-INDEX(Q:Q,MATCH(C621*1000+2,A:A,0))&amp;Q$100&amp;", ")
&amp;IF(Y621=INDEX(Y:Y,MATCH(C621*1000+2,A:A,0)),"",Y621-INDEX(Y:Y,MATCH(C621*1000+2,A:A,0))&amp;Y$100&amp;", ")
&amp;IF(Z621=INDEX(Z:Z,MATCH(C621*1000+2,A:A,0)),"",Z621-INDEX(Z:Z,MATCH(C621*1000+2,A:A,0))&amp;Z$100&amp;", ")
&amp;IF(AA621=INDEX(AA:AA,MATCH(C621*1000+2,A:A,0)),"",AA621-INDEX(AA:AA,MATCH(C621*1000+2,A:A,0))&amp;AA$100&amp;", ")
&amp;IF(AC621=INDEX(AC:AC,MATCH(C621*1000+2,A:A,0)),"",AC621-INDEX(AC:AC,MATCH(C621*1000+2,A:A,0))&amp;AC$100&amp;", ")
&amp;IF(AE621=INDEX(AE:AE,MATCH(C621*1000+2,A:A,0)),"",AE621-INDEX(AE:AE,MATCH(C621*1000+2,A:A,0))&amp;AE$100&amp;", ")
&amp;IF(AG621=INDEX(AG:AG,MATCH(C621*1000+2,A:A,0)),"",AG621-INDEX(AG:AG,MATCH(C621*1000+2,A:A,0))&amp;AG$100&amp;", ")
&amp;IF(AI621=INDEX(AI:AI,MATCH(C621*1000+2,A:A,0)),"",AI621-INDEX(AI:AI,MATCH(C621*1000+2,A:A,0))&amp;AI$100&amp;", ")</f>
        <v xml:space="preserve">0/0/0.9/3.9, </v>
      </c>
      <c r="E621" s="475">
        <f>INDEX(Input!$1:$1048576,E$93,$C621*2+MIN($B621,2)+5)
+INDEX(Scenarios!E$121:E$199,MATCH($B621,Scenarios!$B$121:$B$199,0))</f>
        <v>1267.2644913000609</v>
      </c>
      <c r="F621" s="475">
        <f>INDEX(Input!$1:$1048576,F$93,$C621*2+MIN($B621,2)+5)
+INDEX(Scenarios!F$121:F$199,MATCH($B621,Scenarios!$B$121:$B$199,0))</f>
        <v>0</v>
      </c>
      <c r="G621" s="475">
        <f>INDEX(Input!$1:$1048576,G$93,$C621*2+MIN($B621,2)+5)
+INDEX(Scenarios!G$121:G$199,MATCH($B621,Scenarios!$B$121:$B$199,0))</f>
        <v>0</v>
      </c>
      <c r="H621" s="475">
        <f>INDEX(Input!$1:$1048576,H$93,$C621*2+MIN($B621,2)+5)
+INDEX(Scenarios!H$121:H$199,MATCH($B621,Scenarios!$B$121:$B$199,0))</f>
        <v>0</v>
      </c>
      <c r="I621" s="476">
        <f>INDEX(Input!$1:$1048576,I$93,$C621*2+MIN($B621,2)+5)
+INDEX(Scenarios!I$121:I$199,MATCH($B621,Scenarios!$B$121:$B$199,0))</f>
        <v>0.7</v>
      </c>
      <c r="J621" s="476" t="str">
        <f>INDEX(Input!$1:$1048576,J$93,$C621*2+MIN($B621,2)+5)</f>
        <v>Market</v>
      </c>
      <c r="K621" s="476" t="str">
        <f>INDEX(Input!$1:$1048576,K$93,$C621*2+MIN($B621,2)+5)</f>
        <v>Market</v>
      </c>
      <c r="L621" s="476" t="str">
        <f>INDEX(Input!$1:$1048576,L$93,$C621*2+MIN($B621,2)+5)</f>
        <v>Market</v>
      </c>
      <c r="M621" s="476" t="str">
        <f>INDEX(Input!$1:$1048576,M$93,$C621*2+MIN($B621,2)+5)</f>
        <v>Market</v>
      </c>
      <c r="N621" s="476" t="str">
        <f>INDEX(Input!$1:$1048576,N$93,$C621*2+MIN($B621,2)+5)</f>
        <v>Market</v>
      </c>
      <c r="O621" s="476" t="str">
        <f>INDEX(Input!$1:$1048576,O$93,$C621*2+MIN($B621,2)+5)</f>
        <v>Market</v>
      </c>
      <c r="P621" s="476" t="str">
        <f>INDEX(Input!$1:$1048576,P$93,$C621*2+MIN($B621,2)+5)</f>
        <v>N</v>
      </c>
      <c r="Q621" s="477">
        <f>INDEX(Input!$1:$1048576,Q$93,$C621*2+MIN($B621,2)+5)
+INDEX(Scenarios!Q$121:Q$199,MATCH($B621,Scenarios!$B$121:$B$199,0))</f>
        <v>0</v>
      </c>
      <c r="R621" s="478">
        <f>IFERROR(MAX(0,INDEX(Input!$1:$1048576,R$93,$C621*2+MIN($B621,2)+5)
+INDEX(Scenarios!R$121:R$199,MATCH($B621,Scenarios!$B$121:$B$199,0)),),"Market")</f>
        <v>0</v>
      </c>
      <c r="S621" s="478">
        <f>IFERROR(MAX(0,INDEX(Input!$1:$1048576,S$93,$C621*2+MIN($B621,2)+5)
+INDEX(Scenarios!S$121:S$199,MATCH($B621,Scenarios!$B$121:$B$199,0)),),"Market")</f>
        <v>0</v>
      </c>
      <c r="T621" s="478">
        <f>IFERROR(MAX(0,INDEX(Input!$1:$1048576,T$93,$C621*2+MIN($B621,2)+5)
+INDEX(Scenarios!T$121:T$199,MATCH($B621,Scenarios!$B$121:$B$199,0)),),"Market")</f>
        <v>0</v>
      </c>
      <c r="U621" s="478">
        <f>IFERROR(MAX(0,INDEX(Input!$1:$1048576,U$93,$C621*2+MIN($B621,2)+5)
+INDEX(Scenarios!U$121:U$199,MATCH($B621,Scenarios!$B$121:$B$199,0)),),"Market")</f>
        <v>0</v>
      </c>
      <c r="V621" s="478">
        <f>IFERROR(MAX(0,INDEX(Input!$1:$1048576,V$93,$C621*2+MIN($B621,2)+5)
+INDEX(Scenarios!V$121:V$199,MATCH($B621,Scenarios!$B$121:$B$199,0)),),"Market")</f>
        <v>8.9999999999999993E-3</v>
      </c>
      <c r="W621" s="885">
        <f>IFERROR(MAX(0,INDEX(Input!$1:$1048576,W$93,$C621*2+MIN($B621,2)+5)-0%,),"Market")</f>
        <v>3.9E-2</v>
      </c>
      <c r="X621" s="476" t="str">
        <f>INDEX(Input!$1:$1048576,X$93,$C621*2+MIN($B621,2)+5)</f>
        <v>Y</v>
      </c>
      <c r="Y621" s="475">
        <f>INDEX(Input!$1:$1048576,Y$93,$C621*2+MIN($B621,2)+5)
++INDEX(Scenarios!Y$121:Y$199,MATCH($B621,Scenarios!$B$121:$B$199,0))</f>
        <v>737.99367635402496</v>
      </c>
      <c r="Z621" s="477">
        <f>INDEX(Input!$1:$1048576,Z$93,$C621*2+MIN($B621,2)+5)
+INDEX(Scenarios!Z$121:Z$199,MATCH($B621,Scenarios!$B$121:$B$199,0))</f>
        <v>0</v>
      </c>
      <c r="AA621" s="475">
        <f>INDEX(Input!$1:$1048576,AA$93,$C621*2+MIN($B621,2)+5)</f>
        <v>0</v>
      </c>
      <c r="AB621" s="476">
        <f>INDEX(Input!$1:$1048576,AB$93,$C621*2+MIN($B621,2)+5)</f>
        <v>0.27</v>
      </c>
      <c r="AC621" s="475">
        <f>INDEX(Input!$1:$1048576,AC$93,$C621*2+MIN($B621,2)+5)
+INDEX(Scenarios!AC$121:AC$199,MATCH($B621,Scenarios!$B$121:$B$199,0))</f>
        <v>0</v>
      </c>
      <c r="AD621" s="476">
        <f>INDEX(Input!$1:$1048576,AD$93,$C621*2+MIN($B621,2)+5)</f>
        <v>0.27</v>
      </c>
      <c r="AE621" s="475">
        <f>INDEX(Input!$1:$1048576,AE$93,$C621*2+MIN($B621,2)+5)
+INDEX(Scenarios!AE$121:AE$199,MATCH($B621,Scenarios!$B$121:$B$199,0))</f>
        <v>0</v>
      </c>
      <c r="AF621" s="476">
        <f>INDEX(Input!$1:$1048576,AF$93,$C621*2+MIN($B621,2)+5)</f>
        <v>1</v>
      </c>
      <c r="AG621" s="475">
        <f>INDEX(Input!$1:$1048576,AG$93,$C621*2+MIN($B621,2)+5)</f>
        <v>500</v>
      </c>
      <c r="AH621" s="476">
        <f>INDEX(Input!$1:$1048576,AH$93,$C621*2+MIN($B621,2)+5)</f>
        <v>1</v>
      </c>
      <c r="AI621" s="475">
        <f>INDEX(Input!$1:$1048576,AI$93,$C621*2+MIN($B621,2)+5)</f>
        <v>0</v>
      </c>
      <c r="AJ621" s="476">
        <f>INDEX(Input!$1:$1048576,AJ$93,$C621*2+MIN($B621,2)+5)</f>
        <v>0.27</v>
      </c>
      <c r="AK621" s="150">
        <f>ROUND(INDEX(Input!$1:$1048576,AK$93,$C620*2+MIN($B621,1)+5)+(Y621-VLOOKUP($C621*1000+1,$A:$HH,Y$92,FALSE)),0)</f>
        <v>3061</v>
      </c>
      <c r="AL621" s="150">
        <f>ROUND(INDEX(Input!$1:$1048576,AL$93,$C620*2+MIN($B621,1)+5)-(Y621-VLOOKUP($C621*1000+1,$A:$HH,Y$92,FALSE))/36,0)</f>
        <v>3552</v>
      </c>
      <c r="AM621" s="32" t="str">
        <f t="shared" si="1752"/>
        <v>std/std/std/std</v>
      </c>
      <c r="AN621" s="32" t="str">
        <f t="shared" si="1753"/>
        <v>$0 + 0/0/0/0.9/3.9</v>
      </c>
      <c r="AO621" s="32" t="str">
        <f t="shared" si="1754"/>
        <v>0/0/0/0.9/3.9</v>
      </c>
      <c r="AP621" s="32" t="str">
        <f t="shared" si="1716"/>
        <v>0/0/0.9/3.9</v>
      </c>
      <c r="AQ621" s="536">
        <f t="shared" si="1717"/>
        <v>0.35288076726685191</v>
      </c>
      <c r="AR621" s="32"/>
      <c r="AS621" s="302"/>
      <c r="AT621" s="3">
        <f t="shared" si="1788"/>
        <v>21</v>
      </c>
      <c r="AU621" s="41" t="s">
        <v>121</v>
      </c>
      <c r="AV621" s="41" t="s">
        <v>116</v>
      </c>
      <c r="AW621" s="41" t="str">
        <f>INDEX(Input!$1:$1048576,AW$93,$C621*2+6)</f>
        <v>Kia</v>
      </c>
      <c r="AX621" s="41" t="str">
        <f>INDEX(Input!$1:$1048576,AX$93,$C621*2+6)</f>
        <v>National</v>
      </c>
      <c r="AY621" s="41" t="str">
        <f>IF(LEN(D621)=0,"",INDEX(Input!$1:$1048576,AY$93,$C621*2+6))</f>
        <v>Compact SUV (52)</v>
      </c>
      <c r="AZ621" s="41" t="str">
        <f>INDEX(Input!$1:$1048576,AZ$93,$C621*2+6)</f>
        <v>Kia Soul</v>
      </c>
      <c r="BA621" s="3">
        <f>INDEX(Input!$1:$1048576,BA$93,$C621*2+6)</f>
        <v>2020</v>
      </c>
      <c r="BB621" s="128">
        <f>INDEX(Input!$1:$1048576,BB$93,$C621*2+6)</f>
        <v>1</v>
      </c>
      <c r="BC621" s="128">
        <f>INDEX(Input!$1:$1048576,BC$93,$C621*2+6)</f>
        <v>0.7</v>
      </c>
      <c r="BD621" s="1">
        <f>INDEX(Input!$1:$1048576,BD$93,$C621*2+6)</f>
        <v>4.4999999999999998E-2</v>
      </c>
      <c r="BE621" s="1">
        <f>INDEX(Input!$1:$1048576,BE$93,$C621*2+6)</f>
        <v>4.4999999999999998E-2</v>
      </c>
      <c r="BF621" s="1">
        <f>INDEX(Input!$1:$1048576,BF$93,$C621*2+6)</f>
        <v>0.05</v>
      </c>
      <c r="BG621" s="1">
        <f>INDEX(Input!$1:$1048576,BG$93,$C621*2+6)</f>
        <v>5.45E-2</v>
      </c>
      <c r="BH621" s="1">
        <f>INDEX(Input!$1:$1048576,BH$93,$C621*2+6)</f>
        <v>5.45E-2</v>
      </c>
      <c r="BI621" s="1">
        <f>INDEX(Input!$1:$1048576,BI$93,$C621*2+6)</f>
        <v>0.05</v>
      </c>
      <c r="BJ621" s="1">
        <f>INDEX(Input!$1:$1048576,BJ$93,$C621*2+6)</f>
        <v>0.05</v>
      </c>
      <c r="BK621" s="1">
        <f>INDEX(Input!$1:$1048576,BK$93,$C621*2+6)</f>
        <v>0.05</v>
      </c>
      <c r="BL621" s="1">
        <f>INDEX(Input!$1:$1048576,BL$93,$C621*2+6)</f>
        <v>5.5E-2</v>
      </c>
      <c r="BM621" s="1">
        <f>INDEX(Input!$1:$1048576,BM$93,$C621*2+6)</f>
        <v>0.06</v>
      </c>
      <c r="BN621" s="1">
        <f>INDEX(Input!$1:$1048576,BN$93,$C621*2+6)</f>
        <v>4.4999999999999998E-2</v>
      </c>
      <c r="BO621" s="1">
        <f>INDEX(Input!$1:$1048576,BO$93,$C621*2+6)</f>
        <v>4.4999999999999998E-2</v>
      </c>
      <c r="BP621" s="1">
        <f>INDEX(Input!$1:$1048576,BP$93,$C621*2+6)</f>
        <v>0.05</v>
      </c>
      <c r="BQ621" s="1">
        <f>INDEX(Input!$1:$1048576,BQ$93,$C621*2+6)</f>
        <v>5.45E-2</v>
      </c>
      <c r="BR621" s="1">
        <f>INDEX(Input!$1:$1048576,BR$93,$C621*2+6)</f>
        <v>5.45E-2</v>
      </c>
      <c r="BS621" s="1">
        <f>INDEX(Input!$1:$1048576,BS$93,$C621*2+6)</f>
        <v>0.05</v>
      </c>
      <c r="BT621" s="1">
        <f>INDEX(Input!$1:$1048576,BT$93,$C621*2+6)</f>
        <v>0.05</v>
      </c>
      <c r="BU621" s="1">
        <f>INDEX(Input!$1:$1048576,BU$93,$C621*2+6)</f>
        <v>0.05</v>
      </c>
      <c r="BV621" s="1">
        <f>INDEX(Input!$1:$1048576,BV$93,$C621*2+6)</f>
        <v>5.5E-2</v>
      </c>
      <c r="BW621" s="1">
        <f>INDEX(Input!$1:$1048576,BW$93,$C621*2+6)</f>
        <v>0.06</v>
      </c>
      <c r="BX621" s="127">
        <f>INDEX(Input!$1:$1048576,BX$93,$C621*2+6)</f>
        <v>19985</v>
      </c>
      <c r="BY621" s="20">
        <f>INDEX(Input!$1:$1048576,BY$93,$C621*2+6)</f>
        <v>0.1</v>
      </c>
      <c r="BZ621" s="20">
        <f>INDEX(Input!$1:$1048576,BZ$93,$C621*2+6)</f>
        <v>0.1</v>
      </c>
      <c r="CA621" s="20">
        <f>INDEX(Input!$1:$1048576,CA$93,$C621*2+6)</f>
        <v>0.1</v>
      </c>
      <c r="CB621" s="20">
        <f>INDEX(Input!$1:$1048576,CB$93,$C621*2+6)</f>
        <v>0.1</v>
      </c>
      <c r="CC621" s="20">
        <f>INDEX(Input!$1:$1048576,CC$93,$C621*2+6)</f>
        <v>0.1</v>
      </c>
      <c r="CD621" s="384">
        <f>INDEX(Input!$1:$1048576,CD$93,$C621*2+6)</f>
        <v>0.1</v>
      </c>
      <c r="CE621" s="384">
        <f>INDEX(Input!$1:$1048576,CE$93,$C621*2+6)</f>
        <v>0.1</v>
      </c>
      <c r="CF621" s="384">
        <f>INDEX(Input!$1:$1048576,CF$93,$C621*2+6)</f>
        <v>0.1</v>
      </c>
      <c r="CG621" s="384">
        <f>INDEX(Input!$1:$1048576,CG$93,$C621*2+6)</f>
        <v>0.1</v>
      </c>
      <c r="CH621" s="384">
        <f>INDEX(Input!$1:$1048576,CH$93,$C621*2+6)</f>
        <v>0.1</v>
      </c>
      <c r="CI621" s="304">
        <f t="shared" si="1718"/>
        <v>1267.2644913000609</v>
      </c>
      <c r="CJ621" s="16" t="str">
        <f>INDEX(Input!$1:$1048576,CJ$93,$C621*2+6)</f>
        <v>N</v>
      </c>
      <c r="CK621" s="1" t="str">
        <f t="shared" si="1719"/>
        <v>Market</v>
      </c>
      <c r="CL621" s="1" t="str">
        <f t="shared" si="1720"/>
        <v>Market</v>
      </c>
      <c r="CM621" s="1" t="str">
        <f t="shared" si="1721"/>
        <v>Market</v>
      </c>
      <c r="CN621" s="1" t="str">
        <f t="shared" si="1722"/>
        <v>Market</v>
      </c>
      <c r="CO621" s="1" t="str">
        <f t="shared" si="1723"/>
        <v>Market</v>
      </c>
      <c r="CP621" s="304">
        <f t="shared" si="1724"/>
        <v>500</v>
      </c>
      <c r="CQ621" s="1">
        <f t="shared" si="1725"/>
        <v>0</v>
      </c>
      <c r="CR621" s="1">
        <f t="shared" si="1726"/>
        <v>0</v>
      </c>
      <c r="CS621" s="1">
        <f t="shared" si="1727"/>
        <v>0</v>
      </c>
      <c r="CT621" s="1">
        <f t="shared" si="1728"/>
        <v>8.9999999999999993E-3</v>
      </c>
      <c r="CU621" s="1">
        <f t="shared" si="1729"/>
        <v>3.9E-2</v>
      </c>
      <c r="CV621" s="304">
        <f t="shared" si="1730"/>
        <v>737.99367635402496</v>
      </c>
      <c r="CW621" s="20" t="s">
        <v>122</v>
      </c>
      <c r="CX621" s="20" t="s">
        <v>122</v>
      </c>
      <c r="CY621" s="20" t="s">
        <v>122</v>
      </c>
      <c r="CZ621" s="20" t="s">
        <v>122</v>
      </c>
      <c r="DA621" s="20" t="s">
        <v>122</v>
      </c>
      <c r="DB621" s="503">
        <f t="shared" si="1731"/>
        <v>0</v>
      </c>
      <c r="DC621" s="127">
        <v>0</v>
      </c>
      <c r="DD621" s="127">
        <v>0</v>
      </c>
      <c r="DE621" s="127">
        <v>0</v>
      </c>
      <c r="DF621" s="127">
        <v>0</v>
      </c>
      <c r="DG621" s="127">
        <v>0</v>
      </c>
      <c r="DH621" s="127">
        <v>0</v>
      </c>
      <c r="DI621" s="127">
        <v>0</v>
      </c>
      <c r="DJ621" s="127">
        <v>0</v>
      </c>
      <c r="DK621" s="127">
        <v>0</v>
      </c>
      <c r="DL621" s="127">
        <v>0</v>
      </c>
      <c r="DM621" s="304">
        <f>INDEX(Input!$1:$1048576,DM$93,$C621*2+6)</f>
        <v>21036.84210526316</v>
      </c>
      <c r="DN621" s="20">
        <v>0</v>
      </c>
      <c r="DO621" s="20">
        <v>0</v>
      </c>
      <c r="DP621" s="20">
        <v>0</v>
      </c>
      <c r="DQ621" s="20">
        <v>0</v>
      </c>
      <c r="DR621" s="20">
        <v>0</v>
      </c>
      <c r="DS621" s="20">
        <f>INDEX(Input!$1:$1048576,DS$93,$C621*2+6)</f>
        <v>0.6</v>
      </c>
      <c r="DT621" s="20">
        <f>INDEX(Input!$1:$1048576,DT$93,$C621*2+6)</f>
        <v>0.55000000000000004</v>
      </c>
      <c r="DU621" s="20">
        <f>INDEX(Input!$1:$1048576,DU$93,$C621*2+6)</f>
        <v>0.52</v>
      </c>
      <c r="DV621" s="20">
        <f>INDEX(Input!$1:$1048576,DV$93,$C621*2+6)</f>
        <v>0.5</v>
      </c>
      <c r="DW621" s="20">
        <f>INDEX(Input!$1:$1048576,DW$93,$C621*2+6)</f>
        <v>0.45</v>
      </c>
      <c r="DX621" s="20"/>
      <c r="DY621" s="7"/>
      <c r="DZ621" s="7"/>
      <c r="EA621" s="7"/>
      <c r="EB621" s="7"/>
      <c r="EC621" s="7"/>
      <c r="ED621" s="7"/>
      <c r="EE621" s="7"/>
      <c r="EF621" s="7"/>
      <c r="EG621" s="7"/>
      <c r="EH621" s="7"/>
      <c r="EI621" s="7"/>
      <c r="EJ621" s="7"/>
      <c r="EK621" s="7"/>
      <c r="EL621" s="7"/>
      <c r="EM621" s="7"/>
      <c r="EN621" s="7"/>
      <c r="EO621" s="7"/>
      <c r="EP621" s="7"/>
      <c r="EQ621" s="7"/>
      <c r="ER621" s="7"/>
      <c r="ES621" s="7"/>
      <c r="ET621" s="7"/>
      <c r="EU621" s="6"/>
      <c r="EV621" s="6"/>
      <c r="EW621" s="6"/>
      <c r="EX621" s="6"/>
      <c r="EY621" s="6"/>
      <c r="EZ621" s="6"/>
      <c r="FA621" s="6"/>
      <c r="FB621" s="6"/>
      <c r="FC621" s="6"/>
      <c r="FD621" s="6"/>
      <c r="FE621" s="6"/>
      <c r="FF621" s="6"/>
      <c r="FG621" s="6"/>
      <c r="FH621" s="6"/>
      <c r="FI621" s="6"/>
      <c r="FJ621" s="6"/>
      <c r="FK621" s="6"/>
      <c r="FL621" s="6"/>
      <c r="FM621" s="6"/>
      <c r="FN621" s="6"/>
      <c r="FO621" s="6"/>
      <c r="FP621" s="6"/>
      <c r="FQ621" s="6"/>
      <c r="FR621" s="6"/>
      <c r="FS621" s="6"/>
      <c r="FT621" s="7"/>
      <c r="FU621" s="7"/>
      <c r="FV621" s="7"/>
      <c r="FW621" s="6"/>
      <c r="FX621" s="6"/>
      <c r="FY621" s="6"/>
      <c r="FZ621" s="6"/>
      <c r="GA621" s="6"/>
      <c r="GB621" s="6"/>
      <c r="GC621" s="7"/>
      <c r="GD621" s="7"/>
      <c r="GE621" s="7"/>
      <c r="GF621" s="7"/>
      <c r="GG621" s="7"/>
      <c r="GH621" s="42"/>
      <c r="GI621" s="6"/>
      <c r="GJ621" s="14"/>
      <c r="GK621" s="14"/>
      <c r="GL621" s="14"/>
      <c r="GM621" s="14"/>
      <c r="GO621" s="5"/>
      <c r="GP621" s="5"/>
      <c r="GQ621" s="5"/>
      <c r="GR621" s="5"/>
      <c r="GS621" s="5"/>
      <c r="GT621" s="5"/>
      <c r="GU621" s="5"/>
      <c r="GV621" s="39"/>
      <c r="GW621" s="5"/>
      <c r="GX621" s="5"/>
      <c r="GY621" s="5"/>
      <c r="GZ621" s="5"/>
      <c r="HA621" s="5"/>
      <c r="HB621" s="39"/>
      <c r="HC621" s="5"/>
      <c r="HD621" s="5"/>
      <c r="HE621" s="5"/>
      <c r="HF621" s="5"/>
      <c r="HG621" s="5"/>
      <c r="HH621" s="39"/>
      <c r="HI621" s="16"/>
      <c r="HJ621" s="19"/>
      <c r="HK621" s="1"/>
      <c r="HL621" s="16"/>
      <c r="HM621" s="639">
        <f t="shared" si="1755"/>
        <v>2.3149872625708352E-2</v>
      </c>
      <c r="HN621" s="639">
        <f t="shared" si="1756"/>
        <v>1.3965040474190958E-3</v>
      </c>
      <c r="HO621" s="639">
        <f t="shared" si="1757"/>
        <v>3.5429561340050734E-3</v>
      </c>
      <c r="HP621" s="644">
        <f t="shared" ref="HP621:ID621" si="1856">HP121+HP221+HP321+HP421+HP521</f>
        <v>53.041064942153881</v>
      </c>
      <c r="HQ621" s="644">
        <f t="shared" si="1856"/>
        <v>94.220313823729185</v>
      </c>
      <c r="HR621" s="644">
        <f t="shared" si="1856"/>
        <v>-1.2612933308594223</v>
      </c>
      <c r="HS621" s="644">
        <f t="shared" si="1856"/>
        <v>-61.268045153007478</v>
      </c>
      <c r="HT621" s="644">
        <f t="shared" si="1856"/>
        <v>215.8118854855679</v>
      </c>
      <c r="HU621" s="644">
        <f t="shared" si="1856"/>
        <v>16.971116361330829</v>
      </c>
      <c r="HV621" s="644">
        <f t="shared" si="1856"/>
        <v>0</v>
      </c>
      <c r="HW621" s="644">
        <f t="shared" si="1856"/>
        <v>0</v>
      </c>
      <c r="HX621" s="644">
        <f t="shared" si="1856"/>
        <v>0</v>
      </c>
      <c r="HY621" s="644">
        <f t="shared" si="1856"/>
        <v>2396</v>
      </c>
      <c r="HZ621" s="644">
        <f t="shared" si="1856"/>
        <v>3223</v>
      </c>
      <c r="IA621" s="644">
        <f t="shared" si="1856"/>
        <v>830</v>
      </c>
      <c r="IB621" s="644">
        <f t="shared" si="1856"/>
        <v>2387.7730197891465</v>
      </c>
      <c r="IC621" s="644">
        <f t="shared" si="1856"/>
        <v>3533.0321993092971</v>
      </c>
      <c r="ID621" s="644">
        <f t="shared" si="1856"/>
        <v>845.70982303047151</v>
      </c>
      <c r="IE621" s="20">
        <f t="shared" si="1759"/>
        <v>0.35288076726685191</v>
      </c>
      <c r="IF621" s="20">
        <f t="shared" si="1760"/>
        <v>0.52213468488761627</v>
      </c>
      <c r="IG621" s="20">
        <f t="shared" si="1761"/>
        <v>0.12498454784553172</v>
      </c>
      <c r="IH621" s="21"/>
      <c r="II621" s="19"/>
      <c r="IJ621" s="19"/>
      <c r="IK621" s="19"/>
      <c r="IL621" s="19">
        <f t="shared" si="1762"/>
        <v>177.00541774892235</v>
      </c>
      <c r="IM621" s="19">
        <f t="shared" si="1763"/>
        <v>495.75967459840331</v>
      </c>
      <c r="IN621" s="19">
        <f t="shared" si="1764"/>
        <v>111.76859508038524</v>
      </c>
      <c r="IO621" s="39"/>
      <c r="IP621" s="39"/>
      <c r="IQ621" s="39"/>
      <c r="IR621" s="39"/>
      <c r="IS621" s="39"/>
      <c r="IT621" s="39"/>
      <c r="IU621" s="39"/>
      <c r="IV621" s="39"/>
      <c r="IW621" s="39"/>
      <c r="IX621" s="19">
        <f t="shared" si="1765"/>
        <v>1554.1790484140233</v>
      </c>
      <c r="IY621" s="19">
        <f t="shared" si="1766"/>
        <v>2412.3001201524512</v>
      </c>
      <c r="IZ621" s="19">
        <f t="shared" si="1767"/>
        <v>3993.0862952928574</v>
      </c>
      <c r="JA621" s="19">
        <f t="shared" ref="JA621:JC621" si="1857">IFERROR((JA121*IB121+JA221*IB221+JA321*IB321+JA421*IB421+JA521*IB521)/IB621,0)</f>
        <v>1731.1844661629457</v>
      </c>
      <c r="JB621" s="19">
        <f t="shared" si="1857"/>
        <v>2908.0597947508545</v>
      </c>
      <c r="JC621" s="19">
        <f t="shared" si="1857"/>
        <v>4104.8548903732426</v>
      </c>
      <c r="JD621" s="19">
        <f t="shared" si="1769"/>
        <v>2642.3440197114382</v>
      </c>
      <c r="JE621" s="21"/>
      <c r="JF621" s="1">
        <f t="shared" si="1770"/>
        <v>2.6651855648468406E-2</v>
      </c>
      <c r="JG621" s="15">
        <f t="shared" si="1771"/>
        <v>6449</v>
      </c>
      <c r="JH621" s="1">
        <f t="shared" si="1772"/>
        <v>2.2639182111183698E-2</v>
      </c>
      <c r="JI621" s="1">
        <f t="shared" si="1773"/>
        <v>2.659558950130117E-2</v>
      </c>
      <c r="JJ621" s="1">
        <f t="shared" si="1774"/>
        <v>0</v>
      </c>
      <c r="JK621" s="1">
        <f t="shared" si="1775"/>
        <v>4.9234771612484865E-2</v>
      </c>
      <c r="JL621" s="15">
        <f t="shared" ref="JL621:JM621" si="1858">JL121+JL221+JL321+JL421+JL521</f>
        <v>317.5150421289149</v>
      </c>
      <c r="JM621" s="15">
        <f t="shared" si="1858"/>
        <v>6766.5150421289145</v>
      </c>
      <c r="JN621" s="21"/>
      <c r="JO621" s="19">
        <f>INDEX(Input!$1:$1048576,JO$93,$C621*2+6)</f>
        <v>5995.5</v>
      </c>
      <c r="JP621" s="19">
        <f>INDEX(Input!$1:$1048576,JP$93,$C621*2+6)</f>
        <v>2296.6050414551746</v>
      </c>
      <c r="JQ621" s="39">
        <f t="shared" si="1799"/>
        <v>3353.1559802885618</v>
      </c>
      <c r="JR621" s="39">
        <f t="shared" si="1800"/>
        <v>345.73897825626364</v>
      </c>
      <c r="JS621" s="39">
        <f t="shared" si="1801"/>
        <v>17.879460555856827</v>
      </c>
      <c r="JT621" s="39">
        <f t="shared" si="1802"/>
        <v>3.0686546435124074</v>
      </c>
      <c r="JU621" s="385">
        <f>(JQ621*JM621-INDEX(Input!$1:$1048576,Input!A$18,$C621*2+6)*JL621*INDEX(Input!$1:$1048576,Input!A$19,$C621*2+6))/1000000</f>
        <v>22.689180379227079</v>
      </c>
      <c r="JV621" s="39">
        <f t="shared" si="1803"/>
        <v>-1.1649932084284984</v>
      </c>
      <c r="JW621" s="1">
        <f t="shared" si="1804"/>
        <v>-4.8838129065656544E-2</v>
      </c>
      <c r="JX621" s="19">
        <f t="shared" si="1805"/>
        <v>9664.5961178321031</v>
      </c>
      <c r="JZ621" s="341"/>
      <c r="KA621" s="60"/>
      <c r="KB621" s="469">
        <f t="shared" si="1778"/>
        <v>0</v>
      </c>
      <c r="KI621" s="472"/>
      <c r="KJ621" s="472"/>
      <c r="KK621" s="472"/>
      <c r="KN621" s="793">
        <f t="shared" si="1779"/>
        <v>6002</v>
      </c>
      <c r="KO621" s="541">
        <f t="shared" si="1780"/>
        <v>2.5184735480840548E-2</v>
      </c>
      <c r="KP621" s="546">
        <f t="shared" si="1781"/>
        <v>170.79840242570941</v>
      </c>
      <c r="KQ621" s="546">
        <f t="shared" si="1782"/>
        <v>179.51076310629333</v>
      </c>
      <c r="KR621" s="472">
        <f t="shared" si="1783"/>
        <v>2.5836959141085929</v>
      </c>
      <c r="KS621" s="472">
        <f t="shared" si="1784"/>
        <v>2.4582990281328136</v>
      </c>
      <c r="KT621" s="473">
        <f t="shared" si="1795"/>
        <v>4286.2445668946921</v>
      </c>
      <c r="KU621" s="663">
        <f t="shared" si="1785"/>
        <v>4.3766213284499349</v>
      </c>
      <c r="KV621" s="117"/>
    </row>
    <row r="622" spans="1:308" s="26" customFormat="1" ht="15">
      <c r="A622" s="561">
        <f t="shared" si="1751"/>
        <v>6022</v>
      </c>
      <c r="B622" s="561">
        <f t="shared" si="1786"/>
        <v>22</v>
      </c>
      <c r="C622" s="561">
        <f t="shared" si="1787"/>
        <v>6</v>
      </c>
      <c r="D622" s="561" t="str">
        <f t="shared" si="1855"/>
        <v xml:space="preserve">0/1.9/2.9/3.9, </v>
      </c>
      <c r="E622" s="475">
        <f>INDEX(Input!$1:$1048576,E$93,$C622*2+MIN($B622,2)+5)
+INDEX(Scenarios!E$121:E$199,MATCH($B622,Scenarios!$B$121:$B$199,0))</f>
        <v>1267.2644913000609</v>
      </c>
      <c r="F622" s="475">
        <f>INDEX(Input!$1:$1048576,F$93,$C622*2+MIN($B622,2)+5)
+INDEX(Scenarios!F$121:F$199,MATCH($B622,Scenarios!$B$121:$B$199,0))</f>
        <v>0</v>
      </c>
      <c r="G622" s="475">
        <f>INDEX(Input!$1:$1048576,G$93,$C622*2+MIN($B622,2)+5)
+INDEX(Scenarios!G$121:G$199,MATCH($B622,Scenarios!$B$121:$B$199,0))</f>
        <v>0</v>
      </c>
      <c r="H622" s="475">
        <f>INDEX(Input!$1:$1048576,H$93,$C622*2+MIN($B622,2)+5)
+INDEX(Scenarios!H$121:H$199,MATCH($B622,Scenarios!$B$121:$B$199,0))</f>
        <v>0</v>
      </c>
      <c r="I622" s="476">
        <f>INDEX(Input!$1:$1048576,I$93,$C622*2+MIN($B622,2)+5)
+INDEX(Scenarios!I$121:I$199,MATCH($B622,Scenarios!$B$121:$B$199,0))</f>
        <v>0.7</v>
      </c>
      <c r="J622" s="476" t="str">
        <f>INDEX(Input!$1:$1048576,J$93,$C622*2+MIN($B622,2)+5)</f>
        <v>Market</v>
      </c>
      <c r="K622" s="476" t="str">
        <f>INDEX(Input!$1:$1048576,K$93,$C622*2+MIN($B622,2)+5)</f>
        <v>Market</v>
      </c>
      <c r="L622" s="476" t="str">
        <f>INDEX(Input!$1:$1048576,L$93,$C622*2+MIN($B622,2)+5)</f>
        <v>Market</v>
      </c>
      <c r="M622" s="476" t="str">
        <f>INDEX(Input!$1:$1048576,M$93,$C622*2+MIN($B622,2)+5)</f>
        <v>Market</v>
      </c>
      <c r="N622" s="476" t="str">
        <f>INDEX(Input!$1:$1048576,N$93,$C622*2+MIN($B622,2)+5)</f>
        <v>Market</v>
      </c>
      <c r="O622" s="476" t="str">
        <f>INDEX(Input!$1:$1048576,O$93,$C622*2+MIN($B622,2)+5)</f>
        <v>Market</v>
      </c>
      <c r="P622" s="476" t="str">
        <f>INDEX(Input!$1:$1048576,P$93,$C622*2+MIN($B622,2)+5)</f>
        <v>N</v>
      </c>
      <c r="Q622" s="477">
        <f>INDEX(Input!$1:$1048576,Q$93,$C622*2+MIN($B622,2)+5)
+INDEX(Scenarios!Q$121:Q$199,MATCH($B622,Scenarios!$B$121:$B$199,0))</f>
        <v>0</v>
      </c>
      <c r="R622" s="478">
        <f>IFERROR(MAX(0,INDEX(Input!$1:$1048576,R$93,$C622*2+MIN($B622,2)+5)
+INDEX(Scenarios!R$121:R$199,MATCH($B622,Scenarios!$B$121:$B$199,0)),),"Market")</f>
        <v>0</v>
      </c>
      <c r="S622" s="478">
        <f>IFERROR(MAX(0,INDEX(Input!$1:$1048576,S$93,$C622*2+MIN($B622,2)+5)
+INDEX(Scenarios!S$121:S$199,MATCH($B622,Scenarios!$B$121:$B$199,0)),),"Market")</f>
        <v>0</v>
      </c>
      <c r="T622" s="478">
        <f>IFERROR(MAX(0,INDEX(Input!$1:$1048576,T$93,$C622*2+MIN($B622,2)+5)
+INDEX(Scenarios!T$121:T$199,MATCH($B622,Scenarios!$B$121:$B$199,0)),),"Market")</f>
        <v>0</v>
      </c>
      <c r="U622" s="478">
        <f>IFERROR(MAX(0,INDEX(Input!$1:$1048576,U$93,$C622*2+MIN($B622,2)+5)
+INDEX(Scenarios!U$121:U$199,MATCH($B622,Scenarios!$B$121:$B$199,0)),),"Market")</f>
        <v>0</v>
      </c>
      <c r="V622" s="478">
        <f>IFERROR(MAX(0,INDEX(Input!$1:$1048576,V$93,$C622*2+MIN($B622,2)+5)
+INDEX(Scenarios!V$121:V$199,MATCH($B622,Scenarios!$B$121:$B$199,0)),),"Market")</f>
        <v>2.8999999999999998E-2</v>
      </c>
      <c r="W622" s="885">
        <f>IFERROR(MAX(0,INDEX(Input!$1:$1048576,W$93,$C622*2+MIN($B622,2)+5)-0%,),"Market")</f>
        <v>3.9E-2</v>
      </c>
      <c r="X622" s="476" t="str">
        <f>INDEX(Input!$1:$1048576,X$93,$C622*2+MIN($B622,2)+5)</f>
        <v>Y</v>
      </c>
      <c r="Y622" s="475">
        <f>INDEX(Input!$1:$1048576,Y$93,$C622*2+MIN($B622,2)+5)
++INDEX(Scenarios!Y$121:Y$199,MATCH($B622,Scenarios!$B$121:$B$199,0))</f>
        <v>737.99367635402496</v>
      </c>
      <c r="Z622" s="477">
        <f>INDEX(Input!$1:$1048576,Z$93,$C622*2+MIN($B622,2)+5)
+INDEX(Scenarios!Z$121:Z$199,MATCH($B622,Scenarios!$B$121:$B$199,0))</f>
        <v>0</v>
      </c>
      <c r="AA622" s="475">
        <f>INDEX(Input!$1:$1048576,AA$93,$C622*2+MIN($B622,2)+5)</f>
        <v>0</v>
      </c>
      <c r="AB622" s="476">
        <f>INDEX(Input!$1:$1048576,AB$93,$C622*2+MIN($B622,2)+5)</f>
        <v>0.27</v>
      </c>
      <c r="AC622" s="475">
        <f>INDEX(Input!$1:$1048576,AC$93,$C622*2+MIN($B622,2)+5)
+INDEX(Scenarios!AC$121:AC$199,MATCH($B622,Scenarios!$B$121:$B$199,0))</f>
        <v>0</v>
      </c>
      <c r="AD622" s="476">
        <f>INDEX(Input!$1:$1048576,AD$93,$C622*2+MIN($B622,2)+5)</f>
        <v>0.27</v>
      </c>
      <c r="AE622" s="475">
        <f>INDEX(Input!$1:$1048576,AE$93,$C622*2+MIN($B622,2)+5)
+INDEX(Scenarios!AE$121:AE$199,MATCH($B622,Scenarios!$B$121:$B$199,0))</f>
        <v>0</v>
      </c>
      <c r="AF622" s="476">
        <f>INDEX(Input!$1:$1048576,AF$93,$C622*2+MIN($B622,2)+5)</f>
        <v>1</v>
      </c>
      <c r="AG622" s="475">
        <f>INDEX(Input!$1:$1048576,AG$93,$C622*2+MIN($B622,2)+5)</f>
        <v>500</v>
      </c>
      <c r="AH622" s="476">
        <f>INDEX(Input!$1:$1048576,AH$93,$C622*2+MIN($B622,2)+5)</f>
        <v>1</v>
      </c>
      <c r="AI622" s="475">
        <f>INDEX(Input!$1:$1048576,AI$93,$C622*2+MIN($B622,2)+5)</f>
        <v>0</v>
      </c>
      <c r="AJ622" s="476">
        <f>INDEX(Input!$1:$1048576,AJ$93,$C622*2+MIN($B622,2)+5)</f>
        <v>0.27</v>
      </c>
      <c r="AK622" s="150">
        <f>ROUND(INDEX(Input!$1:$1048576,AK$93,$C621*2+MIN($B622,1)+5)+(Y622-VLOOKUP($C622*1000+1,$A:$HH,Y$92,FALSE)),0)</f>
        <v>3061</v>
      </c>
      <c r="AL622" s="150">
        <f>ROUND(INDEX(Input!$1:$1048576,AL$93,$C621*2+MIN($B622,1)+5)-(Y622-VLOOKUP($C622*1000+1,$A:$HH,Y$92,FALSE))/36,0)</f>
        <v>3552</v>
      </c>
      <c r="AM622" s="32" t="str">
        <f t="shared" si="1752"/>
        <v>std/std/std/std</v>
      </c>
      <c r="AN622" s="32" t="str">
        <f t="shared" si="1753"/>
        <v>$0 + 0/0/0/2.9/3.9</v>
      </c>
      <c r="AO622" s="32" t="str">
        <f t="shared" si="1754"/>
        <v>0/0/0/2.9/3.9</v>
      </c>
      <c r="AP622" s="32" t="str">
        <f t="shared" si="1716"/>
        <v>0/1.9/2.9/3.9</v>
      </c>
      <c r="AQ622" s="536">
        <f t="shared" si="1717"/>
        <v>0.38389987857549901</v>
      </c>
      <c r="AR622" s="32"/>
      <c r="AS622" s="302"/>
      <c r="AT622" s="3">
        <f t="shared" si="1788"/>
        <v>22</v>
      </c>
      <c r="AU622" s="41" t="s">
        <v>121</v>
      </c>
      <c r="AV622" s="41" t="s">
        <v>116</v>
      </c>
      <c r="AW622" s="41" t="str">
        <f>INDEX(Input!$1:$1048576,AW$93,$C622*2+6)</f>
        <v>Kia</v>
      </c>
      <c r="AX622" s="41" t="str">
        <f>INDEX(Input!$1:$1048576,AX$93,$C622*2+6)</f>
        <v>National</v>
      </c>
      <c r="AY622" s="41" t="str">
        <f>IF(LEN(D622)=0,"",INDEX(Input!$1:$1048576,AY$93,$C622*2+6))</f>
        <v>Compact SUV (52)</v>
      </c>
      <c r="AZ622" s="41" t="str">
        <f>INDEX(Input!$1:$1048576,AZ$93,$C622*2+6)</f>
        <v>Kia Soul</v>
      </c>
      <c r="BA622" s="3">
        <f>INDEX(Input!$1:$1048576,BA$93,$C622*2+6)</f>
        <v>2020</v>
      </c>
      <c r="BB622" s="128">
        <f>INDEX(Input!$1:$1048576,BB$93,$C622*2+6)</f>
        <v>1</v>
      </c>
      <c r="BC622" s="128">
        <f>INDEX(Input!$1:$1048576,BC$93,$C622*2+6)</f>
        <v>0.7</v>
      </c>
      <c r="BD622" s="1">
        <f>INDEX(Input!$1:$1048576,BD$93,$C622*2+6)</f>
        <v>4.4999999999999998E-2</v>
      </c>
      <c r="BE622" s="1">
        <f>INDEX(Input!$1:$1048576,BE$93,$C622*2+6)</f>
        <v>4.4999999999999998E-2</v>
      </c>
      <c r="BF622" s="1">
        <f>INDEX(Input!$1:$1048576,BF$93,$C622*2+6)</f>
        <v>0.05</v>
      </c>
      <c r="BG622" s="1">
        <f>INDEX(Input!$1:$1048576,BG$93,$C622*2+6)</f>
        <v>5.45E-2</v>
      </c>
      <c r="BH622" s="1">
        <f>INDEX(Input!$1:$1048576,BH$93,$C622*2+6)</f>
        <v>5.45E-2</v>
      </c>
      <c r="BI622" s="1">
        <f>INDEX(Input!$1:$1048576,BI$93,$C622*2+6)</f>
        <v>0.05</v>
      </c>
      <c r="BJ622" s="1">
        <f>INDEX(Input!$1:$1048576,BJ$93,$C622*2+6)</f>
        <v>0.05</v>
      </c>
      <c r="BK622" s="1">
        <f>INDEX(Input!$1:$1048576,BK$93,$C622*2+6)</f>
        <v>0.05</v>
      </c>
      <c r="BL622" s="1">
        <f>INDEX(Input!$1:$1048576,BL$93,$C622*2+6)</f>
        <v>5.5E-2</v>
      </c>
      <c r="BM622" s="1">
        <f>INDEX(Input!$1:$1048576,BM$93,$C622*2+6)</f>
        <v>0.06</v>
      </c>
      <c r="BN622" s="1">
        <f>INDEX(Input!$1:$1048576,BN$93,$C622*2+6)</f>
        <v>4.4999999999999998E-2</v>
      </c>
      <c r="BO622" s="1">
        <f>INDEX(Input!$1:$1048576,BO$93,$C622*2+6)</f>
        <v>4.4999999999999998E-2</v>
      </c>
      <c r="BP622" s="1">
        <f>INDEX(Input!$1:$1048576,BP$93,$C622*2+6)</f>
        <v>0.05</v>
      </c>
      <c r="BQ622" s="1">
        <f>INDEX(Input!$1:$1048576,BQ$93,$C622*2+6)</f>
        <v>5.45E-2</v>
      </c>
      <c r="BR622" s="1">
        <f>INDEX(Input!$1:$1048576,BR$93,$C622*2+6)</f>
        <v>5.45E-2</v>
      </c>
      <c r="BS622" s="1">
        <f>INDEX(Input!$1:$1048576,BS$93,$C622*2+6)</f>
        <v>0.05</v>
      </c>
      <c r="BT622" s="1">
        <f>INDEX(Input!$1:$1048576,BT$93,$C622*2+6)</f>
        <v>0.05</v>
      </c>
      <c r="BU622" s="1">
        <f>INDEX(Input!$1:$1048576,BU$93,$C622*2+6)</f>
        <v>0.05</v>
      </c>
      <c r="BV622" s="1">
        <f>INDEX(Input!$1:$1048576,BV$93,$C622*2+6)</f>
        <v>5.5E-2</v>
      </c>
      <c r="BW622" s="1">
        <f>INDEX(Input!$1:$1048576,BW$93,$C622*2+6)</f>
        <v>0.06</v>
      </c>
      <c r="BX622" s="127">
        <f>INDEX(Input!$1:$1048576,BX$93,$C622*2+6)</f>
        <v>19985</v>
      </c>
      <c r="BY622" s="20">
        <f>INDEX(Input!$1:$1048576,BY$93,$C622*2+6)</f>
        <v>0.1</v>
      </c>
      <c r="BZ622" s="20">
        <f>INDEX(Input!$1:$1048576,BZ$93,$C622*2+6)</f>
        <v>0.1</v>
      </c>
      <c r="CA622" s="20">
        <f>INDEX(Input!$1:$1048576,CA$93,$C622*2+6)</f>
        <v>0.1</v>
      </c>
      <c r="CB622" s="20">
        <f>INDEX(Input!$1:$1048576,CB$93,$C622*2+6)</f>
        <v>0.1</v>
      </c>
      <c r="CC622" s="20">
        <f>INDEX(Input!$1:$1048576,CC$93,$C622*2+6)</f>
        <v>0.1</v>
      </c>
      <c r="CD622" s="384">
        <f>INDEX(Input!$1:$1048576,CD$93,$C622*2+6)</f>
        <v>0.1</v>
      </c>
      <c r="CE622" s="384">
        <f>INDEX(Input!$1:$1048576,CE$93,$C622*2+6)</f>
        <v>0.1</v>
      </c>
      <c r="CF622" s="384">
        <f>INDEX(Input!$1:$1048576,CF$93,$C622*2+6)</f>
        <v>0.1</v>
      </c>
      <c r="CG622" s="384">
        <f>INDEX(Input!$1:$1048576,CG$93,$C622*2+6)</f>
        <v>0.1</v>
      </c>
      <c r="CH622" s="384">
        <f>INDEX(Input!$1:$1048576,CH$93,$C622*2+6)</f>
        <v>0.1</v>
      </c>
      <c r="CI622" s="304">
        <f t="shared" si="1718"/>
        <v>1267.2644913000609</v>
      </c>
      <c r="CJ622" s="16" t="str">
        <f>INDEX(Input!$1:$1048576,CJ$93,$C622*2+6)</f>
        <v>N</v>
      </c>
      <c r="CK622" s="1" t="str">
        <f t="shared" si="1719"/>
        <v>Market</v>
      </c>
      <c r="CL622" s="1" t="str">
        <f t="shared" si="1720"/>
        <v>Market</v>
      </c>
      <c r="CM622" s="1" t="str">
        <f t="shared" si="1721"/>
        <v>Market</v>
      </c>
      <c r="CN622" s="1" t="str">
        <f t="shared" si="1722"/>
        <v>Market</v>
      </c>
      <c r="CO622" s="1" t="str">
        <f t="shared" si="1723"/>
        <v>Market</v>
      </c>
      <c r="CP622" s="304">
        <f t="shared" si="1724"/>
        <v>500</v>
      </c>
      <c r="CQ622" s="1">
        <f t="shared" si="1725"/>
        <v>0</v>
      </c>
      <c r="CR622" s="1">
        <f t="shared" si="1726"/>
        <v>0</v>
      </c>
      <c r="CS622" s="1">
        <f t="shared" si="1727"/>
        <v>0</v>
      </c>
      <c r="CT622" s="1">
        <f t="shared" si="1728"/>
        <v>2.8999999999999998E-2</v>
      </c>
      <c r="CU622" s="1">
        <f t="shared" si="1729"/>
        <v>3.9E-2</v>
      </c>
      <c r="CV622" s="304">
        <f t="shared" si="1730"/>
        <v>737.99367635402496</v>
      </c>
      <c r="CW622" s="20" t="s">
        <v>122</v>
      </c>
      <c r="CX622" s="20" t="s">
        <v>122</v>
      </c>
      <c r="CY622" s="20" t="s">
        <v>122</v>
      </c>
      <c r="CZ622" s="20" t="s">
        <v>122</v>
      </c>
      <c r="DA622" s="20" t="s">
        <v>122</v>
      </c>
      <c r="DB622" s="503">
        <f t="shared" si="1731"/>
        <v>0</v>
      </c>
      <c r="DC622" s="127">
        <v>0</v>
      </c>
      <c r="DD622" s="127">
        <v>0</v>
      </c>
      <c r="DE622" s="127">
        <v>0</v>
      </c>
      <c r="DF622" s="127">
        <v>0</v>
      </c>
      <c r="DG622" s="127">
        <v>0</v>
      </c>
      <c r="DH622" s="127">
        <v>0</v>
      </c>
      <c r="DI622" s="127">
        <v>0</v>
      </c>
      <c r="DJ622" s="127">
        <v>0</v>
      </c>
      <c r="DK622" s="127">
        <v>0</v>
      </c>
      <c r="DL622" s="127">
        <v>0</v>
      </c>
      <c r="DM622" s="304">
        <f>INDEX(Input!$1:$1048576,DM$93,$C622*2+6)</f>
        <v>21036.84210526316</v>
      </c>
      <c r="DN622" s="20">
        <v>0</v>
      </c>
      <c r="DO622" s="20">
        <v>0</v>
      </c>
      <c r="DP622" s="20">
        <v>0</v>
      </c>
      <c r="DQ622" s="20">
        <v>0</v>
      </c>
      <c r="DR622" s="20">
        <v>0</v>
      </c>
      <c r="DS622" s="20">
        <f>INDEX(Input!$1:$1048576,DS$93,$C622*2+6)</f>
        <v>0.6</v>
      </c>
      <c r="DT622" s="20">
        <f>INDEX(Input!$1:$1048576,DT$93,$C622*2+6)</f>
        <v>0.55000000000000004</v>
      </c>
      <c r="DU622" s="20">
        <f>INDEX(Input!$1:$1048576,DU$93,$C622*2+6)</f>
        <v>0.52</v>
      </c>
      <c r="DV622" s="20">
        <f>INDEX(Input!$1:$1048576,DV$93,$C622*2+6)</f>
        <v>0.5</v>
      </c>
      <c r="DW622" s="20">
        <f>INDEX(Input!$1:$1048576,DW$93,$C622*2+6)</f>
        <v>0.45</v>
      </c>
      <c r="DX622" s="20"/>
      <c r="DY622" s="7"/>
      <c r="DZ622" s="7"/>
      <c r="EA622" s="7"/>
      <c r="EB622" s="7"/>
      <c r="EC622" s="7"/>
      <c r="ED622" s="7"/>
      <c r="EE622" s="7"/>
      <c r="EF622" s="7"/>
      <c r="EG622" s="7"/>
      <c r="EH622" s="7"/>
      <c r="EI622" s="7"/>
      <c r="EJ622" s="7"/>
      <c r="EK622" s="7"/>
      <c r="EL622" s="7"/>
      <c r="EM622" s="7"/>
      <c r="EN622" s="7"/>
      <c r="EO622" s="7"/>
      <c r="EP622" s="7"/>
      <c r="EQ622" s="7"/>
      <c r="ER622" s="7"/>
      <c r="ES622" s="7"/>
      <c r="ET622" s="7"/>
      <c r="EU622" s="6"/>
      <c r="EV622" s="6"/>
      <c r="EW622" s="6"/>
      <c r="EX622" s="6"/>
      <c r="EY622" s="6"/>
      <c r="EZ622" s="6"/>
      <c r="FA622" s="6"/>
      <c r="FB622" s="6"/>
      <c r="FC622" s="6"/>
      <c r="FD622" s="6"/>
      <c r="FE622" s="6"/>
      <c r="FF622" s="6"/>
      <c r="FG622" s="6"/>
      <c r="FH622" s="6"/>
      <c r="FI622" s="6"/>
      <c r="FJ622" s="6"/>
      <c r="FK622" s="6"/>
      <c r="FL622" s="6"/>
      <c r="FM622" s="6"/>
      <c r="FN622" s="6"/>
      <c r="FO622" s="6"/>
      <c r="FP622" s="6"/>
      <c r="FQ622" s="6"/>
      <c r="FR622" s="6"/>
      <c r="FS622" s="6"/>
      <c r="FT622" s="7"/>
      <c r="FU622" s="7"/>
      <c r="FV622" s="7"/>
      <c r="FW622" s="6"/>
      <c r="FX622" s="6"/>
      <c r="FY622" s="6"/>
      <c r="FZ622" s="6"/>
      <c r="GA622" s="6"/>
      <c r="GB622" s="6"/>
      <c r="GC622" s="7"/>
      <c r="GD622" s="7"/>
      <c r="GE622" s="7"/>
      <c r="GF622" s="7"/>
      <c r="GG622" s="7"/>
      <c r="GH622" s="42"/>
      <c r="GI622" s="6"/>
      <c r="GJ622" s="14"/>
      <c r="GK622" s="14"/>
      <c r="GL622" s="14"/>
      <c r="GM622" s="14"/>
      <c r="GO622" s="5"/>
      <c r="GP622" s="5"/>
      <c r="GQ622" s="5"/>
      <c r="GR622" s="5"/>
      <c r="GS622" s="5"/>
      <c r="GT622" s="5"/>
      <c r="GU622" s="5"/>
      <c r="GV622" s="39"/>
      <c r="GW622" s="5"/>
      <c r="GX622" s="5"/>
      <c r="GY622" s="5"/>
      <c r="GZ622" s="5"/>
      <c r="HA622" s="5"/>
      <c r="HB622" s="39"/>
      <c r="HC622" s="5"/>
      <c r="HD622" s="5"/>
      <c r="HE622" s="5"/>
      <c r="HF622" s="5"/>
      <c r="HG622" s="5"/>
      <c r="HH622" s="39"/>
      <c r="HI622" s="16"/>
      <c r="HJ622" s="19"/>
      <c r="HK622" s="1"/>
      <c r="HL622" s="16"/>
      <c r="HM622" s="639">
        <f t="shared" si="1755"/>
        <v>2.3149872625708352E-2</v>
      </c>
      <c r="HN622" s="639">
        <f t="shared" si="1756"/>
        <v>1.3965040474190958E-3</v>
      </c>
      <c r="HO622" s="639">
        <f t="shared" si="1757"/>
        <v>3.5429561340050734E-3</v>
      </c>
      <c r="HP622" s="644">
        <f t="shared" ref="HP622:ID622" si="1859">HP122+HP222+HP322+HP422+HP522</f>
        <v>151.48088970875762</v>
      </c>
      <c r="HQ622" s="644">
        <f t="shared" si="1859"/>
        <v>-57.223205026678379</v>
      </c>
      <c r="HR622" s="644">
        <f t="shared" si="1859"/>
        <v>15.41209715388997</v>
      </c>
      <c r="HS622" s="644">
        <f t="shared" si="1859"/>
        <v>-59.293947114585265</v>
      </c>
      <c r="HT622" s="644">
        <f t="shared" si="1859"/>
        <v>-33.029457399436389</v>
      </c>
      <c r="HU622" s="644">
        <f t="shared" si="1859"/>
        <v>14.997018322908568</v>
      </c>
      <c r="HV622" s="644">
        <f t="shared" si="1859"/>
        <v>0</v>
      </c>
      <c r="HW622" s="644">
        <f t="shared" si="1859"/>
        <v>0</v>
      </c>
      <c r="HX622" s="644">
        <f t="shared" si="1859"/>
        <v>0</v>
      </c>
      <c r="HY622" s="644">
        <f t="shared" si="1859"/>
        <v>2396</v>
      </c>
      <c r="HZ622" s="644">
        <f t="shared" si="1859"/>
        <v>3223</v>
      </c>
      <c r="IA622" s="644">
        <f t="shared" si="1859"/>
        <v>830</v>
      </c>
      <c r="IB622" s="644">
        <f t="shared" si="1859"/>
        <v>2488.1869425941727</v>
      </c>
      <c r="IC622" s="644">
        <f t="shared" si="1859"/>
        <v>3132.747337573885</v>
      </c>
      <c r="ID622" s="644">
        <f t="shared" si="1859"/>
        <v>860.40911547679855</v>
      </c>
      <c r="IE622" s="20">
        <f t="shared" si="1759"/>
        <v>0.38389987857549901</v>
      </c>
      <c r="IF622" s="20">
        <f t="shared" si="1760"/>
        <v>0.48334845823459022</v>
      </c>
      <c r="IG622" s="20">
        <f t="shared" si="1761"/>
        <v>0.13275166318991077</v>
      </c>
      <c r="IH622" s="21"/>
      <c r="II622" s="19"/>
      <c r="IJ622" s="19"/>
      <c r="IK622" s="19"/>
      <c r="IL622" s="19">
        <f t="shared" si="1762"/>
        <v>175.31170634180035</v>
      </c>
      <c r="IM622" s="19">
        <f t="shared" si="1763"/>
        <v>-53.189785620718339</v>
      </c>
      <c r="IN622" s="19">
        <f t="shared" si="1764"/>
        <v>110.90031465063203</v>
      </c>
      <c r="IO622" s="39"/>
      <c r="IP622" s="39"/>
      <c r="IQ622" s="39"/>
      <c r="IR622" s="39"/>
      <c r="IS622" s="39"/>
      <c r="IT622" s="39"/>
      <c r="IU622" s="39"/>
      <c r="IV622" s="39"/>
      <c r="IW622" s="39"/>
      <c r="IX622" s="19">
        <f t="shared" si="1765"/>
        <v>1554.1790484140233</v>
      </c>
      <c r="IY622" s="19">
        <f t="shared" si="1766"/>
        <v>2412.3001201524512</v>
      </c>
      <c r="IZ622" s="19">
        <f t="shared" si="1767"/>
        <v>3993.0862952928574</v>
      </c>
      <c r="JA622" s="19">
        <f t="shared" ref="JA622:JC622" si="1860">IFERROR((JA122*IB122+JA222*IB222+JA322*IB322+JA422*IB422+JA522*IB522)/IB622,0)</f>
        <v>1729.4907547558237</v>
      </c>
      <c r="JB622" s="19">
        <f t="shared" si="1860"/>
        <v>2359.1103345317329</v>
      </c>
      <c r="JC622" s="19">
        <f t="shared" si="1860"/>
        <v>4103.9866099434894</v>
      </c>
      <c r="JD622" s="19">
        <f t="shared" si="1769"/>
        <v>2349.0346819285323</v>
      </c>
      <c r="JE622" s="21"/>
      <c r="JF622" s="1">
        <f t="shared" si="1770"/>
        <v>2.6651855648468406E-2</v>
      </c>
      <c r="JG622" s="15">
        <f t="shared" si="1771"/>
        <v>6449</v>
      </c>
      <c r="JH622" s="1">
        <f t="shared" si="1772"/>
        <v>1.7005703494490494E-2</v>
      </c>
      <c r="JI622" s="1">
        <f t="shared" si="1773"/>
        <v>-1.199044599024858E-2</v>
      </c>
      <c r="JJ622" s="1">
        <f t="shared" si="1774"/>
        <v>0</v>
      </c>
      <c r="JK622" s="1">
        <f t="shared" si="1775"/>
        <v>5.0152575042419186E-3</v>
      </c>
      <c r="JL622" s="15">
        <f t="shared" ref="JL622:JM622" si="1861">JL122+JL222+JL322+JL422+JL522</f>
        <v>32.34339564485613</v>
      </c>
      <c r="JM622" s="15">
        <f t="shared" si="1861"/>
        <v>6481.3433956448562</v>
      </c>
      <c r="JN622" s="21"/>
      <c r="JO622" s="19">
        <f>INDEX(Input!$1:$1048576,JO$93,$C622*2+6)</f>
        <v>5995.5</v>
      </c>
      <c r="JP622" s="19">
        <f>INDEX(Input!$1:$1048576,JP$93,$C622*2+6)</f>
        <v>2296.6050414551746</v>
      </c>
      <c r="JQ622" s="39">
        <f t="shared" si="1799"/>
        <v>3646.4653180714677</v>
      </c>
      <c r="JR622" s="39">
        <f t="shared" si="1800"/>
        <v>52.429640473357722</v>
      </c>
      <c r="JS622" s="39">
        <f t="shared" si="1801"/>
        <v>15.224900421858209</v>
      </c>
      <c r="JT622" s="39">
        <f t="shared" si="1802"/>
        <v>0.4140945095137879</v>
      </c>
      <c r="JU622" s="385">
        <f>(JQ622*JM622-INDEX(Input!$1:$1048576,Input!A$18,$C622*2+6)*JL622*INDEX(Input!$1:$1048576,Input!A$19,$C622*2+6))/1000000</f>
        <v>23.633993906730524</v>
      </c>
      <c r="JV622" s="39">
        <f t="shared" si="1803"/>
        <v>-0.22017968092505313</v>
      </c>
      <c r="JW622" s="1">
        <f t="shared" si="1804"/>
        <v>-9.2302372210033342E-3</v>
      </c>
      <c r="JX622" s="19">
        <f t="shared" si="1805"/>
        <v>12803.062302447059</v>
      </c>
      <c r="JZ622" s="341"/>
      <c r="KA622" s="60"/>
      <c r="KB622" s="469">
        <f t="shared" si="1778"/>
        <v>0</v>
      </c>
      <c r="KI622" s="472"/>
      <c r="KJ622" s="472"/>
      <c r="KK622" s="472"/>
      <c r="KN622" s="793">
        <f t="shared" si="1779"/>
        <v>6002</v>
      </c>
      <c r="KO622" s="541">
        <f t="shared" si="1780"/>
        <v>-1.8021200979386864E-2</v>
      </c>
      <c r="KP622" s="546">
        <f t="shared" si="1781"/>
        <v>-107.4690063604822</v>
      </c>
      <c r="KQ622" s="546">
        <f t="shared" si="1782"/>
        <v>-113.79857467661259</v>
      </c>
      <c r="KR622" s="472">
        <f t="shared" si="1783"/>
        <v>2.9382470274067813</v>
      </c>
      <c r="KS622" s="472">
        <f t="shared" si="1784"/>
        <v>2.7748193628469329</v>
      </c>
      <c r="KT622" s="473">
        <f t="shared" si="1795"/>
        <v>4286.2445668946921</v>
      </c>
      <c r="KU622" s="663">
        <f t="shared" si="1785"/>
        <v>4.3570650808478106</v>
      </c>
      <c r="KV622" s="117"/>
    </row>
    <row r="623" spans="1:308" s="26" customFormat="1" ht="15">
      <c r="A623" s="561">
        <f t="shared" si="1751"/>
        <v>6023</v>
      </c>
      <c r="B623" s="561">
        <f t="shared" si="1786"/>
        <v>23</v>
      </c>
      <c r="C623" s="561">
        <f t="shared" si="1787"/>
        <v>6</v>
      </c>
      <c r="D623" s="561" t="str">
        <f t="shared" si="1855"/>
        <v xml:space="preserve">0/0/0.9/3.9, </v>
      </c>
      <c r="E623" s="475">
        <f>INDEX(Input!$1:$1048576,E$93,$C623*2+MIN($B623,2)+5)
+INDEX(Scenarios!E$121:E$199,MATCH($B623,Scenarios!$B$121:$B$199,0))</f>
        <v>1267.2644913000609</v>
      </c>
      <c r="F623" s="475">
        <f>INDEX(Input!$1:$1048576,F$93,$C623*2+MIN($B623,2)+5)
+INDEX(Scenarios!F$121:F$199,MATCH($B623,Scenarios!$B$121:$B$199,0))</f>
        <v>0</v>
      </c>
      <c r="G623" s="475">
        <f>INDEX(Input!$1:$1048576,G$93,$C623*2+MIN($B623,2)+5)
+INDEX(Scenarios!G$121:G$199,MATCH($B623,Scenarios!$B$121:$B$199,0))</f>
        <v>0</v>
      </c>
      <c r="H623" s="475">
        <f>INDEX(Input!$1:$1048576,H$93,$C623*2+MIN($B623,2)+5)
+INDEX(Scenarios!H$121:H$199,MATCH($B623,Scenarios!$B$121:$B$199,0))</f>
        <v>0</v>
      </c>
      <c r="I623" s="476">
        <f>INDEX(Input!$1:$1048576,I$93,$C623*2+MIN($B623,2)+5)
+INDEX(Scenarios!I$121:I$199,MATCH($B623,Scenarios!$B$121:$B$199,0))</f>
        <v>0.7</v>
      </c>
      <c r="J623" s="476" t="str">
        <f>INDEX(Input!$1:$1048576,J$93,$C623*2+MIN($B623,2)+5)</f>
        <v>Market</v>
      </c>
      <c r="K623" s="476" t="str">
        <f>INDEX(Input!$1:$1048576,K$93,$C623*2+MIN($B623,2)+5)</f>
        <v>Market</v>
      </c>
      <c r="L623" s="476" t="str">
        <f>INDEX(Input!$1:$1048576,L$93,$C623*2+MIN($B623,2)+5)</f>
        <v>Market</v>
      </c>
      <c r="M623" s="476" t="str">
        <f>INDEX(Input!$1:$1048576,M$93,$C623*2+MIN($B623,2)+5)</f>
        <v>Market</v>
      </c>
      <c r="N623" s="476" t="str">
        <f>INDEX(Input!$1:$1048576,N$93,$C623*2+MIN($B623,2)+5)</f>
        <v>Market</v>
      </c>
      <c r="O623" s="476" t="str">
        <f>INDEX(Input!$1:$1048576,O$93,$C623*2+MIN($B623,2)+5)</f>
        <v>Market</v>
      </c>
      <c r="P623" s="476" t="str">
        <f>INDEX(Input!$1:$1048576,P$93,$C623*2+MIN($B623,2)+5)</f>
        <v>N</v>
      </c>
      <c r="Q623" s="477">
        <f>INDEX(Input!$1:$1048576,Q$93,$C623*2+MIN($B623,2)+5)
+INDEX(Scenarios!Q$121:Q$199,MATCH($B623,Scenarios!$B$121:$B$199,0))</f>
        <v>0</v>
      </c>
      <c r="R623" s="478">
        <f>IFERROR(MAX(0,INDEX(Input!$1:$1048576,R$93,$C623*2+MIN($B623,2)+5)
+INDEX(Scenarios!R$121:R$199,MATCH($B623,Scenarios!$B$121:$B$199,0)),),"Market")</f>
        <v>0</v>
      </c>
      <c r="S623" s="478">
        <f>IFERROR(MAX(0,INDEX(Input!$1:$1048576,S$93,$C623*2+MIN($B623,2)+5)
+INDEX(Scenarios!S$121:S$199,MATCH($B623,Scenarios!$B$121:$B$199,0)),),"Market")</f>
        <v>0</v>
      </c>
      <c r="T623" s="478">
        <f>IFERROR(MAX(0,INDEX(Input!$1:$1048576,T$93,$C623*2+MIN($B623,2)+5)
+INDEX(Scenarios!T$121:T$199,MATCH($B623,Scenarios!$B$121:$B$199,0)),),"Market")</f>
        <v>0</v>
      </c>
      <c r="U623" s="478">
        <f>IFERROR(MAX(0,INDEX(Input!$1:$1048576,U$93,$C623*2+MIN($B623,2)+5)
+INDEX(Scenarios!U$121:U$199,MATCH($B623,Scenarios!$B$121:$B$199,0)),),"Market")</f>
        <v>0</v>
      </c>
      <c r="V623" s="478">
        <f>IFERROR(MAX(0,INDEX(Input!$1:$1048576,V$93,$C623*2+MIN($B623,2)+5)
+INDEX(Scenarios!V$121:V$199,MATCH($B623,Scenarios!$B$121:$B$199,0)),),"Market")</f>
        <v>8.9999999999999993E-3</v>
      </c>
      <c r="W623" s="885">
        <f>IFERROR(MAX(0,INDEX(Input!$1:$1048576,W$93,$C623*2+MIN($B623,2)+5)-0%,),"Market")</f>
        <v>3.9E-2</v>
      </c>
      <c r="X623" s="476" t="str">
        <f>INDEX(Input!$1:$1048576,X$93,$C623*2+MIN($B623,2)+5)</f>
        <v>Y</v>
      </c>
      <c r="Y623" s="475">
        <f>INDEX(Input!$1:$1048576,Y$93,$C623*2+MIN($B623,2)+5)
++INDEX(Scenarios!Y$121:Y$199,MATCH($B623,Scenarios!$B$121:$B$199,0))</f>
        <v>737.99367635402496</v>
      </c>
      <c r="Z623" s="477">
        <f>INDEX(Input!$1:$1048576,Z$93,$C623*2+MIN($B623,2)+5)
+INDEX(Scenarios!Z$121:Z$199,MATCH($B623,Scenarios!$B$121:$B$199,0))</f>
        <v>0</v>
      </c>
      <c r="AA623" s="475">
        <f>INDEX(Input!$1:$1048576,AA$93,$C623*2+MIN($B623,2)+5)</f>
        <v>0</v>
      </c>
      <c r="AB623" s="476">
        <f>INDEX(Input!$1:$1048576,AB$93,$C623*2+MIN($B623,2)+5)</f>
        <v>0.27</v>
      </c>
      <c r="AC623" s="475">
        <f>INDEX(Input!$1:$1048576,AC$93,$C623*2+MIN($B623,2)+5)
+INDEX(Scenarios!AC$121:AC$199,MATCH($B623,Scenarios!$B$121:$B$199,0))</f>
        <v>0</v>
      </c>
      <c r="AD623" s="476">
        <f>INDEX(Input!$1:$1048576,AD$93,$C623*2+MIN($B623,2)+5)</f>
        <v>0.27</v>
      </c>
      <c r="AE623" s="475">
        <f>INDEX(Input!$1:$1048576,AE$93,$C623*2+MIN($B623,2)+5)
+INDEX(Scenarios!AE$121:AE$199,MATCH($B623,Scenarios!$B$121:$B$199,0))</f>
        <v>0</v>
      </c>
      <c r="AF623" s="476">
        <f>INDEX(Input!$1:$1048576,AF$93,$C623*2+MIN($B623,2)+5)</f>
        <v>1</v>
      </c>
      <c r="AG623" s="475">
        <f>INDEX(Input!$1:$1048576,AG$93,$C623*2+MIN($B623,2)+5)</f>
        <v>500</v>
      </c>
      <c r="AH623" s="476">
        <f>INDEX(Input!$1:$1048576,AH$93,$C623*2+MIN($B623,2)+5)</f>
        <v>1</v>
      </c>
      <c r="AI623" s="475">
        <f>INDEX(Input!$1:$1048576,AI$93,$C623*2+MIN($B623,2)+5)</f>
        <v>0</v>
      </c>
      <c r="AJ623" s="476">
        <f>INDEX(Input!$1:$1048576,AJ$93,$C623*2+MIN($B623,2)+5)</f>
        <v>0.27</v>
      </c>
      <c r="AK623" s="150">
        <f>ROUND(INDEX(Input!$1:$1048576,AK$93,$C622*2+MIN($B623,1)+5)+(Y623-VLOOKUP($C623*1000+1,$A:$HH,Y$92,FALSE)),0)</f>
        <v>3061</v>
      </c>
      <c r="AL623" s="150">
        <f>ROUND(INDEX(Input!$1:$1048576,AL$93,$C622*2+MIN($B623,1)+5)-(Y623-VLOOKUP($C623*1000+1,$A:$HH,Y$92,FALSE))/36,0)</f>
        <v>3552</v>
      </c>
      <c r="AM623" s="32" t="str">
        <f t="shared" si="1752"/>
        <v>std/std/std/std</v>
      </c>
      <c r="AN623" s="32" t="str">
        <f t="shared" si="1753"/>
        <v>$0 + 0/0/0/0.9/3.9</v>
      </c>
      <c r="AO623" s="32" t="str">
        <f t="shared" si="1754"/>
        <v>0/0/0/0.9/3.9</v>
      </c>
      <c r="AP623" s="32" t="str">
        <f t="shared" si="1716"/>
        <v>0/0/0.9/3.9</v>
      </c>
      <c r="AQ623" s="536">
        <f t="shared" si="1717"/>
        <v>0.35288076726685191</v>
      </c>
      <c r="AR623" s="32"/>
      <c r="AS623" s="302"/>
      <c r="AT623" s="3">
        <f t="shared" si="1788"/>
        <v>23</v>
      </c>
      <c r="AU623" s="41" t="s">
        <v>121</v>
      </c>
      <c r="AV623" s="41" t="s">
        <v>116</v>
      </c>
      <c r="AW623" s="41" t="str">
        <f>INDEX(Input!$1:$1048576,AW$93,$C623*2+6)</f>
        <v>Kia</v>
      </c>
      <c r="AX623" s="41" t="str">
        <f>INDEX(Input!$1:$1048576,AX$93,$C623*2+6)</f>
        <v>National</v>
      </c>
      <c r="AY623" s="41" t="str">
        <f>IF(LEN(D623)=0,"",INDEX(Input!$1:$1048576,AY$93,$C623*2+6))</f>
        <v>Compact SUV (52)</v>
      </c>
      <c r="AZ623" s="41" t="str">
        <f>INDEX(Input!$1:$1048576,AZ$93,$C623*2+6)</f>
        <v>Kia Soul</v>
      </c>
      <c r="BA623" s="3">
        <f>INDEX(Input!$1:$1048576,BA$93,$C623*2+6)</f>
        <v>2020</v>
      </c>
      <c r="BB623" s="128">
        <f>INDEX(Input!$1:$1048576,BB$93,$C623*2+6)</f>
        <v>1</v>
      </c>
      <c r="BC623" s="128">
        <f>INDEX(Input!$1:$1048576,BC$93,$C623*2+6)</f>
        <v>0.7</v>
      </c>
      <c r="BD623" s="1">
        <f>INDEX(Input!$1:$1048576,BD$93,$C623*2+6)</f>
        <v>4.4999999999999998E-2</v>
      </c>
      <c r="BE623" s="1">
        <f>INDEX(Input!$1:$1048576,BE$93,$C623*2+6)</f>
        <v>4.4999999999999998E-2</v>
      </c>
      <c r="BF623" s="1">
        <f>INDEX(Input!$1:$1048576,BF$93,$C623*2+6)</f>
        <v>0.05</v>
      </c>
      <c r="BG623" s="1">
        <f>INDEX(Input!$1:$1048576,BG$93,$C623*2+6)</f>
        <v>5.45E-2</v>
      </c>
      <c r="BH623" s="1">
        <f>INDEX(Input!$1:$1048576,BH$93,$C623*2+6)</f>
        <v>5.45E-2</v>
      </c>
      <c r="BI623" s="1">
        <f>INDEX(Input!$1:$1048576,BI$93,$C623*2+6)</f>
        <v>0.05</v>
      </c>
      <c r="BJ623" s="1">
        <f>INDEX(Input!$1:$1048576,BJ$93,$C623*2+6)</f>
        <v>0.05</v>
      </c>
      <c r="BK623" s="1">
        <f>INDEX(Input!$1:$1048576,BK$93,$C623*2+6)</f>
        <v>0.05</v>
      </c>
      <c r="BL623" s="1">
        <f>INDEX(Input!$1:$1048576,BL$93,$C623*2+6)</f>
        <v>5.5E-2</v>
      </c>
      <c r="BM623" s="1">
        <f>INDEX(Input!$1:$1048576,BM$93,$C623*2+6)</f>
        <v>0.06</v>
      </c>
      <c r="BN623" s="1">
        <f>INDEX(Input!$1:$1048576,BN$93,$C623*2+6)</f>
        <v>4.4999999999999998E-2</v>
      </c>
      <c r="BO623" s="1">
        <f>INDEX(Input!$1:$1048576,BO$93,$C623*2+6)</f>
        <v>4.4999999999999998E-2</v>
      </c>
      <c r="BP623" s="1">
        <f>INDEX(Input!$1:$1048576,BP$93,$C623*2+6)</f>
        <v>0.05</v>
      </c>
      <c r="BQ623" s="1">
        <f>INDEX(Input!$1:$1048576,BQ$93,$C623*2+6)</f>
        <v>5.45E-2</v>
      </c>
      <c r="BR623" s="1">
        <f>INDEX(Input!$1:$1048576,BR$93,$C623*2+6)</f>
        <v>5.45E-2</v>
      </c>
      <c r="BS623" s="1">
        <f>INDEX(Input!$1:$1048576,BS$93,$C623*2+6)</f>
        <v>0.05</v>
      </c>
      <c r="BT623" s="1">
        <f>INDEX(Input!$1:$1048576,BT$93,$C623*2+6)</f>
        <v>0.05</v>
      </c>
      <c r="BU623" s="1">
        <f>INDEX(Input!$1:$1048576,BU$93,$C623*2+6)</f>
        <v>0.05</v>
      </c>
      <c r="BV623" s="1">
        <f>INDEX(Input!$1:$1048576,BV$93,$C623*2+6)</f>
        <v>5.5E-2</v>
      </c>
      <c r="BW623" s="1">
        <f>INDEX(Input!$1:$1048576,BW$93,$C623*2+6)</f>
        <v>0.06</v>
      </c>
      <c r="BX623" s="127">
        <f>INDEX(Input!$1:$1048576,BX$93,$C623*2+6)</f>
        <v>19985</v>
      </c>
      <c r="BY623" s="20">
        <f>INDEX(Input!$1:$1048576,BY$93,$C623*2+6)</f>
        <v>0.1</v>
      </c>
      <c r="BZ623" s="20">
        <f>INDEX(Input!$1:$1048576,BZ$93,$C623*2+6)</f>
        <v>0.1</v>
      </c>
      <c r="CA623" s="20">
        <f>INDEX(Input!$1:$1048576,CA$93,$C623*2+6)</f>
        <v>0.1</v>
      </c>
      <c r="CB623" s="20">
        <f>INDEX(Input!$1:$1048576,CB$93,$C623*2+6)</f>
        <v>0.1</v>
      </c>
      <c r="CC623" s="20">
        <f>INDEX(Input!$1:$1048576,CC$93,$C623*2+6)</f>
        <v>0.1</v>
      </c>
      <c r="CD623" s="384">
        <f>INDEX(Input!$1:$1048576,CD$93,$C623*2+6)</f>
        <v>0.1</v>
      </c>
      <c r="CE623" s="384">
        <f>INDEX(Input!$1:$1048576,CE$93,$C623*2+6)</f>
        <v>0.1</v>
      </c>
      <c r="CF623" s="384">
        <f>INDEX(Input!$1:$1048576,CF$93,$C623*2+6)</f>
        <v>0.1</v>
      </c>
      <c r="CG623" s="384">
        <f>INDEX(Input!$1:$1048576,CG$93,$C623*2+6)</f>
        <v>0.1</v>
      </c>
      <c r="CH623" s="384">
        <f>INDEX(Input!$1:$1048576,CH$93,$C623*2+6)</f>
        <v>0.1</v>
      </c>
      <c r="CI623" s="304">
        <f t="shared" si="1718"/>
        <v>1267.2644913000609</v>
      </c>
      <c r="CJ623" s="16" t="str">
        <f>INDEX(Input!$1:$1048576,CJ$93,$C623*2+6)</f>
        <v>N</v>
      </c>
      <c r="CK623" s="1" t="str">
        <f t="shared" si="1719"/>
        <v>Market</v>
      </c>
      <c r="CL623" s="1" t="str">
        <f t="shared" si="1720"/>
        <v>Market</v>
      </c>
      <c r="CM623" s="1" t="str">
        <f t="shared" si="1721"/>
        <v>Market</v>
      </c>
      <c r="CN623" s="1" t="str">
        <f t="shared" si="1722"/>
        <v>Market</v>
      </c>
      <c r="CO623" s="1" t="str">
        <f t="shared" si="1723"/>
        <v>Market</v>
      </c>
      <c r="CP623" s="304">
        <f t="shared" si="1724"/>
        <v>500</v>
      </c>
      <c r="CQ623" s="1">
        <f t="shared" si="1725"/>
        <v>0</v>
      </c>
      <c r="CR623" s="1">
        <f t="shared" si="1726"/>
        <v>0</v>
      </c>
      <c r="CS623" s="1">
        <f t="shared" si="1727"/>
        <v>0</v>
      </c>
      <c r="CT623" s="1">
        <f t="shared" si="1728"/>
        <v>8.9999999999999993E-3</v>
      </c>
      <c r="CU623" s="1">
        <f t="shared" si="1729"/>
        <v>3.9E-2</v>
      </c>
      <c r="CV623" s="304">
        <f t="shared" si="1730"/>
        <v>737.99367635402496</v>
      </c>
      <c r="CW623" s="20" t="s">
        <v>122</v>
      </c>
      <c r="CX623" s="20" t="s">
        <v>122</v>
      </c>
      <c r="CY623" s="20" t="s">
        <v>122</v>
      </c>
      <c r="CZ623" s="20" t="s">
        <v>122</v>
      </c>
      <c r="DA623" s="20" t="s">
        <v>122</v>
      </c>
      <c r="DB623" s="503">
        <f t="shared" si="1731"/>
        <v>0</v>
      </c>
      <c r="DC623" s="127">
        <v>0</v>
      </c>
      <c r="DD623" s="127">
        <v>0</v>
      </c>
      <c r="DE623" s="127">
        <v>0</v>
      </c>
      <c r="DF623" s="127">
        <v>0</v>
      </c>
      <c r="DG623" s="127">
        <v>0</v>
      </c>
      <c r="DH623" s="127">
        <v>0</v>
      </c>
      <c r="DI623" s="127">
        <v>0</v>
      </c>
      <c r="DJ623" s="127">
        <v>0</v>
      </c>
      <c r="DK623" s="127">
        <v>0</v>
      </c>
      <c r="DL623" s="127">
        <v>0</v>
      </c>
      <c r="DM623" s="304">
        <f>INDEX(Input!$1:$1048576,DM$93,$C623*2+6)</f>
        <v>21036.84210526316</v>
      </c>
      <c r="DN623" s="20">
        <v>0</v>
      </c>
      <c r="DO623" s="20">
        <v>0</v>
      </c>
      <c r="DP623" s="20">
        <v>0</v>
      </c>
      <c r="DQ623" s="20">
        <v>0</v>
      </c>
      <c r="DR623" s="20">
        <v>0</v>
      </c>
      <c r="DS623" s="20">
        <f>INDEX(Input!$1:$1048576,DS$93,$C623*2+6)</f>
        <v>0.6</v>
      </c>
      <c r="DT623" s="20">
        <f>INDEX(Input!$1:$1048576,DT$93,$C623*2+6)</f>
        <v>0.55000000000000004</v>
      </c>
      <c r="DU623" s="20">
        <f>INDEX(Input!$1:$1048576,DU$93,$C623*2+6)</f>
        <v>0.52</v>
      </c>
      <c r="DV623" s="20">
        <f>INDEX(Input!$1:$1048576,DV$93,$C623*2+6)</f>
        <v>0.5</v>
      </c>
      <c r="DW623" s="20">
        <f>INDEX(Input!$1:$1048576,DW$93,$C623*2+6)</f>
        <v>0.45</v>
      </c>
      <c r="DX623" s="20"/>
      <c r="DY623" s="7"/>
      <c r="DZ623" s="7"/>
      <c r="EA623" s="7"/>
      <c r="EB623" s="7"/>
      <c r="EC623" s="7"/>
      <c r="ED623" s="7"/>
      <c r="EE623" s="7"/>
      <c r="EF623" s="7"/>
      <c r="EG623" s="7"/>
      <c r="EH623" s="7"/>
      <c r="EI623" s="7"/>
      <c r="EJ623" s="7"/>
      <c r="EK623" s="7"/>
      <c r="EL623" s="7"/>
      <c r="EM623" s="7"/>
      <c r="EN623" s="7"/>
      <c r="EO623" s="7"/>
      <c r="EP623" s="7"/>
      <c r="EQ623" s="7"/>
      <c r="ER623" s="7"/>
      <c r="ES623" s="7"/>
      <c r="ET623" s="7"/>
      <c r="EU623" s="6"/>
      <c r="EV623" s="6"/>
      <c r="EW623" s="6"/>
      <c r="EX623" s="6"/>
      <c r="EY623" s="6"/>
      <c r="EZ623" s="6"/>
      <c r="FA623" s="6"/>
      <c r="FB623" s="6"/>
      <c r="FC623" s="6"/>
      <c r="FD623" s="6"/>
      <c r="FE623" s="6"/>
      <c r="FF623" s="6"/>
      <c r="FG623" s="6"/>
      <c r="FH623" s="6"/>
      <c r="FI623" s="6"/>
      <c r="FJ623" s="6"/>
      <c r="FK623" s="6"/>
      <c r="FL623" s="6"/>
      <c r="FM623" s="6"/>
      <c r="FN623" s="6"/>
      <c r="FO623" s="6"/>
      <c r="FP623" s="6"/>
      <c r="FQ623" s="6"/>
      <c r="FR623" s="6"/>
      <c r="FS623" s="6"/>
      <c r="FT623" s="7"/>
      <c r="FU623" s="7"/>
      <c r="FV623" s="7"/>
      <c r="FW623" s="6"/>
      <c r="FX623" s="6"/>
      <c r="FY623" s="6"/>
      <c r="FZ623" s="6"/>
      <c r="GA623" s="6"/>
      <c r="GB623" s="6"/>
      <c r="GC623" s="7"/>
      <c r="GD623" s="7"/>
      <c r="GE623" s="7"/>
      <c r="GF623" s="7"/>
      <c r="GG623" s="7"/>
      <c r="GH623" s="42"/>
      <c r="GI623" s="6"/>
      <c r="GJ623" s="14"/>
      <c r="GK623" s="14"/>
      <c r="GL623" s="14"/>
      <c r="GM623" s="14"/>
      <c r="GO623" s="5"/>
      <c r="GP623" s="5"/>
      <c r="GQ623" s="5"/>
      <c r="GR623" s="5"/>
      <c r="GS623" s="5"/>
      <c r="GT623" s="5"/>
      <c r="GU623" s="5"/>
      <c r="GV623" s="39"/>
      <c r="GW623" s="5"/>
      <c r="GX623" s="5"/>
      <c r="GY623" s="5"/>
      <c r="GZ623" s="5"/>
      <c r="HA623" s="5"/>
      <c r="HB623" s="39"/>
      <c r="HC623" s="5"/>
      <c r="HD623" s="5"/>
      <c r="HE623" s="5"/>
      <c r="HF623" s="5"/>
      <c r="HG623" s="5"/>
      <c r="HH623" s="39"/>
      <c r="HI623" s="16"/>
      <c r="HJ623" s="19"/>
      <c r="HK623" s="1"/>
      <c r="HL623" s="16"/>
      <c r="HM623" s="639">
        <f t="shared" si="1755"/>
        <v>2.3149872625708352E-2</v>
      </c>
      <c r="HN623" s="639">
        <f t="shared" si="1756"/>
        <v>1.3965040474190958E-3</v>
      </c>
      <c r="HO623" s="639">
        <f t="shared" si="1757"/>
        <v>3.5429561340050734E-3</v>
      </c>
      <c r="HP623" s="644">
        <f t="shared" ref="HP623:ID623" si="1862">HP123+HP223+HP323+HP423+HP523</f>
        <v>53.041064942153881</v>
      </c>
      <c r="HQ623" s="644">
        <f t="shared" si="1862"/>
        <v>94.220313823729185</v>
      </c>
      <c r="HR623" s="644">
        <f t="shared" si="1862"/>
        <v>-1.2612933308594223</v>
      </c>
      <c r="HS623" s="644">
        <f t="shared" si="1862"/>
        <v>-61.268045153007478</v>
      </c>
      <c r="HT623" s="644">
        <f t="shared" si="1862"/>
        <v>215.8118854855679</v>
      </c>
      <c r="HU623" s="644">
        <f t="shared" si="1862"/>
        <v>16.971116361330829</v>
      </c>
      <c r="HV623" s="644">
        <f t="shared" si="1862"/>
        <v>0</v>
      </c>
      <c r="HW623" s="644">
        <f t="shared" si="1862"/>
        <v>0</v>
      </c>
      <c r="HX623" s="644">
        <f t="shared" si="1862"/>
        <v>0</v>
      </c>
      <c r="HY623" s="644">
        <f t="shared" si="1862"/>
        <v>2396</v>
      </c>
      <c r="HZ623" s="644">
        <f t="shared" si="1862"/>
        <v>3223</v>
      </c>
      <c r="IA623" s="644">
        <f t="shared" si="1862"/>
        <v>830</v>
      </c>
      <c r="IB623" s="644">
        <f t="shared" si="1862"/>
        <v>2387.7730197891465</v>
      </c>
      <c r="IC623" s="644">
        <f t="shared" si="1862"/>
        <v>3533.0321993092971</v>
      </c>
      <c r="ID623" s="644">
        <f t="shared" si="1862"/>
        <v>845.70982303047151</v>
      </c>
      <c r="IE623" s="20">
        <f t="shared" si="1759"/>
        <v>0.35288076726685191</v>
      </c>
      <c r="IF623" s="20">
        <f t="shared" si="1760"/>
        <v>0.52213468488761627</v>
      </c>
      <c r="IG623" s="20">
        <f t="shared" si="1761"/>
        <v>0.12498454784553172</v>
      </c>
      <c r="IH623" s="21"/>
      <c r="II623" s="19"/>
      <c r="IJ623" s="19"/>
      <c r="IK623" s="19"/>
      <c r="IL623" s="19">
        <f t="shared" si="1762"/>
        <v>177.00541774892235</v>
      </c>
      <c r="IM623" s="19">
        <f t="shared" si="1763"/>
        <v>495.75967459840331</v>
      </c>
      <c r="IN623" s="19">
        <f t="shared" si="1764"/>
        <v>111.76859508038524</v>
      </c>
      <c r="IO623" s="39"/>
      <c r="IP623" s="39"/>
      <c r="IQ623" s="39"/>
      <c r="IR623" s="39"/>
      <c r="IS623" s="39"/>
      <c r="IT623" s="39"/>
      <c r="IU623" s="39"/>
      <c r="IV623" s="39"/>
      <c r="IW623" s="39"/>
      <c r="IX623" s="19">
        <f t="shared" si="1765"/>
        <v>1554.1790484140233</v>
      </c>
      <c r="IY623" s="19">
        <f t="shared" si="1766"/>
        <v>2412.3001201524512</v>
      </c>
      <c r="IZ623" s="19">
        <f t="shared" si="1767"/>
        <v>3993.0862952928574</v>
      </c>
      <c r="JA623" s="19">
        <f t="shared" ref="JA623:JC623" si="1863">IFERROR((JA123*IB123+JA223*IB223+JA323*IB323+JA423*IB423+JA523*IB523)/IB623,0)</f>
        <v>1731.1844661629457</v>
      </c>
      <c r="JB623" s="19">
        <f t="shared" si="1863"/>
        <v>2908.0597947508545</v>
      </c>
      <c r="JC623" s="19">
        <f t="shared" si="1863"/>
        <v>4104.8548903732426</v>
      </c>
      <c r="JD623" s="19">
        <f t="shared" si="1769"/>
        <v>2642.3440197114382</v>
      </c>
      <c r="JE623" s="21"/>
      <c r="JF623" s="1">
        <f t="shared" si="1770"/>
        <v>2.6651855648468406E-2</v>
      </c>
      <c r="JG623" s="15">
        <f t="shared" si="1771"/>
        <v>6449</v>
      </c>
      <c r="JH623" s="1">
        <f t="shared" si="1772"/>
        <v>2.2639182111183698E-2</v>
      </c>
      <c r="JI623" s="1">
        <f t="shared" si="1773"/>
        <v>2.659558950130117E-2</v>
      </c>
      <c r="JJ623" s="1">
        <f t="shared" si="1774"/>
        <v>0</v>
      </c>
      <c r="JK623" s="1">
        <f t="shared" si="1775"/>
        <v>4.9234771612484865E-2</v>
      </c>
      <c r="JL623" s="15">
        <f t="shared" ref="JL623:JM623" si="1864">JL123+JL223+JL323+JL423+JL523</f>
        <v>317.5150421289149</v>
      </c>
      <c r="JM623" s="15">
        <f t="shared" si="1864"/>
        <v>6766.5150421289145</v>
      </c>
      <c r="JN623" s="21"/>
      <c r="JO623" s="19">
        <f>INDEX(Input!$1:$1048576,JO$93,$C623*2+6)</f>
        <v>5995.5</v>
      </c>
      <c r="JP623" s="19">
        <f>INDEX(Input!$1:$1048576,JP$93,$C623*2+6)</f>
        <v>2296.6050414551746</v>
      </c>
      <c r="JQ623" s="39">
        <f t="shared" si="1799"/>
        <v>3353.1559802885618</v>
      </c>
      <c r="JR623" s="39">
        <f t="shared" si="1800"/>
        <v>345.73897825626364</v>
      </c>
      <c r="JS623" s="39">
        <f t="shared" si="1801"/>
        <v>17.879460555856827</v>
      </c>
      <c r="JT623" s="39">
        <f t="shared" si="1802"/>
        <v>3.0686546435124074</v>
      </c>
      <c r="JU623" s="385">
        <f>(JQ623*JM623-INDEX(Input!$1:$1048576,Input!A$18,$C623*2+6)*JL623*INDEX(Input!$1:$1048576,Input!A$19,$C623*2+6))/1000000</f>
        <v>22.689180379227079</v>
      </c>
      <c r="JV623" s="39">
        <f t="shared" si="1803"/>
        <v>-1.1649932084284984</v>
      </c>
      <c r="JW623" s="1">
        <f t="shared" si="1804"/>
        <v>-4.8838129065656544E-2</v>
      </c>
      <c r="JX623" s="19">
        <f t="shared" si="1805"/>
        <v>9664.5961178321031</v>
      </c>
      <c r="JZ623" s="341"/>
      <c r="KA623" s="60"/>
      <c r="KB623" s="469">
        <f t="shared" si="1778"/>
        <v>0</v>
      </c>
      <c r="KI623" s="472"/>
      <c r="KJ623" s="472"/>
      <c r="KK623" s="472"/>
      <c r="KN623" s="793">
        <f t="shared" si="1779"/>
        <v>6002</v>
      </c>
      <c r="KO623" s="541">
        <f t="shared" si="1780"/>
        <v>2.5184735480840548E-2</v>
      </c>
      <c r="KP623" s="546">
        <f t="shared" si="1781"/>
        <v>170.79840242570941</v>
      </c>
      <c r="KQ623" s="546">
        <f t="shared" si="1782"/>
        <v>179.51076310629333</v>
      </c>
      <c r="KR623" s="472">
        <f t="shared" si="1783"/>
        <v>2.5836959141085929</v>
      </c>
      <c r="KS623" s="472">
        <f t="shared" si="1784"/>
        <v>2.4582990281328136</v>
      </c>
      <c r="KT623" s="473">
        <f t="shared" si="1795"/>
        <v>4286.2445668946921</v>
      </c>
      <c r="KU623" s="663">
        <f t="shared" si="1785"/>
        <v>4.3766233284499343</v>
      </c>
      <c r="KV623" s="117"/>
    </row>
    <row r="624" spans="1:308" s="26" customFormat="1" ht="15">
      <c r="A624" s="561">
        <f t="shared" si="1751"/>
        <v>6024</v>
      </c>
      <c r="B624" s="561">
        <f t="shared" si="1786"/>
        <v>24</v>
      </c>
      <c r="C624" s="561">
        <f t="shared" si="1787"/>
        <v>6</v>
      </c>
      <c r="D624" s="561" t="str">
        <f t="shared" si="1855"/>
        <v xml:space="preserve">0/0/0/3.9, </v>
      </c>
      <c r="E624" s="475">
        <f>INDEX(Input!$1:$1048576,E$93,$C624*2+MIN($B624,2)+5)
+INDEX(Scenarios!E$121:E$199,MATCH($B624,Scenarios!$B$121:$B$199,0))</f>
        <v>1267.2644913000609</v>
      </c>
      <c r="F624" s="475">
        <f>INDEX(Input!$1:$1048576,F$93,$C624*2+MIN($B624,2)+5)
+INDEX(Scenarios!F$121:F$199,MATCH($B624,Scenarios!$B$121:$B$199,0))</f>
        <v>0</v>
      </c>
      <c r="G624" s="475">
        <f>INDEX(Input!$1:$1048576,G$93,$C624*2+MIN($B624,2)+5)
+INDEX(Scenarios!G$121:G$199,MATCH($B624,Scenarios!$B$121:$B$199,0))</f>
        <v>0</v>
      </c>
      <c r="H624" s="475">
        <f>INDEX(Input!$1:$1048576,H$93,$C624*2+MIN($B624,2)+5)
+INDEX(Scenarios!H$121:H$199,MATCH($B624,Scenarios!$B$121:$B$199,0))</f>
        <v>0</v>
      </c>
      <c r="I624" s="476">
        <f>INDEX(Input!$1:$1048576,I$93,$C624*2+MIN($B624,2)+5)
+INDEX(Scenarios!I$121:I$199,MATCH($B624,Scenarios!$B$121:$B$199,0))</f>
        <v>0.7</v>
      </c>
      <c r="J624" s="476" t="str">
        <f>INDEX(Input!$1:$1048576,J$93,$C624*2+MIN($B624,2)+5)</f>
        <v>Market</v>
      </c>
      <c r="K624" s="476" t="str">
        <f>INDEX(Input!$1:$1048576,K$93,$C624*2+MIN($B624,2)+5)</f>
        <v>Market</v>
      </c>
      <c r="L624" s="476" t="str">
        <f>INDEX(Input!$1:$1048576,L$93,$C624*2+MIN($B624,2)+5)</f>
        <v>Market</v>
      </c>
      <c r="M624" s="476" t="str">
        <f>INDEX(Input!$1:$1048576,M$93,$C624*2+MIN($B624,2)+5)</f>
        <v>Market</v>
      </c>
      <c r="N624" s="476" t="str">
        <f>INDEX(Input!$1:$1048576,N$93,$C624*2+MIN($B624,2)+5)</f>
        <v>Market</v>
      </c>
      <c r="O624" s="476" t="str">
        <f>INDEX(Input!$1:$1048576,O$93,$C624*2+MIN($B624,2)+5)</f>
        <v>Market</v>
      </c>
      <c r="P624" s="476" t="str">
        <f>INDEX(Input!$1:$1048576,P$93,$C624*2+MIN($B624,2)+5)</f>
        <v>N</v>
      </c>
      <c r="Q624" s="477">
        <f>INDEX(Input!$1:$1048576,Q$93,$C624*2+MIN($B624,2)+5)
+INDEX(Scenarios!Q$121:Q$199,MATCH($B624,Scenarios!$B$121:$B$199,0))</f>
        <v>0</v>
      </c>
      <c r="R624" s="478">
        <f>IFERROR(MAX(0,INDEX(Input!$1:$1048576,R$93,$C624*2+MIN($B624,2)+5)
+INDEX(Scenarios!R$121:R$199,MATCH($B624,Scenarios!$B$121:$B$199,0)),),"Market")</f>
        <v>0</v>
      </c>
      <c r="S624" s="478">
        <f>IFERROR(MAX(0,INDEX(Input!$1:$1048576,S$93,$C624*2+MIN($B624,2)+5)
+INDEX(Scenarios!S$121:S$199,MATCH($B624,Scenarios!$B$121:$B$199,0)),),"Market")</f>
        <v>0</v>
      </c>
      <c r="T624" s="478">
        <f>IFERROR(MAX(0,INDEX(Input!$1:$1048576,T$93,$C624*2+MIN($B624,2)+5)
+INDEX(Scenarios!T$121:T$199,MATCH($B624,Scenarios!$B$121:$B$199,0)),),"Market")</f>
        <v>0</v>
      </c>
      <c r="U624" s="478">
        <f>IFERROR(MAX(0,INDEX(Input!$1:$1048576,U$93,$C624*2+MIN($B624,2)+5)
+INDEX(Scenarios!U$121:U$199,MATCH($B624,Scenarios!$B$121:$B$199,0)),),"Market")</f>
        <v>0</v>
      </c>
      <c r="V624" s="478">
        <f>IFERROR(MAX(0,INDEX(Input!$1:$1048576,V$93,$C624*2+MIN($B624,2)+5)
+INDEX(Scenarios!V$121:V$199,MATCH($B624,Scenarios!$B$121:$B$199,0)),),"Market")</f>
        <v>0</v>
      </c>
      <c r="W624" s="885">
        <f>IFERROR(MAX(0,INDEX(Input!$1:$1048576,W$93,$C624*2+MIN($B624,2)+5)-0%,),"Market")</f>
        <v>3.9E-2</v>
      </c>
      <c r="X624" s="476" t="str">
        <f>INDEX(Input!$1:$1048576,X$93,$C624*2+MIN($B624,2)+5)</f>
        <v>Y</v>
      </c>
      <c r="Y624" s="475">
        <f>INDEX(Input!$1:$1048576,Y$93,$C624*2+MIN($B624,2)+5)
++INDEX(Scenarios!Y$121:Y$199,MATCH($B624,Scenarios!$B$121:$B$199,0))</f>
        <v>737.99367635402496</v>
      </c>
      <c r="Z624" s="477">
        <f>INDEX(Input!$1:$1048576,Z$93,$C624*2+MIN($B624,2)+5)
+INDEX(Scenarios!Z$121:Z$199,MATCH($B624,Scenarios!$B$121:$B$199,0))</f>
        <v>0</v>
      </c>
      <c r="AA624" s="475">
        <f>INDEX(Input!$1:$1048576,AA$93,$C624*2+MIN($B624,2)+5)</f>
        <v>0</v>
      </c>
      <c r="AB624" s="476">
        <f>INDEX(Input!$1:$1048576,AB$93,$C624*2+MIN($B624,2)+5)</f>
        <v>0.27</v>
      </c>
      <c r="AC624" s="475">
        <f>INDEX(Input!$1:$1048576,AC$93,$C624*2+MIN($B624,2)+5)
+INDEX(Scenarios!AC$121:AC$199,MATCH($B624,Scenarios!$B$121:$B$199,0))</f>
        <v>0</v>
      </c>
      <c r="AD624" s="476">
        <f>INDEX(Input!$1:$1048576,AD$93,$C624*2+MIN($B624,2)+5)</f>
        <v>0.27</v>
      </c>
      <c r="AE624" s="475">
        <f>INDEX(Input!$1:$1048576,AE$93,$C624*2+MIN($B624,2)+5)
+INDEX(Scenarios!AE$121:AE$199,MATCH($B624,Scenarios!$B$121:$B$199,0))</f>
        <v>0</v>
      </c>
      <c r="AF624" s="476">
        <f>INDEX(Input!$1:$1048576,AF$93,$C624*2+MIN($B624,2)+5)</f>
        <v>1</v>
      </c>
      <c r="AG624" s="475">
        <f>INDEX(Input!$1:$1048576,AG$93,$C624*2+MIN($B624,2)+5)</f>
        <v>500</v>
      </c>
      <c r="AH624" s="476">
        <f>INDEX(Input!$1:$1048576,AH$93,$C624*2+MIN($B624,2)+5)</f>
        <v>1</v>
      </c>
      <c r="AI624" s="475">
        <f>INDEX(Input!$1:$1048576,AI$93,$C624*2+MIN($B624,2)+5)</f>
        <v>0</v>
      </c>
      <c r="AJ624" s="476">
        <f>INDEX(Input!$1:$1048576,AJ$93,$C624*2+MIN($B624,2)+5)</f>
        <v>0.27</v>
      </c>
      <c r="AK624" s="150">
        <f>ROUND(INDEX(Input!$1:$1048576,AK$93,$C623*2+MIN($B624,1)+5)+(Y624-VLOOKUP($C624*1000+1,$A:$HH,Y$92,FALSE)),0)</f>
        <v>3061</v>
      </c>
      <c r="AL624" s="150">
        <f>ROUND(INDEX(Input!$1:$1048576,AL$93,$C623*2+MIN($B624,1)+5)-(Y624-VLOOKUP($C624*1000+1,$A:$HH,Y$92,FALSE))/36,0)</f>
        <v>3552</v>
      </c>
      <c r="AM624" s="32" t="str">
        <f t="shared" si="1752"/>
        <v>std/std/std/std</v>
      </c>
      <c r="AN624" s="32" t="str">
        <f t="shared" si="1753"/>
        <v>$0 + 0/0/0/0/3.9</v>
      </c>
      <c r="AO624" s="32" t="str">
        <f t="shared" si="1754"/>
        <v>0/0/0/0/3.9</v>
      </c>
      <c r="AP624" s="32" t="str">
        <f t="shared" si="1716"/>
        <v>0/0/0/3.9</v>
      </c>
      <c r="AQ624" s="536">
        <f t="shared" si="1717"/>
        <v>0.33266913435502177</v>
      </c>
      <c r="AR624" s="32"/>
      <c r="AS624" s="302"/>
      <c r="AT624" s="3">
        <f t="shared" si="1788"/>
        <v>24</v>
      </c>
      <c r="AU624" s="41" t="s">
        <v>121</v>
      </c>
      <c r="AV624" s="41" t="s">
        <v>116</v>
      </c>
      <c r="AW624" s="41" t="str">
        <f>INDEX(Input!$1:$1048576,AW$93,$C624*2+6)</f>
        <v>Kia</v>
      </c>
      <c r="AX624" s="41" t="str">
        <f>INDEX(Input!$1:$1048576,AX$93,$C624*2+6)</f>
        <v>National</v>
      </c>
      <c r="AY624" s="41" t="str">
        <f>IF(LEN(D624)=0,"",INDEX(Input!$1:$1048576,AY$93,$C624*2+6))</f>
        <v>Compact SUV (52)</v>
      </c>
      <c r="AZ624" s="41" t="str">
        <f>INDEX(Input!$1:$1048576,AZ$93,$C624*2+6)</f>
        <v>Kia Soul</v>
      </c>
      <c r="BA624" s="3">
        <f>INDEX(Input!$1:$1048576,BA$93,$C624*2+6)</f>
        <v>2020</v>
      </c>
      <c r="BB624" s="128">
        <f>INDEX(Input!$1:$1048576,BB$93,$C624*2+6)</f>
        <v>1</v>
      </c>
      <c r="BC624" s="128">
        <f>INDEX(Input!$1:$1048576,BC$93,$C624*2+6)</f>
        <v>0.7</v>
      </c>
      <c r="BD624" s="1">
        <f>INDEX(Input!$1:$1048576,BD$93,$C624*2+6)</f>
        <v>4.4999999999999998E-2</v>
      </c>
      <c r="BE624" s="1">
        <f>INDEX(Input!$1:$1048576,BE$93,$C624*2+6)</f>
        <v>4.4999999999999998E-2</v>
      </c>
      <c r="BF624" s="1">
        <f>INDEX(Input!$1:$1048576,BF$93,$C624*2+6)</f>
        <v>0.05</v>
      </c>
      <c r="BG624" s="1">
        <f>INDEX(Input!$1:$1048576,BG$93,$C624*2+6)</f>
        <v>5.45E-2</v>
      </c>
      <c r="BH624" s="1">
        <f>INDEX(Input!$1:$1048576,BH$93,$C624*2+6)</f>
        <v>5.45E-2</v>
      </c>
      <c r="BI624" s="1">
        <f>INDEX(Input!$1:$1048576,BI$93,$C624*2+6)</f>
        <v>0.05</v>
      </c>
      <c r="BJ624" s="1">
        <f>INDEX(Input!$1:$1048576,BJ$93,$C624*2+6)</f>
        <v>0.05</v>
      </c>
      <c r="BK624" s="1">
        <f>INDEX(Input!$1:$1048576,BK$93,$C624*2+6)</f>
        <v>0.05</v>
      </c>
      <c r="BL624" s="1">
        <f>INDEX(Input!$1:$1048576,BL$93,$C624*2+6)</f>
        <v>5.5E-2</v>
      </c>
      <c r="BM624" s="1">
        <f>INDEX(Input!$1:$1048576,BM$93,$C624*2+6)</f>
        <v>0.06</v>
      </c>
      <c r="BN624" s="1">
        <f>INDEX(Input!$1:$1048576,BN$93,$C624*2+6)</f>
        <v>4.4999999999999998E-2</v>
      </c>
      <c r="BO624" s="1">
        <f>INDEX(Input!$1:$1048576,BO$93,$C624*2+6)</f>
        <v>4.4999999999999998E-2</v>
      </c>
      <c r="BP624" s="1">
        <f>INDEX(Input!$1:$1048576,BP$93,$C624*2+6)</f>
        <v>0.05</v>
      </c>
      <c r="BQ624" s="1">
        <f>INDEX(Input!$1:$1048576,BQ$93,$C624*2+6)</f>
        <v>5.45E-2</v>
      </c>
      <c r="BR624" s="1">
        <f>INDEX(Input!$1:$1048576,BR$93,$C624*2+6)</f>
        <v>5.45E-2</v>
      </c>
      <c r="BS624" s="1">
        <f>INDEX(Input!$1:$1048576,BS$93,$C624*2+6)</f>
        <v>0.05</v>
      </c>
      <c r="BT624" s="1">
        <f>INDEX(Input!$1:$1048576,BT$93,$C624*2+6)</f>
        <v>0.05</v>
      </c>
      <c r="BU624" s="1">
        <f>INDEX(Input!$1:$1048576,BU$93,$C624*2+6)</f>
        <v>0.05</v>
      </c>
      <c r="BV624" s="1">
        <f>INDEX(Input!$1:$1048576,BV$93,$C624*2+6)</f>
        <v>5.5E-2</v>
      </c>
      <c r="BW624" s="1">
        <f>INDEX(Input!$1:$1048576,BW$93,$C624*2+6)</f>
        <v>0.06</v>
      </c>
      <c r="BX624" s="127">
        <f>INDEX(Input!$1:$1048576,BX$93,$C624*2+6)</f>
        <v>19985</v>
      </c>
      <c r="BY624" s="20">
        <f>INDEX(Input!$1:$1048576,BY$93,$C624*2+6)</f>
        <v>0.1</v>
      </c>
      <c r="BZ624" s="20">
        <f>INDEX(Input!$1:$1048576,BZ$93,$C624*2+6)</f>
        <v>0.1</v>
      </c>
      <c r="CA624" s="20">
        <f>INDEX(Input!$1:$1048576,CA$93,$C624*2+6)</f>
        <v>0.1</v>
      </c>
      <c r="CB624" s="20">
        <f>INDEX(Input!$1:$1048576,CB$93,$C624*2+6)</f>
        <v>0.1</v>
      </c>
      <c r="CC624" s="20">
        <f>INDEX(Input!$1:$1048576,CC$93,$C624*2+6)</f>
        <v>0.1</v>
      </c>
      <c r="CD624" s="384">
        <f>INDEX(Input!$1:$1048576,CD$93,$C624*2+6)</f>
        <v>0.1</v>
      </c>
      <c r="CE624" s="384">
        <f>INDEX(Input!$1:$1048576,CE$93,$C624*2+6)</f>
        <v>0.1</v>
      </c>
      <c r="CF624" s="384">
        <f>INDEX(Input!$1:$1048576,CF$93,$C624*2+6)</f>
        <v>0.1</v>
      </c>
      <c r="CG624" s="384">
        <f>INDEX(Input!$1:$1048576,CG$93,$C624*2+6)</f>
        <v>0.1</v>
      </c>
      <c r="CH624" s="384">
        <f>INDEX(Input!$1:$1048576,CH$93,$C624*2+6)</f>
        <v>0.1</v>
      </c>
      <c r="CI624" s="304">
        <f t="shared" si="1718"/>
        <v>1267.2644913000609</v>
      </c>
      <c r="CJ624" s="16" t="str">
        <f>INDEX(Input!$1:$1048576,CJ$93,$C624*2+6)</f>
        <v>N</v>
      </c>
      <c r="CK624" s="1" t="str">
        <f t="shared" si="1719"/>
        <v>Market</v>
      </c>
      <c r="CL624" s="1" t="str">
        <f t="shared" si="1720"/>
        <v>Market</v>
      </c>
      <c r="CM624" s="1" t="str">
        <f t="shared" si="1721"/>
        <v>Market</v>
      </c>
      <c r="CN624" s="1" t="str">
        <f t="shared" si="1722"/>
        <v>Market</v>
      </c>
      <c r="CO624" s="1" t="str">
        <f t="shared" si="1723"/>
        <v>Market</v>
      </c>
      <c r="CP624" s="304">
        <f t="shared" si="1724"/>
        <v>500</v>
      </c>
      <c r="CQ624" s="1">
        <f t="shared" si="1725"/>
        <v>0</v>
      </c>
      <c r="CR624" s="1">
        <f t="shared" si="1726"/>
        <v>0</v>
      </c>
      <c r="CS624" s="1">
        <f t="shared" si="1727"/>
        <v>0</v>
      </c>
      <c r="CT624" s="1">
        <f t="shared" si="1728"/>
        <v>0</v>
      </c>
      <c r="CU624" s="1">
        <f t="shared" si="1729"/>
        <v>3.9E-2</v>
      </c>
      <c r="CV624" s="304">
        <f t="shared" si="1730"/>
        <v>737.99367635402496</v>
      </c>
      <c r="CW624" s="20" t="s">
        <v>122</v>
      </c>
      <c r="CX624" s="20" t="s">
        <v>122</v>
      </c>
      <c r="CY624" s="20" t="s">
        <v>122</v>
      </c>
      <c r="CZ624" s="20" t="s">
        <v>122</v>
      </c>
      <c r="DA624" s="20" t="s">
        <v>122</v>
      </c>
      <c r="DB624" s="503">
        <f t="shared" si="1731"/>
        <v>0</v>
      </c>
      <c r="DC624" s="127">
        <v>0</v>
      </c>
      <c r="DD624" s="127">
        <v>0</v>
      </c>
      <c r="DE624" s="127">
        <v>0</v>
      </c>
      <c r="DF624" s="127">
        <v>0</v>
      </c>
      <c r="DG624" s="127">
        <v>0</v>
      </c>
      <c r="DH624" s="127">
        <v>0</v>
      </c>
      <c r="DI624" s="127">
        <v>0</v>
      </c>
      <c r="DJ624" s="127">
        <v>0</v>
      </c>
      <c r="DK624" s="127">
        <v>0</v>
      </c>
      <c r="DL624" s="127">
        <v>0</v>
      </c>
      <c r="DM624" s="304">
        <f>INDEX(Input!$1:$1048576,DM$93,$C624*2+6)</f>
        <v>21036.84210526316</v>
      </c>
      <c r="DN624" s="20">
        <v>0</v>
      </c>
      <c r="DO624" s="20">
        <v>0</v>
      </c>
      <c r="DP624" s="20">
        <v>0</v>
      </c>
      <c r="DQ624" s="20">
        <v>0</v>
      </c>
      <c r="DR624" s="20">
        <v>0</v>
      </c>
      <c r="DS624" s="20">
        <f>INDEX(Input!$1:$1048576,DS$93,$C624*2+6)</f>
        <v>0.6</v>
      </c>
      <c r="DT624" s="20">
        <f>INDEX(Input!$1:$1048576,DT$93,$C624*2+6)</f>
        <v>0.55000000000000004</v>
      </c>
      <c r="DU624" s="20">
        <f>INDEX(Input!$1:$1048576,DU$93,$C624*2+6)</f>
        <v>0.52</v>
      </c>
      <c r="DV624" s="20">
        <f>INDEX(Input!$1:$1048576,DV$93,$C624*2+6)</f>
        <v>0.5</v>
      </c>
      <c r="DW624" s="20">
        <f>INDEX(Input!$1:$1048576,DW$93,$C624*2+6)</f>
        <v>0.45</v>
      </c>
      <c r="DX624" s="20"/>
      <c r="DY624" s="7"/>
      <c r="DZ624" s="7"/>
      <c r="EA624" s="7"/>
      <c r="EB624" s="7"/>
      <c r="EC624" s="7"/>
      <c r="ED624" s="7"/>
      <c r="EE624" s="7"/>
      <c r="EF624" s="7"/>
      <c r="EG624" s="7"/>
      <c r="EH624" s="7"/>
      <c r="EI624" s="7"/>
      <c r="EJ624" s="7"/>
      <c r="EK624" s="7"/>
      <c r="EL624" s="7"/>
      <c r="EM624" s="7"/>
      <c r="EN624" s="7"/>
      <c r="EO624" s="7"/>
      <c r="EP624" s="7"/>
      <c r="EQ624" s="7"/>
      <c r="ER624" s="7"/>
      <c r="ES624" s="7"/>
      <c r="ET624" s="7"/>
      <c r="EU624" s="6"/>
      <c r="EV624" s="6"/>
      <c r="EW624" s="6"/>
      <c r="EX624" s="6"/>
      <c r="EY624" s="6"/>
      <c r="EZ624" s="6"/>
      <c r="FA624" s="6"/>
      <c r="FB624" s="6"/>
      <c r="FC624" s="6"/>
      <c r="FD624" s="6"/>
      <c r="FE624" s="6"/>
      <c r="FF624" s="6"/>
      <c r="FG624" s="6"/>
      <c r="FH624" s="6"/>
      <c r="FI624" s="6"/>
      <c r="FJ624" s="6"/>
      <c r="FK624" s="6"/>
      <c r="FL624" s="6"/>
      <c r="FM624" s="6"/>
      <c r="FN624" s="6"/>
      <c r="FO624" s="6"/>
      <c r="FP624" s="6"/>
      <c r="FQ624" s="6"/>
      <c r="FR624" s="6"/>
      <c r="FS624" s="6"/>
      <c r="FT624" s="7"/>
      <c r="FU624" s="7"/>
      <c r="FV624" s="7"/>
      <c r="FW624" s="6"/>
      <c r="FX624" s="6"/>
      <c r="FY624" s="6"/>
      <c r="FZ624" s="6"/>
      <c r="GA624" s="6"/>
      <c r="GB624" s="6"/>
      <c r="GC624" s="7"/>
      <c r="GD624" s="7"/>
      <c r="GE624" s="7"/>
      <c r="GF624" s="7"/>
      <c r="GG624" s="7"/>
      <c r="GH624" s="42"/>
      <c r="GI624" s="6"/>
      <c r="GJ624" s="14"/>
      <c r="GK624" s="14"/>
      <c r="GL624" s="14"/>
      <c r="GM624" s="14"/>
      <c r="GO624" s="5"/>
      <c r="GP624" s="5"/>
      <c r="GQ624" s="5"/>
      <c r="GR624" s="5"/>
      <c r="GS624" s="5"/>
      <c r="GT624" s="5"/>
      <c r="GU624" s="5"/>
      <c r="GV624" s="39"/>
      <c r="GW624" s="5"/>
      <c r="GX624" s="5"/>
      <c r="GY624" s="5"/>
      <c r="GZ624" s="5"/>
      <c r="HA624" s="5"/>
      <c r="HB624" s="39"/>
      <c r="HC624" s="5"/>
      <c r="HD624" s="5"/>
      <c r="HE624" s="5"/>
      <c r="HF624" s="5"/>
      <c r="HG624" s="5"/>
      <c r="HH624" s="39"/>
      <c r="HI624" s="16"/>
      <c r="HJ624" s="19"/>
      <c r="HK624" s="1"/>
      <c r="HL624" s="16"/>
      <c r="HM624" s="639">
        <f t="shared" si="1755"/>
        <v>2.3149872625708352E-2</v>
      </c>
      <c r="HN624" s="639">
        <f t="shared" si="1756"/>
        <v>1.3965040474190958E-3</v>
      </c>
      <c r="HO624" s="639">
        <f t="shared" si="1757"/>
        <v>3.5429561340050734E-3</v>
      </c>
      <c r="HP624" s="644">
        <f t="shared" ref="HP624:ID624" si="1865">HP124+HP224+HP324+HP424+HP524</f>
        <v>-20.594742122509874</v>
      </c>
      <c r="HQ624" s="644">
        <f t="shared" si="1865"/>
        <v>206.54710904358032</v>
      </c>
      <c r="HR624" s="644">
        <f t="shared" si="1865"/>
        <v>-13.288386783749303</v>
      </c>
      <c r="HS624" s="644">
        <f t="shared" si="1865"/>
        <v>-62.565552946653995</v>
      </c>
      <c r="HT624" s="644">
        <f t="shared" si="1865"/>
        <v>375.00533936311462</v>
      </c>
      <c r="HU624" s="644">
        <f t="shared" si="1865"/>
        <v>18.268624154977292</v>
      </c>
      <c r="HV624" s="644">
        <f t="shared" si="1865"/>
        <v>0</v>
      </c>
      <c r="HW624" s="644">
        <f t="shared" si="1865"/>
        <v>0</v>
      </c>
      <c r="HX624" s="644">
        <f t="shared" si="1865"/>
        <v>0</v>
      </c>
      <c r="HY624" s="644">
        <f t="shared" si="1865"/>
        <v>2396</v>
      </c>
      <c r="HZ624" s="644">
        <f t="shared" si="1865"/>
        <v>3223</v>
      </c>
      <c r="IA624" s="644">
        <f t="shared" si="1865"/>
        <v>830</v>
      </c>
      <c r="IB624" s="644">
        <f t="shared" si="1865"/>
        <v>2312.839704930836</v>
      </c>
      <c r="IC624" s="644">
        <f t="shared" si="1865"/>
        <v>3804.552448406695</v>
      </c>
      <c r="ID624" s="644">
        <f t="shared" si="1865"/>
        <v>834.9802373712281</v>
      </c>
      <c r="IE624" s="20">
        <f t="shared" si="1759"/>
        <v>0.33266913435502177</v>
      </c>
      <c r="IF624" s="20">
        <f t="shared" si="1760"/>
        <v>0.54723082058883221</v>
      </c>
      <c r="IG624" s="20">
        <f t="shared" si="1761"/>
        <v>0.1201000450561461</v>
      </c>
      <c r="IH624" s="21"/>
      <c r="II624" s="19"/>
      <c r="IJ624" s="19"/>
      <c r="IK624" s="19"/>
      <c r="IL624" s="19">
        <f t="shared" si="1762"/>
        <v>178.44271878569612</v>
      </c>
      <c r="IM624" s="19">
        <f t="shared" si="1763"/>
        <v>845.85629719803592</v>
      </c>
      <c r="IN624" s="19">
        <f t="shared" si="1764"/>
        <v>112.43061364769892</v>
      </c>
      <c r="IO624" s="39"/>
      <c r="IP624" s="39"/>
      <c r="IQ624" s="39"/>
      <c r="IR624" s="39"/>
      <c r="IS624" s="39"/>
      <c r="IT624" s="39"/>
      <c r="IU624" s="39"/>
      <c r="IV624" s="39"/>
      <c r="IW624" s="39"/>
      <c r="IX624" s="19">
        <f t="shared" si="1765"/>
        <v>1554.1790484140233</v>
      </c>
      <c r="IY624" s="19">
        <f t="shared" si="1766"/>
        <v>2412.3001201524512</v>
      </c>
      <c r="IZ624" s="19">
        <f t="shared" si="1767"/>
        <v>3993.0862952928574</v>
      </c>
      <c r="JA624" s="19">
        <f t="shared" ref="JA624:JC624" si="1866">IFERROR((JA124*IB124+JA224*IB224+JA324*IB324+JA424*IB424+JA524*IB524)/IB624,0)</f>
        <v>1732.6217671997194</v>
      </c>
      <c r="JB624" s="19">
        <f t="shared" si="1866"/>
        <v>3258.1564173504871</v>
      </c>
      <c r="JC624" s="19">
        <f t="shared" si="1866"/>
        <v>4105.5169089405563</v>
      </c>
      <c r="JD624" s="19">
        <f t="shared" si="1769"/>
        <v>2852.4261590750061</v>
      </c>
      <c r="JE624" s="21"/>
      <c r="JF624" s="1">
        <f t="shared" si="1770"/>
        <v>2.6651855648468406E-2</v>
      </c>
      <c r="JG624" s="15">
        <f t="shared" si="1771"/>
        <v>6449</v>
      </c>
      <c r="JH624" s="1">
        <f t="shared" si="1772"/>
        <v>2.6773760294203929E-2</v>
      </c>
      <c r="JI624" s="1">
        <f t="shared" si="1773"/>
        <v>5.128057227034237E-2</v>
      </c>
      <c r="JJ624" s="1">
        <f t="shared" si="1774"/>
        <v>0</v>
      </c>
      <c r="JK624" s="1">
        <f t="shared" si="1775"/>
        <v>7.8054332564546289E-2</v>
      </c>
      <c r="JL624" s="15">
        <f t="shared" ref="JL624:JM624" si="1867">JL124+JL224+JL324+JL424+JL524</f>
        <v>503.37239070875904</v>
      </c>
      <c r="JM624" s="15">
        <f t="shared" si="1867"/>
        <v>6952.3723907087588</v>
      </c>
      <c r="JN624" s="21"/>
      <c r="JO624" s="19">
        <f>INDEX(Input!$1:$1048576,JO$93,$C624*2+6)</f>
        <v>5995.5</v>
      </c>
      <c r="JP624" s="19">
        <f>INDEX(Input!$1:$1048576,JP$93,$C624*2+6)</f>
        <v>2296.6050414551746</v>
      </c>
      <c r="JQ624" s="39">
        <f t="shared" si="1799"/>
        <v>3143.0738409249939</v>
      </c>
      <c r="JR624" s="39">
        <f t="shared" si="1800"/>
        <v>555.82111761983151</v>
      </c>
      <c r="JS624" s="39">
        <f t="shared" si="1801"/>
        <v>19.831128874888503</v>
      </c>
      <c r="JT624" s="39">
        <f t="shared" si="1802"/>
        <v>5.0203229625440819</v>
      </c>
      <c r="JU624" s="385">
        <f>(JQ624*JM624-INDEX(Input!$1:$1048576,Input!A$18,$C624*2+6)*JL624*INDEX(Input!$1:$1048576,Input!A$19,$C624*2+6))/1000000</f>
        <v>21.851819793605859</v>
      </c>
      <c r="JV624" s="39">
        <f t="shared" si="1803"/>
        <v>-2.0023537940497178</v>
      </c>
      <c r="JW624" s="1">
        <f t="shared" si="1804"/>
        <v>-8.3941444740970886E-2</v>
      </c>
      <c r="JX624" s="19">
        <f t="shared" si="1805"/>
        <v>9973.3776726915057</v>
      </c>
      <c r="JZ624" s="341"/>
      <c r="KA624" s="60"/>
      <c r="KB624" s="469">
        <f t="shared" si="1778"/>
        <v>0</v>
      </c>
      <c r="KI624" s="472"/>
      <c r="KJ624" s="472"/>
      <c r="KK624" s="472"/>
      <c r="KN624" s="793">
        <f t="shared" si="1779"/>
        <v>6002</v>
      </c>
      <c r="KO624" s="541">
        <f t="shared" si="1780"/>
        <v>5.3343708830443815E-2</v>
      </c>
      <c r="KP624" s="546">
        <f t="shared" si="1781"/>
        <v>370.81656085377375</v>
      </c>
      <c r="KQ624" s="546">
        <f t="shared" si="1782"/>
        <v>389.5929024698612</v>
      </c>
      <c r="KR624" s="472">
        <f t="shared" si="1783"/>
        <v>2.5206462157085956</v>
      </c>
      <c r="KS624" s="472">
        <f t="shared" si="1784"/>
        <v>2.3991642427583724</v>
      </c>
      <c r="KT624" s="473">
        <f t="shared" si="1795"/>
        <v>4286.2445668946921</v>
      </c>
      <c r="KU624" s="663">
        <f t="shared" si="1785"/>
        <v>4.3580895836292797</v>
      </c>
      <c r="KV624" s="117"/>
    </row>
    <row r="625" spans="1:308" s="26" customFormat="1" ht="15">
      <c r="A625" s="561">
        <f t="shared" si="1751"/>
        <v>6025</v>
      </c>
      <c r="B625" s="561">
        <f t="shared" si="1786"/>
        <v>25</v>
      </c>
      <c r="C625" s="561">
        <f t="shared" si="1787"/>
        <v>6</v>
      </c>
      <c r="D625" s="561" t="str">
        <f t="shared" si="1855"/>
        <v xml:space="preserve">0.9/1.9/2.9/3.9, </v>
      </c>
      <c r="E625" s="475">
        <f>INDEX(Input!$1:$1048576,E$93,$C625*2+MIN($B625,2)+5)
+INDEX(Scenarios!E$121:E$199,MATCH($B625,Scenarios!$B$121:$B$199,0))</f>
        <v>1267.2644913000609</v>
      </c>
      <c r="F625" s="475">
        <f>INDEX(Input!$1:$1048576,F$93,$C625*2+MIN($B625,2)+5)
+INDEX(Scenarios!F$121:F$199,MATCH($B625,Scenarios!$B$121:$B$199,0))</f>
        <v>0</v>
      </c>
      <c r="G625" s="475">
        <f>INDEX(Input!$1:$1048576,G$93,$C625*2+MIN($B625,2)+5)
+INDEX(Scenarios!G$121:G$199,MATCH($B625,Scenarios!$B$121:$B$199,0))</f>
        <v>0</v>
      </c>
      <c r="H625" s="475">
        <f>INDEX(Input!$1:$1048576,H$93,$C625*2+MIN($B625,2)+5)
+INDEX(Scenarios!H$121:H$199,MATCH($B625,Scenarios!$B$121:$B$199,0))</f>
        <v>0</v>
      </c>
      <c r="I625" s="476">
        <f>INDEX(Input!$1:$1048576,I$93,$C625*2+MIN($B625,2)+5)
+INDEX(Scenarios!I$121:I$199,MATCH($B625,Scenarios!$B$121:$B$199,0))</f>
        <v>0.7</v>
      </c>
      <c r="J625" s="476" t="str">
        <f>INDEX(Input!$1:$1048576,J$93,$C625*2+MIN($B625,2)+5)</f>
        <v>Market</v>
      </c>
      <c r="K625" s="476" t="str">
        <f>INDEX(Input!$1:$1048576,K$93,$C625*2+MIN($B625,2)+5)</f>
        <v>Market</v>
      </c>
      <c r="L625" s="476" t="str">
        <f>INDEX(Input!$1:$1048576,L$93,$C625*2+MIN($B625,2)+5)</f>
        <v>Market</v>
      </c>
      <c r="M625" s="476" t="str">
        <f>INDEX(Input!$1:$1048576,M$93,$C625*2+MIN($B625,2)+5)</f>
        <v>Market</v>
      </c>
      <c r="N625" s="476" t="str">
        <f>INDEX(Input!$1:$1048576,N$93,$C625*2+MIN($B625,2)+5)</f>
        <v>Market</v>
      </c>
      <c r="O625" s="476" t="str">
        <f>INDEX(Input!$1:$1048576,O$93,$C625*2+MIN($B625,2)+5)</f>
        <v>Market</v>
      </c>
      <c r="P625" s="476" t="str">
        <f>INDEX(Input!$1:$1048576,P$93,$C625*2+MIN($B625,2)+5)</f>
        <v>N</v>
      </c>
      <c r="Q625" s="477">
        <f>INDEX(Input!$1:$1048576,Q$93,$C625*2+MIN($B625,2)+5)
+INDEX(Scenarios!Q$121:Q$199,MATCH($B625,Scenarios!$B$121:$B$199,0))</f>
        <v>0</v>
      </c>
      <c r="R625" s="478">
        <f>IFERROR(MAX(0,INDEX(Input!$1:$1048576,R$93,$C625*2+MIN($B625,2)+5)
+INDEX(Scenarios!R$121:R$199,MATCH($B625,Scenarios!$B$121:$B$199,0)),),"Market")</f>
        <v>9.0000000000000011E-3</v>
      </c>
      <c r="S625" s="478">
        <f>IFERROR(MAX(0,INDEX(Input!$1:$1048576,S$93,$C625*2+MIN($B625,2)+5)
+INDEX(Scenarios!S$121:S$199,MATCH($B625,Scenarios!$B$121:$B$199,0)),),"Market")</f>
        <v>9.0000000000000011E-3</v>
      </c>
      <c r="T625" s="478">
        <f>IFERROR(MAX(0,INDEX(Input!$1:$1048576,T$93,$C625*2+MIN($B625,2)+5)
+INDEX(Scenarios!T$121:T$199,MATCH($B625,Scenarios!$B$121:$B$199,0)),),"Market")</f>
        <v>9.0000000000000011E-3</v>
      </c>
      <c r="U625" s="478">
        <f>IFERROR(MAX(0,INDEX(Input!$1:$1048576,U$93,$C625*2+MIN($B625,2)+5)
+INDEX(Scenarios!U$121:U$199,MATCH($B625,Scenarios!$B$121:$B$199,0)),),"Market")</f>
        <v>9.0000000000000011E-3</v>
      </c>
      <c r="V625" s="478">
        <f>IFERROR(MAX(0,INDEX(Input!$1:$1048576,V$93,$C625*2+MIN($B625,2)+5)
+INDEX(Scenarios!V$121:V$199,MATCH($B625,Scenarios!$B$121:$B$199,0)),),"Market")</f>
        <v>2.8999999999999998E-2</v>
      </c>
      <c r="W625" s="885">
        <f>IFERROR(MAX(0,INDEX(Input!$1:$1048576,W$93,$C625*2+MIN($B625,2)+5)-0%,),"Market")</f>
        <v>3.9E-2</v>
      </c>
      <c r="X625" s="476" t="str">
        <f>INDEX(Input!$1:$1048576,X$93,$C625*2+MIN($B625,2)+5)</f>
        <v>Y</v>
      </c>
      <c r="Y625" s="475">
        <f>INDEX(Input!$1:$1048576,Y$93,$C625*2+MIN($B625,2)+5)
++INDEX(Scenarios!Y$121:Y$199,MATCH($B625,Scenarios!$B$121:$B$199,0))</f>
        <v>737.99367635402496</v>
      </c>
      <c r="Z625" s="477">
        <f>INDEX(Input!$1:$1048576,Z$93,$C625*2+MIN($B625,2)+5)
+INDEX(Scenarios!Z$121:Z$199,MATCH($B625,Scenarios!$B$121:$B$199,0))</f>
        <v>0</v>
      </c>
      <c r="AA625" s="475">
        <f>INDEX(Input!$1:$1048576,AA$93,$C625*2+MIN($B625,2)+5)</f>
        <v>0</v>
      </c>
      <c r="AB625" s="476">
        <f>INDEX(Input!$1:$1048576,AB$93,$C625*2+MIN($B625,2)+5)</f>
        <v>0.27</v>
      </c>
      <c r="AC625" s="475">
        <f>INDEX(Input!$1:$1048576,AC$93,$C625*2+MIN($B625,2)+5)
+INDEX(Scenarios!AC$121:AC$199,MATCH($B625,Scenarios!$B$121:$B$199,0))</f>
        <v>0</v>
      </c>
      <c r="AD625" s="476">
        <f>INDEX(Input!$1:$1048576,AD$93,$C625*2+MIN($B625,2)+5)</f>
        <v>0.27</v>
      </c>
      <c r="AE625" s="475">
        <f>INDEX(Input!$1:$1048576,AE$93,$C625*2+MIN($B625,2)+5)
+INDEX(Scenarios!AE$121:AE$199,MATCH($B625,Scenarios!$B$121:$B$199,0))</f>
        <v>0</v>
      </c>
      <c r="AF625" s="476">
        <f>INDEX(Input!$1:$1048576,AF$93,$C625*2+MIN($B625,2)+5)</f>
        <v>1</v>
      </c>
      <c r="AG625" s="475">
        <f>INDEX(Input!$1:$1048576,AG$93,$C625*2+MIN($B625,2)+5)</f>
        <v>500</v>
      </c>
      <c r="AH625" s="476">
        <f>INDEX(Input!$1:$1048576,AH$93,$C625*2+MIN($B625,2)+5)</f>
        <v>1</v>
      </c>
      <c r="AI625" s="475">
        <f>INDEX(Input!$1:$1048576,AI$93,$C625*2+MIN($B625,2)+5)</f>
        <v>0</v>
      </c>
      <c r="AJ625" s="476">
        <f>INDEX(Input!$1:$1048576,AJ$93,$C625*2+MIN($B625,2)+5)</f>
        <v>0.27</v>
      </c>
      <c r="AK625" s="150">
        <f>ROUND(INDEX(Input!$1:$1048576,AK$93,$C624*2+MIN($B625,1)+5)+(Y625-VLOOKUP($C625*1000+1,$A:$HH,Y$92,FALSE)),0)</f>
        <v>3061</v>
      </c>
      <c r="AL625" s="150">
        <f>ROUND(INDEX(Input!$1:$1048576,AL$93,$C624*2+MIN($B625,1)+5)-(Y625-VLOOKUP($C625*1000+1,$A:$HH,Y$92,FALSE))/36,0)</f>
        <v>3552</v>
      </c>
      <c r="AM625" s="32" t="str">
        <f t="shared" si="1752"/>
        <v>std/std/std/std</v>
      </c>
      <c r="AN625" s="32" t="str">
        <f t="shared" si="1753"/>
        <v>$0 + 0.9/0.9/0.9/2.9/3.9</v>
      </c>
      <c r="AO625" s="32" t="str">
        <f t="shared" si="1754"/>
        <v>0.9/0.9/0.9/2.9/3.9</v>
      </c>
      <c r="AP625" s="32" t="str">
        <f t="shared" si="1716"/>
        <v>0.9/1.9/2.9/3.9</v>
      </c>
      <c r="AQ625" s="536">
        <f t="shared" si="1717"/>
        <v>0.39185570426262573</v>
      </c>
      <c r="AR625" s="32"/>
      <c r="AS625" s="302"/>
      <c r="AT625" s="3">
        <f t="shared" si="1788"/>
        <v>25</v>
      </c>
      <c r="AU625" s="41" t="s">
        <v>121</v>
      </c>
      <c r="AV625" s="41" t="s">
        <v>116</v>
      </c>
      <c r="AW625" s="41" t="str">
        <f>INDEX(Input!$1:$1048576,AW$93,$C625*2+6)</f>
        <v>Kia</v>
      </c>
      <c r="AX625" s="41" t="str">
        <f>INDEX(Input!$1:$1048576,AX$93,$C625*2+6)</f>
        <v>National</v>
      </c>
      <c r="AY625" s="41" t="str">
        <f>IF(LEN(D625)=0,"",INDEX(Input!$1:$1048576,AY$93,$C625*2+6))</f>
        <v>Compact SUV (52)</v>
      </c>
      <c r="AZ625" s="41" t="str">
        <f>INDEX(Input!$1:$1048576,AZ$93,$C625*2+6)</f>
        <v>Kia Soul</v>
      </c>
      <c r="BA625" s="3">
        <f>INDEX(Input!$1:$1048576,BA$93,$C625*2+6)</f>
        <v>2020</v>
      </c>
      <c r="BB625" s="128">
        <f>INDEX(Input!$1:$1048576,BB$93,$C625*2+6)</f>
        <v>1</v>
      </c>
      <c r="BC625" s="128">
        <f>INDEX(Input!$1:$1048576,BC$93,$C625*2+6)</f>
        <v>0.7</v>
      </c>
      <c r="BD625" s="1">
        <f>INDEX(Input!$1:$1048576,BD$93,$C625*2+6)</f>
        <v>4.4999999999999998E-2</v>
      </c>
      <c r="BE625" s="1">
        <f>INDEX(Input!$1:$1048576,BE$93,$C625*2+6)</f>
        <v>4.4999999999999998E-2</v>
      </c>
      <c r="BF625" s="1">
        <f>INDEX(Input!$1:$1048576,BF$93,$C625*2+6)</f>
        <v>0.05</v>
      </c>
      <c r="BG625" s="1">
        <f>INDEX(Input!$1:$1048576,BG$93,$C625*2+6)</f>
        <v>5.45E-2</v>
      </c>
      <c r="BH625" s="1">
        <f>INDEX(Input!$1:$1048576,BH$93,$C625*2+6)</f>
        <v>5.45E-2</v>
      </c>
      <c r="BI625" s="1">
        <f>INDEX(Input!$1:$1048576,BI$93,$C625*2+6)</f>
        <v>0.05</v>
      </c>
      <c r="BJ625" s="1">
        <f>INDEX(Input!$1:$1048576,BJ$93,$C625*2+6)</f>
        <v>0.05</v>
      </c>
      <c r="BK625" s="1">
        <f>INDEX(Input!$1:$1048576,BK$93,$C625*2+6)</f>
        <v>0.05</v>
      </c>
      <c r="BL625" s="1">
        <f>INDEX(Input!$1:$1048576,BL$93,$C625*2+6)</f>
        <v>5.5E-2</v>
      </c>
      <c r="BM625" s="1">
        <f>INDEX(Input!$1:$1048576,BM$93,$C625*2+6)</f>
        <v>0.06</v>
      </c>
      <c r="BN625" s="1">
        <f>INDEX(Input!$1:$1048576,BN$93,$C625*2+6)</f>
        <v>4.4999999999999998E-2</v>
      </c>
      <c r="BO625" s="1">
        <f>INDEX(Input!$1:$1048576,BO$93,$C625*2+6)</f>
        <v>4.4999999999999998E-2</v>
      </c>
      <c r="BP625" s="1">
        <f>INDEX(Input!$1:$1048576,BP$93,$C625*2+6)</f>
        <v>0.05</v>
      </c>
      <c r="BQ625" s="1">
        <f>INDEX(Input!$1:$1048576,BQ$93,$C625*2+6)</f>
        <v>5.45E-2</v>
      </c>
      <c r="BR625" s="1">
        <f>INDEX(Input!$1:$1048576,BR$93,$C625*2+6)</f>
        <v>5.45E-2</v>
      </c>
      <c r="BS625" s="1">
        <f>INDEX(Input!$1:$1048576,BS$93,$C625*2+6)</f>
        <v>0.05</v>
      </c>
      <c r="BT625" s="1">
        <f>INDEX(Input!$1:$1048576,BT$93,$C625*2+6)</f>
        <v>0.05</v>
      </c>
      <c r="BU625" s="1">
        <f>INDEX(Input!$1:$1048576,BU$93,$C625*2+6)</f>
        <v>0.05</v>
      </c>
      <c r="BV625" s="1">
        <f>INDEX(Input!$1:$1048576,BV$93,$C625*2+6)</f>
        <v>5.5E-2</v>
      </c>
      <c r="BW625" s="1">
        <f>INDEX(Input!$1:$1048576,BW$93,$C625*2+6)</f>
        <v>0.06</v>
      </c>
      <c r="BX625" s="127">
        <f>INDEX(Input!$1:$1048576,BX$93,$C625*2+6)</f>
        <v>19985</v>
      </c>
      <c r="BY625" s="20">
        <f>INDEX(Input!$1:$1048576,BY$93,$C625*2+6)</f>
        <v>0.1</v>
      </c>
      <c r="BZ625" s="20">
        <f>INDEX(Input!$1:$1048576,BZ$93,$C625*2+6)</f>
        <v>0.1</v>
      </c>
      <c r="CA625" s="20">
        <f>INDEX(Input!$1:$1048576,CA$93,$C625*2+6)</f>
        <v>0.1</v>
      </c>
      <c r="CB625" s="20">
        <f>INDEX(Input!$1:$1048576,CB$93,$C625*2+6)</f>
        <v>0.1</v>
      </c>
      <c r="CC625" s="20">
        <f>INDEX(Input!$1:$1048576,CC$93,$C625*2+6)</f>
        <v>0.1</v>
      </c>
      <c r="CD625" s="384">
        <f>INDEX(Input!$1:$1048576,CD$93,$C625*2+6)</f>
        <v>0.1</v>
      </c>
      <c r="CE625" s="384">
        <f>INDEX(Input!$1:$1048576,CE$93,$C625*2+6)</f>
        <v>0.1</v>
      </c>
      <c r="CF625" s="384">
        <f>INDEX(Input!$1:$1048576,CF$93,$C625*2+6)</f>
        <v>0.1</v>
      </c>
      <c r="CG625" s="384">
        <f>INDEX(Input!$1:$1048576,CG$93,$C625*2+6)</f>
        <v>0.1</v>
      </c>
      <c r="CH625" s="384">
        <f>INDEX(Input!$1:$1048576,CH$93,$C625*2+6)</f>
        <v>0.1</v>
      </c>
      <c r="CI625" s="304">
        <f t="shared" si="1718"/>
        <v>1267.2644913000609</v>
      </c>
      <c r="CJ625" s="16" t="str">
        <f>INDEX(Input!$1:$1048576,CJ$93,$C625*2+6)</f>
        <v>N</v>
      </c>
      <c r="CK625" s="1" t="str">
        <f t="shared" si="1719"/>
        <v>Market</v>
      </c>
      <c r="CL625" s="1" t="str">
        <f t="shared" si="1720"/>
        <v>Market</v>
      </c>
      <c r="CM625" s="1" t="str">
        <f t="shared" si="1721"/>
        <v>Market</v>
      </c>
      <c r="CN625" s="1" t="str">
        <f t="shared" si="1722"/>
        <v>Market</v>
      </c>
      <c r="CO625" s="1" t="str">
        <f t="shared" si="1723"/>
        <v>Market</v>
      </c>
      <c r="CP625" s="304">
        <f t="shared" si="1724"/>
        <v>500</v>
      </c>
      <c r="CQ625" s="1">
        <f t="shared" si="1725"/>
        <v>9.0000000000000011E-3</v>
      </c>
      <c r="CR625" s="1">
        <f t="shared" si="1726"/>
        <v>9.0000000000000011E-3</v>
      </c>
      <c r="CS625" s="1">
        <f t="shared" si="1727"/>
        <v>9.0000000000000011E-3</v>
      </c>
      <c r="CT625" s="1">
        <f t="shared" si="1728"/>
        <v>2.8999999999999998E-2</v>
      </c>
      <c r="CU625" s="1">
        <f t="shared" si="1729"/>
        <v>3.9E-2</v>
      </c>
      <c r="CV625" s="304">
        <f t="shared" si="1730"/>
        <v>737.99367635402496</v>
      </c>
      <c r="CW625" s="20" t="s">
        <v>122</v>
      </c>
      <c r="CX625" s="20" t="s">
        <v>122</v>
      </c>
      <c r="CY625" s="20" t="s">
        <v>122</v>
      </c>
      <c r="CZ625" s="20" t="s">
        <v>122</v>
      </c>
      <c r="DA625" s="20" t="s">
        <v>122</v>
      </c>
      <c r="DB625" s="503">
        <f t="shared" si="1731"/>
        <v>0</v>
      </c>
      <c r="DC625" s="127">
        <v>0</v>
      </c>
      <c r="DD625" s="127">
        <v>0</v>
      </c>
      <c r="DE625" s="127">
        <v>0</v>
      </c>
      <c r="DF625" s="127">
        <v>0</v>
      </c>
      <c r="DG625" s="127">
        <v>0</v>
      </c>
      <c r="DH625" s="127">
        <v>0</v>
      </c>
      <c r="DI625" s="127">
        <v>0</v>
      </c>
      <c r="DJ625" s="127">
        <v>0</v>
      </c>
      <c r="DK625" s="127">
        <v>0</v>
      </c>
      <c r="DL625" s="127">
        <v>0</v>
      </c>
      <c r="DM625" s="304">
        <f>INDEX(Input!$1:$1048576,DM$93,$C625*2+6)</f>
        <v>21036.84210526316</v>
      </c>
      <c r="DN625" s="20">
        <v>0</v>
      </c>
      <c r="DO625" s="20">
        <v>0</v>
      </c>
      <c r="DP625" s="20">
        <v>0</v>
      </c>
      <c r="DQ625" s="20">
        <v>0</v>
      </c>
      <c r="DR625" s="20">
        <v>0</v>
      </c>
      <c r="DS625" s="20">
        <f>INDEX(Input!$1:$1048576,DS$93,$C625*2+6)</f>
        <v>0.6</v>
      </c>
      <c r="DT625" s="20">
        <f>INDEX(Input!$1:$1048576,DT$93,$C625*2+6)</f>
        <v>0.55000000000000004</v>
      </c>
      <c r="DU625" s="20">
        <f>INDEX(Input!$1:$1048576,DU$93,$C625*2+6)</f>
        <v>0.52</v>
      </c>
      <c r="DV625" s="20">
        <f>INDEX(Input!$1:$1048576,DV$93,$C625*2+6)</f>
        <v>0.5</v>
      </c>
      <c r="DW625" s="20">
        <f>INDEX(Input!$1:$1048576,DW$93,$C625*2+6)</f>
        <v>0.45</v>
      </c>
      <c r="DX625" s="20"/>
      <c r="DY625" s="7"/>
      <c r="DZ625" s="7"/>
      <c r="EA625" s="7"/>
      <c r="EB625" s="7"/>
      <c r="EC625" s="7"/>
      <c r="ED625" s="7"/>
      <c r="EE625" s="7"/>
      <c r="EF625" s="7"/>
      <c r="EG625" s="7"/>
      <c r="EH625" s="7"/>
      <c r="EI625" s="7"/>
      <c r="EJ625" s="7"/>
      <c r="EK625" s="7"/>
      <c r="EL625" s="7"/>
      <c r="EM625" s="7"/>
      <c r="EN625" s="7"/>
      <c r="EO625" s="7"/>
      <c r="EP625" s="7"/>
      <c r="EQ625" s="7"/>
      <c r="ER625" s="7"/>
      <c r="ES625" s="7"/>
      <c r="ET625" s="7"/>
      <c r="EU625" s="6"/>
      <c r="EV625" s="6"/>
      <c r="EW625" s="6"/>
      <c r="EX625" s="6"/>
      <c r="EY625" s="6"/>
      <c r="EZ625" s="6"/>
      <c r="FA625" s="6"/>
      <c r="FB625" s="6"/>
      <c r="FC625" s="6"/>
      <c r="FD625" s="6"/>
      <c r="FE625" s="6"/>
      <c r="FF625" s="6"/>
      <c r="FG625" s="6"/>
      <c r="FH625" s="6"/>
      <c r="FI625" s="6"/>
      <c r="FJ625" s="6"/>
      <c r="FK625" s="6"/>
      <c r="FL625" s="6"/>
      <c r="FM625" s="6"/>
      <c r="FN625" s="6"/>
      <c r="FO625" s="6"/>
      <c r="FP625" s="6"/>
      <c r="FQ625" s="6"/>
      <c r="FR625" s="6"/>
      <c r="FS625" s="6"/>
      <c r="FT625" s="7"/>
      <c r="FU625" s="7"/>
      <c r="FV625" s="7"/>
      <c r="FW625" s="6"/>
      <c r="FX625" s="6"/>
      <c r="FY625" s="6"/>
      <c r="FZ625" s="6"/>
      <c r="GA625" s="6"/>
      <c r="GB625" s="6"/>
      <c r="GC625" s="7"/>
      <c r="GD625" s="7"/>
      <c r="GE625" s="7"/>
      <c r="GF625" s="7"/>
      <c r="GG625" s="7"/>
      <c r="GH625" s="42"/>
      <c r="GI625" s="6"/>
      <c r="GJ625" s="14"/>
      <c r="GK625" s="14"/>
      <c r="GL625" s="14"/>
      <c r="GM625" s="14"/>
      <c r="GO625" s="5"/>
      <c r="GP625" s="5"/>
      <c r="GQ625" s="5"/>
      <c r="GR625" s="5"/>
      <c r="GS625" s="5"/>
      <c r="GT625" s="5"/>
      <c r="GU625" s="5"/>
      <c r="GV625" s="39"/>
      <c r="GW625" s="5"/>
      <c r="GX625" s="5"/>
      <c r="GY625" s="5"/>
      <c r="GZ625" s="5"/>
      <c r="HA625" s="5"/>
      <c r="HB625" s="39"/>
      <c r="HC625" s="5"/>
      <c r="HD625" s="5"/>
      <c r="HE625" s="5"/>
      <c r="HF625" s="5"/>
      <c r="HG625" s="5"/>
      <c r="HH625" s="39"/>
      <c r="HI625" s="16"/>
      <c r="HJ625" s="19"/>
      <c r="HK625" s="1"/>
      <c r="HL625" s="16"/>
      <c r="HM625" s="639">
        <f t="shared" si="1755"/>
        <v>2.3149872625708352E-2</v>
      </c>
      <c r="HN625" s="639">
        <f t="shared" si="1756"/>
        <v>1.3965040474190958E-3</v>
      </c>
      <c r="HO625" s="639">
        <f t="shared" si="1757"/>
        <v>3.5429561340050734E-3</v>
      </c>
      <c r="HP625" s="644">
        <f t="shared" ref="HP625:ID625" si="1868">HP125+HP225+HP325+HP425+HP525</f>
        <v>169.30148004889941</v>
      </c>
      <c r="HQ625" s="644">
        <f t="shared" si="1868"/>
        <v>-85.232988955657291</v>
      </c>
      <c r="HR625" s="644">
        <f t="shared" si="1868"/>
        <v>18.919559729383671</v>
      </c>
      <c r="HS625" s="644">
        <f t="shared" si="1868"/>
        <v>-58.599338769231863</v>
      </c>
      <c r="HT625" s="644">
        <f t="shared" si="1868"/>
        <v>-110.68805684231526</v>
      </c>
      <c r="HU625" s="644">
        <f t="shared" si="1868"/>
        <v>14.302409977555159</v>
      </c>
      <c r="HV625" s="644">
        <f t="shared" si="1868"/>
        <v>0</v>
      </c>
      <c r="HW625" s="644">
        <f t="shared" si="1868"/>
        <v>0</v>
      </c>
      <c r="HX625" s="644">
        <f t="shared" si="1868"/>
        <v>0</v>
      </c>
      <c r="HY625" s="644">
        <f t="shared" si="1868"/>
        <v>2396</v>
      </c>
      <c r="HZ625" s="644">
        <f t="shared" si="1868"/>
        <v>3223</v>
      </c>
      <c r="IA625" s="644">
        <f t="shared" si="1868"/>
        <v>830</v>
      </c>
      <c r="IB625" s="644">
        <f t="shared" si="1868"/>
        <v>2506.7021412796676</v>
      </c>
      <c r="IC625" s="644">
        <f t="shared" si="1868"/>
        <v>3027.0789542020275</v>
      </c>
      <c r="ID625" s="644">
        <f t="shared" si="1868"/>
        <v>863.22196970693881</v>
      </c>
      <c r="IE625" s="20">
        <f t="shared" si="1759"/>
        <v>0.39185570426262573</v>
      </c>
      <c r="IF625" s="20">
        <f t="shared" si="1760"/>
        <v>0.47320267371370495</v>
      </c>
      <c r="IG625" s="20">
        <f t="shared" si="1761"/>
        <v>0.13494162202366936</v>
      </c>
      <c r="IH625" s="21"/>
      <c r="II625" s="19"/>
      <c r="IJ625" s="19"/>
      <c r="IK625" s="19"/>
      <c r="IL625" s="19">
        <f t="shared" si="1762"/>
        <v>174.59230428156752</v>
      </c>
      <c r="IM625" s="19">
        <f t="shared" si="1763"/>
        <v>-222.11752348566779</v>
      </c>
      <c r="IN625" s="19">
        <f t="shared" si="1764"/>
        <v>110.72985643905213</v>
      </c>
      <c r="IO625" s="39"/>
      <c r="IP625" s="39"/>
      <c r="IQ625" s="39"/>
      <c r="IR625" s="39"/>
      <c r="IS625" s="39"/>
      <c r="IT625" s="39"/>
      <c r="IU625" s="39"/>
      <c r="IV625" s="39"/>
      <c r="IW625" s="39"/>
      <c r="IX625" s="19">
        <f t="shared" si="1765"/>
        <v>1554.1790484140233</v>
      </c>
      <c r="IY625" s="19">
        <f t="shared" si="1766"/>
        <v>2412.3001201524512</v>
      </c>
      <c r="IZ625" s="19">
        <f t="shared" si="1767"/>
        <v>3993.0862952928574</v>
      </c>
      <c r="JA625" s="19">
        <f t="shared" ref="JA625:JC625" si="1869">IFERROR((JA125*IB125+JA225*IB225+JA325*IB325+JA425*IB425+JA525*IB525)/IB625,0)</f>
        <v>1728.7713526955908</v>
      </c>
      <c r="JB625" s="19">
        <f t="shared" si="1869"/>
        <v>2190.1825966667834</v>
      </c>
      <c r="JC625" s="19">
        <f t="shared" si="1869"/>
        <v>4103.8161517319095</v>
      </c>
      <c r="JD625" s="19">
        <f t="shared" si="1769"/>
        <v>2267.6047845851663</v>
      </c>
      <c r="JE625" s="21"/>
      <c r="JF625" s="1">
        <f t="shared" si="1770"/>
        <v>2.6651855648468406E-2</v>
      </c>
      <c r="JG625" s="15">
        <f t="shared" si="1771"/>
        <v>6449</v>
      </c>
      <c r="JH625" s="1">
        <f t="shared" si="1772"/>
        <v>1.5969615571813582E-2</v>
      </c>
      <c r="JI625" s="1">
        <f t="shared" si="1773"/>
        <v>-2.4032405897657309E-2</v>
      </c>
      <c r="JJ625" s="1">
        <f t="shared" si="1774"/>
        <v>0</v>
      </c>
      <c r="JK625" s="1">
        <f t="shared" si="1775"/>
        <v>-8.0627903258437272E-3</v>
      </c>
      <c r="JL625" s="15">
        <f t="shared" ref="JL625:JM625" si="1870">JL125+JL225+JL325+JL425+JL525</f>
        <v>-51.996934811366202</v>
      </c>
      <c r="JM625" s="15">
        <f t="shared" si="1870"/>
        <v>6397.0030651886336</v>
      </c>
      <c r="JN625" s="21"/>
      <c r="JO625" s="19">
        <f>INDEX(Input!$1:$1048576,JO$93,$C625*2+6)</f>
        <v>5995.5</v>
      </c>
      <c r="JP625" s="19">
        <f>INDEX(Input!$1:$1048576,JP$93,$C625*2+6)</f>
        <v>2296.6050414551746</v>
      </c>
      <c r="JQ625" s="39">
        <f t="shared" si="1799"/>
        <v>3727.8952154148337</v>
      </c>
      <c r="JR625" s="39">
        <f t="shared" si="1800"/>
        <v>-29.000256870008343</v>
      </c>
      <c r="JS625" s="39">
        <f t="shared" si="1801"/>
        <v>14.505874757627719</v>
      </c>
      <c r="JT625" s="39">
        <f t="shared" si="1802"/>
        <v>-0.30493115471670029</v>
      </c>
      <c r="JU625" s="385">
        <f>(JQ625*JM625-INDEX(Input!$1:$1048576,Input!A$18,$C625*2+6)*JL625*INDEX(Input!$1:$1048576,Input!A$19,$C625*2+6))/1000000</f>
        <v>23.847357119710733</v>
      </c>
      <c r="JV625" s="39">
        <f t="shared" si="1803"/>
        <v>-6.8164679448443621E-3</v>
      </c>
      <c r="JW625" s="1">
        <f t="shared" si="1804"/>
        <v>-2.8575577853478238E-4</v>
      </c>
      <c r="JX625" s="19">
        <f t="shared" si="1805"/>
        <v>5864.4063505459608</v>
      </c>
      <c r="JZ625" s="341"/>
      <c r="KA625" s="60"/>
      <c r="KB625" s="469">
        <f t="shared" si="1778"/>
        <v>0</v>
      </c>
      <c r="KI625" s="472"/>
      <c r="KJ625" s="472"/>
      <c r="KK625" s="472"/>
      <c r="KN625" s="793">
        <f t="shared" si="1779"/>
        <v>6002</v>
      </c>
      <c r="KO625" s="541">
        <f t="shared" si="1780"/>
        <v>-3.0799480319755435E-2</v>
      </c>
      <c r="KP625" s="546">
        <f t="shared" si="1781"/>
        <v>-185.33566399051981</v>
      </c>
      <c r="KQ625" s="546">
        <f t="shared" si="1782"/>
        <v>-195.22847201997865</v>
      </c>
      <c r="KR625" s="472">
        <f t="shared" si="1783"/>
        <v>2.9118714561071637</v>
      </c>
      <c r="KS625" s="472">
        <f t="shared" si="1784"/>
        <v>2.7643182584425268</v>
      </c>
      <c r="KT625" s="473">
        <f t="shared" si="1795"/>
        <v>4286.2445668946921</v>
      </c>
      <c r="KU625" s="663">
        <f t="shared" si="1785"/>
        <v>4.3401115150093128</v>
      </c>
      <c r="KV625" s="117"/>
    </row>
    <row r="626" spans="1:308" s="26" customFormat="1" ht="15">
      <c r="A626" s="561">
        <f t="shared" si="1751"/>
        <v>6026</v>
      </c>
      <c r="B626" s="561">
        <f t="shared" si="1786"/>
        <v>26</v>
      </c>
      <c r="C626" s="561">
        <f t="shared" si="1787"/>
        <v>6</v>
      </c>
      <c r="D626" s="561" t="str">
        <f t="shared" si="1855"/>
        <v xml:space="preserve">1.9/2.9/3.9/3.9, </v>
      </c>
      <c r="E626" s="475">
        <f>INDEX(Input!$1:$1048576,E$93,$C626*2+MIN($B626,2)+5)
+INDEX(Scenarios!E$121:E$199,MATCH($B626,Scenarios!$B$121:$B$199,0))</f>
        <v>1267.2644913000609</v>
      </c>
      <c r="F626" s="475">
        <f>INDEX(Input!$1:$1048576,F$93,$C626*2+MIN($B626,2)+5)
+INDEX(Scenarios!F$121:F$199,MATCH($B626,Scenarios!$B$121:$B$199,0))</f>
        <v>0</v>
      </c>
      <c r="G626" s="475">
        <f>INDEX(Input!$1:$1048576,G$93,$C626*2+MIN($B626,2)+5)
+INDEX(Scenarios!G$121:G$199,MATCH($B626,Scenarios!$B$121:$B$199,0))</f>
        <v>0</v>
      </c>
      <c r="H626" s="475">
        <f>INDEX(Input!$1:$1048576,H$93,$C626*2+MIN($B626,2)+5)
+INDEX(Scenarios!H$121:H$199,MATCH($B626,Scenarios!$B$121:$B$199,0))</f>
        <v>0</v>
      </c>
      <c r="I626" s="476">
        <f>INDEX(Input!$1:$1048576,I$93,$C626*2+MIN($B626,2)+5)
+INDEX(Scenarios!I$121:I$199,MATCH($B626,Scenarios!$B$121:$B$199,0))</f>
        <v>0.7</v>
      </c>
      <c r="J626" s="476" t="str">
        <f>INDEX(Input!$1:$1048576,J$93,$C626*2+MIN($B626,2)+5)</f>
        <v>Market</v>
      </c>
      <c r="K626" s="476" t="str">
        <f>INDEX(Input!$1:$1048576,K$93,$C626*2+MIN($B626,2)+5)</f>
        <v>Market</v>
      </c>
      <c r="L626" s="476" t="str">
        <f>INDEX(Input!$1:$1048576,L$93,$C626*2+MIN($B626,2)+5)</f>
        <v>Market</v>
      </c>
      <c r="M626" s="476" t="str">
        <f>INDEX(Input!$1:$1048576,M$93,$C626*2+MIN($B626,2)+5)</f>
        <v>Market</v>
      </c>
      <c r="N626" s="476" t="str">
        <f>INDEX(Input!$1:$1048576,N$93,$C626*2+MIN($B626,2)+5)</f>
        <v>Market</v>
      </c>
      <c r="O626" s="476" t="str">
        <f>INDEX(Input!$1:$1048576,O$93,$C626*2+MIN($B626,2)+5)</f>
        <v>Market</v>
      </c>
      <c r="P626" s="476" t="str">
        <f>INDEX(Input!$1:$1048576,P$93,$C626*2+MIN($B626,2)+5)</f>
        <v>N</v>
      </c>
      <c r="Q626" s="477">
        <f>INDEX(Input!$1:$1048576,Q$93,$C626*2+MIN($B626,2)+5)
+INDEX(Scenarios!Q$121:Q$199,MATCH($B626,Scenarios!$B$121:$B$199,0))</f>
        <v>0</v>
      </c>
      <c r="R626" s="478">
        <f>IFERROR(MAX(0,INDEX(Input!$1:$1048576,R$93,$C626*2+MIN($B626,2)+5)
+INDEX(Scenarios!R$121:R$199,MATCH($B626,Scenarios!$B$121:$B$199,0)),),"Market")</f>
        <v>1.9E-2</v>
      </c>
      <c r="S626" s="478">
        <f>IFERROR(MAX(0,INDEX(Input!$1:$1048576,S$93,$C626*2+MIN($B626,2)+5)
+INDEX(Scenarios!S$121:S$199,MATCH($B626,Scenarios!$B$121:$B$199,0)),),"Market")</f>
        <v>1.9E-2</v>
      </c>
      <c r="T626" s="478">
        <f>IFERROR(MAX(0,INDEX(Input!$1:$1048576,T$93,$C626*2+MIN($B626,2)+5)
+INDEX(Scenarios!T$121:T$199,MATCH($B626,Scenarios!$B$121:$B$199,0)),),"Market")</f>
        <v>1.9E-2</v>
      </c>
      <c r="U626" s="478">
        <f>IFERROR(MAX(0,INDEX(Input!$1:$1048576,U$93,$C626*2+MIN($B626,2)+5)
+INDEX(Scenarios!U$121:U$199,MATCH($B626,Scenarios!$B$121:$B$199,0)),),"Market")</f>
        <v>1.9E-2</v>
      </c>
      <c r="V626" s="478">
        <f>IFERROR(MAX(0,INDEX(Input!$1:$1048576,V$93,$C626*2+MIN($B626,2)+5)
+INDEX(Scenarios!V$121:V$199,MATCH($B626,Scenarios!$B$121:$B$199,0)),),"Market")</f>
        <v>3.9E-2</v>
      </c>
      <c r="W626" s="885">
        <f>IFERROR(MAX(0,INDEX(Input!$1:$1048576,W$93,$C626*2+MIN($B626,2)+5)-0%,),"Market")</f>
        <v>3.9E-2</v>
      </c>
      <c r="X626" s="476" t="str">
        <f>INDEX(Input!$1:$1048576,X$93,$C626*2+MIN($B626,2)+5)</f>
        <v>Y</v>
      </c>
      <c r="Y626" s="475">
        <f>INDEX(Input!$1:$1048576,Y$93,$C626*2+MIN($B626,2)+5)
++INDEX(Scenarios!Y$121:Y$199,MATCH($B626,Scenarios!$B$121:$B$199,0))</f>
        <v>737.99367635402496</v>
      </c>
      <c r="Z626" s="477">
        <f>INDEX(Input!$1:$1048576,Z$93,$C626*2+MIN($B626,2)+5)
+INDEX(Scenarios!Z$121:Z$199,MATCH($B626,Scenarios!$B$121:$B$199,0))</f>
        <v>0</v>
      </c>
      <c r="AA626" s="475">
        <f>INDEX(Input!$1:$1048576,AA$93,$C626*2+MIN($B626,2)+5)</f>
        <v>0</v>
      </c>
      <c r="AB626" s="476">
        <f>INDEX(Input!$1:$1048576,AB$93,$C626*2+MIN($B626,2)+5)</f>
        <v>0.27</v>
      </c>
      <c r="AC626" s="475">
        <f>INDEX(Input!$1:$1048576,AC$93,$C626*2+MIN($B626,2)+5)
+INDEX(Scenarios!AC$121:AC$199,MATCH($B626,Scenarios!$B$121:$B$199,0))</f>
        <v>0</v>
      </c>
      <c r="AD626" s="476">
        <f>INDEX(Input!$1:$1048576,AD$93,$C626*2+MIN($B626,2)+5)</f>
        <v>0.27</v>
      </c>
      <c r="AE626" s="475">
        <f>INDEX(Input!$1:$1048576,AE$93,$C626*2+MIN($B626,2)+5)
+INDEX(Scenarios!AE$121:AE$199,MATCH($B626,Scenarios!$B$121:$B$199,0))</f>
        <v>0</v>
      </c>
      <c r="AF626" s="476">
        <f>INDEX(Input!$1:$1048576,AF$93,$C626*2+MIN($B626,2)+5)</f>
        <v>1</v>
      </c>
      <c r="AG626" s="475">
        <f>INDEX(Input!$1:$1048576,AG$93,$C626*2+MIN($B626,2)+5)</f>
        <v>500</v>
      </c>
      <c r="AH626" s="476">
        <f>INDEX(Input!$1:$1048576,AH$93,$C626*2+MIN($B626,2)+5)</f>
        <v>1</v>
      </c>
      <c r="AI626" s="475">
        <f>INDEX(Input!$1:$1048576,AI$93,$C626*2+MIN($B626,2)+5)</f>
        <v>0</v>
      </c>
      <c r="AJ626" s="476">
        <f>INDEX(Input!$1:$1048576,AJ$93,$C626*2+MIN($B626,2)+5)</f>
        <v>0.27</v>
      </c>
      <c r="AK626" s="150">
        <f>ROUND(INDEX(Input!$1:$1048576,AK$93,$C625*2+MIN($B626,1)+5)+(Y626-VLOOKUP($C626*1000+1,$A:$HH,Y$92,FALSE)),0)</f>
        <v>3061</v>
      </c>
      <c r="AL626" s="150">
        <f>ROUND(INDEX(Input!$1:$1048576,AL$93,$C625*2+MIN($B626,1)+5)-(Y626-VLOOKUP($C626*1000+1,$A:$HH,Y$92,FALSE))/36,0)</f>
        <v>3552</v>
      </c>
      <c r="AM626" s="32" t="str">
        <f t="shared" si="1752"/>
        <v>std/std/std/std</v>
      </c>
      <c r="AN626" s="32" t="str">
        <f t="shared" si="1753"/>
        <v>$0 + 1.9/1.9/1.9/3.9/3.9</v>
      </c>
      <c r="AO626" s="32" t="str">
        <f t="shared" si="1754"/>
        <v>1.9/1.9/1.9/3.9/3.9</v>
      </c>
      <c r="AP626" s="32" t="str">
        <f t="shared" si="1716"/>
        <v>1.9/2.9/3.9/3.9</v>
      </c>
      <c r="AQ626" s="536">
        <f t="shared" si="1717"/>
        <v>0.41115232496340087</v>
      </c>
      <c r="AR626" s="32"/>
      <c r="AS626" s="302"/>
      <c r="AT626" s="3">
        <f t="shared" si="1788"/>
        <v>26</v>
      </c>
      <c r="AU626" s="41" t="s">
        <v>121</v>
      </c>
      <c r="AV626" s="41" t="s">
        <v>116</v>
      </c>
      <c r="AW626" s="41" t="str">
        <f>INDEX(Input!$1:$1048576,AW$93,$C626*2+6)</f>
        <v>Kia</v>
      </c>
      <c r="AX626" s="41" t="str">
        <f>INDEX(Input!$1:$1048576,AX$93,$C626*2+6)</f>
        <v>National</v>
      </c>
      <c r="AY626" s="41" t="str">
        <f>IF(LEN(D626)=0,"",INDEX(Input!$1:$1048576,AY$93,$C626*2+6))</f>
        <v>Compact SUV (52)</v>
      </c>
      <c r="AZ626" s="41" t="str">
        <f>INDEX(Input!$1:$1048576,AZ$93,$C626*2+6)</f>
        <v>Kia Soul</v>
      </c>
      <c r="BA626" s="3">
        <f>INDEX(Input!$1:$1048576,BA$93,$C626*2+6)</f>
        <v>2020</v>
      </c>
      <c r="BB626" s="128">
        <f>INDEX(Input!$1:$1048576,BB$93,$C626*2+6)</f>
        <v>1</v>
      </c>
      <c r="BC626" s="128">
        <f>INDEX(Input!$1:$1048576,BC$93,$C626*2+6)</f>
        <v>0.7</v>
      </c>
      <c r="BD626" s="1">
        <f>INDEX(Input!$1:$1048576,BD$93,$C626*2+6)</f>
        <v>4.4999999999999998E-2</v>
      </c>
      <c r="BE626" s="1">
        <f>INDEX(Input!$1:$1048576,BE$93,$C626*2+6)</f>
        <v>4.4999999999999998E-2</v>
      </c>
      <c r="BF626" s="1">
        <f>INDEX(Input!$1:$1048576,BF$93,$C626*2+6)</f>
        <v>0.05</v>
      </c>
      <c r="BG626" s="1">
        <f>INDEX(Input!$1:$1048576,BG$93,$C626*2+6)</f>
        <v>5.45E-2</v>
      </c>
      <c r="BH626" s="1">
        <f>INDEX(Input!$1:$1048576,BH$93,$C626*2+6)</f>
        <v>5.45E-2</v>
      </c>
      <c r="BI626" s="1">
        <f>INDEX(Input!$1:$1048576,BI$93,$C626*2+6)</f>
        <v>0.05</v>
      </c>
      <c r="BJ626" s="1">
        <f>INDEX(Input!$1:$1048576,BJ$93,$C626*2+6)</f>
        <v>0.05</v>
      </c>
      <c r="BK626" s="1">
        <f>INDEX(Input!$1:$1048576,BK$93,$C626*2+6)</f>
        <v>0.05</v>
      </c>
      <c r="BL626" s="1">
        <f>INDEX(Input!$1:$1048576,BL$93,$C626*2+6)</f>
        <v>5.5E-2</v>
      </c>
      <c r="BM626" s="1">
        <f>INDEX(Input!$1:$1048576,BM$93,$C626*2+6)</f>
        <v>0.06</v>
      </c>
      <c r="BN626" s="1">
        <f>INDEX(Input!$1:$1048576,BN$93,$C626*2+6)</f>
        <v>4.4999999999999998E-2</v>
      </c>
      <c r="BO626" s="1">
        <f>INDEX(Input!$1:$1048576,BO$93,$C626*2+6)</f>
        <v>4.4999999999999998E-2</v>
      </c>
      <c r="BP626" s="1">
        <f>INDEX(Input!$1:$1048576,BP$93,$C626*2+6)</f>
        <v>0.05</v>
      </c>
      <c r="BQ626" s="1">
        <f>INDEX(Input!$1:$1048576,BQ$93,$C626*2+6)</f>
        <v>5.45E-2</v>
      </c>
      <c r="BR626" s="1">
        <f>INDEX(Input!$1:$1048576,BR$93,$C626*2+6)</f>
        <v>5.45E-2</v>
      </c>
      <c r="BS626" s="1">
        <f>INDEX(Input!$1:$1048576,BS$93,$C626*2+6)</f>
        <v>0.05</v>
      </c>
      <c r="BT626" s="1">
        <f>INDEX(Input!$1:$1048576,BT$93,$C626*2+6)</f>
        <v>0.05</v>
      </c>
      <c r="BU626" s="1">
        <f>INDEX(Input!$1:$1048576,BU$93,$C626*2+6)</f>
        <v>0.05</v>
      </c>
      <c r="BV626" s="1">
        <f>INDEX(Input!$1:$1048576,BV$93,$C626*2+6)</f>
        <v>5.5E-2</v>
      </c>
      <c r="BW626" s="1">
        <f>INDEX(Input!$1:$1048576,BW$93,$C626*2+6)</f>
        <v>0.06</v>
      </c>
      <c r="BX626" s="127">
        <f>INDEX(Input!$1:$1048576,BX$93,$C626*2+6)</f>
        <v>19985</v>
      </c>
      <c r="BY626" s="20">
        <f>INDEX(Input!$1:$1048576,BY$93,$C626*2+6)</f>
        <v>0.1</v>
      </c>
      <c r="BZ626" s="20">
        <f>INDEX(Input!$1:$1048576,BZ$93,$C626*2+6)</f>
        <v>0.1</v>
      </c>
      <c r="CA626" s="20">
        <f>INDEX(Input!$1:$1048576,CA$93,$C626*2+6)</f>
        <v>0.1</v>
      </c>
      <c r="CB626" s="20">
        <f>INDEX(Input!$1:$1048576,CB$93,$C626*2+6)</f>
        <v>0.1</v>
      </c>
      <c r="CC626" s="20">
        <f>INDEX(Input!$1:$1048576,CC$93,$C626*2+6)</f>
        <v>0.1</v>
      </c>
      <c r="CD626" s="384">
        <f>INDEX(Input!$1:$1048576,CD$93,$C626*2+6)</f>
        <v>0.1</v>
      </c>
      <c r="CE626" s="384">
        <f>INDEX(Input!$1:$1048576,CE$93,$C626*2+6)</f>
        <v>0.1</v>
      </c>
      <c r="CF626" s="384">
        <f>INDEX(Input!$1:$1048576,CF$93,$C626*2+6)</f>
        <v>0.1</v>
      </c>
      <c r="CG626" s="384">
        <f>INDEX(Input!$1:$1048576,CG$93,$C626*2+6)</f>
        <v>0.1</v>
      </c>
      <c r="CH626" s="384">
        <f>INDEX(Input!$1:$1048576,CH$93,$C626*2+6)</f>
        <v>0.1</v>
      </c>
      <c r="CI626" s="304">
        <f t="shared" si="1718"/>
        <v>1267.2644913000609</v>
      </c>
      <c r="CJ626" s="16" t="str">
        <f>INDEX(Input!$1:$1048576,CJ$93,$C626*2+6)</f>
        <v>N</v>
      </c>
      <c r="CK626" s="1" t="str">
        <f t="shared" si="1719"/>
        <v>Market</v>
      </c>
      <c r="CL626" s="1" t="str">
        <f t="shared" si="1720"/>
        <v>Market</v>
      </c>
      <c r="CM626" s="1" t="str">
        <f t="shared" si="1721"/>
        <v>Market</v>
      </c>
      <c r="CN626" s="1" t="str">
        <f t="shared" si="1722"/>
        <v>Market</v>
      </c>
      <c r="CO626" s="1" t="str">
        <f t="shared" si="1723"/>
        <v>Market</v>
      </c>
      <c r="CP626" s="304">
        <f t="shared" si="1724"/>
        <v>500</v>
      </c>
      <c r="CQ626" s="1">
        <f t="shared" si="1725"/>
        <v>1.9E-2</v>
      </c>
      <c r="CR626" s="1">
        <f t="shared" si="1726"/>
        <v>1.9E-2</v>
      </c>
      <c r="CS626" s="1">
        <f t="shared" si="1727"/>
        <v>1.9E-2</v>
      </c>
      <c r="CT626" s="1">
        <f t="shared" si="1728"/>
        <v>3.9E-2</v>
      </c>
      <c r="CU626" s="1">
        <f t="shared" si="1729"/>
        <v>3.9E-2</v>
      </c>
      <c r="CV626" s="304">
        <f t="shared" si="1730"/>
        <v>737.99367635402496</v>
      </c>
      <c r="CW626" s="20" t="s">
        <v>122</v>
      </c>
      <c r="CX626" s="20" t="s">
        <v>122</v>
      </c>
      <c r="CY626" s="20" t="s">
        <v>122</v>
      </c>
      <c r="CZ626" s="20" t="s">
        <v>122</v>
      </c>
      <c r="DA626" s="20" t="s">
        <v>122</v>
      </c>
      <c r="DB626" s="503">
        <f t="shared" si="1731"/>
        <v>0</v>
      </c>
      <c r="DC626" s="127">
        <v>0</v>
      </c>
      <c r="DD626" s="127">
        <v>0</v>
      </c>
      <c r="DE626" s="127">
        <v>0</v>
      </c>
      <c r="DF626" s="127">
        <v>0</v>
      </c>
      <c r="DG626" s="127">
        <v>0</v>
      </c>
      <c r="DH626" s="127">
        <v>0</v>
      </c>
      <c r="DI626" s="127">
        <v>0</v>
      </c>
      <c r="DJ626" s="127">
        <v>0</v>
      </c>
      <c r="DK626" s="127">
        <v>0</v>
      </c>
      <c r="DL626" s="127">
        <v>0</v>
      </c>
      <c r="DM626" s="304">
        <f>INDEX(Input!$1:$1048576,DM$93,$C626*2+6)</f>
        <v>21036.84210526316</v>
      </c>
      <c r="DN626" s="20">
        <v>0</v>
      </c>
      <c r="DO626" s="20">
        <v>0</v>
      </c>
      <c r="DP626" s="20">
        <v>0</v>
      </c>
      <c r="DQ626" s="20">
        <v>0</v>
      </c>
      <c r="DR626" s="20">
        <v>0</v>
      </c>
      <c r="DS626" s="20">
        <f>INDEX(Input!$1:$1048576,DS$93,$C626*2+6)</f>
        <v>0.6</v>
      </c>
      <c r="DT626" s="20">
        <f>INDEX(Input!$1:$1048576,DT$93,$C626*2+6)</f>
        <v>0.55000000000000004</v>
      </c>
      <c r="DU626" s="20">
        <f>INDEX(Input!$1:$1048576,DU$93,$C626*2+6)</f>
        <v>0.52</v>
      </c>
      <c r="DV626" s="20">
        <f>INDEX(Input!$1:$1048576,DV$93,$C626*2+6)</f>
        <v>0.5</v>
      </c>
      <c r="DW626" s="20">
        <f>INDEX(Input!$1:$1048576,DW$93,$C626*2+6)</f>
        <v>0.45</v>
      </c>
      <c r="DX626" s="20"/>
      <c r="DY626" s="7"/>
      <c r="DZ626" s="7"/>
      <c r="EA626" s="7"/>
      <c r="EB626" s="7"/>
      <c r="EC626" s="7"/>
      <c r="ED626" s="7"/>
      <c r="EE626" s="7"/>
      <c r="EF626" s="7"/>
      <c r="EG626" s="7"/>
      <c r="EH626" s="7"/>
      <c r="EI626" s="7"/>
      <c r="EJ626" s="7"/>
      <c r="EK626" s="7"/>
      <c r="EL626" s="7"/>
      <c r="EM626" s="7"/>
      <c r="EN626" s="7"/>
      <c r="EO626" s="7"/>
      <c r="EP626" s="7"/>
      <c r="EQ626" s="7"/>
      <c r="ER626" s="7"/>
      <c r="ES626" s="7"/>
      <c r="ET626" s="7"/>
      <c r="EU626" s="6"/>
      <c r="EV626" s="6"/>
      <c r="EW626" s="6"/>
      <c r="EX626" s="6"/>
      <c r="EY626" s="6"/>
      <c r="EZ626" s="6"/>
      <c r="FA626" s="6"/>
      <c r="FB626" s="6"/>
      <c r="FC626" s="6"/>
      <c r="FD626" s="6"/>
      <c r="FE626" s="6"/>
      <c r="FF626" s="6"/>
      <c r="FG626" s="6"/>
      <c r="FH626" s="6"/>
      <c r="FI626" s="6"/>
      <c r="FJ626" s="6"/>
      <c r="FK626" s="6"/>
      <c r="FL626" s="6"/>
      <c r="FM626" s="6"/>
      <c r="FN626" s="6"/>
      <c r="FO626" s="6"/>
      <c r="FP626" s="6"/>
      <c r="FQ626" s="6"/>
      <c r="FR626" s="6"/>
      <c r="FS626" s="6"/>
      <c r="FT626" s="7"/>
      <c r="FU626" s="7"/>
      <c r="FV626" s="7"/>
      <c r="FW626" s="6"/>
      <c r="FX626" s="6"/>
      <c r="FY626" s="6"/>
      <c r="FZ626" s="6"/>
      <c r="GA626" s="6"/>
      <c r="GB626" s="6"/>
      <c r="GC626" s="7"/>
      <c r="GD626" s="7"/>
      <c r="GE626" s="7"/>
      <c r="GF626" s="7"/>
      <c r="GG626" s="7"/>
      <c r="GH626" s="42"/>
      <c r="GI626" s="6"/>
      <c r="GJ626" s="14"/>
      <c r="GK626" s="14"/>
      <c r="GL626" s="14"/>
      <c r="GM626" s="14"/>
      <c r="GO626" s="5"/>
      <c r="GP626" s="5"/>
      <c r="GQ626" s="5"/>
      <c r="GR626" s="5"/>
      <c r="GS626" s="5"/>
      <c r="GT626" s="5"/>
      <c r="GU626" s="5"/>
      <c r="GV626" s="39"/>
      <c r="GW626" s="5"/>
      <c r="GX626" s="5"/>
      <c r="GY626" s="5"/>
      <c r="GZ626" s="5"/>
      <c r="HA626" s="5"/>
      <c r="HB626" s="39"/>
      <c r="HC626" s="5"/>
      <c r="HD626" s="5"/>
      <c r="HE626" s="5"/>
      <c r="HF626" s="5"/>
      <c r="HG626" s="5"/>
      <c r="HH626" s="39"/>
      <c r="HI626" s="16"/>
      <c r="HJ626" s="19"/>
      <c r="HK626" s="1"/>
      <c r="HL626" s="16"/>
      <c r="HM626" s="639">
        <f t="shared" si="1755"/>
        <v>2.3149872625708352E-2</v>
      </c>
      <c r="HN626" s="639">
        <f t="shared" si="1756"/>
        <v>1.3965040474190958E-3</v>
      </c>
      <c r="HO626" s="639">
        <f t="shared" si="1757"/>
        <v>3.5429561340050734E-3</v>
      </c>
      <c r="HP626" s="644">
        <f t="shared" ref="HP626:ID626" si="1871">HP126+HP226+HP326+HP426+HP526</f>
        <v>215.51064461259588</v>
      </c>
      <c r="HQ626" s="644">
        <f t="shared" si="1871"/>
        <v>-158.58855062884186</v>
      </c>
      <c r="HR626" s="644">
        <f t="shared" si="1871"/>
        <v>27.808354861973569</v>
      </c>
      <c r="HS626" s="644">
        <f t="shared" si="1871"/>
        <v>-57.208667986612724</v>
      </c>
      <c r="HT626" s="644">
        <f t="shared" si="1871"/>
        <v>-276.88935688202747</v>
      </c>
      <c r="HU626" s="644">
        <f t="shared" si="1871"/>
        <v>12.911739194936011</v>
      </c>
      <c r="HV626" s="644">
        <f t="shared" si="1871"/>
        <v>0</v>
      </c>
      <c r="HW626" s="644">
        <f t="shared" si="1871"/>
        <v>0</v>
      </c>
      <c r="HX626" s="644">
        <f t="shared" si="1871"/>
        <v>0</v>
      </c>
      <c r="HY626" s="644">
        <f t="shared" si="1871"/>
        <v>2396</v>
      </c>
      <c r="HZ626" s="644">
        <f t="shared" si="1871"/>
        <v>3223</v>
      </c>
      <c r="IA626" s="644">
        <f t="shared" si="1871"/>
        <v>830</v>
      </c>
      <c r="IB626" s="644">
        <f t="shared" si="1871"/>
        <v>2554.3019766259836</v>
      </c>
      <c r="IC626" s="644">
        <f t="shared" si="1871"/>
        <v>2787.522092489131</v>
      </c>
      <c r="ID626" s="644">
        <f t="shared" si="1871"/>
        <v>870.72009405690949</v>
      </c>
      <c r="IE626" s="20">
        <f t="shared" si="1759"/>
        <v>0.41115232496340087</v>
      </c>
      <c r="IF626" s="20">
        <f t="shared" si="1760"/>
        <v>0.4486925194051043</v>
      </c>
      <c r="IG626" s="20">
        <f t="shared" si="1761"/>
        <v>0.14015515563149478</v>
      </c>
      <c r="IH626" s="21"/>
      <c r="II626" s="19"/>
      <c r="IJ626" s="19"/>
      <c r="IK626" s="19"/>
      <c r="IL626" s="19">
        <f t="shared" si="1762"/>
        <v>173.56820121475539</v>
      </c>
      <c r="IM626" s="19">
        <f t="shared" si="1763"/>
        <v>-586.36129665169051</v>
      </c>
      <c r="IN626" s="19">
        <f t="shared" si="1764"/>
        <v>110.30895007088475</v>
      </c>
      <c r="IO626" s="39"/>
      <c r="IP626" s="39"/>
      <c r="IQ626" s="39"/>
      <c r="IR626" s="39"/>
      <c r="IS626" s="39"/>
      <c r="IT626" s="39"/>
      <c r="IU626" s="39"/>
      <c r="IV626" s="39"/>
      <c r="IW626" s="39"/>
      <c r="IX626" s="19">
        <f t="shared" si="1765"/>
        <v>1554.1790484140233</v>
      </c>
      <c r="IY626" s="19">
        <f t="shared" si="1766"/>
        <v>2412.3001201524512</v>
      </c>
      <c r="IZ626" s="19">
        <f t="shared" si="1767"/>
        <v>3993.0862952928574</v>
      </c>
      <c r="JA626" s="19">
        <f t="shared" ref="JA626:JC626" si="1872">IFERROR((JA126*IB126+JA226*IB226+JA326*IB326+JA426*IB426+JA526*IB526)/IB626,0)</f>
        <v>1727.7472496287787</v>
      </c>
      <c r="JB626" s="19">
        <f t="shared" si="1872"/>
        <v>1825.9388235007607</v>
      </c>
      <c r="JC626" s="19">
        <f t="shared" si="1872"/>
        <v>4103.3952453637421</v>
      </c>
      <c r="JD626" s="19">
        <f t="shared" si="1769"/>
        <v>2104.7643888616331</v>
      </c>
      <c r="JE626" s="21"/>
      <c r="JF626" s="1">
        <f t="shared" si="1770"/>
        <v>2.6651855648468406E-2</v>
      </c>
      <c r="JG626" s="15">
        <f t="shared" si="1771"/>
        <v>6449</v>
      </c>
      <c r="JH626" s="1">
        <f t="shared" si="1772"/>
        <v>1.3138540680063203E-2</v>
      </c>
      <c r="JI626" s="1">
        <f t="shared" si="1773"/>
        <v>-4.9804044917615788E-2</v>
      </c>
      <c r="JJ626" s="1">
        <f t="shared" si="1774"/>
        <v>0</v>
      </c>
      <c r="JK626" s="1">
        <f t="shared" si="1775"/>
        <v>-3.6665504237552576E-2</v>
      </c>
      <c r="JL626" s="15">
        <f t="shared" ref="JL626:JM626" si="1873">JL126+JL226+JL326+JL426+JL526</f>
        <v>-236.45583682797655</v>
      </c>
      <c r="JM626" s="15">
        <f t="shared" si="1873"/>
        <v>6212.5441631720241</v>
      </c>
      <c r="JN626" s="21"/>
      <c r="JO626" s="19">
        <f>INDEX(Input!$1:$1048576,JO$93,$C626*2+6)</f>
        <v>5995.5</v>
      </c>
      <c r="JP626" s="19">
        <f>INDEX(Input!$1:$1048576,JP$93,$C626*2+6)</f>
        <v>2296.6050414551746</v>
      </c>
      <c r="JQ626" s="39">
        <f t="shared" si="1799"/>
        <v>3890.7356111383669</v>
      </c>
      <c r="JR626" s="39">
        <f t="shared" si="1800"/>
        <v>-191.84065259354156</v>
      </c>
      <c r="JS626" s="39">
        <f t="shared" si="1801"/>
        <v>13.07594171887467</v>
      </c>
      <c r="JT626" s="39">
        <f t="shared" si="1802"/>
        <v>-1.7348641934697497</v>
      </c>
      <c r="JU626" s="385">
        <f>(JQ626*JM626-INDEX(Input!$1:$1048576,Input!A$18,$C626*2+6)*JL626*INDEX(Input!$1:$1048576,Input!A$19,$C626*2+6))/1000000</f>
        <v>24.171366811423201</v>
      </c>
      <c r="JV626" s="39">
        <f t="shared" si="1803"/>
        <v>0.31719322376762449</v>
      </c>
      <c r="JW626" s="1">
        <f t="shared" si="1804"/>
        <v>1.3297179321767428E-2</v>
      </c>
      <c r="JX626" s="19">
        <f t="shared" si="1805"/>
        <v>7336.9480607572268</v>
      </c>
      <c r="JZ626" s="341"/>
      <c r="KA626" s="60"/>
      <c r="KB626" s="469">
        <f t="shared" si="1778"/>
        <v>0</v>
      </c>
      <c r="KI626" s="472"/>
      <c r="KJ626" s="472"/>
      <c r="KK626" s="472"/>
      <c r="KN626" s="793">
        <f t="shared" si="1779"/>
        <v>6002</v>
      </c>
      <c r="KO626" s="541">
        <f t="shared" si="1780"/>
        <v>-5.8746577088713114E-2</v>
      </c>
      <c r="KP626" s="546">
        <f t="shared" si="1781"/>
        <v>-339.38730920041024</v>
      </c>
      <c r="KQ626" s="546">
        <f t="shared" si="1782"/>
        <v>-358.06886774351187</v>
      </c>
      <c r="KR626" s="472">
        <f t="shared" si="1783"/>
        <v>3.0330165313997743</v>
      </c>
      <c r="KS626" s="472">
        <f t="shared" si="1784"/>
        <v>2.8747746930332871</v>
      </c>
      <c r="KT626" s="473">
        <f t="shared" si="1795"/>
        <v>4286.2445668946921</v>
      </c>
      <c r="KU626" s="663">
        <f t="shared" si="1785"/>
        <v>4.2672707367192197</v>
      </c>
      <c r="KV626" s="117"/>
    </row>
    <row r="627" spans="1:308" s="26" customFormat="1" ht="15">
      <c r="A627" s="561">
        <f t="shared" si="1751"/>
        <v>6027</v>
      </c>
      <c r="B627" s="561">
        <f t="shared" si="1786"/>
        <v>27</v>
      </c>
      <c r="C627" s="561">
        <f t="shared" si="1787"/>
        <v>6</v>
      </c>
      <c r="D627" s="561" t="str">
        <f t="shared" si="1855"/>
        <v xml:space="preserve">750 Combo, </v>
      </c>
      <c r="E627" s="475">
        <f>INDEX(Input!$1:$1048576,E$93,$C627*2+MIN($B627,2)+5)
+INDEX(Scenarios!E$121:E$199,MATCH($B627,Scenarios!$B$121:$B$199,0))</f>
        <v>1267.2644913000609</v>
      </c>
      <c r="F627" s="475">
        <f>INDEX(Input!$1:$1048576,F$93,$C627*2+MIN($B627,2)+5)
+INDEX(Scenarios!F$121:F$199,MATCH($B627,Scenarios!$B$121:$B$199,0))</f>
        <v>0</v>
      </c>
      <c r="G627" s="475">
        <f>INDEX(Input!$1:$1048576,G$93,$C627*2+MIN($B627,2)+5)
+INDEX(Scenarios!G$121:G$199,MATCH($B627,Scenarios!$B$121:$B$199,0))</f>
        <v>0</v>
      </c>
      <c r="H627" s="475">
        <f>INDEX(Input!$1:$1048576,H$93,$C627*2+MIN($B627,2)+5)
+INDEX(Scenarios!H$121:H$199,MATCH($B627,Scenarios!$B$121:$B$199,0))</f>
        <v>0</v>
      </c>
      <c r="I627" s="476">
        <f>INDEX(Input!$1:$1048576,I$93,$C627*2+MIN($B627,2)+5)
+INDEX(Scenarios!I$121:I$199,MATCH($B627,Scenarios!$B$121:$B$199,0))</f>
        <v>0.7</v>
      </c>
      <c r="J627" s="476" t="str">
        <f>INDEX(Input!$1:$1048576,J$93,$C627*2+MIN($B627,2)+5)</f>
        <v>Market</v>
      </c>
      <c r="K627" s="476" t="str">
        <f>INDEX(Input!$1:$1048576,K$93,$C627*2+MIN($B627,2)+5)</f>
        <v>Market</v>
      </c>
      <c r="L627" s="476" t="str">
        <f>INDEX(Input!$1:$1048576,L$93,$C627*2+MIN($B627,2)+5)</f>
        <v>Market</v>
      </c>
      <c r="M627" s="476" t="str">
        <f>INDEX(Input!$1:$1048576,M$93,$C627*2+MIN($B627,2)+5)</f>
        <v>Market</v>
      </c>
      <c r="N627" s="476" t="str">
        <f>INDEX(Input!$1:$1048576,N$93,$C627*2+MIN($B627,2)+5)</f>
        <v>Market</v>
      </c>
      <c r="O627" s="476" t="str">
        <f>INDEX(Input!$1:$1048576,O$93,$C627*2+MIN($B627,2)+5)</f>
        <v>Market</v>
      </c>
      <c r="P627" s="476" t="str">
        <f>INDEX(Input!$1:$1048576,P$93,$C627*2+MIN($B627,2)+5)</f>
        <v>N</v>
      </c>
      <c r="Q627" s="477">
        <f>INDEX(Input!$1:$1048576,Q$93,$C627*2+MIN($B627,2)+5)
+INDEX(Scenarios!Q$121:Q$199,MATCH($B627,Scenarios!$B$121:$B$199,0))</f>
        <v>750</v>
      </c>
      <c r="R627" s="478">
        <f>IFERROR(MAX(0,INDEX(Input!$1:$1048576,R$93,$C627*2+MIN($B627,2)+5)
+INDEX(Scenarios!R$121:R$199,MATCH($B627,Scenarios!$B$121:$B$199,0)),),"Market")</f>
        <v>0</v>
      </c>
      <c r="S627" s="478">
        <f>IFERROR(MAX(0,INDEX(Input!$1:$1048576,S$93,$C627*2+MIN($B627,2)+5)
+INDEX(Scenarios!S$121:S$199,MATCH($B627,Scenarios!$B$121:$B$199,0)),),"Market")</f>
        <v>0</v>
      </c>
      <c r="T627" s="478">
        <f>IFERROR(MAX(0,INDEX(Input!$1:$1048576,T$93,$C627*2+MIN($B627,2)+5)
+INDEX(Scenarios!T$121:T$199,MATCH($B627,Scenarios!$B$121:$B$199,0)),),"Market")</f>
        <v>0</v>
      </c>
      <c r="U627" s="478">
        <f>IFERROR(MAX(0,INDEX(Input!$1:$1048576,U$93,$C627*2+MIN($B627,2)+5)
+INDEX(Scenarios!U$121:U$199,MATCH($B627,Scenarios!$B$121:$B$199,0)),),"Market")</f>
        <v>0</v>
      </c>
      <c r="V627" s="478">
        <f>IFERROR(MAX(0,INDEX(Input!$1:$1048576,V$93,$C627*2+MIN($B627,2)+5)
+INDEX(Scenarios!V$121:V$199,MATCH($B627,Scenarios!$B$121:$B$199,0)),),"Market")</f>
        <v>1.9E-2</v>
      </c>
      <c r="W627" s="885">
        <f>IFERROR(MAX(0,INDEX(Input!$1:$1048576,W$93,$C627*2+MIN($B627,2)+5)-0%,),"Market")</f>
        <v>3.9E-2</v>
      </c>
      <c r="X627" s="476" t="str">
        <f>INDEX(Input!$1:$1048576,X$93,$C627*2+MIN($B627,2)+5)</f>
        <v>Y</v>
      </c>
      <c r="Y627" s="475">
        <f>INDEX(Input!$1:$1048576,Y$93,$C627*2+MIN($B627,2)+5)
++INDEX(Scenarios!Y$121:Y$199,MATCH($B627,Scenarios!$B$121:$B$199,0))</f>
        <v>737.99367635402496</v>
      </c>
      <c r="Z627" s="477">
        <f>INDEX(Input!$1:$1048576,Z$93,$C627*2+MIN($B627,2)+5)
+INDEX(Scenarios!Z$121:Z$199,MATCH($B627,Scenarios!$B$121:$B$199,0))</f>
        <v>0</v>
      </c>
      <c r="AA627" s="475">
        <f>INDEX(Input!$1:$1048576,AA$93,$C627*2+MIN($B627,2)+5)</f>
        <v>0</v>
      </c>
      <c r="AB627" s="476">
        <f>INDEX(Input!$1:$1048576,AB$93,$C627*2+MIN($B627,2)+5)</f>
        <v>0.27</v>
      </c>
      <c r="AC627" s="475">
        <f>INDEX(Input!$1:$1048576,AC$93,$C627*2+MIN($B627,2)+5)
+INDEX(Scenarios!AC$121:AC$199,MATCH($B627,Scenarios!$B$121:$B$199,0))</f>
        <v>0</v>
      </c>
      <c r="AD627" s="476">
        <f>INDEX(Input!$1:$1048576,AD$93,$C627*2+MIN($B627,2)+5)</f>
        <v>0.27</v>
      </c>
      <c r="AE627" s="475">
        <f>INDEX(Input!$1:$1048576,AE$93,$C627*2+MIN($B627,2)+5)
+INDEX(Scenarios!AE$121:AE$199,MATCH($B627,Scenarios!$B$121:$B$199,0))</f>
        <v>0</v>
      </c>
      <c r="AF627" s="476">
        <f>INDEX(Input!$1:$1048576,AF$93,$C627*2+MIN($B627,2)+5)</f>
        <v>1</v>
      </c>
      <c r="AG627" s="475">
        <f>INDEX(Input!$1:$1048576,AG$93,$C627*2+MIN($B627,2)+5)</f>
        <v>500</v>
      </c>
      <c r="AH627" s="476">
        <f>INDEX(Input!$1:$1048576,AH$93,$C627*2+MIN($B627,2)+5)</f>
        <v>1</v>
      </c>
      <c r="AI627" s="475">
        <f>INDEX(Input!$1:$1048576,AI$93,$C627*2+MIN($B627,2)+5)</f>
        <v>0</v>
      </c>
      <c r="AJ627" s="476">
        <f>INDEX(Input!$1:$1048576,AJ$93,$C627*2+MIN($B627,2)+5)</f>
        <v>0.27</v>
      </c>
      <c r="AK627" s="150">
        <f>ROUND(INDEX(Input!$1:$1048576,AK$93,$C626*2+MIN($B627,1)+5)+(Y627-VLOOKUP($C627*1000+1,$A:$HH,Y$92,FALSE)),0)</f>
        <v>3061</v>
      </c>
      <c r="AL627" s="150">
        <f>ROUND(INDEX(Input!$1:$1048576,AL$93,$C626*2+MIN($B627,1)+5)-(Y627-VLOOKUP($C627*1000+1,$A:$HH,Y$92,FALSE))/36,0)</f>
        <v>3552</v>
      </c>
      <c r="AM627" s="32" t="str">
        <f t="shared" si="1752"/>
        <v>std/std/std/std</v>
      </c>
      <c r="AN627" s="32" t="str">
        <f t="shared" si="1753"/>
        <v>$750 + 0/0/0/1.9/3.9</v>
      </c>
      <c r="AO627" s="32" t="str">
        <f t="shared" si="1754"/>
        <v>0/0/0/1.9/3.9</v>
      </c>
      <c r="AP627" s="32" t="str">
        <f t="shared" si="1716"/>
        <v>0/0.9/1.9/3.9</v>
      </c>
      <c r="AQ627" s="536">
        <f t="shared" si="1717"/>
        <v>0.33469554162999077</v>
      </c>
      <c r="AR627" s="32"/>
      <c r="AS627" s="302"/>
      <c r="AT627" s="3">
        <f t="shared" si="1788"/>
        <v>27</v>
      </c>
      <c r="AU627" s="41" t="s">
        <v>121</v>
      </c>
      <c r="AV627" s="41" t="s">
        <v>116</v>
      </c>
      <c r="AW627" s="41" t="str">
        <f>INDEX(Input!$1:$1048576,AW$93,$C627*2+6)</f>
        <v>Kia</v>
      </c>
      <c r="AX627" s="41" t="str">
        <f>INDEX(Input!$1:$1048576,AX$93,$C627*2+6)</f>
        <v>National</v>
      </c>
      <c r="AY627" s="41" t="str">
        <f>IF(LEN(D627)=0,"",INDEX(Input!$1:$1048576,AY$93,$C627*2+6))</f>
        <v>Compact SUV (52)</v>
      </c>
      <c r="AZ627" s="41" t="str">
        <f>INDEX(Input!$1:$1048576,AZ$93,$C627*2+6)</f>
        <v>Kia Soul</v>
      </c>
      <c r="BA627" s="3">
        <f>INDEX(Input!$1:$1048576,BA$93,$C627*2+6)</f>
        <v>2020</v>
      </c>
      <c r="BB627" s="128">
        <f>INDEX(Input!$1:$1048576,BB$93,$C627*2+6)</f>
        <v>1</v>
      </c>
      <c r="BC627" s="128">
        <f>INDEX(Input!$1:$1048576,BC$93,$C627*2+6)</f>
        <v>0.7</v>
      </c>
      <c r="BD627" s="1">
        <f>INDEX(Input!$1:$1048576,BD$93,$C627*2+6)</f>
        <v>4.4999999999999998E-2</v>
      </c>
      <c r="BE627" s="1">
        <f>INDEX(Input!$1:$1048576,BE$93,$C627*2+6)</f>
        <v>4.4999999999999998E-2</v>
      </c>
      <c r="BF627" s="1">
        <f>INDEX(Input!$1:$1048576,BF$93,$C627*2+6)</f>
        <v>0.05</v>
      </c>
      <c r="BG627" s="1">
        <f>INDEX(Input!$1:$1048576,BG$93,$C627*2+6)</f>
        <v>5.45E-2</v>
      </c>
      <c r="BH627" s="1">
        <f>INDEX(Input!$1:$1048576,BH$93,$C627*2+6)</f>
        <v>5.45E-2</v>
      </c>
      <c r="BI627" s="1">
        <f>INDEX(Input!$1:$1048576,BI$93,$C627*2+6)</f>
        <v>0.05</v>
      </c>
      <c r="BJ627" s="1">
        <f>INDEX(Input!$1:$1048576,BJ$93,$C627*2+6)</f>
        <v>0.05</v>
      </c>
      <c r="BK627" s="1">
        <f>INDEX(Input!$1:$1048576,BK$93,$C627*2+6)</f>
        <v>0.05</v>
      </c>
      <c r="BL627" s="1">
        <f>INDEX(Input!$1:$1048576,BL$93,$C627*2+6)</f>
        <v>5.5E-2</v>
      </c>
      <c r="BM627" s="1">
        <f>INDEX(Input!$1:$1048576,BM$93,$C627*2+6)</f>
        <v>0.06</v>
      </c>
      <c r="BN627" s="1">
        <f>INDEX(Input!$1:$1048576,BN$93,$C627*2+6)</f>
        <v>4.4999999999999998E-2</v>
      </c>
      <c r="BO627" s="1">
        <f>INDEX(Input!$1:$1048576,BO$93,$C627*2+6)</f>
        <v>4.4999999999999998E-2</v>
      </c>
      <c r="BP627" s="1">
        <f>INDEX(Input!$1:$1048576,BP$93,$C627*2+6)</f>
        <v>0.05</v>
      </c>
      <c r="BQ627" s="1">
        <f>INDEX(Input!$1:$1048576,BQ$93,$C627*2+6)</f>
        <v>5.45E-2</v>
      </c>
      <c r="BR627" s="1">
        <f>INDEX(Input!$1:$1048576,BR$93,$C627*2+6)</f>
        <v>5.45E-2</v>
      </c>
      <c r="BS627" s="1">
        <f>INDEX(Input!$1:$1048576,BS$93,$C627*2+6)</f>
        <v>0.05</v>
      </c>
      <c r="BT627" s="1">
        <f>INDEX(Input!$1:$1048576,BT$93,$C627*2+6)</f>
        <v>0.05</v>
      </c>
      <c r="BU627" s="1">
        <f>INDEX(Input!$1:$1048576,BU$93,$C627*2+6)</f>
        <v>0.05</v>
      </c>
      <c r="BV627" s="1">
        <f>INDEX(Input!$1:$1048576,BV$93,$C627*2+6)</f>
        <v>5.5E-2</v>
      </c>
      <c r="BW627" s="1">
        <f>INDEX(Input!$1:$1048576,BW$93,$C627*2+6)</f>
        <v>0.06</v>
      </c>
      <c r="BX627" s="127">
        <f>INDEX(Input!$1:$1048576,BX$93,$C627*2+6)</f>
        <v>19985</v>
      </c>
      <c r="BY627" s="20">
        <f>INDEX(Input!$1:$1048576,BY$93,$C627*2+6)</f>
        <v>0.1</v>
      </c>
      <c r="BZ627" s="20">
        <f>INDEX(Input!$1:$1048576,BZ$93,$C627*2+6)</f>
        <v>0.1</v>
      </c>
      <c r="CA627" s="20">
        <f>INDEX(Input!$1:$1048576,CA$93,$C627*2+6)</f>
        <v>0.1</v>
      </c>
      <c r="CB627" s="20">
        <f>INDEX(Input!$1:$1048576,CB$93,$C627*2+6)</f>
        <v>0.1</v>
      </c>
      <c r="CC627" s="20">
        <f>INDEX(Input!$1:$1048576,CC$93,$C627*2+6)</f>
        <v>0.1</v>
      </c>
      <c r="CD627" s="384">
        <f>INDEX(Input!$1:$1048576,CD$93,$C627*2+6)</f>
        <v>0.1</v>
      </c>
      <c r="CE627" s="384">
        <f>INDEX(Input!$1:$1048576,CE$93,$C627*2+6)</f>
        <v>0.1</v>
      </c>
      <c r="CF627" s="384">
        <f>INDEX(Input!$1:$1048576,CF$93,$C627*2+6)</f>
        <v>0.1</v>
      </c>
      <c r="CG627" s="384">
        <f>INDEX(Input!$1:$1048576,CG$93,$C627*2+6)</f>
        <v>0.1</v>
      </c>
      <c r="CH627" s="384">
        <f>INDEX(Input!$1:$1048576,CH$93,$C627*2+6)</f>
        <v>0.1</v>
      </c>
      <c r="CI627" s="304">
        <f t="shared" si="1718"/>
        <v>1267.2644913000609</v>
      </c>
      <c r="CJ627" s="16" t="str">
        <f>INDEX(Input!$1:$1048576,CJ$93,$C627*2+6)</f>
        <v>N</v>
      </c>
      <c r="CK627" s="1" t="str">
        <f t="shared" si="1719"/>
        <v>Market</v>
      </c>
      <c r="CL627" s="1" t="str">
        <f t="shared" si="1720"/>
        <v>Market</v>
      </c>
      <c r="CM627" s="1" t="str">
        <f t="shared" si="1721"/>
        <v>Market</v>
      </c>
      <c r="CN627" s="1" t="str">
        <f t="shared" si="1722"/>
        <v>Market</v>
      </c>
      <c r="CO627" s="1" t="str">
        <f t="shared" si="1723"/>
        <v>Market</v>
      </c>
      <c r="CP627" s="304">
        <f t="shared" si="1724"/>
        <v>1250</v>
      </c>
      <c r="CQ627" s="1">
        <f t="shared" si="1725"/>
        <v>0</v>
      </c>
      <c r="CR627" s="1">
        <f t="shared" si="1726"/>
        <v>0</v>
      </c>
      <c r="CS627" s="1">
        <f t="shared" si="1727"/>
        <v>0</v>
      </c>
      <c r="CT627" s="1">
        <f t="shared" si="1728"/>
        <v>1.9E-2</v>
      </c>
      <c r="CU627" s="1">
        <f t="shared" si="1729"/>
        <v>3.9E-2</v>
      </c>
      <c r="CV627" s="304">
        <f t="shared" si="1730"/>
        <v>737.99367635402496</v>
      </c>
      <c r="CW627" s="20" t="s">
        <v>122</v>
      </c>
      <c r="CX627" s="20" t="s">
        <v>122</v>
      </c>
      <c r="CY627" s="20" t="s">
        <v>122</v>
      </c>
      <c r="CZ627" s="20" t="s">
        <v>122</v>
      </c>
      <c r="DA627" s="20" t="s">
        <v>122</v>
      </c>
      <c r="DB627" s="503">
        <f t="shared" si="1731"/>
        <v>0</v>
      </c>
      <c r="DC627" s="127">
        <v>0</v>
      </c>
      <c r="DD627" s="127">
        <v>0</v>
      </c>
      <c r="DE627" s="127">
        <v>0</v>
      </c>
      <c r="DF627" s="127">
        <v>0</v>
      </c>
      <c r="DG627" s="127">
        <v>0</v>
      </c>
      <c r="DH627" s="127">
        <v>0</v>
      </c>
      <c r="DI627" s="127">
        <v>0</v>
      </c>
      <c r="DJ627" s="127">
        <v>0</v>
      </c>
      <c r="DK627" s="127">
        <v>0</v>
      </c>
      <c r="DL627" s="127">
        <v>0</v>
      </c>
      <c r="DM627" s="304">
        <f>INDEX(Input!$1:$1048576,DM$93,$C627*2+6)</f>
        <v>21036.84210526316</v>
      </c>
      <c r="DN627" s="20">
        <v>0</v>
      </c>
      <c r="DO627" s="20">
        <v>0</v>
      </c>
      <c r="DP627" s="20">
        <v>0</v>
      </c>
      <c r="DQ627" s="20">
        <v>0</v>
      </c>
      <c r="DR627" s="20">
        <v>0</v>
      </c>
      <c r="DS627" s="20">
        <f>INDEX(Input!$1:$1048576,DS$93,$C627*2+6)</f>
        <v>0.6</v>
      </c>
      <c r="DT627" s="20">
        <f>INDEX(Input!$1:$1048576,DT$93,$C627*2+6)</f>
        <v>0.55000000000000004</v>
      </c>
      <c r="DU627" s="20">
        <f>INDEX(Input!$1:$1048576,DU$93,$C627*2+6)</f>
        <v>0.52</v>
      </c>
      <c r="DV627" s="20">
        <f>INDEX(Input!$1:$1048576,DV$93,$C627*2+6)</f>
        <v>0.5</v>
      </c>
      <c r="DW627" s="20">
        <f>INDEX(Input!$1:$1048576,DW$93,$C627*2+6)</f>
        <v>0.45</v>
      </c>
      <c r="DX627" s="20"/>
      <c r="DY627" s="7"/>
      <c r="DZ627" s="7"/>
      <c r="EA627" s="7"/>
      <c r="EB627" s="7"/>
      <c r="EC627" s="7"/>
      <c r="ED627" s="7"/>
      <c r="EE627" s="7"/>
      <c r="EF627" s="7"/>
      <c r="EG627" s="7"/>
      <c r="EH627" s="7"/>
      <c r="EI627" s="7"/>
      <c r="EJ627" s="7"/>
      <c r="EK627" s="7"/>
      <c r="EL627" s="7"/>
      <c r="EM627" s="7"/>
      <c r="EN627" s="7"/>
      <c r="EO627" s="7"/>
      <c r="EP627" s="7"/>
      <c r="EQ627" s="7"/>
      <c r="ER627" s="7"/>
      <c r="ES627" s="7"/>
      <c r="ET627" s="7"/>
      <c r="EU627" s="6"/>
      <c r="EV627" s="6"/>
      <c r="EW627" s="6"/>
      <c r="EX627" s="6"/>
      <c r="EY627" s="6"/>
      <c r="EZ627" s="6"/>
      <c r="FA627" s="6"/>
      <c r="FB627" s="6"/>
      <c r="FC627" s="6"/>
      <c r="FD627" s="6"/>
      <c r="FE627" s="6"/>
      <c r="FF627" s="6"/>
      <c r="FG627" s="6"/>
      <c r="FH627" s="6"/>
      <c r="FI627" s="6"/>
      <c r="FJ627" s="6"/>
      <c r="FK627" s="6"/>
      <c r="FL627" s="6"/>
      <c r="FM627" s="6"/>
      <c r="FN627" s="6"/>
      <c r="FO627" s="6"/>
      <c r="FP627" s="6"/>
      <c r="FQ627" s="6"/>
      <c r="FR627" s="6"/>
      <c r="FS627" s="6"/>
      <c r="FT627" s="7"/>
      <c r="FU627" s="7"/>
      <c r="FV627" s="7"/>
      <c r="FW627" s="6"/>
      <c r="FX627" s="6"/>
      <c r="FY627" s="6"/>
      <c r="FZ627" s="6"/>
      <c r="GA627" s="6"/>
      <c r="GB627" s="6"/>
      <c r="GC627" s="7"/>
      <c r="GD627" s="7"/>
      <c r="GE627" s="7"/>
      <c r="GF627" s="7"/>
      <c r="GG627" s="7"/>
      <c r="GH627" s="42"/>
      <c r="GI627" s="6"/>
      <c r="GJ627" s="14"/>
      <c r="GK627" s="14"/>
      <c r="GL627" s="14"/>
      <c r="GM627" s="14"/>
      <c r="GO627" s="5"/>
      <c r="GP627" s="5"/>
      <c r="GQ627" s="5"/>
      <c r="GR627" s="5"/>
      <c r="GS627" s="5"/>
      <c r="GT627" s="5"/>
      <c r="GU627" s="5"/>
      <c r="GV627" s="39"/>
      <c r="GW627" s="5"/>
      <c r="GX627" s="5"/>
      <c r="GY627" s="5"/>
      <c r="GZ627" s="5"/>
      <c r="HA627" s="5"/>
      <c r="HB627" s="39"/>
      <c r="HC627" s="5"/>
      <c r="HD627" s="5"/>
      <c r="HE627" s="5"/>
      <c r="HF627" s="5"/>
      <c r="HG627" s="5"/>
      <c r="HH627" s="39"/>
      <c r="HI627" s="16"/>
      <c r="HJ627" s="19"/>
      <c r="HK627" s="1"/>
      <c r="HL627" s="16"/>
      <c r="HM627" s="639">
        <f t="shared" si="1755"/>
        <v>2.3149872625708352E-2</v>
      </c>
      <c r="HN627" s="639">
        <f t="shared" si="1756"/>
        <v>1.3965040474190958E-3</v>
      </c>
      <c r="HO627" s="639">
        <f t="shared" si="1757"/>
        <v>3.5429561340050734E-3</v>
      </c>
      <c r="HP627" s="644">
        <f t="shared" ref="HP627:ID627" si="1874">HP127+HP227+HP327+HP427+HP527</f>
        <v>0.54171650787190728</v>
      </c>
      <c r="HQ627" s="644">
        <f t="shared" si="1874"/>
        <v>163.63562712652725</v>
      </c>
      <c r="HR627" s="644">
        <f t="shared" si="1874"/>
        <v>-6.8354583778526408</v>
      </c>
      <c r="HS627" s="644">
        <f t="shared" si="1874"/>
        <v>-62.933214754385006</v>
      </c>
      <c r="HT627" s="644">
        <f t="shared" si="1874"/>
        <v>410.2872424901841</v>
      </c>
      <c r="HU627" s="644">
        <f t="shared" si="1874"/>
        <v>18.636285962708346</v>
      </c>
      <c r="HV627" s="644">
        <f t="shared" si="1874"/>
        <v>0</v>
      </c>
      <c r="HW627" s="644">
        <f t="shared" si="1874"/>
        <v>0</v>
      </c>
      <c r="HX627" s="644">
        <f t="shared" si="1874"/>
        <v>0</v>
      </c>
      <c r="HY627" s="644">
        <f t="shared" si="1874"/>
        <v>2396</v>
      </c>
      <c r="HZ627" s="644">
        <f t="shared" si="1874"/>
        <v>3223</v>
      </c>
      <c r="IA627" s="644">
        <f t="shared" si="1874"/>
        <v>830</v>
      </c>
      <c r="IB627" s="644">
        <f t="shared" si="1874"/>
        <v>2333.6085017534865</v>
      </c>
      <c r="IC627" s="644">
        <f t="shared" si="1874"/>
        <v>3796.9228696167115</v>
      </c>
      <c r="ID627" s="644">
        <f t="shared" si="1874"/>
        <v>841.80082758485571</v>
      </c>
      <c r="IE627" s="20">
        <f t="shared" si="1759"/>
        <v>0.33469554162999077</v>
      </c>
      <c r="IF627" s="20">
        <f t="shared" si="1760"/>
        <v>0.5445699891043283</v>
      </c>
      <c r="IG627" s="20">
        <f t="shared" si="1761"/>
        <v>0.12073446926568082</v>
      </c>
      <c r="IH627" s="21"/>
      <c r="II627" s="19"/>
      <c r="IJ627" s="19"/>
      <c r="IK627" s="19"/>
      <c r="IL627" s="19">
        <f t="shared" si="1762"/>
        <v>178.70957050453467</v>
      </c>
      <c r="IM627" s="19">
        <f t="shared" si="1763"/>
        <v>922.43233956124368</v>
      </c>
      <c r="IN627" s="19">
        <f t="shared" si="1764"/>
        <v>111.95304085756834</v>
      </c>
      <c r="IO627" s="39"/>
      <c r="IP627" s="39"/>
      <c r="IQ627" s="39"/>
      <c r="IR627" s="39"/>
      <c r="IS627" s="39"/>
      <c r="IT627" s="39"/>
      <c r="IU627" s="39"/>
      <c r="IV627" s="39"/>
      <c r="IW627" s="39"/>
      <c r="IX627" s="19">
        <f t="shared" si="1765"/>
        <v>1554.1790484140233</v>
      </c>
      <c r="IY627" s="19">
        <f t="shared" si="1766"/>
        <v>2412.3001201524512</v>
      </c>
      <c r="IZ627" s="19">
        <f t="shared" si="1767"/>
        <v>3993.0862952928574</v>
      </c>
      <c r="JA627" s="19">
        <f t="shared" ref="JA627:JC627" si="1875">IFERROR((JA127*IB127+JA227*IB227+JA327*IB327+JA427*IB427+JA527*IB527)/IB627,0)</f>
        <v>1732.888618918558</v>
      </c>
      <c r="JB627" s="19">
        <f t="shared" si="1875"/>
        <v>3334.7324597136949</v>
      </c>
      <c r="JC627" s="19">
        <f t="shared" si="1875"/>
        <v>4105.0393361504257</v>
      </c>
      <c r="JD627" s="19">
        <f t="shared" si="1769"/>
        <v>2891.6050597103945</v>
      </c>
      <c r="JE627" s="21"/>
      <c r="JF627" s="1">
        <f t="shared" si="1770"/>
        <v>2.6651855648468406E-2</v>
      </c>
      <c r="JG627" s="15">
        <f t="shared" si="1771"/>
        <v>6449</v>
      </c>
      <c r="JH627" s="1">
        <f t="shared" si="1772"/>
        <v>2.439787335347287E-2</v>
      </c>
      <c r="JI627" s="1">
        <f t="shared" si="1773"/>
        <v>5.6751482973873078E-2</v>
      </c>
      <c r="JJ627" s="1">
        <f t="shared" si="1774"/>
        <v>0</v>
      </c>
      <c r="JK627" s="1">
        <f t="shared" si="1775"/>
        <v>8.1149356327345934E-2</v>
      </c>
      <c r="JL627" s="15">
        <f t="shared" ref="JL627:JM627" si="1876">JL127+JL227+JL327+JL427+JL527</f>
        <v>523.33219895505397</v>
      </c>
      <c r="JM627" s="15">
        <f t="shared" si="1876"/>
        <v>6972.3321989550541</v>
      </c>
      <c r="JN627" s="21"/>
      <c r="JO627" s="19">
        <f>INDEX(Input!$1:$1048576,JO$93,$C627*2+6)</f>
        <v>5995.5</v>
      </c>
      <c r="JP627" s="19">
        <f>INDEX(Input!$1:$1048576,JP$93,$C627*2+6)</f>
        <v>2296.6050414551746</v>
      </c>
      <c r="JQ627" s="39">
        <f t="shared" si="1799"/>
        <v>3103.8949402896055</v>
      </c>
      <c r="JR627" s="39">
        <f t="shared" si="1800"/>
        <v>595.00001825521986</v>
      </c>
      <c r="JS627" s="39">
        <f t="shared" si="1801"/>
        <v>20.161231064480134</v>
      </c>
      <c r="JT627" s="39">
        <f t="shared" si="1802"/>
        <v>5.3504251521357133</v>
      </c>
      <c r="JU627" s="385">
        <f>(JQ627*JM627-INDEX(Input!$1:$1048576,Input!A$18,$C627*2+6)*JL627*INDEX(Input!$1:$1048576,Input!A$19,$C627*2+6))/1000000</f>
        <v>21.641386634354895</v>
      </c>
      <c r="JV627" s="39">
        <f t="shared" si="1803"/>
        <v>-2.2127869533006823</v>
      </c>
      <c r="JW627" s="1">
        <f t="shared" si="1804"/>
        <v>-9.2763094272349439E-2</v>
      </c>
      <c r="JX627" s="19">
        <f t="shared" si="1805"/>
        <v>10223.764489972136</v>
      </c>
      <c r="JZ627" s="341"/>
      <c r="KA627" s="60"/>
      <c r="KB627" s="469">
        <f t="shared" si="1778"/>
        <v>0</v>
      </c>
      <c r="KI627" s="472"/>
      <c r="KJ627" s="472"/>
      <c r="KK627" s="472"/>
      <c r="KN627" s="793">
        <f t="shared" si="1779"/>
        <v>6002</v>
      </c>
      <c r="KO627" s="541">
        <f t="shared" si="1780"/>
        <v>5.6367790002188167E-2</v>
      </c>
      <c r="KP627" s="546">
        <f t="shared" si="1781"/>
        <v>410.78888939864203</v>
      </c>
      <c r="KQ627" s="546">
        <f t="shared" si="1782"/>
        <v>428.77180310524955</v>
      </c>
      <c r="KR627" s="472">
        <f t="shared" si="1783"/>
        <v>2.404363508518669</v>
      </c>
      <c r="KS627" s="472">
        <f t="shared" si="1784"/>
        <v>2.3035232452833694</v>
      </c>
      <c r="KT627" s="473">
        <f t="shared" si="1795"/>
        <v>4286.2445668946921</v>
      </c>
      <c r="KU627" s="663">
        <f t="shared" si="1785"/>
        <v>4.3312286726034204</v>
      </c>
      <c r="KV627" s="117"/>
    </row>
    <row r="628" spans="1:308" s="26" customFormat="1" ht="15">
      <c r="A628" s="561">
        <f t="shared" si="1751"/>
        <v>6028</v>
      </c>
      <c r="B628" s="561">
        <f t="shared" si="1786"/>
        <v>28</v>
      </c>
      <c r="C628" s="561">
        <f t="shared" si="1787"/>
        <v>6</v>
      </c>
      <c r="D628" s="561" t="str">
        <f t="shared" si="1855"/>
        <v xml:space="preserve">1000 Combo, </v>
      </c>
      <c r="E628" s="475">
        <f>INDEX(Input!$1:$1048576,E$93,$C628*2+MIN($B628,2)+5)
+INDEX(Scenarios!E$121:E$199,MATCH($B628,Scenarios!$B$121:$B$199,0))</f>
        <v>1267.2644913000609</v>
      </c>
      <c r="F628" s="475">
        <f>INDEX(Input!$1:$1048576,F$93,$C628*2+MIN($B628,2)+5)
+INDEX(Scenarios!F$121:F$199,MATCH($B628,Scenarios!$B$121:$B$199,0))</f>
        <v>0</v>
      </c>
      <c r="G628" s="475">
        <f>INDEX(Input!$1:$1048576,G$93,$C628*2+MIN($B628,2)+5)
+INDEX(Scenarios!G$121:G$199,MATCH($B628,Scenarios!$B$121:$B$199,0))</f>
        <v>0</v>
      </c>
      <c r="H628" s="475">
        <f>INDEX(Input!$1:$1048576,H$93,$C628*2+MIN($B628,2)+5)
+INDEX(Scenarios!H$121:H$199,MATCH($B628,Scenarios!$B$121:$B$199,0))</f>
        <v>0</v>
      </c>
      <c r="I628" s="476">
        <f>INDEX(Input!$1:$1048576,I$93,$C628*2+MIN($B628,2)+5)
+INDEX(Scenarios!I$121:I$199,MATCH($B628,Scenarios!$B$121:$B$199,0))</f>
        <v>0.7</v>
      </c>
      <c r="J628" s="476" t="str">
        <f>INDEX(Input!$1:$1048576,J$93,$C628*2+MIN($B628,2)+5)</f>
        <v>Market</v>
      </c>
      <c r="K628" s="476" t="str">
        <f>INDEX(Input!$1:$1048576,K$93,$C628*2+MIN($B628,2)+5)</f>
        <v>Market</v>
      </c>
      <c r="L628" s="476" t="str">
        <f>INDEX(Input!$1:$1048576,L$93,$C628*2+MIN($B628,2)+5)</f>
        <v>Market</v>
      </c>
      <c r="M628" s="476" t="str">
        <f>INDEX(Input!$1:$1048576,M$93,$C628*2+MIN($B628,2)+5)</f>
        <v>Market</v>
      </c>
      <c r="N628" s="476" t="str">
        <f>INDEX(Input!$1:$1048576,N$93,$C628*2+MIN($B628,2)+5)</f>
        <v>Market</v>
      </c>
      <c r="O628" s="476" t="str">
        <f>INDEX(Input!$1:$1048576,O$93,$C628*2+MIN($B628,2)+5)</f>
        <v>Market</v>
      </c>
      <c r="P628" s="476" t="str">
        <f>INDEX(Input!$1:$1048576,P$93,$C628*2+MIN($B628,2)+5)</f>
        <v>N</v>
      </c>
      <c r="Q628" s="477">
        <f>INDEX(Input!$1:$1048576,Q$93,$C628*2+MIN($B628,2)+5)
+INDEX(Scenarios!Q$121:Q$199,MATCH($B628,Scenarios!$B$121:$B$199,0))</f>
        <v>1000</v>
      </c>
      <c r="R628" s="478">
        <f>IFERROR(MAX(0,INDEX(Input!$1:$1048576,R$93,$C628*2+MIN($B628,2)+5)
+INDEX(Scenarios!R$121:R$199,MATCH($B628,Scenarios!$B$121:$B$199,0)),),"Market")</f>
        <v>0</v>
      </c>
      <c r="S628" s="478">
        <f>IFERROR(MAX(0,INDEX(Input!$1:$1048576,S$93,$C628*2+MIN($B628,2)+5)
+INDEX(Scenarios!S$121:S$199,MATCH($B628,Scenarios!$B$121:$B$199,0)),),"Market")</f>
        <v>0</v>
      </c>
      <c r="T628" s="478">
        <f>IFERROR(MAX(0,INDEX(Input!$1:$1048576,T$93,$C628*2+MIN($B628,2)+5)
+INDEX(Scenarios!T$121:T$199,MATCH($B628,Scenarios!$B$121:$B$199,0)),),"Market")</f>
        <v>0</v>
      </c>
      <c r="U628" s="478">
        <f>IFERROR(MAX(0,INDEX(Input!$1:$1048576,U$93,$C628*2+MIN($B628,2)+5)
+INDEX(Scenarios!U$121:U$199,MATCH($B628,Scenarios!$B$121:$B$199,0)),),"Market")</f>
        <v>0</v>
      </c>
      <c r="V628" s="478">
        <f>IFERROR(MAX(0,INDEX(Input!$1:$1048576,V$93,$C628*2+MIN($B628,2)+5)
+INDEX(Scenarios!V$121:V$199,MATCH($B628,Scenarios!$B$121:$B$199,0)),),"Market")</f>
        <v>1.9E-2</v>
      </c>
      <c r="W628" s="885">
        <f>IFERROR(MAX(0,INDEX(Input!$1:$1048576,W$93,$C628*2+MIN($B628,2)+5)-0%,),"Market")</f>
        <v>3.9E-2</v>
      </c>
      <c r="X628" s="476" t="str">
        <f>INDEX(Input!$1:$1048576,X$93,$C628*2+MIN($B628,2)+5)</f>
        <v>Y</v>
      </c>
      <c r="Y628" s="475">
        <f>INDEX(Input!$1:$1048576,Y$93,$C628*2+MIN($B628,2)+5)
++INDEX(Scenarios!Y$121:Y$199,MATCH($B628,Scenarios!$B$121:$B$199,0))</f>
        <v>737.99367635402496</v>
      </c>
      <c r="Z628" s="477">
        <f>INDEX(Input!$1:$1048576,Z$93,$C628*2+MIN($B628,2)+5)
+INDEX(Scenarios!Z$121:Z$199,MATCH($B628,Scenarios!$B$121:$B$199,0))</f>
        <v>0</v>
      </c>
      <c r="AA628" s="475">
        <f>INDEX(Input!$1:$1048576,AA$93,$C628*2+MIN($B628,2)+5)</f>
        <v>0</v>
      </c>
      <c r="AB628" s="476">
        <f>INDEX(Input!$1:$1048576,AB$93,$C628*2+MIN($B628,2)+5)</f>
        <v>0.27</v>
      </c>
      <c r="AC628" s="475">
        <f>INDEX(Input!$1:$1048576,AC$93,$C628*2+MIN($B628,2)+5)
+INDEX(Scenarios!AC$121:AC$199,MATCH($B628,Scenarios!$B$121:$B$199,0))</f>
        <v>0</v>
      </c>
      <c r="AD628" s="476">
        <f>INDEX(Input!$1:$1048576,AD$93,$C628*2+MIN($B628,2)+5)</f>
        <v>0.27</v>
      </c>
      <c r="AE628" s="475">
        <f>INDEX(Input!$1:$1048576,AE$93,$C628*2+MIN($B628,2)+5)
+INDEX(Scenarios!AE$121:AE$199,MATCH($B628,Scenarios!$B$121:$B$199,0))</f>
        <v>0</v>
      </c>
      <c r="AF628" s="476">
        <f>INDEX(Input!$1:$1048576,AF$93,$C628*2+MIN($B628,2)+5)</f>
        <v>1</v>
      </c>
      <c r="AG628" s="475">
        <f>INDEX(Input!$1:$1048576,AG$93,$C628*2+MIN($B628,2)+5)</f>
        <v>500</v>
      </c>
      <c r="AH628" s="476">
        <f>INDEX(Input!$1:$1048576,AH$93,$C628*2+MIN($B628,2)+5)</f>
        <v>1</v>
      </c>
      <c r="AI628" s="475">
        <f>INDEX(Input!$1:$1048576,AI$93,$C628*2+MIN($B628,2)+5)</f>
        <v>0</v>
      </c>
      <c r="AJ628" s="476">
        <f>INDEX(Input!$1:$1048576,AJ$93,$C628*2+MIN($B628,2)+5)</f>
        <v>0.27</v>
      </c>
      <c r="AK628" s="150">
        <f>ROUND(INDEX(Input!$1:$1048576,AK$93,$C627*2+MIN($B628,1)+5)+(Y628-VLOOKUP($C628*1000+1,$A:$HH,Y$92,FALSE)),0)</f>
        <v>3061</v>
      </c>
      <c r="AL628" s="150">
        <f>ROUND(INDEX(Input!$1:$1048576,AL$93,$C627*2+MIN($B628,1)+5)-(Y628-VLOOKUP($C628*1000+1,$A:$HH,Y$92,FALSE))/36,0)</f>
        <v>3552</v>
      </c>
      <c r="AM628" s="32" t="str">
        <f t="shared" si="1752"/>
        <v>std/std/std/std</v>
      </c>
      <c r="AN628" s="32" t="str">
        <f t="shared" si="1753"/>
        <v>$1000 + 0/0/0/1.9/3.9</v>
      </c>
      <c r="AO628" s="32" t="str">
        <f t="shared" si="1754"/>
        <v>0/0/0/1.9/3.9</v>
      </c>
      <c r="AP628" s="32" t="str">
        <f t="shared" si="1716"/>
        <v>0/0.9/1.9/3.9</v>
      </c>
      <c r="AQ628" s="536">
        <f t="shared" si="1717"/>
        <v>0.32204564577312395</v>
      </c>
      <c r="AR628" s="32"/>
      <c r="AS628" s="302"/>
      <c r="AT628" s="3">
        <f t="shared" si="1788"/>
        <v>28</v>
      </c>
      <c r="AU628" s="41" t="s">
        <v>121</v>
      </c>
      <c r="AV628" s="41" t="s">
        <v>116</v>
      </c>
      <c r="AW628" s="41" t="str">
        <f>INDEX(Input!$1:$1048576,AW$93,$C628*2+6)</f>
        <v>Kia</v>
      </c>
      <c r="AX628" s="41" t="str">
        <f>INDEX(Input!$1:$1048576,AX$93,$C628*2+6)</f>
        <v>National</v>
      </c>
      <c r="AY628" s="41" t="str">
        <f>IF(LEN(D628)=0,"",INDEX(Input!$1:$1048576,AY$93,$C628*2+6))</f>
        <v>Compact SUV (52)</v>
      </c>
      <c r="AZ628" s="41" t="str">
        <f>INDEX(Input!$1:$1048576,AZ$93,$C628*2+6)</f>
        <v>Kia Soul</v>
      </c>
      <c r="BA628" s="3">
        <f>INDEX(Input!$1:$1048576,BA$93,$C628*2+6)</f>
        <v>2020</v>
      </c>
      <c r="BB628" s="128">
        <f>INDEX(Input!$1:$1048576,BB$93,$C628*2+6)</f>
        <v>1</v>
      </c>
      <c r="BC628" s="128">
        <f>INDEX(Input!$1:$1048576,BC$93,$C628*2+6)</f>
        <v>0.7</v>
      </c>
      <c r="BD628" s="1">
        <f>INDEX(Input!$1:$1048576,BD$93,$C628*2+6)</f>
        <v>4.4999999999999998E-2</v>
      </c>
      <c r="BE628" s="1">
        <f>INDEX(Input!$1:$1048576,BE$93,$C628*2+6)</f>
        <v>4.4999999999999998E-2</v>
      </c>
      <c r="BF628" s="1">
        <f>INDEX(Input!$1:$1048576,BF$93,$C628*2+6)</f>
        <v>0.05</v>
      </c>
      <c r="BG628" s="1">
        <f>INDEX(Input!$1:$1048576,BG$93,$C628*2+6)</f>
        <v>5.45E-2</v>
      </c>
      <c r="BH628" s="1">
        <f>INDEX(Input!$1:$1048576,BH$93,$C628*2+6)</f>
        <v>5.45E-2</v>
      </c>
      <c r="BI628" s="1">
        <f>INDEX(Input!$1:$1048576,BI$93,$C628*2+6)</f>
        <v>0.05</v>
      </c>
      <c r="BJ628" s="1">
        <f>INDEX(Input!$1:$1048576,BJ$93,$C628*2+6)</f>
        <v>0.05</v>
      </c>
      <c r="BK628" s="1">
        <f>INDEX(Input!$1:$1048576,BK$93,$C628*2+6)</f>
        <v>0.05</v>
      </c>
      <c r="BL628" s="1">
        <f>INDEX(Input!$1:$1048576,BL$93,$C628*2+6)</f>
        <v>5.5E-2</v>
      </c>
      <c r="BM628" s="1">
        <f>INDEX(Input!$1:$1048576,BM$93,$C628*2+6)</f>
        <v>0.06</v>
      </c>
      <c r="BN628" s="1">
        <f>INDEX(Input!$1:$1048576,BN$93,$C628*2+6)</f>
        <v>4.4999999999999998E-2</v>
      </c>
      <c r="BO628" s="1">
        <f>INDEX(Input!$1:$1048576,BO$93,$C628*2+6)</f>
        <v>4.4999999999999998E-2</v>
      </c>
      <c r="BP628" s="1">
        <f>INDEX(Input!$1:$1048576,BP$93,$C628*2+6)</f>
        <v>0.05</v>
      </c>
      <c r="BQ628" s="1">
        <f>INDEX(Input!$1:$1048576,BQ$93,$C628*2+6)</f>
        <v>5.45E-2</v>
      </c>
      <c r="BR628" s="1">
        <f>INDEX(Input!$1:$1048576,BR$93,$C628*2+6)</f>
        <v>5.45E-2</v>
      </c>
      <c r="BS628" s="1">
        <f>INDEX(Input!$1:$1048576,BS$93,$C628*2+6)</f>
        <v>0.05</v>
      </c>
      <c r="BT628" s="1">
        <f>INDEX(Input!$1:$1048576,BT$93,$C628*2+6)</f>
        <v>0.05</v>
      </c>
      <c r="BU628" s="1">
        <f>INDEX(Input!$1:$1048576,BU$93,$C628*2+6)</f>
        <v>0.05</v>
      </c>
      <c r="BV628" s="1">
        <f>INDEX(Input!$1:$1048576,BV$93,$C628*2+6)</f>
        <v>5.5E-2</v>
      </c>
      <c r="BW628" s="1">
        <f>INDEX(Input!$1:$1048576,BW$93,$C628*2+6)</f>
        <v>0.06</v>
      </c>
      <c r="BX628" s="127">
        <f>INDEX(Input!$1:$1048576,BX$93,$C628*2+6)</f>
        <v>19985</v>
      </c>
      <c r="BY628" s="20">
        <f>INDEX(Input!$1:$1048576,BY$93,$C628*2+6)</f>
        <v>0.1</v>
      </c>
      <c r="BZ628" s="20">
        <f>INDEX(Input!$1:$1048576,BZ$93,$C628*2+6)</f>
        <v>0.1</v>
      </c>
      <c r="CA628" s="20">
        <f>INDEX(Input!$1:$1048576,CA$93,$C628*2+6)</f>
        <v>0.1</v>
      </c>
      <c r="CB628" s="20">
        <f>INDEX(Input!$1:$1048576,CB$93,$C628*2+6)</f>
        <v>0.1</v>
      </c>
      <c r="CC628" s="20">
        <f>INDEX(Input!$1:$1048576,CC$93,$C628*2+6)</f>
        <v>0.1</v>
      </c>
      <c r="CD628" s="384">
        <f>INDEX(Input!$1:$1048576,CD$93,$C628*2+6)</f>
        <v>0.1</v>
      </c>
      <c r="CE628" s="384">
        <f>INDEX(Input!$1:$1048576,CE$93,$C628*2+6)</f>
        <v>0.1</v>
      </c>
      <c r="CF628" s="384">
        <f>INDEX(Input!$1:$1048576,CF$93,$C628*2+6)</f>
        <v>0.1</v>
      </c>
      <c r="CG628" s="384">
        <f>INDEX(Input!$1:$1048576,CG$93,$C628*2+6)</f>
        <v>0.1</v>
      </c>
      <c r="CH628" s="384">
        <f>INDEX(Input!$1:$1048576,CH$93,$C628*2+6)</f>
        <v>0.1</v>
      </c>
      <c r="CI628" s="304">
        <f t="shared" si="1718"/>
        <v>1267.2644913000609</v>
      </c>
      <c r="CJ628" s="16" t="str">
        <f>INDEX(Input!$1:$1048576,CJ$93,$C628*2+6)</f>
        <v>N</v>
      </c>
      <c r="CK628" s="1" t="str">
        <f t="shared" si="1719"/>
        <v>Market</v>
      </c>
      <c r="CL628" s="1" t="str">
        <f t="shared" si="1720"/>
        <v>Market</v>
      </c>
      <c r="CM628" s="1" t="str">
        <f t="shared" si="1721"/>
        <v>Market</v>
      </c>
      <c r="CN628" s="1" t="str">
        <f t="shared" si="1722"/>
        <v>Market</v>
      </c>
      <c r="CO628" s="1" t="str">
        <f t="shared" si="1723"/>
        <v>Market</v>
      </c>
      <c r="CP628" s="304">
        <f t="shared" si="1724"/>
        <v>1500</v>
      </c>
      <c r="CQ628" s="1">
        <f t="shared" si="1725"/>
        <v>0</v>
      </c>
      <c r="CR628" s="1">
        <f t="shared" si="1726"/>
        <v>0</v>
      </c>
      <c r="CS628" s="1">
        <f t="shared" si="1727"/>
        <v>0</v>
      </c>
      <c r="CT628" s="1">
        <f t="shared" si="1728"/>
        <v>1.9E-2</v>
      </c>
      <c r="CU628" s="1">
        <f t="shared" si="1729"/>
        <v>3.9E-2</v>
      </c>
      <c r="CV628" s="304">
        <f t="shared" si="1730"/>
        <v>737.99367635402496</v>
      </c>
      <c r="CW628" s="20" t="s">
        <v>122</v>
      </c>
      <c r="CX628" s="20" t="s">
        <v>122</v>
      </c>
      <c r="CY628" s="20" t="s">
        <v>122</v>
      </c>
      <c r="CZ628" s="20" t="s">
        <v>122</v>
      </c>
      <c r="DA628" s="20" t="s">
        <v>122</v>
      </c>
      <c r="DB628" s="503">
        <f t="shared" si="1731"/>
        <v>0</v>
      </c>
      <c r="DC628" s="127">
        <v>0</v>
      </c>
      <c r="DD628" s="127">
        <v>0</v>
      </c>
      <c r="DE628" s="127">
        <v>0</v>
      </c>
      <c r="DF628" s="127">
        <v>0</v>
      </c>
      <c r="DG628" s="127">
        <v>0</v>
      </c>
      <c r="DH628" s="127">
        <v>0</v>
      </c>
      <c r="DI628" s="127">
        <v>0</v>
      </c>
      <c r="DJ628" s="127">
        <v>0</v>
      </c>
      <c r="DK628" s="127">
        <v>0</v>
      </c>
      <c r="DL628" s="127">
        <v>0</v>
      </c>
      <c r="DM628" s="304">
        <f>INDEX(Input!$1:$1048576,DM$93,$C628*2+6)</f>
        <v>21036.84210526316</v>
      </c>
      <c r="DN628" s="20">
        <v>0</v>
      </c>
      <c r="DO628" s="20">
        <v>0</v>
      </c>
      <c r="DP628" s="20">
        <v>0</v>
      </c>
      <c r="DQ628" s="20">
        <v>0</v>
      </c>
      <c r="DR628" s="20">
        <v>0</v>
      </c>
      <c r="DS628" s="20">
        <f>INDEX(Input!$1:$1048576,DS$93,$C628*2+6)</f>
        <v>0.6</v>
      </c>
      <c r="DT628" s="20">
        <f>INDEX(Input!$1:$1048576,DT$93,$C628*2+6)</f>
        <v>0.55000000000000004</v>
      </c>
      <c r="DU628" s="20">
        <f>INDEX(Input!$1:$1048576,DU$93,$C628*2+6)</f>
        <v>0.52</v>
      </c>
      <c r="DV628" s="20">
        <f>INDEX(Input!$1:$1048576,DV$93,$C628*2+6)</f>
        <v>0.5</v>
      </c>
      <c r="DW628" s="20">
        <f>INDEX(Input!$1:$1048576,DW$93,$C628*2+6)</f>
        <v>0.45</v>
      </c>
      <c r="DX628" s="20"/>
      <c r="DY628" s="7"/>
      <c r="DZ628" s="7"/>
      <c r="EA628" s="7"/>
      <c r="EB628" s="7"/>
      <c r="EC628" s="7"/>
      <c r="ED628" s="7"/>
      <c r="EE628" s="7"/>
      <c r="EF628" s="7"/>
      <c r="EG628" s="7"/>
      <c r="EH628" s="7"/>
      <c r="EI628" s="7"/>
      <c r="EJ628" s="7"/>
      <c r="EK628" s="7"/>
      <c r="EL628" s="7"/>
      <c r="EM628" s="7"/>
      <c r="EN628" s="7"/>
      <c r="EO628" s="7"/>
      <c r="EP628" s="7"/>
      <c r="EQ628" s="7"/>
      <c r="ER628" s="7"/>
      <c r="ES628" s="7"/>
      <c r="ET628" s="7"/>
      <c r="EU628" s="6"/>
      <c r="EV628" s="6"/>
      <c r="EW628" s="6"/>
      <c r="EX628" s="6"/>
      <c r="EY628" s="6"/>
      <c r="EZ628" s="6"/>
      <c r="FA628" s="6"/>
      <c r="FB628" s="6"/>
      <c r="FC628" s="6"/>
      <c r="FD628" s="6"/>
      <c r="FE628" s="6"/>
      <c r="FF628" s="6"/>
      <c r="FG628" s="6"/>
      <c r="FH628" s="6"/>
      <c r="FI628" s="6"/>
      <c r="FJ628" s="6"/>
      <c r="FK628" s="6"/>
      <c r="FL628" s="6"/>
      <c r="FM628" s="6"/>
      <c r="FN628" s="6"/>
      <c r="FO628" s="6"/>
      <c r="FP628" s="6"/>
      <c r="FQ628" s="6"/>
      <c r="FR628" s="6"/>
      <c r="FS628" s="6"/>
      <c r="FT628" s="7"/>
      <c r="FU628" s="7"/>
      <c r="FV628" s="7"/>
      <c r="FW628" s="6"/>
      <c r="FX628" s="6"/>
      <c r="FY628" s="6"/>
      <c r="FZ628" s="6"/>
      <c r="GA628" s="6"/>
      <c r="GB628" s="6"/>
      <c r="GC628" s="7"/>
      <c r="GD628" s="7"/>
      <c r="GE628" s="7"/>
      <c r="GF628" s="7"/>
      <c r="GG628" s="7"/>
      <c r="GH628" s="42"/>
      <c r="GI628" s="6"/>
      <c r="GJ628" s="14"/>
      <c r="GK628" s="14"/>
      <c r="GL628" s="14"/>
      <c r="GM628" s="14"/>
      <c r="GO628" s="5"/>
      <c r="GP628" s="5"/>
      <c r="GQ628" s="5"/>
      <c r="GR628" s="5"/>
      <c r="GS628" s="5"/>
      <c r="GT628" s="5"/>
      <c r="GU628" s="5"/>
      <c r="GV628" s="39"/>
      <c r="GW628" s="5"/>
      <c r="GX628" s="5"/>
      <c r="GY628" s="5"/>
      <c r="GZ628" s="5"/>
      <c r="HA628" s="5"/>
      <c r="HB628" s="39"/>
      <c r="HC628" s="5"/>
      <c r="HD628" s="5"/>
      <c r="HE628" s="5"/>
      <c r="HF628" s="5"/>
      <c r="HG628" s="5"/>
      <c r="HH628" s="39"/>
      <c r="HI628" s="16"/>
      <c r="HJ628" s="19"/>
      <c r="HK628" s="1"/>
      <c r="HL628" s="16"/>
      <c r="HM628" s="639">
        <f t="shared" si="1755"/>
        <v>2.3149872625708352E-2</v>
      </c>
      <c r="HN628" s="639">
        <f t="shared" si="1756"/>
        <v>1.3965040474190958E-3</v>
      </c>
      <c r="HO628" s="639">
        <f t="shared" si="1757"/>
        <v>3.5429561340050734E-3</v>
      </c>
      <c r="HP628" s="644">
        <f t="shared" ref="HP628:ID628" si="1877">HP128+HP228+HP328+HP428+HP528</f>
        <v>-45.801455492295673</v>
      </c>
      <c r="HQ628" s="644">
        <f t="shared" si="1877"/>
        <v>230.1700548954249</v>
      </c>
      <c r="HR628" s="644">
        <f t="shared" si="1877"/>
        <v>-13.202362325683852</v>
      </c>
      <c r="HS628" s="644">
        <f t="shared" si="1877"/>
        <v>-63.876272554737355</v>
      </c>
      <c r="HT628" s="644">
        <f t="shared" si="1877"/>
        <v>523.50403198800416</v>
      </c>
      <c r="HU628" s="644">
        <f t="shared" si="1877"/>
        <v>19.579343763060674</v>
      </c>
      <c r="HV628" s="644">
        <f t="shared" si="1877"/>
        <v>0</v>
      </c>
      <c r="HW628" s="644">
        <f t="shared" si="1877"/>
        <v>0</v>
      </c>
      <c r="HX628" s="644">
        <f t="shared" si="1877"/>
        <v>0</v>
      </c>
      <c r="HY628" s="644">
        <f t="shared" si="1877"/>
        <v>2396</v>
      </c>
      <c r="HZ628" s="644">
        <f t="shared" si="1877"/>
        <v>3223</v>
      </c>
      <c r="IA628" s="644">
        <f t="shared" si="1877"/>
        <v>830</v>
      </c>
      <c r="IB628" s="644">
        <f t="shared" si="1877"/>
        <v>2286.3222719529672</v>
      </c>
      <c r="IC628" s="644">
        <f t="shared" si="1877"/>
        <v>3976.674086883429</v>
      </c>
      <c r="ID628" s="644">
        <f t="shared" si="1877"/>
        <v>836.3769814373768</v>
      </c>
      <c r="IE628" s="20">
        <f t="shared" si="1759"/>
        <v>0.32204564577312395</v>
      </c>
      <c r="IF628" s="20">
        <f t="shared" si="1760"/>
        <v>0.56014438124056687</v>
      </c>
      <c r="IG628" s="20">
        <f t="shared" si="1761"/>
        <v>0.11780997298630919</v>
      </c>
      <c r="IH628" s="21"/>
      <c r="II628" s="19"/>
      <c r="IJ628" s="19"/>
      <c r="IK628" s="19"/>
      <c r="IL628" s="19">
        <f t="shared" si="1762"/>
        <v>179.89982107600872</v>
      </c>
      <c r="IM628" s="19">
        <f t="shared" si="1763"/>
        <v>1171.2798466705012</v>
      </c>
      <c r="IN628" s="19">
        <f t="shared" si="1764"/>
        <v>112.25756176258255</v>
      </c>
      <c r="IO628" s="39"/>
      <c r="IP628" s="39"/>
      <c r="IQ628" s="39"/>
      <c r="IR628" s="39"/>
      <c r="IS628" s="39"/>
      <c r="IT628" s="39"/>
      <c r="IU628" s="39"/>
      <c r="IV628" s="39"/>
      <c r="IW628" s="39"/>
      <c r="IX628" s="19">
        <f t="shared" si="1765"/>
        <v>1554.1790484140233</v>
      </c>
      <c r="IY628" s="19">
        <f t="shared" si="1766"/>
        <v>2412.3001201524512</v>
      </c>
      <c r="IZ628" s="19">
        <f t="shared" si="1767"/>
        <v>3993.0862952928574</v>
      </c>
      <c r="JA628" s="19">
        <f t="shared" ref="JA628:JC628" si="1878">IFERROR((JA128*IB128+JA228*IB228+JA328*IB328+JA428*IB428+JA528*IB528)/IB628,0)</f>
        <v>1734.078869490032</v>
      </c>
      <c r="JB628" s="19">
        <f t="shared" si="1878"/>
        <v>3583.5799668229524</v>
      </c>
      <c r="JC628" s="19">
        <f t="shared" si="1878"/>
        <v>4105.3438570554399</v>
      </c>
      <c r="JD628" s="19">
        <f t="shared" si="1769"/>
        <v>3049.4251813877918</v>
      </c>
      <c r="JE628" s="21"/>
      <c r="JF628" s="1">
        <f t="shared" si="1770"/>
        <v>2.6651855648468406E-2</v>
      </c>
      <c r="JG628" s="15">
        <f t="shared" si="1771"/>
        <v>6449</v>
      </c>
      <c r="JH628" s="1">
        <f t="shared" si="1772"/>
        <v>2.6541516061008741E-2</v>
      </c>
      <c r="JI628" s="1">
        <f t="shared" si="1773"/>
        <v>7.4307195409571633E-2</v>
      </c>
      <c r="JJ628" s="1">
        <f t="shared" si="1774"/>
        <v>0</v>
      </c>
      <c r="JK628" s="1">
        <f t="shared" si="1775"/>
        <v>0.10084871147058039</v>
      </c>
      <c r="JL628" s="15">
        <f t="shared" ref="JL628:JM628" si="1879">JL128+JL228+JL328+JL428+JL528</f>
        <v>650.3733402737729</v>
      </c>
      <c r="JM628" s="15">
        <f t="shared" si="1879"/>
        <v>7099.3733402737735</v>
      </c>
      <c r="JN628" s="21"/>
      <c r="JO628" s="19">
        <f>INDEX(Input!$1:$1048576,JO$93,$C628*2+6)</f>
        <v>5995.5</v>
      </c>
      <c r="JP628" s="19">
        <f>INDEX(Input!$1:$1048576,JP$93,$C628*2+6)</f>
        <v>2296.6050414551746</v>
      </c>
      <c r="JQ628" s="39">
        <f t="shared" si="1799"/>
        <v>2946.0748186122082</v>
      </c>
      <c r="JR628" s="39">
        <f t="shared" si="1800"/>
        <v>752.82013993261717</v>
      </c>
      <c r="JS628" s="39">
        <f t="shared" si="1801"/>
        <v>21.649007835904005</v>
      </c>
      <c r="JT628" s="39">
        <f t="shared" si="1802"/>
        <v>6.8382019235595859</v>
      </c>
      <c r="JU628" s="385">
        <f>(JQ628*JM628-INDEX(Input!$1:$1048576,Input!A$18,$C628*2+6)*JL628*INDEX(Input!$1:$1048576,Input!A$19,$C628*2+6))/1000000</f>
        <v>20.915285025707405</v>
      </c>
      <c r="JV628" s="39">
        <f t="shared" si="1803"/>
        <v>-2.9388885619481719</v>
      </c>
      <c r="JW628" s="1">
        <f t="shared" si="1804"/>
        <v>-0.12320227951510478</v>
      </c>
      <c r="JX628" s="19">
        <f t="shared" si="1805"/>
        <v>10514.27157312608</v>
      </c>
      <c r="JZ628" s="341"/>
      <c r="KA628" s="60"/>
      <c r="KB628" s="469">
        <f t="shared" si="1778"/>
        <v>0</v>
      </c>
      <c r="KI628" s="472"/>
      <c r="KJ628" s="472"/>
      <c r="KK628" s="472"/>
      <c r="KN628" s="793">
        <f t="shared" si="1779"/>
        <v>6002</v>
      </c>
      <c r="KO628" s="541">
        <f t="shared" si="1780"/>
        <v>7.5615606351834286E-2</v>
      </c>
      <c r="KP628" s="546">
        <f t="shared" si="1781"/>
        <v>562.11273536866076</v>
      </c>
      <c r="KQ628" s="546">
        <f t="shared" si="1782"/>
        <v>586.59192478264686</v>
      </c>
      <c r="KR628" s="472">
        <f t="shared" si="1783"/>
        <v>2.3570881418133705</v>
      </c>
      <c r="KS628" s="472">
        <f t="shared" si="1784"/>
        <v>2.258724007137821</v>
      </c>
      <c r="KT628" s="473">
        <f t="shared" si="1795"/>
        <v>4286.2445668946921</v>
      </c>
      <c r="KU628" s="663">
        <f t="shared" si="1785"/>
        <v>4.3013191006998488</v>
      </c>
      <c r="KV628" s="117"/>
    </row>
    <row r="629" spans="1:308" s="26" customFormat="1" ht="15">
      <c r="A629" s="561">
        <f t="shared" si="1751"/>
        <v>6029</v>
      </c>
      <c r="B629" s="561">
        <f t="shared" si="1786"/>
        <v>29</v>
      </c>
      <c r="C629" s="561">
        <f t="shared" si="1787"/>
        <v>6</v>
      </c>
      <c r="D629" s="561" t="str">
        <f t="shared" si="1855"/>
        <v xml:space="preserve">-720 Lease, </v>
      </c>
      <c r="E629" s="475">
        <f>INDEX(Input!$1:$1048576,E$93,$C629*2+MIN($B629,2)+5)
+INDEX(Scenarios!E$121:E$199,MATCH($B629,Scenarios!$B$121:$B$199,0))</f>
        <v>1267.2644913000609</v>
      </c>
      <c r="F629" s="475">
        <f>INDEX(Input!$1:$1048576,F$93,$C629*2+MIN($B629,2)+5)
+INDEX(Scenarios!F$121:F$199,MATCH($B629,Scenarios!$B$121:$B$199,0))</f>
        <v>0</v>
      </c>
      <c r="G629" s="475">
        <f>INDEX(Input!$1:$1048576,G$93,$C629*2+MIN($B629,2)+5)
+INDEX(Scenarios!G$121:G$199,MATCH($B629,Scenarios!$B$121:$B$199,0))</f>
        <v>0</v>
      </c>
      <c r="H629" s="475">
        <f>INDEX(Input!$1:$1048576,H$93,$C629*2+MIN($B629,2)+5)
+INDEX(Scenarios!H$121:H$199,MATCH($B629,Scenarios!$B$121:$B$199,0))</f>
        <v>0</v>
      </c>
      <c r="I629" s="476">
        <f>INDEX(Input!$1:$1048576,I$93,$C629*2+MIN($B629,2)+5)
+INDEX(Scenarios!I$121:I$199,MATCH($B629,Scenarios!$B$121:$B$199,0))</f>
        <v>0.7</v>
      </c>
      <c r="J629" s="476" t="str">
        <f>INDEX(Input!$1:$1048576,J$93,$C629*2+MIN($B629,2)+5)</f>
        <v>Market</v>
      </c>
      <c r="K629" s="476" t="str">
        <f>INDEX(Input!$1:$1048576,K$93,$C629*2+MIN($B629,2)+5)</f>
        <v>Market</v>
      </c>
      <c r="L629" s="476" t="str">
        <f>INDEX(Input!$1:$1048576,L$93,$C629*2+MIN($B629,2)+5)</f>
        <v>Market</v>
      </c>
      <c r="M629" s="476" t="str">
        <f>INDEX(Input!$1:$1048576,M$93,$C629*2+MIN($B629,2)+5)</f>
        <v>Market</v>
      </c>
      <c r="N629" s="476" t="str">
        <f>INDEX(Input!$1:$1048576,N$93,$C629*2+MIN($B629,2)+5)</f>
        <v>Market</v>
      </c>
      <c r="O629" s="476" t="str">
        <f>INDEX(Input!$1:$1048576,O$93,$C629*2+MIN($B629,2)+5)</f>
        <v>Market</v>
      </c>
      <c r="P629" s="476" t="str">
        <f>INDEX(Input!$1:$1048576,P$93,$C629*2+MIN($B629,2)+5)</f>
        <v>N</v>
      </c>
      <c r="Q629" s="477">
        <f>INDEX(Input!$1:$1048576,Q$93,$C629*2+MIN($B629,2)+5)
+INDEX(Scenarios!Q$121:Q$199,MATCH($B629,Scenarios!$B$121:$B$199,0))</f>
        <v>0</v>
      </c>
      <c r="R629" s="478">
        <f>IFERROR(MAX(0,INDEX(Input!$1:$1048576,R$93,$C629*2+MIN($B629,2)+5)
+INDEX(Scenarios!R$121:R$199,MATCH($B629,Scenarios!$B$121:$B$199,0)),),"Market")</f>
        <v>0</v>
      </c>
      <c r="S629" s="478">
        <f>IFERROR(MAX(0,INDEX(Input!$1:$1048576,S$93,$C629*2+MIN($B629,2)+5)
+INDEX(Scenarios!S$121:S$199,MATCH($B629,Scenarios!$B$121:$B$199,0)),),"Market")</f>
        <v>0</v>
      </c>
      <c r="T629" s="478">
        <f>IFERROR(MAX(0,INDEX(Input!$1:$1048576,T$93,$C629*2+MIN($B629,2)+5)
+INDEX(Scenarios!T$121:T$199,MATCH($B629,Scenarios!$B$121:$B$199,0)),),"Market")</f>
        <v>0</v>
      </c>
      <c r="U629" s="478">
        <f>IFERROR(MAX(0,INDEX(Input!$1:$1048576,U$93,$C629*2+MIN($B629,2)+5)
+INDEX(Scenarios!U$121:U$199,MATCH($B629,Scenarios!$B$121:$B$199,0)),),"Market")</f>
        <v>0</v>
      </c>
      <c r="V629" s="478">
        <f>IFERROR(MAX(0,INDEX(Input!$1:$1048576,V$93,$C629*2+MIN($B629,2)+5)
+INDEX(Scenarios!V$121:V$199,MATCH($B629,Scenarios!$B$121:$B$199,0)),),"Market")</f>
        <v>1.9E-2</v>
      </c>
      <c r="W629" s="885">
        <f>IFERROR(MAX(0,INDEX(Input!$1:$1048576,W$93,$C629*2+MIN($B629,2)+5)-0%,),"Market")</f>
        <v>3.9E-2</v>
      </c>
      <c r="X629" s="476" t="str">
        <f>INDEX(Input!$1:$1048576,X$93,$C629*2+MIN($B629,2)+5)</f>
        <v>Y</v>
      </c>
      <c r="Y629" s="475">
        <f>INDEX(Input!$1:$1048576,Y$93,$C629*2+MIN($B629,2)+5)
++INDEX(Scenarios!Y$121:Y$199,MATCH($B629,Scenarios!$B$121:$B$199,0))</f>
        <v>17.993676354024956</v>
      </c>
      <c r="Z629" s="477">
        <f>INDEX(Input!$1:$1048576,Z$93,$C629*2+MIN($B629,2)+5)
+INDEX(Scenarios!Z$121:Z$199,MATCH($B629,Scenarios!$B$121:$B$199,0))</f>
        <v>0</v>
      </c>
      <c r="AA629" s="475">
        <f>INDEX(Input!$1:$1048576,AA$93,$C629*2+MIN($B629,2)+5)</f>
        <v>0</v>
      </c>
      <c r="AB629" s="476">
        <f>INDEX(Input!$1:$1048576,AB$93,$C629*2+MIN($B629,2)+5)</f>
        <v>0.27</v>
      </c>
      <c r="AC629" s="475">
        <f>INDEX(Input!$1:$1048576,AC$93,$C629*2+MIN($B629,2)+5)
+INDEX(Scenarios!AC$121:AC$199,MATCH($B629,Scenarios!$B$121:$B$199,0))</f>
        <v>0</v>
      </c>
      <c r="AD629" s="476">
        <f>INDEX(Input!$1:$1048576,AD$93,$C629*2+MIN($B629,2)+5)</f>
        <v>0.27</v>
      </c>
      <c r="AE629" s="475">
        <f>INDEX(Input!$1:$1048576,AE$93,$C629*2+MIN($B629,2)+5)
+INDEX(Scenarios!AE$121:AE$199,MATCH($B629,Scenarios!$B$121:$B$199,0))</f>
        <v>0</v>
      </c>
      <c r="AF629" s="476">
        <f>INDEX(Input!$1:$1048576,AF$93,$C629*2+MIN($B629,2)+5)</f>
        <v>1</v>
      </c>
      <c r="AG629" s="475">
        <f>INDEX(Input!$1:$1048576,AG$93,$C629*2+MIN($B629,2)+5)</f>
        <v>500</v>
      </c>
      <c r="AH629" s="476">
        <f>INDEX(Input!$1:$1048576,AH$93,$C629*2+MIN($B629,2)+5)</f>
        <v>1</v>
      </c>
      <c r="AI629" s="475">
        <f>INDEX(Input!$1:$1048576,AI$93,$C629*2+MIN($B629,2)+5)</f>
        <v>0</v>
      </c>
      <c r="AJ629" s="476">
        <f>INDEX(Input!$1:$1048576,AJ$93,$C629*2+MIN($B629,2)+5)</f>
        <v>0.27</v>
      </c>
      <c r="AK629" s="150">
        <f>ROUND(INDEX(Input!$1:$1048576,AK$93,$C628*2+MIN($B629,1)+5)+(Y629-VLOOKUP($C629*1000+1,$A:$HH,Y$92,FALSE)),0)</f>
        <v>2341</v>
      </c>
      <c r="AL629" s="150">
        <f>ROUND(INDEX(Input!$1:$1048576,AL$93,$C628*2+MIN($B629,1)+5)-(Y629-VLOOKUP($C629*1000+1,$A:$HH,Y$92,FALSE))/36,0)</f>
        <v>3572</v>
      </c>
      <c r="AM629" s="32" t="str">
        <f t="shared" si="1752"/>
        <v>std/std/std/std</v>
      </c>
      <c r="AN629" s="32" t="str">
        <f t="shared" si="1753"/>
        <v>$0 + 0/0/0/1.9/3.9</v>
      </c>
      <c r="AO629" s="32" t="str">
        <f t="shared" si="1754"/>
        <v>0/0/0/1.9/3.9</v>
      </c>
      <c r="AP629" s="32" t="str">
        <f t="shared" si="1716"/>
        <v>0/0.9/1.9/3.9</v>
      </c>
      <c r="AQ629" s="536">
        <f t="shared" si="1717"/>
        <v>0.40382827615161082</v>
      </c>
      <c r="AR629" s="32"/>
      <c r="AS629" s="302"/>
      <c r="AT629" s="3">
        <f t="shared" si="1788"/>
        <v>29</v>
      </c>
      <c r="AU629" s="41" t="s">
        <v>121</v>
      </c>
      <c r="AV629" s="41" t="s">
        <v>116</v>
      </c>
      <c r="AW629" s="41" t="str">
        <f>INDEX(Input!$1:$1048576,AW$93,$C629*2+6)</f>
        <v>Kia</v>
      </c>
      <c r="AX629" s="41" t="str">
        <f>INDEX(Input!$1:$1048576,AX$93,$C629*2+6)</f>
        <v>National</v>
      </c>
      <c r="AY629" s="41" t="str">
        <f>IF(LEN(D629)=0,"",INDEX(Input!$1:$1048576,AY$93,$C629*2+6))</f>
        <v>Compact SUV (52)</v>
      </c>
      <c r="AZ629" s="41" t="str">
        <f>INDEX(Input!$1:$1048576,AZ$93,$C629*2+6)</f>
        <v>Kia Soul</v>
      </c>
      <c r="BA629" s="3">
        <f>INDEX(Input!$1:$1048576,BA$93,$C629*2+6)</f>
        <v>2020</v>
      </c>
      <c r="BB629" s="128">
        <f>INDEX(Input!$1:$1048576,BB$93,$C629*2+6)</f>
        <v>1</v>
      </c>
      <c r="BC629" s="128">
        <f>INDEX(Input!$1:$1048576,BC$93,$C629*2+6)</f>
        <v>0.7</v>
      </c>
      <c r="BD629" s="1">
        <f>INDEX(Input!$1:$1048576,BD$93,$C629*2+6)</f>
        <v>4.4999999999999998E-2</v>
      </c>
      <c r="BE629" s="1">
        <f>INDEX(Input!$1:$1048576,BE$93,$C629*2+6)</f>
        <v>4.4999999999999998E-2</v>
      </c>
      <c r="BF629" s="1">
        <f>INDEX(Input!$1:$1048576,BF$93,$C629*2+6)</f>
        <v>0.05</v>
      </c>
      <c r="BG629" s="1">
        <f>INDEX(Input!$1:$1048576,BG$93,$C629*2+6)</f>
        <v>5.45E-2</v>
      </c>
      <c r="BH629" s="1">
        <f>INDEX(Input!$1:$1048576,BH$93,$C629*2+6)</f>
        <v>5.45E-2</v>
      </c>
      <c r="BI629" s="1">
        <f>INDEX(Input!$1:$1048576,BI$93,$C629*2+6)</f>
        <v>0.05</v>
      </c>
      <c r="BJ629" s="1">
        <f>INDEX(Input!$1:$1048576,BJ$93,$C629*2+6)</f>
        <v>0.05</v>
      </c>
      <c r="BK629" s="1">
        <f>INDEX(Input!$1:$1048576,BK$93,$C629*2+6)</f>
        <v>0.05</v>
      </c>
      <c r="BL629" s="1">
        <f>INDEX(Input!$1:$1048576,BL$93,$C629*2+6)</f>
        <v>5.5E-2</v>
      </c>
      <c r="BM629" s="1">
        <f>INDEX(Input!$1:$1048576,BM$93,$C629*2+6)</f>
        <v>0.06</v>
      </c>
      <c r="BN629" s="1">
        <f>INDEX(Input!$1:$1048576,BN$93,$C629*2+6)</f>
        <v>4.4999999999999998E-2</v>
      </c>
      <c r="BO629" s="1">
        <f>INDEX(Input!$1:$1048576,BO$93,$C629*2+6)</f>
        <v>4.4999999999999998E-2</v>
      </c>
      <c r="BP629" s="1">
        <f>INDEX(Input!$1:$1048576,BP$93,$C629*2+6)</f>
        <v>0.05</v>
      </c>
      <c r="BQ629" s="1">
        <f>INDEX(Input!$1:$1048576,BQ$93,$C629*2+6)</f>
        <v>5.45E-2</v>
      </c>
      <c r="BR629" s="1">
        <f>INDEX(Input!$1:$1048576,BR$93,$C629*2+6)</f>
        <v>5.45E-2</v>
      </c>
      <c r="BS629" s="1">
        <f>INDEX(Input!$1:$1048576,BS$93,$C629*2+6)</f>
        <v>0.05</v>
      </c>
      <c r="BT629" s="1">
        <f>INDEX(Input!$1:$1048576,BT$93,$C629*2+6)</f>
        <v>0.05</v>
      </c>
      <c r="BU629" s="1">
        <f>INDEX(Input!$1:$1048576,BU$93,$C629*2+6)</f>
        <v>0.05</v>
      </c>
      <c r="BV629" s="1">
        <f>INDEX(Input!$1:$1048576,BV$93,$C629*2+6)</f>
        <v>5.5E-2</v>
      </c>
      <c r="BW629" s="1">
        <f>INDEX(Input!$1:$1048576,BW$93,$C629*2+6)</f>
        <v>0.06</v>
      </c>
      <c r="BX629" s="127">
        <f>INDEX(Input!$1:$1048576,BX$93,$C629*2+6)</f>
        <v>19985</v>
      </c>
      <c r="BY629" s="20">
        <f>INDEX(Input!$1:$1048576,BY$93,$C629*2+6)</f>
        <v>0.1</v>
      </c>
      <c r="BZ629" s="20">
        <f>INDEX(Input!$1:$1048576,BZ$93,$C629*2+6)</f>
        <v>0.1</v>
      </c>
      <c r="CA629" s="20">
        <f>INDEX(Input!$1:$1048576,CA$93,$C629*2+6)</f>
        <v>0.1</v>
      </c>
      <c r="CB629" s="20">
        <f>INDEX(Input!$1:$1048576,CB$93,$C629*2+6)</f>
        <v>0.1</v>
      </c>
      <c r="CC629" s="20">
        <f>INDEX(Input!$1:$1048576,CC$93,$C629*2+6)</f>
        <v>0.1</v>
      </c>
      <c r="CD629" s="384">
        <f>INDEX(Input!$1:$1048576,CD$93,$C629*2+6)</f>
        <v>0.1</v>
      </c>
      <c r="CE629" s="384">
        <f>INDEX(Input!$1:$1048576,CE$93,$C629*2+6)</f>
        <v>0.1</v>
      </c>
      <c r="CF629" s="384">
        <f>INDEX(Input!$1:$1048576,CF$93,$C629*2+6)</f>
        <v>0.1</v>
      </c>
      <c r="CG629" s="384">
        <f>INDEX(Input!$1:$1048576,CG$93,$C629*2+6)</f>
        <v>0.1</v>
      </c>
      <c r="CH629" s="384">
        <f>INDEX(Input!$1:$1048576,CH$93,$C629*2+6)</f>
        <v>0.1</v>
      </c>
      <c r="CI629" s="304">
        <f t="shared" si="1718"/>
        <v>1267.2644913000609</v>
      </c>
      <c r="CJ629" s="16" t="str">
        <f>INDEX(Input!$1:$1048576,CJ$93,$C629*2+6)</f>
        <v>N</v>
      </c>
      <c r="CK629" s="1" t="str">
        <f t="shared" si="1719"/>
        <v>Market</v>
      </c>
      <c r="CL629" s="1" t="str">
        <f t="shared" si="1720"/>
        <v>Market</v>
      </c>
      <c r="CM629" s="1" t="str">
        <f t="shared" si="1721"/>
        <v>Market</v>
      </c>
      <c r="CN629" s="1" t="str">
        <f t="shared" si="1722"/>
        <v>Market</v>
      </c>
      <c r="CO629" s="1" t="str">
        <f t="shared" si="1723"/>
        <v>Market</v>
      </c>
      <c r="CP629" s="304">
        <f t="shared" si="1724"/>
        <v>500</v>
      </c>
      <c r="CQ629" s="1">
        <f t="shared" si="1725"/>
        <v>0</v>
      </c>
      <c r="CR629" s="1">
        <f t="shared" si="1726"/>
        <v>0</v>
      </c>
      <c r="CS629" s="1">
        <f t="shared" si="1727"/>
        <v>0</v>
      </c>
      <c r="CT629" s="1">
        <f t="shared" si="1728"/>
        <v>1.9E-2</v>
      </c>
      <c r="CU629" s="1">
        <f t="shared" si="1729"/>
        <v>3.9E-2</v>
      </c>
      <c r="CV629" s="304">
        <f t="shared" si="1730"/>
        <v>17.993676354024956</v>
      </c>
      <c r="CW629" s="20" t="s">
        <v>122</v>
      </c>
      <c r="CX629" s="20" t="s">
        <v>122</v>
      </c>
      <c r="CY629" s="20" t="s">
        <v>122</v>
      </c>
      <c r="CZ629" s="20" t="s">
        <v>122</v>
      </c>
      <c r="DA629" s="20" t="s">
        <v>122</v>
      </c>
      <c r="DB629" s="503">
        <f t="shared" si="1731"/>
        <v>0</v>
      </c>
      <c r="DC629" s="127">
        <v>0</v>
      </c>
      <c r="DD629" s="127">
        <v>0</v>
      </c>
      <c r="DE629" s="127">
        <v>0</v>
      </c>
      <c r="DF629" s="127">
        <v>0</v>
      </c>
      <c r="DG629" s="127">
        <v>0</v>
      </c>
      <c r="DH629" s="127">
        <v>0</v>
      </c>
      <c r="DI629" s="127">
        <v>0</v>
      </c>
      <c r="DJ629" s="127">
        <v>0</v>
      </c>
      <c r="DK629" s="127">
        <v>0</v>
      </c>
      <c r="DL629" s="127">
        <v>0</v>
      </c>
      <c r="DM629" s="304">
        <f>INDEX(Input!$1:$1048576,DM$93,$C629*2+6)</f>
        <v>21036.84210526316</v>
      </c>
      <c r="DN629" s="20">
        <v>0</v>
      </c>
      <c r="DO629" s="20">
        <v>0</v>
      </c>
      <c r="DP629" s="20">
        <v>0</v>
      </c>
      <c r="DQ629" s="20">
        <v>0</v>
      </c>
      <c r="DR629" s="20">
        <v>0</v>
      </c>
      <c r="DS629" s="20">
        <f>INDEX(Input!$1:$1048576,DS$93,$C629*2+6)</f>
        <v>0.6</v>
      </c>
      <c r="DT629" s="20">
        <f>INDEX(Input!$1:$1048576,DT$93,$C629*2+6)</f>
        <v>0.55000000000000004</v>
      </c>
      <c r="DU629" s="20">
        <f>INDEX(Input!$1:$1048576,DU$93,$C629*2+6)</f>
        <v>0.52</v>
      </c>
      <c r="DV629" s="20">
        <f>INDEX(Input!$1:$1048576,DV$93,$C629*2+6)</f>
        <v>0.5</v>
      </c>
      <c r="DW629" s="20">
        <f>INDEX(Input!$1:$1048576,DW$93,$C629*2+6)</f>
        <v>0.45</v>
      </c>
      <c r="DX629" s="20"/>
      <c r="DY629" s="7"/>
      <c r="DZ629" s="7"/>
      <c r="EA629" s="7"/>
      <c r="EB629" s="7"/>
      <c r="EC629" s="7"/>
      <c r="ED629" s="7"/>
      <c r="EE629" s="7"/>
      <c r="EF629" s="7"/>
      <c r="EG629" s="7"/>
      <c r="EH629" s="7"/>
      <c r="EI629" s="7"/>
      <c r="EJ629" s="7"/>
      <c r="EK629" s="7"/>
      <c r="EL629" s="7"/>
      <c r="EM629" s="7"/>
      <c r="EN629" s="7"/>
      <c r="EO629" s="7"/>
      <c r="EP629" s="7"/>
      <c r="EQ629" s="7"/>
      <c r="ER629" s="7"/>
      <c r="ES629" s="7"/>
      <c r="ET629" s="7"/>
      <c r="EU629" s="6"/>
      <c r="EV629" s="6"/>
      <c r="EW629" s="6"/>
      <c r="EX629" s="6"/>
      <c r="EY629" s="6"/>
      <c r="EZ629" s="6"/>
      <c r="FA629" s="6"/>
      <c r="FB629" s="6"/>
      <c r="FC629" s="6"/>
      <c r="FD629" s="6"/>
      <c r="FE629" s="6"/>
      <c r="FF629" s="6"/>
      <c r="FG629" s="6"/>
      <c r="FH629" s="6"/>
      <c r="FI629" s="6"/>
      <c r="FJ629" s="6"/>
      <c r="FK629" s="6"/>
      <c r="FL629" s="6"/>
      <c r="FM629" s="6"/>
      <c r="FN629" s="6"/>
      <c r="FO629" s="6"/>
      <c r="FP629" s="6"/>
      <c r="FQ629" s="6"/>
      <c r="FR629" s="6"/>
      <c r="FS629" s="6"/>
      <c r="FT629" s="7"/>
      <c r="FU629" s="7"/>
      <c r="FV629" s="7"/>
      <c r="FW629" s="6"/>
      <c r="FX629" s="6"/>
      <c r="FY629" s="6"/>
      <c r="FZ629" s="6"/>
      <c r="GA629" s="6"/>
      <c r="GB629" s="6"/>
      <c r="GC629" s="7"/>
      <c r="GD629" s="7"/>
      <c r="GE629" s="7"/>
      <c r="GF629" s="7"/>
      <c r="GG629" s="7"/>
      <c r="GH629" s="42"/>
      <c r="GI629" s="6"/>
      <c r="GJ629" s="14"/>
      <c r="GK629" s="14"/>
      <c r="GL629" s="14"/>
      <c r="GM629" s="14"/>
      <c r="GO629" s="5"/>
      <c r="GP629" s="5"/>
      <c r="GQ629" s="5"/>
      <c r="GR629" s="5"/>
      <c r="GS629" s="5"/>
      <c r="GT629" s="5"/>
      <c r="GU629" s="5"/>
      <c r="GV629" s="39"/>
      <c r="GW629" s="5"/>
      <c r="GX629" s="5"/>
      <c r="GY629" s="5"/>
      <c r="GZ629" s="5"/>
      <c r="HA629" s="5"/>
      <c r="HB629" s="39"/>
      <c r="HC629" s="5"/>
      <c r="HD629" s="5"/>
      <c r="HE629" s="5"/>
      <c r="HF629" s="5"/>
      <c r="HG629" s="5"/>
      <c r="HH629" s="39"/>
      <c r="HI629" s="16"/>
      <c r="HJ629" s="19"/>
      <c r="HK629" s="1"/>
      <c r="HL629" s="16"/>
      <c r="HM629" s="639">
        <f t="shared" si="1755"/>
        <v>2.3149872625708352E-2</v>
      </c>
      <c r="HN629" s="639">
        <f t="shared" si="1756"/>
        <v>1.3965040474190958E-3</v>
      </c>
      <c r="HO629" s="639">
        <f t="shared" si="1757"/>
        <v>3.5429561340050734E-3</v>
      </c>
      <c r="HP629" s="644">
        <f t="shared" ref="HP629:ID629" si="1880">HP129+HP229+HP329+HP429+HP529</f>
        <v>280.71974970828626</v>
      </c>
      <c r="HQ629" s="644">
        <f t="shared" si="1880"/>
        <v>18.171666670016599</v>
      </c>
      <c r="HR629" s="644">
        <f t="shared" si="1880"/>
        <v>-239.744031884262</v>
      </c>
      <c r="HS629" s="644">
        <f t="shared" si="1880"/>
        <v>-60.104564300677467</v>
      </c>
      <c r="HT629" s="644">
        <f t="shared" si="1880"/>
        <v>70.698763379158962</v>
      </c>
      <c r="HU629" s="644">
        <f t="shared" si="1880"/>
        <v>-39.217142284406158</v>
      </c>
      <c r="HV629" s="644">
        <f t="shared" si="1880"/>
        <v>0</v>
      </c>
      <c r="HW629" s="644">
        <f t="shared" si="1880"/>
        <v>0</v>
      </c>
      <c r="HX629" s="644">
        <f t="shared" si="1880"/>
        <v>0</v>
      </c>
      <c r="HY629" s="644">
        <f t="shared" si="1880"/>
        <v>2396</v>
      </c>
      <c r="HZ629" s="644">
        <f t="shared" si="1880"/>
        <v>3223</v>
      </c>
      <c r="IA629" s="644">
        <f t="shared" si="1880"/>
        <v>830</v>
      </c>
      <c r="IB629" s="644">
        <f t="shared" si="1880"/>
        <v>2616.6151854076093</v>
      </c>
      <c r="IC629" s="644">
        <f t="shared" si="1880"/>
        <v>3311.8704300491754</v>
      </c>
      <c r="ID629" s="644">
        <f t="shared" si="1880"/>
        <v>551.03882583133191</v>
      </c>
      <c r="IE629" s="20">
        <f t="shared" si="1759"/>
        <v>0.40382827615161082</v>
      </c>
      <c r="IF629" s="20">
        <f t="shared" si="1760"/>
        <v>0.51112862680872639</v>
      </c>
      <c r="IG629" s="20">
        <f t="shared" si="1761"/>
        <v>8.5043097039662757E-2</v>
      </c>
      <c r="IH629" s="21"/>
      <c r="II629" s="19"/>
      <c r="IJ629" s="19"/>
      <c r="IK629" s="19"/>
      <c r="IL629" s="19">
        <f t="shared" si="1762"/>
        <v>167.68261612960646</v>
      </c>
      <c r="IM629" s="19">
        <f t="shared" si="1763"/>
        <v>175.3497227388425</v>
      </c>
      <c r="IN629" s="19">
        <f t="shared" si="1764"/>
        <v>-604.02049003491265</v>
      </c>
      <c r="IO629" s="39"/>
      <c r="IP629" s="39"/>
      <c r="IQ629" s="39"/>
      <c r="IR629" s="39"/>
      <c r="IS629" s="39"/>
      <c r="IT629" s="39"/>
      <c r="IU629" s="39"/>
      <c r="IV629" s="39"/>
      <c r="IW629" s="39"/>
      <c r="IX629" s="19">
        <f t="shared" si="1765"/>
        <v>1554.1790484140233</v>
      </c>
      <c r="IY629" s="19">
        <f t="shared" si="1766"/>
        <v>2412.3001201524512</v>
      </c>
      <c r="IZ629" s="19">
        <f t="shared" si="1767"/>
        <v>3993.0862952928574</v>
      </c>
      <c r="JA629" s="19">
        <f t="shared" ref="JA629:JC629" si="1881">IFERROR((JA129*IB129+JA229*IB229+JA329*IB329+JA429*IB429+JA529*IB529)/IB629,0)</f>
        <v>1721.8616645436298</v>
      </c>
      <c r="JB629" s="19">
        <f t="shared" si="1881"/>
        <v>2587.6498428912937</v>
      </c>
      <c r="JC629" s="19">
        <f t="shared" si="1881"/>
        <v>3389.0658052579447</v>
      </c>
      <c r="JD629" s="19">
        <f t="shared" si="1769"/>
        <v>2306.1749907733952</v>
      </c>
      <c r="JE629" s="21"/>
      <c r="JF629" s="1">
        <f t="shared" si="1770"/>
        <v>2.6651855648468406E-2</v>
      </c>
      <c r="JG629" s="15">
        <f t="shared" si="1771"/>
        <v>6449</v>
      </c>
      <c r="JH629" s="1">
        <f t="shared" si="1772"/>
        <v>9.1715590780029211E-3</v>
      </c>
      <c r="JI629" s="1">
        <f t="shared" si="1773"/>
        <v>-4.4383537301790456E-3</v>
      </c>
      <c r="JJ629" s="1">
        <f t="shared" si="1774"/>
        <v>0</v>
      </c>
      <c r="JK629" s="1">
        <f t="shared" si="1775"/>
        <v>4.7332053478238746E-3</v>
      </c>
      <c r="JL629" s="15">
        <f t="shared" ref="JL629:JM629" si="1882">JL129+JL229+JL329+JL429+JL529</f>
        <v>30.524441288116165</v>
      </c>
      <c r="JM629" s="15">
        <f t="shared" si="1882"/>
        <v>6479.5244412881157</v>
      </c>
      <c r="JN629" s="21"/>
      <c r="JO629" s="19">
        <f>INDEX(Input!$1:$1048576,JO$93,$C629*2+6)</f>
        <v>5995.5</v>
      </c>
      <c r="JP629" s="19">
        <f>INDEX(Input!$1:$1048576,JP$93,$C629*2+6)</f>
        <v>2296.6050414551746</v>
      </c>
      <c r="JQ629" s="39">
        <f t="shared" si="1799"/>
        <v>3689.3250092266048</v>
      </c>
      <c r="JR629" s="39">
        <f t="shared" si="1800"/>
        <v>9.5699493182205515</v>
      </c>
      <c r="JS629" s="39">
        <f t="shared" si="1801"/>
        <v>14.942917218603609</v>
      </c>
      <c r="JT629" s="39">
        <f t="shared" si="1802"/>
        <v>0.13211130625918879</v>
      </c>
      <c r="JU629" s="385">
        <f>(JQ629*JM629-INDEX(Input!$1:$1048576,Input!A$18,$C629*2+6)*JL629*INDEX(Input!$1:$1048576,Input!A$19,$C629*2+6))/1000000</f>
        <v>23.905071569139292</v>
      </c>
      <c r="JV629" s="39">
        <f t="shared" si="1803"/>
        <v>5.0897981483714716E-2</v>
      </c>
      <c r="JW629" s="1">
        <f t="shared" si="1804"/>
        <v>2.1337138885437717E-3</v>
      </c>
      <c r="JX629" s="19">
        <f t="shared" si="1805"/>
        <v>4328.049939135909</v>
      </c>
      <c r="JZ629" s="341"/>
      <c r="KA629" s="60"/>
      <c r="KB629" s="469">
        <f t="shared" si="1778"/>
        <v>0</v>
      </c>
      <c r="KI629" s="472"/>
      <c r="KJ629" s="472"/>
      <c r="KK629" s="472"/>
      <c r="KN629" s="793">
        <f t="shared" si="1779"/>
        <v>6002</v>
      </c>
      <c r="KO629" s="541">
        <f t="shared" si="1780"/>
        <v>-1.8296788076948345E-2</v>
      </c>
      <c r="KP629" s="546">
        <f t="shared" si="1781"/>
        <v>-62.155517452174045</v>
      </c>
      <c r="KQ629" s="546">
        <f t="shared" si="1782"/>
        <v>-156.65826583174976</v>
      </c>
      <c r="KR629" s="472">
        <f t="shared" si="1783"/>
        <v>5.1580195080756104</v>
      </c>
      <c r="KS629" s="472">
        <f t="shared" si="1784"/>
        <v>2.0464887048932994</v>
      </c>
      <c r="KT629" s="473">
        <f t="shared" si="1795"/>
        <v>4286.2445668946921</v>
      </c>
      <c r="KU629" s="663">
        <f t="shared" si="1785"/>
        <v>4.4343691131899048</v>
      </c>
      <c r="KV629" s="117"/>
    </row>
    <row r="630" spans="1:308" s="26" customFormat="1" ht="15">
      <c r="A630" s="561">
        <f t="shared" si="1751"/>
        <v>6030</v>
      </c>
      <c r="B630" s="561">
        <f t="shared" si="1786"/>
        <v>30</v>
      </c>
      <c r="C630" s="561">
        <f t="shared" si="1787"/>
        <v>6</v>
      </c>
      <c r="D630" s="561" t="str">
        <f t="shared" si="1855"/>
        <v xml:space="preserve">1080 Lease, </v>
      </c>
      <c r="E630" s="475">
        <f>INDEX(Input!$1:$1048576,E$93,$C630*2+MIN($B630,2)+5)
+INDEX(Scenarios!E$121:E$199,MATCH($B630,Scenarios!$B$121:$B$199,0))</f>
        <v>1267.2644913000609</v>
      </c>
      <c r="F630" s="475">
        <f>INDEX(Input!$1:$1048576,F$93,$C630*2+MIN($B630,2)+5)
+INDEX(Scenarios!F$121:F$199,MATCH($B630,Scenarios!$B$121:$B$199,0))</f>
        <v>0</v>
      </c>
      <c r="G630" s="475">
        <f>INDEX(Input!$1:$1048576,G$93,$C630*2+MIN($B630,2)+5)
+INDEX(Scenarios!G$121:G$199,MATCH($B630,Scenarios!$B$121:$B$199,0))</f>
        <v>0</v>
      </c>
      <c r="H630" s="475">
        <f>INDEX(Input!$1:$1048576,H$93,$C630*2+MIN($B630,2)+5)
+INDEX(Scenarios!H$121:H$199,MATCH($B630,Scenarios!$B$121:$B$199,0))</f>
        <v>0</v>
      </c>
      <c r="I630" s="476">
        <f>INDEX(Input!$1:$1048576,I$93,$C630*2+MIN($B630,2)+5)
+INDEX(Scenarios!I$121:I$199,MATCH($B630,Scenarios!$B$121:$B$199,0))</f>
        <v>0.7</v>
      </c>
      <c r="J630" s="476" t="str">
        <f>INDEX(Input!$1:$1048576,J$93,$C630*2+MIN($B630,2)+5)</f>
        <v>Market</v>
      </c>
      <c r="K630" s="476" t="str">
        <f>INDEX(Input!$1:$1048576,K$93,$C630*2+MIN($B630,2)+5)</f>
        <v>Market</v>
      </c>
      <c r="L630" s="476" t="str">
        <f>INDEX(Input!$1:$1048576,L$93,$C630*2+MIN($B630,2)+5)</f>
        <v>Market</v>
      </c>
      <c r="M630" s="476" t="str">
        <f>INDEX(Input!$1:$1048576,M$93,$C630*2+MIN($B630,2)+5)</f>
        <v>Market</v>
      </c>
      <c r="N630" s="476" t="str">
        <f>INDEX(Input!$1:$1048576,N$93,$C630*2+MIN($B630,2)+5)</f>
        <v>Market</v>
      </c>
      <c r="O630" s="476" t="str">
        <f>INDEX(Input!$1:$1048576,O$93,$C630*2+MIN($B630,2)+5)</f>
        <v>Market</v>
      </c>
      <c r="P630" s="476" t="str">
        <f>INDEX(Input!$1:$1048576,P$93,$C630*2+MIN($B630,2)+5)</f>
        <v>N</v>
      </c>
      <c r="Q630" s="477">
        <f>INDEX(Input!$1:$1048576,Q$93,$C630*2+MIN($B630,2)+5)
+INDEX(Scenarios!Q$121:Q$199,MATCH($B630,Scenarios!$B$121:$B$199,0))</f>
        <v>0</v>
      </c>
      <c r="R630" s="478">
        <f>IFERROR(MAX(0,INDEX(Input!$1:$1048576,R$93,$C630*2+MIN($B630,2)+5)
+INDEX(Scenarios!R$121:R$199,MATCH($B630,Scenarios!$B$121:$B$199,0)),),"Market")</f>
        <v>0</v>
      </c>
      <c r="S630" s="478">
        <f>IFERROR(MAX(0,INDEX(Input!$1:$1048576,S$93,$C630*2+MIN($B630,2)+5)
+INDEX(Scenarios!S$121:S$199,MATCH($B630,Scenarios!$B$121:$B$199,0)),),"Market")</f>
        <v>0</v>
      </c>
      <c r="T630" s="478">
        <f>IFERROR(MAX(0,INDEX(Input!$1:$1048576,T$93,$C630*2+MIN($B630,2)+5)
+INDEX(Scenarios!T$121:T$199,MATCH($B630,Scenarios!$B$121:$B$199,0)),),"Market")</f>
        <v>0</v>
      </c>
      <c r="U630" s="478">
        <f>IFERROR(MAX(0,INDEX(Input!$1:$1048576,U$93,$C630*2+MIN($B630,2)+5)
+INDEX(Scenarios!U$121:U$199,MATCH($B630,Scenarios!$B$121:$B$199,0)),),"Market")</f>
        <v>0</v>
      </c>
      <c r="V630" s="478">
        <f>IFERROR(MAX(0,INDEX(Input!$1:$1048576,V$93,$C630*2+MIN($B630,2)+5)
+INDEX(Scenarios!V$121:V$199,MATCH($B630,Scenarios!$B$121:$B$199,0)),),"Market")</f>
        <v>1.9E-2</v>
      </c>
      <c r="W630" s="885">
        <f>IFERROR(MAX(0,INDEX(Input!$1:$1048576,W$93,$C630*2+MIN($B630,2)+5)-0%,),"Market")</f>
        <v>3.9E-2</v>
      </c>
      <c r="X630" s="476" t="str">
        <f>INDEX(Input!$1:$1048576,X$93,$C630*2+MIN($B630,2)+5)</f>
        <v>Y</v>
      </c>
      <c r="Y630" s="475">
        <f>INDEX(Input!$1:$1048576,Y$93,$C630*2+MIN($B630,2)+5)
++INDEX(Scenarios!Y$121:Y$199,MATCH($B630,Scenarios!$B$121:$B$199,0))</f>
        <v>1817.993676354025</v>
      </c>
      <c r="Z630" s="477">
        <f>INDEX(Input!$1:$1048576,Z$93,$C630*2+MIN($B630,2)+5)
+INDEX(Scenarios!Z$121:Z$199,MATCH($B630,Scenarios!$B$121:$B$199,0))</f>
        <v>0</v>
      </c>
      <c r="AA630" s="475">
        <f>INDEX(Input!$1:$1048576,AA$93,$C630*2+MIN($B630,2)+5)</f>
        <v>0</v>
      </c>
      <c r="AB630" s="476">
        <f>INDEX(Input!$1:$1048576,AB$93,$C630*2+MIN($B630,2)+5)</f>
        <v>0.27</v>
      </c>
      <c r="AC630" s="475">
        <f>INDEX(Input!$1:$1048576,AC$93,$C630*2+MIN($B630,2)+5)
+INDEX(Scenarios!AC$121:AC$199,MATCH($B630,Scenarios!$B$121:$B$199,0))</f>
        <v>0</v>
      </c>
      <c r="AD630" s="476">
        <f>INDEX(Input!$1:$1048576,AD$93,$C630*2+MIN($B630,2)+5)</f>
        <v>0.27</v>
      </c>
      <c r="AE630" s="475">
        <f>INDEX(Input!$1:$1048576,AE$93,$C630*2+MIN($B630,2)+5)
+INDEX(Scenarios!AE$121:AE$199,MATCH($B630,Scenarios!$B$121:$B$199,0))</f>
        <v>0</v>
      </c>
      <c r="AF630" s="476">
        <f>INDEX(Input!$1:$1048576,AF$93,$C630*2+MIN($B630,2)+5)</f>
        <v>1</v>
      </c>
      <c r="AG630" s="475">
        <f>INDEX(Input!$1:$1048576,AG$93,$C630*2+MIN($B630,2)+5)</f>
        <v>500</v>
      </c>
      <c r="AH630" s="476">
        <f>INDEX(Input!$1:$1048576,AH$93,$C630*2+MIN($B630,2)+5)</f>
        <v>1</v>
      </c>
      <c r="AI630" s="475">
        <f>INDEX(Input!$1:$1048576,AI$93,$C630*2+MIN($B630,2)+5)</f>
        <v>0</v>
      </c>
      <c r="AJ630" s="476">
        <f>INDEX(Input!$1:$1048576,AJ$93,$C630*2+MIN($B630,2)+5)</f>
        <v>0.27</v>
      </c>
      <c r="AK630" s="150">
        <f>ROUND(INDEX(Input!$1:$1048576,AK$93,$C629*2+MIN($B630,1)+5)+(Y630-VLOOKUP($C630*1000+1,$A:$HH,Y$92,FALSE)),0)</f>
        <v>4141</v>
      </c>
      <c r="AL630" s="150">
        <f>ROUND(INDEX(Input!$1:$1048576,AL$93,$C629*2+MIN($B630,1)+5)-(Y630-VLOOKUP($C630*1000+1,$A:$HH,Y$92,FALSE))/36,0)</f>
        <v>3522</v>
      </c>
      <c r="AM630" s="32" t="str">
        <f t="shared" si="1752"/>
        <v>std/std/std/std</v>
      </c>
      <c r="AN630" s="32" t="str">
        <f t="shared" si="1753"/>
        <v>$0 + 0/0/0/1.9/3.9</v>
      </c>
      <c r="AO630" s="32" t="str">
        <f t="shared" si="1754"/>
        <v>0/0/0/1.9/3.9</v>
      </c>
      <c r="AP630" s="32" t="str">
        <f t="shared" si="1716"/>
        <v>0/0.9/1.9/3.9</v>
      </c>
      <c r="AQ630" s="536">
        <f t="shared" si="1717"/>
        <v>0.29872622865225595</v>
      </c>
      <c r="AR630" s="32"/>
      <c r="AS630" s="302"/>
      <c r="AT630" s="3">
        <f t="shared" si="1788"/>
        <v>30</v>
      </c>
      <c r="AU630" s="41" t="s">
        <v>121</v>
      </c>
      <c r="AV630" s="41" t="s">
        <v>116</v>
      </c>
      <c r="AW630" s="41" t="str">
        <f>INDEX(Input!$1:$1048576,AW$93,$C630*2+6)</f>
        <v>Kia</v>
      </c>
      <c r="AX630" s="41" t="str">
        <f>INDEX(Input!$1:$1048576,AX$93,$C630*2+6)</f>
        <v>National</v>
      </c>
      <c r="AY630" s="41" t="str">
        <f>IF(LEN(D630)=0,"",INDEX(Input!$1:$1048576,AY$93,$C630*2+6))</f>
        <v>Compact SUV (52)</v>
      </c>
      <c r="AZ630" s="41" t="str">
        <f>INDEX(Input!$1:$1048576,AZ$93,$C630*2+6)</f>
        <v>Kia Soul</v>
      </c>
      <c r="BA630" s="3">
        <f>INDEX(Input!$1:$1048576,BA$93,$C630*2+6)</f>
        <v>2020</v>
      </c>
      <c r="BB630" s="128">
        <f>INDEX(Input!$1:$1048576,BB$93,$C630*2+6)</f>
        <v>1</v>
      </c>
      <c r="BC630" s="128">
        <f>INDEX(Input!$1:$1048576,BC$93,$C630*2+6)</f>
        <v>0.7</v>
      </c>
      <c r="BD630" s="1">
        <f>INDEX(Input!$1:$1048576,BD$93,$C630*2+6)</f>
        <v>4.4999999999999998E-2</v>
      </c>
      <c r="BE630" s="1">
        <f>INDEX(Input!$1:$1048576,BE$93,$C630*2+6)</f>
        <v>4.4999999999999998E-2</v>
      </c>
      <c r="BF630" s="1">
        <f>INDEX(Input!$1:$1048576,BF$93,$C630*2+6)</f>
        <v>0.05</v>
      </c>
      <c r="BG630" s="1">
        <f>INDEX(Input!$1:$1048576,BG$93,$C630*2+6)</f>
        <v>5.45E-2</v>
      </c>
      <c r="BH630" s="1">
        <f>INDEX(Input!$1:$1048576,BH$93,$C630*2+6)</f>
        <v>5.45E-2</v>
      </c>
      <c r="BI630" s="1">
        <f>INDEX(Input!$1:$1048576,BI$93,$C630*2+6)</f>
        <v>0.05</v>
      </c>
      <c r="BJ630" s="1">
        <f>INDEX(Input!$1:$1048576,BJ$93,$C630*2+6)</f>
        <v>0.05</v>
      </c>
      <c r="BK630" s="1">
        <f>INDEX(Input!$1:$1048576,BK$93,$C630*2+6)</f>
        <v>0.05</v>
      </c>
      <c r="BL630" s="1">
        <f>INDEX(Input!$1:$1048576,BL$93,$C630*2+6)</f>
        <v>5.5E-2</v>
      </c>
      <c r="BM630" s="1">
        <f>INDEX(Input!$1:$1048576,BM$93,$C630*2+6)</f>
        <v>0.06</v>
      </c>
      <c r="BN630" s="1">
        <f>INDEX(Input!$1:$1048576,BN$93,$C630*2+6)</f>
        <v>4.4999999999999998E-2</v>
      </c>
      <c r="BO630" s="1">
        <f>INDEX(Input!$1:$1048576,BO$93,$C630*2+6)</f>
        <v>4.4999999999999998E-2</v>
      </c>
      <c r="BP630" s="1">
        <f>INDEX(Input!$1:$1048576,BP$93,$C630*2+6)</f>
        <v>0.05</v>
      </c>
      <c r="BQ630" s="1">
        <f>INDEX(Input!$1:$1048576,BQ$93,$C630*2+6)</f>
        <v>5.45E-2</v>
      </c>
      <c r="BR630" s="1">
        <f>INDEX(Input!$1:$1048576,BR$93,$C630*2+6)</f>
        <v>5.45E-2</v>
      </c>
      <c r="BS630" s="1">
        <f>INDEX(Input!$1:$1048576,BS$93,$C630*2+6)</f>
        <v>0.05</v>
      </c>
      <c r="BT630" s="1">
        <f>INDEX(Input!$1:$1048576,BT$93,$C630*2+6)</f>
        <v>0.05</v>
      </c>
      <c r="BU630" s="1">
        <f>INDEX(Input!$1:$1048576,BU$93,$C630*2+6)</f>
        <v>0.05</v>
      </c>
      <c r="BV630" s="1">
        <f>INDEX(Input!$1:$1048576,BV$93,$C630*2+6)</f>
        <v>5.5E-2</v>
      </c>
      <c r="BW630" s="1">
        <f>INDEX(Input!$1:$1048576,BW$93,$C630*2+6)</f>
        <v>0.06</v>
      </c>
      <c r="BX630" s="127">
        <f>INDEX(Input!$1:$1048576,BX$93,$C630*2+6)</f>
        <v>19985</v>
      </c>
      <c r="BY630" s="20">
        <f>INDEX(Input!$1:$1048576,BY$93,$C630*2+6)</f>
        <v>0.1</v>
      </c>
      <c r="BZ630" s="20">
        <f>INDEX(Input!$1:$1048576,BZ$93,$C630*2+6)</f>
        <v>0.1</v>
      </c>
      <c r="CA630" s="20">
        <f>INDEX(Input!$1:$1048576,CA$93,$C630*2+6)</f>
        <v>0.1</v>
      </c>
      <c r="CB630" s="20">
        <f>INDEX(Input!$1:$1048576,CB$93,$C630*2+6)</f>
        <v>0.1</v>
      </c>
      <c r="CC630" s="20">
        <f>INDEX(Input!$1:$1048576,CC$93,$C630*2+6)</f>
        <v>0.1</v>
      </c>
      <c r="CD630" s="384">
        <f>INDEX(Input!$1:$1048576,CD$93,$C630*2+6)</f>
        <v>0.1</v>
      </c>
      <c r="CE630" s="384">
        <f>INDEX(Input!$1:$1048576,CE$93,$C630*2+6)</f>
        <v>0.1</v>
      </c>
      <c r="CF630" s="384">
        <f>INDEX(Input!$1:$1048576,CF$93,$C630*2+6)</f>
        <v>0.1</v>
      </c>
      <c r="CG630" s="384">
        <f>INDEX(Input!$1:$1048576,CG$93,$C630*2+6)</f>
        <v>0.1</v>
      </c>
      <c r="CH630" s="384">
        <f>INDEX(Input!$1:$1048576,CH$93,$C630*2+6)</f>
        <v>0.1</v>
      </c>
      <c r="CI630" s="304">
        <f t="shared" si="1718"/>
        <v>1267.2644913000609</v>
      </c>
      <c r="CJ630" s="16" t="str">
        <f>INDEX(Input!$1:$1048576,CJ$93,$C630*2+6)</f>
        <v>N</v>
      </c>
      <c r="CK630" s="1" t="str">
        <f t="shared" si="1719"/>
        <v>Market</v>
      </c>
      <c r="CL630" s="1" t="str">
        <f t="shared" si="1720"/>
        <v>Market</v>
      </c>
      <c r="CM630" s="1" t="str">
        <f t="shared" si="1721"/>
        <v>Market</v>
      </c>
      <c r="CN630" s="1" t="str">
        <f t="shared" si="1722"/>
        <v>Market</v>
      </c>
      <c r="CO630" s="1" t="str">
        <f t="shared" si="1723"/>
        <v>Market</v>
      </c>
      <c r="CP630" s="304">
        <f t="shared" si="1724"/>
        <v>500</v>
      </c>
      <c r="CQ630" s="1">
        <f t="shared" si="1725"/>
        <v>0</v>
      </c>
      <c r="CR630" s="1">
        <f t="shared" si="1726"/>
        <v>0</v>
      </c>
      <c r="CS630" s="1">
        <f t="shared" si="1727"/>
        <v>0</v>
      </c>
      <c r="CT630" s="1">
        <f t="shared" si="1728"/>
        <v>1.9E-2</v>
      </c>
      <c r="CU630" s="1">
        <f t="shared" si="1729"/>
        <v>3.9E-2</v>
      </c>
      <c r="CV630" s="304">
        <f t="shared" si="1730"/>
        <v>1817.993676354025</v>
      </c>
      <c r="CW630" s="20" t="s">
        <v>122</v>
      </c>
      <c r="CX630" s="20" t="s">
        <v>122</v>
      </c>
      <c r="CY630" s="20" t="s">
        <v>122</v>
      </c>
      <c r="CZ630" s="20" t="s">
        <v>122</v>
      </c>
      <c r="DA630" s="20" t="s">
        <v>122</v>
      </c>
      <c r="DB630" s="503">
        <f t="shared" si="1731"/>
        <v>0</v>
      </c>
      <c r="DC630" s="127">
        <v>0</v>
      </c>
      <c r="DD630" s="127">
        <v>0</v>
      </c>
      <c r="DE630" s="127">
        <v>0</v>
      </c>
      <c r="DF630" s="127">
        <v>0</v>
      </c>
      <c r="DG630" s="127">
        <v>0</v>
      </c>
      <c r="DH630" s="127">
        <v>0</v>
      </c>
      <c r="DI630" s="127">
        <v>0</v>
      </c>
      <c r="DJ630" s="127">
        <v>0</v>
      </c>
      <c r="DK630" s="127">
        <v>0</v>
      </c>
      <c r="DL630" s="127">
        <v>0</v>
      </c>
      <c r="DM630" s="304">
        <f>INDEX(Input!$1:$1048576,DM$93,$C630*2+6)</f>
        <v>21036.84210526316</v>
      </c>
      <c r="DN630" s="20">
        <v>0</v>
      </c>
      <c r="DO630" s="20">
        <v>0</v>
      </c>
      <c r="DP630" s="20">
        <v>0</v>
      </c>
      <c r="DQ630" s="20">
        <v>0</v>
      </c>
      <c r="DR630" s="20">
        <v>0</v>
      </c>
      <c r="DS630" s="20">
        <f>INDEX(Input!$1:$1048576,DS$93,$C630*2+6)</f>
        <v>0.6</v>
      </c>
      <c r="DT630" s="20">
        <f>INDEX(Input!$1:$1048576,DT$93,$C630*2+6)</f>
        <v>0.55000000000000004</v>
      </c>
      <c r="DU630" s="20">
        <f>INDEX(Input!$1:$1048576,DU$93,$C630*2+6)</f>
        <v>0.52</v>
      </c>
      <c r="DV630" s="20">
        <f>INDEX(Input!$1:$1048576,DV$93,$C630*2+6)</f>
        <v>0.5</v>
      </c>
      <c r="DW630" s="20">
        <f>INDEX(Input!$1:$1048576,DW$93,$C630*2+6)</f>
        <v>0.45</v>
      </c>
      <c r="DX630" s="20"/>
      <c r="DY630" s="7"/>
      <c r="DZ630" s="7"/>
      <c r="EA630" s="7"/>
      <c r="EB630" s="7"/>
      <c r="EC630" s="7"/>
      <c r="ED630" s="7"/>
      <c r="EE630" s="7"/>
      <c r="EF630" s="7"/>
      <c r="EG630" s="7"/>
      <c r="EH630" s="7"/>
      <c r="EI630" s="7"/>
      <c r="EJ630" s="7"/>
      <c r="EK630" s="7"/>
      <c r="EL630" s="7"/>
      <c r="EM630" s="7"/>
      <c r="EN630" s="7"/>
      <c r="EO630" s="7"/>
      <c r="EP630" s="7"/>
      <c r="EQ630" s="7"/>
      <c r="ER630" s="7"/>
      <c r="ES630" s="7"/>
      <c r="ET630" s="7"/>
      <c r="EU630" s="6"/>
      <c r="EV630" s="6"/>
      <c r="EW630" s="6"/>
      <c r="EX630" s="6"/>
      <c r="EY630" s="6"/>
      <c r="EZ630" s="6"/>
      <c r="FA630" s="6"/>
      <c r="FB630" s="6"/>
      <c r="FC630" s="6"/>
      <c r="FD630" s="6"/>
      <c r="FE630" s="6"/>
      <c r="FF630" s="6"/>
      <c r="FG630" s="6"/>
      <c r="FH630" s="6"/>
      <c r="FI630" s="6"/>
      <c r="FJ630" s="6"/>
      <c r="FK630" s="6"/>
      <c r="FL630" s="6"/>
      <c r="FM630" s="6"/>
      <c r="FN630" s="6"/>
      <c r="FO630" s="6"/>
      <c r="FP630" s="6"/>
      <c r="FQ630" s="6"/>
      <c r="FR630" s="6"/>
      <c r="FS630" s="6"/>
      <c r="FT630" s="7"/>
      <c r="FU630" s="7"/>
      <c r="FV630" s="7"/>
      <c r="FW630" s="6"/>
      <c r="FX630" s="6"/>
      <c r="FY630" s="6"/>
      <c r="FZ630" s="6"/>
      <c r="GA630" s="6"/>
      <c r="GB630" s="6"/>
      <c r="GC630" s="7"/>
      <c r="GD630" s="7"/>
      <c r="GE630" s="7"/>
      <c r="GF630" s="7"/>
      <c r="GG630" s="7"/>
      <c r="GH630" s="42"/>
      <c r="GI630" s="6"/>
      <c r="GJ630" s="14"/>
      <c r="GK630" s="14"/>
      <c r="GL630" s="14"/>
      <c r="GM630" s="14"/>
      <c r="GO630" s="5"/>
      <c r="GP630" s="5"/>
      <c r="GQ630" s="5"/>
      <c r="GR630" s="5"/>
      <c r="GS630" s="5"/>
      <c r="GT630" s="5"/>
      <c r="GU630" s="5"/>
      <c r="GV630" s="39"/>
      <c r="GW630" s="5"/>
      <c r="GX630" s="5"/>
      <c r="GY630" s="5"/>
      <c r="GZ630" s="5"/>
      <c r="HA630" s="5"/>
      <c r="HB630" s="39"/>
      <c r="HC630" s="5"/>
      <c r="HD630" s="5"/>
      <c r="HE630" s="5"/>
      <c r="HF630" s="5"/>
      <c r="HG630" s="5"/>
      <c r="HH630" s="39"/>
      <c r="HI630" s="16"/>
      <c r="HJ630" s="19"/>
      <c r="HK630" s="1"/>
      <c r="HL630" s="16"/>
      <c r="HM630" s="639">
        <f t="shared" si="1755"/>
        <v>2.3149872625708352E-2</v>
      </c>
      <c r="HN630" s="639">
        <f t="shared" si="1756"/>
        <v>1.3965040474190958E-3</v>
      </c>
      <c r="HO630" s="639">
        <f t="shared" si="1757"/>
        <v>3.5429561340050734E-3</v>
      </c>
      <c r="HP630" s="644">
        <f t="shared" ref="HP630:ID630" si="1883">HP130+HP230+HP330+HP430+HP530</f>
        <v>-288.03238300879218</v>
      </c>
      <c r="HQ630" s="644">
        <f t="shared" si="1883"/>
        <v>-23.51775590114374</v>
      </c>
      <c r="HR630" s="644">
        <f t="shared" si="1883"/>
        <v>609.21564974821433</v>
      </c>
      <c r="HS630" s="644">
        <f t="shared" si="1883"/>
        <v>-60.102288467738532</v>
      </c>
      <c r="HT630" s="644">
        <f t="shared" si="1883"/>
        <v>70.419067442612047</v>
      </c>
      <c r="HU630" s="644">
        <f t="shared" si="1883"/>
        <v>98.342526366172279</v>
      </c>
      <c r="HV630" s="644">
        <f t="shared" si="1883"/>
        <v>0</v>
      </c>
      <c r="HW630" s="644">
        <f t="shared" si="1883"/>
        <v>0</v>
      </c>
      <c r="HX630" s="644">
        <f t="shared" si="1883"/>
        <v>0</v>
      </c>
      <c r="HY630" s="644">
        <f t="shared" si="1883"/>
        <v>2396</v>
      </c>
      <c r="HZ630" s="644">
        <f t="shared" si="1883"/>
        <v>3223</v>
      </c>
      <c r="IA630" s="644">
        <f t="shared" si="1883"/>
        <v>830</v>
      </c>
      <c r="IB630" s="644">
        <f t="shared" si="1883"/>
        <v>2047.8653285234695</v>
      </c>
      <c r="IC630" s="644">
        <f t="shared" si="1883"/>
        <v>3269.9013115414682</v>
      </c>
      <c r="ID630" s="644">
        <f t="shared" si="1883"/>
        <v>1537.5581761143865</v>
      </c>
      <c r="IE630" s="20">
        <f t="shared" si="1759"/>
        <v>0.29872622865225595</v>
      </c>
      <c r="IF630" s="20">
        <f t="shared" si="1760"/>
        <v>0.47698707198003798</v>
      </c>
      <c r="IG630" s="20">
        <f t="shared" si="1761"/>
        <v>0.22428669936770598</v>
      </c>
      <c r="IH630" s="21"/>
      <c r="II630" s="19"/>
      <c r="IJ630" s="19"/>
      <c r="IK630" s="19"/>
      <c r="IL630" s="19">
        <f t="shared" si="1762"/>
        <v>196.91875125071442</v>
      </c>
      <c r="IM630" s="19">
        <f t="shared" si="1763"/>
        <v>176.66839339645367</v>
      </c>
      <c r="IN630" s="19">
        <f t="shared" si="1764"/>
        <v>1188.4315700973539</v>
      </c>
      <c r="IO630" s="39"/>
      <c r="IP630" s="39"/>
      <c r="IQ630" s="39"/>
      <c r="IR630" s="39"/>
      <c r="IS630" s="39"/>
      <c r="IT630" s="39"/>
      <c r="IU630" s="39"/>
      <c r="IV630" s="39"/>
      <c r="IW630" s="39"/>
      <c r="IX630" s="19">
        <f t="shared" si="1765"/>
        <v>1554.1790484140233</v>
      </c>
      <c r="IY630" s="19">
        <f t="shared" si="1766"/>
        <v>2412.3001201524512</v>
      </c>
      <c r="IZ630" s="19">
        <f t="shared" si="1767"/>
        <v>3993.0862952928574</v>
      </c>
      <c r="JA630" s="19">
        <f t="shared" ref="JA630:JC630" si="1884">IFERROR((JA130*IB130+JA230*IB230+JA330*IB330+JA430*IB430+JA530*IB530)/IB630,0)</f>
        <v>1751.0977996647377</v>
      </c>
      <c r="JB630" s="19">
        <f t="shared" si="1884"/>
        <v>2588.9685135489049</v>
      </c>
      <c r="JC630" s="19">
        <f t="shared" si="1884"/>
        <v>5181.5178653902112</v>
      </c>
      <c r="JD630" s="19">
        <f t="shared" si="1769"/>
        <v>2920.1488921644859</v>
      </c>
      <c r="JE630" s="21"/>
      <c r="JF630" s="1">
        <f t="shared" si="1770"/>
        <v>2.6651855648468406E-2</v>
      </c>
      <c r="JG630" s="15">
        <f t="shared" si="1771"/>
        <v>6449</v>
      </c>
      <c r="JH630" s="1">
        <f t="shared" si="1772"/>
        <v>4.6156847703252971E-2</v>
      </c>
      <c r="JI630" s="1">
        <f t="shared" si="1773"/>
        <v>1.6849016179414762E-2</v>
      </c>
      <c r="JJ630" s="1">
        <f t="shared" si="1774"/>
        <v>0</v>
      </c>
      <c r="JK630" s="1">
        <f t="shared" si="1775"/>
        <v>6.3005863882667712E-2</v>
      </c>
      <c r="JL630" s="15">
        <f t="shared" ref="JL630:JM630" si="1885">JL130+JL230+JL330+JL430+JL530</f>
        <v>406.3248161793241</v>
      </c>
      <c r="JM630" s="15">
        <f t="shared" si="1885"/>
        <v>6855.3248161793244</v>
      </c>
      <c r="JN630" s="21"/>
      <c r="JO630" s="19">
        <f>INDEX(Input!$1:$1048576,JO$93,$C630*2+6)</f>
        <v>5995.5</v>
      </c>
      <c r="JP630" s="19">
        <f>INDEX(Input!$1:$1048576,JP$93,$C630*2+6)</f>
        <v>2296.6050414551746</v>
      </c>
      <c r="JQ630" s="39">
        <f t="shared" si="1799"/>
        <v>3075.3511078355141</v>
      </c>
      <c r="JR630" s="39">
        <f t="shared" si="1800"/>
        <v>623.5438507093113</v>
      </c>
      <c r="JS630" s="39">
        <f t="shared" si="1801"/>
        <v>20.018569167393764</v>
      </c>
      <c r="JT630" s="39">
        <f t="shared" si="1802"/>
        <v>5.2077632550493425</v>
      </c>
      <c r="JU630" s="385">
        <f>(JQ630*JM630-INDEX(Input!$1:$1048576,Input!A$18,$C630*2+6)*JL630*INDEX(Input!$1:$1048576,Input!A$19,$C630*2+6))/1000000</f>
        <v>21.082530768009377</v>
      </c>
      <c r="JV630" s="39">
        <f t="shared" si="1803"/>
        <v>-2.7716428196461997</v>
      </c>
      <c r="JW630" s="1">
        <f t="shared" si="1804"/>
        <v>-0.11619110632616977</v>
      </c>
      <c r="JX630" s="19">
        <f t="shared" si="1805"/>
        <v>12816.749181155084</v>
      </c>
      <c r="JZ630" s="341"/>
      <c r="KA630" s="60"/>
      <c r="KB630" s="469">
        <f t="shared" si="1778"/>
        <v>0</v>
      </c>
      <c r="KI630" s="472"/>
      <c r="KJ630" s="472"/>
      <c r="KK630" s="472"/>
      <c r="KN630" s="793">
        <f t="shared" si="1779"/>
        <v>6002</v>
      </c>
      <c r="KO630" s="541">
        <f t="shared" si="1780"/>
        <v>3.8640173642304765E-2</v>
      </c>
      <c r="KP630" s="546">
        <f t="shared" si="1781"/>
        <v>254.20215420269366</v>
      </c>
      <c r="KQ630" s="546">
        <f t="shared" si="1782"/>
        <v>457.31563555934099</v>
      </c>
      <c r="KR630" s="472">
        <f t="shared" si="1783"/>
        <v>2.6634690318726673</v>
      </c>
      <c r="KS630" s="472">
        <f t="shared" si="1784"/>
        <v>1.4805082374366798</v>
      </c>
      <c r="KT630" s="473">
        <f t="shared" si="1795"/>
        <v>4286.2445668946921</v>
      </c>
      <c r="KU630" s="663">
        <f t="shared" si="1785"/>
        <v>4.1020698922861527</v>
      </c>
      <c r="KV630" s="117"/>
    </row>
    <row r="631" spans="1:308" s="26" customFormat="1" ht="15">
      <c r="A631" s="561">
        <f t="shared" si="1751"/>
        <v>6031</v>
      </c>
      <c r="B631" s="561">
        <f t="shared" si="1786"/>
        <v>31</v>
      </c>
      <c r="C631" s="561">
        <f t="shared" si="1787"/>
        <v>6</v>
      </c>
      <c r="D631" s="561" t="str">
        <f t="shared" si="1855"/>
        <v xml:space="preserve">250 CC, 250 Combo, </v>
      </c>
      <c r="E631" s="475">
        <f>INDEX(Input!$1:$1048576,E$93,$C631*2+MIN($B631,2)+5)
+INDEX(Scenarios!E$121:E$199,MATCH($B631,Scenarios!$B$121:$B$199,0))</f>
        <v>1517.2644913000609</v>
      </c>
      <c r="F631" s="475">
        <f>INDEX(Input!$1:$1048576,F$93,$C631*2+MIN($B631,2)+5)
+INDEX(Scenarios!F$121:F$199,MATCH($B631,Scenarios!$B$121:$B$199,0))</f>
        <v>0</v>
      </c>
      <c r="G631" s="475">
        <f>INDEX(Input!$1:$1048576,G$93,$C631*2+MIN($B631,2)+5)
+INDEX(Scenarios!G$121:G$199,MATCH($B631,Scenarios!$B$121:$B$199,0))</f>
        <v>0</v>
      </c>
      <c r="H631" s="475">
        <f>INDEX(Input!$1:$1048576,H$93,$C631*2+MIN($B631,2)+5)
+INDEX(Scenarios!H$121:H$199,MATCH($B631,Scenarios!$B$121:$B$199,0))</f>
        <v>0</v>
      </c>
      <c r="I631" s="476">
        <f>INDEX(Input!$1:$1048576,I$93,$C631*2+MIN($B631,2)+5)
+INDEX(Scenarios!I$121:I$199,MATCH($B631,Scenarios!$B$121:$B$199,0))</f>
        <v>0.7</v>
      </c>
      <c r="J631" s="476" t="str">
        <f>INDEX(Input!$1:$1048576,J$93,$C631*2+MIN($B631,2)+5)</f>
        <v>Market</v>
      </c>
      <c r="K631" s="476" t="str">
        <f>INDEX(Input!$1:$1048576,K$93,$C631*2+MIN($B631,2)+5)</f>
        <v>Market</v>
      </c>
      <c r="L631" s="476" t="str">
        <f>INDEX(Input!$1:$1048576,L$93,$C631*2+MIN($B631,2)+5)</f>
        <v>Market</v>
      </c>
      <c r="M631" s="476" t="str">
        <f>INDEX(Input!$1:$1048576,M$93,$C631*2+MIN($B631,2)+5)</f>
        <v>Market</v>
      </c>
      <c r="N631" s="476" t="str">
        <f>INDEX(Input!$1:$1048576,N$93,$C631*2+MIN($B631,2)+5)</f>
        <v>Market</v>
      </c>
      <c r="O631" s="476" t="str">
        <f>INDEX(Input!$1:$1048576,O$93,$C631*2+MIN($B631,2)+5)</f>
        <v>Market</v>
      </c>
      <c r="P631" s="476" t="str">
        <f>INDEX(Input!$1:$1048576,P$93,$C631*2+MIN($B631,2)+5)</f>
        <v>N</v>
      </c>
      <c r="Q631" s="477">
        <f>INDEX(Input!$1:$1048576,Q$93,$C631*2+MIN($B631,2)+5)
+INDEX(Scenarios!Q$121:Q$199,MATCH($B631,Scenarios!$B$121:$B$199,0))</f>
        <v>250</v>
      </c>
      <c r="R631" s="478">
        <f>IFERROR(MAX(0,INDEX(Input!$1:$1048576,R$93,$C631*2+MIN($B631,2)+5)
+INDEX(Scenarios!R$121:R$199,MATCH($B631,Scenarios!$B$121:$B$199,0)),),"Market")</f>
        <v>0</v>
      </c>
      <c r="S631" s="478">
        <f>IFERROR(MAX(0,INDEX(Input!$1:$1048576,S$93,$C631*2+MIN($B631,2)+5)
+INDEX(Scenarios!S$121:S$199,MATCH($B631,Scenarios!$B$121:$B$199,0)),),"Market")</f>
        <v>0</v>
      </c>
      <c r="T631" s="478">
        <f>IFERROR(MAX(0,INDEX(Input!$1:$1048576,T$93,$C631*2+MIN($B631,2)+5)
+INDEX(Scenarios!T$121:T$199,MATCH($B631,Scenarios!$B$121:$B$199,0)),),"Market")</f>
        <v>0</v>
      </c>
      <c r="U631" s="478">
        <f>IFERROR(MAX(0,INDEX(Input!$1:$1048576,U$93,$C631*2+MIN($B631,2)+5)
+INDEX(Scenarios!U$121:U$199,MATCH($B631,Scenarios!$B$121:$B$199,0)),),"Market")</f>
        <v>0</v>
      </c>
      <c r="V631" s="478">
        <f>IFERROR(MAX(0,INDEX(Input!$1:$1048576,V$93,$C631*2+MIN($B631,2)+5)
+INDEX(Scenarios!V$121:V$199,MATCH($B631,Scenarios!$B$121:$B$199,0)),),"Market")</f>
        <v>1.9E-2</v>
      </c>
      <c r="W631" s="885">
        <f>IFERROR(MAX(0,INDEX(Input!$1:$1048576,W$93,$C631*2+MIN($B631,2)+5)-0%,),"Market")</f>
        <v>3.9E-2</v>
      </c>
      <c r="X631" s="476" t="str">
        <f>INDEX(Input!$1:$1048576,X$93,$C631*2+MIN($B631,2)+5)</f>
        <v>Y</v>
      </c>
      <c r="Y631" s="475">
        <f>INDEX(Input!$1:$1048576,Y$93,$C631*2+MIN($B631,2)+5)
++INDEX(Scenarios!Y$121:Y$199,MATCH($B631,Scenarios!$B$121:$B$199,0))</f>
        <v>737.99367635402496</v>
      </c>
      <c r="Z631" s="477">
        <f>INDEX(Input!$1:$1048576,Z$93,$C631*2+MIN($B631,2)+5)
+INDEX(Scenarios!Z$121:Z$199,MATCH($B631,Scenarios!$B$121:$B$199,0))</f>
        <v>0</v>
      </c>
      <c r="AA631" s="475">
        <f>INDEX(Input!$1:$1048576,AA$93,$C631*2+MIN($B631,2)+5)</f>
        <v>0</v>
      </c>
      <c r="AB631" s="476">
        <f>INDEX(Input!$1:$1048576,AB$93,$C631*2+MIN($B631,2)+5)</f>
        <v>0.27</v>
      </c>
      <c r="AC631" s="475">
        <f>INDEX(Input!$1:$1048576,AC$93,$C631*2+MIN($B631,2)+5)
+INDEX(Scenarios!AC$121:AC$199,MATCH($B631,Scenarios!$B$121:$B$199,0))</f>
        <v>0</v>
      </c>
      <c r="AD631" s="476">
        <f>INDEX(Input!$1:$1048576,AD$93,$C631*2+MIN($B631,2)+5)</f>
        <v>0.27</v>
      </c>
      <c r="AE631" s="475">
        <f>INDEX(Input!$1:$1048576,AE$93,$C631*2+MIN($B631,2)+5)
+INDEX(Scenarios!AE$121:AE$199,MATCH($B631,Scenarios!$B$121:$B$199,0))</f>
        <v>0</v>
      </c>
      <c r="AF631" s="476">
        <f>INDEX(Input!$1:$1048576,AF$93,$C631*2+MIN($B631,2)+5)</f>
        <v>1</v>
      </c>
      <c r="AG631" s="475">
        <f>INDEX(Input!$1:$1048576,AG$93,$C631*2+MIN($B631,2)+5)</f>
        <v>500</v>
      </c>
      <c r="AH631" s="476">
        <f>INDEX(Input!$1:$1048576,AH$93,$C631*2+MIN($B631,2)+5)</f>
        <v>1</v>
      </c>
      <c r="AI631" s="475">
        <f>INDEX(Input!$1:$1048576,AI$93,$C631*2+MIN($B631,2)+5)</f>
        <v>0</v>
      </c>
      <c r="AJ631" s="476">
        <f>INDEX(Input!$1:$1048576,AJ$93,$C631*2+MIN($B631,2)+5)</f>
        <v>0.27</v>
      </c>
      <c r="AK631" s="150">
        <f>ROUND(INDEX(Input!$1:$1048576,AK$93,$C630*2+MIN($B631,1)+5)+(Y631-VLOOKUP($C631*1000+1,$A:$HH,Y$92,FALSE)),0)</f>
        <v>3061</v>
      </c>
      <c r="AL631" s="150">
        <f>ROUND(INDEX(Input!$1:$1048576,AL$93,$C630*2+MIN($B631,1)+5)-(Y631-VLOOKUP($C631*1000+1,$A:$HH,Y$92,FALSE))/36,0)</f>
        <v>3552</v>
      </c>
      <c r="AM631" s="32" t="str">
        <f t="shared" si="1752"/>
        <v>std/std/std/std</v>
      </c>
      <c r="AN631" s="32" t="str">
        <f t="shared" si="1753"/>
        <v>$250 + 0/0/0/1.9/3.9</v>
      </c>
      <c r="AO631" s="32" t="str">
        <f t="shared" si="1754"/>
        <v>0/0/0/1.9/3.9</v>
      </c>
      <c r="AP631" s="32" t="str">
        <f t="shared" si="1716"/>
        <v>0/0.9/1.9/3.9</v>
      </c>
      <c r="AQ631" s="536">
        <f t="shared" si="1717"/>
        <v>0.38060957175158083</v>
      </c>
      <c r="AR631" s="32"/>
      <c r="AS631" s="302"/>
      <c r="AT631" s="3">
        <f t="shared" si="1788"/>
        <v>31</v>
      </c>
      <c r="AU631" s="41" t="s">
        <v>121</v>
      </c>
      <c r="AV631" s="41" t="s">
        <v>116</v>
      </c>
      <c r="AW631" s="41" t="str">
        <f>INDEX(Input!$1:$1048576,AW$93,$C631*2+6)</f>
        <v>Kia</v>
      </c>
      <c r="AX631" s="41" t="str">
        <f>INDEX(Input!$1:$1048576,AX$93,$C631*2+6)</f>
        <v>National</v>
      </c>
      <c r="AY631" s="41" t="str">
        <f>IF(LEN(D631)=0,"",INDEX(Input!$1:$1048576,AY$93,$C631*2+6))</f>
        <v>Compact SUV (52)</v>
      </c>
      <c r="AZ631" s="41" t="str">
        <f>INDEX(Input!$1:$1048576,AZ$93,$C631*2+6)</f>
        <v>Kia Soul</v>
      </c>
      <c r="BA631" s="3">
        <f>INDEX(Input!$1:$1048576,BA$93,$C631*2+6)</f>
        <v>2020</v>
      </c>
      <c r="BB631" s="128">
        <f>INDEX(Input!$1:$1048576,BB$93,$C631*2+6)</f>
        <v>1</v>
      </c>
      <c r="BC631" s="128">
        <f>INDEX(Input!$1:$1048576,BC$93,$C631*2+6)</f>
        <v>0.7</v>
      </c>
      <c r="BD631" s="1">
        <f>INDEX(Input!$1:$1048576,BD$93,$C631*2+6)</f>
        <v>4.4999999999999998E-2</v>
      </c>
      <c r="BE631" s="1">
        <f>INDEX(Input!$1:$1048576,BE$93,$C631*2+6)</f>
        <v>4.4999999999999998E-2</v>
      </c>
      <c r="BF631" s="1">
        <f>INDEX(Input!$1:$1048576,BF$93,$C631*2+6)</f>
        <v>0.05</v>
      </c>
      <c r="BG631" s="1">
        <f>INDEX(Input!$1:$1048576,BG$93,$C631*2+6)</f>
        <v>5.45E-2</v>
      </c>
      <c r="BH631" s="1">
        <f>INDEX(Input!$1:$1048576,BH$93,$C631*2+6)</f>
        <v>5.45E-2</v>
      </c>
      <c r="BI631" s="1">
        <f>INDEX(Input!$1:$1048576,BI$93,$C631*2+6)</f>
        <v>0.05</v>
      </c>
      <c r="BJ631" s="1">
        <f>INDEX(Input!$1:$1048576,BJ$93,$C631*2+6)</f>
        <v>0.05</v>
      </c>
      <c r="BK631" s="1">
        <f>INDEX(Input!$1:$1048576,BK$93,$C631*2+6)</f>
        <v>0.05</v>
      </c>
      <c r="BL631" s="1">
        <f>INDEX(Input!$1:$1048576,BL$93,$C631*2+6)</f>
        <v>5.5E-2</v>
      </c>
      <c r="BM631" s="1">
        <f>INDEX(Input!$1:$1048576,BM$93,$C631*2+6)</f>
        <v>0.06</v>
      </c>
      <c r="BN631" s="1">
        <f>INDEX(Input!$1:$1048576,BN$93,$C631*2+6)</f>
        <v>4.4999999999999998E-2</v>
      </c>
      <c r="BO631" s="1">
        <f>INDEX(Input!$1:$1048576,BO$93,$C631*2+6)</f>
        <v>4.4999999999999998E-2</v>
      </c>
      <c r="BP631" s="1">
        <f>INDEX(Input!$1:$1048576,BP$93,$C631*2+6)</f>
        <v>0.05</v>
      </c>
      <c r="BQ631" s="1">
        <f>INDEX(Input!$1:$1048576,BQ$93,$C631*2+6)</f>
        <v>5.45E-2</v>
      </c>
      <c r="BR631" s="1">
        <f>INDEX(Input!$1:$1048576,BR$93,$C631*2+6)</f>
        <v>5.45E-2</v>
      </c>
      <c r="BS631" s="1">
        <f>INDEX(Input!$1:$1048576,BS$93,$C631*2+6)</f>
        <v>0.05</v>
      </c>
      <c r="BT631" s="1">
        <f>INDEX(Input!$1:$1048576,BT$93,$C631*2+6)</f>
        <v>0.05</v>
      </c>
      <c r="BU631" s="1">
        <f>INDEX(Input!$1:$1048576,BU$93,$C631*2+6)</f>
        <v>0.05</v>
      </c>
      <c r="BV631" s="1">
        <f>INDEX(Input!$1:$1048576,BV$93,$C631*2+6)</f>
        <v>5.5E-2</v>
      </c>
      <c r="BW631" s="1">
        <f>INDEX(Input!$1:$1048576,BW$93,$C631*2+6)</f>
        <v>0.06</v>
      </c>
      <c r="BX631" s="127">
        <f>INDEX(Input!$1:$1048576,BX$93,$C631*2+6)</f>
        <v>19985</v>
      </c>
      <c r="BY631" s="20">
        <f>INDEX(Input!$1:$1048576,BY$93,$C631*2+6)</f>
        <v>0.1</v>
      </c>
      <c r="BZ631" s="20">
        <f>INDEX(Input!$1:$1048576,BZ$93,$C631*2+6)</f>
        <v>0.1</v>
      </c>
      <c r="CA631" s="20">
        <f>INDEX(Input!$1:$1048576,CA$93,$C631*2+6)</f>
        <v>0.1</v>
      </c>
      <c r="CB631" s="20">
        <f>INDEX(Input!$1:$1048576,CB$93,$C631*2+6)</f>
        <v>0.1</v>
      </c>
      <c r="CC631" s="20">
        <f>INDEX(Input!$1:$1048576,CC$93,$C631*2+6)</f>
        <v>0.1</v>
      </c>
      <c r="CD631" s="384">
        <f>INDEX(Input!$1:$1048576,CD$93,$C631*2+6)</f>
        <v>0.1</v>
      </c>
      <c r="CE631" s="384">
        <f>INDEX(Input!$1:$1048576,CE$93,$C631*2+6)</f>
        <v>0.1</v>
      </c>
      <c r="CF631" s="384">
        <f>INDEX(Input!$1:$1048576,CF$93,$C631*2+6)</f>
        <v>0.1</v>
      </c>
      <c r="CG631" s="384">
        <f>INDEX(Input!$1:$1048576,CG$93,$C631*2+6)</f>
        <v>0.1</v>
      </c>
      <c r="CH631" s="384">
        <f>INDEX(Input!$1:$1048576,CH$93,$C631*2+6)</f>
        <v>0.1</v>
      </c>
      <c r="CI631" s="304">
        <f t="shared" si="1718"/>
        <v>1517.2644913000609</v>
      </c>
      <c r="CJ631" s="16" t="str">
        <f>INDEX(Input!$1:$1048576,CJ$93,$C631*2+6)</f>
        <v>N</v>
      </c>
      <c r="CK631" s="1" t="str">
        <f t="shared" si="1719"/>
        <v>Market</v>
      </c>
      <c r="CL631" s="1" t="str">
        <f t="shared" si="1720"/>
        <v>Market</v>
      </c>
      <c r="CM631" s="1" t="str">
        <f t="shared" si="1721"/>
        <v>Market</v>
      </c>
      <c r="CN631" s="1" t="str">
        <f t="shared" si="1722"/>
        <v>Market</v>
      </c>
      <c r="CO631" s="1" t="str">
        <f t="shared" si="1723"/>
        <v>Market</v>
      </c>
      <c r="CP631" s="304">
        <f t="shared" si="1724"/>
        <v>750</v>
      </c>
      <c r="CQ631" s="1">
        <f t="shared" si="1725"/>
        <v>0</v>
      </c>
      <c r="CR631" s="1">
        <f t="shared" si="1726"/>
        <v>0</v>
      </c>
      <c r="CS631" s="1">
        <f t="shared" si="1727"/>
        <v>0</v>
      </c>
      <c r="CT631" s="1">
        <f t="shared" si="1728"/>
        <v>1.9E-2</v>
      </c>
      <c r="CU631" s="1">
        <f t="shared" si="1729"/>
        <v>3.9E-2</v>
      </c>
      <c r="CV631" s="304">
        <f t="shared" si="1730"/>
        <v>737.99367635402496</v>
      </c>
      <c r="CW631" s="20" t="s">
        <v>122</v>
      </c>
      <c r="CX631" s="20" t="s">
        <v>122</v>
      </c>
      <c r="CY631" s="20" t="s">
        <v>122</v>
      </c>
      <c r="CZ631" s="20" t="s">
        <v>122</v>
      </c>
      <c r="DA631" s="20" t="s">
        <v>122</v>
      </c>
      <c r="DB631" s="503">
        <f t="shared" si="1731"/>
        <v>0</v>
      </c>
      <c r="DC631" s="127">
        <v>0</v>
      </c>
      <c r="DD631" s="127">
        <v>0</v>
      </c>
      <c r="DE631" s="127">
        <v>0</v>
      </c>
      <c r="DF631" s="127">
        <v>0</v>
      </c>
      <c r="DG631" s="127">
        <v>0</v>
      </c>
      <c r="DH631" s="127">
        <v>0</v>
      </c>
      <c r="DI631" s="127">
        <v>0</v>
      </c>
      <c r="DJ631" s="127">
        <v>0</v>
      </c>
      <c r="DK631" s="127">
        <v>0</v>
      </c>
      <c r="DL631" s="127">
        <v>0</v>
      </c>
      <c r="DM631" s="304">
        <f>INDEX(Input!$1:$1048576,DM$93,$C631*2+6)</f>
        <v>21036.84210526316</v>
      </c>
      <c r="DN631" s="20">
        <v>0</v>
      </c>
      <c r="DO631" s="20">
        <v>0</v>
      </c>
      <c r="DP631" s="20">
        <v>0</v>
      </c>
      <c r="DQ631" s="20">
        <v>0</v>
      </c>
      <c r="DR631" s="20">
        <v>0</v>
      </c>
      <c r="DS631" s="20">
        <f>INDEX(Input!$1:$1048576,DS$93,$C631*2+6)</f>
        <v>0.6</v>
      </c>
      <c r="DT631" s="20">
        <f>INDEX(Input!$1:$1048576,DT$93,$C631*2+6)</f>
        <v>0.55000000000000004</v>
      </c>
      <c r="DU631" s="20">
        <f>INDEX(Input!$1:$1048576,DU$93,$C631*2+6)</f>
        <v>0.52</v>
      </c>
      <c r="DV631" s="20">
        <f>INDEX(Input!$1:$1048576,DV$93,$C631*2+6)</f>
        <v>0.5</v>
      </c>
      <c r="DW631" s="20">
        <f>INDEX(Input!$1:$1048576,DW$93,$C631*2+6)</f>
        <v>0.45</v>
      </c>
      <c r="DX631" s="20"/>
      <c r="DY631" s="7"/>
      <c r="DZ631" s="7"/>
      <c r="EA631" s="7"/>
      <c r="EB631" s="7"/>
      <c r="EC631" s="7"/>
      <c r="ED631" s="7"/>
      <c r="EE631" s="7"/>
      <c r="EF631" s="7"/>
      <c r="EG631" s="7"/>
      <c r="EH631" s="7"/>
      <c r="EI631" s="7"/>
      <c r="EJ631" s="7"/>
      <c r="EK631" s="7"/>
      <c r="EL631" s="7"/>
      <c r="EM631" s="7"/>
      <c r="EN631" s="7"/>
      <c r="EO631" s="7"/>
      <c r="EP631" s="7"/>
      <c r="EQ631" s="7"/>
      <c r="ER631" s="7"/>
      <c r="ES631" s="7"/>
      <c r="ET631" s="7"/>
      <c r="EU631" s="6"/>
      <c r="EV631" s="6"/>
      <c r="EW631" s="6"/>
      <c r="EX631" s="6"/>
      <c r="EY631" s="6"/>
      <c r="EZ631" s="6"/>
      <c r="FA631" s="6"/>
      <c r="FB631" s="6"/>
      <c r="FC631" s="6"/>
      <c r="FD631" s="6"/>
      <c r="FE631" s="6"/>
      <c r="FF631" s="6"/>
      <c r="FG631" s="6"/>
      <c r="FH631" s="6"/>
      <c r="FI631" s="6"/>
      <c r="FJ631" s="6"/>
      <c r="FK631" s="6"/>
      <c r="FL631" s="6"/>
      <c r="FM631" s="6"/>
      <c r="FN631" s="6"/>
      <c r="FO631" s="6"/>
      <c r="FP631" s="6"/>
      <c r="FQ631" s="6"/>
      <c r="FR631" s="6"/>
      <c r="FS631" s="6"/>
      <c r="FT631" s="7"/>
      <c r="FU631" s="7"/>
      <c r="FV631" s="7"/>
      <c r="FW631" s="6"/>
      <c r="FX631" s="6"/>
      <c r="FY631" s="6"/>
      <c r="FZ631" s="6"/>
      <c r="GA631" s="6"/>
      <c r="GB631" s="6"/>
      <c r="GC631" s="7"/>
      <c r="GD631" s="7"/>
      <c r="GE631" s="7"/>
      <c r="GF631" s="7"/>
      <c r="GG631" s="7"/>
      <c r="GH631" s="42"/>
      <c r="GI631" s="6"/>
      <c r="GJ631" s="14"/>
      <c r="GK631" s="14"/>
      <c r="GL631" s="14"/>
      <c r="GM631" s="14"/>
      <c r="GO631" s="5"/>
      <c r="GP631" s="5"/>
      <c r="GQ631" s="5"/>
      <c r="GR631" s="5"/>
      <c r="GS631" s="5"/>
      <c r="GT631" s="5"/>
      <c r="GU631" s="5"/>
      <c r="GV631" s="39"/>
      <c r="GW631" s="5"/>
      <c r="GX631" s="5"/>
      <c r="GY631" s="5"/>
      <c r="GZ631" s="5"/>
      <c r="HA631" s="5"/>
      <c r="HB631" s="39"/>
      <c r="HC631" s="5"/>
      <c r="HD631" s="5"/>
      <c r="HE631" s="5"/>
      <c r="HF631" s="5"/>
      <c r="HG631" s="5"/>
      <c r="HH631" s="39"/>
      <c r="HI631" s="16"/>
      <c r="HJ631" s="19"/>
      <c r="HK631" s="1"/>
      <c r="HL631" s="16"/>
      <c r="HM631" s="639">
        <f t="shared" si="1755"/>
        <v>2.3149872625708352E-2</v>
      </c>
      <c r="HN631" s="639">
        <f t="shared" si="1756"/>
        <v>1.3965040474190958E-3</v>
      </c>
      <c r="HO631" s="639">
        <f t="shared" si="1757"/>
        <v>3.5429561340050734E-3</v>
      </c>
      <c r="HP631" s="644">
        <f t="shared" ref="HP631:ID631" si="1886">HP131+HP231+HP331+HP431+HP531</f>
        <v>340.78108326320432</v>
      </c>
      <c r="HQ631" s="644">
        <f t="shared" si="1886"/>
        <v>19.85338337418013</v>
      </c>
      <c r="HR631" s="644">
        <f t="shared" si="1886"/>
        <v>-62.015333649261521</v>
      </c>
      <c r="HS631" s="644">
        <f t="shared" si="1886"/>
        <v>-148.87288509513462</v>
      </c>
      <c r="HT631" s="644">
        <f t="shared" si="1886"/>
        <v>171.0476891517628</v>
      </c>
      <c r="HU631" s="644">
        <f t="shared" si="1886"/>
        <v>29.583667302954147</v>
      </c>
      <c r="HV631" s="644">
        <f t="shared" si="1886"/>
        <v>0</v>
      </c>
      <c r="HW631" s="644">
        <f t="shared" si="1886"/>
        <v>0</v>
      </c>
      <c r="HX631" s="644">
        <f t="shared" si="1886"/>
        <v>0</v>
      </c>
      <c r="HY631" s="644">
        <f t="shared" si="1886"/>
        <v>2396</v>
      </c>
      <c r="HZ631" s="644">
        <f t="shared" si="1886"/>
        <v>3223</v>
      </c>
      <c r="IA631" s="644">
        <f t="shared" si="1886"/>
        <v>830</v>
      </c>
      <c r="IB631" s="644">
        <f t="shared" si="1886"/>
        <v>2587.9081981680702</v>
      </c>
      <c r="IC631" s="644">
        <f t="shared" si="1886"/>
        <v>3413.9010725259427</v>
      </c>
      <c r="ID631" s="644">
        <f t="shared" si="1886"/>
        <v>797.56833365369266</v>
      </c>
      <c r="IE631" s="20">
        <f t="shared" si="1759"/>
        <v>0.38060957175158083</v>
      </c>
      <c r="IF631" s="20">
        <f t="shared" si="1760"/>
        <v>0.50209023107394446</v>
      </c>
      <c r="IG631" s="20">
        <f t="shared" si="1761"/>
        <v>0.1173001971744746</v>
      </c>
      <c r="IH631" s="21"/>
      <c r="II631" s="19"/>
      <c r="IJ631" s="19"/>
      <c r="IK631" s="19"/>
      <c r="IL631" s="19">
        <f t="shared" si="1762"/>
        <v>422.52574381325599</v>
      </c>
      <c r="IM631" s="19">
        <f t="shared" si="1763"/>
        <v>425.73820120431265</v>
      </c>
      <c r="IN631" s="19">
        <f t="shared" si="1764"/>
        <v>112.98334625887037</v>
      </c>
      <c r="IO631" s="39"/>
      <c r="IP631" s="39"/>
      <c r="IQ631" s="39"/>
      <c r="IR631" s="39"/>
      <c r="IS631" s="39"/>
      <c r="IT631" s="39"/>
      <c r="IU631" s="39"/>
      <c r="IV631" s="39"/>
      <c r="IW631" s="39"/>
      <c r="IX631" s="19">
        <f t="shared" si="1765"/>
        <v>1554.1790484140233</v>
      </c>
      <c r="IY631" s="19">
        <f t="shared" si="1766"/>
        <v>2412.3001201524512</v>
      </c>
      <c r="IZ631" s="19">
        <f t="shared" si="1767"/>
        <v>3993.0862952928574</v>
      </c>
      <c r="JA631" s="19">
        <f t="shared" ref="JA631:JC631" si="1887">IFERROR((JA131*IB131+JA231*IB231+JA331*IB331+JA431*IB431+JA531*IB531)/IB631,0)</f>
        <v>1976.7047922272793</v>
      </c>
      <c r="JB631" s="19">
        <f t="shared" si="1887"/>
        <v>2838.0383213567638</v>
      </c>
      <c r="JC631" s="19">
        <f t="shared" si="1887"/>
        <v>4106.0696415517277</v>
      </c>
      <c r="JD631" s="19">
        <f t="shared" si="1769"/>
        <v>2658.9468595817912</v>
      </c>
      <c r="JE631" s="21"/>
      <c r="JF631" s="1">
        <f t="shared" si="1770"/>
        <v>2.6651855648468406E-2</v>
      </c>
      <c r="JG631" s="15">
        <f t="shared" si="1771"/>
        <v>6449</v>
      </c>
      <c r="JH631" s="1">
        <f t="shared" si="1772"/>
        <v>4.6304719024363922E-2</v>
      </c>
      <c r="JI631" s="1">
        <f t="shared" si="1773"/>
        <v>8.0258135152089204E-3</v>
      </c>
      <c r="JJ631" s="1">
        <f t="shared" si="1774"/>
        <v>0</v>
      </c>
      <c r="JK631" s="1">
        <f t="shared" si="1775"/>
        <v>5.4330532539572832E-2</v>
      </c>
      <c r="JL631" s="15">
        <f t="shared" ref="JL631:JM631" si="1888">JL131+JL231+JL331+JL431+JL531</f>
        <v>350.37760434770519</v>
      </c>
      <c r="JM631" s="15">
        <f t="shared" si="1888"/>
        <v>6799.3776043477055</v>
      </c>
      <c r="JN631" s="21"/>
      <c r="JO631" s="19">
        <f>INDEX(Input!$1:$1048576,JO$93,$C631*2+6)</f>
        <v>5995.5</v>
      </c>
      <c r="JP631" s="19">
        <f>INDEX(Input!$1:$1048576,JP$93,$C631*2+6)</f>
        <v>2296.6050414551746</v>
      </c>
      <c r="JQ631" s="39">
        <f t="shared" si="1799"/>
        <v>3336.5531404182088</v>
      </c>
      <c r="JR631" s="39">
        <f t="shared" si="1800"/>
        <v>362.34181812661654</v>
      </c>
      <c r="JS631" s="39">
        <f t="shared" si="1801"/>
        <v>18.079183728191094</v>
      </c>
      <c r="JT631" s="39">
        <f t="shared" si="1802"/>
        <v>3.2683778158466721</v>
      </c>
      <c r="JU631" s="385">
        <f>(JQ631*JM631-INDEX(Input!$1:$1048576,Input!A$18,$C631*2+6)*JL631*INDEX(Input!$1:$1048576,Input!A$19,$C631*2+6))/1000000</f>
        <v>22.686484698675574</v>
      </c>
      <c r="JV631" s="39">
        <f t="shared" si="1803"/>
        <v>-1.1676888889800026</v>
      </c>
      <c r="JW631" s="1">
        <f t="shared" si="1804"/>
        <v>-4.8951135728477972E-2</v>
      </c>
      <c r="JX631" s="19">
        <f t="shared" si="1805"/>
        <v>9328.1584647265954</v>
      </c>
      <c r="JZ631" s="341"/>
      <c r="KA631" s="60"/>
      <c r="KB631" s="469">
        <f t="shared" si="1778"/>
        <v>0</v>
      </c>
      <c r="KI631" s="472"/>
      <c r="KJ631" s="472"/>
      <c r="KK631" s="472"/>
      <c r="KN631" s="793">
        <f t="shared" si="1779"/>
        <v>6002</v>
      </c>
      <c r="KO631" s="541">
        <f t="shared" si="1780"/>
        <v>3.0163693917456103E-2</v>
      </c>
      <c r="KP631" s="546">
        <f t="shared" si="1781"/>
        <v>222.63952618443298</v>
      </c>
      <c r="KQ631" s="546">
        <f t="shared" si="1782"/>
        <v>196.11360297664623</v>
      </c>
      <c r="KR631" s="472">
        <f t="shared" si="1783"/>
        <v>2.3739417859727108</v>
      </c>
      <c r="KS631" s="472">
        <f t="shared" si="1784"/>
        <v>2.6950362769141014</v>
      </c>
      <c r="KT631" s="473">
        <f t="shared" si="1795"/>
        <v>4286.2445668946921</v>
      </c>
      <c r="KU631" s="663">
        <f t="shared" si="1785"/>
        <v>4.4069292831329108</v>
      </c>
      <c r="KV631" s="117"/>
    </row>
    <row r="632" spans="1:308" s="26" customFormat="1" ht="15">
      <c r="A632" s="561">
        <f t="shared" si="1751"/>
        <v>6032</v>
      </c>
      <c r="B632" s="561">
        <f t="shared" si="1786"/>
        <v>32</v>
      </c>
      <c r="C632" s="561">
        <f t="shared" si="1787"/>
        <v>6</v>
      </c>
      <c r="D632" s="561" t="str">
        <f t="shared" si="1855"/>
        <v xml:space="preserve">500 CC, 500 Combo, </v>
      </c>
      <c r="E632" s="475">
        <f>INDEX(Input!$1:$1048576,E$93,$C632*2+MIN($B632,2)+5)
+INDEX(Scenarios!E$121:E$199,MATCH($B632,Scenarios!$B$121:$B$199,0))</f>
        <v>1767.2644913000609</v>
      </c>
      <c r="F632" s="475">
        <f>INDEX(Input!$1:$1048576,F$93,$C632*2+MIN($B632,2)+5)
+INDEX(Scenarios!F$121:F$199,MATCH($B632,Scenarios!$B$121:$B$199,0))</f>
        <v>0</v>
      </c>
      <c r="G632" s="475">
        <f>INDEX(Input!$1:$1048576,G$93,$C632*2+MIN($B632,2)+5)
+INDEX(Scenarios!G$121:G$199,MATCH($B632,Scenarios!$B$121:$B$199,0))</f>
        <v>0</v>
      </c>
      <c r="H632" s="475">
        <f>INDEX(Input!$1:$1048576,H$93,$C632*2+MIN($B632,2)+5)
+INDEX(Scenarios!H$121:H$199,MATCH($B632,Scenarios!$B$121:$B$199,0))</f>
        <v>0</v>
      </c>
      <c r="I632" s="476">
        <f>INDEX(Input!$1:$1048576,I$93,$C632*2+MIN($B632,2)+5)
+INDEX(Scenarios!I$121:I$199,MATCH($B632,Scenarios!$B$121:$B$199,0))</f>
        <v>0.7</v>
      </c>
      <c r="J632" s="476" t="str">
        <f>INDEX(Input!$1:$1048576,J$93,$C632*2+MIN($B632,2)+5)</f>
        <v>Market</v>
      </c>
      <c r="K632" s="476" t="str">
        <f>INDEX(Input!$1:$1048576,K$93,$C632*2+MIN($B632,2)+5)</f>
        <v>Market</v>
      </c>
      <c r="L632" s="476" t="str">
        <f>INDEX(Input!$1:$1048576,L$93,$C632*2+MIN($B632,2)+5)</f>
        <v>Market</v>
      </c>
      <c r="M632" s="476" t="str">
        <f>INDEX(Input!$1:$1048576,M$93,$C632*2+MIN($B632,2)+5)</f>
        <v>Market</v>
      </c>
      <c r="N632" s="476" t="str">
        <f>INDEX(Input!$1:$1048576,N$93,$C632*2+MIN($B632,2)+5)</f>
        <v>Market</v>
      </c>
      <c r="O632" s="476" t="str">
        <f>INDEX(Input!$1:$1048576,O$93,$C632*2+MIN($B632,2)+5)</f>
        <v>Market</v>
      </c>
      <c r="P632" s="476" t="str">
        <f>INDEX(Input!$1:$1048576,P$93,$C632*2+MIN($B632,2)+5)</f>
        <v>N</v>
      </c>
      <c r="Q632" s="477">
        <f>INDEX(Input!$1:$1048576,Q$93,$C632*2+MIN($B632,2)+5)
+INDEX(Scenarios!Q$121:Q$199,MATCH($B632,Scenarios!$B$121:$B$199,0))</f>
        <v>500</v>
      </c>
      <c r="R632" s="478">
        <f>IFERROR(MAX(0,INDEX(Input!$1:$1048576,R$93,$C632*2+MIN($B632,2)+5)
+INDEX(Scenarios!R$121:R$199,MATCH($B632,Scenarios!$B$121:$B$199,0)),),"Market")</f>
        <v>0</v>
      </c>
      <c r="S632" s="478">
        <f>IFERROR(MAX(0,INDEX(Input!$1:$1048576,S$93,$C632*2+MIN($B632,2)+5)
+INDEX(Scenarios!S$121:S$199,MATCH($B632,Scenarios!$B$121:$B$199,0)),),"Market")</f>
        <v>0</v>
      </c>
      <c r="T632" s="478">
        <f>IFERROR(MAX(0,INDEX(Input!$1:$1048576,T$93,$C632*2+MIN($B632,2)+5)
+INDEX(Scenarios!T$121:T$199,MATCH($B632,Scenarios!$B$121:$B$199,0)),),"Market")</f>
        <v>0</v>
      </c>
      <c r="U632" s="478">
        <f>IFERROR(MAX(0,INDEX(Input!$1:$1048576,U$93,$C632*2+MIN($B632,2)+5)
+INDEX(Scenarios!U$121:U$199,MATCH($B632,Scenarios!$B$121:$B$199,0)),),"Market")</f>
        <v>0</v>
      </c>
      <c r="V632" s="478">
        <f>IFERROR(MAX(0,INDEX(Input!$1:$1048576,V$93,$C632*2+MIN($B632,2)+5)
+INDEX(Scenarios!V$121:V$199,MATCH($B632,Scenarios!$B$121:$B$199,0)),),"Market")</f>
        <v>1.9E-2</v>
      </c>
      <c r="W632" s="885">
        <f>IFERROR(MAX(0,INDEX(Input!$1:$1048576,W$93,$C632*2+MIN($B632,2)+5)-0%,),"Market")</f>
        <v>3.9E-2</v>
      </c>
      <c r="X632" s="476" t="str">
        <f>INDEX(Input!$1:$1048576,X$93,$C632*2+MIN($B632,2)+5)</f>
        <v>Y</v>
      </c>
      <c r="Y632" s="475">
        <f>INDEX(Input!$1:$1048576,Y$93,$C632*2+MIN($B632,2)+5)
++INDEX(Scenarios!Y$121:Y$199,MATCH($B632,Scenarios!$B$121:$B$199,0))</f>
        <v>737.99367635402496</v>
      </c>
      <c r="Z632" s="477">
        <f>INDEX(Input!$1:$1048576,Z$93,$C632*2+MIN($B632,2)+5)
+INDEX(Scenarios!Z$121:Z$199,MATCH($B632,Scenarios!$B$121:$B$199,0))</f>
        <v>0</v>
      </c>
      <c r="AA632" s="475">
        <f>INDEX(Input!$1:$1048576,AA$93,$C632*2+MIN($B632,2)+5)</f>
        <v>0</v>
      </c>
      <c r="AB632" s="476">
        <f>INDEX(Input!$1:$1048576,AB$93,$C632*2+MIN($B632,2)+5)</f>
        <v>0.27</v>
      </c>
      <c r="AC632" s="475">
        <f>INDEX(Input!$1:$1048576,AC$93,$C632*2+MIN($B632,2)+5)
+INDEX(Scenarios!AC$121:AC$199,MATCH($B632,Scenarios!$B$121:$B$199,0))</f>
        <v>0</v>
      </c>
      <c r="AD632" s="476">
        <f>INDEX(Input!$1:$1048576,AD$93,$C632*2+MIN($B632,2)+5)</f>
        <v>0.27</v>
      </c>
      <c r="AE632" s="475">
        <f>INDEX(Input!$1:$1048576,AE$93,$C632*2+MIN($B632,2)+5)
+INDEX(Scenarios!AE$121:AE$199,MATCH($B632,Scenarios!$B$121:$B$199,0))</f>
        <v>0</v>
      </c>
      <c r="AF632" s="476">
        <f>INDEX(Input!$1:$1048576,AF$93,$C632*2+MIN($B632,2)+5)</f>
        <v>1</v>
      </c>
      <c r="AG632" s="475">
        <f>INDEX(Input!$1:$1048576,AG$93,$C632*2+MIN($B632,2)+5)</f>
        <v>500</v>
      </c>
      <c r="AH632" s="476">
        <f>INDEX(Input!$1:$1048576,AH$93,$C632*2+MIN($B632,2)+5)</f>
        <v>1</v>
      </c>
      <c r="AI632" s="475">
        <f>INDEX(Input!$1:$1048576,AI$93,$C632*2+MIN($B632,2)+5)</f>
        <v>0</v>
      </c>
      <c r="AJ632" s="476">
        <f>INDEX(Input!$1:$1048576,AJ$93,$C632*2+MIN($B632,2)+5)</f>
        <v>0.27</v>
      </c>
      <c r="AK632" s="150">
        <f>ROUND(INDEX(Input!$1:$1048576,AK$93,$C631*2+MIN($B632,1)+5)+(Y632-VLOOKUP($C632*1000+1,$A:$HH,Y$92,FALSE)),0)</f>
        <v>3061</v>
      </c>
      <c r="AL632" s="150">
        <f>ROUND(INDEX(Input!$1:$1048576,AL$93,$C631*2+MIN($B632,1)+5)-(Y632-VLOOKUP($C632*1000+1,$A:$HH,Y$92,FALSE))/36,0)</f>
        <v>3552</v>
      </c>
      <c r="AM632" s="32" t="str">
        <f t="shared" si="1752"/>
        <v>std/std/std/std</v>
      </c>
      <c r="AN632" s="32" t="str">
        <f t="shared" si="1753"/>
        <v>$500 + 0/0/0/1.9/3.9</v>
      </c>
      <c r="AO632" s="32" t="str">
        <f t="shared" si="1754"/>
        <v>0/0/0/1.9/3.9</v>
      </c>
      <c r="AP632" s="32" t="str">
        <f t="shared" si="1716"/>
        <v>0/0.9/1.9/3.9</v>
      </c>
      <c r="AQ632" s="536">
        <f t="shared" si="1717"/>
        <v>0.38993906693326003</v>
      </c>
      <c r="AR632" s="32"/>
      <c r="AS632" s="302"/>
      <c r="AT632" s="3">
        <f t="shared" si="1788"/>
        <v>32</v>
      </c>
      <c r="AU632" s="41" t="s">
        <v>121</v>
      </c>
      <c r="AV632" s="41" t="s">
        <v>116</v>
      </c>
      <c r="AW632" s="41" t="str">
        <f>INDEX(Input!$1:$1048576,AW$93,$C632*2+6)</f>
        <v>Kia</v>
      </c>
      <c r="AX632" s="41" t="str">
        <f>INDEX(Input!$1:$1048576,AX$93,$C632*2+6)</f>
        <v>National</v>
      </c>
      <c r="AY632" s="41" t="str">
        <f>IF(LEN(D632)=0,"",INDEX(Input!$1:$1048576,AY$93,$C632*2+6))</f>
        <v>Compact SUV (52)</v>
      </c>
      <c r="AZ632" s="41" t="str">
        <f>INDEX(Input!$1:$1048576,AZ$93,$C632*2+6)</f>
        <v>Kia Soul</v>
      </c>
      <c r="BA632" s="3">
        <f>INDEX(Input!$1:$1048576,BA$93,$C632*2+6)</f>
        <v>2020</v>
      </c>
      <c r="BB632" s="128">
        <f>INDEX(Input!$1:$1048576,BB$93,$C632*2+6)</f>
        <v>1</v>
      </c>
      <c r="BC632" s="128">
        <f>INDEX(Input!$1:$1048576,BC$93,$C632*2+6)</f>
        <v>0.7</v>
      </c>
      <c r="BD632" s="1">
        <f>INDEX(Input!$1:$1048576,BD$93,$C632*2+6)</f>
        <v>4.4999999999999998E-2</v>
      </c>
      <c r="BE632" s="1">
        <f>INDEX(Input!$1:$1048576,BE$93,$C632*2+6)</f>
        <v>4.4999999999999998E-2</v>
      </c>
      <c r="BF632" s="1">
        <f>INDEX(Input!$1:$1048576,BF$93,$C632*2+6)</f>
        <v>0.05</v>
      </c>
      <c r="BG632" s="1">
        <f>INDEX(Input!$1:$1048576,BG$93,$C632*2+6)</f>
        <v>5.45E-2</v>
      </c>
      <c r="BH632" s="1">
        <f>INDEX(Input!$1:$1048576,BH$93,$C632*2+6)</f>
        <v>5.45E-2</v>
      </c>
      <c r="BI632" s="1">
        <f>INDEX(Input!$1:$1048576,BI$93,$C632*2+6)</f>
        <v>0.05</v>
      </c>
      <c r="BJ632" s="1">
        <f>INDEX(Input!$1:$1048576,BJ$93,$C632*2+6)</f>
        <v>0.05</v>
      </c>
      <c r="BK632" s="1">
        <f>INDEX(Input!$1:$1048576,BK$93,$C632*2+6)</f>
        <v>0.05</v>
      </c>
      <c r="BL632" s="1">
        <f>INDEX(Input!$1:$1048576,BL$93,$C632*2+6)</f>
        <v>5.5E-2</v>
      </c>
      <c r="BM632" s="1">
        <f>INDEX(Input!$1:$1048576,BM$93,$C632*2+6)</f>
        <v>0.06</v>
      </c>
      <c r="BN632" s="1">
        <f>INDEX(Input!$1:$1048576,BN$93,$C632*2+6)</f>
        <v>4.4999999999999998E-2</v>
      </c>
      <c r="BO632" s="1">
        <f>INDEX(Input!$1:$1048576,BO$93,$C632*2+6)</f>
        <v>4.4999999999999998E-2</v>
      </c>
      <c r="BP632" s="1">
        <f>INDEX(Input!$1:$1048576,BP$93,$C632*2+6)</f>
        <v>0.05</v>
      </c>
      <c r="BQ632" s="1">
        <f>INDEX(Input!$1:$1048576,BQ$93,$C632*2+6)</f>
        <v>5.45E-2</v>
      </c>
      <c r="BR632" s="1">
        <f>INDEX(Input!$1:$1048576,BR$93,$C632*2+6)</f>
        <v>5.45E-2</v>
      </c>
      <c r="BS632" s="1">
        <f>INDEX(Input!$1:$1048576,BS$93,$C632*2+6)</f>
        <v>0.05</v>
      </c>
      <c r="BT632" s="1">
        <f>INDEX(Input!$1:$1048576,BT$93,$C632*2+6)</f>
        <v>0.05</v>
      </c>
      <c r="BU632" s="1">
        <f>INDEX(Input!$1:$1048576,BU$93,$C632*2+6)</f>
        <v>0.05</v>
      </c>
      <c r="BV632" s="1">
        <f>INDEX(Input!$1:$1048576,BV$93,$C632*2+6)</f>
        <v>5.5E-2</v>
      </c>
      <c r="BW632" s="1">
        <f>INDEX(Input!$1:$1048576,BW$93,$C632*2+6)</f>
        <v>0.06</v>
      </c>
      <c r="BX632" s="127">
        <f>INDEX(Input!$1:$1048576,BX$93,$C632*2+6)</f>
        <v>19985</v>
      </c>
      <c r="BY632" s="20">
        <f>INDEX(Input!$1:$1048576,BY$93,$C632*2+6)</f>
        <v>0.1</v>
      </c>
      <c r="BZ632" s="20">
        <f>INDEX(Input!$1:$1048576,BZ$93,$C632*2+6)</f>
        <v>0.1</v>
      </c>
      <c r="CA632" s="20">
        <f>INDEX(Input!$1:$1048576,CA$93,$C632*2+6)</f>
        <v>0.1</v>
      </c>
      <c r="CB632" s="20">
        <f>INDEX(Input!$1:$1048576,CB$93,$C632*2+6)</f>
        <v>0.1</v>
      </c>
      <c r="CC632" s="20">
        <f>INDEX(Input!$1:$1048576,CC$93,$C632*2+6)</f>
        <v>0.1</v>
      </c>
      <c r="CD632" s="384">
        <f>INDEX(Input!$1:$1048576,CD$93,$C632*2+6)</f>
        <v>0.1</v>
      </c>
      <c r="CE632" s="384">
        <f>INDEX(Input!$1:$1048576,CE$93,$C632*2+6)</f>
        <v>0.1</v>
      </c>
      <c r="CF632" s="384">
        <f>INDEX(Input!$1:$1048576,CF$93,$C632*2+6)</f>
        <v>0.1</v>
      </c>
      <c r="CG632" s="384">
        <f>INDEX(Input!$1:$1048576,CG$93,$C632*2+6)</f>
        <v>0.1</v>
      </c>
      <c r="CH632" s="384">
        <f>INDEX(Input!$1:$1048576,CH$93,$C632*2+6)</f>
        <v>0.1</v>
      </c>
      <c r="CI632" s="304">
        <f t="shared" si="1718"/>
        <v>1767.2644913000609</v>
      </c>
      <c r="CJ632" s="16" t="str">
        <f>INDEX(Input!$1:$1048576,CJ$93,$C632*2+6)</f>
        <v>N</v>
      </c>
      <c r="CK632" s="1" t="str">
        <f t="shared" si="1719"/>
        <v>Market</v>
      </c>
      <c r="CL632" s="1" t="str">
        <f t="shared" si="1720"/>
        <v>Market</v>
      </c>
      <c r="CM632" s="1" t="str">
        <f t="shared" si="1721"/>
        <v>Market</v>
      </c>
      <c r="CN632" s="1" t="str">
        <f t="shared" si="1722"/>
        <v>Market</v>
      </c>
      <c r="CO632" s="1" t="str">
        <f t="shared" si="1723"/>
        <v>Market</v>
      </c>
      <c r="CP632" s="304">
        <f t="shared" si="1724"/>
        <v>1000</v>
      </c>
      <c r="CQ632" s="1">
        <f t="shared" si="1725"/>
        <v>0</v>
      </c>
      <c r="CR632" s="1">
        <f t="shared" si="1726"/>
        <v>0</v>
      </c>
      <c r="CS632" s="1">
        <f t="shared" si="1727"/>
        <v>0</v>
      </c>
      <c r="CT632" s="1">
        <f t="shared" si="1728"/>
        <v>1.9E-2</v>
      </c>
      <c r="CU632" s="1">
        <f t="shared" si="1729"/>
        <v>3.9E-2</v>
      </c>
      <c r="CV632" s="304">
        <f t="shared" si="1730"/>
        <v>737.99367635402496</v>
      </c>
      <c r="CW632" s="20" t="s">
        <v>122</v>
      </c>
      <c r="CX632" s="20" t="s">
        <v>122</v>
      </c>
      <c r="CY632" s="20" t="s">
        <v>122</v>
      </c>
      <c r="CZ632" s="20" t="s">
        <v>122</v>
      </c>
      <c r="DA632" s="20" t="s">
        <v>122</v>
      </c>
      <c r="DB632" s="503">
        <f t="shared" si="1731"/>
        <v>0</v>
      </c>
      <c r="DC632" s="127">
        <v>0</v>
      </c>
      <c r="DD632" s="127">
        <v>0</v>
      </c>
      <c r="DE632" s="127">
        <v>0</v>
      </c>
      <c r="DF632" s="127">
        <v>0</v>
      </c>
      <c r="DG632" s="127">
        <v>0</v>
      </c>
      <c r="DH632" s="127">
        <v>0</v>
      </c>
      <c r="DI632" s="127">
        <v>0</v>
      </c>
      <c r="DJ632" s="127">
        <v>0</v>
      </c>
      <c r="DK632" s="127">
        <v>0</v>
      </c>
      <c r="DL632" s="127">
        <v>0</v>
      </c>
      <c r="DM632" s="304">
        <f>INDEX(Input!$1:$1048576,DM$93,$C632*2+6)</f>
        <v>21036.84210526316</v>
      </c>
      <c r="DN632" s="20">
        <v>0</v>
      </c>
      <c r="DO632" s="20">
        <v>0</v>
      </c>
      <c r="DP632" s="20">
        <v>0</v>
      </c>
      <c r="DQ632" s="20">
        <v>0</v>
      </c>
      <c r="DR632" s="20">
        <v>0</v>
      </c>
      <c r="DS632" s="20">
        <f>INDEX(Input!$1:$1048576,DS$93,$C632*2+6)</f>
        <v>0.6</v>
      </c>
      <c r="DT632" s="20">
        <f>INDEX(Input!$1:$1048576,DT$93,$C632*2+6)</f>
        <v>0.55000000000000004</v>
      </c>
      <c r="DU632" s="20">
        <f>INDEX(Input!$1:$1048576,DU$93,$C632*2+6)</f>
        <v>0.52</v>
      </c>
      <c r="DV632" s="20">
        <f>INDEX(Input!$1:$1048576,DV$93,$C632*2+6)</f>
        <v>0.5</v>
      </c>
      <c r="DW632" s="20">
        <f>INDEX(Input!$1:$1048576,DW$93,$C632*2+6)</f>
        <v>0.45</v>
      </c>
      <c r="DX632" s="20"/>
      <c r="DY632" s="7"/>
      <c r="DZ632" s="7"/>
      <c r="EA632" s="7"/>
      <c r="EB632" s="7"/>
      <c r="EC632" s="7"/>
      <c r="ED632" s="7"/>
      <c r="EE632" s="7"/>
      <c r="EF632" s="7"/>
      <c r="EG632" s="7"/>
      <c r="EH632" s="7"/>
      <c r="EI632" s="7"/>
      <c r="EJ632" s="7"/>
      <c r="EK632" s="7"/>
      <c r="EL632" s="7"/>
      <c r="EM632" s="7"/>
      <c r="EN632" s="7"/>
      <c r="EO632" s="7"/>
      <c r="EP632" s="7"/>
      <c r="EQ632" s="7"/>
      <c r="ER632" s="7"/>
      <c r="ES632" s="7"/>
      <c r="ET632" s="7"/>
      <c r="EU632" s="6"/>
      <c r="EV632" s="6"/>
      <c r="EW632" s="6"/>
      <c r="EX632" s="6"/>
      <c r="EY632" s="6"/>
      <c r="EZ632" s="6"/>
      <c r="FA632" s="6"/>
      <c r="FB632" s="6"/>
      <c r="FC632" s="6"/>
      <c r="FD632" s="6"/>
      <c r="FE632" s="6"/>
      <c r="FF632" s="6"/>
      <c r="FG632" s="6"/>
      <c r="FH632" s="6"/>
      <c r="FI632" s="6"/>
      <c r="FJ632" s="6"/>
      <c r="FK632" s="6"/>
      <c r="FL632" s="6"/>
      <c r="FM632" s="6"/>
      <c r="FN632" s="6"/>
      <c r="FO632" s="6"/>
      <c r="FP632" s="6"/>
      <c r="FQ632" s="6"/>
      <c r="FR632" s="6"/>
      <c r="FS632" s="6"/>
      <c r="FT632" s="7"/>
      <c r="FU632" s="7"/>
      <c r="FV632" s="7"/>
      <c r="FW632" s="6"/>
      <c r="FX632" s="6"/>
      <c r="FY632" s="6"/>
      <c r="FZ632" s="6"/>
      <c r="GA632" s="6"/>
      <c r="GB632" s="6"/>
      <c r="GC632" s="7"/>
      <c r="GD632" s="7"/>
      <c r="GE632" s="7"/>
      <c r="GF632" s="7"/>
      <c r="GG632" s="7"/>
      <c r="GH632" s="42"/>
      <c r="GI632" s="6"/>
      <c r="GJ632" s="14"/>
      <c r="GK632" s="14"/>
      <c r="GL632" s="14"/>
      <c r="GM632" s="14"/>
      <c r="GO632" s="5"/>
      <c r="GP632" s="5"/>
      <c r="GQ632" s="5"/>
      <c r="GR632" s="5"/>
      <c r="GS632" s="5"/>
      <c r="GT632" s="5"/>
      <c r="GU632" s="5"/>
      <c r="GV632" s="39"/>
      <c r="GW632" s="5"/>
      <c r="GX632" s="5"/>
      <c r="GY632" s="5"/>
      <c r="GZ632" s="5"/>
      <c r="HA632" s="5"/>
      <c r="HB632" s="39"/>
      <c r="HC632" s="5"/>
      <c r="HD632" s="5"/>
      <c r="HE632" s="5"/>
      <c r="HF632" s="5"/>
      <c r="HG632" s="5"/>
      <c r="HH632" s="39"/>
      <c r="HI632" s="16"/>
      <c r="HJ632" s="19"/>
      <c r="HK632" s="1"/>
      <c r="HL632" s="16"/>
      <c r="HM632" s="639">
        <f t="shared" si="1755"/>
        <v>2.3149872625708352E-2</v>
      </c>
      <c r="HN632" s="639">
        <f t="shared" si="1756"/>
        <v>1.3965040474190958E-3</v>
      </c>
      <c r="HO632" s="639">
        <f t="shared" si="1757"/>
        <v>3.5429561340050734E-3</v>
      </c>
      <c r="HP632" s="644">
        <f t="shared" ref="HP632:ID632" si="1889">HP132+HP232+HP332+HP432+HP532</f>
        <v>573.44785939098983</v>
      </c>
      <c r="HQ632" s="644">
        <f t="shared" si="1889"/>
        <v>34.150927279890269</v>
      </c>
      <c r="HR632" s="644">
        <f t="shared" si="1889"/>
        <v>-128.0631482146602</v>
      </c>
      <c r="HS632" s="644">
        <f t="shared" si="1889"/>
        <v>-237.64180730982585</v>
      </c>
      <c r="HT632" s="644">
        <f t="shared" si="1889"/>
        <v>271.47133607659708</v>
      </c>
      <c r="HU632" s="644">
        <f t="shared" si="1889"/>
        <v>43.360300517141617</v>
      </c>
      <c r="HV632" s="644">
        <f t="shared" si="1889"/>
        <v>0</v>
      </c>
      <c r="HW632" s="644">
        <f t="shared" si="1889"/>
        <v>0</v>
      </c>
      <c r="HX632" s="644">
        <f t="shared" si="1889"/>
        <v>0</v>
      </c>
      <c r="HY632" s="644">
        <f t="shared" si="1889"/>
        <v>2396</v>
      </c>
      <c r="HZ632" s="644">
        <f t="shared" si="1889"/>
        <v>3223</v>
      </c>
      <c r="IA632" s="644">
        <f t="shared" si="1889"/>
        <v>830</v>
      </c>
      <c r="IB632" s="644">
        <f t="shared" si="1889"/>
        <v>2731.8060520811641</v>
      </c>
      <c r="IC632" s="644">
        <f t="shared" si="1889"/>
        <v>3528.622263356488</v>
      </c>
      <c r="ID632" s="644">
        <f t="shared" si="1889"/>
        <v>745.29715230248132</v>
      </c>
      <c r="IE632" s="20">
        <f t="shared" si="1759"/>
        <v>0.38993906693326003</v>
      </c>
      <c r="IF632" s="20">
        <f t="shared" si="1760"/>
        <v>0.50367692533843045</v>
      </c>
      <c r="IG632" s="20">
        <f t="shared" si="1761"/>
        <v>0.10638400772830954</v>
      </c>
      <c r="IH632" s="21"/>
      <c r="II632" s="19"/>
      <c r="IJ632" s="19"/>
      <c r="IK632" s="19"/>
      <c r="IL632" s="19">
        <f t="shared" si="1762"/>
        <v>669.38585371292811</v>
      </c>
      <c r="IM632" s="19">
        <f t="shared" si="1763"/>
        <v>675.67458465303162</v>
      </c>
      <c r="IN632" s="19">
        <f t="shared" si="1764"/>
        <v>114.71249060823811</v>
      </c>
      <c r="IO632" s="39"/>
      <c r="IP632" s="39"/>
      <c r="IQ632" s="39"/>
      <c r="IR632" s="39"/>
      <c r="IS632" s="39"/>
      <c r="IT632" s="39"/>
      <c r="IU632" s="39"/>
      <c r="IV632" s="39"/>
      <c r="IW632" s="39"/>
      <c r="IX632" s="19">
        <f t="shared" si="1765"/>
        <v>1554.1790484140233</v>
      </c>
      <c r="IY632" s="19">
        <f t="shared" si="1766"/>
        <v>2412.3001201524512</v>
      </c>
      <c r="IZ632" s="19">
        <f t="shared" si="1767"/>
        <v>3993.0862952928574</v>
      </c>
      <c r="JA632" s="19">
        <f t="shared" ref="JA632:JC632" si="1890">IFERROR((JA132*IB132+JA232*IB232+JA332*IB332+JA432*IB432+JA532*IB532)/IB632,0)</f>
        <v>2223.5649021269514</v>
      </c>
      <c r="JB632" s="19">
        <f t="shared" si="1890"/>
        <v>3087.9747048054828</v>
      </c>
      <c r="JC632" s="19">
        <f t="shared" si="1890"/>
        <v>4107.7987859010955</v>
      </c>
      <c r="JD632" s="19">
        <f t="shared" si="1769"/>
        <v>2859.4005258258449</v>
      </c>
      <c r="JE632" s="21"/>
      <c r="JF632" s="1">
        <f t="shared" si="1770"/>
        <v>2.6651855648468406E-2</v>
      </c>
      <c r="JG632" s="15">
        <f t="shared" si="1771"/>
        <v>6449</v>
      </c>
      <c r="JH632" s="1">
        <f t="shared" si="1772"/>
        <v>7.4358139007011936E-2</v>
      </c>
      <c r="JI632" s="1">
        <f t="shared" si="1773"/>
        <v>1.1969271093799479E-2</v>
      </c>
      <c r="JJ632" s="1">
        <f t="shared" si="1774"/>
        <v>0</v>
      </c>
      <c r="JK632" s="1">
        <f t="shared" si="1775"/>
        <v>8.6327410100811394E-2</v>
      </c>
      <c r="JL632" s="15">
        <f t="shared" ref="JL632:JM632" si="1891">JL132+JL232+JL332+JL432+JL532</f>
        <v>556.72546774013267</v>
      </c>
      <c r="JM632" s="15">
        <f t="shared" si="1891"/>
        <v>7005.7254677401324</v>
      </c>
      <c r="JN632" s="21"/>
      <c r="JO632" s="19">
        <f>INDEX(Input!$1:$1048576,JO$93,$C632*2+6)</f>
        <v>5995.5</v>
      </c>
      <c r="JP632" s="19">
        <f>INDEX(Input!$1:$1048576,JP$93,$C632*2+6)</f>
        <v>2296.6050414551746</v>
      </c>
      <c r="JQ632" s="39">
        <f t="shared" si="1799"/>
        <v>3136.0994741741551</v>
      </c>
      <c r="JR632" s="39">
        <f t="shared" si="1800"/>
        <v>562.79548437067024</v>
      </c>
      <c r="JS632" s="39">
        <f t="shared" si="1801"/>
        <v>20.032175086247648</v>
      </c>
      <c r="JT632" s="39">
        <f t="shared" si="1802"/>
        <v>5.2213691739032289</v>
      </c>
      <c r="JU632" s="385">
        <f>(JQ632*JM632-INDEX(Input!$1:$1048576,Input!A$18,$C632*2+6)*JL632*INDEX(Input!$1:$1048576,Input!A$19,$C632*2+6))/1000000</f>
        <v>21.970651955588316</v>
      </c>
      <c r="JV632" s="39">
        <f t="shared" si="1803"/>
        <v>-1.8835216320672608</v>
      </c>
      <c r="JW632" s="1">
        <f t="shared" si="1804"/>
        <v>-7.8959835902341818E-2</v>
      </c>
      <c r="JX632" s="19">
        <f t="shared" si="1805"/>
        <v>9378.7144229235255</v>
      </c>
      <c r="JZ632" s="341"/>
      <c r="KA632" s="60"/>
      <c r="KB632" s="469">
        <f t="shared" si="1778"/>
        <v>0</v>
      </c>
      <c r="KI632" s="472"/>
      <c r="KJ632" s="472"/>
      <c r="KK632" s="472"/>
      <c r="KN632" s="793">
        <f t="shared" si="1779"/>
        <v>6002</v>
      </c>
      <c r="KO632" s="541">
        <f t="shared" si="1780"/>
        <v>6.1427155009599721E-2</v>
      </c>
      <c r="KP632" s="546">
        <f t="shared" si="1781"/>
        <v>447.3602922382521</v>
      </c>
      <c r="KQ632" s="546">
        <f t="shared" si="1782"/>
        <v>396.56726922069993</v>
      </c>
      <c r="KR632" s="472">
        <f t="shared" si="1783"/>
        <v>2.4059731525688037</v>
      </c>
      <c r="KS632" s="472">
        <f t="shared" si="1784"/>
        <v>2.7141343630443679</v>
      </c>
      <c r="KT632" s="473">
        <f t="shared" si="1795"/>
        <v>4286.2445668946921</v>
      </c>
      <c r="KU632" s="663">
        <f t="shared" si="1785"/>
        <v>4.4344663051934354</v>
      </c>
      <c r="KV632" s="117"/>
    </row>
    <row r="633" spans="1:308" s="26" customFormat="1" ht="15">
      <c r="A633" s="561">
        <f t="shared" si="1751"/>
        <v>6033</v>
      </c>
      <c r="B633" s="561">
        <f t="shared" si="1786"/>
        <v>33</v>
      </c>
      <c r="C633" s="561">
        <f t="shared" si="1787"/>
        <v>6</v>
      </c>
      <c r="D633" s="561" t="str">
        <f t="shared" si="1855"/>
        <v xml:space="preserve">750 CC, 750 Combo, </v>
      </c>
      <c r="E633" s="475">
        <f>INDEX(Input!$1:$1048576,E$93,$C633*2+MIN($B633,2)+5)
+INDEX(Scenarios!E$121:E$199,MATCH($B633,Scenarios!$B$121:$B$199,0))</f>
        <v>2017.2644913000609</v>
      </c>
      <c r="F633" s="475">
        <f>INDEX(Input!$1:$1048576,F$93,$C633*2+MIN($B633,2)+5)
+INDEX(Scenarios!F$121:F$199,MATCH($B633,Scenarios!$B$121:$B$199,0))</f>
        <v>0</v>
      </c>
      <c r="G633" s="475">
        <f>INDEX(Input!$1:$1048576,G$93,$C633*2+MIN($B633,2)+5)
+INDEX(Scenarios!G$121:G$199,MATCH($B633,Scenarios!$B$121:$B$199,0))</f>
        <v>0</v>
      </c>
      <c r="H633" s="475">
        <f>INDEX(Input!$1:$1048576,H$93,$C633*2+MIN($B633,2)+5)
+INDEX(Scenarios!H$121:H$199,MATCH($B633,Scenarios!$B$121:$B$199,0))</f>
        <v>0</v>
      </c>
      <c r="I633" s="476">
        <f>INDEX(Input!$1:$1048576,I$93,$C633*2+MIN($B633,2)+5)
+INDEX(Scenarios!I$121:I$199,MATCH($B633,Scenarios!$B$121:$B$199,0))</f>
        <v>0.7</v>
      </c>
      <c r="J633" s="476" t="str">
        <f>INDEX(Input!$1:$1048576,J$93,$C633*2+MIN($B633,2)+5)</f>
        <v>Market</v>
      </c>
      <c r="K633" s="476" t="str">
        <f>INDEX(Input!$1:$1048576,K$93,$C633*2+MIN($B633,2)+5)</f>
        <v>Market</v>
      </c>
      <c r="L633" s="476" t="str">
        <f>INDEX(Input!$1:$1048576,L$93,$C633*2+MIN($B633,2)+5)</f>
        <v>Market</v>
      </c>
      <c r="M633" s="476" t="str">
        <f>INDEX(Input!$1:$1048576,M$93,$C633*2+MIN($B633,2)+5)</f>
        <v>Market</v>
      </c>
      <c r="N633" s="476" t="str">
        <f>INDEX(Input!$1:$1048576,N$93,$C633*2+MIN($B633,2)+5)</f>
        <v>Market</v>
      </c>
      <c r="O633" s="476" t="str">
        <f>INDEX(Input!$1:$1048576,O$93,$C633*2+MIN($B633,2)+5)</f>
        <v>Market</v>
      </c>
      <c r="P633" s="476" t="str">
        <f>INDEX(Input!$1:$1048576,P$93,$C633*2+MIN($B633,2)+5)</f>
        <v>N</v>
      </c>
      <c r="Q633" s="477">
        <f>INDEX(Input!$1:$1048576,Q$93,$C633*2+MIN($B633,2)+5)
+INDEX(Scenarios!Q$121:Q$199,MATCH($B633,Scenarios!$B$121:$B$199,0))</f>
        <v>750</v>
      </c>
      <c r="R633" s="478">
        <f>IFERROR(MAX(0,INDEX(Input!$1:$1048576,R$93,$C633*2+MIN($B633,2)+5)
+INDEX(Scenarios!R$121:R$199,MATCH($B633,Scenarios!$B$121:$B$199,0)),),"Market")</f>
        <v>0</v>
      </c>
      <c r="S633" s="478">
        <f>IFERROR(MAX(0,INDEX(Input!$1:$1048576,S$93,$C633*2+MIN($B633,2)+5)
+INDEX(Scenarios!S$121:S$199,MATCH($B633,Scenarios!$B$121:$B$199,0)),),"Market")</f>
        <v>0</v>
      </c>
      <c r="T633" s="478">
        <f>IFERROR(MAX(0,INDEX(Input!$1:$1048576,T$93,$C633*2+MIN($B633,2)+5)
+INDEX(Scenarios!T$121:T$199,MATCH($B633,Scenarios!$B$121:$B$199,0)),),"Market")</f>
        <v>0</v>
      </c>
      <c r="U633" s="478">
        <f>IFERROR(MAX(0,INDEX(Input!$1:$1048576,U$93,$C633*2+MIN($B633,2)+5)
+INDEX(Scenarios!U$121:U$199,MATCH($B633,Scenarios!$B$121:$B$199,0)),),"Market")</f>
        <v>0</v>
      </c>
      <c r="V633" s="478">
        <f>IFERROR(MAX(0,INDEX(Input!$1:$1048576,V$93,$C633*2+MIN($B633,2)+5)
+INDEX(Scenarios!V$121:V$199,MATCH($B633,Scenarios!$B$121:$B$199,0)),),"Market")</f>
        <v>1.9E-2</v>
      </c>
      <c r="W633" s="885">
        <f>IFERROR(MAX(0,INDEX(Input!$1:$1048576,W$93,$C633*2+MIN($B633,2)+5)-0%,),"Market")</f>
        <v>3.9E-2</v>
      </c>
      <c r="X633" s="476" t="str">
        <f>INDEX(Input!$1:$1048576,X$93,$C633*2+MIN($B633,2)+5)</f>
        <v>Y</v>
      </c>
      <c r="Y633" s="475">
        <f>INDEX(Input!$1:$1048576,Y$93,$C633*2+MIN($B633,2)+5)
++INDEX(Scenarios!Y$121:Y$199,MATCH($B633,Scenarios!$B$121:$B$199,0))</f>
        <v>737.99367635402496</v>
      </c>
      <c r="Z633" s="477">
        <f>INDEX(Input!$1:$1048576,Z$93,$C633*2+MIN($B633,2)+5)
+INDEX(Scenarios!Z$121:Z$199,MATCH($B633,Scenarios!$B$121:$B$199,0))</f>
        <v>0</v>
      </c>
      <c r="AA633" s="475">
        <f>INDEX(Input!$1:$1048576,AA$93,$C633*2+MIN($B633,2)+5)</f>
        <v>0</v>
      </c>
      <c r="AB633" s="476">
        <f>INDEX(Input!$1:$1048576,AB$93,$C633*2+MIN($B633,2)+5)</f>
        <v>0.27</v>
      </c>
      <c r="AC633" s="475">
        <f>INDEX(Input!$1:$1048576,AC$93,$C633*2+MIN($B633,2)+5)
+INDEX(Scenarios!AC$121:AC$199,MATCH($B633,Scenarios!$B$121:$B$199,0))</f>
        <v>0</v>
      </c>
      <c r="AD633" s="476">
        <f>INDEX(Input!$1:$1048576,AD$93,$C633*2+MIN($B633,2)+5)</f>
        <v>0.27</v>
      </c>
      <c r="AE633" s="475">
        <f>INDEX(Input!$1:$1048576,AE$93,$C633*2+MIN($B633,2)+5)
+INDEX(Scenarios!AE$121:AE$199,MATCH($B633,Scenarios!$B$121:$B$199,0))</f>
        <v>0</v>
      </c>
      <c r="AF633" s="476">
        <f>INDEX(Input!$1:$1048576,AF$93,$C633*2+MIN($B633,2)+5)</f>
        <v>1</v>
      </c>
      <c r="AG633" s="475">
        <f>INDEX(Input!$1:$1048576,AG$93,$C633*2+MIN($B633,2)+5)</f>
        <v>500</v>
      </c>
      <c r="AH633" s="476">
        <f>INDEX(Input!$1:$1048576,AH$93,$C633*2+MIN($B633,2)+5)</f>
        <v>1</v>
      </c>
      <c r="AI633" s="475">
        <f>INDEX(Input!$1:$1048576,AI$93,$C633*2+MIN($B633,2)+5)</f>
        <v>0</v>
      </c>
      <c r="AJ633" s="476">
        <f>INDEX(Input!$1:$1048576,AJ$93,$C633*2+MIN($B633,2)+5)</f>
        <v>0.27</v>
      </c>
      <c r="AK633" s="150">
        <f>ROUND(INDEX(Input!$1:$1048576,AK$93,$C632*2+MIN($B633,1)+5)+(Y633-VLOOKUP($C633*1000+1,$A:$HH,Y$92,FALSE)),0)</f>
        <v>3061</v>
      </c>
      <c r="AL633" s="150">
        <f>ROUND(INDEX(Input!$1:$1048576,AL$93,$C632*2+MIN($B633,1)+5)-(Y633-VLOOKUP($C633*1000+1,$A:$HH,Y$92,FALSE))/36,0)</f>
        <v>3552</v>
      </c>
      <c r="AM633" s="32" t="str">
        <f t="shared" si="1752"/>
        <v>std/std/std/std</v>
      </c>
      <c r="AN633" s="32" t="str">
        <f t="shared" si="1753"/>
        <v>$750 + 0/0/0/1.9/3.9</v>
      </c>
      <c r="AO633" s="32" t="str">
        <f t="shared" si="1754"/>
        <v>0/0/0/1.9/3.9</v>
      </c>
      <c r="AP633" s="32" t="str">
        <f t="shared" si="1716"/>
        <v>0/0.9/1.9/3.9</v>
      </c>
      <c r="AQ633" s="536">
        <f t="shared" ref="AQ633:AQ664" si="1892">SUM(IE633,G633*IF633,H633*IG633,AC633*AD633,AE633*AF633,AI633)</f>
        <v>0.39874570093809486</v>
      </c>
      <c r="AR633" s="32"/>
      <c r="AS633" s="302"/>
      <c r="AT633" s="3">
        <f t="shared" si="1788"/>
        <v>33</v>
      </c>
      <c r="AU633" s="41" t="s">
        <v>121</v>
      </c>
      <c r="AV633" s="41" t="s">
        <v>116</v>
      </c>
      <c r="AW633" s="41" t="str">
        <f>INDEX(Input!$1:$1048576,AW$93,$C633*2+6)</f>
        <v>Kia</v>
      </c>
      <c r="AX633" s="41" t="str">
        <f>INDEX(Input!$1:$1048576,AX$93,$C633*2+6)</f>
        <v>National</v>
      </c>
      <c r="AY633" s="41" t="str">
        <f>IF(LEN(D633)=0,"",INDEX(Input!$1:$1048576,AY$93,$C633*2+6))</f>
        <v>Compact SUV (52)</v>
      </c>
      <c r="AZ633" s="41" t="str">
        <f>INDEX(Input!$1:$1048576,AZ$93,$C633*2+6)</f>
        <v>Kia Soul</v>
      </c>
      <c r="BA633" s="3">
        <f>INDEX(Input!$1:$1048576,BA$93,$C633*2+6)</f>
        <v>2020</v>
      </c>
      <c r="BB633" s="128">
        <f>INDEX(Input!$1:$1048576,BB$93,$C633*2+6)</f>
        <v>1</v>
      </c>
      <c r="BC633" s="128">
        <f>INDEX(Input!$1:$1048576,BC$93,$C633*2+6)</f>
        <v>0.7</v>
      </c>
      <c r="BD633" s="1">
        <f>INDEX(Input!$1:$1048576,BD$93,$C633*2+6)</f>
        <v>4.4999999999999998E-2</v>
      </c>
      <c r="BE633" s="1">
        <f>INDEX(Input!$1:$1048576,BE$93,$C633*2+6)</f>
        <v>4.4999999999999998E-2</v>
      </c>
      <c r="BF633" s="1">
        <f>INDEX(Input!$1:$1048576,BF$93,$C633*2+6)</f>
        <v>0.05</v>
      </c>
      <c r="BG633" s="1">
        <f>INDEX(Input!$1:$1048576,BG$93,$C633*2+6)</f>
        <v>5.45E-2</v>
      </c>
      <c r="BH633" s="1">
        <f>INDEX(Input!$1:$1048576,BH$93,$C633*2+6)</f>
        <v>5.45E-2</v>
      </c>
      <c r="BI633" s="1">
        <f>INDEX(Input!$1:$1048576,BI$93,$C633*2+6)</f>
        <v>0.05</v>
      </c>
      <c r="BJ633" s="1">
        <f>INDEX(Input!$1:$1048576,BJ$93,$C633*2+6)</f>
        <v>0.05</v>
      </c>
      <c r="BK633" s="1">
        <f>INDEX(Input!$1:$1048576,BK$93,$C633*2+6)</f>
        <v>0.05</v>
      </c>
      <c r="BL633" s="1">
        <f>INDEX(Input!$1:$1048576,BL$93,$C633*2+6)</f>
        <v>5.5E-2</v>
      </c>
      <c r="BM633" s="1">
        <f>INDEX(Input!$1:$1048576,BM$93,$C633*2+6)</f>
        <v>0.06</v>
      </c>
      <c r="BN633" s="1">
        <f>INDEX(Input!$1:$1048576,BN$93,$C633*2+6)</f>
        <v>4.4999999999999998E-2</v>
      </c>
      <c r="BO633" s="1">
        <f>INDEX(Input!$1:$1048576,BO$93,$C633*2+6)</f>
        <v>4.4999999999999998E-2</v>
      </c>
      <c r="BP633" s="1">
        <f>INDEX(Input!$1:$1048576,BP$93,$C633*2+6)</f>
        <v>0.05</v>
      </c>
      <c r="BQ633" s="1">
        <f>INDEX(Input!$1:$1048576,BQ$93,$C633*2+6)</f>
        <v>5.45E-2</v>
      </c>
      <c r="BR633" s="1">
        <f>INDEX(Input!$1:$1048576,BR$93,$C633*2+6)</f>
        <v>5.45E-2</v>
      </c>
      <c r="BS633" s="1">
        <f>INDEX(Input!$1:$1048576,BS$93,$C633*2+6)</f>
        <v>0.05</v>
      </c>
      <c r="BT633" s="1">
        <f>INDEX(Input!$1:$1048576,BT$93,$C633*2+6)</f>
        <v>0.05</v>
      </c>
      <c r="BU633" s="1">
        <f>INDEX(Input!$1:$1048576,BU$93,$C633*2+6)</f>
        <v>0.05</v>
      </c>
      <c r="BV633" s="1">
        <f>INDEX(Input!$1:$1048576,BV$93,$C633*2+6)</f>
        <v>5.5E-2</v>
      </c>
      <c r="BW633" s="1">
        <f>INDEX(Input!$1:$1048576,BW$93,$C633*2+6)</f>
        <v>0.06</v>
      </c>
      <c r="BX633" s="127">
        <f>INDEX(Input!$1:$1048576,BX$93,$C633*2+6)</f>
        <v>19985</v>
      </c>
      <c r="BY633" s="20">
        <f>INDEX(Input!$1:$1048576,BY$93,$C633*2+6)</f>
        <v>0.1</v>
      </c>
      <c r="BZ633" s="20">
        <f>INDEX(Input!$1:$1048576,BZ$93,$C633*2+6)</f>
        <v>0.1</v>
      </c>
      <c r="CA633" s="20">
        <f>INDEX(Input!$1:$1048576,CA$93,$C633*2+6)</f>
        <v>0.1</v>
      </c>
      <c r="CB633" s="20">
        <f>INDEX(Input!$1:$1048576,CB$93,$C633*2+6)</f>
        <v>0.1</v>
      </c>
      <c r="CC633" s="20">
        <f>INDEX(Input!$1:$1048576,CC$93,$C633*2+6)</f>
        <v>0.1</v>
      </c>
      <c r="CD633" s="384">
        <f>INDEX(Input!$1:$1048576,CD$93,$C633*2+6)</f>
        <v>0.1</v>
      </c>
      <c r="CE633" s="384">
        <f>INDEX(Input!$1:$1048576,CE$93,$C633*2+6)</f>
        <v>0.1</v>
      </c>
      <c r="CF633" s="384">
        <f>INDEX(Input!$1:$1048576,CF$93,$C633*2+6)</f>
        <v>0.1</v>
      </c>
      <c r="CG633" s="384">
        <f>INDEX(Input!$1:$1048576,CG$93,$C633*2+6)</f>
        <v>0.1</v>
      </c>
      <c r="CH633" s="384">
        <f>INDEX(Input!$1:$1048576,CH$93,$C633*2+6)</f>
        <v>0.1</v>
      </c>
      <c r="CI633" s="304">
        <f t="shared" si="1718"/>
        <v>2017.2644913000609</v>
      </c>
      <c r="CJ633" s="16" t="str">
        <f>INDEX(Input!$1:$1048576,CJ$93,$C633*2+6)</f>
        <v>N</v>
      </c>
      <c r="CK633" s="1" t="str">
        <f t="shared" si="1719"/>
        <v>Market</v>
      </c>
      <c r="CL633" s="1" t="str">
        <f t="shared" si="1720"/>
        <v>Market</v>
      </c>
      <c r="CM633" s="1" t="str">
        <f t="shared" si="1721"/>
        <v>Market</v>
      </c>
      <c r="CN633" s="1" t="str">
        <f t="shared" si="1722"/>
        <v>Market</v>
      </c>
      <c r="CO633" s="1" t="str">
        <f t="shared" si="1723"/>
        <v>Market</v>
      </c>
      <c r="CP633" s="304">
        <f t="shared" si="1724"/>
        <v>1250</v>
      </c>
      <c r="CQ633" s="1">
        <f t="shared" si="1725"/>
        <v>0</v>
      </c>
      <c r="CR633" s="1">
        <f t="shared" si="1726"/>
        <v>0</v>
      </c>
      <c r="CS633" s="1">
        <f t="shared" si="1727"/>
        <v>0</v>
      </c>
      <c r="CT633" s="1">
        <f t="shared" si="1728"/>
        <v>1.9E-2</v>
      </c>
      <c r="CU633" s="1">
        <f t="shared" si="1729"/>
        <v>3.9E-2</v>
      </c>
      <c r="CV633" s="304">
        <f t="shared" si="1730"/>
        <v>737.99367635402496</v>
      </c>
      <c r="CW633" s="20" t="s">
        <v>122</v>
      </c>
      <c r="CX633" s="20" t="s">
        <v>122</v>
      </c>
      <c r="CY633" s="20" t="s">
        <v>122</v>
      </c>
      <c r="CZ633" s="20" t="s">
        <v>122</v>
      </c>
      <c r="DA633" s="20" t="s">
        <v>122</v>
      </c>
      <c r="DB633" s="503">
        <f t="shared" si="1731"/>
        <v>0</v>
      </c>
      <c r="DC633" s="127">
        <v>0</v>
      </c>
      <c r="DD633" s="127">
        <v>0</v>
      </c>
      <c r="DE633" s="127">
        <v>0</v>
      </c>
      <c r="DF633" s="127">
        <v>0</v>
      </c>
      <c r="DG633" s="127">
        <v>0</v>
      </c>
      <c r="DH633" s="127">
        <v>0</v>
      </c>
      <c r="DI633" s="127">
        <v>0</v>
      </c>
      <c r="DJ633" s="127">
        <v>0</v>
      </c>
      <c r="DK633" s="127">
        <v>0</v>
      </c>
      <c r="DL633" s="127">
        <v>0</v>
      </c>
      <c r="DM633" s="304">
        <f>INDEX(Input!$1:$1048576,DM$93,$C633*2+6)</f>
        <v>21036.84210526316</v>
      </c>
      <c r="DN633" s="20">
        <v>0</v>
      </c>
      <c r="DO633" s="20">
        <v>0</v>
      </c>
      <c r="DP633" s="20">
        <v>0</v>
      </c>
      <c r="DQ633" s="20">
        <v>0</v>
      </c>
      <c r="DR633" s="20">
        <v>0</v>
      </c>
      <c r="DS633" s="20">
        <f>INDEX(Input!$1:$1048576,DS$93,$C633*2+6)</f>
        <v>0.6</v>
      </c>
      <c r="DT633" s="20">
        <f>INDEX(Input!$1:$1048576,DT$93,$C633*2+6)</f>
        <v>0.55000000000000004</v>
      </c>
      <c r="DU633" s="20">
        <f>INDEX(Input!$1:$1048576,DU$93,$C633*2+6)</f>
        <v>0.52</v>
      </c>
      <c r="DV633" s="20">
        <f>INDEX(Input!$1:$1048576,DV$93,$C633*2+6)</f>
        <v>0.5</v>
      </c>
      <c r="DW633" s="20">
        <f>INDEX(Input!$1:$1048576,DW$93,$C633*2+6)</f>
        <v>0.45</v>
      </c>
      <c r="DX633" s="20"/>
      <c r="DY633" s="7"/>
      <c r="DZ633" s="7"/>
      <c r="EA633" s="7"/>
      <c r="EB633" s="7"/>
      <c r="EC633" s="7"/>
      <c r="ED633" s="7"/>
      <c r="EE633" s="7"/>
      <c r="EF633" s="7"/>
      <c r="EG633" s="7"/>
      <c r="EH633" s="7"/>
      <c r="EI633" s="7"/>
      <c r="EJ633" s="7"/>
      <c r="EK633" s="7"/>
      <c r="EL633" s="7"/>
      <c r="EM633" s="7"/>
      <c r="EN633" s="7"/>
      <c r="EO633" s="7"/>
      <c r="EP633" s="7"/>
      <c r="EQ633" s="7"/>
      <c r="ER633" s="7"/>
      <c r="ES633" s="7"/>
      <c r="ET633" s="7"/>
      <c r="EU633" s="6"/>
      <c r="EV633" s="6"/>
      <c r="EW633" s="6"/>
      <c r="EX633" s="6"/>
      <c r="EY633" s="6"/>
      <c r="EZ633" s="6"/>
      <c r="FA633" s="6"/>
      <c r="FB633" s="6"/>
      <c r="FC633" s="6"/>
      <c r="FD633" s="6"/>
      <c r="FE633" s="6"/>
      <c r="FF633" s="6"/>
      <c r="FG633" s="6"/>
      <c r="FH633" s="6"/>
      <c r="FI633" s="6"/>
      <c r="FJ633" s="6"/>
      <c r="FK633" s="6"/>
      <c r="FL633" s="6"/>
      <c r="FM633" s="6"/>
      <c r="FN633" s="6"/>
      <c r="FO633" s="6"/>
      <c r="FP633" s="6"/>
      <c r="FQ633" s="6"/>
      <c r="FR633" s="6"/>
      <c r="FS633" s="6"/>
      <c r="FT633" s="7"/>
      <c r="FU633" s="7"/>
      <c r="FV633" s="7"/>
      <c r="FW633" s="6"/>
      <c r="FX633" s="6"/>
      <c r="FY633" s="6"/>
      <c r="FZ633" s="6"/>
      <c r="GA633" s="6"/>
      <c r="GB633" s="6"/>
      <c r="GC633" s="7"/>
      <c r="GD633" s="7"/>
      <c r="GE633" s="7"/>
      <c r="GF633" s="7"/>
      <c r="GG633" s="7"/>
      <c r="GH633" s="42"/>
      <c r="GI633" s="6"/>
      <c r="GJ633" s="14"/>
      <c r="GK633" s="14"/>
      <c r="GL633" s="14"/>
      <c r="GM633" s="14"/>
      <c r="GO633" s="5"/>
      <c r="GP633" s="5"/>
      <c r="GQ633" s="5"/>
      <c r="GR633" s="5"/>
      <c r="GS633" s="5"/>
      <c r="GT633" s="5"/>
      <c r="GU633" s="5"/>
      <c r="GV633" s="39"/>
      <c r="GW633" s="5"/>
      <c r="GX633" s="5"/>
      <c r="GY633" s="5"/>
      <c r="GZ633" s="5"/>
      <c r="HA633" s="5"/>
      <c r="HB633" s="39"/>
      <c r="HC633" s="5"/>
      <c r="HD633" s="5"/>
      <c r="HE633" s="5"/>
      <c r="HF633" s="5"/>
      <c r="HG633" s="5"/>
      <c r="HH633" s="39"/>
      <c r="HI633" s="16"/>
      <c r="HJ633" s="19"/>
      <c r="HK633" s="1"/>
      <c r="HL633" s="16"/>
      <c r="HM633" s="639">
        <f t="shared" si="1755"/>
        <v>2.3149872625708352E-2</v>
      </c>
      <c r="HN633" s="639">
        <f t="shared" si="1756"/>
        <v>1.3965040474190958E-3</v>
      </c>
      <c r="HO633" s="639">
        <f t="shared" si="1757"/>
        <v>3.5429561340050734E-3</v>
      </c>
      <c r="HP633" s="644">
        <f t="shared" ref="HP633:ID633" si="1893">HP133+HP233+HP333+HP433+HP533</f>
        <v>809.11991808990604</v>
      </c>
      <c r="HQ633" s="644">
        <f t="shared" si="1893"/>
        <v>48.499060353836505</v>
      </c>
      <c r="HR633" s="644">
        <f t="shared" si="1893"/>
        <v>-189.82590862770959</v>
      </c>
      <c r="HS633" s="644">
        <f t="shared" si="1893"/>
        <v>-326.4107057904717</v>
      </c>
      <c r="HT633" s="644">
        <f t="shared" si="1893"/>
        <v>371.89200872438391</v>
      </c>
      <c r="HU633" s="644">
        <f t="shared" si="1893"/>
        <v>57.136909997283695</v>
      </c>
      <c r="HV633" s="644">
        <f t="shared" si="1893"/>
        <v>0</v>
      </c>
      <c r="HW633" s="644">
        <f t="shared" si="1893"/>
        <v>0</v>
      </c>
      <c r="HX633" s="644">
        <f t="shared" si="1893"/>
        <v>0</v>
      </c>
      <c r="HY633" s="644">
        <f t="shared" si="1893"/>
        <v>2396</v>
      </c>
      <c r="HZ633" s="644">
        <f t="shared" si="1893"/>
        <v>3223</v>
      </c>
      <c r="IA633" s="644">
        <f t="shared" si="1893"/>
        <v>830</v>
      </c>
      <c r="IB633" s="644">
        <f t="shared" si="1893"/>
        <v>2878.7092122994341</v>
      </c>
      <c r="IC633" s="644">
        <f t="shared" si="1893"/>
        <v>3643.3910690782204</v>
      </c>
      <c r="ID633" s="644">
        <f t="shared" si="1893"/>
        <v>697.31100136957411</v>
      </c>
      <c r="IE633" s="20">
        <f t="shared" si="1759"/>
        <v>0.39874570093809486</v>
      </c>
      <c r="IF633" s="20">
        <f t="shared" si="1760"/>
        <v>0.50466595216497878</v>
      </c>
      <c r="IG633" s="20">
        <f t="shared" si="1761"/>
        <v>9.6588346896926455E-2</v>
      </c>
      <c r="IH633" s="21"/>
      <c r="II633" s="19"/>
      <c r="IJ633" s="19"/>
      <c r="IK633" s="19"/>
      <c r="IL633" s="19">
        <f t="shared" si="1762"/>
        <v>916.52113528908512</v>
      </c>
      <c r="IM633" s="19">
        <f t="shared" si="1763"/>
        <v>925.61383072682884</v>
      </c>
      <c r="IN633" s="19">
        <f t="shared" si="1764"/>
        <v>116.42620967058156</v>
      </c>
      <c r="IO633" s="39"/>
      <c r="IP633" s="39"/>
      <c r="IQ633" s="39"/>
      <c r="IR633" s="39"/>
      <c r="IS633" s="39"/>
      <c r="IT633" s="39"/>
      <c r="IU633" s="39"/>
      <c r="IV633" s="39"/>
      <c r="IW633" s="39"/>
      <c r="IX633" s="19">
        <f t="shared" si="1765"/>
        <v>1554.1790484140233</v>
      </c>
      <c r="IY633" s="19">
        <f t="shared" si="1766"/>
        <v>2412.3001201524512</v>
      </c>
      <c r="IZ633" s="19">
        <f t="shared" si="1767"/>
        <v>3993.0862952928574</v>
      </c>
      <c r="JA633" s="19">
        <f t="shared" ref="JA633:JC633" si="1894">IFERROR((JA133*IB133+JA233*IB233+JA333*IB333+JA433*IB433+JA533*IB533)/IB633,0)</f>
        <v>2470.7001837031085</v>
      </c>
      <c r="JB633" s="19">
        <f t="shared" si="1894"/>
        <v>3337.91395087928</v>
      </c>
      <c r="JC633" s="19">
        <f t="shared" si="1894"/>
        <v>4109.5125049634389</v>
      </c>
      <c r="JD633" s="19">
        <f t="shared" si="1769"/>
        <v>3066.6436182304992</v>
      </c>
      <c r="JE633" s="21"/>
      <c r="JF633" s="1">
        <f t="shared" si="1770"/>
        <v>2.6651855648468406E-2</v>
      </c>
      <c r="JG633" s="15">
        <f t="shared" si="1771"/>
        <v>6449</v>
      </c>
      <c r="JH633" s="1">
        <f t="shared" si="1772"/>
        <v>0.10354986351620916</v>
      </c>
      <c r="JI633" s="1">
        <f t="shared" si="1773"/>
        <v>1.5912267472661796E-2</v>
      </c>
      <c r="JJ633" s="1">
        <f t="shared" si="1774"/>
        <v>0</v>
      </c>
      <c r="JK633" s="1">
        <f t="shared" si="1775"/>
        <v>0.11946213098887096</v>
      </c>
      <c r="JL633" s="15">
        <f t="shared" ref="JL633:JM633" si="1895">JL133+JL233+JL333+JL433+JL533</f>
        <v>770.41128274722882</v>
      </c>
      <c r="JM633" s="15">
        <f t="shared" si="1895"/>
        <v>7219.4112827472291</v>
      </c>
      <c r="JN633" s="21"/>
      <c r="JO633" s="19">
        <f>INDEX(Input!$1:$1048576,JO$93,$C633*2+6)</f>
        <v>5995.5</v>
      </c>
      <c r="JP633" s="19">
        <f>INDEX(Input!$1:$1048576,JP$93,$C633*2+6)</f>
        <v>2296.6050414551746</v>
      </c>
      <c r="JQ633" s="39">
        <f t="shared" si="1799"/>
        <v>2928.8563817695008</v>
      </c>
      <c r="JR633" s="39">
        <f t="shared" si="1800"/>
        <v>770.0385767753246</v>
      </c>
      <c r="JS633" s="39">
        <f t="shared" si="1801"/>
        <v>22.139361537618051</v>
      </c>
      <c r="JT633" s="39">
        <f t="shared" si="1802"/>
        <v>7.3285556252736317</v>
      </c>
      <c r="JU633" s="385">
        <f>(JQ633*JM633-INDEX(Input!$1:$1048576,Input!A$18,$C633*2+6)*JL633*INDEX(Input!$1:$1048576,Input!A$19,$C633*2+6))/1000000</f>
        <v>21.144618808092961</v>
      </c>
      <c r="JV633" s="39">
        <f t="shared" si="1803"/>
        <v>-2.709554779562616</v>
      </c>
      <c r="JW633" s="1">
        <f t="shared" si="1804"/>
        <v>-0.1135882896804607</v>
      </c>
      <c r="JX633" s="19">
        <f t="shared" si="1805"/>
        <v>9512.5237511327105</v>
      </c>
      <c r="JZ633" s="341"/>
      <c r="KA633" s="60"/>
      <c r="KB633" s="469">
        <f t="shared" si="1778"/>
        <v>0</v>
      </c>
      <c r="KI633" s="472"/>
      <c r="KJ633" s="472"/>
      <c r="KK633" s="472"/>
      <c r="KN633" s="793">
        <f t="shared" si="1779"/>
        <v>6002</v>
      </c>
      <c r="KO633" s="541">
        <f t="shared" si="1780"/>
        <v>9.3802378351323767E-2</v>
      </c>
      <c r="KP633" s="546">
        <f t="shared" si="1781"/>
        <v>676.75254582401055</v>
      </c>
      <c r="KQ633" s="546">
        <f t="shared" si="1782"/>
        <v>603.81036162535429</v>
      </c>
      <c r="KR633" s="472">
        <f t="shared" si="1783"/>
        <v>2.4286881882322908</v>
      </c>
      <c r="KS633" s="472">
        <f t="shared" si="1784"/>
        <v>2.7220813335739389</v>
      </c>
      <c r="KT633" s="473">
        <f t="shared" si="1795"/>
        <v>4286.2445668946921</v>
      </c>
      <c r="KU633" s="663">
        <f t="shared" si="1785"/>
        <v>4.4596816511503716</v>
      </c>
      <c r="KV633" s="117"/>
    </row>
    <row r="634" spans="1:308" s="26" customFormat="1" ht="15">
      <c r="A634" s="561">
        <f t="shared" si="1751"/>
        <v>6034</v>
      </c>
      <c r="B634" s="561">
        <f t="shared" si="1786"/>
        <v>34</v>
      </c>
      <c r="C634" s="561">
        <f t="shared" si="1787"/>
        <v>6</v>
      </c>
      <c r="D634" s="561" t="str">
        <f t="shared" si="1855"/>
        <v xml:space="preserve">1000 CC, 1000 Combo, </v>
      </c>
      <c r="E634" s="475">
        <f>INDEX(Input!$1:$1048576,E$93,$C634*2+MIN($B634,2)+5)
+INDEX(Scenarios!E$121:E$199,MATCH($B634,Scenarios!$B$121:$B$199,0))</f>
        <v>2267.2644913000609</v>
      </c>
      <c r="F634" s="475">
        <f>INDEX(Input!$1:$1048576,F$93,$C634*2+MIN($B634,2)+5)
+INDEX(Scenarios!F$121:F$199,MATCH($B634,Scenarios!$B$121:$B$199,0))</f>
        <v>0</v>
      </c>
      <c r="G634" s="475">
        <f>INDEX(Input!$1:$1048576,G$93,$C634*2+MIN($B634,2)+5)
+INDEX(Scenarios!G$121:G$199,MATCH($B634,Scenarios!$B$121:$B$199,0))</f>
        <v>0</v>
      </c>
      <c r="H634" s="475">
        <f>INDEX(Input!$1:$1048576,H$93,$C634*2+MIN($B634,2)+5)
+INDEX(Scenarios!H$121:H$199,MATCH($B634,Scenarios!$B$121:$B$199,0))</f>
        <v>0</v>
      </c>
      <c r="I634" s="476">
        <f>INDEX(Input!$1:$1048576,I$93,$C634*2+MIN($B634,2)+5)
+INDEX(Scenarios!I$121:I$199,MATCH($B634,Scenarios!$B$121:$B$199,0))</f>
        <v>0.7</v>
      </c>
      <c r="J634" s="476" t="str">
        <f>INDEX(Input!$1:$1048576,J$93,$C634*2+MIN($B634,2)+5)</f>
        <v>Market</v>
      </c>
      <c r="K634" s="476" t="str">
        <f>INDEX(Input!$1:$1048576,K$93,$C634*2+MIN($B634,2)+5)</f>
        <v>Market</v>
      </c>
      <c r="L634" s="476" t="str">
        <f>INDEX(Input!$1:$1048576,L$93,$C634*2+MIN($B634,2)+5)</f>
        <v>Market</v>
      </c>
      <c r="M634" s="476" t="str">
        <f>INDEX(Input!$1:$1048576,M$93,$C634*2+MIN($B634,2)+5)</f>
        <v>Market</v>
      </c>
      <c r="N634" s="476" t="str">
        <f>INDEX(Input!$1:$1048576,N$93,$C634*2+MIN($B634,2)+5)</f>
        <v>Market</v>
      </c>
      <c r="O634" s="476" t="str">
        <f>INDEX(Input!$1:$1048576,O$93,$C634*2+MIN($B634,2)+5)</f>
        <v>Market</v>
      </c>
      <c r="P634" s="476" t="str">
        <f>INDEX(Input!$1:$1048576,P$93,$C634*2+MIN($B634,2)+5)</f>
        <v>N</v>
      </c>
      <c r="Q634" s="477">
        <f>INDEX(Input!$1:$1048576,Q$93,$C634*2+MIN($B634,2)+5)
+INDEX(Scenarios!Q$121:Q$199,MATCH($B634,Scenarios!$B$121:$B$199,0))</f>
        <v>1000</v>
      </c>
      <c r="R634" s="478">
        <f>IFERROR(MAX(0,INDEX(Input!$1:$1048576,R$93,$C634*2+MIN($B634,2)+5)
+INDEX(Scenarios!R$121:R$199,MATCH($B634,Scenarios!$B$121:$B$199,0)),),"Market")</f>
        <v>0</v>
      </c>
      <c r="S634" s="478">
        <f>IFERROR(MAX(0,INDEX(Input!$1:$1048576,S$93,$C634*2+MIN($B634,2)+5)
+INDEX(Scenarios!S$121:S$199,MATCH($B634,Scenarios!$B$121:$B$199,0)),),"Market")</f>
        <v>0</v>
      </c>
      <c r="T634" s="478">
        <f>IFERROR(MAX(0,INDEX(Input!$1:$1048576,T$93,$C634*2+MIN($B634,2)+5)
+INDEX(Scenarios!T$121:T$199,MATCH($B634,Scenarios!$B$121:$B$199,0)),),"Market")</f>
        <v>0</v>
      </c>
      <c r="U634" s="478">
        <f>IFERROR(MAX(0,INDEX(Input!$1:$1048576,U$93,$C634*2+MIN($B634,2)+5)
+INDEX(Scenarios!U$121:U$199,MATCH($B634,Scenarios!$B$121:$B$199,0)),),"Market")</f>
        <v>0</v>
      </c>
      <c r="V634" s="478">
        <f>IFERROR(MAX(0,INDEX(Input!$1:$1048576,V$93,$C634*2+MIN($B634,2)+5)
+INDEX(Scenarios!V$121:V$199,MATCH($B634,Scenarios!$B$121:$B$199,0)),),"Market")</f>
        <v>1.9E-2</v>
      </c>
      <c r="W634" s="885">
        <f>IFERROR(MAX(0,INDEX(Input!$1:$1048576,W$93,$C634*2+MIN($B634,2)+5)-0%,),"Market")</f>
        <v>3.9E-2</v>
      </c>
      <c r="X634" s="476" t="str">
        <f>INDEX(Input!$1:$1048576,X$93,$C634*2+MIN($B634,2)+5)</f>
        <v>Y</v>
      </c>
      <c r="Y634" s="475">
        <f>INDEX(Input!$1:$1048576,Y$93,$C634*2+MIN($B634,2)+5)
++INDEX(Scenarios!Y$121:Y$199,MATCH($B634,Scenarios!$B$121:$B$199,0))</f>
        <v>737.99367635402496</v>
      </c>
      <c r="Z634" s="477">
        <f>INDEX(Input!$1:$1048576,Z$93,$C634*2+MIN($B634,2)+5)
+INDEX(Scenarios!Z$121:Z$199,MATCH($B634,Scenarios!$B$121:$B$199,0))</f>
        <v>0</v>
      </c>
      <c r="AA634" s="475">
        <f>INDEX(Input!$1:$1048576,AA$93,$C634*2+MIN($B634,2)+5)</f>
        <v>0</v>
      </c>
      <c r="AB634" s="476">
        <f>INDEX(Input!$1:$1048576,AB$93,$C634*2+MIN($B634,2)+5)</f>
        <v>0.27</v>
      </c>
      <c r="AC634" s="475">
        <f>INDEX(Input!$1:$1048576,AC$93,$C634*2+MIN($B634,2)+5)
+INDEX(Scenarios!AC$121:AC$199,MATCH($B634,Scenarios!$B$121:$B$199,0))</f>
        <v>0</v>
      </c>
      <c r="AD634" s="476">
        <f>INDEX(Input!$1:$1048576,AD$93,$C634*2+MIN($B634,2)+5)</f>
        <v>0.27</v>
      </c>
      <c r="AE634" s="475">
        <f>INDEX(Input!$1:$1048576,AE$93,$C634*2+MIN($B634,2)+5)
+INDEX(Scenarios!AE$121:AE$199,MATCH($B634,Scenarios!$B$121:$B$199,0))</f>
        <v>0</v>
      </c>
      <c r="AF634" s="476">
        <f>INDEX(Input!$1:$1048576,AF$93,$C634*2+MIN($B634,2)+5)</f>
        <v>1</v>
      </c>
      <c r="AG634" s="475">
        <f>INDEX(Input!$1:$1048576,AG$93,$C634*2+MIN($B634,2)+5)</f>
        <v>500</v>
      </c>
      <c r="AH634" s="476">
        <f>INDEX(Input!$1:$1048576,AH$93,$C634*2+MIN($B634,2)+5)</f>
        <v>1</v>
      </c>
      <c r="AI634" s="475">
        <f>INDEX(Input!$1:$1048576,AI$93,$C634*2+MIN($B634,2)+5)</f>
        <v>0</v>
      </c>
      <c r="AJ634" s="476">
        <f>INDEX(Input!$1:$1048576,AJ$93,$C634*2+MIN($B634,2)+5)</f>
        <v>0.27</v>
      </c>
      <c r="AK634" s="150">
        <f>ROUND(INDEX(Input!$1:$1048576,AK$93,$C633*2+MIN($B634,1)+5)+(Y634-VLOOKUP($C634*1000+1,$A:$HH,Y$92,FALSE)),0)</f>
        <v>3061</v>
      </c>
      <c r="AL634" s="150">
        <f>ROUND(INDEX(Input!$1:$1048576,AL$93,$C633*2+MIN($B634,1)+5)-(Y634-VLOOKUP($C634*1000+1,$A:$HH,Y$92,FALSE))/36,0)</f>
        <v>3552</v>
      </c>
      <c r="AM634" s="32" t="str">
        <f t="shared" si="1752"/>
        <v>std/std/std/std</v>
      </c>
      <c r="AN634" s="32" t="str">
        <f t="shared" si="1753"/>
        <v>$1000 + 0/0/0/1.9/3.9</v>
      </c>
      <c r="AO634" s="32" t="str">
        <f t="shared" si="1754"/>
        <v>0/0/0/1.9/3.9</v>
      </c>
      <c r="AP634" s="32" t="str">
        <f t="shared" si="1716"/>
        <v>0/0.9/1.9/3.9</v>
      </c>
      <c r="AQ634" s="536">
        <f t="shared" si="1892"/>
        <v>0.40706551631068105</v>
      </c>
      <c r="AR634" s="32"/>
      <c r="AS634" s="302"/>
      <c r="AT634" s="3">
        <f t="shared" si="1788"/>
        <v>34</v>
      </c>
      <c r="AU634" s="41" t="s">
        <v>121</v>
      </c>
      <c r="AV634" s="41" t="s">
        <v>116</v>
      </c>
      <c r="AW634" s="41" t="str">
        <f>INDEX(Input!$1:$1048576,AW$93,$C634*2+6)</f>
        <v>Kia</v>
      </c>
      <c r="AX634" s="41" t="str">
        <f>INDEX(Input!$1:$1048576,AX$93,$C634*2+6)</f>
        <v>National</v>
      </c>
      <c r="AY634" s="41" t="str">
        <f>IF(LEN(D634)=0,"",INDEX(Input!$1:$1048576,AY$93,$C634*2+6))</f>
        <v>Compact SUV (52)</v>
      </c>
      <c r="AZ634" s="41" t="str">
        <f>INDEX(Input!$1:$1048576,AZ$93,$C634*2+6)</f>
        <v>Kia Soul</v>
      </c>
      <c r="BA634" s="3">
        <f>INDEX(Input!$1:$1048576,BA$93,$C634*2+6)</f>
        <v>2020</v>
      </c>
      <c r="BB634" s="128">
        <f>INDEX(Input!$1:$1048576,BB$93,$C634*2+6)</f>
        <v>1</v>
      </c>
      <c r="BC634" s="128">
        <f>INDEX(Input!$1:$1048576,BC$93,$C634*2+6)</f>
        <v>0.7</v>
      </c>
      <c r="BD634" s="1">
        <f>INDEX(Input!$1:$1048576,BD$93,$C634*2+6)</f>
        <v>4.4999999999999998E-2</v>
      </c>
      <c r="BE634" s="1">
        <f>INDEX(Input!$1:$1048576,BE$93,$C634*2+6)</f>
        <v>4.4999999999999998E-2</v>
      </c>
      <c r="BF634" s="1">
        <f>INDEX(Input!$1:$1048576,BF$93,$C634*2+6)</f>
        <v>0.05</v>
      </c>
      <c r="BG634" s="1">
        <f>INDEX(Input!$1:$1048576,BG$93,$C634*2+6)</f>
        <v>5.45E-2</v>
      </c>
      <c r="BH634" s="1">
        <f>INDEX(Input!$1:$1048576,BH$93,$C634*2+6)</f>
        <v>5.45E-2</v>
      </c>
      <c r="BI634" s="1">
        <f>INDEX(Input!$1:$1048576,BI$93,$C634*2+6)</f>
        <v>0.05</v>
      </c>
      <c r="BJ634" s="1">
        <f>INDEX(Input!$1:$1048576,BJ$93,$C634*2+6)</f>
        <v>0.05</v>
      </c>
      <c r="BK634" s="1">
        <f>INDEX(Input!$1:$1048576,BK$93,$C634*2+6)</f>
        <v>0.05</v>
      </c>
      <c r="BL634" s="1">
        <f>INDEX(Input!$1:$1048576,BL$93,$C634*2+6)</f>
        <v>5.5E-2</v>
      </c>
      <c r="BM634" s="1">
        <f>INDEX(Input!$1:$1048576,BM$93,$C634*2+6)</f>
        <v>0.06</v>
      </c>
      <c r="BN634" s="1">
        <f>INDEX(Input!$1:$1048576,BN$93,$C634*2+6)</f>
        <v>4.4999999999999998E-2</v>
      </c>
      <c r="BO634" s="1">
        <f>INDEX(Input!$1:$1048576,BO$93,$C634*2+6)</f>
        <v>4.4999999999999998E-2</v>
      </c>
      <c r="BP634" s="1">
        <f>INDEX(Input!$1:$1048576,BP$93,$C634*2+6)</f>
        <v>0.05</v>
      </c>
      <c r="BQ634" s="1">
        <f>INDEX(Input!$1:$1048576,BQ$93,$C634*2+6)</f>
        <v>5.45E-2</v>
      </c>
      <c r="BR634" s="1">
        <f>INDEX(Input!$1:$1048576,BR$93,$C634*2+6)</f>
        <v>5.45E-2</v>
      </c>
      <c r="BS634" s="1">
        <f>INDEX(Input!$1:$1048576,BS$93,$C634*2+6)</f>
        <v>0.05</v>
      </c>
      <c r="BT634" s="1">
        <f>INDEX(Input!$1:$1048576,BT$93,$C634*2+6)</f>
        <v>0.05</v>
      </c>
      <c r="BU634" s="1">
        <f>INDEX(Input!$1:$1048576,BU$93,$C634*2+6)</f>
        <v>0.05</v>
      </c>
      <c r="BV634" s="1">
        <f>INDEX(Input!$1:$1048576,BV$93,$C634*2+6)</f>
        <v>5.5E-2</v>
      </c>
      <c r="BW634" s="1">
        <f>INDEX(Input!$1:$1048576,BW$93,$C634*2+6)</f>
        <v>0.06</v>
      </c>
      <c r="BX634" s="127">
        <f>INDEX(Input!$1:$1048576,BX$93,$C634*2+6)</f>
        <v>19985</v>
      </c>
      <c r="BY634" s="20">
        <f>INDEX(Input!$1:$1048576,BY$93,$C634*2+6)</f>
        <v>0.1</v>
      </c>
      <c r="BZ634" s="20">
        <f>INDEX(Input!$1:$1048576,BZ$93,$C634*2+6)</f>
        <v>0.1</v>
      </c>
      <c r="CA634" s="20">
        <f>INDEX(Input!$1:$1048576,CA$93,$C634*2+6)</f>
        <v>0.1</v>
      </c>
      <c r="CB634" s="20">
        <f>INDEX(Input!$1:$1048576,CB$93,$C634*2+6)</f>
        <v>0.1</v>
      </c>
      <c r="CC634" s="20">
        <f>INDEX(Input!$1:$1048576,CC$93,$C634*2+6)</f>
        <v>0.1</v>
      </c>
      <c r="CD634" s="384">
        <f>INDEX(Input!$1:$1048576,CD$93,$C634*2+6)</f>
        <v>0.1</v>
      </c>
      <c r="CE634" s="384">
        <f>INDEX(Input!$1:$1048576,CE$93,$C634*2+6)</f>
        <v>0.1</v>
      </c>
      <c r="CF634" s="384">
        <f>INDEX(Input!$1:$1048576,CF$93,$C634*2+6)</f>
        <v>0.1</v>
      </c>
      <c r="CG634" s="384">
        <f>INDEX(Input!$1:$1048576,CG$93,$C634*2+6)</f>
        <v>0.1</v>
      </c>
      <c r="CH634" s="384">
        <f>INDEX(Input!$1:$1048576,CH$93,$C634*2+6)</f>
        <v>0.1</v>
      </c>
      <c r="CI634" s="304">
        <f t="shared" si="1718"/>
        <v>2267.2644913000609</v>
      </c>
      <c r="CJ634" s="16" t="str">
        <f>INDEX(Input!$1:$1048576,CJ$93,$C634*2+6)</f>
        <v>N</v>
      </c>
      <c r="CK634" s="1" t="str">
        <f t="shared" si="1719"/>
        <v>Market</v>
      </c>
      <c r="CL634" s="1" t="str">
        <f t="shared" si="1720"/>
        <v>Market</v>
      </c>
      <c r="CM634" s="1" t="str">
        <f t="shared" si="1721"/>
        <v>Market</v>
      </c>
      <c r="CN634" s="1" t="str">
        <f t="shared" si="1722"/>
        <v>Market</v>
      </c>
      <c r="CO634" s="1" t="str">
        <f t="shared" si="1723"/>
        <v>Market</v>
      </c>
      <c r="CP634" s="304">
        <f t="shared" si="1724"/>
        <v>1500</v>
      </c>
      <c r="CQ634" s="1">
        <f t="shared" si="1725"/>
        <v>0</v>
      </c>
      <c r="CR634" s="1">
        <f t="shared" si="1726"/>
        <v>0</v>
      </c>
      <c r="CS634" s="1">
        <f t="shared" si="1727"/>
        <v>0</v>
      </c>
      <c r="CT634" s="1">
        <f t="shared" si="1728"/>
        <v>1.9E-2</v>
      </c>
      <c r="CU634" s="1">
        <f t="shared" si="1729"/>
        <v>3.9E-2</v>
      </c>
      <c r="CV634" s="304">
        <f t="shared" si="1730"/>
        <v>737.99367635402496</v>
      </c>
      <c r="CW634" s="20" t="s">
        <v>122</v>
      </c>
      <c r="CX634" s="20" t="s">
        <v>122</v>
      </c>
      <c r="CY634" s="20" t="s">
        <v>122</v>
      </c>
      <c r="CZ634" s="20" t="s">
        <v>122</v>
      </c>
      <c r="DA634" s="20" t="s">
        <v>122</v>
      </c>
      <c r="DB634" s="503">
        <f t="shared" si="1731"/>
        <v>0</v>
      </c>
      <c r="DC634" s="127">
        <v>0</v>
      </c>
      <c r="DD634" s="127">
        <v>0</v>
      </c>
      <c r="DE634" s="127">
        <v>0</v>
      </c>
      <c r="DF634" s="127">
        <v>0</v>
      </c>
      <c r="DG634" s="127">
        <v>0</v>
      </c>
      <c r="DH634" s="127">
        <v>0</v>
      </c>
      <c r="DI634" s="127">
        <v>0</v>
      </c>
      <c r="DJ634" s="127">
        <v>0</v>
      </c>
      <c r="DK634" s="127">
        <v>0</v>
      </c>
      <c r="DL634" s="127">
        <v>0</v>
      </c>
      <c r="DM634" s="304">
        <f>INDEX(Input!$1:$1048576,DM$93,$C634*2+6)</f>
        <v>21036.84210526316</v>
      </c>
      <c r="DN634" s="20">
        <v>0</v>
      </c>
      <c r="DO634" s="20">
        <v>0</v>
      </c>
      <c r="DP634" s="20">
        <v>0</v>
      </c>
      <c r="DQ634" s="20">
        <v>0</v>
      </c>
      <c r="DR634" s="20">
        <v>0</v>
      </c>
      <c r="DS634" s="20">
        <f>INDEX(Input!$1:$1048576,DS$93,$C634*2+6)</f>
        <v>0.6</v>
      </c>
      <c r="DT634" s="20">
        <f>INDEX(Input!$1:$1048576,DT$93,$C634*2+6)</f>
        <v>0.55000000000000004</v>
      </c>
      <c r="DU634" s="20">
        <f>INDEX(Input!$1:$1048576,DU$93,$C634*2+6)</f>
        <v>0.52</v>
      </c>
      <c r="DV634" s="20">
        <f>INDEX(Input!$1:$1048576,DV$93,$C634*2+6)</f>
        <v>0.5</v>
      </c>
      <c r="DW634" s="20">
        <f>INDEX(Input!$1:$1048576,DW$93,$C634*2+6)</f>
        <v>0.45</v>
      </c>
      <c r="DX634" s="20"/>
      <c r="DY634" s="7"/>
      <c r="DZ634" s="7"/>
      <c r="EA634" s="7"/>
      <c r="EB634" s="7"/>
      <c r="EC634" s="7"/>
      <c r="ED634" s="7"/>
      <c r="EE634" s="7"/>
      <c r="EF634" s="7"/>
      <c r="EG634" s="7"/>
      <c r="EH634" s="7"/>
      <c r="EI634" s="7"/>
      <c r="EJ634" s="7"/>
      <c r="EK634" s="7"/>
      <c r="EL634" s="7"/>
      <c r="EM634" s="7"/>
      <c r="EN634" s="7"/>
      <c r="EO634" s="7"/>
      <c r="EP634" s="7"/>
      <c r="EQ634" s="7"/>
      <c r="ER634" s="7"/>
      <c r="ES634" s="7"/>
      <c r="ET634" s="7"/>
      <c r="EU634" s="6"/>
      <c r="EV634" s="6"/>
      <c r="EW634" s="6"/>
      <c r="EX634" s="6"/>
      <c r="EY634" s="6"/>
      <c r="EZ634" s="6"/>
      <c r="FA634" s="6"/>
      <c r="FB634" s="6"/>
      <c r="FC634" s="6"/>
      <c r="FD634" s="6"/>
      <c r="FE634" s="6"/>
      <c r="FF634" s="6"/>
      <c r="FG634" s="6"/>
      <c r="FH634" s="6"/>
      <c r="FI634" s="6"/>
      <c r="FJ634" s="6"/>
      <c r="FK634" s="6"/>
      <c r="FL634" s="6"/>
      <c r="FM634" s="6"/>
      <c r="FN634" s="6"/>
      <c r="FO634" s="6"/>
      <c r="FP634" s="6"/>
      <c r="FQ634" s="6"/>
      <c r="FR634" s="6"/>
      <c r="FS634" s="6"/>
      <c r="FT634" s="7"/>
      <c r="FU634" s="7"/>
      <c r="FV634" s="7"/>
      <c r="FW634" s="6"/>
      <c r="FX634" s="6"/>
      <c r="FY634" s="6"/>
      <c r="FZ634" s="6"/>
      <c r="GA634" s="6"/>
      <c r="GB634" s="6"/>
      <c r="GC634" s="7"/>
      <c r="GD634" s="7"/>
      <c r="GE634" s="7"/>
      <c r="GF634" s="7"/>
      <c r="GG634" s="7"/>
      <c r="GH634" s="42"/>
      <c r="GI634" s="6"/>
      <c r="GJ634" s="14"/>
      <c r="GK634" s="14"/>
      <c r="GL634" s="14"/>
      <c r="GM634" s="14"/>
      <c r="GO634" s="5"/>
      <c r="GP634" s="5"/>
      <c r="GQ634" s="5"/>
      <c r="GR634" s="5"/>
      <c r="GS634" s="5"/>
      <c r="GT634" s="5"/>
      <c r="GU634" s="5"/>
      <c r="GV634" s="39"/>
      <c r="GW634" s="5"/>
      <c r="GX634" s="5"/>
      <c r="GY634" s="5"/>
      <c r="GZ634" s="5"/>
      <c r="HA634" s="5"/>
      <c r="HB634" s="39"/>
      <c r="HC634" s="5"/>
      <c r="HD634" s="5"/>
      <c r="HE634" s="5"/>
      <c r="HF634" s="5"/>
      <c r="HG634" s="5"/>
      <c r="HH634" s="39"/>
      <c r="HI634" s="16"/>
      <c r="HJ634" s="19"/>
      <c r="HK634" s="1"/>
      <c r="HL634" s="16"/>
      <c r="HM634" s="639">
        <f t="shared" si="1755"/>
        <v>2.3149872625708352E-2</v>
      </c>
      <c r="HN634" s="639">
        <f t="shared" si="1756"/>
        <v>1.3965040474190958E-3</v>
      </c>
      <c r="HO634" s="639">
        <f t="shared" si="1757"/>
        <v>3.5429561340050734E-3</v>
      </c>
      <c r="HP634" s="644">
        <f t="shared" ref="HP634:ID634" si="1896">HP134+HP234+HP334+HP434+HP534</f>
        <v>1047.9578283783269</v>
      </c>
      <c r="HQ634" s="644">
        <f t="shared" si="1896"/>
        <v>62.89930183443245</v>
      </c>
      <c r="HR634" s="644">
        <f t="shared" si="1896"/>
        <v>-247.38311343892539</v>
      </c>
      <c r="HS634" s="644">
        <f t="shared" si="1896"/>
        <v>-415.17958238206768</v>
      </c>
      <c r="HT634" s="644">
        <f t="shared" si="1896"/>
        <v>472.30993218752832</v>
      </c>
      <c r="HU634" s="644">
        <f t="shared" si="1896"/>
        <v>70.91349758837589</v>
      </c>
      <c r="HV634" s="644">
        <f t="shared" si="1896"/>
        <v>0</v>
      </c>
      <c r="HW634" s="644">
        <f t="shared" si="1896"/>
        <v>0</v>
      </c>
      <c r="HX634" s="644">
        <f t="shared" si="1896"/>
        <v>0</v>
      </c>
      <c r="HY634" s="644">
        <f t="shared" si="1896"/>
        <v>2396</v>
      </c>
      <c r="HZ634" s="644">
        <f t="shared" si="1896"/>
        <v>3223</v>
      </c>
      <c r="IA634" s="644">
        <f t="shared" si="1896"/>
        <v>830</v>
      </c>
      <c r="IB634" s="644">
        <f t="shared" si="1896"/>
        <v>3028.7782459962591</v>
      </c>
      <c r="IC634" s="644">
        <f t="shared" si="1896"/>
        <v>3758.209234021961</v>
      </c>
      <c r="ID634" s="644">
        <f t="shared" si="1896"/>
        <v>653.53038414945047</v>
      </c>
      <c r="IE634" s="20">
        <f t="shared" si="1759"/>
        <v>0.40706551631068105</v>
      </c>
      <c r="IF634" s="20">
        <f t="shared" si="1760"/>
        <v>0.50510049201291318</v>
      </c>
      <c r="IG634" s="20">
        <f t="shared" si="1761"/>
        <v>8.7833991676405612E-2</v>
      </c>
      <c r="IH634" s="21"/>
      <c r="II634" s="19"/>
      <c r="IJ634" s="19"/>
      <c r="IK634" s="19"/>
      <c r="IL634" s="19">
        <f t="shared" si="1762"/>
        <v>1163.9102809779033</v>
      </c>
      <c r="IM634" s="19">
        <f t="shared" si="1763"/>
        <v>1175.5562094343054</v>
      </c>
      <c r="IN634" s="19">
        <f t="shared" si="1764"/>
        <v>118.10086934027913</v>
      </c>
      <c r="IO634" s="39"/>
      <c r="IP634" s="39"/>
      <c r="IQ634" s="39"/>
      <c r="IR634" s="39"/>
      <c r="IS634" s="39"/>
      <c r="IT634" s="39"/>
      <c r="IU634" s="39"/>
      <c r="IV634" s="39"/>
      <c r="IW634" s="39"/>
      <c r="IX634" s="19">
        <f t="shared" si="1765"/>
        <v>1554.1790484140233</v>
      </c>
      <c r="IY634" s="19">
        <f t="shared" si="1766"/>
        <v>2412.3001201524512</v>
      </c>
      <c r="IZ634" s="19">
        <f t="shared" si="1767"/>
        <v>3993.0862952928574</v>
      </c>
      <c r="JA634" s="19">
        <f t="shared" ref="JA634:JC634" si="1897">IFERROR((JA134*IB134+JA234*IB234+JA334*IB334+JA434*IB434+JA534*IB534)/IB634,0)</f>
        <v>2718.0893293919266</v>
      </c>
      <c r="JB634" s="19">
        <f t="shared" si="1897"/>
        <v>3587.8563295867566</v>
      </c>
      <c r="JC634" s="19">
        <f t="shared" si="1897"/>
        <v>4111.1871646331365</v>
      </c>
      <c r="JD634" s="19">
        <f t="shared" si="1769"/>
        <v>3279.770412791926</v>
      </c>
      <c r="JE634" s="21"/>
      <c r="JF634" s="1">
        <f t="shared" si="1770"/>
        <v>2.6651855648468406E-2</v>
      </c>
      <c r="JG634" s="15">
        <f t="shared" si="1771"/>
        <v>6449</v>
      </c>
      <c r="JH634" s="1">
        <f t="shared" si="1772"/>
        <v>0.1338926991430972</v>
      </c>
      <c r="JI634" s="1">
        <f t="shared" si="1773"/>
        <v>1.985483755525454E-2</v>
      </c>
      <c r="JJ634" s="1">
        <f t="shared" si="1774"/>
        <v>0</v>
      </c>
      <c r="JK634" s="1">
        <f t="shared" si="1775"/>
        <v>0.15374753669835176</v>
      </c>
      <c r="JL634" s="15">
        <f t="shared" ref="JL634:JM634" si="1898">JL134+JL234+JL334+JL434+JL534</f>
        <v>991.5178641676705</v>
      </c>
      <c r="JM634" s="15">
        <f t="shared" si="1898"/>
        <v>7440.5178641676703</v>
      </c>
      <c r="JN634" s="21"/>
      <c r="JO634" s="19">
        <f>INDEX(Input!$1:$1048576,JO$93,$C634*2+6)</f>
        <v>5995.5</v>
      </c>
      <c r="JP634" s="19">
        <f>INDEX(Input!$1:$1048576,JP$93,$C634*2+6)</f>
        <v>2296.6050414551746</v>
      </c>
      <c r="JQ634" s="39">
        <f t="shared" si="1799"/>
        <v>2715.729587208074</v>
      </c>
      <c r="JR634" s="39">
        <f t="shared" si="1800"/>
        <v>983.16537133675138</v>
      </c>
      <c r="JS634" s="39">
        <f t="shared" si="1801"/>
        <v>24.4031903467469</v>
      </c>
      <c r="JT634" s="39">
        <f t="shared" si="1802"/>
        <v>9.5923844344024793</v>
      </c>
      <c r="JU634" s="385">
        <f>(JQ634*JM634-INDEX(Input!$1:$1048576,Input!A$18,$C634*2+6)*JL634*INDEX(Input!$1:$1048576,Input!A$19,$C634*2+6))/1000000</f>
        <v>20.20643450787037</v>
      </c>
      <c r="JV634" s="39">
        <f t="shared" si="1803"/>
        <v>-3.6477390797852074</v>
      </c>
      <c r="JW634" s="1">
        <f t="shared" si="1804"/>
        <v>-0.15291827513458253</v>
      </c>
      <c r="JX634" s="19">
        <f t="shared" si="1805"/>
        <v>9674.4443857850256</v>
      </c>
      <c r="JZ634" s="341"/>
      <c r="KA634" s="60"/>
      <c r="KB634" s="469">
        <f t="shared" si="1778"/>
        <v>0</v>
      </c>
      <c r="KI634" s="472"/>
      <c r="KJ634" s="472"/>
      <c r="KK634" s="472"/>
      <c r="KN634" s="793">
        <f t="shared" si="1779"/>
        <v>6002</v>
      </c>
      <c r="KO634" s="541">
        <f t="shared" si="1780"/>
        <v>0.12730191109089328</v>
      </c>
      <c r="KP634" s="546">
        <f t="shared" si="1781"/>
        <v>910.05951109365606</v>
      </c>
      <c r="KQ634" s="546">
        <f t="shared" si="1782"/>
        <v>816.93715618678107</v>
      </c>
      <c r="KR634" s="472">
        <f t="shared" si="1783"/>
        <v>2.4510543384210646</v>
      </c>
      <c r="KS634" s="472">
        <f t="shared" si="1784"/>
        <v>2.7304490877844985</v>
      </c>
      <c r="KT634" s="473">
        <f t="shared" si="1795"/>
        <v>4286.2445668946921</v>
      </c>
      <c r="KU634" s="663">
        <f t="shared" si="1785"/>
        <v>4.4842144472879912</v>
      </c>
      <c r="KV634" s="117"/>
    </row>
    <row r="635" spans="1:308" s="26" customFormat="1" ht="15">
      <c r="A635" s="561">
        <f t="shared" si="1751"/>
        <v>6035</v>
      </c>
      <c r="B635" s="561">
        <f t="shared" si="1786"/>
        <v>35</v>
      </c>
      <c r="C635" s="561">
        <f t="shared" si="1787"/>
        <v>6</v>
      </c>
      <c r="D635" s="561" t="str">
        <f t="shared" si="1855"/>
        <v xml:space="preserve">250 CC, 0/0/0.9/3.9, </v>
      </c>
      <c r="E635" s="475">
        <f>INDEX(Input!$1:$1048576,E$93,$C635*2+MIN($B635,2)+5)
+INDEX(Scenarios!E$121:E$199,MATCH($B635,Scenarios!$B$121:$B$199,0))</f>
        <v>1517.2644913000609</v>
      </c>
      <c r="F635" s="475">
        <f>INDEX(Input!$1:$1048576,F$93,$C635*2+MIN($B635,2)+5)
+INDEX(Scenarios!F$121:F$199,MATCH($B635,Scenarios!$B$121:$B$199,0))</f>
        <v>0</v>
      </c>
      <c r="G635" s="475">
        <f>INDEX(Input!$1:$1048576,G$93,$C635*2+MIN($B635,2)+5)
+INDEX(Scenarios!G$121:G$199,MATCH($B635,Scenarios!$B$121:$B$199,0))</f>
        <v>0</v>
      </c>
      <c r="H635" s="475">
        <f>INDEX(Input!$1:$1048576,H$93,$C635*2+MIN($B635,2)+5)
+INDEX(Scenarios!H$121:H$199,MATCH($B635,Scenarios!$B$121:$B$199,0))</f>
        <v>0</v>
      </c>
      <c r="I635" s="476">
        <f>INDEX(Input!$1:$1048576,I$93,$C635*2+MIN($B635,2)+5)
+INDEX(Scenarios!I$121:I$199,MATCH($B635,Scenarios!$B$121:$B$199,0))</f>
        <v>0.7</v>
      </c>
      <c r="J635" s="476" t="str">
        <f>INDEX(Input!$1:$1048576,J$93,$C635*2+MIN($B635,2)+5)</f>
        <v>Market</v>
      </c>
      <c r="K635" s="476" t="str">
        <f>INDEX(Input!$1:$1048576,K$93,$C635*2+MIN($B635,2)+5)</f>
        <v>Market</v>
      </c>
      <c r="L635" s="476" t="str">
        <f>INDEX(Input!$1:$1048576,L$93,$C635*2+MIN($B635,2)+5)</f>
        <v>Market</v>
      </c>
      <c r="M635" s="476" t="str">
        <f>INDEX(Input!$1:$1048576,M$93,$C635*2+MIN($B635,2)+5)</f>
        <v>Market</v>
      </c>
      <c r="N635" s="476" t="str">
        <f>INDEX(Input!$1:$1048576,N$93,$C635*2+MIN($B635,2)+5)</f>
        <v>Market</v>
      </c>
      <c r="O635" s="476" t="str">
        <f>INDEX(Input!$1:$1048576,O$93,$C635*2+MIN($B635,2)+5)</f>
        <v>Market</v>
      </c>
      <c r="P635" s="476" t="str">
        <f>INDEX(Input!$1:$1048576,P$93,$C635*2+MIN($B635,2)+5)</f>
        <v>N</v>
      </c>
      <c r="Q635" s="477">
        <f>INDEX(Input!$1:$1048576,Q$93,$C635*2+MIN($B635,2)+5)
+INDEX(Scenarios!Q$121:Q$199,MATCH($B635,Scenarios!$B$121:$B$199,0))</f>
        <v>0</v>
      </c>
      <c r="R635" s="478">
        <f>IFERROR(MAX(0,INDEX(Input!$1:$1048576,R$93,$C635*2+MIN($B635,2)+5)
+INDEX(Scenarios!R$121:R$199,MATCH($B635,Scenarios!$B$121:$B$199,0)),),"Market")</f>
        <v>0</v>
      </c>
      <c r="S635" s="478">
        <f>IFERROR(MAX(0,INDEX(Input!$1:$1048576,S$93,$C635*2+MIN($B635,2)+5)
+INDEX(Scenarios!S$121:S$199,MATCH($B635,Scenarios!$B$121:$B$199,0)),),"Market")</f>
        <v>0</v>
      </c>
      <c r="T635" s="478">
        <f>IFERROR(MAX(0,INDEX(Input!$1:$1048576,T$93,$C635*2+MIN($B635,2)+5)
+INDEX(Scenarios!T$121:T$199,MATCH($B635,Scenarios!$B$121:$B$199,0)),),"Market")</f>
        <v>0</v>
      </c>
      <c r="U635" s="478">
        <f>IFERROR(MAX(0,INDEX(Input!$1:$1048576,U$93,$C635*2+MIN($B635,2)+5)
+INDEX(Scenarios!U$121:U$199,MATCH($B635,Scenarios!$B$121:$B$199,0)),),"Market")</f>
        <v>0</v>
      </c>
      <c r="V635" s="478">
        <f>IFERROR(MAX(0,INDEX(Input!$1:$1048576,V$93,$C635*2+MIN($B635,2)+5)
+INDEX(Scenarios!V$121:V$199,MATCH($B635,Scenarios!$B$121:$B$199,0)),),"Market")</f>
        <v>8.9999999999999993E-3</v>
      </c>
      <c r="W635" s="885">
        <f>IFERROR(MAX(0,INDEX(Input!$1:$1048576,W$93,$C635*2+MIN($B635,2)+5)-0%,),"Market")</f>
        <v>3.9E-2</v>
      </c>
      <c r="X635" s="476" t="str">
        <f>INDEX(Input!$1:$1048576,X$93,$C635*2+MIN($B635,2)+5)</f>
        <v>Y</v>
      </c>
      <c r="Y635" s="475">
        <f>INDEX(Input!$1:$1048576,Y$93,$C635*2+MIN($B635,2)+5)
++INDEX(Scenarios!Y$121:Y$199,MATCH($B635,Scenarios!$B$121:$B$199,0))</f>
        <v>737.99367635402496</v>
      </c>
      <c r="Z635" s="477">
        <f>INDEX(Input!$1:$1048576,Z$93,$C635*2+MIN($B635,2)+5)
+INDEX(Scenarios!Z$121:Z$199,MATCH($B635,Scenarios!$B$121:$B$199,0))</f>
        <v>0</v>
      </c>
      <c r="AA635" s="475">
        <f>INDEX(Input!$1:$1048576,AA$93,$C635*2+MIN($B635,2)+5)</f>
        <v>0</v>
      </c>
      <c r="AB635" s="476">
        <f>INDEX(Input!$1:$1048576,AB$93,$C635*2+MIN($B635,2)+5)</f>
        <v>0.27</v>
      </c>
      <c r="AC635" s="475">
        <f>INDEX(Input!$1:$1048576,AC$93,$C635*2+MIN($B635,2)+5)
+INDEX(Scenarios!AC$121:AC$199,MATCH($B635,Scenarios!$B$121:$B$199,0))</f>
        <v>0</v>
      </c>
      <c r="AD635" s="476">
        <f>INDEX(Input!$1:$1048576,AD$93,$C635*2+MIN($B635,2)+5)</f>
        <v>0.27</v>
      </c>
      <c r="AE635" s="475">
        <f>INDEX(Input!$1:$1048576,AE$93,$C635*2+MIN($B635,2)+5)
+INDEX(Scenarios!AE$121:AE$199,MATCH($B635,Scenarios!$B$121:$B$199,0))</f>
        <v>0</v>
      </c>
      <c r="AF635" s="476">
        <f>INDEX(Input!$1:$1048576,AF$93,$C635*2+MIN($B635,2)+5)</f>
        <v>1</v>
      </c>
      <c r="AG635" s="475">
        <f>INDEX(Input!$1:$1048576,AG$93,$C635*2+MIN($B635,2)+5)</f>
        <v>500</v>
      </c>
      <c r="AH635" s="476">
        <f>INDEX(Input!$1:$1048576,AH$93,$C635*2+MIN($B635,2)+5)</f>
        <v>1</v>
      </c>
      <c r="AI635" s="475">
        <f>INDEX(Input!$1:$1048576,AI$93,$C635*2+MIN($B635,2)+5)</f>
        <v>0</v>
      </c>
      <c r="AJ635" s="476">
        <f>INDEX(Input!$1:$1048576,AJ$93,$C635*2+MIN($B635,2)+5)</f>
        <v>0.27</v>
      </c>
      <c r="AK635" s="150">
        <f>ROUND(INDEX(Input!$1:$1048576,AK$93,$C634*2+MIN($B635,1)+5)+(Y635-VLOOKUP($C635*1000+1,$A:$HH,Y$92,FALSE)),0)</f>
        <v>3061</v>
      </c>
      <c r="AL635" s="150">
        <f>ROUND(INDEX(Input!$1:$1048576,AL$93,$C634*2+MIN($B635,1)+5)-(Y635-VLOOKUP($C635*1000+1,$A:$HH,Y$92,FALSE))/36,0)</f>
        <v>3552</v>
      </c>
      <c r="AM635" s="32" t="str">
        <f t="shared" si="1752"/>
        <v>std/std/std/std</v>
      </c>
      <c r="AN635" s="32" t="str">
        <f t="shared" si="1753"/>
        <v>$0 + 0/0/0/0.9/3.9</v>
      </c>
      <c r="AO635" s="32" t="str">
        <f t="shared" si="1754"/>
        <v>0/0/0/0.9/3.9</v>
      </c>
      <c r="AP635" s="32" t="str">
        <f t="shared" si="1716"/>
        <v>0/0/0.9/3.9</v>
      </c>
      <c r="AQ635" s="536">
        <f t="shared" si="1892"/>
        <v>0.37470158390285024</v>
      </c>
      <c r="AR635" s="32"/>
      <c r="AS635" s="302"/>
      <c r="AT635" s="3">
        <f t="shared" si="1788"/>
        <v>35</v>
      </c>
      <c r="AU635" s="41" t="s">
        <v>121</v>
      </c>
      <c r="AV635" s="41" t="s">
        <v>116</v>
      </c>
      <c r="AW635" s="41" t="str">
        <f>INDEX(Input!$1:$1048576,AW$93,$C635*2+6)</f>
        <v>Kia</v>
      </c>
      <c r="AX635" s="41" t="str">
        <f>INDEX(Input!$1:$1048576,AX$93,$C635*2+6)</f>
        <v>National</v>
      </c>
      <c r="AY635" s="41" t="str">
        <f>IF(LEN(D635)=0,"",INDEX(Input!$1:$1048576,AY$93,$C635*2+6))</f>
        <v>Compact SUV (52)</v>
      </c>
      <c r="AZ635" s="41" t="str">
        <f>INDEX(Input!$1:$1048576,AZ$93,$C635*2+6)</f>
        <v>Kia Soul</v>
      </c>
      <c r="BA635" s="3">
        <f>INDEX(Input!$1:$1048576,BA$93,$C635*2+6)</f>
        <v>2020</v>
      </c>
      <c r="BB635" s="128">
        <f>INDEX(Input!$1:$1048576,BB$93,$C635*2+6)</f>
        <v>1</v>
      </c>
      <c r="BC635" s="128">
        <f>INDEX(Input!$1:$1048576,BC$93,$C635*2+6)</f>
        <v>0.7</v>
      </c>
      <c r="BD635" s="1">
        <f>INDEX(Input!$1:$1048576,BD$93,$C635*2+6)</f>
        <v>4.4999999999999998E-2</v>
      </c>
      <c r="BE635" s="1">
        <f>INDEX(Input!$1:$1048576,BE$93,$C635*2+6)</f>
        <v>4.4999999999999998E-2</v>
      </c>
      <c r="BF635" s="1">
        <f>INDEX(Input!$1:$1048576,BF$93,$C635*2+6)</f>
        <v>0.05</v>
      </c>
      <c r="BG635" s="1">
        <f>INDEX(Input!$1:$1048576,BG$93,$C635*2+6)</f>
        <v>5.45E-2</v>
      </c>
      <c r="BH635" s="1">
        <f>INDEX(Input!$1:$1048576,BH$93,$C635*2+6)</f>
        <v>5.45E-2</v>
      </c>
      <c r="BI635" s="1">
        <f>INDEX(Input!$1:$1048576,BI$93,$C635*2+6)</f>
        <v>0.05</v>
      </c>
      <c r="BJ635" s="1">
        <f>INDEX(Input!$1:$1048576,BJ$93,$C635*2+6)</f>
        <v>0.05</v>
      </c>
      <c r="BK635" s="1">
        <f>INDEX(Input!$1:$1048576,BK$93,$C635*2+6)</f>
        <v>0.05</v>
      </c>
      <c r="BL635" s="1">
        <f>INDEX(Input!$1:$1048576,BL$93,$C635*2+6)</f>
        <v>5.5E-2</v>
      </c>
      <c r="BM635" s="1">
        <f>INDEX(Input!$1:$1048576,BM$93,$C635*2+6)</f>
        <v>0.06</v>
      </c>
      <c r="BN635" s="1">
        <f>INDEX(Input!$1:$1048576,BN$93,$C635*2+6)</f>
        <v>4.4999999999999998E-2</v>
      </c>
      <c r="BO635" s="1">
        <f>INDEX(Input!$1:$1048576,BO$93,$C635*2+6)</f>
        <v>4.4999999999999998E-2</v>
      </c>
      <c r="BP635" s="1">
        <f>INDEX(Input!$1:$1048576,BP$93,$C635*2+6)</f>
        <v>0.05</v>
      </c>
      <c r="BQ635" s="1">
        <f>INDEX(Input!$1:$1048576,BQ$93,$C635*2+6)</f>
        <v>5.45E-2</v>
      </c>
      <c r="BR635" s="1">
        <f>INDEX(Input!$1:$1048576,BR$93,$C635*2+6)</f>
        <v>5.45E-2</v>
      </c>
      <c r="BS635" s="1">
        <f>INDEX(Input!$1:$1048576,BS$93,$C635*2+6)</f>
        <v>0.05</v>
      </c>
      <c r="BT635" s="1">
        <f>INDEX(Input!$1:$1048576,BT$93,$C635*2+6)</f>
        <v>0.05</v>
      </c>
      <c r="BU635" s="1">
        <f>INDEX(Input!$1:$1048576,BU$93,$C635*2+6)</f>
        <v>0.05</v>
      </c>
      <c r="BV635" s="1">
        <f>INDEX(Input!$1:$1048576,BV$93,$C635*2+6)</f>
        <v>5.5E-2</v>
      </c>
      <c r="BW635" s="1">
        <f>INDEX(Input!$1:$1048576,BW$93,$C635*2+6)</f>
        <v>0.06</v>
      </c>
      <c r="BX635" s="127">
        <f>INDEX(Input!$1:$1048576,BX$93,$C635*2+6)</f>
        <v>19985</v>
      </c>
      <c r="BY635" s="20">
        <f>INDEX(Input!$1:$1048576,BY$93,$C635*2+6)</f>
        <v>0.1</v>
      </c>
      <c r="BZ635" s="20">
        <f>INDEX(Input!$1:$1048576,BZ$93,$C635*2+6)</f>
        <v>0.1</v>
      </c>
      <c r="CA635" s="20">
        <f>INDEX(Input!$1:$1048576,CA$93,$C635*2+6)</f>
        <v>0.1</v>
      </c>
      <c r="CB635" s="20">
        <f>INDEX(Input!$1:$1048576,CB$93,$C635*2+6)</f>
        <v>0.1</v>
      </c>
      <c r="CC635" s="20">
        <f>INDEX(Input!$1:$1048576,CC$93,$C635*2+6)</f>
        <v>0.1</v>
      </c>
      <c r="CD635" s="384">
        <f>INDEX(Input!$1:$1048576,CD$93,$C635*2+6)</f>
        <v>0.1</v>
      </c>
      <c r="CE635" s="384">
        <f>INDEX(Input!$1:$1048576,CE$93,$C635*2+6)</f>
        <v>0.1</v>
      </c>
      <c r="CF635" s="384">
        <f>INDEX(Input!$1:$1048576,CF$93,$C635*2+6)</f>
        <v>0.1</v>
      </c>
      <c r="CG635" s="384">
        <f>INDEX(Input!$1:$1048576,CG$93,$C635*2+6)</f>
        <v>0.1</v>
      </c>
      <c r="CH635" s="384">
        <f>INDEX(Input!$1:$1048576,CH$93,$C635*2+6)</f>
        <v>0.1</v>
      </c>
      <c r="CI635" s="304">
        <f t="shared" si="1718"/>
        <v>1517.2644913000609</v>
      </c>
      <c r="CJ635" s="16" t="str">
        <f>INDEX(Input!$1:$1048576,CJ$93,$C635*2+6)</f>
        <v>N</v>
      </c>
      <c r="CK635" s="1" t="str">
        <f t="shared" si="1719"/>
        <v>Market</v>
      </c>
      <c r="CL635" s="1" t="str">
        <f t="shared" si="1720"/>
        <v>Market</v>
      </c>
      <c r="CM635" s="1" t="str">
        <f t="shared" si="1721"/>
        <v>Market</v>
      </c>
      <c r="CN635" s="1" t="str">
        <f t="shared" si="1722"/>
        <v>Market</v>
      </c>
      <c r="CO635" s="1" t="str">
        <f t="shared" si="1723"/>
        <v>Market</v>
      </c>
      <c r="CP635" s="304">
        <f t="shared" si="1724"/>
        <v>500</v>
      </c>
      <c r="CQ635" s="1">
        <f t="shared" si="1725"/>
        <v>0</v>
      </c>
      <c r="CR635" s="1">
        <f t="shared" si="1726"/>
        <v>0</v>
      </c>
      <c r="CS635" s="1">
        <f t="shared" si="1727"/>
        <v>0</v>
      </c>
      <c r="CT635" s="1">
        <f t="shared" si="1728"/>
        <v>8.9999999999999993E-3</v>
      </c>
      <c r="CU635" s="1">
        <f t="shared" si="1729"/>
        <v>3.9E-2</v>
      </c>
      <c r="CV635" s="304">
        <f t="shared" si="1730"/>
        <v>737.99367635402496</v>
      </c>
      <c r="CW635" s="20" t="s">
        <v>122</v>
      </c>
      <c r="CX635" s="20" t="s">
        <v>122</v>
      </c>
      <c r="CY635" s="20" t="s">
        <v>122</v>
      </c>
      <c r="CZ635" s="20" t="s">
        <v>122</v>
      </c>
      <c r="DA635" s="20" t="s">
        <v>122</v>
      </c>
      <c r="DB635" s="503">
        <f t="shared" si="1731"/>
        <v>0</v>
      </c>
      <c r="DC635" s="127">
        <v>0</v>
      </c>
      <c r="DD635" s="127">
        <v>0</v>
      </c>
      <c r="DE635" s="127">
        <v>0</v>
      </c>
      <c r="DF635" s="127">
        <v>0</v>
      </c>
      <c r="DG635" s="127">
        <v>0</v>
      </c>
      <c r="DH635" s="127">
        <v>0</v>
      </c>
      <c r="DI635" s="127">
        <v>0</v>
      </c>
      <c r="DJ635" s="127">
        <v>0</v>
      </c>
      <c r="DK635" s="127">
        <v>0</v>
      </c>
      <c r="DL635" s="127">
        <v>0</v>
      </c>
      <c r="DM635" s="304">
        <f>INDEX(Input!$1:$1048576,DM$93,$C635*2+6)</f>
        <v>21036.84210526316</v>
      </c>
      <c r="DN635" s="20">
        <v>0</v>
      </c>
      <c r="DO635" s="20">
        <v>0</v>
      </c>
      <c r="DP635" s="20">
        <v>0</v>
      </c>
      <c r="DQ635" s="20">
        <v>0</v>
      </c>
      <c r="DR635" s="20">
        <v>0</v>
      </c>
      <c r="DS635" s="20">
        <f>INDEX(Input!$1:$1048576,DS$93,$C635*2+6)</f>
        <v>0.6</v>
      </c>
      <c r="DT635" s="20">
        <f>INDEX(Input!$1:$1048576,DT$93,$C635*2+6)</f>
        <v>0.55000000000000004</v>
      </c>
      <c r="DU635" s="20">
        <f>INDEX(Input!$1:$1048576,DU$93,$C635*2+6)</f>
        <v>0.52</v>
      </c>
      <c r="DV635" s="20">
        <f>INDEX(Input!$1:$1048576,DV$93,$C635*2+6)</f>
        <v>0.5</v>
      </c>
      <c r="DW635" s="20">
        <f>INDEX(Input!$1:$1048576,DW$93,$C635*2+6)</f>
        <v>0.45</v>
      </c>
      <c r="DX635" s="20"/>
      <c r="DY635" s="7"/>
      <c r="DZ635" s="7"/>
      <c r="EA635" s="7"/>
      <c r="EB635" s="7"/>
      <c r="EC635" s="7"/>
      <c r="ED635" s="7"/>
      <c r="EE635" s="7"/>
      <c r="EF635" s="7"/>
      <c r="EG635" s="7"/>
      <c r="EH635" s="7"/>
      <c r="EI635" s="7"/>
      <c r="EJ635" s="7"/>
      <c r="EK635" s="7"/>
      <c r="EL635" s="7"/>
      <c r="EM635" s="7"/>
      <c r="EN635" s="7"/>
      <c r="EO635" s="7"/>
      <c r="EP635" s="7"/>
      <c r="EQ635" s="7"/>
      <c r="ER635" s="7"/>
      <c r="ES635" s="7"/>
      <c r="ET635" s="7"/>
      <c r="EU635" s="6"/>
      <c r="EV635" s="6"/>
      <c r="EW635" s="6"/>
      <c r="EX635" s="6"/>
      <c r="EY635" s="6"/>
      <c r="EZ635" s="6"/>
      <c r="FA635" s="6"/>
      <c r="FB635" s="6"/>
      <c r="FC635" s="6"/>
      <c r="FD635" s="6"/>
      <c r="FE635" s="6"/>
      <c r="FF635" s="6"/>
      <c r="FG635" s="6"/>
      <c r="FH635" s="6"/>
      <c r="FI635" s="6"/>
      <c r="FJ635" s="6"/>
      <c r="FK635" s="6"/>
      <c r="FL635" s="6"/>
      <c r="FM635" s="6"/>
      <c r="FN635" s="6"/>
      <c r="FO635" s="6"/>
      <c r="FP635" s="6"/>
      <c r="FQ635" s="6"/>
      <c r="FR635" s="6"/>
      <c r="FS635" s="6"/>
      <c r="FT635" s="7"/>
      <c r="FU635" s="7"/>
      <c r="FV635" s="7"/>
      <c r="FW635" s="6"/>
      <c r="FX635" s="6"/>
      <c r="FY635" s="6"/>
      <c r="FZ635" s="6"/>
      <c r="GA635" s="6"/>
      <c r="GB635" s="6"/>
      <c r="GC635" s="7"/>
      <c r="GD635" s="7"/>
      <c r="GE635" s="7"/>
      <c r="GF635" s="7"/>
      <c r="GG635" s="7"/>
      <c r="GH635" s="42"/>
      <c r="GI635" s="6"/>
      <c r="GJ635" s="14"/>
      <c r="GK635" s="14"/>
      <c r="GL635" s="14"/>
      <c r="GM635" s="14"/>
      <c r="GO635" s="5"/>
      <c r="GP635" s="5"/>
      <c r="GQ635" s="5"/>
      <c r="GR635" s="5"/>
      <c r="GS635" s="5"/>
      <c r="GT635" s="5"/>
      <c r="GU635" s="5"/>
      <c r="GV635" s="39"/>
      <c r="GW635" s="5"/>
      <c r="GX635" s="5"/>
      <c r="GY635" s="5"/>
      <c r="GZ635" s="5"/>
      <c r="HA635" s="5"/>
      <c r="HB635" s="39"/>
      <c r="HC635" s="5"/>
      <c r="HD635" s="5"/>
      <c r="HE635" s="5"/>
      <c r="HF635" s="5"/>
      <c r="HG635" s="5"/>
      <c r="HH635" s="39"/>
      <c r="HI635" s="16"/>
      <c r="HJ635" s="19"/>
      <c r="HK635" s="1"/>
      <c r="HL635" s="16"/>
      <c r="HM635" s="639">
        <f t="shared" si="1755"/>
        <v>2.3149872625708352E-2</v>
      </c>
      <c r="HN635" s="639">
        <f t="shared" si="1756"/>
        <v>1.3965040474190958E-3</v>
      </c>
      <c r="HO635" s="639">
        <f t="shared" si="1757"/>
        <v>3.5429561340050734E-3</v>
      </c>
      <c r="HP635" s="644">
        <f t="shared" ref="HP635:ID635" si="1899">HP135+HP235+HP335+HP435+HP535</f>
        <v>316.77276237360786</v>
      </c>
      <c r="HQ635" s="644">
        <f t="shared" si="1899"/>
        <v>58.750483238132006</v>
      </c>
      <c r="HR635" s="644">
        <f t="shared" si="1899"/>
        <v>-66.295633154193837</v>
      </c>
      <c r="HS635" s="644">
        <f t="shared" si="1899"/>
        <v>-149.09367721583024</v>
      </c>
      <c r="HT635" s="644">
        <f t="shared" si="1899"/>
        <v>202.983805008253</v>
      </c>
      <c r="HU635" s="644">
        <f t="shared" si="1899"/>
        <v>29.80445942364975</v>
      </c>
      <c r="HV635" s="644">
        <f t="shared" si="1899"/>
        <v>0</v>
      </c>
      <c r="HW635" s="644">
        <f t="shared" si="1899"/>
        <v>0</v>
      </c>
      <c r="HX635" s="644">
        <f t="shared" si="1899"/>
        <v>0</v>
      </c>
      <c r="HY635" s="644">
        <f t="shared" si="1899"/>
        <v>2396</v>
      </c>
      <c r="HZ635" s="644">
        <f t="shared" si="1899"/>
        <v>3223</v>
      </c>
      <c r="IA635" s="644">
        <f t="shared" si="1899"/>
        <v>830</v>
      </c>
      <c r="IB635" s="644">
        <f t="shared" si="1899"/>
        <v>2563.679085157778</v>
      </c>
      <c r="IC635" s="644">
        <f t="shared" si="1899"/>
        <v>3484.7342882463849</v>
      </c>
      <c r="ID635" s="644">
        <f t="shared" si="1899"/>
        <v>793.50882626945588</v>
      </c>
      <c r="IE635" s="20">
        <f t="shared" si="1759"/>
        <v>0.37470158390285024</v>
      </c>
      <c r="IF635" s="20">
        <f t="shared" si="1760"/>
        <v>0.50932094615349732</v>
      </c>
      <c r="IG635" s="20">
        <f t="shared" si="1761"/>
        <v>0.11597746994365249</v>
      </c>
      <c r="IH635" s="21"/>
      <c r="II635" s="19"/>
      <c r="IJ635" s="19"/>
      <c r="IK635" s="19"/>
      <c r="IL635" s="19">
        <f t="shared" si="1762"/>
        <v>422.74284612415977</v>
      </c>
      <c r="IM635" s="19">
        <f t="shared" si="1763"/>
        <v>496.79300411564509</v>
      </c>
      <c r="IN635" s="19">
        <f t="shared" si="1764"/>
        <v>113.25647522793952</v>
      </c>
      <c r="IO635" s="39"/>
      <c r="IP635" s="39"/>
      <c r="IQ635" s="39"/>
      <c r="IR635" s="39"/>
      <c r="IS635" s="39"/>
      <c r="IT635" s="39"/>
      <c r="IU635" s="39"/>
      <c r="IV635" s="39"/>
      <c r="IW635" s="39"/>
      <c r="IX635" s="19">
        <f t="shared" si="1765"/>
        <v>1554.1790484140233</v>
      </c>
      <c r="IY635" s="19">
        <f t="shared" si="1766"/>
        <v>2412.3001201524512</v>
      </c>
      <c r="IZ635" s="19">
        <f t="shared" si="1767"/>
        <v>3993.0862952928574</v>
      </c>
      <c r="JA635" s="19">
        <f t="shared" ref="JA635:JC635" si="1900">IFERROR((JA135*IB135+JA235*IB235+JA335*IB335+JA435*IB435+JA535*IB535)/IB635,0)</f>
        <v>1976.9218945381831</v>
      </c>
      <c r="JB635" s="19">
        <f t="shared" si="1900"/>
        <v>2909.0931242680963</v>
      </c>
      <c r="JC635" s="19">
        <f t="shared" si="1900"/>
        <v>4106.3427705207969</v>
      </c>
      <c r="JD635" s="19">
        <f t="shared" si="1769"/>
        <v>2698.6610728829514</v>
      </c>
      <c r="JE635" s="21"/>
      <c r="JF635" s="1">
        <f t="shared" si="1770"/>
        <v>2.6651855648468406E-2</v>
      </c>
      <c r="JG635" s="15">
        <f t="shared" si="1771"/>
        <v>6449</v>
      </c>
      <c r="JH635" s="1">
        <f t="shared" si="1772"/>
        <v>4.7949699559241124E-2</v>
      </c>
      <c r="JI635" s="1">
        <f t="shared" si="1773"/>
        <v>1.2977917074906576E-2</v>
      </c>
      <c r="JJ635" s="1">
        <f t="shared" si="1774"/>
        <v>0</v>
      </c>
      <c r="JK635" s="1">
        <f t="shared" si="1775"/>
        <v>6.0927616634147683E-2</v>
      </c>
      <c r="JL635" s="15">
        <f t="shared" ref="JL635:JM635" si="1901">JL135+JL235+JL335+JL435+JL535</f>
        <v>392.92219967361842</v>
      </c>
      <c r="JM635" s="15">
        <f t="shared" si="1901"/>
        <v>6841.9221996736187</v>
      </c>
      <c r="JN635" s="21"/>
      <c r="JO635" s="19">
        <f>INDEX(Input!$1:$1048576,JO$93,$C635*2+6)</f>
        <v>5995.5</v>
      </c>
      <c r="JP635" s="19">
        <f>INDEX(Input!$1:$1048576,JP$93,$C635*2+6)</f>
        <v>2296.6050414551746</v>
      </c>
      <c r="JQ635" s="39">
        <f t="shared" si="1799"/>
        <v>3296.8389271170486</v>
      </c>
      <c r="JR635" s="39">
        <f t="shared" si="1800"/>
        <v>402.05603142777682</v>
      </c>
      <c r="JS635" s="39">
        <f t="shared" si="1801"/>
        <v>18.464029103952893</v>
      </c>
      <c r="JT635" s="39">
        <f t="shared" si="1802"/>
        <v>3.6532231916084719</v>
      </c>
      <c r="JU635" s="385">
        <f>(JQ635*JM635-INDEX(Input!$1:$1048576,Input!A$18,$C635*2+6)*JL635*INDEX(Input!$1:$1048576,Input!A$19,$C635*2+6))/1000000</f>
        <v>22.556715444190289</v>
      </c>
      <c r="JV635" s="39">
        <f t="shared" si="1803"/>
        <v>-1.2974581434652883</v>
      </c>
      <c r="JW635" s="1">
        <f t="shared" si="1804"/>
        <v>-5.4391242635071495E-2</v>
      </c>
      <c r="JX635" s="19">
        <f t="shared" si="1805"/>
        <v>9297.5739081248885</v>
      </c>
      <c r="JZ635" s="341"/>
      <c r="KA635" s="60"/>
      <c r="KB635" s="469">
        <f t="shared" si="1778"/>
        <v>0</v>
      </c>
      <c r="KI635" s="472"/>
      <c r="KJ635" s="472"/>
      <c r="KK635" s="472"/>
      <c r="KN635" s="793">
        <f t="shared" si="1779"/>
        <v>6002</v>
      </c>
      <c r="KO635" s="541">
        <f t="shared" si="1780"/>
        <v>3.6609562940694618E-2</v>
      </c>
      <c r="KP635" s="546">
        <f t="shared" si="1781"/>
        <v>259.25548205255723</v>
      </c>
      <c r="KQ635" s="546">
        <f t="shared" si="1782"/>
        <v>235.82781627780651</v>
      </c>
      <c r="KR635" s="472">
        <f t="shared" si="1783"/>
        <v>2.4743116757686034</v>
      </c>
      <c r="KS635" s="472">
        <f t="shared" si="1784"/>
        <v>2.7201153637194104</v>
      </c>
      <c r="KT635" s="473">
        <f t="shared" si="1795"/>
        <v>4286.2445668946921</v>
      </c>
      <c r="KU635" s="663">
        <f t="shared" si="1785"/>
        <v>4.4155862763038973</v>
      </c>
      <c r="KV635" s="117"/>
    </row>
    <row r="636" spans="1:308" s="26" customFormat="1" ht="15">
      <c r="A636" s="561">
        <f t="shared" si="1751"/>
        <v>6036</v>
      </c>
      <c r="B636" s="561">
        <f t="shared" si="1786"/>
        <v>36</v>
      </c>
      <c r="C636" s="561">
        <f t="shared" si="1787"/>
        <v>6</v>
      </c>
      <c r="D636" s="561" t="str">
        <f t="shared" si="1855"/>
        <v xml:space="preserve">500 CC, 0/0/0.9/3.9, </v>
      </c>
      <c r="E636" s="475">
        <f>INDEX(Input!$1:$1048576,E$93,$C636*2+MIN($B636,2)+5)
+INDEX(Scenarios!E$121:E$199,MATCH($B636,Scenarios!$B$121:$B$199,0))</f>
        <v>1767.2644913000609</v>
      </c>
      <c r="F636" s="475">
        <f>INDEX(Input!$1:$1048576,F$93,$C636*2+MIN($B636,2)+5)
+INDEX(Scenarios!F$121:F$199,MATCH($B636,Scenarios!$B$121:$B$199,0))</f>
        <v>0</v>
      </c>
      <c r="G636" s="475">
        <f>INDEX(Input!$1:$1048576,G$93,$C636*2+MIN($B636,2)+5)
+INDEX(Scenarios!G$121:G$199,MATCH($B636,Scenarios!$B$121:$B$199,0))</f>
        <v>0</v>
      </c>
      <c r="H636" s="475">
        <f>INDEX(Input!$1:$1048576,H$93,$C636*2+MIN($B636,2)+5)
+INDEX(Scenarios!H$121:H$199,MATCH($B636,Scenarios!$B$121:$B$199,0))</f>
        <v>0</v>
      </c>
      <c r="I636" s="476">
        <f>INDEX(Input!$1:$1048576,I$93,$C636*2+MIN($B636,2)+5)
+INDEX(Scenarios!I$121:I$199,MATCH($B636,Scenarios!$B$121:$B$199,0))</f>
        <v>0.7</v>
      </c>
      <c r="J636" s="476" t="str">
        <f>INDEX(Input!$1:$1048576,J$93,$C636*2+MIN($B636,2)+5)</f>
        <v>Market</v>
      </c>
      <c r="K636" s="476" t="str">
        <f>INDEX(Input!$1:$1048576,K$93,$C636*2+MIN($B636,2)+5)</f>
        <v>Market</v>
      </c>
      <c r="L636" s="476" t="str">
        <f>INDEX(Input!$1:$1048576,L$93,$C636*2+MIN($B636,2)+5)</f>
        <v>Market</v>
      </c>
      <c r="M636" s="476" t="str">
        <f>INDEX(Input!$1:$1048576,M$93,$C636*2+MIN($B636,2)+5)</f>
        <v>Market</v>
      </c>
      <c r="N636" s="476" t="str">
        <f>INDEX(Input!$1:$1048576,N$93,$C636*2+MIN($B636,2)+5)</f>
        <v>Market</v>
      </c>
      <c r="O636" s="476" t="str">
        <f>INDEX(Input!$1:$1048576,O$93,$C636*2+MIN($B636,2)+5)</f>
        <v>Market</v>
      </c>
      <c r="P636" s="476" t="str">
        <f>INDEX(Input!$1:$1048576,P$93,$C636*2+MIN($B636,2)+5)</f>
        <v>N</v>
      </c>
      <c r="Q636" s="477">
        <f>INDEX(Input!$1:$1048576,Q$93,$C636*2+MIN($B636,2)+5)
+INDEX(Scenarios!Q$121:Q$199,MATCH($B636,Scenarios!$B$121:$B$199,0))</f>
        <v>0</v>
      </c>
      <c r="R636" s="478">
        <f>IFERROR(MAX(0,INDEX(Input!$1:$1048576,R$93,$C636*2+MIN($B636,2)+5)
+INDEX(Scenarios!R$121:R$199,MATCH($B636,Scenarios!$B$121:$B$199,0)),),"Market")</f>
        <v>0</v>
      </c>
      <c r="S636" s="478">
        <f>IFERROR(MAX(0,INDEX(Input!$1:$1048576,S$93,$C636*2+MIN($B636,2)+5)
+INDEX(Scenarios!S$121:S$199,MATCH($B636,Scenarios!$B$121:$B$199,0)),),"Market")</f>
        <v>0</v>
      </c>
      <c r="T636" s="478">
        <f>IFERROR(MAX(0,INDEX(Input!$1:$1048576,T$93,$C636*2+MIN($B636,2)+5)
+INDEX(Scenarios!T$121:T$199,MATCH($B636,Scenarios!$B$121:$B$199,0)),),"Market")</f>
        <v>0</v>
      </c>
      <c r="U636" s="478">
        <f>IFERROR(MAX(0,INDEX(Input!$1:$1048576,U$93,$C636*2+MIN($B636,2)+5)
+INDEX(Scenarios!U$121:U$199,MATCH($B636,Scenarios!$B$121:$B$199,0)),),"Market")</f>
        <v>0</v>
      </c>
      <c r="V636" s="478">
        <f>IFERROR(MAX(0,INDEX(Input!$1:$1048576,V$93,$C636*2+MIN($B636,2)+5)
+INDEX(Scenarios!V$121:V$199,MATCH($B636,Scenarios!$B$121:$B$199,0)),),"Market")</f>
        <v>8.9999999999999993E-3</v>
      </c>
      <c r="W636" s="885">
        <f>IFERROR(MAX(0,INDEX(Input!$1:$1048576,W$93,$C636*2+MIN($B636,2)+5)-0%,),"Market")</f>
        <v>3.9E-2</v>
      </c>
      <c r="X636" s="476" t="str">
        <f>INDEX(Input!$1:$1048576,X$93,$C636*2+MIN($B636,2)+5)</f>
        <v>Y</v>
      </c>
      <c r="Y636" s="475">
        <f>INDEX(Input!$1:$1048576,Y$93,$C636*2+MIN($B636,2)+5)
++INDEX(Scenarios!Y$121:Y$199,MATCH($B636,Scenarios!$B$121:$B$199,0))</f>
        <v>737.99367635402496</v>
      </c>
      <c r="Z636" s="477">
        <f>INDEX(Input!$1:$1048576,Z$93,$C636*2+MIN($B636,2)+5)
+INDEX(Scenarios!Z$121:Z$199,MATCH($B636,Scenarios!$B$121:$B$199,0))</f>
        <v>0</v>
      </c>
      <c r="AA636" s="475">
        <f>INDEX(Input!$1:$1048576,AA$93,$C636*2+MIN($B636,2)+5)</f>
        <v>0</v>
      </c>
      <c r="AB636" s="476">
        <f>INDEX(Input!$1:$1048576,AB$93,$C636*2+MIN($B636,2)+5)</f>
        <v>0.27</v>
      </c>
      <c r="AC636" s="475">
        <f>INDEX(Input!$1:$1048576,AC$93,$C636*2+MIN($B636,2)+5)
+INDEX(Scenarios!AC$121:AC$199,MATCH($B636,Scenarios!$B$121:$B$199,0))</f>
        <v>0</v>
      </c>
      <c r="AD636" s="476">
        <f>INDEX(Input!$1:$1048576,AD$93,$C636*2+MIN($B636,2)+5)</f>
        <v>0.27</v>
      </c>
      <c r="AE636" s="475">
        <f>INDEX(Input!$1:$1048576,AE$93,$C636*2+MIN($B636,2)+5)
+INDEX(Scenarios!AE$121:AE$199,MATCH($B636,Scenarios!$B$121:$B$199,0))</f>
        <v>0</v>
      </c>
      <c r="AF636" s="476">
        <f>INDEX(Input!$1:$1048576,AF$93,$C636*2+MIN($B636,2)+5)</f>
        <v>1</v>
      </c>
      <c r="AG636" s="475">
        <f>INDEX(Input!$1:$1048576,AG$93,$C636*2+MIN($B636,2)+5)</f>
        <v>500</v>
      </c>
      <c r="AH636" s="476">
        <f>INDEX(Input!$1:$1048576,AH$93,$C636*2+MIN($B636,2)+5)</f>
        <v>1</v>
      </c>
      <c r="AI636" s="475">
        <f>INDEX(Input!$1:$1048576,AI$93,$C636*2+MIN($B636,2)+5)</f>
        <v>0</v>
      </c>
      <c r="AJ636" s="476">
        <f>INDEX(Input!$1:$1048576,AJ$93,$C636*2+MIN($B636,2)+5)</f>
        <v>0.27</v>
      </c>
      <c r="AK636" s="150">
        <f>ROUND(INDEX(Input!$1:$1048576,AK$93,$C635*2+MIN($B636,1)+5)+(Y636-VLOOKUP($C636*1000+1,$A:$HH,Y$92,FALSE)),0)</f>
        <v>3061</v>
      </c>
      <c r="AL636" s="150">
        <f>ROUND(INDEX(Input!$1:$1048576,AL$93,$C635*2+MIN($B636,1)+5)-(Y636-VLOOKUP($C636*1000+1,$A:$HH,Y$92,FALSE))/36,0)</f>
        <v>3552</v>
      </c>
      <c r="AM636" s="32" t="str">
        <f t="shared" si="1752"/>
        <v>std/std/std/std</v>
      </c>
      <c r="AN636" s="32" t="str">
        <f t="shared" si="1753"/>
        <v>$0 + 0/0/0/0.9/3.9</v>
      </c>
      <c r="AO636" s="32" t="str">
        <f t="shared" si="1754"/>
        <v>0/0/0/0.9/3.9</v>
      </c>
      <c r="AP636" s="32" t="str">
        <f t="shared" si="1716"/>
        <v>0/0/0.9/3.9</v>
      </c>
      <c r="AQ636" s="536">
        <f t="shared" si="1892"/>
        <v>0.39594556777818279</v>
      </c>
      <c r="AR636" s="32"/>
      <c r="AS636" s="302"/>
      <c r="AT636" s="3">
        <f t="shared" si="1788"/>
        <v>36</v>
      </c>
      <c r="AU636" s="41" t="s">
        <v>121</v>
      </c>
      <c r="AV636" s="41" t="s">
        <v>116</v>
      </c>
      <c r="AW636" s="41" t="str">
        <f>INDEX(Input!$1:$1048576,AW$93,$C636*2+6)</f>
        <v>Kia</v>
      </c>
      <c r="AX636" s="41" t="str">
        <f>INDEX(Input!$1:$1048576,AX$93,$C636*2+6)</f>
        <v>National</v>
      </c>
      <c r="AY636" s="41" t="str">
        <f>IF(LEN(D636)=0,"",INDEX(Input!$1:$1048576,AY$93,$C636*2+6))</f>
        <v>Compact SUV (52)</v>
      </c>
      <c r="AZ636" s="41" t="str">
        <f>INDEX(Input!$1:$1048576,AZ$93,$C636*2+6)</f>
        <v>Kia Soul</v>
      </c>
      <c r="BA636" s="3">
        <f>INDEX(Input!$1:$1048576,BA$93,$C636*2+6)</f>
        <v>2020</v>
      </c>
      <c r="BB636" s="128">
        <f>INDEX(Input!$1:$1048576,BB$93,$C636*2+6)</f>
        <v>1</v>
      </c>
      <c r="BC636" s="128">
        <f>INDEX(Input!$1:$1048576,BC$93,$C636*2+6)</f>
        <v>0.7</v>
      </c>
      <c r="BD636" s="1">
        <f>INDEX(Input!$1:$1048576,BD$93,$C636*2+6)</f>
        <v>4.4999999999999998E-2</v>
      </c>
      <c r="BE636" s="1">
        <f>INDEX(Input!$1:$1048576,BE$93,$C636*2+6)</f>
        <v>4.4999999999999998E-2</v>
      </c>
      <c r="BF636" s="1">
        <f>INDEX(Input!$1:$1048576,BF$93,$C636*2+6)</f>
        <v>0.05</v>
      </c>
      <c r="BG636" s="1">
        <f>INDEX(Input!$1:$1048576,BG$93,$C636*2+6)</f>
        <v>5.45E-2</v>
      </c>
      <c r="BH636" s="1">
        <f>INDEX(Input!$1:$1048576,BH$93,$C636*2+6)</f>
        <v>5.45E-2</v>
      </c>
      <c r="BI636" s="1">
        <f>INDEX(Input!$1:$1048576,BI$93,$C636*2+6)</f>
        <v>0.05</v>
      </c>
      <c r="BJ636" s="1">
        <f>INDEX(Input!$1:$1048576,BJ$93,$C636*2+6)</f>
        <v>0.05</v>
      </c>
      <c r="BK636" s="1">
        <f>INDEX(Input!$1:$1048576,BK$93,$C636*2+6)</f>
        <v>0.05</v>
      </c>
      <c r="BL636" s="1">
        <f>INDEX(Input!$1:$1048576,BL$93,$C636*2+6)</f>
        <v>5.5E-2</v>
      </c>
      <c r="BM636" s="1">
        <f>INDEX(Input!$1:$1048576,BM$93,$C636*2+6)</f>
        <v>0.06</v>
      </c>
      <c r="BN636" s="1">
        <f>INDEX(Input!$1:$1048576,BN$93,$C636*2+6)</f>
        <v>4.4999999999999998E-2</v>
      </c>
      <c r="BO636" s="1">
        <f>INDEX(Input!$1:$1048576,BO$93,$C636*2+6)</f>
        <v>4.4999999999999998E-2</v>
      </c>
      <c r="BP636" s="1">
        <f>INDEX(Input!$1:$1048576,BP$93,$C636*2+6)</f>
        <v>0.05</v>
      </c>
      <c r="BQ636" s="1">
        <f>INDEX(Input!$1:$1048576,BQ$93,$C636*2+6)</f>
        <v>5.45E-2</v>
      </c>
      <c r="BR636" s="1">
        <f>INDEX(Input!$1:$1048576,BR$93,$C636*2+6)</f>
        <v>5.45E-2</v>
      </c>
      <c r="BS636" s="1">
        <f>INDEX(Input!$1:$1048576,BS$93,$C636*2+6)</f>
        <v>0.05</v>
      </c>
      <c r="BT636" s="1">
        <f>INDEX(Input!$1:$1048576,BT$93,$C636*2+6)</f>
        <v>0.05</v>
      </c>
      <c r="BU636" s="1">
        <f>INDEX(Input!$1:$1048576,BU$93,$C636*2+6)</f>
        <v>0.05</v>
      </c>
      <c r="BV636" s="1">
        <f>INDEX(Input!$1:$1048576,BV$93,$C636*2+6)</f>
        <v>5.5E-2</v>
      </c>
      <c r="BW636" s="1">
        <f>INDEX(Input!$1:$1048576,BW$93,$C636*2+6)</f>
        <v>0.06</v>
      </c>
      <c r="BX636" s="127">
        <f>INDEX(Input!$1:$1048576,BX$93,$C636*2+6)</f>
        <v>19985</v>
      </c>
      <c r="BY636" s="20">
        <f>INDEX(Input!$1:$1048576,BY$93,$C636*2+6)</f>
        <v>0.1</v>
      </c>
      <c r="BZ636" s="20">
        <f>INDEX(Input!$1:$1048576,BZ$93,$C636*2+6)</f>
        <v>0.1</v>
      </c>
      <c r="CA636" s="20">
        <f>INDEX(Input!$1:$1048576,CA$93,$C636*2+6)</f>
        <v>0.1</v>
      </c>
      <c r="CB636" s="20">
        <f>INDEX(Input!$1:$1048576,CB$93,$C636*2+6)</f>
        <v>0.1</v>
      </c>
      <c r="CC636" s="20">
        <f>INDEX(Input!$1:$1048576,CC$93,$C636*2+6)</f>
        <v>0.1</v>
      </c>
      <c r="CD636" s="384">
        <f>INDEX(Input!$1:$1048576,CD$93,$C636*2+6)</f>
        <v>0.1</v>
      </c>
      <c r="CE636" s="384">
        <f>INDEX(Input!$1:$1048576,CE$93,$C636*2+6)</f>
        <v>0.1</v>
      </c>
      <c r="CF636" s="384">
        <f>INDEX(Input!$1:$1048576,CF$93,$C636*2+6)</f>
        <v>0.1</v>
      </c>
      <c r="CG636" s="384">
        <f>INDEX(Input!$1:$1048576,CG$93,$C636*2+6)</f>
        <v>0.1</v>
      </c>
      <c r="CH636" s="384">
        <f>INDEX(Input!$1:$1048576,CH$93,$C636*2+6)</f>
        <v>0.1</v>
      </c>
      <c r="CI636" s="304">
        <f t="shared" si="1718"/>
        <v>1767.2644913000609</v>
      </c>
      <c r="CJ636" s="16" t="str">
        <f>INDEX(Input!$1:$1048576,CJ$93,$C636*2+6)</f>
        <v>N</v>
      </c>
      <c r="CK636" s="1" t="str">
        <f t="shared" si="1719"/>
        <v>Market</v>
      </c>
      <c r="CL636" s="1" t="str">
        <f t="shared" si="1720"/>
        <v>Market</v>
      </c>
      <c r="CM636" s="1" t="str">
        <f t="shared" si="1721"/>
        <v>Market</v>
      </c>
      <c r="CN636" s="1" t="str">
        <f t="shared" si="1722"/>
        <v>Market</v>
      </c>
      <c r="CO636" s="1" t="str">
        <f t="shared" si="1723"/>
        <v>Market</v>
      </c>
      <c r="CP636" s="304">
        <f t="shared" si="1724"/>
        <v>500</v>
      </c>
      <c r="CQ636" s="1">
        <f t="shared" si="1725"/>
        <v>0</v>
      </c>
      <c r="CR636" s="1">
        <f t="shared" si="1726"/>
        <v>0</v>
      </c>
      <c r="CS636" s="1">
        <f t="shared" si="1727"/>
        <v>0</v>
      </c>
      <c r="CT636" s="1">
        <f t="shared" si="1728"/>
        <v>8.9999999999999993E-3</v>
      </c>
      <c r="CU636" s="1">
        <f t="shared" si="1729"/>
        <v>3.9E-2</v>
      </c>
      <c r="CV636" s="304">
        <f t="shared" si="1730"/>
        <v>737.99367635402496</v>
      </c>
      <c r="CW636" s="20" t="s">
        <v>122</v>
      </c>
      <c r="CX636" s="20" t="s">
        <v>122</v>
      </c>
      <c r="CY636" s="20" t="s">
        <v>122</v>
      </c>
      <c r="CZ636" s="20" t="s">
        <v>122</v>
      </c>
      <c r="DA636" s="20" t="s">
        <v>122</v>
      </c>
      <c r="DB636" s="503">
        <f t="shared" si="1731"/>
        <v>0</v>
      </c>
      <c r="DC636" s="127">
        <v>0</v>
      </c>
      <c r="DD636" s="127">
        <v>0</v>
      </c>
      <c r="DE636" s="127">
        <v>0</v>
      </c>
      <c r="DF636" s="127">
        <v>0</v>
      </c>
      <c r="DG636" s="127">
        <v>0</v>
      </c>
      <c r="DH636" s="127">
        <v>0</v>
      </c>
      <c r="DI636" s="127">
        <v>0</v>
      </c>
      <c r="DJ636" s="127">
        <v>0</v>
      </c>
      <c r="DK636" s="127">
        <v>0</v>
      </c>
      <c r="DL636" s="127">
        <v>0</v>
      </c>
      <c r="DM636" s="304">
        <f>INDEX(Input!$1:$1048576,DM$93,$C636*2+6)</f>
        <v>21036.84210526316</v>
      </c>
      <c r="DN636" s="20">
        <v>0</v>
      </c>
      <c r="DO636" s="20">
        <v>0</v>
      </c>
      <c r="DP636" s="20">
        <v>0</v>
      </c>
      <c r="DQ636" s="20">
        <v>0</v>
      </c>
      <c r="DR636" s="20">
        <v>0</v>
      </c>
      <c r="DS636" s="20">
        <f>INDEX(Input!$1:$1048576,DS$93,$C636*2+6)</f>
        <v>0.6</v>
      </c>
      <c r="DT636" s="20">
        <f>INDEX(Input!$1:$1048576,DT$93,$C636*2+6)</f>
        <v>0.55000000000000004</v>
      </c>
      <c r="DU636" s="20">
        <f>INDEX(Input!$1:$1048576,DU$93,$C636*2+6)</f>
        <v>0.52</v>
      </c>
      <c r="DV636" s="20">
        <f>INDEX(Input!$1:$1048576,DV$93,$C636*2+6)</f>
        <v>0.5</v>
      </c>
      <c r="DW636" s="20">
        <f>INDEX(Input!$1:$1048576,DW$93,$C636*2+6)</f>
        <v>0.45</v>
      </c>
      <c r="DX636" s="20"/>
      <c r="DY636" s="7"/>
      <c r="DZ636" s="7"/>
      <c r="EA636" s="7"/>
      <c r="EB636" s="7"/>
      <c r="EC636" s="7"/>
      <c r="ED636" s="7"/>
      <c r="EE636" s="7"/>
      <c r="EF636" s="7"/>
      <c r="EG636" s="7"/>
      <c r="EH636" s="7"/>
      <c r="EI636" s="7"/>
      <c r="EJ636" s="7"/>
      <c r="EK636" s="7"/>
      <c r="EL636" s="7"/>
      <c r="EM636" s="7"/>
      <c r="EN636" s="7"/>
      <c r="EO636" s="7"/>
      <c r="EP636" s="7"/>
      <c r="EQ636" s="7"/>
      <c r="ER636" s="7"/>
      <c r="ES636" s="7"/>
      <c r="ET636" s="7"/>
      <c r="EU636" s="6"/>
      <c r="EV636" s="6"/>
      <c r="EW636" s="6"/>
      <c r="EX636" s="6"/>
      <c r="EY636" s="6"/>
      <c r="EZ636" s="6"/>
      <c r="FA636" s="6"/>
      <c r="FB636" s="6"/>
      <c r="FC636" s="6"/>
      <c r="FD636" s="6"/>
      <c r="FE636" s="6"/>
      <c r="FF636" s="6"/>
      <c r="FG636" s="6"/>
      <c r="FH636" s="6"/>
      <c r="FI636" s="6"/>
      <c r="FJ636" s="6"/>
      <c r="FK636" s="6"/>
      <c r="FL636" s="6"/>
      <c r="FM636" s="6"/>
      <c r="FN636" s="6"/>
      <c r="FO636" s="6"/>
      <c r="FP636" s="6"/>
      <c r="FQ636" s="6"/>
      <c r="FR636" s="6"/>
      <c r="FS636" s="6"/>
      <c r="FT636" s="7"/>
      <c r="FU636" s="7"/>
      <c r="FV636" s="7"/>
      <c r="FW636" s="6"/>
      <c r="FX636" s="6"/>
      <c r="FY636" s="6"/>
      <c r="FZ636" s="6"/>
      <c r="GA636" s="6"/>
      <c r="GB636" s="6"/>
      <c r="GC636" s="7"/>
      <c r="GD636" s="7"/>
      <c r="GE636" s="7"/>
      <c r="GF636" s="7"/>
      <c r="GG636" s="7"/>
      <c r="GH636" s="42"/>
      <c r="GI636" s="6"/>
      <c r="GJ636" s="14"/>
      <c r="GK636" s="14"/>
      <c r="GL636" s="14"/>
      <c r="GM636" s="14"/>
      <c r="GO636" s="5"/>
      <c r="GP636" s="5"/>
      <c r="GQ636" s="5"/>
      <c r="GR636" s="5"/>
      <c r="GS636" s="5"/>
      <c r="GT636" s="5"/>
      <c r="GU636" s="5"/>
      <c r="GV636" s="39"/>
      <c r="GW636" s="5"/>
      <c r="GX636" s="5"/>
      <c r="GY636" s="5"/>
      <c r="GZ636" s="5"/>
      <c r="HA636" s="5"/>
      <c r="HB636" s="39"/>
      <c r="HC636" s="5"/>
      <c r="HD636" s="5"/>
      <c r="HE636" s="5"/>
      <c r="HF636" s="5"/>
      <c r="HG636" s="5"/>
      <c r="HH636" s="39"/>
      <c r="HI636" s="16"/>
      <c r="HJ636" s="19"/>
      <c r="HK636" s="1"/>
      <c r="HL636" s="16"/>
      <c r="HM636" s="639">
        <f t="shared" si="1755"/>
        <v>2.3149872625708352E-2</v>
      </c>
      <c r="HN636" s="639">
        <f t="shared" si="1756"/>
        <v>1.3965040474190958E-3</v>
      </c>
      <c r="HO636" s="639">
        <f t="shared" si="1757"/>
        <v>3.5429561340050734E-3</v>
      </c>
      <c r="HP636" s="644">
        <f t="shared" ref="HP636:ID636" si="1902">HP136+HP236+HP336+HP436+HP536</f>
        <v>582.88548722711471</v>
      </c>
      <c r="HQ636" s="644">
        <f t="shared" si="1902"/>
        <v>25.472003289537486</v>
      </c>
      <c r="HR636" s="644">
        <f t="shared" si="1902"/>
        <v>-128.12147279678496</v>
      </c>
      <c r="HS636" s="644">
        <f t="shared" si="1902"/>
        <v>-236.91930088176599</v>
      </c>
      <c r="HT636" s="644">
        <f t="shared" si="1902"/>
        <v>190.15441687740147</v>
      </c>
      <c r="HU636" s="644">
        <f t="shared" si="1902"/>
        <v>42.637794089081666</v>
      </c>
      <c r="HV636" s="644">
        <f t="shared" si="1902"/>
        <v>0</v>
      </c>
      <c r="HW636" s="644">
        <f t="shared" si="1902"/>
        <v>0</v>
      </c>
      <c r="HX636" s="644">
        <f t="shared" si="1902"/>
        <v>0</v>
      </c>
      <c r="HY636" s="644">
        <f t="shared" si="1902"/>
        <v>2396</v>
      </c>
      <c r="HZ636" s="644">
        <f t="shared" si="1902"/>
        <v>3223</v>
      </c>
      <c r="IA636" s="644">
        <f t="shared" si="1902"/>
        <v>830</v>
      </c>
      <c r="IB636" s="644">
        <f t="shared" si="1902"/>
        <v>2741.9661863453484</v>
      </c>
      <c r="IC636" s="644">
        <f t="shared" si="1902"/>
        <v>3438.6264201669396</v>
      </c>
      <c r="ID636" s="644">
        <f t="shared" si="1902"/>
        <v>744.51632129229665</v>
      </c>
      <c r="IE636" s="20">
        <f t="shared" si="1759"/>
        <v>0.39594556777818279</v>
      </c>
      <c r="IF636" s="20">
        <f t="shared" si="1760"/>
        <v>0.49654474117522107</v>
      </c>
      <c r="IG636" s="20">
        <f t="shared" si="1761"/>
        <v>0.10750969104659631</v>
      </c>
      <c r="IH636" s="21"/>
      <c r="II636" s="19"/>
      <c r="IJ636" s="19"/>
      <c r="IK636" s="19"/>
      <c r="IL636" s="19">
        <f t="shared" si="1762"/>
        <v>668.90734422942433</v>
      </c>
      <c r="IM636" s="19">
        <f t="shared" si="1763"/>
        <v>497.8541516374753</v>
      </c>
      <c r="IN636" s="19">
        <f t="shared" si="1764"/>
        <v>114.7997518964703</v>
      </c>
      <c r="IO636" s="39"/>
      <c r="IP636" s="39"/>
      <c r="IQ636" s="39"/>
      <c r="IR636" s="39"/>
      <c r="IS636" s="39"/>
      <c r="IT636" s="39"/>
      <c r="IU636" s="39"/>
      <c r="IV636" s="39"/>
      <c r="IW636" s="39"/>
      <c r="IX636" s="19">
        <f t="shared" si="1765"/>
        <v>1554.1790484140233</v>
      </c>
      <c r="IY636" s="19">
        <f t="shared" si="1766"/>
        <v>2412.3001201524512</v>
      </c>
      <c r="IZ636" s="19">
        <f t="shared" si="1767"/>
        <v>3993.0862952928574</v>
      </c>
      <c r="JA636" s="19">
        <f t="shared" ref="JA636:JC636" si="1903">IFERROR((JA136*IB136+JA236*IB236+JA336*IB336+JA436*IB436+JA536*IB536)/IB636,0)</f>
        <v>2223.0863926434477</v>
      </c>
      <c r="JB636" s="19">
        <f t="shared" si="1903"/>
        <v>2910.1542717899265</v>
      </c>
      <c r="JC636" s="19">
        <f t="shared" si="1903"/>
        <v>4107.8860471893277</v>
      </c>
      <c r="JD636" s="19">
        <f t="shared" si="1769"/>
        <v>2766.8805634090036</v>
      </c>
      <c r="JE636" s="21"/>
      <c r="JF636" s="1">
        <f t="shared" si="1770"/>
        <v>2.6651855648468406E-2</v>
      </c>
      <c r="JG636" s="15">
        <f t="shared" si="1771"/>
        <v>6449</v>
      </c>
      <c r="JH636" s="1">
        <f t="shared" si="1772"/>
        <v>7.4466741776999107E-2</v>
      </c>
      <c r="JI636" s="1">
        <f t="shared" si="1773"/>
        <v>-6.3995811990740458E-4</v>
      </c>
      <c r="JJ636" s="1">
        <f t="shared" si="1774"/>
        <v>0</v>
      </c>
      <c r="JK636" s="1">
        <f t="shared" si="1775"/>
        <v>7.3826783657091694E-2</v>
      </c>
      <c r="JL636" s="15">
        <f t="shared" ref="JL636:JM636" si="1904">JL136+JL236+JL336+JL436+JL536</f>
        <v>476.10892780458437</v>
      </c>
      <c r="JM636" s="15">
        <f t="shared" si="1904"/>
        <v>6925.1089278045847</v>
      </c>
      <c r="JN636" s="21"/>
      <c r="JO636" s="19">
        <f>INDEX(Input!$1:$1048576,JO$93,$C636*2+6)</f>
        <v>5995.5</v>
      </c>
      <c r="JP636" s="19">
        <f>INDEX(Input!$1:$1048576,JP$93,$C636*2+6)</f>
        <v>2296.6050414551746</v>
      </c>
      <c r="JQ636" s="39">
        <f t="shared" si="1799"/>
        <v>3228.6194365909964</v>
      </c>
      <c r="JR636" s="39">
        <f t="shared" si="1800"/>
        <v>470.27552195382896</v>
      </c>
      <c r="JS636" s="39">
        <f t="shared" si="1801"/>
        <v>19.160949291832672</v>
      </c>
      <c r="JT636" s="39">
        <f t="shared" si="1802"/>
        <v>4.3501433794882498</v>
      </c>
      <c r="JU636" s="385">
        <f>(JQ636*JM636-INDEX(Input!$1:$1048576,Input!A$18,$C636*2+6)*JL636*INDEX(Input!$1:$1048576,Input!A$19,$C636*2+6))/1000000</f>
        <v>22.358541284819719</v>
      </c>
      <c r="JV636" s="39">
        <f t="shared" si="1803"/>
        <v>-1.4956323028358582</v>
      </c>
      <c r="JW636" s="1">
        <f t="shared" si="1804"/>
        <v>-6.2698977910089534E-2</v>
      </c>
      <c r="JX636" s="19">
        <f t="shared" si="1805"/>
        <v>9136.8657999073184</v>
      </c>
      <c r="JZ636" s="341"/>
      <c r="KA636" s="60"/>
      <c r="KB636" s="469">
        <f t="shared" si="1778"/>
        <v>0</v>
      </c>
      <c r="KI636" s="472"/>
      <c r="KJ636" s="472"/>
      <c r="KK636" s="472"/>
      <c r="KN636" s="793">
        <f t="shared" si="1779"/>
        <v>6002</v>
      </c>
      <c r="KO636" s="541">
        <f t="shared" si="1780"/>
        <v>4.9213061690566384E-2</v>
      </c>
      <c r="KP636" s="546">
        <f t="shared" si="1781"/>
        <v>358.31666018309983</v>
      </c>
      <c r="KQ636" s="546">
        <f t="shared" si="1782"/>
        <v>304.04730680385865</v>
      </c>
      <c r="KR636" s="472">
        <f t="shared" si="1783"/>
        <v>2.4065849253407205</v>
      </c>
      <c r="KS636" s="472">
        <f t="shared" si="1784"/>
        <v>2.8361358696440124</v>
      </c>
      <c r="KT636" s="473">
        <f t="shared" si="1795"/>
        <v>4286.2445668946921</v>
      </c>
      <c r="KU636" s="663">
        <f t="shared" si="1785"/>
        <v>4.4469001305421667</v>
      </c>
      <c r="KV636" s="117"/>
    </row>
    <row r="637" spans="1:308" s="26" customFormat="1" ht="15">
      <c r="A637" s="561">
        <f t="shared" si="1751"/>
        <v>6037</v>
      </c>
      <c r="B637" s="561">
        <f t="shared" si="1786"/>
        <v>37</v>
      </c>
      <c r="C637" s="561">
        <f t="shared" si="1787"/>
        <v>6</v>
      </c>
      <c r="D637" s="561" t="str">
        <f t="shared" si="1855"/>
        <v xml:space="preserve">750 CC, 0/0/0.9/3.9, </v>
      </c>
      <c r="E637" s="475">
        <f>INDEX(Input!$1:$1048576,E$93,$C637*2+MIN($B637,2)+5)
+INDEX(Scenarios!E$121:E$199,MATCH($B637,Scenarios!$B$121:$B$199,0))</f>
        <v>2017.2644913000609</v>
      </c>
      <c r="F637" s="475">
        <f>INDEX(Input!$1:$1048576,F$93,$C637*2+MIN($B637,2)+5)
+INDEX(Scenarios!F$121:F$199,MATCH($B637,Scenarios!$B$121:$B$199,0))</f>
        <v>0</v>
      </c>
      <c r="G637" s="475">
        <f>INDEX(Input!$1:$1048576,G$93,$C637*2+MIN($B637,2)+5)
+INDEX(Scenarios!G$121:G$199,MATCH($B637,Scenarios!$B$121:$B$199,0))</f>
        <v>0</v>
      </c>
      <c r="H637" s="475">
        <f>INDEX(Input!$1:$1048576,H$93,$C637*2+MIN($B637,2)+5)
+INDEX(Scenarios!H$121:H$199,MATCH($B637,Scenarios!$B$121:$B$199,0))</f>
        <v>0</v>
      </c>
      <c r="I637" s="476">
        <f>INDEX(Input!$1:$1048576,I$93,$C637*2+MIN($B637,2)+5)
+INDEX(Scenarios!I$121:I$199,MATCH($B637,Scenarios!$B$121:$B$199,0))</f>
        <v>0.7</v>
      </c>
      <c r="J637" s="476" t="str">
        <f>INDEX(Input!$1:$1048576,J$93,$C637*2+MIN($B637,2)+5)</f>
        <v>Market</v>
      </c>
      <c r="K637" s="476" t="str">
        <f>INDEX(Input!$1:$1048576,K$93,$C637*2+MIN($B637,2)+5)</f>
        <v>Market</v>
      </c>
      <c r="L637" s="476" t="str">
        <f>INDEX(Input!$1:$1048576,L$93,$C637*2+MIN($B637,2)+5)</f>
        <v>Market</v>
      </c>
      <c r="M637" s="476" t="str">
        <f>INDEX(Input!$1:$1048576,M$93,$C637*2+MIN($B637,2)+5)</f>
        <v>Market</v>
      </c>
      <c r="N637" s="476" t="str">
        <f>INDEX(Input!$1:$1048576,N$93,$C637*2+MIN($B637,2)+5)</f>
        <v>Market</v>
      </c>
      <c r="O637" s="476" t="str">
        <f>INDEX(Input!$1:$1048576,O$93,$C637*2+MIN($B637,2)+5)</f>
        <v>Market</v>
      </c>
      <c r="P637" s="476" t="str">
        <f>INDEX(Input!$1:$1048576,P$93,$C637*2+MIN($B637,2)+5)</f>
        <v>N</v>
      </c>
      <c r="Q637" s="477">
        <f>INDEX(Input!$1:$1048576,Q$93,$C637*2+MIN($B637,2)+5)
+INDEX(Scenarios!Q$121:Q$199,MATCH($B637,Scenarios!$B$121:$B$199,0))</f>
        <v>0</v>
      </c>
      <c r="R637" s="478">
        <f>IFERROR(MAX(0,INDEX(Input!$1:$1048576,R$93,$C637*2+MIN($B637,2)+5)
+INDEX(Scenarios!R$121:R$199,MATCH($B637,Scenarios!$B$121:$B$199,0)),),"Market")</f>
        <v>0</v>
      </c>
      <c r="S637" s="478">
        <f>IFERROR(MAX(0,INDEX(Input!$1:$1048576,S$93,$C637*2+MIN($B637,2)+5)
+INDEX(Scenarios!S$121:S$199,MATCH($B637,Scenarios!$B$121:$B$199,0)),),"Market")</f>
        <v>0</v>
      </c>
      <c r="T637" s="478">
        <f>IFERROR(MAX(0,INDEX(Input!$1:$1048576,T$93,$C637*2+MIN($B637,2)+5)
+INDEX(Scenarios!T$121:T$199,MATCH($B637,Scenarios!$B$121:$B$199,0)),),"Market")</f>
        <v>0</v>
      </c>
      <c r="U637" s="478">
        <f>IFERROR(MAX(0,INDEX(Input!$1:$1048576,U$93,$C637*2+MIN($B637,2)+5)
+INDEX(Scenarios!U$121:U$199,MATCH($B637,Scenarios!$B$121:$B$199,0)),),"Market")</f>
        <v>0</v>
      </c>
      <c r="V637" s="478">
        <f>IFERROR(MAX(0,INDEX(Input!$1:$1048576,V$93,$C637*2+MIN($B637,2)+5)
+INDEX(Scenarios!V$121:V$199,MATCH($B637,Scenarios!$B$121:$B$199,0)),),"Market")</f>
        <v>8.9999999999999993E-3</v>
      </c>
      <c r="W637" s="885">
        <f>IFERROR(MAX(0,INDEX(Input!$1:$1048576,W$93,$C637*2+MIN($B637,2)+5)-0%,),"Market")</f>
        <v>3.9E-2</v>
      </c>
      <c r="X637" s="476" t="str">
        <f>INDEX(Input!$1:$1048576,X$93,$C637*2+MIN($B637,2)+5)</f>
        <v>Y</v>
      </c>
      <c r="Y637" s="475">
        <f>INDEX(Input!$1:$1048576,Y$93,$C637*2+MIN($B637,2)+5)
++INDEX(Scenarios!Y$121:Y$199,MATCH($B637,Scenarios!$B$121:$B$199,0))</f>
        <v>737.99367635402496</v>
      </c>
      <c r="Z637" s="477">
        <f>INDEX(Input!$1:$1048576,Z$93,$C637*2+MIN($B637,2)+5)
+INDEX(Scenarios!Z$121:Z$199,MATCH($B637,Scenarios!$B$121:$B$199,0))</f>
        <v>0</v>
      </c>
      <c r="AA637" s="475">
        <f>INDEX(Input!$1:$1048576,AA$93,$C637*2+MIN($B637,2)+5)</f>
        <v>0</v>
      </c>
      <c r="AB637" s="476">
        <f>INDEX(Input!$1:$1048576,AB$93,$C637*2+MIN($B637,2)+5)</f>
        <v>0.27</v>
      </c>
      <c r="AC637" s="475">
        <f>INDEX(Input!$1:$1048576,AC$93,$C637*2+MIN($B637,2)+5)
+INDEX(Scenarios!AC$121:AC$199,MATCH($B637,Scenarios!$B$121:$B$199,0))</f>
        <v>0</v>
      </c>
      <c r="AD637" s="476">
        <f>INDEX(Input!$1:$1048576,AD$93,$C637*2+MIN($B637,2)+5)</f>
        <v>0.27</v>
      </c>
      <c r="AE637" s="475">
        <f>INDEX(Input!$1:$1048576,AE$93,$C637*2+MIN($B637,2)+5)
+INDEX(Scenarios!AE$121:AE$199,MATCH($B637,Scenarios!$B$121:$B$199,0))</f>
        <v>0</v>
      </c>
      <c r="AF637" s="476">
        <f>INDEX(Input!$1:$1048576,AF$93,$C637*2+MIN($B637,2)+5)</f>
        <v>1</v>
      </c>
      <c r="AG637" s="475">
        <f>INDEX(Input!$1:$1048576,AG$93,$C637*2+MIN($B637,2)+5)</f>
        <v>500</v>
      </c>
      <c r="AH637" s="476">
        <f>INDEX(Input!$1:$1048576,AH$93,$C637*2+MIN($B637,2)+5)</f>
        <v>1</v>
      </c>
      <c r="AI637" s="475">
        <f>INDEX(Input!$1:$1048576,AI$93,$C637*2+MIN($B637,2)+5)</f>
        <v>0</v>
      </c>
      <c r="AJ637" s="476">
        <f>INDEX(Input!$1:$1048576,AJ$93,$C637*2+MIN($B637,2)+5)</f>
        <v>0.27</v>
      </c>
      <c r="AK637" s="150">
        <f>ROUND(INDEX(Input!$1:$1048576,AK$93,$C636*2+MIN($B637,1)+5)+(Y637-VLOOKUP($C637*1000+1,$A:$HH,Y$92,FALSE)),0)</f>
        <v>3061</v>
      </c>
      <c r="AL637" s="150">
        <f>ROUND(INDEX(Input!$1:$1048576,AL$93,$C636*2+MIN($B637,1)+5)-(Y637-VLOOKUP($C637*1000+1,$A:$HH,Y$92,FALSE))/36,0)</f>
        <v>3552</v>
      </c>
      <c r="AM637" s="32" t="str">
        <f t="shared" si="1752"/>
        <v>std/std/std/std</v>
      </c>
      <c r="AN637" s="32" t="str">
        <f t="shared" si="1753"/>
        <v>$0 + 0/0/0/0.9/3.9</v>
      </c>
      <c r="AO637" s="32" t="str">
        <f t="shared" si="1754"/>
        <v>0/0/0/0.9/3.9</v>
      </c>
      <c r="AP637" s="32" t="str">
        <f t="shared" si="1716"/>
        <v>0/0/0.9/3.9</v>
      </c>
      <c r="AQ637" s="536">
        <f t="shared" si="1892"/>
        <v>0.41655311672329259</v>
      </c>
      <c r="AR637" s="32"/>
      <c r="AS637" s="302"/>
      <c r="AT637" s="3">
        <f t="shared" si="1788"/>
        <v>37</v>
      </c>
      <c r="AU637" s="41" t="s">
        <v>121</v>
      </c>
      <c r="AV637" s="41" t="s">
        <v>116</v>
      </c>
      <c r="AW637" s="41" t="str">
        <f>INDEX(Input!$1:$1048576,AW$93,$C637*2+6)</f>
        <v>Kia</v>
      </c>
      <c r="AX637" s="41" t="str">
        <f>INDEX(Input!$1:$1048576,AX$93,$C637*2+6)</f>
        <v>National</v>
      </c>
      <c r="AY637" s="41" t="str">
        <f>IF(LEN(D637)=0,"",INDEX(Input!$1:$1048576,AY$93,$C637*2+6))</f>
        <v>Compact SUV (52)</v>
      </c>
      <c r="AZ637" s="41" t="str">
        <f>INDEX(Input!$1:$1048576,AZ$93,$C637*2+6)</f>
        <v>Kia Soul</v>
      </c>
      <c r="BA637" s="3">
        <f>INDEX(Input!$1:$1048576,BA$93,$C637*2+6)</f>
        <v>2020</v>
      </c>
      <c r="BB637" s="128">
        <f>INDEX(Input!$1:$1048576,BB$93,$C637*2+6)</f>
        <v>1</v>
      </c>
      <c r="BC637" s="128">
        <f>INDEX(Input!$1:$1048576,BC$93,$C637*2+6)</f>
        <v>0.7</v>
      </c>
      <c r="BD637" s="1">
        <f>INDEX(Input!$1:$1048576,BD$93,$C637*2+6)</f>
        <v>4.4999999999999998E-2</v>
      </c>
      <c r="BE637" s="1">
        <f>INDEX(Input!$1:$1048576,BE$93,$C637*2+6)</f>
        <v>4.4999999999999998E-2</v>
      </c>
      <c r="BF637" s="1">
        <f>INDEX(Input!$1:$1048576,BF$93,$C637*2+6)</f>
        <v>0.05</v>
      </c>
      <c r="BG637" s="1">
        <f>INDEX(Input!$1:$1048576,BG$93,$C637*2+6)</f>
        <v>5.45E-2</v>
      </c>
      <c r="BH637" s="1">
        <f>INDEX(Input!$1:$1048576,BH$93,$C637*2+6)</f>
        <v>5.45E-2</v>
      </c>
      <c r="BI637" s="1">
        <f>INDEX(Input!$1:$1048576,BI$93,$C637*2+6)</f>
        <v>0.05</v>
      </c>
      <c r="BJ637" s="1">
        <f>INDEX(Input!$1:$1048576,BJ$93,$C637*2+6)</f>
        <v>0.05</v>
      </c>
      <c r="BK637" s="1">
        <f>INDEX(Input!$1:$1048576,BK$93,$C637*2+6)</f>
        <v>0.05</v>
      </c>
      <c r="BL637" s="1">
        <f>INDEX(Input!$1:$1048576,BL$93,$C637*2+6)</f>
        <v>5.5E-2</v>
      </c>
      <c r="BM637" s="1">
        <f>INDEX(Input!$1:$1048576,BM$93,$C637*2+6)</f>
        <v>0.06</v>
      </c>
      <c r="BN637" s="1">
        <f>INDEX(Input!$1:$1048576,BN$93,$C637*2+6)</f>
        <v>4.4999999999999998E-2</v>
      </c>
      <c r="BO637" s="1">
        <f>INDEX(Input!$1:$1048576,BO$93,$C637*2+6)</f>
        <v>4.4999999999999998E-2</v>
      </c>
      <c r="BP637" s="1">
        <f>INDEX(Input!$1:$1048576,BP$93,$C637*2+6)</f>
        <v>0.05</v>
      </c>
      <c r="BQ637" s="1">
        <f>INDEX(Input!$1:$1048576,BQ$93,$C637*2+6)</f>
        <v>5.45E-2</v>
      </c>
      <c r="BR637" s="1">
        <f>INDEX(Input!$1:$1048576,BR$93,$C637*2+6)</f>
        <v>5.45E-2</v>
      </c>
      <c r="BS637" s="1">
        <f>INDEX(Input!$1:$1048576,BS$93,$C637*2+6)</f>
        <v>0.05</v>
      </c>
      <c r="BT637" s="1">
        <f>INDEX(Input!$1:$1048576,BT$93,$C637*2+6)</f>
        <v>0.05</v>
      </c>
      <c r="BU637" s="1">
        <f>INDEX(Input!$1:$1048576,BU$93,$C637*2+6)</f>
        <v>0.05</v>
      </c>
      <c r="BV637" s="1">
        <f>INDEX(Input!$1:$1048576,BV$93,$C637*2+6)</f>
        <v>5.5E-2</v>
      </c>
      <c r="BW637" s="1">
        <f>INDEX(Input!$1:$1048576,BW$93,$C637*2+6)</f>
        <v>0.06</v>
      </c>
      <c r="BX637" s="127">
        <f>INDEX(Input!$1:$1048576,BX$93,$C637*2+6)</f>
        <v>19985</v>
      </c>
      <c r="BY637" s="20">
        <f>INDEX(Input!$1:$1048576,BY$93,$C637*2+6)</f>
        <v>0.1</v>
      </c>
      <c r="BZ637" s="20">
        <f>INDEX(Input!$1:$1048576,BZ$93,$C637*2+6)</f>
        <v>0.1</v>
      </c>
      <c r="CA637" s="20">
        <f>INDEX(Input!$1:$1048576,CA$93,$C637*2+6)</f>
        <v>0.1</v>
      </c>
      <c r="CB637" s="20">
        <f>INDEX(Input!$1:$1048576,CB$93,$C637*2+6)</f>
        <v>0.1</v>
      </c>
      <c r="CC637" s="20">
        <f>INDEX(Input!$1:$1048576,CC$93,$C637*2+6)</f>
        <v>0.1</v>
      </c>
      <c r="CD637" s="384">
        <f>INDEX(Input!$1:$1048576,CD$93,$C637*2+6)</f>
        <v>0.1</v>
      </c>
      <c r="CE637" s="384">
        <f>INDEX(Input!$1:$1048576,CE$93,$C637*2+6)</f>
        <v>0.1</v>
      </c>
      <c r="CF637" s="384">
        <f>INDEX(Input!$1:$1048576,CF$93,$C637*2+6)</f>
        <v>0.1</v>
      </c>
      <c r="CG637" s="384">
        <f>INDEX(Input!$1:$1048576,CG$93,$C637*2+6)</f>
        <v>0.1</v>
      </c>
      <c r="CH637" s="384">
        <f>INDEX(Input!$1:$1048576,CH$93,$C637*2+6)</f>
        <v>0.1</v>
      </c>
      <c r="CI637" s="304">
        <f t="shared" si="1718"/>
        <v>2017.2644913000609</v>
      </c>
      <c r="CJ637" s="16" t="str">
        <f>INDEX(Input!$1:$1048576,CJ$93,$C637*2+6)</f>
        <v>N</v>
      </c>
      <c r="CK637" s="1" t="str">
        <f t="shared" si="1719"/>
        <v>Market</v>
      </c>
      <c r="CL637" s="1" t="str">
        <f t="shared" si="1720"/>
        <v>Market</v>
      </c>
      <c r="CM637" s="1" t="str">
        <f t="shared" si="1721"/>
        <v>Market</v>
      </c>
      <c r="CN637" s="1" t="str">
        <f t="shared" si="1722"/>
        <v>Market</v>
      </c>
      <c r="CO637" s="1" t="str">
        <f t="shared" si="1723"/>
        <v>Market</v>
      </c>
      <c r="CP637" s="304">
        <f t="shared" si="1724"/>
        <v>500</v>
      </c>
      <c r="CQ637" s="1">
        <f t="shared" si="1725"/>
        <v>0</v>
      </c>
      <c r="CR637" s="1">
        <f t="shared" si="1726"/>
        <v>0</v>
      </c>
      <c r="CS637" s="1">
        <f t="shared" si="1727"/>
        <v>0</v>
      </c>
      <c r="CT637" s="1">
        <f t="shared" si="1728"/>
        <v>8.9999999999999993E-3</v>
      </c>
      <c r="CU637" s="1">
        <f t="shared" si="1729"/>
        <v>3.9E-2</v>
      </c>
      <c r="CV637" s="304">
        <f t="shared" si="1730"/>
        <v>737.99367635402496</v>
      </c>
      <c r="CW637" s="20" t="s">
        <v>122</v>
      </c>
      <c r="CX637" s="20" t="s">
        <v>122</v>
      </c>
      <c r="CY637" s="20" t="s">
        <v>122</v>
      </c>
      <c r="CZ637" s="20" t="s">
        <v>122</v>
      </c>
      <c r="DA637" s="20" t="s">
        <v>122</v>
      </c>
      <c r="DB637" s="503">
        <f t="shared" si="1731"/>
        <v>0</v>
      </c>
      <c r="DC637" s="127">
        <v>0</v>
      </c>
      <c r="DD637" s="127">
        <v>0</v>
      </c>
      <c r="DE637" s="127">
        <v>0</v>
      </c>
      <c r="DF637" s="127">
        <v>0</v>
      </c>
      <c r="DG637" s="127">
        <v>0</v>
      </c>
      <c r="DH637" s="127">
        <v>0</v>
      </c>
      <c r="DI637" s="127">
        <v>0</v>
      </c>
      <c r="DJ637" s="127">
        <v>0</v>
      </c>
      <c r="DK637" s="127">
        <v>0</v>
      </c>
      <c r="DL637" s="127">
        <v>0</v>
      </c>
      <c r="DM637" s="304">
        <f>INDEX(Input!$1:$1048576,DM$93,$C637*2+6)</f>
        <v>21036.84210526316</v>
      </c>
      <c r="DN637" s="20">
        <v>0</v>
      </c>
      <c r="DO637" s="20">
        <v>0</v>
      </c>
      <c r="DP637" s="20">
        <v>0</v>
      </c>
      <c r="DQ637" s="20">
        <v>0</v>
      </c>
      <c r="DR637" s="20">
        <v>0</v>
      </c>
      <c r="DS637" s="20">
        <f>INDEX(Input!$1:$1048576,DS$93,$C637*2+6)</f>
        <v>0.6</v>
      </c>
      <c r="DT637" s="20">
        <f>INDEX(Input!$1:$1048576,DT$93,$C637*2+6)</f>
        <v>0.55000000000000004</v>
      </c>
      <c r="DU637" s="20">
        <f>INDEX(Input!$1:$1048576,DU$93,$C637*2+6)</f>
        <v>0.52</v>
      </c>
      <c r="DV637" s="20">
        <f>INDEX(Input!$1:$1048576,DV$93,$C637*2+6)</f>
        <v>0.5</v>
      </c>
      <c r="DW637" s="20">
        <f>INDEX(Input!$1:$1048576,DW$93,$C637*2+6)</f>
        <v>0.45</v>
      </c>
      <c r="DX637" s="20"/>
      <c r="DY637" s="7"/>
      <c r="DZ637" s="7"/>
      <c r="EA637" s="7"/>
      <c r="EB637" s="7"/>
      <c r="EC637" s="7"/>
      <c r="ED637" s="7"/>
      <c r="EE637" s="7"/>
      <c r="EF637" s="7"/>
      <c r="EG637" s="7"/>
      <c r="EH637" s="7"/>
      <c r="EI637" s="7"/>
      <c r="EJ637" s="7"/>
      <c r="EK637" s="7"/>
      <c r="EL637" s="7"/>
      <c r="EM637" s="7"/>
      <c r="EN637" s="7"/>
      <c r="EO637" s="7"/>
      <c r="EP637" s="7"/>
      <c r="EQ637" s="7"/>
      <c r="ER637" s="7"/>
      <c r="ES637" s="7"/>
      <c r="ET637" s="7"/>
      <c r="EU637" s="6"/>
      <c r="EV637" s="6"/>
      <c r="EW637" s="6"/>
      <c r="EX637" s="6"/>
      <c r="EY637" s="6"/>
      <c r="EZ637" s="6"/>
      <c r="FA637" s="6"/>
      <c r="FB637" s="6"/>
      <c r="FC637" s="6"/>
      <c r="FD637" s="6"/>
      <c r="FE637" s="6"/>
      <c r="FF637" s="6"/>
      <c r="FG637" s="6"/>
      <c r="FH637" s="6"/>
      <c r="FI637" s="6"/>
      <c r="FJ637" s="6"/>
      <c r="FK637" s="6"/>
      <c r="FL637" s="6"/>
      <c r="FM637" s="6"/>
      <c r="FN637" s="6"/>
      <c r="FO637" s="6"/>
      <c r="FP637" s="6"/>
      <c r="FQ637" s="6"/>
      <c r="FR637" s="6"/>
      <c r="FS637" s="6"/>
      <c r="FT637" s="7"/>
      <c r="FU637" s="7"/>
      <c r="FV637" s="7"/>
      <c r="FW637" s="6"/>
      <c r="FX637" s="6"/>
      <c r="FY637" s="6"/>
      <c r="FZ637" s="6"/>
      <c r="GA637" s="6"/>
      <c r="GB637" s="6"/>
      <c r="GC637" s="7"/>
      <c r="GD637" s="7"/>
      <c r="GE637" s="7"/>
      <c r="GF637" s="7"/>
      <c r="GG637" s="7"/>
      <c r="GH637" s="42"/>
      <c r="GI637" s="6"/>
      <c r="GJ637" s="14"/>
      <c r="GK637" s="14"/>
      <c r="GL637" s="14"/>
      <c r="GM637" s="14"/>
      <c r="GO637" s="5"/>
      <c r="GP637" s="5"/>
      <c r="GQ637" s="5"/>
      <c r="GR637" s="5"/>
      <c r="GS637" s="5"/>
      <c r="GT637" s="5"/>
      <c r="GU637" s="5"/>
      <c r="GV637" s="39"/>
      <c r="GW637" s="5"/>
      <c r="GX637" s="5"/>
      <c r="GY637" s="5"/>
      <c r="GZ637" s="5"/>
      <c r="HA637" s="5"/>
      <c r="HB637" s="39"/>
      <c r="HC637" s="5"/>
      <c r="HD637" s="5"/>
      <c r="HE637" s="5"/>
      <c r="HF637" s="5"/>
      <c r="HG637" s="5"/>
      <c r="HH637" s="39"/>
      <c r="HI637" s="16"/>
      <c r="HJ637" s="19"/>
      <c r="HK637" s="1"/>
      <c r="HL637" s="16"/>
      <c r="HM637" s="639">
        <f t="shared" si="1755"/>
        <v>2.3149872625708352E-2</v>
      </c>
      <c r="HN637" s="639">
        <f t="shared" si="1756"/>
        <v>1.3965040474190958E-3</v>
      </c>
      <c r="HO637" s="639">
        <f t="shared" si="1757"/>
        <v>3.5429561340050734E-3</v>
      </c>
      <c r="HP637" s="644">
        <f t="shared" ref="HP637:ID637" si="1905">HP137+HP237+HP337+HP437+HP537</f>
        <v>851.3409978823272</v>
      </c>
      <c r="HQ637" s="644">
        <f t="shared" si="1905"/>
        <v>-5.6256241833815377</v>
      </c>
      <c r="HR637" s="644">
        <f t="shared" si="1905"/>
        <v>-186.62275779089219</v>
      </c>
      <c r="HS637" s="644">
        <f t="shared" si="1905"/>
        <v>-324.74491656737797</v>
      </c>
      <c r="HT637" s="644">
        <f t="shared" si="1905"/>
        <v>177.32381327795378</v>
      </c>
      <c r="HU637" s="644">
        <f t="shared" si="1905"/>
        <v>55.471120774189984</v>
      </c>
      <c r="HV637" s="644">
        <f t="shared" si="1905"/>
        <v>0</v>
      </c>
      <c r="HW637" s="644">
        <f t="shared" si="1905"/>
        <v>0</v>
      </c>
      <c r="HX637" s="644">
        <f t="shared" si="1905"/>
        <v>0</v>
      </c>
      <c r="HY637" s="644">
        <f t="shared" si="1905"/>
        <v>2396</v>
      </c>
      <c r="HZ637" s="644">
        <f t="shared" si="1905"/>
        <v>3223</v>
      </c>
      <c r="IA637" s="644">
        <f t="shared" si="1905"/>
        <v>830</v>
      </c>
      <c r="IB637" s="644">
        <f t="shared" si="1905"/>
        <v>2922.5960813149486</v>
      </c>
      <c r="IC637" s="644">
        <f t="shared" si="1905"/>
        <v>3394.6981890945726</v>
      </c>
      <c r="ID637" s="644">
        <f t="shared" si="1905"/>
        <v>698.84836298329765</v>
      </c>
      <c r="IE637" s="20">
        <f t="shared" si="1759"/>
        <v>0.41655311672329259</v>
      </c>
      <c r="IF637" s="20">
        <f t="shared" si="1760"/>
        <v>0.48384110279311515</v>
      </c>
      <c r="IG637" s="20">
        <f t="shared" si="1761"/>
        <v>9.9605780483592199E-2</v>
      </c>
      <c r="IH637" s="21"/>
      <c r="II637" s="19"/>
      <c r="IJ637" s="19"/>
      <c r="IK637" s="19"/>
      <c r="IL637" s="19">
        <f t="shared" si="1762"/>
        <v>915.4545843243136</v>
      </c>
      <c r="IM637" s="19">
        <f t="shared" si="1763"/>
        <v>498.93543544848808</v>
      </c>
      <c r="IN637" s="19">
        <f t="shared" si="1764"/>
        <v>116.37534368816887</v>
      </c>
      <c r="IO637" s="39"/>
      <c r="IP637" s="39"/>
      <c r="IQ637" s="39"/>
      <c r="IR637" s="39"/>
      <c r="IS637" s="39"/>
      <c r="IT637" s="39"/>
      <c r="IU637" s="39"/>
      <c r="IV637" s="39"/>
      <c r="IW637" s="39"/>
      <c r="IX637" s="19">
        <f t="shared" si="1765"/>
        <v>1554.1790484140233</v>
      </c>
      <c r="IY637" s="19">
        <f t="shared" si="1766"/>
        <v>2412.3001201524512</v>
      </c>
      <c r="IZ637" s="19">
        <f t="shared" si="1767"/>
        <v>3993.0862952928574</v>
      </c>
      <c r="JA637" s="19">
        <f t="shared" ref="JA637:JC637" si="1906">IFERROR((JA137*IB137+JA237*IB237+JA337*IB337+JA437*IB437+JA537*IB537)/IB637,0)</f>
        <v>2469.6336327383369</v>
      </c>
      <c r="JB637" s="19">
        <f t="shared" si="1906"/>
        <v>2911.2355556009393</v>
      </c>
      <c r="JC637" s="19">
        <f t="shared" si="1906"/>
        <v>4109.4616389810262</v>
      </c>
      <c r="JD637" s="19">
        <f t="shared" si="1769"/>
        <v>2846.6351425123944</v>
      </c>
      <c r="JE637" s="21"/>
      <c r="JF637" s="1">
        <f t="shared" si="1770"/>
        <v>2.6651855648468406E-2</v>
      </c>
      <c r="JG637" s="15">
        <f t="shared" si="1771"/>
        <v>6449</v>
      </c>
      <c r="JH637" s="1">
        <f t="shared" si="1772"/>
        <v>0.1022007467681894</v>
      </c>
      <c r="JI637" s="1">
        <f t="shared" si="1773"/>
        <v>-1.425802178868572E-2</v>
      </c>
      <c r="JJ637" s="1">
        <f t="shared" si="1774"/>
        <v>0</v>
      </c>
      <c r="JK637" s="1">
        <f t="shared" si="1775"/>
        <v>8.7942724979503673E-2</v>
      </c>
      <c r="JL637" s="15">
        <f t="shared" ref="JL637:JM637" si="1907">JL137+JL237+JL337+JL437+JL537</f>
        <v>567.14263339281922</v>
      </c>
      <c r="JM637" s="15">
        <f t="shared" si="1907"/>
        <v>7016.1426333928202</v>
      </c>
      <c r="JN637" s="21"/>
      <c r="JO637" s="19">
        <f>INDEX(Input!$1:$1048576,JO$93,$C637*2+6)</f>
        <v>5995.5</v>
      </c>
      <c r="JP637" s="19">
        <f>INDEX(Input!$1:$1048576,JP$93,$C637*2+6)</f>
        <v>2296.6050414551746</v>
      </c>
      <c r="JQ637" s="39">
        <f t="shared" si="1799"/>
        <v>3148.8648574876056</v>
      </c>
      <c r="JR637" s="39">
        <f t="shared" si="1800"/>
        <v>550.03010105721978</v>
      </c>
      <c r="JS637" s="39">
        <f t="shared" si="1801"/>
        <v>19.972398185095454</v>
      </c>
      <c r="JT637" s="39">
        <f t="shared" si="1802"/>
        <v>5.1615922727510348</v>
      </c>
      <c r="JU637" s="385">
        <f>(JQ637*JM637-INDEX(Input!$1:$1048576,Input!A$18,$C637*2+6)*JL637*INDEX(Input!$1:$1048576,Input!A$19,$C637*2+6))/1000000</f>
        <v>22.092884973411195</v>
      </c>
      <c r="JV637" s="39">
        <f t="shared" si="1803"/>
        <v>-1.761288614244382</v>
      </c>
      <c r="JW637" s="1">
        <f t="shared" si="1804"/>
        <v>-7.3835658475959132E-2</v>
      </c>
      <c r="JX637" s="19">
        <f t="shared" si="1805"/>
        <v>9101.0479001954482</v>
      </c>
      <c r="JZ637" s="341"/>
      <c r="KA637" s="60"/>
      <c r="KB637" s="469">
        <f t="shared" si="1778"/>
        <v>0</v>
      </c>
      <c r="KI637" s="472"/>
      <c r="KJ637" s="472"/>
      <c r="KK637" s="472"/>
      <c r="KN637" s="793">
        <f t="shared" si="1779"/>
        <v>6002</v>
      </c>
      <c r="KO637" s="541">
        <f t="shared" si="1780"/>
        <v>6.3005444446277092E-2</v>
      </c>
      <c r="KP637" s="546">
        <f t="shared" si="1781"/>
        <v>467.5268486651168</v>
      </c>
      <c r="KQ637" s="546">
        <f t="shared" si="1782"/>
        <v>383.80188590724947</v>
      </c>
      <c r="KR637" s="472">
        <f t="shared" si="1783"/>
        <v>2.3613443944053425</v>
      </c>
      <c r="KS637" s="472">
        <f t="shared" si="1784"/>
        <v>2.8764629457713551</v>
      </c>
      <c r="KT637" s="473">
        <f t="shared" si="1795"/>
        <v>4286.2445668946921</v>
      </c>
      <c r="KU637" s="663">
        <f t="shared" si="1785"/>
        <v>4.4714195680563114</v>
      </c>
      <c r="KV637" s="117"/>
    </row>
    <row r="638" spans="1:308" s="26" customFormat="1" ht="15">
      <c r="A638" s="561">
        <f t="shared" si="1751"/>
        <v>6038</v>
      </c>
      <c r="B638" s="561">
        <f t="shared" si="1786"/>
        <v>38</v>
      </c>
      <c r="C638" s="561">
        <f t="shared" si="1787"/>
        <v>6</v>
      </c>
      <c r="D638" s="561" t="str">
        <f t="shared" si="1855"/>
        <v xml:space="preserve">1000 CC, 0/0/0.9/3.9, </v>
      </c>
      <c r="E638" s="475">
        <f>INDEX(Input!$1:$1048576,E$93,$C638*2+MIN($B638,2)+5)
+INDEX(Scenarios!E$121:E$199,MATCH($B638,Scenarios!$B$121:$B$199,0))</f>
        <v>2267.2644913000609</v>
      </c>
      <c r="F638" s="475">
        <f>INDEX(Input!$1:$1048576,F$93,$C638*2+MIN($B638,2)+5)
+INDEX(Scenarios!F$121:F$199,MATCH($B638,Scenarios!$B$121:$B$199,0))</f>
        <v>0</v>
      </c>
      <c r="G638" s="475">
        <f>INDEX(Input!$1:$1048576,G$93,$C638*2+MIN($B638,2)+5)
+INDEX(Scenarios!G$121:G$199,MATCH($B638,Scenarios!$B$121:$B$199,0))</f>
        <v>0</v>
      </c>
      <c r="H638" s="475">
        <f>INDEX(Input!$1:$1048576,H$93,$C638*2+MIN($B638,2)+5)
+INDEX(Scenarios!H$121:H$199,MATCH($B638,Scenarios!$B$121:$B$199,0))</f>
        <v>0</v>
      </c>
      <c r="I638" s="476">
        <f>INDEX(Input!$1:$1048576,I$93,$C638*2+MIN($B638,2)+5)
+INDEX(Scenarios!I$121:I$199,MATCH($B638,Scenarios!$B$121:$B$199,0))</f>
        <v>0.7</v>
      </c>
      <c r="J638" s="476" t="str">
        <f>INDEX(Input!$1:$1048576,J$93,$C638*2+MIN($B638,2)+5)</f>
        <v>Market</v>
      </c>
      <c r="K638" s="476" t="str">
        <f>INDEX(Input!$1:$1048576,K$93,$C638*2+MIN($B638,2)+5)</f>
        <v>Market</v>
      </c>
      <c r="L638" s="476" t="str">
        <f>INDEX(Input!$1:$1048576,L$93,$C638*2+MIN($B638,2)+5)</f>
        <v>Market</v>
      </c>
      <c r="M638" s="476" t="str">
        <f>INDEX(Input!$1:$1048576,M$93,$C638*2+MIN($B638,2)+5)</f>
        <v>Market</v>
      </c>
      <c r="N638" s="476" t="str">
        <f>INDEX(Input!$1:$1048576,N$93,$C638*2+MIN($B638,2)+5)</f>
        <v>Market</v>
      </c>
      <c r="O638" s="476" t="str">
        <f>INDEX(Input!$1:$1048576,O$93,$C638*2+MIN($B638,2)+5)</f>
        <v>Market</v>
      </c>
      <c r="P638" s="476" t="str">
        <f>INDEX(Input!$1:$1048576,P$93,$C638*2+MIN($B638,2)+5)</f>
        <v>N</v>
      </c>
      <c r="Q638" s="477">
        <f>INDEX(Input!$1:$1048576,Q$93,$C638*2+MIN($B638,2)+5)
+INDEX(Scenarios!Q$121:Q$199,MATCH($B638,Scenarios!$B$121:$B$199,0))</f>
        <v>0</v>
      </c>
      <c r="R638" s="478">
        <f>IFERROR(MAX(0,INDEX(Input!$1:$1048576,R$93,$C638*2+MIN($B638,2)+5)
+INDEX(Scenarios!R$121:R$199,MATCH($B638,Scenarios!$B$121:$B$199,0)),),"Market")</f>
        <v>0</v>
      </c>
      <c r="S638" s="478">
        <f>IFERROR(MAX(0,INDEX(Input!$1:$1048576,S$93,$C638*2+MIN($B638,2)+5)
+INDEX(Scenarios!S$121:S$199,MATCH($B638,Scenarios!$B$121:$B$199,0)),),"Market")</f>
        <v>0</v>
      </c>
      <c r="T638" s="478">
        <f>IFERROR(MAX(0,INDEX(Input!$1:$1048576,T$93,$C638*2+MIN($B638,2)+5)
+INDEX(Scenarios!T$121:T$199,MATCH($B638,Scenarios!$B$121:$B$199,0)),),"Market")</f>
        <v>0</v>
      </c>
      <c r="U638" s="478">
        <f>IFERROR(MAX(0,INDEX(Input!$1:$1048576,U$93,$C638*2+MIN($B638,2)+5)
+INDEX(Scenarios!U$121:U$199,MATCH($B638,Scenarios!$B$121:$B$199,0)),),"Market")</f>
        <v>0</v>
      </c>
      <c r="V638" s="478">
        <f>IFERROR(MAX(0,INDEX(Input!$1:$1048576,V$93,$C638*2+MIN($B638,2)+5)
+INDEX(Scenarios!V$121:V$199,MATCH($B638,Scenarios!$B$121:$B$199,0)),),"Market")</f>
        <v>8.9999999999999993E-3</v>
      </c>
      <c r="W638" s="885">
        <f>IFERROR(MAX(0,INDEX(Input!$1:$1048576,W$93,$C638*2+MIN($B638,2)+5)-0%,),"Market")</f>
        <v>3.9E-2</v>
      </c>
      <c r="X638" s="476" t="str">
        <f>INDEX(Input!$1:$1048576,X$93,$C638*2+MIN($B638,2)+5)</f>
        <v>Y</v>
      </c>
      <c r="Y638" s="475">
        <f>INDEX(Input!$1:$1048576,Y$93,$C638*2+MIN($B638,2)+5)
++INDEX(Scenarios!Y$121:Y$199,MATCH($B638,Scenarios!$B$121:$B$199,0))</f>
        <v>737.99367635402496</v>
      </c>
      <c r="Z638" s="477">
        <f>INDEX(Input!$1:$1048576,Z$93,$C638*2+MIN($B638,2)+5)
+INDEX(Scenarios!Z$121:Z$199,MATCH($B638,Scenarios!$B$121:$B$199,0))</f>
        <v>0</v>
      </c>
      <c r="AA638" s="475">
        <f>INDEX(Input!$1:$1048576,AA$93,$C638*2+MIN($B638,2)+5)</f>
        <v>0</v>
      </c>
      <c r="AB638" s="476">
        <f>INDEX(Input!$1:$1048576,AB$93,$C638*2+MIN($B638,2)+5)</f>
        <v>0.27</v>
      </c>
      <c r="AC638" s="475">
        <f>INDEX(Input!$1:$1048576,AC$93,$C638*2+MIN($B638,2)+5)
+INDEX(Scenarios!AC$121:AC$199,MATCH($B638,Scenarios!$B$121:$B$199,0))</f>
        <v>0</v>
      </c>
      <c r="AD638" s="476">
        <f>INDEX(Input!$1:$1048576,AD$93,$C638*2+MIN($B638,2)+5)</f>
        <v>0.27</v>
      </c>
      <c r="AE638" s="475">
        <f>INDEX(Input!$1:$1048576,AE$93,$C638*2+MIN($B638,2)+5)
+INDEX(Scenarios!AE$121:AE$199,MATCH($B638,Scenarios!$B$121:$B$199,0))</f>
        <v>0</v>
      </c>
      <c r="AF638" s="476">
        <f>INDEX(Input!$1:$1048576,AF$93,$C638*2+MIN($B638,2)+5)</f>
        <v>1</v>
      </c>
      <c r="AG638" s="475">
        <f>INDEX(Input!$1:$1048576,AG$93,$C638*2+MIN($B638,2)+5)</f>
        <v>500</v>
      </c>
      <c r="AH638" s="476">
        <f>INDEX(Input!$1:$1048576,AH$93,$C638*2+MIN($B638,2)+5)</f>
        <v>1</v>
      </c>
      <c r="AI638" s="475">
        <f>INDEX(Input!$1:$1048576,AI$93,$C638*2+MIN($B638,2)+5)</f>
        <v>0</v>
      </c>
      <c r="AJ638" s="476">
        <f>INDEX(Input!$1:$1048576,AJ$93,$C638*2+MIN($B638,2)+5)</f>
        <v>0.27</v>
      </c>
      <c r="AK638" s="150">
        <f>ROUND(INDEX(Input!$1:$1048576,AK$93,$C637*2+MIN($B638,1)+5)+(Y638-VLOOKUP($C638*1000+1,$A:$HH,Y$92,FALSE)),0)</f>
        <v>3061</v>
      </c>
      <c r="AL638" s="150">
        <f>ROUND(INDEX(Input!$1:$1048576,AL$93,$C637*2+MIN($B638,1)+5)-(Y638-VLOOKUP($C638*1000+1,$A:$HH,Y$92,FALSE))/36,0)</f>
        <v>3552</v>
      </c>
      <c r="AM638" s="32" t="str">
        <f t="shared" si="1752"/>
        <v>std/std/std/std</v>
      </c>
      <c r="AN638" s="32" t="str">
        <f t="shared" si="1753"/>
        <v>$0 + 0/0/0/0.9/3.9</v>
      </c>
      <c r="AO638" s="32" t="str">
        <f t="shared" si="1754"/>
        <v>0/0/0/0.9/3.9</v>
      </c>
      <c r="AP638" s="32" t="str">
        <f t="shared" si="1716"/>
        <v>0/0/0.9/3.9</v>
      </c>
      <c r="AQ638" s="536">
        <f t="shared" si="1892"/>
        <v>0.43648125475798649</v>
      </c>
      <c r="AR638" s="32"/>
      <c r="AS638" s="302"/>
      <c r="AT638" s="3">
        <f t="shared" si="1788"/>
        <v>38</v>
      </c>
      <c r="AU638" s="41" t="s">
        <v>121</v>
      </c>
      <c r="AV638" s="41" t="s">
        <v>116</v>
      </c>
      <c r="AW638" s="41" t="str">
        <f>INDEX(Input!$1:$1048576,AW$93,$C638*2+6)</f>
        <v>Kia</v>
      </c>
      <c r="AX638" s="41" t="str">
        <f>INDEX(Input!$1:$1048576,AX$93,$C638*2+6)</f>
        <v>National</v>
      </c>
      <c r="AY638" s="41" t="str">
        <f>IF(LEN(D638)=0,"",INDEX(Input!$1:$1048576,AY$93,$C638*2+6))</f>
        <v>Compact SUV (52)</v>
      </c>
      <c r="AZ638" s="41" t="str">
        <f>INDEX(Input!$1:$1048576,AZ$93,$C638*2+6)</f>
        <v>Kia Soul</v>
      </c>
      <c r="BA638" s="3">
        <f>INDEX(Input!$1:$1048576,BA$93,$C638*2+6)</f>
        <v>2020</v>
      </c>
      <c r="BB638" s="128">
        <f>INDEX(Input!$1:$1048576,BB$93,$C638*2+6)</f>
        <v>1</v>
      </c>
      <c r="BC638" s="128">
        <f>INDEX(Input!$1:$1048576,BC$93,$C638*2+6)</f>
        <v>0.7</v>
      </c>
      <c r="BD638" s="1">
        <f>INDEX(Input!$1:$1048576,BD$93,$C638*2+6)</f>
        <v>4.4999999999999998E-2</v>
      </c>
      <c r="BE638" s="1">
        <f>INDEX(Input!$1:$1048576,BE$93,$C638*2+6)</f>
        <v>4.4999999999999998E-2</v>
      </c>
      <c r="BF638" s="1">
        <f>INDEX(Input!$1:$1048576,BF$93,$C638*2+6)</f>
        <v>0.05</v>
      </c>
      <c r="BG638" s="1">
        <f>INDEX(Input!$1:$1048576,BG$93,$C638*2+6)</f>
        <v>5.45E-2</v>
      </c>
      <c r="BH638" s="1">
        <f>INDEX(Input!$1:$1048576,BH$93,$C638*2+6)</f>
        <v>5.45E-2</v>
      </c>
      <c r="BI638" s="1">
        <f>INDEX(Input!$1:$1048576,BI$93,$C638*2+6)</f>
        <v>0.05</v>
      </c>
      <c r="BJ638" s="1">
        <f>INDEX(Input!$1:$1048576,BJ$93,$C638*2+6)</f>
        <v>0.05</v>
      </c>
      <c r="BK638" s="1">
        <f>INDEX(Input!$1:$1048576,BK$93,$C638*2+6)</f>
        <v>0.05</v>
      </c>
      <c r="BL638" s="1">
        <f>INDEX(Input!$1:$1048576,BL$93,$C638*2+6)</f>
        <v>5.5E-2</v>
      </c>
      <c r="BM638" s="1">
        <f>INDEX(Input!$1:$1048576,BM$93,$C638*2+6)</f>
        <v>0.06</v>
      </c>
      <c r="BN638" s="1">
        <f>INDEX(Input!$1:$1048576,BN$93,$C638*2+6)</f>
        <v>4.4999999999999998E-2</v>
      </c>
      <c r="BO638" s="1">
        <f>INDEX(Input!$1:$1048576,BO$93,$C638*2+6)</f>
        <v>4.4999999999999998E-2</v>
      </c>
      <c r="BP638" s="1">
        <f>INDEX(Input!$1:$1048576,BP$93,$C638*2+6)</f>
        <v>0.05</v>
      </c>
      <c r="BQ638" s="1">
        <f>INDEX(Input!$1:$1048576,BQ$93,$C638*2+6)</f>
        <v>5.45E-2</v>
      </c>
      <c r="BR638" s="1">
        <f>INDEX(Input!$1:$1048576,BR$93,$C638*2+6)</f>
        <v>5.45E-2</v>
      </c>
      <c r="BS638" s="1">
        <f>INDEX(Input!$1:$1048576,BS$93,$C638*2+6)</f>
        <v>0.05</v>
      </c>
      <c r="BT638" s="1">
        <f>INDEX(Input!$1:$1048576,BT$93,$C638*2+6)</f>
        <v>0.05</v>
      </c>
      <c r="BU638" s="1">
        <f>INDEX(Input!$1:$1048576,BU$93,$C638*2+6)</f>
        <v>0.05</v>
      </c>
      <c r="BV638" s="1">
        <f>INDEX(Input!$1:$1048576,BV$93,$C638*2+6)</f>
        <v>5.5E-2</v>
      </c>
      <c r="BW638" s="1">
        <f>INDEX(Input!$1:$1048576,BW$93,$C638*2+6)</f>
        <v>0.06</v>
      </c>
      <c r="BX638" s="127">
        <f>INDEX(Input!$1:$1048576,BX$93,$C638*2+6)</f>
        <v>19985</v>
      </c>
      <c r="BY638" s="20">
        <f>INDEX(Input!$1:$1048576,BY$93,$C638*2+6)</f>
        <v>0.1</v>
      </c>
      <c r="BZ638" s="20">
        <f>INDEX(Input!$1:$1048576,BZ$93,$C638*2+6)</f>
        <v>0.1</v>
      </c>
      <c r="CA638" s="20">
        <f>INDEX(Input!$1:$1048576,CA$93,$C638*2+6)</f>
        <v>0.1</v>
      </c>
      <c r="CB638" s="20">
        <f>INDEX(Input!$1:$1048576,CB$93,$C638*2+6)</f>
        <v>0.1</v>
      </c>
      <c r="CC638" s="20">
        <f>INDEX(Input!$1:$1048576,CC$93,$C638*2+6)</f>
        <v>0.1</v>
      </c>
      <c r="CD638" s="384">
        <f>INDEX(Input!$1:$1048576,CD$93,$C638*2+6)</f>
        <v>0.1</v>
      </c>
      <c r="CE638" s="384">
        <f>INDEX(Input!$1:$1048576,CE$93,$C638*2+6)</f>
        <v>0.1</v>
      </c>
      <c r="CF638" s="384">
        <f>INDEX(Input!$1:$1048576,CF$93,$C638*2+6)</f>
        <v>0.1</v>
      </c>
      <c r="CG638" s="384">
        <f>INDEX(Input!$1:$1048576,CG$93,$C638*2+6)</f>
        <v>0.1</v>
      </c>
      <c r="CH638" s="384">
        <f>INDEX(Input!$1:$1048576,CH$93,$C638*2+6)</f>
        <v>0.1</v>
      </c>
      <c r="CI638" s="304">
        <f t="shared" si="1718"/>
        <v>2267.2644913000609</v>
      </c>
      <c r="CJ638" s="16" t="str">
        <f>INDEX(Input!$1:$1048576,CJ$93,$C638*2+6)</f>
        <v>N</v>
      </c>
      <c r="CK638" s="1" t="str">
        <f t="shared" si="1719"/>
        <v>Market</v>
      </c>
      <c r="CL638" s="1" t="str">
        <f t="shared" si="1720"/>
        <v>Market</v>
      </c>
      <c r="CM638" s="1" t="str">
        <f t="shared" si="1721"/>
        <v>Market</v>
      </c>
      <c r="CN638" s="1" t="str">
        <f t="shared" si="1722"/>
        <v>Market</v>
      </c>
      <c r="CO638" s="1" t="str">
        <f t="shared" si="1723"/>
        <v>Market</v>
      </c>
      <c r="CP638" s="304">
        <f t="shared" si="1724"/>
        <v>500</v>
      </c>
      <c r="CQ638" s="1">
        <f t="shared" si="1725"/>
        <v>0</v>
      </c>
      <c r="CR638" s="1">
        <f t="shared" si="1726"/>
        <v>0</v>
      </c>
      <c r="CS638" s="1">
        <f t="shared" si="1727"/>
        <v>0</v>
      </c>
      <c r="CT638" s="1">
        <f t="shared" si="1728"/>
        <v>8.9999999999999993E-3</v>
      </c>
      <c r="CU638" s="1">
        <f t="shared" si="1729"/>
        <v>3.9E-2</v>
      </c>
      <c r="CV638" s="304">
        <f t="shared" si="1730"/>
        <v>737.99367635402496</v>
      </c>
      <c r="CW638" s="20" t="s">
        <v>122</v>
      </c>
      <c r="CX638" s="20" t="s">
        <v>122</v>
      </c>
      <c r="CY638" s="20" t="s">
        <v>122</v>
      </c>
      <c r="CZ638" s="20" t="s">
        <v>122</v>
      </c>
      <c r="DA638" s="20" t="s">
        <v>122</v>
      </c>
      <c r="DB638" s="503">
        <f t="shared" si="1731"/>
        <v>0</v>
      </c>
      <c r="DC638" s="127">
        <v>0</v>
      </c>
      <c r="DD638" s="127">
        <v>0</v>
      </c>
      <c r="DE638" s="127">
        <v>0</v>
      </c>
      <c r="DF638" s="127">
        <v>0</v>
      </c>
      <c r="DG638" s="127">
        <v>0</v>
      </c>
      <c r="DH638" s="127">
        <v>0</v>
      </c>
      <c r="DI638" s="127">
        <v>0</v>
      </c>
      <c r="DJ638" s="127">
        <v>0</v>
      </c>
      <c r="DK638" s="127">
        <v>0</v>
      </c>
      <c r="DL638" s="127">
        <v>0</v>
      </c>
      <c r="DM638" s="304">
        <f>INDEX(Input!$1:$1048576,DM$93,$C638*2+6)</f>
        <v>21036.84210526316</v>
      </c>
      <c r="DN638" s="20">
        <v>0</v>
      </c>
      <c r="DO638" s="20">
        <v>0</v>
      </c>
      <c r="DP638" s="20">
        <v>0</v>
      </c>
      <c r="DQ638" s="20">
        <v>0</v>
      </c>
      <c r="DR638" s="20">
        <v>0</v>
      </c>
      <c r="DS638" s="20">
        <f>INDEX(Input!$1:$1048576,DS$93,$C638*2+6)</f>
        <v>0.6</v>
      </c>
      <c r="DT638" s="20">
        <f>INDEX(Input!$1:$1048576,DT$93,$C638*2+6)</f>
        <v>0.55000000000000004</v>
      </c>
      <c r="DU638" s="20">
        <f>INDEX(Input!$1:$1048576,DU$93,$C638*2+6)</f>
        <v>0.52</v>
      </c>
      <c r="DV638" s="20">
        <f>INDEX(Input!$1:$1048576,DV$93,$C638*2+6)</f>
        <v>0.5</v>
      </c>
      <c r="DW638" s="20">
        <f>INDEX(Input!$1:$1048576,DW$93,$C638*2+6)</f>
        <v>0.45</v>
      </c>
      <c r="DX638" s="20"/>
      <c r="DY638" s="7"/>
      <c r="DZ638" s="7"/>
      <c r="EA638" s="7"/>
      <c r="EB638" s="7"/>
      <c r="EC638" s="7"/>
      <c r="ED638" s="7"/>
      <c r="EE638" s="7"/>
      <c r="EF638" s="7"/>
      <c r="EG638" s="7"/>
      <c r="EH638" s="7"/>
      <c r="EI638" s="7"/>
      <c r="EJ638" s="7"/>
      <c r="EK638" s="7"/>
      <c r="EL638" s="7"/>
      <c r="EM638" s="7"/>
      <c r="EN638" s="7"/>
      <c r="EO638" s="7"/>
      <c r="EP638" s="7"/>
      <c r="EQ638" s="7"/>
      <c r="ER638" s="7"/>
      <c r="ES638" s="7"/>
      <c r="ET638" s="7"/>
      <c r="EU638" s="6"/>
      <c r="EV638" s="6"/>
      <c r="EW638" s="6"/>
      <c r="EX638" s="6"/>
      <c r="EY638" s="6"/>
      <c r="EZ638" s="6"/>
      <c r="FA638" s="6"/>
      <c r="FB638" s="6"/>
      <c r="FC638" s="6"/>
      <c r="FD638" s="6"/>
      <c r="FE638" s="6"/>
      <c r="FF638" s="6"/>
      <c r="FG638" s="6"/>
      <c r="FH638" s="6"/>
      <c r="FI638" s="6"/>
      <c r="FJ638" s="6"/>
      <c r="FK638" s="6"/>
      <c r="FL638" s="6"/>
      <c r="FM638" s="6"/>
      <c r="FN638" s="6"/>
      <c r="FO638" s="6"/>
      <c r="FP638" s="6"/>
      <c r="FQ638" s="6"/>
      <c r="FR638" s="6"/>
      <c r="FS638" s="6"/>
      <c r="FT638" s="7"/>
      <c r="FU638" s="7"/>
      <c r="FV638" s="7"/>
      <c r="FW638" s="6"/>
      <c r="FX638" s="6"/>
      <c r="FY638" s="6"/>
      <c r="FZ638" s="6"/>
      <c r="GA638" s="6"/>
      <c r="GB638" s="6"/>
      <c r="GC638" s="7"/>
      <c r="GD638" s="7"/>
      <c r="GE638" s="7"/>
      <c r="GF638" s="7"/>
      <c r="GG638" s="7"/>
      <c r="GH638" s="42"/>
      <c r="GI638" s="6"/>
      <c r="GJ638" s="14"/>
      <c r="GK638" s="14"/>
      <c r="GL638" s="14"/>
      <c r="GM638" s="14"/>
      <c r="GO638" s="5"/>
      <c r="GP638" s="5"/>
      <c r="GQ638" s="5"/>
      <c r="GR638" s="5"/>
      <c r="GS638" s="5"/>
      <c r="GT638" s="5"/>
      <c r="GU638" s="5"/>
      <c r="GV638" s="39"/>
      <c r="GW638" s="5"/>
      <c r="GX638" s="5"/>
      <c r="GY638" s="5"/>
      <c r="GZ638" s="5"/>
      <c r="HA638" s="5"/>
      <c r="HB638" s="39"/>
      <c r="HC638" s="5"/>
      <c r="HD638" s="5"/>
      <c r="HE638" s="5"/>
      <c r="HF638" s="5"/>
      <c r="HG638" s="5"/>
      <c r="HH638" s="39"/>
      <c r="HI638" s="16"/>
      <c r="HJ638" s="19"/>
      <c r="HK638" s="1"/>
      <c r="HL638" s="16"/>
      <c r="HM638" s="639">
        <f t="shared" si="1755"/>
        <v>2.3149872625708352E-2</v>
      </c>
      <c r="HN638" s="639">
        <f t="shared" si="1756"/>
        <v>1.3965040474190958E-3</v>
      </c>
      <c r="HO638" s="639">
        <f t="shared" si="1757"/>
        <v>3.5429561340050734E-3</v>
      </c>
      <c r="HP638" s="644">
        <f t="shared" ref="HP638:ID638" si="1908">HP138+HP238+HP338+HP438+HP538</f>
        <v>1122.1738659400937</v>
      </c>
      <c r="HQ638" s="644">
        <f t="shared" si="1908"/>
        <v>-34.576748037041945</v>
      </c>
      <c r="HR638" s="644">
        <f t="shared" si="1908"/>
        <v>-241.73328126927214</v>
      </c>
      <c r="HS638" s="644">
        <f t="shared" si="1908"/>
        <v>-412.57052474665113</v>
      </c>
      <c r="HT638" s="644">
        <f t="shared" si="1908"/>
        <v>164.49208842210172</v>
      </c>
      <c r="HU638" s="644">
        <f t="shared" si="1908"/>
        <v>68.304439952959243</v>
      </c>
      <c r="HV638" s="644">
        <f t="shared" si="1908"/>
        <v>0</v>
      </c>
      <c r="HW638" s="644">
        <f t="shared" si="1908"/>
        <v>0</v>
      </c>
      <c r="HX638" s="644">
        <f t="shared" si="1908"/>
        <v>0</v>
      </c>
      <c r="HY638" s="644">
        <f t="shared" si="1908"/>
        <v>2396</v>
      </c>
      <c r="HZ638" s="644">
        <f t="shared" si="1908"/>
        <v>3223</v>
      </c>
      <c r="IA638" s="644">
        <f t="shared" si="1908"/>
        <v>830</v>
      </c>
      <c r="IB638" s="644">
        <f t="shared" si="1908"/>
        <v>3105.6033411934427</v>
      </c>
      <c r="IC638" s="644">
        <f t="shared" si="1908"/>
        <v>3352.9153403850605</v>
      </c>
      <c r="ID638" s="644">
        <f t="shared" si="1908"/>
        <v>656.57115868368714</v>
      </c>
      <c r="IE638" s="20">
        <f t="shared" si="1759"/>
        <v>0.43648125475798649</v>
      </c>
      <c r="IF638" s="20">
        <f t="shared" si="1760"/>
        <v>0.47124005678915021</v>
      </c>
      <c r="IG638" s="20">
        <f t="shared" si="1761"/>
        <v>9.2278688452863245E-2</v>
      </c>
      <c r="IH638" s="21"/>
      <c r="II638" s="19"/>
      <c r="IJ638" s="19"/>
      <c r="IK638" s="19"/>
      <c r="IL638" s="19">
        <f t="shared" si="1762"/>
        <v>1162.3456265138734</v>
      </c>
      <c r="IM638" s="19">
        <f t="shared" si="1763"/>
        <v>500.02984017214385</v>
      </c>
      <c r="IN638" s="19">
        <f t="shared" si="1764"/>
        <v>117.95957980806179</v>
      </c>
      <c r="IO638" s="39"/>
      <c r="IP638" s="39"/>
      <c r="IQ638" s="39"/>
      <c r="IR638" s="39"/>
      <c r="IS638" s="39"/>
      <c r="IT638" s="39"/>
      <c r="IU638" s="39"/>
      <c r="IV638" s="39"/>
      <c r="IW638" s="39"/>
      <c r="IX638" s="19">
        <f t="shared" si="1765"/>
        <v>1554.1790484140233</v>
      </c>
      <c r="IY638" s="19">
        <f t="shared" si="1766"/>
        <v>2412.3001201524512</v>
      </c>
      <c r="IZ638" s="19">
        <f t="shared" si="1767"/>
        <v>3993.0862952928574</v>
      </c>
      <c r="JA638" s="19">
        <f t="shared" ref="JA638:JC638" si="1909">IFERROR((JA138*IB138+JA238*IB238+JA338*IB338+JA438*IB438+JA538*IB538)/IB638,0)</f>
        <v>2716.5246749278967</v>
      </c>
      <c r="JB638" s="19">
        <f t="shared" si="1909"/>
        <v>2912.329960324595</v>
      </c>
      <c r="JC638" s="19">
        <f t="shared" si="1909"/>
        <v>4111.0458751009191</v>
      </c>
      <c r="JD638" s="19">
        <f t="shared" si="1769"/>
        <v>2937.4805561095318</v>
      </c>
      <c r="JE638" s="21"/>
      <c r="JF638" s="1">
        <f t="shared" si="1770"/>
        <v>2.6651855648468406E-2</v>
      </c>
      <c r="JG638" s="15">
        <f t="shared" si="1771"/>
        <v>6449</v>
      </c>
      <c r="JH638" s="1">
        <f t="shared" si="1772"/>
        <v>0.13116201529443011</v>
      </c>
      <c r="JI638" s="1">
        <f t="shared" si="1773"/>
        <v>-2.7876259322622138E-2</v>
      </c>
      <c r="JJ638" s="1">
        <f t="shared" si="1774"/>
        <v>0</v>
      </c>
      <c r="JK638" s="1">
        <f t="shared" si="1775"/>
        <v>0.10328575597180795</v>
      </c>
      <c r="JL638" s="15">
        <f t="shared" ref="JL638:JM638" si="1910">JL138+JL238+JL338+JL438+JL538</f>
        <v>666.08984026218945</v>
      </c>
      <c r="JM638" s="15">
        <f t="shared" si="1910"/>
        <v>7115.0898402621897</v>
      </c>
      <c r="JN638" s="21"/>
      <c r="JO638" s="19">
        <f>INDEX(Input!$1:$1048576,JO$93,$C638*2+6)</f>
        <v>5995.5</v>
      </c>
      <c r="JP638" s="19">
        <f>INDEX(Input!$1:$1048576,JP$93,$C638*2+6)</f>
        <v>2296.6050414551746</v>
      </c>
      <c r="JQ638" s="39">
        <f t="shared" si="1799"/>
        <v>3058.0194438904682</v>
      </c>
      <c r="JR638" s="39">
        <f t="shared" si="1800"/>
        <v>640.87551465435718</v>
      </c>
      <c r="JS638" s="39">
        <f t="shared" si="1801"/>
        <v>20.900438060742658</v>
      </c>
      <c r="JT638" s="39">
        <f t="shared" si="1802"/>
        <v>6.0896321483982376</v>
      </c>
      <c r="JU638" s="385">
        <f>(JQ638*JM638-INDEX(Input!$1:$1048576,Input!A$18,$C638*2+6)*JL638*INDEX(Input!$1:$1048576,Input!A$19,$C638*2+6))/1000000</f>
        <v>21.758083076549301</v>
      </c>
      <c r="JV638" s="39">
        <f t="shared" si="1803"/>
        <v>-2.0960905111062758</v>
      </c>
      <c r="JW638" s="1">
        <f t="shared" si="1804"/>
        <v>-8.7871017765670689E-2</v>
      </c>
      <c r="JX638" s="19">
        <f t="shared" si="1805"/>
        <v>9142.3585533164824</v>
      </c>
      <c r="JZ638" s="341"/>
      <c r="KA638" s="60"/>
      <c r="KB638" s="469">
        <f t="shared" si="1778"/>
        <v>0</v>
      </c>
      <c r="KI638" s="472"/>
      <c r="KJ638" s="472"/>
      <c r="KK638" s="472"/>
      <c r="KN638" s="793">
        <f t="shared" si="1779"/>
        <v>6002</v>
      </c>
      <c r="KO638" s="541">
        <f t="shared" si="1780"/>
        <v>7.7996790134474692E-2</v>
      </c>
      <c r="KP638" s="546">
        <f t="shared" si="1781"/>
        <v>586.3856286601108</v>
      </c>
      <c r="KQ638" s="546">
        <f t="shared" si="1782"/>
        <v>474.64729950438687</v>
      </c>
      <c r="KR638" s="472">
        <f t="shared" si="1783"/>
        <v>2.3306723347035003</v>
      </c>
      <c r="KS638" s="472">
        <f t="shared" si="1784"/>
        <v>2.8793438066810468</v>
      </c>
      <c r="KT638" s="473">
        <f t="shared" si="1795"/>
        <v>4286.2445668946921</v>
      </c>
      <c r="KU638" s="663">
        <f t="shared" si="1785"/>
        <v>4.4901936741652611</v>
      </c>
      <c r="KV638" s="117"/>
    </row>
    <row r="639" spans="1:308" s="26" customFormat="1" ht="15">
      <c r="A639" s="561">
        <f t="shared" si="1751"/>
        <v>6039</v>
      </c>
      <c r="B639" s="561">
        <f t="shared" si="1786"/>
        <v>39</v>
      </c>
      <c r="C639" s="561">
        <f t="shared" si="1787"/>
        <v>6</v>
      </c>
      <c r="D639" s="561" t="str">
        <f t="shared" si="1855"/>
        <v xml:space="preserve">250 CC, 360 Lease, </v>
      </c>
      <c r="E639" s="475">
        <f>INDEX(Input!$1:$1048576,E$93,$C639*2+MIN($B639,2)+5)
+INDEX(Scenarios!E$121:E$199,MATCH($B639,Scenarios!$B$121:$B$199,0))</f>
        <v>1517.2644913000609</v>
      </c>
      <c r="F639" s="475">
        <f>INDEX(Input!$1:$1048576,F$93,$C639*2+MIN($B639,2)+5)
+INDEX(Scenarios!F$121:F$199,MATCH($B639,Scenarios!$B$121:$B$199,0))</f>
        <v>0</v>
      </c>
      <c r="G639" s="475">
        <f>INDEX(Input!$1:$1048576,G$93,$C639*2+MIN($B639,2)+5)
+INDEX(Scenarios!G$121:G$199,MATCH($B639,Scenarios!$B$121:$B$199,0))</f>
        <v>0</v>
      </c>
      <c r="H639" s="475">
        <f>INDEX(Input!$1:$1048576,H$93,$C639*2+MIN($B639,2)+5)
+INDEX(Scenarios!H$121:H$199,MATCH($B639,Scenarios!$B$121:$B$199,0))</f>
        <v>0</v>
      </c>
      <c r="I639" s="476">
        <f>INDEX(Input!$1:$1048576,I$93,$C639*2+MIN($B639,2)+5)
+INDEX(Scenarios!I$121:I$199,MATCH($B639,Scenarios!$B$121:$B$199,0))</f>
        <v>0.7</v>
      </c>
      <c r="J639" s="476" t="str">
        <f>INDEX(Input!$1:$1048576,J$93,$C639*2+MIN($B639,2)+5)</f>
        <v>Market</v>
      </c>
      <c r="K639" s="476" t="str">
        <f>INDEX(Input!$1:$1048576,K$93,$C639*2+MIN($B639,2)+5)</f>
        <v>Market</v>
      </c>
      <c r="L639" s="476" t="str">
        <f>INDEX(Input!$1:$1048576,L$93,$C639*2+MIN($B639,2)+5)</f>
        <v>Market</v>
      </c>
      <c r="M639" s="476" t="str">
        <f>INDEX(Input!$1:$1048576,M$93,$C639*2+MIN($B639,2)+5)</f>
        <v>Market</v>
      </c>
      <c r="N639" s="476" t="str">
        <f>INDEX(Input!$1:$1048576,N$93,$C639*2+MIN($B639,2)+5)</f>
        <v>Market</v>
      </c>
      <c r="O639" s="476" t="str">
        <f>INDEX(Input!$1:$1048576,O$93,$C639*2+MIN($B639,2)+5)</f>
        <v>Market</v>
      </c>
      <c r="P639" s="476" t="str">
        <f>INDEX(Input!$1:$1048576,P$93,$C639*2+MIN($B639,2)+5)</f>
        <v>N</v>
      </c>
      <c r="Q639" s="477">
        <f>INDEX(Input!$1:$1048576,Q$93,$C639*2+MIN($B639,2)+5)
+INDEX(Scenarios!Q$121:Q$199,MATCH($B639,Scenarios!$B$121:$B$199,0))</f>
        <v>0</v>
      </c>
      <c r="R639" s="478">
        <f>IFERROR(MAX(0,INDEX(Input!$1:$1048576,R$93,$C639*2+MIN($B639,2)+5)
+INDEX(Scenarios!R$121:R$199,MATCH($B639,Scenarios!$B$121:$B$199,0)),),"Market")</f>
        <v>0</v>
      </c>
      <c r="S639" s="478">
        <f>IFERROR(MAX(0,INDEX(Input!$1:$1048576,S$93,$C639*2+MIN($B639,2)+5)
+INDEX(Scenarios!S$121:S$199,MATCH($B639,Scenarios!$B$121:$B$199,0)),),"Market")</f>
        <v>0</v>
      </c>
      <c r="T639" s="478">
        <f>IFERROR(MAX(0,INDEX(Input!$1:$1048576,T$93,$C639*2+MIN($B639,2)+5)
+INDEX(Scenarios!T$121:T$199,MATCH($B639,Scenarios!$B$121:$B$199,0)),),"Market")</f>
        <v>0</v>
      </c>
      <c r="U639" s="478">
        <f>IFERROR(MAX(0,INDEX(Input!$1:$1048576,U$93,$C639*2+MIN($B639,2)+5)
+INDEX(Scenarios!U$121:U$199,MATCH($B639,Scenarios!$B$121:$B$199,0)),),"Market")</f>
        <v>0</v>
      </c>
      <c r="V639" s="478">
        <f>IFERROR(MAX(0,INDEX(Input!$1:$1048576,V$93,$C639*2+MIN($B639,2)+5)
+INDEX(Scenarios!V$121:V$199,MATCH($B639,Scenarios!$B$121:$B$199,0)),),"Market")</f>
        <v>1.9E-2</v>
      </c>
      <c r="W639" s="885">
        <f>IFERROR(MAX(0,INDEX(Input!$1:$1048576,W$93,$C639*2+MIN($B639,2)+5)-0%,),"Market")</f>
        <v>3.9E-2</v>
      </c>
      <c r="X639" s="476" t="str">
        <f>INDEX(Input!$1:$1048576,X$93,$C639*2+MIN($B639,2)+5)</f>
        <v>Y</v>
      </c>
      <c r="Y639" s="475">
        <f>INDEX(Input!$1:$1048576,Y$93,$C639*2+MIN($B639,2)+5)
++INDEX(Scenarios!Y$121:Y$199,MATCH($B639,Scenarios!$B$121:$B$199,0))</f>
        <v>1097.993676354025</v>
      </c>
      <c r="Z639" s="477">
        <f>INDEX(Input!$1:$1048576,Z$93,$C639*2+MIN($B639,2)+5)
+INDEX(Scenarios!Z$121:Z$199,MATCH($B639,Scenarios!$B$121:$B$199,0))</f>
        <v>0</v>
      </c>
      <c r="AA639" s="475">
        <f>INDEX(Input!$1:$1048576,AA$93,$C639*2+MIN($B639,2)+5)</f>
        <v>0</v>
      </c>
      <c r="AB639" s="476">
        <f>INDEX(Input!$1:$1048576,AB$93,$C639*2+MIN($B639,2)+5)</f>
        <v>0.27</v>
      </c>
      <c r="AC639" s="475">
        <f>INDEX(Input!$1:$1048576,AC$93,$C639*2+MIN($B639,2)+5)
+INDEX(Scenarios!AC$121:AC$199,MATCH($B639,Scenarios!$B$121:$B$199,0))</f>
        <v>0</v>
      </c>
      <c r="AD639" s="476">
        <f>INDEX(Input!$1:$1048576,AD$93,$C639*2+MIN($B639,2)+5)</f>
        <v>0.27</v>
      </c>
      <c r="AE639" s="475">
        <f>INDEX(Input!$1:$1048576,AE$93,$C639*2+MIN($B639,2)+5)
+INDEX(Scenarios!AE$121:AE$199,MATCH($B639,Scenarios!$B$121:$B$199,0))</f>
        <v>0</v>
      </c>
      <c r="AF639" s="476">
        <f>INDEX(Input!$1:$1048576,AF$93,$C639*2+MIN($B639,2)+5)</f>
        <v>1</v>
      </c>
      <c r="AG639" s="475">
        <f>INDEX(Input!$1:$1048576,AG$93,$C639*2+MIN($B639,2)+5)</f>
        <v>500</v>
      </c>
      <c r="AH639" s="476">
        <f>INDEX(Input!$1:$1048576,AH$93,$C639*2+MIN($B639,2)+5)</f>
        <v>1</v>
      </c>
      <c r="AI639" s="475">
        <f>INDEX(Input!$1:$1048576,AI$93,$C639*2+MIN($B639,2)+5)</f>
        <v>0</v>
      </c>
      <c r="AJ639" s="476">
        <f>INDEX(Input!$1:$1048576,AJ$93,$C639*2+MIN($B639,2)+5)</f>
        <v>0.27</v>
      </c>
      <c r="AK639" s="150">
        <f>ROUND(INDEX(Input!$1:$1048576,AK$93,$C638*2+MIN($B639,1)+5)+(Y639-VLOOKUP($C639*1000+1,$A:$HH,Y$92,FALSE)),0)</f>
        <v>3421</v>
      </c>
      <c r="AL639" s="150">
        <f>ROUND(INDEX(Input!$1:$1048576,AL$93,$C638*2+MIN($B639,1)+5)-(Y639-VLOOKUP($C639*1000+1,$A:$HH,Y$92,FALSE))/36,0)</f>
        <v>3542</v>
      </c>
      <c r="AM639" s="32" t="str">
        <f t="shared" si="1752"/>
        <v>std/std/std/std</v>
      </c>
      <c r="AN639" s="32" t="str">
        <f t="shared" si="1753"/>
        <v>$0 + 0/0/0/1.9/3.9</v>
      </c>
      <c r="AO639" s="32" t="str">
        <f t="shared" si="1754"/>
        <v>0/0/0/1.9/3.9</v>
      </c>
      <c r="AP639" s="32" t="str">
        <f t="shared" si="1716"/>
        <v>0/0.9/1.9/3.9</v>
      </c>
      <c r="AQ639" s="536">
        <f t="shared" si="1892"/>
        <v>0.37255230224367936</v>
      </c>
      <c r="AR639" s="32"/>
      <c r="AS639" s="302"/>
      <c r="AT639" s="3">
        <f t="shared" si="1788"/>
        <v>39</v>
      </c>
      <c r="AU639" s="41" t="s">
        <v>121</v>
      </c>
      <c r="AV639" s="41" t="s">
        <v>116</v>
      </c>
      <c r="AW639" s="41" t="str">
        <f>INDEX(Input!$1:$1048576,AW$93,$C639*2+6)</f>
        <v>Kia</v>
      </c>
      <c r="AX639" s="41" t="str">
        <f>INDEX(Input!$1:$1048576,AX$93,$C639*2+6)</f>
        <v>National</v>
      </c>
      <c r="AY639" s="41" t="str">
        <f>IF(LEN(D639)=0,"",INDEX(Input!$1:$1048576,AY$93,$C639*2+6))</f>
        <v>Compact SUV (52)</v>
      </c>
      <c r="AZ639" s="41" t="str">
        <f>INDEX(Input!$1:$1048576,AZ$93,$C639*2+6)</f>
        <v>Kia Soul</v>
      </c>
      <c r="BA639" s="3">
        <f>INDEX(Input!$1:$1048576,BA$93,$C639*2+6)</f>
        <v>2020</v>
      </c>
      <c r="BB639" s="128">
        <f>INDEX(Input!$1:$1048576,BB$93,$C639*2+6)</f>
        <v>1</v>
      </c>
      <c r="BC639" s="128">
        <f>INDEX(Input!$1:$1048576,BC$93,$C639*2+6)</f>
        <v>0.7</v>
      </c>
      <c r="BD639" s="1">
        <f>INDEX(Input!$1:$1048576,BD$93,$C639*2+6)</f>
        <v>4.4999999999999998E-2</v>
      </c>
      <c r="BE639" s="1">
        <f>INDEX(Input!$1:$1048576,BE$93,$C639*2+6)</f>
        <v>4.4999999999999998E-2</v>
      </c>
      <c r="BF639" s="1">
        <f>INDEX(Input!$1:$1048576,BF$93,$C639*2+6)</f>
        <v>0.05</v>
      </c>
      <c r="BG639" s="1">
        <f>INDEX(Input!$1:$1048576,BG$93,$C639*2+6)</f>
        <v>5.45E-2</v>
      </c>
      <c r="BH639" s="1">
        <f>INDEX(Input!$1:$1048576,BH$93,$C639*2+6)</f>
        <v>5.45E-2</v>
      </c>
      <c r="BI639" s="1">
        <f>INDEX(Input!$1:$1048576,BI$93,$C639*2+6)</f>
        <v>0.05</v>
      </c>
      <c r="BJ639" s="1">
        <f>INDEX(Input!$1:$1048576,BJ$93,$C639*2+6)</f>
        <v>0.05</v>
      </c>
      <c r="BK639" s="1">
        <f>INDEX(Input!$1:$1048576,BK$93,$C639*2+6)</f>
        <v>0.05</v>
      </c>
      <c r="BL639" s="1">
        <f>INDEX(Input!$1:$1048576,BL$93,$C639*2+6)</f>
        <v>5.5E-2</v>
      </c>
      <c r="BM639" s="1">
        <f>INDEX(Input!$1:$1048576,BM$93,$C639*2+6)</f>
        <v>0.06</v>
      </c>
      <c r="BN639" s="1">
        <f>INDEX(Input!$1:$1048576,BN$93,$C639*2+6)</f>
        <v>4.4999999999999998E-2</v>
      </c>
      <c r="BO639" s="1">
        <f>INDEX(Input!$1:$1048576,BO$93,$C639*2+6)</f>
        <v>4.4999999999999998E-2</v>
      </c>
      <c r="BP639" s="1">
        <f>INDEX(Input!$1:$1048576,BP$93,$C639*2+6)</f>
        <v>0.05</v>
      </c>
      <c r="BQ639" s="1">
        <f>INDEX(Input!$1:$1048576,BQ$93,$C639*2+6)</f>
        <v>5.45E-2</v>
      </c>
      <c r="BR639" s="1">
        <f>INDEX(Input!$1:$1048576,BR$93,$C639*2+6)</f>
        <v>5.45E-2</v>
      </c>
      <c r="BS639" s="1">
        <f>INDEX(Input!$1:$1048576,BS$93,$C639*2+6)</f>
        <v>0.05</v>
      </c>
      <c r="BT639" s="1">
        <f>INDEX(Input!$1:$1048576,BT$93,$C639*2+6)</f>
        <v>0.05</v>
      </c>
      <c r="BU639" s="1">
        <f>INDEX(Input!$1:$1048576,BU$93,$C639*2+6)</f>
        <v>0.05</v>
      </c>
      <c r="BV639" s="1">
        <f>INDEX(Input!$1:$1048576,BV$93,$C639*2+6)</f>
        <v>5.5E-2</v>
      </c>
      <c r="BW639" s="1">
        <f>INDEX(Input!$1:$1048576,BW$93,$C639*2+6)</f>
        <v>0.06</v>
      </c>
      <c r="BX639" s="127">
        <f>INDEX(Input!$1:$1048576,BX$93,$C639*2+6)</f>
        <v>19985</v>
      </c>
      <c r="BY639" s="20">
        <f>INDEX(Input!$1:$1048576,BY$93,$C639*2+6)</f>
        <v>0.1</v>
      </c>
      <c r="BZ639" s="20">
        <f>INDEX(Input!$1:$1048576,BZ$93,$C639*2+6)</f>
        <v>0.1</v>
      </c>
      <c r="CA639" s="20">
        <f>INDEX(Input!$1:$1048576,CA$93,$C639*2+6)</f>
        <v>0.1</v>
      </c>
      <c r="CB639" s="20">
        <f>INDEX(Input!$1:$1048576,CB$93,$C639*2+6)</f>
        <v>0.1</v>
      </c>
      <c r="CC639" s="20">
        <f>INDEX(Input!$1:$1048576,CC$93,$C639*2+6)</f>
        <v>0.1</v>
      </c>
      <c r="CD639" s="384">
        <f>INDEX(Input!$1:$1048576,CD$93,$C639*2+6)</f>
        <v>0.1</v>
      </c>
      <c r="CE639" s="384">
        <f>INDEX(Input!$1:$1048576,CE$93,$C639*2+6)</f>
        <v>0.1</v>
      </c>
      <c r="CF639" s="384">
        <f>INDEX(Input!$1:$1048576,CF$93,$C639*2+6)</f>
        <v>0.1</v>
      </c>
      <c r="CG639" s="384">
        <f>INDEX(Input!$1:$1048576,CG$93,$C639*2+6)</f>
        <v>0.1</v>
      </c>
      <c r="CH639" s="384">
        <f>INDEX(Input!$1:$1048576,CH$93,$C639*2+6)</f>
        <v>0.1</v>
      </c>
      <c r="CI639" s="304">
        <f t="shared" si="1718"/>
        <v>1517.2644913000609</v>
      </c>
      <c r="CJ639" s="16" t="str">
        <f>INDEX(Input!$1:$1048576,CJ$93,$C639*2+6)</f>
        <v>N</v>
      </c>
      <c r="CK639" s="1" t="str">
        <f t="shared" si="1719"/>
        <v>Market</v>
      </c>
      <c r="CL639" s="1" t="str">
        <f t="shared" si="1720"/>
        <v>Market</v>
      </c>
      <c r="CM639" s="1" t="str">
        <f t="shared" si="1721"/>
        <v>Market</v>
      </c>
      <c r="CN639" s="1" t="str">
        <f t="shared" si="1722"/>
        <v>Market</v>
      </c>
      <c r="CO639" s="1" t="str">
        <f t="shared" si="1723"/>
        <v>Market</v>
      </c>
      <c r="CP639" s="304">
        <f t="shared" si="1724"/>
        <v>500</v>
      </c>
      <c r="CQ639" s="1">
        <f t="shared" si="1725"/>
        <v>0</v>
      </c>
      <c r="CR639" s="1">
        <f t="shared" si="1726"/>
        <v>0</v>
      </c>
      <c r="CS639" s="1">
        <f t="shared" si="1727"/>
        <v>0</v>
      </c>
      <c r="CT639" s="1">
        <f t="shared" si="1728"/>
        <v>1.9E-2</v>
      </c>
      <c r="CU639" s="1">
        <f t="shared" si="1729"/>
        <v>3.9E-2</v>
      </c>
      <c r="CV639" s="304">
        <f t="shared" si="1730"/>
        <v>1097.993676354025</v>
      </c>
      <c r="CW639" s="20" t="s">
        <v>122</v>
      </c>
      <c r="CX639" s="20" t="s">
        <v>122</v>
      </c>
      <c r="CY639" s="20" t="s">
        <v>122</v>
      </c>
      <c r="CZ639" s="20" t="s">
        <v>122</v>
      </c>
      <c r="DA639" s="20" t="s">
        <v>122</v>
      </c>
      <c r="DB639" s="503">
        <f t="shared" si="1731"/>
        <v>0</v>
      </c>
      <c r="DC639" s="127">
        <v>0</v>
      </c>
      <c r="DD639" s="127">
        <v>0</v>
      </c>
      <c r="DE639" s="127">
        <v>0</v>
      </c>
      <c r="DF639" s="127">
        <v>0</v>
      </c>
      <c r="DG639" s="127">
        <v>0</v>
      </c>
      <c r="DH639" s="127">
        <v>0</v>
      </c>
      <c r="DI639" s="127">
        <v>0</v>
      </c>
      <c r="DJ639" s="127">
        <v>0</v>
      </c>
      <c r="DK639" s="127">
        <v>0</v>
      </c>
      <c r="DL639" s="127">
        <v>0</v>
      </c>
      <c r="DM639" s="304">
        <f>INDEX(Input!$1:$1048576,DM$93,$C639*2+6)</f>
        <v>21036.84210526316</v>
      </c>
      <c r="DN639" s="20">
        <v>0</v>
      </c>
      <c r="DO639" s="20">
        <v>0</v>
      </c>
      <c r="DP639" s="20">
        <v>0</v>
      </c>
      <c r="DQ639" s="20">
        <v>0</v>
      </c>
      <c r="DR639" s="20">
        <v>0</v>
      </c>
      <c r="DS639" s="20">
        <f>INDEX(Input!$1:$1048576,DS$93,$C639*2+6)</f>
        <v>0.6</v>
      </c>
      <c r="DT639" s="20">
        <f>INDEX(Input!$1:$1048576,DT$93,$C639*2+6)</f>
        <v>0.55000000000000004</v>
      </c>
      <c r="DU639" s="20">
        <f>INDEX(Input!$1:$1048576,DU$93,$C639*2+6)</f>
        <v>0.52</v>
      </c>
      <c r="DV639" s="20">
        <f>INDEX(Input!$1:$1048576,DV$93,$C639*2+6)</f>
        <v>0.5</v>
      </c>
      <c r="DW639" s="20">
        <f>INDEX(Input!$1:$1048576,DW$93,$C639*2+6)</f>
        <v>0.45</v>
      </c>
      <c r="DX639" s="20"/>
      <c r="DY639" s="7"/>
      <c r="DZ639" s="7"/>
      <c r="EA639" s="7"/>
      <c r="EB639" s="7"/>
      <c r="EC639" s="7"/>
      <c r="ED639" s="7"/>
      <c r="EE639" s="7"/>
      <c r="EF639" s="7"/>
      <c r="EG639" s="7"/>
      <c r="EH639" s="7"/>
      <c r="EI639" s="7"/>
      <c r="EJ639" s="7"/>
      <c r="EK639" s="7"/>
      <c r="EL639" s="7"/>
      <c r="EM639" s="7"/>
      <c r="EN639" s="7"/>
      <c r="EO639" s="7"/>
      <c r="EP639" s="7"/>
      <c r="EQ639" s="7"/>
      <c r="ER639" s="7"/>
      <c r="ES639" s="7"/>
      <c r="ET639" s="7"/>
      <c r="EU639" s="6"/>
      <c r="EV639" s="6"/>
      <c r="EW639" s="6"/>
      <c r="EX639" s="6"/>
      <c r="EY639" s="6"/>
      <c r="EZ639" s="6"/>
      <c r="FA639" s="6"/>
      <c r="FB639" s="6"/>
      <c r="FC639" s="6"/>
      <c r="FD639" s="6"/>
      <c r="FE639" s="6"/>
      <c r="FF639" s="6"/>
      <c r="FG639" s="6"/>
      <c r="FH639" s="6"/>
      <c r="FI639" s="6"/>
      <c r="FJ639" s="6"/>
      <c r="FK639" s="6"/>
      <c r="FL639" s="6"/>
      <c r="FM639" s="6"/>
      <c r="FN639" s="6"/>
      <c r="FO639" s="6"/>
      <c r="FP639" s="6"/>
      <c r="FQ639" s="6"/>
      <c r="FR639" s="6"/>
      <c r="FS639" s="6"/>
      <c r="FT639" s="7"/>
      <c r="FU639" s="7"/>
      <c r="FV639" s="7"/>
      <c r="FW639" s="6"/>
      <c r="FX639" s="6"/>
      <c r="FY639" s="6"/>
      <c r="FZ639" s="6"/>
      <c r="GA639" s="6"/>
      <c r="GB639" s="6"/>
      <c r="GC639" s="7"/>
      <c r="GD639" s="7"/>
      <c r="GE639" s="7"/>
      <c r="GF639" s="7"/>
      <c r="GG639" s="7"/>
      <c r="GH639" s="42"/>
      <c r="GI639" s="6"/>
      <c r="GJ639" s="14"/>
      <c r="GK639" s="14"/>
      <c r="GL639" s="14"/>
      <c r="GM639" s="14"/>
      <c r="GO639" s="5"/>
      <c r="GP639" s="5"/>
      <c r="GQ639" s="5"/>
      <c r="GR639" s="5"/>
      <c r="GS639" s="5"/>
      <c r="GT639" s="5"/>
      <c r="GU639" s="5"/>
      <c r="GV639" s="39"/>
      <c r="GW639" s="5"/>
      <c r="GX639" s="5"/>
      <c r="GY639" s="5"/>
      <c r="GZ639" s="5"/>
      <c r="HA639" s="5"/>
      <c r="HB639" s="39"/>
      <c r="HC639" s="5"/>
      <c r="HD639" s="5"/>
      <c r="HE639" s="5"/>
      <c r="HF639" s="5"/>
      <c r="HG639" s="5"/>
      <c r="HH639" s="39"/>
      <c r="HI639" s="16"/>
      <c r="HJ639" s="19"/>
      <c r="HK639" s="1"/>
      <c r="HL639" s="16"/>
      <c r="HM639" s="639">
        <f t="shared" si="1755"/>
        <v>2.3149872625708352E-2</v>
      </c>
      <c r="HN639" s="639">
        <f t="shared" si="1756"/>
        <v>1.3965040474190958E-3</v>
      </c>
      <c r="HO639" s="639">
        <f t="shared" si="1757"/>
        <v>3.5429561340050734E-3</v>
      </c>
      <c r="HP639" s="644">
        <f t="shared" ref="HP639:ID639" si="1911">HP139+HP239+HP339+HP439+HP539</f>
        <v>265.47253013203141</v>
      </c>
      <c r="HQ639" s="644">
        <f t="shared" si="1911"/>
        <v>-29.727617565382253</v>
      </c>
      <c r="HR639" s="644">
        <f t="shared" si="1911"/>
        <v>96.078908005996695</v>
      </c>
      <c r="HS639" s="644">
        <f t="shared" si="1911"/>
        <v>-147.92937007650639</v>
      </c>
      <c r="HT639" s="644">
        <f t="shared" si="1911"/>
        <v>57.772568738442359</v>
      </c>
      <c r="HU639" s="644">
        <f t="shared" si="1911"/>
        <v>56.152541181029378</v>
      </c>
      <c r="HV639" s="644">
        <f t="shared" si="1911"/>
        <v>0</v>
      </c>
      <c r="HW639" s="644">
        <f t="shared" si="1911"/>
        <v>0</v>
      </c>
      <c r="HX639" s="644">
        <f t="shared" si="1911"/>
        <v>0</v>
      </c>
      <c r="HY639" s="644">
        <f t="shared" si="1911"/>
        <v>2396</v>
      </c>
      <c r="HZ639" s="644">
        <f t="shared" si="1911"/>
        <v>3223</v>
      </c>
      <c r="IA639" s="644">
        <f t="shared" si="1911"/>
        <v>830</v>
      </c>
      <c r="IB639" s="644">
        <f t="shared" si="1911"/>
        <v>2513.5431600555248</v>
      </c>
      <c r="IC639" s="644">
        <f t="shared" si="1911"/>
        <v>3251.0449511730603</v>
      </c>
      <c r="ID639" s="644">
        <f t="shared" si="1911"/>
        <v>982.2314491870261</v>
      </c>
      <c r="IE639" s="20">
        <f t="shared" si="1759"/>
        <v>0.37255230224367936</v>
      </c>
      <c r="IF639" s="20">
        <f t="shared" si="1760"/>
        <v>0.48186333161291661</v>
      </c>
      <c r="IG639" s="20">
        <f t="shared" si="1761"/>
        <v>0.14558436614340395</v>
      </c>
      <c r="IH639" s="21"/>
      <c r="II639" s="19"/>
      <c r="IJ639" s="19"/>
      <c r="IK639" s="19"/>
      <c r="IL639" s="19">
        <f t="shared" si="1762"/>
        <v>426.80577623742215</v>
      </c>
      <c r="IM639" s="19">
        <f t="shared" si="1763"/>
        <v>177.08217855556268</v>
      </c>
      <c r="IN639" s="19">
        <f t="shared" si="1764"/>
        <v>471.34551443388318</v>
      </c>
      <c r="IO639" s="39"/>
      <c r="IP639" s="39"/>
      <c r="IQ639" s="39"/>
      <c r="IR639" s="39"/>
      <c r="IS639" s="39"/>
      <c r="IT639" s="39"/>
      <c r="IU639" s="39"/>
      <c r="IV639" s="39"/>
      <c r="IW639" s="39"/>
      <c r="IX639" s="19">
        <f t="shared" si="1765"/>
        <v>1554.1790484140233</v>
      </c>
      <c r="IY639" s="19">
        <f t="shared" si="1766"/>
        <v>2412.3001201524512</v>
      </c>
      <c r="IZ639" s="19">
        <f t="shared" si="1767"/>
        <v>3993.0862952928574</v>
      </c>
      <c r="JA639" s="19">
        <f t="shared" ref="JA639:JC639" si="1912">IFERROR((JA139*IB139+JA239*IB239+JA339*IB339+JA439*IB439+JA539*IB539)/IB639,0)</f>
        <v>1980.9848246514455</v>
      </c>
      <c r="JB639" s="19">
        <f t="shared" si="1912"/>
        <v>2589.3822987080139</v>
      </c>
      <c r="JC639" s="19">
        <f t="shared" si="1912"/>
        <v>4464.4318097267405</v>
      </c>
      <c r="JD639" s="19">
        <f t="shared" si="1769"/>
        <v>2635.7003136181611</v>
      </c>
      <c r="JE639" s="21"/>
      <c r="JF639" s="1">
        <f t="shared" si="1770"/>
        <v>2.6651855648468406E-2</v>
      </c>
      <c r="JG639" s="15">
        <f t="shared" si="1771"/>
        <v>6449</v>
      </c>
      <c r="JH639" s="1">
        <f t="shared" si="1772"/>
        <v>5.1453530868761956E-2</v>
      </c>
      <c r="JI639" s="1">
        <f t="shared" si="1773"/>
        <v>-5.2727958066420607E-3</v>
      </c>
      <c r="JJ639" s="1">
        <f t="shared" si="1774"/>
        <v>0</v>
      </c>
      <c r="JK639" s="1">
        <f t="shared" si="1775"/>
        <v>4.6180735062119893E-2</v>
      </c>
      <c r="JL639" s="15">
        <f t="shared" ref="JL639:JM639" si="1913">JL139+JL239+JL339+JL439+JL539</f>
        <v>297.81956041561119</v>
      </c>
      <c r="JM639" s="15">
        <f t="shared" si="1913"/>
        <v>6746.8195604156108</v>
      </c>
      <c r="JN639" s="21"/>
      <c r="JO639" s="19">
        <f>INDEX(Input!$1:$1048576,JO$93,$C639*2+6)</f>
        <v>5995.5</v>
      </c>
      <c r="JP639" s="19">
        <f>INDEX(Input!$1:$1048576,JP$93,$C639*2+6)</f>
        <v>2296.6050414551746</v>
      </c>
      <c r="JQ639" s="39">
        <f t="shared" si="1799"/>
        <v>3359.7996863818389</v>
      </c>
      <c r="JR639" s="39">
        <f t="shared" si="1800"/>
        <v>339.09527216298648</v>
      </c>
      <c r="JS639" s="39">
        <f t="shared" si="1801"/>
        <v>17.782594431312567</v>
      </c>
      <c r="JT639" s="39">
        <f t="shared" si="1802"/>
        <v>2.9717885189681481</v>
      </c>
      <c r="JU639" s="385">
        <f>(JQ639*JM639-INDEX(Input!$1:$1048576,Input!A$18,$C639*2+6)*JL639*INDEX(Input!$1:$1048576,Input!A$19,$C639*2+6))/1000000</f>
        <v>22.667962243159227</v>
      </c>
      <c r="JV639" s="39">
        <f t="shared" si="1803"/>
        <v>-1.1862113444963498</v>
      </c>
      <c r="JW639" s="1">
        <f t="shared" si="1804"/>
        <v>-4.9727622721342506E-2</v>
      </c>
      <c r="JX639" s="19">
        <f t="shared" si="1805"/>
        <v>9978.486687781613</v>
      </c>
      <c r="JZ639" s="341"/>
      <c r="KA639" s="60"/>
      <c r="KB639" s="469">
        <f t="shared" si="1778"/>
        <v>0</v>
      </c>
      <c r="KI639" s="472"/>
      <c r="KJ639" s="472"/>
      <c r="KK639" s="472"/>
      <c r="KN639" s="793">
        <f t="shared" si="1779"/>
        <v>6002</v>
      </c>
      <c r="KO639" s="541">
        <f t="shared" si="1780"/>
        <v>2.2200702033089881E-2</v>
      </c>
      <c r="KP639" s="546">
        <f t="shared" si="1781"/>
        <v>150.34290016438348</v>
      </c>
      <c r="KQ639" s="546">
        <f t="shared" si="1782"/>
        <v>172.86705701301617</v>
      </c>
      <c r="KR639" s="472">
        <f t="shared" si="1783"/>
        <v>2.5874477771739959</v>
      </c>
      <c r="KS639" s="472">
        <f t="shared" si="1784"/>
        <v>2.2503096284848283</v>
      </c>
      <c r="KT639" s="473">
        <f t="shared" si="1795"/>
        <v>4286.2445668946921</v>
      </c>
      <c r="KU639" s="663">
        <f t="shared" si="1785"/>
        <v>4.3528296773151194</v>
      </c>
      <c r="KV639" s="117"/>
    </row>
    <row r="640" spans="1:308" s="26" customFormat="1" ht="15">
      <c r="A640" s="561">
        <f t="shared" si="1751"/>
        <v>6040</v>
      </c>
      <c r="B640" s="561">
        <f t="shared" si="1786"/>
        <v>40</v>
      </c>
      <c r="C640" s="561">
        <f t="shared" si="1787"/>
        <v>6</v>
      </c>
      <c r="D640" s="561" t="str">
        <f t="shared" si="1855"/>
        <v xml:space="preserve">500 CC, 360 Lease, </v>
      </c>
      <c r="E640" s="475">
        <f>INDEX(Input!$1:$1048576,E$93,$C640*2+MIN($B640,2)+5)
+INDEX(Scenarios!E$121:E$199,MATCH($B640,Scenarios!$B$121:$B$199,0))</f>
        <v>1767.2644913000609</v>
      </c>
      <c r="F640" s="475">
        <f>INDEX(Input!$1:$1048576,F$93,$C640*2+MIN($B640,2)+5)
+INDEX(Scenarios!F$121:F$199,MATCH($B640,Scenarios!$B$121:$B$199,0))</f>
        <v>0</v>
      </c>
      <c r="G640" s="475">
        <f>INDEX(Input!$1:$1048576,G$93,$C640*2+MIN($B640,2)+5)
+INDEX(Scenarios!G$121:G$199,MATCH($B640,Scenarios!$B$121:$B$199,0))</f>
        <v>0</v>
      </c>
      <c r="H640" s="475">
        <f>INDEX(Input!$1:$1048576,H$93,$C640*2+MIN($B640,2)+5)
+INDEX(Scenarios!H$121:H$199,MATCH($B640,Scenarios!$B$121:$B$199,0))</f>
        <v>0</v>
      </c>
      <c r="I640" s="476">
        <f>INDEX(Input!$1:$1048576,I$93,$C640*2+MIN($B640,2)+5)
+INDEX(Scenarios!I$121:I$199,MATCH($B640,Scenarios!$B$121:$B$199,0))</f>
        <v>0.7</v>
      </c>
      <c r="J640" s="476" t="str">
        <f>INDEX(Input!$1:$1048576,J$93,$C640*2+MIN($B640,2)+5)</f>
        <v>Market</v>
      </c>
      <c r="K640" s="476" t="str">
        <f>INDEX(Input!$1:$1048576,K$93,$C640*2+MIN($B640,2)+5)</f>
        <v>Market</v>
      </c>
      <c r="L640" s="476" t="str">
        <f>INDEX(Input!$1:$1048576,L$93,$C640*2+MIN($B640,2)+5)</f>
        <v>Market</v>
      </c>
      <c r="M640" s="476" t="str">
        <f>INDEX(Input!$1:$1048576,M$93,$C640*2+MIN($B640,2)+5)</f>
        <v>Market</v>
      </c>
      <c r="N640" s="476" t="str">
        <f>INDEX(Input!$1:$1048576,N$93,$C640*2+MIN($B640,2)+5)</f>
        <v>Market</v>
      </c>
      <c r="O640" s="476" t="str">
        <f>INDEX(Input!$1:$1048576,O$93,$C640*2+MIN($B640,2)+5)</f>
        <v>Market</v>
      </c>
      <c r="P640" s="476" t="str">
        <f>INDEX(Input!$1:$1048576,P$93,$C640*2+MIN($B640,2)+5)</f>
        <v>N</v>
      </c>
      <c r="Q640" s="477">
        <f>INDEX(Input!$1:$1048576,Q$93,$C640*2+MIN($B640,2)+5)
+INDEX(Scenarios!Q$121:Q$199,MATCH($B640,Scenarios!$B$121:$B$199,0))</f>
        <v>0</v>
      </c>
      <c r="R640" s="478">
        <f>IFERROR(MAX(0,INDEX(Input!$1:$1048576,R$93,$C640*2+MIN($B640,2)+5)
+INDEX(Scenarios!R$121:R$199,MATCH($B640,Scenarios!$B$121:$B$199,0)),),"Market")</f>
        <v>0</v>
      </c>
      <c r="S640" s="478">
        <f>IFERROR(MAX(0,INDEX(Input!$1:$1048576,S$93,$C640*2+MIN($B640,2)+5)
+INDEX(Scenarios!S$121:S$199,MATCH($B640,Scenarios!$B$121:$B$199,0)),),"Market")</f>
        <v>0</v>
      </c>
      <c r="T640" s="478">
        <f>IFERROR(MAX(0,INDEX(Input!$1:$1048576,T$93,$C640*2+MIN($B640,2)+5)
+INDEX(Scenarios!T$121:T$199,MATCH($B640,Scenarios!$B$121:$B$199,0)),),"Market")</f>
        <v>0</v>
      </c>
      <c r="U640" s="478">
        <f>IFERROR(MAX(0,INDEX(Input!$1:$1048576,U$93,$C640*2+MIN($B640,2)+5)
+INDEX(Scenarios!U$121:U$199,MATCH($B640,Scenarios!$B$121:$B$199,0)),),"Market")</f>
        <v>0</v>
      </c>
      <c r="V640" s="478">
        <f>IFERROR(MAX(0,INDEX(Input!$1:$1048576,V$93,$C640*2+MIN($B640,2)+5)
+INDEX(Scenarios!V$121:V$199,MATCH($B640,Scenarios!$B$121:$B$199,0)),),"Market")</f>
        <v>1.9E-2</v>
      </c>
      <c r="W640" s="885">
        <f>IFERROR(MAX(0,INDEX(Input!$1:$1048576,W$93,$C640*2+MIN($B640,2)+5)-0%,),"Market")</f>
        <v>3.9E-2</v>
      </c>
      <c r="X640" s="476" t="str">
        <f>INDEX(Input!$1:$1048576,X$93,$C640*2+MIN($B640,2)+5)</f>
        <v>Y</v>
      </c>
      <c r="Y640" s="475">
        <f>INDEX(Input!$1:$1048576,Y$93,$C640*2+MIN($B640,2)+5)
++INDEX(Scenarios!Y$121:Y$199,MATCH($B640,Scenarios!$B$121:$B$199,0))</f>
        <v>1097.993676354025</v>
      </c>
      <c r="Z640" s="477">
        <f>INDEX(Input!$1:$1048576,Z$93,$C640*2+MIN($B640,2)+5)
+INDEX(Scenarios!Z$121:Z$199,MATCH($B640,Scenarios!$B$121:$B$199,0))</f>
        <v>0</v>
      </c>
      <c r="AA640" s="475">
        <f>INDEX(Input!$1:$1048576,AA$93,$C640*2+MIN($B640,2)+5)</f>
        <v>0</v>
      </c>
      <c r="AB640" s="476">
        <f>INDEX(Input!$1:$1048576,AB$93,$C640*2+MIN($B640,2)+5)</f>
        <v>0.27</v>
      </c>
      <c r="AC640" s="475">
        <f>INDEX(Input!$1:$1048576,AC$93,$C640*2+MIN($B640,2)+5)
+INDEX(Scenarios!AC$121:AC$199,MATCH($B640,Scenarios!$B$121:$B$199,0))</f>
        <v>0</v>
      </c>
      <c r="AD640" s="476">
        <f>INDEX(Input!$1:$1048576,AD$93,$C640*2+MIN($B640,2)+5)</f>
        <v>0.27</v>
      </c>
      <c r="AE640" s="475">
        <f>INDEX(Input!$1:$1048576,AE$93,$C640*2+MIN($B640,2)+5)
+INDEX(Scenarios!AE$121:AE$199,MATCH($B640,Scenarios!$B$121:$B$199,0))</f>
        <v>0</v>
      </c>
      <c r="AF640" s="476">
        <f>INDEX(Input!$1:$1048576,AF$93,$C640*2+MIN($B640,2)+5)</f>
        <v>1</v>
      </c>
      <c r="AG640" s="475">
        <f>INDEX(Input!$1:$1048576,AG$93,$C640*2+MIN($B640,2)+5)</f>
        <v>500</v>
      </c>
      <c r="AH640" s="476">
        <f>INDEX(Input!$1:$1048576,AH$93,$C640*2+MIN($B640,2)+5)</f>
        <v>1</v>
      </c>
      <c r="AI640" s="475">
        <f>INDEX(Input!$1:$1048576,AI$93,$C640*2+MIN($B640,2)+5)</f>
        <v>0</v>
      </c>
      <c r="AJ640" s="476">
        <f>INDEX(Input!$1:$1048576,AJ$93,$C640*2+MIN($B640,2)+5)</f>
        <v>0.27</v>
      </c>
      <c r="AK640" s="150">
        <f>ROUND(INDEX(Input!$1:$1048576,AK$93,$C639*2+MIN($B640,1)+5)+(Y640-VLOOKUP($C640*1000+1,$A:$HH,Y$92,FALSE)),0)</f>
        <v>3421</v>
      </c>
      <c r="AL640" s="150">
        <f>ROUND(INDEX(Input!$1:$1048576,AL$93,$C639*2+MIN($B640,1)+5)-(Y640-VLOOKUP($C640*1000+1,$A:$HH,Y$92,FALSE))/36,0)</f>
        <v>3542</v>
      </c>
      <c r="AM640" s="32" t="str">
        <f t="shared" si="1752"/>
        <v>std/std/std/std</v>
      </c>
      <c r="AN640" s="32" t="str">
        <f t="shared" si="1753"/>
        <v>$0 + 0/0/0/1.9/3.9</v>
      </c>
      <c r="AO640" s="32" t="str">
        <f t="shared" si="1754"/>
        <v>0/0/0/1.9/3.9</v>
      </c>
      <c r="AP640" s="32" t="str">
        <f t="shared" si="1716"/>
        <v>0/0.9/1.9/3.9</v>
      </c>
      <c r="AQ640" s="536">
        <f t="shared" si="1892"/>
        <v>0.39445417851763981</v>
      </c>
      <c r="AR640" s="32"/>
      <c r="AS640" s="302"/>
      <c r="AT640" s="3">
        <f t="shared" si="1788"/>
        <v>40</v>
      </c>
      <c r="AU640" s="41" t="s">
        <v>121</v>
      </c>
      <c r="AV640" s="41" t="s">
        <v>116</v>
      </c>
      <c r="AW640" s="41" t="str">
        <f>INDEX(Input!$1:$1048576,AW$93,$C640*2+6)</f>
        <v>Kia</v>
      </c>
      <c r="AX640" s="41" t="str">
        <f>INDEX(Input!$1:$1048576,AX$93,$C640*2+6)</f>
        <v>National</v>
      </c>
      <c r="AY640" s="41" t="str">
        <f>IF(LEN(D640)=0,"",INDEX(Input!$1:$1048576,AY$93,$C640*2+6))</f>
        <v>Compact SUV (52)</v>
      </c>
      <c r="AZ640" s="41" t="str">
        <f>INDEX(Input!$1:$1048576,AZ$93,$C640*2+6)</f>
        <v>Kia Soul</v>
      </c>
      <c r="BA640" s="3">
        <f>INDEX(Input!$1:$1048576,BA$93,$C640*2+6)</f>
        <v>2020</v>
      </c>
      <c r="BB640" s="128">
        <f>INDEX(Input!$1:$1048576,BB$93,$C640*2+6)</f>
        <v>1</v>
      </c>
      <c r="BC640" s="128">
        <f>INDEX(Input!$1:$1048576,BC$93,$C640*2+6)</f>
        <v>0.7</v>
      </c>
      <c r="BD640" s="1">
        <f>INDEX(Input!$1:$1048576,BD$93,$C640*2+6)</f>
        <v>4.4999999999999998E-2</v>
      </c>
      <c r="BE640" s="1">
        <f>INDEX(Input!$1:$1048576,BE$93,$C640*2+6)</f>
        <v>4.4999999999999998E-2</v>
      </c>
      <c r="BF640" s="1">
        <f>INDEX(Input!$1:$1048576,BF$93,$C640*2+6)</f>
        <v>0.05</v>
      </c>
      <c r="BG640" s="1">
        <f>INDEX(Input!$1:$1048576,BG$93,$C640*2+6)</f>
        <v>5.45E-2</v>
      </c>
      <c r="BH640" s="1">
        <f>INDEX(Input!$1:$1048576,BH$93,$C640*2+6)</f>
        <v>5.45E-2</v>
      </c>
      <c r="BI640" s="1">
        <f>INDEX(Input!$1:$1048576,BI$93,$C640*2+6)</f>
        <v>0.05</v>
      </c>
      <c r="BJ640" s="1">
        <f>INDEX(Input!$1:$1048576,BJ$93,$C640*2+6)</f>
        <v>0.05</v>
      </c>
      <c r="BK640" s="1">
        <f>INDEX(Input!$1:$1048576,BK$93,$C640*2+6)</f>
        <v>0.05</v>
      </c>
      <c r="BL640" s="1">
        <f>INDEX(Input!$1:$1048576,BL$93,$C640*2+6)</f>
        <v>5.5E-2</v>
      </c>
      <c r="BM640" s="1">
        <f>INDEX(Input!$1:$1048576,BM$93,$C640*2+6)</f>
        <v>0.06</v>
      </c>
      <c r="BN640" s="1">
        <f>INDEX(Input!$1:$1048576,BN$93,$C640*2+6)</f>
        <v>4.4999999999999998E-2</v>
      </c>
      <c r="BO640" s="1">
        <f>INDEX(Input!$1:$1048576,BO$93,$C640*2+6)</f>
        <v>4.4999999999999998E-2</v>
      </c>
      <c r="BP640" s="1">
        <f>INDEX(Input!$1:$1048576,BP$93,$C640*2+6)</f>
        <v>0.05</v>
      </c>
      <c r="BQ640" s="1">
        <f>INDEX(Input!$1:$1048576,BQ$93,$C640*2+6)</f>
        <v>5.45E-2</v>
      </c>
      <c r="BR640" s="1">
        <f>INDEX(Input!$1:$1048576,BR$93,$C640*2+6)</f>
        <v>5.45E-2</v>
      </c>
      <c r="BS640" s="1">
        <f>INDEX(Input!$1:$1048576,BS$93,$C640*2+6)</f>
        <v>0.05</v>
      </c>
      <c r="BT640" s="1">
        <f>INDEX(Input!$1:$1048576,BT$93,$C640*2+6)</f>
        <v>0.05</v>
      </c>
      <c r="BU640" s="1">
        <f>INDEX(Input!$1:$1048576,BU$93,$C640*2+6)</f>
        <v>0.05</v>
      </c>
      <c r="BV640" s="1">
        <f>INDEX(Input!$1:$1048576,BV$93,$C640*2+6)</f>
        <v>5.5E-2</v>
      </c>
      <c r="BW640" s="1">
        <f>INDEX(Input!$1:$1048576,BW$93,$C640*2+6)</f>
        <v>0.06</v>
      </c>
      <c r="BX640" s="127">
        <f>INDEX(Input!$1:$1048576,BX$93,$C640*2+6)</f>
        <v>19985</v>
      </c>
      <c r="BY640" s="20">
        <f>INDEX(Input!$1:$1048576,BY$93,$C640*2+6)</f>
        <v>0.1</v>
      </c>
      <c r="BZ640" s="20">
        <f>INDEX(Input!$1:$1048576,BZ$93,$C640*2+6)</f>
        <v>0.1</v>
      </c>
      <c r="CA640" s="20">
        <f>INDEX(Input!$1:$1048576,CA$93,$C640*2+6)</f>
        <v>0.1</v>
      </c>
      <c r="CB640" s="20">
        <f>INDEX(Input!$1:$1048576,CB$93,$C640*2+6)</f>
        <v>0.1</v>
      </c>
      <c r="CC640" s="20">
        <f>INDEX(Input!$1:$1048576,CC$93,$C640*2+6)</f>
        <v>0.1</v>
      </c>
      <c r="CD640" s="384">
        <f>INDEX(Input!$1:$1048576,CD$93,$C640*2+6)</f>
        <v>0.1</v>
      </c>
      <c r="CE640" s="384">
        <f>INDEX(Input!$1:$1048576,CE$93,$C640*2+6)</f>
        <v>0.1</v>
      </c>
      <c r="CF640" s="384">
        <f>INDEX(Input!$1:$1048576,CF$93,$C640*2+6)</f>
        <v>0.1</v>
      </c>
      <c r="CG640" s="384">
        <f>INDEX(Input!$1:$1048576,CG$93,$C640*2+6)</f>
        <v>0.1</v>
      </c>
      <c r="CH640" s="384">
        <f>INDEX(Input!$1:$1048576,CH$93,$C640*2+6)</f>
        <v>0.1</v>
      </c>
      <c r="CI640" s="304">
        <f t="shared" si="1718"/>
        <v>1767.2644913000609</v>
      </c>
      <c r="CJ640" s="16" t="str">
        <f>INDEX(Input!$1:$1048576,CJ$93,$C640*2+6)</f>
        <v>N</v>
      </c>
      <c r="CK640" s="1" t="str">
        <f t="shared" si="1719"/>
        <v>Market</v>
      </c>
      <c r="CL640" s="1" t="str">
        <f t="shared" si="1720"/>
        <v>Market</v>
      </c>
      <c r="CM640" s="1" t="str">
        <f t="shared" si="1721"/>
        <v>Market</v>
      </c>
      <c r="CN640" s="1" t="str">
        <f t="shared" si="1722"/>
        <v>Market</v>
      </c>
      <c r="CO640" s="1" t="str">
        <f t="shared" si="1723"/>
        <v>Market</v>
      </c>
      <c r="CP640" s="304">
        <f t="shared" si="1724"/>
        <v>500</v>
      </c>
      <c r="CQ640" s="1">
        <f t="shared" si="1725"/>
        <v>0</v>
      </c>
      <c r="CR640" s="1">
        <f t="shared" si="1726"/>
        <v>0</v>
      </c>
      <c r="CS640" s="1">
        <f t="shared" si="1727"/>
        <v>0</v>
      </c>
      <c r="CT640" s="1">
        <f t="shared" si="1728"/>
        <v>1.9E-2</v>
      </c>
      <c r="CU640" s="1">
        <f t="shared" si="1729"/>
        <v>3.9E-2</v>
      </c>
      <c r="CV640" s="304">
        <f t="shared" si="1730"/>
        <v>1097.993676354025</v>
      </c>
      <c r="CW640" s="20" t="s">
        <v>122</v>
      </c>
      <c r="CX640" s="20" t="s">
        <v>122</v>
      </c>
      <c r="CY640" s="20" t="s">
        <v>122</v>
      </c>
      <c r="CZ640" s="20" t="s">
        <v>122</v>
      </c>
      <c r="DA640" s="20" t="s">
        <v>122</v>
      </c>
      <c r="DB640" s="503">
        <f t="shared" si="1731"/>
        <v>0</v>
      </c>
      <c r="DC640" s="127">
        <v>0</v>
      </c>
      <c r="DD640" s="127">
        <v>0</v>
      </c>
      <c r="DE640" s="127">
        <v>0</v>
      </c>
      <c r="DF640" s="127">
        <v>0</v>
      </c>
      <c r="DG640" s="127">
        <v>0</v>
      </c>
      <c r="DH640" s="127">
        <v>0</v>
      </c>
      <c r="DI640" s="127">
        <v>0</v>
      </c>
      <c r="DJ640" s="127">
        <v>0</v>
      </c>
      <c r="DK640" s="127">
        <v>0</v>
      </c>
      <c r="DL640" s="127">
        <v>0</v>
      </c>
      <c r="DM640" s="304">
        <f>INDEX(Input!$1:$1048576,DM$93,$C640*2+6)</f>
        <v>21036.84210526316</v>
      </c>
      <c r="DN640" s="20">
        <v>0</v>
      </c>
      <c r="DO640" s="20">
        <v>0</v>
      </c>
      <c r="DP640" s="20">
        <v>0</v>
      </c>
      <c r="DQ640" s="20">
        <v>0</v>
      </c>
      <c r="DR640" s="20">
        <v>0</v>
      </c>
      <c r="DS640" s="20">
        <f>INDEX(Input!$1:$1048576,DS$93,$C640*2+6)</f>
        <v>0.6</v>
      </c>
      <c r="DT640" s="20">
        <f>INDEX(Input!$1:$1048576,DT$93,$C640*2+6)</f>
        <v>0.55000000000000004</v>
      </c>
      <c r="DU640" s="20">
        <f>INDEX(Input!$1:$1048576,DU$93,$C640*2+6)</f>
        <v>0.52</v>
      </c>
      <c r="DV640" s="20">
        <f>INDEX(Input!$1:$1048576,DV$93,$C640*2+6)</f>
        <v>0.5</v>
      </c>
      <c r="DW640" s="20">
        <f>INDEX(Input!$1:$1048576,DW$93,$C640*2+6)</f>
        <v>0.45</v>
      </c>
      <c r="DX640" s="20"/>
      <c r="DY640" s="7"/>
      <c r="DZ640" s="7"/>
      <c r="EA640" s="7"/>
      <c r="EB640" s="7"/>
      <c r="EC640" s="7"/>
      <c r="ED640" s="7"/>
      <c r="EE640" s="7"/>
      <c r="EF640" s="7"/>
      <c r="EG640" s="7"/>
      <c r="EH640" s="7"/>
      <c r="EI640" s="7"/>
      <c r="EJ640" s="7"/>
      <c r="EK640" s="7"/>
      <c r="EL640" s="7"/>
      <c r="EM640" s="7"/>
      <c r="EN640" s="7"/>
      <c r="EO640" s="7"/>
      <c r="EP640" s="7"/>
      <c r="EQ640" s="7"/>
      <c r="ER640" s="7"/>
      <c r="ES640" s="7"/>
      <c r="ET640" s="7"/>
      <c r="EU640" s="6"/>
      <c r="EV640" s="6"/>
      <c r="EW640" s="6"/>
      <c r="EX640" s="6"/>
      <c r="EY640" s="6"/>
      <c r="EZ640" s="6"/>
      <c r="FA640" s="6"/>
      <c r="FB640" s="6"/>
      <c r="FC640" s="6"/>
      <c r="FD640" s="6"/>
      <c r="FE640" s="6"/>
      <c r="FF640" s="6"/>
      <c r="FG640" s="6"/>
      <c r="FH640" s="6"/>
      <c r="FI640" s="6"/>
      <c r="FJ640" s="6"/>
      <c r="FK640" s="6"/>
      <c r="FL640" s="6"/>
      <c r="FM640" s="6"/>
      <c r="FN640" s="6"/>
      <c r="FO640" s="6"/>
      <c r="FP640" s="6"/>
      <c r="FQ640" s="6"/>
      <c r="FR640" s="6"/>
      <c r="FS640" s="6"/>
      <c r="FT640" s="7"/>
      <c r="FU640" s="7"/>
      <c r="FV640" s="7"/>
      <c r="FW640" s="6"/>
      <c r="FX640" s="6"/>
      <c r="FY640" s="6"/>
      <c r="FZ640" s="6"/>
      <c r="GA640" s="6"/>
      <c r="GB640" s="6"/>
      <c r="GC640" s="7"/>
      <c r="GD640" s="7"/>
      <c r="GE640" s="7"/>
      <c r="GF640" s="7"/>
      <c r="GG640" s="7"/>
      <c r="GH640" s="42"/>
      <c r="GI640" s="6"/>
      <c r="GJ640" s="14"/>
      <c r="GK640" s="14"/>
      <c r="GL640" s="14"/>
      <c r="GM640" s="14"/>
      <c r="GO640" s="5"/>
      <c r="GP640" s="5"/>
      <c r="GQ640" s="5"/>
      <c r="GR640" s="5"/>
      <c r="GS640" s="5"/>
      <c r="GT640" s="5"/>
      <c r="GU640" s="5"/>
      <c r="GV640" s="39"/>
      <c r="GW640" s="5"/>
      <c r="GX640" s="5"/>
      <c r="GY640" s="5"/>
      <c r="GZ640" s="5"/>
      <c r="HA640" s="5"/>
      <c r="HB640" s="39"/>
      <c r="HC640" s="5"/>
      <c r="HD640" s="5"/>
      <c r="HE640" s="5"/>
      <c r="HF640" s="5"/>
      <c r="HG640" s="5"/>
      <c r="HH640" s="39"/>
      <c r="HI640" s="16"/>
      <c r="HJ640" s="19"/>
      <c r="HK640" s="1"/>
      <c r="HL640" s="16"/>
      <c r="HM640" s="639">
        <f t="shared" si="1755"/>
        <v>2.3149872625708352E-2</v>
      </c>
      <c r="HN640" s="639">
        <f t="shared" si="1756"/>
        <v>1.3965040474190958E-3</v>
      </c>
      <c r="HO640" s="639">
        <f t="shared" si="1757"/>
        <v>3.5429561340050734E-3</v>
      </c>
      <c r="HP640" s="644">
        <f t="shared" ref="HP640:ID640" si="1914">HP140+HP240+HP340+HP440+HP540</f>
        <v>533.26469018664602</v>
      </c>
      <c r="HQ640" s="644">
        <f t="shared" si="1914"/>
        <v>-55.277387905282836</v>
      </c>
      <c r="HR640" s="644">
        <f t="shared" si="1914"/>
        <v>23.255520486497797</v>
      </c>
      <c r="HS640" s="644">
        <f t="shared" si="1914"/>
        <v>-235.75520449816617</v>
      </c>
      <c r="HT640" s="644">
        <f t="shared" si="1914"/>
        <v>44.973380695062659</v>
      </c>
      <c r="HU640" s="644">
        <f t="shared" si="1914"/>
        <v>68.986086602185395</v>
      </c>
      <c r="HV640" s="644">
        <f t="shared" si="1914"/>
        <v>0</v>
      </c>
      <c r="HW640" s="644">
        <f t="shared" si="1914"/>
        <v>0</v>
      </c>
      <c r="HX640" s="644">
        <f t="shared" si="1914"/>
        <v>0</v>
      </c>
      <c r="HY640" s="644">
        <f t="shared" si="1914"/>
        <v>2396</v>
      </c>
      <c r="HZ640" s="644">
        <f t="shared" si="1914"/>
        <v>3223</v>
      </c>
      <c r="IA640" s="644">
        <f t="shared" si="1914"/>
        <v>830</v>
      </c>
      <c r="IB640" s="644">
        <f t="shared" si="1914"/>
        <v>2693.5094856884798</v>
      </c>
      <c r="IC640" s="644">
        <f t="shared" si="1914"/>
        <v>3212.6959927897797</v>
      </c>
      <c r="ID640" s="644">
        <f t="shared" si="1914"/>
        <v>922.24160708868328</v>
      </c>
      <c r="IE640" s="20">
        <f t="shared" si="1759"/>
        <v>0.39445417851763981</v>
      </c>
      <c r="IF640" s="20">
        <f t="shared" si="1760"/>
        <v>0.47048705987344419</v>
      </c>
      <c r="IG640" s="20">
        <f t="shared" si="1761"/>
        <v>0.13505876160891606</v>
      </c>
      <c r="IH640" s="21"/>
      <c r="II640" s="19"/>
      <c r="IJ640" s="19"/>
      <c r="IK640" s="19"/>
      <c r="IL640" s="19">
        <f t="shared" si="1762"/>
        <v>672.56561072455406</v>
      </c>
      <c r="IM640" s="19">
        <f t="shared" si="1763"/>
        <v>178.10885066031415</v>
      </c>
      <c r="IN640" s="19">
        <f t="shared" si="1764"/>
        <v>472.80439765375286</v>
      </c>
      <c r="IO640" s="39"/>
      <c r="IP640" s="39"/>
      <c r="IQ640" s="39"/>
      <c r="IR640" s="39"/>
      <c r="IS640" s="39"/>
      <c r="IT640" s="39"/>
      <c r="IU640" s="39"/>
      <c r="IV640" s="39"/>
      <c r="IW640" s="39"/>
      <c r="IX640" s="19">
        <f t="shared" si="1765"/>
        <v>1554.1790484140233</v>
      </c>
      <c r="IY640" s="19">
        <f t="shared" si="1766"/>
        <v>2412.3001201524512</v>
      </c>
      <c r="IZ640" s="19">
        <f t="shared" si="1767"/>
        <v>3993.0862952928574</v>
      </c>
      <c r="JA640" s="19">
        <f t="shared" ref="JA640:JC640" si="1915">IFERROR((JA140*IB140+JA240*IB240+JA340*IB340+JA440*IB440+JA540*IB540)/IB640,0)</f>
        <v>2226.7446591385774</v>
      </c>
      <c r="JB640" s="19">
        <f t="shared" si="1915"/>
        <v>2590.4089708127653</v>
      </c>
      <c r="JC640" s="19">
        <f t="shared" si="1915"/>
        <v>4465.8906929466102</v>
      </c>
      <c r="JD640" s="19">
        <f t="shared" si="1769"/>
        <v>2700.2603023066949</v>
      </c>
      <c r="JE640" s="21"/>
      <c r="JF640" s="1">
        <f t="shared" si="1770"/>
        <v>2.6651855648468406E-2</v>
      </c>
      <c r="JG640" s="15">
        <f t="shared" si="1771"/>
        <v>6449</v>
      </c>
      <c r="JH640" s="1">
        <f t="shared" si="1772"/>
        <v>7.7724115795915802E-2</v>
      </c>
      <c r="JI640" s="1">
        <f t="shared" si="1773"/>
        <v>-1.8885988091319295E-2</v>
      </c>
      <c r="JJ640" s="1">
        <f t="shared" si="1774"/>
        <v>0</v>
      </c>
      <c r="JK640" s="1">
        <f t="shared" si="1775"/>
        <v>5.8838127704596503E-2</v>
      </c>
      <c r="JL640" s="15">
        <f t="shared" ref="JL640:JM640" si="1916">JL140+JL240+JL340+JL440+JL540</f>
        <v>379.44708556694286</v>
      </c>
      <c r="JM640" s="15">
        <f t="shared" si="1916"/>
        <v>6828.4470855669433</v>
      </c>
      <c r="JN640" s="21"/>
      <c r="JO640" s="19">
        <f>INDEX(Input!$1:$1048576,JO$93,$C640*2+6)</f>
        <v>5995.5</v>
      </c>
      <c r="JP640" s="19">
        <f>INDEX(Input!$1:$1048576,JP$93,$C640*2+6)</f>
        <v>2296.6050414551746</v>
      </c>
      <c r="JQ640" s="39">
        <f t="shared" si="1799"/>
        <v>3295.2396976933051</v>
      </c>
      <c r="JR640" s="39">
        <f t="shared" si="1800"/>
        <v>403.65526085152032</v>
      </c>
      <c r="JS640" s="39">
        <f t="shared" si="1801"/>
        <v>18.438584591558264</v>
      </c>
      <c r="JT640" s="39">
        <f t="shared" si="1802"/>
        <v>3.6277786792138422</v>
      </c>
      <c r="JU640" s="385">
        <f>(JQ640*JM640-INDEX(Input!$1:$1048576,Input!A$18,$C640*2+6)*JL640*INDEX(Input!$1:$1048576,Input!A$19,$C640*2+6))/1000000</f>
        <v>22.501369909958346</v>
      </c>
      <c r="JV640" s="39">
        <f t="shared" si="1803"/>
        <v>-1.3528036776972314</v>
      </c>
      <c r="JW640" s="1">
        <f t="shared" si="1804"/>
        <v>-5.6711404095646428E-2</v>
      </c>
      <c r="JX640" s="19">
        <f t="shared" si="1805"/>
        <v>9560.6971754532606</v>
      </c>
      <c r="JZ640" s="341"/>
      <c r="KA640" s="60"/>
      <c r="KB640" s="469">
        <f t="shared" si="1778"/>
        <v>0</v>
      </c>
      <c r="KI640" s="472"/>
      <c r="KJ640" s="472"/>
      <c r="KK640" s="472"/>
      <c r="KN640" s="793">
        <f t="shared" si="1779"/>
        <v>6002</v>
      </c>
      <c r="KO640" s="541">
        <f t="shared" si="1780"/>
        <v>3.4567968234259228E-2</v>
      </c>
      <c r="KP640" s="546">
        <f t="shared" si="1781"/>
        <v>249.37473500321579</v>
      </c>
      <c r="KQ640" s="546">
        <f t="shared" si="1782"/>
        <v>237.42704570155001</v>
      </c>
      <c r="KR640" s="472">
        <f t="shared" si="1783"/>
        <v>2.4288976322050266</v>
      </c>
      <c r="KS640" s="472">
        <f t="shared" si="1784"/>
        <v>2.5511234475892417</v>
      </c>
      <c r="KT640" s="473">
        <f t="shared" si="1795"/>
        <v>4286.2445668946921</v>
      </c>
      <c r="KU640" s="663">
        <f t="shared" si="1785"/>
        <v>4.3897084351463826</v>
      </c>
      <c r="KV640" s="117"/>
    </row>
    <row r="641" spans="1:308" s="26" customFormat="1" ht="15">
      <c r="A641" s="561">
        <f t="shared" si="1751"/>
        <v>6041</v>
      </c>
      <c r="B641" s="561">
        <f t="shared" si="1786"/>
        <v>41</v>
      </c>
      <c r="C641" s="561">
        <f t="shared" si="1787"/>
        <v>6</v>
      </c>
      <c r="D641" s="561" t="str">
        <f t="shared" si="1855"/>
        <v xml:space="preserve">750 CC, 360 Lease, </v>
      </c>
      <c r="E641" s="475">
        <f>INDEX(Input!$1:$1048576,E$93,$C641*2+MIN($B641,2)+5)
+INDEX(Scenarios!E$121:E$199,MATCH($B641,Scenarios!$B$121:$B$199,0))</f>
        <v>2017.2644913000609</v>
      </c>
      <c r="F641" s="475">
        <f>INDEX(Input!$1:$1048576,F$93,$C641*2+MIN($B641,2)+5)
+INDEX(Scenarios!F$121:F$199,MATCH($B641,Scenarios!$B$121:$B$199,0))</f>
        <v>0</v>
      </c>
      <c r="G641" s="475">
        <f>INDEX(Input!$1:$1048576,G$93,$C641*2+MIN($B641,2)+5)
+INDEX(Scenarios!G$121:G$199,MATCH($B641,Scenarios!$B$121:$B$199,0))</f>
        <v>0</v>
      </c>
      <c r="H641" s="475">
        <f>INDEX(Input!$1:$1048576,H$93,$C641*2+MIN($B641,2)+5)
+INDEX(Scenarios!H$121:H$199,MATCH($B641,Scenarios!$B$121:$B$199,0))</f>
        <v>0</v>
      </c>
      <c r="I641" s="476">
        <f>INDEX(Input!$1:$1048576,I$93,$C641*2+MIN($B641,2)+5)
+INDEX(Scenarios!I$121:I$199,MATCH($B641,Scenarios!$B$121:$B$199,0))</f>
        <v>0.7</v>
      </c>
      <c r="J641" s="476" t="str">
        <f>INDEX(Input!$1:$1048576,J$93,$C641*2+MIN($B641,2)+5)</f>
        <v>Market</v>
      </c>
      <c r="K641" s="476" t="str">
        <f>INDEX(Input!$1:$1048576,K$93,$C641*2+MIN($B641,2)+5)</f>
        <v>Market</v>
      </c>
      <c r="L641" s="476" t="str">
        <f>INDEX(Input!$1:$1048576,L$93,$C641*2+MIN($B641,2)+5)</f>
        <v>Market</v>
      </c>
      <c r="M641" s="476" t="str">
        <f>INDEX(Input!$1:$1048576,M$93,$C641*2+MIN($B641,2)+5)</f>
        <v>Market</v>
      </c>
      <c r="N641" s="476" t="str">
        <f>INDEX(Input!$1:$1048576,N$93,$C641*2+MIN($B641,2)+5)</f>
        <v>Market</v>
      </c>
      <c r="O641" s="476" t="str">
        <f>INDEX(Input!$1:$1048576,O$93,$C641*2+MIN($B641,2)+5)</f>
        <v>Market</v>
      </c>
      <c r="P641" s="476" t="str">
        <f>INDEX(Input!$1:$1048576,P$93,$C641*2+MIN($B641,2)+5)</f>
        <v>N</v>
      </c>
      <c r="Q641" s="477">
        <f>INDEX(Input!$1:$1048576,Q$93,$C641*2+MIN($B641,2)+5)
+INDEX(Scenarios!Q$121:Q$199,MATCH($B641,Scenarios!$B$121:$B$199,0))</f>
        <v>0</v>
      </c>
      <c r="R641" s="478">
        <f>IFERROR(MAX(0,INDEX(Input!$1:$1048576,R$93,$C641*2+MIN($B641,2)+5)
+INDEX(Scenarios!R$121:R$199,MATCH($B641,Scenarios!$B$121:$B$199,0)),),"Market")</f>
        <v>0</v>
      </c>
      <c r="S641" s="478">
        <f>IFERROR(MAX(0,INDEX(Input!$1:$1048576,S$93,$C641*2+MIN($B641,2)+5)
+INDEX(Scenarios!S$121:S$199,MATCH($B641,Scenarios!$B$121:$B$199,0)),),"Market")</f>
        <v>0</v>
      </c>
      <c r="T641" s="478">
        <f>IFERROR(MAX(0,INDEX(Input!$1:$1048576,T$93,$C641*2+MIN($B641,2)+5)
+INDEX(Scenarios!T$121:T$199,MATCH($B641,Scenarios!$B$121:$B$199,0)),),"Market")</f>
        <v>0</v>
      </c>
      <c r="U641" s="478">
        <f>IFERROR(MAX(0,INDEX(Input!$1:$1048576,U$93,$C641*2+MIN($B641,2)+5)
+INDEX(Scenarios!U$121:U$199,MATCH($B641,Scenarios!$B$121:$B$199,0)),),"Market")</f>
        <v>0</v>
      </c>
      <c r="V641" s="478">
        <f>IFERROR(MAX(0,INDEX(Input!$1:$1048576,V$93,$C641*2+MIN($B641,2)+5)
+INDEX(Scenarios!V$121:V$199,MATCH($B641,Scenarios!$B$121:$B$199,0)),),"Market")</f>
        <v>1.9E-2</v>
      </c>
      <c r="W641" s="885">
        <f>IFERROR(MAX(0,INDEX(Input!$1:$1048576,W$93,$C641*2+MIN($B641,2)+5)-0%,),"Market")</f>
        <v>3.9E-2</v>
      </c>
      <c r="X641" s="476" t="str">
        <f>INDEX(Input!$1:$1048576,X$93,$C641*2+MIN($B641,2)+5)</f>
        <v>Y</v>
      </c>
      <c r="Y641" s="475">
        <f>INDEX(Input!$1:$1048576,Y$93,$C641*2+MIN($B641,2)+5)
++INDEX(Scenarios!Y$121:Y$199,MATCH($B641,Scenarios!$B$121:$B$199,0))</f>
        <v>1097.993676354025</v>
      </c>
      <c r="Z641" s="477">
        <f>INDEX(Input!$1:$1048576,Z$93,$C641*2+MIN($B641,2)+5)
+INDEX(Scenarios!Z$121:Z$199,MATCH($B641,Scenarios!$B$121:$B$199,0))</f>
        <v>0</v>
      </c>
      <c r="AA641" s="475">
        <f>INDEX(Input!$1:$1048576,AA$93,$C641*2+MIN($B641,2)+5)</f>
        <v>0</v>
      </c>
      <c r="AB641" s="476">
        <f>INDEX(Input!$1:$1048576,AB$93,$C641*2+MIN($B641,2)+5)</f>
        <v>0.27</v>
      </c>
      <c r="AC641" s="475">
        <f>INDEX(Input!$1:$1048576,AC$93,$C641*2+MIN($B641,2)+5)
+INDEX(Scenarios!AC$121:AC$199,MATCH($B641,Scenarios!$B$121:$B$199,0))</f>
        <v>0</v>
      </c>
      <c r="AD641" s="476">
        <f>INDEX(Input!$1:$1048576,AD$93,$C641*2+MIN($B641,2)+5)</f>
        <v>0.27</v>
      </c>
      <c r="AE641" s="475">
        <f>INDEX(Input!$1:$1048576,AE$93,$C641*2+MIN($B641,2)+5)
+INDEX(Scenarios!AE$121:AE$199,MATCH($B641,Scenarios!$B$121:$B$199,0))</f>
        <v>0</v>
      </c>
      <c r="AF641" s="476">
        <f>INDEX(Input!$1:$1048576,AF$93,$C641*2+MIN($B641,2)+5)</f>
        <v>1</v>
      </c>
      <c r="AG641" s="475">
        <f>INDEX(Input!$1:$1048576,AG$93,$C641*2+MIN($B641,2)+5)</f>
        <v>500</v>
      </c>
      <c r="AH641" s="476">
        <f>INDEX(Input!$1:$1048576,AH$93,$C641*2+MIN($B641,2)+5)</f>
        <v>1</v>
      </c>
      <c r="AI641" s="475">
        <f>INDEX(Input!$1:$1048576,AI$93,$C641*2+MIN($B641,2)+5)</f>
        <v>0</v>
      </c>
      <c r="AJ641" s="476">
        <f>INDEX(Input!$1:$1048576,AJ$93,$C641*2+MIN($B641,2)+5)</f>
        <v>0.27</v>
      </c>
      <c r="AK641" s="150">
        <f>ROUND(INDEX(Input!$1:$1048576,AK$93,$C640*2+MIN($B641,1)+5)+(Y641-VLOOKUP($C641*1000+1,$A:$HH,Y$92,FALSE)),0)</f>
        <v>3421</v>
      </c>
      <c r="AL641" s="150">
        <f>ROUND(INDEX(Input!$1:$1048576,AL$93,$C640*2+MIN($B641,1)+5)-(Y641-VLOOKUP($C641*1000+1,$A:$HH,Y$92,FALSE))/36,0)</f>
        <v>3542</v>
      </c>
      <c r="AM641" s="32" t="str">
        <f t="shared" si="1752"/>
        <v>std/std/std/std</v>
      </c>
      <c r="AN641" s="32" t="str">
        <f t="shared" si="1753"/>
        <v>$0 + 0/0/0/1.9/3.9</v>
      </c>
      <c r="AO641" s="32" t="str">
        <f t="shared" si="1754"/>
        <v>0/0/0/1.9/3.9</v>
      </c>
      <c r="AP641" s="32" t="str">
        <f t="shared" si="1716"/>
        <v>0/0.9/1.9/3.9</v>
      </c>
      <c r="AQ641" s="536">
        <f t="shared" si="1892"/>
        <v>0.41573724511302357</v>
      </c>
      <c r="AR641" s="32"/>
      <c r="AS641" s="302"/>
      <c r="AT641" s="3">
        <f t="shared" si="1788"/>
        <v>41</v>
      </c>
      <c r="AU641" s="41" t="s">
        <v>121</v>
      </c>
      <c r="AV641" s="41" t="s">
        <v>116</v>
      </c>
      <c r="AW641" s="41" t="str">
        <f>INDEX(Input!$1:$1048576,AW$93,$C641*2+6)</f>
        <v>Kia</v>
      </c>
      <c r="AX641" s="41" t="str">
        <f>INDEX(Input!$1:$1048576,AX$93,$C641*2+6)</f>
        <v>National</v>
      </c>
      <c r="AY641" s="41" t="str">
        <f>IF(LEN(D641)=0,"",INDEX(Input!$1:$1048576,AY$93,$C641*2+6))</f>
        <v>Compact SUV (52)</v>
      </c>
      <c r="AZ641" s="41" t="str">
        <f>INDEX(Input!$1:$1048576,AZ$93,$C641*2+6)</f>
        <v>Kia Soul</v>
      </c>
      <c r="BA641" s="3">
        <f>INDEX(Input!$1:$1048576,BA$93,$C641*2+6)</f>
        <v>2020</v>
      </c>
      <c r="BB641" s="128">
        <f>INDEX(Input!$1:$1048576,BB$93,$C641*2+6)</f>
        <v>1</v>
      </c>
      <c r="BC641" s="128">
        <f>INDEX(Input!$1:$1048576,BC$93,$C641*2+6)</f>
        <v>0.7</v>
      </c>
      <c r="BD641" s="1">
        <f>INDEX(Input!$1:$1048576,BD$93,$C641*2+6)</f>
        <v>4.4999999999999998E-2</v>
      </c>
      <c r="BE641" s="1">
        <f>INDEX(Input!$1:$1048576,BE$93,$C641*2+6)</f>
        <v>4.4999999999999998E-2</v>
      </c>
      <c r="BF641" s="1">
        <f>INDEX(Input!$1:$1048576,BF$93,$C641*2+6)</f>
        <v>0.05</v>
      </c>
      <c r="BG641" s="1">
        <f>INDEX(Input!$1:$1048576,BG$93,$C641*2+6)</f>
        <v>5.45E-2</v>
      </c>
      <c r="BH641" s="1">
        <f>INDEX(Input!$1:$1048576,BH$93,$C641*2+6)</f>
        <v>5.45E-2</v>
      </c>
      <c r="BI641" s="1">
        <f>INDEX(Input!$1:$1048576,BI$93,$C641*2+6)</f>
        <v>0.05</v>
      </c>
      <c r="BJ641" s="1">
        <f>INDEX(Input!$1:$1048576,BJ$93,$C641*2+6)</f>
        <v>0.05</v>
      </c>
      <c r="BK641" s="1">
        <f>INDEX(Input!$1:$1048576,BK$93,$C641*2+6)</f>
        <v>0.05</v>
      </c>
      <c r="BL641" s="1">
        <f>INDEX(Input!$1:$1048576,BL$93,$C641*2+6)</f>
        <v>5.5E-2</v>
      </c>
      <c r="BM641" s="1">
        <f>INDEX(Input!$1:$1048576,BM$93,$C641*2+6)</f>
        <v>0.06</v>
      </c>
      <c r="BN641" s="1">
        <f>INDEX(Input!$1:$1048576,BN$93,$C641*2+6)</f>
        <v>4.4999999999999998E-2</v>
      </c>
      <c r="BO641" s="1">
        <f>INDEX(Input!$1:$1048576,BO$93,$C641*2+6)</f>
        <v>4.4999999999999998E-2</v>
      </c>
      <c r="BP641" s="1">
        <f>INDEX(Input!$1:$1048576,BP$93,$C641*2+6)</f>
        <v>0.05</v>
      </c>
      <c r="BQ641" s="1">
        <f>INDEX(Input!$1:$1048576,BQ$93,$C641*2+6)</f>
        <v>5.45E-2</v>
      </c>
      <c r="BR641" s="1">
        <f>INDEX(Input!$1:$1048576,BR$93,$C641*2+6)</f>
        <v>5.45E-2</v>
      </c>
      <c r="BS641" s="1">
        <f>INDEX(Input!$1:$1048576,BS$93,$C641*2+6)</f>
        <v>0.05</v>
      </c>
      <c r="BT641" s="1">
        <f>INDEX(Input!$1:$1048576,BT$93,$C641*2+6)</f>
        <v>0.05</v>
      </c>
      <c r="BU641" s="1">
        <f>INDEX(Input!$1:$1048576,BU$93,$C641*2+6)</f>
        <v>0.05</v>
      </c>
      <c r="BV641" s="1">
        <f>INDEX(Input!$1:$1048576,BV$93,$C641*2+6)</f>
        <v>5.5E-2</v>
      </c>
      <c r="BW641" s="1">
        <f>INDEX(Input!$1:$1048576,BW$93,$C641*2+6)</f>
        <v>0.06</v>
      </c>
      <c r="BX641" s="127">
        <f>INDEX(Input!$1:$1048576,BX$93,$C641*2+6)</f>
        <v>19985</v>
      </c>
      <c r="BY641" s="20">
        <f>INDEX(Input!$1:$1048576,BY$93,$C641*2+6)</f>
        <v>0.1</v>
      </c>
      <c r="BZ641" s="20">
        <f>INDEX(Input!$1:$1048576,BZ$93,$C641*2+6)</f>
        <v>0.1</v>
      </c>
      <c r="CA641" s="20">
        <f>INDEX(Input!$1:$1048576,CA$93,$C641*2+6)</f>
        <v>0.1</v>
      </c>
      <c r="CB641" s="20">
        <f>INDEX(Input!$1:$1048576,CB$93,$C641*2+6)</f>
        <v>0.1</v>
      </c>
      <c r="CC641" s="20">
        <f>INDEX(Input!$1:$1048576,CC$93,$C641*2+6)</f>
        <v>0.1</v>
      </c>
      <c r="CD641" s="384">
        <f>INDEX(Input!$1:$1048576,CD$93,$C641*2+6)</f>
        <v>0.1</v>
      </c>
      <c r="CE641" s="384">
        <f>INDEX(Input!$1:$1048576,CE$93,$C641*2+6)</f>
        <v>0.1</v>
      </c>
      <c r="CF641" s="384">
        <f>INDEX(Input!$1:$1048576,CF$93,$C641*2+6)</f>
        <v>0.1</v>
      </c>
      <c r="CG641" s="384">
        <f>INDEX(Input!$1:$1048576,CG$93,$C641*2+6)</f>
        <v>0.1</v>
      </c>
      <c r="CH641" s="384">
        <f>INDEX(Input!$1:$1048576,CH$93,$C641*2+6)</f>
        <v>0.1</v>
      </c>
      <c r="CI641" s="304">
        <f t="shared" si="1718"/>
        <v>2017.2644913000609</v>
      </c>
      <c r="CJ641" s="16" t="str">
        <f>INDEX(Input!$1:$1048576,CJ$93,$C641*2+6)</f>
        <v>N</v>
      </c>
      <c r="CK641" s="1" t="str">
        <f t="shared" si="1719"/>
        <v>Market</v>
      </c>
      <c r="CL641" s="1" t="str">
        <f t="shared" si="1720"/>
        <v>Market</v>
      </c>
      <c r="CM641" s="1" t="str">
        <f t="shared" si="1721"/>
        <v>Market</v>
      </c>
      <c r="CN641" s="1" t="str">
        <f t="shared" si="1722"/>
        <v>Market</v>
      </c>
      <c r="CO641" s="1" t="str">
        <f t="shared" si="1723"/>
        <v>Market</v>
      </c>
      <c r="CP641" s="304">
        <f t="shared" si="1724"/>
        <v>500</v>
      </c>
      <c r="CQ641" s="1">
        <f t="shared" si="1725"/>
        <v>0</v>
      </c>
      <c r="CR641" s="1">
        <f t="shared" si="1726"/>
        <v>0</v>
      </c>
      <c r="CS641" s="1">
        <f t="shared" si="1727"/>
        <v>0</v>
      </c>
      <c r="CT641" s="1">
        <f t="shared" si="1728"/>
        <v>1.9E-2</v>
      </c>
      <c r="CU641" s="1">
        <f t="shared" si="1729"/>
        <v>3.9E-2</v>
      </c>
      <c r="CV641" s="304">
        <f t="shared" si="1730"/>
        <v>1097.993676354025</v>
      </c>
      <c r="CW641" s="20" t="s">
        <v>122</v>
      </c>
      <c r="CX641" s="20" t="s">
        <v>122</v>
      </c>
      <c r="CY641" s="20" t="s">
        <v>122</v>
      </c>
      <c r="CZ641" s="20" t="s">
        <v>122</v>
      </c>
      <c r="DA641" s="20" t="s">
        <v>122</v>
      </c>
      <c r="DB641" s="503">
        <f t="shared" si="1731"/>
        <v>0</v>
      </c>
      <c r="DC641" s="127">
        <v>0</v>
      </c>
      <c r="DD641" s="127">
        <v>0</v>
      </c>
      <c r="DE641" s="127">
        <v>0</v>
      </c>
      <c r="DF641" s="127">
        <v>0</v>
      </c>
      <c r="DG641" s="127">
        <v>0</v>
      </c>
      <c r="DH641" s="127">
        <v>0</v>
      </c>
      <c r="DI641" s="127">
        <v>0</v>
      </c>
      <c r="DJ641" s="127">
        <v>0</v>
      </c>
      <c r="DK641" s="127">
        <v>0</v>
      </c>
      <c r="DL641" s="127">
        <v>0</v>
      </c>
      <c r="DM641" s="304">
        <f>INDEX(Input!$1:$1048576,DM$93,$C641*2+6)</f>
        <v>21036.84210526316</v>
      </c>
      <c r="DN641" s="20">
        <v>0</v>
      </c>
      <c r="DO641" s="20">
        <v>0</v>
      </c>
      <c r="DP641" s="20">
        <v>0</v>
      </c>
      <c r="DQ641" s="20">
        <v>0</v>
      </c>
      <c r="DR641" s="20">
        <v>0</v>
      </c>
      <c r="DS641" s="20">
        <f>INDEX(Input!$1:$1048576,DS$93,$C641*2+6)</f>
        <v>0.6</v>
      </c>
      <c r="DT641" s="20">
        <f>INDEX(Input!$1:$1048576,DT$93,$C641*2+6)</f>
        <v>0.55000000000000004</v>
      </c>
      <c r="DU641" s="20">
        <f>INDEX(Input!$1:$1048576,DU$93,$C641*2+6)</f>
        <v>0.52</v>
      </c>
      <c r="DV641" s="20">
        <f>INDEX(Input!$1:$1048576,DV$93,$C641*2+6)</f>
        <v>0.5</v>
      </c>
      <c r="DW641" s="20">
        <f>INDEX(Input!$1:$1048576,DW$93,$C641*2+6)</f>
        <v>0.45</v>
      </c>
      <c r="DX641" s="20"/>
      <c r="DY641" s="7"/>
      <c r="DZ641" s="7"/>
      <c r="EA641" s="7"/>
      <c r="EB641" s="7"/>
      <c r="EC641" s="7"/>
      <c r="ED641" s="7"/>
      <c r="EE641" s="7"/>
      <c r="EF641" s="7"/>
      <c r="EG641" s="7"/>
      <c r="EH641" s="7"/>
      <c r="EI641" s="7"/>
      <c r="EJ641" s="7"/>
      <c r="EK641" s="7"/>
      <c r="EL641" s="7"/>
      <c r="EM641" s="7"/>
      <c r="EN641" s="7"/>
      <c r="EO641" s="7"/>
      <c r="EP641" s="7"/>
      <c r="EQ641" s="7"/>
      <c r="ER641" s="7"/>
      <c r="ES641" s="7"/>
      <c r="ET641" s="7"/>
      <c r="EU641" s="6"/>
      <c r="EV641" s="6"/>
      <c r="EW641" s="6"/>
      <c r="EX641" s="6"/>
      <c r="EY641" s="6"/>
      <c r="EZ641" s="6"/>
      <c r="FA641" s="6"/>
      <c r="FB641" s="6"/>
      <c r="FC641" s="6"/>
      <c r="FD641" s="6"/>
      <c r="FE641" s="6"/>
      <c r="FF641" s="6"/>
      <c r="FG641" s="6"/>
      <c r="FH641" s="6"/>
      <c r="FI641" s="6"/>
      <c r="FJ641" s="6"/>
      <c r="FK641" s="6"/>
      <c r="FL641" s="6"/>
      <c r="FM641" s="6"/>
      <c r="FN641" s="6"/>
      <c r="FO641" s="6"/>
      <c r="FP641" s="6"/>
      <c r="FQ641" s="6"/>
      <c r="FR641" s="6"/>
      <c r="FS641" s="6"/>
      <c r="FT641" s="7"/>
      <c r="FU641" s="7"/>
      <c r="FV641" s="7"/>
      <c r="FW641" s="6"/>
      <c r="FX641" s="6"/>
      <c r="FY641" s="6"/>
      <c r="FZ641" s="6"/>
      <c r="GA641" s="6"/>
      <c r="GB641" s="6"/>
      <c r="GC641" s="7"/>
      <c r="GD641" s="7"/>
      <c r="GE641" s="7"/>
      <c r="GF641" s="7"/>
      <c r="GG641" s="7"/>
      <c r="GH641" s="42"/>
      <c r="GI641" s="6"/>
      <c r="GJ641" s="14"/>
      <c r="GK641" s="14"/>
      <c r="GL641" s="14"/>
      <c r="GM641" s="14"/>
      <c r="GO641" s="5"/>
      <c r="GP641" s="5"/>
      <c r="GQ641" s="5"/>
      <c r="GR641" s="5"/>
      <c r="GS641" s="5"/>
      <c r="GT641" s="5"/>
      <c r="GU641" s="5"/>
      <c r="GV641" s="39"/>
      <c r="GW641" s="5"/>
      <c r="GX641" s="5"/>
      <c r="GY641" s="5"/>
      <c r="GZ641" s="5"/>
      <c r="HA641" s="5"/>
      <c r="HB641" s="39"/>
      <c r="HC641" s="5"/>
      <c r="HD641" s="5"/>
      <c r="HE641" s="5"/>
      <c r="HF641" s="5"/>
      <c r="HG641" s="5"/>
      <c r="HH641" s="39"/>
      <c r="HI641" s="16"/>
      <c r="HJ641" s="19"/>
      <c r="HK641" s="1"/>
      <c r="HL641" s="16"/>
      <c r="HM641" s="639">
        <f t="shared" si="1755"/>
        <v>2.3149872625708352E-2</v>
      </c>
      <c r="HN641" s="639">
        <f t="shared" si="1756"/>
        <v>1.3965040474190958E-3</v>
      </c>
      <c r="HO641" s="639">
        <f t="shared" si="1757"/>
        <v>3.5429561340050734E-3</v>
      </c>
      <c r="HP641" s="644">
        <f t="shared" ref="HP641:ID641" si="1917">HP141+HP241+HP341+HP441+HP541</f>
        <v>803.64025738444786</v>
      </c>
      <c r="HQ641" s="644">
        <f t="shared" si="1917"/>
        <v>-79.185679181936081</v>
      </c>
      <c r="HR641" s="644">
        <f t="shared" si="1917"/>
        <v>-45.889490508680979</v>
      </c>
      <c r="HS641" s="644">
        <f t="shared" si="1917"/>
        <v>-323.58100634192306</v>
      </c>
      <c r="HT641" s="644">
        <f t="shared" si="1917"/>
        <v>32.169834567223731</v>
      </c>
      <c r="HU641" s="644">
        <f t="shared" si="1917"/>
        <v>81.819599445438541</v>
      </c>
      <c r="HV641" s="644">
        <f t="shared" si="1917"/>
        <v>0</v>
      </c>
      <c r="HW641" s="644">
        <f t="shared" si="1917"/>
        <v>0</v>
      </c>
      <c r="HX641" s="644">
        <f t="shared" si="1917"/>
        <v>0</v>
      </c>
      <c r="HY641" s="644">
        <f t="shared" si="1917"/>
        <v>2396</v>
      </c>
      <c r="HZ641" s="644">
        <f t="shared" si="1917"/>
        <v>3223</v>
      </c>
      <c r="IA641" s="644">
        <f t="shared" si="1917"/>
        <v>830</v>
      </c>
      <c r="IB641" s="644">
        <f t="shared" si="1917"/>
        <v>2876.0592510425254</v>
      </c>
      <c r="IC641" s="644">
        <f t="shared" si="1917"/>
        <v>3175.9841553852875</v>
      </c>
      <c r="ID641" s="644">
        <f t="shared" si="1917"/>
        <v>865.93010893675751</v>
      </c>
      <c r="IE641" s="20">
        <f t="shared" si="1759"/>
        <v>0.41573724511302357</v>
      </c>
      <c r="IF641" s="20">
        <f t="shared" si="1760"/>
        <v>0.45909169041071657</v>
      </c>
      <c r="IG641" s="20">
        <f t="shared" si="1761"/>
        <v>0.12517106447625997</v>
      </c>
      <c r="IH641" s="21"/>
      <c r="II641" s="19"/>
      <c r="IJ641" s="19"/>
      <c r="IK641" s="19"/>
      <c r="IL641" s="19">
        <f t="shared" si="1762"/>
        <v>918.74460594393668</v>
      </c>
      <c r="IM641" s="19">
        <f t="shared" si="1763"/>
        <v>179.14473015525209</v>
      </c>
      <c r="IN641" s="19">
        <f t="shared" si="1764"/>
        <v>474.29350051682195</v>
      </c>
      <c r="IO641" s="39"/>
      <c r="IP641" s="39"/>
      <c r="IQ641" s="39"/>
      <c r="IR641" s="39"/>
      <c r="IS641" s="39"/>
      <c r="IT641" s="39"/>
      <c r="IU641" s="39"/>
      <c r="IV641" s="39"/>
      <c r="IW641" s="39"/>
      <c r="IX641" s="19">
        <f t="shared" si="1765"/>
        <v>1554.1790484140233</v>
      </c>
      <c r="IY641" s="19">
        <f t="shared" si="1766"/>
        <v>2412.3001201524512</v>
      </c>
      <c r="IZ641" s="19">
        <f t="shared" si="1767"/>
        <v>3993.0862952928574</v>
      </c>
      <c r="JA641" s="19">
        <f t="shared" ref="JA641:JC641" si="1918">IFERROR((JA141*IB141+JA241*IB241+JA341*IB341+JA441*IB441+JA541*IB541)/IB641,0)</f>
        <v>2472.92365435796</v>
      </c>
      <c r="JB641" s="19">
        <f t="shared" si="1918"/>
        <v>2591.4448503077033</v>
      </c>
      <c r="JC641" s="19">
        <f t="shared" si="1918"/>
        <v>4467.3797958096793</v>
      </c>
      <c r="JD641" s="19">
        <f t="shared" si="1769"/>
        <v>2776.9839488327539</v>
      </c>
      <c r="JE641" s="21"/>
      <c r="JF641" s="1">
        <f t="shared" si="1770"/>
        <v>2.6651855648468406E-2</v>
      </c>
      <c r="JG641" s="15">
        <f t="shared" si="1771"/>
        <v>6449</v>
      </c>
      <c r="JH641" s="1">
        <f t="shared" si="1772"/>
        <v>0.10522020277466752</v>
      </c>
      <c r="JI641" s="1">
        <f t="shared" si="1773"/>
        <v>-3.2499856152777291E-2</v>
      </c>
      <c r="JJ641" s="1">
        <f t="shared" si="1774"/>
        <v>0</v>
      </c>
      <c r="JK641" s="1">
        <f t="shared" si="1775"/>
        <v>7.2720346621890211E-2</v>
      </c>
      <c r="JL641" s="15">
        <f t="shared" ref="JL641:JM641" si="1919">JL141+JL241+JL341+JL441+JL541</f>
        <v>468.97351536456995</v>
      </c>
      <c r="JM641" s="15">
        <f t="shared" si="1919"/>
        <v>6917.9735153645706</v>
      </c>
      <c r="JN641" s="21"/>
      <c r="JO641" s="19">
        <f>INDEX(Input!$1:$1048576,JO$93,$C641*2+6)</f>
        <v>5995.5</v>
      </c>
      <c r="JP641" s="19">
        <f>INDEX(Input!$1:$1048576,JP$93,$C641*2+6)</f>
        <v>2296.6050414551746</v>
      </c>
      <c r="JQ641" s="39">
        <f t="shared" si="1799"/>
        <v>3218.5160511672461</v>
      </c>
      <c r="JR641" s="39">
        <f t="shared" si="1800"/>
        <v>480.37890737757925</v>
      </c>
      <c r="JS641" s="39">
        <f t="shared" si="1801"/>
        <v>19.211101410617513</v>
      </c>
      <c r="JT641" s="39">
        <f t="shared" si="1802"/>
        <v>4.4002954982730911</v>
      </c>
      <c r="JU641" s="385">
        <f>(JQ641*JM641-INDEX(Input!$1:$1048576,Input!A$18,$C641*2+6)*JL641*INDEX(Input!$1:$1048576,Input!A$19,$C641*2+6))/1000000</f>
        <v>22.265608800750769</v>
      </c>
      <c r="JV641" s="39">
        <f t="shared" si="1803"/>
        <v>-1.5885647869048078</v>
      </c>
      <c r="JW641" s="1">
        <f t="shared" si="1804"/>
        <v>-6.6594836373911642E-2</v>
      </c>
      <c r="JX641" s="19">
        <f t="shared" si="1805"/>
        <v>9382.8230254162554</v>
      </c>
      <c r="JZ641" s="341"/>
      <c r="KA641" s="60"/>
      <c r="KB641" s="469">
        <f t="shared" si="1778"/>
        <v>0</v>
      </c>
      <c r="KI641" s="472"/>
      <c r="KJ641" s="472"/>
      <c r="KK641" s="472"/>
      <c r="KN641" s="793">
        <f t="shared" si="1779"/>
        <v>6002</v>
      </c>
      <c r="KO641" s="541">
        <f t="shared" si="1780"/>
        <v>4.8131985853253179E-2</v>
      </c>
      <c r="KP641" s="546">
        <f t="shared" si="1781"/>
        <v>359.08896919404157</v>
      </c>
      <c r="KQ641" s="546">
        <f t="shared" si="1782"/>
        <v>314.15069222760894</v>
      </c>
      <c r="KR641" s="472">
        <f t="shared" si="1783"/>
        <v>2.3486566120489414</v>
      </c>
      <c r="KS641" s="472">
        <f t="shared" si="1784"/>
        <v>2.6846246170305426</v>
      </c>
      <c r="KT641" s="473">
        <f t="shared" si="1795"/>
        <v>4286.2445668946921</v>
      </c>
      <c r="KU641" s="663">
        <f t="shared" si="1785"/>
        <v>4.4187458452848922</v>
      </c>
      <c r="KV641" s="117"/>
    </row>
    <row r="642" spans="1:308" s="26" customFormat="1" ht="15">
      <c r="A642" s="561">
        <f t="shared" si="1751"/>
        <v>6042</v>
      </c>
      <c r="B642" s="561">
        <f t="shared" si="1786"/>
        <v>42</v>
      </c>
      <c r="C642" s="561">
        <f t="shared" si="1787"/>
        <v>6</v>
      </c>
      <c r="D642" s="561" t="str">
        <f t="shared" si="1855"/>
        <v xml:space="preserve">1000 CC, 360 Lease, </v>
      </c>
      <c r="E642" s="475">
        <f>INDEX(Input!$1:$1048576,E$93,$C642*2+MIN($B642,2)+5)
+INDEX(Scenarios!E$121:E$199,MATCH($B642,Scenarios!$B$121:$B$199,0))</f>
        <v>2267.2644913000609</v>
      </c>
      <c r="F642" s="475">
        <f>INDEX(Input!$1:$1048576,F$93,$C642*2+MIN($B642,2)+5)
+INDEX(Scenarios!F$121:F$199,MATCH($B642,Scenarios!$B$121:$B$199,0))</f>
        <v>0</v>
      </c>
      <c r="G642" s="475">
        <f>INDEX(Input!$1:$1048576,G$93,$C642*2+MIN($B642,2)+5)
+INDEX(Scenarios!G$121:G$199,MATCH($B642,Scenarios!$B$121:$B$199,0))</f>
        <v>0</v>
      </c>
      <c r="H642" s="475">
        <f>INDEX(Input!$1:$1048576,H$93,$C642*2+MIN($B642,2)+5)
+INDEX(Scenarios!H$121:H$199,MATCH($B642,Scenarios!$B$121:$B$199,0))</f>
        <v>0</v>
      </c>
      <c r="I642" s="476">
        <f>INDEX(Input!$1:$1048576,I$93,$C642*2+MIN($B642,2)+5)
+INDEX(Scenarios!I$121:I$199,MATCH($B642,Scenarios!$B$121:$B$199,0))</f>
        <v>0.7</v>
      </c>
      <c r="J642" s="476" t="str">
        <f>INDEX(Input!$1:$1048576,J$93,$C642*2+MIN($B642,2)+5)</f>
        <v>Market</v>
      </c>
      <c r="K642" s="476" t="str">
        <f>INDEX(Input!$1:$1048576,K$93,$C642*2+MIN($B642,2)+5)</f>
        <v>Market</v>
      </c>
      <c r="L642" s="476" t="str">
        <f>INDEX(Input!$1:$1048576,L$93,$C642*2+MIN($B642,2)+5)</f>
        <v>Market</v>
      </c>
      <c r="M642" s="476" t="str">
        <f>INDEX(Input!$1:$1048576,M$93,$C642*2+MIN($B642,2)+5)</f>
        <v>Market</v>
      </c>
      <c r="N642" s="476" t="str">
        <f>INDEX(Input!$1:$1048576,N$93,$C642*2+MIN($B642,2)+5)</f>
        <v>Market</v>
      </c>
      <c r="O642" s="476" t="str">
        <f>INDEX(Input!$1:$1048576,O$93,$C642*2+MIN($B642,2)+5)</f>
        <v>Market</v>
      </c>
      <c r="P642" s="476" t="str">
        <f>INDEX(Input!$1:$1048576,P$93,$C642*2+MIN($B642,2)+5)</f>
        <v>N</v>
      </c>
      <c r="Q642" s="477">
        <f>INDEX(Input!$1:$1048576,Q$93,$C642*2+MIN($B642,2)+5)
+INDEX(Scenarios!Q$121:Q$199,MATCH($B642,Scenarios!$B$121:$B$199,0))</f>
        <v>0</v>
      </c>
      <c r="R642" s="478">
        <f>IFERROR(MAX(0,INDEX(Input!$1:$1048576,R$93,$C642*2+MIN($B642,2)+5)
+INDEX(Scenarios!R$121:R$199,MATCH($B642,Scenarios!$B$121:$B$199,0)),),"Market")</f>
        <v>0</v>
      </c>
      <c r="S642" s="478">
        <f>IFERROR(MAX(0,INDEX(Input!$1:$1048576,S$93,$C642*2+MIN($B642,2)+5)
+INDEX(Scenarios!S$121:S$199,MATCH($B642,Scenarios!$B$121:$B$199,0)),),"Market")</f>
        <v>0</v>
      </c>
      <c r="T642" s="478">
        <f>IFERROR(MAX(0,INDEX(Input!$1:$1048576,T$93,$C642*2+MIN($B642,2)+5)
+INDEX(Scenarios!T$121:T$199,MATCH($B642,Scenarios!$B$121:$B$199,0)),),"Market")</f>
        <v>0</v>
      </c>
      <c r="U642" s="478">
        <f>IFERROR(MAX(0,INDEX(Input!$1:$1048576,U$93,$C642*2+MIN($B642,2)+5)
+INDEX(Scenarios!U$121:U$199,MATCH($B642,Scenarios!$B$121:$B$199,0)),),"Market")</f>
        <v>0</v>
      </c>
      <c r="V642" s="478">
        <f>IFERROR(MAX(0,INDEX(Input!$1:$1048576,V$93,$C642*2+MIN($B642,2)+5)
+INDEX(Scenarios!V$121:V$199,MATCH($B642,Scenarios!$B$121:$B$199,0)),),"Market")</f>
        <v>1.9E-2</v>
      </c>
      <c r="W642" s="885">
        <f>IFERROR(MAX(0,INDEX(Input!$1:$1048576,W$93,$C642*2+MIN($B642,2)+5)-0%,),"Market")</f>
        <v>3.9E-2</v>
      </c>
      <c r="X642" s="476" t="str">
        <f>INDEX(Input!$1:$1048576,X$93,$C642*2+MIN($B642,2)+5)</f>
        <v>Y</v>
      </c>
      <c r="Y642" s="475">
        <f>INDEX(Input!$1:$1048576,Y$93,$C642*2+MIN($B642,2)+5)
++INDEX(Scenarios!Y$121:Y$199,MATCH($B642,Scenarios!$B$121:$B$199,0))</f>
        <v>1097.993676354025</v>
      </c>
      <c r="Z642" s="477">
        <f>INDEX(Input!$1:$1048576,Z$93,$C642*2+MIN($B642,2)+5)
+INDEX(Scenarios!Z$121:Z$199,MATCH($B642,Scenarios!$B$121:$B$199,0))</f>
        <v>0</v>
      </c>
      <c r="AA642" s="475">
        <f>INDEX(Input!$1:$1048576,AA$93,$C642*2+MIN($B642,2)+5)</f>
        <v>0</v>
      </c>
      <c r="AB642" s="476">
        <f>INDEX(Input!$1:$1048576,AB$93,$C642*2+MIN($B642,2)+5)</f>
        <v>0.27</v>
      </c>
      <c r="AC642" s="475">
        <f>INDEX(Input!$1:$1048576,AC$93,$C642*2+MIN($B642,2)+5)
+INDEX(Scenarios!AC$121:AC$199,MATCH($B642,Scenarios!$B$121:$B$199,0))</f>
        <v>0</v>
      </c>
      <c r="AD642" s="476">
        <f>INDEX(Input!$1:$1048576,AD$93,$C642*2+MIN($B642,2)+5)</f>
        <v>0.27</v>
      </c>
      <c r="AE642" s="475">
        <f>INDEX(Input!$1:$1048576,AE$93,$C642*2+MIN($B642,2)+5)
+INDEX(Scenarios!AE$121:AE$199,MATCH($B642,Scenarios!$B$121:$B$199,0))</f>
        <v>0</v>
      </c>
      <c r="AF642" s="476">
        <f>INDEX(Input!$1:$1048576,AF$93,$C642*2+MIN($B642,2)+5)</f>
        <v>1</v>
      </c>
      <c r="AG642" s="475">
        <f>INDEX(Input!$1:$1048576,AG$93,$C642*2+MIN($B642,2)+5)</f>
        <v>500</v>
      </c>
      <c r="AH642" s="476">
        <f>INDEX(Input!$1:$1048576,AH$93,$C642*2+MIN($B642,2)+5)</f>
        <v>1</v>
      </c>
      <c r="AI642" s="475">
        <f>INDEX(Input!$1:$1048576,AI$93,$C642*2+MIN($B642,2)+5)</f>
        <v>0</v>
      </c>
      <c r="AJ642" s="476">
        <f>INDEX(Input!$1:$1048576,AJ$93,$C642*2+MIN($B642,2)+5)</f>
        <v>0.27</v>
      </c>
      <c r="AK642" s="150">
        <f>ROUND(INDEX(Input!$1:$1048576,AK$93,$C641*2+MIN($B642,1)+5)+(Y642-VLOOKUP($C642*1000+1,$A:$HH,Y$92,FALSE)),0)</f>
        <v>3421</v>
      </c>
      <c r="AL642" s="150">
        <f>ROUND(INDEX(Input!$1:$1048576,AL$93,$C641*2+MIN($B642,1)+5)-(Y642-VLOOKUP($C642*1000+1,$A:$HH,Y$92,FALSE))/36,0)</f>
        <v>3542</v>
      </c>
      <c r="AM642" s="32" t="str">
        <f t="shared" si="1752"/>
        <v>std/std/std/std</v>
      </c>
      <c r="AN642" s="32" t="str">
        <f t="shared" si="1753"/>
        <v>$0 + 0/0/0/1.9/3.9</v>
      </c>
      <c r="AO642" s="32" t="str">
        <f t="shared" si="1754"/>
        <v>0/0/0/1.9/3.9</v>
      </c>
      <c r="AP642" s="32" t="str">
        <f t="shared" si="1716"/>
        <v>0/0.9/1.9/3.9</v>
      </c>
      <c r="AQ642" s="536">
        <f t="shared" si="1892"/>
        <v>0.43634689397486942</v>
      </c>
      <c r="AR642" s="32"/>
      <c r="AS642" s="302"/>
      <c r="AT642" s="3">
        <f t="shared" si="1788"/>
        <v>42</v>
      </c>
      <c r="AU642" s="41" t="s">
        <v>121</v>
      </c>
      <c r="AV642" s="41" t="s">
        <v>116</v>
      </c>
      <c r="AW642" s="41" t="str">
        <f>INDEX(Input!$1:$1048576,AW$93,$C642*2+6)</f>
        <v>Kia</v>
      </c>
      <c r="AX642" s="41" t="str">
        <f>INDEX(Input!$1:$1048576,AX$93,$C642*2+6)</f>
        <v>National</v>
      </c>
      <c r="AY642" s="41" t="str">
        <f>IF(LEN(D642)=0,"",INDEX(Input!$1:$1048576,AY$93,$C642*2+6))</f>
        <v>Compact SUV (52)</v>
      </c>
      <c r="AZ642" s="41" t="str">
        <f>INDEX(Input!$1:$1048576,AZ$93,$C642*2+6)</f>
        <v>Kia Soul</v>
      </c>
      <c r="BA642" s="3">
        <f>INDEX(Input!$1:$1048576,BA$93,$C642*2+6)</f>
        <v>2020</v>
      </c>
      <c r="BB642" s="128">
        <f>INDEX(Input!$1:$1048576,BB$93,$C642*2+6)</f>
        <v>1</v>
      </c>
      <c r="BC642" s="128">
        <f>INDEX(Input!$1:$1048576,BC$93,$C642*2+6)</f>
        <v>0.7</v>
      </c>
      <c r="BD642" s="1">
        <f>INDEX(Input!$1:$1048576,BD$93,$C642*2+6)</f>
        <v>4.4999999999999998E-2</v>
      </c>
      <c r="BE642" s="1">
        <f>INDEX(Input!$1:$1048576,BE$93,$C642*2+6)</f>
        <v>4.4999999999999998E-2</v>
      </c>
      <c r="BF642" s="1">
        <f>INDEX(Input!$1:$1048576,BF$93,$C642*2+6)</f>
        <v>0.05</v>
      </c>
      <c r="BG642" s="1">
        <f>INDEX(Input!$1:$1048576,BG$93,$C642*2+6)</f>
        <v>5.45E-2</v>
      </c>
      <c r="BH642" s="1">
        <f>INDEX(Input!$1:$1048576,BH$93,$C642*2+6)</f>
        <v>5.45E-2</v>
      </c>
      <c r="BI642" s="1">
        <f>INDEX(Input!$1:$1048576,BI$93,$C642*2+6)</f>
        <v>0.05</v>
      </c>
      <c r="BJ642" s="1">
        <f>INDEX(Input!$1:$1048576,BJ$93,$C642*2+6)</f>
        <v>0.05</v>
      </c>
      <c r="BK642" s="1">
        <f>INDEX(Input!$1:$1048576,BK$93,$C642*2+6)</f>
        <v>0.05</v>
      </c>
      <c r="BL642" s="1">
        <f>INDEX(Input!$1:$1048576,BL$93,$C642*2+6)</f>
        <v>5.5E-2</v>
      </c>
      <c r="BM642" s="1">
        <f>INDEX(Input!$1:$1048576,BM$93,$C642*2+6)</f>
        <v>0.06</v>
      </c>
      <c r="BN642" s="1">
        <f>INDEX(Input!$1:$1048576,BN$93,$C642*2+6)</f>
        <v>4.4999999999999998E-2</v>
      </c>
      <c r="BO642" s="1">
        <f>INDEX(Input!$1:$1048576,BO$93,$C642*2+6)</f>
        <v>4.4999999999999998E-2</v>
      </c>
      <c r="BP642" s="1">
        <f>INDEX(Input!$1:$1048576,BP$93,$C642*2+6)</f>
        <v>0.05</v>
      </c>
      <c r="BQ642" s="1">
        <f>INDEX(Input!$1:$1048576,BQ$93,$C642*2+6)</f>
        <v>5.45E-2</v>
      </c>
      <c r="BR642" s="1">
        <f>INDEX(Input!$1:$1048576,BR$93,$C642*2+6)</f>
        <v>5.45E-2</v>
      </c>
      <c r="BS642" s="1">
        <f>INDEX(Input!$1:$1048576,BS$93,$C642*2+6)</f>
        <v>0.05</v>
      </c>
      <c r="BT642" s="1">
        <f>INDEX(Input!$1:$1048576,BT$93,$C642*2+6)</f>
        <v>0.05</v>
      </c>
      <c r="BU642" s="1">
        <f>INDEX(Input!$1:$1048576,BU$93,$C642*2+6)</f>
        <v>0.05</v>
      </c>
      <c r="BV642" s="1">
        <f>INDEX(Input!$1:$1048576,BV$93,$C642*2+6)</f>
        <v>5.5E-2</v>
      </c>
      <c r="BW642" s="1">
        <f>INDEX(Input!$1:$1048576,BW$93,$C642*2+6)</f>
        <v>0.06</v>
      </c>
      <c r="BX642" s="127">
        <f>INDEX(Input!$1:$1048576,BX$93,$C642*2+6)</f>
        <v>19985</v>
      </c>
      <c r="BY642" s="20">
        <f>INDEX(Input!$1:$1048576,BY$93,$C642*2+6)</f>
        <v>0.1</v>
      </c>
      <c r="BZ642" s="20">
        <f>INDEX(Input!$1:$1048576,BZ$93,$C642*2+6)</f>
        <v>0.1</v>
      </c>
      <c r="CA642" s="20">
        <f>INDEX(Input!$1:$1048576,CA$93,$C642*2+6)</f>
        <v>0.1</v>
      </c>
      <c r="CB642" s="20">
        <f>INDEX(Input!$1:$1048576,CB$93,$C642*2+6)</f>
        <v>0.1</v>
      </c>
      <c r="CC642" s="20">
        <f>INDEX(Input!$1:$1048576,CC$93,$C642*2+6)</f>
        <v>0.1</v>
      </c>
      <c r="CD642" s="384">
        <f>INDEX(Input!$1:$1048576,CD$93,$C642*2+6)</f>
        <v>0.1</v>
      </c>
      <c r="CE642" s="384">
        <f>INDEX(Input!$1:$1048576,CE$93,$C642*2+6)</f>
        <v>0.1</v>
      </c>
      <c r="CF642" s="384">
        <f>INDEX(Input!$1:$1048576,CF$93,$C642*2+6)</f>
        <v>0.1</v>
      </c>
      <c r="CG642" s="384">
        <f>INDEX(Input!$1:$1048576,CG$93,$C642*2+6)</f>
        <v>0.1</v>
      </c>
      <c r="CH642" s="384">
        <f>INDEX(Input!$1:$1048576,CH$93,$C642*2+6)</f>
        <v>0.1</v>
      </c>
      <c r="CI642" s="304">
        <f t="shared" si="1718"/>
        <v>2267.2644913000609</v>
      </c>
      <c r="CJ642" s="16" t="str">
        <f>INDEX(Input!$1:$1048576,CJ$93,$C642*2+6)</f>
        <v>N</v>
      </c>
      <c r="CK642" s="1" t="str">
        <f t="shared" si="1719"/>
        <v>Market</v>
      </c>
      <c r="CL642" s="1" t="str">
        <f t="shared" si="1720"/>
        <v>Market</v>
      </c>
      <c r="CM642" s="1" t="str">
        <f t="shared" si="1721"/>
        <v>Market</v>
      </c>
      <c r="CN642" s="1" t="str">
        <f t="shared" si="1722"/>
        <v>Market</v>
      </c>
      <c r="CO642" s="1" t="str">
        <f t="shared" si="1723"/>
        <v>Market</v>
      </c>
      <c r="CP642" s="304">
        <f t="shared" si="1724"/>
        <v>500</v>
      </c>
      <c r="CQ642" s="1">
        <f t="shared" si="1725"/>
        <v>0</v>
      </c>
      <c r="CR642" s="1">
        <f t="shared" si="1726"/>
        <v>0</v>
      </c>
      <c r="CS642" s="1">
        <f t="shared" si="1727"/>
        <v>0</v>
      </c>
      <c r="CT642" s="1">
        <f t="shared" si="1728"/>
        <v>1.9E-2</v>
      </c>
      <c r="CU642" s="1">
        <f t="shared" si="1729"/>
        <v>3.9E-2</v>
      </c>
      <c r="CV642" s="304">
        <f t="shared" si="1730"/>
        <v>1097.993676354025</v>
      </c>
      <c r="CW642" s="20" t="s">
        <v>122</v>
      </c>
      <c r="CX642" s="20" t="s">
        <v>122</v>
      </c>
      <c r="CY642" s="20" t="s">
        <v>122</v>
      </c>
      <c r="CZ642" s="20" t="s">
        <v>122</v>
      </c>
      <c r="DA642" s="20" t="s">
        <v>122</v>
      </c>
      <c r="DB642" s="503">
        <f t="shared" si="1731"/>
        <v>0</v>
      </c>
      <c r="DC642" s="127">
        <v>0</v>
      </c>
      <c r="DD642" s="127">
        <v>0</v>
      </c>
      <c r="DE642" s="127">
        <v>0</v>
      </c>
      <c r="DF642" s="127">
        <v>0</v>
      </c>
      <c r="DG642" s="127">
        <v>0</v>
      </c>
      <c r="DH642" s="127">
        <v>0</v>
      </c>
      <c r="DI642" s="127">
        <v>0</v>
      </c>
      <c r="DJ642" s="127">
        <v>0</v>
      </c>
      <c r="DK642" s="127">
        <v>0</v>
      </c>
      <c r="DL642" s="127">
        <v>0</v>
      </c>
      <c r="DM642" s="304">
        <f>INDEX(Input!$1:$1048576,DM$93,$C642*2+6)</f>
        <v>21036.84210526316</v>
      </c>
      <c r="DN642" s="20">
        <v>0</v>
      </c>
      <c r="DO642" s="20">
        <v>0</v>
      </c>
      <c r="DP642" s="20">
        <v>0</v>
      </c>
      <c r="DQ642" s="20">
        <v>0</v>
      </c>
      <c r="DR642" s="20">
        <v>0</v>
      </c>
      <c r="DS642" s="20">
        <f>INDEX(Input!$1:$1048576,DS$93,$C642*2+6)</f>
        <v>0.6</v>
      </c>
      <c r="DT642" s="20">
        <f>INDEX(Input!$1:$1048576,DT$93,$C642*2+6)</f>
        <v>0.55000000000000004</v>
      </c>
      <c r="DU642" s="20">
        <f>INDEX(Input!$1:$1048576,DU$93,$C642*2+6)</f>
        <v>0.52</v>
      </c>
      <c r="DV642" s="20">
        <f>INDEX(Input!$1:$1048576,DV$93,$C642*2+6)</f>
        <v>0.5</v>
      </c>
      <c r="DW642" s="20">
        <f>INDEX(Input!$1:$1048576,DW$93,$C642*2+6)</f>
        <v>0.45</v>
      </c>
      <c r="DX642" s="20"/>
      <c r="DY642" s="7"/>
      <c r="DZ642" s="7"/>
      <c r="EA642" s="7"/>
      <c r="EB642" s="7"/>
      <c r="EC642" s="7"/>
      <c r="ED642" s="7"/>
      <c r="EE642" s="7"/>
      <c r="EF642" s="7"/>
      <c r="EG642" s="7"/>
      <c r="EH642" s="7"/>
      <c r="EI642" s="7"/>
      <c r="EJ642" s="7"/>
      <c r="EK642" s="7"/>
      <c r="EL642" s="7"/>
      <c r="EM642" s="7"/>
      <c r="EN642" s="7"/>
      <c r="EO642" s="7"/>
      <c r="EP642" s="7"/>
      <c r="EQ642" s="7"/>
      <c r="ER642" s="7"/>
      <c r="ES642" s="7"/>
      <c r="ET642" s="7"/>
      <c r="EU642" s="6"/>
      <c r="EV642" s="6"/>
      <c r="EW642" s="6"/>
      <c r="EX642" s="6"/>
      <c r="EY642" s="6"/>
      <c r="EZ642" s="6"/>
      <c r="FA642" s="6"/>
      <c r="FB642" s="6"/>
      <c r="FC642" s="6"/>
      <c r="FD642" s="6"/>
      <c r="FE642" s="6"/>
      <c r="FF642" s="6"/>
      <c r="FG642" s="6"/>
      <c r="FH642" s="6"/>
      <c r="FI642" s="6"/>
      <c r="FJ642" s="6"/>
      <c r="FK642" s="6"/>
      <c r="FL642" s="6"/>
      <c r="FM642" s="6"/>
      <c r="FN642" s="6"/>
      <c r="FO642" s="6"/>
      <c r="FP642" s="6"/>
      <c r="FQ642" s="6"/>
      <c r="FR642" s="6"/>
      <c r="FS642" s="6"/>
      <c r="FT642" s="7"/>
      <c r="FU642" s="7"/>
      <c r="FV642" s="7"/>
      <c r="FW642" s="6"/>
      <c r="FX642" s="6"/>
      <c r="FY642" s="6"/>
      <c r="FZ642" s="6"/>
      <c r="GA642" s="6"/>
      <c r="GB642" s="6"/>
      <c r="GC642" s="7"/>
      <c r="GD642" s="7"/>
      <c r="GE642" s="7"/>
      <c r="GF642" s="7"/>
      <c r="GG642" s="7"/>
      <c r="GH642" s="42"/>
      <c r="GI642" s="6"/>
      <c r="GJ642" s="14"/>
      <c r="GK642" s="14"/>
      <c r="GL642" s="14"/>
      <c r="GM642" s="14"/>
      <c r="GO642" s="5"/>
      <c r="GP642" s="5"/>
      <c r="GQ642" s="5"/>
      <c r="GR642" s="5"/>
      <c r="GS642" s="5"/>
      <c r="GT642" s="5"/>
      <c r="GU642" s="5"/>
      <c r="GV642" s="39"/>
      <c r="GW642" s="5"/>
      <c r="GX642" s="5"/>
      <c r="GY642" s="5"/>
      <c r="GZ642" s="5"/>
      <c r="HA642" s="5"/>
      <c r="HB642" s="39"/>
      <c r="HC642" s="5"/>
      <c r="HD642" s="5"/>
      <c r="HE642" s="5"/>
      <c r="HF642" s="5"/>
      <c r="HG642" s="5"/>
      <c r="HH642" s="39"/>
      <c r="HI642" s="16"/>
      <c r="HJ642" s="19"/>
      <c r="HK642" s="1"/>
      <c r="HL642" s="16"/>
      <c r="HM642" s="639">
        <f t="shared" si="1755"/>
        <v>2.3149872625708352E-2</v>
      </c>
      <c r="HN642" s="639">
        <f t="shared" si="1756"/>
        <v>1.3965040474190958E-3</v>
      </c>
      <c r="HO642" s="639">
        <f t="shared" si="1757"/>
        <v>3.5429561340050734E-3</v>
      </c>
      <c r="HP642" s="644">
        <f t="shared" ref="HP642:ID642" si="1920">HP142+HP242+HP342+HP442+HP542</f>
        <v>1076.5864578198652</v>
      </c>
      <c r="HQ642" s="644">
        <f t="shared" si="1920"/>
        <v>-101.47505256177671</v>
      </c>
      <c r="HR642" s="644">
        <f t="shared" si="1920"/>
        <v>-111.24724400857387</v>
      </c>
      <c r="HS642" s="644">
        <f t="shared" si="1920"/>
        <v>-411.40677708765492</v>
      </c>
      <c r="HT642" s="644">
        <f t="shared" si="1920"/>
        <v>19.362139131081896</v>
      </c>
      <c r="HU642" s="644">
        <f t="shared" si="1920"/>
        <v>94.653081190666612</v>
      </c>
      <c r="HV642" s="644">
        <f t="shared" si="1920"/>
        <v>0</v>
      </c>
      <c r="HW642" s="644">
        <f t="shared" si="1920"/>
        <v>0</v>
      </c>
      <c r="HX642" s="644">
        <f t="shared" si="1920"/>
        <v>0</v>
      </c>
      <c r="HY642" s="644">
        <f t="shared" si="1920"/>
        <v>2396</v>
      </c>
      <c r="HZ642" s="644">
        <f t="shared" si="1920"/>
        <v>3223</v>
      </c>
      <c r="IA642" s="644">
        <f t="shared" si="1920"/>
        <v>830</v>
      </c>
      <c r="IB642" s="644">
        <f t="shared" si="1920"/>
        <v>3061.1796807322103</v>
      </c>
      <c r="IC642" s="644">
        <f t="shared" si="1920"/>
        <v>3140.8870865693057</v>
      </c>
      <c r="ID642" s="644">
        <f t="shared" si="1920"/>
        <v>813.40583718209268</v>
      </c>
      <c r="IE642" s="20">
        <f t="shared" si="1759"/>
        <v>0.43634689397486942</v>
      </c>
      <c r="IF642" s="20">
        <f t="shared" si="1760"/>
        <v>0.44770855274410959</v>
      </c>
      <c r="IG642" s="20">
        <f t="shared" si="1761"/>
        <v>0.11594455328102096</v>
      </c>
      <c r="IH642" s="21"/>
      <c r="II642" s="19"/>
      <c r="IJ642" s="19"/>
      <c r="IK642" s="19"/>
      <c r="IL642" s="19">
        <f t="shared" si="1762"/>
        <v>1165.2998523661158</v>
      </c>
      <c r="IM642" s="19">
        <f t="shared" si="1763"/>
        <v>180.18470940689485</v>
      </c>
      <c r="IN642" s="19">
        <f t="shared" si="1764"/>
        <v>475.78985806660694</v>
      </c>
      <c r="IO642" s="39"/>
      <c r="IP642" s="39"/>
      <c r="IQ642" s="39"/>
      <c r="IR642" s="39"/>
      <c r="IS642" s="39"/>
      <c r="IT642" s="39"/>
      <c r="IU642" s="39"/>
      <c r="IV642" s="39"/>
      <c r="IW642" s="39"/>
      <c r="IX642" s="19">
        <f t="shared" si="1765"/>
        <v>1554.1790484140233</v>
      </c>
      <c r="IY642" s="19">
        <f t="shared" si="1766"/>
        <v>2412.3001201524512</v>
      </c>
      <c r="IZ642" s="19">
        <f t="shared" si="1767"/>
        <v>3993.0862952928574</v>
      </c>
      <c r="JA642" s="19">
        <f t="shared" ref="JA642:JC642" si="1921">IFERROR((JA142*IB142+JA242*IB242+JA342*IB342+JA442*IB442+JA542*IB542)/IB642,0)</f>
        <v>2719.4789007801392</v>
      </c>
      <c r="JB642" s="19">
        <f t="shared" si="1921"/>
        <v>2592.4848295593461</v>
      </c>
      <c r="JC642" s="19">
        <f t="shared" si="1921"/>
        <v>4468.8761533594643</v>
      </c>
      <c r="JD642" s="19">
        <f t="shared" si="1769"/>
        <v>2865.4556519081507</v>
      </c>
      <c r="JE642" s="21"/>
      <c r="JF642" s="1">
        <f t="shared" si="1770"/>
        <v>2.6651855648468406E-2</v>
      </c>
      <c r="JG642" s="15">
        <f t="shared" si="1771"/>
        <v>6449</v>
      </c>
      <c r="JH642" s="1">
        <f t="shared" si="1772"/>
        <v>0.13395319603807021</v>
      </c>
      <c r="JI642" s="1">
        <f t="shared" si="1773"/>
        <v>-4.611436761760062E-2</v>
      </c>
      <c r="JJ642" s="1">
        <f t="shared" si="1774"/>
        <v>0</v>
      </c>
      <c r="JK642" s="1">
        <f t="shared" si="1775"/>
        <v>8.7838828420469597E-2</v>
      </c>
      <c r="JL642" s="15">
        <f t="shared" ref="JL642:JM642" si="1922">JL142+JL242+JL342+JL442+JL542</f>
        <v>566.47260448360839</v>
      </c>
      <c r="JM642" s="15">
        <f t="shared" si="1922"/>
        <v>7015.4726044836088</v>
      </c>
      <c r="JN642" s="21"/>
      <c r="JO642" s="19">
        <f>INDEX(Input!$1:$1048576,JO$93,$C642*2+6)</f>
        <v>5995.5</v>
      </c>
      <c r="JP642" s="19">
        <f>INDEX(Input!$1:$1048576,JP$93,$C642*2+6)</f>
        <v>2296.6050414551746</v>
      </c>
      <c r="JQ642" s="39">
        <f t="shared" si="1799"/>
        <v>3130.0443480918493</v>
      </c>
      <c r="JR642" s="39">
        <f t="shared" si="1800"/>
        <v>568.85061045297607</v>
      </c>
      <c r="JS642" s="39">
        <f t="shared" si="1801"/>
        <v>20.102525625324351</v>
      </c>
      <c r="JT642" s="39">
        <f t="shared" si="1802"/>
        <v>5.2917197129799298</v>
      </c>
      <c r="JU642" s="385">
        <f>(JQ642*JM642-INDEX(Input!$1:$1048576,Input!A$18,$C642*2+6)*JL642*INDEX(Input!$1:$1048576,Input!A$19,$C642*2+6))/1000000</f>
        <v>21.958740374857125</v>
      </c>
      <c r="JV642" s="39">
        <f t="shared" si="1803"/>
        <v>-1.8954332127984514</v>
      </c>
      <c r="JW642" s="1">
        <f t="shared" si="1804"/>
        <v>-7.9459185866716811E-2</v>
      </c>
      <c r="JX642" s="19">
        <f t="shared" si="1805"/>
        <v>9341.5280299456263</v>
      </c>
      <c r="JZ642" s="341"/>
      <c r="KA642" s="60"/>
      <c r="KB642" s="469">
        <f t="shared" si="1778"/>
        <v>0</v>
      </c>
      <c r="KI642" s="472"/>
      <c r="KJ642" s="472"/>
      <c r="KK642" s="472"/>
      <c r="KN642" s="793">
        <f t="shared" si="1779"/>
        <v>6002</v>
      </c>
      <c r="KO642" s="541">
        <f t="shared" si="1780"/>
        <v>6.2903929352351007E-2</v>
      </c>
      <c r="KP642" s="546">
        <f t="shared" si="1781"/>
        <v>478.98846983822881</v>
      </c>
      <c r="KQ642" s="546">
        <f t="shared" si="1782"/>
        <v>402.62239530300576</v>
      </c>
      <c r="KR642" s="472">
        <f t="shared" si="1783"/>
        <v>2.3011266623993687</v>
      </c>
      <c r="KS642" s="472">
        <f t="shared" si="1784"/>
        <v>2.7375852704296793</v>
      </c>
      <c r="KT642" s="473">
        <f t="shared" si="1795"/>
        <v>4286.2445668946921</v>
      </c>
      <c r="KU642" s="663">
        <f t="shared" si="1785"/>
        <v>4.4409659680417333</v>
      </c>
      <c r="KV642" s="117"/>
    </row>
    <row r="643" spans="1:308" s="26" customFormat="1" ht="15">
      <c r="A643" s="561">
        <f t="shared" si="1751"/>
        <v>6043</v>
      </c>
      <c r="B643" s="561">
        <f t="shared" si="1786"/>
        <v>43</v>
      </c>
      <c r="C643" s="561">
        <f t="shared" si="1787"/>
        <v>6</v>
      </c>
      <c r="D643" s="561" t="str">
        <f t="shared" si="1855"/>
        <v xml:space="preserve">0/0/0.9/3.9, 360 Lease, </v>
      </c>
      <c r="E643" s="475">
        <f>INDEX(Input!$1:$1048576,E$93,$C643*2+MIN($B643,2)+5)
+INDEX(Scenarios!E$121:E$199,MATCH($B643,Scenarios!$B$121:$B$199,0))</f>
        <v>1267.2644913000609</v>
      </c>
      <c r="F643" s="475">
        <f>INDEX(Input!$1:$1048576,F$93,$C643*2+MIN($B643,2)+5)
+INDEX(Scenarios!F$121:F$199,MATCH($B643,Scenarios!$B$121:$B$199,0))</f>
        <v>0</v>
      </c>
      <c r="G643" s="475">
        <f>INDEX(Input!$1:$1048576,G$93,$C643*2+MIN($B643,2)+5)
+INDEX(Scenarios!G$121:G$199,MATCH($B643,Scenarios!$B$121:$B$199,0))</f>
        <v>0</v>
      </c>
      <c r="H643" s="475">
        <f>INDEX(Input!$1:$1048576,H$93,$C643*2+MIN($B643,2)+5)
+INDEX(Scenarios!H$121:H$199,MATCH($B643,Scenarios!$B$121:$B$199,0))</f>
        <v>0</v>
      </c>
      <c r="I643" s="476">
        <f>INDEX(Input!$1:$1048576,I$93,$C643*2+MIN($B643,2)+5)
+INDEX(Scenarios!I$121:I$199,MATCH($B643,Scenarios!$B$121:$B$199,0))</f>
        <v>0.7</v>
      </c>
      <c r="J643" s="476" t="str">
        <f>INDEX(Input!$1:$1048576,J$93,$C643*2+MIN($B643,2)+5)</f>
        <v>Market</v>
      </c>
      <c r="K643" s="476" t="str">
        <f>INDEX(Input!$1:$1048576,K$93,$C643*2+MIN($B643,2)+5)</f>
        <v>Market</v>
      </c>
      <c r="L643" s="476" t="str">
        <f>INDEX(Input!$1:$1048576,L$93,$C643*2+MIN($B643,2)+5)</f>
        <v>Market</v>
      </c>
      <c r="M643" s="476" t="str">
        <f>INDEX(Input!$1:$1048576,M$93,$C643*2+MIN($B643,2)+5)</f>
        <v>Market</v>
      </c>
      <c r="N643" s="476" t="str">
        <f>INDEX(Input!$1:$1048576,N$93,$C643*2+MIN($B643,2)+5)</f>
        <v>Market</v>
      </c>
      <c r="O643" s="476" t="str">
        <f>INDEX(Input!$1:$1048576,O$93,$C643*2+MIN($B643,2)+5)</f>
        <v>Market</v>
      </c>
      <c r="P643" s="476" t="str">
        <f>INDEX(Input!$1:$1048576,P$93,$C643*2+MIN($B643,2)+5)</f>
        <v>N</v>
      </c>
      <c r="Q643" s="477">
        <f>INDEX(Input!$1:$1048576,Q$93,$C643*2+MIN($B643,2)+5)
+INDEX(Scenarios!Q$121:Q$199,MATCH($B643,Scenarios!$B$121:$B$199,0))</f>
        <v>0</v>
      </c>
      <c r="R643" s="478">
        <f>IFERROR(MAX(0,INDEX(Input!$1:$1048576,R$93,$C643*2+MIN($B643,2)+5)
+INDEX(Scenarios!R$121:R$199,MATCH($B643,Scenarios!$B$121:$B$199,0)),),"Market")</f>
        <v>0</v>
      </c>
      <c r="S643" s="478">
        <f>IFERROR(MAX(0,INDEX(Input!$1:$1048576,S$93,$C643*2+MIN($B643,2)+5)
+INDEX(Scenarios!S$121:S$199,MATCH($B643,Scenarios!$B$121:$B$199,0)),),"Market")</f>
        <v>0</v>
      </c>
      <c r="T643" s="478">
        <f>IFERROR(MAX(0,INDEX(Input!$1:$1048576,T$93,$C643*2+MIN($B643,2)+5)
+INDEX(Scenarios!T$121:T$199,MATCH($B643,Scenarios!$B$121:$B$199,0)),),"Market")</f>
        <v>0</v>
      </c>
      <c r="U643" s="478">
        <f>IFERROR(MAX(0,INDEX(Input!$1:$1048576,U$93,$C643*2+MIN($B643,2)+5)
+INDEX(Scenarios!U$121:U$199,MATCH($B643,Scenarios!$B$121:$B$199,0)),),"Market")</f>
        <v>0</v>
      </c>
      <c r="V643" s="478">
        <f>IFERROR(MAX(0,INDEX(Input!$1:$1048576,V$93,$C643*2+MIN($B643,2)+5)
+INDEX(Scenarios!V$121:V$199,MATCH($B643,Scenarios!$B$121:$B$199,0)),),"Market")</f>
        <v>8.9999999999999993E-3</v>
      </c>
      <c r="W643" s="885">
        <f>IFERROR(MAX(0,INDEX(Input!$1:$1048576,W$93,$C643*2+MIN($B643,2)+5)-0%,),"Market")</f>
        <v>3.9E-2</v>
      </c>
      <c r="X643" s="476" t="str">
        <f>INDEX(Input!$1:$1048576,X$93,$C643*2+MIN($B643,2)+5)</f>
        <v>Y</v>
      </c>
      <c r="Y643" s="475">
        <f>INDEX(Input!$1:$1048576,Y$93,$C643*2+MIN($B643,2)+5)
++INDEX(Scenarios!Y$121:Y$199,MATCH($B643,Scenarios!$B$121:$B$199,0))</f>
        <v>1097.993676354025</v>
      </c>
      <c r="Z643" s="477">
        <f>INDEX(Input!$1:$1048576,Z$93,$C643*2+MIN($B643,2)+5)
+INDEX(Scenarios!Z$121:Z$199,MATCH($B643,Scenarios!$B$121:$B$199,0))</f>
        <v>0</v>
      </c>
      <c r="AA643" s="475">
        <f>INDEX(Input!$1:$1048576,AA$93,$C643*2+MIN($B643,2)+5)</f>
        <v>0</v>
      </c>
      <c r="AB643" s="476">
        <f>INDEX(Input!$1:$1048576,AB$93,$C643*2+MIN($B643,2)+5)</f>
        <v>0.27</v>
      </c>
      <c r="AC643" s="475">
        <f>INDEX(Input!$1:$1048576,AC$93,$C643*2+MIN($B643,2)+5)
+INDEX(Scenarios!AC$121:AC$199,MATCH($B643,Scenarios!$B$121:$B$199,0))</f>
        <v>0</v>
      </c>
      <c r="AD643" s="476">
        <f>INDEX(Input!$1:$1048576,AD$93,$C643*2+MIN($B643,2)+5)</f>
        <v>0.27</v>
      </c>
      <c r="AE643" s="475">
        <f>INDEX(Input!$1:$1048576,AE$93,$C643*2+MIN($B643,2)+5)
+INDEX(Scenarios!AE$121:AE$199,MATCH($B643,Scenarios!$B$121:$B$199,0))</f>
        <v>0</v>
      </c>
      <c r="AF643" s="476">
        <f>INDEX(Input!$1:$1048576,AF$93,$C643*2+MIN($B643,2)+5)</f>
        <v>1</v>
      </c>
      <c r="AG643" s="475">
        <f>INDEX(Input!$1:$1048576,AG$93,$C643*2+MIN($B643,2)+5)</f>
        <v>500</v>
      </c>
      <c r="AH643" s="476">
        <f>INDEX(Input!$1:$1048576,AH$93,$C643*2+MIN($B643,2)+5)</f>
        <v>1</v>
      </c>
      <c r="AI643" s="475">
        <f>INDEX(Input!$1:$1048576,AI$93,$C643*2+MIN($B643,2)+5)</f>
        <v>0</v>
      </c>
      <c r="AJ643" s="476">
        <f>INDEX(Input!$1:$1048576,AJ$93,$C643*2+MIN($B643,2)+5)</f>
        <v>0.27</v>
      </c>
      <c r="AK643" s="150">
        <f>ROUND(INDEX(Input!$1:$1048576,AK$93,$C642*2+MIN($B643,1)+5)+(Y643-VLOOKUP($C643*1000+1,$A:$HH,Y$92,FALSE)),0)</f>
        <v>3421</v>
      </c>
      <c r="AL643" s="150">
        <f>ROUND(INDEX(Input!$1:$1048576,AL$93,$C642*2+MIN($B643,1)+5)-(Y643-VLOOKUP($C643*1000+1,$A:$HH,Y$92,FALSE))/36,0)</f>
        <v>3542</v>
      </c>
      <c r="AM643" s="32" t="str">
        <f t="shared" si="1752"/>
        <v>std/std/std/std</v>
      </c>
      <c r="AN643" s="32" t="str">
        <f t="shared" si="1753"/>
        <v>$0 + 0/0/0/0.9/3.9</v>
      </c>
      <c r="AO643" s="32" t="str">
        <f t="shared" si="1754"/>
        <v>0/0/0/0.9/3.9</v>
      </c>
      <c r="AP643" s="32" t="str">
        <f t="shared" si="1716"/>
        <v>0/0/0.9/3.9</v>
      </c>
      <c r="AQ643" s="536">
        <f t="shared" si="1892"/>
        <v>0.33336885462593763</v>
      </c>
      <c r="AR643" s="32"/>
      <c r="AS643" s="302"/>
      <c r="AT643" s="3">
        <f t="shared" si="1788"/>
        <v>43</v>
      </c>
      <c r="AU643" s="41" t="s">
        <v>121</v>
      </c>
      <c r="AV643" s="41" t="s">
        <v>116</v>
      </c>
      <c r="AW643" s="41" t="str">
        <f>INDEX(Input!$1:$1048576,AW$93,$C643*2+6)</f>
        <v>Kia</v>
      </c>
      <c r="AX643" s="41" t="str">
        <f>INDEX(Input!$1:$1048576,AX$93,$C643*2+6)</f>
        <v>National</v>
      </c>
      <c r="AY643" s="41" t="str">
        <f>IF(LEN(D643)=0,"",INDEX(Input!$1:$1048576,AY$93,$C643*2+6))</f>
        <v>Compact SUV (52)</v>
      </c>
      <c r="AZ643" s="41" t="str">
        <f>INDEX(Input!$1:$1048576,AZ$93,$C643*2+6)</f>
        <v>Kia Soul</v>
      </c>
      <c r="BA643" s="3">
        <f>INDEX(Input!$1:$1048576,BA$93,$C643*2+6)</f>
        <v>2020</v>
      </c>
      <c r="BB643" s="128">
        <f>INDEX(Input!$1:$1048576,BB$93,$C643*2+6)</f>
        <v>1</v>
      </c>
      <c r="BC643" s="128">
        <f>INDEX(Input!$1:$1048576,BC$93,$C643*2+6)</f>
        <v>0.7</v>
      </c>
      <c r="BD643" s="1">
        <f>INDEX(Input!$1:$1048576,BD$93,$C643*2+6)</f>
        <v>4.4999999999999998E-2</v>
      </c>
      <c r="BE643" s="1">
        <f>INDEX(Input!$1:$1048576,BE$93,$C643*2+6)</f>
        <v>4.4999999999999998E-2</v>
      </c>
      <c r="BF643" s="1">
        <f>INDEX(Input!$1:$1048576,BF$93,$C643*2+6)</f>
        <v>0.05</v>
      </c>
      <c r="BG643" s="1">
        <f>INDEX(Input!$1:$1048576,BG$93,$C643*2+6)</f>
        <v>5.45E-2</v>
      </c>
      <c r="BH643" s="1">
        <f>INDEX(Input!$1:$1048576,BH$93,$C643*2+6)</f>
        <v>5.45E-2</v>
      </c>
      <c r="BI643" s="1">
        <f>INDEX(Input!$1:$1048576,BI$93,$C643*2+6)</f>
        <v>0.05</v>
      </c>
      <c r="BJ643" s="1">
        <f>INDEX(Input!$1:$1048576,BJ$93,$C643*2+6)</f>
        <v>0.05</v>
      </c>
      <c r="BK643" s="1">
        <f>INDEX(Input!$1:$1048576,BK$93,$C643*2+6)</f>
        <v>0.05</v>
      </c>
      <c r="BL643" s="1">
        <f>INDEX(Input!$1:$1048576,BL$93,$C643*2+6)</f>
        <v>5.5E-2</v>
      </c>
      <c r="BM643" s="1">
        <f>INDEX(Input!$1:$1048576,BM$93,$C643*2+6)</f>
        <v>0.06</v>
      </c>
      <c r="BN643" s="1">
        <f>INDEX(Input!$1:$1048576,BN$93,$C643*2+6)</f>
        <v>4.4999999999999998E-2</v>
      </c>
      <c r="BO643" s="1">
        <f>INDEX(Input!$1:$1048576,BO$93,$C643*2+6)</f>
        <v>4.4999999999999998E-2</v>
      </c>
      <c r="BP643" s="1">
        <f>INDEX(Input!$1:$1048576,BP$93,$C643*2+6)</f>
        <v>0.05</v>
      </c>
      <c r="BQ643" s="1">
        <f>INDEX(Input!$1:$1048576,BQ$93,$C643*2+6)</f>
        <v>5.45E-2</v>
      </c>
      <c r="BR643" s="1">
        <f>INDEX(Input!$1:$1048576,BR$93,$C643*2+6)</f>
        <v>5.45E-2</v>
      </c>
      <c r="BS643" s="1">
        <f>INDEX(Input!$1:$1048576,BS$93,$C643*2+6)</f>
        <v>0.05</v>
      </c>
      <c r="BT643" s="1">
        <f>INDEX(Input!$1:$1048576,BT$93,$C643*2+6)</f>
        <v>0.05</v>
      </c>
      <c r="BU643" s="1">
        <f>INDEX(Input!$1:$1048576,BU$93,$C643*2+6)</f>
        <v>0.05</v>
      </c>
      <c r="BV643" s="1">
        <f>INDEX(Input!$1:$1048576,BV$93,$C643*2+6)</f>
        <v>5.5E-2</v>
      </c>
      <c r="BW643" s="1">
        <f>INDEX(Input!$1:$1048576,BW$93,$C643*2+6)</f>
        <v>0.06</v>
      </c>
      <c r="BX643" s="127">
        <f>INDEX(Input!$1:$1048576,BX$93,$C643*2+6)</f>
        <v>19985</v>
      </c>
      <c r="BY643" s="20">
        <f>INDEX(Input!$1:$1048576,BY$93,$C643*2+6)</f>
        <v>0.1</v>
      </c>
      <c r="BZ643" s="20">
        <f>INDEX(Input!$1:$1048576,BZ$93,$C643*2+6)</f>
        <v>0.1</v>
      </c>
      <c r="CA643" s="20">
        <f>INDEX(Input!$1:$1048576,CA$93,$C643*2+6)</f>
        <v>0.1</v>
      </c>
      <c r="CB643" s="20">
        <f>INDEX(Input!$1:$1048576,CB$93,$C643*2+6)</f>
        <v>0.1</v>
      </c>
      <c r="CC643" s="20">
        <f>INDEX(Input!$1:$1048576,CC$93,$C643*2+6)</f>
        <v>0.1</v>
      </c>
      <c r="CD643" s="384">
        <f>INDEX(Input!$1:$1048576,CD$93,$C643*2+6)</f>
        <v>0.1</v>
      </c>
      <c r="CE643" s="384">
        <f>INDEX(Input!$1:$1048576,CE$93,$C643*2+6)</f>
        <v>0.1</v>
      </c>
      <c r="CF643" s="384">
        <f>INDEX(Input!$1:$1048576,CF$93,$C643*2+6)</f>
        <v>0.1</v>
      </c>
      <c r="CG643" s="384">
        <f>INDEX(Input!$1:$1048576,CG$93,$C643*2+6)</f>
        <v>0.1</v>
      </c>
      <c r="CH643" s="384">
        <f>INDEX(Input!$1:$1048576,CH$93,$C643*2+6)</f>
        <v>0.1</v>
      </c>
      <c r="CI643" s="304">
        <f t="shared" si="1718"/>
        <v>1267.2644913000609</v>
      </c>
      <c r="CJ643" s="16" t="str">
        <f>INDEX(Input!$1:$1048576,CJ$93,$C643*2+6)</f>
        <v>N</v>
      </c>
      <c r="CK643" s="1" t="str">
        <f t="shared" si="1719"/>
        <v>Market</v>
      </c>
      <c r="CL643" s="1" t="str">
        <f t="shared" si="1720"/>
        <v>Market</v>
      </c>
      <c r="CM643" s="1" t="str">
        <f t="shared" si="1721"/>
        <v>Market</v>
      </c>
      <c r="CN643" s="1" t="str">
        <f t="shared" si="1722"/>
        <v>Market</v>
      </c>
      <c r="CO643" s="1" t="str">
        <f t="shared" si="1723"/>
        <v>Market</v>
      </c>
      <c r="CP643" s="304">
        <f t="shared" si="1724"/>
        <v>500</v>
      </c>
      <c r="CQ643" s="1">
        <f t="shared" si="1725"/>
        <v>0</v>
      </c>
      <c r="CR643" s="1">
        <f t="shared" si="1726"/>
        <v>0</v>
      </c>
      <c r="CS643" s="1">
        <f t="shared" si="1727"/>
        <v>0</v>
      </c>
      <c r="CT643" s="1">
        <f t="shared" si="1728"/>
        <v>8.9999999999999993E-3</v>
      </c>
      <c r="CU643" s="1">
        <f t="shared" si="1729"/>
        <v>3.9E-2</v>
      </c>
      <c r="CV643" s="304">
        <f t="shared" si="1730"/>
        <v>1097.993676354025</v>
      </c>
      <c r="CW643" s="20" t="s">
        <v>122</v>
      </c>
      <c r="CX643" s="20" t="s">
        <v>122</v>
      </c>
      <c r="CY643" s="20" t="s">
        <v>122</v>
      </c>
      <c r="CZ643" s="20" t="s">
        <v>122</v>
      </c>
      <c r="DA643" s="20" t="s">
        <v>122</v>
      </c>
      <c r="DB643" s="503">
        <f t="shared" si="1731"/>
        <v>0</v>
      </c>
      <c r="DC643" s="127">
        <v>0</v>
      </c>
      <c r="DD643" s="127">
        <v>0</v>
      </c>
      <c r="DE643" s="127">
        <v>0</v>
      </c>
      <c r="DF643" s="127">
        <v>0</v>
      </c>
      <c r="DG643" s="127">
        <v>0</v>
      </c>
      <c r="DH643" s="127">
        <v>0</v>
      </c>
      <c r="DI643" s="127">
        <v>0</v>
      </c>
      <c r="DJ643" s="127">
        <v>0</v>
      </c>
      <c r="DK643" s="127">
        <v>0</v>
      </c>
      <c r="DL643" s="127">
        <v>0</v>
      </c>
      <c r="DM643" s="304">
        <f>INDEX(Input!$1:$1048576,DM$93,$C643*2+6)</f>
        <v>21036.84210526316</v>
      </c>
      <c r="DN643" s="20">
        <v>0</v>
      </c>
      <c r="DO643" s="20">
        <v>0</v>
      </c>
      <c r="DP643" s="20">
        <v>0</v>
      </c>
      <c r="DQ643" s="20">
        <v>0</v>
      </c>
      <c r="DR643" s="20">
        <v>0</v>
      </c>
      <c r="DS643" s="20">
        <f>INDEX(Input!$1:$1048576,DS$93,$C643*2+6)</f>
        <v>0.6</v>
      </c>
      <c r="DT643" s="20">
        <f>INDEX(Input!$1:$1048576,DT$93,$C643*2+6)</f>
        <v>0.55000000000000004</v>
      </c>
      <c r="DU643" s="20">
        <f>INDEX(Input!$1:$1048576,DU$93,$C643*2+6)</f>
        <v>0.52</v>
      </c>
      <c r="DV643" s="20">
        <f>INDEX(Input!$1:$1048576,DV$93,$C643*2+6)</f>
        <v>0.5</v>
      </c>
      <c r="DW643" s="20">
        <f>INDEX(Input!$1:$1048576,DW$93,$C643*2+6)</f>
        <v>0.45</v>
      </c>
      <c r="DX643" s="20"/>
      <c r="DY643" s="7"/>
      <c r="DZ643" s="7"/>
      <c r="EA643" s="7"/>
      <c r="EB643" s="7"/>
      <c r="EC643" s="7"/>
      <c r="ED643" s="7"/>
      <c r="EE643" s="7"/>
      <c r="EF643" s="7"/>
      <c r="EG643" s="7"/>
      <c r="EH643" s="7"/>
      <c r="EI643" s="7"/>
      <c r="EJ643" s="7"/>
      <c r="EK643" s="7"/>
      <c r="EL643" s="7"/>
      <c r="EM643" s="7"/>
      <c r="EN643" s="7"/>
      <c r="EO643" s="7"/>
      <c r="EP643" s="7"/>
      <c r="EQ643" s="7"/>
      <c r="ER643" s="7"/>
      <c r="ES643" s="7"/>
      <c r="ET643" s="7"/>
      <c r="EU643" s="6"/>
      <c r="EV643" s="6"/>
      <c r="EW643" s="6"/>
      <c r="EX643" s="6"/>
      <c r="EY643" s="6"/>
      <c r="EZ643" s="6"/>
      <c r="FA643" s="6"/>
      <c r="FB643" s="6"/>
      <c r="FC643" s="6"/>
      <c r="FD643" s="6"/>
      <c r="FE643" s="6"/>
      <c r="FF643" s="6"/>
      <c r="FG643" s="6"/>
      <c r="FH643" s="6"/>
      <c r="FI643" s="6"/>
      <c r="FJ643" s="6"/>
      <c r="FK643" s="6"/>
      <c r="FL643" s="6"/>
      <c r="FM643" s="6"/>
      <c r="FN643" s="6"/>
      <c r="FO643" s="6"/>
      <c r="FP643" s="6"/>
      <c r="FQ643" s="6"/>
      <c r="FR643" s="6"/>
      <c r="FS643" s="6"/>
      <c r="FT643" s="7"/>
      <c r="FU643" s="7"/>
      <c r="FV643" s="7"/>
      <c r="FW643" s="6"/>
      <c r="FX643" s="6"/>
      <c r="FY643" s="6"/>
      <c r="FZ643" s="6"/>
      <c r="GA643" s="6"/>
      <c r="GB643" s="6"/>
      <c r="GC643" s="7"/>
      <c r="GD643" s="7"/>
      <c r="GE643" s="7"/>
      <c r="GF643" s="7"/>
      <c r="GG643" s="7"/>
      <c r="GH643" s="42"/>
      <c r="GI643" s="6"/>
      <c r="GJ643" s="14"/>
      <c r="GK643" s="14"/>
      <c r="GL643" s="14"/>
      <c r="GM643" s="14"/>
      <c r="GO643" s="5"/>
      <c r="GP643" s="5"/>
      <c r="GQ643" s="5"/>
      <c r="GR643" s="5"/>
      <c r="GS643" s="5"/>
      <c r="GT643" s="5"/>
      <c r="GU643" s="5"/>
      <c r="GV643" s="39"/>
      <c r="GW643" s="5"/>
      <c r="GX643" s="5"/>
      <c r="GY643" s="5"/>
      <c r="GZ643" s="5"/>
      <c r="HA643" s="5"/>
      <c r="HB643" s="39"/>
      <c r="HC643" s="5"/>
      <c r="HD643" s="5"/>
      <c r="HE643" s="5"/>
      <c r="HF643" s="5"/>
      <c r="HG643" s="5"/>
      <c r="HH643" s="39"/>
      <c r="HI643" s="16"/>
      <c r="HJ643" s="19"/>
      <c r="HK643" s="1"/>
      <c r="HL643" s="16"/>
      <c r="HM643" s="639">
        <f t="shared" si="1755"/>
        <v>2.3149872625708352E-2</v>
      </c>
      <c r="HN643" s="639">
        <f t="shared" si="1756"/>
        <v>1.3965040474190958E-3</v>
      </c>
      <c r="HO643" s="639">
        <f t="shared" si="1757"/>
        <v>3.5429561340050734E-3</v>
      </c>
      <c r="HP643" s="644">
        <f t="shared" ref="HP643:ID643" si="1923">HP143+HP243+HP343+HP443+HP543</f>
        <v>-54.893162074982641</v>
      </c>
      <c r="HQ643" s="644">
        <f t="shared" si="1923"/>
        <v>84.1911684618929</v>
      </c>
      <c r="HR643" s="644">
        <f t="shared" si="1923"/>
        <v>161.46866950768177</v>
      </c>
      <c r="HS643" s="644">
        <f t="shared" si="1923"/>
        <v>-61.267965237378441</v>
      </c>
      <c r="HT643" s="644">
        <f t="shared" si="1923"/>
        <v>215.80571431042972</v>
      </c>
      <c r="HU643" s="644">
        <f t="shared" si="1923"/>
        <v>44.483425342405241</v>
      </c>
      <c r="HV643" s="644">
        <f t="shared" si="1923"/>
        <v>0</v>
      </c>
      <c r="HW643" s="644">
        <f t="shared" si="1923"/>
        <v>0</v>
      </c>
      <c r="HX643" s="644">
        <f t="shared" si="1923"/>
        <v>0</v>
      </c>
      <c r="HY643" s="644">
        <f t="shared" si="1923"/>
        <v>2396</v>
      </c>
      <c r="HZ643" s="644">
        <f t="shared" si="1923"/>
        <v>3223</v>
      </c>
      <c r="IA643" s="644">
        <f t="shared" si="1923"/>
        <v>830</v>
      </c>
      <c r="IB643" s="644">
        <f t="shared" si="1923"/>
        <v>2279.8388726876392</v>
      </c>
      <c r="IC643" s="644">
        <f t="shared" si="1923"/>
        <v>3522.9968827723228</v>
      </c>
      <c r="ID643" s="644">
        <f t="shared" si="1923"/>
        <v>1035.952094850087</v>
      </c>
      <c r="IE643" s="20">
        <f t="shared" si="1759"/>
        <v>0.33336885462593763</v>
      </c>
      <c r="IF643" s="20">
        <f t="shared" si="1760"/>
        <v>0.51514931591460333</v>
      </c>
      <c r="IG643" s="20">
        <f t="shared" si="1761"/>
        <v>0.15148182945945898</v>
      </c>
      <c r="IH643" s="21"/>
      <c r="II643" s="19"/>
      <c r="IJ643" s="19"/>
      <c r="IK643" s="19"/>
      <c r="IL643" s="19">
        <f t="shared" si="1762"/>
        <v>182.59015099317367</v>
      </c>
      <c r="IM643" s="19">
        <f t="shared" si="1763"/>
        <v>496.21929809513631</v>
      </c>
      <c r="IN643" s="19">
        <f t="shared" si="1764"/>
        <v>470.41522434100443</v>
      </c>
      <c r="IO643" s="39"/>
      <c r="IP643" s="39"/>
      <c r="IQ643" s="39"/>
      <c r="IR643" s="39"/>
      <c r="IS643" s="39"/>
      <c r="IT643" s="39"/>
      <c r="IU643" s="39"/>
      <c r="IV643" s="39"/>
      <c r="IW643" s="39"/>
      <c r="IX643" s="19">
        <f t="shared" si="1765"/>
        <v>1554.1790484140233</v>
      </c>
      <c r="IY643" s="19">
        <f t="shared" si="1766"/>
        <v>2412.3001201524512</v>
      </c>
      <c r="IZ643" s="19">
        <f t="shared" si="1767"/>
        <v>3993.0862952928574</v>
      </c>
      <c r="JA643" s="19">
        <f t="shared" ref="JA643:JC643" si="1924">IFERROR((JA143*IB143+JA243*IB243+JA343*IB343+JA443*IB443+JA543*IB543)/IB643,0)</f>
        <v>1736.769199407197</v>
      </c>
      <c r="JB643" s="19">
        <f t="shared" si="1924"/>
        <v>2908.5194182475875</v>
      </c>
      <c r="JC643" s="19">
        <f t="shared" si="1924"/>
        <v>4463.5015196338618</v>
      </c>
      <c r="JD643" s="19">
        <f t="shared" si="1769"/>
        <v>2753.4459233797811</v>
      </c>
      <c r="JE643" s="21"/>
      <c r="JF643" s="1">
        <f t="shared" si="1770"/>
        <v>2.6651855648468406E-2</v>
      </c>
      <c r="JG643" s="15">
        <f t="shared" si="1771"/>
        <v>6449</v>
      </c>
      <c r="JH643" s="1">
        <f t="shared" si="1772"/>
        <v>2.9580814993734227E-2</v>
      </c>
      <c r="JI643" s="1">
        <f t="shared" si="1773"/>
        <v>3.0860780650559239E-2</v>
      </c>
      <c r="JJ643" s="1">
        <f t="shared" si="1774"/>
        <v>0</v>
      </c>
      <c r="JK643" s="1">
        <f t="shared" si="1775"/>
        <v>6.0441595644293467E-2</v>
      </c>
      <c r="JL643" s="15">
        <f t="shared" ref="JL643:JM643" si="1925">JL143+JL243+JL343+JL443+JL543</f>
        <v>389.78785031004855</v>
      </c>
      <c r="JM643" s="15">
        <f t="shared" si="1925"/>
        <v>6838.7878503100483</v>
      </c>
      <c r="JN643" s="21"/>
      <c r="JO643" s="19">
        <f>INDEX(Input!$1:$1048576,JO$93,$C643*2+6)</f>
        <v>5995.5</v>
      </c>
      <c r="JP643" s="19">
        <f>INDEX(Input!$1:$1048576,JP$93,$C643*2+6)</f>
        <v>2296.6050414551746</v>
      </c>
      <c r="JQ643" s="39">
        <f t="shared" si="1799"/>
        <v>3242.0540766202189</v>
      </c>
      <c r="JR643" s="39">
        <f t="shared" si="1800"/>
        <v>456.84088192460649</v>
      </c>
      <c r="JS643" s="39">
        <f t="shared" si="1801"/>
        <v>18.830232527295379</v>
      </c>
      <c r="JT643" s="39">
        <f t="shared" si="1802"/>
        <v>4.0194266149509605</v>
      </c>
      <c r="JU643" s="385">
        <f>(JQ643*JM643-INDEX(Input!$1:$1048576,Input!A$18,$C643*2+6)*JL643*INDEX(Input!$1:$1048576,Input!A$19,$C643*2+6))/1000000</f>
        <v>22.171720029238514</v>
      </c>
      <c r="JV643" s="39">
        <f t="shared" si="1803"/>
        <v>-1.6824535584170626</v>
      </c>
      <c r="JW643" s="1">
        <f t="shared" si="1804"/>
        <v>-7.0530783732022664E-2</v>
      </c>
      <c r="JX643" s="19">
        <f t="shared" si="1805"/>
        <v>10311.831453324654</v>
      </c>
      <c r="JZ643" s="341"/>
      <c r="KA643" s="60"/>
      <c r="KB643" s="469">
        <f t="shared" si="1778"/>
        <v>0</v>
      </c>
      <c r="KI643" s="472"/>
      <c r="KJ643" s="472"/>
      <c r="KK643" s="472"/>
      <c r="KN643" s="793">
        <f t="shared" si="1779"/>
        <v>6002</v>
      </c>
      <c r="KO643" s="541">
        <f t="shared" si="1780"/>
        <v>3.613468228156802E-2</v>
      </c>
      <c r="KP643" s="546">
        <f t="shared" si="1781"/>
        <v>225.68464322307554</v>
      </c>
      <c r="KQ643" s="546">
        <f t="shared" si="1782"/>
        <v>290.61266677463618</v>
      </c>
      <c r="KR643" s="472">
        <f t="shared" si="1783"/>
        <v>2.8054985005399429</v>
      </c>
      <c r="KS643" s="472">
        <f t="shared" si="1784"/>
        <v>2.1787003821420856</v>
      </c>
      <c r="KT643" s="473">
        <f t="shared" si="1795"/>
        <v>4286.2445668946921</v>
      </c>
      <c r="KU643" s="663">
        <f t="shared" si="1785"/>
        <v>4.3224311966941764</v>
      </c>
      <c r="KV643" s="117"/>
    </row>
    <row r="644" spans="1:308" s="26" customFormat="1" ht="15">
      <c r="A644" s="561">
        <f t="shared" si="1751"/>
        <v>6044</v>
      </c>
      <c r="B644" s="561">
        <f t="shared" si="1786"/>
        <v>44</v>
      </c>
      <c r="C644" s="561">
        <f t="shared" si="1787"/>
        <v>6</v>
      </c>
      <c r="D644" s="561" t="str">
        <f t="shared" si="1855"/>
        <v xml:space="preserve">0/0/0/3.9, 360 Lease, </v>
      </c>
      <c r="E644" s="475">
        <f>INDEX(Input!$1:$1048576,E$93,$C644*2+MIN($B644,2)+5)
+INDEX(Scenarios!E$121:E$199,MATCH($B644,Scenarios!$B$121:$B$199,0))</f>
        <v>1267.2644913000609</v>
      </c>
      <c r="F644" s="475">
        <f>INDEX(Input!$1:$1048576,F$93,$C644*2+MIN($B644,2)+5)
+INDEX(Scenarios!F$121:F$199,MATCH($B644,Scenarios!$B$121:$B$199,0))</f>
        <v>0</v>
      </c>
      <c r="G644" s="475">
        <f>INDEX(Input!$1:$1048576,G$93,$C644*2+MIN($B644,2)+5)
+INDEX(Scenarios!G$121:G$199,MATCH($B644,Scenarios!$B$121:$B$199,0))</f>
        <v>0</v>
      </c>
      <c r="H644" s="475">
        <f>INDEX(Input!$1:$1048576,H$93,$C644*2+MIN($B644,2)+5)
+INDEX(Scenarios!H$121:H$199,MATCH($B644,Scenarios!$B$121:$B$199,0))</f>
        <v>0</v>
      </c>
      <c r="I644" s="476">
        <f>INDEX(Input!$1:$1048576,I$93,$C644*2+MIN($B644,2)+5)
+INDEX(Scenarios!I$121:I$199,MATCH($B644,Scenarios!$B$121:$B$199,0))</f>
        <v>0.7</v>
      </c>
      <c r="J644" s="476" t="str">
        <f>INDEX(Input!$1:$1048576,J$93,$C644*2+MIN($B644,2)+5)</f>
        <v>Market</v>
      </c>
      <c r="K644" s="476" t="str">
        <f>INDEX(Input!$1:$1048576,K$93,$C644*2+MIN($B644,2)+5)</f>
        <v>Market</v>
      </c>
      <c r="L644" s="476" t="str">
        <f>INDEX(Input!$1:$1048576,L$93,$C644*2+MIN($B644,2)+5)</f>
        <v>Market</v>
      </c>
      <c r="M644" s="476" t="str">
        <f>INDEX(Input!$1:$1048576,M$93,$C644*2+MIN($B644,2)+5)</f>
        <v>Market</v>
      </c>
      <c r="N644" s="476" t="str">
        <f>INDEX(Input!$1:$1048576,N$93,$C644*2+MIN($B644,2)+5)</f>
        <v>Market</v>
      </c>
      <c r="O644" s="476" t="str">
        <f>INDEX(Input!$1:$1048576,O$93,$C644*2+MIN($B644,2)+5)</f>
        <v>Market</v>
      </c>
      <c r="P644" s="476" t="str">
        <f>INDEX(Input!$1:$1048576,P$93,$C644*2+MIN($B644,2)+5)</f>
        <v>N</v>
      </c>
      <c r="Q644" s="477">
        <f>INDEX(Input!$1:$1048576,Q$93,$C644*2+MIN($B644,2)+5)
+INDEX(Scenarios!Q$121:Q$199,MATCH($B644,Scenarios!$B$121:$B$199,0))</f>
        <v>0</v>
      </c>
      <c r="R644" s="478">
        <f>IFERROR(MAX(0,INDEX(Input!$1:$1048576,R$93,$C644*2+MIN($B644,2)+5)
+INDEX(Scenarios!R$121:R$199,MATCH($B644,Scenarios!$B$121:$B$199,0)),),"Market")</f>
        <v>0</v>
      </c>
      <c r="S644" s="478">
        <f>IFERROR(MAX(0,INDEX(Input!$1:$1048576,S$93,$C644*2+MIN($B644,2)+5)
+INDEX(Scenarios!S$121:S$199,MATCH($B644,Scenarios!$B$121:$B$199,0)),),"Market")</f>
        <v>0</v>
      </c>
      <c r="T644" s="478">
        <f>IFERROR(MAX(0,INDEX(Input!$1:$1048576,T$93,$C644*2+MIN($B644,2)+5)
+INDEX(Scenarios!T$121:T$199,MATCH($B644,Scenarios!$B$121:$B$199,0)),),"Market")</f>
        <v>0</v>
      </c>
      <c r="U644" s="478">
        <f>IFERROR(MAX(0,INDEX(Input!$1:$1048576,U$93,$C644*2+MIN($B644,2)+5)
+INDEX(Scenarios!U$121:U$199,MATCH($B644,Scenarios!$B$121:$B$199,0)),),"Market")</f>
        <v>0</v>
      </c>
      <c r="V644" s="478">
        <f>IFERROR(MAX(0,INDEX(Input!$1:$1048576,V$93,$C644*2+MIN($B644,2)+5)
+INDEX(Scenarios!V$121:V$199,MATCH($B644,Scenarios!$B$121:$B$199,0)),),"Market")</f>
        <v>0</v>
      </c>
      <c r="W644" s="885">
        <f>IFERROR(MAX(0,INDEX(Input!$1:$1048576,W$93,$C644*2+MIN($B644,2)+5)-0%,),"Market")</f>
        <v>3.9E-2</v>
      </c>
      <c r="X644" s="476" t="str">
        <f>INDEX(Input!$1:$1048576,X$93,$C644*2+MIN($B644,2)+5)</f>
        <v>Y</v>
      </c>
      <c r="Y644" s="475">
        <f>INDEX(Input!$1:$1048576,Y$93,$C644*2+MIN($B644,2)+5)
++INDEX(Scenarios!Y$121:Y$199,MATCH($B644,Scenarios!$B$121:$B$199,0))</f>
        <v>1097.993676354025</v>
      </c>
      <c r="Z644" s="477">
        <f>INDEX(Input!$1:$1048576,Z$93,$C644*2+MIN($B644,2)+5)
+INDEX(Scenarios!Z$121:Z$199,MATCH($B644,Scenarios!$B$121:$B$199,0))</f>
        <v>0</v>
      </c>
      <c r="AA644" s="475">
        <f>INDEX(Input!$1:$1048576,AA$93,$C644*2+MIN($B644,2)+5)</f>
        <v>0</v>
      </c>
      <c r="AB644" s="476">
        <f>INDEX(Input!$1:$1048576,AB$93,$C644*2+MIN($B644,2)+5)</f>
        <v>0.27</v>
      </c>
      <c r="AC644" s="475">
        <f>INDEX(Input!$1:$1048576,AC$93,$C644*2+MIN($B644,2)+5)
+INDEX(Scenarios!AC$121:AC$199,MATCH($B644,Scenarios!$B$121:$B$199,0))</f>
        <v>0</v>
      </c>
      <c r="AD644" s="476">
        <f>INDEX(Input!$1:$1048576,AD$93,$C644*2+MIN($B644,2)+5)</f>
        <v>0.27</v>
      </c>
      <c r="AE644" s="475">
        <f>INDEX(Input!$1:$1048576,AE$93,$C644*2+MIN($B644,2)+5)
+INDEX(Scenarios!AE$121:AE$199,MATCH($B644,Scenarios!$B$121:$B$199,0))</f>
        <v>0</v>
      </c>
      <c r="AF644" s="476">
        <f>INDEX(Input!$1:$1048576,AF$93,$C644*2+MIN($B644,2)+5)</f>
        <v>1</v>
      </c>
      <c r="AG644" s="475">
        <f>INDEX(Input!$1:$1048576,AG$93,$C644*2+MIN($B644,2)+5)</f>
        <v>500</v>
      </c>
      <c r="AH644" s="476">
        <f>INDEX(Input!$1:$1048576,AH$93,$C644*2+MIN($B644,2)+5)</f>
        <v>1</v>
      </c>
      <c r="AI644" s="475">
        <f>INDEX(Input!$1:$1048576,AI$93,$C644*2+MIN($B644,2)+5)</f>
        <v>0</v>
      </c>
      <c r="AJ644" s="476">
        <f>INDEX(Input!$1:$1048576,AJ$93,$C644*2+MIN($B644,2)+5)</f>
        <v>0.27</v>
      </c>
      <c r="AK644" s="150">
        <f>ROUND(INDEX(Input!$1:$1048576,AK$93,$C643*2+MIN($B644,1)+5)+(Y644-VLOOKUP($C644*1000+1,$A:$HH,Y$92,FALSE)),0)</f>
        <v>3421</v>
      </c>
      <c r="AL644" s="150">
        <f>ROUND(INDEX(Input!$1:$1048576,AL$93,$C643*2+MIN($B644,1)+5)-(Y644-VLOOKUP($C644*1000+1,$A:$HH,Y$92,FALSE))/36,0)</f>
        <v>3542</v>
      </c>
      <c r="AM644" s="32" t="str">
        <f t="shared" si="1752"/>
        <v>std/std/std/std</v>
      </c>
      <c r="AN644" s="32" t="str">
        <f t="shared" si="1753"/>
        <v>$0 + 0/0/0/0/3.9</v>
      </c>
      <c r="AO644" s="32" t="str">
        <f t="shared" si="1754"/>
        <v>0/0/0/0/3.9</v>
      </c>
      <c r="AP644" s="32" t="str">
        <f t="shared" si="1716"/>
        <v>0/0/0/3.9</v>
      </c>
      <c r="AQ644" s="536">
        <f t="shared" si="1892"/>
        <v>0.31438822806297345</v>
      </c>
      <c r="AR644" s="32"/>
      <c r="AS644" s="302"/>
      <c r="AT644" s="3">
        <f t="shared" si="1788"/>
        <v>44</v>
      </c>
      <c r="AU644" s="41" t="s">
        <v>121</v>
      </c>
      <c r="AV644" s="41" t="s">
        <v>116</v>
      </c>
      <c r="AW644" s="41" t="str">
        <f>INDEX(Input!$1:$1048576,AW$93,$C644*2+6)</f>
        <v>Kia</v>
      </c>
      <c r="AX644" s="41" t="str">
        <f>INDEX(Input!$1:$1048576,AX$93,$C644*2+6)</f>
        <v>National</v>
      </c>
      <c r="AY644" s="41" t="str">
        <f>IF(LEN(D644)=0,"",INDEX(Input!$1:$1048576,AY$93,$C644*2+6))</f>
        <v>Compact SUV (52)</v>
      </c>
      <c r="AZ644" s="41" t="str">
        <f>INDEX(Input!$1:$1048576,AZ$93,$C644*2+6)</f>
        <v>Kia Soul</v>
      </c>
      <c r="BA644" s="3">
        <f>INDEX(Input!$1:$1048576,BA$93,$C644*2+6)</f>
        <v>2020</v>
      </c>
      <c r="BB644" s="128">
        <f>INDEX(Input!$1:$1048576,BB$93,$C644*2+6)</f>
        <v>1</v>
      </c>
      <c r="BC644" s="128">
        <f>INDEX(Input!$1:$1048576,BC$93,$C644*2+6)</f>
        <v>0.7</v>
      </c>
      <c r="BD644" s="1">
        <f>INDEX(Input!$1:$1048576,BD$93,$C644*2+6)</f>
        <v>4.4999999999999998E-2</v>
      </c>
      <c r="BE644" s="1">
        <f>INDEX(Input!$1:$1048576,BE$93,$C644*2+6)</f>
        <v>4.4999999999999998E-2</v>
      </c>
      <c r="BF644" s="1">
        <f>INDEX(Input!$1:$1048576,BF$93,$C644*2+6)</f>
        <v>0.05</v>
      </c>
      <c r="BG644" s="1">
        <f>INDEX(Input!$1:$1048576,BG$93,$C644*2+6)</f>
        <v>5.45E-2</v>
      </c>
      <c r="BH644" s="1">
        <f>INDEX(Input!$1:$1048576,BH$93,$C644*2+6)</f>
        <v>5.45E-2</v>
      </c>
      <c r="BI644" s="1">
        <f>INDEX(Input!$1:$1048576,BI$93,$C644*2+6)</f>
        <v>0.05</v>
      </c>
      <c r="BJ644" s="1">
        <f>INDEX(Input!$1:$1048576,BJ$93,$C644*2+6)</f>
        <v>0.05</v>
      </c>
      <c r="BK644" s="1">
        <f>INDEX(Input!$1:$1048576,BK$93,$C644*2+6)</f>
        <v>0.05</v>
      </c>
      <c r="BL644" s="1">
        <f>INDEX(Input!$1:$1048576,BL$93,$C644*2+6)</f>
        <v>5.5E-2</v>
      </c>
      <c r="BM644" s="1">
        <f>INDEX(Input!$1:$1048576,BM$93,$C644*2+6)</f>
        <v>0.06</v>
      </c>
      <c r="BN644" s="1">
        <f>INDEX(Input!$1:$1048576,BN$93,$C644*2+6)</f>
        <v>4.4999999999999998E-2</v>
      </c>
      <c r="BO644" s="1">
        <f>INDEX(Input!$1:$1048576,BO$93,$C644*2+6)</f>
        <v>4.4999999999999998E-2</v>
      </c>
      <c r="BP644" s="1">
        <f>INDEX(Input!$1:$1048576,BP$93,$C644*2+6)</f>
        <v>0.05</v>
      </c>
      <c r="BQ644" s="1">
        <f>INDEX(Input!$1:$1048576,BQ$93,$C644*2+6)</f>
        <v>5.45E-2</v>
      </c>
      <c r="BR644" s="1">
        <f>INDEX(Input!$1:$1048576,BR$93,$C644*2+6)</f>
        <v>5.45E-2</v>
      </c>
      <c r="BS644" s="1">
        <f>INDEX(Input!$1:$1048576,BS$93,$C644*2+6)</f>
        <v>0.05</v>
      </c>
      <c r="BT644" s="1">
        <f>INDEX(Input!$1:$1048576,BT$93,$C644*2+6)</f>
        <v>0.05</v>
      </c>
      <c r="BU644" s="1">
        <f>INDEX(Input!$1:$1048576,BU$93,$C644*2+6)</f>
        <v>0.05</v>
      </c>
      <c r="BV644" s="1">
        <f>INDEX(Input!$1:$1048576,BV$93,$C644*2+6)</f>
        <v>5.5E-2</v>
      </c>
      <c r="BW644" s="1">
        <f>INDEX(Input!$1:$1048576,BW$93,$C644*2+6)</f>
        <v>0.06</v>
      </c>
      <c r="BX644" s="127">
        <f>INDEX(Input!$1:$1048576,BX$93,$C644*2+6)</f>
        <v>19985</v>
      </c>
      <c r="BY644" s="20">
        <f>INDEX(Input!$1:$1048576,BY$93,$C644*2+6)</f>
        <v>0.1</v>
      </c>
      <c r="BZ644" s="20">
        <f>INDEX(Input!$1:$1048576,BZ$93,$C644*2+6)</f>
        <v>0.1</v>
      </c>
      <c r="CA644" s="20">
        <f>INDEX(Input!$1:$1048576,CA$93,$C644*2+6)</f>
        <v>0.1</v>
      </c>
      <c r="CB644" s="20">
        <f>INDEX(Input!$1:$1048576,CB$93,$C644*2+6)</f>
        <v>0.1</v>
      </c>
      <c r="CC644" s="20">
        <f>INDEX(Input!$1:$1048576,CC$93,$C644*2+6)</f>
        <v>0.1</v>
      </c>
      <c r="CD644" s="384">
        <f>INDEX(Input!$1:$1048576,CD$93,$C644*2+6)</f>
        <v>0.1</v>
      </c>
      <c r="CE644" s="384">
        <f>INDEX(Input!$1:$1048576,CE$93,$C644*2+6)</f>
        <v>0.1</v>
      </c>
      <c r="CF644" s="384">
        <f>INDEX(Input!$1:$1048576,CF$93,$C644*2+6)</f>
        <v>0.1</v>
      </c>
      <c r="CG644" s="384">
        <f>INDEX(Input!$1:$1048576,CG$93,$C644*2+6)</f>
        <v>0.1</v>
      </c>
      <c r="CH644" s="384">
        <f>INDEX(Input!$1:$1048576,CH$93,$C644*2+6)</f>
        <v>0.1</v>
      </c>
      <c r="CI644" s="304">
        <f t="shared" si="1718"/>
        <v>1267.2644913000609</v>
      </c>
      <c r="CJ644" s="16" t="str">
        <f>INDEX(Input!$1:$1048576,CJ$93,$C644*2+6)</f>
        <v>N</v>
      </c>
      <c r="CK644" s="1" t="str">
        <f t="shared" si="1719"/>
        <v>Market</v>
      </c>
      <c r="CL644" s="1" t="str">
        <f t="shared" si="1720"/>
        <v>Market</v>
      </c>
      <c r="CM644" s="1" t="str">
        <f t="shared" si="1721"/>
        <v>Market</v>
      </c>
      <c r="CN644" s="1" t="str">
        <f t="shared" si="1722"/>
        <v>Market</v>
      </c>
      <c r="CO644" s="1" t="str">
        <f t="shared" si="1723"/>
        <v>Market</v>
      </c>
      <c r="CP644" s="304">
        <f t="shared" si="1724"/>
        <v>500</v>
      </c>
      <c r="CQ644" s="1">
        <f t="shared" si="1725"/>
        <v>0</v>
      </c>
      <c r="CR644" s="1">
        <f t="shared" si="1726"/>
        <v>0</v>
      </c>
      <c r="CS644" s="1">
        <f t="shared" si="1727"/>
        <v>0</v>
      </c>
      <c r="CT644" s="1">
        <f t="shared" si="1728"/>
        <v>0</v>
      </c>
      <c r="CU644" s="1">
        <f t="shared" si="1729"/>
        <v>3.9E-2</v>
      </c>
      <c r="CV644" s="304">
        <f t="shared" si="1730"/>
        <v>1097.993676354025</v>
      </c>
      <c r="CW644" s="20" t="s">
        <v>122</v>
      </c>
      <c r="CX644" s="20" t="s">
        <v>122</v>
      </c>
      <c r="CY644" s="20" t="s">
        <v>122</v>
      </c>
      <c r="CZ644" s="20" t="s">
        <v>122</v>
      </c>
      <c r="DA644" s="20" t="s">
        <v>122</v>
      </c>
      <c r="DB644" s="503">
        <f t="shared" si="1731"/>
        <v>0</v>
      </c>
      <c r="DC644" s="127">
        <v>0</v>
      </c>
      <c r="DD644" s="127">
        <v>0</v>
      </c>
      <c r="DE644" s="127">
        <v>0</v>
      </c>
      <c r="DF644" s="127">
        <v>0</v>
      </c>
      <c r="DG644" s="127">
        <v>0</v>
      </c>
      <c r="DH644" s="127">
        <v>0</v>
      </c>
      <c r="DI644" s="127">
        <v>0</v>
      </c>
      <c r="DJ644" s="127">
        <v>0</v>
      </c>
      <c r="DK644" s="127">
        <v>0</v>
      </c>
      <c r="DL644" s="127">
        <v>0</v>
      </c>
      <c r="DM644" s="304">
        <f>INDEX(Input!$1:$1048576,DM$93,$C644*2+6)</f>
        <v>21036.84210526316</v>
      </c>
      <c r="DN644" s="20">
        <v>0</v>
      </c>
      <c r="DO644" s="20">
        <v>0</v>
      </c>
      <c r="DP644" s="20">
        <v>0</v>
      </c>
      <c r="DQ644" s="20">
        <v>0</v>
      </c>
      <c r="DR644" s="20">
        <v>0</v>
      </c>
      <c r="DS644" s="20">
        <f>INDEX(Input!$1:$1048576,DS$93,$C644*2+6)</f>
        <v>0.6</v>
      </c>
      <c r="DT644" s="20">
        <f>INDEX(Input!$1:$1048576,DT$93,$C644*2+6)</f>
        <v>0.55000000000000004</v>
      </c>
      <c r="DU644" s="20">
        <f>INDEX(Input!$1:$1048576,DU$93,$C644*2+6)</f>
        <v>0.52</v>
      </c>
      <c r="DV644" s="20">
        <f>INDEX(Input!$1:$1048576,DV$93,$C644*2+6)</f>
        <v>0.5</v>
      </c>
      <c r="DW644" s="20">
        <f>INDEX(Input!$1:$1048576,DW$93,$C644*2+6)</f>
        <v>0.45</v>
      </c>
      <c r="DX644" s="20"/>
      <c r="DY644" s="7"/>
      <c r="DZ644" s="7"/>
      <c r="EA644" s="7"/>
      <c r="EB644" s="7"/>
      <c r="EC644" s="7"/>
      <c r="ED644" s="7"/>
      <c r="EE644" s="7"/>
      <c r="EF644" s="7"/>
      <c r="EG644" s="7"/>
      <c r="EH644" s="7"/>
      <c r="EI644" s="7"/>
      <c r="EJ644" s="7"/>
      <c r="EK644" s="7"/>
      <c r="EL644" s="7"/>
      <c r="EM644" s="7"/>
      <c r="EN644" s="7"/>
      <c r="EO644" s="7"/>
      <c r="EP644" s="7"/>
      <c r="EQ644" s="7"/>
      <c r="ER644" s="7"/>
      <c r="ES644" s="7"/>
      <c r="ET644" s="7"/>
      <c r="EU644" s="6"/>
      <c r="EV644" s="6"/>
      <c r="EW644" s="6"/>
      <c r="EX644" s="6"/>
      <c r="EY644" s="6"/>
      <c r="EZ644" s="6"/>
      <c r="FA644" s="6"/>
      <c r="FB644" s="6"/>
      <c r="FC644" s="6"/>
      <c r="FD644" s="6"/>
      <c r="FE644" s="6"/>
      <c r="FF644" s="6"/>
      <c r="FG644" s="6"/>
      <c r="FH644" s="6"/>
      <c r="FI644" s="6"/>
      <c r="FJ644" s="6"/>
      <c r="FK644" s="6"/>
      <c r="FL644" s="6"/>
      <c r="FM644" s="6"/>
      <c r="FN644" s="6"/>
      <c r="FO644" s="6"/>
      <c r="FP644" s="6"/>
      <c r="FQ644" s="6"/>
      <c r="FR644" s="6"/>
      <c r="FS644" s="6"/>
      <c r="FT644" s="7"/>
      <c r="FU644" s="7"/>
      <c r="FV644" s="7"/>
      <c r="FW644" s="6"/>
      <c r="FX644" s="6"/>
      <c r="FY644" s="6"/>
      <c r="FZ644" s="6"/>
      <c r="GA644" s="6"/>
      <c r="GB644" s="6"/>
      <c r="GC644" s="7"/>
      <c r="GD644" s="7"/>
      <c r="GE644" s="7"/>
      <c r="GF644" s="7"/>
      <c r="GG644" s="7"/>
      <c r="GH644" s="42"/>
      <c r="GI644" s="6"/>
      <c r="GJ644" s="14"/>
      <c r="GK644" s="14"/>
      <c r="GL644" s="14"/>
      <c r="GM644" s="14"/>
      <c r="GO644" s="5"/>
      <c r="GP644" s="5"/>
      <c r="GQ644" s="5"/>
      <c r="GR644" s="5"/>
      <c r="GS644" s="5"/>
      <c r="GT644" s="5"/>
      <c r="GU644" s="5"/>
      <c r="GV644" s="39"/>
      <c r="GW644" s="5"/>
      <c r="GX644" s="5"/>
      <c r="GY644" s="5"/>
      <c r="GZ644" s="5"/>
      <c r="HA644" s="5"/>
      <c r="HB644" s="39"/>
      <c r="HC644" s="5"/>
      <c r="HD644" s="5"/>
      <c r="HE644" s="5"/>
      <c r="HF644" s="5"/>
      <c r="HG644" s="5"/>
      <c r="HH644" s="39"/>
      <c r="HI644" s="16"/>
      <c r="HJ644" s="19"/>
      <c r="HK644" s="1"/>
      <c r="HL644" s="16"/>
      <c r="HM644" s="639">
        <f t="shared" si="1755"/>
        <v>2.3149872625708352E-2</v>
      </c>
      <c r="HN644" s="639">
        <f t="shared" si="1756"/>
        <v>1.3965040474190958E-3</v>
      </c>
      <c r="HO644" s="639">
        <f t="shared" si="1757"/>
        <v>3.5429561340050734E-3</v>
      </c>
      <c r="HP644" s="644">
        <f t="shared" ref="HP644:ID644" si="1926">HP144+HP244+HP344+HP444+HP544</f>
        <v>-125.15696878213724</v>
      </c>
      <c r="HQ644" s="644">
        <f t="shared" si="1926"/>
        <v>194.19555568754052</v>
      </c>
      <c r="HR644" s="644">
        <f t="shared" si="1926"/>
        <v>147.7650957580064</v>
      </c>
      <c r="HS644" s="644">
        <f t="shared" si="1926"/>
        <v>-62.565680760176676</v>
      </c>
      <c r="HT644" s="644">
        <f t="shared" si="1926"/>
        <v>375.02677670968882</v>
      </c>
      <c r="HU644" s="644">
        <f t="shared" si="1926"/>
        <v>45.781140865203461</v>
      </c>
      <c r="HV644" s="644">
        <f t="shared" si="1926"/>
        <v>0</v>
      </c>
      <c r="HW644" s="644">
        <f t="shared" si="1926"/>
        <v>0</v>
      </c>
      <c r="HX644" s="644">
        <f t="shared" si="1926"/>
        <v>0</v>
      </c>
      <c r="HY644" s="644">
        <f t="shared" si="1926"/>
        <v>2396</v>
      </c>
      <c r="HZ644" s="644">
        <f t="shared" si="1926"/>
        <v>3223</v>
      </c>
      <c r="IA644" s="644">
        <f t="shared" si="1926"/>
        <v>830</v>
      </c>
      <c r="IB644" s="644">
        <f t="shared" si="1926"/>
        <v>2208.2773504576867</v>
      </c>
      <c r="IC644" s="644">
        <f t="shared" si="1926"/>
        <v>3792.2223323972294</v>
      </c>
      <c r="ID644" s="644">
        <f t="shared" si="1926"/>
        <v>1023.5462366232099</v>
      </c>
      <c r="IE644" s="20">
        <f t="shared" si="1759"/>
        <v>0.31438822806297345</v>
      </c>
      <c r="IF644" s="20">
        <f t="shared" si="1760"/>
        <v>0.53989144943958245</v>
      </c>
      <c r="IG644" s="20">
        <f t="shared" si="1761"/>
        <v>0.14572032249744427</v>
      </c>
      <c r="IH644" s="21"/>
      <c r="II644" s="19"/>
      <c r="IJ644" s="19"/>
      <c r="IK644" s="19"/>
      <c r="IL644" s="19">
        <f t="shared" si="1762"/>
        <v>184.07568447248309</v>
      </c>
      <c r="IM644" s="19">
        <f t="shared" si="1763"/>
        <v>846.46298972526347</v>
      </c>
      <c r="IN644" s="19">
        <f t="shared" si="1764"/>
        <v>471.03531488233784</v>
      </c>
      <c r="IO644" s="39"/>
      <c r="IP644" s="39"/>
      <c r="IQ644" s="39"/>
      <c r="IR644" s="39"/>
      <c r="IS644" s="39"/>
      <c r="IT644" s="39"/>
      <c r="IU644" s="39"/>
      <c r="IV644" s="39"/>
      <c r="IW644" s="39"/>
      <c r="IX644" s="19">
        <f t="shared" si="1765"/>
        <v>1554.1790484140233</v>
      </c>
      <c r="IY644" s="19">
        <f t="shared" si="1766"/>
        <v>2412.3001201524512</v>
      </c>
      <c r="IZ644" s="19">
        <f t="shared" si="1767"/>
        <v>3993.0862952928574</v>
      </c>
      <c r="JA644" s="19">
        <f t="shared" ref="JA644:JC644" si="1927">IFERROR((JA144*IB144+JA244*IB244+JA344*IB344+JA444*IB444+JA544*IB544)/IB644,0)</f>
        <v>1738.2547328865064</v>
      </c>
      <c r="JB644" s="19">
        <f t="shared" si="1927"/>
        <v>3258.7631098777147</v>
      </c>
      <c r="JC644" s="19">
        <f t="shared" si="1927"/>
        <v>4464.1216101751952</v>
      </c>
      <c r="JD644" s="19">
        <f t="shared" si="1769"/>
        <v>2956.3784048689267</v>
      </c>
      <c r="JE644" s="21"/>
      <c r="JF644" s="1">
        <f t="shared" si="1770"/>
        <v>2.6651855648468406E-2</v>
      </c>
      <c r="JG644" s="15">
        <f t="shared" si="1771"/>
        <v>6449</v>
      </c>
      <c r="JH644" s="1">
        <f t="shared" si="1772"/>
        <v>3.3618186178230688E-2</v>
      </c>
      <c r="JI644" s="1">
        <f t="shared" si="1773"/>
        <v>5.5550044474293001E-2</v>
      </c>
      <c r="JJ644" s="1">
        <f t="shared" si="1774"/>
        <v>0</v>
      </c>
      <c r="JK644" s="1">
        <f t="shared" si="1775"/>
        <v>8.9168230652523689E-2</v>
      </c>
      <c r="JL644" s="15">
        <f t="shared" ref="JL644:JM644" si="1928">JL144+JL244+JL344+JL444+JL544</f>
        <v>575.04591947812526</v>
      </c>
      <c r="JM644" s="15">
        <f t="shared" si="1928"/>
        <v>7024.0459194781261</v>
      </c>
      <c r="JN644" s="21"/>
      <c r="JO644" s="19">
        <f>INDEX(Input!$1:$1048576,JO$93,$C644*2+6)</f>
        <v>5995.5</v>
      </c>
      <c r="JP644" s="19">
        <f>INDEX(Input!$1:$1048576,JP$93,$C644*2+6)</f>
        <v>2296.6050414551746</v>
      </c>
      <c r="JQ644" s="39">
        <f t="shared" si="1799"/>
        <v>3039.1215951310733</v>
      </c>
      <c r="JR644" s="39">
        <f t="shared" si="1800"/>
        <v>659.77336341375212</v>
      </c>
      <c r="JS644" s="39">
        <f t="shared" si="1801"/>
        <v>20.765737671152838</v>
      </c>
      <c r="JT644" s="39">
        <f t="shared" si="1802"/>
        <v>5.9549317588084172</v>
      </c>
      <c r="JU644" s="385">
        <f>(JQ644*JM644-INDEX(Input!$1:$1048576,Input!A$18,$C644*2+6)*JL644*INDEX(Input!$1:$1048576,Input!A$19,$C644*2+6))/1000000</f>
        <v>21.346929639078265</v>
      </c>
      <c r="JV644" s="39">
        <f t="shared" si="1803"/>
        <v>-2.5072439485773117</v>
      </c>
      <c r="JW644" s="1">
        <f t="shared" si="1804"/>
        <v>-0.10510713940116537</v>
      </c>
      <c r="JX644" s="19">
        <f t="shared" si="1805"/>
        <v>10355.576062886823</v>
      </c>
      <c r="JZ644" s="341"/>
      <c r="KA644" s="60"/>
      <c r="KB644" s="469">
        <f t="shared" si="1778"/>
        <v>0</v>
      </c>
      <c r="KI644" s="472"/>
      <c r="KJ644" s="472"/>
      <c r="KK644" s="472"/>
      <c r="KN644" s="793">
        <f t="shared" si="1779"/>
        <v>6002</v>
      </c>
      <c r="KO644" s="541">
        <f t="shared" si="1780"/>
        <v>6.4202859689478142E-2</v>
      </c>
      <c r="KP644" s="546">
        <f t="shared" si="1781"/>
        <v>420.91584615710985</v>
      </c>
      <c r="KQ644" s="546">
        <f t="shared" si="1782"/>
        <v>493.54514826378181</v>
      </c>
      <c r="KR644" s="472">
        <f t="shared" si="1783"/>
        <v>2.6726796416733514</v>
      </c>
      <c r="KS644" s="472">
        <f t="shared" si="1784"/>
        <v>2.2793724481727922</v>
      </c>
      <c r="KT644" s="473">
        <f t="shared" si="1795"/>
        <v>4286.2445668946921</v>
      </c>
      <c r="KU644" s="663">
        <f t="shared" si="1785"/>
        <v>4.317909572805549</v>
      </c>
      <c r="KV644" s="117"/>
    </row>
    <row r="645" spans="1:308" s="26" customFormat="1" ht="15">
      <c r="A645" s="561">
        <f t="shared" si="1751"/>
        <v>6045</v>
      </c>
      <c r="B645" s="561">
        <f t="shared" si="1786"/>
        <v>45</v>
      </c>
      <c r="C645" s="561">
        <f t="shared" si="1787"/>
        <v>6</v>
      </c>
      <c r="D645" s="561" t="str">
        <f t="shared" si="1855"/>
        <v xml:space="preserve">0/0/0/3.9, 360 Lease, </v>
      </c>
      <c r="E645" s="475">
        <f>INDEX(Input!$1:$1048576,E$93,$C645*2+MIN($B645,2)+5)
+INDEX(Scenarios!E$121:E$199,MATCH($B645,Scenarios!$B$121:$B$199,0))</f>
        <v>1267.2644913000609</v>
      </c>
      <c r="F645" s="475">
        <f>INDEX(Input!$1:$1048576,F$93,$C645*2+MIN($B645,2)+5)
+INDEX(Scenarios!F$121:F$199,MATCH($B645,Scenarios!$B$121:$B$199,0))</f>
        <v>0</v>
      </c>
      <c r="G645" s="475">
        <f>INDEX(Input!$1:$1048576,G$93,$C645*2+MIN($B645,2)+5)
+INDEX(Scenarios!G$121:G$199,MATCH($B645,Scenarios!$B$121:$B$199,0))</f>
        <v>0</v>
      </c>
      <c r="H645" s="475">
        <f>INDEX(Input!$1:$1048576,H$93,$C645*2+MIN($B645,2)+5)
+INDEX(Scenarios!H$121:H$199,MATCH($B645,Scenarios!$B$121:$B$199,0))</f>
        <v>0</v>
      </c>
      <c r="I645" s="476">
        <f>INDEX(Input!$1:$1048576,I$93,$C645*2+MIN($B645,2)+5)
+INDEX(Scenarios!I$121:I$199,MATCH($B645,Scenarios!$B$121:$B$199,0))</f>
        <v>0.7</v>
      </c>
      <c r="J645" s="476" t="str">
        <f>INDEX(Input!$1:$1048576,J$93,$C645*2+MIN($B645,2)+5)</f>
        <v>Market</v>
      </c>
      <c r="K645" s="476" t="str">
        <f>INDEX(Input!$1:$1048576,K$93,$C645*2+MIN($B645,2)+5)</f>
        <v>Market</v>
      </c>
      <c r="L645" s="476" t="str">
        <f>INDEX(Input!$1:$1048576,L$93,$C645*2+MIN($B645,2)+5)</f>
        <v>Market</v>
      </c>
      <c r="M645" s="476" t="str">
        <f>INDEX(Input!$1:$1048576,M$93,$C645*2+MIN($B645,2)+5)</f>
        <v>Market</v>
      </c>
      <c r="N645" s="476" t="str">
        <f>INDEX(Input!$1:$1048576,N$93,$C645*2+MIN($B645,2)+5)</f>
        <v>Market</v>
      </c>
      <c r="O645" s="476" t="str">
        <f>INDEX(Input!$1:$1048576,O$93,$C645*2+MIN($B645,2)+5)</f>
        <v>Market</v>
      </c>
      <c r="P645" s="476" t="str">
        <f>INDEX(Input!$1:$1048576,P$93,$C645*2+MIN($B645,2)+5)</f>
        <v>N</v>
      </c>
      <c r="Q645" s="477">
        <f>INDEX(Input!$1:$1048576,Q$93,$C645*2+MIN($B645,2)+5)
+INDEX(Scenarios!Q$121:Q$199,MATCH($B645,Scenarios!$B$121:$B$199,0))</f>
        <v>0</v>
      </c>
      <c r="R645" s="478">
        <f>IFERROR(MAX(0,INDEX(Input!$1:$1048576,R$93,$C645*2+MIN($B645,2)+5)
+INDEX(Scenarios!R$121:R$199,MATCH($B645,Scenarios!$B$121:$B$199,0)),),"Market")</f>
        <v>0</v>
      </c>
      <c r="S645" s="478">
        <f>IFERROR(MAX(0,INDEX(Input!$1:$1048576,S$93,$C645*2+MIN($B645,2)+5)
+INDEX(Scenarios!S$121:S$199,MATCH($B645,Scenarios!$B$121:$B$199,0)),),"Market")</f>
        <v>0</v>
      </c>
      <c r="T645" s="478">
        <f>IFERROR(MAX(0,INDEX(Input!$1:$1048576,T$93,$C645*2+MIN($B645,2)+5)
+INDEX(Scenarios!T$121:T$199,MATCH($B645,Scenarios!$B$121:$B$199,0)),),"Market")</f>
        <v>0</v>
      </c>
      <c r="U645" s="478">
        <f>IFERROR(MAX(0,INDEX(Input!$1:$1048576,U$93,$C645*2+MIN($B645,2)+5)
+INDEX(Scenarios!U$121:U$199,MATCH($B645,Scenarios!$B$121:$B$199,0)),),"Market")</f>
        <v>0</v>
      </c>
      <c r="V645" s="478">
        <f>IFERROR(MAX(0,INDEX(Input!$1:$1048576,V$93,$C645*2+MIN($B645,2)+5)
+INDEX(Scenarios!V$121:V$199,MATCH($B645,Scenarios!$B$121:$B$199,0)),),"Market")</f>
        <v>0</v>
      </c>
      <c r="W645" s="885">
        <f>IFERROR(MAX(0,INDEX(Input!$1:$1048576,W$93,$C645*2+MIN($B645,2)+5)-0%,),"Market")</f>
        <v>3.9E-2</v>
      </c>
      <c r="X645" s="476" t="str">
        <f>INDEX(Input!$1:$1048576,X$93,$C645*2+MIN($B645,2)+5)</f>
        <v>Y</v>
      </c>
      <c r="Y645" s="475">
        <f>INDEX(Input!$1:$1048576,Y$93,$C645*2+MIN($B645,2)+5)
++INDEX(Scenarios!Y$121:Y$199,MATCH($B645,Scenarios!$B$121:$B$199,0))</f>
        <v>1097.993676354025</v>
      </c>
      <c r="Z645" s="477">
        <f>INDEX(Input!$1:$1048576,Z$93,$C645*2+MIN($B645,2)+5)
+INDEX(Scenarios!Z$121:Z$199,MATCH($B645,Scenarios!$B$121:$B$199,0))</f>
        <v>0</v>
      </c>
      <c r="AA645" s="475">
        <f>INDEX(Input!$1:$1048576,AA$93,$C645*2+MIN($B645,2)+5)</f>
        <v>0</v>
      </c>
      <c r="AB645" s="476">
        <f>INDEX(Input!$1:$1048576,AB$93,$C645*2+MIN($B645,2)+5)</f>
        <v>0.27</v>
      </c>
      <c r="AC645" s="475">
        <f>INDEX(Input!$1:$1048576,AC$93,$C645*2+MIN($B645,2)+5)
+INDEX(Scenarios!AC$121:AC$199,MATCH($B645,Scenarios!$B$121:$B$199,0))</f>
        <v>0</v>
      </c>
      <c r="AD645" s="476">
        <f>INDEX(Input!$1:$1048576,AD$93,$C645*2+MIN($B645,2)+5)</f>
        <v>0.27</v>
      </c>
      <c r="AE645" s="475">
        <f>INDEX(Input!$1:$1048576,AE$93,$C645*2+MIN($B645,2)+5)
+INDEX(Scenarios!AE$121:AE$199,MATCH($B645,Scenarios!$B$121:$B$199,0))</f>
        <v>0</v>
      </c>
      <c r="AF645" s="476">
        <f>INDEX(Input!$1:$1048576,AF$93,$C645*2+MIN($B645,2)+5)</f>
        <v>1</v>
      </c>
      <c r="AG645" s="475">
        <f>INDEX(Input!$1:$1048576,AG$93,$C645*2+MIN($B645,2)+5)</f>
        <v>500</v>
      </c>
      <c r="AH645" s="476">
        <f>INDEX(Input!$1:$1048576,AH$93,$C645*2+MIN($B645,2)+5)</f>
        <v>1</v>
      </c>
      <c r="AI645" s="475">
        <f>INDEX(Input!$1:$1048576,AI$93,$C645*2+MIN($B645,2)+5)</f>
        <v>0</v>
      </c>
      <c r="AJ645" s="476">
        <f>INDEX(Input!$1:$1048576,AJ$93,$C645*2+MIN($B645,2)+5)</f>
        <v>0.27</v>
      </c>
      <c r="AK645" s="150">
        <f>ROUND(INDEX(Input!$1:$1048576,AK$93,$C644*2+MIN($B645,1)+5)+(Y645-VLOOKUP($C645*1000+1,$A:$HH,Y$92,FALSE)),0)</f>
        <v>3421</v>
      </c>
      <c r="AL645" s="150">
        <f>ROUND(INDEX(Input!$1:$1048576,AL$93,$C644*2+MIN($B645,1)+5)-(Y645-VLOOKUP($C645*1000+1,$A:$HH,Y$92,FALSE))/36,0)</f>
        <v>3542</v>
      </c>
      <c r="AM645" s="32" t="str">
        <f t="shared" si="1752"/>
        <v>std/std/std/std</v>
      </c>
      <c r="AN645" s="32" t="str">
        <f t="shared" si="1753"/>
        <v>$0 + 0/0/0/0/3.9</v>
      </c>
      <c r="AO645" s="32" t="str">
        <f t="shared" si="1754"/>
        <v>0/0/0/0/3.9</v>
      </c>
      <c r="AP645" s="32" t="str">
        <f t="shared" si="1716"/>
        <v>0/0/0/3.9</v>
      </c>
      <c r="AQ645" s="536">
        <f t="shared" si="1892"/>
        <v>0.31438822806297345</v>
      </c>
      <c r="AR645" s="32"/>
      <c r="AS645" s="302"/>
      <c r="AT645" s="3">
        <f t="shared" si="1788"/>
        <v>45</v>
      </c>
      <c r="AU645" s="41" t="s">
        <v>121</v>
      </c>
      <c r="AV645" s="41" t="s">
        <v>116</v>
      </c>
      <c r="AW645" s="41" t="str">
        <f>INDEX(Input!$1:$1048576,AW$93,$C645*2+6)</f>
        <v>Kia</v>
      </c>
      <c r="AX645" s="41" t="str">
        <f>INDEX(Input!$1:$1048576,AX$93,$C645*2+6)</f>
        <v>National</v>
      </c>
      <c r="AY645" s="41" t="str">
        <f>IF(LEN(D645)=0,"",INDEX(Input!$1:$1048576,AY$93,$C645*2+6))</f>
        <v>Compact SUV (52)</v>
      </c>
      <c r="AZ645" s="41" t="str">
        <f>INDEX(Input!$1:$1048576,AZ$93,$C645*2+6)</f>
        <v>Kia Soul</v>
      </c>
      <c r="BA645" s="3">
        <f>INDEX(Input!$1:$1048576,BA$93,$C645*2+6)</f>
        <v>2020</v>
      </c>
      <c r="BB645" s="128">
        <f>INDEX(Input!$1:$1048576,BB$93,$C645*2+6)</f>
        <v>1</v>
      </c>
      <c r="BC645" s="128">
        <f>INDEX(Input!$1:$1048576,BC$93,$C645*2+6)</f>
        <v>0.7</v>
      </c>
      <c r="BD645" s="1">
        <f>INDEX(Input!$1:$1048576,BD$93,$C645*2+6)</f>
        <v>4.4999999999999998E-2</v>
      </c>
      <c r="BE645" s="1">
        <f>INDEX(Input!$1:$1048576,BE$93,$C645*2+6)</f>
        <v>4.4999999999999998E-2</v>
      </c>
      <c r="BF645" s="1">
        <f>INDEX(Input!$1:$1048576,BF$93,$C645*2+6)</f>
        <v>0.05</v>
      </c>
      <c r="BG645" s="1">
        <f>INDEX(Input!$1:$1048576,BG$93,$C645*2+6)</f>
        <v>5.45E-2</v>
      </c>
      <c r="BH645" s="1">
        <f>INDEX(Input!$1:$1048576,BH$93,$C645*2+6)</f>
        <v>5.45E-2</v>
      </c>
      <c r="BI645" s="1">
        <f>INDEX(Input!$1:$1048576,BI$93,$C645*2+6)</f>
        <v>0.05</v>
      </c>
      <c r="BJ645" s="1">
        <f>INDEX(Input!$1:$1048576,BJ$93,$C645*2+6)</f>
        <v>0.05</v>
      </c>
      <c r="BK645" s="1">
        <f>INDEX(Input!$1:$1048576,BK$93,$C645*2+6)</f>
        <v>0.05</v>
      </c>
      <c r="BL645" s="1">
        <f>INDEX(Input!$1:$1048576,BL$93,$C645*2+6)</f>
        <v>5.5E-2</v>
      </c>
      <c r="BM645" s="1">
        <f>INDEX(Input!$1:$1048576,BM$93,$C645*2+6)</f>
        <v>0.06</v>
      </c>
      <c r="BN645" s="1">
        <f>INDEX(Input!$1:$1048576,BN$93,$C645*2+6)</f>
        <v>4.4999999999999998E-2</v>
      </c>
      <c r="BO645" s="1">
        <f>INDEX(Input!$1:$1048576,BO$93,$C645*2+6)</f>
        <v>4.4999999999999998E-2</v>
      </c>
      <c r="BP645" s="1">
        <f>INDEX(Input!$1:$1048576,BP$93,$C645*2+6)</f>
        <v>0.05</v>
      </c>
      <c r="BQ645" s="1">
        <f>INDEX(Input!$1:$1048576,BQ$93,$C645*2+6)</f>
        <v>5.45E-2</v>
      </c>
      <c r="BR645" s="1">
        <f>INDEX(Input!$1:$1048576,BR$93,$C645*2+6)</f>
        <v>5.45E-2</v>
      </c>
      <c r="BS645" s="1">
        <f>INDEX(Input!$1:$1048576,BS$93,$C645*2+6)</f>
        <v>0.05</v>
      </c>
      <c r="BT645" s="1">
        <f>INDEX(Input!$1:$1048576,BT$93,$C645*2+6)</f>
        <v>0.05</v>
      </c>
      <c r="BU645" s="1">
        <f>INDEX(Input!$1:$1048576,BU$93,$C645*2+6)</f>
        <v>0.05</v>
      </c>
      <c r="BV645" s="1">
        <f>INDEX(Input!$1:$1048576,BV$93,$C645*2+6)</f>
        <v>5.5E-2</v>
      </c>
      <c r="BW645" s="1">
        <f>INDEX(Input!$1:$1048576,BW$93,$C645*2+6)</f>
        <v>0.06</v>
      </c>
      <c r="BX645" s="127">
        <f>INDEX(Input!$1:$1048576,BX$93,$C645*2+6)</f>
        <v>19985</v>
      </c>
      <c r="BY645" s="20">
        <f>INDEX(Input!$1:$1048576,BY$93,$C645*2+6)</f>
        <v>0.1</v>
      </c>
      <c r="BZ645" s="20">
        <f>INDEX(Input!$1:$1048576,BZ$93,$C645*2+6)</f>
        <v>0.1</v>
      </c>
      <c r="CA645" s="20">
        <f>INDEX(Input!$1:$1048576,CA$93,$C645*2+6)</f>
        <v>0.1</v>
      </c>
      <c r="CB645" s="20">
        <f>INDEX(Input!$1:$1048576,CB$93,$C645*2+6)</f>
        <v>0.1</v>
      </c>
      <c r="CC645" s="20">
        <f>INDEX(Input!$1:$1048576,CC$93,$C645*2+6)</f>
        <v>0.1</v>
      </c>
      <c r="CD645" s="384">
        <f>INDEX(Input!$1:$1048576,CD$93,$C645*2+6)</f>
        <v>0.1</v>
      </c>
      <c r="CE645" s="384">
        <f>INDEX(Input!$1:$1048576,CE$93,$C645*2+6)</f>
        <v>0.1</v>
      </c>
      <c r="CF645" s="384">
        <f>INDEX(Input!$1:$1048576,CF$93,$C645*2+6)</f>
        <v>0.1</v>
      </c>
      <c r="CG645" s="384">
        <f>INDEX(Input!$1:$1048576,CG$93,$C645*2+6)</f>
        <v>0.1</v>
      </c>
      <c r="CH645" s="384">
        <f>INDEX(Input!$1:$1048576,CH$93,$C645*2+6)</f>
        <v>0.1</v>
      </c>
      <c r="CI645" s="304">
        <f t="shared" si="1718"/>
        <v>1267.2644913000609</v>
      </c>
      <c r="CJ645" s="16" t="str">
        <f>INDEX(Input!$1:$1048576,CJ$93,$C645*2+6)</f>
        <v>N</v>
      </c>
      <c r="CK645" s="1" t="str">
        <f t="shared" si="1719"/>
        <v>Market</v>
      </c>
      <c r="CL645" s="1" t="str">
        <f t="shared" si="1720"/>
        <v>Market</v>
      </c>
      <c r="CM645" s="1" t="str">
        <f t="shared" si="1721"/>
        <v>Market</v>
      </c>
      <c r="CN645" s="1" t="str">
        <f t="shared" si="1722"/>
        <v>Market</v>
      </c>
      <c r="CO645" s="1" t="str">
        <f t="shared" si="1723"/>
        <v>Market</v>
      </c>
      <c r="CP645" s="304">
        <f t="shared" si="1724"/>
        <v>500</v>
      </c>
      <c r="CQ645" s="1">
        <f t="shared" si="1725"/>
        <v>0</v>
      </c>
      <c r="CR645" s="1">
        <f t="shared" si="1726"/>
        <v>0</v>
      </c>
      <c r="CS645" s="1">
        <f t="shared" si="1727"/>
        <v>0</v>
      </c>
      <c r="CT645" s="1">
        <f t="shared" si="1728"/>
        <v>0</v>
      </c>
      <c r="CU645" s="1">
        <f t="shared" si="1729"/>
        <v>3.9E-2</v>
      </c>
      <c r="CV645" s="304">
        <f t="shared" si="1730"/>
        <v>1097.993676354025</v>
      </c>
      <c r="CW645" s="20" t="s">
        <v>122</v>
      </c>
      <c r="CX645" s="20" t="s">
        <v>122</v>
      </c>
      <c r="CY645" s="20" t="s">
        <v>122</v>
      </c>
      <c r="CZ645" s="20" t="s">
        <v>122</v>
      </c>
      <c r="DA645" s="20" t="s">
        <v>122</v>
      </c>
      <c r="DB645" s="503">
        <f t="shared" si="1731"/>
        <v>0</v>
      </c>
      <c r="DC645" s="127">
        <v>0</v>
      </c>
      <c r="DD645" s="127">
        <v>0</v>
      </c>
      <c r="DE645" s="127">
        <v>0</v>
      </c>
      <c r="DF645" s="127">
        <v>0</v>
      </c>
      <c r="DG645" s="127">
        <v>0</v>
      </c>
      <c r="DH645" s="127">
        <v>0</v>
      </c>
      <c r="DI645" s="127">
        <v>0</v>
      </c>
      <c r="DJ645" s="127">
        <v>0</v>
      </c>
      <c r="DK645" s="127">
        <v>0</v>
      </c>
      <c r="DL645" s="127">
        <v>0</v>
      </c>
      <c r="DM645" s="304">
        <f>INDEX(Input!$1:$1048576,DM$93,$C645*2+6)</f>
        <v>21036.84210526316</v>
      </c>
      <c r="DN645" s="20">
        <v>0</v>
      </c>
      <c r="DO645" s="20">
        <v>0</v>
      </c>
      <c r="DP645" s="20">
        <v>0</v>
      </c>
      <c r="DQ645" s="20">
        <v>0</v>
      </c>
      <c r="DR645" s="20">
        <v>0</v>
      </c>
      <c r="DS645" s="20">
        <f>INDEX(Input!$1:$1048576,DS$93,$C645*2+6)</f>
        <v>0.6</v>
      </c>
      <c r="DT645" s="20">
        <f>INDEX(Input!$1:$1048576,DT$93,$C645*2+6)</f>
        <v>0.55000000000000004</v>
      </c>
      <c r="DU645" s="20">
        <f>INDEX(Input!$1:$1048576,DU$93,$C645*2+6)</f>
        <v>0.52</v>
      </c>
      <c r="DV645" s="20">
        <f>INDEX(Input!$1:$1048576,DV$93,$C645*2+6)</f>
        <v>0.5</v>
      </c>
      <c r="DW645" s="20">
        <f>INDEX(Input!$1:$1048576,DW$93,$C645*2+6)</f>
        <v>0.45</v>
      </c>
      <c r="DX645" s="20"/>
      <c r="DY645" s="7"/>
      <c r="DZ645" s="7"/>
      <c r="EA645" s="7"/>
      <c r="EB645" s="7"/>
      <c r="EC645" s="7"/>
      <c r="ED645" s="7"/>
      <c r="EE645" s="7"/>
      <c r="EF645" s="7"/>
      <c r="EG645" s="7"/>
      <c r="EH645" s="7"/>
      <c r="EI645" s="7"/>
      <c r="EJ645" s="7"/>
      <c r="EK645" s="7"/>
      <c r="EL645" s="7"/>
      <c r="EM645" s="7"/>
      <c r="EN645" s="7"/>
      <c r="EO645" s="7"/>
      <c r="EP645" s="7"/>
      <c r="EQ645" s="7"/>
      <c r="ER645" s="7"/>
      <c r="ES645" s="7"/>
      <c r="ET645" s="7"/>
      <c r="EU645" s="6"/>
      <c r="EV645" s="6"/>
      <c r="EW645" s="6"/>
      <c r="EX645" s="6"/>
      <c r="EY645" s="6"/>
      <c r="EZ645" s="6"/>
      <c r="FA645" s="6"/>
      <c r="FB645" s="6"/>
      <c r="FC645" s="6"/>
      <c r="FD645" s="6"/>
      <c r="FE645" s="6"/>
      <c r="FF645" s="6"/>
      <c r="FG645" s="6"/>
      <c r="FH645" s="6"/>
      <c r="FI645" s="6"/>
      <c r="FJ645" s="6"/>
      <c r="FK645" s="6"/>
      <c r="FL645" s="6"/>
      <c r="FM645" s="6"/>
      <c r="FN645" s="6"/>
      <c r="FO645" s="6"/>
      <c r="FP645" s="6"/>
      <c r="FQ645" s="6"/>
      <c r="FR645" s="6"/>
      <c r="FS645" s="6"/>
      <c r="FT645" s="7"/>
      <c r="FU645" s="7"/>
      <c r="FV645" s="7"/>
      <c r="FW645" s="6"/>
      <c r="FX645" s="6"/>
      <c r="FY645" s="6"/>
      <c r="FZ645" s="6"/>
      <c r="GA645" s="6"/>
      <c r="GB645" s="6"/>
      <c r="GC645" s="7"/>
      <c r="GD645" s="7"/>
      <c r="GE645" s="7"/>
      <c r="GF645" s="7"/>
      <c r="GG645" s="7"/>
      <c r="GH645" s="42"/>
      <c r="GI645" s="6"/>
      <c r="GJ645" s="14"/>
      <c r="GK645" s="14"/>
      <c r="GL645" s="14"/>
      <c r="GM645" s="14"/>
      <c r="GO645" s="5"/>
      <c r="GP645" s="5"/>
      <c r="GQ645" s="5"/>
      <c r="GR645" s="5"/>
      <c r="GS645" s="5"/>
      <c r="GT645" s="5"/>
      <c r="GU645" s="5"/>
      <c r="GV645" s="39"/>
      <c r="GW645" s="5"/>
      <c r="GX645" s="5"/>
      <c r="GY645" s="5"/>
      <c r="GZ645" s="5"/>
      <c r="HA645" s="5"/>
      <c r="HB645" s="39"/>
      <c r="HC645" s="5"/>
      <c r="HD645" s="5"/>
      <c r="HE645" s="5"/>
      <c r="HF645" s="5"/>
      <c r="HG645" s="5"/>
      <c r="HH645" s="39"/>
      <c r="HI645" s="16"/>
      <c r="HJ645" s="19"/>
      <c r="HK645" s="1"/>
      <c r="HL645" s="16"/>
      <c r="HM645" s="639">
        <f t="shared" si="1755"/>
        <v>2.3149872625708352E-2</v>
      </c>
      <c r="HN645" s="639">
        <f t="shared" si="1756"/>
        <v>1.3965040474190958E-3</v>
      </c>
      <c r="HO645" s="639">
        <f t="shared" si="1757"/>
        <v>3.5429561340050734E-3</v>
      </c>
      <c r="HP645" s="644">
        <f t="shared" ref="HP645:ID645" si="1929">HP145+HP245+HP345+HP445+HP545</f>
        <v>-125.15696878213724</v>
      </c>
      <c r="HQ645" s="644">
        <f t="shared" si="1929"/>
        <v>194.19555568754052</v>
      </c>
      <c r="HR645" s="644">
        <f t="shared" si="1929"/>
        <v>147.7650957580064</v>
      </c>
      <c r="HS645" s="644">
        <f t="shared" si="1929"/>
        <v>-62.565680760176676</v>
      </c>
      <c r="HT645" s="644">
        <f t="shared" si="1929"/>
        <v>375.02677670968882</v>
      </c>
      <c r="HU645" s="644">
        <f t="shared" si="1929"/>
        <v>45.781140865203461</v>
      </c>
      <c r="HV645" s="644">
        <f t="shared" si="1929"/>
        <v>0</v>
      </c>
      <c r="HW645" s="644">
        <f t="shared" si="1929"/>
        <v>0</v>
      </c>
      <c r="HX645" s="644">
        <f t="shared" si="1929"/>
        <v>0</v>
      </c>
      <c r="HY645" s="644">
        <f t="shared" si="1929"/>
        <v>2396</v>
      </c>
      <c r="HZ645" s="644">
        <f t="shared" si="1929"/>
        <v>3223</v>
      </c>
      <c r="IA645" s="644">
        <f t="shared" si="1929"/>
        <v>830</v>
      </c>
      <c r="IB645" s="644">
        <f t="shared" si="1929"/>
        <v>2208.2773504576867</v>
      </c>
      <c r="IC645" s="644">
        <f t="shared" si="1929"/>
        <v>3792.2223323972294</v>
      </c>
      <c r="ID645" s="644">
        <f t="shared" si="1929"/>
        <v>1023.5462366232099</v>
      </c>
      <c r="IE645" s="20">
        <f t="shared" si="1759"/>
        <v>0.31438822806297345</v>
      </c>
      <c r="IF645" s="20">
        <f t="shared" si="1760"/>
        <v>0.53989144943958245</v>
      </c>
      <c r="IG645" s="20">
        <f t="shared" si="1761"/>
        <v>0.14572032249744427</v>
      </c>
      <c r="IH645" s="21"/>
      <c r="II645" s="19"/>
      <c r="IJ645" s="19"/>
      <c r="IK645" s="19"/>
      <c r="IL645" s="19">
        <f t="shared" si="1762"/>
        <v>184.07568447248309</v>
      </c>
      <c r="IM645" s="19">
        <f t="shared" si="1763"/>
        <v>846.46298972526347</v>
      </c>
      <c r="IN645" s="19">
        <f t="shared" si="1764"/>
        <v>471.03531488233784</v>
      </c>
      <c r="IO645" s="39"/>
      <c r="IP645" s="39"/>
      <c r="IQ645" s="39"/>
      <c r="IR645" s="39"/>
      <c r="IS645" s="39"/>
      <c r="IT645" s="39"/>
      <c r="IU645" s="39"/>
      <c r="IV645" s="39"/>
      <c r="IW645" s="39"/>
      <c r="IX645" s="19">
        <f t="shared" si="1765"/>
        <v>1554.1790484140233</v>
      </c>
      <c r="IY645" s="19">
        <f t="shared" si="1766"/>
        <v>2412.3001201524512</v>
      </c>
      <c r="IZ645" s="19">
        <f t="shared" si="1767"/>
        <v>3993.0862952928574</v>
      </c>
      <c r="JA645" s="19">
        <f t="shared" ref="JA645:JC645" si="1930">IFERROR((JA145*IB145+JA245*IB245+JA345*IB345+JA445*IB445+JA545*IB545)/IB645,0)</f>
        <v>1738.2547328865064</v>
      </c>
      <c r="JB645" s="19">
        <f t="shared" si="1930"/>
        <v>3258.7631098777147</v>
      </c>
      <c r="JC645" s="19">
        <f t="shared" si="1930"/>
        <v>4464.1216101751952</v>
      </c>
      <c r="JD645" s="19">
        <f t="shared" si="1769"/>
        <v>2956.3784048689267</v>
      </c>
      <c r="JE645" s="21"/>
      <c r="JF645" s="1">
        <f t="shared" si="1770"/>
        <v>2.6651855648468406E-2</v>
      </c>
      <c r="JG645" s="15">
        <f t="shared" si="1771"/>
        <v>6449</v>
      </c>
      <c r="JH645" s="1">
        <f t="shared" si="1772"/>
        <v>3.3618186178230688E-2</v>
      </c>
      <c r="JI645" s="1">
        <f t="shared" si="1773"/>
        <v>5.5550044474293001E-2</v>
      </c>
      <c r="JJ645" s="1">
        <f t="shared" si="1774"/>
        <v>0</v>
      </c>
      <c r="JK645" s="1">
        <f t="shared" si="1775"/>
        <v>8.9168230652523689E-2</v>
      </c>
      <c r="JL645" s="15">
        <f t="shared" ref="JL645:JM645" si="1931">JL145+JL245+JL345+JL445+JL545</f>
        <v>575.04591947812526</v>
      </c>
      <c r="JM645" s="15">
        <f t="shared" si="1931"/>
        <v>7024.0459194781261</v>
      </c>
      <c r="JN645" s="21"/>
      <c r="JO645" s="19">
        <f>INDEX(Input!$1:$1048576,JO$93,$C645*2+6)</f>
        <v>5995.5</v>
      </c>
      <c r="JP645" s="19">
        <f>INDEX(Input!$1:$1048576,JP$93,$C645*2+6)</f>
        <v>2296.6050414551746</v>
      </c>
      <c r="JQ645" s="39">
        <f t="shared" si="1799"/>
        <v>3039.1215951310733</v>
      </c>
      <c r="JR645" s="39">
        <f t="shared" si="1800"/>
        <v>659.77336341375212</v>
      </c>
      <c r="JS645" s="39">
        <f t="shared" si="1801"/>
        <v>20.765737671152838</v>
      </c>
      <c r="JT645" s="39">
        <f t="shared" si="1802"/>
        <v>5.9549317588084172</v>
      </c>
      <c r="JU645" s="385">
        <f>(JQ645*JM645-INDEX(Input!$1:$1048576,Input!A$18,$C645*2+6)*JL645*INDEX(Input!$1:$1048576,Input!A$19,$C645*2+6))/1000000</f>
        <v>21.346929639078265</v>
      </c>
      <c r="JV645" s="39">
        <f t="shared" si="1803"/>
        <v>-2.5072439485773117</v>
      </c>
      <c r="JW645" s="1">
        <f t="shared" si="1804"/>
        <v>-0.10510713940116537</v>
      </c>
      <c r="JX645" s="19">
        <f t="shared" si="1805"/>
        <v>10355.576062886823</v>
      </c>
      <c r="JZ645" s="341"/>
      <c r="KA645" s="60"/>
      <c r="KB645" s="469">
        <f t="shared" si="1778"/>
        <v>0</v>
      </c>
      <c r="KI645" s="472"/>
      <c r="KJ645" s="472"/>
      <c r="KK645" s="472"/>
      <c r="KN645" s="793">
        <f t="shared" si="1779"/>
        <v>6002</v>
      </c>
      <c r="KO645" s="541">
        <f t="shared" si="1780"/>
        <v>6.4202859689478142E-2</v>
      </c>
      <c r="KP645" s="546">
        <f t="shared" si="1781"/>
        <v>420.91584615710985</v>
      </c>
      <c r="KQ645" s="546">
        <f t="shared" si="1782"/>
        <v>493.54514826378181</v>
      </c>
      <c r="KR645" s="472">
        <f t="shared" si="1783"/>
        <v>2.6726796416733514</v>
      </c>
      <c r="KS645" s="472">
        <f t="shared" si="1784"/>
        <v>2.2793724481727922</v>
      </c>
      <c r="KT645" s="473">
        <f t="shared" si="1795"/>
        <v>4286.2445668946921</v>
      </c>
      <c r="KU645" s="663">
        <f t="shared" si="1785"/>
        <v>4.3179105728055491</v>
      </c>
      <c r="KV645" s="117"/>
    </row>
    <row r="646" spans="1:308" s="26" customFormat="1" ht="15">
      <c r="A646" s="561">
        <f t="shared" si="1751"/>
        <v>6046</v>
      </c>
      <c r="B646" s="561">
        <f t="shared" si="1786"/>
        <v>46</v>
      </c>
      <c r="C646" s="561">
        <f t="shared" si="1787"/>
        <v>6</v>
      </c>
      <c r="D646" s="561" t="str">
        <f t="shared" si="1855"/>
        <v xml:space="preserve">0/0/0/3.9, 360 Lease, </v>
      </c>
      <c r="E646" s="475">
        <f>INDEX(Input!$1:$1048576,E$93,$C646*2+MIN($B646,2)+5)
+INDEX(Scenarios!E$121:E$199,MATCH($B646,Scenarios!$B$121:$B$199,0))</f>
        <v>1267.2644913000609</v>
      </c>
      <c r="F646" s="475">
        <f>INDEX(Input!$1:$1048576,F$93,$C646*2+MIN($B646,2)+5)
+INDEX(Scenarios!F$121:F$199,MATCH($B646,Scenarios!$B$121:$B$199,0))</f>
        <v>0</v>
      </c>
      <c r="G646" s="475">
        <f>INDEX(Input!$1:$1048576,G$93,$C646*2+MIN($B646,2)+5)
+INDEX(Scenarios!G$121:G$199,MATCH($B646,Scenarios!$B$121:$B$199,0))</f>
        <v>0</v>
      </c>
      <c r="H646" s="475">
        <f>INDEX(Input!$1:$1048576,H$93,$C646*2+MIN($B646,2)+5)
+INDEX(Scenarios!H$121:H$199,MATCH($B646,Scenarios!$B$121:$B$199,0))</f>
        <v>0</v>
      </c>
      <c r="I646" s="476">
        <f>INDEX(Input!$1:$1048576,I$93,$C646*2+MIN($B646,2)+5)
+INDEX(Scenarios!I$121:I$199,MATCH($B646,Scenarios!$B$121:$B$199,0))</f>
        <v>0.7</v>
      </c>
      <c r="J646" s="476" t="str">
        <f>INDEX(Input!$1:$1048576,J$93,$C646*2+MIN($B646,2)+5)</f>
        <v>Market</v>
      </c>
      <c r="K646" s="476" t="str">
        <f>INDEX(Input!$1:$1048576,K$93,$C646*2+MIN($B646,2)+5)</f>
        <v>Market</v>
      </c>
      <c r="L646" s="476" t="str">
        <f>INDEX(Input!$1:$1048576,L$93,$C646*2+MIN($B646,2)+5)</f>
        <v>Market</v>
      </c>
      <c r="M646" s="476" t="str">
        <f>INDEX(Input!$1:$1048576,M$93,$C646*2+MIN($B646,2)+5)</f>
        <v>Market</v>
      </c>
      <c r="N646" s="476" t="str">
        <f>INDEX(Input!$1:$1048576,N$93,$C646*2+MIN($B646,2)+5)</f>
        <v>Market</v>
      </c>
      <c r="O646" s="476" t="str">
        <f>INDEX(Input!$1:$1048576,O$93,$C646*2+MIN($B646,2)+5)</f>
        <v>Market</v>
      </c>
      <c r="P646" s="476" t="str">
        <f>INDEX(Input!$1:$1048576,P$93,$C646*2+MIN($B646,2)+5)</f>
        <v>N</v>
      </c>
      <c r="Q646" s="477">
        <f>INDEX(Input!$1:$1048576,Q$93,$C646*2+MIN($B646,2)+5)
+INDEX(Scenarios!Q$121:Q$199,MATCH($B646,Scenarios!$B$121:$B$199,0))</f>
        <v>0</v>
      </c>
      <c r="R646" s="478">
        <f>IFERROR(MAX(0,INDEX(Input!$1:$1048576,R$93,$C646*2+MIN($B646,2)+5)
+INDEX(Scenarios!R$121:R$199,MATCH($B646,Scenarios!$B$121:$B$199,0)),),"Market")</f>
        <v>0</v>
      </c>
      <c r="S646" s="478">
        <f>IFERROR(MAX(0,INDEX(Input!$1:$1048576,S$93,$C646*2+MIN($B646,2)+5)
+INDEX(Scenarios!S$121:S$199,MATCH($B646,Scenarios!$B$121:$B$199,0)),),"Market")</f>
        <v>0</v>
      </c>
      <c r="T646" s="478">
        <f>IFERROR(MAX(0,INDEX(Input!$1:$1048576,T$93,$C646*2+MIN($B646,2)+5)
+INDEX(Scenarios!T$121:T$199,MATCH($B646,Scenarios!$B$121:$B$199,0)),),"Market")</f>
        <v>0</v>
      </c>
      <c r="U646" s="478">
        <f>IFERROR(MAX(0,INDEX(Input!$1:$1048576,U$93,$C646*2+MIN($B646,2)+5)
+INDEX(Scenarios!U$121:U$199,MATCH($B646,Scenarios!$B$121:$B$199,0)),),"Market")</f>
        <v>0</v>
      </c>
      <c r="V646" s="478">
        <f>IFERROR(MAX(0,INDEX(Input!$1:$1048576,V$93,$C646*2+MIN($B646,2)+5)
+INDEX(Scenarios!V$121:V$199,MATCH($B646,Scenarios!$B$121:$B$199,0)),),"Market")</f>
        <v>0</v>
      </c>
      <c r="W646" s="885">
        <f>IFERROR(MAX(0,INDEX(Input!$1:$1048576,W$93,$C646*2+MIN($B646,2)+5)-0%,),"Market")</f>
        <v>3.9E-2</v>
      </c>
      <c r="X646" s="476" t="str">
        <f>INDEX(Input!$1:$1048576,X$93,$C646*2+MIN($B646,2)+5)</f>
        <v>Y</v>
      </c>
      <c r="Y646" s="475">
        <f>INDEX(Input!$1:$1048576,Y$93,$C646*2+MIN($B646,2)+5)
++INDEX(Scenarios!Y$121:Y$199,MATCH($B646,Scenarios!$B$121:$B$199,0))</f>
        <v>1097.993676354025</v>
      </c>
      <c r="Z646" s="477">
        <f>INDEX(Input!$1:$1048576,Z$93,$C646*2+MIN($B646,2)+5)
+INDEX(Scenarios!Z$121:Z$199,MATCH($B646,Scenarios!$B$121:$B$199,0))</f>
        <v>0</v>
      </c>
      <c r="AA646" s="475">
        <f>INDEX(Input!$1:$1048576,AA$93,$C646*2+MIN($B646,2)+5)</f>
        <v>0</v>
      </c>
      <c r="AB646" s="476">
        <f>INDEX(Input!$1:$1048576,AB$93,$C646*2+MIN($B646,2)+5)</f>
        <v>0.27</v>
      </c>
      <c r="AC646" s="475">
        <f>INDEX(Input!$1:$1048576,AC$93,$C646*2+MIN($B646,2)+5)
+INDEX(Scenarios!AC$121:AC$199,MATCH($B646,Scenarios!$B$121:$B$199,0))</f>
        <v>0</v>
      </c>
      <c r="AD646" s="476">
        <f>INDEX(Input!$1:$1048576,AD$93,$C646*2+MIN($B646,2)+5)</f>
        <v>0.27</v>
      </c>
      <c r="AE646" s="475">
        <f>INDEX(Input!$1:$1048576,AE$93,$C646*2+MIN($B646,2)+5)
+INDEX(Scenarios!AE$121:AE$199,MATCH($B646,Scenarios!$B$121:$B$199,0))</f>
        <v>0</v>
      </c>
      <c r="AF646" s="476">
        <f>INDEX(Input!$1:$1048576,AF$93,$C646*2+MIN($B646,2)+5)</f>
        <v>1</v>
      </c>
      <c r="AG646" s="475">
        <f>INDEX(Input!$1:$1048576,AG$93,$C646*2+MIN($B646,2)+5)</f>
        <v>500</v>
      </c>
      <c r="AH646" s="476">
        <f>INDEX(Input!$1:$1048576,AH$93,$C646*2+MIN($B646,2)+5)</f>
        <v>1</v>
      </c>
      <c r="AI646" s="475">
        <f>INDEX(Input!$1:$1048576,AI$93,$C646*2+MIN($B646,2)+5)</f>
        <v>0</v>
      </c>
      <c r="AJ646" s="476">
        <f>INDEX(Input!$1:$1048576,AJ$93,$C646*2+MIN($B646,2)+5)</f>
        <v>0.27</v>
      </c>
      <c r="AK646" s="150">
        <f>ROUND(INDEX(Input!$1:$1048576,AK$93,$C645*2+MIN($B646,1)+5)+(Y646-VLOOKUP($C646*1000+1,$A:$HH,Y$92,FALSE)),0)</f>
        <v>3421</v>
      </c>
      <c r="AL646" s="150">
        <f>ROUND(INDEX(Input!$1:$1048576,AL$93,$C645*2+MIN($B646,1)+5)-(Y646-VLOOKUP($C646*1000+1,$A:$HH,Y$92,FALSE))/36,0)</f>
        <v>3542</v>
      </c>
      <c r="AM646" s="32" t="str">
        <f t="shared" si="1752"/>
        <v>std/std/std/std</v>
      </c>
      <c r="AN646" s="32" t="str">
        <f t="shared" si="1753"/>
        <v>$0 + 0/0/0/0/3.9</v>
      </c>
      <c r="AO646" s="32" t="str">
        <f t="shared" si="1754"/>
        <v>0/0/0/0/3.9</v>
      </c>
      <c r="AP646" s="32" t="str">
        <f t="shared" si="1716"/>
        <v>0/0/0/3.9</v>
      </c>
      <c r="AQ646" s="536">
        <f t="shared" si="1892"/>
        <v>0.31438822806297345</v>
      </c>
      <c r="AR646" s="32"/>
      <c r="AS646" s="302"/>
      <c r="AT646" s="3">
        <f t="shared" si="1788"/>
        <v>46</v>
      </c>
      <c r="AU646" s="41" t="s">
        <v>121</v>
      </c>
      <c r="AV646" s="41" t="s">
        <v>116</v>
      </c>
      <c r="AW646" s="41" t="str">
        <f>INDEX(Input!$1:$1048576,AW$93,$C646*2+6)</f>
        <v>Kia</v>
      </c>
      <c r="AX646" s="41" t="str">
        <f>INDEX(Input!$1:$1048576,AX$93,$C646*2+6)</f>
        <v>National</v>
      </c>
      <c r="AY646" s="41" t="str">
        <f>IF(LEN(D646)=0,"",INDEX(Input!$1:$1048576,AY$93,$C646*2+6))</f>
        <v>Compact SUV (52)</v>
      </c>
      <c r="AZ646" s="41" t="str">
        <f>INDEX(Input!$1:$1048576,AZ$93,$C646*2+6)</f>
        <v>Kia Soul</v>
      </c>
      <c r="BA646" s="3">
        <f>INDEX(Input!$1:$1048576,BA$93,$C646*2+6)</f>
        <v>2020</v>
      </c>
      <c r="BB646" s="128">
        <f>INDEX(Input!$1:$1048576,BB$93,$C646*2+6)</f>
        <v>1</v>
      </c>
      <c r="BC646" s="128">
        <f>INDEX(Input!$1:$1048576,BC$93,$C646*2+6)</f>
        <v>0.7</v>
      </c>
      <c r="BD646" s="1">
        <f>INDEX(Input!$1:$1048576,BD$93,$C646*2+6)</f>
        <v>4.4999999999999998E-2</v>
      </c>
      <c r="BE646" s="1">
        <f>INDEX(Input!$1:$1048576,BE$93,$C646*2+6)</f>
        <v>4.4999999999999998E-2</v>
      </c>
      <c r="BF646" s="1">
        <f>INDEX(Input!$1:$1048576,BF$93,$C646*2+6)</f>
        <v>0.05</v>
      </c>
      <c r="BG646" s="1">
        <f>INDEX(Input!$1:$1048576,BG$93,$C646*2+6)</f>
        <v>5.45E-2</v>
      </c>
      <c r="BH646" s="1">
        <f>INDEX(Input!$1:$1048576,BH$93,$C646*2+6)</f>
        <v>5.45E-2</v>
      </c>
      <c r="BI646" s="1">
        <f>INDEX(Input!$1:$1048576,BI$93,$C646*2+6)</f>
        <v>0.05</v>
      </c>
      <c r="BJ646" s="1">
        <f>INDEX(Input!$1:$1048576,BJ$93,$C646*2+6)</f>
        <v>0.05</v>
      </c>
      <c r="BK646" s="1">
        <f>INDEX(Input!$1:$1048576,BK$93,$C646*2+6)</f>
        <v>0.05</v>
      </c>
      <c r="BL646" s="1">
        <f>INDEX(Input!$1:$1048576,BL$93,$C646*2+6)</f>
        <v>5.5E-2</v>
      </c>
      <c r="BM646" s="1">
        <f>INDEX(Input!$1:$1048576,BM$93,$C646*2+6)</f>
        <v>0.06</v>
      </c>
      <c r="BN646" s="1">
        <f>INDEX(Input!$1:$1048576,BN$93,$C646*2+6)</f>
        <v>4.4999999999999998E-2</v>
      </c>
      <c r="BO646" s="1">
        <f>INDEX(Input!$1:$1048576,BO$93,$C646*2+6)</f>
        <v>4.4999999999999998E-2</v>
      </c>
      <c r="BP646" s="1">
        <f>INDEX(Input!$1:$1048576,BP$93,$C646*2+6)</f>
        <v>0.05</v>
      </c>
      <c r="BQ646" s="1">
        <f>INDEX(Input!$1:$1048576,BQ$93,$C646*2+6)</f>
        <v>5.45E-2</v>
      </c>
      <c r="BR646" s="1">
        <f>INDEX(Input!$1:$1048576,BR$93,$C646*2+6)</f>
        <v>5.45E-2</v>
      </c>
      <c r="BS646" s="1">
        <f>INDEX(Input!$1:$1048576,BS$93,$C646*2+6)</f>
        <v>0.05</v>
      </c>
      <c r="BT646" s="1">
        <f>INDEX(Input!$1:$1048576,BT$93,$C646*2+6)</f>
        <v>0.05</v>
      </c>
      <c r="BU646" s="1">
        <f>INDEX(Input!$1:$1048576,BU$93,$C646*2+6)</f>
        <v>0.05</v>
      </c>
      <c r="BV646" s="1">
        <f>INDEX(Input!$1:$1048576,BV$93,$C646*2+6)</f>
        <v>5.5E-2</v>
      </c>
      <c r="BW646" s="1">
        <f>INDEX(Input!$1:$1048576,BW$93,$C646*2+6)</f>
        <v>0.06</v>
      </c>
      <c r="BX646" s="127">
        <f>INDEX(Input!$1:$1048576,BX$93,$C646*2+6)</f>
        <v>19985</v>
      </c>
      <c r="BY646" s="20">
        <f>INDEX(Input!$1:$1048576,BY$93,$C646*2+6)</f>
        <v>0.1</v>
      </c>
      <c r="BZ646" s="20">
        <f>INDEX(Input!$1:$1048576,BZ$93,$C646*2+6)</f>
        <v>0.1</v>
      </c>
      <c r="CA646" s="20">
        <f>INDEX(Input!$1:$1048576,CA$93,$C646*2+6)</f>
        <v>0.1</v>
      </c>
      <c r="CB646" s="20">
        <f>INDEX(Input!$1:$1048576,CB$93,$C646*2+6)</f>
        <v>0.1</v>
      </c>
      <c r="CC646" s="20">
        <f>INDEX(Input!$1:$1048576,CC$93,$C646*2+6)</f>
        <v>0.1</v>
      </c>
      <c r="CD646" s="384">
        <f>INDEX(Input!$1:$1048576,CD$93,$C646*2+6)</f>
        <v>0.1</v>
      </c>
      <c r="CE646" s="384">
        <f>INDEX(Input!$1:$1048576,CE$93,$C646*2+6)</f>
        <v>0.1</v>
      </c>
      <c r="CF646" s="384">
        <f>INDEX(Input!$1:$1048576,CF$93,$C646*2+6)</f>
        <v>0.1</v>
      </c>
      <c r="CG646" s="384">
        <f>INDEX(Input!$1:$1048576,CG$93,$C646*2+6)</f>
        <v>0.1</v>
      </c>
      <c r="CH646" s="384">
        <f>INDEX(Input!$1:$1048576,CH$93,$C646*2+6)</f>
        <v>0.1</v>
      </c>
      <c r="CI646" s="304">
        <f t="shared" si="1718"/>
        <v>1267.2644913000609</v>
      </c>
      <c r="CJ646" s="16" t="str">
        <f>INDEX(Input!$1:$1048576,CJ$93,$C646*2+6)</f>
        <v>N</v>
      </c>
      <c r="CK646" s="1" t="str">
        <f t="shared" si="1719"/>
        <v>Market</v>
      </c>
      <c r="CL646" s="1" t="str">
        <f t="shared" si="1720"/>
        <v>Market</v>
      </c>
      <c r="CM646" s="1" t="str">
        <f t="shared" si="1721"/>
        <v>Market</v>
      </c>
      <c r="CN646" s="1" t="str">
        <f t="shared" si="1722"/>
        <v>Market</v>
      </c>
      <c r="CO646" s="1" t="str">
        <f t="shared" si="1723"/>
        <v>Market</v>
      </c>
      <c r="CP646" s="304">
        <f t="shared" si="1724"/>
        <v>500</v>
      </c>
      <c r="CQ646" s="1">
        <f t="shared" si="1725"/>
        <v>0</v>
      </c>
      <c r="CR646" s="1">
        <f t="shared" si="1726"/>
        <v>0</v>
      </c>
      <c r="CS646" s="1">
        <f t="shared" si="1727"/>
        <v>0</v>
      </c>
      <c r="CT646" s="1">
        <f t="shared" si="1728"/>
        <v>0</v>
      </c>
      <c r="CU646" s="1">
        <f t="shared" si="1729"/>
        <v>3.9E-2</v>
      </c>
      <c r="CV646" s="304">
        <f t="shared" si="1730"/>
        <v>1097.993676354025</v>
      </c>
      <c r="CW646" s="20" t="s">
        <v>122</v>
      </c>
      <c r="CX646" s="20" t="s">
        <v>122</v>
      </c>
      <c r="CY646" s="20" t="s">
        <v>122</v>
      </c>
      <c r="CZ646" s="20" t="s">
        <v>122</v>
      </c>
      <c r="DA646" s="20" t="s">
        <v>122</v>
      </c>
      <c r="DB646" s="503">
        <f t="shared" si="1731"/>
        <v>0</v>
      </c>
      <c r="DC646" s="127">
        <v>0</v>
      </c>
      <c r="DD646" s="127">
        <v>0</v>
      </c>
      <c r="DE646" s="127">
        <v>0</v>
      </c>
      <c r="DF646" s="127">
        <v>0</v>
      </c>
      <c r="DG646" s="127">
        <v>0</v>
      </c>
      <c r="DH646" s="127">
        <v>0</v>
      </c>
      <c r="DI646" s="127">
        <v>0</v>
      </c>
      <c r="DJ646" s="127">
        <v>0</v>
      </c>
      <c r="DK646" s="127">
        <v>0</v>
      </c>
      <c r="DL646" s="127">
        <v>0</v>
      </c>
      <c r="DM646" s="304">
        <f>INDEX(Input!$1:$1048576,DM$93,$C646*2+6)</f>
        <v>21036.84210526316</v>
      </c>
      <c r="DN646" s="20">
        <v>0</v>
      </c>
      <c r="DO646" s="20">
        <v>0</v>
      </c>
      <c r="DP646" s="20">
        <v>0</v>
      </c>
      <c r="DQ646" s="20">
        <v>0</v>
      </c>
      <c r="DR646" s="20">
        <v>0</v>
      </c>
      <c r="DS646" s="20">
        <f>INDEX(Input!$1:$1048576,DS$93,$C646*2+6)</f>
        <v>0.6</v>
      </c>
      <c r="DT646" s="20">
        <f>INDEX(Input!$1:$1048576,DT$93,$C646*2+6)</f>
        <v>0.55000000000000004</v>
      </c>
      <c r="DU646" s="20">
        <f>INDEX(Input!$1:$1048576,DU$93,$C646*2+6)</f>
        <v>0.52</v>
      </c>
      <c r="DV646" s="20">
        <f>INDEX(Input!$1:$1048576,DV$93,$C646*2+6)</f>
        <v>0.5</v>
      </c>
      <c r="DW646" s="20">
        <f>INDEX(Input!$1:$1048576,DW$93,$C646*2+6)</f>
        <v>0.45</v>
      </c>
      <c r="DX646" s="20"/>
      <c r="DY646" s="7"/>
      <c r="DZ646" s="7"/>
      <c r="EA646" s="7"/>
      <c r="EB646" s="7"/>
      <c r="EC646" s="7"/>
      <c r="ED646" s="7"/>
      <c r="EE646" s="7"/>
      <c r="EF646" s="7"/>
      <c r="EG646" s="7"/>
      <c r="EH646" s="7"/>
      <c r="EI646" s="7"/>
      <c r="EJ646" s="7"/>
      <c r="EK646" s="7"/>
      <c r="EL646" s="7"/>
      <c r="EM646" s="7"/>
      <c r="EN646" s="7"/>
      <c r="EO646" s="7"/>
      <c r="EP646" s="7"/>
      <c r="EQ646" s="7"/>
      <c r="ER646" s="7"/>
      <c r="ES646" s="7"/>
      <c r="ET646" s="7"/>
      <c r="EU646" s="6"/>
      <c r="EV646" s="6"/>
      <c r="EW646" s="6"/>
      <c r="EX646" s="6"/>
      <c r="EY646" s="6"/>
      <c r="EZ646" s="6"/>
      <c r="FA646" s="6"/>
      <c r="FB646" s="6"/>
      <c r="FC646" s="6"/>
      <c r="FD646" s="6"/>
      <c r="FE646" s="6"/>
      <c r="FF646" s="6"/>
      <c r="FG646" s="6"/>
      <c r="FH646" s="6"/>
      <c r="FI646" s="6"/>
      <c r="FJ646" s="6"/>
      <c r="FK646" s="6"/>
      <c r="FL646" s="6"/>
      <c r="FM646" s="6"/>
      <c r="FN646" s="6"/>
      <c r="FO646" s="6"/>
      <c r="FP646" s="6"/>
      <c r="FQ646" s="6"/>
      <c r="FR646" s="6"/>
      <c r="FS646" s="6"/>
      <c r="FT646" s="7"/>
      <c r="FU646" s="7"/>
      <c r="FV646" s="7"/>
      <c r="FW646" s="6"/>
      <c r="FX646" s="6"/>
      <c r="FY646" s="6"/>
      <c r="FZ646" s="6"/>
      <c r="GA646" s="6"/>
      <c r="GB646" s="6"/>
      <c r="GC646" s="7"/>
      <c r="GD646" s="7"/>
      <c r="GE646" s="7"/>
      <c r="GF646" s="7"/>
      <c r="GG646" s="7"/>
      <c r="GH646" s="42"/>
      <c r="GI646" s="6"/>
      <c r="GJ646" s="14"/>
      <c r="GK646" s="14"/>
      <c r="GL646" s="14"/>
      <c r="GM646" s="14"/>
      <c r="GO646" s="5"/>
      <c r="GP646" s="5"/>
      <c r="GQ646" s="5"/>
      <c r="GR646" s="5"/>
      <c r="GS646" s="5"/>
      <c r="GT646" s="5"/>
      <c r="GU646" s="5"/>
      <c r="GV646" s="39"/>
      <c r="GW646" s="5"/>
      <c r="GX646" s="5"/>
      <c r="GY646" s="5"/>
      <c r="GZ646" s="5"/>
      <c r="HA646" s="5"/>
      <c r="HB646" s="39"/>
      <c r="HC646" s="5"/>
      <c r="HD646" s="5"/>
      <c r="HE646" s="5"/>
      <c r="HF646" s="5"/>
      <c r="HG646" s="5"/>
      <c r="HH646" s="39"/>
      <c r="HI646" s="16"/>
      <c r="HJ646" s="19"/>
      <c r="HK646" s="1"/>
      <c r="HL646" s="16"/>
      <c r="HM646" s="639">
        <f t="shared" si="1755"/>
        <v>2.3149872625708352E-2</v>
      </c>
      <c r="HN646" s="639">
        <f t="shared" si="1756"/>
        <v>1.3965040474190958E-3</v>
      </c>
      <c r="HO646" s="639">
        <f t="shared" si="1757"/>
        <v>3.5429561340050734E-3</v>
      </c>
      <c r="HP646" s="644">
        <f t="shared" ref="HP646:ID646" si="1932">HP146+HP246+HP346+HP446+HP546</f>
        <v>-125.15696878213724</v>
      </c>
      <c r="HQ646" s="644">
        <f t="shared" si="1932"/>
        <v>194.19555568754052</v>
      </c>
      <c r="HR646" s="644">
        <f t="shared" si="1932"/>
        <v>147.7650957580064</v>
      </c>
      <c r="HS646" s="644">
        <f t="shared" si="1932"/>
        <v>-62.565680760176676</v>
      </c>
      <c r="HT646" s="644">
        <f t="shared" si="1932"/>
        <v>375.02677670968882</v>
      </c>
      <c r="HU646" s="644">
        <f t="shared" si="1932"/>
        <v>45.781140865203461</v>
      </c>
      <c r="HV646" s="644">
        <f t="shared" si="1932"/>
        <v>0</v>
      </c>
      <c r="HW646" s="644">
        <f t="shared" si="1932"/>
        <v>0</v>
      </c>
      <c r="HX646" s="644">
        <f t="shared" si="1932"/>
        <v>0</v>
      </c>
      <c r="HY646" s="644">
        <f t="shared" si="1932"/>
        <v>2396</v>
      </c>
      <c r="HZ646" s="644">
        <f t="shared" si="1932"/>
        <v>3223</v>
      </c>
      <c r="IA646" s="644">
        <f t="shared" si="1932"/>
        <v>830</v>
      </c>
      <c r="IB646" s="644">
        <f t="shared" si="1932"/>
        <v>2208.2773504576867</v>
      </c>
      <c r="IC646" s="644">
        <f t="shared" si="1932"/>
        <v>3792.2223323972294</v>
      </c>
      <c r="ID646" s="644">
        <f t="shared" si="1932"/>
        <v>1023.5462366232099</v>
      </c>
      <c r="IE646" s="20">
        <f t="shared" si="1759"/>
        <v>0.31438822806297345</v>
      </c>
      <c r="IF646" s="20">
        <f t="shared" si="1760"/>
        <v>0.53989144943958245</v>
      </c>
      <c r="IG646" s="20">
        <f t="shared" si="1761"/>
        <v>0.14572032249744427</v>
      </c>
      <c r="IH646" s="21"/>
      <c r="II646" s="19"/>
      <c r="IJ646" s="19"/>
      <c r="IK646" s="19"/>
      <c r="IL646" s="19">
        <f t="shared" si="1762"/>
        <v>184.07568447248309</v>
      </c>
      <c r="IM646" s="19">
        <f t="shared" si="1763"/>
        <v>846.46298972526347</v>
      </c>
      <c r="IN646" s="19">
        <f t="shared" si="1764"/>
        <v>471.03531488233784</v>
      </c>
      <c r="IO646" s="39"/>
      <c r="IP646" s="39"/>
      <c r="IQ646" s="39"/>
      <c r="IR646" s="39"/>
      <c r="IS646" s="39"/>
      <c r="IT646" s="39"/>
      <c r="IU646" s="39"/>
      <c r="IV646" s="39"/>
      <c r="IW646" s="39"/>
      <c r="IX646" s="19">
        <f t="shared" si="1765"/>
        <v>1554.1790484140233</v>
      </c>
      <c r="IY646" s="19">
        <f t="shared" si="1766"/>
        <v>2412.3001201524512</v>
      </c>
      <c r="IZ646" s="19">
        <f t="shared" si="1767"/>
        <v>3993.0862952928574</v>
      </c>
      <c r="JA646" s="19">
        <f t="shared" ref="JA646:JC646" si="1933">IFERROR((JA146*IB146+JA246*IB246+JA346*IB346+JA446*IB446+JA546*IB546)/IB646,0)</f>
        <v>1738.2547328865064</v>
      </c>
      <c r="JB646" s="19">
        <f t="shared" si="1933"/>
        <v>3258.7631098777147</v>
      </c>
      <c r="JC646" s="19">
        <f t="shared" si="1933"/>
        <v>4464.1216101751952</v>
      </c>
      <c r="JD646" s="19">
        <f t="shared" si="1769"/>
        <v>2956.3784048689267</v>
      </c>
      <c r="JE646" s="21"/>
      <c r="JF646" s="1">
        <f t="shared" si="1770"/>
        <v>2.6651855648468406E-2</v>
      </c>
      <c r="JG646" s="15">
        <f t="shared" si="1771"/>
        <v>6449</v>
      </c>
      <c r="JH646" s="1">
        <f t="shared" si="1772"/>
        <v>3.3618186178230688E-2</v>
      </c>
      <c r="JI646" s="1">
        <f t="shared" si="1773"/>
        <v>5.5550044474293001E-2</v>
      </c>
      <c r="JJ646" s="1">
        <f t="shared" si="1774"/>
        <v>0</v>
      </c>
      <c r="JK646" s="1">
        <f t="shared" si="1775"/>
        <v>8.9168230652523689E-2</v>
      </c>
      <c r="JL646" s="15">
        <f t="shared" ref="JL646:JM646" si="1934">JL146+JL246+JL346+JL446+JL546</f>
        <v>575.04591947812526</v>
      </c>
      <c r="JM646" s="15">
        <f t="shared" si="1934"/>
        <v>7024.0459194781261</v>
      </c>
      <c r="JN646" s="21"/>
      <c r="JO646" s="19">
        <f>INDEX(Input!$1:$1048576,JO$93,$C646*2+6)</f>
        <v>5995.5</v>
      </c>
      <c r="JP646" s="19">
        <f>INDEX(Input!$1:$1048576,JP$93,$C646*2+6)</f>
        <v>2296.6050414551746</v>
      </c>
      <c r="JQ646" s="39">
        <f t="shared" si="1799"/>
        <v>3039.1215951310733</v>
      </c>
      <c r="JR646" s="39">
        <f t="shared" si="1800"/>
        <v>659.77336341375212</v>
      </c>
      <c r="JS646" s="39">
        <f t="shared" si="1801"/>
        <v>20.765737671152838</v>
      </c>
      <c r="JT646" s="39">
        <f t="shared" si="1802"/>
        <v>5.9549317588084172</v>
      </c>
      <c r="JU646" s="385">
        <f>(JQ646*JM646-INDEX(Input!$1:$1048576,Input!A$18,$C646*2+6)*JL646*INDEX(Input!$1:$1048576,Input!A$19,$C646*2+6))/1000000</f>
        <v>21.346929639078265</v>
      </c>
      <c r="JV646" s="39">
        <f t="shared" si="1803"/>
        <v>-2.5072439485773117</v>
      </c>
      <c r="JW646" s="1">
        <f t="shared" si="1804"/>
        <v>-0.10510713940116537</v>
      </c>
      <c r="JX646" s="19">
        <f t="shared" si="1805"/>
        <v>10355.576062886823</v>
      </c>
      <c r="JZ646" s="341"/>
      <c r="KA646" s="60"/>
      <c r="KB646" s="469">
        <f t="shared" si="1778"/>
        <v>0</v>
      </c>
      <c r="KI646" s="472"/>
      <c r="KJ646" s="472"/>
      <c r="KK646" s="472"/>
      <c r="KN646" s="793">
        <f t="shared" si="1779"/>
        <v>6002</v>
      </c>
      <c r="KO646" s="541">
        <f t="shared" si="1780"/>
        <v>6.4202859689478142E-2</v>
      </c>
      <c r="KP646" s="546">
        <f t="shared" si="1781"/>
        <v>420.91584615710985</v>
      </c>
      <c r="KQ646" s="546">
        <f t="shared" si="1782"/>
        <v>493.54514826378181</v>
      </c>
      <c r="KR646" s="472">
        <f t="shared" si="1783"/>
        <v>2.6726796416733514</v>
      </c>
      <c r="KS646" s="472">
        <f t="shared" si="1784"/>
        <v>2.2793724481727922</v>
      </c>
      <c r="KT646" s="473">
        <f t="shared" si="1795"/>
        <v>4286.2445668946921</v>
      </c>
      <c r="KU646" s="663">
        <f t="shared" si="1785"/>
        <v>4.3179115728055493</v>
      </c>
      <c r="KV646" s="117"/>
    </row>
    <row r="647" spans="1:308" s="26" customFormat="1" ht="15">
      <c r="A647" s="561">
        <f t="shared" si="1751"/>
        <v>6047</v>
      </c>
      <c r="B647" s="561">
        <f t="shared" si="1786"/>
        <v>47</v>
      </c>
      <c r="C647" s="561">
        <f t="shared" si="1787"/>
        <v>6</v>
      </c>
      <c r="D647" s="561" t="str">
        <f t="shared" si="1855"/>
        <v xml:space="preserve">250 CC, -360 Lease, </v>
      </c>
      <c r="E647" s="475">
        <f>INDEX(Input!$1:$1048576,E$93,$C647*2+MIN($B647,2)+5)
+INDEX(Scenarios!E$121:E$199,MATCH($B647,Scenarios!$B$121:$B$199,0))</f>
        <v>1517.2644913000609</v>
      </c>
      <c r="F647" s="475">
        <f>INDEX(Input!$1:$1048576,F$93,$C647*2+MIN($B647,2)+5)
+INDEX(Scenarios!F$121:F$199,MATCH($B647,Scenarios!$B$121:$B$199,0))</f>
        <v>0</v>
      </c>
      <c r="G647" s="475">
        <f>INDEX(Input!$1:$1048576,G$93,$C647*2+MIN($B647,2)+5)
+INDEX(Scenarios!G$121:G$199,MATCH($B647,Scenarios!$B$121:$B$199,0))</f>
        <v>0</v>
      </c>
      <c r="H647" s="475">
        <f>INDEX(Input!$1:$1048576,H$93,$C647*2+MIN($B647,2)+5)
+INDEX(Scenarios!H$121:H$199,MATCH($B647,Scenarios!$B$121:$B$199,0))</f>
        <v>0</v>
      </c>
      <c r="I647" s="476">
        <f>INDEX(Input!$1:$1048576,I$93,$C647*2+MIN($B647,2)+5)
+INDEX(Scenarios!I$121:I$199,MATCH($B647,Scenarios!$B$121:$B$199,0))</f>
        <v>0.7</v>
      </c>
      <c r="J647" s="476" t="str">
        <f>INDEX(Input!$1:$1048576,J$93,$C647*2+MIN($B647,2)+5)</f>
        <v>Market</v>
      </c>
      <c r="K647" s="476" t="str">
        <f>INDEX(Input!$1:$1048576,K$93,$C647*2+MIN($B647,2)+5)</f>
        <v>Market</v>
      </c>
      <c r="L647" s="476" t="str">
        <f>INDEX(Input!$1:$1048576,L$93,$C647*2+MIN($B647,2)+5)</f>
        <v>Market</v>
      </c>
      <c r="M647" s="476" t="str">
        <f>INDEX(Input!$1:$1048576,M$93,$C647*2+MIN($B647,2)+5)</f>
        <v>Market</v>
      </c>
      <c r="N647" s="476" t="str">
        <f>INDEX(Input!$1:$1048576,N$93,$C647*2+MIN($B647,2)+5)</f>
        <v>Market</v>
      </c>
      <c r="O647" s="476" t="str">
        <f>INDEX(Input!$1:$1048576,O$93,$C647*2+MIN($B647,2)+5)</f>
        <v>Market</v>
      </c>
      <c r="P647" s="476" t="str">
        <f>INDEX(Input!$1:$1048576,P$93,$C647*2+MIN($B647,2)+5)</f>
        <v>N</v>
      </c>
      <c r="Q647" s="477">
        <f>INDEX(Input!$1:$1048576,Q$93,$C647*2+MIN($B647,2)+5)
+INDEX(Scenarios!Q$121:Q$199,MATCH($B647,Scenarios!$B$121:$B$199,0))</f>
        <v>0</v>
      </c>
      <c r="R647" s="478">
        <f>IFERROR(MAX(0,INDEX(Input!$1:$1048576,R$93,$C647*2+MIN($B647,2)+5)
+INDEX(Scenarios!R$121:R$199,MATCH($B647,Scenarios!$B$121:$B$199,0)),),"Market")</f>
        <v>0</v>
      </c>
      <c r="S647" s="478">
        <f>IFERROR(MAX(0,INDEX(Input!$1:$1048576,S$93,$C647*2+MIN($B647,2)+5)
+INDEX(Scenarios!S$121:S$199,MATCH($B647,Scenarios!$B$121:$B$199,0)),),"Market")</f>
        <v>0</v>
      </c>
      <c r="T647" s="478">
        <f>IFERROR(MAX(0,INDEX(Input!$1:$1048576,T$93,$C647*2+MIN($B647,2)+5)
+INDEX(Scenarios!T$121:T$199,MATCH($B647,Scenarios!$B$121:$B$199,0)),),"Market")</f>
        <v>0</v>
      </c>
      <c r="U647" s="478">
        <f>IFERROR(MAX(0,INDEX(Input!$1:$1048576,U$93,$C647*2+MIN($B647,2)+5)
+INDEX(Scenarios!U$121:U$199,MATCH($B647,Scenarios!$B$121:$B$199,0)),),"Market")</f>
        <v>0</v>
      </c>
      <c r="V647" s="478">
        <f>IFERROR(MAX(0,INDEX(Input!$1:$1048576,V$93,$C647*2+MIN($B647,2)+5)
+INDEX(Scenarios!V$121:V$199,MATCH($B647,Scenarios!$B$121:$B$199,0)),),"Market")</f>
        <v>1.9E-2</v>
      </c>
      <c r="W647" s="885">
        <f>IFERROR(MAX(0,INDEX(Input!$1:$1048576,W$93,$C647*2+MIN($B647,2)+5)-0%,),"Market")</f>
        <v>3.9E-2</v>
      </c>
      <c r="X647" s="476" t="str">
        <f>INDEX(Input!$1:$1048576,X$93,$C647*2+MIN($B647,2)+5)</f>
        <v>Y</v>
      </c>
      <c r="Y647" s="475">
        <f>INDEX(Input!$1:$1048576,Y$93,$C647*2+MIN($B647,2)+5)
++INDEX(Scenarios!Y$121:Y$199,MATCH($B647,Scenarios!$B$121:$B$199,0))</f>
        <v>377.99367635402496</v>
      </c>
      <c r="Z647" s="477">
        <f>INDEX(Input!$1:$1048576,Z$93,$C647*2+MIN($B647,2)+5)
+INDEX(Scenarios!Z$121:Z$199,MATCH($B647,Scenarios!$B$121:$B$199,0))</f>
        <v>0</v>
      </c>
      <c r="AA647" s="475">
        <f>INDEX(Input!$1:$1048576,AA$93,$C647*2+MIN($B647,2)+5)</f>
        <v>0</v>
      </c>
      <c r="AB647" s="476">
        <f>INDEX(Input!$1:$1048576,AB$93,$C647*2+MIN($B647,2)+5)</f>
        <v>0.27</v>
      </c>
      <c r="AC647" s="475">
        <f>INDEX(Input!$1:$1048576,AC$93,$C647*2+MIN($B647,2)+5)
+INDEX(Scenarios!AC$121:AC$199,MATCH($B647,Scenarios!$B$121:$B$199,0))</f>
        <v>0</v>
      </c>
      <c r="AD647" s="476">
        <f>INDEX(Input!$1:$1048576,AD$93,$C647*2+MIN($B647,2)+5)</f>
        <v>0.27</v>
      </c>
      <c r="AE647" s="475">
        <f>INDEX(Input!$1:$1048576,AE$93,$C647*2+MIN($B647,2)+5)
+INDEX(Scenarios!AE$121:AE$199,MATCH($B647,Scenarios!$B$121:$B$199,0))</f>
        <v>0</v>
      </c>
      <c r="AF647" s="476">
        <f>INDEX(Input!$1:$1048576,AF$93,$C647*2+MIN($B647,2)+5)</f>
        <v>1</v>
      </c>
      <c r="AG647" s="475">
        <f>INDEX(Input!$1:$1048576,AG$93,$C647*2+MIN($B647,2)+5)</f>
        <v>500</v>
      </c>
      <c r="AH647" s="476">
        <f>INDEX(Input!$1:$1048576,AH$93,$C647*2+MIN($B647,2)+5)</f>
        <v>1</v>
      </c>
      <c r="AI647" s="475">
        <f>INDEX(Input!$1:$1048576,AI$93,$C647*2+MIN($B647,2)+5)</f>
        <v>0</v>
      </c>
      <c r="AJ647" s="476">
        <f>INDEX(Input!$1:$1048576,AJ$93,$C647*2+MIN($B647,2)+5)</f>
        <v>0.27</v>
      </c>
      <c r="AK647" s="150">
        <f>ROUND(INDEX(Input!$1:$1048576,AK$93,$C646*2+MIN($B647,1)+5)+(Y647-VLOOKUP($C647*1000+1,$A:$HH,Y$92,FALSE)),0)</f>
        <v>2701</v>
      </c>
      <c r="AL647" s="150">
        <f>ROUND(INDEX(Input!$1:$1048576,AL$93,$C646*2+MIN($B647,1)+5)-(Y647-VLOOKUP($C647*1000+1,$A:$HH,Y$92,FALSE))/36,0)</f>
        <v>3562</v>
      </c>
      <c r="AM647" s="32" t="str">
        <f t="shared" si="1752"/>
        <v>std/std/std/std</v>
      </c>
      <c r="AN647" s="32" t="str">
        <f t="shared" si="1753"/>
        <v>$0 + 0/0/0/1.9/3.9</v>
      </c>
      <c r="AO647" s="32" t="str">
        <f t="shared" si="1754"/>
        <v>0/0/0/1.9/3.9</v>
      </c>
      <c r="AP647" s="32" t="str">
        <f t="shared" si="1716"/>
        <v>0/0.9/1.9/3.9</v>
      </c>
      <c r="AQ647" s="536">
        <f t="shared" si="1892"/>
        <v>0.40914465421175955</v>
      </c>
      <c r="AR647" s="32"/>
      <c r="AS647" s="302"/>
      <c r="AT647" s="3">
        <f t="shared" si="1788"/>
        <v>47</v>
      </c>
      <c r="AU647" s="41" t="s">
        <v>121</v>
      </c>
      <c r="AV647" s="41" t="s">
        <v>116</v>
      </c>
      <c r="AW647" s="41" t="str">
        <f>INDEX(Input!$1:$1048576,AW$93,$C647*2+6)</f>
        <v>Kia</v>
      </c>
      <c r="AX647" s="41" t="str">
        <f>INDEX(Input!$1:$1048576,AX$93,$C647*2+6)</f>
        <v>National</v>
      </c>
      <c r="AY647" s="41" t="str">
        <f>IF(LEN(D647)=0,"",INDEX(Input!$1:$1048576,AY$93,$C647*2+6))</f>
        <v>Compact SUV (52)</v>
      </c>
      <c r="AZ647" s="41" t="str">
        <f>INDEX(Input!$1:$1048576,AZ$93,$C647*2+6)</f>
        <v>Kia Soul</v>
      </c>
      <c r="BA647" s="3">
        <f>INDEX(Input!$1:$1048576,BA$93,$C647*2+6)</f>
        <v>2020</v>
      </c>
      <c r="BB647" s="128">
        <f>INDEX(Input!$1:$1048576,BB$93,$C647*2+6)</f>
        <v>1</v>
      </c>
      <c r="BC647" s="128">
        <f>INDEX(Input!$1:$1048576,BC$93,$C647*2+6)</f>
        <v>0.7</v>
      </c>
      <c r="BD647" s="1">
        <f>INDEX(Input!$1:$1048576,BD$93,$C647*2+6)</f>
        <v>4.4999999999999998E-2</v>
      </c>
      <c r="BE647" s="1">
        <f>INDEX(Input!$1:$1048576,BE$93,$C647*2+6)</f>
        <v>4.4999999999999998E-2</v>
      </c>
      <c r="BF647" s="1">
        <f>INDEX(Input!$1:$1048576,BF$93,$C647*2+6)</f>
        <v>0.05</v>
      </c>
      <c r="BG647" s="1">
        <f>INDEX(Input!$1:$1048576,BG$93,$C647*2+6)</f>
        <v>5.45E-2</v>
      </c>
      <c r="BH647" s="1">
        <f>INDEX(Input!$1:$1048576,BH$93,$C647*2+6)</f>
        <v>5.45E-2</v>
      </c>
      <c r="BI647" s="1">
        <f>INDEX(Input!$1:$1048576,BI$93,$C647*2+6)</f>
        <v>0.05</v>
      </c>
      <c r="BJ647" s="1">
        <f>INDEX(Input!$1:$1048576,BJ$93,$C647*2+6)</f>
        <v>0.05</v>
      </c>
      <c r="BK647" s="1">
        <f>INDEX(Input!$1:$1048576,BK$93,$C647*2+6)</f>
        <v>0.05</v>
      </c>
      <c r="BL647" s="1">
        <f>INDEX(Input!$1:$1048576,BL$93,$C647*2+6)</f>
        <v>5.5E-2</v>
      </c>
      <c r="BM647" s="1">
        <f>INDEX(Input!$1:$1048576,BM$93,$C647*2+6)</f>
        <v>0.06</v>
      </c>
      <c r="BN647" s="1">
        <f>INDEX(Input!$1:$1048576,BN$93,$C647*2+6)</f>
        <v>4.4999999999999998E-2</v>
      </c>
      <c r="BO647" s="1">
        <f>INDEX(Input!$1:$1048576,BO$93,$C647*2+6)</f>
        <v>4.4999999999999998E-2</v>
      </c>
      <c r="BP647" s="1">
        <f>INDEX(Input!$1:$1048576,BP$93,$C647*2+6)</f>
        <v>0.05</v>
      </c>
      <c r="BQ647" s="1">
        <f>INDEX(Input!$1:$1048576,BQ$93,$C647*2+6)</f>
        <v>5.45E-2</v>
      </c>
      <c r="BR647" s="1">
        <f>INDEX(Input!$1:$1048576,BR$93,$C647*2+6)</f>
        <v>5.45E-2</v>
      </c>
      <c r="BS647" s="1">
        <f>INDEX(Input!$1:$1048576,BS$93,$C647*2+6)</f>
        <v>0.05</v>
      </c>
      <c r="BT647" s="1">
        <f>INDEX(Input!$1:$1048576,BT$93,$C647*2+6)</f>
        <v>0.05</v>
      </c>
      <c r="BU647" s="1">
        <f>INDEX(Input!$1:$1048576,BU$93,$C647*2+6)</f>
        <v>0.05</v>
      </c>
      <c r="BV647" s="1">
        <f>INDEX(Input!$1:$1048576,BV$93,$C647*2+6)</f>
        <v>5.5E-2</v>
      </c>
      <c r="BW647" s="1">
        <f>INDEX(Input!$1:$1048576,BW$93,$C647*2+6)</f>
        <v>0.06</v>
      </c>
      <c r="BX647" s="127">
        <f>INDEX(Input!$1:$1048576,BX$93,$C647*2+6)</f>
        <v>19985</v>
      </c>
      <c r="BY647" s="20">
        <f>INDEX(Input!$1:$1048576,BY$93,$C647*2+6)</f>
        <v>0.1</v>
      </c>
      <c r="BZ647" s="20">
        <f>INDEX(Input!$1:$1048576,BZ$93,$C647*2+6)</f>
        <v>0.1</v>
      </c>
      <c r="CA647" s="20">
        <f>INDEX(Input!$1:$1048576,CA$93,$C647*2+6)</f>
        <v>0.1</v>
      </c>
      <c r="CB647" s="20">
        <f>INDEX(Input!$1:$1048576,CB$93,$C647*2+6)</f>
        <v>0.1</v>
      </c>
      <c r="CC647" s="20">
        <f>INDEX(Input!$1:$1048576,CC$93,$C647*2+6)</f>
        <v>0.1</v>
      </c>
      <c r="CD647" s="384">
        <f>INDEX(Input!$1:$1048576,CD$93,$C647*2+6)</f>
        <v>0.1</v>
      </c>
      <c r="CE647" s="384">
        <f>INDEX(Input!$1:$1048576,CE$93,$C647*2+6)</f>
        <v>0.1</v>
      </c>
      <c r="CF647" s="384">
        <f>INDEX(Input!$1:$1048576,CF$93,$C647*2+6)</f>
        <v>0.1</v>
      </c>
      <c r="CG647" s="384">
        <f>INDEX(Input!$1:$1048576,CG$93,$C647*2+6)</f>
        <v>0.1</v>
      </c>
      <c r="CH647" s="384">
        <f>INDEX(Input!$1:$1048576,CH$93,$C647*2+6)</f>
        <v>0.1</v>
      </c>
      <c r="CI647" s="304">
        <f t="shared" si="1718"/>
        <v>1517.2644913000609</v>
      </c>
      <c r="CJ647" s="16" t="str">
        <f>INDEX(Input!$1:$1048576,CJ$93,$C647*2+6)</f>
        <v>N</v>
      </c>
      <c r="CK647" s="1" t="str">
        <f t="shared" si="1719"/>
        <v>Market</v>
      </c>
      <c r="CL647" s="1" t="str">
        <f t="shared" si="1720"/>
        <v>Market</v>
      </c>
      <c r="CM647" s="1" t="str">
        <f t="shared" si="1721"/>
        <v>Market</v>
      </c>
      <c r="CN647" s="1" t="str">
        <f t="shared" si="1722"/>
        <v>Market</v>
      </c>
      <c r="CO647" s="1" t="str">
        <f t="shared" si="1723"/>
        <v>Market</v>
      </c>
      <c r="CP647" s="304">
        <f t="shared" si="1724"/>
        <v>500</v>
      </c>
      <c r="CQ647" s="1">
        <f t="shared" si="1725"/>
        <v>0</v>
      </c>
      <c r="CR647" s="1">
        <f t="shared" si="1726"/>
        <v>0</v>
      </c>
      <c r="CS647" s="1">
        <f t="shared" si="1727"/>
        <v>0</v>
      </c>
      <c r="CT647" s="1">
        <f t="shared" si="1728"/>
        <v>1.9E-2</v>
      </c>
      <c r="CU647" s="1">
        <f t="shared" si="1729"/>
        <v>3.9E-2</v>
      </c>
      <c r="CV647" s="304">
        <f t="shared" si="1730"/>
        <v>377.99367635402496</v>
      </c>
      <c r="CW647" s="20" t="s">
        <v>122</v>
      </c>
      <c r="CX647" s="20" t="s">
        <v>122</v>
      </c>
      <c r="CY647" s="20" t="s">
        <v>122</v>
      </c>
      <c r="CZ647" s="20" t="s">
        <v>122</v>
      </c>
      <c r="DA647" s="20" t="s">
        <v>122</v>
      </c>
      <c r="DB647" s="503">
        <f t="shared" si="1731"/>
        <v>0</v>
      </c>
      <c r="DC647" s="127">
        <v>0</v>
      </c>
      <c r="DD647" s="127">
        <v>0</v>
      </c>
      <c r="DE647" s="127">
        <v>0</v>
      </c>
      <c r="DF647" s="127">
        <v>0</v>
      </c>
      <c r="DG647" s="127">
        <v>0</v>
      </c>
      <c r="DH647" s="127">
        <v>0</v>
      </c>
      <c r="DI647" s="127">
        <v>0</v>
      </c>
      <c r="DJ647" s="127">
        <v>0</v>
      </c>
      <c r="DK647" s="127">
        <v>0</v>
      </c>
      <c r="DL647" s="127">
        <v>0</v>
      </c>
      <c r="DM647" s="304">
        <f>INDEX(Input!$1:$1048576,DM$93,$C647*2+6)</f>
        <v>21036.84210526316</v>
      </c>
      <c r="DN647" s="20">
        <v>0</v>
      </c>
      <c r="DO647" s="20">
        <v>0</v>
      </c>
      <c r="DP647" s="20">
        <v>0</v>
      </c>
      <c r="DQ647" s="20">
        <v>0</v>
      </c>
      <c r="DR647" s="20">
        <v>0</v>
      </c>
      <c r="DS647" s="20">
        <f>INDEX(Input!$1:$1048576,DS$93,$C647*2+6)</f>
        <v>0.6</v>
      </c>
      <c r="DT647" s="20">
        <f>INDEX(Input!$1:$1048576,DT$93,$C647*2+6)</f>
        <v>0.55000000000000004</v>
      </c>
      <c r="DU647" s="20">
        <f>INDEX(Input!$1:$1048576,DU$93,$C647*2+6)</f>
        <v>0.52</v>
      </c>
      <c r="DV647" s="20">
        <f>INDEX(Input!$1:$1048576,DV$93,$C647*2+6)</f>
        <v>0.5</v>
      </c>
      <c r="DW647" s="20">
        <f>INDEX(Input!$1:$1048576,DW$93,$C647*2+6)</f>
        <v>0.45</v>
      </c>
      <c r="DX647" s="20"/>
      <c r="DY647" s="7"/>
      <c r="DZ647" s="7"/>
      <c r="EA647" s="7"/>
      <c r="EB647" s="7"/>
      <c r="EC647" s="7"/>
      <c r="ED647" s="7"/>
      <c r="EE647" s="7"/>
      <c r="EF647" s="7"/>
      <c r="EG647" s="7"/>
      <c r="EH647" s="7"/>
      <c r="EI647" s="7"/>
      <c r="EJ647" s="7"/>
      <c r="EK647" s="7"/>
      <c r="EL647" s="7"/>
      <c r="EM647" s="7"/>
      <c r="EN647" s="7"/>
      <c r="EO647" s="7"/>
      <c r="EP647" s="7"/>
      <c r="EQ647" s="7"/>
      <c r="ER647" s="7"/>
      <c r="ES647" s="7"/>
      <c r="ET647" s="7"/>
      <c r="EU647" s="6"/>
      <c r="EV647" s="6"/>
      <c r="EW647" s="6"/>
      <c r="EX647" s="6"/>
      <c r="EY647" s="6"/>
      <c r="EZ647" s="6"/>
      <c r="FA647" s="6"/>
      <c r="FB647" s="6"/>
      <c r="FC647" s="6"/>
      <c r="FD647" s="6"/>
      <c r="FE647" s="6"/>
      <c r="FF647" s="6"/>
      <c r="FG647" s="6"/>
      <c r="FH647" s="6"/>
      <c r="FI647" s="6"/>
      <c r="FJ647" s="6"/>
      <c r="FK647" s="6"/>
      <c r="FL647" s="6"/>
      <c r="FM647" s="6"/>
      <c r="FN647" s="6"/>
      <c r="FO647" s="6"/>
      <c r="FP647" s="6"/>
      <c r="FQ647" s="6"/>
      <c r="FR647" s="6"/>
      <c r="FS647" s="6"/>
      <c r="FT647" s="7"/>
      <c r="FU647" s="7"/>
      <c r="FV647" s="7"/>
      <c r="FW647" s="6"/>
      <c r="FX647" s="6"/>
      <c r="FY647" s="6"/>
      <c r="FZ647" s="6"/>
      <c r="GA647" s="6"/>
      <c r="GB647" s="6"/>
      <c r="GC647" s="7"/>
      <c r="GD647" s="7"/>
      <c r="GE647" s="7"/>
      <c r="GF647" s="7"/>
      <c r="GG647" s="7"/>
      <c r="GH647" s="42"/>
      <c r="GI647" s="6"/>
      <c r="GJ647" s="14"/>
      <c r="GK647" s="14"/>
      <c r="GL647" s="14"/>
      <c r="GM647" s="14"/>
      <c r="GO647" s="5"/>
      <c r="GP647" s="5"/>
      <c r="GQ647" s="5"/>
      <c r="GR647" s="5"/>
      <c r="GS647" s="5"/>
      <c r="GT647" s="5"/>
      <c r="GU647" s="5"/>
      <c r="GV647" s="39"/>
      <c r="GW647" s="5"/>
      <c r="GX647" s="5"/>
      <c r="GY647" s="5"/>
      <c r="GZ647" s="5"/>
      <c r="HA647" s="5"/>
      <c r="HB647" s="39"/>
      <c r="HC647" s="5"/>
      <c r="HD647" s="5"/>
      <c r="HE647" s="5"/>
      <c r="HF647" s="5"/>
      <c r="HG647" s="5"/>
      <c r="HH647" s="39"/>
      <c r="HI647" s="16"/>
      <c r="HJ647" s="19"/>
      <c r="HK647" s="1"/>
      <c r="HL647" s="16"/>
      <c r="HM647" s="639">
        <f t="shared" si="1755"/>
        <v>2.3149872625708352E-2</v>
      </c>
      <c r="HN647" s="639">
        <f t="shared" si="1756"/>
        <v>1.3965040474190958E-3</v>
      </c>
      <c r="HO647" s="639">
        <f t="shared" si="1757"/>
        <v>3.5429561340050734E-3</v>
      </c>
      <c r="HP647" s="644">
        <f t="shared" ref="HP647:ID647" si="1935">HP147+HP247+HP347+HP447+HP547</f>
        <v>459.02264025513188</v>
      </c>
      <c r="HQ647" s="644">
        <f t="shared" si="1935"/>
        <v>-17.240936674560601</v>
      </c>
      <c r="HR647" s="644">
        <f t="shared" si="1935"/>
        <v>-185.37264151163944</v>
      </c>
      <c r="HS647" s="644">
        <f t="shared" si="1935"/>
        <v>-147.9300821612365</v>
      </c>
      <c r="HT647" s="644">
        <f t="shared" si="1935"/>
        <v>57.860657369130003</v>
      </c>
      <c r="HU647" s="644">
        <f t="shared" si="1935"/>
        <v>1.1284754723525416</v>
      </c>
      <c r="HV647" s="644">
        <f t="shared" si="1935"/>
        <v>0</v>
      </c>
      <c r="HW647" s="644">
        <f t="shared" si="1935"/>
        <v>0</v>
      </c>
      <c r="HX647" s="644">
        <f t="shared" si="1935"/>
        <v>0</v>
      </c>
      <c r="HY647" s="644">
        <f t="shared" si="1935"/>
        <v>2396</v>
      </c>
      <c r="HZ647" s="644">
        <f t="shared" si="1935"/>
        <v>3223</v>
      </c>
      <c r="IA647" s="644">
        <f t="shared" si="1935"/>
        <v>830</v>
      </c>
      <c r="IB647" s="644">
        <f t="shared" si="1935"/>
        <v>2707.0925580938951</v>
      </c>
      <c r="IC647" s="644">
        <f t="shared" si="1935"/>
        <v>3263.619720694569</v>
      </c>
      <c r="ID647" s="644">
        <f t="shared" si="1935"/>
        <v>645.75583396071306</v>
      </c>
      <c r="IE647" s="20">
        <f t="shared" si="1759"/>
        <v>0.40914465421175955</v>
      </c>
      <c r="IF647" s="20">
        <f t="shared" si="1760"/>
        <v>0.49325707689967513</v>
      </c>
      <c r="IG647" s="20">
        <f t="shared" si="1761"/>
        <v>9.7598268888565404E-2</v>
      </c>
      <c r="IH647" s="21"/>
      <c r="II647" s="19"/>
      <c r="IJ647" s="19"/>
      <c r="IK647" s="19"/>
      <c r="IL647" s="19">
        <f t="shared" si="1762"/>
        <v>417.77827558555441</v>
      </c>
      <c r="IM647" s="19">
        <f t="shared" si="1763"/>
        <v>176.65019081040373</v>
      </c>
      <c r="IN647" s="19">
        <f t="shared" si="1764"/>
        <v>-245.03732197416866</v>
      </c>
      <c r="IO647" s="39"/>
      <c r="IP647" s="39"/>
      <c r="IQ647" s="39"/>
      <c r="IR647" s="39"/>
      <c r="IS647" s="39"/>
      <c r="IT647" s="39"/>
      <c r="IU647" s="39"/>
      <c r="IV647" s="39"/>
      <c r="IW647" s="39"/>
      <c r="IX647" s="19">
        <f t="shared" si="1765"/>
        <v>1554.1790484140233</v>
      </c>
      <c r="IY647" s="19">
        <f t="shared" si="1766"/>
        <v>2412.3001201524512</v>
      </c>
      <c r="IZ647" s="19">
        <f t="shared" si="1767"/>
        <v>3993.0862952928574</v>
      </c>
      <c r="JA647" s="19">
        <f t="shared" ref="JA647:JC647" si="1936">IFERROR((JA147*IB147+JA247*IB247+JA347*IB347+JA447*IB447+JA547*IB547)/IB647,0)</f>
        <v>1971.9573239995777</v>
      </c>
      <c r="JB647" s="19">
        <f t="shared" si="1936"/>
        <v>2588.9503109628549</v>
      </c>
      <c r="JC647" s="19">
        <f t="shared" si="1936"/>
        <v>3748.0489733186887</v>
      </c>
      <c r="JD647" s="19">
        <f t="shared" si="1769"/>
        <v>2449.6369515776655</v>
      </c>
      <c r="JE647" s="21"/>
      <c r="JF647" s="1">
        <f t="shared" si="1770"/>
        <v>2.6651855648468406E-2</v>
      </c>
      <c r="JG647" s="15">
        <f t="shared" si="1771"/>
        <v>6449</v>
      </c>
      <c r="JH647" s="1">
        <f t="shared" si="1772"/>
        <v>3.9759507221108978E-2</v>
      </c>
      <c r="JI647" s="1">
        <f t="shared" si="1773"/>
        <v>-1.3791432674795155E-2</v>
      </c>
      <c r="JJ647" s="1">
        <f t="shared" si="1774"/>
        <v>0</v>
      </c>
      <c r="JK647" s="1">
        <f t="shared" si="1775"/>
        <v>2.5968074546313835E-2</v>
      </c>
      <c r="JL647" s="15">
        <f t="shared" ref="JL647:JM647" si="1937">JL147+JL247+JL347+JL447+JL547</f>
        <v>167.46811274917792</v>
      </c>
      <c r="JM647" s="15">
        <f t="shared" si="1937"/>
        <v>6616.4681127491785</v>
      </c>
      <c r="JN647" s="21"/>
      <c r="JO647" s="19">
        <f>INDEX(Input!$1:$1048576,JO$93,$C647*2+6)</f>
        <v>5995.5</v>
      </c>
      <c r="JP647" s="19">
        <f>INDEX(Input!$1:$1048576,JP$93,$C647*2+6)</f>
        <v>2296.6050414551746</v>
      </c>
      <c r="JQ647" s="39">
        <f t="shared" si="1799"/>
        <v>3545.8630484223345</v>
      </c>
      <c r="JR647" s="39">
        <f t="shared" si="1800"/>
        <v>153.0319101224909</v>
      </c>
      <c r="JS647" s="39">
        <f t="shared" si="1801"/>
        <v>16.207944777925729</v>
      </c>
      <c r="JT647" s="39">
        <f t="shared" si="1802"/>
        <v>1.3971388655813075</v>
      </c>
      <c r="JU647" s="385">
        <f>(JQ647*JM647-INDEX(Input!$1:$1048576,Input!A$18,$C647*2+6)*JL647*INDEX(Input!$1:$1048576,Input!A$19,$C647*2+6))/1000000</f>
        <v>23.461089792061973</v>
      </c>
      <c r="JV647" s="39">
        <f t="shared" si="1803"/>
        <v>-0.39308379559360418</v>
      </c>
      <c r="JW647" s="1">
        <f t="shared" si="1804"/>
        <v>-1.6478617217618605E-2</v>
      </c>
      <c r="JX647" s="19">
        <f t="shared" si="1805"/>
        <v>8342.7157722488028</v>
      </c>
      <c r="JZ647" s="341"/>
      <c r="KA647" s="60"/>
      <c r="KB647" s="469">
        <f t="shared" si="1778"/>
        <v>0</v>
      </c>
      <c r="KI647" s="472"/>
      <c r="KJ647" s="472"/>
      <c r="KK647" s="472"/>
      <c r="KN647" s="793">
        <f t="shared" si="1779"/>
        <v>6002</v>
      </c>
      <c r="KO647" s="541">
        <f t="shared" si="1780"/>
        <v>2.4513460406125898E-3</v>
      </c>
      <c r="KP647" s="546">
        <f t="shared" si="1781"/>
        <v>67.163228544941717</v>
      </c>
      <c r="KQ647" s="546">
        <f t="shared" si="1782"/>
        <v>-13.196305027479411</v>
      </c>
      <c r="KR647" s="472">
        <f t="shared" si="1783"/>
        <v>0.6395299183783727</v>
      </c>
      <c r="KS647" s="472">
        <f t="shared" si="1784"/>
        <v>-3.2549182502171123</v>
      </c>
      <c r="KT647" s="473">
        <f t="shared" si="1795"/>
        <v>4286.2445668946921</v>
      </c>
      <c r="KU647" s="663">
        <f t="shared" si="1785"/>
        <v>4.4353476767105695</v>
      </c>
      <c r="KV647" s="117"/>
    </row>
    <row r="648" spans="1:308" s="26" customFormat="1" ht="15">
      <c r="A648" s="561">
        <f t="shared" si="1751"/>
        <v>6048</v>
      </c>
      <c r="B648" s="561">
        <f t="shared" si="1786"/>
        <v>48</v>
      </c>
      <c r="C648" s="561">
        <f t="shared" si="1787"/>
        <v>6</v>
      </c>
      <c r="D648" s="561" t="str">
        <f t="shared" si="1855"/>
        <v xml:space="preserve">500 CC, -360 Lease, </v>
      </c>
      <c r="E648" s="475">
        <f>INDEX(Input!$1:$1048576,E$93,$C648*2+MIN($B648,2)+5)
+INDEX(Scenarios!E$121:E$199,MATCH($B648,Scenarios!$B$121:$B$199,0))</f>
        <v>1767.2644913000609</v>
      </c>
      <c r="F648" s="475">
        <f>INDEX(Input!$1:$1048576,F$93,$C648*2+MIN($B648,2)+5)
+INDEX(Scenarios!F$121:F$199,MATCH($B648,Scenarios!$B$121:$B$199,0))</f>
        <v>0</v>
      </c>
      <c r="G648" s="475">
        <f>INDEX(Input!$1:$1048576,G$93,$C648*2+MIN($B648,2)+5)
+INDEX(Scenarios!G$121:G$199,MATCH($B648,Scenarios!$B$121:$B$199,0))</f>
        <v>0</v>
      </c>
      <c r="H648" s="475">
        <f>INDEX(Input!$1:$1048576,H$93,$C648*2+MIN($B648,2)+5)
+INDEX(Scenarios!H$121:H$199,MATCH($B648,Scenarios!$B$121:$B$199,0))</f>
        <v>0</v>
      </c>
      <c r="I648" s="476">
        <f>INDEX(Input!$1:$1048576,I$93,$C648*2+MIN($B648,2)+5)
+INDEX(Scenarios!I$121:I$199,MATCH($B648,Scenarios!$B$121:$B$199,0))</f>
        <v>0.7</v>
      </c>
      <c r="J648" s="476" t="str">
        <f>INDEX(Input!$1:$1048576,J$93,$C648*2+MIN($B648,2)+5)</f>
        <v>Market</v>
      </c>
      <c r="K648" s="476" t="str">
        <f>INDEX(Input!$1:$1048576,K$93,$C648*2+MIN($B648,2)+5)</f>
        <v>Market</v>
      </c>
      <c r="L648" s="476" t="str">
        <f>INDEX(Input!$1:$1048576,L$93,$C648*2+MIN($B648,2)+5)</f>
        <v>Market</v>
      </c>
      <c r="M648" s="476" t="str">
        <f>INDEX(Input!$1:$1048576,M$93,$C648*2+MIN($B648,2)+5)</f>
        <v>Market</v>
      </c>
      <c r="N648" s="476" t="str">
        <f>INDEX(Input!$1:$1048576,N$93,$C648*2+MIN($B648,2)+5)</f>
        <v>Market</v>
      </c>
      <c r="O648" s="476" t="str">
        <f>INDEX(Input!$1:$1048576,O$93,$C648*2+MIN($B648,2)+5)</f>
        <v>Market</v>
      </c>
      <c r="P648" s="476" t="str">
        <f>INDEX(Input!$1:$1048576,P$93,$C648*2+MIN($B648,2)+5)</f>
        <v>N</v>
      </c>
      <c r="Q648" s="477">
        <f>INDEX(Input!$1:$1048576,Q$93,$C648*2+MIN($B648,2)+5)
+INDEX(Scenarios!Q$121:Q$199,MATCH($B648,Scenarios!$B$121:$B$199,0))</f>
        <v>0</v>
      </c>
      <c r="R648" s="478">
        <f>IFERROR(MAX(0,INDEX(Input!$1:$1048576,R$93,$C648*2+MIN($B648,2)+5)
+INDEX(Scenarios!R$121:R$199,MATCH($B648,Scenarios!$B$121:$B$199,0)),),"Market")</f>
        <v>0</v>
      </c>
      <c r="S648" s="478">
        <f>IFERROR(MAX(0,INDEX(Input!$1:$1048576,S$93,$C648*2+MIN($B648,2)+5)
+INDEX(Scenarios!S$121:S$199,MATCH($B648,Scenarios!$B$121:$B$199,0)),),"Market")</f>
        <v>0</v>
      </c>
      <c r="T648" s="478">
        <f>IFERROR(MAX(0,INDEX(Input!$1:$1048576,T$93,$C648*2+MIN($B648,2)+5)
+INDEX(Scenarios!T$121:T$199,MATCH($B648,Scenarios!$B$121:$B$199,0)),),"Market")</f>
        <v>0</v>
      </c>
      <c r="U648" s="478">
        <f>IFERROR(MAX(0,INDEX(Input!$1:$1048576,U$93,$C648*2+MIN($B648,2)+5)
+INDEX(Scenarios!U$121:U$199,MATCH($B648,Scenarios!$B$121:$B$199,0)),),"Market")</f>
        <v>0</v>
      </c>
      <c r="V648" s="478">
        <f>IFERROR(MAX(0,INDEX(Input!$1:$1048576,V$93,$C648*2+MIN($B648,2)+5)
+INDEX(Scenarios!V$121:V$199,MATCH($B648,Scenarios!$B$121:$B$199,0)),),"Market")</f>
        <v>1.9E-2</v>
      </c>
      <c r="W648" s="885">
        <f>IFERROR(MAX(0,INDEX(Input!$1:$1048576,W$93,$C648*2+MIN($B648,2)+5)-0%,),"Market")</f>
        <v>3.9E-2</v>
      </c>
      <c r="X648" s="476" t="str">
        <f>INDEX(Input!$1:$1048576,X$93,$C648*2+MIN($B648,2)+5)</f>
        <v>Y</v>
      </c>
      <c r="Y648" s="475">
        <f>INDEX(Input!$1:$1048576,Y$93,$C648*2+MIN($B648,2)+5)
++INDEX(Scenarios!Y$121:Y$199,MATCH($B648,Scenarios!$B$121:$B$199,0))</f>
        <v>377.99367635402496</v>
      </c>
      <c r="Z648" s="477">
        <f>INDEX(Input!$1:$1048576,Z$93,$C648*2+MIN($B648,2)+5)
+INDEX(Scenarios!Z$121:Z$199,MATCH($B648,Scenarios!$B$121:$B$199,0))</f>
        <v>0</v>
      </c>
      <c r="AA648" s="475">
        <f>INDEX(Input!$1:$1048576,AA$93,$C648*2+MIN($B648,2)+5)</f>
        <v>0</v>
      </c>
      <c r="AB648" s="476">
        <f>INDEX(Input!$1:$1048576,AB$93,$C648*2+MIN($B648,2)+5)</f>
        <v>0.27</v>
      </c>
      <c r="AC648" s="475">
        <f>INDEX(Input!$1:$1048576,AC$93,$C648*2+MIN($B648,2)+5)
+INDEX(Scenarios!AC$121:AC$199,MATCH($B648,Scenarios!$B$121:$B$199,0))</f>
        <v>0</v>
      </c>
      <c r="AD648" s="476">
        <f>INDEX(Input!$1:$1048576,AD$93,$C648*2+MIN($B648,2)+5)</f>
        <v>0.27</v>
      </c>
      <c r="AE648" s="475">
        <f>INDEX(Input!$1:$1048576,AE$93,$C648*2+MIN($B648,2)+5)
+INDEX(Scenarios!AE$121:AE$199,MATCH($B648,Scenarios!$B$121:$B$199,0))</f>
        <v>0</v>
      </c>
      <c r="AF648" s="476">
        <f>INDEX(Input!$1:$1048576,AF$93,$C648*2+MIN($B648,2)+5)</f>
        <v>1</v>
      </c>
      <c r="AG648" s="475">
        <f>INDEX(Input!$1:$1048576,AG$93,$C648*2+MIN($B648,2)+5)</f>
        <v>500</v>
      </c>
      <c r="AH648" s="476">
        <f>INDEX(Input!$1:$1048576,AH$93,$C648*2+MIN($B648,2)+5)</f>
        <v>1</v>
      </c>
      <c r="AI648" s="475">
        <f>INDEX(Input!$1:$1048576,AI$93,$C648*2+MIN($B648,2)+5)</f>
        <v>0</v>
      </c>
      <c r="AJ648" s="476">
        <f>INDEX(Input!$1:$1048576,AJ$93,$C648*2+MIN($B648,2)+5)</f>
        <v>0.27</v>
      </c>
      <c r="AK648" s="150">
        <f>ROUND(INDEX(Input!$1:$1048576,AK$93,$C647*2+MIN($B648,1)+5)+(Y648-VLOOKUP($C648*1000+1,$A:$HH,Y$92,FALSE)),0)</f>
        <v>2701</v>
      </c>
      <c r="AL648" s="150">
        <f>ROUND(INDEX(Input!$1:$1048576,AL$93,$C647*2+MIN($B648,1)+5)-(Y648-VLOOKUP($C648*1000+1,$A:$HH,Y$92,FALSE))/36,0)</f>
        <v>3562</v>
      </c>
      <c r="AM648" s="32" t="str">
        <f t="shared" si="1752"/>
        <v>std/std/std/std</v>
      </c>
      <c r="AN648" s="32" t="str">
        <f t="shared" si="1753"/>
        <v>$0 + 0/0/0/1.9/3.9</v>
      </c>
      <c r="AO648" s="32" t="str">
        <f t="shared" si="1754"/>
        <v>0/0/0/1.9/3.9</v>
      </c>
      <c r="AP648" s="32" t="str">
        <f t="shared" si="1716"/>
        <v>0/0.9/1.9/3.9</v>
      </c>
      <c r="AQ648" s="536">
        <f t="shared" si="1892"/>
        <v>0.42914672624282252</v>
      </c>
      <c r="AR648" s="32"/>
      <c r="AS648" s="302"/>
      <c r="AT648" s="3">
        <f t="shared" si="1788"/>
        <v>48</v>
      </c>
      <c r="AU648" s="41" t="s">
        <v>121</v>
      </c>
      <c r="AV648" s="41" t="s">
        <v>116</v>
      </c>
      <c r="AW648" s="41" t="str">
        <f>INDEX(Input!$1:$1048576,AW$93,$C648*2+6)</f>
        <v>Kia</v>
      </c>
      <c r="AX648" s="41" t="str">
        <f>INDEX(Input!$1:$1048576,AX$93,$C648*2+6)</f>
        <v>National</v>
      </c>
      <c r="AY648" s="41" t="str">
        <f>IF(LEN(D648)=0,"",INDEX(Input!$1:$1048576,AY$93,$C648*2+6))</f>
        <v>Compact SUV (52)</v>
      </c>
      <c r="AZ648" s="41" t="str">
        <f>INDEX(Input!$1:$1048576,AZ$93,$C648*2+6)</f>
        <v>Kia Soul</v>
      </c>
      <c r="BA648" s="3">
        <f>INDEX(Input!$1:$1048576,BA$93,$C648*2+6)</f>
        <v>2020</v>
      </c>
      <c r="BB648" s="128">
        <f>INDEX(Input!$1:$1048576,BB$93,$C648*2+6)</f>
        <v>1</v>
      </c>
      <c r="BC648" s="128">
        <f>INDEX(Input!$1:$1048576,BC$93,$C648*2+6)</f>
        <v>0.7</v>
      </c>
      <c r="BD648" s="1">
        <f>INDEX(Input!$1:$1048576,BD$93,$C648*2+6)</f>
        <v>4.4999999999999998E-2</v>
      </c>
      <c r="BE648" s="1">
        <f>INDEX(Input!$1:$1048576,BE$93,$C648*2+6)</f>
        <v>4.4999999999999998E-2</v>
      </c>
      <c r="BF648" s="1">
        <f>INDEX(Input!$1:$1048576,BF$93,$C648*2+6)</f>
        <v>0.05</v>
      </c>
      <c r="BG648" s="1">
        <f>INDEX(Input!$1:$1048576,BG$93,$C648*2+6)</f>
        <v>5.45E-2</v>
      </c>
      <c r="BH648" s="1">
        <f>INDEX(Input!$1:$1048576,BH$93,$C648*2+6)</f>
        <v>5.45E-2</v>
      </c>
      <c r="BI648" s="1">
        <f>INDEX(Input!$1:$1048576,BI$93,$C648*2+6)</f>
        <v>0.05</v>
      </c>
      <c r="BJ648" s="1">
        <f>INDEX(Input!$1:$1048576,BJ$93,$C648*2+6)</f>
        <v>0.05</v>
      </c>
      <c r="BK648" s="1">
        <f>INDEX(Input!$1:$1048576,BK$93,$C648*2+6)</f>
        <v>0.05</v>
      </c>
      <c r="BL648" s="1">
        <f>INDEX(Input!$1:$1048576,BL$93,$C648*2+6)</f>
        <v>5.5E-2</v>
      </c>
      <c r="BM648" s="1">
        <f>INDEX(Input!$1:$1048576,BM$93,$C648*2+6)</f>
        <v>0.06</v>
      </c>
      <c r="BN648" s="1">
        <f>INDEX(Input!$1:$1048576,BN$93,$C648*2+6)</f>
        <v>4.4999999999999998E-2</v>
      </c>
      <c r="BO648" s="1">
        <f>INDEX(Input!$1:$1048576,BO$93,$C648*2+6)</f>
        <v>4.4999999999999998E-2</v>
      </c>
      <c r="BP648" s="1">
        <f>INDEX(Input!$1:$1048576,BP$93,$C648*2+6)</f>
        <v>0.05</v>
      </c>
      <c r="BQ648" s="1">
        <f>INDEX(Input!$1:$1048576,BQ$93,$C648*2+6)</f>
        <v>5.45E-2</v>
      </c>
      <c r="BR648" s="1">
        <f>INDEX(Input!$1:$1048576,BR$93,$C648*2+6)</f>
        <v>5.45E-2</v>
      </c>
      <c r="BS648" s="1">
        <f>INDEX(Input!$1:$1048576,BS$93,$C648*2+6)</f>
        <v>0.05</v>
      </c>
      <c r="BT648" s="1">
        <f>INDEX(Input!$1:$1048576,BT$93,$C648*2+6)</f>
        <v>0.05</v>
      </c>
      <c r="BU648" s="1">
        <f>INDEX(Input!$1:$1048576,BU$93,$C648*2+6)</f>
        <v>0.05</v>
      </c>
      <c r="BV648" s="1">
        <f>INDEX(Input!$1:$1048576,BV$93,$C648*2+6)</f>
        <v>5.5E-2</v>
      </c>
      <c r="BW648" s="1">
        <f>INDEX(Input!$1:$1048576,BW$93,$C648*2+6)</f>
        <v>0.06</v>
      </c>
      <c r="BX648" s="127">
        <f>INDEX(Input!$1:$1048576,BX$93,$C648*2+6)</f>
        <v>19985</v>
      </c>
      <c r="BY648" s="20">
        <f>INDEX(Input!$1:$1048576,BY$93,$C648*2+6)</f>
        <v>0.1</v>
      </c>
      <c r="BZ648" s="20">
        <f>INDEX(Input!$1:$1048576,BZ$93,$C648*2+6)</f>
        <v>0.1</v>
      </c>
      <c r="CA648" s="20">
        <f>INDEX(Input!$1:$1048576,CA$93,$C648*2+6)</f>
        <v>0.1</v>
      </c>
      <c r="CB648" s="20">
        <f>INDEX(Input!$1:$1048576,CB$93,$C648*2+6)</f>
        <v>0.1</v>
      </c>
      <c r="CC648" s="20">
        <f>INDEX(Input!$1:$1048576,CC$93,$C648*2+6)</f>
        <v>0.1</v>
      </c>
      <c r="CD648" s="384">
        <f>INDEX(Input!$1:$1048576,CD$93,$C648*2+6)</f>
        <v>0.1</v>
      </c>
      <c r="CE648" s="384">
        <f>INDEX(Input!$1:$1048576,CE$93,$C648*2+6)</f>
        <v>0.1</v>
      </c>
      <c r="CF648" s="384">
        <f>INDEX(Input!$1:$1048576,CF$93,$C648*2+6)</f>
        <v>0.1</v>
      </c>
      <c r="CG648" s="384">
        <f>INDEX(Input!$1:$1048576,CG$93,$C648*2+6)</f>
        <v>0.1</v>
      </c>
      <c r="CH648" s="384">
        <f>INDEX(Input!$1:$1048576,CH$93,$C648*2+6)</f>
        <v>0.1</v>
      </c>
      <c r="CI648" s="304">
        <f t="shared" si="1718"/>
        <v>1767.2644913000609</v>
      </c>
      <c r="CJ648" s="16" t="str">
        <f>INDEX(Input!$1:$1048576,CJ$93,$C648*2+6)</f>
        <v>N</v>
      </c>
      <c r="CK648" s="1" t="str">
        <f t="shared" si="1719"/>
        <v>Market</v>
      </c>
      <c r="CL648" s="1" t="str">
        <f t="shared" si="1720"/>
        <v>Market</v>
      </c>
      <c r="CM648" s="1" t="str">
        <f t="shared" si="1721"/>
        <v>Market</v>
      </c>
      <c r="CN648" s="1" t="str">
        <f t="shared" si="1722"/>
        <v>Market</v>
      </c>
      <c r="CO648" s="1" t="str">
        <f t="shared" si="1723"/>
        <v>Market</v>
      </c>
      <c r="CP648" s="304">
        <f t="shared" si="1724"/>
        <v>500</v>
      </c>
      <c r="CQ648" s="1">
        <f t="shared" si="1725"/>
        <v>0</v>
      </c>
      <c r="CR648" s="1">
        <f t="shared" si="1726"/>
        <v>0</v>
      </c>
      <c r="CS648" s="1">
        <f t="shared" si="1727"/>
        <v>0</v>
      </c>
      <c r="CT648" s="1">
        <f t="shared" si="1728"/>
        <v>1.9E-2</v>
      </c>
      <c r="CU648" s="1">
        <f t="shared" si="1729"/>
        <v>3.9E-2</v>
      </c>
      <c r="CV648" s="304">
        <f t="shared" si="1730"/>
        <v>377.99367635402496</v>
      </c>
      <c r="CW648" s="20" t="s">
        <v>122</v>
      </c>
      <c r="CX648" s="20" t="s">
        <v>122</v>
      </c>
      <c r="CY648" s="20" t="s">
        <v>122</v>
      </c>
      <c r="CZ648" s="20" t="s">
        <v>122</v>
      </c>
      <c r="DA648" s="20" t="s">
        <v>122</v>
      </c>
      <c r="DB648" s="503">
        <f t="shared" si="1731"/>
        <v>0</v>
      </c>
      <c r="DC648" s="127">
        <v>0</v>
      </c>
      <c r="DD648" s="127">
        <v>0</v>
      </c>
      <c r="DE648" s="127">
        <v>0</v>
      </c>
      <c r="DF648" s="127">
        <v>0</v>
      </c>
      <c r="DG648" s="127">
        <v>0</v>
      </c>
      <c r="DH648" s="127">
        <v>0</v>
      </c>
      <c r="DI648" s="127">
        <v>0</v>
      </c>
      <c r="DJ648" s="127">
        <v>0</v>
      </c>
      <c r="DK648" s="127">
        <v>0</v>
      </c>
      <c r="DL648" s="127">
        <v>0</v>
      </c>
      <c r="DM648" s="304">
        <f>INDEX(Input!$1:$1048576,DM$93,$C648*2+6)</f>
        <v>21036.84210526316</v>
      </c>
      <c r="DN648" s="20">
        <v>0</v>
      </c>
      <c r="DO648" s="20">
        <v>0</v>
      </c>
      <c r="DP648" s="20">
        <v>0</v>
      </c>
      <c r="DQ648" s="20">
        <v>0</v>
      </c>
      <c r="DR648" s="20">
        <v>0</v>
      </c>
      <c r="DS648" s="20">
        <f>INDEX(Input!$1:$1048576,DS$93,$C648*2+6)</f>
        <v>0.6</v>
      </c>
      <c r="DT648" s="20">
        <f>INDEX(Input!$1:$1048576,DT$93,$C648*2+6)</f>
        <v>0.55000000000000004</v>
      </c>
      <c r="DU648" s="20">
        <f>INDEX(Input!$1:$1048576,DU$93,$C648*2+6)</f>
        <v>0.52</v>
      </c>
      <c r="DV648" s="20">
        <f>INDEX(Input!$1:$1048576,DV$93,$C648*2+6)</f>
        <v>0.5</v>
      </c>
      <c r="DW648" s="20">
        <f>INDEX(Input!$1:$1048576,DW$93,$C648*2+6)</f>
        <v>0.45</v>
      </c>
      <c r="DX648" s="20"/>
      <c r="DY648" s="7"/>
      <c r="DZ648" s="7"/>
      <c r="EA648" s="7"/>
      <c r="EB648" s="7"/>
      <c r="EC648" s="7"/>
      <c r="ED648" s="7"/>
      <c r="EE648" s="7"/>
      <c r="EF648" s="7"/>
      <c r="EG648" s="7"/>
      <c r="EH648" s="7"/>
      <c r="EI648" s="7"/>
      <c r="EJ648" s="7"/>
      <c r="EK648" s="7"/>
      <c r="EL648" s="7"/>
      <c r="EM648" s="7"/>
      <c r="EN648" s="7"/>
      <c r="EO648" s="7"/>
      <c r="EP648" s="7"/>
      <c r="EQ648" s="7"/>
      <c r="ER648" s="7"/>
      <c r="ES648" s="7"/>
      <c r="ET648" s="7"/>
      <c r="EU648" s="6"/>
      <c r="EV648" s="6"/>
      <c r="EW648" s="6"/>
      <c r="EX648" s="6"/>
      <c r="EY648" s="6"/>
      <c r="EZ648" s="6"/>
      <c r="FA648" s="6"/>
      <c r="FB648" s="6"/>
      <c r="FC648" s="6"/>
      <c r="FD648" s="6"/>
      <c r="FE648" s="6"/>
      <c r="FF648" s="6"/>
      <c r="FG648" s="6"/>
      <c r="FH648" s="6"/>
      <c r="FI648" s="6"/>
      <c r="FJ648" s="6"/>
      <c r="FK648" s="6"/>
      <c r="FL648" s="6"/>
      <c r="FM648" s="6"/>
      <c r="FN648" s="6"/>
      <c r="FO648" s="6"/>
      <c r="FP648" s="6"/>
      <c r="FQ648" s="6"/>
      <c r="FR648" s="6"/>
      <c r="FS648" s="6"/>
      <c r="FT648" s="7"/>
      <c r="FU648" s="7"/>
      <c r="FV648" s="7"/>
      <c r="FW648" s="6"/>
      <c r="FX648" s="6"/>
      <c r="FY648" s="6"/>
      <c r="FZ648" s="6"/>
      <c r="GA648" s="6"/>
      <c r="GB648" s="6"/>
      <c r="GC648" s="7"/>
      <c r="GD648" s="7"/>
      <c r="GE648" s="7"/>
      <c r="GF648" s="7"/>
      <c r="GG648" s="7"/>
      <c r="GH648" s="42"/>
      <c r="GI648" s="6"/>
      <c r="GJ648" s="14"/>
      <c r="GK648" s="14"/>
      <c r="GL648" s="14"/>
      <c r="GM648" s="14"/>
      <c r="GO648" s="5"/>
      <c r="GP648" s="5"/>
      <c r="GQ648" s="5"/>
      <c r="GR648" s="5"/>
      <c r="GS648" s="5"/>
      <c r="GT648" s="5"/>
      <c r="GU648" s="5"/>
      <c r="GV648" s="39"/>
      <c r="GW648" s="5"/>
      <c r="GX648" s="5"/>
      <c r="GY648" s="5"/>
      <c r="GZ648" s="5"/>
      <c r="HA648" s="5"/>
      <c r="HB648" s="39"/>
      <c r="HC648" s="5"/>
      <c r="HD648" s="5"/>
      <c r="HE648" s="5"/>
      <c r="HF648" s="5"/>
      <c r="HG648" s="5"/>
      <c r="HH648" s="39"/>
      <c r="HI648" s="16"/>
      <c r="HJ648" s="19"/>
      <c r="HK648" s="1"/>
      <c r="HL648" s="16"/>
      <c r="HM648" s="639">
        <f t="shared" si="1755"/>
        <v>2.3149872625708352E-2</v>
      </c>
      <c r="HN648" s="639">
        <f t="shared" si="1756"/>
        <v>1.3965040474190958E-3</v>
      </c>
      <c r="HO648" s="639">
        <f t="shared" si="1757"/>
        <v>3.5429561340050734E-3</v>
      </c>
      <c r="HP648" s="644">
        <f t="shared" ref="HP648:ID648" si="1938">HP148+HP248+HP348+HP448+HP548</f>
        <v>716.76917370647675</v>
      </c>
      <c r="HQ648" s="644">
        <f t="shared" si="1938"/>
        <v>-44.921433457877519</v>
      </c>
      <c r="HR648" s="644">
        <f t="shared" si="1938"/>
        <v>-240.07508152140412</v>
      </c>
      <c r="HS648" s="644">
        <f t="shared" si="1938"/>
        <v>-235.75584778031896</v>
      </c>
      <c r="HT648" s="644">
        <f t="shared" si="1938"/>
        <v>45.053098312728956</v>
      </c>
      <c r="HU648" s="644">
        <f t="shared" si="1938"/>
        <v>13.96195209093116</v>
      </c>
      <c r="HV648" s="644">
        <f t="shared" si="1938"/>
        <v>0</v>
      </c>
      <c r="HW648" s="644">
        <f t="shared" si="1938"/>
        <v>0</v>
      </c>
      <c r="HX648" s="644">
        <f t="shared" si="1938"/>
        <v>0</v>
      </c>
      <c r="HY648" s="644">
        <f t="shared" si="1938"/>
        <v>2396</v>
      </c>
      <c r="HZ648" s="644">
        <f t="shared" si="1938"/>
        <v>3223</v>
      </c>
      <c r="IA648" s="644">
        <f t="shared" si="1938"/>
        <v>830</v>
      </c>
      <c r="IB648" s="644">
        <f t="shared" si="1938"/>
        <v>2877.0133259261584</v>
      </c>
      <c r="IC648" s="644">
        <f t="shared" si="1938"/>
        <v>3223.1316648548514</v>
      </c>
      <c r="ID648" s="644">
        <f t="shared" si="1938"/>
        <v>603.8868705695271</v>
      </c>
      <c r="IE648" s="20">
        <f t="shared" si="1759"/>
        <v>0.42914672624282252</v>
      </c>
      <c r="IF648" s="20">
        <f t="shared" si="1760"/>
        <v>0.48077511138283091</v>
      </c>
      <c r="IG648" s="20">
        <f t="shared" si="1761"/>
        <v>9.0078162374346668E-2</v>
      </c>
      <c r="IH648" s="21"/>
      <c r="II648" s="19"/>
      <c r="IJ648" s="19"/>
      <c r="IK648" s="19"/>
      <c r="IL648" s="19">
        <f t="shared" si="1762"/>
        <v>664.49309595673594</v>
      </c>
      <c r="IM648" s="19">
        <f t="shared" si="1763"/>
        <v>177.7438809291416</v>
      </c>
      <c r="IN648" s="19">
        <f t="shared" si="1764"/>
        <v>-243.19803717476452</v>
      </c>
      <c r="IO648" s="39"/>
      <c r="IP648" s="39"/>
      <c r="IQ648" s="39"/>
      <c r="IR648" s="39"/>
      <c r="IS648" s="39"/>
      <c r="IT648" s="39"/>
      <c r="IU648" s="39"/>
      <c r="IV648" s="39"/>
      <c r="IW648" s="39"/>
      <c r="IX648" s="19">
        <f t="shared" si="1765"/>
        <v>1554.1790484140233</v>
      </c>
      <c r="IY648" s="19">
        <f t="shared" si="1766"/>
        <v>2412.3001201524512</v>
      </c>
      <c r="IZ648" s="19">
        <f t="shared" si="1767"/>
        <v>3993.0862952928574</v>
      </c>
      <c r="JA648" s="19">
        <f t="shared" ref="JA648:JC648" si="1939">IFERROR((JA148*IB148+JA248*IB248+JA348*IB348+JA448*IB448+JA548*IB548)/IB648,0)</f>
        <v>2218.6721443707593</v>
      </c>
      <c r="JB648" s="19">
        <f t="shared" si="1939"/>
        <v>2590.0440010815928</v>
      </c>
      <c r="JC648" s="19">
        <f t="shared" si="1939"/>
        <v>3749.8882581180928</v>
      </c>
      <c r="JD648" s="19">
        <f t="shared" si="1769"/>
        <v>2535.1476238697078</v>
      </c>
      <c r="JE648" s="21"/>
      <c r="JF648" s="1">
        <f t="shared" si="1770"/>
        <v>2.6651855648468406E-2</v>
      </c>
      <c r="JG648" s="15">
        <f t="shared" si="1771"/>
        <v>6449</v>
      </c>
      <c r="JH648" s="1">
        <f t="shared" si="1772"/>
        <v>6.695187761314858E-2</v>
      </c>
      <c r="JI648" s="1">
        <f t="shared" si="1773"/>
        <v>-2.7405922992193958E-2</v>
      </c>
      <c r="JJ648" s="1">
        <f t="shared" si="1774"/>
        <v>0</v>
      </c>
      <c r="JK648" s="1">
        <f t="shared" si="1775"/>
        <v>3.9545954620954601E-2</v>
      </c>
      <c r="JL648" s="15">
        <f t="shared" ref="JL648:JM648" si="1940">JL148+JL248+JL348+JL448+JL548</f>
        <v>255.03186135053622</v>
      </c>
      <c r="JM648" s="15">
        <f t="shared" si="1940"/>
        <v>6704.031861350536</v>
      </c>
      <c r="JN648" s="21"/>
      <c r="JO648" s="19">
        <f>INDEX(Input!$1:$1048576,JO$93,$C648*2+6)</f>
        <v>5995.5</v>
      </c>
      <c r="JP648" s="19">
        <f>INDEX(Input!$1:$1048576,JP$93,$C648*2+6)</f>
        <v>2296.6050414551746</v>
      </c>
      <c r="JQ648" s="39">
        <f t="shared" si="1799"/>
        <v>3460.3523761302922</v>
      </c>
      <c r="JR648" s="39">
        <f t="shared" si="1800"/>
        <v>238.54258241453317</v>
      </c>
      <c r="JS648" s="39">
        <f t="shared" si="1801"/>
        <v>16.995710443649628</v>
      </c>
      <c r="JT648" s="39">
        <f t="shared" si="1802"/>
        <v>2.1849045313052069</v>
      </c>
      <c r="JU648" s="385">
        <f>(JQ648*JM648-INDEX(Input!$1:$1048576,Input!A$18,$C648*2+6)*JL648*INDEX(Input!$1:$1048576,Input!A$19,$C648*2+6))/1000000</f>
        <v>23.198312581077513</v>
      </c>
      <c r="JV648" s="39">
        <f t="shared" si="1803"/>
        <v>-0.65586100657806412</v>
      </c>
      <c r="JW648" s="1">
        <f t="shared" si="1804"/>
        <v>-2.7494601905532753E-2</v>
      </c>
      <c r="JX648" s="19">
        <f t="shared" si="1805"/>
        <v>8567.1826246921319</v>
      </c>
      <c r="JZ648" s="341"/>
      <c r="KA648" s="60"/>
      <c r="KB648" s="469">
        <f t="shared" si="1778"/>
        <v>0</v>
      </c>
      <c r="KI648" s="472"/>
      <c r="KJ648" s="472"/>
      <c r="KK648" s="472"/>
      <c r="KN648" s="793">
        <f t="shared" si="1779"/>
        <v>6002</v>
      </c>
      <c r="KO648" s="541">
        <f t="shared" si="1780"/>
        <v>1.5718000720116532E-2</v>
      </c>
      <c r="KP648" s="546">
        <f t="shared" si="1781"/>
        <v>181.03824933042469</v>
      </c>
      <c r="KQ648" s="546">
        <f t="shared" si="1782"/>
        <v>72.314367264562861</v>
      </c>
      <c r="KR648" s="472">
        <f t="shared" si="1783"/>
        <v>1.5212996729105972</v>
      </c>
      <c r="KS648" s="472">
        <f t="shared" si="1784"/>
        <v>3.8085575509923131</v>
      </c>
      <c r="KT648" s="473">
        <f t="shared" si="1795"/>
        <v>4286.2445668946921</v>
      </c>
      <c r="KU648" s="663">
        <f t="shared" si="1785"/>
        <v>4.4467911245109955</v>
      </c>
      <c r="KV648" s="117"/>
    </row>
    <row r="649" spans="1:308" s="26" customFormat="1" ht="15">
      <c r="A649" s="561">
        <f t="shared" si="1751"/>
        <v>6049</v>
      </c>
      <c r="B649" s="561">
        <f t="shared" si="1786"/>
        <v>49</v>
      </c>
      <c r="C649" s="561">
        <f t="shared" si="1787"/>
        <v>6</v>
      </c>
      <c r="D649" s="561" t="str">
        <f t="shared" si="1855"/>
        <v xml:space="preserve">750 CC, -360 Lease, </v>
      </c>
      <c r="E649" s="475">
        <f>INDEX(Input!$1:$1048576,E$93,$C649*2+MIN($B649,2)+5)
+INDEX(Scenarios!E$121:E$199,MATCH($B649,Scenarios!$B$121:$B$199,0))</f>
        <v>2017.2644913000609</v>
      </c>
      <c r="F649" s="475">
        <f>INDEX(Input!$1:$1048576,F$93,$C649*2+MIN($B649,2)+5)
+INDEX(Scenarios!F$121:F$199,MATCH($B649,Scenarios!$B$121:$B$199,0))</f>
        <v>0</v>
      </c>
      <c r="G649" s="475">
        <f>INDEX(Input!$1:$1048576,G$93,$C649*2+MIN($B649,2)+5)
+INDEX(Scenarios!G$121:G$199,MATCH($B649,Scenarios!$B$121:$B$199,0))</f>
        <v>0</v>
      </c>
      <c r="H649" s="475">
        <f>INDEX(Input!$1:$1048576,H$93,$C649*2+MIN($B649,2)+5)
+INDEX(Scenarios!H$121:H$199,MATCH($B649,Scenarios!$B$121:$B$199,0))</f>
        <v>0</v>
      </c>
      <c r="I649" s="476">
        <f>INDEX(Input!$1:$1048576,I$93,$C649*2+MIN($B649,2)+5)
+INDEX(Scenarios!I$121:I$199,MATCH($B649,Scenarios!$B$121:$B$199,0))</f>
        <v>0.7</v>
      </c>
      <c r="J649" s="476" t="str">
        <f>INDEX(Input!$1:$1048576,J$93,$C649*2+MIN($B649,2)+5)</f>
        <v>Market</v>
      </c>
      <c r="K649" s="476" t="str">
        <f>INDEX(Input!$1:$1048576,K$93,$C649*2+MIN($B649,2)+5)</f>
        <v>Market</v>
      </c>
      <c r="L649" s="476" t="str">
        <f>INDEX(Input!$1:$1048576,L$93,$C649*2+MIN($B649,2)+5)</f>
        <v>Market</v>
      </c>
      <c r="M649" s="476" t="str">
        <f>INDEX(Input!$1:$1048576,M$93,$C649*2+MIN($B649,2)+5)</f>
        <v>Market</v>
      </c>
      <c r="N649" s="476" t="str">
        <f>INDEX(Input!$1:$1048576,N$93,$C649*2+MIN($B649,2)+5)</f>
        <v>Market</v>
      </c>
      <c r="O649" s="476" t="str">
        <f>INDEX(Input!$1:$1048576,O$93,$C649*2+MIN($B649,2)+5)</f>
        <v>Market</v>
      </c>
      <c r="P649" s="476" t="str">
        <f>INDEX(Input!$1:$1048576,P$93,$C649*2+MIN($B649,2)+5)</f>
        <v>N</v>
      </c>
      <c r="Q649" s="477">
        <f>INDEX(Input!$1:$1048576,Q$93,$C649*2+MIN($B649,2)+5)
+INDEX(Scenarios!Q$121:Q$199,MATCH($B649,Scenarios!$B$121:$B$199,0))</f>
        <v>0</v>
      </c>
      <c r="R649" s="478">
        <f>IFERROR(MAX(0,INDEX(Input!$1:$1048576,R$93,$C649*2+MIN($B649,2)+5)
+INDEX(Scenarios!R$121:R$199,MATCH($B649,Scenarios!$B$121:$B$199,0)),),"Market")</f>
        <v>0</v>
      </c>
      <c r="S649" s="478">
        <f>IFERROR(MAX(0,INDEX(Input!$1:$1048576,S$93,$C649*2+MIN($B649,2)+5)
+INDEX(Scenarios!S$121:S$199,MATCH($B649,Scenarios!$B$121:$B$199,0)),),"Market")</f>
        <v>0</v>
      </c>
      <c r="T649" s="478">
        <f>IFERROR(MAX(0,INDEX(Input!$1:$1048576,T$93,$C649*2+MIN($B649,2)+5)
+INDEX(Scenarios!T$121:T$199,MATCH($B649,Scenarios!$B$121:$B$199,0)),),"Market")</f>
        <v>0</v>
      </c>
      <c r="U649" s="478">
        <f>IFERROR(MAX(0,INDEX(Input!$1:$1048576,U$93,$C649*2+MIN($B649,2)+5)
+INDEX(Scenarios!U$121:U$199,MATCH($B649,Scenarios!$B$121:$B$199,0)),),"Market")</f>
        <v>0</v>
      </c>
      <c r="V649" s="478">
        <f>IFERROR(MAX(0,INDEX(Input!$1:$1048576,V$93,$C649*2+MIN($B649,2)+5)
+INDEX(Scenarios!V$121:V$199,MATCH($B649,Scenarios!$B$121:$B$199,0)),),"Market")</f>
        <v>1.9E-2</v>
      </c>
      <c r="W649" s="885">
        <f>IFERROR(MAX(0,INDEX(Input!$1:$1048576,W$93,$C649*2+MIN($B649,2)+5)-0%,),"Market")</f>
        <v>3.9E-2</v>
      </c>
      <c r="X649" s="476" t="str">
        <f>INDEX(Input!$1:$1048576,X$93,$C649*2+MIN($B649,2)+5)</f>
        <v>Y</v>
      </c>
      <c r="Y649" s="475">
        <f>INDEX(Input!$1:$1048576,Y$93,$C649*2+MIN($B649,2)+5)
++INDEX(Scenarios!Y$121:Y$199,MATCH($B649,Scenarios!$B$121:$B$199,0))</f>
        <v>377.99367635402496</v>
      </c>
      <c r="Z649" s="477">
        <f>INDEX(Input!$1:$1048576,Z$93,$C649*2+MIN($B649,2)+5)
+INDEX(Scenarios!Z$121:Z$199,MATCH($B649,Scenarios!$B$121:$B$199,0))</f>
        <v>0</v>
      </c>
      <c r="AA649" s="475">
        <f>INDEX(Input!$1:$1048576,AA$93,$C649*2+MIN($B649,2)+5)</f>
        <v>0</v>
      </c>
      <c r="AB649" s="476">
        <f>INDEX(Input!$1:$1048576,AB$93,$C649*2+MIN($B649,2)+5)</f>
        <v>0.27</v>
      </c>
      <c r="AC649" s="475">
        <f>INDEX(Input!$1:$1048576,AC$93,$C649*2+MIN($B649,2)+5)
+INDEX(Scenarios!AC$121:AC$199,MATCH($B649,Scenarios!$B$121:$B$199,0))</f>
        <v>0</v>
      </c>
      <c r="AD649" s="476">
        <f>INDEX(Input!$1:$1048576,AD$93,$C649*2+MIN($B649,2)+5)</f>
        <v>0.27</v>
      </c>
      <c r="AE649" s="475">
        <f>INDEX(Input!$1:$1048576,AE$93,$C649*2+MIN($B649,2)+5)
+INDEX(Scenarios!AE$121:AE$199,MATCH($B649,Scenarios!$B$121:$B$199,0))</f>
        <v>0</v>
      </c>
      <c r="AF649" s="476">
        <f>INDEX(Input!$1:$1048576,AF$93,$C649*2+MIN($B649,2)+5)</f>
        <v>1</v>
      </c>
      <c r="AG649" s="475">
        <f>INDEX(Input!$1:$1048576,AG$93,$C649*2+MIN($B649,2)+5)</f>
        <v>500</v>
      </c>
      <c r="AH649" s="476">
        <f>INDEX(Input!$1:$1048576,AH$93,$C649*2+MIN($B649,2)+5)</f>
        <v>1</v>
      </c>
      <c r="AI649" s="475">
        <f>INDEX(Input!$1:$1048576,AI$93,$C649*2+MIN($B649,2)+5)</f>
        <v>0</v>
      </c>
      <c r="AJ649" s="476">
        <f>INDEX(Input!$1:$1048576,AJ$93,$C649*2+MIN($B649,2)+5)</f>
        <v>0.27</v>
      </c>
      <c r="AK649" s="150">
        <f>ROUND(INDEX(Input!$1:$1048576,AK$93,$C648*2+MIN($B649,1)+5)+(Y649-VLOOKUP($C649*1000+1,$A:$HH,Y$92,FALSE)),0)</f>
        <v>2701</v>
      </c>
      <c r="AL649" s="150">
        <f>ROUND(INDEX(Input!$1:$1048576,AL$93,$C648*2+MIN($B649,1)+5)-(Y649-VLOOKUP($C649*1000+1,$A:$HH,Y$92,FALSE))/36,0)</f>
        <v>3562</v>
      </c>
      <c r="AM649" s="32" t="str">
        <f t="shared" si="1752"/>
        <v>std/std/std/std</v>
      </c>
      <c r="AN649" s="32" t="str">
        <f t="shared" si="1753"/>
        <v>$0 + 0/0/0/1.9/3.9</v>
      </c>
      <c r="AO649" s="32" t="str">
        <f t="shared" si="1754"/>
        <v>0/0/0/1.9/3.9</v>
      </c>
      <c r="AP649" s="32" t="str">
        <f t="shared" si="1716"/>
        <v>0/0.9/1.9/3.9</v>
      </c>
      <c r="AQ649" s="536">
        <f t="shared" si="1892"/>
        <v>0.44847213877483078</v>
      </c>
      <c r="AR649" s="32"/>
      <c r="AS649" s="302"/>
      <c r="AT649" s="3">
        <f t="shared" si="1788"/>
        <v>49</v>
      </c>
      <c r="AU649" s="41" t="s">
        <v>121</v>
      </c>
      <c r="AV649" s="41" t="s">
        <v>116</v>
      </c>
      <c r="AW649" s="41" t="str">
        <f>INDEX(Input!$1:$1048576,AW$93,$C649*2+6)</f>
        <v>Kia</v>
      </c>
      <c r="AX649" s="41" t="str">
        <f>INDEX(Input!$1:$1048576,AX$93,$C649*2+6)</f>
        <v>National</v>
      </c>
      <c r="AY649" s="41" t="str">
        <f>IF(LEN(D649)=0,"",INDEX(Input!$1:$1048576,AY$93,$C649*2+6))</f>
        <v>Compact SUV (52)</v>
      </c>
      <c r="AZ649" s="41" t="str">
        <f>INDEX(Input!$1:$1048576,AZ$93,$C649*2+6)</f>
        <v>Kia Soul</v>
      </c>
      <c r="BA649" s="3">
        <f>INDEX(Input!$1:$1048576,BA$93,$C649*2+6)</f>
        <v>2020</v>
      </c>
      <c r="BB649" s="128">
        <f>INDEX(Input!$1:$1048576,BB$93,$C649*2+6)</f>
        <v>1</v>
      </c>
      <c r="BC649" s="128">
        <f>INDEX(Input!$1:$1048576,BC$93,$C649*2+6)</f>
        <v>0.7</v>
      </c>
      <c r="BD649" s="1">
        <f>INDEX(Input!$1:$1048576,BD$93,$C649*2+6)</f>
        <v>4.4999999999999998E-2</v>
      </c>
      <c r="BE649" s="1">
        <f>INDEX(Input!$1:$1048576,BE$93,$C649*2+6)</f>
        <v>4.4999999999999998E-2</v>
      </c>
      <c r="BF649" s="1">
        <f>INDEX(Input!$1:$1048576,BF$93,$C649*2+6)</f>
        <v>0.05</v>
      </c>
      <c r="BG649" s="1">
        <f>INDEX(Input!$1:$1048576,BG$93,$C649*2+6)</f>
        <v>5.45E-2</v>
      </c>
      <c r="BH649" s="1">
        <f>INDEX(Input!$1:$1048576,BH$93,$C649*2+6)</f>
        <v>5.45E-2</v>
      </c>
      <c r="BI649" s="1">
        <f>INDEX(Input!$1:$1048576,BI$93,$C649*2+6)</f>
        <v>0.05</v>
      </c>
      <c r="BJ649" s="1">
        <f>INDEX(Input!$1:$1048576,BJ$93,$C649*2+6)</f>
        <v>0.05</v>
      </c>
      <c r="BK649" s="1">
        <f>INDEX(Input!$1:$1048576,BK$93,$C649*2+6)</f>
        <v>0.05</v>
      </c>
      <c r="BL649" s="1">
        <f>INDEX(Input!$1:$1048576,BL$93,$C649*2+6)</f>
        <v>5.5E-2</v>
      </c>
      <c r="BM649" s="1">
        <f>INDEX(Input!$1:$1048576,BM$93,$C649*2+6)</f>
        <v>0.06</v>
      </c>
      <c r="BN649" s="1">
        <f>INDEX(Input!$1:$1048576,BN$93,$C649*2+6)</f>
        <v>4.4999999999999998E-2</v>
      </c>
      <c r="BO649" s="1">
        <f>INDEX(Input!$1:$1048576,BO$93,$C649*2+6)</f>
        <v>4.4999999999999998E-2</v>
      </c>
      <c r="BP649" s="1">
        <f>INDEX(Input!$1:$1048576,BP$93,$C649*2+6)</f>
        <v>0.05</v>
      </c>
      <c r="BQ649" s="1">
        <f>INDEX(Input!$1:$1048576,BQ$93,$C649*2+6)</f>
        <v>5.45E-2</v>
      </c>
      <c r="BR649" s="1">
        <f>INDEX(Input!$1:$1048576,BR$93,$C649*2+6)</f>
        <v>5.45E-2</v>
      </c>
      <c r="BS649" s="1">
        <f>INDEX(Input!$1:$1048576,BS$93,$C649*2+6)</f>
        <v>0.05</v>
      </c>
      <c r="BT649" s="1">
        <f>INDEX(Input!$1:$1048576,BT$93,$C649*2+6)</f>
        <v>0.05</v>
      </c>
      <c r="BU649" s="1">
        <f>INDEX(Input!$1:$1048576,BU$93,$C649*2+6)</f>
        <v>0.05</v>
      </c>
      <c r="BV649" s="1">
        <f>INDEX(Input!$1:$1048576,BV$93,$C649*2+6)</f>
        <v>5.5E-2</v>
      </c>
      <c r="BW649" s="1">
        <f>INDEX(Input!$1:$1048576,BW$93,$C649*2+6)</f>
        <v>0.06</v>
      </c>
      <c r="BX649" s="127">
        <f>INDEX(Input!$1:$1048576,BX$93,$C649*2+6)</f>
        <v>19985</v>
      </c>
      <c r="BY649" s="20">
        <f>INDEX(Input!$1:$1048576,BY$93,$C649*2+6)</f>
        <v>0.1</v>
      </c>
      <c r="BZ649" s="20">
        <f>INDEX(Input!$1:$1048576,BZ$93,$C649*2+6)</f>
        <v>0.1</v>
      </c>
      <c r="CA649" s="20">
        <f>INDEX(Input!$1:$1048576,CA$93,$C649*2+6)</f>
        <v>0.1</v>
      </c>
      <c r="CB649" s="20">
        <f>INDEX(Input!$1:$1048576,CB$93,$C649*2+6)</f>
        <v>0.1</v>
      </c>
      <c r="CC649" s="20">
        <f>INDEX(Input!$1:$1048576,CC$93,$C649*2+6)</f>
        <v>0.1</v>
      </c>
      <c r="CD649" s="384">
        <f>INDEX(Input!$1:$1048576,CD$93,$C649*2+6)</f>
        <v>0.1</v>
      </c>
      <c r="CE649" s="384">
        <f>INDEX(Input!$1:$1048576,CE$93,$C649*2+6)</f>
        <v>0.1</v>
      </c>
      <c r="CF649" s="384">
        <f>INDEX(Input!$1:$1048576,CF$93,$C649*2+6)</f>
        <v>0.1</v>
      </c>
      <c r="CG649" s="384">
        <f>INDEX(Input!$1:$1048576,CG$93,$C649*2+6)</f>
        <v>0.1</v>
      </c>
      <c r="CH649" s="384">
        <f>INDEX(Input!$1:$1048576,CH$93,$C649*2+6)</f>
        <v>0.1</v>
      </c>
      <c r="CI649" s="304">
        <f t="shared" si="1718"/>
        <v>2017.2644913000609</v>
      </c>
      <c r="CJ649" s="16" t="str">
        <f>INDEX(Input!$1:$1048576,CJ$93,$C649*2+6)</f>
        <v>N</v>
      </c>
      <c r="CK649" s="1" t="str">
        <f t="shared" si="1719"/>
        <v>Market</v>
      </c>
      <c r="CL649" s="1" t="str">
        <f t="shared" si="1720"/>
        <v>Market</v>
      </c>
      <c r="CM649" s="1" t="str">
        <f t="shared" si="1721"/>
        <v>Market</v>
      </c>
      <c r="CN649" s="1" t="str">
        <f t="shared" si="1722"/>
        <v>Market</v>
      </c>
      <c r="CO649" s="1" t="str">
        <f t="shared" si="1723"/>
        <v>Market</v>
      </c>
      <c r="CP649" s="304">
        <f t="shared" si="1724"/>
        <v>500</v>
      </c>
      <c r="CQ649" s="1">
        <f t="shared" si="1725"/>
        <v>0</v>
      </c>
      <c r="CR649" s="1">
        <f t="shared" si="1726"/>
        <v>0</v>
      </c>
      <c r="CS649" s="1">
        <f t="shared" si="1727"/>
        <v>0</v>
      </c>
      <c r="CT649" s="1">
        <f t="shared" si="1728"/>
        <v>1.9E-2</v>
      </c>
      <c r="CU649" s="1">
        <f t="shared" si="1729"/>
        <v>3.9E-2</v>
      </c>
      <c r="CV649" s="304">
        <f t="shared" si="1730"/>
        <v>377.99367635402496</v>
      </c>
      <c r="CW649" s="20" t="s">
        <v>122</v>
      </c>
      <c r="CX649" s="20" t="s">
        <v>122</v>
      </c>
      <c r="CY649" s="20" t="s">
        <v>122</v>
      </c>
      <c r="CZ649" s="20" t="s">
        <v>122</v>
      </c>
      <c r="DA649" s="20" t="s">
        <v>122</v>
      </c>
      <c r="DB649" s="503">
        <f t="shared" si="1731"/>
        <v>0</v>
      </c>
      <c r="DC649" s="127">
        <v>0</v>
      </c>
      <c r="DD649" s="127">
        <v>0</v>
      </c>
      <c r="DE649" s="127">
        <v>0</v>
      </c>
      <c r="DF649" s="127">
        <v>0</v>
      </c>
      <c r="DG649" s="127">
        <v>0</v>
      </c>
      <c r="DH649" s="127">
        <v>0</v>
      </c>
      <c r="DI649" s="127">
        <v>0</v>
      </c>
      <c r="DJ649" s="127">
        <v>0</v>
      </c>
      <c r="DK649" s="127">
        <v>0</v>
      </c>
      <c r="DL649" s="127">
        <v>0</v>
      </c>
      <c r="DM649" s="304">
        <f>INDEX(Input!$1:$1048576,DM$93,$C649*2+6)</f>
        <v>21036.84210526316</v>
      </c>
      <c r="DN649" s="20">
        <v>0</v>
      </c>
      <c r="DO649" s="20">
        <v>0</v>
      </c>
      <c r="DP649" s="20">
        <v>0</v>
      </c>
      <c r="DQ649" s="20">
        <v>0</v>
      </c>
      <c r="DR649" s="20">
        <v>0</v>
      </c>
      <c r="DS649" s="20">
        <f>INDEX(Input!$1:$1048576,DS$93,$C649*2+6)</f>
        <v>0.6</v>
      </c>
      <c r="DT649" s="20">
        <f>INDEX(Input!$1:$1048576,DT$93,$C649*2+6)</f>
        <v>0.55000000000000004</v>
      </c>
      <c r="DU649" s="20">
        <f>INDEX(Input!$1:$1048576,DU$93,$C649*2+6)</f>
        <v>0.52</v>
      </c>
      <c r="DV649" s="20">
        <f>INDEX(Input!$1:$1048576,DV$93,$C649*2+6)</f>
        <v>0.5</v>
      </c>
      <c r="DW649" s="20">
        <f>INDEX(Input!$1:$1048576,DW$93,$C649*2+6)</f>
        <v>0.45</v>
      </c>
      <c r="DX649" s="20"/>
      <c r="DY649" s="7"/>
      <c r="DZ649" s="7"/>
      <c r="EA649" s="7"/>
      <c r="EB649" s="7"/>
      <c r="EC649" s="7"/>
      <c r="ED649" s="7"/>
      <c r="EE649" s="7"/>
      <c r="EF649" s="7"/>
      <c r="EG649" s="7"/>
      <c r="EH649" s="7"/>
      <c r="EI649" s="7"/>
      <c r="EJ649" s="7"/>
      <c r="EK649" s="7"/>
      <c r="EL649" s="7"/>
      <c r="EM649" s="7"/>
      <c r="EN649" s="7"/>
      <c r="EO649" s="7"/>
      <c r="EP649" s="7"/>
      <c r="EQ649" s="7"/>
      <c r="ER649" s="7"/>
      <c r="ES649" s="7"/>
      <c r="ET649" s="7"/>
      <c r="EU649" s="6"/>
      <c r="EV649" s="6"/>
      <c r="EW649" s="6"/>
      <c r="EX649" s="6"/>
      <c r="EY649" s="6"/>
      <c r="EZ649" s="6"/>
      <c r="FA649" s="6"/>
      <c r="FB649" s="6"/>
      <c r="FC649" s="6"/>
      <c r="FD649" s="6"/>
      <c r="FE649" s="6"/>
      <c r="FF649" s="6"/>
      <c r="FG649" s="6"/>
      <c r="FH649" s="6"/>
      <c r="FI649" s="6"/>
      <c r="FJ649" s="6"/>
      <c r="FK649" s="6"/>
      <c r="FL649" s="6"/>
      <c r="FM649" s="6"/>
      <c r="FN649" s="6"/>
      <c r="FO649" s="6"/>
      <c r="FP649" s="6"/>
      <c r="FQ649" s="6"/>
      <c r="FR649" s="6"/>
      <c r="FS649" s="6"/>
      <c r="FT649" s="7"/>
      <c r="FU649" s="7"/>
      <c r="FV649" s="7"/>
      <c r="FW649" s="6"/>
      <c r="FX649" s="6"/>
      <c r="FY649" s="6"/>
      <c r="FZ649" s="6"/>
      <c r="GA649" s="6"/>
      <c r="GB649" s="6"/>
      <c r="GC649" s="7"/>
      <c r="GD649" s="7"/>
      <c r="GE649" s="7"/>
      <c r="GF649" s="7"/>
      <c r="GG649" s="7"/>
      <c r="GH649" s="42"/>
      <c r="GI649" s="6"/>
      <c r="GJ649" s="14"/>
      <c r="GK649" s="14"/>
      <c r="GL649" s="14"/>
      <c r="GM649" s="14"/>
      <c r="GO649" s="5"/>
      <c r="GP649" s="5"/>
      <c r="GQ649" s="5"/>
      <c r="GR649" s="5"/>
      <c r="GS649" s="5"/>
      <c r="GT649" s="5"/>
      <c r="GU649" s="5"/>
      <c r="GV649" s="39"/>
      <c r="GW649" s="5"/>
      <c r="GX649" s="5"/>
      <c r="GY649" s="5"/>
      <c r="GZ649" s="5"/>
      <c r="HA649" s="5"/>
      <c r="HB649" s="39"/>
      <c r="HC649" s="5"/>
      <c r="HD649" s="5"/>
      <c r="HE649" s="5"/>
      <c r="HF649" s="5"/>
      <c r="HG649" s="5"/>
      <c r="HH649" s="39"/>
      <c r="HI649" s="16"/>
      <c r="HJ649" s="19"/>
      <c r="HK649" s="1"/>
      <c r="HL649" s="16"/>
      <c r="HM649" s="639">
        <f t="shared" si="1755"/>
        <v>2.3149872625708352E-2</v>
      </c>
      <c r="HN649" s="639">
        <f t="shared" si="1756"/>
        <v>1.3965040474190958E-3</v>
      </c>
      <c r="HO649" s="639">
        <f t="shared" si="1757"/>
        <v>3.5429561340050734E-3</v>
      </c>
      <c r="HP649" s="644">
        <f t="shared" ref="HP649:ID649" si="1941">HP149+HP249+HP349+HP449+HP549</f>
        <v>976.82139295560614</v>
      </c>
      <c r="HQ649" s="644">
        <f t="shared" si="1941"/>
        <v>-70.640005140310137</v>
      </c>
      <c r="HR649" s="644">
        <f t="shared" si="1941"/>
        <v>-291.46346619890369</v>
      </c>
      <c r="HS649" s="644">
        <f t="shared" si="1941"/>
        <v>-323.58158443354819</v>
      </c>
      <c r="HT649" s="644">
        <f t="shared" si="1941"/>
        <v>32.241600467871287</v>
      </c>
      <c r="HU649" s="644">
        <f t="shared" si="1941"/>
        <v>26.795399743656667</v>
      </c>
      <c r="HV649" s="644">
        <f t="shared" si="1941"/>
        <v>0</v>
      </c>
      <c r="HW649" s="644">
        <f t="shared" si="1941"/>
        <v>0</v>
      </c>
      <c r="HX649" s="644">
        <f t="shared" si="1941"/>
        <v>0</v>
      </c>
      <c r="HY649" s="644">
        <f t="shared" si="1941"/>
        <v>2396</v>
      </c>
      <c r="HZ649" s="644">
        <f t="shared" si="1941"/>
        <v>3223</v>
      </c>
      <c r="IA649" s="644">
        <f t="shared" si="1941"/>
        <v>830</v>
      </c>
      <c r="IB649" s="644">
        <f t="shared" si="1941"/>
        <v>3049.2398085220584</v>
      </c>
      <c r="IC649" s="644">
        <f t="shared" si="1941"/>
        <v>3184.601595327561</v>
      </c>
      <c r="ID649" s="644">
        <f t="shared" si="1941"/>
        <v>565.33193354475304</v>
      </c>
      <c r="IE649" s="20">
        <f t="shared" si="1759"/>
        <v>0.44847213877483078</v>
      </c>
      <c r="IF649" s="20">
        <f t="shared" si="1760"/>
        <v>0.46838070413836319</v>
      </c>
      <c r="IG649" s="20">
        <f t="shared" si="1761"/>
        <v>8.314715708680602E-2</v>
      </c>
      <c r="IH649" s="21"/>
      <c r="II649" s="19"/>
      <c r="IJ649" s="19"/>
      <c r="IK649" s="19"/>
      <c r="IL649" s="19">
        <f t="shared" si="1762"/>
        <v>911.5308900564869</v>
      </c>
      <c r="IM649" s="19">
        <f t="shared" si="1763"/>
        <v>178.83928011059788</v>
      </c>
      <c r="IN649" s="19">
        <f t="shared" si="1764"/>
        <v>-241.32791261568354</v>
      </c>
      <c r="IO649" s="39"/>
      <c r="IP649" s="39"/>
      <c r="IQ649" s="39"/>
      <c r="IR649" s="39"/>
      <c r="IS649" s="39"/>
      <c r="IT649" s="39"/>
      <c r="IU649" s="39"/>
      <c r="IV649" s="39"/>
      <c r="IW649" s="39"/>
      <c r="IX649" s="19">
        <f t="shared" si="1765"/>
        <v>1554.1790484140233</v>
      </c>
      <c r="IY649" s="19">
        <f t="shared" si="1766"/>
        <v>2412.3001201524512</v>
      </c>
      <c r="IZ649" s="19">
        <f t="shared" si="1767"/>
        <v>3993.0862952928574</v>
      </c>
      <c r="JA649" s="19">
        <f t="shared" ref="JA649:JC649" si="1942">IFERROR((JA149*IB149+JA249*IB249+JA349*IB349+JA449*IB449+JA549*IB549)/IB649,0)</f>
        <v>2465.7099384705102</v>
      </c>
      <c r="JB649" s="19">
        <f t="shared" si="1942"/>
        <v>2591.1394002630491</v>
      </c>
      <c r="JC649" s="19">
        <f t="shared" si="1942"/>
        <v>3751.7583826771738</v>
      </c>
      <c r="JD649" s="19">
        <f t="shared" si="1769"/>
        <v>2631.3899501162896</v>
      </c>
      <c r="JE649" s="21"/>
      <c r="JF649" s="1">
        <f t="shared" si="1770"/>
        <v>2.6651855648468406E-2</v>
      </c>
      <c r="JG649" s="15">
        <f t="shared" si="1771"/>
        <v>6449</v>
      </c>
      <c r="JH649" s="1">
        <f t="shared" si="1772"/>
        <v>9.5319882402913989E-2</v>
      </c>
      <c r="JI649" s="1">
        <f t="shared" si="1773"/>
        <v>-4.1021024069161145E-2</v>
      </c>
      <c r="JJ649" s="1">
        <f t="shared" si="1774"/>
        <v>0</v>
      </c>
      <c r="JK649" s="1">
        <f t="shared" si="1775"/>
        <v>5.429885833375285E-2</v>
      </c>
      <c r="JL649" s="15">
        <f t="shared" ref="JL649:JM649" si="1943">JL149+JL249+JL349+JL449+JL549</f>
        <v>350.17333739437214</v>
      </c>
      <c r="JM649" s="15">
        <f t="shared" si="1943"/>
        <v>6799.1733373943716</v>
      </c>
      <c r="JN649" s="21"/>
      <c r="JO649" s="19">
        <f>INDEX(Input!$1:$1048576,JO$93,$C649*2+6)</f>
        <v>5995.5</v>
      </c>
      <c r="JP649" s="19">
        <f>INDEX(Input!$1:$1048576,JP$93,$C649*2+6)</f>
        <v>2296.6050414551746</v>
      </c>
      <c r="JQ649" s="39">
        <f t="shared" si="1799"/>
        <v>3364.1100498837104</v>
      </c>
      <c r="JR649" s="39">
        <f t="shared" si="1800"/>
        <v>334.78490866111497</v>
      </c>
      <c r="JS649" s="39">
        <f t="shared" si="1801"/>
        <v>17.891276389118183</v>
      </c>
      <c r="JT649" s="39">
        <f t="shared" si="1802"/>
        <v>3.0804704767737632</v>
      </c>
      <c r="JU649" s="385">
        <f>(JQ649*JM649-INDEX(Input!$1:$1048576,Input!A$18,$C649*2+6)*JL649*INDEX(Input!$1:$1048576,Input!A$19,$C649*2+6))/1000000</f>
        <v>22.873167355229771</v>
      </c>
      <c r="JV649" s="39">
        <f t="shared" si="1803"/>
        <v>-0.98100623242580554</v>
      </c>
      <c r="JW649" s="1">
        <f t="shared" si="1804"/>
        <v>-4.1125140169746714E-2</v>
      </c>
      <c r="JX649" s="19">
        <f t="shared" si="1805"/>
        <v>8796.9875139422056</v>
      </c>
      <c r="JZ649" s="341"/>
      <c r="KA649" s="60"/>
      <c r="KB649" s="469">
        <f t="shared" si="1778"/>
        <v>0</v>
      </c>
      <c r="KI649" s="472"/>
      <c r="KJ649" s="472"/>
      <c r="KK649" s="472"/>
      <c r="KN649" s="793">
        <f t="shared" si="1779"/>
        <v>6002</v>
      </c>
      <c r="KO649" s="541">
        <f t="shared" si="1780"/>
        <v>3.0132745731984434E-2</v>
      </c>
      <c r="KP649" s="546">
        <f t="shared" si="1781"/>
        <v>304.18674316136946</v>
      </c>
      <c r="KQ649" s="546">
        <f t="shared" si="1782"/>
        <v>168.55669351114466</v>
      </c>
      <c r="KR649" s="472">
        <f t="shared" si="1783"/>
        <v>1.7357462381983373</v>
      </c>
      <c r="KS649" s="472">
        <f t="shared" si="1784"/>
        <v>3.1324237807099666</v>
      </c>
      <c r="KT649" s="473">
        <f t="shared" si="1795"/>
        <v>4286.2445668946921</v>
      </c>
      <c r="KU649" s="663">
        <f t="shared" si="1785"/>
        <v>4.4527360435570289</v>
      </c>
      <c r="KV649" s="117"/>
    </row>
    <row r="650" spans="1:308" s="26" customFormat="1" ht="15">
      <c r="A650" s="561">
        <f t="shared" si="1751"/>
        <v>6050</v>
      </c>
      <c r="B650" s="561">
        <f t="shared" si="1786"/>
        <v>50</v>
      </c>
      <c r="C650" s="561">
        <f t="shared" si="1787"/>
        <v>6</v>
      </c>
      <c r="D650" s="561" t="str">
        <f t="shared" si="1855"/>
        <v xml:space="preserve">1000 CC, -360 Lease, </v>
      </c>
      <c r="E650" s="475">
        <f>INDEX(Input!$1:$1048576,E$93,$C650*2+MIN($B650,2)+5)
+INDEX(Scenarios!E$121:E$199,MATCH($B650,Scenarios!$B$121:$B$199,0))</f>
        <v>2267.2644913000609</v>
      </c>
      <c r="F650" s="475">
        <f>INDEX(Input!$1:$1048576,F$93,$C650*2+MIN($B650,2)+5)
+INDEX(Scenarios!F$121:F$199,MATCH($B650,Scenarios!$B$121:$B$199,0))</f>
        <v>0</v>
      </c>
      <c r="G650" s="475">
        <f>INDEX(Input!$1:$1048576,G$93,$C650*2+MIN($B650,2)+5)
+INDEX(Scenarios!G$121:G$199,MATCH($B650,Scenarios!$B$121:$B$199,0))</f>
        <v>0</v>
      </c>
      <c r="H650" s="475">
        <f>INDEX(Input!$1:$1048576,H$93,$C650*2+MIN($B650,2)+5)
+INDEX(Scenarios!H$121:H$199,MATCH($B650,Scenarios!$B$121:$B$199,0))</f>
        <v>0</v>
      </c>
      <c r="I650" s="476">
        <f>INDEX(Input!$1:$1048576,I$93,$C650*2+MIN($B650,2)+5)
+INDEX(Scenarios!I$121:I$199,MATCH($B650,Scenarios!$B$121:$B$199,0))</f>
        <v>0.7</v>
      </c>
      <c r="J650" s="476" t="str">
        <f>INDEX(Input!$1:$1048576,J$93,$C650*2+MIN($B650,2)+5)</f>
        <v>Market</v>
      </c>
      <c r="K650" s="476" t="str">
        <f>INDEX(Input!$1:$1048576,K$93,$C650*2+MIN($B650,2)+5)</f>
        <v>Market</v>
      </c>
      <c r="L650" s="476" t="str">
        <f>INDEX(Input!$1:$1048576,L$93,$C650*2+MIN($B650,2)+5)</f>
        <v>Market</v>
      </c>
      <c r="M650" s="476" t="str">
        <f>INDEX(Input!$1:$1048576,M$93,$C650*2+MIN($B650,2)+5)</f>
        <v>Market</v>
      </c>
      <c r="N650" s="476" t="str">
        <f>INDEX(Input!$1:$1048576,N$93,$C650*2+MIN($B650,2)+5)</f>
        <v>Market</v>
      </c>
      <c r="O650" s="476" t="str">
        <f>INDEX(Input!$1:$1048576,O$93,$C650*2+MIN($B650,2)+5)</f>
        <v>Market</v>
      </c>
      <c r="P650" s="476" t="str">
        <f>INDEX(Input!$1:$1048576,P$93,$C650*2+MIN($B650,2)+5)</f>
        <v>N</v>
      </c>
      <c r="Q650" s="477">
        <f>INDEX(Input!$1:$1048576,Q$93,$C650*2+MIN($B650,2)+5)
+INDEX(Scenarios!Q$121:Q$199,MATCH($B650,Scenarios!$B$121:$B$199,0))</f>
        <v>0</v>
      </c>
      <c r="R650" s="478">
        <f>IFERROR(MAX(0,INDEX(Input!$1:$1048576,R$93,$C650*2+MIN($B650,2)+5)
+INDEX(Scenarios!R$121:R$199,MATCH($B650,Scenarios!$B$121:$B$199,0)),),"Market")</f>
        <v>0</v>
      </c>
      <c r="S650" s="478">
        <f>IFERROR(MAX(0,INDEX(Input!$1:$1048576,S$93,$C650*2+MIN($B650,2)+5)
+INDEX(Scenarios!S$121:S$199,MATCH($B650,Scenarios!$B$121:$B$199,0)),),"Market")</f>
        <v>0</v>
      </c>
      <c r="T650" s="478">
        <f>IFERROR(MAX(0,INDEX(Input!$1:$1048576,T$93,$C650*2+MIN($B650,2)+5)
+INDEX(Scenarios!T$121:T$199,MATCH($B650,Scenarios!$B$121:$B$199,0)),),"Market")</f>
        <v>0</v>
      </c>
      <c r="U650" s="478">
        <f>IFERROR(MAX(0,INDEX(Input!$1:$1048576,U$93,$C650*2+MIN($B650,2)+5)
+INDEX(Scenarios!U$121:U$199,MATCH($B650,Scenarios!$B$121:$B$199,0)),),"Market")</f>
        <v>0</v>
      </c>
      <c r="V650" s="478">
        <f>IFERROR(MAX(0,INDEX(Input!$1:$1048576,V$93,$C650*2+MIN($B650,2)+5)
+INDEX(Scenarios!V$121:V$199,MATCH($B650,Scenarios!$B$121:$B$199,0)),),"Market")</f>
        <v>1.9E-2</v>
      </c>
      <c r="W650" s="885">
        <f>IFERROR(MAX(0,INDEX(Input!$1:$1048576,W$93,$C650*2+MIN($B650,2)+5)-0%,),"Market")</f>
        <v>3.9E-2</v>
      </c>
      <c r="X650" s="476" t="str">
        <f>INDEX(Input!$1:$1048576,X$93,$C650*2+MIN($B650,2)+5)</f>
        <v>Y</v>
      </c>
      <c r="Y650" s="475">
        <f>INDEX(Input!$1:$1048576,Y$93,$C650*2+MIN($B650,2)+5)
++INDEX(Scenarios!Y$121:Y$199,MATCH($B650,Scenarios!$B$121:$B$199,0))</f>
        <v>377.99367635402496</v>
      </c>
      <c r="Z650" s="477">
        <f>INDEX(Input!$1:$1048576,Z$93,$C650*2+MIN($B650,2)+5)
+INDEX(Scenarios!Z$121:Z$199,MATCH($B650,Scenarios!$B$121:$B$199,0))</f>
        <v>0</v>
      </c>
      <c r="AA650" s="475">
        <f>INDEX(Input!$1:$1048576,AA$93,$C650*2+MIN($B650,2)+5)</f>
        <v>0</v>
      </c>
      <c r="AB650" s="476">
        <f>INDEX(Input!$1:$1048576,AB$93,$C650*2+MIN($B650,2)+5)</f>
        <v>0.27</v>
      </c>
      <c r="AC650" s="475">
        <f>INDEX(Input!$1:$1048576,AC$93,$C650*2+MIN($B650,2)+5)
+INDEX(Scenarios!AC$121:AC$199,MATCH($B650,Scenarios!$B$121:$B$199,0))</f>
        <v>0</v>
      </c>
      <c r="AD650" s="476">
        <f>INDEX(Input!$1:$1048576,AD$93,$C650*2+MIN($B650,2)+5)</f>
        <v>0.27</v>
      </c>
      <c r="AE650" s="475">
        <f>INDEX(Input!$1:$1048576,AE$93,$C650*2+MIN($B650,2)+5)
+INDEX(Scenarios!AE$121:AE$199,MATCH($B650,Scenarios!$B$121:$B$199,0))</f>
        <v>0</v>
      </c>
      <c r="AF650" s="476">
        <f>INDEX(Input!$1:$1048576,AF$93,$C650*2+MIN($B650,2)+5)</f>
        <v>1</v>
      </c>
      <c r="AG650" s="475">
        <f>INDEX(Input!$1:$1048576,AG$93,$C650*2+MIN($B650,2)+5)</f>
        <v>500</v>
      </c>
      <c r="AH650" s="476">
        <f>INDEX(Input!$1:$1048576,AH$93,$C650*2+MIN($B650,2)+5)</f>
        <v>1</v>
      </c>
      <c r="AI650" s="475">
        <f>INDEX(Input!$1:$1048576,AI$93,$C650*2+MIN($B650,2)+5)</f>
        <v>0</v>
      </c>
      <c r="AJ650" s="476">
        <f>INDEX(Input!$1:$1048576,AJ$93,$C650*2+MIN($B650,2)+5)</f>
        <v>0.27</v>
      </c>
      <c r="AK650" s="150">
        <f>ROUND(INDEX(Input!$1:$1048576,AK$93,$C649*2+MIN($B650,1)+5)+(Y650-VLOOKUP($C650*1000+1,$A:$HH,Y$92,FALSE)),0)</f>
        <v>2701</v>
      </c>
      <c r="AL650" s="150">
        <f>ROUND(INDEX(Input!$1:$1048576,AL$93,$C649*2+MIN($B650,1)+5)-(Y650-VLOOKUP($C650*1000+1,$A:$HH,Y$92,FALSE))/36,0)</f>
        <v>3562</v>
      </c>
      <c r="AM650" s="32" t="str">
        <f t="shared" si="1752"/>
        <v>std/std/std/std</v>
      </c>
      <c r="AN650" s="32" t="str">
        <f t="shared" si="1753"/>
        <v>$0 + 0/0/0/1.9/3.9</v>
      </c>
      <c r="AO650" s="32" t="str">
        <f t="shared" si="1754"/>
        <v>0/0/0/1.9/3.9</v>
      </c>
      <c r="AP650" s="32" t="str">
        <f t="shared" si="1716"/>
        <v>0/0.9/1.9/3.9</v>
      </c>
      <c r="AQ650" s="536">
        <f t="shared" si="1892"/>
        <v>0.46710035948988371</v>
      </c>
      <c r="AR650" s="32"/>
      <c r="AS650" s="302"/>
      <c r="AT650" s="3">
        <f t="shared" si="1788"/>
        <v>50</v>
      </c>
      <c r="AU650" s="41" t="s">
        <v>121</v>
      </c>
      <c r="AV650" s="41" t="s">
        <v>116</v>
      </c>
      <c r="AW650" s="41" t="str">
        <f>INDEX(Input!$1:$1048576,AW$93,$C650*2+6)</f>
        <v>Kia</v>
      </c>
      <c r="AX650" s="41" t="str">
        <f>INDEX(Input!$1:$1048576,AX$93,$C650*2+6)</f>
        <v>National</v>
      </c>
      <c r="AY650" s="41" t="str">
        <f>IF(LEN(D650)=0,"",INDEX(Input!$1:$1048576,AY$93,$C650*2+6))</f>
        <v>Compact SUV (52)</v>
      </c>
      <c r="AZ650" s="41" t="str">
        <f>INDEX(Input!$1:$1048576,AZ$93,$C650*2+6)</f>
        <v>Kia Soul</v>
      </c>
      <c r="BA650" s="3">
        <f>INDEX(Input!$1:$1048576,BA$93,$C650*2+6)</f>
        <v>2020</v>
      </c>
      <c r="BB650" s="128">
        <f>INDEX(Input!$1:$1048576,BB$93,$C650*2+6)</f>
        <v>1</v>
      </c>
      <c r="BC650" s="128">
        <f>INDEX(Input!$1:$1048576,BC$93,$C650*2+6)</f>
        <v>0.7</v>
      </c>
      <c r="BD650" s="1">
        <f>INDEX(Input!$1:$1048576,BD$93,$C650*2+6)</f>
        <v>4.4999999999999998E-2</v>
      </c>
      <c r="BE650" s="1">
        <f>INDEX(Input!$1:$1048576,BE$93,$C650*2+6)</f>
        <v>4.4999999999999998E-2</v>
      </c>
      <c r="BF650" s="1">
        <f>INDEX(Input!$1:$1048576,BF$93,$C650*2+6)</f>
        <v>0.05</v>
      </c>
      <c r="BG650" s="1">
        <f>INDEX(Input!$1:$1048576,BG$93,$C650*2+6)</f>
        <v>5.45E-2</v>
      </c>
      <c r="BH650" s="1">
        <f>INDEX(Input!$1:$1048576,BH$93,$C650*2+6)</f>
        <v>5.45E-2</v>
      </c>
      <c r="BI650" s="1">
        <f>INDEX(Input!$1:$1048576,BI$93,$C650*2+6)</f>
        <v>0.05</v>
      </c>
      <c r="BJ650" s="1">
        <f>INDEX(Input!$1:$1048576,BJ$93,$C650*2+6)</f>
        <v>0.05</v>
      </c>
      <c r="BK650" s="1">
        <f>INDEX(Input!$1:$1048576,BK$93,$C650*2+6)</f>
        <v>0.05</v>
      </c>
      <c r="BL650" s="1">
        <f>INDEX(Input!$1:$1048576,BL$93,$C650*2+6)</f>
        <v>5.5E-2</v>
      </c>
      <c r="BM650" s="1">
        <f>INDEX(Input!$1:$1048576,BM$93,$C650*2+6)</f>
        <v>0.06</v>
      </c>
      <c r="BN650" s="1">
        <f>INDEX(Input!$1:$1048576,BN$93,$C650*2+6)</f>
        <v>4.4999999999999998E-2</v>
      </c>
      <c r="BO650" s="1">
        <f>INDEX(Input!$1:$1048576,BO$93,$C650*2+6)</f>
        <v>4.4999999999999998E-2</v>
      </c>
      <c r="BP650" s="1">
        <f>INDEX(Input!$1:$1048576,BP$93,$C650*2+6)</f>
        <v>0.05</v>
      </c>
      <c r="BQ650" s="1">
        <f>INDEX(Input!$1:$1048576,BQ$93,$C650*2+6)</f>
        <v>5.45E-2</v>
      </c>
      <c r="BR650" s="1">
        <f>INDEX(Input!$1:$1048576,BR$93,$C650*2+6)</f>
        <v>5.45E-2</v>
      </c>
      <c r="BS650" s="1">
        <f>INDEX(Input!$1:$1048576,BS$93,$C650*2+6)</f>
        <v>0.05</v>
      </c>
      <c r="BT650" s="1">
        <f>INDEX(Input!$1:$1048576,BT$93,$C650*2+6)</f>
        <v>0.05</v>
      </c>
      <c r="BU650" s="1">
        <f>INDEX(Input!$1:$1048576,BU$93,$C650*2+6)</f>
        <v>0.05</v>
      </c>
      <c r="BV650" s="1">
        <f>INDEX(Input!$1:$1048576,BV$93,$C650*2+6)</f>
        <v>5.5E-2</v>
      </c>
      <c r="BW650" s="1">
        <f>INDEX(Input!$1:$1048576,BW$93,$C650*2+6)</f>
        <v>0.06</v>
      </c>
      <c r="BX650" s="127">
        <f>INDEX(Input!$1:$1048576,BX$93,$C650*2+6)</f>
        <v>19985</v>
      </c>
      <c r="BY650" s="20">
        <f>INDEX(Input!$1:$1048576,BY$93,$C650*2+6)</f>
        <v>0.1</v>
      </c>
      <c r="BZ650" s="20">
        <f>INDEX(Input!$1:$1048576,BZ$93,$C650*2+6)</f>
        <v>0.1</v>
      </c>
      <c r="CA650" s="20">
        <f>INDEX(Input!$1:$1048576,CA$93,$C650*2+6)</f>
        <v>0.1</v>
      </c>
      <c r="CB650" s="20">
        <f>INDEX(Input!$1:$1048576,CB$93,$C650*2+6)</f>
        <v>0.1</v>
      </c>
      <c r="CC650" s="20">
        <f>INDEX(Input!$1:$1048576,CC$93,$C650*2+6)</f>
        <v>0.1</v>
      </c>
      <c r="CD650" s="384">
        <f>INDEX(Input!$1:$1048576,CD$93,$C650*2+6)</f>
        <v>0.1</v>
      </c>
      <c r="CE650" s="384">
        <f>INDEX(Input!$1:$1048576,CE$93,$C650*2+6)</f>
        <v>0.1</v>
      </c>
      <c r="CF650" s="384">
        <f>INDEX(Input!$1:$1048576,CF$93,$C650*2+6)</f>
        <v>0.1</v>
      </c>
      <c r="CG650" s="384">
        <f>INDEX(Input!$1:$1048576,CG$93,$C650*2+6)</f>
        <v>0.1</v>
      </c>
      <c r="CH650" s="384">
        <f>INDEX(Input!$1:$1048576,CH$93,$C650*2+6)</f>
        <v>0.1</v>
      </c>
      <c r="CI650" s="304">
        <f t="shared" si="1718"/>
        <v>2267.2644913000609</v>
      </c>
      <c r="CJ650" s="16" t="str">
        <f>INDEX(Input!$1:$1048576,CJ$93,$C650*2+6)</f>
        <v>N</v>
      </c>
      <c r="CK650" s="1" t="str">
        <f t="shared" si="1719"/>
        <v>Market</v>
      </c>
      <c r="CL650" s="1" t="str">
        <f t="shared" si="1720"/>
        <v>Market</v>
      </c>
      <c r="CM650" s="1" t="str">
        <f t="shared" si="1721"/>
        <v>Market</v>
      </c>
      <c r="CN650" s="1" t="str">
        <f t="shared" si="1722"/>
        <v>Market</v>
      </c>
      <c r="CO650" s="1" t="str">
        <f t="shared" si="1723"/>
        <v>Market</v>
      </c>
      <c r="CP650" s="304">
        <f t="shared" si="1724"/>
        <v>500</v>
      </c>
      <c r="CQ650" s="1">
        <f t="shared" si="1725"/>
        <v>0</v>
      </c>
      <c r="CR650" s="1">
        <f t="shared" si="1726"/>
        <v>0</v>
      </c>
      <c r="CS650" s="1">
        <f t="shared" si="1727"/>
        <v>0</v>
      </c>
      <c r="CT650" s="1">
        <f t="shared" si="1728"/>
        <v>1.9E-2</v>
      </c>
      <c r="CU650" s="1">
        <f t="shared" si="1729"/>
        <v>3.9E-2</v>
      </c>
      <c r="CV650" s="304">
        <f t="shared" si="1730"/>
        <v>377.99367635402496</v>
      </c>
      <c r="CW650" s="20" t="s">
        <v>122</v>
      </c>
      <c r="CX650" s="20" t="s">
        <v>122</v>
      </c>
      <c r="CY650" s="20" t="s">
        <v>122</v>
      </c>
      <c r="CZ650" s="20" t="s">
        <v>122</v>
      </c>
      <c r="DA650" s="20" t="s">
        <v>122</v>
      </c>
      <c r="DB650" s="503">
        <f t="shared" si="1731"/>
        <v>0</v>
      </c>
      <c r="DC650" s="127">
        <v>0</v>
      </c>
      <c r="DD650" s="127">
        <v>0</v>
      </c>
      <c r="DE650" s="127">
        <v>0</v>
      </c>
      <c r="DF650" s="127">
        <v>0</v>
      </c>
      <c r="DG650" s="127">
        <v>0</v>
      </c>
      <c r="DH650" s="127">
        <v>0</v>
      </c>
      <c r="DI650" s="127">
        <v>0</v>
      </c>
      <c r="DJ650" s="127">
        <v>0</v>
      </c>
      <c r="DK650" s="127">
        <v>0</v>
      </c>
      <c r="DL650" s="127">
        <v>0</v>
      </c>
      <c r="DM650" s="304">
        <f>INDEX(Input!$1:$1048576,DM$93,$C650*2+6)</f>
        <v>21036.84210526316</v>
      </c>
      <c r="DN650" s="20">
        <v>0</v>
      </c>
      <c r="DO650" s="20">
        <v>0</v>
      </c>
      <c r="DP650" s="20">
        <v>0</v>
      </c>
      <c r="DQ650" s="20">
        <v>0</v>
      </c>
      <c r="DR650" s="20">
        <v>0</v>
      </c>
      <c r="DS650" s="20">
        <f>INDEX(Input!$1:$1048576,DS$93,$C650*2+6)</f>
        <v>0.6</v>
      </c>
      <c r="DT650" s="20">
        <f>INDEX(Input!$1:$1048576,DT$93,$C650*2+6)</f>
        <v>0.55000000000000004</v>
      </c>
      <c r="DU650" s="20">
        <f>INDEX(Input!$1:$1048576,DU$93,$C650*2+6)</f>
        <v>0.52</v>
      </c>
      <c r="DV650" s="20">
        <f>INDEX(Input!$1:$1048576,DV$93,$C650*2+6)</f>
        <v>0.5</v>
      </c>
      <c r="DW650" s="20">
        <f>INDEX(Input!$1:$1048576,DW$93,$C650*2+6)</f>
        <v>0.45</v>
      </c>
      <c r="DX650" s="20"/>
      <c r="DY650" s="7"/>
      <c r="DZ650" s="7"/>
      <c r="EA650" s="7"/>
      <c r="EB650" s="7"/>
      <c r="EC650" s="7"/>
      <c r="ED650" s="7"/>
      <c r="EE650" s="7"/>
      <c r="EF650" s="7"/>
      <c r="EG650" s="7"/>
      <c r="EH650" s="7"/>
      <c r="EI650" s="7"/>
      <c r="EJ650" s="7"/>
      <c r="EK650" s="7"/>
      <c r="EL650" s="7"/>
      <c r="EM650" s="7"/>
      <c r="EN650" s="7"/>
      <c r="EO650" s="7"/>
      <c r="EP650" s="7"/>
      <c r="EQ650" s="7"/>
      <c r="ER650" s="7"/>
      <c r="ES650" s="7"/>
      <c r="ET650" s="7"/>
      <c r="EU650" s="6"/>
      <c r="EV650" s="6"/>
      <c r="EW650" s="6"/>
      <c r="EX650" s="6"/>
      <c r="EY650" s="6"/>
      <c r="EZ650" s="6"/>
      <c r="FA650" s="6"/>
      <c r="FB650" s="6"/>
      <c r="FC650" s="6"/>
      <c r="FD650" s="6"/>
      <c r="FE650" s="6"/>
      <c r="FF650" s="6"/>
      <c r="FG650" s="6"/>
      <c r="FH650" s="6"/>
      <c r="FI650" s="6"/>
      <c r="FJ650" s="6"/>
      <c r="FK650" s="6"/>
      <c r="FL650" s="6"/>
      <c r="FM650" s="6"/>
      <c r="FN650" s="6"/>
      <c r="FO650" s="6"/>
      <c r="FP650" s="6"/>
      <c r="FQ650" s="6"/>
      <c r="FR650" s="6"/>
      <c r="FS650" s="6"/>
      <c r="FT650" s="7"/>
      <c r="FU650" s="7"/>
      <c r="FV650" s="7"/>
      <c r="FW650" s="6"/>
      <c r="FX650" s="6"/>
      <c r="FY650" s="6"/>
      <c r="FZ650" s="6"/>
      <c r="GA650" s="6"/>
      <c r="GB650" s="6"/>
      <c r="GC650" s="7"/>
      <c r="GD650" s="7"/>
      <c r="GE650" s="7"/>
      <c r="GF650" s="7"/>
      <c r="GG650" s="7"/>
      <c r="GH650" s="42"/>
      <c r="GI650" s="6"/>
      <c r="GJ650" s="14"/>
      <c r="GK650" s="14"/>
      <c r="GL650" s="14"/>
      <c r="GM650" s="14"/>
      <c r="GO650" s="5"/>
      <c r="GP650" s="5"/>
      <c r="GQ650" s="5"/>
      <c r="GR650" s="5"/>
      <c r="GS650" s="5"/>
      <c r="GT650" s="5"/>
      <c r="GU650" s="5"/>
      <c r="GV650" s="39"/>
      <c r="GW650" s="5"/>
      <c r="GX650" s="5"/>
      <c r="GY650" s="5"/>
      <c r="GZ650" s="5"/>
      <c r="HA650" s="5"/>
      <c r="HB650" s="39"/>
      <c r="HC650" s="5"/>
      <c r="HD650" s="5"/>
      <c r="HE650" s="5"/>
      <c r="HF650" s="5"/>
      <c r="HG650" s="5"/>
      <c r="HH650" s="39"/>
      <c r="HI650" s="16"/>
      <c r="HJ650" s="19"/>
      <c r="HK650" s="1"/>
      <c r="HL650" s="16"/>
      <c r="HM650" s="639">
        <f t="shared" si="1755"/>
        <v>2.3149872625708352E-2</v>
      </c>
      <c r="HN650" s="639">
        <f t="shared" si="1756"/>
        <v>1.3965040474190958E-3</v>
      </c>
      <c r="HO650" s="639">
        <f t="shared" si="1757"/>
        <v>3.5429561340050734E-3</v>
      </c>
      <c r="HP650" s="644">
        <f t="shared" ref="HP650:ID650" si="1944">HP150+HP250+HP350+HP450+HP550</f>
        <v>1239.315348748881</v>
      </c>
      <c r="HQ650" s="644">
        <f t="shared" si="1944"/>
        <v>-94.456728598613495</v>
      </c>
      <c r="HR650" s="644">
        <f t="shared" si="1944"/>
        <v>-339.54646056637938</v>
      </c>
      <c r="HS650" s="644">
        <f t="shared" si="1944"/>
        <v>-411.40729409940235</v>
      </c>
      <c r="HT650" s="644">
        <f t="shared" si="1944"/>
        <v>19.426437130777952</v>
      </c>
      <c r="HU650" s="644">
        <f t="shared" si="1944"/>
        <v>39.628820409006984</v>
      </c>
      <c r="HV650" s="644">
        <f t="shared" si="1944"/>
        <v>0</v>
      </c>
      <c r="HW650" s="644">
        <f t="shared" si="1944"/>
        <v>0</v>
      </c>
      <c r="HX650" s="644">
        <f t="shared" si="1944"/>
        <v>0</v>
      </c>
      <c r="HY650" s="644">
        <f t="shared" si="1944"/>
        <v>2396</v>
      </c>
      <c r="HZ650" s="644">
        <f t="shared" si="1944"/>
        <v>3223</v>
      </c>
      <c r="IA650" s="644">
        <f t="shared" si="1944"/>
        <v>830</v>
      </c>
      <c r="IB650" s="644">
        <f t="shared" si="1944"/>
        <v>3223.9080546494788</v>
      </c>
      <c r="IC650" s="644">
        <f t="shared" si="1944"/>
        <v>3147.9697085321645</v>
      </c>
      <c r="ID650" s="644">
        <f t="shared" si="1944"/>
        <v>530.08235984262751</v>
      </c>
      <c r="IE650" s="20">
        <f t="shared" si="1759"/>
        <v>0.46710035948988371</v>
      </c>
      <c r="IF650" s="20">
        <f t="shared" si="1760"/>
        <v>0.45609792760622342</v>
      </c>
      <c r="IG650" s="20">
        <f t="shared" si="1761"/>
        <v>7.6801712903892927E-2</v>
      </c>
      <c r="IH650" s="21"/>
      <c r="II650" s="19"/>
      <c r="IJ650" s="19"/>
      <c r="IK650" s="19"/>
      <c r="IL650" s="19">
        <f t="shared" si="1762"/>
        <v>1158.860393408816</v>
      </c>
      <c r="IM650" s="19">
        <f t="shared" si="1763"/>
        <v>179.93152300429301</v>
      </c>
      <c r="IN650" s="19">
        <f t="shared" si="1764"/>
        <v>-239.45346317233043</v>
      </c>
      <c r="IO650" s="39"/>
      <c r="IP650" s="39"/>
      <c r="IQ650" s="39"/>
      <c r="IR650" s="39"/>
      <c r="IS650" s="39"/>
      <c r="IT650" s="39"/>
      <c r="IU650" s="39"/>
      <c r="IV650" s="39"/>
      <c r="IW650" s="39"/>
      <c r="IX650" s="19">
        <f t="shared" si="1765"/>
        <v>1554.1790484140233</v>
      </c>
      <c r="IY650" s="19">
        <f t="shared" si="1766"/>
        <v>2412.3001201524512</v>
      </c>
      <c r="IZ650" s="19">
        <f t="shared" si="1767"/>
        <v>3993.0862952928574</v>
      </c>
      <c r="JA650" s="19">
        <f t="shared" ref="JA650:JC650" si="1945">IFERROR((JA150*IB150+JA250*IB250+JA350*IB350+JA450*IB450+JA550*IB550)/IB650,0)</f>
        <v>2713.0394418228393</v>
      </c>
      <c r="JB650" s="19">
        <f t="shared" si="1945"/>
        <v>2592.2316431567442</v>
      </c>
      <c r="JC650" s="19">
        <f t="shared" si="1945"/>
        <v>3753.6328321205269</v>
      </c>
      <c r="JD650" s="19">
        <f t="shared" si="1769"/>
        <v>2737.8586100238949</v>
      </c>
      <c r="JE650" s="21"/>
      <c r="JF650" s="1">
        <f t="shared" si="1770"/>
        <v>2.6651855648468406E-2</v>
      </c>
      <c r="JG650" s="15">
        <f t="shared" si="1771"/>
        <v>6449</v>
      </c>
      <c r="JH650" s="1">
        <f t="shared" si="1772"/>
        <v>0.12487395868877162</v>
      </c>
      <c r="JI650" s="1">
        <f t="shared" si="1773"/>
        <v>-5.4636693527619379E-2</v>
      </c>
      <c r="JJ650" s="1">
        <f t="shared" si="1774"/>
        <v>0</v>
      </c>
      <c r="JK650" s="1">
        <f t="shared" si="1775"/>
        <v>7.0237265161152224E-2</v>
      </c>
      <c r="JL650" s="15">
        <f t="shared" ref="JL650:JM650" si="1946">JL150+JL250+JL350+JL450+JL550</f>
        <v>452.96012302427073</v>
      </c>
      <c r="JM650" s="15">
        <f t="shared" si="1946"/>
        <v>6901.9601230242706</v>
      </c>
      <c r="JN650" s="21"/>
      <c r="JO650" s="19">
        <f>INDEX(Input!$1:$1048576,JO$93,$C650*2+6)</f>
        <v>5995.5</v>
      </c>
      <c r="JP650" s="19">
        <f>INDEX(Input!$1:$1048576,JP$93,$C650*2+6)</f>
        <v>2296.6050414551746</v>
      </c>
      <c r="JQ650" s="39">
        <f t="shared" si="1799"/>
        <v>3257.6413899761051</v>
      </c>
      <c r="JR650" s="39">
        <f t="shared" si="1800"/>
        <v>441.25356856872031</v>
      </c>
      <c r="JS650" s="39">
        <f t="shared" si="1801"/>
        <v>18.896590948863579</v>
      </c>
      <c r="JT650" s="39">
        <f t="shared" si="1802"/>
        <v>4.0857850365191606</v>
      </c>
      <c r="JU650" s="385">
        <f>(JQ650*JM650-INDEX(Input!$1:$1048576,Input!A$18,$C650*2+6)*JL650*INDEX(Input!$1:$1048576,Input!A$19,$C650*2+6))/1000000</f>
        <v>22.484110968728434</v>
      </c>
      <c r="JV650" s="39">
        <f t="shared" si="1803"/>
        <v>-1.3700626189271432</v>
      </c>
      <c r="JW650" s="1">
        <f t="shared" si="1804"/>
        <v>-5.7434922819382186E-2</v>
      </c>
      <c r="JX650" s="19">
        <f t="shared" si="1805"/>
        <v>9020.1870514332968</v>
      </c>
      <c r="JZ650" s="341"/>
      <c r="KA650" s="60"/>
      <c r="KB650" s="469">
        <f t="shared" si="1778"/>
        <v>0</v>
      </c>
      <c r="KI650" s="472"/>
      <c r="KJ650" s="472"/>
      <c r="KK650" s="472"/>
      <c r="KN650" s="793">
        <f t="shared" si="1779"/>
        <v>6002</v>
      </c>
      <c r="KO650" s="541">
        <f t="shared" si="1780"/>
        <v>4.5705820347327286E-2</v>
      </c>
      <c r="KP650" s="546">
        <f t="shared" si="1781"/>
        <v>436.0910477934496</v>
      </c>
      <c r="KQ650" s="546">
        <f t="shared" si="1782"/>
        <v>275.02535341875</v>
      </c>
      <c r="KR650" s="472">
        <f t="shared" si="1783"/>
        <v>1.8364628426145546</v>
      </c>
      <c r="KS650" s="472">
        <f t="shared" si="1784"/>
        <v>2.9119679161001986</v>
      </c>
      <c r="KT650" s="473">
        <f t="shared" si="1795"/>
        <v>4286.2445668946921</v>
      </c>
      <c r="KU650" s="663">
        <f t="shared" si="1785"/>
        <v>4.4546293951095679</v>
      </c>
      <c r="KV650" s="117"/>
    </row>
    <row r="651" spans="1:308" s="26" customFormat="1" ht="15" outlineLevel="1">
      <c r="A651" s="561">
        <f t="shared" si="1751"/>
        <v>6051</v>
      </c>
      <c r="B651" s="561">
        <f t="shared" si="1786"/>
        <v>51</v>
      </c>
      <c r="C651" s="561">
        <f t="shared" si="1787"/>
        <v>6</v>
      </c>
      <c r="D651" s="561" t="str">
        <f t="shared" si="1855"/>
        <v xml:space="preserve">0/0/0.9/3.9, -360 Lease, </v>
      </c>
      <c r="E651" s="475">
        <f>INDEX(Input!$1:$1048576,E$93,$C651*2+MIN($B651,2)+5)
+INDEX(Scenarios!E$121:E$199,MATCH($B651,Scenarios!$B$121:$B$199,0))</f>
        <v>1267.2644913000609</v>
      </c>
      <c r="F651" s="475">
        <f>INDEX(Input!$1:$1048576,F$93,$C651*2+MIN($B651,2)+5)
+INDEX(Scenarios!F$121:F$199,MATCH($B651,Scenarios!$B$121:$B$199,0))</f>
        <v>0</v>
      </c>
      <c r="G651" s="475">
        <f>INDEX(Input!$1:$1048576,G$93,$C651*2+MIN($B651,2)+5)
+INDEX(Scenarios!G$121:G$199,MATCH($B651,Scenarios!$B$121:$B$199,0))</f>
        <v>0</v>
      </c>
      <c r="H651" s="475">
        <f>INDEX(Input!$1:$1048576,H$93,$C651*2+MIN($B651,2)+5)
+INDEX(Scenarios!H$121:H$199,MATCH($B651,Scenarios!$B$121:$B$199,0))</f>
        <v>0</v>
      </c>
      <c r="I651" s="476">
        <f>INDEX(Input!$1:$1048576,I$93,$C651*2+MIN($B651,2)+5)
+INDEX(Scenarios!I$121:I$199,MATCH($B651,Scenarios!$B$121:$B$199,0))</f>
        <v>0.7</v>
      </c>
      <c r="J651" s="476" t="str">
        <f>INDEX(Input!$1:$1048576,J$93,$C651*2+MIN($B651,2)+5)</f>
        <v>Market</v>
      </c>
      <c r="K651" s="476" t="str">
        <f>INDEX(Input!$1:$1048576,K$93,$C651*2+MIN($B651,2)+5)</f>
        <v>Market</v>
      </c>
      <c r="L651" s="476" t="str">
        <f>INDEX(Input!$1:$1048576,L$93,$C651*2+MIN($B651,2)+5)</f>
        <v>Market</v>
      </c>
      <c r="M651" s="476" t="str">
        <f>INDEX(Input!$1:$1048576,M$93,$C651*2+MIN($B651,2)+5)</f>
        <v>Market</v>
      </c>
      <c r="N651" s="476" t="str">
        <f>INDEX(Input!$1:$1048576,N$93,$C651*2+MIN($B651,2)+5)</f>
        <v>Market</v>
      </c>
      <c r="O651" s="476" t="str">
        <f>INDEX(Input!$1:$1048576,O$93,$C651*2+MIN($B651,2)+5)</f>
        <v>Market</v>
      </c>
      <c r="P651" s="476" t="str">
        <f>INDEX(Input!$1:$1048576,P$93,$C651*2+MIN($B651,2)+5)</f>
        <v>N</v>
      </c>
      <c r="Q651" s="477">
        <f>INDEX(Input!$1:$1048576,Q$93,$C651*2+MIN($B651,2)+5)
+INDEX(Scenarios!Q$121:Q$199,MATCH($B651,Scenarios!$B$121:$B$199,0))</f>
        <v>0</v>
      </c>
      <c r="R651" s="478">
        <f>IFERROR(MAX(0,INDEX(Input!$1:$1048576,R$93,$C651*2+MIN($B651,2)+5)
+INDEX(Scenarios!R$121:R$199,MATCH($B651,Scenarios!$B$121:$B$199,0)),),"Market")</f>
        <v>0</v>
      </c>
      <c r="S651" s="478">
        <f>IFERROR(MAX(0,INDEX(Input!$1:$1048576,S$93,$C651*2+MIN($B651,2)+5)
+INDEX(Scenarios!S$121:S$199,MATCH($B651,Scenarios!$B$121:$B$199,0)),),"Market")</f>
        <v>0</v>
      </c>
      <c r="T651" s="478">
        <f>IFERROR(MAX(0,INDEX(Input!$1:$1048576,T$93,$C651*2+MIN($B651,2)+5)
+INDEX(Scenarios!T$121:T$199,MATCH($B651,Scenarios!$B$121:$B$199,0)),),"Market")</f>
        <v>0</v>
      </c>
      <c r="U651" s="478">
        <f>IFERROR(MAX(0,INDEX(Input!$1:$1048576,U$93,$C651*2+MIN($B651,2)+5)
+INDEX(Scenarios!U$121:U$199,MATCH($B651,Scenarios!$B$121:$B$199,0)),),"Market")</f>
        <v>0</v>
      </c>
      <c r="V651" s="478">
        <f>IFERROR(MAX(0,INDEX(Input!$1:$1048576,V$93,$C651*2+MIN($B651,2)+5)
+INDEX(Scenarios!V$121:V$199,MATCH($B651,Scenarios!$B$121:$B$199,0)),),"Market")</f>
        <v>8.9999999999999993E-3</v>
      </c>
      <c r="W651" s="885">
        <f>IFERROR(MAX(0,INDEX(Input!$1:$1048576,W$93,$C651*2+MIN($B651,2)+5)-0%,),"Market")</f>
        <v>3.9E-2</v>
      </c>
      <c r="X651" s="476" t="str">
        <f>INDEX(Input!$1:$1048576,X$93,$C651*2+MIN($B651,2)+5)</f>
        <v>Y</v>
      </c>
      <c r="Y651" s="475">
        <f>INDEX(Input!$1:$1048576,Y$93,$C651*2+MIN($B651,2)+5)
++INDEX(Scenarios!Y$121:Y$199,MATCH($B651,Scenarios!$B$121:$B$199,0))</f>
        <v>377.99367635402496</v>
      </c>
      <c r="Z651" s="477">
        <f>INDEX(Input!$1:$1048576,Z$93,$C651*2+MIN($B651,2)+5)
+INDEX(Scenarios!Z$121:Z$199,MATCH($B651,Scenarios!$B$121:$B$199,0))</f>
        <v>0</v>
      </c>
      <c r="AA651" s="475">
        <f>INDEX(Input!$1:$1048576,AA$93,$C651*2+MIN($B651,2)+5)</f>
        <v>0</v>
      </c>
      <c r="AB651" s="476">
        <f>INDEX(Input!$1:$1048576,AB$93,$C651*2+MIN($B651,2)+5)</f>
        <v>0.27</v>
      </c>
      <c r="AC651" s="475">
        <f>INDEX(Input!$1:$1048576,AC$93,$C651*2+MIN($B651,2)+5)
+INDEX(Scenarios!AC$121:AC$199,MATCH($B651,Scenarios!$B$121:$B$199,0))</f>
        <v>0</v>
      </c>
      <c r="AD651" s="476">
        <f>INDEX(Input!$1:$1048576,AD$93,$C651*2+MIN($B651,2)+5)</f>
        <v>0.27</v>
      </c>
      <c r="AE651" s="475">
        <f>INDEX(Input!$1:$1048576,AE$93,$C651*2+MIN($B651,2)+5)
+INDEX(Scenarios!AE$121:AE$199,MATCH($B651,Scenarios!$B$121:$B$199,0))</f>
        <v>0</v>
      </c>
      <c r="AF651" s="476">
        <f>INDEX(Input!$1:$1048576,AF$93,$C651*2+MIN($B651,2)+5)</f>
        <v>1</v>
      </c>
      <c r="AG651" s="475">
        <f>INDEX(Input!$1:$1048576,AG$93,$C651*2+MIN($B651,2)+5)</f>
        <v>500</v>
      </c>
      <c r="AH651" s="476">
        <f>INDEX(Input!$1:$1048576,AH$93,$C651*2+MIN($B651,2)+5)</f>
        <v>1</v>
      </c>
      <c r="AI651" s="475">
        <f>INDEX(Input!$1:$1048576,AI$93,$C651*2+MIN($B651,2)+5)</f>
        <v>0</v>
      </c>
      <c r="AJ651" s="476">
        <f>INDEX(Input!$1:$1048576,AJ$93,$C651*2+MIN($B651,2)+5)</f>
        <v>0.27</v>
      </c>
      <c r="AK651" s="150">
        <f>ROUND(INDEX(Input!$1:$1048576,AK$93,$C650*2+MIN($B651,1)+5)+(Y651-VLOOKUP($C651*1000+1,$A:$HH,Y$92,FALSE)),0)</f>
        <v>2701</v>
      </c>
      <c r="AL651" s="150">
        <f>ROUND(INDEX(Input!$1:$1048576,AL$93,$C650*2+MIN($B651,1)+5)-(Y651-VLOOKUP($C651*1000+1,$A:$HH,Y$92,FALSE))/36,0)</f>
        <v>3562</v>
      </c>
      <c r="AM651" s="32" t="str">
        <f t="shared" si="1752"/>
        <v>std/std/std/std</v>
      </c>
      <c r="AN651" s="32" t="str">
        <f t="shared" si="1753"/>
        <v>$0 + 0/0/0/0.9/3.9</v>
      </c>
      <c r="AO651" s="32" t="str">
        <f t="shared" si="1754"/>
        <v>0/0/0/0.9/3.9</v>
      </c>
      <c r="AP651" s="32" t="str">
        <f t="shared" si="1716"/>
        <v>0/0/0.9/3.9</v>
      </c>
      <c r="AQ651" s="536">
        <f t="shared" si="1892"/>
        <v>0.36967148408444606</v>
      </c>
      <c r="AR651" s="32"/>
      <c r="AS651" s="302"/>
      <c r="AT651" s="3">
        <f t="shared" si="1788"/>
        <v>51</v>
      </c>
      <c r="AU651" s="41" t="s">
        <v>121</v>
      </c>
      <c r="AV651" s="41" t="s">
        <v>116</v>
      </c>
      <c r="AW651" s="41" t="str">
        <f>INDEX(Input!$1:$1048576,AW$93,$C651*2+6)</f>
        <v>Kia</v>
      </c>
      <c r="AX651" s="41" t="str">
        <f>INDEX(Input!$1:$1048576,AX$93,$C651*2+6)</f>
        <v>National</v>
      </c>
      <c r="AY651" s="41" t="str">
        <f>IF(LEN(D651)=0,"",INDEX(Input!$1:$1048576,AY$93,$C651*2+6))</f>
        <v>Compact SUV (52)</v>
      </c>
      <c r="AZ651" s="41" t="str">
        <f>INDEX(Input!$1:$1048576,AZ$93,$C651*2+6)</f>
        <v>Kia Soul</v>
      </c>
      <c r="BA651" s="3">
        <f>INDEX(Input!$1:$1048576,BA$93,$C651*2+6)</f>
        <v>2020</v>
      </c>
      <c r="BB651" s="128">
        <f>INDEX(Input!$1:$1048576,BB$93,$C651*2+6)</f>
        <v>1</v>
      </c>
      <c r="BC651" s="128">
        <f>INDEX(Input!$1:$1048576,BC$93,$C651*2+6)</f>
        <v>0.7</v>
      </c>
      <c r="BD651" s="1">
        <f>INDEX(Input!$1:$1048576,BD$93,$C651*2+6)</f>
        <v>4.4999999999999998E-2</v>
      </c>
      <c r="BE651" s="1">
        <f>INDEX(Input!$1:$1048576,BE$93,$C651*2+6)</f>
        <v>4.4999999999999998E-2</v>
      </c>
      <c r="BF651" s="1">
        <f>INDEX(Input!$1:$1048576,BF$93,$C651*2+6)</f>
        <v>0.05</v>
      </c>
      <c r="BG651" s="1">
        <f>INDEX(Input!$1:$1048576,BG$93,$C651*2+6)</f>
        <v>5.45E-2</v>
      </c>
      <c r="BH651" s="1">
        <f>INDEX(Input!$1:$1048576,BH$93,$C651*2+6)</f>
        <v>5.45E-2</v>
      </c>
      <c r="BI651" s="1">
        <f>INDEX(Input!$1:$1048576,BI$93,$C651*2+6)</f>
        <v>0.05</v>
      </c>
      <c r="BJ651" s="1">
        <f>INDEX(Input!$1:$1048576,BJ$93,$C651*2+6)</f>
        <v>0.05</v>
      </c>
      <c r="BK651" s="1">
        <f>INDEX(Input!$1:$1048576,BK$93,$C651*2+6)</f>
        <v>0.05</v>
      </c>
      <c r="BL651" s="1">
        <f>INDEX(Input!$1:$1048576,BL$93,$C651*2+6)</f>
        <v>5.5E-2</v>
      </c>
      <c r="BM651" s="1">
        <f>INDEX(Input!$1:$1048576,BM$93,$C651*2+6)</f>
        <v>0.06</v>
      </c>
      <c r="BN651" s="1">
        <f>INDEX(Input!$1:$1048576,BN$93,$C651*2+6)</f>
        <v>4.4999999999999998E-2</v>
      </c>
      <c r="BO651" s="1">
        <f>INDEX(Input!$1:$1048576,BO$93,$C651*2+6)</f>
        <v>4.4999999999999998E-2</v>
      </c>
      <c r="BP651" s="1">
        <f>INDEX(Input!$1:$1048576,BP$93,$C651*2+6)</f>
        <v>0.05</v>
      </c>
      <c r="BQ651" s="1">
        <f>INDEX(Input!$1:$1048576,BQ$93,$C651*2+6)</f>
        <v>5.45E-2</v>
      </c>
      <c r="BR651" s="1">
        <f>INDEX(Input!$1:$1048576,BR$93,$C651*2+6)</f>
        <v>5.45E-2</v>
      </c>
      <c r="BS651" s="1">
        <f>INDEX(Input!$1:$1048576,BS$93,$C651*2+6)</f>
        <v>0.05</v>
      </c>
      <c r="BT651" s="1">
        <f>INDEX(Input!$1:$1048576,BT$93,$C651*2+6)</f>
        <v>0.05</v>
      </c>
      <c r="BU651" s="1">
        <f>INDEX(Input!$1:$1048576,BU$93,$C651*2+6)</f>
        <v>0.05</v>
      </c>
      <c r="BV651" s="1">
        <f>INDEX(Input!$1:$1048576,BV$93,$C651*2+6)</f>
        <v>5.5E-2</v>
      </c>
      <c r="BW651" s="1">
        <f>INDEX(Input!$1:$1048576,BW$93,$C651*2+6)</f>
        <v>0.06</v>
      </c>
      <c r="BX651" s="127">
        <f>INDEX(Input!$1:$1048576,BX$93,$C651*2+6)</f>
        <v>19985</v>
      </c>
      <c r="BY651" s="20">
        <f>INDEX(Input!$1:$1048576,BY$93,$C651*2+6)</f>
        <v>0.1</v>
      </c>
      <c r="BZ651" s="20">
        <f>INDEX(Input!$1:$1048576,BZ$93,$C651*2+6)</f>
        <v>0.1</v>
      </c>
      <c r="CA651" s="20">
        <f>INDEX(Input!$1:$1048576,CA$93,$C651*2+6)</f>
        <v>0.1</v>
      </c>
      <c r="CB651" s="20">
        <f>INDEX(Input!$1:$1048576,CB$93,$C651*2+6)</f>
        <v>0.1</v>
      </c>
      <c r="CC651" s="20">
        <f>INDEX(Input!$1:$1048576,CC$93,$C651*2+6)</f>
        <v>0.1</v>
      </c>
      <c r="CD651" s="384">
        <f>INDEX(Input!$1:$1048576,CD$93,$C651*2+6)</f>
        <v>0.1</v>
      </c>
      <c r="CE651" s="384">
        <f>INDEX(Input!$1:$1048576,CE$93,$C651*2+6)</f>
        <v>0.1</v>
      </c>
      <c r="CF651" s="384">
        <f>INDEX(Input!$1:$1048576,CF$93,$C651*2+6)</f>
        <v>0.1</v>
      </c>
      <c r="CG651" s="384">
        <f>INDEX(Input!$1:$1048576,CG$93,$C651*2+6)</f>
        <v>0.1</v>
      </c>
      <c r="CH651" s="384">
        <f>INDEX(Input!$1:$1048576,CH$93,$C651*2+6)</f>
        <v>0.1</v>
      </c>
      <c r="CI651" s="304">
        <f t="shared" si="1718"/>
        <v>1267.2644913000609</v>
      </c>
      <c r="CJ651" s="16" t="str">
        <f>INDEX(Input!$1:$1048576,CJ$93,$C651*2+6)</f>
        <v>N</v>
      </c>
      <c r="CK651" s="1" t="str">
        <f t="shared" si="1719"/>
        <v>Market</v>
      </c>
      <c r="CL651" s="1" t="str">
        <f t="shared" si="1720"/>
        <v>Market</v>
      </c>
      <c r="CM651" s="1" t="str">
        <f t="shared" si="1721"/>
        <v>Market</v>
      </c>
      <c r="CN651" s="1" t="str">
        <f t="shared" si="1722"/>
        <v>Market</v>
      </c>
      <c r="CO651" s="1" t="str">
        <f t="shared" si="1723"/>
        <v>Market</v>
      </c>
      <c r="CP651" s="304">
        <f t="shared" si="1724"/>
        <v>500</v>
      </c>
      <c r="CQ651" s="1">
        <f t="shared" si="1725"/>
        <v>0</v>
      </c>
      <c r="CR651" s="1">
        <f t="shared" si="1726"/>
        <v>0</v>
      </c>
      <c r="CS651" s="1">
        <f t="shared" si="1727"/>
        <v>0</v>
      </c>
      <c r="CT651" s="1">
        <f t="shared" si="1728"/>
        <v>8.9999999999999993E-3</v>
      </c>
      <c r="CU651" s="1">
        <f t="shared" si="1729"/>
        <v>3.9E-2</v>
      </c>
      <c r="CV651" s="304">
        <f t="shared" si="1730"/>
        <v>377.99367635402496</v>
      </c>
      <c r="CW651" s="20" t="s">
        <v>122</v>
      </c>
      <c r="CX651" s="20" t="s">
        <v>122</v>
      </c>
      <c r="CY651" s="20" t="s">
        <v>122</v>
      </c>
      <c r="CZ651" s="20" t="s">
        <v>122</v>
      </c>
      <c r="DA651" s="20" t="s">
        <v>122</v>
      </c>
      <c r="DB651" s="503">
        <f t="shared" si="1731"/>
        <v>0</v>
      </c>
      <c r="DC651" s="127">
        <v>0</v>
      </c>
      <c r="DD651" s="127">
        <v>0</v>
      </c>
      <c r="DE651" s="127">
        <v>0</v>
      </c>
      <c r="DF651" s="127">
        <v>0</v>
      </c>
      <c r="DG651" s="127">
        <v>0</v>
      </c>
      <c r="DH651" s="127">
        <v>0</v>
      </c>
      <c r="DI651" s="127">
        <v>0</v>
      </c>
      <c r="DJ651" s="127">
        <v>0</v>
      </c>
      <c r="DK651" s="127">
        <v>0</v>
      </c>
      <c r="DL651" s="127">
        <v>0</v>
      </c>
      <c r="DM651" s="304">
        <f>INDEX(Input!$1:$1048576,DM$93,$C651*2+6)</f>
        <v>21036.84210526316</v>
      </c>
      <c r="DN651" s="20">
        <v>0</v>
      </c>
      <c r="DO651" s="20">
        <v>0</v>
      </c>
      <c r="DP651" s="20">
        <v>0</v>
      </c>
      <c r="DQ651" s="20">
        <v>0</v>
      </c>
      <c r="DR651" s="20">
        <v>0</v>
      </c>
      <c r="DS651" s="20">
        <f>INDEX(Input!$1:$1048576,DS$93,$C651*2+6)</f>
        <v>0.6</v>
      </c>
      <c r="DT651" s="20">
        <f>INDEX(Input!$1:$1048576,DT$93,$C651*2+6)</f>
        <v>0.55000000000000004</v>
      </c>
      <c r="DU651" s="20">
        <f>INDEX(Input!$1:$1048576,DU$93,$C651*2+6)</f>
        <v>0.52</v>
      </c>
      <c r="DV651" s="20">
        <f>INDEX(Input!$1:$1048576,DV$93,$C651*2+6)</f>
        <v>0.5</v>
      </c>
      <c r="DW651" s="20">
        <f>INDEX(Input!$1:$1048576,DW$93,$C651*2+6)</f>
        <v>0.45</v>
      </c>
      <c r="DX651" s="20"/>
      <c r="DY651" s="7"/>
      <c r="DZ651" s="7"/>
      <c r="EA651" s="7"/>
      <c r="EB651" s="7"/>
      <c r="EC651" s="7"/>
      <c r="ED651" s="7"/>
      <c r="EE651" s="7"/>
      <c r="EF651" s="7"/>
      <c r="EG651" s="7"/>
      <c r="EH651" s="7"/>
      <c r="EI651" s="7"/>
      <c r="EJ651" s="7"/>
      <c r="EK651" s="7"/>
      <c r="EL651" s="7"/>
      <c r="EM651" s="7"/>
      <c r="EN651" s="7"/>
      <c r="EO651" s="7"/>
      <c r="EP651" s="7"/>
      <c r="EQ651" s="7"/>
      <c r="ER651" s="7"/>
      <c r="ES651" s="7"/>
      <c r="ET651" s="7"/>
      <c r="EU651" s="6"/>
      <c r="EV651" s="6"/>
      <c r="EW651" s="6"/>
      <c r="EX651" s="6"/>
      <c r="EY651" s="6"/>
      <c r="EZ651" s="6"/>
      <c r="FA651" s="6"/>
      <c r="FB651" s="6"/>
      <c r="FC651" s="6"/>
      <c r="FD651" s="6"/>
      <c r="FE651" s="6"/>
      <c r="FF651" s="6"/>
      <c r="FG651" s="6"/>
      <c r="FH651" s="6"/>
      <c r="FI651" s="6"/>
      <c r="FJ651" s="6"/>
      <c r="FK651" s="6"/>
      <c r="FL651" s="6"/>
      <c r="FM651" s="6"/>
      <c r="FN651" s="6"/>
      <c r="FO651" s="6"/>
      <c r="FP651" s="6"/>
      <c r="FQ651" s="6"/>
      <c r="FR651" s="6"/>
      <c r="FS651" s="6"/>
      <c r="FT651" s="7"/>
      <c r="FU651" s="7"/>
      <c r="FV651" s="7"/>
      <c r="FW651" s="6"/>
      <c r="FX651" s="6"/>
      <c r="FY651" s="6"/>
      <c r="FZ651" s="6"/>
      <c r="GA651" s="6"/>
      <c r="GB651" s="6"/>
      <c r="GC651" s="7"/>
      <c r="GD651" s="7"/>
      <c r="GE651" s="7"/>
      <c r="GF651" s="7"/>
      <c r="GG651" s="7"/>
      <c r="GH651" s="42"/>
      <c r="GI651" s="6"/>
      <c r="GJ651" s="14"/>
      <c r="GK651" s="14"/>
      <c r="GL651" s="14"/>
      <c r="GM651" s="14"/>
      <c r="GO651" s="5"/>
      <c r="GP651" s="5"/>
      <c r="GQ651" s="5"/>
      <c r="GR651" s="5"/>
      <c r="GS651" s="5"/>
      <c r="GT651" s="5"/>
      <c r="GU651" s="5"/>
      <c r="GV651" s="39"/>
      <c r="GW651" s="5"/>
      <c r="GX651" s="5"/>
      <c r="GY651" s="5"/>
      <c r="GZ651" s="5"/>
      <c r="HA651" s="5"/>
      <c r="HB651" s="39"/>
      <c r="HC651" s="5"/>
      <c r="HD651" s="5"/>
      <c r="HE651" s="5"/>
      <c r="HF651" s="5"/>
      <c r="HG651" s="5"/>
      <c r="HH651" s="39"/>
      <c r="HI651" s="16"/>
      <c r="HJ651" s="19"/>
      <c r="HK651" s="1"/>
      <c r="HL651" s="16"/>
      <c r="HM651" s="639">
        <f t="shared" si="1755"/>
        <v>2.3149872625708352E-2</v>
      </c>
      <c r="HN651" s="639">
        <f t="shared" si="1756"/>
        <v>1.3965040474190958E-3</v>
      </c>
      <c r="HO651" s="639">
        <f t="shared" si="1757"/>
        <v>3.5429561340050734E-3</v>
      </c>
      <c r="HP651" s="644">
        <f t="shared" ref="HP651:ID651" si="1947">HP151+HP251+HP351+HP451+HP551</f>
        <v>143.18547639253399</v>
      </c>
      <c r="HQ651" s="644">
        <f t="shared" si="1947"/>
        <v>102.63308861929683</v>
      </c>
      <c r="HR651" s="644">
        <f t="shared" si="1947"/>
        <v>-135.80025556982224</v>
      </c>
      <c r="HS651" s="644">
        <f t="shared" si="1947"/>
        <v>-61.268106983556827</v>
      </c>
      <c r="HT651" s="644">
        <f t="shared" si="1947"/>
        <v>215.8164675834864</v>
      </c>
      <c r="HU651" s="644">
        <f t="shared" si="1947"/>
        <v>-10.541210704823314</v>
      </c>
      <c r="HV651" s="644">
        <f t="shared" si="1947"/>
        <v>0</v>
      </c>
      <c r="HW651" s="644">
        <f t="shared" si="1947"/>
        <v>0</v>
      </c>
      <c r="HX651" s="644">
        <f t="shared" si="1947"/>
        <v>0</v>
      </c>
      <c r="HY651" s="644">
        <f t="shared" si="1947"/>
        <v>2396</v>
      </c>
      <c r="HZ651" s="644">
        <f t="shared" si="1947"/>
        <v>3223</v>
      </c>
      <c r="IA651" s="644">
        <f t="shared" si="1947"/>
        <v>830</v>
      </c>
      <c r="IB651" s="644">
        <f t="shared" si="1947"/>
        <v>2477.9173694089773</v>
      </c>
      <c r="IC651" s="644">
        <f t="shared" si="1947"/>
        <v>3541.4495562027832</v>
      </c>
      <c r="ID651" s="644">
        <f t="shared" si="1947"/>
        <v>683.65853372535446</v>
      </c>
      <c r="IE651" s="20">
        <f t="shared" si="1759"/>
        <v>0.36967148408444606</v>
      </c>
      <c r="IF651" s="20">
        <f t="shared" si="1760"/>
        <v>0.52833598465147547</v>
      </c>
      <c r="IG651" s="20">
        <f t="shared" si="1761"/>
        <v>0.10199253126407844</v>
      </c>
      <c r="IH651" s="21"/>
      <c r="II651" s="19"/>
      <c r="IJ651" s="19"/>
      <c r="IK651" s="19"/>
      <c r="IL651" s="19">
        <f t="shared" si="1762"/>
        <v>172.4444567186822</v>
      </c>
      <c r="IM651" s="19">
        <f t="shared" si="1763"/>
        <v>495.35752104850735</v>
      </c>
      <c r="IN651" s="19">
        <f t="shared" si="1764"/>
        <v>-246.26887320010655</v>
      </c>
      <c r="IO651" s="39"/>
      <c r="IP651" s="39"/>
      <c r="IQ651" s="39"/>
      <c r="IR651" s="39"/>
      <c r="IS651" s="39"/>
      <c r="IT651" s="39"/>
      <c r="IU651" s="39"/>
      <c r="IV651" s="39"/>
      <c r="IW651" s="39"/>
      <c r="IX651" s="19">
        <f t="shared" si="1765"/>
        <v>1554.1790484140233</v>
      </c>
      <c r="IY651" s="19">
        <f t="shared" si="1766"/>
        <v>2412.3001201524512</v>
      </c>
      <c r="IZ651" s="19">
        <f t="shared" si="1767"/>
        <v>3993.0862952928574</v>
      </c>
      <c r="JA651" s="19">
        <f t="shared" ref="JA651:JC651" si="1948">IFERROR((JA151*IB151+JA251*IB251+JA351*IB351+JA451*IB451+JA551*IB551)/IB651,0)</f>
        <v>1726.6235051327055</v>
      </c>
      <c r="JB651" s="19">
        <f t="shared" si="1948"/>
        <v>2907.6576412009586</v>
      </c>
      <c r="JC651" s="19">
        <f t="shared" si="1948"/>
        <v>3746.8174220927508</v>
      </c>
      <c r="JD651" s="19">
        <f t="shared" si="1769"/>
        <v>2556.6510295543794</v>
      </c>
      <c r="JE651" s="21"/>
      <c r="JF651" s="1">
        <f t="shared" si="1770"/>
        <v>2.6651855648468406E-2</v>
      </c>
      <c r="JG651" s="15">
        <f t="shared" si="1771"/>
        <v>6449</v>
      </c>
      <c r="JH651" s="1">
        <f t="shared" si="1772"/>
        <v>1.7059747161111576E-2</v>
      </c>
      <c r="JI651" s="1">
        <f t="shared" si="1773"/>
        <v>2.2330151945279306E-2</v>
      </c>
      <c r="JJ651" s="1">
        <f t="shared" si="1774"/>
        <v>0</v>
      </c>
      <c r="JK651" s="1">
        <f t="shared" si="1775"/>
        <v>3.9389899106390888E-2</v>
      </c>
      <c r="JL651" s="15">
        <f t="shared" ref="JL651:JM651" si="1949">JL151+JL251+JL351+JL451+JL551</f>
        <v>254.02545933711482</v>
      </c>
      <c r="JM651" s="15">
        <f t="shared" si="1949"/>
        <v>6703.0254593371155</v>
      </c>
      <c r="JN651" s="21"/>
      <c r="JO651" s="19">
        <f>INDEX(Input!$1:$1048576,JO$93,$C651*2+6)</f>
        <v>5995.5</v>
      </c>
      <c r="JP651" s="19">
        <f>INDEX(Input!$1:$1048576,JP$93,$C651*2+6)</f>
        <v>2296.6050414551746</v>
      </c>
      <c r="JQ651" s="39">
        <f t="shared" si="1799"/>
        <v>3438.8489704456206</v>
      </c>
      <c r="JR651" s="39">
        <f t="shared" si="1800"/>
        <v>260.04598809920481</v>
      </c>
      <c r="JS651" s="39">
        <f t="shared" si="1801"/>
        <v>17.13729694174345</v>
      </c>
      <c r="JT651" s="39">
        <f t="shared" si="1802"/>
        <v>2.326491029399032</v>
      </c>
      <c r="JU651" s="385">
        <f>(JQ651*JM651-INDEX(Input!$1:$1048576,Input!A$18,$C651*2+6)*JL651*INDEX(Input!$1:$1048576,Input!A$19,$C651*2+6))/1000000</f>
        <v>23.050692199712223</v>
      </c>
      <c r="JV651" s="39">
        <f t="shared" si="1803"/>
        <v>-0.80348138794335355</v>
      </c>
      <c r="JW651" s="1">
        <f t="shared" si="1804"/>
        <v>-3.3683052778619479E-2</v>
      </c>
      <c r="JX651" s="19">
        <f t="shared" si="1805"/>
        <v>9158.4955124973021</v>
      </c>
      <c r="JZ651" s="341"/>
      <c r="KA651" s="60"/>
      <c r="KB651" s="469">
        <f t="shared" si="1778"/>
        <v>0</v>
      </c>
      <c r="KI651" s="472"/>
      <c r="KJ651" s="472"/>
      <c r="KK651" s="472"/>
      <c r="KN651" s="793">
        <f t="shared" si="1779"/>
        <v>6002</v>
      </c>
      <c r="KO651" s="541">
        <f t="shared" si="1780"/>
        <v>1.5565522232225515E-2</v>
      </c>
      <c r="KP651" s="546">
        <f t="shared" si="1781"/>
        <v>133.76431036143214</v>
      </c>
      <c r="KQ651" s="546">
        <f t="shared" si="1782"/>
        <v>93.817772949234495</v>
      </c>
      <c r="KR651" s="472">
        <f t="shared" si="1783"/>
        <v>2.0389719444904637</v>
      </c>
      <c r="KS651" s="472">
        <f t="shared" si="1784"/>
        <v>2.9071429370707587</v>
      </c>
      <c r="KT651" s="473">
        <f t="shared" si="1795"/>
        <v>4286.2445668946921</v>
      </c>
      <c r="KU651" s="663">
        <f t="shared" si="1785"/>
        <v>4.407558202228957</v>
      </c>
      <c r="KV651" s="117"/>
    </row>
    <row r="652" spans="1:308" s="26" customFormat="1" ht="15" outlineLevel="1">
      <c r="A652" s="561">
        <f t="shared" si="1751"/>
        <v>6052</v>
      </c>
      <c r="B652" s="561">
        <f t="shared" si="1786"/>
        <v>52</v>
      </c>
      <c r="C652" s="561">
        <f t="shared" si="1787"/>
        <v>6</v>
      </c>
      <c r="D652" s="561" t="str">
        <f t="shared" si="1855"/>
        <v xml:space="preserve">0/0/0/3.9, -360 Lease, </v>
      </c>
      <c r="E652" s="475">
        <f>INDEX(Input!$1:$1048576,E$93,$C652*2+MIN($B652,2)+5)
+INDEX(Scenarios!E$121:E$199,MATCH($B652,Scenarios!$B$121:$B$199,0))</f>
        <v>1267.2644913000609</v>
      </c>
      <c r="F652" s="475">
        <f>INDEX(Input!$1:$1048576,F$93,$C652*2+MIN($B652,2)+5)
+INDEX(Scenarios!F$121:F$199,MATCH($B652,Scenarios!$B$121:$B$199,0))</f>
        <v>0</v>
      </c>
      <c r="G652" s="475">
        <f>INDEX(Input!$1:$1048576,G$93,$C652*2+MIN($B652,2)+5)
+INDEX(Scenarios!G$121:G$199,MATCH($B652,Scenarios!$B$121:$B$199,0))</f>
        <v>0</v>
      </c>
      <c r="H652" s="475">
        <f>INDEX(Input!$1:$1048576,H$93,$C652*2+MIN($B652,2)+5)
+INDEX(Scenarios!H$121:H$199,MATCH($B652,Scenarios!$B$121:$B$199,0))</f>
        <v>0</v>
      </c>
      <c r="I652" s="476">
        <f>INDEX(Input!$1:$1048576,I$93,$C652*2+MIN($B652,2)+5)
+INDEX(Scenarios!I$121:I$199,MATCH($B652,Scenarios!$B$121:$B$199,0))</f>
        <v>0.7</v>
      </c>
      <c r="J652" s="476" t="str">
        <f>INDEX(Input!$1:$1048576,J$93,$C652*2+MIN($B652,2)+5)</f>
        <v>Market</v>
      </c>
      <c r="K652" s="476" t="str">
        <f>INDEX(Input!$1:$1048576,K$93,$C652*2+MIN($B652,2)+5)</f>
        <v>Market</v>
      </c>
      <c r="L652" s="476" t="str">
        <f>INDEX(Input!$1:$1048576,L$93,$C652*2+MIN($B652,2)+5)</f>
        <v>Market</v>
      </c>
      <c r="M652" s="476" t="str">
        <f>INDEX(Input!$1:$1048576,M$93,$C652*2+MIN($B652,2)+5)</f>
        <v>Market</v>
      </c>
      <c r="N652" s="476" t="str">
        <f>INDEX(Input!$1:$1048576,N$93,$C652*2+MIN($B652,2)+5)</f>
        <v>Market</v>
      </c>
      <c r="O652" s="476" t="str">
        <f>INDEX(Input!$1:$1048576,O$93,$C652*2+MIN($B652,2)+5)</f>
        <v>Market</v>
      </c>
      <c r="P652" s="476" t="str">
        <f>INDEX(Input!$1:$1048576,P$93,$C652*2+MIN($B652,2)+5)</f>
        <v>N</v>
      </c>
      <c r="Q652" s="477">
        <f>INDEX(Input!$1:$1048576,Q$93,$C652*2+MIN($B652,2)+5)
+INDEX(Scenarios!Q$121:Q$199,MATCH($B652,Scenarios!$B$121:$B$199,0))</f>
        <v>0</v>
      </c>
      <c r="R652" s="478">
        <f>IFERROR(MAX(0,INDEX(Input!$1:$1048576,R$93,$C652*2+MIN($B652,2)+5)
+INDEX(Scenarios!R$121:R$199,MATCH($B652,Scenarios!$B$121:$B$199,0)),),"Market")</f>
        <v>0</v>
      </c>
      <c r="S652" s="478">
        <f>IFERROR(MAX(0,INDEX(Input!$1:$1048576,S$93,$C652*2+MIN($B652,2)+5)
+INDEX(Scenarios!S$121:S$199,MATCH($B652,Scenarios!$B$121:$B$199,0)),),"Market")</f>
        <v>0</v>
      </c>
      <c r="T652" s="478">
        <f>IFERROR(MAX(0,INDEX(Input!$1:$1048576,T$93,$C652*2+MIN($B652,2)+5)
+INDEX(Scenarios!T$121:T$199,MATCH($B652,Scenarios!$B$121:$B$199,0)),),"Market")</f>
        <v>0</v>
      </c>
      <c r="U652" s="478">
        <f>IFERROR(MAX(0,INDEX(Input!$1:$1048576,U$93,$C652*2+MIN($B652,2)+5)
+INDEX(Scenarios!U$121:U$199,MATCH($B652,Scenarios!$B$121:$B$199,0)),),"Market")</f>
        <v>0</v>
      </c>
      <c r="V652" s="478">
        <f>IFERROR(MAX(0,INDEX(Input!$1:$1048576,V$93,$C652*2+MIN($B652,2)+5)
+INDEX(Scenarios!V$121:V$199,MATCH($B652,Scenarios!$B$121:$B$199,0)),),"Market")</f>
        <v>0</v>
      </c>
      <c r="W652" s="885">
        <f>IFERROR(MAX(0,INDEX(Input!$1:$1048576,W$93,$C652*2+MIN($B652,2)+5)-0%,),"Market")</f>
        <v>3.9E-2</v>
      </c>
      <c r="X652" s="476" t="str">
        <f>INDEX(Input!$1:$1048576,X$93,$C652*2+MIN($B652,2)+5)</f>
        <v>Y</v>
      </c>
      <c r="Y652" s="475">
        <f>INDEX(Input!$1:$1048576,Y$93,$C652*2+MIN($B652,2)+5)
++INDEX(Scenarios!Y$121:Y$199,MATCH($B652,Scenarios!$B$121:$B$199,0))</f>
        <v>377.99367635402496</v>
      </c>
      <c r="Z652" s="477">
        <f>INDEX(Input!$1:$1048576,Z$93,$C652*2+MIN($B652,2)+5)
+INDEX(Scenarios!Z$121:Z$199,MATCH($B652,Scenarios!$B$121:$B$199,0))</f>
        <v>0</v>
      </c>
      <c r="AA652" s="475">
        <f>INDEX(Input!$1:$1048576,AA$93,$C652*2+MIN($B652,2)+5)</f>
        <v>0</v>
      </c>
      <c r="AB652" s="476">
        <f>INDEX(Input!$1:$1048576,AB$93,$C652*2+MIN($B652,2)+5)</f>
        <v>0.27</v>
      </c>
      <c r="AC652" s="475">
        <f>INDEX(Input!$1:$1048576,AC$93,$C652*2+MIN($B652,2)+5)
+INDEX(Scenarios!AC$121:AC$199,MATCH($B652,Scenarios!$B$121:$B$199,0))</f>
        <v>0</v>
      </c>
      <c r="AD652" s="476">
        <f>INDEX(Input!$1:$1048576,AD$93,$C652*2+MIN($B652,2)+5)</f>
        <v>0.27</v>
      </c>
      <c r="AE652" s="475">
        <f>INDEX(Input!$1:$1048576,AE$93,$C652*2+MIN($B652,2)+5)
+INDEX(Scenarios!AE$121:AE$199,MATCH($B652,Scenarios!$B$121:$B$199,0))</f>
        <v>0</v>
      </c>
      <c r="AF652" s="476">
        <f>INDEX(Input!$1:$1048576,AF$93,$C652*2+MIN($B652,2)+5)</f>
        <v>1</v>
      </c>
      <c r="AG652" s="475">
        <f>INDEX(Input!$1:$1048576,AG$93,$C652*2+MIN($B652,2)+5)</f>
        <v>500</v>
      </c>
      <c r="AH652" s="476">
        <f>INDEX(Input!$1:$1048576,AH$93,$C652*2+MIN($B652,2)+5)</f>
        <v>1</v>
      </c>
      <c r="AI652" s="475">
        <f>INDEX(Input!$1:$1048576,AI$93,$C652*2+MIN($B652,2)+5)</f>
        <v>0</v>
      </c>
      <c r="AJ652" s="476">
        <f>INDEX(Input!$1:$1048576,AJ$93,$C652*2+MIN($B652,2)+5)</f>
        <v>0.27</v>
      </c>
      <c r="AK652" s="150">
        <f>ROUND(INDEX(Input!$1:$1048576,AK$93,$C651*2+MIN($B652,1)+5)+(Y652-VLOOKUP($C652*1000+1,$A:$HH,Y$92,FALSE)),0)</f>
        <v>2701</v>
      </c>
      <c r="AL652" s="150">
        <f>ROUND(INDEX(Input!$1:$1048576,AL$93,$C651*2+MIN($B652,1)+5)-(Y652-VLOOKUP($C652*1000+1,$A:$HH,Y$92,FALSE))/36,0)</f>
        <v>3562</v>
      </c>
      <c r="AM652" s="32" t="str">
        <f t="shared" si="1752"/>
        <v>std/std/std/std</v>
      </c>
      <c r="AN652" s="32" t="str">
        <f t="shared" si="1753"/>
        <v>$0 + 0/0/0/0/3.9</v>
      </c>
      <c r="AO652" s="32" t="str">
        <f t="shared" si="1754"/>
        <v>0/0/0/0/3.9</v>
      </c>
      <c r="AP652" s="32" t="str">
        <f t="shared" si="1716"/>
        <v>0/0/0/3.9</v>
      </c>
      <c r="AQ652" s="536">
        <f t="shared" si="1892"/>
        <v>0.34837037492935469</v>
      </c>
      <c r="AR652" s="32"/>
      <c r="AS652" s="302"/>
      <c r="AT652" s="3">
        <f t="shared" si="1788"/>
        <v>52</v>
      </c>
      <c r="AU652" s="41" t="s">
        <v>121</v>
      </c>
      <c r="AV652" s="41" t="s">
        <v>116</v>
      </c>
      <c r="AW652" s="41" t="str">
        <f>INDEX(Input!$1:$1048576,AW$93,$C652*2+6)</f>
        <v>Kia</v>
      </c>
      <c r="AX652" s="41" t="str">
        <f>INDEX(Input!$1:$1048576,AX$93,$C652*2+6)</f>
        <v>National</v>
      </c>
      <c r="AY652" s="41" t="str">
        <f>IF(LEN(D652)=0,"",INDEX(Input!$1:$1048576,AY$93,$C652*2+6))</f>
        <v>Compact SUV (52)</v>
      </c>
      <c r="AZ652" s="41" t="str">
        <f>INDEX(Input!$1:$1048576,AZ$93,$C652*2+6)</f>
        <v>Kia Soul</v>
      </c>
      <c r="BA652" s="3">
        <f>INDEX(Input!$1:$1048576,BA$93,$C652*2+6)</f>
        <v>2020</v>
      </c>
      <c r="BB652" s="128">
        <f>INDEX(Input!$1:$1048576,BB$93,$C652*2+6)</f>
        <v>1</v>
      </c>
      <c r="BC652" s="128">
        <f>INDEX(Input!$1:$1048576,BC$93,$C652*2+6)</f>
        <v>0.7</v>
      </c>
      <c r="BD652" s="1">
        <f>INDEX(Input!$1:$1048576,BD$93,$C652*2+6)</f>
        <v>4.4999999999999998E-2</v>
      </c>
      <c r="BE652" s="1">
        <f>INDEX(Input!$1:$1048576,BE$93,$C652*2+6)</f>
        <v>4.4999999999999998E-2</v>
      </c>
      <c r="BF652" s="1">
        <f>INDEX(Input!$1:$1048576,BF$93,$C652*2+6)</f>
        <v>0.05</v>
      </c>
      <c r="BG652" s="1">
        <f>INDEX(Input!$1:$1048576,BG$93,$C652*2+6)</f>
        <v>5.45E-2</v>
      </c>
      <c r="BH652" s="1">
        <f>INDEX(Input!$1:$1048576,BH$93,$C652*2+6)</f>
        <v>5.45E-2</v>
      </c>
      <c r="BI652" s="1">
        <f>INDEX(Input!$1:$1048576,BI$93,$C652*2+6)</f>
        <v>0.05</v>
      </c>
      <c r="BJ652" s="1">
        <f>INDEX(Input!$1:$1048576,BJ$93,$C652*2+6)</f>
        <v>0.05</v>
      </c>
      <c r="BK652" s="1">
        <f>INDEX(Input!$1:$1048576,BK$93,$C652*2+6)</f>
        <v>0.05</v>
      </c>
      <c r="BL652" s="1">
        <f>INDEX(Input!$1:$1048576,BL$93,$C652*2+6)</f>
        <v>5.5E-2</v>
      </c>
      <c r="BM652" s="1">
        <f>INDEX(Input!$1:$1048576,BM$93,$C652*2+6)</f>
        <v>0.06</v>
      </c>
      <c r="BN652" s="1">
        <f>INDEX(Input!$1:$1048576,BN$93,$C652*2+6)</f>
        <v>4.4999999999999998E-2</v>
      </c>
      <c r="BO652" s="1">
        <f>INDEX(Input!$1:$1048576,BO$93,$C652*2+6)</f>
        <v>4.4999999999999998E-2</v>
      </c>
      <c r="BP652" s="1">
        <f>INDEX(Input!$1:$1048576,BP$93,$C652*2+6)</f>
        <v>0.05</v>
      </c>
      <c r="BQ652" s="1">
        <f>INDEX(Input!$1:$1048576,BQ$93,$C652*2+6)</f>
        <v>5.45E-2</v>
      </c>
      <c r="BR652" s="1">
        <f>INDEX(Input!$1:$1048576,BR$93,$C652*2+6)</f>
        <v>5.45E-2</v>
      </c>
      <c r="BS652" s="1">
        <f>INDEX(Input!$1:$1048576,BS$93,$C652*2+6)</f>
        <v>0.05</v>
      </c>
      <c r="BT652" s="1">
        <f>INDEX(Input!$1:$1048576,BT$93,$C652*2+6)</f>
        <v>0.05</v>
      </c>
      <c r="BU652" s="1">
        <f>INDEX(Input!$1:$1048576,BU$93,$C652*2+6)</f>
        <v>0.05</v>
      </c>
      <c r="BV652" s="1">
        <f>INDEX(Input!$1:$1048576,BV$93,$C652*2+6)</f>
        <v>5.5E-2</v>
      </c>
      <c r="BW652" s="1">
        <f>INDEX(Input!$1:$1048576,BW$93,$C652*2+6)</f>
        <v>0.06</v>
      </c>
      <c r="BX652" s="127">
        <f>INDEX(Input!$1:$1048576,BX$93,$C652*2+6)</f>
        <v>19985</v>
      </c>
      <c r="BY652" s="20">
        <f>INDEX(Input!$1:$1048576,BY$93,$C652*2+6)</f>
        <v>0.1</v>
      </c>
      <c r="BZ652" s="20">
        <f>INDEX(Input!$1:$1048576,BZ$93,$C652*2+6)</f>
        <v>0.1</v>
      </c>
      <c r="CA652" s="20">
        <f>INDEX(Input!$1:$1048576,CA$93,$C652*2+6)</f>
        <v>0.1</v>
      </c>
      <c r="CB652" s="20">
        <f>INDEX(Input!$1:$1048576,CB$93,$C652*2+6)</f>
        <v>0.1</v>
      </c>
      <c r="CC652" s="20">
        <f>INDEX(Input!$1:$1048576,CC$93,$C652*2+6)</f>
        <v>0.1</v>
      </c>
      <c r="CD652" s="384">
        <f>INDEX(Input!$1:$1048576,CD$93,$C652*2+6)</f>
        <v>0.1</v>
      </c>
      <c r="CE652" s="384">
        <f>INDEX(Input!$1:$1048576,CE$93,$C652*2+6)</f>
        <v>0.1</v>
      </c>
      <c r="CF652" s="384">
        <f>INDEX(Input!$1:$1048576,CF$93,$C652*2+6)</f>
        <v>0.1</v>
      </c>
      <c r="CG652" s="384">
        <f>INDEX(Input!$1:$1048576,CG$93,$C652*2+6)</f>
        <v>0.1</v>
      </c>
      <c r="CH652" s="384">
        <f>INDEX(Input!$1:$1048576,CH$93,$C652*2+6)</f>
        <v>0.1</v>
      </c>
      <c r="CI652" s="304">
        <f t="shared" si="1718"/>
        <v>1267.2644913000609</v>
      </c>
      <c r="CJ652" s="16" t="str">
        <f>INDEX(Input!$1:$1048576,CJ$93,$C652*2+6)</f>
        <v>N</v>
      </c>
      <c r="CK652" s="1" t="str">
        <f t="shared" si="1719"/>
        <v>Market</v>
      </c>
      <c r="CL652" s="1" t="str">
        <f t="shared" si="1720"/>
        <v>Market</v>
      </c>
      <c r="CM652" s="1" t="str">
        <f t="shared" si="1721"/>
        <v>Market</v>
      </c>
      <c r="CN652" s="1" t="str">
        <f t="shared" si="1722"/>
        <v>Market</v>
      </c>
      <c r="CO652" s="1" t="str">
        <f t="shared" si="1723"/>
        <v>Market</v>
      </c>
      <c r="CP652" s="304">
        <f t="shared" si="1724"/>
        <v>500</v>
      </c>
      <c r="CQ652" s="1">
        <f t="shared" si="1725"/>
        <v>0</v>
      </c>
      <c r="CR652" s="1">
        <f t="shared" si="1726"/>
        <v>0</v>
      </c>
      <c r="CS652" s="1">
        <f t="shared" si="1727"/>
        <v>0</v>
      </c>
      <c r="CT652" s="1">
        <f t="shared" si="1728"/>
        <v>0</v>
      </c>
      <c r="CU652" s="1">
        <f t="shared" si="1729"/>
        <v>3.9E-2</v>
      </c>
      <c r="CV652" s="304">
        <f t="shared" si="1730"/>
        <v>377.99367635402496</v>
      </c>
      <c r="CW652" s="20" t="s">
        <v>122</v>
      </c>
      <c r="CX652" s="20" t="s">
        <v>122</v>
      </c>
      <c r="CY652" s="20" t="s">
        <v>122</v>
      </c>
      <c r="CZ652" s="20" t="s">
        <v>122</v>
      </c>
      <c r="DA652" s="20" t="s">
        <v>122</v>
      </c>
      <c r="DB652" s="503">
        <f t="shared" si="1731"/>
        <v>0</v>
      </c>
      <c r="DC652" s="127">
        <v>0</v>
      </c>
      <c r="DD652" s="127">
        <v>0</v>
      </c>
      <c r="DE652" s="127">
        <v>0</v>
      </c>
      <c r="DF652" s="127">
        <v>0</v>
      </c>
      <c r="DG652" s="127">
        <v>0</v>
      </c>
      <c r="DH652" s="127">
        <v>0</v>
      </c>
      <c r="DI652" s="127">
        <v>0</v>
      </c>
      <c r="DJ652" s="127">
        <v>0</v>
      </c>
      <c r="DK652" s="127">
        <v>0</v>
      </c>
      <c r="DL652" s="127">
        <v>0</v>
      </c>
      <c r="DM652" s="304">
        <f>INDEX(Input!$1:$1048576,DM$93,$C652*2+6)</f>
        <v>21036.84210526316</v>
      </c>
      <c r="DN652" s="20">
        <v>0</v>
      </c>
      <c r="DO652" s="20">
        <v>0</v>
      </c>
      <c r="DP652" s="20">
        <v>0</v>
      </c>
      <c r="DQ652" s="20">
        <v>0</v>
      </c>
      <c r="DR652" s="20">
        <v>0</v>
      </c>
      <c r="DS652" s="20">
        <f>INDEX(Input!$1:$1048576,DS$93,$C652*2+6)</f>
        <v>0.6</v>
      </c>
      <c r="DT652" s="20">
        <f>INDEX(Input!$1:$1048576,DT$93,$C652*2+6)</f>
        <v>0.55000000000000004</v>
      </c>
      <c r="DU652" s="20">
        <f>INDEX(Input!$1:$1048576,DU$93,$C652*2+6)</f>
        <v>0.52</v>
      </c>
      <c r="DV652" s="20">
        <f>INDEX(Input!$1:$1048576,DV$93,$C652*2+6)</f>
        <v>0.5</v>
      </c>
      <c r="DW652" s="20">
        <f>INDEX(Input!$1:$1048576,DW$93,$C652*2+6)</f>
        <v>0.45</v>
      </c>
      <c r="DX652" s="20"/>
      <c r="DY652" s="7"/>
      <c r="DZ652" s="7"/>
      <c r="EA652" s="7"/>
      <c r="EB652" s="7"/>
      <c r="EC652" s="7"/>
      <c r="ED652" s="7"/>
      <c r="EE652" s="7"/>
      <c r="EF652" s="7"/>
      <c r="EG652" s="7"/>
      <c r="EH652" s="7"/>
      <c r="EI652" s="7"/>
      <c r="EJ652" s="7"/>
      <c r="EK652" s="7"/>
      <c r="EL652" s="7"/>
      <c r="EM652" s="7"/>
      <c r="EN652" s="7"/>
      <c r="EO652" s="7"/>
      <c r="EP652" s="7"/>
      <c r="EQ652" s="7"/>
      <c r="ER652" s="7"/>
      <c r="ES652" s="7"/>
      <c r="ET652" s="7"/>
      <c r="EU652" s="6"/>
      <c r="EV652" s="6"/>
      <c r="EW652" s="6"/>
      <c r="EX652" s="6"/>
      <c r="EY652" s="6"/>
      <c r="EZ652" s="6"/>
      <c r="FA652" s="6"/>
      <c r="FB652" s="6"/>
      <c r="FC652" s="6"/>
      <c r="FD652" s="6"/>
      <c r="FE652" s="6"/>
      <c r="FF652" s="6"/>
      <c r="FG652" s="6"/>
      <c r="FH652" s="6"/>
      <c r="FI652" s="6"/>
      <c r="FJ652" s="6"/>
      <c r="FK652" s="6"/>
      <c r="FL652" s="6"/>
      <c r="FM652" s="6"/>
      <c r="FN652" s="6"/>
      <c r="FO652" s="6"/>
      <c r="FP652" s="6"/>
      <c r="FQ652" s="6"/>
      <c r="FR652" s="6"/>
      <c r="FS652" s="6"/>
      <c r="FT652" s="7"/>
      <c r="FU652" s="7"/>
      <c r="FV652" s="7"/>
      <c r="FW652" s="6"/>
      <c r="FX652" s="6"/>
      <c r="FY652" s="6"/>
      <c r="FZ652" s="6"/>
      <c r="GA652" s="6"/>
      <c r="GB652" s="6"/>
      <c r="GC652" s="7"/>
      <c r="GD652" s="7"/>
      <c r="GE652" s="7"/>
      <c r="GF652" s="7"/>
      <c r="GG652" s="7"/>
      <c r="GH652" s="42"/>
      <c r="GI652" s="6"/>
      <c r="GJ652" s="14"/>
      <c r="GK652" s="14"/>
      <c r="GL652" s="14"/>
      <c r="GM652" s="14"/>
      <c r="GO652" s="5"/>
      <c r="GP652" s="5"/>
      <c r="GQ652" s="5"/>
      <c r="GR652" s="5"/>
      <c r="GS652" s="5"/>
      <c r="GT652" s="5"/>
      <c r="GU652" s="5"/>
      <c r="GV652" s="39"/>
      <c r="GW652" s="5"/>
      <c r="GX652" s="5"/>
      <c r="GY652" s="5"/>
      <c r="GZ652" s="5"/>
      <c r="HA652" s="5"/>
      <c r="HB652" s="39"/>
      <c r="HC652" s="5"/>
      <c r="HD652" s="5"/>
      <c r="HE652" s="5"/>
      <c r="HF652" s="5"/>
      <c r="HG652" s="5"/>
      <c r="HH652" s="39"/>
      <c r="HI652" s="16"/>
      <c r="HJ652" s="19"/>
      <c r="HK652" s="1"/>
      <c r="HL652" s="16"/>
      <c r="HM652" s="639">
        <f t="shared" si="1755"/>
        <v>2.3149872625708352E-2</v>
      </c>
      <c r="HN652" s="639">
        <f t="shared" si="1756"/>
        <v>1.3965040474190958E-3</v>
      </c>
      <c r="HO652" s="639">
        <f t="shared" si="1757"/>
        <v>3.5429561340050734E-3</v>
      </c>
      <c r="HP652" s="644">
        <f t="shared" ref="HP652:ID652" si="1950">HP152+HP252+HP352+HP452+HP552</f>
        <v>66.623454976430665</v>
      </c>
      <c r="HQ652" s="644">
        <f t="shared" si="1950"/>
        <v>216.89161108096485</v>
      </c>
      <c r="HR652" s="644">
        <f t="shared" si="1950"/>
        <v>-146.30718310729208</v>
      </c>
      <c r="HS652" s="644">
        <f t="shared" si="1950"/>
        <v>-62.56544754364112</v>
      </c>
      <c r="HT652" s="644">
        <f t="shared" si="1950"/>
        <v>374.98750242412018</v>
      </c>
      <c r="HU652" s="644">
        <f t="shared" si="1950"/>
        <v>-9.2438701447390397</v>
      </c>
      <c r="HV652" s="644">
        <f t="shared" si="1950"/>
        <v>0</v>
      </c>
      <c r="HW652" s="644">
        <f t="shared" si="1950"/>
        <v>0</v>
      </c>
      <c r="HX652" s="644">
        <f t="shared" si="1950"/>
        <v>0</v>
      </c>
      <c r="HY652" s="644">
        <f t="shared" si="1950"/>
        <v>2396</v>
      </c>
      <c r="HZ652" s="644">
        <f t="shared" si="1950"/>
        <v>3223</v>
      </c>
      <c r="IA652" s="644">
        <f t="shared" si="1950"/>
        <v>830</v>
      </c>
      <c r="IB652" s="644">
        <f t="shared" si="1950"/>
        <v>2400.05800743279</v>
      </c>
      <c r="IC652" s="644">
        <f t="shared" si="1950"/>
        <v>3814.8791135050851</v>
      </c>
      <c r="ID652" s="644">
        <f t="shared" si="1950"/>
        <v>674.44894674796888</v>
      </c>
      <c r="IE652" s="20">
        <f t="shared" si="1759"/>
        <v>0.34837037492935469</v>
      </c>
      <c r="IF652" s="20">
        <f t="shared" si="1760"/>
        <v>0.55373281102629646</v>
      </c>
      <c r="IG652" s="20">
        <f t="shared" si="1761"/>
        <v>9.7896814044348857E-2</v>
      </c>
      <c r="IH652" s="21"/>
      <c r="II652" s="19"/>
      <c r="IJ652" s="19"/>
      <c r="IK652" s="19"/>
      <c r="IL652" s="19">
        <f t="shared" si="1762"/>
        <v>173.8525960026534</v>
      </c>
      <c r="IM652" s="19">
        <f t="shared" si="1763"/>
        <v>845.3306403069696</v>
      </c>
      <c r="IN652" s="19">
        <f t="shared" si="1764"/>
        <v>-245.54516146718197</v>
      </c>
      <c r="IO652" s="39"/>
      <c r="IP652" s="39"/>
      <c r="IQ652" s="39"/>
      <c r="IR652" s="39"/>
      <c r="IS652" s="39"/>
      <c r="IT652" s="39"/>
      <c r="IU652" s="39"/>
      <c r="IV652" s="39"/>
      <c r="IW652" s="39"/>
      <c r="IX652" s="19">
        <f t="shared" si="1765"/>
        <v>1554.1790484140233</v>
      </c>
      <c r="IY652" s="19">
        <f t="shared" si="1766"/>
        <v>2412.3001201524512</v>
      </c>
      <c r="IZ652" s="19">
        <f t="shared" si="1767"/>
        <v>3993.0862952928574</v>
      </c>
      <c r="JA652" s="19">
        <f t="shared" ref="JA652:JC652" si="1951">IFERROR((JA152*IB152+JA252*IB252+JA352*IB352+JA452*IB452+JA552*IB552)/IB652,0)</f>
        <v>1728.0316444166767</v>
      </c>
      <c r="JB652" s="19">
        <f t="shared" si="1951"/>
        <v>3257.6307604594208</v>
      </c>
      <c r="JC652" s="19">
        <f t="shared" si="1951"/>
        <v>3747.5411338256754</v>
      </c>
      <c r="JD652" s="19">
        <f t="shared" si="1769"/>
        <v>2772.7244076318343</v>
      </c>
      <c r="JE652" s="21"/>
      <c r="JF652" s="1">
        <f t="shared" si="1770"/>
        <v>2.6651855648468406E-2</v>
      </c>
      <c r="JG652" s="15">
        <f t="shared" si="1771"/>
        <v>6449</v>
      </c>
      <c r="JH652" s="1">
        <f t="shared" si="1772"/>
        <v>2.127583857188765E-2</v>
      </c>
      <c r="JI652" s="1">
        <f t="shared" si="1773"/>
        <v>4.7011658355673745E-2</v>
      </c>
      <c r="JJ652" s="1">
        <f t="shared" si="1774"/>
        <v>0</v>
      </c>
      <c r="JK652" s="1">
        <f t="shared" si="1775"/>
        <v>6.8287496927561392E-2</v>
      </c>
      <c r="JL652" s="15">
        <f t="shared" ref="JL652:JM652" si="1952">JL152+JL252+JL352+JL452+JL552</f>
        <v>440.38606768584344</v>
      </c>
      <c r="JM652" s="15">
        <f t="shared" si="1952"/>
        <v>6889.386067685843</v>
      </c>
      <c r="JN652" s="21"/>
      <c r="JO652" s="19">
        <f>INDEX(Input!$1:$1048576,JO$93,$C652*2+6)</f>
        <v>5995.5</v>
      </c>
      <c r="JP652" s="19">
        <f>INDEX(Input!$1:$1048576,JP$93,$C652*2+6)</f>
        <v>2296.6050414551746</v>
      </c>
      <c r="JQ652" s="39">
        <f t="shared" si="1799"/>
        <v>3222.7755923681657</v>
      </c>
      <c r="JR652" s="39">
        <f t="shared" si="1800"/>
        <v>476.1193661766597</v>
      </c>
      <c r="JS652" s="39">
        <f t="shared" si="1801"/>
        <v>19.102368903471241</v>
      </c>
      <c r="JT652" s="39">
        <f t="shared" si="1802"/>
        <v>4.2915629911268223</v>
      </c>
      <c r="JU652" s="385">
        <f>(JQ652*JM652-INDEX(Input!$1:$1048576,Input!A$18,$C652*2+6)*JL652*INDEX(Input!$1:$1048576,Input!A$19,$C652*2+6))/1000000</f>
        <v>22.202945265339228</v>
      </c>
      <c r="JV652" s="39">
        <f t="shared" si="1803"/>
        <v>-1.6512283223163493</v>
      </c>
      <c r="JW652" s="1">
        <f t="shared" si="1804"/>
        <v>-6.9221778580954588E-2</v>
      </c>
      <c r="JX652" s="19">
        <f t="shared" si="1805"/>
        <v>9745.0017292288139</v>
      </c>
      <c r="JZ652" s="341"/>
      <c r="KA652" s="60"/>
      <c r="KB652" s="469">
        <f t="shared" si="1778"/>
        <v>0</v>
      </c>
      <c r="KI652" s="472"/>
      <c r="KJ652" s="472"/>
      <c r="KK652" s="472"/>
      <c r="KN652" s="793">
        <f t="shared" si="1779"/>
        <v>6002</v>
      </c>
      <c r="KO652" s="541">
        <f t="shared" si="1780"/>
        <v>4.3800743728744651E-2</v>
      </c>
      <c r="KP652" s="546">
        <f t="shared" si="1781"/>
        <v>337.66385914124106</v>
      </c>
      <c r="KQ652" s="546">
        <f t="shared" si="1782"/>
        <v>309.89115102668939</v>
      </c>
      <c r="KR652" s="472">
        <f t="shared" si="1783"/>
        <v>2.2729229508057602</v>
      </c>
      <c r="KS652" s="472">
        <f t="shared" si="1784"/>
        <v>2.4766242358229538</v>
      </c>
      <c r="KT652" s="473">
        <f t="shared" si="1795"/>
        <v>4286.2445668946921</v>
      </c>
      <c r="KU652" s="663">
        <f t="shared" si="1785"/>
        <v>4.3774725817004425</v>
      </c>
      <c r="KV652" s="117"/>
    </row>
    <row r="653" spans="1:308" s="26" customFormat="1" ht="15" outlineLevel="1">
      <c r="A653" s="561">
        <f t="shared" si="1751"/>
        <v>6053</v>
      </c>
      <c r="B653" s="561">
        <f t="shared" si="1786"/>
        <v>53</v>
      </c>
      <c r="C653" s="561">
        <f t="shared" si="1787"/>
        <v>6</v>
      </c>
      <c r="D653" s="561" t="str">
        <f t="shared" ref="D653:D684" si="1953">IF(E653=INDEX(E:E,MATCH(C653*1000+2,A:A,0)),"",E653-INDEX(E:E,MATCH(C653*1000+2,A:A,0))&amp;E$100&amp;", ")
&amp;IF(F653=INDEX(F:F,MATCH(C653*1000+2,A:A,0)),"",F653-INDEX(F:F,MATCH(C653*1000+2,A:A,0))&amp;F$100&amp;", ")
&amp;IF(AM653=INDEX(AM:AM,MATCH(C653*1000+2,A:A,0)),"",AM653&amp;AM$100&amp;", ")
&amp;IF(AP653=INDEX(AP:AP,MATCH(C653*1000+2,A:A,0)),"",AP653&amp;AP$100&amp;", ")
&amp;IF(Q653=INDEX(Q:Q,MATCH(C653*1000+2,A:A,0)),"",Q653-INDEX(Q:Q,MATCH(C653*1000+2,A:A,0))&amp;Q$100&amp;", ")
&amp;IF(Y653=INDEX(Y:Y,MATCH(C653*1000+2,A:A,0)),"",Y653-INDEX(Y:Y,MATCH(C653*1000+2,A:A,0))&amp;Y$100&amp;", ")
&amp;IF(Z653=INDEX(Z:Z,MATCH(C653*1000+2,A:A,0)),"",Z653-INDEX(Z:Z,MATCH(C653*1000+2,A:A,0))&amp;Z$100&amp;", ")
&amp;IF(AA653=INDEX(AA:AA,MATCH(C653*1000+2,A:A,0)),"",AA653-INDEX(AA:AA,MATCH(C653*1000+2,A:A,0))&amp;AA$100&amp;", ")
&amp;IF(AC653=INDEX(AC:AC,MATCH(C653*1000+2,A:A,0)),"",AC653-INDEX(AC:AC,MATCH(C653*1000+2,A:A,0))&amp;AC$100&amp;", ")
&amp;IF(AE653=INDEX(AE:AE,MATCH(C653*1000+2,A:A,0)),"",AE653-INDEX(AE:AE,MATCH(C653*1000+2,A:A,0))&amp;AE$100&amp;", ")
&amp;IF(AG653=INDEX(AG:AG,MATCH(C653*1000+2,A:A,0)),"",AG653-INDEX(AG:AG,MATCH(C653*1000+2,A:A,0))&amp;AG$100&amp;", ")
&amp;IF(AI653=INDEX(AI:AI,MATCH(C653*1000+2,A:A,0)),"",AI653-INDEX(AI:AI,MATCH(C653*1000+2,A:A,0))&amp;AI$100&amp;", ")</f>
        <v xml:space="preserve">0/0/0/3.9, -360 Lease, </v>
      </c>
      <c r="E653" s="475">
        <f>INDEX(Input!$1:$1048576,E$93,$C653*2+MIN($B653,2)+5)
+INDEX(Scenarios!E$121:E$199,MATCH($B653,Scenarios!$B$121:$B$199,0))</f>
        <v>1267.2644913000609</v>
      </c>
      <c r="F653" s="475">
        <f>INDEX(Input!$1:$1048576,F$93,$C653*2+MIN($B653,2)+5)
+INDEX(Scenarios!F$121:F$199,MATCH($B653,Scenarios!$B$121:$B$199,0))</f>
        <v>0</v>
      </c>
      <c r="G653" s="475">
        <f>INDEX(Input!$1:$1048576,G$93,$C653*2+MIN($B653,2)+5)
+INDEX(Scenarios!G$121:G$199,MATCH($B653,Scenarios!$B$121:$B$199,0))</f>
        <v>0</v>
      </c>
      <c r="H653" s="475">
        <f>INDEX(Input!$1:$1048576,H$93,$C653*2+MIN($B653,2)+5)
+INDEX(Scenarios!H$121:H$199,MATCH($B653,Scenarios!$B$121:$B$199,0))</f>
        <v>0</v>
      </c>
      <c r="I653" s="476">
        <f>INDEX(Input!$1:$1048576,I$93,$C653*2+MIN($B653,2)+5)
+INDEX(Scenarios!I$121:I$199,MATCH($B653,Scenarios!$B$121:$B$199,0))</f>
        <v>0.7</v>
      </c>
      <c r="J653" s="476" t="str">
        <f>INDEX(Input!$1:$1048576,J$93,$C653*2+MIN($B653,2)+5)</f>
        <v>Market</v>
      </c>
      <c r="K653" s="476" t="str">
        <f>INDEX(Input!$1:$1048576,K$93,$C653*2+MIN($B653,2)+5)</f>
        <v>Market</v>
      </c>
      <c r="L653" s="476" t="str">
        <f>INDEX(Input!$1:$1048576,L$93,$C653*2+MIN($B653,2)+5)</f>
        <v>Market</v>
      </c>
      <c r="M653" s="476" t="str">
        <f>INDEX(Input!$1:$1048576,M$93,$C653*2+MIN($B653,2)+5)</f>
        <v>Market</v>
      </c>
      <c r="N653" s="476" t="str">
        <f>INDEX(Input!$1:$1048576,N$93,$C653*2+MIN($B653,2)+5)</f>
        <v>Market</v>
      </c>
      <c r="O653" s="476" t="str">
        <f>INDEX(Input!$1:$1048576,O$93,$C653*2+MIN($B653,2)+5)</f>
        <v>Market</v>
      </c>
      <c r="P653" s="476" t="str">
        <f>INDEX(Input!$1:$1048576,P$93,$C653*2+MIN($B653,2)+5)</f>
        <v>N</v>
      </c>
      <c r="Q653" s="477">
        <f>INDEX(Input!$1:$1048576,Q$93,$C653*2+MIN($B653,2)+5)
+INDEX(Scenarios!Q$121:Q$199,MATCH($B653,Scenarios!$B$121:$B$199,0))</f>
        <v>0</v>
      </c>
      <c r="R653" s="478">
        <f>IFERROR(MAX(0,INDEX(Input!$1:$1048576,R$93,$C653*2+MIN($B653,2)+5)
+INDEX(Scenarios!R$121:R$199,MATCH($B653,Scenarios!$B$121:$B$199,0)),),"Market")</f>
        <v>0</v>
      </c>
      <c r="S653" s="478">
        <f>IFERROR(MAX(0,INDEX(Input!$1:$1048576,S$93,$C653*2+MIN($B653,2)+5)
+INDEX(Scenarios!S$121:S$199,MATCH($B653,Scenarios!$B$121:$B$199,0)),),"Market")</f>
        <v>0</v>
      </c>
      <c r="T653" s="478">
        <f>IFERROR(MAX(0,INDEX(Input!$1:$1048576,T$93,$C653*2+MIN($B653,2)+5)
+INDEX(Scenarios!T$121:T$199,MATCH($B653,Scenarios!$B$121:$B$199,0)),),"Market")</f>
        <v>0</v>
      </c>
      <c r="U653" s="478">
        <f>IFERROR(MAX(0,INDEX(Input!$1:$1048576,U$93,$C653*2+MIN($B653,2)+5)
+INDEX(Scenarios!U$121:U$199,MATCH($B653,Scenarios!$B$121:$B$199,0)),),"Market")</f>
        <v>0</v>
      </c>
      <c r="V653" s="478">
        <f>IFERROR(MAX(0,INDEX(Input!$1:$1048576,V$93,$C653*2+MIN($B653,2)+5)
+INDEX(Scenarios!V$121:V$199,MATCH($B653,Scenarios!$B$121:$B$199,0)),),"Market")</f>
        <v>0</v>
      </c>
      <c r="W653" s="885">
        <f>IFERROR(MAX(0,INDEX(Input!$1:$1048576,W$93,$C653*2+MIN($B653,2)+5)-0%,),"Market")</f>
        <v>3.9E-2</v>
      </c>
      <c r="X653" s="476" t="str">
        <f>INDEX(Input!$1:$1048576,X$93,$C653*2+MIN($B653,2)+5)</f>
        <v>Y</v>
      </c>
      <c r="Y653" s="475">
        <f>INDEX(Input!$1:$1048576,Y$93,$C653*2+MIN($B653,2)+5)
++INDEX(Scenarios!Y$121:Y$199,MATCH($B653,Scenarios!$B$121:$B$199,0))</f>
        <v>377.99367635402496</v>
      </c>
      <c r="Z653" s="477">
        <f>INDEX(Input!$1:$1048576,Z$93,$C653*2+MIN($B653,2)+5)
+INDEX(Scenarios!Z$121:Z$199,MATCH($B653,Scenarios!$B$121:$B$199,0))</f>
        <v>0</v>
      </c>
      <c r="AA653" s="475">
        <f>INDEX(Input!$1:$1048576,AA$93,$C653*2+MIN($B653,2)+5)</f>
        <v>0</v>
      </c>
      <c r="AB653" s="476">
        <f>INDEX(Input!$1:$1048576,AB$93,$C653*2+MIN($B653,2)+5)</f>
        <v>0.27</v>
      </c>
      <c r="AC653" s="475">
        <f>INDEX(Input!$1:$1048576,AC$93,$C653*2+MIN($B653,2)+5)
+INDEX(Scenarios!AC$121:AC$199,MATCH($B653,Scenarios!$B$121:$B$199,0))</f>
        <v>0</v>
      </c>
      <c r="AD653" s="476">
        <f>INDEX(Input!$1:$1048576,AD$93,$C653*2+MIN($B653,2)+5)</f>
        <v>0.27</v>
      </c>
      <c r="AE653" s="475">
        <f>INDEX(Input!$1:$1048576,AE$93,$C653*2+MIN($B653,2)+5)
+INDEX(Scenarios!AE$121:AE$199,MATCH($B653,Scenarios!$B$121:$B$199,0))</f>
        <v>0</v>
      </c>
      <c r="AF653" s="476">
        <f>INDEX(Input!$1:$1048576,AF$93,$C653*2+MIN($B653,2)+5)</f>
        <v>1</v>
      </c>
      <c r="AG653" s="475">
        <f>INDEX(Input!$1:$1048576,AG$93,$C653*2+MIN($B653,2)+5)</f>
        <v>500</v>
      </c>
      <c r="AH653" s="476">
        <f>INDEX(Input!$1:$1048576,AH$93,$C653*2+MIN($B653,2)+5)</f>
        <v>1</v>
      </c>
      <c r="AI653" s="475">
        <f>INDEX(Input!$1:$1048576,AI$93,$C653*2+MIN($B653,2)+5)</f>
        <v>0</v>
      </c>
      <c r="AJ653" s="476">
        <f>INDEX(Input!$1:$1048576,AJ$93,$C653*2+MIN($B653,2)+5)</f>
        <v>0.27</v>
      </c>
      <c r="AK653" s="150">
        <f>ROUND(INDEX(Input!$1:$1048576,AK$93,$C652*2+MIN($B653,1)+5)+(Y653-VLOOKUP($C653*1000+1,$A:$HH,Y$92,FALSE)),0)</f>
        <v>2701</v>
      </c>
      <c r="AL653" s="150">
        <f>ROUND(INDEX(Input!$1:$1048576,AL$93,$C652*2+MIN($B653,1)+5)-(Y653-VLOOKUP($C653*1000+1,$A:$HH,Y$92,FALSE))/36,0)</f>
        <v>3562</v>
      </c>
      <c r="AM653" s="32" t="str">
        <f t="shared" si="1752"/>
        <v>std/std/std/std</v>
      </c>
      <c r="AN653" s="32" t="str">
        <f t="shared" si="1753"/>
        <v>$0 + 0/0/0/0/3.9</v>
      </c>
      <c r="AO653" s="32" t="str">
        <f t="shared" si="1754"/>
        <v>0/0/0/0/3.9</v>
      </c>
      <c r="AP653" s="32" t="str">
        <f t="shared" si="1716"/>
        <v>0/0/0/3.9</v>
      </c>
      <c r="AQ653" s="536">
        <f t="shared" si="1892"/>
        <v>0.34837037492935469</v>
      </c>
      <c r="AR653" s="32"/>
      <c r="AS653" s="302"/>
      <c r="AT653" s="3">
        <f t="shared" si="1788"/>
        <v>53</v>
      </c>
      <c r="AU653" s="41" t="s">
        <v>121</v>
      </c>
      <c r="AV653" s="41" t="s">
        <v>116</v>
      </c>
      <c r="AW653" s="41" t="str">
        <f>INDEX(Input!$1:$1048576,AW$93,$C653*2+6)</f>
        <v>Kia</v>
      </c>
      <c r="AX653" s="41" t="str">
        <f>INDEX(Input!$1:$1048576,AX$93,$C653*2+6)</f>
        <v>National</v>
      </c>
      <c r="AY653" s="41" t="str">
        <f>IF(LEN(D653)=0,"",INDEX(Input!$1:$1048576,AY$93,$C653*2+6))</f>
        <v>Compact SUV (52)</v>
      </c>
      <c r="AZ653" s="41" t="str">
        <f>INDEX(Input!$1:$1048576,AZ$93,$C653*2+6)</f>
        <v>Kia Soul</v>
      </c>
      <c r="BA653" s="3">
        <f>INDEX(Input!$1:$1048576,BA$93,$C653*2+6)</f>
        <v>2020</v>
      </c>
      <c r="BB653" s="128">
        <f>INDEX(Input!$1:$1048576,BB$93,$C653*2+6)</f>
        <v>1</v>
      </c>
      <c r="BC653" s="128">
        <f>INDEX(Input!$1:$1048576,BC$93,$C653*2+6)</f>
        <v>0.7</v>
      </c>
      <c r="BD653" s="1">
        <f>INDEX(Input!$1:$1048576,BD$93,$C653*2+6)</f>
        <v>4.4999999999999998E-2</v>
      </c>
      <c r="BE653" s="1">
        <f>INDEX(Input!$1:$1048576,BE$93,$C653*2+6)</f>
        <v>4.4999999999999998E-2</v>
      </c>
      <c r="BF653" s="1">
        <f>INDEX(Input!$1:$1048576,BF$93,$C653*2+6)</f>
        <v>0.05</v>
      </c>
      <c r="BG653" s="1">
        <f>INDEX(Input!$1:$1048576,BG$93,$C653*2+6)</f>
        <v>5.45E-2</v>
      </c>
      <c r="BH653" s="1">
        <f>INDEX(Input!$1:$1048576,BH$93,$C653*2+6)</f>
        <v>5.45E-2</v>
      </c>
      <c r="BI653" s="1">
        <f>INDEX(Input!$1:$1048576,BI$93,$C653*2+6)</f>
        <v>0.05</v>
      </c>
      <c r="BJ653" s="1">
        <f>INDEX(Input!$1:$1048576,BJ$93,$C653*2+6)</f>
        <v>0.05</v>
      </c>
      <c r="BK653" s="1">
        <f>INDEX(Input!$1:$1048576,BK$93,$C653*2+6)</f>
        <v>0.05</v>
      </c>
      <c r="BL653" s="1">
        <f>INDEX(Input!$1:$1048576,BL$93,$C653*2+6)</f>
        <v>5.5E-2</v>
      </c>
      <c r="BM653" s="1">
        <f>INDEX(Input!$1:$1048576,BM$93,$C653*2+6)</f>
        <v>0.06</v>
      </c>
      <c r="BN653" s="1">
        <f>INDEX(Input!$1:$1048576,BN$93,$C653*2+6)</f>
        <v>4.4999999999999998E-2</v>
      </c>
      <c r="BO653" s="1">
        <f>INDEX(Input!$1:$1048576,BO$93,$C653*2+6)</f>
        <v>4.4999999999999998E-2</v>
      </c>
      <c r="BP653" s="1">
        <f>INDEX(Input!$1:$1048576,BP$93,$C653*2+6)</f>
        <v>0.05</v>
      </c>
      <c r="BQ653" s="1">
        <f>INDEX(Input!$1:$1048576,BQ$93,$C653*2+6)</f>
        <v>5.45E-2</v>
      </c>
      <c r="BR653" s="1">
        <f>INDEX(Input!$1:$1048576,BR$93,$C653*2+6)</f>
        <v>5.45E-2</v>
      </c>
      <c r="BS653" s="1">
        <f>INDEX(Input!$1:$1048576,BS$93,$C653*2+6)</f>
        <v>0.05</v>
      </c>
      <c r="BT653" s="1">
        <f>INDEX(Input!$1:$1048576,BT$93,$C653*2+6)</f>
        <v>0.05</v>
      </c>
      <c r="BU653" s="1">
        <f>INDEX(Input!$1:$1048576,BU$93,$C653*2+6)</f>
        <v>0.05</v>
      </c>
      <c r="BV653" s="1">
        <f>INDEX(Input!$1:$1048576,BV$93,$C653*2+6)</f>
        <v>5.5E-2</v>
      </c>
      <c r="BW653" s="1">
        <f>INDEX(Input!$1:$1048576,BW$93,$C653*2+6)</f>
        <v>0.06</v>
      </c>
      <c r="BX653" s="127">
        <f>INDEX(Input!$1:$1048576,BX$93,$C653*2+6)</f>
        <v>19985</v>
      </c>
      <c r="BY653" s="20">
        <f>INDEX(Input!$1:$1048576,BY$93,$C653*2+6)</f>
        <v>0.1</v>
      </c>
      <c r="BZ653" s="20">
        <f>INDEX(Input!$1:$1048576,BZ$93,$C653*2+6)</f>
        <v>0.1</v>
      </c>
      <c r="CA653" s="20">
        <f>INDEX(Input!$1:$1048576,CA$93,$C653*2+6)</f>
        <v>0.1</v>
      </c>
      <c r="CB653" s="20">
        <f>INDEX(Input!$1:$1048576,CB$93,$C653*2+6)</f>
        <v>0.1</v>
      </c>
      <c r="CC653" s="20">
        <f>INDEX(Input!$1:$1048576,CC$93,$C653*2+6)</f>
        <v>0.1</v>
      </c>
      <c r="CD653" s="384">
        <f>INDEX(Input!$1:$1048576,CD$93,$C653*2+6)</f>
        <v>0.1</v>
      </c>
      <c r="CE653" s="384">
        <f>INDEX(Input!$1:$1048576,CE$93,$C653*2+6)</f>
        <v>0.1</v>
      </c>
      <c r="CF653" s="384">
        <f>INDEX(Input!$1:$1048576,CF$93,$C653*2+6)</f>
        <v>0.1</v>
      </c>
      <c r="CG653" s="384">
        <f>INDEX(Input!$1:$1048576,CG$93,$C653*2+6)</f>
        <v>0.1</v>
      </c>
      <c r="CH653" s="384">
        <f>INDEX(Input!$1:$1048576,CH$93,$C653*2+6)</f>
        <v>0.1</v>
      </c>
      <c r="CI653" s="304">
        <f t="shared" si="1718"/>
        <v>1267.2644913000609</v>
      </c>
      <c r="CJ653" s="16" t="str">
        <f>INDEX(Input!$1:$1048576,CJ$93,$C653*2+6)</f>
        <v>N</v>
      </c>
      <c r="CK653" s="1" t="str">
        <f t="shared" si="1719"/>
        <v>Market</v>
      </c>
      <c r="CL653" s="1" t="str">
        <f t="shared" si="1720"/>
        <v>Market</v>
      </c>
      <c r="CM653" s="1" t="str">
        <f t="shared" si="1721"/>
        <v>Market</v>
      </c>
      <c r="CN653" s="1" t="str">
        <f t="shared" si="1722"/>
        <v>Market</v>
      </c>
      <c r="CO653" s="1" t="str">
        <f t="shared" si="1723"/>
        <v>Market</v>
      </c>
      <c r="CP653" s="304">
        <f t="shared" si="1724"/>
        <v>500</v>
      </c>
      <c r="CQ653" s="1">
        <f t="shared" si="1725"/>
        <v>0</v>
      </c>
      <c r="CR653" s="1">
        <f t="shared" si="1726"/>
        <v>0</v>
      </c>
      <c r="CS653" s="1">
        <f t="shared" si="1727"/>
        <v>0</v>
      </c>
      <c r="CT653" s="1">
        <f t="shared" si="1728"/>
        <v>0</v>
      </c>
      <c r="CU653" s="1">
        <f t="shared" si="1729"/>
        <v>3.9E-2</v>
      </c>
      <c r="CV653" s="304">
        <f t="shared" si="1730"/>
        <v>377.99367635402496</v>
      </c>
      <c r="CW653" s="20" t="s">
        <v>122</v>
      </c>
      <c r="CX653" s="20" t="s">
        <v>122</v>
      </c>
      <c r="CY653" s="20" t="s">
        <v>122</v>
      </c>
      <c r="CZ653" s="20" t="s">
        <v>122</v>
      </c>
      <c r="DA653" s="20" t="s">
        <v>122</v>
      </c>
      <c r="DB653" s="503">
        <f t="shared" si="1731"/>
        <v>0</v>
      </c>
      <c r="DC653" s="127">
        <v>0</v>
      </c>
      <c r="DD653" s="127">
        <v>0</v>
      </c>
      <c r="DE653" s="127">
        <v>0</v>
      </c>
      <c r="DF653" s="127">
        <v>0</v>
      </c>
      <c r="DG653" s="127">
        <v>0</v>
      </c>
      <c r="DH653" s="127">
        <v>0</v>
      </c>
      <c r="DI653" s="127">
        <v>0</v>
      </c>
      <c r="DJ653" s="127">
        <v>0</v>
      </c>
      <c r="DK653" s="127">
        <v>0</v>
      </c>
      <c r="DL653" s="127">
        <v>0</v>
      </c>
      <c r="DM653" s="304">
        <f>INDEX(Input!$1:$1048576,DM$93,$C653*2+6)</f>
        <v>21036.84210526316</v>
      </c>
      <c r="DN653" s="20">
        <v>0</v>
      </c>
      <c r="DO653" s="20">
        <v>0</v>
      </c>
      <c r="DP653" s="20">
        <v>0</v>
      </c>
      <c r="DQ653" s="20">
        <v>0</v>
      </c>
      <c r="DR653" s="20">
        <v>0</v>
      </c>
      <c r="DS653" s="20">
        <f>INDEX(Input!$1:$1048576,DS$93,$C653*2+6)</f>
        <v>0.6</v>
      </c>
      <c r="DT653" s="20">
        <f>INDEX(Input!$1:$1048576,DT$93,$C653*2+6)</f>
        <v>0.55000000000000004</v>
      </c>
      <c r="DU653" s="20">
        <f>INDEX(Input!$1:$1048576,DU$93,$C653*2+6)</f>
        <v>0.52</v>
      </c>
      <c r="DV653" s="20">
        <f>INDEX(Input!$1:$1048576,DV$93,$C653*2+6)</f>
        <v>0.5</v>
      </c>
      <c r="DW653" s="20">
        <f>INDEX(Input!$1:$1048576,DW$93,$C653*2+6)</f>
        <v>0.45</v>
      </c>
      <c r="DX653" s="20"/>
      <c r="DY653" s="7"/>
      <c r="DZ653" s="7"/>
      <c r="EA653" s="7"/>
      <c r="EB653" s="7"/>
      <c r="EC653" s="7"/>
      <c r="ED653" s="7"/>
      <c r="EE653" s="7"/>
      <c r="EF653" s="7"/>
      <c r="EG653" s="7"/>
      <c r="EH653" s="7"/>
      <c r="EI653" s="7"/>
      <c r="EJ653" s="7"/>
      <c r="EK653" s="7"/>
      <c r="EL653" s="7"/>
      <c r="EM653" s="7"/>
      <c r="EN653" s="7"/>
      <c r="EO653" s="7"/>
      <c r="EP653" s="7"/>
      <c r="EQ653" s="7"/>
      <c r="ER653" s="7"/>
      <c r="ES653" s="7"/>
      <c r="ET653" s="7"/>
      <c r="EU653" s="6"/>
      <c r="EV653" s="6"/>
      <c r="EW653" s="6"/>
      <c r="EX653" s="6"/>
      <c r="EY653" s="6"/>
      <c r="EZ653" s="6"/>
      <c r="FA653" s="6"/>
      <c r="FB653" s="6"/>
      <c r="FC653" s="6"/>
      <c r="FD653" s="6"/>
      <c r="FE653" s="6"/>
      <c r="FF653" s="6"/>
      <c r="FG653" s="6"/>
      <c r="FH653" s="6"/>
      <c r="FI653" s="6"/>
      <c r="FJ653" s="6"/>
      <c r="FK653" s="6"/>
      <c r="FL653" s="6"/>
      <c r="FM653" s="6"/>
      <c r="FN653" s="6"/>
      <c r="FO653" s="6"/>
      <c r="FP653" s="6"/>
      <c r="FQ653" s="6"/>
      <c r="FR653" s="6"/>
      <c r="FS653" s="6"/>
      <c r="FT653" s="7"/>
      <c r="FU653" s="7"/>
      <c r="FV653" s="7"/>
      <c r="FW653" s="6"/>
      <c r="FX653" s="6"/>
      <c r="FY653" s="6"/>
      <c r="FZ653" s="6"/>
      <c r="GA653" s="6"/>
      <c r="GB653" s="6"/>
      <c r="GC653" s="7"/>
      <c r="GD653" s="7"/>
      <c r="GE653" s="7"/>
      <c r="GF653" s="7"/>
      <c r="GG653" s="7"/>
      <c r="GH653" s="42"/>
      <c r="GI653" s="6"/>
      <c r="GJ653" s="14"/>
      <c r="GK653" s="14"/>
      <c r="GL653" s="14"/>
      <c r="GM653" s="14"/>
      <c r="GO653" s="5"/>
      <c r="GP653" s="5"/>
      <c r="GQ653" s="5"/>
      <c r="GR653" s="5"/>
      <c r="GS653" s="5"/>
      <c r="GT653" s="5"/>
      <c r="GU653" s="5"/>
      <c r="GV653" s="39"/>
      <c r="GW653" s="5"/>
      <c r="GX653" s="5"/>
      <c r="GY653" s="5"/>
      <c r="GZ653" s="5"/>
      <c r="HA653" s="5"/>
      <c r="HB653" s="39"/>
      <c r="HC653" s="5"/>
      <c r="HD653" s="5"/>
      <c r="HE653" s="5"/>
      <c r="HF653" s="5"/>
      <c r="HG653" s="5"/>
      <c r="HH653" s="39"/>
      <c r="HI653" s="16"/>
      <c r="HJ653" s="19"/>
      <c r="HK653" s="1"/>
      <c r="HL653" s="16"/>
      <c r="HM653" s="639">
        <f t="shared" si="1755"/>
        <v>2.3149872625708352E-2</v>
      </c>
      <c r="HN653" s="639">
        <f t="shared" si="1756"/>
        <v>1.3965040474190958E-3</v>
      </c>
      <c r="HO653" s="639">
        <f t="shared" si="1757"/>
        <v>3.5429561340050734E-3</v>
      </c>
      <c r="HP653" s="644">
        <f t="shared" ref="HP653:ID653" si="1954">HP153+HP253+HP353+HP453+HP553</f>
        <v>66.623454976430665</v>
      </c>
      <c r="HQ653" s="644">
        <f t="shared" si="1954"/>
        <v>216.89161108096485</v>
      </c>
      <c r="HR653" s="644">
        <f t="shared" si="1954"/>
        <v>-146.30718310729208</v>
      </c>
      <c r="HS653" s="644">
        <f t="shared" si="1954"/>
        <v>-62.56544754364112</v>
      </c>
      <c r="HT653" s="644">
        <f t="shared" si="1954"/>
        <v>374.98750242412018</v>
      </c>
      <c r="HU653" s="644">
        <f t="shared" si="1954"/>
        <v>-9.2438701447390397</v>
      </c>
      <c r="HV653" s="644">
        <f t="shared" si="1954"/>
        <v>0</v>
      </c>
      <c r="HW653" s="644">
        <f t="shared" si="1954"/>
        <v>0</v>
      </c>
      <c r="HX653" s="644">
        <f t="shared" si="1954"/>
        <v>0</v>
      </c>
      <c r="HY653" s="644">
        <f t="shared" si="1954"/>
        <v>2396</v>
      </c>
      <c r="HZ653" s="644">
        <f t="shared" si="1954"/>
        <v>3223</v>
      </c>
      <c r="IA653" s="644">
        <f t="shared" si="1954"/>
        <v>830</v>
      </c>
      <c r="IB653" s="644">
        <f t="shared" si="1954"/>
        <v>2400.05800743279</v>
      </c>
      <c r="IC653" s="644">
        <f t="shared" si="1954"/>
        <v>3814.8791135050851</v>
      </c>
      <c r="ID653" s="644">
        <f t="shared" si="1954"/>
        <v>674.44894674796888</v>
      </c>
      <c r="IE653" s="20">
        <f t="shared" si="1759"/>
        <v>0.34837037492935469</v>
      </c>
      <c r="IF653" s="20">
        <f t="shared" si="1760"/>
        <v>0.55373281102629646</v>
      </c>
      <c r="IG653" s="20">
        <f t="shared" si="1761"/>
        <v>9.7896814044348857E-2</v>
      </c>
      <c r="IH653" s="21"/>
      <c r="II653" s="19"/>
      <c r="IJ653" s="19"/>
      <c r="IK653" s="19"/>
      <c r="IL653" s="19">
        <f t="shared" si="1762"/>
        <v>173.8525960026534</v>
      </c>
      <c r="IM653" s="19">
        <f t="shared" si="1763"/>
        <v>845.3306403069696</v>
      </c>
      <c r="IN653" s="19">
        <f t="shared" si="1764"/>
        <v>-245.54516146718197</v>
      </c>
      <c r="IO653" s="39"/>
      <c r="IP653" s="39"/>
      <c r="IQ653" s="39"/>
      <c r="IR653" s="39"/>
      <c r="IS653" s="39"/>
      <c r="IT653" s="39"/>
      <c r="IU653" s="39"/>
      <c r="IV653" s="39"/>
      <c r="IW653" s="39"/>
      <c r="IX653" s="19">
        <f t="shared" si="1765"/>
        <v>1554.1790484140233</v>
      </c>
      <c r="IY653" s="19">
        <f t="shared" si="1766"/>
        <v>2412.3001201524512</v>
      </c>
      <c r="IZ653" s="19">
        <f t="shared" si="1767"/>
        <v>3993.0862952928574</v>
      </c>
      <c r="JA653" s="19">
        <f t="shared" ref="JA653:JC653" si="1955">IFERROR((JA153*IB153+JA253*IB253+JA353*IB353+JA453*IB453+JA553*IB553)/IB653,0)</f>
        <v>1728.0316444166767</v>
      </c>
      <c r="JB653" s="19">
        <f t="shared" si="1955"/>
        <v>3257.6307604594208</v>
      </c>
      <c r="JC653" s="19">
        <f t="shared" si="1955"/>
        <v>3747.5411338256754</v>
      </c>
      <c r="JD653" s="19">
        <f t="shared" si="1769"/>
        <v>2772.7244076318343</v>
      </c>
      <c r="JE653" s="21"/>
      <c r="JF653" s="1">
        <f t="shared" si="1770"/>
        <v>2.6651855648468406E-2</v>
      </c>
      <c r="JG653" s="15">
        <f t="shared" si="1771"/>
        <v>6449</v>
      </c>
      <c r="JH653" s="1">
        <f t="shared" si="1772"/>
        <v>2.127583857188765E-2</v>
      </c>
      <c r="JI653" s="1">
        <f t="shared" si="1773"/>
        <v>4.7011658355673745E-2</v>
      </c>
      <c r="JJ653" s="1">
        <f t="shared" si="1774"/>
        <v>0</v>
      </c>
      <c r="JK653" s="1">
        <f t="shared" si="1775"/>
        <v>6.8287496927561392E-2</v>
      </c>
      <c r="JL653" s="15">
        <f t="shared" ref="JL653:JM653" si="1956">JL153+JL253+JL353+JL453+JL553</f>
        <v>440.38606768584344</v>
      </c>
      <c r="JM653" s="15">
        <f t="shared" si="1956"/>
        <v>6889.386067685843</v>
      </c>
      <c r="JN653" s="21"/>
      <c r="JO653" s="19">
        <f>INDEX(Input!$1:$1048576,JO$93,$C653*2+6)</f>
        <v>5995.5</v>
      </c>
      <c r="JP653" s="19">
        <f>INDEX(Input!$1:$1048576,JP$93,$C653*2+6)</f>
        <v>2296.6050414551746</v>
      </c>
      <c r="JQ653" s="39">
        <f t="shared" si="1799"/>
        <v>3222.7755923681657</v>
      </c>
      <c r="JR653" s="39">
        <f t="shared" si="1800"/>
        <v>476.1193661766597</v>
      </c>
      <c r="JS653" s="39">
        <f t="shared" si="1801"/>
        <v>19.102368903471241</v>
      </c>
      <c r="JT653" s="39">
        <f t="shared" si="1802"/>
        <v>4.2915629911268223</v>
      </c>
      <c r="JU653" s="385">
        <f>(JQ653*JM653-INDEX(Input!$1:$1048576,Input!A$18,$C653*2+6)*JL653*INDEX(Input!$1:$1048576,Input!A$19,$C653*2+6))/1000000</f>
        <v>22.202945265339228</v>
      </c>
      <c r="JV653" s="39">
        <f t="shared" si="1803"/>
        <v>-1.6512283223163493</v>
      </c>
      <c r="JW653" s="1">
        <f t="shared" si="1804"/>
        <v>-6.9221778580954588E-2</v>
      </c>
      <c r="JX653" s="19">
        <f t="shared" si="1805"/>
        <v>9745.0017292288139</v>
      </c>
      <c r="JZ653" s="341"/>
      <c r="KA653" s="60"/>
      <c r="KB653" s="469">
        <f t="shared" si="1778"/>
        <v>0</v>
      </c>
      <c r="KI653" s="472"/>
      <c r="KJ653" s="472"/>
      <c r="KK653" s="472"/>
      <c r="KN653" s="793">
        <f t="shared" si="1779"/>
        <v>6002</v>
      </c>
      <c r="KO653" s="541">
        <f t="shared" si="1780"/>
        <v>4.3800743728744651E-2</v>
      </c>
      <c r="KP653" s="546">
        <f t="shared" si="1781"/>
        <v>337.66385914124106</v>
      </c>
      <c r="KQ653" s="546">
        <f t="shared" si="1782"/>
        <v>309.89115102668939</v>
      </c>
      <c r="KR653" s="472">
        <f t="shared" si="1783"/>
        <v>2.2729229508057602</v>
      </c>
      <c r="KS653" s="472">
        <f t="shared" si="1784"/>
        <v>2.4766242358229538</v>
      </c>
      <c r="KT653" s="473">
        <f t="shared" si="1795"/>
        <v>4286.2445668946921</v>
      </c>
      <c r="KU653" s="663">
        <f t="shared" si="1785"/>
        <v>4.3774735817004427</v>
      </c>
      <c r="KV653" s="117"/>
    </row>
    <row r="654" spans="1:308" s="26" customFormat="1" ht="15" outlineLevel="1">
      <c r="A654" s="561">
        <f t="shared" si="1751"/>
        <v>6054</v>
      </c>
      <c r="B654" s="561">
        <f t="shared" si="1786"/>
        <v>54</v>
      </c>
      <c r="C654" s="561">
        <f t="shared" si="1787"/>
        <v>6</v>
      </c>
      <c r="D654" s="561" t="str">
        <f t="shared" si="1953"/>
        <v xml:space="preserve">0/0/0/3.9, -360 Lease, </v>
      </c>
      <c r="E654" s="475">
        <f>INDEX(Input!$1:$1048576,E$93,$C654*2+MIN($B654,2)+5)
+INDEX(Scenarios!E$121:E$199,MATCH($B654,Scenarios!$B$121:$B$199,0))</f>
        <v>1267.2644913000609</v>
      </c>
      <c r="F654" s="475">
        <f>INDEX(Input!$1:$1048576,F$93,$C654*2+MIN($B654,2)+5)
+INDEX(Scenarios!F$121:F$199,MATCH($B654,Scenarios!$B$121:$B$199,0))</f>
        <v>0</v>
      </c>
      <c r="G654" s="475">
        <f>INDEX(Input!$1:$1048576,G$93,$C654*2+MIN($B654,2)+5)
+INDEX(Scenarios!G$121:G$199,MATCH($B654,Scenarios!$B$121:$B$199,0))</f>
        <v>0</v>
      </c>
      <c r="H654" s="475">
        <f>INDEX(Input!$1:$1048576,H$93,$C654*2+MIN($B654,2)+5)
+INDEX(Scenarios!H$121:H$199,MATCH($B654,Scenarios!$B$121:$B$199,0))</f>
        <v>0</v>
      </c>
      <c r="I654" s="476">
        <f>INDEX(Input!$1:$1048576,I$93,$C654*2+MIN($B654,2)+5)
+INDEX(Scenarios!I$121:I$199,MATCH($B654,Scenarios!$B$121:$B$199,0))</f>
        <v>0.7</v>
      </c>
      <c r="J654" s="476" t="str">
        <f>INDEX(Input!$1:$1048576,J$93,$C654*2+MIN($B654,2)+5)</f>
        <v>Market</v>
      </c>
      <c r="K654" s="476" t="str">
        <f>INDEX(Input!$1:$1048576,K$93,$C654*2+MIN($B654,2)+5)</f>
        <v>Market</v>
      </c>
      <c r="L654" s="476" t="str">
        <f>INDEX(Input!$1:$1048576,L$93,$C654*2+MIN($B654,2)+5)</f>
        <v>Market</v>
      </c>
      <c r="M654" s="476" t="str">
        <f>INDEX(Input!$1:$1048576,M$93,$C654*2+MIN($B654,2)+5)</f>
        <v>Market</v>
      </c>
      <c r="N654" s="476" t="str">
        <f>INDEX(Input!$1:$1048576,N$93,$C654*2+MIN($B654,2)+5)</f>
        <v>Market</v>
      </c>
      <c r="O654" s="476" t="str">
        <f>INDEX(Input!$1:$1048576,O$93,$C654*2+MIN($B654,2)+5)</f>
        <v>Market</v>
      </c>
      <c r="P654" s="476" t="str">
        <f>INDEX(Input!$1:$1048576,P$93,$C654*2+MIN($B654,2)+5)</f>
        <v>N</v>
      </c>
      <c r="Q654" s="477">
        <f>INDEX(Input!$1:$1048576,Q$93,$C654*2+MIN($B654,2)+5)
+INDEX(Scenarios!Q$121:Q$199,MATCH($B654,Scenarios!$B$121:$B$199,0))</f>
        <v>0</v>
      </c>
      <c r="R654" s="478">
        <f>IFERROR(MAX(0,INDEX(Input!$1:$1048576,R$93,$C654*2+MIN($B654,2)+5)
+INDEX(Scenarios!R$121:R$199,MATCH($B654,Scenarios!$B$121:$B$199,0)),),"Market")</f>
        <v>0</v>
      </c>
      <c r="S654" s="478">
        <f>IFERROR(MAX(0,INDEX(Input!$1:$1048576,S$93,$C654*2+MIN($B654,2)+5)
+INDEX(Scenarios!S$121:S$199,MATCH($B654,Scenarios!$B$121:$B$199,0)),),"Market")</f>
        <v>0</v>
      </c>
      <c r="T654" s="478">
        <f>IFERROR(MAX(0,INDEX(Input!$1:$1048576,T$93,$C654*2+MIN($B654,2)+5)
+INDEX(Scenarios!T$121:T$199,MATCH($B654,Scenarios!$B$121:$B$199,0)),),"Market")</f>
        <v>0</v>
      </c>
      <c r="U654" s="478">
        <f>IFERROR(MAX(0,INDEX(Input!$1:$1048576,U$93,$C654*2+MIN($B654,2)+5)
+INDEX(Scenarios!U$121:U$199,MATCH($B654,Scenarios!$B$121:$B$199,0)),),"Market")</f>
        <v>0</v>
      </c>
      <c r="V654" s="478">
        <f>IFERROR(MAX(0,INDEX(Input!$1:$1048576,V$93,$C654*2+MIN($B654,2)+5)
+INDEX(Scenarios!V$121:V$199,MATCH($B654,Scenarios!$B$121:$B$199,0)),),"Market")</f>
        <v>0</v>
      </c>
      <c r="W654" s="885">
        <f>IFERROR(MAX(0,INDEX(Input!$1:$1048576,W$93,$C654*2+MIN($B654,2)+5)-0%,),"Market")</f>
        <v>3.9E-2</v>
      </c>
      <c r="X654" s="476" t="str">
        <f>INDEX(Input!$1:$1048576,X$93,$C654*2+MIN($B654,2)+5)</f>
        <v>Y</v>
      </c>
      <c r="Y654" s="475">
        <f>INDEX(Input!$1:$1048576,Y$93,$C654*2+MIN($B654,2)+5)
++INDEX(Scenarios!Y$121:Y$199,MATCH($B654,Scenarios!$B$121:$B$199,0))</f>
        <v>377.99367635402496</v>
      </c>
      <c r="Z654" s="477">
        <f>INDEX(Input!$1:$1048576,Z$93,$C654*2+MIN($B654,2)+5)
+INDEX(Scenarios!Z$121:Z$199,MATCH($B654,Scenarios!$B$121:$B$199,0))</f>
        <v>0</v>
      </c>
      <c r="AA654" s="475">
        <f>INDEX(Input!$1:$1048576,AA$93,$C654*2+MIN($B654,2)+5)</f>
        <v>0</v>
      </c>
      <c r="AB654" s="476">
        <f>INDEX(Input!$1:$1048576,AB$93,$C654*2+MIN($B654,2)+5)</f>
        <v>0.27</v>
      </c>
      <c r="AC654" s="475">
        <f>INDEX(Input!$1:$1048576,AC$93,$C654*2+MIN($B654,2)+5)
+INDEX(Scenarios!AC$121:AC$199,MATCH($B654,Scenarios!$B$121:$B$199,0))</f>
        <v>0</v>
      </c>
      <c r="AD654" s="476">
        <f>INDEX(Input!$1:$1048576,AD$93,$C654*2+MIN($B654,2)+5)</f>
        <v>0.27</v>
      </c>
      <c r="AE654" s="475">
        <f>INDEX(Input!$1:$1048576,AE$93,$C654*2+MIN($B654,2)+5)
+INDEX(Scenarios!AE$121:AE$199,MATCH($B654,Scenarios!$B$121:$B$199,0))</f>
        <v>0</v>
      </c>
      <c r="AF654" s="476">
        <f>INDEX(Input!$1:$1048576,AF$93,$C654*2+MIN($B654,2)+5)</f>
        <v>1</v>
      </c>
      <c r="AG654" s="475">
        <f>INDEX(Input!$1:$1048576,AG$93,$C654*2+MIN($B654,2)+5)</f>
        <v>500</v>
      </c>
      <c r="AH654" s="476">
        <f>INDEX(Input!$1:$1048576,AH$93,$C654*2+MIN($B654,2)+5)</f>
        <v>1</v>
      </c>
      <c r="AI654" s="475">
        <f>INDEX(Input!$1:$1048576,AI$93,$C654*2+MIN($B654,2)+5)</f>
        <v>0</v>
      </c>
      <c r="AJ654" s="476">
        <f>INDEX(Input!$1:$1048576,AJ$93,$C654*2+MIN($B654,2)+5)</f>
        <v>0.27</v>
      </c>
      <c r="AK654" s="150">
        <f>ROUND(INDEX(Input!$1:$1048576,AK$93,$C653*2+MIN($B654,1)+5)+(Y654-VLOOKUP($C654*1000+1,$A:$HH,Y$92,FALSE)),0)</f>
        <v>2701</v>
      </c>
      <c r="AL654" s="150">
        <f>ROUND(INDEX(Input!$1:$1048576,AL$93,$C653*2+MIN($B654,1)+5)-(Y654-VLOOKUP($C654*1000+1,$A:$HH,Y$92,FALSE))/36,0)</f>
        <v>3562</v>
      </c>
      <c r="AM654" s="32" t="str">
        <f t="shared" si="1752"/>
        <v>std/std/std/std</v>
      </c>
      <c r="AN654" s="32" t="str">
        <f t="shared" si="1753"/>
        <v>$0 + 0/0/0/0/3.9</v>
      </c>
      <c r="AO654" s="32" t="str">
        <f t="shared" si="1754"/>
        <v>0/0/0/0/3.9</v>
      </c>
      <c r="AP654" s="32" t="str">
        <f t="shared" si="1716"/>
        <v>0/0/0/3.9</v>
      </c>
      <c r="AQ654" s="536">
        <f t="shared" si="1892"/>
        <v>0.34837037492935469</v>
      </c>
      <c r="AR654" s="32"/>
      <c r="AS654" s="302"/>
      <c r="AT654" s="3">
        <f t="shared" si="1788"/>
        <v>54</v>
      </c>
      <c r="AU654" s="41" t="s">
        <v>121</v>
      </c>
      <c r="AV654" s="41" t="s">
        <v>116</v>
      </c>
      <c r="AW654" s="41" t="str">
        <f>INDEX(Input!$1:$1048576,AW$93,$C654*2+6)</f>
        <v>Kia</v>
      </c>
      <c r="AX654" s="41" t="str">
        <f>INDEX(Input!$1:$1048576,AX$93,$C654*2+6)</f>
        <v>National</v>
      </c>
      <c r="AY654" s="41" t="str">
        <f>IF(LEN(D654)=0,"",INDEX(Input!$1:$1048576,AY$93,$C654*2+6))</f>
        <v>Compact SUV (52)</v>
      </c>
      <c r="AZ654" s="41" t="str">
        <f>INDEX(Input!$1:$1048576,AZ$93,$C654*2+6)</f>
        <v>Kia Soul</v>
      </c>
      <c r="BA654" s="3">
        <f>INDEX(Input!$1:$1048576,BA$93,$C654*2+6)</f>
        <v>2020</v>
      </c>
      <c r="BB654" s="128">
        <f>INDEX(Input!$1:$1048576,BB$93,$C654*2+6)</f>
        <v>1</v>
      </c>
      <c r="BC654" s="128">
        <f>INDEX(Input!$1:$1048576,BC$93,$C654*2+6)</f>
        <v>0.7</v>
      </c>
      <c r="BD654" s="1">
        <f>INDEX(Input!$1:$1048576,BD$93,$C654*2+6)</f>
        <v>4.4999999999999998E-2</v>
      </c>
      <c r="BE654" s="1">
        <f>INDEX(Input!$1:$1048576,BE$93,$C654*2+6)</f>
        <v>4.4999999999999998E-2</v>
      </c>
      <c r="BF654" s="1">
        <f>INDEX(Input!$1:$1048576,BF$93,$C654*2+6)</f>
        <v>0.05</v>
      </c>
      <c r="BG654" s="1">
        <f>INDEX(Input!$1:$1048576,BG$93,$C654*2+6)</f>
        <v>5.45E-2</v>
      </c>
      <c r="BH654" s="1">
        <f>INDEX(Input!$1:$1048576,BH$93,$C654*2+6)</f>
        <v>5.45E-2</v>
      </c>
      <c r="BI654" s="1">
        <f>INDEX(Input!$1:$1048576,BI$93,$C654*2+6)</f>
        <v>0.05</v>
      </c>
      <c r="BJ654" s="1">
        <f>INDEX(Input!$1:$1048576,BJ$93,$C654*2+6)</f>
        <v>0.05</v>
      </c>
      <c r="BK654" s="1">
        <f>INDEX(Input!$1:$1048576,BK$93,$C654*2+6)</f>
        <v>0.05</v>
      </c>
      <c r="BL654" s="1">
        <f>INDEX(Input!$1:$1048576,BL$93,$C654*2+6)</f>
        <v>5.5E-2</v>
      </c>
      <c r="BM654" s="1">
        <f>INDEX(Input!$1:$1048576,BM$93,$C654*2+6)</f>
        <v>0.06</v>
      </c>
      <c r="BN654" s="1">
        <f>INDEX(Input!$1:$1048576,BN$93,$C654*2+6)</f>
        <v>4.4999999999999998E-2</v>
      </c>
      <c r="BO654" s="1">
        <f>INDEX(Input!$1:$1048576,BO$93,$C654*2+6)</f>
        <v>4.4999999999999998E-2</v>
      </c>
      <c r="BP654" s="1">
        <f>INDEX(Input!$1:$1048576,BP$93,$C654*2+6)</f>
        <v>0.05</v>
      </c>
      <c r="BQ654" s="1">
        <f>INDEX(Input!$1:$1048576,BQ$93,$C654*2+6)</f>
        <v>5.45E-2</v>
      </c>
      <c r="BR654" s="1">
        <f>INDEX(Input!$1:$1048576,BR$93,$C654*2+6)</f>
        <v>5.45E-2</v>
      </c>
      <c r="BS654" s="1">
        <f>INDEX(Input!$1:$1048576,BS$93,$C654*2+6)</f>
        <v>0.05</v>
      </c>
      <c r="BT654" s="1">
        <f>INDEX(Input!$1:$1048576,BT$93,$C654*2+6)</f>
        <v>0.05</v>
      </c>
      <c r="BU654" s="1">
        <f>INDEX(Input!$1:$1048576,BU$93,$C654*2+6)</f>
        <v>0.05</v>
      </c>
      <c r="BV654" s="1">
        <f>INDEX(Input!$1:$1048576,BV$93,$C654*2+6)</f>
        <v>5.5E-2</v>
      </c>
      <c r="BW654" s="1">
        <f>INDEX(Input!$1:$1048576,BW$93,$C654*2+6)</f>
        <v>0.06</v>
      </c>
      <c r="BX654" s="127">
        <f>INDEX(Input!$1:$1048576,BX$93,$C654*2+6)</f>
        <v>19985</v>
      </c>
      <c r="BY654" s="20">
        <f>INDEX(Input!$1:$1048576,BY$93,$C654*2+6)</f>
        <v>0.1</v>
      </c>
      <c r="BZ654" s="20">
        <f>INDEX(Input!$1:$1048576,BZ$93,$C654*2+6)</f>
        <v>0.1</v>
      </c>
      <c r="CA654" s="20">
        <f>INDEX(Input!$1:$1048576,CA$93,$C654*2+6)</f>
        <v>0.1</v>
      </c>
      <c r="CB654" s="20">
        <f>INDEX(Input!$1:$1048576,CB$93,$C654*2+6)</f>
        <v>0.1</v>
      </c>
      <c r="CC654" s="20">
        <f>INDEX(Input!$1:$1048576,CC$93,$C654*2+6)</f>
        <v>0.1</v>
      </c>
      <c r="CD654" s="384">
        <f>INDEX(Input!$1:$1048576,CD$93,$C654*2+6)</f>
        <v>0.1</v>
      </c>
      <c r="CE654" s="384">
        <f>INDEX(Input!$1:$1048576,CE$93,$C654*2+6)</f>
        <v>0.1</v>
      </c>
      <c r="CF654" s="384">
        <f>INDEX(Input!$1:$1048576,CF$93,$C654*2+6)</f>
        <v>0.1</v>
      </c>
      <c r="CG654" s="384">
        <f>INDEX(Input!$1:$1048576,CG$93,$C654*2+6)</f>
        <v>0.1</v>
      </c>
      <c r="CH654" s="384">
        <f>INDEX(Input!$1:$1048576,CH$93,$C654*2+6)</f>
        <v>0.1</v>
      </c>
      <c r="CI654" s="304">
        <f t="shared" si="1718"/>
        <v>1267.2644913000609</v>
      </c>
      <c r="CJ654" s="16" t="str">
        <f>INDEX(Input!$1:$1048576,CJ$93,$C654*2+6)</f>
        <v>N</v>
      </c>
      <c r="CK654" s="1" t="str">
        <f t="shared" si="1719"/>
        <v>Market</v>
      </c>
      <c r="CL654" s="1" t="str">
        <f t="shared" si="1720"/>
        <v>Market</v>
      </c>
      <c r="CM654" s="1" t="str">
        <f t="shared" si="1721"/>
        <v>Market</v>
      </c>
      <c r="CN654" s="1" t="str">
        <f t="shared" si="1722"/>
        <v>Market</v>
      </c>
      <c r="CO654" s="1" t="str">
        <f t="shared" si="1723"/>
        <v>Market</v>
      </c>
      <c r="CP654" s="304">
        <f t="shared" si="1724"/>
        <v>500</v>
      </c>
      <c r="CQ654" s="1">
        <f t="shared" si="1725"/>
        <v>0</v>
      </c>
      <c r="CR654" s="1">
        <f t="shared" si="1726"/>
        <v>0</v>
      </c>
      <c r="CS654" s="1">
        <f t="shared" si="1727"/>
        <v>0</v>
      </c>
      <c r="CT654" s="1">
        <f t="shared" si="1728"/>
        <v>0</v>
      </c>
      <c r="CU654" s="1">
        <f t="shared" si="1729"/>
        <v>3.9E-2</v>
      </c>
      <c r="CV654" s="304">
        <f t="shared" si="1730"/>
        <v>377.99367635402496</v>
      </c>
      <c r="CW654" s="20" t="s">
        <v>122</v>
      </c>
      <c r="CX654" s="20" t="s">
        <v>122</v>
      </c>
      <c r="CY654" s="20" t="s">
        <v>122</v>
      </c>
      <c r="CZ654" s="20" t="s">
        <v>122</v>
      </c>
      <c r="DA654" s="20" t="s">
        <v>122</v>
      </c>
      <c r="DB654" s="503">
        <f t="shared" si="1731"/>
        <v>0</v>
      </c>
      <c r="DC654" s="127">
        <v>0</v>
      </c>
      <c r="DD654" s="127">
        <v>0</v>
      </c>
      <c r="DE654" s="127">
        <v>0</v>
      </c>
      <c r="DF654" s="127">
        <v>0</v>
      </c>
      <c r="DG654" s="127">
        <v>0</v>
      </c>
      <c r="DH654" s="127">
        <v>0</v>
      </c>
      <c r="DI654" s="127">
        <v>0</v>
      </c>
      <c r="DJ654" s="127">
        <v>0</v>
      </c>
      <c r="DK654" s="127">
        <v>0</v>
      </c>
      <c r="DL654" s="127">
        <v>0</v>
      </c>
      <c r="DM654" s="304">
        <f>INDEX(Input!$1:$1048576,DM$93,$C654*2+6)</f>
        <v>21036.84210526316</v>
      </c>
      <c r="DN654" s="20">
        <v>0</v>
      </c>
      <c r="DO654" s="20">
        <v>0</v>
      </c>
      <c r="DP654" s="20">
        <v>0</v>
      </c>
      <c r="DQ654" s="20">
        <v>0</v>
      </c>
      <c r="DR654" s="20">
        <v>0</v>
      </c>
      <c r="DS654" s="20">
        <f>INDEX(Input!$1:$1048576,DS$93,$C654*2+6)</f>
        <v>0.6</v>
      </c>
      <c r="DT654" s="20">
        <f>INDEX(Input!$1:$1048576,DT$93,$C654*2+6)</f>
        <v>0.55000000000000004</v>
      </c>
      <c r="DU654" s="20">
        <f>INDEX(Input!$1:$1048576,DU$93,$C654*2+6)</f>
        <v>0.52</v>
      </c>
      <c r="DV654" s="20">
        <f>INDEX(Input!$1:$1048576,DV$93,$C654*2+6)</f>
        <v>0.5</v>
      </c>
      <c r="DW654" s="20">
        <f>INDEX(Input!$1:$1048576,DW$93,$C654*2+6)</f>
        <v>0.45</v>
      </c>
      <c r="DX654" s="20"/>
      <c r="DY654" s="7"/>
      <c r="DZ654" s="7"/>
      <c r="EA654" s="7"/>
      <c r="EB654" s="7"/>
      <c r="EC654" s="7"/>
      <c r="ED654" s="7"/>
      <c r="EE654" s="7"/>
      <c r="EF654" s="7"/>
      <c r="EG654" s="7"/>
      <c r="EH654" s="7"/>
      <c r="EI654" s="7"/>
      <c r="EJ654" s="7"/>
      <c r="EK654" s="7"/>
      <c r="EL654" s="7"/>
      <c r="EM654" s="7"/>
      <c r="EN654" s="7"/>
      <c r="EO654" s="7"/>
      <c r="EP654" s="7"/>
      <c r="EQ654" s="7"/>
      <c r="ER654" s="7"/>
      <c r="ES654" s="7"/>
      <c r="ET654" s="7"/>
      <c r="EU654" s="6"/>
      <c r="EV654" s="6"/>
      <c r="EW654" s="6"/>
      <c r="EX654" s="6"/>
      <c r="EY654" s="6"/>
      <c r="EZ654" s="6"/>
      <c r="FA654" s="6"/>
      <c r="FB654" s="6"/>
      <c r="FC654" s="6"/>
      <c r="FD654" s="6"/>
      <c r="FE654" s="6"/>
      <c r="FF654" s="6"/>
      <c r="FG654" s="6"/>
      <c r="FH654" s="6"/>
      <c r="FI654" s="6"/>
      <c r="FJ654" s="6"/>
      <c r="FK654" s="6"/>
      <c r="FL654" s="6"/>
      <c r="FM654" s="6"/>
      <c r="FN654" s="6"/>
      <c r="FO654" s="6"/>
      <c r="FP654" s="6"/>
      <c r="FQ654" s="6"/>
      <c r="FR654" s="6"/>
      <c r="FS654" s="6"/>
      <c r="FT654" s="7"/>
      <c r="FU654" s="7"/>
      <c r="FV654" s="7"/>
      <c r="FW654" s="6"/>
      <c r="FX654" s="6"/>
      <c r="FY654" s="6"/>
      <c r="FZ654" s="6"/>
      <c r="GA654" s="6"/>
      <c r="GB654" s="6"/>
      <c r="GC654" s="7"/>
      <c r="GD654" s="7"/>
      <c r="GE654" s="7"/>
      <c r="GF654" s="7"/>
      <c r="GG654" s="7"/>
      <c r="GH654" s="42"/>
      <c r="GI654" s="6"/>
      <c r="GJ654" s="14"/>
      <c r="GK654" s="14"/>
      <c r="GL654" s="14"/>
      <c r="GM654" s="14"/>
      <c r="GO654" s="5"/>
      <c r="GP654" s="5"/>
      <c r="GQ654" s="5"/>
      <c r="GR654" s="5"/>
      <c r="GS654" s="5"/>
      <c r="GT654" s="5"/>
      <c r="GU654" s="5"/>
      <c r="GV654" s="39"/>
      <c r="GW654" s="5"/>
      <c r="GX654" s="5"/>
      <c r="GY654" s="5"/>
      <c r="GZ654" s="5"/>
      <c r="HA654" s="5"/>
      <c r="HB654" s="39"/>
      <c r="HC654" s="5"/>
      <c r="HD654" s="5"/>
      <c r="HE654" s="5"/>
      <c r="HF654" s="5"/>
      <c r="HG654" s="5"/>
      <c r="HH654" s="39"/>
      <c r="HI654" s="16"/>
      <c r="HJ654" s="19"/>
      <c r="HK654" s="1"/>
      <c r="HL654" s="16"/>
      <c r="HM654" s="639">
        <f t="shared" si="1755"/>
        <v>2.3149872625708352E-2</v>
      </c>
      <c r="HN654" s="639">
        <f t="shared" si="1756"/>
        <v>1.3965040474190958E-3</v>
      </c>
      <c r="HO654" s="639">
        <f t="shared" si="1757"/>
        <v>3.5429561340050734E-3</v>
      </c>
      <c r="HP654" s="644">
        <f t="shared" ref="HP654:ID654" si="1957">HP154+HP254+HP354+HP454+HP554</f>
        <v>66.623454976430665</v>
      </c>
      <c r="HQ654" s="644">
        <f t="shared" si="1957"/>
        <v>216.89161108096485</v>
      </c>
      <c r="HR654" s="644">
        <f t="shared" si="1957"/>
        <v>-146.30718310729208</v>
      </c>
      <c r="HS654" s="644">
        <f t="shared" si="1957"/>
        <v>-62.56544754364112</v>
      </c>
      <c r="HT654" s="644">
        <f t="shared" si="1957"/>
        <v>374.98750242412018</v>
      </c>
      <c r="HU654" s="644">
        <f t="shared" si="1957"/>
        <v>-9.2438701447390397</v>
      </c>
      <c r="HV654" s="644">
        <f t="shared" si="1957"/>
        <v>0</v>
      </c>
      <c r="HW654" s="644">
        <f t="shared" si="1957"/>
        <v>0</v>
      </c>
      <c r="HX654" s="644">
        <f t="shared" si="1957"/>
        <v>0</v>
      </c>
      <c r="HY654" s="644">
        <f t="shared" si="1957"/>
        <v>2396</v>
      </c>
      <c r="HZ654" s="644">
        <f t="shared" si="1957"/>
        <v>3223</v>
      </c>
      <c r="IA654" s="644">
        <f t="shared" si="1957"/>
        <v>830</v>
      </c>
      <c r="IB654" s="644">
        <f t="shared" si="1957"/>
        <v>2400.05800743279</v>
      </c>
      <c r="IC654" s="644">
        <f t="shared" si="1957"/>
        <v>3814.8791135050851</v>
      </c>
      <c r="ID654" s="644">
        <f t="shared" si="1957"/>
        <v>674.44894674796888</v>
      </c>
      <c r="IE654" s="20">
        <f t="shared" si="1759"/>
        <v>0.34837037492935469</v>
      </c>
      <c r="IF654" s="20">
        <f t="shared" si="1760"/>
        <v>0.55373281102629646</v>
      </c>
      <c r="IG654" s="20">
        <f t="shared" si="1761"/>
        <v>9.7896814044348857E-2</v>
      </c>
      <c r="IH654" s="21"/>
      <c r="II654" s="19"/>
      <c r="IJ654" s="19"/>
      <c r="IK654" s="19"/>
      <c r="IL654" s="19">
        <f t="shared" si="1762"/>
        <v>173.8525960026534</v>
      </c>
      <c r="IM654" s="19">
        <f t="shared" si="1763"/>
        <v>845.3306403069696</v>
      </c>
      <c r="IN654" s="19">
        <f t="shared" si="1764"/>
        <v>-245.54516146718197</v>
      </c>
      <c r="IO654" s="39"/>
      <c r="IP654" s="39"/>
      <c r="IQ654" s="39"/>
      <c r="IR654" s="39"/>
      <c r="IS654" s="39"/>
      <c r="IT654" s="39"/>
      <c r="IU654" s="39"/>
      <c r="IV654" s="39"/>
      <c r="IW654" s="39"/>
      <c r="IX654" s="19">
        <f t="shared" si="1765"/>
        <v>1554.1790484140233</v>
      </c>
      <c r="IY654" s="19">
        <f t="shared" si="1766"/>
        <v>2412.3001201524512</v>
      </c>
      <c r="IZ654" s="19">
        <f t="shared" si="1767"/>
        <v>3993.0862952928574</v>
      </c>
      <c r="JA654" s="19">
        <f t="shared" ref="JA654:JC654" si="1958">IFERROR((JA154*IB154+JA254*IB254+JA354*IB354+JA454*IB454+JA554*IB554)/IB654,0)</f>
        <v>1728.0316444166767</v>
      </c>
      <c r="JB654" s="19">
        <f t="shared" si="1958"/>
        <v>3257.6307604594208</v>
      </c>
      <c r="JC654" s="19">
        <f t="shared" si="1958"/>
        <v>3747.5411338256754</v>
      </c>
      <c r="JD654" s="19">
        <f t="shared" si="1769"/>
        <v>2772.7244076318343</v>
      </c>
      <c r="JE654" s="21"/>
      <c r="JF654" s="1">
        <f t="shared" si="1770"/>
        <v>2.6651855648468406E-2</v>
      </c>
      <c r="JG654" s="15">
        <f t="shared" si="1771"/>
        <v>6449</v>
      </c>
      <c r="JH654" s="1">
        <f t="shared" si="1772"/>
        <v>2.127583857188765E-2</v>
      </c>
      <c r="JI654" s="1">
        <f t="shared" si="1773"/>
        <v>4.7011658355673745E-2</v>
      </c>
      <c r="JJ654" s="1">
        <f t="shared" si="1774"/>
        <v>0</v>
      </c>
      <c r="JK654" s="1">
        <f t="shared" si="1775"/>
        <v>6.8287496927561392E-2</v>
      </c>
      <c r="JL654" s="15">
        <f t="shared" ref="JL654:JM654" si="1959">JL154+JL254+JL354+JL454+JL554</f>
        <v>440.38606768584344</v>
      </c>
      <c r="JM654" s="15">
        <f t="shared" si="1959"/>
        <v>6889.386067685843</v>
      </c>
      <c r="JN654" s="21"/>
      <c r="JO654" s="19">
        <f>INDEX(Input!$1:$1048576,JO$93,$C654*2+6)</f>
        <v>5995.5</v>
      </c>
      <c r="JP654" s="19">
        <f>INDEX(Input!$1:$1048576,JP$93,$C654*2+6)</f>
        <v>2296.6050414551746</v>
      </c>
      <c r="JQ654" s="39">
        <f t="shared" si="1799"/>
        <v>3222.7755923681657</v>
      </c>
      <c r="JR654" s="39">
        <f t="shared" si="1800"/>
        <v>476.1193661766597</v>
      </c>
      <c r="JS654" s="39">
        <f t="shared" si="1801"/>
        <v>19.102368903471241</v>
      </c>
      <c r="JT654" s="39">
        <f t="shared" si="1802"/>
        <v>4.2915629911268223</v>
      </c>
      <c r="JU654" s="385">
        <f>(JQ654*JM654-INDEX(Input!$1:$1048576,Input!A$18,$C654*2+6)*JL654*INDEX(Input!$1:$1048576,Input!A$19,$C654*2+6))/1000000</f>
        <v>22.202945265339228</v>
      </c>
      <c r="JV654" s="39">
        <f t="shared" si="1803"/>
        <v>-1.6512283223163493</v>
      </c>
      <c r="JW654" s="1">
        <f t="shared" si="1804"/>
        <v>-6.9221778580954588E-2</v>
      </c>
      <c r="JX654" s="19">
        <f t="shared" si="1805"/>
        <v>9745.0017292288139</v>
      </c>
      <c r="JZ654" s="341"/>
      <c r="KA654" s="60"/>
      <c r="KB654" s="469">
        <f t="shared" si="1778"/>
        <v>0</v>
      </c>
      <c r="KI654" s="472"/>
      <c r="KJ654" s="472"/>
      <c r="KK654" s="472"/>
      <c r="KN654" s="793">
        <f t="shared" si="1779"/>
        <v>6002</v>
      </c>
      <c r="KO654" s="541">
        <f t="shared" si="1780"/>
        <v>4.3800743728744651E-2</v>
      </c>
      <c r="KP654" s="546">
        <f t="shared" si="1781"/>
        <v>337.66385914124106</v>
      </c>
      <c r="KQ654" s="546">
        <f t="shared" si="1782"/>
        <v>309.89115102668939</v>
      </c>
      <c r="KR654" s="472">
        <f t="shared" si="1783"/>
        <v>2.2729229508057602</v>
      </c>
      <c r="KS654" s="472">
        <f t="shared" si="1784"/>
        <v>2.4766242358229538</v>
      </c>
      <c r="KT654" s="473">
        <f t="shared" si="1795"/>
        <v>4286.2445668946921</v>
      </c>
      <c r="KU654" s="663">
        <f t="shared" si="1785"/>
        <v>4.3774745817004428</v>
      </c>
      <c r="KV654" s="117"/>
    </row>
    <row r="655" spans="1:308" s="26" customFormat="1" ht="15" outlineLevel="1">
      <c r="A655" s="561">
        <f t="shared" si="1751"/>
        <v>6055</v>
      </c>
      <c r="B655" s="561">
        <f t="shared" si="1786"/>
        <v>55</v>
      </c>
      <c r="C655" s="561">
        <f t="shared" si="1787"/>
        <v>6</v>
      </c>
      <c r="D655" s="561" t="str">
        <f t="shared" si="1953"/>
        <v xml:space="preserve">500 CC, 500 Combo, 360 Lease, </v>
      </c>
      <c r="E655" s="475">
        <f>INDEX(Input!$1:$1048576,E$93,$C655*2+MIN($B655,2)+5)
+INDEX(Scenarios!E$121:E$199,MATCH($B655,Scenarios!$B$121:$B$199,0))</f>
        <v>1767.2644913000609</v>
      </c>
      <c r="F655" s="475">
        <f>INDEX(Input!$1:$1048576,F$93,$C655*2+MIN($B655,2)+5)
+INDEX(Scenarios!F$121:F$199,MATCH($B655,Scenarios!$B$121:$B$199,0))</f>
        <v>0</v>
      </c>
      <c r="G655" s="475">
        <f>INDEX(Input!$1:$1048576,G$93,$C655*2+MIN($B655,2)+5)
+INDEX(Scenarios!G$121:G$199,MATCH($B655,Scenarios!$B$121:$B$199,0))</f>
        <v>0</v>
      </c>
      <c r="H655" s="475">
        <f>INDEX(Input!$1:$1048576,H$93,$C655*2+MIN($B655,2)+5)
+INDEX(Scenarios!H$121:H$199,MATCH($B655,Scenarios!$B$121:$B$199,0))</f>
        <v>0</v>
      </c>
      <c r="I655" s="476">
        <f>INDEX(Input!$1:$1048576,I$93,$C655*2+MIN($B655,2)+5)
+INDEX(Scenarios!I$121:I$199,MATCH($B655,Scenarios!$B$121:$B$199,0))</f>
        <v>0.7</v>
      </c>
      <c r="J655" s="476" t="str">
        <f>INDEX(Input!$1:$1048576,J$93,$C655*2+MIN($B655,2)+5)</f>
        <v>Market</v>
      </c>
      <c r="K655" s="476" t="str">
        <f>INDEX(Input!$1:$1048576,K$93,$C655*2+MIN($B655,2)+5)</f>
        <v>Market</v>
      </c>
      <c r="L655" s="476" t="str">
        <f>INDEX(Input!$1:$1048576,L$93,$C655*2+MIN($B655,2)+5)</f>
        <v>Market</v>
      </c>
      <c r="M655" s="476" t="str">
        <f>INDEX(Input!$1:$1048576,M$93,$C655*2+MIN($B655,2)+5)</f>
        <v>Market</v>
      </c>
      <c r="N655" s="476" t="str">
        <f>INDEX(Input!$1:$1048576,N$93,$C655*2+MIN($B655,2)+5)</f>
        <v>Market</v>
      </c>
      <c r="O655" s="476" t="str">
        <f>INDEX(Input!$1:$1048576,O$93,$C655*2+MIN($B655,2)+5)</f>
        <v>Market</v>
      </c>
      <c r="P655" s="476" t="str">
        <f>INDEX(Input!$1:$1048576,P$93,$C655*2+MIN($B655,2)+5)</f>
        <v>N</v>
      </c>
      <c r="Q655" s="477">
        <f>INDEX(Input!$1:$1048576,Q$93,$C655*2+MIN($B655,2)+5)
+INDEX(Scenarios!Q$121:Q$199,MATCH($B655,Scenarios!$B$121:$B$199,0))</f>
        <v>500</v>
      </c>
      <c r="R655" s="478">
        <f>IFERROR(MAX(0,INDEX(Input!$1:$1048576,R$93,$C655*2+MIN($B655,2)+5)
+INDEX(Scenarios!R$121:R$199,MATCH($B655,Scenarios!$B$121:$B$199,0)),),"Market")</f>
        <v>0</v>
      </c>
      <c r="S655" s="478">
        <f>IFERROR(MAX(0,INDEX(Input!$1:$1048576,S$93,$C655*2+MIN($B655,2)+5)
+INDEX(Scenarios!S$121:S$199,MATCH($B655,Scenarios!$B$121:$B$199,0)),),"Market")</f>
        <v>0</v>
      </c>
      <c r="T655" s="478">
        <f>IFERROR(MAX(0,INDEX(Input!$1:$1048576,T$93,$C655*2+MIN($B655,2)+5)
+INDEX(Scenarios!T$121:T$199,MATCH($B655,Scenarios!$B$121:$B$199,0)),),"Market")</f>
        <v>0</v>
      </c>
      <c r="U655" s="478">
        <f>IFERROR(MAX(0,INDEX(Input!$1:$1048576,U$93,$C655*2+MIN($B655,2)+5)
+INDEX(Scenarios!U$121:U$199,MATCH($B655,Scenarios!$B$121:$B$199,0)),),"Market")</f>
        <v>0</v>
      </c>
      <c r="V655" s="478">
        <f>IFERROR(MAX(0,INDEX(Input!$1:$1048576,V$93,$C655*2+MIN($B655,2)+5)
+INDEX(Scenarios!V$121:V$199,MATCH($B655,Scenarios!$B$121:$B$199,0)),),"Market")</f>
        <v>1.9E-2</v>
      </c>
      <c r="W655" s="885">
        <f>IFERROR(MAX(0,INDEX(Input!$1:$1048576,W$93,$C655*2+MIN($B655,2)+5)-0%,),"Market")</f>
        <v>3.9E-2</v>
      </c>
      <c r="X655" s="476" t="str">
        <f>INDEX(Input!$1:$1048576,X$93,$C655*2+MIN($B655,2)+5)</f>
        <v>Y</v>
      </c>
      <c r="Y655" s="475">
        <f>INDEX(Input!$1:$1048576,Y$93,$C655*2+MIN($B655,2)+5)
++INDEX(Scenarios!Y$121:Y$199,MATCH($B655,Scenarios!$B$121:$B$199,0))</f>
        <v>1097.993676354025</v>
      </c>
      <c r="Z655" s="477">
        <f>INDEX(Input!$1:$1048576,Z$93,$C655*2+MIN($B655,2)+5)
+INDEX(Scenarios!Z$121:Z$199,MATCH($B655,Scenarios!$B$121:$B$199,0))</f>
        <v>0</v>
      </c>
      <c r="AA655" s="475">
        <f>INDEX(Input!$1:$1048576,AA$93,$C655*2+MIN($B655,2)+5)</f>
        <v>0</v>
      </c>
      <c r="AB655" s="476">
        <f>INDEX(Input!$1:$1048576,AB$93,$C655*2+MIN($B655,2)+5)</f>
        <v>0.27</v>
      </c>
      <c r="AC655" s="475">
        <f>INDEX(Input!$1:$1048576,AC$93,$C655*2+MIN($B655,2)+5)
+INDEX(Scenarios!AC$121:AC$199,MATCH($B655,Scenarios!$B$121:$B$199,0))</f>
        <v>0</v>
      </c>
      <c r="AD655" s="476">
        <f>INDEX(Input!$1:$1048576,AD$93,$C655*2+MIN($B655,2)+5)</f>
        <v>0.27</v>
      </c>
      <c r="AE655" s="475">
        <f>INDEX(Input!$1:$1048576,AE$93,$C655*2+MIN($B655,2)+5)
+INDEX(Scenarios!AE$121:AE$199,MATCH($B655,Scenarios!$B$121:$B$199,0))</f>
        <v>0</v>
      </c>
      <c r="AF655" s="476">
        <f>INDEX(Input!$1:$1048576,AF$93,$C655*2+MIN($B655,2)+5)</f>
        <v>1</v>
      </c>
      <c r="AG655" s="475">
        <f>INDEX(Input!$1:$1048576,AG$93,$C655*2+MIN($B655,2)+5)</f>
        <v>500</v>
      </c>
      <c r="AH655" s="476">
        <f>INDEX(Input!$1:$1048576,AH$93,$C655*2+MIN($B655,2)+5)</f>
        <v>1</v>
      </c>
      <c r="AI655" s="475">
        <f>INDEX(Input!$1:$1048576,AI$93,$C655*2+MIN($B655,2)+5)</f>
        <v>0</v>
      </c>
      <c r="AJ655" s="476">
        <f>INDEX(Input!$1:$1048576,AJ$93,$C655*2+MIN($B655,2)+5)</f>
        <v>0.27</v>
      </c>
      <c r="AK655" s="150">
        <f>ROUND(INDEX(Input!$1:$1048576,AK$93,$C654*2+MIN($B655,1)+5)+(Y655-VLOOKUP($C655*1000+1,$A:$HH,Y$92,FALSE)),0)</f>
        <v>3421</v>
      </c>
      <c r="AL655" s="150">
        <f>ROUND(INDEX(Input!$1:$1048576,AL$93,$C654*2+MIN($B655,1)+5)-(Y655-VLOOKUP($C655*1000+1,$A:$HH,Y$92,FALSE))/36,0)</f>
        <v>3542</v>
      </c>
      <c r="AM655" s="32" t="str">
        <f t="shared" si="1752"/>
        <v>std/std/std/std</v>
      </c>
      <c r="AN655" s="32" t="str">
        <f t="shared" si="1753"/>
        <v>$500 + 0/0/0/1.9/3.9</v>
      </c>
      <c r="AO655" s="32" t="str">
        <f t="shared" si="1754"/>
        <v>0/0/0/1.9/3.9</v>
      </c>
      <c r="AP655" s="32" t="str">
        <f t="shared" si="1716"/>
        <v>0/0.9/1.9/3.9</v>
      </c>
      <c r="AQ655" s="536">
        <f t="shared" si="1892"/>
        <v>0.37241871034010537</v>
      </c>
      <c r="AR655" s="32"/>
      <c r="AS655" s="302"/>
      <c r="AT655" s="3">
        <f t="shared" si="1788"/>
        <v>55</v>
      </c>
      <c r="AU655" s="41" t="s">
        <v>121</v>
      </c>
      <c r="AV655" s="41" t="s">
        <v>116</v>
      </c>
      <c r="AW655" s="41" t="str">
        <f>INDEX(Input!$1:$1048576,AW$93,$C655*2+6)</f>
        <v>Kia</v>
      </c>
      <c r="AX655" s="41" t="str">
        <f>INDEX(Input!$1:$1048576,AX$93,$C655*2+6)</f>
        <v>National</v>
      </c>
      <c r="AY655" s="41" t="str">
        <f>IF(LEN(D655)=0,"",INDEX(Input!$1:$1048576,AY$93,$C655*2+6))</f>
        <v>Compact SUV (52)</v>
      </c>
      <c r="AZ655" s="41" t="str">
        <f>INDEX(Input!$1:$1048576,AZ$93,$C655*2+6)</f>
        <v>Kia Soul</v>
      </c>
      <c r="BA655" s="3">
        <f>INDEX(Input!$1:$1048576,BA$93,$C655*2+6)</f>
        <v>2020</v>
      </c>
      <c r="BB655" s="128">
        <f>INDEX(Input!$1:$1048576,BB$93,$C655*2+6)</f>
        <v>1</v>
      </c>
      <c r="BC655" s="128">
        <f>INDEX(Input!$1:$1048576,BC$93,$C655*2+6)</f>
        <v>0.7</v>
      </c>
      <c r="BD655" s="1">
        <f>INDEX(Input!$1:$1048576,BD$93,$C655*2+6)</f>
        <v>4.4999999999999998E-2</v>
      </c>
      <c r="BE655" s="1">
        <f>INDEX(Input!$1:$1048576,BE$93,$C655*2+6)</f>
        <v>4.4999999999999998E-2</v>
      </c>
      <c r="BF655" s="1">
        <f>INDEX(Input!$1:$1048576,BF$93,$C655*2+6)</f>
        <v>0.05</v>
      </c>
      <c r="BG655" s="1">
        <f>INDEX(Input!$1:$1048576,BG$93,$C655*2+6)</f>
        <v>5.45E-2</v>
      </c>
      <c r="BH655" s="1">
        <f>INDEX(Input!$1:$1048576,BH$93,$C655*2+6)</f>
        <v>5.45E-2</v>
      </c>
      <c r="BI655" s="1">
        <f>INDEX(Input!$1:$1048576,BI$93,$C655*2+6)</f>
        <v>0.05</v>
      </c>
      <c r="BJ655" s="1">
        <f>INDEX(Input!$1:$1048576,BJ$93,$C655*2+6)</f>
        <v>0.05</v>
      </c>
      <c r="BK655" s="1">
        <f>INDEX(Input!$1:$1048576,BK$93,$C655*2+6)</f>
        <v>0.05</v>
      </c>
      <c r="BL655" s="1">
        <f>INDEX(Input!$1:$1048576,BL$93,$C655*2+6)</f>
        <v>5.5E-2</v>
      </c>
      <c r="BM655" s="1">
        <f>INDEX(Input!$1:$1048576,BM$93,$C655*2+6)</f>
        <v>0.06</v>
      </c>
      <c r="BN655" s="1">
        <f>INDEX(Input!$1:$1048576,BN$93,$C655*2+6)</f>
        <v>4.4999999999999998E-2</v>
      </c>
      <c r="BO655" s="1">
        <f>INDEX(Input!$1:$1048576,BO$93,$C655*2+6)</f>
        <v>4.4999999999999998E-2</v>
      </c>
      <c r="BP655" s="1">
        <f>INDEX(Input!$1:$1048576,BP$93,$C655*2+6)</f>
        <v>0.05</v>
      </c>
      <c r="BQ655" s="1">
        <f>INDEX(Input!$1:$1048576,BQ$93,$C655*2+6)</f>
        <v>5.45E-2</v>
      </c>
      <c r="BR655" s="1">
        <f>INDEX(Input!$1:$1048576,BR$93,$C655*2+6)</f>
        <v>5.45E-2</v>
      </c>
      <c r="BS655" s="1">
        <f>INDEX(Input!$1:$1048576,BS$93,$C655*2+6)</f>
        <v>0.05</v>
      </c>
      <c r="BT655" s="1">
        <f>INDEX(Input!$1:$1048576,BT$93,$C655*2+6)</f>
        <v>0.05</v>
      </c>
      <c r="BU655" s="1">
        <f>INDEX(Input!$1:$1048576,BU$93,$C655*2+6)</f>
        <v>0.05</v>
      </c>
      <c r="BV655" s="1">
        <f>INDEX(Input!$1:$1048576,BV$93,$C655*2+6)</f>
        <v>5.5E-2</v>
      </c>
      <c r="BW655" s="1">
        <f>INDEX(Input!$1:$1048576,BW$93,$C655*2+6)</f>
        <v>0.06</v>
      </c>
      <c r="BX655" s="127">
        <f>INDEX(Input!$1:$1048576,BX$93,$C655*2+6)</f>
        <v>19985</v>
      </c>
      <c r="BY655" s="20">
        <f>INDEX(Input!$1:$1048576,BY$93,$C655*2+6)</f>
        <v>0.1</v>
      </c>
      <c r="BZ655" s="20">
        <f>INDEX(Input!$1:$1048576,BZ$93,$C655*2+6)</f>
        <v>0.1</v>
      </c>
      <c r="CA655" s="20">
        <f>INDEX(Input!$1:$1048576,CA$93,$C655*2+6)</f>
        <v>0.1</v>
      </c>
      <c r="CB655" s="20">
        <f>INDEX(Input!$1:$1048576,CB$93,$C655*2+6)</f>
        <v>0.1</v>
      </c>
      <c r="CC655" s="20">
        <f>INDEX(Input!$1:$1048576,CC$93,$C655*2+6)</f>
        <v>0.1</v>
      </c>
      <c r="CD655" s="384">
        <f>INDEX(Input!$1:$1048576,CD$93,$C655*2+6)</f>
        <v>0.1</v>
      </c>
      <c r="CE655" s="384">
        <f>INDEX(Input!$1:$1048576,CE$93,$C655*2+6)</f>
        <v>0.1</v>
      </c>
      <c r="CF655" s="384">
        <f>INDEX(Input!$1:$1048576,CF$93,$C655*2+6)</f>
        <v>0.1</v>
      </c>
      <c r="CG655" s="384">
        <f>INDEX(Input!$1:$1048576,CG$93,$C655*2+6)</f>
        <v>0.1</v>
      </c>
      <c r="CH655" s="384">
        <f>INDEX(Input!$1:$1048576,CH$93,$C655*2+6)</f>
        <v>0.1</v>
      </c>
      <c r="CI655" s="304">
        <f t="shared" si="1718"/>
        <v>1767.2644913000609</v>
      </c>
      <c r="CJ655" s="16" t="str">
        <f>INDEX(Input!$1:$1048576,CJ$93,$C655*2+6)</f>
        <v>N</v>
      </c>
      <c r="CK655" s="1" t="str">
        <f t="shared" si="1719"/>
        <v>Market</v>
      </c>
      <c r="CL655" s="1" t="str">
        <f t="shared" si="1720"/>
        <v>Market</v>
      </c>
      <c r="CM655" s="1" t="str">
        <f t="shared" si="1721"/>
        <v>Market</v>
      </c>
      <c r="CN655" s="1" t="str">
        <f t="shared" si="1722"/>
        <v>Market</v>
      </c>
      <c r="CO655" s="1" t="str">
        <f t="shared" si="1723"/>
        <v>Market</v>
      </c>
      <c r="CP655" s="304">
        <f t="shared" si="1724"/>
        <v>1000</v>
      </c>
      <c r="CQ655" s="1">
        <f t="shared" si="1725"/>
        <v>0</v>
      </c>
      <c r="CR655" s="1">
        <f t="shared" si="1726"/>
        <v>0</v>
      </c>
      <c r="CS655" s="1">
        <f t="shared" si="1727"/>
        <v>0</v>
      </c>
      <c r="CT655" s="1">
        <f t="shared" si="1728"/>
        <v>1.9E-2</v>
      </c>
      <c r="CU655" s="1">
        <f t="shared" si="1729"/>
        <v>3.9E-2</v>
      </c>
      <c r="CV655" s="304">
        <f t="shared" si="1730"/>
        <v>1097.993676354025</v>
      </c>
      <c r="CW655" s="20" t="s">
        <v>122</v>
      </c>
      <c r="CX655" s="20" t="s">
        <v>122</v>
      </c>
      <c r="CY655" s="20" t="s">
        <v>122</v>
      </c>
      <c r="CZ655" s="20" t="s">
        <v>122</v>
      </c>
      <c r="DA655" s="20" t="s">
        <v>122</v>
      </c>
      <c r="DB655" s="503">
        <f t="shared" si="1731"/>
        <v>0</v>
      </c>
      <c r="DC655" s="127">
        <v>0</v>
      </c>
      <c r="DD655" s="127">
        <v>0</v>
      </c>
      <c r="DE655" s="127">
        <v>0</v>
      </c>
      <c r="DF655" s="127">
        <v>0</v>
      </c>
      <c r="DG655" s="127">
        <v>0</v>
      </c>
      <c r="DH655" s="127">
        <v>0</v>
      </c>
      <c r="DI655" s="127">
        <v>0</v>
      </c>
      <c r="DJ655" s="127">
        <v>0</v>
      </c>
      <c r="DK655" s="127">
        <v>0</v>
      </c>
      <c r="DL655" s="127">
        <v>0</v>
      </c>
      <c r="DM655" s="304">
        <f>INDEX(Input!$1:$1048576,DM$93,$C655*2+6)</f>
        <v>21036.84210526316</v>
      </c>
      <c r="DN655" s="20">
        <v>0</v>
      </c>
      <c r="DO655" s="20">
        <v>0</v>
      </c>
      <c r="DP655" s="20">
        <v>0</v>
      </c>
      <c r="DQ655" s="20">
        <v>0</v>
      </c>
      <c r="DR655" s="20">
        <v>0</v>
      </c>
      <c r="DS655" s="20">
        <f>INDEX(Input!$1:$1048576,DS$93,$C655*2+6)</f>
        <v>0.6</v>
      </c>
      <c r="DT655" s="20">
        <f>INDEX(Input!$1:$1048576,DT$93,$C655*2+6)</f>
        <v>0.55000000000000004</v>
      </c>
      <c r="DU655" s="20">
        <f>INDEX(Input!$1:$1048576,DU$93,$C655*2+6)</f>
        <v>0.52</v>
      </c>
      <c r="DV655" s="20">
        <f>INDEX(Input!$1:$1048576,DV$93,$C655*2+6)</f>
        <v>0.5</v>
      </c>
      <c r="DW655" s="20">
        <f>INDEX(Input!$1:$1048576,DW$93,$C655*2+6)</f>
        <v>0.45</v>
      </c>
      <c r="DX655" s="20"/>
      <c r="DY655" s="7"/>
      <c r="DZ655" s="7"/>
      <c r="EA655" s="7"/>
      <c r="EB655" s="7"/>
      <c r="EC655" s="7"/>
      <c r="ED655" s="7"/>
      <c r="EE655" s="7"/>
      <c r="EF655" s="7"/>
      <c r="EG655" s="7"/>
      <c r="EH655" s="7"/>
      <c r="EI655" s="7"/>
      <c r="EJ655" s="7"/>
      <c r="EK655" s="7"/>
      <c r="EL655" s="7"/>
      <c r="EM655" s="7"/>
      <c r="EN655" s="7"/>
      <c r="EO655" s="7"/>
      <c r="EP655" s="7"/>
      <c r="EQ655" s="7"/>
      <c r="ER655" s="7"/>
      <c r="ES655" s="7"/>
      <c r="ET655" s="7"/>
      <c r="EU655" s="6"/>
      <c r="EV655" s="6"/>
      <c r="EW655" s="6"/>
      <c r="EX655" s="6"/>
      <c r="EY655" s="6"/>
      <c r="EZ655" s="6"/>
      <c r="FA655" s="6"/>
      <c r="FB655" s="6"/>
      <c r="FC655" s="6"/>
      <c r="FD655" s="6"/>
      <c r="FE655" s="6"/>
      <c r="FF655" s="6"/>
      <c r="FG655" s="6"/>
      <c r="FH655" s="6"/>
      <c r="FI655" s="6"/>
      <c r="FJ655" s="6"/>
      <c r="FK655" s="6"/>
      <c r="FL655" s="6"/>
      <c r="FM655" s="6"/>
      <c r="FN655" s="6"/>
      <c r="FO655" s="6"/>
      <c r="FP655" s="6"/>
      <c r="FQ655" s="6"/>
      <c r="FR655" s="6"/>
      <c r="FS655" s="6"/>
      <c r="FT655" s="7"/>
      <c r="FU655" s="7"/>
      <c r="FV655" s="7"/>
      <c r="FW655" s="6"/>
      <c r="FX655" s="6"/>
      <c r="FY655" s="6"/>
      <c r="FZ655" s="6"/>
      <c r="GA655" s="6"/>
      <c r="GB655" s="6"/>
      <c r="GC655" s="7"/>
      <c r="GD655" s="7"/>
      <c r="GE655" s="7"/>
      <c r="GF655" s="7"/>
      <c r="GG655" s="7"/>
      <c r="GH655" s="42"/>
      <c r="GI655" s="6"/>
      <c r="GJ655" s="14"/>
      <c r="GK655" s="14"/>
      <c r="GL655" s="14"/>
      <c r="GM655" s="14"/>
      <c r="GO655" s="5"/>
      <c r="GP655" s="5"/>
      <c r="GQ655" s="5"/>
      <c r="GR655" s="5"/>
      <c r="GS655" s="5"/>
      <c r="GT655" s="5"/>
      <c r="GU655" s="5"/>
      <c r="GV655" s="39"/>
      <c r="GW655" s="5"/>
      <c r="GX655" s="5"/>
      <c r="GY655" s="5"/>
      <c r="GZ655" s="5"/>
      <c r="HA655" s="5"/>
      <c r="HB655" s="39"/>
      <c r="HC655" s="5"/>
      <c r="HD655" s="5"/>
      <c r="HE655" s="5"/>
      <c r="HF655" s="5"/>
      <c r="HG655" s="5"/>
      <c r="HH655" s="39"/>
      <c r="HI655" s="16"/>
      <c r="HJ655" s="19"/>
      <c r="HK655" s="1"/>
      <c r="HL655" s="16"/>
      <c r="HM655" s="639">
        <f t="shared" si="1755"/>
        <v>2.3149872625708352E-2</v>
      </c>
      <c r="HN655" s="639">
        <f t="shared" si="1756"/>
        <v>1.3965040474190958E-3</v>
      </c>
      <c r="HO655" s="639">
        <f t="shared" si="1757"/>
        <v>3.5429561340050734E-3</v>
      </c>
      <c r="HP655" s="644">
        <f t="shared" ref="HP655:ID655" si="1960">HP155+HP255+HP355+HP455+HP555</f>
        <v>475.18438795761779</v>
      </c>
      <c r="HQ655" s="644">
        <f t="shared" si="1960"/>
        <v>26.925210559961236</v>
      </c>
      <c r="HR655" s="644">
        <f t="shared" si="1960"/>
        <v>15.688372002364185</v>
      </c>
      <c r="HS655" s="644">
        <f t="shared" si="1960"/>
        <v>-237.64145813443994</v>
      </c>
      <c r="HT655" s="644">
        <f t="shared" si="1960"/>
        <v>271.42823775191283</v>
      </c>
      <c r="HU655" s="644">
        <f t="shared" si="1960"/>
        <v>70.872340238459159</v>
      </c>
      <c r="HV655" s="644">
        <f t="shared" si="1960"/>
        <v>0</v>
      </c>
      <c r="HW655" s="644">
        <f t="shared" si="1960"/>
        <v>0</v>
      </c>
      <c r="HX655" s="644">
        <f t="shared" si="1960"/>
        <v>0</v>
      </c>
      <c r="HY655" s="644">
        <f t="shared" si="1960"/>
        <v>2396</v>
      </c>
      <c r="HZ655" s="644">
        <f t="shared" si="1960"/>
        <v>3223</v>
      </c>
      <c r="IA655" s="644">
        <f t="shared" si="1960"/>
        <v>830</v>
      </c>
      <c r="IB655" s="644">
        <f t="shared" si="1960"/>
        <v>2633.5429298231775</v>
      </c>
      <c r="IC655" s="644">
        <f t="shared" si="1960"/>
        <v>3521.3534483118742</v>
      </c>
      <c r="ID655" s="644">
        <f t="shared" si="1960"/>
        <v>916.56071224082348</v>
      </c>
      <c r="IE655" s="20">
        <f t="shared" si="1759"/>
        <v>0.37241871034010537</v>
      </c>
      <c r="IF655" s="20">
        <f t="shared" si="1760"/>
        <v>0.49796716621590931</v>
      </c>
      <c r="IG655" s="20">
        <f t="shared" si="1761"/>
        <v>0.12961412344398524</v>
      </c>
      <c r="IH655" s="21"/>
      <c r="II655" s="19"/>
      <c r="IJ655" s="19"/>
      <c r="IK655" s="19"/>
      <c r="IL655" s="19">
        <f t="shared" si="1762"/>
        <v>673.85926777036002</v>
      </c>
      <c r="IM655" s="19">
        <f t="shared" si="1763"/>
        <v>675.91257861550184</v>
      </c>
      <c r="IN655" s="19">
        <f t="shared" si="1764"/>
        <v>473.08030579243859</v>
      </c>
      <c r="IO655" s="39"/>
      <c r="IP655" s="39"/>
      <c r="IQ655" s="39"/>
      <c r="IR655" s="39"/>
      <c r="IS655" s="39"/>
      <c r="IT655" s="39"/>
      <c r="IU655" s="39"/>
      <c r="IV655" s="39"/>
      <c r="IW655" s="39"/>
      <c r="IX655" s="19">
        <f t="shared" si="1765"/>
        <v>1554.1790484140233</v>
      </c>
      <c r="IY655" s="19">
        <f t="shared" si="1766"/>
        <v>2412.3001201524512</v>
      </c>
      <c r="IZ655" s="19">
        <f t="shared" si="1767"/>
        <v>3993.0862952928574</v>
      </c>
      <c r="JA655" s="19">
        <f t="shared" ref="JA655:JC655" si="1961">IFERROR((JA155*IB155+JA255*IB255+JA355*IB355+JA455*IB455+JA555*IB555)/IB655,0)</f>
        <v>2228.0383161843833</v>
      </c>
      <c r="JB655" s="19">
        <f t="shared" si="1961"/>
        <v>3088.212698767953</v>
      </c>
      <c r="JC655" s="19">
        <f t="shared" si="1961"/>
        <v>4466.166601085296</v>
      </c>
      <c r="JD655" s="19">
        <f t="shared" si="1769"/>
        <v>2946.4699517336644</v>
      </c>
      <c r="JE655" s="21"/>
      <c r="JF655" s="1">
        <f t="shared" si="1770"/>
        <v>2.6651855648468406E-2</v>
      </c>
      <c r="JG655" s="15">
        <f t="shared" si="1771"/>
        <v>6449</v>
      </c>
      <c r="JH655" s="1">
        <f t="shared" si="1772"/>
        <v>8.0291203367955213E-2</v>
      </c>
      <c r="JI655" s="1">
        <f t="shared" si="1773"/>
        <v>1.622873621583688E-2</v>
      </c>
      <c r="JJ655" s="1">
        <f t="shared" si="1774"/>
        <v>0</v>
      </c>
      <c r="JK655" s="1">
        <f t="shared" si="1775"/>
        <v>9.6519939583792111E-2</v>
      </c>
      <c r="JL655" s="15">
        <f t="shared" ref="JL655:JM655" si="1962">JL155+JL255+JL355+JL455+JL555</f>
        <v>622.45709037587528</v>
      </c>
      <c r="JM655" s="15">
        <f t="shared" si="1962"/>
        <v>7071.4570903758749</v>
      </c>
      <c r="JN655" s="21"/>
      <c r="JO655" s="19">
        <f>INDEX(Input!$1:$1048576,JO$93,$C655*2+6)</f>
        <v>5995.5</v>
      </c>
      <c r="JP655" s="19">
        <f>INDEX(Input!$1:$1048576,JP$93,$C655*2+6)</f>
        <v>2296.6050414551746</v>
      </c>
      <c r="JQ655" s="39">
        <f t="shared" si="1799"/>
        <v>3049.0300482663356</v>
      </c>
      <c r="JR655" s="39">
        <f t="shared" si="1800"/>
        <v>649.86491027848979</v>
      </c>
      <c r="JS655" s="39">
        <f t="shared" si="1801"/>
        <v>20.835835831766481</v>
      </c>
      <c r="JT655" s="39">
        <f t="shared" si="1802"/>
        <v>6.025029919422062</v>
      </c>
      <c r="JU655" s="385">
        <f>(JQ655*JM655-INDEX(Input!$1:$1048576,Input!A$18,$C655*2+6)*JL655*INDEX(Input!$1:$1048576,Input!A$19,$C655*2+6))/1000000</f>
        <v>21.561085153582074</v>
      </c>
      <c r="JV655" s="39">
        <f t="shared" si="1803"/>
        <v>-2.2930884340735034</v>
      </c>
      <c r="JW655" s="1">
        <f t="shared" si="1804"/>
        <v>-9.612944358131803E-2</v>
      </c>
      <c r="JX655" s="19">
        <f t="shared" si="1805"/>
        <v>9679.4301367565804</v>
      </c>
      <c r="JZ655" s="341"/>
      <c r="KA655" s="60"/>
      <c r="KB655" s="469">
        <f t="shared" si="1778"/>
        <v>0</v>
      </c>
      <c r="KI655" s="472"/>
      <c r="KJ655" s="472"/>
      <c r="KK655" s="472"/>
      <c r="KN655" s="793">
        <f t="shared" si="1779"/>
        <v>6002</v>
      </c>
      <c r="KO655" s="541">
        <f t="shared" si="1780"/>
        <v>7.1386056415270627E-2</v>
      </c>
      <c r="KP655" s="546">
        <f t="shared" si="1781"/>
        <v>484.79010062818799</v>
      </c>
      <c r="KQ655" s="546">
        <f t="shared" si="1782"/>
        <v>483.63669512851948</v>
      </c>
      <c r="KR655" s="472">
        <f t="shared" si="1783"/>
        <v>2.580164863187048</v>
      </c>
      <c r="KS655" s="472">
        <f t="shared" si="1784"/>
        <v>2.5863181935137729</v>
      </c>
      <c r="KT655" s="473">
        <f t="shared" si="1795"/>
        <v>4286.2445668946921</v>
      </c>
      <c r="KU655" s="663">
        <f t="shared" si="1785"/>
        <v>4.4074657616719932</v>
      </c>
      <c r="KV655" s="117"/>
    </row>
    <row r="656" spans="1:308" s="26" customFormat="1" ht="15" outlineLevel="1">
      <c r="A656" s="561">
        <f t="shared" si="1751"/>
        <v>6056</v>
      </c>
      <c r="B656" s="561">
        <f t="shared" si="1786"/>
        <v>56</v>
      </c>
      <c r="C656" s="561">
        <f t="shared" si="1787"/>
        <v>6</v>
      </c>
      <c r="D656" s="561" t="str">
        <f t="shared" si="1953"/>
        <v xml:space="preserve">1000 CC, 1000 Combo, 720 Lease, </v>
      </c>
      <c r="E656" s="475">
        <f>INDEX(Input!$1:$1048576,E$93,$C656*2+MIN($B656,2)+5)
+INDEX(Scenarios!E$121:E$199,MATCH($B656,Scenarios!$B$121:$B$199,0))</f>
        <v>2267.2644913000609</v>
      </c>
      <c r="F656" s="475">
        <f>INDEX(Input!$1:$1048576,F$93,$C656*2+MIN($B656,2)+5)
+INDEX(Scenarios!F$121:F$199,MATCH($B656,Scenarios!$B$121:$B$199,0))</f>
        <v>0</v>
      </c>
      <c r="G656" s="475">
        <f>INDEX(Input!$1:$1048576,G$93,$C656*2+MIN($B656,2)+5)
+INDEX(Scenarios!G$121:G$199,MATCH($B656,Scenarios!$B$121:$B$199,0))</f>
        <v>0</v>
      </c>
      <c r="H656" s="475">
        <f>INDEX(Input!$1:$1048576,H$93,$C656*2+MIN($B656,2)+5)
+INDEX(Scenarios!H$121:H$199,MATCH($B656,Scenarios!$B$121:$B$199,0))</f>
        <v>0</v>
      </c>
      <c r="I656" s="476">
        <f>INDEX(Input!$1:$1048576,I$93,$C656*2+MIN($B656,2)+5)
+INDEX(Scenarios!I$121:I$199,MATCH($B656,Scenarios!$B$121:$B$199,0))</f>
        <v>0.7</v>
      </c>
      <c r="J656" s="476" t="str">
        <f>INDEX(Input!$1:$1048576,J$93,$C656*2+MIN($B656,2)+5)</f>
        <v>Market</v>
      </c>
      <c r="K656" s="476" t="str">
        <f>INDEX(Input!$1:$1048576,K$93,$C656*2+MIN($B656,2)+5)</f>
        <v>Market</v>
      </c>
      <c r="L656" s="476" t="str">
        <f>INDEX(Input!$1:$1048576,L$93,$C656*2+MIN($B656,2)+5)</f>
        <v>Market</v>
      </c>
      <c r="M656" s="476" t="str">
        <f>INDEX(Input!$1:$1048576,M$93,$C656*2+MIN($B656,2)+5)</f>
        <v>Market</v>
      </c>
      <c r="N656" s="476" t="str">
        <f>INDEX(Input!$1:$1048576,N$93,$C656*2+MIN($B656,2)+5)</f>
        <v>Market</v>
      </c>
      <c r="O656" s="476" t="str">
        <f>INDEX(Input!$1:$1048576,O$93,$C656*2+MIN($B656,2)+5)</f>
        <v>Market</v>
      </c>
      <c r="P656" s="476" t="str">
        <f>INDEX(Input!$1:$1048576,P$93,$C656*2+MIN($B656,2)+5)</f>
        <v>N</v>
      </c>
      <c r="Q656" s="477">
        <f>INDEX(Input!$1:$1048576,Q$93,$C656*2+MIN($B656,2)+5)
+INDEX(Scenarios!Q$121:Q$199,MATCH($B656,Scenarios!$B$121:$B$199,0))</f>
        <v>1000</v>
      </c>
      <c r="R656" s="478">
        <f>IFERROR(MAX(0,INDEX(Input!$1:$1048576,R$93,$C656*2+MIN($B656,2)+5)
+INDEX(Scenarios!R$121:R$199,MATCH($B656,Scenarios!$B$121:$B$199,0)),),"Market")</f>
        <v>0</v>
      </c>
      <c r="S656" s="478">
        <f>IFERROR(MAX(0,INDEX(Input!$1:$1048576,S$93,$C656*2+MIN($B656,2)+5)
+INDEX(Scenarios!S$121:S$199,MATCH($B656,Scenarios!$B$121:$B$199,0)),),"Market")</f>
        <v>0</v>
      </c>
      <c r="T656" s="478">
        <f>IFERROR(MAX(0,INDEX(Input!$1:$1048576,T$93,$C656*2+MIN($B656,2)+5)
+INDEX(Scenarios!T$121:T$199,MATCH($B656,Scenarios!$B$121:$B$199,0)),),"Market")</f>
        <v>0</v>
      </c>
      <c r="U656" s="478">
        <f>IFERROR(MAX(0,INDEX(Input!$1:$1048576,U$93,$C656*2+MIN($B656,2)+5)
+INDEX(Scenarios!U$121:U$199,MATCH($B656,Scenarios!$B$121:$B$199,0)),),"Market")</f>
        <v>0</v>
      </c>
      <c r="V656" s="478">
        <f>IFERROR(MAX(0,INDEX(Input!$1:$1048576,V$93,$C656*2+MIN($B656,2)+5)
+INDEX(Scenarios!V$121:V$199,MATCH($B656,Scenarios!$B$121:$B$199,0)),),"Market")</f>
        <v>1.9E-2</v>
      </c>
      <c r="W656" s="885">
        <f>IFERROR(MAX(0,INDEX(Input!$1:$1048576,W$93,$C656*2+MIN($B656,2)+5)-0%,),"Market")</f>
        <v>3.9E-2</v>
      </c>
      <c r="X656" s="476" t="str">
        <f>INDEX(Input!$1:$1048576,X$93,$C656*2+MIN($B656,2)+5)</f>
        <v>Y</v>
      </c>
      <c r="Y656" s="475">
        <f>INDEX(Input!$1:$1048576,Y$93,$C656*2+MIN($B656,2)+5)
++INDEX(Scenarios!Y$121:Y$199,MATCH($B656,Scenarios!$B$121:$B$199,0))</f>
        <v>1457.993676354025</v>
      </c>
      <c r="Z656" s="477">
        <f>INDEX(Input!$1:$1048576,Z$93,$C656*2+MIN($B656,2)+5)
+INDEX(Scenarios!Z$121:Z$199,MATCH($B656,Scenarios!$B$121:$B$199,0))</f>
        <v>0</v>
      </c>
      <c r="AA656" s="475">
        <f>INDEX(Input!$1:$1048576,AA$93,$C656*2+MIN($B656,2)+5)</f>
        <v>0</v>
      </c>
      <c r="AB656" s="476">
        <f>INDEX(Input!$1:$1048576,AB$93,$C656*2+MIN($B656,2)+5)</f>
        <v>0.27</v>
      </c>
      <c r="AC656" s="475">
        <f>INDEX(Input!$1:$1048576,AC$93,$C656*2+MIN($B656,2)+5)
+INDEX(Scenarios!AC$121:AC$199,MATCH($B656,Scenarios!$B$121:$B$199,0))</f>
        <v>0</v>
      </c>
      <c r="AD656" s="476">
        <f>INDEX(Input!$1:$1048576,AD$93,$C656*2+MIN($B656,2)+5)</f>
        <v>0.27</v>
      </c>
      <c r="AE656" s="475">
        <f>INDEX(Input!$1:$1048576,AE$93,$C656*2+MIN($B656,2)+5)
+INDEX(Scenarios!AE$121:AE$199,MATCH($B656,Scenarios!$B$121:$B$199,0))</f>
        <v>0</v>
      </c>
      <c r="AF656" s="476">
        <f>INDEX(Input!$1:$1048576,AF$93,$C656*2+MIN($B656,2)+5)</f>
        <v>1</v>
      </c>
      <c r="AG656" s="475">
        <f>INDEX(Input!$1:$1048576,AG$93,$C656*2+MIN($B656,2)+5)</f>
        <v>500</v>
      </c>
      <c r="AH656" s="476">
        <f>INDEX(Input!$1:$1048576,AH$93,$C656*2+MIN($B656,2)+5)</f>
        <v>1</v>
      </c>
      <c r="AI656" s="475">
        <f>INDEX(Input!$1:$1048576,AI$93,$C656*2+MIN($B656,2)+5)</f>
        <v>0</v>
      </c>
      <c r="AJ656" s="476">
        <f>INDEX(Input!$1:$1048576,AJ$93,$C656*2+MIN($B656,2)+5)</f>
        <v>0.27</v>
      </c>
      <c r="AK656" s="150">
        <f>ROUND(INDEX(Input!$1:$1048576,AK$93,$C655*2+MIN($B656,1)+5)+(Y656-VLOOKUP($C656*1000+1,$A:$HH,Y$92,FALSE)),0)</f>
        <v>3781</v>
      </c>
      <c r="AL656" s="150">
        <f>ROUND(INDEX(Input!$1:$1048576,AL$93,$C655*2+MIN($B656,1)+5)-(Y656-VLOOKUP($C656*1000+1,$A:$HH,Y$92,FALSE))/36,0)</f>
        <v>3532</v>
      </c>
      <c r="AM656" s="32" t="str">
        <f t="shared" si="1752"/>
        <v>std/std/std/std</v>
      </c>
      <c r="AN656" s="32" t="str">
        <f t="shared" si="1753"/>
        <v>$1000 + 0/0/0/1.9/3.9</v>
      </c>
      <c r="AO656" s="32" t="str">
        <f t="shared" si="1754"/>
        <v>0/0/0/1.9/3.9</v>
      </c>
      <c r="AP656" s="32" t="str">
        <f t="shared" si="1716"/>
        <v>0/0.9/1.9/3.9</v>
      </c>
      <c r="AQ656" s="536">
        <f t="shared" si="1892"/>
        <v>0.37493510450432194</v>
      </c>
      <c r="AR656" s="32"/>
      <c r="AS656" s="302"/>
      <c r="AT656" s="3">
        <f t="shared" si="1788"/>
        <v>56</v>
      </c>
      <c r="AU656" s="41" t="s">
        <v>121</v>
      </c>
      <c r="AV656" s="41" t="s">
        <v>116</v>
      </c>
      <c r="AW656" s="41" t="str">
        <f>INDEX(Input!$1:$1048576,AW$93,$C656*2+6)</f>
        <v>Kia</v>
      </c>
      <c r="AX656" s="41" t="str">
        <f>INDEX(Input!$1:$1048576,AX$93,$C656*2+6)</f>
        <v>National</v>
      </c>
      <c r="AY656" s="41" t="str">
        <f>IF(LEN(D656)=0,"",INDEX(Input!$1:$1048576,AY$93,$C656*2+6))</f>
        <v>Compact SUV (52)</v>
      </c>
      <c r="AZ656" s="41" t="str">
        <f>INDEX(Input!$1:$1048576,AZ$93,$C656*2+6)</f>
        <v>Kia Soul</v>
      </c>
      <c r="BA656" s="3">
        <f>INDEX(Input!$1:$1048576,BA$93,$C656*2+6)</f>
        <v>2020</v>
      </c>
      <c r="BB656" s="128">
        <f>INDEX(Input!$1:$1048576,BB$93,$C656*2+6)</f>
        <v>1</v>
      </c>
      <c r="BC656" s="128">
        <f>INDEX(Input!$1:$1048576,BC$93,$C656*2+6)</f>
        <v>0.7</v>
      </c>
      <c r="BD656" s="1">
        <f>INDEX(Input!$1:$1048576,BD$93,$C656*2+6)</f>
        <v>4.4999999999999998E-2</v>
      </c>
      <c r="BE656" s="1">
        <f>INDEX(Input!$1:$1048576,BE$93,$C656*2+6)</f>
        <v>4.4999999999999998E-2</v>
      </c>
      <c r="BF656" s="1">
        <f>INDEX(Input!$1:$1048576,BF$93,$C656*2+6)</f>
        <v>0.05</v>
      </c>
      <c r="BG656" s="1">
        <f>INDEX(Input!$1:$1048576,BG$93,$C656*2+6)</f>
        <v>5.45E-2</v>
      </c>
      <c r="BH656" s="1">
        <f>INDEX(Input!$1:$1048576,BH$93,$C656*2+6)</f>
        <v>5.45E-2</v>
      </c>
      <c r="BI656" s="1">
        <f>INDEX(Input!$1:$1048576,BI$93,$C656*2+6)</f>
        <v>0.05</v>
      </c>
      <c r="BJ656" s="1">
        <f>INDEX(Input!$1:$1048576,BJ$93,$C656*2+6)</f>
        <v>0.05</v>
      </c>
      <c r="BK656" s="1">
        <f>INDEX(Input!$1:$1048576,BK$93,$C656*2+6)</f>
        <v>0.05</v>
      </c>
      <c r="BL656" s="1">
        <f>INDEX(Input!$1:$1048576,BL$93,$C656*2+6)</f>
        <v>5.5E-2</v>
      </c>
      <c r="BM656" s="1">
        <f>INDEX(Input!$1:$1048576,BM$93,$C656*2+6)</f>
        <v>0.06</v>
      </c>
      <c r="BN656" s="1">
        <f>INDEX(Input!$1:$1048576,BN$93,$C656*2+6)</f>
        <v>4.4999999999999998E-2</v>
      </c>
      <c r="BO656" s="1">
        <f>INDEX(Input!$1:$1048576,BO$93,$C656*2+6)</f>
        <v>4.4999999999999998E-2</v>
      </c>
      <c r="BP656" s="1">
        <f>INDEX(Input!$1:$1048576,BP$93,$C656*2+6)</f>
        <v>0.05</v>
      </c>
      <c r="BQ656" s="1">
        <f>INDEX(Input!$1:$1048576,BQ$93,$C656*2+6)</f>
        <v>5.45E-2</v>
      </c>
      <c r="BR656" s="1">
        <f>INDEX(Input!$1:$1048576,BR$93,$C656*2+6)</f>
        <v>5.45E-2</v>
      </c>
      <c r="BS656" s="1">
        <f>INDEX(Input!$1:$1048576,BS$93,$C656*2+6)</f>
        <v>0.05</v>
      </c>
      <c r="BT656" s="1">
        <f>INDEX(Input!$1:$1048576,BT$93,$C656*2+6)</f>
        <v>0.05</v>
      </c>
      <c r="BU656" s="1">
        <f>INDEX(Input!$1:$1048576,BU$93,$C656*2+6)</f>
        <v>0.05</v>
      </c>
      <c r="BV656" s="1">
        <f>INDEX(Input!$1:$1048576,BV$93,$C656*2+6)</f>
        <v>5.5E-2</v>
      </c>
      <c r="BW656" s="1">
        <f>INDEX(Input!$1:$1048576,BW$93,$C656*2+6)</f>
        <v>0.06</v>
      </c>
      <c r="BX656" s="127">
        <f>INDEX(Input!$1:$1048576,BX$93,$C656*2+6)</f>
        <v>19985</v>
      </c>
      <c r="BY656" s="20">
        <f>INDEX(Input!$1:$1048576,BY$93,$C656*2+6)</f>
        <v>0.1</v>
      </c>
      <c r="BZ656" s="20">
        <f>INDEX(Input!$1:$1048576,BZ$93,$C656*2+6)</f>
        <v>0.1</v>
      </c>
      <c r="CA656" s="20">
        <f>INDEX(Input!$1:$1048576,CA$93,$C656*2+6)</f>
        <v>0.1</v>
      </c>
      <c r="CB656" s="20">
        <f>INDEX(Input!$1:$1048576,CB$93,$C656*2+6)</f>
        <v>0.1</v>
      </c>
      <c r="CC656" s="20">
        <f>INDEX(Input!$1:$1048576,CC$93,$C656*2+6)</f>
        <v>0.1</v>
      </c>
      <c r="CD656" s="384">
        <f>INDEX(Input!$1:$1048576,CD$93,$C656*2+6)</f>
        <v>0.1</v>
      </c>
      <c r="CE656" s="384">
        <f>INDEX(Input!$1:$1048576,CE$93,$C656*2+6)</f>
        <v>0.1</v>
      </c>
      <c r="CF656" s="384">
        <f>INDEX(Input!$1:$1048576,CF$93,$C656*2+6)</f>
        <v>0.1</v>
      </c>
      <c r="CG656" s="384">
        <f>INDEX(Input!$1:$1048576,CG$93,$C656*2+6)</f>
        <v>0.1</v>
      </c>
      <c r="CH656" s="384">
        <f>INDEX(Input!$1:$1048576,CH$93,$C656*2+6)</f>
        <v>0.1</v>
      </c>
      <c r="CI656" s="304">
        <f t="shared" si="1718"/>
        <v>2267.2644913000609</v>
      </c>
      <c r="CJ656" s="16" t="str">
        <f>INDEX(Input!$1:$1048576,CJ$93,$C656*2+6)</f>
        <v>N</v>
      </c>
      <c r="CK656" s="1" t="str">
        <f t="shared" si="1719"/>
        <v>Market</v>
      </c>
      <c r="CL656" s="1" t="str">
        <f t="shared" si="1720"/>
        <v>Market</v>
      </c>
      <c r="CM656" s="1" t="str">
        <f t="shared" si="1721"/>
        <v>Market</v>
      </c>
      <c r="CN656" s="1" t="str">
        <f t="shared" si="1722"/>
        <v>Market</v>
      </c>
      <c r="CO656" s="1" t="str">
        <f t="shared" si="1723"/>
        <v>Market</v>
      </c>
      <c r="CP656" s="304">
        <f t="shared" si="1724"/>
        <v>1500</v>
      </c>
      <c r="CQ656" s="1">
        <f t="shared" si="1725"/>
        <v>0</v>
      </c>
      <c r="CR656" s="1">
        <f t="shared" si="1726"/>
        <v>0</v>
      </c>
      <c r="CS656" s="1">
        <f t="shared" si="1727"/>
        <v>0</v>
      </c>
      <c r="CT656" s="1">
        <f t="shared" si="1728"/>
        <v>1.9E-2</v>
      </c>
      <c r="CU656" s="1">
        <f t="shared" si="1729"/>
        <v>3.9E-2</v>
      </c>
      <c r="CV656" s="304">
        <f t="shared" si="1730"/>
        <v>1457.993676354025</v>
      </c>
      <c r="CW656" s="20" t="s">
        <v>122</v>
      </c>
      <c r="CX656" s="20" t="s">
        <v>122</v>
      </c>
      <c r="CY656" s="20" t="s">
        <v>122</v>
      </c>
      <c r="CZ656" s="20" t="s">
        <v>122</v>
      </c>
      <c r="DA656" s="20" t="s">
        <v>122</v>
      </c>
      <c r="DB656" s="503">
        <f t="shared" si="1731"/>
        <v>0</v>
      </c>
      <c r="DC656" s="127">
        <v>0</v>
      </c>
      <c r="DD656" s="127">
        <v>0</v>
      </c>
      <c r="DE656" s="127">
        <v>0</v>
      </c>
      <c r="DF656" s="127">
        <v>0</v>
      </c>
      <c r="DG656" s="127">
        <v>0</v>
      </c>
      <c r="DH656" s="127">
        <v>0</v>
      </c>
      <c r="DI656" s="127">
        <v>0</v>
      </c>
      <c r="DJ656" s="127">
        <v>0</v>
      </c>
      <c r="DK656" s="127">
        <v>0</v>
      </c>
      <c r="DL656" s="127">
        <v>0</v>
      </c>
      <c r="DM656" s="304">
        <f>INDEX(Input!$1:$1048576,DM$93,$C656*2+6)</f>
        <v>21036.84210526316</v>
      </c>
      <c r="DN656" s="20">
        <v>0</v>
      </c>
      <c r="DO656" s="20">
        <v>0</v>
      </c>
      <c r="DP656" s="20">
        <v>0</v>
      </c>
      <c r="DQ656" s="20">
        <v>0</v>
      </c>
      <c r="DR656" s="20">
        <v>0</v>
      </c>
      <c r="DS656" s="20">
        <f>INDEX(Input!$1:$1048576,DS$93,$C656*2+6)</f>
        <v>0.6</v>
      </c>
      <c r="DT656" s="20">
        <f>INDEX(Input!$1:$1048576,DT$93,$C656*2+6)</f>
        <v>0.55000000000000004</v>
      </c>
      <c r="DU656" s="20">
        <f>INDEX(Input!$1:$1048576,DU$93,$C656*2+6)</f>
        <v>0.52</v>
      </c>
      <c r="DV656" s="20">
        <f>INDEX(Input!$1:$1048576,DV$93,$C656*2+6)</f>
        <v>0.5</v>
      </c>
      <c r="DW656" s="20">
        <f>INDEX(Input!$1:$1048576,DW$93,$C656*2+6)</f>
        <v>0.45</v>
      </c>
      <c r="DX656" s="20"/>
      <c r="DY656" s="7"/>
      <c r="DZ656" s="7"/>
      <c r="EA656" s="7"/>
      <c r="EB656" s="7"/>
      <c r="EC656" s="7"/>
      <c r="ED656" s="7"/>
      <c r="EE656" s="7"/>
      <c r="EF656" s="7"/>
      <c r="EG656" s="7"/>
      <c r="EH656" s="7"/>
      <c r="EI656" s="7"/>
      <c r="EJ656" s="7"/>
      <c r="EK656" s="7"/>
      <c r="EL656" s="7"/>
      <c r="EM656" s="7"/>
      <c r="EN656" s="7"/>
      <c r="EO656" s="7"/>
      <c r="EP656" s="7"/>
      <c r="EQ656" s="7"/>
      <c r="ER656" s="7"/>
      <c r="ES656" s="7"/>
      <c r="ET656" s="7"/>
      <c r="EU656" s="6"/>
      <c r="EV656" s="6"/>
      <c r="EW656" s="6"/>
      <c r="EX656" s="6"/>
      <c r="EY656" s="6"/>
      <c r="EZ656" s="6"/>
      <c r="FA656" s="6"/>
      <c r="FB656" s="6"/>
      <c r="FC656" s="6"/>
      <c r="FD656" s="6"/>
      <c r="FE656" s="6"/>
      <c r="FF656" s="6"/>
      <c r="FG656" s="6"/>
      <c r="FH656" s="6"/>
      <c r="FI656" s="6"/>
      <c r="FJ656" s="6"/>
      <c r="FK656" s="6"/>
      <c r="FL656" s="6"/>
      <c r="FM656" s="6"/>
      <c r="FN656" s="6"/>
      <c r="FO656" s="6"/>
      <c r="FP656" s="6"/>
      <c r="FQ656" s="6"/>
      <c r="FR656" s="6"/>
      <c r="FS656" s="6"/>
      <c r="FT656" s="7"/>
      <c r="FU656" s="7"/>
      <c r="FV656" s="7"/>
      <c r="FW656" s="6"/>
      <c r="FX656" s="6"/>
      <c r="FY656" s="6"/>
      <c r="FZ656" s="6"/>
      <c r="GA656" s="6"/>
      <c r="GB656" s="6"/>
      <c r="GC656" s="7"/>
      <c r="GD656" s="7"/>
      <c r="GE656" s="7"/>
      <c r="GF656" s="7"/>
      <c r="GG656" s="7"/>
      <c r="GH656" s="42"/>
      <c r="GI656" s="6"/>
      <c r="GJ656" s="14"/>
      <c r="GK656" s="14"/>
      <c r="GL656" s="14"/>
      <c r="GM656" s="14"/>
      <c r="GO656" s="5"/>
      <c r="GP656" s="5"/>
      <c r="GQ656" s="5"/>
      <c r="GR656" s="5"/>
      <c r="GS656" s="5"/>
      <c r="GT656" s="5"/>
      <c r="GU656" s="5"/>
      <c r="GV656" s="39"/>
      <c r="GW656" s="5"/>
      <c r="GX656" s="5"/>
      <c r="GY656" s="5"/>
      <c r="GZ656" s="5"/>
      <c r="HA656" s="5"/>
      <c r="HB656" s="39"/>
      <c r="HC656" s="5"/>
      <c r="HD656" s="5"/>
      <c r="HE656" s="5"/>
      <c r="HF656" s="5"/>
      <c r="HG656" s="5"/>
      <c r="HH656" s="39"/>
      <c r="HI656" s="16"/>
      <c r="HJ656" s="19"/>
      <c r="HK656" s="1"/>
      <c r="HL656" s="16"/>
      <c r="HM656" s="639">
        <f t="shared" si="1755"/>
        <v>2.3149872625708352E-2</v>
      </c>
      <c r="HN656" s="639">
        <f t="shared" si="1756"/>
        <v>1.3965040474190958E-3</v>
      </c>
      <c r="HO656" s="639">
        <f t="shared" si="1757"/>
        <v>3.5429561340050734E-3</v>
      </c>
      <c r="HP656" s="644">
        <f t="shared" ref="HP656:ID656" si="1963">HP156+HP256+HP356+HP456+HP556</f>
        <v>856.75689662619129</v>
      </c>
      <c r="HQ656" s="644">
        <f t="shared" si="1963"/>
        <v>48.899872509353237</v>
      </c>
      <c r="HR656" s="644">
        <f t="shared" si="1963"/>
        <v>30.53631626120373</v>
      </c>
      <c r="HS656" s="644">
        <f t="shared" si="1963"/>
        <v>-415.17895366600584</v>
      </c>
      <c r="HT656" s="644">
        <f t="shared" si="1963"/>
        <v>472.23244567497665</v>
      </c>
      <c r="HU656" s="644">
        <f t="shared" si="1963"/>
        <v>125.93764666572093</v>
      </c>
      <c r="HV656" s="644">
        <f t="shared" si="1963"/>
        <v>0</v>
      </c>
      <c r="HW656" s="644">
        <f t="shared" si="1963"/>
        <v>0</v>
      </c>
      <c r="HX656" s="644">
        <f t="shared" si="1963"/>
        <v>0</v>
      </c>
      <c r="HY656" s="644">
        <f t="shared" si="1963"/>
        <v>2396</v>
      </c>
      <c r="HZ656" s="644">
        <f t="shared" si="1963"/>
        <v>3223</v>
      </c>
      <c r="IA656" s="644">
        <f t="shared" si="1963"/>
        <v>830</v>
      </c>
      <c r="IB656" s="644">
        <f t="shared" si="1963"/>
        <v>2837.5779429601862</v>
      </c>
      <c r="IC656" s="644">
        <f t="shared" si="1963"/>
        <v>3744.13231818433</v>
      </c>
      <c r="ID656" s="644">
        <f t="shared" si="1963"/>
        <v>986.47396292692463</v>
      </c>
      <c r="IE656" s="20">
        <f t="shared" si="1759"/>
        <v>0.37493510450432194</v>
      </c>
      <c r="IF656" s="20">
        <f t="shared" si="1760"/>
        <v>0.49472002891733347</v>
      </c>
      <c r="IG656" s="20">
        <f t="shared" si="1761"/>
        <v>0.13034486657834463</v>
      </c>
      <c r="IH656" s="21"/>
      <c r="II656" s="19"/>
      <c r="IJ656" s="19"/>
      <c r="IK656" s="19"/>
      <c r="IL656" s="19">
        <f t="shared" si="1762"/>
        <v>1171.9185150267313</v>
      </c>
      <c r="IM656" s="19">
        <f t="shared" si="1763"/>
        <v>1176.0019317430538</v>
      </c>
      <c r="IN656" s="19">
        <f t="shared" si="1764"/>
        <v>834.88988163452905</v>
      </c>
      <c r="IO656" s="39"/>
      <c r="IP656" s="39"/>
      <c r="IQ656" s="39"/>
      <c r="IR656" s="39"/>
      <c r="IS656" s="39"/>
      <c r="IT656" s="39"/>
      <c r="IU656" s="39"/>
      <c r="IV656" s="39"/>
      <c r="IW656" s="39"/>
      <c r="IX656" s="19">
        <f t="shared" si="1765"/>
        <v>1554.1790484140233</v>
      </c>
      <c r="IY656" s="19">
        <f t="shared" si="1766"/>
        <v>2412.3001201524512</v>
      </c>
      <c r="IZ656" s="19">
        <f t="shared" si="1767"/>
        <v>3993.0862952928574</v>
      </c>
      <c r="JA656" s="19">
        <f t="shared" ref="JA656:JC656" si="1964">IFERROR((JA156*IB156+JA256*IB256+JA356*IB356+JA456*IB456+JA556*IB556)/IB656,0)</f>
        <v>2726.0975634407546</v>
      </c>
      <c r="JB656" s="19">
        <f t="shared" si="1964"/>
        <v>3588.302051895505</v>
      </c>
      <c r="JC656" s="19">
        <f t="shared" si="1964"/>
        <v>4827.9761769273864</v>
      </c>
      <c r="JD656" s="19">
        <f t="shared" si="1769"/>
        <v>3426.6164803405345</v>
      </c>
      <c r="JE656" s="21"/>
      <c r="JF656" s="1">
        <f t="shared" si="1770"/>
        <v>2.6651855648468406E-2</v>
      </c>
      <c r="JG656" s="15">
        <f t="shared" si="1771"/>
        <v>6449</v>
      </c>
      <c r="JH656" s="1">
        <f t="shared" si="1772"/>
        <v>0.14516872156873131</v>
      </c>
      <c r="JI656" s="1">
        <f t="shared" si="1773"/>
        <v>2.8375118417536323E-2</v>
      </c>
      <c r="JJ656" s="1">
        <f t="shared" si="1774"/>
        <v>0</v>
      </c>
      <c r="JK656" s="1">
        <f t="shared" si="1775"/>
        <v>0.17354383998626768</v>
      </c>
      <c r="JL656" s="15">
        <f t="shared" ref="JL656:JM656" si="1965">JL156+JL256+JL356+JL456+JL556</f>
        <v>1119.1842240714402</v>
      </c>
      <c r="JM656" s="15">
        <f t="shared" si="1965"/>
        <v>7568.1842240714404</v>
      </c>
      <c r="JN656" s="21"/>
      <c r="JO656" s="19">
        <f>INDEX(Input!$1:$1048576,JO$93,$C656*2+6)</f>
        <v>5995.5</v>
      </c>
      <c r="JP656" s="19">
        <f>INDEX(Input!$1:$1048576,JP$93,$C656*2+6)</f>
        <v>2296.6050414551746</v>
      </c>
      <c r="JQ656" s="39">
        <f t="shared" si="1799"/>
        <v>2568.8835196594655</v>
      </c>
      <c r="JR656" s="39">
        <f t="shared" si="1800"/>
        <v>1130.0114388853599</v>
      </c>
      <c r="JS656" s="39">
        <f t="shared" si="1801"/>
        <v>25.933264788456441</v>
      </c>
      <c r="JT656" s="39">
        <f t="shared" si="1802"/>
        <v>11.12245887611202</v>
      </c>
      <c r="JU656" s="385">
        <f>(JQ656*JM656-INDEX(Input!$1:$1048576,Input!A$18,$C656*2+6)*JL656*INDEX(Input!$1:$1048576,Input!A$19,$C656*2+6))/1000000</f>
        <v>19.44178372696388</v>
      </c>
      <c r="JV656" s="39">
        <f t="shared" si="1803"/>
        <v>-4.4123898606916967</v>
      </c>
      <c r="JW656" s="1">
        <f t="shared" si="1804"/>
        <v>-0.18497349507740179</v>
      </c>
      <c r="JX656" s="19">
        <f t="shared" si="1805"/>
        <v>9938.0054122368037</v>
      </c>
      <c r="JZ656" s="341"/>
      <c r="KA656" s="60"/>
      <c r="KB656" s="469">
        <f t="shared" si="1778"/>
        <v>0</v>
      </c>
      <c r="KI656" s="472"/>
      <c r="KJ656" s="472"/>
      <c r="KK656" s="472"/>
      <c r="KN656" s="793">
        <f t="shared" si="1779"/>
        <v>6002</v>
      </c>
      <c r="KO656" s="541">
        <f t="shared" si="1780"/>
        <v>0.1466444533882012</v>
      </c>
      <c r="KP656" s="546">
        <f t="shared" si="1781"/>
        <v>966.00695337184527</v>
      </c>
      <c r="KQ656" s="546">
        <f t="shared" si="1782"/>
        <v>963.78322373538958</v>
      </c>
      <c r="KR656" s="472">
        <f t="shared" si="1783"/>
        <v>2.6599483112343258</v>
      </c>
      <c r="KS656" s="472">
        <f t="shared" si="1784"/>
        <v>2.666085589561507</v>
      </c>
      <c r="KT656" s="473">
        <f t="shared" si="1795"/>
        <v>4286.2445668946921</v>
      </c>
      <c r="KU656" s="663">
        <f t="shared" si="1785"/>
        <v>4.4657843083837241</v>
      </c>
      <c r="KV656" s="117"/>
    </row>
    <row r="657" spans="1:308" s="26" customFormat="1" ht="15" outlineLevel="1">
      <c r="A657" s="561">
        <f t="shared" si="1751"/>
        <v>6057</v>
      </c>
      <c r="B657" s="561">
        <f t="shared" si="1786"/>
        <v>57</v>
      </c>
      <c r="C657" s="561">
        <f t="shared" si="1787"/>
        <v>6</v>
      </c>
      <c r="D657" s="561" t="str">
        <f t="shared" si="1953"/>
        <v xml:space="preserve">500 CC, 0/0/0.9/3.9, 360 Lease, </v>
      </c>
      <c r="E657" s="475">
        <f>INDEX(Input!$1:$1048576,E$93,$C657*2+MIN($B657,2)+5)
+INDEX(Scenarios!E$121:E$199,MATCH($B657,Scenarios!$B$121:$B$199,0))</f>
        <v>1767.2644913000609</v>
      </c>
      <c r="F657" s="475">
        <f>INDEX(Input!$1:$1048576,F$93,$C657*2+MIN($B657,2)+5)
+INDEX(Scenarios!F$121:F$199,MATCH($B657,Scenarios!$B$121:$B$199,0))</f>
        <v>0</v>
      </c>
      <c r="G657" s="475">
        <f>INDEX(Input!$1:$1048576,G$93,$C657*2+MIN($B657,2)+5)
+INDEX(Scenarios!G$121:G$199,MATCH($B657,Scenarios!$B$121:$B$199,0))</f>
        <v>0</v>
      </c>
      <c r="H657" s="475">
        <f>INDEX(Input!$1:$1048576,H$93,$C657*2+MIN($B657,2)+5)
+INDEX(Scenarios!H$121:H$199,MATCH($B657,Scenarios!$B$121:$B$199,0))</f>
        <v>0</v>
      </c>
      <c r="I657" s="476">
        <f>INDEX(Input!$1:$1048576,I$93,$C657*2+MIN($B657,2)+5)
+INDEX(Scenarios!I$121:I$199,MATCH($B657,Scenarios!$B$121:$B$199,0))</f>
        <v>0.7</v>
      </c>
      <c r="J657" s="476" t="str">
        <f>INDEX(Input!$1:$1048576,J$93,$C657*2+MIN($B657,2)+5)</f>
        <v>Market</v>
      </c>
      <c r="K657" s="476" t="str">
        <f>INDEX(Input!$1:$1048576,K$93,$C657*2+MIN($B657,2)+5)</f>
        <v>Market</v>
      </c>
      <c r="L657" s="476" t="str">
        <f>INDEX(Input!$1:$1048576,L$93,$C657*2+MIN($B657,2)+5)</f>
        <v>Market</v>
      </c>
      <c r="M657" s="476" t="str">
        <f>INDEX(Input!$1:$1048576,M$93,$C657*2+MIN($B657,2)+5)</f>
        <v>Market</v>
      </c>
      <c r="N657" s="476" t="str">
        <f>INDEX(Input!$1:$1048576,N$93,$C657*2+MIN($B657,2)+5)</f>
        <v>Market</v>
      </c>
      <c r="O657" s="476" t="str">
        <f>INDEX(Input!$1:$1048576,O$93,$C657*2+MIN($B657,2)+5)</f>
        <v>Market</v>
      </c>
      <c r="P657" s="476" t="str">
        <f>INDEX(Input!$1:$1048576,P$93,$C657*2+MIN($B657,2)+5)</f>
        <v>N</v>
      </c>
      <c r="Q657" s="477">
        <f>INDEX(Input!$1:$1048576,Q$93,$C657*2+MIN($B657,2)+5)
+INDEX(Scenarios!Q$121:Q$199,MATCH($B657,Scenarios!$B$121:$B$199,0))</f>
        <v>0</v>
      </c>
      <c r="R657" s="478">
        <f>IFERROR(MAX(0,INDEX(Input!$1:$1048576,R$93,$C657*2+MIN($B657,2)+5)
+INDEX(Scenarios!R$121:R$199,MATCH($B657,Scenarios!$B$121:$B$199,0)),),"Market")</f>
        <v>0</v>
      </c>
      <c r="S657" s="478">
        <f>IFERROR(MAX(0,INDEX(Input!$1:$1048576,S$93,$C657*2+MIN($B657,2)+5)
+INDEX(Scenarios!S$121:S$199,MATCH($B657,Scenarios!$B$121:$B$199,0)),),"Market")</f>
        <v>0</v>
      </c>
      <c r="T657" s="478">
        <f>IFERROR(MAX(0,INDEX(Input!$1:$1048576,T$93,$C657*2+MIN($B657,2)+5)
+INDEX(Scenarios!T$121:T$199,MATCH($B657,Scenarios!$B$121:$B$199,0)),),"Market")</f>
        <v>0</v>
      </c>
      <c r="U657" s="478">
        <f>IFERROR(MAX(0,INDEX(Input!$1:$1048576,U$93,$C657*2+MIN($B657,2)+5)
+INDEX(Scenarios!U$121:U$199,MATCH($B657,Scenarios!$B$121:$B$199,0)),),"Market")</f>
        <v>0</v>
      </c>
      <c r="V657" s="478">
        <f>IFERROR(MAX(0,INDEX(Input!$1:$1048576,V$93,$C657*2+MIN($B657,2)+5)
+INDEX(Scenarios!V$121:V$199,MATCH($B657,Scenarios!$B$121:$B$199,0)),),"Market")</f>
        <v>8.9999999999999993E-3</v>
      </c>
      <c r="W657" s="885">
        <f>IFERROR(MAX(0,INDEX(Input!$1:$1048576,W$93,$C657*2+MIN($B657,2)+5)-0%,),"Market")</f>
        <v>3.9E-2</v>
      </c>
      <c r="X657" s="476" t="str">
        <f>INDEX(Input!$1:$1048576,X$93,$C657*2+MIN($B657,2)+5)</f>
        <v>Y</v>
      </c>
      <c r="Y657" s="475">
        <f>INDEX(Input!$1:$1048576,Y$93,$C657*2+MIN($B657,2)+5)
++INDEX(Scenarios!Y$121:Y$199,MATCH($B657,Scenarios!$B$121:$B$199,0))</f>
        <v>1097.993676354025</v>
      </c>
      <c r="Z657" s="477">
        <f>INDEX(Input!$1:$1048576,Z$93,$C657*2+MIN($B657,2)+5)
+INDEX(Scenarios!Z$121:Z$199,MATCH($B657,Scenarios!$B$121:$B$199,0))</f>
        <v>0</v>
      </c>
      <c r="AA657" s="475">
        <f>INDEX(Input!$1:$1048576,AA$93,$C657*2+MIN($B657,2)+5)</f>
        <v>0</v>
      </c>
      <c r="AB657" s="476">
        <f>INDEX(Input!$1:$1048576,AB$93,$C657*2+MIN($B657,2)+5)</f>
        <v>0.27</v>
      </c>
      <c r="AC657" s="475">
        <f>INDEX(Input!$1:$1048576,AC$93,$C657*2+MIN($B657,2)+5)
+INDEX(Scenarios!AC$121:AC$199,MATCH($B657,Scenarios!$B$121:$B$199,0))</f>
        <v>0</v>
      </c>
      <c r="AD657" s="476">
        <f>INDEX(Input!$1:$1048576,AD$93,$C657*2+MIN($B657,2)+5)</f>
        <v>0.27</v>
      </c>
      <c r="AE657" s="475">
        <f>INDEX(Input!$1:$1048576,AE$93,$C657*2+MIN($B657,2)+5)
+INDEX(Scenarios!AE$121:AE$199,MATCH($B657,Scenarios!$B$121:$B$199,0))</f>
        <v>0</v>
      </c>
      <c r="AF657" s="476">
        <f>INDEX(Input!$1:$1048576,AF$93,$C657*2+MIN($B657,2)+5)</f>
        <v>1</v>
      </c>
      <c r="AG657" s="475">
        <f>INDEX(Input!$1:$1048576,AG$93,$C657*2+MIN($B657,2)+5)</f>
        <v>500</v>
      </c>
      <c r="AH657" s="476">
        <f>INDEX(Input!$1:$1048576,AH$93,$C657*2+MIN($B657,2)+5)</f>
        <v>1</v>
      </c>
      <c r="AI657" s="475">
        <f>INDEX(Input!$1:$1048576,AI$93,$C657*2+MIN($B657,2)+5)</f>
        <v>0</v>
      </c>
      <c r="AJ657" s="476">
        <f>INDEX(Input!$1:$1048576,AJ$93,$C657*2+MIN($B657,2)+5)</f>
        <v>0.27</v>
      </c>
      <c r="AK657" s="150">
        <f>ROUND(INDEX(Input!$1:$1048576,AK$93,$C656*2+MIN($B657,1)+5)+(Y657-VLOOKUP($C657*1000+1,$A:$HH,Y$92,FALSE)),0)</f>
        <v>3421</v>
      </c>
      <c r="AL657" s="150">
        <f>ROUND(INDEX(Input!$1:$1048576,AL$93,$C656*2+MIN($B657,1)+5)-(Y657-VLOOKUP($C657*1000+1,$A:$HH,Y$92,FALSE))/36,0)</f>
        <v>3542</v>
      </c>
      <c r="AM657" s="32" t="str">
        <f t="shared" si="1752"/>
        <v>std/std/std/std</v>
      </c>
      <c r="AN657" s="32" t="str">
        <f t="shared" si="1753"/>
        <v>$0 + 0/0/0/0.9/3.9</v>
      </c>
      <c r="AO657" s="32" t="str">
        <f t="shared" si="1754"/>
        <v>0/0/0/0.9/3.9</v>
      </c>
      <c r="AP657" s="32" t="str">
        <f t="shared" si="1716"/>
        <v>0/0/0.9/3.9</v>
      </c>
      <c r="AQ657" s="536">
        <f t="shared" si="1892"/>
        <v>0.3781357229358388</v>
      </c>
      <c r="AR657" s="32"/>
      <c r="AS657" s="302"/>
      <c r="AT657" s="3">
        <f t="shared" si="1788"/>
        <v>57</v>
      </c>
      <c r="AU657" s="41" t="s">
        <v>121</v>
      </c>
      <c r="AV657" s="41" t="s">
        <v>116</v>
      </c>
      <c r="AW657" s="41" t="str">
        <f>INDEX(Input!$1:$1048576,AW$93,$C657*2+6)</f>
        <v>Kia</v>
      </c>
      <c r="AX657" s="41" t="str">
        <f>INDEX(Input!$1:$1048576,AX$93,$C657*2+6)</f>
        <v>National</v>
      </c>
      <c r="AY657" s="41" t="str">
        <f>IF(LEN(D657)=0,"",INDEX(Input!$1:$1048576,AY$93,$C657*2+6))</f>
        <v>Compact SUV (52)</v>
      </c>
      <c r="AZ657" s="41" t="str">
        <f>INDEX(Input!$1:$1048576,AZ$93,$C657*2+6)</f>
        <v>Kia Soul</v>
      </c>
      <c r="BA657" s="3">
        <f>INDEX(Input!$1:$1048576,BA$93,$C657*2+6)</f>
        <v>2020</v>
      </c>
      <c r="BB657" s="128">
        <f>INDEX(Input!$1:$1048576,BB$93,$C657*2+6)</f>
        <v>1</v>
      </c>
      <c r="BC657" s="128">
        <f>INDEX(Input!$1:$1048576,BC$93,$C657*2+6)</f>
        <v>0.7</v>
      </c>
      <c r="BD657" s="1">
        <f>INDEX(Input!$1:$1048576,BD$93,$C657*2+6)</f>
        <v>4.4999999999999998E-2</v>
      </c>
      <c r="BE657" s="1">
        <f>INDEX(Input!$1:$1048576,BE$93,$C657*2+6)</f>
        <v>4.4999999999999998E-2</v>
      </c>
      <c r="BF657" s="1">
        <f>INDEX(Input!$1:$1048576,BF$93,$C657*2+6)</f>
        <v>0.05</v>
      </c>
      <c r="BG657" s="1">
        <f>INDEX(Input!$1:$1048576,BG$93,$C657*2+6)</f>
        <v>5.45E-2</v>
      </c>
      <c r="BH657" s="1">
        <f>INDEX(Input!$1:$1048576,BH$93,$C657*2+6)</f>
        <v>5.45E-2</v>
      </c>
      <c r="BI657" s="1">
        <f>INDEX(Input!$1:$1048576,BI$93,$C657*2+6)</f>
        <v>0.05</v>
      </c>
      <c r="BJ657" s="1">
        <f>INDEX(Input!$1:$1048576,BJ$93,$C657*2+6)</f>
        <v>0.05</v>
      </c>
      <c r="BK657" s="1">
        <f>INDEX(Input!$1:$1048576,BK$93,$C657*2+6)</f>
        <v>0.05</v>
      </c>
      <c r="BL657" s="1">
        <f>INDEX(Input!$1:$1048576,BL$93,$C657*2+6)</f>
        <v>5.5E-2</v>
      </c>
      <c r="BM657" s="1">
        <f>INDEX(Input!$1:$1048576,BM$93,$C657*2+6)</f>
        <v>0.06</v>
      </c>
      <c r="BN657" s="1">
        <f>INDEX(Input!$1:$1048576,BN$93,$C657*2+6)</f>
        <v>4.4999999999999998E-2</v>
      </c>
      <c r="BO657" s="1">
        <f>INDEX(Input!$1:$1048576,BO$93,$C657*2+6)</f>
        <v>4.4999999999999998E-2</v>
      </c>
      <c r="BP657" s="1">
        <f>INDEX(Input!$1:$1048576,BP$93,$C657*2+6)</f>
        <v>0.05</v>
      </c>
      <c r="BQ657" s="1">
        <f>INDEX(Input!$1:$1048576,BQ$93,$C657*2+6)</f>
        <v>5.45E-2</v>
      </c>
      <c r="BR657" s="1">
        <f>INDEX(Input!$1:$1048576,BR$93,$C657*2+6)</f>
        <v>5.45E-2</v>
      </c>
      <c r="BS657" s="1">
        <f>INDEX(Input!$1:$1048576,BS$93,$C657*2+6)</f>
        <v>0.05</v>
      </c>
      <c r="BT657" s="1">
        <f>INDEX(Input!$1:$1048576,BT$93,$C657*2+6)</f>
        <v>0.05</v>
      </c>
      <c r="BU657" s="1">
        <f>INDEX(Input!$1:$1048576,BU$93,$C657*2+6)</f>
        <v>0.05</v>
      </c>
      <c r="BV657" s="1">
        <f>INDEX(Input!$1:$1048576,BV$93,$C657*2+6)</f>
        <v>5.5E-2</v>
      </c>
      <c r="BW657" s="1">
        <f>INDEX(Input!$1:$1048576,BW$93,$C657*2+6)</f>
        <v>0.06</v>
      </c>
      <c r="BX657" s="127">
        <f>INDEX(Input!$1:$1048576,BX$93,$C657*2+6)</f>
        <v>19985</v>
      </c>
      <c r="BY657" s="20">
        <f>INDEX(Input!$1:$1048576,BY$93,$C657*2+6)</f>
        <v>0.1</v>
      </c>
      <c r="BZ657" s="20">
        <f>INDEX(Input!$1:$1048576,BZ$93,$C657*2+6)</f>
        <v>0.1</v>
      </c>
      <c r="CA657" s="20">
        <f>INDEX(Input!$1:$1048576,CA$93,$C657*2+6)</f>
        <v>0.1</v>
      </c>
      <c r="CB657" s="20">
        <f>INDEX(Input!$1:$1048576,CB$93,$C657*2+6)</f>
        <v>0.1</v>
      </c>
      <c r="CC657" s="20">
        <f>INDEX(Input!$1:$1048576,CC$93,$C657*2+6)</f>
        <v>0.1</v>
      </c>
      <c r="CD657" s="384">
        <f>INDEX(Input!$1:$1048576,CD$93,$C657*2+6)</f>
        <v>0.1</v>
      </c>
      <c r="CE657" s="384">
        <f>INDEX(Input!$1:$1048576,CE$93,$C657*2+6)</f>
        <v>0.1</v>
      </c>
      <c r="CF657" s="384">
        <f>INDEX(Input!$1:$1048576,CF$93,$C657*2+6)</f>
        <v>0.1</v>
      </c>
      <c r="CG657" s="384">
        <f>INDEX(Input!$1:$1048576,CG$93,$C657*2+6)</f>
        <v>0.1</v>
      </c>
      <c r="CH657" s="384">
        <f>INDEX(Input!$1:$1048576,CH$93,$C657*2+6)</f>
        <v>0.1</v>
      </c>
      <c r="CI657" s="304">
        <f t="shared" si="1718"/>
        <v>1767.2644913000609</v>
      </c>
      <c r="CJ657" s="16" t="str">
        <f>INDEX(Input!$1:$1048576,CJ$93,$C657*2+6)</f>
        <v>N</v>
      </c>
      <c r="CK657" s="1" t="str">
        <f t="shared" si="1719"/>
        <v>Market</v>
      </c>
      <c r="CL657" s="1" t="str">
        <f t="shared" si="1720"/>
        <v>Market</v>
      </c>
      <c r="CM657" s="1" t="str">
        <f t="shared" si="1721"/>
        <v>Market</v>
      </c>
      <c r="CN657" s="1" t="str">
        <f t="shared" si="1722"/>
        <v>Market</v>
      </c>
      <c r="CO657" s="1" t="str">
        <f t="shared" si="1723"/>
        <v>Market</v>
      </c>
      <c r="CP657" s="304">
        <f t="shared" si="1724"/>
        <v>500</v>
      </c>
      <c r="CQ657" s="1">
        <f t="shared" si="1725"/>
        <v>0</v>
      </c>
      <c r="CR657" s="1">
        <f t="shared" si="1726"/>
        <v>0</v>
      </c>
      <c r="CS657" s="1">
        <f t="shared" si="1727"/>
        <v>0</v>
      </c>
      <c r="CT657" s="1">
        <f t="shared" si="1728"/>
        <v>8.9999999999999993E-3</v>
      </c>
      <c r="CU657" s="1">
        <f t="shared" si="1729"/>
        <v>3.9E-2</v>
      </c>
      <c r="CV657" s="304">
        <f t="shared" si="1730"/>
        <v>1097.993676354025</v>
      </c>
      <c r="CW657" s="20" t="s">
        <v>122</v>
      </c>
      <c r="CX657" s="20" t="s">
        <v>122</v>
      </c>
      <c r="CY657" s="20" t="s">
        <v>122</v>
      </c>
      <c r="CZ657" s="20" t="s">
        <v>122</v>
      </c>
      <c r="DA657" s="20" t="s">
        <v>122</v>
      </c>
      <c r="DB657" s="503">
        <f t="shared" si="1731"/>
        <v>0</v>
      </c>
      <c r="DC657" s="127">
        <v>0</v>
      </c>
      <c r="DD657" s="127">
        <v>0</v>
      </c>
      <c r="DE657" s="127">
        <v>0</v>
      </c>
      <c r="DF657" s="127">
        <v>0</v>
      </c>
      <c r="DG657" s="127">
        <v>0</v>
      </c>
      <c r="DH657" s="127">
        <v>0</v>
      </c>
      <c r="DI657" s="127">
        <v>0</v>
      </c>
      <c r="DJ657" s="127">
        <v>0</v>
      </c>
      <c r="DK657" s="127">
        <v>0</v>
      </c>
      <c r="DL657" s="127">
        <v>0</v>
      </c>
      <c r="DM657" s="304">
        <f>INDEX(Input!$1:$1048576,DM$93,$C657*2+6)</f>
        <v>21036.84210526316</v>
      </c>
      <c r="DN657" s="20">
        <v>0</v>
      </c>
      <c r="DO657" s="20">
        <v>0</v>
      </c>
      <c r="DP657" s="20">
        <v>0</v>
      </c>
      <c r="DQ657" s="20">
        <v>0</v>
      </c>
      <c r="DR657" s="20">
        <v>0</v>
      </c>
      <c r="DS657" s="20">
        <f>INDEX(Input!$1:$1048576,DS$93,$C657*2+6)</f>
        <v>0.6</v>
      </c>
      <c r="DT657" s="20">
        <f>INDEX(Input!$1:$1048576,DT$93,$C657*2+6)</f>
        <v>0.55000000000000004</v>
      </c>
      <c r="DU657" s="20">
        <f>INDEX(Input!$1:$1048576,DU$93,$C657*2+6)</f>
        <v>0.52</v>
      </c>
      <c r="DV657" s="20">
        <f>INDEX(Input!$1:$1048576,DV$93,$C657*2+6)</f>
        <v>0.5</v>
      </c>
      <c r="DW657" s="20">
        <f>INDEX(Input!$1:$1048576,DW$93,$C657*2+6)</f>
        <v>0.45</v>
      </c>
      <c r="DX657" s="20"/>
      <c r="DY657" s="7"/>
      <c r="DZ657" s="7"/>
      <c r="EA657" s="7"/>
      <c r="EB657" s="7"/>
      <c r="EC657" s="7"/>
      <c r="ED657" s="7"/>
      <c r="EE657" s="7"/>
      <c r="EF657" s="7"/>
      <c r="EG657" s="7"/>
      <c r="EH657" s="7"/>
      <c r="EI657" s="7"/>
      <c r="EJ657" s="7"/>
      <c r="EK657" s="7"/>
      <c r="EL657" s="7"/>
      <c r="EM657" s="7"/>
      <c r="EN657" s="7"/>
      <c r="EO657" s="7"/>
      <c r="EP657" s="7"/>
      <c r="EQ657" s="7"/>
      <c r="ER657" s="7"/>
      <c r="ES657" s="7"/>
      <c r="ET657" s="7"/>
      <c r="EU657" s="6"/>
      <c r="EV657" s="6"/>
      <c r="EW657" s="6"/>
      <c r="EX657" s="6"/>
      <c r="EY657" s="6"/>
      <c r="EZ657" s="6"/>
      <c r="FA657" s="6"/>
      <c r="FB657" s="6"/>
      <c r="FC657" s="6"/>
      <c r="FD657" s="6"/>
      <c r="FE657" s="6"/>
      <c r="FF657" s="6"/>
      <c r="FG657" s="6"/>
      <c r="FH657" s="6"/>
      <c r="FI657" s="6"/>
      <c r="FJ657" s="6"/>
      <c r="FK657" s="6"/>
      <c r="FL657" s="6"/>
      <c r="FM657" s="6"/>
      <c r="FN657" s="6"/>
      <c r="FO657" s="6"/>
      <c r="FP657" s="6"/>
      <c r="FQ657" s="6"/>
      <c r="FR657" s="6"/>
      <c r="FS657" s="6"/>
      <c r="FT657" s="7"/>
      <c r="FU657" s="7"/>
      <c r="FV657" s="7"/>
      <c r="FW657" s="6"/>
      <c r="FX657" s="6"/>
      <c r="FY657" s="6"/>
      <c r="FZ657" s="6"/>
      <c r="GA657" s="6"/>
      <c r="GB657" s="6"/>
      <c r="GC657" s="7"/>
      <c r="GD657" s="7"/>
      <c r="GE657" s="7"/>
      <c r="GF657" s="7"/>
      <c r="GG657" s="7"/>
      <c r="GH657" s="42"/>
      <c r="GI657" s="6"/>
      <c r="GJ657" s="14"/>
      <c r="GK657" s="14"/>
      <c r="GL657" s="14"/>
      <c r="GM657" s="14"/>
      <c r="GO657" s="5"/>
      <c r="GP657" s="5"/>
      <c r="GQ657" s="5"/>
      <c r="GR657" s="5"/>
      <c r="GS657" s="5"/>
      <c r="GT657" s="5"/>
      <c r="GU657" s="5"/>
      <c r="GV657" s="39"/>
      <c r="GW657" s="5"/>
      <c r="GX657" s="5"/>
      <c r="GY657" s="5"/>
      <c r="GZ657" s="5"/>
      <c r="HA657" s="5"/>
      <c r="HB657" s="39"/>
      <c r="HC657" s="5"/>
      <c r="HD657" s="5"/>
      <c r="HE657" s="5"/>
      <c r="HF657" s="5"/>
      <c r="HG657" s="5"/>
      <c r="HH657" s="39"/>
      <c r="HI657" s="16"/>
      <c r="HJ657" s="19"/>
      <c r="HK657" s="1"/>
      <c r="HL657" s="16"/>
      <c r="HM657" s="639">
        <f t="shared" si="1755"/>
        <v>2.3149872625708352E-2</v>
      </c>
      <c r="HN657" s="639">
        <f t="shared" si="1756"/>
        <v>1.3965040474190958E-3</v>
      </c>
      <c r="HO657" s="639">
        <f t="shared" si="1757"/>
        <v>3.5429561340050734E-3</v>
      </c>
      <c r="HP657" s="644">
        <f t="shared" ref="HP657:ID657" si="1966">HP157+HP257+HP357+HP457+HP557</f>
        <v>484.41977138035844</v>
      </c>
      <c r="HQ657" s="644">
        <f t="shared" si="1966"/>
        <v>18.463707842451626</v>
      </c>
      <c r="HR657" s="644">
        <f t="shared" si="1966"/>
        <v>15.61398480601348</v>
      </c>
      <c r="HS657" s="644">
        <f t="shared" si="1966"/>
        <v>-236.91923416456274</v>
      </c>
      <c r="HT657" s="644">
        <f t="shared" si="1966"/>
        <v>190.14920622244969</v>
      </c>
      <c r="HU657" s="644">
        <f t="shared" si="1966"/>
        <v>70.150116268581982</v>
      </c>
      <c r="HV657" s="644">
        <f t="shared" si="1966"/>
        <v>0</v>
      </c>
      <c r="HW657" s="644">
        <f t="shared" si="1966"/>
        <v>0</v>
      </c>
      <c r="HX657" s="644">
        <f t="shared" si="1966"/>
        <v>0</v>
      </c>
      <c r="HY657" s="644">
        <f t="shared" si="1966"/>
        <v>2396</v>
      </c>
      <c r="HZ657" s="644">
        <f t="shared" si="1966"/>
        <v>3223</v>
      </c>
      <c r="IA657" s="644">
        <f t="shared" si="1966"/>
        <v>830</v>
      </c>
      <c r="IB657" s="644">
        <f t="shared" si="1966"/>
        <v>2643.5005372157957</v>
      </c>
      <c r="IC657" s="644">
        <f t="shared" si="1966"/>
        <v>3431.6129140649014</v>
      </c>
      <c r="ID657" s="644">
        <f t="shared" si="1966"/>
        <v>915.76410107459549</v>
      </c>
      <c r="IE657" s="20">
        <f t="shared" si="1759"/>
        <v>0.3781357229358388</v>
      </c>
      <c r="IF657" s="20">
        <f t="shared" si="1760"/>
        <v>0.49087012157847892</v>
      </c>
      <c r="IG657" s="20">
        <f t="shared" si="1761"/>
        <v>0.13099415548568233</v>
      </c>
      <c r="IH657" s="21"/>
      <c r="II657" s="19"/>
      <c r="IJ657" s="19"/>
      <c r="IK657" s="19"/>
      <c r="IL657" s="19">
        <f t="shared" si="1762"/>
        <v>673.36165714192566</v>
      </c>
      <c r="IM657" s="19">
        <f t="shared" si="1763"/>
        <v>498.20389720857793</v>
      </c>
      <c r="IN657" s="19">
        <f t="shared" si="1764"/>
        <v>473.15119789567962</v>
      </c>
      <c r="IO657" s="39"/>
      <c r="IP657" s="39"/>
      <c r="IQ657" s="39"/>
      <c r="IR657" s="39"/>
      <c r="IS657" s="39"/>
      <c r="IT657" s="39"/>
      <c r="IU657" s="39"/>
      <c r="IV657" s="39"/>
      <c r="IW657" s="39"/>
      <c r="IX657" s="19">
        <f t="shared" si="1765"/>
        <v>1554.1790484140233</v>
      </c>
      <c r="IY657" s="19">
        <f t="shared" si="1766"/>
        <v>2412.3001201524512</v>
      </c>
      <c r="IZ657" s="19">
        <f t="shared" si="1767"/>
        <v>3993.0862952928574</v>
      </c>
      <c r="JA657" s="19">
        <f t="shared" ref="JA657:JC657" si="1967">IFERROR((JA157*IB157+JA257*IB257+JA357*IB357+JA457*IB457+JA557*IB557)/IB657,0)</f>
        <v>2227.540705555949</v>
      </c>
      <c r="JB657" s="19">
        <f t="shared" si="1967"/>
        <v>2910.5040173610291</v>
      </c>
      <c r="JC657" s="19">
        <f t="shared" si="1967"/>
        <v>4466.237493188537</v>
      </c>
      <c r="JD657" s="19">
        <f t="shared" si="1769"/>
        <v>2856.0431845397902</v>
      </c>
      <c r="JE657" s="21"/>
      <c r="JF657" s="1">
        <f t="shared" si="1770"/>
        <v>2.6651855648468406E-2</v>
      </c>
      <c r="JG657" s="15">
        <f t="shared" si="1771"/>
        <v>6449</v>
      </c>
      <c r="JH657" s="1">
        <f t="shared" si="1772"/>
        <v>8.0399668790327727E-2</v>
      </c>
      <c r="JI657" s="1">
        <f t="shared" si="1773"/>
        <v>3.6253819703006567E-3</v>
      </c>
      <c r="JJ657" s="1">
        <f t="shared" si="1774"/>
        <v>0</v>
      </c>
      <c r="JK657" s="1">
        <f t="shared" si="1775"/>
        <v>8.402505076062837E-2</v>
      </c>
      <c r="JL657" s="15">
        <f t="shared" ref="JL657:JM657" si="1968">JL157+JL257+JL357+JL457+JL557</f>
        <v>541.87755235529232</v>
      </c>
      <c r="JM657" s="15">
        <f t="shared" si="1968"/>
        <v>6990.8775523552922</v>
      </c>
      <c r="JN657" s="21"/>
      <c r="JO657" s="19">
        <f>INDEX(Input!$1:$1048576,JO$93,$C657*2+6)</f>
        <v>5995.5</v>
      </c>
      <c r="JP657" s="19">
        <f>INDEX(Input!$1:$1048576,JP$93,$C657*2+6)</f>
        <v>2296.6050414551746</v>
      </c>
      <c r="JQ657" s="39">
        <f t="shared" si="1799"/>
        <v>3139.4568154602098</v>
      </c>
      <c r="JR657" s="39">
        <f t="shared" si="1800"/>
        <v>559.4381430846156</v>
      </c>
      <c r="JS657" s="39">
        <f t="shared" si="1801"/>
        <v>19.966248187356541</v>
      </c>
      <c r="JT657" s="39">
        <f t="shared" si="1802"/>
        <v>5.1554422750121223</v>
      </c>
      <c r="JU657" s="385">
        <f>(JQ657*JM657-INDEX(Input!$1:$1048576,Input!A$18,$C657*2+6)*JL657*INDEX(Input!$1:$1048576,Input!A$19,$C657*2+6))/1000000</f>
        <v>21.94755817778961</v>
      </c>
      <c r="JV657" s="39">
        <f t="shared" si="1803"/>
        <v>-1.9066154098659673</v>
      </c>
      <c r="JW657" s="1">
        <f t="shared" si="1804"/>
        <v>-7.9927959057555939E-2</v>
      </c>
      <c r="JX657" s="19">
        <f t="shared" si="1805"/>
        <v>9514.0355096899439</v>
      </c>
      <c r="JZ657" s="341"/>
      <c r="KA657" s="60"/>
      <c r="KB657" s="469">
        <f t="shared" si="1778"/>
        <v>0</v>
      </c>
      <c r="KI657" s="472"/>
      <c r="KJ657" s="472"/>
      <c r="KK657" s="472"/>
      <c r="KN657" s="793">
        <f t="shared" si="1779"/>
        <v>6002</v>
      </c>
      <c r="KO657" s="541">
        <f t="shared" si="1780"/>
        <v>5.9177569201916302E-2</v>
      </c>
      <c r="KP657" s="546">
        <f t="shared" si="1781"/>
        <v>397.2123695714713</v>
      </c>
      <c r="KQ657" s="546">
        <f t="shared" si="1782"/>
        <v>393.20992793464529</v>
      </c>
      <c r="KR657" s="472">
        <f t="shared" si="1783"/>
        <v>2.6104907965062507</v>
      </c>
      <c r="KS657" s="472">
        <f t="shared" si="1784"/>
        <v>2.6370627020310375</v>
      </c>
      <c r="KT657" s="473">
        <f t="shared" si="1795"/>
        <v>4286.2445668946921</v>
      </c>
      <c r="KU657" s="663">
        <f t="shared" si="1785"/>
        <v>4.4154643419247828</v>
      </c>
      <c r="KV657" s="117"/>
    </row>
    <row r="658" spans="1:308" s="26" customFormat="1" ht="15" outlineLevel="1">
      <c r="A658" s="561">
        <f t="shared" si="1751"/>
        <v>6058</v>
      </c>
      <c r="B658" s="561">
        <f t="shared" si="1786"/>
        <v>58</v>
      </c>
      <c r="C658" s="561">
        <f t="shared" si="1787"/>
        <v>6</v>
      </c>
      <c r="D658" s="561" t="str">
        <f t="shared" si="1953"/>
        <v xml:space="preserve">1000 CC, 0/0/0.9/3.9, 360 Lease, </v>
      </c>
      <c r="E658" s="475">
        <f>INDEX(Input!$1:$1048576,E$93,$C658*2+MIN($B658,2)+5)
+INDEX(Scenarios!E$121:E$199,MATCH($B658,Scenarios!$B$121:$B$199,0))</f>
        <v>2267.2644913000609</v>
      </c>
      <c r="F658" s="475">
        <f>INDEX(Input!$1:$1048576,F$93,$C658*2+MIN($B658,2)+5)
+INDEX(Scenarios!F$121:F$199,MATCH($B658,Scenarios!$B$121:$B$199,0))</f>
        <v>0</v>
      </c>
      <c r="G658" s="475">
        <f>INDEX(Input!$1:$1048576,G$93,$C658*2+MIN($B658,2)+5)
+INDEX(Scenarios!G$121:G$199,MATCH($B658,Scenarios!$B$121:$B$199,0))</f>
        <v>0</v>
      </c>
      <c r="H658" s="475">
        <f>INDEX(Input!$1:$1048576,H$93,$C658*2+MIN($B658,2)+5)
+INDEX(Scenarios!H$121:H$199,MATCH($B658,Scenarios!$B$121:$B$199,0))</f>
        <v>0</v>
      </c>
      <c r="I658" s="476">
        <f>INDEX(Input!$1:$1048576,I$93,$C658*2+MIN($B658,2)+5)
+INDEX(Scenarios!I$121:I$199,MATCH($B658,Scenarios!$B$121:$B$199,0))</f>
        <v>0.7</v>
      </c>
      <c r="J658" s="476" t="str">
        <f>INDEX(Input!$1:$1048576,J$93,$C658*2+MIN($B658,2)+5)</f>
        <v>Market</v>
      </c>
      <c r="K658" s="476" t="str">
        <f>INDEX(Input!$1:$1048576,K$93,$C658*2+MIN($B658,2)+5)</f>
        <v>Market</v>
      </c>
      <c r="L658" s="476" t="str">
        <f>INDEX(Input!$1:$1048576,L$93,$C658*2+MIN($B658,2)+5)</f>
        <v>Market</v>
      </c>
      <c r="M658" s="476" t="str">
        <f>INDEX(Input!$1:$1048576,M$93,$C658*2+MIN($B658,2)+5)</f>
        <v>Market</v>
      </c>
      <c r="N658" s="476" t="str">
        <f>INDEX(Input!$1:$1048576,N$93,$C658*2+MIN($B658,2)+5)</f>
        <v>Market</v>
      </c>
      <c r="O658" s="476" t="str">
        <f>INDEX(Input!$1:$1048576,O$93,$C658*2+MIN($B658,2)+5)</f>
        <v>Market</v>
      </c>
      <c r="P658" s="476" t="str">
        <f>INDEX(Input!$1:$1048576,P$93,$C658*2+MIN($B658,2)+5)</f>
        <v>N</v>
      </c>
      <c r="Q658" s="477">
        <f>INDEX(Input!$1:$1048576,Q$93,$C658*2+MIN($B658,2)+5)
+INDEX(Scenarios!Q$121:Q$199,MATCH($B658,Scenarios!$B$121:$B$199,0))</f>
        <v>0</v>
      </c>
      <c r="R658" s="478">
        <f>IFERROR(MAX(0,INDEX(Input!$1:$1048576,R$93,$C658*2+MIN($B658,2)+5)
+INDEX(Scenarios!R$121:R$199,MATCH($B658,Scenarios!$B$121:$B$199,0)),),"Market")</f>
        <v>0</v>
      </c>
      <c r="S658" s="478">
        <f>IFERROR(MAX(0,INDEX(Input!$1:$1048576,S$93,$C658*2+MIN($B658,2)+5)
+INDEX(Scenarios!S$121:S$199,MATCH($B658,Scenarios!$B$121:$B$199,0)),),"Market")</f>
        <v>0</v>
      </c>
      <c r="T658" s="478">
        <f>IFERROR(MAX(0,INDEX(Input!$1:$1048576,T$93,$C658*2+MIN($B658,2)+5)
+INDEX(Scenarios!T$121:T$199,MATCH($B658,Scenarios!$B$121:$B$199,0)),),"Market")</f>
        <v>0</v>
      </c>
      <c r="U658" s="478">
        <f>IFERROR(MAX(0,INDEX(Input!$1:$1048576,U$93,$C658*2+MIN($B658,2)+5)
+INDEX(Scenarios!U$121:U$199,MATCH($B658,Scenarios!$B$121:$B$199,0)),),"Market")</f>
        <v>0</v>
      </c>
      <c r="V658" s="478">
        <f>IFERROR(MAX(0,INDEX(Input!$1:$1048576,V$93,$C658*2+MIN($B658,2)+5)
+INDEX(Scenarios!V$121:V$199,MATCH($B658,Scenarios!$B$121:$B$199,0)),),"Market")</f>
        <v>8.9999999999999993E-3</v>
      </c>
      <c r="W658" s="885">
        <f>IFERROR(MAX(0,INDEX(Input!$1:$1048576,W$93,$C658*2+MIN($B658,2)+5)-0%,),"Market")</f>
        <v>3.9E-2</v>
      </c>
      <c r="X658" s="476" t="str">
        <f>INDEX(Input!$1:$1048576,X$93,$C658*2+MIN($B658,2)+5)</f>
        <v>Y</v>
      </c>
      <c r="Y658" s="475">
        <f>INDEX(Input!$1:$1048576,Y$93,$C658*2+MIN($B658,2)+5)
++INDEX(Scenarios!Y$121:Y$199,MATCH($B658,Scenarios!$B$121:$B$199,0))</f>
        <v>1097.993676354025</v>
      </c>
      <c r="Z658" s="477">
        <f>INDEX(Input!$1:$1048576,Z$93,$C658*2+MIN($B658,2)+5)
+INDEX(Scenarios!Z$121:Z$199,MATCH($B658,Scenarios!$B$121:$B$199,0))</f>
        <v>0</v>
      </c>
      <c r="AA658" s="475">
        <f>INDEX(Input!$1:$1048576,AA$93,$C658*2+MIN($B658,2)+5)</f>
        <v>0</v>
      </c>
      <c r="AB658" s="476">
        <f>INDEX(Input!$1:$1048576,AB$93,$C658*2+MIN($B658,2)+5)</f>
        <v>0.27</v>
      </c>
      <c r="AC658" s="475">
        <f>INDEX(Input!$1:$1048576,AC$93,$C658*2+MIN($B658,2)+5)
+INDEX(Scenarios!AC$121:AC$199,MATCH($B658,Scenarios!$B$121:$B$199,0))</f>
        <v>0</v>
      </c>
      <c r="AD658" s="476">
        <f>INDEX(Input!$1:$1048576,AD$93,$C658*2+MIN($B658,2)+5)</f>
        <v>0.27</v>
      </c>
      <c r="AE658" s="475">
        <f>INDEX(Input!$1:$1048576,AE$93,$C658*2+MIN($B658,2)+5)
+INDEX(Scenarios!AE$121:AE$199,MATCH($B658,Scenarios!$B$121:$B$199,0))</f>
        <v>0</v>
      </c>
      <c r="AF658" s="476">
        <f>INDEX(Input!$1:$1048576,AF$93,$C658*2+MIN($B658,2)+5)</f>
        <v>1</v>
      </c>
      <c r="AG658" s="475">
        <f>INDEX(Input!$1:$1048576,AG$93,$C658*2+MIN($B658,2)+5)</f>
        <v>500</v>
      </c>
      <c r="AH658" s="476">
        <f>INDEX(Input!$1:$1048576,AH$93,$C658*2+MIN($B658,2)+5)</f>
        <v>1</v>
      </c>
      <c r="AI658" s="475">
        <f>INDEX(Input!$1:$1048576,AI$93,$C658*2+MIN($B658,2)+5)</f>
        <v>0</v>
      </c>
      <c r="AJ658" s="476">
        <f>INDEX(Input!$1:$1048576,AJ$93,$C658*2+MIN($B658,2)+5)</f>
        <v>0.27</v>
      </c>
      <c r="AK658" s="150">
        <f>ROUND(INDEX(Input!$1:$1048576,AK$93,$C657*2+MIN($B658,1)+5)+(Y658-VLOOKUP($C658*1000+1,$A:$HH,Y$92,FALSE)),0)</f>
        <v>3421</v>
      </c>
      <c r="AL658" s="150">
        <f>ROUND(INDEX(Input!$1:$1048576,AL$93,$C657*2+MIN($B658,1)+5)-(Y658-VLOOKUP($C658*1000+1,$A:$HH,Y$92,FALSE))/36,0)</f>
        <v>3542</v>
      </c>
      <c r="AM658" s="32" t="str">
        <f t="shared" si="1752"/>
        <v>std/std/std/std</v>
      </c>
      <c r="AN658" s="32" t="str">
        <f t="shared" si="1753"/>
        <v>$0 + 0/0/0/0.9/3.9</v>
      </c>
      <c r="AO658" s="32" t="str">
        <f t="shared" si="1754"/>
        <v>0/0/0/0.9/3.9</v>
      </c>
      <c r="AP658" s="32" t="str">
        <f t="shared" si="1716"/>
        <v>0/0/0.9/3.9</v>
      </c>
      <c r="AQ658" s="536">
        <f t="shared" si="1892"/>
        <v>0.42056109572448941</v>
      </c>
      <c r="AR658" s="32"/>
      <c r="AS658" s="302"/>
      <c r="AT658" s="3">
        <f t="shared" si="1788"/>
        <v>58</v>
      </c>
      <c r="AU658" s="41" t="s">
        <v>121</v>
      </c>
      <c r="AV658" s="41" t="s">
        <v>116</v>
      </c>
      <c r="AW658" s="41" t="str">
        <f>INDEX(Input!$1:$1048576,AW$93,$C658*2+6)</f>
        <v>Kia</v>
      </c>
      <c r="AX658" s="41" t="str">
        <f>INDEX(Input!$1:$1048576,AX$93,$C658*2+6)</f>
        <v>National</v>
      </c>
      <c r="AY658" s="41" t="str">
        <f>IF(LEN(D658)=0,"",INDEX(Input!$1:$1048576,AY$93,$C658*2+6))</f>
        <v>Compact SUV (52)</v>
      </c>
      <c r="AZ658" s="41" t="str">
        <f>INDEX(Input!$1:$1048576,AZ$93,$C658*2+6)</f>
        <v>Kia Soul</v>
      </c>
      <c r="BA658" s="3">
        <f>INDEX(Input!$1:$1048576,BA$93,$C658*2+6)</f>
        <v>2020</v>
      </c>
      <c r="BB658" s="128">
        <f>INDEX(Input!$1:$1048576,BB$93,$C658*2+6)</f>
        <v>1</v>
      </c>
      <c r="BC658" s="128">
        <f>INDEX(Input!$1:$1048576,BC$93,$C658*2+6)</f>
        <v>0.7</v>
      </c>
      <c r="BD658" s="1">
        <f>INDEX(Input!$1:$1048576,BD$93,$C658*2+6)</f>
        <v>4.4999999999999998E-2</v>
      </c>
      <c r="BE658" s="1">
        <f>INDEX(Input!$1:$1048576,BE$93,$C658*2+6)</f>
        <v>4.4999999999999998E-2</v>
      </c>
      <c r="BF658" s="1">
        <f>INDEX(Input!$1:$1048576,BF$93,$C658*2+6)</f>
        <v>0.05</v>
      </c>
      <c r="BG658" s="1">
        <f>INDEX(Input!$1:$1048576,BG$93,$C658*2+6)</f>
        <v>5.45E-2</v>
      </c>
      <c r="BH658" s="1">
        <f>INDEX(Input!$1:$1048576,BH$93,$C658*2+6)</f>
        <v>5.45E-2</v>
      </c>
      <c r="BI658" s="1">
        <f>INDEX(Input!$1:$1048576,BI$93,$C658*2+6)</f>
        <v>0.05</v>
      </c>
      <c r="BJ658" s="1">
        <f>INDEX(Input!$1:$1048576,BJ$93,$C658*2+6)</f>
        <v>0.05</v>
      </c>
      <c r="BK658" s="1">
        <f>INDEX(Input!$1:$1048576,BK$93,$C658*2+6)</f>
        <v>0.05</v>
      </c>
      <c r="BL658" s="1">
        <f>INDEX(Input!$1:$1048576,BL$93,$C658*2+6)</f>
        <v>5.5E-2</v>
      </c>
      <c r="BM658" s="1">
        <f>INDEX(Input!$1:$1048576,BM$93,$C658*2+6)</f>
        <v>0.06</v>
      </c>
      <c r="BN658" s="1">
        <f>INDEX(Input!$1:$1048576,BN$93,$C658*2+6)</f>
        <v>4.4999999999999998E-2</v>
      </c>
      <c r="BO658" s="1">
        <f>INDEX(Input!$1:$1048576,BO$93,$C658*2+6)</f>
        <v>4.4999999999999998E-2</v>
      </c>
      <c r="BP658" s="1">
        <f>INDEX(Input!$1:$1048576,BP$93,$C658*2+6)</f>
        <v>0.05</v>
      </c>
      <c r="BQ658" s="1">
        <f>INDEX(Input!$1:$1048576,BQ$93,$C658*2+6)</f>
        <v>5.45E-2</v>
      </c>
      <c r="BR658" s="1">
        <f>INDEX(Input!$1:$1048576,BR$93,$C658*2+6)</f>
        <v>5.45E-2</v>
      </c>
      <c r="BS658" s="1">
        <f>INDEX(Input!$1:$1048576,BS$93,$C658*2+6)</f>
        <v>0.05</v>
      </c>
      <c r="BT658" s="1">
        <f>INDEX(Input!$1:$1048576,BT$93,$C658*2+6)</f>
        <v>0.05</v>
      </c>
      <c r="BU658" s="1">
        <f>INDEX(Input!$1:$1048576,BU$93,$C658*2+6)</f>
        <v>0.05</v>
      </c>
      <c r="BV658" s="1">
        <f>INDEX(Input!$1:$1048576,BV$93,$C658*2+6)</f>
        <v>5.5E-2</v>
      </c>
      <c r="BW658" s="1">
        <f>INDEX(Input!$1:$1048576,BW$93,$C658*2+6)</f>
        <v>0.06</v>
      </c>
      <c r="BX658" s="127">
        <f>INDEX(Input!$1:$1048576,BX$93,$C658*2+6)</f>
        <v>19985</v>
      </c>
      <c r="BY658" s="20">
        <f>INDEX(Input!$1:$1048576,BY$93,$C658*2+6)</f>
        <v>0.1</v>
      </c>
      <c r="BZ658" s="20">
        <f>INDEX(Input!$1:$1048576,BZ$93,$C658*2+6)</f>
        <v>0.1</v>
      </c>
      <c r="CA658" s="20">
        <f>INDEX(Input!$1:$1048576,CA$93,$C658*2+6)</f>
        <v>0.1</v>
      </c>
      <c r="CB658" s="20">
        <f>INDEX(Input!$1:$1048576,CB$93,$C658*2+6)</f>
        <v>0.1</v>
      </c>
      <c r="CC658" s="20">
        <f>INDEX(Input!$1:$1048576,CC$93,$C658*2+6)</f>
        <v>0.1</v>
      </c>
      <c r="CD658" s="384">
        <f>INDEX(Input!$1:$1048576,CD$93,$C658*2+6)</f>
        <v>0.1</v>
      </c>
      <c r="CE658" s="384">
        <f>INDEX(Input!$1:$1048576,CE$93,$C658*2+6)</f>
        <v>0.1</v>
      </c>
      <c r="CF658" s="384">
        <f>INDEX(Input!$1:$1048576,CF$93,$C658*2+6)</f>
        <v>0.1</v>
      </c>
      <c r="CG658" s="384">
        <f>INDEX(Input!$1:$1048576,CG$93,$C658*2+6)</f>
        <v>0.1</v>
      </c>
      <c r="CH658" s="384">
        <f>INDEX(Input!$1:$1048576,CH$93,$C658*2+6)</f>
        <v>0.1</v>
      </c>
      <c r="CI658" s="304">
        <f t="shared" si="1718"/>
        <v>2267.2644913000609</v>
      </c>
      <c r="CJ658" s="16" t="str">
        <f>INDEX(Input!$1:$1048576,CJ$93,$C658*2+6)</f>
        <v>N</v>
      </c>
      <c r="CK658" s="1" t="str">
        <f t="shared" si="1719"/>
        <v>Market</v>
      </c>
      <c r="CL658" s="1" t="str">
        <f t="shared" si="1720"/>
        <v>Market</v>
      </c>
      <c r="CM658" s="1" t="str">
        <f t="shared" si="1721"/>
        <v>Market</v>
      </c>
      <c r="CN658" s="1" t="str">
        <f t="shared" si="1722"/>
        <v>Market</v>
      </c>
      <c r="CO658" s="1" t="str">
        <f t="shared" si="1723"/>
        <v>Market</v>
      </c>
      <c r="CP658" s="304">
        <f t="shared" si="1724"/>
        <v>500</v>
      </c>
      <c r="CQ658" s="1">
        <f t="shared" si="1725"/>
        <v>0</v>
      </c>
      <c r="CR658" s="1">
        <f t="shared" si="1726"/>
        <v>0</v>
      </c>
      <c r="CS658" s="1">
        <f t="shared" si="1727"/>
        <v>0</v>
      </c>
      <c r="CT658" s="1">
        <f t="shared" si="1728"/>
        <v>8.9999999999999993E-3</v>
      </c>
      <c r="CU658" s="1">
        <f t="shared" si="1729"/>
        <v>3.9E-2</v>
      </c>
      <c r="CV658" s="304">
        <f t="shared" si="1730"/>
        <v>1097.993676354025</v>
      </c>
      <c r="CW658" s="20" t="s">
        <v>122</v>
      </c>
      <c r="CX658" s="20" t="s">
        <v>122</v>
      </c>
      <c r="CY658" s="20" t="s">
        <v>122</v>
      </c>
      <c r="CZ658" s="20" t="s">
        <v>122</v>
      </c>
      <c r="DA658" s="20" t="s">
        <v>122</v>
      </c>
      <c r="DB658" s="503">
        <f t="shared" si="1731"/>
        <v>0</v>
      </c>
      <c r="DC658" s="127">
        <v>0</v>
      </c>
      <c r="DD658" s="127">
        <v>0</v>
      </c>
      <c r="DE658" s="127">
        <v>0</v>
      </c>
      <c r="DF658" s="127">
        <v>0</v>
      </c>
      <c r="DG658" s="127">
        <v>0</v>
      </c>
      <c r="DH658" s="127">
        <v>0</v>
      </c>
      <c r="DI658" s="127">
        <v>0</v>
      </c>
      <c r="DJ658" s="127">
        <v>0</v>
      </c>
      <c r="DK658" s="127">
        <v>0</v>
      </c>
      <c r="DL658" s="127">
        <v>0</v>
      </c>
      <c r="DM658" s="304">
        <f>INDEX(Input!$1:$1048576,DM$93,$C658*2+6)</f>
        <v>21036.84210526316</v>
      </c>
      <c r="DN658" s="20">
        <v>0</v>
      </c>
      <c r="DO658" s="20">
        <v>0</v>
      </c>
      <c r="DP658" s="20">
        <v>0</v>
      </c>
      <c r="DQ658" s="20">
        <v>0</v>
      </c>
      <c r="DR658" s="20">
        <v>0</v>
      </c>
      <c r="DS658" s="20">
        <f>INDEX(Input!$1:$1048576,DS$93,$C658*2+6)</f>
        <v>0.6</v>
      </c>
      <c r="DT658" s="20">
        <f>INDEX(Input!$1:$1048576,DT$93,$C658*2+6)</f>
        <v>0.55000000000000004</v>
      </c>
      <c r="DU658" s="20">
        <f>INDEX(Input!$1:$1048576,DU$93,$C658*2+6)</f>
        <v>0.52</v>
      </c>
      <c r="DV658" s="20">
        <f>INDEX(Input!$1:$1048576,DV$93,$C658*2+6)</f>
        <v>0.5</v>
      </c>
      <c r="DW658" s="20">
        <f>INDEX(Input!$1:$1048576,DW$93,$C658*2+6)</f>
        <v>0.45</v>
      </c>
      <c r="DX658" s="20"/>
      <c r="DY658" s="7"/>
      <c r="DZ658" s="7"/>
      <c r="EA658" s="7"/>
      <c r="EB658" s="7"/>
      <c r="EC658" s="7"/>
      <c r="ED658" s="7"/>
      <c r="EE658" s="7"/>
      <c r="EF658" s="7"/>
      <c r="EG658" s="7"/>
      <c r="EH658" s="7"/>
      <c r="EI658" s="7"/>
      <c r="EJ658" s="7"/>
      <c r="EK658" s="7"/>
      <c r="EL658" s="7"/>
      <c r="EM658" s="7"/>
      <c r="EN658" s="7"/>
      <c r="EO658" s="7"/>
      <c r="EP658" s="7"/>
      <c r="EQ658" s="7"/>
      <c r="ER658" s="7"/>
      <c r="ES658" s="7"/>
      <c r="ET658" s="7"/>
      <c r="EU658" s="6"/>
      <c r="EV658" s="6"/>
      <c r="EW658" s="6"/>
      <c r="EX658" s="6"/>
      <c r="EY658" s="6"/>
      <c r="EZ658" s="6"/>
      <c r="FA658" s="6"/>
      <c r="FB658" s="6"/>
      <c r="FC658" s="6"/>
      <c r="FD658" s="6"/>
      <c r="FE658" s="6"/>
      <c r="FF658" s="6"/>
      <c r="FG658" s="6"/>
      <c r="FH658" s="6"/>
      <c r="FI658" s="6"/>
      <c r="FJ658" s="6"/>
      <c r="FK658" s="6"/>
      <c r="FL658" s="6"/>
      <c r="FM658" s="6"/>
      <c r="FN658" s="6"/>
      <c r="FO658" s="6"/>
      <c r="FP658" s="6"/>
      <c r="FQ658" s="6"/>
      <c r="FR658" s="6"/>
      <c r="FS658" s="6"/>
      <c r="FT658" s="7"/>
      <c r="FU658" s="7"/>
      <c r="FV658" s="7"/>
      <c r="FW658" s="6"/>
      <c r="FX658" s="6"/>
      <c r="FY658" s="6"/>
      <c r="FZ658" s="6"/>
      <c r="GA658" s="6"/>
      <c r="GB658" s="6"/>
      <c r="GC658" s="7"/>
      <c r="GD658" s="7"/>
      <c r="GE658" s="7"/>
      <c r="GF658" s="7"/>
      <c r="GG658" s="7"/>
      <c r="GH658" s="42"/>
      <c r="GI658" s="6"/>
      <c r="GJ658" s="14"/>
      <c r="GK658" s="14"/>
      <c r="GL658" s="14"/>
      <c r="GM658" s="14"/>
      <c r="GO658" s="5"/>
      <c r="GP658" s="5"/>
      <c r="GQ658" s="5"/>
      <c r="GR658" s="5"/>
      <c r="GS658" s="5"/>
      <c r="GT658" s="5"/>
      <c r="GU658" s="5"/>
      <c r="GV658" s="39"/>
      <c r="GW658" s="5"/>
      <c r="GX658" s="5"/>
      <c r="GY658" s="5"/>
      <c r="GZ658" s="5"/>
      <c r="HA658" s="5"/>
      <c r="HB658" s="39"/>
      <c r="HC658" s="5"/>
      <c r="HD658" s="5"/>
      <c r="HE658" s="5"/>
      <c r="HF658" s="5"/>
      <c r="HG658" s="5"/>
      <c r="HH658" s="39"/>
      <c r="HI658" s="16"/>
      <c r="HJ658" s="19"/>
      <c r="HK658" s="1"/>
      <c r="HL658" s="16"/>
      <c r="HM658" s="639">
        <f t="shared" si="1755"/>
        <v>2.3149872625708352E-2</v>
      </c>
      <c r="HN658" s="639">
        <f t="shared" si="1756"/>
        <v>1.3965040474190958E-3</v>
      </c>
      <c r="HO658" s="639">
        <f t="shared" si="1757"/>
        <v>3.5429561340050734E-3</v>
      </c>
      <c r="HP658" s="644">
        <f t="shared" ref="HP658:ID658" si="1969">HP158+HP258+HP358+HP458+HP558</f>
        <v>1034.0884845571243</v>
      </c>
      <c r="HQ658" s="644">
        <f t="shared" si="1969"/>
        <v>-39.370206215809773</v>
      </c>
      <c r="HR658" s="644">
        <f t="shared" si="1969"/>
        <v>-116.4711034326685</v>
      </c>
      <c r="HS658" s="644">
        <f t="shared" si="1969"/>
        <v>-412.57047071573601</v>
      </c>
      <c r="HT658" s="644">
        <f t="shared" si="1969"/>
        <v>164.48786024700681</v>
      </c>
      <c r="HU658" s="644">
        <f t="shared" si="1969"/>
        <v>95.816774818747646</v>
      </c>
      <c r="HV658" s="644">
        <f t="shared" si="1969"/>
        <v>0</v>
      </c>
      <c r="HW658" s="644">
        <f t="shared" si="1969"/>
        <v>0</v>
      </c>
      <c r="HX658" s="644">
        <f t="shared" si="1969"/>
        <v>0</v>
      </c>
      <c r="HY658" s="644">
        <f t="shared" si="1969"/>
        <v>2396</v>
      </c>
      <c r="HZ658" s="644">
        <f t="shared" si="1969"/>
        <v>3223</v>
      </c>
      <c r="IA658" s="644">
        <f t="shared" si="1969"/>
        <v>830</v>
      </c>
      <c r="IB658" s="644">
        <f t="shared" si="1969"/>
        <v>3017.518013841388</v>
      </c>
      <c r="IC658" s="644">
        <f t="shared" si="1969"/>
        <v>3348.1176540311972</v>
      </c>
      <c r="ID658" s="644">
        <f t="shared" si="1969"/>
        <v>809.34567138607918</v>
      </c>
      <c r="IE658" s="20">
        <f t="shared" si="1759"/>
        <v>0.42056109572448941</v>
      </c>
      <c r="IF658" s="20">
        <f t="shared" si="1760"/>
        <v>0.46663782046534669</v>
      </c>
      <c r="IG658" s="20">
        <f t="shared" si="1761"/>
        <v>0.11280108381016399</v>
      </c>
      <c r="IH658" s="21"/>
      <c r="II658" s="19"/>
      <c r="IJ658" s="19"/>
      <c r="IK658" s="19"/>
      <c r="IL658" s="19">
        <f t="shared" si="1762"/>
        <v>1165.8978252385186</v>
      </c>
      <c r="IM658" s="19">
        <f t="shared" si="1763"/>
        <v>500.28833766527123</v>
      </c>
      <c r="IN658" s="19">
        <f t="shared" si="1764"/>
        <v>476.02472693957134</v>
      </c>
      <c r="IO658" s="39"/>
      <c r="IP658" s="39"/>
      <c r="IQ658" s="39"/>
      <c r="IR658" s="39"/>
      <c r="IS658" s="39"/>
      <c r="IT658" s="39"/>
      <c r="IU658" s="39"/>
      <c r="IV658" s="39"/>
      <c r="IW658" s="39"/>
      <c r="IX658" s="19">
        <f t="shared" si="1765"/>
        <v>1554.1790484140233</v>
      </c>
      <c r="IY658" s="19">
        <f t="shared" si="1766"/>
        <v>2412.3001201524512</v>
      </c>
      <c r="IZ658" s="19">
        <f t="shared" si="1767"/>
        <v>3993.0862952928574</v>
      </c>
      <c r="JA658" s="19">
        <f t="shared" ref="JA658:JC658" si="1970">IFERROR((JA158*IB158+JA258*IB258+JA358*IB358+JA458*IB458+JA558*IB558)/IB658,0)</f>
        <v>2720.076873652542</v>
      </c>
      <c r="JB658" s="19">
        <f t="shared" si="1970"/>
        <v>2912.5884578177224</v>
      </c>
      <c r="JC658" s="19">
        <f t="shared" si="1970"/>
        <v>4469.1110222324287</v>
      </c>
      <c r="JD658" s="19">
        <f t="shared" si="1769"/>
        <v>3007.2030072825114</v>
      </c>
      <c r="JE658" s="21"/>
      <c r="JF658" s="1">
        <f t="shared" si="1770"/>
        <v>2.6651855648468406E-2</v>
      </c>
      <c r="JG658" s="15">
        <f t="shared" si="1771"/>
        <v>6449</v>
      </c>
      <c r="JH658" s="1">
        <f t="shared" si="1772"/>
        <v>0.13618346641473811</v>
      </c>
      <c r="JI658" s="1">
        <f t="shared" si="1773"/>
        <v>-2.361076688633611E-2</v>
      </c>
      <c r="JJ658" s="1">
        <f t="shared" si="1774"/>
        <v>0</v>
      </c>
      <c r="JK658" s="1">
        <f t="shared" si="1775"/>
        <v>0.11257269952840197</v>
      </c>
      <c r="JL658" s="15">
        <f t="shared" ref="JL658:JM658" si="1971">JL158+JL258+JL358+JL458+JL558</f>
        <v>725.98133925866432</v>
      </c>
      <c r="JM658" s="15">
        <f t="shared" si="1971"/>
        <v>7174.9813392586648</v>
      </c>
      <c r="JN658" s="21"/>
      <c r="JO658" s="19">
        <f>INDEX(Input!$1:$1048576,JO$93,$C658*2+6)</f>
        <v>5995.5</v>
      </c>
      <c r="JP658" s="19">
        <f>INDEX(Input!$1:$1048576,JP$93,$C658*2+6)</f>
        <v>2296.6050414551746</v>
      </c>
      <c r="JQ658" s="39">
        <f t="shared" si="1799"/>
        <v>2988.2969927174886</v>
      </c>
      <c r="JR658" s="39">
        <f t="shared" si="1800"/>
        <v>710.59796582733679</v>
      </c>
      <c r="JS658" s="39">
        <f t="shared" si="1801"/>
        <v>21.576625460614558</v>
      </c>
      <c r="JT658" s="39">
        <f t="shared" si="1802"/>
        <v>6.7658195482701382</v>
      </c>
      <c r="JU658" s="385">
        <f>(JQ658*JM658-INDEX(Input!$1:$1048576,Input!A$18,$C658*2+6)*JL658*INDEX(Input!$1:$1048576,Input!A$19,$C658*2+6))/1000000</f>
        <v>21.440975158910767</v>
      </c>
      <c r="JV658" s="39">
        <f t="shared" si="1803"/>
        <v>-2.4131984287448098</v>
      </c>
      <c r="JW658" s="1">
        <f t="shared" si="1804"/>
        <v>-0.10116462093633916</v>
      </c>
      <c r="JX658" s="19">
        <f t="shared" si="1805"/>
        <v>9319.5502176117261</v>
      </c>
      <c r="JZ658" s="341"/>
      <c r="KA658" s="60"/>
      <c r="KB658" s="469">
        <f t="shared" si="1778"/>
        <v>0</v>
      </c>
      <c r="KI658" s="472"/>
      <c r="KJ658" s="472"/>
      <c r="KK658" s="472"/>
      <c r="KN658" s="793">
        <f t="shared" si="1779"/>
        <v>6002</v>
      </c>
      <c r="KO658" s="541">
        <f t="shared" si="1780"/>
        <v>8.7070863002704613E-2</v>
      </c>
      <c r="KP658" s="546">
        <f t="shared" si="1781"/>
        <v>611.87528486123972</v>
      </c>
      <c r="KQ658" s="546">
        <f t="shared" si="1782"/>
        <v>544.36975067736648</v>
      </c>
      <c r="KR658" s="472">
        <f t="shared" si="1783"/>
        <v>2.4934332498340241</v>
      </c>
      <c r="KS658" s="472">
        <f t="shared" si="1784"/>
        <v>2.802635852058768</v>
      </c>
      <c r="KT658" s="473">
        <f t="shared" si="1795"/>
        <v>4286.2445668946921</v>
      </c>
      <c r="KU658" s="663">
        <f t="shared" si="1785"/>
        <v>4.478968949380512</v>
      </c>
      <c r="KV658" s="117"/>
    </row>
    <row r="659" spans="1:308" s="26" customFormat="1" ht="15" outlineLevel="1">
      <c r="A659" s="561">
        <f t="shared" si="1751"/>
        <v>6059</v>
      </c>
      <c r="B659" s="561">
        <f t="shared" si="1786"/>
        <v>59</v>
      </c>
      <c r="C659" s="561">
        <f t="shared" si="1787"/>
        <v>6</v>
      </c>
      <c r="D659" s="561" t="str">
        <f t="shared" si="1953"/>
        <v xml:space="preserve">250 CC, 0/0/0.9/3.9, -360 Lease, </v>
      </c>
      <c r="E659" s="475">
        <f>INDEX(Input!$1:$1048576,E$93,$C659*2+MIN($B659,2)+5)
+INDEX(Scenarios!E$121:E$199,MATCH($B659,Scenarios!$B$121:$B$199,0))</f>
        <v>1517.2644913000609</v>
      </c>
      <c r="F659" s="475">
        <f>INDEX(Input!$1:$1048576,F$93,$C659*2+MIN($B659,2)+5)
+INDEX(Scenarios!F$121:F$199,MATCH($B659,Scenarios!$B$121:$B$199,0))</f>
        <v>0</v>
      </c>
      <c r="G659" s="475">
        <f>INDEX(Input!$1:$1048576,G$93,$C659*2+MIN($B659,2)+5)
+INDEX(Scenarios!G$121:G$199,MATCH($B659,Scenarios!$B$121:$B$199,0))</f>
        <v>0</v>
      </c>
      <c r="H659" s="475">
        <f>INDEX(Input!$1:$1048576,H$93,$C659*2+MIN($B659,2)+5)
+INDEX(Scenarios!H$121:H$199,MATCH($B659,Scenarios!$B$121:$B$199,0))</f>
        <v>0</v>
      </c>
      <c r="I659" s="476">
        <f>INDEX(Input!$1:$1048576,I$93,$C659*2+MIN($B659,2)+5)
+INDEX(Scenarios!I$121:I$199,MATCH($B659,Scenarios!$B$121:$B$199,0))</f>
        <v>0.7</v>
      </c>
      <c r="J659" s="476" t="str">
        <f>INDEX(Input!$1:$1048576,J$93,$C659*2+MIN($B659,2)+5)</f>
        <v>Market</v>
      </c>
      <c r="K659" s="476" t="str">
        <f>INDEX(Input!$1:$1048576,K$93,$C659*2+MIN($B659,2)+5)</f>
        <v>Market</v>
      </c>
      <c r="L659" s="476" t="str">
        <f>INDEX(Input!$1:$1048576,L$93,$C659*2+MIN($B659,2)+5)</f>
        <v>Market</v>
      </c>
      <c r="M659" s="476" t="str">
        <f>INDEX(Input!$1:$1048576,M$93,$C659*2+MIN($B659,2)+5)</f>
        <v>Market</v>
      </c>
      <c r="N659" s="476" t="str">
        <f>INDEX(Input!$1:$1048576,N$93,$C659*2+MIN($B659,2)+5)</f>
        <v>Market</v>
      </c>
      <c r="O659" s="476" t="str">
        <f>INDEX(Input!$1:$1048576,O$93,$C659*2+MIN($B659,2)+5)</f>
        <v>Market</v>
      </c>
      <c r="P659" s="476" t="str">
        <f>INDEX(Input!$1:$1048576,P$93,$C659*2+MIN($B659,2)+5)</f>
        <v>N</v>
      </c>
      <c r="Q659" s="477">
        <f>INDEX(Input!$1:$1048576,Q$93,$C659*2+MIN($B659,2)+5)
+INDEX(Scenarios!Q$121:Q$199,MATCH($B659,Scenarios!$B$121:$B$199,0))</f>
        <v>0</v>
      </c>
      <c r="R659" s="478">
        <f>IFERROR(MAX(0,INDEX(Input!$1:$1048576,R$93,$C659*2+MIN($B659,2)+5)
+INDEX(Scenarios!R$121:R$199,MATCH($B659,Scenarios!$B$121:$B$199,0)),),"Market")</f>
        <v>0</v>
      </c>
      <c r="S659" s="478">
        <f>IFERROR(MAX(0,INDEX(Input!$1:$1048576,S$93,$C659*2+MIN($B659,2)+5)
+INDEX(Scenarios!S$121:S$199,MATCH($B659,Scenarios!$B$121:$B$199,0)),),"Market")</f>
        <v>0</v>
      </c>
      <c r="T659" s="478">
        <f>IFERROR(MAX(0,INDEX(Input!$1:$1048576,T$93,$C659*2+MIN($B659,2)+5)
+INDEX(Scenarios!T$121:T$199,MATCH($B659,Scenarios!$B$121:$B$199,0)),),"Market")</f>
        <v>0</v>
      </c>
      <c r="U659" s="478">
        <f>IFERROR(MAX(0,INDEX(Input!$1:$1048576,U$93,$C659*2+MIN($B659,2)+5)
+INDEX(Scenarios!U$121:U$199,MATCH($B659,Scenarios!$B$121:$B$199,0)),),"Market")</f>
        <v>0</v>
      </c>
      <c r="V659" s="478">
        <f>IFERROR(MAX(0,INDEX(Input!$1:$1048576,V$93,$C659*2+MIN($B659,2)+5)
+INDEX(Scenarios!V$121:V$199,MATCH($B659,Scenarios!$B$121:$B$199,0)),),"Market")</f>
        <v>8.9999999999999993E-3</v>
      </c>
      <c r="W659" s="885">
        <f>IFERROR(MAX(0,INDEX(Input!$1:$1048576,W$93,$C659*2+MIN($B659,2)+5)-0%,),"Market")</f>
        <v>3.9E-2</v>
      </c>
      <c r="X659" s="476" t="str">
        <f>INDEX(Input!$1:$1048576,X$93,$C659*2+MIN($B659,2)+5)</f>
        <v>Y</v>
      </c>
      <c r="Y659" s="475">
        <f>INDEX(Input!$1:$1048576,Y$93,$C659*2+MIN($B659,2)+5)
++INDEX(Scenarios!Y$121:Y$199,MATCH($B659,Scenarios!$B$121:$B$199,0))</f>
        <v>377.99367635402496</v>
      </c>
      <c r="Z659" s="477">
        <f>INDEX(Input!$1:$1048576,Z$93,$C659*2+MIN($B659,2)+5)
+INDEX(Scenarios!Z$121:Z$199,MATCH($B659,Scenarios!$B$121:$B$199,0))</f>
        <v>0</v>
      </c>
      <c r="AA659" s="475">
        <f>INDEX(Input!$1:$1048576,AA$93,$C659*2+MIN($B659,2)+5)</f>
        <v>0</v>
      </c>
      <c r="AB659" s="476">
        <f>INDEX(Input!$1:$1048576,AB$93,$C659*2+MIN($B659,2)+5)</f>
        <v>0.27</v>
      </c>
      <c r="AC659" s="475">
        <f>INDEX(Input!$1:$1048576,AC$93,$C659*2+MIN($B659,2)+5)
+INDEX(Scenarios!AC$121:AC$199,MATCH($B659,Scenarios!$B$121:$B$199,0))</f>
        <v>0</v>
      </c>
      <c r="AD659" s="476">
        <f>INDEX(Input!$1:$1048576,AD$93,$C659*2+MIN($B659,2)+5)</f>
        <v>0.27</v>
      </c>
      <c r="AE659" s="475">
        <f>INDEX(Input!$1:$1048576,AE$93,$C659*2+MIN($B659,2)+5)
+INDEX(Scenarios!AE$121:AE$199,MATCH($B659,Scenarios!$B$121:$B$199,0))</f>
        <v>0</v>
      </c>
      <c r="AF659" s="476">
        <f>INDEX(Input!$1:$1048576,AF$93,$C659*2+MIN($B659,2)+5)</f>
        <v>1</v>
      </c>
      <c r="AG659" s="475">
        <f>INDEX(Input!$1:$1048576,AG$93,$C659*2+MIN($B659,2)+5)</f>
        <v>500</v>
      </c>
      <c r="AH659" s="476">
        <f>INDEX(Input!$1:$1048576,AH$93,$C659*2+MIN($B659,2)+5)</f>
        <v>1</v>
      </c>
      <c r="AI659" s="475">
        <f>INDEX(Input!$1:$1048576,AI$93,$C659*2+MIN($B659,2)+5)</f>
        <v>0</v>
      </c>
      <c r="AJ659" s="476">
        <f>INDEX(Input!$1:$1048576,AJ$93,$C659*2+MIN($B659,2)+5)</f>
        <v>0.27</v>
      </c>
      <c r="AK659" s="150">
        <f>ROUND(INDEX(Input!$1:$1048576,AK$93,$C658*2+MIN($B659,1)+5)+(Y659-VLOOKUP($C659*1000+1,$A:$HH,Y$92,FALSE)),0)</f>
        <v>2701</v>
      </c>
      <c r="AL659" s="150">
        <f>ROUND(INDEX(Input!$1:$1048576,AL$93,$C658*2+MIN($B659,1)+5)-(Y659-VLOOKUP($C659*1000+1,$A:$HH,Y$92,FALSE))/36,0)</f>
        <v>3562</v>
      </c>
      <c r="AM659" s="32" t="str">
        <f t="shared" si="1752"/>
        <v>std/std/std/std</v>
      </c>
      <c r="AN659" s="32" t="str">
        <f t="shared" si="1753"/>
        <v>$0 + 0/0/0/0.9/3.9</v>
      </c>
      <c r="AO659" s="32" t="str">
        <f t="shared" si="1754"/>
        <v>0/0/0/0.9/3.9</v>
      </c>
      <c r="AP659" s="32" t="str">
        <f t="shared" si="1716"/>
        <v>0/0/0.9/3.9</v>
      </c>
      <c r="AQ659" s="536">
        <f t="shared" si="1892"/>
        <v>0.39071268571221424</v>
      </c>
      <c r="AR659" s="32"/>
      <c r="AS659" s="302"/>
      <c r="AT659" s="3">
        <f t="shared" si="1788"/>
        <v>59</v>
      </c>
      <c r="AU659" s="41" t="s">
        <v>121</v>
      </c>
      <c r="AV659" s="41" t="s">
        <v>116</v>
      </c>
      <c r="AW659" s="41" t="str">
        <f>INDEX(Input!$1:$1048576,AW$93,$C659*2+6)</f>
        <v>Kia</v>
      </c>
      <c r="AX659" s="41" t="str">
        <f>INDEX(Input!$1:$1048576,AX$93,$C659*2+6)</f>
        <v>National</v>
      </c>
      <c r="AY659" s="41" t="str">
        <f>IF(LEN(D659)=0,"",INDEX(Input!$1:$1048576,AY$93,$C659*2+6))</f>
        <v>Compact SUV (52)</v>
      </c>
      <c r="AZ659" s="41" t="str">
        <f>INDEX(Input!$1:$1048576,AZ$93,$C659*2+6)</f>
        <v>Kia Soul</v>
      </c>
      <c r="BA659" s="3">
        <f>INDEX(Input!$1:$1048576,BA$93,$C659*2+6)</f>
        <v>2020</v>
      </c>
      <c r="BB659" s="128">
        <f>INDEX(Input!$1:$1048576,BB$93,$C659*2+6)</f>
        <v>1</v>
      </c>
      <c r="BC659" s="128">
        <f>INDEX(Input!$1:$1048576,BC$93,$C659*2+6)</f>
        <v>0.7</v>
      </c>
      <c r="BD659" s="1">
        <f>INDEX(Input!$1:$1048576,BD$93,$C659*2+6)</f>
        <v>4.4999999999999998E-2</v>
      </c>
      <c r="BE659" s="1">
        <f>INDEX(Input!$1:$1048576,BE$93,$C659*2+6)</f>
        <v>4.4999999999999998E-2</v>
      </c>
      <c r="BF659" s="1">
        <f>INDEX(Input!$1:$1048576,BF$93,$C659*2+6)</f>
        <v>0.05</v>
      </c>
      <c r="BG659" s="1">
        <f>INDEX(Input!$1:$1048576,BG$93,$C659*2+6)</f>
        <v>5.45E-2</v>
      </c>
      <c r="BH659" s="1">
        <f>INDEX(Input!$1:$1048576,BH$93,$C659*2+6)</f>
        <v>5.45E-2</v>
      </c>
      <c r="BI659" s="1">
        <f>INDEX(Input!$1:$1048576,BI$93,$C659*2+6)</f>
        <v>0.05</v>
      </c>
      <c r="BJ659" s="1">
        <f>INDEX(Input!$1:$1048576,BJ$93,$C659*2+6)</f>
        <v>0.05</v>
      </c>
      <c r="BK659" s="1">
        <f>INDEX(Input!$1:$1048576,BK$93,$C659*2+6)</f>
        <v>0.05</v>
      </c>
      <c r="BL659" s="1">
        <f>INDEX(Input!$1:$1048576,BL$93,$C659*2+6)</f>
        <v>5.5E-2</v>
      </c>
      <c r="BM659" s="1">
        <f>INDEX(Input!$1:$1048576,BM$93,$C659*2+6)</f>
        <v>0.06</v>
      </c>
      <c r="BN659" s="1">
        <f>INDEX(Input!$1:$1048576,BN$93,$C659*2+6)</f>
        <v>4.4999999999999998E-2</v>
      </c>
      <c r="BO659" s="1">
        <f>INDEX(Input!$1:$1048576,BO$93,$C659*2+6)</f>
        <v>4.4999999999999998E-2</v>
      </c>
      <c r="BP659" s="1">
        <f>INDEX(Input!$1:$1048576,BP$93,$C659*2+6)</f>
        <v>0.05</v>
      </c>
      <c r="BQ659" s="1">
        <f>INDEX(Input!$1:$1048576,BQ$93,$C659*2+6)</f>
        <v>5.45E-2</v>
      </c>
      <c r="BR659" s="1">
        <f>INDEX(Input!$1:$1048576,BR$93,$C659*2+6)</f>
        <v>5.45E-2</v>
      </c>
      <c r="BS659" s="1">
        <f>INDEX(Input!$1:$1048576,BS$93,$C659*2+6)</f>
        <v>0.05</v>
      </c>
      <c r="BT659" s="1">
        <f>INDEX(Input!$1:$1048576,BT$93,$C659*2+6)</f>
        <v>0.05</v>
      </c>
      <c r="BU659" s="1">
        <f>INDEX(Input!$1:$1048576,BU$93,$C659*2+6)</f>
        <v>0.05</v>
      </c>
      <c r="BV659" s="1">
        <f>INDEX(Input!$1:$1048576,BV$93,$C659*2+6)</f>
        <v>5.5E-2</v>
      </c>
      <c r="BW659" s="1">
        <f>INDEX(Input!$1:$1048576,BW$93,$C659*2+6)</f>
        <v>0.06</v>
      </c>
      <c r="BX659" s="127">
        <f>INDEX(Input!$1:$1048576,BX$93,$C659*2+6)</f>
        <v>19985</v>
      </c>
      <c r="BY659" s="20">
        <f>INDEX(Input!$1:$1048576,BY$93,$C659*2+6)</f>
        <v>0.1</v>
      </c>
      <c r="BZ659" s="20">
        <f>INDEX(Input!$1:$1048576,BZ$93,$C659*2+6)</f>
        <v>0.1</v>
      </c>
      <c r="CA659" s="20">
        <f>INDEX(Input!$1:$1048576,CA$93,$C659*2+6)</f>
        <v>0.1</v>
      </c>
      <c r="CB659" s="20">
        <f>INDEX(Input!$1:$1048576,CB$93,$C659*2+6)</f>
        <v>0.1</v>
      </c>
      <c r="CC659" s="20">
        <f>INDEX(Input!$1:$1048576,CC$93,$C659*2+6)</f>
        <v>0.1</v>
      </c>
      <c r="CD659" s="384">
        <f>INDEX(Input!$1:$1048576,CD$93,$C659*2+6)</f>
        <v>0.1</v>
      </c>
      <c r="CE659" s="384">
        <f>INDEX(Input!$1:$1048576,CE$93,$C659*2+6)</f>
        <v>0.1</v>
      </c>
      <c r="CF659" s="384">
        <f>INDEX(Input!$1:$1048576,CF$93,$C659*2+6)</f>
        <v>0.1</v>
      </c>
      <c r="CG659" s="384">
        <f>INDEX(Input!$1:$1048576,CG$93,$C659*2+6)</f>
        <v>0.1</v>
      </c>
      <c r="CH659" s="384">
        <f>INDEX(Input!$1:$1048576,CH$93,$C659*2+6)</f>
        <v>0.1</v>
      </c>
      <c r="CI659" s="304">
        <f t="shared" si="1718"/>
        <v>1517.2644913000609</v>
      </c>
      <c r="CJ659" s="16" t="str">
        <f>INDEX(Input!$1:$1048576,CJ$93,$C659*2+6)</f>
        <v>N</v>
      </c>
      <c r="CK659" s="1" t="str">
        <f t="shared" si="1719"/>
        <v>Market</v>
      </c>
      <c r="CL659" s="1" t="str">
        <f t="shared" si="1720"/>
        <v>Market</v>
      </c>
      <c r="CM659" s="1" t="str">
        <f t="shared" si="1721"/>
        <v>Market</v>
      </c>
      <c r="CN659" s="1" t="str">
        <f t="shared" si="1722"/>
        <v>Market</v>
      </c>
      <c r="CO659" s="1" t="str">
        <f t="shared" si="1723"/>
        <v>Market</v>
      </c>
      <c r="CP659" s="304">
        <f t="shared" si="1724"/>
        <v>500</v>
      </c>
      <c r="CQ659" s="1">
        <f t="shared" si="1725"/>
        <v>0</v>
      </c>
      <c r="CR659" s="1">
        <f t="shared" si="1726"/>
        <v>0</v>
      </c>
      <c r="CS659" s="1">
        <f t="shared" si="1727"/>
        <v>0</v>
      </c>
      <c r="CT659" s="1">
        <f t="shared" si="1728"/>
        <v>8.9999999999999993E-3</v>
      </c>
      <c r="CU659" s="1">
        <f t="shared" si="1729"/>
        <v>3.9E-2</v>
      </c>
      <c r="CV659" s="304">
        <f t="shared" si="1730"/>
        <v>377.99367635402496</v>
      </c>
      <c r="CW659" s="20" t="s">
        <v>122</v>
      </c>
      <c r="CX659" s="20" t="s">
        <v>122</v>
      </c>
      <c r="CY659" s="20" t="s">
        <v>122</v>
      </c>
      <c r="CZ659" s="20" t="s">
        <v>122</v>
      </c>
      <c r="DA659" s="20" t="s">
        <v>122</v>
      </c>
      <c r="DB659" s="503">
        <f t="shared" si="1731"/>
        <v>0</v>
      </c>
      <c r="DC659" s="127">
        <v>0</v>
      </c>
      <c r="DD659" s="127">
        <v>0</v>
      </c>
      <c r="DE659" s="127">
        <v>0</v>
      </c>
      <c r="DF659" s="127">
        <v>0</v>
      </c>
      <c r="DG659" s="127">
        <v>0</v>
      </c>
      <c r="DH659" s="127">
        <v>0</v>
      </c>
      <c r="DI659" s="127">
        <v>0</v>
      </c>
      <c r="DJ659" s="127">
        <v>0</v>
      </c>
      <c r="DK659" s="127">
        <v>0</v>
      </c>
      <c r="DL659" s="127">
        <v>0</v>
      </c>
      <c r="DM659" s="304">
        <f>INDEX(Input!$1:$1048576,DM$93,$C659*2+6)</f>
        <v>21036.84210526316</v>
      </c>
      <c r="DN659" s="20">
        <v>0</v>
      </c>
      <c r="DO659" s="20">
        <v>0</v>
      </c>
      <c r="DP659" s="20">
        <v>0</v>
      </c>
      <c r="DQ659" s="20">
        <v>0</v>
      </c>
      <c r="DR659" s="20">
        <v>0</v>
      </c>
      <c r="DS659" s="20">
        <f>INDEX(Input!$1:$1048576,DS$93,$C659*2+6)</f>
        <v>0.6</v>
      </c>
      <c r="DT659" s="20">
        <f>INDEX(Input!$1:$1048576,DT$93,$C659*2+6)</f>
        <v>0.55000000000000004</v>
      </c>
      <c r="DU659" s="20">
        <f>INDEX(Input!$1:$1048576,DU$93,$C659*2+6)</f>
        <v>0.52</v>
      </c>
      <c r="DV659" s="20">
        <f>INDEX(Input!$1:$1048576,DV$93,$C659*2+6)</f>
        <v>0.5</v>
      </c>
      <c r="DW659" s="20">
        <f>INDEX(Input!$1:$1048576,DW$93,$C659*2+6)</f>
        <v>0.45</v>
      </c>
      <c r="DX659" s="20"/>
      <c r="DY659" s="7"/>
      <c r="DZ659" s="7"/>
      <c r="EA659" s="7"/>
      <c r="EB659" s="7"/>
      <c r="EC659" s="7"/>
      <c r="ED659" s="7"/>
      <c r="EE659" s="7"/>
      <c r="EF659" s="7"/>
      <c r="EG659" s="7"/>
      <c r="EH659" s="7"/>
      <c r="EI659" s="7"/>
      <c r="EJ659" s="7"/>
      <c r="EK659" s="7"/>
      <c r="EL659" s="7"/>
      <c r="EM659" s="7"/>
      <c r="EN659" s="7"/>
      <c r="EO659" s="7"/>
      <c r="EP659" s="7"/>
      <c r="EQ659" s="7"/>
      <c r="ER659" s="7"/>
      <c r="ES659" s="7"/>
      <c r="ET659" s="7"/>
      <c r="EU659" s="6"/>
      <c r="EV659" s="6"/>
      <c r="EW659" s="6"/>
      <c r="EX659" s="6"/>
      <c r="EY659" s="6"/>
      <c r="EZ659" s="6"/>
      <c r="FA659" s="6"/>
      <c r="FB659" s="6"/>
      <c r="FC659" s="6"/>
      <c r="FD659" s="6"/>
      <c r="FE659" s="6"/>
      <c r="FF659" s="6"/>
      <c r="FG659" s="6"/>
      <c r="FH659" s="6"/>
      <c r="FI659" s="6"/>
      <c r="FJ659" s="6"/>
      <c r="FK659" s="6"/>
      <c r="FL659" s="6"/>
      <c r="FM659" s="6"/>
      <c r="FN659" s="6"/>
      <c r="FO659" s="6"/>
      <c r="FP659" s="6"/>
      <c r="FQ659" s="6"/>
      <c r="FR659" s="6"/>
      <c r="FS659" s="6"/>
      <c r="FT659" s="7"/>
      <c r="FU659" s="7"/>
      <c r="FV659" s="7"/>
      <c r="FW659" s="6"/>
      <c r="FX659" s="6"/>
      <c r="FY659" s="6"/>
      <c r="FZ659" s="6"/>
      <c r="GA659" s="6"/>
      <c r="GB659" s="6"/>
      <c r="GC659" s="7"/>
      <c r="GD659" s="7"/>
      <c r="GE659" s="7"/>
      <c r="GF659" s="7"/>
      <c r="GG659" s="7"/>
      <c r="GH659" s="42"/>
      <c r="GI659" s="6"/>
      <c r="GJ659" s="14"/>
      <c r="GK659" s="14"/>
      <c r="GL659" s="14"/>
      <c r="GM659" s="14"/>
      <c r="GO659" s="5"/>
      <c r="GP659" s="5"/>
      <c r="GQ659" s="5"/>
      <c r="GR659" s="5"/>
      <c r="GS659" s="5"/>
      <c r="GT659" s="5"/>
      <c r="GU659" s="5"/>
      <c r="GV659" s="39"/>
      <c r="GW659" s="5"/>
      <c r="GX659" s="5"/>
      <c r="GY659" s="5"/>
      <c r="GZ659" s="5"/>
      <c r="HA659" s="5"/>
      <c r="HB659" s="39"/>
      <c r="HC659" s="5"/>
      <c r="HD659" s="5"/>
      <c r="HE659" s="5"/>
      <c r="HF659" s="5"/>
      <c r="HG659" s="5"/>
      <c r="HH659" s="39"/>
      <c r="HI659" s="16"/>
      <c r="HJ659" s="19"/>
      <c r="HK659" s="1"/>
      <c r="HL659" s="16"/>
      <c r="HM659" s="639">
        <f t="shared" si="1755"/>
        <v>2.3149872625708352E-2</v>
      </c>
      <c r="HN659" s="639">
        <f t="shared" si="1756"/>
        <v>1.3965040474190958E-3</v>
      </c>
      <c r="HO659" s="639">
        <f t="shared" si="1757"/>
        <v>3.5429561340050734E-3</v>
      </c>
      <c r="HP659" s="644">
        <f t="shared" ref="HP659:ID659" si="1972">HP159+HP259+HP359+HP459+HP559</f>
        <v>402.59744325005295</v>
      </c>
      <c r="HQ659" s="644">
        <f t="shared" si="1972"/>
        <v>65.75833458378905</v>
      </c>
      <c r="HR659" s="644">
        <f t="shared" si="1972"/>
        <v>-192.33488600859337</v>
      </c>
      <c r="HS659" s="644">
        <f t="shared" si="1972"/>
        <v>-149.0937334628567</v>
      </c>
      <c r="HT659" s="644">
        <f t="shared" si="1972"/>
        <v>202.98799754380568</v>
      </c>
      <c r="HU659" s="644">
        <f t="shared" si="1972"/>
        <v>2.2921267739727891</v>
      </c>
      <c r="HV659" s="644">
        <f t="shared" si="1972"/>
        <v>0</v>
      </c>
      <c r="HW659" s="644">
        <f t="shared" si="1972"/>
        <v>0</v>
      </c>
      <c r="HX659" s="644">
        <f t="shared" si="1972"/>
        <v>0</v>
      </c>
      <c r="HY659" s="644">
        <f t="shared" si="1972"/>
        <v>2396</v>
      </c>
      <c r="HZ659" s="644">
        <f t="shared" si="1972"/>
        <v>3223</v>
      </c>
      <c r="IA659" s="644">
        <f t="shared" si="1972"/>
        <v>830</v>
      </c>
      <c r="IB659" s="644">
        <f t="shared" si="1972"/>
        <v>2649.5037097871959</v>
      </c>
      <c r="IC659" s="644">
        <f t="shared" si="1972"/>
        <v>3491.7463321275945</v>
      </c>
      <c r="ID659" s="644">
        <f t="shared" si="1972"/>
        <v>639.95724076537942</v>
      </c>
      <c r="IE659" s="20">
        <f t="shared" si="1759"/>
        <v>0.39071268571221424</v>
      </c>
      <c r="IF659" s="20">
        <f t="shared" si="1760"/>
        <v>0.51491514513143366</v>
      </c>
      <c r="IG659" s="20">
        <f t="shared" si="1761"/>
        <v>9.4372169156352048E-2</v>
      </c>
      <c r="IH659" s="21"/>
      <c r="II659" s="19"/>
      <c r="IJ659" s="19"/>
      <c r="IK659" s="19"/>
      <c r="IL659" s="19">
        <f t="shared" si="1762"/>
        <v>418.66913983797531</v>
      </c>
      <c r="IM659" s="19">
        <f t="shared" si="1763"/>
        <v>496.44362594634549</v>
      </c>
      <c r="IN659" s="19">
        <f t="shared" si="1764"/>
        <v>-244.56531741478693</v>
      </c>
      <c r="IO659" s="39"/>
      <c r="IP659" s="39"/>
      <c r="IQ659" s="39"/>
      <c r="IR659" s="39"/>
      <c r="IS659" s="39"/>
      <c r="IT659" s="39"/>
      <c r="IU659" s="39"/>
      <c r="IV659" s="39"/>
      <c r="IW659" s="39"/>
      <c r="IX659" s="19">
        <f t="shared" si="1765"/>
        <v>1554.1790484140233</v>
      </c>
      <c r="IY659" s="19">
        <f t="shared" si="1766"/>
        <v>2412.3001201524512</v>
      </c>
      <c r="IZ659" s="19">
        <f t="shared" si="1767"/>
        <v>3993.0862952928574</v>
      </c>
      <c r="JA659" s="19">
        <f t="shared" ref="JA659:JC659" si="1973">IFERROR((JA159*IB159+JA259*IB259+JA359*IB359+JA459*IB459+JA559*IB559)/IB659,0)</f>
        <v>1972.8481882519986</v>
      </c>
      <c r="JB659" s="19">
        <f t="shared" si="1973"/>
        <v>2908.7437460987967</v>
      </c>
      <c r="JC659" s="19">
        <f t="shared" si="1973"/>
        <v>3748.5209778780704</v>
      </c>
      <c r="JD659" s="19">
        <f t="shared" si="1769"/>
        <v>2622.3290781174696</v>
      </c>
      <c r="JE659" s="21"/>
      <c r="JF659" s="1">
        <f t="shared" si="1770"/>
        <v>2.6651855648468406E-2</v>
      </c>
      <c r="JG659" s="15">
        <f t="shared" si="1771"/>
        <v>6449</v>
      </c>
      <c r="JH659" s="1">
        <f t="shared" si="1772"/>
        <v>4.2800572464761773E-2</v>
      </c>
      <c r="JI659" s="1">
        <f t="shared" si="1773"/>
        <v>8.7124191122533359E-3</v>
      </c>
      <c r="JJ659" s="1">
        <f t="shared" si="1774"/>
        <v>0</v>
      </c>
      <c r="JK659" s="1">
        <f t="shared" si="1775"/>
        <v>5.1512991577015096E-2</v>
      </c>
      <c r="JL659" s="15">
        <f t="shared" ref="JL659:JM659" si="1974">JL159+JL259+JL359+JL459+JL559</f>
        <v>332.20728268017035</v>
      </c>
      <c r="JM659" s="15">
        <f t="shared" si="1974"/>
        <v>6781.2072826801705</v>
      </c>
      <c r="JN659" s="21"/>
      <c r="JO659" s="19">
        <f>INDEX(Input!$1:$1048576,JO$93,$C659*2+6)</f>
        <v>5995.5</v>
      </c>
      <c r="JP659" s="19">
        <f>INDEX(Input!$1:$1048576,JP$93,$C659*2+6)</f>
        <v>2296.6050414551746</v>
      </c>
      <c r="JQ659" s="39">
        <f t="shared" si="1799"/>
        <v>3373.1709218825304</v>
      </c>
      <c r="JR659" s="39">
        <f t="shared" si="1800"/>
        <v>325.72403666229502</v>
      </c>
      <c r="JS659" s="39">
        <f t="shared" si="1801"/>
        <v>17.78255704211416</v>
      </c>
      <c r="JT659" s="39">
        <f t="shared" si="1802"/>
        <v>2.9717511297697405</v>
      </c>
      <c r="JU659" s="385">
        <f>(JQ659*JM659-INDEX(Input!$1:$1048576,Input!A$18,$C659*2+6)*JL659*INDEX(Input!$1:$1048576,Input!A$19,$C659*2+6))/1000000</f>
        <v>22.8741712211948</v>
      </c>
      <c r="JV659" s="39">
        <f t="shared" si="1803"/>
        <v>-0.9800023664607771</v>
      </c>
      <c r="JW659" s="1">
        <f t="shared" si="1804"/>
        <v>-4.1083056717920577E-2</v>
      </c>
      <c r="JX659" s="19">
        <f t="shared" si="1805"/>
        <v>8945.4725549492796</v>
      </c>
      <c r="JZ659" s="341"/>
      <c r="KA659" s="60"/>
      <c r="KB659" s="469">
        <f t="shared" si="1778"/>
        <v>0</v>
      </c>
      <c r="KI659" s="472"/>
      <c r="KJ659" s="472"/>
      <c r="KK659" s="472"/>
      <c r="KN659" s="793">
        <f t="shared" si="1779"/>
        <v>6002</v>
      </c>
      <c r="KO659" s="541">
        <f t="shared" si="1780"/>
        <v>2.7410735223600602E-2</v>
      </c>
      <c r="KP659" s="546">
        <f t="shared" si="1781"/>
        <v>228.84760071473562</v>
      </c>
      <c r="KQ659" s="546">
        <f t="shared" si="1782"/>
        <v>159.49582151232471</v>
      </c>
      <c r="KR659" s="472">
        <f t="shared" si="1783"/>
        <v>2.0987568654725681</v>
      </c>
      <c r="KS659" s="472">
        <f t="shared" si="1784"/>
        <v>3.011335774146676</v>
      </c>
      <c r="KT659" s="473">
        <f t="shared" si="1795"/>
        <v>4286.2445668946921</v>
      </c>
      <c r="KU659" s="663">
        <f t="shared" si="1785"/>
        <v>4.4361870557331882</v>
      </c>
      <c r="KV659" s="117"/>
    </row>
    <row r="660" spans="1:308" s="26" customFormat="1" ht="15" outlineLevel="1">
      <c r="A660" s="561">
        <f t="shared" si="1751"/>
        <v>6060</v>
      </c>
      <c r="B660" s="561">
        <f t="shared" si="1786"/>
        <v>60</v>
      </c>
      <c r="C660" s="561">
        <f t="shared" si="1787"/>
        <v>6</v>
      </c>
      <c r="D660" s="561" t="str">
        <f t="shared" si="1953"/>
        <v xml:space="preserve">500 CC, 0/0/0.9/3.9, -360 Lease, </v>
      </c>
      <c r="E660" s="475">
        <f>INDEX(Input!$1:$1048576,E$93,$C660*2+MIN($B660,2)+5)
+INDEX(Scenarios!E$121:E$199,MATCH($B660,Scenarios!$B$121:$B$199,0))</f>
        <v>1767.2644913000609</v>
      </c>
      <c r="F660" s="475">
        <f>INDEX(Input!$1:$1048576,F$93,$C660*2+MIN($B660,2)+5)
+INDEX(Scenarios!F$121:F$199,MATCH($B660,Scenarios!$B$121:$B$199,0))</f>
        <v>0</v>
      </c>
      <c r="G660" s="475">
        <f>INDEX(Input!$1:$1048576,G$93,$C660*2+MIN($B660,2)+5)
+INDEX(Scenarios!G$121:G$199,MATCH($B660,Scenarios!$B$121:$B$199,0))</f>
        <v>0</v>
      </c>
      <c r="H660" s="475">
        <f>INDEX(Input!$1:$1048576,H$93,$C660*2+MIN($B660,2)+5)
+INDEX(Scenarios!H$121:H$199,MATCH($B660,Scenarios!$B$121:$B$199,0))</f>
        <v>0</v>
      </c>
      <c r="I660" s="476">
        <f>INDEX(Input!$1:$1048576,I$93,$C660*2+MIN($B660,2)+5)
+INDEX(Scenarios!I$121:I$199,MATCH($B660,Scenarios!$B$121:$B$199,0))</f>
        <v>0.7</v>
      </c>
      <c r="J660" s="476" t="str">
        <f>INDEX(Input!$1:$1048576,J$93,$C660*2+MIN($B660,2)+5)</f>
        <v>Market</v>
      </c>
      <c r="K660" s="476" t="str">
        <f>INDEX(Input!$1:$1048576,K$93,$C660*2+MIN($B660,2)+5)</f>
        <v>Market</v>
      </c>
      <c r="L660" s="476" t="str">
        <f>INDEX(Input!$1:$1048576,L$93,$C660*2+MIN($B660,2)+5)</f>
        <v>Market</v>
      </c>
      <c r="M660" s="476" t="str">
        <f>INDEX(Input!$1:$1048576,M$93,$C660*2+MIN($B660,2)+5)</f>
        <v>Market</v>
      </c>
      <c r="N660" s="476" t="str">
        <f>INDEX(Input!$1:$1048576,N$93,$C660*2+MIN($B660,2)+5)</f>
        <v>Market</v>
      </c>
      <c r="O660" s="476" t="str">
        <f>INDEX(Input!$1:$1048576,O$93,$C660*2+MIN($B660,2)+5)</f>
        <v>Market</v>
      </c>
      <c r="P660" s="476" t="str">
        <f>INDEX(Input!$1:$1048576,P$93,$C660*2+MIN($B660,2)+5)</f>
        <v>N</v>
      </c>
      <c r="Q660" s="477">
        <f>INDEX(Input!$1:$1048576,Q$93,$C660*2+MIN($B660,2)+5)
+INDEX(Scenarios!Q$121:Q$199,MATCH($B660,Scenarios!$B$121:$B$199,0))</f>
        <v>0</v>
      </c>
      <c r="R660" s="478">
        <f>IFERROR(MAX(0,INDEX(Input!$1:$1048576,R$93,$C660*2+MIN($B660,2)+5)
+INDEX(Scenarios!R$121:R$199,MATCH($B660,Scenarios!$B$121:$B$199,0)),),"Market")</f>
        <v>0</v>
      </c>
      <c r="S660" s="478">
        <f>IFERROR(MAX(0,INDEX(Input!$1:$1048576,S$93,$C660*2+MIN($B660,2)+5)
+INDEX(Scenarios!S$121:S$199,MATCH($B660,Scenarios!$B$121:$B$199,0)),),"Market")</f>
        <v>0</v>
      </c>
      <c r="T660" s="478">
        <f>IFERROR(MAX(0,INDEX(Input!$1:$1048576,T$93,$C660*2+MIN($B660,2)+5)
+INDEX(Scenarios!T$121:T$199,MATCH($B660,Scenarios!$B$121:$B$199,0)),),"Market")</f>
        <v>0</v>
      </c>
      <c r="U660" s="478">
        <f>IFERROR(MAX(0,INDEX(Input!$1:$1048576,U$93,$C660*2+MIN($B660,2)+5)
+INDEX(Scenarios!U$121:U$199,MATCH($B660,Scenarios!$B$121:$B$199,0)),),"Market")</f>
        <v>0</v>
      </c>
      <c r="V660" s="478">
        <f>IFERROR(MAX(0,INDEX(Input!$1:$1048576,V$93,$C660*2+MIN($B660,2)+5)
+INDEX(Scenarios!V$121:V$199,MATCH($B660,Scenarios!$B$121:$B$199,0)),),"Market")</f>
        <v>8.9999999999999993E-3</v>
      </c>
      <c r="W660" s="885">
        <f>IFERROR(MAX(0,INDEX(Input!$1:$1048576,W$93,$C660*2+MIN($B660,2)+5)-0%,),"Market")</f>
        <v>3.9E-2</v>
      </c>
      <c r="X660" s="476" t="str">
        <f>INDEX(Input!$1:$1048576,X$93,$C660*2+MIN($B660,2)+5)</f>
        <v>Y</v>
      </c>
      <c r="Y660" s="475">
        <f>INDEX(Input!$1:$1048576,Y$93,$C660*2+MIN($B660,2)+5)
++INDEX(Scenarios!Y$121:Y$199,MATCH($B660,Scenarios!$B$121:$B$199,0))</f>
        <v>377.99367635402496</v>
      </c>
      <c r="Z660" s="477">
        <f>INDEX(Input!$1:$1048576,Z$93,$C660*2+MIN($B660,2)+5)
+INDEX(Scenarios!Z$121:Z$199,MATCH($B660,Scenarios!$B$121:$B$199,0))</f>
        <v>0</v>
      </c>
      <c r="AA660" s="475">
        <f>INDEX(Input!$1:$1048576,AA$93,$C660*2+MIN($B660,2)+5)</f>
        <v>0</v>
      </c>
      <c r="AB660" s="476">
        <f>INDEX(Input!$1:$1048576,AB$93,$C660*2+MIN($B660,2)+5)</f>
        <v>0.27</v>
      </c>
      <c r="AC660" s="475">
        <f>INDEX(Input!$1:$1048576,AC$93,$C660*2+MIN($B660,2)+5)
+INDEX(Scenarios!AC$121:AC$199,MATCH($B660,Scenarios!$B$121:$B$199,0))</f>
        <v>0</v>
      </c>
      <c r="AD660" s="476">
        <f>INDEX(Input!$1:$1048576,AD$93,$C660*2+MIN($B660,2)+5)</f>
        <v>0.27</v>
      </c>
      <c r="AE660" s="475">
        <f>INDEX(Input!$1:$1048576,AE$93,$C660*2+MIN($B660,2)+5)
+INDEX(Scenarios!AE$121:AE$199,MATCH($B660,Scenarios!$B$121:$B$199,0))</f>
        <v>0</v>
      </c>
      <c r="AF660" s="476">
        <f>INDEX(Input!$1:$1048576,AF$93,$C660*2+MIN($B660,2)+5)</f>
        <v>1</v>
      </c>
      <c r="AG660" s="475">
        <f>INDEX(Input!$1:$1048576,AG$93,$C660*2+MIN($B660,2)+5)</f>
        <v>500</v>
      </c>
      <c r="AH660" s="476">
        <f>INDEX(Input!$1:$1048576,AH$93,$C660*2+MIN($B660,2)+5)</f>
        <v>1</v>
      </c>
      <c r="AI660" s="475">
        <f>INDEX(Input!$1:$1048576,AI$93,$C660*2+MIN($B660,2)+5)</f>
        <v>0</v>
      </c>
      <c r="AJ660" s="476">
        <f>INDEX(Input!$1:$1048576,AJ$93,$C660*2+MIN($B660,2)+5)</f>
        <v>0.27</v>
      </c>
      <c r="AK660" s="150">
        <f>ROUND(INDEX(Input!$1:$1048576,AK$93,$C659*2+MIN($B660,1)+5)+(Y660-VLOOKUP($C660*1000+1,$A:$HH,Y$92,FALSE)),0)</f>
        <v>2701</v>
      </c>
      <c r="AL660" s="150">
        <f>ROUND(INDEX(Input!$1:$1048576,AL$93,$C659*2+MIN($B660,1)+5)-(Y660-VLOOKUP($C660*1000+1,$A:$HH,Y$92,FALSE))/36,0)</f>
        <v>3562</v>
      </c>
      <c r="AM660" s="32" t="str">
        <f t="shared" si="1752"/>
        <v>std/std/std/std</v>
      </c>
      <c r="AN660" s="32" t="str">
        <f t="shared" si="1753"/>
        <v>$0 + 0/0/0/0.9/3.9</v>
      </c>
      <c r="AO660" s="32" t="str">
        <f t="shared" si="1754"/>
        <v>0/0/0/0.9/3.9</v>
      </c>
      <c r="AP660" s="32" t="str">
        <f t="shared" si="1716"/>
        <v>0/0/0.9/3.9</v>
      </c>
      <c r="AQ660" s="536">
        <f t="shared" si="1892"/>
        <v>0.41113505719034948</v>
      </c>
      <c r="AR660" s="32"/>
      <c r="AS660" s="302"/>
      <c r="AT660" s="3">
        <f t="shared" si="1788"/>
        <v>60</v>
      </c>
      <c r="AU660" s="41" t="s">
        <v>121</v>
      </c>
      <c r="AV660" s="41" t="s">
        <v>116</v>
      </c>
      <c r="AW660" s="41" t="str">
        <f>INDEX(Input!$1:$1048576,AW$93,$C660*2+6)</f>
        <v>Kia</v>
      </c>
      <c r="AX660" s="41" t="str">
        <f>INDEX(Input!$1:$1048576,AX$93,$C660*2+6)</f>
        <v>National</v>
      </c>
      <c r="AY660" s="41" t="str">
        <f>IF(LEN(D660)=0,"",INDEX(Input!$1:$1048576,AY$93,$C660*2+6))</f>
        <v>Compact SUV (52)</v>
      </c>
      <c r="AZ660" s="41" t="str">
        <f>INDEX(Input!$1:$1048576,AZ$93,$C660*2+6)</f>
        <v>Kia Soul</v>
      </c>
      <c r="BA660" s="3">
        <f>INDEX(Input!$1:$1048576,BA$93,$C660*2+6)</f>
        <v>2020</v>
      </c>
      <c r="BB660" s="128">
        <f>INDEX(Input!$1:$1048576,BB$93,$C660*2+6)</f>
        <v>1</v>
      </c>
      <c r="BC660" s="128">
        <f>INDEX(Input!$1:$1048576,BC$93,$C660*2+6)</f>
        <v>0.7</v>
      </c>
      <c r="BD660" s="1">
        <f>INDEX(Input!$1:$1048576,BD$93,$C660*2+6)</f>
        <v>4.4999999999999998E-2</v>
      </c>
      <c r="BE660" s="1">
        <f>INDEX(Input!$1:$1048576,BE$93,$C660*2+6)</f>
        <v>4.4999999999999998E-2</v>
      </c>
      <c r="BF660" s="1">
        <f>INDEX(Input!$1:$1048576,BF$93,$C660*2+6)</f>
        <v>0.05</v>
      </c>
      <c r="BG660" s="1">
        <f>INDEX(Input!$1:$1048576,BG$93,$C660*2+6)</f>
        <v>5.45E-2</v>
      </c>
      <c r="BH660" s="1">
        <f>INDEX(Input!$1:$1048576,BH$93,$C660*2+6)</f>
        <v>5.45E-2</v>
      </c>
      <c r="BI660" s="1">
        <f>INDEX(Input!$1:$1048576,BI$93,$C660*2+6)</f>
        <v>0.05</v>
      </c>
      <c r="BJ660" s="1">
        <f>INDEX(Input!$1:$1048576,BJ$93,$C660*2+6)</f>
        <v>0.05</v>
      </c>
      <c r="BK660" s="1">
        <f>INDEX(Input!$1:$1048576,BK$93,$C660*2+6)</f>
        <v>0.05</v>
      </c>
      <c r="BL660" s="1">
        <f>INDEX(Input!$1:$1048576,BL$93,$C660*2+6)</f>
        <v>5.5E-2</v>
      </c>
      <c r="BM660" s="1">
        <f>INDEX(Input!$1:$1048576,BM$93,$C660*2+6)</f>
        <v>0.06</v>
      </c>
      <c r="BN660" s="1">
        <f>INDEX(Input!$1:$1048576,BN$93,$C660*2+6)</f>
        <v>4.4999999999999998E-2</v>
      </c>
      <c r="BO660" s="1">
        <f>INDEX(Input!$1:$1048576,BO$93,$C660*2+6)</f>
        <v>4.4999999999999998E-2</v>
      </c>
      <c r="BP660" s="1">
        <f>INDEX(Input!$1:$1048576,BP$93,$C660*2+6)</f>
        <v>0.05</v>
      </c>
      <c r="BQ660" s="1">
        <f>INDEX(Input!$1:$1048576,BQ$93,$C660*2+6)</f>
        <v>5.45E-2</v>
      </c>
      <c r="BR660" s="1">
        <f>INDEX(Input!$1:$1048576,BR$93,$C660*2+6)</f>
        <v>5.45E-2</v>
      </c>
      <c r="BS660" s="1">
        <f>INDEX(Input!$1:$1048576,BS$93,$C660*2+6)</f>
        <v>0.05</v>
      </c>
      <c r="BT660" s="1">
        <f>INDEX(Input!$1:$1048576,BT$93,$C660*2+6)</f>
        <v>0.05</v>
      </c>
      <c r="BU660" s="1">
        <f>INDEX(Input!$1:$1048576,BU$93,$C660*2+6)</f>
        <v>0.05</v>
      </c>
      <c r="BV660" s="1">
        <f>INDEX(Input!$1:$1048576,BV$93,$C660*2+6)</f>
        <v>5.5E-2</v>
      </c>
      <c r="BW660" s="1">
        <f>INDEX(Input!$1:$1048576,BW$93,$C660*2+6)</f>
        <v>0.06</v>
      </c>
      <c r="BX660" s="127">
        <f>INDEX(Input!$1:$1048576,BX$93,$C660*2+6)</f>
        <v>19985</v>
      </c>
      <c r="BY660" s="20">
        <f>INDEX(Input!$1:$1048576,BY$93,$C660*2+6)</f>
        <v>0.1</v>
      </c>
      <c r="BZ660" s="20">
        <f>INDEX(Input!$1:$1048576,BZ$93,$C660*2+6)</f>
        <v>0.1</v>
      </c>
      <c r="CA660" s="20">
        <f>INDEX(Input!$1:$1048576,CA$93,$C660*2+6)</f>
        <v>0.1</v>
      </c>
      <c r="CB660" s="20">
        <f>INDEX(Input!$1:$1048576,CB$93,$C660*2+6)</f>
        <v>0.1</v>
      </c>
      <c r="CC660" s="20">
        <f>INDEX(Input!$1:$1048576,CC$93,$C660*2+6)</f>
        <v>0.1</v>
      </c>
      <c r="CD660" s="384">
        <f>INDEX(Input!$1:$1048576,CD$93,$C660*2+6)</f>
        <v>0.1</v>
      </c>
      <c r="CE660" s="384">
        <f>INDEX(Input!$1:$1048576,CE$93,$C660*2+6)</f>
        <v>0.1</v>
      </c>
      <c r="CF660" s="384">
        <f>INDEX(Input!$1:$1048576,CF$93,$C660*2+6)</f>
        <v>0.1</v>
      </c>
      <c r="CG660" s="384">
        <f>INDEX(Input!$1:$1048576,CG$93,$C660*2+6)</f>
        <v>0.1</v>
      </c>
      <c r="CH660" s="384">
        <f>INDEX(Input!$1:$1048576,CH$93,$C660*2+6)</f>
        <v>0.1</v>
      </c>
      <c r="CI660" s="304">
        <f t="shared" si="1718"/>
        <v>1767.2644913000609</v>
      </c>
      <c r="CJ660" s="16" t="str">
        <f>INDEX(Input!$1:$1048576,CJ$93,$C660*2+6)</f>
        <v>N</v>
      </c>
      <c r="CK660" s="1" t="str">
        <f t="shared" si="1719"/>
        <v>Market</v>
      </c>
      <c r="CL660" s="1" t="str">
        <f t="shared" si="1720"/>
        <v>Market</v>
      </c>
      <c r="CM660" s="1" t="str">
        <f t="shared" si="1721"/>
        <v>Market</v>
      </c>
      <c r="CN660" s="1" t="str">
        <f t="shared" si="1722"/>
        <v>Market</v>
      </c>
      <c r="CO660" s="1" t="str">
        <f t="shared" si="1723"/>
        <v>Market</v>
      </c>
      <c r="CP660" s="304">
        <f t="shared" si="1724"/>
        <v>500</v>
      </c>
      <c r="CQ660" s="1">
        <f t="shared" si="1725"/>
        <v>0</v>
      </c>
      <c r="CR660" s="1">
        <f t="shared" si="1726"/>
        <v>0</v>
      </c>
      <c r="CS660" s="1">
        <f t="shared" si="1727"/>
        <v>0</v>
      </c>
      <c r="CT660" s="1">
        <f t="shared" si="1728"/>
        <v>8.9999999999999993E-3</v>
      </c>
      <c r="CU660" s="1">
        <f t="shared" si="1729"/>
        <v>3.9E-2</v>
      </c>
      <c r="CV660" s="304">
        <f t="shared" si="1730"/>
        <v>377.99367635402496</v>
      </c>
      <c r="CW660" s="20" t="s">
        <v>122</v>
      </c>
      <c r="CX660" s="20" t="s">
        <v>122</v>
      </c>
      <c r="CY660" s="20" t="s">
        <v>122</v>
      </c>
      <c r="CZ660" s="20" t="s">
        <v>122</v>
      </c>
      <c r="DA660" s="20" t="s">
        <v>122</v>
      </c>
      <c r="DB660" s="503">
        <f t="shared" si="1731"/>
        <v>0</v>
      </c>
      <c r="DC660" s="127">
        <v>0</v>
      </c>
      <c r="DD660" s="127">
        <v>0</v>
      </c>
      <c r="DE660" s="127">
        <v>0</v>
      </c>
      <c r="DF660" s="127">
        <v>0</v>
      </c>
      <c r="DG660" s="127">
        <v>0</v>
      </c>
      <c r="DH660" s="127">
        <v>0</v>
      </c>
      <c r="DI660" s="127">
        <v>0</v>
      </c>
      <c r="DJ660" s="127">
        <v>0</v>
      </c>
      <c r="DK660" s="127">
        <v>0</v>
      </c>
      <c r="DL660" s="127">
        <v>0</v>
      </c>
      <c r="DM660" s="304">
        <f>INDEX(Input!$1:$1048576,DM$93,$C660*2+6)</f>
        <v>21036.84210526316</v>
      </c>
      <c r="DN660" s="20">
        <v>0</v>
      </c>
      <c r="DO660" s="20">
        <v>0</v>
      </c>
      <c r="DP660" s="20">
        <v>0</v>
      </c>
      <c r="DQ660" s="20">
        <v>0</v>
      </c>
      <c r="DR660" s="20">
        <v>0</v>
      </c>
      <c r="DS660" s="20">
        <f>INDEX(Input!$1:$1048576,DS$93,$C660*2+6)</f>
        <v>0.6</v>
      </c>
      <c r="DT660" s="20">
        <f>INDEX(Input!$1:$1048576,DT$93,$C660*2+6)</f>
        <v>0.55000000000000004</v>
      </c>
      <c r="DU660" s="20">
        <f>INDEX(Input!$1:$1048576,DU$93,$C660*2+6)</f>
        <v>0.52</v>
      </c>
      <c r="DV660" s="20">
        <f>INDEX(Input!$1:$1048576,DV$93,$C660*2+6)</f>
        <v>0.5</v>
      </c>
      <c r="DW660" s="20">
        <f>INDEX(Input!$1:$1048576,DW$93,$C660*2+6)</f>
        <v>0.45</v>
      </c>
      <c r="DX660" s="20"/>
      <c r="DY660" s="7"/>
      <c r="DZ660" s="7"/>
      <c r="EA660" s="7"/>
      <c r="EB660" s="7"/>
      <c r="EC660" s="7"/>
      <c r="ED660" s="7"/>
      <c r="EE660" s="7"/>
      <c r="EF660" s="7"/>
      <c r="EG660" s="7"/>
      <c r="EH660" s="7"/>
      <c r="EI660" s="7"/>
      <c r="EJ660" s="7"/>
      <c r="EK660" s="7"/>
      <c r="EL660" s="7"/>
      <c r="EM660" s="7"/>
      <c r="EN660" s="7"/>
      <c r="EO660" s="7"/>
      <c r="EP660" s="7"/>
      <c r="EQ660" s="7"/>
      <c r="ER660" s="7"/>
      <c r="ES660" s="7"/>
      <c r="ET660" s="7"/>
      <c r="EU660" s="6"/>
      <c r="EV660" s="6"/>
      <c r="EW660" s="6"/>
      <c r="EX660" s="6"/>
      <c r="EY660" s="6"/>
      <c r="EZ660" s="6"/>
      <c r="FA660" s="6"/>
      <c r="FB660" s="6"/>
      <c r="FC660" s="6"/>
      <c r="FD660" s="6"/>
      <c r="FE660" s="6"/>
      <c r="FF660" s="6"/>
      <c r="FG660" s="6"/>
      <c r="FH660" s="6"/>
      <c r="FI660" s="6"/>
      <c r="FJ660" s="6"/>
      <c r="FK660" s="6"/>
      <c r="FL660" s="6"/>
      <c r="FM660" s="6"/>
      <c r="FN660" s="6"/>
      <c r="FO660" s="6"/>
      <c r="FP660" s="6"/>
      <c r="FQ660" s="6"/>
      <c r="FR660" s="6"/>
      <c r="FS660" s="6"/>
      <c r="FT660" s="7"/>
      <c r="FU660" s="7"/>
      <c r="FV660" s="7"/>
      <c r="FW660" s="6"/>
      <c r="FX660" s="6"/>
      <c r="FY660" s="6"/>
      <c r="FZ660" s="6"/>
      <c r="GA660" s="6"/>
      <c r="GB660" s="6"/>
      <c r="GC660" s="7"/>
      <c r="GD660" s="7"/>
      <c r="GE660" s="7"/>
      <c r="GF660" s="7"/>
      <c r="GG660" s="7"/>
      <c r="GH660" s="42"/>
      <c r="GI660" s="6"/>
      <c r="GJ660" s="14"/>
      <c r="GK660" s="14"/>
      <c r="GL660" s="14"/>
      <c r="GM660" s="14"/>
      <c r="GO660" s="5"/>
      <c r="GP660" s="5"/>
      <c r="GQ660" s="5"/>
      <c r="GR660" s="5"/>
      <c r="GS660" s="5"/>
      <c r="GT660" s="5"/>
      <c r="GU660" s="5"/>
      <c r="GV660" s="39"/>
      <c r="GW660" s="5"/>
      <c r="GX660" s="5"/>
      <c r="GY660" s="5"/>
      <c r="GZ660" s="5"/>
      <c r="HA660" s="5"/>
      <c r="HB660" s="39"/>
      <c r="HC660" s="5"/>
      <c r="HD660" s="5"/>
      <c r="HE660" s="5"/>
      <c r="HF660" s="5"/>
      <c r="HG660" s="5"/>
      <c r="HH660" s="39"/>
      <c r="HI660" s="16"/>
      <c r="HJ660" s="19"/>
      <c r="HK660" s="1"/>
      <c r="HL660" s="16"/>
      <c r="HM660" s="639">
        <f t="shared" si="1755"/>
        <v>2.3149872625708352E-2</v>
      </c>
      <c r="HN660" s="639">
        <f t="shared" si="1756"/>
        <v>1.3965040474190958E-3</v>
      </c>
      <c r="HO660" s="639">
        <f t="shared" si="1757"/>
        <v>3.5429561340050734E-3</v>
      </c>
      <c r="HP660" s="644">
        <f t="shared" ref="HP660:ID660" si="1975">HP160+HP260+HP360+HP460+HP560</f>
        <v>664.195714937091</v>
      </c>
      <c r="HQ660" s="644">
        <f t="shared" si="1975"/>
        <v>31.278236141410403</v>
      </c>
      <c r="HR660" s="644">
        <f t="shared" si="1975"/>
        <v>-245.80926148611397</v>
      </c>
      <c r="HS660" s="644">
        <f t="shared" si="1975"/>
        <v>-236.91935165718223</v>
      </c>
      <c r="HT660" s="644">
        <f t="shared" si="1975"/>
        <v>190.15821251124501</v>
      </c>
      <c r="HU660" s="644">
        <f t="shared" si="1975"/>
        <v>15.125455967794508</v>
      </c>
      <c r="HV660" s="644">
        <f t="shared" si="1975"/>
        <v>0</v>
      </c>
      <c r="HW660" s="644">
        <f t="shared" si="1975"/>
        <v>0</v>
      </c>
      <c r="HX660" s="644">
        <f t="shared" si="1975"/>
        <v>0</v>
      </c>
      <c r="HY660" s="644">
        <f t="shared" si="1975"/>
        <v>2396</v>
      </c>
      <c r="HZ660" s="644">
        <f t="shared" si="1975"/>
        <v>3223</v>
      </c>
      <c r="IA660" s="644">
        <f t="shared" si="1975"/>
        <v>830</v>
      </c>
      <c r="IB660" s="644">
        <f t="shared" si="1975"/>
        <v>2823.2763632799092</v>
      </c>
      <c r="IC660" s="644">
        <f t="shared" si="1975"/>
        <v>3444.4364486526556</v>
      </c>
      <c r="ID660" s="644">
        <f t="shared" si="1975"/>
        <v>599.31619448168055</v>
      </c>
      <c r="IE660" s="20">
        <f t="shared" si="1759"/>
        <v>0.41113505719034948</v>
      </c>
      <c r="IF660" s="20">
        <f t="shared" si="1760"/>
        <v>0.50159049065255612</v>
      </c>
      <c r="IG660" s="20">
        <f t="shared" si="1761"/>
        <v>8.7274452157094562E-2</v>
      </c>
      <c r="IH660" s="21"/>
      <c r="II660" s="19"/>
      <c r="IJ660" s="19"/>
      <c r="IK660" s="19"/>
      <c r="IL660" s="19">
        <f t="shared" si="1762"/>
        <v>665.27000609725883</v>
      </c>
      <c r="IM660" s="19">
        <f t="shared" si="1763"/>
        <v>497.5528426213682</v>
      </c>
      <c r="IN660" s="19">
        <f t="shared" si="1764"/>
        <v>-242.80149932201584</v>
      </c>
      <c r="IO660" s="39"/>
      <c r="IP660" s="39"/>
      <c r="IQ660" s="39"/>
      <c r="IR660" s="39"/>
      <c r="IS660" s="39"/>
      <c r="IT660" s="39"/>
      <c r="IU660" s="39"/>
      <c r="IV660" s="39"/>
      <c r="IW660" s="39"/>
      <c r="IX660" s="19">
        <f t="shared" si="1765"/>
        <v>1554.1790484140233</v>
      </c>
      <c r="IY660" s="19">
        <f t="shared" si="1766"/>
        <v>2412.3001201524512</v>
      </c>
      <c r="IZ660" s="19">
        <f t="shared" si="1767"/>
        <v>3993.0862952928574</v>
      </c>
      <c r="JA660" s="19">
        <f t="shared" ref="JA660:JC660" si="1976">IFERROR((JA160*IB160+JA260*IB260+JA360*IB360+JA460*IB460+JA560*IB560)/IB660,0)</f>
        <v>2219.4490545112822</v>
      </c>
      <c r="JB660" s="19">
        <f t="shared" si="1976"/>
        <v>2909.8529627738194</v>
      </c>
      <c r="JC660" s="19">
        <f t="shared" si="1976"/>
        <v>3750.2847959708415</v>
      </c>
      <c r="JD660" s="19">
        <f t="shared" si="1769"/>
        <v>2699.3519402835136</v>
      </c>
      <c r="JE660" s="21"/>
      <c r="JF660" s="1">
        <f t="shared" si="1770"/>
        <v>2.6651855648468406E-2</v>
      </c>
      <c r="JG660" s="15">
        <f t="shared" si="1771"/>
        <v>6449</v>
      </c>
      <c r="JH660" s="1">
        <f t="shared" si="1772"/>
        <v>6.9726266024559988E-2</v>
      </c>
      <c r="JI660" s="1">
        <f t="shared" si="1773"/>
        <v>-4.9055176272511571E-3</v>
      </c>
      <c r="JJ660" s="1">
        <f t="shared" si="1774"/>
        <v>0</v>
      </c>
      <c r="JK660" s="1">
        <f t="shared" si="1775"/>
        <v>6.4820748397308836E-2</v>
      </c>
      <c r="JL660" s="15">
        <f t="shared" ref="JL660:JM660" si="1977">JL160+JL260+JL360+JL460+JL560</f>
        <v>418.02900641424469</v>
      </c>
      <c r="JM660" s="15">
        <f t="shared" si="1977"/>
        <v>6867.0290064142455</v>
      </c>
      <c r="JN660" s="21"/>
      <c r="JO660" s="19">
        <f>INDEX(Input!$1:$1048576,JO$93,$C660*2+6)</f>
        <v>5995.5</v>
      </c>
      <c r="JP660" s="19">
        <f>INDEX(Input!$1:$1048576,JP$93,$C660*2+6)</f>
        <v>2296.6050414551746</v>
      </c>
      <c r="JQ660" s="39">
        <f t="shared" si="1799"/>
        <v>3296.1480597164864</v>
      </c>
      <c r="JR660" s="39">
        <f t="shared" si="1800"/>
        <v>402.746898828339</v>
      </c>
      <c r="JS660" s="39">
        <f t="shared" si="1801"/>
        <v>18.536528072447464</v>
      </c>
      <c r="JT660" s="39">
        <f t="shared" si="1802"/>
        <v>3.7257221601030435</v>
      </c>
      <c r="JU660" s="385">
        <f>(JQ660*JM660-INDEX(Input!$1:$1048576,Input!A$18,$C660*2+6)*JL660*INDEX(Input!$1:$1048576,Input!A$19,$C660*2+6))/1000000</f>
        <v>22.634744335509147</v>
      </c>
      <c r="JV660" s="39">
        <f t="shared" si="1803"/>
        <v>-1.2194292521464298</v>
      </c>
      <c r="JW660" s="1">
        <f t="shared" si="1804"/>
        <v>-5.1120163424042436E-2</v>
      </c>
      <c r="JX660" s="19">
        <f t="shared" si="1805"/>
        <v>8912.5924348202989</v>
      </c>
      <c r="JZ660" s="341"/>
      <c r="KA660" s="60"/>
      <c r="KB660" s="469">
        <f t="shared" si="1778"/>
        <v>0</v>
      </c>
      <c r="KI660" s="472"/>
      <c r="KJ660" s="472"/>
      <c r="KK660" s="472"/>
      <c r="KN660" s="793">
        <f t="shared" si="1779"/>
        <v>6002</v>
      </c>
      <c r="KO660" s="541">
        <f t="shared" si="1780"/>
        <v>4.0413458279270564E-2</v>
      </c>
      <c r="KP660" s="546">
        <f t="shared" si="1781"/>
        <v>333.96614430546038</v>
      </c>
      <c r="KQ660" s="546">
        <f t="shared" si="1782"/>
        <v>236.51868367836869</v>
      </c>
      <c r="KR660" s="472">
        <f t="shared" si="1783"/>
        <v>2.1203686862310254</v>
      </c>
      <c r="KS660" s="472">
        <f t="shared" si="1784"/>
        <v>2.9939763896604745</v>
      </c>
      <c r="KT660" s="473">
        <f t="shared" si="1795"/>
        <v>4286.2445668946921</v>
      </c>
      <c r="KU660" s="663">
        <f t="shared" si="1785"/>
        <v>4.4578481472085034</v>
      </c>
      <c r="KV660" s="117"/>
    </row>
    <row r="661" spans="1:308" s="26" customFormat="1" ht="15" outlineLevel="1">
      <c r="A661" s="561">
        <f t="shared" si="1751"/>
        <v>6061</v>
      </c>
      <c r="B661" s="561">
        <f t="shared" si="1786"/>
        <v>61</v>
      </c>
      <c r="C661" s="561">
        <f t="shared" si="1787"/>
        <v>6</v>
      </c>
      <c r="D661" s="561" t="str">
        <f t="shared" si="1953"/>
        <v xml:space="preserve">750 CC, 0/0/0.9/3.9, -360 Lease, </v>
      </c>
      <c r="E661" s="475">
        <f>INDEX(Input!$1:$1048576,E$93,$C661*2+MIN($B661,2)+5)
+INDEX(Scenarios!E$121:E$199,MATCH($B661,Scenarios!$B$121:$B$199,0))</f>
        <v>2017.2644913000609</v>
      </c>
      <c r="F661" s="475">
        <f>INDEX(Input!$1:$1048576,F$93,$C661*2+MIN($B661,2)+5)
+INDEX(Scenarios!F$121:F$199,MATCH($B661,Scenarios!$B$121:$B$199,0))</f>
        <v>0</v>
      </c>
      <c r="G661" s="475">
        <f>INDEX(Input!$1:$1048576,G$93,$C661*2+MIN($B661,2)+5)
+INDEX(Scenarios!G$121:G$199,MATCH($B661,Scenarios!$B$121:$B$199,0))</f>
        <v>0</v>
      </c>
      <c r="H661" s="475">
        <f>INDEX(Input!$1:$1048576,H$93,$C661*2+MIN($B661,2)+5)
+INDEX(Scenarios!H$121:H$199,MATCH($B661,Scenarios!$B$121:$B$199,0))</f>
        <v>0</v>
      </c>
      <c r="I661" s="476">
        <f>INDEX(Input!$1:$1048576,I$93,$C661*2+MIN($B661,2)+5)
+INDEX(Scenarios!I$121:I$199,MATCH($B661,Scenarios!$B$121:$B$199,0))</f>
        <v>0.7</v>
      </c>
      <c r="J661" s="476" t="str">
        <f>INDEX(Input!$1:$1048576,J$93,$C661*2+MIN($B661,2)+5)</f>
        <v>Market</v>
      </c>
      <c r="K661" s="476" t="str">
        <f>INDEX(Input!$1:$1048576,K$93,$C661*2+MIN($B661,2)+5)</f>
        <v>Market</v>
      </c>
      <c r="L661" s="476" t="str">
        <f>INDEX(Input!$1:$1048576,L$93,$C661*2+MIN($B661,2)+5)</f>
        <v>Market</v>
      </c>
      <c r="M661" s="476" t="str">
        <f>INDEX(Input!$1:$1048576,M$93,$C661*2+MIN($B661,2)+5)</f>
        <v>Market</v>
      </c>
      <c r="N661" s="476" t="str">
        <f>INDEX(Input!$1:$1048576,N$93,$C661*2+MIN($B661,2)+5)</f>
        <v>Market</v>
      </c>
      <c r="O661" s="476" t="str">
        <f>INDEX(Input!$1:$1048576,O$93,$C661*2+MIN($B661,2)+5)</f>
        <v>Market</v>
      </c>
      <c r="P661" s="476" t="str">
        <f>INDEX(Input!$1:$1048576,P$93,$C661*2+MIN($B661,2)+5)</f>
        <v>N</v>
      </c>
      <c r="Q661" s="477">
        <f>INDEX(Input!$1:$1048576,Q$93,$C661*2+MIN($B661,2)+5)
+INDEX(Scenarios!Q$121:Q$199,MATCH($B661,Scenarios!$B$121:$B$199,0))</f>
        <v>0</v>
      </c>
      <c r="R661" s="478">
        <f>IFERROR(MAX(0,INDEX(Input!$1:$1048576,R$93,$C661*2+MIN($B661,2)+5)
+INDEX(Scenarios!R$121:R$199,MATCH($B661,Scenarios!$B$121:$B$199,0)),),"Market")</f>
        <v>0</v>
      </c>
      <c r="S661" s="478">
        <f>IFERROR(MAX(0,INDEX(Input!$1:$1048576,S$93,$C661*2+MIN($B661,2)+5)
+INDEX(Scenarios!S$121:S$199,MATCH($B661,Scenarios!$B$121:$B$199,0)),),"Market")</f>
        <v>0</v>
      </c>
      <c r="T661" s="478">
        <f>IFERROR(MAX(0,INDEX(Input!$1:$1048576,T$93,$C661*2+MIN($B661,2)+5)
+INDEX(Scenarios!T$121:T$199,MATCH($B661,Scenarios!$B$121:$B$199,0)),),"Market")</f>
        <v>0</v>
      </c>
      <c r="U661" s="478">
        <f>IFERROR(MAX(0,INDEX(Input!$1:$1048576,U$93,$C661*2+MIN($B661,2)+5)
+INDEX(Scenarios!U$121:U$199,MATCH($B661,Scenarios!$B$121:$B$199,0)),),"Market")</f>
        <v>0</v>
      </c>
      <c r="V661" s="478">
        <f>IFERROR(MAX(0,INDEX(Input!$1:$1048576,V$93,$C661*2+MIN($B661,2)+5)
+INDEX(Scenarios!V$121:V$199,MATCH($B661,Scenarios!$B$121:$B$199,0)),),"Market")</f>
        <v>8.9999999999999993E-3</v>
      </c>
      <c r="W661" s="885">
        <f>IFERROR(MAX(0,INDEX(Input!$1:$1048576,W$93,$C661*2+MIN($B661,2)+5)-0%,),"Market")</f>
        <v>3.9E-2</v>
      </c>
      <c r="X661" s="476" t="str">
        <f>INDEX(Input!$1:$1048576,X$93,$C661*2+MIN($B661,2)+5)</f>
        <v>Y</v>
      </c>
      <c r="Y661" s="475">
        <f>INDEX(Input!$1:$1048576,Y$93,$C661*2+MIN($B661,2)+5)
++INDEX(Scenarios!Y$121:Y$199,MATCH($B661,Scenarios!$B$121:$B$199,0))</f>
        <v>377.99367635402496</v>
      </c>
      <c r="Z661" s="477">
        <f>INDEX(Input!$1:$1048576,Z$93,$C661*2+MIN($B661,2)+5)
+INDEX(Scenarios!Z$121:Z$199,MATCH($B661,Scenarios!$B$121:$B$199,0))</f>
        <v>0</v>
      </c>
      <c r="AA661" s="475">
        <f>INDEX(Input!$1:$1048576,AA$93,$C661*2+MIN($B661,2)+5)</f>
        <v>0</v>
      </c>
      <c r="AB661" s="476">
        <f>INDEX(Input!$1:$1048576,AB$93,$C661*2+MIN($B661,2)+5)</f>
        <v>0.27</v>
      </c>
      <c r="AC661" s="475">
        <f>INDEX(Input!$1:$1048576,AC$93,$C661*2+MIN($B661,2)+5)
+INDEX(Scenarios!AC$121:AC$199,MATCH($B661,Scenarios!$B$121:$B$199,0))</f>
        <v>0</v>
      </c>
      <c r="AD661" s="476">
        <f>INDEX(Input!$1:$1048576,AD$93,$C661*2+MIN($B661,2)+5)</f>
        <v>0.27</v>
      </c>
      <c r="AE661" s="475">
        <f>INDEX(Input!$1:$1048576,AE$93,$C661*2+MIN($B661,2)+5)
+INDEX(Scenarios!AE$121:AE$199,MATCH($B661,Scenarios!$B$121:$B$199,0))</f>
        <v>0</v>
      </c>
      <c r="AF661" s="476">
        <f>INDEX(Input!$1:$1048576,AF$93,$C661*2+MIN($B661,2)+5)</f>
        <v>1</v>
      </c>
      <c r="AG661" s="475">
        <f>INDEX(Input!$1:$1048576,AG$93,$C661*2+MIN($B661,2)+5)</f>
        <v>500</v>
      </c>
      <c r="AH661" s="476">
        <f>INDEX(Input!$1:$1048576,AH$93,$C661*2+MIN($B661,2)+5)</f>
        <v>1</v>
      </c>
      <c r="AI661" s="475">
        <f>INDEX(Input!$1:$1048576,AI$93,$C661*2+MIN($B661,2)+5)</f>
        <v>0</v>
      </c>
      <c r="AJ661" s="476">
        <f>INDEX(Input!$1:$1048576,AJ$93,$C661*2+MIN($B661,2)+5)</f>
        <v>0.27</v>
      </c>
      <c r="AK661" s="150">
        <f>ROUND(INDEX(Input!$1:$1048576,AK$93,$C660*2+MIN($B661,1)+5)+(Y661-VLOOKUP($C661*1000+1,$A:$HH,Y$92,FALSE)),0)</f>
        <v>2701</v>
      </c>
      <c r="AL661" s="150">
        <f>ROUND(INDEX(Input!$1:$1048576,AL$93,$C660*2+MIN($B661,1)+5)-(Y661-VLOOKUP($C661*1000+1,$A:$HH,Y$92,FALSE))/36,0)</f>
        <v>3562</v>
      </c>
      <c r="AM661" s="32" t="str">
        <f t="shared" si="1752"/>
        <v>std/std/std/std</v>
      </c>
      <c r="AN661" s="32" t="str">
        <f t="shared" si="1753"/>
        <v>$0 + 0/0/0/0.9/3.9</v>
      </c>
      <c r="AO661" s="32" t="str">
        <f t="shared" si="1754"/>
        <v>0/0/0/0.9/3.9</v>
      </c>
      <c r="AP661" s="32" t="str">
        <f t="shared" si="1716"/>
        <v>0/0/0.9/3.9</v>
      </c>
      <c r="AQ661" s="536">
        <f t="shared" si="1892"/>
        <v>0.43089545187692818</v>
      </c>
      <c r="AR661" s="32"/>
      <c r="AS661" s="302"/>
      <c r="AT661" s="3">
        <f t="shared" si="1788"/>
        <v>61</v>
      </c>
      <c r="AU661" s="41" t="s">
        <v>121</v>
      </c>
      <c r="AV661" s="41" t="s">
        <v>116</v>
      </c>
      <c r="AW661" s="41" t="str">
        <f>INDEX(Input!$1:$1048576,AW$93,$C661*2+6)</f>
        <v>Kia</v>
      </c>
      <c r="AX661" s="41" t="str">
        <f>INDEX(Input!$1:$1048576,AX$93,$C661*2+6)</f>
        <v>National</v>
      </c>
      <c r="AY661" s="41" t="str">
        <f>IF(LEN(D661)=0,"",INDEX(Input!$1:$1048576,AY$93,$C661*2+6))</f>
        <v>Compact SUV (52)</v>
      </c>
      <c r="AZ661" s="41" t="str">
        <f>INDEX(Input!$1:$1048576,AZ$93,$C661*2+6)</f>
        <v>Kia Soul</v>
      </c>
      <c r="BA661" s="3">
        <f>INDEX(Input!$1:$1048576,BA$93,$C661*2+6)</f>
        <v>2020</v>
      </c>
      <c r="BB661" s="128">
        <f>INDEX(Input!$1:$1048576,BB$93,$C661*2+6)</f>
        <v>1</v>
      </c>
      <c r="BC661" s="128">
        <f>INDEX(Input!$1:$1048576,BC$93,$C661*2+6)</f>
        <v>0.7</v>
      </c>
      <c r="BD661" s="1">
        <f>INDEX(Input!$1:$1048576,BD$93,$C661*2+6)</f>
        <v>4.4999999999999998E-2</v>
      </c>
      <c r="BE661" s="1">
        <f>INDEX(Input!$1:$1048576,BE$93,$C661*2+6)</f>
        <v>4.4999999999999998E-2</v>
      </c>
      <c r="BF661" s="1">
        <f>INDEX(Input!$1:$1048576,BF$93,$C661*2+6)</f>
        <v>0.05</v>
      </c>
      <c r="BG661" s="1">
        <f>INDEX(Input!$1:$1048576,BG$93,$C661*2+6)</f>
        <v>5.45E-2</v>
      </c>
      <c r="BH661" s="1">
        <f>INDEX(Input!$1:$1048576,BH$93,$C661*2+6)</f>
        <v>5.45E-2</v>
      </c>
      <c r="BI661" s="1">
        <f>INDEX(Input!$1:$1048576,BI$93,$C661*2+6)</f>
        <v>0.05</v>
      </c>
      <c r="BJ661" s="1">
        <f>INDEX(Input!$1:$1048576,BJ$93,$C661*2+6)</f>
        <v>0.05</v>
      </c>
      <c r="BK661" s="1">
        <f>INDEX(Input!$1:$1048576,BK$93,$C661*2+6)</f>
        <v>0.05</v>
      </c>
      <c r="BL661" s="1">
        <f>INDEX(Input!$1:$1048576,BL$93,$C661*2+6)</f>
        <v>5.5E-2</v>
      </c>
      <c r="BM661" s="1">
        <f>INDEX(Input!$1:$1048576,BM$93,$C661*2+6)</f>
        <v>0.06</v>
      </c>
      <c r="BN661" s="1">
        <f>INDEX(Input!$1:$1048576,BN$93,$C661*2+6)</f>
        <v>4.4999999999999998E-2</v>
      </c>
      <c r="BO661" s="1">
        <f>INDEX(Input!$1:$1048576,BO$93,$C661*2+6)</f>
        <v>4.4999999999999998E-2</v>
      </c>
      <c r="BP661" s="1">
        <f>INDEX(Input!$1:$1048576,BP$93,$C661*2+6)</f>
        <v>0.05</v>
      </c>
      <c r="BQ661" s="1">
        <f>INDEX(Input!$1:$1048576,BQ$93,$C661*2+6)</f>
        <v>5.45E-2</v>
      </c>
      <c r="BR661" s="1">
        <f>INDEX(Input!$1:$1048576,BR$93,$C661*2+6)</f>
        <v>5.45E-2</v>
      </c>
      <c r="BS661" s="1">
        <f>INDEX(Input!$1:$1048576,BS$93,$C661*2+6)</f>
        <v>0.05</v>
      </c>
      <c r="BT661" s="1">
        <f>INDEX(Input!$1:$1048576,BT$93,$C661*2+6)</f>
        <v>0.05</v>
      </c>
      <c r="BU661" s="1">
        <f>INDEX(Input!$1:$1048576,BU$93,$C661*2+6)</f>
        <v>0.05</v>
      </c>
      <c r="BV661" s="1">
        <f>INDEX(Input!$1:$1048576,BV$93,$C661*2+6)</f>
        <v>5.5E-2</v>
      </c>
      <c r="BW661" s="1">
        <f>INDEX(Input!$1:$1048576,BW$93,$C661*2+6)</f>
        <v>0.06</v>
      </c>
      <c r="BX661" s="127">
        <f>INDEX(Input!$1:$1048576,BX$93,$C661*2+6)</f>
        <v>19985</v>
      </c>
      <c r="BY661" s="20">
        <f>INDEX(Input!$1:$1048576,BY$93,$C661*2+6)</f>
        <v>0.1</v>
      </c>
      <c r="BZ661" s="20">
        <f>INDEX(Input!$1:$1048576,BZ$93,$C661*2+6)</f>
        <v>0.1</v>
      </c>
      <c r="CA661" s="20">
        <f>INDEX(Input!$1:$1048576,CA$93,$C661*2+6)</f>
        <v>0.1</v>
      </c>
      <c r="CB661" s="20">
        <f>INDEX(Input!$1:$1048576,CB$93,$C661*2+6)</f>
        <v>0.1</v>
      </c>
      <c r="CC661" s="20">
        <f>INDEX(Input!$1:$1048576,CC$93,$C661*2+6)</f>
        <v>0.1</v>
      </c>
      <c r="CD661" s="384">
        <f>INDEX(Input!$1:$1048576,CD$93,$C661*2+6)</f>
        <v>0.1</v>
      </c>
      <c r="CE661" s="384">
        <f>INDEX(Input!$1:$1048576,CE$93,$C661*2+6)</f>
        <v>0.1</v>
      </c>
      <c r="CF661" s="384">
        <f>INDEX(Input!$1:$1048576,CF$93,$C661*2+6)</f>
        <v>0.1</v>
      </c>
      <c r="CG661" s="384">
        <f>INDEX(Input!$1:$1048576,CG$93,$C661*2+6)</f>
        <v>0.1</v>
      </c>
      <c r="CH661" s="384">
        <f>INDEX(Input!$1:$1048576,CH$93,$C661*2+6)</f>
        <v>0.1</v>
      </c>
      <c r="CI661" s="304">
        <f t="shared" si="1718"/>
        <v>2017.2644913000609</v>
      </c>
      <c r="CJ661" s="16" t="str">
        <f>INDEX(Input!$1:$1048576,CJ$93,$C661*2+6)</f>
        <v>N</v>
      </c>
      <c r="CK661" s="1" t="str">
        <f t="shared" si="1719"/>
        <v>Market</v>
      </c>
      <c r="CL661" s="1" t="str">
        <f t="shared" si="1720"/>
        <v>Market</v>
      </c>
      <c r="CM661" s="1" t="str">
        <f t="shared" si="1721"/>
        <v>Market</v>
      </c>
      <c r="CN661" s="1" t="str">
        <f t="shared" si="1722"/>
        <v>Market</v>
      </c>
      <c r="CO661" s="1" t="str">
        <f t="shared" si="1723"/>
        <v>Market</v>
      </c>
      <c r="CP661" s="304">
        <f t="shared" si="1724"/>
        <v>500</v>
      </c>
      <c r="CQ661" s="1">
        <f t="shared" si="1725"/>
        <v>0</v>
      </c>
      <c r="CR661" s="1">
        <f t="shared" si="1726"/>
        <v>0</v>
      </c>
      <c r="CS661" s="1">
        <f t="shared" si="1727"/>
        <v>0</v>
      </c>
      <c r="CT661" s="1">
        <f t="shared" si="1728"/>
        <v>8.9999999999999993E-3</v>
      </c>
      <c r="CU661" s="1">
        <f t="shared" si="1729"/>
        <v>3.9E-2</v>
      </c>
      <c r="CV661" s="304">
        <f t="shared" si="1730"/>
        <v>377.99367635402496</v>
      </c>
      <c r="CW661" s="20" t="s">
        <v>122</v>
      </c>
      <c r="CX661" s="20" t="s">
        <v>122</v>
      </c>
      <c r="CY661" s="20" t="s">
        <v>122</v>
      </c>
      <c r="CZ661" s="20" t="s">
        <v>122</v>
      </c>
      <c r="DA661" s="20" t="s">
        <v>122</v>
      </c>
      <c r="DB661" s="503">
        <f t="shared" si="1731"/>
        <v>0</v>
      </c>
      <c r="DC661" s="127">
        <v>0</v>
      </c>
      <c r="DD661" s="127">
        <v>0</v>
      </c>
      <c r="DE661" s="127">
        <v>0</v>
      </c>
      <c r="DF661" s="127">
        <v>0</v>
      </c>
      <c r="DG661" s="127">
        <v>0</v>
      </c>
      <c r="DH661" s="127">
        <v>0</v>
      </c>
      <c r="DI661" s="127">
        <v>0</v>
      </c>
      <c r="DJ661" s="127">
        <v>0</v>
      </c>
      <c r="DK661" s="127">
        <v>0</v>
      </c>
      <c r="DL661" s="127">
        <v>0</v>
      </c>
      <c r="DM661" s="304">
        <f>INDEX(Input!$1:$1048576,DM$93,$C661*2+6)</f>
        <v>21036.84210526316</v>
      </c>
      <c r="DN661" s="20">
        <v>0</v>
      </c>
      <c r="DO661" s="20">
        <v>0</v>
      </c>
      <c r="DP661" s="20">
        <v>0</v>
      </c>
      <c r="DQ661" s="20">
        <v>0</v>
      </c>
      <c r="DR661" s="20">
        <v>0</v>
      </c>
      <c r="DS661" s="20">
        <f>INDEX(Input!$1:$1048576,DS$93,$C661*2+6)</f>
        <v>0.6</v>
      </c>
      <c r="DT661" s="20">
        <f>INDEX(Input!$1:$1048576,DT$93,$C661*2+6)</f>
        <v>0.55000000000000004</v>
      </c>
      <c r="DU661" s="20">
        <f>INDEX(Input!$1:$1048576,DU$93,$C661*2+6)</f>
        <v>0.52</v>
      </c>
      <c r="DV661" s="20">
        <f>INDEX(Input!$1:$1048576,DV$93,$C661*2+6)</f>
        <v>0.5</v>
      </c>
      <c r="DW661" s="20">
        <f>INDEX(Input!$1:$1048576,DW$93,$C661*2+6)</f>
        <v>0.45</v>
      </c>
      <c r="DX661" s="20"/>
      <c r="DY661" s="7"/>
      <c r="DZ661" s="7"/>
      <c r="EA661" s="7"/>
      <c r="EB661" s="7"/>
      <c r="EC661" s="7"/>
      <c r="ED661" s="7"/>
      <c r="EE661" s="7"/>
      <c r="EF661" s="7"/>
      <c r="EG661" s="7"/>
      <c r="EH661" s="7"/>
      <c r="EI661" s="7"/>
      <c r="EJ661" s="7"/>
      <c r="EK661" s="7"/>
      <c r="EL661" s="7"/>
      <c r="EM661" s="7"/>
      <c r="EN661" s="7"/>
      <c r="EO661" s="7"/>
      <c r="EP661" s="7"/>
      <c r="EQ661" s="7"/>
      <c r="ER661" s="7"/>
      <c r="ES661" s="7"/>
      <c r="ET661" s="7"/>
      <c r="EU661" s="6"/>
      <c r="EV661" s="6"/>
      <c r="EW661" s="6"/>
      <c r="EX661" s="6"/>
      <c r="EY661" s="6"/>
      <c r="EZ661" s="6"/>
      <c r="FA661" s="6"/>
      <c r="FB661" s="6"/>
      <c r="FC661" s="6"/>
      <c r="FD661" s="6"/>
      <c r="FE661" s="6"/>
      <c r="FF661" s="6"/>
      <c r="FG661" s="6"/>
      <c r="FH661" s="6"/>
      <c r="FI661" s="6"/>
      <c r="FJ661" s="6"/>
      <c r="FK661" s="6"/>
      <c r="FL661" s="6"/>
      <c r="FM661" s="6"/>
      <c r="FN661" s="6"/>
      <c r="FO661" s="6"/>
      <c r="FP661" s="6"/>
      <c r="FQ661" s="6"/>
      <c r="FR661" s="6"/>
      <c r="FS661" s="6"/>
      <c r="FT661" s="7"/>
      <c r="FU661" s="7"/>
      <c r="FV661" s="7"/>
      <c r="FW661" s="6"/>
      <c r="FX661" s="6"/>
      <c r="FY661" s="6"/>
      <c r="FZ661" s="6"/>
      <c r="GA661" s="6"/>
      <c r="GB661" s="6"/>
      <c r="GC661" s="7"/>
      <c r="GD661" s="7"/>
      <c r="GE661" s="7"/>
      <c r="GF661" s="7"/>
      <c r="GG661" s="7"/>
      <c r="GH661" s="42"/>
      <c r="GI661" s="6"/>
      <c r="GJ661" s="14"/>
      <c r="GK661" s="14"/>
      <c r="GL661" s="14"/>
      <c r="GM661" s="14"/>
      <c r="GO661" s="5"/>
      <c r="GP661" s="5"/>
      <c r="GQ661" s="5"/>
      <c r="GR661" s="5"/>
      <c r="GS661" s="5"/>
      <c r="GT661" s="5"/>
      <c r="GU661" s="5"/>
      <c r="GV661" s="39"/>
      <c r="GW661" s="5"/>
      <c r="GX661" s="5"/>
      <c r="GY661" s="5"/>
      <c r="GZ661" s="5"/>
      <c r="HA661" s="5"/>
      <c r="HB661" s="39"/>
      <c r="HC661" s="5"/>
      <c r="HD661" s="5"/>
      <c r="HE661" s="5"/>
      <c r="HF661" s="5"/>
      <c r="HG661" s="5"/>
      <c r="HH661" s="39"/>
      <c r="HI661" s="16"/>
      <c r="HJ661" s="19"/>
      <c r="HK661" s="1"/>
      <c r="HL661" s="16"/>
      <c r="HM661" s="639">
        <f t="shared" si="1755"/>
        <v>2.3149872625708352E-2</v>
      </c>
      <c r="HN661" s="639">
        <f t="shared" si="1756"/>
        <v>1.3965040474190958E-3</v>
      </c>
      <c r="HO661" s="639">
        <f t="shared" si="1757"/>
        <v>3.5429561340050734E-3</v>
      </c>
      <c r="HP661" s="644">
        <f t="shared" ref="HP661:ID661" si="1978">HP161+HP261+HP361+HP461+HP561</f>
        <v>928.01566861718129</v>
      </c>
      <c r="HQ661" s="644">
        <f t="shared" si="1978"/>
        <v>-0.83942087440142954</v>
      </c>
      <c r="HR661" s="644">
        <f t="shared" si="1978"/>
        <v>-296.16410287984667</v>
      </c>
      <c r="HS661" s="644">
        <f t="shared" si="1978"/>
        <v>-324.7449620823524</v>
      </c>
      <c r="HT661" s="644">
        <f t="shared" si="1978"/>
        <v>177.32721686879114</v>
      </c>
      <c r="HU661" s="644">
        <f t="shared" si="1978"/>
        <v>27.95877739246087</v>
      </c>
      <c r="HV661" s="644">
        <f t="shared" si="1978"/>
        <v>0</v>
      </c>
      <c r="HW661" s="644">
        <f t="shared" si="1978"/>
        <v>0</v>
      </c>
      <c r="HX661" s="644">
        <f t="shared" si="1978"/>
        <v>0</v>
      </c>
      <c r="HY661" s="644">
        <f t="shared" si="1978"/>
        <v>2396</v>
      </c>
      <c r="HZ661" s="644">
        <f t="shared" si="1978"/>
        <v>3223</v>
      </c>
      <c r="IA661" s="644">
        <f t="shared" si="1978"/>
        <v>830</v>
      </c>
      <c r="IB661" s="644">
        <f t="shared" si="1978"/>
        <v>2999.2707065348286</v>
      </c>
      <c r="IC661" s="644">
        <f t="shared" si="1978"/>
        <v>3399.4877959943897</v>
      </c>
      <c r="ID661" s="644">
        <f t="shared" si="1978"/>
        <v>561.79467451261416</v>
      </c>
      <c r="IE661" s="20">
        <f t="shared" si="1759"/>
        <v>0.43089545187692818</v>
      </c>
      <c r="IF661" s="20">
        <f t="shared" si="1760"/>
        <v>0.48839333735815788</v>
      </c>
      <c r="IG661" s="20">
        <f t="shared" si="1761"/>
        <v>8.071121076491386E-2</v>
      </c>
      <c r="IH661" s="21"/>
      <c r="II661" s="19"/>
      <c r="IJ661" s="19"/>
      <c r="IK661" s="19"/>
      <c r="IL661" s="19">
        <f t="shared" si="1762"/>
        <v>912.20940735796648</v>
      </c>
      <c r="IM661" s="19">
        <f t="shared" si="1763"/>
        <v>498.67741346679895</v>
      </c>
      <c r="IN661" s="19">
        <f t="shared" si="1764"/>
        <v>-241.00242813514251</v>
      </c>
      <c r="IO661" s="39"/>
      <c r="IP661" s="39"/>
      <c r="IQ661" s="39"/>
      <c r="IR661" s="39"/>
      <c r="IS661" s="39"/>
      <c r="IT661" s="39"/>
      <c r="IU661" s="39"/>
      <c r="IV661" s="39"/>
      <c r="IW661" s="39"/>
      <c r="IX661" s="19">
        <f t="shared" si="1765"/>
        <v>1554.1790484140233</v>
      </c>
      <c r="IY661" s="19">
        <f t="shared" si="1766"/>
        <v>2412.3001201524512</v>
      </c>
      <c r="IZ661" s="19">
        <f t="shared" si="1767"/>
        <v>3993.0862952928574</v>
      </c>
      <c r="JA661" s="19">
        <f t="shared" ref="JA661:JC661" si="1979">IFERROR((JA161*IB161+JA261*IB261+JA361*IB361+JA461*IB461+JA561*IB561)/IB661,0)</f>
        <v>2466.3884557719898</v>
      </c>
      <c r="JB661" s="19">
        <f t="shared" si="1979"/>
        <v>2910.9775336192502</v>
      </c>
      <c r="JC661" s="19">
        <f t="shared" si="1979"/>
        <v>3752.0838671577148</v>
      </c>
      <c r="JD661" s="19">
        <f t="shared" si="1769"/>
        <v>2787.2928325826351</v>
      </c>
      <c r="JE661" s="21"/>
      <c r="JF661" s="1">
        <f t="shared" si="1770"/>
        <v>2.6651855648468406E-2</v>
      </c>
      <c r="JG661" s="15">
        <f t="shared" si="1771"/>
        <v>6449</v>
      </c>
      <c r="JH661" s="1">
        <f t="shared" si="1772"/>
        <v>9.7846510290422253E-2</v>
      </c>
      <c r="JI661" s="1">
        <f t="shared" si="1773"/>
        <v>-1.8523642087315922E-2</v>
      </c>
      <c r="JJ661" s="1">
        <f t="shared" si="1774"/>
        <v>0</v>
      </c>
      <c r="JK661" s="1">
        <f t="shared" si="1775"/>
        <v>7.9322868203106328E-2</v>
      </c>
      <c r="JL661" s="15">
        <f t="shared" ref="JL661:JM661" si="1980">JL161+JL261+JL361+JL461+JL561</f>
        <v>511.55317704183273</v>
      </c>
      <c r="JM661" s="15">
        <f t="shared" si="1980"/>
        <v>6960.5531770418329</v>
      </c>
      <c r="JN661" s="21"/>
      <c r="JO661" s="19">
        <f>INDEX(Input!$1:$1048576,JO$93,$C661*2+6)</f>
        <v>5995.5</v>
      </c>
      <c r="JP661" s="19">
        <f>INDEX(Input!$1:$1048576,JP$93,$C661*2+6)</f>
        <v>2296.6050414551746</v>
      </c>
      <c r="JQ661" s="39">
        <f t="shared" si="1799"/>
        <v>3208.2071674173649</v>
      </c>
      <c r="JR661" s="39">
        <f t="shared" si="1800"/>
        <v>490.68779112746051</v>
      </c>
      <c r="JS661" s="39">
        <f t="shared" si="1801"/>
        <v>19.401099981178991</v>
      </c>
      <c r="JT661" s="39">
        <f t="shared" si="1802"/>
        <v>4.590294068834571</v>
      </c>
      <c r="JU661" s="385">
        <f>(JQ661*JM661-INDEX(Input!$1:$1048576,Input!A$18,$C661*2+6)*JL661*INDEX(Input!$1:$1048576,Input!A$19,$C661*2+6))/1000000</f>
        <v>22.330896591775318</v>
      </c>
      <c r="JV661" s="39">
        <f t="shared" si="1803"/>
        <v>-1.5232769958802592</v>
      </c>
      <c r="JW661" s="1">
        <f t="shared" si="1804"/>
        <v>-6.3857881736408093E-2</v>
      </c>
      <c r="JX661" s="19">
        <f t="shared" si="1805"/>
        <v>8973.2490674360433</v>
      </c>
      <c r="JZ661" s="341"/>
      <c r="KA661" s="60"/>
      <c r="KB661" s="469">
        <f t="shared" si="1778"/>
        <v>0</v>
      </c>
      <c r="KI661" s="472"/>
      <c r="KJ661" s="472"/>
      <c r="KK661" s="472"/>
      <c r="KN661" s="793">
        <f t="shared" si="1779"/>
        <v>6002</v>
      </c>
      <c r="KO661" s="541">
        <f t="shared" si="1780"/>
        <v>5.4583167727775939E-2</v>
      </c>
      <c r="KP661" s="546">
        <f t="shared" si="1781"/>
        <v>448.63851459571697</v>
      </c>
      <c r="KQ661" s="546">
        <f t="shared" si="1782"/>
        <v>324.4595759774902</v>
      </c>
      <c r="KR661" s="472">
        <f t="shared" si="1783"/>
        <v>2.1318173433474303</v>
      </c>
      <c r="KS661" s="472">
        <f t="shared" si="1784"/>
        <v>2.9477181045663801</v>
      </c>
      <c r="KT661" s="473">
        <f t="shared" si="1795"/>
        <v>4286.2445668946921</v>
      </c>
      <c r="KU661" s="663">
        <f t="shared" si="1785"/>
        <v>4.47365049102231</v>
      </c>
      <c r="KV661" s="117"/>
    </row>
    <row r="662" spans="1:308" s="26" customFormat="1" ht="15" outlineLevel="1">
      <c r="A662" s="561">
        <f t="shared" si="1751"/>
        <v>6062</v>
      </c>
      <c r="B662" s="561">
        <f t="shared" si="1786"/>
        <v>62</v>
      </c>
      <c r="C662" s="561">
        <f t="shared" si="1787"/>
        <v>6</v>
      </c>
      <c r="D662" s="561" t="str">
        <f t="shared" si="1953"/>
        <v xml:space="preserve">1000 CC, 0/0/0.9/3.9, -360 Lease, </v>
      </c>
      <c r="E662" s="475">
        <f>INDEX(Input!$1:$1048576,E$93,$C662*2+MIN($B662,2)+5)
+INDEX(Scenarios!E$121:E$199,MATCH($B662,Scenarios!$B$121:$B$199,0))</f>
        <v>2267.2644913000609</v>
      </c>
      <c r="F662" s="475">
        <f>INDEX(Input!$1:$1048576,F$93,$C662*2+MIN($B662,2)+5)
+INDEX(Scenarios!F$121:F$199,MATCH($B662,Scenarios!$B$121:$B$199,0))</f>
        <v>0</v>
      </c>
      <c r="G662" s="475">
        <f>INDEX(Input!$1:$1048576,G$93,$C662*2+MIN($B662,2)+5)
+INDEX(Scenarios!G$121:G$199,MATCH($B662,Scenarios!$B$121:$B$199,0))</f>
        <v>0</v>
      </c>
      <c r="H662" s="475">
        <f>INDEX(Input!$1:$1048576,H$93,$C662*2+MIN($B662,2)+5)
+INDEX(Scenarios!H$121:H$199,MATCH($B662,Scenarios!$B$121:$B$199,0))</f>
        <v>0</v>
      </c>
      <c r="I662" s="476">
        <f>INDEX(Input!$1:$1048576,I$93,$C662*2+MIN($B662,2)+5)
+INDEX(Scenarios!I$121:I$199,MATCH($B662,Scenarios!$B$121:$B$199,0))</f>
        <v>0.7</v>
      </c>
      <c r="J662" s="476" t="str">
        <f>INDEX(Input!$1:$1048576,J$93,$C662*2+MIN($B662,2)+5)</f>
        <v>Market</v>
      </c>
      <c r="K662" s="476" t="str">
        <f>INDEX(Input!$1:$1048576,K$93,$C662*2+MIN($B662,2)+5)</f>
        <v>Market</v>
      </c>
      <c r="L662" s="476" t="str">
        <f>INDEX(Input!$1:$1048576,L$93,$C662*2+MIN($B662,2)+5)</f>
        <v>Market</v>
      </c>
      <c r="M662" s="476" t="str">
        <f>INDEX(Input!$1:$1048576,M$93,$C662*2+MIN($B662,2)+5)</f>
        <v>Market</v>
      </c>
      <c r="N662" s="476" t="str">
        <f>INDEX(Input!$1:$1048576,N$93,$C662*2+MIN($B662,2)+5)</f>
        <v>Market</v>
      </c>
      <c r="O662" s="476" t="str">
        <f>INDEX(Input!$1:$1048576,O$93,$C662*2+MIN($B662,2)+5)</f>
        <v>Market</v>
      </c>
      <c r="P662" s="476" t="str">
        <f>INDEX(Input!$1:$1048576,P$93,$C662*2+MIN($B662,2)+5)</f>
        <v>N</v>
      </c>
      <c r="Q662" s="477">
        <f>INDEX(Input!$1:$1048576,Q$93,$C662*2+MIN($B662,2)+5)
+INDEX(Scenarios!Q$121:Q$199,MATCH($B662,Scenarios!$B$121:$B$199,0))</f>
        <v>0</v>
      </c>
      <c r="R662" s="478">
        <f>IFERROR(MAX(0,INDEX(Input!$1:$1048576,R$93,$C662*2+MIN($B662,2)+5)
+INDEX(Scenarios!R$121:R$199,MATCH($B662,Scenarios!$B$121:$B$199,0)),),"Market")</f>
        <v>0</v>
      </c>
      <c r="S662" s="478">
        <f>IFERROR(MAX(0,INDEX(Input!$1:$1048576,S$93,$C662*2+MIN($B662,2)+5)
+INDEX(Scenarios!S$121:S$199,MATCH($B662,Scenarios!$B$121:$B$199,0)),),"Market")</f>
        <v>0</v>
      </c>
      <c r="T662" s="478">
        <f>IFERROR(MAX(0,INDEX(Input!$1:$1048576,T$93,$C662*2+MIN($B662,2)+5)
+INDEX(Scenarios!T$121:T$199,MATCH($B662,Scenarios!$B$121:$B$199,0)),),"Market")</f>
        <v>0</v>
      </c>
      <c r="U662" s="478">
        <f>IFERROR(MAX(0,INDEX(Input!$1:$1048576,U$93,$C662*2+MIN($B662,2)+5)
+INDEX(Scenarios!U$121:U$199,MATCH($B662,Scenarios!$B$121:$B$199,0)),),"Market")</f>
        <v>0</v>
      </c>
      <c r="V662" s="478">
        <f>IFERROR(MAX(0,INDEX(Input!$1:$1048576,V$93,$C662*2+MIN($B662,2)+5)
+INDEX(Scenarios!V$121:V$199,MATCH($B662,Scenarios!$B$121:$B$199,0)),),"Market")</f>
        <v>8.9999999999999993E-3</v>
      </c>
      <c r="W662" s="885">
        <f>IFERROR(MAX(0,INDEX(Input!$1:$1048576,W$93,$C662*2+MIN($B662,2)+5)-0%),"Market")</f>
        <v>3.9E-2</v>
      </c>
      <c r="X662" s="476" t="str">
        <f>INDEX(Input!$1:$1048576,X$93,$C662*2+MIN($B662,2)+5)</f>
        <v>Y</v>
      </c>
      <c r="Y662" s="475">
        <f>INDEX(Input!$1:$1048576,Y$93,$C662*2+MIN($B662,2)+5)
++INDEX(Scenarios!Y$121:Y$199,MATCH($B662,Scenarios!$B$121:$B$199,0))</f>
        <v>377.99367635402496</v>
      </c>
      <c r="Z662" s="477">
        <f>INDEX(Input!$1:$1048576,Z$93,$C662*2+MIN($B662,2)+5)
+INDEX(Scenarios!Z$121:Z$199,MATCH($B662,Scenarios!$B$121:$B$199,0))</f>
        <v>0</v>
      </c>
      <c r="AA662" s="475">
        <f>INDEX(Input!$1:$1048576,AA$93,$C662*2+MIN($B662,2)+5)</f>
        <v>0</v>
      </c>
      <c r="AB662" s="476">
        <f>INDEX(Input!$1:$1048576,AB$93,$C662*2+MIN($B662,2)+5)</f>
        <v>0.27</v>
      </c>
      <c r="AC662" s="475">
        <f>INDEX(Input!$1:$1048576,AC$93,$C662*2+MIN($B662,2)+5)
+INDEX(Scenarios!AC$121:AC$199,MATCH($B662,Scenarios!$B$121:$B$199,0))</f>
        <v>0</v>
      </c>
      <c r="AD662" s="476">
        <f>INDEX(Input!$1:$1048576,AD$93,$C662*2+MIN($B662,2)+5)</f>
        <v>0.27</v>
      </c>
      <c r="AE662" s="475">
        <f>INDEX(Input!$1:$1048576,AE$93,$C662*2+MIN($B662,2)+5)
+INDEX(Scenarios!AE$121:AE$199,MATCH($B662,Scenarios!$B$121:$B$199,0))</f>
        <v>0</v>
      </c>
      <c r="AF662" s="476">
        <f>INDEX(Input!$1:$1048576,AF$93,$C662*2+MIN($B662,2)+5)</f>
        <v>1</v>
      </c>
      <c r="AG662" s="475">
        <f>INDEX(Input!$1:$1048576,AG$93,$C662*2+MIN($B662,2)+5)</f>
        <v>500</v>
      </c>
      <c r="AH662" s="476">
        <f>INDEX(Input!$1:$1048576,AH$93,$C662*2+MIN($B662,2)+5)</f>
        <v>1</v>
      </c>
      <c r="AI662" s="475">
        <f>INDEX(Input!$1:$1048576,AI$93,$C662*2+MIN($B662,2)+5)</f>
        <v>0</v>
      </c>
      <c r="AJ662" s="476">
        <f>INDEX(Input!$1:$1048576,AJ$93,$C662*2+MIN($B662,2)+5)</f>
        <v>0.27</v>
      </c>
      <c r="AK662" s="150">
        <f>ROUND(INDEX(Input!$1:$1048576,AK$93,$C661*2+MIN($B662,1)+5)+(Y662-VLOOKUP($C662*1000+1,$A:$HH,Y$92,FALSE)),0)</f>
        <v>2701</v>
      </c>
      <c r="AL662" s="150">
        <f>ROUND(INDEX(Input!$1:$1048576,AL$93,$C661*2+MIN($B662,1)+5)-(Y662-VLOOKUP($C662*1000+1,$A:$HH,Y$92,FALSE))/36,0)</f>
        <v>3562</v>
      </c>
      <c r="AM662" s="32" t="str">
        <f t="shared" si="1752"/>
        <v>std/std/std/std</v>
      </c>
      <c r="AN662" s="32" t="str">
        <f t="shared" si="1753"/>
        <v>$0 + 0/0/0/0.9/3.9</v>
      </c>
      <c r="AO662" s="32" t="str">
        <f t="shared" si="1754"/>
        <v>0/0/0/0.9/3.9</v>
      </c>
      <c r="AP662" s="32" t="str">
        <f t="shared" si="1716"/>
        <v>0/0/0.9/3.9</v>
      </c>
      <c r="AQ662" s="536">
        <f t="shared" si="1892"/>
        <v>0.44996601810243447</v>
      </c>
      <c r="AR662" s="32"/>
      <c r="AS662" s="302"/>
      <c r="AT662" s="3">
        <f t="shared" si="1788"/>
        <v>62</v>
      </c>
      <c r="AU662" s="41" t="s">
        <v>121</v>
      </c>
      <c r="AV662" s="41" t="s">
        <v>116</v>
      </c>
      <c r="AW662" s="41" t="str">
        <f>INDEX(Input!$1:$1048576,AW$93,$C662*2+6)</f>
        <v>Kia</v>
      </c>
      <c r="AX662" s="41" t="str">
        <f>INDEX(Input!$1:$1048576,AX$93,$C662*2+6)</f>
        <v>National</v>
      </c>
      <c r="AY662" s="41" t="str">
        <f>IF(LEN(D662)=0,"",INDEX(Input!$1:$1048576,AY$93,$C662*2+6))</f>
        <v>Compact SUV (52)</v>
      </c>
      <c r="AZ662" s="41" t="str">
        <f>INDEX(Input!$1:$1048576,AZ$93,$C662*2+6)</f>
        <v>Kia Soul</v>
      </c>
      <c r="BA662" s="3">
        <f>INDEX(Input!$1:$1048576,BA$93,$C662*2+6)</f>
        <v>2020</v>
      </c>
      <c r="BB662" s="128">
        <f>INDEX(Input!$1:$1048576,BB$93,$C662*2+6)</f>
        <v>1</v>
      </c>
      <c r="BC662" s="128">
        <f>INDEX(Input!$1:$1048576,BC$93,$C662*2+6)</f>
        <v>0.7</v>
      </c>
      <c r="BD662" s="1">
        <f>INDEX(Input!$1:$1048576,BD$93,$C662*2+6)</f>
        <v>4.4999999999999998E-2</v>
      </c>
      <c r="BE662" s="1">
        <f>INDEX(Input!$1:$1048576,BE$93,$C662*2+6)</f>
        <v>4.4999999999999998E-2</v>
      </c>
      <c r="BF662" s="1">
        <f>INDEX(Input!$1:$1048576,BF$93,$C662*2+6)</f>
        <v>0.05</v>
      </c>
      <c r="BG662" s="1">
        <f>INDEX(Input!$1:$1048576,BG$93,$C662*2+6)</f>
        <v>5.45E-2</v>
      </c>
      <c r="BH662" s="1">
        <f>INDEX(Input!$1:$1048576,BH$93,$C662*2+6)</f>
        <v>5.45E-2</v>
      </c>
      <c r="BI662" s="1">
        <f>INDEX(Input!$1:$1048576,BI$93,$C662*2+6)</f>
        <v>0.05</v>
      </c>
      <c r="BJ662" s="1">
        <f>INDEX(Input!$1:$1048576,BJ$93,$C662*2+6)</f>
        <v>0.05</v>
      </c>
      <c r="BK662" s="1">
        <f>INDEX(Input!$1:$1048576,BK$93,$C662*2+6)</f>
        <v>0.05</v>
      </c>
      <c r="BL662" s="1">
        <f>INDEX(Input!$1:$1048576,BL$93,$C662*2+6)</f>
        <v>5.5E-2</v>
      </c>
      <c r="BM662" s="1">
        <f>INDEX(Input!$1:$1048576,BM$93,$C662*2+6)</f>
        <v>0.06</v>
      </c>
      <c r="BN662" s="1">
        <f>INDEX(Input!$1:$1048576,BN$93,$C662*2+6)</f>
        <v>4.4999999999999998E-2</v>
      </c>
      <c r="BO662" s="1">
        <f>INDEX(Input!$1:$1048576,BO$93,$C662*2+6)</f>
        <v>4.4999999999999998E-2</v>
      </c>
      <c r="BP662" s="1">
        <f>INDEX(Input!$1:$1048576,BP$93,$C662*2+6)</f>
        <v>0.05</v>
      </c>
      <c r="BQ662" s="1">
        <f>INDEX(Input!$1:$1048576,BQ$93,$C662*2+6)</f>
        <v>5.45E-2</v>
      </c>
      <c r="BR662" s="1">
        <f>INDEX(Input!$1:$1048576,BR$93,$C662*2+6)</f>
        <v>5.45E-2</v>
      </c>
      <c r="BS662" s="1">
        <f>INDEX(Input!$1:$1048576,BS$93,$C662*2+6)</f>
        <v>0.05</v>
      </c>
      <c r="BT662" s="1">
        <f>INDEX(Input!$1:$1048576,BT$93,$C662*2+6)</f>
        <v>0.05</v>
      </c>
      <c r="BU662" s="1">
        <f>INDEX(Input!$1:$1048576,BU$93,$C662*2+6)</f>
        <v>0.05</v>
      </c>
      <c r="BV662" s="1">
        <f>INDEX(Input!$1:$1048576,BV$93,$C662*2+6)</f>
        <v>5.5E-2</v>
      </c>
      <c r="BW662" s="1">
        <f>INDEX(Input!$1:$1048576,BW$93,$C662*2+6)</f>
        <v>0.06</v>
      </c>
      <c r="BX662" s="127">
        <f>INDEX(Input!$1:$1048576,BX$93,$C662*2+6)</f>
        <v>19985</v>
      </c>
      <c r="BY662" s="20">
        <f>INDEX(Input!$1:$1048576,BY$93,$C662*2+6)</f>
        <v>0.1</v>
      </c>
      <c r="BZ662" s="20">
        <f>INDEX(Input!$1:$1048576,BZ$93,$C662*2+6)</f>
        <v>0.1</v>
      </c>
      <c r="CA662" s="20">
        <f>INDEX(Input!$1:$1048576,CA$93,$C662*2+6)</f>
        <v>0.1</v>
      </c>
      <c r="CB662" s="20">
        <f>INDEX(Input!$1:$1048576,CB$93,$C662*2+6)</f>
        <v>0.1</v>
      </c>
      <c r="CC662" s="20">
        <f>INDEX(Input!$1:$1048576,CC$93,$C662*2+6)</f>
        <v>0.1</v>
      </c>
      <c r="CD662" s="384">
        <f>INDEX(Input!$1:$1048576,CD$93,$C662*2+6)</f>
        <v>0.1</v>
      </c>
      <c r="CE662" s="384">
        <f>INDEX(Input!$1:$1048576,CE$93,$C662*2+6)</f>
        <v>0.1</v>
      </c>
      <c r="CF662" s="384">
        <f>INDEX(Input!$1:$1048576,CF$93,$C662*2+6)</f>
        <v>0.1</v>
      </c>
      <c r="CG662" s="384">
        <f>INDEX(Input!$1:$1048576,CG$93,$C662*2+6)</f>
        <v>0.1</v>
      </c>
      <c r="CH662" s="384">
        <f>INDEX(Input!$1:$1048576,CH$93,$C662*2+6)</f>
        <v>0.1</v>
      </c>
      <c r="CI662" s="304">
        <f t="shared" si="1718"/>
        <v>2267.2644913000609</v>
      </c>
      <c r="CJ662" s="16" t="str">
        <f>INDEX(Input!$1:$1048576,CJ$93,$C662*2+6)</f>
        <v>N</v>
      </c>
      <c r="CK662" s="1" t="str">
        <f t="shared" si="1719"/>
        <v>Market</v>
      </c>
      <c r="CL662" s="1" t="str">
        <f t="shared" si="1720"/>
        <v>Market</v>
      </c>
      <c r="CM662" s="1" t="str">
        <f t="shared" si="1721"/>
        <v>Market</v>
      </c>
      <c r="CN662" s="1" t="str">
        <f t="shared" si="1722"/>
        <v>Market</v>
      </c>
      <c r="CO662" s="1" t="str">
        <f t="shared" si="1723"/>
        <v>Market</v>
      </c>
      <c r="CP662" s="304">
        <f t="shared" si="1724"/>
        <v>500</v>
      </c>
      <c r="CQ662" s="1">
        <f t="shared" si="1725"/>
        <v>0</v>
      </c>
      <c r="CR662" s="1">
        <f t="shared" si="1726"/>
        <v>0</v>
      </c>
      <c r="CS662" s="1">
        <f t="shared" si="1727"/>
        <v>0</v>
      </c>
      <c r="CT662" s="1">
        <f t="shared" si="1728"/>
        <v>8.9999999999999993E-3</v>
      </c>
      <c r="CU662" s="1">
        <f t="shared" si="1729"/>
        <v>3.9E-2</v>
      </c>
      <c r="CV662" s="304">
        <f t="shared" si="1730"/>
        <v>377.99367635402496</v>
      </c>
      <c r="CW662" s="20" t="s">
        <v>122</v>
      </c>
      <c r="CX662" s="20" t="s">
        <v>122</v>
      </c>
      <c r="CY662" s="20" t="s">
        <v>122</v>
      </c>
      <c r="CZ662" s="20" t="s">
        <v>122</v>
      </c>
      <c r="DA662" s="20" t="s">
        <v>122</v>
      </c>
      <c r="DB662" s="503">
        <f t="shared" si="1731"/>
        <v>0</v>
      </c>
      <c r="DC662" s="127">
        <v>0</v>
      </c>
      <c r="DD662" s="127">
        <v>0</v>
      </c>
      <c r="DE662" s="127">
        <v>0</v>
      </c>
      <c r="DF662" s="127">
        <v>0</v>
      </c>
      <c r="DG662" s="127">
        <v>0</v>
      </c>
      <c r="DH662" s="127">
        <v>0</v>
      </c>
      <c r="DI662" s="127">
        <v>0</v>
      </c>
      <c r="DJ662" s="127">
        <v>0</v>
      </c>
      <c r="DK662" s="127">
        <v>0</v>
      </c>
      <c r="DL662" s="127">
        <v>0</v>
      </c>
      <c r="DM662" s="304">
        <f>INDEX(Input!$1:$1048576,DM$93,$C662*2+6)</f>
        <v>21036.84210526316</v>
      </c>
      <c r="DN662" s="20">
        <v>0</v>
      </c>
      <c r="DO662" s="20">
        <v>0</v>
      </c>
      <c r="DP662" s="20">
        <v>0</v>
      </c>
      <c r="DQ662" s="20">
        <v>0</v>
      </c>
      <c r="DR662" s="20">
        <v>0</v>
      </c>
      <c r="DS662" s="20">
        <f>INDEX(Input!$1:$1048576,DS$93,$C662*2+6)</f>
        <v>0.6</v>
      </c>
      <c r="DT662" s="20">
        <f>INDEX(Input!$1:$1048576,DT$93,$C662*2+6)</f>
        <v>0.55000000000000004</v>
      </c>
      <c r="DU662" s="20">
        <f>INDEX(Input!$1:$1048576,DU$93,$C662*2+6)</f>
        <v>0.52</v>
      </c>
      <c r="DV662" s="20">
        <f>INDEX(Input!$1:$1048576,DV$93,$C662*2+6)</f>
        <v>0.5</v>
      </c>
      <c r="DW662" s="20">
        <f>INDEX(Input!$1:$1048576,DW$93,$C662*2+6)</f>
        <v>0.45</v>
      </c>
      <c r="DX662" s="20"/>
      <c r="DY662" s="7"/>
      <c r="DZ662" s="7"/>
      <c r="EA662" s="7"/>
      <c r="EB662" s="7"/>
      <c r="EC662" s="7"/>
      <c r="ED662" s="7"/>
      <c r="EE662" s="7"/>
      <c r="EF662" s="7"/>
      <c r="EG662" s="7"/>
      <c r="EH662" s="7"/>
      <c r="EI662" s="7"/>
      <c r="EJ662" s="7"/>
      <c r="EK662" s="7"/>
      <c r="EL662" s="7"/>
      <c r="EM662" s="7"/>
      <c r="EN662" s="7"/>
      <c r="EO662" s="7"/>
      <c r="EP662" s="7"/>
      <c r="EQ662" s="7"/>
      <c r="ER662" s="7"/>
      <c r="ES662" s="7"/>
      <c r="ET662" s="7"/>
      <c r="EU662" s="6"/>
      <c r="EV662" s="6"/>
      <c r="EW662" s="6"/>
      <c r="EX662" s="6"/>
      <c r="EY662" s="6"/>
      <c r="EZ662" s="6"/>
      <c r="FA662" s="6"/>
      <c r="FB662" s="6"/>
      <c r="FC662" s="6"/>
      <c r="FD662" s="6"/>
      <c r="FE662" s="6"/>
      <c r="FF662" s="6"/>
      <c r="FG662" s="6"/>
      <c r="FH662" s="6"/>
      <c r="FI662" s="6"/>
      <c r="FJ662" s="6"/>
      <c r="FK662" s="6"/>
      <c r="FL662" s="6"/>
      <c r="FM662" s="6"/>
      <c r="FN662" s="6"/>
      <c r="FO662" s="6"/>
      <c r="FP662" s="6"/>
      <c r="FQ662" s="6"/>
      <c r="FR662" s="6"/>
      <c r="FS662" s="6"/>
      <c r="FT662" s="7"/>
      <c r="FU662" s="7"/>
      <c r="FV662" s="7"/>
      <c r="FW662" s="6"/>
      <c r="FX662" s="6"/>
      <c r="FY662" s="6"/>
      <c r="FZ662" s="6"/>
      <c r="GA662" s="6"/>
      <c r="GB662" s="6"/>
      <c r="GC662" s="7"/>
      <c r="GD662" s="7"/>
      <c r="GE662" s="7"/>
      <c r="GF662" s="7"/>
      <c r="GG662" s="7"/>
      <c r="GH662" s="42"/>
      <c r="GI662" s="6"/>
      <c r="GJ662" s="14"/>
      <c r="GK662" s="14"/>
      <c r="GL662" s="14"/>
      <c r="GM662" s="14"/>
      <c r="GO662" s="5"/>
      <c r="GP662" s="5"/>
      <c r="GQ662" s="5"/>
      <c r="GR662" s="5"/>
      <c r="GS662" s="5"/>
      <c r="GT662" s="5"/>
      <c r="GU662" s="5"/>
      <c r="GV662" s="39"/>
      <c r="GW662" s="5"/>
      <c r="GX662" s="5"/>
      <c r="GY662" s="5"/>
      <c r="GZ662" s="5"/>
      <c r="HA662" s="5"/>
      <c r="HB662" s="39"/>
      <c r="HC662" s="5"/>
      <c r="HD662" s="5"/>
      <c r="HE662" s="5"/>
      <c r="HF662" s="5"/>
      <c r="HG662" s="5"/>
      <c r="HH662" s="39"/>
      <c r="HI662" s="16"/>
      <c r="HJ662" s="19"/>
      <c r="HK662" s="1"/>
      <c r="HL662" s="16"/>
      <c r="HM662" s="639">
        <f t="shared" si="1755"/>
        <v>2.3149872625708352E-2</v>
      </c>
      <c r="HN662" s="639">
        <f t="shared" si="1756"/>
        <v>1.3965040474190958E-3</v>
      </c>
      <c r="HO662" s="639">
        <f t="shared" si="1757"/>
        <v>3.5429561340050734E-3</v>
      </c>
      <c r="HP662" s="644">
        <f t="shared" ref="HP662:ID662" si="1981">HP162+HP262+HP362+HP462+HP562</f>
        <v>1194.16023734545</v>
      </c>
      <c r="HQ662" s="644">
        <f t="shared" si="1981"/>
        <v>-30.650276674721216</v>
      </c>
      <c r="HR662" s="644">
        <f t="shared" si="1981"/>
        <v>-343.38294123093993</v>
      </c>
      <c r="HS662" s="644">
        <f t="shared" si="1981"/>
        <v>-412.57056528507871</v>
      </c>
      <c r="HT662" s="644">
        <f t="shared" si="1981"/>
        <v>164.49511404670062</v>
      </c>
      <c r="HU662" s="644">
        <f t="shared" si="1981"/>
        <v>40.792091594683427</v>
      </c>
      <c r="HV662" s="644">
        <f t="shared" si="1981"/>
        <v>0</v>
      </c>
      <c r="HW662" s="644">
        <f t="shared" si="1981"/>
        <v>0</v>
      </c>
      <c r="HX662" s="644">
        <f t="shared" si="1981"/>
        <v>0</v>
      </c>
      <c r="HY662" s="644">
        <f t="shared" si="1981"/>
        <v>2396</v>
      </c>
      <c r="HZ662" s="644">
        <f t="shared" si="1981"/>
        <v>3223</v>
      </c>
      <c r="IA662" s="644">
        <f t="shared" si="1981"/>
        <v>830</v>
      </c>
      <c r="IB662" s="644">
        <f t="shared" si="1981"/>
        <v>3177.5896720603714</v>
      </c>
      <c r="IC662" s="644">
        <f t="shared" si="1981"/>
        <v>3356.8448373719798</v>
      </c>
      <c r="ID662" s="644">
        <f t="shared" si="1981"/>
        <v>527.40915036374349</v>
      </c>
      <c r="IE662" s="20">
        <f t="shared" si="1759"/>
        <v>0.44996601810243447</v>
      </c>
      <c r="IF662" s="20">
        <f t="shared" si="1760"/>
        <v>0.47534963942672531</v>
      </c>
      <c r="IG662" s="20">
        <f t="shared" si="1761"/>
        <v>7.4684342470840256E-2</v>
      </c>
      <c r="IH662" s="21"/>
      <c r="II662" s="19"/>
      <c r="IJ662" s="19"/>
      <c r="IK662" s="19"/>
      <c r="IL662" s="19">
        <f t="shared" si="1762"/>
        <v>1159.4536156150593</v>
      </c>
      <c r="IM662" s="19">
        <f t="shared" si="1763"/>
        <v>499.81037888380934</v>
      </c>
      <c r="IN662" s="19">
        <f t="shared" si="1764"/>
        <v>-239.19470798652583</v>
      </c>
      <c r="IO662" s="39"/>
      <c r="IP662" s="39"/>
      <c r="IQ662" s="39"/>
      <c r="IR662" s="39"/>
      <c r="IS662" s="39"/>
      <c r="IT662" s="39"/>
      <c r="IU662" s="39"/>
      <c r="IV662" s="39"/>
      <c r="IW662" s="39"/>
      <c r="IX662" s="19">
        <f t="shared" si="1765"/>
        <v>1554.1790484140233</v>
      </c>
      <c r="IY662" s="19">
        <f t="shared" si="1766"/>
        <v>2412.3001201524512</v>
      </c>
      <c r="IZ662" s="19">
        <f t="shared" si="1767"/>
        <v>3993.0862952928574</v>
      </c>
      <c r="JA662" s="19">
        <f t="shared" ref="JA662:JC662" si="1982">IFERROR((JA162*IB162+JA262*IB262+JA362*IB362+JA462*IB462+JA562*IB562)/IB662,0)</f>
        <v>2713.6326640290827</v>
      </c>
      <c r="JB662" s="19">
        <f t="shared" si="1982"/>
        <v>2912.1104990362605</v>
      </c>
      <c r="JC662" s="19">
        <f t="shared" si="1982"/>
        <v>3753.8915873063315</v>
      </c>
      <c r="JD662" s="19">
        <f t="shared" si="1769"/>
        <v>2885.6700850183279</v>
      </c>
      <c r="JE662" s="21"/>
      <c r="JF662" s="1">
        <f t="shared" si="1770"/>
        <v>2.6651855648468406E-2</v>
      </c>
      <c r="JG662" s="15">
        <f t="shared" si="1771"/>
        <v>6449</v>
      </c>
      <c r="JH662" s="1">
        <f t="shared" si="1772"/>
        <v>0.12717119234606744</v>
      </c>
      <c r="JI662" s="1">
        <f t="shared" si="1773"/>
        <v>-3.2141938229755723E-2</v>
      </c>
      <c r="JJ662" s="1">
        <f t="shared" si="1774"/>
        <v>0</v>
      </c>
      <c r="JK662" s="1">
        <f t="shared" si="1775"/>
        <v>9.5029254116311718E-2</v>
      </c>
      <c r="JL662" s="15">
        <f t="shared" ref="JL662:JM662" si="1983">JL162+JL262+JL362+JL462+JL562</f>
        <v>612.84365979609424</v>
      </c>
      <c r="JM662" s="15">
        <f t="shared" si="1983"/>
        <v>7061.8436597960954</v>
      </c>
      <c r="JN662" s="21"/>
      <c r="JO662" s="19">
        <f>INDEX(Input!$1:$1048576,JO$93,$C662*2+6)</f>
        <v>5995.5</v>
      </c>
      <c r="JP662" s="19">
        <f>INDEX(Input!$1:$1048576,JP$93,$C662*2+6)</f>
        <v>2296.6050414551746</v>
      </c>
      <c r="JQ662" s="39">
        <f t="shared" si="1799"/>
        <v>3109.8299149816721</v>
      </c>
      <c r="JR662" s="39">
        <f t="shared" si="1800"/>
        <v>589.06504356315327</v>
      </c>
      <c r="JS662" s="39">
        <f t="shared" si="1801"/>
        <v>20.378150994149937</v>
      </c>
      <c r="JT662" s="39">
        <f t="shared" si="1802"/>
        <v>5.5673450818055175</v>
      </c>
      <c r="JU662" s="385">
        <f>(JQ662*JM662-INDEX(Input!$1:$1048576,Input!A$18,$C662*2+6)*JL662*INDEX(Input!$1:$1048576,Input!A$19,$C662*2+6))/1000000</f>
        <v>21.96113266815755</v>
      </c>
      <c r="JV662" s="39">
        <f t="shared" si="1803"/>
        <v>-1.8930409194980271</v>
      </c>
      <c r="JW662" s="1">
        <f t="shared" si="1804"/>
        <v>-7.9358897617717805E-2</v>
      </c>
      <c r="JX662" s="19">
        <f t="shared" si="1805"/>
        <v>9084.4459150607654</v>
      </c>
      <c r="JZ662" s="341"/>
      <c r="KA662" s="60"/>
      <c r="KB662" s="469">
        <f t="shared" si="1778"/>
        <v>0</v>
      </c>
      <c r="KI662" s="472"/>
      <c r="KJ662" s="472"/>
      <c r="KK662" s="472"/>
      <c r="KN662" s="26">
        <f t="shared" si="1779"/>
        <v>6002</v>
      </c>
      <c r="KO662" s="794">
        <f t="shared" si="1780"/>
        <v>6.9929539696600207E-2</v>
      </c>
      <c r="KP662" s="795">
        <f t="shared" si="1781"/>
        <v>572.35631905050968</v>
      </c>
      <c r="KQ662" s="795">
        <f t="shared" si="1782"/>
        <v>422.83682841318296</v>
      </c>
      <c r="KR662" s="26">
        <f t="shared" si="1783"/>
        <v>2.1408290850800338</v>
      </c>
      <c r="KS662" s="26">
        <f t="shared" si="1784"/>
        <v>2.897848466631995</v>
      </c>
      <c r="KT662" s="796">
        <f t="shared" si="1795"/>
        <v>4286.2445668946921</v>
      </c>
      <c r="KU662" s="797">
        <f t="shared" si="1785"/>
        <v>4.4848019425466568</v>
      </c>
    </row>
    <row r="663" spans="1:308" s="26" customFormat="1" ht="15" outlineLevel="1">
      <c r="A663" s="561">
        <f t="shared" si="1751"/>
        <v>6063</v>
      </c>
      <c r="B663" s="561">
        <f t="shared" si="1786"/>
        <v>63</v>
      </c>
      <c r="C663" s="561">
        <f t="shared" si="1787"/>
        <v>6</v>
      </c>
      <c r="D663" s="561" t="str">
        <f t="shared" si="1953"/>
        <v xml:space="preserve">500 CC, 500 Combo, -180 Lease, </v>
      </c>
      <c r="E663" s="475">
        <f>INDEX(Input!$1:$1048576,E$93,$C663*2+MIN($B663,2)+5)
+INDEX(Scenarios!E$121:E$199,MATCH($B663,Scenarios!$B$121:$B$199,0))</f>
        <v>1767.2644913000609</v>
      </c>
      <c r="F663" s="475">
        <f>INDEX(Input!$1:$1048576,F$93,$C663*2+MIN($B663,2)+5)
+INDEX(Scenarios!F$121:F$199,MATCH($B663,Scenarios!$B$121:$B$199,0))</f>
        <v>0</v>
      </c>
      <c r="G663" s="475">
        <f>INDEX(Input!$1:$1048576,G$93,$C663*2+MIN($B663,2)+5)
+INDEX(Scenarios!G$121:G$199,MATCH($B663,Scenarios!$B$121:$B$199,0))</f>
        <v>0</v>
      </c>
      <c r="H663" s="475">
        <f>INDEX(Input!$1:$1048576,H$93,$C663*2+MIN($B663,2)+5)
+INDEX(Scenarios!H$121:H$199,MATCH($B663,Scenarios!$B$121:$B$199,0))</f>
        <v>0</v>
      </c>
      <c r="I663" s="476">
        <f>INDEX(Input!$1:$1048576,I$93,$C663*2+MIN($B663,2)+5)
+INDEX(Scenarios!I$121:I$199,MATCH($B663,Scenarios!$B$121:$B$199,0))</f>
        <v>0.7</v>
      </c>
      <c r="J663" s="476" t="str">
        <f>INDEX(Input!$1:$1048576,J$93,$C663*2+MIN($B663,2)+5)</f>
        <v>Market</v>
      </c>
      <c r="K663" s="476" t="str">
        <f>INDEX(Input!$1:$1048576,K$93,$C663*2+MIN($B663,2)+5)</f>
        <v>Market</v>
      </c>
      <c r="L663" s="476" t="str">
        <f>INDEX(Input!$1:$1048576,L$93,$C663*2+MIN($B663,2)+5)</f>
        <v>Market</v>
      </c>
      <c r="M663" s="476" t="str">
        <f>INDEX(Input!$1:$1048576,M$93,$C663*2+MIN($B663,2)+5)</f>
        <v>Market</v>
      </c>
      <c r="N663" s="476" t="str">
        <f>INDEX(Input!$1:$1048576,N$93,$C663*2+MIN($B663,2)+5)</f>
        <v>Market</v>
      </c>
      <c r="O663" s="476" t="str">
        <f>INDEX(Input!$1:$1048576,O$93,$C663*2+MIN($B663,2)+5)</f>
        <v>Market</v>
      </c>
      <c r="P663" s="476" t="str">
        <f>INDEX(Input!$1:$1048576,P$93,$C663*2+MIN($B663,2)+5)</f>
        <v>N</v>
      </c>
      <c r="Q663" s="477">
        <f>INDEX(Input!$1:$1048576,Q$93,$C663*2+MIN($B663,2)+5)
+INDEX(Scenarios!Q$121:Q$199,MATCH($B663,Scenarios!$B$121:$B$199,0))</f>
        <v>500</v>
      </c>
      <c r="R663" s="478">
        <f>IFERROR(MAX(0,INDEX(Input!$1:$1048576,R$93,$C663*2+MIN($B663,2)+5)
+INDEX(Scenarios!R$121:R$199,MATCH($B663,Scenarios!$B$121:$B$199,0)),),"Market")</f>
        <v>0</v>
      </c>
      <c r="S663" s="478">
        <f>IFERROR(MAX(0,INDEX(Input!$1:$1048576,S$93,$C663*2+MIN($B663,2)+5)
+INDEX(Scenarios!S$121:S$199,MATCH($B663,Scenarios!$B$121:$B$199,0)),),"Market")</f>
        <v>0</v>
      </c>
      <c r="T663" s="478">
        <f>IFERROR(MAX(0,INDEX(Input!$1:$1048576,T$93,$C663*2+MIN($B663,2)+5)
+INDEX(Scenarios!T$121:T$199,MATCH($B663,Scenarios!$B$121:$B$199,0)),),"Market")</f>
        <v>0</v>
      </c>
      <c r="U663" s="478">
        <f>IFERROR(MAX(0,INDEX(Input!$1:$1048576,U$93,$C663*2+MIN($B663,2)+5)
+INDEX(Scenarios!U$121:U$199,MATCH($B663,Scenarios!$B$121:$B$199,0)),),"Market")</f>
        <v>0</v>
      </c>
      <c r="V663" s="478">
        <f>IFERROR(MAX(0,INDEX(Input!$1:$1048576,V$93,$C663*2+MIN($B663,2)+5)
+INDEX(Scenarios!V$121:V$199,MATCH($B663,Scenarios!$B$121:$B$199,0)),),"Market")</f>
        <v>1.9E-2</v>
      </c>
      <c r="W663" s="885">
        <f>IFERROR(MAX(0,INDEX(Input!$1:$1048576,W$93,$C663*2+MIN($B663,2)+5)-0%),"Market")</f>
        <v>3.9E-2</v>
      </c>
      <c r="X663" s="476" t="str">
        <f>INDEX(Input!$1:$1048576,X$93,$C663*2+MIN($B663,2)+5)</f>
        <v>Y</v>
      </c>
      <c r="Y663" s="475">
        <f>INDEX(Input!$1:$1048576,Y$93,$C663*2+MIN($B663,2)+5)
++INDEX(Scenarios!Y$121:Y$199,MATCH($B663,Scenarios!$B$121:$B$199,0))</f>
        <v>557.99367635402496</v>
      </c>
      <c r="Z663" s="477">
        <f>INDEX(Input!$1:$1048576,Z$93,$C663*2+MIN($B663,2)+5)
+INDEX(Scenarios!Z$121:Z$199,MATCH($B663,Scenarios!$B$121:$B$199,0))</f>
        <v>0</v>
      </c>
      <c r="AA663" s="475">
        <f>INDEX(Input!$1:$1048576,AA$93,$C663*2+MIN($B663,2)+5)</f>
        <v>0</v>
      </c>
      <c r="AB663" s="476">
        <f>INDEX(Input!$1:$1048576,AB$93,$C663*2+MIN($B663,2)+5)</f>
        <v>0.27</v>
      </c>
      <c r="AC663" s="475">
        <f>INDEX(Input!$1:$1048576,AC$93,$C663*2+MIN($B663,2)+5)
+INDEX(Scenarios!AC$121:AC$199,MATCH($B663,Scenarios!$B$121:$B$199,0))</f>
        <v>0</v>
      </c>
      <c r="AD663" s="476">
        <f>INDEX(Input!$1:$1048576,AD$93,$C663*2+MIN($B663,2)+5)</f>
        <v>0.27</v>
      </c>
      <c r="AE663" s="475">
        <f>INDEX(Input!$1:$1048576,AE$93,$C663*2+MIN($B663,2)+5)
+INDEX(Scenarios!AE$121:AE$199,MATCH($B663,Scenarios!$B$121:$B$199,0))</f>
        <v>0</v>
      </c>
      <c r="AF663" s="476">
        <f>INDEX(Input!$1:$1048576,AF$93,$C663*2+MIN($B663,2)+5)</f>
        <v>1</v>
      </c>
      <c r="AG663" s="475">
        <f>INDEX(Input!$1:$1048576,AG$93,$C663*2+MIN($B663,2)+5)</f>
        <v>500</v>
      </c>
      <c r="AH663" s="476">
        <f>INDEX(Input!$1:$1048576,AH$93,$C663*2+MIN($B663,2)+5)</f>
        <v>1</v>
      </c>
      <c r="AI663" s="475">
        <f>INDEX(Input!$1:$1048576,AI$93,$C663*2+MIN($B663,2)+5)</f>
        <v>0</v>
      </c>
      <c r="AJ663" s="476">
        <f>INDEX(Input!$1:$1048576,AJ$93,$C663*2+MIN($B663,2)+5)</f>
        <v>0.27</v>
      </c>
      <c r="AK663" s="150">
        <f>ROUND(INDEX(Input!$1:$1048576,AK$93,$C662*2+MIN($B663,1)+5)+(Y663-VLOOKUP($C663*1000+1,$A:$HH,Y$92,FALSE)),0)</f>
        <v>2881</v>
      </c>
      <c r="AL663" s="150">
        <f>ROUND(INDEX(Input!$1:$1048576,AL$93,$C662*2+MIN($B663,1)+5)-(Y663-VLOOKUP($C663*1000+1,$A:$HH,Y$92,FALSE))/36,0)</f>
        <v>3557</v>
      </c>
      <c r="AM663" s="32" t="str">
        <f t="shared" si="1752"/>
        <v>std/std/std/std</v>
      </c>
      <c r="AN663" s="32" t="str">
        <f t="shared" si="1753"/>
        <v>$500 + 0/0/0/1.9/3.9</v>
      </c>
      <c r="AO663" s="32" t="str">
        <f t="shared" si="1754"/>
        <v>0/0/0/1.9/3.9</v>
      </c>
      <c r="AP663" s="32" t="str">
        <f t="shared" si="1716"/>
        <v>0/0.9/1.9/3.9</v>
      </c>
      <c r="AQ663" s="536">
        <f t="shared" si="1892"/>
        <v>0.39770306972764641</v>
      </c>
      <c r="AR663" s="32"/>
      <c r="AS663" s="302"/>
      <c r="AT663" s="3">
        <f t="shared" si="1788"/>
        <v>63</v>
      </c>
      <c r="AU663" s="41" t="s">
        <v>121</v>
      </c>
      <c r="AV663" s="41" t="s">
        <v>116</v>
      </c>
      <c r="AW663" s="41" t="str">
        <f>INDEX(Input!$1:$1048576,AW$93,$C663*2+6)</f>
        <v>Kia</v>
      </c>
      <c r="AX663" s="41" t="str">
        <f>INDEX(Input!$1:$1048576,AX$93,$C663*2+6)</f>
        <v>National</v>
      </c>
      <c r="AY663" s="41" t="str">
        <f>IF(LEN(D663)=0,"",INDEX(Input!$1:$1048576,AY$93,$C663*2+6))</f>
        <v>Compact SUV (52)</v>
      </c>
      <c r="AZ663" s="41" t="str">
        <f>INDEX(Input!$1:$1048576,AZ$93,$C663*2+6)</f>
        <v>Kia Soul</v>
      </c>
      <c r="BA663" s="3">
        <f>INDEX(Input!$1:$1048576,BA$93,$C663*2+6)</f>
        <v>2020</v>
      </c>
      <c r="BB663" s="128">
        <f>INDEX(Input!$1:$1048576,BB$93,$C663*2+6)</f>
        <v>1</v>
      </c>
      <c r="BC663" s="128">
        <f>INDEX(Input!$1:$1048576,BC$93,$C663*2+6)</f>
        <v>0.7</v>
      </c>
      <c r="BD663" s="1">
        <f>INDEX(Input!$1:$1048576,BD$93,$C663*2+6)</f>
        <v>4.4999999999999998E-2</v>
      </c>
      <c r="BE663" s="1">
        <f>INDEX(Input!$1:$1048576,BE$93,$C663*2+6)</f>
        <v>4.4999999999999998E-2</v>
      </c>
      <c r="BF663" s="1">
        <f>INDEX(Input!$1:$1048576,BF$93,$C663*2+6)</f>
        <v>0.05</v>
      </c>
      <c r="BG663" s="1">
        <f>INDEX(Input!$1:$1048576,BG$93,$C663*2+6)</f>
        <v>5.45E-2</v>
      </c>
      <c r="BH663" s="1">
        <f>INDEX(Input!$1:$1048576,BH$93,$C663*2+6)</f>
        <v>5.45E-2</v>
      </c>
      <c r="BI663" s="1">
        <f>INDEX(Input!$1:$1048576,BI$93,$C663*2+6)</f>
        <v>0.05</v>
      </c>
      <c r="BJ663" s="1">
        <f>INDEX(Input!$1:$1048576,BJ$93,$C663*2+6)</f>
        <v>0.05</v>
      </c>
      <c r="BK663" s="1">
        <f>INDEX(Input!$1:$1048576,BK$93,$C663*2+6)</f>
        <v>0.05</v>
      </c>
      <c r="BL663" s="1">
        <f>INDEX(Input!$1:$1048576,BL$93,$C663*2+6)</f>
        <v>5.5E-2</v>
      </c>
      <c r="BM663" s="1">
        <f>INDEX(Input!$1:$1048576,BM$93,$C663*2+6)</f>
        <v>0.06</v>
      </c>
      <c r="BN663" s="1">
        <f>INDEX(Input!$1:$1048576,BN$93,$C663*2+6)</f>
        <v>4.4999999999999998E-2</v>
      </c>
      <c r="BO663" s="1">
        <f>INDEX(Input!$1:$1048576,BO$93,$C663*2+6)</f>
        <v>4.4999999999999998E-2</v>
      </c>
      <c r="BP663" s="1">
        <f>INDEX(Input!$1:$1048576,BP$93,$C663*2+6)</f>
        <v>0.05</v>
      </c>
      <c r="BQ663" s="1">
        <f>INDEX(Input!$1:$1048576,BQ$93,$C663*2+6)</f>
        <v>5.45E-2</v>
      </c>
      <c r="BR663" s="1">
        <f>INDEX(Input!$1:$1048576,BR$93,$C663*2+6)</f>
        <v>5.45E-2</v>
      </c>
      <c r="BS663" s="1">
        <f>INDEX(Input!$1:$1048576,BS$93,$C663*2+6)</f>
        <v>0.05</v>
      </c>
      <c r="BT663" s="1">
        <f>INDEX(Input!$1:$1048576,BT$93,$C663*2+6)</f>
        <v>0.05</v>
      </c>
      <c r="BU663" s="1">
        <f>INDEX(Input!$1:$1048576,BU$93,$C663*2+6)</f>
        <v>0.05</v>
      </c>
      <c r="BV663" s="1">
        <f>INDEX(Input!$1:$1048576,BV$93,$C663*2+6)</f>
        <v>5.5E-2</v>
      </c>
      <c r="BW663" s="1">
        <f>INDEX(Input!$1:$1048576,BW$93,$C663*2+6)</f>
        <v>0.06</v>
      </c>
      <c r="BX663" s="127">
        <f>INDEX(Input!$1:$1048576,BX$93,$C663*2+6)</f>
        <v>19985</v>
      </c>
      <c r="BY663" s="20">
        <f>INDEX(Input!$1:$1048576,BY$93,$C663*2+6)</f>
        <v>0.1</v>
      </c>
      <c r="BZ663" s="20">
        <f>INDEX(Input!$1:$1048576,BZ$93,$C663*2+6)</f>
        <v>0.1</v>
      </c>
      <c r="CA663" s="20">
        <f>INDEX(Input!$1:$1048576,CA$93,$C663*2+6)</f>
        <v>0.1</v>
      </c>
      <c r="CB663" s="20">
        <f>INDEX(Input!$1:$1048576,CB$93,$C663*2+6)</f>
        <v>0.1</v>
      </c>
      <c r="CC663" s="20">
        <f>INDEX(Input!$1:$1048576,CC$93,$C663*2+6)</f>
        <v>0.1</v>
      </c>
      <c r="CD663" s="384">
        <f>INDEX(Input!$1:$1048576,CD$93,$C663*2+6)</f>
        <v>0.1</v>
      </c>
      <c r="CE663" s="384">
        <f>INDEX(Input!$1:$1048576,CE$93,$C663*2+6)</f>
        <v>0.1</v>
      </c>
      <c r="CF663" s="384">
        <f>INDEX(Input!$1:$1048576,CF$93,$C663*2+6)</f>
        <v>0.1</v>
      </c>
      <c r="CG663" s="384">
        <f>INDEX(Input!$1:$1048576,CG$93,$C663*2+6)</f>
        <v>0.1</v>
      </c>
      <c r="CH663" s="384">
        <f>INDEX(Input!$1:$1048576,CH$93,$C663*2+6)</f>
        <v>0.1</v>
      </c>
      <c r="CI663" s="304">
        <f t="shared" si="1718"/>
        <v>1767.2644913000609</v>
      </c>
      <c r="CJ663" s="16" t="str">
        <f>INDEX(Input!$1:$1048576,CJ$93,$C663*2+6)</f>
        <v>N</v>
      </c>
      <c r="CK663" s="1" t="str">
        <f t="shared" si="1719"/>
        <v>Market</v>
      </c>
      <c r="CL663" s="1" t="str">
        <f t="shared" si="1720"/>
        <v>Market</v>
      </c>
      <c r="CM663" s="1" t="str">
        <f t="shared" si="1721"/>
        <v>Market</v>
      </c>
      <c r="CN663" s="1" t="str">
        <f t="shared" si="1722"/>
        <v>Market</v>
      </c>
      <c r="CO663" s="1" t="str">
        <f t="shared" si="1723"/>
        <v>Market</v>
      </c>
      <c r="CP663" s="304">
        <f t="shared" si="1724"/>
        <v>1000</v>
      </c>
      <c r="CQ663" s="1">
        <f t="shared" si="1725"/>
        <v>0</v>
      </c>
      <c r="CR663" s="1">
        <f t="shared" si="1726"/>
        <v>0</v>
      </c>
      <c r="CS663" s="1">
        <f t="shared" si="1727"/>
        <v>0</v>
      </c>
      <c r="CT663" s="1">
        <f t="shared" si="1728"/>
        <v>1.9E-2</v>
      </c>
      <c r="CU663" s="1">
        <f t="shared" si="1729"/>
        <v>3.9E-2</v>
      </c>
      <c r="CV663" s="304">
        <f t="shared" si="1730"/>
        <v>557.99367635402496</v>
      </c>
      <c r="CW663" s="20" t="s">
        <v>122</v>
      </c>
      <c r="CX663" s="20" t="s">
        <v>122</v>
      </c>
      <c r="CY663" s="20" t="s">
        <v>122</v>
      </c>
      <c r="CZ663" s="20" t="s">
        <v>122</v>
      </c>
      <c r="DA663" s="20" t="s">
        <v>122</v>
      </c>
      <c r="DB663" s="503">
        <f t="shared" si="1731"/>
        <v>0</v>
      </c>
      <c r="DC663" s="127">
        <v>0</v>
      </c>
      <c r="DD663" s="127">
        <v>0</v>
      </c>
      <c r="DE663" s="127">
        <v>0</v>
      </c>
      <c r="DF663" s="127">
        <v>0</v>
      </c>
      <c r="DG663" s="127">
        <v>0</v>
      </c>
      <c r="DH663" s="127">
        <v>0</v>
      </c>
      <c r="DI663" s="127">
        <v>0</v>
      </c>
      <c r="DJ663" s="127">
        <v>0</v>
      </c>
      <c r="DK663" s="127">
        <v>0</v>
      </c>
      <c r="DL663" s="127">
        <v>0</v>
      </c>
      <c r="DM663" s="304">
        <f>INDEX(Input!$1:$1048576,DM$93,$C663*2+6)</f>
        <v>21036.84210526316</v>
      </c>
      <c r="DN663" s="20">
        <v>0</v>
      </c>
      <c r="DO663" s="20">
        <v>0</v>
      </c>
      <c r="DP663" s="20">
        <v>0</v>
      </c>
      <c r="DQ663" s="20">
        <v>0</v>
      </c>
      <c r="DR663" s="20">
        <v>0</v>
      </c>
      <c r="DS663" s="20">
        <f>INDEX(Input!$1:$1048576,DS$93,$C663*2+6)</f>
        <v>0.6</v>
      </c>
      <c r="DT663" s="20">
        <f>INDEX(Input!$1:$1048576,DT$93,$C663*2+6)</f>
        <v>0.55000000000000004</v>
      </c>
      <c r="DU663" s="20">
        <f>INDEX(Input!$1:$1048576,DU$93,$C663*2+6)</f>
        <v>0.52</v>
      </c>
      <c r="DV663" s="20">
        <f>INDEX(Input!$1:$1048576,DV$93,$C663*2+6)</f>
        <v>0.5</v>
      </c>
      <c r="DW663" s="20">
        <f>INDEX(Input!$1:$1048576,DW$93,$C663*2+6)</f>
        <v>0.45</v>
      </c>
      <c r="DX663" s="20"/>
      <c r="DY663" s="7"/>
      <c r="DZ663" s="7"/>
      <c r="EA663" s="7"/>
      <c r="EB663" s="7"/>
      <c r="EC663" s="7"/>
      <c r="ED663" s="7"/>
      <c r="EE663" s="7"/>
      <c r="EF663" s="7"/>
      <c r="EG663" s="7"/>
      <c r="EH663" s="7"/>
      <c r="EI663" s="7"/>
      <c r="EJ663" s="7"/>
      <c r="EK663" s="7"/>
      <c r="EL663" s="7"/>
      <c r="EM663" s="7"/>
      <c r="EN663" s="7"/>
      <c r="EO663" s="7"/>
      <c r="EP663" s="7"/>
      <c r="EQ663" s="7"/>
      <c r="ER663" s="7"/>
      <c r="ES663" s="7"/>
      <c r="ET663" s="7"/>
      <c r="EU663" s="6"/>
      <c r="EV663" s="6"/>
      <c r="EW663" s="6"/>
      <c r="EX663" s="6"/>
      <c r="EY663" s="6"/>
      <c r="EZ663" s="6"/>
      <c r="FA663" s="6"/>
      <c r="FB663" s="6"/>
      <c r="FC663" s="6"/>
      <c r="FD663" s="6"/>
      <c r="FE663" s="6"/>
      <c r="FF663" s="6"/>
      <c r="FG663" s="6"/>
      <c r="FH663" s="6"/>
      <c r="FI663" s="6"/>
      <c r="FJ663" s="6"/>
      <c r="FK663" s="6"/>
      <c r="FL663" s="6"/>
      <c r="FM663" s="6"/>
      <c r="FN663" s="6"/>
      <c r="FO663" s="6"/>
      <c r="FP663" s="6"/>
      <c r="FQ663" s="6"/>
      <c r="FR663" s="6"/>
      <c r="FS663" s="6"/>
      <c r="FT663" s="7"/>
      <c r="FU663" s="7"/>
      <c r="FV663" s="7"/>
      <c r="FW663" s="6"/>
      <c r="FX663" s="6"/>
      <c r="FY663" s="6"/>
      <c r="FZ663" s="6"/>
      <c r="GA663" s="6"/>
      <c r="GB663" s="6"/>
      <c r="GC663" s="7"/>
      <c r="GD663" s="7"/>
      <c r="GE663" s="7"/>
      <c r="GF663" s="7"/>
      <c r="GG663" s="7"/>
      <c r="GH663" s="42"/>
      <c r="GI663" s="6"/>
      <c r="GJ663" s="14"/>
      <c r="GK663" s="14"/>
      <c r="GL663" s="14"/>
      <c r="GM663" s="14"/>
      <c r="GO663" s="5"/>
      <c r="GP663" s="5"/>
      <c r="GQ663" s="5"/>
      <c r="GR663" s="5"/>
      <c r="GS663" s="5"/>
      <c r="GT663" s="5"/>
      <c r="GU663" s="5"/>
      <c r="GV663" s="39"/>
      <c r="GW663" s="5"/>
      <c r="GX663" s="5"/>
      <c r="GY663" s="5"/>
      <c r="GZ663" s="5"/>
      <c r="HA663" s="5"/>
      <c r="HB663" s="39"/>
      <c r="HC663" s="5"/>
      <c r="HD663" s="5"/>
      <c r="HE663" s="5"/>
      <c r="HF663" s="5"/>
      <c r="HG663" s="5"/>
      <c r="HH663" s="39"/>
      <c r="HI663" s="16"/>
      <c r="HJ663" s="19"/>
      <c r="HK663" s="1"/>
      <c r="HL663" s="16"/>
      <c r="HM663" s="639">
        <f t="shared" si="1755"/>
        <v>2.3149872625708352E-2</v>
      </c>
      <c r="HN663" s="639">
        <f t="shared" si="1756"/>
        <v>1.3965040474190958E-3</v>
      </c>
      <c r="HO663" s="639">
        <f t="shared" si="1757"/>
        <v>3.5429561340050734E-3</v>
      </c>
      <c r="HP663" s="644">
        <f t="shared" ref="HP663:ID663" si="1984">HP163+HP263+HP363+HP463+HP563</f>
        <v>615.96127578077619</v>
      </c>
      <c r="HQ663" s="644">
        <f t="shared" si="1984"/>
        <v>37.285590392870944</v>
      </c>
      <c r="HR663" s="644">
        <f t="shared" si="1984"/>
        <v>-189.84265762546329</v>
      </c>
      <c r="HS663" s="644">
        <f t="shared" si="1984"/>
        <v>-237.64195319298986</v>
      </c>
      <c r="HT663" s="644">
        <f t="shared" si="1984"/>
        <v>271.48943589109342</v>
      </c>
      <c r="HU663" s="644">
        <f t="shared" si="1984"/>
        <v>29.604251951953902</v>
      </c>
      <c r="HV663" s="644">
        <f t="shared" si="1984"/>
        <v>0</v>
      </c>
      <c r="HW663" s="644">
        <f t="shared" si="1984"/>
        <v>0</v>
      </c>
      <c r="HX663" s="644">
        <f t="shared" si="1984"/>
        <v>0</v>
      </c>
      <c r="HY663" s="644">
        <f t="shared" si="1984"/>
        <v>2396</v>
      </c>
      <c r="HZ663" s="644">
        <f t="shared" si="1984"/>
        <v>3223</v>
      </c>
      <c r="IA663" s="644">
        <f t="shared" si="1984"/>
        <v>830</v>
      </c>
      <c r="IB663" s="644">
        <f t="shared" si="1984"/>
        <v>2774.3193225877867</v>
      </c>
      <c r="IC663" s="644">
        <f t="shared" si="1984"/>
        <v>3531.7750262839645</v>
      </c>
      <c r="ID663" s="644">
        <f t="shared" si="1984"/>
        <v>669.76159432649047</v>
      </c>
      <c r="IE663" s="20">
        <f t="shared" si="1759"/>
        <v>0.39770306972764641</v>
      </c>
      <c r="IF663" s="20">
        <f t="shared" si="1760"/>
        <v>0.50628554474775189</v>
      </c>
      <c r="IG663" s="20">
        <f t="shared" si="1761"/>
        <v>9.6011385524601714E-2</v>
      </c>
      <c r="IH663" s="21"/>
      <c r="II663" s="19"/>
      <c r="IJ663" s="19"/>
      <c r="IK663" s="19"/>
      <c r="IL663" s="19">
        <f t="shared" si="1762"/>
        <v>667.46852318913807</v>
      </c>
      <c r="IM663" s="19">
        <f t="shared" si="1763"/>
        <v>675.56602377817944</v>
      </c>
      <c r="IN663" s="19">
        <f t="shared" si="1764"/>
        <v>-64.211162495874305</v>
      </c>
      <c r="IO663" s="39"/>
      <c r="IP663" s="39"/>
      <c r="IQ663" s="39"/>
      <c r="IR663" s="39"/>
      <c r="IS663" s="39"/>
      <c r="IT663" s="39"/>
      <c r="IU663" s="39"/>
      <c r="IV663" s="39"/>
      <c r="IW663" s="39"/>
      <c r="IX663" s="19">
        <f t="shared" si="1765"/>
        <v>1554.1790484140233</v>
      </c>
      <c r="IY663" s="19">
        <f t="shared" si="1766"/>
        <v>2412.3001201524512</v>
      </c>
      <c r="IZ663" s="19">
        <f t="shared" si="1767"/>
        <v>3993.0862952928574</v>
      </c>
      <c r="JA663" s="19">
        <f t="shared" ref="JA663:JC663" si="1985">IFERROR((JA163*IB163+JA263*IB263+JA363*IB363+JA463*IB463+JA563*IB563)/IB663,0)</f>
        <v>2221.6475716031614</v>
      </c>
      <c r="JB663" s="19">
        <f t="shared" si="1985"/>
        <v>3087.8661439306306</v>
      </c>
      <c r="JC663" s="19">
        <f t="shared" si="1985"/>
        <v>3928.8751327969831</v>
      </c>
      <c r="JD663" s="19">
        <f t="shared" si="1769"/>
        <v>2824.1147969205995</v>
      </c>
      <c r="JE663" s="21"/>
      <c r="JF663" s="1">
        <f t="shared" si="1770"/>
        <v>2.6651855648468406E-2</v>
      </c>
      <c r="JG663" s="15">
        <f t="shared" si="1771"/>
        <v>6449</v>
      </c>
      <c r="JH663" s="1">
        <f t="shared" si="1772"/>
        <v>7.1856754310464233E-2</v>
      </c>
      <c r="JI663" s="1">
        <f t="shared" si="1773"/>
        <v>9.8390036672441408E-3</v>
      </c>
      <c r="JJ663" s="1">
        <f t="shared" si="1774"/>
        <v>0</v>
      </c>
      <c r="JK663" s="1">
        <f t="shared" si="1775"/>
        <v>8.1695757977708366E-2</v>
      </c>
      <c r="JL663" s="15">
        <f t="shared" ref="JL663:JM663" si="1986">JL163+JL263+JL363+JL463+JL563</f>
        <v>526.85594319824122</v>
      </c>
      <c r="JM663" s="15">
        <f t="shared" si="1986"/>
        <v>6975.8559431982412</v>
      </c>
      <c r="JN663" s="21"/>
      <c r="JO663" s="19">
        <f>INDEX(Input!$1:$1048576,JO$93,$C663*2+6)</f>
        <v>5995.5</v>
      </c>
      <c r="JP663" s="19">
        <f>INDEX(Input!$1:$1048576,JP$93,$C663*2+6)</f>
        <v>2296.6050414551746</v>
      </c>
      <c r="JQ663" s="39">
        <f t="shared" si="1799"/>
        <v>3171.3852030794005</v>
      </c>
      <c r="JR663" s="39">
        <f t="shared" si="1800"/>
        <v>527.50975546542486</v>
      </c>
      <c r="JS663" s="39">
        <f t="shared" si="1801"/>
        <v>19.700617990372656</v>
      </c>
      <c r="JT663" s="39">
        <f t="shared" si="1802"/>
        <v>4.8898120780282373</v>
      </c>
      <c r="JU663" s="385">
        <f>(JQ663*JM663-INDEX(Input!$1:$1048576,Input!A$18,$C663*2+6)*JL663*INDEX(Input!$1:$1048576,Input!A$19,$C663*2+6))/1000000</f>
        <v>22.123126317072398</v>
      </c>
      <c r="JV663" s="39">
        <f t="shared" si="1803"/>
        <v>-1.7310472705831792</v>
      </c>
      <c r="JW663" s="1">
        <f t="shared" si="1804"/>
        <v>-7.2567899458859816E-2</v>
      </c>
      <c r="JX663" s="19">
        <f t="shared" si="1805"/>
        <v>9281.1178105821164</v>
      </c>
      <c r="JZ663" s="341"/>
      <c r="KA663" s="60"/>
      <c r="KB663" s="469">
        <f t="shared" si="1778"/>
        <v>0</v>
      </c>
      <c r="KI663" s="472"/>
      <c r="KJ663" s="472"/>
      <c r="KK663" s="472"/>
      <c r="KN663" s="26">
        <f t="shared" si="1779"/>
        <v>6002</v>
      </c>
      <c r="KO663" s="794">
        <f t="shared" si="1780"/>
        <v>5.6901667306437531E-2</v>
      </c>
      <c r="KP663" s="795">
        <f t="shared" si="1781"/>
        <v>434.18873257115177</v>
      </c>
      <c r="KQ663" s="795">
        <f t="shared" si="1782"/>
        <v>361.28154031545455</v>
      </c>
      <c r="KR663" s="26">
        <f t="shared" si="1783"/>
        <v>2.2963297472423241</v>
      </c>
      <c r="KS663" s="26">
        <f t="shared" si="1784"/>
        <v>2.7597327603563904</v>
      </c>
      <c r="KT663" s="796">
        <f t="shared" si="1795"/>
        <v>4286.2445668946921</v>
      </c>
      <c r="KU663" s="797">
        <f t="shared" si="1785"/>
        <v>4.4405887387566967</v>
      </c>
    </row>
    <row r="664" spans="1:308" s="26" customFormat="1" ht="15" outlineLevel="1">
      <c r="A664" s="561">
        <f t="shared" si="1751"/>
        <v>6064</v>
      </c>
      <c r="B664" s="561">
        <f t="shared" si="1786"/>
        <v>64</v>
      </c>
      <c r="C664" s="561">
        <f t="shared" si="1787"/>
        <v>6</v>
      </c>
      <c r="D664" s="561" t="str">
        <f t="shared" si="1953"/>
        <v xml:space="preserve">1000 CC, 1000 Combo, -180 Lease, </v>
      </c>
      <c r="E664" s="475">
        <f>INDEX(Input!$1:$1048576,E$93,$C664*2+MIN($B664,2)+5)
+INDEX(Scenarios!E$121:E$199,MATCH($B664,Scenarios!$B$121:$B$199,0))</f>
        <v>2267.2644913000609</v>
      </c>
      <c r="F664" s="475">
        <f>INDEX(Input!$1:$1048576,F$93,$C664*2+MIN($B664,2)+5)
+INDEX(Scenarios!F$121:F$199,MATCH($B664,Scenarios!$B$121:$B$199,0))</f>
        <v>0</v>
      </c>
      <c r="G664" s="475">
        <f>INDEX(Input!$1:$1048576,G$93,$C664*2+MIN($B664,2)+5)
+INDEX(Scenarios!G$121:G$199,MATCH($B664,Scenarios!$B$121:$B$199,0))</f>
        <v>0</v>
      </c>
      <c r="H664" s="475">
        <f>INDEX(Input!$1:$1048576,H$93,$C664*2+MIN($B664,2)+5)
+INDEX(Scenarios!H$121:H$199,MATCH($B664,Scenarios!$B$121:$B$199,0))</f>
        <v>0</v>
      </c>
      <c r="I664" s="476">
        <f>INDEX(Input!$1:$1048576,I$93,$C664*2+MIN($B664,2)+5)
+INDEX(Scenarios!I$121:I$199,MATCH($B664,Scenarios!$B$121:$B$199,0))</f>
        <v>0.7</v>
      </c>
      <c r="J664" s="476" t="str">
        <f>INDEX(Input!$1:$1048576,J$93,$C664*2+MIN($B664,2)+5)</f>
        <v>Market</v>
      </c>
      <c r="K664" s="476" t="str">
        <f>INDEX(Input!$1:$1048576,K$93,$C664*2+MIN($B664,2)+5)</f>
        <v>Market</v>
      </c>
      <c r="L664" s="476" t="str">
        <f>INDEX(Input!$1:$1048576,L$93,$C664*2+MIN($B664,2)+5)</f>
        <v>Market</v>
      </c>
      <c r="M664" s="476" t="str">
        <f>INDEX(Input!$1:$1048576,M$93,$C664*2+MIN($B664,2)+5)</f>
        <v>Market</v>
      </c>
      <c r="N664" s="476" t="str">
        <f>INDEX(Input!$1:$1048576,N$93,$C664*2+MIN($B664,2)+5)</f>
        <v>Market</v>
      </c>
      <c r="O664" s="476" t="str">
        <f>INDEX(Input!$1:$1048576,O$93,$C664*2+MIN($B664,2)+5)</f>
        <v>Market</v>
      </c>
      <c r="P664" s="476" t="str">
        <f>INDEX(Input!$1:$1048576,P$93,$C664*2+MIN($B664,2)+5)</f>
        <v>N</v>
      </c>
      <c r="Q664" s="477">
        <f>INDEX(Input!$1:$1048576,Q$93,$C664*2+MIN($B664,2)+5)
+INDEX(Scenarios!Q$121:Q$199,MATCH($B664,Scenarios!$B$121:$B$199,0))</f>
        <v>1000</v>
      </c>
      <c r="R664" s="478">
        <f>IFERROR(MAX(0,INDEX(Input!$1:$1048576,R$93,$C664*2+MIN($B664,2)+5)
+INDEX(Scenarios!R$121:R$199,MATCH($B664,Scenarios!$B$121:$B$199,0)),),"Market")</f>
        <v>0</v>
      </c>
      <c r="S664" s="478">
        <f>IFERROR(MAX(0,INDEX(Input!$1:$1048576,S$93,$C664*2+MIN($B664,2)+5)
+INDEX(Scenarios!S$121:S$199,MATCH($B664,Scenarios!$B$121:$B$199,0)),),"Market")</f>
        <v>0</v>
      </c>
      <c r="T664" s="478">
        <f>IFERROR(MAX(0,INDEX(Input!$1:$1048576,T$93,$C664*2+MIN($B664,2)+5)
+INDEX(Scenarios!T$121:T$199,MATCH($B664,Scenarios!$B$121:$B$199,0)),),"Market")</f>
        <v>0</v>
      </c>
      <c r="U664" s="478">
        <f>IFERROR(MAX(0,INDEX(Input!$1:$1048576,U$93,$C664*2+MIN($B664,2)+5)
+INDEX(Scenarios!U$121:U$199,MATCH($B664,Scenarios!$B$121:$B$199,0)),),"Market")</f>
        <v>0</v>
      </c>
      <c r="V664" s="478">
        <f>IFERROR(MAX(0,INDEX(Input!$1:$1048576,V$93,$C664*2+MIN($B664,2)+5)
+INDEX(Scenarios!V$121:V$199,MATCH($B664,Scenarios!$B$121:$B$199,0)),),"Market")</f>
        <v>1.9E-2</v>
      </c>
      <c r="W664" s="885">
        <f>IFERROR(MAX(0,INDEX(Input!$1:$1048576,W$93,$C664*2+MIN($B664,2)+5)-0%),"Market")</f>
        <v>3.9E-2</v>
      </c>
      <c r="X664" s="476" t="str">
        <f>INDEX(Input!$1:$1048576,X$93,$C664*2+MIN($B664,2)+5)</f>
        <v>Y</v>
      </c>
      <c r="Y664" s="475">
        <f>INDEX(Input!$1:$1048576,Y$93,$C664*2+MIN($B664,2)+5)
++INDEX(Scenarios!Y$121:Y$199,MATCH($B664,Scenarios!$B$121:$B$199,0))</f>
        <v>557.99367635402496</v>
      </c>
      <c r="Z664" s="477">
        <f>INDEX(Input!$1:$1048576,Z$93,$C664*2+MIN($B664,2)+5)
+INDEX(Scenarios!Z$121:Z$199,MATCH($B664,Scenarios!$B$121:$B$199,0))</f>
        <v>0</v>
      </c>
      <c r="AA664" s="475">
        <f>INDEX(Input!$1:$1048576,AA$93,$C664*2+MIN($B664,2)+5)</f>
        <v>0</v>
      </c>
      <c r="AB664" s="476">
        <f>INDEX(Input!$1:$1048576,AB$93,$C664*2+MIN($B664,2)+5)</f>
        <v>0.27</v>
      </c>
      <c r="AC664" s="475">
        <f>INDEX(Input!$1:$1048576,AC$93,$C664*2+MIN($B664,2)+5)
+INDEX(Scenarios!AC$121:AC$199,MATCH($B664,Scenarios!$B$121:$B$199,0))</f>
        <v>0</v>
      </c>
      <c r="AD664" s="476">
        <f>INDEX(Input!$1:$1048576,AD$93,$C664*2+MIN($B664,2)+5)</f>
        <v>0.27</v>
      </c>
      <c r="AE664" s="475">
        <f>INDEX(Input!$1:$1048576,AE$93,$C664*2+MIN($B664,2)+5)
+INDEX(Scenarios!AE$121:AE$199,MATCH($B664,Scenarios!$B$121:$B$199,0))</f>
        <v>0</v>
      </c>
      <c r="AF664" s="476">
        <f>INDEX(Input!$1:$1048576,AF$93,$C664*2+MIN($B664,2)+5)</f>
        <v>1</v>
      </c>
      <c r="AG664" s="475">
        <f>INDEX(Input!$1:$1048576,AG$93,$C664*2+MIN($B664,2)+5)</f>
        <v>500</v>
      </c>
      <c r="AH664" s="476">
        <f>INDEX(Input!$1:$1048576,AH$93,$C664*2+MIN($B664,2)+5)</f>
        <v>1</v>
      </c>
      <c r="AI664" s="475">
        <f>INDEX(Input!$1:$1048576,AI$93,$C664*2+MIN($B664,2)+5)</f>
        <v>0</v>
      </c>
      <c r="AJ664" s="476">
        <f>INDEX(Input!$1:$1048576,AJ$93,$C664*2+MIN($B664,2)+5)</f>
        <v>0.27</v>
      </c>
      <c r="AK664" s="150">
        <f>ROUND(INDEX(Input!$1:$1048576,AK$93,$C663*2+MIN($B664,1)+5)+(Y664-VLOOKUP($C664*1000+1,$A:$HH,Y$92,FALSE)),0)</f>
        <v>2881</v>
      </c>
      <c r="AL664" s="150">
        <f>ROUND(INDEX(Input!$1:$1048576,AL$93,$C663*2+MIN($B664,1)+5)-(Y664-VLOOKUP($C664*1000+1,$A:$HH,Y$92,FALSE))/36,0)</f>
        <v>3557</v>
      </c>
      <c r="AM664" s="32" t="str">
        <f t="shared" si="1752"/>
        <v>std/std/std/std</v>
      </c>
      <c r="AN664" s="32" t="str">
        <f t="shared" si="1753"/>
        <v>$1000 + 0/0/0/1.9/3.9</v>
      </c>
      <c r="AO664" s="32" t="str">
        <f t="shared" si="1754"/>
        <v>0/0/0/1.9/3.9</v>
      </c>
      <c r="AP664" s="32" t="str">
        <f t="shared" si="1716"/>
        <v>0/0.9/1.9/3.9</v>
      </c>
      <c r="AQ664" s="536">
        <f t="shared" si="1892"/>
        <v>0.4135322463986052</v>
      </c>
      <c r="AR664" s="32"/>
      <c r="AS664" s="302"/>
      <c r="AT664" s="3">
        <f t="shared" si="1788"/>
        <v>64</v>
      </c>
      <c r="AU664" s="41" t="s">
        <v>121</v>
      </c>
      <c r="AV664" s="41" t="s">
        <v>116</v>
      </c>
      <c r="AW664" s="41" t="str">
        <f>INDEX(Input!$1:$1048576,AW$93,$C664*2+6)</f>
        <v>Kia</v>
      </c>
      <c r="AX664" s="41" t="str">
        <f>INDEX(Input!$1:$1048576,AX$93,$C664*2+6)</f>
        <v>National</v>
      </c>
      <c r="AY664" s="41" t="str">
        <f>IF(LEN(D664)=0,"",INDEX(Input!$1:$1048576,AY$93,$C664*2+6))</f>
        <v>Compact SUV (52)</v>
      </c>
      <c r="AZ664" s="41" t="str">
        <f>INDEX(Input!$1:$1048576,AZ$93,$C664*2+6)</f>
        <v>Kia Soul</v>
      </c>
      <c r="BA664" s="3">
        <f>INDEX(Input!$1:$1048576,BA$93,$C664*2+6)</f>
        <v>2020</v>
      </c>
      <c r="BB664" s="128">
        <f>INDEX(Input!$1:$1048576,BB$93,$C664*2+6)</f>
        <v>1</v>
      </c>
      <c r="BC664" s="128">
        <f>INDEX(Input!$1:$1048576,BC$93,$C664*2+6)</f>
        <v>0.7</v>
      </c>
      <c r="BD664" s="1">
        <f>INDEX(Input!$1:$1048576,BD$93,$C664*2+6)</f>
        <v>4.4999999999999998E-2</v>
      </c>
      <c r="BE664" s="1">
        <f>INDEX(Input!$1:$1048576,BE$93,$C664*2+6)</f>
        <v>4.4999999999999998E-2</v>
      </c>
      <c r="BF664" s="1">
        <f>INDEX(Input!$1:$1048576,BF$93,$C664*2+6)</f>
        <v>0.05</v>
      </c>
      <c r="BG664" s="1">
        <f>INDEX(Input!$1:$1048576,BG$93,$C664*2+6)</f>
        <v>5.45E-2</v>
      </c>
      <c r="BH664" s="1">
        <f>INDEX(Input!$1:$1048576,BH$93,$C664*2+6)</f>
        <v>5.45E-2</v>
      </c>
      <c r="BI664" s="1">
        <f>INDEX(Input!$1:$1048576,BI$93,$C664*2+6)</f>
        <v>0.05</v>
      </c>
      <c r="BJ664" s="1">
        <f>INDEX(Input!$1:$1048576,BJ$93,$C664*2+6)</f>
        <v>0.05</v>
      </c>
      <c r="BK664" s="1">
        <f>INDEX(Input!$1:$1048576,BK$93,$C664*2+6)</f>
        <v>0.05</v>
      </c>
      <c r="BL664" s="1">
        <f>INDEX(Input!$1:$1048576,BL$93,$C664*2+6)</f>
        <v>5.5E-2</v>
      </c>
      <c r="BM664" s="1">
        <f>INDEX(Input!$1:$1048576,BM$93,$C664*2+6)</f>
        <v>0.06</v>
      </c>
      <c r="BN664" s="1">
        <f>INDEX(Input!$1:$1048576,BN$93,$C664*2+6)</f>
        <v>4.4999999999999998E-2</v>
      </c>
      <c r="BO664" s="1">
        <f>INDEX(Input!$1:$1048576,BO$93,$C664*2+6)</f>
        <v>4.4999999999999998E-2</v>
      </c>
      <c r="BP664" s="1">
        <f>INDEX(Input!$1:$1048576,BP$93,$C664*2+6)</f>
        <v>0.05</v>
      </c>
      <c r="BQ664" s="1">
        <f>INDEX(Input!$1:$1048576,BQ$93,$C664*2+6)</f>
        <v>5.45E-2</v>
      </c>
      <c r="BR664" s="1">
        <f>INDEX(Input!$1:$1048576,BR$93,$C664*2+6)</f>
        <v>5.45E-2</v>
      </c>
      <c r="BS664" s="1">
        <f>INDEX(Input!$1:$1048576,BS$93,$C664*2+6)</f>
        <v>0.05</v>
      </c>
      <c r="BT664" s="1">
        <f>INDEX(Input!$1:$1048576,BT$93,$C664*2+6)</f>
        <v>0.05</v>
      </c>
      <c r="BU664" s="1">
        <f>INDEX(Input!$1:$1048576,BU$93,$C664*2+6)</f>
        <v>0.05</v>
      </c>
      <c r="BV664" s="1">
        <f>INDEX(Input!$1:$1048576,BV$93,$C664*2+6)</f>
        <v>5.5E-2</v>
      </c>
      <c r="BW664" s="1">
        <f>INDEX(Input!$1:$1048576,BW$93,$C664*2+6)</f>
        <v>0.06</v>
      </c>
      <c r="BX664" s="127">
        <f>INDEX(Input!$1:$1048576,BX$93,$C664*2+6)</f>
        <v>19985</v>
      </c>
      <c r="BY664" s="20">
        <f>INDEX(Input!$1:$1048576,BY$93,$C664*2+6)</f>
        <v>0.1</v>
      </c>
      <c r="BZ664" s="20">
        <f>INDEX(Input!$1:$1048576,BZ$93,$C664*2+6)</f>
        <v>0.1</v>
      </c>
      <c r="CA664" s="20">
        <f>INDEX(Input!$1:$1048576,CA$93,$C664*2+6)</f>
        <v>0.1</v>
      </c>
      <c r="CB664" s="20">
        <f>INDEX(Input!$1:$1048576,CB$93,$C664*2+6)</f>
        <v>0.1</v>
      </c>
      <c r="CC664" s="20">
        <f>INDEX(Input!$1:$1048576,CC$93,$C664*2+6)</f>
        <v>0.1</v>
      </c>
      <c r="CD664" s="384">
        <f>INDEX(Input!$1:$1048576,CD$93,$C664*2+6)</f>
        <v>0.1</v>
      </c>
      <c r="CE664" s="384">
        <f>INDEX(Input!$1:$1048576,CE$93,$C664*2+6)</f>
        <v>0.1</v>
      </c>
      <c r="CF664" s="384">
        <f>INDEX(Input!$1:$1048576,CF$93,$C664*2+6)</f>
        <v>0.1</v>
      </c>
      <c r="CG664" s="384">
        <f>INDEX(Input!$1:$1048576,CG$93,$C664*2+6)</f>
        <v>0.1</v>
      </c>
      <c r="CH664" s="384">
        <f>INDEX(Input!$1:$1048576,CH$93,$C664*2+6)</f>
        <v>0.1</v>
      </c>
      <c r="CI664" s="304">
        <f t="shared" si="1718"/>
        <v>2267.2644913000609</v>
      </c>
      <c r="CJ664" s="16" t="str">
        <f>INDEX(Input!$1:$1048576,CJ$93,$C664*2+6)</f>
        <v>N</v>
      </c>
      <c r="CK664" s="1" t="str">
        <f t="shared" si="1719"/>
        <v>Market</v>
      </c>
      <c r="CL664" s="1" t="str">
        <f t="shared" si="1720"/>
        <v>Market</v>
      </c>
      <c r="CM664" s="1" t="str">
        <f t="shared" si="1721"/>
        <v>Market</v>
      </c>
      <c r="CN664" s="1" t="str">
        <f t="shared" si="1722"/>
        <v>Market</v>
      </c>
      <c r="CO664" s="1" t="str">
        <f t="shared" si="1723"/>
        <v>Market</v>
      </c>
      <c r="CP664" s="304">
        <f t="shared" si="1724"/>
        <v>1500</v>
      </c>
      <c r="CQ664" s="1">
        <f t="shared" si="1725"/>
        <v>0</v>
      </c>
      <c r="CR664" s="1">
        <f t="shared" si="1726"/>
        <v>0</v>
      </c>
      <c r="CS664" s="1">
        <f t="shared" si="1727"/>
        <v>0</v>
      </c>
      <c r="CT664" s="1">
        <f t="shared" si="1728"/>
        <v>1.9E-2</v>
      </c>
      <c r="CU664" s="1">
        <f t="shared" si="1729"/>
        <v>3.9E-2</v>
      </c>
      <c r="CV664" s="304">
        <f t="shared" si="1730"/>
        <v>557.99367635402496</v>
      </c>
      <c r="CW664" s="20" t="s">
        <v>122</v>
      </c>
      <c r="CX664" s="20" t="s">
        <v>122</v>
      </c>
      <c r="CY664" s="20" t="s">
        <v>122</v>
      </c>
      <c r="CZ664" s="20" t="s">
        <v>122</v>
      </c>
      <c r="DA664" s="20" t="s">
        <v>122</v>
      </c>
      <c r="DB664" s="503">
        <f t="shared" si="1731"/>
        <v>0</v>
      </c>
      <c r="DC664" s="127">
        <v>0</v>
      </c>
      <c r="DD664" s="127">
        <v>0</v>
      </c>
      <c r="DE664" s="127">
        <v>0</v>
      </c>
      <c r="DF664" s="127">
        <v>0</v>
      </c>
      <c r="DG664" s="127">
        <v>0</v>
      </c>
      <c r="DH664" s="127">
        <v>0</v>
      </c>
      <c r="DI664" s="127">
        <v>0</v>
      </c>
      <c r="DJ664" s="127">
        <v>0</v>
      </c>
      <c r="DK664" s="127">
        <v>0</v>
      </c>
      <c r="DL664" s="127">
        <v>0</v>
      </c>
      <c r="DM664" s="304">
        <f>INDEX(Input!$1:$1048576,DM$93,$C664*2+6)</f>
        <v>21036.84210526316</v>
      </c>
      <c r="DN664" s="20">
        <v>0</v>
      </c>
      <c r="DO664" s="20">
        <v>0</v>
      </c>
      <c r="DP664" s="20">
        <v>0</v>
      </c>
      <c r="DQ664" s="20">
        <v>0</v>
      </c>
      <c r="DR664" s="20">
        <v>0</v>
      </c>
      <c r="DS664" s="20">
        <f>INDEX(Input!$1:$1048576,DS$93,$C664*2+6)</f>
        <v>0.6</v>
      </c>
      <c r="DT664" s="20">
        <f>INDEX(Input!$1:$1048576,DT$93,$C664*2+6)</f>
        <v>0.55000000000000004</v>
      </c>
      <c r="DU664" s="20">
        <f>INDEX(Input!$1:$1048576,DU$93,$C664*2+6)</f>
        <v>0.52</v>
      </c>
      <c r="DV664" s="20">
        <f>INDEX(Input!$1:$1048576,DV$93,$C664*2+6)</f>
        <v>0.5</v>
      </c>
      <c r="DW664" s="20">
        <f>INDEX(Input!$1:$1048576,DW$93,$C664*2+6)</f>
        <v>0.45</v>
      </c>
      <c r="DX664" s="20"/>
      <c r="DY664" s="7"/>
      <c r="DZ664" s="7"/>
      <c r="EA664" s="7"/>
      <c r="EB664" s="7"/>
      <c r="EC664" s="7"/>
      <c r="ED664" s="7"/>
      <c r="EE664" s="7"/>
      <c r="EF664" s="7"/>
      <c r="EG664" s="7"/>
      <c r="EH664" s="7"/>
      <c r="EI664" s="7"/>
      <c r="EJ664" s="7"/>
      <c r="EK664" s="7"/>
      <c r="EL664" s="7"/>
      <c r="EM664" s="7"/>
      <c r="EN664" s="7"/>
      <c r="EO664" s="7"/>
      <c r="EP664" s="7"/>
      <c r="EQ664" s="7"/>
      <c r="ER664" s="7"/>
      <c r="ES664" s="7"/>
      <c r="ET664" s="7"/>
      <c r="EU664" s="6"/>
      <c r="EV664" s="6"/>
      <c r="EW664" s="6"/>
      <c r="EX664" s="6"/>
      <c r="EY664" s="6"/>
      <c r="EZ664" s="6"/>
      <c r="FA664" s="6"/>
      <c r="FB664" s="6"/>
      <c r="FC664" s="6"/>
      <c r="FD664" s="6"/>
      <c r="FE664" s="6"/>
      <c r="FF664" s="6"/>
      <c r="FG664" s="6"/>
      <c r="FH664" s="6"/>
      <c r="FI664" s="6"/>
      <c r="FJ664" s="6"/>
      <c r="FK664" s="6"/>
      <c r="FL664" s="6"/>
      <c r="FM664" s="6"/>
      <c r="FN664" s="6"/>
      <c r="FO664" s="6"/>
      <c r="FP664" s="6"/>
      <c r="FQ664" s="6"/>
      <c r="FR664" s="6"/>
      <c r="FS664" s="6"/>
      <c r="FT664" s="7"/>
      <c r="FU664" s="7"/>
      <c r="FV664" s="7"/>
      <c r="FW664" s="6"/>
      <c r="FX664" s="6"/>
      <c r="FY664" s="6"/>
      <c r="FZ664" s="6"/>
      <c r="GA664" s="6"/>
      <c r="GB664" s="6"/>
      <c r="GC664" s="7"/>
      <c r="GD664" s="7"/>
      <c r="GE664" s="7"/>
      <c r="GF664" s="7"/>
      <c r="GG664" s="7"/>
      <c r="GH664" s="42"/>
      <c r="GI664" s="6"/>
      <c r="GJ664" s="14"/>
      <c r="GK664" s="14"/>
      <c r="GL664" s="14"/>
      <c r="GM664" s="14"/>
      <c r="GO664" s="5"/>
      <c r="GP664" s="5"/>
      <c r="GQ664" s="5"/>
      <c r="GR664" s="5"/>
      <c r="GS664" s="5"/>
      <c r="GT664" s="5"/>
      <c r="GU664" s="5"/>
      <c r="GV664" s="39"/>
      <c r="GW664" s="5"/>
      <c r="GX664" s="5"/>
      <c r="GY664" s="5"/>
      <c r="GZ664" s="5"/>
      <c r="HA664" s="5"/>
      <c r="HB664" s="39"/>
      <c r="HC664" s="5"/>
      <c r="HD664" s="5"/>
      <c r="HE664" s="5"/>
      <c r="HF664" s="5"/>
      <c r="HG664" s="5"/>
      <c r="HH664" s="39"/>
      <c r="HI664" s="16"/>
      <c r="HJ664" s="19"/>
      <c r="HK664" s="1"/>
      <c r="HL664" s="16"/>
      <c r="HM664" s="639">
        <f t="shared" si="1755"/>
        <v>2.3149872625708352E-2</v>
      </c>
      <c r="HN664" s="639">
        <f t="shared" si="1756"/>
        <v>1.3965040474190958E-3</v>
      </c>
      <c r="HO664" s="639">
        <f t="shared" si="1757"/>
        <v>3.5429561340050734E-3</v>
      </c>
      <c r="HP664" s="644">
        <f t="shared" ref="HP664:ID664" si="1987">HP164+HP264+HP364+HP464+HP564</f>
        <v>1084.8225598179338</v>
      </c>
      <c r="HQ664" s="644">
        <f t="shared" si="1987"/>
        <v>65.608177633017661</v>
      </c>
      <c r="HR664" s="644">
        <f t="shared" si="1987"/>
        <v>-300.42225904821009</v>
      </c>
      <c r="HS664" s="644">
        <f t="shared" si="1987"/>
        <v>-415.17969628388158</v>
      </c>
      <c r="HT664" s="644">
        <f t="shared" si="1987"/>
        <v>472.32410549464538</v>
      </c>
      <c r="HU664" s="644">
        <f t="shared" si="1987"/>
        <v>57.157417041837924</v>
      </c>
      <c r="HV664" s="644">
        <f t="shared" si="1987"/>
        <v>0</v>
      </c>
      <c r="HW664" s="644">
        <f t="shared" si="1987"/>
        <v>0</v>
      </c>
      <c r="HX664" s="644">
        <f t="shared" si="1987"/>
        <v>0</v>
      </c>
      <c r="HY664" s="644">
        <f t="shared" si="1987"/>
        <v>2396</v>
      </c>
      <c r="HZ664" s="644">
        <f t="shared" si="1987"/>
        <v>3223</v>
      </c>
      <c r="IA664" s="644">
        <f t="shared" si="1987"/>
        <v>830</v>
      </c>
      <c r="IB664" s="644">
        <f t="shared" si="1987"/>
        <v>3065.6428635340526</v>
      </c>
      <c r="IC664" s="644">
        <f t="shared" si="1987"/>
        <v>3760.9322831276631</v>
      </c>
      <c r="ID664" s="644">
        <f t="shared" si="1987"/>
        <v>586.73515799362781</v>
      </c>
      <c r="IE664" s="20">
        <f t="shared" si="1759"/>
        <v>0.4135322463986052</v>
      </c>
      <c r="IF664" s="20">
        <f t="shared" si="1760"/>
        <v>0.50732157815731882</v>
      </c>
      <c r="IG664" s="20">
        <f t="shared" si="1761"/>
        <v>7.9146175444075928E-2</v>
      </c>
      <c r="IH664" s="21"/>
      <c r="II664" s="19"/>
      <c r="IJ664" s="19"/>
      <c r="IK664" s="19"/>
      <c r="IL664" s="19">
        <f t="shared" si="1762"/>
        <v>1162.3795787899921</v>
      </c>
      <c r="IM664" s="19">
        <f t="shared" si="1763"/>
        <v>1175.4627292265382</v>
      </c>
      <c r="IN664" s="19">
        <f t="shared" si="1764"/>
        <v>-60.623370296611029</v>
      </c>
      <c r="IO664" s="39"/>
      <c r="IP664" s="39"/>
      <c r="IQ664" s="39"/>
      <c r="IR664" s="39"/>
      <c r="IS664" s="39"/>
      <c r="IT664" s="39"/>
      <c r="IU664" s="39"/>
      <c r="IV664" s="39"/>
      <c r="IW664" s="39"/>
      <c r="IX664" s="19">
        <f t="shared" si="1765"/>
        <v>1554.1790484140233</v>
      </c>
      <c r="IY664" s="19">
        <f t="shared" si="1766"/>
        <v>2412.3001201524512</v>
      </c>
      <c r="IZ664" s="19">
        <f t="shared" si="1767"/>
        <v>3993.0862952928574</v>
      </c>
      <c r="JA664" s="19">
        <f t="shared" ref="JA664:JC664" si="1988">IFERROR((JA164*IB164+JA264*IB264+JA364*IB364+JA464*IB464+JA564*IB564)/IB664,0)</f>
        <v>2716.5586272040155</v>
      </c>
      <c r="JB664" s="19">
        <f t="shared" si="1988"/>
        <v>3587.7628493789894</v>
      </c>
      <c r="JC664" s="19">
        <f t="shared" si="1988"/>
        <v>3932.4629249962463</v>
      </c>
      <c r="JD664" s="19">
        <f t="shared" si="1769"/>
        <v>3254.7735029714127</v>
      </c>
      <c r="JE664" s="21"/>
      <c r="JF664" s="1">
        <f t="shared" si="1770"/>
        <v>2.6651855648468406E-2</v>
      </c>
      <c r="JG664" s="15">
        <f t="shared" si="1771"/>
        <v>6449</v>
      </c>
      <c r="JH664" s="1">
        <f t="shared" si="1772"/>
        <v>0.13180469505392176</v>
      </c>
      <c r="JI664" s="1">
        <f t="shared" si="1773"/>
        <v>1.7723961273469022E-2</v>
      </c>
      <c r="JJ664" s="1">
        <f t="shared" si="1774"/>
        <v>0</v>
      </c>
      <c r="JK664" s="1">
        <f t="shared" si="1775"/>
        <v>0.14952865632739082</v>
      </c>
      <c r="JL664" s="15">
        <f t="shared" ref="JL664:JM664" si="1989">JL164+JL264+JL364+JL464+JL564</f>
        <v>964.31030465534332</v>
      </c>
      <c r="JM664" s="15">
        <f t="shared" si="1989"/>
        <v>7413.3103046553424</v>
      </c>
      <c r="JN664" s="21"/>
      <c r="JO664" s="19">
        <f>INDEX(Input!$1:$1048576,JO$93,$C664*2+6)</f>
        <v>5995.5</v>
      </c>
      <c r="JP664" s="19">
        <f>INDEX(Input!$1:$1048576,JP$93,$C664*2+6)</f>
        <v>2296.6050414551746</v>
      </c>
      <c r="JQ664" s="39">
        <f t="shared" si="1799"/>
        <v>2740.7264970285873</v>
      </c>
      <c r="JR664" s="39">
        <f t="shared" si="1800"/>
        <v>958.16846151623804</v>
      </c>
      <c r="JS664" s="39">
        <f t="shared" si="1801"/>
        <v>24.128645948897137</v>
      </c>
      <c r="JT664" s="39">
        <f t="shared" si="1802"/>
        <v>9.3178400365527185</v>
      </c>
      <c r="JU664" s="385">
        <f>(JQ664*JM664-INDEX(Input!$1:$1048576,Input!A$18,$C664*2+6)*JL664*INDEX(Input!$1:$1048576,Input!A$19,$C664*2+6))/1000000</f>
        <v>20.317855982663968</v>
      </c>
      <c r="JV664" s="39">
        <f t="shared" si="1803"/>
        <v>-3.5363176049916092</v>
      </c>
      <c r="JW664" s="1">
        <f t="shared" si="1804"/>
        <v>-0.1482473325683199</v>
      </c>
      <c r="JX664" s="19">
        <f t="shared" si="1805"/>
        <v>9662.6988134105159</v>
      </c>
      <c r="JZ664" s="341"/>
      <c r="KA664" s="60"/>
      <c r="KB664" s="469">
        <f t="shared" si="1778"/>
        <v>0</v>
      </c>
      <c r="KI664" s="472"/>
      <c r="KJ664" s="472"/>
      <c r="KK664" s="472"/>
      <c r="KN664" s="26">
        <f t="shared" si="1779"/>
        <v>6002</v>
      </c>
      <c r="KO664" s="794">
        <f t="shared" si="1780"/>
        <v>0.12317973379163916</v>
      </c>
      <c r="KP664" s="795">
        <f t="shared" si="1781"/>
        <v>903.55376554129009</v>
      </c>
      <c r="KQ664" s="795">
        <f t="shared" si="1782"/>
        <v>791.94024636626773</v>
      </c>
      <c r="KR664" s="26">
        <f t="shared" si="1783"/>
        <v>2.3887630346060007</v>
      </c>
      <c r="KS664" s="26">
        <f t="shared" si="1784"/>
        <v>2.7254276377637896</v>
      </c>
      <c r="KT664" s="796">
        <f t="shared" si="1795"/>
        <v>4286.2445668946921</v>
      </c>
      <c r="KU664" s="797">
        <f t="shared" si="1785"/>
        <v>4.4797074084016995</v>
      </c>
    </row>
    <row r="665" spans="1:308" s="26" customFormat="1" ht="15" outlineLevel="1">
      <c r="A665" s="561">
        <f t="shared" si="1751"/>
        <v>6065</v>
      </c>
      <c r="B665" s="561">
        <f t="shared" si="1786"/>
        <v>65</v>
      </c>
      <c r="C665" s="561">
        <f t="shared" si="1787"/>
        <v>6</v>
      </c>
      <c r="D665" s="561" t="str">
        <f t="shared" si="1953"/>
        <v xml:space="preserve">500 CC, 500 Combo, -360 Lease, </v>
      </c>
      <c r="E665" s="475">
        <f>INDEX(Input!$1:$1048576,E$93,$C665*2+MIN($B665,2)+5)
+INDEX(Scenarios!E$121:E$199,MATCH($B665,Scenarios!$B$121:$B$199,0))</f>
        <v>1767.2644913000609</v>
      </c>
      <c r="F665" s="475">
        <f>INDEX(Input!$1:$1048576,F$93,$C665*2+MIN($B665,2)+5)
+INDEX(Scenarios!F$121:F$199,MATCH($B665,Scenarios!$B$121:$B$199,0))</f>
        <v>0</v>
      </c>
      <c r="G665" s="475">
        <f>INDEX(Input!$1:$1048576,G$93,$C665*2+MIN($B665,2)+5)
+INDEX(Scenarios!G$121:G$199,MATCH($B665,Scenarios!$B$121:$B$199,0))</f>
        <v>0</v>
      </c>
      <c r="H665" s="475">
        <f>INDEX(Input!$1:$1048576,H$93,$C665*2+MIN($B665,2)+5)
+INDEX(Scenarios!H$121:H$199,MATCH($B665,Scenarios!$B$121:$B$199,0))</f>
        <v>0</v>
      </c>
      <c r="I665" s="476">
        <f>INDEX(Input!$1:$1048576,I$93,$C665*2+MIN($B665,2)+5)
+INDEX(Scenarios!I$121:I$199,MATCH($B665,Scenarios!$B$121:$B$199,0))</f>
        <v>0.7</v>
      </c>
      <c r="J665" s="476" t="str">
        <f>INDEX(Input!$1:$1048576,J$93,$C665*2+MIN($B665,2)+5)</f>
        <v>Market</v>
      </c>
      <c r="K665" s="476" t="str">
        <f>INDEX(Input!$1:$1048576,K$93,$C665*2+MIN($B665,2)+5)</f>
        <v>Market</v>
      </c>
      <c r="L665" s="476" t="str">
        <f>INDEX(Input!$1:$1048576,L$93,$C665*2+MIN($B665,2)+5)</f>
        <v>Market</v>
      </c>
      <c r="M665" s="476" t="str">
        <f>INDEX(Input!$1:$1048576,M$93,$C665*2+MIN($B665,2)+5)</f>
        <v>Market</v>
      </c>
      <c r="N665" s="476" t="str">
        <f>INDEX(Input!$1:$1048576,N$93,$C665*2+MIN($B665,2)+5)</f>
        <v>Market</v>
      </c>
      <c r="O665" s="476" t="str">
        <f>INDEX(Input!$1:$1048576,O$93,$C665*2+MIN($B665,2)+5)</f>
        <v>Market</v>
      </c>
      <c r="P665" s="476" t="str">
        <f>INDEX(Input!$1:$1048576,P$93,$C665*2+MIN($B665,2)+5)</f>
        <v>N</v>
      </c>
      <c r="Q665" s="477">
        <f>INDEX(Input!$1:$1048576,Q$93,$C665*2+MIN($B665,2)+5)
+INDEX(Scenarios!Q$121:Q$199,MATCH($B665,Scenarios!$B$121:$B$199,0))</f>
        <v>500</v>
      </c>
      <c r="R665" s="478">
        <f>IFERROR(MAX(0,INDEX(Input!$1:$1048576,R$93,$C665*2+MIN($B665,2)+5)
+INDEX(Scenarios!R$121:R$199,MATCH($B665,Scenarios!$B$121:$B$199,0)),),"Market")</f>
        <v>0</v>
      </c>
      <c r="S665" s="478">
        <f>IFERROR(MAX(0,INDEX(Input!$1:$1048576,S$93,$C665*2+MIN($B665,2)+5)
+INDEX(Scenarios!S$121:S$199,MATCH($B665,Scenarios!$B$121:$B$199,0)),),"Market")</f>
        <v>0</v>
      </c>
      <c r="T665" s="478">
        <f>IFERROR(MAX(0,INDEX(Input!$1:$1048576,T$93,$C665*2+MIN($B665,2)+5)
+INDEX(Scenarios!T$121:T$199,MATCH($B665,Scenarios!$B$121:$B$199,0)),),"Market")</f>
        <v>0</v>
      </c>
      <c r="U665" s="478">
        <f>IFERROR(MAX(0,INDEX(Input!$1:$1048576,U$93,$C665*2+MIN($B665,2)+5)
+INDEX(Scenarios!U$121:U$199,MATCH($B665,Scenarios!$B$121:$B$199,0)),),"Market")</f>
        <v>0</v>
      </c>
      <c r="V665" s="478">
        <f>IFERROR(MAX(0,INDEX(Input!$1:$1048576,V$93,$C665*2+MIN($B665,2)+5)
+INDEX(Scenarios!V$121:V$199,MATCH($B665,Scenarios!$B$121:$B$199,0)),),"Market")</f>
        <v>1.9E-2</v>
      </c>
      <c r="W665" s="885">
        <f>IFERROR(MAX(0,INDEX(Input!$1:$1048576,W$93,$C665*2+MIN($B665,2)+5)-0%),"Market")</f>
        <v>3.9E-2</v>
      </c>
      <c r="X665" s="476" t="str">
        <f>INDEX(Input!$1:$1048576,X$93,$C665*2+MIN($B665,2)+5)</f>
        <v>Y</v>
      </c>
      <c r="Y665" s="475">
        <f>INDEX(Input!$1:$1048576,Y$93,$C665*2+MIN($B665,2)+5)
++INDEX(Scenarios!Y$121:Y$199,MATCH($B665,Scenarios!$B$121:$B$199,0))</f>
        <v>377.99367635402496</v>
      </c>
      <c r="Z665" s="477">
        <f>INDEX(Input!$1:$1048576,Z$93,$C665*2+MIN($B665,2)+5)
+INDEX(Scenarios!Z$121:Z$199,MATCH($B665,Scenarios!$B$121:$B$199,0))</f>
        <v>0</v>
      </c>
      <c r="AA665" s="475">
        <f>INDEX(Input!$1:$1048576,AA$93,$C665*2+MIN($B665,2)+5)</f>
        <v>0</v>
      </c>
      <c r="AB665" s="476">
        <f>INDEX(Input!$1:$1048576,AB$93,$C665*2+MIN($B665,2)+5)</f>
        <v>0.27</v>
      </c>
      <c r="AC665" s="475">
        <f>INDEX(Input!$1:$1048576,AC$93,$C665*2+MIN($B665,2)+5)
+INDEX(Scenarios!AC$121:AC$199,MATCH($B665,Scenarios!$B$121:$B$199,0))</f>
        <v>0</v>
      </c>
      <c r="AD665" s="476">
        <f>INDEX(Input!$1:$1048576,AD$93,$C665*2+MIN($B665,2)+5)</f>
        <v>0.27</v>
      </c>
      <c r="AE665" s="475">
        <f>INDEX(Input!$1:$1048576,AE$93,$C665*2+MIN($B665,2)+5)
+INDEX(Scenarios!AE$121:AE$199,MATCH($B665,Scenarios!$B$121:$B$199,0))</f>
        <v>0</v>
      </c>
      <c r="AF665" s="476">
        <f>INDEX(Input!$1:$1048576,AF$93,$C665*2+MIN($B665,2)+5)</f>
        <v>1</v>
      </c>
      <c r="AG665" s="475">
        <f>INDEX(Input!$1:$1048576,AG$93,$C665*2+MIN($B665,2)+5)</f>
        <v>500</v>
      </c>
      <c r="AH665" s="476">
        <f>INDEX(Input!$1:$1048576,AH$93,$C665*2+MIN($B665,2)+5)</f>
        <v>1</v>
      </c>
      <c r="AI665" s="475">
        <f>INDEX(Input!$1:$1048576,AI$93,$C665*2+MIN($B665,2)+5)</f>
        <v>0</v>
      </c>
      <c r="AJ665" s="476">
        <f>INDEX(Input!$1:$1048576,AJ$93,$C665*2+MIN($B665,2)+5)</f>
        <v>0.27</v>
      </c>
      <c r="AK665" s="150">
        <f>ROUND(INDEX(Input!$1:$1048576,AK$93,$C664*2+MIN($B665,1)+5)+(Y665-VLOOKUP($C665*1000+1,$A:$HH,Y$92,FALSE)),0)</f>
        <v>2701</v>
      </c>
      <c r="AL665" s="150">
        <f>ROUND(INDEX(Input!$1:$1048576,AL$93,$C664*2+MIN($B665,1)+5)-(Y665-VLOOKUP($C665*1000+1,$A:$HH,Y$92,FALSE))/36,0)</f>
        <v>3562</v>
      </c>
      <c r="AM665" s="32" t="str">
        <f t="shared" si="1752"/>
        <v>std/std/std/std</v>
      </c>
      <c r="AN665" s="32" t="str">
        <f t="shared" si="1753"/>
        <v>$500 + 0/0/0/1.9/3.9</v>
      </c>
      <c r="AO665" s="32" t="str">
        <f t="shared" si="1754"/>
        <v>0/0/0/1.9/3.9</v>
      </c>
      <c r="AP665" s="32" t="str">
        <f t="shared" ref="AP665:AP700" si="1990">IF(X665="Y",
IF(U665="market","std",ROUND(U665*1000,0)/10)&amp;"/"
&amp;MAX(IF(V665="market","std",ROUND(V665*1000,0)/10-1),0)&amp;"/"
&amp;IF(V665="market","std",ROUND(V665*1000,0)/10)&amp;"/"
&amp;IF(W665="market","std",ROUND(W665*1000,0)/10),
IF(U665="market","std",ROUND(U665*1000,0)/10)&amp;"/"
&amp;MAX(IF(V665="market","std",ROUND(V665*1000,0)/10-1),0)&amp;"/"
&amp;IF(V665="market","std",ROUND(V665*1000,0)/10)&amp;"/"
&amp;IF(W665="market","std",ROUND(W665*1000,0)/10))</f>
        <v>0/0.9/1.9/3.9</v>
      </c>
      <c r="AQ665" s="536">
        <f t="shared" ref="AQ665:AQ700" si="1991">SUM(IE665,G665*IF665,H665*IG665,AC665*AD665,AE665*AF665,AI665)</f>
        <v>0.40487593953548434</v>
      </c>
      <c r="AR665" s="32"/>
      <c r="AS665" s="302"/>
      <c r="AT665" s="3">
        <f t="shared" si="1788"/>
        <v>65</v>
      </c>
      <c r="AU665" s="41" t="s">
        <v>121</v>
      </c>
      <c r="AV665" s="41" t="s">
        <v>116</v>
      </c>
      <c r="AW665" s="41" t="str">
        <f>INDEX(Input!$1:$1048576,AW$93,$C665*2+6)</f>
        <v>Kia</v>
      </c>
      <c r="AX665" s="41" t="str">
        <f>INDEX(Input!$1:$1048576,AX$93,$C665*2+6)</f>
        <v>National</v>
      </c>
      <c r="AY665" s="41" t="str">
        <f>IF(LEN(D665)=0,"",INDEX(Input!$1:$1048576,AY$93,$C665*2+6))</f>
        <v>Compact SUV (52)</v>
      </c>
      <c r="AZ665" s="41" t="str">
        <f>INDEX(Input!$1:$1048576,AZ$93,$C665*2+6)</f>
        <v>Kia Soul</v>
      </c>
      <c r="BA665" s="3">
        <f>INDEX(Input!$1:$1048576,BA$93,$C665*2+6)</f>
        <v>2020</v>
      </c>
      <c r="BB665" s="128">
        <f>INDEX(Input!$1:$1048576,BB$93,$C665*2+6)</f>
        <v>1</v>
      </c>
      <c r="BC665" s="128">
        <f>INDEX(Input!$1:$1048576,BC$93,$C665*2+6)</f>
        <v>0.7</v>
      </c>
      <c r="BD665" s="1">
        <f>INDEX(Input!$1:$1048576,BD$93,$C665*2+6)</f>
        <v>4.4999999999999998E-2</v>
      </c>
      <c r="BE665" s="1">
        <f>INDEX(Input!$1:$1048576,BE$93,$C665*2+6)</f>
        <v>4.4999999999999998E-2</v>
      </c>
      <c r="BF665" s="1">
        <f>INDEX(Input!$1:$1048576,BF$93,$C665*2+6)</f>
        <v>0.05</v>
      </c>
      <c r="BG665" s="1">
        <f>INDEX(Input!$1:$1048576,BG$93,$C665*2+6)</f>
        <v>5.45E-2</v>
      </c>
      <c r="BH665" s="1">
        <f>INDEX(Input!$1:$1048576,BH$93,$C665*2+6)</f>
        <v>5.45E-2</v>
      </c>
      <c r="BI665" s="1">
        <f>INDEX(Input!$1:$1048576,BI$93,$C665*2+6)</f>
        <v>0.05</v>
      </c>
      <c r="BJ665" s="1">
        <f>INDEX(Input!$1:$1048576,BJ$93,$C665*2+6)</f>
        <v>0.05</v>
      </c>
      <c r="BK665" s="1">
        <f>INDEX(Input!$1:$1048576,BK$93,$C665*2+6)</f>
        <v>0.05</v>
      </c>
      <c r="BL665" s="1">
        <f>INDEX(Input!$1:$1048576,BL$93,$C665*2+6)</f>
        <v>5.5E-2</v>
      </c>
      <c r="BM665" s="1">
        <f>INDEX(Input!$1:$1048576,BM$93,$C665*2+6)</f>
        <v>0.06</v>
      </c>
      <c r="BN665" s="1">
        <f>INDEX(Input!$1:$1048576,BN$93,$C665*2+6)</f>
        <v>4.4999999999999998E-2</v>
      </c>
      <c r="BO665" s="1">
        <f>INDEX(Input!$1:$1048576,BO$93,$C665*2+6)</f>
        <v>4.4999999999999998E-2</v>
      </c>
      <c r="BP665" s="1">
        <f>INDEX(Input!$1:$1048576,BP$93,$C665*2+6)</f>
        <v>0.05</v>
      </c>
      <c r="BQ665" s="1">
        <f>INDEX(Input!$1:$1048576,BQ$93,$C665*2+6)</f>
        <v>5.45E-2</v>
      </c>
      <c r="BR665" s="1">
        <f>INDEX(Input!$1:$1048576,BR$93,$C665*2+6)</f>
        <v>5.45E-2</v>
      </c>
      <c r="BS665" s="1">
        <f>INDEX(Input!$1:$1048576,BS$93,$C665*2+6)</f>
        <v>0.05</v>
      </c>
      <c r="BT665" s="1">
        <f>INDEX(Input!$1:$1048576,BT$93,$C665*2+6)</f>
        <v>0.05</v>
      </c>
      <c r="BU665" s="1">
        <f>INDEX(Input!$1:$1048576,BU$93,$C665*2+6)</f>
        <v>0.05</v>
      </c>
      <c r="BV665" s="1">
        <f>INDEX(Input!$1:$1048576,BV$93,$C665*2+6)</f>
        <v>5.5E-2</v>
      </c>
      <c r="BW665" s="1">
        <f>INDEX(Input!$1:$1048576,BW$93,$C665*2+6)</f>
        <v>0.06</v>
      </c>
      <c r="BX665" s="127">
        <f>INDEX(Input!$1:$1048576,BX$93,$C665*2+6)</f>
        <v>19985</v>
      </c>
      <c r="BY665" s="20">
        <f>INDEX(Input!$1:$1048576,BY$93,$C665*2+6)</f>
        <v>0.1</v>
      </c>
      <c r="BZ665" s="20">
        <f>INDEX(Input!$1:$1048576,BZ$93,$C665*2+6)</f>
        <v>0.1</v>
      </c>
      <c r="CA665" s="20">
        <f>INDEX(Input!$1:$1048576,CA$93,$C665*2+6)</f>
        <v>0.1</v>
      </c>
      <c r="CB665" s="20">
        <f>INDEX(Input!$1:$1048576,CB$93,$C665*2+6)</f>
        <v>0.1</v>
      </c>
      <c r="CC665" s="20">
        <f>INDEX(Input!$1:$1048576,CC$93,$C665*2+6)</f>
        <v>0.1</v>
      </c>
      <c r="CD665" s="384">
        <f>INDEX(Input!$1:$1048576,CD$93,$C665*2+6)</f>
        <v>0.1</v>
      </c>
      <c r="CE665" s="384">
        <f>INDEX(Input!$1:$1048576,CE$93,$C665*2+6)</f>
        <v>0.1</v>
      </c>
      <c r="CF665" s="384">
        <f>INDEX(Input!$1:$1048576,CF$93,$C665*2+6)</f>
        <v>0.1</v>
      </c>
      <c r="CG665" s="384">
        <f>INDEX(Input!$1:$1048576,CG$93,$C665*2+6)</f>
        <v>0.1</v>
      </c>
      <c r="CH665" s="384">
        <f>INDEX(Input!$1:$1048576,CH$93,$C665*2+6)</f>
        <v>0.1</v>
      </c>
      <c r="CI665" s="304">
        <f t="shared" ref="CI665:CI700" si="1992">E665+F665*I665+AA665*AB665</f>
        <v>1767.2644913000609</v>
      </c>
      <c r="CJ665" s="16" t="str">
        <f>INDEX(Input!$1:$1048576,CJ$93,$C665*2+6)</f>
        <v>N</v>
      </c>
      <c r="CK665" s="1" t="str">
        <f t="shared" ref="CK665:CK700" si="1993">K665</f>
        <v>Market</v>
      </c>
      <c r="CL665" s="1" t="str">
        <f t="shared" ref="CL665:CL700" si="1994">L665</f>
        <v>Market</v>
      </c>
      <c r="CM665" s="1" t="str">
        <f t="shared" ref="CM665:CM700" si="1995">M665</f>
        <v>Market</v>
      </c>
      <c r="CN665" s="1" t="str">
        <f t="shared" ref="CN665:CN700" si="1996">N665</f>
        <v>Market</v>
      </c>
      <c r="CO665" s="1" t="str">
        <f t="shared" ref="CO665:CO700" si="1997">O665</f>
        <v>Market</v>
      </c>
      <c r="CP665" s="304">
        <f t="shared" ref="CP665:CP700" si="1998">Q665+G665*I665+AG665*AH665</f>
        <v>1000</v>
      </c>
      <c r="CQ665" s="1">
        <f t="shared" ref="CQ665:CQ700" si="1999">S665</f>
        <v>0</v>
      </c>
      <c r="CR665" s="1">
        <f t="shared" ref="CR665:CR700" si="2000">T665</f>
        <v>0</v>
      </c>
      <c r="CS665" s="1">
        <f t="shared" ref="CS665:CS700" si="2001">U665</f>
        <v>0</v>
      </c>
      <c r="CT665" s="1">
        <f t="shared" ref="CT665:CT700" si="2002">V665</f>
        <v>1.9E-2</v>
      </c>
      <c r="CU665" s="1">
        <f t="shared" ref="CU665:CU700" si="2003">W665</f>
        <v>3.9E-2</v>
      </c>
      <c r="CV665" s="304">
        <f t="shared" ref="CV665:CV700" si="2004">Y665+H665*I665+AC665*AD665</f>
        <v>377.99367635402496</v>
      </c>
      <c r="CW665" s="20" t="s">
        <v>122</v>
      </c>
      <c r="CX665" s="20" t="s">
        <v>122</v>
      </c>
      <c r="CY665" s="20" t="s">
        <v>122</v>
      </c>
      <c r="CZ665" s="20" t="s">
        <v>122</v>
      </c>
      <c r="DA665" s="20" t="s">
        <v>122</v>
      </c>
      <c r="DB665" s="503">
        <f t="shared" ref="DB665:DB700" si="2005">Z665+AE665*AF665</f>
        <v>0</v>
      </c>
      <c r="DC665" s="127">
        <v>0</v>
      </c>
      <c r="DD665" s="127">
        <v>0</v>
      </c>
      <c r="DE665" s="127">
        <v>0</v>
      </c>
      <c r="DF665" s="127">
        <v>0</v>
      </c>
      <c r="DG665" s="127">
        <v>0</v>
      </c>
      <c r="DH665" s="127">
        <v>0</v>
      </c>
      <c r="DI665" s="127">
        <v>0</v>
      </c>
      <c r="DJ665" s="127">
        <v>0</v>
      </c>
      <c r="DK665" s="127">
        <v>0</v>
      </c>
      <c r="DL665" s="127">
        <v>0</v>
      </c>
      <c r="DM665" s="304">
        <f>INDEX(Input!$1:$1048576,DM$93,$C665*2+6)</f>
        <v>21036.84210526316</v>
      </c>
      <c r="DN665" s="20">
        <v>0</v>
      </c>
      <c r="DO665" s="20">
        <v>0</v>
      </c>
      <c r="DP665" s="20">
        <v>0</v>
      </c>
      <c r="DQ665" s="20">
        <v>0</v>
      </c>
      <c r="DR665" s="20">
        <v>0</v>
      </c>
      <c r="DS665" s="20">
        <f>INDEX(Input!$1:$1048576,DS$93,$C665*2+6)</f>
        <v>0.6</v>
      </c>
      <c r="DT665" s="20">
        <f>INDEX(Input!$1:$1048576,DT$93,$C665*2+6)</f>
        <v>0.55000000000000004</v>
      </c>
      <c r="DU665" s="20">
        <f>INDEX(Input!$1:$1048576,DU$93,$C665*2+6)</f>
        <v>0.52</v>
      </c>
      <c r="DV665" s="20">
        <f>INDEX(Input!$1:$1048576,DV$93,$C665*2+6)</f>
        <v>0.5</v>
      </c>
      <c r="DW665" s="20">
        <f>INDEX(Input!$1:$1048576,DW$93,$C665*2+6)</f>
        <v>0.45</v>
      </c>
      <c r="DX665" s="20"/>
      <c r="DY665" s="7"/>
      <c r="DZ665" s="7"/>
      <c r="EA665" s="7"/>
      <c r="EB665" s="7"/>
      <c r="EC665" s="7"/>
      <c r="ED665" s="7"/>
      <c r="EE665" s="7"/>
      <c r="EF665" s="7"/>
      <c r="EG665" s="7"/>
      <c r="EH665" s="7"/>
      <c r="EI665" s="7"/>
      <c r="EJ665" s="7"/>
      <c r="EK665" s="7"/>
      <c r="EL665" s="7"/>
      <c r="EM665" s="7"/>
      <c r="EN665" s="7"/>
      <c r="EO665" s="7"/>
      <c r="EP665" s="7"/>
      <c r="EQ665" s="7"/>
      <c r="ER665" s="7"/>
      <c r="ES665" s="7"/>
      <c r="ET665" s="7"/>
      <c r="EU665" s="6"/>
      <c r="EV665" s="6"/>
      <c r="EW665" s="6"/>
      <c r="EX665" s="6"/>
      <c r="EY665" s="6"/>
      <c r="EZ665" s="6"/>
      <c r="FA665" s="6"/>
      <c r="FB665" s="6"/>
      <c r="FC665" s="6"/>
      <c r="FD665" s="6"/>
      <c r="FE665" s="6"/>
      <c r="FF665" s="6"/>
      <c r="FG665" s="6"/>
      <c r="FH665" s="6"/>
      <c r="FI665" s="6"/>
      <c r="FJ665" s="6"/>
      <c r="FK665" s="6"/>
      <c r="FL665" s="6"/>
      <c r="FM665" s="6"/>
      <c r="FN665" s="6"/>
      <c r="FO665" s="6"/>
      <c r="FP665" s="6"/>
      <c r="FQ665" s="6"/>
      <c r="FR665" s="6"/>
      <c r="FS665" s="6"/>
      <c r="FT665" s="7"/>
      <c r="FU665" s="7"/>
      <c r="FV665" s="7"/>
      <c r="FW665" s="6"/>
      <c r="FX665" s="6"/>
      <c r="FY665" s="6"/>
      <c r="FZ665" s="6"/>
      <c r="GA665" s="6"/>
      <c r="GB665" s="6"/>
      <c r="GC665" s="7"/>
      <c r="GD665" s="7"/>
      <c r="GE665" s="7"/>
      <c r="GF665" s="7"/>
      <c r="GG665" s="7"/>
      <c r="GH665" s="42"/>
      <c r="GI665" s="6"/>
      <c r="GJ665" s="14"/>
      <c r="GK665" s="14"/>
      <c r="GL665" s="14"/>
      <c r="GM665" s="14"/>
      <c r="GO665" s="5"/>
      <c r="GP665" s="5"/>
      <c r="GQ665" s="5"/>
      <c r="GR665" s="5"/>
      <c r="GS665" s="5"/>
      <c r="GT665" s="5"/>
      <c r="GU665" s="5"/>
      <c r="GV665" s="39"/>
      <c r="GW665" s="5"/>
      <c r="GX665" s="5"/>
      <c r="GY665" s="5"/>
      <c r="GZ665" s="5"/>
      <c r="HA665" s="5"/>
      <c r="HB665" s="39"/>
      <c r="HC665" s="5"/>
      <c r="HD665" s="5"/>
      <c r="HE665" s="5"/>
      <c r="HF665" s="5"/>
      <c r="HG665" s="5"/>
      <c r="HH665" s="39"/>
      <c r="HI665" s="16"/>
      <c r="HJ665" s="19"/>
      <c r="HK665" s="1"/>
      <c r="HL665" s="16"/>
      <c r="HM665" s="639">
        <f t="shared" si="1755"/>
        <v>2.3149872625708352E-2</v>
      </c>
      <c r="HN665" s="639">
        <f t="shared" si="1756"/>
        <v>1.3965040474190958E-3</v>
      </c>
      <c r="HO665" s="639">
        <f t="shared" si="1757"/>
        <v>3.5429561340050734E-3</v>
      </c>
      <c r="HP665" s="644">
        <f t="shared" ref="HP665:ID665" si="2006">HP165+HP265+HP365+HP465+HP565</f>
        <v>654.58871233519483</v>
      </c>
      <c r="HQ665" s="644">
        <f t="shared" si="2006"/>
        <v>40.137695813471801</v>
      </c>
      <c r="HR665" s="644">
        <f t="shared" si="2006"/>
        <v>-245.76262721620171</v>
      </c>
      <c r="HS665" s="644">
        <f t="shared" si="2006"/>
        <v>-237.64208282356955</v>
      </c>
      <c r="HT665" s="644">
        <f t="shared" si="2006"/>
        <v>271.50557489646422</v>
      </c>
      <c r="HU665" s="644">
        <f t="shared" si="2006"/>
        <v>15.84818713418181</v>
      </c>
      <c r="HV665" s="644">
        <f t="shared" si="2006"/>
        <v>0</v>
      </c>
      <c r="HW665" s="644">
        <f t="shared" si="2006"/>
        <v>0</v>
      </c>
      <c r="HX665" s="644">
        <f t="shared" si="2006"/>
        <v>0</v>
      </c>
      <c r="HY665" s="644">
        <f t="shared" si="2006"/>
        <v>2396</v>
      </c>
      <c r="HZ665" s="644">
        <f t="shared" si="2006"/>
        <v>3223</v>
      </c>
      <c r="IA665" s="644">
        <f t="shared" si="2006"/>
        <v>830</v>
      </c>
      <c r="IB665" s="644">
        <f t="shared" si="2006"/>
        <v>2812.9466295116254</v>
      </c>
      <c r="IC665" s="644">
        <f t="shared" si="2006"/>
        <v>3534.6432707099361</v>
      </c>
      <c r="ID665" s="644">
        <f t="shared" si="2006"/>
        <v>600.08555991798016</v>
      </c>
      <c r="IE665" s="20">
        <f t="shared" si="1759"/>
        <v>0.40487593953548434</v>
      </c>
      <c r="IF665" s="20">
        <f t="shared" si="1760"/>
        <v>0.50875192587636275</v>
      </c>
      <c r="IG665" s="20">
        <f t="shared" si="1761"/>
        <v>8.6372134588152974E-2</v>
      </c>
      <c r="IH665" s="21"/>
      <c r="II665" s="19"/>
      <c r="IJ665" s="19"/>
      <c r="IK665" s="19"/>
      <c r="IL665" s="19">
        <f t="shared" si="1762"/>
        <v>665.7340020461661</v>
      </c>
      <c r="IM665" s="19">
        <f t="shared" si="1763"/>
        <v>675.4643152103481</v>
      </c>
      <c r="IN665" s="19">
        <f t="shared" si="1764"/>
        <v>-242.90999796360211</v>
      </c>
      <c r="IO665" s="39"/>
      <c r="IP665" s="39"/>
      <c r="IQ665" s="39"/>
      <c r="IR665" s="39"/>
      <c r="IS665" s="39"/>
      <c r="IT665" s="39"/>
      <c r="IU665" s="39"/>
      <c r="IV665" s="39"/>
      <c r="IW665" s="39"/>
      <c r="IX665" s="19">
        <f t="shared" si="1765"/>
        <v>1554.1790484140233</v>
      </c>
      <c r="IY665" s="19">
        <f t="shared" si="1766"/>
        <v>2412.3001201524512</v>
      </c>
      <c r="IZ665" s="19">
        <f t="shared" si="1767"/>
        <v>3993.0862952928574</v>
      </c>
      <c r="JA665" s="19">
        <f t="shared" ref="JA665:JC665" si="2007">IFERROR((JA165*IB165+JA265*IB265+JA365*IB365+JA465*IB465+JA565*IB565)/IB665,0)</f>
        <v>2219.9130504601894</v>
      </c>
      <c r="JB665" s="19">
        <f t="shared" si="2007"/>
        <v>3087.7644353627993</v>
      </c>
      <c r="JC665" s="19">
        <f t="shared" si="2007"/>
        <v>3750.1762973292552</v>
      </c>
      <c r="JD665" s="19">
        <f t="shared" si="1769"/>
        <v>2793.6062170177397</v>
      </c>
      <c r="JE665" s="21"/>
      <c r="JF665" s="1">
        <f t="shared" si="1770"/>
        <v>2.6651855648468406E-2</v>
      </c>
      <c r="JG665" s="15">
        <f t="shared" si="1771"/>
        <v>6449</v>
      </c>
      <c r="JH665" s="1">
        <f t="shared" si="1772"/>
        <v>6.9617581164903852E-2</v>
      </c>
      <c r="JI665" s="1">
        <f t="shared" si="1773"/>
        <v>7.7084321921346696E-3</v>
      </c>
      <c r="JJ665" s="1">
        <f t="shared" si="1774"/>
        <v>0</v>
      </c>
      <c r="JK665" s="1">
        <f t="shared" si="1775"/>
        <v>7.7326013357038523E-2</v>
      </c>
      <c r="JL665" s="15">
        <f t="shared" ref="JL665:JM665" si="2008">JL165+JL265+JL365+JL465+JL565</f>
        <v>498.67546013954143</v>
      </c>
      <c r="JM665" s="15">
        <f t="shared" si="2008"/>
        <v>6947.6754601395423</v>
      </c>
      <c r="JN665" s="21"/>
      <c r="JO665" s="19">
        <f>INDEX(Input!$1:$1048576,JO$93,$C665*2+6)</f>
        <v>5995.5</v>
      </c>
      <c r="JP665" s="19">
        <f>INDEX(Input!$1:$1048576,JP$93,$C665*2+6)</f>
        <v>2296.6050414551746</v>
      </c>
      <c r="JQ665" s="39">
        <f t="shared" si="1799"/>
        <v>3201.8937829822603</v>
      </c>
      <c r="JR665" s="39">
        <f t="shared" si="1800"/>
        <v>497.00117556256509</v>
      </c>
      <c r="JS665" s="39">
        <f t="shared" si="1801"/>
        <v>19.409069359267409</v>
      </c>
      <c r="JT665" s="39">
        <f t="shared" si="1802"/>
        <v>4.5982634469229895</v>
      </c>
      <c r="JU665" s="385">
        <f>(JQ665*JM665-INDEX(Input!$1:$1048576,Input!A$18,$C665*2+6)*JL665*INDEX(Input!$1:$1048576,Input!A$19,$C665*2+6))/1000000</f>
        <v>22.245718861999215</v>
      </c>
      <c r="JV665" s="39">
        <f t="shared" si="1803"/>
        <v>-1.6084547256563617</v>
      </c>
      <c r="JW665" s="1">
        <f t="shared" si="1804"/>
        <v>-6.7428650158256984E-2</v>
      </c>
      <c r="JX665" s="19">
        <f t="shared" si="1805"/>
        <v>9220.9539359251485</v>
      </c>
      <c r="JZ665" s="341"/>
      <c r="KA665" s="60"/>
      <c r="KB665" s="469">
        <f t="shared" si="1778"/>
        <v>0</v>
      </c>
      <c r="KI665" s="472"/>
      <c r="KJ665" s="472"/>
      <c r="KK665" s="472"/>
      <c r="KN665" s="26">
        <f t="shared" si="1779"/>
        <v>6002</v>
      </c>
      <c r="KO665" s="794">
        <f t="shared" si="1780"/>
        <v>5.2632083792563344E-2</v>
      </c>
      <c r="KP665" s="795">
        <f t="shared" si="1781"/>
        <v>424.19458864442441</v>
      </c>
      <c r="KQ665" s="795">
        <f t="shared" si="1782"/>
        <v>330.77296041259478</v>
      </c>
      <c r="KR665" s="26">
        <f t="shared" si="1783"/>
        <v>2.1740686301839425</v>
      </c>
      <c r="KS665" s="26">
        <f t="shared" si="1784"/>
        <v>2.7881001733493238</v>
      </c>
      <c r="KT665" s="796">
        <f t="shared" si="1795"/>
        <v>4286.2445668946921</v>
      </c>
      <c r="KU665" s="797">
        <f t="shared" si="1785"/>
        <v>4.4420512533844656</v>
      </c>
    </row>
    <row r="666" spans="1:308" s="26" customFormat="1" ht="15" outlineLevel="1">
      <c r="A666" s="561">
        <f t="shared" ref="A666:A700" si="2009">C666*1000+B666</f>
        <v>6066</v>
      </c>
      <c r="B666" s="561">
        <f t="shared" si="1786"/>
        <v>66</v>
      </c>
      <c r="C666" s="561">
        <f t="shared" si="1787"/>
        <v>6</v>
      </c>
      <c r="D666" s="561" t="str">
        <f t="shared" si="1953"/>
        <v xml:space="preserve">1000 CC, 1000 Combo, -360 Lease, </v>
      </c>
      <c r="E666" s="475">
        <f>INDEX(Input!$1:$1048576,E$93,$C666*2+MIN($B666,2)+5)
+INDEX(Scenarios!E$121:E$199,MATCH($B666,Scenarios!$B$121:$B$199,0))</f>
        <v>2267.2644913000609</v>
      </c>
      <c r="F666" s="475">
        <f>INDEX(Input!$1:$1048576,F$93,$C666*2+MIN($B666,2)+5)
+INDEX(Scenarios!F$121:F$199,MATCH($B666,Scenarios!$B$121:$B$199,0))</f>
        <v>0</v>
      </c>
      <c r="G666" s="475">
        <f>INDEX(Input!$1:$1048576,G$93,$C666*2+MIN($B666,2)+5)
+INDEX(Scenarios!G$121:G$199,MATCH($B666,Scenarios!$B$121:$B$199,0))</f>
        <v>0</v>
      </c>
      <c r="H666" s="475">
        <f>INDEX(Input!$1:$1048576,H$93,$C666*2+MIN($B666,2)+5)
+INDEX(Scenarios!H$121:H$199,MATCH($B666,Scenarios!$B$121:$B$199,0))</f>
        <v>0</v>
      </c>
      <c r="I666" s="476">
        <f>INDEX(Input!$1:$1048576,I$93,$C666*2+MIN($B666,2)+5)
+INDEX(Scenarios!I$121:I$199,MATCH($B666,Scenarios!$B$121:$B$199,0))</f>
        <v>0.7</v>
      </c>
      <c r="J666" s="476" t="str">
        <f>INDEX(Input!$1:$1048576,J$93,$C666*2+MIN($B666,2)+5)</f>
        <v>Market</v>
      </c>
      <c r="K666" s="476" t="str">
        <f>INDEX(Input!$1:$1048576,K$93,$C666*2+MIN($B666,2)+5)</f>
        <v>Market</v>
      </c>
      <c r="L666" s="476" t="str">
        <f>INDEX(Input!$1:$1048576,L$93,$C666*2+MIN($B666,2)+5)</f>
        <v>Market</v>
      </c>
      <c r="M666" s="476" t="str">
        <f>INDEX(Input!$1:$1048576,M$93,$C666*2+MIN($B666,2)+5)</f>
        <v>Market</v>
      </c>
      <c r="N666" s="476" t="str">
        <f>INDEX(Input!$1:$1048576,N$93,$C666*2+MIN($B666,2)+5)</f>
        <v>Market</v>
      </c>
      <c r="O666" s="476" t="str">
        <f>INDEX(Input!$1:$1048576,O$93,$C666*2+MIN($B666,2)+5)</f>
        <v>Market</v>
      </c>
      <c r="P666" s="476" t="str">
        <f>INDEX(Input!$1:$1048576,P$93,$C666*2+MIN($B666,2)+5)</f>
        <v>N</v>
      </c>
      <c r="Q666" s="477">
        <f>INDEX(Input!$1:$1048576,Q$93,$C666*2+MIN($B666,2)+5)
+INDEX(Scenarios!Q$121:Q$199,MATCH($B666,Scenarios!$B$121:$B$199,0))</f>
        <v>1000</v>
      </c>
      <c r="R666" s="478">
        <f>IFERROR(MAX(0,INDEX(Input!$1:$1048576,R$93,$C666*2+MIN($B666,2)+5)
+INDEX(Scenarios!R$121:R$199,MATCH($B666,Scenarios!$B$121:$B$199,0)),),"Market")</f>
        <v>0</v>
      </c>
      <c r="S666" s="478">
        <f>IFERROR(MAX(0,INDEX(Input!$1:$1048576,S$93,$C666*2+MIN($B666,2)+5)
+INDEX(Scenarios!S$121:S$199,MATCH($B666,Scenarios!$B$121:$B$199,0)),),"Market")</f>
        <v>0</v>
      </c>
      <c r="T666" s="478">
        <f>IFERROR(MAX(0,INDEX(Input!$1:$1048576,T$93,$C666*2+MIN($B666,2)+5)
+INDEX(Scenarios!T$121:T$199,MATCH($B666,Scenarios!$B$121:$B$199,0)),),"Market")</f>
        <v>0</v>
      </c>
      <c r="U666" s="478">
        <f>IFERROR(MAX(0,INDEX(Input!$1:$1048576,U$93,$C666*2+MIN($B666,2)+5)
+INDEX(Scenarios!U$121:U$199,MATCH($B666,Scenarios!$B$121:$B$199,0)),),"Market")</f>
        <v>0</v>
      </c>
      <c r="V666" s="478">
        <f>IFERROR(MAX(0,INDEX(Input!$1:$1048576,V$93,$C666*2+MIN($B666,2)+5)
+INDEX(Scenarios!V$121:V$199,MATCH($B666,Scenarios!$B$121:$B$199,0)),),"Market")</f>
        <v>1.9E-2</v>
      </c>
      <c r="W666" s="885">
        <f>IFERROR(MAX(0,INDEX(Input!$1:$1048576,W$93,$C666*2+MIN($B666,2)+5)-0%),"Market")</f>
        <v>3.9E-2</v>
      </c>
      <c r="X666" s="476" t="str">
        <f>INDEX(Input!$1:$1048576,X$93,$C666*2+MIN($B666,2)+5)</f>
        <v>Y</v>
      </c>
      <c r="Y666" s="475">
        <f>INDEX(Input!$1:$1048576,Y$93,$C666*2+MIN($B666,2)+5)
++INDEX(Scenarios!Y$121:Y$199,MATCH($B666,Scenarios!$B$121:$B$199,0))</f>
        <v>377.99367635402496</v>
      </c>
      <c r="Z666" s="477">
        <f>INDEX(Input!$1:$1048576,Z$93,$C666*2+MIN($B666,2)+5)
+INDEX(Scenarios!Z$121:Z$199,MATCH($B666,Scenarios!$B$121:$B$199,0))</f>
        <v>0</v>
      </c>
      <c r="AA666" s="475">
        <f>INDEX(Input!$1:$1048576,AA$93,$C666*2+MIN($B666,2)+5)</f>
        <v>0</v>
      </c>
      <c r="AB666" s="476">
        <f>INDEX(Input!$1:$1048576,AB$93,$C666*2+MIN($B666,2)+5)</f>
        <v>0.27</v>
      </c>
      <c r="AC666" s="475">
        <f>INDEX(Input!$1:$1048576,AC$93,$C666*2+MIN($B666,2)+5)
+INDEX(Scenarios!AC$121:AC$199,MATCH($B666,Scenarios!$B$121:$B$199,0))</f>
        <v>0</v>
      </c>
      <c r="AD666" s="476">
        <f>INDEX(Input!$1:$1048576,AD$93,$C666*2+MIN($B666,2)+5)</f>
        <v>0.27</v>
      </c>
      <c r="AE666" s="475">
        <f>INDEX(Input!$1:$1048576,AE$93,$C666*2+MIN($B666,2)+5)
+INDEX(Scenarios!AE$121:AE$199,MATCH($B666,Scenarios!$B$121:$B$199,0))</f>
        <v>0</v>
      </c>
      <c r="AF666" s="476">
        <f>INDEX(Input!$1:$1048576,AF$93,$C666*2+MIN($B666,2)+5)</f>
        <v>1</v>
      </c>
      <c r="AG666" s="475">
        <f>INDEX(Input!$1:$1048576,AG$93,$C666*2+MIN($B666,2)+5)</f>
        <v>500</v>
      </c>
      <c r="AH666" s="476">
        <f>INDEX(Input!$1:$1048576,AH$93,$C666*2+MIN($B666,2)+5)</f>
        <v>1</v>
      </c>
      <c r="AI666" s="475">
        <f>INDEX(Input!$1:$1048576,AI$93,$C666*2+MIN($B666,2)+5)</f>
        <v>0</v>
      </c>
      <c r="AJ666" s="476">
        <f>INDEX(Input!$1:$1048576,AJ$93,$C666*2+MIN($B666,2)+5)</f>
        <v>0.27</v>
      </c>
      <c r="AK666" s="150">
        <f>ROUND(INDEX(Input!$1:$1048576,AK$93,$C665*2+MIN($B666,1)+5)+(Y666-VLOOKUP($C666*1000+1,$A:$HH,Y$92,FALSE)),0)</f>
        <v>2701</v>
      </c>
      <c r="AL666" s="150">
        <f>ROUND(INDEX(Input!$1:$1048576,AL$93,$C665*2+MIN($B666,1)+5)-(Y666-VLOOKUP($C666*1000+1,$A:$HH,Y$92,FALSE))/36,0)</f>
        <v>3562</v>
      </c>
      <c r="AM666" s="32" t="str">
        <f t="shared" ref="AM666:AM700" si="2010">IF(K666="market","std",ROUND(K666*1000,0)/10)&amp;"/"&amp;IF(L666="market","std",ROUND(L666*1000,0)/10)&amp;"/"&amp;IF(M666="market","std",ROUND(M666*1000,0)/10)&amp;"/"&amp;IF(N666="market","std",ROUND(N666*1000,0)/10)&amp;IF(P666="N","","/"&amp;IF(O666="market","std",ROUND(O666*1000,0)/10))</f>
        <v>std/std/std/std</v>
      </c>
      <c r="AN666" s="32" t="str">
        <f t="shared" ref="AN666:AN700" si="2011">"$"&amp;ROUND(Q666,0)&amp;" + "&amp;IF(S666="market","std",ROUND(S666*1000,0)/10)&amp;"/"&amp;IF(T666="market","std",ROUND(T666*1000,0)/10)&amp;"/"&amp;IF(U666="market","std",ROUND(U666*1000,0)/10)&amp;"/"&amp;IF(V666="market","std",ROUND(V666*1000,0)/10)&amp;IF(X666="N","","/"&amp;IF(W666="market","std",ROUND(W666*1000,0)/10))</f>
        <v>$1000 + 0/0/0/1.9/3.9</v>
      </c>
      <c r="AO666" s="32" t="str">
        <f t="shared" ref="AO666:AO700" si="2012">IF(S666="market","std",ROUND(S666*1000,0)/10)&amp;"/"&amp;IF(T666="market","std",ROUND(T666*1000,0)/10)&amp;"/"&amp;IF(U666="market","std",ROUND(U666*1000,0)/10)&amp;"/"&amp;IF(V666="market","std",ROUND(V666*1000,0)/10)&amp;IF(X666="N","","/"&amp;IF(W666="market","std",ROUND(W666*1000,0)/10))</f>
        <v>0/0/0/1.9/3.9</v>
      </c>
      <c r="AP666" s="32" t="str">
        <f t="shared" si="1990"/>
        <v>0/0.9/1.9/3.9</v>
      </c>
      <c r="AQ666" s="536">
        <f t="shared" si="1991"/>
        <v>0.41948561955458419</v>
      </c>
      <c r="AR666" s="32"/>
      <c r="AS666" s="302"/>
      <c r="AT666" s="3">
        <f t="shared" si="1788"/>
        <v>66</v>
      </c>
      <c r="AU666" s="41" t="s">
        <v>121</v>
      </c>
      <c r="AV666" s="41" t="s">
        <v>116</v>
      </c>
      <c r="AW666" s="41" t="str">
        <f>INDEX(Input!$1:$1048576,AW$93,$C666*2+6)</f>
        <v>Kia</v>
      </c>
      <c r="AX666" s="41" t="str">
        <f>INDEX(Input!$1:$1048576,AX$93,$C666*2+6)</f>
        <v>National</v>
      </c>
      <c r="AY666" s="41" t="str">
        <f>IF(LEN(D666)=0,"",INDEX(Input!$1:$1048576,AY$93,$C666*2+6))</f>
        <v>Compact SUV (52)</v>
      </c>
      <c r="AZ666" s="41" t="str">
        <f>INDEX(Input!$1:$1048576,AZ$93,$C666*2+6)</f>
        <v>Kia Soul</v>
      </c>
      <c r="BA666" s="3">
        <f>INDEX(Input!$1:$1048576,BA$93,$C666*2+6)</f>
        <v>2020</v>
      </c>
      <c r="BB666" s="128">
        <f>INDEX(Input!$1:$1048576,BB$93,$C666*2+6)</f>
        <v>1</v>
      </c>
      <c r="BC666" s="128">
        <f>INDEX(Input!$1:$1048576,BC$93,$C666*2+6)</f>
        <v>0.7</v>
      </c>
      <c r="BD666" s="1">
        <f>INDEX(Input!$1:$1048576,BD$93,$C666*2+6)</f>
        <v>4.4999999999999998E-2</v>
      </c>
      <c r="BE666" s="1">
        <f>INDEX(Input!$1:$1048576,BE$93,$C666*2+6)</f>
        <v>4.4999999999999998E-2</v>
      </c>
      <c r="BF666" s="1">
        <f>INDEX(Input!$1:$1048576,BF$93,$C666*2+6)</f>
        <v>0.05</v>
      </c>
      <c r="BG666" s="1">
        <f>INDEX(Input!$1:$1048576,BG$93,$C666*2+6)</f>
        <v>5.45E-2</v>
      </c>
      <c r="BH666" s="1">
        <f>INDEX(Input!$1:$1048576,BH$93,$C666*2+6)</f>
        <v>5.45E-2</v>
      </c>
      <c r="BI666" s="1">
        <f>INDEX(Input!$1:$1048576,BI$93,$C666*2+6)</f>
        <v>0.05</v>
      </c>
      <c r="BJ666" s="1">
        <f>INDEX(Input!$1:$1048576,BJ$93,$C666*2+6)</f>
        <v>0.05</v>
      </c>
      <c r="BK666" s="1">
        <f>INDEX(Input!$1:$1048576,BK$93,$C666*2+6)</f>
        <v>0.05</v>
      </c>
      <c r="BL666" s="1">
        <f>INDEX(Input!$1:$1048576,BL$93,$C666*2+6)</f>
        <v>5.5E-2</v>
      </c>
      <c r="BM666" s="1">
        <f>INDEX(Input!$1:$1048576,BM$93,$C666*2+6)</f>
        <v>0.06</v>
      </c>
      <c r="BN666" s="1">
        <f>INDEX(Input!$1:$1048576,BN$93,$C666*2+6)</f>
        <v>4.4999999999999998E-2</v>
      </c>
      <c r="BO666" s="1">
        <f>INDEX(Input!$1:$1048576,BO$93,$C666*2+6)</f>
        <v>4.4999999999999998E-2</v>
      </c>
      <c r="BP666" s="1">
        <f>INDEX(Input!$1:$1048576,BP$93,$C666*2+6)</f>
        <v>0.05</v>
      </c>
      <c r="BQ666" s="1">
        <f>INDEX(Input!$1:$1048576,BQ$93,$C666*2+6)</f>
        <v>5.45E-2</v>
      </c>
      <c r="BR666" s="1">
        <f>INDEX(Input!$1:$1048576,BR$93,$C666*2+6)</f>
        <v>5.45E-2</v>
      </c>
      <c r="BS666" s="1">
        <f>INDEX(Input!$1:$1048576,BS$93,$C666*2+6)</f>
        <v>0.05</v>
      </c>
      <c r="BT666" s="1">
        <f>INDEX(Input!$1:$1048576,BT$93,$C666*2+6)</f>
        <v>0.05</v>
      </c>
      <c r="BU666" s="1">
        <f>INDEX(Input!$1:$1048576,BU$93,$C666*2+6)</f>
        <v>0.05</v>
      </c>
      <c r="BV666" s="1">
        <f>INDEX(Input!$1:$1048576,BV$93,$C666*2+6)</f>
        <v>5.5E-2</v>
      </c>
      <c r="BW666" s="1">
        <f>INDEX(Input!$1:$1048576,BW$93,$C666*2+6)</f>
        <v>0.06</v>
      </c>
      <c r="BX666" s="127">
        <f>INDEX(Input!$1:$1048576,BX$93,$C666*2+6)</f>
        <v>19985</v>
      </c>
      <c r="BY666" s="20">
        <f>INDEX(Input!$1:$1048576,BY$93,$C666*2+6)</f>
        <v>0.1</v>
      </c>
      <c r="BZ666" s="20">
        <f>INDEX(Input!$1:$1048576,BZ$93,$C666*2+6)</f>
        <v>0.1</v>
      </c>
      <c r="CA666" s="20">
        <f>INDEX(Input!$1:$1048576,CA$93,$C666*2+6)</f>
        <v>0.1</v>
      </c>
      <c r="CB666" s="20">
        <f>INDEX(Input!$1:$1048576,CB$93,$C666*2+6)</f>
        <v>0.1</v>
      </c>
      <c r="CC666" s="20">
        <f>INDEX(Input!$1:$1048576,CC$93,$C666*2+6)</f>
        <v>0.1</v>
      </c>
      <c r="CD666" s="384">
        <f>INDEX(Input!$1:$1048576,CD$93,$C666*2+6)</f>
        <v>0.1</v>
      </c>
      <c r="CE666" s="384">
        <f>INDEX(Input!$1:$1048576,CE$93,$C666*2+6)</f>
        <v>0.1</v>
      </c>
      <c r="CF666" s="384">
        <f>INDEX(Input!$1:$1048576,CF$93,$C666*2+6)</f>
        <v>0.1</v>
      </c>
      <c r="CG666" s="384">
        <f>INDEX(Input!$1:$1048576,CG$93,$C666*2+6)</f>
        <v>0.1</v>
      </c>
      <c r="CH666" s="384">
        <f>INDEX(Input!$1:$1048576,CH$93,$C666*2+6)</f>
        <v>0.1</v>
      </c>
      <c r="CI666" s="304">
        <f t="shared" si="1992"/>
        <v>2267.2644913000609</v>
      </c>
      <c r="CJ666" s="16" t="str">
        <f>INDEX(Input!$1:$1048576,CJ$93,$C666*2+6)</f>
        <v>N</v>
      </c>
      <c r="CK666" s="1" t="str">
        <f t="shared" si="1993"/>
        <v>Market</v>
      </c>
      <c r="CL666" s="1" t="str">
        <f t="shared" si="1994"/>
        <v>Market</v>
      </c>
      <c r="CM666" s="1" t="str">
        <f t="shared" si="1995"/>
        <v>Market</v>
      </c>
      <c r="CN666" s="1" t="str">
        <f t="shared" si="1996"/>
        <v>Market</v>
      </c>
      <c r="CO666" s="1" t="str">
        <f t="shared" si="1997"/>
        <v>Market</v>
      </c>
      <c r="CP666" s="304">
        <f t="shared" si="1998"/>
        <v>1500</v>
      </c>
      <c r="CQ666" s="1">
        <f t="shared" si="1999"/>
        <v>0</v>
      </c>
      <c r="CR666" s="1">
        <f t="shared" si="2000"/>
        <v>0</v>
      </c>
      <c r="CS666" s="1">
        <f t="shared" si="2001"/>
        <v>0</v>
      </c>
      <c r="CT666" s="1">
        <f t="shared" si="2002"/>
        <v>1.9E-2</v>
      </c>
      <c r="CU666" s="1">
        <f t="shared" si="2003"/>
        <v>3.9E-2</v>
      </c>
      <c r="CV666" s="304">
        <f t="shared" si="2004"/>
        <v>377.99367635402496</v>
      </c>
      <c r="CW666" s="20" t="s">
        <v>122</v>
      </c>
      <c r="CX666" s="20" t="s">
        <v>122</v>
      </c>
      <c r="CY666" s="20" t="s">
        <v>122</v>
      </c>
      <c r="CZ666" s="20" t="s">
        <v>122</v>
      </c>
      <c r="DA666" s="20" t="s">
        <v>122</v>
      </c>
      <c r="DB666" s="503">
        <f t="shared" si="2005"/>
        <v>0</v>
      </c>
      <c r="DC666" s="127">
        <v>0</v>
      </c>
      <c r="DD666" s="127">
        <v>0</v>
      </c>
      <c r="DE666" s="127">
        <v>0</v>
      </c>
      <c r="DF666" s="127">
        <v>0</v>
      </c>
      <c r="DG666" s="127">
        <v>0</v>
      </c>
      <c r="DH666" s="127">
        <v>0</v>
      </c>
      <c r="DI666" s="127">
        <v>0</v>
      </c>
      <c r="DJ666" s="127">
        <v>0</v>
      </c>
      <c r="DK666" s="127">
        <v>0</v>
      </c>
      <c r="DL666" s="127">
        <v>0</v>
      </c>
      <c r="DM666" s="304">
        <f>INDEX(Input!$1:$1048576,DM$93,$C666*2+6)</f>
        <v>21036.84210526316</v>
      </c>
      <c r="DN666" s="20">
        <v>0</v>
      </c>
      <c r="DO666" s="20">
        <v>0</v>
      </c>
      <c r="DP666" s="20">
        <v>0</v>
      </c>
      <c r="DQ666" s="20">
        <v>0</v>
      </c>
      <c r="DR666" s="20">
        <v>0</v>
      </c>
      <c r="DS666" s="20">
        <f>INDEX(Input!$1:$1048576,DS$93,$C666*2+6)</f>
        <v>0.6</v>
      </c>
      <c r="DT666" s="20">
        <f>INDEX(Input!$1:$1048576,DT$93,$C666*2+6)</f>
        <v>0.55000000000000004</v>
      </c>
      <c r="DU666" s="20">
        <f>INDEX(Input!$1:$1048576,DU$93,$C666*2+6)</f>
        <v>0.52</v>
      </c>
      <c r="DV666" s="20">
        <f>INDEX(Input!$1:$1048576,DV$93,$C666*2+6)</f>
        <v>0.5</v>
      </c>
      <c r="DW666" s="20">
        <f>INDEX(Input!$1:$1048576,DW$93,$C666*2+6)</f>
        <v>0.45</v>
      </c>
      <c r="DX666" s="20"/>
      <c r="DY666" s="7"/>
      <c r="DZ666" s="7"/>
      <c r="EA666" s="7"/>
      <c r="EB666" s="7"/>
      <c r="EC666" s="7"/>
      <c r="ED666" s="7"/>
      <c r="EE666" s="7"/>
      <c r="EF666" s="7"/>
      <c r="EG666" s="7"/>
      <c r="EH666" s="7"/>
      <c r="EI666" s="7"/>
      <c r="EJ666" s="7"/>
      <c r="EK666" s="7"/>
      <c r="EL666" s="7"/>
      <c r="EM666" s="7"/>
      <c r="EN666" s="7"/>
      <c r="EO666" s="7"/>
      <c r="EP666" s="7"/>
      <c r="EQ666" s="7"/>
      <c r="ER666" s="7"/>
      <c r="ES666" s="7"/>
      <c r="ET666" s="7"/>
      <c r="EU666" s="6"/>
      <c r="EV666" s="6"/>
      <c r="EW666" s="6"/>
      <c r="EX666" s="6"/>
      <c r="EY666" s="6"/>
      <c r="EZ666" s="6"/>
      <c r="FA666" s="6"/>
      <c r="FB666" s="6"/>
      <c r="FC666" s="6"/>
      <c r="FD666" s="6"/>
      <c r="FE666" s="6"/>
      <c r="FF666" s="6"/>
      <c r="FG666" s="6"/>
      <c r="FH666" s="6"/>
      <c r="FI666" s="6"/>
      <c r="FJ666" s="6"/>
      <c r="FK666" s="6"/>
      <c r="FL666" s="6"/>
      <c r="FM666" s="6"/>
      <c r="FN666" s="6"/>
      <c r="FO666" s="6"/>
      <c r="FP666" s="6"/>
      <c r="FQ666" s="6"/>
      <c r="FR666" s="6"/>
      <c r="FS666" s="6"/>
      <c r="FT666" s="7"/>
      <c r="FU666" s="7"/>
      <c r="FV666" s="7"/>
      <c r="FW666" s="6"/>
      <c r="FX666" s="6"/>
      <c r="FY666" s="6"/>
      <c r="FZ666" s="6"/>
      <c r="GA666" s="6"/>
      <c r="GB666" s="6"/>
      <c r="GC666" s="7"/>
      <c r="GD666" s="7"/>
      <c r="GE666" s="7"/>
      <c r="GF666" s="7"/>
      <c r="GG666" s="7"/>
      <c r="GH666" s="42"/>
      <c r="GI666" s="6"/>
      <c r="GJ666" s="14"/>
      <c r="GK666" s="14"/>
      <c r="GL666" s="14"/>
      <c r="GM666" s="14"/>
      <c r="GO666" s="5"/>
      <c r="GP666" s="5"/>
      <c r="GQ666" s="5"/>
      <c r="GR666" s="5"/>
      <c r="GS666" s="5"/>
      <c r="GT666" s="5"/>
      <c r="GU666" s="5"/>
      <c r="GV666" s="39"/>
      <c r="GW666" s="5"/>
      <c r="GX666" s="5"/>
      <c r="GY666" s="5"/>
      <c r="GZ666" s="5"/>
      <c r="HA666" s="5"/>
      <c r="HB666" s="39"/>
      <c r="HC666" s="5"/>
      <c r="HD666" s="5"/>
      <c r="HE666" s="5"/>
      <c r="HF666" s="5"/>
      <c r="HG666" s="5"/>
      <c r="HH666" s="39"/>
      <c r="HI666" s="16"/>
      <c r="HJ666" s="19"/>
      <c r="HK666" s="1"/>
      <c r="HL666" s="16"/>
      <c r="HM666" s="639">
        <f t="shared" ref="HM666:HM701" si="2013">(HM166*HY166+HM266*HY266+HM366*HY366+HM466*HY466+HM566*HY566)/HY666</f>
        <v>2.3149872625708352E-2</v>
      </c>
      <c r="HN666" s="639">
        <f t="shared" ref="HN666:HN701" si="2014">(HN166*HZ166+HN266*HZ266+HN366*HZ366+HN466*HZ466+HN566*HZ566)/HZ666</f>
        <v>1.3965040474190958E-3</v>
      </c>
      <c r="HO666" s="639">
        <f t="shared" ref="HO666:HO701" si="2015">(HO166*IA166+HO266*IA266+HO366*IA366+HO466*IA466+HO566*IA566)/IA666</f>
        <v>3.5429561340050734E-3</v>
      </c>
      <c r="HP666" s="644">
        <f t="shared" ref="HP666:ID666" si="2016">HP166+HP266+HP366+HP466+HP566</f>
        <v>1118.1481233830527</v>
      </c>
      <c r="HQ666" s="644">
        <f t="shared" si="2016"/>
        <v>68.059071682059454</v>
      </c>
      <c r="HR666" s="644">
        <f t="shared" si="2016"/>
        <v>-348.22174980507617</v>
      </c>
      <c r="HS666" s="644">
        <f t="shared" si="2016"/>
        <v>-415.17979698083747</v>
      </c>
      <c r="HT666" s="644">
        <f t="shared" si="2016"/>
        <v>472.3366817568878</v>
      </c>
      <c r="HU666" s="644">
        <f t="shared" si="2016"/>
        <v>43.401323290442129</v>
      </c>
      <c r="HV666" s="644">
        <f t="shared" si="2016"/>
        <v>0</v>
      </c>
      <c r="HW666" s="644">
        <f t="shared" si="2016"/>
        <v>0</v>
      </c>
      <c r="HX666" s="644">
        <f t="shared" si="2016"/>
        <v>0</v>
      </c>
      <c r="HY666" s="644">
        <f t="shared" si="2016"/>
        <v>2396</v>
      </c>
      <c r="HZ666" s="644">
        <f t="shared" si="2016"/>
        <v>3223</v>
      </c>
      <c r="IA666" s="644">
        <f t="shared" si="2016"/>
        <v>830</v>
      </c>
      <c r="IB666" s="644">
        <f t="shared" si="2016"/>
        <v>3098.9683264022156</v>
      </c>
      <c r="IC666" s="644">
        <f t="shared" si="2016"/>
        <v>3763.3957534389474</v>
      </c>
      <c r="ID666" s="644">
        <f t="shared" si="2016"/>
        <v>525.17957348536595</v>
      </c>
      <c r="IE666" s="20">
        <f t="shared" ref="IE666:IE701" si="2017">IB666/SUM($IB666:$ID666)</f>
        <v>0.41948561955458419</v>
      </c>
      <c r="IF666" s="20">
        <f t="shared" ref="IF666:IF701" si="2018">IC666/SUM($IB666:$ID666)</f>
        <v>0.50942450292585839</v>
      </c>
      <c r="IG666" s="20">
        <f t="shared" ref="IG666:IG701" si="2019">ID666/SUM($IB666:$ID666)</f>
        <v>7.108987751955731E-2</v>
      </c>
      <c r="IH666" s="21"/>
      <c r="II666" s="19"/>
      <c r="IJ666" s="19"/>
      <c r="IK666" s="19"/>
      <c r="IL666" s="19">
        <f t="shared" ref="IL666:IL701" si="2020">JA666-IX666</f>
        <v>1160.9979811780058</v>
      </c>
      <c r="IM666" s="19">
        <f t="shared" ref="IM666:IM701" si="2021">JB666-IY666</f>
        <v>1175.3759769886101</v>
      </c>
      <c r="IN666" s="19">
        <f t="shared" ref="IN666:IN701" si="2022">JC666-IZ666</f>
        <v>-239.0733641580423</v>
      </c>
      <c r="IO666" s="39"/>
      <c r="IP666" s="39"/>
      <c r="IQ666" s="39"/>
      <c r="IR666" s="39"/>
      <c r="IS666" s="39"/>
      <c r="IT666" s="39"/>
      <c r="IU666" s="39"/>
      <c r="IV666" s="39"/>
      <c r="IW666" s="39"/>
      <c r="IX666" s="19">
        <f t="shared" ref="IX666:IX701" si="2023">(IX166*HY166+IX266*HY266+IX366*HY366+IX466*HY466+IX566*HY566)/HY666</f>
        <v>1554.1790484140233</v>
      </c>
      <c r="IY666" s="19">
        <f t="shared" ref="IY666:IY701" si="2024">(IY166*HZ166+IY266*HZ266+IY366*HZ366+IY466*HZ466+IY566*HZ566)/HZ666</f>
        <v>2412.3001201524512</v>
      </c>
      <c r="IZ666" s="19">
        <f t="shared" ref="IZ666:IZ701" si="2025">(IZ166*IA166+IZ266*IA266+IZ366*IA366+IZ466*IA466+IZ566*IA566)/IA666</f>
        <v>3993.0862952928574</v>
      </c>
      <c r="JA666" s="19">
        <f t="shared" ref="JA666:JC666" si="2026">IFERROR((JA166*IB166+JA266*IB266+JA366*IB366+JA466*IB466+JA566*IB566)/IB666,0)</f>
        <v>2715.1770295920292</v>
      </c>
      <c r="JB666" s="19">
        <f t="shared" si="2026"/>
        <v>3587.6760971410613</v>
      </c>
      <c r="JC666" s="19">
        <f t="shared" si="2026"/>
        <v>3754.0129311348151</v>
      </c>
      <c r="JD666" s="19">
        <f t="shared" ref="JD666:JD701" si="2027">SUMPRODUCT(IE666:IG666,JA666:JC666)</f>
        <v>3233.5001503850649</v>
      </c>
      <c r="JE666" s="21"/>
      <c r="JF666" s="1">
        <f t="shared" ref="JF666:JF701" si="2028">(JF166*JG166+JF266*JG266+JF366*JG366+JF466*JG466+JF566*JG566)/JG666</f>
        <v>2.6651855648468406E-2</v>
      </c>
      <c r="JG666" s="15">
        <f t="shared" ref="JG666:JG701" si="2029">JG166+JG266+JG366+JG466+JG566</f>
        <v>6449</v>
      </c>
      <c r="JH666" s="1">
        <f t="shared" ref="JH666:JH701" si="2030">SUM(HP666:HR666)/SUM(HY666:IA666)</f>
        <v>0.12994036986510096</v>
      </c>
      <c r="JI666" s="1">
        <f t="shared" ref="JI666:JI701" si="2031">SUM(HS666:HU666)/SUM(HY666:IA666)</f>
        <v>1.5592837349432851E-2</v>
      </c>
      <c r="JJ666" s="1">
        <f t="shared" ref="JJ666:JJ701" si="2032">SUM(HV666:HX666)/SUM(HY666:IA666)</f>
        <v>0</v>
      </c>
      <c r="JK666" s="1">
        <f t="shared" ref="JK666:JK701" si="2033">JL666/JG666</f>
        <v>0.14553320721453386</v>
      </c>
      <c r="JL666" s="15">
        <f t="shared" ref="JL666:JM666" si="2034">JL166+JL266+JL366+JL466+JL566</f>
        <v>938.54365332652878</v>
      </c>
      <c r="JM666" s="15">
        <f t="shared" si="2034"/>
        <v>7387.5436533265292</v>
      </c>
      <c r="JN666" s="21"/>
      <c r="JO666" s="19">
        <f>INDEX(Input!$1:$1048576,JO$93,$C666*2+6)</f>
        <v>5995.5</v>
      </c>
      <c r="JP666" s="19">
        <f>INDEX(Input!$1:$1048576,JP$93,$C666*2+6)</f>
        <v>2296.6050414551746</v>
      </c>
      <c r="JQ666" s="39">
        <f t="shared" si="1799"/>
        <v>2761.9998496149351</v>
      </c>
      <c r="JR666" s="39">
        <f t="shared" si="1800"/>
        <v>936.89510892989028</v>
      </c>
      <c r="JS666" s="39">
        <f t="shared" si="1801"/>
        <v>23.887623514007565</v>
      </c>
      <c r="JT666" s="39">
        <f t="shared" si="1802"/>
        <v>9.0768176016631443</v>
      </c>
      <c r="JU666" s="385">
        <f>(JQ666*JM666-INDEX(Input!$1:$1048576,Input!A$18,$C666*2+6)*JL666*INDEX(Input!$1:$1048576,Input!A$19,$C666*2+6))/1000000</f>
        <v>20.404394459511643</v>
      </c>
      <c r="JV666" s="39">
        <f t="shared" si="1803"/>
        <v>-3.4497791281439341</v>
      </c>
      <c r="JW666" s="1">
        <f t="shared" si="1804"/>
        <v>-0.14461951974430079</v>
      </c>
      <c r="JX666" s="19">
        <f t="shared" si="1805"/>
        <v>9671.1725336287873</v>
      </c>
      <c r="JZ666" s="341"/>
      <c r="KA666" s="60"/>
      <c r="KB666" s="469">
        <f t="shared" ref="KB666:KB701" si="2035">KA671</f>
        <v>0</v>
      </c>
      <c r="KI666" s="472"/>
      <c r="KJ666" s="472"/>
      <c r="KK666" s="472"/>
      <c r="KN666" s="26">
        <f t="shared" ref="KN666:KN701" si="2036">C666*1000+$KN$97</f>
        <v>6002</v>
      </c>
      <c r="KO666" s="794">
        <f t="shared" ref="KO666:KO701" si="2037">JM666/INDEX(JM:JM,MATCH(KN666,A:A,0))-1</f>
        <v>0.11927586637062704</v>
      </c>
      <c r="KP666" s="795">
        <f t="shared" ref="KP666:KP701" si="2038">(IL666-INDEX(IL:IL,MATCH(KN666,A:A,0)))*IE666
+(IM666-IF(HN666=0,INDEX(IX:IX,MATCH(KN666,A:A,0)),INDEX(IM:IM,MATCH(KN666,A:A,0))))*IF666
+(IN666-INDEX(IN:IN,MATCH(KN666,A:A,0)))*IG666</f>
        <v>899.39031160646505</v>
      </c>
      <c r="KQ666" s="795">
        <f t="shared" ref="KQ666:KQ701" si="2039">JD666-INDEX(JD:JD,MATCH(KN666,A:A,0))</f>
        <v>770.66689377991997</v>
      </c>
      <c r="KR666" s="26">
        <f t="shared" ref="KR666:KR701" si="2040">KO666/(KP666/(BX666-INDEX(JD:JD,MATCH(KN666,A:A,0))))</f>
        <v>2.3237648794281123</v>
      </c>
      <c r="KS666" s="26">
        <f t="shared" ref="KS666:KS701" si="2041">KO666/(KQ666/(BX666-INDEX(JD:JD,MATCH(KN666,A:A,0))))</f>
        <v>2.7119000905284052</v>
      </c>
      <c r="KT666" s="796">
        <f t="shared" si="1795"/>
        <v>4286.2445668946921</v>
      </c>
      <c r="KU666" s="797">
        <f t="shared" ref="KU666:KU701" si="2042">IF(D666="",0,IFERROR((JM666/KT666-1)/(JD666/BX666)+B666*10^-6,0))</f>
        <v>4.4720266220609712</v>
      </c>
    </row>
    <row r="667" spans="1:308" s="26" customFormat="1" ht="15" outlineLevel="1">
      <c r="A667" s="561">
        <f t="shared" si="2009"/>
        <v>6067</v>
      </c>
      <c r="B667" s="561">
        <f t="shared" ref="B667:B700" si="2043">B666+1</f>
        <v>67</v>
      </c>
      <c r="C667" s="561">
        <f t="shared" ref="C667:C700" si="2044">C666</f>
        <v>6</v>
      </c>
      <c r="D667" s="561" t="str">
        <f t="shared" si="1953"/>
        <v xml:space="preserve">-180 Lease, </v>
      </c>
      <c r="E667" s="475">
        <f>INDEX(Input!$1:$1048576,E$93,$C667*2+MIN($B667,2)+5)
+INDEX(Scenarios!E$121:E$199,MATCH($B667,Scenarios!$B$121:$B$199,0))</f>
        <v>1267.2644913000609</v>
      </c>
      <c r="F667" s="475">
        <f>INDEX(Input!$1:$1048576,F$93,$C667*2+MIN($B667,2)+5)
+INDEX(Scenarios!F$121:F$199,MATCH($B667,Scenarios!$B$121:$B$199,0))</f>
        <v>0</v>
      </c>
      <c r="G667" s="475">
        <f>INDEX(Input!$1:$1048576,G$93,$C667*2+MIN($B667,2)+5)
+INDEX(Scenarios!G$121:G$199,MATCH($B667,Scenarios!$B$121:$B$199,0))</f>
        <v>0</v>
      </c>
      <c r="H667" s="475">
        <f>INDEX(Input!$1:$1048576,H$93,$C667*2+MIN($B667,2)+5)
+INDEX(Scenarios!H$121:H$199,MATCH($B667,Scenarios!$B$121:$B$199,0))</f>
        <v>0</v>
      </c>
      <c r="I667" s="476">
        <f>INDEX(Input!$1:$1048576,I$93,$C667*2+MIN($B667,2)+5)
+INDEX(Scenarios!I$121:I$199,MATCH($B667,Scenarios!$B$121:$B$199,0))</f>
        <v>0.7</v>
      </c>
      <c r="J667" s="476" t="str">
        <f>INDEX(Input!$1:$1048576,J$93,$C667*2+MIN($B667,2)+5)</f>
        <v>Market</v>
      </c>
      <c r="K667" s="476" t="str">
        <f>INDEX(Input!$1:$1048576,K$93,$C667*2+MIN($B667,2)+5)</f>
        <v>Market</v>
      </c>
      <c r="L667" s="476" t="str">
        <f>INDEX(Input!$1:$1048576,L$93,$C667*2+MIN($B667,2)+5)</f>
        <v>Market</v>
      </c>
      <c r="M667" s="476" t="str">
        <f>INDEX(Input!$1:$1048576,M$93,$C667*2+MIN($B667,2)+5)</f>
        <v>Market</v>
      </c>
      <c r="N667" s="476" t="str">
        <f>INDEX(Input!$1:$1048576,N$93,$C667*2+MIN($B667,2)+5)</f>
        <v>Market</v>
      </c>
      <c r="O667" s="476" t="str">
        <f>INDEX(Input!$1:$1048576,O$93,$C667*2+MIN($B667,2)+5)</f>
        <v>Market</v>
      </c>
      <c r="P667" s="476" t="str">
        <f>INDEX(Input!$1:$1048576,P$93,$C667*2+MIN($B667,2)+5)</f>
        <v>N</v>
      </c>
      <c r="Q667" s="477">
        <f>INDEX(Input!$1:$1048576,Q$93,$C667*2+MIN($B667,2)+5)
+INDEX(Scenarios!Q$121:Q$199,MATCH($B667,Scenarios!$B$121:$B$199,0))</f>
        <v>0</v>
      </c>
      <c r="R667" s="478">
        <f>IFERROR(MAX(0,INDEX(Input!$1:$1048576,R$93,$C667*2+MIN($B667,2)+5)
+INDEX(Scenarios!R$121:R$199,MATCH($B667,Scenarios!$B$121:$B$199,0)),),"Market")</f>
        <v>0</v>
      </c>
      <c r="S667" s="478">
        <f>IFERROR(MAX(0,INDEX(Input!$1:$1048576,S$93,$C667*2+MIN($B667,2)+5)
+INDEX(Scenarios!S$121:S$199,MATCH($B667,Scenarios!$B$121:$B$199,0)),),"Market")</f>
        <v>0</v>
      </c>
      <c r="T667" s="478">
        <f>IFERROR(MAX(0,INDEX(Input!$1:$1048576,T$93,$C667*2+MIN($B667,2)+5)
+INDEX(Scenarios!T$121:T$199,MATCH($B667,Scenarios!$B$121:$B$199,0)),),"Market")</f>
        <v>0</v>
      </c>
      <c r="U667" s="478">
        <f>IFERROR(MAX(0,INDEX(Input!$1:$1048576,U$93,$C667*2+MIN($B667,2)+5)
+INDEX(Scenarios!U$121:U$199,MATCH($B667,Scenarios!$B$121:$B$199,0)),),"Market")</f>
        <v>0</v>
      </c>
      <c r="V667" s="478">
        <f>IFERROR(MAX(0,INDEX(Input!$1:$1048576,V$93,$C667*2+MIN($B667,2)+5)
+INDEX(Scenarios!V$121:V$199,MATCH($B667,Scenarios!$B$121:$B$199,0)),),"Market")</f>
        <v>1.9E-2</v>
      </c>
      <c r="W667" s="885">
        <f>IFERROR(MAX(0,INDEX(Input!$1:$1048576,W$93,$C667*2+MIN($B667,2)+5)-0%),"Market")</f>
        <v>3.9E-2</v>
      </c>
      <c r="X667" s="476" t="str">
        <f>INDEX(Input!$1:$1048576,X$93,$C667*2+MIN($B667,2)+5)</f>
        <v>Y</v>
      </c>
      <c r="Y667" s="475">
        <f>INDEX(Input!$1:$1048576,Y$93,$C667*2+MIN($B667,2)+5)
++INDEX(Scenarios!Y$121:Y$199,MATCH($B667,Scenarios!$B$121:$B$199,0))</f>
        <v>557.99367635402496</v>
      </c>
      <c r="Z667" s="477">
        <f>INDEX(Input!$1:$1048576,Z$93,$C667*2+MIN($B667,2)+5)
+INDEX(Scenarios!Z$121:Z$199,MATCH($B667,Scenarios!$B$121:$B$199,0))</f>
        <v>0</v>
      </c>
      <c r="AA667" s="475">
        <f>INDEX(Input!$1:$1048576,AA$93,$C667*2+MIN($B667,2)+5)</f>
        <v>0</v>
      </c>
      <c r="AB667" s="476">
        <f>INDEX(Input!$1:$1048576,AB$93,$C667*2+MIN($B667,2)+5)</f>
        <v>0.27</v>
      </c>
      <c r="AC667" s="475">
        <f>INDEX(Input!$1:$1048576,AC$93,$C667*2+MIN($B667,2)+5)
+INDEX(Scenarios!AC$121:AC$199,MATCH($B667,Scenarios!$B$121:$B$199,0))</f>
        <v>0</v>
      </c>
      <c r="AD667" s="476">
        <f>INDEX(Input!$1:$1048576,AD$93,$C667*2+MIN($B667,2)+5)</f>
        <v>0.27</v>
      </c>
      <c r="AE667" s="475">
        <f>INDEX(Input!$1:$1048576,AE$93,$C667*2+MIN($B667,2)+5)
+INDEX(Scenarios!AE$121:AE$199,MATCH($B667,Scenarios!$B$121:$B$199,0))</f>
        <v>0</v>
      </c>
      <c r="AF667" s="476">
        <f>INDEX(Input!$1:$1048576,AF$93,$C667*2+MIN($B667,2)+5)</f>
        <v>1</v>
      </c>
      <c r="AG667" s="475">
        <f>INDEX(Input!$1:$1048576,AG$93,$C667*2+MIN($B667,2)+5)</f>
        <v>500</v>
      </c>
      <c r="AH667" s="476">
        <f>INDEX(Input!$1:$1048576,AH$93,$C667*2+MIN($B667,2)+5)</f>
        <v>1</v>
      </c>
      <c r="AI667" s="475">
        <f>INDEX(Input!$1:$1048576,AI$93,$C667*2+MIN($B667,2)+5)</f>
        <v>0</v>
      </c>
      <c r="AJ667" s="476">
        <f>INDEX(Input!$1:$1048576,AJ$93,$C667*2+MIN($B667,2)+5)</f>
        <v>0.27</v>
      </c>
      <c r="AK667" s="150">
        <f>ROUND(INDEX(Input!$1:$1048576,AK$93,$C666*2+MIN($B667,1)+5)+(Y667-VLOOKUP($C667*1000+1,$A:$HH,Y$92,FALSE)),0)</f>
        <v>2881</v>
      </c>
      <c r="AL667" s="150">
        <f>ROUND(INDEX(Input!$1:$1048576,AL$93,$C666*2+MIN($B667,1)+5)-(Y667-VLOOKUP($C667*1000+1,$A:$HH,Y$92,FALSE))/36,0)</f>
        <v>3557</v>
      </c>
      <c r="AM667" s="32" t="str">
        <f t="shared" si="2010"/>
        <v>std/std/std/std</v>
      </c>
      <c r="AN667" s="32" t="str">
        <f t="shared" si="2011"/>
        <v>$0 + 0/0/0/1.9/3.9</v>
      </c>
      <c r="AO667" s="32" t="str">
        <f t="shared" si="2012"/>
        <v>0/0/0/1.9/3.9</v>
      </c>
      <c r="AP667" s="32" t="str">
        <f t="shared" si="1990"/>
        <v>0/0.9/1.9/3.9</v>
      </c>
      <c r="AQ667" s="536">
        <f t="shared" si="1991"/>
        <v>0.37994346774715249</v>
      </c>
      <c r="AR667" s="32"/>
      <c r="AS667" s="302"/>
      <c r="AT667" s="3">
        <f t="shared" ref="AT667:AT700" si="2045">AT666+1</f>
        <v>67</v>
      </c>
      <c r="AU667" s="41" t="s">
        <v>121</v>
      </c>
      <c r="AV667" s="41" t="s">
        <v>116</v>
      </c>
      <c r="AW667" s="41" t="str">
        <f>INDEX(Input!$1:$1048576,AW$93,$C667*2+6)</f>
        <v>Kia</v>
      </c>
      <c r="AX667" s="41" t="str">
        <f>INDEX(Input!$1:$1048576,AX$93,$C667*2+6)</f>
        <v>National</v>
      </c>
      <c r="AY667" s="41" t="str">
        <f>IF(LEN(D667)=0,"",INDEX(Input!$1:$1048576,AY$93,$C667*2+6))</f>
        <v>Compact SUV (52)</v>
      </c>
      <c r="AZ667" s="41" t="str">
        <f>INDEX(Input!$1:$1048576,AZ$93,$C667*2+6)</f>
        <v>Kia Soul</v>
      </c>
      <c r="BA667" s="3">
        <f>INDEX(Input!$1:$1048576,BA$93,$C667*2+6)</f>
        <v>2020</v>
      </c>
      <c r="BB667" s="128">
        <f>INDEX(Input!$1:$1048576,BB$93,$C667*2+6)</f>
        <v>1</v>
      </c>
      <c r="BC667" s="128">
        <f>INDEX(Input!$1:$1048576,BC$93,$C667*2+6)</f>
        <v>0.7</v>
      </c>
      <c r="BD667" s="1">
        <f>INDEX(Input!$1:$1048576,BD$93,$C667*2+6)</f>
        <v>4.4999999999999998E-2</v>
      </c>
      <c r="BE667" s="1">
        <f>INDEX(Input!$1:$1048576,BE$93,$C667*2+6)</f>
        <v>4.4999999999999998E-2</v>
      </c>
      <c r="BF667" s="1">
        <f>INDEX(Input!$1:$1048576,BF$93,$C667*2+6)</f>
        <v>0.05</v>
      </c>
      <c r="BG667" s="1">
        <f>INDEX(Input!$1:$1048576,BG$93,$C667*2+6)</f>
        <v>5.45E-2</v>
      </c>
      <c r="BH667" s="1">
        <f>INDEX(Input!$1:$1048576,BH$93,$C667*2+6)</f>
        <v>5.45E-2</v>
      </c>
      <c r="BI667" s="1">
        <f>INDEX(Input!$1:$1048576,BI$93,$C667*2+6)</f>
        <v>0.05</v>
      </c>
      <c r="BJ667" s="1">
        <f>INDEX(Input!$1:$1048576,BJ$93,$C667*2+6)</f>
        <v>0.05</v>
      </c>
      <c r="BK667" s="1">
        <f>INDEX(Input!$1:$1048576,BK$93,$C667*2+6)</f>
        <v>0.05</v>
      </c>
      <c r="BL667" s="1">
        <f>INDEX(Input!$1:$1048576,BL$93,$C667*2+6)</f>
        <v>5.5E-2</v>
      </c>
      <c r="BM667" s="1">
        <f>INDEX(Input!$1:$1048576,BM$93,$C667*2+6)</f>
        <v>0.06</v>
      </c>
      <c r="BN667" s="1">
        <f>INDEX(Input!$1:$1048576,BN$93,$C667*2+6)</f>
        <v>4.4999999999999998E-2</v>
      </c>
      <c r="BO667" s="1">
        <f>INDEX(Input!$1:$1048576,BO$93,$C667*2+6)</f>
        <v>4.4999999999999998E-2</v>
      </c>
      <c r="BP667" s="1">
        <f>INDEX(Input!$1:$1048576,BP$93,$C667*2+6)</f>
        <v>0.05</v>
      </c>
      <c r="BQ667" s="1">
        <f>INDEX(Input!$1:$1048576,BQ$93,$C667*2+6)</f>
        <v>5.45E-2</v>
      </c>
      <c r="BR667" s="1">
        <f>INDEX(Input!$1:$1048576,BR$93,$C667*2+6)</f>
        <v>5.45E-2</v>
      </c>
      <c r="BS667" s="1">
        <f>INDEX(Input!$1:$1048576,BS$93,$C667*2+6)</f>
        <v>0.05</v>
      </c>
      <c r="BT667" s="1">
        <f>INDEX(Input!$1:$1048576,BT$93,$C667*2+6)</f>
        <v>0.05</v>
      </c>
      <c r="BU667" s="1">
        <f>INDEX(Input!$1:$1048576,BU$93,$C667*2+6)</f>
        <v>0.05</v>
      </c>
      <c r="BV667" s="1">
        <f>INDEX(Input!$1:$1048576,BV$93,$C667*2+6)</f>
        <v>5.5E-2</v>
      </c>
      <c r="BW667" s="1">
        <f>INDEX(Input!$1:$1048576,BW$93,$C667*2+6)</f>
        <v>0.06</v>
      </c>
      <c r="BX667" s="127">
        <f>INDEX(Input!$1:$1048576,BX$93,$C667*2+6)</f>
        <v>19985</v>
      </c>
      <c r="BY667" s="20">
        <f>INDEX(Input!$1:$1048576,BY$93,$C667*2+6)</f>
        <v>0.1</v>
      </c>
      <c r="BZ667" s="20">
        <f>INDEX(Input!$1:$1048576,BZ$93,$C667*2+6)</f>
        <v>0.1</v>
      </c>
      <c r="CA667" s="20">
        <f>INDEX(Input!$1:$1048576,CA$93,$C667*2+6)</f>
        <v>0.1</v>
      </c>
      <c r="CB667" s="20">
        <f>INDEX(Input!$1:$1048576,CB$93,$C667*2+6)</f>
        <v>0.1</v>
      </c>
      <c r="CC667" s="20">
        <f>INDEX(Input!$1:$1048576,CC$93,$C667*2+6)</f>
        <v>0.1</v>
      </c>
      <c r="CD667" s="384">
        <f>INDEX(Input!$1:$1048576,CD$93,$C667*2+6)</f>
        <v>0.1</v>
      </c>
      <c r="CE667" s="384">
        <f>INDEX(Input!$1:$1048576,CE$93,$C667*2+6)</f>
        <v>0.1</v>
      </c>
      <c r="CF667" s="384">
        <f>INDEX(Input!$1:$1048576,CF$93,$C667*2+6)</f>
        <v>0.1</v>
      </c>
      <c r="CG667" s="384">
        <f>INDEX(Input!$1:$1048576,CG$93,$C667*2+6)</f>
        <v>0.1</v>
      </c>
      <c r="CH667" s="384">
        <f>INDEX(Input!$1:$1048576,CH$93,$C667*2+6)</f>
        <v>0.1</v>
      </c>
      <c r="CI667" s="304">
        <f t="shared" si="1992"/>
        <v>1267.2644913000609</v>
      </c>
      <c r="CJ667" s="16" t="str">
        <f>INDEX(Input!$1:$1048576,CJ$93,$C667*2+6)</f>
        <v>N</v>
      </c>
      <c r="CK667" s="1" t="str">
        <f t="shared" si="1993"/>
        <v>Market</v>
      </c>
      <c r="CL667" s="1" t="str">
        <f t="shared" si="1994"/>
        <v>Market</v>
      </c>
      <c r="CM667" s="1" t="str">
        <f t="shared" si="1995"/>
        <v>Market</v>
      </c>
      <c r="CN667" s="1" t="str">
        <f t="shared" si="1996"/>
        <v>Market</v>
      </c>
      <c r="CO667" s="1" t="str">
        <f t="shared" si="1997"/>
        <v>Market</v>
      </c>
      <c r="CP667" s="304">
        <f t="shared" si="1998"/>
        <v>500</v>
      </c>
      <c r="CQ667" s="1">
        <f t="shared" si="1999"/>
        <v>0</v>
      </c>
      <c r="CR667" s="1">
        <f t="shared" si="2000"/>
        <v>0</v>
      </c>
      <c r="CS667" s="1">
        <f t="shared" si="2001"/>
        <v>0</v>
      </c>
      <c r="CT667" s="1">
        <f t="shared" si="2002"/>
        <v>1.9E-2</v>
      </c>
      <c r="CU667" s="1">
        <f t="shared" si="2003"/>
        <v>3.9E-2</v>
      </c>
      <c r="CV667" s="304">
        <f t="shared" si="2004"/>
        <v>557.99367635402496</v>
      </c>
      <c r="CW667" s="20" t="s">
        <v>122</v>
      </c>
      <c r="CX667" s="20" t="s">
        <v>122</v>
      </c>
      <c r="CY667" s="20" t="s">
        <v>122</v>
      </c>
      <c r="CZ667" s="20" t="s">
        <v>122</v>
      </c>
      <c r="DA667" s="20" t="s">
        <v>122</v>
      </c>
      <c r="DB667" s="503">
        <f t="shared" si="2005"/>
        <v>0</v>
      </c>
      <c r="DC667" s="127">
        <v>0</v>
      </c>
      <c r="DD667" s="127">
        <v>0</v>
      </c>
      <c r="DE667" s="127">
        <v>0</v>
      </c>
      <c r="DF667" s="127">
        <v>0</v>
      </c>
      <c r="DG667" s="127">
        <v>0</v>
      </c>
      <c r="DH667" s="127">
        <v>0</v>
      </c>
      <c r="DI667" s="127">
        <v>0</v>
      </c>
      <c r="DJ667" s="127">
        <v>0</v>
      </c>
      <c r="DK667" s="127">
        <v>0</v>
      </c>
      <c r="DL667" s="127">
        <v>0</v>
      </c>
      <c r="DM667" s="304">
        <f>INDEX(Input!$1:$1048576,DM$93,$C667*2+6)</f>
        <v>21036.84210526316</v>
      </c>
      <c r="DN667" s="20">
        <v>0</v>
      </c>
      <c r="DO667" s="20">
        <v>0</v>
      </c>
      <c r="DP667" s="20">
        <v>0</v>
      </c>
      <c r="DQ667" s="20">
        <v>0</v>
      </c>
      <c r="DR667" s="20">
        <v>0</v>
      </c>
      <c r="DS667" s="20">
        <f>INDEX(Input!$1:$1048576,DS$93,$C667*2+6)</f>
        <v>0.6</v>
      </c>
      <c r="DT667" s="20">
        <f>INDEX(Input!$1:$1048576,DT$93,$C667*2+6)</f>
        <v>0.55000000000000004</v>
      </c>
      <c r="DU667" s="20">
        <f>INDEX(Input!$1:$1048576,DU$93,$C667*2+6)</f>
        <v>0.52</v>
      </c>
      <c r="DV667" s="20">
        <f>INDEX(Input!$1:$1048576,DV$93,$C667*2+6)</f>
        <v>0.5</v>
      </c>
      <c r="DW667" s="20">
        <f>INDEX(Input!$1:$1048576,DW$93,$C667*2+6)</f>
        <v>0.45</v>
      </c>
      <c r="DX667" s="20"/>
      <c r="DY667" s="7"/>
      <c r="DZ667" s="7"/>
      <c r="EA667" s="7"/>
      <c r="EB667" s="7"/>
      <c r="EC667" s="7"/>
      <c r="ED667" s="7"/>
      <c r="EE667" s="7"/>
      <c r="EF667" s="7"/>
      <c r="EG667" s="7"/>
      <c r="EH667" s="7"/>
      <c r="EI667" s="7"/>
      <c r="EJ667" s="7"/>
      <c r="EK667" s="7"/>
      <c r="EL667" s="7"/>
      <c r="EM667" s="7"/>
      <c r="EN667" s="7"/>
      <c r="EO667" s="7"/>
      <c r="EP667" s="7"/>
      <c r="EQ667" s="7"/>
      <c r="ER667" s="7"/>
      <c r="ES667" s="7"/>
      <c r="ET667" s="7"/>
      <c r="EU667" s="6"/>
      <c r="EV667" s="6"/>
      <c r="EW667" s="6"/>
      <c r="EX667" s="6"/>
      <c r="EY667" s="6"/>
      <c r="EZ667" s="6"/>
      <c r="FA667" s="6"/>
      <c r="FB667" s="6"/>
      <c r="FC667" s="6"/>
      <c r="FD667" s="6"/>
      <c r="FE667" s="6"/>
      <c r="FF667" s="6"/>
      <c r="FG667" s="6"/>
      <c r="FH667" s="6"/>
      <c r="FI667" s="6"/>
      <c r="FJ667" s="6"/>
      <c r="FK667" s="6"/>
      <c r="FL667" s="6"/>
      <c r="FM667" s="6"/>
      <c r="FN667" s="6"/>
      <c r="FO667" s="6"/>
      <c r="FP667" s="6"/>
      <c r="FQ667" s="6"/>
      <c r="FR667" s="6"/>
      <c r="FS667" s="6"/>
      <c r="FT667" s="7"/>
      <c r="FU667" s="7"/>
      <c r="FV667" s="7"/>
      <c r="FW667" s="6"/>
      <c r="FX667" s="6"/>
      <c r="FY667" s="6"/>
      <c r="FZ667" s="6"/>
      <c r="GA667" s="6"/>
      <c r="GB667" s="6"/>
      <c r="GC667" s="7"/>
      <c r="GD667" s="7"/>
      <c r="GE667" s="7"/>
      <c r="GF667" s="7"/>
      <c r="GG667" s="7"/>
      <c r="GH667" s="42"/>
      <c r="GI667" s="6"/>
      <c r="GJ667" s="14"/>
      <c r="GK667" s="14"/>
      <c r="GL667" s="14"/>
      <c r="GM667" s="14"/>
      <c r="GO667" s="5"/>
      <c r="GP667" s="5"/>
      <c r="GQ667" s="5"/>
      <c r="GR667" s="5"/>
      <c r="GS667" s="5"/>
      <c r="GT667" s="5"/>
      <c r="GU667" s="5"/>
      <c r="GV667" s="39"/>
      <c r="GW667" s="5"/>
      <c r="GX667" s="5"/>
      <c r="GY667" s="5"/>
      <c r="GZ667" s="5"/>
      <c r="HA667" s="5"/>
      <c r="HB667" s="39"/>
      <c r="HC667" s="5"/>
      <c r="HD667" s="5"/>
      <c r="HE667" s="5"/>
      <c r="HF667" s="5"/>
      <c r="HG667" s="5"/>
      <c r="HH667" s="39"/>
      <c r="HI667" s="16"/>
      <c r="HJ667" s="19"/>
      <c r="HK667" s="1"/>
      <c r="HL667" s="16"/>
      <c r="HM667" s="639">
        <f t="shared" si="2013"/>
        <v>2.3149872625708352E-2</v>
      </c>
      <c r="HN667" s="639">
        <f t="shared" si="2014"/>
        <v>1.3965040474190958E-3</v>
      </c>
      <c r="HO667" s="639">
        <f t="shared" si="2015"/>
        <v>3.5429561340050734E-3</v>
      </c>
      <c r="HP667" s="644">
        <f t="shared" ref="HP667:ID667" si="2046">HP167+HP267+HP367+HP467+HP567</f>
        <v>159.33499250227092</v>
      </c>
      <c r="HQ667" s="644">
        <f t="shared" si="2046"/>
        <v>9.1769337184568673</v>
      </c>
      <c r="HR667" s="644">
        <f t="shared" si="2046"/>
        <v>-62.7283561011998</v>
      </c>
      <c r="HS667" s="644">
        <f t="shared" si="2046"/>
        <v>-60.104121262455585</v>
      </c>
      <c r="HT667" s="644">
        <f t="shared" si="2046"/>
        <v>70.643604936964408</v>
      </c>
      <c r="HU667" s="644">
        <f t="shared" si="2046"/>
        <v>2.0509980224271604</v>
      </c>
      <c r="HV667" s="644">
        <f t="shared" si="2046"/>
        <v>0</v>
      </c>
      <c r="HW667" s="644">
        <f t="shared" si="2046"/>
        <v>0</v>
      </c>
      <c r="HX667" s="644">
        <f t="shared" si="2046"/>
        <v>0</v>
      </c>
      <c r="HY667" s="644">
        <f t="shared" si="2046"/>
        <v>2396</v>
      </c>
      <c r="HZ667" s="644">
        <f t="shared" si="2046"/>
        <v>3223</v>
      </c>
      <c r="IA667" s="644">
        <f t="shared" si="2046"/>
        <v>830</v>
      </c>
      <c r="IB667" s="644">
        <f t="shared" si="2046"/>
        <v>2495.2308712398153</v>
      </c>
      <c r="IC667" s="644">
        <f t="shared" si="2046"/>
        <v>3302.8205386554214</v>
      </c>
      <c r="ID667" s="644">
        <f t="shared" si="2046"/>
        <v>769.32264192122739</v>
      </c>
      <c r="IE667" s="20">
        <f t="shared" si="2017"/>
        <v>0.37994346774715249</v>
      </c>
      <c r="IF667" s="20">
        <f t="shared" si="2018"/>
        <v>0.50291341906159537</v>
      </c>
      <c r="IG667" s="20">
        <f t="shared" si="2019"/>
        <v>0.11714311319125199</v>
      </c>
      <c r="IH667" s="21"/>
      <c r="II667" s="19"/>
      <c r="IJ667" s="19"/>
      <c r="IK667" s="19"/>
      <c r="IL667" s="19">
        <f t="shared" si="2020"/>
        <v>173.57992067241798</v>
      </c>
      <c r="IM667" s="19">
        <f t="shared" si="2021"/>
        <v>175.68077447385895</v>
      </c>
      <c r="IN667" s="19">
        <f t="shared" si="2022"/>
        <v>-67.868300150652431</v>
      </c>
      <c r="IO667" s="39"/>
      <c r="IP667" s="39"/>
      <c r="IQ667" s="39"/>
      <c r="IR667" s="39"/>
      <c r="IS667" s="39"/>
      <c r="IT667" s="39"/>
      <c r="IU667" s="39"/>
      <c r="IV667" s="39"/>
      <c r="IW667" s="39"/>
      <c r="IX667" s="19">
        <f t="shared" si="2023"/>
        <v>1554.1790484140233</v>
      </c>
      <c r="IY667" s="19">
        <f t="shared" si="2024"/>
        <v>2412.3001201524512</v>
      </c>
      <c r="IZ667" s="19">
        <f t="shared" si="2025"/>
        <v>3993.0862952928574</v>
      </c>
      <c r="JA667" s="19">
        <f t="shared" ref="JA667:JC667" si="2047">IFERROR((JA167*IB167+JA267*IB267+JA367*IB367+JA467*IB467+JA567*IB567)/IB667,0)</f>
        <v>1727.7589690864413</v>
      </c>
      <c r="JB667" s="19">
        <f t="shared" si="2047"/>
        <v>2587.9808946263101</v>
      </c>
      <c r="JC667" s="19">
        <f t="shared" si="2047"/>
        <v>3925.2179951422049</v>
      </c>
      <c r="JD667" s="19">
        <f t="shared" si="2027"/>
        <v>2417.7933102338343</v>
      </c>
      <c r="JE667" s="21"/>
      <c r="JF667" s="1">
        <f t="shared" si="2028"/>
        <v>2.6651855648468406E-2</v>
      </c>
      <c r="JG667" s="15">
        <f t="shared" si="2029"/>
        <v>6449</v>
      </c>
      <c r="JH667" s="1">
        <f t="shared" si="2030"/>
        <v>1.6403096622659014E-2</v>
      </c>
      <c r="JI667" s="1">
        <f t="shared" si="2031"/>
        <v>1.9523153507421279E-3</v>
      </c>
      <c r="JJ667" s="1">
        <f t="shared" si="2032"/>
        <v>0</v>
      </c>
      <c r="JK667" s="1">
        <f t="shared" si="2033"/>
        <v>1.8355411973401146E-2</v>
      </c>
      <c r="JL667" s="15">
        <f t="shared" ref="JL667:JM667" si="2048">JL167+JL267+JL367+JL467+JL567</f>
        <v>118.374051816464</v>
      </c>
      <c r="JM667" s="15">
        <f t="shared" si="2048"/>
        <v>6567.3740518164641</v>
      </c>
      <c r="JN667" s="21"/>
      <c r="JO667" s="19">
        <f>INDEX(Input!$1:$1048576,JO$93,$C667*2+6)</f>
        <v>5995.5</v>
      </c>
      <c r="JP667" s="19">
        <f>INDEX(Input!$1:$1048576,JP$93,$C667*2+6)</f>
        <v>2296.6050414551746</v>
      </c>
      <c r="JQ667" s="39">
        <f t="shared" si="1799"/>
        <v>3577.7066897661657</v>
      </c>
      <c r="JR667" s="39">
        <f t="shared" si="1800"/>
        <v>121.18826877865968</v>
      </c>
      <c r="JS667" s="39">
        <f t="shared" si="1801"/>
        <v>15.878553048285116</v>
      </c>
      <c r="JT667" s="39">
        <f t="shared" si="1802"/>
        <v>1.0677471359406971</v>
      </c>
      <c r="JU667" s="385">
        <f>(JQ667*JM667-INDEX(Input!$1:$1048576,Input!A$18,$C667*2+6)*JL667*INDEX(Input!$1:$1048576,Input!A$19,$C667*2+6))/1000000</f>
        <v>23.496138079380493</v>
      </c>
      <c r="JV667" s="39">
        <f t="shared" si="1803"/>
        <v>-0.35803550827508346</v>
      </c>
      <c r="JW667" s="1">
        <f t="shared" si="1804"/>
        <v>-1.5009344463744707E-2</v>
      </c>
      <c r="JX667" s="19">
        <f t="shared" si="1805"/>
        <v>9020.11141424991</v>
      </c>
      <c r="JZ667" s="341"/>
      <c r="KA667" s="60"/>
      <c r="KB667" s="469">
        <f t="shared" si="2035"/>
        <v>0</v>
      </c>
      <c r="KI667" s="472"/>
      <c r="KJ667" s="472"/>
      <c r="KK667" s="472"/>
      <c r="KN667" s="26">
        <f t="shared" si="2036"/>
        <v>6002</v>
      </c>
      <c r="KO667" s="794">
        <f t="shared" si="2037"/>
        <v>-4.9868228776005497E-3</v>
      </c>
      <c r="KP667" s="795">
        <f t="shared" si="2038"/>
        <v>-18.851494600957778</v>
      </c>
      <c r="KQ667" s="795">
        <f t="shared" si="2039"/>
        <v>-45.039946371310634</v>
      </c>
      <c r="KR667" s="26">
        <f t="shared" si="2040"/>
        <v>4.6351731695933278</v>
      </c>
      <c r="KS667" s="26">
        <f t="shared" si="2041"/>
        <v>1.9400543078077888</v>
      </c>
      <c r="KT667" s="796">
        <f t="shared" ref="KT667:KT701" si="2049">KT666</f>
        <v>4286.2445668946921</v>
      </c>
      <c r="KU667" s="797">
        <f t="shared" si="2042"/>
        <v>4.399107612168935</v>
      </c>
    </row>
    <row r="668" spans="1:308" s="26" customFormat="1" ht="15" outlineLevel="1">
      <c r="A668" s="561">
        <f t="shared" si="2009"/>
        <v>6068</v>
      </c>
      <c r="B668" s="561">
        <f t="shared" si="2043"/>
        <v>68</v>
      </c>
      <c r="C668" s="561">
        <f t="shared" si="2044"/>
        <v>6</v>
      </c>
      <c r="D668" s="561" t="str">
        <f t="shared" si="1953"/>
        <v xml:space="preserve">180 Lease, </v>
      </c>
      <c r="E668" s="475">
        <f>INDEX(Input!$1:$1048576,E$93,$C668*2+MIN($B668,2)+5)
+INDEX(Scenarios!E$121:E$199,MATCH($B668,Scenarios!$B$121:$B$199,0))</f>
        <v>1267.2644913000609</v>
      </c>
      <c r="F668" s="475">
        <f>INDEX(Input!$1:$1048576,F$93,$C668*2+MIN($B668,2)+5)
+INDEX(Scenarios!F$121:F$199,MATCH($B668,Scenarios!$B$121:$B$199,0))</f>
        <v>0</v>
      </c>
      <c r="G668" s="475">
        <f>INDEX(Input!$1:$1048576,G$93,$C668*2+MIN($B668,2)+5)
+INDEX(Scenarios!G$121:G$199,MATCH($B668,Scenarios!$B$121:$B$199,0))</f>
        <v>0</v>
      </c>
      <c r="H668" s="475">
        <f>INDEX(Input!$1:$1048576,H$93,$C668*2+MIN($B668,2)+5)
+INDEX(Scenarios!H$121:H$199,MATCH($B668,Scenarios!$B$121:$B$199,0))</f>
        <v>0</v>
      </c>
      <c r="I668" s="476">
        <f>INDEX(Input!$1:$1048576,I$93,$C668*2+MIN($B668,2)+5)
+INDEX(Scenarios!I$121:I$199,MATCH($B668,Scenarios!$B$121:$B$199,0))</f>
        <v>0.7</v>
      </c>
      <c r="J668" s="476" t="str">
        <f>INDEX(Input!$1:$1048576,J$93,$C668*2+MIN($B668,2)+5)</f>
        <v>Market</v>
      </c>
      <c r="K668" s="476" t="str">
        <f>INDEX(Input!$1:$1048576,K$93,$C668*2+MIN($B668,2)+5)</f>
        <v>Market</v>
      </c>
      <c r="L668" s="476" t="str">
        <f>INDEX(Input!$1:$1048576,L$93,$C668*2+MIN($B668,2)+5)</f>
        <v>Market</v>
      </c>
      <c r="M668" s="476" t="str">
        <f>INDEX(Input!$1:$1048576,M$93,$C668*2+MIN($B668,2)+5)</f>
        <v>Market</v>
      </c>
      <c r="N668" s="476" t="str">
        <f>INDEX(Input!$1:$1048576,N$93,$C668*2+MIN($B668,2)+5)</f>
        <v>Market</v>
      </c>
      <c r="O668" s="476" t="str">
        <f>INDEX(Input!$1:$1048576,O$93,$C668*2+MIN($B668,2)+5)</f>
        <v>Market</v>
      </c>
      <c r="P668" s="476" t="str">
        <f>INDEX(Input!$1:$1048576,P$93,$C668*2+MIN($B668,2)+5)</f>
        <v>N</v>
      </c>
      <c r="Q668" s="477">
        <f>INDEX(Input!$1:$1048576,Q$93,$C668*2+MIN($B668,2)+5)
+INDEX(Scenarios!Q$121:Q$199,MATCH($B668,Scenarios!$B$121:$B$199,0))</f>
        <v>0</v>
      </c>
      <c r="R668" s="478">
        <f>IFERROR(MAX(0,INDEX(Input!$1:$1048576,R$93,$C668*2+MIN($B668,2)+5)
+INDEX(Scenarios!R$121:R$199,MATCH($B668,Scenarios!$B$121:$B$199,0)),),"Market")</f>
        <v>0</v>
      </c>
      <c r="S668" s="478">
        <f>IFERROR(MAX(0,INDEX(Input!$1:$1048576,S$93,$C668*2+MIN($B668,2)+5)
+INDEX(Scenarios!S$121:S$199,MATCH($B668,Scenarios!$B$121:$B$199,0)),),"Market")</f>
        <v>0</v>
      </c>
      <c r="T668" s="478">
        <f>IFERROR(MAX(0,INDEX(Input!$1:$1048576,T$93,$C668*2+MIN($B668,2)+5)
+INDEX(Scenarios!T$121:T$199,MATCH($B668,Scenarios!$B$121:$B$199,0)),),"Market")</f>
        <v>0</v>
      </c>
      <c r="U668" s="478">
        <f>IFERROR(MAX(0,INDEX(Input!$1:$1048576,U$93,$C668*2+MIN($B668,2)+5)
+INDEX(Scenarios!U$121:U$199,MATCH($B668,Scenarios!$B$121:$B$199,0)),),"Market")</f>
        <v>0</v>
      </c>
      <c r="V668" s="478">
        <f>IFERROR(MAX(0,INDEX(Input!$1:$1048576,V$93,$C668*2+MIN($B668,2)+5)
+INDEX(Scenarios!V$121:V$199,MATCH($B668,Scenarios!$B$121:$B$199,0)),),"Market")</f>
        <v>1.9E-2</v>
      </c>
      <c r="W668" s="885">
        <f>IFERROR(MAX(0,INDEX(Input!$1:$1048576,W$93,$C668*2+MIN($B668,2)+5)-0%),"Market")</f>
        <v>3.9E-2</v>
      </c>
      <c r="X668" s="476" t="str">
        <f>INDEX(Input!$1:$1048576,X$93,$C668*2+MIN($B668,2)+5)</f>
        <v>Y</v>
      </c>
      <c r="Y668" s="475">
        <f>INDEX(Input!$1:$1048576,Y$93,$C668*2+MIN($B668,2)+5)
++INDEX(Scenarios!Y$121:Y$199,MATCH($B668,Scenarios!$B$121:$B$199,0))</f>
        <v>917.99367635402496</v>
      </c>
      <c r="Z668" s="477">
        <f>INDEX(Input!$1:$1048576,Z$93,$C668*2+MIN($B668,2)+5)
+INDEX(Scenarios!Z$121:Z$199,MATCH($B668,Scenarios!$B$121:$B$199,0))</f>
        <v>0</v>
      </c>
      <c r="AA668" s="475">
        <f>INDEX(Input!$1:$1048576,AA$93,$C668*2+MIN($B668,2)+5)</f>
        <v>0</v>
      </c>
      <c r="AB668" s="476">
        <f>INDEX(Input!$1:$1048576,AB$93,$C668*2+MIN($B668,2)+5)</f>
        <v>0.27</v>
      </c>
      <c r="AC668" s="475">
        <f>INDEX(Input!$1:$1048576,AC$93,$C668*2+MIN($B668,2)+5)
+INDEX(Scenarios!AC$121:AC$199,MATCH($B668,Scenarios!$B$121:$B$199,0))</f>
        <v>0</v>
      </c>
      <c r="AD668" s="476">
        <f>INDEX(Input!$1:$1048576,AD$93,$C668*2+MIN($B668,2)+5)</f>
        <v>0.27</v>
      </c>
      <c r="AE668" s="475">
        <f>INDEX(Input!$1:$1048576,AE$93,$C668*2+MIN($B668,2)+5)
+INDEX(Scenarios!AE$121:AE$199,MATCH($B668,Scenarios!$B$121:$B$199,0))</f>
        <v>0</v>
      </c>
      <c r="AF668" s="476">
        <f>INDEX(Input!$1:$1048576,AF$93,$C668*2+MIN($B668,2)+5)</f>
        <v>1</v>
      </c>
      <c r="AG668" s="475">
        <f>INDEX(Input!$1:$1048576,AG$93,$C668*2+MIN($B668,2)+5)</f>
        <v>500</v>
      </c>
      <c r="AH668" s="476">
        <f>INDEX(Input!$1:$1048576,AH$93,$C668*2+MIN($B668,2)+5)</f>
        <v>1</v>
      </c>
      <c r="AI668" s="475">
        <f>INDEX(Input!$1:$1048576,AI$93,$C668*2+MIN($B668,2)+5)</f>
        <v>0</v>
      </c>
      <c r="AJ668" s="476">
        <f>INDEX(Input!$1:$1048576,AJ$93,$C668*2+MIN($B668,2)+5)</f>
        <v>0.27</v>
      </c>
      <c r="AK668" s="150">
        <f>ROUND(INDEX(Input!$1:$1048576,AK$93,$C667*2+MIN($B668,1)+5)+(Y668-VLOOKUP($C668*1000+1,$A:$HH,Y$92,FALSE)),0)</f>
        <v>3241</v>
      </c>
      <c r="AL668" s="150">
        <f>ROUND(INDEX(Input!$1:$1048576,AL$93,$C667*2+MIN($B668,1)+5)-(Y668-VLOOKUP($C668*1000+1,$A:$HH,Y$92,FALSE))/36,0)</f>
        <v>3547</v>
      </c>
      <c r="AM668" s="32" t="str">
        <f t="shared" si="2010"/>
        <v>std/std/std/std</v>
      </c>
      <c r="AN668" s="32" t="str">
        <f t="shared" si="2011"/>
        <v>$0 + 0/0/0/1.9/3.9</v>
      </c>
      <c r="AO668" s="32" t="str">
        <f t="shared" si="2012"/>
        <v>0/0/0/1.9/3.9</v>
      </c>
      <c r="AP668" s="32" t="str">
        <f t="shared" si="1990"/>
        <v>0/0.9/1.9/3.9</v>
      </c>
      <c r="AQ668" s="536">
        <f t="shared" si="1991"/>
        <v>0.36079584668573944</v>
      </c>
      <c r="AR668" s="32"/>
      <c r="AS668" s="302"/>
      <c r="AT668" s="3">
        <f t="shared" si="2045"/>
        <v>68</v>
      </c>
      <c r="AU668" s="41" t="s">
        <v>121</v>
      </c>
      <c r="AV668" s="41" t="s">
        <v>116</v>
      </c>
      <c r="AW668" s="41" t="str">
        <f>INDEX(Input!$1:$1048576,AW$93,$C668*2+6)</f>
        <v>Kia</v>
      </c>
      <c r="AX668" s="41" t="str">
        <f>INDEX(Input!$1:$1048576,AX$93,$C668*2+6)</f>
        <v>National</v>
      </c>
      <c r="AY668" s="41" t="str">
        <f>IF(LEN(D668)=0,"",INDEX(Input!$1:$1048576,AY$93,$C668*2+6))</f>
        <v>Compact SUV (52)</v>
      </c>
      <c r="AZ668" s="41" t="str">
        <f>INDEX(Input!$1:$1048576,AZ$93,$C668*2+6)</f>
        <v>Kia Soul</v>
      </c>
      <c r="BA668" s="3">
        <f>INDEX(Input!$1:$1048576,BA$93,$C668*2+6)</f>
        <v>2020</v>
      </c>
      <c r="BB668" s="128">
        <f>INDEX(Input!$1:$1048576,BB$93,$C668*2+6)</f>
        <v>1</v>
      </c>
      <c r="BC668" s="128">
        <f>INDEX(Input!$1:$1048576,BC$93,$C668*2+6)</f>
        <v>0.7</v>
      </c>
      <c r="BD668" s="1">
        <f>INDEX(Input!$1:$1048576,BD$93,$C668*2+6)</f>
        <v>4.4999999999999998E-2</v>
      </c>
      <c r="BE668" s="1">
        <f>INDEX(Input!$1:$1048576,BE$93,$C668*2+6)</f>
        <v>4.4999999999999998E-2</v>
      </c>
      <c r="BF668" s="1">
        <f>INDEX(Input!$1:$1048576,BF$93,$C668*2+6)</f>
        <v>0.05</v>
      </c>
      <c r="BG668" s="1">
        <f>INDEX(Input!$1:$1048576,BG$93,$C668*2+6)</f>
        <v>5.45E-2</v>
      </c>
      <c r="BH668" s="1">
        <f>INDEX(Input!$1:$1048576,BH$93,$C668*2+6)</f>
        <v>5.45E-2</v>
      </c>
      <c r="BI668" s="1">
        <f>INDEX(Input!$1:$1048576,BI$93,$C668*2+6)</f>
        <v>0.05</v>
      </c>
      <c r="BJ668" s="1">
        <f>INDEX(Input!$1:$1048576,BJ$93,$C668*2+6)</f>
        <v>0.05</v>
      </c>
      <c r="BK668" s="1">
        <f>INDEX(Input!$1:$1048576,BK$93,$C668*2+6)</f>
        <v>0.05</v>
      </c>
      <c r="BL668" s="1">
        <f>INDEX(Input!$1:$1048576,BL$93,$C668*2+6)</f>
        <v>5.5E-2</v>
      </c>
      <c r="BM668" s="1">
        <f>INDEX(Input!$1:$1048576,BM$93,$C668*2+6)</f>
        <v>0.06</v>
      </c>
      <c r="BN668" s="1">
        <f>INDEX(Input!$1:$1048576,BN$93,$C668*2+6)</f>
        <v>4.4999999999999998E-2</v>
      </c>
      <c r="BO668" s="1">
        <f>INDEX(Input!$1:$1048576,BO$93,$C668*2+6)</f>
        <v>4.4999999999999998E-2</v>
      </c>
      <c r="BP668" s="1">
        <f>INDEX(Input!$1:$1048576,BP$93,$C668*2+6)</f>
        <v>0.05</v>
      </c>
      <c r="BQ668" s="1">
        <f>INDEX(Input!$1:$1048576,BQ$93,$C668*2+6)</f>
        <v>5.45E-2</v>
      </c>
      <c r="BR668" s="1">
        <f>INDEX(Input!$1:$1048576,BR$93,$C668*2+6)</f>
        <v>5.45E-2</v>
      </c>
      <c r="BS668" s="1">
        <f>INDEX(Input!$1:$1048576,BS$93,$C668*2+6)</f>
        <v>0.05</v>
      </c>
      <c r="BT668" s="1">
        <f>INDEX(Input!$1:$1048576,BT$93,$C668*2+6)</f>
        <v>0.05</v>
      </c>
      <c r="BU668" s="1">
        <f>INDEX(Input!$1:$1048576,BU$93,$C668*2+6)</f>
        <v>0.05</v>
      </c>
      <c r="BV668" s="1">
        <f>INDEX(Input!$1:$1048576,BV$93,$C668*2+6)</f>
        <v>5.5E-2</v>
      </c>
      <c r="BW668" s="1">
        <f>INDEX(Input!$1:$1048576,BW$93,$C668*2+6)</f>
        <v>0.06</v>
      </c>
      <c r="BX668" s="127">
        <f>INDEX(Input!$1:$1048576,BX$93,$C668*2+6)</f>
        <v>19985</v>
      </c>
      <c r="BY668" s="20">
        <f>INDEX(Input!$1:$1048576,BY$93,$C668*2+6)</f>
        <v>0.1</v>
      </c>
      <c r="BZ668" s="20">
        <f>INDEX(Input!$1:$1048576,BZ$93,$C668*2+6)</f>
        <v>0.1</v>
      </c>
      <c r="CA668" s="20">
        <f>INDEX(Input!$1:$1048576,CA$93,$C668*2+6)</f>
        <v>0.1</v>
      </c>
      <c r="CB668" s="20">
        <f>INDEX(Input!$1:$1048576,CB$93,$C668*2+6)</f>
        <v>0.1</v>
      </c>
      <c r="CC668" s="20">
        <f>INDEX(Input!$1:$1048576,CC$93,$C668*2+6)</f>
        <v>0.1</v>
      </c>
      <c r="CD668" s="384">
        <f>INDEX(Input!$1:$1048576,CD$93,$C668*2+6)</f>
        <v>0.1</v>
      </c>
      <c r="CE668" s="384">
        <f>INDEX(Input!$1:$1048576,CE$93,$C668*2+6)</f>
        <v>0.1</v>
      </c>
      <c r="CF668" s="384">
        <f>INDEX(Input!$1:$1048576,CF$93,$C668*2+6)</f>
        <v>0.1</v>
      </c>
      <c r="CG668" s="384">
        <f>INDEX(Input!$1:$1048576,CG$93,$C668*2+6)</f>
        <v>0.1</v>
      </c>
      <c r="CH668" s="384">
        <f>INDEX(Input!$1:$1048576,CH$93,$C668*2+6)</f>
        <v>0.1</v>
      </c>
      <c r="CI668" s="304">
        <f t="shared" si="1992"/>
        <v>1267.2644913000609</v>
      </c>
      <c r="CJ668" s="16" t="str">
        <f>INDEX(Input!$1:$1048576,CJ$93,$C668*2+6)</f>
        <v>N</v>
      </c>
      <c r="CK668" s="1" t="str">
        <f t="shared" si="1993"/>
        <v>Market</v>
      </c>
      <c r="CL668" s="1" t="str">
        <f t="shared" si="1994"/>
        <v>Market</v>
      </c>
      <c r="CM668" s="1" t="str">
        <f t="shared" si="1995"/>
        <v>Market</v>
      </c>
      <c r="CN668" s="1" t="str">
        <f t="shared" si="1996"/>
        <v>Market</v>
      </c>
      <c r="CO668" s="1" t="str">
        <f t="shared" si="1997"/>
        <v>Market</v>
      </c>
      <c r="CP668" s="304">
        <f t="shared" si="1998"/>
        <v>500</v>
      </c>
      <c r="CQ668" s="1">
        <f t="shared" si="1999"/>
        <v>0</v>
      </c>
      <c r="CR668" s="1">
        <f t="shared" si="2000"/>
        <v>0</v>
      </c>
      <c r="CS668" s="1">
        <f t="shared" si="2001"/>
        <v>0</v>
      </c>
      <c r="CT668" s="1">
        <f t="shared" si="2002"/>
        <v>1.9E-2</v>
      </c>
      <c r="CU668" s="1">
        <f t="shared" si="2003"/>
        <v>3.9E-2</v>
      </c>
      <c r="CV668" s="304">
        <f t="shared" si="2004"/>
        <v>917.99367635402496</v>
      </c>
      <c r="CW668" s="20" t="s">
        <v>122</v>
      </c>
      <c r="CX668" s="20" t="s">
        <v>122</v>
      </c>
      <c r="CY668" s="20" t="s">
        <v>122</v>
      </c>
      <c r="CZ668" s="20" t="s">
        <v>122</v>
      </c>
      <c r="DA668" s="20" t="s">
        <v>122</v>
      </c>
      <c r="DB668" s="503">
        <f t="shared" si="2005"/>
        <v>0</v>
      </c>
      <c r="DC668" s="127">
        <v>0</v>
      </c>
      <c r="DD668" s="127">
        <v>0</v>
      </c>
      <c r="DE668" s="127">
        <v>0</v>
      </c>
      <c r="DF668" s="127">
        <v>0</v>
      </c>
      <c r="DG668" s="127">
        <v>0</v>
      </c>
      <c r="DH668" s="127">
        <v>0</v>
      </c>
      <c r="DI668" s="127">
        <v>0</v>
      </c>
      <c r="DJ668" s="127">
        <v>0</v>
      </c>
      <c r="DK668" s="127">
        <v>0</v>
      </c>
      <c r="DL668" s="127">
        <v>0</v>
      </c>
      <c r="DM668" s="304">
        <f>INDEX(Input!$1:$1048576,DM$93,$C668*2+6)</f>
        <v>21036.84210526316</v>
      </c>
      <c r="DN668" s="20">
        <v>0</v>
      </c>
      <c r="DO668" s="20">
        <v>0</v>
      </c>
      <c r="DP668" s="20">
        <v>0</v>
      </c>
      <c r="DQ668" s="20">
        <v>0</v>
      </c>
      <c r="DR668" s="20">
        <v>0</v>
      </c>
      <c r="DS668" s="20">
        <f>INDEX(Input!$1:$1048576,DS$93,$C668*2+6)</f>
        <v>0.6</v>
      </c>
      <c r="DT668" s="20">
        <f>INDEX(Input!$1:$1048576,DT$93,$C668*2+6)</f>
        <v>0.55000000000000004</v>
      </c>
      <c r="DU668" s="20">
        <f>INDEX(Input!$1:$1048576,DU$93,$C668*2+6)</f>
        <v>0.52</v>
      </c>
      <c r="DV668" s="20">
        <f>INDEX(Input!$1:$1048576,DV$93,$C668*2+6)</f>
        <v>0.5</v>
      </c>
      <c r="DW668" s="20">
        <f>INDEX(Input!$1:$1048576,DW$93,$C668*2+6)</f>
        <v>0.45</v>
      </c>
      <c r="DX668" s="20"/>
      <c r="DY668" s="7"/>
      <c r="DZ668" s="7"/>
      <c r="EA668" s="7"/>
      <c r="EB668" s="7"/>
      <c r="EC668" s="7"/>
      <c r="ED668" s="7"/>
      <c r="EE668" s="7"/>
      <c r="EF668" s="7"/>
      <c r="EG668" s="7"/>
      <c r="EH668" s="7"/>
      <c r="EI668" s="7"/>
      <c r="EJ668" s="7"/>
      <c r="EK668" s="7"/>
      <c r="EL668" s="7"/>
      <c r="EM668" s="7"/>
      <c r="EN668" s="7"/>
      <c r="EO668" s="7"/>
      <c r="EP668" s="7"/>
      <c r="EQ668" s="7"/>
      <c r="ER668" s="7"/>
      <c r="ES668" s="7"/>
      <c r="ET668" s="7"/>
      <c r="EU668" s="6"/>
      <c r="EV668" s="6"/>
      <c r="EW668" s="6"/>
      <c r="EX668" s="6"/>
      <c r="EY668" s="6"/>
      <c r="EZ668" s="6"/>
      <c r="FA668" s="6"/>
      <c r="FB668" s="6"/>
      <c r="FC668" s="6"/>
      <c r="FD668" s="6"/>
      <c r="FE668" s="6"/>
      <c r="FF668" s="6"/>
      <c r="FG668" s="6"/>
      <c r="FH668" s="6"/>
      <c r="FI668" s="6"/>
      <c r="FJ668" s="6"/>
      <c r="FK668" s="6"/>
      <c r="FL668" s="6"/>
      <c r="FM668" s="6"/>
      <c r="FN668" s="6"/>
      <c r="FO668" s="6"/>
      <c r="FP668" s="6"/>
      <c r="FQ668" s="6"/>
      <c r="FR668" s="6"/>
      <c r="FS668" s="6"/>
      <c r="FT668" s="7"/>
      <c r="FU668" s="7"/>
      <c r="FV668" s="7"/>
      <c r="FW668" s="6"/>
      <c r="FX668" s="6"/>
      <c r="FY668" s="6"/>
      <c r="FZ668" s="6"/>
      <c r="GA668" s="6"/>
      <c r="GB668" s="6"/>
      <c r="GC668" s="7"/>
      <c r="GD668" s="7"/>
      <c r="GE668" s="7"/>
      <c r="GF668" s="7"/>
      <c r="GG668" s="7"/>
      <c r="GH668" s="42"/>
      <c r="GI668" s="6"/>
      <c r="GJ668" s="14"/>
      <c r="GK668" s="14"/>
      <c r="GL668" s="14"/>
      <c r="GM668" s="14"/>
      <c r="GO668" s="5"/>
      <c r="GP668" s="5"/>
      <c r="GQ668" s="5"/>
      <c r="GR668" s="5"/>
      <c r="GS668" s="5"/>
      <c r="GT668" s="5"/>
      <c r="GU668" s="5"/>
      <c r="GV668" s="39"/>
      <c r="GW668" s="5"/>
      <c r="GX668" s="5"/>
      <c r="GY668" s="5"/>
      <c r="GZ668" s="5"/>
      <c r="HA668" s="5"/>
      <c r="HB668" s="39"/>
      <c r="HC668" s="5"/>
      <c r="HD668" s="5"/>
      <c r="HE668" s="5"/>
      <c r="HF668" s="5"/>
      <c r="HG668" s="5"/>
      <c r="HH668" s="39"/>
      <c r="HI668" s="16"/>
      <c r="HJ668" s="19"/>
      <c r="HK668" s="1"/>
      <c r="HL668" s="16"/>
      <c r="HM668" s="639">
        <f t="shared" si="2013"/>
        <v>2.3149872625708352E-2</v>
      </c>
      <c r="HN668" s="639">
        <f t="shared" si="2014"/>
        <v>1.3965040474190958E-3</v>
      </c>
      <c r="HO668" s="639">
        <f t="shared" si="2015"/>
        <v>3.5429561340050734E-3</v>
      </c>
      <c r="HP668" s="644">
        <f t="shared" ref="HP668:ID668" si="2050">HP168+HP268+HP368+HP468+HP568</f>
        <v>58.131545281613988</v>
      </c>
      <c r="HQ668" s="644">
        <f t="shared" si="2050"/>
        <v>1.7136410025278759</v>
      </c>
      <c r="HR668" s="644">
        <f t="shared" si="2050"/>
        <v>86.508523139312345</v>
      </c>
      <c r="HS668" s="644">
        <f t="shared" si="2050"/>
        <v>-60.103731706504</v>
      </c>
      <c r="HT668" s="644">
        <f t="shared" si="2050"/>
        <v>70.595485318132575</v>
      </c>
      <c r="HU668" s="644">
        <f t="shared" si="2050"/>
        <v>29.562997363179065</v>
      </c>
      <c r="HV668" s="644">
        <f t="shared" si="2050"/>
        <v>0</v>
      </c>
      <c r="HW668" s="644">
        <f t="shared" si="2050"/>
        <v>0</v>
      </c>
      <c r="HX668" s="644">
        <f t="shared" si="2050"/>
        <v>0</v>
      </c>
      <c r="HY668" s="644">
        <f t="shared" si="2050"/>
        <v>2396</v>
      </c>
      <c r="HZ668" s="644">
        <f t="shared" si="2050"/>
        <v>3223</v>
      </c>
      <c r="IA668" s="644">
        <f t="shared" si="2050"/>
        <v>830</v>
      </c>
      <c r="IB668" s="644">
        <f t="shared" si="2050"/>
        <v>2394.02781357511</v>
      </c>
      <c r="IC668" s="644">
        <f t="shared" si="2050"/>
        <v>3295.3091263206607</v>
      </c>
      <c r="ID668" s="644">
        <f t="shared" si="2050"/>
        <v>946.07152050249147</v>
      </c>
      <c r="IE668" s="20">
        <f t="shared" si="2017"/>
        <v>0.36079584668573944</v>
      </c>
      <c r="IF668" s="20">
        <f t="shared" si="2018"/>
        <v>0.49662490952710292</v>
      </c>
      <c r="IG668" s="20">
        <f t="shared" si="2019"/>
        <v>0.14257924378715753</v>
      </c>
      <c r="IH668" s="21"/>
      <c r="II668" s="19"/>
      <c r="IJ668" s="19"/>
      <c r="IK668" s="19"/>
      <c r="IL668" s="19">
        <f t="shared" si="2020"/>
        <v>178.59692090779777</v>
      </c>
      <c r="IM668" s="19">
        <f t="shared" si="2021"/>
        <v>175.93423622444652</v>
      </c>
      <c r="IN668" s="19">
        <f t="shared" si="2022"/>
        <v>290.53977196729466</v>
      </c>
      <c r="IO668" s="39"/>
      <c r="IP668" s="39"/>
      <c r="IQ668" s="39"/>
      <c r="IR668" s="39"/>
      <c r="IS668" s="39"/>
      <c r="IT668" s="39"/>
      <c r="IU668" s="39"/>
      <c r="IV668" s="39"/>
      <c r="IW668" s="39"/>
      <c r="IX668" s="19">
        <f t="shared" si="2023"/>
        <v>1554.1790484140233</v>
      </c>
      <c r="IY668" s="19">
        <f t="shared" si="2024"/>
        <v>2412.3001201524512</v>
      </c>
      <c r="IZ668" s="19">
        <f t="shared" si="2025"/>
        <v>3993.0862952928574</v>
      </c>
      <c r="JA668" s="19">
        <f t="shared" ref="JA668:JC668" si="2051">IFERROR((JA168*IB168+JA268*IB268+JA368*IB368+JA468*IB468+JA568*IB568)/IB668,0)</f>
        <v>1732.7759693218211</v>
      </c>
      <c r="JB668" s="19">
        <f t="shared" si="2051"/>
        <v>2588.2343563768977</v>
      </c>
      <c r="JC668" s="19">
        <f t="shared" si="2051"/>
        <v>4283.626067260152</v>
      </c>
      <c r="JD668" s="19">
        <f t="shared" si="2027"/>
        <v>2521.3161913756935</v>
      </c>
      <c r="JE668" s="21"/>
      <c r="JF668" s="1">
        <f t="shared" si="2028"/>
        <v>2.6651855648468406E-2</v>
      </c>
      <c r="JG668" s="15">
        <f t="shared" si="2029"/>
        <v>6449</v>
      </c>
      <c r="JH668" s="1">
        <f t="shared" si="2030"/>
        <v>2.2694016037130438E-2</v>
      </c>
      <c r="JI668" s="1">
        <f t="shared" si="2031"/>
        <v>6.2110018568472076E-3</v>
      </c>
      <c r="JJ668" s="1">
        <f t="shared" si="2032"/>
        <v>0</v>
      </c>
      <c r="JK668" s="1">
        <f t="shared" si="2033"/>
        <v>2.8905017893977647E-2</v>
      </c>
      <c r="JL668" s="15">
        <f t="shared" ref="JL668:JM668" si="2052">JL168+JL268+JL368+JL468+JL568</f>
        <v>186.40846039826184</v>
      </c>
      <c r="JM668" s="15">
        <f t="shared" si="2052"/>
        <v>6635.4084603982619</v>
      </c>
      <c r="JN668" s="21"/>
      <c r="JO668" s="19">
        <f>INDEX(Input!$1:$1048576,JO$93,$C668*2+6)</f>
        <v>5995.5</v>
      </c>
      <c r="JP668" s="19">
        <f>INDEX(Input!$1:$1048576,JP$93,$C668*2+6)</f>
        <v>2296.6050414551746</v>
      </c>
      <c r="JQ668" s="39">
        <f t="shared" ref="JQ668:JQ701" si="2053">JO668-JD668</f>
        <v>3474.1838086243065</v>
      </c>
      <c r="JR668" s="39">
        <f t="shared" ref="JR668:JR701" si="2054">JD668-JP668</f>
        <v>224.71114992051889</v>
      </c>
      <c r="JS668" s="39">
        <f t="shared" ref="JS668:JS701" si="2055">JM668*JD668/1000000</f>
        <v>16.729962787593401</v>
      </c>
      <c r="JT668" s="39">
        <f t="shared" ref="JT668:JT701" si="2056">(JD668*JM668-JP668*JG668)/1000000</f>
        <v>1.9191568752489798</v>
      </c>
      <c r="JU668" s="385">
        <f>(JQ668*JM668-INDEX(Input!$1:$1048576,Input!A$18,$C668*2+6)*JL668*INDEX(Input!$1:$1048576,Input!A$19,$C668*2+6))/1000000</f>
        <v>23.052628636724378</v>
      </c>
      <c r="JV668" s="39">
        <f t="shared" ref="JV668:JV701" si="2057">JU668-(JO668-JP668)*JG668/1000000</f>
        <v>-0.80154495093119849</v>
      </c>
      <c r="JW668" s="1">
        <f t="shared" ref="JW668:JW701" si="2058">JV668/(JU668-JV668)</f>
        <v>-3.3601874656684572E-2</v>
      </c>
      <c r="JX668" s="19">
        <f t="shared" ref="JX668:JX701" si="2059">IF(JL668=0,0,JT668/JL668)*1000000</f>
        <v>10295.43868957825</v>
      </c>
      <c r="JZ668" s="341"/>
      <c r="KA668" s="60"/>
      <c r="KB668" s="469">
        <f t="shared" si="2035"/>
        <v>0</v>
      </c>
      <c r="KI668" s="472"/>
      <c r="KJ668" s="472"/>
      <c r="KK668" s="472"/>
      <c r="KN668" s="26">
        <f t="shared" si="2036"/>
        <v>6002</v>
      </c>
      <c r="KO668" s="794">
        <f t="shared" si="2037"/>
        <v>5.3209702376544321E-3</v>
      </c>
      <c r="KP668" s="795">
        <f t="shared" si="2038"/>
        <v>30.349155844096693</v>
      </c>
      <c r="KQ668" s="795">
        <f t="shared" si="2039"/>
        <v>58.482934770548582</v>
      </c>
      <c r="KR668" s="26">
        <f t="shared" si="2040"/>
        <v>3.0720764761883057</v>
      </c>
      <c r="KS668" s="26">
        <f t="shared" si="2041"/>
        <v>1.5942245050905768</v>
      </c>
      <c r="KT668" s="796">
        <f t="shared" si="2049"/>
        <v>4286.2445668946921</v>
      </c>
      <c r="KU668" s="797">
        <f t="shared" si="2042"/>
        <v>4.3443019907133351</v>
      </c>
    </row>
    <row r="669" spans="1:308" s="26" customFormat="1" ht="15" outlineLevel="1">
      <c r="A669" s="561">
        <f t="shared" si="2009"/>
        <v>6069</v>
      </c>
      <c r="B669" s="561">
        <f t="shared" si="2043"/>
        <v>69</v>
      </c>
      <c r="C669" s="561">
        <f t="shared" si="2044"/>
        <v>6</v>
      </c>
      <c r="D669" s="561" t="str">
        <f t="shared" si="1953"/>
        <v xml:space="preserve">500 CC, 0/1.8/2.8/3.9, 1000 Combo, </v>
      </c>
      <c r="E669" s="475">
        <f>INDEX(Input!$1:$1048576,E$93,$C669*2+MIN($B669,2)+5)
+INDEX(Scenarios!E$121:E$199,MATCH($B669,Scenarios!$B$121:$B$199,0))</f>
        <v>1767.2644913000609</v>
      </c>
      <c r="F669" s="475">
        <f>INDEX(Input!$1:$1048576,F$93,$C669*2+MIN($B669,2)+5)
+INDEX(Scenarios!F$121:F$199,MATCH($B669,Scenarios!$B$121:$B$199,0))</f>
        <v>0</v>
      </c>
      <c r="G669" s="475">
        <f>INDEX(Input!$1:$1048576,G$93,$C669*2+MIN($B669,2)+5)
+INDEX(Scenarios!G$121:G$199,MATCH($B669,Scenarios!$B$121:$B$199,0))</f>
        <v>0</v>
      </c>
      <c r="H669" s="475">
        <f>INDEX(Input!$1:$1048576,H$93,$C669*2+MIN($B669,2)+5)
+INDEX(Scenarios!H$121:H$199,MATCH($B669,Scenarios!$B$121:$B$199,0))</f>
        <v>0</v>
      </c>
      <c r="I669" s="476">
        <f>INDEX(Input!$1:$1048576,I$93,$C669*2+MIN($B669,2)+5)
+INDEX(Scenarios!I$121:I$199,MATCH($B669,Scenarios!$B$121:$B$199,0))</f>
        <v>0.7</v>
      </c>
      <c r="J669" s="476" t="str">
        <f>INDEX(Input!$1:$1048576,J$93,$C669*2+MIN($B669,2)+5)</f>
        <v>Market</v>
      </c>
      <c r="K669" s="476" t="str">
        <f>INDEX(Input!$1:$1048576,K$93,$C669*2+MIN($B669,2)+5)</f>
        <v>Market</v>
      </c>
      <c r="L669" s="476" t="str">
        <f>INDEX(Input!$1:$1048576,L$93,$C669*2+MIN($B669,2)+5)</f>
        <v>Market</v>
      </c>
      <c r="M669" s="476" t="str">
        <f>INDEX(Input!$1:$1048576,M$93,$C669*2+MIN($B669,2)+5)</f>
        <v>Market</v>
      </c>
      <c r="N669" s="476" t="str">
        <f>INDEX(Input!$1:$1048576,N$93,$C669*2+MIN($B669,2)+5)</f>
        <v>Market</v>
      </c>
      <c r="O669" s="476" t="str">
        <f>INDEX(Input!$1:$1048576,O$93,$C669*2+MIN($B669,2)+5)</f>
        <v>Market</v>
      </c>
      <c r="P669" s="476" t="str">
        <f>INDEX(Input!$1:$1048576,P$93,$C669*2+MIN($B669,2)+5)</f>
        <v>N</v>
      </c>
      <c r="Q669" s="477">
        <f>INDEX(Input!$1:$1048576,Q$93,$C669*2+MIN($B669,2)+5)
+INDEX(Scenarios!Q$121:Q$199,MATCH($B669,Scenarios!$B$121:$B$199,0))</f>
        <v>1000</v>
      </c>
      <c r="R669" s="478">
        <f>IFERROR(MAX(0,INDEX(Input!$1:$1048576,R$93,$C669*2+MIN($B669,2)+5)
+INDEX(Scenarios!R$121:R$199,MATCH($B669,Scenarios!$B$121:$B$199,0)),),"Market")</f>
        <v>0</v>
      </c>
      <c r="S669" s="478">
        <f>IFERROR(MAX(0,INDEX(Input!$1:$1048576,S$93,$C669*2+MIN($B669,2)+5)
+INDEX(Scenarios!S$121:S$199,MATCH($B669,Scenarios!$B$121:$B$199,0)),),"Market")</f>
        <v>0</v>
      </c>
      <c r="T669" s="478">
        <f>IFERROR(MAX(0,INDEX(Input!$1:$1048576,T$93,$C669*2+MIN($B669,2)+5)
+INDEX(Scenarios!T$121:T$199,MATCH($B669,Scenarios!$B$121:$B$199,0)),),"Market")</f>
        <v>0</v>
      </c>
      <c r="U669" s="478">
        <f>IFERROR(MAX(0,INDEX(Input!$1:$1048576,U$93,$C669*2+MIN($B669,2)+5)
+INDEX(Scenarios!U$121:U$199,MATCH($B669,Scenarios!$B$121:$B$199,0)),),"Market")</f>
        <v>0</v>
      </c>
      <c r="V669" s="478">
        <f>IFERROR(MAX(0,INDEX(Input!$1:$1048576,V$93,$C669*2+MIN($B669,2)+5)
+INDEX(Scenarios!V$121:V$199,MATCH($B669,Scenarios!$B$121:$B$199,0)),),"Market")</f>
        <v>2.7999999999999997E-2</v>
      </c>
      <c r="W669" s="885">
        <f>IFERROR(MAX(0,INDEX(Input!$1:$1048576,W$93,$C669*2+MIN($B669,2)+5)-0%),"Market")</f>
        <v>3.9E-2</v>
      </c>
      <c r="X669" s="476" t="str">
        <f>INDEX(Input!$1:$1048576,X$93,$C669*2+MIN($B669,2)+5)</f>
        <v>Y</v>
      </c>
      <c r="Y669" s="475">
        <f>INDEX(Input!$1:$1048576,Y$93,$C669*2+MIN($B669,2)+5)
++INDEX(Scenarios!Y$121:Y$199,MATCH($B669,Scenarios!$B$121:$B$199,0))</f>
        <v>737.99367635402496</v>
      </c>
      <c r="Z669" s="477">
        <f>INDEX(Input!$1:$1048576,Z$93,$C669*2+MIN($B669,2)+5)
+INDEX(Scenarios!Z$121:Z$199,MATCH($B669,Scenarios!$B$121:$B$199,0))</f>
        <v>0</v>
      </c>
      <c r="AA669" s="475">
        <f>INDEX(Input!$1:$1048576,AA$93,$C669*2+MIN($B669,2)+5)</f>
        <v>0</v>
      </c>
      <c r="AB669" s="476">
        <f>INDEX(Input!$1:$1048576,AB$93,$C669*2+MIN($B669,2)+5)</f>
        <v>0.27</v>
      </c>
      <c r="AC669" s="475">
        <f>INDEX(Input!$1:$1048576,AC$93,$C669*2+MIN($B669,2)+5)
+INDEX(Scenarios!AC$121:AC$199,MATCH($B669,Scenarios!$B$121:$B$199,0))</f>
        <v>0</v>
      </c>
      <c r="AD669" s="476">
        <f>INDEX(Input!$1:$1048576,AD$93,$C669*2+MIN($B669,2)+5)</f>
        <v>0.27</v>
      </c>
      <c r="AE669" s="475">
        <f>INDEX(Input!$1:$1048576,AE$93,$C669*2+MIN($B669,2)+5)
+INDEX(Scenarios!AE$121:AE$199,MATCH($B669,Scenarios!$B$121:$B$199,0))</f>
        <v>0</v>
      </c>
      <c r="AF669" s="476">
        <f>INDEX(Input!$1:$1048576,AF$93,$C669*2+MIN($B669,2)+5)</f>
        <v>1</v>
      </c>
      <c r="AG669" s="475">
        <f>INDEX(Input!$1:$1048576,AG$93,$C669*2+MIN($B669,2)+5)</f>
        <v>500</v>
      </c>
      <c r="AH669" s="476">
        <f>INDEX(Input!$1:$1048576,AH$93,$C669*2+MIN($B669,2)+5)</f>
        <v>1</v>
      </c>
      <c r="AI669" s="475">
        <f>INDEX(Input!$1:$1048576,AI$93,$C669*2+MIN($B669,2)+5)</f>
        <v>0</v>
      </c>
      <c r="AJ669" s="476">
        <f>INDEX(Input!$1:$1048576,AJ$93,$C669*2+MIN($B669,2)+5)</f>
        <v>0.27</v>
      </c>
      <c r="AK669" s="150">
        <f>ROUND(INDEX(Input!$1:$1048576,AK$93,$C668*2+MIN($B669,1)+5)+(Y669-VLOOKUP($C669*1000+1,$A:$HH,Y$92,FALSE)),0)</f>
        <v>3061</v>
      </c>
      <c r="AL669" s="150">
        <f>ROUND(INDEX(Input!$1:$1048576,AL$93,$C668*2+MIN($B669,1)+5)-(Y669-VLOOKUP($C669*1000+1,$A:$HH,Y$92,FALSE))/36,0)</f>
        <v>3552</v>
      </c>
      <c r="AM669" s="32" t="str">
        <f t="shared" si="2010"/>
        <v>std/std/std/std</v>
      </c>
      <c r="AN669" s="32" t="str">
        <f t="shared" si="2011"/>
        <v>$1000 + 0/0/0/2.8/3.9</v>
      </c>
      <c r="AO669" s="32" t="str">
        <f t="shared" si="2012"/>
        <v>0/0/0/2.8/3.9</v>
      </c>
      <c r="AP669" s="32" t="str">
        <f t="shared" si="1990"/>
        <v>0/1.8/2.8/3.9</v>
      </c>
      <c r="AQ669" s="536">
        <f t="shared" si="1991"/>
        <v>0.37907261611911686</v>
      </c>
      <c r="AR669" s="32"/>
      <c r="AS669" s="302"/>
      <c r="AT669" s="3">
        <f t="shared" si="2045"/>
        <v>69</v>
      </c>
      <c r="AU669" s="41" t="s">
        <v>121</v>
      </c>
      <c r="AV669" s="41" t="s">
        <v>116</v>
      </c>
      <c r="AW669" s="41" t="str">
        <f>INDEX(Input!$1:$1048576,AW$93,$C669*2+6)</f>
        <v>Kia</v>
      </c>
      <c r="AX669" s="41" t="str">
        <f>INDEX(Input!$1:$1048576,AX$93,$C669*2+6)</f>
        <v>National</v>
      </c>
      <c r="AY669" s="41" t="str">
        <f>IF(LEN(D669)=0,"",INDEX(Input!$1:$1048576,AY$93,$C669*2+6))</f>
        <v>Compact SUV (52)</v>
      </c>
      <c r="AZ669" s="41" t="str">
        <f>INDEX(Input!$1:$1048576,AZ$93,$C669*2+6)</f>
        <v>Kia Soul</v>
      </c>
      <c r="BA669" s="3">
        <f>INDEX(Input!$1:$1048576,BA$93,$C669*2+6)</f>
        <v>2020</v>
      </c>
      <c r="BB669" s="128">
        <f>INDEX(Input!$1:$1048576,BB$93,$C669*2+6)</f>
        <v>1</v>
      </c>
      <c r="BC669" s="128">
        <f>INDEX(Input!$1:$1048576,BC$93,$C669*2+6)</f>
        <v>0.7</v>
      </c>
      <c r="BD669" s="1">
        <f>INDEX(Input!$1:$1048576,BD$93,$C669*2+6)</f>
        <v>4.4999999999999998E-2</v>
      </c>
      <c r="BE669" s="1">
        <f>INDEX(Input!$1:$1048576,BE$93,$C669*2+6)</f>
        <v>4.4999999999999998E-2</v>
      </c>
      <c r="BF669" s="1">
        <f>INDEX(Input!$1:$1048576,BF$93,$C669*2+6)</f>
        <v>0.05</v>
      </c>
      <c r="BG669" s="1">
        <f>INDEX(Input!$1:$1048576,BG$93,$C669*2+6)</f>
        <v>5.45E-2</v>
      </c>
      <c r="BH669" s="1">
        <f>INDEX(Input!$1:$1048576,BH$93,$C669*2+6)</f>
        <v>5.45E-2</v>
      </c>
      <c r="BI669" s="1">
        <f>INDEX(Input!$1:$1048576,BI$93,$C669*2+6)</f>
        <v>0.05</v>
      </c>
      <c r="BJ669" s="1">
        <f>INDEX(Input!$1:$1048576,BJ$93,$C669*2+6)</f>
        <v>0.05</v>
      </c>
      <c r="BK669" s="1">
        <f>INDEX(Input!$1:$1048576,BK$93,$C669*2+6)</f>
        <v>0.05</v>
      </c>
      <c r="BL669" s="1">
        <f>INDEX(Input!$1:$1048576,BL$93,$C669*2+6)</f>
        <v>5.5E-2</v>
      </c>
      <c r="BM669" s="1">
        <f>INDEX(Input!$1:$1048576,BM$93,$C669*2+6)</f>
        <v>0.06</v>
      </c>
      <c r="BN669" s="1">
        <f>INDEX(Input!$1:$1048576,BN$93,$C669*2+6)</f>
        <v>4.4999999999999998E-2</v>
      </c>
      <c r="BO669" s="1">
        <f>INDEX(Input!$1:$1048576,BO$93,$C669*2+6)</f>
        <v>4.4999999999999998E-2</v>
      </c>
      <c r="BP669" s="1">
        <f>INDEX(Input!$1:$1048576,BP$93,$C669*2+6)</f>
        <v>0.05</v>
      </c>
      <c r="BQ669" s="1">
        <f>INDEX(Input!$1:$1048576,BQ$93,$C669*2+6)</f>
        <v>5.45E-2</v>
      </c>
      <c r="BR669" s="1">
        <f>INDEX(Input!$1:$1048576,BR$93,$C669*2+6)</f>
        <v>5.45E-2</v>
      </c>
      <c r="BS669" s="1">
        <f>INDEX(Input!$1:$1048576,BS$93,$C669*2+6)</f>
        <v>0.05</v>
      </c>
      <c r="BT669" s="1">
        <f>INDEX(Input!$1:$1048576,BT$93,$C669*2+6)</f>
        <v>0.05</v>
      </c>
      <c r="BU669" s="1">
        <f>INDEX(Input!$1:$1048576,BU$93,$C669*2+6)</f>
        <v>0.05</v>
      </c>
      <c r="BV669" s="1">
        <f>INDEX(Input!$1:$1048576,BV$93,$C669*2+6)</f>
        <v>5.5E-2</v>
      </c>
      <c r="BW669" s="1">
        <f>INDEX(Input!$1:$1048576,BW$93,$C669*2+6)</f>
        <v>0.06</v>
      </c>
      <c r="BX669" s="127">
        <f>INDEX(Input!$1:$1048576,BX$93,$C669*2+6)</f>
        <v>19985</v>
      </c>
      <c r="BY669" s="20">
        <f>INDEX(Input!$1:$1048576,BY$93,$C669*2+6)</f>
        <v>0.1</v>
      </c>
      <c r="BZ669" s="20">
        <f>INDEX(Input!$1:$1048576,BZ$93,$C669*2+6)</f>
        <v>0.1</v>
      </c>
      <c r="CA669" s="20">
        <f>INDEX(Input!$1:$1048576,CA$93,$C669*2+6)</f>
        <v>0.1</v>
      </c>
      <c r="CB669" s="20">
        <f>INDEX(Input!$1:$1048576,CB$93,$C669*2+6)</f>
        <v>0.1</v>
      </c>
      <c r="CC669" s="20">
        <f>INDEX(Input!$1:$1048576,CC$93,$C669*2+6)</f>
        <v>0.1</v>
      </c>
      <c r="CD669" s="384">
        <f>INDEX(Input!$1:$1048576,CD$93,$C669*2+6)</f>
        <v>0.1</v>
      </c>
      <c r="CE669" s="384">
        <f>INDEX(Input!$1:$1048576,CE$93,$C669*2+6)</f>
        <v>0.1</v>
      </c>
      <c r="CF669" s="384">
        <f>INDEX(Input!$1:$1048576,CF$93,$C669*2+6)</f>
        <v>0.1</v>
      </c>
      <c r="CG669" s="384">
        <f>INDEX(Input!$1:$1048576,CG$93,$C669*2+6)</f>
        <v>0.1</v>
      </c>
      <c r="CH669" s="384">
        <f>INDEX(Input!$1:$1048576,CH$93,$C669*2+6)</f>
        <v>0.1</v>
      </c>
      <c r="CI669" s="304">
        <f t="shared" si="1992"/>
        <v>1767.2644913000609</v>
      </c>
      <c r="CJ669" s="16" t="str">
        <f>INDEX(Input!$1:$1048576,CJ$93,$C669*2+6)</f>
        <v>N</v>
      </c>
      <c r="CK669" s="1" t="str">
        <f t="shared" si="1993"/>
        <v>Market</v>
      </c>
      <c r="CL669" s="1" t="str">
        <f t="shared" si="1994"/>
        <v>Market</v>
      </c>
      <c r="CM669" s="1" t="str">
        <f t="shared" si="1995"/>
        <v>Market</v>
      </c>
      <c r="CN669" s="1" t="str">
        <f t="shared" si="1996"/>
        <v>Market</v>
      </c>
      <c r="CO669" s="1" t="str">
        <f t="shared" si="1997"/>
        <v>Market</v>
      </c>
      <c r="CP669" s="304">
        <f t="shared" si="1998"/>
        <v>1500</v>
      </c>
      <c r="CQ669" s="1">
        <f t="shared" si="1999"/>
        <v>0</v>
      </c>
      <c r="CR669" s="1">
        <f t="shared" si="2000"/>
        <v>0</v>
      </c>
      <c r="CS669" s="1">
        <f t="shared" si="2001"/>
        <v>0</v>
      </c>
      <c r="CT669" s="1">
        <f t="shared" si="2002"/>
        <v>2.7999999999999997E-2</v>
      </c>
      <c r="CU669" s="1">
        <f t="shared" si="2003"/>
        <v>3.9E-2</v>
      </c>
      <c r="CV669" s="304">
        <f t="shared" si="2004"/>
        <v>737.99367635402496</v>
      </c>
      <c r="CW669" s="20" t="s">
        <v>122</v>
      </c>
      <c r="CX669" s="20" t="s">
        <v>122</v>
      </c>
      <c r="CY669" s="20" t="s">
        <v>122</v>
      </c>
      <c r="CZ669" s="20" t="s">
        <v>122</v>
      </c>
      <c r="DA669" s="20" t="s">
        <v>122</v>
      </c>
      <c r="DB669" s="503">
        <f t="shared" si="2005"/>
        <v>0</v>
      </c>
      <c r="DC669" s="127">
        <v>0</v>
      </c>
      <c r="DD669" s="127">
        <v>0</v>
      </c>
      <c r="DE669" s="127">
        <v>0</v>
      </c>
      <c r="DF669" s="127">
        <v>0</v>
      </c>
      <c r="DG669" s="127">
        <v>0</v>
      </c>
      <c r="DH669" s="127">
        <v>0</v>
      </c>
      <c r="DI669" s="127">
        <v>0</v>
      </c>
      <c r="DJ669" s="127">
        <v>0</v>
      </c>
      <c r="DK669" s="127">
        <v>0</v>
      </c>
      <c r="DL669" s="127">
        <v>0</v>
      </c>
      <c r="DM669" s="304">
        <f>INDEX(Input!$1:$1048576,DM$93,$C669*2+6)</f>
        <v>21036.84210526316</v>
      </c>
      <c r="DN669" s="20">
        <v>0</v>
      </c>
      <c r="DO669" s="20">
        <v>0</v>
      </c>
      <c r="DP669" s="20">
        <v>0</v>
      </c>
      <c r="DQ669" s="20">
        <v>0</v>
      </c>
      <c r="DR669" s="20">
        <v>0</v>
      </c>
      <c r="DS669" s="20">
        <f>INDEX(Input!$1:$1048576,DS$93,$C669*2+6)</f>
        <v>0.6</v>
      </c>
      <c r="DT669" s="20">
        <f>INDEX(Input!$1:$1048576,DT$93,$C669*2+6)</f>
        <v>0.55000000000000004</v>
      </c>
      <c r="DU669" s="20">
        <f>INDEX(Input!$1:$1048576,DU$93,$C669*2+6)</f>
        <v>0.52</v>
      </c>
      <c r="DV669" s="20">
        <f>INDEX(Input!$1:$1048576,DV$93,$C669*2+6)</f>
        <v>0.5</v>
      </c>
      <c r="DW669" s="20">
        <f>INDEX(Input!$1:$1048576,DW$93,$C669*2+6)</f>
        <v>0.45</v>
      </c>
      <c r="DX669" s="20"/>
      <c r="DY669" s="7"/>
      <c r="DZ669" s="7"/>
      <c r="EA669" s="7"/>
      <c r="EB669" s="7"/>
      <c r="EC669" s="7"/>
      <c r="ED669" s="7"/>
      <c r="EE669" s="7"/>
      <c r="EF669" s="7"/>
      <c r="EG669" s="7"/>
      <c r="EH669" s="7"/>
      <c r="EI669" s="7"/>
      <c r="EJ669" s="7"/>
      <c r="EK669" s="7"/>
      <c r="EL669" s="7"/>
      <c r="EM669" s="7"/>
      <c r="EN669" s="7"/>
      <c r="EO669" s="7"/>
      <c r="EP669" s="7"/>
      <c r="EQ669" s="7"/>
      <c r="ER669" s="7"/>
      <c r="ES669" s="7"/>
      <c r="ET669" s="7"/>
      <c r="EU669" s="6"/>
      <c r="EV669" s="6"/>
      <c r="EW669" s="6"/>
      <c r="EX669" s="6"/>
      <c r="EY669" s="6"/>
      <c r="EZ669" s="6"/>
      <c r="FA669" s="6"/>
      <c r="FB669" s="6"/>
      <c r="FC669" s="6"/>
      <c r="FD669" s="6"/>
      <c r="FE669" s="6"/>
      <c r="FF669" s="6"/>
      <c r="FG669" s="6"/>
      <c r="FH669" s="6"/>
      <c r="FI669" s="6"/>
      <c r="FJ669" s="6"/>
      <c r="FK669" s="6"/>
      <c r="FL669" s="6"/>
      <c r="FM669" s="6"/>
      <c r="FN669" s="6"/>
      <c r="FO669" s="6"/>
      <c r="FP669" s="6"/>
      <c r="FQ669" s="6"/>
      <c r="FR669" s="6"/>
      <c r="FS669" s="6"/>
      <c r="FT669" s="7"/>
      <c r="FU669" s="7"/>
      <c r="FV669" s="7"/>
      <c r="FW669" s="6"/>
      <c r="FX669" s="6"/>
      <c r="FY669" s="6"/>
      <c r="FZ669" s="6"/>
      <c r="GA669" s="6"/>
      <c r="GB669" s="6"/>
      <c r="GC669" s="7"/>
      <c r="GD669" s="7"/>
      <c r="GE669" s="7"/>
      <c r="GF669" s="7"/>
      <c r="GG669" s="7"/>
      <c r="GH669" s="42"/>
      <c r="GI669" s="6"/>
      <c r="GJ669" s="14"/>
      <c r="GK669" s="14"/>
      <c r="GL669" s="14"/>
      <c r="GM669" s="14"/>
      <c r="GO669" s="5"/>
      <c r="GP669" s="5"/>
      <c r="GQ669" s="5"/>
      <c r="GR669" s="5"/>
      <c r="GS669" s="5"/>
      <c r="GT669" s="5"/>
      <c r="GU669" s="5"/>
      <c r="GV669" s="39"/>
      <c r="GW669" s="5"/>
      <c r="GX669" s="5"/>
      <c r="GY669" s="5"/>
      <c r="GZ669" s="5"/>
      <c r="HA669" s="5"/>
      <c r="HB669" s="39"/>
      <c r="HC669" s="5"/>
      <c r="HD669" s="5"/>
      <c r="HE669" s="5"/>
      <c r="HF669" s="5"/>
      <c r="HG669" s="5"/>
      <c r="HH669" s="39"/>
      <c r="HI669" s="16"/>
      <c r="HJ669" s="19"/>
      <c r="HK669" s="1"/>
      <c r="HL669" s="16"/>
      <c r="HM669" s="639">
        <f t="shared" si="2013"/>
        <v>2.3149872625708352E-2</v>
      </c>
      <c r="HN669" s="639">
        <f t="shared" si="2014"/>
        <v>1.3965040474190958E-3</v>
      </c>
      <c r="HO669" s="639">
        <f t="shared" si="2015"/>
        <v>3.5429561340050734E-3</v>
      </c>
      <c r="HP669" s="644">
        <f t="shared" ref="HP669:ID669" si="2060">HP169+HP269+HP369+HP469+HP569</f>
        <v>549.08154465886071</v>
      </c>
      <c r="HQ669" s="644">
        <f t="shared" si="2060"/>
        <v>62.105205524684031</v>
      </c>
      <c r="HR669" s="644">
        <f t="shared" si="2060"/>
        <v>-129.25865404465119</v>
      </c>
      <c r="HS669" s="644">
        <f t="shared" si="2060"/>
        <v>-238.78210699233983</v>
      </c>
      <c r="HT669" s="644">
        <f t="shared" si="2060"/>
        <v>402.61729463773565</v>
      </c>
      <c r="HU669" s="644">
        <f t="shared" si="2060"/>
        <v>44.500600199655572</v>
      </c>
      <c r="HV669" s="644">
        <f t="shared" si="2060"/>
        <v>0</v>
      </c>
      <c r="HW669" s="644">
        <f t="shared" si="2060"/>
        <v>0</v>
      </c>
      <c r="HX669" s="644">
        <f t="shared" si="2060"/>
        <v>0</v>
      </c>
      <c r="HY669" s="644">
        <f t="shared" si="2060"/>
        <v>2396</v>
      </c>
      <c r="HZ669" s="644">
        <f t="shared" si="2060"/>
        <v>3223</v>
      </c>
      <c r="IA669" s="644">
        <f t="shared" si="2060"/>
        <v>830</v>
      </c>
      <c r="IB669" s="644">
        <f t="shared" si="2060"/>
        <v>2706.299437666521</v>
      </c>
      <c r="IC669" s="644">
        <f t="shared" si="2060"/>
        <v>3687.7225001624192</v>
      </c>
      <c r="ID669" s="644">
        <f t="shared" si="2060"/>
        <v>745.24194615500426</v>
      </c>
      <c r="IE669" s="20">
        <f t="shared" si="2017"/>
        <v>0.37907261611911686</v>
      </c>
      <c r="IF669" s="20">
        <f t="shared" si="2018"/>
        <v>0.51654099919676155</v>
      </c>
      <c r="IG669" s="20">
        <f t="shared" si="2019"/>
        <v>0.10438638468412162</v>
      </c>
      <c r="IH669" s="21"/>
      <c r="II669" s="19"/>
      <c r="IJ669" s="19"/>
      <c r="IK669" s="19"/>
      <c r="IL669" s="19">
        <f t="shared" si="2020"/>
        <v>670.2608457405936</v>
      </c>
      <c r="IM669" s="19">
        <f t="shared" si="2021"/>
        <v>963.18281666284747</v>
      </c>
      <c r="IN669" s="19">
        <f t="shared" si="2022"/>
        <v>114.68462511876533</v>
      </c>
      <c r="IO669" s="39"/>
      <c r="IP669" s="39"/>
      <c r="IQ669" s="39"/>
      <c r="IR669" s="39"/>
      <c r="IS669" s="39"/>
      <c r="IT669" s="39"/>
      <c r="IU669" s="39"/>
      <c r="IV669" s="39"/>
      <c r="IW669" s="39"/>
      <c r="IX669" s="19">
        <f t="shared" si="2023"/>
        <v>1554.1790484140233</v>
      </c>
      <c r="IY669" s="19">
        <f t="shared" si="2024"/>
        <v>2412.3001201524512</v>
      </c>
      <c r="IZ669" s="19">
        <f t="shared" si="2025"/>
        <v>3993.0862952928574</v>
      </c>
      <c r="JA669" s="19">
        <f t="shared" ref="JA669:JC669" si="2061">IFERROR((JA169*IB169+JA269*IB269+JA369*IB369+JA469*IB469+JA569*IB569)/IB669,0)</f>
        <v>2224.4398941546169</v>
      </c>
      <c r="JB669" s="19">
        <f t="shared" si="2061"/>
        <v>3375.4829368152987</v>
      </c>
      <c r="JC669" s="19">
        <f t="shared" si="2061"/>
        <v>4107.7709204116227</v>
      </c>
      <c r="JD669" s="19">
        <f t="shared" si="2027"/>
        <v>3015.5949345234517</v>
      </c>
      <c r="JE669" s="21"/>
      <c r="JF669" s="1">
        <f t="shared" si="2028"/>
        <v>2.6651855648468406E-2</v>
      </c>
      <c r="JG669" s="15">
        <f t="shared" si="2029"/>
        <v>6449</v>
      </c>
      <c r="JH669" s="1">
        <f t="shared" si="2030"/>
        <v>7.4729120195207568E-2</v>
      </c>
      <c r="JI669" s="1">
        <f t="shared" si="2031"/>
        <v>3.2305130693913997E-2</v>
      </c>
      <c r="JJ669" s="1">
        <f t="shared" si="2032"/>
        <v>0</v>
      </c>
      <c r="JK669" s="1">
        <f t="shared" si="2033"/>
        <v>0.10703425088912154</v>
      </c>
      <c r="JL669" s="15">
        <f t="shared" ref="JL669:JM669" si="2062">JL169+JL269+JL369+JL469+JL569</f>
        <v>690.26388398394477</v>
      </c>
      <c r="JM669" s="15">
        <f t="shared" si="2062"/>
        <v>7139.2638839839447</v>
      </c>
      <c r="JN669" s="21"/>
      <c r="JO669" s="19">
        <f>INDEX(Input!$1:$1048576,JO$93,$C669*2+6)</f>
        <v>5995.5</v>
      </c>
      <c r="JP669" s="19">
        <f>INDEX(Input!$1:$1048576,JP$93,$C669*2+6)</f>
        <v>2296.6050414551746</v>
      </c>
      <c r="JQ669" s="39">
        <f t="shared" si="2053"/>
        <v>2979.9050654765483</v>
      </c>
      <c r="JR669" s="39">
        <f t="shared" si="2054"/>
        <v>718.98989306827707</v>
      </c>
      <c r="JS669" s="39">
        <f t="shared" si="2055"/>
        <v>21.529128004768207</v>
      </c>
      <c r="JT669" s="39">
        <f t="shared" si="2056"/>
        <v>6.7183220924237874</v>
      </c>
      <c r="JU669" s="385">
        <f>(JQ669*JM669-INDEX(Input!$1:$1048576,Input!A$18,$C669*2+6)*JL669*INDEX(Input!$1:$1048576,Input!A$19,$C669*2+6))/1000000</f>
        <v>21.274328611657534</v>
      </c>
      <c r="JV669" s="39">
        <f t="shared" si="2057"/>
        <v>-2.5798449759980429</v>
      </c>
      <c r="JW669" s="1">
        <f t="shared" si="2058"/>
        <v>-0.10815067503881587</v>
      </c>
      <c r="JX669" s="19">
        <f t="shared" si="2059"/>
        <v>9732.9763997619975</v>
      </c>
      <c r="JZ669" s="341"/>
      <c r="KA669" s="60"/>
      <c r="KB669" s="469">
        <f t="shared" si="2035"/>
        <v>0</v>
      </c>
      <c r="KI669" s="472"/>
      <c r="KJ669" s="472"/>
      <c r="KK669" s="472"/>
      <c r="KN669" s="26">
        <f t="shared" si="2036"/>
        <v>6002</v>
      </c>
      <c r="KO669" s="794">
        <f t="shared" si="2037"/>
        <v>8.1659363920846051E-2</v>
      </c>
      <c r="KP669" s="795">
        <f t="shared" si="2038"/>
        <v>597.20771535328356</v>
      </c>
      <c r="KQ669" s="795">
        <f t="shared" si="2039"/>
        <v>552.76167791830676</v>
      </c>
      <c r="KR669" s="26">
        <f t="shared" si="2040"/>
        <v>2.3958983683494353</v>
      </c>
      <c r="KS669" s="26">
        <f t="shared" si="2041"/>
        <v>2.5885459284536236</v>
      </c>
      <c r="KT669" s="796">
        <f t="shared" si="2049"/>
        <v>4286.2445668946921</v>
      </c>
      <c r="KU669" s="797">
        <f t="shared" si="2042"/>
        <v>4.4112909725004688</v>
      </c>
    </row>
    <row r="670" spans="1:308" s="26" customFormat="1" ht="15" outlineLevel="1">
      <c r="A670" s="561">
        <f t="shared" si="2009"/>
        <v>6070</v>
      </c>
      <c r="B670" s="561">
        <f t="shared" si="2043"/>
        <v>70</v>
      </c>
      <c r="C670" s="561">
        <f t="shared" si="2044"/>
        <v>6</v>
      </c>
      <c r="D670" s="561" t="str">
        <f t="shared" si="1953"/>
        <v xml:space="preserve">750 CC, 0/1.8/2.8/3.9, 1500 Combo, </v>
      </c>
      <c r="E670" s="475">
        <f>INDEX(Input!$1:$1048576,E$93,$C670*2+MIN($B670,2)+5)
+INDEX(Scenarios!E$121:E$199,MATCH($B670,Scenarios!$B$121:$B$199,0))</f>
        <v>2017.2644913000609</v>
      </c>
      <c r="F670" s="475">
        <f>INDEX(Input!$1:$1048576,F$93,$C670*2+MIN($B670,2)+5)
+INDEX(Scenarios!F$121:F$199,MATCH($B670,Scenarios!$B$121:$B$199,0))</f>
        <v>0</v>
      </c>
      <c r="G670" s="475">
        <f>INDEX(Input!$1:$1048576,G$93,$C670*2+MIN($B670,2)+5)
+INDEX(Scenarios!G$121:G$199,MATCH($B670,Scenarios!$B$121:$B$199,0))</f>
        <v>0</v>
      </c>
      <c r="H670" s="475">
        <f>INDEX(Input!$1:$1048576,H$93,$C670*2+MIN($B670,2)+5)
+INDEX(Scenarios!H$121:H$199,MATCH($B670,Scenarios!$B$121:$B$199,0))</f>
        <v>0</v>
      </c>
      <c r="I670" s="476">
        <f>INDEX(Input!$1:$1048576,I$93,$C670*2+MIN($B670,2)+5)
+INDEX(Scenarios!I$121:I$199,MATCH($B670,Scenarios!$B$121:$B$199,0))</f>
        <v>0.7</v>
      </c>
      <c r="J670" s="476" t="str">
        <f>INDEX(Input!$1:$1048576,J$93,$C670*2+MIN($B670,2)+5)</f>
        <v>Market</v>
      </c>
      <c r="K670" s="476" t="str">
        <f>INDEX(Input!$1:$1048576,K$93,$C670*2+MIN($B670,2)+5)</f>
        <v>Market</v>
      </c>
      <c r="L670" s="476" t="str">
        <f>INDEX(Input!$1:$1048576,L$93,$C670*2+MIN($B670,2)+5)</f>
        <v>Market</v>
      </c>
      <c r="M670" s="476" t="str">
        <f>INDEX(Input!$1:$1048576,M$93,$C670*2+MIN($B670,2)+5)</f>
        <v>Market</v>
      </c>
      <c r="N670" s="476" t="str">
        <f>INDEX(Input!$1:$1048576,N$93,$C670*2+MIN($B670,2)+5)</f>
        <v>Market</v>
      </c>
      <c r="O670" s="476" t="str">
        <f>INDEX(Input!$1:$1048576,O$93,$C670*2+MIN($B670,2)+5)</f>
        <v>Market</v>
      </c>
      <c r="P670" s="476" t="str">
        <f>INDEX(Input!$1:$1048576,P$93,$C670*2+MIN($B670,2)+5)</f>
        <v>N</v>
      </c>
      <c r="Q670" s="477">
        <f>INDEX(Input!$1:$1048576,Q$93,$C670*2+MIN($B670,2)+5)
+INDEX(Scenarios!Q$121:Q$199,MATCH($B670,Scenarios!$B$121:$B$199,0))</f>
        <v>1500</v>
      </c>
      <c r="R670" s="478">
        <f>IFERROR(MAX(0,INDEX(Input!$1:$1048576,R$93,$C670*2+MIN($B670,2)+5)
+INDEX(Scenarios!R$121:R$199,MATCH($B670,Scenarios!$B$121:$B$199,0)),),"Market")</f>
        <v>0</v>
      </c>
      <c r="S670" s="478">
        <f>IFERROR(MAX(0,INDEX(Input!$1:$1048576,S$93,$C670*2+MIN($B670,2)+5)
+INDEX(Scenarios!S$121:S$199,MATCH($B670,Scenarios!$B$121:$B$199,0)),),"Market")</f>
        <v>0</v>
      </c>
      <c r="T670" s="478">
        <f>IFERROR(MAX(0,INDEX(Input!$1:$1048576,T$93,$C670*2+MIN($B670,2)+5)
+INDEX(Scenarios!T$121:T$199,MATCH($B670,Scenarios!$B$121:$B$199,0)),),"Market")</f>
        <v>0</v>
      </c>
      <c r="U670" s="478">
        <f>IFERROR(MAX(0,INDEX(Input!$1:$1048576,U$93,$C670*2+MIN($B670,2)+5)
+INDEX(Scenarios!U$121:U$199,MATCH($B670,Scenarios!$B$121:$B$199,0)),),"Market")</f>
        <v>0</v>
      </c>
      <c r="V670" s="478">
        <f>IFERROR(MAX(0,INDEX(Input!$1:$1048576,V$93,$C670*2+MIN($B670,2)+5)
+INDEX(Scenarios!V$121:V$199,MATCH($B670,Scenarios!$B$121:$B$199,0)),),"Market")</f>
        <v>2.7999999999999997E-2</v>
      </c>
      <c r="W670" s="885">
        <f>IFERROR(MAX(0,INDEX(Input!$1:$1048576,W$93,$C670*2+MIN($B670,2)+5)-0%),"Market")</f>
        <v>3.9E-2</v>
      </c>
      <c r="X670" s="476" t="str">
        <f>INDEX(Input!$1:$1048576,X$93,$C670*2+MIN($B670,2)+5)</f>
        <v>Y</v>
      </c>
      <c r="Y670" s="475">
        <f>INDEX(Input!$1:$1048576,Y$93,$C670*2+MIN($B670,2)+5)
++INDEX(Scenarios!Y$121:Y$199,MATCH($B670,Scenarios!$B$121:$B$199,0))</f>
        <v>737.99367635402496</v>
      </c>
      <c r="Z670" s="477">
        <f>INDEX(Input!$1:$1048576,Z$93,$C670*2+MIN($B670,2)+5)
+INDEX(Scenarios!Z$121:Z$199,MATCH($B670,Scenarios!$B$121:$B$199,0))</f>
        <v>0</v>
      </c>
      <c r="AA670" s="475">
        <f>INDEX(Input!$1:$1048576,AA$93,$C670*2+MIN($B670,2)+5)</f>
        <v>0</v>
      </c>
      <c r="AB670" s="476">
        <f>INDEX(Input!$1:$1048576,AB$93,$C670*2+MIN($B670,2)+5)</f>
        <v>0.27</v>
      </c>
      <c r="AC670" s="475">
        <f>INDEX(Input!$1:$1048576,AC$93,$C670*2+MIN($B670,2)+5)
+INDEX(Scenarios!AC$121:AC$199,MATCH($B670,Scenarios!$B$121:$B$199,0))</f>
        <v>0</v>
      </c>
      <c r="AD670" s="476">
        <f>INDEX(Input!$1:$1048576,AD$93,$C670*2+MIN($B670,2)+5)</f>
        <v>0.27</v>
      </c>
      <c r="AE670" s="475">
        <f>INDEX(Input!$1:$1048576,AE$93,$C670*2+MIN($B670,2)+5)
+INDEX(Scenarios!AE$121:AE$199,MATCH($B670,Scenarios!$B$121:$B$199,0))</f>
        <v>0</v>
      </c>
      <c r="AF670" s="476">
        <f>INDEX(Input!$1:$1048576,AF$93,$C670*2+MIN($B670,2)+5)</f>
        <v>1</v>
      </c>
      <c r="AG670" s="475">
        <f>INDEX(Input!$1:$1048576,AG$93,$C670*2+MIN($B670,2)+5)</f>
        <v>500</v>
      </c>
      <c r="AH670" s="476">
        <f>INDEX(Input!$1:$1048576,AH$93,$C670*2+MIN($B670,2)+5)</f>
        <v>1</v>
      </c>
      <c r="AI670" s="475">
        <f>INDEX(Input!$1:$1048576,AI$93,$C670*2+MIN($B670,2)+5)</f>
        <v>0</v>
      </c>
      <c r="AJ670" s="476">
        <f>INDEX(Input!$1:$1048576,AJ$93,$C670*2+MIN($B670,2)+5)</f>
        <v>0.27</v>
      </c>
      <c r="AK670" s="150">
        <f>ROUND(INDEX(Input!$1:$1048576,AK$93,$C669*2+MIN($B670,1)+5)+(Y670-VLOOKUP($C670*1000+1,$A:$HH,Y$92,FALSE)),0)</f>
        <v>3061</v>
      </c>
      <c r="AL670" s="150">
        <f>ROUND(INDEX(Input!$1:$1048576,AL$93,$C669*2+MIN($B670,1)+5)-(Y670-VLOOKUP($C670*1000+1,$A:$HH,Y$92,FALSE))/36,0)</f>
        <v>3552</v>
      </c>
      <c r="AM670" s="32" t="str">
        <f t="shared" si="2010"/>
        <v>std/std/std/std</v>
      </c>
      <c r="AN670" s="32" t="str">
        <f t="shared" si="2011"/>
        <v>$1500 + 0/0/0/2.8/3.9</v>
      </c>
      <c r="AO670" s="32" t="str">
        <f t="shared" si="2012"/>
        <v>0/0/0/2.8/3.9</v>
      </c>
      <c r="AP670" s="32" t="str">
        <f t="shared" si="1990"/>
        <v>0/1.8/2.8/3.9</v>
      </c>
      <c r="AQ670" s="536">
        <f t="shared" si="1991"/>
        <v>0.37579157225778104</v>
      </c>
      <c r="AR670" s="32"/>
      <c r="AS670" s="302"/>
      <c r="AT670" s="3">
        <f t="shared" si="2045"/>
        <v>70</v>
      </c>
      <c r="AU670" s="41" t="s">
        <v>121</v>
      </c>
      <c r="AV670" s="41" t="s">
        <v>116</v>
      </c>
      <c r="AW670" s="41" t="str">
        <f>INDEX(Input!$1:$1048576,AW$93,$C670*2+6)</f>
        <v>Kia</v>
      </c>
      <c r="AX670" s="41" t="str">
        <f>INDEX(Input!$1:$1048576,AX$93,$C670*2+6)</f>
        <v>National</v>
      </c>
      <c r="AY670" s="41" t="str">
        <f>IF(LEN(D670)=0,"",INDEX(Input!$1:$1048576,AY$93,$C670*2+6))</f>
        <v>Compact SUV (52)</v>
      </c>
      <c r="AZ670" s="41" t="str">
        <f>INDEX(Input!$1:$1048576,AZ$93,$C670*2+6)</f>
        <v>Kia Soul</v>
      </c>
      <c r="BA670" s="3">
        <f>INDEX(Input!$1:$1048576,BA$93,$C670*2+6)</f>
        <v>2020</v>
      </c>
      <c r="BB670" s="128">
        <f>INDEX(Input!$1:$1048576,BB$93,$C670*2+6)</f>
        <v>1</v>
      </c>
      <c r="BC670" s="128">
        <f>INDEX(Input!$1:$1048576,BC$93,$C670*2+6)</f>
        <v>0.7</v>
      </c>
      <c r="BD670" s="1">
        <f>INDEX(Input!$1:$1048576,BD$93,$C670*2+6)</f>
        <v>4.4999999999999998E-2</v>
      </c>
      <c r="BE670" s="1">
        <f>INDEX(Input!$1:$1048576,BE$93,$C670*2+6)</f>
        <v>4.4999999999999998E-2</v>
      </c>
      <c r="BF670" s="1">
        <f>INDEX(Input!$1:$1048576,BF$93,$C670*2+6)</f>
        <v>0.05</v>
      </c>
      <c r="BG670" s="1">
        <f>INDEX(Input!$1:$1048576,BG$93,$C670*2+6)</f>
        <v>5.45E-2</v>
      </c>
      <c r="BH670" s="1">
        <f>INDEX(Input!$1:$1048576,BH$93,$C670*2+6)</f>
        <v>5.45E-2</v>
      </c>
      <c r="BI670" s="1">
        <f>INDEX(Input!$1:$1048576,BI$93,$C670*2+6)</f>
        <v>0.05</v>
      </c>
      <c r="BJ670" s="1">
        <f>INDEX(Input!$1:$1048576,BJ$93,$C670*2+6)</f>
        <v>0.05</v>
      </c>
      <c r="BK670" s="1">
        <f>INDEX(Input!$1:$1048576,BK$93,$C670*2+6)</f>
        <v>0.05</v>
      </c>
      <c r="BL670" s="1">
        <f>INDEX(Input!$1:$1048576,BL$93,$C670*2+6)</f>
        <v>5.5E-2</v>
      </c>
      <c r="BM670" s="1">
        <f>INDEX(Input!$1:$1048576,BM$93,$C670*2+6)</f>
        <v>0.06</v>
      </c>
      <c r="BN670" s="1">
        <f>INDEX(Input!$1:$1048576,BN$93,$C670*2+6)</f>
        <v>4.4999999999999998E-2</v>
      </c>
      <c r="BO670" s="1">
        <f>INDEX(Input!$1:$1048576,BO$93,$C670*2+6)</f>
        <v>4.4999999999999998E-2</v>
      </c>
      <c r="BP670" s="1">
        <f>INDEX(Input!$1:$1048576,BP$93,$C670*2+6)</f>
        <v>0.05</v>
      </c>
      <c r="BQ670" s="1">
        <f>INDEX(Input!$1:$1048576,BQ$93,$C670*2+6)</f>
        <v>5.45E-2</v>
      </c>
      <c r="BR670" s="1">
        <f>INDEX(Input!$1:$1048576,BR$93,$C670*2+6)</f>
        <v>5.45E-2</v>
      </c>
      <c r="BS670" s="1">
        <f>INDEX(Input!$1:$1048576,BS$93,$C670*2+6)</f>
        <v>0.05</v>
      </c>
      <c r="BT670" s="1">
        <f>INDEX(Input!$1:$1048576,BT$93,$C670*2+6)</f>
        <v>0.05</v>
      </c>
      <c r="BU670" s="1">
        <f>INDEX(Input!$1:$1048576,BU$93,$C670*2+6)</f>
        <v>0.05</v>
      </c>
      <c r="BV670" s="1">
        <f>INDEX(Input!$1:$1048576,BV$93,$C670*2+6)</f>
        <v>5.5E-2</v>
      </c>
      <c r="BW670" s="1">
        <f>INDEX(Input!$1:$1048576,BW$93,$C670*2+6)</f>
        <v>0.06</v>
      </c>
      <c r="BX670" s="127">
        <f>INDEX(Input!$1:$1048576,BX$93,$C670*2+6)</f>
        <v>19985</v>
      </c>
      <c r="BY670" s="20">
        <f>INDEX(Input!$1:$1048576,BY$93,$C670*2+6)</f>
        <v>0.1</v>
      </c>
      <c r="BZ670" s="20">
        <f>INDEX(Input!$1:$1048576,BZ$93,$C670*2+6)</f>
        <v>0.1</v>
      </c>
      <c r="CA670" s="20">
        <f>INDEX(Input!$1:$1048576,CA$93,$C670*2+6)</f>
        <v>0.1</v>
      </c>
      <c r="CB670" s="20">
        <f>INDEX(Input!$1:$1048576,CB$93,$C670*2+6)</f>
        <v>0.1</v>
      </c>
      <c r="CC670" s="20">
        <f>INDEX(Input!$1:$1048576,CC$93,$C670*2+6)</f>
        <v>0.1</v>
      </c>
      <c r="CD670" s="384">
        <f>INDEX(Input!$1:$1048576,CD$93,$C670*2+6)</f>
        <v>0.1</v>
      </c>
      <c r="CE670" s="384">
        <f>INDEX(Input!$1:$1048576,CE$93,$C670*2+6)</f>
        <v>0.1</v>
      </c>
      <c r="CF670" s="384">
        <f>INDEX(Input!$1:$1048576,CF$93,$C670*2+6)</f>
        <v>0.1</v>
      </c>
      <c r="CG670" s="384">
        <f>INDEX(Input!$1:$1048576,CG$93,$C670*2+6)</f>
        <v>0.1</v>
      </c>
      <c r="CH670" s="384">
        <f>INDEX(Input!$1:$1048576,CH$93,$C670*2+6)</f>
        <v>0.1</v>
      </c>
      <c r="CI670" s="304">
        <f t="shared" si="1992"/>
        <v>2017.2644913000609</v>
      </c>
      <c r="CJ670" s="16" t="str">
        <f>INDEX(Input!$1:$1048576,CJ$93,$C670*2+6)</f>
        <v>N</v>
      </c>
      <c r="CK670" s="1" t="str">
        <f t="shared" si="1993"/>
        <v>Market</v>
      </c>
      <c r="CL670" s="1" t="str">
        <f t="shared" si="1994"/>
        <v>Market</v>
      </c>
      <c r="CM670" s="1" t="str">
        <f t="shared" si="1995"/>
        <v>Market</v>
      </c>
      <c r="CN670" s="1" t="str">
        <f t="shared" si="1996"/>
        <v>Market</v>
      </c>
      <c r="CO670" s="1" t="str">
        <f t="shared" si="1997"/>
        <v>Market</v>
      </c>
      <c r="CP670" s="304">
        <f t="shared" si="1998"/>
        <v>2000</v>
      </c>
      <c r="CQ670" s="1">
        <f t="shared" si="1999"/>
        <v>0</v>
      </c>
      <c r="CR670" s="1">
        <f t="shared" si="2000"/>
        <v>0</v>
      </c>
      <c r="CS670" s="1">
        <f t="shared" si="2001"/>
        <v>0</v>
      </c>
      <c r="CT670" s="1">
        <f t="shared" si="2002"/>
        <v>2.7999999999999997E-2</v>
      </c>
      <c r="CU670" s="1">
        <f t="shared" si="2003"/>
        <v>3.9E-2</v>
      </c>
      <c r="CV670" s="304">
        <f t="shared" si="2004"/>
        <v>737.99367635402496</v>
      </c>
      <c r="CW670" s="20" t="s">
        <v>122</v>
      </c>
      <c r="CX670" s="20" t="s">
        <v>122</v>
      </c>
      <c r="CY670" s="20" t="s">
        <v>122</v>
      </c>
      <c r="CZ670" s="20" t="s">
        <v>122</v>
      </c>
      <c r="DA670" s="20" t="s">
        <v>122</v>
      </c>
      <c r="DB670" s="503">
        <f t="shared" si="2005"/>
        <v>0</v>
      </c>
      <c r="DC670" s="127">
        <v>0</v>
      </c>
      <c r="DD670" s="127">
        <v>0</v>
      </c>
      <c r="DE670" s="127">
        <v>0</v>
      </c>
      <c r="DF670" s="127">
        <v>0</v>
      </c>
      <c r="DG670" s="127">
        <v>0</v>
      </c>
      <c r="DH670" s="127">
        <v>0</v>
      </c>
      <c r="DI670" s="127">
        <v>0</v>
      </c>
      <c r="DJ670" s="127">
        <v>0</v>
      </c>
      <c r="DK670" s="127">
        <v>0</v>
      </c>
      <c r="DL670" s="127">
        <v>0</v>
      </c>
      <c r="DM670" s="304">
        <f>INDEX(Input!$1:$1048576,DM$93,$C670*2+6)</f>
        <v>21036.84210526316</v>
      </c>
      <c r="DN670" s="20">
        <v>0</v>
      </c>
      <c r="DO670" s="20">
        <v>0</v>
      </c>
      <c r="DP670" s="20">
        <v>0</v>
      </c>
      <c r="DQ670" s="20">
        <v>0</v>
      </c>
      <c r="DR670" s="20">
        <v>0</v>
      </c>
      <c r="DS670" s="20">
        <f>INDEX(Input!$1:$1048576,DS$93,$C670*2+6)</f>
        <v>0.6</v>
      </c>
      <c r="DT670" s="20">
        <f>INDEX(Input!$1:$1048576,DT$93,$C670*2+6)</f>
        <v>0.55000000000000004</v>
      </c>
      <c r="DU670" s="20">
        <f>INDEX(Input!$1:$1048576,DU$93,$C670*2+6)</f>
        <v>0.52</v>
      </c>
      <c r="DV670" s="20">
        <f>INDEX(Input!$1:$1048576,DV$93,$C670*2+6)</f>
        <v>0.5</v>
      </c>
      <c r="DW670" s="20">
        <f>INDEX(Input!$1:$1048576,DW$93,$C670*2+6)</f>
        <v>0.45</v>
      </c>
      <c r="DX670" s="20"/>
      <c r="DY670" s="7"/>
      <c r="DZ670" s="7"/>
      <c r="EA670" s="7"/>
      <c r="EB670" s="7"/>
      <c r="EC670" s="7"/>
      <c r="ED670" s="7"/>
      <c r="EE670" s="7"/>
      <c r="EF670" s="7"/>
      <c r="EG670" s="7"/>
      <c r="EH670" s="7"/>
      <c r="EI670" s="7"/>
      <c r="EJ670" s="7"/>
      <c r="EK670" s="7"/>
      <c r="EL670" s="7"/>
      <c r="EM670" s="7"/>
      <c r="EN670" s="7"/>
      <c r="EO670" s="7"/>
      <c r="EP670" s="7"/>
      <c r="EQ670" s="7"/>
      <c r="ER670" s="7"/>
      <c r="ES670" s="7"/>
      <c r="ET670" s="7"/>
      <c r="EU670" s="6"/>
      <c r="EV670" s="6"/>
      <c r="EW670" s="6"/>
      <c r="EX670" s="6"/>
      <c r="EY670" s="6"/>
      <c r="EZ670" s="6"/>
      <c r="FA670" s="6"/>
      <c r="FB670" s="6"/>
      <c r="FC670" s="6"/>
      <c r="FD670" s="6"/>
      <c r="FE670" s="6"/>
      <c r="FF670" s="6"/>
      <c r="FG670" s="6"/>
      <c r="FH670" s="6"/>
      <c r="FI670" s="6"/>
      <c r="FJ670" s="6"/>
      <c r="FK670" s="6"/>
      <c r="FL670" s="6"/>
      <c r="FM670" s="6"/>
      <c r="FN670" s="6"/>
      <c r="FO670" s="6"/>
      <c r="FP670" s="6"/>
      <c r="FQ670" s="6"/>
      <c r="FR670" s="6"/>
      <c r="FS670" s="6"/>
      <c r="FT670" s="7"/>
      <c r="FU670" s="7"/>
      <c r="FV670" s="7"/>
      <c r="FW670" s="6"/>
      <c r="FX670" s="6"/>
      <c r="FY670" s="6"/>
      <c r="FZ670" s="6"/>
      <c r="GA670" s="6"/>
      <c r="GB670" s="6"/>
      <c r="GC670" s="7"/>
      <c r="GD670" s="7"/>
      <c r="GE670" s="7"/>
      <c r="GF670" s="7"/>
      <c r="GG670" s="7"/>
      <c r="GH670" s="42"/>
      <c r="GI670" s="6"/>
      <c r="GJ670" s="14"/>
      <c r="GK670" s="14"/>
      <c r="GL670" s="14"/>
      <c r="GM670" s="14"/>
      <c r="GO670" s="5"/>
      <c r="GP670" s="5"/>
      <c r="GQ670" s="5"/>
      <c r="GR670" s="5"/>
      <c r="GS670" s="5"/>
      <c r="GT670" s="5"/>
      <c r="GU670" s="5"/>
      <c r="GV670" s="39"/>
      <c r="GW670" s="5"/>
      <c r="GX670" s="5"/>
      <c r="GY670" s="5"/>
      <c r="GZ670" s="5"/>
      <c r="HA670" s="5"/>
      <c r="HB670" s="39"/>
      <c r="HC670" s="5"/>
      <c r="HD670" s="5"/>
      <c r="HE670" s="5"/>
      <c r="HF670" s="5"/>
      <c r="HG670" s="5"/>
      <c r="HH670" s="39"/>
      <c r="HI670" s="16"/>
      <c r="HJ670" s="19"/>
      <c r="HK670" s="1"/>
      <c r="HL670" s="16"/>
      <c r="HM670" s="639">
        <f t="shared" si="2013"/>
        <v>2.3149872625708352E-2</v>
      </c>
      <c r="HN670" s="639">
        <f t="shared" si="2014"/>
        <v>1.3965040474190958E-3</v>
      </c>
      <c r="HO670" s="639">
        <f t="shared" si="2015"/>
        <v>3.5429561340050734E-3</v>
      </c>
      <c r="HP670" s="644">
        <f t="shared" ref="HP670:ID670" si="2063">HP170+HP270+HP370+HP470+HP570</f>
        <v>742.3865220168783</v>
      </c>
      <c r="HQ670" s="644">
        <f t="shared" si="2063"/>
        <v>133.61240951101578</v>
      </c>
      <c r="HR670" s="644">
        <f t="shared" si="2063"/>
        <v>-194.75201992676486</v>
      </c>
      <c r="HS670" s="644">
        <f t="shared" si="2063"/>
        <v>-328.49433177026833</v>
      </c>
      <c r="HT670" s="644">
        <f t="shared" si="2063"/>
        <v>616.28927558787757</v>
      </c>
      <c r="HU670" s="644">
        <f t="shared" si="2063"/>
        <v>59.220535977080281</v>
      </c>
      <c r="HV670" s="644">
        <f t="shared" si="2063"/>
        <v>0</v>
      </c>
      <c r="HW670" s="644">
        <f t="shared" si="2063"/>
        <v>0</v>
      </c>
      <c r="HX670" s="644">
        <f t="shared" si="2063"/>
        <v>0</v>
      </c>
      <c r="HY670" s="644">
        <f t="shared" si="2063"/>
        <v>2396</v>
      </c>
      <c r="HZ670" s="644">
        <f t="shared" si="2063"/>
        <v>3223</v>
      </c>
      <c r="IA670" s="644">
        <f t="shared" si="2063"/>
        <v>830</v>
      </c>
      <c r="IB670" s="644">
        <f t="shared" si="2063"/>
        <v>2809.89219024661</v>
      </c>
      <c r="IC670" s="644">
        <f t="shared" si="2063"/>
        <v>3972.9016850988928</v>
      </c>
      <c r="ID670" s="644">
        <f t="shared" si="2063"/>
        <v>694.46851605031532</v>
      </c>
      <c r="IE670" s="20">
        <f t="shared" si="2017"/>
        <v>0.37579157225778104</v>
      </c>
      <c r="IF670" s="20">
        <f t="shared" si="2018"/>
        <v>0.53133105101013467</v>
      </c>
      <c r="IG670" s="20">
        <f t="shared" si="2019"/>
        <v>9.2877376732084349E-2</v>
      </c>
      <c r="IH670" s="21"/>
      <c r="II670" s="19"/>
      <c r="IJ670" s="19"/>
      <c r="IK670" s="19"/>
      <c r="IL670" s="19">
        <f t="shared" si="2020"/>
        <v>918.24181781330299</v>
      </c>
      <c r="IM670" s="19">
        <f t="shared" si="2021"/>
        <v>1462.1434767491869</v>
      </c>
      <c r="IN670" s="19">
        <f t="shared" si="2022"/>
        <v>116.56156309100879</v>
      </c>
      <c r="IO670" s="39"/>
      <c r="IP670" s="39"/>
      <c r="IQ670" s="39"/>
      <c r="IR670" s="39"/>
      <c r="IS670" s="39"/>
      <c r="IT670" s="39"/>
      <c r="IU670" s="39"/>
      <c r="IV670" s="39"/>
      <c r="IW670" s="39"/>
      <c r="IX670" s="19">
        <f t="shared" si="2023"/>
        <v>1554.1790484140233</v>
      </c>
      <c r="IY670" s="19">
        <f t="shared" si="2024"/>
        <v>2412.3001201524512</v>
      </c>
      <c r="IZ670" s="19">
        <f t="shared" si="2025"/>
        <v>3993.0862952928574</v>
      </c>
      <c r="JA670" s="19">
        <f t="shared" ref="JA670:JC670" si="2064">IFERROR((JA170*IB170+JA270*IB270+JA370*IB370+JA470*IB470+JA570*IB570)/IB670,0)</f>
        <v>2472.4208662273263</v>
      </c>
      <c r="JB670" s="19">
        <f t="shared" si="2064"/>
        <v>3874.4435969016381</v>
      </c>
      <c r="JC670" s="19">
        <f t="shared" si="2064"/>
        <v>4109.6478583838662</v>
      </c>
      <c r="JD670" s="19">
        <f t="shared" si="2027"/>
        <v>3369.4204254030678</v>
      </c>
      <c r="JE670" s="21"/>
      <c r="JF670" s="1">
        <f t="shared" si="2028"/>
        <v>2.6651855648468406E-2</v>
      </c>
      <c r="JG670" s="15">
        <f t="shared" si="2029"/>
        <v>6449</v>
      </c>
      <c r="JH670" s="1">
        <f t="shared" si="2030"/>
        <v>0.10563605390000454</v>
      </c>
      <c r="JI670" s="1">
        <f t="shared" si="2031"/>
        <v>5.3809192090973713E-2</v>
      </c>
      <c r="JJ670" s="1">
        <f t="shared" si="2032"/>
        <v>0</v>
      </c>
      <c r="JK670" s="1">
        <f t="shared" si="2033"/>
        <v>0.15944524599097823</v>
      </c>
      <c r="JL670" s="15">
        <f t="shared" ref="JL670:JM670" si="2065">JL170+JL270+JL370+JL470+JL570</f>
        <v>1028.2623913958187</v>
      </c>
      <c r="JM670" s="15">
        <f t="shared" si="2065"/>
        <v>7477.2623913958187</v>
      </c>
      <c r="JN670" s="21"/>
      <c r="JO670" s="19">
        <f>INDEX(Input!$1:$1048576,JO$93,$C670*2+6)</f>
        <v>5995.5</v>
      </c>
      <c r="JP670" s="19">
        <f>INDEX(Input!$1:$1048576,JP$93,$C670*2+6)</f>
        <v>2296.6050414551746</v>
      </c>
      <c r="JQ670" s="39">
        <f t="shared" si="2053"/>
        <v>2626.0795745969322</v>
      </c>
      <c r="JR670" s="39">
        <f t="shared" si="2054"/>
        <v>1072.8153839478932</v>
      </c>
      <c r="JS670" s="39">
        <f t="shared" si="2055"/>
        <v>25.19404062766726</v>
      </c>
      <c r="JT670" s="39">
        <f t="shared" si="2056"/>
        <v>10.383234715322839</v>
      </c>
      <c r="JU670" s="385">
        <f>(JQ670*JM670-INDEX(Input!$1:$1048576,Input!A$18,$C670*2+6)*JL670*INDEX(Input!$1:$1048576,Input!A$19,$C670*2+6))/1000000</f>
        <v>19.635886039946371</v>
      </c>
      <c r="JV670" s="39">
        <f t="shared" si="2057"/>
        <v>-4.2182875477092061</v>
      </c>
      <c r="JW670" s="1">
        <f t="shared" si="2058"/>
        <v>-0.17683645724336267</v>
      </c>
      <c r="JX670" s="19">
        <f t="shared" si="2059"/>
        <v>10097.845454824112</v>
      </c>
      <c r="JZ670" s="341"/>
      <c r="KA670" s="60"/>
      <c r="KB670" s="469">
        <f t="shared" si="2035"/>
        <v>0</v>
      </c>
      <c r="KI670" s="472"/>
      <c r="KJ670" s="472"/>
      <c r="KK670" s="472"/>
      <c r="KN670" s="26">
        <f t="shared" si="2036"/>
        <v>6002</v>
      </c>
      <c r="KO670" s="794">
        <f t="shared" si="2037"/>
        <v>0.13286902033283265</v>
      </c>
      <c r="KP670" s="795">
        <f t="shared" si="2038"/>
        <v>965.36410556472515</v>
      </c>
      <c r="KQ670" s="795">
        <f t="shared" si="2039"/>
        <v>906.58716879792291</v>
      </c>
      <c r="KR670" s="26">
        <f t="shared" si="2040"/>
        <v>2.4116839603658935</v>
      </c>
      <c r="KS670" s="26">
        <f t="shared" si="2041"/>
        <v>2.568041121065499</v>
      </c>
      <c r="KT670" s="796">
        <f t="shared" si="2049"/>
        <v>4286.2445668946921</v>
      </c>
      <c r="KU670" s="797">
        <f t="shared" si="2042"/>
        <v>4.4157869881875342</v>
      </c>
    </row>
    <row r="671" spans="1:308" s="26" customFormat="1" ht="15" outlineLevel="1">
      <c r="A671" s="561">
        <f t="shared" si="2009"/>
        <v>6071</v>
      </c>
      <c r="B671" s="561">
        <f t="shared" si="2043"/>
        <v>71</v>
      </c>
      <c r="C671" s="561">
        <f t="shared" si="2044"/>
        <v>6</v>
      </c>
      <c r="D671" s="561" t="str">
        <f t="shared" si="1953"/>
        <v xml:space="preserve">1000 CC, 0/1.8/2.8/3.9, 2000 Combo, </v>
      </c>
      <c r="E671" s="475">
        <f>INDEX(Input!$1:$1048576,E$93,$C671*2+MIN($B671,2)+5)
+INDEX(Scenarios!E$121:E$199,MATCH($B671,Scenarios!$B$121:$B$199,0))</f>
        <v>2267.2644913000609</v>
      </c>
      <c r="F671" s="475">
        <f>INDEX(Input!$1:$1048576,F$93,$C671*2+MIN($B671,2)+5)
+INDEX(Scenarios!F$121:F$199,MATCH($B671,Scenarios!$B$121:$B$199,0))</f>
        <v>0</v>
      </c>
      <c r="G671" s="475">
        <f>INDEX(Input!$1:$1048576,G$93,$C671*2+MIN($B671,2)+5)
+INDEX(Scenarios!G$121:G$199,MATCH($B671,Scenarios!$B$121:$B$199,0))</f>
        <v>0</v>
      </c>
      <c r="H671" s="475">
        <f>INDEX(Input!$1:$1048576,H$93,$C671*2+MIN($B671,2)+5)
+INDEX(Scenarios!H$121:H$199,MATCH($B671,Scenarios!$B$121:$B$199,0))</f>
        <v>0</v>
      </c>
      <c r="I671" s="476">
        <f>INDEX(Input!$1:$1048576,I$93,$C671*2+MIN($B671,2)+5)
+INDEX(Scenarios!I$121:I$199,MATCH($B671,Scenarios!$B$121:$B$199,0))</f>
        <v>0.7</v>
      </c>
      <c r="J671" s="476" t="str">
        <f>INDEX(Input!$1:$1048576,J$93,$C671*2+MIN($B671,2)+5)</f>
        <v>Market</v>
      </c>
      <c r="K671" s="476" t="str">
        <f>INDEX(Input!$1:$1048576,K$93,$C671*2+MIN($B671,2)+5)</f>
        <v>Market</v>
      </c>
      <c r="L671" s="476" t="str">
        <f>INDEX(Input!$1:$1048576,L$93,$C671*2+MIN($B671,2)+5)</f>
        <v>Market</v>
      </c>
      <c r="M671" s="476" t="str">
        <f>INDEX(Input!$1:$1048576,M$93,$C671*2+MIN($B671,2)+5)</f>
        <v>Market</v>
      </c>
      <c r="N671" s="476" t="str">
        <f>INDEX(Input!$1:$1048576,N$93,$C671*2+MIN($B671,2)+5)</f>
        <v>Market</v>
      </c>
      <c r="O671" s="476" t="str">
        <f>INDEX(Input!$1:$1048576,O$93,$C671*2+MIN($B671,2)+5)</f>
        <v>Market</v>
      </c>
      <c r="P671" s="476" t="str">
        <f>INDEX(Input!$1:$1048576,P$93,$C671*2+MIN($B671,2)+5)</f>
        <v>N</v>
      </c>
      <c r="Q671" s="477">
        <f>INDEX(Input!$1:$1048576,Q$93,$C671*2+MIN($B671,2)+5)
+INDEX(Scenarios!Q$121:Q$199,MATCH($B671,Scenarios!$B$121:$B$199,0))</f>
        <v>2000</v>
      </c>
      <c r="R671" s="478">
        <f>IFERROR(MAX(0,INDEX(Input!$1:$1048576,R$93,$C671*2+MIN($B671,2)+5)
+INDEX(Scenarios!R$121:R$199,MATCH($B671,Scenarios!$B$121:$B$199,0)),),"Market")</f>
        <v>0</v>
      </c>
      <c r="S671" s="478">
        <f>IFERROR(MAX(0,INDEX(Input!$1:$1048576,S$93,$C671*2+MIN($B671,2)+5)
+INDEX(Scenarios!S$121:S$199,MATCH($B671,Scenarios!$B$121:$B$199,0)),),"Market")</f>
        <v>0</v>
      </c>
      <c r="T671" s="478">
        <f>IFERROR(MAX(0,INDEX(Input!$1:$1048576,T$93,$C671*2+MIN($B671,2)+5)
+INDEX(Scenarios!T$121:T$199,MATCH($B671,Scenarios!$B$121:$B$199,0)),),"Market")</f>
        <v>0</v>
      </c>
      <c r="U671" s="478">
        <f>IFERROR(MAX(0,INDEX(Input!$1:$1048576,U$93,$C671*2+MIN($B671,2)+5)
+INDEX(Scenarios!U$121:U$199,MATCH($B671,Scenarios!$B$121:$B$199,0)),),"Market")</f>
        <v>0</v>
      </c>
      <c r="V671" s="478">
        <f>IFERROR(MAX(0,INDEX(Input!$1:$1048576,V$93,$C671*2+MIN($B671,2)+5)
+INDEX(Scenarios!V$121:V$199,MATCH($B671,Scenarios!$B$121:$B$199,0)),),"Market")</f>
        <v>2.7999999999999997E-2</v>
      </c>
      <c r="W671" s="885">
        <f>IFERROR(MAX(0,INDEX(Input!$1:$1048576,W$93,$C671*2+MIN($B671,2)+5)-0%),"Market")</f>
        <v>3.9E-2</v>
      </c>
      <c r="X671" s="476" t="str">
        <f>INDEX(Input!$1:$1048576,X$93,$C671*2+MIN($B671,2)+5)</f>
        <v>Y</v>
      </c>
      <c r="Y671" s="475">
        <f>INDEX(Input!$1:$1048576,Y$93,$C671*2+MIN($B671,2)+5)
++INDEX(Scenarios!Y$121:Y$199,MATCH($B671,Scenarios!$B$121:$B$199,0))</f>
        <v>737.99367635402496</v>
      </c>
      <c r="Z671" s="477">
        <f>INDEX(Input!$1:$1048576,Z$93,$C671*2+MIN($B671,2)+5)
+INDEX(Scenarios!Z$121:Z$199,MATCH($B671,Scenarios!$B$121:$B$199,0))</f>
        <v>0</v>
      </c>
      <c r="AA671" s="475">
        <f>INDEX(Input!$1:$1048576,AA$93,$C671*2+MIN($B671,2)+5)</f>
        <v>0</v>
      </c>
      <c r="AB671" s="476">
        <f>INDEX(Input!$1:$1048576,AB$93,$C671*2+MIN($B671,2)+5)</f>
        <v>0.27</v>
      </c>
      <c r="AC671" s="475">
        <f>INDEX(Input!$1:$1048576,AC$93,$C671*2+MIN($B671,2)+5)
+INDEX(Scenarios!AC$121:AC$199,MATCH($B671,Scenarios!$B$121:$B$199,0))</f>
        <v>0</v>
      </c>
      <c r="AD671" s="476">
        <f>INDEX(Input!$1:$1048576,AD$93,$C671*2+MIN($B671,2)+5)</f>
        <v>0.27</v>
      </c>
      <c r="AE671" s="475">
        <f>INDEX(Input!$1:$1048576,AE$93,$C671*2+MIN($B671,2)+5)
+INDEX(Scenarios!AE$121:AE$199,MATCH($B671,Scenarios!$B$121:$B$199,0))</f>
        <v>0</v>
      </c>
      <c r="AF671" s="476">
        <f>INDEX(Input!$1:$1048576,AF$93,$C671*2+MIN($B671,2)+5)</f>
        <v>1</v>
      </c>
      <c r="AG671" s="475">
        <f>INDEX(Input!$1:$1048576,AG$93,$C671*2+MIN($B671,2)+5)</f>
        <v>500</v>
      </c>
      <c r="AH671" s="476">
        <f>INDEX(Input!$1:$1048576,AH$93,$C671*2+MIN($B671,2)+5)</f>
        <v>1</v>
      </c>
      <c r="AI671" s="475">
        <f>INDEX(Input!$1:$1048576,AI$93,$C671*2+MIN($B671,2)+5)</f>
        <v>0</v>
      </c>
      <c r="AJ671" s="476">
        <f>INDEX(Input!$1:$1048576,AJ$93,$C671*2+MIN($B671,2)+5)</f>
        <v>0.27</v>
      </c>
      <c r="AK671" s="150">
        <f>ROUND(INDEX(Input!$1:$1048576,AK$93,$C670*2+MIN($B671,1)+5)+(Y671-VLOOKUP($C671*1000+1,$A:$HH,Y$92,FALSE)),0)</f>
        <v>3061</v>
      </c>
      <c r="AL671" s="150">
        <f>ROUND(INDEX(Input!$1:$1048576,AL$93,$C670*2+MIN($B671,1)+5)-(Y671-VLOOKUP($C671*1000+1,$A:$HH,Y$92,FALSE))/36,0)</f>
        <v>3552</v>
      </c>
      <c r="AM671" s="32" t="str">
        <f t="shared" si="2010"/>
        <v>std/std/std/std</v>
      </c>
      <c r="AN671" s="32" t="str">
        <f t="shared" si="2011"/>
        <v>$2000 + 0/0/0/2.8/3.9</v>
      </c>
      <c r="AO671" s="32" t="str">
        <f t="shared" si="2012"/>
        <v>0/0/0/2.8/3.9</v>
      </c>
      <c r="AP671" s="32" t="str">
        <f t="shared" si="1990"/>
        <v>0/1.8/2.8/3.9</v>
      </c>
      <c r="AQ671" s="536">
        <f t="shared" si="1991"/>
        <v>0.37153982195605434</v>
      </c>
      <c r="AR671" s="32"/>
      <c r="AS671" s="302"/>
      <c r="AT671" s="3">
        <f t="shared" si="2045"/>
        <v>71</v>
      </c>
      <c r="AU671" s="41" t="s">
        <v>121</v>
      </c>
      <c r="AV671" s="41" t="s">
        <v>116</v>
      </c>
      <c r="AW671" s="41" t="str">
        <f>INDEX(Input!$1:$1048576,AW$93,$C671*2+6)</f>
        <v>Kia</v>
      </c>
      <c r="AX671" s="41" t="str">
        <f>INDEX(Input!$1:$1048576,AX$93,$C671*2+6)</f>
        <v>National</v>
      </c>
      <c r="AY671" s="41" t="str">
        <f>IF(LEN(D671)=0,"",INDEX(Input!$1:$1048576,AY$93,$C671*2+6))</f>
        <v>Compact SUV (52)</v>
      </c>
      <c r="AZ671" s="41" t="str">
        <f>INDEX(Input!$1:$1048576,AZ$93,$C671*2+6)</f>
        <v>Kia Soul</v>
      </c>
      <c r="BA671" s="3">
        <f>INDEX(Input!$1:$1048576,BA$93,$C671*2+6)</f>
        <v>2020</v>
      </c>
      <c r="BB671" s="128">
        <f>INDEX(Input!$1:$1048576,BB$93,$C671*2+6)</f>
        <v>1</v>
      </c>
      <c r="BC671" s="128">
        <f>INDEX(Input!$1:$1048576,BC$93,$C671*2+6)</f>
        <v>0.7</v>
      </c>
      <c r="BD671" s="1">
        <f>INDEX(Input!$1:$1048576,BD$93,$C671*2+6)</f>
        <v>4.4999999999999998E-2</v>
      </c>
      <c r="BE671" s="1">
        <f>INDEX(Input!$1:$1048576,BE$93,$C671*2+6)</f>
        <v>4.4999999999999998E-2</v>
      </c>
      <c r="BF671" s="1">
        <f>INDEX(Input!$1:$1048576,BF$93,$C671*2+6)</f>
        <v>0.05</v>
      </c>
      <c r="BG671" s="1">
        <f>INDEX(Input!$1:$1048576,BG$93,$C671*2+6)</f>
        <v>5.45E-2</v>
      </c>
      <c r="BH671" s="1">
        <f>INDEX(Input!$1:$1048576,BH$93,$C671*2+6)</f>
        <v>5.45E-2</v>
      </c>
      <c r="BI671" s="1">
        <f>INDEX(Input!$1:$1048576,BI$93,$C671*2+6)</f>
        <v>0.05</v>
      </c>
      <c r="BJ671" s="1">
        <f>INDEX(Input!$1:$1048576,BJ$93,$C671*2+6)</f>
        <v>0.05</v>
      </c>
      <c r="BK671" s="1">
        <f>INDEX(Input!$1:$1048576,BK$93,$C671*2+6)</f>
        <v>0.05</v>
      </c>
      <c r="BL671" s="1">
        <f>INDEX(Input!$1:$1048576,BL$93,$C671*2+6)</f>
        <v>5.5E-2</v>
      </c>
      <c r="BM671" s="1">
        <f>INDEX(Input!$1:$1048576,BM$93,$C671*2+6)</f>
        <v>0.06</v>
      </c>
      <c r="BN671" s="1">
        <f>INDEX(Input!$1:$1048576,BN$93,$C671*2+6)</f>
        <v>4.4999999999999998E-2</v>
      </c>
      <c r="BO671" s="1">
        <f>INDEX(Input!$1:$1048576,BO$93,$C671*2+6)</f>
        <v>4.4999999999999998E-2</v>
      </c>
      <c r="BP671" s="1">
        <f>INDEX(Input!$1:$1048576,BP$93,$C671*2+6)</f>
        <v>0.05</v>
      </c>
      <c r="BQ671" s="1">
        <f>INDEX(Input!$1:$1048576,BQ$93,$C671*2+6)</f>
        <v>5.45E-2</v>
      </c>
      <c r="BR671" s="1">
        <f>INDEX(Input!$1:$1048576,BR$93,$C671*2+6)</f>
        <v>5.45E-2</v>
      </c>
      <c r="BS671" s="1">
        <f>INDEX(Input!$1:$1048576,BS$93,$C671*2+6)</f>
        <v>0.05</v>
      </c>
      <c r="BT671" s="1">
        <f>INDEX(Input!$1:$1048576,BT$93,$C671*2+6)</f>
        <v>0.05</v>
      </c>
      <c r="BU671" s="1">
        <f>INDEX(Input!$1:$1048576,BU$93,$C671*2+6)</f>
        <v>0.05</v>
      </c>
      <c r="BV671" s="1">
        <f>INDEX(Input!$1:$1048576,BV$93,$C671*2+6)</f>
        <v>5.5E-2</v>
      </c>
      <c r="BW671" s="1">
        <f>INDEX(Input!$1:$1048576,BW$93,$C671*2+6)</f>
        <v>0.06</v>
      </c>
      <c r="BX671" s="127">
        <f>INDEX(Input!$1:$1048576,BX$93,$C671*2+6)</f>
        <v>19985</v>
      </c>
      <c r="BY671" s="20">
        <f>INDEX(Input!$1:$1048576,BY$93,$C671*2+6)</f>
        <v>0.1</v>
      </c>
      <c r="BZ671" s="20">
        <f>INDEX(Input!$1:$1048576,BZ$93,$C671*2+6)</f>
        <v>0.1</v>
      </c>
      <c r="CA671" s="20">
        <f>INDEX(Input!$1:$1048576,CA$93,$C671*2+6)</f>
        <v>0.1</v>
      </c>
      <c r="CB671" s="20">
        <f>INDEX(Input!$1:$1048576,CB$93,$C671*2+6)</f>
        <v>0.1</v>
      </c>
      <c r="CC671" s="20">
        <f>INDEX(Input!$1:$1048576,CC$93,$C671*2+6)</f>
        <v>0.1</v>
      </c>
      <c r="CD671" s="384">
        <f>INDEX(Input!$1:$1048576,CD$93,$C671*2+6)</f>
        <v>0.1</v>
      </c>
      <c r="CE671" s="384">
        <f>INDEX(Input!$1:$1048576,CE$93,$C671*2+6)</f>
        <v>0.1</v>
      </c>
      <c r="CF671" s="384">
        <f>INDEX(Input!$1:$1048576,CF$93,$C671*2+6)</f>
        <v>0.1</v>
      </c>
      <c r="CG671" s="384">
        <f>INDEX(Input!$1:$1048576,CG$93,$C671*2+6)</f>
        <v>0.1</v>
      </c>
      <c r="CH671" s="384">
        <f>INDEX(Input!$1:$1048576,CH$93,$C671*2+6)</f>
        <v>0.1</v>
      </c>
      <c r="CI671" s="304">
        <f t="shared" si="1992"/>
        <v>2267.2644913000609</v>
      </c>
      <c r="CJ671" s="16" t="str">
        <f>INDEX(Input!$1:$1048576,CJ$93,$C671*2+6)</f>
        <v>N</v>
      </c>
      <c r="CK671" s="1" t="str">
        <f t="shared" si="1993"/>
        <v>Market</v>
      </c>
      <c r="CL671" s="1" t="str">
        <f t="shared" si="1994"/>
        <v>Market</v>
      </c>
      <c r="CM671" s="1" t="str">
        <f t="shared" si="1995"/>
        <v>Market</v>
      </c>
      <c r="CN671" s="1" t="str">
        <f t="shared" si="1996"/>
        <v>Market</v>
      </c>
      <c r="CO671" s="1" t="str">
        <f t="shared" si="1997"/>
        <v>Market</v>
      </c>
      <c r="CP671" s="304">
        <f t="shared" si="1998"/>
        <v>2500</v>
      </c>
      <c r="CQ671" s="1">
        <f t="shared" si="1999"/>
        <v>0</v>
      </c>
      <c r="CR671" s="1">
        <f t="shared" si="2000"/>
        <v>0</v>
      </c>
      <c r="CS671" s="1">
        <f t="shared" si="2001"/>
        <v>0</v>
      </c>
      <c r="CT671" s="1">
        <f t="shared" si="2002"/>
        <v>2.7999999999999997E-2</v>
      </c>
      <c r="CU671" s="1">
        <f t="shared" si="2003"/>
        <v>3.9E-2</v>
      </c>
      <c r="CV671" s="304">
        <f t="shared" si="2004"/>
        <v>737.99367635402496</v>
      </c>
      <c r="CW671" s="20" t="s">
        <v>122</v>
      </c>
      <c r="CX671" s="20" t="s">
        <v>122</v>
      </c>
      <c r="CY671" s="20" t="s">
        <v>122</v>
      </c>
      <c r="CZ671" s="20" t="s">
        <v>122</v>
      </c>
      <c r="DA671" s="20" t="s">
        <v>122</v>
      </c>
      <c r="DB671" s="503">
        <f t="shared" si="2005"/>
        <v>0</v>
      </c>
      <c r="DC671" s="127">
        <v>0</v>
      </c>
      <c r="DD671" s="127">
        <v>0</v>
      </c>
      <c r="DE671" s="127">
        <v>0</v>
      </c>
      <c r="DF671" s="127">
        <v>0</v>
      </c>
      <c r="DG671" s="127">
        <v>0</v>
      </c>
      <c r="DH671" s="127">
        <v>0</v>
      </c>
      <c r="DI671" s="127">
        <v>0</v>
      </c>
      <c r="DJ671" s="127">
        <v>0</v>
      </c>
      <c r="DK671" s="127">
        <v>0</v>
      </c>
      <c r="DL671" s="127">
        <v>0</v>
      </c>
      <c r="DM671" s="304">
        <f>INDEX(Input!$1:$1048576,DM$93,$C671*2+6)</f>
        <v>21036.84210526316</v>
      </c>
      <c r="DN671" s="20">
        <v>0</v>
      </c>
      <c r="DO671" s="20">
        <v>0</v>
      </c>
      <c r="DP671" s="20">
        <v>0</v>
      </c>
      <c r="DQ671" s="20">
        <v>0</v>
      </c>
      <c r="DR671" s="20">
        <v>0</v>
      </c>
      <c r="DS671" s="20">
        <f>INDEX(Input!$1:$1048576,DS$93,$C671*2+6)</f>
        <v>0.6</v>
      </c>
      <c r="DT671" s="20">
        <f>INDEX(Input!$1:$1048576,DT$93,$C671*2+6)</f>
        <v>0.55000000000000004</v>
      </c>
      <c r="DU671" s="20">
        <f>INDEX(Input!$1:$1048576,DU$93,$C671*2+6)</f>
        <v>0.52</v>
      </c>
      <c r="DV671" s="20">
        <f>INDEX(Input!$1:$1048576,DV$93,$C671*2+6)</f>
        <v>0.5</v>
      </c>
      <c r="DW671" s="20">
        <f>INDEX(Input!$1:$1048576,DW$93,$C671*2+6)</f>
        <v>0.45</v>
      </c>
      <c r="DX671" s="20"/>
      <c r="DY671" s="7"/>
      <c r="DZ671" s="7"/>
      <c r="EA671" s="7"/>
      <c r="EB671" s="7"/>
      <c r="EC671" s="7"/>
      <c r="ED671" s="7"/>
      <c r="EE671" s="7"/>
      <c r="EF671" s="7"/>
      <c r="EG671" s="7"/>
      <c r="EH671" s="7"/>
      <c r="EI671" s="7"/>
      <c r="EJ671" s="7"/>
      <c r="EK671" s="7"/>
      <c r="EL671" s="7"/>
      <c r="EM671" s="7"/>
      <c r="EN671" s="7"/>
      <c r="EO671" s="7"/>
      <c r="EP671" s="7"/>
      <c r="EQ671" s="7"/>
      <c r="ER671" s="7"/>
      <c r="ES671" s="7"/>
      <c r="ET671" s="7"/>
      <c r="EU671" s="6"/>
      <c r="EV671" s="6"/>
      <c r="EW671" s="6"/>
      <c r="EX671" s="6"/>
      <c r="EY671" s="6"/>
      <c r="EZ671" s="6"/>
      <c r="FA671" s="6"/>
      <c r="FB671" s="6"/>
      <c r="FC671" s="6"/>
      <c r="FD671" s="6"/>
      <c r="FE671" s="6"/>
      <c r="FF671" s="6"/>
      <c r="FG671" s="6"/>
      <c r="FH671" s="6"/>
      <c r="FI671" s="6"/>
      <c r="FJ671" s="6"/>
      <c r="FK671" s="6"/>
      <c r="FL671" s="6"/>
      <c r="FM671" s="6"/>
      <c r="FN671" s="6"/>
      <c r="FO671" s="6"/>
      <c r="FP671" s="6"/>
      <c r="FQ671" s="6"/>
      <c r="FR671" s="6"/>
      <c r="FS671" s="6"/>
      <c r="FT671" s="7"/>
      <c r="FU671" s="7"/>
      <c r="FV671" s="7"/>
      <c r="FW671" s="6"/>
      <c r="FX671" s="6"/>
      <c r="FY671" s="6"/>
      <c r="FZ671" s="6"/>
      <c r="GA671" s="6"/>
      <c r="GB671" s="6"/>
      <c r="GC671" s="7"/>
      <c r="GD671" s="7"/>
      <c r="GE671" s="7"/>
      <c r="GF671" s="7"/>
      <c r="GG671" s="7"/>
      <c r="GH671" s="42"/>
      <c r="GI671" s="6"/>
      <c r="GJ671" s="14"/>
      <c r="GK671" s="14"/>
      <c r="GL671" s="14"/>
      <c r="GM671" s="14"/>
      <c r="GO671" s="5"/>
      <c r="GP671" s="5"/>
      <c r="GQ671" s="5"/>
      <c r="GR671" s="5"/>
      <c r="GS671" s="5"/>
      <c r="GT671" s="5"/>
      <c r="GU671" s="5"/>
      <c r="GV671" s="39"/>
      <c r="GW671" s="5"/>
      <c r="GX671" s="5"/>
      <c r="GY671" s="5"/>
      <c r="GZ671" s="5"/>
      <c r="HA671" s="5"/>
      <c r="HB671" s="39"/>
      <c r="HC671" s="5"/>
      <c r="HD671" s="5"/>
      <c r="HE671" s="5"/>
      <c r="HF671" s="5"/>
      <c r="HG671" s="5"/>
      <c r="HH671" s="39"/>
      <c r="HI671" s="16"/>
      <c r="HJ671" s="19"/>
      <c r="HK671" s="1"/>
      <c r="HL671" s="16"/>
      <c r="HM671" s="639">
        <f t="shared" si="2013"/>
        <v>2.3149872625708352E-2</v>
      </c>
      <c r="HN671" s="639">
        <f t="shared" si="2014"/>
        <v>1.3965040474190958E-3</v>
      </c>
      <c r="HO671" s="639">
        <f t="shared" si="2015"/>
        <v>3.5429561340050734E-3</v>
      </c>
      <c r="HP671" s="644">
        <f t="shared" ref="HP671:ID671" si="2066">HP171+HP271+HP371+HP471+HP571</f>
        <v>929.51182404480323</v>
      </c>
      <c r="HQ671" s="644">
        <f t="shared" si="2066"/>
        <v>216.75380424100445</v>
      </c>
      <c r="HR671" s="644">
        <f t="shared" si="2066"/>
        <v>-255.93330354797138</v>
      </c>
      <c r="HS671" s="644">
        <f t="shared" si="2066"/>
        <v>-418.20647709782548</v>
      </c>
      <c r="HT671" s="644">
        <f t="shared" si="2066"/>
        <v>829.95055540451995</v>
      </c>
      <c r="HU671" s="644">
        <f t="shared" si="2066"/>
        <v>73.940392304133624</v>
      </c>
      <c r="HV671" s="644">
        <f t="shared" si="2066"/>
        <v>0</v>
      </c>
      <c r="HW671" s="644">
        <f t="shared" si="2066"/>
        <v>0</v>
      </c>
      <c r="HX671" s="644">
        <f t="shared" si="2066"/>
        <v>0</v>
      </c>
      <c r="HY671" s="644">
        <f t="shared" si="2066"/>
        <v>2396</v>
      </c>
      <c r="HZ671" s="644">
        <f t="shared" si="2066"/>
        <v>3223</v>
      </c>
      <c r="IA671" s="644">
        <f t="shared" si="2066"/>
        <v>830</v>
      </c>
      <c r="IB671" s="644">
        <f t="shared" si="2066"/>
        <v>2907.3053469469778</v>
      </c>
      <c r="IC671" s="644">
        <f t="shared" si="2066"/>
        <v>4269.7043596455242</v>
      </c>
      <c r="ID671" s="644">
        <f t="shared" si="2066"/>
        <v>648.00708875616226</v>
      </c>
      <c r="IE671" s="20">
        <f t="shared" si="2017"/>
        <v>0.37153982195605434</v>
      </c>
      <c r="IF671" s="20">
        <f t="shared" si="2018"/>
        <v>0.54564794828089258</v>
      </c>
      <c r="IG671" s="20">
        <f t="shared" si="2019"/>
        <v>8.2812229763052997E-2</v>
      </c>
      <c r="IH671" s="21"/>
      <c r="II671" s="19"/>
      <c r="IJ671" s="19"/>
      <c r="IK671" s="19"/>
      <c r="IL671" s="19">
        <f t="shared" si="2020"/>
        <v>1166.5658033443319</v>
      </c>
      <c r="IM671" s="19">
        <f t="shared" si="2021"/>
        <v>1961.0406656734949</v>
      </c>
      <c r="IN671" s="19">
        <f t="shared" si="2022"/>
        <v>118.40369749577985</v>
      </c>
      <c r="IO671" s="39"/>
      <c r="IP671" s="39"/>
      <c r="IQ671" s="39"/>
      <c r="IR671" s="39"/>
      <c r="IS671" s="39"/>
      <c r="IT671" s="39"/>
      <c r="IU671" s="39"/>
      <c r="IV671" s="39"/>
      <c r="IW671" s="39"/>
      <c r="IX671" s="19">
        <f t="shared" si="2023"/>
        <v>1554.1790484140233</v>
      </c>
      <c r="IY671" s="19">
        <f t="shared" si="2024"/>
        <v>2412.3001201524512</v>
      </c>
      <c r="IZ671" s="19">
        <f t="shared" si="2025"/>
        <v>3993.0862952928574</v>
      </c>
      <c r="JA671" s="19">
        <f t="shared" ref="JA671:JC671" si="2067">IFERROR((JA171*IB171+JA271*IB271+JA371*IB371+JA471*IB471+JA571*IB571)/IB671,0)</f>
        <v>2720.7448517583553</v>
      </c>
      <c r="JB671" s="19">
        <f t="shared" si="2067"/>
        <v>4373.3407858259461</v>
      </c>
      <c r="JC671" s="19">
        <f t="shared" si="2067"/>
        <v>4111.4899927886372</v>
      </c>
      <c r="JD671" s="19">
        <f t="shared" si="2027"/>
        <v>3737.6511386805305</v>
      </c>
      <c r="JE671" s="21"/>
      <c r="JF671" s="1">
        <f t="shared" si="2028"/>
        <v>2.6651855648468406E-2</v>
      </c>
      <c r="JG671" s="15">
        <f t="shared" si="2029"/>
        <v>6449</v>
      </c>
      <c r="JH671" s="1">
        <f t="shared" si="2030"/>
        <v>0.13805742359091894</v>
      </c>
      <c r="JI671" s="1">
        <f t="shared" si="2031"/>
        <v>7.531159414030518E-2</v>
      </c>
      <c r="JJ671" s="1">
        <f t="shared" si="2032"/>
        <v>0</v>
      </c>
      <c r="JK671" s="1">
        <f t="shared" si="2033"/>
        <v>0.21336901773122416</v>
      </c>
      <c r="JL671" s="15">
        <f t="shared" ref="JL671:JM671" si="2068">JL171+JL271+JL371+JL471+JL571</f>
        <v>1376.0167953486646</v>
      </c>
      <c r="JM671" s="15">
        <f t="shared" si="2068"/>
        <v>7825.0167953486643</v>
      </c>
      <c r="JN671" s="21"/>
      <c r="JO671" s="19">
        <f>INDEX(Input!$1:$1048576,JO$93,$C671*2+6)</f>
        <v>5995.5</v>
      </c>
      <c r="JP671" s="19">
        <f>INDEX(Input!$1:$1048576,JP$93,$C671*2+6)</f>
        <v>2296.6050414551746</v>
      </c>
      <c r="JQ671" s="39">
        <f t="shared" si="2053"/>
        <v>2257.8488613194695</v>
      </c>
      <c r="JR671" s="39">
        <f t="shared" si="2054"/>
        <v>1441.0460972253559</v>
      </c>
      <c r="JS671" s="39">
        <f t="shared" si="2055"/>
        <v>29.24718293532921</v>
      </c>
      <c r="JT671" s="39">
        <f t="shared" si="2056"/>
        <v>14.436377022984789</v>
      </c>
      <c r="JU671" s="385">
        <f>(JQ671*JM671-INDEX(Input!$1:$1048576,Input!A$18,$C671*2+6)*JL671*INDEX(Input!$1:$1048576,Input!A$19,$C671*2+6))/1000000</f>
        <v>17.667705261183706</v>
      </c>
      <c r="JV671" s="39">
        <f t="shared" si="2057"/>
        <v>-6.1864683264718714</v>
      </c>
      <c r="JW671" s="1">
        <f t="shared" si="2058"/>
        <v>-0.25934532184646042</v>
      </c>
      <c r="JX671" s="19">
        <f t="shared" si="2059"/>
        <v>10491.42501151434</v>
      </c>
      <c r="JZ671" s="341"/>
      <c r="KA671" s="60"/>
      <c r="KB671" s="469">
        <f t="shared" si="2035"/>
        <v>0</v>
      </c>
      <c r="KI671" s="472"/>
      <c r="KJ671" s="472"/>
      <c r="KK671" s="472"/>
      <c r="KN671" s="26">
        <f t="shared" si="2036"/>
        <v>6002</v>
      </c>
      <c r="KO671" s="794">
        <f t="shared" si="2037"/>
        <v>0.185556778271597</v>
      </c>
      <c r="KP671" s="795">
        <f t="shared" si="2038"/>
        <v>1344.9418503376428</v>
      </c>
      <c r="KQ671" s="795">
        <f t="shared" si="2039"/>
        <v>1274.8178820753856</v>
      </c>
      <c r="KR671" s="26">
        <f t="shared" si="2040"/>
        <v>2.4174701742129807</v>
      </c>
      <c r="KS671" s="26">
        <f t="shared" si="2041"/>
        <v>2.5504480718052891</v>
      </c>
      <c r="KT671" s="796">
        <f t="shared" si="2049"/>
        <v>4286.2445668946921</v>
      </c>
      <c r="KU671" s="797">
        <f t="shared" si="2042"/>
        <v>4.4145662327846082</v>
      </c>
    </row>
    <row r="672" spans="1:308" s="26" customFormat="1" ht="15" outlineLevel="1">
      <c r="A672" s="561">
        <f t="shared" si="2009"/>
        <v>6072</v>
      </c>
      <c r="B672" s="561">
        <f t="shared" si="2043"/>
        <v>72</v>
      </c>
      <c r="C672" s="561">
        <f t="shared" si="2044"/>
        <v>6</v>
      </c>
      <c r="D672" s="561" t="str">
        <f t="shared" si="1953"/>
        <v xml:space="preserve">500 CC, 0/2.8/3.8/3.9, 1000 Combo, </v>
      </c>
      <c r="E672" s="475">
        <f>INDEX(Input!$1:$1048576,E$93,$C672*2+MIN($B672,2)+5)
+INDEX(Scenarios!E$121:E$199,MATCH($B672,Scenarios!$B$121:$B$199,0))</f>
        <v>1767.2644913000609</v>
      </c>
      <c r="F672" s="475">
        <f>INDEX(Input!$1:$1048576,F$93,$C672*2+MIN($B672,2)+5)
+INDEX(Scenarios!F$121:F$199,MATCH($B672,Scenarios!$B$121:$B$199,0))</f>
        <v>0</v>
      </c>
      <c r="G672" s="475">
        <f>INDEX(Input!$1:$1048576,G$93,$C672*2+MIN($B672,2)+5)
+INDEX(Scenarios!G$121:G$199,MATCH($B672,Scenarios!$B$121:$B$199,0))</f>
        <v>0</v>
      </c>
      <c r="H672" s="475">
        <f>INDEX(Input!$1:$1048576,H$93,$C672*2+MIN($B672,2)+5)
+INDEX(Scenarios!H$121:H$199,MATCH($B672,Scenarios!$B$121:$B$199,0))</f>
        <v>0</v>
      </c>
      <c r="I672" s="476">
        <f>INDEX(Input!$1:$1048576,I$93,$C672*2+MIN($B672,2)+5)
+INDEX(Scenarios!I$121:I$199,MATCH($B672,Scenarios!$B$121:$B$199,0))</f>
        <v>0.7</v>
      </c>
      <c r="J672" s="476" t="str">
        <f>INDEX(Input!$1:$1048576,J$93,$C672*2+MIN($B672,2)+5)</f>
        <v>Market</v>
      </c>
      <c r="K672" s="476" t="str">
        <f>INDEX(Input!$1:$1048576,K$93,$C672*2+MIN($B672,2)+5)</f>
        <v>Market</v>
      </c>
      <c r="L672" s="476" t="str">
        <f>INDEX(Input!$1:$1048576,L$93,$C672*2+MIN($B672,2)+5)</f>
        <v>Market</v>
      </c>
      <c r="M672" s="476" t="str">
        <f>INDEX(Input!$1:$1048576,M$93,$C672*2+MIN($B672,2)+5)</f>
        <v>Market</v>
      </c>
      <c r="N672" s="476" t="str">
        <f>INDEX(Input!$1:$1048576,N$93,$C672*2+MIN($B672,2)+5)</f>
        <v>Market</v>
      </c>
      <c r="O672" s="476" t="str">
        <f>INDEX(Input!$1:$1048576,O$93,$C672*2+MIN($B672,2)+5)</f>
        <v>Market</v>
      </c>
      <c r="P672" s="476" t="str">
        <f>INDEX(Input!$1:$1048576,P$93,$C672*2+MIN($B672,2)+5)</f>
        <v>N</v>
      </c>
      <c r="Q672" s="477">
        <f>INDEX(Input!$1:$1048576,Q$93,$C672*2+MIN($B672,2)+5)
+INDEX(Scenarios!Q$121:Q$199,MATCH($B672,Scenarios!$B$121:$B$199,0))</f>
        <v>1000</v>
      </c>
      <c r="R672" s="478">
        <f>IFERROR(MAX(0,INDEX(Input!$1:$1048576,R$93,$C672*2+MIN($B672,2)+5)
+INDEX(Scenarios!R$121:R$199,MATCH($B672,Scenarios!$B$121:$B$199,0)),),"Market")</f>
        <v>0</v>
      </c>
      <c r="S672" s="478">
        <f>IFERROR(MAX(0,INDEX(Input!$1:$1048576,S$93,$C672*2+MIN($B672,2)+5)
+INDEX(Scenarios!S$121:S$199,MATCH($B672,Scenarios!$B$121:$B$199,0)),),"Market")</f>
        <v>0</v>
      </c>
      <c r="T672" s="478">
        <f>IFERROR(MAX(0,INDEX(Input!$1:$1048576,T$93,$C672*2+MIN($B672,2)+5)
+INDEX(Scenarios!T$121:T$199,MATCH($B672,Scenarios!$B$121:$B$199,0)),),"Market")</f>
        <v>0</v>
      </c>
      <c r="U672" s="478">
        <f>IFERROR(MAX(0,INDEX(Input!$1:$1048576,U$93,$C672*2+MIN($B672,2)+5)
+INDEX(Scenarios!U$121:U$199,MATCH($B672,Scenarios!$B$121:$B$199,0)),),"Market")</f>
        <v>0</v>
      </c>
      <c r="V672" s="478">
        <f>IFERROR(MAX(0,INDEX(Input!$1:$1048576,V$93,$C672*2+MIN($B672,2)+5)
+INDEX(Scenarios!V$121:V$199,MATCH($B672,Scenarios!$B$121:$B$199,0)),),"Market")</f>
        <v>3.7999999999999999E-2</v>
      </c>
      <c r="W672" s="885">
        <f>IFERROR(MAX(0,INDEX(Input!$1:$1048576,W$93,$C672*2+MIN($B672,2)+5)-0%),"Market")</f>
        <v>3.9E-2</v>
      </c>
      <c r="X672" s="476" t="str">
        <f>INDEX(Input!$1:$1048576,X$93,$C672*2+MIN($B672,2)+5)</f>
        <v>Y</v>
      </c>
      <c r="Y672" s="475">
        <f>INDEX(Input!$1:$1048576,Y$93,$C672*2+MIN($B672,2)+5)
++INDEX(Scenarios!Y$121:Y$199,MATCH($B672,Scenarios!$B$121:$B$199,0))</f>
        <v>737.99367635402496</v>
      </c>
      <c r="Z672" s="477">
        <f>INDEX(Input!$1:$1048576,Z$93,$C672*2+MIN($B672,2)+5)
+INDEX(Scenarios!Z$121:Z$199,MATCH($B672,Scenarios!$B$121:$B$199,0))</f>
        <v>0</v>
      </c>
      <c r="AA672" s="475">
        <f>INDEX(Input!$1:$1048576,AA$93,$C672*2+MIN($B672,2)+5)</f>
        <v>0</v>
      </c>
      <c r="AB672" s="476">
        <f>INDEX(Input!$1:$1048576,AB$93,$C672*2+MIN($B672,2)+5)</f>
        <v>0.27</v>
      </c>
      <c r="AC672" s="475">
        <f>INDEX(Input!$1:$1048576,AC$93,$C672*2+MIN($B672,2)+5)
+INDEX(Scenarios!AC$121:AC$199,MATCH($B672,Scenarios!$B$121:$B$199,0))</f>
        <v>0</v>
      </c>
      <c r="AD672" s="476">
        <f>INDEX(Input!$1:$1048576,AD$93,$C672*2+MIN($B672,2)+5)</f>
        <v>0.27</v>
      </c>
      <c r="AE672" s="475">
        <f>INDEX(Input!$1:$1048576,AE$93,$C672*2+MIN($B672,2)+5)
+INDEX(Scenarios!AE$121:AE$199,MATCH($B672,Scenarios!$B$121:$B$199,0))</f>
        <v>0</v>
      </c>
      <c r="AF672" s="476">
        <f>INDEX(Input!$1:$1048576,AF$93,$C672*2+MIN($B672,2)+5)</f>
        <v>1</v>
      </c>
      <c r="AG672" s="475">
        <f>INDEX(Input!$1:$1048576,AG$93,$C672*2+MIN($B672,2)+5)</f>
        <v>500</v>
      </c>
      <c r="AH672" s="476">
        <f>INDEX(Input!$1:$1048576,AH$93,$C672*2+MIN($B672,2)+5)</f>
        <v>1</v>
      </c>
      <c r="AI672" s="475">
        <f>INDEX(Input!$1:$1048576,AI$93,$C672*2+MIN($B672,2)+5)</f>
        <v>0</v>
      </c>
      <c r="AJ672" s="476">
        <f>INDEX(Input!$1:$1048576,AJ$93,$C672*2+MIN($B672,2)+5)</f>
        <v>0.27</v>
      </c>
      <c r="AK672" s="150">
        <f>ROUND(INDEX(Input!$1:$1048576,AK$93,$C671*2+MIN($B672,1)+5)+(Y672-VLOOKUP($C672*1000+1,$A:$HH,Y$92,FALSE)),0)</f>
        <v>3061</v>
      </c>
      <c r="AL672" s="150">
        <f>ROUND(INDEX(Input!$1:$1048576,AL$93,$C671*2+MIN($B672,1)+5)-(Y672-VLOOKUP($C672*1000+1,$A:$HH,Y$92,FALSE))/36,0)</f>
        <v>3552</v>
      </c>
      <c r="AM672" s="32" t="str">
        <f t="shared" si="2010"/>
        <v>std/std/std/std</v>
      </c>
      <c r="AN672" s="32" t="str">
        <f t="shared" si="2011"/>
        <v>$1000 + 0/0/0/3.8/3.9</v>
      </c>
      <c r="AO672" s="32" t="str">
        <f t="shared" si="2012"/>
        <v>0/0/0/3.8/3.9</v>
      </c>
      <c r="AP672" s="32" t="str">
        <f t="shared" si="1990"/>
        <v>0/2.8/3.8/3.9</v>
      </c>
      <c r="AQ672" s="536">
        <f t="shared" si="1991"/>
        <v>0.38949279990513291</v>
      </c>
      <c r="AR672" s="32"/>
      <c r="AS672" s="302"/>
      <c r="AT672" s="3">
        <f t="shared" si="2045"/>
        <v>72</v>
      </c>
      <c r="AU672" s="41" t="s">
        <v>121</v>
      </c>
      <c r="AV672" s="41" t="s">
        <v>116</v>
      </c>
      <c r="AW672" s="41" t="str">
        <f>INDEX(Input!$1:$1048576,AW$93,$C672*2+6)</f>
        <v>Kia</v>
      </c>
      <c r="AX672" s="41" t="str">
        <f>INDEX(Input!$1:$1048576,AX$93,$C672*2+6)</f>
        <v>National</v>
      </c>
      <c r="AY672" s="41" t="str">
        <f>IF(LEN(D672)=0,"",INDEX(Input!$1:$1048576,AY$93,$C672*2+6))</f>
        <v>Compact SUV (52)</v>
      </c>
      <c r="AZ672" s="41" t="str">
        <f>INDEX(Input!$1:$1048576,AZ$93,$C672*2+6)</f>
        <v>Kia Soul</v>
      </c>
      <c r="BA672" s="3">
        <f>INDEX(Input!$1:$1048576,BA$93,$C672*2+6)</f>
        <v>2020</v>
      </c>
      <c r="BB672" s="128">
        <f>INDEX(Input!$1:$1048576,BB$93,$C672*2+6)</f>
        <v>1</v>
      </c>
      <c r="BC672" s="128">
        <f>INDEX(Input!$1:$1048576,BC$93,$C672*2+6)</f>
        <v>0.7</v>
      </c>
      <c r="BD672" s="1">
        <f>INDEX(Input!$1:$1048576,BD$93,$C672*2+6)</f>
        <v>4.4999999999999998E-2</v>
      </c>
      <c r="BE672" s="1">
        <f>INDEX(Input!$1:$1048576,BE$93,$C672*2+6)</f>
        <v>4.4999999999999998E-2</v>
      </c>
      <c r="BF672" s="1">
        <f>INDEX(Input!$1:$1048576,BF$93,$C672*2+6)</f>
        <v>0.05</v>
      </c>
      <c r="BG672" s="1">
        <f>INDEX(Input!$1:$1048576,BG$93,$C672*2+6)</f>
        <v>5.45E-2</v>
      </c>
      <c r="BH672" s="1">
        <f>INDEX(Input!$1:$1048576,BH$93,$C672*2+6)</f>
        <v>5.45E-2</v>
      </c>
      <c r="BI672" s="1">
        <f>INDEX(Input!$1:$1048576,BI$93,$C672*2+6)</f>
        <v>0.05</v>
      </c>
      <c r="BJ672" s="1">
        <f>INDEX(Input!$1:$1048576,BJ$93,$C672*2+6)</f>
        <v>0.05</v>
      </c>
      <c r="BK672" s="1">
        <f>INDEX(Input!$1:$1048576,BK$93,$C672*2+6)</f>
        <v>0.05</v>
      </c>
      <c r="BL672" s="1">
        <f>INDEX(Input!$1:$1048576,BL$93,$C672*2+6)</f>
        <v>5.5E-2</v>
      </c>
      <c r="BM672" s="1">
        <f>INDEX(Input!$1:$1048576,BM$93,$C672*2+6)</f>
        <v>0.06</v>
      </c>
      <c r="BN672" s="1">
        <f>INDEX(Input!$1:$1048576,BN$93,$C672*2+6)</f>
        <v>4.4999999999999998E-2</v>
      </c>
      <c r="BO672" s="1">
        <f>INDEX(Input!$1:$1048576,BO$93,$C672*2+6)</f>
        <v>4.4999999999999998E-2</v>
      </c>
      <c r="BP672" s="1">
        <f>INDEX(Input!$1:$1048576,BP$93,$C672*2+6)</f>
        <v>0.05</v>
      </c>
      <c r="BQ672" s="1">
        <f>INDEX(Input!$1:$1048576,BQ$93,$C672*2+6)</f>
        <v>5.45E-2</v>
      </c>
      <c r="BR672" s="1">
        <f>INDEX(Input!$1:$1048576,BR$93,$C672*2+6)</f>
        <v>5.45E-2</v>
      </c>
      <c r="BS672" s="1">
        <f>INDEX(Input!$1:$1048576,BS$93,$C672*2+6)</f>
        <v>0.05</v>
      </c>
      <c r="BT672" s="1">
        <f>INDEX(Input!$1:$1048576,BT$93,$C672*2+6)</f>
        <v>0.05</v>
      </c>
      <c r="BU672" s="1">
        <f>INDEX(Input!$1:$1048576,BU$93,$C672*2+6)</f>
        <v>0.05</v>
      </c>
      <c r="BV672" s="1">
        <f>INDEX(Input!$1:$1048576,BV$93,$C672*2+6)</f>
        <v>5.5E-2</v>
      </c>
      <c r="BW672" s="1">
        <f>INDEX(Input!$1:$1048576,BW$93,$C672*2+6)</f>
        <v>0.06</v>
      </c>
      <c r="BX672" s="127">
        <f>INDEX(Input!$1:$1048576,BX$93,$C672*2+6)</f>
        <v>19985</v>
      </c>
      <c r="BY672" s="20">
        <f>INDEX(Input!$1:$1048576,BY$93,$C672*2+6)</f>
        <v>0.1</v>
      </c>
      <c r="BZ672" s="20">
        <f>INDEX(Input!$1:$1048576,BZ$93,$C672*2+6)</f>
        <v>0.1</v>
      </c>
      <c r="CA672" s="20">
        <f>INDEX(Input!$1:$1048576,CA$93,$C672*2+6)</f>
        <v>0.1</v>
      </c>
      <c r="CB672" s="20">
        <f>INDEX(Input!$1:$1048576,CB$93,$C672*2+6)</f>
        <v>0.1</v>
      </c>
      <c r="CC672" s="20">
        <f>INDEX(Input!$1:$1048576,CC$93,$C672*2+6)</f>
        <v>0.1</v>
      </c>
      <c r="CD672" s="384">
        <f>INDEX(Input!$1:$1048576,CD$93,$C672*2+6)</f>
        <v>0.1</v>
      </c>
      <c r="CE672" s="384">
        <f>INDEX(Input!$1:$1048576,CE$93,$C672*2+6)</f>
        <v>0.1</v>
      </c>
      <c r="CF672" s="384">
        <f>INDEX(Input!$1:$1048576,CF$93,$C672*2+6)</f>
        <v>0.1</v>
      </c>
      <c r="CG672" s="384">
        <f>INDEX(Input!$1:$1048576,CG$93,$C672*2+6)</f>
        <v>0.1</v>
      </c>
      <c r="CH672" s="384">
        <f>INDEX(Input!$1:$1048576,CH$93,$C672*2+6)</f>
        <v>0.1</v>
      </c>
      <c r="CI672" s="304">
        <f t="shared" si="1992"/>
        <v>1767.2644913000609</v>
      </c>
      <c r="CJ672" s="16" t="str">
        <f>INDEX(Input!$1:$1048576,CJ$93,$C672*2+6)</f>
        <v>N</v>
      </c>
      <c r="CK672" s="1" t="str">
        <f t="shared" si="1993"/>
        <v>Market</v>
      </c>
      <c r="CL672" s="1" t="str">
        <f t="shared" si="1994"/>
        <v>Market</v>
      </c>
      <c r="CM672" s="1" t="str">
        <f t="shared" si="1995"/>
        <v>Market</v>
      </c>
      <c r="CN672" s="1" t="str">
        <f t="shared" si="1996"/>
        <v>Market</v>
      </c>
      <c r="CO672" s="1" t="str">
        <f t="shared" si="1997"/>
        <v>Market</v>
      </c>
      <c r="CP672" s="304">
        <f t="shared" si="1998"/>
        <v>1500</v>
      </c>
      <c r="CQ672" s="1">
        <f t="shared" si="1999"/>
        <v>0</v>
      </c>
      <c r="CR672" s="1">
        <f t="shared" si="2000"/>
        <v>0</v>
      </c>
      <c r="CS672" s="1">
        <f t="shared" si="2001"/>
        <v>0</v>
      </c>
      <c r="CT672" s="1">
        <f t="shared" si="2002"/>
        <v>3.7999999999999999E-2</v>
      </c>
      <c r="CU672" s="1">
        <f t="shared" si="2003"/>
        <v>3.9E-2</v>
      </c>
      <c r="CV672" s="304">
        <f t="shared" si="2004"/>
        <v>737.99367635402496</v>
      </c>
      <c r="CW672" s="20" t="s">
        <v>122</v>
      </c>
      <c r="CX672" s="20" t="s">
        <v>122</v>
      </c>
      <c r="CY672" s="20" t="s">
        <v>122</v>
      </c>
      <c r="CZ672" s="20" t="s">
        <v>122</v>
      </c>
      <c r="DA672" s="20" t="s">
        <v>122</v>
      </c>
      <c r="DB672" s="503">
        <f t="shared" si="2005"/>
        <v>0</v>
      </c>
      <c r="DC672" s="127">
        <v>0</v>
      </c>
      <c r="DD672" s="127">
        <v>0</v>
      </c>
      <c r="DE672" s="127">
        <v>0</v>
      </c>
      <c r="DF672" s="127">
        <v>0</v>
      </c>
      <c r="DG672" s="127">
        <v>0</v>
      </c>
      <c r="DH672" s="127">
        <v>0</v>
      </c>
      <c r="DI672" s="127">
        <v>0</v>
      </c>
      <c r="DJ672" s="127">
        <v>0</v>
      </c>
      <c r="DK672" s="127">
        <v>0</v>
      </c>
      <c r="DL672" s="127">
        <v>0</v>
      </c>
      <c r="DM672" s="304">
        <f>INDEX(Input!$1:$1048576,DM$93,$C672*2+6)</f>
        <v>21036.84210526316</v>
      </c>
      <c r="DN672" s="20">
        <v>0</v>
      </c>
      <c r="DO672" s="20">
        <v>0</v>
      </c>
      <c r="DP672" s="20">
        <v>0</v>
      </c>
      <c r="DQ672" s="20">
        <v>0</v>
      </c>
      <c r="DR672" s="20">
        <v>0</v>
      </c>
      <c r="DS672" s="20">
        <f>INDEX(Input!$1:$1048576,DS$93,$C672*2+6)</f>
        <v>0.6</v>
      </c>
      <c r="DT672" s="20">
        <f>INDEX(Input!$1:$1048576,DT$93,$C672*2+6)</f>
        <v>0.55000000000000004</v>
      </c>
      <c r="DU672" s="20">
        <f>INDEX(Input!$1:$1048576,DU$93,$C672*2+6)</f>
        <v>0.52</v>
      </c>
      <c r="DV672" s="20">
        <f>INDEX(Input!$1:$1048576,DV$93,$C672*2+6)</f>
        <v>0.5</v>
      </c>
      <c r="DW672" s="20">
        <f>INDEX(Input!$1:$1048576,DW$93,$C672*2+6)</f>
        <v>0.45</v>
      </c>
      <c r="DX672" s="20"/>
      <c r="DY672" s="7"/>
      <c r="DZ672" s="7"/>
      <c r="EA672" s="7"/>
      <c r="EB672" s="7"/>
      <c r="EC672" s="7"/>
      <c r="ED672" s="7"/>
      <c r="EE672" s="7"/>
      <c r="EF672" s="7"/>
      <c r="EG672" s="7"/>
      <c r="EH672" s="7"/>
      <c r="EI672" s="7"/>
      <c r="EJ672" s="7"/>
      <c r="EK672" s="7"/>
      <c r="EL672" s="7"/>
      <c r="EM672" s="7"/>
      <c r="EN672" s="7"/>
      <c r="EO672" s="7"/>
      <c r="EP672" s="7"/>
      <c r="EQ672" s="7"/>
      <c r="ER672" s="7"/>
      <c r="ES672" s="7"/>
      <c r="ET672" s="7"/>
      <c r="EU672" s="6"/>
      <c r="EV672" s="6"/>
      <c r="EW672" s="6"/>
      <c r="EX672" s="6"/>
      <c r="EY672" s="6"/>
      <c r="EZ672" s="6"/>
      <c r="FA672" s="6"/>
      <c r="FB672" s="6"/>
      <c r="FC672" s="6"/>
      <c r="FD672" s="6"/>
      <c r="FE672" s="6"/>
      <c r="FF672" s="6"/>
      <c r="FG672" s="6"/>
      <c r="FH672" s="6"/>
      <c r="FI672" s="6"/>
      <c r="FJ672" s="6"/>
      <c r="FK672" s="6"/>
      <c r="FL672" s="6"/>
      <c r="FM672" s="6"/>
      <c r="FN672" s="6"/>
      <c r="FO672" s="6"/>
      <c r="FP672" s="6"/>
      <c r="FQ672" s="6"/>
      <c r="FR672" s="6"/>
      <c r="FS672" s="6"/>
      <c r="FT672" s="7"/>
      <c r="FU672" s="7"/>
      <c r="FV672" s="7"/>
      <c r="FW672" s="6"/>
      <c r="FX672" s="6"/>
      <c r="FY672" s="6"/>
      <c r="FZ672" s="6"/>
      <c r="GA672" s="6"/>
      <c r="GB672" s="6"/>
      <c r="GC672" s="7"/>
      <c r="GD672" s="7"/>
      <c r="GE672" s="7"/>
      <c r="GF672" s="7"/>
      <c r="GG672" s="7"/>
      <c r="GH672" s="42"/>
      <c r="GI672" s="6"/>
      <c r="GJ672" s="14"/>
      <c r="GK672" s="14"/>
      <c r="GL672" s="14"/>
      <c r="GM672" s="14"/>
      <c r="GO672" s="5"/>
      <c r="GP672" s="5"/>
      <c r="GQ672" s="5"/>
      <c r="GR672" s="5"/>
      <c r="GS672" s="5"/>
      <c r="GT672" s="5"/>
      <c r="GU672" s="5"/>
      <c r="GV672" s="39"/>
      <c r="GW672" s="5"/>
      <c r="GX672" s="5"/>
      <c r="GY672" s="5"/>
      <c r="GZ672" s="5"/>
      <c r="HA672" s="5"/>
      <c r="HB672" s="39"/>
      <c r="HC672" s="5"/>
      <c r="HD672" s="5"/>
      <c r="HE672" s="5"/>
      <c r="HF672" s="5"/>
      <c r="HG672" s="5"/>
      <c r="HH672" s="39"/>
      <c r="HI672" s="16"/>
      <c r="HJ672" s="19"/>
      <c r="HK672" s="1"/>
      <c r="HL672" s="16"/>
      <c r="HM672" s="639">
        <f t="shared" si="2013"/>
        <v>2.3149872625708352E-2</v>
      </c>
      <c r="HN672" s="639">
        <f t="shared" si="2014"/>
        <v>1.3965040474190958E-3</v>
      </c>
      <c r="HO672" s="639">
        <f t="shared" si="2015"/>
        <v>3.5429561340050734E-3</v>
      </c>
      <c r="HP672" s="644">
        <f t="shared" ref="HP672:ID672" si="2069">HP172+HP272+HP372+HP472+HP572</f>
        <v>593.94099063449301</v>
      </c>
      <c r="HQ672" s="644">
        <f t="shared" si="2069"/>
        <v>-6.875435837467446</v>
      </c>
      <c r="HR672" s="644">
        <f t="shared" si="2069"/>
        <v>-122.72866404066909</v>
      </c>
      <c r="HS672" s="644">
        <f t="shared" si="2069"/>
        <v>-238.35697027256714</v>
      </c>
      <c r="HT672" s="644">
        <f t="shared" si="2069"/>
        <v>345.47577304903177</v>
      </c>
      <c r="HU672" s="644">
        <f t="shared" si="2069"/>
        <v>44.075463479882849</v>
      </c>
      <c r="HV672" s="644">
        <f t="shared" si="2069"/>
        <v>0</v>
      </c>
      <c r="HW672" s="644">
        <f t="shared" si="2069"/>
        <v>0</v>
      </c>
      <c r="HX672" s="644">
        <f t="shared" si="2069"/>
        <v>0</v>
      </c>
      <c r="HY672" s="644">
        <f t="shared" si="2069"/>
        <v>2396</v>
      </c>
      <c r="HZ672" s="644">
        <f t="shared" si="2069"/>
        <v>3223</v>
      </c>
      <c r="IA672" s="644">
        <f t="shared" si="2069"/>
        <v>830</v>
      </c>
      <c r="IB672" s="644">
        <f t="shared" si="2069"/>
        <v>2751.5840203619264</v>
      </c>
      <c r="IC672" s="644">
        <f t="shared" si="2069"/>
        <v>3561.6003372115638</v>
      </c>
      <c r="ID672" s="644">
        <f t="shared" si="2069"/>
        <v>751.34679943921378</v>
      </c>
      <c r="IE672" s="20">
        <f t="shared" si="2017"/>
        <v>0.38949279990513291</v>
      </c>
      <c r="IF672" s="20">
        <f t="shared" si="2018"/>
        <v>0.50415239993330518</v>
      </c>
      <c r="IG672" s="20">
        <f t="shared" si="2019"/>
        <v>0.10635480016156189</v>
      </c>
      <c r="IH672" s="21"/>
      <c r="II672" s="19"/>
      <c r="IJ672" s="19"/>
      <c r="IK672" s="19"/>
      <c r="IL672" s="19">
        <f t="shared" si="2020"/>
        <v>669.70493505871218</v>
      </c>
      <c r="IM672" s="19">
        <f t="shared" si="2021"/>
        <v>836.92852081392402</v>
      </c>
      <c r="IN672" s="19">
        <f t="shared" si="2022"/>
        <v>114.29987244027234</v>
      </c>
      <c r="IO672" s="39"/>
      <c r="IP672" s="39"/>
      <c r="IQ672" s="39"/>
      <c r="IR672" s="39"/>
      <c r="IS672" s="39"/>
      <c r="IT672" s="39"/>
      <c r="IU672" s="39"/>
      <c r="IV672" s="39"/>
      <c r="IW672" s="39"/>
      <c r="IX672" s="19">
        <f t="shared" si="2023"/>
        <v>1554.1790484140233</v>
      </c>
      <c r="IY672" s="19">
        <f t="shared" si="2024"/>
        <v>2412.3001201524512</v>
      </c>
      <c r="IZ672" s="19">
        <f t="shared" si="2025"/>
        <v>3993.0862952928574</v>
      </c>
      <c r="JA672" s="19">
        <f t="shared" ref="JA672:JC672" si="2070">IFERROR((JA172*IB172+JA272*IB272+JA372*IB372+JA472*IB472+JA572*IB572)/IB672,0)</f>
        <v>2223.8839834727355</v>
      </c>
      <c r="JB672" s="19">
        <f t="shared" si="2070"/>
        <v>3249.2286409663752</v>
      </c>
      <c r="JC672" s="19">
        <f t="shared" si="2070"/>
        <v>4107.3861677331297</v>
      </c>
      <c r="JD672" s="19">
        <f t="shared" si="2027"/>
        <v>2941.1334517178266</v>
      </c>
      <c r="JE672" s="21"/>
      <c r="JF672" s="1">
        <f t="shared" si="2028"/>
        <v>2.6651855648468406E-2</v>
      </c>
      <c r="JG672" s="15">
        <f t="shared" si="2029"/>
        <v>6449</v>
      </c>
      <c r="JH672" s="1">
        <f t="shared" si="2030"/>
        <v>7.2001378625578621E-2</v>
      </c>
      <c r="JI672" s="1">
        <f t="shared" si="2031"/>
        <v>2.3444606335299656E-2</v>
      </c>
      <c r="JJ672" s="1">
        <f t="shared" si="2032"/>
        <v>0</v>
      </c>
      <c r="JK672" s="1">
        <f t="shared" si="2033"/>
        <v>9.544598496087825E-2</v>
      </c>
      <c r="JL672" s="15">
        <f t="shared" ref="JL672:JM672" si="2071">JL172+JL272+JL372+JL472+JL572</f>
        <v>615.53115701270383</v>
      </c>
      <c r="JM672" s="15">
        <f t="shared" si="2071"/>
        <v>7064.5311570127033</v>
      </c>
      <c r="JN672" s="21"/>
      <c r="JO672" s="19">
        <f>INDEX(Input!$1:$1048576,JO$93,$C672*2+6)</f>
        <v>5995.5</v>
      </c>
      <c r="JP672" s="19">
        <f>INDEX(Input!$1:$1048576,JP$93,$C672*2+6)</f>
        <v>2296.6050414551746</v>
      </c>
      <c r="JQ672" s="39">
        <f t="shared" si="2053"/>
        <v>3054.3665482821734</v>
      </c>
      <c r="JR672" s="39">
        <f t="shared" si="2054"/>
        <v>644.52841026265196</v>
      </c>
      <c r="JS672" s="39">
        <f t="shared" si="2055"/>
        <v>20.777728906592902</v>
      </c>
      <c r="JT672" s="39">
        <f t="shared" si="2056"/>
        <v>5.9669229942484812</v>
      </c>
      <c r="JU672" s="385">
        <f>(JQ672*JM672-INDEX(Input!$1:$1048576,Input!A$18,$C672*2+6)*JL672*INDEX(Input!$1:$1048576,Input!A$19,$C672*2+6))/1000000</f>
        <v>21.577667645276758</v>
      </c>
      <c r="JV672" s="39">
        <f t="shared" si="2057"/>
        <v>-2.2765059423788188</v>
      </c>
      <c r="JW672" s="1">
        <f t="shared" si="2058"/>
        <v>-9.543428255912835E-2</v>
      </c>
      <c r="JX672" s="19">
        <f t="shared" si="2059"/>
        <v>9693.9414459653926</v>
      </c>
      <c r="JZ672" s="341"/>
      <c r="KA672" s="60"/>
      <c r="KB672" s="469">
        <f t="shared" si="2035"/>
        <v>0</v>
      </c>
      <c r="KI672" s="472"/>
      <c r="KJ672" s="472"/>
      <c r="KK672" s="472"/>
      <c r="KN672" s="26">
        <f t="shared" si="2036"/>
        <v>6002</v>
      </c>
      <c r="KO672" s="794">
        <f t="shared" si="2037"/>
        <v>7.0336718444590884E-2</v>
      </c>
      <c r="KP672" s="795">
        <f t="shared" si="2038"/>
        <v>528.75385061890631</v>
      </c>
      <c r="KQ672" s="795">
        <f t="shared" si="2039"/>
        <v>478.30019511268165</v>
      </c>
      <c r="KR672" s="26">
        <f t="shared" si="2040"/>
        <v>2.3308609617249183</v>
      </c>
      <c r="KS672" s="26">
        <f t="shared" si="2041"/>
        <v>2.5767326071840455</v>
      </c>
      <c r="KT672" s="796">
        <f t="shared" si="2049"/>
        <v>4286.2445668946921</v>
      </c>
      <c r="KU672" s="797">
        <f t="shared" si="2042"/>
        <v>4.4045000210111702</v>
      </c>
    </row>
    <row r="673" spans="1:307" s="26" customFormat="1" ht="15" outlineLevel="1">
      <c r="A673" s="561">
        <f t="shared" si="2009"/>
        <v>6073</v>
      </c>
      <c r="B673" s="561">
        <f t="shared" si="2043"/>
        <v>73</v>
      </c>
      <c r="C673" s="561">
        <f t="shared" si="2044"/>
        <v>6</v>
      </c>
      <c r="D673" s="561" t="str">
        <f t="shared" si="1953"/>
        <v xml:space="preserve">750 CC, 0/2.8/3.8/3.9, 1500 Combo, </v>
      </c>
      <c r="E673" s="475">
        <f>INDEX(Input!$1:$1048576,E$93,$C673*2+MIN($B673,2)+5)
+INDEX(Scenarios!E$121:E$199,MATCH($B673,Scenarios!$B$121:$B$199,0))</f>
        <v>2017.2644913000609</v>
      </c>
      <c r="F673" s="475">
        <f>INDEX(Input!$1:$1048576,F$93,$C673*2+MIN($B673,2)+5)
+INDEX(Scenarios!F$121:F$199,MATCH($B673,Scenarios!$B$121:$B$199,0))</f>
        <v>0</v>
      </c>
      <c r="G673" s="475">
        <f>INDEX(Input!$1:$1048576,G$93,$C673*2+MIN($B673,2)+5)
+INDEX(Scenarios!G$121:G$199,MATCH($B673,Scenarios!$B$121:$B$199,0))</f>
        <v>0</v>
      </c>
      <c r="H673" s="475">
        <f>INDEX(Input!$1:$1048576,H$93,$C673*2+MIN($B673,2)+5)
+INDEX(Scenarios!H$121:H$199,MATCH($B673,Scenarios!$B$121:$B$199,0))</f>
        <v>0</v>
      </c>
      <c r="I673" s="476">
        <f>INDEX(Input!$1:$1048576,I$93,$C673*2+MIN($B673,2)+5)
+INDEX(Scenarios!I$121:I$199,MATCH($B673,Scenarios!$B$121:$B$199,0))</f>
        <v>0.7</v>
      </c>
      <c r="J673" s="476" t="str">
        <f>INDEX(Input!$1:$1048576,J$93,$C673*2+MIN($B673,2)+5)</f>
        <v>Market</v>
      </c>
      <c r="K673" s="476" t="str">
        <f>INDEX(Input!$1:$1048576,K$93,$C673*2+MIN($B673,2)+5)</f>
        <v>Market</v>
      </c>
      <c r="L673" s="476" t="str">
        <f>INDEX(Input!$1:$1048576,L$93,$C673*2+MIN($B673,2)+5)</f>
        <v>Market</v>
      </c>
      <c r="M673" s="476" t="str">
        <f>INDEX(Input!$1:$1048576,M$93,$C673*2+MIN($B673,2)+5)</f>
        <v>Market</v>
      </c>
      <c r="N673" s="476" t="str">
        <f>INDEX(Input!$1:$1048576,N$93,$C673*2+MIN($B673,2)+5)</f>
        <v>Market</v>
      </c>
      <c r="O673" s="476" t="str">
        <f>INDEX(Input!$1:$1048576,O$93,$C673*2+MIN($B673,2)+5)</f>
        <v>Market</v>
      </c>
      <c r="P673" s="476" t="str">
        <f>INDEX(Input!$1:$1048576,P$93,$C673*2+MIN($B673,2)+5)</f>
        <v>N</v>
      </c>
      <c r="Q673" s="477">
        <f>INDEX(Input!$1:$1048576,Q$93,$C673*2+MIN($B673,2)+5)
+INDEX(Scenarios!Q$121:Q$199,MATCH($B673,Scenarios!$B$121:$B$199,0))</f>
        <v>1500</v>
      </c>
      <c r="R673" s="478">
        <f>IFERROR(MAX(0,INDEX(Input!$1:$1048576,R$93,$C673*2+MIN($B673,2)+5)
+INDEX(Scenarios!R$121:R$199,MATCH($B673,Scenarios!$B$121:$B$199,0)),),"Market")</f>
        <v>0</v>
      </c>
      <c r="S673" s="478">
        <f>IFERROR(MAX(0,INDEX(Input!$1:$1048576,S$93,$C673*2+MIN($B673,2)+5)
+INDEX(Scenarios!S$121:S$199,MATCH($B673,Scenarios!$B$121:$B$199,0)),),"Market")</f>
        <v>0</v>
      </c>
      <c r="T673" s="478">
        <f>IFERROR(MAX(0,INDEX(Input!$1:$1048576,T$93,$C673*2+MIN($B673,2)+5)
+INDEX(Scenarios!T$121:T$199,MATCH($B673,Scenarios!$B$121:$B$199,0)),),"Market")</f>
        <v>0</v>
      </c>
      <c r="U673" s="478">
        <f>IFERROR(MAX(0,INDEX(Input!$1:$1048576,U$93,$C673*2+MIN($B673,2)+5)
+INDEX(Scenarios!U$121:U$199,MATCH($B673,Scenarios!$B$121:$B$199,0)),),"Market")</f>
        <v>0</v>
      </c>
      <c r="V673" s="478">
        <f>IFERROR(MAX(0,INDEX(Input!$1:$1048576,V$93,$C673*2+MIN($B673,2)+5)
+INDEX(Scenarios!V$121:V$199,MATCH($B673,Scenarios!$B$121:$B$199,0)),),"Market")</f>
        <v>3.7999999999999999E-2</v>
      </c>
      <c r="W673" s="885">
        <f>IFERROR(MAX(0,INDEX(Input!$1:$1048576,W$93,$C673*2+MIN($B673,2)+5)-0%),"Market")</f>
        <v>3.9E-2</v>
      </c>
      <c r="X673" s="476" t="str">
        <f>INDEX(Input!$1:$1048576,X$93,$C673*2+MIN($B673,2)+5)</f>
        <v>Y</v>
      </c>
      <c r="Y673" s="475">
        <f>INDEX(Input!$1:$1048576,Y$93,$C673*2+MIN($B673,2)+5)
++INDEX(Scenarios!Y$121:Y$199,MATCH($B673,Scenarios!$B$121:$B$199,0))</f>
        <v>737.99367635402496</v>
      </c>
      <c r="Z673" s="477">
        <f>INDEX(Input!$1:$1048576,Z$93,$C673*2+MIN($B673,2)+5)
+INDEX(Scenarios!Z$121:Z$199,MATCH($B673,Scenarios!$B$121:$B$199,0))</f>
        <v>0</v>
      </c>
      <c r="AA673" s="475">
        <f>INDEX(Input!$1:$1048576,AA$93,$C673*2+MIN($B673,2)+5)</f>
        <v>0</v>
      </c>
      <c r="AB673" s="476">
        <f>INDEX(Input!$1:$1048576,AB$93,$C673*2+MIN($B673,2)+5)</f>
        <v>0.27</v>
      </c>
      <c r="AC673" s="475">
        <f>INDEX(Input!$1:$1048576,AC$93,$C673*2+MIN($B673,2)+5)
+INDEX(Scenarios!AC$121:AC$199,MATCH($B673,Scenarios!$B$121:$B$199,0))</f>
        <v>0</v>
      </c>
      <c r="AD673" s="476">
        <f>INDEX(Input!$1:$1048576,AD$93,$C673*2+MIN($B673,2)+5)</f>
        <v>0.27</v>
      </c>
      <c r="AE673" s="475">
        <f>INDEX(Input!$1:$1048576,AE$93,$C673*2+MIN($B673,2)+5)
+INDEX(Scenarios!AE$121:AE$199,MATCH($B673,Scenarios!$B$121:$B$199,0))</f>
        <v>0</v>
      </c>
      <c r="AF673" s="476">
        <f>INDEX(Input!$1:$1048576,AF$93,$C673*2+MIN($B673,2)+5)</f>
        <v>1</v>
      </c>
      <c r="AG673" s="475">
        <f>INDEX(Input!$1:$1048576,AG$93,$C673*2+MIN($B673,2)+5)</f>
        <v>500</v>
      </c>
      <c r="AH673" s="476">
        <f>INDEX(Input!$1:$1048576,AH$93,$C673*2+MIN($B673,2)+5)</f>
        <v>1</v>
      </c>
      <c r="AI673" s="475">
        <f>INDEX(Input!$1:$1048576,AI$93,$C673*2+MIN($B673,2)+5)</f>
        <v>0</v>
      </c>
      <c r="AJ673" s="476">
        <f>INDEX(Input!$1:$1048576,AJ$93,$C673*2+MIN($B673,2)+5)</f>
        <v>0.27</v>
      </c>
      <c r="AK673" s="150">
        <f>ROUND(INDEX(Input!$1:$1048576,AK$93,$C672*2+MIN($B673,1)+5)+(Y673-VLOOKUP($C673*1000+1,$A:$HH,Y$92,FALSE)),0)</f>
        <v>3061</v>
      </c>
      <c r="AL673" s="150">
        <f>ROUND(INDEX(Input!$1:$1048576,AL$93,$C672*2+MIN($B673,1)+5)-(Y673-VLOOKUP($C673*1000+1,$A:$HH,Y$92,FALSE))/36,0)</f>
        <v>3552</v>
      </c>
      <c r="AM673" s="32" t="str">
        <f t="shared" si="2010"/>
        <v>std/std/std/std</v>
      </c>
      <c r="AN673" s="32" t="str">
        <f t="shared" si="2011"/>
        <v>$1500 + 0/0/0/3.8/3.9</v>
      </c>
      <c r="AO673" s="32" t="str">
        <f t="shared" si="2012"/>
        <v>0/0/0/3.8/3.9</v>
      </c>
      <c r="AP673" s="32" t="str">
        <f t="shared" si="1990"/>
        <v>0/2.8/3.8/3.9</v>
      </c>
      <c r="AQ673" s="536">
        <f t="shared" si="1991"/>
        <v>0.3869903948366033</v>
      </c>
      <c r="AR673" s="32"/>
      <c r="AS673" s="302"/>
      <c r="AT673" s="3">
        <f t="shared" si="2045"/>
        <v>73</v>
      </c>
      <c r="AU673" s="41" t="s">
        <v>121</v>
      </c>
      <c r="AV673" s="41" t="s">
        <v>116</v>
      </c>
      <c r="AW673" s="41" t="str">
        <f>INDEX(Input!$1:$1048576,AW$93,$C673*2+6)</f>
        <v>Kia</v>
      </c>
      <c r="AX673" s="41" t="str">
        <f>INDEX(Input!$1:$1048576,AX$93,$C673*2+6)</f>
        <v>National</v>
      </c>
      <c r="AY673" s="41" t="str">
        <f>IF(LEN(D673)=0,"",INDEX(Input!$1:$1048576,AY$93,$C673*2+6))</f>
        <v>Compact SUV (52)</v>
      </c>
      <c r="AZ673" s="41" t="str">
        <f>INDEX(Input!$1:$1048576,AZ$93,$C673*2+6)</f>
        <v>Kia Soul</v>
      </c>
      <c r="BA673" s="3">
        <f>INDEX(Input!$1:$1048576,BA$93,$C673*2+6)</f>
        <v>2020</v>
      </c>
      <c r="BB673" s="128">
        <f>INDEX(Input!$1:$1048576,BB$93,$C673*2+6)</f>
        <v>1</v>
      </c>
      <c r="BC673" s="128">
        <f>INDEX(Input!$1:$1048576,BC$93,$C673*2+6)</f>
        <v>0.7</v>
      </c>
      <c r="BD673" s="1">
        <f>INDEX(Input!$1:$1048576,BD$93,$C673*2+6)</f>
        <v>4.4999999999999998E-2</v>
      </c>
      <c r="BE673" s="1">
        <f>INDEX(Input!$1:$1048576,BE$93,$C673*2+6)</f>
        <v>4.4999999999999998E-2</v>
      </c>
      <c r="BF673" s="1">
        <f>INDEX(Input!$1:$1048576,BF$93,$C673*2+6)</f>
        <v>0.05</v>
      </c>
      <c r="BG673" s="1">
        <f>INDEX(Input!$1:$1048576,BG$93,$C673*2+6)</f>
        <v>5.45E-2</v>
      </c>
      <c r="BH673" s="1">
        <f>INDEX(Input!$1:$1048576,BH$93,$C673*2+6)</f>
        <v>5.45E-2</v>
      </c>
      <c r="BI673" s="1">
        <f>INDEX(Input!$1:$1048576,BI$93,$C673*2+6)</f>
        <v>0.05</v>
      </c>
      <c r="BJ673" s="1">
        <f>INDEX(Input!$1:$1048576,BJ$93,$C673*2+6)</f>
        <v>0.05</v>
      </c>
      <c r="BK673" s="1">
        <f>INDEX(Input!$1:$1048576,BK$93,$C673*2+6)</f>
        <v>0.05</v>
      </c>
      <c r="BL673" s="1">
        <f>INDEX(Input!$1:$1048576,BL$93,$C673*2+6)</f>
        <v>5.5E-2</v>
      </c>
      <c r="BM673" s="1">
        <f>INDEX(Input!$1:$1048576,BM$93,$C673*2+6)</f>
        <v>0.06</v>
      </c>
      <c r="BN673" s="1">
        <f>INDEX(Input!$1:$1048576,BN$93,$C673*2+6)</f>
        <v>4.4999999999999998E-2</v>
      </c>
      <c r="BO673" s="1">
        <f>INDEX(Input!$1:$1048576,BO$93,$C673*2+6)</f>
        <v>4.4999999999999998E-2</v>
      </c>
      <c r="BP673" s="1">
        <f>INDEX(Input!$1:$1048576,BP$93,$C673*2+6)</f>
        <v>0.05</v>
      </c>
      <c r="BQ673" s="1">
        <f>INDEX(Input!$1:$1048576,BQ$93,$C673*2+6)</f>
        <v>5.45E-2</v>
      </c>
      <c r="BR673" s="1">
        <f>INDEX(Input!$1:$1048576,BR$93,$C673*2+6)</f>
        <v>5.45E-2</v>
      </c>
      <c r="BS673" s="1">
        <f>INDEX(Input!$1:$1048576,BS$93,$C673*2+6)</f>
        <v>0.05</v>
      </c>
      <c r="BT673" s="1">
        <f>INDEX(Input!$1:$1048576,BT$93,$C673*2+6)</f>
        <v>0.05</v>
      </c>
      <c r="BU673" s="1">
        <f>INDEX(Input!$1:$1048576,BU$93,$C673*2+6)</f>
        <v>0.05</v>
      </c>
      <c r="BV673" s="1">
        <f>INDEX(Input!$1:$1048576,BV$93,$C673*2+6)</f>
        <v>5.5E-2</v>
      </c>
      <c r="BW673" s="1">
        <f>INDEX(Input!$1:$1048576,BW$93,$C673*2+6)</f>
        <v>0.06</v>
      </c>
      <c r="BX673" s="127">
        <f>INDEX(Input!$1:$1048576,BX$93,$C673*2+6)</f>
        <v>19985</v>
      </c>
      <c r="BY673" s="20">
        <f>INDEX(Input!$1:$1048576,BY$93,$C673*2+6)</f>
        <v>0.1</v>
      </c>
      <c r="BZ673" s="20">
        <f>INDEX(Input!$1:$1048576,BZ$93,$C673*2+6)</f>
        <v>0.1</v>
      </c>
      <c r="CA673" s="20">
        <f>INDEX(Input!$1:$1048576,CA$93,$C673*2+6)</f>
        <v>0.1</v>
      </c>
      <c r="CB673" s="20">
        <f>INDEX(Input!$1:$1048576,CB$93,$C673*2+6)</f>
        <v>0.1</v>
      </c>
      <c r="CC673" s="20">
        <f>INDEX(Input!$1:$1048576,CC$93,$C673*2+6)</f>
        <v>0.1</v>
      </c>
      <c r="CD673" s="384">
        <f>INDEX(Input!$1:$1048576,CD$93,$C673*2+6)</f>
        <v>0.1</v>
      </c>
      <c r="CE673" s="384">
        <f>INDEX(Input!$1:$1048576,CE$93,$C673*2+6)</f>
        <v>0.1</v>
      </c>
      <c r="CF673" s="384">
        <f>INDEX(Input!$1:$1048576,CF$93,$C673*2+6)</f>
        <v>0.1</v>
      </c>
      <c r="CG673" s="384">
        <f>INDEX(Input!$1:$1048576,CG$93,$C673*2+6)</f>
        <v>0.1</v>
      </c>
      <c r="CH673" s="384">
        <f>INDEX(Input!$1:$1048576,CH$93,$C673*2+6)</f>
        <v>0.1</v>
      </c>
      <c r="CI673" s="304">
        <f t="shared" si="1992"/>
        <v>2017.2644913000609</v>
      </c>
      <c r="CJ673" s="16" t="str">
        <f>INDEX(Input!$1:$1048576,CJ$93,$C673*2+6)</f>
        <v>N</v>
      </c>
      <c r="CK673" s="1" t="str">
        <f t="shared" si="1993"/>
        <v>Market</v>
      </c>
      <c r="CL673" s="1" t="str">
        <f t="shared" si="1994"/>
        <v>Market</v>
      </c>
      <c r="CM673" s="1" t="str">
        <f t="shared" si="1995"/>
        <v>Market</v>
      </c>
      <c r="CN673" s="1" t="str">
        <f t="shared" si="1996"/>
        <v>Market</v>
      </c>
      <c r="CO673" s="1" t="str">
        <f t="shared" si="1997"/>
        <v>Market</v>
      </c>
      <c r="CP673" s="304">
        <f t="shared" si="1998"/>
        <v>2000</v>
      </c>
      <c r="CQ673" s="1">
        <f t="shared" si="1999"/>
        <v>0</v>
      </c>
      <c r="CR673" s="1">
        <f t="shared" si="2000"/>
        <v>0</v>
      </c>
      <c r="CS673" s="1">
        <f t="shared" si="2001"/>
        <v>0</v>
      </c>
      <c r="CT673" s="1">
        <f t="shared" si="2002"/>
        <v>3.7999999999999999E-2</v>
      </c>
      <c r="CU673" s="1">
        <f t="shared" si="2003"/>
        <v>3.9E-2</v>
      </c>
      <c r="CV673" s="304">
        <f t="shared" si="2004"/>
        <v>737.99367635402496</v>
      </c>
      <c r="CW673" s="20" t="s">
        <v>122</v>
      </c>
      <c r="CX673" s="20" t="s">
        <v>122</v>
      </c>
      <c r="CY673" s="20" t="s">
        <v>122</v>
      </c>
      <c r="CZ673" s="20" t="s">
        <v>122</v>
      </c>
      <c r="DA673" s="20" t="s">
        <v>122</v>
      </c>
      <c r="DB673" s="503">
        <f t="shared" si="2005"/>
        <v>0</v>
      </c>
      <c r="DC673" s="127">
        <v>0</v>
      </c>
      <c r="DD673" s="127">
        <v>0</v>
      </c>
      <c r="DE673" s="127">
        <v>0</v>
      </c>
      <c r="DF673" s="127">
        <v>0</v>
      </c>
      <c r="DG673" s="127">
        <v>0</v>
      </c>
      <c r="DH673" s="127">
        <v>0</v>
      </c>
      <c r="DI673" s="127">
        <v>0</v>
      </c>
      <c r="DJ673" s="127">
        <v>0</v>
      </c>
      <c r="DK673" s="127">
        <v>0</v>
      </c>
      <c r="DL673" s="127">
        <v>0</v>
      </c>
      <c r="DM673" s="304">
        <f>INDEX(Input!$1:$1048576,DM$93,$C673*2+6)</f>
        <v>21036.84210526316</v>
      </c>
      <c r="DN673" s="20">
        <v>0</v>
      </c>
      <c r="DO673" s="20">
        <v>0</v>
      </c>
      <c r="DP673" s="20">
        <v>0</v>
      </c>
      <c r="DQ673" s="20">
        <v>0</v>
      </c>
      <c r="DR673" s="20">
        <v>0</v>
      </c>
      <c r="DS673" s="20">
        <f>INDEX(Input!$1:$1048576,DS$93,$C673*2+6)</f>
        <v>0.6</v>
      </c>
      <c r="DT673" s="20">
        <f>INDEX(Input!$1:$1048576,DT$93,$C673*2+6)</f>
        <v>0.55000000000000004</v>
      </c>
      <c r="DU673" s="20">
        <f>INDEX(Input!$1:$1048576,DU$93,$C673*2+6)</f>
        <v>0.52</v>
      </c>
      <c r="DV673" s="20">
        <f>INDEX(Input!$1:$1048576,DV$93,$C673*2+6)</f>
        <v>0.5</v>
      </c>
      <c r="DW673" s="20">
        <f>INDEX(Input!$1:$1048576,DW$93,$C673*2+6)</f>
        <v>0.45</v>
      </c>
      <c r="DX673" s="20"/>
      <c r="DY673" s="7"/>
      <c r="DZ673" s="7"/>
      <c r="EA673" s="7"/>
      <c r="EB673" s="7"/>
      <c r="EC673" s="7"/>
      <c r="ED673" s="7"/>
      <c r="EE673" s="7"/>
      <c r="EF673" s="7"/>
      <c r="EG673" s="7"/>
      <c r="EH673" s="7"/>
      <c r="EI673" s="7"/>
      <c r="EJ673" s="7"/>
      <c r="EK673" s="7"/>
      <c r="EL673" s="7"/>
      <c r="EM673" s="7"/>
      <c r="EN673" s="7"/>
      <c r="EO673" s="7"/>
      <c r="EP673" s="7"/>
      <c r="EQ673" s="7"/>
      <c r="ER673" s="7"/>
      <c r="ES673" s="7"/>
      <c r="ET673" s="7"/>
      <c r="EU673" s="6"/>
      <c r="EV673" s="6"/>
      <c r="EW673" s="6"/>
      <c r="EX673" s="6"/>
      <c r="EY673" s="6"/>
      <c r="EZ673" s="6"/>
      <c r="FA673" s="6"/>
      <c r="FB673" s="6"/>
      <c r="FC673" s="6"/>
      <c r="FD673" s="6"/>
      <c r="FE673" s="6"/>
      <c r="FF673" s="6"/>
      <c r="FG673" s="6"/>
      <c r="FH673" s="6"/>
      <c r="FI673" s="6"/>
      <c r="FJ673" s="6"/>
      <c r="FK673" s="6"/>
      <c r="FL673" s="6"/>
      <c r="FM673" s="6"/>
      <c r="FN673" s="6"/>
      <c r="FO673" s="6"/>
      <c r="FP673" s="6"/>
      <c r="FQ673" s="6"/>
      <c r="FR673" s="6"/>
      <c r="FS673" s="6"/>
      <c r="FT673" s="7"/>
      <c r="FU673" s="7"/>
      <c r="FV673" s="7"/>
      <c r="FW673" s="6"/>
      <c r="FX673" s="6"/>
      <c r="FY673" s="6"/>
      <c r="FZ673" s="6"/>
      <c r="GA673" s="6"/>
      <c r="GB673" s="6"/>
      <c r="GC673" s="7"/>
      <c r="GD673" s="7"/>
      <c r="GE673" s="7"/>
      <c r="GF673" s="7"/>
      <c r="GG673" s="7"/>
      <c r="GH673" s="42"/>
      <c r="GI673" s="6"/>
      <c r="GJ673" s="14"/>
      <c r="GK673" s="14"/>
      <c r="GL673" s="14"/>
      <c r="GM673" s="14"/>
      <c r="GO673" s="5"/>
      <c r="GP673" s="5"/>
      <c r="GQ673" s="5"/>
      <c r="GR673" s="5"/>
      <c r="GS673" s="5"/>
      <c r="GT673" s="5"/>
      <c r="GU673" s="5"/>
      <c r="GV673" s="39"/>
      <c r="GW673" s="5"/>
      <c r="GX673" s="5"/>
      <c r="GY673" s="5"/>
      <c r="GZ673" s="5"/>
      <c r="HA673" s="5"/>
      <c r="HB673" s="39"/>
      <c r="HC673" s="5"/>
      <c r="HD673" s="5"/>
      <c r="HE673" s="5"/>
      <c r="HF673" s="5"/>
      <c r="HG673" s="5"/>
      <c r="HH673" s="39"/>
      <c r="HI673" s="16"/>
      <c r="HJ673" s="19"/>
      <c r="HK673" s="1"/>
      <c r="HL673" s="16"/>
      <c r="HM673" s="639">
        <f t="shared" si="2013"/>
        <v>2.3149872625708352E-2</v>
      </c>
      <c r="HN673" s="639">
        <f t="shared" si="2014"/>
        <v>1.3965040474190958E-3</v>
      </c>
      <c r="HO673" s="639">
        <f t="shared" si="2015"/>
        <v>3.5429561340050734E-3</v>
      </c>
      <c r="HP673" s="644">
        <f t="shared" ref="HP673:ID673" si="2072">HP173+HP273+HP373+HP473+HP573</f>
        <v>795.57813844047951</v>
      </c>
      <c r="HQ673" s="644">
        <f t="shared" si="2072"/>
        <v>52.837505515432568</v>
      </c>
      <c r="HR673" s="644">
        <f t="shared" si="2072"/>
        <v>-187.90083962703753</v>
      </c>
      <c r="HS673" s="644">
        <f t="shared" si="2072"/>
        <v>-328.06952280521966</v>
      </c>
      <c r="HT673" s="644">
        <f t="shared" si="2072"/>
        <v>559.18971078307652</v>
      </c>
      <c r="HU673" s="644">
        <f t="shared" si="2072"/>
        <v>58.795727012031634</v>
      </c>
      <c r="HV673" s="644">
        <f t="shared" si="2072"/>
        <v>0</v>
      </c>
      <c r="HW673" s="644">
        <f t="shared" si="2072"/>
        <v>0</v>
      </c>
      <c r="HX673" s="644">
        <f t="shared" si="2072"/>
        <v>0</v>
      </c>
      <c r="HY673" s="644">
        <f t="shared" si="2072"/>
        <v>2396</v>
      </c>
      <c r="HZ673" s="644">
        <f t="shared" si="2072"/>
        <v>3223</v>
      </c>
      <c r="IA673" s="644">
        <f t="shared" si="2072"/>
        <v>830</v>
      </c>
      <c r="IB673" s="644">
        <f t="shared" si="2072"/>
        <v>2863.5086156352595</v>
      </c>
      <c r="IC673" s="644">
        <f t="shared" si="2072"/>
        <v>3835.0272162985088</v>
      </c>
      <c r="ID673" s="644">
        <f t="shared" si="2072"/>
        <v>700.89488738499415</v>
      </c>
      <c r="IE673" s="20">
        <f t="shared" si="2017"/>
        <v>0.3869903948366033</v>
      </c>
      <c r="IF673" s="20">
        <f t="shared" si="2018"/>
        <v>0.51828679283202816</v>
      </c>
      <c r="IG673" s="20">
        <f t="shared" si="2019"/>
        <v>9.4722812331368506E-2</v>
      </c>
      <c r="IH673" s="21"/>
      <c r="II673" s="19"/>
      <c r="IJ673" s="19"/>
      <c r="IK673" s="19"/>
      <c r="IL673" s="19">
        <f t="shared" si="2020"/>
        <v>917.61100820557476</v>
      </c>
      <c r="IM673" s="19">
        <f t="shared" si="2021"/>
        <v>1336.154992582562</v>
      </c>
      <c r="IN673" s="19">
        <f t="shared" si="2022"/>
        <v>116.13163188610088</v>
      </c>
      <c r="IO673" s="39"/>
      <c r="IP673" s="39"/>
      <c r="IQ673" s="39"/>
      <c r="IR673" s="39"/>
      <c r="IS673" s="39"/>
      <c r="IT673" s="39"/>
      <c r="IU673" s="39"/>
      <c r="IV673" s="39"/>
      <c r="IW673" s="39"/>
      <c r="IX673" s="19">
        <f t="shared" si="2023"/>
        <v>1554.1790484140233</v>
      </c>
      <c r="IY673" s="19">
        <f t="shared" si="2024"/>
        <v>2412.3001201524512</v>
      </c>
      <c r="IZ673" s="19">
        <f t="shared" si="2025"/>
        <v>3993.0862952928574</v>
      </c>
      <c r="JA673" s="19">
        <f t="shared" ref="JA673:JC673" si="2073">IFERROR((JA173*IB173+JA273*IB273+JA373*IB373+JA473*IB473+JA573*IB573)/IB673,0)</f>
        <v>2471.7900566195981</v>
      </c>
      <c r="JB673" s="19">
        <f t="shared" si="2073"/>
        <v>3748.4551127350132</v>
      </c>
      <c r="JC673" s="19">
        <f t="shared" si="2073"/>
        <v>4109.2179271789582</v>
      </c>
      <c r="JD673" s="19">
        <f t="shared" si="2027"/>
        <v>3288.5704669635247</v>
      </c>
      <c r="JE673" s="21"/>
      <c r="JF673" s="1">
        <f t="shared" si="2028"/>
        <v>2.6651855648468406E-2</v>
      </c>
      <c r="JG673" s="15">
        <f t="shared" si="2029"/>
        <v>6449</v>
      </c>
      <c r="JH673" s="1">
        <f t="shared" si="2030"/>
        <v>0.10242127528746699</v>
      </c>
      <c r="JI673" s="1">
        <f t="shared" si="2031"/>
        <v>4.4955173668768569E-2</v>
      </c>
      <c r="JJ673" s="1">
        <f t="shared" si="2032"/>
        <v>0</v>
      </c>
      <c r="JK673" s="1">
        <f t="shared" si="2033"/>
        <v>0.14737644895623556</v>
      </c>
      <c r="JL673" s="15">
        <f t="shared" ref="JL673:JM673" si="2074">JL173+JL273+JL373+JL473+JL573</f>
        <v>950.43071931876307</v>
      </c>
      <c r="JM673" s="15">
        <f t="shared" si="2074"/>
        <v>7399.4307193187633</v>
      </c>
      <c r="JN673" s="21"/>
      <c r="JO673" s="19">
        <f>INDEX(Input!$1:$1048576,JO$93,$C673*2+6)</f>
        <v>5995.5</v>
      </c>
      <c r="JP673" s="19">
        <f>INDEX(Input!$1:$1048576,JP$93,$C673*2+6)</f>
        <v>2296.6050414551746</v>
      </c>
      <c r="JQ673" s="39">
        <f t="shared" si="2053"/>
        <v>2706.9295330364753</v>
      </c>
      <c r="JR673" s="39">
        <f t="shared" si="2054"/>
        <v>991.96542550835011</v>
      </c>
      <c r="JS673" s="39">
        <f t="shared" si="2055"/>
        <v>24.333549335894354</v>
      </c>
      <c r="JT673" s="39">
        <f t="shared" si="2056"/>
        <v>9.5227434235499331</v>
      </c>
      <c r="JU673" s="385">
        <f>(JQ673*JM673-INDEX(Input!$1:$1048576,Input!A$18,$C673*2+6)*JL673*INDEX(Input!$1:$1048576,Input!A$19,$C673*2+6))/1000000</f>
        <v>20.029737541781291</v>
      </c>
      <c r="JV673" s="39">
        <f t="shared" si="2057"/>
        <v>-3.8244360458742861</v>
      </c>
      <c r="JW673" s="1">
        <f t="shared" si="2058"/>
        <v>-0.1603256567166684</v>
      </c>
      <c r="JX673" s="19">
        <f t="shared" si="2059"/>
        <v>10019.397763548212</v>
      </c>
      <c r="JZ673" s="341"/>
      <c r="KA673" s="60"/>
      <c r="KB673" s="469">
        <f t="shared" si="2035"/>
        <v>0</v>
      </c>
      <c r="KI673" s="472"/>
      <c r="KJ673" s="472"/>
      <c r="KK673" s="472"/>
      <c r="KN673" s="26">
        <f t="shared" si="2036"/>
        <v>6002</v>
      </c>
      <c r="KO673" s="794">
        <f t="shared" si="2037"/>
        <v>0.1210768582444377</v>
      </c>
      <c r="KP673" s="795">
        <f t="shared" si="2038"/>
        <v>891.37302135643176</v>
      </c>
      <c r="KQ673" s="795">
        <f t="shared" si="2039"/>
        <v>825.7372103583798</v>
      </c>
      <c r="KR673" s="26">
        <f t="shared" si="2040"/>
        <v>2.3800685550220249</v>
      </c>
      <c r="KS673" s="26">
        <f t="shared" si="2041"/>
        <v>2.5692543248773423</v>
      </c>
      <c r="KT673" s="796">
        <f t="shared" si="2049"/>
        <v>4286.2445668946921</v>
      </c>
      <c r="KU673" s="797">
        <f t="shared" si="2042"/>
        <v>4.4139999636668215</v>
      </c>
    </row>
    <row r="674" spans="1:307" s="26" customFormat="1" ht="15" outlineLevel="1">
      <c r="A674" s="561">
        <f t="shared" si="2009"/>
        <v>6074</v>
      </c>
      <c r="B674" s="561">
        <f t="shared" si="2043"/>
        <v>74</v>
      </c>
      <c r="C674" s="561">
        <f t="shared" si="2044"/>
        <v>6</v>
      </c>
      <c r="D674" s="561" t="str">
        <f t="shared" si="1953"/>
        <v xml:space="preserve">1000 CC, 0/2.8/3.8/3.9, 2000 Combo, </v>
      </c>
      <c r="E674" s="475">
        <f>INDEX(Input!$1:$1048576,E$93,$C674*2+MIN($B674,2)+5)
+INDEX(Scenarios!E$121:E$199,MATCH($B674,Scenarios!$B$121:$B$199,0))</f>
        <v>2267.2644913000609</v>
      </c>
      <c r="F674" s="475">
        <f>INDEX(Input!$1:$1048576,F$93,$C674*2+MIN($B674,2)+5)
+INDEX(Scenarios!F$121:F$199,MATCH($B674,Scenarios!$B$121:$B$199,0))</f>
        <v>0</v>
      </c>
      <c r="G674" s="475">
        <f>INDEX(Input!$1:$1048576,G$93,$C674*2+MIN($B674,2)+5)
+INDEX(Scenarios!G$121:G$199,MATCH($B674,Scenarios!$B$121:$B$199,0))</f>
        <v>0</v>
      </c>
      <c r="H674" s="475">
        <f>INDEX(Input!$1:$1048576,H$93,$C674*2+MIN($B674,2)+5)
+INDEX(Scenarios!H$121:H$199,MATCH($B674,Scenarios!$B$121:$B$199,0))</f>
        <v>0</v>
      </c>
      <c r="I674" s="476">
        <f>INDEX(Input!$1:$1048576,I$93,$C674*2+MIN($B674,2)+5)
+INDEX(Scenarios!I$121:I$199,MATCH($B674,Scenarios!$B$121:$B$199,0))</f>
        <v>0.7</v>
      </c>
      <c r="J674" s="476" t="str">
        <f>INDEX(Input!$1:$1048576,J$93,$C674*2+MIN($B674,2)+5)</f>
        <v>Market</v>
      </c>
      <c r="K674" s="476" t="str">
        <f>INDEX(Input!$1:$1048576,K$93,$C674*2+MIN($B674,2)+5)</f>
        <v>Market</v>
      </c>
      <c r="L674" s="476" t="str">
        <f>INDEX(Input!$1:$1048576,L$93,$C674*2+MIN($B674,2)+5)</f>
        <v>Market</v>
      </c>
      <c r="M674" s="476" t="str">
        <f>INDEX(Input!$1:$1048576,M$93,$C674*2+MIN($B674,2)+5)</f>
        <v>Market</v>
      </c>
      <c r="N674" s="476" t="str">
        <f>INDEX(Input!$1:$1048576,N$93,$C674*2+MIN($B674,2)+5)</f>
        <v>Market</v>
      </c>
      <c r="O674" s="476" t="str">
        <f>INDEX(Input!$1:$1048576,O$93,$C674*2+MIN($B674,2)+5)</f>
        <v>Market</v>
      </c>
      <c r="P674" s="476" t="str">
        <f>INDEX(Input!$1:$1048576,P$93,$C674*2+MIN($B674,2)+5)</f>
        <v>N</v>
      </c>
      <c r="Q674" s="477">
        <f>INDEX(Input!$1:$1048576,Q$93,$C674*2+MIN($B674,2)+5)
+INDEX(Scenarios!Q$121:Q$199,MATCH($B674,Scenarios!$B$121:$B$199,0))</f>
        <v>2000</v>
      </c>
      <c r="R674" s="478">
        <f>IFERROR(MAX(0,INDEX(Input!$1:$1048576,R$93,$C674*2+MIN($B674,2)+5)
+INDEX(Scenarios!R$121:R$199,MATCH($B674,Scenarios!$B$121:$B$199,0)),),"Market")</f>
        <v>0</v>
      </c>
      <c r="S674" s="478">
        <f>IFERROR(MAX(0,INDEX(Input!$1:$1048576,S$93,$C674*2+MIN($B674,2)+5)
+INDEX(Scenarios!S$121:S$199,MATCH($B674,Scenarios!$B$121:$B$199,0)),),"Market")</f>
        <v>0</v>
      </c>
      <c r="T674" s="478">
        <f>IFERROR(MAX(0,INDEX(Input!$1:$1048576,T$93,$C674*2+MIN($B674,2)+5)
+INDEX(Scenarios!T$121:T$199,MATCH($B674,Scenarios!$B$121:$B$199,0)),),"Market")</f>
        <v>0</v>
      </c>
      <c r="U674" s="478">
        <f>IFERROR(MAX(0,INDEX(Input!$1:$1048576,U$93,$C674*2+MIN($B674,2)+5)
+INDEX(Scenarios!U$121:U$199,MATCH($B674,Scenarios!$B$121:$B$199,0)),),"Market")</f>
        <v>0</v>
      </c>
      <c r="V674" s="478">
        <f>IFERROR(MAX(0,INDEX(Input!$1:$1048576,V$93,$C674*2+MIN($B674,2)+5)
+INDEX(Scenarios!V$121:V$199,MATCH($B674,Scenarios!$B$121:$B$199,0)),),"Market")</f>
        <v>3.7999999999999999E-2</v>
      </c>
      <c r="W674" s="885">
        <f>IFERROR(MAX(0,INDEX(Input!$1:$1048576,W$93,$C674*2+MIN($B674,2)+5)-0%),"Market")</f>
        <v>3.9E-2</v>
      </c>
      <c r="X674" s="476" t="str">
        <f>INDEX(Input!$1:$1048576,X$93,$C674*2+MIN($B674,2)+5)</f>
        <v>Y</v>
      </c>
      <c r="Y674" s="475">
        <f>INDEX(Input!$1:$1048576,Y$93,$C674*2+MIN($B674,2)+5)
++INDEX(Scenarios!Y$121:Y$199,MATCH($B674,Scenarios!$B$121:$B$199,0))</f>
        <v>737.99367635402496</v>
      </c>
      <c r="Z674" s="477">
        <f>INDEX(Input!$1:$1048576,Z$93,$C674*2+MIN($B674,2)+5)
+INDEX(Scenarios!Z$121:Z$199,MATCH($B674,Scenarios!$B$121:$B$199,0))</f>
        <v>0</v>
      </c>
      <c r="AA674" s="475">
        <f>INDEX(Input!$1:$1048576,AA$93,$C674*2+MIN($B674,2)+5)</f>
        <v>0</v>
      </c>
      <c r="AB674" s="476">
        <f>INDEX(Input!$1:$1048576,AB$93,$C674*2+MIN($B674,2)+5)</f>
        <v>0.27</v>
      </c>
      <c r="AC674" s="475">
        <f>INDEX(Input!$1:$1048576,AC$93,$C674*2+MIN($B674,2)+5)
+INDEX(Scenarios!AC$121:AC$199,MATCH($B674,Scenarios!$B$121:$B$199,0))</f>
        <v>0</v>
      </c>
      <c r="AD674" s="476">
        <f>INDEX(Input!$1:$1048576,AD$93,$C674*2+MIN($B674,2)+5)</f>
        <v>0.27</v>
      </c>
      <c r="AE674" s="475">
        <f>INDEX(Input!$1:$1048576,AE$93,$C674*2+MIN($B674,2)+5)
+INDEX(Scenarios!AE$121:AE$199,MATCH($B674,Scenarios!$B$121:$B$199,0))</f>
        <v>0</v>
      </c>
      <c r="AF674" s="476">
        <f>INDEX(Input!$1:$1048576,AF$93,$C674*2+MIN($B674,2)+5)</f>
        <v>1</v>
      </c>
      <c r="AG674" s="475">
        <f>INDEX(Input!$1:$1048576,AG$93,$C674*2+MIN($B674,2)+5)</f>
        <v>500</v>
      </c>
      <c r="AH674" s="476">
        <f>INDEX(Input!$1:$1048576,AH$93,$C674*2+MIN($B674,2)+5)</f>
        <v>1</v>
      </c>
      <c r="AI674" s="475">
        <f>INDEX(Input!$1:$1048576,AI$93,$C674*2+MIN($B674,2)+5)</f>
        <v>0</v>
      </c>
      <c r="AJ674" s="476">
        <f>INDEX(Input!$1:$1048576,AJ$93,$C674*2+MIN($B674,2)+5)</f>
        <v>0.27</v>
      </c>
      <c r="AK674" s="150">
        <f>ROUND(INDEX(Input!$1:$1048576,AK$93,$C673*2+MIN($B674,1)+5)+(Y674-VLOOKUP($C674*1000+1,$A:$HH,Y$92,FALSE)),0)</f>
        <v>3061</v>
      </c>
      <c r="AL674" s="150">
        <f>ROUND(INDEX(Input!$1:$1048576,AL$93,$C673*2+MIN($B674,1)+5)-(Y674-VLOOKUP($C674*1000+1,$A:$HH,Y$92,FALSE))/36,0)</f>
        <v>3552</v>
      </c>
      <c r="AM674" s="32" t="str">
        <f t="shared" si="2010"/>
        <v>std/std/std/std</v>
      </c>
      <c r="AN674" s="32" t="str">
        <f t="shared" si="2011"/>
        <v>$2000 + 0/0/0/3.8/3.9</v>
      </c>
      <c r="AO674" s="32" t="str">
        <f t="shared" si="2012"/>
        <v>0/0/0/3.8/3.9</v>
      </c>
      <c r="AP674" s="32" t="str">
        <f t="shared" si="1990"/>
        <v>0/2.8/3.8/3.9</v>
      </c>
      <c r="AQ674" s="536">
        <f t="shared" si="1991"/>
        <v>0.38360801439482073</v>
      </c>
      <c r="AR674" s="32"/>
      <c r="AS674" s="302"/>
      <c r="AT674" s="3">
        <f t="shared" si="2045"/>
        <v>74</v>
      </c>
      <c r="AU674" s="41" t="s">
        <v>121</v>
      </c>
      <c r="AV674" s="41" t="s">
        <v>116</v>
      </c>
      <c r="AW674" s="41" t="str">
        <f>INDEX(Input!$1:$1048576,AW$93,$C674*2+6)</f>
        <v>Kia</v>
      </c>
      <c r="AX674" s="41" t="str">
        <f>INDEX(Input!$1:$1048576,AX$93,$C674*2+6)</f>
        <v>National</v>
      </c>
      <c r="AY674" s="41" t="str">
        <f>IF(LEN(D674)=0,"",INDEX(Input!$1:$1048576,AY$93,$C674*2+6))</f>
        <v>Compact SUV (52)</v>
      </c>
      <c r="AZ674" s="41" t="str">
        <f>INDEX(Input!$1:$1048576,AZ$93,$C674*2+6)</f>
        <v>Kia Soul</v>
      </c>
      <c r="BA674" s="3">
        <f>INDEX(Input!$1:$1048576,BA$93,$C674*2+6)</f>
        <v>2020</v>
      </c>
      <c r="BB674" s="128">
        <f>INDEX(Input!$1:$1048576,BB$93,$C674*2+6)</f>
        <v>1</v>
      </c>
      <c r="BC674" s="128">
        <f>INDEX(Input!$1:$1048576,BC$93,$C674*2+6)</f>
        <v>0.7</v>
      </c>
      <c r="BD674" s="1">
        <f>INDEX(Input!$1:$1048576,BD$93,$C674*2+6)</f>
        <v>4.4999999999999998E-2</v>
      </c>
      <c r="BE674" s="1">
        <f>INDEX(Input!$1:$1048576,BE$93,$C674*2+6)</f>
        <v>4.4999999999999998E-2</v>
      </c>
      <c r="BF674" s="1">
        <f>INDEX(Input!$1:$1048576,BF$93,$C674*2+6)</f>
        <v>0.05</v>
      </c>
      <c r="BG674" s="1">
        <f>INDEX(Input!$1:$1048576,BG$93,$C674*2+6)</f>
        <v>5.45E-2</v>
      </c>
      <c r="BH674" s="1">
        <f>INDEX(Input!$1:$1048576,BH$93,$C674*2+6)</f>
        <v>5.45E-2</v>
      </c>
      <c r="BI674" s="1">
        <f>INDEX(Input!$1:$1048576,BI$93,$C674*2+6)</f>
        <v>0.05</v>
      </c>
      <c r="BJ674" s="1">
        <f>INDEX(Input!$1:$1048576,BJ$93,$C674*2+6)</f>
        <v>0.05</v>
      </c>
      <c r="BK674" s="1">
        <f>INDEX(Input!$1:$1048576,BK$93,$C674*2+6)</f>
        <v>0.05</v>
      </c>
      <c r="BL674" s="1">
        <f>INDEX(Input!$1:$1048576,BL$93,$C674*2+6)</f>
        <v>5.5E-2</v>
      </c>
      <c r="BM674" s="1">
        <f>INDEX(Input!$1:$1048576,BM$93,$C674*2+6)</f>
        <v>0.06</v>
      </c>
      <c r="BN674" s="1">
        <f>INDEX(Input!$1:$1048576,BN$93,$C674*2+6)</f>
        <v>4.4999999999999998E-2</v>
      </c>
      <c r="BO674" s="1">
        <f>INDEX(Input!$1:$1048576,BO$93,$C674*2+6)</f>
        <v>4.4999999999999998E-2</v>
      </c>
      <c r="BP674" s="1">
        <f>INDEX(Input!$1:$1048576,BP$93,$C674*2+6)</f>
        <v>0.05</v>
      </c>
      <c r="BQ674" s="1">
        <f>INDEX(Input!$1:$1048576,BQ$93,$C674*2+6)</f>
        <v>5.45E-2</v>
      </c>
      <c r="BR674" s="1">
        <f>INDEX(Input!$1:$1048576,BR$93,$C674*2+6)</f>
        <v>5.45E-2</v>
      </c>
      <c r="BS674" s="1">
        <f>INDEX(Input!$1:$1048576,BS$93,$C674*2+6)</f>
        <v>0.05</v>
      </c>
      <c r="BT674" s="1">
        <f>INDEX(Input!$1:$1048576,BT$93,$C674*2+6)</f>
        <v>0.05</v>
      </c>
      <c r="BU674" s="1">
        <f>INDEX(Input!$1:$1048576,BU$93,$C674*2+6)</f>
        <v>0.05</v>
      </c>
      <c r="BV674" s="1">
        <f>INDEX(Input!$1:$1048576,BV$93,$C674*2+6)</f>
        <v>5.5E-2</v>
      </c>
      <c r="BW674" s="1">
        <f>INDEX(Input!$1:$1048576,BW$93,$C674*2+6)</f>
        <v>0.06</v>
      </c>
      <c r="BX674" s="127">
        <f>INDEX(Input!$1:$1048576,BX$93,$C674*2+6)</f>
        <v>19985</v>
      </c>
      <c r="BY674" s="20">
        <f>INDEX(Input!$1:$1048576,BY$93,$C674*2+6)</f>
        <v>0.1</v>
      </c>
      <c r="BZ674" s="20">
        <f>INDEX(Input!$1:$1048576,BZ$93,$C674*2+6)</f>
        <v>0.1</v>
      </c>
      <c r="CA674" s="20">
        <f>INDEX(Input!$1:$1048576,CA$93,$C674*2+6)</f>
        <v>0.1</v>
      </c>
      <c r="CB674" s="20">
        <f>INDEX(Input!$1:$1048576,CB$93,$C674*2+6)</f>
        <v>0.1</v>
      </c>
      <c r="CC674" s="20">
        <f>INDEX(Input!$1:$1048576,CC$93,$C674*2+6)</f>
        <v>0.1</v>
      </c>
      <c r="CD674" s="384">
        <f>INDEX(Input!$1:$1048576,CD$93,$C674*2+6)</f>
        <v>0.1</v>
      </c>
      <c r="CE674" s="384">
        <f>INDEX(Input!$1:$1048576,CE$93,$C674*2+6)</f>
        <v>0.1</v>
      </c>
      <c r="CF674" s="384">
        <f>INDEX(Input!$1:$1048576,CF$93,$C674*2+6)</f>
        <v>0.1</v>
      </c>
      <c r="CG674" s="384">
        <f>INDEX(Input!$1:$1048576,CG$93,$C674*2+6)</f>
        <v>0.1</v>
      </c>
      <c r="CH674" s="384">
        <f>INDEX(Input!$1:$1048576,CH$93,$C674*2+6)</f>
        <v>0.1</v>
      </c>
      <c r="CI674" s="304">
        <f t="shared" si="1992"/>
        <v>2267.2644913000609</v>
      </c>
      <c r="CJ674" s="16" t="str">
        <f>INDEX(Input!$1:$1048576,CJ$93,$C674*2+6)</f>
        <v>N</v>
      </c>
      <c r="CK674" s="1" t="str">
        <f t="shared" si="1993"/>
        <v>Market</v>
      </c>
      <c r="CL674" s="1" t="str">
        <f t="shared" si="1994"/>
        <v>Market</v>
      </c>
      <c r="CM674" s="1" t="str">
        <f t="shared" si="1995"/>
        <v>Market</v>
      </c>
      <c r="CN674" s="1" t="str">
        <f t="shared" si="1996"/>
        <v>Market</v>
      </c>
      <c r="CO674" s="1" t="str">
        <f t="shared" si="1997"/>
        <v>Market</v>
      </c>
      <c r="CP674" s="304">
        <f t="shared" si="1998"/>
        <v>2500</v>
      </c>
      <c r="CQ674" s="1">
        <f t="shared" si="1999"/>
        <v>0</v>
      </c>
      <c r="CR674" s="1">
        <f t="shared" si="2000"/>
        <v>0</v>
      </c>
      <c r="CS674" s="1">
        <f t="shared" si="2001"/>
        <v>0</v>
      </c>
      <c r="CT674" s="1">
        <f t="shared" si="2002"/>
        <v>3.7999999999999999E-2</v>
      </c>
      <c r="CU674" s="1">
        <f t="shared" si="2003"/>
        <v>3.9E-2</v>
      </c>
      <c r="CV674" s="304">
        <f t="shared" si="2004"/>
        <v>737.99367635402496</v>
      </c>
      <c r="CW674" s="20" t="s">
        <v>122</v>
      </c>
      <c r="CX674" s="20" t="s">
        <v>122</v>
      </c>
      <c r="CY674" s="20" t="s">
        <v>122</v>
      </c>
      <c r="CZ674" s="20" t="s">
        <v>122</v>
      </c>
      <c r="DA674" s="20" t="s">
        <v>122</v>
      </c>
      <c r="DB674" s="503">
        <f t="shared" si="2005"/>
        <v>0</v>
      </c>
      <c r="DC674" s="127">
        <v>0</v>
      </c>
      <c r="DD674" s="127">
        <v>0</v>
      </c>
      <c r="DE674" s="127">
        <v>0</v>
      </c>
      <c r="DF674" s="127">
        <v>0</v>
      </c>
      <c r="DG674" s="127">
        <v>0</v>
      </c>
      <c r="DH674" s="127">
        <v>0</v>
      </c>
      <c r="DI674" s="127">
        <v>0</v>
      </c>
      <c r="DJ674" s="127">
        <v>0</v>
      </c>
      <c r="DK674" s="127">
        <v>0</v>
      </c>
      <c r="DL674" s="127">
        <v>0</v>
      </c>
      <c r="DM674" s="304">
        <f>INDEX(Input!$1:$1048576,DM$93,$C674*2+6)</f>
        <v>21036.84210526316</v>
      </c>
      <c r="DN674" s="20">
        <v>0</v>
      </c>
      <c r="DO674" s="20">
        <v>0</v>
      </c>
      <c r="DP674" s="20">
        <v>0</v>
      </c>
      <c r="DQ674" s="20">
        <v>0</v>
      </c>
      <c r="DR674" s="20">
        <v>0</v>
      </c>
      <c r="DS674" s="20">
        <f>INDEX(Input!$1:$1048576,DS$93,$C674*2+6)</f>
        <v>0.6</v>
      </c>
      <c r="DT674" s="20">
        <f>INDEX(Input!$1:$1048576,DT$93,$C674*2+6)</f>
        <v>0.55000000000000004</v>
      </c>
      <c r="DU674" s="20">
        <f>INDEX(Input!$1:$1048576,DU$93,$C674*2+6)</f>
        <v>0.52</v>
      </c>
      <c r="DV674" s="20">
        <f>INDEX(Input!$1:$1048576,DV$93,$C674*2+6)</f>
        <v>0.5</v>
      </c>
      <c r="DW674" s="20">
        <f>INDEX(Input!$1:$1048576,DW$93,$C674*2+6)</f>
        <v>0.45</v>
      </c>
      <c r="DX674" s="20"/>
      <c r="DY674" s="7"/>
      <c r="DZ674" s="7"/>
      <c r="EA674" s="7"/>
      <c r="EB674" s="7"/>
      <c r="EC674" s="7"/>
      <c r="ED674" s="7"/>
      <c r="EE674" s="7"/>
      <c r="EF674" s="7"/>
      <c r="EG674" s="7"/>
      <c r="EH674" s="7"/>
      <c r="EI674" s="7"/>
      <c r="EJ674" s="7"/>
      <c r="EK674" s="7"/>
      <c r="EL674" s="7"/>
      <c r="EM674" s="7"/>
      <c r="EN674" s="7"/>
      <c r="EO674" s="7"/>
      <c r="EP674" s="7"/>
      <c r="EQ674" s="7"/>
      <c r="ER674" s="7"/>
      <c r="ES674" s="7"/>
      <c r="ET674" s="7"/>
      <c r="EU674" s="6"/>
      <c r="EV674" s="6"/>
      <c r="EW674" s="6"/>
      <c r="EX674" s="6"/>
      <c r="EY674" s="6"/>
      <c r="EZ674" s="6"/>
      <c r="FA674" s="6"/>
      <c r="FB674" s="6"/>
      <c r="FC674" s="6"/>
      <c r="FD674" s="6"/>
      <c r="FE674" s="6"/>
      <c r="FF674" s="6"/>
      <c r="FG674" s="6"/>
      <c r="FH674" s="6"/>
      <c r="FI674" s="6"/>
      <c r="FJ674" s="6"/>
      <c r="FK674" s="6"/>
      <c r="FL674" s="6"/>
      <c r="FM674" s="6"/>
      <c r="FN674" s="6"/>
      <c r="FO674" s="6"/>
      <c r="FP674" s="6"/>
      <c r="FQ674" s="6"/>
      <c r="FR674" s="6"/>
      <c r="FS674" s="6"/>
      <c r="FT674" s="7"/>
      <c r="FU674" s="7"/>
      <c r="FV674" s="7"/>
      <c r="FW674" s="6"/>
      <c r="FX674" s="6"/>
      <c r="FY674" s="6"/>
      <c r="FZ674" s="6"/>
      <c r="GA674" s="6"/>
      <c r="GB674" s="6"/>
      <c r="GC674" s="7"/>
      <c r="GD674" s="7"/>
      <c r="GE674" s="7"/>
      <c r="GF674" s="7"/>
      <c r="GG674" s="7"/>
      <c r="GH674" s="42"/>
      <c r="GI674" s="6"/>
      <c r="GJ674" s="14"/>
      <c r="GK674" s="14"/>
      <c r="GL674" s="14"/>
      <c r="GM674" s="14"/>
      <c r="GO674" s="5"/>
      <c r="GP674" s="5"/>
      <c r="GQ674" s="5"/>
      <c r="GR674" s="5"/>
      <c r="GS674" s="5"/>
      <c r="GT674" s="5"/>
      <c r="GU674" s="5"/>
      <c r="GV674" s="39"/>
      <c r="GW674" s="5"/>
      <c r="GX674" s="5"/>
      <c r="GY674" s="5"/>
      <c r="GZ674" s="5"/>
      <c r="HA674" s="5"/>
      <c r="HB674" s="39"/>
      <c r="HC674" s="5"/>
      <c r="HD674" s="5"/>
      <c r="HE674" s="5"/>
      <c r="HF674" s="5"/>
      <c r="HG674" s="5"/>
      <c r="HH674" s="39"/>
      <c r="HI674" s="16"/>
      <c r="HJ674" s="19"/>
      <c r="HK674" s="1"/>
      <c r="HL674" s="16"/>
      <c r="HM674" s="639">
        <f t="shared" si="2013"/>
        <v>2.3149872625708352E-2</v>
      </c>
      <c r="HN674" s="639">
        <f t="shared" si="2014"/>
        <v>1.3965040474190958E-3</v>
      </c>
      <c r="HO674" s="639">
        <f t="shared" si="2015"/>
        <v>3.5429561340050734E-3</v>
      </c>
      <c r="HP674" s="644">
        <f t="shared" ref="HP674:ID674" si="2075">HP174+HP274+HP374+HP474+HP574</f>
        <v>992.2788271940509</v>
      </c>
      <c r="HQ674" s="644">
        <f t="shared" si="2075"/>
        <v>122.45994213906741</v>
      </c>
      <c r="HR674" s="644">
        <f t="shared" si="2075"/>
        <v>-248.78754469396864</v>
      </c>
      <c r="HS674" s="644">
        <f t="shared" si="2075"/>
        <v>-417.78196248914048</v>
      </c>
      <c r="HT674" s="644">
        <f t="shared" si="2075"/>
        <v>772.88838635200716</v>
      </c>
      <c r="HU674" s="644">
        <f t="shared" si="2075"/>
        <v>73.515877695448609</v>
      </c>
      <c r="HV674" s="644">
        <f t="shared" si="2075"/>
        <v>0</v>
      </c>
      <c r="HW674" s="644">
        <f t="shared" si="2075"/>
        <v>0</v>
      </c>
      <c r="HX674" s="644">
        <f t="shared" si="2075"/>
        <v>0</v>
      </c>
      <c r="HY674" s="644">
        <f t="shared" si="2075"/>
        <v>2396</v>
      </c>
      <c r="HZ674" s="644">
        <f t="shared" si="2075"/>
        <v>3223</v>
      </c>
      <c r="IA674" s="644">
        <f t="shared" si="2075"/>
        <v>830</v>
      </c>
      <c r="IB674" s="644">
        <f t="shared" si="2075"/>
        <v>2970.4968647049104</v>
      </c>
      <c r="IC674" s="644">
        <f t="shared" si="2075"/>
        <v>4118.3483284910753</v>
      </c>
      <c r="ID674" s="644">
        <f t="shared" si="2075"/>
        <v>654.72833300147988</v>
      </c>
      <c r="IE674" s="20">
        <f t="shared" si="2017"/>
        <v>0.38360801439482073</v>
      </c>
      <c r="IF674" s="20">
        <f t="shared" si="2018"/>
        <v>0.53184079863879308</v>
      </c>
      <c r="IG674" s="20">
        <f t="shared" si="2019"/>
        <v>8.4551186966386138E-2</v>
      </c>
      <c r="IH674" s="21"/>
      <c r="II674" s="19"/>
      <c r="IJ674" s="19"/>
      <c r="IK674" s="19"/>
      <c r="IL674" s="19">
        <f t="shared" si="2020"/>
        <v>1165.8509350214235</v>
      </c>
      <c r="IM674" s="19">
        <f t="shared" si="2021"/>
        <v>1835.3080279064343</v>
      </c>
      <c r="IN674" s="19">
        <f t="shared" si="2022"/>
        <v>117.92672671896707</v>
      </c>
      <c r="IO674" s="39"/>
      <c r="IP674" s="39"/>
      <c r="IQ674" s="39"/>
      <c r="IR674" s="39"/>
      <c r="IS674" s="39"/>
      <c r="IT674" s="39"/>
      <c r="IU674" s="39"/>
      <c r="IV674" s="39"/>
      <c r="IW674" s="39"/>
      <c r="IX674" s="19">
        <f t="shared" si="2023"/>
        <v>1554.1790484140233</v>
      </c>
      <c r="IY674" s="19">
        <f t="shared" si="2024"/>
        <v>2412.3001201524512</v>
      </c>
      <c r="IZ674" s="19">
        <f t="shared" si="2025"/>
        <v>3993.0862952928574</v>
      </c>
      <c r="JA674" s="19">
        <f t="shared" ref="JA674:JC674" si="2076">IFERROR((JA174*IB174+JA274*IB274+JA374*IB374+JA474*IB474+JA574*IB574)/IB674,0)</f>
        <v>2720.0299834354469</v>
      </c>
      <c r="JB674" s="19">
        <f t="shared" si="2076"/>
        <v>4247.6081480588855</v>
      </c>
      <c r="JC674" s="19">
        <f t="shared" si="2076"/>
        <v>4111.0130220118244</v>
      </c>
      <c r="JD674" s="19">
        <f t="shared" si="2027"/>
        <v>3650.0676414537011</v>
      </c>
      <c r="JE674" s="21"/>
      <c r="JF674" s="1">
        <f t="shared" si="2028"/>
        <v>2.6651855648468406E-2</v>
      </c>
      <c r="JG674" s="15">
        <f t="shared" si="2029"/>
        <v>6449</v>
      </c>
      <c r="JH674" s="1">
        <f t="shared" si="2030"/>
        <v>0.13427682193195067</v>
      </c>
      <c r="JI674" s="1">
        <f t="shared" si="2031"/>
        <v>6.6463374408174181E-2</v>
      </c>
      <c r="JJ674" s="1">
        <f t="shared" si="2032"/>
        <v>0</v>
      </c>
      <c r="JK674" s="1">
        <f t="shared" si="2033"/>
        <v>0.20074019634012483</v>
      </c>
      <c r="JL674" s="15">
        <f t="shared" ref="JL674:JM674" si="2077">JL174+JL274+JL374+JL474+JL574</f>
        <v>1294.5735261974651</v>
      </c>
      <c r="JM674" s="15">
        <f t="shared" si="2077"/>
        <v>7743.5735261974651</v>
      </c>
      <c r="JN674" s="21"/>
      <c r="JO674" s="19">
        <f>INDEX(Input!$1:$1048576,JO$93,$C674*2+6)</f>
        <v>5995.5</v>
      </c>
      <c r="JP674" s="19">
        <f>INDEX(Input!$1:$1048576,JP$93,$C674*2+6)</f>
        <v>2296.6050414551746</v>
      </c>
      <c r="JQ674" s="39">
        <f t="shared" si="2053"/>
        <v>2345.4323585462989</v>
      </c>
      <c r="JR674" s="39">
        <f t="shared" si="2054"/>
        <v>1353.4625999985265</v>
      </c>
      <c r="JS674" s="39">
        <f t="shared" si="2055"/>
        <v>28.2645671571909</v>
      </c>
      <c r="JT674" s="39">
        <f t="shared" si="2056"/>
        <v>13.453761244846479</v>
      </c>
      <c r="JU674" s="385">
        <f>(JQ674*JM674-INDEX(Input!$1:$1048576,Input!A$18,$C674*2+6)*JL674*INDEX(Input!$1:$1048576,Input!A$19,$C674*2+6))/1000000</f>
        <v>18.162027919126</v>
      </c>
      <c r="JV674" s="39">
        <f t="shared" si="2057"/>
        <v>-5.6921456685295766</v>
      </c>
      <c r="JW674" s="1">
        <f t="shared" si="2058"/>
        <v>-0.23862263128139705</v>
      </c>
      <c r="JX674" s="19">
        <f t="shared" si="2059"/>
        <v>10392.427291761516</v>
      </c>
      <c r="JZ674" s="341"/>
      <c r="KA674" s="60"/>
      <c r="KB674" s="469">
        <f t="shared" si="2035"/>
        <v>0</v>
      </c>
      <c r="KI674" s="472"/>
      <c r="KJ674" s="472"/>
      <c r="KK674" s="472"/>
      <c r="KN674" s="26">
        <f t="shared" si="2036"/>
        <v>6002</v>
      </c>
      <c r="KO674" s="794">
        <f t="shared" si="2037"/>
        <v>0.17321742842583099</v>
      </c>
      <c r="KP674" s="795">
        <f t="shared" si="2038"/>
        <v>1265.121743753517</v>
      </c>
      <c r="KQ674" s="795">
        <f t="shared" si="2039"/>
        <v>1187.2343848485561</v>
      </c>
      <c r="KR674" s="26">
        <f t="shared" si="2040"/>
        <v>2.3990929558561205</v>
      </c>
      <c r="KS674" s="26">
        <f t="shared" si="2041"/>
        <v>2.5564831194866695</v>
      </c>
      <c r="KT674" s="796">
        <f t="shared" si="2049"/>
        <v>4286.2445668946921</v>
      </c>
      <c r="KU674" s="797">
        <f t="shared" si="2042"/>
        <v>4.4164597124670975</v>
      </c>
    </row>
    <row r="675" spans="1:307" s="26" customFormat="1" ht="15" outlineLevel="1">
      <c r="A675" s="561">
        <f t="shared" si="2009"/>
        <v>6075</v>
      </c>
      <c r="B675" s="561">
        <f t="shared" si="2043"/>
        <v>75</v>
      </c>
      <c r="C675" s="561">
        <f t="shared" si="2044"/>
        <v>6</v>
      </c>
      <c r="D675" s="561" t="str">
        <f t="shared" si="1953"/>
        <v xml:space="preserve">-500 OLP/CBP, </v>
      </c>
      <c r="E675" s="475">
        <f>INDEX(Input!$1:$1048576,E$93,$C675*2+MIN($B675,2)+5)
+INDEX(Scenarios!E$121:E$199,MATCH($B675,Scenarios!$B$121:$B$199,0))</f>
        <v>1267.2644913000609</v>
      </c>
      <c r="F675" s="475">
        <f>INDEX(Input!$1:$1048576,F$93,$C675*2+MIN($B675,2)+5)
+INDEX(Scenarios!F$121:F$199,MATCH($B675,Scenarios!$B$121:$B$199,0))</f>
        <v>0</v>
      </c>
      <c r="G675" s="475">
        <f>INDEX(Input!$1:$1048576,G$93,$C675*2+MIN($B675,2)+5)
+INDEX(Scenarios!G$121:G$199,MATCH($B675,Scenarios!$B$121:$B$199,0))</f>
        <v>0</v>
      </c>
      <c r="H675" s="475">
        <f>INDEX(Input!$1:$1048576,H$93,$C675*2+MIN($B675,2)+5)
+INDEX(Scenarios!H$121:H$199,MATCH($B675,Scenarios!$B$121:$B$199,0))</f>
        <v>0</v>
      </c>
      <c r="I675" s="476">
        <f>INDEX(Input!$1:$1048576,I$93,$C675*2+MIN($B675,2)+5)
+INDEX(Scenarios!I$121:I$199,MATCH($B675,Scenarios!$B$121:$B$199,0))</f>
        <v>0.7</v>
      </c>
      <c r="J675" s="476" t="str">
        <f>INDEX(Input!$1:$1048576,J$93,$C675*2+MIN($B675,2)+5)</f>
        <v>Market</v>
      </c>
      <c r="K675" s="476" t="str">
        <f>INDEX(Input!$1:$1048576,K$93,$C675*2+MIN($B675,2)+5)</f>
        <v>Market</v>
      </c>
      <c r="L675" s="476" t="str">
        <f>INDEX(Input!$1:$1048576,L$93,$C675*2+MIN($B675,2)+5)</f>
        <v>Market</v>
      </c>
      <c r="M675" s="476" t="str">
        <f>INDEX(Input!$1:$1048576,M$93,$C675*2+MIN($B675,2)+5)</f>
        <v>Market</v>
      </c>
      <c r="N675" s="476" t="str">
        <f>INDEX(Input!$1:$1048576,N$93,$C675*2+MIN($B675,2)+5)</f>
        <v>Market</v>
      </c>
      <c r="O675" s="476" t="str">
        <f>INDEX(Input!$1:$1048576,O$93,$C675*2+MIN($B675,2)+5)</f>
        <v>Market</v>
      </c>
      <c r="P675" s="476" t="str">
        <f>INDEX(Input!$1:$1048576,P$93,$C675*2+MIN($B675,2)+5)</f>
        <v>N</v>
      </c>
      <c r="Q675" s="477">
        <f>INDEX(Input!$1:$1048576,Q$93,$C675*2+MIN($B675,2)+5)
+INDEX(Scenarios!Q$121:Q$199,MATCH($B675,Scenarios!$B$121:$B$199,0))</f>
        <v>0</v>
      </c>
      <c r="R675" s="478">
        <f>IFERROR(MAX(0,INDEX(Input!$1:$1048576,R$93,$C675*2+MIN($B675,2)+5)
+INDEX(Scenarios!R$121:R$199,MATCH($B675,Scenarios!$B$121:$B$199,0)),),"Market")</f>
        <v>0</v>
      </c>
      <c r="S675" s="478">
        <f>IFERROR(MAX(0,INDEX(Input!$1:$1048576,S$93,$C675*2+MIN($B675,2)+5)
+INDEX(Scenarios!S$121:S$199,MATCH($B675,Scenarios!$B$121:$B$199,0)),),"Market")</f>
        <v>0</v>
      </c>
      <c r="T675" s="478">
        <f>IFERROR(MAX(0,INDEX(Input!$1:$1048576,T$93,$C675*2+MIN($B675,2)+5)
+INDEX(Scenarios!T$121:T$199,MATCH($B675,Scenarios!$B$121:$B$199,0)),),"Market")</f>
        <v>0</v>
      </c>
      <c r="U675" s="478">
        <f>IFERROR(MAX(0,INDEX(Input!$1:$1048576,U$93,$C675*2+MIN($B675,2)+5)
+INDEX(Scenarios!U$121:U$199,MATCH($B675,Scenarios!$B$121:$B$199,0)),),"Market")</f>
        <v>0</v>
      </c>
      <c r="V675" s="478">
        <f>IFERROR(MAX(0,INDEX(Input!$1:$1048576,V$93,$C675*2+MIN($B675,2)+5)
+INDEX(Scenarios!V$121:V$199,MATCH($B675,Scenarios!$B$121:$B$199,0)),),"Market")</f>
        <v>1.9E-2</v>
      </c>
      <c r="W675" s="885">
        <f>IFERROR(MAX(0,INDEX(Input!$1:$1048576,W$93,$C675*2+MIN($B675,2)+5)-0%),"Market")</f>
        <v>3.9E-2</v>
      </c>
      <c r="X675" s="476" t="str">
        <f>INDEX(Input!$1:$1048576,X$93,$C675*2+MIN($B675,2)+5)</f>
        <v>Y</v>
      </c>
      <c r="Y675" s="475">
        <f>INDEX(Input!$1:$1048576,Y$93,$C675*2+MIN($B675,2)+5)
++INDEX(Scenarios!Y$121:Y$199,MATCH($B675,Scenarios!$B$121:$B$199,0))</f>
        <v>737.99367635402496</v>
      </c>
      <c r="Z675" s="477">
        <f>INDEX(Input!$1:$1048576,Z$93,$C675*2+MIN($B675,2)+5)
+INDEX(Scenarios!Z$121:Z$199,MATCH($B675,Scenarios!$B$121:$B$199,0))</f>
        <v>0</v>
      </c>
      <c r="AA675" s="475">
        <f>INDEX(Input!$1:$1048576,AA$93,$C675*2+MIN($B675,2)+5)</f>
        <v>0</v>
      </c>
      <c r="AB675" s="476">
        <f>INDEX(Input!$1:$1048576,AB$93,$C675*2+MIN($B675,2)+5)</f>
        <v>0.27</v>
      </c>
      <c r="AC675" s="475">
        <f>INDEX(Input!$1:$1048576,AC$93,$C675*2+MIN($B675,2)+5)
+INDEX(Scenarios!AC$121:AC$199,MATCH($B675,Scenarios!$B$121:$B$199,0))</f>
        <v>0</v>
      </c>
      <c r="AD675" s="476">
        <f>INDEX(Input!$1:$1048576,AD$93,$C675*2+MIN($B675,2)+5)</f>
        <v>0.27</v>
      </c>
      <c r="AE675" s="475">
        <f>INDEX(Input!$1:$1048576,AE$93,$C675*2+MIN($B675,2)+5)
+INDEX(Scenarios!AE$121:AE$199,MATCH($B675,Scenarios!$B$121:$B$199,0))</f>
        <v>-500</v>
      </c>
      <c r="AF675" s="476">
        <f>INDEX(Input!$1:$1048576,AF$93,$C675*2+MIN($B675,2)+5)</f>
        <v>1</v>
      </c>
      <c r="AG675" s="475">
        <f>INDEX(Input!$1:$1048576,AG$93,$C675*2+MIN($B675,2)+5)</f>
        <v>500</v>
      </c>
      <c r="AH675" s="476">
        <f>INDEX(Input!$1:$1048576,AH$93,$C675*2+MIN($B675,2)+5)</f>
        <v>1</v>
      </c>
      <c r="AI675" s="475">
        <f>INDEX(Input!$1:$1048576,AI$93,$C675*2+MIN($B675,2)+5)</f>
        <v>0</v>
      </c>
      <c r="AJ675" s="476">
        <f>INDEX(Input!$1:$1048576,AJ$93,$C675*2+MIN($B675,2)+5)</f>
        <v>0.27</v>
      </c>
      <c r="AK675" s="150">
        <f>ROUND(INDEX(Input!$1:$1048576,AK$93,$C674*2+MIN($B675,1)+5)+(Y675-VLOOKUP($C675*1000+1,$A:$HH,Y$92,FALSE)),0)</f>
        <v>3061</v>
      </c>
      <c r="AL675" s="150">
        <f>ROUND(INDEX(Input!$1:$1048576,AL$93,$C674*2+MIN($B675,1)+5)-(Y675-VLOOKUP($C675*1000+1,$A:$HH,Y$92,FALSE))/36,0)</f>
        <v>3552</v>
      </c>
      <c r="AM675" s="32" t="str">
        <f t="shared" si="2010"/>
        <v>std/std/std/std</v>
      </c>
      <c r="AN675" s="32" t="str">
        <f t="shared" si="2011"/>
        <v>$0 + 0/0/0/1.9/3.9</v>
      </c>
      <c r="AO675" s="32" t="str">
        <f t="shared" si="2012"/>
        <v>0/0/0/1.9/3.9</v>
      </c>
      <c r="AP675" s="32" t="str">
        <f t="shared" si="1990"/>
        <v>0/0.9/1.9/3.9</v>
      </c>
      <c r="AQ675" s="536">
        <f t="shared" si="1991"/>
        <v>-499.62605863277179</v>
      </c>
      <c r="AR675" s="32"/>
      <c r="AS675" s="302"/>
      <c r="AT675" s="3">
        <f t="shared" si="2045"/>
        <v>75</v>
      </c>
      <c r="AU675" s="41" t="s">
        <v>121</v>
      </c>
      <c r="AV675" s="41" t="s">
        <v>116</v>
      </c>
      <c r="AW675" s="41" t="str">
        <f>INDEX(Input!$1:$1048576,AW$93,$C675*2+6)</f>
        <v>Kia</v>
      </c>
      <c r="AX675" s="41" t="str">
        <f>INDEX(Input!$1:$1048576,AX$93,$C675*2+6)</f>
        <v>National</v>
      </c>
      <c r="AY675" s="41" t="str">
        <f>IF(LEN(D675)=0,"",INDEX(Input!$1:$1048576,AY$93,$C675*2+6))</f>
        <v>Compact SUV (52)</v>
      </c>
      <c r="AZ675" s="41" t="str">
        <f>INDEX(Input!$1:$1048576,AZ$93,$C675*2+6)</f>
        <v>Kia Soul</v>
      </c>
      <c r="BA675" s="3">
        <f>INDEX(Input!$1:$1048576,BA$93,$C675*2+6)</f>
        <v>2020</v>
      </c>
      <c r="BB675" s="128">
        <f>INDEX(Input!$1:$1048576,BB$93,$C675*2+6)</f>
        <v>1</v>
      </c>
      <c r="BC675" s="128">
        <f>INDEX(Input!$1:$1048576,BC$93,$C675*2+6)</f>
        <v>0.7</v>
      </c>
      <c r="BD675" s="1">
        <f>INDEX(Input!$1:$1048576,BD$93,$C675*2+6)</f>
        <v>4.4999999999999998E-2</v>
      </c>
      <c r="BE675" s="1">
        <f>INDEX(Input!$1:$1048576,BE$93,$C675*2+6)</f>
        <v>4.4999999999999998E-2</v>
      </c>
      <c r="BF675" s="1">
        <f>INDEX(Input!$1:$1048576,BF$93,$C675*2+6)</f>
        <v>0.05</v>
      </c>
      <c r="BG675" s="1">
        <f>INDEX(Input!$1:$1048576,BG$93,$C675*2+6)</f>
        <v>5.45E-2</v>
      </c>
      <c r="BH675" s="1">
        <f>INDEX(Input!$1:$1048576,BH$93,$C675*2+6)</f>
        <v>5.45E-2</v>
      </c>
      <c r="BI675" s="1">
        <f>INDEX(Input!$1:$1048576,BI$93,$C675*2+6)</f>
        <v>0.05</v>
      </c>
      <c r="BJ675" s="1">
        <f>INDEX(Input!$1:$1048576,BJ$93,$C675*2+6)</f>
        <v>0.05</v>
      </c>
      <c r="BK675" s="1">
        <f>INDEX(Input!$1:$1048576,BK$93,$C675*2+6)</f>
        <v>0.05</v>
      </c>
      <c r="BL675" s="1">
        <f>INDEX(Input!$1:$1048576,BL$93,$C675*2+6)</f>
        <v>5.5E-2</v>
      </c>
      <c r="BM675" s="1">
        <f>INDEX(Input!$1:$1048576,BM$93,$C675*2+6)</f>
        <v>0.06</v>
      </c>
      <c r="BN675" s="1">
        <f>INDEX(Input!$1:$1048576,BN$93,$C675*2+6)</f>
        <v>4.4999999999999998E-2</v>
      </c>
      <c r="BO675" s="1">
        <f>INDEX(Input!$1:$1048576,BO$93,$C675*2+6)</f>
        <v>4.4999999999999998E-2</v>
      </c>
      <c r="BP675" s="1">
        <f>INDEX(Input!$1:$1048576,BP$93,$C675*2+6)</f>
        <v>0.05</v>
      </c>
      <c r="BQ675" s="1">
        <f>INDEX(Input!$1:$1048576,BQ$93,$C675*2+6)</f>
        <v>5.45E-2</v>
      </c>
      <c r="BR675" s="1">
        <f>INDEX(Input!$1:$1048576,BR$93,$C675*2+6)</f>
        <v>5.45E-2</v>
      </c>
      <c r="BS675" s="1">
        <f>INDEX(Input!$1:$1048576,BS$93,$C675*2+6)</f>
        <v>0.05</v>
      </c>
      <c r="BT675" s="1">
        <f>INDEX(Input!$1:$1048576,BT$93,$C675*2+6)</f>
        <v>0.05</v>
      </c>
      <c r="BU675" s="1">
        <f>INDEX(Input!$1:$1048576,BU$93,$C675*2+6)</f>
        <v>0.05</v>
      </c>
      <c r="BV675" s="1">
        <f>INDEX(Input!$1:$1048576,BV$93,$C675*2+6)</f>
        <v>5.5E-2</v>
      </c>
      <c r="BW675" s="1">
        <f>INDEX(Input!$1:$1048576,BW$93,$C675*2+6)</f>
        <v>0.06</v>
      </c>
      <c r="BX675" s="127">
        <f>INDEX(Input!$1:$1048576,BX$93,$C675*2+6)</f>
        <v>19985</v>
      </c>
      <c r="BY675" s="20">
        <f>INDEX(Input!$1:$1048576,BY$93,$C675*2+6)</f>
        <v>0.1</v>
      </c>
      <c r="BZ675" s="20">
        <f>INDEX(Input!$1:$1048576,BZ$93,$C675*2+6)</f>
        <v>0.1</v>
      </c>
      <c r="CA675" s="20">
        <f>INDEX(Input!$1:$1048576,CA$93,$C675*2+6)</f>
        <v>0.1</v>
      </c>
      <c r="CB675" s="20">
        <f>INDEX(Input!$1:$1048576,CB$93,$C675*2+6)</f>
        <v>0.1</v>
      </c>
      <c r="CC675" s="20">
        <f>INDEX(Input!$1:$1048576,CC$93,$C675*2+6)</f>
        <v>0.1</v>
      </c>
      <c r="CD675" s="384">
        <f>INDEX(Input!$1:$1048576,CD$93,$C675*2+6)</f>
        <v>0.1</v>
      </c>
      <c r="CE675" s="384">
        <f>INDEX(Input!$1:$1048576,CE$93,$C675*2+6)</f>
        <v>0.1</v>
      </c>
      <c r="CF675" s="384">
        <f>INDEX(Input!$1:$1048576,CF$93,$C675*2+6)</f>
        <v>0.1</v>
      </c>
      <c r="CG675" s="384">
        <f>INDEX(Input!$1:$1048576,CG$93,$C675*2+6)</f>
        <v>0.1</v>
      </c>
      <c r="CH675" s="384">
        <f>INDEX(Input!$1:$1048576,CH$93,$C675*2+6)</f>
        <v>0.1</v>
      </c>
      <c r="CI675" s="304">
        <f t="shared" si="1992"/>
        <v>1267.2644913000609</v>
      </c>
      <c r="CJ675" s="16" t="str">
        <f>INDEX(Input!$1:$1048576,CJ$93,$C675*2+6)</f>
        <v>N</v>
      </c>
      <c r="CK675" s="1" t="str">
        <f t="shared" si="1993"/>
        <v>Market</v>
      </c>
      <c r="CL675" s="1" t="str">
        <f t="shared" si="1994"/>
        <v>Market</v>
      </c>
      <c r="CM675" s="1" t="str">
        <f t="shared" si="1995"/>
        <v>Market</v>
      </c>
      <c r="CN675" s="1" t="str">
        <f t="shared" si="1996"/>
        <v>Market</v>
      </c>
      <c r="CO675" s="1" t="str">
        <f t="shared" si="1997"/>
        <v>Market</v>
      </c>
      <c r="CP675" s="304">
        <f t="shared" si="1998"/>
        <v>500</v>
      </c>
      <c r="CQ675" s="1">
        <f t="shared" si="1999"/>
        <v>0</v>
      </c>
      <c r="CR675" s="1">
        <f t="shared" si="2000"/>
        <v>0</v>
      </c>
      <c r="CS675" s="1">
        <f t="shared" si="2001"/>
        <v>0</v>
      </c>
      <c r="CT675" s="1">
        <f t="shared" si="2002"/>
        <v>1.9E-2</v>
      </c>
      <c r="CU675" s="1">
        <f t="shared" si="2003"/>
        <v>3.9E-2</v>
      </c>
      <c r="CV675" s="304">
        <f t="shared" si="2004"/>
        <v>737.99367635402496</v>
      </c>
      <c r="CW675" s="20" t="s">
        <v>122</v>
      </c>
      <c r="CX675" s="20" t="s">
        <v>122</v>
      </c>
      <c r="CY675" s="20" t="s">
        <v>122</v>
      </c>
      <c r="CZ675" s="20" t="s">
        <v>122</v>
      </c>
      <c r="DA675" s="20" t="s">
        <v>122</v>
      </c>
      <c r="DB675" s="503">
        <f t="shared" si="2005"/>
        <v>-500</v>
      </c>
      <c r="DC675" s="127">
        <v>0</v>
      </c>
      <c r="DD675" s="127">
        <v>0</v>
      </c>
      <c r="DE675" s="127">
        <v>0</v>
      </c>
      <c r="DF675" s="127">
        <v>0</v>
      </c>
      <c r="DG675" s="127">
        <v>0</v>
      </c>
      <c r="DH675" s="127">
        <v>0</v>
      </c>
      <c r="DI675" s="127">
        <v>0</v>
      </c>
      <c r="DJ675" s="127">
        <v>0</v>
      </c>
      <c r="DK675" s="127">
        <v>0</v>
      </c>
      <c r="DL675" s="127">
        <v>0</v>
      </c>
      <c r="DM675" s="304">
        <f>INDEX(Input!$1:$1048576,DM$93,$C675*2+6)</f>
        <v>21036.84210526316</v>
      </c>
      <c r="DN675" s="20">
        <v>0</v>
      </c>
      <c r="DO675" s="20">
        <v>0</v>
      </c>
      <c r="DP675" s="20">
        <v>0</v>
      </c>
      <c r="DQ675" s="20">
        <v>0</v>
      </c>
      <c r="DR675" s="20">
        <v>0</v>
      </c>
      <c r="DS675" s="20">
        <f>INDEX(Input!$1:$1048576,DS$93,$C675*2+6)</f>
        <v>0.6</v>
      </c>
      <c r="DT675" s="20">
        <f>INDEX(Input!$1:$1048576,DT$93,$C675*2+6)</f>
        <v>0.55000000000000004</v>
      </c>
      <c r="DU675" s="20">
        <f>INDEX(Input!$1:$1048576,DU$93,$C675*2+6)</f>
        <v>0.52</v>
      </c>
      <c r="DV675" s="20">
        <f>INDEX(Input!$1:$1048576,DV$93,$C675*2+6)</f>
        <v>0.5</v>
      </c>
      <c r="DW675" s="20">
        <f>INDEX(Input!$1:$1048576,DW$93,$C675*2+6)</f>
        <v>0.45</v>
      </c>
      <c r="DX675" s="20"/>
      <c r="DY675" s="7"/>
      <c r="DZ675" s="7"/>
      <c r="EA675" s="7"/>
      <c r="EB675" s="7"/>
      <c r="EC675" s="7"/>
      <c r="ED675" s="7"/>
      <c r="EE675" s="7"/>
      <c r="EF675" s="7"/>
      <c r="EG675" s="7"/>
      <c r="EH675" s="7"/>
      <c r="EI675" s="7"/>
      <c r="EJ675" s="7"/>
      <c r="EK675" s="7"/>
      <c r="EL675" s="7"/>
      <c r="EM675" s="7"/>
      <c r="EN675" s="7"/>
      <c r="EO675" s="7"/>
      <c r="EP675" s="7"/>
      <c r="EQ675" s="7"/>
      <c r="ER675" s="7"/>
      <c r="ES675" s="7"/>
      <c r="ET675" s="7"/>
      <c r="EU675" s="6"/>
      <c r="EV675" s="6"/>
      <c r="EW675" s="6"/>
      <c r="EX675" s="6"/>
      <c r="EY675" s="6"/>
      <c r="EZ675" s="6"/>
      <c r="FA675" s="6"/>
      <c r="FB675" s="6"/>
      <c r="FC675" s="6"/>
      <c r="FD675" s="6"/>
      <c r="FE675" s="6"/>
      <c r="FF675" s="6"/>
      <c r="FG675" s="6"/>
      <c r="FH675" s="6"/>
      <c r="FI675" s="6"/>
      <c r="FJ675" s="6"/>
      <c r="FK675" s="6"/>
      <c r="FL675" s="6"/>
      <c r="FM675" s="6"/>
      <c r="FN675" s="6"/>
      <c r="FO675" s="6"/>
      <c r="FP675" s="6"/>
      <c r="FQ675" s="6"/>
      <c r="FR675" s="6"/>
      <c r="FS675" s="6"/>
      <c r="FT675" s="7"/>
      <c r="FU675" s="7"/>
      <c r="FV675" s="7"/>
      <c r="FW675" s="6"/>
      <c r="FX675" s="6"/>
      <c r="FY675" s="6"/>
      <c r="FZ675" s="6"/>
      <c r="GA675" s="6"/>
      <c r="GB675" s="6"/>
      <c r="GC675" s="7"/>
      <c r="GD675" s="7"/>
      <c r="GE675" s="7"/>
      <c r="GF675" s="7"/>
      <c r="GG675" s="7"/>
      <c r="GH675" s="42"/>
      <c r="GI675" s="6"/>
      <c r="GJ675" s="14"/>
      <c r="GK675" s="14"/>
      <c r="GL675" s="14"/>
      <c r="GM675" s="14"/>
      <c r="GO675" s="5"/>
      <c r="GP675" s="5"/>
      <c r="GQ675" s="5"/>
      <c r="GR675" s="5"/>
      <c r="GS675" s="5"/>
      <c r="GT675" s="5"/>
      <c r="GU675" s="5"/>
      <c r="GV675" s="39"/>
      <c r="GW675" s="5"/>
      <c r="GX675" s="5"/>
      <c r="GY675" s="5"/>
      <c r="GZ675" s="5"/>
      <c r="HA675" s="5"/>
      <c r="HB675" s="39"/>
      <c r="HC675" s="5"/>
      <c r="HD675" s="5"/>
      <c r="HE675" s="5"/>
      <c r="HF675" s="5"/>
      <c r="HG675" s="5"/>
      <c r="HH675" s="39"/>
      <c r="HI675" s="16"/>
      <c r="HJ675" s="19"/>
      <c r="HK675" s="1"/>
      <c r="HL675" s="16"/>
      <c r="HM675" s="639">
        <f t="shared" si="2013"/>
        <v>2.3149872625708352E-2</v>
      </c>
      <c r="HN675" s="639">
        <f t="shared" si="2014"/>
        <v>1.3965040474190958E-3</v>
      </c>
      <c r="HO675" s="639">
        <f t="shared" si="2015"/>
        <v>3.5429561340050734E-3</v>
      </c>
      <c r="HP675" s="644">
        <f t="shared" ref="HP675:ID675" si="2078">HP175+HP275+HP375+HP475+HP575</f>
        <v>-77.935726785382073</v>
      </c>
      <c r="HQ675" s="644">
        <f t="shared" si="2078"/>
        <v>-3.8729905824190527</v>
      </c>
      <c r="HR675" s="644">
        <f t="shared" si="2078"/>
        <v>-18.626823577426823</v>
      </c>
      <c r="HS675" s="644">
        <f t="shared" si="2078"/>
        <v>47.216075031006028</v>
      </c>
      <c r="HT675" s="644">
        <f t="shared" si="2078"/>
        <v>-54.970334433820206</v>
      </c>
      <c r="HU675" s="644">
        <f t="shared" si="2078"/>
        <v>-15.539567579867199</v>
      </c>
      <c r="HV675" s="644">
        <f t="shared" si="2078"/>
        <v>0</v>
      </c>
      <c r="HW675" s="644">
        <f t="shared" si="2078"/>
        <v>0</v>
      </c>
      <c r="HX675" s="644">
        <f t="shared" si="2078"/>
        <v>0</v>
      </c>
      <c r="HY675" s="644">
        <f t="shared" si="2078"/>
        <v>2396</v>
      </c>
      <c r="HZ675" s="644">
        <f t="shared" si="2078"/>
        <v>3223</v>
      </c>
      <c r="IA675" s="644">
        <f t="shared" si="2078"/>
        <v>830</v>
      </c>
      <c r="IB675" s="644">
        <f t="shared" si="2078"/>
        <v>2365.2803482456247</v>
      </c>
      <c r="IC675" s="644">
        <f t="shared" si="2078"/>
        <v>3164.1566749837611</v>
      </c>
      <c r="ID675" s="644">
        <f t="shared" si="2078"/>
        <v>795.83360884270598</v>
      </c>
      <c r="IE675" s="20">
        <f t="shared" si="2017"/>
        <v>0.37394136722823257</v>
      </c>
      <c r="IF675" s="20">
        <f t="shared" si="2018"/>
        <v>0.50024052076760184</v>
      </c>
      <c r="IG675" s="20">
        <f t="shared" si="2019"/>
        <v>0.12581811200416562</v>
      </c>
      <c r="IH675" s="21"/>
      <c r="II675" s="19"/>
      <c r="IJ675" s="19"/>
      <c r="IK675" s="19"/>
      <c r="IL675" s="19">
        <f t="shared" si="2020"/>
        <v>-135.919863818473</v>
      </c>
      <c r="IM675" s="19">
        <f t="shared" si="2021"/>
        <v>-135.00304351029035</v>
      </c>
      <c r="IN675" s="19">
        <f t="shared" si="2022"/>
        <v>-128.45199024082422</v>
      </c>
      <c r="IO675" s="39"/>
      <c r="IP675" s="39"/>
      <c r="IQ675" s="39"/>
      <c r="IR675" s="39"/>
      <c r="IS675" s="39"/>
      <c r="IT675" s="39"/>
      <c r="IU675" s="39"/>
      <c r="IV675" s="39"/>
      <c r="IW675" s="39"/>
      <c r="IX675" s="19">
        <f t="shared" si="2023"/>
        <v>1554.1790484140233</v>
      </c>
      <c r="IY675" s="19">
        <f t="shared" si="2024"/>
        <v>2412.3001201524512</v>
      </c>
      <c r="IZ675" s="19">
        <f t="shared" si="2025"/>
        <v>3993.0862952928574</v>
      </c>
      <c r="JA675" s="19">
        <f t="shared" ref="JA675:JC675" si="2079">IFERROR((JA175*IB175+JA275*IB275+JA375*IB375+JA475*IB475+JA575*IB575)/IB675,0)</f>
        <v>1418.2591845955503</v>
      </c>
      <c r="JB675" s="19">
        <f t="shared" si="2079"/>
        <v>2277.2970766421608</v>
      </c>
      <c r="JC675" s="19">
        <f t="shared" si="2079"/>
        <v>3864.6343050520331</v>
      </c>
      <c r="JD675" s="19">
        <f t="shared" si="2027"/>
        <v>2155.7830459818479</v>
      </c>
      <c r="JE675" s="21"/>
      <c r="JF675" s="1">
        <f t="shared" si="2028"/>
        <v>2.6651855648468406E-2</v>
      </c>
      <c r="JG675" s="15">
        <f t="shared" si="2029"/>
        <v>6449</v>
      </c>
      <c r="JH675" s="1">
        <f t="shared" si="2030"/>
        <v>-1.5573816242088376E-2</v>
      </c>
      <c r="JI675" s="1">
        <f t="shared" si="2031"/>
        <v>-3.6120060447637427E-3</v>
      </c>
      <c r="JJ675" s="1">
        <f t="shared" si="2032"/>
        <v>0</v>
      </c>
      <c r="JK675" s="1">
        <f t="shared" si="2033"/>
        <v>-1.9185822286852124E-2</v>
      </c>
      <c r="JL675" s="15">
        <f t="shared" ref="JL675:JM675" si="2080">JL175+JL275+JL375+JL475+JL575</f>
        <v>-123.72936792790934</v>
      </c>
      <c r="JM675" s="15">
        <f t="shared" si="2080"/>
        <v>6325.2706320720899</v>
      </c>
      <c r="JN675" s="21"/>
      <c r="JO675" s="19">
        <f>INDEX(Input!$1:$1048576,JO$93,$C675*2+6)</f>
        <v>5995.5</v>
      </c>
      <c r="JP675" s="19">
        <f>INDEX(Input!$1:$1048576,JP$93,$C675*2+6)</f>
        <v>2296.6050414551746</v>
      </c>
      <c r="JQ675" s="39">
        <f t="shared" si="2053"/>
        <v>3839.7169540181521</v>
      </c>
      <c r="JR675" s="39">
        <f t="shared" si="2054"/>
        <v>-140.82199547332675</v>
      </c>
      <c r="JS675" s="39">
        <f t="shared" si="2055"/>
        <v>13.635911189867899</v>
      </c>
      <c r="JT675" s="39">
        <f t="shared" si="2056"/>
        <v>-1.1748947224765216</v>
      </c>
      <c r="JU675" s="385">
        <f>(JQ675*JM675-INDEX(Input!$1:$1048576,Input!A$18,$C675*2+6)*JL675*INDEX(Input!$1:$1048576,Input!A$19,$C675*2+6))/1000000</f>
        <v>24.287248884720317</v>
      </c>
      <c r="JV675" s="39">
        <f t="shared" si="2057"/>
        <v>0.43307529706473957</v>
      </c>
      <c r="JW675" s="1">
        <f t="shared" si="2058"/>
        <v>1.8155116356194122E-2</v>
      </c>
      <c r="JX675" s="19">
        <f t="shared" si="2059"/>
        <v>9495.6819238022108</v>
      </c>
      <c r="JZ675" s="341"/>
      <c r="KA675" s="60"/>
      <c r="KB675" s="469">
        <f t="shared" si="2035"/>
        <v>0</v>
      </c>
      <c r="KI675" s="472"/>
      <c r="KJ675" s="472"/>
      <c r="KK675" s="472"/>
      <c r="KN675" s="26">
        <f t="shared" si="2036"/>
        <v>6002</v>
      </c>
      <c r="KO675" s="794">
        <f t="shared" si="2037"/>
        <v>-4.1667555689738456E-2</v>
      </c>
      <c r="KP675" s="795">
        <f t="shared" si="2038"/>
        <v>-298.93519317101362</v>
      </c>
      <c r="KQ675" s="795">
        <f t="shared" si="2039"/>
        <v>-307.05021062329706</v>
      </c>
      <c r="KR675" s="26">
        <f t="shared" si="2040"/>
        <v>2.4423549828327245</v>
      </c>
      <c r="KS675" s="26">
        <f t="shared" si="2041"/>
        <v>2.3778060829308947</v>
      </c>
      <c r="KT675" s="796">
        <f t="shared" si="2049"/>
        <v>4286.2445668946921</v>
      </c>
      <c r="KU675" s="797">
        <f t="shared" si="2042"/>
        <v>4.4101393879738753</v>
      </c>
    </row>
    <row r="676" spans="1:307" s="26" customFormat="1" ht="15" outlineLevel="1">
      <c r="A676" s="561">
        <f t="shared" si="2009"/>
        <v>6076</v>
      </c>
      <c r="B676" s="561">
        <f t="shared" si="2043"/>
        <v>76</v>
      </c>
      <c r="C676" s="561">
        <f t="shared" si="2044"/>
        <v>6</v>
      </c>
      <c r="D676" s="561" t="str">
        <f t="shared" si="1953"/>
        <v xml:space="preserve">-500 Event (L), </v>
      </c>
      <c r="E676" s="475">
        <f>INDEX(Input!$1:$1048576,E$93,$C676*2+MIN($B676,2)+5)
+INDEX(Scenarios!E$121:E$199,MATCH($B676,Scenarios!$B$121:$B$199,0))</f>
        <v>1267.2644913000609</v>
      </c>
      <c r="F676" s="475">
        <f>INDEX(Input!$1:$1048576,F$93,$C676*2+MIN($B676,2)+5)
+INDEX(Scenarios!F$121:F$199,MATCH($B676,Scenarios!$B$121:$B$199,0))</f>
        <v>0</v>
      </c>
      <c r="G676" s="475">
        <f>INDEX(Input!$1:$1048576,G$93,$C676*2+MIN($B676,2)+5)
+INDEX(Scenarios!G$121:G$199,MATCH($B676,Scenarios!$B$121:$B$199,0))</f>
        <v>0</v>
      </c>
      <c r="H676" s="475">
        <f>INDEX(Input!$1:$1048576,H$93,$C676*2+MIN($B676,2)+5)
+INDEX(Scenarios!H$121:H$199,MATCH($B676,Scenarios!$B$121:$B$199,0))</f>
        <v>0</v>
      </c>
      <c r="I676" s="476">
        <f>INDEX(Input!$1:$1048576,I$93,$C676*2+MIN($B676,2)+5)
+INDEX(Scenarios!I$121:I$199,MATCH($B676,Scenarios!$B$121:$B$199,0))</f>
        <v>0.7</v>
      </c>
      <c r="J676" s="476" t="str">
        <f>INDEX(Input!$1:$1048576,J$93,$C676*2+MIN($B676,2)+5)</f>
        <v>Market</v>
      </c>
      <c r="K676" s="476" t="str">
        <f>INDEX(Input!$1:$1048576,K$93,$C676*2+MIN($B676,2)+5)</f>
        <v>Market</v>
      </c>
      <c r="L676" s="476" t="str">
        <f>INDEX(Input!$1:$1048576,L$93,$C676*2+MIN($B676,2)+5)</f>
        <v>Market</v>
      </c>
      <c r="M676" s="476" t="str">
        <f>INDEX(Input!$1:$1048576,M$93,$C676*2+MIN($B676,2)+5)</f>
        <v>Market</v>
      </c>
      <c r="N676" s="476" t="str">
        <f>INDEX(Input!$1:$1048576,N$93,$C676*2+MIN($B676,2)+5)</f>
        <v>Market</v>
      </c>
      <c r="O676" s="476" t="str">
        <f>INDEX(Input!$1:$1048576,O$93,$C676*2+MIN($B676,2)+5)</f>
        <v>Market</v>
      </c>
      <c r="P676" s="476" t="str">
        <f>INDEX(Input!$1:$1048576,P$93,$C676*2+MIN($B676,2)+5)</f>
        <v>N</v>
      </c>
      <c r="Q676" s="477">
        <f>INDEX(Input!$1:$1048576,Q$93,$C676*2+MIN($B676,2)+5)
+INDEX(Scenarios!Q$121:Q$199,MATCH($B676,Scenarios!$B$121:$B$199,0))</f>
        <v>0</v>
      </c>
      <c r="R676" s="478">
        <f>IFERROR(MAX(0,INDEX(Input!$1:$1048576,R$93,$C676*2+MIN($B676,2)+5)
+INDEX(Scenarios!R$121:R$199,MATCH($B676,Scenarios!$B$121:$B$199,0)),),"Market")</f>
        <v>0</v>
      </c>
      <c r="S676" s="478">
        <f>IFERROR(MAX(0,INDEX(Input!$1:$1048576,S$93,$C676*2+MIN($B676,2)+5)
+INDEX(Scenarios!S$121:S$199,MATCH($B676,Scenarios!$B$121:$B$199,0)),),"Market")</f>
        <v>0</v>
      </c>
      <c r="T676" s="478">
        <f>IFERROR(MAX(0,INDEX(Input!$1:$1048576,T$93,$C676*2+MIN($B676,2)+5)
+INDEX(Scenarios!T$121:T$199,MATCH($B676,Scenarios!$B$121:$B$199,0)),),"Market")</f>
        <v>0</v>
      </c>
      <c r="U676" s="478">
        <f>IFERROR(MAX(0,INDEX(Input!$1:$1048576,U$93,$C676*2+MIN($B676,2)+5)
+INDEX(Scenarios!U$121:U$199,MATCH($B676,Scenarios!$B$121:$B$199,0)),),"Market")</f>
        <v>0</v>
      </c>
      <c r="V676" s="478">
        <f>IFERROR(MAX(0,INDEX(Input!$1:$1048576,V$93,$C676*2+MIN($B676,2)+5)
+INDEX(Scenarios!V$121:V$199,MATCH($B676,Scenarios!$B$121:$B$199,0)),),"Market")</f>
        <v>1.9E-2</v>
      </c>
      <c r="W676" s="885">
        <f>IFERROR(MAX(0,INDEX(Input!$1:$1048576,W$93,$C676*2+MIN($B676,2)+5)-0%),"Market")</f>
        <v>3.9E-2</v>
      </c>
      <c r="X676" s="476" t="str">
        <f>INDEX(Input!$1:$1048576,X$93,$C676*2+MIN($B676,2)+5)</f>
        <v>Y</v>
      </c>
      <c r="Y676" s="475">
        <f>INDEX(Input!$1:$1048576,Y$93,$C676*2+MIN($B676,2)+5)
++INDEX(Scenarios!Y$121:Y$199,MATCH($B676,Scenarios!$B$121:$B$199,0))</f>
        <v>737.99367635402496</v>
      </c>
      <c r="Z676" s="477">
        <f>INDEX(Input!$1:$1048576,Z$93,$C676*2+MIN($B676,2)+5)
+INDEX(Scenarios!Z$121:Z$199,MATCH($B676,Scenarios!$B$121:$B$199,0))</f>
        <v>0</v>
      </c>
      <c r="AA676" s="475">
        <f>INDEX(Input!$1:$1048576,AA$93,$C676*2+MIN($B676,2)+5)</f>
        <v>0</v>
      </c>
      <c r="AB676" s="476">
        <f>INDEX(Input!$1:$1048576,AB$93,$C676*2+MIN($B676,2)+5)</f>
        <v>0.27</v>
      </c>
      <c r="AC676" s="475">
        <f>INDEX(Input!$1:$1048576,AC$93,$C676*2+MIN($B676,2)+5)
+INDEX(Scenarios!AC$121:AC$199,MATCH($B676,Scenarios!$B$121:$B$199,0))</f>
        <v>-500</v>
      </c>
      <c r="AD676" s="476">
        <f>INDEX(Input!$1:$1048576,AD$93,$C676*2+MIN($B676,2)+5)</f>
        <v>0.27</v>
      </c>
      <c r="AE676" s="475">
        <f>INDEX(Input!$1:$1048576,AE$93,$C676*2+MIN($B676,2)+5)
+INDEX(Scenarios!AE$121:AE$199,MATCH($B676,Scenarios!$B$121:$B$199,0))</f>
        <v>0</v>
      </c>
      <c r="AF676" s="476">
        <f>INDEX(Input!$1:$1048576,AF$93,$C676*2+MIN($B676,2)+5)</f>
        <v>1</v>
      </c>
      <c r="AG676" s="475">
        <f>INDEX(Input!$1:$1048576,AG$93,$C676*2+MIN($B676,2)+5)</f>
        <v>500</v>
      </c>
      <c r="AH676" s="476">
        <f>INDEX(Input!$1:$1048576,AH$93,$C676*2+MIN($B676,2)+5)</f>
        <v>1</v>
      </c>
      <c r="AI676" s="475">
        <f>INDEX(Input!$1:$1048576,AI$93,$C676*2+MIN($B676,2)+5)</f>
        <v>0</v>
      </c>
      <c r="AJ676" s="476">
        <f>INDEX(Input!$1:$1048576,AJ$93,$C676*2+MIN($B676,2)+5)</f>
        <v>0.27</v>
      </c>
      <c r="AK676" s="150">
        <f>ROUND(INDEX(Input!$1:$1048576,AK$93,$C675*2+MIN($B676,1)+5)+(Y676-VLOOKUP($C676*1000+1,$A:$HH,Y$92,FALSE)),0)</f>
        <v>3061</v>
      </c>
      <c r="AL676" s="150">
        <f>ROUND(INDEX(Input!$1:$1048576,AL$93,$C675*2+MIN($B676,1)+5)-(Y676-VLOOKUP($C676*1000+1,$A:$HH,Y$92,FALSE))/36,0)</f>
        <v>3552</v>
      </c>
      <c r="AM676" s="32" t="str">
        <f t="shared" si="2010"/>
        <v>std/std/std/std</v>
      </c>
      <c r="AN676" s="32" t="str">
        <f t="shared" si="2011"/>
        <v>$0 + 0/0/0/1.9/3.9</v>
      </c>
      <c r="AO676" s="32" t="str">
        <f t="shared" si="2012"/>
        <v>0/0/0/1.9/3.9</v>
      </c>
      <c r="AP676" s="32" t="str">
        <f t="shared" si="1990"/>
        <v>0/0.9/1.9/3.9</v>
      </c>
      <c r="AQ676" s="536">
        <f t="shared" si="1991"/>
        <v>-134.63299241335983</v>
      </c>
      <c r="AR676" s="32"/>
      <c r="AS676" s="302"/>
      <c r="AT676" s="3">
        <f t="shared" si="2045"/>
        <v>76</v>
      </c>
      <c r="AU676" s="41" t="s">
        <v>121</v>
      </c>
      <c r="AV676" s="41" t="s">
        <v>116</v>
      </c>
      <c r="AW676" s="41" t="str">
        <f>INDEX(Input!$1:$1048576,AW$93,$C676*2+6)</f>
        <v>Kia</v>
      </c>
      <c r="AX676" s="41" t="str">
        <f>INDEX(Input!$1:$1048576,AX$93,$C676*2+6)</f>
        <v>National</v>
      </c>
      <c r="AY676" s="41" t="str">
        <f>IF(LEN(D676)=0,"",INDEX(Input!$1:$1048576,AY$93,$C676*2+6))</f>
        <v>Compact SUV (52)</v>
      </c>
      <c r="AZ676" s="41" t="str">
        <f>INDEX(Input!$1:$1048576,AZ$93,$C676*2+6)</f>
        <v>Kia Soul</v>
      </c>
      <c r="BA676" s="3">
        <f>INDEX(Input!$1:$1048576,BA$93,$C676*2+6)</f>
        <v>2020</v>
      </c>
      <c r="BB676" s="128">
        <f>INDEX(Input!$1:$1048576,BB$93,$C676*2+6)</f>
        <v>1</v>
      </c>
      <c r="BC676" s="128">
        <f>INDEX(Input!$1:$1048576,BC$93,$C676*2+6)</f>
        <v>0.7</v>
      </c>
      <c r="BD676" s="1">
        <f>INDEX(Input!$1:$1048576,BD$93,$C676*2+6)</f>
        <v>4.4999999999999998E-2</v>
      </c>
      <c r="BE676" s="1">
        <f>INDEX(Input!$1:$1048576,BE$93,$C676*2+6)</f>
        <v>4.4999999999999998E-2</v>
      </c>
      <c r="BF676" s="1">
        <f>INDEX(Input!$1:$1048576,BF$93,$C676*2+6)</f>
        <v>0.05</v>
      </c>
      <c r="BG676" s="1">
        <f>INDEX(Input!$1:$1048576,BG$93,$C676*2+6)</f>
        <v>5.45E-2</v>
      </c>
      <c r="BH676" s="1">
        <f>INDEX(Input!$1:$1048576,BH$93,$C676*2+6)</f>
        <v>5.45E-2</v>
      </c>
      <c r="BI676" s="1">
        <f>INDEX(Input!$1:$1048576,BI$93,$C676*2+6)</f>
        <v>0.05</v>
      </c>
      <c r="BJ676" s="1">
        <f>INDEX(Input!$1:$1048576,BJ$93,$C676*2+6)</f>
        <v>0.05</v>
      </c>
      <c r="BK676" s="1">
        <f>INDEX(Input!$1:$1048576,BK$93,$C676*2+6)</f>
        <v>0.05</v>
      </c>
      <c r="BL676" s="1">
        <f>INDEX(Input!$1:$1048576,BL$93,$C676*2+6)</f>
        <v>5.5E-2</v>
      </c>
      <c r="BM676" s="1">
        <f>INDEX(Input!$1:$1048576,BM$93,$C676*2+6)</f>
        <v>0.06</v>
      </c>
      <c r="BN676" s="1">
        <f>INDEX(Input!$1:$1048576,BN$93,$C676*2+6)</f>
        <v>4.4999999999999998E-2</v>
      </c>
      <c r="BO676" s="1">
        <f>INDEX(Input!$1:$1048576,BO$93,$C676*2+6)</f>
        <v>4.4999999999999998E-2</v>
      </c>
      <c r="BP676" s="1">
        <f>INDEX(Input!$1:$1048576,BP$93,$C676*2+6)</f>
        <v>0.05</v>
      </c>
      <c r="BQ676" s="1">
        <f>INDEX(Input!$1:$1048576,BQ$93,$C676*2+6)</f>
        <v>5.45E-2</v>
      </c>
      <c r="BR676" s="1">
        <f>INDEX(Input!$1:$1048576,BR$93,$C676*2+6)</f>
        <v>5.45E-2</v>
      </c>
      <c r="BS676" s="1">
        <f>INDEX(Input!$1:$1048576,BS$93,$C676*2+6)</f>
        <v>0.05</v>
      </c>
      <c r="BT676" s="1">
        <f>INDEX(Input!$1:$1048576,BT$93,$C676*2+6)</f>
        <v>0.05</v>
      </c>
      <c r="BU676" s="1">
        <f>INDEX(Input!$1:$1048576,BU$93,$C676*2+6)</f>
        <v>0.05</v>
      </c>
      <c r="BV676" s="1">
        <f>INDEX(Input!$1:$1048576,BV$93,$C676*2+6)</f>
        <v>5.5E-2</v>
      </c>
      <c r="BW676" s="1">
        <f>INDEX(Input!$1:$1048576,BW$93,$C676*2+6)</f>
        <v>0.06</v>
      </c>
      <c r="BX676" s="127">
        <f>INDEX(Input!$1:$1048576,BX$93,$C676*2+6)</f>
        <v>19985</v>
      </c>
      <c r="BY676" s="20">
        <f>INDEX(Input!$1:$1048576,BY$93,$C676*2+6)</f>
        <v>0.1</v>
      </c>
      <c r="BZ676" s="20">
        <f>INDEX(Input!$1:$1048576,BZ$93,$C676*2+6)</f>
        <v>0.1</v>
      </c>
      <c r="CA676" s="20">
        <f>INDEX(Input!$1:$1048576,CA$93,$C676*2+6)</f>
        <v>0.1</v>
      </c>
      <c r="CB676" s="20">
        <f>INDEX(Input!$1:$1048576,CB$93,$C676*2+6)</f>
        <v>0.1</v>
      </c>
      <c r="CC676" s="20">
        <f>INDEX(Input!$1:$1048576,CC$93,$C676*2+6)</f>
        <v>0.1</v>
      </c>
      <c r="CD676" s="384">
        <f>INDEX(Input!$1:$1048576,CD$93,$C676*2+6)</f>
        <v>0.1</v>
      </c>
      <c r="CE676" s="384">
        <f>INDEX(Input!$1:$1048576,CE$93,$C676*2+6)</f>
        <v>0.1</v>
      </c>
      <c r="CF676" s="384">
        <f>INDEX(Input!$1:$1048576,CF$93,$C676*2+6)</f>
        <v>0.1</v>
      </c>
      <c r="CG676" s="384">
        <f>INDEX(Input!$1:$1048576,CG$93,$C676*2+6)</f>
        <v>0.1</v>
      </c>
      <c r="CH676" s="384">
        <f>INDEX(Input!$1:$1048576,CH$93,$C676*2+6)</f>
        <v>0.1</v>
      </c>
      <c r="CI676" s="304">
        <f t="shared" si="1992"/>
        <v>1267.2644913000609</v>
      </c>
      <c r="CJ676" s="16" t="str">
        <f>INDEX(Input!$1:$1048576,CJ$93,$C676*2+6)</f>
        <v>N</v>
      </c>
      <c r="CK676" s="1" t="str">
        <f t="shared" si="1993"/>
        <v>Market</v>
      </c>
      <c r="CL676" s="1" t="str">
        <f t="shared" si="1994"/>
        <v>Market</v>
      </c>
      <c r="CM676" s="1" t="str">
        <f t="shared" si="1995"/>
        <v>Market</v>
      </c>
      <c r="CN676" s="1" t="str">
        <f t="shared" si="1996"/>
        <v>Market</v>
      </c>
      <c r="CO676" s="1" t="str">
        <f t="shared" si="1997"/>
        <v>Market</v>
      </c>
      <c r="CP676" s="304">
        <f t="shared" si="1998"/>
        <v>500</v>
      </c>
      <c r="CQ676" s="1">
        <f t="shared" si="1999"/>
        <v>0</v>
      </c>
      <c r="CR676" s="1">
        <f t="shared" si="2000"/>
        <v>0</v>
      </c>
      <c r="CS676" s="1">
        <f t="shared" si="2001"/>
        <v>0</v>
      </c>
      <c r="CT676" s="1">
        <f t="shared" si="2002"/>
        <v>1.9E-2</v>
      </c>
      <c r="CU676" s="1">
        <f t="shared" si="2003"/>
        <v>3.9E-2</v>
      </c>
      <c r="CV676" s="304">
        <f t="shared" si="2004"/>
        <v>602.99367635402496</v>
      </c>
      <c r="CW676" s="20" t="s">
        <v>122</v>
      </c>
      <c r="CX676" s="20" t="s">
        <v>122</v>
      </c>
      <c r="CY676" s="20" t="s">
        <v>122</v>
      </c>
      <c r="CZ676" s="20" t="s">
        <v>122</v>
      </c>
      <c r="DA676" s="20" t="s">
        <v>122</v>
      </c>
      <c r="DB676" s="503">
        <f t="shared" si="2005"/>
        <v>0</v>
      </c>
      <c r="DC676" s="127">
        <v>0</v>
      </c>
      <c r="DD676" s="127">
        <v>0</v>
      </c>
      <c r="DE676" s="127">
        <v>0</v>
      </c>
      <c r="DF676" s="127">
        <v>0</v>
      </c>
      <c r="DG676" s="127">
        <v>0</v>
      </c>
      <c r="DH676" s="127">
        <v>0</v>
      </c>
      <c r="DI676" s="127">
        <v>0</v>
      </c>
      <c r="DJ676" s="127">
        <v>0</v>
      </c>
      <c r="DK676" s="127">
        <v>0</v>
      </c>
      <c r="DL676" s="127">
        <v>0</v>
      </c>
      <c r="DM676" s="304">
        <f>INDEX(Input!$1:$1048576,DM$93,$C676*2+6)</f>
        <v>21036.84210526316</v>
      </c>
      <c r="DN676" s="20">
        <v>0</v>
      </c>
      <c r="DO676" s="20">
        <v>0</v>
      </c>
      <c r="DP676" s="20">
        <v>0</v>
      </c>
      <c r="DQ676" s="20">
        <v>0</v>
      </c>
      <c r="DR676" s="20">
        <v>0</v>
      </c>
      <c r="DS676" s="20">
        <f>INDEX(Input!$1:$1048576,DS$93,$C676*2+6)</f>
        <v>0.6</v>
      </c>
      <c r="DT676" s="20">
        <f>INDEX(Input!$1:$1048576,DT$93,$C676*2+6)</f>
        <v>0.55000000000000004</v>
      </c>
      <c r="DU676" s="20">
        <f>INDEX(Input!$1:$1048576,DU$93,$C676*2+6)</f>
        <v>0.52</v>
      </c>
      <c r="DV676" s="20">
        <f>INDEX(Input!$1:$1048576,DV$93,$C676*2+6)</f>
        <v>0.5</v>
      </c>
      <c r="DW676" s="20">
        <f>INDEX(Input!$1:$1048576,DW$93,$C676*2+6)</f>
        <v>0.45</v>
      </c>
      <c r="DX676" s="20"/>
      <c r="DY676" s="7"/>
      <c r="DZ676" s="7"/>
      <c r="EA676" s="7"/>
      <c r="EB676" s="7"/>
      <c r="EC676" s="7"/>
      <c r="ED676" s="7"/>
      <c r="EE676" s="7"/>
      <c r="EF676" s="7"/>
      <c r="EG676" s="7"/>
      <c r="EH676" s="7"/>
      <c r="EI676" s="7"/>
      <c r="EJ676" s="7"/>
      <c r="EK676" s="7"/>
      <c r="EL676" s="7"/>
      <c r="EM676" s="7"/>
      <c r="EN676" s="7"/>
      <c r="EO676" s="7"/>
      <c r="EP676" s="7"/>
      <c r="EQ676" s="7"/>
      <c r="ER676" s="7"/>
      <c r="ES676" s="7"/>
      <c r="ET676" s="7"/>
      <c r="EU676" s="6"/>
      <c r="EV676" s="6"/>
      <c r="EW676" s="6"/>
      <c r="EX676" s="6"/>
      <c r="EY676" s="6"/>
      <c r="EZ676" s="6"/>
      <c r="FA676" s="6"/>
      <c r="FB676" s="6"/>
      <c r="FC676" s="6"/>
      <c r="FD676" s="6"/>
      <c r="FE676" s="6"/>
      <c r="FF676" s="6"/>
      <c r="FG676" s="6"/>
      <c r="FH676" s="6"/>
      <c r="FI676" s="6"/>
      <c r="FJ676" s="6"/>
      <c r="FK676" s="6"/>
      <c r="FL676" s="6"/>
      <c r="FM676" s="6"/>
      <c r="FN676" s="6"/>
      <c r="FO676" s="6"/>
      <c r="FP676" s="6"/>
      <c r="FQ676" s="6"/>
      <c r="FR676" s="6"/>
      <c r="FS676" s="6"/>
      <c r="FT676" s="7"/>
      <c r="FU676" s="7"/>
      <c r="FV676" s="7"/>
      <c r="FW676" s="6"/>
      <c r="FX676" s="6"/>
      <c r="FY676" s="6"/>
      <c r="FZ676" s="6"/>
      <c r="GA676" s="6"/>
      <c r="GB676" s="6"/>
      <c r="GC676" s="7"/>
      <c r="GD676" s="7"/>
      <c r="GE676" s="7"/>
      <c r="GF676" s="7"/>
      <c r="GG676" s="7"/>
      <c r="GH676" s="42"/>
      <c r="GI676" s="6"/>
      <c r="GJ676" s="14"/>
      <c r="GK676" s="14"/>
      <c r="GL676" s="14"/>
      <c r="GM676" s="14"/>
      <c r="GO676" s="5"/>
      <c r="GP676" s="5"/>
      <c r="GQ676" s="5"/>
      <c r="GR676" s="5"/>
      <c r="GS676" s="5"/>
      <c r="GT676" s="5"/>
      <c r="GU676" s="5"/>
      <c r="GV676" s="39"/>
      <c r="GW676" s="5"/>
      <c r="GX676" s="5"/>
      <c r="GY676" s="5"/>
      <c r="GZ676" s="5"/>
      <c r="HA676" s="5"/>
      <c r="HB676" s="39"/>
      <c r="HC676" s="5"/>
      <c r="HD676" s="5"/>
      <c r="HE676" s="5"/>
      <c r="HF676" s="5"/>
      <c r="HG676" s="5"/>
      <c r="HH676" s="39"/>
      <c r="HI676" s="16"/>
      <c r="HJ676" s="19"/>
      <c r="HK676" s="1"/>
      <c r="HL676" s="16"/>
      <c r="HM676" s="639">
        <f t="shared" si="2013"/>
        <v>2.3149872625708352E-2</v>
      </c>
      <c r="HN676" s="639">
        <f t="shared" si="2014"/>
        <v>1.3965040474190958E-3</v>
      </c>
      <c r="HO676" s="639">
        <f t="shared" si="2015"/>
        <v>3.5429561340050734E-3</v>
      </c>
      <c r="HP676" s="644">
        <f t="shared" ref="HP676:ID676" si="2081">HP176+HP276+HP376+HP476+HP576</f>
        <v>-94.996101665787108</v>
      </c>
      <c r="HQ676" s="644">
        <f t="shared" si="2081"/>
        <v>-6.8331863464608515</v>
      </c>
      <c r="HR676" s="644">
        <f t="shared" si="2081"/>
        <v>31.366135820119904</v>
      </c>
      <c r="HS676" s="644">
        <f t="shared" si="2081"/>
        <v>35.766399668361586</v>
      </c>
      <c r="HT676" s="644">
        <f t="shared" si="2081"/>
        <v>-37.82454562055419</v>
      </c>
      <c r="HU676" s="644">
        <f t="shared" si="2081"/>
        <v>-9.3888021757579718</v>
      </c>
      <c r="HV676" s="644">
        <f t="shared" si="2081"/>
        <v>0</v>
      </c>
      <c r="HW676" s="644">
        <f t="shared" si="2081"/>
        <v>0</v>
      </c>
      <c r="HX676" s="644">
        <f t="shared" si="2081"/>
        <v>0</v>
      </c>
      <c r="HY676" s="644">
        <f t="shared" si="2081"/>
        <v>2396</v>
      </c>
      <c r="HZ676" s="644">
        <f t="shared" si="2081"/>
        <v>3223</v>
      </c>
      <c r="IA676" s="644">
        <f t="shared" si="2081"/>
        <v>830</v>
      </c>
      <c r="IB676" s="644">
        <f t="shared" si="2081"/>
        <v>2336.7702980025747</v>
      </c>
      <c r="IC676" s="644">
        <f t="shared" si="2081"/>
        <v>3178.342268032985</v>
      </c>
      <c r="ID676" s="644">
        <f t="shared" si="2081"/>
        <v>851.97733364436192</v>
      </c>
      <c r="IE676" s="20">
        <f t="shared" si="2017"/>
        <v>0.36700758664017702</v>
      </c>
      <c r="IF676" s="20">
        <f t="shared" si="2018"/>
        <v>0.49918287916631471</v>
      </c>
      <c r="IG676" s="20">
        <f t="shared" si="2019"/>
        <v>0.13380953419350833</v>
      </c>
      <c r="IH676" s="21"/>
      <c r="II676" s="19"/>
      <c r="IJ676" s="19"/>
      <c r="IK676" s="19"/>
      <c r="IL676" s="19">
        <f t="shared" si="2020"/>
        <v>-91.994255806645469</v>
      </c>
      <c r="IM676" s="19">
        <f t="shared" si="2021"/>
        <v>-94.221243662191227</v>
      </c>
      <c r="IN676" s="19">
        <f t="shared" si="2022"/>
        <v>-25.006641208497967</v>
      </c>
      <c r="IO676" s="39"/>
      <c r="IP676" s="39"/>
      <c r="IQ676" s="39"/>
      <c r="IR676" s="39"/>
      <c r="IS676" s="39"/>
      <c r="IT676" s="39"/>
      <c r="IU676" s="39"/>
      <c r="IV676" s="39"/>
      <c r="IW676" s="39"/>
      <c r="IX676" s="19">
        <f t="shared" si="2023"/>
        <v>1554.1790484140233</v>
      </c>
      <c r="IY676" s="19">
        <f t="shared" si="2024"/>
        <v>2412.3001201524512</v>
      </c>
      <c r="IZ676" s="19">
        <f t="shared" si="2025"/>
        <v>3993.0862952928574</v>
      </c>
      <c r="JA676" s="19">
        <f t="shared" ref="JA676:JC676" si="2082">IFERROR((JA176*IB176+JA276*IB276+JA376*IB376+JA476*IB476+JA576*IB576)/IB676,0)</f>
        <v>1462.1847926073779</v>
      </c>
      <c r="JB676" s="19">
        <f t="shared" si="2082"/>
        <v>2318.07887649026</v>
      </c>
      <c r="JC676" s="19">
        <f t="shared" si="2082"/>
        <v>3968.0796540843594</v>
      </c>
      <c r="JD676" s="19">
        <f t="shared" si="2027"/>
        <v>2224.7450898135912</v>
      </c>
      <c r="JE676" s="21"/>
      <c r="JF676" s="1">
        <f t="shared" si="2028"/>
        <v>2.6651855648468406E-2</v>
      </c>
      <c r="JG676" s="15">
        <f t="shared" si="2029"/>
        <v>6449</v>
      </c>
      <c r="JH676" s="1">
        <f t="shared" si="2030"/>
        <v>-1.0926213706330911E-2</v>
      </c>
      <c r="JI676" s="1">
        <f t="shared" si="2031"/>
        <v>-1.7749958331447627E-3</v>
      </c>
      <c r="JJ676" s="1">
        <f t="shared" si="2032"/>
        <v>0</v>
      </c>
      <c r="JK676" s="1">
        <f t="shared" si="2033"/>
        <v>-1.2701209539475674E-2</v>
      </c>
      <c r="JL676" s="15">
        <f t="shared" ref="JL676:JM676" si="2083">JL176+JL276+JL376+JL476+JL576</f>
        <v>-81.910100320078627</v>
      </c>
      <c r="JM676" s="15">
        <f t="shared" si="2083"/>
        <v>6367.0898996799215</v>
      </c>
      <c r="JN676" s="21"/>
      <c r="JO676" s="19">
        <f>INDEX(Input!$1:$1048576,JO$93,$C676*2+6)</f>
        <v>5995.5</v>
      </c>
      <c r="JP676" s="19">
        <f>INDEX(Input!$1:$1048576,JP$93,$C676*2+6)</f>
        <v>2296.6050414551746</v>
      </c>
      <c r="JQ676" s="39">
        <f t="shared" si="2053"/>
        <v>3770.7549101864088</v>
      </c>
      <c r="JR676" s="39">
        <f t="shared" si="2054"/>
        <v>-71.859951641583393</v>
      </c>
      <c r="JS676" s="39">
        <f t="shared" si="2055"/>
        <v>14.165151990714618</v>
      </c>
      <c r="JT676" s="39">
        <f t="shared" si="2056"/>
        <v>-0.64565392162980328</v>
      </c>
      <c r="JU676" s="385">
        <f>(JQ676*JM676-INDEX(Input!$1:$1048576,Input!A$18,$C676*2+6)*JL676*INDEX(Input!$1:$1048576,Input!A$19,$C676*2+6))/1000000</f>
        <v>24.008735502816354</v>
      </c>
      <c r="JV676" s="39">
        <f t="shared" si="2057"/>
        <v>0.15456191516077666</v>
      </c>
      <c r="JW676" s="1">
        <f t="shared" si="2058"/>
        <v>6.4794495853237911E-3</v>
      </c>
      <c r="JX676" s="19">
        <f t="shared" si="2059"/>
        <v>7882.4701606614208</v>
      </c>
      <c r="JZ676" s="341"/>
      <c r="KA676" s="60"/>
      <c r="KB676" s="469">
        <f t="shared" si="2035"/>
        <v>0</v>
      </c>
      <c r="KI676" s="472"/>
      <c r="KJ676" s="472"/>
      <c r="KK676" s="472"/>
      <c r="KN676" s="26">
        <f t="shared" si="2036"/>
        <v>6002</v>
      </c>
      <c r="KO676" s="794">
        <f t="shared" si="2037"/>
        <v>-3.533158000157266E-2</v>
      </c>
      <c r="KP676" s="795">
        <f t="shared" si="2038"/>
        <v>-247.82755019514636</v>
      </c>
      <c r="KQ676" s="795">
        <f t="shared" si="2039"/>
        <v>-238.0881667915537</v>
      </c>
      <c r="KR676" s="26">
        <f t="shared" si="2040"/>
        <v>2.4980509051865525</v>
      </c>
      <c r="KS676" s="26">
        <f t="shared" si="2041"/>
        <v>2.6002377372965415</v>
      </c>
      <c r="KT676" s="796">
        <f t="shared" si="2049"/>
        <v>4286.2445668946921</v>
      </c>
      <c r="KU676" s="797">
        <f t="shared" si="2042"/>
        <v>4.3610826485217649</v>
      </c>
    </row>
    <row r="677" spans="1:307" s="26" customFormat="1" ht="15" outlineLevel="1">
      <c r="A677" s="561">
        <f t="shared" si="2009"/>
        <v>6077</v>
      </c>
      <c r="B677" s="561">
        <f t="shared" si="2043"/>
        <v>77</v>
      </c>
      <c r="C677" s="561">
        <f t="shared" si="2044"/>
        <v>6</v>
      </c>
      <c r="D677" s="561" t="str">
        <f t="shared" si="1953"/>
        <v xml:space="preserve">-250 CC, -360 Lease, </v>
      </c>
      <c r="E677" s="475">
        <f>INDEX(Input!$1:$1048576,E$93,$C677*2+MIN($B677,2)+5)
+INDEX(Scenarios!E$121:E$199,MATCH($B677,Scenarios!$B$121:$B$199,0))</f>
        <v>1017.2644913000609</v>
      </c>
      <c r="F677" s="475">
        <f>INDEX(Input!$1:$1048576,F$93,$C677*2+MIN($B677,2)+5)
+INDEX(Scenarios!F$121:F$199,MATCH($B677,Scenarios!$B$121:$B$199,0))</f>
        <v>0</v>
      </c>
      <c r="G677" s="475">
        <f>INDEX(Input!$1:$1048576,G$93,$C677*2+MIN($B677,2)+5)
+INDEX(Scenarios!G$121:G$199,MATCH($B677,Scenarios!$B$121:$B$199,0))</f>
        <v>0</v>
      </c>
      <c r="H677" s="475">
        <f>INDEX(Input!$1:$1048576,H$93,$C677*2+MIN($B677,2)+5)
+INDEX(Scenarios!H$121:H$199,MATCH($B677,Scenarios!$B$121:$B$199,0))</f>
        <v>0</v>
      </c>
      <c r="I677" s="476">
        <f>INDEX(Input!$1:$1048576,I$93,$C677*2+MIN($B677,2)+5)
+INDEX(Scenarios!I$121:I$199,MATCH($B677,Scenarios!$B$121:$B$199,0))</f>
        <v>0.7</v>
      </c>
      <c r="J677" s="476" t="str">
        <f>INDEX(Input!$1:$1048576,J$93,$C677*2+MIN($B677,2)+5)</f>
        <v>Market</v>
      </c>
      <c r="K677" s="476" t="str">
        <f>INDEX(Input!$1:$1048576,K$93,$C677*2+MIN($B677,2)+5)</f>
        <v>Market</v>
      </c>
      <c r="L677" s="476" t="str">
        <f>INDEX(Input!$1:$1048576,L$93,$C677*2+MIN($B677,2)+5)</f>
        <v>Market</v>
      </c>
      <c r="M677" s="476" t="str">
        <f>INDEX(Input!$1:$1048576,M$93,$C677*2+MIN($B677,2)+5)</f>
        <v>Market</v>
      </c>
      <c r="N677" s="476" t="str">
        <f>INDEX(Input!$1:$1048576,N$93,$C677*2+MIN($B677,2)+5)</f>
        <v>Market</v>
      </c>
      <c r="O677" s="476" t="str">
        <f>INDEX(Input!$1:$1048576,O$93,$C677*2+MIN($B677,2)+5)</f>
        <v>Market</v>
      </c>
      <c r="P677" s="476" t="str">
        <f>INDEX(Input!$1:$1048576,P$93,$C677*2+MIN($B677,2)+5)</f>
        <v>N</v>
      </c>
      <c r="Q677" s="477">
        <f>INDEX(Input!$1:$1048576,Q$93,$C677*2+MIN($B677,2)+5)
+INDEX(Scenarios!Q$121:Q$199,MATCH($B677,Scenarios!$B$121:$B$199,0))</f>
        <v>0</v>
      </c>
      <c r="R677" s="478">
        <f>IFERROR(MAX(0,INDEX(Input!$1:$1048576,R$93,$C677*2+MIN($B677,2)+5)
+INDEX(Scenarios!R$121:R$199,MATCH($B677,Scenarios!$B$121:$B$199,0)),),"Market")</f>
        <v>0</v>
      </c>
      <c r="S677" s="478">
        <f>IFERROR(MAX(0,INDEX(Input!$1:$1048576,S$93,$C677*2+MIN($B677,2)+5)
+INDEX(Scenarios!S$121:S$199,MATCH($B677,Scenarios!$B$121:$B$199,0)),),"Market")</f>
        <v>0</v>
      </c>
      <c r="T677" s="478">
        <f>IFERROR(MAX(0,INDEX(Input!$1:$1048576,T$93,$C677*2+MIN($B677,2)+5)
+INDEX(Scenarios!T$121:T$199,MATCH($B677,Scenarios!$B$121:$B$199,0)),),"Market")</f>
        <v>0</v>
      </c>
      <c r="U677" s="478">
        <f>IFERROR(MAX(0,INDEX(Input!$1:$1048576,U$93,$C677*2+MIN($B677,2)+5)
+INDEX(Scenarios!U$121:U$199,MATCH($B677,Scenarios!$B$121:$B$199,0)),),"Market")</f>
        <v>0</v>
      </c>
      <c r="V677" s="478">
        <f>IFERROR(MAX(0,INDEX(Input!$1:$1048576,V$93,$C677*2+MIN($B677,2)+5)
+INDEX(Scenarios!V$121:V$199,MATCH($B677,Scenarios!$B$121:$B$199,0)),),"Market")</f>
        <v>1.9E-2</v>
      </c>
      <c r="W677" s="885">
        <f>IFERROR(MAX(0,INDEX(Input!$1:$1048576,W$93,$C677*2+MIN($B677,2)+5)-0%),"Market")</f>
        <v>3.9E-2</v>
      </c>
      <c r="X677" s="476" t="str">
        <f>INDEX(Input!$1:$1048576,X$93,$C677*2+MIN($B677,2)+5)</f>
        <v>Y</v>
      </c>
      <c r="Y677" s="475">
        <f>INDEX(Input!$1:$1048576,Y$93,$C677*2+MIN($B677,2)+5)
++INDEX(Scenarios!Y$121:Y$199,MATCH($B677,Scenarios!$B$121:$B$199,0))</f>
        <v>377.99367635402496</v>
      </c>
      <c r="Z677" s="477">
        <f>INDEX(Input!$1:$1048576,Z$93,$C677*2+MIN($B677,2)+5)
+INDEX(Scenarios!Z$121:Z$199,MATCH($B677,Scenarios!$B$121:$B$199,0))</f>
        <v>0</v>
      </c>
      <c r="AA677" s="475">
        <f>INDEX(Input!$1:$1048576,AA$93,$C677*2+MIN($B677,2)+5)</f>
        <v>0</v>
      </c>
      <c r="AB677" s="476">
        <f>INDEX(Input!$1:$1048576,AB$93,$C677*2+MIN($B677,2)+5)</f>
        <v>0.27</v>
      </c>
      <c r="AC677" s="475">
        <f>INDEX(Input!$1:$1048576,AC$93,$C677*2+MIN($B677,2)+5)
+INDEX(Scenarios!AC$121:AC$199,MATCH($B677,Scenarios!$B$121:$B$199,0))</f>
        <v>0</v>
      </c>
      <c r="AD677" s="476">
        <f>INDEX(Input!$1:$1048576,AD$93,$C677*2+MIN($B677,2)+5)</f>
        <v>0.27</v>
      </c>
      <c r="AE677" s="475">
        <f>INDEX(Input!$1:$1048576,AE$93,$C677*2+MIN($B677,2)+5)
+INDEX(Scenarios!AE$121:AE$199,MATCH($B677,Scenarios!$B$121:$B$199,0))</f>
        <v>0</v>
      </c>
      <c r="AF677" s="476">
        <f>INDEX(Input!$1:$1048576,AF$93,$C677*2+MIN($B677,2)+5)</f>
        <v>1</v>
      </c>
      <c r="AG677" s="475">
        <f>INDEX(Input!$1:$1048576,AG$93,$C677*2+MIN($B677,2)+5)</f>
        <v>500</v>
      </c>
      <c r="AH677" s="476">
        <f>INDEX(Input!$1:$1048576,AH$93,$C677*2+MIN($B677,2)+5)</f>
        <v>1</v>
      </c>
      <c r="AI677" s="475">
        <f>INDEX(Input!$1:$1048576,AI$93,$C677*2+MIN($B677,2)+5)</f>
        <v>0</v>
      </c>
      <c r="AJ677" s="476">
        <f>INDEX(Input!$1:$1048576,AJ$93,$C677*2+MIN($B677,2)+5)</f>
        <v>0.27</v>
      </c>
      <c r="AK677" s="150">
        <f>ROUND(INDEX(Input!$1:$1048576,AK$93,$C676*2+MIN($B677,1)+5)+(Y677-VLOOKUP($C677*1000+1,$A:$HH,Y$92,FALSE)),0)</f>
        <v>2701</v>
      </c>
      <c r="AL677" s="150">
        <f>ROUND(INDEX(Input!$1:$1048576,AL$93,$C676*2+MIN($B677,1)+5)-(Y677-VLOOKUP($C677*1000+1,$A:$HH,Y$92,FALSE))/36,0)</f>
        <v>3562</v>
      </c>
      <c r="AM677" s="32" t="str">
        <f t="shared" si="2010"/>
        <v>std/std/std/std</v>
      </c>
      <c r="AN677" s="32" t="str">
        <f t="shared" si="2011"/>
        <v>$0 + 0/0/0/1.9/3.9</v>
      </c>
      <c r="AO677" s="32" t="str">
        <f t="shared" si="2012"/>
        <v>0/0/0/1.9/3.9</v>
      </c>
      <c r="AP677" s="32" t="str">
        <f t="shared" si="1990"/>
        <v>0/0.9/1.9/3.9</v>
      </c>
      <c r="AQ677" s="536">
        <f t="shared" si="1991"/>
        <v>0.36726490029217757</v>
      </c>
      <c r="AR677" s="32"/>
      <c r="AS677" s="302"/>
      <c r="AT677" s="3">
        <f t="shared" si="2045"/>
        <v>77</v>
      </c>
      <c r="AU677" s="41" t="s">
        <v>121</v>
      </c>
      <c r="AV677" s="41" t="s">
        <v>116</v>
      </c>
      <c r="AW677" s="41" t="str">
        <f>INDEX(Input!$1:$1048576,AW$93,$C677*2+6)</f>
        <v>Kia</v>
      </c>
      <c r="AX677" s="41" t="str">
        <f>INDEX(Input!$1:$1048576,AX$93,$C677*2+6)</f>
        <v>National</v>
      </c>
      <c r="AY677" s="41" t="str">
        <f>IF(LEN(D677)=0,"",INDEX(Input!$1:$1048576,AY$93,$C677*2+6))</f>
        <v>Compact SUV (52)</v>
      </c>
      <c r="AZ677" s="41" t="str">
        <f>INDEX(Input!$1:$1048576,AZ$93,$C677*2+6)</f>
        <v>Kia Soul</v>
      </c>
      <c r="BA677" s="3">
        <f>INDEX(Input!$1:$1048576,BA$93,$C677*2+6)</f>
        <v>2020</v>
      </c>
      <c r="BB677" s="128">
        <f>INDEX(Input!$1:$1048576,BB$93,$C677*2+6)</f>
        <v>1</v>
      </c>
      <c r="BC677" s="128">
        <f>INDEX(Input!$1:$1048576,BC$93,$C677*2+6)</f>
        <v>0.7</v>
      </c>
      <c r="BD677" s="1">
        <f>INDEX(Input!$1:$1048576,BD$93,$C677*2+6)</f>
        <v>4.4999999999999998E-2</v>
      </c>
      <c r="BE677" s="1">
        <f>INDEX(Input!$1:$1048576,BE$93,$C677*2+6)</f>
        <v>4.4999999999999998E-2</v>
      </c>
      <c r="BF677" s="1">
        <f>INDEX(Input!$1:$1048576,BF$93,$C677*2+6)</f>
        <v>0.05</v>
      </c>
      <c r="BG677" s="1">
        <f>INDEX(Input!$1:$1048576,BG$93,$C677*2+6)</f>
        <v>5.45E-2</v>
      </c>
      <c r="BH677" s="1">
        <f>INDEX(Input!$1:$1048576,BH$93,$C677*2+6)</f>
        <v>5.45E-2</v>
      </c>
      <c r="BI677" s="1">
        <f>INDEX(Input!$1:$1048576,BI$93,$C677*2+6)</f>
        <v>0.05</v>
      </c>
      <c r="BJ677" s="1">
        <f>INDEX(Input!$1:$1048576,BJ$93,$C677*2+6)</f>
        <v>0.05</v>
      </c>
      <c r="BK677" s="1">
        <f>INDEX(Input!$1:$1048576,BK$93,$C677*2+6)</f>
        <v>0.05</v>
      </c>
      <c r="BL677" s="1">
        <f>INDEX(Input!$1:$1048576,BL$93,$C677*2+6)</f>
        <v>5.5E-2</v>
      </c>
      <c r="BM677" s="1">
        <f>INDEX(Input!$1:$1048576,BM$93,$C677*2+6)</f>
        <v>0.06</v>
      </c>
      <c r="BN677" s="1">
        <f>INDEX(Input!$1:$1048576,BN$93,$C677*2+6)</f>
        <v>4.4999999999999998E-2</v>
      </c>
      <c r="BO677" s="1">
        <f>INDEX(Input!$1:$1048576,BO$93,$C677*2+6)</f>
        <v>4.4999999999999998E-2</v>
      </c>
      <c r="BP677" s="1">
        <f>INDEX(Input!$1:$1048576,BP$93,$C677*2+6)</f>
        <v>0.05</v>
      </c>
      <c r="BQ677" s="1">
        <f>INDEX(Input!$1:$1048576,BQ$93,$C677*2+6)</f>
        <v>5.45E-2</v>
      </c>
      <c r="BR677" s="1">
        <f>INDEX(Input!$1:$1048576,BR$93,$C677*2+6)</f>
        <v>5.45E-2</v>
      </c>
      <c r="BS677" s="1">
        <f>INDEX(Input!$1:$1048576,BS$93,$C677*2+6)</f>
        <v>0.05</v>
      </c>
      <c r="BT677" s="1">
        <f>INDEX(Input!$1:$1048576,BT$93,$C677*2+6)</f>
        <v>0.05</v>
      </c>
      <c r="BU677" s="1">
        <f>INDEX(Input!$1:$1048576,BU$93,$C677*2+6)</f>
        <v>0.05</v>
      </c>
      <c r="BV677" s="1">
        <f>INDEX(Input!$1:$1048576,BV$93,$C677*2+6)</f>
        <v>5.5E-2</v>
      </c>
      <c r="BW677" s="1">
        <f>INDEX(Input!$1:$1048576,BW$93,$C677*2+6)</f>
        <v>0.06</v>
      </c>
      <c r="BX677" s="127">
        <f>INDEX(Input!$1:$1048576,BX$93,$C677*2+6)</f>
        <v>19985</v>
      </c>
      <c r="BY677" s="20">
        <f>INDEX(Input!$1:$1048576,BY$93,$C677*2+6)</f>
        <v>0.1</v>
      </c>
      <c r="BZ677" s="20">
        <f>INDEX(Input!$1:$1048576,BZ$93,$C677*2+6)</f>
        <v>0.1</v>
      </c>
      <c r="CA677" s="20">
        <f>INDEX(Input!$1:$1048576,CA$93,$C677*2+6)</f>
        <v>0.1</v>
      </c>
      <c r="CB677" s="20">
        <f>INDEX(Input!$1:$1048576,CB$93,$C677*2+6)</f>
        <v>0.1</v>
      </c>
      <c r="CC677" s="20">
        <f>INDEX(Input!$1:$1048576,CC$93,$C677*2+6)</f>
        <v>0.1</v>
      </c>
      <c r="CD677" s="384">
        <f>INDEX(Input!$1:$1048576,CD$93,$C677*2+6)</f>
        <v>0.1</v>
      </c>
      <c r="CE677" s="384">
        <f>INDEX(Input!$1:$1048576,CE$93,$C677*2+6)</f>
        <v>0.1</v>
      </c>
      <c r="CF677" s="384">
        <f>INDEX(Input!$1:$1048576,CF$93,$C677*2+6)</f>
        <v>0.1</v>
      </c>
      <c r="CG677" s="384">
        <f>INDEX(Input!$1:$1048576,CG$93,$C677*2+6)</f>
        <v>0.1</v>
      </c>
      <c r="CH677" s="384">
        <f>INDEX(Input!$1:$1048576,CH$93,$C677*2+6)</f>
        <v>0.1</v>
      </c>
      <c r="CI677" s="304">
        <f t="shared" si="1992"/>
        <v>1017.2644913000609</v>
      </c>
      <c r="CJ677" s="16" t="str">
        <f>INDEX(Input!$1:$1048576,CJ$93,$C677*2+6)</f>
        <v>N</v>
      </c>
      <c r="CK677" s="1" t="str">
        <f t="shared" si="1993"/>
        <v>Market</v>
      </c>
      <c r="CL677" s="1" t="str">
        <f t="shared" si="1994"/>
        <v>Market</v>
      </c>
      <c r="CM677" s="1" t="str">
        <f t="shared" si="1995"/>
        <v>Market</v>
      </c>
      <c r="CN677" s="1" t="str">
        <f t="shared" si="1996"/>
        <v>Market</v>
      </c>
      <c r="CO677" s="1" t="str">
        <f t="shared" si="1997"/>
        <v>Market</v>
      </c>
      <c r="CP677" s="304">
        <f t="shared" si="1998"/>
        <v>500</v>
      </c>
      <c r="CQ677" s="1">
        <f t="shared" si="1999"/>
        <v>0</v>
      </c>
      <c r="CR677" s="1">
        <f t="shared" si="2000"/>
        <v>0</v>
      </c>
      <c r="CS677" s="1">
        <f t="shared" si="2001"/>
        <v>0</v>
      </c>
      <c r="CT677" s="1">
        <f t="shared" si="2002"/>
        <v>1.9E-2</v>
      </c>
      <c r="CU677" s="1">
        <f t="shared" si="2003"/>
        <v>3.9E-2</v>
      </c>
      <c r="CV677" s="304">
        <f t="shared" si="2004"/>
        <v>377.99367635402496</v>
      </c>
      <c r="CW677" s="20" t="s">
        <v>122</v>
      </c>
      <c r="CX677" s="20" t="s">
        <v>122</v>
      </c>
      <c r="CY677" s="20" t="s">
        <v>122</v>
      </c>
      <c r="CZ677" s="20" t="s">
        <v>122</v>
      </c>
      <c r="DA677" s="20" t="s">
        <v>122</v>
      </c>
      <c r="DB677" s="503">
        <f t="shared" si="2005"/>
        <v>0</v>
      </c>
      <c r="DC677" s="127">
        <v>0</v>
      </c>
      <c r="DD677" s="127">
        <v>0</v>
      </c>
      <c r="DE677" s="127">
        <v>0</v>
      </c>
      <c r="DF677" s="127">
        <v>0</v>
      </c>
      <c r="DG677" s="127">
        <v>0</v>
      </c>
      <c r="DH677" s="127">
        <v>0</v>
      </c>
      <c r="DI677" s="127">
        <v>0</v>
      </c>
      <c r="DJ677" s="127">
        <v>0</v>
      </c>
      <c r="DK677" s="127">
        <v>0</v>
      </c>
      <c r="DL677" s="127">
        <v>0</v>
      </c>
      <c r="DM677" s="304">
        <f>INDEX(Input!$1:$1048576,DM$93,$C677*2+6)</f>
        <v>21036.84210526316</v>
      </c>
      <c r="DN677" s="20">
        <v>0</v>
      </c>
      <c r="DO677" s="20">
        <v>0</v>
      </c>
      <c r="DP677" s="20">
        <v>0</v>
      </c>
      <c r="DQ677" s="20">
        <v>0</v>
      </c>
      <c r="DR677" s="20">
        <v>0</v>
      </c>
      <c r="DS677" s="20">
        <f>INDEX(Input!$1:$1048576,DS$93,$C677*2+6)</f>
        <v>0.6</v>
      </c>
      <c r="DT677" s="20">
        <f>INDEX(Input!$1:$1048576,DT$93,$C677*2+6)</f>
        <v>0.55000000000000004</v>
      </c>
      <c r="DU677" s="20">
        <f>INDEX(Input!$1:$1048576,DU$93,$C677*2+6)</f>
        <v>0.52</v>
      </c>
      <c r="DV677" s="20">
        <f>INDEX(Input!$1:$1048576,DV$93,$C677*2+6)</f>
        <v>0.5</v>
      </c>
      <c r="DW677" s="20">
        <f>INDEX(Input!$1:$1048576,DW$93,$C677*2+6)</f>
        <v>0.45</v>
      </c>
      <c r="DX677" s="20"/>
      <c r="DY677" s="7"/>
      <c r="DZ677" s="7"/>
      <c r="EA677" s="7"/>
      <c r="EB677" s="7"/>
      <c r="EC677" s="7"/>
      <c r="ED677" s="7"/>
      <c r="EE677" s="7"/>
      <c r="EF677" s="7"/>
      <c r="EG677" s="7"/>
      <c r="EH677" s="7"/>
      <c r="EI677" s="7"/>
      <c r="EJ677" s="7"/>
      <c r="EK677" s="7"/>
      <c r="EL677" s="7"/>
      <c r="EM677" s="7"/>
      <c r="EN677" s="7"/>
      <c r="EO677" s="7"/>
      <c r="EP677" s="7"/>
      <c r="EQ677" s="7"/>
      <c r="ER677" s="7"/>
      <c r="ES677" s="7"/>
      <c r="ET677" s="7"/>
      <c r="EU677" s="6"/>
      <c r="EV677" s="6"/>
      <c r="EW677" s="6"/>
      <c r="EX677" s="6"/>
      <c r="EY677" s="6"/>
      <c r="EZ677" s="6"/>
      <c r="FA677" s="6"/>
      <c r="FB677" s="6"/>
      <c r="FC677" s="6"/>
      <c r="FD677" s="6"/>
      <c r="FE677" s="6"/>
      <c r="FF677" s="6"/>
      <c r="FG677" s="6"/>
      <c r="FH677" s="6"/>
      <c r="FI677" s="6"/>
      <c r="FJ677" s="6"/>
      <c r="FK677" s="6"/>
      <c r="FL677" s="6"/>
      <c r="FM677" s="6"/>
      <c r="FN677" s="6"/>
      <c r="FO677" s="6"/>
      <c r="FP677" s="6"/>
      <c r="FQ677" s="6"/>
      <c r="FR677" s="6"/>
      <c r="FS677" s="6"/>
      <c r="FT677" s="7"/>
      <c r="FU677" s="7"/>
      <c r="FV677" s="7"/>
      <c r="FW677" s="6"/>
      <c r="FX677" s="6"/>
      <c r="FY677" s="6"/>
      <c r="FZ677" s="6"/>
      <c r="GA677" s="6"/>
      <c r="GB677" s="6"/>
      <c r="GC677" s="7"/>
      <c r="GD677" s="7"/>
      <c r="GE677" s="7"/>
      <c r="GF677" s="7"/>
      <c r="GG677" s="7"/>
      <c r="GH677" s="42"/>
      <c r="GI677" s="6"/>
      <c r="GJ677" s="14"/>
      <c r="GK677" s="14"/>
      <c r="GL677" s="14"/>
      <c r="GM677" s="14"/>
      <c r="GO677" s="5"/>
      <c r="GP677" s="5"/>
      <c r="GQ677" s="5"/>
      <c r="GR677" s="5"/>
      <c r="GS677" s="5"/>
      <c r="GT677" s="5"/>
      <c r="GU677" s="5"/>
      <c r="GV677" s="39"/>
      <c r="GW677" s="5"/>
      <c r="GX677" s="5"/>
      <c r="GY677" s="5"/>
      <c r="GZ677" s="5"/>
      <c r="HA677" s="5"/>
      <c r="HB677" s="39"/>
      <c r="HC677" s="5"/>
      <c r="HD677" s="5"/>
      <c r="HE677" s="5"/>
      <c r="HF677" s="5"/>
      <c r="HG677" s="5"/>
      <c r="HH677" s="39"/>
      <c r="HI677" s="16"/>
      <c r="HJ677" s="19"/>
      <c r="HK677" s="1"/>
      <c r="HL677" s="16"/>
      <c r="HM677" s="639">
        <f t="shared" si="2013"/>
        <v>2.3149872625708352E-2</v>
      </c>
      <c r="HN677" s="639">
        <f t="shared" si="2014"/>
        <v>1.3965040474190958E-3</v>
      </c>
      <c r="HO677" s="639">
        <f t="shared" si="2015"/>
        <v>3.5429561340050734E-3</v>
      </c>
      <c r="HP677" s="644">
        <f t="shared" ref="HP677:ID677" si="2084">HP177+HP277+HP377+HP477+HP577</f>
        <v>-49.789635862800509</v>
      </c>
      <c r="HQ677" s="644">
        <f t="shared" si="2084"/>
        <v>44.159892902032006</v>
      </c>
      <c r="HR677" s="644">
        <f t="shared" si="2084"/>
        <v>-66.202436321780539</v>
      </c>
      <c r="HS677" s="644">
        <f t="shared" si="2084"/>
        <v>27.72154320367703</v>
      </c>
      <c r="HT677" s="644">
        <f t="shared" si="2084"/>
        <v>83.462944192688028</v>
      </c>
      <c r="HU677" s="644">
        <f t="shared" si="2084"/>
        <v>-24.538571891553381</v>
      </c>
      <c r="HV677" s="644">
        <f t="shared" si="2084"/>
        <v>0</v>
      </c>
      <c r="HW677" s="644">
        <f t="shared" si="2084"/>
        <v>0</v>
      </c>
      <c r="HX677" s="644">
        <f t="shared" si="2084"/>
        <v>0</v>
      </c>
      <c r="HY677" s="644">
        <f t="shared" si="2084"/>
        <v>2396</v>
      </c>
      <c r="HZ677" s="644">
        <f t="shared" si="2084"/>
        <v>3223</v>
      </c>
      <c r="IA677" s="644">
        <f t="shared" si="2084"/>
        <v>830</v>
      </c>
      <c r="IB677" s="644">
        <f t="shared" si="2084"/>
        <v>2373.9319073408769</v>
      </c>
      <c r="IC677" s="644">
        <f t="shared" si="2084"/>
        <v>3350.6228370947197</v>
      </c>
      <c r="ID677" s="644">
        <f t="shared" si="2084"/>
        <v>739.258991786666</v>
      </c>
      <c r="IE677" s="20">
        <f t="shared" si="2017"/>
        <v>0.36726490029217757</v>
      </c>
      <c r="IF677" s="20">
        <f t="shared" si="2018"/>
        <v>0.5183662422570009</v>
      </c>
      <c r="IG677" s="20">
        <f t="shared" si="2019"/>
        <v>0.11436885745082152</v>
      </c>
      <c r="IH677" s="21"/>
      <c r="II677" s="19"/>
      <c r="IJ677" s="19"/>
      <c r="IK677" s="19"/>
      <c r="IL677" s="19">
        <f t="shared" si="2020"/>
        <v>-74.54045712387915</v>
      </c>
      <c r="IM677" s="19">
        <f t="shared" si="2021"/>
        <v>174.49126030241723</v>
      </c>
      <c r="IN677" s="19">
        <f t="shared" si="2022"/>
        <v>-248.5250375288856</v>
      </c>
      <c r="IO677" s="39"/>
      <c r="IP677" s="39"/>
      <c r="IQ677" s="39"/>
      <c r="IR677" s="39"/>
      <c r="IS677" s="39"/>
      <c r="IT677" s="39"/>
      <c r="IU677" s="39"/>
      <c r="IV677" s="39"/>
      <c r="IW677" s="39"/>
      <c r="IX677" s="19">
        <f t="shared" si="2023"/>
        <v>1554.1790484140233</v>
      </c>
      <c r="IY677" s="19">
        <f t="shared" si="2024"/>
        <v>2412.3001201524512</v>
      </c>
      <c r="IZ677" s="19">
        <f t="shared" si="2025"/>
        <v>3993.0862952928574</v>
      </c>
      <c r="JA677" s="19">
        <f t="shared" ref="JA677:JC677" si="2085">IFERROR((JA177*IB177+JA277*IB277+JA377*IB377+JA477*IB477+JA577*IB577)/IB677,0)</f>
        <v>1479.6385912901442</v>
      </c>
      <c r="JB677" s="19">
        <f t="shared" si="2085"/>
        <v>2586.7913804548684</v>
      </c>
      <c r="JC677" s="19">
        <f t="shared" si="2085"/>
        <v>3744.5612577639718</v>
      </c>
      <c r="JD677" s="19">
        <f t="shared" si="2027"/>
        <v>2312.5858397928996</v>
      </c>
      <c r="JE677" s="21"/>
      <c r="JF677" s="1">
        <f t="shared" si="2028"/>
        <v>2.6651855648468406E-2</v>
      </c>
      <c r="JG677" s="15">
        <f t="shared" si="2029"/>
        <v>6449</v>
      </c>
      <c r="JH677" s="1">
        <f t="shared" si="2030"/>
        <v>-1.1138498880841844E-2</v>
      </c>
      <c r="JI677" s="1">
        <f t="shared" si="2031"/>
        <v>1.3435558304359076E-2</v>
      </c>
      <c r="JJ677" s="1">
        <f t="shared" si="2032"/>
        <v>0</v>
      </c>
      <c r="JK677" s="1">
        <f t="shared" si="2033"/>
        <v>2.2970594235172353E-3</v>
      </c>
      <c r="JL677" s="15">
        <f t="shared" ref="JL677:JM677" si="2086">JL177+JL277+JL377+JL477+JL577</f>
        <v>14.81373622226265</v>
      </c>
      <c r="JM677" s="15">
        <f t="shared" si="2086"/>
        <v>6463.8137362222624</v>
      </c>
      <c r="JN677" s="21"/>
      <c r="JO677" s="19">
        <f>INDEX(Input!$1:$1048576,JO$93,$C677*2+6)</f>
        <v>5995.5</v>
      </c>
      <c r="JP677" s="19">
        <f>INDEX(Input!$1:$1048576,JP$93,$C677*2+6)</f>
        <v>2296.6050414551746</v>
      </c>
      <c r="JQ677" s="39">
        <f t="shared" si="2053"/>
        <v>3682.9141602071004</v>
      </c>
      <c r="JR677" s="39">
        <f t="shared" si="2054"/>
        <v>15.980798337724991</v>
      </c>
      <c r="JS677" s="39">
        <f t="shared" si="2055"/>
        <v>14.948124117446442</v>
      </c>
      <c r="JT677" s="39">
        <f t="shared" si="2056"/>
        <v>0.13731820510202086</v>
      </c>
      <c r="JU677" s="385">
        <f>(JQ677*JM677-INDEX(Input!$1:$1048576,Input!A$18,$C677*2+6)*JL677*INDEX(Input!$1:$1048576,Input!A$19,$C677*2+6))/1000000</f>
        <v>23.805671138074132</v>
      </c>
      <c r="JV677" s="39">
        <f t="shared" si="2057"/>
        <v>-4.8502449581445006E-2</v>
      </c>
      <c r="JW677" s="1">
        <f t="shared" si="2058"/>
        <v>-2.0332898728692406E-3</v>
      </c>
      <c r="JX677" s="19">
        <f t="shared" si="2059"/>
        <v>9269.6537215003063</v>
      </c>
      <c r="JZ677" s="341"/>
      <c r="KA677" s="60"/>
      <c r="KB677" s="469">
        <f t="shared" si="2035"/>
        <v>0</v>
      </c>
      <c r="KI677" s="472"/>
      <c r="KJ677" s="472"/>
      <c r="KK677" s="472"/>
      <c r="KN677" s="26">
        <f t="shared" si="2036"/>
        <v>6002</v>
      </c>
      <c r="KO677" s="794">
        <f t="shared" si="2037"/>
        <v>-2.0677093879399866E-2</v>
      </c>
      <c r="KP677" s="795">
        <f t="shared" si="2038"/>
        <v>-130.80366555001785</v>
      </c>
      <c r="KQ677" s="795">
        <f t="shared" si="2039"/>
        <v>-150.24741681224532</v>
      </c>
      <c r="KR677" s="26">
        <f t="shared" si="2040"/>
        <v>2.7698572910797465</v>
      </c>
      <c r="KS677" s="26">
        <f t="shared" si="2041"/>
        <v>2.4114057626456655</v>
      </c>
      <c r="KT677" s="796">
        <f t="shared" si="2049"/>
        <v>4286.2445668946921</v>
      </c>
      <c r="KU677" s="797">
        <f t="shared" si="2042"/>
        <v>4.3904488177508307</v>
      </c>
    </row>
    <row r="678" spans="1:307" s="26" customFormat="1" ht="15" outlineLevel="1">
      <c r="A678" s="561">
        <f t="shared" si="2009"/>
        <v>6078</v>
      </c>
      <c r="B678" s="561">
        <f t="shared" si="2043"/>
        <v>78</v>
      </c>
      <c r="C678" s="561">
        <f t="shared" si="2044"/>
        <v>6</v>
      </c>
      <c r="D678" s="561" t="str">
        <f t="shared" si="1953"/>
        <v xml:space="preserve">-500 CC, -360 Lease, </v>
      </c>
      <c r="E678" s="475">
        <f>INDEX(Input!$1:$1048576,E$93,$C678*2+MIN($B678,2)+5)
+INDEX(Scenarios!E$121:E$199,MATCH($B678,Scenarios!$B$121:$B$199,0))</f>
        <v>767.26449130006085</v>
      </c>
      <c r="F678" s="475">
        <f>INDEX(Input!$1:$1048576,F$93,$C678*2+MIN($B678,2)+5)
+INDEX(Scenarios!F$121:F$199,MATCH($B678,Scenarios!$B$121:$B$199,0))</f>
        <v>0</v>
      </c>
      <c r="G678" s="475">
        <f>INDEX(Input!$1:$1048576,G$93,$C678*2+MIN($B678,2)+5)
+INDEX(Scenarios!G$121:G$199,MATCH($B678,Scenarios!$B$121:$B$199,0))</f>
        <v>0</v>
      </c>
      <c r="H678" s="475">
        <f>INDEX(Input!$1:$1048576,H$93,$C678*2+MIN($B678,2)+5)
+INDEX(Scenarios!H$121:H$199,MATCH($B678,Scenarios!$B$121:$B$199,0))</f>
        <v>0</v>
      </c>
      <c r="I678" s="476">
        <f>INDEX(Input!$1:$1048576,I$93,$C678*2+MIN($B678,2)+5)
+INDEX(Scenarios!I$121:I$199,MATCH($B678,Scenarios!$B$121:$B$199,0))</f>
        <v>0.7</v>
      </c>
      <c r="J678" s="476" t="str">
        <f>INDEX(Input!$1:$1048576,J$93,$C678*2+MIN($B678,2)+5)</f>
        <v>Market</v>
      </c>
      <c r="K678" s="476" t="str">
        <f>INDEX(Input!$1:$1048576,K$93,$C678*2+MIN($B678,2)+5)</f>
        <v>Market</v>
      </c>
      <c r="L678" s="476" t="str">
        <f>INDEX(Input!$1:$1048576,L$93,$C678*2+MIN($B678,2)+5)</f>
        <v>Market</v>
      </c>
      <c r="M678" s="476" t="str">
        <f>INDEX(Input!$1:$1048576,M$93,$C678*2+MIN($B678,2)+5)</f>
        <v>Market</v>
      </c>
      <c r="N678" s="476" t="str">
        <f>INDEX(Input!$1:$1048576,N$93,$C678*2+MIN($B678,2)+5)</f>
        <v>Market</v>
      </c>
      <c r="O678" s="476" t="str">
        <f>INDEX(Input!$1:$1048576,O$93,$C678*2+MIN($B678,2)+5)</f>
        <v>Market</v>
      </c>
      <c r="P678" s="476" t="str">
        <f>INDEX(Input!$1:$1048576,P$93,$C678*2+MIN($B678,2)+5)</f>
        <v>N</v>
      </c>
      <c r="Q678" s="477">
        <f>INDEX(Input!$1:$1048576,Q$93,$C678*2+MIN($B678,2)+5)
+INDEX(Scenarios!Q$121:Q$199,MATCH($B678,Scenarios!$B$121:$B$199,0))</f>
        <v>0</v>
      </c>
      <c r="R678" s="478">
        <f>IFERROR(MAX(0,INDEX(Input!$1:$1048576,R$93,$C678*2+MIN($B678,2)+5)
+INDEX(Scenarios!R$121:R$199,MATCH($B678,Scenarios!$B$121:$B$199,0)),),"Market")</f>
        <v>0</v>
      </c>
      <c r="S678" s="478">
        <f>IFERROR(MAX(0,INDEX(Input!$1:$1048576,S$93,$C678*2+MIN($B678,2)+5)
+INDEX(Scenarios!S$121:S$199,MATCH($B678,Scenarios!$B$121:$B$199,0)),),"Market")</f>
        <v>0</v>
      </c>
      <c r="T678" s="478">
        <f>IFERROR(MAX(0,INDEX(Input!$1:$1048576,T$93,$C678*2+MIN($B678,2)+5)
+INDEX(Scenarios!T$121:T$199,MATCH($B678,Scenarios!$B$121:$B$199,0)),),"Market")</f>
        <v>0</v>
      </c>
      <c r="U678" s="478">
        <f>IFERROR(MAX(0,INDEX(Input!$1:$1048576,U$93,$C678*2+MIN($B678,2)+5)
+INDEX(Scenarios!U$121:U$199,MATCH($B678,Scenarios!$B$121:$B$199,0)),),"Market")</f>
        <v>0</v>
      </c>
      <c r="V678" s="478">
        <f>IFERROR(MAX(0,INDEX(Input!$1:$1048576,V$93,$C678*2+MIN($B678,2)+5)
+INDEX(Scenarios!V$121:V$199,MATCH($B678,Scenarios!$B$121:$B$199,0)),),"Market")</f>
        <v>1.9E-2</v>
      </c>
      <c r="W678" s="885">
        <f>IFERROR(MAX(0,INDEX(Input!$1:$1048576,W$93,$C678*2+MIN($B678,2)+5)-0%),"Market")</f>
        <v>3.9E-2</v>
      </c>
      <c r="X678" s="476" t="str">
        <f>INDEX(Input!$1:$1048576,X$93,$C678*2+MIN($B678,2)+5)</f>
        <v>Y</v>
      </c>
      <c r="Y678" s="475">
        <f>INDEX(Input!$1:$1048576,Y$93,$C678*2+MIN($B678,2)+5)
++INDEX(Scenarios!Y$121:Y$199,MATCH($B678,Scenarios!$B$121:$B$199,0))</f>
        <v>377.99367635402496</v>
      </c>
      <c r="Z678" s="477">
        <f>INDEX(Input!$1:$1048576,Z$93,$C678*2+MIN($B678,2)+5)
+INDEX(Scenarios!Z$121:Z$199,MATCH($B678,Scenarios!$B$121:$B$199,0))</f>
        <v>0</v>
      </c>
      <c r="AA678" s="475">
        <f>INDEX(Input!$1:$1048576,AA$93,$C678*2+MIN($B678,2)+5)</f>
        <v>0</v>
      </c>
      <c r="AB678" s="476">
        <f>INDEX(Input!$1:$1048576,AB$93,$C678*2+MIN($B678,2)+5)</f>
        <v>0.27</v>
      </c>
      <c r="AC678" s="475">
        <f>INDEX(Input!$1:$1048576,AC$93,$C678*2+MIN($B678,2)+5)
+INDEX(Scenarios!AC$121:AC$199,MATCH($B678,Scenarios!$B$121:$B$199,0))</f>
        <v>0</v>
      </c>
      <c r="AD678" s="476">
        <f>INDEX(Input!$1:$1048576,AD$93,$C678*2+MIN($B678,2)+5)</f>
        <v>0.27</v>
      </c>
      <c r="AE678" s="475">
        <f>INDEX(Input!$1:$1048576,AE$93,$C678*2+MIN($B678,2)+5)
+INDEX(Scenarios!AE$121:AE$199,MATCH($B678,Scenarios!$B$121:$B$199,0))</f>
        <v>0</v>
      </c>
      <c r="AF678" s="476">
        <f>INDEX(Input!$1:$1048576,AF$93,$C678*2+MIN($B678,2)+5)</f>
        <v>1</v>
      </c>
      <c r="AG678" s="475">
        <f>INDEX(Input!$1:$1048576,AG$93,$C678*2+MIN($B678,2)+5)</f>
        <v>500</v>
      </c>
      <c r="AH678" s="476">
        <f>INDEX(Input!$1:$1048576,AH$93,$C678*2+MIN($B678,2)+5)</f>
        <v>1</v>
      </c>
      <c r="AI678" s="475">
        <f>INDEX(Input!$1:$1048576,AI$93,$C678*2+MIN($B678,2)+5)</f>
        <v>0</v>
      </c>
      <c r="AJ678" s="476">
        <f>INDEX(Input!$1:$1048576,AJ$93,$C678*2+MIN($B678,2)+5)</f>
        <v>0.27</v>
      </c>
      <c r="AK678" s="150">
        <f>ROUND(INDEX(Input!$1:$1048576,AK$93,$C677*2+MIN($B678,1)+5)+(Y678-VLOOKUP($C678*1000+1,$A:$HH,Y$92,FALSE)),0)</f>
        <v>2701</v>
      </c>
      <c r="AL678" s="150">
        <f>ROUND(INDEX(Input!$1:$1048576,AL$93,$C677*2+MIN($B678,1)+5)-(Y678-VLOOKUP($C678*1000+1,$A:$HH,Y$92,FALSE))/36,0)</f>
        <v>3562</v>
      </c>
      <c r="AM678" s="32" t="str">
        <f t="shared" si="2010"/>
        <v>std/std/std/std</v>
      </c>
      <c r="AN678" s="32" t="str">
        <f t="shared" si="2011"/>
        <v>$0 + 0/0/0/1.9/3.9</v>
      </c>
      <c r="AO678" s="32" t="str">
        <f t="shared" si="2012"/>
        <v>0/0/0/1.9/3.9</v>
      </c>
      <c r="AP678" s="32" t="str">
        <f t="shared" si="1990"/>
        <v>0/0.9/1.9/3.9</v>
      </c>
      <c r="AQ678" s="536">
        <f t="shared" si="1991"/>
        <v>0.34550475562995231</v>
      </c>
      <c r="AR678" s="32"/>
      <c r="AS678" s="302"/>
      <c r="AT678" s="3">
        <f t="shared" si="2045"/>
        <v>78</v>
      </c>
      <c r="AU678" s="41" t="s">
        <v>121</v>
      </c>
      <c r="AV678" s="41" t="s">
        <v>116</v>
      </c>
      <c r="AW678" s="41" t="str">
        <f>INDEX(Input!$1:$1048576,AW$93,$C678*2+6)</f>
        <v>Kia</v>
      </c>
      <c r="AX678" s="41" t="str">
        <f>INDEX(Input!$1:$1048576,AX$93,$C678*2+6)</f>
        <v>National</v>
      </c>
      <c r="AY678" s="41" t="str">
        <f>IF(LEN(D678)=0,"",INDEX(Input!$1:$1048576,AY$93,$C678*2+6))</f>
        <v>Compact SUV (52)</v>
      </c>
      <c r="AZ678" s="41" t="str">
        <f>INDEX(Input!$1:$1048576,AZ$93,$C678*2+6)</f>
        <v>Kia Soul</v>
      </c>
      <c r="BA678" s="3">
        <f>INDEX(Input!$1:$1048576,BA$93,$C678*2+6)</f>
        <v>2020</v>
      </c>
      <c r="BB678" s="128">
        <f>INDEX(Input!$1:$1048576,BB$93,$C678*2+6)</f>
        <v>1</v>
      </c>
      <c r="BC678" s="128">
        <f>INDEX(Input!$1:$1048576,BC$93,$C678*2+6)</f>
        <v>0.7</v>
      </c>
      <c r="BD678" s="1">
        <f>INDEX(Input!$1:$1048576,BD$93,$C678*2+6)</f>
        <v>4.4999999999999998E-2</v>
      </c>
      <c r="BE678" s="1">
        <f>INDEX(Input!$1:$1048576,BE$93,$C678*2+6)</f>
        <v>4.4999999999999998E-2</v>
      </c>
      <c r="BF678" s="1">
        <f>INDEX(Input!$1:$1048576,BF$93,$C678*2+6)</f>
        <v>0.05</v>
      </c>
      <c r="BG678" s="1">
        <f>INDEX(Input!$1:$1048576,BG$93,$C678*2+6)</f>
        <v>5.45E-2</v>
      </c>
      <c r="BH678" s="1">
        <f>INDEX(Input!$1:$1048576,BH$93,$C678*2+6)</f>
        <v>5.45E-2</v>
      </c>
      <c r="BI678" s="1">
        <f>INDEX(Input!$1:$1048576,BI$93,$C678*2+6)</f>
        <v>0.05</v>
      </c>
      <c r="BJ678" s="1">
        <f>INDEX(Input!$1:$1048576,BJ$93,$C678*2+6)</f>
        <v>0.05</v>
      </c>
      <c r="BK678" s="1">
        <f>INDEX(Input!$1:$1048576,BK$93,$C678*2+6)</f>
        <v>0.05</v>
      </c>
      <c r="BL678" s="1">
        <f>INDEX(Input!$1:$1048576,BL$93,$C678*2+6)</f>
        <v>5.5E-2</v>
      </c>
      <c r="BM678" s="1">
        <f>INDEX(Input!$1:$1048576,BM$93,$C678*2+6)</f>
        <v>0.06</v>
      </c>
      <c r="BN678" s="1">
        <f>INDEX(Input!$1:$1048576,BN$93,$C678*2+6)</f>
        <v>4.4999999999999998E-2</v>
      </c>
      <c r="BO678" s="1">
        <f>INDEX(Input!$1:$1048576,BO$93,$C678*2+6)</f>
        <v>4.4999999999999998E-2</v>
      </c>
      <c r="BP678" s="1">
        <f>INDEX(Input!$1:$1048576,BP$93,$C678*2+6)</f>
        <v>0.05</v>
      </c>
      <c r="BQ678" s="1">
        <f>INDEX(Input!$1:$1048576,BQ$93,$C678*2+6)</f>
        <v>5.45E-2</v>
      </c>
      <c r="BR678" s="1">
        <f>INDEX(Input!$1:$1048576,BR$93,$C678*2+6)</f>
        <v>5.45E-2</v>
      </c>
      <c r="BS678" s="1">
        <f>INDEX(Input!$1:$1048576,BS$93,$C678*2+6)</f>
        <v>0.05</v>
      </c>
      <c r="BT678" s="1">
        <f>INDEX(Input!$1:$1048576,BT$93,$C678*2+6)</f>
        <v>0.05</v>
      </c>
      <c r="BU678" s="1">
        <f>INDEX(Input!$1:$1048576,BU$93,$C678*2+6)</f>
        <v>0.05</v>
      </c>
      <c r="BV678" s="1">
        <f>INDEX(Input!$1:$1048576,BV$93,$C678*2+6)</f>
        <v>5.5E-2</v>
      </c>
      <c r="BW678" s="1">
        <f>INDEX(Input!$1:$1048576,BW$93,$C678*2+6)</f>
        <v>0.06</v>
      </c>
      <c r="BX678" s="127">
        <f>INDEX(Input!$1:$1048576,BX$93,$C678*2+6)</f>
        <v>19985</v>
      </c>
      <c r="BY678" s="20">
        <f>INDEX(Input!$1:$1048576,BY$93,$C678*2+6)</f>
        <v>0.1</v>
      </c>
      <c r="BZ678" s="20">
        <f>INDEX(Input!$1:$1048576,BZ$93,$C678*2+6)</f>
        <v>0.1</v>
      </c>
      <c r="CA678" s="20">
        <f>INDEX(Input!$1:$1048576,CA$93,$C678*2+6)</f>
        <v>0.1</v>
      </c>
      <c r="CB678" s="20">
        <f>INDEX(Input!$1:$1048576,CB$93,$C678*2+6)</f>
        <v>0.1</v>
      </c>
      <c r="CC678" s="20">
        <f>INDEX(Input!$1:$1048576,CC$93,$C678*2+6)</f>
        <v>0.1</v>
      </c>
      <c r="CD678" s="384">
        <f>INDEX(Input!$1:$1048576,CD$93,$C678*2+6)</f>
        <v>0.1</v>
      </c>
      <c r="CE678" s="384">
        <f>INDEX(Input!$1:$1048576,CE$93,$C678*2+6)</f>
        <v>0.1</v>
      </c>
      <c r="CF678" s="384">
        <f>INDEX(Input!$1:$1048576,CF$93,$C678*2+6)</f>
        <v>0.1</v>
      </c>
      <c r="CG678" s="384">
        <f>INDEX(Input!$1:$1048576,CG$93,$C678*2+6)</f>
        <v>0.1</v>
      </c>
      <c r="CH678" s="384">
        <f>INDEX(Input!$1:$1048576,CH$93,$C678*2+6)</f>
        <v>0.1</v>
      </c>
      <c r="CI678" s="304">
        <f t="shared" si="1992"/>
        <v>767.26449130006085</v>
      </c>
      <c r="CJ678" s="16" t="str">
        <f>INDEX(Input!$1:$1048576,CJ$93,$C678*2+6)</f>
        <v>N</v>
      </c>
      <c r="CK678" s="1" t="str">
        <f t="shared" si="1993"/>
        <v>Market</v>
      </c>
      <c r="CL678" s="1" t="str">
        <f t="shared" si="1994"/>
        <v>Market</v>
      </c>
      <c r="CM678" s="1" t="str">
        <f t="shared" si="1995"/>
        <v>Market</v>
      </c>
      <c r="CN678" s="1" t="str">
        <f t="shared" si="1996"/>
        <v>Market</v>
      </c>
      <c r="CO678" s="1" t="str">
        <f t="shared" si="1997"/>
        <v>Market</v>
      </c>
      <c r="CP678" s="304">
        <f t="shared" si="1998"/>
        <v>500</v>
      </c>
      <c r="CQ678" s="1">
        <f t="shared" si="1999"/>
        <v>0</v>
      </c>
      <c r="CR678" s="1">
        <f t="shared" si="2000"/>
        <v>0</v>
      </c>
      <c r="CS678" s="1">
        <f t="shared" si="2001"/>
        <v>0</v>
      </c>
      <c r="CT678" s="1">
        <f t="shared" si="2002"/>
        <v>1.9E-2</v>
      </c>
      <c r="CU678" s="1">
        <f t="shared" si="2003"/>
        <v>3.9E-2</v>
      </c>
      <c r="CV678" s="304">
        <f t="shared" si="2004"/>
        <v>377.99367635402496</v>
      </c>
      <c r="CW678" s="20" t="s">
        <v>122</v>
      </c>
      <c r="CX678" s="20" t="s">
        <v>122</v>
      </c>
      <c r="CY678" s="20" t="s">
        <v>122</v>
      </c>
      <c r="CZ678" s="20" t="s">
        <v>122</v>
      </c>
      <c r="DA678" s="20" t="s">
        <v>122</v>
      </c>
      <c r="DB678" s="503">
        <f t="shared" si="2005"/>
        <v>0</v>
      </c>
      <c r="DC678" s="127">
        <v>0</v>
      </c>
      <c r="DD678" s="127">
        <v>0</v>
      </c>
      <c r="DE678" s="127">
        <v>0</v>
      </c>
      <c r="DF678" s="127">
        <v>0</v>
      </c>
      <c r="DG678" s="127">
        <v>0</v>
      </c>
      <c r="DH678" s="127">
        <v>0</v>
      </c>
      <c r="DI678" s="127">
        <v>0</v>
      </c>
      <c r="DJ678" s="127">
        <v>0</v>
      </c>
      <c r="DK678" s="127">
        <v>0</v>
      </c>
      <c r="DL678" s="127">
        <v>0</v>
      </c>
      <c r="DM678" s="304">
        <f>INDEX(Input!$1:$1048576,DM$93,$C678*2+6)</f>
        <v>21036.84210526316</v>
      </c>
      <c r="DN678" s="20">
        <v>0</v>
      </c>
      <c r="DO678" s="20">
        <v>0</v>
      </c>
      <c r="DP678" s="20">
        <v>0</v>
      </c>
      <c r="DQ678" s="20">
        <v>0</v>
      </c>
      <c r="DR678" s="20">
        <v>0</v>
      </c>
      <c r="DS678" s="20">
        <f>INDEX(Input!$1:$1048576,DS$93,$C678*2+6)</f>
        <v>0.6</v>
      </c>
      <c r="DT678" s="20">
        <f>INDEX(Input!$1:$1048576,DT$93,$C678*2+6)</f>
        <v>0.55000000000000004</v>
      </c>
      <c r="DU678" s="20">
        <f>INDEX(Input!$1:$1048576,DU$93,$C678*2+6)</f>
        <v>0.52</v>
      </c>
      <c r="DV678" s="20">
        <f>INDEX(Input!$1:$1048576,DV$93,$C678*2+6)</f>
        <v>0.5</v>
      </c>
      <c r="DW678" s="20">
        <f>INDEX(Input!$1:$1048576,DW$93,$C678*2+6)</f>
        <v>0.45</v>
      </c>
      <c r="DX678" s="20"/>
      <c r="DY678" s="7"/>
      <c r="DZ678" s="7"/>
      <c r="EA678" s="7"/>
      <c r="EB678" s="7"/>
      <c r="EC678" s="7"/>
      <c r="ED678" s="7"/>
      <c r="EE678" s="7"/>
      <c r="EF678" s="7"/>
      <c r="EG678" s="7"/>
      <c r="EH678" s="7"/>
      <c r="EI678" s="7"/>
      <c r="EJ678" s="7"/>
      <c r="EK678" s="7"/>
      <c r="EL678" s="7"/>
      <c r="EM678" s="7"/>
      <c r="EN678" s="7"/>
      <c r="EO678" s="7"/>
      <c r="EP678" s="7"/>
      <c r="EQ678" s="7"/>
      <c r="ER678" s="7"/>
      <c r="ES678" s="7"/>
      <c r="ET678" s="7"/>
      <c r="EU678" s="6"/>
      <c r="EV678" s="6"/>
      <c r="EW678" s="6"/>
      <c r="EX678" s="6"/>
      <c r="EY678" s="6"/>
      <c r="EZ678" s="6"/>
      <c r="FA678" s="6"/>
      <c r="FB678" s="6"/>
      <c r="FC678" s="6"/>
      <c r="FD678" s="6"/>
      <c r="FE678" s="6"/>
      <c r="FF678" s="6"/>
      <c r="FG678" s="6"/>
      <c r="FH678" s="6"/>
      <c r="FI678" s="6"/>
      <c r="FJ678" s="6"/>
      <c r="FK678" s="6"/>
      <c r="FL678" s="6"/>
      <c r="FM678" s="6"/>
      <c r="FN678" s="6"/>
      <c r="FO678" s="6"/>
      <c r="FP678" s="6"/>
      <c r="FQ678" s="6"/>
      <c r="FR678" s="6"/>
      <c r="FS678" s="6"/>
      <c r="FT678" s="7"/>
      <c r="FU678" s="7"/>
      <c r="FV678" s="7"/>
      <c r="FW678" s="6"/>
      <c r="FX678" s="6"/>
      <c r="FY678" s="6"/>
      <c r="FZ678" s="6"/>
      <c r="GA678" s="6"/>
      <c r="GB678" s="6"/>
      <c r="GC678" s="7"/>
      <c r="GD678" s="7"/>
      <c r="GE678" s="7"/>
      <c r="GF678" s="7"/>
      <c r="GG678" s="7"/>
      <c r="GH678" s="42"/>
      <c r="GI678" s="6"/>
      <c r="GJ678" s="14"/>
      <c r="GK678" s="14"/>
      <c r="GL678" s="14"/>
      <c r="GM678" s="14"/>
      <c r="GO678" s="5"/>
      <c r="GP678" s="5"/>
      <c r="GQ678" s="5"/>
      <c r="GR678" s="5"/>
      <c r="GS678" s="5"/>
      <c r="GT678" s="5"/>
      <c r="GU678" s="5"/>
      <c r="GV678" s="39"/>
      <c r="GW678" s="5"/>
      <c r="GX678" s="5"/>
      <c r="GY678" s="5"/>
      <c r="GZ678" s="5"/>
      <c r="HA678" s="5"/>
      <c r="HB678" s="39"/>
      <c r="HC678" s="5"/>
      <c r="HD678" s="5"/>
      <c r="HE678" s="5"/>
      <c r="HF678" s="5"/>
      <c r="HG678" s="5"/>
      <c r="HH678" s="39"/>
      <c r="HI678" s="16"/>
      <c r="HJ678" s="19"/>
      <c r="HK678" s="1"/>
      <c r="HL678" s="16"/>
      <c r="HM678" s="639">
        <f t="shared" si="2013"/>
        <v>2.3149872625708352E-2</v>
      </c>
      <c r="HN678" s="639">
        <f t="shared" si="2014"/>
        <v>1.3965040474190958E-3</v>
      </c>
      <c r="HO678" s="639">
        <f t="shared" si="2015"/>
        <v>3.5429561340050734E-3</v>
      </c>
      <c r="HP678" s="644">
        <f t="shared" ref="HP678:ID678" si="2087">HP178+HP278+HP378+HP478+HP578</f>
        <v>-300.803284593733</v>
      </c>
      <c r="HQ678" s="644">
        <f t="shared" si="2087"/>
        <v>77.904019339629485</v>
      </c>
      <c r="HR678" s="644">
        <f t="shared" si="2087"/>
        <v>-1.9407784883621402</v>
      </c>
      <c r="HS678" s="644">
        <f t="shared" si="2087"/>
        <v>115.54740597291726</v>
      </c>
      <c r="HT678" s="644">
        <f t="shared" si="2087"/>
        <v>96.257235068821544</v>
      </c>
      <c r="HU678" s="644">
        <f t="shared" si="2087"/>
        <v>-37.372145660289874</v>
      </c>
      <c r="HV678" s="644">
        <f t="shared" si="2087"/>
        <v>0</v>
      </c>
      <c r="HW678" s="644">
        <f t="shared" si="2087"/>
        <v>0</v>
      </c>
      <c r="HX678" s="644">
        <f t="shared" si="2087"/>
        <v>0</v>
      </c>
      <c r="HY678" s="644">
        <f t="shared" si="2087"/>
        <v>2396</v>
      </c>
      <c r="HZ678" s="644">
        <f t="shared" si="2087"/>
        <v>3223</v>
      </c>
      <c r="IA678" s="644">
        <f t="shared" si="2087"/>
        <v>830</v>
      </c>
      <c r="IB678" s="644">
        <f t="shared" si="2087"/>
        <v>2210.7441213791844</v>
      </c>
      <c r="IC678" s="644">
        <f t="shared" si="2087"/>
        <v>3397.161254408451</v>
      </c>
      <c r="ID678" s="644">
        <f t="shared" si="2087"/>
        <v>790.68707585134791</v>
      </c>
      <c r="IE678" s="20">
        <f t="shared" si="2017"/>
        <v>0.34550475562995231</v>
      </c>
      <c r="IF678" s="20">
        <f t="shared" si="2018"/>
        <v>0.53092321164137857</v>
      </c>
      <c r="IG678" s="20">
        <f t="shared" si="2019"/>
        <v>0.12357203272866916</v>
      </c>
      <c r="IH678" s="21"/>
      <c r="II678" s="19"/>
      <c r="IJ678" s="19"/>
      <c r="IK678" s="19"/>
      <c r="IL678" s="19">
        <f t="shared" si="2020"/>
        <v>-320.06264096669133</v>
      </c>
      <c r="IM678" s="19">
        <f t="shared" si="2021"/>
        <v>173.43945652882212</v>
      </c>
      <c r="IN678" s="19">
        <f t="shared" si="2022"/>
        <v>-250.12818238235559</v>
      </c>
      <c r="IO678" s="39"/>
      <c r="IP678" s="39"/>
      <c r="IQ678" s="39"/>
      <c r="IR678" s="39"/>
      <c r="IS678" s="39"/>
      <c r="IT678" s="39"/>
      <c r="IU678" s="39"/>
      <c r="IV678" s="39"/>
      <c r="IW678" s="39"/>
      <c r="IX678" s="19">
        <f t="shared" si="2023"/>
        <v>1554.1790484140233</v>
      </c>
      <c r="IY678" s="19">
        <f t="shared" si="2024"/>
        <v>2412.3001201524512</v>
      </c>
      <c r="IZ678" s="19">
        <f t="shared" si="2025"/>
        <v>3993.0862952928574</v>
      </c>
      <c r="JA678" s="19">
        <f t="shared" ref="JA678:JC678" si="2088">IFERROR((JA178*IB178+JA278*IB278+JA378*IB378+JA478*IB478+JA578*IB578)/IB678,0)</f>
        <v>1234.116407447332</v>
      </c>
      <c r="JB678" s="19">
        <f t="shared" si="2088"/>
        <v>2585.7395766812733</v>
      </c>
      <c r="JC678" s="19">
        <f t="shared" si="2088"/>
        <v>3742.9581129105018</v>
      </c>
      <c r="JD678" s="19">
        <f t="shared" si="2027"/>
        <v>2261.7471907244599</v>
      </c>
      <c r="JE678" s="21"/>
      <c r="JF678" s="1">
        <f t="shared" si="2028"/>
        <v>2.6651855648468406E-2</v>
      </c>
      <c r="JG678" s="15">
        <f t="shared" si="2029"/>
        <v>6449</v>
      </c>
      <c r="JH678" s="1">
        <f t="shared" si="2030"/>
        <v>-3.4864326832449319E-2</v>
      </c>
      <c r="JI678" s="1">
        <f t="shared" si="2031"/>
        <v>2.7047991220568918E-2</v>
      </c>
      <c r="JJ678" s="1">
        <f t="shared" si="2032"/>
        <v>0</v>
      </c>
      <c r="JK678" s="1">
        <f t="shared" si="2033"/>
        <v>-7.8163356118804029E-3</v>
      </c>
      <c r="JL678" s="15">
        <f t="shared" ref="JL678:JM678" si="2089">JL178+JL278+JL378+JL478+JL578</f>
        <v>-50.407548361016723</v>
      </c>
      <c r="JM678" s="15">
        <f t="shared" si="2089"/>
        <v>6398.5924516389832</v>
      </c>
      <c r="JN678" s="21"/>
      <c r="JO678" s="19">
        <f>INDEX(Input!$1:$1048576,JO$93,$C678*2+6)</f>
        <v>5995.5</v>
      </c>
      <c r="JP678" s="19">
        <f>INDEX(Input!$1:$1048576,JP$93,$C678*2+6)</f>
        <v>2296.6050414551746</v>
      </c>
      <c r="JQ678" s="39">
        <f t="shared" si="2053"/>
        <v>3733.7528092755401</v>
      </c>
      <c r="JR678" s="39">
        <f t="shared" si="2054"/>
        <v>-34.857850730714745</v>
      </c>
      <c r="JS678" s="39">
        <f t="shared" si="2055"/>
        <v>14.471998502085205</v>
      </c>
      <c r="JT678" s="39">
        <f t="shared" si="2056"/>
        <v>-0.33880741025921518</v>
      </c>
      <c r="JU678" s="385">
        <f>(JQ678*JM678-INDEX(Input!$1:$1048576,Input!A$18,$C678*2+6)*JL678*INDEX(Input!$1:$1048576,Input!A$19,$C678*2+6))/1000000</f>
        <v>23.89076254171632</v>
      </c>
      <c r="JV678" s="39">
        <f t="shared" si="2057"/>
        <v>3.6588954060743362E-2</v>
      </c>
      <c r="JW678" s="1">
        <f t="shared" si="2058"/>
        <v>1.5338596378655504E-3</v>
      </c>
      <c r="JX678" s="19">
        <f t="shared" si="2059"/>
        <v>6721.3625989641641</v>
      </c>
      <c r="JZ678" s="341"/>
      <c r="KA678" s="60"/>
      <c r="KB678" s="469">
        <f t="shared" si="2035"/>
        <v>0</v>
      </c>
      <c r="KI678" s="472"/>
      <c r="KJ678" s="472"/>
      <c r="KK678" s="472"/>
      <c r="KN678" s="26">
        <f t="shared" si="2036"/>
        <v>6002</v>
      </c>
      <c r="KO678" s="794">
        <f t="shared" si="2037"/>
        <v>-3.0558674717826917E-2</v>
      </c>
      <c r="KP678" s="795">
        <f t="shared" si="2038"/>
        <v>-214.02242911967221</v>
      </c>
      <c r="KQ678" s="795">
        <f t="shared" si="2039"/>
        <v>-201.08606588068506</v>
      </c>
      <c r="KR678" s="26">
        <f t="shared" si="2040"/>
        <v>2.501860183838605</v>
      </c>
      <c r="KS678" s="26">
        <f t="shared" si="2041"/>
        <v>2.6628110282919408</v>
      </c>
      <c r="KT678" s="796">
        <f t="shared" si="2049"/>
        <v>4286.2445668946921</v>
      </c>
      <c r="KU678" s="797">
        <f t="shared" si="2042"/>
        <v>4.3546812219331343</v>
      </c>
    </row>
    <row r="679" spans="1:307" s="26" customFormat="1" ht="15" outlineLevel="1">
      <c r="A679" s="561">
        <f t="shared" si="2009"/>
        <v>6079</v>
      </c>
      <c r="B679" s="561">
        <f t="shared" si="2043"/>
        <v>79</v>
      </c>
      <c r="C679" s="561">
        <f t="shared" si="2044"/>
        <v>6</v>
      </c>
      <c r="D679" s="561" t="str">
        <f t="shared" si="1953"/>
        <v xml:space="preserve">0.9/1.9/2.9/3.9, -360 Lease, </v>
      </c>
      <c r="E679" s="475">
        <f>INDEX(Input!$1:$1048576,E$93,$C679*2+MIN($B679,2)+5)
+INDEX(Scenarios!E$121:E$199,MATCH($B679,Scenarios!$B$121:$B$199,0))</f>
        <v>1267.2644913000609</v>
      </c>
      <c r="F679" s="475">
        <f>INDEX(Input!$1:$1048576,F$93,$C679*2+MIN($B679,2)+5)
+INDEX(Scenarios!F$121:F$199,MATCH($B679,Scenarios!$B$121:$B$199,0))</f>
        <v>0</v>
      </c>
      <c r="G679" s="475">
        <f>INDEX(Input!$1:$1048576,G$93,$C679*2+MIN($B679,2)+5)
+INDEX(Scenarios!G$121:G$199,MATCH($B679,Scenarios!$B$121:$B$199,0))</f>
        <v>0</v>
      </c>
      <c r="H679" s="475">
        <f>INDEX(Input!$1:$1048576,H$93,$C679*2+MIN($B679,2)+5)
+INDEX(Scenarios!H$121:H$199,MATCH($B679,Scenarios!$B$121:$B$199,0))</f>
        <v>0</v>
      </c>
      <c r="I679" s="476">
        <f>INDEX(Input!$1:$1048576,I$93,$C679*2+MIN($B679,2)+5)
+INDEX(Scenarios!I$121:I$199,MATCH($B679,Scenarios!$B$121:$B$199,0))</f>
        <v>0.7</v>
      </c>
      <c r="J679" s="476" t="str">
        <f>INDEX(Input!$1:$1048576,J$93,$C679*2+MIN($B679,2)+5)</f>
        <v>Market</v>
      </c>
      <c r="K679" s="476" t="str">
        <f>INDEX(Input!$1:$1048576,K$93,$C679*2+MIN($B679,2)+5)</f>
        <v>Market</v>
      </c>
      <c r="L679" s="476" t="str">
        <f>INDEX(Input!$1:$1048576,L$93,$C679*2+MIN($B679,2)+5)</f>
        <v>Market</v>
      </c>
      <c r="M679" s="476" t="str">
        <f>INDEX(Input!$1:$1048576,M$93,$C679*2+MIN($B679,2)+5)</f>
        <v>Market</v>
      </c>
      <c r="N679" s="476" t="str">
        <f>INDEX(Input!$1:$1048576,N$93,$C679*2+MIN($B679,2)+5)</f>
        <v>Market</v>
      </c>
      <c r="O679" s="476" t="str">
        <f>INDEX(Input!$1:$1048576,O$93,$C679*2+MIN($B679,2)+5)</f>
        <v>Market</v>
      </c>
      <c r="P679" s="476" t="str">
        <f>INDEX(Input!$1:$1048576,P$93,$C679*2+MIN($B679,2)+5)</f>
        <v>N</v>
      </c>
      <c r="Q679" s="477">
        <f>INDEX(Input!$1:$1048576,Q$93,$C679*2+MIN($B679,2)+5)
+INDEX(Scenarios!Q$121:Q$199,MATCH($B679,Scenarios!$B$121:$B$199,0))</f>
        <v>0</v>
      </c>
      <c r="R679" s="478">
        <f>IFERROR(MAX(0,INDEX(Input!$1:$1048576,R$93,$C679*2+MIN($B679,2)+5)
+INDEX(Scenarios!R$121:R$199,MATCH($B679,Scenarios!$B$121:$B$199,0)),),"Market")</f>
        <v>0</v>
      </c>
      <c r="S679" s="478">
        <f>IFERROR(MAX(0,INDEX(Input!$1:$1048576,S$93,$C679*2+MIN($B679,2)+5)
+INDEX(Scenarios!S$121:S$199,MATCH($B679,Scenarios!$B$121:$B$199,0)),),"Market")</f>
        <v>0</v>
      </c>
      <c r="T679" s="478">
        <f>IFERROR(MAX(0,INDEX(Input!$1:$1048576,T$93,$C679*2+MIN($B679,2)+5)
+INDEX(Scenarios!T$121:T$199,MATCH($B679,Scenarios!$B$121:$B$199,0)),),"Market")</f>
        <v>0</v>
      </c>
      <c r="U679" s="478">
        <f>IFERROR(MAX(0,INDEX(Input!$1:$1048576,U$93,$C679*2+MIN($B679,2)+5)
+INDEX(Scenarios!U$121:U$199,MATCH($B679,Scenarios!$B$121:$B$199,0)),),"Market")</f>
        <v>9.0000000000000011E-3</v>
      </c>
      <c r="V679" s="478">
        <f>IFERROR(MAX(0,INDEX(Input!$1:$1048576,V$93,$C679*2+MIN($B679,2)+5)
+INDEX(Scenarios!V$121:V$199,MATCH($B679,Scenarios!$B$121:$B$199,0)),),"Market")</f>
        <v>2.8999999999999998E-2</v>
      </c>
      <c r="W679" s="885">
        <f>IFERROR(MAX(0,INDEX(Input!$1:$1048576,W$93,$C679*2+MIN($B679,2)+5)-0%),"Market")</f>
        <v>3.9E-2</v>
      </c>
      <c r="X679" s="476" t="str">
        <f>INDEX(Input!$1:$1048576,X$93,$C679*2+MIN($B679,2)+5)</f>
        <v>Y</v>
      </c>
      <c r="Y679" s="475">
        <f>INDEX(Input!$1:$1048576,Y$93,$C679*2+MIN($B679,2)+5)
++INDEX(Scenarios!Y$121:Y$199,MATCH($B679,Scenarios!$B$121:$B$199,0))</f>
        <v>377.99367635402496</v>
      </c>
      <c r="Z679" s="477">
        <f>INDEX(Input!$1:$1048576,Z$93,$C679*2+MIN($B679,2)+5)
+INDEX(Scenarios!Z$121:Z$199,MATCH($B679,Scenarios!$B$121:$B$199,0))</f>
        <v>0</v>
      </c>
      <c r="AA679" s="475">
        <f>INDEX(Input!$1:$1048576,AA$93,$C679*2+MIN($B679,2)+5)</f>
        <v>0</v>
      </c>
      <c r="AB679" s="476">
        <f>INDEX(Input!$1:$1048576,AB$93,$C679*2+MIN($B679,2)+5)</f>
        <v>0.27</v>
      </c>
      <c r="AC679" s="475">
        <f>INDEX(Input!$1:$1048576,AC$93,$C679*2+MIN($B679,2)+5)
+INDEX(Scenarios!AC$121:AC$199,MATCH($B679,Scenarios!$B$121:$B$199,0))</f>
        <v>0</v>
      </c>
      <c r="AD679" s="476">
        <f>INDEX(Input!$1:$1048576,AD$93,$C679*2+MIN($B679,2)+5)</f>
        <v>0.27</v>
      </c>
      <c r="AE679" s="475">
        <f>INDEX(Input!$1:$1048576,AE$93,$C679*2+MIN($B679,2)+5)
+INDEX(Scenarios!AE$121:AE$199,MATCH($B679,Scenarios!$B$121:$B$199,0))</f>
        <v>0</v>
      </c>
      <c r="AF679" s="476">
        <f>INDEX(Input!$1:$1048576,AF$93,$C679*2+MIN($B679,2)+5)</f>
        <v>1</v>
      </c>
      <c r="AG679" s="475">
        <f>INDEX(Input!$1:$1048576,AG$93,$C679*2+MIN($B679,2)+5)</f>
        <v>500</v>
      </c>
      <c r="AH679" s="476">
        <f>INDEX(Input!$1:$1048576,AH$93,$C679*2+MIN($B679,2)+5)</f>
        <v>1</v>
      </c>
      <c r="AI679" s="475">
        <f>INDEX(Input!$1:$1048576,AI$93,$C679*2+MIN($B679,2)+5)</f>
        <v>0</v>
      </c>
      <c r="AJ679" s="476">
        <f>INDEX(Input!$1:$1048576,AJ$93,$C679*2+MIN($B679,2)+5)</f>
        <v>0.27</v>
      </c>
      <c r="AK679" s="150">
        <f>ROUND(INDEX(Input!$1:$1048576,AK$93,$C678*2+MIN($B679,1)+5)+(Y679-VLOOKUP($C679*1000+1,$A:$HH,Y$92,FALSE)),0)</f>
        <v>2701</v>
      </c>
      <c r="AL679" s="150">
        <f>ROUND(INDEX(Input!$1:$1048576,AL$93,$C678*2+MIN($B679,1)+5)-(Y679-VLOOKUP($C679*1000+1,$A:$HH,Y$92,FALSE))/36,0)</f>
        <v>3562</v>
      </c>
      <c r="AM679" s="32" t="str">
        <f t="shared" si="2010"/>
        <v>std/std/std/std</v>
      </c>
      <c r="AN679" s="32" t="str">
        <f t="shared" si="2011"/>
        <v>$0 + 0/0/0.9/2.9/3.9</v>
      </c>
      <c r="AO679" s="32" t="str">
        <f t="shared" si="2012"/>
        <v>0/0/0.9/2.9/3.9</v>
      </c>
      <c r="AP679" s="32" t="str">
        <f t="shared" si="1990"/>
        <v>0.9/1.9/2.9/3.9</v>
      </c>
      <c r="AQ679" s="536">
        <f t="shared" si="1991"/>
        <v>0.40994057079187801</v>
      </c>
      <c r="AR679" s="32"/>
      <c r="AS679" s="302"/>
      <c r="AT679" s="3">
        <f t="shared" si="2045"/>
        <v>79</v>
      </c>
      <c r="AU679" s="41" t="s">
        <v>121</v>
      </c>
      <c r="AV679" s="41" t="s">
        <v>116</v>
      </c>
      <c r="AW679" s="41" t="str">
        <f>INDEX(Input!$1:$1048576,AW$93,$C679*2+6)</f>
        <v>Kia</v>
      </c>
      <c r="AX679" s="41" t="str">
        <f>INDEX(Input!$1:$1048576,AX$93,$C679*2+6)</f>
        <v>National</v>
      </c>
      <c r="AY679" s="41" t="str">
        <f>IF(LEN(D679)=0,"",INDEX(Input!$1:$1048576,AY$93,$C679*2+6))</f>
        <v>Compact SUV (52)</v>
      </c>
      <c r="AZ679" s="41" t="str">
        <f>INDEX(Input!$1:$1048576,AZ$93,$C679*2+6)</f>
        <v>Kia Soul</v>
      </c>
      <c r="BA679" s="3">
        <f>INDEX(Input!$1:$1048576,BA$93,$C679*2+6)</f>
        <v>2020</v>
      </c>
      <c r="BB679" s="128">
        <f>INDEX(Input!$1:$1048576,BB$93,$C679*2+6)</f>
        <v>1</v>
      </c>
      <c r="BC679" s="128">
        <f>INDEX(Input!$1:$1048576,BC$93,$C679*2+6)</f>
        <v>0.7</v>
      </c>
      <c r="BD679" s="1">
        <f>INDEX(Input!$1:$1048576,BD$93,$C679*2+6)</f>
        <v>4.4999999999999998E-2</v>
      </c>
      <c r="BE679" s="1">
        <f>INDEX(Input!$1:$1048576,BE$93,$C679*2+6)</f>
        <v>4.4999999999999998E-2</v>
      </c>
      <c r="BF679" s="1">
        <f>INDEX(Input!$1:$1048576,BF$93,$C679*2+6)</f>
        <v>0.05</v>
      </c>
      <c r="BG679" s="1">
        <f>INDEX(Input!$1:$1048576,BG$93,$C679*2+6)</f>
        <v>5.45E-2</v>
      </c>
      <c r="BH679" s="1">
        <f>INDEX(Input!$1:$1048576,BH$93,$C679*2+6)</f>
        <v>5.45E-2</v>
      </c>
      <c r="BI679" s="1">
        <f>INDEX(Input!$1:$1048576,BI$93,$C679*2+6)</f>
        <v>0.05</v>
      </c>
      <c r="BJ679" s="1">
        <f>INDEX(Input!$1:$1048576,BJ$93,$C679*2+6)</f>
        <v>0.05</v>
      </c>
      <c r="BK679" s="1">
        <f>INDEX(Input!$1:$1048576,BK$93,$C679*2+6)</f>
        <v>0.05</v>
      </c>
      <c r="BL679" s="1">
        <f>INDEX(Input!$1:$1048576,BL$93,$C679*2+6)</f>
        <v>5.5E-2</v>
      </c>
      <c r="BM679" s="1">
        <f>INDEX(Input!$1:$1048576,BM$93,$C679*2+6)</f>
        <v>0.06</v>
      </c>
      <c r="BN679" s="1">
        <f>INDEX(Input!$1:$1048576,BN$93,$C679*2+6)</f>
        <v>4.4999999999999998E-2</v>
      </c>
      <c r="BO679" s="1">
        <f>INDEX(Input!$1:$1048576,BO$93,$C679*2+6)</f>
        <v>4.4999999999999998E-2</v>
      </c>
      <c r="BP679" s="1">
        <f>INDEX(Input!$1:$1048576,BP$93,$C679*2+6)</f>
        <v>0.05</v>
      </c>
      <c r="BQ679" s="1">
        <f>INDEX(Input!$1:$1048576,BQ$93,$C679*2+6)</f>
        <v>5.45E-2</v>
      </c>
      <c r="BR679" s="1">
        <f>INDEX(Input!$1:$1048576,BR$93,$C679*2+6)</f>
        <v>5.45E-2</v>
      </c>
      <c r="BS679" s="1">
        <f>INDEX(Input!$1:$1048576,BS$93,$C679*2+6)</f>
        <v>0.05</v>
      </c>
      <c r="BT679" s="1">
        <f>INDEX(Input!$1:$1048576,BT$93,$C679*2+6)</f>
        <v>0.05</v>
      </c>
      <c r="BU679" s="1">
        <f>INDEX(Input!$1:$1048576,BU$93,$C679*2+6)</f>
        <v>0.05</v>
      </c>
      <c r="BV679" s="1">
        <f>INDEX(Input!$1:$1048576,BV$93,$C679*2+6)</f>
        <v>5.5E-2</v>
      </c>
      <c r="BW679" s="1">
        <f>INDEX(Input!$1:$1048576,BW$93,$C679*2+6)</f>
        <v>0.06</v>
      </c>
      <c r="BX679" s="127">
        <f>INDEX(Input!$1:$1048576,BX$93,$C679*2+6)</f>
        <v>19985</v>
      </c>
      <c r="BY679" s="20">
        <f>INDEX(Input!$1:$1048576,BY$93,$C679*2+6)</f>
        <v>0.1</v>
      </c>
      <c r="BZ679" s="20">
        <f>INDEX(Input!$1:$1048576,BZ$93,$C679*2+6)</f>
        <v>0.1</v>
      </c>
      <c r="CA679" s="20">
        <f>INDEX(Input!$1:$1048576,CA$93,$C679*2+6)</f>
        <v>0.1</v>
      </c>
      <c r="CB679" s="20">
        <f>INDEX(Input!$1:$1048576,CB$93,$C679*2+6)</f>
        <v>0.1</v>
      </c>
      <c r="CC679" s="20">
        <f>INDEX(Input!$1:$1048576,CC$93,$C679*2+6)</f>
        <v>0.1</v>
      </c>
      <c r="CD679" s="384">
        <f>INDEX(Input!$1:$1048576,CD$93,$C679*2+6)</f>
        <v>0.1</v>
      </c>
      <c r="CE679" s="384">
        <f>INDEX(Input!$1:$1048576,CE$93,$C679*2+6)</f>
        <v>0.1</v>
      </c>
      <c r="CF679" s="384">
        <f>INDEX(Input!$1:$1048576,CF$93,$C679*2+6)</f>
        <v>0.1</v>
      </c>
      <c r="CG679" s="384">
        <f>INDEX(Input!$1:$1048576,CG$93,$C679*2+6)</f>
        <v>0.1</v>
      </c>
      <c r="CH679" s="384">
        <f>INDEX(Input!$1:$1048576,CH$93,$C679*2+6)</f>
        <v>0.1</v>
      </c>
      <c r="CI679" s="304">
        <f t="shared" si="1992"/>
        <v>1267.2644913000609</v>
      </c>
      <c r="CJ679" s="16" t="str">
        <f>INDEX(Input!$1:$1048576,CJ$93,$C679*2+6)</f>
        <v>N</v>
      </c>
      <c r="CK679" s="1" t="str">
        <f t="shared" si="1993"/>
        <v>Market</v>
      </c>
      <c r="CL679" s="1" t="str">
        <f t="shared" si="1994"/>
        <v>Market</v>
      </c>
      <c r="CM679" s="1" t="str">
        <f t="shared" si="1995"/>
        <v>Market</v>
      </c>
      <c r="CN679" s="1" t="str">
        <f t="shared" si="1996"/>
        <v>Market</v>
      </c>
      <c r="CO679" s="1" t="str">
        <f t="shared" si="1997"/>
        <v>Market</v>
      </c>
      <c r="CP679" s="304">
        <f t="shared" si="1998"/>
        <v>500</v>
      </c>
      <c r="CQ679" s="1">
        <f t="shared" si="1999"/>
        <v>0</v>
      </c>
      <c r="CR679" s="1">
        <f t="shared" si="2000"/>
        <v>0</v>
      </c>
      <c r="CS679" s="1">
        <f t="shared" si="2001"/>
        <v>9.0000000000000011E-3</v>
      </c>
      <c r="CT679" s="1">
        <f t="shared" si="2002"/>
        <v>2.8999999999999998E-2</v>
      </c>
      <c r="CU679" s="1">
        <f t="shared" si="2003"/>
        <v>3.9E-2</v>
      </c>
      <c r="CV679" s="304">
        <f t="shared" si="2004"/>
        <v>377.99367635402496</v>
      </c>
      <c r="CW679" s="20" t="s">
        <v>122</v>
      </c>
      <c r="CX679" s="20" t="s">
        <v>122</v>
      </c>
      <c r="CY679" s="20" t="s">
        <v>122</v>
      </c>
      <c r="CZ679" s="20" t="s">
        <v>122</v>
      </c>
      <c r="DA679" s="20" t="s">
        <v>122</v>
      </c>
      <c r="DB679" s="503">
        <f t="shared" si="2005"/>
        <v>0</v>
      </c>
      <c r="DC679" s="127">
        <v>0</v>
      </c>
      <c r="DD679" s="127">
        <v>0</v>
      </c>
      <c r="DE679" s="127">
        <v>0</v>
      </c>
      <c r="DF679" s="127">
        <v>0</v>
      </c>
      <c r="DG679" s="127">
        <v>0</v>
      </c>
      <c r="DH679" s="127">
        <v>0</v>
      </c>
      <c r="DI679" s="127">
        <v>0</v>
      </c>
      <c r="DJ679" s="127">
        <v>0</v>
      </c>
      <c r="DK679" s="127">
        <v>0</v>
      </c>
      <c r="DL679" s="127">
        <v>0</v>
      </c>
      <c r="DM679" s="304">
        <f>INDEX(Input!$1:$1048576,DM$93,$C679*2+6)</f>
        <v>21036.84210526316</v>
      </c>
      <c r="DN679" s="20">
        <v>0</v>
      </c>
      <c r="DO679" s="20">
        <v>0</v>
      </c>
      <c r="DP679" s="20">
        <v>0</v>
      </c>
      <c r="DQ679" s="20">
        <v>0</v>
      </c>
      <c r="DR679" s="20">
        <v>0</v>
      </c>
      <c r="DS679" s="20">
        <f>INDEX(Input!$1:$1048576,DS$93,$C679*2+6)</f>
        <v>0.6</v>
      </c>
      <c r="DT679" s="20">
        <f>INDEX(Input!$1:$1048576,DT$93,$C679*2+6)</f>
        <v>0.55000000000000004</v>
      </c>
      <c r="DU679" s="20">
        <f>INDEX(Input!$1:$1048576,DU$93,$C679*2+6)</f>
        <v>0.52</v>
      </c>
      <c r="DV679" s="20">
        <f>INDEX(Input!$1:$1048576,DV$93,$C679*2+6)</f>
        <v>0.5</v>
      </c>
      <c r="DW679" s="20">
        <f>INDEX(Input!$1:$1048576,DW$93,$C679*2+6)</f>
        <v>0.45</v>
      </c>
      <c r="DX679" s="20"/>
      <c r="DY679" s="7"/>
      <c r="DZ679" s="7"/>
      <c r="EA679" s="7"/>
      <c r="EB679" s="7"/>
      <c r="EC679" s="7"/>
      <c r="ED679" s="7"/>
      <c r="EE679" s="7"/>
      <c r="EF679" s="7"/>
      <c r="EG679" s="7"/>
      <c r="EH679" s="7"/>
      <c r="EI679" s="7"/>
      <c r="EJ679" s="7"/>
      <c r="EK679" s="7"/>
      <c r="EL679" s="7"/>
      <c r="EM679" s="7"/>
      <c r="EN679" s="7"/>
      <c r="EO679" s="7"/>
      <c r="EP679" s="7"/>
      <c r="EQ679" s="7"/>
      <c r="ER679" s="7"/>
      <c r="ES679" s="7"/>
      <c r="ET679" s="7"/>
      <c r="EU679" s="6"/>
      <c r="EV679" s="6"/>
      <c r="EW679" s="6"/>
      <c r="EX679" s="6"/>
      <c r="EY679" s="6"/>
      <c r="EZ679" s="6"/>
      <c r="FA679" s="6"/>
      <c r="FB679" s="6"/>
      <c r="FC679" s="6"/>
      <c r="FD679" s="6"/>
      <c r="FE679" s="6"/>
      <c r="FF679" s="6"/>
      <c r="FG679" s="6"/>
      <c r="FH679" s="6"/>
      <c r="FI679" s="6"/>
      <c r="FJ679" s="6"/>
      <c r="FK679" s="6"/>
      <c r="FL679" s="6"/>
      <c r="FM679" s="6"/>
      <c r="FN679" s="6"/>
      <c r="FO679" s="6"/>
      <c r="FP679" s="6"/>
      <c r="FQ679" s="6"/>
      <c r="FR679" s="6"/>
      <c r="FS679" s="6"/>
      <c r="FT679" s="7"/>
      <c r="FU679" s="7"/>
      <c r="FV679" s="7"/>
      <c r="FW679" s="6"/>
      <c r="FX679" s="6"/>
      <c r="FY679" s="6"/>
      <c r="FZ679" s="6"/>
      <c r="GA679" s="6"/>
      <c r="GB679" s="6"/>
      <c r="GC679" s="7"/>
      <c r="GD679" s="7"/>
      <c r="GE679" s="7"/>
      <c r="GF679" s="7"/>
      <c r="GG679" s="7"/>
      <c r="GH679" s="42"/>
      <c r="GI679" s="6"/>
      <c r="GJ679" s="14"/>
      <c r="GK679" s="14"/>
      <c r="GL679" s="14"/>
      <c r="GM679" s="14"/>
      <c r="GO679" s="5"/>
      <c r="GP679" s="5"/>
      <c r="GQ679" s="5"/>
      <c r="GR679" s="5"/>
      <c r="GS679" s="5"/>
      <c r="GT679" s="5"/>
      <c r="GU679" s="5"/>
      <c r="GV679" s="39"/>
      <c r="GW679" s="5"/>
      <c r="GX679" s="5"/>
      <c r="GY679" s="5"/>
      <c r="GZ679" s="5"/>
      <c r="HA679" s="5"/>
      <c r="HB679" s="39"/>
      <c r="HC679" s="5"/>
      <c r="HD679" s="5"/>
      <c r="HE679" s="5"/>
      <c r="HF679" s="5"/>
      <c r="HG679" s="5"/>
      <c r="HH679" s="39"/>
      <c r="HI679" s="16"/>
      <c r="HJ679" s="19"/>
      <c r="HK679" s="1"/>
      <c r="HL679" s="16"/>
      <c r="HM679" s="639">
        <f t="shared" si="2013"/>
        <v>2.3149872625708352E-2</v>
      </c>
      <c r="HN679" s="639">
        <f t="shared" si="2014"/>
        <v>1.3965040474190958E-3</v>
      </c>
      <c r="HO679" s="639">
        <f t="shared" si="2015"/>
        <v>3.5429561340050734E-3</v>
      </c>
      <c r="HP679" s="644">
        <f t="shared" ref="HP679:ID679" si="2090">HP179+HP279+HP379+HP479+HP579</f>
        <v>262.11737446350611</v>
      </c>
      <c r="HQ679" s="644">
        <f t="shared" si="2090"/>
        <v>-76.577641110728365</v>
      </c>
      <c r="HR679" s="644">
        <f t="shared" si="2090"/>
        <v>-118.53548902100228</v>
      </c>
      <c r="HS679" s="644">
        <f t="shared" si="2090"/>
        <v>-58.667419554778952</v>
      </c>
      <c r="HT679" s="644">
        <f t="shared" si="2090"/>
        <v>-103.1539560280784</v>
      </c>
      <c r="HU679" s="644">
        <f t="shared" si="2090"/>
        <v>-13.14189813360124</v>
      </c>
      <c r="HV679" s="644">
        <f t="shared" si="2090"/>
        <v>0</v>
      </c>
      <c r="HW679" s="644">
        <f t="shared" si="2090"/>
        <v>0</v>
      </c>
      <c r="HX679" s="644">
        <f t="shared" si="2090"/>
        <v>0</v>
      </c>
      <c r="HY679" s="644">
        <f t="shared" si="2090"/>
        <v>2396</v>
      </c>
      <c r="HZ679" s="644">
        <f t="shared" si="2090"/>
        <v>3223</v>
      </c>
      <c r="IA679" s="644">
        <f t="shared" si="2090"/>
        <v>830</v>
      </c>
      <c r="IB679" s="644">
        <f t="shared" si="2090"/>
        <v>2599.4499549087268</v>
      </c>
      <c r="IC679" s="644">
        <f t="shared" si="2090"/>
        <v>3043.2684028611934</v>
      </c>
      <c r="ID679" s="644">
        <f t="shared" si="2090"/>
        <v>698.32261284539652</v>
      </c>
      <c r="IE679" s="20">
        <f t="shared" si="2017"/>
        <v>0.40994057079187801</v>
      </c>
      <c r="IF679" s="20">
        <f t="shared" si="2018"/>
        <v>0.47993198860626246</v>
      </c>
      <c r="IG679" s="20">
        <f t="shared" si="2019"/>
        <v>0.11012744060185962</v>
      </c>
      <c r="IH679" s="21"/>
      <c r="II679" s="19"/>
      <c r="IJ679" s="19"/>
      <c r="IK679" s="19"/>
      <c r="IL679" s="19">
        <f t="shared" si="2020"/>
        <v>170.13650102667134</v>
      </c>
      <c r="IM679" s="19">
        <f t="shared" si="2021"/>
        <v>-206.0131569194964</v>
      </c>
      <c r="IN679" s="19">
        <f t="shared" si="2022"/>
        <v>-247.37557100416052</v>
      </c>
      <c r="IO679" s="39"/>
      <c r="IP679" s="39"/>
      <c r="IQ679" s="39"/>
      <c r="IR679" s="39"/>
      <c r="IS679" s="39"/>
      <c r="IT679" s="39"/>
      <c r="IU679" s="39"/>
      <c r="IV679" s="39"/>
      <c r="IW679" s="39"/>
      <c r="IX679" s="19">
        <f t="shared" si="2023"/>
        <v>1554.1790484140233</v>
      </c>
      <c r="IY679" s="19">
        <f t="shared" si="2024"/>
        <v>2412.3001201524512</v>
      </c>
      <c r="IZ679" s="19">
        <f t="shared" si="2025"/>
        <v>3993.0862952928574</v>
      </c>
      <c r="JA679" s="19">
        <f t="shared" ref="JA679:JC679" si="2091">IFERROR((JA179*IB179+JA279*IB279+JA379*IB379+JA479*IB479+JA579*IB579)/IB679,0)</f>
        <v>1724.3155494406947</v>
      </c>
      <c r="JB679" s="19">
        <f t="shared" si="2091"/>
        <v>2206.2869632329548</v>
      </c>
      <c r="JC679" s="19">
        <f t="shared" si="2091"/>
        <v>3745.7107242886968</v>
      </c>
      <c r="JD679" s="19">
        <f t="shared" si="2027"/>
        <v>2178.2401255643449</v>
      </c>
      <c r="JE679" s="21"/>
      <c r="JF679" s="1">
        <f t="shared" si="2028"/>
        <v>2.6651855648468406E-2</v>
      </c>
      <c r="JG679" s="15">
        <f t="shared" si="2029"/>
        <v>6449</v>
      </c>
      <c r="JH679" s="1">
        <f t="shared" si="2030"/>
        <v>1.0389865767060857E-2</v>
      </c>
      <c r="JI679" s="1">
        <f t="shared" si="2031"/>
        <v>-2.7130295195605302E-2</v>
      </c>
      <c r="JJ679" s="1">
        <f t="shared" si="2032"/>
        <v>0</v>
      </c>
      <c r="JK679" s="1">
        <f t="shared" si="2033"/>
        <v>-1.6740429428544441E-2</v>
      </c>
      <c r="JL679" s="15">
        <f t="shared" ref="JL679:JM679" si="2092">JL179+JL279+JL379+JL479+JL579</f>
        <v>-107.95902938468311</v>
      </c>
      <c r="JM679" s="15">
        <f t="shared" si="2092"/>
        <v>6341.0409706153159</v>
      </c>
      <c r="JN679" s="21"/>
      <c r="JO679" s="19">
        <f>INDEX(Input!$1:$1048576,JO$93,$C679*2+6)</f>
        <v>5995.5</v>
      </c>
      <c r="JP679" s="19">
        <f>INDEX(Input!$1:$1048576,JP$93,$C679*2+6)</f>
        <v>2296.6050414551746</v>
      </c>
      <c r="JQ679" s="39">
        <f t="shared" si="2053"/>
        <v>3817.2598744356551</v>
      </c>
      <c r="JR679" s="39">
        <f t="shared" si="2054"/>
        <v>-118.36491589082971</v>
      </c>
      <c r="JS679" s="39">
        <f t="shared" si="2055"/>
        <v>13.812309880041761</v>
      </c>
      <c r="JT679" s="39">
        <f t="shared" si="2056"/>
        <v>-0.99849603230265904</v>
      </c>
      <c r="JU679" s="385">
        <f>(JQ679*JM679-INDEX(Input!$1:$1048576,Input!A$18,$C679*2+6)*JL679*INDEX(Input!$1:$1048576,Input!A$19,$C679*2+6))/1000000</f>
        <v>24.205401259282365</v>
      </c>
      <c r="JV679" s="39">
        <f t="shared" si="2057"/>
        <v>0.3512276716267877</v>
      </c>
      <c r="JW679" s="1">
        <f t="shared" si="2058"/>
        <v>1.4723950521117461E-2</v>
      </c>
      <c r="JX679" s="19">
        <f t="shared" si="2059"/>
        <v>9248.8422505614199</v>
      </c>
      <c r="JZ679" s="341"/>
      <c r="KA679" s="60"/>
      <c r="KB679" s="469">
        <f t="shared" si="2035"/>
        <v>0</v>
      </c>
      <c r="KI679" s="472"/>
      <c r="KJ679" s="472"/>
      <c r="KK679" s="472"/>
      <c r="KN679" s="26">
        <f t="shared" si="2036"/>
        <v>6002</v>
      </c>
      <c r="KO679" s="794">
        <f t="shared" si="2037"/>
        <v>-3.9278214906895315E-2</v>
      </c>
      <c r="KP679" s="795">
        <f t="shared" si="2038"/>
        <v>-222.21646459852198</v>
      </c>
      <c r="KQ679" s="795">
        <f t="shared" si="2039"/>
        <v>-284.59313104080002</v>
      </c>
      <c r="KR679" s="26">
        <f t="shared" si="2040"/>
        <v>3.0971576846250244</v>
      </c>
      <c r="KS679" s="26">
        <f t="shared" si="2041"/>
        <v>2.4183276260552096</v>
      </c>
      <c r="KT679" s="796">
        <f t="shared" si="2049"/>
        <v>4286.2445668946921</v>
      </c>
      <c r="KU679" s="797">
        <f t="shared" si="2042"/>
        <v>4.3984336835573226</v>
      </c>
    </row>
    <row r="680" spans="1:307" s="26" customFormat="1" ht="15" outlineLevel="1">
      <c r="A680" s="561">
        <f t="shared" si="2009"/>
        <v>6080</v>
      </c>
      <c r="B680" s="561">
        <f t="shared" si="2043"/>
        <v>80</v>
      </c>
      <c r="C680" s="561">
        <f t="shared" si="2044"/>
        <v>6</v>
      </c>
      <c r="D680" s="561" t="str">
        <f t="shared" si="1953"/>
        <v xml:space="preserve">0.9/1.9/2.9/3.9, -360 Lease, </v>
      </c>
      <c r="E680" s="475">
        <f>INDEX(Input!$1:$1048576,E$93,$C680*2+MIN($B680,2)+5)
+INDEX(Scenarios!E$121:E$199,MATCH($B680,Scenarios!$B$121:$B$199,0))</f>
        <v>1267.2644913000609</v>
      </c>
      <c r="F680" s="475">
        <f>INDEX(Input!$1:$1048576,F$93,$C680*2+MIN($B680,2)+5)
+INDEX(Scenarios!F$121:F$199,MATCH($B680,Scenarios!$B$121:$B$199,0))</f>
        <v>0</v>
      </c>
      <c r="G680" s="475">
        <f>INDEX(Input!$1:$1048576,G$93,$C680*2+MIN($B680,2)+5)
+INDEX(Scenarios!G$121:G$199,MATCH($B680,Scenarios!$B$121:$B$199,0))</f>
        <v>0</v>
      </c>
      <c r="H680" s="475">
        <f>INDEX(Input!$1:$1048576,H$93,$C680*2+MIN($B680,2)+5)
+INDEX(Scenarios!H$121:H$199,MATCH($B680,Scenarios!$B$121:$B$199,0))</f>
        <v>0</v>
      </c>
      <c r="I680" s="476">
        <f>INDEX(Input!$1:$1048576,I$93,$C680*2+MIN($B680,2)+5)
+INDEX(Scenarios!I$121:I$199,MATCH($B680,Scenarios!$B$121:$B$199,0))</f>
        <v>0.7</v>
      </c>
      <c r="J680" s="476" t="str">
        <f>INDEX(Input!$1:$1048576,J$93,$C680*2+MIN($B680,2)+5)</f>
        <v>Market</v>
      </c>
      <c r="K680" s="476" t="str">
        <f>INDEX(Input!$1:$1048576,K$93,$C680*2+MIN($B680,2)+5)</f>
        <v>Market</v>
      </c>
      <c r="L680" s="476" t="str">
        <f>INDEX(Input!$1:$1048576,L$93,$C680*2+MIN($B680,2)+5)</f>
        <v>Market</v>
      </c>
      <c r="M680" s="476" t="str">
        <f>INDEX(Input!$1:$1048576,M$93,$C680*2+MIN($B680,2)+5)</f>
        <v>Market</v>
      </c>
      <c r="N680" s="476" t="str">
        <f>INDEX(Input!$1:$1048576,N$93,$C680*2+MIN($B680,2)+5)</f>
        <v>Market</v>
      </c>
      <c r="O680" s="476" t="str">
        <f>INDEX(Input!$1:$1048576,O$93,$C680*2+MIN($B680,2)+5)</f>
        <v>Market</v>
      </c>
      <c r="P680" s="476" t="str">
        <f>INDEX(Input!$1:$1048576,P$93,$C680*2+MIN($B680,2)+5)</f>
        <v>N</v>
      </c>
      <c r="Q680" s="477">
        <f>INDEX(Input!$1:$1048576,Q$93,$C680*2+MIN($B680,2)+5)
+INDEX(Scenarios!Q$121:Q$199,MATCH($B680,Scenarios!$B$121:$B$199,0))</f>
        <v>0</v>
      </c>
      <c r="R680" s="478">
        <f>IFERROR(MAX(0,INDEX(Input!$1:$1048576,R$93,$C680*2+MIN($B680,2)+5)
+INDEX(Scenarios!R$121:R$199,MATCH($B680,Scenarios!$B$121:$B$199,0)),),"Market")</f>
        <v>0</v>
      </c>
      <c r="S680" s="478">
        <f>IFERROR(MAX(0,INDEX(Input!$1:$1048576,S$93,$C680*2+MIN($B680,2)+5)
+INDEX(Scenarios!S$121:S$199,MATCH($B680,Scenarios!$B$121:$B$199,0)),),"Market")</f>
        <v>0</v>
      </c>
      <c r="T680" s="478">
        <f>IFERROR(MAX(0,INDEX(Input!$1:$1048576,T$93,$C680*2+MIN($B680,2)+5)
+INDEX(Scenarios!T$121:T$199,MATCH($B680,Scenarios!$B$121:$B$199,0)),),"Market")</f>
        <v>0</v>
      </c>
      <c r="U680" s="478">
        <f>IFERROR(MAX(0,INDEX(Input!$1:$1048576,U$93,$C680*2+MIN($B680,2)+5)
+INDEX(Scenarios!U$121:U$199,MATCH($B680,Scenarios!$B$121:$B$199,0)),),"Market")</f>
        <v>9.0000000000000011E-3</v>
      </c>
      <c r="V680" s="478">
        <f>IFERROR(MAX(0,INDEX(Input!$1:$1048576,V$93,$C680*2+MIN($B680,2)+5)
+INDEX(Scenarios!V$121:V$199,MATCH($B680,Scenarios!$B$121:$B$199,0)),),"Market")</f>
        <v>2.8999999999999998E-2</v>
      </c>
      <c r="W680" s="885">
        <f>IFERROR(MAX(0,INDEX(Input!$1:$1048576,W$93,$C680*2+MIN($B680,2)+5)-0%),"Market")</f>
        <v>3.9E-2</v>
      </c>
      <c r="X680" s="476" t="str">
        <f>INDEX(Input!$1:$1048576,X$93,$C680*2+MIN($B680,2)+5)</f>
        <v>Y</v>
      </c>
      <c r="Y680" s="475">
        <f>INDEX(Input!$1:$1048576,Y$93,$C680*2+MIN($B680,2)+5)
++INDEX(Scenarios!Y$121:Y$199,MATCH($B680,Scenarios!$B$121:$B$199,0))</f>
        <v>377.99367635402496</v>
      </c>
      <c r="Z680" s="477">
        <f>INDEX(Input!$1:$1048576,Z$93,$C680*2+MIN($B680,2)+5)
+INDEX(Scenarios!Z$121:Z$199,MATCH($B680,Scenarios!$B$121:$B$199,0))</f>
        <v>0</v>
      </c>
      <c r="AA680" s="475">
        <f>INDEX(Input!$1:$1048576,AA$93,$C680*2+MIN($B680,2)+5)</f>
        <v>0</v>
      </c>
      <c r="AB680" s="476">
        <f>INDEX(Input!$1:$1048576,AB$93,$C680*2+MIN($B680,2)+5)</f>
        <v>0.27</v>
      </c>
      <c r="AC680" s="475">
        <f>INDEX(Input!$1:$1048576,AC$93,$C680*2+MIN($B680,2)+5)
+INDEX(Scenarios!AC$121:AC$199,MATCH($B680,Scenarios!$B$121:$B$199,0))</f>
        <v>0</v>
      </c>
      <c r="AD680" s="476">
        <f>INDEX(Input!$1:$1048576,AD$93,$C680*2+MIN($B680,2)+5)</f>
        <v>0.27</v>
      </c>
      <c r="AE680" s="475">
        <f>INDEX(Input!$1:$1048576,AE$93,$C680*2+MIN($B680,2)+5)
+INDEX(Scenarios!AE$121:AE$199,MATCH($B680,Scenarios!$B$121:$B$199,0))</f>
        <v>0</v>
      </c>
      <c r="AF680" s="476">
        <f>INDEX(Input!$1:$1048576,AF$93,$C680*2+MIN($B680,2)+5)</f>
        <v>1</v>
      </c>
      <c r="AG680" s="475">
        <f>INDEX(Input!$1:$1048576,AG$93,$C680*2+MIN($B680,2)+5)</f>
        <v>500</v>
      </c>
      <c r="AH680" s="476">
        <f>INDEX(Input!$1:$1048576,AH$93,$C680*2+MIN($B680,2)+5)</f>
        <v>1</v>
      </c>
      <c r="AI680" s="475">
        <f>INDEX(Input!$1:$1048576,AI$93,$C680*2+MIN($B680,2)+5)</f>
        <v>0</v>
      </c>
      <c r="AJ680" s="476">
        <f>INDEX(Input!$1:$1048576,AJ$93,$C680*2+MIN($B680,2)+5)</f>
        <v>0.27</v>
      </c>
      <c r="AK680" s="150">
        <f>ROUND(INDEX(Input!$1:$1048576,AK$93,$C679*2+MIN($B680,1)+5)+(Y680-VLOOKUP($C680*1000+1,$A:$HH,Y$92,FALSE)),0)</f>
        <v>2701</v>
      </c>
      <c r="AL680" s="150">
        <f>ROUND(INDEX(Input!$1:$1048576,AL$93,$C679*2+MIN($B680,1)+5)-(Y680-VLOOKUP($C680*1000+1,$A:$HH,Y$92,FALSE))/36,0)</f>
        <v>3562</v>
      </c>
      <c r="AM680" s="32" t="str">
        <f t="shared" si="2010"/>
        <v>std/std/std/std</v>
      </c>
      <c r="AN680" s="32" t="str">
        <f t="shared" si="2011"/>
        <v>$0 + 0/0/0.9/2.9/3.9</v>
      </c>
      <c r="AO680" s="32" t="str">
        <f t="shared" si="2012"/>
        <v>0/0/0.9/2.9/3.9</v>
      </c>
      <c r="AP680" s="32" t="str">
        <f t="shared" si="1990"/>
        <v>0.9/1.9/2.9/3.9</v>
      </c>
      <c r="AQ680" s="536">
        <f t="shared" si="1991"/>
        <v>0.40994057079187801</v>
      </c>
      <c r="AR680" s="32"/>
      <c r="AS680" s="302"/>
      <c r="AT680" s="3">
        <f t="shared" si="2045"/>
        <v>80</v>
      </c>
      <c r="AU680" s="41" t="s">
        <v>121</v>
      </c>
      <c r="AV680" s="41" t="s">
        <v>116</v>
      </c>
      <c r="AW680" s="41" t="str">
        <f>INDEX(Input!$1:$1048576,AW$93,$C680*2+6)</f>
        <v>Kia</v>
      </c>
      <c r="AX680" s="41" t="str">
        <f>INDEX(Input!$1:$1048576,AX$93,$C680*2+6)</f>
        <v>National</v>
      </c>
      <c r="AY680" s="41" t="str">
        <f>IF(LEN(D680)=0,"",INDEX(Input!$1:$1048576,AY$93,$C680*2+6))</f>
        <v>Compact SUV (52)</v>
      </c>
      <c r="AZ680" s="41" t="str">
        <f>INDEX(Input!$1:$1048576,AZ$93,$C680*2+6)</f>
        <v>Kia Soul</v>
      </c>
      <c r="BA680" s="3">
        <f>INDEX(Input!$1:$1048576,BA$93,$C680*2+6)</f>
        <v>2020</v>
      </c>
      <c r="BB680" s="128">
        <f>INDEX(Input!$1:$1048576,BB$93,$C680*2+6)</f>
        <v>1</v>
      </c>
      <c r="BC680" s="128">
        <f>INDEX(Input!$1:$1048576,BC$93,$C680*2+6)</f>
        <v>0.7</v>
      </c>
      <c r="BD680" s="1">
        <f>INDEX(Input!$1:$1048576,BD$93,$C680*2+6)</f>
        <v>4.4999999999999998E-2</v>
      </c>
      <c r="BE680" s="1">
        <f>INDEX(Input!$1:$1048576,BE$93,$C680*2+6)</f>
        <v>4.4999999999999998E-2</v>
      </c>
      <c r="BF680" s="1">
        <f>INDEX(Input!$1:$1048576,BF$93,$C680*2+6)</f>
        <v>0.05</v>
      </c>
      <c r="BG680" s="1">
        <f>INDEX(Input!$1:$1048576,BG$93,$C680*2+6)</f>
        <v>5.45E-2</v>
      </c>
      <c r="BH680" s="1">
        <f>INDEX(Input!$1:$1048576,BH$93,$C680*2+6)</f>
        <v>5.45E-2</v>
      </c>
      <c r="BI680" s="1">
        <f>INDEX(Input!$1:$1048576,BI$93,$C680*2+6)</f>
        <v>0.05</v>
      </c>
      <c r="BJ680" s="1">
        <f>INDEX(Input!$1:$1048576,BJ$93,$C680*2+6)</f>
        <v>0.05</v>
      </c>
      <c r="BK680" s="1">
        <f>INDEX(Input!$1:$1048576,BK$93,$C680*2+6)</f>
        <v>0.05</v>
      </c>
      <c r="BL680" s="1">
        <f>INDEX(Input!$1:$1048576,BL$93,$C680*2+6)</f>
        <v>5.5E-2</v>
      </c>
      <c r="BM680" s="1">
        <f>INDEX(Input!$1:$1048576,BM$93,$C680*2+6)</f>
        <v>0.06</v>
      </c>
      <c r="BN680" s="1">
        <f>INDEX(Input!$1:$1048576,BN$93,$C680*2+6)</f>
        <v>4.4999999999999998E-2</v>
      </c>
      <c r="BO680" s="1">
        <f>INDEX(Input!$1:$1048576,BO$93,$C680*2+6)</f>
        <v>4.4999999999999998E-2</v>
      </c>
      <c r="BP680" s="1">
        <f>INDEX(Input!$1:$1048576,BP$93,$C680*2+6)</f>
        <v>0.05</v>
      </c>
      <c r="BQ680" s="1">
        <f>INDEX(Input!$1:$1048576,BQ$93,$C680*2+6)</f>
        <v>5.45E-2</v>
      </c>
      <c r="BR680" s="1">
        <f>INDEX(Input!$1:$1048576,BR$93,$C680*2+6)</f>
        <v>5.45E-2</v>
      </c>
      <c r="BS680" s="1">
        <f>INDEX(Input!$1:$1048576,BS$93,$C680*2+6)</f>
        <v>0.05</v>
      </c>
      <c r="BT680" s="1">
        <f>INDEX(Input!$1:$1048576,BT$93,$C680*2+6)</f>
        <v>0.05</v>
      </c>
      <c r="BU680" s="1">
        <f>INDEX(Input!$1:$1048576,BU$93,$C680*2+6)</f>
        <v>0.05</v>
      </c>
      <c r="BV680" s="1">
        <f>INDEX(Input!$1:$1048576,BV$93,$C680*2+6)</f>
        <v>5.5E-2</v>
      </c>
      <c r="BW680" s="1">
        <f>INDEX(Input!$1:$1048576,BW$93,$C680*2+6)</f>
        <v>0.06</v>
      </c>
      <c r="BX680" s="127">
        <f>INDEX(Input!$1:$1048576,BX$93,$C680*2+6)</f>
        <v>19985</v>
      </c>
      <c r="BY680" s="20">
        <f>INDEX(Input!$1:$1048576,BY$93,$C680*2+6)</f>
        <v>0.1</v>
      </c>
      <c r="BZ680" s="20">
        <f>INDEX(Input!$1:$1048576,BZ$93,$C680*2+6)</f>
        <v>0.1</v>
      </c>
      <c r="CA680" s="20">
        <f>INDEX(Input!$1:$1048576,CA$93,$C680*2+6)</f>
        <v>0.1</v>
      </c>
      <c r="CB680" s="20">
        <f>INDEX(Input!$1:$1048576,CB$93,$C680*2+6)</f>
        <v>0.1</v>
      </c>
      <c r="CC680" s="20">
        <f>INDEX(Input!$1:$1048576,CC$93,$C680*2+6)</f>
        <v>0.1</v>
      </c>
      <c r="CD680" s="384">
        <f>INDEX(Input!$1:$1048576,CD$93,$C680*2+6)</f>
        <v>0.1</v>
      </c>
      <c r="CE680" s="384">
        <f>INDEX(Input!$1:$1048576,CE$93,$C680*2+6)</f>
        <v>0.1</v>
      </c>
      <c r="CF680" s="384">
        <f>INDEX(Input!$1:$1048576,CF$93,$C680*2+6)</f>
        <v>0.1</v>
      </c>
      <c r="CG680" s="384">
        <f>INDEX(Input!$1:$1048576,CG$93,$C680*2+6)</f>
        <v>0.1</v>
      </c>
      <c r="CH680" s="384">
        <f>INDEX(Input!$1:$1048576,CH$93,$C680*2+6)</f>
        <v>0.1</v>
      </c>
      <c r="CI680" s="304">
        <f t="shared" si="1992"/>
        <v>1267.2644913000609</v>
      </c>
      <c r="CJ680" s="16" t="str">
        <f>INDEX(Input!$1:$1048576,CJ$93,$C680*2+6)</f>
        <v>N</v>
      </c>
      <c r="CK680" s="1" t="str">
        <f t="shared" si="1993"/>
        <v>Market</v>
      </c>
      <c r="CL680" s="1" t="str">
        <f t="shared" si="1994"/>
        <v>Market</v>
      </c>
      <c r="CM680" s="1" t="str">
        <f t="shared" si="1995"/>
        <v>Market</v>
      </c>
      <c r="CN680" s="1" t="str">
        <f t="shared" si="1996"/>
        <v>Market</v>
      </c>
      <c r="CO680" s="1" t="str">
        <f t="shared" si="1997"/>
        <v>Market</v>
      </c>
      <c r="CP680" s="304">
        <f t="shared" si="1998"/>
        <v>500</v>
      </c>
      <c r="CQ680" s="1">
        <f t="shared" si="1999"/>
        <v>0</v>
      </c>
      <c r="CR680" s="1">
        <f t="shared" si="2000"/>
        <v>0</v>
      </c>
      <c r="CS680" s="1">
        <f t="shared" si="2001"/>
        <v>9.0000000000000011E-3</v>
      </c>
      <c r="CT680" s="1">
        <f t="shared" si="2002"/>
        <v>2.8999999999999998E-2</v>
      </c>
      <c r="CU680" s="1">
        <f t="shared" si="2003"/>
        <v>3.9E-2</v>
      </c>
      <c r="CV680" s="304">
        <f t="shared" si="2004"/>
        <v>377.99367635402496</v>
      </c>
      <c r="CW680" s="20" t="s">
        <v>122</v>
      </c>
      <c r="CX680" s="20" t="s">
        <v>122</v>
      </c>
      <c r="CY680" s="20" t="s">
        <v>122</v>
      </c>
      <c r="CZ680" s="20" t="s">
        <v>122</v>
      </c>
      <c r="DA680" s="20" t="s">
        <v>122</v>
      </c>
      <c r="DB680" s="503">
        <f t="shared" si="2005"/>
        <v>0</v>
      </c>
      <c r="DC680" s="127">
        <v>0</v>
      </c>
      <c r="DD680" s="127">
        <v>0</v>
      </c>
      <c r="DE680" s="127">
        <v>0</v>
      </c>
      <c r="DF680" s="127">
        <v>0</v>
      </c>
      <c r="DG680" s="127">
        <v>0</v>
      </c>
      <c r="DH680" s="127">
        <v>0</v>
      </c>
      <c r="DI680" s="127">
        <v>0</v>
      </c>
      <c r="DJ680" s="127">
        <v>0</v>
      </c>
      <c r="DK680" s="127">
        <v>0</v>
      </c>
      <c r="DL680" s="127">
        <v>0</v>
      </c>
      <c r="DM680" s="304">
        <f>INDEX(Input!$1:$1048576,DM$93,$C680*2+6)</f>
        <v>21036.84210526316</v>
      </c>
      <c r="DN680" s="20">
        <v>0</v>
      </c>
      <c r="DO680" s="20">
        <v>0</v>
      </c>
      <c r="DP680" s="20">
        <v>0</v>
      </c>
      <c r="DQ680" s="20">
        <v>0</v>
      </c>
      <c r="DR680" s="20">
        <v>0</v>
      </c>
      <c r="DS680" s="20">
        <f>INDEX(Input!$1:$1048576,DS$93,$C680*2+6)</f>
        <v>0.6</v>
      </c>
      <c r="DT680" s="20">
        <f>INDEX(Input!$1:$1048576,DT$93,$C680*2+6)</f>
        <v>0.55000000000000004</v>
      </c>
      <c r="DU680" s="20">
        <f>INDEX(Input!$1:$1048576,DU$93,$C680*2+6)</f>
        <v>0.52</v>
      </c>
      <c r="DV680" s="20">
        <f>INDEX(Input!$1:$1048576,DV$93,$C680*2+6)</f>
        <v>0.5</v>
      </c>
      <c r="DW680" s="20">
        <f>INDEX(Input!$1:$1048576,DW$93,$C680*2+6)</f>
        <v>0.45</v>
      </c>
      <c r="DX680" s="20"/>
      <c r="DY680" s="7"/>
      <c r="DZ680" s="7"/>
      <c r="EA680" s="7"/>
      <c r="EB680" s="7"/>
      <c r="EC680" s="7"/>
      <c r="ED680" s="7"/>
      <c r="EE680" s="7"/>
      <c r="EF680" s="7"/>
      <c r="EG680" s="7"/>
      <c r="EH680" s="7"/>
      <c r="EI680" s="7"/>
      <c r="EJ680" s="7"/>
      <c r="EK680" s="7"/>
      <c r="EL680" s="7"/>
      <c r="EM680" s="7"/>
      <c r="EN680" s="7"/>
      <c r="EO680" s="7"/>
      <c r="EP680" s="7"/>
      <c r="EQ680" s="7"/>
      <c r="ER680" s="7"/>
      <c r="ES680" s="7"/>
      <c r="ET680" s="7"/>
      <c r="EU680" s="6"/>
      <c r="EV680" s="6"/>
      <c r="EW680" s="6"/>
      <c r="EX680" s="6"/>
      <c r="EY680" s="6"/>
      <c r="EZ680" s="6"/>
      <c r="FA680" s="6"/>
      <c r="FB680" s="6"/>
      <c r="FC680" s="6"/>
      <c r="FD680" s="6"/>
      <c r="FE680" s="6"/>
      <c r="FF680" s="6"/>
      <c r="FG680" s="6"/>
      <c r="FH680" s="6"/>
      <c r="FI680" s="6"/>
      <c r="FJ680" s="6"/>
      <c r="FK680" s="6"/>
      <c r="FL680" s="6"/>
      <c r="FM680" s="6"/>
      <c r="FN680" s="6"/>
      <c r="FO680" s="6"/>
      <c r="FP680" s="6"/>
      <c r="FQ680" s="6"/>
      <c r="FR680" s="6"/>
      <c r="FS680" s="6"/>
      <c r="FT680" s="7"/>
      <c r="FU680" s="7"/>
      <c r="FV680" s="7"/>
      <c r="FW680" s="6"/>
      <c r="FX680" s="6"/>
      <c r="FY680" s="6"/>
      <c r="FZ680" s="6"/>
      <c r="GA680" s="6"/>
      <c r="GB680" s="6"/>
      <c r="GC680" s="7"/>
      <c r="GD680" s="7"/>
      <c r="GE680" s="7"/>
      <c r="GF680" s="7"/>
      <c r="GG680" s="7"/>
      <c r="GH680" s="42"/>
      <c r="GI680" s="6"/>
      <c r="GJ680" s="14"/>
      <c r="GK680" s="14"/>
      <c r="GL680" s="14"/>
      <c r="GM680" s="14"/>
      <c r="GO680" s="5"/>
      <c r="GP680" s="5"/>
      <c r="GQ680" s="5"/>
      <c r="GR680" s="5"/>
      <c r="GS680" s="5"/>
      <c r="GT680" s="5"/>
      <c r="GU680" s="5"/>
      <c r="GV680" s="39"/>
      <c r="GW680" s="5"/>
      <c r="GX680" s="5"/>
      <c r="GY680" s="5"/>
      <c r="GZ680" s="5"/>
      <c r="HA680" s="5"/>
      <c r="HB680" s="39"/>
      <c r="HC680" s="5"/>
      <c r="HD680" s="5"/>
      <c r="HE680" s="5"/>
      <c r="HF680" s="5"/>
      <c r="HG680" s="5"/>
      <c r="HH680" s="39"/>
      <c r="HI680" s="16"/>
      <c r="HJ680" s="19"/>
      <c r="HK680" s="1"/>
      <c r="HL680" s="16"/>
      <c r="HM680" s="639">
        <f t="shared" si="2013"/>
        <v>2.3149872625708352E-2</v>
      </c>
      <c r="HN680" s="639">
        <f t="shared" si="2014"/>
        <v>1.3965040474190958E-3</v>
      </c>
      <c r="HO680" s="639">
        <f t="shared" si="2015"/>
        <v>3.5429561340050734E-3</v>
      </c>
      <c r="HP680" s="644">
        <f t="shared" ref="HP680:ID680" si="2093">HP180+HP280+HP380+HP480+HP580</f>
        <v>262.11737446350611</v>
      </c>
      <c r="HQ680" s="644">
        <f t="shared" si="2093"/>
        <v>-76.577641110728365</v>
      </c>
      <c r="HR680" s="644">
        <f t="shared" si="2093"/>
        <v>-118.53548902100228</v>
      </c>
      <c r="HS680" s="644">
        <f t="shared" si="2093"/>
        <v>-58.667419554778952</v>
      </c>
      <c r="HT680" s="644">
        <f t="shared" si="2093"/>
        <v>-103.1539560280784</v>
      </c>
      <c r="HU680" s="644">
        <f t="shared" si="2093"/>
        <v>-13.14189813360124</v>
      </c>
      <c r="HV680" s="644">
        <f t="shared" si="2093"/>
        <v>0</v>
      </c>
      <c r="HW680" s="644">
        <f t="shared" si="2093"/>
        <v>0</v>
      </c>
      <c r="HX680" s="644">
        <f t="shared" si="2093"/>
        <v>0</v>
      </c>
      <c r="HY680" s="644">
        <f t="shared" si="2093"/>
        <v>2396</v>
      </c>
      <c r="HZ680" s="644">
        <f t="shared" si="2093"/>
        <v>3223</v>
      </c>
      <c r="IA680" s="644">
        <f t="shared" si="2093"/>
        <v>830</v>
      </c>
      <c r="IB680" s="644">
        <f t="shared" si="2093"/>
        <v>2599.4499549087268</v>
      </c>
      <c r="IC680" s="644">
        <f t="shared" si="2093"/>
        <v>3043.2684028611934</v>
      </c>
      <c r="ID680" s="644">
        <f t="shared" si="2093"/>
        <v>698.32261284539652</v>
      </c>
      <c r="IE680" s="20">
        <f t="shared" si="2017"/>
        <v>0.40994057079187801</v>
      </c>
      <c r="IF680" s="20">
        <f t="shared" si="2018"/>
        <v>0.47993198860626246</v>
      </c>
      <c r="IG680" s="20">
        <f t="shared" si="2019"/>
        <v>0.11012744060185962</v>
      </c>
      <c r="IH680" s="21"/>
      <c r="II680" s="19"/>
      <c r="IJ680" s="19"/>
      <c r="IK680" s="19"/>
      <c r="IL680" s="19">
        <f t="shared" si="2020"/>
        <v>170.13650102667134</v>
      </c>
      <c r="IM680" s="19">
        <f t="shared" si="2021"/>
        <v>-206.0131569194964</v>
      </c>
      <c r="IN680" s="19">
        <f t="shared" si="2022"/>
        <v>-247.37557100416052</v>
      </c>
      <c r="IO680" s="39"/>
      <c r="IP680" s="39"/>
      <c r="IQ680" s="39"/>
      <c r="IR680" s="39"/>
      <c r="IS680" s="39"/>
      <c r="IT680" s="39"/>
      <c r="IU680" s="39"/>
      <c r="IV680" s="39"/>
      <c r="IW680" s="39"/>
      <c r="IX680" s="19">
        <f t="shared" si="2023"/>
        <v>1554.1790484140233</v>
      </c>
      <c r="IY680" s="19">
        <f t="shared" si="2024"/>
        <v>2412.3001201524512</v>
      </c>
      <c r="IZ680" s="19">
        <f t="shared" si="2025"/>
        <v>3993.0862952928574</v>
      </c>
      <c r="JA680" s="19">
        <f t="shared" ref="JA680:JC680" si="2094">IFERROR((JA180*IB180+JA280*IB280+JA380*IB380+JA480*IB480+JA580*IB580)/IB680,0)</f>
        <v>1724.3155494406947</v>
      </c>
      <c r="JB680" s="19">
        <f t="shared" si="2094"/>
        <v>2206.2869632329548</v>
      </c>
      <c r="JC680" s="19">
        <f t="shared" si="2094"/>
        <v>3745.7107242886968</v>
      </c>
      <c r="JD680" s="19">
        <f t="shared" si="2027"/>
        <v>2178.2401255643449</v>
      </c>
      <c r="JE680" s="21"/>
      <c r="JF680" s="1">
        <f t="shared" si="2028"/>
        <v>2.6651855648468406E-2</v>
      </c>
      <c r="JG680" s="15">
        <f t="shared" si="2029"/>
        <v>6449</v>
      </c>
      <c r="JH680" s="1">
        <f t="shared" si="2030"/>
        <v>1.0389865767060857E-2</v>
      </c>
      <c r="JI680" s="1">
        <f t="shared" si="2031"/>
        <v>-2.7130295195605302E-2</v>
      </c>
      <c r="JJ680" s="1">
        <f t="shared" si="2032"/>
        <v>0</v>
      </c>
      <c r="JK680" s="1">
        <f t="shared" si="2033"/>
        <v>-1.6740429428544441E-2</v>
      </c>
      <c r="JL680" s="15">
        <f t="shared" ref="JL680:JM680" si="2095">JL180+JL280+JL380+JL480+JL580</f>
        <v>-107.95902938468311</v>
      </c>
      <c r="JM680" s="15">
        <f t="shared" si="2095"/>
        <v>6341.0409706153159</v>
      </c>
      <c r="JN680" s="21"/>
      <c r="JO680" s="19">
        <f>INDEX(Input!$1:$1048576,JO$93,$C680*2+6)</f>
        <v>5995.5</v>
      </c>
      <c r="JP680" s="19">
        <f>INDEX(Input!$1:$1048576,JP$93,$C680*2+6)</f>
        <v>2296.6050414551746</v>
      </c>
      <c r="JQ680" s="39">
        <f t="shared" si="2053"/>
        <v>3817.2598744356551</v>
      </c>
      <c r="JR680" s="39">
        <f t="shared" si="2054"/>
        <v>-118.36491589082971</v>
      </c>
      <c r="JS680" s="39">
        <f t="shared" si="2055"/>
        <v>13.812309880041761</v>
      </c>
      <c r="JT680" s="39">
        <f t="shared" si="2056"/>
        <v>-0.99849603230265904</v>
      </c>
      <c r="JU680" s="385">
        <f>(JQ680*JM680-INDEX(Input!$1:$1048576,Input!A$18,$C680*2+6)*JL680*INDEX(Input!$1:$1048576,Input!A$19,$C680*2+6))/1000000</f>
        <v>24.205401259282365</v>
      </c>
      <c r="JV680" s="39">
        <f t="shared" si="2057"/>
        <v>0.3512276716267877</v>
      </c>
      <c r="JW680" s="1">
        <f t="shared" si="2058"/>
        <v>1.4723950521117461E-2</v>
      </c>
      <c r="JX680" s="19">
        <f t="shared" si="2059"/>
        <v>9248.8422505614199</v>
      </c>
      <c r="JZ680" s="341"/>
      <c r="KA680" s="60"/>
      <c r="KB680" s="469">
        <f t="shared" si="2035"/>
        <v>0</v>
      </c>
      <c r="KI680" s="472"/>
      <c r="KJ680" s="472"/>
      <c r="KK680" s="472"/>
      <c r="KN680" s="26">
        <f t="shared" si="2036"/>
        <v>6002</v>
      </c>
      <c r="KO680" s="794">
        <f t="shared" si="2037"/>
        <v>-3.9278214906895315E-2</v>
      </c>
      <c r="KP680" s="795">
        <f t="shared" si="2038"/>
        <v>-222.21646459852198</v>
      </c>
      <c r="KQ680" s="795">
        <f t="shared" si="2039"/>
        <v>-284.59313104080002</v>
      </c>
      <c r="KR680" s="26">
        <f t="shared" si="2040"/>
        <v>3.0971576846250244</v>
      </c>
      <c r="KS680" s="26">
        <f t="shared" si="2041"/>
        <v>2.4183276260552096</v>
      </c>
      <c r="KT680" s="796">
        <f t="shared" si="2049"/>
        <v>4286.2445668946921</v>
      </c>
      <c r="KU680" s="797">
        <f t="shared" si="2042"/>
        <v>4.3984346835573218</v>
      </c>
    </row>
    <row r="681" spans="1:307" s="26" customFormat="1" ht="15" outlineLevel="1">
      <c r="A681" s="561">
        <f t="shared" si="2009"/>
        <v>6081</v>
      </c>
      <c r="B681" s="561">
        <f t="shared" si="2043"/>
        <v>81</v>
      </c>
      <c r="C681" s="561">
        <f t="shared" si="2044"/>
        <v>6</v>
      </c>
      <c r="D681" s="561" t="str">
        <f t="shared" si="1953"/>
        <v xml:space="preserve">-250 CC, 0.9/1.9/2.9/3.9, -360 Lease, </v>
      </c>
      <c r="E681" s="475">
        <f>INDEX(Input!$1:$1048576,E$93,$C681*2+MIN($B681,2)+5)
+INDEX(Scenarios!E$121:E$199,MATCH($B681,Scenarios!$B$121:$B$199,0))</f>
        <v>1017.2644913000609</v>
      </c>
      <c r="F681" s="475">
        <f>INDEX(Input!$1:$1048576,F$93,$C681*2+MIN($B681,2)+5)
+INDEX(Scenarios!F$121:F$199,MATCH($B681,Scenarios!$B$121:$B$199,0))</f>
        <v>0</v>
      </c>
      <c r="G681" s="475">
        <f>INDEX(Input!$1:$1048576,G$93,$C681*2+MIN($B681,2)+5)
+INDEX(Scenarios!G$121:G$199,MATCH($B681,Scenarios!$B$121:$B$199,0))</f>
        <v>0</v>
      </c>
      <c r="H681" s="475">
        <f>INDEX(Input!$1:$1048576,H$93,$C681*2+MIN($B681,2)+5)
+INDEX(Scenarios!H$121:H$199,MATCH($B681,Scenarios!$B$121:$B$199,0))</f>
        <v>0</v>
      </c>
      <c r="I681" s="476">
        <f>INDEX(Input!$1:$1048576,I$93,$C681*2+MIN($B681,2)+5)
+INDEX(Scenarios!I$121:I$199,MATCH($B681,Scenarios!$B$121:$B$199,0))</f>
        <v>0.7</v>
      </c>
      <c r="J681" s="476" t="str">
        <f>INDEX(Input!$1:$1048576,J$93,$C681*2+MIN($B681,2)+5)</f>
        <v>Market</v>
      </c>
      <c r="K681" s="476" t="str">
        <f>INDEX(Input!$1:$1048576,K$93,$C681*2+MIN($B681,2)+5)</f>
        <v>Market</v>
      </c>
      <c r="L681" s="476" t="str">
        <f>INDEX(Input!$1:$1048576,L$93,$C681*2+MIN($B681,2)+5)</f>
        <v>Market</v>
      </c>
      <c r="M681" s="476" t="str">
        <f>INDEX(Input!$1:$1048576,M$93,$C681*2+MIN($B681,2)+5)</f>
        <v>Market</v>
      </c>
      <c r="N681" s="476" t="str">
        <f>INDEX(Input!$1:$1048576,N$93,$C681*2+MIN($B681,2)+5)</f>
        <v>Market</v>
      </c>
      <c r="O681" s="476" t="str">
        <f>INDEX(Input!$1:$1048576,O$93,$C681*2+MIN($B681,2)+5)</f>
        <v>Market</v>
      </c>
      <c r="P681" s="476" t="str">
        <f>INDEX(Input!$1:$1048576,P$93,$C681*2+MIN($B681,2)+5)</f>
        <v>N</v>
      </c>
      <c r="Q681" s="477">
        <f>INDEX(Input!$1:$1048576,Q$93,$C681*2+MIN($B681,2)+5)
+INDEX(Scenarios!Q$121:Q$199,MATCH($B681,Scenarios!$B$121:$B$199,0))</f>
        <v>0</v>
      </c>
      <c r="R681" s="478">
        <f>IFERROR(MAX(0,INDEX(Input!$1:$1048576,R$93,$C681*2+MIN($B681,2)+5)
+INDEX(Scenarios!R$121:R$199,MATCH($B681,Scenarios!$B$121:$B$199,0)),),"Market")</f>
        <v>0</v>
      </c>
      <c r="S681" s="478">
        <f>IFERROR(MAX(0,INDEX(Input!$1:$1048576,S$93,$C681*2+MIN($B681,2)+5)
+INDEX(Scenarios!S$121:S$199,MATCH($B681,Scenarios!$B$121:$B$199,0)),),"Market")</f>
        <v>0</v>
      </c>
      <c r="T681" s="478">
        <f>IFERROR(MAX(0,INDEX(Input!$1:$1048576,T$93,$C681*2+MIN($B681,2)+5)
+INDEX(Scenarios!T$121:T$199,MATCH($B681,Scenarios!$B$121:$B$199,0)),),"Market")</f>
        <v>0</v>
      </c>
      <c r="U681" s="478">
        <f>IFERROR(MAX(0,INDEX(Input!$1:$1048576,U$93,$C681*2+MIN($B681,2)+5)
+INDEX(Scenarios!U$121:U$199,MATCH($B681,Scenarios!$B$121:$B$199,0)),),"Market")</f>
        <v>9.0000000000000011E-3</v>
      </c>
      <c r="V681" s="478">
        <f>IFERROR(MAX(0,INDEX(Input!$1:$1048576,V$93,$C681*2+MIN($B681,2)+5)
+INDEX(Scenarios!V$121:V$199,MATCH($B681,Scenarios!$B$121:$B$199,0)),),"Market")</f>
        <v>2.8999999999999998E-2</v>
      </c>
      <c r="W681" s="885">
        <f>IFERROR(MAX(0,INDEX(Input!$1:$1048576,W$93,$C681*2+MIN($B681,2)+5)-0%),"Market")</f>
        <v>3.9E-2</v>
      </c>
      <c r="X681" s="476" t="str">
        <f>INDEX(Input!$1:$1048576,X$93,$C681*2+MIN($B681,2)+5)</f>
        <v>Y</v>
      </c>
      <c r="Y681" s="475">
        <f>INDEX(Input!$1:$1048576,Y$93,$C681*2+MIN($B681,2)+5)
++INDEX(Scenarios!Y$121:Y$199,MATCH($B681,Scenarios!$B$121:$B$199,0))</f>
        <v>377.99367635402496</v>
      </c>
      <c r="Z681" s="477">
        <f>INDEX(Input!$1:$1048576,Z$93,$C681*2+MIN($B681,2)+5)
+INDEX(Scenarios!Z$121:Z$199,MATCH($B681,Scenarios!$B$121:$B$199,0))</f>
        <v>0</v>
      </c>
      <c r="AA681" s="475">
        <f>INDEX(Input!$1:$1048576,AA$93,$C681*2+MIN($B681,2)+5)</f>
        <v>0</v>
      </c>
      <c r="AB681" s="476">
        <f>INDEX(Input!$1:$1048576,AB$93,$C681*2+MIN($B681,2)+5)</f>
        <v>0.27</v>
      </c>
      <c r="AC681" s="475">
        <f>INDEX(Input!$1:$1048576,AC$93,$C681*2+MIN($B681,2)+5)
+INDEX(Scenarios!AC$121:AC$199,MATCH($B681,Scenarios!$B$121:$B$199,0))</f>
        <v>0</v>
      </c>
      <c r="AD681" s="476">
        <f>INDEX(Input!$1:$1048576,AD$93,$C681*2+MIN($B681,2)+5)</f>
        <v>0.27</v>
      </c>
      <c r="AE681" s="475">
        <f>INDEX(Input!$1:$1048576,AE$93,$C681*2+MIN($B681,2)+5)
+INDEX(Scenarios!AE$121:AE$199,MATCH($B681,Scenarios!$B$121:$B$199,0))</f>
        <v>0</v>
      </c>
      <c r="AF681" s="476">
        <f>INDEX(Input!$1:$1048576,AF$93,$C681*2+MIN($B681,2)+5)</f>
        <v>1</v>
      </c>
      <c r="AG681" s="475">
        <f>INDEX(Input!$1:$1048576,AG$93,$C681*2+MIN($B681,2)+5)</f>
        <v>500</v>
      </c>
      <c r="AH681" s="476">
        <f>INDEX(Input!$1:$1048576,AH$93,$C681*2+MIN($B681,2)+5)</f>
        <v>1</v>
      </c>
      <c r="AI681" s="475">
        <f>INDEX(Input!$1:$1048576,AI$93,$C681*2+MIN($B681,2)+5)</f>
        <v>0</v>
      </c>
      <c r="AJ681" s="476">
        <f>INDEX(Input!$1:$1048576,AJ$93,$C681*2+MIN($B681,2)+5)</f>
        <v>0.27</v>
      </c>
      <c r="AK681" s="150">
        <f>ROUND(INDEX(Input!$1:$1048576,AK$93,$C680*2+MIN($B681,1)+5)+(Y681-VLOOKUP($C681*1000+1,$A:$HH,Y$92,FALSE)),0)</f>
        <v>2701</v>
      </c>
      <c r="AL681" s="150">
        <f>ROUND(INDEX(Input!$1:$1048576,AL$93,$C680*2+MIN($B681,1)+5)-(Y681-VLOOKUP($C681*1000+1,$A:$HH,Y$92,FALSE))/36,0)</f>
        <v>3562</v>
      </c>
      <c r="AM681" s="32" t="str">
        <f t="shared" si="2010"/>
        <v>std/std/std/std</v>
      </c>
      <c r="AN681" s="32" t="str">
        <f t="shared" si="2011"/>
        <v>$0 + 0/0/0.9/2.9/3.9</v>
      </c>
      <c r="AO681" s="32" t="str">
        <f t="shared" si="2012"/>
        <v>0/0/0.9/2.9/3.9</v>
      </c>
      <c r="AP681" s="32" t="str">
        <f t="shared" si="1990"/>
        <v>0.9/1.9/2.9/3.9</v>
      </c>
      <c r="AQ681" s="536">
        <f t="shared" si="1991"/>
        <v>0.38903253822215728</v>
      </c>
      <c r="AR681" s="32"/>
      <c r="AS681" s="302"/>
      <c r="AT681" s="3">
        <f t="shared" si="2045"/>
        <v>81</v>
      </c>
      <c r="AU681" s="41" t="s">
        <v>121</v>
      </c>
      <c r="AV681" s="41" t="s">
        <v>116</v>
      </c>
      <c r="AW681" s="41" t="str">
        <f>INDEX(Input!$1:$1048576,AW$93,$C681*2+6)</f>
        <v>Kia</v>
      </c>
      <c r="AX681" s="41" t="str">
        <f>INDEX(Input!$1:$1048576,AX$93,$C681*2+6)</f>
        <v>National</v>
      </c>
      <c r="AY681" s="41" t="str">
        <f>IF(LEN(D681)=0,"",INDEX(Input!$1:$1048576,AY$93,$C681*2+6))</f>
        <v>Compact SUV (52)</v>
      </c>
      <c r="AZ681" s="41" t="str">
        <f>INDEX(Input!$1:$1048576,AZ$93,$C681*2+6)</f>
        <v>Kia Soul</v>
      </c>
      <c r="BA681" s="3">
        <f>INDEX(Input!$1:$1048576,BA$93,$C681*2+6)</f>
        <v>2020</v>
      </c>
      <c r="BB681" s="128">
        <f>INDEX(Input!$1:$1048576,BB$93,$C681*2+6)</f>
        <v>1</v>
      </c>
      <c r="BC681" s="128">
        <f>INDEX(Input!$1:$1048576,BC$93,$C681*2+6)</f>
        <v>0.7</v>
      </c>
      <c r="BD681" s="1">
        <f>INDEX(Input!$1:$1048576,BD$93,$C681*2+6)</f>
        <v>4.4999999999999998E-2</v>
      </c>
      <c r="BE681" s="1">
        <f>INDEX(Input!$1:$1048576,BE$93,$C681*2+6)</f>
        <v>4.4999999999999998E-2</v>
      </c>
      <c r="BF681" s="1">
        <f>INDEX(Input!$1:$1048576,BF$93,$C681*2+6)</f>
        <v>0.05</v>
      </c>
      <c r="BG681" s="1">
        <f>INDEX(Input!$1:$1048576,BG$93,$C681*2+6)</f>
        <v>5.45E-2</v>
      </c>
      <c r="BH681" s="1">
        <f>INDEX(Input!$1:$1048576,BH$93,$C681*2+6)</f>
        <v>5.45E-2</v>
      </c>
      <c r="BI681" s="1">
        <f>INDEX(Input!$1:$1048576,BI$93,$C681*2+6)</f>
        <v>0.05</v>
      </c>
      <c r="BJ681" s="1">
        <f>INDEX(Input!$1:$1048576,BJ$93,$C681*2+6)</f>
        <v>0.05</v>
      </c>
      <c r="BK681" s="1">
        <f>INDEX(Input!$1:$1048576,BK$93,$C681*2+6)</f>
        <v>0.05</v>
      </c>
      <c r="BL681" s="1">
        <f>INDEX(Input!$1:$1048576,BL$93,$C681*2+6)</f>
        <v>5.5E-2</v>
      </c>
      <c r="BM681" s="1">
        <f>INDEX(Input!$1:$1048576,BM$93,$C681*2+6)</f>
        <v>0.06</v>
      </c>
      <c r="BN681" s="1">
        <f>INDEX(Input!$1:$1048576,BN$93,$C681*2+6)</f>
        <v>4.4999999999999998E-2</v>
      </c>
      <c r="BO681" s="1">
        <f>INDEX(Input!$1:$1048576,BO$93,$C681*2+6)</f>
        <v>4.4999999999999998E-2</v>
      </c>
      <c r="BP681" s="1">
        <f>INDEX(Input!$1:$1048576,BP$93,$C681*2+6)</f>
        <v>0.05</v>
      </c>
      <c r="BQ681" s="1">
        <f>INDEX(Input!$1:$1048576,BQ$93,$C681*2+6)</f>
        <v>5.45E-2</v>
      </c>
      <c r="BR681" s="1">
        <f>INDEX(Input!$1:$1048576,BR$93,$C681*2+6)</f>
        <v>5.45E-2</v>
      </c>
      <c r="BS681" s="1">
        <f>INDEX(Input!$1:$1048576,BS$93,$C681*2+6)</f>
        <v>0.05</v>
      </c>
      <c r="BT681" s="1">
        <f>INDEX(Input!$1:$1048576,BT$93,$C681*2+6)</f>
        <v>0.05</v>
      </c>
      <c r="BU681" s="1">
        <f>INDEX(Input!$1:$1048576,BU$93,$C681*2+6)</f>
        <v>0.05</v>
      </c>
      <c r="BV681" s="1">
        <f>INDEX(Input!$1:$1048576,BV$93,$C681*2+6)</f>
        <v>5.5E-2</v>
      </c>
      <c r="BW681" s="1">
        <f>INDEX(Input!$1:$1048576,BW$93,$C681*2+6)</f>
        <v>0.06</v>
      </c>
      <c r="BX681" s="127">
        <f>INDEX(Input!$1:$1048576,BX$93,$C681*2+6)</f>
        <v>19985</v>
      </c>
      <c r="BY681" s="20">
        <f>INDEX(Input!$1:$1048576,BY$93,$C681*2+6)</f>
        <v>0.1</v>
      </c>
      <c r="BZ681" s="20">
        <f>INDEX(Input!$1:$1048576,BZ$93,$C681*2+6)</f>
        <v>0.1</v>
      </c>
      <c r="CA681" s="20">
        <f>INDEX(Input!$1:$1048576,CA$93,$C681*2+6)</f>
        <v>0.1</v>
      </c>
      <c r="CB681" s="20">
        <f>INDEX(Input!$1:$1048576,CB$93,$C681*2+6)</f>
        <v>0.1</v>
      </c>
      <c r="CC681" s="20">
        <f>INDEX(Input!$1:$1048576,CC$93,$C681*2+6)</f>
        <v>0.1</v>
      </c>
      <c r="CD681" s="384">
        <f>INDEX(Input!$1:$1048576,CD$93,$C681*2+6)</f>
        <v>0.1</v>
      </c>
      <c r="CE681" s="384">
        <f>INDEX(Input!$1:$1048576,CE$93,$C681*2+6)</f>
        <v>0.1</v>
      </c>
      <c r="CF681" s="384">
        <f>INDEX(Input!$1:$1048576,CF$93,$C681*2+6)</f>
        <v>0.1</v>
      </c>
      <c r="CG681" s="384">
        <f>INDEX(Input!$1:$1048576,CG$93,$C681*2+6)</f>
        <v>0.1</v>
      </c>
      <c r="CH681" s="384">
        <f>INDEX(Input!$1:$1048576,CH$93,$C681*2+6)</f>
        <v>0.1</v>
      </c>
      <c r="CI681" s="304">
        <f t="shared" si="1992"/>
        <v>1017.2644913000609</v>
      </c>
      <c r="CJ681" s="16" t="str">
        <f>INDEX(Input!$1:$1048576,CJ$93,$C681*2+6)</f>
        <v>N</v>
      </c>
      <c r="CK681" s="1" t="str">
        <f t="shared" si="1993"/>
        <v>Market</v>
      </c>
      <c r="CL681" s="1" t="str">
        <f t="shared" si="1994"/>
        <v>Market</v>
      </c>
      <c r="CM681" s="1" t="str">
        <f t="shared" si="1995"/>
        <v>Market</v>
      </c>
      <c r="CN681" s="1" t="str">
        <f t="shared" si="1996"/>
        <v>Market</v>
      </c>
      <c r="CO681" s="1" t="str">
        <f t="shared" si="1997"/>
        <v>Market</v>
      </c>
      <c r="CP681" s="304">
        <f t="shared" si="1998"/>
        <v>500</v>
      </c>
      <c r="CQ681" s="1">
        <f t="shared" si="1999"/>
        <v>0</v>
      </c>
      <c r="CR681" s="1">
        <f t="shared" si="2000"/>
        <v>0</v>
      </c>
      <c r="CS681" s="1">
        <f t="shared" si="2001"/>
        <v>9.0000000000000011E-3</v>
      </c>
      <c r="CT681" s="1">
        <f t="shared" si="2002"/>
        <v>2.8999999999999998E-2</v>
      </c>
      <c r="CU681" s="1">
        <f t="shared" si="2003"/>
        <v>3.9E-2</v>
      </c>
      <c r="CV681" s="304">
        <f t="shared" si="2004"/>
        <v>377.99367635402496</v>
      </c>
      <c r="CW681" s="20" t="s">
        <v>122</v>
      </c>
      <c r="CX681" s="20" t="s">
        <v>122</v>
      </c>
      <c r="CY681" s="20" t="s">
        <v>122</v>
      </c>
      <c r="CZ681" s="20" t="s">
        <v>122</v>
      </c>
      <c r="DA681" s="20" t="s">
        <v>122</v>
      </c>
      <c r="DB681" s="503">
        <f t="shared" si="2005"/>
        <v>0</v>
      </c>
      <c r="DC681" s="127">
        <v>0</v>
      </c>
      <c r="DD681" s="127">
        <v>0</v>
      </c>
      <c r="DE681" s="127">
        <v>0</v>
      </c>
      <c r="DF681" s="127">
        <v>0</v>
      </c>
      <c r="DG681" s="127">
        <v>0</v>
      </c>
      <c r="DH681" s="127">
        <v>0</v>
      </c>
      <c r="DI681" s="127">
        <v>0</v>
      </c>
      <c r="DJ681" s="127">
        <v>0</v>
      </c>
      <c r="DK681" s="127">
        <v>0</v>
      </c>
      <c r="DL681" s="127">
        <v>0</v>
      </c>
      <c r="DM681" s="304">
        <f>INDEX(Input!$1:$1048576,DM$93,$C681*2+6)</f>
        <v>21036.84210526316</v>
      </c>
      <c r="DN681" s="20">
        <v>0</v>
      </c>
      <c r="DO681" s="20">
        <v>0</v>
      </c>
      <c r="DP681" s="20">
        <v>0</v>
      </c>
      <c r="DQ681" s="20">
        <v>0</v>
      </c>
      <c r="DR681" s="20">
        <v>0</v>
      </c>
      <c r="DS681" s="20">
        <f>INDEX(Input!$1:$1048576,DS$93,$C681*2+6)</f>
        <v>0.6</v>
      </c>
      <c r="DT681" s="20">
        <f>INDEX(Input!$1:$1048576,DT$93,$C681*2+6)</f>
        <v>0.55000000000000004</v>
      </c>
      <c r="DU681" s="20">
        <f>INDEX(Input!$1:$1048576,DU$93,$C681*2+6)</f>
        <v>0.52</v>
      </c>
      <c r="DV681" s="20">
        <f>INDEX(Input!$1:$1048576,DV$93,$C681*2+6)</f>
        <v>0.5</v>
      </c>
      <c r="DW681" s="20">
        <f>INDEX(Input!$1:$1048576,DW$93,$C681*2+6)</f>
        <v>0.45</v>
      </c>
      <c r="DX681" s="20"/>
      <c r="DY681" s="7"/>
      <c r="DZ681" s="7"/>
      <c r="EA681" s="7"/>
      <c r="EB681" s="7"/>
      <c r="EC681" s="7"/>
      <c r="ED681" s="7"/>
      <c r="EE681" s="7"/>
      <c r="EF681" s="7"/>
      <c r="EG681" s="7"/>
      <c r="EH681" s="7"/>
      <c r="EI681" s="7"/>
      <c r="EJ681" s="7"/>
      <c r="EK681" s="7"/>
      <c r="EL681" s="7"/>
      <c r="EM681" s="7"/>
      <c r="EN681" s="7"/>
      <c r="EO681" s="7"/>
      <c r="EP681" s="7"/>
      <c r="EQ681" s="7"/>
      <c r="ER681" s="7"/>
      <c r="ES681" s="7"/>
      <c r="ET681" s="7"/>
      <c r="EU681" s="6"/>
      <c r="EV681" s="6"/>
      <c r="EW681" s="6"/>
      <c r="EX681" s="6"/>
      <c r="EY681" s="6"/>
      <c r="EZ681" s="6"/>
      <c r="FA681" s="6"/>
      <c r="FB681" s="6"/>
      <c r="FC681" s="6"/>
      <c r="FD681" s="6"/>
      <c r="FE681" s="6"/>
      <c r="FF681" s="6"/>
      <c r="FG681" s="6"/>
      <c r="FH681" s="6"/>
      <c r="FI681" s="6"/>
      <c r="FJ681" s="6"/>
      <c r="FK681" s="6"/>
      <c r="FL681" s="6"/>
      <c r="FM681" s="6"/>
      <c r="FN681" s="6"/>
      <c r="FO681" s="6"/>
      <c r="FP681" s="6"/>
      <c r="FQ681" s="6"/>
      <c r="FR681" s="6"/>
      <c r="FS681" s="6"/>
      <c r="FT681" s="7"/>
      <c r="FU681" s="7"/>
      <c r="FV681" s="7"/>
      <c r="FW681" s="6"/>
      <c r="FX681" s="6"/>
      <c r="FY681" s="6"/>
      <c r="FZ681" s="6"/>
      <c r="GA681" s="6"/>
      <c r="GB681" s="6"/>
      <c r="GC681" s="7"/>
      <c r="GD681" s="7"/>
      <c r="GE681" s="7"/>
      <c r="GF681" s="7"/>
      <c r="GG681" s="7"/>
      <c r="GH681" s="42"/>
      <c r="GI681" s="6"/>
      <c r="GJ681" s="14"/>
      <c r="GK681" s="14"/>
      <c r="GL681" s="14"/>
      <c r="GM681" s="14"/>
      <c r="GO681" s="5"/>
      <c r="GP681" s="5"/>
      <c r="GQ681" s="5"/>
      <c r="GR681" s="5"/>
      <c r="GS681" s="5"/>
      <c r="GT681" s="5"/>
      <c r="GU681" s="5"/>
      <c r="GV681" s="39"/>
      <c r="GW681" s="5"/>
      <c r="GX681" s="5"/>
      <c r="GY681" s="5"/>
      <c r="GZ681" s="5"/>
      <c r="HA681" s="5"/>
      <c r="HB681" s="39"/>
      <c r="HC681" s="5"/>
      <c r="HD681" s="5"/>
      <c r="HE681" s="5"/>
      <c r="HF681" s="5"/>
      <c r="HG681" s="5"/>
      <c r="HH681" s="39"/>
      <c r="HI681" s="16"/>
      <c r="HJ681" s="19"/>
      <c r="HK681" s="1"/>
      <c r="HL681" s="16"/>
      <c r="HM681" s="639">
        <f t="shared" si="2013"/>
        <v>2.3149872625708352E-2</v>
      </c>
      <c r="HN681" s="639">
        <f t="shared" si="2014"/>
        <v>1.3965040474190958E-3</v>
      </c>
      <c r="HO681" s="639">
        <f t="shared" si="2015"/>
        <v>3.5429561340050734E-3</v>
      </c>
      <c r="HP681" s="644">
        <f t="shared" ref="HP681:ID681" si="2096">HP181+HP281+HP381+HP481+HP581</f>
        <v>12.688059789363987</v>
      </c>
      <c r="HQ681" s="644">
        <f t="shared" si="2096"/>
        <v>-52.542053585119319</v>
      </c>
      <c r="HR681" s="644">
        <f t="shared" si="2096"/>
        <v>-55.538860248056245</v>
      </c>
      <c r="HS681" s="644">
        <f t="shared" si="2096"/>
        <v>29.158415014141692</v>
      </c>
      <c r="HT681" s="644">
        <f t="shared" si="2096"/>
        <v>-90.356759420562923</v>
      </c>
      <c r="HU681" s="644">
        <f t="shared" si="2096"/>
        <v>-25.97544370201804</v>
      </c>
      <c r="HV681" s="644">
        <f t="shared" si="2096"/>
        <v>0</v>
      </c>
      <c r="HW681" s="644">
        <f t="shared" si="2096"/>
        <v>0</v>
      </c>
      <c r="HX681" s="644">
        <f t="shared" si="2096"/>
        <v>0</v>
      </c>
      <c r="HY681" s="644">
        <f t="shared" si="2096"/>
        <v>2396</v>
      </c>
      <c r="HZ681" s="644">
        <f t="shared" si="2096"/>
        <v>3223</v>
      </c>
      <c r="IA681" s="644">
        <f t="shared" si="2096"/>
        <v>830</v>
      </c>
      <c r="IB681" s="644">
        <f t="shared" si="2096"/>
        <v>2437.8464748035058</v>
      </c>
      <c r="IC681" s="644">
        <f t="shared" si="2096"/>
        <v>3080.1011869943177</v>
      </c>
      <c r="ID681" s="644">
        <f t="shared" si="2096"/>
        <v>748.48569604992576</v>
      </c>
      <c r="IE681" s="20">
        <f t="shared" si="2017"/>
        <v>0.38903253822215728</v>
      </c>
      <c r="IF681" s="20">
        <f t="shared" si="2018"/>
        <v>0.49152380805852858</v>
      </c>
      <c r="IG681" s="20">
        <f t="shared" si="2019"/>
        <v>0.11944365371931419</v>
      </c>
      <c r="IH681" s="21"/>
      <c r="II681" s="19"/>
      <c r="IJ681" s="19"/>
      <c r="IK681" s="19"/>
      <c r="IL681" s="19">
        <f t="shared" si="2020"/>
        <v>-76.010175600428965</v>
      </c>
      <c r="IM681" s="19">
        <f t="shared" si="2021"/>
        <v>-207.06516040722909</v>
      </c>
      <c r="IN681" s="19">
        <f t="shared" si="2022"/>
        <v>-249.17483927302055</v>
      </c>
      <c r="IO681" s="39"/>
      <c r="IP681" s="39"/>
      <c r="IQ681" s="39"/>
      <c r="IR681" s="39"/>
      <c r="IS681" s="39"/>
      <c r="IT681" s="39"/>
      <c r="IU681" s="39"/>
      <c r="IV681" s="39"/>
      <c r="IW681" s="39"/>
      <c r="IX681" s="19">
        <f t="shared" si="2023"/>
        <v>1554.1790484140233</v>
      </c>
      <c r="IY681" s="19">
        <f t="shared" si="2024"/>
        <v>2412.3001201524512</v>
      </c>
      <c r="IZ681" s="19">
        <f t="shared" si="2025"/>
        <v>3993.0862952928574</v>
      </c>
      <c r="JA681" s="19">
        <f t="shared" ref="JA681:JC681" si="2097">IFERROR((JA181*IB181+JA281*IB281+JA381*IB381+JA481*IB481+JA581*IB581)/IB681,0)</f>
        <v>1478.1688728135944</v>
      </c>
      <c r="JB681" s="19">
        <f t="shared" si="2097"/>
        <v>2205.2349597452221</v>
      </c>
      <c r="JC681" s="19">
        <f t="shared" si="2097"/>
        <v>3743.9114560198368</v>
      </c>
      <c r="JD681" s="19">
        <f t="shared" si="2027"/>
        <v>2106.1677370980319</v>
      </c>
      <c r="JE681" s="21"/>
      <c r="JF681" s="1">
        <f t="shared" si="2028"/>
        <v>2.6651855648468406E-2</v>
      </c>
      <c r="JG681" s="15">
        <f t="shared" si="2029"/>
        <v>6449</v>
      </c>
      <c r="JH681" s="1">
        <f t="shared" si="2030"/>
        <v>-1.4791883089442018E-2</v>
      </c>
      <c r="JI681" s="1">
        <f t="shared" si="2031"/>
        <v>-1.3517411708550049E-2</v>
      </c>
      <c r="JJ681" s="1">
        <f t="shared" si="2032"/>
        <v>0</v>
      </c>
      <c r="JK681" s="1">
        <f t="shared" si="2033"/>
        <v>-2.830929479799207E-2</v>
      </c>
      <c r="JL681" s="15">
        <f t="shared" ref="JL681:JM681" si="2098">JL181+JL281+JL381+JL481+JL581</f>
        <v>-182.56664215225086</v>
      </c>
      <c r="JM681" s="15">
        <f t="shared" si="2098"/>
        <v>6266.4333578477499</v>
      </c>
      <c r="JN681" s="21"/>
      <c r="JO681" s="19">
        <f>INDEX(Input!$1:$1048576,JO$93,$C681*2+6)</f>
        <v>5995.5</v>
      </c>
      <c r="JP681" s="19">
        <f>INDEX(Input!$1:$1048576,JP$93,$C681*2+6)</f>
        <v>2296.6050414551746</v>
      </c>
      <c r="JQ681" s="39">
        <f t="shared" si="2053"/>
        <v>3889.3322629019681</v>
      </c>
      <c r="JR681" s="39">
        <f t="shared" si="2054"/>
        <v>-190.43730435714269</v>
      </c>
      <c r="JS681" s="39">
        <f t="shared" si="2055"/>
        <v>13.198159764973818</v>
      </c>
      <c r="JT681" s="39">
        <f t="shared" si="2056"/>
        <v>-1.6126461473706029</v>
      </c>
      <c r="JU681" s="385">
        <f>(JQ681*JM681-INDEX(Input!$1:$1048576,Input!A$18,$C681*2+6)*JL681*INDEX(Input!$1:$1048576,Input!A$19,$C681*2+6))/1000000</f>
        <v>24.372241432002365</v>
      </c>
      <c r="JV681" s="39">
        <f t="shared" si="2057"/>
        <v>0.51806784434678832</v>
      </c>
      <c r="JW681" s="1">
        <f t="shared" si="2058"/>
        <v>2.1718121671374355E-2</v>
      </c>
      <c r="JX681" s="19">
        <f t="shared" si="2059"/>
        <v>8833.1916956972982</v>
      </c>
      <c r="JZ681" s="341"/>
      <c r="KA681" s="60"/>
      <c r="KB681" s="469">
        <f t="shared" si="2035"/>
        <v>0</v>
      </c>
      <c r="KI681" s="472"/>
      <c r="KJ681" s="472"/>
      <c r="KK681" s="472"/>
      <c r="KN681" s="26">
        <f t="shared" si="2036"/>
        <v>6002</v>
      </c>
      <c r="KO681" s="794">
        <f t="shared" si="2037"/>
        <v>-5.0581904514287235E-2</v>
      </c>
      <c r="KP681" s="795">
        <f t="shared" si="2038"/>
        <v>-326.1062889975118</v>
      </c>
      <c r="KQ681" s="795">
        <f t="shared" si="2039"/>
        <v>-356.665519507113</v>
      </c>
      <c r="KR681" s="26">
        <f t="shared" si="2040"/>
        <v>2.7178395357612386</v>
      </c>
      <c r="KS681" s="26">
        <f t="shared" si="2041"/>
        <v>2.4849740628772556</v>
      </c>
      <c r="KT681" s="796">
        <f t="shared" si="2049"/>
        <v>4286.2445668946921</v>
      </c>
      <c r="KU681" s="797">
        <f t="shared" si="2042"/>
        <v>4.3837812175630297</v>
      </c>
    </row>
    <row r="682" spans="1:307" s="26" customFormat="1" ht="15" outlineLevel="1">
      <c r="A682" s="561">
        <f t="shared" si="2009"/>
        <v>6082</v>
      </c>
      <c r="B682" s="561">
        <f t="shared" si="2043"/>
        <v>82</v>
      </c>
      <c r="C682" s="561">
        <f t="shared" si="2044"/>
        <v>6</v>
      </c>
      <c r="D682" s="561" t="str">
        <f t="shared" si="1953"/>
        <v xml:space="preserve">-500 CC, 0.9/1.9/2.9/3.9, -360 Lease, </v>
      </c>
      <c r="E682" s="475">
        <f>INDEX(Input!$1:$1048576,E$93,$C682*2+MIN($B682,2)+5)
+INDEX(Scenarios!E$121:E$199,MATCH($B682,Scenarios!$B$121:$B$199,0))</f>
        <v>767.26449130006085</v>
      </c>
      <c r="F682" s="475">
        <f>INDEX(Input!$1:$1048576,F$93,$C682*2+MIN($B682,2)+5)
+INDEX(Scenarios!F$121:F$199,MATCH($B682,Scenarios!$B$121:$B$199,0))</f>
        <v>0</v>
      </c>
      <c r="G682" s="475">
        <f>INDEX(Input!$1:$1048576,G$93,$C682*2+MIN($B682,2)+5)
+INDEX(Scenarios!G$121:G$199,MATCH($B682,Scenarios!$B$121:$B$199,0))</f>
        <v>0</v>
      </c>
      <c r="H682" s="475">
        <f>INDEX(Input!$1:$1048576,H$93,$C682*2+MIN($B682,2)+5)
+INDEX(Scenarios!H$121:H$199,MATCH($B682,Scenarios!$B$121:$B$199,0))</f>
        <v>0</v>
      </c>
      <c r="I682" s="476">
        <f>INDEX(Input!$1:$1048576,I$93,$C682*2+MIN($B682,2)+5)
+INDEX(Scenarios!I$121:I$199,MATCH($B682,Scenarios!$B$121:$B$199,0))</f>
        <v>0.7</v>
      </c>
      <c r="J682" s="476" t="str">
        <f>INDEX(Input!$1:$1048576,J$93,$C682*2+MIN($B682,2)+5)</f>
        <v>Market</v>
      </c>
      <c r="K682" s="476" t="str">
        <f>INDEX(Input!$1:$1048576,K$93,$C682*2+MIN($B682,2)+5)</f>
        <v>Market</v>
      </c>
      <c r="L682" s="476" t="str">
        <f>INDEX(Input!$1:$1048576,L$93,$C682*2+MIN($B682,2)+5)</f>
        <v>Market</v>
      </c>
      <c r="M682" s="476" t="str">
        <f>INDEX(Input!$1:$1048576,M$93,$C682*2+MIN($B682,2)+5)</f>
        <v>Market</v>
      </c>
      <c r="N682" s="476" t="str">
        <f>INDEX(Input!$1:$1048576,N$93,$C682*2+MIN($B682,2)+5)</f>
        <v>Market</v>
      </c>
      <c r="O682" s="476" t="str">
        <f>INDEX(Input!$1:$1048576,O$93,$C682*2+MIN($B682,2)+5)</f>
        <v>Market</v>
      </c>
      <c r="P682" s="476" t="str">
        <f>INDEX(Input!$1:$1048576,P$93,$C682*2+MIN($B682,2)+5)</f>
        <v>N</v>
      </c>
      <c r="Q682" s="477">
        <f>INDEX(Input!$1:$1048576,Q$93,$C682*2+MIN($B682,2)+5)
+INDEX(Scenarios!Q$121:Q$199,MATCH($B682,Scenarios!$B$121:$B$199,0))</f>
        <v>0</v>
      </c>
      <c r="R682" s="478">
        <f>IFERROR(MAX(0,INDEX(Input!$1:$1048576,R$93,$C682*2+MIN($B682,2)+5)
+INDEX(Scenarios!R$121:R$199,MATCH($B682,Scenarios!$B$121:$B$199,0)),),"Market")</f>
        <v>0</v>
      </c>
      <c r="S682" s="478">
        <f>IFERROR(MAX(0,INDEX(Input!$1:$1048576,S$93,$C682*2+MIN($B682,2)+5)
+INDEX(Scenarios!S$121:S$199,MATCH($B682,Scenarios!$B$121:$B$199,0)),),"Market")</f>
        <v>0</v>
      </c>
      <c r="T682" s="478">
        <f>IFERROR(MAX(0,INDEX(Input!$1:$1048576,T$93,$C682*2+MIN($B682,2)+5)
+INDEX(Scenarios!T$121:T$199,MATCH($B682,Scenarios!$B$121:$B$199,0)),),"Market")</f>
        <v>0</v>
      </c>
      <c r="U682" s="478">
        <f>IFERROR(MAX(0,INDEX(Input!$1:$1048576,U$93,$C682*2+MIN($B682,2)+5)
+INDEX(Scenarios!U$121:U$199,MATCH($B682,Scenarios!$B$121:$B$199,0)),),"Market")</f>
        <v>9.0000000000000011E-3</v>
      </c>
      <c r="V682" s="478">
        <f>IFERROR(MAX(0,INDEX(Input!$1:$1048576,V$93,$C682*2+MIN($B682,2)+5)
+INDEX(Scenarios!V$121:V$199,MATCH($B682,Scenarios!$B$121:$B$199,0)),),"Market")</f>
        <v>2.8999999999999998E-2</v>
      </c>
      <c r="W682" s="885">
        <f>IFERROR(MAX(0,INDEX(Input!$1:$1048576,W$93,$C682*2+MIN($B682,2)+5)-0%),"Market")</f>
        <v>3.9E-2</v>
      </c>
      <c r="X682" s="476" t="str">
        <f>INDEX(Input!$1:$1048576,X$93,$C682*2+MIN($B682,2)+5)</f>
        <v>Y</v>
      </c>
      <c r="Y682" s="475">
        <f>INDEX(Input!$1:$1048576,Y$93,$C682*2+MIN($B682,2)+5)
++INDEX(Scenarios!Y$121:Y$199,MATCH($B682,Scenarios!$B$121:$B$199,0))</f>
        <v>377.99367635402496</v>
      </c>
      <c r="Z682" s="477">
        <f>INDEX(Input!$1:$1048576,Z$93,$C682*2+MIN($B682,2)+5)
+INDEX(Scenarios!Z$121:Z$199,MATCH($B682,Scenarios!$B$121:$B$199,0))</f>
        <v>0</v>
      </c>
      <c r="AA682" s="475">
        <f>INDEX(Input!$1:$1048576,AA$93,$C682*2+MIN($B682,2)+5)</f>
        <v>0</v>
      </c>
      <c r="AB682" s="476">
        <f>INDEX(Input!$1:$1048576,AB$93,$C682*2+MIN($B682,2)+5)</f>
        <v>0.27</v>
      </c>
      <c r="AC682" s="475">
        <f>INDEX(Input!$1:$1048576,AC$93,$C682*2+MIN($B682,2)+5)
+INDEX(Scenarios!AC$121:AC$199,MATCH($B682,Scenarios!$B$121:$B$199,0))</f>
        <v>0</v>
      </c>
      <c r="AD682" s="476">
        <f>INDEX(Input!$1:$1048576,AD$93,$C682*2+MIN($B682,2)+5)</f>
        <v>0.27</v>
      </c>
      <c r="AE682" s="475">
        <f>INDEX(Input!$1:$1048576,AE$93,$C682*2+MIN($B682,2)+5)
+INDEX(Scenarios!AE$121:AE$199,MATCH($B682,Scenarios!$B$121:$B$199,0))</f>
        <v>0</v>
      </c>
      <c r="AF682" s="476">
        <f>INDEX(Input!$1:$1048576,AF$93,$C682*2+MIN($B682,2)+5)</f>
        <v>1</v>
      </c>
      <c r="AG682" s="475">
        <f>INDEX(Input!$1:$1048576,AG$93,$C682*2+MIN($B682,2)+5)</f>
        <v>500</v>
      </c>
      <c r="AH682" s="476">
        <f>INDEX(Input!$1:$1048576,AH$93,$C682*2+MIN($B682,2)+5)</f>
        <v>1</v>
      </c>
      <c r="AI682" s="475">
        <f>INDEX(Input!$1:$1048576,AI$93,$C682*2+MIN($B682,2)+5)</f>
        <v>0</v>
      </c>
      <c r="AJ682" s="476">
        <f>INDEX(Input!$1:$1048576,AJ$93,$C682*2+MIN($B682,2)+5)</f>
        <v>0.27</v>
      </c>
      <c r="AK682" s="150">
        <f>ROUND(INDEX(Input!$1:$1048576,AK$93,$C681*2+MIN($B682,1)+5)+(Y682-VLOOKUP($C682*1000+1,$A:$HH,Y$92,FALSE)),0)</f>
        <v>2701</v>
      </c>
      <c r="AL682" s="150">
        <f>ROUND(INDEX(Input!$1:$1048576,AL$93,$C681*2+MIN($B682,1)+5)-(Y682-VLOOKUP($C682*1000+1,$A:$HH,Y$92,FALSE))/36,0)</f>
        <v>3562</v>
      </c>
      <c r="AM682" s="32" t="str">
        <f t="shared" si="2010"/>
        <v>std/std/std/std</v>
      </c>
      <c r="AN682" s="32" t="str">
        <f t="shared" si="2011"/>
        <v>$0 + 0/0/0.9/2.9/3.9</v>
      </c>
      <c r="AO682" s="32" t="str">
        <f t="shared" si="2012"/>
        <v>0/0/0.9/2.9/3.9</v>
      </c>
      <c r="AP682" s="32" t="str">
        <f t="shared" si="1990"/>
        <v>0.9/1.9/2.9/3.9</v>
      </c>
      <c r="AQ682" s="536">
        <f t="shared" si="1991"/>
        <v>0.36755266588711499</v>
      </c>
      <c r="AR682" s="32"/>
      <c r="AS682" s="302"/>
      <c r="AT682" s="3">
        <f t="shared" si="2045"/>
        <v>82</v>
      </c>
      <c r="AU682" s="41" t="s">
        <v>121</v>
      </c>
      <c r="AV682" s="41" t="s">
        <v>116</v>
      </c>
      <c r="AW682" s="41" t="str">
        <f>INDEX(Input!$1:$1048576,AW$93,$C682*2+6)</f>
        <v>Kia</v>
      </c>
      <c r="AX682" s="41" t="str">
        <f>INDEX(Input!$1:$1048576,AX$93,$C682*2+6)</f>
        <v>National</v>
      </c>
      <c r="AY682" s="41" t="str">
        <f>IF(LEN(D682)=0,"",INDEX(Input!$1:$1048576,AY$93,$C682*2+6))</f>
        <v>Compact SUV (52)</v>
      </c>
      <c r="AZ682" s="41" t="str">
        <f>INDEX(Input!$1:$1048576,AZ$93,$C682*2+6)</f>
        <v>Kia Soul</v>
      </c>
      <c r="BA682" s="3">
        <f>INDEX(Input!$1:$1048576,BA$93,$C682*2+6)</f>
        <v>2020</v>
      </c>
      <c r="BB682" s="128">
        <f>INDEX(Input!$1:$1048576,BB$93,$C682*2+6)</f>
        <v>1</v>
      </c>
      <c r="BC682" s="128">
        <f>INDEX(Input!$1:$1048576,BC$93,$C682*2+6)</f>
        <v>0.7</v>
      </c>
      <c r="BD682" s="1">
        <f>INDEX(Input!$1:$1048576,BD$93,$C682*2+6)</f>
        <v>4.4999999999999998E-2</v>
      </c>
      <c r="BE682" s="1">
        <f>INDEX(Input!$1:$1048576,BE$93,$C682*2+6)</f>
        <v>4.4999999999999998E-2</v>
      </c>
      <c r="BF682" s="1">
        <f>INDEX(Input!$1:$1048576,BF$93,$C682*2+6)</f>
        <v>0.05</v>
      </c>
      <c r="BG682" s="1">
        <f>INDEX(Input!$1:$1048576,BG$93,$C682*2+6)</f>
        <v>5.45E-2</v>
      </c>
      <c r="BH682" s="1">
        <f>INDEX(Input!$1:$1048576,BH$93,$C682*2+6)</f>
        <v>5.45E-2</v>
      </c>
      <c r="BI682" s="1">
        <f>INDEX(Input!$1:$1048576,BI$93,$C682*2+6)</f>
        <v>0.05</v>
      </c>
      <c r="BJ682" s="1">
        <f>INDEX(Input!$1:$1048576,BJ$93,$C682*2+6)</f>
        <v>0.05</v>
      </c>
      <c r="BK682" s="1">
        <f>INDEX(Input!$1:$1048576,BK$93,$C682*2+6)</f>
        <v>0.05</v>
      </c>
      <c r="BL682" s="1">
        <f>INDEX(Input!$1:$1048576,BL$93,$C682*2+6)</f>
        <v>5.5E-2</v>
      </c>
      <c r="BM682" s="1">
        <f>INDEX(Input!$1:$1048576,BM$93,$C682*2+6)</f>
        <v>0.06</v>
      </c>
      <c r="BN682" s="1">
        <f>INDEX(Input!$1:$1048576,BN$93,$C682*2+6)</f>
        <v>4.4999999999999998E-2</v>
      </c>
      <c r="BO682" s="1">
        <f>INDEX(Input!$1:$1048576,BO$93,$C682*2+6)</f>
        <v>4.4999999999999998E-2</v>
      </c>
      <c r="BP682" s="1">
        <f>INDEX(Input!$1:$1048576,BP$93,$C682*2+6)</f>
        <v>0.05</v>
      </c>
      <c r="BQ682" s="1">
        <f>INDEX(Input!$1:$1048576,BQ$93,$C682*2+6)</f>
        <v>5.45E-2</v>
      </c>
      <c r="BR682" s="1">
        <f>INDEX(Input!$1:$1048576,BR$93,$C682*2+6)</f>
        <v>5.45E-2</v>
      </c>
      <c r="BS682" s="1">
        <f>INDEX(Input!$1:$1048576,BS$93,$C682*2+6)</f>
        <v>0.05</v>
      </c>
      <c r="BT682" s="1">
        <f>INDEX(Input!$1:$1048576,BT$93,$C682*2+6)</f>
        <v>0.05</v>
      </c>
      <c r="BU682" s="1">
        <f>INDEX(Input!$1:$1048576,BU$93,$C682*2+6)</f>
        <v>0.05</v>
      </c>
      <c r="BV682" s="1">
        <f>INDEX(Input!$1:$1048576,BV$93,$C682*2+6)</f>
        <v>5.5E-2</v>
      </c>
      <c r="BW682" s="1">
        <f>INDEX(Input!$1:$1048576,BW$93,$C682*2+6)</f>
        <v>0.06</v>
      </c>
      <c r="BX682" s="127">
        <f>INDEX(Input!$1:$1048576,BX$93,$C682*2+6)</f>
        <v>19985</v>
      </c>
      <c r="BY682" s="20">
        <f>INDEX(Input!$1:$1048576,BY$93,$C682*2+6)</f>
        <v>0.1</v>
      </c>
      <c r="BZ682" s="20">
        <f>INDEX(Input!$1:$1048576,BZ$93,$C682*2+6)</f>
        <v>0.1</v>
      </c>
      <c r="CA682" s="20">
        <f>INDEX(Input!$1:$1048576,CA$93,$C682*2+6)</f>
        <v>0.1</v>
      </c>
      <c r="CB682" s="20">
        <f>INDEX(Input!$1:$1048576,CB$93,$C682*2+6)</f>
        <v>0.1</v>
      </c>
      <c r="CC682" s="20">
        <f>INDEX(Input!$1:$1048576,CC$93,$C682*2+6)</f>
        <v>0.1</v>
      </c>
      <c r="CD682" s="384">
        <f>INDEX(Input!$1:$1048576,CD$93,$C682*2+6)</f>
        <v>0.1</v>
      </c>
      <c r="CE682" s="384">
        <f>INDEX(Input!$1:$1048576,CE$93,$C682*2+6)</f>
        <v>0.1</v>
      </c>
      <c r="CF682" s="384">
        <f>INDEX(Input!$1:$1048576,CF$93,$C682*2+6)</f>
        <v>0.1</v>
      </c>
      <c r="CG682" s="384">
        <f>INDEX(Input!$1:$1048576,CG$93,$C682*2+6)</f>
        <v>0.1</v>
      </c>
      <c r="CH682" s="384">
        <f>INDEX(Input!$1:$1048576,CH$93,$C682*2+6)</f>
        <v>0.1</v>
      </c>
      <c r="CI682" s="304">
        <f t="shared" si="1992"/>
        <v>767.26449130006085</v>
      </c>
      <c r="CJ682" s="16" t="str">
        <f>INDEX(Input!$1:$1048576,CJ$93,$C682*2+6)</f>
        <v>N</v>
      </c>
      <c r="CK682" s="1" t="str">
        <f t="shared" si="1993"/>
        <v>Market</v>
      </c>
      <c r="CL682" s="1" t="str">
        <f t="shared" si="1994"/>
        <v>Market</v>
      </c>
      <c r="CM682" s="1" t="str">
        <f t="shared" si="1995"/>
        <v>Market</v>
      </c>
      <c r="CN682" s="1" t="str">
        <f t="shared" si="1996"/>
        <v>Market</v>
      </c>
      <c r="CO682" s="1" t="str">
        <f t="shared" si="1997"/>
        <v>Market</v>
      </c>
      <c r="CP682" s="304">
        <f t="shared" si="1998"/>
        <v>500</v>
      </c>
      <c r="CQ682" s="1">
        <f t="shared" si="1999"/>
        <v>0</v>
      </c>
      <c r="CR682" s="1">
        <f t="shared" si="2000"/>
        <v>0</v>
      </c>
      <c r="CS682" s="1">
        <f t="shared" si="2001"/>
        <v>9.0000000000000011E-3</v>
      </c>
      <c r="CT682" s="1">
        <f t="shared" si="2002"/>
        <v>2.8999999999999998E-2</v>
      </c>
      <c r="CU682" s="1">
        <f t="shared" si="2003"/>
        <v>3.9E-2</v>
      </c>
      <c r="CV682" s="304">
        <f t="shared" si="2004"/>
        <v>377.99367635402496</v>
      </c>
      <c r="CW682" s="20" t="s">
        <v>122</v>
      </c>
      <c r="CX682" s="20" t="s">
        <v>122</v>
      </c>
      <c r="CY682" s="20" t="s">
        <v>122</v>
      </c>
      <c r="CZ682" s="20" t="s">
        <v>122</v>
      </c>
      <c r="DA682" s="20" t="s">
        <v>122</v>
      </c>
      <c r="DB682" s="503">
        <f t="shared" si="2005"/>
        <v>0</v>
      </c>
      <c r="DC682" s="127">
        <v>0</v>
      </c>
      <c r="DD682" s="127">
        <v>0</v>
      </c>
      <c r="DE682" s="127">
        <v>0</v>
      </c>
      <c r="DF682" s="127">
        <v>0</v>
      </c>
      <c r="DG682" s="127">
        <v>0</v>
      </c>
      <c r="DH682" s="127">
        <v>0</v>
      </c>
      <c r="DI682" s="127">
        <v>0</v>
      </c>
      <c r="DJ682" s="127">
        <v>0</v>
      </c>
      <c r="DK682" s="127">
        <v>0</v>
      </c>
      <c r="DL682" s="127">
        <v>0</v>
      </c>
      <c r="DM682" s="304">
        <f>INDEX(Input!$1:$1048576,DM$93,$C682*2+6)</f>
        <v>21036.84210526316</v>
      </c>
      <c r="DN682" s="20">
        <v>0</v>
      </c>
      <c r="DO682" s="20">
        <v>0</v>
      </c>
      <c r="DP682" s="20">
        <v>0</v>
      </c>
      <c r="DQ682" s="20">
        <v>0</v>
      </c>
      <c r="DR682" s="20">
        <v>0</v>
      </c>
      <c r="DS682" s="20">
        <f>INDEX(Input!$1:$1048576,DS$93,$C682*2+6)</f>
        <v>0.6</v>
      </c>
      <c r="DT682" s="20">
        <f>INDEX(Input!$1:$1048576,DT$93,$C682*2+6)</f>
        <v>0.55000000000000004</v>
      </c>
      <c r="DU682" s="20">
        <f>INDEX(Input!$1:$1048576,DU$93,$C682*2+6)</f>
        <v>0.52</v>
      </c>
      <c r="DV682" s="20">
        <f>INDEX(Input!$1:$1048576,DV$93,$C682*2+6)</f>
        <v>0.5</v>
      </c>
      <c r="DW682" s="20">
        <f>INDEX(Input!$1:$1048576,DW$93,$C682*2+6)</f>
        <v>0.45</v>
      </c>
      <c r="DX682" s="20"/>
      <c r="DY682" s="7"/>
      <c r="DZ682" s="7"/>
      <c r="EA682" s="7"/>
      <c r="EB682" s="7"/>
      <c r="EC682" s="7"/>
      <c r="ED682" s="7"/>
      <c r="EE682" s="7"/>
      <c r="EF682" s="7"/>
      <c r="EG682" s="7"/>
      <c r="EH682" s="7"/>
      <c r="EI682" s="7"/>
      <c r="EJ682" s="7"/>
      <c r="EK682" s="7"/>
      <c r="EL682" s="7"/>
      <c r="EM682" s="7"/>
      <c r="EN682" s="7"/>
      <c r="EO682" s="7"/>
      <c r="EP682" s="7"/>
      <c r="EQ682" s="7"/>
      <c r="ER682" s="7"/>
      <c r="ES682" s="7"/>
      <c r="ET682" s="7"/>
      <c r="EU682" s="6"/>
      <c r="EV682" s="6"/>
      <c r="EW682" s="6"/>
      <c r="EX682" s="6"/>
      <c r="EY682" s="6"/>
      <c r="EZ682" s="6"/>
      <c r="FA682" s="6"/>
      <c r="FB682" s="6"/>
      <c r="FC682" s="6"/>
      <c r="FD682" s="6"/>
      <c r="FE682" s="6"/>
      <c r="FF682" s="6"/>
      <c r="FG682" s="6"/>
      <c r="FH682" s="6"/>
      <c r="FI682" s="6"/>
      <c r="FJ682" s="6"/>
      <c r="FK682" s="6"/>
      <c r="FL682" s="6"/>
      <c r="FM682" s="6"/>
      <c r="FN682" s="6"/>
      <c r="FO682" s="6"/>
      <c r="FP682" s="6"/>
      <c r="FQ682" s="6"/>
      <c r="FR682" s="6"/>
      <c r="FS682" s="6"/>
      <c r="FT682" s="7"/>
      <c r="FU682" s="7"/>
      <c r="FV682" s="7"/>
      <c r="FW682" s="6"/>
      <c r="FX682" s="6"/>
      <c r="FY682" s="6"/>
      <c r="FZ682" s="6"/>
      <c r="GA682" s="6"/>
      <c r="GB682" s="6"/>
      <c r="GC682" s="7"/>
      <c r="GD682" s="7"/>
      <c r="GE682" s="7"/>
      <c r="GF682" s="7"/>
      <c r="GG682" s="7"/>
      <c r="GH682" s="42"/>
      <c r="GI682" s="6"/>
      <c r="GJ682" s="14"/>
      <c r="GK682" s="14"/>
      <c r="GL682" s="14"/>
      <c r="GM682" s="14"/>
      <c r="GO682" s="5"/>
      <c r="GP682" s="5"/>
      <c r="GQ682" s="5"/>
      <c r="GR682" s="5"/>
      <c r="GS682" s="5"/>
      <c r="GT682" s="5"/>
      <c r="GU682" s="5"/>
      <c r="GV682" s="39"/>
      <c r="GW682" s="5"/>
      <c r="GX682" s="5"/>
      <c r="GY682" s="5"/>
      <c r="GZ682" s="5"/>
      <c r="HA682" s="5"/>
      <c r="HB682" s="39"/>
      <c r="HC682" s="5"/>
      <c r="HD682" s="5"/>
      <c r="HE682" s="5"/>
      <c r="HF682" s="5"/>
      <c r="HG682" s="5"/>
      <c r="HH682" s="39"/>
      <c r="HI682" s="16"/>
      <c r="HJ682" s="19"/>
      <c r="HK682" s="1"/>
      <c r="HL682" s="16"/>
      <c r="HM682" s="639">
        <f t="shared" si="2013"/>
        <v>2.3149872625708352E-2</v>
      </c>
      <c r="HN682" s="639">
        <f t="shared" si="2014"/>
        <v>1.3965040474190958E-3</v>
      </c>
      <c r="HO682" s="639">
        <f t="shared" si="2015"/>
        <v>3.5429561340050734E-3</v>
      </c>
      <c r="HP682" s="644">
        <f t="shared" ref="HP682:ID682" si="2099">HP182+HP282+HP382+HP482+HP582</f>
        <v>-234.49769653693784</v>
      </c>
      <c r="HQ682" s="644">
        <f t="shared" si="2099"/>
        <v>-26.872902866428554</v>
      </c>
      <c r="HR682" s="644">
        <f t="shared" si="2099"/>
        <v>10.834705813906769</v>
      </c>
      <c r="HS682" s="644">
        <f t="shared" si="2099"/>
        <v>116.98428445161609</v>
      </c>
      <c r="HT682" s="644">
        <f t="shared" si="2099"/>
        <v>-77.56424257630303</v>
      </c>
      <c r="HU682" s="644">
        <f t="shared" si="2099"/>
        <v>-38.809024138988669</v>
      </c>
      <c r="HV682" s="644">
        <f t="shared" si="2099"/>
        <v>0</v>
      </c>
      <c r="HW682" s="644">
        <f t="shared" si="2099"/>
        <v>0</v>
      </c>
      <c r="HX682" s="644">
        <f t="shared" si="2099"/>
        <v>0</v>
      </c>
      <c r="HY682" s="644">
        <f t="shared" si="2099"/>
        <v>2396</v>
      </c>
      <c r="HZ682" s="644">
        <f t="shared" si="2099"/>
        <v>3223</v>
      </c>
      <c r="IA682" s="644">
        <f t="shared" si="2099"/>
        <v>830</v>
      </c>
      <c r="IB682" s="644">
        <f t="shared" si="2099"/>
        <v>2278.4865879146782</v>
      </c>
      <c r="IC682" s="644">
        <f t="shared" si="2099"/>
        <v>3118.5628545572681</v>
      </c>
      <c r="ID682" s="644">
        <f t="shared" si="2099"/>
        <v>802.02568167491813</v>
      </c>
      <c r="IE682" s="20">
        <f t="shared" si="2017"/>
        <v>0.36755266588711499</v>
      </c>
      <c r="IF682" s="20">
        <f t="shared" si="2018"/>
        <v>0.50306905338341967</v>
      </c>
      <c r="IG682" s="20">
        <f t="shared" si="2019"/>
        <v>0.12937828072946533</v>
      </c>
      <c r="IH682" s="21"/>
      <c r="II682" s="19"/>
      <c r="IJ682" s="19"/>
      <c r="IK682" s="19"/>
      <c r="IL682" s="19">
        <f t="shared" si="2020"/>
        <v>-321.74739694761843</v>
      </c>
      <c r="IM682" s="19">
        <f t="shared" si="2021"/>
        <v>-208.10536111098781</v>
      </c>
      <c r="IN682" s="19">
        <f t="shared" si="2022"/>
        <v>-250.87888196578706</v>
      </c>
      <c r="IO682" s="39"/>
      <c r="IP682" s="39"/>
      <c r="IQ682" s="39"/>
      <c r="IR682" s="39"/>
      <c r="IS682" s="39"/>
      <c r="IT682" s="39"/>
      <c r="IU682" s="39"/>
      <c r="IV682" s="39"/>
      <c r="IW682" s="39"/>
      <c r="IX682" s="19">
        <f t="shared" si="2023"/>
        <v>1554.1790484140233</v>
      </c>
      <c r="IY682" s="19">
        <f t="shared" si="2024"/>
        <v>2412.3001201524512</v>
      </c>
      <c r="IZ682" s="19">
        <f t="shared" si="2025"/>
        <v>3993.0862952928574</v>
      </c>
      <c r="JA682" s="19">
        <f t="shared" ref="JA682:JC682" si="2100">IFERROR((JA182*IB182+JA282*IB282+JA382*IB382+JA482*IB482+JA582*IB582)/IB682,0)</f>
        <v>1232.4316514664049</v>
      </c>
      <c r="JB682" s="19">
        <f t="shared" si="2100"/>
        <v>2204.1947590414634</v>
      </c>
      <c r="JC682" s="19">
        <f t="shared" si="2100"/>
        <v>3742.2074133270703</v>
      </c>
      <c r="JD682" s="19">
        <f t="shared" si="2027"/>
        <v>2046.0060711931369</v>
      </c>
      <c r="JE682" s="21"/>
      <c r="JF682" s="1">
        <f t="shared" si="2028"/>
        <v>2.6651855648468406E-2</v>
      </c>
      <c r="JG682" s="15">
        <f t="shared" si="2029"/>
        <v>6449</v>
      </c>
      <c r="JH682" s="1">
        <f t="shared" si="2030"/>
        <v>-3.8848797269260292E-2</v>
      </c>
      <c r="JI682" s="1">
        <f t="shared" si="2031"/>
        <v>9.4746121309411074E-5</v>
      </c>
      <c r="JJ682" s="1">
        <f t="shared" si="2032"/>
        <v>0</v>
      </c>
      <c r="JK682" s="1">
        <f t="shared" si="2033"/>
        <v>-3.8754051147950878E-2</v>
      </c>
      <c r="JL682" s="15">
        <f t="shared" ref="JL682:JM682" si="2101">JL182+JL282+JL382+JL482+JL582</f>
        <v>-249.92487585313521</v>
      </c>
      <c r="JM682" s="15">
        <f t="shared" si="2101"/>
        <v>6199.0751241468652</v>
      </c>
      <c r="JN682" s="21"/>
      <c r="JO682" s="19">
        <f>INDEX(Input!$1:$1048576,JO$93,$C682*2+6)</f>
        <v>5995.5</v>
      </c>
      <c r="JP682" s="19">
        <f>INDEX(Input!$1:$1048576,JP$93,$C682*2+6)</f>
        <v>2296.6050414551746</v>
      </c>
      <c r="JQ682" s="39">
        <f t="shared" si="2053"/>
        <v>3949.4939288068631</v>
      </c>
      <c r="JR682" s="39">
        <f t="shared" si="2054"/>
        <v>-250.59897026203771</v>
      </c>
      <c r="JS682" s="39">
        <f t="shared" si="2055"/>
        <v>12.683345339786834</v>
      </c>
      <c r="JT682" s="39">
        <f t="shared" si="2056"/>
        <v>-2.1274605725575855</v>
      </c>
      <c r="JU682" s="385">
        <f>(JQ682*JM682-INDEX(Input!$1:$1048576,Input!A$18,$C682*2+6)*JL682*INDEX(Input!$1:$1048576,Input!A$19,$C682*2+6))/1000000</f>
        <v>24.483209567035694</v>
      </c>
      <c r="JV682" s="39">
        <f t="shared" si="2057"/>
        <v>0.62903597938011657</v>
      </c>
      <c r="JW682" s="1">
        <f t="shared" si="2058"/>
        <v>2.6370059606912549E-2</v>
      </c>
      <c r="JX682" s="19">
        <f t="shared" si="2059"/>
        <v>8512.4002374527827</v>
      </c>
      <c r="JZ682" s="341"/>
      <c r="KA682" s="60"/>
      <c r="KB682" s="469">
        <f t="shared" si="2035"/>
        <v>0</v>
      </c>
      <c r="KI682" s="472"/>
      <c r="KJ682" s="472"/>
      <c r="KK682" s="472"/>
      <c r="KN682" s="26">
        <f t="shared" si="2036"/>
        <v>6002</v>
      </c>
      <c r="KO682" s="794">
        <f t="shared" si="2037"/>
        <v>-6.0787251368488948E-2</v>
      </c>
      <c r="KP682" s="795">
        <f t="shared" si="2038"/>
        <v>-419.49730981409687</v>
      </c>
      <c r="KQ682" s="795">
        <f t="shared" si="2039"/>
        <v>-416.82718541200802</v>
      </c>
      <c r="KR682" s="26">
        <f t="shared" si="2040"/>
        <v>2.5390493083813519</v>
      </c>
      <c r="KS682" s="26">
        <f t="shared" si="2041"/>
        <v>2.5553140285188221</v>
      </c>
      <c r="KT682" s="796">
        <f t="shared" si="2049"/>
        <v>4286.2445668946921</v>
      </c>
      <c r="KU682" s="797">
        <f t="shared" si="2042"/>
        <v>4.3591815562638985</v>
      </c>
    </row>
    <row r="683" spans="1:307" s="26" customFormat="1" ht="15" outlineLevel="1">
      <c r="A683" s="561">
        <f t="shared" si="2009"/>
        <v>6083</v>
      </c>
      <c r="B683" s="561">
        <f t="shared" si="2043"/>
        <v>83</v>
      </c>
      <c r="C683" s="561">
        <f t="shared" si="2044"/>
        <v>6</v>
      </c>
      <c r="D683" s="561" t="str">
        <f t="shared" si="1953"/>
        <v xml:space="preserve">250 CC, 0.9/1.9/2.9/3.9, -360 Lease, </v>
      </c>
      <c r="E683" s="475">
        <f>INDEX(Input!$1:$1048576,E$93,$C683*2+MIN($B683,2)+5)
+INDEX(Scenarios!E$121:E$199,MATCH($B683,Scenarios!$B$121:$B$199,0))</f>
        <v>1517.2644913000609</v>
      </c>
      <c r="F683" s="475">
        <f>INDEX(Input!$1:$1048576,F$93,$C683*2+MIN($B683,2)+5)
+INDEX(Scenarios!F$121:F$199,MATCH($B683,Scenarios!$B$121:$B$199,0))</f>
        <v>0</v>
      </c>
      <c r="G683" s="475">
        <f>INDEX(Input!$1:$1048576,G$93,$C683*2+MIN($B683,2)+5)
+INDEX(Scenarios!G$121:G$199,MATCH($B683,Scenarios!$B$121:$B$199,0))</f>
        <v>0</v>
      </c>
      <c r="H683" s="475">
        <f>INDEX(Input!$1:$1048576,H$93,$C683*2+MIN($B683,2)+5)
+INDEX(Scenarios!H$121:H$199,MATCH($B683,Scenarios!$B$121:$B$199,0))</f>
        <v>0</v>
      </c>
      <c r="I683" s="476">
        <f>INDEX(Input!$1:$1048576,I$93,$C683*2+MIN($B683,2)+5)
+INDEX(Scenarios!I$121:I$199,MATCH($B683,Scenarios!$B$121:$B$199,0))</f>
        <v>0.7</v>
      </c>
      <c r="J683" s="476" t="str">
        <f>INDEX(Input!$1:$1048576,J$93,$C683*2+MIN($B683,2)+5)</f>
        <v>Market</v>
      </c>
      <c r="K683" s="476" t="str">
        <f>INDEX(Input!$1:$1048576,K$93,$C683*2+MIN($B683,2)+5)</f>
        <v>Market</v>
      </c>
      <c r="L683" s="476" t="str">
        <f>INDEX(Input!$1:$1048576,L$93,$C683*2+MIN($B683,2)+5)</f>
        <v>Market</v>
      </c>
      <c r="M683" s="476" t="str">
        <f>INDEX(Input!$1:$1048576,M$93,$C683*2+MIN($B683,2)+5)</f>
        <v>Market</v>
      </c>
      <c r="N683" s="476" t="str">
        <f>INDEX(Input!$1:$1048576,N$93,$C683*2+MIN($B683,2)+5)</f>
        <v>Market</v>
      </c>
      <c r="O683" s="476" t="str">
        <f>INDEX(Input!$1:$1048576,O$93,$C683*2+MIN($B683,2)+5)</f>
        <v>Market</v>
      </c>
      <c r="P683" s="476" t="str">
        <f>INDEX(Input!$1:$1048576,P$93,$C683*2+MIN($B683,2)+5)</f>
        <v>N</v>
      </c>
      <c r="Q683" s="477">
        <f>INDEX(Input!$1:$1048576,Q$93,$C683*2+MIN($B683,2)+5)
+INDEX(Scenarios!Q$121:Q$199,MATCH($B683,Scenarios!$B$121:$B$199,0))</f>
        <v>0</v>
      </c>
      <c r="R683" s="478">
        <f>IFERROR(MAX(0,INDEX(Input!$1:$1048576,R$93,$C683*2+MIN($B683,2)+5)
+INDEX(Scenarios!R$121:R$199,MATCH($B683,Scenarios!$B$121:$B$199,0)),),"Market")</f>
        <v>0</v>
      </c>
      <c r="S683" s="478">
        <f>IFERROR(MAX(0,INDEX(Input!$1:$1048576,S$93,$C683*2+MIN($B683,2)+5)
+INDEX(Scenarios!S$121:S$199,MATCH($B683,Scenarios!$B$121:$B$199,0)),),"Market")</f>
        <v>0</v>
      </c>
      <c r="T683" s="478">
        <f>IFERROR(MAX(0,INDEX(Input!$1:$1048576,T$93,$C683*2+MIN($B683,2)+5)
+INDEX(Scenarios!T$121:T$199,MATCH($B683,Scenarios!$B$121:$B$199,0)),),"Market")</f>
        <v>0</v>
      </c>
      <c r="U683" s="478">
        <f>IFERROR(MAX(0,INDEX(Input!$1:$1048576,U$93,$C683*2+MIN($B683,2)+5)
+INDEX(Scenarios!U$121:U$199,MATCH($B683,Scenarios!$B$121:$B$199,0)),),"Market")</f>
        <v>9.0000000000000011E-3</v>
      </c>
      <c r="V683" s="478">
        <f>IFERROR(MAX(0,INDEX(Input!$1:$1048576,V$93,$C683*2+MIN($B683,2)+5)
+INDEX(Scenarios!V$121:V$199,MATCH($B683,Scenarios!$B$121:$B$199,0)),),"Market")</f>
        <v>2.8999999999999998E-2</v>
      </c>
      <c r="W683" s="885">
        <f>IFERROR(MAX(0,INDEX(Input!$1:$1048576,W$93,$C683*2+MIN($B683,2)+5)-0%),"Market")</f>
        <v>3.9E-2</v>
      </c>
      <c r="X683" s="476" t="str">
        <f>INDEX(Input!$1:$1048576,X$93,$C683*2+MIN($B683,2)+5)</f>
        <v>Y</v>
      </c>
      <c r="Y683" s="475">
        <f>INDEX(Input!$1:$1048576,Y$93,$C683*2+MIN($B683,2)+5)
++INDEX(Scenarios!Y$121:Y$199,MATCH($B683,Scenarios!$B$121:$B$199,0))</f>
        <v>377.99367635402496</v>
      </c>
      <c r="Z683" s="477">
        <f>INDEX(Input!$1:$1048576,Z$93,$C683*2+MIN($B683,2)+5)
+INDEX(Scenarios!Z$121:Z$199,MATCH($B683,Scenarios!$B$121:$B$199,0))</f>
        <v>0</v>
      </c>
      <c r="AA683" s="475">
        <f>INDEX(Input!$1:$1048576,AA$93,$C683*2+MIN($B683,2)+5)</f>
        <v>0</v>
      </c>
      <c r="AB683" s="476">
        <f>INDEX(Input!$1:$1048576,AB$93,$C683*2+MIN($B683,2)+5)</f>
        <v>0.27</v>
      </c>
      <c r="AC683" s="475">
        <f>INDEX(Input!$1:$1048576,AC$93,$C683*2+MIN($B683,2)+5)
+INDEX(Scenarios!AC$121:AC$199,MATCH($B683,Scenarios!$B$121:$B$199,0))</f>
        <v>0</v>
      </c>
      <c r="AD683" s="476">
        <f>INDEX(Input!$1:$1048576,AD$93,$C683*2+MIN($B683,2)+5)</f>
        <v>0.27</v>
      </c>
      <c r="AE683" s="475">
        <f>INDEX(Input!$1:$1048576,AE$93,$C683*2+MIN($B683,2)+5)
+INDEX(Scenarios!AE$121:AE$199,MATCH($B683,Scenarios!$B$121:$B$199,0))</f>
        <v>0</v>
      </c>
      <c r="AF683" s="476">
        <f>INDEX(Input!$1:$1048576,AF$93,$C683*2+MIN($B683,2)+5)</f>
        <v>1</v>
      </c>
      <c r="AG683" s="475">
        <f>INDEX(Input!$1:$1048576,AG$93,$C683*2+MIN($B683,2)+5)</f>
        <v>500</v>
      </c>
      <c r="AH683" s="476">
        <f>INDEX(Input!$1:$1048576,AH$93,$C683*2+MIN($B683,2)+5)</f>
        <v>1</v>
      </c>
      <c r="AI683" s="475">
        <f>INDEX(Input!$1:$1048576,AI$93,$C683*2+MIN($B683,2)+5)</f>
        <v>0</v>
      </c>
      <c r="AJ683" s="476">
        <f>INDEX(Input!$1:$1048576,AJ$93,$C683*2+MIN($B683,2)+5)</f>
        <v>0.27</v>
      </c>
      <c r="AK683" s="150">
        <f>ROUND(INDEX(Input!$1:$1048576,AK$93,$C682*2+MIN($B683,1)+5)+(Y683-VLOOKUP($C683*1000+1,$A:$HH,Y$92,FALSE)),0)</f>
        <v>2701</v>
      </c>
      <c r="AL683" s="150">
        <f>ROUND(INDEX(Input!$1:$1048576,AL$93,$C682*2+MIN($B683,1)+5)-(Y683-VLOOKUP($C683*1000+1,$A:$HH,Y$92,FALSE))/36,0)</f>
        <v>3562</v>
      </c>
      <c r="AM683" s="32" t="str">
        <f t="shared" si="2010"/>
        <v>std/std/std/std</v>
      </c>
      <c r="AN683" s="32" t="str">
        <f t="shared" si="2011"/>
        <v>$0 + 0/0/0.9/2.9/3.9</v>
      </c>
      <c r="AO683" s="32" t="str">
        <f t="shared" si="2012"/>
        <v>0/0/0.9/2.9/3.9</v>
      </c>
      <c r="AP683" s="32" t="str">
        <f t="shared" si="1990"/>
        <v>0.9/1.9/2.9/3.9</v>
      </c>
      <c r="AQ683" s="536" t="e">
        <f t="shared" si="1991"/>
        <v>#DIV/0!</v>
      </c>
      <c r="AR683" s="32"/>
      <c r="AS683" s="302"/>
      <c r="AT683" s="3">
        <f t="shared" si="2045"/>
        <v>83</v>
      </c>
      <c r="AU683" s="41" t="s">
        <v>121</v>
      </c>
      <c r="AV683" s="41" t="s">
        <v>116</v>
      </c>
      <c r="AW683" s="41" t="str">
        <f>INDEX(Input!$1:$1048576,AW$93,$C683*2+6)</f>
        <v>Kia</v>
      </c>
      <c r="AX683" s="41" t="str">
        <f>INDEX(Input!$1:$1048576,AX$93,$C683*2+6)</f>
        <v>National</v>
      </c>
      <c r="AY683" s="41" t="str">
        <f>IF(LEN(D683)=0,"",INDEX(Input!$1:$1048576,AY$93,$C683*2+6))</f>
        <v>Compact SUV (52)</v>
      </c>
      <c r="AZ683" s="41" t="str">
        <f>INDEX(Input!$1:$1048576,AZ$93,$C683*2+6)</f>
        <v>Kia Soul</v>
      </c>
      <c r="BA683" s="3">
        <f>INDEX(Input!$1:$1048576,BA$93,$C683*2+6)</f>
        <v>2020</v>
      </c>
      <c r="BB683" s="128">
        <f>INDEX(Input!$1:$1048576,BB$93,$C683*2+6)</f>
        <v>1</v>
      </c>
      <c r="BC683" s="128">
        <f>INDEX(Input!$1:$1048576,BC$93,$C683*2+6)</f>
        <v>0.7</v>
      </c>
      <c r="BD683" s="1">
        <f>INDEX(Input!$1:$1048576,BD$93,$C683*2+6)</f>
        <v>4.4999999999999998E-2</v>
      </c>
      <c r="BE683" s="1">
        <f>INDEX(Input!$1:$1048576,BE$93,$C683*2+6)</f>
        <v>4.4999999999999998E-2</v>
      </c>
      <c r="BF683" s="1">
        <f>INDEX(Input!$1:$1048576,BF$93,$C683*2+6)</f>
        <v>0.05</v>
      </c>
      <c r="BG683" s="1">
        <f>INDEX(Input!$1:$1048576,BG$93,$C683*2+6)</f>
        <v>5.45E-2</v>
      </c>
      <c r="BH683" s="1">
        <f>INDEX(Input!$1:$1048576,BH$93,$C683*2+6)</f>
        <v>5.45E-2</v>
      </c>
      <c r="BI683" s="1">
        <f>INDEX(Input!$1:$1048576,BI$93,$C683*2+6)</f>
        <v>0.05</v>
      </c>
      <c r="BJ683" s="1">
        <f>INDEX(Input!$1:$1048576,BJ$93,$C683*2+6)</f>
        <v>0.05</v>
      </c>
      <c r="BK683" s="1">
        <f>INDEX(Input!$1:$1048576,BK$93,$C683*2+6)</f>
        <v>0.05</v>
      </c>
      <c r="BL683" s="1">
        <f>INDEX(Input!$1:$1048576,BL$93,$C683*2+6)</f>
        <v>5.5E-2</v>
      </c>
      <c r="BM683" s="1">
        <f>INDEX(Input!$1:$1048576,BM$93,$C683*2+6)</f>
        <v>0.06</v>
      </c>
      <c r="BN683" s="1">
        <f>INDEX(Input!$1:$1048576,BN$93,$C683*2+6)</f>
        <v>4.4999999999999998E-2</v>
      </c>
      <c r="BO683" s="1">
        <f>INDEX(Input!$1:$1048576,BO$93,$C683*2+6)</f>
        <v>4.4999999999999998E-2</v>
      </c>
      <c r="BP683" s="1">
        <f>INDEX(Input!$1:$1048576,BP$93,$C683*2+6)</f>
        <v>0.05</v>
      </c>
      <c r="BQ683" s="1">
        <f>INDEX(Input!$1:$1048576,BQ$93,$C683*2+6)</f>
        <v>5.45E-2</v>
      </c>
      <c r="BR683" s="1">
        <f>INDEX(Input!$1:$1048576,BR$93,$C683*2+6)</f>
        <v>5.45E-2</v>
      </c>
      <c r="BS683" s="1">
        <f>INDEX(Input!$1:$1048576,BS$93,$C683*2+6)</f>
        <v>0.05</v>
      </c>
      <c r="BT683" s="1">
        <f>INDEX(Input!$1:$1048576,BT$93,$C683*2+6)</f>
        <v>0.05</v>
      </c>
      <c r="BU683" s="1">
        <f>INDEX(Input!$1:$1048576,BU$93,$C683*2+6)</f>
        <v>0.05</v>
      </c>
      <c r="BV683" s="1">
        <f>INDEX(Input!$1:$1048576,BV$93,$C683*2+6)</f>
        <v>5.5E-2</v>
      </c>
      <c r="BW683" s="1">
        <f>INDEX(Input!$1:$1048576,BW$93,$C683*2+6)</f>
        <v>0.06</v>
      </c>
      <c r="BX683" s="127">
        <f>INDEX(Input!$1:$1048576,BX$93,$C683*2+6)</f>
        <v>19985</v>
      </c>
      <c r="BY683" s="20">
        <f>INDEX(Input!$1:$1048576,BY$93,$C683*2+6)</f>
        <v>0.1</v>
      </c>
      <c r="BZ683" s="20">
        <f>INDEX(Input!$1:$1048576,BZ$93,$C683*2+6)</f>
        <v>0.1</v>
      </c>
      <c r="CA683" s="20">
        <f>INDEX(Input!$1:$1048576,CA$93,$C683*2+6)</f>
        <v>0.1</v>
      </c>
      <c r="CB683" s="20">
        <f>INDEX(Input!$1:$1048576,CB$93,$C683*2+6)</f>
        <v>0.1</v>
      </c>
      <c r="CC683" s="20">
        <f>INDEX(Input!$1:$1048576,CC$93,$C683*2+6)</f>
        <v>0.1</v>
      </c>
      <c r="CD683" s="384">
        <f>INDEX(Input!$1:$1048576,CD$93,$C683*2+6)</f>
        <v>0.1</v>
      </c>
      <c r="CE683" s="384">
        <f>INDEX(Input!$1:$1048576,CE$93,$C683*2+6)</f>
        <v>0.1</v>
      </c>
      <c r="CF683" s="384">
        <f>INDEX(Input!$1:$1048576,CF$93,$C683*2+6)</f>
        <v>0.1</v>
      </c>
      <c r="CG683" s="384">
        <f>INDEX(Input!$1:$1048576,CG$93,$C683*2+6)</f>
        <v>0.1</v>
      </c>
      <c r="CH683" s="384">
        <f>INDEX(Input!$1:$1048576,CH$93,$C683*2+6)</f>
        <v>0.1</v>
      </c>
      <c r="CI683" s="304">
        <f t="shared" si="1992"/>
        <v>1517.2644913000609</v>
      </c>
      <c r="CJ683" s="16" t="str">
        <f>INDEX(Input!$1:$1048576,CJ$93,$C683*2+6)</f>
        <v>N</v>
      </c>
      <c r="CK683" s="1" t="str">
        <f t="shared" si="1993"/>
        <v>Market</v>
      </c>
      <c r="CL683" s="1" t="str">
        <f t="shared" si="1994"/>
        <v>Market</v>
      </c>
      <c r="CM683" s="1" t="str">
        <f t="shared" si="1995"/>
        <v>Market</v>
      </c>
      <c r="CN683" s="1" t="str">
        <f t="shared" si="1996"/>
        <v>Market</v>
      </c>
      <c r="CO683" s="1" t="str">
        <f t="shared" si="1997"/>
        <v>Market</v>
      </c>
      <c r="CP683" s="304">
        <f t="shared" si="1998"/>
        <v>500</v>
      </c>
      <c r="CQ683" s="1">
        <f t="shared" si="1999"/>
        <v>0</v>
      </c>
      <c r="CR683" s="1">
        <f t="shared" si="2000"/>
        <v>0</v>
      </c>
      <c r="CS683" s="1">
        <f t="shared" si="2001"/>
        <v>9.0000000000000011E-3</v>
      </c>
      <c r="CT683" s="1">
        <f t="shared" si="2002"/>
        <v>2.8999999999999998E-2</v>
      </c>
      <c r="CU683" s="1">
        <f t="shared" si="2003"/>
        <v>3.9E-2</v>
      </c>
      <c r="CV683" s="304">
        <f t="shared" si="2004"/>
        <v>377.99367635402496</v>
      </c>
      <c r="CW683" s="20" t="s">
        <v>122</v>
      </c>
      <c r="CX683" s="20" t="s">
        <v>122</v>
      </c>
      <c r="CY683" s="20" t="s">
        <v>122</v>
      </c>
      <c r="CZ683" s="20" t="s">
        <v>122</v>
      </c>
      <c r="DA683" s="20" t="s">
        <v>122</v>
      </c>
      <c r="DB683" s="503">
        <f t="shared" si="2005"/>
        <v>0</v>
      </c>
      <c r="DC683" s="127">
        <v>0</v>
      </c>
      <c r="DD683" s="127">
        <v>0</v>
      </c>
      <c r="DE683" s="127">
        <v>0</v>
      </c>
      <c r="DF683" s="127">
        <v>0</v>
      </c>
      <c r="DG683" s="127">
        <v>0</v>
      </c>
      <c r="DH683" s="127">
        <v>0</v>
      </c>
      <c r="DI683" s="127">
        <v>0</v>
      </c>
      <c r="DJ683" s="127">
        <v>0</v>
      </c>
      <c r="DK683" s="127">
        <v>0</v>
      </c>
      <c r="DL683" s="127">
        <v>0</v>
      </c>
      <c r="DM683" s="304">
        <f>INDEX(Input!$1:$1048576,DM$93,$C683*2+6)</f>
        <v>21036.84210526316</v>
      </c>
      <c r="DN683" s="20">
        <v>0</v>
      </c>
      <c r="DO683" s="20">
        <v>0</v>
      </c>
      <c r="DP683" s="20">
        <v>0</v>
      </c>
      <c r="DQ683" s="20">
        <v>0</v>
      </c>
      <c r="DR683" s="20">
        <v>0</v>
      </c>
      <c r="DS683" s="20">
        <f>INDEX(Input!$1:$1048576,DS$93,$C683*2+6)</f>
        <v>0.6</v>
      </c>
      <c r="DT683" s="20">
        <f>INDEX(Input!$1:$1048576,DT$93,$C683*2+6)</f>
        <v>0.55000000000000004</v>
      </c>
      <c r="DU683" s="20">
        <f>INDEX(Input!$1:$1048576,DU$93,$C683*2+6)</f>
        <v>0.52</v>
      </c>
      <c r="DV683" s="20">
        <f>INDEX(Input!$1:$1048576,DV$93,$C683*2+6)</f>
        <v>0.5</v>
      </c>
      <c r="DW683" s="20">
        <f>INDEX(Input!$1:$1048576,DW$93,$C683*2+6)</f>
        <v>0.45</v>
      </c>
      <c r="DX683" s="20"/>
      <c r="DY683" s="7"/>
      <c r="DZ683" s="7"/>
      <c r="EA683" s="7"/>
      <c r="EB683" s="7"/>
      <c r="EC683" s="7"/>
      <c r="ED683" s="7"/>
      <c r="EE683" s="7"/>
      <c r="EF683" s="7"/>
      <c r="EG683" s="7"/>
      <c r="EH683" s="7"/>
      <c r="EI683" s="7"/>
      <c r="EJ683" s="7"/>
      <c r="EK683" s="7"/>
      <c r="EL683" s="7"/>
      <c r="EM683" s="7"/>
      <c r="EN683" s="7"/>
      <c r="EO683" s="7"/>
      <c r="EP683" s="7"/>
      <c r="EQ683" s="7"/>
      <c r="ER683" s="7"/>
      <c r="ES683" s="7"/>
      <c r="ET683" s="7"/>
      <c r="EU683" s="6"/>
      <c r="EV683" s="6"/>
      <c r="EW683" s="6"/>
      <c r="EX683" s="6"/>
      <c r="EY683" s="6"/>
      <c r="EZ683" s="6"/>
      <c r="FA683" s="6"/>
      <c r="FB683" s="6"/>
      <c r="FC683" s="6"/>
      <c r="FD683" s="6"/>
      <c r="FE683" s="6"/>
      <c r="FF683" s="6"/>
      <c r="FG683" s="6"/>
      <c r="FH683" s="6"/>
      <c r="FI683" s="6"/>
      <c r="FJ683" s="6"/>
      <c r="FK683" s="6"/>
      <c r="FL683" s="6"/>
      <c r="FM683" s="6"/>
      <c r="FN683" s="6"/>
      <c r="FO683" s="6"/>
      <c r="FP683" s="6"/>
      <c r="FQ683" s="6"/>
      <c r="FR683" s="6"/>
      <c r="FS683" s="6"/>
      <c r="FT683" s="7"/>
      <c r="FU683" s="7"/>
      <c r="FV683" s="7"/>
      <c r="FW683" s="6"/>
      <c r="FX683" s="6"/>
      <c r="FY683" s="6"/>
      <c r="FZ683" s="6"/>
      <c r="GA683" s="6"/>
      <c r="GB683" s="6"/>
      <c r="GC683" s="7"/>
      <c r="GD683" s="7"/>
      <c r="GE683" s="7"/>
      <c r="GF683" s="7"/>
      <c r="GG683" s="7"/>
      <c r="GH683" s="42"/>
      <c r="GI683" s="6"/>
      <c r="GJ683" s="14"/>
      <c r="GK683" s="14"/>
      <c r="GL683" s="14"/>
      <c r="GM683" s="14"/>
      <c r="GO683" s="5"/>
      <c r="GP683" s="5"/>
      <c r="GQ683" s="5"/>
      <c r="GR683" s="5"/>
      <c r="GS683" s="5"/>
      <c r="GT683" s="5"/>
      <c r="GU683" s="5"/>
      <c r="GV683" s="39"/>
      <c r="GW683" s="5"/>
      <c r="GX683" s="5"/>
      <c r="GY683" s="5"/>
      <c r="GZ683" s="5"/>
      <c r="HA683" s="5"/>
      <c r="HB683" s="39"/>
      <c r="HC683" s="5"/>
      <c r="HD683" s="5"/>
      <c r="HE683" s="5"/>
      <c r="HF683" s="5"/>
      <c r="HG683" s="5"/>
      <c r="HH683" s="39"/>
      <c r="HI683" s="16"/>
      <c r="HJ683" s="19"/>
      <c r="HK683" s="1"/>
      <c r="HL683" s="16"/>
      <c r="HM683" s="639">
        <f t="shared" si="2013"/>
        <v>2.39873503933133E-2</v>
      </c>
      <c r="HN683" s="639">
        <f t="shared" si="2014"/>
        <v>1.4423947706617038E-3</v>
      </c>
      <c r="HO683" s="639">
        <f t="shared" si="2015"/>
        <v>3.4222514943567056E-3</v>
      </c>
      <c r="HP683" s="644">
        <f t="shared" ref="HP683:ID683" si="2102">HP183+HP283+HP383+HP483+HP583</f>
        <v>-547.90802133252805</v>
      </c>
      <c r="HQ683" s="644">
        <f t="shared" si="2102"/>
        <v>-143.36905236791992</v>
      </c>
      <c r="HR683" s="644">
        <f t="shared" si="2102"/>
        <v>-338.85700529121902</v>
      </c>
      <c r="HS683" s="644" t="e">
        <f t="shared" si="2102"/>
        <v>#DIV/0!</v>
      </c>
      <c r="HT683" s="644" t="e">
        <f t="shared" si="2102"/>
        <v>#DIV/0!</v>
      </c>
      <c r="HU683" s="644" t="e">
        <f t="shared" si="2102"/>
        <v>#DIV/0!</v>
      </c>
      <c r="HV683" s="644" t="e">
        <f t="shared" si="2102"/>
        <v>#DIV/0!</v>
      </c>
      <c r="HW683" s="644" t="e">
        <f t="shared" si="2102"/>
        <v>#DIV/0!</v>
      </c>
      <c r="HX683" s="644" t="e">
        <f t="shared" si="2102"/>
        <v>#DIV/0!</v>
      </c>
      <c r="HY683" s="644">
        <f t="shared" si="2102"/>
        <v>2286</v>
      </c>
      <c r="HZ683" s="644">
        <f t="shared" si="2102"/>
        <v>3066</v>
      </c>
      <c r="IA683" s="644">
        <f t="shared" si="2102"/>
        <v>651</v>
      </c>
      <c r="IB683" s="644" t="e">
        <f t="shared" si="2102"/>
        <v>#DIV/0!</v>
      </c>
      <c r="IC683" s="644" t="e">
        <f t="shared" si="2102"/>
        <v>#DIV/0!</v>
      </c>
      <c r="ID683" s="644" t="e">
        <f t="shared" si="2102"/>
        <v>#DIV/0!</v>
      </c>
      <c r="IE683" s="20" t="e">
        <f t="shared" si="2017"/>
        <v>#DIV/0!</v>
      </c>
      <c r="IF683" s="20" t="e">
        <f t="shared" si="2018"/>
        <v>#DIV/0!</v>
      </c>
      <c r="IG683" s="20" t="e">
        <f t="shared" si="2019"/>
        <v>#DIV/0!</v>
      </c>
      <c r="IH683" s="21"/>
      <c r="II683" s="19"/>
      <c r="IJ683" s="19"/>
      <c r="IK683" s="19"/>
      <c r="IL683" s="19">
        <f t="shared" si="2020"/>
        <v>-1567.8534558180227</v>
      </c>
      <c r="IM683" s="19">
        <f t="shared" si="2021"/>
        <v>-2426.7526034149773</v>
      </c>
      <c r="IN683" s="19">
        <f t="shared" si="2022"/>
        <v>-3888.4276292924505</v>
      </c>
      <c r="IO683" s="39"/>
      <c r="IP683" s="39"/>
      <c r="IQ683" s="39"/>
      <c r="IR683" s="39"/>
      <c r="IS683" s="39"/>
      <c r="IT683" s="39"/>
      <c r="IU683" s="39"/>
      <c r="IV683" s="39"/>
      <c r="IW683" s="39"/>
      <c r="IX683" s="19">
        <f t="shared" si="2023"/>
        <v>1567.8534558180227</v>
      </c>
      <c r="IY683" s="19">
        <f t="shared" si="2024"/>
        <v>2426.7526034149773</v>
      </c>
      <c r="IZ683" s="19">
        <f t="shared" si="2025"/>
        <v>3888.4276292924505</v>
      </c>
      <c r="JA683" s="19">
        <f t="shared" ref="JA683:JC683" si="2103">IFERROR((JA183*IB183+JA283*IB283+JA383*IB383+JA483*IB483+JA583*IB583)/IB683,0)</f>
        <v>0</v>
      </c>
      <c r="JB683" s="19">
        <f t="shared" si="2103"/>
        <v>0</v>
      </c>
      <c r="JC683" s="19">
        <f t="shared" si="2103"/>
        <v>0</v>
      </c>
      <c r="JD683" s="19" t="e">
        <f t="shared" si="2027"/>
        <v>#DIV/0!</v>
      </c>
      <c r="JE683" s="21"/>
      <c r="JF683" s="1">
        <f t="shared" si="2028"/>
        <v>2.7872098476986788E-2</v>
      </c>
      <c r="JG683" s="15">
        <f t="shared" si="2029"/>
        <v>6003</v>
      </c>
      <c r="JH683" s="1">
        <f t="shared" si="2030"/>
        <v>-0.17160321155949812</v>
      </c>
      <c r="JI683" s="1" t="e">
        <f t="shared" si="2031"/>
        <v>#DIV/0!</v>
      </c>
      <c r="JJ683" s="1" t="e">
        <f t="shared" si="2032"/>
        <v>#DIV/0!</v>
      </c>
      <c r="JK683" s="1" t="e">
        <f t="shared" si="2033"/>
        <v>#DIV/0!</v>
      </c>
      <c r="JL683" s="15" t="e">
        <f t="shared" ref="JL683:JM683" si="2104">JL183+JL283+JL383+JL483+JL583</f>
        <v>#DIV/0!</v>
      </c>
      <c r="JM683" s="15" t="e">
        <f t="shared" si="2104"/>
        <v>#DIV/0!</v>
      </c>
      <c r="JN683" s="21"/>
      <c r="JO683" s="19">
        <f>INDEX(Input!$1:$1048576,JO$93,$C683*2+6)</f>
        <v>5995.5</v>
      </c>
      <c r="JP683" s="19">
        <f>INDEX(Input!$1:$1048576,JP$93,$C683*2+6)</f>
        <v>2296.6050414551746</v>
      </c>
      <c r="JQ683" s="39" t="e">
        <f t="shared" si="2053"/>
        <v>#DIV/0!</v>
      </c>
      <c r="JR683" s="39" t="e">
        <f t="shared" si="2054"/>
        <v>#DIV/0!</v>
      </c>
      <c r="JS683" s="39" t="e">
        <f t="shared" si="2055"/>
        <v>#DIV/0!</v>
      </c>
      <c r="JT683" s="39" t="e">
        <f t="shared" si="2056"/>
        <v>#DIV/0!</v>
      </c>
      <c r="JU683" s="385" t="e">
        <f>(JQ683*JM683-INDEX(Input!$1:$1048576,Input!A$18,$C683*2+6)*JL683*INDEX(Input!$1:$1048576,Input!A$19,$C683*2+6))/1000000</f>
        <v>#DIV/0!</v>
      </c>
      <c r="JV683" s="39" t="e">
        <f t="shared" si="2057"/>
        <v>#DIV/0!</v>
      </c>
      <c r="JW683" s="1" t="e">
        <f t="shared" si="2058"/>
        <v>#DIV/0!</v>
      </c>
      <c r="JX683" s="19" t="e">
        <f t="shared" si="2059"/>
        <v>#DIV/0!</v>
      </c>
      <c r="JZ683" s="341"/>
      <c r="KA683" s="60"/>
      <c r="KB683" s="469">
        <f t="shared" si="2035"/>
        <v>0</v>
      </c>
      <c r="KI683" s="472"/>
      <c r="KJ683" s="472"/>
      <c r="KK683" s="472"/>
      <c r="KN683" s="26">
        <f t="shared" si="2036"/>
        <v>6002</v>
      </c>
      <c r="KO683" s="794" t="e">
        <f t="shared" si="2037"/>
        <v>#DIV/0!</v>
      </c>
      <c r="KP683" s="795" t="e">
        <f t="shared" si="2038"/>
        <v>#DIV/0!</v>
      </c>
      <c r="KQ683" s="795" t="e">
        <f t="shared" si="2039"/>
        <v>#DIV/0!</v>
      </c>
      <c r="KR683" s="26" t="e">
        <f t="shared" si="2040"/>
        <v>#DIV/0!</v>
      </c>
      <c r="KS683" s="26" t="e">
        <f t="shared" si="2041"/>
        <v>#DIV/0!</v>
      </c>
      <c r="KT683" s="796">
        <f t="shared" si="2049"/>
        <v>4286.2445668946921</v>
      </c>
      <c r="KU683" s="797">
        <f t="shared" si="2042"/>
        <v>0</v>
      </c>
    </row>
    <row r="684" spans="1:307" s="26" customFormat="1" ht="15" outlineLevel="1">
      <c r="A684" s="561">
        <f t="shared" si="2009"/>
        <v>6084</v>
      </c>
      <c r="B684" s="561">
        <f t="shared" si="2043"/>
        <v>84</v>
      </c>
      <c r="C684" s="561">
        <f t="shared" si="2044"/>
        <v>6</v>
      </c>
      <c r="D684" s="561" t="str">
        <f t="shared" si="1953"/>
        <v xml:space="preserve">250 CC, 0.9/1.9/2.9/3.9, </v>
      </c>
      <c r="E684" s="475">
        <f>INDEX(Input!$1:$1048576,E$93,$C684*2+MIN($B684,2)+5)
+INDEX(Scenarios!E$121:E$199,MATCH($B684,Scenarios!$B$121:$B$199,0))</f>
        <v>1517.2644913000609</v>
      </c>
      <c r="F684" s="475">
        <f>INDEX(Input!$1:$1048576,F$93,$C684*2+MIN($B684,2)+5)
+INDEX(Scenarios!F$121:F$199,MATCH($B684,Scenarios!$B$121:$B$199,0))</f>
        <v>0</v>
      </c>
      <c r="G684" s="475">
        <f>INDEX(Input!$1:$1048576,G$93,$C684*2+MIN($B684,2)+5)
+INDEX(Scenarios!G$121:G$199,MATCH($B684,Scenarios!$B$121:$B$199,0))</f>
        <v>0</v>
      </c>
      <c r="H684" s="475">
        <f>INDEX(Input!$1:$1048576,H$93,$C684*2+MIN($B684,2)+5)
+INDEX(Scenarios!H$121:H$199,MATCH($B684,Scenarios!$B$121:$B$199,0))</f>
        <v>0</v>
      </c>
      <c r="I684" s="476">
        <f>INDEX(Input!$1:$1048576,I$93,$C684*2+MIN($B684,2)+5)
+INDEX(Scenarios!I$121:I$199,MATCH($B684,Scenarios!$B$121:$B$199,0))</f>
        <v>0.7</v>
      </c>
      <c r="J684" s="476" t="str">
        <f>INDEX(Input!$1:$1048576,J$93,$C684*2+MIN($B684,2)+5)</f>
        <v>Market</v>
      </c>
      <c r="K684" s="476" t="str">
        <f>INDEX(Input!$1:$1048576,K$93,$C684*2+MIN($B684,2)+5)</f>
        <v>Market</v>
      </c>
      <c r="L684" s="476" t="str">
        <f>INDEX(Input!$1:$1048576,L$93,$C684*2+MIN($B684,2)+5)</f>
        <v>Market</v>
      </c>
      <c r="M684" s="476" t="str">
        <f>INDEX(Input!$1:$1048576,M$93,$C684*2+MIN($B684,2)+5)</f>
        <v>Market</v>
      </c>
      <c r="N684" s="476" t="str">
        <f>INDEX(Input!$1:$1048576,N$93,$C684*2+MIN($B684,2)+5)</f>
        <v>Market</v>
      </c>
      <c r="O684" s="476" t="str">
        <f>INDEX(Input!$1:$1048576,O$93,$C684*2+MIN($B684,2)+5)</f>
        <v>Market</v>
      </c>
      <c r="P684" s="476" t="str">
        <f>INDEX(Input!$1:$1048576,P$93,$C684*2+MIN($B684,2)+5)</f>
        <v>N</v>
      </c>
      <c r="Q684" s="477">
        <f>INDEX(Input!$1:$1048576,Q$93,$C684*2+MIN($B684,2)+5)
+INDEX(Scenarios!Q$121:Q$199,MATCH($B684,Scenarios!$B$121:$B$199,0))</f>
        <v>0</v>
      </c>
      <c r="R684" s="478">
        <f>IFERROR(MAX(0,INDEX(Input!$1:$1048576,R$93,$C684*2+MIN($B684,2)+5)
+INDEX(Scenarios!R$121:R$199,MATCH($B684,Scenarios!$B$121:$B$199,0)),),"Market")</f>
        <v>9.0000000000000011E-3</v>
      </c>
      <c r="S684" s="478">
        <f>IFERROR(MAX(0,INDEX(Input!$1:$1048576,S$93,$C684*2+MIN($B684,2)+5)
+INDEX(Scenarios!S$121:S$199,MATCH($B684,Scenarios!$B$121:$B$199,0)),),"Market")</f>
        <v>9.0000000000000011E-3</v>
      </c>
      <c r="T684" s="478">
        <f>IFERROR(MAX(0,INDEX(Input!$1:$1048576,T$93,$C684*2+MIN($B684,2)+5)
+INDEX(Scenarios!T$121:T$199,MATCH($B684,Scenarios!$B$121:$B$199,0)),),"Market")</f>
        <v>9.0000000000000011E-3</v>
      </c>
      <c r="U684" s="478">
        <f>IFERROR(MAX(0,INDEX(Input!$1:$1048576,U$93,$C684*2+MIN($B684,2)+5)
+INDEX(Scenarios!U$121:U$199,MATCH($B684,Scenarios!$B$121:$B$199,0)),),"Market")</f>
        <v>9.0000000000000011E-3</v>
      </c>
      <c r="V684" s="478">
        <f>IFERROR(MAX(0,INDEX(Input!$1:$1048576,V$93,$C684*2+MIN($B684,2)+5)
+INDEX(Scenarios!V$121:V$199,MATCH($B684,Scenarios!$B$121:$B$199,0)),),"Market")</f>
        <v>2.8999999999999998E-2</v>
      </c>
      <c r="W684" s="885">
        <f>IFERROR(MAX(0,INDEX(Input!$1:$1048576,W$93,$C684*2+MIN($B684,2)+5)-0%),"Market")</f>
        <v>3.9E-2</v>
      </c>
      <c r="X684" s="476" t="str">
        <f>INDEX(Input!$1:$1048576,X$93,$C684*2+MIN($B684,2)+5)</f>
        <v>Y</v>
      </c>
      <c r="Y684" s="475">
        <f>INDEX(Input!$1:$1048576,Y$93,$C684*2+MIN($B684,2)+5)
++INDEX(Scenarios!Y$121:Y$199,MATCH($B684,Scenarios!$B$121:$B$199,0))</f>
        <v>737.99367635402496</v>
      </c>
      <c r="Z684" s="477">
        <f>INDEX(Input!$1:$1048576,Z$93,$C684*2+MIN($B684,2)+5)
+INDEX(Scenarios!Z$121:Z$199,MATCH($B684,Scenarios!$B$121:$B$199,0))</f>
        <v>0</v>
      </c>
      <c r="AA684" s="475">
        <f>INDEX(Input!$1:$1048576,AA$93,$C684*2+MIN($B684,2)+5)</f>
        <v>0</v>
      </c>
      <c r="AB684" s="476">
        <f>INDEX(Input!$1:$1048576,AB$93,$C684*2+MIN($B684,2)+5)</f>
        <v>0.27</v>
      </c>
      <c r="AC684" s="475">
        <f>INDEX(Input!$1:$1048576,AC$93,$C684*2+MIN($B684,2)+5)
+INDEX(Scenarios!AC$121:AC$199,MATCH($B684,Scenarios!$B$121:$B$199,0))</f>
        <v>0</v>
      </c>
      <c r="AD684" s="476">
        <f>INDEX(Input!$1:$1048576,AD$93,$C684*2+MIN($B684,2)+5)</f>
        <v>0.27</v>
      </c>
      <c r="AE684" s="475">
        <f>INDEX(Input!$1:$1048576,AE$93,$C684*2+MIN($B684,2)+5)
+INDEX(Scenarios!AE$121:AE$199,MATCH($B684,Scenarios!$B$121:$B$199,0))</f>
        <v>0</v>
      </c>
      <c r="AF684" s="476">
        <f>INDEX(Input!$1:$1048576,AF$93,$C684*2+MIN($B684,2)+5)</f>
        <v>1</v>
      </c>
      <c r="AG684" s="475">
        <f>INDEX(Input!$1:$1048576,AG$93,$C684*2+MIN($B684,2)+5)</f>
        <v>500</v>
      </c>
      <c r="AH684" s="476">
        <f>INDEX(Input!$1:$1048576,AH$93,$C684*2+MIN($B684,2)+5)</f>
        <v>1</v>
      </c>
      <c r="AI684" s="475">
        <f>INDEX(Input!$1:$1048576,AI$93,$C684*2+MIN($B684,2)+5)</f>
        <v>0</v>
      </c>
      <c r="AJ684" s="476">
        <f>INDEX(Input!$1:$1048576,AJ$93,$C684*2+MIN($B684,2)+5)</f>
        <v>0.27</v>
      </c>
      <c r="AK684" s="150">
        <f>ROUND(INDEX(Input!$1:$1048576,AK$93,$C683*2+MIN($B684,1)+5)+(Y684-VLOOKUP($C684*1000+1,$A:$HH,Y$92,FALSE)),0)</f>
        <v>3061</v>
      </c>
      <c r="AL684" s="150">
        <f>ROUND(INDEX(Input!$1:$1048576,AL$93,$C683*2+MIN($B684,1)+5)-(Y684-VLOOKUP($C684*1000+1,$A:$HH,Y$92,FALSE))/36,0)</f>
        <v>3552</v>
      </c>
      <c r="AM684" s="32" t="str">
        <f t="shared" si="2010"/>
        <v>std/std/std/std</v>
      </c>
      <c r="AN684" s="32" t="str">
        <f t="shared" si="2011"/>
        <v>$0 + 0.9/0.9/0.9/2.9/3.9</v>
      </c>
      <c r="AO684" s="32" t="str">
        <f t="shared" si="2012"/>
        <v>0.9/0.9/0.9/2.9/3.9</v>
      </c>
      <c r="AP684" s="32" t="str">
        <f t="shared" si="1990"/>
        <v>0.9/1.9/2.9/3.9</v>
      </c>
      <c r="AQ684" s="536">
        <f t="shared" si="1991"/>
        <v>0.45980047170024696</v>
      </c>
      <c r="AR684" s="32"/>
      <c r="AS684" s="302"/>
      <c r="AT684" s="3">
        <f t="shared" si="2045"/>
        <v>84</v>
      </c>
      <c r="AU684" s="41" t="s">
        <v>121</v>
      </c>
      <c r="AV684" s="41" t="s">
        <v>116</v>
      </c>
      <c r="AW684" s="41" t="str">
        <f>INDEX(Input!$1:$1048576,AW$93,$C684*2+6)</f>
        <v>Kia</v>
      </c>
      <c r="AX684" s="41" t="str">
        <f>INDEX(Input!$1:$1048576,AX$93,$C684*2+6)</f>
        <v>National</v>
      </c>
      <c r="AY684" s="41" t="str">
        <f>IF(LEN(D684)=0,"",INDEX(Input!$1:$1048576,AY$93,$C684*2+6))</f>
        <v>Compact SUV (52)</v>
      </c>
      <c r="AZ684" s="41" t="str">
        <f>INDEX(Input!$1:$1048576,AZ$93,$C684*2+6)</f>
        <v>Kia Soul</v>
      </c>
      <c r="BA684" s="3">
        <f>INDEX(Input!$1:$1048576,BA$93,$C684*2+6)</f>
        <v>2020</v>
      </c>
      <c r="BB684" s="128">
        <f>INDEX(Input!$1:$1048576,BB$93,$C684*2+6)</f>
        <v>1</v>
      </c>
      <c r="BC684" s="128">
        <f>INDEX(Input!$1:$1048576,BC$93,$C684*2+6)</f>
        <v>0.7</v>
      </c>
      <c r="BD684" s="1">
        <f>INDEX(Input!$1:$1048576,BD$93,$C684*2+6)</f>
        <v>4.4999999999999998E-2</v>
      </c>
      <c r="BE684" s="1">
        <f>INDEX(Input!$1:$1048576,BE$93,$C684*2+6)</f>
        <v>4.4999999999999998E-2</v>
      </c>
      <c r="BF684" s="1">
        <f>INDEX(Input!$1:$1048576,BF$93,$C684*2+6)</f>
        <v>0.05</v>
      </c>
      <c r="BG684" s="1">
        <f>INDEX(Input!$1:$1048576,BG$93,$C684*2+6)</f>
        <v>5.45E-2</v>
      </c>
      <c r="BH684" s="1">
        <f>INDEX(Input!$1:$1048576,BH$93,$C684*2+6)</f>
        <v>5.45E-2</v>
      </c>
      <c r="BI684" s="1">
        <f>INDEX(Input!$1:$1048576,BI$93,$C684*2+6)</f>
        <v>0.05</v>
      </c>
      <c r="BJ684" s="1">
        <f>INDEX(Input!$1:$1048576,BJ$93,$C684*2+6)</f>
        <v>0.05</v>
      </c>
      <c r="BK684" s="1">
        <f>INDEX(Input!$1:$1048576,BK$93,$C684*2+6)</f>
        <v>0.05</v>
      </c>
      <c r="BL684" s="1">
        <f>INDEX(Input!$1:$1048576,BL$93,$C684*2+6)</f>
        <v>5.5E-2</v>
      </c>
      <c r="BM684" s="1">
        <f>INDEX(Input!$1:$1048576,BM$93,$C684*2+6)</f>
        <v>0.06</v>
      </c>
      <c r="BN684" s="1">
        <f>INDEX(Input!$1:$1048576,BN$93,$C684*2+6)</f>
        <v>4.4999999999999998E-2</v>
      </c>
      <c r="BO684" s="1">
        <f>INDEX(Input!$1:$1048576,BO$93,$C684*2+6)</f>
        <v>4.4999999999999998E-2</v>
      </c>
      <c r="BP684" s="1">
        <f>INDEX(Input!$1:$1048576,BP$93,$C684*2+6)</f>
        <v>0.05</v>
      </c>
      <c r="BQ684" s="1">
        <f>INDEX(Input!$1:$1048576,BQ$93,$C684*2+6)</f>
        <v>5.45E-2</v>
      </c>
      <c r="BR684" s="1">
        <f>INDEX(Input!$1:$1048576,BR$93,$C684*2+6)</f>
        <v>5.45E-2</v>
      </c>
      <c r="BS684" s="1">
        <f>INDEX(Input!$1:$1048576,BS$93,$C684*2+6)</f>
        <v>0.05</v>
      </c>
      <c r="BT684" s="1">
        <f>INDEX(Input!$1:$1048576,BT$93,$C684*2+6)</f>
        <v>0.05</v>
      </c>
      <c r="BU684" s="1">
        <f>INDEX(Input!$1:$1048576,BU$93,$C684*2+6)</f>
        <v>0.05</v>
      </c>
      <c r="BV684" s="1">
        <f>INDEX(Input!$1:$1048576,BV$93,$C684*2+6)</f>
        <v>5.5E-2</v>
      </c>
      <c r="BW684" s="1">
        <f>INDEX(Input!$1:$1048576,BW$93,$C684*2+6)</f>
        <v>0.06</v>
      </c>
      <c r="BX684" s="127">
        <f>INDEX(Input!$1:$1048576,BX$93,$C684*2+6)</f>
        <v>19985</v>
      </c>
      <c r="BY684" s="20">
        <f>INDEX(Input!$1:$1048576,BY$93,$C684*2+6)</f>
        <v>0.1</v>
      </c>
      <c r="BZ684" s="20">
        <f>INDEX(Input!$1:$1048576,BZ$93,$C684*2+6)</f>
        <v>0.1</v>
      </c>
      <c r="CA684" s="20">
        <f>INDEX(Input!$1:$1048576,CA$93,$C684*2+6)</f>
        <v>0.1</v>
      </c>
      <c r="CB684" s="20">
        <f>INDEX(Input!$1:$1048576,CB$93,$C684*2+6)</f>
        <v>0.1</v>
      </c>
      <c r="CC684" s="20">
        <f>INDEX(Input!$1:$1048576,CC$93,$C684*2+6)</f>
        <v>0.1</v>
      </c>
      <c r="CD684" s="384">
        <f>INDEX(Input!$1:$1048576,CD$93,$C684*2+6)</f>
        <v>0.1</v>
      </c>
      <c r="CE684" s="384">
        <f>INDEX(Input!$1:$1048576,CE$93,$C684*2+6)</f>
        <v>0.1</v>
      </c>
      <c r="CF684" s="384">
        <f>INDEX(Input!$1:$1048576,CF$93,$C684*2+6)</f>
        <v>0.1</v>
      </c>
      <c r="CG684" s="384">
        <f>INDEX(Input!$1:$1048576,CG$93,$C684*2+6)</f>
        <v>0.1</v>
      </c>
      <c r="CH684" s="384">
        <f>INDEX(Input!$1:$1048576,CH$93,$C684*2+6)</f>
        <v>0.1</v>
      </c>
      <c r="CI684" s="304">
        <f t="shared" si="1992"/>
        <v>1517.2644913000609</v>
      </c>
      <c r="CJ684" s="16" t="str">
        <f>INDEX(Input!$1:$1048576,CJ$93,$C684*2+6)</f>
        <v>N</v>
      </c>
      <c r="CK684" s="1" t="str">
        <f t="shared" si="1993"/>
        <v>Market</v>
      </c>
      <c r="CL684" s="1" t="str">
        <f t="shared" si="1994"/>
        <v>Market</v>
      </c>
      <c r="CM684" s="1" t="str">
        <f t="shared" si="1995"/>
        <v>Market</v>
      </c>
      <c r="CN684" s="1" t="str">
        <f t="shared" si="1996"/>
        <v>Market</v>
      </c>
      <c r="CO684" s="1" t="str">
        <f t="shared" si="1997"/>
        <v>Market</v>
      </c>
      <c r="CP684" s="304">
        <f t="shared" si="1998"/>
        <v>500</v>
      </c>
      <c r="CQ684" s="1">
        <f t="shared" si="1999"/>
        <v>9.0000000000000011E-3</v>
      </c>
      <c r="CR684" s="1">
        <f t="shared" si="2000"/>
        <v>9.0000000000000011E-3</v>
      </c>
      <c r="CS684" s="1">
        <f t="shared" si="2001"/>
        <v>9.0000000000000011E-3</v>
      </c>
      <c r="CT684" s="1">
        <f t="shared" si="2002"/>
        <v>2.8999999999999998E-2</v>
      </c>
      <c r="CU684" s="1">
        <f t="shared" si="2003"/>
        <v>3.9E-2</v>
      </c>
      <c r="CV684" s="304">
        <f t="shared" si="2004"/>
        <v>737.99367635402496</v>
      </c>
      <c r="CW684" s="20" t="s">
        <v>122</v>
      </c>
      <c r="CX684" s="20" t="s">
        <v>122</v>
      </c>
      <c r="CY684" s="20" t="s">
        <v>122</v>
      </c>
      <c r="CZ684" s="20" t="s">
        <v>122</v>
      </c>
      <c r="DA684" s="20" t="s">
        <v>122</v>
      </c>
      <c r="DB684" s="503">
        <f t="shared" si="2005"/>
        <v>0</v>
      </c>
      <c r="DC684" s="127">
        <v>0</v>
      </c>
      <c r="DD684" s="127">
        <v>0</v>
      </c>
      <c r="DE684" s="127">
        <v>0</v>
      </c>
      <c r="DF684" s="127">
        <v>0</v>
      </c>
      <c r="DG684" s="127">
        <v>0</v>
      </c>
      <c r="DH684" s="127">
        <v>0</v>
      </c>
      <c r="DI684" s="127">
        <v>0</v>
      </c>
      <c r="DJ684" s="127">
        <v>0</v>
      </c>
      <c r="DK684" s="127">
        <v>0</v>
      </c>
      <c r="DL684" s="127">
        <v>0</v>
      </c>
      <c r="DM684" s="304">
        <f>INDEX(Input!$1:$1048576,DM$93,$C684*2+6)</f>
        <v>21036.84210526316</v>
      </c>
      <c r="DN684" s="20">
        <v>0</v>
      </c>
      <c r="DO684" s="20">
        <v>0</v>
      </c>
      <c r="DP684" s="20">
        <v>0</v>
      </c>
      <c r="DQ684" s="20">
        <v>0</v>
      </c>
      <c r="DR684" s="20">
        <v>0</v>
      </c>
      <c r="DS684" s="20">
        <f>INDEX(Input!$1:$1048576,DS$93,$C684*2+6)</f>
        <v>0.6</v>
      </c>
      <c r="DT684" s="20">
        <f>INDEX(Input!$1:$1048576,DT$93,$C684*2+6)</f>
        <v>0.55000000000000004</v>
      </c>
      <c r="DU684" s="20">
        <f>INDEX(Input!$1:$1048576,DU$93,$C684*2+6)</f>
        <v>0.52</v>
      </c>
      <c r="DV684" s="20">
        <f>INDEX(Input!$1:$1048576,DV$93,$C684*2+6)</f>
        <v>0.5</v>
      </c>
      <c r="DW684" s="20">
        <f>INDEX(Input!$1:$1048576,DW$93,$C684*2+6)</f>
        <v>0.45</v>
      </c>
      <c r="DX684" s="20"/>
      <c r="DY684" s="7"/>
      <c r="DZ684" s="7"/>
      <c r="EA684" s="7"/>
      <c r="EB684" s="7"/>
      <c r="EC684" s="7"/>
      <c r="ED684" s="7"/>
      <c r="EE684" s="7"/>
      <c r="EF684" s="7"/>
      <c r="EG684" s="7"/>
      <c r="EH684" s="7"/>
      <c r="EI684" s="7"/>
      <c r="EJ684" s="7"/>
      <c r="EK684" s="7"/>
      <c r="EL684" s="7"/>
      <c r="EM684" s="7"/>
      <c r="EN684" s="7"/>
      <c r="EO684" s="7"/>
      <c r="EP684" s="7"/>
      <c r="EQ684" s="7"/>
      <c r="ER684" s="7"/>
      <c r="ES684" s="7"/>
      <c r="ET684" s="7"/>
      <c r="EU684" s="6"/>
      <c r="EV684" s="6"/>
      <c r="EW684" s="6"/>
      <c r="EX684" s="6"/>
      <c r="EY684" s="6"/>
      <c r="EZ684" s="6"/>
      <c r="FA684" s="6"/>
      <c r="FB684" s="6"/>
      <c r="FC684" s="6"/>
      <c r="FD684" s="6"/>
      <c r="FE684" s="6"/>
      <c r="FF684" s="6"/>
      <c r="FG684" s="6"/>
      <c r="FH684" s="6"/>
      <c r="FI684" s="6"/>
      <c r="FJ684" s="6"/>
      <c r="FK684" s="6"/>
      <c r="FL684" s="6"/>
      <c r="FM684" s="6"/>
      <c r="FN684" s="6"/>
      <c r="FO684" s="6"/>
      <c r="FP684" s="6"/>
      <c r="FQ684" s="6"/>
      <c r="FR684" s="6"/>
      <c r="FS684" s="6"/>
      <c r="FT684" s="7"/>
      <c r="FU684" s="7"/>
      <c r="FV684" s="7"/>
      <c r="FW684" s="6"/>
      <c r="FX684" s="6"/>
      <c r="FY684" s="6"/>
      <c r="FZ684" s="6"/>
      <c r="GA684" s="6"/>
      <c r="GB684" s="6"/>
      <c r="GC684" s="7"/>
      <c r="GD684" s="7"/>
      <c r="GE684" s="7"/>
      <c r="GF684" s="7"/>
      <c r="GG684" s="7"/>
      <c r="GH684" s="42"/>
      <c r="GI684" s="6"/>
      <c r="GJ684" s="14"/>
      <c r="GK684" s="14"/>
      <c r="GL684" s="14"/>
      <c r="GM684" s="14"/>
      <c r="GO684" s="5"/>
      <c r="GP684" s="5"/>
      <c r="GQ684" s="5"/>
      <c r="GR684" s="5"/>
      <c r="GS684" s="5"/>
      <c r="GT684" s="5"/>
      <c r="GU684" s="5"/>
      <c r="GV684" s="39"/>
      <c r="GW684" s="5"/>
      <c r="GX684" s="5"/>
      <c r="GY684" s="5"/>
      <c r="GZ684" s="5"/>
      <c r="HA684" s="5"/>
      <c r="HB684" s="39"/>
      <c r="HC684" s="5"/>
      <c r="HD684" s="5"/>
      <c r="HE684" s="5"/>
      <c r="HF684" s="5"/>
      <c r="HG684" s="5"/>
      <c r="HH684" s="39"/>
      <c r="HI684" s="16"/>
      <c r="HJ684" s="19"/>
      <c r="HK684" s="1"/>
      <c r="HL684" s="16"/>
      <c r="HM684" s="639">
        <f t="shared" si="2013"/>
        <v>2.827492079131002E-2</v>
      </c>
      <c r="HN684" s="639">
        <f t="shared" si="2014"/>
        <v>1.6178937670421065E-3</v>
      </c>
      <c r="HO684" s="639">
        <f t="shared" si="2015"/>
        <v>1.846520531600027E-3</v>
      </c>
      <c r="HP684" s="644">
        <f t="shared" ref="HP684:ID684" si="2105">HP184+HP284+HP384+HP484+HP584</f>
        <v>220.27979651044458</v>
      </c>
      <c r="HQ684" s="644">
        <f t="shared" si="2105"/>
        <v>-52.083850791974768</v>
      </c>
      <c r="HR684" s="644">
        <f t="shared" si="2105"/>
        <v>-13.349433088916857</v>
      </c>
      <c r="HS684" s="644">
        <f t="shared" si="2105"/>
        <v>-82.66007292788133</v>
      </c>
      <c r="HT684" s="644">
        <f t="shared" si="2105"/>
        <v>-48.333559644364499</v>
      </c>
      <c r="HU684" s="644">
        <f t="shared" si="2105"/>
        <v>9.3098473979314402</v>
      </c>
      <c r="HV684" s="644">
        <f t="shared" si="2105"/>
        <v>0</v>
      </c>
      <c r="HW684" s="644">
        <f t="shared" si="2105"/>
        <v>0</v>
      </c>
      <c r="HX684" s="644">
        <f t="shared" si="2105"/>
        <v>0</v>
      </c>
      <c r="HY684" s="644">
        <f t="shared" si="2105"/>
        <v>1326</v>
      </c>
      <c r="HZ684" s="644">
        <f t="shared" si="2105"/>
        <v>1645</v>
      </c>
      <c r="IA684" s="644">
        <f t="shared" si="2105"/>
        <v>179</v>
      </c>
      <c r="IB684" s="644">
        <f t="shared" si="2105"/>
        <v>1463.6197235825632</v>
      </c>
      <c r="IC684" s="644">
        <f t="shared" si="2105"/>
        <v>1544.5825895636608</v>
      </c>
      <c r="ID684" s="644">
        <f t="shared" si="2105"/>
        <v>174.96041430901457</v>
      </c>
      <c r="IE684" s="20">
        <f t="shared" si="2017"/>
        <v>0.45980047170024696</v>
      </c>
      <c r="IF684" s="20">
        <f t="shared" si="2018"/>
        <v>0.48523519587654529</v>
      </c>
      <c r="IG684" s="20">
        <f t="shared" si="2019"/>
        <v>5.4964332423207814E-2</v>
      </c>
      <c r="IH684" s="21"/>
      <c r="II684" s="19"/>
      <c r="IJ684" s="19"/>
      <c r="IK684" s="19"/>
      <c r="IL684" s="19">
        <f t="shared" si="2020"/>
        <v>467.72183737888349</v>
      </c>
      <c r="IM684" s="19">
        <f t="shared" si="2021"/>
        <v>-179.28128212029696</v>
      </c>
      <c r="IN684" s="19">
        <f t="shared" si="2022"/>
        <v>192.37749295202411</v>
      </c>
      <c r="IO684" s="39"/>
      <c r="IP684" s="39"/>
      <c r="IQ684" s="39"/>
      <c r="IR684" s="39"/>
      <c r="IS684" s="39"/>
      <c r="IT684" s="39"/>
      <c r="IU684" s="39"/>
      <c r="IV684" s="39"/>
      <c r="IW684" s="39"/>
      <c r="IX684" s="19">
        <f t="shared" si="2023"/>
        <v>1644.4343891402716</v>
      </c>
      <c r="IY684" s="19">
        <f t="shared" si="2024"/>
        <v>2499.6673166042456</v>
      </c>
      <c r="IZ684" s="19">
        <f t="shared" si="2025"/>
        <v>3988.9119465010417</v>
      </c>
      <c r="JA684" s="19">
        <f t="shared" ref="JA684:JC684" si="2106">IFERROR((JA184*IB184+JA284*IB284+JA384*IB384+JA484*IB484+JA584*IB584)/IB684,0)</f>
        <v>2112.1562265191551</v>
      </c>
      <c r="JB684" s="19">
        <f t="shared" si="2106"/>
        <v>2320.3860344839486</v>
      </c>
      <c r="JC684" s="19">
        <f t="shared" si="2106"/>
        <v>4181.2894394530658</v>
      </c>
      <c r="JD684" s="19">
        <f t="shared" si="2027"/>
        <v>2326.9251839178864</v>
      </c>
      <c r="JE684" s="21"/>
      <c r="JF684" s="1">
        <f t="shared" si="2028"/>
        <v>3.1672499510824001E-2</v>
      </c>
      <c r="JG684" s="15">
        <f t="shared" si="2029"/>
        <v>3150</v>
      </c>
      <c r="JH684" s="1">
        <f t="shared" si="2030"/>
        <v>4.9157623057000943E-2</v>
      </c>
      <c r="JI684" s="1">
        <f t="shared" si="2031"/>
        <v>-3.8629773071210911E-2</v>
      </c>
      <c r="JJ684" s="1">
        <f t="shared" si="2032"/>
        <v>0</v>
      </c>
      <c r="JK684" s="1">
        <f t="shared" si="2033"/>
        <v>1.0527849985790013E-2</v>
      </c>
      <c r="JL684" s="15">
        <f t="shared" ref="JL684:JM684" si="2107">JL184+JL284+JL384+JL484+JL584</f>
        <v>33.162727455238539</v>
      </c>
      <c r="JM684" s="15">
        <f t="shared" si="2107"/>
        <v>3183.1627274552384</v>
      </c>
      <c r="JN684" s="21"/>
      <c r="JO684" s="19">
        <f>INDEX(Input!$1:$1048576,JO$93,$C684*2+6)</f>
        <v>5995.5</v>
      </c>
      <c r="JP684" s="19">
        <f>INDEX(Input!$1:$1048576,JP$93,$C684*2+6)</f>
        <v>2296.6050414551746</v>
      </c>
      <c r="JQ684" s="39">
        <f t="shared" si="2053"/>
        <v>3668.5748160821136</v>
      </c>
      <c r="JR684" s="39">
        <f t="shared" si="2054"/>
        <v>30.320142462711829</v>
      </c>
      <c r="JS684" s="39">
        <f t="shared" si="2055"/>
        <v>7.4069815150243414</v>
      </c>
      <c r="JT684" s="39">
        <f t="shared" si="2056"/>
        <v>0.17267563444054126</v>
      </c>
      <c r="JU684" s="385">
        <f>(JQ684*JM684-INDEX(Input!$1:$1048576,Input!A$18,$C684*2+6)*JL684*INDEX(Input!$1:$1048576,Input!A$19,$C684*2+6))/1000000</f>
        <v>11.67767061743354</v>
      </c>
      <c r="JV684" s="39">
        <f t="shared" si="2057"/>
        <v>2.6151498017339847E-2</v>
      </c>
      <c r="JW684" s="1">
        <f t="shared" si="2058"/>
        <v>2.2444711070988802E-3</v>
      </c>
      <c r="JX684" s="19">
        <f t="shared" si="2059"/>
        <v>5206.9189626700809</v>
      </c>
      <c r="JZ684" s="341"/>
      <c r="KA684" s="60"/>
      <c r="KB684" s="469">
        <f t="shared" si="2035"/>
        <v>0</v>
      </c>
      <c r="KI684" s="472"/>
      <c r="KJ684" s="472"/>
      <c r="KK684" s="472"/>
      <c r="KN684" s="26">
        <f t="shared" si="2036"/>
        <v>6002</v>
      </c>
      <c r="KO684" s="794">
        <f t="shared" si="2037"/>
        <v>-0.51772369995176359</v>
      </c>
      <c r="KP684" s="795">
        <f t="shared" si="2038"/>
        <v>-32.236120471555424</v>
      </c>
      <c r="KQ684" s="795">
        <f t="shared" si="2039"/>
        <v>-135.90807268725848</v>
      </c>
      <c r="KR684" s="26">
        <f t="shared" si="2040"/>
        <v>281.41230597418757</v>
      </c>
      <c r="KS684" s="26">
        <f t="shared" si="2041"/>
        <v>66.748360256988647</v>
      </c>
      <c r="KT684" s="796">
        <f t="shared" si="2049"/>
        <v>4286.2445668946921</v>
      </c>
      <c r="KU684" s="797">
        <f t="shared" si="2042"/>
        <v>-2.2102225959101216</v>
      </c>
    </row>
    <row r="685" spans="1:307" s="26" customFormat="1" ht="15" outlineLevel="1">
      <c r="A685" s="561">
        <f t="shared" si="2009"/>
        <v>6085</v>
      </c>
      <c r="B685" s="561">
        <f t="shared" si="2043"/>
        <v>85</v>
      </c>
      <c r="C685" s="561">
        <f t="shared" si="2044"/>
        <v>6</v>
      </c>
      <c r="D685" s="561" t="str">
        <f t="shared" ref="D685:D700" si="2108">IF(E685=INDEX(E:E,MATCH(C685*1000+2,A:A,0)),"",E685-INDEX(E:E,MATCH(C685*1000+2,A:A,0))&amp;E$100&amp;", ")
&amp;IF(F685=INDEX(F:F,MATCH(C685*1000+2,A:A,0)),"",F685-INDEX(F:F,MATCH(C685*1000+2,A:A,0))&amp;F$100&amp;", ")
&amp;IF(AM685=INDEX(AM:AM,MATCH(C685*1000+2,A:A,0)),"",AM685&amp;AM$100&amp;", ")
&amp;IF(AP685=INDEX(AP:AP,MATCH(C685*1000+2,A:A,0)),"",AP685&amp;AP$100&amp;", ")
&amp;IF(Q685=INDEX(Q:Q,MATCH(C685*1000+2,A:A,0)),"",Q685-INDEX(Q:Q,MATCH(C685*1000+2,A:A,0))&amp;Q$100&amp;", ")
&amp;IF(Y685=INDEX(Y:Y,MATCH(C685*1000+2,A:A,0)),"",Y685-INDEX(Y:Y,MATCH(C685*1000+2,A:A,0))&amp;Y$100&amp;", ")
&amp;IF(Z685=INDEX(Z:Z,MATCH(C685*1000+2,A:A,0)),"",Z685-INDEX(Z:Z,MATCH(C685*1000+2,A:A,0))&amp;Z$100&amp;", ")
&amp;IF(AA685=INDEX(AA:AA,MATCH(C685*1000+2,A:A,0)),"",AA685-INDEX(AA:AA,MATCH(C685*1000+2,A:A,0))&amp;AA$100&amp;", ")
&amp;IF(AC685=INDEX(AC:AC,MATCH(C685*1000+2,A:A,0)),"",AC685-INDEX(AC:AC,MATCH(C685*1000+2,A:A,0))&amp;AC$100&amp;", ")
&amp;IF(AE685=INDEX(AE:AE,MATCH(C685*1000+2,A:A,0)),"",AE685-INDEX(AE:AE,MATCH(C685*1000+2,A:A,0))&amp;AE$100&amp;", ")
&amp;IF(AG685=INDEX(AG:AG,MATCH(C685*1000+2,A:A,0)),"",AG685-INDEX(AG:AG,MATCH(C685*1000+2,A:A,0))&amp;AG$100&amp;", ")
&amp;IF(AI685=INDEX(AI:AI,MATCH(C685*1000+2,A:A,0)),"",AI685-INDEX(AI:AI,MATCH(C685*1000+2,A:A,0))&amp;AI$100&amp;", ")</f>
        <v xml:space="preserve">500 CC, 1.9/2.9/3.9/3.9, </v>
      </c>
      <c r="E685" s="475">
        <f>INDEX(Input!$1:$1048576,E$93,$C685*2+MIN($B685,2)+5)
+INDEX(Scenarios!E$121:E$199,MATCH($B685,Scenarios!$B$121:$B$199,0))</f>
        <v>1767.2644913000609</v>
      </c>
      <c r="F685" s="475">
        <f>INDEX(Input!$1:$1048576,F$93,$C685*2+MIN($B685,2)+5)
+INDEX(Scenarios!F$121:F$199,MATCH($B685,Scenarios!$B$121:$B$199,0))</f>
        <v>0</v>
      </c>
      <c r="G685" s="475">
        <f>INDEX(Input!$1:$1048576,G$93,$C685*2+MIN($B685,2)+5)
+INDEX(Scenarios!G$121:G$199,MATCH($B685,Scenarios!$B$121:$B$199,0))</f>
        <v>0</v>
      </c>
      <c r="H685" s="475">
        <f>INDEX(Input!$1:$1048576,H$93,$C685*2+MIN($B685,2)+5)
+INDEX(Scenarios!H$121:H$199,MATCH($B685,Scenarios!$B$121:$B$199,0))</f>
        <v>0</v>
      </c>
      <c r="I685" s="476">
        <f>INDEX(Input!$1:$1048576,I$93,$C685*2+MIN($B685,2)+5)
+INDEX(Scenarios!I$121:I$199,MATCH($B685,Scenarios!$B$121:$B$199,0))</f>
        <v>0.7</v>
      </c>
      <c r="J685" s="476" t="str">
        <f>INDEX(Input!$1:$1048576,J$93,$C685*2+MIN($B685,2)+5)</f>
        <v>Market</v>
      </c>
      <c r="K685" s="476" t="str">
        <f>INDEX(Input!$1:$1048576,K$93,$C685*2+MIN($B685,2)+5)</f>
        <v>Market</v>
      </c>
      <c r="L685" s="476" t="str">
        <f>INDEX(Input!$1:$1048576,L$93,$C685*2+MIN($B685,2)+5)</f>
        <v>Market</v>
      </c>
      <c r="M685" s="476" t="str">
        <f>INDEX(Input!$1:$1048576,M$93,$C685*2+MIN($B685,2)+5)</f>
        <v>Market</v>
      </c>
      <c r="N685" s="476" t="str">
        <f>INDEX(Input!$1:$1048576,N$93,$C685*2+MIN($B685,2)+5)</f>
        <v>Market</v>
      </c>
      <c r="O685" s="476" t="str">
        <f>INDEX(Input!$1:$1048576,O$93,$C685*2+MIN($B685,2)+5)</f>
        <v>Market</v>
      </c>
      <c r="P685" s="476" t="str">
        <f>INDEX(Input!$1:$1048576,P$93,$C685*2+MIN($B685,2)+5)</f>
        <v>N</v>
      </c>
      <c r="Q685" s="477">
        <f>INDEX(Input!$1:$1048576,Q$93,$C685*2+MIN($B685,2)+5)
+INDEX(Scenarios!Q$121:Q$199,MATCH($B685,Scenarios!$B$121:$B$199,0))</f>
        <v>0</v>
      </c>
      <c r="R685" s="478">
        <f>IFERROR(MAX(0,INDEX(Input!$1:$1048576,R$93,$C685*2+MIN($B685,2)+5)
+INDEX(Scenarios!R$121:R$199,MATCH($B685,Scenarios!$B$121:$B$199,0)),),"Market")</f>
        <v>1.9E-2</v>
      </c>
      <c r="S685" s="478">
        <f>IFERROR(MAX(0,INDEX(Input!$1:$1048576,S$93,$C685*2+MIN($B685,2)+5)
+INDEX(Scenarios!S$121:S$199,MATCH($B685,Scenarios!$B$121:$B$199,0)),),"Market")</f>
        <v>1.9E-2</v>
      </c>
      <c r="T685" s="478">
        <f>IFERROR(MAX(0,INDEX(Input!$1:$1048576,T$93,$C685*2+MIN($B685,2)+5)
+INDEX(Scenarios!T$121:T$199,MATCH($B685,Scenarios!$B$121:$B$199,0)),),"Market")</f>
        <v>1.9E-2</v>
      </c>
      <c r="U685" s="478">
        <f>IFERROR(MAX(0,INDEX(Input!$1:$1048576,U$93,$C685*2+MIN($B685,2)+5)
+INDEX(Scenarios!U$121:U$199,MATCH($B685,Scenarios!$B$121:$B$199,0)),),"Market")</f>
        <v>1.9E-2</v>
      </c>
      <c r="V685" s="478">
        <f>IFERROR(MAX(0,INDEX(Input!$1:$1048576,V$93,$C685*2+MIN($B685,2)+5)
+INDEX(Scenarios!V$121:V$199,MATCH($B685,Scenarios!$B$121:$B$199,0)),),"Market")</f>
        <v>3.9E-2</v>
      </c>
      <c r="W685" s="885">
        <f>IFERROR(MAX(0,INDEX(Input!$1:$1048576,W$93,$C685*2+MIN($B685,2)+5)-0%),"Market")</f>
        <v>3.9E-2</v>
      </c>
      <c r="X685" s="476" t="str">
        <f>INDEX(Input!$1:$1048576,X$93,$C685*2+MIN($B685,2)+5)</f>
        <v>Y</v>
      </c>
      <c r="Y685" s="475">
        <f>INDEX(Input!$1:$1048576,Y$93,$C685*2+MIN($B685,2)+5)
++INDEX(Scenarios!Y$121:Y$199,MATCH($B685,Scenarios!$B$121:$B$199,0))</f>
        <v>737.99367635402496</v>
      </c>
      <c r="Z685" s="477">
        <f>INDEX(Input!$1:$1048576,Z$93,$C685*2+MIN($B685,2)+5)
+INDEX(Scenarios!Z$121:Z$199,MATCH($B685,Scenarios!$B$121:$B$199,0))</f>
        <v>0</v>
      </c>
      <c r="AA685" s="475">
        <f>INDEX(Input!$1:$1048576,AA$93,$C685*2+MIN($B685,2)+5)</f>
        <v>0</v>
      </c>
      <c r="AB685" s="476">
        <f>INDEX(Input!$1:$1048576,AB$93,$C685*2+MIN($B685,2)+5)</f>
        <v>0.27</v>
      </c>
      <c r="AC685" s="475">
        <f>INDEX(Input!$1:$1048576,AC$93,$C685*2+MIN($B685,2)+5)
+INDEX(Scenarios!AC$121:AC$199,MATCH($B685,Scenarios!$B$121:$B$199,0))</f>
        <v>0</v>
      </c>
      <c r="AD685" s="476">
        <f>INDEX(Input!$1:$1048576,AD$93,$C685*2+MIN($B685,2)+5)</f>
        <v>0.27</v>
      </c>
      <c r="AE685" s="475">
        <f>INDEX(Input!$1:$1048576,AE$93,$C685*2+MIN($B685,2)+5)
+INDEX(Scenarios!AE$121:AE$199,MATCH($B685,Scenarios!$B$121:$B$199,0))</f>
        <v>0</v>
      </c>
      <c r="AF685" s="476">
        <f>INDEX(Input!$1:$1048576,AF$93,$C685*2+MIN($B685,2)+5)</f>
        <v>1</v>
      </c>
      <c r="AG685" s="475">
        <f>INDEX(Input!$1:$1048576,AG$93,$C685*2+MIN($B685,2)+5)</f>
        <v>500</v>
      </c>
      <c r="AH685" s="476">
        <f>INDEX(Input!$1:$1048576,AH$93,$C685*2+MIN($B685,2)+5)</f>
        <v>1</v>
      </c>
      <c r="AI685" s="475">
        <f>INDEX(Input!$1:$1048576,AI$93,$C685*2+MIN($B685,2)+5)</f>
        <v>0</v>
      </c>
      <c r="AJ685" s="476">
        <f>INDEX(Input!$1:$1048576,AJ$93,$C685*2+MIN($B685,2)+5)</f>
        <v>0.27</v>
      </c>
      <c r="AK685" s="150">
        <f>ROUND(INDEX(Input!$1:$1048576,AK$93,$C684*2+MIN($B685,1)+5)+(Y685-VLOOKUP($C685*1000+1,$A:$HH,Y$92,FALSE)),0)</f>
        <v>3061</v>
      </c>
      <c r="AL685" s="150">
        <f>ROUND(INDEX(Input!$1:$1048576,AL$93,$C684*2+MIN($B685,1)+5)-(Y685-VLOOKUP($C685*1000+1,$A:$HH,Y$92,FALSE))/36,0)</f>
        <v>3552</v>
      </c>
      <c r="AM685" s="32" t="str">
        <f t="shared" si="2010"/>
        <v>std/std/std/std</v>
      </c>
      <c r="AN685" s="32" t="str">
        <f t="shared" si="2011"/>
        <v>$0 + 1.9/1.9/1.9/3.9/3.9</v>
      </c>
      <c r="AO685" s="32" t="str">
        <f t="shared" si="2012"/>
        <v>1.9/1.9/1.9/3.9/3.9</v>
      </c>
      <c r="AP685" s="32" t="str">
        <f t="shared" si="1990"/>
        <v>1.9/2.9/3.9/3.9</v>
      </c>
      <c r="AQ685" s="536">
        <f t="shared" si="1991"/>
        <v>0.49607482835858352</v>
      </c>
      <c r="AR685" s="32"/>
      <c r="AS685" s="302"/>
      <c r="AT685" s="3">
        <f t="shared" si="2045"/>
        <v>85</v>
      </c>
      <c r="AU685" s="41" t="s">
        <v>121</v>
      </c>
      <c r="AV685" s="41" t="s">
        <v>116</v>
      </c>
      <c r="AW685" s="41" t="str">
        <f>INDEX(Input!$1:$1048576,AW$93,$C685*2+6)</f>
        <v>Kia</v>
      </c>
      <c r="AX685" s="41" t="str">
        <f>INDEX(Input!$1:$1048576,AX$93,$C685*2+6)</f>
        <v>National</v>
      </c>
      <c r="AY685" s="41" t="str">
        <f>IF(LEN(D685)=0,"",INDEX(Input!$1:$1048576,AY$93,$C685*2+6))</f>
        <v>Compact SUV (52)</v>
      </c>
      <c r="AZ685" s="41" t="str">
        <f>INDEX(Input!$1:$1048576,AZ$93,$C685*2+6)</f>
        <v>Kia Soul</v>
      </c>
      <c r="BA685" s="3">
        <f>INDEX(Input!$1:$1048576,BA$93,$C685*2+6)</f>
        <v>2020</v>
      </c>
      <c r="BB685" s="128">
        <f>INDEX(Input!$1:$1048576,BB$93,$C685*2+6)</f>
        <v>1</v>
      </c>
      <c r="BC685" s="128">
        <f>INDEX(Input!$1:$1048576,BC$93,$C685*2+6)</f>
        <v>0.7</v>
      </c>
      <c r="BD685" s="1">
        <f>INDEX(Input!$1:$1048576,BD$93,$C685*2+6)</f>
        <v>4.4999999999999998E-2</v>
      </c>
      <c r="BE685" s="1">
        <f>INDEX(Input!$1:$1048576,BE$93,$C685*2+6)</f>
        <v>4.4999999999999998E-2</v>
      </c>
      <c r="BF685" s="1">
        <f>INDEX(Input!$1:$1048576,BF$93,$C685*2+6)</f>
        <v>0.05</v>
      </c>
      <c r="BG685" s="1">
        <f>INDEX(Input!$1:$1048576,BG$93,$C685*2+6)</f>
        <v>5.45E-2</v>
      </c>
      <c r="BH685" s="1">
        <f>INDEX(Input!$1:$1048576,BH$93,$C685*2+6)</f>
        <v>5.45E-2</v>
      </c>
      <c r="BI685" s="1">
        <f>INDEX(Input!$1:$1048576,BI$93,$C685*2+6)</f>
        <v>0.05</v>
      </c>
      <c r="BJ685" s="1">
        <f>INDEX(Input!$1:$1048576,BJ$93,$C685*2+6)</f>
        <v>0.05</v>
      </c>
      <c r="BK685" s="1">
        <f>INDEX(Input!$1:$1048576,BK$93,$C685*2+6)</f>
        <v>0.05</v>
      </c>
      <c r="BL685" s="1">
        <f>INDEX(Input!$1:$1048576,BL$93,$C685*2+6)</f>
        <v>5.5E-2</v>
      </c>
      <c r="BM685" s="1">
        <f>INDEX(Input!$1:$1048576,BM$93,$C685*2+6)</f>
        <v>0.06</v>
      </c>
      <c r="BN685" s="1">
        <f>INDEX(Input!$1:$1048576,BN$93,$C685*2+6)</f>
        <v>4.4999999999999998E-2</v>
      </c>
      <c r="BO685" s="1">
        <f>INDEX(Input!$1:$1048576,BO$93,$C685*2+6)</f>
        <v>4.4999999999999998E-2</v>
      </c>
      <c r="BP685" s="1">
        <f>INDEX(Input!$1:$1048576,BP$93,$C685*2+6)</f>
        <v>0.05</v>
      </c>
      <c r="BQ685" s="1">
        <f>INDEX(Input!$1:$1048576,BQ$93,$C685*2+6)</f>
        <v>5.45E-2</v>
      </c>
      <c r="BR685" s="1">
        <f>INDEX(Input!$1:$1048576,BR$93,$C685*2+6)</f>
        <v>5.45E-2</v>
      </c>
      <c r="BS685" s="1">
        <f>INDEX(Input!$1:$1048576,BS$93,$C685*2+6)</f>
        <v>0.05</v>
      </c>
      <c r="BT685" s="1">
        <f>INDEX(Input!$1:$1048576,BT$93,$C685*2+6)</f>
        <v>0.05</v>
      </c>
      <c r="BU685" s="1">
        <f>INDEX(Input!$1:$1048576,BU$93,$C685*2+6)</f>
        <v>0.05</v>
      </c>
      <c r="BV685" s="1">
        <f>INDEX(Input!$1:$1048576,BV$93,$C685*2+6)</f>
        <v>5.5E-2</v>
      </c>
      <c r="BW685" s="1">
        <f>INDEX(Input!$1:$1048576,BW$93,$C685*2+6)</f>
        <v>0.06</v>
      </c>
      <c r="BX685" s="127">
        <f>INDEX(Input!$1:$1048576,BX$93,$C685*2+6)</f>
        <v>19985</v>
      </c>
      <c r="BY685" s="20">
        <f>INDEX(Input!$1:$1048576,BY$93,$C685*2+6)</f>
        <v>0.1</v>
      </c>
      <c r="BZ685" s="20">
        <f>INDEX(Input!$1:$1048576,BZ$93,$C685*2+6)</f>
        <v>0.1</v>
      </c>
      <c r="CA685" s="20">
        <f>INDEX(Input!$1:$1048576,CA$93,$C685*2+6)</f>
        <v>0.1</v>
      </c>
      <c r="CB685" s="20">
        <f>INDEX(Input!$1:$1048576,CB$93,$C685*2+6)</f>
        <v>0.1</v>
      </c>
      <c r="CC685" s="20">
        <f>INDEX(Input!$1:$1048576,CC$93,$C685*2+6)</f>
        <v>0.1</v>
      </c>
      <c r="CD685" s="384">
        <f>INDEX(Input!$1:$1048576,CD$93,$C685*2+6)</f>
        <v>0.1</v>
      </c>
      <c r="CE685" s="384">
        <f>INDEX(Input!$1:$1048576,CE$93,$C685*2+6)</f>
        <v>0.1</v>
      </c>
      <c r="CF685" s="384">
        <f>INDEX(Input!$1:$1048576,CF$93,$C685*2+6)</f>
        <v>0.1</v>
      </c>
      <c r="CG685" s="384">
        <f>INDEX(Input!$1:$1048576,CG$93,$C685*2+6)</f>
        <v>0.1</v>
      </c>
      <c r="CH685" s="384">
        <f>INDEX(Input!$1:$1048576,CH$93,$C685*2+6)</f>
        <v>0.1</v>
      </c>
      <c r="CI685" s="304">
        <f t="shared" si="1992"/>
        <v>1767.2644913000609</v>
      </c>
      <c r="CJ685" s="16" t="str">
        <f>INDEX(Input!$1:$1048576,CJ$93,$C685*2+6)</f>
        <v>N</v>
      </c>
      <c r="CK685" s="1" t="str">
        <f t="shared" si="1993"/>
        <v>Market</v>
      </c>
      <c r="CL685" s="1" t="str">
        <f t="shared" si="1994"/>
        <v>Market</v>
      </c>
      <c r="CM685" s="1" t="str">
        <f t="shared" si="1995"/>
        <v>Market</v>
      </c>
      <c r="CN685" s="1" t="str">
        <f t="shared" si="1996"/>
        <v>Market</v>
      </c>
      <c r="CO685" s="1" t="str">
        <f t="shared" si="1997"/>
        <v>Market</v>
      </c>
      <c r="CP685" s="304">
        <f t="shared" si="1998"/>
        <v>500</v>
      </c>
      <c r="CQ685" s="1">
        <f t="shared" si="1999"/>
        <v>1.9E-2</v>
      </c>
      <c r="CR685" s="1">
        <f t="shared" si="2000"/>
        <v>1.9E-2</v>
      </c>
      <c r="CS685" s="1">
        <f t="shared" si="2001"/>
        <v>1.9E-2</v>
      </c>
      <c r="CT685" s="1">
        <f t="shared" si="2002"/>
        <v>3.9E-2</v>
      </c>
      <c r="CU685" s="1">
        <f t="shared" si="2003"/>
        <v>3.9E-2</v>
      </c>
      <c r="CV685" s="304">
        <f t="shared" si="2004"/>
        <v>737.99367635402496</v>
      </c>
      <c r="CW685" s="20" t="s">
        <v>122</v>
      </c>
      <c r="CX685" s="20" t="s">
        <v>122</v>
      </c>
      <c r="CY685" s="20" t="s">
        <v>122</v>
      </c>
      <c r="CZ685" s="20" t="s">
        <v>122</v>
      </c>
      <c r="DA685" s="20" t="s">
        <v>122</v>
      </c>
      <c r="DB685" s="503">
        <f t="shared" si="2005"/>
        <v>0</v>
      </c>
      <c r="DC685" s="127">
        <v>0</v>
      </c>
      <c r="DD685" s="127">
        <v>0</v>
      </c>
      <c r="DE685" s="127">
        <v>0</v>
      </c>
      <c r="DF685" s="127">
        <v>0</v>
      </c>
      <c r="DG685" s="127">
        <v>0</v>
      </c>
      <c r="DH685" s="127">
        <v>0</v>
      </c>
      <c r="DI685" s="127">
        <v>0</v>
      </c>
      <c r="DJ685" s="127">
        <v>0</v>
      </c>
      <c r="DK685" s="127">
        <v>0</v>
      </c>
      <c r="DL685" s="127">
        <v>0</v>
      </c>
      <c r="DM685" s="304">
        <f>INDEX(Input!$1:$1048576,DM$93,$C685*2+6)</f>
        <v>21036.84210526316</v>
      </c>
      <c r="DN685" s="20">
        <v>0</v>
      </c>
      <c r="DO685" s="20">
        <v>0</v>
      </c>
      <c r="DP685" s="20">
        <v>0</v>
      </c>
      <c r="DQ685" s="20">
        <v>0</v>
      </c>
      <c r="DR685" s="20">
        <v>0</v>
      </c>
      <c r="DS685" s="20">
        <f>INDEX(Input!$1:$1048576,DS$93,$C685*2+6)</f>
        <v>0.6</v>
      </c>
      <c r="DT685" s="20">
        <f>INDEX(Input!$1:$1048576,DT$93,$C685*2+6)</f>
        <v>0.55000000000000004</v>
      </c>
      <c r="DU685" s="20">
        <f>INDEX(Input!$1:$1048576,DU$93,$C685*2+6)</f>
        <v>0.52</v>
      </c>
      <c r="DV685" s="20">
        <f>INDEX(Input!$1:$1048576,DV$93,$C685*2+6)</f>
        <v>0.5</v>
      </c>
      <c r="DW685" s="20">
        <f>INDEX(Input!$1:$1048576,DW$93,$C685*2+6)</f>
        <v>0.45</v>
      </c>
      <c r="DX685" s="20"/>
      <c r="DY685" s="7"/>
      <c r="DZ685" s="7"/>
      <c r="EA685" s="7"/>
      <c r="EB685" s="7"/>
      <c r="EC685" s="7"/>
      <c r="ED685" s="7"/>
      <c r="EE685" s="7"/>
      <c r="EF685" s="7"/>
      <c r="EG685" s="7"/>
      <c r="EH685" s="7"/>
      <c r="EI685" s="7"/>
      <c r="EJ685" s="7"/>
      <c r="EK685" s="7"/>
      <c r="EL685" s="7"/>
      <c r="EM685" s="7"/>
      <c r="EN685" s="7"/>
      <c r="EO685" s="7"/>
      <c r="EP685" s="7"/>
      <c r="EQ685" s="7"/>
      <c r="ER685" s="7"/>
      <c r="ES685" s="7"/>
      <c r="ET685" s="7"/>
      <c r="EU685" s="6"/>
      <c r="EV685" s="6"/>
      <c r="EW685" s="6"/>
      <c r="EX685" s="6"/>
      <c r="EY685" s="6"/>
      <c r="EZ685" s="6"/>
      <c r="FA685" s="6"/>
      <c r="FB685" s="6"/>
      <c r="FC685" s="6"/>
      <c r="FD685" s="6"/>
      <c r="FE685" s="6"/>
      <c r="FF685" s="6"/>
      <c r="FG685" s="6"/>
      <c r="FH685" s="6"/>
      <c r="FI685" s="6"/>
      <c r="FJ685" s="6"/>
      <c r="FK685" s="6"/>
      <c r="FL685" s="6"/>
      <c r="FM685" s="6"/>
      <c r="FN685" s="6"/>
      <c r="FO685" s="6"/>
      <c r="FP685" s="6"/>
      <c r="FQ685" s="6"/>
      <c r="FR685" s="6"/>
      <c r="FS685" s="6"/>
      <c r="FT685" s="7"/>
      <c r="FU685" s="7"/>
      <c r="FV685" s="7"/>
      <c r="FW685" s="6"/>
      <c r="FX685" s="6"/>
      <c r="FY685" s="6"/>
      <c r="FZ685" s="6"/>
      <c r="GA685" s="6"/>
      <c r="GB685" s="6"/>
      <c r="GC685" s="7"/>
      <c r="GD685" s="7"/>
      <c r="GE685" s="7"/>
      <c r="GF685" s="7"/>
      <c r="GG685" s="7"/>
      <c r="GH685" s="42"/>
      <c r="GI685" s="6"/>
      <c r="GJ685" s="14"/>
      <c r="GK685" s="14"/>
      <c r="GL685" s="14"/>
      <c r="GM685" s="14"/>
      <c r="GO685" s="5"/>
      <c r="GP685" s="5"/>
      <c r="GQ685" s="5"/>
      <c r="GR685" s="5"/>
      <c r="GS685" s="5"/>
      <c r="GT685" s="5"/>
      <c r="GU685" s="5"/>
      <c r="GV685" s="39"/>
      <c r="GW685" s="5"/>
      <c r="GX685" s="5"/>
      <c r="GY685" s="5"/>
      <c r="GZ685" s="5"/>
      <c r="HA685" s="5"/>
      <c r="HB685" s="39"/>
      <c r="HC685" s="5"/>
      <c r="HD685" s="5"/>
      <c r="HE685" s="5"/>
      <c r="HF685" s="5"/>
      <c r="HG685" s="5"/>
      <c r="HH685" s="39"/>
      <c r="HI685" s="16"/>
      <c r="HJ685" s="19"/>
      <c r="HK685" s="1"/>
      <c r="HL685" s="16"/>
      <c r="HM685" s="639">
        <f t="shared" si="2013"/>
        <v>2.827492079131002E-2</v>
      </c>
      <c r="HN685" s="639">
        <f t="shared" si="2014"/>
        <v>1.6178937670421065E-3</v>
      </c>
      <c r="HO685" s="639">
        <f t="shared" si="2015"/>
        <v>1.846520531600027E-3</v>
      </c>
      <c r="HP685" s="644">
        <f t="shared" ref="HP685:ID685" si="2109">HP185+HP285+HP385+HP485+HP585</f>
        <v>357.83106459090209</v>
      </c>
      <c r="HQ685" s="644">
        <f t="shared" si="2109"/>
        <v>-92.043220969684228</v>
      </c>
      <c r="HR685" s="644">
        <f t="shared" si="2109"/>
        <v>-27.771401794495446</v>
      </c>
      <c r="HS685" s="644">
        <f t="shared" si="2109"/>
        <v>-127.12346285206355</v>
      </c>
      <c r="HT685" s="644">
        <f t="shared" si="2109"/>
        <v>-135.0074608561566</v>
      </c>
      <c r="HU685" s="644">
        <f t="shared" si="2109"/>
        <v>12.164454885944352</v>
      </c>
      <c r="HV685" s="644">
        <f t="shared" si="2109"/>
        <v>0</v>
      </c>
      <c r="HW685" s="644">
        <f t="shared" si="2109"/>
        <v>0</v>
      </c>
      <c r="HX685" s="644">
        <f t="shared" si="2109"/>
        <v>0</v>
      </c>
      <c r="HY685" s="644">
        <f t="shared" si="2109"/>
        <v>1326</v>
      </c>
      <c r="HZ685" s="644">
        <f t="shared" si="2109"/>
        <v>1645</v>
      </c>
      <c r="IA685" s="644">
        <f t="shared" si="2109"/>
        <v>179</v>
      </c>
      <c r="IB685" s="644">
        <f t="shared" si="2109"/>
        <v>1556.7076017388383</v>
      </c>
      <c r="IC685" s="644">
        <f t="shared" si="2109"/>
        <v>1417.9493181741591</v>
      </c>
      <c r="ID685" s="644">
        <f t="shared" si="2109"/>
        <v>163.39305309144891</v>
      </c>
      <c r="IE685" s="20">
        <f t="shared" si="2017"/>
        <v>0.49607482835858352</v>
      </c>
      <c r="IF685" s="20">
        <f t="shared" si="2018"/>
        <v>0.45185683159040951</v>
      </c>
      <c r="IG685" s="20">
        <f t="shared" si="2019"/>
        <v>5.2068340051007023E-2</v>
      </c>
      <c r="IH685" s="21"/>
      <c r="II685" s="19"/>
      <c r="IJ685" s="19"/>
      <c r="IK685" s="19"/>
      <c r="IL685" s="19">
        <f t="shared" si="2020"/>
        <v>715.19598109521189</v>
      </c>
      <c r="IM685" s="19">
        <f t="shared" si="2021"/>
        <v>-542.71311315645062</v>
      </c>
      <c r="IN685" s="19">
        <f t="shared" si="2022"/>
        <v>192.08528461741025</v>
      </c>
      <c r="IO685" s="39"/>
      <c r="IP685" s="39"/>
      <c r="IQ685" s="39"/>
      <c r="IR685" s="39"/>
      <c r="IS685" s="39"/>
      <c r="IT685" s="39"/>
      <c r="IU685" s="39"/>
      <c r="IV685" s="39"/>
      <c r="IW685" s="39"/>
      <c r="IX685" s="19">
        <f t="shared" si="2023"/>
        <v>1644.4343891402716</v>
      </c>
      <c r="IY685" s="19">
        <f t="shared" si="2024"/>
        <v>2499.6673166042456</v>
      </c>
      <c r="IZ685" s="19">
        <f t="shared" si="2025"/>
        <v>3988.9119465010417</v>
      </c>
      <c r="JA685" s="19">
        <f t="shared" ref="JA685:JC685" si="2110">IFERROR((JA185*IB185+JA285*IB285+JA385*IB385+JA485*IB485+JA585*IB585)/IB685,0)</f>
        <v>2359.6303702354835</v>
      </c>
      <c r="JB685" s="19">
        <f t="shared" si="2110"/>
        <v>1956.954203447795</v>
      </c>
      <c r="JC685" s="19">
        <f t="shared" si="2110"/>
        <v>4180.997231118452</v>
      </c>
      <c r="JD685" s="19">
        <f t="shared" si="2027"/>
        <v>2272.5139424239169</v>
      </c>
      <c r="JE685" s="21"/>
      <c r="JF685" s="1">
        <f t="shared" si="2028"/>
        <v>3.1672499510824001E-2</v>
      </c>
      <c r="JG685" s="15">
        <f t="shared" si="2029"/>
        <v>3150</v>
      </c>
      <c r="JH685" s="1">
        <f t="shared" si="2030"/>
        <v>7.5560775183086487E-2</v>
      </c>
      <c r="JI685" s="1">
        <f t="shared" si="2031"/>
        <v>-7.9354434546754227E-2</v>
      </c>
      <c r="JJ685" s="1">
        <f t="shared" si="2032"/>
        <v>0</v>
      </c>
      <c r="JK685" s="1">
        <f t="shared" si="2033"/>
        <v>-3.7936593636677543E-3</v>
      </c>
      <c r="JL685" s="15">
        <f t="shared" ref="JL685:JM685" si="2111">JL185+JL285+JL385+JL485+JL585</f>
        <v>-11.950026995553426</v>
      </c>
      <c r="JM685" s="15">
        <f t="shared" si="2111"/>
        <v>3138.0499730044467</v>
      </c>
      <c r="JN685" s="21"/>
      <c r="JO685" s="19">
        <f>INDEX(Input!$1:$1048576,JO$93,$C685*2+6)</f>
        <v>5995.5</v>
      </c>
      <c r="JP685" s="19">
        <f>INDEX(Input!$1:$1048576,JP$93,$C685*2+6)</f>
        <v>2296.6050414551746</v>
      </c>
      <c r="JQ685" s="39">
        <f t="shared" si="2053"/>
        <v>3722.9860575760831</v>
      </c>
      <c r="JR685" s="39">
        <f t="shared" si="2054"/>
        <v>-24.091099031257727</v>
      </c>
      <c r="JS685" s="39">
        <f t="shared" si="2055"/>
        <v>7.1312623156756016</v>
      </c>
      <c r="JT685" s="39">
        <f t="shared" si="2056"/>
        <v>-0.10304356490819901</v>
      </c>
      <c r="JU685" s="385">
        <f>(JQ685*JM685-INDEX(Input!$1:$1048576,Input!A$18,$C685*2+6)*JL685*INDEX(Input!$1:$1048576,Input!A$19,$C685*2+6))/1000000</f>
        <v>11.682916297472559</v>
      </c>
      <c r="JV685" s="39">
        <f t="shared" si="2057"/>
        <v>3.139717805635911E-2</v>
      </c>
      <c r="JW685" s="1">
        <f t="shared" si="2058"/>
        <v>2.6946853654506355E-3</v>
      </c>
      <c r="JX685" s="19">
        <f t="shared" si="2059"/>
        <v>8622.8729815038278</v>
      </c>
      <c r="JZ685" s="341"/>
      <c r="KA685" s="60"/>
      <c r="KB685" s="469">
        <f t="shared" si="2035"/>
        <v>0</v>
      </c>
      <c r="KI685" s="472"/>
      <c r="KJ685" s="472"/>
      <c r="KK685" s="472"/>
      <c r="KN685" s="26">
        <f t="shared" si="2036"/>
        <v>6002</v>
      </c>
      <c r="KO685" s="794">
        <f t="shared" si="2037"/>
        <v>-0.52455866698434939</v>
      </c>
      <c r="KP685" s="795">
        <f t="shared" si="2038"/>
        <v>-51.580792894935129</v>
      </c>
      <c r="KQ685" s="795">
        <f t="shared" si="2039"/>
        <v>-190.31931418122804</v>
      </c>
      <c r="KR685" s="26">
        <f t="shared" si="2040"/>
        <v>178.19432222212376</v>
      </c>
      <c r="KS685" s="26">
        <f t="shared" si="2041"/>
        <v>48.294648754568115</v>
      </c>
      <c r="KT685" s="796">
        <f t="shared" si="2049"/>
        <v>4286.2445668946921</v>
      </c>
      <c r="KU685" s="797">
        <f t="shared" si="2042"/>
        <v>-2.3557026803000034</v>
      </c>
    </row>
    <row r="686" spans="1:307" s="26" customFormat="1" ht="15" outlineLevel="1">
      <c r="A686" s="561">
        <f t="shared" si="2009"/>
        <v>6086</v>
      </c>
      <c r="B686" s="561">
        <f t="shared" si="2043"/>
        <v>86</v>
      </c>
      <c r="C686" s="561">
        <f t="shared" si="2044"/>
        <v>6</v>
      </c>
      <c r="D686" s="561" t="str">
        <f t="shared" si="2108"/>
        <v xml:space="preserve">-250 CC, 0/0/0.9/3.9, </v>
      </c>
      <c r="E686" s="475">
        <f>INDEX(Input!$1:$1048576,E$93,$C686*2+MIN($B686,2)+5)
+INDEX(Scenarios!E$121:E$199,MATCH($B686,Scenarios!$B$121:$B$199,0))</f>
        <v>1017.2644913000609</v>
      </c>
      <c r="F686" s="475">
        <f>INDEX(Input!$1:$1048576,F$93,$C686*2+MIN($B686,2)+5)
+INDEX(Scenarios!F$121:F$199,MATCH($B686,Scenarios!$B$121:$B$199,0))</f>
        <v>0</v>
      </c>
      <c r="G686" s="475">
        <f>INDEX(Input!$1:$1048576,G$93,$C686*2+MIN($B686,2)+5)
+INDEX(Scenarios!G$121:G$199,MATCH($B686,Scenarios!$B$121:$B$199,0))</f>
        <v>0</v>
      </c>
      <c r="H686" s="475">
        <f>INDEX(Input!$1:$1048576,H$93,$C686*2+MIN($B686,2)+5)
+INDEX(Scenarios!H$121:H$199,MATCH($B686,Scenarios!$B$121:$B$199,0))</f>
        <v>0</v>
      </c>
      <c r="I686" s="476">
        <f>INDEX(Input!$1:$1048576,I$93,$C686*2+MIN($B686,2)+5)
+INDEX(Scenarios!I$121:I$199,MATCH($B686,Scenarios!$B$121:$B$199,0))</f>
        <v>0.7</v>
      </c>
      <c r="J686" s="476" t="str">
        <f>INDEX(Input!$1:$1048576,J$93,$C686*2+MIN($B686,2)+5)</f>
        <v>Market</v>
      </c>
      <c r="K686" s="476" t="str">
        <f>INDEX(Input!$1:$1048576,K$93,$C686*2+MIN($B686,2)+5)</f>
        <v>Market</v>
      </c>
      <c r="L686" s="476" t="str">
        <f>INDEX(Input!$1:$1048576,L$93,$C686*2+MIN($B686,2)+5)</f>
        <v>Market</v>
      </c>
      <c r="M686" s="476" t="str">
        <f>INDEX(Input!$1:$1048576,M$93,$C686*2+MIN($B686,2)+5)</f>
        <v>Market</v>
      </c>
      <c r="N686" s="476" t="str">
        <f>INDEX(Input!$1:$1048576,N$93,$C686*2+MIN($B686,2)+5)</f>
        <v>Market</v>
      </c>
      <c r="O686" s="476" t="str">
        <f>INDEX(Input!$1:$1048576,O$93,$C686*2+MIN($B686,2)+5)</f>
        <v>Market</v>
      </c>
      <c r="P686" s="476" t="str">
        <f>INDEX(Input!$1:$1048576,P$93,$C686*2+MIN($B686,2)+5)</f>
        <v>N</v>
      </c>
      <c r="Q686" s="477">
        <f>INDEX(Input!$1:$1048576,Q$93,$C686*2+MIN($B686,2)+5)
+INDEX(Scenarios!Q$121:Q$199,MATCH($B686,Scenarios!$B$121:$B$199,0))</f>
        <v>0</v>
      </c>
      <c r="R686" s="478">
        <f>IFERROR(MAX(0,INDEX(Input!$1:$1048576,R$93,$C686*2+MIN($B686,2)+5)
+INDEX(Scenarios!R$121:R$199,MATCH($B686,Scenarios!$B$121:$B$199,0)),),"Market")</f>
        <v>0</v>
      </c>
      <c r="S686" s="478">
        <f>IFERROR(MAX(0,INDEX(Input!$1:$1048576,S$93,$C686*2+MIN($B686,2)+5)
+INDEX(Scenarios!S$121:S$199,MATCH($B686,Scenarios!$B$121:$B$199,0)),),"Market")</f>
        <v>0</v>
      </c>
      <c r="T686" s="478">
        <f>IFERROR(MAX(0,INDEX(Input!$1:$1048576,T$93,$C686*2+MIN($B686,2)+5)
+INDEX(Scenarios!T$121:T$199,MATCH($B686,Scenarios!$B$121:$B$199,0)),),"Market")</f>
        <v>0</v>
      </c>
      <c r="U686" s="478">
        <f>IFERROR(MAX(0,INDEX(Input!$1:$1048576,U$93,$C686*2+MIN($B686,2)+5)
+INDEX(Scenarios!U$121:U$199,MATCH($B686,Scenarios!$B$121:$B$199,0)),),"Market")</f>
        <v>0</v>
      </c>
      <c r="V686" s="478">
        <f>IFERROR(MAX(0,INDEX(Input!$1:$1048576,V$93,$C686*2+MIN($B686,2)+5)
+INDEX(Scenarios!V$121:V$199,MATCH($B686,Scenarios!$B$121:$B$199,0)),),"Market")</f>
        <v>8.9999999999999993E-3</v>
      </c>
      <c r="W686" s="885">
        <f>IFERROR(MAX(0,INDEX(Input!$1:$1048576,W$93,$C686*2+MIN($B686,2)+5)-0%),"Market")</f>
        <v>3.9E-2</v>
      </c>
      <c r="X686" s="476" t="str">
        <f>INDEX(Input!$1:$1048576,X$93,$C686*2+MIN($B686,2)+5)</f>
        <v>Y</v>
      </c>
      <c r="Y686" s="475">
        <f>INDEX(Input!$1:$1048576,Y$93,$C686*2+MIN($B686,2)+5)
++INDEX(Scenarios!Y$121:Y$199,MATCH($B686,Scenarios!$B$121:$B$199,0))</f>
        <v>737.99367635402496</v>
      </c>
      <c r="Z686" s="477">
        <f>INDEX(Input!$1:$1048576,Z$93,$C686*2+MIN($B686,2)+5)
+INDEX(Scenarios!Z$121:Z$199,MATCH($B686,Scenarios!$B$121:$B$199,0))</f>
        <v>0</v>
      </c>
      <c r="AA686" s="475">
        <f>INDEX(Input!$1:$1048576,AA$93,$C686*2+MIN($B686,2)+5)</f>
        <v>0</v>
      </c>
      <c r="AB686" s="476">
        <f>INDEX(Input!$1:$1048576,AB$93,$C686*2+MIN($B686,2)+5)</f>
        <v>0.27</v>
      </c>
      <c r="AC686" s="475">
        <f>INDEX(Input!$1:$1048576,AC$93,$C686*2+MIN($B686,2)+5)
+INDEX(Scenarios!AC$121:AC$199,MATCH($B686,Scenarios!$B$121:$B$199,0))</f>
        <v>0</v>
      </c>
      <c r="AD686" s="476">
        <f>INDEX(Input!$1:$1048576,AD$93,$C686*2+MIN($B686,2)+5)</f>
        <v>0.27</v>
      </c>
      <c r="AE686" s="475">
        <f>INDEX(Input!$1:$1048576,AE$93,$C686*2+MIN($B686,2)+5)
+INDEX(Scenarios!AE$121:AE$199,MATCH($B686,Scenarios!$B$121:$B$199,0))</f>
        <v>0</v>
      </c>
      <c r="AF686" s="476">
        <f>INDEX(Input!$1:$1048576,AF$93,$C686*2+MIN($B686,2)+5)</f>
        <v>1</v>
      </c>
      <c r="AG686" s="475">
        <f>INDEX(Input!$1:$1048576,AG$93,$C686*2+MIN($B686,2)+5)</f>
        <v>500</v>
      </c>
      <c r="AH686" s="476">
        <f>INDEX(Input!$1:$1048576,AH$93,$C686*2+MIN($B686,2)+5)</f>
        <v>1</v>
      </c>
      <c r="AI686" s="475">
        <f>INDEX(Input!$1:$1048576,AI$93,$C686*2+MIN($B686,2)+5)</f>
        <v>0</v>
      </c>
      <c r="AJ686" s="476">
        <f>INDEX(Input!$1:$1048576,AJ$93,$C686*2+MIN($B686,2)+5)</f>
        <v>0.27</v>
      </c>
      <c r="AK686" s="150">
        <f>ROUND(INDEX(Input!$1:$1048576,AK$93,$C685*2+MIN($B686,1)+5)+(Y686-VLOOKUP($C686*1000+1,$A:$HH,Y$92,FALSE)),0)</f>
        <v>3061</v>
      </c>
      <c r="AL686" s="150">
        <f>ROUND(INDEX(Input!$1:$1048576,AL$93,$C685*2+MIN($B686,1)+5)-(Y686-VLOOKUP($C686*1000+1,$A:$HH,Y$92,FALSE))/36,0)</f>
        <v>3552</v>
      </c>
      <c r="AM686" s="32" t="str">
        <f t="shared" si="2010"/>
        <v>std/std/std/std</v>
      </c>
      <c r="AN686" s="32" t="str">
        <f t="shared" si="2011"/>
        <v>$0 + 0/0/0/0.9/3.9</v>
      </c>
      <c r="AO686" s="32" t="str">
        <f t="shared" si="2012"/>
        <v>0/0/0/0.9/3.9</v>
      </c>
      <c r="AP686" s="32" t="str">
        <f t="shared" si="1990"/>
        <v>0/0/0.9/3.9</v>
      </c>
      <c r="AQ686" s="536">
        <f t="shared" si="1991"/>
        <v>0.38096719565049258</v>
      </c>
      <c r="AR686" s="32"/>
      <c r="AS686" s="302"/>
      <c r="AT686" s="3">
        <f t="shared" si="2045"/>
        <v>86</v>
      </c>
      <c r="AU686" s="41" t="s">
        <v>121</v>
      </c>
      <c r="AV686" s="41" t="s">
        <v>116</v>
      </c>
      <c r="AW686" s="41" t="str">
        <f>INDEX(Input!$1:$1048576,AW$93,$C686*2+6)</f>
        <v>Kia</v>
      </c>
      <c r="AX686" s="41" t="str">
        <f>INDEX(Input!$1:$1048576,AX$93,$C686*2+6)</f>
        <v>National</v>
      </c>
      <c r="AY686" s="41" t="str">
        <f>IF(LEN(D686)=0,"",INDEX(Input!$1:$1048576,AY$93,$C686*2+6))</f>
        <v>Compact SUV (52)</v>
      </c>
      <c r="AZ686" s="41" t="str">
        <f>INDEX(Input!$1:$1048576,AZ$93,$C686*2+6)</f>
        <v>Kia Soul</v>
      </c>
      <c r="BA686" s="3">
        <f>INDEX(Input!$1:$1048576,BA$93,$C686*2+6)</f>
        <v>2020</v>
      </c>
      <c r="BB686" s="128">
        <f>INDEX(Input!$1:$1048576,BB$93,$C686*2+6)</f>
        <v>1</v>
      </c>
      <c r="BC686" s="128">
        <f>INDEX(Input!$1:$1048576,BC$93,$C686*2+6)</f>
        <v>0.7</v>
      </c>
      <c r="BD686" s="1">
        <f>INDEX(Input!$1:$1048576,BD$93,$C686*2+6)</f>
        <v>4.4999999999999998E-2</v>
      </c>
      <c r="BE686" s="1">
        <f>INDEX(Input!$1:$1048576,BE$93,$C686*2+6)</f>
        <v>4.4999999999999998E-2</v>
      </c>
      <c r="BF686" s="1">
        <f>INDEX(Input!$1:$1048576,BF$93,$C686*2+6)</f>
        <v>0.05</v>
      </c>
      <c r="BG686" s="1">
        <f>INDEX(Input!$1:$1048576,BG$93,$C686*2+6)</f>
        <v>5.45E-2</v>
      </c>
      <c r="BH686" s="1">
        <f>INDEX(Input!$1:$1048576,BH$93,$C686*2+6)</f>
        <v>5.45E-2</v>
      </c>
      <c r="BI686" s="1">
        <f>INDEX(Input!$1:$1048576,BI$93,$C686*2+6)</f>
        <v>0.05</v>
      </c>
      <c r="BJ686" s="1">
        <f>INDEX(Input!$1:$1048576,BJ$93,$C686*2+6)</f>
        <v>0.05</v>
      </c>
      <c r="BK686" s="1">
        <f>INDEX(Input!$1:$1048576,BK$93,$C686*2+6)</f>
        <v>0.05</v>
      </c>
      <c r="BL686" s="1">
        <f>INDEX(Input!$1:$1048576,BL$93,$C686*2+6)</f>
        <v>5.5E-2</v>
      </c>
      <c r="BM686" s="1">
        <f>INDEX(Input!$1:$1048576,BM$93,$C686*2+6)</f>
        <v>0.06</v>
      </c>
      <c r="BN686" s="1">
        <f>INDEX(Input!$1:$1048576,BN$93,$C686*2+6)</f>
        <v>4.4999999999999998E-2</v>
      </c>
      <c r="BO686" s="1">
        <f>INDEX(Input!$1:$1048576,BO$93,$C686*2+6)</f>
        <v>4.4999999999999998E-2</v>
      </c>
      <c r="BP686" s="1">
        <f>INDEX(Input!$1:$1048576,BP$93,$C686*2+6)</f>
        <v>0.05</v>
      </c>
      <c r="BQ686" s="1">
        <f>INDEX(Input!$1:$1048576,BQ$93,$C686*2+6)</f>
        <v>5.45E-2</v>
      </c>
      <c r="BR686" s="1">
        <f>INDEX(Input!$1:$1048576,BR$93,$C686*2+6)</f>
        <v>5.45E-2</v>
      </c>
      <c r="BS686" s="1">
        <f>INDEX(Input!$1:$1048576,BS$93,$C686*2+6)</f>
        <v>0.05</v>
      </c>
      <c r="BT686" s="1">
        <f>INDEX(Input!$1:$1048576,BT$93,$C686*2+6)</f>
        <v>0.05</v>
      </c>
      <c r="BU686" s="1">
        <f>INDEX(Input!$1:$1048576,BU$93,$C686*2+6)</f>
        <v>0.05</v>
      </c>
      <c r="BV686" s="1">
        <f>INDEX(Input!$1:$1048576,BV$93,$C686*2+6)</f>
        <v>5.5E-2</v>
      </c>
      <c r="BW686" s="1">
        <f>INDEX(Input!$1:$1048576,BW$93,$C686*2+6)</f>
        <v>0.06</v>
      </c>
      <c r="BX686" s="127">
        <f>INDEX(Input!$1:$1048576,BX$93,$C686*2+6)</f>
        <v>19985</v>
      </c>
      <c r="BY686" s="20">
        <f>INDEX(Input!$1:$1048576,BY$93,$C686*2+6)</f>
        <v>0.1</v>
      </c>
      <c r="BZ686" s="20">
        <f>INDEX(Input!$1:$1048576,BZ$93,$C686*2+6)</f>
        <v>0.1</v>
      </c>
      <c r="CA686" s="20">
        <f>INDEX(Input!$1:$1048576,CA$93,$C686*2+6)</f>
        <v>0.1</v>
      </c>
      <c r="CB686" s="20">
        <f>INDEX(Input!$1:$1048576,CB$93,$C686*2+6)</f>
        <v>0.1</v>
      </c>
      <c r="CC686" s="20">
        <f>INDEX(Input!$1:$1048576,CC$93,$C686*2+6)</f>
        <v>0.1</v>
      </c>
      <c r="CD686" s="384">
        <f>INDEX(Input!$1:$1048576,CD$93,$C686*2+6)</f>
        <v>0.1</v>
      </c>
      <c r="CE686" s="384">
        <f>INDEX(Input!$1:$1048576,CE$93,$C686*2+6)</f>
        <v>0.1</v>
      </c>
      <c r="CF686" s="384">
        <f>INDEX(Input!$1:$1048576,CF$93,$C686*2+6)</f>
        <v>0.1</v>
      </c>
      <c r="CG686" s="384">
        <f>INDEX(Input!$1:$1048576,CG$93,$C686*2+6)</f>
        <v>0.1</v>
      </c>
      <c r="CH686" s="384">
        <f>INDEX(Input!$1:$1048576,CH$93,$C686*2+6)</f>
        <v>0.1</v>
      </c>
      <c r="CI686" s="304">
        <f t="shared" si="1992"/>
        <v>1017.2644913000609</v>
      </c>
      <c r="CJ686" s="16" t="str">
        <f>INDEX(Input!$1:$1048576,CJ$93,$C686*2+6)</f>
        <v>N</v>
      </c>
      <c r="CK686" s="1" t="str">
        <f t="shared" si="1993"/>
        <v>Market</v>
      </c>
      <c r="CL686" s="1" t="str">
        <f t="shared" si="1994"/>
        <v>Market</v>
      </c>
      <c r="CM686" s="1" t="str">
        <f t="shared" si="1995"/>
        <v>Market</v>
      </c>
      <c r="CN686" s="1" t="str">
        <f t="shared" si="1996"/>
        <v>Market</v>
      </c>
      <c r="CO686" s="1" t="str">
        <f t="shared" si="1997"/>
        <v>Market</v>
      </c>
      <c r="CP686" s="304">
        <f t="shared" si="1998"/>
        <v>500</v>
      </c>
      <c r="CQ686" s="1">
        <f t="shared" si="1999"/>
        <v>0</v>
      </c>
      <c r="CR686" s="1">
        <f t="shared" si="2000"/>
        <v>0</v>
      </c>
      <c r="CS686" s="1">
        <f t="shared" si="2001"/>
        <v>0</v>
      </c>
      <c r="CT686" s="1">
        <f t="shared" si="2002"/>
        <v>8.9999999999999993E-3</v>
      </c>
      <c r="CU686" s="1">
        <f t="shared" si="2003"/>
        <v>3.9E-2</v>
      </c>
      <c r="CV686" s="304">
        <f t="shared" si="2004"/>
        <v>737.99367635402496</v>
      </c>
      <c r="CW686" s="20" t="s">
        <v>122</v>
      </c>
      <c r="CX686" s="20" t="s">
        <v>122</v>
      </c>
      <c r="CY686" s="20" t="s">
        <v>122</v>
      </c>
      <c r="CZ686" s="20" t="s">
        <v>122</v>
      </c>
      <c r="DA686" s="20" t="s">
        <v>122</v>
      </c>
      <c r="DB686" s="503">
        <f t="shared" si="2005"/>
        <v>0</v>
      </c>
      <c r="DC686" s="127">
        <v>0</v>
      </c>
      <c r="DD686" s="127">
        <v>0</v>
      </c>
      <c r="DE686" s="127">
        <v>0</v>
      </c>
      <c r="DF686" s="127">
        <v>0</v>
      </c>
      <c r="DG686" s="127">
        <v>0</v>
      </c>
      <c r="DH686" s="127">
        <v>0</v>
      </c>
      <c r="DI686" s="127">
        <v>0</v>
      </c>
      <c r="DJ686" s="127">
        <v>0</v>
      </c>
      <c r="DK686" s="127">
        <v>0</v>
      </c>
      <c r="DL686" s="127">
        <v>0</v>
      </c>
      <c r="DM686" s="304">
        <f>INDEX(Input!$1:$1048576,DM$93,$C686*2+6)</f>
        <v>21036.84210526316</v>
      </c>
      <c r="DN686" s="20">
        <v>0</v>
      </c>
      <c r="DO686" s="20">
        <v>0</v>
      </c>
      <c r="DP686" s="20">
        <v>0</v>
      </c>
      <c r="DQ686" s="20">
        <v>0</v>
      </c>
      <c r="DR686" s="20">
        <v>0</v>
      </c>
      <c r="DS686" s="20">
        <f>INDEX(Input!$1:$1048576,DS$93,$C686*2+6)</f>
        <v>0.6</v>
      </c>
      <c r="DT686" s="20">
        <f>INDEX(Input!$1:$1048576,DT$93,$C686*2+6)</f>
        <v>0.55000000000000004</v>
      </c>
      <c r="DU686" s="20">
        <f>INDEX(Input!$1:$1048576,DU$93,$C686*2+6)</f>
        <v>0.52</v>
      </c>
      <c r="DV686" s="20">
        <f>INDEX(Input!$1:$1048576,DV$93,$C686*2+6)</f>
        <v>0.5</v>
      </c>
      <c r="DW686" s="20">
        <f>INDEX(Input!$1:$1048576,DW$93,$C686*2+6)</f>
        <v>0.45</v>
      </c>
      <c r="DX686" s="20"/>
      <c r="DY686" s="7"/>
      <c r="DZ686" s="7"/>
      <c r="EA686" s="7"/>
      <c r="EB686" s="7"/>
      <c r="EC686" s="7"/>
      <c r="ED686" s="7"/>
      <c r="EE686" s="7"/>
      <c r="EF686" s="7"/>
      <c r="EG686" s="7"/>
      <c r="EH686" s="7"/>
      <c r="EI686" s="7"/>
      <c r="EJ686" s="7"/>
      <c r="EK686" s="7"/>
      <c r="EL686" s="7"/>
      <c r="EM686" s="7"/>
      <c r="EN686" s="7"/>
      <c r="EO686" s="7"/>
      <c r="EP686" s="7"/>
      <c r="EQ686" s="7"/>
      <c r="ER686" s="7"/>
      <c r="ES686" s="7"/>
      <c r="ET686" s="7"/>
      <c r="EU686" s="6"/>
      <c r="EV686" s="6"/>
      <c r="EW686" s="6"/>
      <c r="EX686" s="6"/>
      <c r="EY686" s="6"/>
      <c r="EZ686" s="6"/>
      <c r="FA686" s="6"/>
      <c r="FB686" s="6"/>
      <c r="FC686" s="6"/>
      <c r="FD686" s="6"/>
      <c r="FE686" s="6"/>
      <c r="FF686" s="6"/>
      <c r="FG686" s="6"/>
      <c r="FH686" s="6"/>
      <c r="FI686" s="6"/>
      <c r="FJ686" s="6"/>
      <c r="FK686" s="6"/>
      <c r="FL686" s="6"/>
      <c r="FM686" s="6"/>
      <c r="FN686" s="6"/>
      <c r="FO686" s="6"/>
      <c r="FP686" s="6"/>
      <c r="FQ686" s="6"/>
      <c r="FR686" s="6"/>
      <c r="FS686" s="6"/>
      <c r="FT686" s="7"/>
      <c r="FU686" s="7"/>
      <c r="FV686" s="7"/>
      <c r="FW686" s="6"/>
      <c r="FX686" s="6"/>
      <c r="FY686" s="6"/>
      <c r="FZ686" s="6"/>
      <c r="GA686" s="6"/>
      <c r="GB686" s="6"/>
      <c r="GC686" s="7"/>
      <c r="GD686" s="7"/>
      <c r="GE686" s="7"/>
      <c r="GF686" s="7"/>
      <c r="GG686" s="7"/>
      <c r="GH686" s="42"/>
      <c r="GI686" s="6"/>
      <c r="GJ686" s="14"/>
      <c r="GK686" s="14"/>
      <c r="GL686" s="14"/>
      <c r="GM686" s="14"/>
      <c r="GO686" s="5"/>
      <c r="GP686" s="5"/>
      <c r="GQ686" s="5"/>
      <c r="GR686" s="5"/>
      <c r="GS686" s="5"/>
      <c r="GT686" s="5"/>
      <c r="GU686" s="5"/>
      <c r="GV686" s="39"/>
      <c r="GW686" s="5"/>
      <c r="GX686" s="5"/>
      <c r="GY686" s="5"/>
      <c r="GZ686" s="5"/>
      <c r="HA686" s="5"/>
      <c r="HB686" s="39"/>
      <c r="HC686" s="5"/>
      <c r="HD686" s="5"/>
      <c r="HE686" s="5"/>
      <c r="HF686" s="5"/>
      <c r="HG686" s="5"/>
      <c r="HH686" s="39"/>
      <c r="HI686" s="16"/>
      <c r="HJ686" s="19"/>
      <c r="HK686" s="1"/>
      <c r="HL686" s="16"/>
      <c r="HM686" s="639">
        <f t="shared" si="2013"/>
        <v>2.827492079131002E-2</v>
      </c>
      <c r="HN686" s="639">
        <f t="shared" si="2014"/>
        <v>1.6178937670421065E-3</v>
      </c>
      <c r="HO686" s="639">
        <f t="shared" si="2015"/>
        <v>1.846520531600027E-3</v>
      </c>
      <c r="HP686" s="644">
        <f t="shared" ref="HP686:ID686" si="2112">HP186+HP286+HP386+HP486+HP586</f>
        <v>-78.084835294857953</v>
      </c>
      <c r="HQ686" s="644">
        <f t="shared" si="2112"/>
        <v>68.228685646079526</v>
      </c>
      <c r="HR686" s="644">
        <f t="shared" si="2112"/>
        <v>16.599054527662339</v>
      </c>
      <c r="HS686" s="644">
        <f t="shared" si="2112"/>
        <v>6.2715176305858478</v>
      </c>
      <c r="HT686" s="644">
        <f t="shared" si="2112"/>
        <v>125.5017713401553</v>
      </c>
      <c r="HU686" s="644">
        <f t="shared" si="2112"/>
        <v>3.5958217118029481</v>
      </c>
      <c r="HV686" s="644">
        <f t="shared" si="2112"/>
        <v>0</v>
      </c>
      <c r="HW686" s="644">
        <f t="shared" si="2112"/>
        <v>0</v>
      </c>
      <c r="HX686" s="644">
        <f t="shared" si="2112"/>
        <v>0</v>
      </c>
      <c r="HY686" s="644">
        <f t="shared" si="2112"/>
        <v>1326</v>
      </c>
      <c r="HZ686" s="644">
        <f t="shared" si="2112"/>
        <v>1645</v>
      </c>
      <c r="IA686" s="644">
        <f t="shared" si="2112"/>
        <v>179</v>
      </c>
      <c r="IB686" s="644">
        <f t="shared" si="2112"/>
        <v>1254.1866823357282</v>
      </c>
      <c r="IC686" s="644">
        <f t="shared" si="2112"/>
        <v>1838.7304569862349</v>
      </c>
      <c r="ID686" s="644">
        <f t="shared" si="2112"/>
        <v>199.19487623946529</v>
      </c>
      <c r="IE686" s="20">
        <f t="shared" si="2017"/>
        <v>0.38096719565049258</v>
      </c>
      <c r="IF686" s="20">
        <f t="shared" si="2018"/>
        <v>0.55852609154693733</v>
      </c>
      <c r="IG686" s="20">
        <f t="shared" si="2019"/>
        <v>6.0506712802570022E-2</v>
      </c>
      <c r="IH686" s="21"/>
      <c r="II686" s="19"/>
      <c r="IJ686" s="19"/>
      <c r="IK686" s="19"/>
      <c r="IL686" s="19">
        <f t="shared" si="2020"/>
        <v>-24.737811488810394</v>
      </c>
      <c r="IM686" s="19">
        <f t="shared" si="2021"/>
        <v>550.4549005495528</v>
      </c>
      <c r="IN686" s="19">
        <f t="shared" si="2022"/>
        <v>194.41528326084517</v>
      </c>
      <c r="IO686" s="39"/>
      <c r="IP686" s="39"/>
      <c r="IQ686" s="39"/>
      <c r="IR686" s="39"/>
      <c r="IS686" s="39"/>
      <c r="IT686" s="39"/>
      <c r="IU686" s="39"/>
      <c r="IV686" s="39"/>
      <c r="IW686" s="39"/>
      <c r="IX686" s="19">
        <f t="shared" si="2023"/>
        <v>1644.4343891402716</v>
      </c>
      <c r="IY686" s="19">
        <f t="shared" si="2024"/>
        <v>2499.6673166042456</v>
      </c>
      <c r="IZ686" s="19">
        <f t="shared" si="2025"/>
        <v>3988.9119465010417</v>
      </c>
      <c r="JA686" s="19">
        <f t="shared" ref="JA686:JC686" si="2113">IFERROR((JA186*IB186+JA286*IB286+JA386*IB386+JA486*IB486+JA586*IB586)/IB686,0)</f>
        <v>1619.6965776514612</v>
      </c>
      <c r="JB686" s="19">
        <f t="shared" si="2113"/>
        <v>3050.1222171537984</v>
      </c>
      <c r="JC686" s="19">
        <f t="shared" si="2113"/>
        <v>4183.3272297618869</v>
      </c>
      <c r="JD686" s="19">
        <f t="shared" si="2027"/>
        <v>2573.7434829303406</v>
      </c>
      <c r="JE686" s="21"/>
      <c r="JF686" s="1">
        <f t="shared" si="2028"/>
        <v>3.1672499510824001E-2</v>
      </c>
      <c r="JG686" s="15">
        <f t="shared" si="2029"/>
        <v>3150</v>
      </c>
      <c r="JH686" s="1">
        <f t="shared" si="2030"/>
        <v>2.1406047234552102E-3</v>
      </c>
      <c r="JI686" s="1">
        <f t="shared" si="2031"/>
        <v>4.29743208516013E-2</v>
      </c>
      <c r="JJ686" s="1">
        <f t="shared" si="2032"/>
        <v>0</v>
      </c>
      <c r="JK686" s="1">
        <f t="shared" si="2033"/>
        <v>4.5114925575056516E-2</v>
      </c>
      <c r="JL686" s="15">
        <f t="shared" ref="JL686:JM686" si="2114">JL186+JL286+JL386+JL486+JL586</f>
        <v>142.11201556142802</v>
      </c>
      <c r="JM686" s="15">
        <f t="shared" si="2114"/>
        <v>3292.1120155614281</v>
      </c>
      <c r="JN686" s="21"/>
      <c r="JO686" s="19">
        <f>INDEX(Input!$1:$1048576,JO$93,$C686*2+6)</f>
        <v>5995.5</v>
      </c>
      <c r="JP686" s="19">
        <f>INDEX(Input!$1:$1048576,JP$93,$C686*2+6)</f>
        <v>2296.6050414551746</v>
      </c>
      <c r="JQ686" s="39">
        <f t="shared" si="2053"/>
        <v>3421.7565170696594</v>
      </c>
      <c r="JR686" s="39">
        <f t="shared" si="2054"/>
        <v>277.13844147516602</v>
      </c>
      <c r="JS686" s="39">
        <f t="shared" si="2055"/>
        <v>8.4730518451278929</v>
      </c>
      <c r="JT686" s="39">
        <f t="shared" si="2056"/>
        <v>1.2387459645440932</v>
      </c>
      <c r="JU686" s="385">
        <f>(JQ686*JM686-INDEX(Input!$1:$1048576,Input!A$18,$C686*2+6)*JL686*INDEX(Input!$1:$1048576,Input!A$19,$C686*2+6))/1000000</f>
        <v>11.26480574417065</v>
      </c>
      <c r="JV686" s="39">
        <f t="shared" si="2057"/>
        <v>-0.38671337524555049</v>
      </c>
      <c r="JW686" s="1">
        <f t="shared" si="2058"/>
        <v>-3.3189953282669188E-2</v>
      </c>
      <c r="JX686" s="19">
        <f t="shared" si="2059"/>
        <v>8716.6870419105726</v>
      </c>
      <c r="JZ686" s="341"/>
      <c r="KA686" s="60"/>
      <c r="KB686" s="469">
        <f t="shared" si="2035"/>
        <v>0</v>
      </c>
      <c r="KI686" s="472"/>
      <c r="KJ686" s="472"/>
      <c r="KK686" s="472"/>
      <c r="KN686" s="26">
        <f t="shared" si="2036"/>
        <v>6002</v>
      </c>
      <c r="KO686" s="794">
        <f t="shared" si="2037"/>
        <v>-0.5012169536558404</v>
      </c>
      <c r="KP686" s="795">
        <f t="shared" si="2038"/>
        <v>139.42427828840232</v>
      </c>
      <c r="KQ686" s="795">
        <f t="shared" si="2039"/>
        <v>110.91022632519571</v>
      </c>
      <c r="KR686" s="26">
        <f t="shared" si="2040"/>
        <v>-62.99051459608372</v>
      </c>
      <c r="KS686" s="26">
        <f t="shared" si="2041"/>
        <v>-79.184826571568621</v>
      </c>
      <c r="KT686" s="796">
        <f t="shared" si="2049"/>
        <v>4286.2445668946921</v>
      </c>
      <c r="KU686" s="797">
        <f t="shared" si="2042"/>
        <v>-1.8008830081915066</v>
      </c>
    </row>
    <row r="687" spans="1:307" s="26" customFormat="1" ht="15" outlineLevel="1">
      <c r="A687" s="561">
        <f t="shared" si="2009"/>
        <v>6087</v>
      </c>
      <c r="B687" s="561">
        <f t="shared" si="2043"/>
        <v>87</v>
      </c>
      <c r="C687" s="561">
        <f t="shared" si="2044"/>
        <v>6</v>
      </c>
      <c r="D687" s="561" t="str">
        <f t="shared" si="2108"/>
        <v xml:space="preserve">-500 CC, 0/0/0.9/3.9, </v>
      </c>
      <c r="E687" s="475">
        <f>INDEX(Input!$1:$1048576,E$93,$C687*2+MIN($B687,2)+5)
+INDEX(Scenarios!E$121:E$199,MATCH($B687,Scenarios!$B$121:$B$199,0))</f>
        <v>767.26449130006085</v>
      </c>
      <c r="F687" s="475">
        <f>INDEX(Input!$1:$1048576,F$93,$C687*2+MIN($B687,2)+5)
+INDEX(Scenarios!F$121:F$199,MATCH($B687,Scenarios!$B$121:$B$199,0))</f>
        <v>0</v>
      </c>
      <c r="G687" s="475">
        <f>INDEX(Input!$1:$1048576,G$93,$C687*2+MIN($B687,2)+5)
+INDEX(Scenarios!G$121:G$199,MATCH($B687,Scenarios!$B$121:$B$199,0))</f>
        <v>0</v>
      </c>
      <c r="H687" s="475">
        <f>INDEX(Input!$1:$1048576,H$93,$C687*2+MIN($B687,2)+5)
+INDEX(Scenarios!H$121:H$199,MATCH($B687,Scenarios!$B$121:$B$199,0))</f>
        <v>0</v>
      </c>
      <c r="I687" s="476">
        <f>INDEX(Input!$1:$1048576,I$93,$C687*2+MIN($B687,2)+5)
+INDEX(Scenarios!I$121:I$199,MATCH($B687,Scenarios!$B$121:$B$199,0))</f>
        <v>0.7</v>
      </c>
      <c r="J687" s="476" t="str">
        <f>INDEX(Input!$1:$1048576,J$93,$C687*2+MIN($B687,2)+5)</f>
        <v>Market</v>
      </c>
      <c r="K687" s="476" t="str">
        <f>INDEX(Input!$1:$1048576,K$93,$C687*2+MIN($B687,2)+5)</f>
        <v>Market</v>
      </c>
      <c r="L687" s="476" t="str">
        <f>INDEX(Input!$1:$1048576,L$93,$C687*2+MIN($B687,2)+5)</f>
        <v>Market</v>
      </c>
      <c r="M687" s="476" t="str">
        <f>INDEX(Input!$1:$1048576,M$93,$C687*2+MIN($B687,2)+5)</f>
        <v>Market</v>
      </c>
      <c r="N687" s="476" t="str">
        <f>INDEX(Input!$1:$1048576,N$93,$C687*2+MIN($B687,2)+5)</f>
        <v>Market</v>
      </c>
      <c r="O687" s="476" t="str">
        <f>INDEX(Input!$1:$1048576,O$93,$C687*2+MIN($B687,2)+5)</f>
        <v>Market</v>
      </c>
      <c r="P687" s="476" t="str">
        <f>INDEX(Input!$1:$1048576,P$93,$C687*2+MIN($B687,2)+5)</f>
        <v>N</v>
      </c>
      <c r="Q687" s="477">
        <f>INDEX(Input!$1:$1048576,Q$93,$C687*2+MIN($B687,2)+5)
+INDEX(Scenarios!Q$121:Q$199,MATCH($B687,Scenarios!$B$121:$B$199,0))</f>
        <v>0</v>
      </c>
      <c r="R687" s="478">
        <f>IFERROR(MAX(0,INDEX(Input!$1:$1048576,R$93,$C687*2+MIN($B687,2)+5)
+INDEX(Scenarios!R$121:R$199,MATCH($B687,Scenarios!$B$121:$B$199,0)),),"Market")</f>
        <v>0</v>
      </c>
      <c r="S687" s="478">
        <f>IFERROR(MAX(0,INDEX(Input!$1:$1048576,S$93,$C687*2+MIN($B687,2)+5)
+INDEX(Scenarios!S$121:S$199,MATCH($B687,Scenarios!$B$121:$B$199,0)),),"Market")</f>
        <v>0</v>
      </c>
      <c r="T687" s="478">
        <f>IFERROR(MAX(0,INDEX(Input!$1:$1048576,T$93,$C687*2+MIN($B687,2)+5)
+INDEX(Scenarios!T$121:T$199,MATCH($B687,Scenarios!$B$121:$B$199,0)),),"Market")</f>
        <v>0</v>
      </c>
      <c r="U687" s="478">
        <f>IFERROR(MAX(0,INDEX(Input!$1:$1048576,U$93,$C687*2+MIN($B687,2)+5)
+INDEX(Scenarios!U$121:U$199,MATCH($B687,Scenarios!$B$121:$B$199,0)),),"Market")</f>
        <v>0</v>
      </c>
      <c r="V687" s="478">
        <f>IFERROR(MAX(0,INDEX(Input!$1:$1048576,V$93,$C687*2+MIN($B687,2)+5)
+INDEX(Scenarios!V$121:V$199,MATCH($B687,Scenarios!$B$121:$B$199,0)),),"Market")</f>
        <v>8.9999999999999993E-3</v>
      </c>
      <c r="W687" s="885">
        <f>IFERROR(MAX(0,INDEX(Input!$1:$1048576,W$93,$C687*2+MIN($B687,2)+5)-0%),"Market")</f>
        <v>3.9E-2</v>
      </c>
      <c r="X687" s="476" t="str">
        <f>INDEX(Input!$1:$1048576,X$93,$C687*2+MIN($B687,2)+5)</f>
        <v>Y</v>
      </c>
      <c r="Y687" s="475">
        <f>INDEX(Input!$1:$1048576,Y$93,$C687*2+MIN($B687,2)+5)
++INDEX(Scenarios!Y$121:Y$199,MATCH($B687,Scenarios!$B$121:$B$199,0))</f>
        <v>737.99367635402496</v>
      </c>
      <c r="Z687" s="477">
        <f>INDEX(Input!$1:$1048576,Z$93,$C687*2+MIN($B687,2)+5)
+INDEX(Scenarios!Z$121:Z$199,MATCH($B687,Scenarios!$B$121:$B$199,0))</f>
        <v>0</v>
      </c>
      <c r="AA687" s="475">
        <f>INDEX(Input!$1:$1048576,AA$93,$C687*2+MIN($B687,2)+5)</f>
        <v>0</v>
      </c>
      <c r="AB687" s="476">
        <f>INDEX(Input!$1:$1048576,AB$93,$C687*2+MIN($B687,2)+5)</f>
        <v>0.27</v>
      </c>
      <c r="AC687" s="475">
        <f>INDEX(Input!$1:$1048576,AC$93,$C687*2+MIN($B687,2)+5)
+INDEX(Scenarios!AC$121:AC$199,MATCH($B687,Scenarios!$B$121:$B$199,0))</f>
        <v>0</v>
      </c>
      <c r="AD687" s="476">
        <f>INDEX(Input!$1:$1048576,AD$93,$C687*2+MIN($B687,2)+5)</f>
        <v>0.27</v>
      </c>
      <c r="AE687" s="475">
        <f>INDEX(Input!$1:$1048576,AE$93,$C687*2+MIN($B687,2)+5)
+INDEX(Scenarios!AE$121:AE$199,MATCH($B687,Scenarios!$B$121:$B$199,0))</f>
        <v>0</v>
      </c>
      <c r="AF687" s="476">
        <f>INDEX(Input!$1:$1048576,AF$93,$C687*2+MIN($B687,2)+5)</f>
        <v>1</v>
      </c>
      <c r="AG687" s="475">
        <f>INDEX(Input!$1:$1048576,AG$93,$C687*2+MIN($B687,2)+5)</f>
        <v>500</v>
      </c>
      <c r="AH687" s="476">
        <f>INDEX(Input!$1:$1048576,AH$93,$C687*2+MIN($B687,2)+5)</f>
        <v>1</v>
      </c>
      <c r="AI687" s="475">
        <f>INDEX(Input!$1:$1048576,AI$93,$C687*2+MIN($B687,2)+5)</f>
        <v>0</v>
      </c>
      <c r="AJ687" s="476">
        <f>INDEX(Input!$1:$1048576,AJ$93,$C687*2+MIN($B687,2)+5)</f>
        <v>0.27</v>
      </c>
      <c r="AK687" s="150">
        <f>ROUND(INDEX(Input!$1:$1048576,AK$93,$C686*2+MIN($B687,1)+5)+(Y687-VLOOKUP($C687*1000+1,$A:$HH,Y$92,FALSE)),0)</f>
        <v>3061</v>
      </c>
      <c r="AL687" s="150">
        <f>ROUND(INDEX(Input!$1:$1048576,AL$93,$C686*2+MIN($B687,1)+5)-(Y687-VLOOKUP($C687*1000+1,$A:$HH,Y$92,FALSE))/36,0)</f>
        <v>3552</v>
      </c>
      <c r="AM687" s="32" t="str">
        <f t="shared" si="2010"/>
        <v>std/std/std/std</v>
      </c>
      <c r="AN687" s="32" t="str">
        <f t="shared" si="2011"/>
        <v>$0 + 0/0/0/0.9/3.9</v>
      </c>
      <c r="AO687" s="32" t="str">
        <f t="shared" si="2012"/>
        <v>0/0/0/0.9/3.9</v>
      </c>
      <c r="AP687" s="32" t="str">
        <f t="shared" si="1990"/>
        <v>0/0/0.9/3.9</v>
      </c>
      <c r="AQ687" s="536">
        <f t="shared" si="1991"/>
        <v>0.36209236727540128</v>
      </c>
      <c r="AR687" s="32"/>
      <c r="AS687" s="302"/>
      <c r="AT687" s="3">
        <f t="shared" si="2045"/>
        <v>87</v>
      </c>
      <c r="AU687" s="41" t="s">
        <v>121</v>
      </c>
      <c r="AV687" s="41" t="s">
        <v>116</v>
      </c>
      <c r="AW687" s="41" t="str">
        <f>INDEX(Input!$1:$1048576,AW$93,$C687*2+6)</f>
        <v>Kia</v>
      </c>
      <c r="AX687" s="41" t="str">
        <f>INDEX(Input!$1:$1048576,AX$93,$C687*2+6)</f>
        <v>National</v>
      </c>
      <c r="AY687" s="41" t="str">
        <f>IF(LEN(D687)=0,"",INDEX(Input!$1:$1048576,AY$93,$C687*2+6))</f>
        <v>Compact SUV (52)</v>
      </c>
      <c r="AZ687" s="41" t="str">
        <f>INDEX(Input!$1:$1048576,AZ$93,$C687*2+6)</f>
        <v>Kia Soul</v>
      </c>
      <c r="BA687" s="3">
        <f>INDEX(Input!$1:$1048576,BA$93,$C687*2+6)</f>
        <v>2020</v>
      </c>
      <c r="BB687" s="128">
        <f>INDEX(Input!$1:$1048576,BB$93,$C687*2+6)</f>
        <v>1</v>
      </c>
      <c r="BC687" s="128">
        <f>INDEX(Input!$1:$1048576,BC$93,$C687*2+6)</f>
        <v>0.7</v>
      </c>
      <c r="BD687" s="1">
        <f>INDEX(Input!$1:$1048576,BD$93,$C687*2+6)</f>
        <v>4.4999999999999998E-2</v>
      </c>
      <c r="BE687" s="1">
        <f>INDEX(Input!$1:$1048576,BE$93,$C687*2+6)</f>
        <v>4.4999999999999998E-2</v>
      </c>
      <c r="BF687" s="1">
        <f>INDEX(Input!$1:$1048576,BF$93,$C687*2+6)</f>
        <v>0.05</v>
      </c>
      <c r="BG687" s="1">
        <f>INDEX(Input!$1:$1048576,BG$93,$C687*2+6)</f>
        <v>5.45E-2</v>
      </c>
      <c r="BH687" s="1">
        <f>INDEX(Input!$1:$1048576,BH$93,$C687*2+6)</f>
        <v>5.45E-2</v>
      </c>
      <c r="BI687" s="1">
        <f>INDEX(Input!$1:$1048576,BI$93,$C687*2+6)</f>
        <v>0.05</v>
      </c>
      <c r="BJ687" s="1">
        <f>INDEX(Input!$1:$1048576,BJ$93,$C687*2+6)</f>
        <v>0.05</v>
      </c>
      <c r="BK687" s="1">
        <f>INDEX(Input!$1:$1048576,BK$93,$C687*2+6)</f>
        <v>0.05</v>
      </c>
      <c r="BL687" s="1">
        <f>INDEX(Input!$1:$1048576,BL$93,$C687*2+6)</f>
        <v>5.5E-2</v>
      </c>
      <c r="BM687" s="1">
        <f>INDEX(Input!$1:$1048576,BM$93,$C687*2+6)</f>
        <v>0.06</v>
      </c>
      <c r="BN687" s="1">
        <f>INDEX(Input!$1:$1048576,BN$93,$C687*2+6)</f>
        <v>4.4999999999999998E-2</v>
      </c>
      <c r="BO687" s="1">
        <f>INDEX(Input!$1:$1048576,BO$93,$C687*2+6)</f>
        <v>4.4999999999999998E-2</v>
      </c>
      <c r="BP687" s="1">
        <f>INDEX(Input!$1:$1048576,BP$93,$C687*2+6)</f>
        <v>0.05</v>
      </c>
      <c r="BQ687" s="1">
        <f>INDEX(Input!$1:$1048576,BQ$93,$C687*2+6)</f>
        <v>5.45E-2</v>
      </c>
      <c r="BR687" s="1">
        <f>INDEX(Input!$1:$1048576,BR$93,$C687*2+6)</f>
        <v>5.45E-2</v>
      </c>
      <c r="BS687" s="1">
        <f>INDEX(Input!$1:$1048576,BS$93,$C687*2+6)</f>
        <v>0.05</v>
      </c>
      <c r="BT687" s="1">
        <f>INDEX(Input!$1:$1048576,BT$93,$C687*2+6)</f>
        <v>0.05</v>
      </c>
      <c r="BU687" s="1">
        <f>INDEX(Input!$1:$1048576,BU$93,$C687*2+6)</f>
        <v>0.05</v>
      </c>
      <c r="BV687" s="1">
        <f>INDEX(Input!$1:$1048576,BV$93,$C687*2+6)</f>
        <v>5.5E-2</v>
      </c>
      <c r="BW687" s="1">
        <f>INDEX(Input!$1:$1048576,BW$93,$C687*2+6)</f>
        <v>0.06</v>
      </c>
      <c r="BX687" s="127">
        <f>INDEX(Input!$1:$1048576,BX$93,$C687*2+6)</f>
        <v>19985</v>
      </c>
      <c r="BY687" s="20">
        <f>INDEX(Input!$1:$1048576,BY$93,$C687*2+6)</f>
        <v>0.1</v>
      </c>
      <c r="BZ687" s="20">
        <f>INDEX(Input!$1:$1048576,BZ$93,$C687*2+6)</f>
        <v>0.1</v>
      </c>
      <c r="CA687" s="20">
        <f>INDEX(Input!$1:$1048576,CA$93,$C687*2+6)</f>
        <v>0.1</v>
      </c>
      <c r="CB687" s="20">
        <f>INDEX(Input!$1:$1048576,CB$93,$C687*2+6)</f>
        <v>0.1</v>
      </c>
      <c r="CC687" s="20">
        <f>INDEX(Input!$1:$1048576,CC$93,$C687*2+6)</f>
        <v>0.1</v>
      </c>
      <c r="CD687" s="384">
        <f>INDEX(Input!$1:$1048576,CD$93,$C687*2+6)</f>
        <v>0.1</v>
      </c>
      <c r="CE687" s="384">
        <f>INDEX(Input!$1:$1048576,CE$93,$C687*2+6)</f>
        <v>0.1</v>
      </c>
      <c r="CF687" s="384">
        <f>INDEX(Input!$1:$1048576,CF$93,$C687*2+6)</f>
        <v>0.1</v>
      </c>
      <c r="CG687" s="384">
        <f>INDEX(Input!$1:$1048576,CG$93,$C687*2+6)</f>
        <v>0.1</v>
      </c>
      <c r="CH687" s="384">
        <f>INDEX(Input!$1:$1048576,CH$93,$C687*2+6)</f>
        <v>0.1</v>
      </c>
      <c r="CI687" s="304">
        <f t="shared" si="1992"/>
        <v>767.26449130006085</v>
      </c>
      <c r="CJ687" s="16" t="str">
        <f>INDEX(Input!$1:$1048576,CJ$93,$C687*2+6)</f>
        <v>N</v>
      </c>
      <c r="CK687" s="1" t="str">
        <f t="shared" si="1993"/>
        <v>Market</v>
      </c>
      <c r="CL687" s="1" t="str">
        <f t="shared" si="1994"/>
        <v>Market</v>
      </c>
      <c r="CM687" s="1" t="str">
        <f t="shared" si="1995"/>
        <v>Market</v>
      </c>
      <c r="CN687" s="1" t="str">
        <f t="shared" si="1996"/>
        <v>Market</v>
      </c>
      <c r="CO687" s="1" t="str">
        <f t="shared" si="1997"/>
        <v>Market</v>
      </c>
      <c r="CP687" s="304">
        <f t="shared" si="1998"/>
        <v>500</v>
      </c>
      <c r="CQ687" s="1">
        <f t="shared" si="1999"/>
        <v>0</v>
      </c>
      <c r="CR687" s="1">
        <f t="shared" si="2000"/>
        <v>0</v>
      </c>
      <c r="CS687" s="1">
        <f t="shared" si="2001"/>
        <v>0</v>
      </c>
      <c r="CT687" s="1">
        <f t="shared" si="2002"/>
        <v>8.9999999999999993E-3</v>
      </c>
      <c r="CU687" s="1">
        <f t="shared" si="2003"/>
        <v>3.9E-2</v>
      </c>
      <c r="CV687" s="304">
        <f t="shared" si="2004"/>
        <v>737.99367635402496</v>
      </c>
      <c r="CW687" s="20" t="s">
        <v>122</v>
      </c>
      <c r="CX687" s="20" t="s">
        <v>122</v>
      </c>
      <c r="CY687" s="20" t="s">
        <v>122</v>
      </c>
      <c r="CZ687" s="20" t="s">
        <v>122</v>
      </c>
      <c r="DA687" s="20" t="s">
        <v>122</v>
      </c>
      <c r="DB687" s="503">
        <f t="shared" si="2005"/>
        <v>0</v>
      </c>
      <c r="DC687" s="127">
        <v>0</v>
      </c>
      <c r="DD687" s="127">
        <v>0</v>
      </c>
      <c r="DE687" s="127">
        <v>0</v>
      </c>
      <c r="DF687" s="127">
        <v>0</v>
      </c>
      <c r="DG687" s="127">
        <v>0</v>
      </c>
      <c r="DH687" s="127">
        <v>0</v>
      </c>
      <c r="DI687" s="127">
        <v>0</v>
      </c>
      <c r="DJ687" s="127">
        <v>0</v>
      </c>
      <c r="DK687" s="127">
        <v>0</v>
      </c>
      <c r="DL687" s="127">
        <v>0</v>
      </c>
      <c r="DM687" s="304">
        <f>INDEX(Input!$1:$1048576,DM$93,$C687*2+6)</f>
        <v>21036.84210526316</v>
      </c>
      <c r="DN687" s="20">
        <v>0</v>
      </c>
      <c r="DO687" s="20">
        <v>0</v>
      </c>
      <c r="DP687" s="20">
        <v>0</v>
      </c>
      <c r="DQ687" s="20">
        <v>0</v>
      </c>
      <c r="DR687" s="20">
        <v>0</v>
      </c>
      <c r="DS687" s="20">
        <f>INDEX(Input!$1:$1048576,DS$93,$C687*2+6)</f>
        <v>0.6</v>
      </c>
      <c r="DT687" s="20">
        <f>INDEX(Input!$1:$1048576,DT$93,$C687*2+6)</f>
        <v>0.55000000000000004</v>
      </c>
      <c r="DU687" s="20">
        <f>INDEX(Input!$1:$1048576,DU$93,$C687*2+6)</f>
        <v>0.52</v>
      </c>
      <c r="DV687" s="20">
        <f>INDEX(Input!$1:$1048576,DV$93,$C687*2+6)</f>
        <v>0.5</v>
      </c>
      <c r="DW687" s="20">
        <f>INDEX(Input!$1:$1048576,DW$93,$C687*2+6)</f>
        <v>0.45</v>
      </c>
      <c r="DX687" s="20"/>
      <c r="DY687" s="7"/>
      <c r="DZ687" s="7"/>
      <c r="EA687" s="7"/>
      <c r="EB687" s="7"/>
      <c r="EC687" s="7"/>
      <c r="ED687" s="7"/>
      <c r="EE687" s="7"/>
      <c r="EF687" s="7"/>
      <c r="EG687" s="7"/>
      <c r="EH687" s="7"/>
      <c r="EI687" s="7"/>
      <c r="EJ687" s="7"/>
      <c r="EK687" s="7"/>
      <c r="EL687" s="7"/>
      <c r="EM687" s="7"/>
      <c r="EN687" s="7"/>
      <c r="EO687" s="7"/>
      <c r="EP687" s="7"/>
      <c r="EQ687" s="7"/>
      <c r="ER687" s="7"/>
      <c r="ES687" s="7"/>
      <c r="ET687" s="7"/>
      <c r="EU687" s="6"/>
      <c r="EV687" s="6"/>
      <c r="EW687" s="6"/>
      <c r="EX687" s="6"/>
      <c r="EY687" s="6"/>
      <c r="EZ687" s="6"/>
      <c r="FA687" s="6"/>
      <c r="FB687" s="6"/>
      <c r="FC687" s="6"/>
      <c r="FD687" s="6"/>
      <c r="FE687" s="6"/>
      <c r="FF687" s="6"/>
      <c r="FG687" s="6"/>
      <c r="FH687" s="6"/>
      <c r="FI687" s="6"/>
      <c r="FJ687" s="6"/>
      <c r="FK687" s="6"/>
      <c r="FL687" s="6"/>
      <c r="FM687" s="6"/>
      <c r="FN687" s="6"/>
      <c r="FO687" s="6"/>
      <c r="FP687" s="6"/>
      <c r="FQ687" s="6"/>
      <c r="FR687" s="6"/>
      <c r="FS687" s="6"/>
      <c r="FT687" s="7"/>
      <c r="FU687" s="7"/>
      <c r="FV687" s="7"/>
      <c r="FW687" s="6"/>
      <c r="FX687" s="6"/>
      <c r="FY687" s="6"/>
      <c r="FZ687" s="6"/>
      <c r="GA687" s="6"/>
      <c r="GB687" s="6"/>
      <c r="GC687" s="7"/>
      <c r="GD687" s="7"/>
      <c r="GE687" s="7"/>
      <c r="GF687" s="7"/>
      <c r="GG687" s="7"/>
      <c r="GH687" s="42"/>
      <c r="GI687" s="6"/>
      <c r="GJ687" s="14"/>
      <c r="GK687" s="14"/>
      <c r="GL687" s="14"/>
      <c r="GM687" s="14"/>
      <c r="GO687" s="5"/>
      <c r="GP687" s="5"/>
      <c r="GQ687" s="5"/>
      <c r="GR687" s="5"/>
      <c r="GS687" s="5"/>
      <c r="GT687" s="5"/>
      <c r="GU687" s="5"/>
      <c r="GV687" s="39"/>
      <c r="GW687" s="5"/>
      <c r="GX687" s="5"/>
      <c r="GY687" s="5"/>
      <c r="GZ687" s="5"/>
      <c r="HA687" s="5"/>
      <c r="HB687" s="39"/>
      <c r="HC687" s="5"/>
      <c r="HD687" s="5"/>
      <c r="HE687" s="5"/>
      <c r="HF687" s="5"/>
      <c r="HG687" s="5"/>
      <c r="HH687" s="39"/>
      <c r="HI687" s="16"/>
      <c r="HJ687" s="19"/>
      <c r="HK687" s="1"/>
      <c r="HL687" s="16"/>
      <c r="HM687" s="639">
        <f t="shared" si="2013"/>
        <v>2.827492079131002E-2</v>
      </c>
      <c r="HN687" s="639">
        <f t="shared" si="2014"/>
        <v>1.6178937670421065E-3</v>
      </c>
      <c r="HO687" s="639">
        <f t="shared" si="2015"/>
        <v>1.846520531600027E-3</v>
      </c>
      <c r="HP687" s="644">
        <f t="shared" ref="HP687:ID687" si="2115">HP187+HP287+HP387+HP487+HP587</f>
        <v>-197.16681446625381</v>
      </c>
      <c r="HQ687" s="644">
        <f t="shared" si="2115"/>
        <v>90.223756332393506</v>
      </c>
      <c r="HR687" s="644">
        <f t="shared" si="2115"/>
        <v>35.30041046972395</v>
      </c>
      <c r="HS687" s="644">
        <f t="shared" si="2115"/>
        <v>51.044570616284084</v>
      </c>
      <c r="HT687" s="644">
        <f t="shared" si="2115"/>
        <v>128.66591107873631</v>
      </c>
      <c r="HU687" s="644">
        <f t="shared" si="2115"/>
        <v>0.43155116227401025</v>
      </c>
      <c r="HV687" s="644">
        <f t="shared" si="2115"/>
        <v>0</v>
      </c>
      <c r="HW687" s="644">
        <f t="shared" si="2115"/>
        <v>0</v>
      </c>
      <c r="HX687" s="644">
        <f t="shared" si="2115"/>
        <v>0</v>
      </c>
      <c r="HY687" s="644">
        <f t="shared" si="2115"/>
        <v>1326</v>
      </c>
      <c r="HZ687" s="644">
        <f t="shared" si="2115"/>
        <v>1645</v>
      </c>
      <c r="IA687" s="644">
        <f t="shared" si="2115"/>
        <v>179</v>
      </c>
      <c r="IB687" s="644">
        <f t="shared" si="2115"/>
        <v>1179.8777561500301</v>
      </c>
      <c r="IC687" s="644">
        <f t="shared" si="2115"/>
        <v>1863.8896674111297</v>
      </c>
      <c r="ID687" s="644">
        <f t="shared" si="2115"/>
        <v>214.73196163199796</v>
      </c>
      <c r="IE687" s="20">
        <f t="shared" si="2017"/>
        <v>0.36209236727540128</v>
      </c>
      <c r="IF687" s="20">
        <f t="shared" si="2018"/>
        <v>0.57200859876812338</v>
      </c>
      <c r="IG687" s="20">
        <f t="shared" si="2019"/>
        <v>6.5899033956475353E-2</v>
      </c>
      <c r="IH687" s="21"/>
      <c r="II687" s="19"/>
      <c r="IJ687" s="19"/>
      <c r="IK687" s="19"/>
      <c r="IL687" s="19">
        <f t="shared" si="2020"/>
        <v>-272.31561303929607</v>
      </c>
      <c r="IM687" s="19">
        <f t="shared" si="2021"/>
        <v>549.41676153799563</v>
      </c>
      <c r="IN687" s="19">
        <f t="shared" si="2022"/>
        <v>194.8095901175202</v>
      </c>
      <c r="IO687" s="39"/>
      <c r="IP687" s="39"/>
      <c r="IQ687" s="39"/>
      <c r="IR687" s="39"/>
      <c r="IS687" s="39"/>
      <c r="IT687" s="39"/>
      <c r="IU687" s="39"/>
      <c r="IV687" s="39"/>
      <c r="IW687" s="39"/>
      <c r="IX687" s="19">
        <f t="shared" si="2023"/>
        <v>1644.4343891402716</v>
      </c>
      <c r="IY687" s="19">
        <f t="shared" si="2024"/>
        <v>2499.6673166042456</v>
      </c>
      <c r="IZ687" s="19">
        <f t="shared" si="2025"/>
        <v>3988.9119465010417</v>
      </c>
      <c r="JA687" s="19">
        <f t="shared" ref="JA687:JC687" si="2116">IFERROR((JA187*IB187+JA287*IB287+JA387*IB387+JA487*IB487+JA587*IB587)/IB687,0)</f>
        <v>1372.1187761009755</v>
      </c>
      <c r="JB687" s="19">
        <f t="shared" si="2116"/>
        <v>3049.0840781422412</v>
      </c>
      <c r="JC687" s="19">
        <f t="shared" si="2116"/>
        <v>4183.7215366185619</v>
      </c>
      <c r="JD687" s="19">
        <f t="shared" si="2027"/>
        <v>2516.6392544918308</v>
      </c>
      <c r="JE687" s="21"/>
      <c r="JF687" s="1">
        <f t="shared" si="2028"/>
        <v>3.1672499510824001E-2</v>
      </c>
      <c r="JG687" s="15">
        <f t="shared" si="2029"/>
        <v>3150</v>
      </c>
      <c r="JH687" s="1">
        <f t="shared" si="2030"/>
        <v>-2.2743697671154396E-2</v>
      </c>
      <c r="JI687" s="1">
        <f t="shared" si="2031"/>
        <v>5.7187946938823626E-2</v>
      </c>
      <c r="JJ687" s="1">
        <f t="shared" si="2032"/>
        <v>0</v>
      </c>
      <c r="JK687" s="1">
        <f t="shared" si="2033"/>
        <v>3.4444249267669216E-2</v>
      </c>
      <c r="JL687" s="15">
        <f t="shared" ref="JL687:JM687" si="2117">JL187+JL287+JL387+JL487+JL587</f>
        <v>108.49938519315803</v>
      </c>
      <c r="JM687" s="15">
        <f t="shared" si="2117"/>
        <v>3258.4993851931577</v>
      </c>
      <c r="JN687" s="21"/>
      <c r="JO687" s="19">
        <f>INDEX(Input!$1:$1048576,JO$93,$C687*2+6)</f>
        <v>5995.5</v>
      </c>
      <c r="JP687" s="19">
        <f>INDEX(Input!$1:$1048576,JP$93,$C687*2+6)</f>
        <v>2296.6050414551746</v>
      </c>
      <c r="JQ687" s="39">
        <f t="shared" si="2053"/>
        <v>3478.8607455081692</v>
      </c>
      <c r="JR687" s="39">
        <f t="shared" si="2054"/>
        <v>220.03421303665618</v>
      </c>
      <c r="JS687" s="39">
        <f t="shared" si="2055"/>
        <v>8.2004674635145971</v>
      </c>
      <c r="JT687" s="39">
        <f t="shared" si="2056"/>
        <v>0.96616158293079679</v>
      </c>
      <c r="JU687" s="385">
        <f>(JQ687*JM687-INDEX(Input!$1:$1048576,Input!A$18,$C687*2+6)*JL687*INDEX(Input!$1:$1048576,Input!A$19,$C687*2+6))/1000000</f>
        <v>11.33586560041098</v>
      </c>
      <c r="JV687" s="39">
        <f t="shared" si="2057"/>
        <v>-0.31565351900522032</v>
      </c>
      <c r="JW687" s="1">
        <f t="shared" si="2058"/>
        <v>-2.7091190064582424E-2</v>
      </c>
      <c r="JX687" s="19">
        <f t="shared" si="2059"/>
        <v>8904.7655082171186</v>
      </c>
      <c r="JZ687" s="341"/>
      <c r="KA687" s="60"/>
      <c r="KB687" s="469">
        <f t="shared" si="2035"/>
        <v>0</v>
      </c>
      <c r="KI687" s="472"/>
      <c r="KJ687" s="472"/>
      <c r="KK687" s="472"/>
      <c r="KN687" s="26">
        <f t="shared" si="2036"/>
        <v>6002</v>
      </c>
      <c r="KO687" s="794">
        <f t="shared" si="2037"/>
        <v>-0.50630955381387821</v>
      </c>
      <c r="KP687" s="795">
        <f t="shared" si="2038"/>
        <v>58.640905094596683</v>
      </c>
      <c r="KQ687" s="795">
        <f t="shared" si="2039"/>
        <v>53.805997886685873</v>
      </c>
      <c r="KR687" s="26">
        <f t="shared" si="2040"/>
        <v>-151.28757667347256</v>
      </c>
      <c r="KS687" s="26">
        <f t="shared" si="2041"/>
        <v>-164.88199780968813</v>
      </c>
      <c r="KT687" s="796">
        <f t="shared" si="2049"/>
        <v>4286.2445668946921</v>
      </c>
      <c r="KU687" s="797">
        <f t="shared" si="2042"/>
        <v>-1.904021483245562</v>
      </c>
    </row>
    <row r="688" spans="1:307" s="26" customFormat="1" ht="15" outlineLevel="1">
      <c r="A688" s="561">
        <f t="shared" si="2009"/>
        <v>6088</v>
      </c>
      <c r="B688" s="561">
        <f t="shared" si="2043"/>
        <v>88</v>
      </c>
      <c r="C688" s="561">
        <f t="shared" si="2044"/>
        <v>6</v>
      </c>
      <c r="D688" s="561" t="str">
        <f t="shared" si="2108"/>
        <v/>
      </c>
      <c r="E688" s="475">
        <f>INDEX(Input!$1:$1048576,E$93,$C688*2+MIN($B688,2)+5)
+INDEX(Scenarios!E$121:E$199,MATCH($B688,Scenarios!$B$121:$B$199,0))</f>
        <v>1267.2644913000609</v>
      </c>
      <c r="F688" s="475">
        <f>INDEX(Input!$1:$1048576,F$93,$C688*2+MIN($B688,2)+5)
+INDEX(Scenarios!F$121:F$199,MATCH($B688,Scenarios!$B$121:$B$199,0))</f>
        <v>0</v>
      </c>
      <c r="G688" s="475">
        <f>INDEX(Input!$1:$1048576,G$93,$C688*2+MIN($B688,2)+5)
+INDEX(Scenarios!G$121:G$199,MATCH($B688,Scenarios!$B$121:$B$199,0))</f>
        <v>0</v>
      </c>
      <c r="H688" s="475">
        <f>INDEX(Input!$1:$1048576,H$93,$C688*2+MIN($B688,2)+5)
+INDEX(Scenarios!H$121:H$199,MATCH($B688,Scenarios!$B$121:$B$199,0))</f>
        <v>0</v>
      </c>
      <c r="I688" s="476">
        <f>INDEX(Input!$1:$1048576,I$93,$C688*2+MIN($B688,2)+5)
+INDEX(Scenarios!I$121:I$199,MATCH($B688,Scenarios!$B$121:$B$199,0))</f>
        <v>0.7</v>
      </c>
      <c r="J688" s="476" t="str">
        <f>INDEX(Input!$1:$1048576,J$93,$C688*2+MIN($B688,2)+5)</f>
        <v>Market</v>
      </c>
      <c r="K688" s="476" t="str">
        <f>INDEX(Input!$1:$1048576,K$93,$C688*2+MIN($B688,2)+5)</f>
        <v>Market</v>
      </c>
      <c r="L688" s="476" t="str">
        <f>INDEX(Input!$1:$1048576,L$93,$C688*2+MIN($B688,2)+5)</f>
        <v>Market</v>
      </c>
      <c r="M688" s="476" t="str">
        <f>INDEX(Input!$1:$1048576,M$93,$C688*2+MIN($B688,2)+5)</f>
        <v>Market</v>
      </c>
      <c r="N688" s="476" t="str">
        <f>INDEX(Input!$1:$1048576,N$93,$C688*2+MIN($B688,2)+5)</f>
        <v>Market</v>
      </c>
      <c r="O688" s="476" t="str">
        <f>INDEX(Input!$1:$1048576,O$93,$C688*2+MIN($B688,2)+5)</f>
        <v>Market</v>
      </c>
      <c r="P688" s="476" t="str">
        <f>INDEX(Input!$1:$1048576,P$93,$C688*2+MIN($B688,2)+5)</f>
        <v>N</v>
      </c>
      <c r="Q688" s="477">
        <f>INDEX(Input!$1:$1048576,Q$93,$C688*2+MIN($B688,2)+5)
+INDEX(Scenarios!Q$121:Q$199,MATCH($B688,Scenarios!$B$121:$B$199,0))</f>
        <v>0</v>
      </c>
      <c r="R688" s="478">
        <f>IFERROR(MAX(0,INDEX(Input!$1:$1048576,R$93,$C688*2+MIN($B688,2)+5)
+INDEX(Scenarios!R$121:R$199,MATCH($B688,Scenarios!$B$121:$B$199,0)),),"Market")</f>
        <v>0</v>
      </c>
      <c r="S688" s="478">
        <f>IFERROR(MAX(0,INDEX(Input!$1:$1048576,S$93,$C688*2+MIN($B688,2)+5)
+INDEX(Scenarios!S$121:S$199,MATCH($B688,Scenarios!$B$121:$B$199,0)),),"Market")</f>
        <v>0</v>
      </c>
      <c r="T688" s="478">
        <f>IFERROR(MAX(0,INDEX(Input!$1:$1048576,T$93,$C688*2+MIN($B688,2)+5)
+INDEX(Scenarios!T$121:T$199,MATCH($B688,Scenarios!$B$121:$B$199,0)),),"Market")</f>
        <v>0</v>
      </c>
      <c r="U688" s="478">
        <f>IFERROR(MAX(0,INDEX(Input!$1:$1048576,U$93,$C688*2+MIN($B688,2)+5)
+INDEX(Scenarios!U$121:U$199,MATCH($B688,Scenarios!$B$121:$B$199,0)),),"Market")</f>
        <v>0</v>
      </c>
      <c r="V688" s="478">
        <f>IFERROR(MAX(0,INDEX(Input!$1:$1048576,V$93,$C688*2+MIN($B688,2)+5)
+INDEX(Scenarios!V$121:V$199,MATCH($B688,Scenarios!$B$121:$B$199,0)),),"Market")</f>
        <v>1.9E-2</v>
      </c>
      <c r="W688" s="885">
        <f>IFERROR(MAX(0,INDEX(Input!$1:$1048576,W$93,$C688*2+MIN($B688,2)+5)-0%),"Market")</f>
        <v>3.9E-2</v>
      </c>
      <c r="X688" s="476" t="str">
        <f>INDEX(Input!$1:$1048576,X$93,$C688*2+MIN($B688,2)+5)</f>
        <v>Y</v>
      </c>
      <c r="Y688" s="475">
        <f>INDEX(Input!$1:$1048576,Y$93,$C688*2+MIN($B688,2)+5)
++INDEX(Scenarios!Y$121:Y$199,MATCH($B688,Scenarios!$B$121:$B$199,0))</f>
        <v>737.99367635402496</v>
      </c>
      <c r="Z688" s="477">
        <f>INDEX(Input!$1:$1048576,Z$93,$C688*2+MIN($B688,2)+5)
+INDEX(Scenarios!Z$121:Z$199,MATCH($B688,Scenarios!$B$121:$B$199,0))</f>
        <v>0</v>
      </c>
      <c r="AA688" s="475">
        <f>INDEX(Input!$1:$1048576,AA$93,$C688*2+MIN($B688,2)+5)</f>
        <v>0</v>
      </c>
      <c r="AB688" s="476">
        <f>INDEX(Input!$1:$1048576,AB$93,$C688*2+MIN($B688,2)+5)</f>
        <v>0.27</v>
      </c>
      <c r="AC688" s="475">
        <f>INDEX(Input!$1:$1048576,AC$93,$C688*2+MIN($B688,2)+5)
+INDEX(Scenarios!AC$121:AC$199,MATCH($B688,Scenarios!$B$121:$B$199,0))</f>
        <v>0</v>
      </c>
      <c r="AD688" s="476">
        <f>INDEX(Input!$1:$1048576,AD$93,$C688*2+MIN($B688,2)+5)</f>
        <v>0.27</v>
      </c>
      <c r="AE688" s="475">
        <f>INDEX(Input!$1:$1048576,AE$93,$C688*2+MIN($B688,2)+5)
+INDEX(Scenarios!AE$121:AE$199,MATCH($B688,Scenarios!$B$121:$B$199,0))</f>
        <v>0</v>
      </c>
      <c r="AF688" s="476">
        <f>INDEX(Input!$1:$1048576,AF$93,$C688*2+MIN($B688,2)+5)</f>
        <v>1</v>
      </c>
      <c r="AG688" s="475">
        <f>INDEX(Input!$1:$1048576,AG$93,$C688*2+MIN($B688,2)+5)</f>
        <v>500</v>
      </c>
      <c r="AH688" s="476">
        <f>INDEX(Input!$1:$1048576,AH$93,$C688*2+MIN($B688,2)+5)</f>
        <v>1</v>
      </c>
      <c r="AI688" s="475">
        <f>INDEX(Input!$1:$1048576,AI$93,$C688*2+MIN($B688,2)+5)</f>
        <v>0</v>
      </c>
      <c r="AJ688" s="476">
        <f>INDEX(Input!$1:$1048576,AJ$93,$C688*2+MIN($B688,2)+5)</f>
        <v>0.27</v>
      </c>
      <c r="AK688" s="150">
        <f>ROUND(INDEX(Input!$1:$1048576,AK$93,$C687*2+MIN($B688,1)+5)+(Y688-VLOOKUP($C688*1000+1,$A:$HH,Y$92,FALSE)),0)</f>
        <v>3061</v>
      </c>
      <c r="AL688" s="150">
        <f>ROUND(INDEX(Input!$1:$1048576,AL$93,$C687*2+MIN($B688,1)+5)-(Y688-VLOOKUP($C688*1000+1,$A:$HH,Y$92,FALSE))/36,0)</f>
        <v>3552</v>
      </c>
      <c r="AM688" s="32" t="str">
        <f t="shared" si="2010"/>
        <v>std/std/std/std</v>
      </c>
      <c r="AN688" s="32" t="str">
        <f t="shared" si="2011"/>
        <v>$0 + 0/0/0/1.9/3.9</v>
      </c>
      <c r="AO688" s="32" t="str">
        <f t="shared" si="2012"/>
        <v>0/0/0/1.9/3.9</v>
      </c>
      <c r="AP688" s="32" t="str">
        <f t="shared" si="1990"/>
        <v>0/0.9/1.9/3.9</v>
      </c>
      <c r="AQ688" s="536" t="e">
        <f t="shared" si="1991"/>
        <v>#DIV/0!</v>
      </c>
      <c r="AR688" s="32"/>
      <c r="AS688" s="302"/>
      <c r="AT688" s="3">
        <f t="shared" si="2045"/>
        <v>88</v>
      </c>
      <c r="AU688" s="41" t="s">
        <v>121</v>
      </c>
      <c r="AV688" s="41" t="s">
        <v>116</v>
      </c>
      <c r="AW688" s="41" t="str">
        <f>INDEX(Input!$1:$1048576,AW$93,$C688*2+6)</f>
        <v>Kia</v>
      </c>
      <c r="AX688" s="41" t="str">
        <f>INDEX(Input!$1:$1048576,AX$93,$C688*2+6)</f>
        <v>National</v>
      </c>
      <c r="AY688" s="41" t="str">
        <f>IF(LEN(D688)=0,"",INDEX(Input!$1:$1048576,AY$93,$C688*2+6))</f>
        <v/>
      </c>
      <c r="AZ688" s="41" t="str">
        <f>INDEX(Input!$1:$1048576,AZ$93,$C688*2+6)</f>
        <v>Kia Soul</v>
      </c>
      <c r="BA688" s="3">
        <f>INDEX(Input!$1:$1048576,BA$93,$C688*2+6)</f>
        <v>2020</v>
      </c>
      <c r="BB688" s="128">
        <f>INDEX(Input!$1:$1048576,BB$93,$C688*2+6)</f>
        <v>1</v>
      </c>
      <c r="BC688" s="128">
        <f>INDEX(Input!$1:$1048576,BC$93,$C688*2+6)</f>
        <v>0.7</v>
      </c>
      <c r="BD688" s="1">
        <f>INDEX(Input!$1:$1048576,BD$93,$C688*2+6)</f>
        <v>4.4999999999999998E-2</v>
      </c>
      <c r="BE688" s="1">
        <f>INDEX(Input!$1:$1048576,BE$93,$C688*2+6)</f>
        <v>4.4999999999999998E-2</v>
      </c>
      <c r="BF688" s="1">
        <f>INDEX(Input!$1:$1048576,BF$93,$C688*2+6)</f>
        <v>0.05</v>
      </c>
      <c r="BG688" s="1">
        <f>INDEX(Input!$1:$1048576,BG$93,$C688*2+6)</f>
        <v>5.45E-2</v>
      </c>
      <c r="BH688" s="1">
        <f>INDEX(Input!$1:$1048576,BH$93,$C688*2+6)</f>
        <v>5.45E-2</v>
      </c>
      <c r="BI688" s="1">
        <f>INDEX(Input!$1:$1048576,BI$93,$C688*2+6)</f>
        <v>0.05</v>
      </c>
      <c r="BJ688" s="1">
        <f>INDEX(Input!$1:$1048576,BJ$93,$C688*2+6)</f>
        <v>0.05</v>
      </c>
      <c r="BK688" s="1">
        <f>INDEX(Input!$1:$1048576,BK$93,$C688*2+6)</f>
        <v>0.05</v>
      </c>
      <c r="BL688" s="1">
        <f>INDEX(Input!$1:$1048576,BL$93,$C688*2+6)</f>
        <v>5.5E-2</v>
      </c>
      <c r="BM688" s="1">
        <f>INDEX(Input!$1:$1048576,BM$93,$C688*2+6)</f>
        <v>0.06</v>
      </c>
      <c r="BN688" s="1">
        <f>INDEX(Input!$1:$1048576,BN$93,$C688*2+6)</f>
        <v>4.4999999999999998E-2</v>
      </c>
      <c r="BO688" s="1">
        <f>INDEX(Input!$1:$1048576,BO$93,$C688*2+6)</f>
        <v>4.4999999999999998E-2</v>
      </c>
      <c r="BP688" s="1">
        <f>INDEX(Input!$1:$1048576,BP$93,$C688*2+6)</f>
        <v>0.05</v>
      </c>
      <c r="BQ688" s="1">
        <f>INDEX(Input!$1:$1048576,BQ$93,$C688*2+6)</f>
        <v>5.45E-2</v>
      </c>
      <c r="BR688" s="1">
        <f>INDEX(Input!$1:$1048576,BR$93,$C688*2+6)</f>
        <v>5.45E-2</v>
      </c>
      <c r="BS688" s="1">
        <f>INDEX(Input!$1:$1048576,BS$93,$C688*2+6)</f>
        <v>0.05</v>
      </c>
      <c r="BT688" s="1">
        <f>INDEX(Input!$1:$1048576,BT$93,$C688*2+6)</f>
        <v>0.05</v>
      </c>
      <c r="BU688" s="1">
        <f>INDEX(Input!$1:$1048576,BU$93,$C688*2+6)</f>
        <v>0.05</v>
      </c>
      <c r="BV688" s="1">
        <f>INDEX(Input!$1:$1048576,BV$93,$C688*2+6)</f>
        <v>5.5E-2</v>
      </c>
      <c r="BW688" s="1">
        <f>INDEX(Input!$1:$1048576,BW$93,$C688*2+6)</f>
        <v>0.06</v>
      </c>
      <c r="BX688" s="127">
        <f>INDEX(Input!$1:$1048576,BX$93,$C688*2+6)</f>
        <v>19985</v>
      </c>
      <c r="BY688" s="20">
        <f>INDEX(Input!$1:$1048576,BY$93,$C688*2+6)</f>
        <v>0.1</v>
      </c>
      <c r="BZ688" s="20">
        <f>INDEX(Input!$1:$1048576,BZ$93,$C688*2+6)</f>
        <v>0.1</v>
      </c>
      <c r="CA688" s="20">
        <f>INDEX(Input!$1:$1048576,CA$93,$C688*2+6)</f>
        <v>0.1</v>
      </c>
      <c r="CB688" s="20">
        <f>INDEX(Input!$1:$1048576,CB$93,$C688*2+6)</f>
        <v>0.1</v>
      </c>
      <c r="CC688" s="20">
        <f>INDEX(Input!$1:$1048576,CC$93,$C688*2+6)</f>
        <v>0.1</v>
      </c>
      <c r="CD688" s="384">
        <f>INDEX(Input!$1:$1048576,CD$93,$C688*2+6)</f>
        <v>0.1</v>
      </c>
      <c r="CE688" s="384">
        <f>INDEX(Input!$1:$1048576,CE$93,$C688*2+6)</f>
        <v>0.1</v>
      </c>
      <c r="CF688" s="384">
        <f>INDEX(Input!$1:$1048576,CF$93,$C688*2+6)</f>
        <v>0.1</v>
      </c>
      <c r="CG688" s="384">
        <f>INDEX(Input!$1:$1048576,CG$93,$C688*2+6)</f>
        <v>0.1</v>
      </c>
      <c r="CH688" s="384">
        <f>INDEX(Input!$1:$1048576,CH$93,$C688*2+6)</f>
        <v>0.1</v>
      </c>
      <c r="CI688" s="304">
        <f t="shared" si="1992"/>
        <v>1267.2644913000609</v>
      </c>
      <c r="CJ688" s="16" t="str">
        <f>INDEX(Input!$1:$1048576,CJ$93,$C688*2+6)</f>
        <v>N</v>
      </c>
      <c r="CK688" s="1" t="str">
        <f t="shared" si="1993"/>
        <v>Market</v>
      </c>
      <c r="CL688" s="1" t="str">
        <f t="shared" si="1994"/>
        <v>Market</v>
      </c>
      <c r="CM688" s="1" t="str">
        <f t="shared" si="1995"/>
        <v>Market</v>
      </c>
      <c r="CN688" s="1" t="str">
        <f t="shared" si="1996"/>
        <v>Market</v>
      </c>
      <c r="CO688" s="1" t="str">
        <f t="shared" si="1997"/>
        <v>Market</v>
      </c>
      <c r="CP688" s="304">
        <f t="shared" si="1998"/>
        <v>500</v>
      </c>
      <c r="CQ688" s="1">
        <f t="shared" si="1999"/>
        <v>0</v>
      </c>
      <c r="CR688" s="1">
        <f t="shared" si="2000"/>
        <v>0</v>
      </c>
      <c r="CS688" s="1">
        <f t="shared" si="2001"/>
        <v>0</v>
      </c>
      <c r="CT688" s="1">
        <f t="shared" si="2002"/>
        <v>1.9E-2</v>
      </c>
      <c r="CU688" s="1">
        <f t="shared" si="2003"/>
        <v>3.9E-2</v>
      </c>
      <c r="CV688" s="304">
        <f t="shared" si="2004"/>
        <v>737.99367635402496</v>
      </c>
      <c r="CW688" s="20" t="s">
        <v>122</v>
      </c>
      <c r="CX688" s="20" t="s">
        <v>122</v>
      </c>
      <c r="CY688" s="20" t="s">
        <v>122</v>
      </c>
      <c r="CZ688" s="20" t="s">
        <v>122</v>
      </c>
      <c r="DA688" s="20" t="s">
        <v>122</v>
      </c>
      <c r="DB688" s="503">
        <f t="shared" si="2005"/>
        <v>0</v>
      </c>
      <c r="DC688" s="127">
        <v>0</v>
      </c>
      <c r="DD688" s="127">
        <v>0</v>
      </c>
      <c r="DE688" s="127">
        <v>0</v>
      </c>
      <c r="DF688" s="127">
        <v>0</v>
      </c>
      <c r="DG688" s="127">
        <v>0</v>
      </c>
      <c r="DH688" s="127">
        <v>0</v>
      </c>
      <c r="DI688" s="127">
        <v>0</v>
      </c>
      <c r="DJ688" s="127">
        <v>0</v>
      </c>
      <c r="DK688" s="127">
        <v>0</v>
      </c>
      <c r="DL688" s="127">
        <v>0</v>
      </c>
      <c r="DM688" s="304">
        <f>INDEX(Input!$1:$1048576,DM$93,$C688*2+6)</f>
        <v>21036.84210526316</v>
      </c>
      <c r="DN688" s="20">
        <v>0</v>
      </c>
      <c r="DO688" s="20">
        <v>0</v>
      </c>
      <c r="DP688" s="20">
        <v>0</v>
      </c>
      <c r="DQ688" s="20">
        <v>0</v>
      </c>
      <c r="DR688" s="20">
        <v>0</v>
      </c>
      <c r="DS688" s="20">
        <f>INDEX(Input!$1:$1048576,DS$93,$C688*2+6)</f>
        <v>0.6</v>
      </c>
      <c r="DT688" s="20">
        <f>INDEX(Input!$1:$1048576,DT$93,$C688*2+6)</f>
        <v>0.55000000000000004</v>
      </c>
      <c r="DU688" s="20">
        <f>INDEX(Input!$1:$1048576,DU$93,$C688*2+6)</f>
        <v>0.52</v>
      </c>
      <c r="DV688" s="20">
        <f>INDEX(Input!$1:$1048576,DV$93,$C688*2+6)</f>
        <v>0.5</v>
      </c>
      <c r="DW688" s="20">
        <f>INDEX(Input!$1:$1048576,DW$93,$C688*2+6)</f>
        <v>0.45</v>
      </c>
      <c r="DX688" s="20"/>
      <c r="DY688" s="7"/>
      <c r="DZ688" s="7"/>
      <c r="EA688" s="7"/>
      <c r="EB688" s="7"/>
      <c r="EC688" s="7"/>
      <c r="ED688" s="7"/>
      <c r="EE688" s="7"/>
      <c r="EF688" s="7"/>
      <c r="EG688" s="7"/>
      <c r="EH688" s="7"/>
      <c r="EI688" s="7"/>
      <c r="EJ688" s="7"/>
      <c r="EK688" s="7"/>
      <c r="EL688" s="7"/>
      <c r="EM688" s="7"/>
      <c r="EN688" s="7"/>
      <c r="EO688" s="7"/>
      <c r="EP688" s="7"/>
      <c r="EQ688" s="7"/>
      <c r="ER688" s="7"/>
      <c r="ES688" s="7"/>
      <c r="ET688" s="7"/>
      <c r="EU688" s="6"/>
      <c r="EV688" s="6"/>
      <c r="EW688" s="6"/>
      <c r="EX688" s="6"/>
      <c r="EY688" s="6"/>
      <c r="EZ688" s="6"/>
      <c r="FA688" s="6"/>
      <c r="FB688" s="6"/>
      <c r="FC688" s="6"/>
      <c r="FD688" s="6"/>
      <c r="FE688" s="6"/>
      <c r="FF688" s="6"/>
      <c r="FG688" s="6"/>
      <c r="FH688" s="6"/>
      <c r="FI688" s="6"/>
      <c r="FJ688" s="6"/>
      <c r="FK688" s="6"/>
      <c r="FL688" s="6"/>
      <c r="FM688" s="6"/>
      <c r="FN688" s="6"/>
      <c r="FO688" s="6"/>
      <c r="FP688" s="6"/>
      <c r="FQ688" s="6"/>
      <c r="FR688" s="6"/>
      <c r="FS688" s="6"/>
      <c r="FT688" s="7"/>
      <c r="FU688" s="7"/>
      <c r="FV688" s="7"/>
      <c r="FW688" s="6"/>
      <c r="FX688" s="6"/>
      <c r="FY688" s="6"/>
      <c r="FZ688" s="6"/>
      <c r="GA688" s="6"/>
      <c r="GB688" s="6"/>
      <c r="GC688" s="7"/>
      <c r="GD688" s="7"/>
      <c r="GE688" s="7"/>
      <c r="GF688" s="7"/>
      <c r="GG688" s="7"/>
      <c r="GH688" s="42"/>
      <c r="GI688" s="6"/>
      <c r="GJ688" s="14"/>
      <c r="GK688" s="14"/>
      <c r="GL688" s="14"/>
      <c r="GM688" s="14"/>
      <c r="GO688" s="5"/>
      <c r="GP688" s="5"/>
      <c r="GQ688" s="5"/>
      <c r="GR688" s="5"/>
      <c r="GS688" s="5"/>
      <c r="GT688" s="5"/>
      <c r="GU688" s="5"/>
      <c r="GV688" s="39"/>
      <c r="GW688" s="5"/>
      <c r="GX688" s="5"/>
      <c r="GY688" s="5"/>
      <c r="GZ688" s="5"/>
      <c r="HA688" s="5"/>
      <c r="HB688" s="39"/>
      <c r="HC688" s="5"/>
      <c r="HD688" s="5"/>
      <c r="HE688" s="5"/>
      <c r="HF688" s="5"/>
      <c r="HG688" s="5"/>
      <c r="HH688" s="39"/>
      <c r="HI688" s="16"/>
      <c r="HJ688" s="19"/>
      <c r="HK688" s="1"/>
      <c r="HL688" s="16"/>
      <c r="HM688" s="639" t="e">
        <f t="shared" si="2013"/>
        <v>#DIV/0!</v>
      </c>
      <c r="HN688" s="639" t="e">
        <f t="shared" si="2014"/>
        <v>#DIV/0!</v>
      </c>
      <c r="HO688" s="639" t="e">
        <f t="shared" si="2015"/>
        <v>#DIV/0!</v>
      </c>
      <c r="HP688" s="644">
        <f t="shared" ref="HP688:ID688" si="2118">HP188+HP288+HP388+HP488+HP588</f>
        <v>0</v>
      </c>
      <c r="HQ688" s="644">
        <f t="shared" si="2118"/>
        <v>0</v>
      </c>
      <c r="HR688" s="644">
        <f t="shared" si="2118"/>
        <v>0</v>
      </c>
      <c r="HS688" s="644">
        <f t="shared" si="2118"/>
        <v>0</v>
      </c>
      <c r="HT688" s="644">
        <f t="shared" si="2118"/>
        <v>0</v>
      </c>
      <c r="HU688" s="644">
        <f t="shared" si="2118"/>
        <v>0</v>
      </c>
      <c r="HV688" s="644">
        <f t="shared" si="2118"/>
        <v>0</v>
      </c>
      <c r="HW688" s="644">
        <f t="shared" si="2118"/>
        <v>0</v>
      </c>
      <c r="HX688" s="644">
        <f t="shared" si="2118"/>
        <v>0</v>
      </c>
      <c r="HY688" s="644">
        <f t="shared" si="2118"/>
        <v>0</v>
      </c>
      <c r="HZ688" s="644">
        <f t="shared" si="2118"/>
        <v>0</v>
      </c>
      <c r="IA688" s="644">
        <f t="shared" si="2118"/>
        <v>0</v>
      </c>
      <c r="IB688" s="644">
        <f t="shared" si="2118"/>
        <v>0</v>
      </c>
      <c r="IC688" s="644">
        <f t="shared" si="2118"/>
        <v>0</v>
      </c>
      <c r="ID688" s="644">
        <f t="shared" si="2118"/>
        <v>0</v>
      </c>
      <c r="IE688" s="20" t="e">
        <f t="shared" si="2017"/>
        <v>#DIV/0!</v>
      </c>
      <c r="IF688" s="20" t="e">
        <f t="shared" si="2018"/>
        <v>#DIV/0!</v>
      </c>
      <c r="IG688" s="20" t="e">
        <f t="shared" si="2019"/>
        <v>#DIV/0!</v>
      </c>
      <c r="IH688" s="21"/>
      <c r="II688" s="19"/>
      <c r="IJ688" s="19"/>
      <c r="IK688" s="19"/>
      <c r="IL688" s="19" t="e">
        <f t="shared" si="2020"/>
        <v>#DIV/0!</v>
      </c>
      <c r="IM688" s="19" t="e">
        <f t="shared" si="2021"/>
        <v>#DIV/0!</v>
      </c>
      <c r="IN688" s="19" t="e">
        <f t="shared" si="2022"/>
        <v>#DIV/0!</v>
      </c>
      <c r="IO688" s="39"/>
      <c r="IP688" s="39"/>
      <c r="IQ688" s="39"/>
      <c r="IR688" s="39"/>
      <c r="IS688" s="39"/>
      <c r="IT688" s="39"/>
      <c r="IU688" s="39"/>
      <c r="IV688" s="39"/>
      <c r="IW688" s="39"/>
      <c r="IX688" s="19" t="e">
        <f t="shared" si="2023"/>
        <v>#DIV/0!</v>
      </c>
      <c r="IY688" s="19" t="e">
        <f t="shared" si="2024"/>
        <v>#DIV/0!</v>
      </c>
      <c r="IZ688" s="19" t="e">
        <f t="shared" si="2025"/>
        <v>#DIV/0!</v>
      </c>
      <c r="JA688" s="19">
        <f t="shared" ref="JA688:JC688" si="2119">IFERROR((JA188*IB188+JA288*IB288+JA388*IB388+JA488*IB488+JA588*IB588)/IB688,0)</f>
        <v>0</v>
      </c>
      <c r="JB688" s="19">
        <f t="shared" si="2119"/>
        <v>0</v>
      </c>
      <c r="JC688" s="19">
        <f t="shared" si="2119"/>
        <v>0</v>
      </c>
      <c r="JD688" s="19" t="e">
        <f t="shared" si="2027"/>
        <v>#DIV/0!</v>
      </c>
      <c r="JE688" s="21"/>
      <c r="JF688" s="1" t="e">
        <f t="shared" si="2028"/>
        <v>#DIV/0!</v>
      </c>
      <c r="JG688" s="15">
        <f t="shared" si="2029"/>
        <v>0</v>
      </c>
      <c r="JH688" s="1" t="e">
        <f t="shared" si="2030"/>
        <v>#DIV/0!</v>
      </c>
      <c r="JI688" s="1" t="e">
        <f t="shared" si="2031"/>
        <v>#DIV/0!</v>
      </c>
      <c r="JJ688" s="1" t="e">
        <f t="shared" si="2032"/>
        <v>#DIV/0!</v>
      </c>
      <c r="JK688" s="1" t="e">
        <f t="shared" si="2033"/>
        <v>#DIV/0!</v>
      </c>
      <c r="JL688" s="15">
        <f t="shared" ref="JL688:JM688" si="2120">JL188+JL288+JL388+JL488+JL588</f>
        <v>0</v>
      </c>
      <c r="JM688" s="15">
        <f t="shared" si="2120"/>
        <v>0</v>
      </c>
      <c r="JN688" s="21"/>
      <c r="JO688" s="19">
        <f>INDEX(Input!$1:$1048576,JO$93,$C688*2+6)</f>
        <v>5995.5</v>
      </c>
      <c r="JP688" s="19">
        <f>INDEX(Input!$1:$1048576,JP$93,$C688*2+6)</f>
        <v>2296.6050414551746</v>
      </c>
      <c r="JQ688" s="39" t="e">
        <f t="shared" si="2053"/>
        <v>#DIV/0!</v>
      </c>
      <c r="JR688" s="39" t="e">
        <f t="shared" si="2054"/>
        <v>#DIV/0!</v>
      </c>
      <c r="JS688" s="39" t="e">
        <f t="shared" si="2055"/>
        <v>#DIV/0!</v>
      </c>
      <c r="JT688" s="39" t="e">
        <f t="shared" si="2056"/>
        <v>#DIV/0!</v>
      </c>
      <c r="JU688" s="385" t="e">
        <f>(JQ688*JM688-INDEX(Input!$1:$1048576,Input!A$18,$C688*2+6)*JL688*INDEX(Input!$1:$1048576,Input!A$19,$C688*2+6))/1000000</f>
        <v>#DIV/0!</v>
      </c>
      <c r="JV688" s="39" t="e">
        <f t="shared" si="2057"/>
        <v>#DIV/0!</v>
      </c>
      <c r="JW688" s="1" t="e">
        <f t="shared" si="2058"/>
        <v>#DIV/0!</v>
      </c>
      <c r="JX688" s="19">
        <f t="shared" si="2059"/>
        <v>0</v>
      </c>
      <c r="JZ688" s="341"/>
      <c r="KA688" s="60"/>
      <c r="KB688" s="469">
        <f t="shared" si="2035"/>
        <v>0</v>
      </c>
      <c r="KI688" s="472"/>
      <c r="KJ688" s="472"/>
      <c r="KK688" s="472"/>
      <c r="KN688" s="26">
        <f t="shared" si="2036"/>
        <v>6002</v>
      </c>
      <c r="KO688" s="794">
        <f t="shared" si="2037"/>
        <v>-1</v>
      </c>
      <c r="KP688" s="795" t="e">
        <f t="shared" si="2038"/>
        <v>#DIV/0!</v>
      </c>
      <c r="KQ688" s="795" t="e">
        <f t="shared" si="2039"/>
        <v>#DIV/0!</v>
      </c>
      <c r="KR688" s="26" t="e">
        <f t="shared" si="2040"/>
        <v>#DIV/0!</v>
      </c>
      <c r="KS688" s="26" t="e">
        <f t="shared" si="2041"/>
        <v>#DIV/0!</v>
      </c>
      <c r="KT688" s="796">
        <f t="shared" si="2049"/>
        <v>4286.2445668946921</v>
      </c>
      <c r="KU688" s="797">
        <f t="shared" si="2042"/>
        <v>0</v>
      </c>
    </row>
    <row r="689" spans="1:307" s="26" customFormat="1" ht="15" outlineLevel="1">
      <c r="A689" s="561">
        <f t="shared" si="2009"/>
        <v>6089</v>
      </c>
      <c r="B689" s="561">
        <f t="shared" si="2043"/>
        <v>89</v>
      </c>
      <c r="C689" s="561">
        <f t="shared" si="2044"/>
        <v>6</v>
      </c>
      <c r="D689" s="561" t="str">
        <f t="shared" si="2108"/>
        <v/>
      </c>
      <c r="E689" s="475">
        <f>INDEX(Input!$1:$1048576,E$93,$C689*2+MIN($B689,2)+5)
+INDEX(Scenarios!E$121:E$199,MATCH($B689,Scenarios!$B$121:$B$199,0))</f>
        <v>1267.2644913000609</v>
      </c>
      <c r="F689" s="475">
        <f>INDEX(Input!$1:$1048576,F$93,$C689*2+MIN($B689,2)+5)
+INDEX(Scenarios!F$121:F$199,MATCH($B689,Scenarios!$B$121:$B$199,0))</f>
        <v>0</v>
      </c>
      <c r="G689" s="475">
        <f>INDEX(Input!$1:$1048576,G$93,$C689*2+MIN($B689,2)+5)
+INDEX(Scenarios!G$121:G$199,MATCH($B689,Scenarios!$B$121:$B$199,0))</f>
        <v>0</v>
      </c>
      <c r="H689" s="475">
        <f>INDEX(Input!$1:$1048576,H$93,$C689*2+MIN($B689,2)+5)
+INDEX(Scenarios!H$121:H$199,MATCH($B689,Scenarios!$B$121:$B$199,0))</f>
        <v>0</v>
      </c>
      <c r="I689" s="476">
        <f>INDEX(Input!$1:$1048576,I$93,$C689*2+MIN($B689,2)+5)
+INDEX(Scenarios!I$121:I$199,MATCH($B689,Scenarios!$B$121:$B$199,0))</f>
        <v>0.7</v>
      </c>
      <c r="J689" s="476" t="str">
        <f>INDEX(Input!$1:$1048576,J$93,$C689*2+MIN($B689,2)+5)</f>
        <v>Market</v>
      </c>
      <c r="K689" s="476" t="str">
        <f>INDEX(Input!$1:$1048576,K$93,$C689*2+MIN($B689,2)+5)</f>
        <v>Market</v>
      </c>
      <c r="L689" s="476" t="str">
        <f>INDEX(Input!$1:$1048576,L$93,$C689*2+MIN($B689,2)+5)</f>
        <v>Market</v>
      </c>
      <c r="M689" s="476" t="str">
        <f>INDEX(Input!$1:$1048576,M$93,$C689*2+MIN($B689,2)+5)</f>
        <v>Market</v>
      </c>
      <c r="N689" s="476" t="str">
        <f>INDEX(Input!$1:$1048576,N$93,$C689*2+MIN($B689,2)+5)</f>
        <v>Market</v>
      </c>
      <c r="O689" s="476" t="str">
        <f>INDEX(Input!$1:$1048576,O$93,$C689*2+MIN($B689,2)+5)</f>
        <v>Market</v>
      </c>
      <c r="P689" s="476" t="str">
        <f>INDEX(Input!$1:$1048576,P$93,$C689*2+MIN($B689,2)+5)</f>
        <v>N</v>
      </c>
      <c r="Q689" s="477">
        <f>INDEX(Input!$1:$1048576,Q$93,$C689*2+MIN($B689,2)+5)
+INDEX(Scenarios!Q$121:Q$199,MATCH($B689,Scenarios!$B$121:$B$199,0))</f>
        <v>0</v>
      </c>
      <c r="R689" s="478">
        <f>IFERROR(MAX(0,INDEX(Input!$1:$1048576,R$93,$C689*2+MIN($B689,2)+5)
+INDEX(Scenarios!R$121:R$199,MATCH($B689,Scenarios!$B$121:$B$199,0)),),"Market")</f>
        <v>0</v>
      </c>
      <c r="S689" s="478">
        <f>IFERROR(MAX(0,INDEX(Input!$1:$1048576,S$93,$C689*2+MIN($B689,2)+5)
+INDEX(Scenarios!S$121:S$199,MATCH($B689,Scenarios!$B$121:$B$199,0)),),"Market")</f>
        <v>0</v>
      </c>
      <c r="T689" s="478">
        <f>IFERROR(MAX(0,INDEX(Input!$1:$1048576,T$93,$C689*2+MIN($B689,2)+5)
+INDEX(Scenarios!T$121:T$199,MATCH($B689,Scenarios!$B$121:$B$199,0)),),"Market")</f>
        <v>0</v>
      </c>
      <c r="U689" s="478">
        <f>IFERROR(MAX(0,INDEX(Input!$1:$1048576,U$93,$C689*2+MIN($B689,2)+5)
+INDEX(Scenarios!U$121:U$199,MATCH($B689,Scenarios!$B$121:$B$199,0)),),"Market")</f>
        <v>0</v>
      </c>
      <c r="V689" s="478">
        <f>IFERROR(MAX(0,INDEX(Input!$1:$1048576,V$93,$C689*2+MIN($B689,2)+5)
+INDEX(Scenarios!V$121:V$199,MATCH($B689,Scenarios!$B$121:$B$199,0)),),"Market")</f>
        <v>1.9E-2</v>
      </c>
      <c r="W689" s="885">
        <f>IFERROR(MAX(0,INDEX(Input!$1:$1048576,W$93,$C689*2+MIN($B689,2)+5)-0%),"Market")</f>
        <v>3.9E-2</v>
      </c>
      <c r="X689" s="476" t="str">
        <f>INDEX(Input!$1:$1048576,X$93,$C689*2+MIN($B689,2)+5)</f>
        <v>Y</v>
      </c>
      <c r="Y689" s="475">
        <f>INDEX(Input!$1:$1048576,Y$93,$C689*2+MIN($B689,2)+5)
++INDEX(Scenarios!Y$121:Y$199,MATCH($B689,Scenarios!$B$121:$B$199,0))</f>
        <v>737.99367635402496</v>
      </c>
      <c r="Z689" s="477">
        <f>INDEX(Input!$1:$1048576,Z$93,$C689*2+MIN($B689,2)+5)
+INDEX(Scenarios!Z$121:Z$199,MATCH($B689,Scenarios!$B$121:$B$199,0))</f>
        <v>0</v>
      </c>
      <c r="AA689" s="475">
        <f>INDEX(Input!$1:$1048576,AA$93,$C689*2+MIN($B689,2)+5)</f>
        <v>0</v>
      </c>
      <c r="AB689" s="476">
        <f>INDEX(Input!$1:$1048576,AB$93,$C689*2+MIN($B689,2)+5)</f>
        <v>0.27</v>
      </c>
      <c r="AC689" s="475">
        <f>INDEX(Input!$1:$1048576,AC$93,$C689*2+MIN($B689,2)+5)
+INDEX(Scenarios!AC$121:AC$199,MATCH($B689,Scenarios!$B$121:$B$199,0))</f>
        <v>0</v>
      </c>
      <c r="AD689" s="476">
        <f>INDEX(Input!$1:$1048576,AD$93,$C689*2+MIN($B689,2)+5)</f>
        <v>0.27</v>
      </c>
      <c r="AE689" s="475">
        <f>INDEX(Input!$1:$1048576,AE$93,$C689*2+MIN($B689,2)+5)
+INDEX(Scenarios!AE$121:AE$199,MATCH($B689,Scenarios!$B$121:$B$199,0))</f>
        <v>0</v>
      </c>
      <c r="AF689" s="476">
        <f>INDEX(Input!$1:$1048576,AF$93,$C689*2+MIN($B689,2)+5)</f>
        <v>1</v>
      </c>
      <c r="AG689" s="475">
        <f>INDEX(Input!$1:$1048576,AG$93,$C689*2+MIN($B689,2)+5)</f>
        <v>500</v>
      </c>
      <c r="AH689" s="476">
        <f>INDEX(Input!$1:$1048576,AH$93,$C689*2+MIN($B689,2)+5)</f>
        <v>1</v>
      </c>
      <c r="AI689" s="475">
        <f>INDEX(Input!$1:$1048576,AI$93,$C689*2+MIN($B689,2)+5)</f>
        <v>0</v>
      </c>
      <c r="AJ689" s="476">
        <f>INDEX(Input!$1:$1048576,AJ$93,$C689*2+MIN($B689,2)+5)</f>
        <v>0.27</v>
      </c>
      <c r="AK689" s="150">
        <f>ROUND(INDEX(Input!$1:$1048576,AK$93,$C688*2+MIN($B689,1)+5)+(Y689-VLOOKUP($C689*1000+1,$A:$HH,Y$92,FALSE)),0)</f>
        <v>3061</v>
      </c>
      <c r="AL689" s="150">
        <f>ROUND(INDEX(Input!$1:$1048576,AL$93,$C688*2+MIN($B689,1)+5)-(Y689-VLOOKUP($C689*1000+1,$A:$HH,Y$92,FALSE))/36,0)</f>
        <v>3552</v>
      </c>
      <c r="AM689" s="32" t="str">
        <f t="shared" si="2010"/>
        <v>std/std/std/std</v>
      </c>
      <c r="AN689" s="32" t="str">
        <f t="shared" si="2011"/>
        <v>$0 + 0/0/0/1.9/3.9</v>
      </c>
      <c r="AO689" s="32" t="str">
        <f t="shared" si="2012"/>
        <v>0/0/0/1.9/3.9</v>
      </c>
      <c r="AP689" s="32" t="str">
        <f t="shared" si="1990"/>
        <v>0/0.9/1.9/3.9</v>
      </c>
      <c r="AQ689" s="536" t="e">
        <f t="shared" si="1991"/>
        <v>#DIV/0!</v>
      </c>
      <c r="AR689" s="32"/>
      <c r="AS689" s="302"/>
      <c r="AT689" s="3">
        <f t="shared" si="2045"/>
        <v>89</v>
      </c>
      <c r="AU689" s="41" t="s">
        <v>121</v>
      </c>
      <c r="AV689" s="41" t="s">
        <v>116</v>
      </c>
      <c r="AW689" s="41" t="str">
        <f>INDEX(Input!$1:$1048576,AW$93,$C689*2+6)</f>
        <v>Kia</v>
      </c>
      <c r="AX689" s="41" t="str">
        <f>INDEX(Input!$1:$1048576,AX$93,$C689*2+6)</f>
        <v>National</v>
      </c>
      <c r="AY689" s="41" t="str">
        <f>IF(LEN(D689)=0,"",INDEX(Input!$1:$1048576,AY$93,$C689*2+6))</f>
        <v/>
      </c>
      <c r="AZ689" s="41" t="str">
        <f>INDEX(Input!$1:$1048576,AZ$93,$C689*2+6)</f>
        <v>Kia Soul</v>
      </c>
      <c r="BA689" s="3">
        <f>INDEX(Input!$1:$1048576,BA$93,$C689*2+6)</f>
        <v>2020</v>
      </c>
      <c r="BB689" s="128">
        <f>INDEX(Input!$1:$1048576,BB$93,$C689*2+6)</f>
        <v>1</v>
      </c>
      <c r="BC689" s="128">
        <f>INDEX(Input!$1:$1048576,BC$93,$C689*2+6)</f>
        <v>0.7</v>
      </c>
      <c r="BD689" s="1">
        <f>INDEX(Input!$1:$1048576,BD$93,$C689*2+6)</f>
        <v>4.4999999999999998E-2</v>
      </c>
      <c r="BE689" s="1">
        <f>INDEX(Input!$1:$1048576,BE$93,$C689*2+6)</f>
        <v>4.4999999999999998E-2</v>
      </c>
      <c r="BF689" s="1">
        <f>INDEX(Input!$1:$1048576,BF$93,$C689*2+6)</f>
        <v>0.05</v>
      </c>
      <c r="BG689" s="1">
        <f>INDEX(Input!$1:$1048576,BG$93,$C689*2+6)</f>
        <v>5.45E-2</v>
      </c>
      <c r="BH689" s="1">
        <f>INDEX(Input!$1:$1048576,BH$93,$C689*2+6)</f>
        <v>5.45E-2</v>
      </c>
      <c r="BI689" s="1">
        <f>INDEX(Input!$1:$1048576,BI$93,$C689*2+6)</f>
        <v>0.05</v>
      </c>
      <c r="BJ689" s="1">
        <f>INDEX(Input!$1:$1048576,BJ$93,$C689*2+6)</f>
        <v>0.05</v>
      </c>
      <c r="BK689" s="1">
        <f>INDEX(Input!$1:$1048576,BK$93,$C689*2+6)</f>
        <v>0.05</v>
      </c>
      <c r="BL689" s="1">
        <f>INDEX(Input!$1:$1048576,BL$93,$C689*2+6)</f>
        <v>5.5E-2</v>
      </c>
      <c r="BM689" s="1">
        <f>INDEX(Input!$1:$1048576,BM$93,$C689*2+6)</f>
        <v>0.06</v>
      </c>
      <c r="BN689" s="1">
        <f>INDEX(Input!$1:$1048576,BN$93,$C689*2+6)</f>
        <v>4.4999999999999998E-2</v>
      </c>
      <c r="BO689" s="1">
        <f>INDEX(Input!$1:$1048576,BO$93,$C689*2+6)</f>
        <v>4.4999999999999998E-2</v>
      </c>
      <c r="BP689" s="1">
        <f>INDEX(Input!$1:$1048576,BP$93,$C689*2+6)</f>
        <v>0.05</v>
      </c>
      <c r="BQ689" s="1">
        <f>INDEX(Input!$1:$1048576,BQ$93,$C689*2+6)</f>
        <v>5.45E-2</v>
      </c>
      <c r="BR689" s="1">
        <f>INDEX(Input!$1:$1048576,BR$93,$C689*2+6)</f>
        <v>5.45E-2</v>
      </c>
      <c r="BS689" s="1">
        <f>INDEX(Input!$1:$1048576,BS$93,$C689*2+6)</f>
        <v>0.05</v>
      </c>
      <c r="BT689" s="1">
        <f>INDEX(Input!$1:$1048576,BT$93,$C689*2+6)</f>
        <v>0.05</v>
      </c>
      <c r="BU689" s="1">
        <f>INDEX(Input!$1:$1048576,BU$93,$C689*2+6)</f>
        <v>0.05</v>
      </c>
      <c r="BV689" s="1">
        <f>INDEX(Input!$1:$1048576,BV$93,$C689*2+6)</f>
        <v>5.5E-2</v>
      </c>
      <c r="BW689" s="1">
        <f>INDEX(Input!$1:$1048576,BW$93,$C689*2+6)</f>
        <v>0.06</v>
      </c>
      <c r="BX689" s="127">
        <f>INDEX(Input!$1:$1048576,BX$93,$C689*2+6)</f>
        <v>19985</v>
      </c>
      <c r="BY689" s="20">
        <f>INDEX(Input!$1:$1048576,BY$93,$C689*2+6)</f>
        <v>0.1</v>
      </c>
      <c r="BZ689" s="20">
        <f>INDEX(Input!$1:$1048576,BZ$93,$C689*2+6)</f>
        <v>0.1</v>
      </c>
      <c r="CA689" s="20">
        <f>INDEX(Input!$1:$1048576,CA$93,$C689*2+6)</f>
        <v>0.1</v>
      </c>
      <c r="CB689" s="20">
        <f>INDEX(Input!$1:$1048576,CB$93,$C689*2+6)</f>
        <v>0.1</v>
      </c>
      <c r="CC689" s="20">
        <f>INDEX(Input!$1:$1048576,CC$93,$C689*2+6)</f>
        <v>0.1</v>
      </c>
      <c r="CD689" s="384">
        <f>INDEX(Input!$1:$1048576,CD$93,$C689*2+6)</f>
        <v>0.1</v>
      </c>
      <c r="CE689" s="384">
        <f>INDEX(Input!$1:$1048576,CE$93,$C689*2+6)</f>
        <v>0.1</v>
      </c>
      <c r="CF689" s="384">
        <f>INDEX(Input!$1:$1048576,CF$93,$C689*2+6)</f>
        <v>0.1</v>
      </c>
      <c r="CG689" s="384">
        <f>INDEX(Input!$1:$1048576,CG$93,$C689*2+6)</f>
        <v>0.1</v>
      </c>
      <c r="CH689" s="384">
        <f>INDEX(Input!$1:$1048576,CH$93,$C689*2+6)</f>
        <v>0.1</v>
      </c>
      <c r="CI689" s="304">
        <f t="shared" si="1992"/>
        <v>1267.2644913000609</v>
      </c>
      <c r="CJ689" s="16" t="str">
        <f>INDEX(Input!$1:$1048576,CJ$93,$C689*2+6)</f>
        <v>N</v>
      </c>
      <c r="CK689" s="1" t="str">
        <f t="shared" si="1993"/>
        <v>Market</v>
      </c>
      <c r="CL689" s="1" t="str">
        <f t="shared" si="1994"/>
        <v>Market</v>
      </c>
      <c r="CM689" s="1" t="str">
        <f t="shared" si="1995"/>
        <v>Market</v>
      </c>
      <c r="CN689" s="1" t="str">
        <f t="shared" si="1996"/>
        <v>Market</v>
      </c>
      <c r="CO689" s="1" t="str">
        <f t="shared" si="1997"/>
        <v>Market</v>
      </c>
      <c r="CP689" s="304">
        <f t="shared" si="1998"/>
        <v>500</v>
      </c>
      <c r="CQ689" s="1">
        <f t="shared" si="1999"/>
        <v>0</v>
      </c>
      <c r="CR689" s="1">
        <f t="shared" si="2000"/>
        <v>0</v>
      </c>
      <c r="CS689" s="1">
        <f t="shared" si="2001"/>
        <v>0</v>
      </c>
      <c r="CT689" s="1">
        <f t="shared" si="2002"/>
        <v>1.9E-2</v>
      </c>
      <c r="CU689" s="1">
        <f t="shared" si="2003"/>
        <v>3.9E-2</v>
      </c>
      <c r="CV689" s="304">
        <f t="shared" si="2004"/>
        <v>737.99367635402496</v>
      </c>
      <c r="CW689" s="20" t="s">
        <v>122</v>
      </c>
      <c r="CX689" s="20" t="s">
        <v>122</v>
      </c>
      <c r="CY689" s="20" t="s">
        <v>122</v>
      </c>
      <c r="CZ689" s="20" t="s">
        <v>122</v>
      </c>
      <c r="DA689" s="20" t="s">
        <v>122</v>
      </c>
      <c r="DB689" s="503">
        <f t="shared" si="2005"/>
        <v>0</v>
      </c>
      <c r="DC689" s="127">
        <v>0</v>
      </c>
      <c r="DD689" s="127">
        <v>0</v>
      </c>
      <c r="DE689" s="127">
        <v>0</v>
      </c>
      <c r="DF689" s="127">
        <v>0</v>
      </c>
      <c r="DG689" s="127">
        <v>0</v>
      </c>
      <c r="DH689" s="127">
        <v>0</v>
      </c>
      <c r="DI689" s="127">
        <v>0</v>
      </c>
      <c r="DJ689" s="127">
        <v>0</v>
      </c>
      <c r="DK689" s="127">
        <v>0</v>
      </c>
      <c r="DL689" s="127">
        <v>0</v>
      </c>
      <c r="DM689" s="304">
        <f>INDEX(Input!$1:$1048576,DM$93,$C689*2+6)</f>
        <v>21036.84210526316</v>
      </c>
      <c r="DN689" s="20">
        <v>0</v>
      </c>
      <c r="DO689" s="20">
        <v>0</v>
      </c>
      <c r="DP689" s="20">
        <v>0</v>
      </c>
      <c r="DQ689" s="20">
        <v>0</v>
      </c>
      <c r="DR689" s="20">
        <v>0</v>
      </c>
      <c r="DS689" s="20">
        <f>INDEX(Input!$1:$1048576,DS$93,$C689*2+6)</f>
        <v>0.6</v>
      </c>
      <c r="DT689" s="20">
        <f>INDEX(Input!$1:$1048576,DT$93,$C689*2+6)</f>
        <v>0.55000000000000004</v>
      </c>
      <c r="DU689" s="20">
        <f>INDEX(Input!$1:$1048576,DU$93,$C689*2+6)</f>
        <v>0.52</v>
      </c>
      <c r="DV689" s="20">
        <f>INDEX(Input!$1:$1048576,DV$93,$C689*2+6)</f>
        <v>0.5</v>
      </c>
      <c r="DW689" s="20">
        <f>INDEX(Input!$1:$1048576,DW$93,$C689*2+6)</f>
        <v>0.45</v>
      </c>
      <c r="DX689" s="20"/>
      <c r="DY689" s="7"/>
      <c r="DZ689" s="7"/>
      <c r="EA689" s="7"/>
      <c r="EB689" s="7"/>
      <c r="EC689" s="7"/>
      <c r="ED689" s="7"/>
      <c r="EE689" s="7"/>
      <c r="EF689" s="7"/>
      <c r="EG689" s="7"/>
      <c r="EH689" s="7"/>
      <c r="EI689" s="7"/>
      <c r="EJ689" s="7"/>
      <c r="EK689" s="7"/>
      <c r="EL689" s="7"/>
      <c r="EM689" s="7"/>
      <c r="EN689" s="7"/>
      <c r="EO689" s="7"/>
      <c r="EP689" s="7"/>
      <c r="EQ689" s="7"/>
      <c r="ER689" s="7"/>
      <c r="ES689" s="7"/>
      <c r="ET689" s="7"/>
      <c r="EU689" s="6"/>
      <c r="EV689" s="6"/>
      <c r="EW689" s="6"/>
      <c r="EX689" s="6"/>
      <c r="EY689" s="6"/>
      <c r="EZ689" s="6"/>
      <c r="FA689" s="6"/>
      <c r="FB689" s="6"/>
      <c r="FC689" s="6"/>
      <c r="FD689" s="6"/>
      <c r="FE689" s="6"/>
      <c r="FF689" s="6"/>
      <c r="FG689" s="6"/>
      <c r="FH689" s="6"/>
      <c r="FI689" s="6"/>
      <c r="FJ689" s="6"/>
      <c r="FK689" s="6"/>
      <c r="FL689" s="6"/>
      <c r="FM689" s="6"/>
      <c r="FN689" s="6"/>
      <c r="FO689" s="6"/>
      <c r="FP689" s="6"/>
      <c r="FQ689" s="6"/>
      <c r="FR689" s="6"/>
      <c r="FS689" s="6"/>
      <c r="FT689" s="7"/>
      <c r="FU689" s="7"/>
      <c r="FV689" s="7"/>
      <c r="FW689" s="6"/>
      <c r="FX689" s="6"/>
      <c r="FY689" s="6"/>
      <c r="FZ689" s="6"/>
      <c r="GA689" s="6"/>
      <c r="GB689" s="6"/>
      <c r="GC689" s="7"/>
      <c r="GD689" s="7"/>
      <c r="GE689" s="7"/>
      <c r="GF689" s="7"/>
      <c r="GG689" s="7"/>
      <c r="GH689" s="42"/>
      <c r="GI689" s="6"/>
      <c r="GJ689" s="14"/>
      <c r="GK689" s="14"/>
      <c r="GL689" s="14"/>
      <c r="GM689" s="14"/>
      <c r="GO689" s="5"/>
      <c r="GP689" s="5"/>
      <c r="GQ689" s="5"/>
      <c r="GR689" s="5"/>
      <c r="GS689" s="5"/>
      <c r="GT689" s="5"/>
      <c r="GU689" s="5"/>
      <c r="GV689" s="39"/>
      <c r="GW689" s="5"/>
      <c r="GX689" s="5"/>
      <c r="GY689" s="5"/>
      <c r="GZ689" s="5"/>
      <c r="HA689" s="5"/>
      <c r="HB689" s="39"/>
      <c r="HC689" s="5"/>
      <c r="HD689" s="5"/>
      <c r="HE689" s="5"/>
      <c r="HF689" s="5"/>
      <c r="HG689" s="5"/>
      <c r="HH689" s="39"/>
      <c r="HI689" s="16"/>
      <c r="HJ689" s="19"/>
      <c r="HK689" s="1"/>
      <c r="HL689" s="16"/>
      <c r="HM689" s="639" t="e">
        <f t="shared" si="2013"/>
        <v>#DIV/0!</v>
      </c>
      <c r="HN689" s="639" t="e">
        <f t="shared" si="2014"/>
        <v>#DIV/0!</v>
      </c>
      <c r="HO689" s="639" t="e">
        <f t="shared" si="2015"/>
        <v>#DIV/0!</v>
      </c>
      <c r="HP689" s="644">
        <f t="shared" ref="HP689:ID689" si="2121">HP189+HP289+HP389+HP489+HP589</f>
        <v>0</v>
      </c>
      <c r="HQ689" s="644">
        <f t="shared" si="2121"/>
        <v>0</v>
      </c>
      <c r="HR689" s="644">
        <f t="shared" si="2121"/>
        <v>0</v>
      </c>
      <c r="HS689" s="644">
        <f t="shared" si="2121"/>
        <v>0</v>
      </c>
      <c r="HT689" s="644">
        <f t="shared" si="2121"/>
        <v>0</v>
      </c>
      <c r="HU689" s="644">
        <f t="shared" si="2121"/>
        <v>0</v>
      </c>
      <c r="HV689" s="644">
        <f t="shared" si="2121"/>
        <v>0</v>
      </c>
      <c r="HW689" s="644">
        <f t="shared" si="2121"/>
        <v>0</v>
      </c>
      <c r="HX689" s="644">
        <f t="shared" si="2121"/>
        <v>0</v>
      </c>
      <c r="HY689" s="644">
        <f t="shared" si="2121"/>
        <v>0</v>
      </c>
      <c r="HZ689" s="644">
        <f t="shared" si="2121"/>
        <v>0</v>
      </c>
      <c r="IA689" s="644">
        <f t="shared" si="2121"/>
        <v>0</v>
      </c>
      <c r="IB689" s="644">
        <f t="shared" si="2121"/>
        <v>0</v>
      </c>
      <c r="IC689" s="644">
        <f t="shared" si="2121"/>
        <v>0</v>
      </c>
      <c r="ID689" s="644">
        <f t="shared" si="2121"/>
        <v>0</v>
      </c>
      <c r="IE689" s="20" t="e">
        <f t="shared" si="2017"/>
        <v>#DIV/0!</v>
      </c>
      <c r="IF689" s="20" t="e">
        <f t="shared" si="2018"/>
        <v>#DIV/0!</v>
      </c>
      <c r="IG689" s="20" t="e">
        <f t="shared" si="2019"/>
        <v>#DIV/0!</v>
      </c>
      <c r="IH689" s="21"/>
      <c r="II689" s="19"/>
      <c r="IJ689" s="19"/>
      <c r="IK689" s="19"/>
      <c r="IL689" s="19" t="e">
        <f t="shared" si="2020"/>
        <v>#DIV/0!</v>
      </c>
      <c r="IM689" s="19" t="e">
        <f t="shared" si="2021"/>
        <v>#DIV/0!</v>
      </c>
      <c r="IN689" s="19" t="e">
        <f t="shared" si="2022"/>
        <v>#DIV/0!</v>
      </c>
      <c r="IO689" s="39"/>
      <c r="IP689" s="39"/>
      <c r="IQ689" s="39"/>
      <c r="IR689" s="39"/>
      <c r="IS689" s="39"/>
      <c r="IT689" s="39"/>
      <c r="IU689" s="39"/>
      <c r="IV689" s="39"/>
      <c r="IW689" s="39"/>
      <c r="IX689" s="19" t="e">
        <f t="shared" si="2023"/>
        <v>#DIV/0!</v>
      </c>
      <c r="IY689" s="19" t="e">
        <f t="shared" si="2024"/>
        <v>#DIV/0!</v>
      </c>
      <c r="IZ689" s="19" t="e">
        <f t="shared" si="2025"/>
        <v>#DIV/0!</v>
      </c>
      <c r="JA689" s="19">
        <f t="shared" ref="JA689:JC689" si="2122">IFERROR((JA189*IB189+JA289*IB289+JA389*IB389+JA489*IB489+JA589*IB589)/IB689,0)</f>
        <v>0</v>
      </c>
      <c r="JB689" s="19">
        <f t="shared" si="2122"/>
        <v>0</v>
      </c>
      <c r="JC689" s="19">
        <f t="shared" si="2122"/>
        <v>0</v>
      </c>
      <c r="JD689" s="19" t="e">
        <f t="shared" si="2027"/>
        <v>#DIV/0!</v>
      </c>
      <c r="JE689" s="21"/>
      <c r="JF689" s="1" t="e">
        <f t="shared" si="2028"/>
        <v>#DIV/0!</v>
      </c>
      <c r="JG689" s="15">
        <f t="shared" si="2029"/>
        <v>0</v>
      </c>
      <c r="JH689" s="1" t="e">
        <f t="shared" si="2030"/>
        <v>#DIV/0!</v>
      </c>
      <c r="JI689" s="1" t="e">
        <f t="shared" si="2031"/>
        <v>#DIV/0!</v>
      </c>
      <c r="JJ689" s="1" t="e">
        <f t="shared" si="2032"/>
        <v>#DIV/0!</v>
      </c>
      <c r="JK689" s="1" t="e">
        <f t="shared" si="2033"/>
        <v>#DIV/0!</v>
      </c>
      <c r="JL689" s="15">
        <f t="shared" ref="JL689:JM689" si="2123">JL189+JL289+JL389+JL489+JL589</f>
        <v>0</v>
      </c>
      <c r="JM689" s="15">
        <f t="shared" si="2123"/>
        <v>0</v>
      </c>
      <c r="JN689" s="21"/>
      <c r="JO689" s="19">
        <f>INDEX(Input!$1:$1048576,JO$93,$C689*2+6)</f>
        <v>5995.5</v>
      </c>
      <c r="JP689" s="19">
        <f>INDEX(Input!$1:$1048576,JP$93,$C689*2+6)</f>
        <v>2296.6050414551746</v>
      </c>
      <c r="JQ689" s="39" t="e">
        <f t="shared" si="2053"/>
        <v>#DIV/0!</v>
      </c>
      <c r="JR689" s="39" t="e">
        <f t="shared" si="2054"/>
        <v>#DIV/0!</v>
      </c>
      <c r="JS689" s="39" t="e">
        <f t="shared" si="2055"/>
        <v>#DIV/0!</v>
      </c>
      <c r="JT689" s="39" t="e">
        <f t="shared" si="2056"/>
        <v>#DIV/0!</v>
      </c>
      <c r="JU689" s="385" t="e">
        <f>(JQ689*JM689-INDEX(Input!$1:$1048576,Input!A$18,$C689*2+6)*JL689*INDEX(Input!$1:$1048576,Input!A$19,$C689*2+6))/1000000</f>
        <v>#DIV/0!</v>
      </c>
      <c r="JV689" s="39" t="e">
        <f t="shared" si="2057"/>
        <v>#DIV/0!</v>
      </c>
      <c r="JW689" s="1" t="e">
        <f t="shared" si="2058"/>
        <v>#DIV/0!</v>
      </c>
      <c r="JX689" s="19">
        <f t="shared" si="2059"/>
        <v>0</v>
      </c>
      <c r="JZ689" s="341"/>
      <c r="KA689" s="60"/>
      <c r="KB689" s="469">
        <f t="shared" si="2035"/>
        <v>0</v>
      </c>
      <c r="KI689" s="472"/>
      <c r="KJ689" s="472"/>
      <c r="KK689" s="472"/>
      <c r="KN689" s="26">
        <f t="shared" si="2036"/>
        <v>6002</v>
      </c>
      <c r="KO689" s="794">
        <f t="shared" si="2037"/>
        <v>-1</v>
      </c>
      <c r="KP689" s="795" t="e">
        <f t="shared" si="2038"/>
        <v>#DIV/0!</v>
      </c>
      <c r="KQ689" s="795" t="e">
        <f t="shared" si="2039"/>
        <v>#DIV/0!</v>
      </c>
      <c r="KR689" s="26" t="e">
        <f t="shared" si="2040"/>
        <v>#DIV/0!</v>
      </c>
      <c r="KS689" s="26" t="e">
        <f t="shared" si="2041"/>
        <v>#DIV/0!</v>
      </c>
      <c r="KT689" s="796">
        <f t="shared" si="2049"/>
        <v>4286.2445668946921</v>
      </c>
      <c r="KU689" s="797">
        <f t="shared" si="2042"/>
        <v>0</v>
      </c>
    </row>
    <row r="690" spans="1:307" s="26" customFormat="1" ht="15" outlineLevel="1">
      <c r="A690" s="561">
        <f t="shared" si="2009"/>
        <v>6090</v>
      </c>
      <c r="B690" s="561">
        <f t="shared" si="2043"/>
        <v>90</v>
      </c>
      <c r="C690" s="561">
        <f t="shared" si="2044"/>
        <v>6</v>
      </c>
      <c r="D690" s="561" t="str">
        <f t="shared" si="2108"/>
        <v/>
      </c>
      <c r="E690" s="475">
        <f>INDEX(Input!$1:$1048576,E$93,$C690*2+MIN($B690,2)+5)
+INDEX(Scenarios!E$121:E$199,MATCH($B690,Scenarios!$B$121:$B$199,0))</f>
        <v>1267.2644913000609</v>
      </c>
      <c r="F690" s="475">
        <f>INDEX(Input!$1:$1048576,F$93,$C690*2+MIN($B690,2)+5)
+INDEX(Scenarios!F$121:F$199,MATCH($B690,Scenarios!$B$121:$B$199,0))</f>
        <v>0</v>
      </c>
      <c r="G690" s="475">
        <f>INDEX(Input!$1:$1048576,G$93,$C690*2+MIN($B690,2)+5)
+INDEX(Scenarios!G$121:G$199,MATCH($B690,Scenarios!$B$121:$B$199,0))</f>
        <v>0</v>
      </c>
      <c r="H690" s="475">
        <f>INDEX(Input!$1:$1048576,H$93,$C690*2+MIN($B690,2)+5)
+INDEX(Scenarios!H$121:H$199,MATCH($B690,Scenarios!$B$121:$B$199,0))</f>
        <v>0</v>
      </c>
      <c r="I690" s="476">
        <f>INDEX(Input!$1:$1048576,I$93,$C690*2+MIN($B690,2)+5)
+INDEX(Scenarios!I$121:I$199,MATCH($B690,Scenarios!$B$121:$B$199,0))</f>
        <v>0.7</v>
      </c>
      <c r="J690" s="476" t="str">
        <f>INDEX(Input!$1:$1048576,J$93,$C690*2+MIN($B690,2)+5)</f>
        <v>Market</v>
      </c>
      <c r="K690" s="476" t="str">
        <f>INDEX(Input!$1:$1048576,K$93,$C690*2+MIN($B690,2)+5)</f>
        <v>Market</v>
      </c>
      <c r="L690" s="476" t="str">
        <f>INDEX(Input!$1:$1048576,L$93,$C690*2+MIN($B690,2)+5)</f>
        <v>Market</v>
      </c>
      <c r="M690" s="476" t="str">
        <f>INDEX(Input!$1:$1048576,M$93,$C690*2+MIN($B690,2)+5)</f>
        <v>Market</v>
      </c>
      <c r="N690" s="476" t="str">
        <f>INDEX(Input!$1:$1048576,N$93,$C690*2+MIN($B690,2)+5)</f>
        <v>Market</v>
      </c>
      <c r="O690" s="476" t="str">
        <f>INDEX(Input!$1:$1048576,O$93,$C690*2+MIN($B690,2)+5)</f>
        <v>Market</v>
      </c>
      <c r="P690" s="476" t="str">
        <f>INDEX(Input!$1:$1048576,P$93,$C690*2+MIN($B690,2)+5)</f>
        <v>N</v>
      </c>
      <c r="Q690" s="477">
        <f>INDEX(Input!$1:$1048576,Q$93,$C690*2+MIN($B690,2)+5)
+INDEX(Scenarios!Q$121:Q$199,MATCH($B690,Scenarios!$B$121:$B$199,0))</f>
        <v>0</v>
      </c>
      <c r="R690" s="478">
        <f>IFERROR(MAX(0,INDEX(Input!$1:$1048576,R$93,$C690*2+MIN($B690,2)+5)
+INDEX(Scenarios!R$121:R$199,MATCH($B690,Scenarios!$B$121:$B$199,0)),),"Market")</f>
        <v>0</v>
      </c>
      <c r="S690" s="478">
        <f>IFERROR(MAX(0,INDEX(Input!$1:$1048576,S$93,$C690*2+MIN($B690,2)+5)
+INDEX(Scenarios!S$121:S$199,MATCH($B690,Scenarios!$B$121:$B$199,0)),),"Market")</f>
        <v>0</v>
      </c>
      <c r="T690" s="478">
        <f>IFERROR(MAX(0,INDEX(Input!$1:$1048576,T$93,$C690*2+MIN($B690,2)+5)
+INDEX(Scenarios!T$121:T$199,MATCH($B690,Scenarios!$B$121:$B$199,0)),),"Market")</f>
        <v>0</v>
      </c>
      <c r="U690" s="478">
        <f>IFERROR(MAX(0,INDEX(Input!$1:$1048576,U$93,$C690*2+MIN($B690,2)+5)
+INDEX(Scenarios!U$121:U$199,MATCH($B690,Scenarios!$B$121:$B$199,0)),),"Market")</f>
        <v>0</v>
      </c>
      <c r="V690" s="478">
        <f>IFERROR(MAX(0,INDEX(Input!$1:$1048576,V$93,$C690*2+MIN($B690,2)+5)
+INDEX(Scenarios!V$121:V$199,MATCH($B690,Scenarios!$B$121:$B$199,0)),),"Market")</f>
        <v>1.9E-2</v>
      </c>
      <c r="W690" s="885">
        <f>IFERROR(MAX(0,INDEX(Input!$1:$1048576,W$93,$C690*2+MIN($B690,2)+5)-0%),"Market")</f>
        <v>3.9E-2</v>
      </c>
      <c r="X690" s="476" t="str">
        <f>INDEX(Input!$1:$1048576,X$93,$C690*2+MIN($B690,2)+5)</f>
        <v>Y</v>
      </c>
      <c r="Y690" s="475">
        <f>INDEX(Input!$1:$1048576,Y$93,$C690*2+MIN($B690,2)+5)
++INDEX(Scenarios!Y$121:Y$199,MATCH($B690,Scenarios!$B$121:$B$199,0))</f>
        <v>737.99367635402496</v>
      </c>
      <c r="Z690" s="477">
        <f>INDEX(Input!$1:$1048576,Z$93,$C690*2+MIN($B690,2)+5)
+INDEX(Scenarios!Z$121:Z$199,MATCH($B690,Scenarios!$B$121:$B$199,0))</f>
        <v>0</v>
      </c>
      <c r="AA690" s="475">
        <f>INDEX(Input!$1:$1048576,AA$93,$C690*2+MIN($B690,2)+5)</f>
        <v>0</v>
      </c>
      <c r="AB690" s="476">
        <f>INDEX(Input!$1:$1048576,AB$93,$C690*2+MIN($B690,2)+5)</f>
        <v>0.27</v>
      </c>
      <c r="AC690" s="475">
        <f>INDEX(Input!$1:$1048576,AC$93,$C690*2+MIN($B690,2)+5)
+INDEX(Scenarios!AC$121:AC$199,MATCH($B690,Scenarios!$B$121:$B$199,0))</f>
        <v>0</v>
      </c>
      <c r="AD690" s="476">
        <f>INDEX(Input!$1:$1048576,AD$93,$C690*2+MIN($B690,2)+5)</f>
        <v>0.27</v>
      </c>
      <c r="AE690" s="475">
        <f>INDEX(Input!$1:$1048576,AE$93,$C690*2+MIN($B690,2)+5)
+INDEX(Scenarios!AE$121:AE$199,MATCH($B690,Scenarios!$B$121:$B$199,0))</f>
        <v>0</v>
      </c>
      <c r="AF690" s="476">
        <f>INDEX(Input!$1:$1048576,AF$93,$C690*2+MIN($B690,2)+5)</f>
        <v>1</v>
      </c>
      <c r="AG690" s="475">
        <f>INDEX(Input!$1:$1048576,AG$93,$C690*2+MIN($B690,2)+5)</f>
        <v>500</v>
      </c>
      <c r="AH690" s="476">
        <f>INDEX(Input!$1:$1048576,AH$93,$C690*2+MIN($B690,2)+5)</f>
        <v>1</v>
      </c>
      <c r="AI690" s="475">
        <f>INDEX(Input!$1:$1048576,AI$93,$C690*2+MIN($B690,2)+5)</f>
        <v>0</v>
      </c>
      <c r="AJ690" s="476">
        <f>INDEX(Input!$1:$1048576,AJ$93,$C690*2+MIN($B690,2)+5)</f>
        <v>0.27</v>
      </c>
      <c r="AK690" s="150">
        <f>ROUND(INDEX(Input!$1:$1048576,AK$93,$C689*2+MIN($B690,1)+5)+(Y690-VLOOKUP($C690*1000+1,$A:$HH,Y$92,FALSE)),0)</f>
        <v>3061</v>
      </c>
      <c r="AL690" s="150">
        <f>ROUND(INDEX(Input!$1:$1048576,AL$93,$C689*2+MIN($B690,1)+5)-(Y690-VLOOKUP($C690*1000+1,$A:$HH,Y$92,FALSE))/36,0)</f>
        <v>3552</v>
      </c>
      <c r="AM690" s="32" t="str">
        <f t="shared" si="2010"/>
        <v>std/std/std/std</v>
      </c>
      <c r="AN690" s="32" t="str">
        <f t="shared" si="2011"/>
        <v>$0 + 0/0/0/1.9/3.9</v>
      </c>
      <c r="AO690" s="32" t="str">
        <f t="shared" si="2012"/>
        <v>0/0/0/1.9/3.9</v>
      </c>
      <c r="AP690" s="32" t="str">
        <f t="shared" si="1990"/>
        <v>0/0.9/1.9/3.9</v>
      </c>
      <c r="AQ690" s="536" t="e">
        <f t="shared" si="1991"/>
        <v>#DIV/0!</v>
      </c>
      <c r="AR690" s="32"/>
      <c r="AS690" s="302"/>
      <c r="AT690" s="3">
        <f t="shared" si="2045"/>
        <v>90</v>
      </c>
      <c r="AU690" s="41" t="s">
        <v>121</v>
      </c>
      <c r="AV690" s="41" t="s">
        <v>116</v>
      </c>
      <c r="AW690" s="41" t="str">
        <f>INDEX(Input!$1:$1048576,AW$93,$C690*2+6)</f>
        <v>Kia</v>
      </c>
      <c r="AX690" s="41" t="str">
        <f>INDEX(Input!$1:$1048576,AX$93,$C690*2+6)</f>
        <v>National</v>
      </c>
      <c r="AY690" s="41" t="str">
        <f>IF(LEN(D690)=0,"",INDEX(Input!$1:$1048576,AY$93,$C690*2+6))</f>
        <v/>
      </c>
      <c r="AZ690" s="41" t="str">
        <f>INDEX(Input!$1:$1048576,AZ$93,$C690*2+6)</f>
        <v>Kia Soul</v>
      </c>
      <c r="BA690" s="3">
        <f>INDEX(Input!$1:$1048576,BA$93,$C690*2+6)</f>
        <v>2020</v>
      </c>
      <c r="BB690" s="128">
        <f>INDEX(Input!$1:$1048576,BB$93,$C690*2+6)</f>
        <v>1</v>
      </c>
      <c r="BC690" s="128">
        <f>INDEX(Input!$1:$1048576,BC$93,$C690*2+6)</f>
        <v>0.7</v>
      </c>
      <c r="BD690" s="1">
        <f>INDEX(Input!$1:$1048576,BD$93,$C690*2+6)</f>
        <v>4.4999999999999998E-2</v>
      </c>
      <c r="BE690" s="1">
        <f>INDEX(Input!$1:$1048576,BE$93,$C690*2+6)</f>
        <v>4.4999999999999998E-2</v>
      </c>
      <c r="BF690" s="1">
        <f>INDEX(Input!$1:$1048576,BF$93,$C690*2+6)</f>
        <v>0.05</v>
      </c>
      <c r="BG690" s="1">
        <f>INDEX(Input!$1:$1048576,BG$93,$C690*2+6)</f>
        <v>5.45E-2</v>
      </c>
      <c r="BH690" s="1">
        <f>INDEX(Input!$1:$1048576,BH$93,$C690*2+6)</f>
        <v>5.45E-2</v>
      </c>
      <c r="BI690" s="1">
        <f>INDEX(Input!$1:$1048576,BI$93,$C690*2+6)</f>
        <v>0.05</v>
      </c>
      <c r="BJ690" s="1">
        <f>INDEX(Input!$1:$1048576,BJ$93,$C690*2+6)</f>
        <v>0.05</v>
      </c>
      <c r="BK690" s="1">
        <f>INDEX(Input!$1:$1048576,BK$93,$C690*2+6)</f>
        <v>0.05</v>
      </c>
      <c r="BL690" s="1">
        <f>INDEX(Input!$1:$1048576,BL$93,$C690*2+6)</f>
        <v>5.5E-2</v>
      </c>
      <c r="BM690" s="1">
        <f>INDEX(Input!$1:$1048576,BM$93,$C690*2+6)</f>
        <v>0.06</v>
      </c>
      <c r="BN690" s="1">
        <f>INDEX(Input!$1:$1048576,BN$93,$C690*2+6)</f>
        <v>4.4999999999999998E-2</v>
      </c>
      <c r="BO690" s="1">
        <f>INDEX(Input!$1:$1048576,BO$93,$C690*2+6)</f>
        <v>4.4999999999999998E-2</v>
      </c>
      <c r="BP690" s="1">
        <f>INDEX(Input!$1:$1048576,BP$93,$C690*2+6)</f>
        <v>0.05</v>
      </c>
      <c r="BQ690" s="1">
        <f>INDEX(Input!$1:$1048576,BQ$93,$C690*2+6)</f>
        <v>5.45E-2</v>
      </c>
      <c r="BR690" s="1">
        <f>INDEX(Input!$1:$1048576,BR$93,$C690*2+6)</f>
        <v>5.45E-2</v>
      </c>
      <c r="BS690" s="1">
        <f>INDEX(Input!$1:$1048576,BS$93,$C690*2+6)</f>
        <v>0.05</v>
      </c>
      <c r="BT690" s="1">
        <f>INDEX(Input!$1:$1048576,BT$93,$C690*2+6)</f>
        <v>0.05</v>
      </c>
      <c r="BU690" s="1">
        <f>INDEX(Input!$1:$1048576,BU$93,$C690*2+6)</f>
        <v>0.05</v>
      </c>
      <c r="BV690" s="1">
        <f>INDEX(Input!$1:$1048576,BV$93,$C690*2+6)</f>
        <v>5.5E-2</v>
      </c>
      <c r="BW690" s="1">
        <f>INDEX(Input!$1:$1048576,BW$93,$C690*2+6)</f>
        <v>0.06</v>
      </c>
      <c r="BX690" s="127">
        <f>INDEX(Input!$1:$1048576,BX$93,$C690*2+6)</f>
        <v>19985</v>
      </c>
      <c r="BY690" s="20">
        <f>INDEX(Input!$1:$1048576,BY$93,$C690*2+6)</f>
        <v>0.1</v>
      </c>
      <c r="BZ690" s="20">
        <f>INDEX(Input!$1:$1048576,BZ$93,$C690*2+6)</f>
        <v>0.1</v>
      </c>
      <c r="CA690" s="20">
        <f>INDEX(Input!$1:$1048576,CA$93,$C690*2+6)</f>
        <v>0.1</v>
      </c>
      <c r="CB690" s="20">
        <f>INDEX(Input!$1:$1048576,CB$93,$C690*2+6)</f>
        <v>0.1</v>
      </c>
      <c r="CC690" s="20">
        <f>INDEX(Input!$1:$1048576,CC$93,$C690*2+6)</f>
        <v>0.1</v>
      </c>
      <c r="CD690" s="384">
        <f>INDEX(Input!$1:$1048576,CD$93,$C690*2+6)</f>
        <v>0.1</v>
      </c>
      <c r="CE690" s="384">
        <f>INDEX(Input!$1:$1048576,CE$93,$C690*2+6)</f>
        <v>0.1</v>
      </c>
      <c r="CF690" s="384">
        <f>INDEX(Input!$1:$1048576,CF$93,$C690*2+6)</f>
        <v>0.1</v>
      </c>
      <c r="CG690" s="384">
        <f>INDEX(Input!$1:$1048576,CG$93,$C690*2+6)</f>
        <v>0.1</v>
      </c>
      <c r="CH690" s="384">
        <f>INDEX(Input!$1:$1048576,CH$93,$C690*2+6)</f>
        <v>0.1</v>
      </c>
      <c r="CI690" s="304">
        <f t="shared" si="1992"/>
        <v>1267.2644913000609</v>
      </c>
      <c r="CJ690" s="16" t="str">
        <f>INDEX(Input!$1:$1048576,CJ$93,$C690*2+6)</f>
        <v>N</v>
      </c>
      <c r="CK690" s="1" t="str">
        <f t="shared" si="1993"/>
        <v>Market</v>
      </c>
      <c r="CL690" s="1" t="str">
        <f t="shared" si="1994"/>
        <v>Market</v>
      </c>
      <c r="CM690" s="1" t="str">
        <f t="shared" si="1995"/>
        <v>Market</v>
      </c>
      <c r="CN690" s="1" t="str">
        <f t="shared" si="1996"/>
        <v>Market</v>
      </c>
      <c r="CO690" s="1" t="str">
        <f t="shared" si="1997"/>
        <v>Market</v>
      </c>
      <c r="CP690" s="304">
        <f t="shared" si="1998"/>
        <v>500</v>
      </c>
      <c r="CQ690" s="1">
        <f t="shared" si="1999"/>
        <v>0</v>
      </c>
      <c r="CR690" s="1">
        <f t="shared" si="2000"/>
        <v>0</v>
      </c>
      <c r="CS690" s="1">
        <f t="shared" si="2001"/>
        <v>0</v>
      </c>
      <c r="CT690" s="1">
        <f t="shared" si="2002"/>
        <v>1.9E-2</v>
      </c>
      <c r="CU690" s="1">
        <f t="shared" si="2003"/>
        <v>3.9E-2</v>
      </c>
      <c r="CV690" s="304">
        <f t="shared" si="2004"/>
        <v>737.99367635402496</v>
      </c>
      <c r="CW690" s="20" t="s">
        <v>122</v>
      </c>
      <c r="CX690" s="20" t="s">
        <v>122</v>
      </c>
      <c r="CY690" s="20" t="s">
        <v>122</v>
      </c>
      <c r="CZ690" s="20" t="s">
        <v>122</v>
      </c>
      <c r="DA690" s="20" t="s">
        <v>122</v>
      </c>
      <c r="DB690" s="503">
        <f t="shared" si="2005"/>
        <v>0</v>
      </c>
      <c r="DC690" s="127">
        <v>0</v>
      </c>
      <c r="DD690" s="127">
        <v>0</v>
      </c>
      <c r="DE690" s="127">
        <v>0</v>
      </c>
      <c r="DF690" s="127">
        <v>0</v>
      </c>
      <c r="DG690" s="127">
        <v>0</v>
      </c>
      <c r="DH690" s="127">
        <v>0</v>
      </c>
      <c r="DI690" s="127">
        <v>0</v>
      </c>
      <c r="DJ690" s="127">
        <v>0</v>
      </c>
      <c r="DK690" s="127">
        <v>0</v>
      </c>
      <c r="DL690" s="127">
        <v>0</v>
      </c>
      <c r="DM690" s="304">
        <f>INDEX(Input!$1:$1048576,DM$93,$C690*2+6)</f>
        <v>21036.84210526316</v>
      </c>
      <c r="DN690" s="20">
        <v>0</v>
      </c>
      <c r="DO690" s="20">
        <v>0</v>
      </c>
      <c r="DP690" s="20">
        <v>0</v>
      </c>
      <c r="DQ690" s="20">
        <v>0</v>
      </c>
      <c r="DR690" s="20">
        <v>0</v>
      </c>
      <c r="DS690" s="20">
        <f>INDEX(Input!$1:$1048576,DS$93,$C690*2+6)</f>
        <v>0.6</v>
      </c>
      <c r="DT690" s="20">
        <f>INDEX(Input!$1:$1048576,DT$93,$C690*2+6)</f>
        <v>0.55000000000000004</v>
      </c>
      <c r="DU690" s="20">
        <f>INDEX(Input!$1:$1048576,DU$93,$C690*2+6)</f>
        <v>0.52</v>
      </c>
      <c r="DV690" s="20">
        <f>INDEX(Input!$1:$1048576,DV$93,$C690*2+6)</f>
        <v>0.5</v>
      </c>
      <c r="DW690" s="20">
        <f>INDEX(Input!$1:$1048576,DW$93,$C690*2+6)</f>
        <v>0.45</v>
      </c>
      <c r="DX690" s="20"/>
      <c r="DY690" s="7"/>
      <c r="DZ690" s="7"/>
      <c r="EA690" s="7"/>
      <c r="EB690" s="7"/>
      <c r="EC690" s="7"/>
      <c r="ED690" s="7"/>
      <c r="EE690" s="7"/>
      <c r="EF690" s="7"/>
      <c r="EG690" s="7"/>
      <c r="EH690" s="7"/>
      <c r="EI690" s="7"/>
      <c r="EJ690" s="7"/>
      <c r="EK690" s="7"/>
      <c r="EL690" s="7"/>
      <c r="EM690" s="7"/>
      <c r="EN690" s="7"/>
      <c r="EO690" s="7"/>
      <c r="EP690" s="7"/>
      <c r="EQ690" s="7"/>
      <c r="ER690" s="7"/>
      <c r="ES690" s="7"/>
      <c r="ET690" s="7"/>
      <c r="EU690" s="6"/>
      <c r="EV690" s="6"/>
      <c r="EW690" s="6"/>
      <c r="EX690" s="6"/>
      <c r="EY690" s="6"/>
      <c r="EZ690" s="6"/>
      <c r="FA690" s="6"/>
      <c r="FB690" s="6"/>
      <c r="FC690" s="6"/>
      <c r="FD690" s="6"/>
      <c r="FE690" s="6"/>
      <c r="FF690" s="6"/>
      <c r="FG690" s="6"/>
      <c r="FH690" s="6"/>
      <c r="FI690" s="6"/>
      <c r="FJ690" s="6"/>
      <c r="FK690" s="6"/>
      <c r="FL690" s="6"/>
      <c r="FM690" s="6"/>
      <c r="FN690" s="6"/>
      <c r="FO690" s="6"/>
      <c r="FP690" s="6"/>
      <c r="FQ690" s="6"/>
      <c r="FR690" s="6"/>
      <c r="FS690" s="6"/>
      <c r="FT690" s="7"/>
      <c r="FU690" s="7"/>
      <c r="FV690" s="7"/>
      <c r="FW690" s="6"/>
      <c r="FX690" s="6"/>
      <c r="FY690" s="6"/>
      <c r="FZ690" s="6"/>
      <c r="GA690" s="6"/>
      <c r="GB690" s="6"/>
      <c r="GC690" s="7"/>
      <c r="GD690" s="7"/>
      <c r="GE690" s="7"/>
      <c r="GF690" s="7"/>
      <c r="GG690" s="7"/>
      <c r="GH690" s="42"/>
      <c r="GI690" s="6"/>
      <c r="GJ690" s="14"/>
      <c r="GK690" s="14"/>
      <c r="GL690" s="14"/>
      <c r="GM690" s="14"/>
      <c r="GO690" s="5"/>
      <c r="GP690" s="5"/>
      <c r="GQ690" s="5"/>
      <c r="GR690" s="5"/>
      <c r="GS690" s="5"/>
      <c r="GT690" s="5"/>
      <c r="GU690" s="5"/>
      <c r="GV690" s="39"/>
      <c r="GW690" s="5"/>
      <c r="GX690" s="5"/>
      <c r="GY690" s="5"/>
      <c r="GZ690" s="5"/>
      <c r="HA690" s="5"/>
      <c r="HB690" s="39"/>
      <c r="HC690" s="5"/>
      <c r="HD690" s="5"/>
      <c r="HE690" s="5"/>
      <c r="HF690" s="5"/>
      <c r="HG690" s="5"/>
      <c r="HH690" s="39"/>
      <c r="HI690" s="16"/>
      <c r="HJ690" s="19"/>
      <c r="HK690" s="1"/>
      <c r="HL690" s="16"/>
      <c r="HM690" s="639" t="e">
        <f t="shared" si="2013"/>
        <v>#DIV/0!</v>
      </c>
      <c r="HN690" s="639" t="e">
        <f t="shared" si="2014"/>
        <v>#DIV/0!</v>
      </c>
      <c r="HO690" s="639" t="e">
        <f t="shared" si="2015"/>
        <v>#DIV/0!</v>
      </c>
      <c r="HP690" s="644">
        <f t="shared" ref="HP690:ID690" si="2124">HP190+HP290+HP390+HP490+HP590</f>
        <v>0</v>
      </c>
      <c r="HQ690" s="644">
        <f t="shared" si="2124"/>
        <v>0</v>
      </c>
      <c r="HR690" s="644">
        <f t="shared" si="2124"/>
        <v>0</v>
      </c>
      <c r="HS690" s="644">
        <f t="shared" si="2124"/>
        <v>0</v>
      </c>
      <c r="HT690" s="644">
        <f t="shared" si="2124"/>
        <v>0</v>
      </c>
      <c r="HU690" s="644">
        <f t="shared" si="2124"/>
        <v>0</v>
      </c>
      <c r="HV690" s="644">
        <f t="shared" si="2124"/>
        <v>0</v>
      </c>
      <c r="HW690" s="644">
        <f t="shared" si="2124"/>
        <v>0</v>
      </c>
      <c r="HX690" s="644">
        <f t="shared" si="2124"/>
        <v>0</v>
      </c>
      <c r="HY690" s="644">
        <f t="shared" si="2124"/>
        <v>0</v>
      </c>
      <c r="HZ690" s="644">
        <f t="shared" si="2124"/>
        <v>0</v>
      </c>
      <c r="IA690" s="644">
        <f t="shared" si="2124"/>
        <v>0</v>
      </c>
      <c r="IB690" s="644">
        <f t="shared" si="2124"/>
        <v>0</v>
      </c>
      <c r="IC690" s="644">
        <f t="shared" si="2124"/>
        <v>0</v>
      </c>
      <c r="ID690" s="644">
        <f t="shared" si="2124"/>
        <v>0</v>
      </c>
      <c r="IE690" s="20" t="e">
        <f t="shared" si="2017"/>
        <v>#DIV/0!</v>
      </c>
      <c r="IF690" s="20" t="e">
        <f t="shared" si="2018"/>
        <v>#DIV/0!</v>
      </c>
      <c r="IG690" s="20" t="e">
        <f t="shared" si="2019"/>
        <v>#DIV/0!</v>
      </c>
      <c r="IH690" s="21"/>
      <c r="II690" s="19"/>
      <c r="IJ690" s="19"/>
      <c r="IK690" s="19"/>
      <c r="IL690" s="19" t="e">
        <f t="shared" si="2020"/>
        <v>#DIV/0!</v>
      </c>
      <c r="IM690" s="19" t="e">
        <f t="shared" si="2021"/>
        <v>#DIV/0!</v>
      </c>
      <c r="IN690" s="19" t="e">
        <f t="shared" si="2022"/>
        <v>#DIV/0!</v>
      </c>
      <c r="IO690" s="39"/>
      <c r="IP690" s="39"/>
      <c r="IQ690" s="39"/>
      <c r="IR690" s="39"/>
      <c r="IS690" s="39"/>
      <c r="IT690" s="39"/>
      <c r="IU690" s="39"/>
      <c r="IV690" s="39"/>
      <c r="IW690" s="39"/>
      <c r="IX690" s="19" t="e">
        <f t="shared" si="2023"/>
        <v>#DIV/0!</v>
      </c>
      <c r="IY690" s="19" t="e">
        <f t="shared" si="2024"/>
        <v>#DIV/0!</v>
      </c>
      <c r="IZ690" s="19" t="e">
        <f t="shared" si="2025"/>
        <v>#DIV/0!</v>
      </c>
      <c r="JA690" s="19">
        <f t="shared" ref="JA690:JC690" si="2125">IFERROR((JA190*IB190+JA290*IB290+JA390*IB390+JA490*IB490+JA590*IB590)/IB690,0)</f>
        <v>0</v>
      </c>
      <c r="JB690" s="19">
        <f t="shared" si="2125"/>
        <v>0</v>
      </c>
      <c r="JC690" s="19">
        <f t="shared" si="2125"/>
        <v>0</v>
      </c>
      <c r="JD690" s="19" t="e">
        <f t="shared" si="2027"/>
        <v>#DIV/0!</v>
      </c>
      <c r="JE690" s="21"/>
      <c r="JF690" s="1" t="e">
        <f t="shared" si="2028"/>
        <v>#DIV/0!</v>
      </c>
      <c r="JG690" s="15">
        <f t="shared" si="2029"/>
        <v>0</v>
      </c>
      <c r="JH690" s="1" t="e">
        <f t="shared" si="2030"/>
        <v>#DIV/0!</v>
      </c>
      <c r="JI690" s="1" t="e">
        <f t="shared" si="2031"/>
        <v>#DIV/0!</v>
      </c>
      <c r="JJ690" s="1" t="e">
        <f t="shared" si="2032"/>
        <v>#DIV/0!</v>
      </c>
      <c r="JK690" s="1" t="e">
        <f t="shared" si="2033"/>
        <v>#DIV/0!</v>
      </c>
      <c r="JL690" s="15">
        <f t="shared" ref="JL690:JM690" si="2126">JL190+JL290+JL390+JL490+JL590</f>
        <v>0</v>
      </c>
      <c r="JM690" s="15">
        <f t="shared" si="2126"/>
        <v>0</v>
      </c>
      <c r="JN690" s="21"/>
      <c r="JO690" s="19">
        <f>INDEX(Input!$1:$1048576,JO$93,$C690*2+6)</f>
        <v>5995.5</v>
      </c>
      <c r="JP690" s="19">
        <f>INDEX(Input!$1:$1048576,JP$93,$C690*2+6)</f>
        <v>2296.6050414551746</v>
      </c>
      <c r="JQ690" s="39" t="e">
        <f t="shared" si="2053"/>
        <v>#DIV/0!</v>
      </c>
      <c r="JR690" s="39" t="e">
        <f t="shared" si="2054"/>
        <v>#DIV/0!</v>
      </c>
      <c r="JS690" s="39" t="e">
        <f t="shared" si="2055"/>
        <v>#DIV/0!</v>
      </c>
      <c r="JT690" s="39" t="e">
        <f t="shared" si="2056"/>
        <v>#DIV/0!</v>
      </c>
      <c r="JU690" s="385" t="e">
        <f>(JQ690*JM690-INDEX(Input!$1:$1048576,Input!A$18,$C690*2+6)*JL690*INDEX(Input!$1:$1048576,Input!A$19,$C690*2+6))/1000000</f>
        <v>#DIV/0!</v>
      </c>
      <c r="JV690" s="39" t="e">
        <f t="shared" si="2057"/>
        <v>#DIV/0!</v>
      </c>
      <c r="JW690" s="1" t="e">
        <f t="shared" si="2058"/>
        <v>#DIV/0!</v>
      </c>
      <c r="JX690" s="19">
        <f t="shared" si="2059"/>
        <v>0</v>
      </c>
      <c r="JZ690" s="341"/>
      <c r="KA690" s="60"/>
      <c r="KB690" s="469">
        <f t="shared" si="2035"/>
        <v>0</v>
      </c>
      <c r="KI690" s="472"/>
      <c r="KJ690" s="472"/>
      <c r="KK690" s="472"/>
      <c r="KN690" s="26">
        <f t="shared" si="2036"/>
        <v>6002</v>
      </c>
      <c r="KO690" s="794">
        <f t="shared" si="2037"/>
        <v>-1</v>
      </c>
      <c r="KP690" s="795" t="e">
        <f t="shared" si="2038"/>
        <v>#DIV/0!</v>
      </c>
      <c r="KQ690" s="795" t="e">
        <f t="shared" si="2039"/>
        <v>#DIV/0!</v>
      </c>
      <c r="KR690" s="26" t="e">
        <f t="shared" si="2040"/>
        <v>#DIV/0!</v>
      </c>
      <c r="KS690" s="26" t="e">
        <f t="shared" si="2041"/>
        <v>#DIV/0!</v>
      </c>
      <c r="KT690" s="796">
        <f t="shared" si="2049"/>
        <v>4286.2445668946921</v>
      </c>
      <c r="KU690" s="797">
        <f t="shared" si="2042"/>
        <v>0</v>
      </c>
    </row>
    <row r="691" spans="1:307" s="26" customFormat="1" ht="15" outlineLevel="1">
      <c r="A691" s="561">
        <f t="shared" si="2009"/>
        <v>6091</v>
      </c>
      <c r="B691" s="561">
        <f t="shared" si="2043"/>
        <v>91</v>
      </c>
      <c r="C691" s="561">
        <f t="shared" si="2044"/>
        <v>6</v>
      </c>
      <c r="D691" s="561" t="str">
        <f t="shared" si="2108"/>
        <v/>
      </c>
      <c r="E691" s="475">
        <f>INDEX(Input!$1:$1048576,E$93,$C691*2+MIN($B691,2)+5)
+INDEX(Scenarios!E$121:E$199,MATCH($B691,Scenarios!$B$121:$B$199,0))</f>
        <v>1267.2644913000609</v>
      </c>
      <c r="F691" s="475">
        <f>INDEX(Input!$1:$1048576,F$93,$C691*2+MIN($B691,2)+5)
+INDEX(Scenarios!F$121:F$199,MATCH($B691,Scenarios!$B$121:$B$199,0))</f>
        <v>0</v>
      </c>
      <c r="G691" s="475">
        <f>INDEX(Input!$1:$1048576,G$93,$C691*2+MIN($B691,2)+5)
+INDEX(Scenarios!G$121:G$199,MATCH($B691,Scenarios!$B$121:$B$199,0))</f>
        <v>0</v>
      </c>
      <c r="H691" s="475">
        <f>INDEX(Input!$1:$1048576,H$93,$C691*2+MIN($B691,2)+5)
+INDEX(Scenarios!H$121:H$199,MATCH($B691,Scenarios!$B$121:$B$199,0))</f>
        <v>0</v>
      </c>
      <c r="I691" s="476">
        <f>INDEX(Input!$1:$1048576,I$93,$C691*2+MIN($B691,2)+5)
+INDEX(Scenarios!I$121:I$199,MATCH($B691,Scenarios!$B$121:$B$199,0))</f>
        <v>0.7</v>
      </c>
      <c r="J691" s="476" t="str">
        <f>INDEX(Input!$1:$1048576,J$93,$C691*2+MIN($B691,2)+5)</f>
        <v>Market</v>
      </c>
      <c r="K691" s="476" t="str">
        <f>INDEX(Input!$1:$1048576,K$93,$C691*2+MIN($B691,2)+5)</f>
        <v>Market</v>
      </c>
      <c r="L691" s="476" t="str">
        <f>INDEX(Input!$1:$1048576,L$93,$C691*2+MIN($B691,2)+5)</f>
        <v>Market</v>
      </c>
      <c r="M691" s="476" t="str">
        <f>INDEX(Input!$1:$1048576,M$93,$C691*2+MIN($B691,2)+5)</f>
        <v>Market</v>
      </c>
      <c r="N691" s="476" t="str">
        <f>INDEX(Input!$1:$1048576,N$93,$C691*2+MIN($B691,2)+5)</f>
        <v>Market</v>
      </c>
      <c r="O691" s="476" t="str">
        <f>INDEX(Input!$1:$1048576,O$93,$C691*2+MIN($B691,2)+5)</f>
        <v>Market</v>
      </c>
      <c r="P691" s="476" t="str">
        <f>INDEX(Input!$1:$1048576,P$93,$C691*2+MIN($B691,2)+5)</f>
        <v>N</v>
      </c>
      <c r="Q691" s="477">
        <f>INDEX(Input!$1:$1048576,Q$93,$C691*2+MIN($B691,2)+5)
+INDEX(Scenarios!Q$121:Q$199,MATCH($B691,Scenarios!$B$121:$B$199,0))</f>
        <v>0</v>
      </c>
      <c r="R691" s="478">
        <f>IFERROR(MAX(0,INDEX(Input!$1:$1048576,R$93,$C691*2+MIN($B691,2)+5)
+INDEX(Scenarios!R$121:R$199,MATCH($B691,Scenarios!$B$121:$B$199,0)),),"Market")</f>
        <v>0</v>
      </c>
      <c r="S691" s="478">
        <f>IFERROR(MAX(0,INDEX(Input!$1:$1048576,S$93,$C691*2+MIN($B691,2)+5)
+INDEX(Scenarios!S$121:S$199,MATCH($B691,Scenarios!$B$121:$B$199,0)),),"Market")</f>
        <v>0</v>
      </c>
      <c r="T691" s="478">
        <f>IFERROR(MAX(0,INDEX(Input!$1:$1048576,T$93,$C691*2+MIN($B691,2)+5)
+INDEX(Scenarios!T$121:T$199,MATCH($B691,Scenarios!$B$121:$B$199,0)),),"Market")</f>
        <v>0</v>
      </c>
      <c r="U691" s="478">
        <f>IFERROR(MAX(0,INDEX(Input!$1:$1048576,U$93,$C691*2+MIN($B691,2)+5)
+INDEX(Scenarios!U$121:U$199,MATCH($B691,Scenarios!$B$121:$B$199,0)),),"Market")</f>
        <v>0</v>
      </c>
      <c r="V691" s="478">
        <f>IFERROR(MAX(0,INDEX(Input!$1:$1048576,V$93,$C691*2+MIN($B691,2)+5)
+INDEX(Scenarios!V$121:V$199,MATCH($B691,Scenarios!$B$121:$B$199,0)),),"Market")</f>
        <v>1.9E-2</v>
      </c>
      <c r="W691" s="885">
        <f>IFERROR(MAX(0,INDEX(Input!$1:$1048576,W$93,$C691*2+MIN($B691,2)+5)-0%),"Market")</f>
        <v>3.9E-2</v>
      </c>
      <c r="X691" s="476" t="str">
        <f>INDEX(Input!$1:$1048576,X$93,$C691*2+MIN($B691,2)+5)</f>
        <v>Y</v>
      </c>
      <c r="Y691" s="475">
        <f>INDEX(Input!$1:$1048576,Y$93,$C691*2+MIN($B691,2)+5)
++INDEX(Scenarios!Y$121:Y$199,MATCH($B691,Scenarios!$B$121:$B$199,0))</f>
        <v>737.99367635402496</v>
      </c>
      <c r="Z691" s="477">
        <f>INDEX(Input!$1:$1048576,Z$93,$C691*2+MIN($B691,2)+5)
+INDEX(Scenarios!Z$121:Z$199,MATCH($B691,Scenarios!$B$121:$B$199,0))</f>
        <v>0</v>
      </c>
      <c r="AA691" s="475">
        <f>INDEX(Input!$1:$1048576,AA$93,$C691*2+MIN($B691,2)+5)</f>
        <v>0</v>
      </c>
      <c r="AB691" s="476">
        <f>INDEX(Input!$1:$1048576,AB$93,$C691*2+MIN($B691,2)+5)</f>
        <v>0.27</v>
      </c>
      <c r="AC691" s="475">
        <f>INDEX(Input!$1:$1048576,AC$93,$C691*2+MIN($B691,2)+5)
+INDEX(Scenarios!AC$121:AC$199,MATCH($B691,Scenarios!$B$121:$B$199,0))</f>
        <v>0</v>
      </c>
      <c r="AD691" s="476">
        <f>INDEX(Input!$1:$1048576,AD$93,$C691*2+MIN($B691,2)+5)</f>
        <v>0.27</v>
      </c>
      <c r="AE691" s="475">
        <f>INDEX(Input!$1:$1048576,AE$93,$C691*2+MIN($B691,2)+5)
+INDEX(Scenarios!AE$121:AE$199,MATCH($B691,Scenarios!$B$121:$B$199,0))</f>
        <v>0</v>
      </c>
      <c r="AF691" s="476">
        <f>INDEX(Input!$1:$1048576,AF$93,$C691*2+MIN($B691,2)+5)</f>
        <v>1</v>
      </c>
      <c r="AG691" s="475">
        <f>INDEX(Input!$1:$1048576,AG$93,$C691*2+MIN($B691,2)+5)</f>
        <v>500</v>
      </c>
      <c r="AH691" s="476">
        <f>INDEX(Input!$1:$1048576,AH$93,$C691*2+MIN($B691,2)+5)</f>
        <v>1</v>
      </c>
      <c r="AI691" s="475">
        <f>INDEX(Input!$1:$1048576,AI$93,$C691*2+MIN($B691,2)+5)</f>
        <v>0</v>
      </c>
      <c r="AJ691" s="476">
        <f>INDEX(Input!$1:$1048576,AJ$93,$C691*2+MIN($B691,2)+5)</f>
        <v>0.27</v>
      </c>
      <c r="AK691" s="150">
        <f>ROUND(INDEX(Input!$1:$1048576,AK$93,$C690*2+MIN($B691,1)+5)+(Y691-VLOOKUP($C691*1000+1,$A:$HH,Y$92,FALSE)),0)</f>
        <v>3061</v>
      </c>
      <c r="AL691" s="150">
        <f>ROUND(INDEX(Input!$1:$1048576,AL$93,$C690*2+MIN($B691,1)+5)-(Y691-VLOOKUP($C691*1000+1,$A:$HH,Y$92,FALSE))/36,0)</f>
        <v>3552</v>
      </c>
      <c r="AM691" s="32" t="str">
        <f t="shared" si="2010"/>
        <v>std/std/std/std</v>
      </c>
      <c r="AN691" s="32" t="str">
        <f t="shared" si="2011"/>
        <v>$0 + 0/0/0/1.9/3.9</v>
      </c>
      <c r="AO691" s="32" t="str">
        <f t="shared" si="2012"/>
        <v>0/0/0/1.9/3.9</v>
      </c>
      <c r="AP691" s="32" t="str">
        <f t="shared" si="1990"/>
        <v>0/0.9/1.9/3.9</v>
      </c>
      <c r="AQ691" s="536" t="e">
        <f t="shared" si="1991"/>
        <v>#DIV/0!</v>
      </c>
      <c r="AR691" s="32"/>
      <c r="AS691" s="302"/>
      <c r="AT691" s="3">
        <f t="shared" si="2045"/>
        <v>91</v>
      </c>
      <c r="AU691" s="41" t="s">
        <v>121</v>
      </c>
      <c r="AV691" s="41" t="s">
        <v>116</v>
      </c>
      <c r="AW691" s="41" t="str">
        <f>INDEX(Input!$1:$1048576,AW$93,$C691*2+6)</f>
        <v>Kia</v>
      </c>
      <c r="AX691" s="41" t="str">
        <f>INDEX(Input!$1:$1048576,AX$93,$C691*2+6)</f>
        <v>National</v>
      </c>
      <c r="AY691" s="41" t="str">
        <f>IF(LEN(D691)=0,"",INDEX(Input!$1:$1048576,AY$93,$C691*2+6))</f>
        <v/>
      </c>
      <c r="AZ691" s="41" t="str">
        <f>INDEX(Input!$1:$1048576,AZ$93,$C691*2+6)</f>
        <v>Kia Soul</v>
      </c>
      <c r="BA691" s="3">
        <f>INDEX(Input!$1:$1048576,BA$93,$C691*2+6)</f>
        <v>2020</v>
      </c>
      <c r="BB691" s="128">
        <f>INDEX(Input!$1:$1048576,BB$93,$C691*2+6)</f>
        <v>1</v>
      </c>
      <c r="BC691" s="128">
        <f>INDEX(Input!$1:$1048576,BC$93,$C691*2+6)</f>
        <v>0.7</v>
      </c>
      <c r="BD691" s="1">
        <f>INDEX(Input!$1:$1048576,BD$93,$C691*2+6)</f>
        <v>4.4999999999999998E-2</v>
      </c>
      <c r="BE691" s="1">
        <f>INDEX(Input!$1:$1048576,BE$93,$C691*2+6)</f>
        <v>4.4999999999999998E-2</v>
      </c>
      <c r="BF691" s="1">
        <f>INDEX(Input!$1:$1048576,BF$93,$C691*2+6)</f>
        <v>0.05</v>
      </c>
      <c r="BG691" s="1">
        <f>INDEX(Input!$1:$1048576,BG$93,$C691*2+6)</f>
        <v>5.45E-2</v>
      </c>
      <c r="BH691" s="1">
        <f>INDEX(Input!$1:$1048576,BH$93,$C691*2+6)</f>
        <v>5.45E-2</v>
      </c>
      <c r="BI691" s="1">
        <f>INDEX(Input!$1:$1048576,BI$93,$C691*2+6)</f>
        <v>0.05</v>
      </c>
      <c r="BJ691" s="1">
        <f>INDEX(Input!$1:$1048576,BJ$93,$C691*2+6)</f>
        <v>0.05</v>
      </c>
      <c r="BK691" s="1">
        <f>INDEX(Input!$1:$1048576,BK$93,$C691*2+6)</f>
        <v>0.05</v>
      </c>
      <c r="BL691" s="1">
        <f>INDEX(Input!$1:$1048576,BL$93,$C691*2+6)</f>
        <v>5.5E-2</v>
      </c>
      <c r="BM691" s="1">
        <f>INDEX(Input!$1:$1048576,BM$93,$C691*2+6)</f>
        <v>0.06</v>
      </c>
      <c r="BN691" s="1">
        <f>INDEX(Input!$1:$1048576,BN$93,$C691*2+6)</f>
        <v>4.4999999999999998E-2</v>
      </c>
      <c r="BO691" s="1">
        <f>INDEX(Input!$1:$1048576,BO$93,$C691*2+6)</f>
        <v>4.4999999999999998E-2</v>
      </c>
      <c r="BP691" s="1">
        <f>INDEX(Input!$1:$1048576,BP$93,$C691*2+6)</f>
        <v>0.05</v>
      </c>
      <c r="BQ691" s="1">
        <f>INDEX(Input!$1:$1048576,BQ$93,$C691*2+6)</f>
        <v>5.45E-2</v>
      </c>
      <c r="BR691" s="1">
        <f>INDEX(Input!$1:$1048576,BR$93,$C691*2+6)</f>
        <v>5.45E-2</v>
      </c>
      <c r="BS691" s="1">
        <f>INDEX(Input!$1:$1048576,BS$93,$C691*2+6)</f>
        <v>0.05</v>
      </c>
      <c r="BT691" s="1">
        <f>INDEX(Input!$1:$1048576,BT$93,$C691*2+6)</f>
        <v>0.05</v>
      </c>
      <c r="BU691" s="1">
        <f>INDEX(Input!$1:$1048576,BU$93,$C691*2+6)</f>
        <v>0.05</v>
      </c>
      <c r="BV691" s="1">
        <f>INDEX(Input!$1:$1048576,BV$93,$C691*2+6)</f>
        <v>5.5E-2</v>
      </c>
      <c r="BW691" s="1">
        <f>INDEX(Input!$1:$1048576,BW$93,$C691*2+6)</f>
        <v>0.06</v>
      </c>
      <c r="BX691" s="127">
        <f>INDEX(Input!$1:$1048576,BX$93,$C691*2+6)</f>
        <v>19985</v>
      </c>
      <c r="BY691" s="20">
        <f>INDEX(Input!$1:$1048576,BY$93,$C691*2+6)</f>
        <v>0.1</v>
      </c>
      <c r="BZ691" s="20">
        <f>INDEX(Input!$1:$1048576,BZ$93,$C691*2+6)</f>
        <v>0.1</v>
      </c>
      <c r="CA691" s="20">
        <f>INDEX(Input!$1:$1048576,CA$93,$C691*2+6)</f>
        <v>0.1</v>
      </c>
      <c r="CB691" s="20">
        <f>INDEX(Input!$1:$1048576,CB$93,$C691*2+6)</f>
        <v>0.1</v>
      </c>
      <c r="CC691" s="20">
        <f>INDEX(Input!$1:$1048576,CC$93,$C691*2+6)</f>
        <v>0.1</v>
      </c>
      <c r="CD691" s="384">
        <f>INDEX(Input!$1:$1048576,CD$93,$C691*2+6)</f>
        <v>0.1</v>
      </c>
      <c r="CE691" s="384">
        <f>INDEX(Input!$1:$1048576,CE$93,$C691*2+6)</f>
        <v>0.1</v>
      </c>
      <c r="CF691" s="384">
        <f>INDEX(Input!$1:$1048576,CF$93,$C691*2+6)</f>
        <v>0.1</v>
      </c>
      <c r="CG691" s="384">
        <f>INDEX(Input!$1:$1048576,CG$93,$C691*2+6)</f>
        <v>0.1</v>
      </c>
      <c r="CH691" s="384">
        <f>INDEX(Input!$1:$1048576,CH$93,$C691*2+6)</f>
        <v>0.1</v>
      </c>
      <c r="CI691" s="304">
        <f t="shared" si="1992"/>
        <v>1267.2644913000609</v>
      </c>
      <c r="CJ691" s="16" t="str">
        <f>INDEX(Input!$1:$1048576,CJ$93,$C691*2+6)</f>
        <v>N</v>
      </c>
      <c r="CK691" s="1" t="str">
        <f t="shared" si="1993"/>
        <v>Market</v>
      </c>
      <c r="CL691" s="1" t="str">
        <f t="shared" si="1994"/>
        <v>Market</v>
      </c>
      <c r="CM691" s="1" t="str">
        <f t="shared" si="1995"/>
        <v>Market</v>
      </c>
      <c r="CN691" s="1" t="str">
        <f t="shared" si="1996"/>
        <v>Market</v>
      </c>
      <c r="CO691" s="1" t="str">
        <f t="shared" si="1997"/>
        <v>Market</v>
      </c>
      <c r="CP691" s="304">
        <f t="shared" si="1998"/>
        <v>500</v>
      </c>
      <c r="CQ691" s="1">
        <f t="shared" si="1999"/>
        <v>0</v>
      </c>
      <c r="CR691" s="1">
        <f t="shared" si="2000"/>
        <v>0</v>
      </c>
      <c r="CS691" s="1">
        <f t="shared" si="2001"/>
        <v>0</v>
      </c>
      <c r="CT691" s="1">
        <f t="shared" si="2002"/>
        <v>1.9E-2</v>
      </c>
      <c r="CU691" s="1">
        <f t="shared" si="2003"/>
        <v>3.9E-2</v>
      </c>
      <c r="CV691" s="304">
        <f t="shared" si="2004"/>
        <v>737.99367635402496</v>
      </c>
      <c r="CW691" s="20" t="s">
        <v>122</v>
      </c>
      <c r="CX691" s="20" t="s">
        <v>122</v>
      </c>
      <c r="CY691" s="20" t="s">
        <v>122</v>
      </c>
      <c r="CZ691" s="20" t="s">
        <v>122</v>
      </c>
      <c r="DA691" s="20" t="s">
        <v>122</v>
      </c>
      <c r="DB691" s="503">
        <f t="shared" si="2005"/>
        <v>0</v>
      </c>
      <c r="DC691" s="127">
        <v>0</v>
      </c>
      <c r="DD691" s="127">
        <v>0</v>
      </c>
      <c r="DE691" s="127">
        <v>0</v>
      </c>
      <c r="DF691" s="127">
        <v>0</v>
      </c>
      <c r="DG691" s="127">
        <v>0</v>
      </c>
      <c r="DH691" s="127">
        <v>0</v>
      </c>
      <c r="DI691" s="127">
        <v>0</v>
      </c>
      <c r="DJ691" s="127">
        <v>0</v>
      </c>
      <c r="DK691" s="127">
        <v>0</v>
      </c>
      <c r="DL691" s="127">
        <v>0</v>
      </c>
      <c r="DM691" s="304">
        <f>INDEX(Input!$1:$1048576,DM$93,$C691*2+6)</f>
        <v>21036.84210526316</v>
      </c>
      <c r="DN691" s="20">
        <v>0</v>
      </c>
      <c r="DO691" s="20">
        <v>0</v>
      </c>
      <c r="DP691" s="20">
        <v>0</v>
      </c>
      <c r="DQ691" s="20">
        <v>0</v>
      </c>
      <c r="DR691" s="20">
        <v>0</v>
      </c>
      <c r="DS691" s="20">
        <f>INDEX(Input!$1:$1048576,DS$93,$C691*2+6)</f>
        <v>0.6</v>
      </c>
      <c r="DT691" s="20">
        <f>INDEX(Input!$1:$1048576,DT$93,$C691*2+6)</f>
        <v>0.55000000000000004</v>
      </c>
      <c r="DU691" s="20">
        <f>INDEX(Input!$1:$1048576,DU$93,$C691*2+6)</f>
        <v>0.52</v>
      </c>
      <c r="DV691" s="20">
        <f>INDEX(Input!$1:$1048576,DV$93,$C691*2+6)</f>
        <v>0.5</v>
      </c>
      <c r="DW691" s="20">
        <f>INDEX(Input!$1:$1048576,DW$93,$C691*2+6)</f>
        <v>0.45</v>
      </c>
      <c r="DX691" s="20"/>
      <c r="DY691" s="7"/>
      <c r="DZ691" s="7"/>
      <c r="EA691" s="7"/>
      <c r="EB691" s="7"/>
      <c r="EC691" s="7"/>
      <c r="ED691" s="7"/>
      <c r="EE691" s="7"/>
      <c r="EF691" s="7"/>
      <c r="EG691" s="7"/>
      <c r="EH691" s="7"/>
      <c r="EI691" s="7"/>
      <c r="EJ691" s="7"/>
      <c r="EK691" s="7"/>
      <c r="EL691" s="7"/>
      <c r="EM691" s="7"/>
      <c r="EN691" s="7"/>
      <c r="EO691" s="7"/>
      <c r="EP691" s="7"/>
      <c r="EQ691" s="7"/>
      <c r="ER691" s="7"/>
      <c r="ES691" s="7"/>
      <c r="ET691" s="7"/>
      <c r="EU691" s="6"/>
      <c r="EV691" s="6"/>
      <c r="EW691" s="6"/>
      <c r="EX691" s="6"/>
      <c r="EY691" s="6"/>
      <c r="EZ691" s="6"/>
      <c r="FA691" s="6"/>
      <c r="FB691" s="6"/>
      <c r="FC691" s="6"/>
      <c r="FD691" s="6"/>
      <c r="FE691" s="6"/>
      <c r="FF691" s="6"/>
      <c r="FG691" s="6"/>
      <c r="FH691" s="6"/>
      <c r="FI691" s="6"/>
      <c r="FJ691" s="6"/>
      <c r="FK691" s="6"/>
      <c r="FL691" s="6"/>
      <c r="FM691" s="6"/>
      <c r="FN691" s="6"/>
      <c r="FO691" s="6"/>
      <c r="FP691" s="6"/>
      <c r="FQ691" s="6"/>
      <c r="FR691" s="6"/>
      <c r="FS691" s="6"/>
      <c r="FT691" s="7"/>
      <c r="FU691" s="7"/>
      <c r="FV691" s="7"/>
      <c r="FW691" s="6"/>
      <c r="FX691" s="6"/>
      <c r="FY691" s="6"/>
      <c r="FZ691" s="6"/>
      <c r="GA691" s="6"/>
      <c r="GB691" s="6"/>
      <c r="GC691" s="7"/>
      <c r="GD691" s="7"/>
      <c r="GE691" s="7"/>
      <c r="GF691" s="7"/>
      <c r="GG691" s="7"/>
      <c r="GH691" s="42"/>
      <c r="GI691" s="6"/>
      <c r="GJ691" s="14"/>
      <c r="GK691" s="14"/>
      <c r="GL691" s="14"/>
      <c r="GM691" s="14"/>
      <c r="GO691" s="5"/>
      <c r="GP691" s="5"/>
      <c r="GQ691" s="5"/>
      <c r="GR691" s="5"/>
      <c r="GS691" s="5"/>
      <c r="GT691" s="5"/>
      <c r="GU691" s="5"/>
      <c r="GV691" s="39"/>
      <c r="GW691" s="5"/>
      <c r="GX691" s="5"/>
      <c r="GY691" s="5"/>
      <c r="GZ691" s="5"/>
      <c r="HA691" s="5"/>
      <c r="HB691" s="39"/>
      <c r="HC691" s="5"/>
      <c r="HD691" s="5"/>
      <c r="HE691" s="5"/>
      <c r="HF691" s="5"/>
      <c r="HG691" s="5"/>
      <c r="HH691" s="39"/>
      <c r="HI691" s="16"/>
      <c r="HJ691" s="19"/>
      <c r="HK691" s="1"/>
      <c r="HL691" s="16"/>
      <c r="HM691" s="639" t="e">
        <f t="shared" si="2013"/>
        <v>#DIV/0!</v>
      </c>
      <c r="HN691" s="639" t="e">
        <f t="shared" si="2014"/>
        <v>#DIV/0!</v>
      </c>
      <c r="HO691" s="639" t="e">
        <f t="shared" si="2015"/>
        <v>#DIV/0!</v>
      </c>
      <c r="HP691" s="644">
        <f t="shared" ref="HP691:ID691" si="2127">HP191+HP291+HP391+HP491+HP591</f>
        <v>0</v>
      </c>
      <c r="HQ691" s="644">
        <f t="shared" si="2127"/>
        <v>0</v>
      </c>
      <c r="HR691" s="644">
        <f t="shared" si="2127"/>
        <v>0</v>
      </c>
      <c r="HS691" s="644">
        <f t="shared" si="2127"/>
        <v>0</v>
      </c>
      <c r="HT691" s="644">
        <f t="shared" si="2127"/>
        <v>0</v>
      </c>
      <c r="HU691" s="644">
        <f t="shared" si="2127"/>
        <v>0</v>
      </c>
      <c r="HV691" s="644">
        <f t="shared" si="2127"/>
        <v>0</v>
      </c>
      <c r="HW691" s="644">
        <f t="shared" si="2127"/>
        <v>0</v>
      </c>
      <c r="HX691" s="644">
        <f t="shared" si="2127"/>
        <v>0</v>
      </c>
      <c r="HY691" s="644">
        <f t="shared" si="2127"/>
        <v>0</v>
      </c>
      <c r="HZ691" s="644">
        <f t="shared" si="2127"/>
        <v>0</v>
      </c>
      <c r="IA691" s="644">
        <f t="shared" si="2127"/>
        <v>0</v>
      </c>
      <c r="IB691" s="644">
        <f t="shared" si="2127"/>
        <v>0</v>
      </c>
      <c r="IC691" s="644">
        <f t="shared" si="2127"/>
        <v>0</v>
      </c>
      <c r="ID691" s="644">
        <f t="shared" si="2127"/>
        <v>0</v>
      </c>
      <c r="IE691" s="20" t="e">
        <f t="shared" si="2017"/>
        <v>#DIV/0!</v>
      </c>
      <c r="IF691" s="20" t="e">
        <f t="shared" si="2018"/>
        <v>#DIV/0!</v>
      </c>
      <c r="IG691" s="20" t="e">
        <f t="shared" si="2019"/>
        <v>#DIV/0!</v>
      </c>
      <c r="IH691" s="21"/>
      <c r="II691" s="19"/>
      <c r="IJ691" s="19"/>
      <c r="IK691" s="19"/>
      <c r="IL691" s="19" t="e">
        <f t="shared" si="2020"/>
        <v>#DIV/0!</v>
      </c>
      <c r="IM691" s="19" t="e">
        <f t="shared" si="2021"/>
        <v>#DIV/0!</v>
      </c>
      <c r="IN691" s="19" t="e">
        <f t="shared" si="2022"/>
        <v>#DIV/0!</v>
      </c>
      <c r="IO691" s="39"/>
      <c r="IP691" s="39"/>
      <c r="IQ691" s="39"/>
      <c r="IR691" s="39"/>
      <c r="IS691" s="39"/>
      <c r="IT691" s="39"/>
      <c r="IU691" s="39"/>
      <c r="IV691" s="39"/>
      <c r="IW691" s="39"/>
      <c r="IX691" s="19" t="e">
        <f t="shared" si="2023"/>
        <v>#DIV/0!</v>
      </c>
      <c r="IY691" s="19" t="e">
        <f t="shared" si="2024"/>
        <v>#DIV/0!</v>
      </c>
      <c r="IZ691" s="19" t="e">
        <f t="shared" si="2025"/>
        <v>#DIV/0!</v>
      </c>
      <c r="JA691" s="19">
        <f t="shared" ref="JA691:JC691" si="2128">IFERROR((JA191*IB191+JA291*IB291+JA391*IB391+JA491*IB491+JA591*IB591)/IB691,0)</f>
        <v>0</v>
      </c>
      <c r="JB691" s="19">
        <f t="shared" si="2128"/>
        <v>0</v>
      </c>
      <c r="JC691" s="19">
        <f t="shared" si="2128"/>
        <v>0</v>
      </c>
      <c r="JD691" s="19" t="e">
        <f t="shared" si="2027"/>
        <v>#DIV/0!</v>
      </c>
      <c r="JE691" s="21"/>
      <c r="JF691" s="1" t="e">
        <f t="shared" si="2028"/>
        <v>#DIV/0!</v>
      </c>
      <c r="JG691" s="15">
        <f t="shared" si="2029"/>
        <v>0</v>
      </c>
      <c r="JH691" s="1" t="e">
        <f t="shared" si="2030"/>
        <v>#DIV/0!</v>
      </c>
      <c r="JI691" s="1" t="e">
        <f t="shared" si="2031"/>
        <v>#DIV/0!</v>
      </c>
      <c r="JJ691" s="1" t="e">
        <f t="shared" si="2032"/>
        <v>#DIV/0!</v>
      </c>
      <c r="JK691" s="1" t="e">
        <f t="shared" si="2033"/>
        <v>#DIV/0!</v>
      </c>
      <c r="JL691" s="15">
        <f t="shared" ref="JL691:JM691" si="2129">JL191+JL291+JL391+JL491+JL591</f>
        <v>0</v>
      </c>
      <c r="JM691" s="15">
        <f t="shared" si="2129"/>
        <v>0</v>
      </c>
      <c r="JN691" s="21"/>
      <c r="JO691" s="19">
        <f>INDEX(Input!$1:$1048576,JO$93,$C691*2+6)</f>
        <v>5995.5</v>
      </c>
      <c r="JP691" s="19">
        <f>INDEX(Input!$1:$1048576,JP$93,$C691*2+6)</f>
        <v>2296.6050414551746</v>
      </c>
      <c r="JQ691" s="39" t="e">
        <f t="shared" si="2053"/>
        <v>#DIV/0!</v>
      </c>
      <c r="JR691" s="39" t="e">
        <f t="shared" si="2054"/>
        <v>#DIV/0!</v>
      </c>
      <c r="JS691" s="39" t="e">
        <f t="shared" si="2055"/>
        <v>#DIV/0!</v>
      </c>
      <c r="JT691" s="39" t="e">
        <f t="shared" si="2056"/>
        <v>#DIV/0!</v>
      </c>
      <c r="JU691" s="385" t="e">
        <f>(JQ691*JM691-INDEX(Input!$1:$1048576,Input!A$18,$C691*2+6)*JL691*INDEX(Input!$1:$1048576,Input!A$19,$C691*2+6))/1000000</f>
        <v>#DIV/0!</v>
      </c>
      <c r="JV691" s="39" t="e">
        <f t="shared" si="2057"/>
        <v>#DIV/0!</v>
      </c>
      <c r="JW691" s="1" t="e">
        <f t="shared" si="2058"/>
        <v>#DIV/0!</v>
      </c>
      <c r="JX691" s="19">
        <f t="shared" si="2059"/>
        <v>0</v>
      </c>
      <c r="JZ691" s="341"/>
      <c r="KA691" s="60"/>
      <c r="KB691" s="469">
        <f t="shared" si="2035"/>
        <v>0</v>
      </c>
      <c r="KI691" s="472"/>
      <c r="KJ691" s="472"/>
      <c r="KK691" s="472"/>
      <c r="KN691" s="26">
        <f t="shared" si="2036"/>
        <v>6002</v>
      </c>
      <c r="KO691" s="794">
        <f t="shared" si="2037"/>
        <v>-1</v>
      </c>
      <c r="KP691" s="795" t="e">
        <f t="shared" si="2038"/>
        <v>#DIV/0!</v>
      </c>
      <c r="KQ691" s="795" t="e">
        <f t="shared" si="2039"/>
        <v>#DIV/0!</v>
      </c>
      <c r="KR691" s="26" t="e">
        <f t="shared" si="2040"/>
        <v>#DIV/0!</v>
      </c>
      <c r="KS691" s="26" t="e">
        <f t="shared" si="2041"/>
        <v>#DIV/0!</v>
      </c>
      <c r="KT691" s="796">
        <f t="shared" si="2049"/>
        <v>4286.2445668946921</v>
      </c>
      <c r="KU691" s="797">
        <f t="shared" si="2042"/>
        <v>0</v>
      </c>
    </row>
    <row r="692" spans="1:307" s="26" customFormat="1" ht="15" outlineLevel="1">
      <c r="A692" s="561">
        <f t="shared" si="2009"/>
        <v>6092</v>
      </c>
      <c r="B692" s="561">
        <f t="shared" si="2043"/>
        <v>92</v>
      </c>
      <c r="C692" s="561">
        <f t="shared" si="2044"/>
        <v>6</v>
      </c>
      <c r="D692" s="561" t="str">
        <f t="shared" si="2108"/>
        <v/>
      </c>
      <c r="E692" s="475">
        <f>INDEX(Input!$1:$1048576,E$93,$C692*2+MIN($B692,2)+5)
+INDEX(Scenarios!E$121:E$199,MATCH($B692,Scenarios!$B$121:$B$199,0))</f>
        <v>1267.2644913000609</v>
      </c>
      <c r="F692" s="475">
        <f>INDEX(Input!$1:$1048576,F$93,$C692*2+MIN($B692,2)+5)
+INDEX(Scenarios!F$121:F$199,MATCH($B692,Scenarios!$B$121:$B$199,0))</f>
        <v>0</v>
      </c>
      <c r="G692" s="475">
        <f>INDEX(Input!$1:$1048576,G$93,$C692*2+MIN($B692,2)+5)
+INDEX(Scenarios!G$121:G$199,MATCH($B692,Scenarios!$B$121:$B$199,0))</f>
        <v>0</v>
      </c>
      <c r="H692" s="475">
        <f>INDEX(Input!$1:$1048576,H$93,$C692*2+MIN($B692,2)+5)
+INDEX(Scenarios!H$121:H$199,MATCH($B692,Scenarios!$B$121:$B$199,0))</f>
        <v>0</v>
      </c>
      <c r="I692" s="476">
        <f>INDEX(Input!$1:$1048576,I$93,$C692*2+MIN($B692,2)+5)
+INDEX(Scenarios!I$121:I$199,MATCH($B692,Scenarios!$B$121:$B$199,0))</f>
        <v>0.7</v>
      </c>
      <c r="J692" s="476" t="str">
        <f>INDEX(Input!$1:$1048576,J$93,$C692*2+MIN($B692,2)+5)</f>
        <v>Market</v>
      </c>
      <c r="K692" s="476" t="str">
        <f>INDEX(Input!$1:$1048576,K$93,$C692*2+MIN($B692,2)+5)</f>
        <v>Market</v>
      </c>
      <c r="L692" s="476" t="str">
        <f>INDEX(Input!$1:$1048576,L$93,$C692*2+MIN($B692,2)+5)</f>
        <v>Market</v>
      </c>
      <c r="M692" s="476" t="str">
        <f>INDEX(Input!$1:$1048576,M$93,$C692*2+MIN($B692,2)+5)</f>
        <v>Market</v>
      </c>
      <c r="N692" s="476" t="str">
        <f>INDEX(Input!$1:$1048576,N$93,$C692*2+MIN($B692,2)+5)</f>
        <v>Market</v>
      </c>
      <c r="O692" s="476" t="str">
        <f>INDEX(Input!$1:$1048576,O$93,$C692*2+MIN($B692,2)+5)</f>
        <v>Market</v>
      </c>
      <c r="P692" s="476" t="str">
        <f>INDEX(Input!$1:$1048576,P$93,$C692*2+MIN($B692,2)+5)</f>
        <v>N</v>
      </c>
      <c r="Q692" s="477">
        <f>INDEX(Input!$1:$1048576,Q$93,$C692*2+MIN($B692,2)+5)
+INDEX(Scenarios!Q$121:Q$199,MATCH($B692,Scenarios!$B$121:$B$199,0))</f>
        <v>0</v>
      </c>
      <c r="R692" s="478">
        <f>IFERROR(MAX(0,INDEX(Input!$1:$1048576,R$93,$C692*2+MIN($B692,2)+5)
+INDEX(Scenarios!R$121:R$199,MATCH($B692,Scenarios!$B$121:$B$199,0)),),"Market")</f>
        <v>0</v>
      </c>
      <c r="S692" s="478">
        <f>IFERROR(MAX(0,INDEX(Input!$1:$1048576,S$93,$C692*2+MIN($B692,2)+5)
+INDEX(Scenarios!S$121:S$199,MATCH($B692,Scenarios!$B$121:$B$199,0)),),"Market")</f>
        <v>0</v>
      </c>
      <c r="T692" s="478">
        <f>IFERROR(MAX(0,INDEX(Input!$1:$1048576,T$93,$C692*2+MIN($B692,2)+5)
+INDEX(Scenarios!T$121:T$199,MATCH($B692,Scenarios!$B$121:$B$199,0)),),"Market")</f>
        <v>0</v>
      </c>
      <c r="U692" s="478">
        <f>IFERROR(MAX(0,INDEX(Input!$1:$1048576,U$93,$C692*2+MIN($B692,2)+5)
+INDEX(Scenarios!U$121:U$199,MATCH($B692,Scenarios!$B$121:$B$199,0)),),"Market")</f>
        <v>0</v>
      </c>
      <c r="V692" s="478">
        <f>IFERROR(MAX(0,INDEX(Input!$1:$1048576,V$93,$C692*2+MIN($B692,2)+5)
+INDEX(Scenarios!V$121:V$199,MATCH($B692,Scenarios!$B$121:$B$199,0)),),"Market")</f>
        <v>1.9E-2</v>
      </c>
      <c r="W692" s="885">
        <f>IFERROR(MAX(0,INDEX(Input!$1:$1048576,W$93,$C692*2+MIN($B692,2)+5)-0%),"Market")</f>
        <v>3.9E-2</v>
      </c>
      <c r="X692" s="476" t="str">
        <f>INDEX(Input!$1:$1048576,X$93,$C692*2+MIN($B692,2)+5)</f>
        <v>Y</v>
      </c>
      <c r="Y692" s="475">
        <f>INDEX(Input!$1:$1048576,Y$93,$C692*2+MIN($B692,2)+5)
++INDEX(Scenarios!Y$121:Y$199,MATCH($B692,Scenarios!$B$121:$B$199,0))</f>
        <v>737.99367635402496</v>
      </c>
      <c r="Z692" s="477">
        <f>INDEX(Input!$1:$1048576,Z$93,$C692*2+MIN($B692,2)+5)
+INDEX(Scenarios!Z$121:Z$199,MATCH($B692,Scenarios!$B$121:$B$199,0))</f>
        <v>0</v>
      </c>
      <c r="AA692" s="475">
        <f>INDEX(Input!$1:$1048576,AA$93,$C692*2+MIN($B692,2)+5)</f>
        <v>0</v>
      </c>
      <c r="AB692" s="476">
        <f>INDEX(Input!$1:$1048576,AB$93,$C692*2+MIN($B692,2)+5)</f>
        <v>0.27</v>
      </c>
      <c r="AC692" s="475">
        <f>INDEX(Input!$1:$1048576,AC$93,$C692*2+MIN($B692,2)+5)
+INDEX(Scenarios!AC$121:AC$199,MATCH($B692,Scenarios!$B$121:$B$199,0))</f>
        <v>0</v>
      </c>
      <c r="AD692" s="476">
        <f>INDEX(Input!$1:$1048576,AD$93,$C692*2+MIN($B692,2)+5)</f>
        <v>0.27</v>
      </c>
      <c r="AE692" s="475">
        <f>INDEX(Input!$1:$1048576,AE$93,$C692*2+MIN($B692,2)+5)
+INDEX(Scenarios!AE$121:AE$199,MATCH($B692,Scenarios!$B$121:$B$199,0))</f>
        <v>0</v>
      </c>
      <c r="AF692" s="476">
        <f>INDEX(Input!$1:$1048576,AF$93,$C692*2+MIN($B692,2)+5)</f>
        <v>1</v>
      </c>
      <c r="AG692" s="475">
        <f>INDEX(Input!$1:$1048576,AG$93,$C692*2+MIN($B692,2)+5)</f>
        <v>500</v>
      </c>
      <c r="AH692" s="476">
        <f>INDEX(Input!$1:$1048576,AH$93,$C692*2+MIN($B692,2)+5)</f>
        <v>1</v>
      </c>
      <c r="AI692" s="475">
        <f>INDEX(Input!$1:$1048576,AI$93,$C692*2+MIN($B692,2)+5)</f>
        <v>0</v>
      </c>
      <c r="AJ692" s="476">
        <f>INDEX(Input!$1:$1048576,AJ$93,$C692*2+MIN($B692,2)+5)</f>
        <v>0.27</v>
      </c>
      <c r="AK692" s="150">
        <f>ROUND(INDEX(Input!$1:$1048576,AK$93,$C691*2+MIN($B692,1)+5)+(Y692-VLOOKUP($C692*1000+1,$A:$HH,Y$92,FALSE)),0)</f>
        <v>3061</v>
      </c>
      <c r="AL692" s="150">
        <f>ROUND(INDEX(Input!$1:$1048576,AL$93,$C691*2+MIN($B692,1)+5)-(Y692-VLOOKUP($C692*1000+1,$A:$HH,Y$92,FALSE))/36,0)</f>
        <v>3552</v>
      </c>
      <c r="AM692" s="32" t="str">
        <f t="shared" si="2010"/>
        <v>std/std/std/std</v>
      </c>
      <c r="AN692" s="32" t="str">
        <f t="shared" si="2011"/>
        <v>$0 + 0/0/0/1.9/3.9</v>
      </c>
      <c r="AO692" s="32" t="str">
        <f t="shared" si="2012"/>
        <v>0/0/0/1.9/3.9</v>
      </c>
      <c r="AP692" s="32" t="str">
        <f t="shared" si="1990"/>
        <v>0/0.9/1.9/3.9</v>
      </c>
      <c r="AQ692" s="536" t="e">
        <f t="shared" si="1991"/>
        <v>#DIV/0!</v>
      </c>
      <c r="AR692" s="32"/>
      <c r="AS692" s="302"/>
      <c r="AT692" s="3">
        <f t="shared" si="2045"/>
        <v>92</v>
      </c>
      <c r="AU692" s="41" t="s">
        <v>121</v>
      </c>
      <c r="AV692" s="41" t="s">
        <v>116</v>
      </c>
      <c r="AW692" s="41" t="str">
        <f>INDEX(Input!$1:$1048576,AW$93,$C692*2+6)</f>
        <v>Kia</v>
      </c>
      <c r="AX692" s="41" t="str">
        <f>INDEX(Input!$1:$1048576,AX$93,$C692*2+6)</f>
        <v>National</v>
      </c>
      <c r="AY692" s="41" t="str">
        <f>IF(LEN(D692)=0,"",INDEX(Input!$1:$1048576,AY$93,$C692*2+6))</f>
        <v/>
      </c>
      <c r="AZ692" s="41" t="str">
        <f>INDEX(Input!$1:$1048576,AZ$93,$C692*2+6)</f>
        <v>Kia Soul</v>
      </c>
      <c r="BA692" s="3">
        <f>INDEX(Input!$1:$1048576,BA$93,$C692*2+6)</f>
        <v>2020</v>
      </c>
      <c r="BB692" s="128">
        <f>INDEX(Input!$1:$1048576,BB$93,$C692*2+6)</f>
        <v>1</v>
      </c>
      <c r="BC692" s="128">
        <f>INDEX(Input!$1:$1048576,BC$93,$C692*2+6)</f>
        <v>0.7</v>
      </c>
      <c r="BD692" s="1">
        <f>INDEX(Input!$1:$1048576,BD$93,$C692*2+6)</f>
        <v>4.4999999999999998E-2</v>
      </c>
      <c r="BE692" s="1">
        <f>INDEX(Input!$1:$1048576,BE$93,$C692*2+6)</f>
        <v>4.4999999999999998E-2</v>
      </c>
      <c r="BF692" s="1">
        <f>INDEX(Input!$1:$1048576,BF$93,$C692*2+6)</f>
        <v>0.05</v>
      </c>
      <c r="BG692" s="1">
        <f>INDEX(Input!$1:$1048576,BG$93,$C692*2+6)</f>
        <v>5.45E-2</v>
      </c>
      <c r="BH692" s="1">
        <f>INDEX(Input!$1:$1048576,BH$93,$C692*2+6)</f>
        <v>5.45E-2</v>
      </c>
      <c r="BI692" s="1">
        <f>INDEX(Input!$1:$1048576,BI$93,$C692*2+6)</f>
        <v>0.05</v>
      </c>
      <c r="BJ692" s="1">
        <f>INDEX(Input!$1:$1048576,BJ$93,$C692*2+6)</f>
        <v>0.05</v>
      </c>
      <c r="BK692" s="1">
        <f>INDEX(Input!$1:$1048576,BK$93,$C692*2+6)</f>
        <v>0.05</v>
      </c>
      <c r="BL692" s="1">
        <f>INDEX(Input!$1:$1048576,BL$93,$C692*2+6)</f>
        <v>5.5E-2</v>
      </c>
      <c r="BM692" s="1">
        <f>INDEX(Input!$1:$1048576,BM$93,$C692*2+6)</f>
        <v>0.06</v>
      </c>
      <c r="BN692" s="1">
        <f>INDEX(Input!$1:$1048576,BN$93,$C692*2+6)</f>
        <v>4.4999999999999998E-2</v>
      </c>
      <c r="BO692" s="1">
        <f>INDEX(Input!$1:$1048576,BO$93,$C692*2+6)</f>
        <v>4.4999999999999998E-2</v>
      </c>
      <c r="BP692" s="1">
        <f>INDEX(Input!$1:$1048576,BP$93,$C692*2+6)</f>
        <v>0.05</v>
      </c>
      <c r="BQ692" s="1">
        <f>INDEX(Input!$1:$1048576,BQ$93,$C692*2+6)</f>
        <v>5.45E-2</v>
      </c>
      <c r="BR692" s="1">
        <f>INDEX(Input!$1:$1048576,BR$93,$C692*2+6)</f>
        <v>5.45E-2</v>
      </c>
      <c r="BS692" s="1">
        <f>INDEX(Input!$1:$1048576,BS$93,$C692*2+6)</f>
        <v>0.05</v>
      </c>
      <c r="BT692" s="1">
        <f>INDEX(Input!$1:$1048576,BT$93,$C692*2+6)</f>
        <v>0.05</v>
      </c>
      <c r="BU692" s="1">
        <f>INDEX(Input!$1:$1048576,BU$93,$C692*2+6)</f>
        <v>0.05</v>
      </c>
      <c r="BV692" s="1">
        <f>INDEX(Input!$1:$1048576,BV$93,$C692*2+6)</f>
        <v>5.5E-2</v>
      </c>
      <c r="BW692" s="1">
        <f>INDEX(Input!$1:$1048576,BW$93,$C692*2+6)</f>
        <v>0.06</v>
      </c>
      <c r="BX692" s="127">
        <f>INDEX(Input!$1:$1048576,BX$93,$C692*2+6)</f>
        <v>19985</v>
      </c>
      <c r="BY692" s="20">
        <f>INDEX(Input!$1:$1048576,BY$93,$C692*2+6)</f>
        <v>0.1</v>
      </c>
      <c r="BZ692" s="20">
        <f>INDEX(Input!$1:$1048576,BZ$93,$C692*2+6)</f>
        <v>0.1</v>
      </c>
      <c r="CA692" s="20">
        <f>INDEX(Input!$1:$1048576,CA$93,$C692*2+6)</f>
        <v>0.1</v>
      </c>
      <c r="CB692" s="20">
        <f>INDEX(Input!$1:$1048576,CB$93,$C692*2+6)</f>
        <v>0.1</v>
      </c>
      <c r="CC692" s="20">
        <f>INDEX(Input!$1:$1048576,CC$93,$C692*2+6)</f>
        <v>0.1</v>
      </c>
      <c r="CD692" s="384">
        <f>INDEX(Input!$1:$1048576,CD$93,$C692*2+6)</f>
        <v>0.1</v>
      </c>
      <c r="CE692" s="384">
        <f>INDEX(Input!$1:$1048576,CE$93,$C692*2+6)</f>
        <v>0.1</v>
      </c>
      <c r="CF692" s="384">
        <f>INDEX(Input!$1:$1048576,CF$93,$C692*2+6)</f>
        <v>0.1</v>
      </c>
      <c r="CG692" s="384">
        <f>INDEX(Input!$1:$1048576,CG$93,$C692*2+6)</f>
        <v>0.1</v>
      </c>
      <c r="CH692" s="384">
        <f>INDEX(Input!$1:$1048576,CH$93,$C692*2+6)</f>
        <v>0.1</v>
      </c>
      <c r="CI692" s="304">
        <f t="shared" si="1992"/>
        <v>1267.2644913000609</v>
      </c>
      <c r="CJ692" s="16" t="str">
        <f>INDEX(Input!$1:$1048576,CJ$93,$C692*2+6)</f>
        <v>N</v>
      </c>
      <c r="CK692" s="1" t="str">
        <f t="shared" si="1993"/>
        <v>Market</v>
      </c>
      <c r="CL692" s="1" t="str">
        <f t="shared" si="1994"/>
        <v>Market</v>
      </c>
      <c r="CM692" s="1" t="str">
        <f t="shared" si="1995"/>
        <v>Market</v>
      </c>
      <c r="CN692" s="1" t="str">
        <f t="shared" si="1996"/>
        <v>Market</v>
      </c>
      <c r="CO692" s="1" t="str">
        <f t="shared" si="1997"/>
        <v>Market</v>
      </c>
      <c r="CP692" s="304">
        <f t="shared" si="1998"/>
        <v>500</v>
      </c>
      <c r="CQ692" s="1">
        <f t="shared" si="1999"/>
        <v>0</v>
      </c>
      <c r="CR692" s="1">
        <f t="shared" si="2000"/>
        <v>0</v>
      </c>
      <c r="CS692" s="1">
        <f t="shared" si="2001"/>
        <v>0</v>
      </c>
      <c r="CT692" s="1">
        <f t="shared" si="2002"/>
        <v>1.9E-2</v>
      </c>
      <c r="CU692" s="1">
        <f t="shared" si="2003"/>
        <v>3.9E-2</v>
      </c>
      <c r="CV692" s="304">
        <f t="shared" si="2004"/>
        <v>737.99367635402496</v>
      </c>
      <c r="CW692" s="20" t="s">
        <v>122</v>
      </c>
      <c r="CX692" s="20" t="s">
        <v>122</v>
      </c>
      <c r="CY692" s="20" t="s">
        <v>122</v>
      </c>
      <c r="CZ692" s="20" t="s">
        <v>122</v>
      </c>
      <c r="DA692" s="20" t="s">
        <v>122</v>
      </c>
      <c r="DB692" s="503">
        <f t="shared" si="2005"/>
        <v>0</v>
      </c>
      <c r="DC692" s="127">
        <v>0</v>
      </c>
      <c r="DD692" s="127">
        <v>0</v>
      </c>
      <c r="DE692" s="127">
        <v>0</v>
      </c>
      <c r="DF692" s="127">
        <v>0</v>
      </c>
      <c r="DG692" s="127">
        <v>0</v>
      </c>
      <c r="DH692" s="127">
        <v>0</v>
      </c>
      <c r="DI692" s="127">
        <v>0</v>
      </c>
      <c r="DJ692" s="127">
        <v>0</v>
      </c>
      <c r="DK692" s="127">
        <v>0</v>
      </c>
      <c r="DL692" s="127">
        <v>0</v>
      </c>
      <c r="DM692" s="304">
        <f>INDEX(Input!$1:$1048576,DM$93,$C692*2+6)</f>
        <v>21036.84210526316</v>
      </c>
      <c r="DN692" s="20">
        <v>0</v>
      </c>
      <c r="DO692" s="20">
        <v>0</v>
      </c>
      <c r="DP692" s="20">
        <v>0</v>
      </c>
      <c r="DQ692" s="20">
        <v>0</v>
      </c>
      <c r="DR692" s="20">
        <v>0</v>
      </c>
      <c r="DS692" s="20">
        <f>INDEX(Input!$1:$1048576,DS$93,$C692*2+6)</f>
        <v>0.6</v>
      </c>
      <c r="DT692" s="20">
        <f>INDEX(Input!$1:$1048576,DT$93,$C692*2+6)</f>
        <v>0.55000000000000004</v>
      </c>
      <c r="DU692" s="20">
        <f>INDEX(Input!$1:$1048576,DU$93,$C692*2+6)</f>
        <v>0.52</v>
      </c>
      <c r="DV692" s="20">
        <f>INDEX(Input!$1:$1048576,DV$93,$C692*2+6)</f>
        <v>0.5</v>
      </c>
      <c r="DW692" s="20">
        <f>INDEX(Input!$1:$1048576,DW$93,$C692*2+6)</f>
        <v>0.45</v>
      </c>
      <c r="DX692" s="20"/>
      <c r="DY692" s="7"/>
      <c r="DZ692" s="7"/>
      <c r="EA692" s="7"/>
      <c r="EB692" s="7"/>
      <c r="EC692" s="7"/>
      <c r="ED692" s="7"/>
      <c r="EE692" s="7"/>
      <c r="EF692" s="7"/>
      <c r="EG692" s="7"/>
      <c r="EH692" s="7"/>
      <c r="EI692" s="7"/>
      <c r="EJ692" s="7"/>
      <c r="EK692" s="7"/>
      <c r="EL692" s="7"/>
      <c r="EM692" s="7"/>
      <c r="EN692" s="7"/>
      <c r="EO692" s="7"/>
      <c r="EP692" s="7"/>
      <c r="EQ692" s="7"/>
      <c r="ER692" s="7"/>
      <c r="ES692" s="7"/>
      <c r="ET692" s="7"/>
      <c r="EU692" s="6"/>
      <c r="EV692" s="6"/>
      <c r="EW692" s="6"/>
      <c r="EX692" s="6"/>
      <c r="EY692" s="6"/>
      <c r="EZ692" s="6"/>
      <c r="FA692" s="6"/>
      <c r="FB692" s="6"/>
      <c r="FC692" s="6"/>
      <c r="FD692" s="6"/>
      <c r="FE692" s="6"/>
      <c r="FF692" s="6"/>
      <c r="FG692" s="6"/>
      <c r="FH692" s="6"/>
      <c r="FI692" s="6"/>
      <c r="FJ692" s="6"/>
      <c r="FK692" s="6"/>
      <c r="FL692" s="6"/>
      <c r="FM692" s="6"/>
      <c r="FN692" s="6"/>
      <c r="FO692" s="6"/>
      <c r="FP692" s="6"/>
      <c r="FQ692" s="6"/>
      <c r="FR692" s="6"/>
      <c r="FS692" s="6"/>
      <c r="FT692" s="7"/>
      <c r="FU692" s="7"/>
      <c r="FV692" s="7"/>
      <c r="FW692" s="6"/>
      <c r="FX692" s="6"/>
      <c r="FY692" s="6"/>
      <c r="FZ692" s="6"/>
      <c r="GA692" s="6"/>
      <c r="GB692" s="6"/>
      <c r="GC692" s="7"/>
      <c r="GD692" s="7"/>
      <c r="GE692" s="7"/>
      <c r="GF692" s="7"/>
      <c r="GG692" s="7"/>
      <c r="GH692" s="42"/>
      <c r="GI692" s="6"/>
      <c r="GJ692" s="14"/>
      <c r="GK692" s="14"/>
      <c r="GL692" s="14"/>
      <c r="GM692" s="14"/>
      <c r="GO692" s="5"/>
      <c r="GP692" s="5"/>
      <c r="GQ692" s="5"/>
      <c r="GR692" s="5"/>
      <c r="GS692" s="5"/>
      <c r="GT692" s="5"/>
      <c r="GU692" s="5"/>
      <c r="GV692" s="39"/>
      <c r="GW692" s="5"/>
      <c r="GX692" s="5"/>
      <c r="GY692" s="5"/>
      <c r="GZ692" s="5"/>
      <c r="HA692" s="5"/>
      <c r="HB692" s="39"/>
      <c r="HC692" s="5"/>
      <c r="HD692" s="5"/>
      <c r="HE692" s="5"/>
      <c r="HF692" s="5"/>
      <c r="HG692" s="5"/>
      <c r="HH692" s="39"/>
      <c r="HI692" s="16"/>
      <c r="HJ692" s="19"/>
      <c r="HK692" s="1"/>
      <c r="HL692" s="16"/>
      <c r="HM692" s="639" t="e">
        <f t="shared" si="2013"/>
        <v>#DIV/0!</v>
      </c>
      <c r="HN692" s="639" t="e">
        <f t="shared" si="2014"/>
        <v>#DIV/0!</v>
      </c>
      <c r="HO692" s="639" t="e">
        <f t="shared" si="2015"/>
        <v>#DIV/0!</v>
      </c>
      <c r="HP692" s="644">
        <f t="shared" ref="HP692:ID692" si="2130">HP192+HP292+HP392+HP492+HP592</f>
        <v>0</v>
      </c>
      <c r="HQ692" s="644">
        <f t="shared" si="2130"/>
        <v>0</v>
      </c>
      <c r="HR692" s="644">
        <f t="shared" si="2130"/>
        <v>0</v>
      </c>
      <c r="HS692" s="644">
        <f t="shared" si="2130"/>
        <v>0</v>
      </c>
      <c r="HT692" s="644">
        <f t="shared" si="2130"/>
        <v>0</v>
      </c>
      <c r="HU692" s="644">
        <f t="shared" si="2130"/>
        <v>0</v>
      </c>
      <c r="HV692" s="644">
        <f t="shared" si="2130"/>
        <v>0</v>
      </c>
      <c r="HW692" s="644">
        <f t="shared" si="2130"/>
        <v>0</v>
      </c>
      <c r="HX692" s="644">
        <f t="shared" si="2130"/>
        <v>0</v>
      </c>
      <c r="HY692" s="644">
        <f t="shared" si="2130"/>
        <v>0</v>
      </c>
      <c r="HZ692" s="644">
        <f t="shared" si="2130"/>
        <v>0</v>
      </c>
      <c r="IA692" s="644">
        <f t="shared" si="2130"/>
        <v>0</v>
      </c>
      <c r="IB692" s="644">
        <f t="shared" si="2130"/>
        <v>0</v>
      </c>
      <c r="IC692" s="644">
        <f t="shared" si="2130"/>
        <v>0</v>
      </c>
      <c r="ID692" s="644">
        <f t="shared" si="2130"/>
        <v>0</v>
      </c>
      <c r="IE692" s="20" t="e">
        <f t="shared" si="2017"/>
        <v>#DIV/0!</v>
      </c>
      <c r="IF692" s="20" t="e">
        <f t="shared" si="2018"/>
        <v>#DIV/0!</v>
      </c>
      <c r="IG692" s="20" t="e">
        <f t="shared" si="2019"/>
        <v>#DIV/0!</v>
      </c>
      <c r="IH692" s="21"/>
      <c r="II692" s="19"/>
      <c r="IJ692" s="19"/>
      <c r="IK692" s="19"/>
      <c r="IL692" s="19" t="e">
        <f t="shared" si="2020"/>
        <v>#DIV/0!</v>
      </c>
      <c r="IM692" s="19" t="e">
        <f t="shared" si="2021"/>
        <v>#DIV/0!</v>
      </c>
      <c r="IN692" s="19" t="e">
        <f t="shared" si="2022"/>
        <v>#DIV/0!</v>
      </c>
      <c r="IO692" s="39"/>
      <c r="IP692" s="39"/>
      <c r="IQ692" s="39"/>
      <c r="IR692" s="39"/>
      <c r="IS692" s="39"/>
      <c r="IT692" s="39"/>
      <c r="IU692" s="39"/>
      <c r="IV692" s="39"/>
      <c r="IW692" s="39"/>
      <c r="IX692" s="19" t="e">
        <f t="shared" si="2023"/>
        <v>#DIV/0!</v>
      </c>
      <c r="IY692" s="19" t="e">
        <f t="shared" si="2024"/>
        <v>#DIV/0!</v>
      </c>
      <c r="IZ692" s="19" t="e">
        <f t="shared" si="2025"/>
        <v>#DIV/0!</v>
      </c>
      <c r="JA692" s="19">
        <f t="shared" ref="JA692:JC692" si="2131">IFERROR((JA192*IB192+JA292*IB292+JA392*IB392+JA492*IB492+JA592*IB592)/IB692,0)</f>
        <v>0</v>
      </c>
      <c r="JB692" s="19">
        <f t="shared" si="2131"/>
        <v>0</v>
      </c>
      <c r="JC692" s="19">
        <f t="shared" si="2131"/>
        <v>0</v>
      </c>
      <c r="JD692" s="19" t="e">
        <f t="shared" si="2027"/>
        <v>#DIV/0!</v>
      </c>
      <c r="JE692" s="21"/>
      <c r="JF692" s="1" t="e">
        <f t="shared" si="2028"/>
        <v>#DIV/0!</v>
      </c>
      <c r="JG692" s="15">
        <f t="shared" si="2029"/>
        <v>0</v>
      </c>
      <c r="JH692" s="1" t="e">
        <f t="shared" si="2030"/>
        <v>#DIV/0!</v>
      </c>
      <c r="JI692" s="1" t="e">
        <f t="shared" si="2031"/>
        <v>#DIV/0!</v>
      </c>
      <c r="JJ692" s="1" t="e">
        <f t="shared" si="2032"/>
        <v>#DIV/0!</v>
      </c>
      <c r="JK692" s="1" t="e">
        <f t="shared" si="2033"/>
        <v>#DIV/0!</v>
      </c>
      <c r="JL692" s="15">
        <f t="shared" ref="JL692:JM692" si="2132">JL192+JL292+JL392+JL492+JL592</f>
        <v>0</v>
      </c>
      <c r="JM692" s="15">
        <f t="shared" si="2132"/>
        <v>0</v>
      </c>
      <c r="JN692" s="21"/>
      <c r="JO692" s="19">
        <f>INDEX(Input!$1:$1048576,JO$93,$C692*2+6)</f>
        <v>5995.5</v>
      </c>
      <c r="JP692" s="19">
        <f>INDEX(Input!$1:$1048576,JP$93,$C692*2+6)</f>
        <v>2296.6050414551746</v>
      </c>
      <c r="JQ692" s="39" t="e">
        <f t="shared" si="2053"/>
        <v>#DIV/0!</v>
      </c>
      <c r="JR692" s="39" t="e">
        <f t="shared" si="2054"/>
        <v>#DIV/0!</v>
      </c>
      <c r="JS692" s="39" t="e">
        <f t="shared" si="2055"/>
        <v>#DIV/0!</v>
      </c>
      <c r="JT692" s="39" t="e">
        <f t="shared" si="2056"/>
        <v>#DIV/0!</v>
      </c>
      <c r="JU692" s="385" t="e">
        <f>(JQ692*JM692-INDEX(Input!$1:$1048576,Input!A$18,$C692*2+6)*JL692*INDEX(Input!$1:$1048576,Input!A$19,$C692*2+6))/1000000</f>
        <v>#DIV/0!</v>
      </c>
      <c r="JV692" s="39" t="e">
        <f t="shared" si="2057"/>
        <v>#DIV/0!</v>
      </c>
      <c r="JW692" s="1" t="e">
        <f t="shared" si="2058"/>
        <v>#DIV/0!</v>
      </c>
      <c r="JX692" s="19">
        <f t="shared" si="2059"/>
        <v>0</v>
      </c>
      <c r="JZ692" s="341"/>
      <c r="KA692" s="60"/>
      <c r="KB692" s="469">
        <f t="shared" si="2035"/>
        <v>0</v>
      </c>
      <c r="KI692" s="472"/>
      <c r="KJ692" s="472"/>
      <c r="KK692" s="472"/>
      <c r="KN692" s="26">
        <f t="shared" si="2036"/>
        <v>6002</v>
      </c>
      <c r="KO692" s="794">
        <f t="shared" si="2037"/>
        <v>-1</v>
      </c>
      <c r="KP692" s="795" t="e">
        <f t="shared" si="2038"/>
        <v>#DIV/0!</v>
      </c>
      <c r="KQ692" s="795" t="e">
        <f t="shared" si="2039"/>
        <v>#DIV/0!</v>
      </c>
      <c r="KR692" s="26" t="e">
        <f t="shared" si="2040"/>
        <v>#DIV/0!</v>
      </c>
      <c r="KS692" s="26" t="e">
        <f t="shared" si="2041"/>
        <v>#DIV/0!</v>
      </c>
      <c r="KT692" s="796">
        <f t="shared" si="2049"/>
        <v>4286.2445668946921</v>
      </c>
      <c r="KU692" s="797">
        <f t="shared" si="2042"/>
        <v>0</v>
      </c>
    </row>
    <row r="693" spans="1:307" s="26" customFormat="1" ht="15" outlineLevel="1">
      <c r="A693" s="561">
        <f t="shared" si="2009"/>
        <v>6093</v>
      </c>
      <c r="B693" s="561">
        <f t="shared" si="2043"/>
        <v>93</v>
      </c>
      <c r="C693" s="561">
        <f t="shared" si="2044"/>
        <v>6</v>
      </c>
      <c r="D693" s="561" t="str">
        <f t="shared" si="2108"/>
        <v/>
      </c>
      <c r="E693" s="475">
        <f>INDEX(Input!$1:$1048576,E$93,$C693*2+MIN($B693,2)+5)
+INDEX(Scenarios!E$121:E$199,MATCH($B693,Scenarios!$B$121:$B$199,0))</f>
        <v>1267.2644913000609</v>
      </c>
      <c r="F693" s="475">
        <f>INDEX(Input!$1:$1048576,F$93,$C693*2+MIN($B693,2)+5)
+INDEX(Scenarios!F$121:F$199,MATCH($B693,Scenarios!$B$121:$B$199,0))</f>
        <v>0</v>
      </c>
      <c r="G693" s="475">
        <f>INDEX(Input!$1:$1048576,G$93,$C693*2+MIN($B693,2)+5)
+INDEX(Scenarios!G$121:G$199,MATCH($B693,Scenarios!$B$121:$B$199,0))</f>
        <v>0</v>
      </c>
      <c r="H693" s="475">
        <f>INDEX(Input!$1:$1048576,H$93,$C693*2+MIN($B693,2)+5)
+INDEX(Scenarios!H$121:H$199,MATCH($B693,Scenarios!$B$121:$B$199,0))</f>
        <v>0</v>
      </c>
      <c r="I693" s="476">
        <f>INDEX(Input!$1:$1048576,I$93,$C693*2+MIN($B693,2)+5)
+INDEX(Scenarios!I$121:I$199,MATCH($B693,Scenarios!$B$121:$B$199,0))</f>
        <v>0.7</v>
      </c>
      <c r="J693" s="476" t="str">
        <f>INDEX(Input!$1:$1048576,J$93,$C693*2+MIN($B693,2)+5)</f>
        <v>Market</v>
      </c>
      <c r="K693" s="476" t="str">
        <f>INDEX(Input!$1:$1048576,K$93,$C693*2+MIN($B693,2)+5)</f>
        <v>Market</v>
      </c>
      <c r="L693" s="476" t="str">
        <f>INDEX(Input!$1:$1048576,L$93,$C693*2+MIN($B693,2)+5)</f>
        <v>Market</v>
      </c>
      <c r="M693" s="476" t="str">
        <f>INDEX(Input!$1:$1048576,M$93,$C693*2+MIN($B693,2)+5)</f>
        <v>Market</v>
      </c>
      <c r="N693" s="476" t="str">
        <f>INDEX(Input!$1:$1048576,N$93,$C693*2+MIN($B693,2)+5)</f>
        <v>Market</v>
      </c>
      <c r="O693" s="476" t="str">
        <f>INDEX(Input!$1:$1048576,O$93,$C693*2+MIN($B693,2)+5)</f>
        <v>Market</v>
      </c>
      <c r="P693" s="476" t="str">
        <f>INDEX(Input!$1:$1048576,P$93,$C693*2+MIN($B693,2)+5)</f>
        <v>N</v>
      </c>
      <c r="Q693" s="477">
        <f>INDEX(Input!$1:$1048576,Q$93,$C693*2+MIN($B693,2)+5)
+INDEX(Scenarios!Q$121:Q$199,MATCH($B693,Scenarios!$B$121:$B$199,0))</f>
        <v>0</v>
      </c>
      <c r="R693" s="478">
        <f>IFERROR(MAX(0,INDEX(Input!$1:$1048576,R$93,$C693*2+MIN($B693,2)+5)
+INDEX(Scenarios!R$121:R$199,MATCH($B693,Scenarios!$B$121:$B$199,0)),),"Market")</f>
        <v>0</v>
      </c>
      <c r="S693" s="478">
        <f>IFERROR(MAX(0,INDEX(Input!$1:$1048576,S$93,$C693*2+MIN($B693,2)+5)
+INDEX(Scenarios!S$121:S$199,MATCH($B693,Scenarios!$B$121:$B$199,0)),),"Market")</f>
        <v>0</v>
      </c>
      <c r="T693" s="478">
        <f>IFERROR(MAX(0,INDEX(Input!$1:$1048576,T$93,$C693*2+MIN($B693,2)+5)
+INDEX(Scenarios!T$121:T$199,MATCH($B693,Scenarios!$B$121:$B$199,0)),),"Market")</f>
        <v>0</v>
      </c>
      <c r="U693" s="478">
        <f>IFERROR(MAX(0,INDEX(Input!$1:$1048576,U$93,$C693*2+MIN($B693,2)+5)
+INDEX(Scenarios!U$121:U$199,MATCH($B693,Scenarios!$B$121:$B$199,0)),),"Market")</f>
        <v>0</v>
      </c>
      <c r="V693" s="478">
        <f>IFERROR(MAX(0,INDEX(Input!$1:$1048576,V$93,$C693*2+MIN($B693,2)+5)
+INDEX(Scenarios!V$121:V$199,MATCH($B693,Scenarios!$B$121:$B$199,0)),),"Market")</f>
        <v>1.9E-2</v>
      </c>
      <c r="W693" s="885">
        <f>IFERROR(MAX(0,INDEX(Input!$1:$1048576,W$93,$C693*2+MIN($B693,2)+5)-0%),"Market")</f>
        <v>3.9E-2</v>
      </c>
      <c r="X693" s="476" t="str">
        <f>INDEX(Input!$1:$1048576,X$93,$C693*2+MIN($B693,2)+5)</f>
        <v>Y</v>
      </c>
      <c r="Y693" s="475">
        <f>INDEX(Input!$1:$1048576,Y$93,$C693*2+MIN($B693,2)+5)
++INDEX(Scenarios!Y$121:Y$199,MATCH($B693,Scenarios!$B$121:$B$199,0))</f>
        <v>737.99367635402496</v>
      </c>
      <c r="Z693" s="477">
        <f>INDEX(Input!$1:$1048576,Z$93,$C693*2+MIN($B693,2)+5)
+INDEX(Scenarios!Z$121:Z$199,MATCH($B693,Scenarios!$B$121:$B$199,0))</f>
        <v>0</v>
      </c>
      <c r="AA693" s="475">
        <f>INDEX(Input!$1:$1048576,AA$93,$C693*2+MIN($B693,2)+5)</f>
        <v>0</v>
      </c>
      <c r="AB693" s="476">
        <f>INDEX(Input!$1:$1048576,AB$93,$C693*2+MIN($B693,2)+5)</f>
        <v>0.27</v>
      </c>
      <c r="AC693" s="475">
        <f>INDEX(Input!$1:$1048576,AC$93,$C693*2+MIN($B693,2)+5)
+INDEX(Scenarios!AC$121:AC$199,MATCH($B693,Scenarios!$B$121:$B$199,0))</f>
        <v>0</v>
      </c>
      <c r="AD693" s="476">
        <f>INDEX(Input!$1:$1048576,AD$93,$C693*2+MIN($B693,2)+5)</f>
        <v>0.27</v>
      </c>
      <c r="AE693" s="475">
        <f>INDEX(Input!$1:$1048576,AE$93,$C693*2+MIN($B693,2)+5)
+INDEX(Scenarios!AE$121:AE$199,MATCH($B693,Scenarios!$B$121:$B$199,0))</f>
        <v>0</v>
      </c>
      <c r="AF693" s="476">
        <f>INDEX(Input!$1:$1048576,AF$93,$C693*2+MIN($B693,2)+5)</f>
        <v>1</v>
      </c>
      <c r="AG693" s="475">
        <f>INDEX(Input!$1:$1048576,AG$93,$C693*2+MIN($B693,2)+5)</f>
        <v>500</v>
      </c>
      <c r="AH693" s="476">
        <f>INDEX(Input!$1:$1048576,AH$93,$C693*2+MIN($B693,2)+5)</f>
        <v>1</v>
      </c>
      <c r="AI693" s="475">
        <f>INDEX(Input!$1:$1048576,AI$93,$C693*2+MIN($B693,2)+5)</f>
        <v>0</v>
      </c>
      <c r="AJ693" s="476">
        <f>INDEX(Input!$1:$1048576,AJ$93,$C693*2+MIN($B693,2)+5)</f>
        <v>0.27</v>
      </c>
      <c r="AK693" s="150">
        <f>ROUND(INDEX(Input!$1:$1048576,AK$93,$C692*2+MIN($B693,1)+5)+(Y693-VLOOKUP($C693*1000+1,$A:$HH,Y$92,FALSE)),0)</f>
        <v>3061</v>
      </c>
      <c r="AL693" s="150">
        <f>ROUND(INDEX(Input!$1:$1048576,AL$93,$C692*2+MIN($B693,1)+5)-(Y693-VLOOKUP($C693*1000+1,$A:$HH,Y$92,FALSE))/36,0)</f>
        <v>3552</v>
      </c>
      <c r="AM693" s="32" t="str">
        <f t="shared" si="2010"/>
        <v>std/std/std/std</v>
      </c>
      <c r="AN693" s="32" t="str">
        <f t="shared" si="2011"/>
        <v>$0 + 0/0/0/1.9/3.9</v>
      </c>
      <c r="AO693" s="32" t="str">
        <f t="shared" si="2012"/>
        <v>0/0/0/1.9/3.9</v>
      </c>
      <c r="AP693" s="32" t="str">
        <f t="shared" si="1990"/>
        <v>0/0.9/1.9/3.9</v>
      </c>
      <c r="AQ693" s="536" t="e">
        <f t="shared" si="1991"/>
        <v>#DIV/0!</v>
      </c>
      <c r="AR693" s="32"/>
      <c r="AS693" s="302"/>
      <c r="AT693" s="3">
        <f t="shared" si="2045"/>
        <v>93</v>
      </c>
      <c r="AU693" s="41" t="s">
        <v>121</v>
      </c>
      <c r="AV693" s="41" t="s">
        <v>116</v>
      </c>
      <c r="AW693" s="41" t="str">
        <f>INDEX(Input!$1:$1048576,AW$93,$C693*2+6)</f>
        <v>Kia</v>
      </c>
      <c r="AX693" s="41" t="str">
        <f>INDEX(Input!$1:$1048576,AX$93,$C693*2+6)</f>
        <v>National</v>
      </c>
      <c r="AY693" s="41" t="str">
        <f>IF(LEN(D693)=0,"",INDEX(Input!$1:$1048576,AY$93,$C693*2+6))</f>
        <v/>
      </c>
      <c r="AZ693" s="41" t="str">
        <f>INDEX(Input!$1:$1048576,AZ$93,$C693*2+6)</f>
        <v>Kia Soul</v>
      </c>
      <c r="BA693" s="3">
        <f>INDEX(Input!$1:$1048576,BA$93,$C693*2+6)</f>
        <v>2020</v>
      </c>
      <c r="BB693" s="128">
        <f>INDEX(Input!$1:$1048576,BB$93,$C693*2+6)</f>
        <v>1</v>
      </c>
      <c r="BC693" s="128">
        <f>INDEX(Input!$1:$1048576,BC$93,$C693*2+6)</f>
        <v>0.7</v>
      </c>
      <c r="BD693" s="1">
        <f>INDEX(Input!$1:$1048576,BD$93,$C693*2+6)</f>
        <v>4.4999999999999998E-2</v>
      </c>
      <c r="BE693" s="1">
        <f>INDEX(Input!$1:$1048576,BE$93,$C693*2+6)</f>
        <v>4.4999999999999998E-2</v>
      </c>
      <c r="BF693" s="1">
        <f>INDEX(Input!$1:$1048576,BF$93,$C693*2+6)</f>
        <v>0.05</v>
      </c>
      <c r="BG693" s="1">
        <f>INDEX(Input!$1:$1048576,BG$93,$C693*2+6)</f>
        <v>5.45E-2</v>
      </c>
      <c r="BH693" s="1">
        <f>INDEX(Input!$1:$1048576,BH$93,$C693*2+6)</f>
        <v>5.45E-2</v>
      </c>
      <c r="BI693" s="1">
        <f>INDEX(Input!$1:$1048576,BI$93,$C693*2+6)</f>
        <v>0.05</v>
      </c>
      <c r="BJ693" s="1">
        <f>INDEX(Input!$1:$1048576,BJ$93,$C693*2+6)</f>
        <v>0.05</v>
      </c>
      <c r="BK693" s="1">
        <f>INDEX(Input!$1:$1048576,BK$93,$C693*2+6)</f>
        <v>0.05</v>
      </c>
      <c r="BL693" s="1">
        <f>INDEX(Input!$1:$1048576,BL$93,$C693*2+6)</f>
        <v>5.5E-2</v>
      </c>
      <c r="BM693" s="1">
        <f>INDEX(Input!$1:$1048576,BM$93,$C693*2+6)</f>
        <v>0.06</v>
      </c>
      <c r="BN693" s="1">
        <f>INDEX(Input!$1:$1048576,BN$93,$C693*2+6)</f>
        <v>4.4999999999999998E-2</v>
      </c>
      <c r="BO693" s="1">
        <f>INDEX(Input!$1:$1048576,BO$93,$C693*2+6)</f>
        <v>4.4999999999999998E-2</v>
      </c>
      <c r="BP693" s="1">
        <f>INDEX(Input!$1:$1048576,BP$93,$C693*2+6)</f>
        <v>0.05</v>
      </c>
      <c r="BQ693" s="1">
        <f>INDEX(Input!$1:$1048576,BQ$93,$C693*2+6)</f>
        <v>5.45E-2</v>
      </c>
      <c r="BR693" s="1">
        <f>INDEX(Input!$1:$1048576,BR$93,$C693*2+6)</f>
        <v>5.45E-2</v>
      </c>
      <c r="BS693" s="1">
        <f>INDEX(Input!$1:$1048576,BS$93,$C693*2+6)</f>
        <v>0.05</v>
      </c>
      <c r="BT693" s="1">
        <f>INDEX(Input!$1:$1048576,BT$93,$C693*2+6)</f>
        <v>0.05</v>
      </c>
      <c r="BU693" s="1">
        <f>INDEX(Input!$1:$1048576,BU$93,$C693*2+6)</f>
        <v>0.05</v>
      </c>
      <c r="BV693" s="1">
        <f>INDEX(Input!$1:$1048576,BV$93,$C693*2+6)</f>
        <v>5.5E-2</v>
      </c>
      <c r="BW693" s="1">
        <f>INDEX(Input!$1:$1048576,BW$93,$C693*2+6)</f>
        <v>0.06</v>
      </c>
      <c r="BX693" s="127">
        <f>INDEX(Input!$1:$1048576,BX$93,$C693*2+6)</f>
        <v>19985</v>
      </c>
      <c r="BY693" s="20">
        <f>INDEX(Input!$1:$1048576,BY$93,$C693*2+6)</f>
        <v>0.1</v>
      </c>
      <c r="BZ693" s="20">
        <f>INDEX(Input!$1:$1048576,BZ$93,$C693*2+6)</f>
        <v>0.1</v>
      </c>
      <c r="CA693" s="20">
        <f>INDEX(Input!$1:$1048576,CA$93,$C693*2+6)</f>
        <v>0.1</v>
      </c>
      <c r="CB693" s="20">
        <f>INDEX(Input!$1:$1048576,CB$93,$C693*2+6)</f>
        <v>0.1</v>
      </c>
      <c r="CC693" s="20">
        <f>INDEX(Input!$1:$1048576,CC$93,$C693*2+6)</f>
        <v>0.1</v>
      </c>
      <c r="CD693" s="384">
        <f>INDEX(Input!$1:$1048576,CD$93,$C693*2+6)</f>
        <v>0.1</v>
      </c>
      <c r="CE693" s="384">
        <f>INDEX(Input!$1:$1048576,CE$93,$C693*2+6)</f>
        <v>0.1</v>
      </c>
      <c r="CF693" s="384">
        <f>INDEX(Input!$1:$1048576,CF$93,$C693*2+6)</f>
        <v>0.1</v>
      </c>
      <c r="CG693" s="384">
        <f>INDEX(Input!$1:$1048576,CG$93,$C693*2+6)</f>
        <v>0.1</v>
      </c>
      <c r="CH693" s="384">
        <f>INDEX(Input!$1:$1048576,CH$93,$C693*2+6)</f>
        <v>0.1</v>
      </c>
      <c r="CI693" s="304">
        <f t="shared" si="1992"/>
        <v>1267.2644913000609</v>
      </c>
      <c r="CJ693" s="16" t="str">
        <f>INDEX(Input!$1:$1048576,CJ$93,$C693*2+6)</f>
        <v>N</v>
      </c>
      <c r="CK693" s="1" t="str">
        <f t="shared" si="1993"/>
        <v>Market</v>
      </c>
      <c r="CL693" s="1" t="str">
        <f t="shared" si="1994"/>
        <v>Market</v>
      </c>
      <c r="CM693" s="1" t="str">
        <f t="shared" si="1995"/>
        <v>Market</v>
      </c>
      <c r="CN693" s="1" t="str">
        <f t="shared" si="1996"/>
        <v>Market</v>
      </c>
      <c r="CO693" s="1" t="str">
        <f t="shared" si="1997"/>
        <v>Market</v>
      </c>
      <c r="CP693" s="304">
        <f t="shared" si="1998"/>
        <v>500</v>
      </c>
      <c r="CQ693" s="1">
        <f t="shared" si="1999"/>
        <v>0</v>
      </c>
      <c r="CR693" s="1">
        <f t="shared" si="2000"/>
        <v>0</v>
      </c>
      <c r="CS693" s="1">
        <f t="shared" si="2001"/>
        <v>0</v>
      </c>
      <c r="CT693" s="1">
        <f t="shared" si="2002"/>
        <v>1.9E-2</v>
      </c>
      <c r="CU693" s="1">
        <f t="shared" si="2003"/>
        <v>3.9E-2</v>
      </c>
      <c r="CV693" s="304">
        <f t="shared" si="2004"/>
        <v>737.99367635402496</v>
      </c>
      <c r="CW693" s="20" t="s">
        <v>122</v>
      </c>
      <c r="CX693" s="20" t="s">
        <v>122</v>
      </c>
      <c r="CY693" s="20" t="s">
        <v>122</v>
      </c>
      <c r="CZ693" s="20" t="s">
        <v>122</v>
      </c>
      <c r="DA693" s="20" t="s">
        <v>122</v>
      </c>
      <c r="DB693" s="503">
        <f t="shared" si="2005"/>
        <v>0</v>
      </c>
      <c r="DC693" s="127">
        <v>0</v>
      </c>
      <c r="DD693" s="127">
        <v>0</v>
      </c>
      <c r="DE693" s="127">
        <v>0</v>
      </c>
      <c r="DF693" s="127">
        <v>0</v>
      </c>
      <c r="DG693" s="127">
        <v>0</v>
      </c>
      <c r="DH693" s="127">
        <v>0</v>
      </c>
      <c r="DI693" s="127">
        <v>0</v>
      </c>
      <c r="DJ693" s="127">
        <v>0</v>
      </c>
      <c r="DK693" s="127">
        <v>0</v>
      </c>
      <c r="DL693" s="127">
        <v>0</v>
      </c>
      <c r="DM693" s="304">
        <f>INDEX(Input!$1:$1048576,DM$93,$C693*2+6)</f>
        <v>21036.84210526316</v>
      </c>
      <c r="DN693" s="20">
        <v>0</v>
      </c>
      <c r="DO693" s="20">
        <v>0</v>
      </c>
      <c r="DP693" s="20">
        <v>0</v>
      </c>
      <c r="DQ693" s="20">
        <v>0</v>
      </c>
      <c r="DR693" s="20">
        <v>0</v>
      </c>
      <c r="DS693" s="20">
        <f>INDEX(Input!$1:$1048576,DS$93,$C693*2+6)</f>
        <v>0.6</v>
      </c>
      <c r="DT693" s="20">
        <f>INDEX(Input!$1:$1048576,DT$93,$C693*2+6)</f>
        <v>0.55000000000000004</v>
      </c>
      <c r="DU693" s="20">
        <f>INDEX(Input!$1:$1048576,DU$93,$C693*2+6)</f>
        <v>0.52</v>
      </c>
      <c r="DV693" s="20">
        <f>INDEX(Input!$1:$1048576,DV$93,$C693*2+6)</f>
        <v>0.5</v>
      </c>
      <c r="DW693" s="20">
        <f>INDEX(Input!$1:$1048576,DW$93,$C693*2+6)</f>
        <v>0.45</v>
      </c>
      <c r="DX693" s="20"/>
      <c r="DY693" s="7"/>
      <c r="DZ693" s="7"/>
      <c r="EA693" s="7"/>
      <c r="EB693" s="7"/>
      <c r="EC693" s="7"/>
      <c r="ED693" s="7"/>
      <c r="EE693" s="7"/>
      <c r="EF693" s="7"/>
      <c r="EG693" s="7"/>
      <c r="EH693" s="7"/>
      <c r="EI693" s="7"/>
      <c r="EJ693" s="7"/>
      <c r="EK693" s="7"/>
      <c r="EL693" s="7"/>
      <c r="EM693" s="7"/>
      <c r="EN693" s="7"/>
      <c r="EO693" s="7"/>
      <c r="EP693" s="7"/>
      <c r="EQ693" s="7"/>
      <c r="ER693" s="7"/>
      <c r="ES693" s="7"/>
      <c r="ET693" s="7"/>
      <c r="EU693" s="6"/>
      <c r="EV693" s="6"/>
      <c r="EW693" s="6"/>
      <c r="EX693" s="6"/>
      <c r="EY693" s="6"/>
      <c r="EZ693" s="6"/>
      <c r="FA693" s="6"/>
      <c r="FB693" s="6"/>
      <c r="FC693" s="6"/>
      <c r="FD693" s="6"/>
      <c r="FE693" s="6"/>
      <c r="FF693" s="6"/>
      <c r="FG693" s="6"/>
      <c r="FH693" s="6"/>
      <c r="FI693" s="6"/>
      <c r="FJ693" s="6"/>
      <c r="FK693" s="6"/>
      <c r="FL693" s="6"/>
      <c r="FM693" s="6"/>
      <c r="FN693" s="6"/>
      <c r="FO693" s="6"/>
      <c r="FP693" s="6"/>
      <c r="FQ693" s="6"/>
      <c r="FR693" s="6"/>
      <c r="FS693" s="6"/>
      <c r="FT693" s="7"/>
      <c r="FU693" s="7"/>
      <c r="FV693" s="7"/>
      <c r="FW693" s="6"/>
      <c r="FX693" s="6"/>
      <c r="FY693" s="6"/>
      <c r="FZ693" s="6"/>
      <c r="GA693" s="6"/>
      <c r="GB693" s="6"/>
      <c r="GC693" s="7"/>
      <c r="GD693" s="7"/>
      <c r="GE693" s="7"/>
      <c r="GF693" s="7"/>
      <c r="GG693" s="7"/>
      <c r="GH693" s="42"/>
      <c r="GI693" s="6"/>
      <c r="GJ693" s="14"/>
      <c r="GK693" s="14"/>
      <c r="GL693" s="14"/>
      <c r="GM693" s="14"/>
      <c r="GO693" s="5"/>
      <c r="GP693" s="5"/>
      <c r="GQ693" s="5"/>
      <c r="GR693" s="5"/>
      <c r="GS693" s="5"/>
      <c r="GT693" s="5"/>
      <c r="GU693" s="5"/>
      <c r="GV693" s="39"/>
      <c r="GW693" s="5"/>
      <c r="GX693" s="5"/>
      <c r="GY693" s="5"/>
      <c r="GZ693" s="5"/>
      <c r="HA693" s="5"/>
      <c r="HB693" s="39"/>
      <c r="HC693" s="5"/>
      <c r="HD693" s="5"/>
      <c r="HE693" s="5"/>
      <c r="HF693" s="5"/>
      <c r="HG693" s="5"/>
      <c r="HH693" s="39"/>
      <c r="HI693" s="16"/>
      <c r="HJ693" s="19"/>
      <c r="HK693" s="1"/>
      <c r="HL693" s="16"/>
      <c r="HM693" s="639" t="e">
        <f t="shared" si="2013"/>
        <v>#DIV/0!</v>
      </c>
      <c r="HN693" s="639" t="e">
        <f t="shared" si="2014"/>
        <v>#DIV/0!</v>
      </c>
      <c r="HO693" s="639" t="e">
        <f t="shared" si="2015"/>
        <v>#DIV/0!</v>
      </c>
      <c r="HP693" s="644">
        <f t="shared" ref="HP693:ID693" si="2133">HP193+HP293+HP393+HP493+HP593</f>
        <v>0</v>
      </c>
      <c r="HQ693" s="644">
        <f t="shared" si="2133"/>
        <v>0</v>
      </c>
      <c r="HR693" s="644">
        <f t="shared" si="2133"/>
        <v>0</v>
      </c>
      <c r="HS693" s="644">
        <f t="shared" si="2133"/>
        <v>0</v>
      </c>
      <c r="HT693" s="644">
        <f t="shared" si="2133"/>
        <v>0</v>
      </c>
      <c r="HU693" s="644">
        <f t="shared" si="2133"/>
        <v>0</v>
      </c>
      <c r="HV693" s="644">
        <f t="shared" si="2133"/>
        <v>0</v>
      </c>
      <c r="HW693" s="644">
        <f t="shared" si="2133"/>
        <v>0</v>
      </c>
      <c r="HX693" s="644">
        <f t="shared" si="2133"/>
        <v>0</v>
      </c>
      <c r="HY693" s="644">
        <f t="shared" si="2133"/>
        <v>0</v>
      </c>
      <c r="HZ693" s="644">
        <f t="shared" si="2133"/>
        <v>0</v>
      </c>
      <c r="IA693" s="644">
        <f t="shared" si="2133"/>
        <v>0</v>
      </c>
      <c r="IB693" s="644">
        <f t="shared" si="2133"/>
        <v>0</v>
      </c>
      <c r="IC693" s="644">
        <f t="shared" si="2133"/>
        <v>0</v>
      </c>
      <c r="ID693" s="644">
        <f t="shared" si="2133"/>
        <v>0</v>
      </c>
      <c r="IE693" s="20" t="e">
        <f t="shared" si="2017"/>
        <v>#DIV/0!</v>
      </c>
      <c r="IF693" s="20" t="e">
        <f t="shared" si="2018"/>
        <v>#DIV/0!</v>
      </c>
      <c r="IG693" s="20" t="e">
        <f t="shared" si="2019"/>
        <v>#DIV/0!</v>
      </c>
      <c r="IH693" s="21"/>
      <c r="II693" s="19"/>
      <c r="IJ693" s="19"/>
      <c r="IK693" s="19"/>
      <c r="IL693" s="19" t="e">
        <f t="shared" si="2020"/>
        <v>#DIV/0!</v>
      </c>
      <c r="IM693" s="19" t="e">
        <f t="shared" si="2021"/>
        <v>#DIV/0!</v>
      </c>
      <c r="IN693" s="19" t="e">
        <f t="shared" si="2022"/>
        <v>#DIV/0!</v>
      </c>
      <c r="IO693" s="39"/>
      <c r="IP693" s="39"/>
      <c r="IQ693" s="39"/>
      <c r="IR693" s="39"/>
      <c r="IS693" s="39"/>
      <c r="IT693" s="39"/>
      <c r="IU693" s="39"/>
      <c r="IV693" s="39"/>
      <c r="IW693" s="39"/>
      <c r="IX693" s="19" t="e">
        <f t="shared" si="2023"/>
        <v>#DIV/0!</v>
      </c>
      <c r="IY693" s="19" t="e">
        <f t="shared" si="2024"/>
        <v>#DIV/0!</v>
      </c>
      <c r="IZ693" s="19" t="e">
        <f t="shared" si="2025"/>
        <v>#DIV/0!</v>
      </c>
      <c r="JA693" s="19">
        <f t="shared" ref="JA693:JC693" si="2134">IFERROR((JA193*IB193+JA293*IB293+JA393*IB393+JA493*IB493+JA593*IB593)/IB693,0)</f>
        <v>0</v>
      </c>
      <c r="JB693" s="19">
        <f t="shared" si="2134"/>
        <v>0</v>
      </c>
      <c r="JC693" s="19">
        <f t="shared" si="2134"/>
        <v>0</v>
      </c>
      <c r="JD693" s="19" t="e">
        <f t="shared" si="2027"/>
        <v>#DIV/0!</v>
      </c>
      <c r="JE693" s="21"/>
      <c r="JF693" s="1" t="e">
        <f t="shared" si="2028"/>
        <v>#DIV/0!</v>
      </c>
      <c r="JG693" s="15">
        <f t="shared" si="2029"/>
        <v>0</v>
      </c>
      <c r="JH693" s="1" t="e">
        <f t="shared" si="2030"/>
        <v>#DIV/0!</v>
      </c>
      <c r="JI693" s="1" t="e">
        <f t="shared" si="2031"/>
        <v>#DIV/0!</v>
      </c>
      <c r="JJ693" s="1" t="e">
        <f t="shared" si="2032"/>
        <v>#DIV/0!</v>
      </c>
      <c r="JK693" s="1" t="e">
        <f t="shared" si="2033"/>
        <v>#DIV/0!</v>
      </c>
      <c r="JL693" s="15">
        <f t="shared" ref="JL693:JM693" si="2135">JL193+JL293+JL393+JL493+JL593</f>
        <v>0</v>
      </c>
      <c r="JM693" s="15">
        <f t="shared" si="2135"/>
        <v>0</v>
      </c>
      <c r="JN693" s="21"/>
      <c r="JO693" s="19">
        <f>INDEX(Input!$1:$1048576,JO$93,$C693*2+6)</f>
        <v>5995.5</v>
      </c>
      <c r="JP693" s="19">
        <f>INDEX(Input!$1:$1048576,JP$93,$C693*2+6)</f>
        <v>2296.6050414551746</v>
      </c>
      <c r="JQ693" s="39" t="e">
        <f t="shared" si="2053"/>
        <v>#DIV/0!</v>
      </c>
      <c r="JR693" s="39" t="e">
        <f t="shared" si="2054"/>
        <v>#DIV/0!</v>
      </c>
      <c r="JS693" s="39" t="e">
        <f t="shared" si="2055"/>
        <v>#DIV/0!</v>
      </c>
      <c r="JT693" s="39" t="e">
        <f t="shared" si="2056"/>
        <v>#DIV/0!</v>
      </c>
      <c r="JU693" s="385" t="e">
        <f>(JQ693*JM693-INDEX(Input!$1:$1048576,Input!A$18,$C693*2+6)*JL693*INDEX(Input!$1:$1048576,Input!A$19,$C693*2+6))/1000000</f>
        <v>#DIV/0!</v>
      </c>
      <c r="JV693" s="39" t="e">
        <f t="shared" si="2057"/>
        <v>#DIV/0!</v>
      </c>
      <c r="JW693" s="1" t="e">
        <f t="shared" si="2058"/>
        <v>#DIV/0!</v>
      </c>
      <c r="JX693" s="19">
        <f t="shared" si="2059"/>
        <v>0</v>
      </c>
      <c r="JZ693" s="341"/>
      <c r="KA693" s="60"/>
      <c r="KB693" s="469">
        <f t="shared" si="2035"/>
        <v>0</v>
      </c>
      <c r="KI693" s="472"/>
      <c r="KJ693" s="472"/>
      <c r="KK693" s="472"/>
      <c r="KN693" s="26">
        <f t="shared" si="2036"/>
        <v>6002</v>
      </c>
      <c r="KO693" s="794">
        <f t="shared" si="2037"/>
        <v>-1</v>
      </c>
      <c r="KP693" s="795" t="e">
        <f t="shared" si="2038"/>
        <v>#DIV/0!</v>
      </c>
      <c r="KQ693" s="795" t="e">
        <f t="shared" si="2039"/>
        <v>#DIV/0!</v>
      </c>
      <c r="KR693" s="26" t="e">
        <f t="shared" si="2040"/>
        <v>#DIV/0!</v>
      </c>
      <c r="KS693" s="26" t="e">
        <f t="shared" si="2041"/>
        <v>#DIV/0!</v>
      </c>
      <c r="KT693" s="796">
        <f t="shared" si="2049"/>
        <v>4286.2445668946921</v>
      </c>
      <c r="KU693" s="797">
        <f t="shared" si="2042"/>
        <v>0</v>
      </c>
    </row>
    <row r="694" spans="1:307" s="26" customFormat="1" ht="15" outlineLevel="1">
      <c r="A694" s="561">
        <f t="shared" si="2009"/>
        <v>6094</v>
      </c>
      <c r="B694" s="561">
        <f t="shared" si="2043"/>
        <v>94</v>
      </c>
      <c r="C694" s="561">
        <f t="shared" si="2044"/>
        <v>6</v>
      </c>
      <c r="D694" s="561" t="str">
        <f t="shared" si="2108"/>
        <v/>
      </c>
      <c r="E694" s="475">
        <f>INDEX(Input!$1:$1048576,E$93,$C694*2+MIN($B694,2)+5)
+INDEX(Scenarios!E$121:E$199,MATCH($B694,Scenarios!$B$121:$B$199,0))</f>
        <v>1267.2644913000609</v>
      </c>
      <c r="F694" s="475">
        <f>INDEX(Input!$1:$1048576,F$93,$C694*2+MIN($B694,2)+5)
+INDEX(Scenarios!F$121:F$199,MATCH($B694,Scenarios!$B$121:$B$199,0))</f>
        <v>0</v>
      </c>
      <c r="G694" s="475">
        <f>INDEX(Input!$1:$1048576,G$93,$C694*2+MIN($B694,2)+5)
+INDEX(Scenarios!G$121:G$199,MATCH($B694,Scenarios!$B$121:$B$199,0))</f>
        <v>0</v>
      </c>
      <c r="H694" s="475">
        <f>INDEX(Input!$1:$1048576,H$93,$C694*2+MIN($B694,2)+5)
+INDEX(Scenarios!H$121:H$199,MATCH($B694,Scenarios!$B$121:$B$199,0))</f>
        <v>0</v>
      </c>
      <c r="I694" s="476">
        <f>INDEX(Input!$1:$1048576,I$93,$C694*2+MIN($B694,2)+5)
+INDEX(Scenarios!I$121:I$199,MATCH($B694,Scenarios!$B$121:$B$199,0))</f>
        <v>0.7</v>
      </c>
      <c r="J694" s="476" t="str">
        <f>INDEX(Input!$1:$1048576,J$93,$C694*2+MIN($B694,2)+5)</f>
        <v>Market</v>
      </c>
      <c r="K694" s="476" t="str">
        <f>INDEX(Input!$1:$1048576,K$93,$C694*2+MIN($B694,2)+5)</f>
        <v>Market</v>
      </c>
      <c r="L694" s="476" t="str">
        <f>INDEX(Input!$1:$1048576,L$93,$C694*2+MIN($B694,2)+5)</f>
        <v>Market</v>
      </c>
      <c r="M694" s="476" t="str">
        <f>INDEX(Input!$1:$1048576,M$93,$C694*2+MIN($B694,2)+5)</f>
        <v>Market</v>
      </c>
      <c r="N694" s="476" t="str">
        <f>INDEX(Input!$1:$1048576,N$93,$C694*2+MIN($B694,2)+5)</f>
        <v>Market</v>
      </c>
      <c r="O694" s="476" t="str">
        <f>INDEX(Input!$1:$1048576,O$93,$C694*2+MIN($B694,2)+5)</f>
        <v>Market</v>
      </c>
      <c r="P694" s="476" t="str">
        <f>INDEX(Input!$1:$1048576,P$93,$C694*2+MIN($B694,2)+5)</f>
        <v>N</v>
      </c>
      <c r="Q694" s="477">
        <f>INDEX(Input!$1:$1048576,Q$93,$C694*2+MIN($B694,2)+5)
+INDEX(Scenarios!Q$121:Q$199,MATCH($B694,Scenarios!$B$121:$B$199,0))</f>
        <v>0</v>
      </c>
      <c r="R694" s="478">
        <f>IFERROR(MAX(0,INDEX(Input!$1:$1048576,R$93,$C694*2+MIN($B694,2)+5)
+INDEX(Scenarios!R$121:R$199,MATCH($B694,Scenarios!$B$121:$B$199,0)),),"Market")</f>
        <v>0</v>
      </c>
      <c r="S694" s="478">
        <f>IFERROR(MAX(0,INDEX(Input!$1:$1048576,S$93,$C694*2+MIN($B694,2)+5)
+INDEX(Scenarios!S$121:S$199,MATCH($B694,Scenarios!$B$121:$B$199,0)),),"Market")</f>
        <v>0</v>
      </c>
      <c r="T694" s="478">
        <f>IFERROR(MAX(0,INDEX(Input!$1:$1048576,T$93,$C694*2+MIN($B694,2)+5)
+INDEX(Scenarios!T$121:T$199,MATCH($B694,Scenarios!$B$121:$B$199,0)),),"Market")</f>
        <v>0</v>
      </c>
      <c r="U694" s="478">
        <f>IFERROR(MAX(0,INDEX(Input!$1:$1048576,U$93,$C694*2+MIN($B694,2)+5)
+INDEX(Scenarios!U$121:U$199,MATCH($B694,Scenarios!$B$121:$B$199,0)),),"Market")</f>
        <v>0</v>
      </c>
      <c r="V694" s="478">
        <f>IFERROR(MAX(0,INDEX(Input!$1:$1048576,V$93,$C694*2+MIN($B694,2)+5)
+INDEX(Scenarios!V$121:V$199,MATCH($B694,Scenarios!$B$121:$B$199,0)),),"Market")</f>
        <v>1.9E-2</v>
      </c>
      <c r="W694" s="885">
        <f>IFERROR(MAX(0,INDEX(Input!$1:$1048576,W$93,$C694*2+MIN($B694,2)+5)-0%),"Market")</f>
        <v>3.9E-2</v>
      </c>
      <c r="X694" s="476" t="str">
        <f>INDEX(Input!$1:$1048576,X$93,$C694*2+MIN($B694,2)+5)</f>
        <v>Y</v>
      </c>
      <c r="Y694" s="475">
        <f>INDEX(Input!$1:$1048576,Y$93,$C694*2+MIN($B694,2)+5)
++INDEX(Scenarios!Y$121:Y$199,MATCH($B694,Scenarios!$B$121:$B$199,0))</f>
        <v>737.99367635402496</v>
      </c>
      <c r="Z694" s="477">
        <f>INDEX(Input!$1:$1048576,Z$93,$C694*2+MIN($B694,2)+5)
+INDEX(Scenarios!Z$121:Z$199,MATCH($B694,Scenarios!$B$121:$B$199,0))</f>
        <v>0</v>
      </c>
      <c r="AA694" s="475">
        <f>INDEX(Input!$1:$1048576,AA$93,$C694*2+MIN($B694,2)+5)</f>
        <v>0</v>
      </c>
      <c r="AB694" s="476">
        <f>INDEX(Input!$1:$1048576,AB$93,$C694*2+MIN($B694,2)+5)</f>
        <v>0.27</v>
      </c>
      <c r="AC694" s="475">
        <f>INDEX(Input!$1:$1048576,AC$93,$C694*2+MIN($B694,2)+5)
+INDEX(Scenarios!AC$121:AC$199,MATCH($B694,Scenarios!$B$121:$B$199,0))</f>
        <v>0</v>
      </c>
      <c r="AD694" s="476">
        <f>INDEX(Input!$1:$1048576,AD$93,$C694*2+MIN($B694,2)+5)</f>
        <v>0.27</v>
      </c>
      <c r="AE694" s="475">
        <f>INDEX(Input!$1:$1048576,AE$93,$C694*2+MIN($B694,2)+5)
+INDEX(Scenarios!AE$121:AE$199,MATCH($B694,Scenarios!$B$121:$B$199,0))</f>
        <v>0</v>
      </c>
      <c r="AF694" s="476">
        <f>INDEX(Input!$1:$1048576,AF$93,$C694*2+MIN($B694,2)+5)</f>
        <v>1</v>
      </c>
      <c r="AG694" s="475">
        <f>INDEX(Input!$1:$1048576,AG$93,$C694*2+MIN($B694,2)+5)</f>
        <v>500</v>
      </c>
      <c r="AH694" s="476">
        <f>INDEX(Input!$1:$1048576,AH$93,$C694*2+MIN($B694,2)+5)</f>
        <v>1</v>
      </c>
      <c r="AI694" s="475">
        <f>INDEX(Input!$1:$1048576,AI$93,$C694*2+MIN($B694,2)+5)</f>
        <v>0</v>
      </c>
      <c r="AJ694" s="476">
        <f>INDEX(Input!$1:$1048576,AJ$93,$C694*2+MIN($B694,2)+5)</f>
        <v>0.27</v>
      </c>
      <c r="AK694" s="150">
        <f>ROUND(INDEX(Input!$1:$1048576,AK$93,$C693*2+MIN($B694,1)+5)+(Y694-VLOOKUP($C694*1000+1,$A:$HH,Y$92,FALSE)),0)</f>
        <v>3061</v>
      </c>
      <c r="AL694" s="150">
        <f>ROUND(INDEX(Input!$1:$1048576,AL$93,$C693*2+MIN($B694,1)+5)-(Y694-VLOOKUP($C694*1000+1,$A:$HH,Y$92,FALSE))/36,0)</f>
        <v>3552</v>
      </c>
      <c r="AM694" s="32" t="str">
        <f t="shared" si="2010"/>
        <v>std/std/std/std</v>
      </c>
      <c r="AN694" s="32" t="str">
        <f t="shared" si="2011"/>
        <v>$0 + 0/0/0/1.9/3.9</v>
      </c>
      <c r="AO694" s="32" t="str">
        <f t="shared" si="2012"/>
        <v>0/0/0/1.9/3.9</v>
      </c>
      <c r="AP694" s="32" t="str">
        <f t="shared" si="1990"/>
        <v>0/0.9/1.9/3.9</v>
      </c>
      <c r="AQ694" s="536" t="e">
        <f t="shared" si="1991"/>
        <v>#DIV/0!</v>
      </c>
      <c r="AR694" s="32"/>
      <c r="AS694" s="302"/>
      <c r="AT694" s="3">
        <f t="shared" si="2045"/>
        <v>94</v>
      </c>
      <c r="AU694" s="41" t="s">
        <v>121</v>
      </c>
      <c r="AV694" s="41" t="s">
        <v>116</v>
      </c>
      <c r="AW694" s="41" t="str">
        <f>INDEX(Input!$1:$1048576,AW$93,$C694*2+6)</f>
        <v>Kia</v>
      </c>
      <c r="AX694" s="41" t="str">
        <f>INDEX(Input!$1:$1048576,AX$93,$C694*2+6)</f>
        <v>National</v>
      </c>
      <c r="AY694" s="41" t="str">
        <f>IF(LEN(D694)=0,"",INDEX(Input!$1:$1048576,AY$93,$C694*2+6))</f>
        <v/>
      </c>
      <c r="AZ694" s="41" t="str">
        <f>INDEX(Input!$1:$1048576,AZ$93,$C694*2+6)</f>
        <v>Kia Soul</v>
      </c>
      <c r="BA694" s="3">
        <f>INDEX(Input!$1:$1048576,BA$93,$C694*2+6)</f>
        <v>2020</v>
      </c>
      <c r="BB694" s="128">
        <f>INDEX(Input!$1:$1048576,BB$93,$C694*2+6)</f>
        <v>1</v>
      </c>
      <c r="BC694" s="128">
        <f>INDEX(Input!$1:$1048576,BC$93,$C694*2+6)</f>
        <v>0.7</v>
      </c>
      <c r="BD694" s="1">
        <f>INDEX(Input!$1:$1048576,BD$93,$C694*2+6)</f>
        <v>4.4999999999999998E-2</v>
      </c>
      <c r="BE694" s="1">
        <f>INDEX(Input!$1:$1048576,BE$93,$C694*2+6)</f>
        <v>4.4999999999999998E-2</v>
      </c>
      <c r="BF694" s="1">
        <f>INDEX(Input!$1:$1048576,BF$93,$C694*2+6)</f>
        <v>0.05</v>
      </c>
      <c r="BG694" s="1">
        <f>INDEX(Input!$1:$1048576,BG$93,$C694*2+6)</f>
        <v>5.45E-2</v>
      </c>
      <c r="BH694" s="1">
        <f>INDEX(Input!$1:$1048576,BH$93,$C694*2+6)</f>
        <v>5.45E-2</v>
      </c>
      <c r="BI694" s="1">
        <f>INDEX(Input!$1:$1048576,BI$93,$C694*2+6)</f>
        <v>0.05</v>
      </c>
      <c r="BJ694" s="1">
        <f>INDEX(Input!$1:$1048576,BJ$93,$C694*2+6)</f>
        <v>0.05</v>
      </c>
      <c r="BK694" s="1">
        <f>INDEX(Input!$1:$1048576,BK$93,$C694*2+6)</f>
        <v>0.05</v>
      </c>
      <c r="BL694" s="1">
        <f>INDEX(Input!$1:$1048576,BL$93,$C694*2+6)</f>
        <v>5.5E-2</v>
      </c>
      <c r="BM694" s="1">
        <f>INDEX(Input!$1:$1048576,BM$93,$C694*2+6)</f>
        <v>0.06</v>
      </c>
      <c r="BN694" s="1">
        <f>INDEX(Input!$1:$1048576,BN$93,$C694*2+6)</f>
        <v>4.4999999999999998E-2</v>
      </c>
      <c r="BO694" s="1">
        <f>INDEX(Input!$1:$1048576,BO$93,$C694*2+6)</f>
        <v>4.4999999999999998E-2</v>
      </c>
      <c r="BP694" s="1">
        <f>INDEX(Input!$1:$1048576,BP$93,$C694*2+6)</f>
        <v>0.05</v>
      </c>
      <c r="BQ694" s="1">
        <f>INDEX(Input!$1:$1048576,BQ$93,$C694*2+6)</f>
        <v>5.45E-2</v>
      </c>
      <c r="BR694" s="1">
        <f>INDEX(Input!$1:$1048576,BR$93,$C694*2+6)</f>
        <v>5.45E-2</v>
      </c>
      <c r="BS694" s="1">
        <f>INDEX(Input!$1:$1048576,BS$93,$C694*2+6)</f>
        <v>0.05</v>
      </c>
      <c r="BT694" s="1">
        <f>INDEX(Input!$1:$1048576,BT$93,$C694*2+6)</f>
        <v>0.05</v>
      </c>
      <c r="BU694" s="1">
        <f>INDEX(Input!$1:$1048576,BU$93,$C694*2+6)</f>
        <v>0.05</v>
      </c>
      <c r="BV694" s="1">
        <f>INDEX(Input!$1:$1048576,BV$93,$C694*2+6)</f>
        <v>5.5E-2</v>
      </c>
      <c r="BW694" s="1">
        <f>INDEX(Input!$1:$1048576,BW$93,$C694*2+6)</f>
        <v>0.06</v>
      </c>
      <c r="BX694" s="127">
        <f>INDEX(Input!$1:$1048576,BX$93,$C694*2+6)</f>
        <v>19985</v>
      </c>
      <c r="BY694" s="20">
        <f>INDEX(Input!$1:$1048576,BY$93,$C694*2+6)</f>
        <v>0.1</v>
      </c>
      <c r="BZ694" s="20">
        <f>INDEX(Input!$1:$1048576,BZ$93,$C694*2+6)</f>
        <v>0.1</v>
      </c>
      <c r="CA694" s="20">
        <f>INDEX(Input!$1:$1048576,CA$93,$C694*2+6)</f>
        <v>0.1</v>
      </c>
      <c r="CB694" s="20">
        <f>INDEX(Input!$1:$1048576,CB$93,$C694*2+6)</f>
        <v>0.1</v>
      </c>
      <c r="CC694" s="20">
        <f>INDEX(Input!$1:$1048576,CC$93,$C694*2+6)</f>
        <v>0.1</v>
      </c>
      <c r="CD694" s="384">
        <f>INDEX(Input!$1:$1048576,CD$93,$C694*2+6)</f>
        <v>0.1</v>
      </c>
      <c r="CE694" s="384">
        <f>INDEX(Input!$1:$1048576,CE$93,$C694*2+6)</f>
        <v>0.1</v>
      </c>
      <c r="CF694" s="384">
        <f>INDEX(Input!$1:$1048576,CF$93,$C694*2+6)</f>
        <v>0.1</v>
      </c>
      <c r="CG694" s="384">
        <f>INDEX(Input!$1:$1048576,CG$93,$C694*2+6)</f>
        <v>0.1</v>
      </c>
      <c r="CH694" s="384">
        <f>INDEX(Input!$1:$1048576,CH$93,$C694*2+6)</f>
        <v>0.1</v>
      </c>
      <c r="CI694" s="304">
        <f t="shared" si="1992"/>
        <v>1267.2644913000609</v>
      </c>
      <c r="CJ694" s="16" t="str">
        <f>INDEX(Input!$1:$1048576,CJ$93,$C694*2+6)</f>
        <v>N</v>
      </c>
      <c r="CK694" s="1" t="str">
        <f t="shared" si="1993"/>
        <v>Market</v>
      </c>
      <c r="CL694" s="1" t="str">
        <f t="shared" si="1994"/>
        <v>Market</v>
      </c>
      <c r="CM694" s="1" t="str">
        <f t="shared" si="1995"/>
        <v>Market</v>
      </c>
      <c r="CN694" s="1" t="str">
        <f t="shared" si="1996"/>
        <v>Market</v>
      </c>
      <c r="CO694" s="1" t="str">
        <f t="shared" si="1997"/>
        <v>Market</v>
      </c>
      <c r="CP694" s="304">
        <f t="shared" si="1998"/>
        <v>500</v>
      </c>
      <c r="CQ694" s="1">
        <f t="shared" si="1999"/>
        <v>0</v>
      </c>
      <c r="CR694" s="1">
        <f t="shared" si="2000"/>
        <v>0</v>
      </c>
      <c r="CS694" s="1">
        <f t="shared" si="2001"/>
        <v>0</v>
      </c>
      <c r="CT694" s="1">
        <f t="shared" si="2002"/>
        <v>1.9E-2</v>
      </c>
      <c r="CU694" s="1">
        <f t="shared" si="2003"/>
        <v>3.9E-2</v>
      </c>
      <c r="CV694" s="304">
        <f t="shared" si="2004"/>
        <v>737.99367635402496</v>
      </c>
      <c r="CW694" s="20" t="s">
        <v>122</v>
      </c>
      <c r="CX694" s="20" t="s">
        <v>122</v>
      </c>
      <c r="CY694" s="20" t="s">
        <v>122</v>
      </c>
      <c r="CZ694" s="20" t="s">
        <v>122</v>
      </c>
      <c r="DA694" s="20" t="s">
        <v>122</v>
      </c>
      <c r="DB694" s="503">
        <f t="shared" si="2005"/>
        <v>0</v>
      </c>
      <c r="DC694" s="127">
        <v>0</v>
      </c>
      <c r="DD694" s="127">
        <v>0</v>
      </c>
      <c r="DE694" s="127">
        <v>0</v>
      </c>
      <c r="DF694" s="127">
        <v>0</v>
      </c>
      <c r="DG694" s="127">
        <v>0</v>
      </c>
      <c r="DH694" s="127">
        <v>0</v>
      </c>
      <c r="DI694" s="127">
        <v>0</v>
      </c>
      <c r="DJ694" s="127">
        <v>0</v>
      </c>
      <c r="DK694" s="127">
        <v>0</v>
      </c>
      <c r="DL694" s="127">
        <v>0</v>
      </c>
      <c r="DM694" s="304">
        <f>INDEX(Input!$1:$1048576,DM$93,$C694*2+6)</f>
        <v>21036.84210526316</v>
      </c>
      <c r="DN694" s="20">
        <v>0</v>
      </c>
      <c r="DO694" s="20">
        <v>0</v>
      </c>
      <c r="DP694" s="20">
        <v>0</v>
      </c>
      <c r="DQ694" s="20">
        <v>0</v>
      </c>
      <c r="DR694" s="20">
        <v>0</v>
      </c>
      <c r="DS694" s="20">
        <f>INDEX(Input!$1:$1048576,DS$93,$C694*2+6)</f>
        <v>0.6</v>
      </c>
      <c r="DT694" s="20">
        <f>INDEX(Input!$1:$1048576,DT$93,$C694*2+6)</f>
        <v>0.55000000000000004</v>
      </c>
      <c r="DU694" s="20">
        <f>INDEX(Input!$1:$1048576,DU$93,$C694*2+6)</f>
        <v>0.52</v>
      </c>
      <c r="DV694" s="20">
        <f>INDEX(Input!$1:$1048576,DV$93,$C694*2+6)</f>
        <v>0.5</v>
      </c>
      <c r="DW694" s="20">
        <f>INDEX(Input!$1:$1048576,DW$93,$C694*2+6)</f>
        <v>0.45</v>
      </c>
      <c r="DX694" s="20"/>
      <c r="DY694" s="7"/>
      <c r="DZ694" s="7"/>
      <c r="EA694" s="7"/>
      <c r="EB694" s="7"/>
      <c r="EC694" s="7"/>
      <c r="ED694" s="7"/>
      <c r="EE694" s="7"/>
      <c r="EF694" s="7"/>
      <c r="EG694" s="7"/>
      <c r="EH694" s="7"/>
      <c r="EI694" s="7"/>
      <c r="EJ694" s="7"/>
      <c r="EK694" s="7"/>
      <c r="EL694" s="7"/>
      <c r="EM694" s="7"/>
      <c r="EN694" s="7"/>
      <c r="EO694" s="7"/>
      <c r="EP694" s="7"/>
      <c r="EQ694" s="7"/>
      <c r="ER694" s="7"/>
      <c r="ES694" s="7"/>
      <c r="ET694" s="7"/>
      <c r="EU694" s="6"/>
      <c r="EV694" s="6"/>
      <c r="EW694" s="6"/>
      <c r="EX694" s="6"/>
      <c r="EY694" s="6"/>
      <c r="EZ694" s="6"/>
      <c r="FA694" s="6"/>
      <c r="FB694" s="6"/>
      <c r="FC694" s="6"/>
      <c r="FD694" s="6"/>
      <c r="FE694" s="6"/>
      <c r="FF694" s="6"/>
      <c r="FG694" s="6"/>
      <c r="FH694" s="6"/>
      <c r="FI694" s="6"/>
      <c r="FJ694" s="6"/>
      <c r="FK694" s="6"/>
      <c r="FL694" s="6"/>
      <c r="FM694" s="6"/>
      <c r="FN694" s="6"/>
      <c r="FO694" s="6"/>
      <c r="FP694" s="6"/>
      <c r="FQ694" s="6"/>
      <c r="FR694" s="6"/>
      <c r="FS694" s="6"/>
      <c r="FT694" s="7"/>
      <c r="FU694" s="7"/>
      <c r="FV694" s="7"/>
      <c r="FW694" s="6"/>
      <c r="FX694" s="6"/>
      <c r="FY694" s="6"/>
      <c r="FZ694" s="6"/>
      <c r="GA694" s="6"/>
      <c r="GB694" s="6"/>
      <c r="GC694" s="7"/>
      <c r="GD694" s="7"/>
      <c r="GE694" s="7"/>
      <c r="GF694" s="7"/>
      <c r="GG694" s="7"/>
      <c r="GH694" s="42"/>
      <c r="GI694" s="6"/>
      <c r="GJ694" s="14"/>
      <c r="GK694" s="14"/>
      <c r="GL694" s="14"/>
      <c r="GM694" s="14"/>
      <c r="GO694" s="5"/>
      <c r="GP694" s="5"/>
      <c r="GQ694" s="5"/>
      <c r="GR694" s="5"/>
      <c r="GS694" s="5"/>
      <c r="GT694" s="5"/>
      <c r="GU694" s="5"/>
      <c r="GV694" s="39"/>
      <c r="GW694" s="5"/>
      <c r="GX694" s="5"/>
      <c r="GY694" s="5"/>
      <c r="GZ694" s="5"/>
      <c r="HA694" s="5"/>
      <c r="HB694" s="39"/>
      <c r="HC694" s="5"/>
      <c r="HD694" s="5"/>
      <c r="HE694" s="5"/>
      <c r="HF694" s="5"/>
      <c r="HG694" s="5"/>
      <c r="HH694" s="39"/>
      <c r="HI694" s="16"/>
      <c r="HJ694" s="19"/>
      <c r="HK694" s="1"/>
      <c r="HL694" s="16"/>
      <c r="HM694" s="639" t="e">
        <f t="shared" si="2013"/>
        <v>#DIV/0!</v>
      </c>
      <c r="HN694" s="639" t="e">
        <f t="shared" si="2014"/>
        <v>#DIV/0!</v>
      </c>
      <c r="HO694" s="639" t="e">
        <f t="shared" si="2015"/>
        <v>#DIV/0!</v>
      </c>
      <c r="HP694" s="644">
        <f t="shared" ref="HP694:ID694" si="2136">HP194+HP294+HP394+HP494+HP594</f>
        <v>0</v>
      </c>
      <c r="HQ694" s="644">
        <f t="shared" si="2136"/>
        <v>0</v>
      </c>
      <c r="HR694" s="644">
        <f t="shared" si="2136"/>
        <v>0</v>
      </c>
      <c r="HS694" s="644">
        <f t="shared" si="2136"/>
        <v>0</v>
      </c>
      <c r="HT694" s="644">
        <f t="shared" si="2136"/>
        <v>0</v>
      </c>
      <c r="HU694" s="644">
        <f t="shared" si="2136"/>
        <v>0</v>
      </c>
      <c r="HV694" s="644">
        <f t="shared" si="2136"/>
        <v>0</v>
      </c>
      <c r="HW694" s="644">
        <f t="shared" si="2136"/>
        <v>0</v>
      </c>
      <c r="HX694" s="644">
        <f t="shared" si="2136"/>
        <v>0</v>
      </c>
      <c r="HY694" s="644">
        <f t="shared" si="2136"/>
        <v>0</v>
      </c>
      <c r="HZ694" s="644">
        <f t="shared" si="2136"/>
        <v>0</v>
      </c>
      <c r="IA694" s="644">
        <f t="shared" si="2136"/>
        <v>0</v>
      </c>
      <c r="IB694" s="644">
        <f t="shared" si="2136"/>
        <v>0</v>
      </c>
      <c r="IC694" s="644">
        <f t="shared" si="2136"/>
        <v>0</v>
      </c>
      <c r="ID694" s="644">
        <f t="shared" si="2136"/>
        <v>0</v>
      </c>
      <c r="IE694" s="20" t="e">
        <f t="shared" si="2017"/>
        <v>#DIV/0!</v>
      </c>
      <c r="IF694" s="20" t="e">
        <f t="shared" si="2018"/>
        <v>#DIV/0!</v>
      </c>
      <c r="IG694" s="20" t="e">
        <f t="shared" si="2019"/>
        <v>#DIV/0!</v>
      </c>
      <c r="IH694" s="21"/>
      <c r="II694" s="19"/>
      <c r="IJ694" s="19"/>
      <c r="IK694" s="19"/>
      <c r="IL694" s="19" t="e">
        <f t="shared" si="2020"/>
        <v>#DIV/0!</v>
      </c>
      <c r="IM694" s="19" t="e">
        <f t="shared" si="2021"/>
        <v>#DIV/0!</v>
      </c>
      <c r="IN694" s="19" t="e">
        <f t="shared" si="2022"/>
        <v>#DIV/0!</v>
      </c>
      <c r="IO694" s="39"/>
      <c r="IP694" s="39"/>
      <c r="IQ694" s="39"/>
      <c r="IR694" s="39"/>
      <c r="IS694" s="39"/>
      <c r="IT694" s="39"/>
      <c r="IU694" s="39"/>
      <c r="IV694" s="39"/>
      <c r="IW694" s="39"/>
      <c r="IX694" s="19" t="e">
        <f t="shared" si="2023"/>
        <v>#DIV/0!</v>
      </c>
      <c r="IY694" s="19" t="e">
        <f t="shared" si="2024"/>
        <v>#DIV/0!</v>
      </c>
      <c r="IZ694" s="19" t="e">
        <f t="shared" si="2025"/>
        <v>#DIV/0!</v>
      </c>
      <c r="JA694" s="19">
        <f t="shared" ref="JA694:JC694" si="2137">IFERROR((JA194*IB194+JA294*IB294+JA394*IB394+JA494*IB494+JA594*IB594)/IB694,0)</f>
        <v>0</v>
      </c>
      <c r="JB694" s="19">
        <f t="shared" si="2137"/>
        <v>0</v>
      </c>
      <c r="JC694" s="19">
        <f t="shared" si="2137"/>
        <v>0</v>
      </c>
      <c r="JD694" s="19" t="e">
        <f t="shared" si="2027"/>
        <v>#DIV/0!</v>
      </c>
      <c r="JE694" s="21"/>
      <c r="JF694" s="1" t="e">
        <f t="shared" si="2028"/>
        <v>#DIV/0!</v>
      </c>
      <c r="JG694" s="15">
        <f t="shared" si="2029"/>
        <v>0</v>
      </c>
      <c r="JH694" s="1" t="e">
        <f t="shared" si="2030"/>
        <v>#DIV/0!</v>
      </c>
      <c r="JI694" s="1" t="e">
        <f t="shared" si="2031"/>
        <v>#DIV/0!</v>
      </c>
      <c r="JJ694" s="1" t="e">
        <f t="shared" si="2032"/>
        <v>#DIV/0!</v>
      </c>
      <c r="JK694" s="1" t="e">
        <f t="shared" si="2033"/>
        <v>#DIV/0!</v>
      </c>
      <c r="JL694" s="15">
        <f t="shared" ref="JL694:JM694" si="2138">JL194+JL294+JL394+JL494+JL594</f>
        <v>0</v>
      </c>
      <c r="JM694" s="15">
        <f t="shared" si="2138"/>
        <v>0</v>
      </c>
      <c r="JN694" s="21"/>
      <c r="JO694" s="19">
        <f>INDEX(Input!$1:$1048576,JO$93,$C694*2+6)</f>
        <v>5995.5</v>
      </c>
      <c r="JP694" s="19">
        <f>INDEX(Input!$1:$1048576,JP$93,$C694*2+6)</f>
        <v>2296.6050414551746</v>
      </c>
      <c r="JQ694" s="39" t="e">
        <f t="shared" si="2053"/>
        <v>#DIV/0!</v>
      </c>
      <c r="JR694" s="39" t="e">
        <f t="shared" si="2054"/>
        <v>#DIV/0!</v>
      </c>
      <c r="JS694" s="39" t="e">
        <f t="shared" si="2055"/>
        <v>#DIV/0!</v>
      </c>
      <c r="JT694" s="39" t="e">
        <f t="shared" si="2056"/>
        <v>#DIV/0!</v>
      </c>
      <c r="JU694" s="385" t="e">
        <f>(JQ694*JM694-INDEX(Input!$1:$1048576,Input!A$18,$C694*2+6)*JL694*INDEX(Input!$1:$1048576,Input!A$19,$C694*2+6))/1000000</f>
        <v>#DIV/0!</v>
      </c>
      <c r="JV694" s="39" t="e">
        <f t="shared" si="2057"/>
        <v>#DIV/0!</v>
      </c>
      <c r="JW694" s="1" t="e">
        <f t="shared" si="2058"/>
        <v>#DIV/0!</v>
      </c>
      <c r="JX694" s="19">
        <f t="shared" si="2059"/>
        <v>0</v>
      </c>
      <c r="JZ694" s="341"/>
      <c r="KA694" s="60"/>
      <c r="KB694" s="469">
        <f t="shared" si="2035"/>
        <v>0</v>
      </c>
      <c r="KI694" s="472"/>
      <c r="KJ694" s="472"/>
      <c r="KK694" s="472"/>
      <c r="KN694" s="26">
        <f t="shared" si="2036"/>
        <v>6002</v>
      </c>
      <c r="KO694" s="794">
        <f t="shared" si="2037"/>
        <v>-1</v>
      </c>
      <c r="KP694" s="795" t="e">
        <f t="shared" si="2038"/>
        <v>#DIV/0!</v>
      </c>
      <c r="KQ694" s="795" t="e">
        <f t="shared" si="2039"/>
        <v>#DIV/0!</v>
      </c>
      <c r="KR694" s="26" t="e">
        <f t="shared" si="2040"/>
        <v>#DIV/0!</v>
      </c>
      <c r="KS694" s="26" t="e">
        <f t="shared" si="2041"/>
        <v>#DIV/0!</v>
      </c>
      <c r="KT694" s="796">
        <f t="shared" si="2049"/>
        <v>4286.2445668946921</v>
      </c>
      <c r="KU694" s="797">
        <f t="shared" si="2042"/>
        <v>0</v>
      </c>
    </row>
    <row r="695" spans="1:307" s="26" customFormat="1" ht="15" outlineLevel="1">
      <c r="A695" s="561">
        <f t="shared" si="2009"/>
        <v>6095</v>
      </c>
      <c r="B695" s="561">
        <f t="shared" si="2043"/>
        <v>95</v>
      </c>
      <c r="C695" s="561">
        <f t="shared" si="2044"/>
        <v>6</v>
      </c>
      <c r="D695" s="561" t="str">
        <f t="shared" si="2108"/>
        <v/>
      </c>
      <c r="E695" s="475">
        <f>INDEX(Input!$1:$1048576,E$93,$C695*2+MIN($B695,2)+5)
+INDEX(Scenarios!E$121:E$199,MATCH($B695,Scenarios!$B$121:$B$199,0))</f>
        <v>1267.2644913000609</v>
      </c>
      <c r="F695" s="475">
        <f>INDEX(Input!$1:$1048576,F$93,$C695*2+MIN($B695,2)+5)
+INDEX(Scenarios!F$121:F$199,MATCH($B695,Scenarios!$B$121:$B$199,0))</f>
        <v>0</v>
      </c>
      <c r="G695" s="475">
        <f>INDEX(Input!$1:$1048576,G$93,$C695*2+MIN($B695,2)+5)
+INDEX(Scenarios!G$121:G$199,MATCH($B695,Scenarios!$B$121:$B$199,0))</f>
        <v>0</v>
      </c>
      <c r="H695" s="475">
        <f>INDEX(Input!$1:$1048576,H$93,$C695*2+MIN($B695,2)+5)
+INDEX(Scenarios!H$121:H$199,MATCH($B695,Scenarios!$B$121:$B$199,0))</f>
        <v>0</v>
      </c>
      <c r="I695" s="476">
        <f>INDEX(Input!$1:$1048576,I$93,$C695*2+MIN($B695,2)+5)
+INDEX(Scenarios!I$121:I$199,MATCH($B695,Scenarios!$B$121:$B$199,0))</f>
        <v>0.7</v>
      </c>
      <c r="J695" s="476" t="str">
        <f>INDEX(Input!$1:$1048576,J$93,$C695*2+MIN($B695,2)+5)</f>
        <v>Market</v>
      </c>
      <c r="K695" s="476" t="str">
        <f>INDEX(Input!$1:$1048576,K$93,$C695*2+MIN($B695,2)+5)</f>
        <v>Market</v>
      </c>
      <c r="L695" s="476" t="str">
        <f>INDEX(Input!$1:$1048576,L$93,$C695*2+MIN($B695,2)+5)</f>
        <v>Market</v>
      </c>
      <c r="M695" s="476" t="str">
        <f>INDEX(Input!$1:$1048576,M$93,$C695*2+MIN($B695,2)+5)</f>
        <v>Market</v>
      </c>
      <c r="N695" s="476" t="str">
        <f>INDEX(Input!$1:$1048576,N$93,$C695*2+MIN($B695,2)+5)</f>
        <v>Market</v>
      </c>
      <c r="O695" s="476" t="str">
        <f>INDEX(Input!$1:$1048576,O$93,$C695*2+MIN($B695,2)+5)</f>
        <v>Market</v>
      </c>
      <c r="P695" s="476" t="str">
        <f>INDEX(Input!$1:$1048576,P$93,$C695*2+MIN($B695,2)+5)</f>
        <v>N</v>
      </c>
      <c r="Q695" s="477">
        <f>INDEX(Input!$1:$1048576,Q$93,$C695*2+MIN($B695,2)+5)
+INDEX(Scenarios!Q$121:Q$199,MATCH($B695,Scenarios!$B$121:$B$199,0))</f>
        <v>0</v>
      </c>
      <c r="R695" s="478">
        <f>IFERROR(MAX(0,INDEX(Input!$1:$1048576,R$93,$C695*2+MIN($B695,2)+5)
+INDEX(Scenarios!R$121:R$199,MATCH($B695,Scenarios!$B$121:$B$199,0)),),"Market")</f>
        <v>0</v>
      </c>
      <c r="S695" s="478">
        <f>IFERROR(MAX(0,INDEX(Input!$1:$1048576,S$93,$C695*2+MIN($B695,2)+5)
+INDEX(Scenarios!S$121:S$199,MATCH($B695,Scenarios!$B$121:$B$199,0)),),"Market")</f>
        <v>0</v>
      </c>
      <c r="T695" s="478">
        <f>IFERROR(MAX(0,INDEX(Input!$1:$1048576,T$93,$C695*2+MIN($B695,2)+5)
+INDEX(Scenarios!T$121:T$199,MATCH($B695,Scenarios!$B$121:$B$199,0)),),"Market")</f>
        <v>0</v>
      </c>
      <c r="U695" s="478">
        <f>IFERROR(MAX(0,INDEX(Input!$1:$1048576,U$93,$C695*2+MIN($B695,2)+5)
+INDEX(Scenarios!U$121:U$199,MATCH($B695,Scenarios!$B$121:$B$199,0)),),"Market")</f>
        <v>0</v>
      </c>
      <c r="V695" s="478">
        <f>IFERROR(MAX(0,INDEX(Input!$1:$1048576,V$93,$C695*2+MIN($B695,2)+5)
+INDEX(Scenarios!V$121:V$199,MATCH($B695,Scenarios!$B$121:$B$199,0)),),"Market")</f>
        <v>1.9E-2</v>
      </c>
      <c r="W695" s="885">
        <f>IFERROR(MAX(0,INDEX(Input!$1:$1048576,W$93,$C695*2+MIN($B695,2)+5)-0%),"Market")</f>
        <v>3.9E-2</v>
      </c>
      <c r="X695" s="476" t="str">
        <f>INDEX(Input!$1:$1048576,X$93,$C695*2+MIN($B695,2)+5)</f>
        <v>Y</v>
      </c>
      <c r="Y695" s="475">
        <f>INDEX(Input!$1:$1048576,Y$93,$C695*2+MIN($B695,2)+5)
++INDEX(Scenarios!Y$121:Y$199,MATCH($B695,Scenarios!$B$121:$B$199,0))</f>
        <v>737.99367635402496</v>
      </c>
      <c r="Z695" s="477">
        <f>INDEX(Input!$1:$1048576,Z$93,$C695*2+MIN($B695,2)+5)
+INDEX(Scenarios!Z$121:Z$199,MATCH($B695,Scenarios!$B$121:$B$199,0))</f>
        <v>0</v>
      </c>
      <c r="AA695" s="475">
        <f>INDEX(Input!$1:$1048576,AA$93,$C695*2+MIN($B695,2)+5)</f>
        <v>0</v>
      </c>
      <c r="AB695" s="476">
        <f>INDEX(Input!$1:$1048576,AB$93,$C695*2+MIN($B695,2)+5)</f>
        <v>0.27</v>
      </c>
      <c r="AC695" s="475">
        <f>INDEX(Input!$1:$1048576,AC$93,$C695*2+MIN($B695,2)+5)
+INDEX(Scenarios!AC$121:AC$199,MATCH($B695,Scenarios!$B$121:$B$199,0))</f>
        <v>0</v>
      </c>
      <c r="AD695" s="476">
        <f>INDEX(Input!$1:$1048576,AD$93,$C695*2+MIN($B695,2)+5)</f>
        <v>0.27</v>
      </c>
      <c r="AE695" s="475">
        <f>INDEX(Input!$1:$1048576,AE$93,$C695*2+MIN($B695,2)+5)
+INDEX(Scenarios!AE$121:AE$199,MATCH($B695,Scenarios!$B$121:$B$199,0))</f>
        <v>0</v>
      </c>
      <c r="AF695" s="476">
        <f>INDEX(Input!$1:$1048576,AF$93,$C695*2+MIN($B695,2)+5)</f>
        <v>1</v>
      </c>
      <c r="AG695" s="475">
        <f>INDEX(Input!$1:$1048576,AG$93,$C695*2+MIN($B695,2)+5)</f>
        <v>500</v>
      </c>
      <c r="AH695" s="476">
        <f>INDEX(Input!$1:$1048576,AH$93,$C695*2+MIN($B695,2)+5)</f>
        <v>1</v>
      </c>
      <c r="AI695" s="475">
        <f>INDEX(Input!$1:$1048576,AI$93,$C695*2+MIN($B695,2)+5)</f>
        <v>0</v>
      </c>
      <c r="AJ695" s="476">
        <f>INDEX(Input!$1:$1048576,AJ$93,$C695*2+MIN($B695,2)+5)</f>
        <v>0.27</v>
      </c>
      <c r="AK695" s="150">
        <f>ROUND(INDEX(Input!$1:$1048576,AK$93,$C694*2+MIN($B695,1)+5)+(Y695-VLOOKUP($C695*1000+1,$A:$HH,Y$92,FALSE)),0)</f>
        <v>3061</v>
      </c>
      <c r="AL695" s="150">
        <f>ROUND(INDEX(Input!$1:$1048576,AL$93,$C694*2+MIN($B695,1)+5)-(Y695-VLOOKUP($C695*1000+1,$A:$HH,Y$92,FALSE))/36,0)</f>
        <v>3552</v>
      </c>
      <c r="AM695" s="32" t="str">
        <f t="shared" si="2010"/>
        <v>std/std/std/std</v>
      </c>
      <c r="AN695" s="32" t="str">
        <f t="shared" si="2011"/>
        <v>$0 + 0/0/0/1.9/3.9</v>
      </c>
      <c r="AO695" s="32" t="str">
        <f t="shared" si="2012"/>
        <v>0/0/0/1.9/3.9</v>
      </c>
      <c r="AP695" s="32" t="str">
        <f t="shared" si="1990"/>
        <v>0/0.9/1.9/3.9</v>
      </c>
      <c r="AQ695" s="536" t="e">
        <f t="shared" si="1991"/>
        <v>#DIV/0!</v>
      </c>
      <c r="AR695" s="32"/>
      <c r="AS695" s="302"/>
      <c r="AT695" s="3">
        <f t="shared" si="2045"/>
        <v>95</v>
      </c>
      <c r="AU695" s="41" t="s">
        <v>121</v>
      </c>
      <c r="AV695" s="41" t="s">
        <v>116</v>
      </c>
      <c r="AW695" s="41" t="str">
        <f>INDEX(Input!$1:$1048576,AW$93,$C695*2+6)</f>
        <v>Kia</v>
      </c>
      <c r="AX695" s="41" t="str">
        <f>INDEX(Input!$1:$1048576,AX$93,$C695*2+6)</f>
        <v>National</v>
      </c>
      <c r="AY695" s="41" t="str">
        <f>IF(LEN(D695)=0,"",INDEX(Input!$1:$1048576,AY$93,$C695*2+6))</f>
        <v/>
      </c>
      <c r="AZ695" s="41" t="str">
        <f>INDEX(Input!$1:$1048576,AZ$93,$C695*2+6)</f>
        <v>Kia Soul</v>
      </c>
      <c r="BA695" s="3">
        <f>INDEX(Input!$1:$1048576,BA$93,$C695*2+6)</f>
        <v>2020</v>
      </c>
      <c r="BB695" s="128">
        <f>INDEX(Input!$1:$1048576,BB$93,$C695*2+6)</f>
        <v>1</v>
      </c>
      <c r="BC695" s="128">
        <f>INDEX(Input!$1:$1048576,BC$93,$C695*2+6)</f>
        <v>0.7</v>
      </c>
      <c r="BD695" s="1">
        <f>INDEX(Input!$1:$1048576,BD$93,$C695*2+6)</f>
        <v>4.4999999999999998E-2</v>
      </c>
      <c r="BE695" s="1">
        <f>INDEX(Input!$1:$1048576,BE$93,$C695*2+6)</f>
        <v>4.4999999999999998E-2</v>
      </c>
      <c r="BF695" s="1">
        <f>INDEX(Input!$1:$1048576,BF$93,$C695*2+6)</f>
        <v>0.05</v>
      </c>
      <c r="BG695" s="1">
        <f>INDEX(Input!$1:$1048576,BG$93,$C695*2+6)</f>
        <v>5.45E-2</v>
      </c>
      <c r="BH695" s="1">
        <f>INDEX(Input!$1:$1048576,BH$93,$C695*2+6)</f>
        <v>5.45E-2</v>
      </c>
      <c r="BI695" s="1">
        <f>INDEX(Input!$1:$1048576,BI$93,$C695*2+6)</f>
        <v>0.05</v>
      </c>
      <c r="BJ695" s="1">
        <f>INDEX(Input!$1:$1048576,BJ$93,$C695*2+6)</f>
        <v>0.05</v>
      </c>
      <c r="BK695" s="1">
        <f>INDEX(Input!$1:$1048576,BK$93,$C695*2+6)</f>
        <v>0.05</v>
      </c>
      <c r="BL695" s="1">
        <f>INDEX(Input!$1:$1048576,BL$93,$C695*2+6)</f>
        <v>5.5E-2</v>
      </c>
      <c r="BM695" s="1">
        <f>INDEX(Input!$1:$1048576,BM$93,$C695*2+6)</f>
        <v>0.06</v>
      </c>
      <c r="BN695" s="1">
        <f>INDEX(Input!$1:$1048576,BN$93,$C695*2+6)</f>
        <v>4.4999999999999998E-2</v>
      </c>
      <c r="BO695" s="1">
        <f>INDEX(Input!$1:$1048576,BO$93,$C695*2+6)</f>
        <v>4.4999999999999998E-2</v>
      </c>
      <c r="BP695" s="1">
        <f>INDEX(Input!$1:$1048576,BP$93,$C695*2+6)</f>
        <v>0.05</v>
      </c>
      <c r="BQ695" s="1">
        <f>INDEX(Input!$1:$1048576,BQ$93,$C695*2+6)</f>
        <v>5.45E-2</v>
      </c>
      <c r="BR695" s="1">
        <f>INDEX(Input!$1:$1048576,BR$93,$C695*2+6)</f>
        <v>5.45E-2</v>
      </c>
      <c r="BS695" s="1">
        <f>INDEX(Input!$1:$1048576,BS$93,$C695*2+6)</f>
        <v>0.05</v>
      </c>
      <c r="BT695" s="1">
        <f>INDEX(Input!$1:$1048576,BT$93,$C695*2+6)</f>
        <v>0.05</v>
      </c>
      <c r="BU695" s="1">
        <f>INDEX(Input!$1:$1048576,BU$93,$C695*2+6)</f>
        <v>0.05</v>
      </c>
      <c r="BV695" s="1">
        <f>INDEX(Input!$1:$1048576,BV$93,$C695*2+6)</f>
        <v>5.5E-2</v>
      </c>
      <c r="BW695" s="1">
        <f>INDEX(Input!$1:$1048576,BW$93,$C695*2+6)</f>
        <v>0.06</v>
      </c>
      <c r="BX695" s="127">
        <f>INDEX(Input!$1:$1048576,BX$93,$C695*2+6)</f>
        <v>19985</v>
      </c>
      <c r="BY695" s="20">
        <f>INDEX(Input!$1:$1048576,BY$93,$C695*2+6)</f>
        <v>0.1</v>
      </c>
      <c r="BZ695" s="20">
        <f>INDEX(Input!$1:$1048576,BZ$93,$C695*2+6)</f>
        <v>0.1</v>
      </c>
      <c r="CA695" s="20">
        <f>INDEX(Input!$1:$1048576,CA$93,$C695*2+6)</f>
        <v>0.1</v>
      </c>
      <c r="CB695" s="20">
        <f>INDEX(Input!$1:$1048576,CB$93,$C695*2+6)</f>
        <v>0.1</v>
      </c>
      <c r="CC695" s="20">
        <f>INDEX(Input!$1:$1048576,CC$93,$C695*2+6)</f>
        <v>0.1</v>
      </c>
      <c r="CD695" s="384">
        <f>INDEX(Input!$1:$1048576,CD$93,$C695*2+6)</f>
        <v>0.1</v>
      </c>
      <c r="CE695" s="384">
        <f>INDEX(Input!$1:$1048576,CE$93,$C695*2+6)</f>
        <v>0.1</v>
      </c>
      <c r="CF695" s="384">
        <f>INDEX(Input!$1:$1048576,CF$93,$C695*2+6)</f>
        <v>0.1</v>
      </c>
      <c r="CG695" s="384">
        <f>INDEX(Input!$1:$1048576,CG$93,$C695*2+6)</f>
        <v>0.1</v>
      </c>
      <c r="CH695" s="384">
        <f>INDEX(Input!$1:$1048576,CH$93,$C695*2+6)</f>
        <v>0.1</v>
      </c>
      <c r="CI695" s="304">
        <f t="shared" si="1992"/>
        <v>1267.2644913000609</v>
      </c>
      <c r="CJ695" s="16" t="str">
        <f>INDEX(Input!$1:$1048576,CJ$93,$C695*2+6)</f>
        <v>N</v>
      </c>
      <c r="CK695" s="1" t="str">
        <f t="shared" si="1993"/>
        <v>Market</v>
      </c>
      <c r="CL695" s="1" t="str">
        <f t="shared" si="1994"/>
        <v>Market</v>
      </c>
      <c r="CM695" s="1" t="str">
        <f t="shared" si="1995"/>
        <v>Market</v>
      </c>
      <c r="CN695" s="1" t="str">
        <f t="shared" si="1996"/>
        <v>Market</v>
      </c>
      <c r="CO695" s="1" t="str">
        <f t="shared" si="1997"/>
        <v>Market</v>
      </c>
      <c r="CP695" s="304">
        <f t="shared" si="1998"/>
        <v>500</v>
      </c>
      <c r="CQ695" s="1">
        <f t="shared" si="1999"/>
        <v>0</v>
      </c>
      <c r="CR695" s="1">
        <f t="shared" si="2000"/>
        <v>0</v>
      </c>
      <c r="CS695" s="1">
        <f t="shared" si="2001"/>
        <v>0</v>
      </c>
      <c r="CT695" s="1">
        <f t="shared" si="2002"/>
        <v>1.9E-2</v>
      </c>
      <c r="CU695" s="1">
        <f t="shared" si="2003"/>
        <v>3.9E-2</v>
      </c>
      <c r="CV695" s="304">
        <f t="shared" si="2004"/>
        <v>737.99367635402496</v>
      </c>
      <c r="CW695" s="20" t="s">
        <v>122</v>
      </c>
      <c r="CX695" s="20" t="s">
        <v>122</v>
      </c>
      <c r="CY695" s="20" t="s">
        <v>122</v>
      </c>
      <c r="CZ695" s="20" t="s">
        <v>122</v>
      </c>
      <c r="DA695" s="20" t="s">
        <v>122</v>
      </c>
      <c r="DB695" s="503">
        <f t="shared" si="2005"/>
        <v>0</v>
      </c>
      <c r="DC695" s="127">
        <v>0</v>
      </c>
      <c r="DD695" s="127">
        <v>0</v>
      </c>
      <c r="DE695" s="127">
        <v>0</v>
      </c>
      <c r="DF695" s="127">
        <v>0</v>
      </c>
      <c r="DG695" s="127">
        <v>0</v>
      </c>
      <c r="DH695" s="127">
        <v>0</v>
      </c>
      <c r="DI695" s="127">
        <v>0</v>
      </c>
      <c r="DJ695" s="127">
        <v>0</v>
      </c>
      <c r="DK695" s="127">
        <v>0</v>
      </c>
      <c r="DL695" s="127">
        <v>0</v>
      </c>
      <c r="DM695" s="304">
        <f>INDEX(Input!$1:$1048576,DM$93,$C695*2+6)</f>
        <v>21036.84210526316</v>
      </c>
      <c r="DN695" s="20">
        <v>0</v>
      </c>
      <c r="DO695" s="20">
        <v>0</v>
      </c>
      <c r="DP695" s="20">
        <v>0</v>
      </c>
      <c r="DQ695" s="20">
        <v>0</v>
      </c>
      <c r="DR695" s="20">
        <v>0</v>
      </c>
      <c r="DS695" s="20">
        <f>INDEX(Input!$1:$1048576,DS$93,$C695*2+6)</f>
        <v>0.6</v>
      </c>
      <c r="DT695" s="20">
        <f>INDEX(Input!$1:$1048576,DT$93,$C695*2+6)</f>
        <v>0.55000000000000004</v>
      </c>
      <c r="DU695" s="20">
        <f>INDEX(Input!$1:$1048576,DU$93,$C695*2+6)</f>
        <v>0.52</v>
      </c>
      <c r="DV695" s="20">
        <f>INDEX(Input!$1:$1048576,DV$93,$C695*2+6)</f>
        <v>0.5</v>
      </c>
      <c r="DW695" s="20">
        <f>INDEX(Input!$1:$1048576,DW$93,$C695*2+6)</f>
        <v>0.45</v>
      </c>
      <c r="DX695" s="20"/>
      <c r="DY695" s="7"/>
      <c r="DZ695" s="7"/>
      <c r="EA695" s="7"/>
      <c r="EB695" s="7"/>
      <c r="EC695" s="7"/>
      <c r="ED695" s="7"/>
      <c r="EE695" s="7"/>
      <c r="EF695" s="7"/>
      <c r="EG695" s="7"/>
      <c r="EH695" s="7"/>
      <c r="EI695" s="7"/>
      <c r="EJ695" s="7"/>
      <c r="EK695" s="7"/>
      <c r="EL695" s="7"/>
      <c r="EM695" s="7"/>
      <c r="EN695" s="7"/>
      <c r="EO695" s="7"/>
      <c r="EP695" s="7"/>
      <c r="EQ695" s="7"/>
      <c r="ER695" s="7"/>
      <c r="ES695" s="7"/>
      <c r="ET695" s="7"/>
      <c r="EU695" s="6"/>
      <c r="EV695" s="6"/>
      <c r="EW695" s="6"/>
      <c r="EX695" s="6"/>
      <c r="EY695" s="6"/>
      <c r="EZ695" s="6"/>
      <c r="FA695" s="6"/>
      <c r="FB695" s="6"/>
      <c r="FC695" s="6"/>
      <c r="FD695" s="6"/>
      <c r="FE695" s="6"/>
      <c r="FF695" s="6"/>
      <c r="FG695" s="6"/>
      <c r="FH695" s="6"/>
      <c r="FI695" s="6"/>
      <c r="FJ695" s="6"/>
      <c r="FK695" s="6"/>
      <c r="FL695" s="6"/>
      <c r="FM695" s="6"/>
      <c r="FN695" s="6"/>
      <c r="FO695" s="6"/>
      <c r="FP695" s="6"/>
      <c r="FQ695" s="6"/>
      <c r="FR695" s="6"/>
      <c r="FS695" s="6"/>
      <c r="FT695" s="7"/>
      <c r="FU695" s="7"/>
      <c r="FV695" s="7"/>
      <c r="FW695" s="6"/>
      <c r="FX695" s="6"/>
      <c r="FY695" s="6"/>
      <c r="FZ695" s="6"/>
      <c r="GA695" s="6"/>
      <c r="GB695" s="6"/>
      <c r="GC695" s="7"/>
      <c r="GD695" s="7"/>
      <c r="GE695" s="7"/>
      <c r="GF695" s="7"/>
      <c r="GG695" s="7"/>
      <c r="GH695" s="42"/>
      <c r="GI695" s="6"/>
      <c r="GJ695" s="14"/>
      <c r="GK695" s="14"/>
      <c r="GL695" s="14"/>
      <c r="GM695" s="14"/>
      <c r="GO695" s="5"/>
      <c r="GP695" s="5"/>
      <c r="GQ695" s="5"/>
      <c r="GR695" s="5"/>
      <c r="GS695" s="5"/>
      <c r="GT695" s="5"/>
      <c r="GU695" s="5"/>
      <c r="GV695" s="39"/>
      <c r="GW695" s="5"/>
      <c r="GX695" s="5"/>
      <c r="GY695" s="5"/>
      <c r="GZ695" s="5"/>
      <c r="HA695" s="5"/>
      <c r="HB695" s="39"/>
      <c r="HC695" s="5"/>
      <c r="HD695" s="5"/>
      <c r="HE695" s="5"/>
      <c r="HF695" s="5"/>
      <c r="HG695" s="5"/>
      <c r="HH695" s="39"/>
      <c r="HI695" s="16"/>
      <c r="HJ695" s="19"/>
      <c r="HK695" s="1"/>
      <c r="HL695" s="16"/>
      <c r="HM695" s="639" t="e">
        <f t="shared" si="2013"/>
        <v>#DIV/0!</v>
      </c>
      <c r="HN695" s="639" t="e">
        <f t="shared" si="2014"/>
        <v>#DIV/0!</v>
      </c>
      <c r="HO695" s="639" t="e">
        <f t="shared" si="2015"/>
        <v>#DIV/0!</v>
      </c>
      <c r="HP695" s="644">
        <f t="shared" ref="HP695:ID695" si="2139">HP195+HP295+HP395+HP495+HP595</f>
        <v>0</v>
      </c>
      <c r="HQ695" s="644">
        <f t="shared" si="2139"/>
        <v>0</v>
      </c>
      <c r="HR695" s="644">
        <f t="shared" si="2139"/>
        <v>0</v>
      </c>
      <c r="HS695" s="644">
        <f t="shared" si="2139"/>
        <v>0</v>
      </c>
      <c r="HT695" s="644">
        <f t="shared" si="2139"/>
        <v>0</v>
      </c>
      <c r="HU695" s="644">
        <f t="shared" si="2139"/>
        <v>0</v>
      </c>
      <c r="HV695" s="644">
        <f t="shared" si="2139"/>
        <v>0</v>
      </c>
      <c r="HW695" s="644">
        <f t="shared" si="2139"/>
        <v>0</v>
      </c>
      <c r="HX695" s="644">
        <f t="shared" si="2139"/>
        <v>0</v>
      </c>
      <c r="HY695" s="644">
        <f t="shared" si="2139"/>
        <v>0</v>
      </c>
      <c r="HZ695" s="644">
        <f t="shared" si="2139"/>
        <v>0</v>
      </c>
      <c r="IA695" s="644">
        <f t="shared" si="2139"/>
        <v>0</v>
      </c>
      <c r="IB695" s="644">
        <f t="shared" si="2139"/>
        <v>0</v>
      </c>
      <c r="IC695" s="644">
        <f t="shared" si="2139"/>
        <v>0</v>
      </c>
      <c r="ID695" s="644">
        <f t="shared" si="2139"/>
        <v>0</v>
      </c>
      <c r="IE695" s="20" t="e">
        <f t="shared" si="2017"/>
        <v>#DIV/0!</v>
      </c>
      <c r="IF695" s="20" t="e">
        <f t="shared" si="2018"/>
        <v>#DIV/0!</v>
      </c>
      <c r="IG695" s="20" t="e">
        <f t="shared" si="2019"/>
        <v>#DIV/0!</v>
      </c>
      <c r="IH695" s="21"/>
      <c r="II695" s="19"/>
      <c r="IJ695" s="19"/>
      <c r="IK695" s="19"/>
      <c r="IL695" s="19" t="e">
        <f t="shared" si="2020"/>
        <v>#DIV/0!</v>
      </c>
      <c r="IM695" s="19" t="e">
        <f t="shared" si="2021"/>
        <v>#DIV/0!</v>
      </c>
      <c r="IN695" s="19" t="e">
        <f t="shared" si="2022"/>
        <v>#DIV/0!</v>
      </c>
      <c r="IO695" s="39"/>
      <c r="IP695" s="39"/>
      <c r="IQ695" s="39"/>
      <c r="IR695" s="39"/>
      <c r="IS695" s="39"/>
      <c r="IT695" s="39"/>
      <c r="IU695" s="39"/>
      <c r="IV695" s="39"/>
      <c r="IW695" s="39"/>
      <c r="IX695" s="19" t="e">
        <f t="shared" si="2023"/>
        <v>#DIV/0!</v>
      </c>
      <c r="IY695" s="19" t="e">
        <f t="shared" si="2024"/>
        <v>#DIV/0!</v>
      </c>
      <c r="IZ695" s="19" t="e">
        <f t="shared" si="2025"/>
        <v>#DIV/0!</v>
      </c>
      <c r="JA695" s="19">
        <f t="shared" ref="JA695:JC695" si="2140">IFERROR((JA195*IB195+JA295*IB295+JA395*IB395+JA495*IB495+JA595*IB595)/IB695,0)</f>
        <v>0</v>
      </c>
      <c r="JB695" s="19">
        <f t="shared" si="2140"/>
        <v>0</v>
      </c>
      <c r="JC695" s="19">
        <f t="shared" si="2140"/>
        <v>0</v>
      </c>
      <c r="JD695" s="19" t="e">
        <f t="shared" si="2027"/>
        <v>#DIV/0!</v>
      </c>
      <c r="JE695" s="21"/>
      <c r="JF695" s="1" t="e">
        <f t="shared" si="2028"/>
        <v>#DIV/0!</v>
      </c>
      <c r="JG695" s="15">
        <f t="shared" si="2029"/>
        <v>0</v>
      </c>
      <c r="JH695" s="1" t="e">
        <f t="shared" si="2030"/>
        <v>#DIV/0!</v>
      </c>
      <c r="JI695" s="1" t="e">
        <f t="shared" si="2031"/>
        <v>#DIV/0!</v>
      </c>
      <c r="JJ695" s="1" t="e">
        <f t="shared" si="2032"/>
        <v>#DIV/0!</v>
      </c>
      <c r="JK695" s="1" t="e">
        <f t="shared" si="2033"/>
        <v>#DIV/0!</v>
      </c>
      <c r="JL695" s="15">
        <f t="shared" ref="JL695:JM695" si="2141">JL195+JL295+JL395+JL495+JL595</f>
        <v>0</v>
      </c>
      <c r="JM695" s="15">
        <f t="shared" si="2141"/>
        <v>0</v>
      </c>
      <c r="JN695" s="21"/>
      <c r="JO695" s="19">
        <f>INDEX(Input!$1:$1048576,JO$93,$C695*2+6)</f>
        <v>5995.5</v>
      </c>
      <c r="JP695" s="19">
        <f>INDEX(Input!$1:$1048576,JP$93,$C695*2+6)</f>
        <v>2296.6050414551746</v>
      </c>
      <c r="JQ695" s="39" t="e">
        <f t="shared" si="2053"/>
        <v>#DIV/0!</v>
      </c>
      <c r="JR695" s="39" t="e">
        <f t="shared" si="2054"/>
        <v>#DIV/0!</v>
      </c>
      <c r="JS695" s="39" t="e">
        <f t="shared" si="2055"/>
        <v>#DIV/0!</v>
      </c>
      <c r="JT695" s="39" t="e">
        <f t="shared" si="2056"/>
        <v>#DIV/0!</v>
      </c>
      <c r="JU695" s="385" t="e">
        <f>(JQ695*JM695-INDEX(Input!$1:$1048576,Input!A$18,$C695*2+6)*JL695*INDEX(Input!$1:$1048576,Input!A$19,$C695*2+6))/1000000</f>
        <v>#DIV/0!</v>
      </c>
      <c r="JV695" s="39" t="e">
        <f t="shared" si="2057"/>
        <v>#DIV/0!</v>
      </c>
      <c r="JW695" s="1" t="e">
        <f t="shared" si="2058"/>
        <v>#DIV/0!</v>
      </c>
      <c r="JX695" s="19">
        <f t="shared" si="2059"/>
        <v>0</v>
      </c>
      <c r="JZ695" s="341"/>
      <c r="KA695" s="60"/>
      <c r="KB695" s="469">
        <f t="shared" si="2035"/>
        <v>0</v>
      </c>
      <c r="KI695" s="472"/>
      <c r="KJ695" s="472"/>
      <c r="KK695" s="472"/>
      <c r="KN695" s="26">
        <f t="shared" si="2036"/>
        <v>6002</v>
      </c>
      <c r="KO695" s="794">
        <f t="shared" si="2037"/>
        <v>-1</v>
      </c>
      <c r="KP695" s="795" t="e">
        <f t="shared" si="2038"/>
        <v>#DIV/0!</v>
      </c>
      <c r="KQ695" s="795" t="e">
        <f t="shared" si="2039"/>
        <v>#DIV/0!</v>
      </c>
      <c r="KR695" s="26" t="e">
        <f t="shared" si="2040"/>
        <v>#DIV/0!</v>
      </c>
      <c r="KS695" s="26" t="e">
        <f t="shared" si="2041"/>
        <v>#DIV/0!</v>
      </c>
      <c r="KT695" s="796">
        <f t="shared" si="2049"/>
        <v>4286.2445668946921</v>
      </c>
      <c r="KU695" s="797">
        <f t="shared" si="2042"/>
        <v>0</v>
      </c>
    </row>
    <row r="696" spans="1:307" s="26" customFormat="1" ht="15" outlineLevel="1">
      <c r="A696" s="561">
        <f t="shared" si="2009"/>
        <v>6096</v>
      </c>
      <c r="B696" s="561">
        <f t="shared" si="2043"/>
        <v>96</v>
      </c>
      <c r="C696" s="561">
        <f t="shared" si="2044"/>
        <v>6</v>
      </c>
      <c r="D696" s="561" t="str">
        <f t="shared" si="2108"/>
        <v/>
      </c>
      <c r="E696" s="475">
        <f>INDEX(Input!$1:$1048576,E$93,$C696*2+MIN($B696,2)+5)
+INDEX(Scenarios!E$121:E$199,MATCH($B696,Scenarios!$B$121:$B$199,0))</f>
        <v>1267.2644913000609</v>
      </c>
      <c r="F696" s="475">
        <f>INDEX(Input!$1:$1048576,F$93,$C696*2+MIN($B696,2)+5)
+INDEX(Scenarios!F$121:F$199,MATCH($B696,Scenarios!$B$121:$B$199,0))</f>
        <v>0</v>
      </c>
      <c r="G696" s="475">
        <f>INDEX(Input!$1:$1048576,G$93,$C696*2+MIN($B696,2)+5)
+INDEX(Scenarios!G$121:G$199,MATCH($B696,Scenarios!$B$121:$B$199,0))</f>
        <v>0</v>
      </c>
      <c r="H696" s="475">
        <f>INDEX(Input!$1:$1048576,H$93,$C696*2+MIN($B696,2)+5)
+INDEX(Scenarios!H$121:H$199,MATCH($B696,Scenarios!$B$121:$B$199,0))</f>
        <v>0</v>
      </c>
      <c r="I696" s="476">
        <f>INDEX(Input!$1:$1048576,I$93,$C696*2+MIN($B696,2)+5)
+INDEX(Scenarios!I$121:I$199,MATCH($B696,Scenarios!$B$121:$B$199,0))</f>
        <v>0.7</v>
      </c>
      <c r="J696" s="476" t="str">
        <f>INDEX(Input!$1:$1048576,J$93,$C696*2+MIN($B696,2)+5)</f>
        <v>Market</v>
      </c>
      <c r="K696" s="476" t="str">
        <f>INDEX(Input!$1:$1048576,K$93,$C696*2+MIN($B696,2)+5)</f>
        <v>Market</v>
      </c>
      <c r="L696" s="476" t="str">
        <f>INDEX(Input!$1:$1048576,L$93,$C696*2+MIN($B696,2)+5)</f>
        <v>Market</v>
      </c>
      <c r="M696" s="476" t="str">
        <f>INDEX(Input!$1:$1048576,M$93,$C696*2+MIN($B696,2)+5)</f>
        <v>Market</v>
      </c>
      <c r="N696" s="476" t="str">
        <f>INDEX(Input!$1:$1048576,N$93,$C696*2+MIN($B696,2)+5)</f>
        <v>Market</v>
      </c>
      <c r="O696" s="476" t="str">
        <f>INDEX(Input!$1:$1048576,O$93,$C696*2+MIN($B696,2)+5)</f>
        <v>Market</v>
      </c>
      <c r="P696" s="476" t="str">
        <f>INDEX(Input!$1:$1048576,P$93,$C696*2+MIN($B696,2)+5)</f>
        <v>N</v>
      </c>
      <c r="Q696" s="477">
        <f>INDEX(Input!$1:$1048576,Q$93,$C696*2+MIN($B696,2)+5)
+INDEX(Scenarios!Q$121:Q$199,MATCH($B696,Scenarios!$B$121:$B$199,0))</f>
        <v>0</v>
      </c>
      <c r="R696" s="478">
        <f>IFERROR(MAX(0,INDEX(Input!$1:$1048576,R$93,$C696*2+MIN($B696,2)+5)
+INDEX(Scenarios!R$121:R$199,MATCH($B696,Scenarios!$B$121:$B$199,0)),),"Market")</f>
        <v>0</v>
      </c>
      <c r="S696" s="478">
        <f>IFERROR(MAX(0,INDEX(Input!$1:$1048576,S$93,$C696*2+MIN($B696,2)+5)
+INDEX(Scenarios!S$121:S$199,MATCH($B696,Scenarios!$B$121:$B$199,0)),),"Market")</f>
        <v>0</v>
      </c>
      <c r="T696" s="478">
        <f>IFERROR(MAX(0,INDEX(Input!$1:$1048576,T$93,$C696*2+MIN($B696,2)+5)
+INDEX(Scenarios!T$121:T$199,MATCH($B696,Scenarios!$B$121:$B$199,0)),),"Market")</f>
        <v>0</v>
      </c>
      <c r="U696" s="478">
        <f>IFERROR(MAX(0,INDEX(Input!$1:$1048576,U$93,$C696*2+MIN($B696,2)+5)
+INDEX(Scenarios!U$121:U$199,MATCH($B696,Scenarios!$B$121:$B$199,0)),),"Market")</f>
        <v>0</v>
      </c>
      <c r="V696" s="478">
        <f>IFERROR(MAX(0,INDEX(Input!$1:$1048576,V$93,$C696*2+MIN($B696,2)+5)
+INDEX(Scenarios!V$121:V$199,MATCH($B696,Scenarios!$B$121:$B$199,0)),),"Market")</f>
        <v>1.9E-2</v>
      </c>
      <c r="W696" s="885">
        <f>IFERROR(MAX(0,INDEX(Input!$1:$1048576,W$93,$C696*2+MIN($B696,2)+5)-0%),"Market")</f>
        <v>3.9E-2</v>
      </c>
      <c r="X696" s="476" t="str">
        <f>INDEX(Input!$1:$1048576,X$93,$C696*2+MIN($B696,2)+5)</f>
        <v>Y</v>
      </c>
      <c r="Y696" s="475">
        <f>INDEX(Input!$1:$1048576,Y$93,$C696*2+MIN($B696,2)+5)
++INDEX(Scenarios!Y$121:Y$199,MATCH($B696,Scenarios!$B$121:$B$199,0))</f>
        <v>737.99367635402496</v>
      </c>
      <c r="Z696" s="477">
        <f>INDEX(Input!$1:$1048576,Z$93,$C696*2+MIN($B696,2)+5)
+INDEX(Scenarios!Z$121:Z$199,MATCH($B696,Scenarios!$B$121:$B$199,0))</f>
        <v>0</v>
      </c>
      <c r="AA696" s="475">
        <f>INDEX(Input!$1:$1048576,AA$93,$C696*2+MIN($B696,2)+5)</f>
        <v>0</v>
      </c>
      <c r="AB696" s="476">
        <f>INDEX(Input!$1:$1048576,AB$93,$C696*2+MIN($B696,2)+5)</f>
        <v>0.27</v>
      </c>
      <c r="AC696" s="475">
        <f>INDEX(Input!$1:$1048576,AC$93,$C696*2+MIN($B696,2)+5)
+INDEX(Scenarios!AC$121:AC$199,MATCH($B696,Scenarios!$B$121:$B$199,0))</f>
        <v>0</v>
      </c>
      <c r="AD696" s="476">
        <f>INDEX(Input!$1:$1048576,AD$93,$C696*2+MIN($B696,2)+5)</f>
        <v>0.27</v>
      </c>
      <c r="AE696" s="475">
        <f>INDEX(Input!$1:$1048576,AE$93,$C696*2+MIN($B696,2)+5)
+INDEX(Scenarios!AE$121:AE$199,MATCH($B696,Scenarios!$B$121:$B$199,0))</f>
        <v>0</v>
      </c>
      <c r="AF696" s="476">
        <f>INDEX(Input!$1:$1048576,AF$93,$C696*2+MIN($B696,2)+5)</f>
        <v>1</v>
      </c>
      <c r="AG696" s="475">
        <f>INDEX(Input!$1:$1048576,AG$93,$C696*2+MIN($B696,2)+5)</f>
        <v>500</v>
      </c>
      <c r="AH696" s="476">
        <f>INDEX(Input!$1:$1048576,AH$93,$C696*2+MIN($B696,2)+5)</f>
        <v>1</v>
      </c>
      <c r="AI696" s="475">
        <f>INDEX(Input!$1:$1048576,AI$93,$C696*2+MIN($B696,2)+5)</f>
        <v>0</v>
      </c>
      <c r="AJ696" s="476">
        <f>INDEX(Input!$1:$1048576,AJ$93,$C696*2+MIN($B696,2)+5)</f>
        <v>0.27</v>
      </c>
      <c r="AK696" s="150">
        <f>ROUND(INDEX(Input!$1:$1048576,AK$93,$C695*2+MIN($B696,1)+5)+(Y696-VLOOKUP($C696*1000+1,$A:$HH,Y$92,FALSE)),0)</f>
        <v>3061</v>
      </c>
      <c r="AL696" s="150">
        <f>ROUND(INDEX(Input!$1:$1048576,AL$93,$C695*2+MIN($B696,1)+5)-(Y696-VLOOKUP($C696*1000+1,$A:$HH,Y$92,FALSE))/36,0)</f>
        <v>3552</v>
      </c>
      <c r="AM696" s="32" t="str">
        <f t="shared" si="2010"/>
        <v>std/std/std/std</v>
      </c>
      <c r="AN696" s="32" t="str">
        <f t="shared" si="2011"/>
        <v>$0 + 0/0/0/1.9/3.9</v>
      </c>
      <c r="AO696" s="32" t="str">
        <f t="shared" si="2012"/>
        <v>0/0/0/1.9/3.9</v>
      </c>
      <c r="AP696" s="32" t="str">
        <f t="shared" si="1990"/>
        <v>0/0.9/1.9/3.9</v>
      </c>
      <c r="AQ696" s="536" t="e">
        <f t="shared" si="1991"/>
        <v>#DIV/0!</v>
      </c>
      <c r="AR696" s="32"/>
      <c r="AS696" s="302"/>
      <c r="AT696" s="3">
        <f t="shared" si="2045"/>
        <v>96</v>
      </c>
      <c r="AU696" s="41" t="s">
        <v>121</v>
      </c>
      <c r="AV696" s="41" t="s">
        <v>116</v>
      </c>
      <c r="AW696" s="41" t="str">
        <f>INDEX(Input!$1:$1048576,AW$93,$C696*2+6)</f>
        <v>Kia</v>
      </c>
      <c r="AX696" s="41" t="str">
        <f>INDEX(Input!$1:$1048576,AX$93,$C696*2+6)</f>
        <v>National</v>
      </c>
      <c r="AY696" s="41" t="str">
        <f>IF(LEN(D696)=0,"",INDEX(Input!$1:$1048576,AY$93,$C696*2+6))</f>
        <v/>
      </c>
      <c r="AZ696" s="41" t="str">
        <f>INDEX(Input!$1:$1048576,AZ$93,$C696*2+6)</f>
        <v>Kia Soul</v>
      </c>
      <c r="BA696" s="3">
        <f>INDEX(Input!$1:$1048576,BA$93,$C696*2+6)</f>
        <v>2020</v>
      </c>
      <c r="BB696" s="128">
        <f>INDEX(Input!$1:$1048576,BB$93,$C696*2+6)</f>
        <v>1</v>
      </c>
      <c r="BC696" s="128">
        <f>INDEX(Input!$1:$1048576,BC$93,$C696*2+6)</f>
        <v>0.7</v>
      </c>
      <c r="BD696" s="1">
        <f>INDEX(Input!$1:$1048576,BD$93,$C696*2+6)</f>
        <v>4.4999999999999998E-2</v>
      </c>
      <c r="BE696" s="1">
        <f>INDEX(Input!$1:$1048576,BE$93,$C696*2+6)</f>
        <v>4.4999999999999998E-2</v>
      </c>
      <c r="BF696" s="1">
        <f>INDEX(Input!$1:$1048576,BF$93,$C696*2+6)</f>
        <v>0.05</v>
      </c>
      <c r="BG696" s="1">
        <f>INDEX(Input!$1:$1048576,BG$93,$C696*2+6)</f>
        <v>5.45E-2</v>
      </c>
      <c r="BH696" s="1">
        <f>INDEX(Input!$1:$1048576,BH$93,$C696*2+6)</f>
        <v>5.45E-2</v>
      </c>
      <c r="BI696" s="1">
        <f>INDEX(Input!$1:$1048576,BI$93,$C696*2+6)</f>
        <v>0.05</v>
      </c>
      <c r="BJ696" s="1">
        <f>INDEX(Input!$1:$1048576,BJ$93,$C696*2+6)</f>
        <v>0.05</v>
      </c>
      <c r="BK696" s="1">
        <f>INDEX(Input!$1:$1048576,BK$93,$C696*2+6)</f>
        <v>0.05</v>
      </c>
      <c r="BL696" s="1">
        <f>INDEX(Input!$1:$1048576,BL$93,$C696*2+6)</f>
        <v>5.5E-2</v>
      </c>
      <c r="BM696" s="1">
        <f>INDEX(Input!$1:$1048576,BM$93,$C696*2+6)</f>
        <v>0.06</v>
      </c>
      <c r="BN696" s="1">
        <f>INDEX(Input!$1:$1048576,BN$93,$C696*2+6)</f>
        <v>4.4999999999999998E-2</v>
      </c>
      <c r="BO696" s="1">
        <f>INDEX(Input!$1:$1048576,BO$93,$C696*2+6)</f>
        <v>4.4999999999999998E-2</v>
      </c>
      <c r="BP696" s="1">
        <f>INDEX(Input!$1:$1048576,BP$93,$C696*2+6)</f>
        <v>0.05</v>
      </c>
      <c r="BQ696" s="1">
        <f>INDEX(Input!$1:$1048576,BQ$93,$C696*2+6)</f>
        <v>5.45E-2</v>
      </c>
      <c r="BR696" s="1">
        <f>INDEX(Input!$1:$1048576,BR$93,$C696*2+6)</f>
        <v>5.45E-2</v>
      </c>
      <c r="BS696" s="1">
        <f>INDEX(Input!$1:$1048576,BS$93,$C696*2+6)</f>
        <v>0.05</v>
      </c>
      <c r="BT696" s="1">
        <f>INDEX(Input!$1:$1048576,BT$93,$C696*2+6)</f>
        <v>0.05</v>
      </c>
      <c r="BU696" s="1">
        <f>INDEX(Input!$1:$1048576,BU$93,$C696*2+6)</f>
        <v>0.05</v>
      </c>
      <c r="BV696" s="1">
        <f>INDEX(Input!$1:$1048576,BV$93,$C696*2+6)</f>
        <v>5.5E-2</v>
      </c>
      <c r="BW696" s="1">
        <f>INDEX(Input!$1:$1048576,BW$93,$C696*2+6)</f>
        <v>0.06</v>
      </c>
      <c r="BX696" s="127">
        <f>INDEX(Input!$1:$1048576,BX$93,$C696*2+6)</f>
        <v>19985</v>
      </c>
      <c r="BY696" s="20">
        <f>INDEX(Input!$1:$1048576,BY$93,$C696*2+6)</f>
        <v>0.1</v>
      </c>
      <c r="BZ696" s="20">
        <f>INDEX(Input!$1:$1048576,BZ$93,$C696*2+6)</f>
        <v>0.1</v>
      </c>
      <c r="CA696" s="20">
        <f>INDEX(Input!$1:$1048576,CA$93,$C696*2+6)</f>
        <v>0.1</v>
      </c>
      <c r="CB696" s="20">
        <f>INDEX(Input!$1:$1048576,CB$93,$C696*2+6)</f>
        <v>0.1</v>
      </c>
      <c r="CC696" s="20">
        <f>INDEX(Input!$1:$1048576,CC$93,$C696*2+6)</f>
        <v>0.1</v>
      </c>
      <c r="CD696" s="384">
        <f>INDEX(Input!$1:$1048576,CD$93,$C696*2+6)</f>
        <v>0.1</v>
      </c>
      <c r="CE696" s="384">
        <f>INDEX(Input!$1:$1048576,CE$93,$C696*2+6)</f>
        <v>0.1</v>
      </c>
      <c r="CF696" s="384">
        <f>INDEX(Input!$1:$1048576,CF$93,$C696*2+6)</f>
        <v>0.1</v>
      </c>
      <c r="CG696" s="384">
        <f>INDEX(Input!$1:$1048576,CG$93,$C696*2+6)</f>
        <v>0.1</v>
      </c>
      <c r="CH696" s="384">
        <f>INDEX(Input!$1:$1048576,CH$93,$C696*2+6)</f>
        <v>0.1</v>
      </c>
      <c r="CI696" s="304">
        <f t="shared" si="1992"/>
        <v>1267.2644913000609</v>
      </c>
      <c r="CJ696" s="16" t="str">
        <f>INDEX(Input!$1:$1048576,CJ$93,$C696*2+6)</f>
        <v>N</v>
      </c>
      <c r="CK696" s="1" t="str">
        <f t="shared" si="1993"/>
        <v>Market</v>
      </c>
      <c r="CL696" s="1" t="str">
        <f t="shared" si="1994"/>
        <v>Market</v>
      </c>
      <c r="CM696" s="1" t="str">
        <f t="shared" si="1995"/>
        <v>Market</v>
      </c>
      <c r="CN696" s="1" t="str">
        <f t="shared" si="1996"/>
        <v>Market</v>
      </c>
      <c r="CO696" s="1" t="str">
        <f t="shared" si="1997"/>
        <v>Market</v>
      </c>
      <c r="CP696" s="304">
        <f t="shared" si="1998"/>
        <v>500</v>
      </c>
      <c r="CQ696" s="1">
        <f t="shared" si="1999"/>
        <v>0</v>
      </c>
      <c r="CR696" s="1">
        <f t="shared" si="2000"/>
        <v>0</v>
      </c>
      <c r="CS696" s="1">
        <f t="shared" si="2001"/>
        <v>0</v>
      </c>
      <c r="CT696" s="1">
        <f t="shared" si="2002"/>
        <v>1.9E-2</v>
      </c>
      <c r="CU696" s="1">
        <f t="shared" si="2003"/>
        <v>3.9E-2</v>
      </c>
      <c r="CV696" s="304">
        <f t="shared" si="2004"/>
        <v>737.99367635402496</v>
      </c>
      <c r="CW696" s="20" t="s">
        <v>122</v>
      </c>
      <c r="CX696" s="20" t="s">
        <v>122</v>
      </c>
      <c r="CY696" s="20" t="s">
        <v>122</v>
      </c>
      <c r="CZ696" s="20" t="s">
        <v>122</v>
      </c>
      <c r="DA696" s="20" t="s">
        <v>122</v>
      </c>
      <c r="DB696" s="503">
        <f t="shared" si="2005"/>
        <v>0</v>
      </c>
      <c r="DC696" s="127">
        <v>0</v>
      </c>
      <c r="DD696" s="127">
        <v>0</v>
      </c>
      <c r="DE696" s="127">
        <v>0</v>
      </c>
      <c r="DF696" s="127">
        <v>0</v>
      </c>
      <c r="DG696" s="127">
        <v>0</v>
      </c>
      <c r="DH696" s="127">
        <v>0</v>
      </c>
      <c r="DI696" s="127">
        <v>0</v>
      </c>
      <c r="DJ696" s="127">
        <v>0</v>
      </c>
      <c r="DK696" s="127">
        <v>0</v>
      </c>
      <c r="DL696" s="127">
        <v>0</v>
      </c>
      <c r="DM696" s="304">
        <f>INDEX(Input!$1:$1048576,DM$93,$C696*2+6)</f>
        <v>21036.84210526316</v>
      </c>
      <c r="DN696" s="20">
        <v>0</v>
      </c>
      <c r="DO696" s="20">
        <v>0</v>
      </c>
      <c r="DP696" s="20">
        <v>0</v>
      </c>
      <c r="DQ696" s="20">
        <v>0</v>
      </c>
      <c r="DR696" s="20">
        <v>0</v>
      </c>
      <c r="DS696" s="20">
        <f>INDEX(Input!$1:$1048576,DS$93,$C696*2+6)</f>
        <v>0.6</v>
      </c>
      <c r="DT696" s="20">
        <f>INDEX(Input!$1:$1048576,DT$93,$C696*2+6)</f>
        <v>0.55000000000000004</v>
      </c>
      <c r="DU696" s="20">
        <f>INDEX(Input!$1:$1048576,DU$93,$C696*2+6)</f>
        <v>0.52</v>
      </c>
      <c r="DV696" s="20">
        <f>INDEX(Input!$1:$1048576,DV$93,$C696*2+6)</f>
        <v>0.5</v>
      </c>
      <c r="DW696" s="20">
        <f>INDEX(Input!$1:$1048576,DW$93,$C696*2+6)</f>
        <v>0.45</v>
      </c>
      <c r="DX696" s="20"/>
      <c r="DY696" s="7"/>
      <c r="DZ696" s="7"/>
      <c r="EA696" s="7"/>
      <c r="EB696" s="7"/>
      <c r="EC696" s="7"/>
      <c r="ED696" s="7"/>
      <c r="EE696" s="7"/>
      <c r="EF696" s="7"/>
      <c r="EG696" s="7"/>
      <c r="EH696" s="7"/>
      <c r="EI696" s="7"/>
      <c r="EJ696" s="7"/>
      <c r="EK696" s="7"/>
      <c r="EL696" s="7"/>
      <c r="EM696" s="7"/>
      <c r="EN696" s="7"/>
      <c r="EO696" s="7"/>
      <c r="EP696" s="7"/>
      <c r="EQ696" s="7"/>
      <c r="ER696" s="7"/>
      <c r="ES696" s="7"/>
      <c r="ET696" s="7"/>
      <c r="EU696" s="6"/>
      <c r="EV696" s="6"/>
      <c r="EW696" s="6"/>
      <c r="EX696" s="6"/>
      <c r="EY696" s="6"/>
      <c r="EZ696" s="6"/>
      <c r="FA696" s="6"/>
      <c r="FB696" s="6"/>
      <c r="FC696" s="6"/>
      <c r="FD696" s="6"/>
      <c r="FE696" s="6"/>
      <c r="FF696" s="6"/>
      <c r="FG696" s="6"/>
      <c r="FH696" s="6"/>
      <c r="FI696" s="6"/>
      <c r="FJ696" s="6"/>
      <c r="FK696" s="6"/>
      <c r="FL696" s="6"/>
      <c r="FM696" s="6"/>
      <c r="FN696" s="6"/>
      <c r="FO696" s="6"/>
      <c r="FP696" s="6"/>
      <c r="FQ696" s="6"/>
      <c r="FR696" s="6"/>
      <c r="FS696" s="6"/>
      <c r="FT696" s="7"/>
      <c r="FU696" s="7"/>
      <c r="FV696" s="7"/>
      <c r="FW696" s="6"/>
      <c r="FX696" s="6"/>
      <c r="FY696" s="6"/>
      <c r="FZ696" s="6"/>
      <c r="GA696" s="6"/>
      <c r="GB696" s="6"/>
      <c r="GC696" s="7"/>
      <c r="GD696" s="7"/>
      <c r="GE696" s="7"/>
      <c r="GF696" s="7"/>
      <c r="GG696" s="7"/>
      <c r="GH696" s="42"/>
      <c r="GI696" s="6"/>
      <c r="GJ696" s="14"/>
      <c r="GK696" s="14"/>
      <c r="GL696" s="14"/>
      <c r="GM696" s="14"/>
      <c r="GO696" s="5"/>
      <c r="GP696" s="5"/>
      <c r="GQ696" s="5"/>
      <c r="GR696" s="5"/>
      <c r="GS696" s="5"/>
      <c r="GT696" s="5"/>
      <c r="GU696" s="5"/>
      <c r="GV696" s="39"/>
      <c r="GW696" s="5"/>
      <c r="GX696" s="5"/>
      <c r="GY696" s="5"/>
      <c r="GZ696" s="5"/>
      <c r="HA696" s="5"/>
      <c r="HB696" s="39"/>
      <c r="HC696" s="5"/>
      <c r="HD696" s="5"/>
      <c r="HE696" s="5"/>
      <c r="HF696" s="5"/>
      <c r="HG696" s="5"/>
      <c r="HH696" s="39"/>
      <c r="HI696" s="16"/>
      <c r="HJ696" s="19"/>
      <c r="HK696" s="1"/>
      <c r="HL696" s="16"/>
      <c r="HM696" s="639" t="e">
        <f t="shared" si="2013"/>
        <v>#DIV/0!</v>
      </c>
      <c r="HN696" s="639" t="e">
        <f t="shared" si="2014"/>
        <v>#DIV/0!</v>
      </c>
      <c r="HO696" s="639" t="e">
        <f t="shared" si="2015"/>
        <v>#DIV/0!</v>
      </c>
      <c r="HP696" s="644">
        <f t="shared" ref="HP696:ID696" si="2142">HP196+HP296+HP396+HP496+HP596</f>
        <v>0</v>
      </c>
      <c r="HQ696" s="644">
        <f t="shared" si="2142"/>
        <v>0</v>
      </c>
      <c r="HR696" s="644">
        <f t="shared" si="2142"/>
        <v>0</v>
      </c>
      <c r="HS696" s="644">
        <f t="shared" si="2142"/>
        <v>0</v>
      </c>
      <c r="HT696" s="644">
        <f t="shared" si="2142"/>
        <v>0</v>
      </c>
      <c r="HU696" s="644">
        <f t="shared" si="2142"/>
        <v>0</v>
      </c>
      <c r="HV696" s="644">
        <f t="shared" si="2142"/>
        <v>0</v>
      </c>
      <c r="HW696" s="644">
        <f t="shared" si="2142"/>
        <v>0</v>
      </c>
      <c r="HX696" s="644">
        <f t="shared" si="2142"/>
        <v>0</v>
      </c>
      <c r="HY696" s="644">
        <f t="shared" si="2142"/>
        <v>0</v>
      </c>
      <c r="HZ696" s="644">
        <f t="shared" si="2142"/>
        <v>0</v>
      </c>
      <c r="IA696" s="644">
        <f t="shared" si="2142"/>
        <v>0</v>
      </c>
      <c r="IB696" s="644">
        <f t="shared" si="2142"/>
        <v>0</v>
      </c>
      <c r="IC696" s="644">
        <f t="shared" si="2142"/>
        <v>0</v>
      </c>
      <c r="ID696" s="644">
        <f t="shared" si="2142"/>
        <v>0</v>
      </c>
      <c r="IE696" s="20" t="e">
        <f t="shared" si="2017"/>
        <v>#DIV/0!</v>
      </c>
      <c r="IF696" s="20" t="e">
        <f t="shared" si="2018"/>
        <v>#DIV/0!</v>
      </c>
      <c r="IG696" s="20" t="e">
        <f t="shared" si="2019"/>
        <v>#DIV/0!</v>
      </c>
      <c r="IH696" s="21"/>
      <c r="II696" s="19"/>
      <c r="IJ696" s="19"/>
      <c r="IK696" s="19"/>
      <c r="IL696" s="19" t="e">
        <f t="shared" si="2020"/>
        <v>#DIV/0!</v>
      </c>
      <c r="IM696" s="19" t="e">
        <f t="shared" si="2021"/>
        <v>#DIV/0!</v>
      </c>
      <c r="IN696" s="19" t="e">
        <f t="shared" si="2022"/>
        <v>#DIV/0!</v>
      </c>
      <c r="IO696" s="39"/>
      <c r="IP696" s="39"/>
      <c r="IQ696" s="39"/>
      <c r="IR696" s="39"/>
      <c r="IS696" s="39"/>
      <c r="IT696" s="39"/>
      <c r="IU696" s="39"/>
      <c r="IV696" s="39"/>
      <c r="IW696" s="39"/>
      <c r="IX696" s="19" t="e">
        <f t="shared" si="2023"/>
        <v>#DIV/0!</v>
      </c>
      <c r="IY696" s="19" t="e">
        <f t="shared" si="2024"/>
        <v>#DIV/0!</v>
      </c>
      <c r="IZ696" s="19" t="e">
        <f t="shared" si="2025"/>
        <v>#DIV/0!</v>
      </c>
      <c r="JA696" s="19">
        <f t="shared" ref="JA696:JC696" si="2143">IFERROR((JA196*IB196+JA296*IB296+JA396*IB396+JA496*IB496+JA596*IB596)/IB696,0)</f>
        <v>0</v>
      </c>
      <c r="JB696" s="19">
        <f t="shared" si="2143"/>
        <v>0</v>
      </c>
      <c r="JC696" s="19">
        <f t="shared" si="2143"/>
        <v>0</v>
      </c>
      <c r="JD696" s="19" t="e">
        <f t="shared" si="2027"/>
        <v>#DIV/0!</v>
      </c>
      <c r="JE696" s="21"/>
      <c r="JF696" s="1" t="e">
        <f t="shared" si="2028"/>
        <v>#DIV/0!</v>
      </c>
      <c r="JG696" s="15">
        <f t="shared" si="2029"/>
        <v>0</v>
      </c>
      <c r="JH696" s="1" t="e">
        <f t="shared" si="2030"/>
        <v>#DIV/0!</v>
      </c>
      <c r="JI696" s="1" t="e">
        <f t="shared" si="2031"/>
        <v>#DIV/0!</v>
      </c>
      <c r="JJ696" s="1" t="e">
        <f t="shared" si="2032"/>
        <v>#DIV/0!</v>
      </c>
      <c r="JK696" s="1" t="e">
        <f t="shared" si="2033"/>
        <v>#DIV/0!</v>
      </c>
      <c r="JL696" s="15">
        <f t="shared" ref="JL696:JM696" si="2144">JL196+JL296+JL396+JL496+JL596</f>
        <v>0</v>
      </c>
      <c r="JM696" s="15">
        <f t="shared" si="2144"/>
        <v>0</v>
      </c>
      <c r="JN696" s="21"/>
      <c r="JO696" s="19">
        <f>INDEX(Input!$1:$1048576,JO$93,$C696*2+6)</f>
        <v>5995.5</v>
      </c>
      <c r="JP696" s="19">
        <f>INDEX(Input!$1:$1048576,JP$93,$C696*2+6)</f>
        <v>2296.6050414551746</v>
      </c>
      <c r="JQ696" s="39" t="e">
        <f t="shared" si="2053"/>
        <v>#DIV/0!</v>
      </c>
      <c r="JR696" s="39" t="e">
        <f t="shared" si="2054"/>
        <v>#DIV/0!</v>
      </c>
      <c r="JS696" s="39" t="e">
        <f t="shared" si="2055"/>
        <v>#DIV/0!</v>
      </c>
      <c r="JT696" s="39" t="e">
        <f t="shared" si="2056"/>
        <v>#DIV/0!</v>
      </c>
      <c r="JU696" s="385" t="e">
        <f>(JQ696*JM696-INDEX(Input!$1:$1048576,Input!A$18,$C696*2+6)*JL696*INDEX(Input!$1:$1048576,Input!A$19,$C696*2+6))/1000000</f>
        <v>#DIV/0!</v>
      </c>
      <c r="JV696" s="39" t="e">
        <f t="shared" si="2057"/>
        <v>#DIV/0!</v>
      </c>
      <c r="JW696" s="1" t="e">
        <f t="shared" si="2058"/>
        <v>#DIV/0!</v>
      </c>
      <c r="JX696" s="19">
        <f t="shared" si="2059"/>
        <v>0</v>
      </c>
      <c r="JZ696" s="341"/>
      <c r="KA696" s="60"/>
      <c r="KB696" s="469">
        <f t="shared" si="2035"/>
        <v>0</v>
      </c>
      <c r="KI696" s="472"/>
      <c r="KJ696" s="472"/>
      <c r="KK696" s="472"/>
      <c r="KN696" s="26">
        <f t="shared" si="2036"/>
        <v>6002</v>
      </c>
      <c r="KO696" s="794">
        <f t="shared" si="2037"/>
        <v>-1</v>
      </c>
      <c r="KP696" s="795" t="e">
        <f t="shared" si="2038"/>
        <v>#DIV/0!</v>
      </c>
      <c r="KQ696" s="795" t="e">
        <f t="shared" si="2039"/>
        <v>#DIV/0!</v>
      </c>
      <c r="KR696" s="26" t="e">
        <f t="shared" si="2040"/>
        <v>#DIV/0!</v>
      </c>
      <c r="KS696" s="26" t="e">
        <f t="shared" si="2041"/>
        <v>#DIV/0!</v>
      </c>
      <c r="KT696" s="796">
        <f t="shared" si="2049"/>
        <v>4286.2445668946921</v>
      </c>
      <c r="KU696" s="797">
        <f t="shared" si="2042"/>
        <v>0</v>
      </c>
    </row>
    <row r="697" spans="1:307" s="26" customFormat="1" ht="15" outlineLevel="1">
      <c r="A697" s="561">
        <f t="shared" si="2009"/>
        <v>6097</v>
      </c>
      <c r="B697" s="561">
        <f t="shared" si="2043"/>
        <v>97</v>
      </c>
      <c r="C697" s="561">
        <f t="shared" si="2044"/>
        <v>6</v>
      </c>
      <c r="D697" s="561" t="str">
        <f t="shared" si="2108"/>
        <v/>
      </c>
      <c r="E697" s="475">
        <f>INDEX(Input!$1:$1048576,E$93,$C697*2+MIN($B697,2)+5)
+INDEX(Scenarios!E$121:E$199,MATCH($B697,Scenarios!$B$121:$B$199,0))</f>
        <v>1267.2644913000609</v>
      </c>
      <c r="F697" s="475">
        <f>INDEX(Input!$1:$1048576,F$93,$C697*2+MIN($B697,2)+5)
+INDEX(Scenarios!F$121:F$199,MATCH($B697,Scenarios!$B$121:$B$199,0))</f>
        <v>0</v>
      </c>
      <c r="G697" s="475">
        <f>INDEX(Input!$1:$1048576,G$93,$C697*2+MIN($B697,2)+5)
+INDEX(Scenarios!G$121:G$199,MATCH($B697,Scenarios!$B$121:$B$199,0))</f>
        <v>0</v>
      </c>
      <c r="H697" s="475">
        <f>INDEX(Input!$1:$1048576,H$93,$C697*2+MIN($B697,2)+5)
+INDEX(Scenarios!H$121:H$199,MATCH($B697,Scenarios!$B$121:$B$199,0))</f>
        <v>0</v>
      </c>
      <c r="I697" s="476">
        <f>INDEX(Input!$1:$1048576,I$93,$C697*2+MIN($B697,2)+5)
+INDEX(Scenarios!I$121:I$199,MATCH($B697,Scenarios!$B$121:$B$199,0))</f>
        <v>0.7</v>
      </c>
      <c r="J697" s="476" t="str">
        <f>INDEX(Input!$1:$1048576,J$93,$C697*2+MIN($B697,2)+5)</f>
        <v>Market</v>
      </c>
      <c r="K697" s="476" t="str">
        <f>INDEX(Input!$1:$1048576,K$93,$C697*2+MIN($B697,2)+5)</f>
        <v>Market</v>
      </c>
      <c r="L697" s="476" t="str">
        <f>INDEX(Input!$1:$1048576,L$93,$C697*2+MIN($B697,2)+5)</f>
        <v>Market</v>
      </c>
      <c r="M697" s="476" t="str">
        <f>INDEX(Input!$1:$1048576,M$93,$C697*2+MIN($B697,2)+5)</f>
        <v>Market</v>
      </c>
      <c r="N697" s="476" t="str">
        <f>INDEX(Input!$1:$1048576,N$93,$C697*2+MIN($B697,2)+5)</f>
        <v>Market</v>
      </c>
      <c r="O697" s="476" t="str">
        <f>INDEX(Input!$1:$1048576,O$93,$C697*2+MIN($B697,2)+5)</f>
        <v>Market</v>
      </c>
      <c r="P697" s="476" t="str">
        <f>INDEX(Input!$1:$1048576,P$93,$C697*2+MIN($B697,2)+5)</f>
        <v>N</v>
      </c>
      <c r="Q697" s="477">
        <f>INDEX(Input!$1:$1048576,Q$93,$C697*2+MIN($B697,2)+5)
+INDEX(Scenarios!Q$121:Q$199,MATCH($B697,Scenarios!$B$121:$B$199,0))</f>
        <v>0</v>
      </c>
      <c r="R697" s="478">
        <f>IFERROR(MAX(0,INDEX(Input!$1:$1048576,R$93,$C697*2+MIN($B697,2)+5)
+INDEX(Scenarios!R$121:R$199,MATCH($B697,Scenarios!$B$121:$B$199,0)),),"Market")</f>
        <v>0</v>
      </c>
      <c r="S697" s="478">
        <f>IFERROR(MAX(0,INDEX(Input!$1:$1048576,S$93,$C697*2+MIN($B697,2)+5)
+INDEX(Scenarios!S$121:S$199,MATCH($B697,Scenarios!$B$121:$B$199,0)),),"Market")</f>
        <v>0</v>
      </c>
      <c r="T697" s="478">
        <f>IFERROR(MAX(0,INDEX(Input!$1:$1048576,T$93,$C697*2+MIN($B697,2)+5)
+INDEX(Scenarios!T$121:T$199,MATCH($B697,Scenarios!$B$121:$B$199,0)),),"Market")</f>
        <v>0</v>
      </c>
      <c r="U697" s="478">
        <f>IFERROR(MAX(0,INDEX(Input!$1:$1048576,U$93,$C697*2+MIN($B697,2)+5)
+INDEX(Scenarios!U$121:U$199,MATCH($B697,Scenarios!$B$121:$B$199,0)),),"Market")</f>
        <v>0</v>
      </c>
      <c r="V697" s="478">
        <f>IFERROR(MAX(0,INDEX(Input!$1:$1048576,V$93,$C697*2+MIN($B697,2)+5)
+INDEX(Scenarios!V$121:V$199,MATCH($B697,Scenarios!$B$121:$B$199,0)),),"Market")</f>
        <v>1.9E-2</v>
      </c>
      <c r="W697" s="885">
        <f>IFERROR(MAX(0,INDEX(Input!$1:$1048576,W$93,$C697*2+MIN($B697,2)+5)-0%),"Market")</f>
        <v>3.9E-2</v>
      </c>
      <c r="X697" s="476" t="str">
        <f>INDEX(Input!$1:$1048576,X$93,$C697*2+MIN($B697,2)+5)</f>
        <v>Y</v>
      </c>
      <c r="Y697" s="475">
        <f>INDEX(Input!$1:$1048576,Y$93,$C697*2+MIN($B697,2)+5)
++INDEX(Scenarios!Y$121:Y$199,MATCH($B697,Scenarios!$B$121:$B$199,0))</f>
        <v>737.99367635402496</v>
      </c>
      <c r="Z697" s="477">
        <f>INDEX(Input!$1:$1048576,Z$93,$C697*2+MIN($B697,2)+5)
+INDEX(Scenarios!Z$121:Z$199,MATCH($B697,Scenarios!$B$121:$B$199,0))</f>
        <v>0</v>
      </c>
      <c r="AA697" s="475">
        <f>INDEX(Input!$1:$1048576,AA$93,$C697*2+MIN($B697,2)+5)</f>
        <v>0</v>
      </c>
      <c r="AB697" s="476">
        <f>INDEX(Input!$1:$1048576,AB$93,$C697*2+MIN($B697,2)+5)</f>
        <v>0.27</v>
      </c>
      <c r="AC697" s="475">
        <f>INDEX(Input!$1:$1048576,AC$93,$C697*2+MIN($B697,2)+5)
+INDEX(Scenarios!AC$121:AC$199,MATCH($B697,Scenarios!$B$121:$B$199,0))</f>
        <v>0</v>
      </c>
      <c r="AD697" s="476">
        <f>INDEX(Input!$1:$1048576,AD$93,$C697*2+MIN($B697,2)+5)</f>
        <v>0.27</v>
      </c>
      <c r="AE697" s="475">
        <f>INDEX(Input!$1:$1048576,AE$93,$C697*2+MIN($B697,2)+5)
+INDEX(Scenarios!AE$121:AE$199,MATCH($B697,Scenarios!$B$121:$B$199,0))</f>
        <v>0</v>
      </c>
      <c r="AF697" s="476">
        <f>INDEX(Input!$1:$1048576,AF$93,$C697*2+MIN($B697,2)+5)</f>
        <v>1</v>
      </c>
      <c r="AG697" s="475">
        <f>INDEX(Input!$1:$1048576,AG$93,$C697*2+MIN($B697,2)+5)</f>
        <v>500</v>
      </c>
      <c r="AH697" s="476">
        <f>INDEX(Input!$1:$1048576,AH$93,$C697*2+MIN($B697,2)+5)</f>
        <v>1</v>
      </c>
      <c r="AI697" s="475">
        <f>INDEX(Input!$1:$1048576,AI$93,$C697*2+MIN($B697,2)+5)</f>
        <v>0</v>
      </c>
      <c r="AJ697" s="476">
        <f>INDEX(Input!$1:$1048576,AJ$93,$C697*2+MIN($B697,2)+5)</f>
        <v>0.27</v>
      </c>
      <c r="AK697" s="150">
        <f>ROUND(INDEX(Input!$1:$1048576,AK$93,$C696*2+MIN($B697,1)+5)+(Y697-VLOOKUP($C697*1000+1,$A:$HH,Y$92,FALSE)),0)</f>
        <v>3061</v>
      </c>
      <c r="AL697" s="150">
        <f>ROUND(INDEX(Input!$1:$1048576,AL$93,$C696*2+MIN($B697,1)+5)-(Y697-VLOOKUP($C697*1000+1,$A:$HH,Y$92,FALSE))/36,0)</f>
        <v>3552</v>
      </c>
      <c r="AM697" s="32" t="str">
        <f t="shared" si="2010"/>
        <v>std/std/std/std</v>
      </c>
      <c r="AN697" s="32" t="str">
        <f t="shared" si="2011"/>
        <v>$0 + 0/0/0/1.9/3.9</v>
      </c>
      <c r="AO697" s="32" t="str">
        <f t="shared" si="2012"/>
        <v>0/0/0/1.9/3.9</v>
      </c>
      <c r="AP697" s="32" t="str">
        <f t="shared" si="1990"/>
        <v>0/0.9/1.9/3.9</v>
      </c>
      <c r="AQ697" s="536" t="e">
        <f t="shared" si="1991"/>
        <v>#DIV/0!</v>
      </c>
      <c r="AR697" s="32"/>
      <c r="AS697" s="302"/>
      <c r="AT697" s="3">
        <f t="shared" si="2045"/>
        <v>97</v>
      </c>
      <c r="AU697" s="41" t="s">
        <v>121</v>
      </c>
      <c r="AV697" s="41" t="s">
        <v>116</v>
      </c>
      <c r="AW697" s="41" t="str">
        <f>INDEX(Input!$1:$1048576,AW$93,$C697*2+6)</f>
        <v>Kia</v>
      </c>
      <c r="AX697" s="41" t="str">
        <f>INDEX(Input!$1:$1048576,AX$93,$C697*2+6)</f>
        <v>National</v>
      </c>
      <c r="AY697" s="41" t="str">
        <f>IF(LEN(D697)=0,"",INDEX(Input!$1:$1048576,AY$93,$C697*2+6))</f>
        <v/>
      </c>
      <c r="AZ697" s="41" t="str">
        <f>INDEX(Input!$1:$1048576,AZ$93,$C697*2+6)</f>
        <v>Kia Soul</v>
      </c>
      <c r="BA697" s="3">
        <f>INDEX(Input!$1:$1048576,BA$93,$C697*2+6)</f>
        <v>2020</v>
      </c>
      <c r="BB697" s="128">
        <f>INDEX(Input!$1:$1048576,BB$93,$C697*2+6)</f>
        <v>1</v>
      </c>
      <c r="BC697" s="128">
        <f>INDEX(Input!$1:$1048576,BC$93,$C697*2+6)</f>
        <v>0.7</v>
      </c>
      <c r="BD697" s="1">
        <f>INDEX(Input!$1:$1048576,BD$93,$C697*2+6)</f>
        <v>4.4999999999999998E-2</v>
      </c>
      <c r="BE697" s="1">
        <f>INDEX(Input!$1:$1048576,BE$93,$C697*2+6)</f>
        <v>4.4999999999999998E-2</v>
      </c>
      <c r="BF697" s="1">
        <f>INDEX(Input!$1:$1048576,BF$93,$C697*2+6)</f>
        <v>0.05</v>
      </c>
      <c r="BG697" s="1">
        <f>INDEX(Input!$1:$1048576,BG$93,$C697*2+6)</f>
        <v>5.45E-2</v>
      </c>
      <c r="BH697" s="1">
        <f>INDEX(Input!$1:$1048576,BH$93,$C697*2+6)</f>
        <v>5.45E-2</v>
      </c>
      <c r="BI697" s="1">
        <f>INDEX(Input!$1:$1048576,BI$93,$C697*2+6)</f>
        <v>0.05</v>
      </c>
      <c r="BJ697" s="1">
        <f>INDEX(Input!$1:$1048576,BJ$93,$C697*2+6)</f>
        <v>0.05</v>
      </c>
      <c r="BK697" s="1">
        <f>INDEX(Input!$1:$1048576,BK$93,$C697*2+6)</f>
        <v>0.05</v>
      </c>
      <c r="BL697" s="1">
        <f>INDEX(Input!$1:$1048576,BL$93,$C697*2+6)</f>
        <v>5.5E-2</v>
      </c>
      <c r="BM697" s="1">
        <f>INDEX(Input!$1:$1048576,BM$93,$C697*2+6)</f>
        <v>0.06</v>
      </c>
      <c r="BN697" s="1">
        <f>INDEX(Input!$1:$1048576,BN$93,$C697*2+6)</f>
        <v>4.4999999999999998E-2</v>
      </c>
      <c r="BO697" s="1">
        <f>INDEX(Input!$1:$1048576,BO$93,$C697*2+6)</f>
        <v>4.4999999999999998E-2</v>
      </c>
      <c r="BP697" s="1">
        <f>INDEX(Input!$1:$1048576,BP$93,$C697*2+6)</f>
        <v>0.05</v>
      </c>
      <c r="BQ697" s="1">
        <f>INDEX(Input!$1:$1048576,BQ$93,$C697*2+6)</f>
        <v>5.45E-2</v>
      </c>
      <c r="BR697" s="1">
        <f>INDEX(Input!$1:$1048576,BR$93,$C697*2+6)</f>
        <v>5.45E-2</v>
      </c>
      <c r="BS697" s="1">
        <f>INDEX(Input!$1:$1048576,BS$93,$C697*2+6)</f>
        <v>0.05</v>
      </c>
      <c r="BT697" s="1">
        <f>INDEX(Input!$1:$1048576,BT$93,$C697*2+6)</f>
        <v>0.05</v>
      </c>
      <c r="BU697" s="1">
        <f>INDEX(Input!$1:$1048576,BU$93,$C697*2+6)</f>
        <v>0.05</v>
      </c>
      <c r="BV697" s="1">
        <f>INDEX(Input!$1:$1048576,BV$93,$C697*2+6)</f>
        <v>5.5E-2</v>
      </c>
      <c r="BW697" s="1">
        <f>INDEX(Input!$1:$1048576,BW$93,$C697*2+6)</f>
        <v>0.06</v>
      </c>
      <c r="BX697" s="127">
        <f>INDEX(Input!$1:$1048576,BX$93,$C697*2+6)</f>
        <v>19985</v>
      </c>
      <c r="BY697" s="20">
        <f>INDEX(Input!$1:$1048576,BY$93,$C697*2+6)</f>
        <v>0.1</v>
      </c>
      <c r="BZ697" s="20">
        <f>INDEX(Input!$1:$1048576,BZ$93,$C697*2+6)</f>
        <v>0.1</v>
      </c>
      <c r="CA697" s="20">
        <f>INDEX(Input!$1:$1048576,CA$93,$C697*2+6)</f>
        <v>0.1</v>
      </c>
      <c r="CB697" s="20">
        <f>INDEX(Input!$1:$1048576,CB$93,$C697*2+6)</f>
        <v>0.1</v>
      </c>
      <c r="CC697" s="20">
        <f>INDEX(Input!$1:$1048576,CC$93,$C697*2+6)</f>
        <v>0.1</v>
      </c>
      <c r="CD697" s="384">
        <f>INDEX(Input!$1:$1048576,CD$93,$C697*2+6)</f>
        <v>0.1</v>
      </c>
      <c r="CE697" s="384">
        <f>INDEX(Input!$1:$1048576,CE$93,$C697*2+6)</f>
        <v>0.1</v>
      </c>
      <c r="CF697" s="384">
        <f>INDEX(Input!$1:$1048576,CF$93,$C697*2+6)</f>
        <v>0.1</v>
      </c>
      <c r="CG697" s="384">
        <f>INDEX(Input!$1:$1048576,CG$93,$C697*2+6)</f>
        <v>0.1</v>
      </c>
      <c r="CH697" s="384">
        <f>INDEX(Input!$1:$1048576,CH$93,$C697*2+6)</f>
        <v>0.1</v>
      </c>
      <c r="CI697" s="304">
        <f t="shared" si="1992"/>
        <v>1267.2644913000609</v>
      </c>
      <c r="CJ697" s="16" t="str">
        <f>INDEX(Input!$1:$1048576,CJ$93,$C697*2+6)</f>
        <v>N</v>
      </c>
      <c r="CK697" s="1" t="str">
        <f t="shared" si="1993"/>
        <v>Market</v>
      </c>
      <c r="CL697" s="1" t="str">
        <f t="shared" si="1994"/>
        <v>Market</v>
      </c>
      <c r="CM697" s="1" t="str">
        <f t="shared" si="1995"/>
        <v>Market</v>
      </c>
      <c r="CN697" s="1" t="str">
        <f t="shared" si="1996"/>
        <v>Market</v>
      </c>
      <c r="CO697" s="1" t="str">
        <f t="shared" si="1997"/>
        <v>Market</v>
      </c>
      <c r="CP697" s="304">
        <f t="shared" si="1998"/>
        <v>500</v>
      </c>
      <c r="CQ697" s="1">
        <f t="shared" si="1999"/>
        <v>0</v>
      </c>
      <c r="CR697" s="1">
        <f t="shared" si="2000"/>
        <v>0</v>
      </c>
      <c r="CS697" s="1">
        <f t="shared" si="2001"/>
        <v>0</v>
      </c>
      <c r="CT697" s="1">
        <f t="shared" si="2002"/>
        <v>1.9E-2</v>
      </c>
      <c r="CU697" s="1">
        <f t="shared" si="2003"/>
        <v>3.9E-2</v>
      </c>
      <c r="CV697" s="304">
        <f t="shared" si="2004"/>
        <v>737.99367635402496</v>
      </c>
      <c r="CW697" s="20" t="s">
        <v>122</v>
      </c>
      <c r="CX697" s="20" t="s">
        <v>122</v>
      </c>
      <c r="CY697" s="20" t="s">
        <v>122</v>
      </c>
      <c r="CZ697" s="20" t="s">
        <v>122</v>
      </c>
      <c r="DA697" s="20" t="s">
        <v>122</v>
      </c>
      <c r="DB697" s="503">
        <f t="shared" si="2005"/>
        <v>0</v>
      </c>
      <c r="DC697" s="127">
        <v>0</v>
      </c>
      <c r="DD697" s="127">
        <v>0</v>
      </c>
      <c r="DE697" s="127">
        <v>0</v>
      </c>
      <c r="DF697" s="127">
        <v>0</v>
      </c>
      <c r="DG697" s="127">
        <v>0</v>
      </c>
      <c r="DH697" s="127">
        <v>0</v>
      </c>
      <c r="DI697" s="127">
        <v>0</v>
      </c>
      <c r="DJ697" s="127">
        <v>0</v>
      </c>
      <c r="DK697" s="127">
        <v>0</v>
      </c>
      <c r="DL697" s="127">
        <v>0</v>
      </c>
      <c r="DM697" s="304">
        <f>INDEX(Input!$1:$1048576,DM$93,$C697*2+6)</f>
        <v>21036.84210526316</v>
      </c>
      <c r="DN697" s="20">
        <v>0</v>
      </c>
      <c r="DO697" s="20">
        <v>0</v>
      </c>
      <c r="DP697" s="20">
        <v>0</v>
      </c>
      <c r="DQ697" s="20">
        <v>0</v>
      </c>
      <c r="DR697" s="20">
        <v>0</v>
      </c>
      <c r="DS697" s="20">
        <f>INDEX(Input!$1:$1048576,DS$93,$C697*2+6)</f>
        <v>0.6</v>
      </c>
      <c r="DT697" s="20">
        <f>INDEX(Input!$1:$1048576,DT$93,$C697*2+6)</f>
        <v>0.55000000000000004</v>
      </c>
      <c r="DU697" s="20">
        <f>INDEX(Input!$1:$1048576,DU$93,$C697*2+6)</f>
        <v>0.52</v>
      </c>
      <c r="DV697" s="20">
        <f>INDEX(Input!$1:$1048576,DV$93,$C697*2+6)</f>
        <v>0.5</v>
      </c>
      <c r="DW697" s="20">
        <f>INDEX(Input!$1:$1048576,DW$93,$C697*2+6)</f>
        <v>0.45</v>
      </c>
      <c r="DX697" s="20"/>
      <c r="DY697" s="7"/>
      <c r="DZ697" s="7"/>
      <c r="EA697" s="7"/>
      <c r="EB697" s="7"/>
      <c r="EC697" s="7"/>
      <c r="ED697" s="7"/>
      <c r="EE697" s="7"/>
      <c r="EF697" s="7"/>
      <c r="EG697" s="7"/>
      <c r="EH697" s="7"/>
      <c r="EI697" s="7"/>
      <c r="EJ697" s="7"/>
      <c r="EK697" s="7"/>
      <c r="EL697" s="7"/>
      <c r="EM697" s="7"/>
      <c r="EN697" s="7"/>
      <c r="EO697" s="7"/>
      <c r="EP697" s="7"/>
      <c r="EQ697" s="7"/>
      <c r="ER697" s="7"/>
      <c r="ES697" s="7"/>
      <c r="ET697" s="7"/>
      <c r="EU697" s="6"/>
      <c r="EV697" s="6"/>
      <c r="EW697" s="6"/>
      <c r="EX697" s="6"/>
      <c r="EY697" s="6"/>
      <c r="EZ697" s="6"/>
      <c r="FA697" s="6"/>
      <c r="FB697" s="6"/>
      <c r="FC697" s="6"/>
      <c r="FD697" s="6"/>
      <c r="FE697" s="6"/>
      <c r="FF697" s="6"/>
      <c r="FG697" s="6"/>
      <c r="FH697" s="6"/>
      <c r="FI697" s="6"/>
      <c r="FJ697" s="6"/>
      <c r="FK697" s="6"/>
      <c r="FL697" s="6"/>
      <c r="FM697" s="6"/>
      <c r="FN697" s="6"/>
      <c r="FO697" s="6"/>
      <c r="FP697" s="6"/>
      <c r="FQ697" s="6"/>
      <c r="FR697" s="6"/>
      <c r="FS697" s="6"/>
      <c r="FT697" s="7"/>
      <c r="FU697" s="7"/>
      <c r="FV697" s="7"/>
      <c r="FW697" s="6"/>
      <c r="FX697" s="6"/>
      <c r="FY697" s="6"/>
      <c r="FZ697" s="6"/>
      <c r="GA697" s="6"/>
      <c r="GB697" s="6"/>
      <c r="GC697" s="7"/>
      <c r="GD697" s="7"/>
      <c r="GE697" s="7"/>
      <c r="GF697" s="7"/>
      <c r="GG697" s="7"/>
      <c r="GH697" s="42"/>
      <c r="GI697" s="6"/>
      <c r="GJ697" s="14"/>
      <c r="GK697" s="14"/>
      <c r="GL697" s="14"/>
      <c r="GM697" s="14"/>
      <c r="GO697" s="5"/>
      <c r="GP697" s="5"/>
      <c r="GQ697" s="5"/>
      <c r="GR697" s="5"/>
      <c r="GS697" s="5"/>
      <c r="GT697" s="5"/>
      <c r="GU697" s="5"/>
      <c r="GV697" s="39"/>
      <c r="GW697" s="5"/>
      <c r="GX697" s="5"/>
      <c r="GY697" s="5"/>
      <c r="GZ697" s="5"/>
      <c r="HA697" s="5"/>
      <c r="HB697" s="39"/>
      <c r="HC697" s="5"/>
      <c r="HD697" s="5"/>
      <c r="HE697" s="5"/>
      <c r="HF697" s="5"/>
      <c r="HG697" s="5"/>
      <c r="HH697" s="39"/>
      <c r="HI697" s="16"/>
      <c r="HJ697" s="19"/>
      <c r="HK697" s="1"/>
      <c r="HL697" s="16"/>
      <c r="HM697" s="639" t="e">
        <f t="shared" si="2013"/>
        <v>#DIV/0!</v>
      </c>
      <c r="HN697" s="639" t="e">
        <f t="shared" si="2014"/>
        <v>#DIV/0!</v>
      </c>
      <c r="HO697" s="639" t="e">
        <f t="shared" si="2015"/>
        <v>#DIV/0!</v>
      </c>
      <c r="HP697" s="644">
        <f t="shared" ref="HP697:ID697" si="2145">HP197+HP297+HP397+HP497+HP597</f>
        <v>0</v>
      </c>
      <c r="HQ697" s="644">
        <f t="shared" si="2145"/>
        <v>0</v>
      </c>
      <c r="HR697" s="644">
        <f t="shared" si="2145"/>
        <v>0</v>
      </c>
      <c r="HS697" s="644">
        <f t="shared" si="2145"/>
        <v>0</v>
      </c>
      <c r="HT697" s="644">
        <f t="shared" si="2145"/>
        <v>0</v>
      </c>
      <c r="HU697" s="644">
        <f t="shared" si="2145"/>
        <v>0</v>
      </c>
      <c r="HV697" s="644">
        <f t="shared" si="2145"/>
        <v>0</v>
      </c>
      <c r="HW697" s="644">
        <f t="shared" si="2145"/>
        <v>0</v>
      </c>
      <c r="HX697" s="644">
        <f t="shared" si="2145"/>
        <v>0</v>
      </c>
      <c r="HY697" s="644">
        <f t="shared" si="2145"/>
        <v>0</v>
      </c>
      <c r="HZ697" s="644">
        <f t="shared" si="2145"/>
        <v>0</v>
      </c>
      <c r="IA697" s="644">
        <f t="shared" si="2145"/>
        <v>0</v>
      </c>
      <c r="IB697" s="644">
        <f t="shared" si="2145"/>
        <v>0</v>
      </c>
      <c r="IC697" s="644">
        <f t="shared" si="2145"/>
        <v>0</v>
      </c>
      <c r="ID697" s="644">
        <f t="shared" si="2145"/>
        <v>0</v>
      </c>
      <c r="IE697" s="20" t="e">
        <f t="shared" si="2017"/>
        <v>#DIV/0!</v>
      </c>
      <c r="IF697" s="20" t="e">
        <f t="shared" si="2018"/>
        <v>#DIV/0!</v>
      </c>
      <c r="IG697" s="20" t="e">
        <f t="shared" si="2019"/>
        <v>#DIV/0!</v>
      </c>
      <c r="IH697" s="21"/>
      <c r="II697" s="19"/>
      <c r="IJ697" s="19"/>
      <c r="IK697" s="19"/>
      <c r="IL697" s="19" t="e">
        <f t="shared" si="2020"/>
        <v>#DIV/0!</v>
      </c>
      <c r="IM697" s="19" t="e">
        <f t="shared" si="2021"/>
        <v>#DIV/0!</v>
      </c>
      <c r="IN697" s="19" t="e">
        <f t="shared" si="2022"/>
        <v>#DIV/0!</v>
      </c>
      <c r="IO697" s="39"/>
      <c r="IP697" s="39"/>
      <c r="IQ697" s="39"/>
      <c r="IR697" s="39"/>
      <c r="IS697" s="39"/>
      <c r="IT697" s="39"/>
      <c r="IU697" s="39"/>
      <c r="IV697" s="39"/>
      <c r="IW697" s="39"/>
      <c r="IX697" s="19" t="e">
        <f t="shared" si="2023"/>
        <v>#DIV/0!</v>
      </c>
      <c r="IY697" s="19" t="e">
        <f t="shared" si="2024"/>
        <v>#DIV/0!</v>
      </c>
      <c r="IZ697" s="19" t="e">
        <f t="shared" si="2025"/>
        <v>#DIV/0!</v>
      </c>
      <c r="JA697" s="19">
        <f t="shared" ref="JA697:JC697" si="2146">IFERROR((JA197*IB197+JA297*IB297+JA397*IB397+JA497*IB497+JA597*IB597)/IB697,0)</f>
        <v>0</v>
      </c>
      <c r="JB697" s="19">
        <f t="shared" si="2146"/>
        <v>0</v>
      </c>
      <c r="JC697" s="19">
        <f t="shared" si="2146"/>
        <v>0</v>
      </c>
      <c r="JD697" s="19" t="e">
        <f t="shared" si="2027"/>
        <v>#DIV/0!</v>
      </c>
      <c r="JE697" s="21"/>
      <c r="JF697" s="1" t="e">
        <f t="shared" si="2028"/>
        <v>#DIV/0!</v>
      </c>
      <c r="JG697" s="15">
        <f t="shared" si="2029"/>
        <v>0</v>
      </c>
      <c r="JH697" s="1" t="e">
        <f t="shared" si="2030"/>
        <v>#DIV/0!</v>
      </c>
      <c r="JI697" s="1" t="e">
        <f t="shared" si="2031"/>
        <v>#DIV/0!</v>
      </c>
      <c r="JJ697" s="1" t="e">
        <f t="shared" si="2032"/>
        <v>#DIV/0!</v>
      </c>
      <c r="JK697" s="1" t="e">
        <f t="shared" si="2033"/>
        <v>#DIV/0!</v>
      </c>
      <c r="JL697" s="15">
        <f t="shared" ref="JL697:JM697" si="2147">JL197+JL297+JL397+JL497+JL597</f>
        <v>0</v>
      </c>
      <c r="JM697" s="15">
        <f t="shared" si="2147"/>
        <v>0</v>
      </c>
      <c r="JN697" s="21"/>
      <c r="JO697" s="19">
        <f>INDEX(Input!$1:$1048576,JO$93,$C697*2+6)</f>
        <v>5995.5</v>
      </c>
      <c r="JP697" s="19">
        <f>INDEX(Input!$1:$1048576,JP$93,$C697*2+6)</f>
        <v>2296.6050414551746</v>
      </c>
      <c r="JQ697" s="39" t="e">
        <f t="shared" si="2053"/>
        <v>#DIV/0!</v>
      </c>
      <c r="JR697" s="39" t="e">
        <f t="shared" si="2054"/>
        <v>#DIV/0!</v>
      </c>
      <c r="JS697" s="39" t="e">
        <f t="shared" si="2055"/>
        <v>#DIV/0!</v>
      </c>
      <c r="JT697" s="39" t="e">
        <f t="shared" si="2056"/>
        <v>#DIV/0!</v>
      </c>
      <c r="JU697" s="385" t="e">
        <f>(JQ697*JM697-INDEX(Input!$1:$1048576,Input!A$18,$C697*2+6)*JL697*INDEX(Input!$1:$1048576,Input!A$19,$C697*2+6))/1000000</f>
        <v>#DIV/0!</v>
      </c>
      <c r="JV697" s="39" t="e">
        <f t="shared" si="2057"/>
        <v>#DIV/0!</v>
      </c>
      <c r="JW697" s="1" t="e">
        <f t="shared" si="2058"/>
        <v>#DIV/0!</v>
      </c>
      <c r="JX697" s="19">
        <f t="shared" si="2059"/>
        <v>0</v>
      </c>
      <c r="JZ697" s="341"/>
      <c r="KA697" s="60"/>
      <c r="KB697" s="469">
        <f t="shared" si="2035"/>
        <v>0</v>
      </c>
      <c r="KI697" s="472"/>
      <c r="KJ697" s="472"/>
      <c r="KK697" s="472"/>
      <c r="KN697" s="26">
        <f t="shared" si="2036"/>
        <v>6002</v>
      </c>
      <c r="KO697" s="794">
        <f t="shared" si="2037"/>
        <v>-1</v>
      </c>
      <c r="KP697" s="795" t="e">
        <f t="shared" si="2038"/>
        <v>#DIV/0!</v>
      </c>
      <c r="KQ697" s="795" t="e">
        <f t="shared" si="2039"/>
        <v>#DIV/0!</v>
      </c>
      <c r="KR697" s="26" t="e">
        <f t="shared" si="2040"/>
        <v>#DIV/0!</v>
      </c>
      <c r="KS697" s="26" t="e">
        <f t="shared" si="2041"/>
        <v>#DIV/0!</v>
      </c>
      <c r="KT697" s="796">
        <f t="shared" si="2049"/>
        <v>4286.2445668946921</v>
      </c>
      <c r="KU697" s="797">
        <f t="shared" si="2042"/>
        <v>0</v>
      </c>
    </row>
    <row r="698" spans="1:307" s="26" customFormat="1" ht="15" outlineLevel="1">
      <c r="A698" s="561">
        <f t="shared" si="2009"/>
        <v>6098</v>
      </c>
      <c r="B698" s="561">
        <f t="shared" si="2043"/>
        <v>98</v>
      </c>
      <c r="C698" s="561">
        <f t="shared" si="2044"/>
        <v>6</v>
      </c>
      <c r="D698" s="561" t="str">
        <f t="shared" si="2108"/>
        <v/>
      </c>
      <c r="E698" s="475">
        <f>INDEX(Input!$1:$1048576,E$93,$C698*2+MIN($B698,2)+5)
+INDEX(Scenarios!E$121:E$199,MATCH($B698,Scenarios!$B$121:$B$199,0))</f>
        <v>1267.2644913000609</v>
      </c>
      <c r="F698" s="475">
        <f>INDEX(Input!$1:$1048576,F$93,$C698*2+MIN($B698,2)+5)
+INDEX(Scenarios!F$121:F$199,MATCH($B698,Scenarios!$B$121:$B$199,0))</f>
        <v>0</v>
      </c>
      <c r="G698" s="475">
        <f>INDEX(Input!$1:$1048576,G$93,$C698*2+MIN($B698,2)+5)
+INDEX(Scenarios!G$121:G$199,MATCH($B698,Scenarios!$B$121:$B$199,0))</f>
        <v>0</v>
      </c>
      <c r="H698" s="475">
        <f>INDEX(Input!$1:$1048576,H$93,$C698*2+MIN($B698,2)+5)
+INDEX(Scenarios!H$121:H$199,MATCH($B698,Scenarios!$B$121:$B$199,0))</f>
        <v>0</v>
      </c>
      <c r="I698" s="476">
        <f>INDEX(Input!$1:$1048576,I$93,$C698*2+MIN($B698,2)+5)
+INDEX(Scenarios!I$121:I$199,MATCH($B698,Scenarios!$B$121:$B$199,0))</f>
        <v>0.7</v>
      </c>
      <c r="J698" s="476" t="str">
        <f>INDEX(Input!$1:$1048576,J$93,$C698*2+MIN($B698,2)+5)</f>
        <v>Market</v>
      </c>
      <c r="K698" s="476" t="str">
        <f>INDEX(Input!$1:$1048576,K$93,$C698*2+MIN($B698,2)+5)</f>
        <v>Market</v>
      </c>
      <c r="L698" s="476" t="str">
        <f>INDEX(Input!$1:$1048576,L$93,$C698*2+MIN($B698,2)+5)</f>
        <v>Market</v>
      </c>
      <c r="M698" s="476" t="str">
        <f>INDEX(Input!$1:$1048576,M$93,$C698*2+MIN($B698,2)+5)</f>
        <v>Market</v>
      </c>
      <c r="N698" s="476" t="str">
        <f>INDEX(Input!$1:$1048576,N$93,$C698*2+MIN($B698,2)+5)</f>
        <v>Market</v>
      </c>
      <c r="O698" s="476" t="str">
        <f>INDEX(Input!$1:$1048576,O$93,$C698*2+MIN($B698,2)+5)</f>
        <v>Market</v>
      </c>
      <c r="P698" s="476" t="str">
        <f>INDEX(Input!$1:$1048576,P$93,$C698*2+MIN($B698,2)+5)</f>
        <v>N</v>
      </c>
      <c r="Q698" s="477">
        <f>INDEX(Input!$1:$1048576,Q$93,$C698*2+MIN($B698,2)+5)
+INDEX(Scenarios!Q$121:Q$199,MATCH($B698,Scenarios!$B$121:$B$199,0))</f>
        <v>0</v>
      </c>
      <c r="R698" s="478">
        <f>IFERROR(MAX(0,INDEX(Input!$1:$1048576,R$93,$C698*2+MIN($B698,2)+5)
+INDEX(Scenarios!R$121:R$199,MATCH($B698,Scenarios!$B$121:$B$199,0)),),"Market")</f>
        <v>0</v>
      </c>
      <c r="S698" s="478">
        <f>IFERROR(MAX(0,INDEX(Input!$1:$1048576,S$93,$C698*2+MIN($B698,2)+5)
+INDEX(Scenarios!S$121:S$199,MATCH($B698,Scenarios!$B$121:$B$199,0)),),"Market")</f>
        <v>0</v>
      </c>
      <c r="T698" s="478">
        <f>IFERROR(MAX(0,INDEX(Input!$1:$1048576,T$93,$C698*2+MIN($B698,2)+5)
+INDEX(Scenarios!T$121:T$199,MATCH($B698,Scenarios!$B$121:$B$199,0)),),"Market")</f>
        <v>0</v>
      </c>
      <c r="U698" s="478">
        <f>IFERROR(MAX(0,INDEX(Input!$1:$1048576,U$93,$C698*2+MIN($B698,2)+5)
+INDEX(Scenarios!U$121:U$199,MATCH($B698,Scenarios!$B$121:$B$199,0)),),"Market")</f>
        <v>0</v>
      </c>
      <c r="V698" s="478">
        <f>IFERROR(MAX(0,INDEX(Input!$1:$1048576,V$93,$C698*2+MIN($B698,2)+5)
+INDEX(Scenarios!V$121:V$199,MATCH($B698,Scenarios!$B$121:$B$199,0)),),"Market")</f>
        <v>1.9E-2</v>
      </c>
      <c r="W698" s="885">
        <f>IFERROR(MAX(0,INDEX(Input!$1:$1048576,W$93,$C698*2+MIN($B698,2)+5)-0%),"Market")</f>
        <v>3.9E-2</v>
      </c>
      <c r="X698" s="476" t="str">
        <f>INDEX(Input!$1:$1048576,X$93,$C698*2+MIN($B698,2)+5)</f>
        <v>Y</v>
      </c>
      <c r="Y698" s="475">
        <f>INDEX(Input!$1:$1048576,Y$93,$C698*2+MIN($B698,2)+5)
++INDEX(Scenarios!Y$121:Y$199,MATCH($B698,Scenarios!$B$121:$B$199,0))</f>
        <v>737.99367635402496</v>
      </c>
      <c r="Z698" s="477">
        <f>INDEX(Input!$1:$1048576,Z$93,$C698*2+MIN($B698,2)+5)
+INDEX(Scenarios!Z$121:Z$199,MATCH($B698,Scenarios!$B$121:$B$199,0))</f>
        <v>0</v>
      </c>
      <c r="AA698" s="475">
        <f>INDEX(Input!$1:$1048576,AA$93,$C698*2+MIN($B698,2)+5)</f>
        <v>0</v>
      </c>
      <c r="AB698" s="476">
        <f>INDEX(Input!$1:$1048576,AB$93,$C698*2+MIN($B698,2)+5)</f>
        <v>0.27</v>
      </c>
      <c r="AC698" s="475">
        <f>INDEX(Input!$1:$1048576,AC$93,$C698*2+MIN($B698,2)+5)
+INDEX(Scenarios!AC$121:AC$199,MATCH($B698,Scenarios!$B$121:$B$199,0))</f>
        <v>0</v>
      </c>
      <c r="AD698" s="476">
        <f>INDEX(Input!$1:$1048576,AD$93,$C698*2+MIN($B698,2)+5)</f>
        <v>0.27</v>
      </c>
      <c r="AE698" s="475">
        <f>INDEX(Input!$1:$1048576,AE$93,$C698*2+MIN($B698,2)+5)
+INDEX(Scenarios!AE$121:AE$199,MATCH($B698,Scenarios!$B$121:$B$199,0))</f>
        <v>0</v>
      </c>
      <c r="AF698" s="476">
        <f>INDEX(Input!$1:$1048576,AF$93,$C698*2+MIN($B698,2)+5)</f>
        <v>1</v>
      </c>
      <c r="AG698" s="475">
        <f>INDEX(Input!$1:$1048576,AG$93,$C698*2+MIN($B698,2)+5)</f>
        <v>500</v>
      </c>
      <c r="AH698" s="476">
        <f>INDEX(Input!$1:$1048576,AH$93,$C698*2+MIN($B698,2)+5)</f>
        <v>1</v>
      </c>
      <c r="AI698" s="475">
        <f>INDEX(Input!$1:$1048576,AI$93,$C698*2+MIN($B698,2)+5)</f>
        <v>0</v>
      </c>
      <c r="AJ698" s="476">
        <f>INDEX(Input!$1:$1048576,AJ$93,$C698*2+MIN($B698,2)+5)</f>
        <v>0.27</v>
      </c>
      <c r="AK698" s="150">
        <f>ROUND(INDEX(Input!$1:$1048576,AK$93,$C697*2+MIN($B698,1)+5)+(Y698-VLOOKUP($C698*1000+1,$A:$HH,Y$92,FALSE)),0)</f>
        <v>3061</v>
      </c>
      <c r="AL698" s="150">
        <f>ROUND(INDEX(Input!$1:$1048576,AL$93,$C697*2+MIN($B698,1)+5)-(Y698-VLOOKUP($C698*1000+1,$A:$HH,Y$92,FALSE))/36,0)</f>
        <v>3552</v>
      </c>
      <c r="AM698" s="32" t="str">
        <f t="shared" si="2010"/>
        <v>std/std/std/std</v>
      </c>
      <c r="AN698" s="32" t="str">
        <f t="shared" si="2011"/>
        <v>$0 + 0/0/0/1.9/3.9</v>
      </c>
      <c r="AO698" s="32" t="str">
        <f t="shared" si="2012"/>
        <v>0/0/0/1.9/3.9</v>
      </c>
      <c r="AP698" s="32" t="str">
        <f t="shared" si="1990"/>
        <v>0/0.9/1.9/3.9</v>
      </c>
      <c r="AQ698" s="536" t="e">
        <f t="shared" si="1991"/>
        <v>#DIV/0!</v>
      </c>
      <c r="AR698" s="32"/>
      <c r="AS698" s="302"/>
      <c r="AT698" s="3">
        <f t="shared" si="2045"/>
        <v>98</v>
      </c>
      <c r="AU698" s="41" t="s">
        <v>121</v>
      </c>
      <c r="AV698" s="41" t="s">
        <v>116</v>
      </c>
      <c r="AW698" s="41" t="str">
        <f>INDEX(Input!$1:$1048576,AW$93,$C698*2+6)</f>
        <v>Kia</v>
      </c>
      <c r="AX698" s="41" t="str">
        <f>INDEX(Input!$1:$1048576,AX$93,$C698*2+6)</f>
        <v>National</v>
      </c>
      <c r="AY698" s="41" t="str">
        <f>IF(LEN(D698)=0,"",INDEX(Input!$1:$1048576,AY$93,$C698*2+6))</f>
        <v/>
      </c>
      <c r="AZ698" s="41" t="str">
        <f>INDEX(Input!$1:$1048576,AZ$93,$C698*2+6)</f>
        <v>Kia Soul</v>
      </c>
      <c r="BA698" s="3">
        <f>INDEX(Input!$1:$1048576,BA$93,$C698*2+6)</f>
        <v>2020</v>
      </c>
      <c r="BB698" s="128">
        <f>INDEX(Input!$1:$1048576,BB$93,$C698*2+6)</f>
        <v>1</v>
      </c>
      <c r="BC698" s="128">
        <f>INDEX(Input!$1:$1048576,BC$93,$C698*2+6)</f>
        <v>0.7</v>
      </c>
      <c r="BD698" s="1">
        <f>INDEX(Input!$1:$1048576,BD$93,$C698*2+6)</f>
        <v>4.4999999999999998E-2</v>
      </c>
      <c r="BE698" s="1">
        <f>INDEX(Input!$1:$1048576,BE$93,$C698*2+6)</f>
        <v>4.4999999999999998E-2</v>
      </c>
      <c r="BF698" s="1">
        <f>INDEX(Input!$1:$1048576,BF$93,$C698*2+6)</f>
        <v>0.05</v>
      </c>
      <c r="BG698" s="1">
        <f>INDEX(Input!$1:$1048576,BG$93,$C698*2+6)</f>
        <v>5.45E-2</v>
      </c>
      <c r="BH698" s="1">
        <f>INDEX(Input!$1:$1048576,BH$93,$C698*2+6)</f>
        <v>5.45E-2</v>
      </c>
      <c r="BI698" s="1">
        <f>INDEX(Input!$1:$1048576,BI$93,$C698*2+6)</f>
        <v>0.05</v>
      </c>
      <c r="BJ698" s="1">
        <f>INDEX(Input!$1:$1048576,BJ$93,$C698*2+6)</f>
        <v>0.05</v>
      </c>
      <c r="BK698" s="1">
        <f>INDEX(Input!$1:$1048576,BK$93,$C698*2+6)</f>
        <v>0.05</v>
      </c>
      <c r="BL698" s="1">
        <f>INDEX(Input!$1:$1048576,BL$93,$C698*2+6)</f>
        <v>5.5E-2</v>
      </c>
      <c r="BM698" s="1">
        <f>INDEX(Input!$1:$1048576,BM$93,$C698*2+6)</f>
        <v>0.06</v>
      </c>
      <c r="BN698" s="1">
        <f>INDEX(Input!$1:$1048576,BN$93,$C698*2+6)</f>
        <v>4.4999999999999998E-2</v>
      </c>
      <c r="BO698" s="1">
        <f>INDEX(Input!$1:$1048576,BO$93,$C698*2+6)</f>
        <v>4.4999999999999998E-2</v>
      </c>
      <c r="BP698" s="1">
        <f>INDEX(Input!$1:$1048576,BP$93,$C698*2+6)</f>
        <v>0.05</v>
      </c>
      <c r="BQ698" s="1">
        <f>INDEX(Input!$1:$1048576,BQ$93,$C698*2+6)</f>
        <v>5.45E-2</v>
      </c>
      <c r="BR698" s="1">
        <f>INDEX(Input!$1:$1048576,BR$93,$C698*2+6)</f>
        <v>5.45E-2</v>
      </c>
      <c r="BS698" s="1">
        <f>INDEX(Input!$1:$1048576,BS$93,$C698*2+6)</f>
        <v>0.05</v>
      </c>
      <c r="BT698" s="1">
        <f>INDEX(Input!$1:$1048576,BT$93,$C698*2+6)</f>
        <v>0.05</v>
      </c>
      <c r="BU698" s="1">
        <f>INDEX(Input!$1:$1048576,BU$93,$C698*2+6)</f>
        <v>0.05</v>
      </c>
      <c r="BV698" s="1">
        <f>INDEX(Input!$1:$1048576,BV$93,$C698*2+6)</f>
        <v>5.5E-2</v>
      </c>
      <c r="BW698" s="1">
        <f>INDEX(Input!$1:$1048576,BW$93,$C698*2+6)</f>
        <v>0.06</v>
      </c>
      <c r="BX698" s="127">
        <f>INDEX(Input!$1:$1048576,BX$93,$C698*2+6)</f>
        <v>19985</v>
      </c>
      <c r="BY698" s="20">
        <f>INDEX(Input!$1:$1048576,BY$93,$C698*2+6)</f>
        <v>0.1</v>
      </c>
      <c r="BZ698" s="20">
        <f>INDEX(Input!$1:$1048576,BZ$93,$C698*2+6)</f>
        <v>0.1</v>
      </c>
      <c r="CA698" s="20">
        <f>INDEX(Input!$1:$1048576,CA$93,$C698*2+6)</f>
        <v>0.1</v>
      </c>
      <c r="CB698" s="20">
        <f>INDEX(Input!$1:$1048576,CB$93,$C698*2+6)</f>
        <v>0.1</v>
      </c>
      <c r="CC698" s="20">
        <f>INDEX(Input!$1:$1048576,CC$93,$C698*2+6)</f>
        <v>0.1</v>
      </c>
      <c r="CD698" s="384">
        <f>INDEX(Input!$1:$1048576,CD$93,$C698*2+6)</f>
        <v>0.1</v>
      </c>
      <c r="CE698" s="384">
        <f>INDEX(Input!$1:$1048576,CE$93,$C698*2+6)</f>
        <v>0.1</v>
      </c>
      <c r="CF698" s="384">
        <f>INDEX(Input!$1:$1048576,CF$93,$C698*2+6)</f>
        <v>0.1</v>
      </c>
      <c r="CG698" s="384">
        <f>INDEX(Input!$1:$1048576,CG$93,$C698*2+6)</f>
        <v>0.1</v>
      </c>
      <c r="CH698" s="384">
        <f>INDEX(Input!$1:$1048576,CH$93,$C698*2+6)</f>
        <v>0.1</v>
      </c>
      <c r="CI698" s="304">
        <f t="shared" si="1992"/>
        <v>1267.2644913000609</v>
      </c>
      <c r="CJ698" s="16" t="str">
        <f>INDEX(Input!$1:$1048576,CJ$93,$C698*2+6)</f>
        <v>N</v>
      </c>
      <c r="CK698" s="1" t="str">
        <f t="shared" si="1993"/>
        <v>Market</v>
      </c>
      <c r="CL698" s="1" t="str">
        <f t="shared" si="1994"/>
        <v>Market</v>
      </c>
      <c r="CM698" s="1" t="str">
        <f t="shared" si="1995"/>
        <v>Market</v>
      </c>
      <c r="CN698" s="1" t="str">
        <f t="shared" si="1996"/>
        <v>Market</v>
      </c>
      <c r="CO698" s="1" t="str">
        <f t="shared" si="1997"/>
        <v>Market</v>
      </c>
      <c r="CP698" s="304">
        <f t="shared" si="1998"/>
        <v>500</v>
      </c>
      <c r="CQ698" s="1">
        <f t="shared" si="1999"/>
        <v>0</v>
      </c>
      <c r="CR698" s="1">
        <f t="shared" si="2000"/>
        <v>0</v>
      </c>
      <c r="CS698" s="1">
        <f t="shared" si="2001"/>
        <v>0</v>
      </c>
      <c r="CT698" s="1">
        <f t="shared" si="2002"/>
        <v>1.9E-2</v>
      </c>
      <c r="CU698" s="1">
        <f t="shared" si="2003"/>
        <v>3.9E-2</v>
      </c>
      <c r="CV698" s="304">
        <f t="shared" si="2004"/>
        <v>737.99367635402496</v>
      </c>
      <c r="CW698" s="20" t="s">
        <v>122</v>
      </c>
      <c r="CX698" s="20" t="s">
        <v>122</v>
      </c>
      <c r="CY698" s="20" t="s">
        <v>122</v>
      </c>
      <c r="CZ698" s="20" t="s">
        <v>122</v>
      </c>
      <c r="DA698" s="20" t="s">
        <v>122</v>
      </c>
      <c r="DB698" s="503">
        <f t="shared" si="2005"/>
        <v>0</v>
      </c>
      <c r="DC698" s="127">
        <v>0</v>
      </c>
      <c r="DD698" s="127">
        <v>0</v>
      </c>
      <c r="DE698" s="127">
        <v>0</v>
      </c>
      <c r="DF698" s="127">
        <v>0</v>
      </c>
      <c r="DG698" s="127">
        <v>0</v>
      </c>
      <c r="DH698" s="127">
        <v>0</v>
      </c>
      <c r="DI698" s="127">
        <v>0</v>
      </c>
      <c r="DJ698" s="127">
        <v>0</v>
      </c>
      <c r="DK698" s="127">
        <v>0</v>
      </c>
      <c r="DL698" s="127">
        <v>0</v>
      </c>
      <c r="DM698" s="304">
        <f>INDEX(Input!$1:$1048576,DM$93,$C698*2+6)</f>
        <v>21036.84210526316</v>
      </c>
      <c r="DN698" s="20">
        <v>0</v>
      </c>
      <c r="DO698" s="20">
        <v>0</v>
      </c>
      <c r="DP698" s="20">
        <v>0</v>
      </c>
      <c r="DQ698" s="20">
        <v>0</v>
      </c>
      <c r="DR698" s="20">
        <v>0</v>
      </c>
      <c r="DS698" s="20">
        <f>INDEX(Input!$1:$1048576,DS$93,$C698*2+6)</f>
        <v>0.6</v>
      </c>
      <c r="DT698" s="20">
        <f>INDEX(Input!$1:$1048576,DT$93,$C698*2+6)</f>
        <v>0.55000000000000004</v>
      </c>
      <c r="DU698" s="20">
        <f>INDEX(Input!$1:$1048576,DU$93,$C698*2+6)</f>
        <v>0.52</v>
      </c>
      <c r="DV698" s="20">
        <f>INDEX(Input!$1:$1048576,DV$93,$C698*2+6)</f>
        <v>0.5</v>
      </c>
      <c r="DW698" s="20">
        <f>INDEX(Input!$1:$1048576,DW$93,$C698*2+6)</f>
        <v>0.45</v>
      </c>
      <c r="DX698" s="20"/>
      <c r="DY698" s="7"/>
      <c r="DZ698" s="7"/>
      <c r="EA698" s="7"/>
      <c r="EB698" s="7"/>
      <c r="EC698" s="7"/>
      <c r="ED698" s="7"/>
      <c r="EE698" s="7"/>
      <c r="EF698" s="7"/>
      <c r="EG698" s="7"/>
      <c r="EH698" s="7"/>
      <c r="EI698" s="7"/>
      <c r="EJ698" s="7"/>
      <c r="EK698" s="7"/>
      <c r="EL698" s="7"/>
      <c r="EM698" s="7"/>
      <c r="EN698" s="7"/>
      <c r="EO698" s="7"/>
      <c r="EP698" s="7"/>
      <c r="EQ698" s="7"/>
      <c r="ER698" s="7"/>
      <c r="ES698" s="7"/>
      <c r="ET698" s="7"/>
      <c r="EU698" s="6"/>
      <c r="EV698" s="6"/>
      <c r="EW698" s="6"/>
      <c r="EX698" s="6"/>
      <c r="EY698" s="6"/>
      <c r="EZ698" s="6"/>
      <c r="FA698" s="6"/>
      <c r="FB698" s="6"/>
      <c r="FC698" s="6"/>
      <c r="FD698" s="6"/>
      <c r="FE698" s="6"/>
      <c r="FF698" s="6"/>
      <c r="FG698" s="6"/>
      <c r="FH698" s="6"/>
      <c r="FI698" s="6"/>
      <c r="FJ698" s="6"/>
      <c r="FK698" s="6"/>
      <c r="FL698" s="6"/>
      <c r="FM698" s="6"/>
      <c r="FN698" s="6"/>
      <c r="FO698" s="6"/>
      <c r="FP698" s="6"/>
      <c r="FQ698" s="6"/>
      <c r="FR698" s="6"/>
      <c r="FS698" s="6"/>
      <c r="FT698" s="7"/>
      <c r="FU698" s="7"/>
      <c r="FV698" s="7"/>
      <c r="FW698" s="6"/>
      <c r="FX698" s="6"/>
      <c r="FY698" s="6"/>
      <c r="FZ698" s="6"/>
      <c r="GA698" s="6"/>
      <c r="GB698" s="6"/>
      <c r="GC698" s="7"/>
      <c r="GD698" s="7"/>
      <c r="GE698" s="7"/>
      <c r="GF698" s="7"/>
      <c r="GG698" s="7"/>
      <c r="GH698" s="42"/>
      <c r="GI698" s="6"/>
      <c r="GJ698" s="14"/>
      <c r="GK698" s="14"/>
      <c r="GL698" s="14"/>
      <c r="GM698" s="14"/>
      <c r="GO698" s="5"/>
      <c r="GP698" s="5"/>
      <c r="GQ698" s="5"/>
      <c r="GR698" s="5"/>
      <c r="GS698" s="5"/>
      <c r="GT698" s="5"/>
      <c r="GU698" s="5"/>
      <c r="GV698" s="39"/>
      <c r="GW698" s="5"/>
      <c r="GX698" s="5"/>
      <c r="GY698" s="5"/>
      <c r="GZ698" s="5"/>
      <c r="HA698" s="5"/>
      <c r="HB698" s="39"/>
      <c r="HC698" s="5"/>
      <c r="HD698" s="5"/>
      <c r="HE698" s="5"/>
      <c r="HF698" s="5"/>
      <c r="HG698" s="5"/>
      <c r="HH698" s="39"/>
      <c r="HI698" s="16"/>
      <c r="HJ698" s="19"/>
      <c r="HK698" s="1"/>
      <c r="HL698" s="16"/>
      <c r="HM698" s="639" t="e">
        <f t="shared" si="2013"/>
        <v>#DIV/0!</v>
      </c>
      <c r="HN698" s="639" t="e">
        <f t="shared" si="2014"/>
        <v>#DIV/0!</v>
      </c>
      <c r="HO698" s="639" t="e">
        <f t="shared" si="2015"/>
        <v>#DIV/0!</v>
      </c>
      <c r="HP698" s="644">
        <f t="shared" ref="HP698:ID698" si="2148">HP198+HP298+HP398+HP498+HP598</f>
        <v>0</v>
      </c>
      <c r="HQ698" s="644">
        <f t="shared" si="2148"/>
        <v>0</v>
      </c>
      <c r="HR698" s="644">
        <f t="shared" si="2148"/>
        <v>0</v>
      </c>
      <c r="HS698" s="644">
        <f t="shared" si="2148"/>
        <v>0</v>
      </c>
      <c r="HT698" s="644">
        <f t="shared" si="2148"/>
        <v>0</v>
      </c>
      <c r="HU698" s="644">
        <f t="shared" si="2148"/>
        <v>0</v>
      </c>
      <c r="HV698" s="644">
        <f t="shared" si="2148"/>
        <v>0</v>
      </c>
      <c r="HW698" s="644">
        <f t="shared" si="2148"/>
        <v>0</v>
      </c>
      <c r="HX698" s="644">
        <f t="shared" si="2148"/>
        <v>0</v>
      </c>
      <c r="HY698" s="644">
        <f t="shared" si="2148"/>
        <v>0</v>
      </c>
      <c r="HZ698" s="644">
        <f t="shared" si="2148"/>
        <v>0</v>
      </c>
      <c r="IA698" s="644">
        <f t="shared" si="2148"/>
        <v>0</v>
      </c>
      <c r="IB698" s="644">
        <f t="shared" si="2148"/>
        <v>0</v>
      </c>
      <c r="IC698" s="644">
        <f t="shared" si="2148"/>
        <v>0</v>
      </c>
      <c r="ID698" s="644">
        <f t="shared" si="2148"/>
        <v>0</v>
      </c>
      <c r="IE698" s="20" t="e">
        <f t="shared" si="2017"/>
        <v>#DIV/0!</v>
      </c>
      <c r="IF698" s="20" t="e">
        <f t="shared" si="2018"/>
        <v>#DIV/0!</v>
      </c>
      <c r="IG698" s="20" t="e">
        <f t="shared" si="2019"/>
        <v>#DIV/0!</v>
      </c>
      <c r="IH698" s="21"/>
      <c r="II698" s="19"/>
      <c r="IJ698" s="19"/>
      <c r="IK698" s="19"/>
      <c r="IL698" s="19" t="e">
        <f t="shared" si="2020"/>
        <v>#DIV/0!</v>
      </c>
      <c r="IM698" s="19" t="e">
        <f t="shared" si="2021"/>
        <v>#DIV/0!</v>
      </c>
      <c r="IN698" s="19" t="e">
        <f t="shared" si="2022"/>
        <v>#DIV/0!</v>
      </c>
      <c r="IO698" s="39"/>
      <c r="IP698" s="39"/>
      <c r="IQ698" s="39"/>
      <c r="IR698" s="39"/>
      <c r="IS698" s="39"/>
      <c r="IT698" s="39"/>
      <c r="IU698" s="39"/>
      <c r="IV698" s="39"/>
      <c r="IW698" s="39"/>
      <c r="IX698" s="19" t="e">
        <f t="shared" si="2023"/>
        <v>#DIV/0!</v>
      </c>
      <c r="IY698" s="19" t="e">
        <f t="shared" si="2024"/>
        <v>#DIV/0!</v>
      </c>
      <c r="IZ698" s="19" t="e">
        <f t="shared" si="2025"/>
        <v>#DIV/0!</v>
      </c>
      <c r="JA698" s="19">
        <f t="shared" ref="JA698:JC698" si="2149">IFERROR((JA198*IB198+JA298*IB298+JA398*IB398+JA498*IB498+JA598*IB598)/IB698,0)</f>
        <v>0</v>
      </c>
      <c r="JB698" s="19">
        <f t="shared" si="2149"/>
        <v>0</v>
      </c>
      <c r="JC698" s="19">
        <f t="shared" si="2149"/>
        <v>0</v>
      </c>
      <c r="JD698" s="19" t="e">
        <f t="shared" si="2027"/>
        <v>#DIV/0!</v>
      </c>
      <c r="JE698" s="21"/>
      <c r="JF698" s="1" t="e">
        <f t="shared" si="2028"/>
        <v>#DIV/0!</v>
      </c>
      <c r="JG698" s="15">
        <f t="shared" si="2029"/>
        <v>0</v>
      </c>
      <c r="JH698" s="1" t="e">
        <f t="shared" si="2030"/>
        <v>#DIV/0!</v>
      </c>
      <c r="JI698" s="1" t="e">
        <f t="shared" si="2031"/>
        <v>#DIV/0!</v>
      </c>
      <c r="JJ698" s="1" t="e">
        <f t="shared" si="2032"/>
        <v>#DIV/0!</v>
      </c>
      <c r="JK698" s="1" t="e">
        <f t="shared" si="2033"/>
        <v>#DIV/0!</v>
      </c>
      <c r="JL698" s="15">
        <f t="shared" ref="JL698:JM698" si="2150">JL198+JL298+JL398+JL498+JL598</f>
        <v>0</v>
      </c>
      <c r="JM698" s="15">
        <f t="shared" si="2150"/>
        <v>0</v>
      </c>
      <c r="JN698" s="21"/>
      <c r="JO698" s="19">
        <f>INDEX(Input!$1:$1048576,JO$93,$C698*2+6)</f>
        <v>5995.5</v>
      </c>
      <c r="JP698" s="19">
        <f>INDEX(Input!$1:$1048576,JP$93,$C698*2+6)</f>
        <v>2296.6050414551746</v>
      </c>
      <c r="JQ698" s="39" t="e">
        <f t="shared" si="2053"/>
        <v>#DIV/0!</v>
      </c>
      <c r="JR698" s="39" t="e">
        <f t="shared" si="2054"/>
        <v>#DIV/0!</v>
      </c>
      <c r="JS698" s="39" t="e">
        <f t="shared" si="2055"/>
        <v>#DIV/0!</v>
      </c>
      <c r="JT698" s="39" t="e">
        <f t="shared" si="2056"/>
        <v>#DIV/0!</v>
      </c>
      <c r="JU698" s="385" t="e">
        <f>(JQ698*JM698-INDEX(Input!$1:$1048576,Input!A$18,$C698*2+6)*JL698*INDEX(Input!$1:$1048576,Input!A$19,$C698*2+6))/1000000</f>
        <v>#DIV/0!</v>
      </c>
      <c r="JV698" s="39" t="e">
        <f t="shared" si="2057"/>
        <v>#DIV/0!</v>
      </c>
      <c r="JW698" s="1" t="e">
        <f t="shared" si="2058"/>
        <v>#DIV/0!</v>
      </c>
      <c r="JX698" s="19">
        <f t="shared" si="2059"/>
        <v>0</v>
      </c>
      <c r="JZ698" s="341"/>
      <c r="KA698" s="60"/>
      <c r="KB698" s="469">
        <f t="shared" si="2035"/>
        <v>0</v>
      </c>
      <c r="KI698" s="472"/>
      <c r="KJ698" s="472"/>
      <c r="KK698" s="472"/>
      <c r="KN698" s="26">
        <f t="shared" si="2036"/>
        <v>6002</v>
      </c>
      <c r="KO698" s="794">
        <f t="shared" si="2037"/>
        <v>-1</v>
      </c>
      <c r="KP698" s="795" t="e">
        <f t="shared" si="2038"/>
        <v>#DIV/0!</v>
      </c>
      <c r="KQ698" s="795" t="e">
        <f t="shared" si="2039"/>
        <v>#DIV/0!</v>
      </c>
      <c r="KR698" s="26" t="e">
        <f t="shared" si="2040"/>
        <v>#DIV/0!</v>
      </c>
      <c r="KS698" s="26" t="e">
        <f t="shared" si="2041"/>
        <v>#DIV/0!</v>
      </c>
      <c r="KT698" s="796">
        <f t="shared" si="2049"/>
        <v>4286.2445668946921</v>
      </c>
      <c r="KU698" s="797">
        <f t="shared" si="2042"/>
        <v>0</v>
      </c>
    </row>
    <row r="699" spans="1:307" s="26" customFormat="1" ht="15" outlineLevel="1">
      <c r="A699" s="561">
        <f t="shared" si="2009"/>
        <v>6099</v>
      </c>
      <c r="B699" s="561">
        <f t="shared" si="2043"/>
        <v>99</v>
      </c>
      <c r="C699" s="561">
        <f t="shared" si="2044"/>
        <v>6</v>
      </c>
      <c r="D699" s="561" t="str">
        <f t="shared" si="2108"/>
        <v/>
      </c>
      <c r="E699" s="475">
        <f>INDEX(Input!$1:$1048576,E$93,$C699*2+MIN($B699,2)+5)
+INDEX(Scenarios!E$121:E$199,MATCH($B699,Scenarios!$B$121:$B$199,0))</f>
        <v>1267.2644913000609</v>
      </c>
      <c r="F699" s="475">
        <f>INDEX(Input!$1:$1048576,F$93,$C699*2+MIN($B699,2)+5)
+INDEX(Scenarios!F$121:F$199,MATCH($B699,Scenarios!$B$121:$B$199,0))</f>
        <v>0</v>
      </c>
      <c r="G699" s="475">
        <f>INDEX(Input!$1:$1048576,G$93,$C699*2+MIN($B699,2)+5)
+INDEX(Scenarios!G$121:G$199,MATCH($B699,Scenarios!$B$121:$B$199,0))</f>
        <v>0</v>
      </c>
      <c r="H699" s="475">
        <f>INDEX(Input!$1:$1048576,H$93,$C699*2+MIN($B699,2)+5)
+INDEX(Scenarios!H$121:H$199,MATCH($B699,Scenarios!$B$121:$B$199,0))</f>
        <v>0</v>
      </c>
      <c r="I699" s="476">
        <f>INDEX(Input!$1:$1048576,I$93,$C699*2+MIN($B699,2)+5)
+INDEX(Scenarios!I$121:I$199,MATCH($B699,Scenarios!$B$121:$B$199,0))</f>
        <v>0.7</v>
      </c>
      <c r="J699" s="476" t="str">
        <f>INDEX(Input!$1:$1048576,J$93,$C699*2+MIN($B699,2)+5)</f>
        <v>Market</v>
      </c>
      <c r="K699" s="476" t="str">
        <f>INDEX(Input!$1:$1048576,K$93,$C699*2+MIN($B699,2)+5)</f>
        <v>Market</v>
      </c>
      <c r="L699" s="476" t="str">
        <f>INDEX(Input!$1:$1048576,L$93,$C699*2+MIN($B699,2)+5)</f>
        <v>Market</v>
      </c>
      <c r="M699" s="476" t="str">
        <f>INDEX(Input!$1:$1048576,M$93,$C699*2+MIN($B699,2)+5)</f>
        <v>Market</v>
      </c>
      <c r="N699" s="476" t="str">
        <f>INDEX(Input!$1:$1048576,N$93,$C699*2+MIN($B699,2)+5)</f>
        <v>Market</v>
      </c>
      <c r="O699" s="476" t="str">
        <f>INDEX(Input!$1:$1048576,O$93,$C699*2+MIN($B699,2)+5)</f>
        <v>Market</v>
      </c>
      <c r="P699" s="476" t="str">
        <f>INDEX(Input!$1:$1048576,P$93,$C699*2+MIN($B699,2)+5)</f>
        <v>N</v>
      </c>
      <c r="Q699" s="477">
        <f>INDEX(Input!$1:$1048576,Q$93,$C699*2+MIN($B699,2)+5)
+INDEX(Scenarios!Q$121:Q$199,MATCH($B699,Scenarios!$B$121:$B$199,0))</f>
        <v>0</v>
      </c>
      <c r="R699" s="478">
        <f>IFERROR(MAX(0,INDEX(Input!$1:$1048576,R$93,$C699*2+MIN($B699,2)+5)
+INDEX(Scenarios!R$121:R$199,MATCH($B699,Scenarios!$B$121:$B$199,0)),),"Market")</f>
        <v>0</v>
      </c>
      <c r="S699" s="478">
        <f>IFERROR(MAX(0,INDEX(Input!$1:$1048576,S$93,$C699*2+MIN($B699,2)+5)
+INDEX(Scenarios!S$121:S$199,MATCH($B699,Scenarios!$B$121:$B$199,0)),),"Market")</f>
        <v>0</v>
      </c>
      <c r="T699" s="478">
        <f>IFERROR(MAX(0,INDEX(Input!$1:$1048576,T$93,$C699*2+MIN($B699,2)+5)
+INDEX(Scenarios!T$121:T$199,MATCH($B699,Scenarios!$B$121:$B$199,0)),),"Market")</f>
        <v>0</v>
      </c>
      <c r="U699" s="478">
        <f>IFERROR(MAX(0,INDEX(Input!$1:$1048576,U$93,$C699*2+MIN($B699,2)+5)
+INDEX(Scenarios!U$121:U$199,MATCH($B699,Scenarios!$B$121:$B$199,0)),),"Market")</f>
        <v>0</v>
      </c>
      <c r="V699" s="478">
        <f>IFERROR(MAX(0,INDEX(Input!$1:$1048576,V$93,$C699*2+MIN($B699,2)+5)
+INDEX(Scenarios!V$121:V$199,MATCH($B699,Scenarios!$B$121:$B$199,0)),),"Market")</f>
        <v>1.9E-2</v>
      </c>
      <c r="W699" s="885">
        <f>IFERROR(MAX(0,INDEX(Input!$1:$1048576,W$93,$C699*2+MIN($B699,2)+5)-0%),"Market")</f>
        <v>3.9E-2</v>
      </c>
      <c r="X699" s="476" t="str">
        <f>INDEX(Input!$1:$1048576,X$93,$C699*2+MIN($B699,2)+5)</f>
        <v>Y</v>
      </c>
      <c r="Y699" s="475">
        <f>INDEX(Input!$1:$1048576,Y$93,$C699*2+MIN($B699,2)+5)
++INDEX(Scenarios!Y$121:Y$199,MATCH($B699,Scenarios!$B$121:$B$199,0))</f>
        <v>737.99367635402496</v>
      </c>
      <c r="Z699" s="477">
        <f>INDEX(Input!$1:$1048576,Z$93,$C699*2+MIN($B699,2)+5)
+INDEX(Scenarios!Z$121:Z$199,MATCH($B699,Scenarios!$B$121:$B$199,0))</f>
        <v>0</v>
      </c>
      <c r="AA699" s="475">
        <f>INDEX(Input!$1:$1048576,AA$93,$C699*2+MIN($B699,2)+5)</f>
        <v>0</v>
      </c>
      <c r="AB699" s="476">
        <f>INDEX(Input!$1:$1048576,AB$93,$C699*2+MIN($B699,2)+5)</f>
        <v>0.27</v>
      </c>
      <c r="AC699" s="475">
        <f>INDEX(Input!$1:$1048576,AC$93,$C699*2+MIN($B699,2)+5)
+INDEX(Scenarios!AC$121:AC$199,MATCH($B699,Scenarios!$B$121:$B$199,0))</f>
        <v>0</v>
      </c>
      <c r="AD699" s="476">
        <f>INDEX(Input!$1:$1048576,AD$93,$C699*2+MIN($B699,2)+5)</f>
        <v>0.27</v>
      </c>
      <c r="AE699" s="475">
        <f>INDEX(Input!$1:$1048576,AE$93,$C699*2+MIN($B699,2)+5)
+INDEX(Scenarios!AE$121:AE$199,MATCH($B699,Scenarios!$B$121:$B$199,0))</f>
        <v>0</v>
      </c>
      <c r="AF699" s="476">
        <f>INDEX(Input!$1:$1048576,AF$93,$C699*2+MIN($B699,2)+5)</f>
        <v>1</v>
      </c>
      <c r="AG699" s="475">
        <f>INDEX(Input!$1:$1048576,AG$93,$C699*2+MIN($B699,2)+5)</f>
        <v>500</v>
      </c>
      <c r="AH699" s="476">
        <f>INDEX(Input!$1:$1048576,AH$93,$C699*2+MIN($B699,2)+5)</f>
        <v>1</v>
      </c>
      <c r="AI699" s="475">
        <f>INDEX(Input!$1:$1048576,AI$93,$C699*2+MIN($B699,2)+5)</f>
        <v>0</v>
      </c>
      <c r="AJ699" s="476">
        <f>INDEX(Input!$1:$1048576,AJ$93,$C699*2+MIN($B699,2)+5)</f>
        <v>0.27</v>
      </c>
      <c r="AK699" s="150">
        <f>ROUND(INDEX(Input!$1:$1048576,AK$93,$C698*2+MIN($B699,1)+5)+(Y699-VLOOKUP($C699*1000+1,$A:$HH,Y$92,FALSE)),0)</f>
        <v>3061</v>
      </c>
      <c r="AL699" s="150">
        <f>ROUND(INDEX(Input!$1:$1048576,AL$93,$C698*2+MIN($B699,1)+5)-(Y699-VLOOKUP($C699*1000+1,$A:$HH,Y$92,FALSE))/36,0)</f>
        <v>3552</v>
      </c>
      <c r="AM699" s="32" t="str">
        <f t="shared" si="2010"/>
        <v>std/std/std/std</v>
      </c>
      <c r="AN699" s="32" t="str">
        <f t="shared" si="2011"/>
        <v>$0 + 0/0/0/1.9/3.9</v>
      </c>
      <c r="AO699" s="32" t="str">
        <f t="shared" si="2012"/>
        <v>0/0/0/1.9/3.9</v>
      </c>
      <c r="AP699" s="32" t="str">
        <f t="shared" si="1990"/>
        <v>0/0.9/1.9/3.9</v>
      </c>
      <c r="AQ699" s="536" t="e">
        <f t="shared" si="1991"/>
        <v>#DIV/0!</v>
      </c>
      <c r="AR699" s="32"/>
      <c r="AS699" s="302"/>
      <c r="AT699" s="3">
        <f t="shared" si="2045"/>
        <v>99</v>
      </c>
      <c r="AU699" s="41" t="s">
        <v>121</v>
      </c>
      <c r="AV699" s="41" t="s">
        <v>116</v>
      </c>
      <c r="AW699" s="41" t="str">
        <f>INDEX(Input!$1:$1048576,AW$93,$C699*2+6)</f>
        <v>Kia</v>
      </c>
      <c r="AX699" s="41" t="str">
        <f>INDEX(Input!$1:$1048576,AX$93,$C699*2+6)</f>
        <v>National</v>
      </c>
      <c r="AY699" s="41" t="str">
        <f>IF(LEN(D699)=0,"",INDEX(Input!$1:$1048576,AY$93,$C699*2+6))</f>
        <v/>
      </c>
      <c r="AZ699" s="41" t="str">
        <f>INDEX(Input!$1:$1048576,AZ$93,$C699*2+6)</f>
        <v>Kia Soul</v>
      </c>
      <c r="BA699" s="3">
        <f>INDEX(Input!$1:$1048576,BA$93,$C699*2+6)</f>
        <v>2020</v>
      </c>
      <c r="BB699" s="128">
        <f>INDEX(Input!$1:$1048576,BB$93,$C699*2+6)</f>
        <v>1</v>
      </c>
      <c r="BC699" s="128">
        <f>INDEX(Input!$1:$1048576,BC$93,$C699*2+6)</f>
        <v>0.7</v>
      </c>
      <c r="BD699" s="1">
        <f>INDEX(Input!$1:$1048576,BD$93,$C699*2+6)</f>
        <v>4.4999999999999998E-2</v>
      </c>
      <c r="BE699" s="1">
        <f>INDEX(Input!$1:$1048576,BE$93,$C699*2+6)</f>
        <v>4.4999999999999998E-2</v>
      </c>
      <c r="BF699" s="1">
        <f>INDEX(Input!$1:$1048576,BF$93,$C699*2+6)</f>
        <v>0.05</v>
      </c>
      <c r="BG699" s="1">
        <f>INDEX(Input!$1:$1048576,BG$93,$C699*2+6)</f>
        <v>5.45E-2</v>
      </c>
      <c r="BH699" s="1">
        <f>INDEX(Input!$1:$1048576,BH$93,$C699*2+6)</f>
        <v>5.45E-2</v>
      </c>
      <c r="BI699" s="1">
        <f>INDEX(Input!$1:$1048576,BI$93,$C699*2+6)</f>
        <v>0.05</v>
      </c>
      <c r="BJ699" s="1">
        <f>INDEX(Input!$1:$1048576,BJ$93,$C699*2+6)</f>
        <v>0.05</v>
      </c>
      <c r="BK699" s="1">
        <f>INDEX(Input!$1:$1048576,BK$93,$C699*2+6)</f>
        <v>0.05</v>
      </c>
      <c r="BL699" s="1">
        <f>INDEX(Input!$1:$1048576,BL$93,$C699*2+6)</f>
        <v>5.5E-2</v>
      </c>
      <c r="BM699" s="1">
        <f>INDEX(Input!$1:$1048576,BM$93,$C699*2+6)</f>
        <v>0.06</v>
      </c>
      <c r="BN699" s="1">
        <f>INDEX(Input!$1:$1048576,BN$93,$C699*2+6)</f>
        <v>4.4999999999999998E-2</v>
      </c>
      <c r="BO699" s="1">
        <f>INDEX(Input!$1:$1048576,BO$93,$C699*2+6)</f>
        <v>4.4999999999999998E-2</v>
      </c>
      <c r="BP699" s="1">
        <f>INDEX(Input!$1:$1048576,BP$93,$C699*2+6)</f>
        <v>0.05</v>
      </c>
      <c r="BQ699" s="1">
        <f>INDEX(Input!$1:$1048576,BQ$93,$C699*2+6)</f>
        <v>5.45E-2</v>
      </c>
      <c r="BR699" s="1">
        <f>INDEX(Input!$1:$1048576,BR$93,$C699*2+6)</f>
        <v>5.45E-2</v>
      </c>
      <c r="BS699" s="1">
        <f>INDEX(Input!$1:$1048576,BS$93,$C699*2+6)</f>
        <v>0.05</v>
      </c>
      <c r="BT699" s="1">
        <f>INDEX(Input!$1:$1048576,BT$93,$C699*2+6)</f>
        <v>0.05</v>
      </c>
      <c r="BU699" s="1">
        <f>INDEX(Input!$1:$1048576,BU$93,$C699*2+6)</f>
        <v>0.05</v>
      </c>
      <c r="BV699" s="1">
        <f>INDEX(Input!$1:$1048576,BV$93,$C699*2+6)</f>
        <v>5.5E-2</v>
      </c>
      <c r="BW699" s="1">
        <f>INDEX(Input!$1:$1048576,BW$93,$C699*2+6)</f>
        <v>0.06</v>
      </c>
      <c r="BX699" s="127">
        <f>INDEX(Input!$1:$1048576,BX$93,$C699*2+6)</f>
        <v>19985</v>
      </c>
      <c r="BY699" s="20">
        <f>INDEX(Input!$1:$1048576,BY$93,$C699*2+6)</f>
        <v>0.1</v>
      </c>
      <c r="BZ699" s="20">
        <f>INDEX(Input!$1:$1048576,BZ$93,$C699*2+6)</f>
        <v>0.1</v>
      </c>
      <c r="CA699" s="20">
        <f>INDEX(Input!$1:$1048576,CA$93,$C699*2+6)</f>
        <v>0.1</v>
      </c>
      <c r="CB699" s="20">
        <f>INDEX(Input!$1:$1048576,CB$93,$C699*2+6)</f>
        <v>0.1</v>
      </c>
      <c r="CC699" s="20">
        <f>INDEX(Input!$1:$1048576,CC$93,$C699*2+6)</f>
        <v>0.1</v>
      </c>
      <c r="CD699" s="384">
        <f>INDEX(Input!$1:$1048576,CD$93,$C699*2+6)</f>
        <v>0.1</v>
      </c>
      <c r="CE699" s="384">
        <f>INDEX(Input!$1:$1048576,CE$93,$C699*2+6)</f>
        <v>0.1</v>
      </c>
      <c r="CF699" s="384">
        <f>INDEX(Input!$1:$1048576,CF$93,$C699*2+6)</f>
        <v>0.1</v>
      </c>
      <c r="CG699" s="384">
        <f>INDEX(Input!$1:$1048576,CG$93,$C699*2+6)</f>
        <v>0.1</v>
      </c>
      <c r="CH699" s="384">
        <f>INDEX(Input!$1:$1048576,CH$93,$C699*2+6)</f>
        <v>0.1</v>
      </c>
      <c r="CI699" s="304">
        <f t="shared" si="1992"/>
        <v>1267.2644913000609</v>
      </c>
      <c r="CJ699" s="16" t="str">
        <f>INDEX(Input!$1:$1048576,CJ$93,$C699*2+6)</f>
        <v>N</v>
      </c>
      <c r="CK699" s="1" t="str">
        <f t="shared" si="1993"/>
        <v>Market</v>
      </c>
      <c r="CL699" s="1" t="str">
        <f t="shared" si="1994"/>
        <v>Market</v>
      </c>
      <c r="CM699" s="1" t="str">
        <f t="shared" si="1995"/>
        <v>Market</v>
      </c>
      <c r="CN699" s="1" t="str">
        <f t="shared" si="1996"/>
        <v>Market</v>
      </c>
      <c r="CO699" s="1" t="str">
        <f t="shared" si="1997"/>
        <v>Market</v>
      </c>
      <c r="CP699" s="304">
        <f t="shared" si="1998"/>
        <v>500</v>
      </c>
      <c r="CQ699" s="1">
        <f t="shared" si="1999"/>
        <v>0</v>
      </c>
      <c r="CR699" s="1">
        <f t="shared" si="2000"/>
        <v>0</v>
      </c>
      <c r="CS699" s="1">
        <f t="shared" si="2001"/>
        <v>0</v>
      </c>
      <c r="CT699" s="1">
        <f t="shared" si="2002"/>
        <v>1.9E-2</v>
      </c>
      <c r="CU699" s="1">
        <f t="shared" si="2003"/>
        <v>3.9E-2</v>
      </c>
      <c r="CV699" s="304">
        <f t="shared" si="2004"/>
        <v>737.99367635402496</v>
      </c>
      <c r="CW699" s="20" t="s">
        <v>122</v>
      </c>
      <c r="CX699" s="20" t="s">
        <v>122</v>
      </c>
      <c r="CY699" s="20" t="s">
        <v>122</v>
      </c>
      <c r="CZ699" s="20" t="s">
        <v>122</v>
      </c>
      <c r="DA699" s="20" t="s">
        <v>122</v>
      </c>
      <c r="DB699" s="503">
        <f t="shared" si="2005"/>
        <v>0</v>
      </c>
      <c r="DC699" s="127">
        <v>0</v>
      </c>
      <c r="DD699" s="127">
        <v>0</v>
      </c>
      <c r="DE699" s="127">
        <v>0</v>
      </c>
      <c r="DF699" s="127">
        <v>0</v>
      </c>
      <c r="DG699" s="127">
        <v>0</v>
      </c>
      <c r="DH699" s="127">
        <v>0</v>
      </c>
      <c r="DI699" s="127">
        <v>0</v>
      </c>
      <c r="DJ699" s="127">
        <v>0</v>
      </c>
      <c r="DK699" s="127">
        <v>0</v>
      </c>
      <c r="DL699" s="127">
        <v>0</v>
      </c>
      <c r="DM699" s="304">
        <f>INDEX(Input!$1:$1048576,DM$93,$C699*2+6)</f>
        <v>21036.84210526316</v>
      </c>
      <c r="DN699" s="20">
        <v>0</v>
      </c>
      <c r="DO699" s="20">
        <v>0</v>
      </c>
      <c r="DP699" s="20">
        <v>0</v>
      </c>
      <c r="DQ699" s="20">
        <v>0</v>
      </c>
      <c r="DR699" s="20">
        <v>0</v>
      </c>
      <c r="DS699" s="20">
        <f>INDEX(Input!$1:$1048576,DS$93,$C699*2+6)</f>
        <v>0.6</v>
      </c>
      <c r="DT699" s="20">
        <f>INDEX(Input!$1:$1048576,DT$93,$C699*2+6)</f>
        <v>0.55000000000000004</v>
      </c>
      <c r="DU699" s="20">
        <f>INDEX(Input!$1:$1048576,DU$93,$C699*2+6)</f>
        <v>0.52</v>
      </c>
      <c r="DV699" s="20">
        <f>INDEX(Input!$1:$1048576,DV$93,$C699*2+6)</f>
        <v>0.5</v>
      </c>
      <c r="DW699" s="20">
        <f>INDEX(Input!$1:$1048576,DW$93,$C699*2+6)</f>
        <v>0.45</v>
      </c>
      <c r="DX699" s="20"/>
      <c r="DY699" s="7"/>
      <c r="DZ699" s="7"/>
      <c r="EA699" s="7"/>
      <c r="EB699" s="7"/>
      <c r="EC699" s="7"/>
      <c r="ED699" s="7"/>
      <c r="EE699" s="7"/>
      <c r="EF699" s="7"/>
      <c r="EG699" s="7"/>
      <c r="EH699" s="7"/>
      <c r="EI699" s="7"/>
      <c r="EJ699" s="7"/>
      <c r="EK699" s="7"/>
      <c r="EL699" s="7"/>
      <c r="EM699" s="7"/>
      <c r="EN699" s="7"/>
      <c r="EO699" s="7"/>
      <c r="EP699" s="7"/>
      <c r="EQ699" s="7"/>
      <c r="ER699" s="7"/>
      <c r="ES699" s="7"/>
      <c r="ET699" s="7"/>
      <c r="EU699" s="6"/>
      <c r="EV699" s="6"/>
      <c r="EW699" s="6"/>
      <c r="EX699" s="6"/>
      <c r="EY699" s="6"/>
      <c r="EZ699" s="6"/>
      <c r="FA699" s="6"/>
      <c r="FB699" s="6"/>
      <c r="FC699" s="6"/>
      <c r="FD699" s="6"/>
      <c r="FE699" s="6"/>
      <c r="FF699" s="6"/>
      <c r="FG699" s="6"/>
      <c r="FH699" s="6"/>
      <c r="FI699" s="6"/>
      <c r="FJ699" s="6"/>
      <c r="FK699" s="6"/>
      <c r="FL699" s="6"/>
      <c r="FM699" s="6"/>
      <c r="FN699" s="6"/>
      <c r="FO699" s="6"/>
      <c r="FP699" s="6"/>
      <c r="FQ699" s="6"/>
      <c r="FR699" s="6"/>
      <c r="FS699" s="6"/>
      <c r="FT699" s="7"/>
      <c r="FU699" s="7"/>
      <c r="FV699" s="7"/>
      <c r="FW699" s="6"/>
      <c r="FX699" s="6"/>
      <c r="FY699" s="6"/>
      <c r="FZ699" s="6"/>
      <c r="GA699" s="6"/>
      <c r="GB699" s="6"/>
      <c r="GC699" s="7"/>
      <c r="GD699" s="7"/>
      <c r="GE699" s="7"/>
      <c r="GF699" s="7"/>
      <c r="GG699" s="7"/>
      <c r="GH699" s="42"/>
      <c r="GI699" s="6"/>
      <c r="GJ699" s="14"/>
      <c r="GK699" s="14"/>
      <c r="GL699" s="14"/>
      <c r="GM699" s="14"/>
      <c r="GO699" s="5"/>
      <c r="GP699" s="5"/>
      <c r="GQ699" s="5"/>
      <c r="GR699" s="5"/>
      <c r="GS699" s="5"/>
      <c r="GT699" s="5"/>
      <c r="GU699" s="5"/>
      <c r="GV699" s="39"/>
      <c r="GW699" s="5"/>
      <c r="GX699" s="5"/>
      <c r="GY699" s="5"/>
      <c r="GZ699" s="5"/>
      <c r="HA699" s="5"/>
      <c r="HB699" s="39"/>
      <c r="HC699" s="5"/>
      <c r="HD699" s="5"/>
      <c r="HE699" s="5"/>
      <c r="HF699" s="5"/>
      <c r="HG699" s="5"/>
      <c r="HH699" s="39"/>
      <c r="HI699" s="16"/>
      <c r="HJ699" s="19"/>
      <c r="HK699" s="1"/>
      <c r="HL699" s="16"/>
      <c r="HM699" s="639" t="e">
        <f t="shared" si="2013"/>
        <v>#DIV/0!</v>
      </c>
      <c r="HN699" s="639" t="e">
        <f t="shared" si="2014"/>
        <v>#DIV/0!</v>
      </c>
      <c r="HO699" s="639" t="e">
        <f t="shared" si="2015"/>
        <v>#DIV/0!</v>
      </c>
      <c r="HP699" s="644">
        <f t="shared" ref="HP699:ID699" si="2151">HP199+HP299+HP399+HP499+HP599</f>
        <v>0</v>
      </c>
      <c r="HQ699" s="644">
        <f t="shared" si="2151"/>
        <v>0</v>
      </c>
      <c r="HR699" s="644">
        <f t="shared" si="2151"/>
        <v>0</v>
      </c>
      <c r="HS699" s="644">
        <f t="shared" si="2151"/>
        <v>0</v>
      </c>
      <c r="HT699" s="644">
        <f t="shared" si="2151"/>
        <v>0</v>
      </c>
      <c r="HU699" s="644">
        <f t="shared" si="2151"/>
        <v>0</v>
      </c>
      <c r="HV699" s="644">
        <f t="shared" si="2151"/>
        <v>0</v>
      </c>
      <c r="HW699" s="644">
        <f t="shared" si="2151"/>
        <v>0</v>
      </c>
      <c r="HX699" s="644">
        <f t="shared" si="2151"/>
        <v>0</v>
      </c>
      <c r="HY699" s="644">
        <f t="shared" si="2151"/>
        <v>0</v>
      </c>
      <c r="HZ699" s="644">
        <f t="shared" si="2151"/>
        <v>0</v>
      </c>
      <c r="IA699" s="644">
        <f t="shared" si="2151"/>
        <v>0</v>
      </c>
      <c r="IB699" s="644">
        <f t="shared" si="2151"/>
        <v>0</v>
      </c>
      <c r="IC699" s="644">
        <f t="shared" si="2151"/>
        <v>0</v>
      </c>
      <c r="ID699" s="644">
        <f t="shared" si="2151"/>
        <v>0</v>
      </c>
      <c r="IE699" s="20" t="e">
        <f t="shared" si="2017"/>
        <v>#DIV/0!</v>
      </c>
      <c r="IF699" s="20" t="e">
        <f t="shared" si="2018"/>
        <v>#DIV/0!</v>
      </c>
      <c r="IG699" s="20" t="e">
        <f t="shared" si="2019"/>
        <v>#DIV/0!</v>
      </c>
      <c r="IH699" s="21"/>
      <c r="II699" s="19"/>
      <c r="IJ699" s="19"/>
      <c r="IK699" s="19"/>
      <c r="IL699" s="19" t="e">
        <f t="shared" si="2020"/>
        <v>#DIV/0!</v>
      </c>
      <c r="IM699" s="19" t="e">
        <f t="shared" si="2021"/>
        <v>#DIV/0!</v>
      </c>
      <c r="IN699" s="19" t="e">
        <f t="shared" si="2022"/>
        <v>#DIV/0!</v>
      </c>
      <c r="IO699" s="39"/>
      <c r="IP699" s="39"/>
      <c r="IQ699" s="39"/>
      <c r="IR699" s="39"/>
      <c r="IS699" s="39"/>
      <c r="IT699" s="39"/>
      <c r="IU699" s="39"/>
      <c r="IV699" s="39"/>
      <c r="IW699" s="39"/>
      <c r="IX699" s="19" t="e">
        <f t="shared" si="2023"/>
        <v>#DIV/0!</v>
      </c>
      <c r="IY699" s="19" t="e">
        <f t="shared" si="2024"/>
        <v>#DIV/0!</v>
      </c>
      <c r="IZ699" s="19" t="e">
        <f t="shared" si="2025"/>
        <v>#DIV/0!</v>
      </c>
      <c r="JA699" s="19">
        <f t="shared" ref="JA699:JC699" si="2152">IFERROR((JA199*IB199+JA299*IB299+JA399*IB399+JA499*IB499+JA599*IB599)/IB699,0)</f>
        <v>0</v>
      </c>
      <c r="JB699" s="19">
        <f t="shared" si="2152"/>
        <v>0</v>
      </c>
      <c r="JC699" s="19">
        <f t="shared" si="2152"/>
        <v>0</v>
      </c>
      <c r="JD699" s="19" t="e">
        <f t="shared" si="2027"/>
        <v>#DIV/0!</v>
      </c>
      <c r="JE699" s="21"/>
      <c r="JF699" s="1" t="e">
        <f t="shared" si="2028"/>
        <v>#DIV/0!</v>
      </c>
      <c r="JG699" s="15">
        <f t="shared" si="2029"/>
        <v>0</v>
      </c>
      <c r="JH699" s="1" t="e">
        <f t="shared" si="2030"/>
        <v>#DIV/0!</v>
      </c>
      <c r="JI699" s="1" t="e">
        <f t="shared" si="2031"/>
        <v>#DIV/0!</v>
      </c>
      <c r="JJ699" s="1" t="e">
        <f t="shared" si="2032"/>
        <v>#DIV/0!</v>
      </c>
      <c r="JK699" s="1" t="e">
        <f t="shared" si="2033"/>
        <v>#DIV/0!</v>
      </c>
      <c r="JL699" s="15">
        <f t="shared" ref="JL699:JM699" si="2153">JL199+JL299+JL399+JL499+JL599</f>
        <v>0</v>
      </c>
      <c r="JM699" s="15">
        <f t="shared" si="2153"/>
        <v>0</v>
      </c>
      <c r="JN699" s="21"/>
      <c r="JO699" s="19">
        <f>INDEX(Input!$1:$1048576,JO$93,$C699*2+6)</f>
        <v>5995.5</v>
      </c>
      <c r="JP699" s="19">
        <f>INDEX(Input!$1:$1048576,JP$93,$C699*2+6)</f>
        <v>2296.6050414551746</v>
      </c>
      <c r="JQ699" s="39" t="e">
        <f t="shared" si="2053"/>
        <v>#DIV/0!</v>
      </c>
      <c r="JR699" s="39" t="e">
        <f t="shared" si="2054"/>
        <v>#DIV/0!</v>
      </c>
      <c r="JS699" s="39" t="e">
        <f t="shared" si="2055"/>
        <v>#DIV/0!</v>
      </c>
      <c r="JT699" s="39" t="e">
        <f t="shared" si="2056"/>
        <v>#DIV/0!</v>
      </c>
      <c r="JU699" s="385" t="e">
        <f>(JQ699*JM699-INDEX(Input!$1:$1048576,Input!A$18,$C699*2+6)*JL699*INDEX(Input!$1:$1048576,Input!A$19,$C699*2+6))/1000000</f>
        <v>#DIV/0!</v>
      </c>
      <c r="JV699" s="39" t="e">
        <f t="shared" si="2057"/>
        <v>#DIV/0!</v>
      </c>
      <c r="JW699" s="1" t="e">
        <f t="shared" si="2058"/>
        <v>#DIV/0!</v>
      </c>
      <c r="JX699" s="19">
        <f t="shared" si="2059"/>
        <v>0</v>
      </c>
      <c r="JZ699" s="341"/>
      <c r="KA699" s="60"/>
      <c r="KB699" s="469">
        <f t="shared" si="2035"/>
        <v>0</v>
      </c>
      <c r="KI699" s="472"/>
      <c r="KJ699" s="472"/>
      <c r="KK699" s="472"/>
      <c r="KN699" s="26">
        <f t="shared" si="2036"/>
        <v>6002</v>
      </c>
      <c r="KO699" s="794">
        <f t="shared" si="2037"/>
        <v>-1</v>
      </c>
      <c r="KP699" s="795" t="e">
        <f t="shared" si="2038"/>
        <v>#DIV/0!</v>
      </c>
      <c r="KQ699" s="795" t="e">
        <f t="shared" si="2039"/>
        <v>#DIV/0!</v>
      </c>
      <c r="KR699" s="26" t="e">
        <f t="shared" si="2040"/>
        <v>#DIV/0!</v>
      </c>
      <c r="KS699" s="26" t="e">
        <f t="shared" si="2041"/>
        <v>#DIV/0!</v>
      </c>
      <c r="KT699" s="796">
        <f t="shared" si="2049"/>
        <v>4286.2445668946921</v>
      </c>
      <c r="KU699" s="797">
        <f t="shared" si="2042"/>
        <v>0</v>
      </c>
    </row>
    <row r="700" spans="1:307" s="26" customFormat="1" ht="15" outlineLevel="1">
      <c r="A700" s="561">
        <f t="shared" si="2009"/>
        <v>6100</v>
      </c>
      <c r="B700" s="561">
        <f t="shared" si="2043"/>
        <v>100</v>
      </c>
      <c r="C700" s="561">
        <f t="shared" si="2044"/>
        <v>6</v>
      </c>
      <c r="D700" s="561" t="str">
        <f t="shared" si="2108"/>
        <v/>
      </c>
      <c r="E700" s="475">
        <f>INDEX(Input!$1:$1048576,E$93,$C700*2+MIN($B700,2)+5)</f>
        <v>1267.2644913000609</v>
      </c>
      <c r="F700" s="475">
        <f>INDEX(Input!$1:$1048576,F$93,$C700*2+MIN($B700,2)+5)</f>
        <v>0</v>
      </c>
      <c r="G700" s="475">
        <f>INDEX(Input!$1:$1048576,G$93,$C700*2+MIN($B700,2)+5)</f>
        <v>0</v>
      </c>
      <c r="H700" s="475">
        <f>INDEX(Input!$1:$1048576,H$93,$C700*2+MIN($B700,2)+5)</f>
        <v>0</v>
      </c>
      <c r="I700" s="476">
        <f>INDEX(Input!$1:$1048576,I$93,$C700*2+MIN($B700,2)+5)</f>
        <v>0.7</v>
      </c>
      <c r="J700" s="476" t="str">
        <f>INDEX(Input!$1:$1048576,J$93,$C700*2+MIN($B700,2)+5)</f>
        <v>Market</v>
      </c>
      <c r="K700" s="476" t="str">
        <f>INDEX(Input!$1:$1048576,K$93,$C700*2+MIN($B700,2)+5)</f>
        <v>Market</v>
      </c>
      <c r="L700" s="476" t="str">
        <f>INDEX(Input!$1:$1048576,L$93,$C700*2+MIN($B700,2)+5)</f>
        <v>Market</v>
      </c>
      <c r="M700" s="476" t="str">
        <f>INDEX(Input!$1:$1048576,M$93,$C700*2+MIN($B700,2)+5)</f>
        <v>Market</v>
      </c>
      <c r="N700" s="476" t="str">
        <f>INDEX(Input!$1:$1048576,N$93,$C700*2+MIN($B700,2)+5)</f>
        <v>Market</v>
      </c>
      <c r="O700" s="476" t="str">
        <f>INDEX(Input!$1:$1048576,O$93,$C700*2+MIN($B700,2)+5)</f>
        <v>Market</v>
      </c>
      <c r="P700" s="476" t="str">
        <f>INDEX(Input!$1:$1048576,P$93,$C700*2+MIN($B700,2)+5)</f>
        <v>N</v>
      </c>
      <c r="Q700" s="477">
        <f>INDEX(Input!$1:$1048576,Q$93,$C700*2+MIN($B700,2)+5)</f>
        <v>0</v>
      </c>
      <c r="R700" s="478">
        <f>IFERROR(MAX(0,INDEX(Input!$1:$1048576,R$93,$C700*2+MIN($B700,2)+5)-0%),"Market")</f>
        <v>0</v>
      </c>
      <c r="S700" s="478">
        <f>IFERROR(MAX(0,INDEX(Input!$1:$1048576,S$93,$C700*2+MIN($B700,2)+5)-0%),"Market")</f>
        <v>0</v>
      </c>
      <c r="T700" s="478">
        <f>IFERROR(MAX(0,INDEX(Input!$1:$1048576,T$93,$C700*2+MIN($B700,2)+5)-0%),"Market")</f>
        <v>0</v>
      </c>
      <c r="U700" s="478">
        <f>IFERROR(MAX(0,INDEX(Input!$1:$1048576,U$93,$C700*2+MIN($B700,2)+5)-0%),"Market")</f>
        <v>0</v>
      </c>
      <c r="V700" s="478">
        <f>IFERROR(MAX(0,INDEX(Input!$1:$1048576,V$93,$C700*2+MIN($B700,2)+5)-0%),"Market")</f>
        <v>1.9E-2</v>
      </c>
      <c r="W700" s="885">
        <f>IFERROR(MAX(0,INDEX(Input!$1:$1048576,W$93,$C700*2+MIN($B700,2)+5)-0%),"Market")</f>
        <v>3.9E-2</v>
      </c>
      <c r="X700" s="476" t="str">
        <f>INDEX(Input!$1:$1048576,X$93,$C700*2+MIN($B700,2)+5)</f>
        <v>Y</v>
      </c>
      <c r="Y700" s="475">
        <f>INDEX(Input!$1:$1048576,Y$93,$C700*2+MIN($B700,2)+5)</f>
        <v>737.99367635402496</v>
      </c>
      <c r="Z700" s="477">
        <f>INDEX(Input!$1:$1048576,Z$93,$C700*2+MIN($B700,2)+5)</f>
        <v>0</v>
      </c>
      <c r="AA700" s="475">
        <f>INDEX(Input!$1:$1048576,AA$93,$C700*2+MIN($B700,2)+5)</f>
        <v>0</v>
      </c>
      <c r="AB700" s="476">
        <f>INDEX(Input!$1:$1048576,AB$93,$C700*2+MIN($B700,2)+5)</f>
        <v>0.27</v>
      </c>
      <c r="AC700" s="475">
        <f>INDEX(Input!$1:$1048576,AC$93,$C700*2+MIN($B700,2)+5)</f>
        <v>0</v>
      </c>
      <c r="AD700" s="476">
        <f>INDEX(Input!$1:$1048576,AD$93,$C700*2+MIN($B700,2)+5)</f>
        <v>0.27</v>
      </c>
      <c r="AE700" s="475">
        <f>INDEX(Input!$1:$1048576,AE$93,$C700*2+MIN($B700,2)+5)</f>
        <v>0</v>
      </c>
      <c r="AF700" s="476">
        <f>INDEX(Input!$1:$1048576,AF$93,$C700*2+MIN($B700,2)+5)</f>
        <v>1</v>
      </c>
      <c r="AG700" s="475">
        <f>INDEX(Input!$1:$1048576,AG$93,$C700*2+MIN($B700,2)+5)</f>
        <v>500</v>
      </c>
      <c r="AH700" s="476">
        <f>INDEX(Input!$1:$1048576,AH$93,$C700*2+MIN($B700,2)+5)</f>
        <v>1</v>
      </c>
      <c r="AI700" s="475">
        <f>INDEX(Input!$1:$1048576,AI$93,$C700*2+MIN($B700,2)+5)</f>
        <v>0</v>
      </c>
      <c r="AJ700" s="476">
        <f>INDEX(Input!$1:$1048576,AJ$93,$C700*2+MIN($B700,2)+5)</f>
        <v>0.27</v>
      </c>
      <c r="AK700" s="150">
        <f>ROUND(INDEX(Input!$1:$1048576,AK$93,$C699*2+MIN($B700,1)+5)+(Y700-VLOOKUP($C700*1000+1,$A:$HH,Y$92,FALSE)),0)</f>
        <v>3061</v>
      </c>
      <c r="AL700" s="150">
        <f>ROUND(INDEX(Input!$1:$1048576,AL$93,$C699*2+MIN($B700,1)+5)-(Y700-VLOOKUP($C700*1000+1,$A:$HH,Y$92,FALSE))/36,0)</f>
        <v>3552</v>
      </c>
      <c r="AM700" s="32" t="str">
        <f t="shared" si="2010"/>
        <v>std/std/std/std</v>
      </c>
      <c r="AN700" s="32" t="str">
        <f t="shared" si="2011"/>
        <v>$0 + 0/0/0/1.9/3.9</v>
      </c>
      <c r="AO700" s="32" t="str">
        <f t="shared" si="2012"/>
        <v>0/0/0/1.9/3.9</v>
      </c>
      <c r="AP700" s="32" t="str">
        <f t="shared" si="1990"/>
        <v>0/0.9/1.9/3.9</v>
      </c>
      <c r="AQ700" s="536" t="e">
        <f t="shared" si="1991"/>
        <v>#DIV/0!</v>
      </c>
      <c r="AR700" s="32"/>
      <c r="AS700" s="302"/>
      <c r="AT700" s="3">
        <f t="shared" si="2045"/>
        <v>100</v>
      </c>
      <c r="AU700" s="41" t="s">
        <v>121</v>
      </c>
      <c r="AV700" s="41" t="s">
        <v>116</v>
      </c>
      <c r="AW700" s="41" t="str">
        <f>INDEX(Input!$1:$1048576,AW$93,$C700*2+6)</f>
        <v>Kia</v>
      </c>
      <c r="AX700" s="41" t="str">
        <f>INDEX(Input!$1:$1048576,AX$93,$C700*2+6)</f>
        <v>National</v>
      </c>
      <c r="AY700" s="41" t="str">
        <f>IF(LEN(D700)=0,"",INDEX(Input!$1:$1048576,AY$93,$C700*2+6))</f>
        <v/>
      </c>
      <c r="AZ700" s="41" t="str">
        <f>INDEX(Input!$1:$1048576,AZ$93,$C700*2+6)</f>
        <v>Kia Soul</v>
      </c>
      <c r="BA700" s="3">
        <f>INDEX(Input!$1:$1048576,BA$93,$C700*2+6)</f>
        <v>2020</v>
      </c>
      <c r="BB700" s="128">
        <f>INDEX(Input!$1:$1048576,BB$93,$C700*2+6)</f>
        <v>1</v>
      </c>
      <c r="BC700" s="128">
        <f>INDEX(Input!$1:$1048576,BC$93,$C700*2+6)</f>
        <v>0.7</v>
      </c>
      <c r="BD700" s="1">
        <f>INDEX(Input!$1:$1048576,BD$93,$C700*2+6)</f>
        <v>4.4999999999999998E-2</v>
      </c>
      <c r="BE700" s="1">
        <f>INDEX(Input!$1:$1048576,BE$93,$C700*2+6)</f>
        <v>4.4999999999999998E-2</v>
      </c>
      <c r="BF700" s="1">
        <f>INDEX(Input!$1:$1048576,BF$93,$C700*2+6)</f>
        <v>0.05</v>
      </c>
      <c r="BG700" s="1">
        <f>INDEX(Input!$1:$1048576,BG$93,$C700*2+6)</f>
        <v>5.45E-2</v>
      </c>
      <c r="BH700" s="1">
        <f>INDEX(Input!$1:$1048576,BH$93,$C700*2+6)</f>
        <v>5.45E-2</v>
      </c>
      <c r="BI700" s="1">
        <f>INDEX(Input!$1:$1048576,BI$93,$C700*2+6)</f>
        <v>0.05</v>
      </c>
      <c r="BJ700" s="1">
        <f>INDEX(Input!$1:$1048576,BJ$93,$C700*2+6)</f>
        <v>0.05</v>
      </c>
      <c r="BK700" s="1">
        <f>INDEX(Input!$1:$1048576,BK$93,$C700*2+6)</f>
        <v>0.05</v>
      </c>
      <c r="BL700" s="1">
        <f>INDEX(Input!$1:$1048576,BL$93,$C700*2+6)</f>
        <v>5.5E-2</v>
      </c>
      <c r="BM700" s="1">
        <f>INDEX(Input!$1:$1048576,BM$93,$C700*2+6)</f>
        <v>0.06</v>
      </c>
      <c r="BN700" s="1">
        <f>INDEX(Input!$1:$1048576,BN$93,$C700*2+6)</f>
        <v>4.4999999999999998E-2</v>
      </c>
      <c r="BO700" s="1">
        <f>INDEX(Input!$1:$1048576,BO$93,$C700*2+6)</f>
        <v>4.4999999999999998E-2</v>
      </c>
      <c r="BP700" s="1">
        <f>INDEX(Input!$1:$1048576,BP$93,$C700*2+6)</f>
        <v>0.05</v>
      </c>
      <c r="BQ700" s="1">
        <f>INDEX(Input!$1:$1048576,BQ$93,$C700*2+6)</f>
        <v>5.45E-2</v>
      </c>
      <c r="BR700" s="1">
        <f>INDEX(Input!$1:$1048576,BR$93,$C700*2+6)</f>
        <v>5.45E-2</v>
      </c>
      <c r="BS700" s="1">
        <f>INDEX(Input!$1:$1048576,BS$93,$C700*2+6)</f>
        <v>0.05</v>
      </c>
      <c r="BT700" s="1">
        <f>INDEX(Input!$1:$1048576,BT$93,$C700*2+6)</f>
        <v>0.05</v>
      </c>
      <c r="BU700" s="1">
        <f>INDEX(Input!$1:$1048576,BU$93,$C700*2+6)</f>
        <v>0.05</v>
      </c>
      <c r="BV700" s="1">
        <f>INDEX(Input!$1:$1048576,BV$93,$C700*2+6)</f>
        <v>5.5E-2</v>
      </c>
      <c r="BW700" s="1">
        <f>INDEX(Input!$1:$1048576,BW$93,$C700*2+6)</f>
        <v>0.06</v>
      </c>
      <c r="BX700" s="127">
        <f>INDEX(Input!$1:$1048576,BX$93,$C700*2+6)</f>
        <v>19985</v>
      </c>
      <c r="BY700" s="20">
        <f>INDEX(Input!$1:$1048576,BY$93,$C700*2+6)</f>
        <v>0.1</v>
      </c>
      <c r="BZ700" s="20">
        <f>INDEX(Input!$1:$1048576,BZ$93,$C700*2+6)</f>
        <v>0.1</v>
      </c>
      <c r="CA700" s="20">
        <f>INDEX(Input!$1:$1048576,CA$93,$C700*2+6)</f>
        <v>0.1</v>
      </c>
      <c r="CB700" s="20">
        <f>INDEX(Input!$1:$1048576,CB$93,$C700*2+6)</f>
        <v>0.1</v>
      </c>
      <c r="CC700" s="20">
        <f>INDEX(Input!$1:$1048576,CC$93,$C700*2+6)</f>
        <v>0.1</v>
      </c>
      <c r="CD700" s="384">
        <f>INDEX(Input!$1:$1048576,CD$93,$C700*2+6)</f>
        <v>0.1</v>
      </c>
      <c r="CE700" s="384">
        <f>INDEX(Input!$1:$1048576,CE$93,$C700*2+6)</f>
        <v>0.1</v>
      </c>
      <c r="CF700" s="384">
        <f>INDEX(Input!$1:$1048576,CF$93,$C700*2+6)</f>
        <v>0.1</v>
      </c>
      <c r="CG700" s="384">
        <f>INDEX(Input!$1:$1048576,CG$93,$C700*2+6)</f>
        <v>0.1</v>
      </c>
      <c r="CH700" s="384">
        <f>INDEX(Input!$1:$1048576,CH$93,$C700*2+6)</f>
        <v>0.1</v>
      </c>
      <c r="CI700" s="304">
        <f t="shared" si="1992"/>
        <v>1267.2644913000609</v>
      </c>
      <c r="CJ700" s="16" t="str">
        <f>INDEX(Input!$1:$1048576,CJ$93,$C700*2+6)</f>
        <v>N</v>
      </c>
      <c r="CK700" s="1" t="str">
        <f t="shared" si="1993"/>
        <v>Market</v>
      </c>
      <c r="CL700" s="1" t="str">
        <f t="shared" si="1994"/>
        <v>Market</v>
      </c>
      <c r="CM700" s="1" t="str">
        <f t="shared" si="1995"/>
        <v>Market</v>
      </c>
      <c r="CN700" s="1" t="str">
        <f t="shared" si="1996"/>
        <v>Market</v>
      </c>
      <c r="CO700" s="1" t="str">
        <f t="shared" si="1997"/>
        <v>Market</v>
      </c>
      <c r="CP700" s="304">
        <f t="shared" si="1998"/>
        <v>500</v>
      </c>
      <c r="CQ700" s="1">
        <f t="shared" si="1999"/>
        <v>0</v>
      </c>
      <c r="CR700" s="1">
        <f t="shared" si="2000"/>
        <v>0</v>
      </c>
      <c r="CS700" s="1">
        <f t="shared" si="2001"/>
        <v>0</v>
      </c>
      <c r="CT700" s="1">
        <f t="shared" si="2002"/>
        <v>1.9E-2</v>
      </c>
      <c r="CU700" s="1">
        <f t="shared" si="2003"/>
        <v>3.9E-2</v>
      </c>
      <c r="CV700" s="304">
        <f t="shared" si="2004"/>
        <v>737.99367635402496</v>
      </c>
      <c r="CW700" s="20" t="s">
        <v>122</v>
      </c>
      <c r="CX700" s="20" t="s">
        <v>122</v>
      </c>
      <c r="CY700" s="20" t="s">
        <v>122</v>
      </c>
      <c r="CZ700" s="20" t="s">
        <v>122</v>
      </c>
      <c r="DA700" s="20" t="s">
        <v>122</v>
      </c>
      <c r="DB700" s="503">
        <f t="shared" si="2005"/>
        <v>0</v>
      </c>
      <c r="DC700" s="127">
        <v>0</v>
      </c>
      <c r="DD700" s="127">
        <v>0</v>
      </c>
      <c r="DE700" s="127">
        <v>0</v>
      </c>
      <c r="DF700" s="127">
        <v>0</v>
      </c>
      <c r="DG700" s="127">
        <v>0</v>
      </c>
      <c r="DH700" s="127">
        <v>0</v>
      </c>
      <c r="DI700" s="127">
        <v>0</v>
      </c>
      <c r="DJ700" s="127">
        <v>0</v>
      </c>
      <c r="DK700" s="127">
        <v>0</v>
      </c>
      <c r="DL700" s="127">
        <v>0</v>
      </c>
      <c r="DM700" s="304">
        <f>INDEX(Input!$1:$1048576,DM$93,$C700*2+6)</f>
        <v>21036.84210526316</v>
      </c>
      <c r="DN700" s="20">
        <v>0</v>
      </c>
      <c r="DO700" s="20">
        <v>0</v>
      </c>
      <c r="DP700" s="20">
        <v>0</v>
      </c>
      <c r="DQ700" s="20">
        <v>0</v>
      </c>
      <c r="DR700" s="20">
        <v>0</v>
      </c>
      <c r="DS700" s="20">
        <f>INDEX(Input!$1:$1048576,DS$93,$C700*2+6)</f>
        <v>0.6</v>
      </c>
      <c r="DT700" s="20">
        <f>INDEX(Input!$1:$1048576,DT$93,$C700*2+6)</f>
        <v>0.55000000000000004</v>
      </c>
      <c r="DU700" s="20">
        <f>INDEX(Input!$1:$1048576,DU$93,$C700*2+6)</f>
        <v>0.52</v>
      </c>
      <c r="DV700" s="20">
        <f>INDEX(Input!$1:$1048576,DV$93,$C700*2+6)</f>
        <v>0.5</v>
      </c>
      <c r="DW700" s="20">
        <f>INDEX(Input!$1:$1048576,DW$93,$C700*2+6)</f>
        <v>0.45</v>
      </c>
      <c r="DX700" s="20"/>
      <c r="DY700" s="7"/>
      <c r="DZ700" s="7"/>
      <c r="EA700" s="7"/>
      <c r="EB700" s="7"/>
      <c r="EC700" s="7"/>
      <c r="ED700" s="7"/>
      <c r="EE700" s="7"/>
      <c r="EF700" s="7"/>
      <c r="EG700" s="7"/>
      <c r="EH700" s="7"/>
      <c r="EI700" s="7"/>
      <c r="EJ700" s="7"/>
      <c r="EK700" s="7"/>
      <c r="EL700" s="7"/>
      <c r="EM700" s="7"/>
      <c r="EN700" s="7"/>
      <c r="EO700" s="7"/>
      <c r="EP700" s="7"/>
      <c r="EQ700" s="7"/>
      <c r="ER700" s="7"/>
      <c r="ES700" s="7"/>
      <c r="ET700" s="7"/>
      <c r="EU700" s="6"/>
      <c r="EV700" s="6"/>
      <c r="EW700" s="6"/>
      <c r="EX700" s="6"/>
      <c r="EY700" s="6"/>
      <c r="EZ700" s="6"/>
      <c r="FA700" s="6"/>
      <c r="FB700" s="6"/>
      <c r="FC700" s="6"/>
      <c r="FD700" s="6"/>
      <c r="FE700" s="6"/>
      <c r="FF700" s="6"/>
      <c r="FG700" s="6"/>
      <c r="FH700" s="6"/>
      <c r="FI700" s="6"/>
      <c r="FJ700" s="6"/>
      <c r="FK700" s="6"/>
      <c r="FL700" s="6"/>
      <c r="FM700" s="6"/>
      <c r="FN700" s="6"/>
      <c r="FO700" s="6"/>
      <c r="FP700" s="6"/>
      <c r="FQ700" s="6"/>
      <c r="FR700" s="6"/>
      <c r="FS700" s="6"/>
      <c r="FT700" s="7"/>
      <c r="FU700" s="7"/>
      <c r="FV700" s="7"/>
      <c r="FW700" s="6"/>
      <c r="FX700" s="6"/>
      <c r="FY700" s="6"/>
      <c r="FZ700" s="6"/>
      <c r="GA700" s="6"/>
      <c r="GB700" s="6"/>
      <c r="GC700" s="7"/>
      <c r="GD700" s="7"/>
      <c r="GE700" s="7"/>
      <c r="GF700" s="7"/>
      <c r="GG700" s="7"/>
      <c r="GH700" s="42"/>
      <c r="GI700" s="6"/>
      <c r="GJ700" s="14"/>
      <c r="GK700" s="14"/>
      <c r="GL700" s="14"/>
      <c r="GM700" s="14"/>
      <c r="GO700" s="5"/>
      <c r="GP700" s="5"/>
      <c r="GQ700" s="5"/>
      <c r="GR700" s="5"/>
      <c r="GS700" s="5"/>
      <c r="GT700" s="5"/>
      <c r="GU700" s="5"/>
      <c r="GV700" s="39"/>
      <c r="GW700" s="5"/>
      <c r="GX700" s="5"/>
      <c r="GY700" s="5"/>
      <c r="GZ700" s="5"/>
      <c r="HA700" s="5"/>
      <c r="HB700" s="39"/>
      <c r="HC700" s="5"/>
      <c r="HD700" s="5"/>
      <c r="HE700" s="5"/>
      <c r="HF700" s="5"/>
      <c r="HG700" s="5"/>
      <c r="HH700" s="39"/>
      <c r="HI700" s="16"/>
      <c r="HJ700" s="19"/>
      <c r="HK700" s="1"/>
      <c r="HL700" s="16"/>
      <c r="HM700" s="639" t="e">
        <f t="shared" si="2013"/>
        <v>#DIV/0!</v>
      </c>
      <c r="HN700" s="639" t="e">
        <f t="shared" si="2014"/>
        <v>#DIV/0!</v>
      </c>
      <c r="HO700" s="639" t="e">
        <f t="shared" si="2015"/>
        <v>#DIV/0!</v>
      </c>
      <c r="HP700" s="644">
        <f t="shared" ref="HP700:ID700" si="2154">HP200+HP300+HP400+HP500+HP600</f>
        <v>0</v>
      </c>
      <c r="HQ700" s="644">
        <f t="shared" si="2154"/>
        <v>0</v>
      </c>
      <c r="HR700" s="644">
        <f t="shared" si="2154"/>
        <v>0</v>
      </c>
      <c r="HS700" s="644">
        <f t="shared" si="2154"/>
        <v>0</v>
      </c>
      <c r="HT700" s="644">
        <f t="shared" si="2154"/>
        <v>0</v>
      </c>
      <c r="HU700" s="644">
        <f t="shared" si="2154"/>
        <v>0</v>
      </c>
      <c r="HV700" s="644">
        <f t="shared" si="2154"/>
        <v>0</v>
      </c>
      <c r="HW700" s="644">
        <f t="shared" si="2154"/>
        <v>0</v>
      </c>
      <c r="HX700" s="644">
        <f t="shared" si="2154"/>
        <v>0</v>
      </c>
      <c r="HY700" s="644">
        <f t="shared" si="2154"/>
        <v>0</v>
      </c>
      <c r="HZ700" s="644">
        <f t="shared" si="2154"/>
        <v>0</v>
      </c>
      <c r="IA700" s="644">
        <f t="shared" si="2154"/>
        <v>0</v>
      </c>
      <c r="IB700" s="644">
        <f t="shared" si="2154"/>
        <v>0</v>
      </c>
      <c r="IC700" s="644">
        <f t="shared" si="2154"/>
        <v>0</v>
      </c>
      <c r="ID700" s="644">
        <f t="shared" si="2154"/>
        <v>0</v>
      </c>
      <c r="IE700" s="20" t="e">
        <f t="shared" si="2017"/>
        <v>#DIV/0!</v>
      </c>
      <c r="IF700" s="20" t="e">
        <f t="shared" si="2018"/>
        <v>#DIV/0!</v>
      </c>
      <c r="IG700" s="20" t="e">
        <f t="shared" si="2019"/>
        <v>#DIV/0!</v>
      </c>
      <c r="IH700" s="21"/>
      <c r="II700" s="19"/>
      <c r="IJ700" s="19"/>
      <c r="IK700" s="19"/>
      <c r="IL700" s="19" t="e">
        <f t="shared" si="2020"/>
        <v>#DIV/0!</v>
      </c>
      <c r="IM700" s="19" t="e">
        <f t="shared" si="2021"/>
        <v>#DIV/0!</v>
      </c>
      <c r="IN700" s="19" t="e">
        <f t="shared" si="2022"/>
        <v>#DIV/0!</v>
      </c>
      <c r="IO700" s="39"/>
      <c r="IP700" s="39"/>
      <c r="IQ700" s="39"/>
      <c r="IR700" s="39"/>
      <c r="IS700" s="39"/>
      <c r="IT700" s="39"/>
      <c r="IU700" s="39"/>
      <c r="IV700" s="39"/>
      <c r="IW700" s="39"/>
      <c r="IX700" s="19" t="e">
        <f t="shared" si="2023"/>
        <v>#DIV/0!</v>
      </c>
      <c r="IY700" s="19" t="e">
        <f t="shared" si="2024"/>
        <v>#DIV/0!</v>
      </c>
      <c r="IZ700" s="19" t="e">
        <f t="shared" si="2025"/>
        <v>#DIV/0!</v>
      </c>
      <c r="JA700" s="19">
        <f t="shared" ref="JA700:JC700" si="2155">IFERROR((JA200*IB200+JA300*IB300+JA400*IB400+JA500*IB500+JA600*IB600)/IB700,0)</f>
        <v>0</v>
      </c>
      <c r="JB700" s="19">
        <f t="shared" si="2155"/>
        <v>0</v>
      </c>
      <c r="JC700" s="19">
        <f t="shared" si="2155"/>
        <v>0</v>
      </c>
      <c r="JD700" s="19" t="e">
        <f t="shared" si="2027"/>
        <v>#DIV/0!</v>
      </c>
      <c r="JE700" s="21"/>
      <c r="JF700" s="1" t="e">
        <f t="shared" si="2028"/>
        <v>#DIV/0!</v>
      </c>
      <c r="JG700" s="15">
        <f t="shared" si="2029"/>
        <v>0</v>
      </c>
      <c r="JH700" s="1" t="e">
        <f t="shared" si="2030"/>
        <v>#DIV/0!</v>
      </c>
      <c r="JI700" s="1" t="e">
        <f t="shared" si="2031"/>
        <v>#DIV/0!</v>
      </c>
      <c r="JJ700" s="1" t="e">
        <f t="shared" si="2032"/>
        <v>#DIV/0!</v>
      </c>
      <c r="JK700" s="1" t="e">
        <f t="shared" si="2033"/>
        <v>#DIV/0!</v>
      </c>
      <c r="JL700" s="15">
        <f t="shared" ref="JL700:JM700" si="2156">JL200+JL300+JL400+JL500+JL600</f>
        <v>0</v>
      </c>
      <c r="JM700" s="15">
        <f t="shared" si="2156"/>
        <v>0</v>
      </c>
      <c r="JN700" s="21"/>
      <c r="JO700" s="19">
        <f>INDEX(Input!$1:$1048576,JO$93,$C700*2+6)</f>
        <v>5995.5</v>
      </c>
      <c r="JP700" s="19">
        <f>INDEX(Input!$1:$1048576,JP$93,$C700*2+6)</f>
        <v>2296.6050414551746</v>
      </c>
      <c r="JQ700" s="39" t="e">
        <f t="shared" si="2053"/>
        <v>#DIV/0!</v>
      </c>
      <c r="JR700" s="39" t="e">
        <f t="shared" si="2054"/>
        <v>#DIV/0!</v>
      </c>
      <c r="JS700" s="39" t="e">
        <f t="shared" si="2055"/>
        <v>#DIV/0!</v>
      </c>
      <c r="JT700" s="39" t="e">
        <f t="shared" si="2056"/>
        <v>#DIV/0!</v>
      </c>
      <c r="JU700" s="385" t="e">
        <f>(JQ700*JM700-INDEX(Input!$1:$1048576,Input!A$18,$C700*2+6)*JL700*INDEX(Input!$1:$1048576,Input!A$19,$C700*2+6))/1000000</f>
        <v>#DIV/0!</v>
      </c>
      <c r="JV700" s="39" t="e">
        <f t="shared" si="2057"/>
        <v>#DIV/0!</v>
      </c>
      <c r="JW700" s="1" t="e">
        <f t="shared" si="2058"/>
        <v>#DIV/0!</v>
      </c>
      <c r="JX700" s="19">
        <f t="shared" si="2059"/>
        <v>0</v>
      </c>
      <c r="JZ700" s="341"/>
      <c r="KA700" s="60"/>
      <c r="KB700" s="469">
        <f t="shared" si="2035"/>
        <v>0</v>
      </c>
      <c r="KI700" s="472"/>
      <c r="KJ700" s="472"/>
      <c r="KK700" s="472"/>
      <c r="KN700" s="26">
        <f t="shared" si="2036"/>
        <v>6002</v>
      </c>
      <c r="KO700" s="794">
        <f t="shared" si="2037"/>
        <v>-1</v>
      </c>
      <c r="KP700" s="795" t="e">
        <f t="shared" si="2038"/>
        <v>#DIV/0!</v>
      </c>
      <c r="KQ700" s="795" t="e">
        <f t="shared" si="2039"/>
        <v>#DIV/0!</v>
      </c>
      <c r="KR700" s="26" t="e">
        <f t="shared" si="2040"/>
        <v>#DIV/0!</v>
      </c>
      <c r="KS700" s="26" t="e">
        <f t="shared" si="2041"/>
        <v>#DIV/0!</v>
      </c>
      <c r="KT700" s="796">
        <f t="shared" si="2049"/>
        <v>4286.2445668946921</v>
      </c>
      <c r="KU700" s="797">
        <f t="shared" si="2042"/>
        <v>0</v>
      </c>
    </row>
    <row r="701" spans="1:307">
      <c r="HM701" s="798">
        <f t="shared" si="2013"/>
        <v>2.3558773560510768E-2</v>
      </c>
      <c r="HN701" s="798">
        <f t="shared" si="2014"/>
        <v>1.4188765959104038E-3</v>
      </c>
      <c r="HO701" s="798">
        <f t="shared" si="2015"/>
        <v>3.4898982539165609E-3</v>
      </c>
      <c r="HP701" s="66">
        <f t="shared" ref="HP701:ID701" si="2157">HP201+HP301+HP401+HP501+HP601</f>
        <v>0</v>
      </c>
      <c r="HQ701" s="66">
        <f t="shared" si="2157"/>
        <v>0</v>
      </c>
      <c r="HR701" s="66">
        <f t="shared" si="2157"/>
        <v>0</v>
      </c>
      <c r="HS701" s="799">
        <f t="shared" si="2157"/>
        <v>0</v>
      </c>
      <c r="HT701" s="799">
        <f t="shared" si="2157"/>
        <v>0</v>
      </c>
      <c r="HU701" s="799">
        <f t="shared" si="2157"/>
        <v>0</v>
      </c>
      <c r="HV701" s="66">
        <f t="shared" si="2157"/>
        <v>0</v>
      </c>
      <c r="HW701" s="66">
        <f t="shared" si="2157"/>
        <v>0</v>
      </c>
      <c r="HX701" s="66">
        <f t="shared" si="2157"/>
        <v>0</v>
      </c>
      <c r="HY701" s="799">
        <f t="shared" si="2157"/>
        <v>4682</v>
      </c>
      <c r="HZ701" s="799">
        <f t="shared" si="2157"/>
        <v>6289</v>
      </c>
      <c r="IA701" s="799">
        <f t="shared" si="2157"/>
        <v>1481</v>
      </c>
      <c r="IB701" s="66">
        <f t="shared" si="2157"/>
        <v>4682</v>
      </c>
      <c r="IC701" s="66">
        <f t="shared" si="2157"/>
        <v>6289</v>
      </c>
      <c r="ID701" s="66">
        <f t="shared" si="2157"/>
        <v>1481</v>
      </c>
      <c r="IE701" s="800">
        <f t="shared" si="2017"/>
        <v>0.37600385480244136</v>
      </c>
      <c r="IF701" s="800">
        <f t="shared" si="2018"/>
        <v>0.50505942820430449</v>
      </c>
      <c r="IG701" s="800">
        <f t="shared" si="2019"/>
        <v>0.1189367169932541</v>
      </c>
      <c r="IH701" s="801"/>
      <c r="II701" s="802"/>
      <c r="IJ701" s="802"/>
      <c r="IK701" s="802"/>
      <c r="IL701" s="803">
        <f t="shared" si="2020"/>
        <v>0</v>
      </c>
      <c r="IM701" s="803">
        <f t="shared" si="2021"/>
        <v>0</v>
      </c>
      <c r="IN701" s="803">
        <f t="shared" si="2022"/>
        <v>0</v>
      </c>
      <c r="IO701" s="804"/>
      <c r="IP701" s="804"/>
      <c r="IQ701" s="804"/>
      <c r="IR701" s="274"/>
      <c r="IS701" s="274"/>
      <c r="IT701" s="274"/>
      <c r="IU701" s="274"/>
      <c r="IV701" s="274"/>
      <c r="IW701" s="274"/>
      <c r="IX701" s="802">
        <f t="shared" si="2023"/>
        <v>1560.8556172575823</v>
      </c>
      <c r="IY701" s="802">
        <f t="shared" si="2024"/>
        <v>2419.3459642743951</v>
      </c>
      <c r="IZ701" s="802">
        <f t="shared" si="2025"/>
        <v>3947.0817094952445</v>
      </c>
      <c r="JA701" s="803">
        <f t="shared" ref="JA701:JC701" si="2158">IFERROR((JA201*IB201+JA301*IB301+JA401*IB401+JA501*IB501+JA601*IB601)/IB701,0)</f>
        <v>1560.8556172575823</v>
      </c>
      <c r="JB701" s="803">
        <f t="shared" si="2158"/>
        <v>2419.3459642743951</v>
      </c>
      <c r="JC701" s="803">
        <f t="shared" si="2158"/>
        <v>3947.0817094952445</v>
      </c>
      <c r="JD701" s="803">
        <f t="shared" si="2027"/>
        <v>2278.2541584551982</v>
      </c>
      <c r="JE701" s="801"/>
      <c r="JF701" s="805">
        <f t="shared" si="2028"/>
        <v>2.7240124014963413E-2</v>
      </c>
      <c r="JG701" s="806">
        <f t="shared" si="2029"/>
        <v>12452</v>
      </c>
      <c r="JH701" s="805">
        <f t="shared" si="2030"/>
        <v>0</v>
      </c>
      <c r="JI701" s="805">
        <f t="shared" si="2031"/>
        <v>0</v>
      </c>
      <c r="JJ701" s="332">
        <f t="shared" si="2032"/>
        <v>0</v>
      </c>
      <c r="JK701" s="805">
        <f t="shared" si="2033"/>
        <v>0</v>
      </c>
      <c r="JL701" s="806">
        <f t="shared" ref="JL701:JM701" si="2159">JL201+JL301+JL401+JL501+JL601</f>
        <v>0</v>
      </c>
      <c r="JM701" s="807">
        <f t="shared" si="2159"/>
        <v>12452</v>
      </c>
      <c r="JN701" s="801"/>
      <c r="JO701" s="19">
        <f>INDEX(Input!$1:$1048576,JO$93,$C701*2+6)</f>
        <v>0</v>
      </c>
      <c r="JP701" s="19">
        <f>INDEX(Input!$1:$1048576,JP$93,$C701*2+6)</f>
        <v>0</v>
      </c>
      <c r="JQ701" s="39">
        <f t="shared" si="2053"/>
        <v>-2278.2541584551982</v>
      </c>
      <c r="JR701" s="39">
        <f t="shared" si="2054"/>
        <v>2278.2541584551982</v>
      </c>
      <c r="JS701" s="39">
        <f t="shared" si="2055"/>
        <v>28.368820781084128</v>
      </c>
      <c r="JT701" s="39">
        <f t="shared" si="2056"/>
        <v>28.368820781084128</v>
      </c>
      <c r="JU701" s="385">
        <f>(JQ701*JM701-INDEX(Input!$1:$1048576,Input!A$18,$C701*2+6)*JL701*INDEX(Input!$1:$1048576,Input!A$19,$C701*2+6))/1000000</f>
        <v>-28.368820781084128</v>
      </c>
      <c r="JV701" s="39">
        <f t="shared" si="2057"/>
        <v>-28.368820781084128</v>
      </c>
      <c r="JW701" s="1" t="e">
        <f t="shared" si="2058"/>
        <v>#DIV/0!</v>
      </c>
      <c r="JX701" s="19">
        <f t="shared" si="2059"/>
        <v>0</v>
      </c>
      <c r="JZ701" s="808"/>
      <c r="KB701" s="809">
        <f t="shared" si="2035"/>
        <v>0</v>
      </c>
      <c r="KN701" s="58">
        <f t="shared" si="2036"/>
        <v>2</v>
      </c>
      <c r="KO701" s="810" t="e">
        <f t="shared" si="2037"/>
        <v>#DIV/0!</v>
      </c>
      <c r="KP701" s="808">
        <f t="shared" si="2038"/>
        <v>0</v>
      </c>
      <c r="KQ701" s="808">
        <f t="shared" si="2039"/>
        <v>2278.2541584551982</v>
      </c>
      <c r="KR701" s="58" t="e">
        <f t="shared" si="2040"/>
        <v>#DIV/0!</v>
      </c>
      <c r="KS701" s="58" t="e">
        <f t="shared" si="2041"/>
        <v>#DIV/0!</v>
      </c>
      <c r="KT701" s="811">
        <f t="shared" si="2049"/>
        <v>4286.2445668946921</v>
      </c>
      <c r="KU701" s="809">
        <f t="shared" si="2042"/>
        <v>0</v>
      </c>
    </row>
  </sheetData>
  <autoFilter ref="A98:D599" xr:uid="{85BBED3E-4C32-422B-8311-D26D9F5B8EA4}"/>
  <mergeCells count="196">
    <mergeCell ref="J98:J99"/>
    <mergeCell ref="K98:K99"/>
    <mergeCell ref="L98:L99"/>
    <mergeCell ref="M98:M99"/>
    <mergeCell ref="N98:N99"/>
    <mergeCell ref="O98:O99"/>
    <mergeCell ref="P98:P99"/>
    <mergeCell ref="Q98:Q99"/>
    <mergeCell ref="R98:R99"/>
    <mergeCell ref="A98:A99"/>
    <mergeCell ref="B98:B99"/>
    <mergeCell ref="C98:C99"/>
    <mergeCell ref="D98:D99"/>
    <mergeCell ref="E98:E99"/>
    <mergeCell ref="F98:F99"/>
    <mergeCell ref="G98:G99"/>
    <mergeCell ref="H98:H99"/>
    <mergeCell ref="I98:I99"/>
    <mergeCell ref="HM6:IG6"/>
    <mergeCell ref="AT97:BB97"/>
    <mergeCell ref="BC97:CH97"/>
    <mergeCell ref="CI97:DW97"/>
    <mergeCell ref="DY97:GM97"/>
    <mergeCell ref="GO97:HH97"/>
    <mergeCell ref="HY97:IA97"/>
    <mergeCell ref="IX97:IZ97"/>
    <mergeCell ref="S98:S99"/>
    <mergeCell ref="T98:T99"/>
    <mergeCell ref="U98:U99"/>
    <mergeCell ref="V98:V99"/>
    <mergeCell ref="W98:W99"/>
    <mergeCell ref="X98:X99"/>
    <mergeCell ref="Y98:Y99"/>
    <mergeCell ref="Z98:Z99"/>
    <mergeCell ref="AA98:AA99"/>
    <mergeCell ref="AB98:AB99"/>
    <mergeCell ref="AC98:AC99"/>
    <mergeCell ref="AD98:AD99"/>
    <mergeCell ref="AE98:AE99"/>
    <mergeCell ref="AF98:AF99"/>
    <mergeCell ref="AG98:AG99"/>
    <mergeCell ref="AH98:AH99"/>
    <mergeCell ref="AI98:AI99"/>
    <mergeCell ref="AJ98:AJ99"/>
    <mergeCell ref="AK98:AK99"/>
    <mergeCell ref="AL98:AL99"/>
    <mergeCell ref="AM98:AM99"/>
    <mergeCell ref="AN98:AN99"/>
    <mergeCell ref="AT98:AT100"/>
    <mergeCell ref="AO98:AO99"/>
    <mergeCell ref="AP98:AP99"/>
    <mergeCell ref="AQ98:AQ99"/>
    <mergeCell ref="AR98:AR99"/>
    <mergeCell ref="BA98:BA100"/>
    <mergeCell ref="BB98:BB100"/>
    <mergeCell ref="BD98:BM98"/>
    <mergeCell ref="BN98:BW98"/>
    <mergeCell ref="BX98:BX100"/>
    <mergeCell ref="BY98:CH98"/>
    <mergeCell ref="CD99:CH99"/>
    <mergeCell ref="AU98:AU100"/>
    <mergeCell ref="AV98:AV100"/>
    <mergeCell ref="AW98:AW100"/>
    <mergeCell ref="AX98:AX100"/>
    <mergeCell ref="AY98:AY100"/>
    <mergeCell ref="AZ98:AZ100"/>
    <mergeCell ref="GO98:HH98"/>
    <mergeCell ref="BC99:BC100"/>
    <mergeCell ref="BD99:BH99"/>
    <mergeCell ref="BI99:BM99"/>
    <mergeCell ref="BN99:BR99"/>
    <mergeCell ref="BS99:BW99"/>
    <mergeCell ref="BY99:CC99"/>
    <mergeCell ref="CI98:DW98"/>
    <mergeCell ref="DY98:ET98"/>
    <mergeCell ref="EU98:EZ98"/>
    <mergeCell ref="FA98:FS98"/>
    <mergeCell ref="FT98:FY98"/>
    <mergeCell ref="FZ98:GB98"/>
    <mergeCell ref="CI99:CI100"/>
    <mergeCell ref="CJ99:CJ100"/>
    <mergeCell ref="CK99:CO99"/>
    <mergeCell ref="CP99:CP100"/>
    <mergeCell ref="CQ99:CU99"/>
    <mergeCell ref="CV99:CV100"/>
    <mergeCell ref="GC98:GF98"/>
    <mergeCell ref="GG98:GI98"/>
    <mergeCell ref="GJ98:GM98"/>
    <mergeCell ref="DI99:DI100"/>
    <mergeCell ref="DJ99:DJ100"/>
    <mergeCell ref="DK99:DL99"/>
    <mergeCell ref="DM99:DM100"/>
    <mergeCell ref="DN99:DR99"/>
    <mergeCell ref="DY99:DY100"/>
    <mergeCell ref="CW99:DA99"/>
    <mergeCell ref="DB99:DB100"/>
    <mergeCell ref="DC99:DE99"/>
    <mergeCell ref="DF99:DF100"/>
    <mergeCell ref="DG99:DG100"/>
    <mergeCell ref="DH99:DH100"/>
    <mergeCell ref="EY99:EY100"/>
    <mergeCell ref="EZ99:EZ100"/>
    <mergeCell ref="FA99:FA100"/>
    <mergeCell ref="FG99:FG100"/>
    <mergeCell ref="FM99:FM100"/>
    <mergeCell ref="FS99:FS100"/>
    <mergeCell ref="EG99:EG100"/>
    <mergeCell ref="EM99:EM100"/>
    <mergeCell ref="ES99:ES100"/>
    <mergeCell ref="ET99:ET100"/>
    <mergeCell ref="EU99:EU100"/>
    <mergeCell ref="EX99:EX100"/>
    <mergeCell ref="GB99:GB100"/>
    <mergeCell ref="GG99:GG100"/>
    <mergeCell ref="GH99:GH100"/>
    <mergeCell ref="GI99:GI100"/>
    <mergeCell ref="GJ99:GJ100"/>
    <mergeCell ref="GK99:GK100"/>
    <mergeCell ref="FT99:FT100"/>
    <mergeCell ref="FU99:FU100"/>
    <mergeCell ref="FV99:FV100"/>
    <mergeCell ref="FW99:FW100"/>
    <mergeCell ref="FX99:FX100"/>
    <mergeCell ref="FY99:FY100"/>
    <mergeCell ref="HB99:HB100"/>
    <mergeCell ref="HC99:HG99"/>
    <mergeCell ref="HH99:HH100"/>
    <mergeCell ref="HM99:HM100"/>
    <mergeCell ref="HN99:HN100"/>
    <mergeCell ref="HO99:HO100"/>
    <mergeCell ref="GL99:GL100"/>
    <mergeCell ref="GM99:GM100"/>
    <mergeCell ref="GO99:GP99"/>
    <mergeCell ref="GQ99:GU99"/>
    <mergeCell ref="GV99:GV100"/>
    <mergeCell ref="GW99:HA99"/>
    <mergeCell ref="HJ99:HJ100"/>
    <mergeCell ref="HK99:HK100"/>
    <mergeCell ref="HV99:HV100"/>
    <mergeCell ref="HW99:HW100"/>
    <mergeCell ref="HX99:HX100"/>
    <mergeCell ref="HY99:HY100"/>
    <mergeCell ref="HZ99:HZ100"/>
    <mergeCell ref="IA99:IA100"/>
    <mergeCell ref="HP99:HP100"/>
    <mergeCell ref="HQ99:HQ100"/>
    <mergeCell ref="HR99:HR100"/>
    <mergeCell ref="HS99:HS100"/>
    <mergeCell ref="HT99:HT100"/>
    <mergeCell ref="HU99:HU100"/>
    <mergeCell ref="II99:II100"/>
    <mergeCell ref="IJ99:IJ100"/>
    <mergeCell ref="IK99:IK100"/>
    <mergeCell ref="IL99:IL100"/>
    <mergeCell ref="IM99:IM100"/>
    <mergeCell ref="IN99:IN100"/>
    <mergeCell ref="IB99:IB100"/>
    <mergeCell ref="IC99:IC100"/>
    <mergeCell ref="ID99:ID100"/>
    <mergeCell ref="IE99:IE100"/>
    <mergeCell ref="IF99:IF100"/>
    <mergeCell ref="IG99:IG100"/>
    <mergeCell ref="IU99:IU100"/>
    <mergeCell ref="IV99:IV100"/>
    <mergeCell ref="IW99:IW100"/>
    <mergeCell ref="IX99:IX100"/>
    <mergeCell ref="IY99:IY100"/>
    <mergeCell ref="IZ99:IZ100"/>
    <mergeCell ref="IO99:IO100"/>
    <mergeCell ref="IP99:IP100"/>
    <mergeCell ref="IQ99:IQ100"/>
    <mergeCell ref="IR99:IR100"/>
    <mergeCell ref="IS99:IS100"/>
    <mergeCell ref="IT99:IT100"/>
    <mergeCell ref="JH99:JH100"/>
    <mergeCell ref="JI99:JI100"/>
    <mergeCell ref="JJ99:JJ100"/>
    <mergeCell ref="JK99:JK100"/>
    <mergeCell ref="JL99:JL100"/>
    <mergeCell ref="JM99:JM100"/>
    <mergeCell ref="JA99:JA100"/>
    <mergeCell ref="JB99:JB100"/>
    <mergeCell ref="JC99:JC100"/>
    <mergeCell ref="JD99:JD100"/>
    <mergeCell ref="JF99:JF100"/>
    <mergeCell ref="JG99:JG100"/>
    <mergeCell ref="JU99:JU100"/>
    <mergeCell ref="JV99:JV100"/>
    <mergeCell ref="JW99:JW100"/>
    <mergeCell ref="JX99:JX100"/>
    <mergeCell ref="JO99:JO100"/>
    <mergeCell ref="JP99:JP100"/>
    <mergeCell ref="JQ99:JQ100"/>
    <mergeCell ref="JR99:JR100"/>
    <mergeCell ref="JS99:JS100"/>
    <mergeCell ref="JT99:JT100"/>
  </mergeCells>
  <dataValidations count="1">
    <dataValidation type="list" allowBlank="1" showInputMessage="1" showErrorMessage="1" sqref="HJ101:HK101 HJ301:HK301 HJ401:HK401 HJ201:HK201 HJ501:HK501 HJ601:HK601" xr:uid="{00000000-0002-0000-0800-000000000000}">
      <formula1>"On, Off"</formula1>
    </dataValidation>
  </dataValidations>
  <pageMargins left="0.7" right="0.7" top="0.75" bottom="0.75" header="0.3" footer="0.3"/>
  <pageSetup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FFFF99"/>
    <pageSetUpPr fitToPage="1"/>
  </sheetPr>
  <dimension ref="A1:BM73"/>
  <sheetViews>
    <sheetView showGridLines="0" topLeftCell="A11" zoomScale="70" zoomScaleNormal="70" zoomScaleSheetLayoutView="55" workbookViewId="0">
      <selection activeCell="C55" sqref="C5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1080</v>
      </c>
      <c r="AK7" s="895">
        <v>10.5</v>
      </c>
    </row>
    <row r="8" spans="1:64" ht="15.6" customHeight="1">
      <c r="AJ8" s="235" t="s">
        <v>1081</v>
      </c>
      <c r="AK8" s="895" t="s">
        <v>1082</v>
      </c>
    </row>
    <row r="9" spans="1:64" ht="15.6" customHeight="1">
      <c r="AJ9" s="894" t="s">
        <v>1083</v>
      </c>
      <c r="AK9" s="896" t="str">
        <f>"MY"&amp;RIGHT(Input!$H$9,2)&amp;" "&amp;Input!$H$3&amp;": "&amp;$G$10</f>
        <v>MY20 Soul: Region L1 (Eastern) Incentive Scenarios</v>
      </c>
    </row>
    <row r="10" spans="1:64" ht="15.6" customHeight="1" thickBot="1">
      <c r="G10" s="581" t="s">
        <v>1088</v>
      </c>
      <c r="AJ10" s="894" t="s">
        <v>1084</v>
      </c>
      <c r="AK10" s="896" t="s">
        <v>1085</v>
      </c>
    </row>
    <row r="11" spans="1:64" ht="15.6" customHeight="1">
      <c r="A11" s="281" t="s">
        <v>570</v>
      </c>
      <c r="B11" s="275"/>
      <c r="C11" s="231"/>
      <c r="D11" s="628" t="s">
        <v>826</v>
      </c>
      <c r="F11" s="245">
        <v>1</v>
      </c>
      <c r="G11" s="565" t="str">
        <f>INDEX(Input!$1:$1048576,2,$F$11*2+6)&amp;" ("&amp;INDEX(Input!$1:$1048576,11,$F$11*2+6)&amp;")"</f>
        <v>MY20 Kia Soul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1086</v>
      </c>
      <c r="AK11" s="896" t="s">
        <v>1087</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573"/>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563"/>
      <c r="AN12" s="731"/>
      <c r="AO12" s="721"/>
      <c r="AP12" s="721"/>
      <c r="AQ12" s="732"/>
      <c r="AR12" s="720"/>
      <c r="AS12" s="735" t="s">
        <v>328</v>
      </c>
      <c r="AT12" s="735" t="s">
        <v>329</v>
      </c>
      <c r="AU12" s="735" t="s">
        <v>330</v>
      </c>
      <c r="AV12" s="736"/>
      <c r="AW12" s="737" t="s">
        <v>773</v>
      </c>
      <c r="BA12" s="389"/>
      <c r="BC12" s="666"/>
      <c r="BD12" s="666"/>
      <c r="BE12" s="666"/>
      <c r="BF12" s="666"/>
      <c r="BG12" s="666"/>
      <c r="BH12" s="666"/>
      <c r="BI12" s="666"/>
      <c r="BJ12" s="666"/>
      <c r="BK12" s="666"/>
      <c r="BL12" s="666"/>
    </row>
    <row r="13" spans="1:64" ht="15.75" customHeight="1" thickBot="1">
      <c r="A13" s="389" t="str">
        <f>ROUND(INDEX(DSS_Calc!KA:KA,MATCH($F$11*1000+6,DSS_Calc!A:A,0)),2)&amp;" (Scen 6)"</f>
        <v>2.93 (Scen 6)</v>
      </c>
      <c r="B13" s="275"/>
      <c r="D13" s="1123" t="str">
        <f>UPPER("SCENARIO OPTIONS: MY"&amp;RIGHT(Input!$H9,2)&amp;" "&amp;Input!H$7&amp;" "&amp;Input!H$3&amp;" - L1 (CT, MA, NH, NJ, NY, RI)")</f>
        <v>SCENARIO OPTIONS: MY20 KIA SOUL - L1 (CT, MA, NH, NJ, NY, RI)</v>
      </c>
      <c r="E13" s="1123"/>
      <c r="F13" s="1123"/>
      <c r="G13" s="1123"/>
      <c r="H13" s="1123"/>
      <c r="I13" s="1123"/>
      <c r="J13" s="1123"/>
      <c r="K13" s="1123"/>
      <c r="L13" s="1123"/>
      <c r="M13" s="1123"/>
      <c r="N13" s="1123"/>
      <c r="O13" s="1123"/>
      <c r="P13" s="1123"/>
      <c r="Q13" s="1123"/>
      <c r="R13" s="1123"/>
      <c r="S13" s="1123"/>
      <c r="T13" s="1123"/>
      <c r="U13" s="1123"/>
      <c r="V13" s="1123"/>
      <c r="W13" s="1123"/>
      <c r="X13" s="1123"/>
      <c r="Y13" s="1123"/>
      <c r="Z13" s="1123"/>
      <c r="AA13" s="1123"/>
      <c r="AB13" s="1123"/>
      <c r="AC13" s="1123"/>
      <c r="AD13" s="1123"/>
      <c r="AE13" s="1123"/>
      <c r="AF13" s="1123"/>
      <c r="AG13" s="1123"/>
      <c r="AH13" s="1123"/>
      <c r="AI13" s="1123"/>
      <c r="AJ13" s="563"/>
      <c r="AK13" s="563"/>
      <c r="AL13" s="235"/>
      <c r="AM13" s="235"/>
      <c r="AN13" s="1133" t="s">
        <v>772</v>
      </c>
      <c r="AO13" s="1134"/>
      <c r="AP13" s="1134"/>
      <c r="AQ13" s="1134"/>
      <c r="AR13" s="113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563"/>
      <c r="B14" s="563"/>
      <c r="D14" s="563"/>
      <c r="E14" s="563"/>
      <c r="F14" s="563"/>
      <c r="G14" s="563"/>
      <c r="H14" s="563"/>
      <c r="I14" s="563"/>
      <c r="J14" s="563"/>
      <c r="K14" s="563"/>
      <c r="L14" s="563"/>
      <c r="M14" s="563"/>
      <c r="N14" s="563"/>
      <c r="O14" s="563"/>
      <c r="P14" s="563"/>
      <c r="Q14" s="563"/>
      <c r="R14" s="563"/>
      <c r="S14" s="563"/>
      <c r="T14" s="563"/>
      <c r="U14" s="563"/>
      <c r="V14" s="563"/>
      <c r="W14" s="563"/>
      <c r="X14" s="563"/>
      <c r="Y14" s="563"/>
      <c r="Z14" s="563"/>
      <c r="AA14" s="563"/>
      <c r="AB14" s="563"/>
      <c r="AC14" s="563"/>
      <c r="AD14" s="563"/>
      <c r="AE14" s="563"/>
      <c r="AF14" s="563"/>
      <c r="AG14" s="563"/>
      <c r="AH14" s="563"/>
      <c r="AI14" s="563"/>
      <c r="AJ14" s="563"/>
      <c r="AK14" s="563"/>
      <c r="AL14" s="235"/>
      <c r="AM14" s="235"/>
      <c r="AN14" s="1129" t="str">
        <f>"Scen. # to check price sensitivity order vs #"&amp;INDEX(DSS_Calc!KN:KN,MATCH(F11*1000+1,DSS_Calc!A:A,0))</f>
        <v>Scen. # to check price sensitivity order vs #1002</v>
      </c>
      <c r="AO14" s="1130"/>
      <c r="AP14" s="1130"/>
      <c r="AQ14" s="1130"/>
      <c r="AR14" s="1130"/>
      <c r="AS14" s="716">
        <v>10</v>
      </c>
      <c r="AT14" s="716">
        <v>14</v>
      </c>
      <c r="AU14" s="716">
        <v>18</v>
      </c>
      <c r="AV14" s="715"/>
      <c r="AW14" s="717"/>
      <c r="AX14" s="235"/>
      <c r="AY14" s="235"/>
      <c r="BA14" s="666"/>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563"/>
      <c r="AK15" s="563"/>
      <c r="AL15" s="235"/>
      <c r="AM15" s="235"/>
      <c r="AN15" s="1131" t="s">
        <v>781</v>
      </c>
      <c r="AO15" s="1132"/>
      <c r="AP15" s="1132"/>
      <c r="AQ15" s="1132"/>
      <c r="AR15" s="1132"/>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563"/>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563"/>
      <c r="AK16" s="580"/>
      <c r="AL16" s="235"/>
      <c r="AM16" s="235"/>
      <c r="AN16" s="1127" t="str">
        <f>"Implied Elast w/o Take Rate Shifts vs #"&amp;INDEX(DSS_Calc!KN:KN,MATCH(F11*1000+1,DSS_Calc!A:A,0))</f>
        <v>Implied Elast w/o Take Rate Shifts vs #1002</v>
      </c>
      <c r="AO16" s="1128"/>
      <c r="AP16" s="1128"/>
      <c r="AQ16" s="1128"/>
      <c r="AR16" s="1128"/>
      <c r="AS16" s="722">
        <f>INDEX(DSS_Calc!$KR:$KR,MATCH($F$11*1000+AS14,DSS_Calc!$A:$A,0))</f>
        <v>2.2243194539015358</v>
      </c>
      <c r="AT16" s="722">
        <f>INDEX(DSS_Calc!$KR:$KR,MATCH($F$11*1000+AT14,DSS_Calc!$A:$A,0))</f>
        <v>2.7664236863451079</v>
      </c>
      <c r="AU16" s="722">
        <f>INDEX(DSS_Calc!$KR:$KR,MATCH($F$11*1000+AU14,DSS_Calc!$A:$A,0))</f>
        <v>3.3431283494727069</v>
      </c>
      <c r="AV16" s="720" t="str">
        <f>IF(AND(AS16&lt;AT16,AT16&lt;AU16,AS16&lt;AW16),"ok","error in order")</f>
        <v>ok</v>
      </c>
      <c r="AW16" s="723">
        <f>ROUND(INDEX(DSS_Calc!KA:KA,MATCH($F$11*1000+6,DSS_Calc!A:A,0)),2)</f>
        <v>2.93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563"/>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563"/>
      <c r="AK17" s="580"/>
      <c r="AL17" s="235"/>
      <c r="AM17" s="235"/>
      <c r="AN17" s="1129" t="s">
        <v>877</v>
      </c>
      <c r="AO17" s="1130"/>
      <c r="AP17" s="1130"/>
      <c r="AQ17" s="1130"/>
      <c r="AR17" s="1130"/>
      <c r="AS17" s="725">
        <f>INDEX(DSS_Calc!IE:IE,MATCH($F$11*1000+2,DSS_Calc!$A:$A,0))-INDEX(DSS_Calc!IE:IE,MATCH($F$11*1000+1,DSS_Calc!$A:$A,0))</f>
        <v>1.0989206031178644E-3</v>
      </c>
      <c r="AT17" s="725">
        <f>INDEX(DSS_Calc!IF:IF,MATCH($F$11*1000+2,DSS_Calc!$A:$A,0))-INDEX(DSS_Calc!IF:IF,MATCH($F$11*1000+1,DSS_Calc!$A:$A,0))</f>
        <v>-1.3965973316143465E-4</v>
      </c>
      <c r="AU17" s="725">
        <f>INDEX(DSS_Calc!IG:IG,MATCH($F$11*1000+2,DSS_Calc!$A:$A,0))-INDEX(DSS_Calc!IG:IG,MATCH($F$11*1000+1,DSS_Calc!$A:$A,0))</f>
        <v>-9.5926086995634652E-4</v>
      </c>
      <c r="AV17" s="71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563"/>
      <c r="AK18" s="580"/>
      <c r="AL18" s="235"/>
      <c r="AM18" s="235" t="s">
        <v>563</v>
      </c>
      <c r="AN18" s="1127" t="s">
        <v>771</v>
      </c>
      <c r="AO18" s="1128"/>
      <c r="AP18" s="1128"/>
      <c r="AQ18" s="1128"/>
      <c r="AR18" s="1128"/>
      <c r="AS18" s="726">
        <f>INDEX(DSS_Calc!JA:JA,MATCH($F$11*1000+2,DSS_Calc!$A:$A,0))-INDEX(DSS_Calc!JA:JA,MATCH($F$11*1000+1,DSS_Calc!$A:$A,0))</f>
        <v>30.000000000000227</v>
      </c>
      <c r="AT18" s="726">
        <f>INDEX(DSS_Calc!JB:JB,MATCH($F$11*1000+2,DSS_Calc!$A:$A,0))-INDEX(DSS_Calc!JB:JB,MATCH($F$11*1000+1,DSS_Calc!$A:$A,0))</f>
        <v>30</v>
      </c>
      <c r="AU18" s="726">
        <f>INDEX(DSS_Calc!JC:JC,MATCH($F$11*1000+2,DSS_Calc!$A:$A,0))-INDEX(DSS_Calc!JC:JC,MATCH($F$11*1000+1,DSS_Calc!$A:$A,0))</f>
        <v>15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563"/>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563"/>
      <c r="AK19" s="580"/>
      <c r="AL19" s="669">
        <v>8</v>
      </c>
      <c r="AM19" s="116">
        <f>MIN(COUNTIFS(DSS_Calc!KV:KV,"&gt;0",DSS_Calc!C:C,F11),19)</f>
        <v>10</v>
      </c>
      <c r="AN19" s="1129" t="s">
        <v>881</v>
      </c>
      <c r="AO19" s="1130"/>
      <c r="AP19" s="1130"/>
      <c r="AQ19" s="1130"/>
      <c r="AR19" s="113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0.16977139237030817</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3.4297316916099052E-2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0.15221622747983046</v>
      </c>
      <c r="AV19" s="714"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563"/>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563"/>
      <c r="AK20" s="580"/>
      <c r="AL20" s="235"/>
      <c r="AM20" s="235"/>
      <c r="AN20" s="1131" t="s">
        <v>878</v>
      </c>
      <c r="AO20" s="1132"/>
      <c r="AP20" s="1132"/>
      <c r="AQ20" s="1132"/>
      <c r="AR20" s="1132"/>
      <c r="AS20" s="718">
        <f>IFERROR(INDEX($C:$C,MATCH(AS19,U:U,0)-1),INDEX($C:$C,MATCH(-AS19,U:U,0)-1))</f>
        <v>50</v>
      </c>
      <c r="AT20" s="718">
        <f>IFERROR(INDEX($C:$C,MATCH(AT19,V:V,0)-1),INDEX($C:$C,MATCH(-AT19,V:V,0)-1))</f>
        <v>50</v>
      </c>
      <c r="AU20" s="718">
        <f>IFERROR(INDEX($C:$C,MATCH(AU19,W:W,0)-1),INDEX($C:$C,MATCH(-AU19,W:W,0)-1))</f>
        <v>66</v>
      </c>
      <c r="AV20" s="71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563"/>
      <c r="AK21" s="580"/>
      <c r="AL21" s="669">
        <v>1</v>
      </c>
      <c r="AM21" s="235"/>
      <c r="AN21" s="1127" t="s">
        <v>879</v>
      </c>
      <c r="AO21" s="1128"/>
      <c r="AP21" s="1128"/>
      <c r="AQ21" s="1128"/>
      <c r="AR21" s="1128"/>
      <c r="AS21" s="729">
        <f>IFERROR(INDEX(Q:Q,MATCH(AS19,U:U,0)),INDEX(Q:Q,MATCH(-AS19,U:U,0)))</f>
        <v>999.99999999999977</v>
      </c>
      <c r="AT21" s="729">
        <f>IFERROR(INDEX(R:R,MATCH(AT19,V:V,0)),INDEX(R:R,MATCH(-AT19,V:V,0)))</f>
        <v>0</v>
      </c>
      <c r="AU21" s="729">
        <f>IFERROR(INDEX(S:S,MATCH(AU19,W:W,0)),INDEX(S:S,MATCH(-AU19,W:W,0)))</f>
        <v>-360</v>
      </c>
      <c r="AV21" s="720"/>
      <c r="AW21" s="723"/>
      <c r="AX21" s="235"/>
      <c r="AY21" s="235"/>
      <c r="BA21" s="275"/>
      <c r="BC21" s="231"/>
      <c r="BD21" s="231"/>
      <c r="BE21" s="231"/>
      <c r="BF21" s="231"/>
      <c r="BG21" s="231"/>
      <c r="BH21" s="231"/>
      <c r="BI21" s="231"/>
      <c r="BJ21" s="231"/>
      <c r="BK21" s="231"/>
      <c r="BL21" s="231"/>
    </row>
    <row r="22" spans="1:65" ht="15.75" customHeight="1">
      <c r="A22" s="275"/>
      <c r="B22" s="275"/>
      <c r="C22" s="231"/>
      <c r="D22" s="563"/>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563"/>
      <c r="AK22" s="580"/>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563"/>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563"/>
      <c r="AK23" s="580"/>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563"/>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563"/>
      <c r="AK24" s="580"/>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563"/>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563"/>
      <c r="AK25" s="580"/>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573"/>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563"/>
      <c r="AK26" s="563"/>
      <c r="AQ26" s="563"/>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24" t="s">
        <v>571</v>
      </c>
      <c r="B27" s="390"/>
      <c r="C27" s="1124" t="s">
        <v>572</v>
      </c>
      <c r="D27" s="900" t="s">
        <v>134</v>
      </c>
      <c r="F27" s="1126" t="s">
        <v>354</v>
      </c>
      <c r="G27" s="1126"/>
      <c r="H27" s="1126"/>
      <c r="I27" s="1126"/>
      <c r="J27" s="1126"/>
      <c r="K27" s="1126"/>
      <c r="L27" s="1126"/>
      <c r="M27" s="1126"/>
      <c r="N27" s="1126"/>
      <c r="O27" s="1126"/>
      <c r="P27" s="277"/>
      <c r="Q27" s="1125" t="s">
        <v>135</v>
      </c>
      <c r="R27" s="1125"/>
      <c r="S27" s="1125"/>
      <c r="T27" s="277"/>
      <c r="U27" s="1126" t="s">
        <v>136</v>
      </c>
      <c r="V27" s="1126"/>
      <c r="W27" s="1126"/>
      <c r="X27" s="277"/>
      <c r="Y27" s="1125" t="s">
        <v>137</v>
      </c>
      <c r="Z27" s="1125"/>
      <c r="AA27" s="1125"/>
      <c r="AB27" s="277"/>
      <c r="AC27" s="1126" t="s">
        <v>138</v>
      </c>
      <c r="AD27" s="1126"/>
      <c r="AE27" s="1126"/>
      <c r="AF27" s="1126"/>
      <c r="AG27" s="1126"/>
      <c r="AH27" s="1126"/>
      <c r="AI27" s="112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24"/>
      <c r="B28" s="279"/>
      <c r="C28" s="1124"/>
      <c r="D28" s="236"/>
      <c r="E28" s="392"/>
      <c r="F28" s="237" t="s">
        <v>139</v>
      </c>
      <c r="G28" s="238" t="s">
        <v>1147</v>
      </c>
      <c r="H28" s="238" t="s">
        <v>39</v>
      </c>
      <c r="I28" s="237" t="s">
        <v>715</v>
      </c>
      <c r="J28" s="237" t="s">
        <v>330</v>
      </c>
      <c r="K28" s="237" t="s">
        <v>1150</v>
      </c>
      <c r="L28" s="237" t="s">
        <v>1151</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563"/>
      <c r="AK29" s="563"/>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1158</v>
      </c>
      <c r="L31" s="244" t="s">
        <v>1159</v>
      </c>
      <c r="M31" s="244"/>
      <c r="N31" s="244"/>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563"/>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1229</v>
      </c>
      <c r="G33" s="256" t="str">
        <f>IF($C33="","",VLOOKUP($C33+$F$11*1000,DSS_Calc!$A:$JV,G$30,FALSE))</f>
        <v>0/0.9/1.9/3.9</v>
      </c>
      <c r="H33" s="256">
        <f>IF($C33="","",VLOOKUP($C33+$F$11*1000,DSS_Calc!$A:$JV,H$30,FALSE))</f>
        <v>0</v>
      </c>
      <c r="I33" s="256">
        <f>IF($C33="","",VLOOKUP($C33+$F$11*1000,DSS_Calc!$A:$JV,I$30,FALSE))</f>
        <v>0</v>
      </c>
      <c r="J33" s="256">
        <f>IF($C33="","",VLOOKUP($C33+$F$11*1000,DSS_Calc!$A:$JV,J$30,FALSE))</f>
        <v>3757</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1300.0000000000002</v>
      </c>
      <c r="R33" s="256">
        <f>IF($C33="","",VLOOKUP($C33+$F$11*1000,DSS_Calc!$A:$JV,R$30,FALSE)*IF(V33=0,0,1))</f>
        <v>2160.0624533823611</v>
      </c>
      <c r="S33" s="256">
        <f>IF($C33="","",VLOOKUP($C33+$F$11*1000,DSS_Calc!$A:$JV,S$30,FALSE)*IF(W33=0,0,1))</f>
        <v>4388.7164157747848</v>
      </c>
      <c r="T33" s="294" t="s">
        <v>2</v>
      </c>
      <c r="U33" s="395">
        <f>IF($C33="","",VLOOKUP($C33+$F$11*1000,DSS_Calc!$A:$JV,U$30,FALSE))</f>
        <v>0.24773569190356629</v>
      </c>
      <c r="V33" s="395">
        <f>IF($C33="","",VLOOKUP($C33+$F$11*1000,DSS_Calc!$A:$JV,V$30,FALSE))</f>
        <v>0.35187827748656952</v>
      </c>
      <c r="W33" s="395">
        <f>IF($C33="","",VLOOKUP($C33+$F$11*1000,DSS_Calc!$A:$JV,W$30,FALSE))</f>
        <v>0.40038603060986427</v>
      </c>
      <c r="X33" s="290" t="s">
        <v>2</v>
      </c>
      <c r="Y33" s="256">
        <f t="shared" ref="Y33:AA34" si="0">IF(U33=0,0,U33*Q33)</f>
        <v>322.05639947463624</v>
      </c>
      <c r="Z33" s="256">
        <f t="shared" si="0"/>
        <v>760.07905535959867</v>
      </c>
      <c r="AA33" s="256">
        <f t="shared" si="0"/>
        <v>1757.1807451844168</v>
      </c>
      <c r="AB33" s="290" t="s">
        <v>2</v>
      </c>
      <c r="AC33" s="256">
        <f>SUM(Y33:AA33)</f>
        <v>2839.3162000186517</v>
      </c>
      <c r="AD33" s="259">
        <f>AC33*AE33/1000/1000</f>
        <v>1.2715471272224883</v>
      </c>
      <c r="AE33" s="260">
        <f>IF($C33="","",VLOOKUP($C33+$F$11*1000,DSS_Calc!$A:$JV,AE$30,FALSE))</f>
        <v>447.83568917549076</v>
      </c>
      <c r="AF33" s="259">
        <f>IF($C33="","",VLOOKUP($C33+$F$11*1000,DSS_Calc!$A:$JV,AF$30,FALSE))</f>
        <v>1.4134517472291663</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50</v>
      </c>
      <c r="D34" s="396" t="str">
        <f>"Scenario " &amp; A34</f>
        <v>Scenario A</v>
      </c>
      <c r="E34" s="272" t="s">
        <v>2</v>
      </c>
      <c r="F34" s="397">
        <f>IF($C34="","",VLOOKUP($C34+$F$11*1000,DSS_Calc!$A:$JV,F$30,FALSE))</f>
        <v>2229</v>
      </c>
      <c r="G34" s="397" t="str">
        <f>IF($C34="","",VLOOKUP($C34+$F$11*1000,DSS_Calc!$A:$JV,G$30,FALSE))</f>
        <v>0/0.9/1.9/3.9</v>
      </c>
      <c r="H34" s="397">
        <f>IF($C34="","",VLOOKUP($C34+$F$11*1000,DSS_Calc!$A:$JV,H$30,FALSE))</f>
        <v>0</v>
      </c>
      <c r="I34" s="397">
        <f>IF($C34="","",VLOOKUP($C34+$F$11*1000,DSS_Calc!$A:$JV,I$30,FALSE))</f>
        <v>0</v>
      </c>
      <c r="J34" s="397">
        <f>IF($C34="","",VLOOKUP($C34+$F$11*1000,DSS_Calc!$A:$JV,J$30,FALSE))</f>
        <v>3397</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2300</v>
      </c>
      <c r="R34" s="397">
        <f>IF($C34="","",VLOOKUP($C34+$F$11*1000,DSS_Calc!$A:$JV,R$30,FALSE)*IF(V34=0,0,1))</f>
        <v>2160.0624533823611</v>
      </c>
      <c r="S34" s="397">
        <f>IF($C34="","",VLOOKUP($C34+$F$11*1000,DSS_Calc!$A:$JV,S$30,FALSE)*IF(W34=0,0,1))</f>
        <v>4028.7164157747848</v>
      </c>
      <c r="T34" s="294" t="s">
        <v>2</v>
      </c>
      <c r="U34" s="398">
        <f>IF($C34="","",VLOOKUP($C34+$F$11*1000,DSS_Calc!$A:$JV,U$30,FALSE))</f>
        <v>0.41750708427387445</v>
      </c>
      <c r="V34" s="398">
        <f>IF($C34="","",VLOOKUP($C34+$F$11*1000,DSS_Calc!$A:$JV,V$30,FALSE))</f>
        <v>0.31758096057047047</v>
      </c>
      <c r="W34" s="398">
        <f>IF($C34="","",VLOOKUP($C34+$F$11*1000,DSS_Calc!$A:$JV,W$30,FALSE))</f>
        <v>0.26491195515565524</v>
      </c>
      <c r="X34" s="294" t="s">
        <v>2</v>
      </c>
      <c r="Y34" s="397">
        <f t="shared" si="0"/>
        <v>960.26629382991121</v>
      </c>
      <c r="Z34" s="397">
        <f t="shared" si="0"/>
        <v>685.99470883737729</v>
      </c>
      <c r="AA34" s="397">
        <f t="shared" si="0"/>
        <v>1067.2551424705819</v>
      </c>
      <c r="AB34" s="294" t="s">
        <v>2</v>
      </c>
      <c r="AC34" s="397">
        <f>SUM(Y34:AA34)</f>
        <v>2713.5161451378704</v>
      </c>
      <c r="AD34" s="399">
        <f>AC34*AE34/1000/1000</f>
        <v>1.2412282907112049</v>
      </c>
      <c r="AE34" s="400">
        <f>IF($C34="","",VLOOKUP($C34+$F$11*1000,DSS_Calc!$A:$JV,AE$30,FALSE))</f>
        <v>457.42432486914112</v>
      </c>
      <c r="AF34" s="399">
        <f>IF($C34="","",VLOOKUP($C34+$F$11*1000,DSS_Calc!$A:$JV,AF$30,FALSE))</f>
        <v>1.5012592490417307</v>
      </c>
      <c r="AG34" s="401"/>
      <c r="AH34" s="398"/>
      <c r="AI34" s="401"/>
      <c r="AJ34" s="289" t="s">
        <v>2</v>
      </c>
      <c r="AK34" s="563"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1.1395933806070138</v>
      </c>
      <c r="B35" s="402"/>
      <c r="C35" s="564">
        <f>AI35/(AC35/(VLOOKUP($C34+$F$11*1000,DSS_Calc!$A:$JV,DSS_Calc!BX$92,FALSE)-$AC$33))</f>
        <v>-2.9181801402939502</v>
      </c>
      <c r="D35" s="403" t="s">
        <v>141</v>
      </c>
      <c r="F35" s="404">
        <f>ROUND(F34-F$33,0)</f>
        <v>1000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999.99999999999977</v>
      </c>
      <c r="R35" s="404">
        <f t="shared" si="2"/>
        <v>0</v>
      </c>
      <c r="S35" s="404">
        <f t="shared" si="2"/>
        <v>-360</v>
      </c>
      <c r="T35" s="294"/>
      <c r="U35" s="405">
        <f>U34-U$33</f>
        <v>0.16977139237030817</v>
      </c>
      <c r="V35" s="405">
        <f>V34-V$33</f>
        <v>-3.4297316916099052E-2</v>
      </c>
      <c r="W35" s="405">
        <f>W34-W$33</f>
        <v>-0.13547407545420903</v>
      </c>
      <c r="X35" s="294"/>
      <c r="Y35" s="404">
        <f>Y34-Y$33</f>
        <v>638.20989435527497</v>
      </c>
      <c r="Z35" s="404">
        <f>Z34-Z$33</f>
        <v>-74.084346522221381</v>
      </c>
      <c r="AA35" s="404">
        <f>AA34-AA$33</f>
        <v>-689.92560271383491</v>
      </c>
      <c r="AB35" s="294"/>
      <c r="AC35" s="404">
        <f>IFERROR(AC34-AC$33,NA())</f>
        <v>-125.80005488078132</v>
      </c>
      <c r="AD35" s="406">
        <f>AD34-AD$33</f>
        <v>-3.031883651128342E-2</v>
      </c>
      <c r="AE35" s="407">
        <f t="shared" ref="AE35:AF61" si="3">AE34-AE$33</f>
        <v>9.5886356936503603</v>
      </c>
      <c r="AF35" s="406">
        <f t="shared" si="3"/>
        <v>8.7807501812564359E-2</v>
      </c>
      <c r="AG35" s="408">
        <f>AF35/AF$33</f>
        <v>6.2122744539879871E-2</v>
      </c>
      <c r="AH35" s="405"/>
      <c r="AI35" s="408">
        <f>IFERROR(AE35/$AE$33,NA())</f>
        <v>2.1411057504827215E-2</v>
      </c>
      <c r="AJ35" s="289"/>
      <c r="AK35" s="749"/>
      <c r="AL35" s="750">
        <f>$AE34*U34-$AE$33*U$33</f>
        <v>80.033011835059966</v>
      </c>
      <c r="AM35" s="750">
        <f>$AE34*V34-$AE$33*V$33</f>
        <v>-12.314394423841662</v>
      </c>
      <c r="AN35" s="750">
        <f>$AE34*W34-$AE$33*W$33</f>
        <v>-58.129981717567929</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49</v>
      </c>
      <c r="D36" s="261" t="str">
        <f>"Scenario " &amp; A36</f>
        <v>Scenario B</v>
      </c>
      <c r="E36" s="272" t="s">
        <v>2</v>
      </c>
      <c r="F36" s="262">
        <f>IF($C36="","",VLOOKUP($C36+$F$11*1000,DSS_Calc!$A:$JV,F$30,FALSE))</f>
        <v>1979</v>
      </c>
      <c r="G36" s="262" t="str">
        <f>IF($C36="","",VLOOKUP($C36+$F$11*1000,DSS_Calc!$A:$JV,G$30,FALSE))</f>
        <v>0/0.9/1.9/3.9</v>
      </c>
      <c r="H36" s="262">
        <f>IF($C36="","",VLOOKUP($C36+$F$11*1000,DSS_Calc!$A:$JV,H$30,FALSE))</f>
        <v>0</v>
      </c>
      <c r="I36" s="262">
        <f>IF($C36="","",VLOOKUP($C36+$F$11*1000,DSS_Calc!$A:$JV,I$30,FALSE))</f>
        <v>0</v>
      </c>
      <c r="J36" s="262">
        <f>IF($C36="","",VLOOKUP($C36+$F$11*1000,DSS_Calc!$A:$JV,J$30,FALSE))</f>
        <v>3397</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2050</v>
      </c>
      <c r="R36" s="262">
        <f>IF($C36="","",VLOOKUP($C36+$F$11*1000,DSS_Calc!$A:$JV,R$30,FALSE)*IF(V36=0,0,1))</f>
        <v>2160.0624533823611</v>
      </c>
      <c r="S36" s="262">
        <f>IF($C36="","",VLOOKUP($C36+$F$11*1000,DSS_Calc!$A:$JV,S$30,FALSE)*IF(W36=0,0,1))</f>
        <v>4028.7164157747848</v>
      </c>
      <c r="T36" s="294" t="s">
        <v>2</v>
      </c>
      <c r="U36" s="263">
        <f>IF($C36="","",VLOOKUP($C36+$F$11*1000,DSS_Calc!$A:$JV,U$30,FALSE))</f>
        <v>0.38667545136343773</v>
      </c>
      <c r="V36" s="263">
        <f>IF($C36="","",VLOOKUP($C36+$F$11*1000,DSS_Calc!$A:$JV,V$30,FALSE))</f>
        <v>0.32980449339367679</v>
      </c>
      <c r="W36" s="263">
        <f>IF($C36="","",VLOOKUP($C36+$F$11*1000,DSS_Calc!$A:$JV,W$30,FALSE))</f>
        <v>0.28352005524288554</v>
      </c>
      <c r="X36" s="294" t="s">
        <v>2</v>
      </c>
      <c r="Y36" s="262">
        <f>IF(U36=0,0,U36*Q36)</f>
        <v>792.68467529504733</v>
      </c>
      <c r="Z36" s="262">
        <f>IF(V36=0,0,V36*R36)</f>
        <v>712.39830313647224</v>
      </c>
      <c r="AA36" s="262">
        <f>IF(W36=0,0,W36*S36)</f>
        <v>1142.2219007583867</v>
      </c>
      <c r="AB36" s="294" t="s">
        <v>2</v>
      </c>
      <c r="AC36" s="262">
        <f>SUM(Y36:AA36)</f>
        <v>2647.3048791899064</v>
      </c>
      <c r="AD36" s="264">
        <f>AC36*AE36/1000/1000</f>
        <v>1.1930481201142564</v>
      </c>
      <c r="AE36" s="265">
        <f>IF($C36="","",VLOOKUP($C36+$F$11*1000,DSS_Calc!$A:$JV,AE$30,FALSE))</f>
        <v>450.66517630539681</v>
      </c>
      <c r="AF36" s="264">
        <f>IF($C36="","",VLOOKUP($C36+$F$11*1000,DSS_Calc!$A:$JV,AF$30,FALSE))</f>
        <v>1.5089149444247503</v>
      </c>
      <c r="AG36" s="300"/>
      <c r="AH36" s="263"/>
      <c r="AI36" s="300"/>
      <c r="AJ36" s="289" t="s">
        <v>2</v>
      </c>
      <c r="AK36" s="563"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+750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0.57640278280545332</v>
      </c>
      <c r="B37" s="402"/>
      <c r="C37" s="564">
        <f>AI37/(AC37/(VLOOKUP($C36+$F$11*1000,DSS_Calc!$A:$JV,DSS_Calc!BX$92,FALSE)-$AC$33))</f>
        <v>-0.56417910471337596</v>
      </c>
      <c r="D37" s="266" t="s">
        <v>141</v>
      </c>
      <c r="F37" s="267">
        <f>ROUND(F36-F$33,0)</f>
        <v>750</v>
      </c>
      <c r="G37" s="267"/>
      <c r="H37" s="267"/>
      <c r="I37" s="267">
        <f t="shared" ref="I37" si="4">ROUND(I36-I$33,0)</f>
        <v>0</v>
      </c>
      <c r="J37" s="267">
        <f t="shared" ref="J37" si="5">ROUND(J36-J$33,0)</f>
        <v>-360</v>
      </c>
      <c r="K37" s="267">
        <f t="shared" ref="K37" si="6">ROUND(K36-K$33,0)</f>
        <v>0</v>
      </c>
      <c r="L37" s="267">
        <f t="shared" ref="L37" si="7">ROUND(L36-L$33,0)</f>
        <v>0</v>
      </c>
      <c r="M37" s="267">
        <f t="shared" ref="M37" si="8">ROUND(M36-M$33,0)</f>
        <v>0</v>
      </c>
      <c r="N37" s="267">
        <f t="shared" ref="N37" si="9">ROUND(N36-N$33,0)</f>
        <v>0</v>
      </c>
      <c r="O37" s="267">
        <f t="shared" ref="O37" si="10">ROUND(O36-O$33,0)</f>
        <v>0</v>
      </c>
      <c r="P37" s="294"/>
      <c r="Q37" s="267">
        <f t="shared" ref="Q37:S37" si="11">Q36-Q$33</f>
        <v>749.99999999999977</v>
      </c>
      <c r="R37" s="267">
        <f t="shared" si="11"/>
        <v>0</v>
      </c>
      <c r="S37" s="267">
        <f t="shared" si="11"/>
        <v>-360</v>
      </c>
      <c r="T37" s="294"/>
      <c r="U37" s="268">
        <f>U36-U$33</f>
        <v>0.13893975945987144</v>
      </c>
      <c r="V37" s="268">
        <f>V36-V$33</f>
        <v>-2.2073784092892734E-2</v>
      </c>
      <c r="W37" s="268">
        <f>W36-W$33</f>
        <v>-0.11686597536697874</v>
      </c>
      <c r="X37" s="294"/>
      <c r="Y37" s="267">
        <f>Y36-Y$33</f>
        <v>470.62827582041109</v>
      </c>
      <c r="Z37" s="267">
        <f>Z36-Z$33</f>
        <v>-47.680752223126433</v>
      </c>
      <c r="AA37" s="267">
        <f>AA36-AA$33</f>
        <v>-614.95884442603005</v>
      </c>
      <c r="AB37" s="294"/>
      <c r="AC37" s="267">
        <f>IFERROR(AC36-AC$33,NA())</f>
        <v>-192.01132082874528</v>
      </c>
      <c r="AD37" s="269">
        <f>AD36-AD$33</f>
        <v>-7.8499007108231877E-2</v>
      </c>
      <c r="AE37" s="270">
        <f t="shared" si="3"/>
        <v>2.829487129906056</v>
      </c>
      <c r="AF37" s="269">
        <f t="shared" si="3"/>
        <v>9.5463197195583938E-2</v>
      </c>
      <c r="AG37" s="301">
        <f>AF37/AF$33</f>
        <v>6.7539056343963233E-2</v>
      </c>
      <c r="AH37" s="268"/>
      <c r="AI37" s="301">
        <f>IFERROR(AE37/$AE$33,NA())</f>
        <v>6.3181367592998628E-3</v>
      </c>
      <c r="AJ37" s="289"/>
      <c r="AK37" s="749"/>
      <c r="AL37" s="750">
        <f>$AE36*U36-$AE$33*U$33</f>
        <v>63.316276144671889</v>
      </c>
      <c r="AM37" s="750">
        <f>$AE36*V36-$AE$33*V$33</f>
        <v>-8.9522507425090225</v>
      </c>
      <c r="AN37" s="750">
        <f>$AE36*W36-$AE$33*W$33</f>
        <v>-51.534538272256853</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38</v>
      </c>
      <c r="D38" s="396" t="str">
        <f>"Scenario " &amp; A38</f>
        <v>Scenario C</v>
      </c>
      <c r="E38" s="272" t="s">
        <v>2</v>
      </c>
      <c r="F38" s="397">
        <f>IF($C38="","",VLOOKUP($C38+$F$11*1000,DSS_Calc!$A:$JV,F$30,FALSE))</f>
        <v>2229</v>
      </c>
      <c r="G38" s="397" t="str">
        <f>IF($C38="","",VLOOKUP($C38+$F$11*1000,DSS_Calc!$A:$JV,G$30,FALSE))</f>
        <v>0/0/0.9/3.9</v>
      </c>
      <c r="H38" s="397">
        <f>IF($C38="","",VLOOKUP($C38+$F$11*1000,DSS_Calc!$A:$JV,H$30,FALSE))</f>
        <v>0</v>
      </c>
      <c r="I38" s="397">
        <f>IF($C38="","",VLOOKUP($C38+$F$11*1000,DSS_Calc!$A:$JV,I$30,FALSE))</f>
        <v>0</v>
      </c>
      <c r="J38" s="397">
        <f>IF($C38="","",VLOOKUP($C38+$F$11*1000,DSS_Calc!$A:$JV,J$30,FALSE))</f>
        <v>3757</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2300</v>
      </c>
      <c r="R38" s="397">
        <f>IF($C38="","",VLOOKUP($C38+$F$11*1000,DSS_Calc!$A:$JV,R$30,FALSE)*IF(V38=0,0,1))</f>
        <v>2440.1894910073038</v>
      </c>
      <c r="S38" s="397">
        <f>IF($C38="","",VLOOKUP($C38+$F$11*1000,DSS_Calc!$A:$JV,S$30,FALSE)*IF(W38=0,0,1))</f>
        <v>4388.7164157747848</v>
      </c>
      <c r="T38" s="294" t="s">
        <v>2</v>
      </c>
      <c r="U38" s="398">
        <f>IF($C38="","",VLOOKUP($C38+$F$11*1000,DSS_Calc!$A:$JV,U$30,FALSE))</f>
        <v>0.36569986994899023</v>
      </c>
      <c r="V38" s="398">
        <f>IF($C38="","",VLOOKUP($C38+$F$11*1000,DSS_Calc!$A:$JV,V$30,FALSE))</f>
        <v>0.32568805722923005</v>
      </c>
      <c r="W38" s="398">
        <f>IF($C38="","",VLOOKUP($C38+$F$11*1000,DSS_Calc!$A:$JV,W$30,FALSE))</f>
        <v>0.30861207282177966</v>
      </c>
      <c r="X38" s="294" t="s">
        <v>2</v>
      </c>
      <c r="Y38" s="397">
        <f>IF(U38=0,0,U38*Q38)</f>
        <v>841.10970088267754</v>
      </c>
      <c r="Z38" s="397">
        <f>IF(V38=0,0,V38*R38)</f>
        <v>794.74057459735252</v>
      </c>
      <c r="AA38" s="397">
        <f>IF(W38=0,0,W38*S38)</f>
        <v>1354.4108700992276</v>
      </c>
      <c r="AB38" s="294" t="s">
        <v>2</v>
      </c>
      <c r="AC38" s="397">
        <f>SUM(Y38:AA38)</f>
        <v>2990.2611455792576</v>
      </c>
      <c r="AD38" s="399">
        <f>AC38*AE38/1000/1000</f>
        <v>1.4244033300343666</v>
      </c>
      <c r="AE38" s="400">
        <f>IF($C38="","",VLOOKUP($C38+$F$11*1000,DSS_Calc!$A:$JV,AE$30,FALSE))</f>
        <v>476.34746956471548</v>
      </c>
      <c r="AF38" s="399">
        <f>IF($C38="","",VLOOKUP($C38+$F$11*1000,DSS_Calc!$A:$JV,AF$30,FALSE))</f>
        <v>1.431537923740885</v>
      </c>
      <c r="AG38" s="401"/>
      <c r="AH38" s="398"/>
      <c r="AI38" s="401"/>
      <c r="AJ38" s="289" t="s">
        <v>2</v>
      </c>
      <c r="AK38" s="563"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+1000 CC, 0/0/0.9/3.9</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2.3889500351592563</v>
      </c>
      <c r="B39" s="402"/>
      <c r="C39" s="564">
        <f>AI39/(AC39/(VLOOKUP($C38+$F$11*1000,DSS_Calc!$A:$JV,DSS_Calc!BX$92,FALSE)-$AC$33))</f>
        <v>7.2317244799063172</v>
      </c>
      <c r="D39" s="403" t="s">
        <v>141</v>
      </c>
      <c r="F39" s="404">
        <f>ROUND(F38-F$33,0)</f>
        <v>1000</v>
      </c>
      <c r="G39" s="404"/>
      <c r="H39" s="404"/>
      <c r="I39" s="404">
        <f t="shared" ref="I39" si="12">ROUND(I38-I$33,0)</f>
        <v>0</v>
      </c>
      <c r="J39" s="404">
        <f t="shared" ref="J39" si="13">ROUND(J38-J$33,0)</f>
        <v>0</v>
      </c>
      <c r="K39" s="404">
        <f t="shared" ref="K39" si="14">ROUND(K38-K$33,0)</f>
        <v>0</v>
      </c>
      <c r="L39" s="404">
        <f t="shared" ref="L39" si="15">ROUND(L38-L$33,0)</f>
        <v>0</v>
      </c>
      <c r="M39" s="404">
        <f t="shared" ref="M39" si="16">ROUND(M38-M$33,0)</f>
        <v>0</v>
      </c>
      <c r="N39" s="404">
        <f t="shared" ref="N39" si="17">ROUND(N38-N$33,0)</f>
        <v>0</v>
      </c>
      <c r="O39" s="404">
        <f t="shared" ref="O39" si="18">ROUND(O38-O$33,0)</f>
        <v>0</v>
      </c>
      <c r="P39" s="294"/>
      <c r="Q39" s="404">
        <f t="shared" ref="Q39:S39" si="19">Q38-Q$33</f>
        <v>999.99999999999977</v>
      </c>
      <c r="R39" s="404">
        <f t="shared" si="19"/>
        <v>280.12703762494266</v>
      </c>
      <c r="S39" s="404">
        <f t="shared" si="19"/>
        <v>0</v>
      </c>
      <c r="T39" s="294"/>
      <c r="U39" s="405">
        <f>U38-U$33</f>
        <v>0.11796417804542395</v>
      </c>
      <c r="V39" s="405">
        <f>V38-V$33</f>
        <v>-2.6190220257339469E-2</v>
      </c>
      <c r="W39" s="405">
        <f>W38-W$33</f>
        <v>-9.1773957788084615E-2</v>
      </c>
      <c r="X39" s="294"/>
      <c r="Y39" s="404">
        <f>Y38-Y$33</f>
        <v>519.05330140804131</v>
      </c>
      <c r="Z39" s="404">
        <f>Z38-Z$33</f>
        <v>34.661519237753851</v>
      </c>
      <c r="AA39" s="404">
        <f>AA38-AA$33</f>
        <v>-402.76987508518914</v>
      </c>
      <c r="AB39" s="294"/>
      <c r="AC39" s="404">
        <f>IFERROR(AC38-AC$33,NA())</f>
        <v>150.9449455606059</v>
      </c>
      <c r="AD39" s="406">
        <f>AD38-AD$33</f>
        <v>0.15285620281187828</v>
      </c>
      <c r="AE39" s="407">
        <f t="shared" si="3"/>
        <v>28.511780389224725</v>
      </c>
      <c r="AF39" s="406">
        <f t="shared" si="3"/>
        <v>1.8086176511718621E-2</v>
      </c>
      <c r="AG39" s="408">
        <f>AF39/AF$33</f>
        <v>1.27957509318401E-2</v>
      </c>
      <c r="AH39" s="405"/>
      <c r="AI39" s="408">
        <f>IFERROR(AE39/$AE$33,NA())</f>
        <v>6.3665717311895575E-2</v>
      </c>
      <c r="AJ39" s="289"/>
      <c r="AK39" s="749"/>
      <c r="AL39" s="750">
        <f>$AE38*U38-$AE$33*U$33</f>
        <v>63.25532335334637</v>
      </c>
      <c r="AM39" s="750">
        <f>$AE38*V38-$AE$33*V$33</f>
        <v>-2.4429689754904587</v>
      </c>
      <c r="AN39" s="750">
        <f>$AE38*W38-$AE$33*W$33</f>
        <v>-32.300573988631271</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48</v>
      </c>
      <c r="D40" s="261" t="str">
        <f>"Scenario " &amp; A40</f>
        <v>Scenario D</v>
      </c>
      <c r="E40" s="272" t="s">
        <v>2</v>
      </c>
      <c r="F40" s="262">
        <f>IF($C40="","",VLOOKUP($C40+$F$11*1000,DSS_Calc!$A:$JV,F$30,FALSE))</f>
        <v>1729</v>
      </c>
      <c r="G40" s="262" t="str">
        <f>IF($C40="","",VLOOKUP($C40+$F$11*1000,DSS_Calc!$A:$JV,G$30,FALSE))</f>
        <v>0/0.9/1.9/3.9</v>
      </c>
      <c r="H40" s="262">
        <f>IF($C40="","",VLOOKUP($C40+$F$11*1000,DSS_Calc!$A:$JV,H$30,FALSE))</f>
        <v>0</v>
      </c>
      <c r="I40" s="262">
        <f>IF($C40="","",VLOOKUP($C40+$F$11*1000,DSS_Calc!$A:$JV,I$30,FALSE))</f>
        <v>0</v>
      </c>
      <c r="J40" s="262">
        <f>IF($C40="","",VLOOKUP($C40+$F$11*1000,DSS_Calc!$A:$JV,J$30,FALSE))</f>
        <v>3397</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1800.0000000000002</v>
      </c>
      <c r="R40" s="262">
        <f>IF($C40="","",VLOOKUP($C40+$F$11*1000,DSS_Calc!$A:$JV,R$30,FALSE)*IF(V40=0,0,1))</f>
        <v>2160.0624533823611</v>
      </c>
      <c r="S40" s="262">
        <f>IF($C40="","",VLOOKUP($C40+$F$11*1000,DSS_Calc!$A:$JV,S$30,FALSE)*IF(W40=0,0,1))</f>
        <v>4028.7164157747848</v>
      </c>
      <c r="T40" s="294" t="s">
        <v>2</v>
      </c>
      <c r="U40" s="263">
        <f>IF($C40="","",VLOOKUP($C40+$F$11*1000,DSS_Calc!$A:$JV,U$30,FALSE))</f>
        <v>0.35519475447661358</v>
      </c>
      <c r="V40" s="263">
        <f>IF($C40="","",VLOOKUP($C40+$F$11*1000,DSS_Calc!$A:$JV,V$30,FALSE))</f>
        <v>0.34196347407420058</v>
      </c>
      <c r="W40" s="263">
        <f>IF($C40="","",VLOOKUP($C40+$F$11*1000,DSS_Calc!$A:$JV,W$30,FALSE))</f>
        <v>0.30284177144918589</v>
      </c>
      <c r="X40" s="294" t="s">
        <v>2</v>
      </c>
      <c r="Y40" s="262">
        <f>IF(U40=0,0,U40*Q40)</f>
        <v>639.35055805790455</v>
      </c>
      <c r="Z40" s="262">
        <f>IF(V40=0,0,V40*R40)</f>
        <v>738.66246077587311</v>
      </c>
      <c r="AA40" s="262">
        <f>IF(W40=0,0,W40*S40)</f>
        <v>1220.0636160196507</v>
      </c>
      <c r="AB40" s="294" t="s">
        <v>2</v>
      </c>
      <c r="AC40" s="262">
        <f>SUM(Y40:AA40)</f>
        <v>2598.076634853428</v>
      </c>
      <c r="AD40" s="264">
        <f>AC40*AE40/1000/1000</f>
        <v>1.1551044133905446</v>
      </c>
      <c r="AE40" s="265">
        <f>IF($C40="","",VLOOKUP($C40+$F$11*1000,DSS_Calc!$A:$JV,AE$30,FALSE))</f>
        <v>444.59982353665652</v>
      </c>
      <c r="AF40" s="264">
        <f>IF($C40="","",VLOOKUP($C40+$F$11*1000,DSS_Calc!$A:$JV,AF$30,FALSE))</f>
        <v>1.5104938286234797</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+500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-1.8066122743659701</v>
      </c>
      <c r="B41" s="402"/>
      <c r="C41" s="564">
        <f>AI41/(AC41/(VLOOKUP($C40+$F$11*1000,DSS_Calc!$A:$JV,DSS_Calc!BX$92,FALSE)-$AC$33))</f>
        <v>0.51354446519740249</v>
      </c>
      <c r="D41" s="266" t="s">
        <v>141</v>
      </c>
      <c r="F41" s="267">
        <f>ROUND(F40-F$33,0)</f>
        <v>500</v>
      </c>
      <c r="G41" s="267"/>
      <c r="H41" s="267"/>
      <c r="I41" s="267">
        <f t="shared" ref="I41" si="20">ROUND(I40-I$33,0)</f>
        <v>0</v>
      </c>
      <c r="J41" s="267">
        <f t="shared" ref="J41" si="21">ROUND(J40-J$33,0)</f>
        <v>-360</v>
      </c>
      <c r="K41" s="267">
        <f t="shared" ref="K41" si="22">ROUND(K40-K$33,0)</f>
        <v>0</v>
      </c>
      <c r="L41" s="267">
        <f t="shared" ref="L41" si="23">ROUND(L40-L$33,0)</f>
        <v>0</v>
      </c>
      <c r="M41" s="267">
        <f t="shared" ref="M41" si="24">ROUND(M40-M$33,0)</f>
        <v>0</v>
      </c>
      <c r="N41" s="267">
        <f t="shared" ref="N41" si="25">ROUND(N40-N$33,0)</f>
        <v>0</v>
      </c>
      <c r="O41" s="267">
        <f t="shared" ref="O41" si="26">ROUND(O40-O$33,0)</f>
        <v>0</v>
      </c>
      <c r="P41" s="294"/>
      <c r="Q41" s="267">
        <f t="shared" ref="Q41:S41" si="27">Q40-Q$33</f>
        <v>500</v>
      </c>
      <c r="R41" s="267">
        <f t="shared" si="27"/>
        <v>0</v>
      </c>
      <c r="S41" s="267">
        <f t="shared" si="27"/>
        <v>-360</v>
      </c>
      <c r="T41" s="294"/>
      <c r="U41" s="268">
        <f>U40-U$33</f>
        <v>0.1074590625730473</v>
      </c>
      <c r="V41" s="268">
        <f>V40-V$33</f>
        <v>-9.9148034123689444E-3</v>
      </c>
      <c r="W41" s="268">
        <f>W40-W$33</f>
        <v>-9.7544259160678382E-2</v>
      </c>
      <c r="X41" s="294"/>
      <c r="Y41" s="267">
        <f>Y40-Y$33</f>
        <v>317.29415858326831</v>
      </c>
      <c r="Z41" s="267">
        <f>Z40-Z$33</f>
        <v>-21.416594583725555</v>
      </c>
      <c r="AA41" s="267">
        <f>AA40-AA$33</f>
        <v>-537.11712916476608</v>
      </c>
      <c r="AB41" s="294"/>
      <c r="AC41" s="267">
        <f>IFERROR(AC40-AC$33,NA())</f>
        <v>-241.23956516522367</v>
      </c>
      <c r="AD41" s="269">
        <f>AD40-AD$33</f>
        <v>-0.11644271383194371</v>
      </c>
      <c r="AE41" s="270">
        <f t="shared" si="3"/>
        <v>-3.2358656388342411</v>
      </c>
      <c r="AF41" s="269">
        <f t="shared" si="3"/>
        <v>9.7042081394313362E-2</v>
      </c>
      <c r="AG41" s="301">
        <f>AF41/AF$33</f>
        <v>6.8656097800684032E-2</v>
      </c>
      <c r="AH41" s="268"/>
      <c r="AI41" s="301">
        <f>IFERROR(AE41/$AE$33,NA())</f>
        <v>-7.2255644582319596E-3</v>
      </c>
      <c r="AJ41" s="289"/>
      <c r="AK41" s="749"/>
      <c r="AL41" s="750">
        <f>$AE40*U40-$AE$33*U$33</f>
        <v>46.974640844447777</v>
      </c>
      <c r="AM41" s="750">
        <f>$AE40*V40-$AE$33*V$33</f>
        <v>-5.5467506747108644</v>
      </c>
      <c r="AN41" s="750">
        <f>$AE40*W40-$AE$33*W$33</f>
        <v>-44.66375580857121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37</v>
      </c>
      <c r="D42" s="396" t="str">
        <f>"Scenario " &amp; A42</f>
        <v>Scenario E</v>
      </c>
      <c r="E42" s="272" t="s">
        <v>2</v>
      </c>
      <c r="F42" s="397">
        <f>IF($C42="","",VLOOKUP($C42+$F$11*1000,DSS_Calc!$A:$JV,F$30,FALSE))</f>
        <v>1979</v>
      </c>
      <c r="G42" s="397" t="str">
        <f>IF($C42="","",VLOOKUP($C42+$F$11*1000,DSS_Calc!$A:$JV,G$30,FALSE))</f>
        <v>0/0/0.9/3.9</v>
      </c>
      <c r="H42" s="397">
        <f>IF($C42="","",VLOOKUP($C42+$F$11*1000,DSS_Calc!$A:$JV,H$30,FALSE))</f>
        <v>0</v>
      </c>
      <c r="I42" s="397">
        <f>IF($C42="","",VLOOKUP($C42+$F$11*1000,DSS_Calc!$A:$JV,I$30,FALSE))</f>
        <v>0</v>
      </c>
      <c r="J42" s="397">
        <f>IF($C42="","",VLOOKUP($C42+$F$11*1000,DSS_Calc!$A:$JV,J$30,FALSE))</f>
        <v>3757</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2050</v>
      </c>
      <c r="R42" s="397">
        <f>IF($C42="","",VLOOKUP($C42+$F$11*1000,DSS_Calc!$A:$JV,R$30,FALSE)*IF(V42=0,0,1))</f>
        <v>2440.1894910073038</v>
      </c>
      <c r="S42" s="397">
        <f>IF($C42="","",VLOOKUP($C42+$F$11*1000,DSS_Calc!$A:$JV,S$30,FALSE)*IF(W42=0,0,1))</f>
        <v>4388.7164157747848</v>
      </c>
      <c r="T42" s="294" t="s">
        <v>2</v>
      </c>
      <c r="U42" s="398">
        <f>IF($C42="","",VLOOKUP($C42+$F$11*1000,DSS_Calc!$A:$JV,U$30,FALSE))</f>
        <v>0.33391287124318308</v>
      </c>
      <c r="V42" s="398">
        <f>IF($C42="","",VLOOKUP($C42+$F$11*1000,DSS_Calc!$A:$JV,V$30,FALSE))</f>
        <v>0.33743402712163267</v>
      </c>
      <c r="W42" s="398">
        <f>IF($C42="","",VLOOKUP($C42+$F$11*1000,DSS_Calc!$A:$JV,W$30,FALSE))</f>
        <v>0.32865310163518419</v>
      </c>
      <c r="X42" s="294" t="s">
        <v>2</v>
      </c>
      <c r="Y42" s="397">
        <f>IF(U42=0,0,U42*Q42)</f>
        <v>684.5213860485253</v>
      </c>
      <c r="Z42" s="397">
        <f>IF(V42=0,0,V42*R42)</f>
        <v>823.40296689048159</v>
      </c>
      <c r="AA42" s="397">
        <f>IF(W42=0,0,W42*S42)</f>
        <v>1442.3652622416316</v>
      </c>
      <c r="AB42" s="294" t="s">
        <v>2</v>
      </c>
      <c r="AC42" s="397">
        <f>SUM(Y42:AA42)</f>
        <v>2950.2896151806385</v>
      </c>
      <c r="AD42" s="399">
        <f>AC42*AE42/1000/1000</f>
        <v>1.3870870798814112</v>
      </c>
      <c r="AE42" s="400">
        <f>IF($C42="","",VLOOKUP($C42+$F$11*1000,DSS_Calc!$A:$JV,AE$30,FALSE))</f>
        <v>470.15285304337272</v>
      </c>
      <c r="AF42" s="399">
        <f>IF($C42="","",VLOOKUP($C42+$F$11*1000,DSS_Calc!$A:$JV,AF$30,FALSE))</f>
        <v>1.4317143505401297</v>
      </c>
      <c r="AG42" s="401"/>
      <c r="AH42" s="398"/>
      <c r="AI42" s="401"/>
      <c r="AJ42" s="289" t="s">
        <v>2</v>
      </c>
      <c r="AK42" s="563"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+750 CC, 0/0/0.9/3.9</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2.4768948573934697</v>
      </c>
      <c r="B43" s="402"/>
      <c r="C43" s="564">
        <f>AI43/(AC43/(VLOOKUP($C42+$F$11*1000,DSS_Calc!$A:$JV,DSS_Calc!BX$92,FALSE)-$AC$33))</f>
        <v>7.6993871943881143</v>
      </c>
      <c r="D43" s="403" t="s">
        <v>141</v>
      </c>
      <c r="F43" s="404">
        <f>ROUND(F42-F$33,0)</f>
        <v>750</v>
      </c>
      <c r="G43" s="404"/>
      <c r="H43" s="404"/>
      <c r="I43" s="404">
        <f t="shared" ref="I43" si="28">ROUND(I42-I$33,0)</f>
        <v>0</v>
      </c>
      <c r="J43" s="404">
        <f t="shared" ref="J43" si="29">ROUND(J42-J$33,0)</f>
        <v>0</v>
      </c>
      <c r="K43" s="404">
        <f t="shared" ref="K43" si="30">ROUND(K42-K$33,0)</f>
        <v>0</v>
      </c>
      <c r="L43" s="404">
        <f t="shared" ref="L43" si="31">ROUND(L42-L$33,0)</f>
        <v>0</v>
      </c>
      <c r="M43" s="404">
        <f t="shared" ref="M43" si="32">ROUND(M42-M$33,0)</f>
        <v>0</v>
      </c>
      <c r="N43" s="404">
        <f t="shared" ref="N43" si="33">ROUND(N42-N$33,0)</f>
        <v>0</v>
      </c>
      <c r="O43" s="404">
        <f t="shared" ref="O43" si="34">ROUND(O42-O$33,0)</f>
        <v>0</v>
      </c>
      <c r="P43" s="294"/>
      <c r="Q43" s="404">
        <f t="shared" ref="Q43:S43" si="35">Q42-Q$33</f>
        <v>749.99999999999977</v>
      </c>
      <c r="R43" s="404">
        <f t="shared" si="35"/>
        <v>280.12703762494266</v>
      </c>
      <c r="S43" s="404">
        <f t="shared" si="35"/>
        <v>0</v>
      </c>
      <c r="T43" s="294"/>
      <c r="U43" s="405">
        <f>U42-U$33</f>
        <v>8.61771793396168E-2</v>
      </c>
      <c r="V43" s="405">
        <f>V42-V$33</f>
        <v>-1.444425036493685E-2</v>
      </c>
      <c r="W43" s="405">
        <f>W42-W$33</f>
        <v>-7.1732928974680088E-2</v>
      </c>
      <c r="X43" s="294"/>
      <c r="Y43" s="404">
        <f>Y42-Y$33</f>
        <v>362.46498657388906</v>
      </c>
      <c r="Z43" s="404">
        <f>Z42-Z$33</f>
        <v>63.323911530882924</v>
      </c>
      <c r="AA43" s="404">
        <f>AA42-AA$33</f>
        <v>-314.81548294278514</v>
      </c>
      <c r="AB43" s="294"/>
      <c r="AC43" s="404">
        <f>IFERROR(AC42-AC$33,NA())</f>
        <v>110.97341516198685</v>
      </c>
      <c r="AD43" s="406">
        <f>AD42-AD$33</f>
        <v>0.11553995265892292</v>
      </c>
      <c r="AE43" s="407">
        <f t="shared" si="3"/>
        <v>22.317163867881959</v>
      </c>
      <c r="AF43" s="406">
        <f t="shared" si="3"/>
        <v>1.826260331096341E-2</v>
      </c>
      <c r="AG43" s="408">
        <f>AF43/AF$33</f>
        <v>1.2920570756493218E-2</v>
      </c>
      <c r="AH43" s="405"/>
      <c r="AI43" s="408">
        <f>IFERROR(AE43/$AE$33,NA())</f>
        <v>4.9833375068811595E-2</v>
      </c>
      <c r="AJ43" s="289"/>
      <c r="AK43" s="751"/>
      <c r="AL43" s="750">
        <f>$AE42*U42-$AE$33*U$33</f>
        <v>46.04520476588624</v>
      </c>
      <c r="AM43" s="750">
        <f>$AE42*V42-$AE$33*V$33</f>
        <v>1.0619196610679751</v>
      </c>
      <c r="AN43" s="750">
        <f>$AE42*W42-$AE$33*W$33</f>
        <v>-24.789960559072313</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47</v>
      </c>
      <c r="D44" s="261" t="str">
        <f>"Scenario " &amp; A44</f>
        <v>Scenario F</v>
      </c>
      <c r="E44" s="272" t="s">
        <v>2</v>
      </c>
      <c r="F44" s="262">
        <f>IF($C44="","",VLOOKUP($C44+$F$11*1000,DSS_Calc!$A:$JV,F$30,FALSE))</f>
        <v>1479</v>
      </c>
      <c r="G44" s="262" t="str">
        <f>IF($C44="","",VLOOKUP($C44+$F$11*1000,DSS_Calc!$A:$JV,G$30,FALSE))</f>
        <v>0/0.9/1.9/3.9</v>
      </c>
      <c r="H44" s="262">
        <f>IF($C44="","",VLOOKUP($C44+$F$11*1000,DSS_Calc!$A:$JV,H$30,FALSE))</f>
        <v>0</v>
      </c>
      <c r="I44" s="262">
        <f>IF($C44="","",VLOOKUP($C44+$F$11*1000,DSS_Calc!$A:$JV,I$30,FALSE))</f>
        <v>0</v>
      </c>
      <c r="J44" s="262">
        <f>IF($C44="","",VLOOKUP($C44+$F$11*1000,DSS_Calc!$A:$JV,J$30,FALSE))</f>
        <v>3397</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1550</v>
      </c>
      <c r="R44" s="262">
        <f>IF($C44="","",VLOOKUP($C44+$F$11*1000,DSS_Calc!$A:$JV,R$30,FALSE)*IF(V44=0,0,1))</f>
        <v>2160.0624533823611</v>
      </c>
      <c r="S44" s="262">
        <f>IF($C44="","",VLOOKUP($C44+$F$11*1000,DSS_Calc!$A:$JV,S$30,FALSE)*IF(W44=0,0,1))</f>
        <v>4028.7164157747848</v>
      </c>
      <c r="T44" s="294" t="s">
        <v>2</v>
      </c>
      <c r="U44" s="263">
        <f>IF($C44="","",VLOOKUP($C44+$F$11*1000,DSS_Calc!$A:$JV,U$30,FALSE))</f>
        <v>0.32330823229504657</v>
      </c>
      <c r="V44" s="263">
        <f>IF($C44="","",VLOOKUP($C44+$F$11*1000,DSS_Calc!$A:$JV,V$30,FALSE))</f>
        <v>0.35398939855924177</v>
      </c>
      <c r="W44" s="263">
        <f>IF($C44="","",VLOOKUP($C44+$F$11*1000,DSS_Calc!$A:$JV,W$30,FALSE))</f>
        <v>0.32270236914571165</v>
      </c>
      <c r="X44" s="294" t="s">
        <v>2</v>
      </c>
      <c r="Y44" s="262">
        <f>IF(U44=0,0,U44*Q44)</f>
        <v>501.12776005732218</v>
      </c>
      <c r="Z44" s="262">
        <f>IF(V44=0,0,V44*R44)</f>
        <v>764.63920872322228</v>
      </c>
      <c r="AA44" s="262">
        <f>IF(W44=0,0,W44*S44)</f>
        <v>1300.0763319867428</v>
      </c>
      <c r="AB44" s="294" t="s">
        <v>2</v>
      </c>
      <c r="AC44" s="262">
        <f>SUM(Y44:AA44)</f>
        <v>2565.8433007672875</v>
      </c>
      <c r="AD44" s="264">
        <f>AC44*AE44/1000/1000</f>
        <v>1.1269554399638206</v>
      </c>
      <c r="AE44" s="265">
        <f>IF($C44="","",VLOOKUP($C44+$F$11*1000,DSS_Calc!$A:$JV,AE$30,FALSE))</f>
        <v>439.21444447789031</v>
      </c>
      <c r="AF44" s="264">
        <f>IF($C44="","",VLOOKUP($C44+$F$11*1000,DSS_Calc!$A:$JV,AF$30,FALSE))</f>
        <v>1.5063547619033708</v>
      </c>
      <c r="AG44" s="263"/>
      <c r="AH44" s="263"/>
      <c r="AI44" s="300"/>
      <c r="AJ44" s="289" t="s">
        <v>2</v>
      </c>
      <c r="AK44" s="563"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9.3383109129894706</v>
      </c>
      <c r="B45" s="402"/>
      <c r="C45" s="564">
        <f>AI45/(AC45/(VLOOKUP($C44+$F$11*1000,DSS_Calc!$A:$JV,DSS_Calc!BX$92,FALSE)-$AC$33))</f>
        <v>1.2069569686329942</v>
      </c>
      <c r="D45" s="266" t="s">
        <v>141</v>
      </c>
      <c r="F45" s="267">
        <f>ROUND(F44-F$33,0)</f>
        <v>250</v>
      </c>
      <c r="G45" s="267"/>
      <c r="H45" s="267"/>
      <c r="I45" s="267">
        <f t="shared" ref="I45" si="36">ROUND(I44-I$33,0)</f>
        <v>0</v>
      </c>
      <c r="J45" s="267">
        <f t="shared" ref="J45" si="37">ROUND(J44-J$33,0)</f>
        <v>-360</v>
      </c>
      <c r="K45" s="267">
        <f t="shared" ref="K45" si="38">ROUND(K44-K$33,0)</f>
        <v>0</v>
      </c>
      <c r="L45" s="267">
        <f t="shared" ref="L45" si="39">ROUND(L44-L$33,0)</f>
        <v>0</v>
      </c>
      <c r="M45" s="267">
        <f t="shared" ref="M45" si="40">ROUND(M44-M$33,0)</f>
        <v>0</v>
      </c>
      <c r="N45" s="267">
        <f t="shared" ref="N45" si="41">ROUND(N44-N$33,0)</f>
        <v>0</v>
      </c>
      <c r="O45" s="267">
        <f t="shared" ref="O45" si="42">ROUND(O44-O$33,0)</f>
        <v>0</v>
      </c>
      <c r="P45" s="294"/>
      <c r="Q45" s="267">
        <f t="shared" ref="Q45:S45" si="43">Q44-Q$33</f>
        <v>249.99999999999977</v>
      </c>
      <c r="R45" s="267">
        <f t="shared" si="43"/>
        <v>0</v>
      </c>
      <c r="S45" s="267">
        <f t="shared" si="43"/>
        <v>-360</v>
      </c>
      <c r="T45" s="294"/>
      <c r="U45" s="268">
        <f>U44-U$33</f>
        <v>7.5572540391480286E-2</v>
      </c>
      <c r="V45" s="268">
        <f>V44-V$33</f>
        <v>2.1111210726722507E-3</v>
      </c>
      <c r="W45" s="268">
        <f>W44-W$33</f>
        <v>-7.768366146415262E-2</v>
      </c>
      <c r="X45" s="294"/>
      <c r="Y45" s="267">
        <f>Y44-Y$33</f>
        <v>179.07136058268594</v>
      </c>
      <c r="Z45" s="267">
        <f>Z44-Z$33</f>
        <v>4.5601533636236127</v>
      </c>
      <c r="AA45" s="267">
        <f>AA44-AA$33</f>
        <v>-457.10441319767392</v>
      </c>
      <c r="AB45" s="294"/>
      <c r="AC45" s="267">
        <f>IFERROR(AC44-AC$33,NA())</f>
        <v>-273.4728992513642</v>
      </c>
      <c r="AD45" s="269">
        <f>AD44-AD$33</f>
        <v>-0.14459168725866767</v>
      </c>
      <c r="AE45" s="270">
        <f t="shared" si="3"/>
        <v>-8.6212446976004458</v>
      </c>
      <c r="AF45" s="269">
        <f t="shared" si="3"/>
        <v>9.2903014674204476E-2</v>
      </c>
      <c r="AG45" s="268">
        <f>AF45/AF$33</f>
        <v>6.5727758203507944E-2</v>
      </c>
      <c r="AH45" s="268"/>
      <c r="AI45" s="301">
        <f>IFERROR(AE45/$AE$33,NA())</f>
        <v>-1.9250910336049813E-2</v>
      </c>
      <c r="AJ45" s="289"/>
      <c r="AK45" s="751"/>
      <c r="AL45" s="750">
        <f>$AE44*U44-$AE$33*U$33</f>
        <v>31.056761325596938</v>
      </c>
      <c r="AM45" s="750">
        <f>$AE44*V44-$AE$33*V$33</f>
        <v>-2.1063938648225644</v>
      </c>
      <c r="AN45" s="750">
        <f>$AE44*W44-$AE$33*W$33</f>
        <v>-37.571612158374876</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62</v>
      </c>
      <c r="D46" s="396" t="str">
        <f>"Scenario " &amp; A46</f>
        <v>Scenario G</v>
      </c>
      <c r="E46" s="272" t="s">
        <v>2</v>
      </c>
      <c r="F46" s="397">
        <f>IF($C46="","",VLOOKUP($C46+$F$11*1000,DSS_Calc!$A:$JV,F$30,FALSE))</f>
        <v>2229</v>
      </c>
      <c r="G46" s="397" t="str">
        <f>IF($C46="","",VLOOKUP($C46+$F$11*1000,DSS_Calc!$A:$JV,G$30,FALSE))</f>
        <v>0/0/0.9/3.9</v>
      </c>
      <c r="H46" s="397">
        <f>IF($C46="","",VLOOKUP($C46+$F$11*1000,DSS_Calc!$A:$JV,H$30,FALSE))</f>
        <v>0</v>
      </c>
      <c r="I46" s="397">
        <f>IF($C46="","",VLOOKUP($C46+$F$11*1000,DSS_Calc!$A:$JV,I$30,FALSE))</f>
        <v>0</v>
      </c>
      <c r="J46" s="397">
        <f>IF($C46="","",VLOOKUP($C46+$F$11*1000,DSS_Calc!$A:$JV,J$30,FALSE))</f>
        <v>3397</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2300</v>
      </c>
      <c r="R46" s="397">
        <f>IF($C46="","",VLOOKUP($C46+$F$11*1000,DSS_Calc!$A:$JV,R$30,FALSE)*IF(V46=0,0,1))</f>
        <v>2440.1894910073029</v>
      </c>
      <c r="S46" s="397">
        <f>IF($C46="","",VLOOKUP($C46+$F$11*1000,DSS_Calc!$A:$JV,S$30,FALSE)*IF(W46=0,0,1))</f>
        <v>4028.7164157747848</v>
      </c>
      <c r="T46" s="294" t="s">
        <v>2</v>
      </c>
      <c r="U46" s="398">
        <f>IF($C46="","",VLOOKUP($C46+$F$11*1000,DSS_Calc!$A:$JV,U$30,FALSE))</f>
        <v>0.40519045338534065</v>
      </c>
      <c r="V46" s="398">
        <f>IF($C46="","",VLOOKUP($C46+$F$11*1000,DSS_Calc!$A:$JV,V$30,FALSE))</f>
        <v>0.33549892636638018</v>
      </c>
      <c r="W46" s="398">
        <f>IF($C46="","",VLOOKUP($C46+$F$11*1000,DSS_Calc!$A:$JV,W$30,FALSE))</f>
        <v>0.25931062024827911</v>
      </c>
      <c r="X46" s="294" t="s">
        <v>2</v>
      </c>
      <c r="Y46" s="397">
        <f>IF(U46=0,0,U46*Q46)</f>
        <v>931.93804278628352</v>
      </c>
      <c r="Z46" s="397">
        <f>IF(V46=0,0,V46*R46)</f>
        <v>818.6809543634738</v>
      </c>
      <c r="AA46" s="397">
        <f>IF(W46=0,0,W46*S46)</f>
        <v>1044.6889525789834</v>
      </c>
      <c r="AB46" s="294" t="s">
        <v>2</v>
      </c>
      <c r="AC46" s="397">
        <f>SUM(Y46:AA46)</f>
        <v>2795.3079497287408</v>
      </c>
      <c r="AD46" s="399">
        <f>AC46*AE46/1000/1000</f>
        <v>1.3000448215639402</v>
      </c>
      <c r="AE46" s="400">
        <f>IF($C46="","",VLOOKUP($C46+$F$11*1000,DSS_Calc!$A:$JV,AE$30,FALSE))</f>
        <v>465.08107333580097</v>
      </c>
      <c r="AF46" s="399">
        <f>IF($C46="","",VLOOKUP($C46+$F$11*1000,DSS_Calc!$A:$JV,AF$30,FALSE))</f>
        <v>1.4883487536208548</v>
      </c>
      <c r="AG46" s="398"/>
      <c r="AH46" s="398"/>
      <c r="AI46" s="401"/>
      <c r="AJ46" s="289" t="s">
        <v>2</v>
      </c>
      <c r="AK46" s="563"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+1000 CC, 0/0/0.9/3.9,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1.6269511719288732</v>
      </c>
      <c r="B47" s="402"/>
      <c r="C47" s="564">
        <f>AI47/(AC47/(VLOOKUP($C46+$F$11*1000,DSS_Calc!$A:$JV,DSS_Calc!BX$92,FALSE)-$AC$33))</f>
        <v>-15.002888472123878</v>
      </c>
      <c r="D47" s="403" t="s">
        <v>141</v>
      </c>
      <c r="F47" s="404">
        <f>ROUND(F46-F$33,0)</f>
        <v>1000</v>
      </c>
      <c r="G47" s="404"/>
      <c r="H47" s="404"/>
      <c r="I47" s="404">
        <f t="shared" ref="I47" si="44">ROUND(I46-I$33,0)</f>
        <v>0</v>
      </c>
      <c r="J47" s="404">
        <f t="shared" ref="J47" si="45">ROUND(J46-J$33,0)</f>
        <v>-360</v>
      </c>
      <c r="K47" s="404">
        <f t="shared" ref="K47" si="46">ROUND(K46-K$33,0)</f>
        <v>0</v>
      </c>
      <c r="L47" s="404">
        <f t="shared" ref="L47" si="47">ROUND(L46-L$33,0)</f>
        <v>0</v>
      </c>
      <c r="M47" s="404">
        <f t="shared" ref="M47" si="48">ROUND(M46-M$33,0)</f>
        <v>0</v>
      </c>
      <c r="N47" s="404">
        <f t="shared" ref="N47" si="49">ROUND(N46-N$33,0)</f>
        <v>0</v>
      </c>
      <c r="O47" s="404">
        <f t="shared" ref="O47" si="50">ROUND(O46-O$33,0)</f>
        <v>0</v>
      </c>
      <c r="P47" s="294"/>
      <c r="Q47" s="404">
        <f t="shared" ref="Q47:S47" si="51">Q46-Q$33</f>
        <v>999.99999999999977</v>
      </c>
      <c r="R47" s="404">
        <f t="shared" si="51"/>
        <v>280.12703762494175</v>
      </c>
      <c r="S47" s="404">
        <f t="shared" si="51"/>
        <v>-360</v>
      </c>
      <c r="T47" s="294"/>
      <c r="U47" s="405">
        <f>U46-U$33</f>
        <v>0.15745476148177437</v>
      </c>
      <c r="V47" s="405">
        <f>V46-V$33</f>
        <v>-1.6379351120189345E-2</v>
      </c>
      <c r="W47" s="405">
        <f>W46-W$33</f>
        <v>-0.14107541036158516</v>
      </c>
      <c r="X47" s="294"/>
      <c r="Y47" s="404">
        <f>Y46-Y$33</f>
        <v>609.88164331164728</v>
      </c>
      <c r="Z47" s="404">
        <f>Z46-Z$33</f>
        <v>58.601899003875133</v>
      </c>
      <c r="AA47" s="404">
        <f>AA46-AA$33</f>
        <v>-712.49179260543337</v>
      </c>
      <c r="AB47" s="294"/>
      <c r="AC47" s="404">
        <f>IFERROR(AC46-AC$33,NA())</f>
        <v>-44.008250289910848</v>
      </c>
      <c r="AD47" s="406">
        <f>AD46-AD$33</f>
        <v>2.8497694341451885E-2</v>
      </c>
      <c r="AE47" s="407">
        <f t="shared" si="3"/>
        <v>17.245384160310209</v>
      </c>
      <c r="AF47" s="406">
        <f t="shared" si="3"/>
        <v>7.4897006391688503E-2</v>
      </c>
      <c r="AG47" s="405">
        <f>AF47/AF$33</f>
        <v>5.2988725323316797E-2</v>
      </c>
      <c r="AH47" s="405"/>
      <c r="AI47" s="408">
        <f>IFERROR(AE47/$AE$33,NA())</f>
        <v>3.8508284572095285E-2</v>
      </c>
      <c r="AJ47" s="289"/>
      <c r="AK47" s="751"/>
      <c r="AL47" s="750">
        <f>$AE46*U46-$AE$33*U$33</f>
        <v>77.501526648873408</v>
      </c>
      <c r="AM47" s="750">
        <f>$AE46*V46-$AE$33*V$33</f>
        <v>-1.5494501265974918</v>
      </c>
      <c r="AN47" s="750">
        <f>$AE46*W46-$AE$33*W$33</f>
        <v>-58.706692361965779</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61</v>
      </c>
      <c r="D48" s="261" t="str">
        <f>"Scenario " &amp; A48</f>
        <v>Scenario H</v>
      </c>
      <c r="E48" s="272" t="s">
        <v>2</v>
      </c>
      <c r="F48" s="262">
        <f>IF($C48="","",VLOOKUP($C48+$F$11*1000,DSS_Calc!$A:$JV,F$30,FALSE))</f>
        <v>1979</v>
      </c>
      <c r="G48" s="262" t="str">
        <f>IF($C48="","",VLOOKUP($C48+$F$11*1000,DSS_Calc!$A:$JV,G$30,FALSE))</f>
        <v>0/0/0.9/3.9</v>
      </c>
      <c r="H48" s="262">
        <f>IF($C48="","",VLOOKUP($C48+$F$11*1000,DSS_Calc!$A:$JV,H$30,FALSE))</f>
        <v>0</v>
      </c>
      <c r="I48" s="262">
        <f>IF($C48="","",VLOOKUP($C48+$F$11*1000,DSS_Calc!$A:$JV,I$30,FALSE))</f>
        <v>0</v>
      </c>
      <c r="J48" s="262">
        <f>IF($C48="","",VLOOKUP($C48+$F$11*1000,DSS_Calc!$A:$JV,J$30,FALSE))</f>
        <v>3397</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2050</v>
      </c>
      <c r="R48" s="262">
        <f>IF($C48="","",VLOOKUP($C48+$F$11*1000,DSS_Calc!$A:$JV,R$30,FALSE)*IF(V48=0,0,1))</f>
        <v>2440.1894910073029</v>
      </c>
      <c r="S48" s="262">
        <f>IF($C48="","",VLOOKUP($C48+$F$11*1000,DSS_Calc!$A:$JV,S$30,FALSE)*IF(W48=0,0,1))</f>
        <v>4028.7164157747848</v>
      </c>
      <c r="T48" s="294" t="s">
        <v>2</v>
      </c>
      <c r="U48" s="263">
        <f>IF($C48="","",VLOOKUP($C48+$F$11*1000,DSS_Calc!$A:$JV,U$30,FALSE))</f>
        <v>0.3744514603825313</v>
      </c>
      <c r="V48" s="263">
        <f>IF($C48="","",VLOOKUP($C48+$F$11*1000,DSS_Calc!$A:$JV,V$30,FALSE))</f>
        <v>0.34838220538902426</v>
      </c>
      <c r="W48" s="263">
        <f>IF($C48="","",VLOOKUP($C48+$F$11*1000,DSS_Calc!$A:$JV,W$30,FALSE))</f>
        <v>0.27716633422844444</v>
      </c>
      <c r="X48" s="294" t="s">
        <v>2</v>
      </c>
      <c r="Y48" s="262">
        <f>IF(U48=0,0,U48*Q48)</f>
        <v>767.62549378418919</v>
      </c>
      <c r="Z48" s="262">
        <f>IF(V48=0,0,V48*R48)</f>
        <v>850.11859644424476</v>
      </c>
      <c r="AA48" s="262">
        <f>IF(W48=0,0,W48*S48)</f>
        <v>1116.6245606062548</v>
      </c>
      <c r="AB48" s="294" t="s">
        <v>2</v>
      </c>
      <c r="AC48" s="262">
        <f>SUM(Y48:AA48)</f>
        <v>2734.3686508346887</v>
      </c>
      <c r="AD48" s="264">
        <f>AC48*AE48/1000/1000</f>
        <v>1.253442919068273</v>
      </c>
      <c r="AE48" s="265">
        <f>IF($C48="","",VLOOKUP($C48+$F$11*1000,DSS_Calc!$A:$JV,AE$30,FALSE))</f>
        <v>458.40304623359737</v>
      </c>
      <c r="AF48" s="264">
        <f>IF($C48="","",VLOOKUP($C48+$F$11*1000,DSS_Calc!$A:$JV,AF$30,FALSE))</f>
        <v>1.49491254462526</v>
      </c>
      <c r="AG48" s="263"/>
      <c r="AH48" s="263"/>
      <c r="AI48" s="300"/>
      <c r="AJ48" s="289" t="s">
        <v>2</v>
      </c>
      <c r="AK48" s="563"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+750 CC, 0/0/0.9/3.9,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1.4519225805307363</v>
      </c>
      <c r="B49" s="402"/>
      <c r="C49" s="564">
        <f>AI49/(AC49/(VLOOKUP($C48+$F$11*1000,DSS_Calc!$A:$JV,DSS_Calc!BX$92,FALSE)-$AC$33))</f>
        <v>-3.8550515554482256</v>
      </c>
      <c r="D49" s="266" t="s">
        <v>141</v>
      </c>
      <c r="F49" s="267">
        <f>ROUND(F48-F$33,0)</f>
        <v>750</v>
      </c>
      <c r="G49" s="267"/>
      <c r="H49" s="267"/>
      <c r="I49" s="267">
        <f t="shared" ref="I49" si="52">ROUND(I48-I$33,0)</f>
        <v>0</v>
      </c>
      <c r="J49" s="267">
        <f t="shared" ref="J49" si="53">ROUND(J48-J$33,0)</f>
        <v>-360</v>
      </c>
      <c r="K49" s="267">
        <f t="shared" ref="K49" si="54">ROUND(K48-K$33,0)</f>
        <v>0</v>
      </c>
      <c r="L49" s="267">
        <f t="shared" ref="L49" si="55">ROUND(L48-L$33,0)</f>
        <v>0</v>
      </c>
      <c r="M49" s="267">
        <f t="shared" ref="M49" si="56">ROUND(M48-M$33,0)</f>
        <v>0</v>
      </c>
      <c r="N49" s="267">
        <f t="shared" ref="N49" si="57">ROUND(N48-N$33,0)</f>
        <v>0</v>
      </c>
      <c r="O49" s="267">
        <f t="shared" ref="O49" si="58">ROUND(O48-O$33,0)</f>
        <v>0</v>
      </c>
      <c r="P49" s="294"/>
      <c r="Q49" s="267">
        <f t="shared" ref="Q49:S49" si="59">Q48-Q$33</f>
        <v>749.99999999999977</v>
      </c>
      <c r="R49" s="267">
        <f t="shared" si="59"/>
        <v>280.12703762494175</v>
      </c>
      <c r="S49" s="267">
        <f t="shared" si="59"/>
        <v>-360</v>
      </c>
      <c r="T49" s="294"/>
      <c r="U49" s="268">
        <f>U48-U$33</f>
        <v>0.12671576847896501</v>
      </c>
      <c r="V49" s="268">
        <f>V48-V$33</f>
        <v>-3.4960720975452664E-3</v>
      </c>
      <c r="W49" s="268">
        <f>W48-W$33</f>
        <v>-0.12321969638141983</v>
      </c>
      <c r="X49" s="294"/>
      <c r="Y49" s="267">
        <f>Y48-Y$33</f>
        <v>445.56909430955295</v>
      </c>
      <c r="Z49" s="267">
        <f>Z48-Z$33</f>
        <v>90.039541084646089</v>
      </c>
      <c r="AA49" s="267">
        <f>AA48-AA$33</f>
        <v>-640.55618457816195</v>
      </c>
      <c r="AB49" s="294"/>
      <c r="AC49" s="267">
        <f>IFERROR(AC48-AC$33,NA())</f>
        <v>-104.94754918396302</v>
      </c>
      <c r="AD49" s="269">
        <f>AD48-AD$33</f>
        <v>-1.8104208154215318E-2</v>
      </c>
      <c r="AE49" s="270">
        <f t="shared" si="3"/>
        <v>10.567357058106609</v>
      </c>
      <c r="AF49" s="269">
        <f t="shared" si="3"/>
        <v>8.1460797396093687E-2</v>
      </c>
      <c r="AG49" s="268">
        <f>AF49/AF$33</f>
        <v>5.7632527998061366E-2</v>
      </c>
      <c r="AH49" s="268"/>
      <c r="AI49" s="301">
        <f>IFERROR(AE49/$AE$33,NA())</f>
        <v>2.3596504953774775E-2</v>
      </c>
      <c r="AJ49" s="289"/>
      <c r="AK49" s="751"/>
      <c r="AL49" s="750">
        <f>$AE48*U48-$AE$33*U$33</f>
        <v>60.704805788970901</v>
      </c>
      <c r="AM49" s="750">
        <f>$AE48*V48-$AE$33*V$33</f>
        <v>2.1158132998250494</v>
      </c>
      <c r="AN49" s="750">
        <f>$AE48*W48-$AE$33*W$33</f>
        <v>-52.253262030689385</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66</v>
      </c>
      <c r="D50" s="396" t="str">
        <f>"Scenario " &amp; A50</f>
        <v>Scenario I</v>
      </c>
      <c r="E50" s="272" t="s">
        <v>2</v>
      </c>
      <c r="F50" s="397">
        <f>IF($C50="","",VLOOKUP($C50+$F$11*1000,DSS_Calc!$A:$JV,F$30,FALSE))</f>
        <v>2229</v>
      </c>
      <c r="G50" s="397" t="str">
        <f>IF($C50="","",VLOOKUP($C50+$F$11*1000,DSS_Calc!$A:$JV,G$30,FALSE))</f>
        <v>0/0.9/1.9/3.9</v>
      </c>
      <c r="H50" s="397">
        <f>IF($C50="","",VLOOKUP($C50+$F$11*1000,DSS_Calc!$A:$JV,H$30,FALSE))</f>
        <v>0</v>
      </c>
      <c r="I50" s="397">
        <f>IF($C50="","",VLOOKUP($C50+$F$11*1000,DSS_Calc!$A:$JV,I$30,FALSE))</f>
        <v>1000</v>
      </c>
      <c r="J50" s="397">
        <f>IF($C50="","",VLOOKUP($C50+$F$11*1000,DSS_Calc!$A:$JV,J$30,FALSE))</f>
        <v>3397</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2299.9999999999995</v>
      </c>
      <c r="R50" s="397">
        <f>IF($C50="","",VLOOKUP($C50+$F$11*1000,DSS_Calc!$A:$JV,R$30,FALSE)*IF(V50=0,0,1))</f>
        <v>3160.0624533823611</v>
      </c>
      <c r="S50" s="397">
        <f>IF($C50="","",VLOOKUP($C50+$F$11*1000,DSS_Calc!$A:$JV,S$30,FALSE)*IF(W50=0,0,1))</f>
        <v>4028.7164157747848</v>
      </c>
      <c r="T50" s="294" t="s">
        <v>2</v>
      </c>
      <c r="U50" s="398">
        <f>IF($C50="","",VLOOKUP($C50+$F$11*1000,DSS_Calc!$A:$JV,U$30,FALSE))</f>
        <v>0.3787792000243913</v>
      </c>
      <c r="V50" s="398">
        <f>IF($C50="","",VLOOKUP($C50+$F$11*1000,DSS_Calc!$A:$JV,V$30,FALSE))</f>
        <v>0.37305099684557486</v>
      </c>
      <c r="W50" s="398">
        <f>IF($C50="","",VLOOKUP($C50+$F$11*1000,DSS_Calc!$A:$JV,W$30,FALSE))</f>
        <v>0.24816980313003381</v>
      </c>
      <c r="X50" s="294" t="s">
        <v>2</v>
      </c>
      <c r="Y50" s="397">
        <f>IF(U50=0,0,U50*Q50)</f>
        <v>871.19216005609985</v>
      </c>
      <c r="Z50" s="397">
        <f>IF(V50=0,0,V50*R50)</f>
        <v>1178.8644483285627</v>
      </c>
      <c r="AA50" s="397">
        <f>IF(W50=0,0,W50*S50)</f>
        <v>999.80575976956379</v>
      </c>
      <c r="AB50" s="294" t="s">
        <v>2</v>
      </c>
      <c r="AC50" s="397">
        <f>SUM(Y50:AA50)</f>
        <v>3049.8623681542263</v>
      </c>
      <c r="AD50" s="399">
        <f>AC50*AE50/1000/1000</f>
        <v>1.4747662267946746</v>
      </c>
      <c r="AE50" s="400">
        <f>IF($C50="","",VLOOKUP($C50+$F$11*1000,DSS_Calc!$A:$JV,AE$30,FALSE))</f>
        <v>483.55173079079026</v>
      </c>
      <c r="AF50" s="399">
        <f>IF($C50="","",VLOOKUP($C50+$F$11*1000,DSS_Calc!$A:$JV,AF$30,FALSE))</f>
        <v>1.4243681751615087</v>
      </c>
      <c r="AG50" s="398"/>
      <c r="AH50" s="398"/>
      <c r="AI50" s="401"/>
      <c r="AJ50" s="289" t="s">
        <v>2</v>
      </c>
      <c r="AK50" s="563"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+1000 CC, +1000 APR Cash,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2.0640523778526676</v>
      </c>
      <c r="B51" s="402"/>
      <c r="C51" s="564">
        <f>AI51/(AC51/(VLOOKUP($C50+$F$11*1000,DSS_Calc!$A:$JV,DSS_Calc!BX$92,FALSE)-$AC$33))</f>
        <v>6.4945952124673747</v>
      </c>
      <c r="D51" s="403" t="s">
        <v>141</v>
      </c>
      <c r="F51" s="404">
        <f>ROUND(F50-F$33,0)</f>
        <v>1000</v>
      </c>
      <c r="G51" s="404"/>
      <c r="H51" s="404"/>
      <c r="I51" s="404">
        <f t="shared" ref="I51" si="60">ROUND(I50-I$33,0)</f>
        <v>1000</v>
      </c>
      <c r="J51" s="404">
        <f t="shared" ref="J51" si="61">ROUND(J50-J$33,0)</f>
        <v>-360</v>
      </c>
      <c r="K51" s="404">
        <f t="shared" ref="K51" si="62">ROUND(K50-K$33,0)</f>
        <v>0</v>
      </c>
      <c r="L51" s="404">
        <f t="shared" ref="L51" si="63">ROUND(L50-L$33,0)</f>
        <v>0</v>
      </c>
      <c r="M51" s="404">
        <f t="shared" ref="M51" si="64">ROUND(M50-M$33,0)</f>
        <v>0</v>
      </c>
      <c r="N51" s="404">
        <f t="shared" ref="N51" si="65">ROUND(N50-N$33,0)</f>
        <v>0</v>
      </c>
      <c r="O51" s="404">
        <f t="shared" ref="O51" si="66">ROUND(O50-O$33,0)</f>
        <v>0</v>
      </c>
      <c r="P51" s="294"/>
      <c r="Q51" s="404">
        <f t="shared" ref="Q51:S51" si="67">Q50-Q$33</f>
        <v>999.99999999999932</v>
      </c>
      <c r="R51" s="404">
        <f t="shared" si="67"/>
        <v>1000</v>
      </c>
      <c r="S51" s="404">
        <f t="shared" si="67"/>
        <v>-360</v>
      </c>
      <c r="T51" s="294"/>
      <c r="U51" s="405">
        <f>U50-U$33</f>
        <v>0.13104350812082502</v>
      </c>
      <c r="V51" s="405">
        <f>V50-V$33</f>
        <v>2.1172719359005332E-2</v>
      </c>
      <c r="W51" s="405">
        <f>W50-W$33</f>
        <v>-0.15221622747983046</v>
      </c>
      <c r="X51" s="294"/>
      <c r="Y51" s="404">
        <f>Y50-Y$33</f>
        <v>549.13576058146361</v>
      </c>
      <c r="Z51" s="404">
        <f>Z50-Z$33</f>
        <v>418.78539296896406</v>
      </c>
      <c r="AA51" s="404">
        <f>AA50-AA$33</f>
        <v>-757.37498541485297</v>
      </c>
      <c r="AB51" s="294"/>
      <c r="AC51" s="404">
        <f>IFERROR(AC50-AC$33,NA())</f>
        <v>210.54616813557459</v>
      </c>
      <c r="AD51" s="406">
        <f>AD50-AD$33</f>
        <v>0.20321909957218631</v>
      </c>
      <c r="AE51" s="407">
        <f t="shared" si="3"/>
        <v>35.716041615299503</v>
      </c>
      <c r="AF51" s="406">
        <f t="shared" si="3"/>
        <v>1.0916427932342376E-2</v>
      </c>
      <c r="AG51" s="405">
        <f>AF51/AF$33</f>
        <v>7.7232406084906625E-3</v>
      </c>
      <c r="AH51" s="405"/>
      <c r="AI51" s="408">
        <f>IFERROR(AE51/$AE$33,NA())</f>
        <v>7.9752557642416178E-2</v>
      </c>
      <c r="AJ51" s="289"/>
      <c r="AK51" s="749"/>
      <c r="AL51" s="750">
        <f>$AE50*U50-$AE$33*U$33</f>
        <v>72.214453442344706</v>
      </c>
      <c r="AM51" s="750">
        <f>$AE50*V50-$AE$33*V$33</f>
        <v>22.805804293824906</v>
      </c>
      <c r="AN51" s="750">
        <f>$AE50*W50-$AE$33*W$33</f>
        <v>-59.30421612087018</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64</v>
      </c>
      <c r="D52" s="261" t="str">
        <f>"Scenario " &amp; A52</f>
        <v>Scenario J</v>
      </c>
      <c r="E52" s="272" t="s">
        <v>2</v>
      </c>
      <c r="F52" s="262">
        <f>IF($C52="","",VLOOKUP($C52+$F$11*1000,DSS_Calc!$A:$JV,F$30,FALSE))</f>
        <v>2229</v>
      </c>
      <c r="G52" s="262" t="str">
        <f>IF($C52="","",VLOOKUP($C52+$F$11*1000,DSS_Calc!$A:$JV,G$30,FALSE))</f>
        <v>0/0.9/1.9/3.9</v>
      </c>
      <c r="H52" s="262">
        <f>IF($C52="","",VLOOKUP($C52+$F$11*1000,DSS_Calc!$A:$JV,H$30,FALSE))</f>
        <v>0</v>
      </c>
      <c r="I52" s="262">
        <f>IF($C52="","",VLOOKUP($C52+$F$11*1000,DSS_Calc!$A:$JV,I$30,FALSE))</f>
        <v>1000</v>
      </c>
      <c r="J52" s="262">
        <f>IF($C52="","",VLOOKUP($C52+$F$11*1000,DSS_Calc!$A:$JV,J$30,FALSE))</f>
        <v>3577</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2299.9999999999995</v>
      </c>
      <c r="R52" s="262">
        <f>IF($C52="","",VLOOKUP($C52+$F$11*1000,DSS_Calc!$A:$JV,R$30,FALSE)*IF(V52=0,0,1))</f>
        <v>3160.062453382362</v>
      </c>
      <c r="S52" s="262">
        <f>IF($C52="","",VLOOKUP($C52+$F$11*1000,DSS_Calc!$A:$JV,S$30,FALSE)*IF(W52=0,0,1))</f>
        <v>4208.7164157747848</v>
      </c>
      <c r="T52" s="294" t="s">
        <v>2</v>
      </c>
      <c r="U52" s="263">
        <f>IF($C52="","",VLOOKUP($C52+$F$11*1000,DSS_Calc!$A:$JV,U$30,FALSE))</f>
        <v>0.36099323072266265</v>
      </c>
      <c r="V52" s="263">
        <f>IF($C52="","",VLOOKUP($C52+$F$11*1000,DSS_Calc!$A:$JV,V$30,FALSE))</f>
        <v>0.36775808099031287</v>
      </c>
      <c r="W52" s="263">
        <f>IF($C52="","",VLOOKUP($C52+$F$11*1000,DSS_Calc!$A:$JV,W$30,FALSE))</f>
        <v>0.27124868828702436</v>
      </c>
      <c r="X52" s="294" t="s">
        <v>2</v>
      </c>
      <c r="Y52" s="262">
        <f>IF(U52=0,0,U52*Q52)</f>
        <v>830.2844306621239</v>
      </c>
      <c r="Z52" s="262">
        <f>IF(V52=0,0,V52*R52)</f>
        <v>1162.1385036654376</v>
      </c>
      <c r="AA52" s="262">
        <f>IF(W52=0,0,W52*S52)</f>
        <v>1141.6088071509771</v>
      </c>
      <c r="AB52" s="294" t="s">
        <v>2</v>
      </c>
      <c r="AC52" s="262">
        <f>SUM(Y52:AA52)</f>
        <v>3134.0317414785386</v>
      </c>
      <c r="AD52" s="264">
        <f>AC52*AE52/1000/1000</f>
        <v>1.5324574773325421</v>
      </c>
      <c r="AE52" s="265">
        <f>IF($C52="","",VLOOKUP($C52+$F$11*1000,DSS_Calc!$A:$JV,AE$30,FALSE))</f>
        <v>488.97318334420459</v>
      </c>
      <c r="AF52" s="264">
        <f>IF($C52="","",VLOOKUP($C52+$F$11*1000,DSS_Calc!$A:$JV,AF$30,FALSE))</f>
        <v>1.3991812434076365</v>
      </c>
      <c r="AG52" s="263"/>
      <c r="AH52" s="263"/>
      <c r="AI52" s="300"/>
      <c r="AJ52" s="289" t="s">
        <v>2</v>
      </c>
      <c r="AK52" s="563"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+1000 CC, +1000 APR Cash, -180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2.3163914044682876</v>
      </c>
      <c r="B53" s="402"/>
      <c r="C53" s="564">
        <f>AI53/(AC53/(VLOOKUP($C52+$F$11*1000,DSS_Calc!$A:$JV,DSS_Calc!BX$92,FALSE)-$AC$33))</f>
        <v>5.3440548239884667</v>
      </c>
      <c r="D53" s="266" t="s">
        <v>141</v>
      </c>
      <c r="F53" s="267">
        <f>ROUND(F52-F$33,0)</f>
        <v>1000</v>
      </c>
      <c r="G53" s="267"/>
      <c r="H53" s="267"/>
      <c r="I53" s="267">
        <f t="shared" ref="I53" si="68">ROUND(I52-I$33,0)</f>
        <v>1000</v>
      </c>
      <c r="J53" s="267">
        <f t="shared" ref="J53" si="69">ROUND(J52-J$33,0)</f>
        <v>-180</v>
      </c>
      <c r="K53" s="267">
        <f t="shared" ref="K53" si="70">ROUND(K52-K$33,0)</f>
        <v>0</v>
      </c>
      <c r="L53" s="267">
        <f t="shared" ref="L53" si="71">ROUND(L52-L$33,0)</f>
        <v>0</v>
      </c>
      <c r="M53" s="267">
        <f t="shared" ref="M53" si="72">ROUND(M52-M$33,0)</f>
        <v>0</v>
      </c>
      <c r="N53" s="267">
        <f t="shared" ref="N53" si="73">ROUND(N52-N$33,0)</f>
        <v>0</v>
      </c>
      <c r="O53" s="267">
        <f t="shared" ref="O53" si="74">ROUND(O52-O$33,0)</f>
        <v>0</v>
      </c>
      <c r="P53" s="294"/>
      <c r="Q53" s="267">
        <f t="shared" ref="Q53:S53" si="75">Q52-Q$33</f>
        <v>999.99999999999932</v>
      </c>
      <c r="R53" s="267">
        <f t="shared" si="75"/>
        <v>1000.0000000000009</v>
      </c>
      <c r="S53" s="267">
        <f t="shared" si="75"/>
        <v>-180</v>
      </c>
      <c r="T53" s="294"/>
      <c r="U53" s="268">
        <f>U52-U$33</f>
        <v>0.11325753881909637</v>
      </c>
      <c r="V53" s="268">
        <f>V52-V$33</f>
        <v>1.587980350374335E-2</v>
      </c>
      <c r="W53" s="268">
        <f>W52-W$33</f>
        <v>-0.12913734232283991</v>
      </c>
      <c r="X53" s="294"/>
      <c r="Y53" s="267">
        <f>Y52-Y$33</f>
        <v>508.22803118748766</v>
      </c>
      <c r="Z53" s="267">
        <f>Z52-Z$33</f>
        <v>402.05944830583894</v>
      </c>
      <c r="AA53" s="267">
        <f>AA52-AA$33</f>
        <v>-615.57193803343966</v>
      </c>
      <c r="AB53" s="294"/>
      <c r="AC53" s="267">
        <f>IFERROR(AC52-AC$33,NA())</f>
        <v>294.71554145988694</v>
      </c>
      <c r="AD53" s="269">
        <f>AD52-AD$33</f>
        <v>0.26091035011005381</v>
      </c>
      <c r="AE53" s="270">
        <f t="shared" si="3"/>
        <v>41.137494168713829</v>
      </c>
      <c r="AF53" s="269">
        <f t="shared" si="3"/>
        <v>-1.4270503821529834E-2</v>
      </c>
      <c r="AG53" s="268">
        <f>AF53/AF$33</f>
        <v>-1.0096208695843172E-2</v>
      </c>
      <c r="AH53" s="268"/>
      <c r="AI53" s="301">
        <f>IFERROR(AE53/$AE$33,NA())</f>
        <v>9.1858454256854724E-2</v>
      </c>
      <c r="AJ53" s="289"/>
      <c r="AK53" s="749"/>
      <c r="AL53" s="750">
        <f>$AE52*U52-$AE$33*U$33</f>
        <v>65.571124875168607</v>
      </c>
      <c r="AM53" s="750">
        <f>$AE52*V52-$AE$33*V$33</f>
        <v>22.240188658306636</v>
      </c>
      <c r="AN53" s="750">
        <f>$AE52*W52-$AE$33*W$33</f>
        <v>-46.673819364761556</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60</v>
      </c>
      <c r="D54" s="396" t="str">
        <f>"Scenario " &amp; A54</f>
        <v>Scenario K</v>
      </c>
      <c r="E54" s="272" t="s">
        <v>2</v>
      </c>
      <c r="F54" s="397">
        <f>IF($C54="","",VLOOKUP($C54+$F$11*1000,DSS_Calc!$A:$JV,F$30,FALSE))</f>
        <v>1729</v>
      </c>
      <c r="G54" s="397" t="str">
        <f>IF($C54="","",VLOOKUP($C54+$F$11*1000,DSS_Calc!$A:$JV,G$30,FALSE))</f>
        <v>0/0/0.9/3.9</v>
      </c>
      <c r="H54" s="397">
        <f>IF($C54="","",VLOOKUP($C54+$F$11*1000,DSS_Calc!$A:$JV,H$30,FALSE))</f>
        <v>0</v>
      </c>
      <c r="I54" s="397">
        <f>IF($C54="","",VLOOKUP($C54+$F$11*1000,DSS_Calc!$A:$JV,I$30,FALSE))</f>
        <v>0</v>
      </c>
      <c r="J54" s="397">
        <f>IF($C54="","",VLOOKUP($C54+$F$11*1000,DSS_Calc!$A:$JV,J$30,FALSE))</f>
        <v>3397</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1799.9999999999998</v>
      </c>
      <c r="R54" s="397">
        <f>IF($C54="","",VLOOKUP($C54+$F$11*1000,DSS_Calc!$A:$JV,R$30,FALSE)*IF(V54=0,0,1))</f>
        <v>2440.1894910073029</v>
      </c>
      <c r="S54" s="397">
        <f>IF($C54="","",VLOOKUP($C54+$F$11*1000,DSS_Calc!$A:$JV,S$30,FALSE)*IF(W54=0,0,1))</f>
        <v>4028.7164157747848</v>
      </c>
      <c r="T54" s="294" t="s">
        <v>2</v>
      </c>
      <c r="U54" s="398">
        <f>IF($C54="","",VLOOKUP($C54+$F$11*1000,DSS_Calc!$A:$JV,U$30,FALSE))</f>
        <v>0.34313764763655275</v>
      </c>
      <c r="V54" s="398">
        <f>IF($C54="","",VLOOKUP($C54+$F$11*1000,DSS_Calc!$A:$JV,V$30,FALSE))</f>
        <v>0.36120076259912332</v>
      </c>
      <c r="W54" s="398">
        <f>IF($C54="","",VLOOKUP($C54+$F$11*1000,DSS_Calc!$A:$JV,W$30,FALSE))</f>
        <v>0.29566158976432394</v>
      </c>
      <c r="X54" s="294" t="s">
        <v>2</v>
      </c>
      <c r="Y54" s="397">
        <f>IF(U54=0,0,U54*Q54)</f>
        <v>617.64776574579491</v>
      </c>
      <c r="Z54" s="397">
        <f>IF(V54=0,0,V54*R54)</f>
        <v>881.3983050382044</v>
      </c>
      <c r="AA54" s="397">
        <f>IF(W54=0,0,W54*S54)</f>
        <v>1191.1367001976018</v>
      </c>
      <c r="AB54" s="294" t="s">
        <v>2</v>
      </c>
      <c r="AC54" s="397">
        <f>SUM(Y54:AA54)</f>
        <v>2690.1827709816012</v>
      </c>
      <c r="AD54" s="399">
        <f>AC54*AE54/1000/1000</f>
        <v>1.2170961889808078</v>
      </c>
      <c r="AE54" s="400">
        <f>IF($C54="","",VLOOKUP($C54+$F$11*1000,DSS_Calc!$A:$JV,AE$30,FALSE))</f>
        <v>452.42137527210116</v>
      </c>
      <c r="AF54" s="399">
        <f>IF($C54="","",VLOOKUP($C54+$F$11*1000,DSS_Calc!$A:$JV,AF$30,FALSE))</f>
        <v>1.4953961664630746</v>
      </c>
      <c r="AG54" s="398"/>
      <c r="AH54" s="398"/>
      <c r="AI54" s="401"/>
      <c r="AJ54" s="289" t="s">
        <v>2</v>
      </c>
      <c r="AK54" s="563"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+500 CC, 0/0/0.9/3.9, -360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1.0556376825810878</v>
      </c>
      <c r="B55" s="402"/>
      <c r="C55" s="564">
        <f>AI55/(AC55/(VLOOKUP($C54+$F$11*1000,DSS_Calc!$A:$JV,DSS_Calc!BX$92,FALSE)-$AC$33))</f>
        <v>-1.1772411343814044</v>
      </c>
      <c r="D55" s="403" t="s">
        <v>141</v>
      </c>
      <c r="F55" s="404">
        <f>ROUND(F54-F$33,0)</f>
        <v>500</v>
      </c>
      <c r="G55" s="404"/>
      <c r="H55" s="404"/>
      <c r="I55" s="404">
        <f t="shared" ref="I55" si="76">ROUND(I54-I$33,0)</f>
        <v>0</v>
      </c>
      <c r="J55" s="404">
        <f t="shared" ref="J55" si="77">ROUND(J54-J$33,0)</f>
        <v>-360</v>
      </c>
      <c r="K55" s="404">
        <f t="shared" ref="K55" si="78">ROUND(K54-K$33,0)</f>
        <v>0</v>
      </c>
      <c r="L55" s="404">
        <f t="shared" ref="L55" si="79">ROUND(L54-L$33,0)</f>
        <v>0</v>
      </c>
      <c r="M55" s="404">
        <f t="shared" ref="M55" si="80">ROUND(M54-M$33,0)</f>
        <v>0</v>
      </c>
      <c r="N55" s="404">
        <f t="shared" ref="N55" si="81">ROUND(N54-N$33,0)</f>
        <v>0</v>
      </c>
      <c r="O55" s="404">
        <f t="shared" ref="O55" si="82">ROUND(O54-O$33,0)</f>
        <v>0</v>
      </c>
      <c r="P55" s="294"/>
      <c r="Q55" s="404">
        <f t="shared" ref="Q55:S55" si="83">Q54-Q$33</f>
        <v>499.99999999999955</v>
      </c>
      <c r="R55" s="404">
        <f t="shared" si="83"/>
        <v>280.12703762494175</v>
      </c>
      <c r="S55" s="404">
        <f t="shared" si="83"/>
        <v>-360</v>
      </c>
      <c r="T55" s="294"/>
      <c r="U55" s="405">
        <f>U54-U$33</f>
        <v>9.540195573298646E-2</v>
      </c>
      <c r="V55" s="405">
        <f>V54-V$33</f>
        <v>9.3224851125537911E-3</v>
      </c>
      <c r="W55" s="405">
        <f>W54-W$33</f>
        <v>-0.10472444084554033</v>
      </c>
      <c r="X55" s="294"/>
      <c r="Y55" s="404">
        <f>Y54-Y$33</f>
        <v>295.59136627115868</v>
      </c>
      <c r="Z55" s="404">
        <f>Z54-Z$33</f>
        <v>121.31924967860573</v>
      </c>
      <c r="AA55" s="404">
        <f>AA54-AA$33</f>
        <v>-566.04404498681492</v>
      </c>
      <c r="AB55" s="294"/>
      <c r="AC55" s="404">
        <f>IFERROR(AC54-AC$33,NA())</f>
        <v>-149.13342903705052</v>
      </c>
      <c r="AD55" s="406">
        <f>AD54-AD$33</f>
        <v>-5.4450938241680458E-2</v>
      </c>
      <c r="AE55" s="407">
        <f t="shared" si="3"/>
        <v>4.5856860966104023</v>
      </c>
      <c r="AF55" s="406">
        <f t="shared" si="3"/>
        <v>8.1944419233908272E-2</v>
      </c>
      <c r="AG55" s="405">
        <f>AF55/AF$33</f>
        <v>5.7974684593617348E-2</v>
      </c>
      <c r="AH55" s="405"/>
      <c r="AI55" s="408">
        <f>IFERROR(AE55/$AE$33,NA())</f>
        <v>1.0239662017676836E-2</v>
      </c>
      <c r="AJ55" s="289"/>
      <c r="AK55" s="749"/>
      <c r="AL55" s="750">
        <f>$AE54*U54-$AE$33*U$33</f>
        <v>44.297922134362182</v>
      </c>
      <c r="AM55" s="750">
        <f>$AE54*V54-$AE$33*V$33</f>
        <v>5.8312948603446557</v>
      </c>
      <c r="AN55" s="750">
        <f>$AE54*W54-$AE$33*W$33</f>
        <v>-45.543530898096492</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563"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 si="84">ROUND(I56-I$33,0)</f>
        <v>#VALUE!</v>
      </c>
      <c r="J57" s="267" t="e">
        <f t="shared" ref="J57" si="85">ROUND(J56-J$33,0)</f>
        <v>#VALUE!</v>
      </c>
      <c r="K57" s="267" t="e">
        <f t="shared" ref="K57" si="86">ROUND(K56-K$33,0)</f>
        <v>#VALUE!</v>
      </c>
      <c r="L57" s="267" t="e">
        <f t="shared" ref="L57" si="87">ROUND(L56-L$33,0)</f>
        <v>#VALUE!</v>
      </c>
      <c r="M57" s="267" t="e">
        <f t="shared" ref="M57" si="88">ROUND(M56-M$33,0)</f>
        <v>#VALUE!</v>
      </c>
      <c r="N57" s="267" t="e">
        <f t="shared" ref="N57" si="89">ROUND(N56-N$33,0)</f>
        <v>#VALUE!</v>
      </c>
      <c r="O57" s="267" t="e">
        <f t="shared" ref="O57" si="90">ROUND(O56-O$33,0)</f>
        <v>#VALUE!</v>
      </c>
      <c r="P57" s="294"/>
      <c r="Q57" s="267" t="e">
        <f t="shared" ref="Q57:S57" si="91">Q56-Q$33</f>
        <v>#VALUE!</v>
      </c>
      <c r="R57" s="267" t="e">
        <f t="shared" si="91"/>
        <v>#VALUE!</v>
      </c>
      <c r="S57" s="267" t="e">
        <f t="shared" si="91"/>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3"/>
        <v>#VALUE!</v>
      </c>
      <c r="AF57" s="269" t="e">
        <f t="shared" si="3"/>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563"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 si="92">ROUND(I58-I$33,0)</f>
        <v>#VALUE!</v>
      </c>
      <c r="J59" s="404" t="e">
        <f t="shared" ref="J59" si="93">ROUND(J58-J$33,0)</f>
        <v>#VALUE!</v>
      </c>
      <c r="K59" s="404" t="e">
        <f t="shared" ref="K59" si="94">ROUND(K58-K$33,0)</f>
        <v>#VALUE!</v>
      </c>
      <c r="L59" s="404" t="e">
        <f t="shared" ref="L59" si="95">ROUND(L58-L$33,0)</f>
        <v>#VALUE!</v>
      </c>
      <c r="M59" s="404" t="e">
        <f t="shared" ref="M59" si="96">ROUND(M58-M$33,0)</f>
        <v>#VALUE!</v>
      </c>
      <c r="N59" s="404" t="e">
        <f t="shared" ref="N59" si="97">ROUND(N58-N$33,0)</f>
        <v>#VALUE!</v>
      </c>
      <c r="O59" s="404" t="e">
        <f t="shared" ref="O59" si="98">ROUND(O58-O$33,0)</f>
        <v>#VALUE!</v>
      </c>
      <c r="P59" s="294"/>
      <c r="Q59" s="404" t="e">
        <f t="shared" ref="Q59:S59" si="99">Q58-Q$33</f>
        <v>#VALUE!</v>
      </c>
      <c r="R59" s="404" t="e">
        <f t="shared" si="99"/>
        <v>#VALUE!</v>
      </c>
      <c r="S59" s="404" t="e">
        <f t="shared" si="99"/>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3"/>
        <v>#VALUE!</v>
      </c>
      <c r="AF59" s="406" t="e">
        <f t="shared" si="3"/>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563"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 si="100">ROUND(I60-I$33,0)</f>
        <v>#VALUE!</v>
      </c>
      <c r="J61" s="267" t="e">
        <f t="shared" ref="J61" si="101">ROUND(J60-J$33,0)</f>
        <v>#VALUE!</v>
      </c>
      <c r="K61" s="267" t="e">
        <f t="shared" ref="K61" si="102">ROUND(K60-K$33,0)</f>
        <v>#VALUE!</v>
      </c>
      <c r="L61" s="267" t="e">
        <f t="shared" ref="L61" si="103">ROUND(L60-L$33,0)</f>
        <v>#VALUE!</v>
      </c>
      <c r="M61" s="267" t="e">
        <f t="shared" ref="M61" si="104">ROUND(M60-M$33,0)</f>
        <v>#VALUE!</v>
      </c>
      <c r="N61" s="267" t="e">
        <f t="shared" ref="N61" si="105">ROUND(N60-N$33,0)</f>
        <v>#VALUE!</v>
      </c>
      <c r="O61" s="267" t="e">
        <f t="shared" ref="O61" si="106">ROUND(O60-O$33,0)</f>
        <v>#VALUE!</v>
      </c>
      <c r="P61" s="294"/>
      <c r="Q61" s="267" t="e">
        <f t="shared" ref="Q61:S61" si="107">Q60-Q$33</f>
        <v>#VALUE!</v>
      </c>
      <c r="R61" s="267" t="e">
        <f t="shared" si="107"/>
        <v>#VALUE!</v>
      </c>
      <c r="S61" s="267" t="e">
        <f t="shared" si="107"/>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3"/>
        <v>#VALUE!</v>
      </c>
      <c r="AF61" s="269" t="e">
        <f t="shared" si="3"/>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563"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 si="108">ROUND(I62-I$33,0)</f>
        <v>#VALUE!</v>
      </c>
      <c r="J63" s="404" t="e">
        <f t="shared" ref="J63" si="109">ROUND(J62-J$33,0)</f>
        <v>#VALUE!</v>
      </c>
      <c r="K63" s="404" t="e">
        <f t="shared" ref="K63" si="110">ROUND(K62-K$33,0)</f>
        <v>#VALUE!</v>
      </c>
      <c r="L63" s="404" t="e">
        <f t="shared" ref="L63" si="111">ROUND(L62-L$33,0)</f>
        <v>#VALUE!</v>
      </c>
      <c r="M63" s="404" t="e">
        <f t="shared" ref="M63" si="112">ROUND(M62-M$33,0)</f>
        <v>#VALUE!</v>
      </c>
      <c r="N63" s="404" t="e">
        <f t="shared" ref="N63" si="113">ROUND(N62-N$33,0)</f>
        <v>#VALUE!</v>
      </c>
      <c r="O63" s="404" t="e">
        <f t="shared" ref="O63" si="114">ROUND(O62-O$33,0)</f>
        <v>#VALUE!</v>
      </c>
      <c r="P63" s="294"/>
      <c r="Q63" s="404" t="e">
        <f t="shared" ref="Q63:S63" si="115">Q62-Q$33</f>
        <v>#VALUE!</v>
      </c>
      <c r="R63" s="404" t="e">
        <f t="shared" si="115"/>
        <v>#VALUE!</v>
      </c>
      <c r="S63" s="404" t="e">
        <f t="shared" si="115"/>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116">AE62-AE$33</f>
        <v>#VALUE!</v>
      </c>
      <c r="AF63" s="406" t="e">
        <f t="shared" si="116"/>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563"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 si="117">ROUND(I64-I$33,0)</f>
        <v>#VALUE!</v>
      </c>
      <c r="J65" s="267" t="e">
        <f t="shared" ref="J65" si="118">ROUND(J64-J$33,0)</f>
        <v>#VALUE!</v>
      </c>
      <c r="K65" s="267" t="e">
        <f t="shared" ref="K65" si="119">ROUND(K64-K$33,0)</f>
        <v>#VALUE!</v>
      </c>
      <c r="L65" s="267" t="e">
        <f t="shared" ref="L65" si="120">ROUND(L64-L$33,0)</f>
        <v>#VALUE!</v>
      </c>
      <c r="M65" s="267" t="e">
        <f t="shared" ref="M65" si="121">ROUND(M64-M$33,0)</f>
        <v>#VALUE!</v>
      </c>
      <c r="N65" s="267" t="e">
        <f t="shared" ref="N65" si="122">ROUND(N64-N$33,0)</f>
        <v>#VALUE!</v>
      </c>
      <c r="O65" s="267" t="e">
        <f t="shared" ref="O65" si="123">ROUND(O64-O$33,0)</f>
        <v>#VALUE!</v>
      </c>
      <c r="P65" s="294"/>
      <c r="Q65" s="267" t="e">
        <f t="shared" ref="Q65:S65" si="124">Q64-Q$33</f>
        <v>#VALUE!</v>
      </c>
      <c r="R65" s="267" t="e">
        <f t="shared" si="124"/>
        <v>#VALUE!</v>
      </c>
      <c r="S65" s="267" t="e">
        <f t="shared" si="124"/>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125">AE64-AE$33</f>
        <v>#VALUE!</v>
      </c>
      <c r="AF65" s="269" t="e">
        <f t="shared" si="125"/>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563"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 si="126">ROUND(I66-I$33,0)</f>
        <v>#VALUE!</v>
      </c>
      <c r="J67" s="404" t="e">
        <f t="shared" ref="J67" si="127">ROUND(J66-J$33,0)</f>
        <v>#VALUE!</v>
      </c>
      <c r="K67" s="404" t="e">
        <f t="shared" ref="K67" si="128">ROUND(K66-K$33,0)</f>
        <v>#VALUE!</v>
      </c>
      <c r="L67" s="404" t="e">
        <f t="shared" ref="L67" si="129">ROUND(L66-L$33,0)</f>
        <v>#VALUE!</v>
      </c>
      <c r="M67" s="404" t="e">
        <f t="shared" ref="M67" si="130">ROUND(M66-M$33,0)</f>
        <v>#VALUE!</v>
      </c>
      <c r="N67" s="404" t="e">
        <f t="shared" ref="N67" si="131">ROUND(N66-N$33,0)</f>
        <v>#VALUE!</v>
      </c>
      <c r="O67" s="404" t="e">
        <f t="shared" ref="O67" si="132">ROUND(O66-O$33,0)</f>
        <v>#VALUE!</v>
      </c>
      <c r="P67" s="294"/>
      <c r="Q67" s="404" t="e">
        <f t="shared" ref="Q67:S67" si="133">Q66-Q$33</f>
        <v>#VALUE!</v>
      </c>
      <c r="R67" s="404" t="e">
        <f t="shared" si="133"/>
        <v>#VALUE!</v>
      </c>
      <c r="S67" s="404" t="e">
        <f t="shared" si="133"/>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134">AE66-AE$33</f>
        <v>#VALUE!</v>
      </c>
      <c r="AF67" s="406" t="e">
        <f t="shared" si="134"/>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563"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 si="135">ROUND(I68-I$33,0)</f>
        <v>#VALUE!</v>
      </c>
      <c r="J69" s="267" t="e">
        <f t="shared" ref="J69" si="136">ROUND(J68-J$33,0)</f>
        <v>#VALUE!</v>
      </c>
      <c r="K69" s="267" t="e">
        <f t="shared" ref="K69" si="137">ROUND(K68-K$33,0)</f>
        <v>#VALUE!</v>
      </c>
      <c r="L69" s="267" t="e">
        <f t="shared" ref="L69" si="138">ROUND(L68-L$33,0)</f>
        <v>#VALUE!</v>
      </c>
      <c r="M69" s="267" t="e">
        <f t="shared" ref="M69" si="139">ROUND(M68-M$33,0)</f>
        <v>#VALUE!</v>
      </c>
      <c r="N69" s="267" t="e">
        <f t="shared" ref="N69" si="140">ROUND(N68-N$33,0)</f>
        <v>#VALUE!</v>
      </c>
      <c r="O69" s="267" t="e">
        <f t="shared" ref="O69" si="141">ROUND(O68-O$33,0)</f>
        <v>#VALUE!</v>
      </c>
      <c r="P69" s="294"/>
      <c r="Q69" s="267" t="e">
        <f t="shared" ref="Q69:S69" si="142">Q68-Q$33</f>
        <v>#VALUE!</v>
      </c>
      <c r="R69" s="267" t="e">
        <f t="shared" si="142"/>
        <v>#VALUE!</v>
      </c>
      <c r="S69" s="267" t="e">
        <f t="shared" si="142"/>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143">AE68-AE$33</f>
        <v>#VALUE!</v>
      </c>
      <c r="AF69" s="269" t="e">
        <f t="shared" si="143"/>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566"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 si="144">ROUND(I70-I$33,0)</f>
        <v>#VALUE!</v>
      </c>
      <c r="J71" s="404" t="e">
        <f t="shared" ref="J71" si="145">ROUND(J70-J$33,0)</f>
        <v>#VALUE!</v>
      </c>
      <c r="K71" s="404" t="e">
        <f t="shared" ref="K71" si="146">ROUND(K70-K$33,0)</f>
        <v>#VALUE!</v>
      </c>
      <c r="L71" s="404" t="e">
        <f t="shared" ref="L71" si="147">ROUND(L70-L$33,0)</f>
        <v>#VALUE!</v>
      </c>
      <c r="M71" s="404" t="e">
        <f t="shared" ref="M71" si="148">ROUND(M70-M$33,0)</f>
        <v>#VALUE!</v>
      </c>
      <c r="N71" s="404" t="e">
        <f t="shared" ref="N71" si="149">ROUND(N70-N$33,0)</f>
        <v>#VALUE!</v>
      </c>
      <c r="O71" s="404" t="e">
        <f t="shared" ref="O71" si="150">ROUND(O70-O$33,0)</f>
        <v>#VALUE!</v>
      </c>
      <c r="P71" s="294"/>
      <c r="Q71" s="404" t="e">
        <f t="shared" ref="Q71:S71" si="151">Q70-Q$33</f>
        <v>#VALUE!</v>
      </c>
      <c r="R71" s="404" t="e">
        <f t="shared" si="151"/>
        <v>#VALUE!</v>
      </c>
      <c r="S71" s="404" t="e">
        <f t="shared" si="151"/>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152">AE70-AE$33</f>
        <v>#VALUE!</v>
      </c>
      <c r="AF71" s="406" t="e">
        <f t="shared" si="152"/>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22"/>
      <c r="AK72" s="112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AN18:AR18"/>
    <mergeCell ref="AN19:AR19"/>
    <mergeCell ref="AN20:AR20"/>
    <mergeCell ref="AN21:AR21"/>
    <mergeCell ref="AN13:AR13"/>
    <mergeCell ref="AN14:AR14"/>
    <mergeCell ref="AN15:AR15"/>
    <mergeCell ref="AN16:AR16"/>
    <mergeCell ref="AN17:AR17"/>
    <mergeCell ref="AJ72:AK72"/>
    <mergeCell ref="D13:AI13"/>
    <mergeCell ref="A27:A28"/>
    <mergeCell ref="C27:C28"/>
    <mergeCell ref="Q27:S27"/>
    <mergeCell ref="U27:W27"/>
    <mergeCell ref="Y27:AA27"/>
    <mergeCell ref="AC27:AI27"/>
    <mergeCell ref="F27:O27"/>
  </mergeCells>
  <conditionalFormatting sqref="F33 U33:W33 M33 O33 Q33:S33">
    <cfRule type="expression" dxfId="1652" priority="459">
      <formula>IF(F$29="NO",TRUE,FALSE)</formula>
    </cfRule>
  </conditionalFormatting>
  <conditionalFormatting sqref="G33">
    <cfRule type="expression" dxfId="1651" priority="458">
      <formula>IF($G$29="NO",TRUE,FALSE)</formula>
    </cfRule>
  </conditionalFormatting>
  <conditionalFormatting sqref="H33">
    <cfRule type="expression" dxfId="1650" priority="457">
      <formula>IF($H$29="NO",TRUE,FALSE)</formula>
    </cfRule>
  </conditionalFormatting>
  <conditionalFormatting sqref="G33:I33">
    <cfRule type="expression" dxfId="1649" priority="456">
      <formula>IF(G$29="NO",TRUE,FALSE)</formula>
    </cfRule>
  </conditionalFormatting>
  <conditionalFormatting sqref="Y33:AA33">
    <cfRule type="expression" dxfId="1648" priority="455">
      <formula>IF(Y$29="NO",TRUE,FALSE)</formula>
    </cfRule>
  </conditionalFormatting>
  <conditionalFormatting sqref="AC33">
    <cfRule type="expression" dxfId="1647" priority="454">
      <formula>IF(AC$29="NO",TRUE,FALSE)</formula>
    </cfRule>
  </conditionalFormatting>
  <conditionalFormatting sqref="AD33">
    <cfRule type="expression" dxfId="1646" priority="453">
      <formula>IF(AD$29="NO",TRUE,FALSE)</formula>
    </cfRule>
  </conditionalFormatting>
  <conditionalFormatting sqref="AE33">
    <cfRule type="expression" dxfId="1645" priority="452">
      <formula>IF(AE$29="NO",TRUE,FALSE)</formula>
    </cfRule>
  </conditionalFormatting>
  <conditionalFormatting sqref="U36:W36">
    <cfRule type="expression" dxfId="1644" priority="451">
      <formula>IF(XDI$29="NO",TRUE,FALSE)</formula>
    </cfRule>
  </conditionalFormatting>
  <conditionalFormatting sqref="AC48:AE48 AC52:AF52 AC56:AF56 AC60:AF60 AC64:AF64 AC36:AF36 AC40:AF40 AC44:AF44">
    <cfRule type="expression" dxfId="1643" priority="450">
      <formula>IF(XDR$29="NO",TRUE,FALSE)</formula>
    </cfRule>
  </conditionalFormatting>
  <conditionalFormatting sqref="Q36:S36">
    <cfRule type="expression" dxfId="1642" priority="449">
      <formula>IF(XDD$29="NO",TRUE,FALSE)</formula>
    </cfRule>
  </conditionalFormatting>
  <conditionalFormatting sqref="Y46:AA46">
    <cfRule type="expression" dxfId="1641" priority="448">
      <formula>IF(XDN$29="NO",TRUE,FALSE)</formula>
    </cfRule>
  </conditionalFormatting>
  <conditionalFormatting sqref="AC46">
    <cfRule type="expression" dxfId="1640" priority="447">
      <formula>IF(XDR$29="NO",TRUE,FALSE)</formula>
    </cfRule>
  </conditionalFormatting>
  <conditionalFormatting sqref="AD46">
    <cfRule type="expression" dxfId="1639" priority="446">
      <formula>IF(XDS$29="NO",TRUE,FALSE)</formula>
    </cfRule>
  </conditionalFormatting>
  <conditionalFormatting sqref="AE46">
    <cfRule type="expression" dxfId="1638" priority="445">
      <formula>IF(XDT$29="NO",TRUE,FALSE)</formula>
    </cfRule>
  </conditionalFormatting>
  <conditionalFormatting sqref="Y46:AA46">
    <cfRule type="expression" dxfId="1637" priority="444">
      <formula>IF(XDN$29="NO",TRUE,FALSE)</formula>
    </cfRule>
  </conditionalFormatting>
  <conditionalFormatting sqref="AC46">
    <cfRule type="expression" dxfId="1636" priority="443">
      <formula>IF(XDR$29="NO",TRUE,FALSE)</formula>
    </cfRule>
  </conditionalFormatting>
  <conditionalFormatting sqref="AD46">
    <cfRule type="expression" dxfId="1635" priority="442">
      <formula>IF(XDS$29="NO",TRUE,FALSE)</formula>
    </cfRule>
  </conditionalFormatting>
  <conditionalFormatting sqref="AE46">
    <cfRule type="expression" dxfId="1634" priority="441">
      <formula>IF(XDT$29="NO",TRUE,FALSE)</formula>
    </cfRule>
  </conditionalFormatting>
  <conditionalFormatting sqref="AE54">
    <cfRule type="expression" dxfId="1633" priority="427">
      <formula>IF(XDT$29="NO",TRUE,FALSE)</formula>
    </cfRule>
  </conditionalFormatting>
  <conditionalFormatting sqref="Y48:AA48">
    <cfRule type="expression" dxfId="1632" priority="440">
      <formula>IF(XDN$29="NO",TRUE,FALSE)</formula>
    </cfRule>
  </conditionalFormatting>
  <conditionalFormatting sqref="Y50:AA50">
    <cfRule type="expression" dxfId="1631" priority="439">
      <formula>IF(XDN$29="NO",TRUE,FALSE)</formula>
    </cfRule>
  </conditionalFormatting>
  <conditionalFormatting sqref="AC50">
    <cfRule type="expression" dxfId="1630" priority="438">
      <formula>IF(XDR$29="NO",TRUE,FALSE)</formula>
    </cfRule>
  </conditionalFormatting>
  <conditionalFormatting sqref="AD50">
    <cfRule type="expression" dxfId="1629" priority="437">
      <formula>IF(XDS$29="NO",TRUE,FALSE)</formula>
    </cfRule>
  </conditionalFormatting>
  <conditionalFormatting sqref="AE50">
    <cfRule type="expression" dxfId="1628" priority="436">
      <formula>IF(XDT$29="NO",TRUE,FALSE)</formula>
    </cfRule>
  </conditionalFormatting>
  <conditionalFormatting sqref="Y50:AA50">
    <cfRule type="expression" dxfId="1627" priority="435">
      <formula>IF(XDN$29="NO",TRUE,FALSE)</formula>
    </cfRule>
  </conditionalFormatting>
  <conditionalFormatting sqref="AC50">
    <cfRule type="expression" dxfId="1626" priority="434">
      <formula>IF(XDR$29="NO",TRUE,FALSE)</formula>
    </cfRule>
  </conditionalFormatting>
  <conditionalFormatting sqref="AD50">
    <cfRule type="expression" dxfId="1625" priority="433">
      <formula>IF(XDS$29="NO",TRUE,FALSE)</formula>
    </cfRule>
  </conditionalFormatting>
  <conditionalFormatting sqref="AE50">
    <cfRule type="expression" dxfId="1624" priority="432">
      <formula>IF(XDT$29="NO",TRUE,FALSE)</formula>
    </cfRule>
  </conditionalFormatting>
  <conditionalFormatting sqref="AE58">
    <cfRule type="expression" dxfId="1623" priority="418">
      <formula>IF(XDT$29="NO",TRUE,FALSE)</formula>
    </cfRule>
  </conditionalFormatting>
  <conditionalFormatting sqref="Y52:AA52">
    <cfRule type="expression" dxfId="1622" priority="431">
      <formula>IF(XDN$29="NO",TRUE,FALSE)</formula>
    </cfRule>
  </conditionalFormatting>
  <conditionalFormatting sqref="Y54:AA54">
    <cfRule type="expression" dxfId="1621" priority="430">
      <formula>IF(XDN$29="NO",TRUE,FALSE)</formula>
    </cfRule>
  </conditionalFormatting>
  <conditionalFormatting sqref="AC54">
    <cfRule type="expression" dxfId="1620" priority="429">
      <formula>IF(XDR$29="NO",TRUE,FALSE)</formula>
    </cfRule>
  </conditionalFormatting>
  <conditionalFormatting sqref="AD54">
    <cfRule type="expression" dxfId="1619" priority="428">
      <formula>IF(XDS$29="NO",TRUE,FALSE)</formula>
    </cfRule>
  </conditionalFormatting>
  <conditionalFormatting sqref="Y54:AA54">
    <cfRule type="expression" dxfId="1618" priority="426">
      <formula>IF(XDN$29="NO",TRUE,FALSE)</formula>
    </cfRule>
  </conditionalFormatting>
  <conditionalFormatting sqref="AC54">
    <cfRule type="expression" dxfId="1617" priority="425">
      <formula>IF(XDR$29="NO",TRUE,FALSE)</formula>
    </cfRule>
  </conditionalFormatting>
  <conditionalFormatting sqref="AD54">
    <cfRule type="expression" dxfId="1616" priority="424">
      <formula>IF(XDS$29="NO",TRUE,FALSE)</formula>
    </cfRule>
  </conditionalFormatting>
  <conditionalFormatting sqref="AE54">
    <cfRule type="expression" dxfId="1615" priority="423">
      <formula>IF(XDT$29="NO",TRUE,FALSE)</formula>
    </cfRule>
  </conditionalFormatting>
  <conditionalFormatting sqref="AE62">
    <cfRule type="expression" dxfId="1614" priority="409">
      <formula>IF(XDT$29="NO",TRUE,FALSE)</formula>
    </cfRule>
  </conditionalFormatting>
  <conditionalFormatting sqref="Y56:AA56">
    <cfRule type="expression" dxfId="1613" priority="422">
      <formula>IF(XDN$29="NO",TRUE,FALSE)</formula>
    </cfRule>
  </conditionalFormatting>
  <conditionalFormatting sqref="Y58:AA58">
    <cfRule type="expression" dxfId="1612" priority="421">
      <formula>IF(XDN$29="NO",TRUE,FALSE)</formula>
    </cfRule>
  </conditionalFormatting>
  <conditionalFormatting sqref="AC58">
    <cfRule type="expression" dxfId="1611" priority="420">
      <formula>IF(XDR$29="NO",TRUE,FALSE)</formula>
    </cfRule>
  </conditionalFormatting>
  <conditionalFormatting sqref="AD58">
    <cfRule type="expression" dxfId="1610" priority="419">
      <formula>IF(XDS$29="NO",TRUE,FALSE)</formula>
    </cfRule>
  </conditionalFormatting>
  <conditionalFormatting sqref="Y58:AA58">
    <cfRule type="expression" dxfId="1609" priority="417">
      <formula>IF(XDN$29="NO",TRUE,FALSE)</formula>
    </cfRule>
  </conditionalFormatting>
  <conditionalFormatting sqref="AC58">
    <cfRule type="expression" dxfId="1608" priority="416">
      <formula>IF(XDR$29="NO",TRUE,FALSE)</formula>
    </cfRule>
  </conditionalFormatting>
  <conditionalFormatting sqref="AD58">
    <cfRule type="expression" dxfId="1607" priority="415">
      <formula>IF(XDS$29="NO",TRUE,FALSE)</formula>
    </cfRule>
  </conditionalFormatting>
  <conditionalFormatting sqref="AE58">
    <cfRule type="expression" dxfId="1606" priority="414">
      <formula>IF(XDT$29="NO",TRUE,FALSE)</formula>
    </cfRule>
  </conditionalFormatting>
  <conditionalFormatting sqref="Y60:AA60">
    <cfRule type="expression" dxfId="1605" priority="413">
      <formula>IF(XDN$29="NO",TRUE,FALSE)</formula>
    </cfRule>
  </conditionalFormatting>
  <conditionalFormatting sqref="Y62:AA62">
    <cfRule type="expression" dxfId="1604" priority="412">
      <formula>IF(XDN$29="NO",TRUE,FALSE)</formula>
    </cfRule>
  </conditionalFormatting>
  <conditionalFormatting sqref="AC62">
    <cfRule type="expression" dxfId="1603" priority="411">
      <formula>IF(XDR$29="NO",TRUE,FALSE)</formula>
    </cfRule>
  </conditionalFormatting>
  <conditionalFormatting sqref="AD62">
    <cfRule type="expression" dxfId="1602" priority="410">
      <formula>IF(XDS$29="NO",TRUE,FALSE)</formula>
    </cfRule>
  </conditionalFormatting>
  <conditionalFormatting sqref="Y62:AA62">
    <cfRule type="expression" dxfId="1601" priority="408">
      <formula>IF(XDN$29="NO",TRUE,FALSE)</formula>
    </cfRule>
  </conditionalFormatting>
  <conditionalFormatting sqref="AC62">
    <cfRule type="expression" dxfId="1600" priority="407">
      <formula>IF(XDR$29="NO",TRUE,FALSE)</formula>
    </cfRule>
  </conditionalFormatting>
  <conditionalFormatting sqref="AD62">
    <cfRule type="expression" dxfId="1599" priority="406">
      <formula>IF(XDS$29="NO",TRUE,FALSE)</formula>
    </cfRule>
  </conditionalFormatting>
  <conditionalFormatting sqref="AE62">
    <cfRule type="expression" dxfId="1598" priority="405">
      <formula>IF(XDT$29="NO",TRUE,FALSE)</formula>
    </cfRule>
  </conditionalFormatting>
  <conditionalFormatting sqref="Y64:AA64">
    <cfRule type="expression" dxfId="1597" priority="404">
      <formula>IF(XDN$29="NO",TRUE,FALSE)</formula>
    </cfRule>
  </conditionalFormatting>
  <conditionalFormatting sqref="Q34:S34">
    <cfRule type="expression" dxfId="1596" priority="399">
      <formula>IF(XDD$29="NO",TRUE,FALSE)</formula>
    </cfRule>
  </conditionalFormatting>
  <conditionalFormatting sqref="U34:W34">
    <cfRule type="expression" dxfId="1595" priority="398">
      <formula>IF(XDI$29="NO",TRUE,FALSE)</formula>
    </cfRule>
  </conditionalFormatting>
  <conditionalFormatting sqref="Y34:AA34">
    <cfRule type="expression" dxfId="1594" priority="397">
      <formula>IF(XDN$29="NO",TRUE,FALSE)</formula>
    </cfRule>
  </conditionalFormatting>
  <conditionalFormatting sqref="AC34">
    <cfRule type="expression" dxfId="1593" priority="396">
      <formula>IF(XDR$29="NO",TRUE,FALSE)</formula>
    </cfRule>
  </conditionalFormatting>
  <conditionalFormatting sqref="AD34">
    <cfRule type="expression" dxfId="1592" priority="395">
      <formula>IF(XDS$29="NO",TRUE,FALSE)</formula>
    </cfRule>
  </conditionalFormatting>
  <conditionalFormatting sqref="AE34">
    <cfRule type="expression" dxfId="1591" priority="394">
      <formula>IF(XDT$29="NO",TRUE,FALSE)</formula>
    </cfRule>
  </conditionalFormatting>
  <conditionalFormatting sqref="Y38:AA38">
    <cfRule type="expression" dxfId="1590" priority="378">
      <formula>IF(XDN$29="NO",TRUE,FALSE)</formula>
    </cfRule>
  </conditionalFormatting>
  <conditionalFormatting sqref="Q34:S34">
    <cfRule type="expression" dxfId="1589" priority="391">
      <formula>IF(XDD$29="NO",TRUE,FALSE)</formula>
    </cfRule>
  </conditionalFormatting>
  <conditionalFormatting sqref="U34:W34">
    <cfRule type="expression" dxfId="1588" priority="390">
      <formula>IF(XDI$29="NO",TRUE,FALSE)</formula>
    </cfRule>
  </conditionalFormatting>
  <conditionalFormatting sqref="Y34:AA34">
    <cfRule type="expression" dxfId="1587" priority="389">
      <formula>IF(XDN$29="NO",TRUE,FALSE)</formula>
    </cfRule>
  </conditionalFormatting>
  <conditionalFormatting sqref="AC34">
    <cfRule type="expression" dxfId="1586" priority="388">
      <formula>IF(XDR$29="NO",TRUE,FALSE)</formula>
    </cfRule>
  </conditionalFormatting>
  <conditionalFormatting sqref="AD34">
    <cfRule type="expression" dxfId="1585" priority="387">
      <formula>IF(XDS$29="NO",TRUE,FALSE)</formula>
    </cfRule>
  </conditionalFormatting>
  <conditionalFormatting sqref="AE34">
    <cfRule type="expression" dxfId="1584" priority="386">
      <formula>IF(XDT$29="NO",TRUE,FALSE)</formula>
    </cfRule>
  </conditionalFormatting>
  <conditionalFormatting sqref="AC42">
    <cfRule type="expression" dxfId="1583" priority="372">
      <formula>IF(XDR$29="NO",TRUE,FALSE)</formula>
    </cfRule>
  </conditionalFormatting>
  <conditionalFormatting sqref="Y36:AA36">
    <cfRule type="expression" dxfId="1582" priority="383">
      <formula>IF(XDN$29="NO",TRUE,FALSE)</formula>
    </cfRule>
  </conditionalFormatting>
  <conditionalFormatting sqref="Y38:AA38">
    <cfRule type="expression" dxfId="1581" priority="382">
      <formula>IF(XDN$29="NO",TRUE,FALSE)</formula>
    </cfRule>
  </conditionalFormatting>
  <conditionalFormatting sqref="AC38">
    <cfRule type="expression" dxfId="1580" priority="381">
      <formula>IF(XDR$29="NO",TRUE,FALSE)</formula>
    </cfRule>
  </conditionalFormatting>
  <conditionalFormatting sqref="AD38">
    <cfRule type="expression" dxfId="1579" priority="380">
      <formula>IF(XDS$29="NO",TRUE,FALSE)</formula>
    </cfRule>
  </conditionalFormatting>
  <conditionalFormatting sqref="AE38">
    <cfRule type="expression" dxfId="1578" priority="379">
      <formula>IF(XDT$29="NO",TRUE,FALSE)</formula>
    </cfRule>
  </conditionalFormatting>
  <conditionalFormatting sqref="Q46:S46">
    <cfRule type="expression" dxfId="1577" priority="339">
      <formula>IF(XDD$29="NO",TRUE,FALSE)</formula>
    </cfRule>
  </conditionalFormatting>
  <conditionalFormatting sqref="AC38">
    <cfRule type="expression" dxfId="1576" priority="377">
      <formula>IF(XDR$29="NO",TRUE,FALSE)</formula>
    </cfRule>
  </conditionalFormatting>
  <conditionalFormatting sqref="AD38">
    <cfRule type="expression" dxfId="1575" priority="376">
      <formula>IF(XDS$29="NO",TRUE,FALSE)</formula>
    </cfRule>
  </conditionalFormatting>
  <conditionalFormatting sqref="AE38">
    <cfRule type="expression" dxfId="1574" priority="375">
      <formula>IF(XDT$29="NO",TRUE,FALSE)</formula>
    </cfRule>
  </conditionalFormatting>
  <conditionalFormatting sqref="Y40:AA40">
    <cfRule type="expression" dxfId="1573" priority="374">
      <formula>IF(XDN$29="NO",TRUE,FALSE)</formula>
    </cfRule>
  </conditionalFormatting>
  <conditionalFormatting sqref="Y42:AA42">
    <cfRule type="expression" dxfId="1572" priority="373">
      <formula>IF(XDN$29="NO",TRUE,FALSE)</formula>
    </cfRule>
  </conditionalFormatting>
  <conditionalFormatting sqref="AD42">
    <cfRule type="expression" dxfId="1571" priority="371">
      <formula>IF(XDS$29="NO",TRUE,FALSE)</formula>
    </cfRule>
  </conditionalFormatting>
  <conditionalFormatting sqref="AE42">
    <cfRule type="expression" dxfId="1570" priority="370">
      <formula>IF(XDT$29="NO",TRUE,FALSE)</formula>
    </cfRule>
  </conditionalFormatting>
  <conditionalFormatting sqref="Y42:AA42">
    <cfRule type="expression" dxfId="1569" priority="369">
      <formula>IF(XDN$29="NO",TRUE,FALSE)</formula>
    </cfRule>
  </conditionalFormatting>
  <conditionalFormatting sqref="AC42">
    <cfRule type="expression" dxfId="1568" priority="368">
      <formula>IF(XDR$29="NO",TRUE,FALSE)</formula>
    </cfRule>
  </conditionalFormatting>
  <conditionalFormatting sqref="AD42">
    <cfRule type="expression" dxfId="1567" priority="367">
      <formula>IF(XDS$29="NO",TRUE,FALSE)</formula>
    </cfRule>
  </conditionalFormatting>
  <conditionalFormatting sqref="AE42">
    <cfRule type="expression" dxfId="1566" priority="366">
      <formula>IF(XDT$29="NO",TRUE,FALSE)</formula>
    </cfRule>
  </conditionalFormatting>
  <conditionalFormatting sqref="Y44:AA44">
    <cfRule type="expression" dxfId="1565" priority="365">
      <formula>IF(XDN$29="NO",TRUE,FALSE)</formula>
    </cfRule>
  </conditionalFormatting>
  <conditionalFormatting sqref="J33">
    <cfRule type="expression" dxfId="1564" priority="364">
      <formula>IF(J$29="NO",TRUE,FALSE)</formula>
    </cfRule>
  </conditionalFormatting>
  <conditionalFormatting sqref="K33">
    <cfRule type="expression" dxfId="1563" priority="360">
      <formula>IF(K$29="NO",TRUE,FALSE)</formula>
    </cfRule>
  </conditionalFormatting>
  <conditionalFormatting sqref="L33">
    <cfRule type="expression" dxfId="1562" priority="356">
      <formula>IF(L$29="NO",TRUE,FALSE)</formula>
    </cfRule>
  </conditionalFormatting>
  <conditionalFormatting sqref="N33">
    <cfRule type="expression" dxfId="1561" priority="352">
      <formula>IF(N$29="NO",TRUE,FALSE)</formula>
    </cfRule>
  </conditionalFormatting>
  <conditionalFormatting sqref="AC68:AE68">
    <cfRule type="expression" dxfId="1560" priority="348">
      <formula>IF(XDR$29="NO",TRUE,FALSE)</formula>
    </cfRule>
  </conditionalFormatting>
  <conditionalFormatting sqref="Y68:AA68">
    <cfRule type="expression" dxfId="1559" priority="347">
      <formula>IF(XDN$29="NO",TRUE,FALSE)</formula>
    </cfRule>
  </conditionalFormatting>
  <conditionalFormatting sqref="Q48:S48">
    <cfRule type="expression" dxfId="1558" priority="340">
      <formula>IF(XDD$29="NO",TRUE,FALSE)</formula>
    </cfRule>
  </conditionalFormatting>
  <conditionalFormatting sqref="Q46:S46">
    <cfRule type="expression" dxfId="1557" priority="338">
      <formula>IF(XDD$29="NO",TRUE,FALSE)</formula>
    </cfRule>
  </conditionalFormatting>
  <conditionalFormatting sqref="Q52:S52">
    <cfRule type="expression" dxfId="1556" priority="337">
      <formula>IF(XDD$29="NO",TRUE,FALSE)</formula>
    </cfRule>
  </conditionalFormatting>
  <conditionalFormatting sqref="Q50:S50">
    <cfRule type="expression" dxfId="1555" priority="336">
      <formula>IF(XDD$29="NO",TRUE,FALSE)</formula>
    </cfRule>
  </conditionalFormatting>
  <conditionalFormatting sqref="Q50:S50">
    <cfRule type="expression" dxfId="1554" priority="335">
      <formula>IF(XDD$29="NO",TRUE,FALSE)</formula>
    </cfRule>
  </conditionalFormatting>
  <conditionalFormatting sqref="Q64:S64">
    <cfRule type="expression" dxfId="1553" priority="328">
      <formula>IF(XDD$29="NO",TRUE,FALSE)</formula>
    </cfRule>
  </conditionalFormatting>
  <conditionalFormatting sqref="Q68:S68">
    <cfRule type="expression" dxfId="1552" priority="325">
      <formula>IF(XDD$29="NO",TRUE,FALSE)</formula>
    </cfRule>
  </conditionalFormatting>
  <conditionalFormatting sqref="U40:W40">
    <cfRule type="expression" dxfId="1551" priority="170">
      <formula>IF(XDI$29="NO",TRUE,FALSE)</formula>
    </cfRule>
  </conditionalFormatting>
  <conditionalFormatting sqref="U38:W38">
    <cfRule type="expression" dxfId="1550" priority="169">
      <formula>IF(XDI$29="NO",TRUE,FALSE)</formula>
    </cfRule>
  </conditionalFormatting>
  <conditionalFormatting sqref="U38:W38">
    <cfRule type="expression" dxfId="1549" priority="168">
      <formula>IF(XDI$29="NO",TRUE,FALSE)</formula>
    </cfRule>
  </conditionalFormatting>
  <conditionalFormatting sqref="U44:W44">
    <cfRule type="expression" dxfId="1548" priority="167">
      <formula>IF(XDI$29="NO",TRUE,FALSE)</formula>
    </cfRule>
  </conditionalFormatting>
  <conditionalFormatting sqref="U42:W42">
    <cfRule type="expression" dxfId="1547" priority="166">
      <formula>IF(XDI$29="NO",TRUE,FALSE)</formula>
    </cfRule>
  </conditionalFormatting>
  <conditionalFormatting sqref="U42:W42">
    <cfRule type="expression" dxfId="1546" priority="165">
      <formula>IF(XDI$29="NO",TRUE,FALSE)</formula>
    </cfRule>
  </conditionalFormatting>
  <conditionalFormatting sqref="U48:W48">
    <cfRule type="expression" dxfId="1545" priority="164">
      <formula>IF(XDI$29="NO",TRUE,FALSE)</formula>
    </cfRule>
  </conditionalFormatting>
  <conditionalFormatting sqref="U46:W46">
    <cfRule type="expression" dxfId="1544" priority="163">
      <formula>IF(XDI$29="NO",TRUE,FALSE)</formula>
    </cfRule>
  </conditionalFormatting>
  <conditionalFormatting sqref="U46:W46">
    <cfRule type="expression" dxfId="1543" priority="162">
      <formula>IF(XDI$29="NO",TRUE,FALSE)</formula>
    </cfRule>
  </conditionalFormatting>
  <conditionalFormatting sqref="U52:W52">
    <cfRule type="expression" dxfId="1542" priority="161">
      <formula>IF(XDI$29="NO",TRUE,FALSE)</formula>
    </cfRule>
  </conditionalFormatting>
  <conditionalFormatting sqref="U50:W50">
    <cfRule type="expression" dxfId="1541" priority="160">
      <formula>IF(XDI$29="NO",TRUE,FALSE)</formula>
    </cfRule>
  </conditionalFormatting>
  <conditionalFormatting sqref="U50:W50">
    <cfRule type="expression" dxfId="1540" priority="159">
      <formula>IF(XDI$29="NO",TRUE,FALSE)</formula>
    </cfRule>
  </conditionalFormatting>
  <conditionalFormatting sqref="U56:W56">
    <cfRule type="expression" dxfId="1539" priority="158">
      <formula>IF(XDI$29="NO",TRUE,FALSE)</formula>
    </cfRule>
  </conditionalFormatting>
  <conditionalFormatting sqref="U54:W54">
    <cfRule type="expression" dxfId="1538" priority="157">
      <formula>IF(XDI$29="NO",TRUE,FALSE)</formula>
    </cfRule>
  </conditionalFormatting>
  <conditionalFormatting sqref="U54:W54">
    <cfRule type="expression" dxfId="1537" priority="156">
      <formula>IF(XDI$29="NO",TRUE,FALSE)</formula>
    </cfRule>
  </conditionalFormatting>
  <conditionalFormatting sqref="U60:W60">
    <cfRule type="expression" dxfId="1536" priority="155">
      <formula>IF(XDI$29="NO",TRUE,FALSE)</formula>
    </cfRule>
  </conditionalFormatting>
  <conditionalFormatting sqref="U58:W58">
    <cfRule type="expression" dxfId="1535" priority="154">
      <formula>IF(XDI$29="NO",TRUE,FALSE)</formula>
    </cfRule>
  </conditionalFormatting>
  <conditionalFormatting sqref="U58:W58">
    <cfRule type="expression" dxfId="1534" priority="153">
      <formula>IF(XDI$29="NO",TRUE,FALSE)</formula>
    </cfRule>
  </conditionalFormatting>
  <conditionalFormatting sqref="U64:W64">
    <cfRule type="expression" dxfId="1533" priority="152">
      <formula>IF(XDI$29="NO",TRUE,FALSE)</formula>
    </cfRule>
  </conditionalFormatting>
  <conditionalFormatting sqref="U62:W62">
    <cfRule type="expression" dxfId="1532" priority="151">
      <formula>IF(XDI$29="NO",TRUE,FALSE)</formula>
    </cfRule>
  </conditionalFormatting>
  <conditionalFormatting sqref="U62:W62">
    <cfRule type="expression" dxfId="1531" priority="150">
      <formula>IF(XDI$29="NO",TRUE,FALSE)</formula>
    </cfRule>
  </conditionalFormatting>
  <conditionalFormatting sqref="U68:W68">
    <cfRule type="expression" dxfId="1530" priority="149">
      <formula>IF(XDI$29="NO",TRUE,FALSE)</formula>
    </cfRule>
  </conditionalFormatting>
  <conditionalFormatting sqref="AF33">
    <cfRule type="expression" dxfId="1529" priority="148">
      <formula>IF(AF$29="NO",TRUE,FALSE)</formula>
    </cfRule>
  </conditionalFormatting>
  <conditionalFormatting sqref="AF48">
    <cfRule type="expression" dxfId="1528" priority="147">
      <formula>IF(XDU$29="NO",TRUE,FALSE)</formula>
    </cfRule>
  </conditionalFormatting>
  <conditionalFormatting sqref="AF46">
    <cfRule type="expression" dxfId="1527" priority="146">
      <formula>IF(XDU$29="NO",TRUE,FALSE)</formula>
    </cfRule>
  </conditionalFormatting>
  <conditionalFormatting sqref="AF46">
    <cfRule type="expression" dxfId="1526" priority="145">
      <formula>IF(XDU$29="NO",TRUE,FALSE)</formula>
    </cfRule>
  </conditionalFormatting>
  <conditionalFormatting sqref="AF50">
    <cfRule type="expression" dxfId="1525" priority="144">
      <formula>IF(XDU$29="NO",TRUE,FALSE)</formula>
    </cfRule>
  </conditionalFormatting>
  <conditionalFormatting sqref="AF50">
    <cfRule type="expression" dxfId="1524" priority="143">
      <formula>IF(XDU$29="NO",TRUE,FALSE)</formula>
    </cfRule>
  </conditionalFormatting>
  <conditionalFormatting sqref="AF54">
    <cfRule type="expression" dxfId="1523" priority="142">
      <formula>IF(XDU$29="NO",TRUE,FALSE)</formula>
    </cfRule>
  </conditionalFormatting>
  <conditionalFormatting sqref="AF54">
    <cfRule type="expression" dxfId="1522" priority="141">
      <formula>IF(XDU$29="NO",TRUE,FALSE)</formula>
    </cfRule>
  </conditionalFormatting>
  <conditionalFormatting sqref="AF58">
    <cfRule type="expression" dxfId="1521" priority="140">
      <formula>IF(XDU$29="NO",TRUE,FALSE)</formula>
    </cfRule>
  </conditionalFormatting>
  <conditionalFormatting sqref="AF58">
    <cfRule type="expression" dxfId="1520" priority="139">
      <formula>IF(XDU$29="NO",TRUE,FALSE)</formula>
    </cfRule>
  </conditionalFormatting>
  <conditionalFormatting sqref="AF62">
    <cfRule type="expression" dxfId="1519" priority="138">
      <formula>IF(XDU$29="NO",TRUE,FALSE)</formula>
    </cfRule>
  </conditionalFormatting>
  <conditionalFormatting sqref="AF62">
    <cfRule type="expression" dxfId="1518" priority="137">
      <formula>IF(XDU$29="NO",TRUE,FALSE)</formula>
    </cfRule>
  </conditionalFormatting>
  <conditionalFormatting sqref="AF34">
    <cfRule type="expression" dxfId="1517" priority="136">
      <formula>IF(XDU$29="NO",TRUE,FALSE)</formula>
    </cfRule>
  </conditionalFormatting>
  <conditionalFormatting sqref="AF34">
    <cfRule type="expression" dxfId="1516" priority="135">
      <formula>IF(XDU$29="NO",TRUE,FALSE)</formula>
    </cfRule>
  </conditionalFormatting>
  <conditionalFormatting sqref="AF38">
    <cfRule type="expression" dxfId="1515" priority="134">
      <formula>IF(XDU$29="NO",TRUE,FALSE)</formula>
    </cfRule>
  </conditionalFormatting>
  <conditionalFormatting sqref="AF38">
    <cfRule type="expression" dxfId="1514" priority="133">
      <formula>IF(XDU$29="NO",TRUE,FALSE)</formula>
    </cfRule>
  </conditionalFormatting>
  <conditionalFormatting sqref="AF42">
    <cfRule type="expression" dxfId="1513" priority="132">
      <formula>IF(XDU$29="NO",TRUE,FALSE)</formula>
    </cfRule>
  </conditionalFormatting>
  <conditionalFormatting sqref="AF42">
    <cfRule type="expression" dxfId="1512" priority="131">
      <formula>IF(XDU$29="NO",TRUE,FALSE)</formula>
    </cfRule>
  </conditionalFormatting>
  <conditionalFormatting sqref="AF68">
    <cfRule type="expression" dxfId="1511" priority="130">
      <formula>IF(XDU$29="NO",TRUE,FALSE)</formula>
    </cfRule>
  </conditionalFormatting>
  <conditionalFormatting sqref="AE66">
    <cfRule type="expression" dxfId="1510" priority="126">
      <formula>IF(XDT$29="NO",TRUE,FALSE)</formula>
    </cfRule>
  </conditionalFormatting>
  <conditionalFormatting sqref="Y66:AA66">
    <cfRule type="expression" dxfId="1509" priority="129">
      <formula>IF(XDN$29="NO",TRUE,FALSE)</formula>
    </cfRule>
  </conditionalFormatting>
  <conditionalFormatting sqref="AC66">
    <cfRule type="expression" dxfId="1508" priority="128">
      <formula>IF(XDR$29="NO",TRUE,FALSE)</formula>
    </cfRule>
  </conditionalFormatting>
  <conditionalFormatting sqref="AD66">
    <cfRule type="expression" dxfId="1507" priority="127">
      <formula>IF(XDS$29="NO",TRUE,FALSE)</formula>
    </cfRule>
  </conditionalFormatting>
  <conditionalFormatting sqref="Y66:AA66">
    <cfRule type="expression" dxfId="1506" priority="125">
      <formula>IF(XDN$29="NO",TRUE,FALSE)</formula>
    </cfRule>
  </conditionalFormatting>
  <conditionalFormatting sqref="AC66">
    <cfRule type="expression" dxfId="1505" priority="124">
      <formula>IF(XDR$29="NO",TRUE,FALSE)</formula>
    </cfRule>
  </conditionalFormatting>
  <conditionalFormatting sqref="AD66">
    <cfRule type="expression" dxfId="1504" priority="123">
      <formula>IF(XDS$29="NO",TRUE,FALSE)</formula>
    </cfRule>
  </conditionalFormatting>
  <conditionalFormatting sqref="AE66">
    <cfRule type="expression" dxfId="1503" priority="122">
      <formula>IF(XDT$29="NO",TRUE,FALSE)</formula>
    </cfRule>
  </conditionalFormatting>
  <conditionalFormatting sqref="Q66:S66">
    <cfRule type="expression" dxfId="1502" priority="121">
      <formula>IF(XDD$29="NO",TRUE,FALSE)</formula>
    </cfRule>
  </conditionalFormatting>
  <conditionalFormatting sqref="Q66:S66">
    <cfRule type="expression" dxfId="1501" priority="120">
      <formula>IF(XDD$29="NO",TRUE,FALSE)</formula>
    </cfRule>
  </conditionalFormatting>
  <conditionalFormatting sqref="U66:W66">
    <cfRule type="expression" dxfId="1500" priority="104">
      <formula>IF(XDI$29="NO",TRUE,FALSE)</formula>
    </cfRule>
  </conditionalFormatting>
  <conditionalFormatting sqref="U66:W66">
    <cfRule type="expression" dxfId="1499" priority="103">
      <formula>IF(XDI$29="NO",TRUE,FALSE)</formula>
    </cfRule>
  </conditionalFormatting>
  <conditionalFormatting sqref="AF66">
    <cfRule type="expression" dxfId="1498" priority="102">
      <formula>IF(XDU$29="NO",TRUE,FALSE)</formula>
    </cfRule>
  </conditionalFormatting>
  <conditionalFormatting sqref="AF66">
    <cfRule type="expression" dxfId="1497" priority="101">
      <formula>IF(XDU$29="NO",TRUE,FALSE)</formula>
    </cfRule>
  </conditionalFormatting>
  <conditionalFormatting sqref="AE70">
    <cfRule type="expression" dxfId="1496" priority="97">
      <formula>IF(XDT$29="NO",TRUE,FALSE)</formula>
    </cfRule>
  </conditionalFormatting>
  <conditionalFormatting sqref="Y70:AA70">
    <cfRule type="expression" dxfId="1495" priority="100">
      <formula>IF(XDN$29="NO",TRUE,FALSE)</formula>
    </cfRule>
  </conditionalFormatting>
  <conditionalFormatting sqref="AC70">
    <cfRule type="expression" dxfId="1494" priority="99">
      <formula>IF(XDR$29="NO",TRUE,FALSE)</formula>
    </cfRule>
  </conditionalFormatting>
  <conditionalFormatting sqref="AD70">
    <cfRule type="expression" dxfId="1493" priority="98">
      <formula>IF(XDS$29="NO",TRUE,FALSE)</formula>
    </cfRule>
  </conditionalFormatting>
  <conditionalFormatting sqref="Y70:AA70">
    <cfRule type="expression" dxfId="1492" priority="96">
      <formula>IF(XDN$29="NO",TRUE,FALSE)</formula>
    </cfRule>
  </conditionalFormatting>
  <conditionalFormatting sqref="AC70">
    <cfRule type="expression" dxfId="1491" priority="95">
      <formula>IF(XDR$29="NO",TRUE,FALSE)</formula>
    </cfRule>
  </conditionalFormatting>
  <conditionalFormatting sqref="AD70">
    <cfRule type="expression" dxfId="1490" priority="94">
      <formula>IF(XDS$29="NO",TRUE,FALSE)</formula>
    </cfRule>
  </conditionalFormatting>
  <conditionalFormatting sqref="AE70">
    <cfRule type="expression" dxfId="1489" priority="93">
      <formula>IF(XDT$29="NO",TRUE,FALSE)</formula>
    </cfRule>
  </conditionalFormatting>
  <conditionalFormatting sqref="Q70:S70">
    <cfRule type="expression" dxfId="1488" priority="92">
      <formula>IF(XDD$29="NO",TRUE,FALSE)</formula>
    </cfRule>
  </conditionalFormatting>
  <conditionalFormatting sqref="Q70:S70">
    <cfRule type="expression" dxfId="1487" priority="91">
      <formula>IF(XDD$29="NO",TRUE,FALSE)</formula>
    </cfRule>
  </conditionalFormatting>
  <conditionalFormatting sqref="U70:W70">
    <cfRule type="expression" dxfId="1486" priority="75">
      <formula>IF(XDI$29="NO",TRUE,FALSE)</formula>
    </cfRule>
  </conditionalFormatting>
  <conditionalFormatting sqref="U70:W70">
    <cfRule type="expression" dxfId="1485" priority="74">
      <formula>IF(XDI$29="NO",TRUE,FALSE)</formula>
    </cfRule>
  </conditionalFormatting>
  <conditionalFormatting sqref="AF70">
    <cfRule type="expression" dxfId="1484" priority="73">
      <formula>IF(XDU$29="NO",TRUE,FALSE)</formula>
    </cfRule>
  </conditionalFormatting>
  <conditionalFormatting sqref="AF70">
    <cfRule type="expression" dxfId="1483" priority="72">
      <formula>IF(XDU$29="NO",TRUE,FALSE)</formula>
    </cfRule>
  </conditionalFormatting>
  <conditionalFormatting sqref="AS13">
    <cfRule type="cellIs" dxfId="1482" priority="70" operator="notEqual">
      <formula>"ok"</formula>
    </cfRule>
    <cfRule type="cellIs" dxfId="1481" priority="71" operator="equal">
      <formula>"ok"</formula>
    </cfRule>
  </conditionalFormatting>
  <conditionalFormatting sqref="AT13">
    <cfRule type="cellIs" dxfId="1480" priority="68" operator="notEqual">
      <formula>"ok"</formula>
    </cfRule>
    <cfRule type="cellIs" dxfId="1479" priority="69" operator="equal">
      <formula>"ok"</formula>
    </cfRule>
  </conditionalFormatting>
  <conditionalFormatting sqref="AU13">
    <cfRule type="cellIs" dxfId="1478" priority="66" operator="notEqual">
      <formula>"ok"</formula>
    </cfRule>
    <cfRule type="cellIs" dxfId="1477" priority="67" operator="equal">
      <formula>"ok"</formula>
    </cfRule>
  </conditionalFormatting>
  <conditionalFormatting sqref="AV16">
    <cfRule type="cellIs" dxfId="1476" priority="64" operator="notEqual">
      <formula>"ok"</formula>
    </cfRule>
    <cfRule type="cellIs" dxfId="1475" priority="65" operator="equal">
      <formula>"ok"</formula>
    </cfRule>
  </conditionalFormatting>
  <conditionalFormatting sqref="AV19">
    <cfRule type="cellIs" dxfId="1474" priority="59" operator="equal">
      <formula>"ok"</formula>
    </cfRule>
    <cfRule type="cellIs" dxfId="1473" priority="60" stopIfTrue="1" operator="equal">
      <formula>"check"</formula>
    </cfRule>
    <cfRule type="cellIs" dxfId="1472" priority="61" operator="notEqual">
      <formula>"ok"</formula>
    </cfRule>
  </conditionalFormatting>
  <conditionalFormatting sqref="AV17">
    <cfRule type="cellIs" dxfId="1471" priority="56" operator="equal">
      <formula>"ok"</formula>
    </cfRule>
    <cfRule type="cellIs" dxfId="1470" priority="57" stopIfTrue="1" operator="equal">
      <formula>"check"</formula>
    </cfRule>
    <cfRule type="cellIs" dxfId="1469" priority="58" operator="notEqual">
      <formula>"ok"</formula>
    </cfRule>
  </conditionalFormatting>
  <conditionalFormatting sqref="Q40:S40">
    <cfRule type="expression" dxfId="1468" priority="49">
      <formula>IF(XDD$29="NO",TRUE,FALSE)</formula>
    </cfRule>
  </conditionalFormatting>
  <conditionalFormatting sqref="Q38:S38">
    <cfRule type="expression" dxfId="1467" priority="48">
      <formula>IF(XDD$29="NO",TRUE,FALSE)</formula>
    </cfRule>
  </conditionalFormatting>
  <conditionalFormatting sqref="Q38:S38">
    <cfRule type="expression" dxfId="1466" priority="47">
      <formula>IF(XDD$29="NO",TRUE,FALSE)</formula>
    </cfRule>
  </conditionalFormatting>
  <conditionalFormatting sqref="Q44:S44">
    <cfRule type="expression" dxfId="1465" priority="46">
      <formula>IF(XDD$29="NO",TRUE,FALSE)</formula>
    </cfRule>
  </conditionalFormatting>
  <conditionalFormatting sqref="Q42:S42">
    <cfRule type="expression" dxfId="1464" priority="45">
      <formula>IF(XDD$29="NO",TRUE,FALSE)</formula>
    </cfRule>
  </conditionalFormatting>
  <conditionalFormatting sqref="Q42:S42">
    <cfRule type="expression" dxfId="1463" priority="44">
      <formula>IF(XDD$29="NO",TRUE,FALSE)</formula>
    </cfRule>
  </conditionalFormatting>
  <conditionalFormatting sqref="Q44:S44">
    <cfRule type="expression" dxfId="1462" priority="43">
      <formula>IF(XDD$29="NO",TRUE,FALSE)</formula>
    </cfRule>
  </conditionalFormatting>
  <conditionalFormatting sqref="Q42:S42">
    <cfRule type="expression" dxfId="1461" priority="42">
      <formula>IF(XDD$29="NO",TRUE,FALSE)</formula>
    </cfRule>
  </conditionalFormatting>
  <conditionalFormatting sqref="Q42:S42">
    <cfRule type="expression" dxfId="1460" priority="41">
      <formula>IF(XDD$29="NO",TRUE,FALSE)</formula>
    </cfRule>
  </conditionalFormatting>
  <conditionalFormatting sqref="Q48:S48">
    <cfRule type="expression" dxfId="1459" priority="40">
      <formula>IF(XDD$29="NO",TRUE,FALSE)</formula>
    </cfRule>
  </conditionalFormatting>
  <conditionalFormatting sqref="Q46:S46">
    <cfRule type="expression" dxfId="1458" priority="39">
      <formula>IF(XDD$29="NO",TRUE,FALSE)</formula>
    </cfRule>
  </conditionalFormatting>
  <conditionalFormatting sqref="Q46:S46">
    <cfRule type="expression" dxfId="1457" priority="38">
      <formula>IF(XDD$29="NO",TRUE,FALSE)</formula>
    </cfRule>
  </conditionalFormatting>
  <conditionalFormatting sqref="Q52:S52">
    <cfRule type="expression" dxfId="1456" priority="37">
      <formula>IF(XDD$29="NO",TRUE,FALSE)</formula>
    </cfRule>
  </conditionalFormatting>
  <conditionalFormatting sqref="Q50:S50">
    <cfRule type="expression" dxfId="1455" priority="36">
      <formula>IF(XDD$29="NO",TRUE,FALSE)</formula>
    </cfRule>
  </conditionalFormatting>
  <conditionalFormatting sqref="Q50:S50">
    <cfRule type="expression" dxfId="1454" priority="35">
      <formula>IF(XDD$29="NO",TRUE,FALSE)</formula>
    </cfRule>
  </conditionalFormatting>
  <conditionalFormatting sqref="Q44:S44">
    <cfRule type="expression" dxfId="1453" priority="34">
      <formula>IF(XDD$29="NO",TRUE,FALSE)</formula>
    </cfRule>
  </conditionalFormatting>
  <conditionalFormatting sqref="Q42:S42">
    <cfRule type="expression" dxfId="1452" priority="33">
      <formula>IF(XDD$29="NO",TRUE,FALSE)</formula>
    </cfRule>
  </conditionalFormatting>
  <conditionalFormatting sqref="Q42:S42">
    <cfRule type="expression" dxfId="1451" priority="32">
      <formula>IF(XDD$29="NO",TRUE,FALSE)</formula>
    </cfRule>
  </conditionalFormatting>
  <conditionalFormatting sqref="Q48:S48">
    <cfRule type="expression" dxfId="1450" priority="31">
      <formula>IF(XDD$29="NO",TRUE,FALSE)</formula>
    </cfRule>
  </conditionalFormatting>
  <conditionalFormatting sqref="Q46:S46">
    <cfRule type="expression" dxfId="1449" priority="30">
      <formula>IF(XDD$29="NO",TRUE,FALSE)</formula>
    </cfRule>
  </conditionalFormatting>
  <conditionalFormatting sqref="Q46:S46">
    <cfRule type="expression" dxfId="1448" priority="29">
      <formula>IF(XDD$29="NO",TRUE,FALSE)</formula>
    </cfRule>
  </conditionalFormatting>
  <conditionalFormatting sqref="Q50:S50">
    <cfRule type="expression" dxfId="1447" priority="28">
      <formula>IF(XDD$29="NO",TRUE,FALSE)</formula>
    </cfRule>
  </conditionalFormatting>
  <conditionalFormatting sqref="Q50:S50">
    <cfRule type="expression" dxfId="1446" priority="27">
      <formula>IF(XDD$29="NO",TRUE,FALSE)</formula>
    </cfRule>
  </conditionalFormatting>
  <conditionalFormatting sqref="Q50:S50">
    <cfRule type="expression" dxfId="1445" priority="26">
      <formula>IF(XDD$29="NO",TRUE,FALSE)</formula>
    </cfRule>
  </conditionalFormatting>
  <conditionalFormatting sqref="Q50:S50">
    <cfRule type="expression" dxfId="1444" priority="25">
      <formula>IF(XDD$29="NO",TRUE,FALSE)</formula>
    </cfRule>
  </conditionalFormatting>
  <conditionalFormatting sqref="Q56:S56">
    <cfRule type="expression" dxfId="1443" priority="24">
      <formula>IF(XDD$29="NO",TRUE,FALSE)</formula>
    </cfRule>
  </conditionalFormatting>
  <conditionalFormatting sqref="Q54:S54">
    <cfRule type="expression" dxfId="1442" priority="23">
      <formula>IF(XDD$29="NO",TRUE,FALSE)</formula>
    </cfRule>
  </conditionalFormatting>
  <conditionalFormatting sqref="Q54:S54">
    <cfRule type="expression" dxfId="1441" priority="22">
      <formula>IF(XDD$29="NO",TRUE,FALSE)</formula>
    </cfRule>
  </conditionalFormatting>
  <conditionalFormatting sqref="Q60:S60">
    <cfRule type="expression" dxfId="1440" priority="21">
      <formula>IF(XDD$29="NO",TRUE,FALSE)</formula>
    </cfRule>
  </conditionalFormatting>
  <conditionalFormatting sqref="Q58:S58">
    <cfRule type="expression" dxfId="1439" priority="20">
      <formula>IF(XDD$29="NO",TRUE,FALSE)</formula>
    </cfRule>
  </conditionalFormatting>
  <conditionalFormatting sqref="Q58:S58">
    <cfRule type="expression" dxfId="1438" priority="19">
      <formula>IF(XDD$29="NO",TRUE,FALSE)</formula>
    </cfRule>
  </conditionalFormatting>
  <conditionalFormatting sqref="Q62:S62">
    <cfRule type="expression" dxfId="1437" priority="18">
      <formula>IF(XDD$29="NO",TRUE,FALSE)</formula>
    </cfRule>
  </conditionalFormatting>
  <conditionalFormatting sqref="Q62:S62">
    <cfRule type="expression" dxfId="1436" priority="17">
      <formula>IF(XDD$29="NO",TRUE,FALSE)</formula>
    </cfRule>
  </conditionalFormatting>
  <conditionalFormatting sqref="Q62:S62">
    <cfRule type="expression" dxfId="1435" priority="16">
      <formula>IF(XDD$29="NO",TRUE,FALSE)</formula>
    </cfRule>
  </conditionalFormatting>
  <conditionalFormatting sqref="Q62:S62">
    <cfRule type="expression" dxfId="1434" priority="15">
      <formula>IF(XDD$29="NO",TRUE,FALSE)</formula>
    </cfRule>
  </conditionalFormatting>
  <conditionalFormatting sqref="Q62:S62">
    <cfRule type="expression" dxfId="1433" priority="14">
      <formula>IF(XDD$29="NO",TRUE,FALSE)</formula>
    </cfRule>
  </conditionalFormatting>
  <conditionalFormatting sqref="Q62:S62">
    <cfRule type="expression" dxfId="1432" priority="13">
      <formula>IF(XDD$29="NO",TRUE,FALSE)</formula>
    </cfRule>
  </conditionalFormatting>
  <conditionalFormatting sqref="Q64:S64">
    <cfRule type="expression" dxfId="1431" priority="12">
      <formula>IF(XDD$29="NO",TRUE,FALSE)</formula>
    </cfRule>
  </conditionalFormatting>
  <conditionalFormatting sqref="Q62:S62">
    <cfRule type="expression" dxfId="1430" priority="11">
      <formula>IF(XDD$29="NO",TRUE,FALSE)</formula>
    </cfRule>
  </conditionalFormatting>
  <conditionalFormatting sqref="Q62:S62">
    <cfRule type="expression" dxfId="1429" priority="10">
      <formula>IF(XDD$29="NO",TRUE,FALSE)</formula>
    </cfRule>
  </conditionalFormatting>
  <conditionalFormatting sqref="Q68:S68">
    <cfRule type="expression" dxfId="1428" priority="9">
      <formula>IF(XDD$29="NO",TRUE,FALSE)</formula>
    </cfRule>
  </conditionalFormatting>
  <conditionalFormatting sqref="Q66:S66">
    <cfRule type="expression" dxfId="1427" priority="8">
      <formula>IF(XDD$29="NO",TRUE,FALSE)</formula>
    </cfRule>
  </conditionalFormatting>
  <conditionalFormatting sqref="Q66:S66">
    <cfRule type="expression" dxfId="1426" priority="7">
      <formula>IF(XDD$29="NO",TRUE,FALSE)</formula>
    </cfRule>
  </conditionalFormatting>
  <conditionalFormatting sqref="Q70:S70">
    <cfRule type="expression" dxfId="1425" priority="6">
      <formula>IF(XDD$29="NO",TRUE,FALSE)</formula>
    </cfRule>
  </conditionalFormatting>
  <conditionalFormatting sqref="Q70:S70">
    <cfRule type="expression" dxfId="1424" priority="5">
      <formula>IF(XDD$29="NO",TRUE,FALSE)</formula>
    </cfRule>
  </conditionalFormatting>
  <conditionalFormatting sqref="Q70:S70">
    <cfRule type="expression" dxfId="1423" priority="4">
      <formula>IF(XDD$29="NO",TRUE,FALSE)</formula>
    </cfRule>
  </conditionalFormatting>
  <conditionalFormatting sqref="Q70:S70">
    <cfRule type="expression" dxfId="1422" priority="3">
      <formula>IF(XDD$29="NO",TRUE,FALSE)</formula>
    </cfRule>
  </conditionalFormatting>
  <conditionalFormatting sqref="Q70:S70">
    <cfRule type="expression" dxfId="1421" priority="2">
      <formula>IF(XDD$29="NO",TRUE,FALSE)</formula>
    </cfRule>
  </conditionalFormatting>
  <conditionalFormatting sqref="Q70:S70">
    <cfRule type="expression" dxfId="1420" priority="1">
      <formula>IF(XDD$29="NO",TRUE,FALSE)</formula>
    </cfRule>
  </conditionalFormatting>
  <dataValidations disablePrompts="1" count="2">
    <dataValidation type="list" allowBlank="1" showInputMessage="1" showErrorMessage="1" sqref="U29:W29 AC29:AF29 Q29:S29 F29:O29" xr:uid="{00000000-0002-0000-09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9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4" r:id="rId4" name="Button 4">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07526" r:id="rId5" name="Button 6">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07528" r:id="rId6" name="Button 8">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07529" r:id="rId7" name="Button 9">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07530" r:id="rId8" name="Button 10">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07531" r:id="rId9" name="Button 11">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07533" r:id="rId10" name="Button 13">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07536" r:id="rId11" name="Button 16">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FF99"/>
    <pageSetUpPr fitToPage="1"/>
  </sheetPr>
  <dimension ref="A1:BM73"/>
  <sheetViews>
    <sheetView showGridLines="0" topLeftCell="C1" zoomScale="60" zoomScaleNormal="60" zoomScaleSheetLayoutView="55" workbookViewId="0">
      <selection activeCell="O43" sqref="O43"/>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15.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1</v>
      </c>
      <c r="G11" s="565" t="str">
        <f>INDEX(Input!$1:$1048576,2,$F$11*2+6)&amp;" ("&amp;INDEX(Input!$1:$1048576,11,$F$11*2+6)&amp;")"</f>
        <v>MY20 Kia Soul (Kia-LR - L1)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44"/>
      <c r="AK11" s="744"/>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44"/>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44"/>
      <c r="AN12" s="731"/>
      <c r="AO12" s="721"/>
      <c r="AP12" s="721"/>
      <c r="AQ12" s="732"/>
      <c r="AR12" s="746"/>
      <c r="AS12" s="735" t="s">
        <v>328</v>
      </c>
      <c r="AT12" s="735" t="s">
        <v>329</v>
      </c>
      <c r="AU12" s="735" t="s">
        <v>330</v>
      </c>
      <c r="AV12" s="736"/>
      <c r="AW12" s="737" t="s">
        <v>773</v>
      </c>
      <c r="BA12" s="389"/>
      <c r="BC12" s="744"/>
      <c r="BD12" s="744"/>
      <c r="BE12" s="744"/>
      <c r="BF12" s="744"/>
      <c r="BG12" s="744"/>
      <c r="BH12" s="744"/>
      <c r="BI12" s="744"/>
      <c r="BJ12" s="744"/>
      <c r="BK12" s="744"/>
      <c r="BL12" s="744"/>
    </row>
    <row r="13" spans="1:64" ht="15.75" customHeight="1" thickBot="1">
      <c r="A13" s="389" t="str">
        <f>ROUND(INDEX(DSS_Calc!KA:KA,MATCH($F$11*1000+6,DSS_Calc!A:A,0)),2)&amp;" (Scen 6)"</f>
        <v>2.93 (Scen 6)</v>
      </c>
      <c r="B13" s="275"/>
      <c r="D13" s="1135" t="s">
        <v>347</v>
      </c>
      <c r="E13" s="1135"/>
      <c r="F13" s="1135"/>
      <c r="G13" s="1135"/>
      <c r="H13" s="1135"/>
      <c r="I13" s="1135"/>
      <c r="J13" s="1135"/>
      <c r="K13" s="1135"/>
      <c r="L13" s="113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744"/>
      <c r="AK13" s="744"/>
      <c r="AL13" s="235"/>
      <c r="AM13" s="235"/>
      <c r="AN13" s="1133" t="s">
        <v>772</v>
      </c>
      <c r="AO13" s="1134"/>
      <c r="AP13" s="1134"/>
      <c r="AQ13" s="1134"/>
      <c r="AR13" s="113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44"/>
      <c r="B14" s="744"/>
      <c r="D14" s="744"/>
      <c r="E14" s="744"/>
      <c r="F14" s="744"/>
      <c r="G14" s="744"/>
      <c r="H14" s="744"/>
      <c r="I14" s="744"/>
      <c r="J14" s="744"/>
      <c r="K14" s="744"/>
      <c r="L14" s="744"/>
      <c r="M14" s="744"/>
      <c r="N14" s="744"/>
      <c r="O14" s="744"/>
      <c r="P14" s="744"/>
      <c r="Q14" s="744"/>
      <c r="R14" s="744"/>
      <c r="S14" s="744"/>
      <c r="T14" s="744"/>
      <c r="U14" s="744"/>
      <c r="V14" s="744"/>
      <c r="W14" s="744"/>
      <c r="X14" s="744"/>
      <c r="Y14" s="744"/>
      <c r="Z14" s="744"/>
      <c r="AA14" s="744"/>
      <c r="AB14" s="744"/>
      <c r="AC14" s="744"/>
      <c r="AD14" s="744"/>
      <c r="AE14" s="744"/>
      <c r="AF14" s="744"/>
      <c r="AG14" s="744"/>
      <c r="AH14" s="744"/>
      <c r="AI14" s="744"/>
      <c r="AJ14" s="744"/>
      <c r="AK14" s="744"/>
      <c r="AL14" s="235"/>
      <c r="AM14" s="235"/>
      <c r="AN14" s="1129" t="str">
        <f>"Scen. # to check price sensitivity order vs #"&amp;INDEX(DSS_Calc!KN:KN,MATCH(F11*1000+1,DSS_Calc!A:A,0))</f>
        <v>Scen. # to check price sensitivity order vs #1002</v>
      </c>
      <c r="AO14" s="1130"/>
      <c r="AP14" s="1130"/>
      <c r="AQ14" s="1130"/>
      <c r="AR14" s="1130"/>
      <c r="AS14" s="716">
        <v>10</v>
      </c>
      <c r="AT14" s="716">
        <v>14</v>
      </c>
      <c r="AU14" s="716">
        <v>18</v>
      </c>
      <c r="AV14" s="715"/>
      <c r="AW14" s="717"/>
      <c r="AX14" s="235"/>
      <c r="AY14" s="235"/>
      <c r="BA14" s="744"/>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44"/>
      <c r="AK15" s="744"/>
      <c r="AL15" s="235"/>
      <c r="AM15" s="235"/>
      <c r="AN15" s="1131" t="s">
        <v>781</v>
      </c>
      <c r="AO15" s="1132"/>
      <c r="AP15" s="1132"/>
      <c r="AQ15" s="1132"/>
      <c r="AR15" s="1132"/>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44"/>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44"/>
      <c r="AK16" s="744"/>
      <c r="AL16" s="235"/>
      <c r="AM16" s="235"/>
      <c r="AN16" s="1127" t="str">
        <f>"Implied Elast w/o Take Rate Shifts vs #"&amp;INDEX(DSS_Calc!KN:KN,MATCH(F11*1000+1,DSS_Calc!A:A,0))</f>
        <v>Implied Elast w/o Take Rate Shifts vs #1002</v>
      </c>
      <c r="AO16" s="1128"/>
      <c r="AP16" s="1128"/>
      <c r="AQ16" s="1128"/>
      <c r="AR16" s="1128"/>
      <c r="AS16" s="722">
        <f>INDEX(DSS_Calc!$KR:$KR,MATCH($F$11*1000+AS14,DSS_Calc!$A:$A,0))</f>
        <v>2.2243194539015358</v>
      </c>
      <c r="AT16" s="722">
        <f>INDEX(DSS_Calc!$KR:$KR,MATCH($F$11*1000+AT14,DSS_Calc!$A:$A,0))</f>
        <v>2.7664236863451079</v>
      </c>
      <c r="AU16" s="722">
        <f>INDEX(DSS_Calc!$KR:$KR,MATCH($F$11*1000+AU14,DSS_Calc!$A:$A,0))</f>
        <v>3.3431283494727069</v>
      </c>
      <c r="AV16" s="746" t="str">
        <f>IF(AND(AS16&lt;AT16,AT16&lt;AU16,AS16&lt;AW16),"ok","error in order")</f>
        <v>ok</v>
      </c>
      <c r="AW16" s="723">
        <f>ROUND(INDEX(DSS_Calc!KA:KA,MATCH($F$11*1000+6,DSS_Calc!A:A,0)),2)</f>
        <v>2.93</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44"/>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44"/>
      <c r="AK17" s="744"/>
      <c r="AL17" s="235"/>
      <c r="AM17" s="235"/>
      <c r="AN17" s="1129" t="s">
        <v>877</v>
      </c>
      <c r="AO17" s="1130"/>
      <c r="AP17" s="1130"/>
      <c r="AQ17" s="1130"/>
      <c r="AR17" s="1130"/>
      <c r="AS17" s="725">
        <f>INDEX(DSS_Calc!IE:IE,MATCH($F$11*1000+2,DSS_Calc!$A:$A,0))-INDEX(DSS_Calc!IE:IE,MATCH($F$11*1000+1,DSS_Calc!$A:$A,0))</f>
        <v>1.0989206031178644E-3</v>
      </c>
      <c r="AT17" s="725">
        <f>INDEX(DSS_Calc!IF:IF,MATCH($F$11*1000+2,DSS_Calc!$A:$A,0))-INDEX(DSS_Calc!IF:IF,MATCH($F$11*1000+1,DSS_Calc!$A:$A,0))</f>
        <v>-1.3965973316143465E-4</v>
      </c>
      <c r="AU17" s="725">
        <f>INDEX(DSS_Calc!IG:IG,MATCH($F$11*1000+2,DSS_Calc!$A:$A,0))-INDEX(DSS_Calc!IG:IG,MATCH($F$11*1000+1,DSS_Calc!$A:$A,0))</f>
        <v>-9.5926086995634652E-4</v>
      </c>
      <c r="AV17" s="747"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44"/>
      <c r="AK18" s="744"/>
      <c r="AL18" s="235"/>
      <c r="AM18" s="235" t="s">
        <v>563</v>
      </c>
      <c r="AN18" s="1127" t="s">
        <v>771</v>
      </c>
      <c r="AO18" s="1128"/>
      <c r="AP18" s="1128"/>
      <c r="AQ18" s="1128"/>
      <c r="AR18" s="1128"/>
      <c r="AS18" s="726">
        <f>INDEX(DSS_Calc!JA:JA,MATCH($F$11*1000+2,DSS_Calc!$A:$A,0))-INDEX(DSS_Calc!JA:JA,MATCH($F$11*1000+1,DSS_Calc!$A:$A,0))</f>
        <v>30.000000000000227</v>
      </c>
      <c r="AT18" s="726">
        <f>INDEX(DSS_Calc!JB:JB,MATCH($F$11*1000+2,DSS_Calc!$A:$A,0))-INDEX(DSS_Calc!JB:JB,MATCH($F$11*1000+1,DSS_Calc!$A:$A,0))</f>
        <v>30</v>
      </c>
      <c r="AU18" s="726">
        <f>INDEX(DSS_Calc!JC:JC,MATCH($F$11*1000+2,DSS_Calc!$A:$A,0))-INDEX(DSS_Calc!JC:JC,MATCH($F$11*1000+1,DSS_Calc!$A:$A,0))</f>
        <v>15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44"/>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44"/>
      <c r="AK19" s="744"/>
      <c r="AL19" s="669">
        <v>8</v>
      </c>
      <c r="AM19" s="116">
        <f>MIN(COUNTIFS(DSS_Calc!KV:KV,"&gt;0",DSS_Calc!C:C,F11),19)</f>
        <v>10</v>
      </c>
      <c r="AN19" s="1129" t="s">
        <v>881</v>
      </c>
      <c r="AO19" s="1130"/>
      <c r="AP19" s="1130"/>
      <c r="AQ19" s="1130"/>
      <c r="AR19" s="113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47"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44"/>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44"/>
      <c r="AK20" s="744"/>
      <c r="AL20" s="235"/>
      <c r="AM20" s="235"/>
      <c r="AN20" s="1131" t="s">
        <v>878</v>
      </c>
      <c r="AO20" s="1132"/>
      <c r="AP20" s="1132"/>
      <c r="AQ20" s="1132"/>
      <c r="AR20" s="1132"/>
      <c r="AS20" s="748" t="e">
        <f>IFERROR(INDEX($C:$C,MATCH(AS19,U:U,0)-1),INDEX($C:$C,MATCH(-AS19,U:U,0)-1))</f>
        <v>#N/A</v>
      </c>
      <c r="AT20" s="748" t="e">
        <f>IFERROR(INDEX($C:$C,MATCH(AT19,V:V,0)-1),INDEX($C:$C,MATCH(-AT19,V:V,0)-1))</f>
        <v>#N/A</v>
      </c>
      <c r="AU20" s="748" t="e">
        <f>IFERROR(INDEX($C:$C,MATCH(AU19,W:W,0)-1),INDEX($C:$C,MATCH(-AU19,W:W,0)-1))</f>
        <v>#N/A</v>
      </c>
      <c r="AV20" s="748"/>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44"/>
      <c r="AK21" s="744"/>
      <c r="AL21" s="669">
        <v>0</v>
      </c>
      <c r="AM21" s="235"/>
      <c r="AN21" s="1127" t="s">
        <v>879</v>
      </c>
      <c r="AO21" s="1128"/>
      <c r="AP21" s="1128"/>
      <c r="AQ21" s="1128"/>
      <c r="AR21" s="1128"/>
      <c r="AS21" s="729" t="e">
        <f>IFERROR(INDEX(Q:Q,MATCH(AS19,U:U,0)),INDEX(Q:Q,MATCH(-AS19,U:U,0)))</f>
        <v>#N/A</v>
      </c>
      <c r="AT21" s="729" t="e">
        <f>IFERROR(INDEX(R:R,MATCH(AT19,V:V,0)),INDEX(R:R,MATCH(-AT19,V:V,0)))</f>
        <v>#N/A</v>
      </c>
      <c r="AU21" s="729" t="e">
        <f>IFERROR(INDEX(S:S,MATCH(AU19,W:W,0)),INDEX(S:S,MATCH(-AU19,W:W,0)))</f>
        <v>#N/A</v>
      </c>
      <c r="AV21" s="746"/>
      <c r="AW21" s="723"/>
      <c r="AX21" s="235"/>
      <c r="AY21" s="235"/>
      <c r="BA21" s="275"/>
      <c r="BC21" s="231"/>
      <c r="BD21" s="231"/>
      <c r="BE21" s="231"/>
      <c r="BF21" s="231"/>
      <c r="BG21" s="231"/>
      <c r="BH21" s="231"/>
      <c r="BI21" s="231"/>
      <c r="BJ21" s="231"/>
      <c r="BK21" s="231"/>
      <c r="BL21" s="231"/>
    </row>
    <row r="22" spans="1:65" ht="15.75" customHeight="1">
      <c r="A22" s="275"/>
      <c r="B22" s="275"/>
      <c r="C22" s="231"/>
      <c r="D22" s="744"/>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44"/>
      <c r="AK22" s="744"/>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44"/>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44"/>
      <c r="AK23" s="744"/>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44"/>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44"/>
      <c r="AK24" s="744"/>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44"/>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44"/>
      <c r="AK25" s="744"/>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44"/>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44"/>
      <c r="AK26" s="744"/>
      <c r="AQ26" s="744"/>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24" t="s">
        <v>571</v>
      </c>
      <c r="B27" s="390"/>
      <c r="C27" s="1124" t="s">
        <v>572</v>
      </c>
      <c r="D27" s="745" t="s">
        <v>134</v>
      </c>
      <c r="F27" s="1125" t="s">
        <v>354</v>
      </c>
      <c r="G27" s="1125"/>
      <c r="H27" s="1125"/>
      <c r="I27" s="1125"/>
      <c r="J27" s="1125"/>
      <c r="K27" s="1125"/>
      <c r="L27" s="1125"/>
      <c r="M27" s="1125"/>
      <c r="N27" s="1125"/>
      <c r="O27" s="1125"/>
      <c r="P27" s="277"/>
      <c r="Q27" s="1125" t="s">
        <v>135</v>
      </c>
      <c r="R27" s="1125"/>
      <c r="S27" s="1125"/>
      <c r="T27" s="277"/>
      <c r="U27" s="1125" t="s">
        <v>136</v>
      </c>
      <c r="V27" s="1125"/>
      <c r="W27" s="1125"/>
      <c r="X27" s="277"/>
      <c r="Y27" s="1125" t="s">
        <v>137</v>
      </c>
      <c r="Z27" s="1125"/>
      <c r="AA27" s="1125"/>
      <c r="AB27" s="277"/>
      <c r="AC27" s="1125" t="s">
        <v>138</v>
      </c>
      <c r="AD27" s="1125"/>
      <c r="AE27" s="1125"/>
      <c r="AF27" s="1125"/>
      <c r="AG27" s="1125"/>
      <c r="AH27" s="1125"/>
      <c r="AI27" s="1125"/>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24"/>
      <c r="B28" s="279"/>
      <c r="C28" s="1124"/>
      <c r="D28" s="236"/>
      <c r="E28" s="392"/>
      <c r="F28" s="237" t="s">
        <v>330</v>
      </c>
      <c r="G28" s="238" t="s">
        <v>734</v>
      </c>
      <c r="H28" s="238" t="s">
        <v>39</v>
      </c>
      <c r="I28" s="237" t="s">
        <v>715</v>
      </c>
      <c r="J28" s="237" t="s">
        <v>139</v>
      </c>
      <c r="K28" s="237" t="s">
        <v>345</v>
      </c>
      <c r="L28" s="237" t="s">
        <v>345</v>
      </c>
      <c r="M28" s="237" t="s">
        <v>345</v>
      </c>
      <c r="N28" s="237" t="s">
        <v>735</v>
      </c>
      <c r="O28" s="237" t="s">
        <v>345</v>
      </c>
      <c r="P28" s="279"/>
      <c r="Q28" s="237" t="s">
        <v>330</v>
      </c>
      <c r="R28" s="237" t="s">
        <v>329</v>
      </c>
      <c r="S28" s="237" t="s">
        <v>328</v>
      </c>
      <c r="T28" s="279"/>
      <c r="U28" s="237" t="s">
        <v>330</v>
      </c>
      <c r="V28" s="237" t="s">
        <v>329</v>
      </c>
      <c r="W28" s="237" t="s">
        <v>328</v>
      </c>
      <c r="X28" s="279"/>
      <c r="Y28" s="237" t="str">
        <f>Q28</f>
        <v>Lease</v>
      </c>
      <c r="Z28" s="237" t="str">
        <f>R28</f>
        <v>Finance</v>
      </c>
      <c r="AA28" s="237" t="str">
        <f>S28</f>
        <v>Cash</v>
      </c>
      <c r="AB28" s="279"/>
      <c r="AC28" s="237" t="s">
        <v>375</v>
      </c>
      <c r="AD28" s="237" t="s">
        <v>311</v>
      </c>
      <c r="AE28" s="237" t="s">
        <v>356</v>
      </c>
      <c r="AF28" s="237" t="s">
        <v>355</v>
      </c>
      <c r="AG28" s="237" t="s">
        <v>573</v>
      </c>
      <c r="AH28" s="237" t="s">
        <v>345</v>
      </c>
      <c r="AI28" s="237" t="s">
        <v>374</v>
      </c>
      <c r="AJ28" s="229"/>
      <c r="AK28" s="393"/>
      <c r="AL28" s="752" t="str">
        <f>LEFT(U28,1)</f>
        <v>L</v>
      </c>
      <c r="AM28" s="752" t="str">
        <f>LEFT(V28,1)</f>
        <v>F</v>
      </c>
      <c r="AN28" s="752" t="str">
        <f>LEFT(W28,1)</f>
        <v>C</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44"/>
      <c r="AK29" s="744"/>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v>37</v>
      </c>
      <c r="G30" s="244">
        <v>42</v>
      </c>
      <c r="H30" s="244">
        <v>45</v>
      </c>
      <c r="I30" s="244">
        <v>17</v>
      </c>
      <c r="J30" s="244">
        <v>5</v>
      </c>
      <c r="K30" s="244">
        <v>45</v>
      </c>
      <c r="L30" s="244">
        <v>45</v>
      </c>
      <c r="M30" s="244">
        <v>45</v>
      </c>
      <c r="N30" s="244">
        <v>33</v>
      </c>
      <c r="O30" s="244">
        <v>43</v>
      </c>
      <c r="P30" s="279"/>
      <c r="Q30" s="244">
        <f>DSS_Calc!JC92</f>
        <v>263</v>
      </c>
      <c r="R30" s="244">
        <f>DSS_Calc!JB92</f>
        <v>262</v>
      </c>
      <c r="S30" s="244">
        <f>DSS_Calc!JA92</f>
        <v>261</v>
      </c>
      <c r="T30" s="279"/>
      <c r="U30" s="244">
        <f>DSS_Calc!IG92</f>
        <v>241</v>
      </c>
      <c r="V30" s="244">
        <f>DSS_Calc!IF92</f>
        <v>240</v>
      </c>
      <c r="W30" s="244">
        <f>DSS_Calc!IE92</f>
        <v>239</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633</v>
      </c>
      <c r="G31" s="244"/>
      <c r="H31" s="244"/>
      <c r="I31" s="244" t="s">
        <v>714</v>
      </c>
      <c r="J31" s="244" t="s">
        <v>632</v>
      </c>
      <c r="K31" s="244" t="s">
        <v>2</v>
      </c>
      <c r="L31" s="244"/>
      <c r="M31" s="244"/>
      <c r="N31" s="244" t="s">
        <v>738</v>
      </c>
      <c r="O31" s="244" t="s">
        <v>739</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44"/>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3757</v>
      </c>
      <c r="G33" s="256" t="str">
        <f>IF($C33="","",VLOOKUP($C33+$F$11*1000,DSS_Calc!$A:$JV,G$30,FALSE))</f>
        <v>0/0.9/1.9/3.9</v>
      </c>
      <c r="H33" s="256">
        <f>IF($C33="","",VLOOKUP($C33+$F$11*1000,DSS_Calc!$A:$JV,H$30,FALSE))</f>
        <v>0</v>
      </c>
      <c r="I33" s="256">
        <f>IF($C33="","",VLOOKUP($C33+$F$11*1000,DSS_Calc!$A:$JV,I$30,FALSE))</f>
        <v>0</v>
      </c>
      <c r="J33" s="256">
        <f>IF($C33="","",VLOOKUP($C33+$F$11*1000,DSS_Calc!$A:$JV,J$30,FALSE))</f>
        <v>1229</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0.24773569190356629</v>
      </c>
      <c r="P33" s="294" t="s">
        <v>2</v>
      </c>
      <c r="Q33" s="256">
        <f>IF($C33="","",VLOOKUP($C33+$F$11*1000,DSS_Calc!$A:$JV,Q$30,FALSE)*IF(U33=0,0,1))</f>
        <v>4388.7164157747848</v>
      </c>
      <c r="R33" s="256">
        <f>IF($C33="","",VLOOKUP($C33+$F$11*1000,DSS_Calc!$A:$JV,R$30,FALSE)*IF(V33=0,0,1))</f>
        <v>2160.0624533823611</v>
      </c>
      <c r="S33" s="256">
        <f>IF($C33="","",VLOOKUP($C33+$F$11*1000,DSS_Calc!$A:$JV,S$30,FALSE)*IF(W33=0,0,1))</f>
        <v>1300.0000000000002</v>
      </c>
      <c r="T33" s="294" t="s">
        <v>2</v>
      </c>
      <c r="U33" s="395">
        <f>IF($C33="","",VLOOKUP($C33+$F$11*1000,DSS_Calc!$A:$JV,U$30,FALSE))</f>
        <v>0.40038603060986427</v>
      </c>
      <c r="V33" s="395">
        <f>IF($C33="","",VLOOKUP($C33+$F$11*1000,DSS_Calc!$A:$JV,V$30,FALSE))</f>
        <v>0.35187827748656952</v>
      </c>
      <c r="W33" s="395">
        <f>IF($C33="","",VLOOKUP($C33+$F$11*1000,DSS_Calc!$A:$JV,W$30,FALSE))</f>
        <v>0.24773569190356629</v>
      </c>
      <c r="X33" s="290" t="s">
        <v>2</v>
      </c>
      <c r="Y33" s="256">
        <f t="shared" ref="Y33:AA34" si="0">IF(U33=0,0,U33*Q33)</f>
        <v>1757.1807451844168</v>
      </c>
      <c r="Z33" s="256">
        <f t="shared" si="0"/>
        <v>760.07905535959867</v>
      </c>
      <c r="AA33" s="256">
        <f t="shared" si="0"/>
        <v>322.05639947463624</v>
      </c>
      <c r="AB33" s="290" t="s">
        <v>2</v>
      </c>
      <c r="AC33" s="256">
        <f>SUM(Y33:AA33)</f>
        <v>2839.3162000186517</v>
      </c>
      <c r="AD33" s="259">
        <f>AC33*AE33/1000/1000</f>
        <v>1.2715471272224883</v>
      </c>
      <c r="AE33" s="260">
        <f>IF($C33="","",VLOOKUP($C33+$F$11*1000,DSS_Calc!$A:$JV,AE$30,FALSE))</f>
        <v>447.83568917549076</v>
      </c>
      <c r="AF33" s="259">
        <f>IF($C33="","",VLOOKUP($C33+$F$11*1000,DSS_Calc!$A:$JV,AF$30,FALSE))</f>
        <v>1.4134517472291663</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f>SUMIFS(DSS_Calc!B:B,DSS_Calc!C:C,$F$11,DSS_Calc!KV:KV,1)</f>
        <v>0</v>
      </c>
      <c r="D34" s="396" t="str">
        <f>"Scenario " &amp; A34</f>
        <v>Scenario A</v>
      </c>
      <c r="E34" s="272" t="s">
        <v>2</v>
      </c>
      <c r="F34" s="397" t="e">
        <f>IF($C34="","",VLOOKUP($C34+$F$11*1000,DSS_Calc!$A:$JV,F$30,FALSE))</f>
        <v>#N/A</v>
      </c>
      <c r="G34" s="397" t="e">
        <f>IF($C34="","",VLOOKUP($C34+$F$11*1000,DSS_Calc!$A:$JV,G$30,FALSE))</f>
        <v>#N/A</v>
      </c>
      <c r="H34" s="397" t="e">
        <f>IF($C34="","",VLOOKUP($C34+$F$11*1000,DSS_Calc!$A:$JV,H$30,FALSE))</f>
        <v>#N/A</v>
      </c>
      <c r="I34" s="397" t="e">
        <f>IF($C34="","",VLOOKUP($C34+$F$11*1000,DSS_Calc!$A:$JV,I$30,FALSE))</f>
        <v>#N/A</v>
      </c>
      <c r="J34" s="397" t="e">
        <f>IF($C34="","",VLOOKUP($C34+$F$11*1000,DSS_Calc!$A:$JV,J$30,FALSE))</f>
        <v>#N/A</v>
      </c>
      <c r="K34" s="397" t="e">
        <f>IF($C34="","",VLOOKUP($C34+$F$11*1000,DSS_Calc!$A:$JV,K$30,FALSE))</f>
        <v>#N/A</v>
      </c>
      <c r="L34" s="397" t="e">
        <f>IF($C34="","",VLOOKUP($C34+$F$11*1000,DSS_Calc!$A:$JV,L$30,FALSE))</f>
        <v>#N/A</v>
      </c>
      <c r="M34" s="397" t="e">
        <f>IF($C34="","",VLOOKUP($C34+$F$11*1000,DSS_Calc!$A:$JV,M$30,FALSE))</f>
        <v>#N/A</v>
      </c>
      <c r="N34" s="397" t="e">
        <f>IF($C34="","",VLOOKUP($C34+$F$11*1000,DSS_Calc!$A:$JV,N$30,FALSE))</f>
        <v>#N/A</v>
      </c>
      <c r="O34" s="397" t="e">
        <f>IF($C34="","",VLOOKUP($C34+$F$11*1000,DSS_Calc!$A:$JV,O$30,FALSE))</f>
        <v>#N/A</v>
      </c>
      <c r="P34" s="294" t="s">
        <v>2</v>
      </c>
      <c r="Q34" s="397" t="e">
        <f>IF($C34="","",VLOOKUP($C34+$F$11*1000,DSS_Calc!$A:$JV,Q$30,FALSE)*IF(U34=0,0,1))</f>
        <v>#N/A</v>
      </c>
      <c r="R34" s="397" t="e">
        <f>IF($C34="","",VLOOKUP($C34+$F$11*1000,DSS_Calc!$A:$JV,R$30,FALSE)*IF(V34=0,0,1))</f>
        <v>#N/A</v>
      </c>
      <c r="S34" s="397" t="e">
        <f>IF($C34="","",VLOOKUP($C34+$F$11*1000,DSS_Calc!$A:$JV,S$30,FALSE)*IF(W34=0,0,1))</f>
        <v>#N/A</v>
      </c>
      <c r="T34" s="294" t="s">
        <v>2</v>
      </c>
      <c r="U34" s="398" t="e">
        <f>IF($C34="","",VLOOKUP($C34+$F$11*1000,DSS_Calc!$A:$JV,U$30,FALSE))</f>
        <v>#N/A</v>
      </c>
      <c r="V34" s="398" t="e">
        <f>IF($C34="","",VLOOKUP($C34+$F$11*1000,DSS_Calc!$A:$JV,V$30,FALSE))</f>
        <v>#N/A</v>
      </c>
      <c r="W34" s="398" t="e">
        <f>IF($C34="","",VLOOKUP($C34+$F$11*1000,DSS_Calc!$A:$JV,W$30,FALSE))</f>
        <v>#N/A</v>
      </c>
      <c r="X34" s="294" t="s">
        <v>2</v>
      </c>
      <c r="Y34" s="397" t="e">
        <f t="shared" si="0"/>
        <v>#N/A</v>
      </c>
      <c r="Z34" s="397" t="e">
        <f t="shared" si="0"/>
        <v>#N/A</v>
      </c>
      <c r="AA34" s="397" t="e">
        <f t="shared" si="0"/>
        <v>#N/A</v>
      </c>
      <c r="AB34" s="294" t="s">
        <v>2</v>
      </c>
      <c r="AC34" s="397" t="e">
        <f>SUM(Y34:AA34)</f>
        <v>#N/A</v>
      </c>
      <c r="AD34" s="399" t="e">
        <f>AC34*AE34/1000/1000</f>
        <v>#N/A</v>
      </c>
      <c r="AE34" s="400" t="e">
        <f>IF($C34="","",VLOOKUP($C34+$F$11*1000,DSS_Calc!$A:$JV,AE$30,FALSE))</f>
        <v>#N/A</v>
      </c>
      <c r="AF34" s="399" t="e">
        <f>IF($C34="","",VLOOKUP($C34+$F$11*1000,DSS_Calc!$A:$JV,AF$30,FALSE))</f>
        <v>#N/A</v>
      </c>
      <c r="AG34" s="401"/>
      <c r="AH34" s="398"/>
      <c r="AI34" s="401"/>
      <c r="AJ34" s="289" t="s">
        <v>2</v>
      </c>
      <c r="AK34" s="744"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#N/A</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#N/A</v>
      </c>
      <c r="G35" s="404"/>
      <c r="H35" s="404"/>
      <c r="I35" s="404" t="e">
        <f t="shared" ref="I35:O35" si="1">ROUND(I34-I$33,0)</f>
        <v>#N/A</v>
      </c>
      <c r="J35" s="404" t="e">
        <f t="shared" si="1"/>
        <v>#N/A</v>
      </c>
      <c r="K35" s="404" t="e">
        <f t="shared" si="1"/>
        <v>#N/A</v>
      </c>
      <c r="L35" s="404" t="e">
        <f t="shared" si="1"/>
        <v>#N/A</v>
      </c>
      <c r="M35" s="404" t="e">
        <f t="shared" si="1"/>
        <v>#N/A</v>
      </c>
      <c r="N35" s="404" t="e">
        <f t="shared" si="1"/>
        <v>#N/A</v>
      </c>
      <c r="O35" s="404" t="e">
        <f t="shared" si="1"/>
        <v>#N/A</v>
      </c>
      <c r="P35" s="294"/>
      <c r="Q35" s="404" t="e">
        <f t="shared" ref="Q35:S35" si="2">Q34-Q$33</f>
        <v>#N/A</v>
      </c>
      <c r="R35" s="404" t="e">
        <f t="shared" si="2"/>
        <v>#N/A</v>
      </c>
      <c r="S35" s="404" t="e">
        <f t="shared" si="2"/>
        <v>#N/A</v>
      </c>
      <c r="T35" s="294"/>
      <c r="U35" s="405" t="e">
        <f>U34-U$33</f>
        <v>#N/A</v>
      </c>
      <c r="V35" s="405" t="e">
        <f>V34-V$33</f>
        <v>#N/A</v>
      </c>
      <c r="W35" s="405" t="e">
        <f>W34-W$33</f>
        <v>#N/A</v>
      </c>
      <c r="X35" s="294"/>
      <c r="Y35" s="404" t="e">
        <f>Y34-Y$33</f>
        <v>#N/A</v>
      </c>
      <c r="Z35" s="404" t="e">
        <f>Z34-Z$33</f>
        <v>#N/A</v>
      </c>
      <c r="AA35" s="404" t="e">
        <f>AA34-AA$33</f>
        <v>#N/A</v>
      </c>
      <c r="AB35" s="294"/>
      <c r="AC35" s="404" t="e">
        <f>IFERROR(AC34-AC$33,NA())</f>
        <v>#N/A</v>
      </c>
      <c r="AD35" s="406" t="e">
        <f>AD34-AD$33</f>
        <v>#N/A</v>
      </c>
      <c r="AE35" s="407" t="e">
        <f t="shared" ref="AE35:AF49" si="3">AE34-AE$33</f>
        <v>#N/A</v>
      </c>
      <c r="AF35" s="406" t="e">
        <f t="shared" si="3"/>
        <v>#N/A</v>
      </c>
      <c r="AG35" s="408" t="e">
        <f>AF35/AF$33</f>
        <v>#N/A</v>
      </c>
      <c r="AH35" s="405"/>
      <c r="AI35" s="408" t="e">
        <f>IFERROR(AE35/$AE$33,NA())</f>
        <v>#N/A</v>
      </c>
      <c r="AJ35" s="289"/>
      <c r="AK35" s="749"/>
      <c r="AL35" s="750" t="e">
        <f>$AE34*U34-$AE$33*U$33</f>
        <v>#N/A</v>
      </c>
      <c r="AM35" s="750" t="e">
        <f>$AE34*V34-$AE$33*V$33</f>
        <v>#N/A</v>
      </c>
      <c r="AN35" s="750" t="e">
        <f>$AE34*W34-$AE$33*W$33</f>
        <v>#N/A</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f>SUMIFS(DSS_Calc!B:B,DSS_Calc!C:C,$F$11,DSS_Calc!KV:KV,2)</f>
        <v>0</v>
      </c>
      <c r="D36" s="261" t="str">
        <f>"Scenario " &amp; A36</f>
        <v>Scenario B</v>
      </c>
      <c r="E36" s="272" t="s">
        <v>2</v>
      </c>
      <c r="F36" s="262" t="e">
        <f>IF($C36="","",VLOOKUP($C36+$F$11*1000,DSS_Calc!$A:$JV,F$30,FALSE))</f>
        <v>#N/A</v>
      </c>
      <c r="G36" s="262" t="e">
        <f>IF($C36="","",VLOOKUP($C36+$F$11*1000,DSS_Calc!$A:$JV,G$30,FALSE))</f>
        <v>#N/A</v>
      </c>
      <c r="H36" s="262" t="e">
        <f>IF($C36="","",VLOOKUP($C36+$F$11*1000,DSS_Calc!$A:$JV,H$30,FALSE))</f>
        <v>#N/A</v>
      </c>
      <c r="I36" s="262" t="e">
        <f>IF($C36="","",VLOOKUP($C36+$F$11*1000,DSS_Calc!$A:$JV,I$30,FALSE))</f>
        <v>#N/A</v>
      </c>
      <c r="J36" s="262" t="e">
        <f>IF($C36="","",VLOOKUP($C36+$F$11*1000,DSS_Calc!$A:$JV,J$30,FALSE))</f>
        <v>#N/A</v>
      </c>
      <c r="K36" s="262" t="e">
        <f>IF($C36="","",VLOOKUP($C36+$F$11*1000,DSS_Calc!$A:$JV,K$30,FALSE))</f>
        <v>#N/A</v>
      </c>
      <c r="L36" s="262" t="e">
        <f>IF($C36="","",VLOOKUP($C36+$F$11*1000,DSS_Calc!$A:$JV,L$30,FALSE))</f>
        <v>#N/A</v>
      </c>
      <c r="M36" s="262" t="e">
        <f>IF($C36="","",VLOOKUP($C36+$F$11*1000,DSS_Calc!$A:$JV,M$30,FALSE))</f>
        <v>#N/A</v>
      </c>
      <c r="N36" s="262" t="e">
        <f>IF($C36="","",VLOOKUP($C36+$F$11*1000,DSS_Calc!$A:$JV,N$30,FALSE))</f>
        <v>#N/A</v>
      </c>
      <c r="O36" s="262" t="e">
        <f>IF($C36="","",VLOOKUP($C36+$F$11*1000,DSS_Calc!$A:$JV,O$30,FALSE))</f>
        <v>#N/A</v>
      </c>
      <c r="P36" s="294" t="s">
        <v>2</v>
      </c>
      <c r="Q36" s="262" t="e">
        <f>IF($C36="","",VLOOKUP($C36+$F$11*1000,DSS_Calc!$A:$JV,Q$30,FALSE)*IF(U36=0,0,1))</f>
        <v>#N/A</v>
      </c>
      <c r="R36" s="262" t="e">
        <f>IF($C36="","",VLOOKUP($C36+$F$11*1000,DSS_Calc!$A:$JV,R$30,FALSE)*IF(V36=0,0,1))</f>
        <v>#N/A</v>
      </c>
      <c r="S36" s="262" t="e">
        <f>IF($C36="","",VLOOKUP($C36+$F$11*1000,DSS_Calc!$A:$JV,S$30,FALSE)*IF(W36=0,0,1))</f>
        <v>#N/A</v>
      </c>
      <c r="T36" s="294" t="s">
        <v>2</v>
      </c>
      <c r="U36" s="263" t="e">
        <f>IF($C36="","",VLOOKUP($C36+$F$11*1000,DSS_Calc!$A:$JV,U$30,FALSE))</f>
        <v>#N/A</v>
      </c>
      <c r="V36" s="263" t="e">
        <f>IF($C36="","",VLOOKUP($C36+$F$11*1000,DSS_Calc!$A:$JV,V$30,FALSE))</f>
        <v>#N/A</v>
      </c>
      <c r="W36" s="263" t="e">
        <f>IF($C36="","",VLOOKUP($C36+$F$11*1000,DSS_Calc!$A:$JV,W$30,FALSE))</f>
        <v>#N/A</v>
      </c>
      <c r="X36" s="294" t="s">
        <v>2</v>
      </c>
      <c r="Y36" s="262" t="e">
        <f>IF(U36=0,0,U36*Q36)</f>
        <v>#N/A</v>
      </c>
      <c r="Z36" s="262" t="e">
        <f>IF(V36=0,0,V36*R36)</f>
        <v>#N/A</v>
      </c>
      <c r="AA36" s="262" t="e">
        <f>IF(W36=0,0,W36*S36)</f>
        <v>#N/A</v>
      </c>
      <c r="AB36" s="294" t="s">
        <v>2</v>
      </c>
      <c r="AC36" s="262" t="e">
        <f>SUM(Y36:AA36)</f>
        <v>#N/A</v>
      </c>
      <c r="AD36" s="264" t="e">
        <f>AC36*AE36/1000/1000</f>
        <v>#N/A</v>
      </c>
      <c r="AE36" s="265" t="e">
        <f>IF($C36="","",VLOOKUP($C36+$F$11*1000,DSS_Calc!$A:$JV,AE$30,FALSE))</f>
        <v>#N/A</v>
      </c>
      <c r="AF36" s="264" t="e">
        <f>IF($C36="","",VLOOKUP($C36+$F$11*1000,DSS_Calc!$A:$JV,AF$30,FALSE))</f>
        <v>#N/A</v>
      </c>
      <c r="AG36" s="300"/>
      <c r="AH36" s="263"/>
      <c r="AI36" s="300"/>
      <c r="AJ36" s="289" t="s">
        <v>2</v>
      </c>
      <c r="AK36" s="744"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#N/A</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#N/A</v>
      </c>
      <c r="G37" s="267"/>
      <c r="H37" s="267"/>
      <c r="I37" s="267" t="e">
        <f t="shared" ref="I37:O37" si="4">ROUND(I36-I$33,0)</f>
        <v>#N/A</v>
      </c>
      <c r="J37" s="267" t="e">
        <f t="shared" si="4"/>
        <v>#N/A</v>
      </c>
      <c r="K37" s="267" t="e">
        <f t="shared" si="4"/>
        <v>#N/A</v>
      </c>
      <c r="L37" s="267" t="e">
        <f t="shared" si="4"/>
        <v>#N/A</v>
      </c>
      <c r="M37" s="267" t="e">
        <f t="shared" si="4"/>
        <v>#N/A</v>
      </c>
      <c r="N37" s="267" t="e">
        <f t="shared" si="4"/>
        <v>#N/A</v>
      </c>
      <c r="O37" s="267" t="e">
        <f t="shared" si="4"/>
        <v>#N/A</v>
      </c>
      <c r="P37" s="294"/>
      <c r="Q37" s="267" t="e">
        <f t="shared" ref="Q37:S37" si="5">Q36-Q$33</f>
        <v>#N/A</v>
      </c>
      <c r="R37" s="267" t="e">
        <f t="shared" si="5"/>
        <v>#N/A</v>
      </c>
      <c r="S37" s="267" t="e">
        <f t="shared" si="5"/>
        <v>#N/A</v>
      </c>
      <c r="T37" s="294"/>
      <c r="U37" s="268" t="e">
        <f>U36-U$33</f>
        <v>#N/A</v>
      </c>
      <c r="V37" s="268" t="e">
        <f>V36-V$33</f>
        <v>#N/A</v>
      </c>
      <c r="W37" s="268" t="e">
        <f>W36-W$33</f>
        <v>#N/A</v>
      </c>
      <c r="X37" s="294"/>
      <c r="Y37" s="267" t="e">
        <f>Y36-Y$33</f>
        <v>#N/A</v>
      </c>
      <c r="Z37" s="267" t="e">
        <f>Z36-Z$33</f>
        <v>#N/A</v>
      </c>
      <c r="AA37" s="267" t="e">
        <f>AA36-AA$33</f>
        <v>#N/A</v>
      </c>
      <c r="AB37" s="294"/>
      <c r="AC37" s="267" t="e">
        <f>IFERROR(AC36-AC$33,NA())</f>
        <v>#N/A</v>
      </c>
      <c r="AD37" s="269" t="e">
        <f>AD36-AD$33</f>
        <v>#N/A</v>
      </c>
      <c r="AE37" s="270" t="e">
        <f t="shared" si="3"/>
        <v>#N/A</v>
      </c>
      <c r="AF37" s="269" t="e">
        <f t="shared" si="3"/>
        <v>#N/A</v>
      </c>
      <c r="AG37" s="301" t="e">
        <f>AF37/AF$33</f>
        <v>#N/A</v>
      </c>
      <c r="AH37" s="268"/>
      <c r="AI37" s="301" t="e">
        <f>IFERROR(AE37/$AE$33,NA())</f>
        <v>#N/A</v>
      </c>
      <c r="AJ37" s="289"/>
      <c r="AK37" s="749"/>
      <c r="AL37" s="750" t="e">
        <f>$AE36*U36-$AE$33*U$33</f>
        <v>#N/A</v>
      </c>
      <c r="AM37" s="750" t="e">
        <f>$AE36*V36-$AE$33*V$33</f>
        <v>#N/A</v>
      </c>
      <c r="AN37" s="750" t="e">
        <f>$AE36*W36-$AE$33*W$33</f>
        <v>#N/A</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f>SUMIFS(DSS_Calc!B:B,DSS_Calc!C:C,$F$11,DSS_Calc!KV:KV,3)</f>
        <v>0</v>
      </c>
      <c r="D38" s="396" t="str">
        <f>"Scenario " &amp; A38</f>
        <v>Scenario C</v>
      </c>
      <c r="E38" s="272" t="s">
        <v>2</v>
      </c>
      <c r="F38" s="397" t="e">
        <f>IF($C38="","",VLOOKUP($C38+$F$11*1000,DSS_Calc!$A:$JV,F$30,FALSE))</f>
        <v>#N/A</v>
      </c>
      <c r="G38" s="397" t="e">
        <f>IF($C38="","",VLOOKUP($C38+$F$11*1000,DSS_Calc!$A:$JV,G$30,FALSE))</f>
        <v>#N/A</v>
      </c>
      <c r="H38" s="397" t="e">
        <f>IF($C38="","",VLOOKUP($C38+$F$11*1000,DSS_Calc!$A:$JV,H$30,FALSE))</f>
        <v>#N/A</v>
      </c>
      <c r="I38" s="397" t="e">
        <f>IF($C38="","",VLOOKUP($C38+$F$11*1000,DSS_Calc!$A:$JV,I$30,FALSE))</f>
        <v>#N/A</v>
      </c>
      <c r="J38" s="397" t="e">
        <f>IF($C38="","",VLOOKUP($C38+$F$11*1000,DSS_Calc!$A:$JV,J$30,FALSE))</f>
        <v>#N/A</v>
      </c>
      <c r="K38" s="397" t="e">
        <f>IF($C38="","",VLOOKUP($C38+$F$11*1000,DSS_Calc!$A:$JV,K$30,FALSE))</f>
        <v>#N/A</v>
      </c>
      <c r="L38" s="397" t="e">
        <f>IF($C38="","",VLOOKUP($C38+$F$11*1000,DSS_Calc!$A:$JV,L$30,FALSE))</f>
        <v>#N/A</v>
      </c>
      <c r="M38" s="397" t="e">
        <f>IF($C38="","",VLOOKUP($C38+$F$11*1000,DSS_Calc!$A:$JV,M$30,FALSE))</f>
        <v>#N/A</v>
      </c>
      <c r="N38" s="397" t="e">
        <f>IF($C38="","",VLOOKUP($C38+$F$11*1000,DSS_Calc!$A:$JV,N$30,FALSE))</f>
        <v>#N/A</v>
      </c>
      <c r="O38" s="397" t="e">
        <f>IF($C38="","",VLOOKUP($C38+$F$11*1000,DSS_Calc!$A:$JV,O$30,FALSE))</f>
        <v>#N/A</v>
      </c>
      <c r="P38" s="294" t="s">
        <v>2</v>
      </c>
      <c r="Q38" s="397" t="e">
        <f>IF($C38="","",VLOOKUP($C38+$F$11*1000,DSS_Calc!$A:$JV,Q$30,FALSE)*IF(U38=0,0,1))</f>
        <v>#N/A</v>
      </c>
      <c r="R38" s="397" t="e">
        <f>IF($C38="","",VLOOKUP($C38+$F$11*1000,DSS_Calc!$A:$JV,R$30,FALSE)*IF(V38=0,0,1))</f>
        <v>#N/A</v>
      </c>
      <c r="S38" s="397" t="e">
        <f>IF($C38="","",VLOOKUP($C38+$F$11*1000,DSS_Calc!$A:$JV,S$30,FALSE)*IF(W38=0,0,1))</f>
        <v>#N/A</v>
      </c>
      <c r="T38" s="294" t="s">
        <v>2</v>
      </c>
      <c r="U38" s="398" t="e">
        <f>IF($C38="","",VLOOKUP($C38+$F$11*1000,DSS_Calc!$A:$JV,U$30,FALSE))</f>
        <v>#N/A</v>
      </c>
      <c r="V38" s="398" t="e">
        <f>IF($C38="","",VLOOKUP($C38+$F$11*1000,DSS_Calc!$A:$JV,V$30,FALSE))</f>
        <v>#N/A</v>
      </c>
      <c r="W38" s="398" t="e">
        <f>IF($C38="","",VLOOKUP($C38+$F$11*1000,DSS_Calc!$A:$JV,W$30,FALSE))</f>
        <v>#N/A</v>
      </c>
      <c r="X38" s="294" t="s">
        <v>2</v>
      </c>
      <c r="Y38" s="397" t="e">
        <f>IF(U38=0,0,U38*Q38)</f>
        <v>#N/A</v>
      </c>
      <c r="Z38" s="397" t="e">
        <f>IF(V38=0,0,V38*R38)</f>
        <v>#N/A</v>
      </c>
      <c r="AA38" s="397" t="e">
        <f>IF(W38=0,0,W38*S38)</f>
        <v>#N/A</v>
      </c>
      <c r="AB38" s="294" t="s">
        <v>2</v>
      </c>
      <c r="AC38" s="397" t="e">
        <f>SUM(Y38:AA38)</f>
        <v>#N/A</v>
      </c>
      <c r="AD38" s="399" t="e">
        <f>AC38*AE38/1000/1000</f>
        <v>#N/A</v>
      </c>
      <c r="AE38" s="400" t="e">
        <f>IF($C38="","",VLOOKUP($C38+$F$11*1000,DSS_Calc!$A:$JV,AE$30,FALSE))</f>
        <v>#N/A</v>
      </c>
      <c r="AF38" s="399" t="e">
        <f>IF($C38="","",VLOOKUP($C38+$F$11*1000,DSS_Calc!$A:$JV,AF$30,FALSE))</f>
        <v>#N/A</v>
      </c>
      <c r="AG38" s="401"/>
      <c r="AH38" s="398"/>
      <c r="AI38" s="401"/>
      <c r="AJ38" s="289" t="s">
        <v>2</v>
      </c>
      <c r="AK38" s="744"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#N/A</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#N/A</v>
      </c>
      <c r="G39" s="404"/>
      <c r="H39" s="404"/>
      <c r="I39" s="404" t="e">
        <f t="shared" ref="I39:O39" si="6">ROUND(I38-I$33,0)</f>
        <v>#N/A</v>
      </c>
      <c r="J39" s="404" t="e">
        <f t="shared" si="6"/>
        <v>#N/A</v>
      </c>
      <c r="K39" s="404" t="e">
        <f t="shared" si="6"/>
        <v>#N/A</v>
      </c>
      <c r="L39" s="404" t="e">
        <f t="shared" si="6"/>
        <v>#N/A</v>
      </c>
      <c r="M39" s="404" t="e">
        <f t="shared" si="6"/>
        <v>#N/A</v>
      </c>
      <c r="N39" s="404" t="e">
        <f t="shared" si="6"/>
        <v>#N/A</v>
      </c>
      <c r="O39" s="404" t="e">
        <f t="shared" si="6"/>
        <v>#N/A</v>
      </c>
      <c r="P39" s="294"/>
      <c r="Q39" s="404" t="e">
        <f t="shared" ref="Q39:S39" si="7">Q38-Q$33</f>
        <v>#N/A</v>
      </c>
      <c r="R39" s="404" t="e">
        <f t="shared" si="7"/>
        <v>#N/A</v>
      </c>
      <c r="S39" s="404" t="e">
        <f t="shared" si="7"/>
        <v>#N/A</v>
      </c>
      <c r="T39" s="294"/>
      <c r="U39" s="405" t="e">
        <f>U38-U$33</f>
        <v>#N/A</v>
      </c>
      <c r="V39" s="405" t="e">
        <f>V38-V$33</f>
        <v>#N/A</v>
      </c>
      <c r="W39" s="405" t="e">
        <f>W38-W$33</f>
        <v>#N/A</v>
      </c>
      <c r="X39" s="294"/>
      <c r="Y39" s="404" t="e">
        <f>Y38-Y$33</f>
        <v>#N/A</v>
      </c>
      <c r="Z39" s="404" t="e">
        <f>Z38-Z$33</f>
        <v>#N/A</v>
      </c>
      <c r="AA39" s="404" t="e">
        <f>AA38-AA$33</f>
        <v>#N/A</v>
      </c>
      <c r="AB39" s="294"/>
      <c r="AC39" s="404" t="e">
        <f>IFERROR(AC38-AC$33,NA())</f>
        <v>#N/A</v>
      </c>
      <c r="AD39" s="406" t="e">
        <f>AD38-AD$33</f>
        <v>#N/A</v>
      </c>
      <c r="AE39" s="407" t="e">
        <f t="shared" si="3"/>
        <v>#N/A</v>
      </c>
      <c r="AF39" s="406" t="e">
        <f t="shared" si="3"/>
        <v>#N/A</v>
      </c>
      <c r="AG39" s="408" t="e">
        <f>AF39/AF$33</f>
        <v>#N/A</v>
      </c>
      <c r="AH39" s="405"/>
      <c r="AI39" s="408" t="e">
        <f>IFERROR(AE39/$AE$33,NA())</f>
        <v>#N/A</v>
      </c>
      <c r="AJ39" s="289"/>
      <c r="AK39" s="749"/>
      <c r="AL39" s="750" t="e">
        <f>$AE38*U38-$AE$33*U$33</f>
        <v>#N/A</v>
      </c>
      <c r="AM39" s="750" t="e">
        <f>$AE38*V38-$AE$33*V$33</f>
        <v>#N/A</v>
      </c>
      <c r="AN39" s="750" t="e">
        <f>$AE38*W38-$AE$33*W$33</f>
        <v>#N/A</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f>SUMIFS(DSS_Calc!B:B,DSS_Calc!C:C,$F$11,DSS_Calc!KV:KV,4)</f>
        <v>0</v>
      </c>
      <c r="D40" s="261" t="str">
        <f>"Scenario " &amp; A40</f>
        <v>Scenario D</v>
      </c>
      <c r="E40" s="272" t="s">
        <v>2</v>
      </c>
      <c r="F40" s="262" t="e">
        <f>IF($C40="","",VLOOKUP($C40+$F$11*1000,DSS_Calc!$A:$JV,F$30,FALSE))</f>
        <v>#N/A</v>
      </c>
      <c r="G40" s="262" t="e">
        <f>IF($C40="","",VLOOKUP($C40+$F$11*1000,DSS_Calc!$A:$JV,G$30,FALSE))</f>
        <v>#N/A</v>
      </c>
      <c r="H40" s="262" t="e">
        <f>IF($C40="","",VLOOKUP($C40+$F$11*1000,DSS_Calc!$A:$JV,H$30,FALSE))</f>
        <v>#N/A</v>
      </c>
      <c r="I40" s="262" t="e">
        <f>IF($C40="","",VLOOKUP($C40+$F$11*1000,DSS_Calc!$A:$JV,I$30,FALSE))</f>
        <v>#N/A</v>
      </c>
      <c r="J40" s="262" t="e">
        <f>IF($C40="","",VLOOKUP($C40+$F$11*1000,DSS_Calc!$A:$JV,J$30,FALSE))</f>
        <v>#N/A</v>
      </c>
      <c r="K40" s="262" t="e">
        <f>IF($C40="","",VLOOKUP($C40+$F$11*1000,DSS_Calc!$A:$JV,K$30,FALSE))</f>
        <v>#N/A</v>
      </c>
      <c r="L40" s="262" t="e">
        <f>IF($C40="","",VLOOKUP($C40+$F$11*1000,DSS_Calc!$A:$JV,L$30,FALSE))</f>
        <v>#N/A</v>
      </c>
      <c r="M40" s="262" t="e">
        <f>IF($C40="","",VLOOKUP($C40+$F$11*1000,DSS_Calc!$A:$JV,M$30,FALSE))</f>
        <v>#N/A</v>
      </c>
      <c r="N40" s="262" t="e">
        <f>IF($C40="","",VLOOKUP($C40+$F$11*1000,DSS_Calc!$A:$JV,N$30,FALSE))</f>
        <v>#N/A</v>
      </c>
      <c r="O40" s="262" t="e">
        <f>IF($C40="","",VLOOKUP($C40+$F$11*1000,DSS_Calc!$A:$JV,O$30,FALSE))</f>
        <v>#N/A</v>
      </c>
      <c r="P40" s="294" t="s">
        <v>2</v>
      </c>
      <c r="Q40" s="262" t="e">
        <f>IF($C40="","",VLOOKUP($C40+$F$11*1000,DSS_Calc!$A:$JV,Q$30,FALSE)*IF(U40=0,0,1))</f>
        <v>#N/A</v>
      </c>
      <c r="R40" s="262" t="e">
        <f>IF($C40="","",VLOOKUP($C40+$F$11*1000,DSS_Calc!$A:$JV,R$30,FALSE)*IF(V40=0,0,1))</f>
        <v>#N/A</v>
      </c>
      <c r="S40" s="262" t="e">
        <f>IF($C40="","",VLOOKUP($C40+$F$11*1000,DSS_Calc!$A:$JV,S$30,FALSE)*IF(W40=0,0,1))</f>
        <v>#N/A</v>
      </c>
      <c r="T40" s="294" t="s">
        <v>2</v>
      </c>
      <c r="U40" s="263" t="e">
        <f>IF($C40="","",VLOOKUP($C40+$F$11*1000,DSS_Calc!$A:$JV,U$30,FALSE))</f>
        <v>#N/A</v>
      </c>
      <c r="V40" s="263" t="e">
        <f>IF($C40="","",VLOOKUP($C40+$F$11*1000,DSS_Calc!$A:$JV,V$30,FALSE))</f>
        <v>#N/A</v>
      </c>
      <c r="W40" s="263" t="e">
        <f>IF($C40="","",VLOOKUP($C40+$F$11*1000,DSS_Calc!$A:$JV,W$30,FALSE))</f>
        <v>#N/A</v>
      </c>
      <c r="X40" s="294" t="s">
        <v>2</v>
      </c>
      <c r="Y40" s="262" t="e">
        <f>IF(U40=0,0,U40*Q40)</f>
        <v>#N/A</v>
      </c>
      <c r="Z40" s="262" t="e">
        <f>IF(V40=0,0,V40*R40)</f>
        <v>#N/A</v>
      </c>
      <c r="AA40" s="262" t="e">
        <f>IF(W40=0,0,W40*S40)</f>
        <v>#N/A</v>
      </c>
      <c r="AB40" s="294" t="s">
        <v>2</v>
      </c>
      <c r="AC40" s="262" t="e">
        <f>SUM(Y40:AA40)</f>
        <v>#N/A</v>
      </c>
      <c r="AD40" s="264" t="e">
        <f>AC40*AE40/1000/1000</f>
        <v>#N/A</v>
      </c>
      <c r="AE40" s="265" t="e">
        <f>IF($C40="","",VLOOKUP($C40+$F$11*1000,DSS_Calc!$A:$JV,AE$30,FALSE))</f>
        <v>#N/A</v>
      </c>
      <c r="AF40" s="264" t="e">
        <f>IF($C40="","",VLOOKUP($C40+$F$11*1000,DSS_Calc!$A:$JV,AF$30,FALSE))</f>
        <v>#N/A</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#N/A</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#N/A</v>
      </c>
      <c r="G41" s="267"/>
      <c r="H41" s="267"/>
      <c r="I41" s="267" t="e">
        <f t="shared" ref="I41:O41" si="8">ROUND(I40-I$33,0)</f>
        <v>#N/A</v>
      </c>
      <c r="J41" s="267" t="e">
        <f t="shared" si="8"/>
        <v>#N/A</v>
      </c>
      <c r="K41" s="267" t="e">
        <f t="shared" si="8"/>
        <v>#N/A</v>
      </c>
      <c r="L41" s="267" t="e">
        <f t="shared" si="8"/>
        <v>#N/A</v>
      </c>
      <c r="M41" s="267" t="e">
        <f t="shared" si="8"/>
        <v>#N/A</v>
      </c>
      <c r="N41" s="267" t="e">
        <f t="shared" si="8"/>
        <v>#N/A</v>
      </c>
      <c r="O41" s="267" t="e">
        <f t="shared" si="8"/>
        <v>#N/A</v>
      </c>
      <c r="P41" s="294"/>
      <c r="Q41" s="267" t="e">
        <f t="shared" ref="Q41:S41" si="9">Q40-Q$33</f>
        <v>#N/A</v>
      </c>
      <c r="R41" s="267" t="e">
        <f t="shared" si="9"/>
        <v>#N/A</v>
      </c>
      <c r="S41" s="267" t="e">
        <f t="shared" si="9"/>
        <v>#N/A</v>
      </c>
      <c r="T41" s="294"/>
      <c r="U41" s="268" t="e">
        <f>U40-U$33</f>
        <v>#N/A</v>
      </c>
      <c r="V41" s="268" t="e">
        <f>V40-V$33</f>
        <v>#N/A</v>
      </c>
      <c r="W41" s="268" t="e">
        <f>W40-W$33</f>
        <v>#N/A</v>
      </c>
      <c r="X41" s="294"/>
      <c r="Y41" s="267" t="e">
        <f>Y40-Y$33</f>
        <v>#N/A</v>
      </c>
      <c r="Z41" s="267" t="e">
        <f>Z40-Z$33</f>
        <v>#N/A</v>
      </c>
      <c r="AA41" s="267" t="e">
        <f>AA40-AA$33</f>
        <v>#N/A</v>
      </c>
      <c r="AB41" s="294"/>
      <c r="AC41" s="267" t="e">
        <f>IFERROR(AC40-AC$33,NA())</f>
        <v>#N/A</v>
      </c>
      <c r="AD41" s="269" t="e">
        <f>AD40-AD$33</f>
        <v>#N/A</v>
      </c>
      <c r="AE41" s="270" t="e">
        <f t="shared" si="3"/>
        <v>#N/A</v>
      </c>
      <c r="AF41" s="269" t="e">
        <f t="shared" si="3"/>
        <v>#N/A</v>
      </c>
      <c r="AG41" s="301" t="e">
        <f>AF41/AF$33</f>
        <v>#N/A</v>
      </c>
      <c r="AH41" s="268"/>
      <c r="AI41" s="301" t="e">
        <f>IFERROR(AE41/$AE$33,NA())</f>
        <v>#N/A</v>
      </c>
      <c r="AJ41" s="289"/>
      <c r="AK41" s="749"/>
      <c r="AL41" s="750" t="e">
        <f>$AE40*U40-$AE$33*U$33</f>
        <v>#N/A</v>
      </c>
      <c r="AM41" s="750" t="e">
        <f>$AE40*V40-$AE$33*V$33</f>
        <v>#N/A</v>
      </c>
      <c r="AN41" s="750" t="e">
        <f>$AE40*W40-$AE$33*W$33</f>
        <v>#N/A</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f>SUMIFS(DSS_Calc!B:B,DSS_Calc!C:C,$F$11,DSS_Calc!KV:KV,5)</f>
        <v>0</v>
      </c>
      <c r="D42" s="396" t="str">
        <f>"Scenario " &amp; A42</f>
        <v>Scenario E</v>
      </c>
      <c r="E42" s="272" t="s">
        <v>2</v>
      </c>
      <c r="F42" s="397" t="e">
        <f>IF($C42="","",VLOOKUP($C42+$F$11*1000,DSS_Calc!$A:$JV,F$30,FALSE))</f>
        <v>#N/A</v>
      </c>
      <c r="G42" s="397" t="e">
        <f>IF($C42="","",VLOOKUP($C42+$F$11*1000,DSS_Calc!$A:$JV,G$30,FALSE))</f>
        <v>#N/A</v>
      </c>
      <c r="H42" s="397" t="e">
        <f>IF($C42="","",VLOOKUP($C42+$F$11*1000,DSS_Calc!$A:$JV,H$30,FALSE))</f>
        <v>#N/A</v>
      </c>
      <c r="I42" s="397" t="e">
        <f>IF($C42="","",VLOOKUP($C42+$F$11*1000,DSS_Calc!$A:$JV,I$30,FALSE))</f>
        <v>#N/A</v>
      </c>
      <c r="J42" s="397" t="e">
        <f>IF($C42="","",VLOOKUP($C42+$F$11*1000,DSS_Calc!$A:$JV,J$30,FALSE))</f>
        <v>#N/A</v>
      </c>
      <c r="K42" s="397" t="e">
        <f>IF($C42="","",VLOOKUP($C42+$F$11*1000,DSS_Calc!$A:$JV,K$30,FALSE))</f>
        <v>#N/A</v>
      </c>
      <c r="L42" s="397" t="e">
        <f>IF($C42="","",VLOOKUP($C42+$F$11*1000,DSS_Calc!$A:$JV,L$30,FALSE))</f>
        <v>#N/A</v>
      </c>
      <c r="M42" s="397" t="e">
        <f>IF($C42="","",VLOOKUP($C42+$F$11*1000,DSS_Calc!$A:$JV,M$30,FALSE))</f>
        <v>#N/A</v>
      </c>
      <c r="N42" s="397" t="e">
        <f>IF($C42="","",VLOOKUP($C42+$F$11*1000,DSS_Calc!$A:$JV,N$30,FALSE))</f>
        <v>#N/A</v>
      </c>
      <c r="O42" s="397" t="e">
        <f>IF($C42="","",VLOOKUP($C42+$F$11*1000,DSS_Calc!$A:$JV,O$30,FALSE))</f>
        <v>#N/A</v>
      </c>
      <c r="P42" s="294" t="s">
        <v>2</v>
      </c>
      <c r="Q42" s="397" t="e">
        <f>IF($C42="","",VLOOKUP($C42+$F$11*1000,DSS_Calc!$A:$JV,Q$30,FALSE)*IF(U42=0,0,1))</f>
        <v>#N/A</v>
      </c>
      <c r="R42" s="397" t="e">
        <f>IF($C42="","",VLOOKUP($C42+$F$11*1000,DSS_Calc!$A:$JV,R$30,FALSE)*IF(V42=0,0,1))</f>
        <v>#N/A</v>
      </c>
      <c r="S42" s="397" t="e">
        <f>IF($C42="","",VLOOKUP($C42+$F$11*1000,DSS_Calc!$A:$JV,S$30,FALSE)*IF(W42=0,0,1))</f>
        <v>#N/A</v>
      </c>
      <c r="T42" s="294" t="s">
        <v>2</v>
      </c>
      <c r="U42" s="398" t="e">
        <f>IF($C42="","",VLOOKUP($C42+$F$11*1000,DSS_Calc!$A:$JV,U$30,FALSE))</f>
        <v>#N/A</v>
      </c>
      <c r="V42" s="398" t="e">
        <f>IF($C42="","",VLOOKUP($C42+$F$11*1000,DSS_Calc!$A:$JV,V$30,FALSE))</f>
        <v>#N/A</v>
      </c>
      <c r="W42" s="398" t="e">
        <f>IF($C42="","",VLOOKUP($C42+$F$11*1000,DSS_Calc!$A:$JV,W$30,FALSE))</f>
        <v>#N/A</v>
      </c>
      <c r="X42" s="294" t="s">
        <v>2</v>
      </c>
      <c r="Y42" s="397" t="e">
        <f>IF(U42=0,0,U42*Q42)</f>
        <v>#N/A</v>
      </c>
      <c r="Z42" s="397" t="e">
        <f>IF(V42=0,0,V42*R42)</f>
        <v>#N/A</v>
      </c>
      <c r="AA42" s="397" t="e">
        <f>IF(W42=0,0,W42*S42)</f>
        <v>#N/A</v>
      </c>
      <c r="AB42" s="294" t="s">
        <v>2</v>
      </c>
      <c r="AC42" s="397" t="e">
        <f>SUM(Y42:AA42)</f>
        <v>#N/A</v>
      </c>
      <c r="AD42" s="399" t="e">
        <f>AC42*AE42/1000/1000</f>
        <v>#N/A</v>
      </c>
      <c r="AE42" s="400" t="e">
        <f>IF($C42="","",VLOOKUP($C42+$F$11*1000,DSS_Calc!$A:$JV,AE$30,FALSE))</f>
        <v>#N/A</v>
      </c>
      <c r="AF42" s="399" t="e">
        <f>IF($C42="","",VLOOKUP($C42+$F$11*1000,DSS_Calc!$A:$JV,AF$30,FALSE))</f>
        <v>#N/A</v>
      </c>
      <c r="AG42" s="401"/>
      <c r="AH42" s="398"/>
      <c r="AI42" s="401"/>
      <c r="AJ42" s="289" t="s">
        <v>2</v>
      </c>
      <c r="AK42" s="744"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#N/A</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#N/A</v>
      </c>
      <c r="G43" s="404"/>
      <c r="H43" s="404"/>
      <c r="I43" s="404" t="e">
        <f t="shared" ref="I43:O43" si="10">ROUND(I42-I$33,0)</f>
        <v>#N/A</v>
      </c>
      <c r="J43" s="404" t="e">
        <f t="shared" si="10"/>
        <v>#N/A</v>
      </c>
      <c r="K43" s="404" t="e">
        <f t="shared" si="10"/>
        <v>#N/A</v>
      </c>
      <c r="L43" s="404" t="e">
        <f t="shared" si="10"/>
        <v>#N/A</v>
      </c>
      <c r="M43" s="404" t="e">
        <f t="shared" si="10"/>
        <v>#N/A</v>
      </c>
      <c r="N43" s="404" t="e">
        <f t="shared" si="10"/>
        <v>#N/A</v>
      </c>
      <c r="O43" s="404" t="e">
        <f t="shared" si="10"/>
        <v>#N/A</v>
      </c>
      <c r="P43" s="294"/>
      <c r="Q43" s="404" t="e">
        <f t="shared" ref="Q43:S43" si="11">Q42-Q$33</f>
        <v>#N/A</v>
      </c>
      <c r="R43" s="404" t="e">
        <f t="shared" si="11"/>
        <v>#N/A</v>
      </c>
      <c r="S43" s="404" t="e">
        <f t="shared" si="11"/>
        <v>#N/A</v>
      </c>
      <c r="T43" s="294"/>
      <c r="U43" s="405" t="e">
        <f>U42-U$33</f>
        <v>#N/A</v>
      </c>
      <c r="V43" s="405" t="e">
        <f>V42-V$33</f>
        <v>#N/A</v>
      </c>
      <c r="W43" s="405" t="e">
        <f>W42-W$33</f>
        <v>#N/A</v>
      </c>
      <c r="X43" s="294"/>
      <c r="Y43" s="404" t="e">
        <f>Y42-Y$33</f>
        <v>#N/A</v>
      </c>
      <c r="Z43" s="404" t="e">
        <f>Z42-Z$33</f>
        <v>#N/A</v>
      </c>
      <c r="AA43" s="404" t="e">
        <f>AA42-AA$33</f>
        <v>#N/A</v>
      </c>
      <c r="AB43" s="294"/>
      <c r="AC43" s="404" t="e">
        <f>IFERROR(AC42-AC$33,NA())</f>
        <v>#N/A</v>
      </c>
      <c r="AD43" s="406" t="e">
        <f>AD42-AD$33</f>
        <v>#N/A</v>
      </c>
      <c r="AE43" s="407" t="e">
        <f t="shared" si="3"/>
        <v>#N/A</v>
      </c>
      <c r="AF43" s="406" t="e">
        <f t="shared" si="3"/>
        <v>#N/A</v>
      </c>
      <c r="AG43" s="408" t="e">
        <f>AF43/AF$33</f>
        <v>#N/A</v>
      </c>
      <c r="AH43" s="405"/>
      <c r="AI43" s="408" t="e">
        <f>IFERROR(AE43/$AE$33,NA())</f>
        <v>#N/A</v>
      </c>
      <c r="AJ43" s="289"/>
      <c r="AK43" s="751"/>
      <c r="AL43" s="750" t="e">
        <f>$AE42*U42-$AE$33*U$33</f>
        <v>#N/A</v>
      </c>
      <c r="AM43" s="750" t="e">
        <f>$AE42*V42-$AE$33*V$33</f>
        <v>#N/A</v>
      </c>
      <c r="AN43" s="750" t="e">
        <f>$AE42*W42-$AE$33*W$33</f>
        <v>#N/A</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f>SUMIFS(DSS_Calc!B:B,DSS_Calc!C:C,$F$11,DSS_Calc!KV:KV,6)</f>
        <v>0</v>
      </c>
      <c r="D44" s="261" t="str">
        <f>"Scenario " &amp; A44</f>
        <v>Scenario F</v>
      </c>
      <c r="E44" s="272" t="s">
        <v>2</v>
      </c>
      <c r="F44" s="262" t="e">
        <f>IF($C44="","",VLOOKUP($C44+$F$11*1000,DSS_Calc!$A:$JV,F$30,FALSE))</f>
        <v>#N/A</v>
      </c>
      <c r="G44" s="262" t="e">
        <f>IF($C44="","",VLOOKUP($C44+$F$11*1000,DSS_Calc!$A:$JV,G$30,FALSE))</f>
        <v>#N/A</v>
      </c>
      <c r="H44" s="262" t="e">
        <f>IF($C44="","",VLOOKUP($C44+$F$11*1000,DSS_Calc!$A:$JV,H$30,FALSE))</f>
        <v>#N/A</v>
      </c>
      <c r="I44" s="262" t="e">
        <f>IF($C44="","",VLOOKUP($C44+$F$11*1000,DSS_Calc!$A:$JV,I$30,FALSE))</f>
        <v>#N/A</v>
      </c>
      <c r="J44" s="262" t="e">
        <f>IF($C44="","",VLOOKUP($C44+$F$11*1000,DSS_Calc!$A:$JV,J$30,FALSE))</f>
        <v>#N/A</v>
      </c>
      <c r="K44" s="262" t="e">
        <f>IF($C44="","",VLOOKUP($C44+$F$11*1000,DSS_Calc!$A:$JV,K$30,FALSE))</f>
        <v>#N/A</v>
      </c>
      <c r="L44" s="262" t="e">
        <f>IF($C44="","",VLOOKUP($C44+$F$11*1000,DSS_Calc!$A:$JV,L$30,FALSE))</f>
        <v>#N/A</v>
      </c>
      <c r="M44" s="262" t="e">
        <f>IF($C44="","",VLOOKUP($C44+$F$11*1000,DSS_Calc!$A:$JV,M$30,FALSE))</f>
        <v>#N/A</v>
      </c>
      <c r="N44" s="262" t="e">
        <f>IF($C44="","",VLOOKUP($C44+$F$11*1000,DSS_Calc!$A:$JV,N$30,FALSE))</f>
        <v>#N/A</v>
      </c>
      <c r="O44" s="262" t="e">
        <f>IF($C44="","",VLOOKUP($C44+$F$11*1000,DSS_Calc!$A:$JV,O$30,FALSE))</f>
        <v>#N/A</v>
      </c>
      <c r="P44" s="294" t="s">
        <v>2</v>
      </c>
      <c r="Q44" s="262" t="e">
        <f>IF($C44="","",VLOOKUP($C44+$F$11*1000,DSS_Calc!$A:$JV,Q$30,FALSE)*IF(U44=0,0,1))</f>
        <v>#N/A</v>
      </c>
      <c r="R44" s="262" t="e">
        <f>IF($C44="","",VLOOKUP($C44+$F$11*1000,DSS_Calc!$A:$JV,R$30,FALSE)*IF(V44=0,0,1))</f>
        <v>#N/A</v>
      </c>
      <c r="S44" s="262" t="e">
        <f>IF($C44="","",VLOOKUP($C44+$F$11*1000,DSS_Calc!$A:$JV,S$30,FALSE)*IF(W44=0,0,1))</f>
        <v>#N/A</v>
      </c>
      <c r="T44" s="294" t="s">
        <v>2</v>
      </c>
      <c r="U44" s="263" t="e">
        <f>IF($C44="","",VLOOKUP($C44+$F$11*1000,DSS_Calc!$A:$JV,U$30,FALSE))</f>
        <v>#N/A</v>
      </c>
      <c r="V44" s="263" t="e">
        <f>IF($C44="","",VLOOKUP($C44+$F$11*1000,DSS_Calc!$A:$JV,V$30,FALSE))</f>
        <v>#N/A</v>
      </c>
      <c r="W44" s="263" t="e">
        <f>IF($C44="","",VLOOKUP($C44+$F$11*1000,DSS_Calc!$A:$JV,W$30,FALSE))</f>
        <v>#N/A</v>
      </c>
      <c r="X44" s="294" t="s">
        <v>2</v>
      </c>
      <c r="Y44" s="262" t="e">
        <f>IF(U44=0,0,U44*Q44)</f>
        <v>#N/A</v>
      </c>
      <c r="Z44" s="262" t="e">
        <f>IF(V44=0,0,V44*R44)</f>
        <v>#N/A</v>
      </c>
      <c r="AA44" s="262" t="e">
        <f>IF(W44=0,0,W44*S44)</f>
        <v>#N/A</v>
      </c>
      <c r="AB44" s="294" t="s">
        <v>2</v>
      </c>
      <c r="AC44" s="262" t="e">
        <f>SUM(Y44:AA44)</f>
        <v>#N/A</v>
      </c>
      <c r="AD44" s="264" t="e">
        <f>AC44*AE44/1000/1000</f>
        <v>#N/A</v>
      </c>
      <c r="AE44" s="265" t="e">
        <f>IF($C44="","",VLOOKUP($C44+$F$11*1000,DSS_Calc!$A:$JV,AE$30,FALSE))</f>
        <v>#N/A</v>
      </c>
      <c r="AF44" s="264" t="e">
        <f>IF($C44="","",VLOOKUP($C44+$F$11*1000,DSS_Calc!$A:$JV,AF$30,FALSE))</f>
        <v>#N/A</v>
      </c>
      <c r="AG44" s="263"/>
      <c r="AH44" s="263"/>
      <c r="AI44" s="300"/>
      <c r="AJ44" s="289" t="s">
        <v>2</v>
      </c>
      <c r="AK44" s="744"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#N/A</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#N/A</v>
      </c>
      <c r="G45" s="267"/>
      <c r="H45" s="267"/>
      <c r="I45" s="267" t="e">
        <f t="shared" ref="I45:O45" si="12">ROUND(I44-I$33,0)</f>
        <v>#N/A</v>
      </c>
      <c r="J45" s="267" t="e">
        <f t="shared" si="12"/>
        <v>#N/A</v>
      </c>
      <c r="K45" s="267" t="e">
        <f t="shared" si="12"/>
        <v>#N/A</v>
      </c>
      <c r="L45" s="267" t="e">
        <f t="shared" si="12"/>
        <v>#N/A</v>
      </c>
      <c r="M45" s="267" t="e">
        <f t="shared" si="12"/>
        <v>#N/A</v>
      </c>
      <c r="N45" s="267" t="e">
        <f t="shared" si="12"/>
        <v>#N/A</v>
      </c>
      <c r="O45" s="267" t="e">
        <f t="shared" si="12"/>
        <v>#N/A</v>
      </c>
      <c r="P45" s="294"/>
      <c r="Q45" s="267" t="e">
        <f t="shared" ref="Q45:S45" si="13">Q44-Q$33</f>
        <v>#N/A</v>
      </c>
      <c r="R45" s="267" t="e">
        <f t="shared" si="13"/>
        <v>#N/A</v>
      </c>
      <c r="S45" s="267" t="e">
        <f t="shared" si="13"/>
        <v>#N/A</v>
      </c>
      <c r="T45" s="294"/>
      <c r="U45" s="268" t="e">
        <f>U44-U$33</f>
        <v>#N/A</v>
      </c>
      <c r="V45" s="268" t="e">
        <f>V44-V$33</f>
        <v>#N/A</v>
      </c>
      <c r="W45" s="268" t="e">
        <f>W44-W$33</f>
        <v>#N/A</v>
      </c>
      <c r="X45" s="294"/>
      <c r="Y45" s="267" t="e">
        <f>Y44-Y$33</f>
        <v>#N/A</v>
      </c>
      <c r="Z45" s="267" t="e">
        <f>Z44-Z$33</f>
        <v>#N/A</v>
      </c>
      <c r="AA45" s="267" t="e">
        <f>AA44-AA$33</f>
        <v>#N/A</v>
      </c>
      <c r="AB45" s="294"/>
      <c r="AC45" s="267" t="e">
        <f>IFERROR(AC44-AC$33,NA())</f>
        <v>#N/A</v>
      </c>
      <c r="AD45" s="269" t="e">
        <f>AD44-AD$33</f>
        <v>#N/A</v>
      </c>
      <c r="AE45" s="270" t="e">
        <f t="shared" si="3"/>
        <v>#N/A</v>
      </c>
      <c r="AF45" s="269" t="e">
        <f t="shared" si="3"/>
        <v>#N/A</v>
      </c>
      <c r="AG45" s="268" t="e">
        <f>AF45/AF$33</f>
        <v>#N/A</v>
      </c>
      <c r="AH45" s="268"/>
      <c r="AI45" s="301" t="e">
        <f>IFERROR(AE45/$AE$33,NA())</f>
        <v>#N/A</v>
      </c>
      <c r="AJ45" s="289"/>
      <c r="AK45" s="751"/>
      <c r="AL45" s="750" t="e">
        <f>$AE44*U44-$AE$33*U$33</f>
        <v>#N/A</v>
      </c>
      <c r="AM45" s="750" t="e">
        <f>$AE44*V44-$AE$33*V$33</f>
        <v>#N/A</v>
      </c>
      <c r="AN45" s="750" t="e">
        <f>$AE44*W44-$AE$33*W$33</f>
        <v>#N/A</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f>SUMIFS(DSS_Calc!B:B,DSS_Calc!C:C,$F$11,DSS_Calc!KV:KV,7)</f>
        <v>0</v>
      </c>
      <c r="D46" s="396" t="str">
        <f>"Scenario " &amp; A46</f>
        <v>Scenario G</v>
      </c>
      <c r="E46" s="272" t="s">
        <v>2</v>
      </c>
      <c r="F46" s="397" t="e">
        <f>IF($C46="","",VLOOKUP($C46+$F$11*1000,DSS_Calc!$A:$JV,F$30,FALSE))</f>
        <v>#N/A</v>
      </c>
      <c r="G46" s="397" t="e">
        <f>IF($C46="","",VLOOKUP($C46+$F$11*1000,DSS_Calc!$A:$JV,G$30,FALSE))</f>
        <v>#N/A</v>
      </c>
      <c r="H46" s="397" t="e">
        <f>IF($C46="","",VLOOKUP($C46+$F$11*1000,DSS_Calc!$A:$JV,H$30,FALSE))</f>
        <v>#N/A</v>
      </c>
      <c r="I46" s="397" t="e">
        <f>IF($C46="","",VLOOKUP($C46+$F$11*1000,DSS_Calc!$A:$JV,I$30,FALSE))</f>
        <v>#N/A</v>
      </c>
      <c r="J46" s="397" t="e">
        <f>IF($C46="","",VLOOKUP($C46+$F$11*1000,DSS_Calc!$A:$JV,J$30,FALSE))</f>
        <v>#N/A</v>
      </c>
      <c r="K46" s="397" t="e">
        <f>IF($C46="","",VLOOKUP($C46+$F$11*1000,DSS_Calc!$A:$JV,K$30,FALSE))</f>
        <v>#N/A</v>
      </c>
      <c r="L46" s="397" t="e">
        <f>IF($C46="","",VLOOKUP($C46+$F$11*1000,DSS_Calc!$A:$JV,L$30,FALSE))</f>
        <v>#N/A</v>
      </c>
      <c r="M46" s="397" t="e">
        <f>IF($C46="","",VLOOKUP($C46+$F$11*1000,DSS_Calc!$A:$JV,M$30,FALSE))</f>
        <v>#N/A</v>
      </c>
      <c r="N46" s="397" t="e">
        <f>IF($C46="","",VLOOKUP($C46+$F$11*1000,DSS_Calc!$A:$JV,N$30,FALSE))</f>
        <v>#N/A</v>
      </c>
      <c r="O46" s="397" t="e">
        <f>IF($C46="","",VLOOKUP($C46+$F$11*1000,DSS_Calc!$A:$JV,O$30,FALSE))</f>
        <v>#N/A</v>
      </c>
      <c r="P46" s="294" t="s">
        <v>2</v>
      </c>
      <c r="Q46" s="397" t="e">
        <f>IF($C46="","",VLOOKUP($C46+$F$11*1000,DSS_Calc!$A:$JV,Q$30,FALSE)*IF(U46=0,0,1))</f>
        <v>#N/A</v>
      </c>
      <c r="R46" s="397" t="e">
        <f>IF($C46="","",VLOOKUP($C46+$F$11*1000,DSS_Calc!$A:$JV,R$30,FALSE)*IF(V46=0,0,1))</f>
        <v>#N/A</v>
      </c>
      <c r="S46" s="397" t="e">
        <f>IF($C46="","",VLOOKUP($C46+$F$11*1000,DSS_Calc!$A:$JV,S$30,FALSE)*IF(W46=0,0,1))</f>
        <v>#N/A</v>
      </c>
      <c r="T46" s="294" t="s">
        <v>2</v>
      </c>
      <c r="U46" s="398" t="e">
        <f>IF($C46="","",VLOOKUP($C46+$F$11*1000,DSS_Calc!$A:$JV,U$30,FALSE))</f>
        <v>#N/A</v>
      </c>
      <c r="V46" s="398" t="e">
        <f>IF($C46="","",VLOOKUP($C46+$F$11*1000,DSS_Calc!$A:$JV,V$30,FALSE))</f>
        <v>#N/A</v>
      </c>
      <c r="W46" s="398" t="e">
        <f>IF($C46="","",VLOOKUP($C46+$F$11*1000,DSS_Calc!$A:$JV,W$30,FALSE))</f>
        <v>#N/A</v>
      </c>
      <c r="X46" s="294" t="s">
        <v>2</v>
      </c>
      <c r="Y46" s="397" t="e">
        <f>IF(U46=0,0,U46*Q46)</f>
        <v>#N/A</v>
      </c>
      <c r="Z46" s="397" t="e">
        <f>IF(V46=0,0,V46*R46)</f>
        <v>#N/A</v>
      </c>
      <c r="AA46" s="397" t="e">
        <f>IF(W46=0,0,W46*S46)</f>
        <v>#N/A</v>
      </c>
      <c r="AB46" s="294" t="s">
        <v>2</v>
      </c>
      <c r="AC46" s="397" t="e">
        <f>SUM(Y46:AA46)</f>
        <v>#N/A</v>
      </c>
      <c r="AD46" s="399" t="e">
        <f>AC46*AE46/1000/1000</f>
        <v>#N/A</v>
      </c>
      <c r="AE46" s="400" t="e">
        <f>IF($C46="","",VLOOKUP($C46+$F$11*1000,DSS_Calc!$A:$JV,AE$30,FALSE))</f>
        <v>#N/A</v>
      </c>
      <c r="AF46" s="399" t="e">
        <f>IF($C46="","",VLOOKUP($C46+$F$11*1000,DSS_Calc!$A:$JV,AF$30,FALSE))</f>
        <v>#N/A</v>
      </c>
      <c r="AG46" s="398"/>
      <c r="AH46" s="398"/>
      <c r="AI46" s="401"/>
      <c r="AJ46" s="289" t="s">
        <v>2</v>
      </c>
      <c r="AK46" s="744"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#N/A</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#N/A</v>
      </c>
      <c r="G47" s="404"/>
      <c r="H47" s="404"/>
      <c r="I47" s="404" t="e">
        <f t="shared" ref="I47:O47" si="14">ROUND(I46-I$33,0)</f>
        <v>#N/A</v>
      </c>
      <c r="J47" s="404" t="e">
        <f t="shared" si="14"/>
        <v>#N/A</v>
      </c>
      <c r="K47" s="404" t="e">
        <f t="shared" si="14"/>
        <v>#N/A</v>
      </c>
      <c r="L47" s="404" t="e">
        <f t="shared" si="14"/>
        <v>#N/A</v>
      </c>
      <c r="M47" s="404" t="e">
        <f t="shared" si="14"/>
        <v>#N/A</v>
      </c>
      <c r="N47" s="404" t="e">
        <f t="shared" si="14"/>
        <v>#N/A</v>
      </c>
      <c r="O47" s="404" t="e">
        <f t="shared" si="14"/>
        <v>#N/A</v>
      </c>
      <c r="P47" s="294"/>
      <c r="Q47" s="404" t="e">
        <f t="shared" ref="Q47:S47" si="15">Q46-Q$33</f>
        <v>#N/A</v>
      </c>
      <c r="R47" s="404" t="e">
        <f t="shared" si="15"/>
        <v>#N/A</v>
      </c>
      <c r="S47" s="404" t="e">
        <f t="shared" si="15"/>
        <v>#N/A</v>
      </c>
      <c r="T47" s="294"/>
      <c r="U47" s="405" t="e">
        <f>U46-U$33</f>
        <v>#N/A</v>
      </c>
      <c r="V47" s="405" t="e">
        <f>V46-V$33</f>
        <v>#N/A</v>
      </c>
      <c r="W47" s="405" t="e">
        <f>W46-W$33</f>
        <v>#N/A</v>
      </c>
      <c r="X47" s="294"/>
      <c r="Y47" s="404" t="e">
        <f>Y46-Y$33</f>
        <v>#N/A</v>
      </c>
      <c r="Z47" s="404" t="e">
        <f>Z46-Z$33</f>
        <v>#N/A</v>
      </c>
      <c r="AA47" s="404" t="e">
        <f>AA46-AA$33</f>
        <v>#N/A</v>
      </c>
      <c r="AB47" s="294"/>
      <c r="AC47" s="404" t="e">
        <f>IFERROR(AC46-AC$33,NA())</f>
        <v>#N/A</v>
      </c>
      <c r="AD47" s="406" t="e">
        <f>AD46-AD$33</f>
        <v>#N/A</v>
      </c>
      <c r="AE47" s="407" t="e">
        <f t="shared" si="3"/>
        <v>#N/A</v>
      </c>
      <c r="AF47" s="406" t="e">
        <f t="shared" si="3"/>
        <v>#N/A</v>
      </c>
      <c r="AG47" s="405" t="e">
        <f>AF47/AF$33</f>
        <v>#N/A</v>
      </c>
      <c r="AH47" s="405"/>
      <c r="AI47" s="408" t="e">
        <f>IFERROR(AE47/$AE$33,NA())</f>
        <v>#N/A</v>
      </c>
      <c r="AJ47" s="289"/>
      <c r="AK47" s="751"/>
      <c r="AL47" s="750" t="e">
        <f>$AE46*U46-$AE$33*U$33</f>
        <v>#N/A</v>
      </c>
      <c r="AM47" s="750" t="e">
        <f>$AE46*V46-$AE$33*V$33</f>
        <v>#N/A</v>
      </c>
      <c r="AN47" s="750" t="e">
        <f>$AE46*W46-$AE$33*W$33</f>
        <v>#N/A</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f>SUMIFS(DSS_Calc!B:B,DSS_Calc!C:C,$F$11,DSS_Calc!KV:KV,8)</f>
        <v>0</v>
      </c>
      <c r="D48" s="261" t="str">
        <f>"Scenario " &amp; A48</f>
        <v>Scenario H</v>
      </c>
      <c r="E48" s="272" t="s">
        <v>2</v>
      </c>
      <c r="F48" s="262" t="e">
        <f>IF($C48="","",VLOOKUP($C48+$F$11*1000,DSS_Calc!$A:$JV,F$30,FALSE))</f>
        <v>#N/A</v>
      </c>
      <c r="G48" s="262" t="e">
        <f>IF($C48="","",VLOOKUP($C48+$F$11*1000,DSS_Calc!$A:$JV,G$30,FALSE))</f>
        <v>#N/A</v>
      </c>
      <c r="H48" s="262" t="e">
        <f>IF($C48="","",VLOOKUP($C48+$F$11*1000,DSS_Calc!$A:$JV,H$30,FALSE))</f>
        <v>#N/A</v>
      </c>
      <c r="I48" s="262" t="e">
        <f>IF($C48="","",VLOOKUP($C48+$F$11*1000,DSS_Calc!$A:$JV,I$30,FALSE))</f>
        <v>#N/A</v>
      </c>
      <c r="J48" s="262" t="e">
        <f>IF($C48="","",VLOOKUP($C48+$F$11*1000,DSS_Calc!$A:$JV,J$30,FALSE))</f>
        <v>#N/A</v>
      </c>
      <c r="K48" s="262" t="e">
        <f>IF($C48="","",VLOOKUP($C48+$F$11*1000,DSS_Calc!$A:$JV,K$30,FALSE))</f>
        <v>#N/A</v>
      </c>
      <c r="L48" s="262" t="e">
        <f>IF($C48="","",VLOOKUP($C48+$F$11*1000,DSS_Calc!$A:$JV,L$30,FALSE))</f>
        <v>#N/A</v>
      </c>
      <c r="M48" s="262" t="e">
        <f>IF($C48="","",VLOOKUP($C48+$F$11*1000,DSS_Calc!$A:$JV,M$30,FALSE))</f>
        <v>#N/A</v>
      </c>
      <c r="N48" s="262" t="e">
        <f>IF($C48="","",VLOOKUP($C48+$F$11*1000,DSS_Calc!$A:$JV,N$30,FALSE))</f>
        <v>#N/A</v>
      </c>
      <c r="O48" s="262" t="e">
        <f>IF($C48="","",VLOOKUP($C48+$F$11*1000,DSS_Calc!$A:$JV,O$30,FALSE))</f>
        <v>#N/A</v>
      </c>
      <c r="P48" s="294" t="s">
        <v>2</v>
      </c>
      <c r="Q48" s="262" t="e">
        <f>IF($C48="","",VLOOKUP($C48+$F$11*1000,DSS_Calc!$A:$JV,Q$30,FALSE)*IF(U48=0,0,1))</f>
        <v>#N/A</v>
      </c>
      <c r="R48" s="262" t="e">
        <f>IF($C48="","",VLOOKUP($C48+$F$11*1000,DSS_Calc!$A:$JV,R$30,FALSE)*IF(V48=0,0,1))</f>
        <v>#N/A</v>
      </c>
      <c r="S48" s="262" t="e">
        <f>IF($C48="","",VLOOKUP($C48+$F$11*1000,DSS_Calc!$A:$JV,S$30,FALSE)*IF(W48=0,0,1))</f>
        <v>#N/A</v>
      </c>
      <c r="T48" s="294" t="s">
        <v>2</v>
      </c>
      <c r="U48" s="263" t="e">
        <f>IF($C48="","",VLOOKUP($C48+$F$11*1000,DSS_Calc!$A:$JV,U$30,FALSE))</f>
        <v>#N/A</v>
      </c>
      <c r="V48" s="263" t="e">
        <f>IF($C48="","",VLOOKUP($C48+$F$11*1000,DSS_Calc!$A:$JV,V$30,FALSE))</f>
        <v>#N/A</v>
      </c>
      <c r="W48" s="263" t="e">
        <f>IF($C48="","",VLOOKUP($C48+$F$11*1000,DSS_Calc!$A:$JV,W$30,FALSE))</f>
        <v>#N/A</v>
      </c>
      <c r="X48" s="294" t="s">
        <v>2</v>
      </c>
      <c r="Y48" s="262" t="e">
        <f>IF(U48=0,0,U48*Q48)</f>
        <v>#N/A</v>
      </c>
      <c r="Z48" s="262" t="e">
        <f>IF(V48=0,0,V48*R48)</f>
        <v>#N/A</v>
      </c>
      <c r="AA48" s="262" t="e">
        <f>IF(W48=0,0,W48*S48)</f>
        <v>#N/A</v>
      </c>
      <c r="AB48" s="294" t="s">
        <v>2</v>
      </c>
      <c r="AC48" s="262" t="e">
        <f>SUM(Y48:AA48)</f>
        <v>#N/A</v>
      </c>
      <c r="AD48" s="264" t="e">
        <f>AC48*AE48/1000/1000</f>
        <v>#N/A</v>
      </c>
      <c r="AE48" s="265" t="e">
        <f>IF($C48="","",VLOOKUP($C48+$F$11*1000,DSS_Calc!$A:$JV,AE$30,FALSE))</f>
        <v>#N/A</v>
      </c>
      <c r="AF48" s="264" t="e">
        <f>IF($C48="","",VLOOKUP($C48+$F$11*1000,DSS_Calc!$A:$JV,AF$30,FALSE))</f>
        <v>#N/A</v>
      </c>
      <c r="AG48" s="263"/>
      <c r="AH48" s="263"/>
      <c r="AI48" s="300"/>
      <c r="AJ48" s="289" t="s">
        <v>2</v>
      </c>
      <c r="AK48" s="744"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#N/A</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#N/A</v>
      </c>
      <c r="G49" s="267"/>
      <c r="H49" s="267"/>
      <c r="I49" s="267" t="e">
        <f t="shared" ref="I49:O49" si="16">ROUND(I48-I$33,0)</f>
        <v>#N/A</v>
      </c>
      <c r="J49" s="267" t="e">
        <f t="shared" si="16"/>
        <v>#N/A</v>
      </c>
      <c r="K49" s="267" t="e">
        <f t="shared" si="16"/>
        <v>#N/A</v>
      </c>
      <c r="L49" s="267" t="e">
        <f t="shared" si="16"/>
        <v>#N/A</v>
      </c>
      <c r="M49" s="267" t="e">
        <f t="shared" si="16"/>
        <v>#N/A</v>
      </c>
      <c r="N49" s="267" t="e">
        <f t="shared" si="16"/>
        <v>#N/A</v>
      </c>
      <c r="O49" s="267" t="e">
        <f t="shared" si="16"/>
        <v>#N/A</v>
      </c>
      <c r="P49" s="294"/>
      <c r="Q49" s="267" t="e">
        <f t="shared" ref="Q49:S49" si="17">Q48-Q$33</f>
        <v>#N/A</v>
      </c>
      <c r="R49" s="267" t="e">
        <f t="shared" si="17"/>
        <v>#N/A</v>
      </c>
      <c r="S49" s="267" t="e">
        <f t="shared" si="17"/>
        <v>#N/A</v>
      </c>
      <c r="T49" s="294"/>
      <c r="U49" s="268" t="e">
        <f>U48-U$33</f>
        <v>#N/A</v>
      </c>
      <c r="V49" s="268" t="e">
        <f>V48-V$33</f>
        <v>#N/A</v>
      </c>
      <c r="W49" s="268" t="e">
        <f>W48-W$33</f>
        <v>#N/A</v>
      </c>
      <c r="X49" s="294"/>
      <c r="Y49" s="267" t="e">
        <f>Y48-Y$33</f>
        <v>#N/A</v>
      </c>
      <c r="Z49" s="267" t="e">
        <f>Z48-Z$33</f>
        <v>#N/A</v>
      </c>
      <c r="AA49" s="267" t="e">
        <f>AA48-AA$33</f>
        <v>#N/A</v>
      </c>
      <c r="AB49" s="294"/>
      <c r="AC49" s="267" t="e">
        <f>IFERROR(AC48-AC$33,NA())</f>
        <v>#N/A</v>
      </c>
      <c r="AD49" s="269" t="e">
        <f>AD48-AD$33</f>
        <v>#N/A</v>
      </c>
      <c r="AE49" s="270" t="e">
        <f t="shared" si="3"/>
        <v>#N/A</v>
      </c>
      <c r="AF49" s="269" t="e">
        <f t="shared" si="3"/>
        <v>#N/A</v>
      </c>
      <c r="AG49" s="268" t="e">
        <f>AF49/AF$33</f>
        <v>#N/A</v>
      </c>
      <c r="AH49" s="268"/>
      <c r="AI49" s="301" t="e">
        <f>IFERROR(AE49/$AE$33,NA())</f>
        <v>#N/A</v>
      </c>
      <c r="AJ49" s="289"/>
      <c r="AK49" s="751"/>
      <c r="AL49" s="750" t="e">
        <f>$AE48*U48-$AE$33*U$33</f>
        <v>#N/A</v>
      </c>
      <c r="AM49" s="750" t="e">
        <f>$AE48*V48-$AE$33*V$33</f>
        <v>#N/A</v>
      </c>
      <c r="AN49" s="750" t="e">
        <f>$AE48*W48-$AE$33*W$33</f>
        <v>#N/A</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44"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44"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44"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44"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44"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44"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44"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44"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44"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44"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44"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22"/>
      <c r="AK72" s="112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1419" priority="233">
      <formula>IF(F$29="NO",TRUE,FALSE)</formula>
    </cfRule>
  </conditionalFormatting>
  <conditionalFormatting sqref="G33">
    <cfRule type="expression" dxfId="1418" priority="232">
      <formula>IF($G$29="NO",TRUE,FALSE)</formula>
    </cfRule>
  </conditionalFormatting>
  <conditionalFormatting sqref="H33">
    <cfRule type="expression" dxfId="1417" priority="231">
      <formula>IF($H$29="NO",TRUE,FALSE)</formula>
    </cfRule>
  </conditionalFormatting>
  <conditionalFormatting sqref="G33:I33">
    <cfRule type="expression" dxfId="1416" priority="230">
      <formula>IF(G$29="NO",TRUE,FALSE)</formula>
    </cfRule>
  </conditionalFormatting>
  <conditionalFormatting sqref="Y33:AA33">
    <cfRule type="expression" dxfId="1415" priority="229">
      <formula>IF(Y$29="NO",TRUE,FALSE)</formula>
    </cfRule>
  </conditionalFormatting>
  <conditionalFormatting sqref="AC33">
    <cfRule type="expression" dxfId="1414" priority="228">
      <formula>IF(AC$29="NO",TRUE,FALSE)</formula>
    </cfRule>
  </conditionalFormatting>
  <conditionalFormatting sqref="AD33">
    <cfRule type="expression" dxfId="1413" priority="227">
      <formula>IF(AD$29="NO",TRUE,FALSE)</formula>
    </cfRule>
  </conditionalFormatting>
  <conditionalFormatting sqref="AE33">
    <cfRule type="expression" dxfId="1412" priority="226">
      <formula>IF(AE$29="NO",TRUE,FALSE)</formula>
    </cfRule>
  </conditionalFormatting>
  <conditionalFormatting sqref="U36:W36">
    <cfRule type="expression" dxfId="1411" priority="225">
      <formula>IF(XDI$29="NO",TRUE,FALSE)</formula>
    </cfRule>
  </conditionalFormatting>
  <conditionalFormatting sqref="AC48:AE48 AC52:AF52 AC56:AF56 AC60:AF60 AC64:AF64 AC36:AF36 AC40:AF40 AC44:AF44">
    <cfRule type="expression" dxfId="1410" priority="224">
      <formula>IF(XDR$29="NO",TRUE,FALSE)</formula>
    </cfRule>
  </conditionalFormatting>
  <conditionalFormatting sqref="Q36:S36">
    <cfRule type="expression" dxfId="1409" priority="223">
      <formula>IF(XDD$29="NO",TRUE,FALSE)</formula>
    </cfRule>
  </conditionalFormatting>
  <conditionalFormatting sqref="Y46:AA46">
    <cfRule type="expression" dxfId="1408" priority="222">
      <formula>IF(XDN$29="NO",TRUE,FALSE)</formula>
    </cfRule>
  </conditionalFormatting>
  <conditionalFormatting sqref="AC46">
    <cfRule type="expression" dxfId="1407" priority="221">
      <formula>IF(XDR$29="NO",TRUE,FALSE)</formula>
    </cfRule>
  </conditionalFormatting>
  <conditionalFormatting sqref="AD46">
    <cfRule type="expression" dxfId="1406" priority="220">
      <formula>IF(XDS$29="NO",TRUE,FALSE)</formula>
    </cfRule>
  </conditionalFormatting>
  <conditionalFormatting sqref="AE46">
    <cfRule type="expression" dxfId="1405" priority="219">
      <formula>IF(XDT$29="NO",TRUE,FALSE)</formula>
    </cfRule>
  </conditionalFormatting>
  <conditionalFormatting sqref="Y46:AA46">
    <cfRule type="expression" dxfId="1404" priority="218">
      <formula>IF(XDN$29="NO",TRUE,FALSE)</formula>
    </cfRule>
  </conditionalFormatting>
  <conditionalFormatting sqref="AC46">
    <cfRule type="expression" dxfId="1403" priority="217">
      <formula>IF(XDR$29="NO",TRUE,FALSE)</formula>
    </cfRule>
  </conditionalFormatting>
  <conditionalFormatting sqref="AD46">
    <cfRule type="expression" dxfId="1402" priority="216">
      <formula>IF(XDS$29="NO",TRUE,FALSE)</formula>
    </cfRule>
  </conditionalFormatting>
  <conditionalFormatting sqref="AE46">
    <cfRule type="expression" dxfId="1401" priority="215">
      <formula>IF(XDT$29="NO",TRUE,FALSE)</formula>
    </cfRule>
  </conditionalFormatting>
  <conditionalFormatting sqref="AE54">
    <cfRule type="expression" dxfId="1400" priority="201">
      <formula>IF(XDT$29="NO",TRUE,FALSE)</formula>
    </cfRule>
  </conditionalFormatting>
  <conditionalFormatting sqref="Y48:AA48">
    <cfRule type="expression" dxfId="1399" priority="214">
      <formula>IF(XDN$29="NO",TRUE,FALSE)</formula>
    </cfRule>
  </conditionalFormatting>
  <conditionalFormatting sqref="Y50:AA50">
    <cfRule type="expression" dxfId="1398" priority="213">
      <formula>IF(XDN$29="NO",TRUE,FALSE)</formula>
    </cfRule>
  </conditionalFormatting>
  <conditionalFormatting sqref="AC50">
    <cfRule type="expression" dxfId="1397" priority="212">
      <formula>IF(XDR$29="NO",TRUE,FALSE)</formula>
    </cfRule>
  </conditionalFormatting>
  <conditionalFormatting sqref="AD50">
    <cfRule type="expression" dxfId="1396" priority="211">
      <formula>IF(XDS$29="NO",TRUE,FALSE)</formula>
    </cfRule>
  </conditionalFormatting>
  <conditionalFormatting sqref="AE50">
    <cfRule type="expression" dxfId="1395" priority="210">
      <formula>IF(XDT$29="NO",TRUE,FALSE)</formula>
    </cfRule>
  </conditionalFormatting>
  <conditionalFormatting sqref="Y50:AA50">
    <cfRule type="expression" dxfId="1394" priority="209">
      <formula>IF(XDN$29="NO",TRUE,FALSE)</formula>
    </cfRule>
  </conditionalFormatting>
  <conditionalFormatting sqref="AC50">
    <cfRule type="expression" dxfId="1393" priority="208">
      <formula>IF(XDR$29="NO",TRUE,FALSE)</formula>
    </cfRule>
  </conditionalFormatting>
  <conditionalFormatting sqref="AD50">
    <cfRule type="expression" dxfId="1392" priority="207">
      <formula>IF(XDS$29="NO",TRUE,FALSE)</formula>
    </cfRule>
  </conditionalFormatting>
  <conditionalFormatting sqref="AE50">
    <cfRule type="expression" dxfId="1391" priority="206">
      <formula>IF(XDT$29="NO",TRUE,FALSE)</formula>
    </cfRule>
  </conditionalFormatting>
  <conditionalFormatting sqref="AE58">
    <cfRule type="expression" dxfId="1390" priority="192">
      <formula>IF(XDT$29="NO",TRUE,FALSE)</formula>
    </cfRule>
  </conditionalFormatting>
  <conditionalFormatting sqref="Y52:AA52">
    <cfRule type="expression" dxfId="1389" priority="205">
      <formula>IF(XDN$29="NO",TRUE,FALSE)</formula>
    </cfRule>
  </conditionalFormatting>
  <conditionalFormatting sqref="Y54:AA54">
    <cfRule type="expression" dxfId="1388" priority="204">
      <formula>IF(XDN$29="NO",TRUE,FALSE)</formula>
    </cfRule>
  </conditionalFormatting>
  <conditionalFormatting sqref="AC54">
    <cfRule type="expression" dxfId="1387" priority="203">
      <formula>IF(XDR$29="NO",TRUE,FALSE)</formula>
    </cfRule>
  </conditionalFormatting>
  <conditionalFormatting sqref="AD54">
    <cfRule type="expression" dxfId="1386" priority="202">
      <formula>IF(XDS$29="NO",TRUE,FALSE)</formula>
    </cfRule>
  </conditionalFormatting>
  <conditionalFormatting sqref="Y54:AA54">
    <cfRule type="expression" dxfId="1385" priority="200">
      <formula>IF(XDN$29="NO",TRUE,FALSE)</formula>
    </cfRule>
  </conditionalFormatting>
  <conditionalFormatting sqref="AC54">
    <cfRule type="expression" dxfId="1384" priority="199">
      <formula>IF(XDR$29="NO",TRUE,FALSE)</formula>
    </cfRule>
  </conditionalFormatting>
  <conditionalFormatting sqref="AD54">
    <cfRule type="expression" dxfId="1383" priority="198">
      <formula>IF(XDS$29="NO",TRUE,FALSE)</formula>
    </cfRule>
  </conditionalFormatting>
  <conditionalFormatting sqref="AE54">
    <cfRule type="expression" dxfId="1382" priority="197">
      <formula>IF(XDT$29="NO",TRUE,FALSE)</formula>
    </cfRule>
  </conditionalFormatting>
  <conditionalFormatting sqref="AE62">
    <cfRule type="expression" dxfId="1381" priority="183">
      <formula>IF(XDT$29="NO",TRUE,FALSE)</formula>
    </cfRule>
  </conditionalFormatting>
  <conditionalFormatting sqref="Y56:AA56">
    <cfRule type="expression" dxfId="1380" priority="196">
      <formula>IF(XDN$29="NO",TRUE,FALSE)</formula>
    </cfRule>
  </conditionalFormatting>
  <conditionalFormatting sqref="Y58:AA58">
    <cfRule type="expression" dxfId="1379" priority="195">
      <formula>IF(XDN$29="NO",TRUE,FALSE)</formula>
    </cfRule>
  </conditionalFormatting>
  <conditionalFormatting sqref="AC58">
    <cfRule type="expression" dxfId="1378" priority="194">
      <formula>IF(XDR$29="NO",TRUE,FALSE)</formula>
    </cfRule>
  </conditionalFormatting>
  <conditionalFormatting sqref="AD58">
    <cfRule type="expression" dxfId="1377" priority="193">
      <formula>IF(XDS$29="NO",TRUE,FALSE)</formula>
    </cfRule>
  </conditionalFormatting>
  <conditionalFormatting sqref="Y58:AA58">
    <cfRule type="expression" dxfId="1376" priority="191">
      <formula>IF(XDN$29="NO",TRUE,FALSE)</formula>
    </cfRule>
  </conditionalFormatting>
  <conditionalFormatting sqref="AC58">
    <cfRule type="expression" dxfId="1375" priority="190">
      <formula>IF(XDR$29="NO",TRUE,FALSE)</formula>
    </cfRule>
  </conditionalFormatting>
  <conditionalFormatting sqref="AD58">
    <cfRule type="expression" dxfId="1374" priority="189">
      <formula>IF(XDS$29="NO",TRUE,FALSE)</formula>
    </cfRule>
  </conditionalFormatting>
  <conditionalFormatting sqref="AE58">
    <cfRule type="expression" dxfId="1373" priority="188">
      <formula>IF(XDT$29="NO",TRUE,FALSE)</formula>
    </cfRule>
  </conditionalFormatting>
  <conditionalFormatting sqref="Y60:AA60">
    <cfRule type="expression" dxfId="1372" priority="187">
      <formula>IF(XDN$29="NO",TRUE,FALSE)</formula>
    </cfRule>
  </conditionalFormatting>
  <conditionalFormatting sqref="Y62:AA62">
    <cfRule type="expression" dxfId="1371" priority="186">
      <formula>IF(XDN$29="NO",TRUE,FALSE)</formula>
    </cfRule>
  </conditionalFormatting>
  <conditionalFormatting sqref="AC62">
    <cfRule type="expression" dxfId="1370" priority="185">
      <formula>IF(XDR$29="NO",TRUE,FALSE)</formula>
    </cfRule>
  </conditionalFormatting>
  <conditionalFormatting sqref="AD62">
    <cfRule type="expression" dxfId="1369" priority="184">
      <formula>IF(XDS$29="NO",TRUE,FALSE)</formula>
    </cfRule>
  </conditionalFormatting>
  <conditionalFormatting sqref="Y62:AA62">
    <cfRule type="expression" dxfId="1368" priority="182">
      <formula>IF(XDN$29="NO",TRUE,FALSE)</formula>
    </cfRule>
  </conditionalFormatting>
  <conditionalFormatting sqref="AC62">
    <cfRule type="expression" dxfId="1367" priority="181">
      <formula>IF(XDR$29="NO",TRUE,FALSE)</formula>
    </cfRule>
  </conditionalFormatting>
  <conditionalFormatting sqref="AD62">
    <cfRule type="expression" dxfId="1366" priority="180">
      <formula>IF(XDS$29="NO",TRUE,FALSE)</formula>
    </cfRule>
  </conditionalFormatting>
  <conditionalFormatting sqref="AE62">
    <cfRule type="expression" dxfId="1365" priority="179">
      <formula>IF(XDT$29="NO",TRUE,FALSE)</formula>
    </cfRule>
  </conditionalFormatting>
  <conditionalFormatting sqref="Y64:AA64">
    <cfRule type="expression" dxfId="1364" priority="178">
      <formula>IF(XDN$29="NO",TRUE,FALSE)</formula>
    </cfRule>
  </conditionalFormatting>
  <conditionalFormatting sqref="Q34:S34">
    <cfRule type="expression" dxfId="1363" priority="177">
      <formula>IF(XDD$29="NO",TRUE,FALSE)</formula>
    </cfRule>
  </conditionalFormatting>
  <conditionalFormatting sqref="U34:W34">
    <cfRule type="expression" dxfId="1362" priority="176">
      <formula>IF(XDI$29="NO",TRUE,FALSE)</formula>
    </cfRule>
  </conditionalFormatting>
  <conditionalFormatting sqref="Y34:AA34">
    <cfRule type="expression" dxfId="1361" priority="175">
      <formula>IF(XDN$29="NO",TRUE,FALSE)</formula>
    </cfRule>
  </conditionalFormatting>
  <conditionalFormatting sqref="AC34">
    <cfRule type="expression" dxfId="1360" priority="174">
      <formula>IF(XDR$29="NO",TRUE,FALSE)</formula>
    </cfRule>
  </conditionalFormatting>
  <conditionalFormatting sqref="AD34">
    <cfRule type="expression" dxfId="1359" priority="173">
      <formula>IF(XDS$29="NO",TRUE,FALSE)</formula>
    </cfRule>
  </conditionalFormatting>
  <conditionalFormatting sqref="AE34">
    <cfRule type="expression" dxfId="1358" priority="172">
      <formula>IF(XDT$29="NO",TRUE,FALSE)</formula>
    </cfRule>
  </conditionalFormatting>
  <conditionalFormatting sqref="Y38:AA38">
    <cfRule type="expression" dxfId="1357" priority="160">
      <formula>IF(XDN$29="NO",TRUE,FALSE)</formula>
    </cfRule>
  </conditionalFormatting>
  <conditionalFormatting sqref="Q34:S34">
    <cfRule type="expression" dxfId="1356" priority="171">
      <formula>IF(XDD$29="NO",TRUE,FALSE)</formula>
    </cfRule>
  </conditionalFormatting>
  <conditionalFormatting sqref="U34:W34">
    <cfRule type="expression" dxfId="1355" priority="170">
      <formula>IF(XDI$29="NO",TRUE,FALSE)</formula>
    </cfRule>
  </conditionalFormatting>
  <conditionalFormatting sqref="Y34:AA34">
    <cfRule type="expression" dxfId="1354" priority="169">
      <formula>IF(XDN$29="NO",TRUE,FALSE)</formula>
    </cfRule>
  </conditionalFormatting>
  <conditionalFormatting sqref="AC34">
    <cfRule type="expression" dxfId="1353" priority="168">
      <formula>IF(XDR$29="NO",TRUE,FALSE)</formula>
    </cfRule>
  </conditionalFormatting>
  <conditionalFormatting sqref="AD34">
    <cfRule type="expression" dxfId="1352" priority="167">
      <formula>IF(XDS$29="NO",TRUE,FALSE)</formula>
    </cfRule>
  </conditionalFormatting>
  <conditionalFormatting sqref="AE34">
    <cfRule type="expression" dxfId="1351" priority="166">
      <formula>IF(XDT$29="NO",TRUE,FALSE)</formula>
    </cfRule>
  </conditionalFormatting>
  <conditionalFormatting sqref="AC42">
    <cfRule type="expression" dxfId="1350" priority="154">
      <formula>IF(XDR$29="NO",TRUE,FALSE)</formula>
    </cfRule>
  </conditionalFormatting>
  <conditionalFormatting sqref="Y36:AA36">
    <cfRule type="expression" dxfId="1349" priority="165">
      <formula>IF(XDN$29="NO",TRUE,FALSE)</formula>
    </cfRule>
  </conditionalFormatting>
  <conditionalFormatting sqref="Y38:AA38">
    <cfRule type="expression" dxfId="1348" priority="164">
      <formula>IF(XDN$29="NO",TRUE,FALSE)</formula>
    </cfRule>
  </conditionalFormatting>
  <conditionalFormatting sqref="AC38">
    <cfRule type="expression" dxfId="1347" priority="163">
      <formula>IF(XDR$29="NO",TRUE,FALSE)</formula>
    </cfRule>
  </conditionalFormatting>
  <conditionalFormatting sqref="AD38">
    <cfRule type="expression" dxfId="1346" priority="162">
      <formula>IF(XDS$29="NO",TRUE,FALSE)</formula>
    </cfRule>
  </conditionalFormatting>
  <conditionalFormatting sqref="AE38">
    <cfRule type="expression" dxfId="1345" priority="161">
      <formula>IF(XDT$29="NO",TRUE,FALSE)</formula>
    </cfRule>
  </conditionalFormatting>
  <conditionalFormatting sqref="Q46:S46">
    <cfRule type="expression" dxfId="1344" priority="139">
      <formula>IF(XDD$29="NO",TRUE,FALSE)</formula>
    </cfRule>
  </conditionalFormatting>
  <conditionalFormatting sqref="AC38">
    <cfRule type="expression" dxfId="1343" priority="159">
      <formula>IF(XDR$29="NO",TRUE,FALSE)</formula>
    </cfRule>
  </conditionalFormatting>
  <conditionalFormatting sqref="AD38">
    <cfRule type="expression" dxfId="1342" priority="158">
      <formula>IF(XDS$29="NO",TRUE,FALSE)</formula>
    </cfRule>
  </conditionalFormatting>
  <conditionalFormatting sqref="AE38">
    <cfRule type="expression" dxfId="1341" priority="157">
      <formula>IF(XDT$29="NO",TRUE,FALSE)</formula>
    </cfRule>
  </conditionalFormatting>
  <conditionalFormatting sqref="Y40:AA40">
    <cfRule type="expression" dxfId="1340" priority="156">
      <formula>IF(XDN$29="NO",TRUE,FALSE)</formula>
    </cfRule>
  </conditionalFormatting>
  <conditionalFormatting sqref="Y42:AA42">
    <cfRule type="expression" dxfId="1339" priority="155">
      <formula>IF(XDN$29="NO",TRUE,FALSE)</formula>
    </cfRule>
  </conditionalFormatting>
  <conditionalFormatting sqref="AD42">
    <cfRule type="expression" dxfId="1338" priority="153">
      <formula>IF(XDS$29="NO",TRUE,FALSE)</formula>
    </cfRule>
  </conditionalFormatting>
  <conditionalFormatting sqref="AE42">
    <cfRule type="expression" dxfId="1337" priority="152">
      <formula>IF(XDT$29="NO",TRUE,FALSE)</formula>
    </cfRule>
  </conditionalFormatting>
  <conditionalFormatting sqref="Y42:AA42">
    <cfRule type="expression" dxfId="1336" priority="151">
      <formula>IF(XDN$29="NO",TRUE,FALSE)</formula>
    </cfRule>
  </conditionalFormatting>
  <conditionalFormatting sqref="AC42">
    <cfRule type="expression" dxfId="1335" priority="150">
      <formula>IF(XDR$29="NO",TRUE,FALSE)</formula>
    </cfRule>
  </conditionalFormatting>
  <conditionalFormatting sqref="AD42">
    <cfRule type="expression" dxfId="1334" priority="149">
      <formula>IF(XDS$29="NO",TRUE,FALSE)</formula>
    </cfRule>
  </conditionalFormatting>
  <conditionalFormatting sqref="AE42">
    <cfRule type="expression" dxfId="1333" priority="148">
      <formula>IF(XDT$29="NO",TRUE,FALSE)</formula>
    </cfRule>
  </conditionalFormatting>
  <conditionalFormatting sqref="Y44:AA44">
    <cfRule type="expression" dxfId="1332" priority="147">
      <formula>IF(XDN$29="NO",TRUE,FALSE)</formula>
    </cfRule>
  </conditionalFormatting>
  <conditionalFormatting sqref="J33">
    <cfRule type="expression" dxfId="1331" priority="146">
      <formula>IF(J$29="NO",TRUE,FALSE)</formula>
    </cfRule>
  </conditionalFormatting>
  <conditionalFormatting sqref="K33">
    <cfRule type="expression" dxfId="1330" priority="145">
      <formula>IF(K$29="NO",TRUE,FALSE)</formula>
    </cfRule>
  </conditionalFormatting>
  <conditionalFormatting sqref="L33">
    <cfRule type="expression" dxfId="1329" priority="144">
      <formula>IF(L$29="NO",TRUE,FALSE)</formula>
    </cfRule>
  </conditionalFormatting>
  <conditionalFormatting sqref="N33">
    <cfRule type="expression" dxfId="1328" priority="143">
      <formula>IF(N$29="NO",TRUE,FALSE)</formula>
    </cfRule>
  </conditionalFormatting>
  <conditionalFormatting sqref="AC68:AE68">
    <cfRule type="expression" dxfId="1327" priority="142">
      <formula>IF(XDR$29="NO",TRUE,FALSE)</formula>
    </cfRule>
  </conditionalFormatting>
  <conditionalFormatting sqref="Y68:AA68">
    <cfRule type="expression" dxfId="1326" priority="141">
      <formula>IF(XDN$29="NO",TRUE,FALSE)</formula>
    </cfRule>
  </conditionalFormatting>
  <conditionalFormatting sqref="Q48:S48">
    <cfRule type="expression" dxfId="1325" priority="140">
      <formula>IF(XDD$29="NO",TRUE,FALSE)</formula>
    </cfRule>
  </conditionalFormatting>
  <conditionalFormatting sqref="Q46:S46">
    <cfRule type="expression" dxfId="1324" priority="138">
      <formula>IF(XDD$29="NO",TRUE,FALSE)</formula>
    </cfRule>
  </conditionalFormatting>
  <conditionalFormatting sqref="Q52:S52">
    <cfRule type="expression" dxfId="1323" priority="137">
      <formula>IF(XDD$29="NO",TRUE,FALSE)</formula>
    </cfRule>
  </conditionalFormatting>
  <conditionalFormatting sqref="Q50:S50">
    <cfRule type="expression" dxfId="1322" priority="136">
      <formula>IF(XDD$29="NO",TRUE,FALSE)</formula>
    </cfRule>
  </conditionalFormatting>
  <conditionalFormatting sqref="Q50:S50">
    <cfRule type="expression" dxfId="1321" priority="135">
      <formula>IF(XDD$29="NO",TRUE,FALSE)</formula>
    </cfRule>
  </conditionalFormatting>
  <conditionalFormatting sqref="Q64:S64">
    <cfRule type="expression" dxfId="1320" priority="134">
      <formula>IF(XDD$29="NO",TRUE,FALSE)</formula>
    </cfRule>
  </conditionalFormatting>
  <conditionalFormatting sqref="Q68:S68">
    <cfRule type="expression" dxfId="1319" priority="133">
      <formula>IF(XDD$29="NO",TRUE,FALSE)</formula>
    </cfRule>
  </conditionalFormatting>
  <conditionalFormatting sqref="U40:W40">
    <cfRule type="expression" dxfId="1318" priority="132">
      <formula>IF(XDI$29="NO",TRUE,FALSE)</formula>
    </cfRule>
  </conditionalFormatting>
  <conditionalFormatting sqref="U38:W38">
    <cfRule type="expression" dxfId="1317" priority="131">
      <formula>IF(XDI$29="NO",TRUE,FALSE)</formula>
    </cfRule>
  </conditionalFormatting>
  <conditionalFormatting sqref="U38:W38">
    <cfRule type="expression" dxfId="1316" priority="130">
      <formula>IF(XDI$29="NO",TRUE,FALSE)</formula>
    </cfRule>
  </conditionalFormatting>
  <conditionalFormatting sqref="U44:W44">
    <cfRule type="expression" dxfId="1315" priority="129">
      <formula>IF(XDI$29="NO",TRUE,FALSE)</formula>
    </cfRule>
  </conditionalFormatting>
  <conditionalFormatting sqref="U42:W42">
    <cfRule type="expression" dxfId="1314" priority="128">
      <formula>IF(XDI$29="NO",TRUE,FALSE)</formula>
    </cfRule>
  </conditionalFormatting>
  <conditionalFormatting sqref="U42:W42">
    <cfRule type="expression" dxfId="1313" priority="127">
      <formula>IF(XDI$29="NO",TRUE,FALSE)</formula>
    </cfRule>
  </conditionalFormatting>
  <conditionalFormatting sqref="U48:W48">
    <cfRule type="expression" dxfId="1312" priority="126">
      <formula>IF(XDI$29="NO",TRUE,FALSE)</formula>
    </cfRule>
  </conditionalFormatting>
  <conditionalFormatting sqref="U46:W46">
    <cfRule type="expression" dxfId="1311" priority="125">
      <formula>IF(XDI$29="NO",TRUE,FALSE)</formula>
    </cfRule>
  </conditionalFormatting>
  <conditionalFormatting sqref="U46:W46">
    <cfRule type="expression" dxfId="1310" priority="124">
      <formula>IF(XDI$29="NO",TRUE,FALSE)</formula>
    </cfRule>
  </conditionalFormatting>
  <conditionalFormatting sqref="U52:W52">
    <cfRule type="expression" dxfId="1309" priority="123">
      <formula>IF(XDI$29="NO",TRUE,FALSE)</formula>
    </cfRule>
  </conditionalFormatting>
  <conditionalFormatting sqref="U50:W50">
    <cfRule type="expression" dxfId="1308" priority="122">
      <formula>IF(XDI$29="NO",TRUE,FALSE)</formula>
    </cfRule>
  </conditionalFormatting>
  <conditionalFormatting sqref="U50:W50">
    <cfRule type="expression" dxfId="1307" priority="121">
      <formula>IF(XDI$29="NO",TRUE,FALSE)</formula>
    </cfRule>
  </conditionalFormatting>
  <conditionalFormatting sqref="U56:W56">
    <cfRule type="expression" dxfId="1306" priority="120">
      <formula>IF(XDI$29="NO",TRUE,FALSE)</formula>
    </cfRule>
  </conditionalFormatting>
  <conditionalFormatting sqref="U54:W54">
    <cfRule type="expression" dxfId="1305" priority="119">
      <formula>IF(XDI$29="NO",TRUE,FALSE)</formula>
    </cfRule>
  </conditionalFormatting>
  <conditionalFormatting sqref="U54:W54">
    <cfRule type="expression" dxfId="1304" priority="118">
      <formula>IF(XDI$29="NO",TRUE,FALSE)</formula>
    </cfRule>
  </conditionalFormatting>
  <conditionalFormatting sqref="U60:W60">
    <cfRule type="expression" dxfId="1303" priority="117">
      <formula>IF(XDI$29="NO",TRUE,FALSE)</formula>
    </cfRule>
  </conditionalFormatting>
  <conditionalFormatting sqref="U58:W58">
    <cfRule type="expression" dxfId="1302" priority="116">
      <formula>IF(XDI$29="NO",TRUE,FALSE)</formula>
    </cfRule>
  </conditionalFormatting>
  <conditionalFormatting sqref="U58:W58">
    <cfRule type="expression" dxfId="1301" priority="115">
      <formula>IF(XDI$29="NO",TRUE,FALSE)</formula>
    </cfRule>
  </conditionalFormatting>
  <conditionalFormatting sqref="U64:W64">
    <cfRule type="expression" dxfId="1300" priority="114">
      <formula>IF(XDI$29="NO",TRUE,FALSE)</formula>
    </cfRule>
  </conditionalFormatting>
  <conditionalFormatting sqref="U62:W62">
    <cfRule type="expression" dxfId="1299" priority="113">
      <formula>IF(XDI$29="NO",TRUE,FALSE)</formula>
    </cfRule>
  </conditionalFormatting>
  <conditionalFormatting sqref="U62:W62">
    <cfRule type="expression" dxfId="1298" priority="112">
      <formula>IF(XDI$29="NO",TRUE,FALSE)</formula>
    </cfRule>
  </conditionalFormatting>
  <conditionalFormatting sqref="U68:W68">
    <cfRule type="expression" dxfId="1297" priority="111">
      <formula>IF(XDI$29="NO",TRUE,FALSE)</formula>
    </cfRule>
  </conditionalFormatting>
  <conditionalFormatting sqref="AF33">
    <cfRule type="expression" dxfId="1296" priority="110">
      <formula>IF(AF$29="NO",TRUE,FALSE)</formula>
    </cfRule>
  </conditionalFormatting>
  <conditionalFormatting sqref="AF48">
    <cfRule type="expression" dxfId="1295" priority="109">
      <formula>IF(XDU$29="NO",TRUE,FALSE)</formula>
    </cfRule>
  </conditionalFormatting>
  <conditionalFormatting sqref="AF46">
    <cfRule type="expression" dxfId="1294" priority="108">
      <formula>IF(XDU$29="NO",TRUE,FALSE)</formula>
    </cfRule>
  </conditionalFormatting>
  <conditionalFormatting sqref="AF46">
    <cfRule type="expression" dxfId="1293" priority="107">
      <formula>IF(XDU$29="NO",TRUE,FALSE)</formula>
    </cfRule>
  </conditionalFormatting>
  <conditionalFormatting sqref="AF50">
    <cfRule type="expression" dxfId="1292" priority="106">
      <formula>IF(XDU$29="NO",TRUE,FALSE)</formula>
    </cfRule>
  </conditionalFormatting>
  <conditionalFormatting sqref="AF50">
    <cfRule type="expression" dxfId="1291" priority="105">
      <formula>IF(XDU$29="NO",TRUE,FALSE)</formula>
    </cfRule>
  </conditionalFormatting>
  <conditionalFormatting sqref="AF54">
    <cfRule type="expression" dxfId="1290" priority="104">
      <formula>IF(XDU$29="NO",TRUE,FALSE)</formula>
    </cfRule>
  </conditionalFormatting>
  <conditionalFormatting sqref="AF54">
    <cfRule type="expression" dxfId="1289" priority="103">
      <formula>IF(XDU$29="NO",TRUE,FALSE)</formula>
    </cfRule>
  </conditionalFormatting>
  <conditionalFormatting sqref="AF58">
    <cfRule type="expression" dxfId="1288" priority="102">
      <formula>IF(XDU$29="NO",TRUE,FALSE)</formula>
    </cfRule>
  </conditionalFormatting>
  <conditionalFormatting sqref="AF58">
    <cfRule type="expression" dxfId="1287" priority="101">
      <formula>IF(XDU$29="NO",TRUE,FALSE)</formula>
    </cfRule>
  </conditionalFormatting>
  <conditionalFormatting sqref="AF62">
    <cfRule type="expression" dxfId="1286" priority="100">
      <formula>IF(XDU$29="NO",TRUE,FALSE)</formula>
    </cfRule>
  </conditionalFormatting>
  <conditionalFormatting sqref="AF62">
    <cfRule type="expression" dxfId="1285" priority="99">
      <formula>IF(XDU$29="NO",TRUE,FALSE)</formula>
    </cfRule>
  </conditionalFormatting>
  <conditionalFormatting sqref="AF34">
    <cfRule type="expression" dxfId="1284" priority="98">
      <formula>IF(XDU$29="NO",TRUE,FALSE)</formula>
    </cfRule>
  </conditionalFormatting>
  <conditionalFormatting sqref="AF34">
    <cfRule type="expression" dxfId="1283" priority="97">
      <formula>IF(XDU$29="NO",TRUE,FALSE)</formula>
    </cfRule>
  </conditionalFormatting>
  <conditionalFormatting sqref="AF38">
    <cfRule type="expression" dxfId="1282" priority="96">
      <formula>IF(XDU$29="NO",TRUE,FALSE)</formula>
    </cfRule>
  </conditionalFormatting>
  <conditionalFormatting sqref="AF38">
    <cfRule type="expression" dxfId="1281" priority="95">
      <formula>IF(XDU$29="NO",TRUE,FALSE)</formula>
    </cfRule>
  </conditionalFormatting>
  <conditionalFormatting sqref="AF42">
    <cfRule type="expression" dxfId="1280" priority="94">
      <formula>IF(XDU$29="NO",TRUE,FALSE)</formula>
    </cfRule>
  </conditionalFormatting>
  <conditionalFormatting sqref="AF42">
    <cfRule type="expression" dxfId="1279" priority="93">
      <formula>IF(XDU$29="NO",TRUE,FALSE)</formula>
    </cfRule>
  </conditionalFormatting>
  <conditionalFormatting sqref="AF68">
    <cfRule type="expression" dxfId="1278" priority="92">
      <formula>IF(XDU$29="NO",TRUE,FALSE)</formula>
    </cfRule>
  </conditionalFormatting>
  <conditionalFormatting sqref="AE66">
    <cfRule type="expression" dxfId="1277" priority="88">
      <formula>IF(XDT$29="NO",TRUE,FALSE)</formula>
    </cfRule>
  </conditionalFormatting>
  <conditionalFormatting sqref="Y66:AA66">
    <cfRule type="expression" dxfId="1276" priority="91">
      <formula>IF(XDN$29="NO",TRUE,FALSE)</formula>
    </cfRule>
  </conditionalFormatting>
  <conditionalFormatting sqref="AC66">
    <cfRule type="expression" dxfId="1275" priority="90">
      <formula>IF(XDR$29="NO",TRUE,FALSE)</formula>
    </cfRule>
  </conditionalFormatting>
  <conditionalFormatting sqref="AD66">
    <cfRule type="expression" dxfId="1274" priority="89">
      <formula>IF(XDS$29="NO",TRUE,FALSE)</formula>
    </cfRule>
  </conditionalFormatting>
  <conditionalFormatting sqref="Y66:AA66">
    <cfRule type="expression" dxfId="1273" priority="87">
      <formula>IF(XDN$29="NO",TRUE,FALSE)</formula>
    </cfRule>
  </conditionalFormatting>
  <conditionalFormatting sqref="AC66">
    <cfRule type="expression" dxfId="1272" priority="86">
      <formula>IF(XDR$29="NO",TRUE,FALSE)</formula>
    </cfRule>
  </conditionalFormatting>
  <conditionalFormatting sqref="AD66">
    <cfRule type="expression" dxfId="1271" priority="85">
      <formula>IF(XDS$29="NO",TRUE,FALSE)</formula>
    </cfRule>
  </conditionalFormatting>
  <conditionalFormatting sqref="AE66">
    <cfRule type="expression" dxfId="1270" priority="84">
      <formula>IF(XDT$29="NO",TRUE,FALSE)</formula>
    </cfRule>
  </conditionalFormatting>
  <conditionalFormatting sqref="Q66:S66">
    <cfRule type="expression" dxfId="1269" priority="83">
      <formula>IF(XDD$29="NO",TRUE,FALSE)</formula>
    </cfRule>
  </conditionalFormatting>
  <conditionalFormatting sqref="Q66:S66">
    <cfRule type="expression" dxfId="1268" priority="82">
      <formula>IF(XDD$29="NO",TRUE,FALSE)</formula>
    </cfRule>
  </conditionalFormatting>
  <conditionalFormatting sqref="U66:W66">
    <cfRule type="expression" dxfId="1267" priority="81">
      <formula>IF(XDI$29="NO",TRUE,FALSE)</formula>
    </cfRule>
  </conditionalFormatting>
  <conditionalFormatting sqref="U66:W66">
    <cfRule type="expression" dxfId="1266" priority="80">
      <formula>IF(XDI$29="NO",TRUE,FALSE)</formula>
    </cfRule>
  </conditionalFormatting>
  <conditionalFormatting sqref="AF66">
    <cfRule type="expression" dxfId="1265" priority="79">
      <formula>IF(XDU$29="NO",TRUE,FALSE)</formula>
    </cfRule>
  </conditionalFormatting>
  <conditionalFormatting sqref="AF66">
    <cfRule type="expression" dxfId="1264" priority="78">
      <formula>IF(XDU$29="NO",TRUE,FALSE)</formula>
    </cfRule>
  </conditionalFormatting>
  <conditionalFormatting sqref="AE70">
    <cfRule type="expression" dxfId="1263" priority="74">
      <formula>IF(XDT$29="NO",TRUE,FALSE)</formula>
    </cfRule>
  </conditionalFormatting>
  <conditionalFormatting sqref="Y70:AA70">
    <cfRule type="expression" dxfId="1262" priority="77">
      <formula>IF(XDN$29="NO",TRUE,FALSE)</formula>
    </cfRule>
  </conditionalFormatting>
  <conditionalFormatting sqref="AC70">
    <cfRule type="expression" dxfId="1261" priority="76">
      <formula>IF(XDR$29="NO",TRUE,FALSE)</formula>
    </cfRule>
  </conditionalFormatting>
  <conditionalFormatting sqref="AD70">
    <cfRule type="expression" dxfId="1260" priority="75">
      <formula>IF(XDS$29="NO",TRUE,FALSE)</formula>
    </cfRule>
  </conditionalFormatting>
  <conditionalFormatting sqref="Y70:AA70">
    <cfRule type="expression" dxfId="1259" priority="73">
      <formula>IF(XDN$29="NO",TRUE,FALSE)</formula>
    </cfRule>
  </conditionalFormatting>
  <conditionalFormatting sqref="AC70">
    <cfRule type="expression" dxfId="1258" priority="72">
      <formula>IF(XDR$29="NO",TRUE,FALSE)</formula>
    </cfRule>
  </conditionalFormatting>
  <conditionalFormatting sqref="AD70">
    <cfRule type="expression" dxfId="1257" priority="71">
      <formula>IF(XDS$29="NO",TRUE,FALSE)</formula>
    </cfRule>
  </conditionalFormatting>
  <conditionalFormatting sqref="AE70">
    <cfRule type="expression" dxfId="1256" priority="70">
      <formula>IF(XDT$29="NO",TRUE,FALSE)</formula>
    </cfRule>
  </conditionalFormatting>
  <conditionalFormatting sqref="Q70:S70">
    <cfRule type="expression" dxfId="1255" priority="69">
      <formula>IF(XDD$29="NO",TRUE,FALSE)</formula>
    </cfRule>
  </conditionalFormatting>
  <conditionalFormatting sqref="Q70:S70">
    <cfRule type="expression" dxfId="1254" priority="68">
      <formula>IF(XDD$29="NO",TRUE,FALSE)</formula>
    </cfRule>
  </conditionalFormatting>
  <conditionalFormatting sqref="U70:W70">
    <cfRule type="expression" dxfId="1253" priority="67">
      <formula>IF(XDI$29="NO",TRUE,FALSE)</formula>
    </cfRule>
  </conditionalFormatting>
  <conditionalFormatting sqref="U70:W70">
    <cfRule type="expression" dxfId="1252" priority="66">
      <formula>IF(XDI$29="NO",TRUE,FALSE)</formula>
    </cfRule>
  </conditionalFormatting>
  <conditionalFormatting sqref="AF70">
    <cfRule type="expression" dxfId="1251" priority="65">
      <formula>IF(XDU$29="NO",TRUE,FALSE)</formula>
    </cfRule>
  </conditionalFormatting>
  <conditionalFormatting sqref="AF70">
    <cfRule type="expression" dxfId="1250" priority="64">
      <formula>IF(XDU$29="NO",TRUE,FALSE)</formula>
    </cfRule>
  </conditionalFormatting>
  <conditionalFormatting sqref="AS13">
    <cfRule type="cellIs" dxfId="1249" priority="62" operator="notEqual">
      <formula>"ok"</formula>
    </cfRule>
    <cfRule type="cellIs" dxfId="1248" priority="63" operator="equal">
      <formula>"ok"</formula>
    </cfRule>
  </conditionalFormatting>
  <conditionalFormatting sqref="AT13">
    <cfRule type="cellIs" dxfId="1247" priority="60" operator="notEqual">
      <formula>"ok"</formula>
    </cfRule>
    <cfRule type="cellIs" dxfId="1246" priority="61" operator="equal">
      <formula>"ok"</formula>
    </cfRule>
  </conditionalFormatting>
  <conditionalFormatting sqref="AU13">
    <cfRule type="cellIs" dxfId="1245" priority="58" operator="notEqual">
      <formula>"ok"</formula>
    </cfRule>
    <cfRule type="cellIs" dxfId="1244" priority="59" operator="equal">
      <formula>"ok"</formula>
    </cfRule>
  </conditionalFormatting>
  <conditionalFormatting sqref="AV16">
    <cfRule type="cellIs" dxfId="1243" priority="56" operator="notEqual">
      <formula>"ok"</formula>
    </cfRule>
    <cfRule type="cellIs" dxfId="1242" priority="57" operator="equal">
      <formula>"ok"</formula>
    </cfRule>
  </conditionalFormatting>
  <conditionalFormatting sqref="AV19">
    <cfRule type="cellIs" dxfId="1241" priority="53" operator="equal">
      <formula>"ok"</formula>
    </cfRule>
    <cfRule type="cellIs" dxfId="1240" priority="54" stopIfTrue="1" operator="equal">
      <formula>"check"</formula>
    </cfRule>
    <cfRule type="cellIs" dxfId="1239" priority="55" operator="notEqual">
      <formula>"ok"</formula>
    </cfRule>
  </conditionalFormatting>
  <conditionalFormatting sqref="AV17">
    <cfRule type="cellIs" dxfId="1238" priority="50" operator="equal">
      <formula>"ok"</formula>
    </cfRule>
    <cfRule type="cellIs" dxfId="1237" priority="51" stopIfTrue="1" operator="equal">
      <formula>"check"</formula>
    </cfRule>
    <cfRule type="cellIs" dxfId="1236" priority="52" operator="notEqual">
      <formula>"ok"</formula>
    </cfRule>
  </conditionalFormatting>
  <conditionalFormatting sqref="Q40:S40">
    <cfRule type="expression" dxfId="1235" priority="49">
      <formula>IF(XDD$29="NO",TRUE,FALSE)</formula>
    </cfRule>
  </conditionalFormatting>
  <conditionalFormatting sqref="Q38:S38">
    <cfRule type="expression" dxfId="1234" priority="48">
      <formula>IF(XDD$29="NO",TRUE,FALSE)</formula>
    </cfRule>
  </conditionalFormatting>
  <conditionalFormatting sqref="Q38:S38">
    <cfRule type="expression" dxfId="1233" priority="47">
      <formula>IF(XDD$29="NO",TRUE,FALSE)</formula>
    </cfRule>
  </conditionalFormatting>
  <conditionalFormatting sqref="Q44:S44">
    <cfRule type="expression" dxfId="1232" priority="46">
      <formula>IF(XDD$29="NO",TRUE,FALSE)</formula>
    </cfRule>
  </conditionalFormatting>
  <conditionalFormatting sqref="Q42:S42">
    <cfRule type="expression" dxfId="1231" priority="45">
      <formula>IF(XDD$29="NO",TRUE,FALSE)</formula>
    </cfRule>
  </conditionalFormatting>
  <conditionalFormatting sqref="Q42:S42">
    <cfRule type="expression" dxfId="1230" priority="44">
      <formula>IF(XDD$29="NO",TRUE,FALSE)</formula>
    </cfRule>
  </conditionalFormatting>
  <conditionalFormatting sqref="Q44:S44">
    <cfRule type="expression" dxfId="1229" priority="43">
      <formula>IF(XDD$29="NO",TRUE,FALSE)</formula>
    </cfRule>
  </conditionalFormatting>
  <conditionalFormatting sqref="Q42:S42">
    <cfRule type="expression" dxfId="1228" priority="42">
      <formula>IF(XDD$29="NO",TRUE,FALSE)</formula>
    </cfRule>
  </conditionalFormatting>
  <conditionalFormatting sqref="Q42:S42">
    <cfRule type="expression" dxfId="1227" priority="41">
      <formula>IF(XDD$29="NO",TRUE,FALSE)</formula>
    </cfRule>
  </conditionalFormatting>
  <conditionalFormatting sqref="Q48:S48">
    <cfRule type="expression" dxfId="1226" priority="40">
      <formula>IF(XDD$29="NO",TRUE,FALSE)</formula>
    </cfRule>
  </conditionalFormatting>
  <conditionalFormatting sqref="Q46:S46">
    <cfRule type="expression" dxfId="1225" priority="39">
      <formula>IF(XDD$29="NO",TRUE,FALSE)</formula>
    </cfRule>
  </conditionalFormatting>
  <conditionalFormatting sqref="Q46:S46">
    <cfRule type="expression" dxfId="1224" priority="38">
      <formula>IF(XDD$29="NO",TRUE,FALSE)</formula>
    </cfRule>
  </conditionalFormatting>
  <conditionalFormatting sqref="Q52:S52">
    <cfRule type="expression" dxfId="1223" priority="37">
      <formula>IF(XDD$29="NO",TRUE,FALSE)</formula>
    </cfRule>
  </conditionalFormatting>
  <conditionalFormatting sqref="Q50:S50">
    <cfRule type="expression" dxfId="1222" priority="36">
      <formula>IF(XDD$29="NO",TRUE,FALSE)</formula>
    </cfRule>
  </conditionalFormatting>
  <conditionalFormatting sqref="Q50:S50">
    <cfRule type="expression" dxfId="1221" priority="35">
      <formula>IF(XDD$29="NO",TRUE,FALSE)</formula>
    </cfRule>
  </conditionalFormatting>
  <conditionalFormatting sqref="Q44:S44">
    <cfRule type="expression" dxfId="1220" priority="34">
      <formula>IF(XDD$29="NO",TRUE,FALSE)</formula>
    </cfRule>
  </conditionalFormatting>
  <conditionalFormatting sqref="Q42:S42">
    <cfRule type="expression" dxfId="1219" priority="33">
      <formula>IF(XDD$29="NO",TRUE,FALSE)</formula>
    </cfRule>
  </conditionalFormatting>
  <conditionalFormatting sqref="Q42:S42">
    <cfRule type="expression" dxfId="1218" priority="32">
      <formula>IF(XDD$29="NO",TRUE,FALSE)</formula>
    </cfRule>
  </conditionalFormatting>
  <conditionalFormatting sqref="Q48:S48">
    <cfRule type="expression" dxfId="1217" priority="31">
      <formula>IF(XDD$29="NO",TRUE,FALSE)</formula>
    </cfRule>
  </conditionalFormatting>
  <conditionalFormatting sqref="Q46:S46">
    <cfRule type="expression" dxfId="1216" priority="30">
      <formula>IF(XDD$29="NO",TRUE,FALSE)</formula>
    </cfRule>
  </conditionalFormatting>
  <conditionalFormatting sqref="Q46:S46">
    <cfRule type="expression" dxfId="1215" priority="29">
      <formula>IF(XDD$29="NO",TRUE,FALSE)</formula>
    </cfRule>
  </conditionalFormatting>
  <conditionalFormatting sqref="Q50:S50">
    <cfRule type="expression" dxfId="1214" priority="28">
      <formula>IF(XDD$29="NO",TRUE,FALSE)</formula>
    </cfRule>
  </conditionalFormatting>
  <conditionalFormatting sqref="Q50:S50">
    <cfRule type="expression" dxfId="1213" priority="27">
      <formula>IF(XDD$29="NO",TRUE,FALSE)</formula>
    </cfRule>
  </conditionalFormatting>
  <conditionalFormatting sqref="Q50:S50">
    <cfRule type="expression" dxfId="1212" priority="26">
      <formula>IF(XDD$29="NO",TRUE,FALSE)</formula>
    </cfRule>
  </conditionalFormatting>
  <conditionalFormatting sqref="Q50:S50">
    <cfRule type="expression" dxfId="1211" priority="25">
      <formula>IF(XDD$29="NO",TRUE,FALSE)</formula>
    </cfRule>
  </conditionalFormatting>
  <conditionalFormatting sqref="Q56:S56">
    <cfRule type="expression" dxfId="1210" priority="24">
      <formula>IF(XDD$29="NO",TRUE,FALSE)</formula>
    </cfRule>
  </conditionalFormatting>
  <conditionalFormatting sqref="Q54:S54">
    <cfRule type="expression" dxfId="1209" priority="23">
      <formula>IF(XDD$29="NO",TRUE,FALSE)</formula>
    </cfRule>
  </conditionalFormatting>
  <conditionalFormatting sqref="Q54:S54">
    <cfRule type="expression" dxfId="1208" priority="22">
      <formula>IF(XDD$29="NO",TRUE,FALSE)</formula>
    </cfRule>
  </conditionalFormatting>
  <conditionalFormatting sqref="Q60:S60">
    <cfRule type="expression" dxfId="1207" priority="21">
      <formula>IF(XDD$29="NO",TRUE,FALSE)</formula>
    </cfRule>
  </conditionalFormatting>
  <conditionalFormatting sqref="Q58:S58">
    <cfRule type="expression" dxfId="1206" priority="20">
      <formula>IF(XDD$29="NO",TRUE,FALSE)</formula>
    </cfRule>
  </conditionalFormatting>
  <conditionalFormatting sqref="Q58:S58">
    <cfRule type="expression" dxfId="1205" priority="19">
      <formula>IF(XDD$29="NO",TRUE,FALSE)</formula>
    </cfRule>
  </conditionalFormatting>
  <conditionalFormatting sqref="Q62:S62">
    <cfRule type="expression" dxfId="1204" priority="18">
      <formula>IF(XDD$29="NO",TRUE,FALSE)</formula>
    </cfRule>
  </conditionalFormatting>
  <conditionalFormatting sqref="Q62:S62">
    <cfRule type="expression" dxfId="1203" priority="17">
      <formula>IF(XDD$29="NO",TRUE,FALSE)</formula>
    </cfRule>
  </conditionalFormatting>
  <conditionalFormatting sqref="Q62:S62">
    <cfRule type="expression" dxfId="1202" priority="16">
      <formula>IF(XDD$29="NO",TRUE,FALSE)</formula>
    </cfRule>
  </conditionalFormatting>
  <conditionalFormatting sqref="Q62:S62">
    <cfRule type="expression" dxfId="1201" priority="15">
      <formula>IF(XDD$29="NO",TRUE,FALSE)</formula>
    </cfRule>
  </conditionalFormatting>
  <conditionalFormatting sqref="Q62:S62">
    <cfRule type="expression" dxfId="1200" priority="14">
      <formula>IF(XDD$29="NO",TRUE,FALSE)</formula>
    </cfRule>
  </conditionalFormatting>
  <conditionalFormatting sqref="Q62:S62">
    <cfRule type="expression" dxfId="1199" priority="13">
      <formula>IF(XDD$29="NO",TRUE,FALSE)</formula>
    </cfRule>
  </conditionalFormatting>
  <conditionalFormatting sqref="Q64:S64">
    <cfRule type="expression" dxfId="1198" priority="12">
      <formula>IF(XDD$29="NO",TRUE,FALSE)</formula>
    </cfRule>
  </conditionalFormatting>
  <conditionalFormatting sqref="Q62:S62">
    <cfRule type="expression" dxfId="1197" priority="11">
      <formula>IF(XDD$29="NO",TRUE,FALSE)</formula>
    </cfRule>
  </conditionalFormatting>
  <conditionalFormatting sqref="Q62:S62">
    <cfRule type="expression" dxfId="1196" priority="10">
      <formula>IF(XDD$29="NO",TRUE,FALSE)</formula>
    </cfRule>
  </conditionalFormatting>
  <conditionalFormatting sqref="Q68:S68">
    <cfRule type="expression" dxfId="1195" priority="9">
      <formula>IF(XDD$29="NO",TRUE,FALSE)</formula>
    </cfRule>
  </conditionalFormatting>
  <conditionalFormatting sqref="Q66:S66">
    <cfRule type="expression" dxfId="1194" priority="8">
      <formula>IF(XDD$29="NO",TRUE,FALSE)</formula>
    </cfRule>
  </conditionalFormatting>
  <conditionalFormatting sqref="Q66:S66">
    <cfRule type="expression" dxfId="1193" priority="7">
      <formula>IF(XDD$29="NO",TRUE,FALSE)</formula>
    </cfRule>
  </conditionalFormatting>
  <conditionalFormatting sqref="Q70:S70">
    <cfRule type="expression" dxfId="1192" priority="6">
      <formula>IF(XDD$29="NO",TRUE,FALSE)</formula>
    </cfRule>
  </conditionalFormatting>
  <conditionalFormatting sqref="Q70:S70">
    <cfRule type="expression" dxfId="1191" priority="5">
      <formula>IF(XDD$29="NO",TRUE,FALSE)</formula>
    </cfRule>
  </conditionalFormatting>
  <conditionalFormatting sqref="Q70:S70">
    <cfRule type="expression" dxfId="1190" priority="4">
      <formula>IF(XDD$29="NO",TRUE,FALSE)</formula>
    </cfRule>
  </conditionalFormatting>
  <conditionalFormatting sqref="Q70:S70">
    <cfRule type="expression" dxfId="1189" priority="3">
      <formula>IF(XDD$29="NO",TRUE,FALSE)</formula>
    </cfRule>
  </conditionalFormatting>
  <conditionalFormatting sqref="Q70:S70">
    <cfRule type="expression" dxfId="1188" priority="2">
      <formula>IF(XDD$29="NO",TRUE,FALSE)</formula>
    </cfRule>
  </conditionalFormatting>
  <conditionalFormatting sqref="Q70:S70">
    <cfRule type="expression" dxfId="1187"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A00-000000000000}">
      <formula1>"Right,Left,Above,Below"</formula1>
    </dataValidation>
    <dataValidation type="list" allowBlank="1" showInputMessage="1" showErrorMessage="1" sqref="U29:W29 AC29:AF29 Q29:S29 F29:O29" xr:uid="{00000000-0002-0000-0A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1366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1366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1366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1366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1367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1367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1367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FFFF99"/>
    <pageSetUpPr fitToPage="1"/>
  </sheetPr>
  <dimension ref="A1:BM73"/>
  <sheetViews>
    <sheetView showGridLines="0" topLeftCell="A11" zoomScale="70" zoomScaleNormal="70" zoomScaleSheetLayoutView="55" workbookViewId="0">
      <selection activeCell="AK28" sqref="AK28"/>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3" width="13.2851562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1080</v>
      </c>
      <c r="AK7" s="895">
        <v>10.5</v>
      </c>
    </row>
    <row r="8" spans="1:64" ht="15.6" customHeight="1">
      <c r="AJ8" s="235" t="s">
        <v>1081</v>
      </c>
      <c r="AK8" s="895" t="s">
        <v>1082</v>
      </c>
    </row>
    <row r="9" spans="1:64" ht="15.6" customHeight="1">
      <c r="AJ9" s="894" t="s">
        <v>1083</v>
      </c>
      <c r="AK9" s="896" t="str">
        <f>"MY"&amp;RIGHT(Input!$H$9,2)&amp;" "&amp;Input!$H$3&amp;": "&amp;$G$10</f>
        <v>MY20 Soul: Region L2 (Eastern, Central, SW) Incentive Scenarios</v>
      </c>
    </row>
    <row r="10" spans="1:64" ht="15.6" customHeight="1" thickBot="1">
      <c r="G10" s="581" t="s">
        <v>1089</v>
      </c>
      <c r="AJ10" s="894" t="s">
        <v>1084</v>
      </c>
      <c r="AK10" s="896" t="s">
        <v>1085</v>
      </c>
    </row>
    <row r="11" spans="1:64" ht="15.6" customHeight="1">
      <c r="A11" s="281" t="s">
        <v>570</v>
      </c>
      <c r="B11" s="275"/>
      <c r="C11" s="231"/>
      <c r="D11" s="628" t="s">
        <v>826</v>
      </c>
      <c r="F11" s="245">
        <v>2</v>
      </c>
      <c r="G11" s="565" t="str">
        <f>INDEX(Input!$1:$1048576,2,$F$11*2+6)&amp;" ("&amp;INDEX(Input!$1:$1048576,11,$F$11*2+6)&amp;")"</f>
        <v>MY20 Kia Soul (Kia-LR - L2)</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1086</v>
      </c>
      <c r="AK11" s="896" t="s">
        <v>1087</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2.57 (Scen 6)</v>
      </c>
      <c r="B13" s="275"/>
      <c r="D13" s="1123" t="str">
        <f>UPPER("SCENARIO OPTIONS: MY"&amp;RIGHT(Input!$H9,2)&amp;" "&amp;Input!H$7&amp;" "&amp;Input!H$3&amp;" - L2 (IL, IN, MI, MN, ND, NE, OH, WI, DE, ME, PA, VT, CO, WY)")</f>
        <v>SCENARIO OPTIONS: MY20 KIA SOUL - L2 (IL, IN, MI, MN, ND, NE, OH, WI, DE, ME, PA, VT, CO, WY)</v>
      </c>
      <c r="E13" s="1123"/>
      <c r="F13" s="1123"/>
      <c r="G13" s="1123"/>
      <c r="H13" s="1123"/>
      <c r="I13" s="1123"/>
      <c r="J13" s="1123"/>
      <c r="K13" s="1123"/>
      <c r="L13" s="1123"/>
      <c r="M13" s="1123"/>
      <c r="N13" s="1123"/>
      <c r="O13" s="1123"/>
      <c r="P13" s="1123"/>
      <c r="Q13" s="1123"/>
      <c r="R13" s="1123"/>
      <c r="S13" s="1123"/>
      <c r="T13" s="1123"/>
      <c r="U13" s="1123"/>
      <c r="V13" s="1123"/>
      <c r="W13" s="1123"/>
      <c r="X13" s="1123"/>
      <c r="Y13" s="1123"/>
      <c r="Z13" s="1123"/>
      <c r="AA13" s="1123"/>
      <c r="AB13" s="1123"/>
      <c r="AC13" s="1123"/>
      <c r="AD13" s="1123"/>
      <c r="AE13" s="1123"/>
      <c r="AF13" s="1123"/>
      <c r="AG13" s="1123"/>
      <c r="AH13" s="1123"/>
      <c r="AI13" s="1123"/>
      <c r="AJ13" s="758"/>
      <c r="AK13" s="758"/>
      <c r="AL13" s="235"/>
      <c r="AM13" s="235"/>
      <c r="AN13" s="1133" t="s">
        <v>772</v>
      </c>
      <c r="AO13" s="1134"/>
      <c r="AP13" s="1134"/>
      <c r="AQ13" s="1134"/>
      <c r="AR13" s="113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9" t="str">
        <f>"Scen. # to check price sensitivity order vs #"&amp;INDEX(DSS_Calc!KN:KN,MATCH(F11*1000+1,DSS_Calc!A:A,0))</f>
        <v>Scen. # to check price sensitivity order vs #2002</v>
      </c>
      <c r="AO14" s="1130"/>
      <c r="AP14" s="1130"/>
      <c r="AQ14" s="1130"/>
      <c r="AR14" s="1130"/>
      <c r="AS14" s="716">
        <v>12</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1" t="s">
        <v>781</v>
      </c>
      <c r="AO15" s="1132"/>
      <c r="AP15" s="1132"/>
      <c r="AQ15" s="1132"/>
      <c r="AR15" s="1132"/>
      <c r="AS15" s="734" t="str">
        <f>INDEX(DSS_Calc!$D:$D,MATCH($F11*1000+AS14,DSS_Calc!$A:$A))</f>
        <v xml:space="preserve">1000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7" t="str">
        <f>"Implied Elast w/o Take Rate Shifts vs #"&amp;INDEX(DSS_Calc!KN:KN,MATCH(F11*1000+1,DSS_Calc!A:A,0))</f>
        <v>Implied Elast w/o Take Rate Shifts vs #2002</v>
      </c>
      <c r="AO16" s="1128"/>
      <c r="AP16" s="1128"/>
      <c r="AQ16" s="1128"/>
      <c r="AR16" s="1128"/>
      <c r="AS16" s="722">
        <f>INDEX(DSS_Calc!$KR:$KR,MATCH($F$11*1000+AS14,DSS_Calc!$A:$A,0))</f>
        <v>2.1265027208589253</v>
      </c>
      <c r="AT16" s="722">
        <f>INDEX(DSS_Calc!$KR:$KR,MATCH($F$11*1000+AT14,DSS_Calc!$A:$A,0))</f>
        <v>2.7024423320959956</v>
      </c>
      <c r="AU16" s="722">
        <f>INDEX(DSS_Calc!$KR:$KR,MATCH($F$11*1000+AU14,DSS_Calc!$A:$A,0))</f>
        <v>3.1718736558005354</v>
      </c>
      <c r="AV16" s="759" t="str">
        <f>IF(AND(AS16&lt;AT16,AT16&lt;AU16,AS16&lt;AW16),"ok","error in order")</f>
        <v>ok</v>
      </c>
      <c r="AW16" s="723">
        <f>ROUND(INDEX(DSS_Calc!KA:KA,MATCH($F$11*1000+6,DSS_Calc!A:A,0)),2)</f>
        <v>2.57</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9" t="s">
        <v>877</v>
      </c>
      <c r="AO17" s="1130"/>
      <c r="AP17" s="1130"/>
      <c r="AQ17" s="1130"/>
      <c r="AR17" s="1130"/>
      <c r="AS17" s="725">
        <f>INDEX(DSS_Calc!IE:IE,MATCH($F$11*1000+2,DSS_Calc!$A:$A,0))-INDEX(DSS_Calc!IE:IE,MATCH($F$11*1000+1,DSS_Calc!$A:$A,0))</f>
        <v>6.3339883658986018E-4</v>
      </c>
      <c r="AT17" s="725">
        <f>INDEX(DSS_Calc!IF:IF,MATCH($F$11*1000+2,DSS_Calc!$A:$A,0))-INDEX(DSS_Calc!IF:IF,MATCH($F$11*1000+1,DSS_Calc!$A:$A,0))</f>
        <v>-1.4977504711816136E-4</v>
      </c>
      <c r="AU17" s="725">
        <f>INDEX(DSS_Calc!IG:IG,MATCH($F$11*1000+2,DSS_Calc!$A:$A,0))-INDEX(DSS_Calc!IG:IG,MATCH($F$11*1000+1,DSS_Calc!$A:$A,0))</f>
        <v>-4.8362378947169882E-4</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7" t="s">
        <v>771</v>
      </c>
      <c r="AO18" s="1128"/>
      <c r="AP18" s="1128"/>
      <c r="AQ18" s="1128"/>
      <c r="AR18" s="1128"/>
      <c r="AS18" s="726">
        <f>INDEX(DSS_Calc!JA:JA,MATCH($F$11*1000+2,DSS_Calc!$A:$A,0))-INDEX(DSS_Calc!JA:JA,MATCH($F$11*1000+1,DSS_Calc!$A:$A,0))</f>
        <v>42</v>
      </c>
      <c r="AT18" s="726">
        <f>INDEX(DSS_Calc!JB:JB,MATCH($F$11*1000+2,DSS_Calc!$A:$A,0))-INDEX(DSS_Calc!JB:JB,MATCH($F$11*1000+1,DSS_Calc!$A:$A,0))</f>
        <v>42.001136619170211</v>
      </c>
      <c r="AU18" s="726">
        <f>INDEX(DSS_Calc!JC:JC,MATCH($F$11*1000+2,DSS_Calc!$A:$A,0))-INDEX(DSS_Calc!JC:JC,MATCH($F$11*1000+1,DSS_Calc!$A:$A,0))</f>
        <v>27</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9" t="s">
        <v>881</v>
      </c>
      <c r="AO19" s="1130"/>
      <c r="AP19" s="1130"/>
      <c r="AQ19" s="1130"/>
      <c r="AR19" s="113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0.11990697332615058</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4.5583241646664274E-2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7.4323731679486263E-2</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1" t="s">
        <v>878</v>
      </c>
      <c r="AO20" s="1132"/>
      <c r="AP20" s="1132"/>
      <c r="AQ20" s="1132"/>
      <c r="AR20" s="1132"/>
      <c r="AS20" s="761">
        <f>IFERROR(INDEX($C:$C,MATCH(AS19,U:U,0)-1),INDEX($C:$C,MATCH(-AS19,U:U,0)-1))</f>
        <v>50</v>
      </c>
      <c r="AT20" s="761">
        <f>IFERROR(INDEX($C:$C,MATCH(AT19,V:V,0)-1),INDEX($C:$C,MATCH(-AT19,V:V,0)-1))</f>
        <v>50</v>
      </c>
      <c r="AU20" s="761">
        <f>IFERROR(INDEX($C:$C,MATCH(AU19,W:W,0)-1),INDEX($C:$C,MATCH(-AU19,W:W,0)-1))</f>
        <v>50</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7" t="s">
        <v>879</v>
      </c>
      <c r="AO21" s="1128"/>
      <c r="AP21" s="1128"/>
      <c r="AQ21" s="1128"/>
      <c r="AR21" s="1128"/>
      <c r="AS21" s="729">
        <f>IFERROR(INDEX(Q:Q,MATCH(AS19,U:U,0)),INDEX(Q:Q,MATCH(-AS19,U:U,0)))</f>
        <v>1000</v>
      </c>
      <c r="AT21" s="729">
        <f>IFERROR(INDEX(R:R,MATCH(AT19,V:V,0)),INDEX(R:R,MATCH(-AT19,V:V,0)))</f>
        <v>0.16125066889981099</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24" t="s">
        <v>571</v>
      </c>
      <c r="B27" s="390"/>
      <c r="C27" s="1124" t="s">
        <v>572</v>
      </c>
      <c r="D27" s="900" t="s">
        <v>134</v>
      </c>
      <c r="F27" s="1126" t="s">
        <v>354</v>
      </c>
      <c r="G27" s="1126"/>
      <c r="H27" s="1126"/>
      <c r="I27" s="1126"/>
      <c r="J27" s="1126"/>
      <c r="K27" s="1126"/>
      <c r="L27" s="1126"/>
      <c r="M27" s="1126"/>
      <c r="N27" s="1126"/>
      <c r="O27" s="1126"/>
      <c r="P27" s="277"/>
      <c r="Q27" s="1125" t="s">
        <v>135</v>
      </c>
      <c r="R27" s="1125"/>
      <c r="S27" s="1125"/>
      <c r="T27" s="277"/>
      <c r="U27" s="1126" t="s">
        <v>136</v>
      </c>
      <c r="V27" s="1126"/>
      <c r="W27" s="1126"/>
      <c r="X27" s="277"/>
      <c r="Y27" s="1125" t="s">
        <v>137</v>
      </c>
      <c r="Z27" s="1125"/>
      <c r="AA27" s="1125"/>
      <c r="AB27" s="277"/>
      <c r="AC27" s="1126" t="s">
        <v>138</v>
      </c>
      <c r="AD27" s="1126"/>
      <c r="AE27" s="1126"/>
      <c r="AF27" s="1126"/>
      <c r="AG27" s="1126"/>
      <c r="AH27" s="1126"/>
      <c r="AI27" s="112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24"/>
      <c r="B28" s="279"/>
      <c r="C28" s="1124"/>
      <c r="D28" s="236"/>
      <c r="E28" s="392"/>
      <c r="F28" s="237" t="s">
        <v>139</v>
      </c>
      <c r="G28" s="238" t="s">
        <v>1147</v>
      </c>
      <c r="H28" s="238" t="s">
        <v>39</v>
      </c>
      <c r="I28" s="237" t="s">
        <v>715</v>
      </c>
      <c r="J28" s="237" t="s">
        <v>330</v>
      </c>
      <c r="K28" s="237" t="s">
        <v>1150</v>
      </c>
      <c r="L28" s="237" t="s">
        <v>1151</v>
      </c>
      <c r="M28" s="237" t="s">
        <v>1156</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31</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1158</v>
      </c>
      <c r="L31" s="244" t="s">
        <v>1159</v>
      </c>
      <c r="M31" s="244" t="s">
        <v>1160</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1269.7618664521319</v>
      </c>
      <c r="G33" s="256" t="str">
        <f>IF($C33="","",VLOOKUP($C33+$F$11*1000,DSS_Calc!$A:$JV,G$30,FALSE))</f>
        <v>0/0.9/1.9/3.9</v>
      </c>
      <c r="H33" s="256">
        <f>IF($C33="","",VLOOKUP($C33+$F$11*1000,DSS_Calc!$A:$JV,H$30,FALSE))</f>
        <v>0</v>
      </c>
      <c r="I33" s="256">
        <f>IF($C33="","",VLOOKUP($C33+$F$11*1000,DSS_Calc!$A:$JV,I$30,FALSE))</f>
        <v>0</v>
      </c>
      <c r="J33" s="256">
        <f>IF($C33="","",VLOOKUP($C33+$F$11*1000,DSS_Calc!$A:$JV,J$30,FALSE))</f>
        <v>2977</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1336</v>
      </c>
      <c r="R33" s="256">
        <f>IF($C33="","",VLOOKUP($C33+$F$11*1000,DSS_Calc!$A:$JV,R$30,FALSE)*IF(V33=0,0,1))</f>
        <v>2196.0635900015313</v>
      </c>
      <c r="S33" s="256">
        <f>IF($C33="","",VLOOKUP($C33+$F$11*1000,DSS_Calc!$A:$JV,S$30,FALSE)*IF(W33=0,0,1))</f>
        <v>3704.7164157747848</v>
      </c>
      <c r="T33" s="294" t="s">
        <v>2</v>
      </c>
      <c r="U33" s="395">
        <f>IF($C33="","",VLOOKUP($C33+$F$11*1000,DSS_Calc!$A:$JV,U$30,FALSE))</f>
        <v>0.36346525724366952</v>
      </c>
      <c r="V33" s="395">
        <f>IF($C33="","",VLOOKUP($C33+$F$11*1000,DSS_Calc!$A:$JV,V$30,FALSE))</f>
        <v>0.46404974224974427</v>
      </c>
      <c r="W33" s="395">
        <f>IF($C33="","",VLOOKUP($C33+$F$11*1000,DSS_Calc!$A:$JV,W$30,FALSE))</f>
        <v>0.17248500050658622</v>
      </c>
      <c r="X33" s="290" t="s">
        <v>2</v>
      </c>
      <c r="Y33" s="256">
        <f t="shared" ref="Y33:AA34" si="0">IF(U33=0,0,U33*Q33)</f>
        <v>485.58958367754246</v>
      </c>
      <c r="Z33" s="256">
        <f t="shared" si="0"/>
        <v>1019.0827429042587</v>
      </c>
      <c r="AA33" s="256">
        <f t="shared" si="0"/>
        <v>639.00801285167199</v>
      </c>
      <c r="AB33" s="290" t="s">
        <v>2</v>
      </c>
      <c r="AC33" s="256">
        <f>SUM(Y33:AA33)</f>
        <v>2143.6803394334729</v>
      </c>
      <c r="AD33" s="259">
        <f>AC33*AE33/1000/1000</f>
        <v>2.6803868210171289</v>
      </c>
      <c r="AE33" s="260">
        <f>IF($C33="","",VLOOKUP($C33+$F$11*1000,DSS_Calc!$A:$JV,AE$30,FALSE))</f>
        <v>1250.3668442121811</v>
      </c>
      <c r="AF33" s="259">
        <f>IF($C33="","",VLOOKUP($C33+$F$11*1000,DSS_Calc!$A:$JV,AF$30,FALSE))</f>
        <v>4.8161875934570029</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49</v>
      </c>
      <c r="D34" s="396" t="str">
        <f>"Scenario " &amp; A34</f>
        <v>Scenario A</v>
      </c>
      <c r="E34" s="272" t="s">
        <v>2</v>
      </c>
      <c r="F34" s="397">
        <f>IF($C34="","",VLOOKUP($C34+$F$11*1000,DSS_Calc!$A:$JV,F$30,FALSE))</f>
        <v>2019.7618664521319</v>
      </c>
      <c r="G34" s="397" t="str">
        <f>IF($C34="","",VLOOKUP($C34+$F$11*1000,DSS_Calc!$A:$JV,G$30,FALSE))</f>
        <v>0/0.9/1.9/3.9</v>
      </c>
      <c r="H34" s="397">
        <f>IF($C34="","",VLOOKUP($C34+$F$11*1000,DSS_Calc!$A:$JV,H$30,FALSE))</f>
        <v>0</v>
      </c>
      <c r="I34" s="397">
        <f>IF($C34="","",VLOOKUP($C34+$F$11*1000,DSS_Calc!$A:$JV,I$30,FALSE))</f>
        <v>0</v>
      </c>
      <c r="J34" s="397">
        <f>IF($C34="","",VLOOKUP($C34+$F$11*1000,DSS_Calc!$A:$JV,J$30,FALSE))</f>
        <v>2617</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2086</v>
      </c>
      <c r="R34" s="397">
        <f>IF($C34="","",VLOOKUP($C34+$F$11*1000,DSS_Calc!$A:$JV,R$30,FALSE)*IF(V34=0,0,1))</f>
        <v>2196.1984117218108</v>
      </c>
      <c r="S34" s="397">
        <f>IF($C34="","",VLOOKUP($C34+$F$11*1000,DSS_Calc!$A:$JV,S$30,FALSE)*IF(W34=0,0,1))</f>
        <v>3344.7164157747848</v>
      </c>
      <c r="T34" s="294" t="s">
        <v>2</v>
      </c>
      <c r="U34" s="398">
        <f>IF($C34="","",VLOOKUP($C34+$F$11*1000,DSS_Calc!$A:$JV,U$30,FALSE))</f>
        <v>0.46078101991693238</v>
      </c>
      <c r="V34" s="398">
        <f>IF($C34="","",VLOOKUP($C34+$F$11*1000,DSS_Calc!$A:$JV,V$30,FALSE))</f>
        <v>0.43168724432819888</v>
      </c>
      <c r="W34" s="398">
        <f>IF($C34="","",VLOOKUP($C34+$F$11*1000,DSS_Calc!$A:$JV,W$30,FALSE))</f>
        <v>0.10753173575486871</v>
      </c>
      <c r="X34" s="294" t="s">
        <v>2</v>
      </c>
      <c r="Y34" s="397">
        <f t="shared" si="0"/>
        <v>961.18920754672092</v>
      </c>
      <c r="Z34" s="397">
        <f t="shared" si="0"/>
        <v>948.07084035415562</v>
      </c>
      <c r="AA34" s="397">
        <f t="shared" si="0"/>
        <v>359.66316179606576</v>
      </c>
      <c r="AB34" s="294" t="s">
        <v>2</v>
      </c>
      <c r="AC34" s="397">
        <f>SUM(Y34:AA34)</f>
        <v>2268.9232096969422</v>
      </c>
      <c r="AD34" s="399">
        <f>AC34*AE34/1000/1000</f>
        <v>2.9162200826631834</v>
      </c>
      <c r="AE34" s="400">
        <f>IF($C34="","",VLOOKUP($C34+$F$11*1000,DSS_Calc!$A:$JV,AE$30,FALSE))</f>
        <v>1285.2881358874636</v>
      </c>
      <c r="AF34" s="399">
        <f>IF($C34="","",VLOOKUP($C34+$F$11*1000,DSS_Calc!$A:$JV,AF$30,FALSE))</f>
        <v>4.7897249360501037</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+750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1.6234424206241482</v>
      </c>
      <c r="B35" s="402"/>
      <c r="C35" s="564">
        <f>AI35/(AC35/(VLOOKUP($C34+$F$11*1000,DSS_Calc!$A:$JV,DSS_Calc!BX$92,FALSE)-$AC$33))</f>
        <v>3.9785682497609893</v>
      </c>
      <c r="D35" s="403" t="s">
        <v>141</v>
      </c>
      <c r="F35" s="404">
        <f>ROUND(F34-F$33,0)</f>
        <v>750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750</v>
      </c>
      <c r="R35" s="404">
        <f t="shared" si="2"/>
        <v>0.13482172027943307</v>
      </c>
      <c r="S35" s="404">
        <f t="shared" si="2"/>
        <v>-360</v>
      </c>
      <c r="T35" s="294"/>
      <c r="U35" s="405">
        <f>U34-U$33</f>
        <v>9.7315762673262862E-2</v>
      </c>
      <c r="V35" s="405">
        <f>V34-V$33</f>
        <v>-3.2362497921545386E-2</v>
      </c>
      <c r="W35" s="405">
        <f>W34-W$33</f>
        <v>-6.4953264751717504E-2</v>
      </c>
      <c r="X35" s="294"/>
      <c r="Y35" s="404">
        <f>Y34-Y$33</f>
        <v>475.59962386917846</v>
      </c>
      <c r="Z35" s="404">
        <f>Z34-Z$33</f>
        <v>-71.011902550103059</v>
      </c>
      <c r="AA35" s="404">
        <f>AA34-AA$33</f>
        <v>-279.34485105560623</v>
      </c>
      <c r="AB35" s="294"/>
      <c r="AC35" s="404">
        <f>IFERROR(AC34-AC$33,NA())</f>
        <v>125.24287026346929</v>
      </c>
      <c r="AD35" s="406">
        <f>AD34-AD$33</f>
        <v>0.23583326164605456</v>
      </c>
      <c r="AE35" s="407">
        <f t="shared" ref="AE35:AF49" si="3">AE34-AE$33</f>
        <v>34.921291675282419</v>
      </c>
      <c r="AF35" s="406">
        <f t="shared" si="3"/>
        <v>-2.6462657406899126E-2</v>
      </c>
      <c r="AG35" s="408">
        <f>AF35/AF$33</f>
        <v>-5.4945238102539398E-3</v>
      </c>
      <c r="AH35" s="405"/>
      <c r="AI35" s="408">
        <f>IFERROR(AE35/$AE$33,NA())</f>
        <v>2.7928836914485909E-2</v>
      </c>
      <c r="AJ35" s="289"/>
      <c r="AK35" s="749"/>
      <c r="AL35" s="750">
        <f>$AE34*U34-$AE$33*U$33</f>
        <v>137.77147146082262</v>
      </c>
      <c r="AM35" s="750">
        <f>$AE34*V34-$AE$33*V$33</f>
        <v>-25.38991822530204</v>
      </c>
      <c r="AN35" s="750">
        <f>$AE34*W34-$AE$33*W$33</f>
        <v>-77.460261560238138</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48</v>
      </c>
      <c r="D36" s="261" t="str">
        <f>"Scenario " &amp; A36</f>
        <v>Scenario B</v>
      </c>
      <c r="E36" s="272" t="s">
        <v>2</v>
      </c>
      <c r="F36" s="262">
        <f>IF($C36="","",VLOOKUP($C36+$F$11*1000,DSS_Calc!$A:$JV,F$30,FALSE))</f>
        <v>1769.7618664521319</v>
      </c>
      <c r="G36" s="262" t="str">
        <f>IF($C36="","",VLOOKUP($C36+$F$11*1000,DSS_Calc!$A:$JV,G$30,FALSE))</f>
        <v>0/0.9/1.9/3.9</v>
      </c>
      <c r="H36" s="262">
        <f>IF($C36="","",VLOOKUP($C36+$F$11*1000,DSS_Calc!$A:$JV,H$30,FALSE))</f>
        <v>0</v>
      </c>
      <c r="I36" s="262">
        <f>IF($C36="","",VLOOKUP($C36+$F$11*1000,DSS_Calc!$A:$JV,I$30,FALSE))</f>
        <v>0</v>
      </c>
      <c r="J36" s="262">
        <f>IF($C36="","",VLOOKUP($C36+$F$11*1000,DSS_Calc!$A:$JV,J$30,FALSE))</f>
        <v>2617</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1836.0000000000002</v>
      </c>
      <c r="R36" s="262">
        <f>IF($C36="","",VLOOKUP($C36+$F$11*1000,DSS_Calc!$A:$JV,R$30,FALSE)*IF(V36=0,0,1))</f>
        <v>2196.1698400678724</v>
      </c>
      <c r="S36" s="262">
        <f>IF($C36="","",VLOOKUP($C36+$F$11*1000,DSS_Calc!$A:$JV,S$30,FALSE)*IF(W36=0,0,1))</f>
        <v>3344.7164157747848</v>
      </c>
      <c r="T36" s="294" t="s">
        <v>2</v>
      </c>
      <c r="U36" s="263">
        <f>IF($C36="","",VLOOKUP($C36+$F$11*1000,DSS_Calc!$A:$JV,U$30,FALSE))</f>
        <v>0.43724151049249088</v>
      </c>
      <c r="V36" s="263">
        <f>IF($C36="","",VLOOKUP($C36+$F$11*1000,DSS_Calc!$A:$JV,V$30,FALSE))</f>
        <v>0.44500439352209964</v>
      </c>
      <c r="W36" s="263">
        <f>IF($C36="","",VLOOKUP($C36+$F$11*1000,DSS_Calc!$A:$JV,W$30,FALSE))</f>
        <v>0.11775409598540947</v>
      </c>
      <c r="X36" s="294" t="s">
        <v>2</v>
      </c>
      <c r="Y36" s="262">
        <f>IF(U36=0,0,U36*Q36)</f>
        <v>802.7754132642134</v>
      </c>
      <c r="Z36" s="262">
        <f>IF(V36=0,0,V36*R36)</f>
        <v>977.30522775093016</v>
      </c>
      <c r="AA36" s="262">
        <f>IF(W36=0,0,W36*S36)</f>
        <v>393.85405786711874</v>
      </c>
      <c r="AB36" s="294" t="s">
        <v>2</v>
      </c>
      <c r="AC36" s="262">
        <f>SUM(Y36:AA36)</f>
        <v>2173.9346988822622</v>
      </c>
      <c r="AD36" s="264">
        <f>AC36*AE36/1000/1000</f>
        <v>2.7532814508562633</v>
      </c>
      <c r="AE36" s="265">
        <f>IF($C36="","",VLOOKUP($C36+$F$11*1000,DSS_Calc!$A:$JV,AE$30,FALSE))</f>
        <v>1266.4968512034307</v>
      </c>
      <c r="AF36" s="264">
        <f>IF($C36="","",VLOOKUP($C36+$F$11*1000,DSS_Calc!$A:$JV,AF$30,FALSE))</f>
        <v>4.8400004205339044</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+500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1.3056582231320875</v>
      </c>
      <c r="B37" s="402"/>
      <c r="C37" s="564">
        <f>AI37/(AC37/(VLOOKUP($C36+$F$11*1000,DSS_Calc!$A:$JV,DSS_Calc!BX$92,FALSE)-$AC$33))</f>
        <v>7.6073976605583908</v>
      </c>
      <c r="D37" s="266" t="s">
        <v>141</v>
      </c>
      <c r="F37" s="267">
        <f>ROUND(F36-F$33,0)</f>
        <v>500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500.00000000000023</v>
      </c>
      <c r="R37" s="267">
        <f t="shared" si="5"/>
        <v>0.10625006634109013</v>
      </c>
      <c r="S37" s="267">
        <f t="shared" si="5"/>
        <v>-360</v>
      </c>
      <c r="T37" s="294"/>
      <c r="U37" s="268">
        <f>U36-U$33</f>
        <v>7.3776253248821366E-2</v>
      </c>
      <c r="V37" s="268">
        <f>V36-V$33</f>
        <v>-1.9045348727644629E-2</v>
      </c>
      <c r="W37" s="268">
        <f>W36-W$33</f>
        <v>-5.4730904521176751E-2</v>
      </c>
      <c r="X37" s="294"/>
      <c r="Y37" s="267">
        <f>Y36-Y$33</f>
        <v>317.18582958667093</v>
      </c>
      <c r="Z37" s="267">
        <f>Z36-Z$33</f>
        <v>-41.777515153328523</v>
      </c>
      <c r="AA37" s="267">
        <f>AA36-AA$33</f>
        <v>-245.15395498455325</v>
      </c>
      <c r="AB37" s="294"/>
      <c r="AC37" s="267">
        <f>IFERROR(AC36-AC$33,NA())</f>
        <v>30.254359448789273</v>
      </c>
      <c r="AD37" s="269">
        <f>AD36-AD$33</f>
        <v>7.2894629839134417E-2</v>
      </c>
      <c r="AE37" s="270">
        <f t="shared" si="3"/>
        <v>16.130006991249502</v>
      </c>
      <c r="AF37" s="269">
        <f t="shared" si="3"/>
        <v>2.3812827076901577E-2</v>
      </c>
      <c r="AG37" s="301">
        <f>AF37/AF$33</f>
        <v>4.9443313024709256E-3</v>
      </c>
      <c r="AH37" s="268"/>
      <c r="AI37" s="301">
        <f>IFERROR(AE37/$AE$33,NA())</f>
        <v>1.2900219696254453E-2</v>
      </c>
      <c r="AJ37" s="289"/>
      <c r="AK37" s="749"/>
      <c r="AL37" s="750">
        <f>$AE36*U36-$AE$33*U$33</f>
        <v>99.30008957363583</v>
      </c>
      <c r="AM37" s="750">
        <f>$AE36*V36-$AE$33*V$33</f>
        <v>-16.635748606857305</v>
      </c>
      <c r="AN37" s="750">
        <f>$AE36*W36-$AE$33*W$33</f>
        <v>-66.534333975529051</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50</v>
      </c>
      <c r="D38" s="396" t="str">
        <f>"Scenario " &amp; A38</f>
        <v>Scenario C</v>
      </c>
      <c r="E38" s="272" t="s">
        <v>2</v>
      </c>
      <c r="F38" s="397">
        <f>IF($C38="","",VLOOKUP($C38+$F$11*1000,DSS_Calc!$A:$JV,F$30,FALSE))</f>
        <v>2269.7618664521319</v>
      </c>
      <c r="G38" s="397" t="str">
        <f>IF($C38="","",VLOOKUP($C38+$F$11*1000,DSS_Calc!$A:$JV,G$30,FALSE))</f>
        <v>0/0.9/1.9/3.9</v>
      </c>
      <c r="H38" s="397">
        <f>IF($C38="","",VLOOKUP($C38+$F$11*1000,DSS_Calc!$A:$JV,H$30,FALSE))</f>
        <v>0</v>
      </c>
      <c r="I38" s="397">
        <f>IF($C38="","",VLOOKUP($C38+$F$11*1000,DSS_Calc!$A:$JV,I$30,FALSE))</f>
        <v>0</v>
      </c>
      <c r="J38" s="397">
        <f>IF($C38="","",VLOOKUP($C38+$F$11*1000,DSS_Calc!$A:$JV,J$30,FALSE))</f>
        <v>2617</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2336</v>
      </c>
      <c r="R38" s="397">
        <f>IF($C38="","",VLOOKUP($C38+$F$11*1000,DSS_Calc!$A:$JV,R$30,FALSE)*IF(V38=0,0,1))</f>
        <v>2196.2248406704311</v>
      </c>
      <c r="S38" s="397">
        <f>IF($C38="","",VLOOKUP($C38+$F$11*1000,DSS_Calc!$A:$JV,S$30,FALSE)*IF(W38=0,0,1))</f>
        <v>3344.7164157747848</v>
      </c>
      <c r="T38" s="294" t="s">
        <v>2</v>
      </c>
      <c r="U38" s="398">
        <f>IF($C38="","",VLOOKUP($C38+$F$11*1000,DSS_Calc!$A:$JV,U$30,FALSE))</f>
        <v>0.48337223056982009</v>
      </c>
      <c r="V38" s="398">
        <f>IF($C38="","",VLOOKUP($C38+$F$11*1000,DSS_Calc!$A:$JV,V$30,FALSE))</f>
        <v>0.41846650060307999</v>
      </c>
      <c r="W38" s="398">
        <f>IF($C38="","",VLOOKUP($C38+$F$11*1000,DSS_Calc!$A:$JV,W$30,FALSE))</f>
        <v>9.8161268827099954E-2</v>
      </c>
      <c r="X38" s="294" t="s">
        <v>2</v>
      </c>
      <c r="Y38" s="397">
        <f>IF(U38=0,0,U38*Q38)</f>
        <v>1129.1575306110997</v>
      </c>
      <c r="Z38" s="397">
        <f>IF(V38=0,0,V38*R38)</f>
        <v>919.04652361291221</v>
      </c>
      <c r="AA38" s="397">
        <f>IF(W38=0,0,W38*S38)</f>
        <v>328.32160723928286</v>
      </c>
      <c r="AB38" s="294" t="s">
        <v>2</v>
      </c>
      <c r="AC38" s="397">
        <f>SUM(Y38:AA38)</f>
        <v>2376.5256614632949</v>
      </c>
      <c r="AD38" s="399">
        <f>AC38*AE38/1000/1000</f>
        <v>3.1031534990584047</v>
      </c>
      <c r="AE38" s="400">
        <f>IF($C38="","",VLOOKUP($C38+$F$11*1000,DSS_Calc!$A:$JV,AE$30,FALSE))</f>
        <v>1305.7521529759977</v>
      </c>
      <c r="AF38" s="399">
        <f>IF($C38="","",VLOOKUP($C38+$F$11*1000,DSS_Calc!$A:$JV,AF$30,FALSE))</f>
        <v>4.7254835341091903</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+1000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1.7636303414158794</v>
      </c>
      <c r="B39" s="402"/>
      <c r="C39" s="564">
        <f>AI39/(AC39/(VLOOKUP($C38+$F$11*1000,DSS_Calc!$A:$JV,DSS_Calc!BX$92,FALSE)-$AC$33))</f>
        <v>3.3940371326994856</v>
      </c>
      <c r="D39" s="403" t="s">
        <v>141</v>
      </c>
      <c r="F39" s="404">
        <f>ROUND(F38-F$33,0)</f>
        <v>1000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1000</v>
      </c>
      <c r="R39" s="404">
        <f t="shared" si="7"/>
        <v>0.16125066889981099</v>
      </c>
      <c r="S39" s="404">
        <f t="shared" si="7"/>
        <v>-360</v>
      </c>
      <c r="T39" s="294"/>
      <c r="U39" s="405">
        <f>U38-U$33</f>
        <v>0.11990697332615058</v>
      </c>
      <c r="V39" s="405">
        <f>V38-V$33</f>
        <v>-4.5583241646664274E-2</v>
      </c>
      <c r="W39" s="405">
        <f>W38-W$33</f>
        <v>-7.4323731679486263E-2</v>
      </c>
      <c r="X39" s="294"/>
      <c r="Y39" s="404">
        <f>Y38-Y$33</f>
        <v>643.56794693355721</v>
      </c>
      <c r="Z39" s="404">
        <f>Z38-Z$33</f>
        <v>-100.03621929134647</v>
      </c>
      <c r="AA39" s="404">
        <f>AA38-AA$33</f>
        <v>-310.68640561238914</v>
      </c>
      <c r="AB39" s="294"/>
      <c r="AC39" s="404">
        <f>IFERROR(AC38-AC$33,NA())</f>
        <v>232.845322029822</v>
      </c>
      <c r="AD39" s="406">
        <f>AD38-AD$33</f>
        <v>0.42276667804127577</v>
      </c>
      <c r="AE39" s="407">
        <f t="shared" si="3"/>
        <v>55.385308763816511</v>
      </c>
      <c r="AF39" s="406">
        <f t="shared" si="3"/>
        <v>-9.070405934781256E-2</v>
      </c>
      <c r="AG39" s="408">
        <f>AF39/AF$33</f>
        <v>-1.883316577432281E-2</v>
      </c>
      <c r="AH39" s="405"/>
      <c r="AI39" s="408">
        <f>IFERROR(AE39/$AE$33,NA())</f>
        <v>4.429524744693078E-2</v>
      </c>
      <c r="AJ39" s="289"/>
      <c r="AK39" s="749"/>
      <c r="AL39" s="750">
        <f>$AE38*U38-$AE$33*U$33</f>
        <v>176.69942407481727</v>
      </c>
      <c r="AM39" s="750">
        <f>$AE38*V38-$AE$33*V$33</f>
        <v>-33.818877663485523</v>
      </c>
      <c r="AN39" s="750">
        <f>$AE38*W38-$AE$33*W$33</f>
        <v>-87.495237647515211</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47</v>
      </c>
      <c r="D40" s="261" t="str">
        <f>"Scenario " &amp; A40</f>
        <v>Scenario D</v>
      </c>
      <c r="E40" s="272" t="s">
        <v>2</v>
      </c>
      <c r="F40" s="262">
        <f>IF($C40="","",VLOOKUP($C40+$F$11*1000,DSS_Calc!$A:$JV,F$30,FALSE))</f>
        <v>1519.7618664521319</v>
      </c>
      <c r="G40" s="262" t="str">
        <f>IF($C40="","",VLOOKUP($C40+$F$11*1000,DSS_Calc!$A:$JV,G$30,FALSE))</f>
        <v>0/0.9/1.9/3.9</v>
      </c>
      <c r="H40" s="262">
        <f>IF($C40="","",VLOOKUP($C40+$F$11*1000,DSS_Calc!$A:$JV,H$30,FALSE))</f>
        <v>0</v>
      </c>
      <c r="I40" s="262">
        <f>IF($C40="","",VLOOKUP($C40+$F$11*1000,DSS_Calc!$A:$JV,I$30,FALSE))</f>
        <v>0</v>
      </c>
      <c r="J40" s="262">
        <f>IF($C40="","",VLOOKUP($C40+$F$11*1000,DSS_Calc!$A:$JV,J$30,FALSE))</f>
        <v>2617</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1586.0000000000002</v>
      </c>
      <c r="R40" s="262">
        <f>IF($C40="","",VLOOKUP($C40+$F$11*1000,DSS_Calc!$A:$JV,R$30,FALSE)*IF(V40=0,0,1))</f>
        <v>2196.1390166867286</v>
      </c>
      <c r="S40" s="262">
        <f>IF($C40="","",VLOOKUP($C40+$F$11*1000,DSS_Calc!$A:$JV,S$30,FALSE)*IF(W40=0,0,1))</f>
        <v>3344.7164157747848</v>
      </c>
      <c r="T40" s="294" t="s">
        <v>2</v>
      </c>
      <c r="U40" s="263">
        <f>IF($C40="","",VLOOKUP($C40+$F$11*1000,DSS_Calc!$A:$JV,U$30,FALSE))</f>
        <v>0.41281128747404888</v>
      </c>
      <c r="V40" s="263">
        <f>IF($C40="","",VLOOKUP($C40+$F$11*1000,DSS_Calc!$A:$JV,V$30,FALSE))</f>
        <v>0.45837205000437092</v>
      </c>
      <c r="W40" s="263">
        <f>IF($C40="","",VLOOKUP($C40+$F$11*1000,DSS_Calc!$A:$JV,W$30,FALSE))</f>
        <v>0.12881666252158003</v>
      </c>
      <c r="X40" s="294" t="s">
        <v>2</v>
      </c>
      <c r="Y40" s="262">
        <f>IF(U40=0,0,U40*Q40)</f>
        <v>654.71870193384166</v>
      </c>
      <c r="Z40" s="262">
        <f>IF(V40=0,0,V40*R40)</f>
        <v>1006.6487431732792</v>
      </c>
      <c r="AA40" s="262">
        <f>IF(W40=0,0,W40*S40)</f>
        <v>430.85520576124918</v>
      </c>
      <c r="AB40" s="294" t="s">
        <v>2</v>
      </c>
      <c r="AC40" s="262">
        <f>SUM(Y40:AA40)</f>
        <v>2092.2226508683698</v>
      </c>
      <c r="AD40" s="264">
        <f>AC40*AE40/1000/1000</f>
        <v>2.6139466390982564</v>
      </c>
      <c r="AE40" s="265">
        <f>IF($C40="","",VLOOKUP($C40+$F$11*1000,DSS_Calc!$A:$JV,AE$30,FALSE))</f>
        <v>1249.3635120589804</v>
      </c>
      <c r="AF40" s="264">
        <f>IF($C40="","",VLOOKUP($C40+$F$11*1000,DSS_Calc!$A:$JV,AF$30,FALSE))</f>
        <v>4.8766122974513602</v>
      </c>
      <c r="AG40" s="300"/>
      <c r="AH40" s="263"/>
      <c r="AI40" s="300"/>
      <c r="AJ40" s="289" t="s">
        <v>2</v>
      </c>
      <c r="AK40" s="766"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+250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-0.25176853681172856</v>
      </c>
      <c r="B41" s="402"/>
      <c r="C41" s="564">
        <f>AI41/(AC41/(VLOOKUP($C40+$F$11*1000,DSS_Calc!$A:$JV,DSS_Calc!BX$92,FALSE)-$AC$33))</f>
        <v>0.27821720370733749</v>
      </c>
      <c r="D41" s="266" t="s">
        <v>141</v>
      </c>
      <c r="F41" s="267">
        <f>ROUND(F40-F$33,0)</f>
        <v>250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250.00000000000023</v>
      </c>
      <c r="R41" s="267">
        <f t="shared" si="9"/>
        <v>7.5426685197271581E-2</v>
      </c>
      <c r="S41" s="267">
        <f t="shared" si="9"/>
        <v>-360</v>
      </c>
      <c r="T41" s="294"/>
      <c r="U41" s="268">
        <f>U40-U$33</f>
        <v>4.9346030230379367E-2</v>
      </c>
      <c r="V41" s="268">
        <f>V40-V$33</f>
        <v>-5.6776922453733447E-3</v>
      </c>
      <c r="W41" s="268">
        <f>W40-W$33</f>
        <v>-4.3668337985006189E-2</v>
      </c>
      <c r="X41" s="294"/>
      <c r="Y41" s="267">
        <f>Y40-Y$33</f>
        <v>169.12911825629919</v>
      </c>
      <c r="Z41" s="267">
        <f>Z40-Z$33</f>
        <v>-12.433999730979508</v>
      </c>
      <c r="AA41" s="267">
        <f>AA40-AA$33</f>
        <v>-208.15280709042281</v>
      </c>
      <c r="AB41" s="294"/>
      <c r="AC41" s="267">
        <f>IFERROR(AC40-AC$33,NA())</f>
        <v>-51.457688565103126</v>
      </c>
      <c r="AD41" s="269">
        <f>AD40-AD$33</f>
        <v>-6.6440181918872465E-2</v>
      </c>
      <c r="AE41" s="270">
        <f t="shared" si="3"/>
        <v>-1.0033321532007449</v>
      </c>
      <c r="AF41" s="269">
        <f t="shared" si="3"/>
        <v>6.0424703994357287E-2</v>
      </c>
      <c r="AG41" s="301">
        <f>AF41/AF$33</f>
        <v>1.2546169106130092E-2</v>
      </c>
      <c r="AH41" s="268"/>
      <c r="AI41" s="301">
        <f>IFERROR(AE41/$AE$33,NA())</f>
        <v>-8.0243022905243026E-4</v>
      </c>
      <c r="AJ41" s="289"/>
      <c r="AK41" s="749"/>
      <c r="AL41" s="750">
        <f>$AE40*U40-$AE$33*U$33</f>
        <v>61.286453255631443</v>
      </c>
      <c r="AM41" s="750">
        <f>$AE40*V40-$AE$33*V$33</f>
        <v>-7.5590975511533998</v>
      </c>
      <c r="AN41" s="750">
        <f>$AE40*W40-$AE$33*W$33</f>
        <v>-54.730687857679015</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31</v>
      </c>
      <c r="D42" s="396" t="str">
        <f>"Scenario " &amp; A42</f>
        <v>Scenario E</v>
      </c>
      <c r="E42" s="272" t="s">
        <v>2</v>
      </c>
      <c r="F42" s="397">
        <f>IF($C42="","",VLOOKUP($C42+$F$11*1000,DSS_Calc!$A:$JV,F$30,FALSE))</f>
        <v>1519.7618664521319</v>
      </c>
      <c r="G42" s="397" t="str">
        <f>IF($C42="","",VLOOKUP($C42+$F$11*1000,DSS_Calc!$A:$JV,G$30,FALSE))</f>
        <v>0/0.9/1.9/3.9</v>
      </c>
      <c r="H42" s="397">
        <f>IF($C42="","",VLOOKUP($C42+$F$11*1000,DSS_Calc!$A:$JV,H$30,FALSE))</f>
        <v>0</v>
      </c>
      <c r="I42" s="397">
        <f>IF($C42="","",VLOOKUP($C42+$F$11*1000,DSS_Calc!$A:$JV,I$30,FALSE))</f>
        <v>250</v>
      </c>
      <c r="J42" s="397">
        <f>IF($C42="","",VLOOKUP($C42+$F$11*1000,DSS_Calc!$A:$JV,J$30,FALSE))</f>
        <v>2977</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1585.9999999999998</v>
      </c>
      <c r="R42" s="397">
        <f>IF($C42="","",VLOOKUP($C42+$F$11*1000,DSS_Calc!$A:$JV,R$30,FALSE)*IF(V42=0,0,1))</f>
        <v>2446.0893541353207</v>
      </c>
      <c r="S42" s="397">
        <f>IF($C42="","",VLOOKUP($C42+$F$11*1000,DSS_Calc!$A:$JV,S$30,FALSE)*IF(W42=0,0,1))</f>
        <v>3704.7164157747848</v>
      </c>
      <c r="T42" s="294" t="s">
        <v>2</v>
      </c>
      <c r="U42" s="398">
        <f>IF($C42="","",VLOOKUP($C42+$F$11*1000,DSS_Calc!$A:$JV,U$30,FALSE))</f>
        <v>0.37823338828462061</v>
      </c>
      <c r="V42" s="398">
        <f>IF($C42="","",VLOOKUP($C42+$F$11*1000,DSS_Calc!$A:$JV,V$30,FALSE))</f>
        <v>0.46636395827372468</v>
      </c>
      <c r="W42" s="398">
        <f>IF($C42="","",VLOOKUP($C42+$F$11*1000,DSS_Calc!$A:$JV,W$30,FALSE))</f>
        <v>0.15540265344165469</v>
      </c>
      <c r="X42" s="294" t="s">
        <v>2</v>
      </c>
      <c r="Y42" s="397">
        <f>IF(U42=0,0,U42*Q42)</f>
        <v>599.87815381940823</v>
      </c>
      <c r="Z42" s="397">
        <f>IF(V42=0,0,V42*R42)</f>
        <v>1140.7679134857669</v>
      </c>
      <c r="AA42" s="397">
        <f>IF(W42=0,0,W42*S42)</f>
        <v>575.72276126025793</v>
      </c>
      <c r="AB42" s="294" t="s">
        <v>2</v>
      </c>
      <c r="AC42" s="397">
        <f>SUM(Y42:AA42)</f>
        <v>2316.368828565433</v>
      </c>
      <c r="AD42" s="399">
        <f>AC42*AE42/1000/1000</f>
        <v>2.9819211242167794</v>
      </c>
      <c r="AE42" s="400">
        <f>IF($C42="","",VLOOKUP($C42+$F$11*1000,DSS_Calc!$A:$JV,AE$30,FALSE))</f>
        <v>1287.3257002269083</v>
      </c>
      <c r="AF42" s="399">
        <f>IF($C42="","",VLOOKUP($C42+$F$11*1000,DSS_Calc!$A:$JV,AF$30,FALSE))</f>
        <v>4.7362401114936503</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+250 CC, +250 APR Cash</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2.4974316503876111</v>
      </c>
      <c r="B43" s="402"/>
      <c r="C43" s="564">
        <f>AI43/(AC43/(VLOOKUP($C42+$F$11*1000,DSS_Calc!$A:$JV,DSS_Calc!BX$92,FALSE)-$AC$33))</f>
        <v>3.0538285830834719</v>
      </c>
      <c r="D43" s="403" t="s">
        <v>141</v>
      </c>
      <c r="F43" s="404">
        <f>ROUND(F42-F$33,0)</f>
        <v>250</v>
      </c>
      <c r="G43" s="404"/>
      <c r="H43" s="404"/>
      <c r="I43" s="404">
        <f t="shared" ref="I43:O43" si="10">ROUND(I42-I$33,0)</f>
        <v>250</v>
      </c>
      <c r="J43" s="404">
        <f t="shared" si="10"/>
        <v>0</v>
      </c>
      <c r="K43" s="404">
        <f t="shared" si="10"/>
        <v>0</v>
      </c>
      <c r="L43" s="404">
        <f t="shared" si="10"/>
        <v>0</v>
      </c>
      <c r="M43" s="404">
        <f t="shared" si="10"/>
        <v>0</v>
      </c>
      <c r="N43" s="404">
        <f t="shared" si="10"/>
        <v>0</v>
      </c>
      <c r="O43" s="404">
        <f t="shared" si="10"/>
        <v>0</v>
      </c>
      <c r="P43" s="294"/>
      <c r="Q43" s="404">
        <f t="shared" ref="Q43:S43" si="11">Q42-Q$33</f>
        <v>249.99999999999977</v>
      </c>
      <c r="R43" s="404">
        <f t="shared" si="11"/>
        <v>250.02576413378938</v>
      </c>
      <c r="S43" s="404">
        <f t="shared" si="11"/>
        <v>0</v>
      </c>
      <c r="T43" s="294"/>
      <c r="U43" s="405">
        <f>U42-U$33</f>
        <v>1.4768131040951094E-2</v>
      </c>
      <c r="V43" s="405">
        <f>V42-V$33</f>
        <v>2.3142160239804088E-3</v>
      </c>
      <c r="W43" s="405">
        <f>W42-W$33</f>
        <v>-1.708234706493153E-2</v>
      </c>
      <c r="X43" s="294"/>
      <c r="Y43" s="404">
        <f>Y42-Y$33</f>
        <v>114.28857014186576</v>
      </c>
      <c r="Z43" s="404">
        <f>Z42-Z$33</f>
        <v>121.68517058150826</v>
      </c>
      <c r="AA43" s="404">
        <f>AA42-AA$33</f>
        <v>-63.285251591414067</v>
      </c>
      <c r="AB43" s="294"/>
      <c r="AC43" s="404">
        <f>IFERROR(AC42-AC$33,NA())</f>
        <v>172.68848913196007</v>
      </c>
      <c r="AD43" s="406">
        <f>AD42-AD$33</f>
        <v>0.30153430319965047</v>
      </c>
      <c r="AE43" s="407">
        <f t="shared" si="3"/>
        <v>36.958856014727189</v>
      </c>
      <c r="AF43" s="406">
        <f t="shared" si="3"/>
        <v>-7.9947481963352551E-2</v>
      </c>
      <c r="AG43" s="408">
        <f>AF43/AF$33</f>
        <v>-1.6599744177731912E-2</v>
      </c>
      <c r="AH43" s="405"/>
      <c r="AI43" s="408">
        <f>IFERROR(AE43/$AE$33,NA())</f>
        <v>2.9558410146434955E-2</v>
      </c>
      <c r="AJ43" s="289"/>
      <c r="AK43" s="751"/>
      <c r="AL43" s="750">
        <f>$AE42*U42-$AE$33*U$33</f>
        <v>32.444654742159685</v>
      </c>
      <c r="AM43" s="750">
        <f>$AE42*V42-$AE$33*V$33</f>
        <v>20.129897371026459</v>
      </c>
      <c r="AN43" s="750">
        <f>$AE42*W42-$AE$33*W$33</f>
        <v>-15.615696098458983</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77</v>
      </c>
      <c r="D44" s="261" t="str">
        <f>"Scenario " &amp; A44</f>
        <v>Scenario F</v>
      </c>
      <c r="E44" s="272" t="s">
        <v>2</v>
      </c>
      <c r="F44" s="262">
        <f>IF($C44="","",VLOOKUP($C44+$F$11*1000,DSS_Calc!$A:$JV,F$30,FALSE))</f>
        <v>1019.7618664521319</v>
      </c>
      <c r="G44" s="262" t="str">
        <f>IF($C44="","",VLOOKUP($C44+$F$11*1000,DSS_Calc!$A:$JV,G$30,FALSE))</f>
        <v>0/0.9/1.9/3.9</v>
      </c>
      <c r="H44" s="262">
        <f>IF($C44="","",VLOOKUP($C44+$F$11*1000,DSS_Calc!$A:$JV,H$30,FALSE))</f>
        <v>0</v>
      </c>
      <c r="I44" s="262">
        <f>IF($C44="","",VLOOKUP($C44+$F$11*1000,DSS_Calc!$A:$JV,I$30,FALSE))</f>
        <v>0</v>
      </c>
      <c r="J44" s="262">
        <f>IF($C44="","",VLOOKUP($C44+$F$11*1000,DSS_Calc!$A:$JV,J$30,FALSE))</f>
        <v>2617</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1086</v>
      </c>
      <c r="R44" s="262">
        <f>IF($C44="","",VLOOKUP($C44+$F$11*1000,DSS_Calc!$A:$JV,R$30,FALSE)*IF(V44=0,0,1))</f>
        <v>2196.0702652366008</v>
      </c>
      <c r="S44" s="262">
        <f>IF($C44="","",VLOOKUP($C44+$F$11*1000,DSS_Calc!$A:$JV,S$30,FALSE)*IF(W44=0,0,1))</f>
        <v>3344.7164157747848</v>
      </c>
      <c r="T44" s="294" t="s">
        <v>2</v>
      </c>
      <c r="U44" s="263">
        <f>IF($C44="","",VLOOKUP($C44+$F$11*1000,DSS_Calc!$A:$JV,U$30,FALSE))</f>
        <v>0.36164091956168948</v>
      </c>
      <c r="V44" s="263">
        <f>IF($C44="","",VLOOKUP($C44+$F$11*1000,DSS_Calc!$A:$JV,V$30,FALSE))</f>
        <v>0.48504214215955604</v>
      </c>
      <c r="W44" s="263">
        <f>IF($C44="","",VLOOKUP($C44+$F$11*1000,DSS_Calc!$A:$JV,W$30,FALSE))</f>
        <v>0.15331693827875442</v>
      </c>
      <c r="X44" s="294" t="s">
        <v>2</v>
      </c>
      <c r="Y44" s="262">
        <f>IF(U44=0,0,U44*Q44)</f>
        <v>392.74203864399476</v>
      </c>
      <c r="Z44" s="262">
        <f>IF(V44=0,0,V44*R44)</f>
        <v>1065.1866257832653</v>
      </c>
      <c r="AA44" s="262">
        <f>IF(W44=0,0,W44*S44)</f>
        <v>512.80168027727939</v>
      </c>
      <c r="AB44" s="294" t="s">
        <v>2</v>
      </c>
      <c r="AC44" s="262">
        <f>SUM(Y44:AA44)</f>
        <v>1970.7303447045397</v>
      </c>
      <c r="AD44" s="264">
        <f>AC44*AE44/1000/1000</f>
        <v>2.4043098036135588</v>
      </c>
      <c r="AE44" s="265">
        <f>IF($C44="","",VLOOKUP($C44+$F$11*1000,DSS_Calc!$A:$JV,AE$30,FALSE))</f>
        <v>1220.0095310218726</v>
      </c>
      <c r="AF44" s="264">
        <f>IF($C44="","",VLOOKUP($C44+$F$11*1000,DSS_Calc!$A:$JV,AF$30,FALSE))</f>
        <v>4.9102573396280782</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2.9750086356893353</v>
      </c>
      <c r="B45" s="402"/>
      <c r="C45" s="564">
        <f>AI45/(AC45/(VLOOKUP($C44+$F$11*1000,DSS_Calc!$A:$JV,DSS_Calc!BX$92,FALSE)-$AC$33))</f>
        <v>2.5045649784409738</v>
      </c>
      <c r="D45" s="266" t="s">
        <v>141</v>
      </c>
      <c r="F45" s="267">
        <f>ROUND(F44-F$33,0)</f>
        <v>-250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-250</v>
      </c>
      <c r="R45" s="267">
        <f t="shared" si="13"/>
        <v>6.6752350694514462E-3</v>
      </c>
      <c r="S45" s="267">
        <f t="shared" si="13"/>
        <v>-360</v>
      </c>
      <c r="T45" s="294"/>
      <c r="U45" s="268">
        <f>U44-U$33</f>
        <v>-1.8243376819800372E-3</v>
      </c>
      <c r="V45" s="268">
        <f>V44-V$33</f>
        <v>2.0992399909811776E-2</v>
      </c>
      <c r="W45" s="268">
        <f>W44-W$33</f>
        <v>-1.9168062227831795E-2</v>
      </c>
      <c r="X45" s="294"/>
      <c r="Y45" s="267">
        <f>Y44-Y$33</f>
        <v>-92.847545033547703</v>
      </c>
      <c r="Z45" s="267">
        <f>Z44-Z$33</f>
        <v>46.103882879006619</v>
      </c>
      <c r="AA45" s="267">
        <f>AA44-AA$33</f>
        <v>-126.2063325743926</v>
      </c>
      <c r="AB45" s="294"/>
      <c r="AC45" s="267">
        <f>IFERROR(AC44-AC$33,NA())</f>
        <v>-172.94999472893323</v>
      </c>
      <c r="AD45" s="269">
        <f>AD44-AD$33</f>
        <v>-0.27607701740357005</v>
      </c>
      <c r="AE45" s="270">
        <f t="shared" si="3"/>
        <v>-30.35731319030856</v>
      </c>
      <c r="AF45" s="269">
        <f t="shared" si="3"/>
        <v>9.406974617107533E-2</v>
      </c>
      <c r="AG45" s="268">
        <f>AF45/AF$33</f>
        <v>1.9531993790871664E-2</v>
      </c>
      <c r="AH45" s="268"/>
      <c r="AI45" s="301">
        <f>IFERROR(AE45/$AE$33,NA())</f>
        <v>-2.427872534434948E-2</v>
      </c>
      <c r="AJ45" s="289"/>
      <c r="AK45" s="751"/>
      <c r="AL45" s="750">
        <f>$AE44*U44-$AE$33*U$33</f>
        <v>-13.259538007760113</v>
      </c>
      <c r="AM45" s="750">
        <f>$AE44*V44-$AE$33*V$33</f>
        <v>11.523624607635611</v>
      </c>
      <c r="AN45" s="750">
        <f>$AE44*W44-$AE$33*W$33</f>
        <v>-28.621399790184086</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76</v>
      </c>
      <c r="D46" s="396" t="str">
        <f>"Scenario " &amp; A46</f>
        <v>Scenario G</v>
      </c>
      <c r="E46" s="272" t="s">
        <v>2</v>
      </c>
      <c r="F46" s="397">
        <f>IF($C46="","",VLOOKUP($C46+$F$11*1000,DSS_Calc!$A:$JV,F$30,FALSE))</f>
        <v>1269.7618664521319</v>
      </c>
      <c r="G46" s="397" t="str">
        <f>IF($C46="","",VLOOKUP($C46+$F$11*1000,DSS_Calc!$A:$JV,G$30,FALSE))</f>
        <v>0/0.9/1.9/3.9</v>
      </c>
      <c r="H46" s="397">
        <f>IF($C46="","",VLOOKUP($C46+$F$11*1000,DSS_Calc!$A:$JV,H$30,FALSE))</f>
        <v>0</v>
      </c>
      <c r="I46" s="397">
        <f>IF($C46="","",VLOOKUP($C46+$F$11*1000,DSS_Calc!$A:$JV,I$30,FALSE))</f>
        <v>0</v>
      </c>
      <c r="J46" s="397">
        <f>IF($C46="","",VLOOKUP($C46+$F$11*1000,DSS_Calc!$A:$JV,J$30,FALSE))</f>
        <v>2977</v>
      </c>
      <c r="K46" s="397">
        <f>IF($C46="","",VLOOKUP($C46+$F$11*1000,DSS_Calc!$A:$JV,K$30,FALSE))</f>
        <v>-1000</v>
      </c>
      <c r="L46" s="397">
        <f>IF($C46="","",VLOOKUP($C46+$F$11*1000,DSS_Calc!$A:$JV,L$30,FALSE))</f>
        <v>-500</v>
      </c>
      <c r="M46" s="397">
        <f>IF($C46="","",VLOOKUP($C46+$F$11*1000,DSS_Calc!$A:$JV,M$30,FALSE))</f>
        <v>0</v>
      </c>
      <c r="N46" s="397">
        <f>IF($C46="","",VLOOKUP($C46+$F$11*1000,DSS_Calc!$A:$JV,N$30,FALSE))</f>
        <v>0</v>
      </c>
      <c r="O46" s="397">
        <f>IF($C46="","",VLOOKUP($C46+$F$11*1000,DSS_Calc!$A:$JV,O$30,FALSE))</f>
        <v>0</v>
      </c>
      <c r="P46" s="294" t="s">
        <v>2</v>
      </c>
      <c r="Q46" s="397">
        <f>IF($C46="","",VLOOKUP($C46+$F$11*1000,DSS_Calc!$A:$JV,Q$30,FALSE)*IF(U46=0,0,1))</f>
        <v>1066</v>
      </c>
      <c r="R46" s="397">
        <f>IF($C46="","",VLOOKUP($C46+$F$11*1000,DSS_Calc!$A:$JV,R$30,FALSE)*IF(V46=0,0,1))</f>
        <v>1926.0507936206425</v>
      </c>
      <c r="S46" s="397">
        <f>IF($C46="","",VLOOKUP($C46+$F$11*1000,DSS_Calc!$A:$JV,S$30,FALSE)*IF(W46=0,0,1))</f>
        <v>3569.7164157747848</v>
      </c>
      <c r="T46" s="294" t="s">
        <v>2</v>
      </c>
      <c r="U46" s="398">
        <f>IF($C46="","",VLOOKUP($C46+$F$11*1000,DSS_Calc!$A:$JV,U$30,FALSE))</f>
        <v>0.35663639051066892</v>
      </c>
      <c r="V46" s="398">
        <f>IF($C46="","",VLOOKUP($C46+$F$11*1000,DSS_Calc!$A:$JV,V$30,FALSE))</f>
        <v>0.46393049862339314</v>
      </c>
      <c r="W46" s="398">
        <f>IF($C46="","",VLOOKUP($C46+$F$11*1000,DSS_Calc!$A:$JV,W$30,FALSE))</f>
        <v>0.17943311086593797</v>
      </c>
      <c r="X46" s="294" t="s">
        <v>2</v>
      </c>
      <c r="Y46" s="397">
        <f>IF(U46=0,0,U46*Q46)</f>
        <v>380.17439228437308</v>
      </c>
      <c r="Z46" s="397">
        <f>IF(V46=0,0,V46*R46)</f>
        <v>893.55370505840676</v>
      </c>
      <c r="AA46" s="397">
        <f>IF(W46=0,0,W46*S46)</f>
        <v>640.52532139167567</v>
      </c>
      <c r="AB46" s="294" t="s">
        <v>2</v>
      </c>
      <c r="AC46" s="397">
        <f>SUM(Y46:AA46)</f>
        <v>1914.2534187344554</v>
      </c>
      <c r="AD46" s="399">
        <f>AC46*AE46/1000/1000</f>
        <v>2.3076043816272565</v>
      </c>
      <c r="AE46" s="400">
        <f>IF($C46="","",VLOOKUP($C46+$F$11*1000,DSS_Calc!$A:$JV,AE$30,FALSE))</f>
        <v>1205.4853129910312</v>
      </c>
      <c r="AF46" s="399">
        <f>IF($C46="","",VLOOKUP($C46+$F$11*1000,DSS_Calc!$A:$JV,AF$30,FALSE))</f>
        <v>4.9198828124104708</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-1000 Event RBC, -500 Event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2.6055912808706685</v>
      </c>
      <c r="B47" s="402"/>
      <c r="C47" s="564">
        <f>AI47/(AC47/(VLOOKUP($C46+$F$11*1000,DSS_Calc!$A:$JV,DSS_Calc!BX$92,FALSE)-$AC$33))</f>
        <v>2.7913404851558794</v>
      </c>
      <c r="D47" s="403" t="s">
        <v>141</v>
      </c>
      <c r="F47" s="404">
        <f>ROUND(F46-F$33,0)</f>
        <v>0</v>
      </c>
      <c r="G47" s="404"/>
      <c r="H47" s="404"/>
      <c r="I47" s="404">
        <f t="shared" ref="I47:O47" si="14">ROUND(I46-I$33,0)</f>
        <v>0</v>
      </c>
      <c r="J47" s="404">
        <f t="shared" si="14"/>
        <v>0</v>
      </c>
      <c r="K47" s="404">
        <f t="shared" si="14"/>
        <v>-1000</v>
      </c>
      <c r="L47" s="404">
        <f t="shared" si="14"/>
        <v>-500</v>
      </c>
      <c r="M47" s="404">
        <f t="shared" si="14"/>
        <v>0</v>
      </c>
      <c r="N47" s="404">
        <f t="shared" si="14"/>
        <v>0</v>
      </c>
      <c r="O47" s="404">
        <f t="shared" si="14"/>
        <v>0</v>
      </c>
      <c r="P47" s="294"/>
      <c r="Q47" s="404">
        <f t="shared" ref="Q47:S47" si="15">Q46-Q$33</f>
        <v>-270</v>
      </c>
      <c r="R47" s="404">
        <f t="shared" si="15"/>
        <v>-270.01279638088886</v>
      </c>
      <c r="S47" s="404">
        <f t="shared" si="15"/>
        <v>-135</v>
      </c>
      <c r="T47" s="294"/>
      <c r="U47" s="405">
        <f>U46-U$33</f>
        <v>-6.8288667330005937E-3</v>
      </c>
      <c r="V47" s="405">
        <f>V46-V$33</f>
        <v>-1.1924362635112873E-4</v>
      </c>
      <c r="W47" s="405">
        <f>W46-W$33</f>
        <v>6.9481103593517501E-3</v>
      </c>
      <c r="X47" s="294"/>
      <c r="Y47" s="404">
        <f>Y46-Y$33</f>
        <v>-105.41519139316938</v>
      </c>
      <c r="Z47" s="404">
        <f>Z46-Z$33</f>
        <v>-125.52903784585192</v>
      </c>
      <c r="AA47" s="404">
        <f>AA46-AA$33</f>
        <v>1.5173085400036825</v>
      </c>
      <c r="AB47" s="294"/>
      <c r="AC47" s="404">
        <f>IFERROR(AC46-AC$33,NA())</f>
        <v>-229.4269206990175</v>
      </c>
      <c r="AD47" s="406">
        <f>AD46-AD$33</f>
        <v>-0.37278243938987243</v>
      </c>
      <c r="AE47" s="407">
        <f t="shared" si="3"/>
        <v>-44.881531221149999</v>
      </c>
      <c r="AF47" s="406">
        <f t="shared" si="3"/>
        <v>0.10369521895346789</v>
      </c>
      <c r="AG47" s="405">
        <f>AF47/AF$33</f>
        <v>2.1530560623166401E-2</v>
      </c>
      <c r="AH47" s="405"/>
      <c r="AI47" s="408">
        <f>IFERROR(AE47/$AE$33,NA())</f>
        <v>-3.5894690769274609E-2</v>
      </c>
      <c r="AJ47" s="289"/>
      <c r="AK47" s="751"/>
      <c r="AL47" s="750">
        <f>$AE46*U46-$AE$33*U$33</f>
        <v>-24.54497584179029</v>
      </c>
      <c r="AM47" s="750">
        <f>$AE46*V46-$AE$33*V$33</f>
        <v>-20.971009435182623</v>
      </c>
      <c r="AN47" s="750">
        <f>$AE46*W46-$AE$33*W$33</f>
        <v>0.63445405582294256</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78</v>
      </c>
      <c r="D48" s="261" t="str">
        <f>"Scenario " &amp; A48</f>
        <v>Scenario H</v>
      </c>
      <c r="E48" s="272" t="s">
        <v>2</v>
      </c>
      <c r="F48" s="262">
        <f>IF($C48="","",VLOOKUP($C48+$F$11*1000,DSS_Calc!$A:$JV,F$30,FALSE))</f>
        <v>769.76186645213193</v>
      </c>
      <c r="G48" s="262" t="str">
        <f>IF($C48="","",VLOOKUP($C48+$F$11*1000,DSS_Calc!$A:$JV,G$30,FALSE))</f>
        <v>0/0.9/1.9/3.9</v>
      </c>
      <c r="H48" s="262">
        <f>IF($C48="","",VLOOKUP($C48+$F$11*1000,DSS_Calc!$A:$JV,H$30,FALSE))</f>
        <v>0</v>
      </c>
      <c r="I48" s="262">
        <f>IF($C48="","",VLOOKUP($C48+$F$11*1000,DSS_Calc!$A:$JV,I$30,FALSE))</f>
        <v>0</v>
      </c>
      <c r="J48" s="262">
        <f>IF($C48="","",VLOOKUP($C48+$F$11*1000,DSS_Calc!$A:$JV,J$30,FALSE))</f>
        <v>2617</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836.00000000000011</v>
      </c>
      <c r="R48" s="262">
        <f>IF($C48="","",VLOOKUP($C48+$F$11*1000,DSS_Calc!$A:$JV,R$30,FALSE)*IF(V48=0,0,1))</f>
        <v>2196.0322224886395</v>
      </c>
      <c r="S48" s="262">
        <f>IF($C48="","",VLOOKUP($C48+$F$11*1000,DSS_Calc!$A:$JV,S$30,FALSE)*IF(W48=0,0,1))</f>
        <v>3344.7164157747848</v>
      </c>
      <c r="T48" s="294" t="s">
        <v>2</v>
      </c>
      <c r="U48" s="263">
        <f>IF($C48="","",VLOOKUP($C48+$F$11*1000,DSS_Calc!$A:$JV,U$30,FALSE))</f>
        <v>0.33515259244197138</v>
      </c>
      <c r="V48" s="263">
        <f>IF($C48="","",VLOOKUP($C48+$F$11*1000,DSS_Calc!$A:$JV,V$30,FALSE))</f>
        <v>0.49822006205186481</v>
      </c>
      <c r="W48" s="263">
        <f>IF($C48="","",VLOOKUP($C48+$F$11*1000,DSS_Calc!$A:$JV,W$30,FALSE))</f>
        <v>0.16662734550616379</v>
      </c>
      <c r="X48" s="294" t="s">
        <v>2</v>
      </c>
      <c r="Y48" s="262">
        <f>IF(U48=0,0,U48*Q48)</f>
        <v>280.1875672814881</v>
      </c>
      <c r="Z48" s="262">
        <f>IF(V48=0,0,V48*R48)</f>
        <v>1094.1073101561847</v>
      </c>
      <c r="AA48" s="262">
        <f>IF(W48=0,0,W48*S48)</f>
        <v>557.32121783144282</v>
      </c>
      <c r="AB48" s="294" t="s">
        <v>2</v>
      </c>
      <c r="AC48" s="262">
        <f>SUM(Y48:AA48)</f>
        <v>1931.6160952691157</v>
      </c>
      <c r="AD48" s="264">
        <f>AC48*AE48/1000/1000</f>
        <v>2.332919658060574</v>
      </c>
      <c r="AE48" s="265">
        <f>IF($C48="","",VLOOKUP($C48+$F$11*1000,DSS_Calc!$A:$JV,AE$30,FALSE))</f>
        <v>1207.755342158478</v>
      </c>
      <c r="AF48" s="264">
        <f>IF($C48="","",VLOOKUP($C48+$F$11*1000,DSS_Calc!$A:$JV,AF$30,FALSE))</f>
        <v>4.9081774958505804</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-500 CC,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2.671692886086074</v>
      </c>
      <c r="B49" s="402"/>
      <c r="C49" s="564">
        <f>AI49/(AC49/(VLOOKUP($C48+$F$11*1000,DSS_Calc!$A:$JV,DSS_Calc!BX$92,FALSE)-$AC$33))</f>
        <v>2.8671401329439905</v>
      </c>
      <c r="D49" s="266" t="s">
        <v>141</v>
      </c>
      <c r="F49" s="267">
        <f>ROUND(F48-F$33,0)</f>
        <v>-500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-499.99999999999989</v>
      </c>
      <c r="R49" s="267">
        <f t="shared" si="17"/>
        <v>-3.1367512891847582E-2</v>
      </c>
      <c r="S49" s="267">
        <f t="shared" si="17"/>
        <v>-360</v>
      </c>
      <c r="T49" s="294"/>
      <c r="U49" s="268">
        <f>U48-U$33</f>
        <v>-2.831266480169814E-2</v>
      </c>
      <c r="V49" s="268">
        <f>V48-V$33</f>
        <v>3.4170319802120541E-2</v>
      </c>
      <c r="W49" s="268">
        <f>W48-W$33</f>
        <v>-5.8576550004224293E-3</v>
      </c>
      <c r="X49" s="294"/>
      <c r="Y49" s="267">
        <f>Y48-Y$33</f>
        <v>-205.40201639605436</v>
      </c>
      <c r="Z49" s="267">
        <f>Z48-Z$33</f>
        <v>75.024567251925987</v>
      </c>
      <c r="AA49" s="267">
        <f>AA48-AA$33</f>
        <v>-81.686795020229169</v>
      </c>
      <c r="AB49" s="294"/>
      <c r="AC49" s="267">
        <f>IFERROR(AC48-AC$33,NA())</f>
        <v>-212.06424416435721</v>
      </c>
      <c r="AD49" s="269">
        <f>AD48-AD$33</f>
        <v>-0.34746716295655489</v>
      </c>
      <c r="AE49" s="270">
        <f t="shared" si="3"/>
        <v>-42.611502053703134</v>
      </c>
      <c r="AF49" s="269">
        <f t="shared" si="3"/>
        <v>9.1989902393577516E-2</v>
      </c>
      <c r="AG49" s="268">
        <f>AF49/AF$33</f>
        <v>1.9100149362651433E-2</v>
      </c>
      <c r="AH49" s="268"/>
      <c r="AI49" s="301">
        <f>IFERROR(AE49/$AE$33,NA())</f>
        <v>-3.4079200237072324E-2</v>
      </c>
      <c r="AJ49" s="289"/>
      <c r="AK49" s="751"/>
      <c r="AL49" s="750">
        <f>$AE48*U48-$AE$33*U$33</f>
        <v>-49.682572720481573</v>
      </c>
      <c r="AM49" s="750">
        <f>$AE48*V48-$AE$33*V$33</f>
        <v>21.495529739379322</v>
      </c>
      <c r="AN49" s="750">
        <f>$AE48*W48-$AE$33*W$33</f>
        <v>-14.424459072600882</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61</v>
      </c>
      <c r="D50" s="396" t="str">
        <f>"Scenario " &amp; A50</f>
        <v>Scenario I</v>
      </c>
      <c r="E50" s="272" t="s">
        <v>2</v>
      </c>
      <c r="F50" s="397">
        <f>IF($C50="","",VLOOKUP($C50+$F$11*1000,DSS_Calc!$A:$JV,F$30,FALSE))</f>
        <v>2019.7618664521319</v>
      </c>
      <c r="G50" s="397" t="str">
        <f>IF($C50="","",VLOOKUP($C50+$F$11*1000,DSS_Calc!$A:$JV,G$30,FALSE))</f>
        <v>0/0/0.9/3.9</v>
      </c>
      <c r="H50" s="397">
        <f>IF($C50="","",VLOOKUP($C50+$F$11*1000,DSS_Calc!$A:$JV,H$30,FALSE))</f>
        <v>0</v>
      </c>
      <c r="I50" s="397">
        <f>IF($C50="","",VLOOKUP($C50+$F$11*1000,DSS_Calc!$A:$JV,I$30,FALSE))</f>
        <v>0</v>
      </c>
      <c r="J50" s="397">
        <f>IF($C50="","",VLOOKUP($C50+$F$11*1000,DSS_Calc!$A:$JV,J$30,FALSE))</f>
        <v>2617</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2086</v>
      </c>
      <c r="R50" s="397">
        <f>IF($C50="","",VLOOKUP($C50+$F$11*1000,DSS_Calc!$A:$JV,R$30,FALSE)*IF(V50=0,0,1))</f>
        <v>2499.1032603363756</v>
      </c>
      <c r="S50" s="397">
        <f>IF($C50="","",VLOOKUP($C50+$F$11*1000,DSS_Calc!$A:$JV,S$30,FALSE)*IF(W50=0,0,1))</f>
        <v>3344.7164157747848</v>
      </c>
      <c r="T50" s="294" t="s">
        <v>2</v>
      </c>
      <c r="U50" s="398">
        <f>IF($C50="","",VLOOKUP($C50+$F$11*1000,DSS_Calc!$A:$JV,U$30,FALSE))</f>
        <v>0.44318340202684614</v>
      </c>
      <c r="V50" s="398">
        <f>IF($C50="","",VLOOKUP($C50+$F$11*1000,DSS_Calc!$A:$JV,V$30,FALSE))</f>
        <v>0.45242090144880986</v>
      </c>
      <c r="W50" s="398">
        <f>IF($C50="","",VLOOKUP($C50+$F$11*1000,DSS_Calc!$A:$JV,W$30,FALSE))</f>
        <v>0.10439569652434399</v>
      </c>
      <c r="X50" s="294" t="s">
        <v>2</v>
      </c>
      <c r="Y50" s="397">
        <f>IF(U50=0,0,U50*Q50)</f>
        <v>924.48057662800102</v>
      </c>
      <c r="Z50" s="397">
        <f>IF(V50=0,0,V50*R50)</f>
        <v>1130.6465498550428</v>
      </c>
      <c r="AA50" s="397">
        <f>IF(W50=0,0,W50*S50)</f>
        <v>349.17399990121601</v>
      </c>
      <c r="AB50" s="294" t="s">
        <v>2</v>
      </c>
      <c r="AC50" s="397">
        <f>SUM(Y50:AA50)</f>
        <v>2404.30112638426</v>
      </c>
      <c r="AD50" s="399">
        <f>AC50*AE50/1000/1000</f>
        <v>3.1580516219666719</v>
      </c>
      <c r="AE50" s="400">
        <f>IF($C50="","",VLOOKUP($C50+$F$11*1000,DSS_Calc!$A:$JV,AE$30,FALSE))</f>
        <v>1313.5008702990335</v>
      </c>
      <c r="AF50" s="399">
        <f>IF($C50="","",VLOOKUP($C50+$F$11*1000,DSS_Calc!$A:$JV,AF$30,FALSE))</f>
        <v>4.7170428459111831</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+750 CC, 0/0/0.9/3.9,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2.0857544975487565</v>
      </c>
      <c r="B51" s="402"/>
      <c r="C51" s="564">
        <f>AI51/(AC51/(VLOOKUP($C50+$F$11*1000,DSS_Calc!$A:$JV,DSS_Calc!BX$92,FALSE)-$AC$33))</f>
        <v>3.4565588786329386</v>
      </c>
      <c r="D51" s="403" t="s">
        <v>141</v>
      </c>
      <c r="F51" s="404">
        <f>ROUND(F50-F$33,0)</f>
        <v>750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750</v>
      </c>
      <c r="R51" s="404">
        <f t="shared" si="19"/>
        <v>303.03967033484423</v>
      </c>
      <c r="S51" s="404">
        <f t="shared" si="19"/>
        <v>-360</v>
      </c>
      <c r="T51" s="294"/>
      <c r="U51" s="405">
        <f>U50-U$33</f>
        <v>7.9718144783176625E-2</v>
      </c>
      <c r="V51" s="405">
        <f>V50-V$33</f>
        <v>-1.1628840800934404E-2</v>
      </c>
      <c r="W51" s="405">
        <f>W50-W$33</f>
        <v>-6.8089303982242222E-2</v>
      </c>
      <c r="X51" s="294"/>
      <c r="Y51" s="404">
        <f>Y50-Y$33</f>
        <v>438.89099295045855</v>
      </c>
      <c r="Z51" s="404">
        <f>Z50-Z$33</f>
        <v>111.56380695078417</v>
      </c>
      <c r="AA51" s="404">
        <f>AA50-AA$33</f>
        <v>-289.83401295045599</v>
      </c>
      <c r="AB51" s="294"/>
      <c r="AC51" s="404">
        <f>IFERROR(AC50-AC$33,NA())</f>
        <v>260.62078695078708</v>
      </c>
      <c r="AD51" s="406">
        <f>AD50-AD$33</f>
        <v>0.477664800949543</v>
      </c>
      <c r="AE51" s="407">
        <f t="shared" ref="AE51:AF61" si="20">AE50-AE$33</f>
        <v>63.134026086852373</v>
      </c>
      <c r="AF51" s="406">
        <f t="shared" si="20"/>
        <v>-9.9144747545819811E-2</v>
      </c>
      <c r="AG51" s="405">
        <f>AF51/AF$33</f>
        <v>-2.05857321007413E-2</v>
      </c>
      <c r="AH51" s="405"/>
      <c r="AI51" s="408">
        <f>IFERROR(AE51/$AE$33,NA())</f>
        <v>5.0492402592961623E-2</v>
      </c>
      <c r="AJ51" s="289"/>
      <c r="AK51" s="749"/>
      <c r="AL51" s="750">
        <f>$AE50*U50-$AE$33*U$33</f>
        <v>127.65687758381324</v>
      </c>
      <c r="AM51" s="750">
        <f>$AE50*V50-$AE$33*V$33</f>
        <v>14.022836020196223</v>
      </c>
      <c r="AN51" s="750">
        <f>$AE50*W50-$AE$33*W$33</f>
        <v>-78.545687517157035</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60</v>
      </c>
      <c r="D52" s="261" t="str">
        <f>"Scenario " &amp; A52</f>
        <v>Scenario J</v>
      </c>
      <c r="E52" s="272" t="s">
        <v>2</v>
      </c>
      <c r="F52" s="262">
        <f>IF($C52="","",VLOOKUP($C52+$F$11*1000,DSS_Calc!$A:$JV,F$30,FALSE))</f>
        <v>1769.7618664521319</v>
      </c>
      <c r="G52" s="262" t="str">
        <f>IF($C52="","",VLOOKUP($C52+$F$11*1000,DSS_Calc!$A:$JV,G$30,FALSE))</f>
        <v>0/0/0.9/3.9</v>
      </c>
      <c r="H52" s="262">
        <f>IF($C52="","",VLOOKUP($C52+$F$11*1000,DSS_Calc!$A:$JV,H$30,FALSE))</f>
        <v>0</v>
      </c>
      <c r="I52" s="262">
        <f>IF($C52="","",VLOOKUP($C52+$F$11*1000,DSS_Calc!$A:$JV,I$30,FALSE))</f>
        <v>0</v>
      </c>
      <c r="J52" s="262">
        <f>IF($C52="","",VLOOKUP($C52+$F$11*1000,DSS_Calc!$A:$JV,J$30,FALSE))</f>
        <v>2617</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1836</v>
      </c>
      <c r="R52" s="262">
        <f>IF($C52="","",VLOOKUP($C52+$F$11*1000,DSS_Calc!$A:$JV,R$30,FALSE)*IF(V52=0,0,1))</f>
        <v>2499.1098977006513</v>
      </c>
      <c r="S52" s="262">
        <f>IF($C52="","",VLOOKUP($C52+$F$11*1000,DSS_Calc!$A:$JV,S$30,FALSE)*IF(W52=0,0,1))</f>
        <v>3344.7164157747848</v>
      </c>
      <c r="T52" s="294" t="s">
        <v>2</v>
      </c>
      <c r="U52" s="263">
        <f>IF($C52="","",VLOOKUP($C52+$F$11*1000,DSS_Calc!$A:$JV,U$30,FALSE))</f>
        <v>0.41931412044411631</v>
      </c>
      <c r="V52" s="263">
        <f>IF($C52="","",VLOOKUP($C52+$F$11*1000,DSS_Calc!$A:$JV,V$30,FALSE))</f>
        <v>0.46660247008075806</v>
      </c>
      <c r="W52" s="263">
        <f>IF($C52="","",VLOOKUP($C52+$F$11*1000,DSS_Calc!$A:$JV,W$30,FALSE))</f>
        <v>0.11408340947512564</v>
      </c>
      <c r="X52" s="294" t="s">
        <v>2</v>
      </c>
      <c r="Y52" s="262">
        <f>IF(U52=0,0,U52*Q52)</f>
        <v>769.8607251353975</v>
      </c>
      <c r="Z52" s="262">
        <f>IF(V52=0,0,V52*R52)</f>
        <v>1166.0908512703945</v>
      </c>
      <c r="AA52" s="262">
        <f>IF(W52=0,0,W52*S52)</f>
        <v>381.57665243900937</v>
      </c>
      <c r="AB52" s="294" t="s">
        <v>2</v>
      </c>
      <c r="AC52" s="262">
        <f>SUM(Y52:AA52)</f>
        <v>2317.5282288448011</v>
      </c>
      <c r="AD52" s="264">
        <f>AC52*AE52/1000/1000</f>
        <v>3.0012896326948475</v>
      </c>
      <c r="AE52" s="265">
        <f>IF($C52="","",VLOOKUP($C52+$F$11*1000,DSS_Calc!$A:$JV,AE$30,FALSE))</f>
        <v>1295.0390831661521</v>
      </c>
      <c r="AF52" s="264">
        <f>IF($C52="","",VLOOKUP($C52+$F$11*1000,DSS_Calc!$A:$JV,AF$30,FALSE))</f>
        <v>4.7631171904278178</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0/0/0.9/3.9, -360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2.0562726441560306</v>
      </c>
      <c r="B53" s="402"/>
      <c r="C53" s="564">
        <f>AI53/(AC53/(VLOOKUP($C52+$F$11*1000,DSS_Calc!$A:$JV,DSS_Calc!BX$92,FALSE)-$AC$33))</f>
        <v>3.6665517799579881</v>
      </c>
      <c r="D53" s="266" t="s">
        <v>141</v>
      </c>
      <c r="F53" s="267">
        <f>ROUND(F52-F$33,0)</f>
        <v>500</v>
      </c>
      <c r="G53" s="267"/>
      <c r="H53" s="267"/>
      <c r="I53" s="267">
        <f t="shared" ref="I53:O53" si="21">ROUND(I52-I$33,0)</f>
        <v>0</v>
      </c>
      <c r="J53" s="267">
        <f t="shared" si="21"/>
        <v>-360</v>
      </c>
      <c r="K53" s="267">
        <f t="shared" si="21"/>
        <v>0</v>
      </c>
      <c r="L53" s="267">
        <f t="shared" si="21"/>
        <v>0</v>
      </c>
      <c r="M53" s="267">
        <f t="shared" si="21"/>
        <v>0</v>
      </c>
      <c r="N53" s="267">
        <f t="shared" si="21"/>
        <v>0</v>
      </c>
      <c r="O53" s="267">
        <f t="shared" si="21"/>
        <v>0</v>
      </c>
      <c r="P53" s="294"/>
      <c r="Q53" s="267">
        <f t="shared" ref="Q53:S53" si="22">Q52-Q$33</f>
        <v>500</v>
      </c>
      <c r="R53" s="267">
        <f t="shared" si="22"/>
        <v>303.04630769912001</v>
      </c>
      <c r="S53" s="267">
        <f t="shared" si="22"/>
        <v>-360</v>
      </c>
      <c r="T53" s="294"/>
      <c r="U53" s="268">
        <f>U52-U$33</f>
        <v>5.5848863200446797E-2</v>
      </c>
      <c r="V53" s="268">
        <f>V52-V$33</f>
        <v>2.5527278310137902E-3</v>
      </c>
      <c r="W53" s="268">
        <f>W52-W$33</f>
        <v>-5.8401591031460573E-2</v>
      </c>
      <c r="X53" s="294"/>
      <c r="Y53" s="267">
        <f>Y52-Y$33</f>
        <v>284.27114145785504</v>
      </c>
      <c r="Z53" s="267">
        <f>Z52-Z$33</f>
        <v>147.00810836613584</v>
      </c>
      <c r="AA53" s="267">
        <f>AA52-AA$33</f>
        <v>-257.43136041266263</v>
      </c>
      <c r="AB53" s="294"/>
      <c r="AC53" s="267">
        <f>IFERROR(AC52-AC$33,NA())</f>
        <v>173.8478894113282</v>
      </c>
      <c r="AD53" s="269">
        <f>AD52-AD$33</f>
        <v>0.32090281167771861</v>
      </c>
      <c r="AE53" s="270">
        <f t="shared" si="20"/>
        <v>44.672238953970918</v>
      </c>
      <c r="AF53" s="269">
        <f t="shared" si="20"/>
        <v>-5.3070403029185087E-2</v>
      </c>
      <c r="AG53" s="268">
        <f>AF53/AF$33</f>
        <v>-1.1019172737640765E-2</v>
      </c>
      <c r="AH53" s="268"/>
      <c r="AI53" s="301">
        <f>IFERROR(AE53/$AE$33,NA())</f>
        <v>3.5727306078815267E-2</v>
      </c>
      <c r="AJ53" s="289"/>
      <c r="AK53" s="749"/>
      <c r="AL53" s="750">
        <f>$AE52*U52-$AE$33*U$33</f>
        <v>88.563267418034172</v>
      </c>
      <c r="AM53" s="750">
        <f>$AE52*V52-$AE$33*V$33</f>
        <v>24.036023282157998</v>
      </c>
      <c r="AN53" s="750">
        <f>$AE52*W52-$AE$33*W$33</f>
        <v>-67.927051746221252</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59</v>
      </c>
      <c r="D54" s="396" t="str">
        <f>"Scenario " &amp; A54</f>
        <v>Scenario K</v>
      </c>
      <c r="E54" s="272" t="s">
        <v>2</v>
      </c>
      <c r="F54" s="397">
        <f>IF($C54="","",VLOOKUP($C54+$F$11*1000,DSS_Calc!$A:$JV,F$30,FALSE))</f>
        <v>1519.7618664521319</v>
      </c>
      <c r="G54" s="397" t="str">
        <f>IF($C54="","",VLOOKUP($C54+$F$11*1000,DSS_Calc!$A:$JV,G$30,FALSE))</f>
        <v>0/0/0.9/3.9</v>
      </c>
      <c r="H54" s="397">
        <f>IF($C54="","",VLOOKUP($C54+$F$11*1000,DSS_Calc!$A:$JV,H$30,FALSE))</f>
        <v>0</v>
      </c>
      <c r="I54" s="397">
        <f>IF($C54="","",VLOOKUP($C54+$F$11*1000,DSS_Calc!$A:$JV,I$30,FALSE))</f>
        <v>0</v>
      </c>
      <c r="J54" s="397">
        <f>IF($C54="","",VLOOKUP($C54+$F$11*1000,DSS_Calc!$A:$JV,J$30,FALSE))</f>
        <v>2617</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1586</v>
      </c>
      <c r="R54" s="397">
        <f>IF($C54="","",VLOOKUP($C54+$F$11*1000,DSS_Calc!$A:$JV,R$30,FALSE)*IF(V54=0,0,1))</f>
        <v>2499.1176993334693</v>
      </c>
      <c r="S54" s="397">
        <f>IF($C54="","",VLOOKUP($C54+$F$11*1000,DSS_Calc!$A:$JV,S$30,FALSE)*IF(W54=0,0,1))</f>
        <v>3344.7164157747848</v>
      </c>
      <c r="T54" s="294" t="s">
        <v>2</v>
      </c>
      <c r="U54" s="398">
        <f>IF($C54="","",VLOOKUP($C54+$F$11*1000,DSS_Calc!$A:$JV,U$30,FALSE))</f>
        <v>0.39460596038249102</v>
      </c>
      <c r="V54" s="398">
        <f>IF($C54="","",VLOOKUP($C54+$F$11*1000,DSS_Calc!$A:$JV,V$30,FALSE))</f>
        <v>0.48086272718531697</v>
      </c>
      <c r="W54" s="398">
        <f>IF($C54="","",VLOOKUP($C54+$F$11*1000,DSS_Calc!$A:$JV,W$30,FALSE))</f>
        <v>0.12453131243219204</v>
      </c>
      <c r="X54" s="294" t="s">
        <v>2</v>
      </c>
      <c r="Y54" s="397">
        <f>IF(U54=0,0,U54*Q54)</f>
        <v>625.84505316663081</v>
      </c>
      <c r="Z54" s="397">
        <f>IF(V54=0,0,V54*R54)</f>
        <v>1201.7325524585872</v>
      </c>
      <c r="AA54" s="397">
        <f>IF(W54=0,0,W54*S54)</f>
        <v>416.52192496993126</v>
      </c>
      <c r="AB54" s="294" t="s">
        <v>2</v>
      </c>
      <c r="AC54" s="397">
        <f>SUM(Y54:AA54)</f>
        <v>2244.0995305951492</v>
      </c>
      <c r="AD54" s="399">
        <f>AC54*AE54/1000/1000</f>
        <v>2.8685335792833029</v>
      </c>
      <c r="AE54" s="400">
        <f>IF($C54="","",VLOOKUP($C54+$F$11*1000,DSS_Calc!$A:$JV,AE$30,FALSE))</f>
        <v>1278.2559508501613</v>
      </c>
      <c r="AF54" s="399">
        <f>IF($C54="","",VLOOKUP($C54+$F$11*1000,DSS_Calc!$A:$JV,AF$30,FALSE))</f>
        <v>4.795249974038839</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0/0/0.9/3.9, -360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1.9942404715839093</v>
      </c>
      <c r="B55" s="402"/>
      <c r="C55" s="564">
        <f>AI55/(AC55/(VLOOKUP($C54+$F$11*1000,DSS_Calc!$A:$JV,DSS_Calc!BX$92,FALSE)-$AC$33))</f>
        <v>3.9628479507927103</v>
      </c>
      <c r="D55" s="403" t="s">
        <v>141</v>
      </c>
      <c r="F55" s="404">
        <f>ROUND(F54-F$33,0)</f>
        <v>250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250</v>
      </c>
      <c r="R55" s="404">
        <f t="shared" si="24"/>
        <v>303.05410933193798</v>
      </c>
      <c r="S55" s="404">
        <f t="shared" si="24"/>
        <v>-360</v>
      </c>
      <c r="T55" s="294"/>
      <c r="U55" s="405">
        <f>U54-U$33</f>
        <v>3.1140703138821502E-2</v>
      </c>
      <c r="V55" s="405">
        <f>V54-V$33</f>
        <v>1.6812984935572706E-2</v>
      </c>
      <c r="W55" s="405">
        <f>W54-W$33</f>
        <v>-4.795368807439418E-2</v>
      </c>
      <c r="X55" s="294"/>
      <c r="Y55" s="404">
        <f>Y54-Y$33</f>
        <v>140.25546948908834</v>
      </c>
      <c r="Z55" s="404">
        <f>Z54-Z$33</f>
        <v>182.6498095543285</v>
      </c>
      <c r="AA55" s="404">
        <f>AA54-AA$33</f>
        <v>-222.48608788174073</v>
      </c>
      <c r="AB55" s="294"/>
      <c r="AC55" s="404">
        <f>IFERROR(AC54-AC$33,NA())</f>
        <v>100.41919116167628</v>
      </c>
      <c r="AD55" s="406">
        <f>AD54-AD$33</f>
        <v>0.188146758266174</v>
      </c>
      <c r="AE55" s="407">
        <f t="shared" si="20"/>
        <v>27.889106637980149</v>
      </c>
      <c r="AF55" s="406">
        <f t="shared" si="20"/>
        <v>-2.0937619418163855E-2</v>
      </c>
      <c r="AG55" s="405">
        <f>AF55/AF$33</f>
        <v>-4.3473429993899134E-3</v>
      </c>
      <c r="AH55" s="405"/>
      <c r="AI55" s="408">
        <f>IFERROR(AE55/$AE$33,NA())</f>
        <v>2.230473941873614E-2</v>
      </c>
      <c r="AJ55" s="289"/>
      <c r="AK55" s="749"/>
      <c r="AL55" s="750">
        <f>$AE54*U54-$AE$33*U$33</f>
        <v>49.942510419326481</v>
      </c>
      <c r="AM55" s="750">
        <f>$AE54*V54-$AE$33*V$33</f>
        <v>34.433230792380186</v>
      </c>
      <c r="AN55" s="750">
        <f>$AE54*W54-$AE$33*W$33</f>
        <v>-56.486634573726519</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22"/>
      <c r="AK72" s="112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1186" priority="233">
      <formula>IF(F$29="NO",TRUE,FALSE)</formula>
    </cfRule>
  </conditionalFormatting>
  <conditionalFormatting sqref="G33">
    <cfRule type="expression" dxfId="1185" priority="232">
      <formula>IF($G$29="NO",TRUE,FALSE)</formula>
    </cfRule>
  </conditionalFormatting>
  <conditionalFormatting sqref="H33">
    <cfRule type="expression" dxfId="1184" priority="231">
      <formula>IF($H$29="NO",TRUE,FALSE)</formula>
    </cfRule>
  </conditionalFormatting>
  <conditionalFormatting sqref="G33:I33">
    <cfRule type="expression" dxfId="1183" priority="230">
      <formula>IF(G$29="NO",TRUE,FALSE)</formula>
    </cfRule>
  </conditionalFormatting>
  <conditionalFormatting sqref="Y33:AA33">
    <cfRule type="expression" dxfId="1182" priority="229">
      <formula>IF(Y$29="NO",TRUE,FALSE)</formula>
    </cfRule>
  </conditionalFormatting>
  <conditionalFormatting sqref="AC33">
    <cfRule type="expression" dxfId="1181" priority="228">
      <formula>IF(AC$29="NO",TRUE,FALSE)</formula>
    </cfRule>
  </conditionalFormatting>
  <conditionalFormatting sqref="AD33">
    <cfRule type="expression" dxfId="1180" priority="227">
      <formula>IF(AD$29="NO",TRUE,FALSE)</formula>
    </cfRule>
  </conditionalFormatting>
  <conditionalFormatting sqref="AE33">
    <cfRule type="expression" dxfId="1179" priority="226">
      <formula>IF(AE$29="NO",TRUE,FALSE)</formula>
    </cfRule>
  </conditionalFormatting>
  <conditionalFormatting sqref="U36:W36">
    <cfRule type="expression" dxfId="1178" priority="225">
      <formula>IF(XDI$29="NO",TRUE,FALSE)</formula>
    </cfRule>
  </conditionalFormatting>
  <conditionalFormatting sqref="AC48:AE48 AC52:AF52 AC56:AF56 AC60:AF60 AC64:AF64 AC36:AF36 AC40:AF40 AC44:AF44">
    <cfRule type="expression" dxfId="1177" priority="224">
      <formula>IF(XDR$29="NO",TRUE,FALSE)</formula>
    </cfRule>
  </conditionalFormatting>
  <conditionalFormatting sqref="Q36:S36">
    <cfRule type="expression" dxfId="1176" priority="223">
      <formula>IF(XDD$29="NO",TRUE,FALSE)</formula>
    </cfRule>
  </conditionalFormatting>
  <conditionalFormatting sqref="Y46:AA46">
    <cfRule type="expression" dxfId="1175" priority="222">
      <formula>IF(XDN$29="NO",TRUE,FALSE)</formula>
    </cfRule>
  </conditionalFormatting>
  <conditionalFormatting sqref="AC46">
    <cfRule type="expression" dxfId="1174" priority="221">
      <formula>IF(XDR$29="NO",TRUE,FALSE)</formula>
    </cfRule>
  </conditionalFormatting>
  <conditionalFormatting sqref="AD46">
    <cfRule type="expression" dxfId="1173" priority="220">
      <formula>IF(XDS$29="NO",TRUE,FALSE)</formula>
    </cfRule>
  </conditionalFormatting>
  <conditionalFormatting sqref="AE46">
    <cfRule type="expression" dxfId="1172" priority="219">
      <formula>IF(XDT$29="NO",TRUE,FALSE)</formula>
    </cfRule>
  </conditionalFormatting>
  <conditionalFormatting sqref="Y46:AA46">
    <cfRule type="expression" dxfId="1171" priority="218">
      <formula>IF(XDN$29="NO",TRUE,FALSE)</formula>
    </cfRule>
  </conditionalFormatting>
  <conditionalFormatting sqref="AC46">
    <cfRule type="expression" dxfId="1170" priority="217">
      <formula>IF(XDR$29="NO",TRUE,FALSE)</formula>
    </cfRule>
  </conditionalFormatting>
  <conditionalFormatting sqref="AD46">
    <cfRule type="expression" dxfId="1169" priority="216">
      <formula>IF(XDS$29="NO",TRUE,FALSE)</formula>
    </cfRule>
  </conditionalFormatting>
  <conditionalFormatting sqref="AE46">
    <cfRule type="expression" dxfId="1168" priority="215">
      <formula>IF(XDT$29="NO",TRUE,FALSE)</formula>
    </cfRule>
  </conditionalFormatting>
  <conditionalFormatting sqref="AE54">
    <cfRule type="expression" dxfId="1167" priority="201">
      <formula>IF(XDT$29="NO",TRUE,FALSE)</formula>
    </cfRule>
  </conditionalFormatting>
  <conditionalFormatting sqref="Y48:AA48">
    <cfRule type="expression" dxfId="1166" priority="214">
      <formula>IF(XDN$29="NO",TRUE,FALSE)</formula>
    </cfRule>
  </conditionalFormatting>
  <conditionalFormatting sqref="Y50:AA50">
    <cfRule type="expression" dxfId="1165" priority="213">
      <formula>IF(XDN$29="NO",TRUE,FALSE)</formula>
    </cfRule>
  </conditionalFormatting>
  <conditionalFormatting sqref="AC50">
    <cfRule type="expression" dxfId="1164" priority="212">
      <formula>IF(XDR$29="NO",TRUE,FALSE)</formula>
    </cfRule>
  </conditionalFormatting>
  <conditionalFormatting sqref="AD50">
    <cfRule type="expression" dxfId="1163" priority="211">
      <formula>IF(XDS$29="NO",TRUE,FALSE)</formula>
    </cfRule>
  </conditionalFormatting>
  <conditionalFormatting sqref="AE50">
    <cfRule type="expression" dxfId="1162" priority="210">
      <formula>IF(XDT$29="NO",TRUE,FALSE)</formula>
    </cfRule>
  </conditionalFormatting>
  <conditionalFormatting sqref="Y50:AA50">
    <cfRule type="expression" dxfId="1161" priority="209">
      <formula>IF(XDN$29="NO",TRUE,FALSE)</formula>
    </cfRule>
  </conditionalFormatting>
  <conditionalFormatting sqref="AC50">
    <cfRule type="expression" dxfId="1160" priority="208">
      <formula>IF(XDR$29="NO",TRUE,FALSE)</formula>
    </cfRule>
  </conditionalFormatting>
  <conditionalFormatting sqref="AD50">
    <cfRule type="expression" dxfId="1159" priority="207">
      <formula>IF(XDS$29="NO",TRUE,FALSE)</formula>
    </cfRule>
  </conditionalFormatting>
  <conditionalFormatting sqref="AE50">
    <cfRule type="expression" dxfId="1158" priority="206">
      <formula>IF(XDT$29="NO",TRUE,FALSE)</formula>
    </cfRule>
  </conditionalFormatting>
  <conditionalFormatting sqref="AE58">
    <cfRule type="expression" dxfId="1157" priority="192">
      <formula>IF(XDT$29="NO",TRUE,FALSE)</formula>
    </cfRule>
  </conditionalFormatting>
  <conditionalFormatting sqref="Y52:AA52">
    <cfRule type="expression" dxfId="1156" priority="205">
      <formula>IF(XDN$29="NO",TRUE,FALSE)</formula>
    </cfRule>
  </conditionalFormatting>
  <conditionalFormatting sqref="Y54:AA54">
    <cfRule type="expression" dxfId="1155" priority="204">
      <formula>IF(XDN$29="NO",TRUE,FALSE)</formula>
    </cfRule>
  </conditionalFormatting>
  <conditionalFormatting sqref="AC54">
    <cfRule type="expression" dxfId="1154" priority="203">
      <formula>IF(XDR$29="NO",TRUE,FALSE)</formula>
    </cfRule>
  </conditionalFormatting>
  <conditionalFormatting sqref="AD54">
    <cfRule type="expression" dxfId="1153" priority="202">
      <formula>IF(XDS$29="NO",TRUE,FALSE)</formula>
    </cfRule>
  </conditionalFormatting>
  <conditionalFormatting sqref="Y54:AA54">
    <cfRule type="expression" dxfId="1152" priority="200">
      <formula>IF(XDN$29="NO",TRUE,FALSE)</formula>
    </cfRule>
  </conditionalFormatting>
  <conditionalFormatting sqref="AC54">
    <cfRule type="expression" dxfId="1151" priority="199">
      <formula>IF(XDR$29="NO",TRUE,FALSE)</formula>
    </cfRule>
  </conditionalFormatting>
  <conditionalFormatting sqref="AD54">
    <cfRule type="expression" dxfId="1150" priority="198">
      <formula>IF(XDS$29="NO",TRUE,FALSE)</formula>
    </cfRule>
  </conditionalFormatting>
  <conditionalFormatting sqref="AE54">
    <cfRule type="expression" dxfId="1149" priority="197">
      <formula>IF(XDT$29="NO",TRUE,FALSE)</formula>
    </cfRule>
  </conditionalFormatting>
  <conditionalFormatting sqref="AE62">
    <cfRule type="expression" dxfId="1148" priority="183">
      <formula>IF(XDT$29="NO",TRUE,FALSE)</formula>
    </cfRule>
  </conditionalFormatting>
  <conditionalFormatting sqref="Y56:AA56">
    <cfRule type="expression" dxfId="1147" priority="196">
      <formula>IF(XDN$29="NO",TRUE,FALSE)</formula>
    </cfRule>
  </conditionalFormatting>
  <conditionalFormatting sqref="Y58:AA58">
    <cfRule type="expression" dxfId="1146" priority="195">
      <formula>IF(XDN$29="NO",TRUE,FALSE)</formula>
    </cfRule>
  </conditionalFormatting>
  <conditionalFormatting sqref="AC58">
    <cfRule type="expression" dxfId="1145" priority="194">
      <formula>IF(XDR$29="NO",TRUE,FALSE)</formula>
    </cfRule>
  </conditionalFormatting>
  <conditionalFormatting sqref="AD58">
    <cfRule type="expression" dxfId="1144" priority="193">
      <formula>IF(XDS$29="NO",TRUE,FALSE)</formula>
    </cfRule>
  </conditionalFormatting>
  <conditionalFormatting sqref="Y58:AA58">
    <cfRule type="expression" dxfId="1143" priority="191">
      <formula>IF(XDN$29="NO",TRUE,FALSE)</formula>
    </cfRule>
  </conditionalFormatting>
  <conditionalFormatting sqref="AC58">
    <cfRule type="expression" dxfId="1142" priority="190">
      <formula>IF(XDR$29="NO",TRUE,FALSE)</formula>
    </cfRule>
  </conditionalFormatting>
  <conditionalFormatting sqref="AD58">
    <cfRule type="expression" dxfId="1141" priority="189">
      <formula>IF(XDS$29="NO",TRUE,FALSE)</formula>
    </cfRule>
  </conditionalFormatting>
  <conditionalFormatting sqref="AE58">
    <cfRule type="expression" dxfId="1140" priority="188">
      <formula>IF(XDT$29="NO",TRUE,FALSE)</formula>
    </cfRule>
  </conditionalFormatting>
  <conditionalFormatting sqref="Y60:AA60">
    <cfRule type="expression" dxfId="1139" priority="187">
      <formula>IF(XDN$29="NO",TRUE,FALSE)</formula>
    </cfRule>
  </conditionalFormatting>
  <conditionalFormatting sqref="Y62:AA62">
    <cfRule type="expression" dxfId="1138" priority="186">
      <formula>IF(XDN$29="NO",TRUE,FALSE)</formula>
    </cfRule>
  </conditionalFormatting>
  <conditionalFormatting sqref="AC62">
    <cfRule type="expression" dxfId="1137" priority="185">
      <formula>IF(XDR$29="NO",TRUE,FALSE)</formula>
    </cfRule>
  </conditionalFormatting>
  <conditionalFormatting sqref="AD62">
    <cfRule type="expression" dxfId="1136" priority="184">
      <formula>IF(XDS$29="NO",TRUE,FALSE)</formula>
    </cfRule>
  </conditionalFormatting>
  <conditionalFormatting sqref="Y62:AA62">
    <cfRule type="expression" dxfId="1135" priority="182">
      <formula>IF(XDN$29="NO",TRUE,FALSE)</formula>
    </cfRule>
  </conditionalFormatting>
  <conditionalFormatting sqref="AC62">
    <cfRule type="expression" dxfId="1134" priority="181">
      <formula>IF(XDR$29="NO",TRUE,FALSE)</formula>
    </cfRule>
  </conditionalFormatting>
  <conditionalFormatting sqref="AD62">
    <cfRule type="expression" dxfId="1133" priority="180">
      <formula>IF(XDS$29="NO",TRUE,FALSE)</formula>
    </cfRule>
  </conditionalFormatting>
  <conditionalFormatting sqref="AE62">
    <cfRule type="expression" dxfId="1132" priority="179">
      <formula>IF(XDT$29="NO",TRUE,FALSE)</formula>
    </cfRule>
  </conditionalFormatting>
  <conditionalFormatting sqref="Y64:AA64">
    <cfRule type="expression" dxfId="1131" priority="178">
      <formula>IF(XDN$29="NO",TRUE,FALSE)</formula>
    </cfRule>
  </conditionalFormatting>
  <conditionalFormatting sqref="Q34:S34">
    <cfRule type="expression" dxfId="1130" priority="177">
      <formula>IF(XDD$29="NO",TRUE,FALSE)</formula>
    </cfRule>
  </conditionalFormatting>
  <conditionalFormatting sqref="U34:W34">
    <cfRule type="expression" dxfId="1129" priority="176">
      <formula>IF(XDI$29="NO",TRUE,FALSE)</formula>
    </cfRule>
  </conditionalFormatting>
  <conditionalFormatting sqref="Y34:AA34">
    <cfRule type="expression" dxfId="1128" priority="175">
      <formula>IF(XDN$29="NO",TRUE,FALSE)</formula>
    </cfRule>
  </conditionalFormatting>
  <conditionalFormatting sqref="AC34">
    <cfRule type="expression" dxfId="1127" priority="174">
      <formula>IF(XDR$29="NO",TRUE,FALSE)</formula>
    </cfRule>
  </conditionalFormatting>
  <conditionalFormatting sqref="AD34">
    <cfRule type="expression" dxfId="1126" priority="173">
      <formula>IF(XDS$29="NO",TRUE,FALSE)</formula>
    </cfRule>
  </conditionalFormatting>
  <conditionalFormatting sqref="AE34">
    <cfRule type="expression" dxfId="1125" priority="172">
      <formula>IF(XDT$29="NO",TRUE,FALSE)</formula>
    </cfRule>
  </conditionalFormatting>
  <conditionalFormatting sqref="Y38:AA38">
    <cfRule type="expression" dxfId="1124" priority="160">
      <formula>IF(XDN$29="NO",TRUE,FALSE)</formula>
    </cfRule>
  </conditionalFormatting>
  <conditionalFormatting sqref="Q34:S34">
    <cfRule type="expression" dxfId="1123" priority="171">
      <formula>IF(XDD$29="NO",TRUE,FALSE)</formula>
    </cfRule>
  </conditionalFormatting>
  <conditionalFormatting sqref="U34:W34">
    <cfRule type="expression" dxfId="1122" priority="170">
      <formula>IF(XDI$29="NO",TRUE,FALSE)</formula>
    </cfRule>
  </conditionalFormatting>
  <conditionalFormatting sqref="Y34:AA34">
    <cfRule type="expression" dxfId="1121" priority="169">
      <formula>IF(XDN$29="NO",TRUE,FALSE)</formula>
    </cfRule>
  </conditionalFormatting>
  <conditionalFormatting sqref="AC34">
    <cfRule type="expression" dxfId="1120" priority="168">
      <formula>IF(XDR$29="NO",TRUE,FALSE)</formula>
    </cfRule>
  </conditionalFormatting>
  <conditionalFormatting sqref="AD34">
    <cfRule type="expression" dxfId="1119" priority="167">
      <formula>IF(XDS$29="NO",TRUE,FALSE)</formula>
    </cfRule>
  </conditionalFormatting>
  <conditionalFormatting sqref="AE34">
    <cfRule type="expression" dxfId="1118" priority="166">
      <formula>IF(XDT$29="NO",TRUE,FALSE)</formula>
    </cfRule>
  </conditionalFormatting>
  <conditionalFormatting sqref="AC42">
    <cfRule type="expression" dxfId="1117" priority="154">
      <formula>IF(XDR$29="NO",TRUE,FALSE)</formula>
    </cfRule>
  </conditionalFormatting>
  <conditionalFormatting sqref="Y36:AA36">
    <cfRule type="expression" dxfId="1116" priority="165">
      <formula>IF(XDN$29="NO",TRUE,FALSE)</formula>
    </cfRule>
  </conditionalFormatting>
  <conditionalFormatting sqref="Y38:AA38">
    <cfRule type="expression" dxfId="1115" priority="164">
      <formula>IF(XDN$29="NO",TRUE,FALSE)</formula>
    </cfRule>
  </conditionalFormatting>
  <conditionalFormatting sqref="AC38">
    <cfRule type="expression" dxfId="1114" priority="163">
      <formula>IF(XDR$29="NO",TRUE,FALSE)</formula>
    </cfRule>
  </conditionalFormatting>
  <conditionalFormatting sqref="AD38">
    <cfRule type="expression" dxfId="1113" priority="162">
      <formula>IF(XDS$29="NO",TRUE,FALSE)</formula>
    </cfRule>
  </conditionalFormatting>
  <conditionalFormatting sqref="AE38">
    <cfRule type="expression" dxfId="1112" priority="161">
      <formula>IF(XDT$29="NO",TRUE,FALSE)</formula>
    </cfRule>
  </conditionalFormatting>
  <conditionalFormatting sqref="Q46:S46">
    <cfRule type="expression" dxfId="1111" priority="139">
      <formula>IF(XDD$29="NO",TRUE,FALSE)</formula>
    </cfRule>
  </conditionalFormatting>
  <conditionalFormatting sqref="AC38">
    <cfRule type="expression" dxfId="1110" priority="159">
      <formula>IF(XDR$29="NO",TRUE,FALSE)</formula>
    </cfRule>
  </conditionalFormatting>
  <conditionalFormatting sqref="AD38">
    <cfRule type="expression" dxfId="1109" priority="158">
      <formula>IF(XDS$29="NO",TRUE,FALSE)</formula>
    </cfRule>
  </conditionalFormatting>
  <conditionalFormatting sqref="AE38">
    <cfRule type="expression" dxfId="1108" priority="157">
      <formula>IF(XDT$29="NO",TRUE,FALSE)</formula>
    </cfRule>
  </conditionalFormatting>
  <conditionalFormatting sqref="Y40:AA40">
    <cfRule type="expression" dxfId="1107" priority="156">
      <formula>IF(XDN$29="NO",TRUE,FALSE)</formula>
    </cfRule>
  </conditionalFormatting>
  <conditionalFormatting sqref="Y42:AA42">
    <cfRule type="expression" dxfId="1106" priority="155">
      <formula>IF(XDN$29="NO",TRUE,FALSE)</formula>
    </cfRule>
  </conditionalFormatting>
  <conditionalFormatting sqref="AD42">
    <cfRule type="expression" dxfId="1105" priority="153">
      <formula>IF(XDS$29="NO",TRUE,FALSE)</formula>
    </cfRule>
  </conditionalFormatting>
  <conditionalFormatting sqref="AE42">
    <cfRule type="expression" dxfId="1104" priority="152">
      <formula>IF(XDT$29="NO",TRUE,FALSE)</formula>
    </cfRule>
  </conditionalFormatting>
  <conditionalFormatting sqref="Y42:AA42">
    <cfRule type="expression" dxfId="1103" priority="151">
      <formula>IF(XDN$29="NO",TRUE,FALSE)</formula>
    </cfRule>
  </conditionalFormatting>
  <conditionalFormatting sqref="AC42">
    <cfRule type="expression" dxfId="1102" priority="150">
      <formula>IF(XDR$29="NO",TRUE,FALSE)</formula>
    </cfRule>
  </conditionalFormatting>
  <conditionalFormatting sqref="AD42">
    <cfRule type="expression" dxfId="1101" priority="149">
      <formula>IF(XDS$29="NO",TRUE,FALSE)</formula>
    </cfRule>
  </conditionalFormatting>
  <conditionalFormatting sqref="AE42">
    <cfRule type="expression" dxfId="1100" priority="148">
      <formula>IF(XDT$29="NO",TRUE,FALSE)</formula>
    </cfRule>
  </conditionalFormatting>
  <conditionalFormatting sqref="Y44:AA44">
    <cfRule type="expression" dxfId="1099" priority="147">
      <formula>IF(XDN$29="NO",TRUE,FALSE)</formula>
    </cfRule>
  </conditionalFormatting>
  <conditionalFormatting sqref="J33">
    <cfRule type="expression" dxfId="1098" priority="146">
      <formula>IF(J$29="NO",TRUE,FALSE)</formula>
    </cfRule>
  </conditionalFormatting>
  <conditionalFormatting sqref="K33">
    <cfRule type="expression" dxfId="1097" priority="145">
      <formula>IF(K$29="NO",TRUE,FALSE)</formula>
    </cfRule>
  </conditionalFormatting>
  <conditionalFormatting sqref="L33">
    <cfRule type="expression" dxfId="1096" priority="144">
      <formula>IF(L$29="NO",TRUE,FALSE)</formula>
    </cfRule>
  </conditionalFormatting>
  <conditionalFormatting sqref="N33">
    <cfRule type="expression" dxfId="1095" priority="143">
      <formula>IF(N$29="NO",TRUE,FALSE)</formula>
    </cfRule>
  </conditionalFormatting>
  <conditionalFormatting sqref="AC68:AE68">
    <cfRule type="expression" dxfId="1094" priority="142">
      <formula>IF(XDR$29="NO",TRUE,FALSE)</formula>
    </cfRule>
  </conditionalFormatting>
  <conditionalFormatting sqref="Y68:AA68">
    <cfRule type="expression" dxfId="1093" priority="141">
      <formula>IF(XDN$29="NO",TRUE,FALSE)</formula>
    </cfRule>
  </conditionalFormatting>
  <conditionalFormatting sqref="Q48:S48">
    <cfRule type="expression" dxfId="1092" priority="140">
      <formula>IF(XDD$29="NO",TRUE,FALSE)</formula>
    </cfRule>
  </conditionalFormatting>
  <conditionalFormatting sqref="Q46:S46">
    <cfRule type="expression" dxfId="1091" priority="138">
      <formula>IF(XDD$29="NO",TRUE,FALSE)</formula>
    </cfRule>
  </conditionalFormatting>
  <conditionalFormatting sqref="Q52:S52">
    <cfRule type="expression" dxfId="1090" priority="137">
      <formula>IF(XDD$29="NO",TRUE,FALSE)</formula>
    </cfRule>
  </conditionalFormatting>
  <conditionalFormatting sqref="Q50:S50">
    <cfRule type="expression" dxfId="1089" priority="136">
      <formula>IF(XDD$29="NO",TRUE,FALSE)</formula>
    </cfRule>
  </conditionalFormatting>
  <conditionalFormatting sqref="Q50:S50">
    <cfRule type="expression" dxfId="1088" priority="135">
      <formula>IF(XDD$29="NO",TRUE,FALSE)</formula>
    </cfRule>
  </conditionalFormatting>
  <conditionalFormatting sqref="Q64:S64">
    <cfRule type="expression" dxfId="1087" priority="134">
      <formula>IF(XDD$29="NO",TRUE,FALSE)</formula>
    </cfRule>
  </conditionalFormatting>
  <conditionalFormatting sqref="Q68:S68">
    <cfRule type="expression" dxfId="1086" priority="133">
      <formula>IF(XDD$29="NO",TRUE,FALSE)</formula>
    </cfRule>
  </conditionalFormatting>
  <conditionalFormatting sqref="U40:W40">
    <cfRule type="expression" dxfId="1085" priority="132">
      <formula>IF(XDI$29="NO",TRUE,FALSE)</formula>
    </cfRule>
  </conditionalFormatting>
  <conditionalFormatting sqref="U38:W38">
    <cfRule type="expression" dxfId="1084" priority="131">
      <formula>IF(XDI$29="NO",TRUE,FALSE)</formula>
    </cfRule>
  </conditionalFormatting>
  <conditionalFormatting sqref="U38:W38">
    <cfRule type="expression" dxfId="1083" priority="130">
      <formula>IF(XDI$29="NO",TRUE,FALSE)</formula>
    </cfRule>
  </conditionalFormatting>
  <conditionalFormatting sqref="U44:W44">
    <cfRule type="expression" dxfId="1082" priority="129">
      <formula>IF(XDI$29="NO",TRUE,FALSE)</formula>
    </cfRule>
  </conditionalFormatting>
  <conditionalFormatting sqref="U42:W42">
    <cfRule type="expression" dxfId="1081" priority="128">
      <formula>IF(XDI$29="NO",TRUE,FALSE)</formula>
    </cfRule>
  </conditionalFormatting>
  <conditionalFormatting sqref="U42:W42">
    <cfRule type="expression" dxfId="1080" priority="127">
      <formula>IF(XDI$29="NO",TRUE,FALSE)</formula>
    </cfRule>
  </conditionalFormatting>
  <conditionalFormatting sqref="U48:W48">
    <cfRule type="expression" dxfId="1079" priority="126">
      <formula>IF(XDI$29="NO",TRUE,FALSE)</formula>
    </cfRule>
  </conditionalFormatting>
  <conditionalFormatting sqref="U46:W46">
    <cfRule type="expression" dxfId="1078" priority="125">
      <formula>IF(XDI$29="NO",TRUE,FALSE)</formula>
    </cfRule>
  </conditionalFormatting>
  <conditionalFormatting sqref="U46:W46">
    <cfRule type="expression" dxfId="1077" priority="124">
      <formula>IF(XDI$29="NO",TRUE,FALSE)</formula>
    </cfRule>
  </conditionalFormatting>
  <conditionalFormatting sqref="U52:W52">
    <cfRule type="expression" dxfId="1076" priority="123">
      <formula>IF(XDI$29="NO",TRUE,FALSE)</formula>
    </cfRule>
  </conditionalFormatting>
  <conditionalFormatting sqref="U50:W50">
    <cfRule type="expression" dxfId="1075" priority="122">
      <formula>IF(XDI$29="NO",TRUE,FALSE)</formula>
    </cfRule>
  </conditionalFormatting>
  <conditionalFormatting sqref="U50:W50">
    <cfRule type="expression" dxfId="1074" priority="121">
      <formula>IF(XDI$29="NO",TRUE,FALSE)</formula>
    </cfRule>
  </conditionalFormatting>
  <conditionalFormatting sqref="U56:W56">
    <cfRule type="expression" dxfId="1073" priority="120">
      <formula>IF(XDI$29="NO",TRUE,FALSE)</formula>
    </cfRule>
  </conditionalFormatting>
  <conditionalFormatting sqref="U54:W54">
    <cfRule type="expression" dxfId="1072" priority="119">
      <formula>IF(XDI$29="NO",TRUE,FALSE)</formula>
    </cfRule>
  </conditionalFormatting>
  <conditionalFormatting sqref="U54:W54">
    <cfRule type="expression" dxfId="1071" priority="118">
      <formula>IF(XDI$29="NO",TRUE,FALSE)</formula>
    </cfRule>
  </conditionalFormatting>
  <conditionalFormatting sqref="U60:W60">
    <cfRule type="expression" dxfId="1070" priority="117">
      <formula>IF(XDI$29="NO",TRUE,FALSE)</formula>
    </cfRule>
  </conditionalFormatting>
  <conditionalFormatting sqref="U58:W58">
    <cfRule type="expression" dxfId="1069" priority="116">
      <formula>IF(XDI$29="NO",TRUE,FALSE)</formula>
    </cfRule>
  </conditionalFormatting>
  <conditionalFormatting sqref="U58:W58">
    <cfRule type="expression" dxfId="1068" priority="115">
      <formula>IF(XDI$29="NO",TRUE,FALSE)</formula>
    </cfRule>
  </conditionalFormatting>
  <conditionalFormatting sqref="U64:W64">
    <cfRule type="expression" dxfId="1067" priority="114">
      <formula>IF(XDI$29="NO",TRUE,FALSE)</formula>
    </cfRule>
  </conditionalFormatting>
  <conditionalFormatting sqref="U62:W62">
    <cfRule type="expression" dxfId="1066" priority="113">
      <formula>IF(XDI$29="NO",TRUE,FALSE)</formula>
    </cfRule>
  </conditionalFormatting>
  <conditionalFormatting sqref="U62:W62">
    <cfRule type="expression" dxfId="1065" priority="112">
      <formula>IF(XDI$29="NO",TRUE,FALSE)</formula>
    </cfRule>
  </conditionalFormatting>
  <conditionalFormatting sqref="U68:W68">
    <cfRule type="expression" dxfId="1064" priority="111">
      <formula>IF(XDI$29="NO",TRUE,FALSE)</formula>
    </cfRule>
  </conditionalFormatting>
  <conditionalFormatting sqref="AF33">
    <cfRule type="expression" dxfId="1063" priority="110">
      <formula>IF(AF$29="NO",TRUE,FALSE)</formula>
    </cfRule>
  </conditionalFormatting>
  <conditionalFormatting sqref="AF48">
    <cfRule type="expression" dxfId="1062" priority="109">
      <formula>IF(XDU$29="NO",TRUE,FALSE)</formula>
    </cfRule>
  </conditionalFormatting>
  <conditionalFormatting sqref="AF46">
    <cfRule type="expression" dxfId="1061" priority="108">
      <formula>IF(XDU$29="NO",TRUE,FALSE)</formula>
    </cfRule>
  </conditionalFormatting>
  <conditionalFormatting sqref="AF46">
    <cfRule type="expression" dxfId="1060" priority="107">
      <formula>IF(XDU$29="NO",TRUE,FALSE)</formula>
    </cfRule>
  </conditionalFormatting>
  <conditionalFormatting sqref="AF50">
    <cfRule type="expression" dxfId="1059" priority="106">
      <formula>IF(XDU$29="NO",TRUE,FALSE)</formula>
    </cfRule>
  </conditionalFormatting>
  <conditionalFormatting sqref="AF50">
    <cfRule type="expression" dxfId="1058" priority="105">
      <formula>IF(XDU$29="NO",TRUE,FALSE)</formula>
    </cfRule>
  </conditionalFormatting>
  <conditionalFormatting sqref="AF54">
    <cfRule type="expression" dxfId="1057" priority="104">
      <formula>IF(XDU$29="NO",TRUE,FALSE)</formula>
    </cfRule>
  </conditionalFormatting>
  <conditionalFormatting sqref="AF54">
    <cfRule type="expression" dxfId="1056" priority="103">
      <formula>IF(XDU$29="NO",TRUE,FALSE)</formula>
    </cfRule>
  </conditionalFormatting>
  <conditionalFormatting sqref="AF58">
    <cfRule type="expression" dxfId="1055" priority="102">
      <formula>IF(XDU$29="NO",TRUE,FALSE)</formula>
    </cfRule>
  </conditionalFormatting>
  <conditionalFormatting sqref="AF58">
    <cfRule type="expression" dxfId="1054" priority="101">
      <formula>IF(XDU$29="NO",TRUE,FALSE)</formula>
    </cfRule>
  </conditionalFormatting>
  <conditionalFormatting sqref="AF62">
    <cfRule type="expression" dxfId="1053" priority="100">
      <formula>IF(XDU$29="NO",TRUE,FALSE)</formula>
    </cfRule>
  </conditionalFormatting>
  <conditionalFormatting sqref="AF62">
    <cfRule type="expression" dxfId="1052" priority="99">
      <formula>IF(XDU$29="NO",TRUE,FALSE)</formula>
    </cfRule>
  </conditionalFormatting>
  <conditionalFormatting sqref="AF34">
    <cfRule type="expression" dxfId="1051" priority="98">
      <formula>IF(XDU$29="NO",TRUE,FALSE)</formula>
    </cfRule>
  </conditionalFormatting>
  <conditionalFormatting sqref="AF34">
    <cfRule type="expression" dxfId="1050" priority="97">
      <formula>IF(XDU$29="NO",TRUE,FALSE)</formula>
    </cfRule>
  </conditionalFormatting>
  <conditionalFormatting sqref="AF38">
    <cfRule type="expression" dxfId="1049" priority="96">
      <formula>IF(XDU$29="NO",TRUE,FALSE)</formula>
    </cfRule>
  </conditionalFormatting>
  <conditionalFormatting sqref="AF38">
    <cfRule type="expression" dxfId="1048" priority="95">
      <formula>IF(XDU$29="NO",TRUE,FALSE)</formula>
    </cfRule>
  </conditionalFormatting>
  <conditionalFormatting sqref="AF42">
    <cfRule type="expression" dxfId="1047" priority="94">
      <formula>IF(XDU$29="NO",TRUE,FALSE)</formula>
    </cfRule>
  </conditionalFormatting>
  <conditionalFormatting sqref="AF42">
    <cfRule type="expression" dxfId="1046" priority="93">
      <formula>IF(XDU$29="NO",TRUE,FALSE)</formula>
    </cfRule>
  </conditionalFormatting>
  <conditionalFormatting sqref="AF68">
    <cfRule type="expression" dxfId="1045" priority="92">
      <formula>IF(XDU$29="NO",TRUE,FALSE)</formula>
    </cfRule>
  </conditionalFormatting>
  <conditionalFormatting sqref="AE66">
    <cfRule type="expression" dxfId="1044" priority="88">
      <formula>IF(XDT$29="NO",TRUE,FALSE)</formula>
    </cfRule>
  </conditionalFormatting>
  <conditionalFormatting sqref="Y66:AA66">
    <cfRule type="expression" dxfId="1043" priority="91">
      <formula>IF(XDN$29="NO",TRUE,FALSE)</formula>
    </cfRule>
  </conditionalFormatting>
  <conditionalFormatting sqref="AC66">
    <cfRule type="expression" dxfId="1042" priority="90">
      <formula>IF(XDR$29="NO",TRUE,FALSE)</formula>
    </cfRule>
  </conditionalFormatting>
  <conditionalFormatting sqref="AD66">
    <cfRule type="expression" dxfId="1041" priority="89">
      <formula>IF(XDS$29="NO",TRUE,FALSE)</formula>
    </cfRule>
  </conditionalFormatting>
  <conditionalFormatting sqref="Y66:AA66">
    <cfRule type="expression" dxfId="1040" priority="87">
      <formula>IF(XDN$29="NO",TRUE,FALSE)</formula>
    </cfRule>
  </conditionalFormatting>
  <conditionalFormatting sqref="AC66">
    <cfRule type="expression" dxfId="1039" priority="86">
      <formula>IF(XDR$29="NO",TRUE,FALSE)</formula>
    </cfRule>
  </conditionalFormatting>
  <conditionalFormatting sqref="AD66">
    <cfRule type="expression" dxfId="1038" priority="85">
      <formula>IF(XDS$29="NO",TRUE,FALSE)</formula>
    </cfRule>
  </conditionalFormatting>
  <conditionalFormatting sqref="AE66">
    <cfRule type="expression" dxfId="1037" priority="84">
      <formula>IF(XDT$29="NO",TRUE,FALSE)</formula>
    </cfRule>
  </conditionalFormatting>
  <conditionalFormatting sqref="Q66:S66">
    <cfRule type="expression" dxfId="1036" priority="83">
      <formula>IF(XDD$29="NO",TRUE,FALSE)</formula>
    </cfRule>
  </conditionalFormatting>
  <conditionalFormatting sqref="Q66:S66">
    <cfRule type="expression" dxfId="1035" priority="82">
      <formula>IF(XDD$29="NO",TRUE,FALSE)</formula>
    </cfRule>
  </conditionalFormatting>
  <conditionalFormatting sqref="U66:W66">
    <cfRule type="expression" dxfId="1034" priority="81">
      <formula>IF(XDI$29="NO",TRUE,FALSE)</formula>
    </cfRule>
  </conditionalFormatting>
  <conditionalFormatting sqref="U66:W66">
    <cfRule type="expression" dxfId="1033" priority="80">
      <formula>IF(XDI$29="NO",TRUE,FALSE)</formula>
    </cfRule>
  </conditionalFormatting>
  <conditionalFormatting sqref="AF66">
    <cfRule type="expression" dxfId="1032" priority="79">
      <formula>IF(XDU$29="NO",TRUE,FALSE)</formula>
    </cfRule>
  </conditionalFormatting>
  <conditionalFormatting sqref="AF66">
    <cfRule type="expression" dxfId="1031" priority="78">
      <formula>IF(XDU$29="NO",TRUE,FALSE)</formula>
    </cfRule>
  </conditionalFormatting>
  <conditionalFormatting sqref="AE70">
    <cfRule type="expression" dxfId="1030" priority="74">
      <formula>IF(XDT$29="NO",TRUE,FALSE)</formula>
    </cfRule>
  </conditionalFormatting>
  <conditionalFormatting sqref="Y70:AA70">
    <cfRule type="expression" dxfId="1029" priority="77">
      <formula>IF(XDN$29="NO",TRUE,FALSE)</formula>
    </cfRule>
  </conditionalFormatting>
  <conditionalFormatting sqref="AC70">
    <cfRule type="expression" dxfId="1028" priority="76">
      <formula>IF(XDR$29="NO",TRUE,FALSE)</formula>
    </cfRule>
  </conditionalFormatting>
  <conditionalFormatting sqref="AD70">
    <cfRule type="expression" dxfId="1027" priority="75">
      <formula>IF(XDS$29="NO",TRUE,FALSE)</formula>
    </cfRule>
  </conditionalFormatting>
  <conditionalFormatting sqref="Y70:AA70">
    <cfRule type="expression" dxfId="1026" priority="73">
      <formula>IF(XDN$29="NO",TRUE,FALSE)</formula>
    </cfRule>
  </conditionalFormatting>
  <conditionalFormatting sqref="AC70">
    <cfRule type="expression" dxfId="1025" priority="72">
      <formula>IF(XDR$29="NO",TRUE,FALSE)</formula>
    </cfRule>
  </conditionalFormatting>
  <conditionalFormatting sqref="AD70">
    <cfRule type="expression" dxfId="1024" priority="71">
      <formula>IF(XDS$29="NO",TRUE,FALSE)</formula>
    </cfRule>
  </conditionalFormatting>
  <conditionalFormatting sqref="AE70">
    <cfRule type="expression" dxfId="1023" priority="70">
      <formula>IF(XDT$29="NO",TRUE,FALSE)</formula>
    </cfRule>
  </conditionalFormatting>
  <conditionalFormatting sqref="Q70:S70">
    <cfRule type="expression" dxfId="1022" priority="69">
      <formula>IF(XDD$29="NO",TRUE,FALSE)</formula>
    </cfRule>
  </conditionalFormatting>
  <conditionalFormatting sqref="Q70:S70">
    <cfRule type="expression" dxfId="1021" priority="68">
      <formula>IF(XDD$29="NO",TRUE,FALSE)</formula>
    </cfRule>
  </conditionalFormatting>
  <conditionalFormatting sqref="U70:W70">
    <cfRule type="expression" dxfId="1020" priority="67">
      <formula>IF(XDI$29="NO",TRUE,FALSE)</formula>
    </cfRule>
  </conditionalFormatting>
  <conditionalFormatting sqref="U70:W70">
    <cfRule type="expression" dxfId="1019" priority="66">
      <formula>IF(XDI$29="NO",TRUE,FALSE)</formula>
    </cfRule>
  </conditionalFormatting>
  <conditionalFormatting sqref="AF70">
    <cfRule type="expression" dxfId="1018" priority="65">
      <formula>IF(XDU$29="NO",TRUE,FALSE)</formula>
    </cfRule>
  </conditionalFormatting>
  <conditionalFormatting sqref="AF70">
    <cfRule type="expression" dxfId="1017" priority="64">
      <formula>IF(XDU$29="NO",TRUE,FALSE)</formula>
    </cfRule>
  </conditionalFormatting>
  <conditionalFormatting sqref="AS13">
    <cfRule type="cellIs" dxfId="1016" priority="62" operator="notEqual">
      <formula>"ok"</formula>
    </cfRule>
    <cfRule type="cellIs" dxfId="1015" priority="63" operator="equal">
      <formula>"ok"</formula>
    </cfRule>
  </conditionalFormatting>
  <conditionalFormatting sqref="AT13">
    <cfRule type="cellIs" dxfId="1014" priority="60" operator="notEqual">
      <formula>"ok"</formula>
    </cfRule>
    <cfRule type="cellIs" dxfId="1013" priority="61" operator="equal">
      <formula>"ok"</formula>
    </cfRule>
  </conditionalFormatting>
  <conditionalFormatting sqref="AU13">
    <cfRule type="cellIs" dxfId="1012" priority="58" operator="notEqual">
      <formula>"ok"</formula>
    </cfRule>
    <cfRule type="cellIs" dxfId="1011" priority="59" operator="equal">
      <formula>"ok"</formula>
    </cfRule>
  </conditionalFormatting>
  <conditionalFormatting sqref="AV16">
    <cfRule type="cellIs" dxfId="1010" priority="56" operator="notEqual">
      <formula>"ok"</formula>
    </cfRule>
    <cfRule type="cellIs" dxfId="1009" priority="57" operator="equal">
      <formula>"ok"</formula>
    </cfRule>
  </conditionalFormatting>
  <conditionalFormatting sqref="AV19">
    <cfRule type="cellIs" dxfId="1008" priority="53" operator="equal">
      <formula>"ok"</formula>
    </cfRule>
    <cfRule type="cellIs" dxfId="1007" priority="54" stopIfTrue="1" operator="equal">
      <formula>"check"</formula>
    </cfRule>
    <cfRule type="cellIs" dxfId="1006" priority="55" operator="notEqual">
      <formula>"ok"</formula>
    </cfRule>
  </conditionalFormatting>
  <conditionalFormatting sqref="AV17">
    <cfRule type="cellIs" dxfId="1005" priority="50" operator="equal">
      <formula>"ok"</formula>
    </cfRule>
    <cfRule type="cellIs" dxfId="1004" priority="51" stopIfTrue="1" operator="equal">
      <formula>"check"</formula>
    </cfRule>
    <cfRule type="cellIs" dxfId="1003" priority="52" operator="notEqual">
      <formula>"ok"</formula>
    </cfRule>
  </conditionalFormatting>
  <conditionalFormatting sqref="Q40:S40">
    <cfRule type="expression" dxfId="1002" priority="49">
      <formula>IF(XDD$29="NO",TRUE,FALSE)</formula>
    </cfRule>
  </conditionalFormatting>
  <conditionalFormatting sqref="Q38:S38">
    <cfRule type="expression" dxfId="1001" priority="48">
      <formula>IF(XDD$29="NO",TRUE,FALSE)</formula>
    </cfRule>
  </conditionalFormatting>
  <conditionalFormatting sqref="Q38:S38">
    <cfRule type="expression" dxfId="1000" priority="47">
      <formula>IF(XDD$29="NO",TRUE,FALSE)</formula>
    </cfRule>
  </conditionalFormatting>
  <conditionalFormatting sqref="Q44:S44">
    <cfRule type="expression" dxfId="999" priority="46">
      <formula>IF(XDD$29="NO",TRUE,FALSE)</formula>
    </cfRule>
  </conditionalFormatting>
  <conditionalFormatting sqref="Q42:S42">
    <cfRule type="expression" dxfId="998" priority="45">
      <formula>IF(XDD$29="NO",TRUE,FALSE)</formula>
    </cfRule>
  </conditionalFormatting>
  <conditionalFormatting sqref="Q42:S42">
    <cfRule type="expression" dxfId="997" priority="44">
      <formula>IF(XDD$29="NO",TRUE,FALSE)</formula>
    </cfRule>
  </conditionalFormatting>
  <conditionalFormatting sqref="Q44:S44">
    <cfRule type="expression" dxfId="996" priority="43">
      <formula>IF(XDD$29="NO",TRUE,FALSE)</formula>
    </cfRule>
  </conditionalFormatting>
  <conditionalFormatting sqref="Q42:S42">
    <cfRule type="expression" dxfId="995" priority="42">
      <formula>IF(XDD$29="NO",TRUE,FALSE)</formula>
    </cfRule>
  </conditionalFormatting>
  <conditionalFormatting sqref="Q42:S42">
    <cfRule type="expression" dxfId="994" priority="41">
      <formula>IF(XDD$29="NO",TRUE,FALSE)</formula>
    </cfRule>
  </conditionalFormatting>
  <conditionalFormatting sqref="Q48:S48">
    <cfRule type="expression" dxfId="993" priority="40">
      <formula>IF(XDD$29="NO",TRUE,FALSE)</formula>
    </cfRule>
  </conditionalFormatting>
  <conditionalFormatting sqref="Q46:S46">
    <cfRule type="expression" dxfId="992" priority="39">
      <formula>IF(XDD$29="NO",TRUE,FALSE)</formula>
    </cfRule>
  </conditionalFormatting>
  <conditionalFormatting sqref="Q46:S46">
    <cfRule type="expression" dxfId="991" priority="38">
      <formula>IF(XDD$29="NO",TRUE,FALSE)</formula>
    </cfRule>
  </conditionalFormatting>
  <conditionalFormatting sqref="Q52:S52">
    <cfRule type="expression" dxfId="990" priority="37">
      <formula>IF(XDD$29="NO",TRUE,FALSE)</formula>
    </cfRule>
  </conditionalFormatting>
  <conditionalFormatting sqref="Q50:S50">
    <cfRule type="expression" dxfId="989" priority="36">
      <formula>IF(XDD$29="NO",TRUE,FALSE)</formula>
    </cfRule>
  </conditionalFormatting>
  <conditionalFormatting sqref="Q50:S50">
    <cfRule type="expression" dxfId="988" priority="35">
      <formula>IF(XDD$29="NO",TRUE,FALSE)</formula>
    </cfRule>
  </conditionalFormatting>
  <conditionalFormatting sqref="Q44:S44">
    <cfRule type="expression" dxfId="987" priority="34">
      <formula>IF(XDD$29="NO",TRUE,FALSE)</formula>
    </cfRule>
  </conditionalFormatting>
  <conditionalFormatting sqref="Q42:S42">
    <cfRule type="expression" dxfId="986" priority="33">
      <formula>IF(XDD$29="NO",TRUE,FALSE)</formula>
    </cfRule>
  </conditionalFormatting>
  <conditionalFormatting sqref="Q42:S42">
    <cfRule type="expression" dxfId="985" priority="32">
      <formula>IF(XDD$29="NO",TRUE,FALSE)</formula>
    </cfRule>
  </conditionalFormatting>
  <conditionalFormatting sqref="Q48:S48">
    <cfRule type="expression" dxfId="984" priority="31">
      <formula>IF(XDD$29="NO",TRUE,FALSE)</formula>
    </cfRule>
  </conditionalFormatting>
  <conditionalFormatting sqref="Q46:S46">
    <cfRule type="expression" dxfId="983" priority="30">
      <formula>IF(XDD$29="NO",TRUE,FALSE)</formula>
    </cfRule>
  </conditionalFormatting>
  <conditionalFormatting sqref="Q46:S46">
    <cfRule type="expression" dxfId="982" priority="29">
      <formula>IF(XDD$29="NO",TRUE,FALSE)</formula>
    </cfRule>
  </conditionalFormatting>
  <conditionalFormatting sqref="Q50:S50">
    <cfRule type="expression" dxfId="981" priority="28">
      <formula>IF(XDD$29="NO",TRUE,FALSE)</formula>
    </cfRule>
  </conditionalFormatting>
  <conditionalFormatting sqref="Q50:S50">
    <cfRule type="expression" dxfId="980" priority="27">
      <formula>IF(XDD$29="NO",TRUE,FALSE)</formula>
    </cfRule>
  </conditionalFormatting>
  <conditionalFormatting sqref="Q50:S50">
    <cfRule type="expression" dxfId="979" priority="26">
      <formula>IF(XDD$29="NO",TRUE,FALSE)</formula>
    </cfRule>
  </conditionalFormatting>
  <conditionalFormatting sqref="Q50:S50">
    <cfRule type="expression" dxfId="978" priority="25">
      <formula>IF(XDD$29="NO",TRUE,FALSE)</formula>
    </cfRule>
  </conditionalFormatting>
  <conditionalFormatting sqref="Q56:S56">
    <cfRule type="expression" dxfId="977" priority="24">
      <formula>IF(XDD$29="NO",TRUE,FALSE)</formula>
    </cfRule>
  </conditionalFormatting>
  <conditionalFormatting sqref="Q54:S54">
    <cfRule type="expression" dxfId="976" priority="23">
      <formula>IF(XDD$29="NO",TRUE,FALSE)</formula>
    </cfRule>
  </conditionalFormatting>
  <conditionalFormatting sqref="Q54:S54">
    <cfRule type="expression" dxfId="975" priority="22">
      <formula>IF(XDD$29="NO",TRUE,FALSE)</formula>
    </cfRule>
  </conditionalFormatting>
  <conditionalFormatting sqref="Q60:S60">
    <cfRule type="expression" dxfId="974" priority="21">
      <formula>IF(XDD$29="NO",TRUE,FALSE)</formula>
    </cfRule>
  </conditionalFormatting>
  <conditionalFormatting sqref="Q58:S58">
    <cfRule type="expression" dxfId="973" priority="20">
      <formula>IF(XDD$29="NO",TRUE,FALSE)</formula>
    </cfRule>
  </conditionalFormatting>
  <conditionalFormatting sqref="Q58:S58">
    <cfRule type="expression" dxfId="972" priority="19">
      <formula>IF(XDD$29="NO",TRUE,FALSE)</formula>
    </cfRule>
  </conditionalFormatting>
  <conditionalFormatting sqref="Q62:S62">
    <cfRule type="expression" dxfId="971" priority="18">
      <formula>IF(XDD$29="NO",TRUE,FALSE)</formula>
    </cfRule>
  </conditionalFormatting>
  <conditionalFormatting sqref="Q62:S62">
    <cfRule type="expression" dxfId="970" priority="17">
      <formula>IF(XDD$29="NO",TRUE,FALSE)</formula>
    </cfRule>
  </conditionalFormatting>
  <conditionalFormatting sqref="Q62:S62">
    <cfRule type="expression" dxfId="969" priority="16">
      <formula>IF(XDD$29="NO",TRUE,FALSE)</formula>
    </cfRule>
  </conditionalFormatting>
  <conditionalFormatting sqref="Q62:S62">
    <cfRule type="expression" dxfId="968" priority="15">
      <formula>IF(XDD$29="NO",TRUE,FALSE)</formula>
    </cfRule>
  </conditionalFormatting>
  <conditionalFormatting sqref="Q62:S62">
    <cfRule type="expression" dxfId="967" priority="14">
      <formula>IF(XDD$29="NO",TRUE,FALSE)</formula>
    </cfRule>
  </conditionalFormatting>
  <conditionalFormatting sqref="Q62:S62">
    <cfRule type="expression" dxfId="966" priority="13">
      <formula>IF(XDD$29="NO",TRUE,FALSE)</formula>
    </cfRule>
  </conditionalFormatting>
  <conditionalFormatting sqref="Q64:S64">
    <cfRule type="expression" dxfId="965" priority="12">
      <formula>IF(XDD$29="NO",TRUE,FALSE)</formula>
    </cfRule>
  </conditionalFormatting>
  <conditionalFormatting sqref="Q62:S62">
    <cfRule type="expression" dxfId="964" priority="11">
      <formula>IF(XDD$29="NO",TRUE,FALSE)</formula>
    </cfRule>
  </conditionalFormatting>
  <conditionalFormatting sqref="Q62:S62">
    <cfRule type="expression" dxfId="963" priority="10">
      <formula>IF(XDD$29="NO",TRUE,FALSE)</formula>
    </cfRule>
  </conditionalFormatting>
  <conditionalFormatting sqref="Q68:S68">
    <cfRule type="expression" dxfId="962" priority="9">
      <formula>IF(XDD$29="NO",TRUE,FALSE)</formula>
    </cfRule>
  </conditionalFormatting>
  <conditionalFormatting sqref="Q66:S66">
    <cfRule type="expression" dxfId="961" priority="8">
      <formula>IF(XDD$29="NO",TRUE,FALSE)</formula>
    </cfRule>
  </conditionalFormatting>
  <conditionalFormatting sqref="Q66:S66">
    <cfRule type="expression" dxfId="960" priority="7">
      <formula>IF(XDD$29="NO",TRUE,FALSE)</formula>
    </cfRule>
  </conditionalFormatting>
  <conditionalFormatting sqref="Q70:S70">
    <cfRule type="expression" dxfId="959" priority="6">
      <formula>IF(XDD$29="NO",TRUE,FALSE)</formula>
    </cfRule>
  </conditionalFormatting>
  <conditionalFormatting sqref="Q70:S70">
    <cfRule type="expression" dxfId="958" priority="5">
      <formula>IF(XDD$29="NO",TRUE,FALSE)</formula>
    </cfRule>
  </conditionalFormatting>
  <conditionalFormatting sqref="Q70:S70">
    <cfRule type="expression" dxfId="957" priority="4">
      <formula>IF(XDD$29="NO",TRUE,FALSE)</formula>
    </cfRule>
  </conditionalFormatting>
  <conditionalFormatting sqref="Q70:S70">
    <cfRule type="expression" dxfId="956" priority="3">
      <formula>IF(XDD$29="NO",TRUE,FALSE)</formula>
    </cfRule>
  </conditionalFormatting>
  <conditionalFormatting sqref="Q70:S70">
    <cfRule type="expression" dxfId="955" priority="2">
      <formula>IF(XDD$29="NO",TRUE,FALSE)</formula>
    </cfRule>
  </conditionalFormatting>
  <conditionalFormatting sqref="Q70:S70">
    <cfRule type="expression" dxfId="954"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B00-000000000000}">
      <formula1>"Right,Left,Above,Below"</formula1>
    </dataValidation>
    <dataValidation type="list" allowBlank="1" showInputMessage="1" showErrorMessage="1" sqref="U29:W29 AC29:AF29 Q29:S29 F29:O29" xr:uid="{00000000-0002-0000-0B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2882"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2883"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2884"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2885"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2886"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2887"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2888"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FF99"/>
    <pageSetUpPr fitToPage="1"/>
  </sheetPr>
  <dimension ref="A1:BM73"/>
  <sheetViews>
    <sheetView showGridLines="0" topLeftCell="A11" zoomScale="70" zoomScaleNormal="70" zoomScaleSheetLayoutView="55" workbookViewId="0">
      <selection activeCell="C55" sqref="C55"/>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3" width="13.2851562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1080</v>
      </c>
      <c r="AK7" s="895">
        <v>10.5</v>
      </c>
    </row>
    <row r="8" spans="1:64" ht="15.6" customHeight="1">
      <c r="AJ8" s="235" t="s">
        <v>1081</v>
      </c>
      <c r="AK8" s="895" t="s">
        <v>1082</v>
      </c>
    </row>
    <row r="9" spans="1:64" ht="15.6" customHeight="1">
      <c r="AJ9" s="894" t="s">
        <v>1083</v>
      </c>
      <c r="AK9" s="896" t="str">
        <f>"MY"&amp;RIGHT(Input!$H$9,2)&amp;" "&amp;Input!$H$3&amp;": "&amp;$G$10</f>
        <v>MY20 Soul: Region L3 (Southern, Western) Incentive Scenarios</v>
      </c>
    </row>
    <row r="10" spans="1:64" ht="15.6" customHeight="1" thickBot="1">
      <c r="G10" s="581" t="s">
        <v>1090</v>
      </c>
      <c r="AJ10" s="894" t="s">
        <v>1084</v>
      </c>
      <c r="AK10" s="896" t="s">
        <v>1085</v>
      </c>
    </row>
    <row r="11" spans="1:64" ht="15.6" customHeight="1">
      <c r="A11" s="281" t="s">
        <v>570</v>
      </c>
      <c r="B11" s="275"/>
      <c r="C11" s="231"/>
      <c r="D11" s="628" t="s">
        <v>826</v>
      </c>
      <c r="F11" s="245">
        <v>3</v>
      </c>
      <c r="G11" s="565" t="str">
        <f>INDEX(Input!$1:$1048576,2,$F$11*2+6)&amp;" ("&amp;INDEX(Input!$1:$1048576,11,$F$11*2+6)&amp;")"</f>
        <v>MY20 Kia Soul (Kia-LR - L3)</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1086</v>
      </c>
      <c r="AK11" s="896" t="s">
        <v>1087</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2.52 (Scen 6)</v>
      </c>
      <c r="B13" s="275"/>
      <c r="D13" s="1123" t="str">
        <f>UPPER("SCENARIO OPTIONS: MY"&amp;RIGHT(Input!$H9,2)&amp;" "&amp;Input!H$7&amp;" "&amp;Input!H$3&amp;" - L3 (CA, UT, FL)")</f>
        <v>SCENARIO OPTIONS: MY20 KIA SOUL - L3 (CA, UT, FL)</v>
      </c>
      <c r="E13" s="1123"/>
      <c r="F13" s="1123"/>
      <c r="G13" s="1123"/>
      <c r="H13" s="1123"/>
      <c r="I13" s="1123"/>
      <c r="J13" s="1123"/>
      <c r="K13" s="1123"/>
      <c r="L13" s="1123"/>
      <c r="M13" s="1123"/>
      <c r="N13" s="1123"/>
      <c r="O13" s="1123"/>
      <c r="P13" s="1123"/>
      <c r="Q13" s="1123"/>
      <c r="R13" s="1123"/>
      <c r="S13" s="1123"/>
      <c r="T13" s="1123"/>
      <c r="U13" s="1123"/>
      <c r="V13" s="1123"/>
      <c r="W13" s="1123"/>
      <c r="X13" s="1123"/>
      <c r="Y13" s="1123"/>
      <c r="Z13" s="1123"/>
      <c r="AA13" s="1123"/>
      <c r="AB13" s="1123"/>
      <c r="AC13" s="1123"/>
      <c r="AD13" s="1123"/>
      <c r="AE13" s="1123"/>
      <c r="AF13" s="1123"/>
      <c r="AG13" s="1123"/>
      <c r="AH13" s="1123"/>
      <c r="AI13" s="1123"/>
      <c r="AJ13" s="758"/>
      <c r="AK13" s="758"/>
      <c r="AL13" s="235"/>
      <c r="AM13" s="235"/>
      <c r="AN13" s="1133" t="s">
        <v>772</v>
      </c>
      <c r="AO13" s="1134"/>
      <c r="AP13" s="1134"/>
      <c r="AQ13" s="1134"/>
      <c r="AR13" s="113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9" t="str">
        <f>"Scen. # to check price sensitivity order vs #"&amp;INDEX(DSS_Calc!KN:KN,MATCH(F11*1000+1,DSS_Calc!A:A,0))</f>
        <v>Scen. # to check price sensitivity order vs #3002</v>
      </c>
      <c r="AO14" s="1130"/>
      <c r="AP14" s="1130"/>
      <c r="AQ14" s="1130"/>
      <c r="AR14" s="1130"/>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1" t="s">
        <v>781</v>
      </c>
      <c r="AO15" s="1132"/>
      <c r="AP15" s="1132"/>
      <c r="AQ15" s="1132"/>
      <c r="AR15" s="1132"/>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7" t="str">
        <f>"Implied Elast w/o Take Rate Shifts vs #"&amp;INDEX(DSS_Calc!KN:KN,MATCH(F11*1000+1,DSS_Calc!A:A,0))</f>
        <v>Implied Elast w/o Take Rate Shifts vs #3002</v>
      </c>
      <c r="AO16" s="1128"/>
      <c r="AP16" s="1128"/>
      <c r="AQ16" s="1128"/>
      <c r="AR16" s="1128"/>
      <c r="AS16" s="722">
        <f>INDEX(DSS_Calc!$KR:$KR,MATCH($F$11*1000+AS14,DSS_Calc!$A:$A,0))</f>
        <v>2.0824186147149244</v>
      </c>
      <c r="AT16" s="722">
        <f>INDEX(DSS_Calc!$KR:$KR,MATCH($F$11*1000+AT14,DSS_Calc!$A:$A,0))</f>
        <v>2.5242535701210786</v>
      </c>
      <c r="AU16" s="722">
        <f>INDEX(DSS_Calc!$KR:$KR,MATCH($F$11*1000+AU14,DSS_Calc!$A:$A,0))</f>
        <v>3.0165699136907898</v>
      </c>
      <c r="AV16" s="759" t="str">
        <f>IF(AND(AS16&lt;AT16,AT16&lt;AU16,AS16&lt;AW16),"ok","error in order")</f>
        <v>ok</v>
      </c>
      <c r="AW16" s="723">
        <f>ROUND(INDEX(DSS_Calc!KA:KA,MATCH($F$11*1000+6,DSS_Calc!A:A,0)),2)</f>
        <v>2.52</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9" t="s">
        <v>877</v>
      </c>
      <c r="AO17" s="1130"/>
      <c r="AP17" s="1130"/>
      <c r="AQ17" s="1130"/>
      <c r="AR17" s="1130"/>
      <c r="AS17" s="725">
        <f>INDEX(DSS_Calc!IE:IE,MATCH($F$11*1000+2,DSS_Calc!$A:$A,0))-INDEX(DSS_Calc!IE:IE,MATCH($F$11*1000+1,DSS_Calc!$A:$A,0))</f>
        <v>-2.592730043711855E-3</v>
      </c>
      <c r="AT17" s="725">
        <f>INDEX(DSS_Calc!IF:IF,MATCH($F$11*1000+2,DSS_Calc!$A:$A,0))-INDEX(DSS_Calc!IF:IF,MATCH($F$11*1000+1,DSS_Calc!$A:$A,0))</f>
        <v>-1.9176812283572264E-3</v>
      </c>
      <c r="AU17" s="725">
        <f>INDEX(DSS_Calc!IG:IG,MATCH($F$11*1000+2,DSS_Calc!$A:$A,0))-INDEX(DSS_Calc!IG:IG,MATCH($F$11*1000+1,DSS_Calc!$A:$A,0))</f>
        <v>4.5104112720691369E-3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7" t="s">
        <v>771</v>
      </c>
      <c r="AO18" s="1128"/>
      <c r="AP18" s="1128"/>
      <c r="AQ18" s="1128"/>
      <c r="AR18" s="1128"/>
      <c r="AS18" s="726">
        <f>INDEX(DSS_Calc!JA:JA,MATCH($F$11*1000+2,DSS_Calc!$A:$A,0))-INDEX(DSS_Calc!JA:JA,MATCH($F$11*1000+1,DSS_Calc!$A:$A,0))</f>
        <v>200.50000000000045</v>
      </c>
      <c r="AT18" s="726">
        <f>INDEX(DSS_Calc!JB:JB,MATCH($F$11*1000+2,DSS_Calc!$A:$A,0))-INDEX(DSS_Calc!JB:JB,MATCH($F$11*1000+1,DSS_Calc!$A:$A,0))</f>
        <v>200.54860275911687</v>
      </c>
      <c r="AU18" s="726">
        <f>INDEX(DSS_Calc!JC:JC,MATCH($F$11*1000+2,DSS_Calc!$A:$A,0))-INDEX(DSS_Calc!JC:JC,MATCH($F$11*1000+1,DSS_Calc!$A:$A,0))</f>
        <v>102.5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1</v>
      </c>
      <c r="AN19" s="1129" t="s">
        <v>881</v>
      </c>
      <c r="AO19" s="1130"/>
      <c r="AP19" s="1130"/>
      <c r="AQ19" s="1130"/>
      <c r="AR19" s="113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0.10901447215039073</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4.1999403074391706E-2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6.7015069075999092E-2</v>
      </c>
      <c r="AV19" s="760" t="str">
        <f>IF(MAX(MAX(AS19:AU19),ABS(MIN(AS19:AU19)))&lt;10%,"ok","check")</f>
        <v>check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1" t="s">
        <v>878</v>
      </c>
      <c r="AO20" s="1132"/>
      <c r="AP20" s="1132"/>
      <c r="AQ20" s="1132"/>
      <c r="AR20" s="1132"/>
      <c r="AS20" s="761">
        <f>IFERROR(INDEX($C:$C,MATCH(AS19,U:U,0)-1),INDEX($C:$C,MATCH(-AS19,U:U,0)-1))</f>
        <v>50</v>
      </c>
      <c r="AT20" s="761">
        <f>IFERROR(INDEX($C:$C,MATCH(AT19,V:V,0)-1),INDEX($C:$C,MATCH(-AT19,V:V,0)-1))</f>
        <v>50</v>
      </c>
      <c r="AU20" s="761">
        <f>IFERROR(INDEX($C:$C,MATCH(AU19,W:W,0)-1),INDEX($C:$C,MATCH(-AU19,W:W,0)-1))</f>
        <v>50</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7" t="s">
        <v>879</v>
      </c>
      <c r="AO21" s="1128"/>
      <c r="AP21" s="1128"/>
      <c r="AQ21" s="1128"/>
      <c r="AR21" s="1128"/>
      <c r="AS21" s="729">
        <f>IFERROR(INDEX(Q:Q,MATCH(AS19,U:U,0)),INDEX(Q:Q,MATCH(-AS19,U:U,0)))</f>
        <v>999.99999999999955</v>
      </c>
      <c r="AT21" s="729">
        <f>IFERROR(INDEX(R:R,MATCH(AT19,V:V,0)),INDEX(R:R,MATCH(-AT19,V:V,0)))</f>
        <v>0.60376686339895969</v>
      </c>
      <c r="AU21" s="729">
        <f>IFERROR(INDEX(S:S,MATCH(AU19,W:W,0)),INDEX(S:S,MATCH(-AU19,W:W,0)))</f>
        <v>-277</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24" t="s">
        <v>571</v>
      </c>
      <c r="B27" s="390"/>
      <c r="C27" s="1124" t="s">
        <v>572</v>
      </c>
      <c r="D27" s="900" t="s">
        <v>134</v>
      </c>
      <c r="F27" s="1126" t="s">
        <v>354</v>
      </c>
      <c r="G27" s="1126"/>
      <c r="H27" s="1126"/>
      <c r="I27" s="1126"/>
      <c r="J27" s="1126"/>
      <c r="K27" s="1126"/>
      <c r="L27" s="1126"/>
      <c r="M27" s="1126"/>
      <c r="N27" s="1126"/>
      <c r="O27" s="1126"/>
      <c r="P27" s="277"/>
      <c r="Q27" s="1125" t="s">
        <v>135</v>
      </c>
      <c r="R27" s="1125"/>
      <c r="S27" s="1125"/>
      <c r="T27" s="277"/>
      <c r="U27" s="1126" t="s">
        <v>136</v>
      </c>
      <c r="V27" s="1126"/>
      <c r="W27" s="1126"/>
      <c r="X27" s="277"/>
      <c r="Y27" s="1125" t="s">
        <v>137</v>
      </c>
      <c r="Z27" s="1125"/>
      <c r="AA27" s="1125"/>
      <c r="AB27" s="277"/>
      <c r="AC27" s="1126" t="s">
        <v>138</v>
      </c>
      <c r="AD27" s="1126"/>
      <c r="AE27" s="1126"/>
      <c r="AF27" s="1126"/>
      <c r="AG27" s="1126"/>
      <c r="AH27" s="1126"/>
      <c r="AI27" s="112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24"/>
      <c r="B28" s="279"/>
      <c r="C28" s="1124"/>
      <c r="D28" s="236"/>
      <c r="E28" s="392"/>
      <c r="F28" s="237" t="s">
        <v>139</v>
      </c>
      <c r="G28" s="238" t="s">
        <v>1147</v>
      </c>
      <c r="H28" s="238" t="s">
        <v>39</v>
      </c>
      <c r="I28" s="237" t="s">
        <v>715</v>
      </c>
      <c r="J28" s="237" t="s">
        <v>330</v>
      </c>
      <c r="K28" s="237" t="s">
        <v>1150</v>
      </c>
      <c r="L28" s="237" t="s">
        <v>1151</v>
      </c>
      <c r="M28" s="237" t="s">
        <v>1157</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31</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1158</v>
      </c>
      <c r="L31" s="244" t="s">
        <v>1159</v>
      </c>
      <c r="M31" s="244" t="s">
        <v>1161</v>
      </c>
      <c r="N31" s="244"/>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1287.0236024844721</v>
      </c>
      <c r="G33" s="256" t="str">
        <f>IF($C33="","",VLOOKUP($C33+$F$11*1000,DSS_Calc!$A:$JV,G$30,FALSE))</f>
        <v>0/0.9/1.9/3.9</v>
      </c>
      <c r="H33" s="256">
        <f>IF($C33="","",VLOOKUP($C33+$F$11*1000,DSS_Calc!$A:$JV,H$30,FALSE))</f>
        <v>0</v>
      </c>
      <c r="I33" s="256">
        <f>IF($C33="","",VLOOKUP($C33+$F$11*1000,DSS_Calc!$A:$JV,I$30,FALSE))</f>
        <v>0</v>
      </c>
      <c r="J33" s="256">
        <f>IF($C33="","",VLOOKUP($C33+$F$11*1000,DSS_Calc!$A:$JV,J$30,FALSE))</f>
        <v>2977</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1811.5000000000005</v>
      </c>
      <c r="R33" s="256">
        <f>IF($C33="","",VLOOKUP($C33+$F$11*1000,DSS_Calc!$A:$JV,R$30,FALSE)*IF(V33=0,0,1))</f>
        <v>2671.611056141478</v>
      </c>
      <c r="S33" s="256">
        <f>IF($C33="","",VLOOKUP($C33+$F$11*1000,DSS_Calc!$A:$JV,S$30,FALSE)*IF(W33=0,0,1))</f>
        <v>4097.2164157747857</v>
      </c>
      <c r="T33" s="294" t="s">
        <v>2</v>
      </c>
      <c r="U33" s="395">
        <f>IF($C33="","",VLOOKUP($C33+$F$11*1000,DSS_Calc!$A:$JV,U$30,FALSE))</f>
        <v>0.31355633827926949</v>
      </c>
      <c r="V33" s="395">
        <f>IF($C33="","",VLOOKUP($C33+$F$11*1000,DSS_Calc!$A:$JV,V$30,FALSE))</f>
        <v>0.52230592125611486</v>
      </c>
      <c r="W33" s="395">
        <f>IF($C33="","",VLOOKUP($C33+$F$11*1000,DSS_Calc!$A:$JV,W$30,FALSE))</f>
        <v>0.16413774046461571</v>
      </c>
      <c r="X33" s="290" t="s">
        <v>2</v>
      </c>
      <c r="Y33" s="256">
        <f t="shared" ref="Y33:AA34" si="0">IF(U33=0,0,U33*Q33)</f>
        <v>568.00730679289677</v>
      </c>
      <c r="Z33" s="256">
        <f t="shared" si="0"/>
        <v>1395.3982739159967</v>
      </c>
      <c r="AA33" s="256">
        <f t="shared" si="0"/>
        <v>672.50784467980475</v>
      </c>
      <c r="AB33" s="290" t="s">
        <v>2</v>
      </c>
      <c r="AC33" s="256">
        <f>SUM(Y33:AA33)</f>
        <v>2635.9134253886982</v>
      </c>
      <c r="AD33" s="259">
        <f>AC33*AE33/1000/1000</f>
        <v>4.3733267111601908</v>
      </c>
      <c r="AE33" s="260">
        <f>IF($C33="","",VLOOKUP($C33+$F$11*1000,DSS_Calc!$A:$JV,AE$30,FALSE))</f>
        <v>1659.1313921910348</v>
      </c>
      <c r="AF33" s="259">
        <f>IF($C33="","",VLOOKUP($C33+$F$11*1000,DSS_Calc!$A:$JV,AF$30,FALSE))</f>
        <v>5.5739955507211594</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50</v>
      </c>
      <c r="D34" s="396" t="str">
        <f>"Scenario " &amp; A34</f>
        <v>Scenario A</v>
      </c>
      <c r="E34" s="272" t="s">
        <v>2</v>
      </c>
      <c r="F34" s="397">
        <f>IF($C34="","",VLOOKUP($C34+$F$11*1000,DSS_Calc!$A:$JV,F$30,FALSE))</f>
        <v>2287.0236024844721</v>
      </c>
      <c r="G34" s="397" t="str">
        <f>IF($C34="","",VLOOKUP($C34+$F$11*1000,DSS_Calc!$A:$JV,G$30,FALSE))</f>
        <v>0/0.9/1.9/3.9</v>
      </c>
      <c r="H34" s="397">
        <f>IF($C34="","",VLOOKUP($C34+$F$11*1000,DSS_Calc!$A:$JV,H$30,FALSE))</f>
        <v>0</v>
      </c>
      <c r="I34" s="397">
        <f>IF($C34="","",VLOOKUP($C34+$F$11*1000,DSS_Calc!$A:$JV,I$30,FALSE))</f>
        <v>0</v>
      </c>
      <c r="J34" s="397">
        <f>IF($C34="","",VLOOKUP($C34+$F$11*1000,DSS_Calc!$A:$JV,J$30,FALSE))</f>
        <v>2617</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2811.5</v>
      </c>
      <c r="R34" s="397">
        <f>IF($C34="","",VLOOKUP($C34+$F$11*1000,DSS_Calc!$A:$JV,R$30,FALSE)*IF(V34=0,0,1))</f>
        <v>2672.214823004877</v>
      </c>
      <c r="S34" s="397">
        <f>IF($C34="","",VLOOKUP($C34+$F$11*1000,DSS_Calc!$A:$JV,S$30,FALSE)*IF(W34=0,0,1))</f>
        <v>3820.2164157747857</v>
      </c>
      <c r="T34" s="294" t="s">
        <v>2</v>
      </c>
      <c r="U34" s="398">
        <f>IF($C34="","",VLOOKUP($C34+$F$11*1000,DSS_Calc!$A:$JV,U$30,FALSE))</f>
        <v>0.42257081042966022</v>
      </c>
      <c r="V34" s="398">
        <f>IF($C34="","",VLOOKUP($C34+$F$11*1000,DSS_Calc!$A:$JV,V$30,FALSE))</f>
        <v>0.48030651818172315</v>
      </c>
      <c r="W34" s="398">
        <f>IF($C34="","",VLOOKUP($C34+$F$11*1000,DSS_Calc!$A:$JV,W$30,FALSE))</f>
        <v>9.7122671388616619E-2</v>
      </c>
      <c r="X34" s="294" t="s">
        <v>2</v>
      </c>
      <c r="Y34" s="397">
        <f t="shared" si="0"/>
        <v>1188.0578335229898</v>
      </c>
      <c r="Z34" s="397">
        <f t="shared" si="0"/>
        <v>1283.4821974710621</v>
      </c>
      <c r="AA34" s="397">
        <f t="shared" si="0"/>
        <v>371.02962358269332</v>
      </c>
      <c r="AB34" s="294" t="s">
        <v>2</v>
      </c>
      <c r="AC34" s="397">
        <f>SUM(Y34:AA34)</f>
        <v>2842.5696545767451</v>
      </c>
      <c r="AD34" s="399">
        <f>AC34*AE34/1000/1000</f>
        <v>4.896656745713357</v>
      </c>
      <c r="AE34" s="400">
        <f>IF($C34="","",VLOOKUP($C34+$F$11*1000,DSS_Calc!$A:$JV,AE$30,FALSE))</f>
        <v>1722.6162735640905</v>
      </c>
      <c r="AF34" s="399">
        <f>IF($C34="","",VLOOKUP($C34+$F$11*1000,DSS_Calc!$A:$JV,AF$30,FALSE))</f>
        <v>5.4312891224401483</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+1000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1.6765527313805675</v>
      </c>
      <c r="B35" s="402"/>
      <c r="C35" s="564">
        <f>AI35/(AC35/(VLOOKUP($C34+$F$11*1000,DSS_Calc!$A:$JV,DSS_Calc!BX$92,FALSE)-$AC$33))</f>
        <v>3.2123114473801362</v>
      </c>
      <c r="D35" s="403" t="s">
        <v>141</v>
      </c>
      <c r="F35" s="404">
        <f>ROUND(F34-F$33,0)</f>
        <v>1000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999.99999999999955</v>
      </c>
      <c r="R35" s="404">
        <f t="shared" si="2"/>
        <v>0.60376686339895969</v>
      </c>
      <c r="S35" s="404">
        <f t="shared" si="2"/>
        <v>-277</v>
      </c>
      <c r="T35" s="294"/>
      <c r="U35" s="405">
        <f>U34-U$33</f>
        <v>0.10901447215039073</v>
      </c>
      <c r="V35" s="405">
        <f>V34-V$33</f>
        <v>-4.1999403074391706E-2</v>
      </c>
      <c r="W35" s="405">
        <f>W34-W$33</f>
        <v>-6.7015069075999092E-2</v>
      </c>
      <c r="X35" s="294"/>
      <c r="Y35" s="404">
        <f>Y34-Y$33</f>
        <v>620.050526730093</v>
      </c>
      <c r="Z35" s="404">
        <f>Z34-Z$33</f>
        <v>-111.91607644493456</v>
      </c>
      <c r="AA35" s="404">
        <f>AA34-AA$33</f>
        <v>-301.47822109711143</v>
      </c>
      <c r="AB35" s="294"/>
      <c r="AC35" s="404">
        <f>IFERROR(AC34-AC$33,NA())</f>
        <v>206.65622918804684</v>
      </c>
      <c r="AD35" s="406">
        <f>AD34-AD$33</f>
        <v>0.52333003455316618</v>
      </c>
      <c r="AE35" s="407">
        <f t="shared" ref="AE35:AF49" si="3">AE34-AE$33</f>
        <v>63.484881373055714</v>
      </c>
      <c r="AF35" s="406">
        <f t="shared" si="3"/>
        <v>-0.1427064282810111</v>
      </c>
      <c r="AG35" s="408">
        <f>AF35/AF$33</f>
        <v>-2.5602178362440178E-2</v>
      </c>
      <c r="AH35" s="405"/>
      <c r="AI35" s="408">
        <f>IFERROR(AE35/$AE$33,NA())</f>
        <v>3.8263926336309095E-2</v>
      </c>
      <c r="AJ35" s="289"/>
      <c r="AK35" s="749"/>
      <c r="AL35" s="750">
        <f>$AE34*U34-$AE$33*U$33</f>
        <v>207.69619071969157</v>
      </c>
      <c r="AM35" s="750">
        <f>$AE34*V34-$AE$33*V$33</f>
        <v>-39.190325764535828</v>
      </c>
      <c r="AN35" s="750">
        <f>$AE34*W34-$AE$33*W$33</f>
        <v>-105.02098358210011</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49</v>
      </c>
      <c r="D36" s="261" t="str">
        <f>"Scenario " &amp; A36</f>
        <v>Scenario B</v>
      </c>
      <c r="E36" s="272" t="s">
        <v>2</v>
      </c>
      <c r="F36" s="262">
        <f>IF($C36="","",VLOOKUP($C36+$F$11*1000,DSS_Calc!$A:$JV,F$30,FALSE))</f>
        <v>2037.0236024844721</v>
      </c>
      <c r="G36" s="262" t="str">
        <f>IF($C36="","",VLOOKUP($C36+$F$11*1000,DSS_Calc!$A:$JV,G$30,FALSE))</f>
        <v>0/0.9/1.9/3.9</v>
      </c>
      <c r="H36" s="262">
        <f>IF($C36="","",VLOOKUP($C36+$F$11*1000,DSS_Calc!$A:$JV,H$30,FALSE))</f>
        <v>0</v>
      </c>
      <c r="I36" s="262">
        <f>IF($C36="","",VLOOKUP($C36+$F$11*1000,DSS_Calc!$A:$JV,I$30,FALSE))</f>
        <v>0</v>
      </c>
      <c r="J36" s="262">
        <f>IF($C36="","",VLOOKUP($C36+$F$11*1000,DSS_Calc!$A:$JV,J$30,FALSE))</f>
        <v>2617</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2561.5</v>
      </c>
      <c r="R36" s="262">
        <f>IF($C36="","",VLOOKUP($C36+$F$11*1000,DSS_Calc!$A:$JV,R$30,FALSE)*IF(V36=0,0,1))</f>
        <v>2672.1480483983896</v>
      </c>
      <c r="S36" s="262">
        <f>IF($C36="","",VLOOKUP($C36+$F$11*1000,DSS_Calc!$A:$JV,S$30,FALSE)*IF(W36=0,0,1))</f>
        <v>3820.2164157747857</v>
      </c>
      <c r="T36" s="294" t="s">
        <v>2</v>
      </c>
      <c r="U36" s="263">
        <f>IF($C36="","",VLOOKUP($C36+$F$11*1000,DSS_Calc!$A:$JV,U$30,FALSE))</f>
        <v>0.40239513736847382</v>
      </c>
      <c r="V36" s="263">
        <f>IF($C36="","",VLOOKUP($C36+$F$11*1000,DSS_Calc!$A:$JV,V$30,FALSE))</f>
        <v>0.49277413405430748</v>
      </c>
      <c r="W36" s="263">
        <f>IF($C36="","",VLOOKUP($C36+$F$11*1000,DSS_Calc!$A:$JV,W$30,FALSE))</f>
        <v>0.10483072857721855</v>
      </c>
      <c r="X36" s="294" t="s">
        <v>2</v>
      </c>
      <c r="Y36" s="262">
        <f>IF(U36=0,0,U36*Q36)</f>
        <v>1030.7351443693458</v>
      </c>
      <c r="Z36" s="262">
        <f>IF(V36=0,0,V36*R36)</f>
        <v>1316.7654406144241</v>
      </c>
      <c r="AA36" s="262">
        <f>IF(W36=0,0,W36*S36)</f>
        <v>400.47607018832122</v>
      </c>
      <c r="AB36" s="294" t="s">
        <v>2</v>
      </c>
      <c r="AC36" s="262">
        <f>SUM(Y36:AA36)</f>
        <v>2747.9766551720909</v>
      </c>
      <c r="AD36" s="264">
        <f>AC36*AE36/1000/1000</f>
        <v>4.6683411702924476</v>
      </c>
      <c r="AE36" s="265">
        <f>IF($C36="","",VLOOKUP($C36+$F$11*1000,DSS_Calc!$A:$JV,AE$30,FALSE))</f>
        <v>1698.8285404484611</v>
      </c>
      <c r="AF36" s="264">
        <f>IF($C36="","",VLOOKUP($C36+$F$11*1000,DSS_Calc!$A:$JV,AF$30,FALSE))</f>
        <v>5.5169853439663017</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+750 CC, -360 Lease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1.5203939604356698</v>
      </c>
      <c r="B37" s="402"/>
      <c r="C37" s="564">
        <f>AI37/(AC37/(VLOOKUP($C36+$F$11*1000,DSS_Calc!$A:$JV,DSS_Calc!BX$92,FALSE)-$AC$33))</f>
        <v>3.7041793620036749</v>
      </c>
      <c r="D37" s="266" t="s">
        <v>141</v>
      </c>
      <c r="F37" s="267">
        <f>ROUND(F36-F$33,0)</f>
        <v>750</v>
      </c>
      <c r="G37" s="267"/>
      <c r="H37" s="267"/>
      <c r="I37" s="267">
        <f t="shared" ref="I37:O37" si="4">ROUND(I36-I$33,0)</f>
        <v>0</v>
      </c>
      <c r="J37" s="267">
        <f t="shared" si="4"/>
        <v>-360</v>
      </c>
      <c r="K37" s="267">
        <f t="shared" si="4"/>
        <v>0</v>
      </c>
      <c r="L37" s="267">
        <f t="shared" si="4"/>
        <v>0</v>
      </c>
      <c r="M37" s="267">
        <f t="shared" si="4"/>
        <v>0</v>
      </c>
      <c r="N37" s="267">
        <f t="shared" si="4"/>
        <v>0</v>
      </c>
      <c r="O37" s="267">
        <f t="shared" si="4"/>
        <v>0</v>
      </c>
      <c r="P37" s="294"/>
      <c r="Q37" s="267">
        <f t="shared" ref="Q37:S37" si="5">Q36-Q$33</f>
        <v>749.99999999999955</v>
      </c>
      <c r="R37" s="267">
        <f t="shared" si="5"/>
        <v>0.53699225691161701</v>
      </c>
      <c r="S37" s="267">
        <f t="shared" si="5"/>
        <v>-277</v>
      </c>
      <c r="T37" s="294"/>
      <c r="U37" s="268">
        <f>U36-U$33</f>
        <v>8.8838799089204334E-2</v>
      </c>
      <c r="V37" s="268">
        <f>V36-V$33</f>
        <v>-2.953178720180738E-2</v>
      </c>
      <c r="W37" s="268">
        <f>W36-W$33</f>
        <v>-5.9307011887397162E-2</v>
      </c>
      <c r="X37" s="294"/>
      <c r="Y37" s="267">
        <f>Y36-Y$33</f>
        <v>462.72783757644902</v>
      </c>
      <c r="Z37" s="267">
        <f>Z36-Z$33</f>
        <v>-78.632833301572646</v>
      </c>
      <c r="AA37" s="267">
        <f>AA36-AA$33</f>
        <v>-272.03177449148353</v>
      </c>
      <c r="AB37" s="294"/>
      <c r="AC37" s="267">
        <f>IFERROR(AC36-AC$33,NA())</f>
        <v>112.06322978339267</v>
      </c>
      <c r="AD37" s="269">
        <f>AD36-AD$33</f>
        <v>0.29501445913225677</v>
      </c>
      <c r="AE37" s="270">
        <f t="shared" si="3"/>
        <v>39.697148257426306</v>
      </c>
      <c r="AF37" s="269">
        <f t="shared" si="3"/>
        <v>-5.7010206754857684E-2</v>
      </c>
      <c r="AG37" s="301">
        <f>AF37/AF$33</f>
        <v>-1.022788881621582E-2</v>
      </c>
      <c r="AH37" s="268"/>
      <c r="AI37" s="301">
        <f>IFERROR(AE37/$AE$33,NA())</f>
        <v>2.3926464440530287E-2</v>
      </c>
      <c r="AJ37" s="289"/>
      <c r="AK37" s="749"/>
      <c r="AL37" s="750">
        <f>$AE36*U36-$AE$33*U$33</f>
        <v>163.36917983963497</v>
      </c>
      <c r="AM37" s="750">
        <f>$AE36*V36-$AE$33*V$33</f>
        <v>-29.435387357045329</v>
      </c>
      <c r="AN37" s="750">
        <f>$AE36*W36-$AE$33*W$33</f>
        <v>-94.236644225163616</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48</v>
      </c>
      <c r="D38" s="396" t="str">
        <f>"Scenario " &amp; A38</f>
        <v>Scenario C</v>
      </c>
      <c r="E38" s="272" t="s">
        <v>2</v>
      </c>
      <c r="F38" s="397">
        <f>IF($C38="","",VLOOKUP($C38+$F$11*1000,DSS_Calc!$A:$JV,F$30,FALSE))</f>
        <v>1787.0236024844721</v>
      </c>
      <c r="G38" s="397" t="str">
        <f>IF($C38="","",VLOOKUP($C38+$F$11*1000,DSS_Calc!$A:$JV,G$30,FALSE))</f>
        <v>0/0.9/1.9/3.9</v>
      </c>
      <c r="H38" s="397">
        <f>IF($C38="","",VLOOKUP($C38+$F$11*1000,DSS_Calc!$A:$JV,H$30,FALSE))</f>
        <v>0</v>
      </c>
      <c r="I38" s="397">
        <f>IF($C38="","",VLOOKUP($C38+$F$11*1000,DSS_Calc!$A:$JV,I$30,FALSE))</f>
        <v>0</v>
      </c>
      <c r="J38" s="397">
        <f>IF($C38="","",VLOOKUP($C38+$F$11*1000,DSS_Calc!$A:$JV,J$30,FALSE))</f>
        <v>2617</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2311.5</v>
      </c>
      <c r="R38" s="397">
        <f>IF($C38="","",VLOOKUP($C38+$F$11*1000,DSS_Calc!$A:$JV,R$30,FALSE)*IF(V38=0,0,1))</f>
        <v>2672.0638558000287</v>
      </c>
      <c r="S38" s="397">
        <f>IF($C38="","",VLOOKUP($C38+$F$11*1000,DSS_Calc!$A:$JV,S$30,FALSE)*IF(W38=0,0,1))</f>
        <v>3820.2164157747857</v>
      </c>
      <c r="T38" s="294" t="s">
        <v>2</v>
      </c>
      <c r="U38" s="398">
        <f>IF($C38="","",VLOOKUP($C38+$F$11*1000,DSS_Calc!$A:$JV,U$30,FALSE))</f>
        <v>0.38144252605041445</v>
      </c>
      <c r="V38" s="398">
        <f>IF($C38="","",VLOOKUP($C38+$F$11*1000,DSS_Calc!$A:$JV,V$30,FALSE))</f>
        <v>0.5052565447297146</v>
      </c>
      <c r="W38" s="398">
        <f>IF($C38="","",VLOOKUP($C38+$F$11*1000,DSS_Calc!$A:$JV,W$30,FALSE))</f>
        <v>0.11330092921987095</v>
      </c>
      <c r="X38" s="294" t="s">
        <v>2</v>
      </c>
      <c r="Y38" s="397">
        <f>IF(U38=0,0,U38*Q38)</f>
        <v>881.70439896553296</v>
      </c>
      <c r="Z38" s="397">
        <f>IF(V38=0,0,V38*R38)</f>
        <v>1350.0777510786809</v>
      </c>
      <c r="AA38" s="397">
        <f>IF(W38=0,0,W38*S38)</f>
        <v>432.83406972828806</v>
      </c>
      <c r="AB38" s="294" t="s">
        <v>2</v>
      </c>
      <c r="AC38" s="397">
        <f>SUM(Y38:AA38)</f>
        <v>2664.6162197725016</v>
      </c>
      <c r="AD38" s="399">
        <f>AC38*AE38/1000/1000</f>
        <v>4.4685620984639183</v>
      </c>
      <c r="AE38" s="400">
        <f>IF($C38="","",VLOOKUP($C38+$F$11*1000,DSS_Calc!$A:$JV,AE$30,FALSE))</f>
        <v>1677.0002619159291</v>
      </c>
      <c r="AF38" s="399">
        <f>IF($C38="","",VLOOKUP($C38+$F$11*1000,DSS_Calc!$A:$JV,AF$30,FALSE))</f>
        <v>5.5858929718530348</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+500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1.1709906126719987</v>
      </c>
      <c r="B39" s="402"/>
      <c r="C39" s="564">
        <f>AI39/(AC39/(VLOOKUP($C38+$F$11*1000,DSS_Calc!$A:$JV,DSS_Calc!BX$92,FALSE)-$AC$33))</f>
        <v>6.5098163429567579</v>
      </c>
      <c r="D39" s="403" t="s">
        <v>141</v>
      </c>
      <c r="F39" s="404">
        <f>ROUND(F38-F$33,0)</f>
        <v>500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499.99999999999955</v>
      </c>
      <c r="R39" s="404">
        <f t="shared" si="7"/>
        <v>0.45279965855070259</v>
      </c>
      <c r="S39" s="404">
        <f t="shared" si="7"/>
        <v>-277</v>
      </c>
      <c r="T39" s="294"/>
      <c r="U39" s="405">
        <f>U38-U$33</f>
        <v>6.7886187771144968E-2</v>
      </c>
      <c r="V39" s="405">
        <f>V38-V$33</f>
        <v>-1.7049376526400262E-2</v>
      </c>
      <c r="W39" s="405">
        <f>W38-W$33</f>
        <v>-5.0836811244744762E-2</v>
      </c>
      <c r="X39" s="294"/>
      <c r="Y39" s="404">
        <f>Y38-Y$33</f>
        <v>313.69709217263619</v>
      </c>
      <c r="Z39" s="404">
        <f>Z38-Z$33</f>
        <v>-45.320522837315821</v>
      </c>
      <c r="AA39" s="404">
        <f>AA38-AA$33</f>
        <v>-239.67377495151669</v>
      </c>
      <c r="AB39" s="294"/>
      <c r="AC39" s="404">
        <f>IFERROR(AC38-AC$33,NA())</f>
        <v>28.702794383803393</v>
      </c>
      <c r="AD39" s="406">
        <f>AD38-AD$33</f>
        <v>9.5235387303727492E-2</v>
      </c>
      <c r="AE39" s="407">
        <f t="shared" si="3"/>
        <v>17.868869724894239</v>
      </c>
      <c r="AF39" s="406">
        <f t="shared" si="3"/>
        <v>1.1897421131875419E-2</v>
      </c>
      <c r="AG39" s="408">
        <f>AF39/AF$33</f>
        <v>2.1344511353863817E-3</v>
      </c>
      <c r="AH39" s="405"/>
      <c r="AI39" s="408">
        <f>IFERROR(AE39/$AE$33,NA())</f>
        <v>1.0770014845718013E-2</v>
      </c>
      <c r="AJ39" s="289"/>
      <c r="AK39" s="749"/>
      <c r="AL39" s="750">
        <f>$AE38*U38-$AE$33*U$33</f>
        <v>119.44805203281123</v>
      </c>
      <c r="AM39" s="750">
        <f>$AE38*V38-$AE$33*V$33</f>
        <v>-19.258792436810154</v>
      </c>
      <c r="AN39" s="750">
        <f>$AE38*W38-$AE$33*W$33</f>
        <v>-82.320389871106869</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47</v>
      </c>
      <c r="D40" s="261" t="str">
        <f>"Scenario " &amp; A40</f>
        <v>Scenario D</v>
      </c>
      <c r="E40" s="272" t="s">
        <v>2</v>
      </c>
      <c r="F40" s="262">
        <f>IF($C40="","",VLOOKUP($C40+$F$11*1000,DSS_Calc!$A:$JV,F$30,FALSE))</f>
        <v>1537.0236024844721</v>
      </c>
      <c r="G40" s="262" t="str">
        <f>IF($C40="","",VLOOKUP($C40+$F$11*1000,DSS_Calc!$A:$JV,G$30,FALSE))</f>
        <v>0/0.9/1.9/3.9</v>
      </c>
      <c r="H40" s="262">
        <f>IF($C40="","",VLOOKUP($C40+$F$11*1000,DSS_Calc!$A:$JV,H$30,FALSE))</f>
        <v>0</v>
      </c>
      <c r="I40" s="262">
        <f>IF($C40="","",VLOOKUP($C40+$F$11*1000,DSS_Calc!$A:$JV,I$30,FALSE))</f>
        <v>0</v>
      </c>
      <c r="J40" s="262">
        <f>IF($C40="","",VLOOKUP($C40+$F$11*1000,DSS_Calc!$A:$JV,J$30,FALSE))</f>
        <v>2617</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2061.5</v>
      </c>
      <c r="R40" s="262">
        <f>IF($C40="","",VLOOKUP($C40+$F$11*1000,DSS_Calc!$A:$JV,R$30,FALSE)*IF(V40=0,0,1))</f>
        <v>2671.9609499557869</v>
      </c>
      <c r="S40" s="262">
        <f>IF($C40="","",VLOOKUP($C40+$F$11*1000,DSS_Calc!$A:$JV,S$30,FALSE)*IF(W40=0,0,1))</f>
        <v>3820.2164157747857</v>
      </c>
      <c r="T40" s="294" t="s">
        <v>2</v>
      </c>
      <c r="U40" s="263">
        <f>IF($C40="","",VLOOKUP($C40+$F$11*1000,DSS_Calc!$A:$JV,U$30,FALSE))</f>
        <v>0.35974179417236335</v>
      </c>
      <c r="V40" s="263">
        <f>IF($C40="","",VLOOKUP($C40+$F$11*1000,DSS_Calc!$A:$JV,V$30,FALSE))</f>
        <v>0.51771479148477817</v>
      </c>
      <c r="W40" s="263">
        <f>IF($C40="","",VLOOKUP($C40+$F$11*1000,DSS_Calc!$A:$JV,W$30,FALSE))</f>
        <v>0.12254341434285855</v>
      </c>
      <c r="X40" s="294" t="s">
        <v>2</v>
      </c>
      <c r="Y40" s="262">
        <f>IF(U40=0,0,U40*Q40)</f>
        <v>741.6077086863271</v>
      </c>
      <c r="Z40" s="262">
        <f>IF(V40=0,0,V40*R40)</f>
        <v>1383.3137060618301</v>
      </c>
      <c r="AA40" s="262">
        <f>IF(W40=0,0,W40*S40)</f>
        <v>468.14236311767957</v>
      </c>
      <c r="AB40" s="294" t="s">
        <v>2</v>
      </c>
      <c r="AC40" s="262">
        <f>SUM(Y40:AA40)</f>
        <v>2593.0637778658365</v>
      </c>
      <c r="AD40" s="264">
        <f>AC40*AE40/1000/1000</f>
        <v>4.2970208944661357</v>
      </c>
      <c r="AE40" s="265">
        <f>IF($C40="","",VLOOKUP($C40+$F$11*1000,DSS_Calc!$A:$JV,AE$30,FALSE))</f>
        <v>1657.1211750151026</v>
      </c>
      <c r="AF40" s="264">
        <f>IF($C40="","",VLOOKUP($C40+$F$11*1000,DSS_Calc!$A:$JV,AF$30,FALSE))</f>
        <v>5.6382491103369121</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+250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-0.37421259474104751</v>
      </c>
      <c r="B41" s="402"/>
      <c r="C41" s="564">
        <f>AI41/(AC41/(VLOOKUP($C40+$F$11*1000,DSS_Calc!$A:$JV,DSS_Calc!BX$92,FALSE)-$AC$33))</f>
        <v>0.4905593516730789</v>
      </c>
      <c r="D41" s="266" t="s">
        <v>141</v>
      </c>
      <c r="F41" s="267">
        <f>ROUND(F40-F$33,0)</f>
        <v>250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249.99999999999955</v>
      </c>
      <c r="R41" s="267">
        <f t="shared" si="9"/>
        <v>0.34989381430887079</v>
      </c>
      <c r="S41" s="267">
        <f t="shared" si="9"/>
        <v>-277</v>
      </c>
      <c r="T41" s="294"/>
      <c r="U41" s="268">
        <f>U40-U$33</f>
        <v>4.6185455893093863E-2</v>
      </c>
      <c r="V41" s="268">
        <f>V40-V$33</f>
        <v>-4.5911297713366883E-3</v>
      </c>
      <c r="W41" s="268">
        <f>W40-W$33</f>
        <v>-4.1594326121757161E-2</v>
      </c>
      <c r="X41" s="294"/>
      <c r="Y41" s="267">
        <f>Y40-Y$33</f>
        <v>173.60040189343033</v>
      </c>
      <c r="Z41" s="267">
        <f>Z40-Z$33</f>
        <v>-12.084567854166608</v>
      </c>
      <c r="AA41" s="267">
        <f>AA40-AA$33</f>
        <v>-204.36548156212518</v>
      </c>
      <c r="AB41" s="294"/>
      <c r="AC41" s="267">
        <f>IFERROR(AC40-AC$33,NA())</f>
        <v>-42.849647522861687</v>
      </c>
      <c r="AD41" s="269">
        <f>AD40-AD$33</f>
        <v>-7.6305816694055117E-2</v>
      </c>
      <c r="AE41" s="270">
        <f t="shared" si="3"/>
        <v>-2.0102171759322118</v>
      </c>
      <c r="AF41" s="269">
        <f t="shared" si="3"/>
        <v>6.4253559615752742E-2</v>
      </c>
      <c r="AG41" s="301">
        <f>AF41/AF$33</f>
        <v>1.1527379064276373E-2</v>
      </c>
      <c r="AH41" s="268"/>
      <c r="AI41" s="301">
        <f>IFERROR(AE41/$AE$33,NA())</f>
        <v>-1.2116081857010349E-3</v>
      </c>
      <c r="AJ41" s="289"/>
      <c r="AK41" s="749"/>
      <c r="AL41" s="750">
        <f>$AE40*U40-$AE$33*U$33</f>
        <v>75.904580601340513</v>
      </c>
      <c r="AM41" s="750">
        <f>$AE40*V40-$AE$33*V$33</f>
        <v>-8.6580066953243886</v>
      </c>
      <c r="AN41" s="750">
        <f>$AE40*W40-$AE$33*W$33</f>
        <v>-69.256791081948251</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51</v>
      </c>
      <c r="D42" s="396" t="str">
        <f>"Scenario " &amp; A42</f>
        <v>Scenario E</v>
      </c>
      <c r="E42" s="272" t="s">
        <v>2</v>
      </c>
      <c r="F42" s="397">
        <f>IF($C42="","",VLOOKUP($C42+$F$11*1000,DSS_Calc!$A:$JV,F$30,FALSE))</f>
        <v>1287.0236024844721</v>
      </c>
      <c r="G42" s="397" t="str">
        <f>IF($C42="","",VLOOKUP($C42+$F$11*1000,DSS_Calc!$A:$JV,G$30,FALSE))</f>
        <v>0/0/0.9/3.9</v>
      </c>
      <c r="H42" s="397">
        <f>IF($C42="","",VLOOKUP($C42+$F$11*1000,DSS_Calc!$A:$JV,H$30,FALSE))</f>
        <v>0</v>
      </c>
      <c r="I42" s="397">
        <f>IF($C42="","",VLOOKUP($C42+$F$11*1000,DSS_Calc!$A:$JV,I$30,FALSE))</f>
        <v>0</v>
      </c>
      <c r="J42" s="397">
        <f>IF($C42="","",VLOOKUP($C42+$F$11*1000,DSS_Calc!$A:$JV,J$30,FALSE))</f>
        <v>2617</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1811.5000000000002</v>
      </c>
      <c r="R42" s="397">
        <f>IF($C42="","",VLOOKUP($C42+$F$11*1000,DSS_Calc!$A:$JV,R$30,FALSE)*IF(V42=0,0,1))</f>
        <v>2988.4546577484284</v>
      </c>
      <c r="S42" s="397">
        <f>IF($C42="","",VLOOKUP($C42+$F$11*1000,DSS_Calc!$A:$JV,S$30,FALSE)*IF(W42=0,0,1))</f>
        <v>3820.2164157747857</v>
      </c>
      <c r="T42" s="294" t="s">
        <v>2</v>
      </c>
      <c r="U42" s="398">
        <f>IF($C42="","",VLOOKUP($C42+$F$11*1000,DSS_Calc!$A:$JV,U$30,FALSE))</f>
        <v>0.32032511484617804</v>
      </c>
      <c r="V42" s="398">
        <f>IF($C42="","",VLOOKUP($C42+$F$11*1000,DSS_Calc!$A:$JV,V$30,FALSE))</f>
        <v>0.55182278133283347</v>
      </c>
      <c r="W42" s="398">
        <f>IF($C42="","",VLOOKUP($C42+$F$11*1000,DSS_Calc!$A:$JV,W$30,FALSE))</f>
        <v>0.12785210382098847</v>
      </c>
      <c r="X42" s="294" t="s">
        <v>2</v>
      </c>
      <c r="Y42" s="397">
        <f>IF(U42=0,0,U42*Q42)</f>
        <v>580.2689455438516</v>
      </c>
      <c r="Z42" s="397">
        <f>IF(V42=0,0,V42*R42)</f>
        <v>1649.0973611257987</v>
      </c>
      <c r="AA42" s="397">
        <f>IF(W42=0,0,W42*S42)</f>
        <v>488.42270580828233</v>
      </c>
      <c r="AB42" s="294" t="s">
        <v>2</v>
      </c>
      <c r="AC42" s="397">
        <f>SUM(Y42:AA42)</f>
        <v>2717.7890124779328</v>
      </c>
      <c r="AD42" s="399">
        <f>AC42*AE42/1000/1000</f>
        <v>4.5722428710300802</v>
      </c>
      <c r="AE42" s="400">
        <f>IF($C42="","",VLOOKUP($C42+$F$11*1000,DSS_Calc!$A:$JV,AE$30,FALSE))</f>
        <v>1682.3391551139421</v>
      </c>
      <c r="AF42" s="399">
        <f>IF($C42="","",VLOOKUP($C42+$F$11*1000,DSS_Calc!$A:$JV,AF$30,FALSE))</f>
        <v>5.5142215334555589</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0/0/0.9/3.9,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1.7405393049904807</v>
      </c>
      <c r="B43" s="402"/>
      <c r="C43" s="564">
        <f>AI43/(AC43/(VLOOKUP($C42+$F$11*1000,DSS_Calc!$A:$JV,DSS_Calc!BX$92,FALSE)-$AC$33))</f>
        <v>2.963976020849552</v>
      </c>
      <c r="D43" s="403" t="s">
        <v>141</v>
      </c>
      <c r="F43" s="404">
        <f>ROUND(F42-F$33,0)</f>
        <v>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0</v>
      </c>
      <c r="R43" s="404">
        <f t="shared" si="11"/>
        <v>316.84360160695041</v>
      </c>
      <c r="S43" s="404">
        <f t="shared" si="11"/>
        <v>-277</v>
      </c>
      <c r="T43" s="294"/>
      <c r="U43" s="405">
        <f>U42-U$33</f>
        <v>6.768776566908552E-3</v>
      </c>
      <c r="V43" s="405">
        <f>V42-V$33</f>
        <v>2.951686007671861E-2</v>
      </c>
      <c r="W43" s="405">
        <f>W42-W$33</f>
        <v>-3.6285636643627245E-2</v>
      </c>
      <c r="X43" s="294"/>
      <c r="Y43" s="404">
        <f>Y42-Y$33</f>
        <v>12.26163875095483</v>
      </c>
      <c r="Z43" s="404">
        <f>Z42-Z$33</f>
        <v>253.69908720980197</v>
      </c>
      <c r="AA43" s="404">
        <f>AA42-AA$33</f>
        <v>-184.08513887152242</v>
      </c>
      <c r="AB43" s="294"/>
      <c r="AC43" s="404">
        <f>IFERROR(AC42-AC$33,NA())</f>
        <v>81.875587089234614</v>
      </c>
      <c r="AD43" s="406">
        <f>AD42-AD$33</f>
        <v>0.19891615986988942</v>
      </c>
      <c r="AE43" s="407">
        <f t="shared" si="3"/>
        <v>23.20776292290725</v>
      </c>
      <c r="AF43" s="406">
        <f t="shared" si="3"/>
        <v>-5.9774017265600499E-2</v>
      </c>
      <c r="AG43" s="408">
        <f>AF43/AF$33</f>
        <v>-1.0723728916121396E-2</v>
      </c>
      <c r="AH43" s="405"/>
      <c r="AI43" s="408">
        <f>IFERROR(AE43/$AE$33,NA())</f>
        <v>1.3987899350309608E-2</v>
      </c>
      <c r="AJ43" s="289"/>
      <c r="AK43" s="751"/>
      <c r="AL43" s="750">
        <f>$AE42*U42-$AE$33*U$33</f>
        <v>18.664319012488249</v>
      </c>
      <c r="AM43" s="750">
        <f>$AE42*V42-$AE$33*V$33</f>
        <v>61.77892143682584</v>
      </c>
      <c r="AN43" s="750">
        <f>$AE42*W42-$AE$33*W$33</f>
        <v>-57.235477526406868</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77</v>
      </c>
      <c r="D44" s="261" t="str">
        <f>"Scenario " &amp; A44</f>
        <v>Scenario F</v>
      </c>
      <c r="E44" s="272" t="s">
        <v>2</v>
      </c>
      <c r="F44" s="262">
        <f>IF($C44="","",VLOOKUP($C44+$F$11*1000,DSS_Calc!$A:$JV,F$30,FALSE))</f>
        <v>1037.0236024844721</v>
      </c>
      <c r="G44" s="262" t="str">
        <f>IF($C44="","",VLOOKUP($C44+$F$11*1000,DSS_Calc!$A:$JV,G$30,FALSE))</f>
        <v>0/0.9/1.9/3.9</v>
      </c>
      <c r="H44" s="262">
        <f>IF($C44="","",VLOOKUP($C44+$F$11*1000,DSS_Calc!$A:$JV,H$30,FALSE))</f>
        <v>0</v>
      </c>
      <c r="I44" s="262">
        <f>IF($C44="","",VLOOKUP($C44+$F$11*1000,DSS_Calc!$A:$JV,I$30,FALSE))</f>
        <v>0</v>
      </c>
      <c r="J44" s="262">
        <f>IF($C44="","",VLOOKUP($C44+$F$11*1000,DSS_Calc!$A:$JV,J$30,FALSE))</f>
        <v>2617</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1561.5</v>
      </c>
      <c r="R44" s="262">
        <f>IF($C44="","",VLOOKUP($C44+$F$11*1000,DSS_Calc!$A:$JV,R$30,FALSE)*IF(V44=0,0,1))</f>
        <v>2671.6943086106485</v>
      </c>
      <c r="S44" s="262">
        <f>IF($C44="","",VLOOKUP($C44+$F$11*1000,DSS_Calc!$A:$JV,S$30,FALSE)*IF(W44=0,0,1))</f>
        <v>3820.2164157747857</v>
      </c>
      <c r="T44" s="294" t="s">
        <v>2</v>
      </c>
      <c r="U44" s="263">
        <f>IF($C44="","",VLOOKUP($C44+$F$11*1000,DSS_Calc!$A:$JV,U$30,FALSE))</f>
        <v>0.31431100590206612</v>
      </c>
      <c r="V44" s="263">
        <f>IF($C44="","",VLOOKUP($C44+$F$11*1000,DSS_Calc!$A:$JV,V$30,FALSE))</f>
        <v>0.54237565327164738</v>
      </c>
      <c r="W44" s="263">
        <f>IF($C44="","",VLOOKUP($C44+$F$11*1000,DSS_Calc!$A:$JV,W$30,FALSE))</f>
        <v>0.14331334082628655</v>
      </c>
      <c r="X44" s="294" t="s">
        <v>2</v>
      </c>
      <c r="Y44" s="262">
        <f>IF(U44=0,0,U44*Q44)</f>
        <v>490.79663571607625</v>
      </c>
      <c r="Z44" s="262">
        <f>IF(V44=0,0,V44*R44)</f>
        <v>1449.0619459748427</v>
      </c>
      <c r="AA44" s="262">
        <f>IF(W44=0,0,W44*S44)</f>
        <v>547.48797722410666</v>
      </c>
      <c r="AB44" s="294" t="s">
        <v>2</v>
      </c>
      <c r="AC44" s="262">
        <f>SUM(Y44:AA44)</f>
        <v>2487.3465589150255</v>
      </c>
      <c r="AD44" s="264">
        <f>AC44*AE44/1000/1000</f>
        <v>4.0373874274489285</v>
      </c>
      <c r="AE44" s="265">
        <f>IF($C44="","",VLOOKUP($C44+$F$11*1000,DSS_Calc!$A:$JV,AE$30,FALSE))</f>
        <v>1623.1704476315626</v>
      </c>
      <c r="AF44" s="264">
        <f>IF($C44="","",VLOOKUP($C44+$F$11*1000,DSS_Calc!$A:$JV,AF$30,FALSE))</f>
        <v>5.6943309913261047</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3.1805175163493637</v>
      </c>
      <c r="B45" s="402"/>
      <c r="C45" s="564">
        <f>AI45/(AC45/(VLOOKUP($C44+$F$11*1000,DSS_Calc!$A:$JV,DSS_Calc!BX$92,FALSE)-$AC$33))</f>
        <v>2.5310746877938053</v>
      </c>
      <c r="D45" s="266" t="s">
        <v>141</v>
      </c>
      <c r="F45" s="267">
        <f>ROUND(F44-F$33,0)</f>
        <v>-250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-250.00000000000045</v>
      </c>
      <c r="R45" s="267">
        <f t="shared" si="13"/>
        <v>8.3252469170474797E-2</v>
      </c>
      <c r="S45" s="267">
        <f t="shared" si="13"/>
        <v>-277</v>
      </c>
      <c r="T45" s="294"/>
      <c r="U45" s="268">
        <f>U44-U$33</f>
        <v>7.5466762279663424E-4</v>
      </c>
      <c r="V45" s="268">
        <f>V44-V$33</f>
        <v>2.0069732015532527E-2</v>
      </c>
      <c r="W45" s="268">
        <f>W44-W$33</f>
        <v>-2.0824399638329161E-2</v>
      </c>
      <c r="X45" s="294"/>
      <c r="Y45" s="267">
        <f>Y44-Y$33</f>
        <v>-77.210671076820518</v>
      </c>
      <c r="Z45" s="267">
        <f>Z44-Z$33</f>
        <v>53.663672058846032</v>
      </c>
      <c r="AA45" s="267">
        <f>AA44-AA$33</f>
        <v>-125.01986745569809</v>
      </c>
      <c r="AB45" s="294"/>
      <c r="AC45" s="267">
        <f>IFERROR(AC44-AC$33,NA())</f>
        <v>-148.56686647367269</v>
      </c>
      <c r="AD45" s="269">
        <f>AD44-AD$33</f>
        <v>-0.33593928371126225</v>
      </c>
      <c r="AE45" s="270">
        <f t="shared" si="3"/>
        <v>-35.960944559472182</v>
      </c>
      <c r="AF45" s="269">
        <f t="shared" si="3"/>
        <v>0.12033544060494528</v>
      </c>
      <c r="AG45" s="268">
        <f>AF45/AF$33</f>
        <v>2.15887220414764E-2</v>
      </c>
      <c r="AH45" s="268"/>
      <c r="AI45" s="301">
        <f>IFERROR(AE45/$AE$33,NA())</f>
        <v>-2.1674560995426927E-2</v>
      </c>
      <c r="AJ45" s="289"/>
      <c r="AK45" s="751"/>
      <c r="AL45" s="750">
        <f>$AE44*U44-$AE$33*U$33</f>
        <v>-10.050827914024012</v>
      </c>
      <c r="AM45" s="750">
        <f>$AE44*V44-$AE$33*V$33</f>
        <v>13.79398162212226</v>
      </c>
      <c r="AN45" s="750">
        <f>$AE44*W44-$AE$33*W$33</f>
        <v>-39.704098267570373</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61</v>
      </c>
      <c r="D46" s="396" t="str">
        <f>"Scenario " &amp; A46</f>
        <v>Scenario G</v>
      </c>
      <c r="E46" s="272" t="s">
        <v>2</v>
      </c>
      <c r="F46" s="397">
        <f>IF($C46="","",VLOOKUP($C46+$F$11*1000,DSS_Calc!$A:$JV,F$30,FALSE))</f>
        <v>2037.0236024844721</v>
      </c>
      <c r="G46" s="397" t="str">
        <f>IF($C46="","",VLOOKUP($C46+$F$11*1000,DSS_Calc!$A:$JV,G$30,FALSE))</f>
        <v>0/0/0.9/3.9</v>
      </c>
      <c r="H46" s="397">
        <f>IF($C46="","",VLOOKUP($C46+$F$11*1000,DSS_Calc!$A:$JV,H$30,FALSE))</f>
        <v>0</v>
      </c>
      <c r="I46" s="397">
        <f>IF($C46="","",VLOOKUP($C46+$F$11*1000,DSS_Calc!$A:$JV,I$30,FALSE))</f>
        <v>0</v>
      </c>
      <c r="J46" s="397">
        <f>IF($C46="","",VLOOKUP($C46+$F$11*1000,DSS_Calc!$A:$JV,J$30,FALSE))</f>
        <v>2617</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2561.5</v>
      </c>
      <c r="R46" s="397">
        <f>IF($C46="","",VLOOKUP($C46+$F$11*1000,DSS_Calc!$A:$JV,R$30,FALSE)*IF(V46=0,0,1))</f>
        <v>2988.5845804087389</v>
      </c>
      <c r="S46" s="397">
        <f>IF($C46="","",VLOOKUP($C46+$F$11*1000,DSS_Calc!$A:$JV,S$30,FALSE)*IF(W46=0,0,1))</f>
        <v>3820.2164157747857</v>
      </c>
      <c r="T46" s="294" t="s">
        <v>2</v>
      </c>
      <c r="U46" s="398">
        <f>IF($C46="","",VLOOKUP($C46+$F$11*1000,DSS_Calc!$A:$JV,U$30,FALSE))</f>
        <v>0.3859834254759017</v>
      </c>
      <c r="V46" s="398">
        <f>IF($C46="","",VLOOKUP($C46+$F$11*1000,DSS_Calc!$A:$JV,V$30,FALSE))</f>
        <v>0.51230134050229303</v>
      </c>
      <c r="W46" s="398">
        <f>IF($C46="","",VLOOKUP($C46+$F$11*1000,DSS_Calc!$A:$JV,W$30,FALSE))</f>
        <v>0.10171523402180523</v>
      </c>
      <c r="X46" s="294" t="s">
        <v>2</v>
      </c>
      <c r="Y46" s="397">
        <f>IF(U46=0,0,U46*Q46)</f>
        <v>988.69654435652217</v>
      </c>
      <c r="Z46" s="397">
        <f>IF(V46=0,0,V46*R46)</f>
        <v>1531.0558867478799</v>
      </c>
      <c r="AA46" s="397">
        <f>IF(W46=0,0,W46*S46)</f>
        <v>388.57420674447428</v>
      </c>
      <c r="AB46" s="294" t="s">
        <v>2</v>
      </c>
      <c r="AC46" s="397">
        <f>SUM(Y46:AA46)</f>
        <v>2908.3266378488765</v>
      </c>
      <c r="AD46" s="399">
        <f>AC46*AE46/1000/1000</f>
        <v>5.0627025343542105</v>
      </c>
      <c r="AE46" s="400">
        <f>IF($C46="","",VLOOKUP($C46+$F$11*1000,DSS_Calc!$A:$JV,AE$30,FALSE))</f>
        <v>1740.7613259351101</v>
      </c>
      <c r="AF46" s="399">
        <f>IF($C46="","",VLOOKUP($C46+$F$11*1000,DSS_Calc!$A:$JV,AF$30,FALSE))</f>
        <v>5.3740319952897408</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+750 CC, 0/0/0.9/3.9,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2.0145982050562412</v>
      </c>
      <c r="B47" s="402"/>
      <c r="C47" s="564">
        <f>AI47/(AC47/(VLOOKUP($C46+$F$11*1000,DSS_Calc!$A:$JV,DSS_Calc!BX$92,FALSE)-$AC$33))</f>
        <v>3.1334091687759202</v>
      </c>
      <c r="D47" s="403" t="s">
        <v>141</v>
      </c>
      <c r="F47" s="404">
        <f>ROUND(F46-F$33,0)</f>
        <v>750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749.99999999999955</v>
      </c>
      <c r="R47" s="404">
        <f t="shared" si="15"/>
        <v>316.97352426726093</v>
      </c>
      <c r="S47" s="404">
        <f t="shared" si="15"/>
        <v>-277</v>
      </c>
      <c r="T47" s="294"/>
      <c r="U47" s="405">
        <f>U46-U$33</f>
        <v>7.2427087196632212E-2</v>
      </c>
      <c r="V47" s="405">
        <f>V46-V$33</f>
        <v>-1.0004580753821823E-2</v>
      </c>
      <c r="W47" s="405">
        <f>W46-W$33</f>
        <v>-6.2422506442810485E-2</v>
      </c>
      <c r="X47" s="294"/>
      <c r="Y47" s="404">
        <f>Y46-Y$33</f>
        <v>420.6892375636254</v>
      </c>
      <c r="Z47" s="404">
        <f>Z46-Z$33</f>
        <v>135.65761283188317</v>
      </c>
      <c r="AA47" s="404">
        <f>AA46-AA$33</f>
        <v>-283.93363793533047</v>
      </c>
      <c r="AB47" s="294"/>
      <c r="AC47" s="404">
        <f>IFERROR(AC46-AC$33,NA())</f>
        <v>272.41321246017833</v>
      </c>
      <c r="AD47" s="406">
        <f>AD46-AD$33</f>
        <v>0.68937582319401969</v>
      </c>
      <c r="AE47" s="407">
        <f t="shared" si="3"/>
        <v>81.629933744075288</v>
      </c>
      <c r="AF47" s="406">
        <f t="shared" si="3"/>
        <v>-0.19996355543141853</v>
      </c>
      <c r="AG47" s="405">
        <f>AF47/AF$33</f>
        <v>-3.5874365813863524E-2</v>
      </c>
      <c r="AH47" s="405"/>
      <c r="AI47" s="408">
        <f>IFERROR(AE47/$AE$33,NA())</f>
        <v>4.920040337268014E-2</v>
      </c>
      <c r="AJ47" s="289"/>
      <c r="AK47" s="751"/>
      <c r="AL47" s="750">
        <f>$AE46*U46-$AE$33*U$33</f>
        <v>151.67385546079902</v>
      </c>
      <c r="AM47" s="750">
        <f>$AE46*V46-$AE$33*V$33</f>
        <v>25.220210487827103</v>
      </c>
      <c r="AN47" s="750">
        <f>$AE46*W46-$AE$33*W$33</f>
        <v>-95.264132204550918</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60</v>
      </c>
      <c r="D48" s="261" t="str">
        <f>"Scenario " &amp; A48</f>
        <v>Scenario H</v>
      </c>
      <c r="E48" s="272" t="s">
        <v>2</v>
      </c>
      <c r="F48" s="262">
        <f>IF($C48="","",VLOOKUP($C48+$F$11*1000,DSS_Calc!$A:$JV,F$30,FALSE))</f>
        <v>1787.0236024844721</v>
      </c>
      <c r="G48" s="262" t="str">
        <f>IF($C48="","",VLOOKUP($C48+$F$11*1000,DSS_Calc!$A:$JV,G$30,FALSE))</f>
        <v>0/0/0.9/3.9</v>
      </c>
      <c r="H48" s="262">
        <f>IF($C48="","",VLOOKUP($C48+$F$11*1000,DSS_Calc!$A:$JV,H$30,FALSE))</f>
        <v>0</v>
      </c>
      <c r="I48" s="262">
        <f>IF($C48="","",VLOOKUP($C48+$F$11*1000,DSS_Calc!$A:$JV,I$30,FALSE))</f>
        <v>0</v>
      </c>
      <c r="J48" s="262">
        <f>IF($C48="","",VLOOKUP($C48+$F$11*1000,DSS_Calc!$A:$JV,J$30,FALSE))</f>
        <v>2617</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2311.5</v>
      </c>
      <c r="R48" s="262">
        <f>IF($C48="","",VLOOKUP($C48+$F$11*1000,DSS_Calc!$A:$JV,R$30,FALSE)*IF(V48=0,0,1))</f>
        <v>2988.5487162998893</v>
      </c>
      <c r="S48" s="262">
        <f>IF($C48="","",VLOOKUP($C48+$F$11*1000,DSS_Calc!$A:$JV,S$30,FALSE)*IF(W48=0,0,1))</f>
        <v>3820.2164157747857</v>
      </c>
      <c r="T48" s="294" t="s">
        <v>2</v>
      </c>
      <c r="U48" s="263">
        <f>IF($C48="","",VLOOKUP($C48+$F$11*1000,DSS_Calc!$A:$JV,U$30,FALSE))</f>
        <v>0.36478676735615229</v>
      </c>
      <c r="V48" s="263">
        <f>IF($C48="","",VLOOKUP($C48+$F$11*1000,DSS_Calc!$A:$JV,V$30,FALSE))</f>
        <v>0.52548527593445715</v>
      </c>
      <c r="W48" s="263">
        <f>IF($C48="","",VLOOKUP($C48+$F$11*1000,DSS_Calc!$A:$JV,W$30,FALSE))</f>
        <v>0.10972795670939053</v>
      </c>
      <c r="X48" s="294" t="s">
        <v>2</v>
      </c>
      <c r="Y48" s="262">
        <f>IF(U48=0,0,U48*Q48)</f>
        <v>843.204612743746</v>
      </c>
      <c r="Z48" s="262">
        <f>IF(V48=0,0,V48*R48)</f>
        <v>1570.438346828415</v>
      </c>
      <c r="AA48" s="262">
        <f>IF(W48=0,0,W48*S48)</f>
        <v>419.18454149063876</v>
      </c>
      <c r="AB48" s="294" t="s">
        <v>2</v>
      </c>
      <c r="AC48" s="262">
        <f>SUM(Y48:AA48)</f>
        <v>2832.8275010627999</v>
      </c>
      <c r="AD48" s="264">
        <f>AC48*AE48/1000/1000</f>
        <v>4.8705203847640774</v>
      </c>
      <c r="AE48" s="265">
        <f>IF($C48="","",VLOOKUP($C48+$F$11*1000,DSS_Calc!$A:$JV,AE$30,FALSE))</f>
        <v>1719.3141421201224</v>
      </c>
      <c r="AF48" s="264">
        <f>IF($C48="","",VLOOKUP($C48+$F$11*1000,DSS_Calc!$A:$JV,AF$30,FALSE))</f>
        <v>5.4376275543171158</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+500 CC, 0/0/0.9/3.9,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1.9755922933808177</v>
      </c>
      <c r="B49" s="402"/>
      <c r="C49" s="564">
        <f>AI49/(AC49/(VLOOKUP($C48+$F$11*1000,DSS_Calc!$A:$JV,DSS_Calc!BX$92,FALSE)-$AC$33))</f>
        <v>3.1958846844098927</v>
      </c>
      <c r="D49" s="266" t="s">
        <v>141</v>
      </c>
      <c r="F49" s="267">
        <f>ROUND(F48-F$33,0)</f>
        <v>500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499.99999999999955</v>
      </c>
      <c r="R49" s="267">
        <f t="shared" si="17"/>
        <v>316.93766015841129</v>
      </c>
      <c r="S49" s="267">
        <f t="shared" si="17"/>
        <v>-277</v>
      </c>
      <c r="T49" s="294"/>
      <c r="U49" s="268">
        <f>U48-U$33</f>
        <v>5.12304290768828E-2</v>
      </c>
      <c r="V49" s="268">
        <f>V48-V$33</f>
        <v>3.1793546783422943E-3</v>
      </c>
      <c r="W49" s="268">
        <f>W48-W$33</f>
        <v>-5.4409783755225177E-2</v>
      </c>
      <c r="X49" s="294"/>
      <c r="Y49" s="267">
        <f>Y48-Y$33</f>
        <v>275.19730595084923</v>
      </c>
      <c r="Z49" s="267">
        <f>Z48-Z$33</f>
        <v>175.04007291241828</v>
      </c>
      <c r="AA49" s="267">
        <f>AA48-AA$33</f>
        <v>-253.32330318916598</v>
      </c>
      <c r="AB49" s="294"/>
      <c r="AC49" s="267">
        <f>IFERROR(AC48-AC$33,NA())</f>
        <v>196.9140756741017</v>
      </c>
      <c r="AD49" s="269">
        <f>AD48-AD$33</f>
        <v>0.49719367360388667</v>
      </c>
      <c r="AE49" s="270">
        <f t="shared" si="3"/>
        <v>60.182749929087549</v>
      </c>
      <c r="AF49" s="269">
        <f t="shared" si="3"/>
        <v>-0.13636799640404362</v>
      </c>
      <c r="AG49" s="268">
        <f>AF49/AF$33</f>
        <v>-2.4465035029746379E-2</v>
      </c>
      <c r="AH49" s="268"/>
      <c r="AI49" s="301">
        <f>IFERROR(AE49/$AE$33,NA())</f>
        <v>3.6273649098767714E-2</v>
      </c>
      <c r="AJ49" s="289"/>
      <c r="AK49" s="751"/>
      <c r="AL49" s="750">
        <f>$AE48*U48-$AE$33*U$33</f>
        <v>106.95188391410818</v>
      </c>
      <c r="AM49" s="750">
        <f>$AE48*V48-$AE$33*V$33</f>
        <v>36.900116106728092</v>
      </c>
      <c r="AN49" s="750">
        <f>$AE48*W48-$AE$33*W$33</f>
        <v>-83.669250091748893</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65</v>
      </c>
      <c r="D50" s="396" t="str">
        <f>"Scenario " &amp; A50</f>
        <v>Scenario I</v>
      </c>
      <c r="E50" s="272" t="s">
        <v>2</v>
      </c>
      <c r="F50" s="397">
        <f>IF($C50="","",VLOOKUP($C50+$F$11*1000,DSS_Calc!$A:$JV,F$30,FALSE))</f>
        <v>1787.0236024844721</v>
      </c>
      <c r="G50" s="397" t="str">
        <f>IF($C50="","",VLOOKUP($C50+$F$11*1000,DSS_Calc!$A:$JV,G$30,FALSE))</f>
        <v>0/0.9/1.9/3.9</v>
      </c>
      <c r="H50" s="397">
        <f>IF($C50="","",VLOOKUP($C50+$F$11*1000,DSS_Calc!$A:$JV,H$30,FALSE))</f>
        <v>0</v>
      </c>
      <c r="I50" s="397">
        <f>IF($C50="","",VLOOKUP($C50+$F$11*1000,DSS_Calc!$A:$JV,I$30,FALSE))</f>
        <v>500</v>
      </c>
      <c r="J50" s="397">
        <f>IF($C50="","",VLOOKUP($C50+$F$11*1000,DSS_Calc!$A:$JV,J$30,FALSE))</f>
        <v>2617</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2311.5</v>
      </c>
      <c r="R50" s="397">
        <f>IF($C50="","",VLOOKUP($C50+$F$11*1000,DSS_Calc!$A:$JV,R$30,FALSE)*IF(V50=0,0,1))</f>
        <v>3172.199849176207</v>
      </c>
      <c r="S50" s="397">
        <f>IF($C50="","",VLOOKUP($C50+$F$11*1000,DSS_Calc!$A:$JV,S$30,FALSE)*IF(W50=0,0,1))</f>
        <v>3820.2164157747857</v>
      </c>
      <c r="T50" s="294" t="s">
        <v>2</v>
      </c>
      <c r="U50" s="398">
        <f>IF($C50="","",VLOOKUP($C50+$F$11*1000,DSS_Calc!$A:$JV,U$30,FALSE))</f>
        <v>0.35846506189731642</v>
      </c>
      <c r="V50" s="398">
        <f>IF($C50="","",VLOOKUP($C50+$F$11*1000,DSS_Calc!$A:$JV,V$30,FALSE))</f>
        <v>0.53306893683231094</v>
      </c>
      <c r="W50" s="398">
        <f>IF($C50="","",VLOOKUP($C50+$F$11*1000,DSS_Calc!$A:$JV,W$30,FALSE))</f>
        <v>0.1084660012703727</v>
      </c>
      <c r="X50" s="294" t="s">
        <v>2</v>
      </c>
      <c r="Y50" s="397">
        <f>IF(U50=0,0,U50*Q50)</f>
        <v>828.59199057564695</v>
      </c>
      <c r="Z50" s="397">
        <f>IF(V50=0,0,V50*R50)</f>
        <v>1691.0012010199778</v>
      </c>
      <c r="AA50" s="397">
        <f>IF(W50=0,0,W50*S50)</f>
        <v>414.36359860652658</v>
      </c>
      <c r="AB50" s="294" t="s">
        <v>2</v>
      </c>
      <c r="AC50" s="397">
        <f>SUM(Y50:AA50)</f>
        <v>2933.9567902021513</v>
      </c>
      <c r="AD50" s="399">
        <f>AC50*AE50/1000/1000</f>
        <v>5.1090167260593082</v>
      </c>
      <c r="AE50" s="400">
        <f>IF($C50="","",VLOOKUP($C50+$F$11*1000,DSS_Calc!$A:$JV,AE$30,FALSE))</f>
        <v>1741.3401394051525</v>
      </c>
      <c r="AF50" s="399">
        <f>IF($C50="","",VLOOKUP($C50+$F$11*1000,DSS_Calc!$A:$JV,AF$30,FALSE))</f>
        <v>5.3311880797442841</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+500 CC, +500 APR Cash,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2.0662514750145453</v>
      </c>
      <c r="B51" s="402"/>
      <c r="C51" s="564">
        <f>AI51/(AC51/(VLOOKUP($C50+$F$11*1000,DSS_Calc!$A:$JV,DSS_Calc!BX$92,FALSE)-$AC$33))</f>
        <v>2.8842599917834368</v>
      </c>
      <c r="D51" s="403" t="s">
        <v>141</v>
      </c>
      <c r="F51" s="404">
        <f>ROUND(F50-F$33,0)</f>
        <v>500</v>
      </c>
      <c r="G51" s="404"/>
      <c r="H51" s="404"/>
      <c r="I51" s="404">
        <f t="shared" ref="I51:O51" si="18">ROUND(I50-I$33,0)</f>
        <v>500</v>
      </c>
      <c r="J51" s="404">
        <f t="shared" si="18"/>
        <v>-360</v>
      </c>
      <c r="K51" s="404">
        <f t="shared" si="18"/>
        <v>0</v>
      </c>
      <c r="L51" s="404">
        <f t="shared" si="18"/>
        <v>0</v>
      </c>
      <c r="M51" s="404">
        <f t="shared" si="18"/>
        <v>0</v>
      </c>
      <c r="N51" s="404">
        <f t="shared" si="18"/>
        <v>0</v>
      </c>
      <c r="O51" s="404">
        <f t="shared" si="18"/>
        <v>0</v>
      </c>
      <c r="P51" s="294"/>
      <c r="Q51" s="404">
        <f t="shared" ref="Q51:S51" si="19">Q50-Q$33</f>
        <v>499.99999999999955</v>
      </c>
      <c r="R51" s="404">
        <f t="shared" si="19"/>
        <v>500.58879303472895</v>
      </c>
      <c r="S51" s="404">
        <f t="shared" si="19"/>
        <v>-277</v>
      </c>
      <c r="T51" s="294"/>
      <c r="U51" s="405">
        <f>U50-U$33</f>
        <v>4.4908723618046931E-2</v>
      </c>
      <c r="V51" s="405">
        <f>V50-V$33</f>
        <v>1.0763015576196078E-2</v>
      </c>
      <c r="W51" s="405">
        <f>W50-W$33</f>
        <v>-5.5671739194243008E-2</v>
      </c>
      <c r="X51" s="294"/>
      <c r="Y51" s="404">
        <f>Y50-Y$33</f>
        <v>260.58468378275018</v>
      </c>
      <c r="Z51" s="404">
        <f>Z50-Z$33</f>
        <v>295.60292710398107</v>
      </c>
      <c r="AA51" s="404">
        <f>AA50-AA$33</f>
        <v>-258.14424607327817</v>
      </c>
      <c r="AB51" s="294"/>
      <c r="AC51" s="404">
        <f>IFERROR(AC50-AC$33,NA())</f>
        <v>298.04336481345308</v>
      </c>
      <c r="AD51" s="406">
        <f>AD50-AD$33</f>
        <v>0.73569001489911745</v>
      </c>
      <c r="AE51" s="407">
        <f t="shared" ref="AE51:AF61" si="20">AE50-AE$33</f>
        <v>82.208747214117693</v>
      </c>
      <c r="AF51" s="406">
        <f t="shared" si="20"/>
        <v>-0.24280747097687527</v>
      </c>
      <c r="AG51" s="405">
        <f>AF51/AF$33</f>
        <v>-4.3560757945969482E-2</v>
      </c>
      <c r="AH51" s="405"/>
      <c r="AI51" s="408">
        <f>IFERROR(AE51/$AE$33,NA())</f>
        <v>4.9549268732450129E-2</v>
      </c>
      <c r="AJ51" s="289"/>
      <c r="AK51" s="749"/>
      <c r="AL51" s="750">
        <f>$AE50*U50-$AE$33*U$33</f>
        <v>103.97843679654216</v>
      </c>
      <c r="AM51" s="750">
        <f>$AE50*V50-$AE$33*V$33</f>
        <v>61.680186492853863</v>
      </c>
      <c r="AN51" s="750">
        <f>$AE50*W50-$AE$33*W$33</f>
        <v>-83.449876075278354</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59</v>
      </c>
      <c r="D52" s="261" t="str">
        <f>"Scenario " &amp; A52</f>
        <v>Scenario J</v>
      </c>
      <c r="E52" s="272" t="s">
        <v>2</v>
      </c>
      <c r="F52" s="262">
        <f>IF($C52="","",VLOOKUP($C52+$F$11*1000,DSS_Calc!$A:$JV,F$30,FALSE))</f>
        <v>1537.0236024844721</v>
      </c>
      <c r="G52" s="262" t="str">
        <f>IF($C52="","",VLOOKUP($C52+$F$11*1000,DSS_Calc!$A:$JV,G$30,FALSE))</f>
        <v>0/0/0.9/3.9</v>
      </c>
      <c r="H52" s="262">
        <f>IF($C52="","",VLOOKUP($C52+$F$11*1000,DSS_Calc!$A:$JV,H$30,FALSE))</f>
        <v>0</v>
      </c>
      <c r="I52" s="262">
        <f>IF($C52="","",VLOOKUP($C52+$F$11*1000,DSS_Calc!$A:$JV,I$30,FALSE))</f>
        <v>0</v>
      </c>
      <c r="J52" s="262">
        <f>IF($C52="","",VLOOKUP($C52+$F$11*1000,DSS_Calc!$A:$JV,J$30,FALSE))</f>
        <v>2617</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2061.5</v>
      </c>
      <c r="R52" s="262">
        <f>IF($C52="","",VLOOKUP($C52+$F$11*1000,DSS_Calc!$A:$JV,R$30,FALSE)*IF(V52=0,0,1))</f>
        <v>2988.5055505233904</v>
      </c>
      <c r="S52" s="262">
        <f>IF($C52="","",VLOOKUP($C52+$F$11*1000,DSS_Calc!$A:$JV,S$30,FALSE)*IF(W52=0,0,1))</f>
        <v>3820.2164157747857</v>
      </c>
      <c r="T52" s="294" t="s">
        <v>2</v>
      </c>
      <c r="U52" s="263">
        <f>IF($C52="","",VLOOKUP($C52+$F$11*1000,DSS_Calc!$A:$JV,U$30,FALSE))</f>
        <v>0.34288107078341773</v>
      </c>
      <c r="V52" s="263">
        <f>IF($C52="","",VLOOKUP($C52+$F$11*1000,DSS_Calc!$A:$JV,V$30,FALSE))</f>
        <v>0.53867516145125105</v>
      </c>
      <c r="W52" s="263">
        <f>IF($C52="","",VLOOKUP($C52+$F$11*1000,DSS_Calc!$A:$JV,W$30,FALSE))</f>
        <v>0.11844376776533116</v>
      </c>
      <c r="X52" s="294" t="s">
        <v>2</v>
      </c>
      <c r="Y52" s="262">
        <f>IF(U52=0,0,U52*Q52)</f>
        <v>706.8493274200157</v>
      </c>
      <c r="Z52" s="262">
        <f>IF(V52=0,0,V52*R52)</f>
        <v>1609.8337099261473</v>
      </c>
      <c r="AA52" s="262">
        <f>IF(W52=0,0,W52*S52)</f>
        <v>452.4808259633345</v>
      </c>
      <c r="AB52" s="294" t="s">
        <v>2</v>
      </c>
      <c r="AC52" s="262">
        <f>SUM(Y52:AA52)</f>
        <v>2769.1638633094976</v>
      </c>
      <c r="AD52" s="264">
        <f>AC52*AE52/1000/1000</f>
        <v>4.7071451228030154</v>
      </c>
      <c r="AE52" s="265">
        <f>IF($C52="","",VLOOKUP($C52+$F$11*1000,DSS_Calc!$A:$JV,AE$30,FALSE))</f>
        <v>1699.8434744765834</v>
      </c>
      <c r="AF52" s="264">
        <f>IF($C52="","",VLOOKUP($C52+$F$11*1000,DSS_Calc!$A:$JV,AF$30,FALSE))</f>
        <v>5.4842664284213409</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+250 CC, 0/0/0.9/3.9, -360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1.9037903278833161</v>
      </c>
      <c r="B53" s="402"/>
      <c r="C53" s="564">
        <f>AI53/(AC53/(VLOOKUP($C52+$F$11*1000,DSS_Calc!$A:$JV,DSS_Calc!BX$92,FALSE)-$AC$33))</f>
        <v>3.1948502328430299</v>
      </c>
      <c r="D53" s="266" t="s">
        <v>141</v>
      </c>
      <c r="F53" s="267">
        <f>ROUND(F52-F$33,0)</f>
        <v>250</v>
      </c>
      <c r="G53" s="267"/>
      <c r="H53" s="267"/>
      <c r="I53" s="267">
        <f t="shared" ref="I53:O53" si="21">ROUND(I52-I$33,0)</f>
        <v>0</v>
      </c>
      <c r="J53" s="267">
        <f t="shared" si="21"/>
        <v>-360</v>
      </c>
      <c r="K53" s="267">
        <f t="shared" si="21"/>
        <v>0</v>
      </c>
      <c r="L53" s="267">
        <f t="shared" si="21"/>
        <v>0</v>
      </c>
      <c r="M53" s="267">
        <f t="shared" si="21"/>
        <v>0</v>
      </c>
      <c r="N53" s="267">
        <f t="shared" si="21"/>
        <v>0</v>
      </c>
      <c r="O53" s="267">
        <f t="shared" si="21"/>
        <v>0</v>
      </c>
      <c r="P53" s="294"/>
      <c r="Q53" s="267">
        <f t="shared" ref="Q53:S53" si="22">Q52-Q$33</f>
        <v>249.99999999999955</v>
      </c>
      <c r="R53" s="267">
        <f t="shared" si="22"/>
        <v>316.89449438191241</v>
      </c>
      <c r="S53" s="267">
        <f t="shared" si="22"/>
        <v>-277</v>
      </c>
      <c r="T53" s="294"/>
      <c r="U53" s="268">
        <f>U52-U$33</f>
        <v>2.9324732504148243E-2</v>
      </c>
      <c r="V53" s="268">
        <f>V52-V$33</f>
        <v>1.6369240195136192E-2</v>
      </c>
      <c r="W53" s="268">
        <f>W52-W$33</f>
        <v>-4.5693972699284546E-2</v>
      </c>
      <c r="X53" s="294"/>
      <c r="Y53" s="267">
        <f>Y52-Y$33</f>
        <v>138.84202062711893</v>
      </c>
      <c r="Z53" s="267">
        <f>Z52-Z$33</f>
        <v>214.43543601015062</v>
      </c>
      <c r="AA53" s="267">
        <f>AA52-AA$33</f>
        <v>-220.02701871647025</v>
      </c>
      <c r="AB53" s="294"/>
      <c r="AC53" s="267">
        <f>IFERROR(AC52-AC$33,NA())</f>
        <v>133.25043792079941</v>
      </c>
      <c r="AD53" s="269">
        <f>AD52-AD$33</f>
        <v>0.33381841164282466</v>
      </c>
      <c r="AE53" s="270">
        <f t="shared" si="20"/>
        <v>40.712082285548604</v>
      </c>
      <c r="AF53" s="269">
        <f t="shared" si="20"/>
        <v>-8.9729122299818442E-2</v>
      </c>
      <c r="AG53" s="268">
        <f>AF53/AF$33</f>
        <v>-1.6097810176437861E-2</v>
      </c>
      <c r="AH53" s="268"/>
      <c r="AI53" s="301">
        <f>IFERROR(AE53/$AE$33,NA())</f>
        <v>2.4538190571986331E-2</v>
      </c>
      <c r="AJ53" s="289"/>
      <c r="AK53" s="749"/>
      <c r="AL53" s="750">
        <f>$AE52*U52-$AE$33*U$33</f>
        <v>62.612986633128685</v>
      </c>
      <c r="AM53" s="750">
        <f>$AE52*V52-$AE$33*V$33</f>
        <v>49.089307772250208</v>
      </c>
      <c r="AN53" s="750">
        <f>$AE52*W52-$AE$33*W$33</f>
        <v>-70.990212119830517</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83</v>
      </c>
      <c r="D54" s="396" t="str">
        <f>"Scenario " &amp; A54</f>
        <v>Scenario K</v>
      </c>
      <c r="E54" s="272" t="s">
        <v>2</v>
      </c>
      <c r="F54" s="397">
        <f>IF($C54="","",VLOOKUP($C54+$F$11*1000,DSS_Calc!$A:$JV,F$30,FALSE))</f>
        <v>1537.0236024844721</v>
      </c>
      <c r="G54" s="397" t="str">
        <f>IF($C54="","",VLOOKUP($C54+$F$11*1000,DSS_Calc!$A:$JV,G$30,FALSE))</f>
        <v>0.9/1.9/2.9/3.9</v>
      </c>
      <c r="H54" s="397">
        <f>IF($C54="","",VLOOKUP($C54+$F$11*1000,DSS_Calc!$A:$JV,H$30,FALSE))</f>
        <v>0</v>
      </c>
      <c r="I54" s="397">
        <f>IF($C54="","",VLOOKUP($C54+$F$11*1000,DSS_Calc!$A:$JV,I$30,FALSE))</f>
        <v>0</v>
      </c>
      <c r="J54" s="397">
        <f>IF($C54="","",VLOOKUP($C54+$F$11*1000,DSS_Calc!$A:$JV,J$30,FALSE))</f>
        <v>2617</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2061.5</v>
      </c>
      <c r="R54" s="397">
        <f>IF($C54="","",VLOOKUP($C54+$F$11*1000,DSS_Calc!$A:$JV,R$30,FALSE)*IF(V54=0,0,1))</f>
        <v>2290.7619746823921</v>
      </c>
      <c r="S54" s="397">
        <f>IF($C54="","",VLOOKUP($C54+$F$11*1000,DSS_Calc!$A:$JV,S$30,FALSE)*IF(W54=0,0,1))</f>
        <v>3820.2164157747857</v>
      </c>
      <c r="T54" s="294" t="s">
        <v>2</v>
      </c>
      <c r="U54" s="398">
        <f>IF($C54="","",VLOOKUP($C54+$F$11*1000,DSS_Calc!$A:$JV,U$30,FALSE))</f>
        <v>0.37914296266508124</v>
      </c>
      <c r="V54" s="398">
        <f>IF($C54="","",VLOOKUP($C54+$F$11*1000,DSS_Calc!$A:$JV,V$30,FALSE))</f>
        <v>0.49338910776538497</v>
      </c>
      <c r="W54" s="398">
        <f>IF($C54="","",VLOOKUP($C54+$F$11*1000,DSS_Calc!$A:$JV,W$30,FALSE))</f>
        <v>0.12746792956953376</v>
      </c>
      <c r="X54" s="294" t="s">
        <v>2</v>
      </c>
      <c r="Y54" s="397">
        <f>IF(U54=0,0,U54*Q54)</f>
        <v>781.60321753406492</v>
      </c>
      <c r="Z54" s="397">
        <f>IF(V54=0,0,V54*R54)</f>
        <v>1130.2370067914169</v>
      </c>
      <c r="AA54" s="397">
        <f>IF(W54=0,0,W54*S54)</f>
        <v>486.95507702635706</v>
      </c>
      <c r="AB54" s="294" t="s">
        <v>2</v>
      </c>
      <c r="AC54" s="397">
        <f>SUM(Y54:AA54)</f>
        <v>2398.795301351839</v>
      </c>
      <c r="AD54" s="399">
        <f>AC54*AE54/1000/1000</f>
        <v>3.853905730042678</v>
      </c>
      <c r="AE54" s="400">
        <f>IF($C54="","",VLOOKUP($C54+$F$11*1000,DSS_Calc!$A:$JV,AE$30,FALSE))</f>
        <v>1606.6004997887117</v>
      </c>
      <c r="AF54" s="399">
        <f>IF($C54="","",VLOOKUP($C54+$F$11*1000,DSS_Calc!$A:$JV,AF$30,FALSE))</f>
        <v>5.7784675664405434</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0.9/1.9/2.9/3.9, -360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4.2770592335279316</v>
      </c>
      <c r="B55" s="402"/>
      <c r="C55" s="564">
        <f>AI55/(AC55/(VLOOKUP($C54+$F$11*1000,DSS_Calc!$A:$JV,DSS_Calc!BX$92,FALSE)-$AC$33))</f>
        <v>2.3165723154442084</v>
      </c>
      <c r="D55" s="403" t="s">
        <v>141</v>
      </c>
      <c r="F55" s="404">
        <f>ROUND(F54-F$33,0)</f>
        <v>250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249.99999999999955</v>
      </c>
      <c r="R55" s="404">
        <f t="shared" si="24"/>
        <v>-380.84908145908594</v>
      </c>
      <c r="S55" s="404">
        <f t="shared" si="24"/>
        <v>-277</v>
      </c>
      <c r="T55" s="294"/>
      <c r="U55" s="405">
        <f>U54-U$33</f>
        <v>6.5586624385811754E-2</v>
      </c>
      <c r="V55" s="405">
        <f>V54-V$33</f>
        <v>-2.8916813490729887E-2</v>
      </c>
      <c r="W55" s="405">
        <f>W54-W$33</f>
        <v>-3.666981089508195E-2</v>
      </c>
      <c r="X55" s="294"/>
      <c r="Y55" s="404">
        <f>Y54-Y$33</f>
        <v>213.59591074116815</v>
      </c>
      <c r="Z55" s="404">
        <f>Z54-Z$33</f>
        <v>-265.16126712457981</v>
      </c>
      <c r="AA55" s="404">
        <f>AA54-AA$33</f>
        <v>-185.55276765344769</v>
      </c>
      <c r="AB55" s="294"/>
      <c r="AC55" s="404">
        <f>IFERROR(AC54-AC$33,NA())</f>
        <v>-237.11812403685917</v>
      </c>
      <c r="AD55" s="406">
        <f>AD54-AD$33</f>
        <v>-0.51942098111751278</v>
      </c>
      <c r="AE55" s="407">
        <f t="shared" si="20"/>
        <v>-52.530892402323161</v>
      </c>
      <c r="AF55" s="406">
        <f t="shared" si="20"/>
        <v>0.204472015719384</v>
      </c>
      <c r="AG55" s="405">
        <f>AF55/AF$33</f>
        <v>3.6683203970790675E-2</v>
      </c>
      <c r="AH55" s="405"/>
      <c r="AI55" s="408">
        <f>IFERROR(AE55/$AE$33,NA())</f>
        <v>-3.1661683125018394E-2</v>
      </c>
      <c r="AJ55" s="289"/>
      <c r="AK55" s="749"/>
      <c r="AL55" s="750">
        <f>$AE54*U54-$AE$33*U$33</f>
        <v>88.900109249485013</v>
      </c>
      <c r="AM55" s="750">
        <f>$AE54*V54-$AE$33*V$33</f>
        <v>-73.894963157104826</v>
      </c>
      <c r="AN55" s="750">
        <f>$AE54*W54-$AE$33*W$33</f>
        <v>-67.536038494703348</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58"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58"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22"/>
      <c r="AK72" s="112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953" priority="233">
      <formula>IF(F$29="NO",TRUE,FALSE)</formula>
    </cfRule>
  </conditionalFormatting>
  <conditionalFormatting sqref="G33">
    <cfRule type="expression" dxfId="952" priority="232">
      <formula>IF($G$29="NO",TRUE,FALSE)</formula>
    </cfRule>
  </conditionalFormatting>
  <conditionalFormatting sqref="H33">
    <cfRule type="expression" dxfId="951" priority="231">
      <formula>IF($H$29="NO",TRUE,FALSE)</formula>
    </cfRule>
  </conditionalFormatting>
  <conditionalFormatting sqref="G33:I33">
    <cfRule type="expression" dxfId="950" priority="230">
      <formula>IF(G$29="NO",TRUE,FALSE)</formula>
    </cfRule>
  </conditionalFormatting>
  <conditionalFormatting sqref="Y33:AA33">
    <cfRule type="expression" dxfId="949" priority="229">
      <formula>IF(Y$29="NO",TRUE,FALSE)</formula>
    </cfRule>
  </conditionalFormatting>
  <conditionalFormatting sqref="AC33">
    <cfRule type="expression" dxfId="948" priority="228">
      <formula>IF(AC$29="NO",TRUE,FALSE)</formula>
    </cfRule>
  </conditionalFormatting>
  <conditionalFormatting sqref="AD33">
    <cfRule type="expression" dxfId="947" priority="227">
      <formula>IF(AD$29="NO",TRUE,FALSE)</formula>
    </cfRule>
  </conditionalFormatting>
  <conditionalFormatting sqref="AE33">
    <cfRule type="expression" dxfId="946" priority="226">
      <formula>IF(AE$29="NO",TRUE,FALSE)</formula>
    </cfRule>
  </conditionalFormatting>
  <conditionalFormatting sqref="U36:W36">
    <cfRule type="expression" dxfId="945" priority="225">
      <formula>IF(XDI$29="NO",TRUE,FALSE)</formula>
    </cfRule>
  </conditionalFormatting>
  <conditionalFormatting sqref="AC48:AE48 AC52:AF52 AC56:AF56 AC60:AF60 AC64:AF64 AC36:AF36 AC40:AF40 AC44:AF44">
    <cfRule type="expression" dxfId="944" priority="224">
      <formula>IF(XDR$29="NO",TRUE,FALSE)</formula>
    </cfRule>
  </conditionalFormatting>
  <conditionalFormatting sqref="Q36:S36">
    <cfRule type="expression" dxfId="943" priority="223">
      <formula>IF(XDD$29="NO",TRUE,FALSE)</formula>
    </cfRule>
  </conditionalFormatting>
  <conditionalFormatting sqref="Y46:AA46">
    <cfRule type="expression" dxfId="942" priority="222">
      <formula>IF(XDN$29="NO",TRUE,FALSE)</formula>
    </cfRule>
  </conditionalFormatting>
  <conditionalFormatting sqref="AC46">
    <cfRule type="expression" dxfId="941" priority="221">
      <formula>IF(XDR$29="NO",TRUE,FALSE)</formula>
    </cfRule>
  </conditionalFormatting>
  <conditionalFormatting sqref="AD46">
    <cfRule type="expression" dxfId="940" priority="220">
      <formula>IF(XDS$29="NO",TRUE,FALSE)</formula>
    </cfRule>
  </conditionalFormatting>
  <conditionalFormatting sqref="AE46">
    <cfRule type="expression" dxfId="939" priority="219">
      <formula>IF(XDT$29="NO",TRUE,FALSE)</formula>
    </cfRule>
  </conditionalFormatting>
  <conditionalFormatting sqref="Y46:AA46">
    <cfRule type="expression" dxfId="938" priority="218">
      <formula>IF(XDN$29="NO",TRUE,FALSE)</formula>
    </cfRule>
  </conditionalFormatting>
  <conditionalFormatting sqref="AC46">
    <cfRule type="expression" dxfId="937" priority="217">
      <formula>IF(XDR$29="NO",TRUE,FALSE)</formula>
    </cfRule>
  </conditionalFormatting>
  <conditionalFormatting sqref="AD46">
    <cfRule type="expression" dxfId="936" priority="216">
      <formula>IF(XDS$29="NO",TRUE,FALSE)</formula>
    </cfRule>
  </conditionalFormatting>
  <conditionalFormatting sqref="AE46">
    <cfRule type="expression" dxfId="935" priority="215">
      <formula>IF(XDT$29="NO",TRUE,FALSE)</formula>
    </cfRule>
  </conditionalFormatting>
  <conditionalFormatting sqref="AE54">
    <cfRule type="expression" dxfId="934" priority="201">
      <formula>IF(XDT$29="NO",TRUE,FALSE)</formula>
    </cfRule>
  </conditionalFormatting>
  <conditionalFormatting sqref="Y48:AA48">
    <cfRule type="expression" dxfId="933" priority="214">
      <formula>IF(XDN$29="NO",TRUE,FALSE)</formula>
    </cfRule>
  </conditionalFormatting>
  <conditionalFormatting sqref="Y50:AA50">
    <cfRule type="expression" dxfId="932" priority="213">
      <formula>IF(XDN$29="NO",TRUE,FALSE)</formula>
    </cfRule>
  </conditionalFormatting>
  <conditionalFormatting sqref="AC50">
    <cfRule type="expression" dxfId="931" priority="212">
      <formula>IF(XDR$29="NO",TRUE,FALSE)</formula>
    </cfRule>
  </conditionalFormatting>
  <conditionalFormatting sqref="AD50">
    <cfRule type="expression" dxfId="930" priority="211">
      <formula>IF(XDS$29="NO",TRUE,FALSE)</formula>
    </cfRule>
  </conditionalFormatting>
  <conditionalFormatting sqref="AE50">
    <cfRule type="expression" dxfId="929" priority="210">
      <formula>IF(XDT$29="NO",TRUE,FALSE)</formula>
    </cfRule>
  </conditionalFormatting>
  <conditionalFormatting sqref="Y50:AA50">
    <cfRule type="expression" dxfId="928" priority="209">
      <formula>IF(XDN$29="NO",TRUE,FALSE)</formula>
    </cfRule>
  </conditionalFormatting>
  <conditionalFormatting sqref="AC50">
    <cfRule type="expression" dxfId="927" priority="208">
      <formula>IF(XDR$29="NO",TRUE,FALSE)</formula>
    </cfRule>
  </conditionalFormatting>
  <conditionalFormatting sqref="AD50">
    <cfRule type="expression" dxfId="926" priority="207">
      <formula>IF(XDS$29="NO",TRUE,FALSE)</formula>
    </cfRule>
  </conditionalFormatting>
  <conditionalFormatting sqref="AE50">
    <cfRule type="expression" dxfId="925" priority="206">
      <formula>IF(XDT$29="NO",TRUE,FALSE)</formula>
    </cfRule>
  </conditionalFormatting>
  <conditionalFormatting sqref="AE58">
    <cfRule type="expression" dxfId="924" priority="192">
      <formula>IF(XDT$29="NO",TRUE,FALSE)</formula>
    </cfRule>
  </conditionalFormatting>
  <conditionalFormatting sqref="Y52:AA52">
    <cfRule type="expression" dxfId="923" priority="205">
      <formula>IF(XDN$29="NO",TRUE,FALSE)</formula>
    </cfRule>
  </conditionalFormatting>
  <conditionalFormatting sqref="Y54:AA54">
    <cfRule type="expression" dxfId="922" priority="204">
      <formula>IF(XDN$29="NO",TRUE,FALSE)</formula>
    </cfRule>
  </conditionalFormatting>
  <conditionalFormatting sqref="AC54">
    <cfRule type="expression" dxfId="921" priority="203">
      <formula>IF(XDR$29="NO",TRUE,FALSE)</formula>
    </cfRule>
  </conditionalFormatting>
  <conditionalFormatting sqref="AD54">
    <cfRule type="expression" dxfId="920" priority="202">
      <formula>IF(XDS$29="NO",TRUE,FALSE)</formula>
    </cfRule>
  </conditionalFormatting>
  <conditionalFormatting sqref="Y54:AA54">
    <cfRule type="expression" dxfId="919" priority="200">
      <formula>IF(XDN$29="NO",TRUE,FALSE)</formula>
    </cfRule>
  </conditionalFormatting>
  <conditionalFormatting sqref="AC54">
    <cfRule type="expression" dxfId="918" priority="199">
      <formula>IF(XDR$29="NO",TRUE,FALSE)</formula>
    </cfRule>
  </conditionalFormatting>
  <conditionalFormatting sqref="AD54">
    <cfRule type="expression" dxfId="917" priority="198">
      <formula>IF(XDS$29="NO",TRUE,FALSE)</formula>
    </cfRule>
  </conditionalFormatting>
  <conditionalFormatting sqref="AE54">
    <cfRule type="expression" dxfId="916" priority="197">
      <formula>IF(XDT$29="NO",TRUE,FALSE)</formula>
    </cfRule>
  </conditionalFormatting>
  <conditionalFormatting sqref="AE62">
    <cfRule type="expression" dxfId="915" priority="183">
      <formula>IF(XDT$29="NO",TRUE,FALSE)</formula>
    </cfRule>
  </conditionalFormatting>
  <conditionalFormatting sqref="Y56:AA56">
    <cfRule type="expression" dxfId="914" priority="196">
      <formula>IF(XDN$29="NO",TRUE,FALSE)</formula>
    </cfRule>
  </conditionalFormatting>
  <conditionalFormatting sqref="Y58:AA58">
    <cfRule type="expression" dxfId="913" priority="195">
      <formula>IF(XDN$29="NO",TRUE,FALSE)</formula>
    </cfRule>
  </conditionalFormatting>
  <conditionalFormatting sqref="AC58">
    <cfRule type="expression" dxfId="912" priority="194">
      <formula>IF(XDR$29="NO",TRUE,FALSE)</formula>
    </cfRule>
  </conditionalFormatting>
  <conditionalFormatting sqref="AD58">
    <cfRule type="expression" dxfId="911" priority="193">
      <formula>IF(XDS$29="NO",TRUE,FALSE)</formula>
    </cfRule>
  </conditionalFormatting>
  <conditionalFormatting sqref="Y58:AA58">
    <cfRule type="expression" dxfId="910" priority="191">
      <formula>IF(XDN$29="NO",TRUE,FALSE)</formula>
    </cfRule>
  </conditionalFormatting>
  <conditionalFormatting sqref="AC58">
    <cfRule type="expression" dxfId="909" priority="190">
      <formula>IF(XDR$29="NO",TRUE,FALSE)</formula>
    </cfRule>
  </conditionalFormatting>
  <conditionalFormatting sqref="AD58">
    <cfRule type="expression" dxfId="908" priority="189">
      <formula>IF(XDS$29="NO",TRUE,FALSE)</formula>
    </cfRule>
  </conditionalFormatting>
  <conditionalFormatting sqref="AE58">
    <cfRule type="expression" dxfId="907" priority="188">
      <formula>IF(XDT$29="NO",TRUE,FALSE)</formula>
    </cfRule>
  </conditionalFormatting>
  <conditionalFormatting sqref="Y60:AA60">
    <cfRule type="expression" dxfId="906" priority="187">
      <formula>IF(XDN$29="NO",TRUE,FALSE)</formula>
    </cfRule>
  </conditionalFormatting>
  <conditionalFormatting sqref="Y62:AA62">
    <cfRule type="expression" dxfId="905" priority="186">
      <formula>IF(XDN$29="NO",TRUE,FALSE)</formula>
    </cfRule>
  </conditionalFormatting>
  <conditionalFormatting sqref="AC62">
    <cfRule type="expression" dxfId="904" priority="185">
      <formula>IF(XDR$29="NO",TRUE,FALSE)</formula>
    </cfRule>
  </conditionalFormatting>
  <conditionalFormatting sqref="AD62">
    <cfRule type="expression" dxfId="903" priority="184">
      <formula>IF(XDS$29="NO",TRUE,FALSE)</formula>
    </cfRule>
  </conditionalFormatting>
  <conditionalFormatting sqref="Y62:AA62">
    <cfRule type="expression" dxfId="902" priority="182">
      <formula>IF(XDN$29="NO",TRUE,FALSE)</formula>
    </cfRule>
  </conditionalFormatting>
  <conditionalFormatting sqref="AC62">
    <cfRule type="expression" dxfId="901" priority="181">
      <formula>IF(XDR$29="NO",TRUE,FALSE)</formula>
    </cfRule>
  </conditionalFormatting>
  <conditionalFormatting sqref="AD62">
    <cfRule type="expression" dxfId="900" priority="180">
      <formula>IF(XDS$29="NO",TRUE,FALSE)</formula>
    </cfRule>
  </conditionalFormatting>
  <conditionalFormatting sqref="AE62">
    <cfRule type="expression" dxfId="899" priority="179">
      <formula>IF(XDT$29="NO",TRUE,FALSE)</formula>
    </cfRule>
  </conditionalFormatting>
  <conditionalFormatting sqref="Y64:AA64">
    <cfRule type="expression" dxfId="898" priority="178">
      <formula>IF(XDN$29="NO",TRUE,FALSE)</formula>
    </cfRule>
  </conditionalFormatting>
  <conditionalFormatting sqref="Q34:S34">
    <cfRule type="expression" dxfId="897" priority="177">
      <formula>IF(XDD$29="NO",TRUE,FALSE)</formula>
    </cfRule>
  </conditionalFormatting>
  <conditionalFormatting sqref="U34:W34">
    <cfRule type="expression" dxfId="896" priority="176">
      <formula>IF(XDI$29="NO",TRUE,FALSE)</formula>
    </cfRule>
  </conditionalFormatting>
  <conditionalFormatting sqref="Y34:AA34">
    <cfRule type="expression" dxfId="895" priority="175">
      <formula>IF(XDN$29="NO",TRUE,FALSE)</formula>
    </cfRule>
  </conditionalFormatting>
  <conditionalFormatting sqref="AC34">
    <cfRule type="expression" dxfId="894" priority="174">
      <formula>IF(XDR$29="NO",TRUE,FALSE)</formula>
    </cfRule>
  </conditionalFormatting>
  <conditionalFormatting sqref="AD34">
    <cfRule type="expression" dxfId="893" priority="173">
      <formula>IF(XDS$29="NO",TRUE,FALSE)</formula>
    </cfRule>
  </conditionalFormatting>
  <conditionalFormatting sqref="AE34">
    <cfRule type="expression" dxfId="892" priority="172">
      <formula>IF(XDT$29="NO",TRUE,FALSE)</formula>
    </cfRule>
  </conditionalFormatting>
  <conditionalFormatting sqref="Y38:AA38">
    <cfRule type="expression" dxfId="891" priority="160">
      <formula>IF(XDN$29="NO",TRUE,FALSE)</formula>
    </cfRule>
  </conditionalFormatting>
  <conditionalFormatting sqref="Q34:S34">
    <cfRule type="expression" dxfId="890" priority="171">
      <formula>IF(XDD$29="NO",TRUE,FALSE)</formula>
    </cfRule>
  </conditionalFormatting>
  <conditionalFormatting sqref="U34:W34">
    <cfRule type="expression" dxfId="889" priority="170">
      <formula>IF(XDI$29="NO",TRUE,FALSE)</formula>
    </cfRule>
  </conditionalFormatting>
  <conditionalFormatting sqref="Y34:AA34">
    <cfRule type="expression" dxfId="888" priority="169">
      <formula>IF(XDN$29="NO",TRUE,FALSE)</formula>
    </cfRule>
  </conditionalFormatting>
  <conditionalFormatting sqref="AC34">
    <cfRule type="expression" dxfId="887" priority="168">
      <formula>IF(XDR$29="NO",TRUE,FALSE)</formula>
    </cfRule>
  </conditionalFormatting>
  <conditionalFormatting sqref="AD34">
    <cfRule type="expression" dxfId="886" priority="167">
      <formula>IF(XDS$29="NO",TRUE,FALSE)</formula>
    </cfRule>
  </conditionalFormatting>
  <conditionalFormatting sqref="AE34">
    <cfRule type="expression" dxfId="885" priority="166">
      <formula>IF(XDT$29="NO",TRUE,FALSE)</formula>
    </cfRule>
  </conditionalFormatting>
  <conditionalFormatting sqref="AC42">
    <cfRule type="expression" dxfId="884" priority="154">
      <formula>IF(XDR$29="NO",TRUE,FALSE)</formula>
    </cfRule>
  </conditionalFormatting>
  <conditionalFormatting sqref="Y36:AA36">
    <cfRule type="expression" dxfId="883" priority="165">
      <formula>IF(XDN$29="NO",TRUE,FALSE)</formula>
    </cfRule>
  </conditionalFormatting>
  <conditionalFormatting sqref="Y38:AA38">
    <cfRule type="expression" dxfId="882" priority="164">
      <formula>IF(XDN$29="NO",TRUE,FALSE)</formula>
    </cfRule>
  </conditionalFormatting>
  <conditionalFormatting sqref="AC38">
    <cfRule type="expression" dxfId="881" priority="163">
      <formula>IF(XDR$29="NO",TRUE,FALSE)</formula>
    </cfRule>
  </conditionalFormatting>
  <conditionalFormatting sqref="AD38">
    <cfRule type="expression" dxfId="880" priority="162">
      <formula>IF(XDS$29="NO",TRUE,FALSE)</formula>
    </cfRule>
  </conditionalFormatting>
  <conditionalFormatting sqref="AE38">
    <cfRule type="expression" dxfId="879" priority="161">
      <formula>IF(XDT$29="NO",TRUE,FALSE)</formula>
    </cfRule>
  </conditionalFormatting>
  <conditionalFormatting sqref="Q46:S46">
    <cfRule type="expression" dxfId="878" priority="139">
      <formula>IF(XDD$29="NO",TRUE,FALSE)</formula>
    </cfRule>
  </conditionalFormatting>
  <conditionalFormatting sqref="AC38">
    <cfRule type="expression" dxfId="877" priority="159">
      <formula>IF(XDR$29="NO",TRUE,FALSE)</formula>
    </cfRule>
  </conditionalFormatting>
  <conditionalFormatting sqref="AD38">
    <cfRule type="expression" dxfId="876" priority="158">
      <formula>IF(XDS$29="NO",TRUE,FALSE)</formula>
    </cfRule>
  </conditionalFormatting>
  <conditionalFormatting sqref="AE38">
    <cfRule type="expression" dxfId="875" priority="157">
      <formula>IF(XDT$29="NO",TRUE,FALSE)</formula>
    </cfRule>
  </conditionalFormatting>
  <conditionalFormatting sqref="Y40:AA40">
    <cfRule type="expression" dxfId="874" priority="156">
      <formula>IF(XDN$29="NO",TRUE,FALSE)</formula>
    </cfRule>
  </conditionalFormatting>
  <conditionalFormatting sqref="Y42:AA42">
    <cfRule type="expression" dxfId="873" priority="155">
      <formula>IF(XDN$29="NO",TRUE,FALSE)</formula>
    </cfRule>
  </conditionalFormatting>
  <conditionalFormatting sqref="AD42">
    <cfRule type="expression" dxfId="872" priority="153">
      <formula>IF(XDS$29="NO",TRUE,FALSE)</formula>
    </cfRule>
  </conditionalFormatting>
  <conditionalFormatting sqref="AE42">
    <cfRule type="expression" dxfId="871" priority="152">
      <formula>IF(XDT$29="NO",TRUE,FALSE)</formula>
    </cfRule>
  </conditionalFormatting>
  <conditionalFormatting sqref="Y42:AA42">
    <cfRule type="expression" dxfId="870" priority="151">
      <formula>IF(XDN$29="NO",TRUE,FALSE)</formula>
    </cfRule>
  </conditionalFormatting>
  <conditionalFormatting sqref="AC42">
    <cfRule type="expression" dxfId="869" priority="150">
      <formula>IF(XDR$29="NO",TRUE,FALSE)</formula>
    </cfRule>
  </conditionalFormatting>
  <conditionalFormatting sqref="AD42">
    <cfRule type="expression" dxfId="868" priority="149">
      <formula>IF(XDS$29="NO",TRUE,FALSE)</formula>
    </cfRule>
  </conditionalFormatting>
  <conditionalFormatting sqref="AE42">
    <cfRule type="expression" dxfId="867" priority="148">
      <formula>IF(XDT$29="NO",TRUE,FALSE)</formula>
    </cfRule>
  </conditionalFormatting>
  <conditionalFormatting sqref="Y44:AA44">
    <cfRule type="expression" dxfId="866" priority="147">
      <formula>IF(XDN$29="NO",TRUE,FALSE)</formula>
    </cfRule>
  </conditionalFormatting>
  <conditionalFormatting sqref="J33">
    <cfRule type="expression" dxfId="865" priority="146">
      <formula>IF(J$29="NO",TRUE,FALSE)</formula>
    </cfRule>
  </conditionalFormatting>
  <conditionalFormatting sqref="K33">
    <cfRule type="expression" dxfId="864" priority="145">
      <formula>IF(K$29="NO",TRUE,FALSE)</formula>
    </cfRule>
  </conditionalFormatting>
  <conditionalFormatting sqref="L33">
    <cfRule type="expression" dxfId="863" priority="144">
      <formula>IF(L$29="NO",TRUE,FALSE)</formula>
    </cfRule>
  </conditionalFormatting>
  <conditionalFormatting sqref="N33">
    <cfRule type="expression" dxfId="862" priority="143">
      <formula>IF(N$29="NO",TRUE,FALSE)</formula>
    </cfRule>
  </conditionalFormatting>
  <conditionalFormatting sqref="AC68:AE68">
    <cfRule type="expression" dxfId="861" priority="142">
      <formula>IF(XDR$29="NO",TRUE,FALSE)</formula>
    </cfRule>
  </conditionalFormatting>
  <conditionalFormatting sqref="Y68:AA68">
    <cfRule type="expression" dxfId="860" priority="141">
      <formula>IF(XDN$29="NO",TRUE,FALSE)</formula>
    </cfRule>
  </conditionalFormatting>
  <conditionalFormatting sqref="Q48:S48">
    <cfRule type="expression" dxfId="859" priority="140">
      <formula>IF(XDD$29="NO",TRUE,FALSE)</formula>
    </cfRule>
  </conditionalFormatting>
  <conditionalFormatting sqref="Q46:S46">
    <cfRule type="expression" dxfId="858" priority="138">
      <formula>IF(XDD$29="NO",TRUE,FALSE)</formula>
    </cfRule>
  </conditionalFormatting>
  <conditionalFormatting sqref="Q52:S52">
    <cfRule type="expression" dxfId="857" priority="137">
      <formula>IF(XDD$29="NO",TRUE,FALSE)</formula>
    </cfRule>
  </conditionalFormatting>
  <conditionalFormatting sqref="Q50:S50">
    <cfRule type="expression" dxfId="856" priority="136">
      <formula>IF(XDD$29="NO",TRUE,FALSE)</formula>
    </cfRule>
  </conditionalFormatting>
  <conditionalFormatting sqref="Q50:S50">
    <cfRule type="expression" dxfId="855" priority="135">
      <formula>IF(XDD$29="NO",TRUE,FALSE)</formula>
    </cfRule>
  </conditionalFormatting>
  <conditionalFormatting sqref="Q64:S64">
    <cfRule type="expression" dxfId="854" priority="134">
      <formula>IF(XDD$29="NO",TRUE,FALSE)</formula>
    </cfRule>
  </conditionalFormatting>
  <conditionalFormatting sqref="Q68:S68">
    <cfRule type="expression" dxfId="853" priority="133">
      <formula>IF(XDD$29="NO",TRUE,FALSE)</formula>
    </cfRule>
  </conditionalFormatting>
  <conditionalFormatting sqref="U40:W40">
    <cfRule type="expression" dxfId="852" priority="132">
      <formula>IF(XDI$29="NO",TRUE,FALSE)</formula>
    </cfRule>
  </conditionalFormatting>
  <conditionalFormatting sqref="U38:W38">
    <cfRule type="expression" dxfId="851" priority="131">
      <formula>IF(XDI$29="NO",TRUE,FALSE)</formula>
    </cfRule>
  </conditionalFormatting>
  <conditionalFormatting sqref="U38:W38">
    <cfRule type="expression" dxfId="850" priority="130">
      <formula>IF(XDI$29="NO",TRUE,FALSE)</formula>
    </cfRule>
  </conditionalFormatting>
  <conditionalFormatting sqref="U44:W44">
    <cfRule type="expression" dxfId="849" priority="129">
      <formula>IF(XDI$29="NO",TRUE,FALSE)</formula>
    </cfRule>
  </conditionalFormatting>
  <conditionalFormatting sqref="U42:W42">
    <cfRule type="expression" dxfId="848" priority="128">
      <formula>IF(XDI$29="NO",TRUE,FALSE)</formula>
    </cfRule>
  </conditionalFormatting>
  <conditionalFormatting sqref="U42:W42">
    <cfRule type="expression" dxfId="847" priority="127">
      <formula>IF(XDI$29="NO",TRUE,FALSE)</formula>
    </cfRule>
  </conditionalFormatting>
  <conditionalFormatting sqref="U48:W48">
    <cfRule type="expression" dxfId="846" priority="126">
      <formula>IF(XDI$29="NO",TRUE,FALSE)</formula>
    </cfRule>
  </conditionalFormatting>
  <conditionalFormatting sqref="U46:W46">
    <cfRule type="expression" dxfId="845" priority="125">
      <formula>IF(XDI$29="NO",TRUE,FALSE)</formula>
    </cfRule>
  </conditionalFormatting>
  <conditionalFormatting sqref="U46:W46">
    <cfRule type="expression" dxfId="844" priority="124">
      <formula>IF(XDI$29="NO",TRUE,FALSE)</formula>
    </cfRule>
  </conditionalFormatting>
  <conditionalFormatting sqref="U52:W52">
    <cfRule type="expression" dxfId="843" priority="123">
      <formula>IF(XDI$29="NO",TRUE,FALSE)</formula>
    </cfRule>
  </conditionalFormatting>
  <conditionalFormatting sqref="U50:W50">
    <cfRule type="expression" dxfId="842" priority="122">
      <formula>IF(XDI$29="NO",TRUE,FALSE)</formula>
    </cfRule>
  </conditionalFormatting>
  <conditionalFormatting sqref="U50:W50">
    <cfRule type="expression" dxfId="841" priority="121">
      <formula>IF(XDI$29="NO",TRUE,FALSE)</formula>
    </cfRule>
  </conditionalFormatting>
  <conditionalFormatting sqref="U56:W56">
    <cfRule type="expression" dxfId="840" priority="120">
      <formula>IF(XDI$29="NO",TRUE,FALSE)</formula>
    </cfRule>
  </conditionalFormatting>
  <conditionalFormatting sqref="U54:W54">
    <cfRule type="expression" dxfId="839" priority="119">
      <formula>IF(XDI$29="NO",TRUE,FALSE)</formula>
    </cfRule>
  </conditionalFormatting>
  <conditionalFormatting sqref="U54:W54">
    <cfRule type="expression" dxfId="838" priority="118">
      <formula>IF(XDI$29="NO",TRUE,FALSE)</formula>
    </cfRule>
  </conditionalFormatting>
  <conditionalFormatting sqref="U60:W60">
    <cfRule type="expression" dxfId="837" priority="117">
      <formula>IF(XDI$29="NO",TRUE,FALSE)</formula>
    </cfRule>
  </conditionalFormatting>
  <conditionalFormatting sqref="U58:W58">
    <cfRule type="expression" dxfId="836" priority="116">
      <formula>IF(XDI$29="NO",TRUE,FALSE)</formula>
    </cfRule>
  </conditionalFormatting>
  <conditionalFormatting sqref="U58:W58">
    <cfRule type="expression" dxfId="835" priority="115">
      <formula>IF(XDI$29="NO",TRUE,FALSE)</formula>
    </cfRule>
  </conditionalFormatting>
  <conditionalFormatting sqref="U64:W64">
    <cfRule type="expression" dxfId="834" priority="114">
      <formula>IF(XDI$29="NO",TRUE,FALSE)</formula>
    </cfRule>
  </conditionalFormatting>
  <conditionalFormatting sqref="U62:W62">
    <cfRule type="expression" dxfId="833" priority="113">
      <formula>IF(XDI$29="NO",TRUE,FALSE)</formula>
    </cfRule>
  </conditionalFormatting>
  <conditionalFormatting sqref="U62:W62">
    <cfRule type="expression" dxfId="832" priority="112">
      <formula>IF(XDI$29="NO",TRUE,FALSE)</formula>
    </cfRule>
  </conditionalFormatting>
  <conditionalFormatting sqref="U68:W68">
    <cfRule type="expression" dxfId="831" priority="111">
      <formula>IF(XDI$29="NO",TRUE,FALSE)</formula>
    </cfRule>
  </conditionalFormatting>
  <conditionalFormatting sqref="AF33">
    <cfRule type="expression" dxfId="830" priority="110">
      <formula>IF(AF$29="NO",TRUE,FALSE)</formula>
    </cfRule>
  </conditionalFormatting>
  <conditionalFormatting sqref="AF48">
    <cfRule type="expression" dxfId="829" priority="109">
      <formula>IF(XDU$29="NO",TRUE,FALSE)</formula>
    </cfRule>
  </conditionalFormatting>
  <conditionalFormatting sqref="AF46">
    <cfRule type="expression" dxfId="828" priority="108">
      <formula>IF(XDU$29="NO",TRUE,FALSE)</formula>
    </cfRule>
  </conditionalFormatting>
  <conditionalFormatting sqref="AF46">
    <cfRule type="expression" dxfId="827" priority="107">
      <formula>IF(XDU$29="NO",TRUE,FALSE)</formula>
    </cfRule>
  </conditionalFormatting>
  <conditionalFormatting sqref="AF50">
    <cfRule type="expression" dxfId="826" priority="106">
      <formula>IF(XDU$29="NO",TRUE,FALSE)</formula>
    </cfRule>
  </conditionalFormatting>
  <conditionalFormatting sqref="AF50">
    <cfRule type="expression" dxfId="825" priority="105">
      <formula>IF(XDU$29="NO",TRUE,FALSE)</formula>
    </cfRule>
  </conditionalFormatting>
  <conditionalFormatting sqref="AF54">
    <cfRule type="expression" dxfId="824" priority="104">
      <formula>IF(XDU$29="NO",TRUE,FALSE)</formula>
    </cfRule>
  </conditionalFormatting>
  <conditionalFormatting sqref="AF54">
    <cfRule type="expression" dxfId="823" priority="103">
      <formula>IF(XDU$29="NO",TRUE,FALSE)</formula>
    </cfRule>
  </conditionalFormatting>
  <conditionalFormatting sqref="AF58">
    <cfRule type="expression" dxfId="822" priority="102">
      <formula>IF(XDU$29="NO",TRUE,FALSE)</formula>
    </cfRule>
  </conditionalFormatting>
  <conditionalFormatting sqref="AF58">
    <cfRule type="expression" dxfId="821" priority="101">
      <formula>IF(XDU$29="NO",TRUE,FALSE)</formula>
    </cfRule>
  </conditionalFormatting>
  <conditionalFormatting sqref="AF62">
    <cfRule type="expression" dxfId="820" priority="100">
      <formula>IF(XDU$29="NO",TRUE,FALSE)</formula>
    </cfRule>
  </conditionalFormatting>
  <conditionalFormatting sqref="AF62">
    <cfRule type="expression" dxfId="819" priority="99">
      <formula>IF(XDU$29="NO",TRUE,FALSE)</formula>
    </cfRule>
  </conditionalFormatting>
  <conditionalFormatting sqref="AF34">
    <cfRule type="expression" dxfId="818" priority="98">
      <formula>IF(XDU$29="NO",TRUE,FALSE)</formula>
    </cfRule>
  </conditionalFormatting>
  <conditionalFormatting sqref="AF34">
    <cfRule type="expression" dxfId="817" priority="97">
      <formula>IF(XDU$29="NO",TRUE,FALSE)</formula>
    </cfRule>
  </conditionalFormatting>
  <conditionalFormatting sqref="AF38">
    <cfRule type="expression" dxfId="816" priority="96">
      <formula>IF(XDU$29="NO",TRUE,FALSE)</formula>
    </cfRule>
  </conditionalFormatting>
  <conditionalFormatting sqref="AF38">
    <cfRule type="expression" dxfId="815" priority="95">
      <formula>IF(XDU$29="NO",TRUE,FALSE)</formula>
    </cfRule>
  </conditionalFormatting>
  <conditionalFormatting sqref="AF42">
    <cfRule type="expression" dxfId="814" priority="94">
      <formula>IF(XDU$29="NO",TRUE,FALSE)</formula>
    </cfRule>
  </conditionalFormatting>
  <conditionalFormatting sqref="AF42">
    <cfRule type="expression" dxfId="813" priority="93">
      <formula>IF(XDU$29="NO",TRUE,FALSE)</formula>
    </cfRule>
  </conditionalFormatting>
  <conditionalFormatting sqref="AF68">
    <cfRule type="expression" dxfId="812" priority="92">
      <formula>IF(XDU$29="NO",TRUE,FALSE)</formula>
    </cfRule>
  </conditionalFormatting>
  <conditionalFormatting sqref="AE66">
    <cfRule type="expression" dxfId="811" priority="88">
      <formula>IF(XDT$29="NO",TRUE,FALSE)</formula>
    </cfRule>
  </conditionalFormatting>
  <conditionalFormatting sqref="Y66:AA66">
    <cfRule type="expression" dxfId="810" priority="91">
      <formula>IF(XDN$29="NO",TRUE,FALSE)</formula>
    </cfRule>
  </conditionalFormatting>
  <conditionalFormatting sqref="AC66">
    <cfRule type="expression" dxfId="809" priority="90">
      <formula>IF(XDR$29="NO",TRUE,FALSE)</formula>
    </cfRule>
  </conditionalFormatting>
  <conditionalFormatting sqref="AD66">
    <cfRule type="expression" dxfId="808" priority="89">
      <formula>IF(XDS$29="NO",TRUE,FALSE)</formula>
    </cfRule>
  </conditionalFormatting>
  <conditionalFormatting sqref="Y66:AA66">
    <cfRule type="expression" dxfId="807" priority="87">
      <formula>IF(XDN$29="NO",TRUE,FALSE)</formula>
    </cfRule>
  </conditionalFormatting>
  <conditionalFormatting sqref="AC66">
    <cfRule type="expression" dxfId="806" priority="86">
      <formula>IF(XDR$29="NO",TRUE,FALSE)</formula>
    </cfRule>
  </conditionalFormatting>
  <conditionalFormatting sqref="AD66">
    <cfRule type="expression" dxfId="805" priority="85">
      <formula>IF(XDS$29="NO",TRUE,FALSE)</formula>
    </cfRule>
  </conditionalFormatting>
  <conditionalFormatting sqref="AE66">
    <cfRule type="expression" dxfId="804" priority="84">
      <formula>IF(XDT$29="NO",TRUE,FALSE)</formula>
    </cfRule>
  </conditionalFormatting>
  <conditionalFormatting sqref="Q66:S66">
    <cfRule type="expression" dxfId="803" priority="83">
      <formula>IF(XDD$29="NO",TRUE,FALSE)</formula>
    </cfRule>
  </conditionalFormatting>
  <conditionalFormatting sqref="Q66:S66">
    <cfRule type="expression" dxfId="802" priority="82">
      <formula>IF(XDD$29="NO",TRUE,FALSE)</formula>
    </cfRule>
  </conditionalFormatting>
  <conditionalFormatting sqref="U66:W66">
    <cfRule type="expression" dxfId="801" priority="81">
      <formula>IF(XDI$29="NO",TRUE,FALSE)</formula>
    </cfRule>
  </conditionalFormatting>
  <conditionalFormatting sqref="U66:W66">
    <cfRule type="expression" dxfId="800" priority="80">
      <formula>IF(XDI$29="NO",TRUE,FALSE)</formula>
    </cfRule>
  </conditionalFormatting>
  <conditionalFormatting sqref="AF66">
    <cfRule type="expression" dxfId="799" priority="79">
      <formula>IF(XDU$29="NO",TRUE,FALSE)</formula>
    </cfRule>
  </conditionalFormatting>
  <conditionalFormatting sqref="AF66">
    <cfRule type="expression" dxfId="798" priority="78">
      <formula>IF(XDU$29="NO",TRUE,FALSE)</formula>
    </cfRule>
  </conditionalFormatting>
  <conditionalFormatting sqref="AE70">
    <cfRule type="expression" dxfId="797" priority="74">
      <formula>IF(XDT$29="NO",TRUE,FALSE)</formula>
    </cfRule>
  </conditionalFormatting>
  <conditionalFormatting sqref="Y70:AA70">
    <cfRule type="expression" dxfId="796" priority="77">
      <formula>IF(XDN$29="NO",TRUE,FALSE)</formula>
    </cfRule>
  </conditionalFormatting>
  <conditionalFormatting sqref="AC70">
    <cfRule type="expression" dxfId="795" priority="76">
      <formula>IF(XDR$29="NO",TRUE,FALSE)</formula>
    </cfRule>
  </conditionalFormatting>
  <conditionalFormatting sqref="AD70">
    <cfRule type="expression" dxfId="794" priority="75">
      <formula>IF(XDS$29="NO",TRUE,FALSE)</formula>
    </cfRule>
  </conditionalFormatting>
  <conditionalFormatting sqref="Y70:AA70">
    <cfRule type="expression" dxfId="793" priority="73">
      <formula>IF(XDN$29="NO",TRUE,FALSE)</formula>
    </cfRule>
  </conditionalFormatting>
  <conditionalFormatting sqref="AC70">
    <cfRule type="expression" dxfId="792" priority="72">
      <formula>IF(XDR$29="NO",TRUE,FALSE)</formula>
    </cfRule>
  </conditionalFormatting>
  <conditionalFormatting sqref="AD70">
    <cfRule type="expression" dxfId="791" priority="71">
      <formula>IF(XDS$29="NO",TRUE,FALSE)</formula>
    </cfRule>
  </conditionalFormatting>
  <conditionalFormatting sqref="AE70">
    <cfRule type="expression" dxfId="790" priority="70">
      <formula>IF(XDT$29="NO",TRUE,FALSE)</formula>
    </cfRule>
  </conditionalFormatting>
  <conditionalFormatting sqref="Q70:S70">
    <cfRule type="expression" dxfId="789" priority="69">
      <formula>IF(XDD$29="NO",TRUE,FALSE)</formula>
    </cfRule>
  </conditionalFormatting>
  <conditionalFormatting sqref="Q70:S70">
    <cfRule type="expression" dxfId="788" priority="68">
      <formula>IF(XDD$29="NO",TRUE,FALSE)</formula>
    </cfRule>
  </conditionalFormatting>
  <conditionalFormatting sqref="U70:W70">
    <cfRule type="expression" dxfId="787" priority="67">
      <formula>IF(XDI$29="NO",TRUE,FALSE)</formula>
    </cfRule>
  </conditionalFormatting>
  <conditionalFormatting sqref="U70:W70">
    <cfRule type="expression" dxfId="786" priority="66">
      <formula>IF(XDI$29="NO",TRUE,FALSE)</formula>
    </cfRule>
  </conditionalFormatting>
  <conditionalFormatting sqref="AF70">
    <cfRule type="expression" dxfId="785" priority="65">
      <formula>IF(XDU$29="NO",TRUE,FALSE)</formula>
    </cfRule>
  </conditionalFormatting>
  <conditionalFormatting sqref="AF70">
    <cfRule type="expression" dxfId="784" priority="64">
      <formula>IF(XDU$29="NO",TRUE,FALSE)</formula>
    </cfRule>
  </conditionalFormatting>
  <conditionalFormatting sqref="AS13">
    <cfRule type="cellIs" dxfId="783" priority="62" operator="notEqual">
      <formula>"ok"</formula>
    </cfRule>
    <cfRule type="cellIs" dxfId="782" priority="63" operator="equal">
      <formula>"ok"</formula>
    </cfRule>
  </conditionalFormatting>
  <conditionalFormatting sqref="AT13">
    <cfRule type="cellIs" dxfId="781" priority="60" operator="notEqual">
      <formula>"ok"</formula>
    </cfRule>
    <cfRule type="cellIs" dxfId="780" priority="61" operator="equal">
      <formula>"ok"</formula>
    </cfRule>
  </conditionalFormatting>
  <conditionalFormatting sqref="AU13">
    <cfRule type="cellIs" dxfId="779" priority="58" operator="notEqual">
      <formula>"ok"</formula>
    </cfRule>
    <cfRule type="cellIs" dxfId="778" priority="59" operator="equal">
      <formula>"ok"</formula>
    </cfRule>
  </conditionalFormatting>
  <conditionalFormatting sqref="AV16">
    <cfRule type="cellIs" dxfId="777" priority="56" operator="notEqual">
      <formula>"ok"</formula>
    </cfRule>
    <cfRule type="cellIs" dxfId="776" priority="57" operator="equal">
      <formula>"ok"</formula>
    </cfRule>
  </conditionalFormatting>
  <conditionalFormatting sqref="AV19">
    <cfRule type="cellIs" dxfId="775" priority="53" operator="equal">
      <formula>"ok"</formula>
    </cfRule>
    <cfRule type="cellIs" dxfId="774" priority="54" stopIfTrue="1" operator="equal">
      <formula>"check"</formula>
    </cfRule>
    <cfRule type="cellIs" dxfId="773" priority="55" operator="notEqual">
      <formula>"ok"</formula>
    </cfRule>
  </conditionalFormatting>
  <conditionalFormatting sqref="AV17">
    <cfRule type="cellIs" dxfId="772" priority="50" operator="equal">
      <formula>"ok"</formula>
    </cfRule>
    <cfRule type="cellIs" dxfId="771" priority="51" stopIfTrue="1" operator="equal">
      <formula>"check"</formula>
    </cfRule>
    <cfRule type="cellIs" dxfId="770" priority="52" operator="notEqual">
      <formula>"ok"</formula>
    </cfRule>
  </conditionalFormatting>
  <conditionalFormatting sqref="Q40:S40">
    <cfRule type="expression" dxfId="769" priority="49">
      <formula>IF(XDD$29="NO",TRUE,FALSE)</formula>
    </cfRule>
  </conditionalFormatting>
  <conditionalFormatting sqref="Q38:S38">
    <cfRule type="expression" dxfId="768" priority="48">
      <formula>IF(XDD$29="NO",TRUE,FALSE)</formula>
    </cfRule>
  </conditionalFormatting>
  <conditionalFormatting sqref="Q38:S38">
    <cfRule type="expression" dxfId="767" priority="47">
      <formula>IF(XDD$29="NO",TRUE,FALSE)</formula>
    </cfRule>
  </conditionalFormatting>
  <conditionalFormatting sqref="Q44:S44">
    <cfRule type="expression" dxfId="766" priority="46">
      <formula>IF(XDD$29="NO",TRUE,FALSE)</formula>
    </cfRule>
  </conditionalFormatting>
  <conditionalFormatting sqref="Q42:S42">
    <cfRule type="expression" dxfId="765" priority="45">
      <formula>IF(XDD$29="NO",TRUE,FALSE)</formula>
    </cfRule>
  </conditionalFormatting>
  <conditionalFormatting sqref="Q42:S42">
    <cfRule type="expression" dxfId="764" priority="44">
      <formula>IF(XDD$29="NO",TRUE,FALSE)</formula>
    </cfRule>
  </conditionalFormatting>
  <conditionalFormatting sqref="Q44:S44">
    <cfRule type="expression" dxfId="763" priority="43">
      <formula>IF(XDD$29="NO",TRUE,FALSE)</formula>
    </cfRule>
  </conditionalFormatting>
  <conditionalFormatting sqref="Q42:S42">
    <cfRule type="expression" dxfId="762" priority="42">
      <formula>IF(XDD$29="NO",TRUE,FALSE)</formula>
    </cfRule>
  </conditionalFormatting>
  <conditionalFormatting sqref="Q42:S42">
    <cfRule type="expression" dxfId="761" priority="41">
      <formula>IF(XDD$29="NO",TRUE,FALSE)</formula>
    </cfRule>
  </conditionalFormatting>
  <conditionalFormatting sqref="Q48:S48">
    <cfRule type="expression" dxfId="760" priority="40">
      <formula>IF(XDD$29="NO",TRUE,FALSE)</formula>
    </cfRule>
  </conditionalFormatting>
  <conditionalFormatting sqref="Q46:S46">
    <cfRule type="expression" dxfId="759" priority="39">
      <formula>IF(XDD$29="NO",TRUE,FALSE)</formula>
    </cfRule>
  </conditionalFormatting>
  <conditionalFormatting sqref="Q46:S46">
    <cfRule type="expression" dxfId="758" priority="38">
      <formula>IF(XDD$29="NO",TRUE,FALSE)</formula>
    </cfRule>
  </conditionalFormatting>
  <conditionalFormatting sqref="Q52:S52">
    <cfRule type="expression" dxfId="757" priority="37">
      <formula>IF(XDD$29="NO",TRUE,FALSE)</formula>
    </cfRule>
  </conditionalFormatting>
  <conditionalFormatting sqref="Q50:S50">
    <cfRule type="expression" dxfId="756" priority="36">
      <formula>IF(XDD$29="NO",TRUE,FALSE)</formula>
    </cfRule>
  </conditionalFormatting>
  <conditionalFormatting sqref="Q50:S50">
    <cfRule type="expression" dxfId="755" priority="35">
      <formula>IF(XDD$29="NO",TRUE,FALSE)</formula>
    </cfRule>
  </conditionalFormatting>
  <conditionalFormatting sqref="Q44:S44">
    <cfRule type="expression" dxfId="754" priority="34">
      <formula>IF(XDD$29="NO",TRUE,FALSE)</formula>
    </cfRule>
  </conditionalFormatting>
  <conditionalFormatting sqref="Q42:S42">
    <cfRule type="expression" dxfId="753" priority="33">
      <formula>IF(XDD$29="NO",TRUE,FALSE)</formula>
    </cfRule>
  </conditionalFormatting>
  <conditionalFormatting sqref="Q42:S42">
    <cfRule type="expression" dxfId="752" priority="32">
      <formula>IF(XDD$29="NO",TRUE,FALSE)</formula>
    </cfRule>
  </conditionalFormatting>
  <conditionalFormatting sqref="Q48:S48">
    <cfRule type="expression" dxfId="751" priority="31">
      <formula>IF(XDD$29="NO",TRUE,FALSE)</formula>
    </cfRule>
  </conditionalFormatting>
  <conditionalFormatting sqref="Q46:S46">
    <cfRule type="expression" dxfId="750" priority="30">
      <formula>IF(XDD$29="NO",TRUE,FALSE)</formula>
    </cfRule>
  </conditionalFormatting>
  <conditionalFormatting sqref="Q46:S46">
    <cfRule type="expression" dxfId="749" priority="29">
      <formula>IF(XDD$29="NO",TRUE,FALSE)</formula>
    </cfRule>
  </conditionalFormatting>
  <conditionalFormatting sqref="Q50:S50">
    <cfRule type="expression" dxfId="748" priority="28">
      <formula>IF(XDD$29="NO",TRUE,FALSE)</formula>
    </cfRule>
  </conditionalFormatting>
  <conditionalFormatting sqref="Q50:S50">
    <cfRule type="expression" dxfId="747" priority="27">
      <formula>IF(XDD$29="NO",TRUE,FALSE)</formula>
    </cfRule>
  </conditionalFormatting>
  <conditionalFormatting sqref="Q50:S50">
    <cfRule type="expression" dxfId="746" priority="26">
      <formula>IF(XDD$29="NO",TRUE,FALSE)</formula>
    </cfRule>
  </conditionalFormatting>
  <conditionalFormatting sqref="Q50:S50">
    <cfRule type="expression" dxfId="745" priority="25">
      <formula>IF(XDD$29="NO",TRUE,FALSE)</formula>
    </cfRule>
  </conditionalFormatting>
  <conditionalFormatting sqref="Q56:S56">
    <cfRule type="expression" dxfId="744" priority="24">
      <formula>IF(XDD$29="NO",TRUE,FALSE)</formula>
    </cfRule>
  </conditionalFormatting>
  <conditionalFormatting sqref="Q54:S54">
    <cfRule type="expression" dxfId="743" priority="23">
      <formula>IF(XDD$29="NO",TRUE,FALSE)</formula>
    </cfRule>
  </conditionalFormatting>
  <conditionalFormatting sqref="Q54:S54">
    <cfRule type="expression" dxfId="742" priority="22">
      <formula>IF(XDD$29="NO",TRUE,FALSE)</formula>
    </cfRule>
  </conditionalFormatting>
  <conditionalFormatting sqref="Q60:S60">
    <cfRule type="expression" dxfId="741" priority="21">
      <formula>IF(XDD$29="NO",TRUE,FALSE)</formula>
    </cfRule>
  </conditionalFormatting>
  <conditionalFormatting sqref="Q58:S58">
    <cfRule type="expression" dxfId="740" priority="20">
      <formula>IF(XDD$29="NO",TRUE,FALSE)</formula>
    </cfRule>
  </conditionalFormatting>
  <conditionalFormatting sqref="Q58:S58">
    <cfRule type="expression" dxfId="739" priority="19">
      <formula>IF(XDD$29="NO",TRUE,FALSE)</formula>
    </cfRule>
  </conditionalFormatting>
  <conditionalFormatting sqref="Q62:S62">
    <cfRule type="expression" dxfId="738" priority="18">
      <formula>IF(XDD$29="NO",TRUE,FALSE)</formula>
    </cfRule>
  </conditionalFormatting>
  <conditionalFormatting sqref="Q62:S62">
    <cfRule type="expression" dxfId="737" priority="17">
      <formula>IF(XDD$29="NO",TRUE,FALSE)</formula>
    </cfRule>
  </conditionalFormatting>
  <conditionalFormatting sqref="Q62:S62">
    <cfRule type="expression" dxfId="736" priority="16">
      <formula>IF(XDD$29="NO",TRUE,FALSE)</formula>
    </cfRule>
  </conditionalFormatting>
  <conditionalFormatting sqref="Q62:S62">
    <cfRule type="expression" dxfId="735" priority="15">
      <formula>IF(XDD$29="NO",TRUE,FALSE)</formula>
    </cfRule>
  </conditionalFormatting>
  <conditionalFormatting sqref="Q62:S62">
    <cfRule type="expression" dxfId="734" priority="14">
      <formula>IF(XDD$29="NO",TRUE,FALSE)</formula>
    </cfRule>
  </conditionalFormatting>
  <conditionalFormatting sqref="Q62:S62">
    <cfRule type="expression" dxfId="733" priority="13">
      <formula>IF(XDD$29="NO",TRUE,FALSE)</formula>
    </cfRule>
  </conditionalFormatting>
  <conditionalFormatting sqref="Q64:S64">
    <cfRule type="expression" dxfId="732" priority="12">
      <formula>IF(XDD$29="NO",TRUE,FALSE)</formula>
    </cfRule>
  </conditionalFormatting>
  <conditionalFormatting sqref="Q62:S62">
    <cfRule type="expression" dxfId="731" priority="11">
      <formula>IF(XDD$29="NO",TRUE,FALSE)</formula>
    </cfRule>
  </conditionalFormatting>
  <conditionalFormatting sqref="Q62:S62">
    <cfRule type="expression" dxfId="730" priority="10">
      <formula>IF(XDD$29="NO",TRUE,FALSE)</formula>
    </cfRule>
  </conditionalFormatting>
  <conditionalFormatting sqref="Q68:S68">
    <cfRule type="expression" dxfId="729" priority="9">
      <formula>IF(XDD$29="NO",TRUE,FALSE)</formula>
    </cfRule>
  </conditionalFormatting>
  <conditionalFormatting sqref="Q66:S66">
    <cfRule type="expression" dxfId="728" priority="8">
      <formula>IF(XDD$29="NO",TRUE,FALSE)</formula>
    </cfRule>
  </conditionalFormatting>
  <conditionalFormatting sqref="Q66:S66">
    <cfRule type="expression" dxfId="727" priority="7">
      <formula>IF(XDD$29="NO",TRUE,FALSE)</formula>
    </cfRule>
  </conditionalFormatting>
  <conditionalFormatting sqref="Q70:S70">
    <cfRule type="expression" dxfId="726" priority="6">
      <formula>IF(XDD$29="NO",TRUE,FALSE)</formula>
    </cfRule>
  </conditionalFormatting>
  <conditionalFormatting sqref="Q70:S70">
    <cfRule type="expression" dxfId="725" priority="5">
      <formula>IF(XDD$29="NO",TRUE,FALSE)</formula>
    </cfRule>
  </conditionalFormatting>
  <conditionalFormatting sqref="Q70:S70">
    <cfRule type="expression" dxfId="724" priority="4">
      <formula>IF(XDD$29="NO",TRUE,FALSE)</formula>
    </cfRule>
  </conditionalFormatting>
  <conditionalFormatting sqref="Q70:S70">
    <cfRule type="expression" dxfId="723" priority="3">
      <formula>IF(XDD$29="NO",TRUE,FALSE)</formula>
    </cfRule>
  </conditionalFormatting>
  <conditionalFormatting sqref="Q70:S70">
    <cfRule type="expression" dxfId="722" priority="2">
      <formula>IF(XDD$29="NO",TRUE,FALSE)</formula>
    </cfRule>
  </conditionalFormatting>
  <conditionalFormatting sqref="Q70:S70">
    <cfRule type="expression" dxfId="721" priority="1">
      <formula>IF(XDD$29="NO",TRUE,FALSE)</formula>
    </cfRule>
  </conditionalFormatting>
  <dataValidations count="2">
    <dataValidation type="list" allowBlank="1" showInputMessage="1" showErrorMessage="1" sqref="U29:W29 AC29:AF29 Q29:S29 F29:O29" xr:uid="{00000000-0002-0000-0C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C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3906"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3907"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3908"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3909"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3910"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3911"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3912"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FF99"/>
    <pageSetUpPr fitToPage="1"/>
  </sheetPr>
  <dimension ref="A1:BM73"/>
  <sheetViews>
    <sheetView showGridLines="0" topLeftCell="A6" zoomScale="70" zoomScaleNormal="70" zoomScaleSheetLayoutView="55" workbookViewId="0">
      <selection activeCell="C64" sqref="C64"/>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3" width="13.28515625" style="293"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1080</v>
      </c>
      <c r="AK7" s="895">
        <v>10.5</v>
      </c>
    </row>
    <row r="8" spans="1:64" ht="15.6" customHeight="1">
      <c r="AJ8" s="235" t="s">
        <v>1081</v>
      </c>
      <c r="AK8" s="895" t="s">
        <v>1082</v>
      </c>
    </row>
    <row r="9" spans="1:64" ht="15.6" customHeight="1">
      <c r="AJ9" s="894" t="s">
        <v>1083</v>
      </c>
      <c r="AK9" s="896" t="str">
        <f>"MY"&amp;RIGHT(Input!$H$9,2)&amp;" "&amp;Input!$H$3&amp;": "&amp;$G$10</f>
        <v>MY20 Soul: Region R1 (Southern, Southwest) Incentive Scenarios</v>
      </c>
    </row>
    <row r="10" spans="1:64" ht="15.6" customHeight="1" thickBot="1">
      <c r="G10" s="581" t="s">
        <v>1091</v>
      </c>
      <c r="AJ10" s="894" t="s">
        <v>1084</v>
      </c>
      <c r="AK10" s="896" t="s">
        <v>1085</v>
      </c>
    </row>
    <row r="11" spans="1:64" ht="15.6" customHeight="1">
      <c r="A11" s="281" t="s">
        <v>570</v>
      </c>
      <c r="B11" s="275"/>
      <c r="C11" s="231"/>
      <c r="D11" s="628" t="s">
        <v>826</v>
      </c>
      <c r="F11" s="245">
        <v>4</v>
      </c>
      <c r="G11" s="565" t="str">
        <f>INDEX(Input!$1:$1048576,2,$F$11*2+6)&amp;" ("&amp;INDEX(Input!$1:$1048576,11,$F$11*2+6)&amp;")"</f>
        <v>MY20 Kia Soul (Kia-LR - R1)</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1086</v>
      </c>
      <c r="AK11" s="896" t="s">
        <v>1087</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2.34 (Scen 6)</v>
      </c>
      <c r="B13" s="275"/>
      <c r="D13" s="1123" t="str">
        <f>UPPER("SCENARIO OPTIONS: MY"&amp;RIGHT(Input!$H9,2)&amp;" "&amp;Input!H$7&amp;" "&amp;Input!H$3&amp;" - R1 (AL, GA MD, NC, SC, TN, VA, WV, AR, LA, MS, NM , OK, TX)")</f>
        <v>SCENARIO OPTIONS: MY20 KIA SOUL - R1 (AL, GA MD, NC, SC, TN, VA, WV, AR, LA, MS, NM , OK, TX)</v>
      </c>
      <c r="E13" s="1123"/>
      <c r="F13" s="1123"/>
      <c r="G13" s="1123"/>
      <c r="H13" s="1123"/>
      <c r="I13" s="1123"/>
      <c r="J13" s="1123"/>
      <c r="K13" s="1123"/>
      <c r="L13" s="1123"/>
      <c r="M13" s="1123"/>
      <c r="N13" s="1123"/>
      <c r="O13" s="1123"/>
      <c r="P13" s="1123"/>
      <c r="Q13" s="1123"/>
      <c r="R13" s="1123"/>
      <c r="S13" s="1123"/>
      <c r="T13" s="1123"/>
      <c r="U13" s="1123"/>
      <c r="V13" s="1123"/>
      <c r="W13" s="1123"/>
      <c r="X13" s="1123"/>
      <c r="Y13" s="1123"/>
      <c r="Z13" s="1123"/>
      <c r="AA13" s="1123"/>
      <c r="AB13" s="1123"/>
      <c r="AC13" s="1123"/>
      <c r="AD13" s="1123"/>
      <c r="AE13" s="1123"/>
      <c r="AF13" s="1123"/>
      <c r="AG13" s="1123"/>
      <c r="AH13" s="1123"/>
      <c r="AI13" s="1123"/>
      <c r="AJ13" s="758"/>
      <c r="AK13" s="758"/>
      <c r="AL13" s="235"/>
      <c r="AM13" s="235"/>
      <c r="AN13" s="1133" t="s">
        <v>772</v>
      </c>
      <c r="AO13" s="1134"/>
      <c r="AP13" s="1134"/>
      <c r="AQ13" s="1134"/>
      <c r="AR13" s="113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9" t="str">
        <f>"Scen. # to check price sensitivity order vs #"&amp;INDEX(DSS_Calc!KN:KN,MATCH(F11*1000+1,DSS_Calc!A:A,0))</f>
        <v>Scen. # to check price sensitivity order vs #4002</v>
      </c>
      <c r="AO14" s="1130"/>
      <c r="AP14" s="1130"/>
      <c r="AQ14" s="1130"/>
      <c r="AR14" s="1130"/>
      <c r="AS14" s="716">
        <v>10</v>
      </c>
      <c r="AT14" s="716">
        <v>14</v>
      </c>
      <c r="AU14" s="716">
        <v>17</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1" t="s">
        <v>781</v>
      </c>
      <c r="AO15" s="1132"/>
      <c r="AP15" s="1132"/>
      <c r="AQ15" s="1132"/>
      <c r="AR15" s="1132"/>
      <c r="AS15" s="734" t="str">
        <f>INDEX(DSS_Calc!$D:$D,MATCH($F11*1000+AS14,DSS_Calc!$A:$A))</f>
        <v xml:space="preserve">500 CC, </v>
      </c>
      <c r="AT15" s="734" t="str">
        <f>INDEX(DSS_Calc!$D:$D,MATCH($F11*1000+AT14,DSS_Calc!$A:$A))</f>
        <v xml:space="preserve">0/0/0/3.9, </v>
      </c>
      <c r="AU15" s="734" t="str">
        <f>INDEX(DSS_Calc!$D:$D,MATCH($F11*1000+AU14,DSS_Calc!$A:$A))</f>
        <v xml:space="preserve">360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7" t="str">
        <f>"Implied Elast w/o Take Rate Shifts vs #"&amp;INDEX(DSS_Calc!KN:KN,MATCH(F11*1000+1,DSS_Calc!A:A,0))</f>
        <v>Implied Elast w/o Take Rate Shifts vs #4002</v>
      </c>
      <c r="AO16" s="1128"/>
      <c r="AP16" s="1128"/>
      <c r="AQ16" s="1128"/>
      <c r="AR16" s="1128"/>
      <c r="AS16" s="722">
        <f>INDEX(DSS_Calc!$KR:$KR,MATCH($F$11*1000+AS14,DSS_Calc!$A:$A,0))</f>
        <v>2.026008232944934</v>
      </c>
      <c r="AT16" s="722">
        <f>INDEX(DSS_Calc!$KR:$KR,MATCH($F$11*1000+AT14,DSS_Calc!$A:$A,0))</f>
        <v>2.3995885175058986</v>
      </c>
      <c r="AU16" s="722">
        <f>INDEX(DSS_Calc!$KR:$KR,MATCH($F$11*1000+AU14,DSS_Calc!$A:$A,0))</f>
        <v>3.2405711663684893</v>
      </c>
      <c r="AV16" s="759" t="str">
        <f>IF(AND(AS16&lt;AT16,AT16&lt;AU16,AS16&lt;AW16),"ok","error in order")</f>
        <v>ok</v>
      </c>
      <c r="AW16" s="723">
        <f>ROUND(INDEX(DSS_Calc!KA:KA,MATCH($F$11*1000+6,DSS_Calc!A:A,0)),2)</f>
        <v>2.34</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9" t="s">
        <v>877</v>
      </c>
      <c r="AO17" s="1130"/>
      <c r="AP17" s="1130"/>
      <c r="AQ17" s="1130"/>
      <c r="AR17" s="1130"/>
      <c r="AS17" s="725">
        <f>INDEX(DSS_Calc!IE:IE,MATCH($F$11*1000+2,DSS_Calc!$A:$A,0))-INDEX(DSS_Calc!IE:IE,MATCH($F$11*1000+1,DSS_Calc!$A:$A,0))</f>
        <v>-1.8481488104942212E-3</v>
      </c>
      <c r="AT17" s="725">
        <f>INDEX(DSS_Calc!IF:IF,MATCH($F$11*1000+2,DSS_Calc!$A:$A,0))-INDEX(DSS_Calc!IF:IF,MATCH($F$11*1000+1,DSS_Calc!$A:$A,0))</f>
        <v>4.8176462530780118E-4</v>
      </c>
      <c r="AU17" s="725">
        <f>INDEX(DSS_Calc!IG:IG,MATCH($F$11*1000+2,DSS_Calc!$A:$A,0))-INDEX(DSS_Calc!IG:IG,MATCH($F$11*1000+1,DSS_Calc!$A:$A,0))</f>
        <v>1.3663841851863923E-3</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7" t="s">
        <v>771</v>
      </c>
      <c r="AO18" s="1128"/>
      <c r="AP18" s="1128"/>
      <c r="AQ18" s="1128"/>
      <c r="AR18" s="1128"/>
      <c r="AS18" s="726">
        <f>INDEX(DSS_Calc!JA:JA,MATCH($F$11*1000+2,DSS_Calc!$A:$A,0))-INDEX(DSS_Calc!JA:JA,MATCH($F$11*1000+1,DSS_Calc!$A:$A,0))</f>
        <v>280</v>
      </c>
      <c r="AT18" s="726">
        <f>INDEX(DSS_Calc!JB:JB,MATCH($F$11*1000+2,DSS_Calc!$A:$A,0))-INDEX(DSS_Calc!JB:JB,MATCH($F$11*1000+1,DSS_Calc!$A:$A,0))</f>
        <v>280.04698049844728</v>
      </c>
      <c r="AU18" s="726">
        <f>INDEX(DSS_Calc!JC:JC,MATCH($F$11*1000+2,DSS_Calc!$A:$A,0))-INDEX(DSS_Calc!JC:JC,MATCH($F$11*1000+1,DSS_Calc!$A:$A,0))</f>
        <v>265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9" t="s">
        <v>881</v>
      </c>
      <c r="AO19" s="1130"/>
      <c r="AP19" s="1130"/>
      <c r="AQ19" s="1130"/>
      <c r="AR19" s="113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5.1724141788458577E-2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3.3613642471682081E-2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1.9746170763693824E-2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1" t="s">
        <v>878</v>
      </c>
      <c r="AO20" s="1132"/>
      <c r="AP20" s="1132"/>
      <c r="AQ20" s="1132"/>
      <c r="AR20" s="1132"/>
      <c r="AS20" s="761">
        <f>IFERROR(INDEX($C:$C,MATCH(AS19,U:U,0)-1),INDEX($C:$C,MATCH(-AS19,U:U,0)-1))</f>
        <v>49</v>
      </c>
      <c r="AT20" s="761">
        <f>IFERROR(INDEX($C:$C,MATCH(AT19,V:V,0)-1),INDEX($C:$C,MATCH(-AT19,V:V,0)-1))</f>
        <v>86</v>
      </c>
      <c r="AU20" s="761">
        <f>IFERROR(INDEX($C:$C,MATCH(AU19,W:W,0)-1),INDEX($C:$C,MATCH(-AU19,W:W,0)-1))</f>
        <v>49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7" t="s">
        <v>879</v>
      </c>
      <c r="AO21" s="1128"/>
      <c r="AP21" s="1128"/>
      <c r="AQ21" s="1128"/>
      <c r="AR21" s="1128"/>
      <c r="AS21" s="729">
        <f>IFERROR(INDEX(Q:Q,MATCH(AS19,U:U,0)),INDEX(Q:Q,MATCH(-AS19,U:U,0)))</f>
        <v>750</v>
      </c>
      <c r="AT21" s="729">
        <f>IFERROR(INDEX(R:R,MATCH(AT19,V:V,0)),INDEX(R:R,MATCH(-AT19,V:V,0)))</f>
        <v>340.92572626428364</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24" t="s">
        <v>571</v>
      </c>
      <c r="B27" s="390"/>
      <c r="C27" s="1124" t="s">
        <v>572</v>
      </c>
      <c r="D27" s="900" t="s">
        <v>134</v>
      </c>
      <c r="F27" s="1126" t="s">
        <v>354</v>
      </c>
      <c r="G27" s="1126"/>
      <c r="H27" s="1126"/>
      <c r="I27" s="1126"/>
      <c r="J27" s="1126"/>
      <c r="K27" s="1126"/>
      <c r="L27" s="1126"/>
      <c r="M27" s="1126"/>
      <c r="N27" s="1126"/>
      <c r="O27" s="1126"/>
      <c r="P27" s="277"/>
      <c r="Q27" s="1125" t="s">
        <v>135</v>
      </c>
      <c r="R27" s="1125"/>
      <c r="S27" s="1125"/>
      <c r="T27" s="277"/>
      <c r="U27" s="1126" t="s">
        <v>136</v>
      </c>
      <c r="V27" s="1126"/>
      <c r="W27" s="1126"/>
      <c r="X27" s="277"/>
      <c r="Y27" s="1125" t="s">
        <v>137</v>
      </c>
      <c r="Z27" s="1125"/>
      <c r="AA27" s="1125"/>
      <c r="AB27" s="277"/>
      <c r="AC27" s="1126" t="s">
        <v>138</v>
      </c>
      <c r="AD27" s="1126"/>
      <c r="AE27" s="1126"/>
      <c r="AF27" s="1126"/>
      <c r="AG27" s="1126"/>
      <c r="AH27" s="1126"/>
      <c r="AI27" s="112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24"/>
      <c r="B28" s="279"/>
      <c r="C28" s="1124"/>
      <c r="D28" s="236"/>
      <c r="E28" s="392"/>
      <c r="F28" s="237" t="s">
        <v>139</v>
      </c>
      <c r="G28" s="238" t="s">
        <v>1147</v>
      </c>
      <c r="H28" s="238" t="s">
        <v>39</v>
      </c>
      <c r="I28" s="237" t="s">
        <v>715</v>
      </c>
      <c r="J28" s="237" t="s">
        <v>330</v>
      </c>
      <c r="K28" s="237" t="s">
        <v>1150</v>
      </c>
      <c r="L28" s="237" t="s">
        <v>1151</v>
      </c>
      <c r="M28" s="237" t="s">
        <v>7</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31</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1158</v>
      </c>
      <c r="L31" s="244" t="s">
        <v>1159</v>
      </c>
      <c r="M31" s="244" t="s">
        <v>1125</v>
      </c>
      <c r="N31" s="244"/>
      <c r="O31" s="244"/>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1256.832975525977</v>
      </c>
      <c r="G33" s="256" t="str">
        <f>IF($C33="","",VLOOKUP($C33+$F$11*1000,DSS_Calc!$A:$JV,G$30,FALSE))</f>
        <v>0/0.9/1.9/3.9</v>
      </c>
      <c r="H33" s="256">
        <f>IF($C33="","",VLOOKUP($C33+$F$11*1000,DSS_Calc!$A:$JV,H$30,FALSE))</f>
        <v>0</v>
      </c>
      <c r="I33" s="256">
        <f>IF($C33="","",VLOOKUP($C33+$F$11*1000,DSS_Calc!$A:$JV,I$30,FALSE))</f>
        <v>0</v>
      </c>
      <c r="J33" s="256">
        <f>IF($C33="","",VLOOKUP($C33+$F$11*1000,DSS_Calc!$A:$JV,J$30,FALSE))</f>
        <v>2587</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2050</v>
      </c>
      <c r="R33" s="256">
        <f>IF($C33="","",VLOOKUP($C33+$F$11*1000,DSS_Calc!$A:$JV,R$30,FALSE)*IF(V33=0,0,1))</f>
        <v>2910.1094338808084</v>
      </c>
      <c r="S33" s="256">
        <f>IF($C33="","",VLOOKUP($C33+$F$11*1000,DSS_Calc!$A:$JV,S$30,FALSE)*IF(W33=0,0,1))</f>
        <v>4418.7164157747848</v>
      </c>
      <c r="T33" s="294" t="s">
        <v>2</v>
      </c>
      <c r="U33" s="395">
        <f>IF($C33="","",VLOOKUP($C33+$F$11*1000,DSS_Calc!$A:$JV,U$30,FALSE))</f>
        <v>0.42451509721784414</v>
      </c>
      <c r="V33" s="395">
        <f>IF($C33="","",VLOOKUP($C33+$F$11*1000,DSS_Calc!$A:$JV,V$30,FALSE))</f>
        <v>0.52259425925819747</v>
      </c>
      <c r="W33" s="395">
        <f>IF($C33="","",VLOOKUP($C33+$F$11*1000,DSS_Calc!$A:$JV,W$30,FALSE))</f>
        <v>5.2890643523958399E-2</v>
      </c>
      <c r="X33" s="290" t="s">
        <v>2</v>
      </c>
      <c r="Y33" s="256">
        <f t="shared" ref="Y33:AA34" si="0">IF(U33=0,0,U33*Q33)</f>
        <v>870.25594929658052</v>
      </c>
      <c r="Z33" s="256">
        <f t="shared" si="0"/>
        <v>1520.8064839592334</v>
      </c>
      <c r="AA33" s="256">
        <f t="shared" si="0"/>
        <v>233.7087547802073</v>
      </c>
      <c r="AB33" s="290" t="s">
        <v>2</v>
      </c>
      <c r="AC33" s="256">
        <f>SUM(Y33:AA33)</f>
        <v>2624.7711880360212</v>
      </c>
      <c r="AD33" s="259">
        <f>AC33*AE33/1000/1000</f>
        <v>6.3483025172448961</v>
      </c>
      <c r="AE33" s="260">
        <f>IF($C33="","",VLOOKUP($C33+$F$11*1000,DSS_Calc!$A:$JV,AE$30,FALSE))</f>
        <v>2418.6117807834512</v>
      </c>
      <c r="AF33" s="259">
        <f>IF($C33="","",VLOOKUP($C33+$F$11*1000,DSS_Calc!$A:$JV,AF$30,FALSE))</f>
        <v>8.1524844144422861</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49</v>
      </c>
      <c r="D34" s="396" t="str">
        <f>"Scenario " &amp; A34</f>
        <v>Scenario A</v>
      </c>
      <c r="E34" s="272" t="s">
        <v>2</v>
      </c>
      <c r="F34" s="397">
        <f>IF($C34="","",VLOOKUP($C34+$F$11*1000,DSS_Calc!$A:$JV,F$30,FALSE))</f>
        <v>2006.832975525977</v>
      </c>
      <c r="G34" s="397" t="str">
        <f>IF($C34="","",VLOOKUP($C34+$F$11*1000,DSS_Calc!$A:$JV,G$30,FALSE))</f>
        <v>0/0.9/1.9/3.9</v>
      </c>
      <c r="H34" s="397">
        <f>IF($C34="","",VLOOKUP($C34+$F$11*1000,DSS_Calc!$A:$JV,H$30,FALSE))</f>
        <v>0</v>
      </c>
      <c r="I34" s="397">
        <f>IF($C34="","",VLOOKUP($C34+$F$11*1000,DSS_Calc!$A:$JV,I$30,FALSE))</f>
        <v>0</v>
      </c>
      <c r="J34" s="397">
        <f>IF($C34="","",VLOOKUP($C34+$F$11*1000,DSS_Calc!$A:$JV,J$30,FALSE))</f>
        <v>2227</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2800</v>
      </c>
      <c r="R34" s="397">
        <f>IF($C34="","",VLOOKUP($C34+$F$11*1000,DSS_Calc!$A:$JV,R$30,FALSE)*IF(V34=0,0,1))</f>
        <v>2910.3631719438645</v>
      </c>
      <c r="S34" s="397">
        <f>IF($C34="","",VLOOKUP($C34+$F$11*1000,DSS_Calc!$A:$JV,S$30,FALSE)*IF(W34=0,0,1))</f>
        <v>4058.7164157747848</v>
      </c>
      <c r="T34" s="294" t="s">
        <v>2</v>
      </c>
      <c r="U34" s="398">
        <f>IF($C34="","",VLOOKUP($C34+$F$11*1000,DSS_Calc!$A:$JV,U$30,FALSE))</f>
        <v>0.47623923900630272</v>
      </c>
      <c r="V34" s="398">
        <f>IF($C34="","",VLOOKUP($C34+$F$11*1000,DSS_Calc!$A:$JV,V$30,FALSE))</f>
        <v>0.49061628823343256</v>
      </c>
      <c r="W34" s="398">
        <f>IF($C34="","",VLOOKUP($C34+$F$11*1000,DSS_Calc!$A:$JV,W$30,FALSE))</f>
        <v>3.3144472760264575E-2</v>
      </c>
      <c r="X34" s="294" t="s">
        <v>2</v>
      </c>
      <c r="Y34" s="397">
        <f t="shared" si="0"/>
        <v>1333.4698692176476</v>
      </c>
      <c r="Z34" s="397">
        <f t="shared" si="0"/>
        <v>1427.871576830378</v>
      </c>
      <c r="AA34" s="397">
        <f t="shared" si="0"/>
        <v>134.52401568428601</v>
      </c>
      <c r="AB34" s="294" t="s">
        <v>2</v>
      </c>
      <c r="AC34" s="397">
        <f>SUM(Y34:AA34)</f>
        <v>2895.8654617323114</v>
      </c>
      <c r="AD34" s="399">
        <f>AC34*AE34/1000/1000</f>
        <v>7.2694074501703057</v>
      </c>
      <c r="AE34" s="400">
        <f>IF($C34="","",VLOOKUP($C34+$F$11*1000,DSS_Calc!$A:$JV,AE$30,FALSE))</f>
        <v>2510.2711248960213</v>
      </c>
      <c r="AF34" s="399">
        <f>IF($C34="","",VLOOKUP($C34+$F$11*1000,DSS_Calc!$A:$JV,AF$30,FALSE))</f>
        <v>7.7809230791437907</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+750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1.9049299832728177</v>
      </c>
      <c r="B35" s="402"/>
      <c r="C35" s="564">
        <f>AI35/(AC35/(VLOOKUP($C34+$F$11*1000,DSS_Calc!$A:$JV,DSS_Calc!BX$92,FALSE)-$AC$33))</f>
        <v>2.4268653565458895</v>
      </c>
      <c r="D35" s="403" t="s">
        <v>141</v>
      </c>
      <c r="F35" s="404">
        <f>ROUND(F34-F$33,0)</f>
        <v>750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750</v>
      </c>
      <c r="R35" s="404">
        <f t="shared" si="2"/>
        <v>0.25373806305606195</v>
      </c>
      <c r="S35" s="404">
        <f t="shared" si="2"/>
        <v>-360</v>
      </c>
      <c r="T35" s="294"/>
      <c r="U35" s="405">
        <f>U34-U$33</f>
        <v>5.1724141788458577E-2</v>
      </c>
      <c r="V35" s="405">
        <f>V34-V$33</f>
        <v>-3.1977971024764906E-2</v>
      </c>
      <c r="W35" s="405">
        <f>W34-W$33</f>
        <v>-1.9746170763693824E-2</v>
      </c>
      <c r="X35" s="294"/>
      <c r="Y35" s="404">
        <f>Y34-Y$33</f>
        <v>463.21391992106703</v>
      </c>
      <c r="Z35" s="404">
        <f>Z34-Z$33</f>
        <v>-92.934907128855457</v>
      </c>
      <c r="AA35" s="404">
        <f>AA34-AA$33</f>
        <v>-99.184739095921287</v>
      </c>
      <c r="AB35" s="294"/>
      <c r="AC35" s="404">
        <f>IFERROR(AC34-AC$33,NA())</f>
        <v>271.0942736962902</v>
      </c>
      <c r="AD35" s="406">
        <f>AD34-AD$33</f>
        <v>0.92110493292540951</v>
      </c>
      <c r="AE35" s="407">
        <f t="shared" ref="AE35:AF49" si="3">AE34-AE$33</f>
        <v>91.659344112570125</v>
      </c>
      <c r="AF35" s="406">
        <f t="shared" si="3"/>
        <v>-0.37156133529849544</v>
      </c>
      <c r="AG35" s="408">
        <f>AF35/AF$33</f>
        <v>-4.5576454539461277E-2</v>
      </c>
      <c r="AH35" s="405"/>
      <c r="AI35" s="408">
        <f>IFERROR(AE35/$AE$33,NA())</f>
        <v>3.7897501715996471E-2</v>
      </c>
      <c r="AJ35" s="289"/>
      <c r="AK35" s="749"/>
      <c r="AL35" s="750">
        <f>$AE34*U34-$AE$33*U$33</f>
        <v>168.75239496846666</v>
      </c>
      <c r="AM35" s="750">
        <f>$AE34*V34-$AE$33*V$33</f>
        <v>-32.372730255628085</v>
      </c>
      <c r="AN35" s="750">
        <f>$AE34*W34-$AE$33*W$33</f>
        <v>-44.720320600268849</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35</v>
      </c>
      <c r="D36" s="261" t="str">
        <f>"Scenario " &amp; A36</f>
        <v>Scenario B</v>
      </c>
      <c r="E36" s="272" t="s">
        <v>2</v>
      </c>
      <c r="F36" s="262">
        <f>IF($C36="","",VLOOKUP($C36+$F$11*1000,DSS_Calc!$A:$JV,F$30,FALSE))</f>
        <v>1506.832975525977</v>
      </c>
      <c r="G36" s="262" t="str">
        <f>IF($C36="","",VLOOKUP($C36+$F$11*1000,DSS_Calc!$A:$JV,G$30,FALSE))</f>
        <v>0/0/0.9/3.9</v>
      </c>
      <c r="H36" s="262">
        <f>IF($C36="","",VLOOKUP($C36+$F$11*1000,DSS_Calc!$A:$JV,H$30,FALSE))</f>
        <v>0</v>
      </c>
      <c r="I36" s="262">
        <f>IF($C36="","",VLOOKUP($C36+$F$11*1000,DSS_Calc!$A:$JV,I$30,FALSE))</f>
        <v>0</v>
      </c>
      <c r="J36" s="262">
        <f>IF($C36="","",VLOOKUP($C36+$F$11*1000,DSS_Calc!$A:$JV,J$30,FALSE))</f>
        <v>2587</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2300</v>
      </c>
      <c r="R36" s="262">
        <f>IF($C36="","",VLOOKUP($C36+$F$11*1000,DSS_Calc!$A:$JV,R$30,FALSE)*IF(V36=0,0,1))</f>
        <v>3251.0368229967553</v>
      </c>
      <c r="S36" s="262">
        <f>IF($C36="","",VLOOKUP($C36+$F$11*1000,DSS_Calc!$A:$JV,S$30,FALSE)*IF(W36=0,0,1))</f>
        <v>4418.7164157747848</v>
      </c>
      <c r="T36" s="294" t="s">
        <v>2</v>
      </c>
      <c r="U36" s="263">
        <f>IF($C36="","",VLOOKUP($C36+$F$11*1000,DSS_Calc!$A:$JV,U$30,FALSE))</f>
        <v>0.42149630839182223</v>
      </c>
      <c r="V36" s="263">
        <f>IF($C36="","",VLOOKUP($C36+$F$11*1000,DSS_Calc!$A:$JV,V$30,FALSE))</f>
        <v>0.53160400357139936</v>
      </c>
      <c r="W36" s="263">
        <f>IF($C36="","",VLOOKUP($C36+$F$11*1000,DSS_Calc!$A:$JV,W$30,FALSE))</f>
        <v>4.6899688036778228E-2</v>
      </c>
      <c r="X36" s="294" t="s">
        <v>2</v>
      </c>
      <c r="Y36" s="262">
        <f>IF(U36=0,0,U36*Q36)</f>
        <v>969.4415093011911</v>
      </c>
      <c r="Z36" s="262">
        <f>IF(V36=0,0,V36*R36)</f>
        <v>1728.2641908631178</v>
      </c>
      <c r="AA36" s="262">
        <f>IF(W36=0,0,W36*S36)</f>
        <v>207.23642142282824</v>
      </c>
      <c r="AB36" s="294" t="s">
        <v>2</v>
      </c>
      <c r="AC36" s="262">
        <f>SUM(Y36:AA36)</f>
        <v>2904.9421215871371</v>
      </c>
      <c r="AD36" s="264">
        <f>AC36*AE36/1000/1000</f>
        <v>7.300216212403134</v>
      </c>
      <c r="AE36" s="265">
        <f>IF($C36="","",VLOOKUP($C36+$F$11*1000,DSS_Calc!$A:$JV,AE$30,FALSE))</f>
        <v>2513.0332746232498</v>
      </c>
      <c r="AF36" s="264">
        <f>IF($C36="","",VLOOKUP($C36+$F$11*1000,DSS_Calc!$A:$JV,AF$30,FALSE))</f>
        <v>7.7666747856005607</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+250 CC, 0/0/0.9/3.9</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2.364640418239309</v>
      </c>
      <c r="B37" s="402"/>
      <c r="C37" s="564">
        <f>AI37/(AC37/(VLOOKUP($C36+$F$11*1000,DSS_Calc!$A:$JV,DSS_Calc!BX$92,FALSE)-$AC$33))</f>
        <v>2.4190066982339236</v>
      </c>
      <c r="D37" s="266" t="s">
        <v>141</v>
      </c>
      <c r="F37" s="267">
        <f>ROUND(F36-F$33,0)</f>
        <v>250</v>
      </c>
      <c r="G37" s="267"/>
      <c r="H37" s="267"/>
      <c r="I37" s="267">
        <f t="shared" ref="I37:O37" si="4">ROUND(I36-I$33,0)</f>
        <v>0</v>
      </c>
      <c r="J37" s="267">
        <f t="shared" si="4"/>
        <v>0</v>
      </c>
      <c r="K37" s="267">
        <f t="shared" si="4"/>
        <v>0</v>
      </c>
      <c r="L37" s="267">
        <f t="shared" si="4"/>
        <v>0</v>
      </c>
      <c r="M37" s="267">
        <f t="shared" si="4"/>
        <v>0</v>
      </c>
      <c r="N37" s="267">
        <f t="shared" si="4"/>
        <v>0</v>
      </c>
      <c r="O37" s="267">
        <f t="shared" si="4"/>
        <v>0</v>
      </c>
      <c r="P37" s="294"/>
      <c r="Q37" s="267">
        <f t="shared" ref="Q37:S37" si="5">Q36-Q$33</f>
        <v>250</v>
      </c>
      <c r="R37" s="267">
        <f t="shared" si="5"/>
        <v>340.92738911594688</v>
      </c>
      <c r="S37" s="267">
        <f t="shared" si="5"/>
        <v>0</v>
      </c>
      <c r="T37" s="294"/>
      <c r="U37" s="268">
        <f>U36-U$33</f>
        <v>-3.018788826021912E-3</v>
      </c>
      <c r="V37" s="268">
        <f>V36-V$33</f>
        <v>9.0097443132018951E-3</v>
      </c>
      <c r="W37" s="268">
        <f>W36-W$33</f>
        <v>-5.9909554871801704E-3</v>
      </c>
      <c r="X37" s="294"/>
      <c r="Y37" s="267">
        <f>Y36-Y$33</f>
        <v>99.185560004610579</v>
      </c>
      <c r="Z37" s="267">
        <f>Z36-Z$33</f>
        <v>207.4577069038844</v>
      </c>
      <c r="AA37" s="267">
        <f>AA36-AA$33</f>
        <v>-26.472333357379057</v>
      </c>
      <c r="AB37" s="294"/>
      <c r="AC37" s="267">
        <f>IFERROR(AC36-AC$33,NA())</f>
        <v>280.17093355111592</v>
      </c>
      <c r="AD37" s="269">
        <f>AD36-AD$33</f>
        <v>0.95191369515823787</v>
      </c>
      <c r="AE37" s="270">
        <f t="shared" si="3"/>
        <v>94.421493839798586</v>
      </c>
      <c r="AF37" s="269">
        <f t="shared" si="3"/>
        <v>-0.38580962884172543</v>
      </c>
      <c r="AG37" s="301">
        <f>AF37/AF$33</f>
        <v>-4.7324178646481814E-2</v>
      </c>
      <c r="AH37" s="268"/>
      <c r="AI37" s="301">
        <f>IFERROR(AE37/$AE$33,NA())</f>
        <v>3.9039541025146667E-2</v>
      </c>
      <c r="AJ37" s="289"/>
      <c r="AK37" s="749"/>
      <c r="AL37" s="750">
        <f>$AE36*U36-$AE$33*U$33</f>
        <v>32.497032868002179</v>
      </c>
      <c r="AM37" s="750">
        <f>$AE36*V36-$AE$33*V$33</f>
        <v>71.985917886186144</v>
      </c>
      <c r="AN37" s="750">
        <f>$AE36*W36-$AE$33*W$33</f>
        <v>-10.061456914390092</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48</v>
      </c>
      <c r="D38" s="396" t="str">
        <f>"Scenario " &amp; A38</f>
        <v>Scenario C</v>
      </c>
      <c r="E38" s="272" t="s">
        <v>2</v>
      </c>
      <c r="F38" s="397">
        <f>IF($C38="","",VLOOKUP($C38+$F$11*1000,DSS_Calc!$A:$JV,F$30,FALSE))</f>
        <v>1756.832975525977</v>
      </c>
      <c r="G38" s="397" t="str">
        <f>IF($C38="","",VLOOKUP($C38+$F$11*1000,DSS_Calc!$A:$JV,G$30,FALSE))</f>
        <v>0/0.9/1.9/3.9</v>
      </c>
      <c r="H38" s="397">
        <f>IF($C38="","",VLOOKUP($C38+$F$11*1000,DSS_Calc!$A:$JV,H$30,FALSE))</f>
        <v>0</v>
      </c>
      <c r="I38" s="397">
        <f>IF($C38="","",VLOOKUP($C38+$F$11*1000,DSS_Calc!$A:$JV,I$30,FALSE))</f>
        <v>0</v>
      </c>
      <c r="J38" s="397">
        <f>IF($C38="","",VLOOKUP($C38+$F$11*1000,DSS_Calc!$A:$JV,J$30,FALSE))</f>
        <v>2227</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2550.0000000000005</v>
      </c>
      <c r="R38" s="397">
        <f>IF($C38="","",VLOOKUP($C38+$F$11*1000,DSS_Calc!$A:$JV,R$30,FALSE)*IF(V38=0,0,1))</f>
        <v>2910.309055652991</v>
      </c>
      <c r="S38" s="397">
        <f>IF($C38="","",VLOOKUP($C38+$F$11*1000,DSS_Calc!$A:$JV,S$30,FALSE)*IF(W38=0,0,1))</f>
        <v>4058.7164157747848</v>
      </c>
      <c r="T38" s="294" t="s">
        <v>2</v>
      </c>
      <c r="U38" s="398">
        <f>IF($C38="","",VLOOKUP($C38+$F$11*1000,DSS_Calc!$A:$JV,U$30,FALSE))</f>
        <v>0.46203241567726783</v>
      </c>
      <c r="V38" s="398">
        <f>IF($C38="","",VLOOKUP($C38+$F$11*1000,DSS_Calc!$A:$JV,V$30,FALSE))</f>
        <v>0.50190688763015767</v>
      </c>
      <c r="W38" s="398">
        <f>IF($C38="","",VLOOKUP($C38+$F$11*1000,DSS_Calc!$A:$JV,W$30,FALSE))</f>
        <v>3.6060696692574563E-2</v>
      </c>
      <c r="X38" s="294" t="s">
        <v>2</v>
      </c>
      <c r="Y38" s="397">
        <f>IF(U38=0,0,U38*Q38)</f>
        <v>1178.1826599770332</v>
      </c>
      <c r="Z38" s="397">
        <f>IF(V38=0,0,V38*R38)</f>
        <v>1460.7041601646561</v>
      </c>
      <c r="AA38" s="397">
        <f>IF(W38=0,0,W38*S38)</f>
        <v>146.36014163042788</v>
      </c>
      <c r="AB38" s="294" t="s">
        <v>2</v>
      </c>
      <c r="AC38" s="397">
        <f>SUM(Y38:AA38)</f>
        <v>2785.2469617721167</v>
      </c>
      <c r="AD38" s="399">
        <f>AC38*AE38/1000/1000</f>
        <v>6.8914463352624251</v>
      </c>
      <c r="AE38" s="400">
        <f>IF($C38="","",VLOOKUP($C38+$F$11*1000,DSS_Calc!$A:$JV,AE$30,FALSE))</f>
        <v>2474.2676070913776</v>
      </c>
      <c r="AF38" s="399">
        <f>IF($C38="","",VLOOKUP($C38+$F$11*1000,DSS_Calc!$A:$JV,AF$30,FALSE))</f>
        <v>7.9430251030539294</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+500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1.8313673220999918</v>
      </c>
      <c r="B39" s="402"/>
      <c r="C39" s="564">
        <f>AI39/(AC39/(VLOOKUP($C38+$F$11*1000,DSS_Calc!$A:$JV,DSS_Calc!BX$92,FALSE)-$AC$33))</f>
        <v>2.4893756532507996</v>
      </c>
      <c r="D39" s="403" t="s">
        <v>141</v>
      </c>
      <c r="F39" s="404">
        <f>ROUND(F38-F$33,0)</f>
        <v>500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500.00000000000045</v>
      </c>
      <c r="R39" s="404">
        <f t="shared" si="7"/>
        <v>0.19962177218258148</v>
      </c>
      <c r="S39" s="404">
        <f t="shared" si="7"/>
        <v>-360</v>
      </c>
      <c r="T39" s="294"/>
      <c r="U39" s="405">
        <f>U38-U$33</f>
        <v>3.7517318459423687E-2</v>
      </c>
      <c r="V39" s="405">
        <f>V38-V$33</f>
        <v>-2.0687371628039797E-2</v>
      </c>
      <c r="W39" s="405">
        <f>W38-W$33</f>
        <v>-1.6829946831383835E-2</v>
      </c>
      <c r="X39" s="294"/>
      <c r="Y39" s="404">
        <f>Y38-Y$33</f>
        <v>307.92671068045263</v>
      </c>
      <c r="Z39" s="404">
        <f>Z38-Z$33</f>
        <v>-60.102323794577387</v>
      </c>
      <c r="AA39" s="404">
        <f>AA38-AA$33</f>
        <v>-87.348613149779425</v>
      </c>
      <c r="AB39" s="294"/>
      <c r="AC39" s="404">
        <f>IFERROR(AC38-AC$33,NA())</f>
        <v>160.47577373609556</v>
      </c>
      <c r="AD39" s="406">
        <f>AD38-AD$33</f>
        <v>0.54314381801752898</v>
      </c>
      <c r="AE39" s="407">
        <f t="shared" si="3"/>
        <v>55.655826307926418</v>
      </c>
      <c r="AF39" s="406">
        <f t="shared" si="3"/>
        <v>-0.20945931138835672</v>
      </c>
      <c r="AG39" s="408">
        <f>AF39/AF$33</f>
        <v>-2.569269694245541E-2</v>
      </c>
      <c r="AH39" s="405"/>
      <c r="AI39" s="408">
        <f>IFERROR(AE39/$AE$33,NA())</f>
        <v>2.3011475735844656E-2</v>
      </c>
      <c r="AJ39" s="289"/>
      <c r="AK39" s="749"/>
      <c r="AL39" s="750">
        <f>$AE38*U38-$AE$33*U$33</f>
        <v>116.45462428493215</v>
      </c>
      <c r="AM39" s="750">
        <f>$AE38*V38-$AE$33*V$33</f>
        <v>-22.100678172326297</v>
      </c>
      <c r="AN39" s="750">
        <f>$AE38*W38-$AE$33*W$33</f>
        <v>-38.698119804679308</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47</v>
      </c>
      <c r="D40" s="261" t="str">
        <f>"Scenario " &amp; A40</f>
        <v>Scenario D</v>
      </c>
      <c r="E40" s="272" t="s">
        <v>2</v>
      </c>
      <c r="F40" s="262">
        <f>IF($C40="","",VLOOKUP($C40+$F$11*1000,DSS_Calc!$A:$JV,F$30,FALSE))</f>
        <v>1506.832975525977</v>
      </c>
      <c r="G40" s="262" t="str">
        <f>IF($C40="","",VLOOKUP($C40+$F$11*1000,DSS_Calc!$A:$JV,G$30,FALSE))</f>
        <v>0/0.9/1.9/3.9</v>
      </c>
      <c r="H40" s="262">
        <f>IF($C40="","",VLOOKUP($C40+$F$11*1000,DSS_Calc!$A:$JV,H$30,FALSE))</f>
        <v>0</v>
      </c>
      <c r="I40" s="262">
        <f>IF($C40="","",VLOOKUP($C40+$F$11*1000,DSS_Calc!$A:$JV,I$30,FALSE))</f>
        <v>0</v>
      </c>
      <c r="J40" s="262">
        <f>IF($C40="","",VLOOKUP($C40+$F$11*1000,DSS_Calc!$A:$JV,J$30,FALSE))</f>
        <v>2227</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2300</v>
      </c>
      <c r="R40" s="262">
        <f>IF($C40="","",VLOOKUP($C40+$F$11*1000,DSS_Calc!$A:$JV,R$30,FALSE)*IF(V40=0,0,1))</f>
        <v>2910.2470302872011</v>
      </c>
      <c r="S40" s="262">
        <f>IF($C40="","",VLOOKUP($C40+$F$11*1000,DSS_Calc!$A:$JV,S$30,FALSE)*IF(W40=0,0,1))</f>
        <v>4058.7164157747848</v>
      </c>
      <c r="T40" s="294" t="s">
        <v>2</v>
      </c>
      <c r="U40" s="263">
        <f>IF($C40="","",VLOOKUP($C40+$F$11*1000,DSS_Calc!$A:$JV,U$30,FALSE))</f>
        <v>0.44731899196420505</v>
      </c>
      <c r="V40" s="263">
        <f>IF($C40="","",VLOOKUP($C40+$F$11*1000,DSS_Calc!$A:$JV,V$30,FALSE))</f>
        <v>0.51335246206600749</v>
      </c>
      <c r="W40" s="263">
        <f>IF($C40="","",VLOOKUP($C40+$F$11*1000,DSS_Calc!$A:$JV,W$30,FALSE))</f>
        <v>3.9328545969787659E-2</v>
      </c>
      <c r="X40" s="294" t="s">
        <v>2</v>
      </c>
      <c r="Y40" s="262">
        <f>IF(U40=0,0,U40*Q40)</f>
        <v>1028.8336815176717</v>
      </c>
      <c r="Z40" s="262">
        <f>IF(V40=0,0,V40*R40)</f>
        <v>1493.9824782182213</v>
      </c>
      <c r="AA40" s="262">
        <f>IF(W40=0,0,W40*S40)</f>
        <v>159.62341513613043</v>
      </c>
      <c r="AB40" s="294" t="s">
        <v>2</v>
      </c>
      <c r="AC40" s="262">
        <f>SUM(Y40:AA40)</f>
        <v>2682.4395748720235</v>
      </c>
      <c r="AD40" s="264">
        <f>AC40*AE40/1000/1000</f>
        <v>6.546698065106904</v>
      </c>
      <c r="AE40" s="265">
        <f>IF($C40="","",VLOOKUP($C40+$F$11*1000,DSS_Calc!$A:$JV,AE$30,FALSE))</f>
        <v>2440.5761555390268</v>
      </c>
      <c r="AF40" s="264">
        <f>IF($C40="","",VLOOKUP($C40+$F$11*1000,DSS_Calc!$A:$JV,AF$30,FALSE))</f>
        <v>8.0857762754273299</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+250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1.6129705193807582</v>
      </c>
      <c r="B41" s="402"/>
      <c r="C41" s="564">
        <f>AI41/(AC41/(VLOOKUP($C40+$F$11*1000,DSS_Calc!$A:$JV,DSS_Calc!BX$92,FALSE)-$AC$33))</f>
        <v>2.7338225598996466</v>
      </c>
      <c r="D41" s="266" t="s">
        <v>141</v>
      </c>
      <c r="F41" s="267">
        <f>ROUND(F40-F$33,0)</f>
        <v>250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250</v>
      </c>
      <c r="R41" s="267">
        <f t="shared" si="9"/>
        <v>0.1375964063927313</v>
      </c>
      <c r="S41" s="267">
        <f t="shared" si="9"/>
        <v>-360</v>
      </c>
      <c r="T41" s="294"/>
      <c r="U41" s="268">
        <f>U40-U$33</f>
        <v>2.2803894746360909E-2</v>
      </c>
      <c r="V41" s="268">
        <f>V40-V$33</f>
        <v>-9.2417971921899822E-3</v>
      </c>
      <c r="W41" s="268">
        <f>W40-W$33</f>
        <v>-1.3562097554170739E-2</v>
      </c>
      <c r="X41" s="294"/>
      <c r="Y41" s="267">
        <f>Y40-Y$33</f>
        <v>158.5777322210912</v>
      </c>
      <c r="Z41" s="267">
        <f>Z40-Z$33</f>
        <v>-26.824005741012115</v>
      </c>
      <c r="AA41" s="267">
        <f>AA40-AA$33</f>
        <v>-74.085339644076868</v>
      </c>
      <c r="AB41" s="294"/>
      <c r="AC41" s="267">
        <f>IFERROR(AC40-AC$33,NA())</f>
        <v>57.668386836002355</v>
      </c>
      <c r="AD41" s="269">
        <f>AD40-AD$33</f>
        <v>0.19839554786200786</v>
      </c>
      <c r="AE41" s="270">
        <f t="shared" si="3"/>
        <v>21.964374755575591</v>
      </c>
      <c r="AF41" s="269">
        <f t="shared" si="3"/>
        <v>-6.6708139014956203E-2</v>
      </c>
      <c r="AG41" s="301">
        <f>AF41/AF$33</f>
        <v>-8.1825533940036027E-3</v>
      </c>
      <c r="AH41" s="268"/>
      <c r="AI41" s="301">
        <f>IFERROR(AE41/$AE$33,NA())</f>
        <v>9.0813974074254941E-3</v>
      </c>
      <c r="AJ41" s="289"/>
      <c r="AK41" s="749"/>
      <c r="AL41" s="750">
        <f>$AE40*U40-$AE$33*U$33</f>
        <v>64.978850456082455</v>
      </c>
      <c r="AM41" s="750">
        <f>$AE40*V40-$AE$33*V$33</f>
        <v>-11.076853706126712</v>
      </c>
      <c r="AN41" s="750">
        <f>$AE40*W40-$AE$33*W$33</f>
        <v>-31.937621994379484</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31</v>
      </c>
      <c r="D42" s="396" t="str">
        <f>"Scenario " &amp; A42</f>
        <v>Scenario E</v>
      </c>
      <c r="E42" s="272" t="s">
        <v>2</v>
      </c>
      <c r="F42" s="397">
        <f>IF($C42="","",VLOOKUP($C42+$F$11*1000,DSS_Calc!$A:$JV,F$30,FALSE))</f>
        <v>1506.832975525977</v>
      </c>
      <c r="G42" s="397" t="str">
        <f>IF($C42="","",VLOOKUP($C42+$F$11*1000,DSS_Calc!$A:$JV,G$30,FALSE))</f>
        <v>0/0.9/1.9/3.9</v>
      </c>
      <c r="H42" s="397">
        <f>IF($C42="","",VLOOKUP($C42+$F$11*1000,DSS_Calc!$A:$JV,H$30,FALSE))</f>
        <v>0</v>
      </c>
      <c r="I42" s="397">
        <f>IF($C42="","",VLOOKUP($C42+$F$11*1000,DSS_Calc!$A:$JV,I$30,FALSE))</f>
        <v>250</v>
      </c>
      <c r="J42" s="397">
        <f>IF($C42="","",VLOOKUP($C42+$F$11*1000,DSS_Calc!$A:$JV,J$30,FALSE))</f>
        <v>2587</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2300</v>
      </c>
      <c r="R42" s="397">
        <f>IF($C42="","",VLOOKUP($C42+$F$11*1000,DSS_Calc!$A:$JV,R$30,FALSE)*IF(V42=0,0,1))</f>
        <v>3160.1962493991464</v>
      </c>
      <c r="S42" s="397">
        <f>IF($C42="","",VLOOKUP($C42+$F$11*1000,DSS_Calc!$A:$JV,S$30,FALSE)*IF(W42=0,0,1))</f>
        <v>4418.7164157747848</v>
      </c>
      <c r="T42" s="294" t="s">
        <v>2</v>
      </c>
      <c r="U42" s="398">
        <f>IF($C42="","",VLOOKUP($C42+$F$11*1000,DSS_Calc!$A:$JV,U$30,FALSE))</f>
        <v>0.42839199768776481</v>
      </c>
      <c r="V42" s="398">
        <f>IF($C42="","",VLOOKUP($C42+$F$11*1000,DSS_Calc!$A:$JV,V$30,FALSE))</f>
        <v>0.52414180631560026</v>
      </c>
      <c r="W42" s="398">
        <f>IF($C42="","",VLOOKUP($C42+$F$11*1000,DSS_Calc!$A:$JV,W$30,FALSE))</f>
        <v>4.7466195996635069E-2</v>
      </c>
      <c r="X42" s="294" t="s">
        <v>2</v>
      </c>
      <c r="Y42" s="397">
        <f>IF(U42=0,0,U42*Q42)</f>
        <v>985.30159468185911</v>
      </c>
      <c r="Z42" s="397">
        <f>IF(V42=0,0,V42*R42)</f>
        <v>1656.3909704718537</v>
      </c>
      <c r="AA42" s="397">
        <f>IF(W42=0,0,W42*S42)</f>
        <v>209.73965944471476</v>
      </c>
      <c r="AB42" s="294" t="s">
        <v>2</v>
      </c>
      <c r="AC42" s="397">
        <f>SUM(Y42:AA42)</f>
        <v>2851.4322245984276</v>
      </c>
      <c r="AD42" s="399">
        <f>AC42*AE42/1000/1000</f>
        <v>7.112229829660186</v>
      </c>
      <c r="AE42" s="400">
        <f>IF($C42="","",VLOOKUP($C42+$F$11*1000,DSS_Calc!$A:$JV,AE$30,FALSE))</f>
        <v>2494.2657827547746</v>
      </c>
      <c r="AF42" s="399">
        <f>IF($C42="","",VLOOKUP($C42+$F$11*1000,DSS_Calc!$A:$JV,AF$30,FALSE))</f>
        <v>7.8421406708460655</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+250 CC, +250 APR Cash</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2.279910520660152</v>
      </c>
      <c r="B43" s="402"/>
      <c r="C43" s="564">
        <f>AI43/(AC43/(VLOOKUP($C42+$F$11*1000,DSS_Calc!$A:$JV,DSS_Calc!BX$92,FALSE)-$AC$33))</f>
        <v>2.3957655569174232</v>
      </c>
      <c r="D43" s="403" t="s">
        <v>141</v>
      </c>
      <c r="F43" s="404">
        <f>ROUND(F42-F$33,0)</f>
        <v>250</v>
      </c>
      <c r="G43" s="404"/>
      <c r="H43" s="404"/>
      <c r="I43" s="404">
        <f t="shared" ref="I43:O43" si="10">ROUND(I42-I$33,0)</f>
        <v>250</v>
      </c>
      <c r="J43" s="404">
        <f t="shared" si="10"/>
        <v>0</v>
      </c>
      <c r="K43" s="404">
        <f t="shared" si="10"/>
        <v>0</v>
      </c>
      <c r="L43" s="404">
        <f t="shared" si="10"/>
        <v>0</v>
      </c>
      <c r="M43" s="404">
        <f t="shared" si="10"/>
        <v>0</v>
      </c>
      <c r="N43" s="404">
        <f t="shared" si="10"/>
        <v>0</v>
      </c>
      <c r="O43" s="404">
        <f t="shared" si="10"/>
        <v>0</v>
      </c>
      <c r="P43" s="294"/>
      <c r="Q43" s="404">
        <f t="shared" ref="Q43:S43" si="11">Q42-Q$33</f>
        <v>250</v>
      </c>
      <c r="R43" s="404">
        <f t="shared" si="11"/>
        <v>250.08681551833797</v>
      </c>
      <c r="S43" s="404">
        <f t="shared" si="11"/>
        <v>0</v>
      </c>
      <c r="T43" s="294"/>
      <c r="U43" s="405">
        <f>U42-U$33</f>
        <v>3.8769004699206744E-3</v>
      </c>
      <c r="V43" s="405">
        <f>V42-V$33</f>
        <v>1.5475470574027872E-3</v>
      </c>
      <c r="W43" s="405">
        <f>W42-W$33</f>
        <v>-5.4244475273233297E-3</v>
      </c>
      <c r="X43" s="294"/>
      <c r="Y43" s="404">
        <f>Y42-Y$33</f>
        <v>115.04564538527859</v>
      </c>
      <c r="Z43" s="404">
        <f>Z42-Z$33</f>
        <v>135.58448651262029</v>
      </c>
      <c r="AA43" s="404">
        <f>AA42-AA$33</f>
        <v>-23.96909533549254</v>
      </c>
      <c r="AB43" s="294"/>
      <c r="AC43" s="404">
        <f>IFERROR(AC42-AC$33,NA())</f>
        <v>226.66103656240648</v>
      </c>
      <c r="AD43" s="406">
        <f>AD42-AD$33</f>
        <v>0.76392731241528988</v>
      </c>
      <c r="AE43" s="407">
        <f t="shared" si="3"/>
        <v>75.654001971323396</v>
      </c>
      <c r="AF43" s="406">
        <f t="shared" si="3"/>
        <v>-0.31034374359622063</v>
      </c>
      <c r="AG43" s="408">
        <f>AF43/AF$33</f>
        <v>-3.8067382630801554E-2</v>
      </c>
      <c r="AH43" s="405"/>
      <c r="AI43" s="408">
        <f>IFERROR(AE43/$AE$33,NA())</f>
        <v>3.1279927838115923E-2</v>
      </c>
      <c r="AJ43" s="289"/>
      <c r="AK43" s="751"/>
      <c r="AL43" s="750">
        <f>$AE42*U42-$AE$33*U$33</f>
        <v>41.786286187044425</v>
      </c>
      <c r="AM43" s="750">
        <f>$AE42*V42-$AE$33*V$33</f>
        <v>43.396340792604633</v>
      </c>
      <c r="AN43" s="750">
        <f>$AE42*W42-$AE$33*W$33</f>
        <v>-9.5286250083252213</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40</v>
      </c>
      <c r="D44" s="261" t="str">
        <f>"Scenario " &amp; A44</f>
        <v>Scenario F</v>
      </c>
      <c r="E44" s="272" t="s">
        <v>2</v>
      </c>
      <c r="F44" s="262">
        <f>IF($C44="","",VLOOKUP($C44+$F$11*1000,DSS_Calc!$A:$JV,F$30,FALSE))</f>
        <v>1756.832975525977</v>
      </c>
      <c r="G44" s="262" t="str">
        <f>IF($C44="","",VLOOKUP($C44+$F$11*1000,DSS_Calc!$A:$JV,G$30,FALSE))</f>
        <v>0/0.9/1.9/3.9</v>
      </c>
      <c r="H44" s="262">
        <f>IF($C44="","",VLOOKUP($C44+$F$11*1000,DSS_Calc!$A:$JV,H$30,FALSE))</f>
        <v>0</v>
      </c>
      <c r="I44" s="262">
        <f>IF($C44="","",VLOOKUP($C44+$F$11*1000,DSS_Calc!$A:$JV,I$30,FALSE))</f>
        <v>0</v>
      </c>
      <c r="J44" s="262">
        <f>IF($C44="","",VLOOKUP($C44+$F$11*1000,DSS_Calc!$A:$JV,J$30,FALSE))</f>
        <v>2947</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2550</v>
      </c>
      <c r="R44" s="262">
        <f>IF($C44="","",VLOOKUP($C44+$F$11*1000,DSS_Calc!$A:$JV,R$30,FALSE)*IF(V44=0,0,1))</f>
        <v>2910.1851739939116</v>
      </c>
      <c r="S44" s="262">
        <f>IF($C44="","",VLOOKUP($C44+$F$11*1000,DSS_Calc!$A:$JV,S$30,FALSE)*IF(W44=0,0,1))</f>
        <v>4778.7164157747848</v>
      </c>
      <c r="T44" s="294" t="s">
        <v>2</v>
      </c>
      <c r="U44" s="263">
        <f>IF($C44="","",VLOOKUP($C44+$F$11*1000,DSS_Calc!$A:$JV,U$30,FALSE))</f>
        <v>0.44791318354106013</v>
      </c>
      <c r="V44" s="263">
        <f>IF($C44="","",VLOOKUP($C44+$F$11*1000,DSS_Calc!$A:$JV,V$30,FALSE))</f>
        <v>0.49781177304274493</v>
      </c>
      <c r="W44" s="263">
        <f>IF($C44="","",VLOOKUP($C44+$F$11*1000,DSS_Calc!$A:$JV,W$30,FALSE))</f>
        <v>5.4275043416194928E-2</v>
      </c>
      <c r="X44" s="294" t="s">
        <v>2</v>
      </c>
      <c r="Y44" s="262">
        <f>IF(U44=0,0,U44*Q44)</f>
        <v>1142.1786180297033</v>
      </c>
      <c r="Z44" s="262">
        <f>IF(V44=0,0,V44*R44)</f>
        <v>1448.7244413486183</v>
      </c>
      <c r="AA44" s="262">
        <f>IF(W44=0,0,W44*S44)</f>
        <v>259.36504093985985</v>
      </c>
      <c r="AB44" s="294" t="s">
        <v>2</v>
      </c>
      <c r="AC44" s="262">
        <f>SUM(Y44:AA44)</f>
        <v>2850.2681003181815</v>
      </c>
      <c r="AD44" s="264">
        <f>AC44*AE44/1000/1000</f>
        <v>7.104129486673866</v>
      </c>
      <c r="AE44" s="265">
        <f>IF($C44="","",VLOOKUP($C44+$F$11*1000,DSS_Calc!$A:$JV,AE$30,FALSE))</f>
        <v>2492.4425480819918</v>
      </c>
      <c r="AF44" s="264">
        <f>IF($C44="","",VLOOKUP($C44+$F$11*1000,DSS_Calc!$A:$JV,AF$30,FALSE))</f>
        <v>7.8393098103517156</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+500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2.1760470851084435</v>
      </c>
      <c r="B45" s="402"/>
      <c r="C45" s="564">
        <f>AI45/(AC45/(VLOOKUP($C44+$F$11*1000,DSS_Calc!$A:$JV,DSS_Calc!BX$92,FALSE)-$AC$33))</f>
        <v>2.350098490185883</v>
      </c>
      <c r="D45" s="266" t="s">
        <v>141</v>
      </c>
      <c r="F45" s="267">
        <f>ROUND(F44-F$33,0)</f>
        <v>500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500</v>
      </c>
      <c r="R45" s="267">
        <f t="shared" si="13"/>
        <v>7.574011310316564E-2</v>
      </c>
      <c r="S45" s="267">
        <f t="shared" si="13"/>
        <v>360</v>
      </c>
      <c r="T45" s="294"/>
      <c r="U45" s="268">
        <f>U44-U$33</f>
        <v>2.3398086323215994E-2</v>
      </c>
      <c r="V45" s="268">
        <f>V44-V$33</f>
        <v>-2.4782486215452537E-2</v>
      </c>
      <c r="W45" s="268">
        <f>W44-W$33</f>
        <v>1.3843998922365292E-3</v>
      </c>
      <c r="X45" s="294"/>
      <c r="Y45" s="267">
        <f>Y44-Y$33</f>
        <v>271.9226687331228</v>
      </c>
      <c r="Z45" s="267">
        <f>Z44-Z$33</f>
        <v>-72.08204261061519</v>
      </c>
      <c r="AA45" s="267">
        <f>AA44-AA$33</f>
        <v>25.656286159652552</v>
      </c>
      <c r="AB45" s="294"/>
      <c r="AC45" s="267">
        <f>IFERROR(AC44-AC$33,NA())</f>
        <v>225.49691228216034</v>
      </c>
      <c r="AD45" s="269">
        <f>AD44-AD$33</f>
        <v>0.75582696942896987</v>
      </c>
      <c r="AE45" s="270">
        <f t="shared" si="3"/>
        <v>73.83076729854065</v>
      </c>
      <c r="AF45" s="269">
        <f t="shared" si="3"/>
        <v>-0.31317460409057052</v>
      </c>
      <c r="AG45" s="268">
        <f>AF45/AF$33</f>
        <v>-3.8414621625743384E-2</v>
      </c>
      <c r="AH45" s="268"/>
      <c r="AI45" s="301">
        <f>IFERROR(AE45/$AE$33,NA())</f>
        <v>3.0526092647504159E-2</v>
      </c>
      <c r="AJ45" s="289"/>
      <c r="AK45" s="751"/>
      <c r="AL45" s="750">
        <f>$AE44*U44-$AE$33*U$33</f>
        <v>89.660661253086801</v>
      </c>
      <c r="AM45" s="750">
        <f>$AE44*V44-$AE$33*V$33</f>
        <v>-23.185387943804017</v>
      </c>
      <c r="AN45" s="750">
        <f>$AE44*W44-$AE$33*W$33</f>
        <v>7.3554939892578943</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77</v>
      </c>
      <c r="D46" s="396" t="str">
        <f>"Scenario " &amp; A46</f>
        <v>Scenario G</v>
      </c>
      <c r="E46" s="272" t="s">
        <v>2</v>
      </c>
      <c r="F46" s="397">
        <f>IF($C46="","",VLOOKUP($C46+$F$11*1000,DSS_Calc!$A:$JV,F$30,FALSE))</f>
        <v>1006.832975525977</v>
      </c>
      <c r="G46" s="397" t="str">
        <f>IF($C46="","",VLOOKUP($C46+$F$11*1000,DSS_Calc!$A:$JV,G$30,FALSE))</f>
        <v>0/0.9/1.9/3.9</v>
      </c>
      <c r="H46" s="397">
        <f>IF($C46="","",VLOOKUP($C46+$F$11*1000,DSS_Calc!$A:$JV,H$30,FALSE))</f>
        <v>0</v>
      </c>
      <c r="I46" s="397">
        <f>IF($C46="","",VLOOKUP($C46+$F$11*1000,DSS_Calc!$A:$JV,I$30,FALSE))</f>
        <v>0</v>
      </c>
      <c r="J46" s="397">
        <f>IF($C46="","",VLOOKUP($C46+$F$11*1000,DSS_Calc!$A:$JV,J$30,FALSE))</f>
        <v>2227</v>
      </c>
      <c r="K46" s="397">
        <f>IF($C46="","",VLOOKUP($C46+$F$11*1000,DSS_Calc!$A:$JV,K$30,FALSE))</f>
        <v>0</v>
      </c>
      <c r="L46" s="397">
        <f>IF($C46="","",VLOOKUP($C46+$F$11*1000,DSS_Calc!$A:$JV,L$30,FALSE))</f>
        <v>0</v>
      </c>
      <c r="M46" s="397">
        <f>IF($C46="","",VLOOKUP($C46+$F$11*1000,DSS_Calc!$A:$JV,M$30,FALSE))</f>
        <v>0</v>
      </c>
      <c r="N46" s="397">
        <f>IF($C46="","",VLOOKUP($C46+$F$11*1000,DSS_Calc!$A:$JV,N$30,FALSE))</f>
        <v>0</v>
      </c>
      <c r="O46" s="397">
        <f>IF($C46="","",VLOOKUP($C46+$F$11*1000,DSS_Calc!$A:$JV,O$30,FALSE))</f>
        <v>0</v>
      </c>
      <c r="P46" s="294" t="s">
        <v>2</v>
      </c>
      <c r="Q46" s="397">
        <f>IF($C46="","",VLOOKUP($C46+$F$11*1000,DSS_Calc!$A:$JV,Q$30,FALSE)*IF(U46=0,0,1))</f>
        <v>1800</v>
      </c>
      <c r="R46" s="397">
        <f>IF($C46="","",VLOOKUP($C46+$F$11*1000,DSS_Calc!$A:$JV,R$30,FALSE)*IF(V46=0,0,1))</f>
        <v>2910.0971311083877</v>
      </c>
      <c r="S46" s="397">
        <f>IF($C46="","",VLOOKUP($C46+$F$11*1000,DSS_Calc!$A:$JV,S$30,FALSE)*IF(W46=0,0,1))</f>
        <v>4058.7164157747848</v>
      </c>
      <c r="T46" s="294" t="s">
        <v>2</v>
      </c>
      <c r="U46" s="398">
        <f>IF($C46="","",VLOOKUP($C46+$F$11*1000,DSS_Calc!$A:$JV,U$30,FALSE))</f>
        <v>0.41628808287584185</v>
      </c>
      <c r="V46" s="398">
        <f>IF($C46="","",VLOOKUP($C46+$F$11*1000,DSS_Calc!$A:$JV,V$30,FALSE))</f>
        <v>0.53669749894840157</v>
      </c>
      <c r="W46" s="398">
        <f>IF($C46="","",VLOOKUP($C46+$F$11*1000,DSS_Calc!$A:$JV,W$30,FALSE))</f>
        <v>4.7014418175756578E-2</v>
      </c>
      <c r="X46" s="294" t="s">
        <v>2</v>
      </c>
      <c r="Y46" s="397">
        <f>IF(U46=0,0,U46*Q46)</f>
        <v>749.31854917651538</v>
      </c>
      <c r="Z46" s="397">
        <f>IF(V46=0,0,V46*R46)</f>
        <v>1561.8418519627903</v>
      </c>
      <c r="AA46" s="397">
        <f>IF(W46=0,0,W46*S46)</f>
        <v>190.81819082804364</v>
      </c>
      <c r="AB46" s="294" t="s">
        <v>2</v>
      </c>
      <c r="AC46" s="397">
        <f>SUM(Y46:AA46)</f>
        <v>2501.9785919673491</v>
      </c>
      <c r="AD46" s="399">
        <f>AC46*AE46/1000/1000</f>
        <v>5.9548524712697333</v>
      </c>
      <c r="AE46" s="400">
        <f>IF($C46="","",VLOOKUP($C46+$F$11*1000,DSS_Calc!$A:$JV,AE$30,FALSE))</f>
        <v>2380.0573235869815</v>
      </c>
      <c r="AF46" s="399">
        <f>IF($C46="","",VLOOKUP($C46+$F$11*1000,DSS_Calc!$A:$JV,AF$30,FALSE))</f>
        <v>8.3147812122960154</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-250 CC, -360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2.2869928895554015</v>
      </c>
      <c r="B47" s="402"/>
      <c r="C47" s="564">
        <f>AI47/(AC47/(VLOOKUP($C46+$F$11*1000,DSS_Calc!$A:$JV,DSS_Calc!BX$92,FALSE)-$AC$33))</f>
        <v>2.2536771058110454</v>
      </c>
      <c r="D47" s="403" t="s">
        <v>141</v>
      </c>
      <c r="F47" s="404">
        <f>ROUND(F46-F$33,0)</f>
        <v>-250</v>
      </c>
      <c r="G47" s="404"/>
      <c r="H47" s="404"/>
      <c r="I47" s="404">
        <f t="shared" ref="I47:O47" si="14">ROUND(I46-I$33,0)</f>
        <v>0</v>
      </c>
      <c r="J47" s="404">
        <f t="shared" si="14"/>
        <v>-360</v>
      </c>
      <c r="K47" s="404">
        <f t="shared" si="14"/>
        <v>0</v>
      </c>
      <c r="L47" s="404">
        <f t="shared" si="14"/>
        <v>0</v>
      </c>
      <c r="M47" s="404">
        <f t="shared" si="14"/>
        <v>0</v>
      </c>
      <c r="N47" s="404">
        <f t="shared" si="14"/>
        <v>0</v>
      </c>
      <c r="O47" s="404">
        <f t="shared" si="14"/>
        <v>0</v>
      </c>
      <c r="P47" s="294"/>
      <c r="Q47" s="404">
        <f t="shared" ref="Q47:S47" si="15">Q46-Q$33</f>
        <v>-250</v>
      </c>
      <c r="R47" s="404">
        <f t="shared" si="15"/>
        <v>-1.2302772420753172E-2</v>
      </c>
      <c r="S47" s="404">
        <f t="shared" si="15"/>
        <v>-360</v>
      </c>
      <c r="T47" s="294"/>
      <c r="U47" s="405">
        <f>U46-U$33</f>
        <v>-8.2270143420022923E-3</v>
      </c>
      <c r="V47" s="405">
        <f>V46-V$33</f>
        <v>1.4103239690204106E-2</v>
      </c>
      <c r="W47" s="405">
        <f>W46-W$33</f>
        <v>-5.8762253482018204E-3</v>
      </c>
      <c r="X47" s="294"/>
      <c r="Y47" s="404">
        <f>Y46-Y$33</f>
        <v>-120.93740012006515</v>
      </c>
      <c r="Z47" s="404">
        <f>Z46-Z$33</f>
        <v>41.035368003556869</v>
      </c>
      <c r="AA47" s="404">
        <f>AA46-AA$33</f>
        <v>-42.89056395216366</v>
      </c>
      <c r="AB47" s="294"/>
      <c r="AC47" s="404">
        <f>IFERROR(AC46-AC$33,NA())</f>
        <v>-122.79259606867208</v>
      </c>
      <c r="AD47" s="406">
        <f>AD46-AD$33</f>
        <v>-0.39345004597516287</v>
      </c>
      <c r="AE47" s="407">
        <f t="shared" si="3"/>
        <v>-38.554457196469684</v>
      </c>
      <c r="AF47" s="406">
        <f t="shared" si="3"/>
        <v>0.1622967978537293</v>
      </c>
      <c r="AG47" s="405">
        <f>AF47/AF$33</f>
        <v>1.9907648957441407E-2</v>
      </c>
      <c r="AH47" s="405"/>
      <c r="AI47" s="408">
        <f>IFERROR(AE47/$AE$33,NA())</f>
        <v>-1.594073819651242E-2</v>
      </c>
      <c r="AJ47" s="289"/>
      <c r="AK47" s="751"/>
      <c r="AL47" s="750">
        <f>$AE46*U46-$AE$33*U$33</f>
        <v>-35.947714880878266</v>
      </c>
      <c r="AM47" s="750">
        <f>$AE46*V46-$AE$33*V$33</f>
        <v>13.418180911281979</v>
      </c>
      <c r="AN47" s="750">
        <f>$AE46*W46-$AE$33*W$33</f>
        <v>-16.024923226873398</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76</v>
      </c>
      <c r="D48" s="261" t="str">
        <f>"Scenario " &amp; A48</f>
        <v>Scenario H</v>
      </c>
      <c r="E48" s="272" t="s">
        <v>2</v>
      </c>
      <c r="F48" s="262">
        <f>IF($C48="","",VLOOKUP($C48+$F$11*1000,DSS_Calc!$A:$JV,F$30,FALSE))</f>
        <v>1256.832975525977</v>
      </c>
      <c r="G48" s="262" t="str">
        <f>IF($C48="","",VLOOKUP($C48+$F$11*1000,DSS_Calc!$A:$JV,G$30,FALSE))</f>
        <v>0/0.9/1.9/3.9</v>
      </c>
      <c r="H48" s="262">
        <f>IF($C48="","",VLOOKUP($C48+$F$11*1000,DSS_Calc!$A:$JV,H$30,FALSE))</f>
        <v>0</v>
      </c>
      <c r="I48" s="262">
        <f>IF($C48="","",VLOOKUP($C48+$F$11*1000,DSS_Calc!$A:$JV,I$30,FALSE))</f>
        <v>0</v>
      </c>
      <c r="J48" s="262">
        <f>IF($C48="","",VLOOKUP($C48+$F$11*1000,DSS_Calc!$A:$JV,J$30,FALSE))</f>
        <v>2587</v>
      </c>
      <c r="K48" s="262">
        <f>IF($C48="","",VLOOKUP($C48+$F$11*1000,DSS_Calc!$A:$JV,K$30,FALSE))</f>
        <v>-1000</v>
      </c>
      <c r="L48" s="262">
        <f>IF($C48="","",VLOOKUP($C48+$F$11*1000,DSS_Calc!$A:$JV,L$30,FALSE))</f>
        <v>-500</v>
      </c>
      <c r="M48" s="262">
        <f>IF($C48="","",VLOOKUP($C48+$F$11*1000,DSS_Calc!$A:$JV,M$30,FALSE))</f>
        <v>0</v>
      </c>
      <c r="N48" s="262">
        <f>IF($C48="","",VLOOKUP($C48+$F$11*1000,DSS_Calc!$A:$JV,N$30,FALSE))</f>
        <v>0</v>
      </c>
      <c r="O48" s="262">
        <f>IF($C48="","",VLOOKUP($C48+$F$11*1000,DSS_Calc!$A:$JV,O$30,FALSE))</f>
        <v>0</v>
      </c>
      <c r="P48" s="294" t="s">
        <v>2</v>
      </c>
      <c r="Q48" s="262">
        <f>IF($C48="","",VLOOKUP($C48+$F$11*1000,DSS_Calc!$A:$JV,Q$30,FALSE)*IF(U48=0,0,1))</f>
        <v>1779.9999999999998</v>
      </c>
      <c r="R48" s="262">
        <f>IF($C48="","",VLOOKUP($C48+$F$11*1000,DSS_Calc!$A:$JV,R$30,FALSE)*IF(V48=0,0,1))</f>
        <v>2640.039347259345</v>
      </c>
      <c r="S48" s="262">
        <f>IF($C48="","",VLOOKUP($C48+$F$11*1000,DSS_Calc!$A:$JV,S$30,FALSE)*IF(W48=0,0,1))</f>
        <v>4283.7164157747848</v>
      </c>
      <c r="T48" s="294" t="s">
        <v>2</v>
      </c>
      <c r="U48" s="263">
        <f>IF($C48="","",VLOOKUP($C48+$F$11*1000,DSS_Calc!$A:$JV,U$30,FALSE))</f>
        <v>0.42346222709977865</v>
      </c>
      <c r="V48" s="263">
        <f>IF($C48="","",VLOOKUP($C48+$F$11*1000,DSS_Calc!$A:$JV,V$30,FALSE))</f>
        <v>0.52128254925704032</v>
      </c>
      <c r="W48" s="263">
        <f>IF($C48="","",VLOOKUP($C48+$F$11*1000,DSS_Calc!$A:$JV,W$30,FALSE))</f>
        <v>5.5255223643181063E-2</v>
      </c>
      <c r="X48" s="294" t="s">
        <v>2</v>
      </c>
      <c r="Y48" s="262">
        <f>IF(U48=0,0,U48*Q48)</f>
        <v>753.76276423760589</v>
      </c>
      <c r="Z48" s="262">
        <f>IF(V48=0,0,V48*R48)</f>
        <v>1376.2064410782441</v>
      </c>
      <c r="AA48" s="262">
        <f>IF(W48=0,0,W48*S48)</f>
        <v>236.69770857760173</v>
      </c>
      <c r="AB48" s="294" t="s">
        <v>2</v>
      </c>
      <c r="AC48" s="262">
        <f>SUM(Y48:AA48)</f>
        <v>2366.6669138934517</v>
      </c>
      <c r="AD48" s="264">
        <f>AC48*AE48/1000/1000</f>
        <v>5.5272733915883716</v>
      </c>
      <c r="AE48" s="265">
        <f>IF($C48="","",VLOOKUP($C48+$F$11*1000,DSS_Calc!$A:$JV,AE$30,FALSE))</f>
        <v>2335.4673862809627</v>
      </c>
      <c r="AF48" s="264">
        <f>IF($C48="","",VLOOKUP($C48+$F$11*1000,DSS_Calc!$A:$JV,AF$30,FALSE))</f>
        <v>8.4750213228591402</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-1000 Event RBC, -500 Event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2.2728220912253367</v>
      </c>
      <c r="B49" s="402"/>
      <c r="C49" s="564">
        <f>AI49/(AC49/(VLOOKUP($C48+$F$11*1000,DSS_Calc!$A:$JV,DSS_Calc!BX$92,FALSE)-$AC$33))</f>
        <v>2.3122088522828923</v>
      </c>
      <c r="D49" s="266" t="s">
        <v>141</v>
      </c>
      <c r="F49" s="267">
        <f>ROUND(F48-F$33,0)</f>
        <v>0</v>
      </c>
      <c r="G49" s="267"/>
      <c r="H49" s="267"/>
      <c r="I49" s="267">
        <f t="shared" ref="I49:O49" si="16">ROUND(I48-I$33,0)</f>
        <v>0</v>
      </c>
      <c r="J49" s="267">
        <f t="shared" si="16"/>
        <v>0</v>
      </c>
      <c r="K49" s="267">
        <f t="shared" si="16"/>
        <v>-1000</v>
      </c>
      <c r="L49" s="267">
        <f t="shared" si="16"/>
        <v>-500</v>
      </c>
      <c r="M49" s="267">
        <f t="shared" si="16"/>
        <v>0</v>
      </c>
      <c r="N49" s="267">
        <f t="shared" si="16"/>
        <v>0</v>
      </c>
      <c r="O49" s="267">
        <f t="shared" si="16"/>
        <v>0</v>
      </c>
      <c r="P49" s="294"/>
      <c r="Q49" s="267">
        <f t="shared" ref="Q49:S49" si="17">Q48-Q$33</f>
        <v>-270.00000000000023</v>
      </c>
      <c r="R49" s="267">
        <f t="shared" si="17"/>
        <v>-270.07008662146336</v>
      </c>
      <c r="S49" s="267">
        <f t="shared" si="17"/>
        <v>-135</v>
      </c>
      <c r="T49" s="294"/>
      <c r="U49" s="268">
        <f>U48-U$33</f>
        <v>-1.0528701180654854E-3</v>
      </c>
      <c r="V49" s="268">
        <f>V48-V$33</f>
        <v>-1.3117100011571514E-3</v>
      </c>
      <c r="W49" s="268">
        <f>W48-W$33</f>
        <v>2.3645801192226645E-3</v>
      </c>
      <c r="X49" s="294"/>
      <c r="Y49" s="267">
        <f>Y48-Y$33</f>
        <v>-116.49318505897463</v>
      </c>
      <c r="Z49" s="267">
        <f>Z48-Z$33</f>
        <v>-144.60004288098935</v>
      </c>
      <c r="AA49" s="267">
        <f>AA48-AA$33</f>
        <v>2.98895379739443</v>
      </c>
      <c r="AB49" s="294"/>
      <c r="AC49" s="267">
        <f>IFERROR(AC48-AC$33,NA())</f>
        <v>-258.10427414256947</v>
      </c>
      <c r="AD49" s="269">
        <f>AD48-AD$33</f>
        <v>-0.82102912565652453</v>
      </c>
      <c r="AE49" s="270">
        <f t="shared" si="3"/>
        <v>-83.144394502488467</v>
      </c>
      <c r="AF49" s="269">
        <f t="shared" si="3"/>
        <v>0.32253690841685412</v>
      </c>
      <c r="AG49" s="268">
        <f>AF49/AF$33</f>
        <v>3.9563020549352249E-2</v>
      </c>
      <c r="AH49" s="268"/>
      <c r="AI49" s="301">
        <f>IFERROR(AE49/$AE$33,NA())</f>
        <v>-3.4376907928380239E-2</v>
      </c>
      <c r="AJ49" s="289"/>
      <c r="AK49" s="751"/>
      <c r="AL49" s="750">
        <f>$AE48*U48-$AE$33*U$33</f>
        <v>-37.75499453807447</v>
      </c>
      <c r="AM49" s="750">
        <f>$AE48*V48-$AE$33*V$33</f>
        <v>-46.514239184460394</v>
      </c>
      <c r="AN49" s="750">
        <f>$AE48*W48-$AE$33*W$33</f>
        <v>1.1248392200463968</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39</v>
      </c>
      <c r="D50" s="396" t="str">
        <f>"Scenario " &amp; A50</f>
        <v>Scenario I</v>
      </c>
      <c r="E50" s="272" t="s">
        <v>2</v>
      </c>
      <c r="F50" s="397">
        <f>IF($C50="","",VLOOKUP($C50+$F$11*1000,DSS_Calc!$A:$JV,F$30,FALSE))</f>
        <v>1506.832975525977</v>
      </c>
      <c r="G50" s="397" t="str">
        <f>IF($C50="","",VLOOKUP($C50+$F$11*1000,DSS_Calc!$A:$JV,G$30,FALSE))</f>
        <v>0/0.9/1.9/3.9</v>
      </c>
      <c r="H50" s="397">
        <f>IF($C50="","",VLOOKUP($C50+$F$11*1000,DSS_Calc!$A:$JV,H$30,FALSE))</f>
        <v>0</v>
      </c>
      <c r="I50" s="397">
        <f>IF($C50="","",VLOOKUP($C50+$F$11*1000,DSS_Calc!$A:$JV,I$30,FALSE))</f>
        <v>0</v>
      </c>
      <c r="J50" s="397">
        <f>IF($C50="","",VLOOKUP($C50+$F$11*1000,DSS_Calc!$A:$JV,J$30,FALSE))</f>
        <v>2947</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2300</v>
      </c>
      <c r="R50" s="397">
        <f>IF($C50="","",VLOOKUP($C50+$F$11*1000,DSS_Calc!$A:$JV,R$30,FALSE)*IF(V50=0,0,1))</f>
        <v>2910.111381078078</v>
      </c>
      <c r="S50" s="397">
        <f>IF($C50="","",VLOOKUP($C50+$F$11*1000,DSS_Calc!$A:$JV,S$30,FALSE)*IF(W50=0,0,1))</f>
        <v>4778.7164157747848</v>
      </c>
      <c r="T50" s="294" t="s">
        <v>2</v>
      </c>
      <c r="U50" s="398">
        <f>IF($C50="","",VLOOKUP($C50+$F$11*1000,DSS_Calc!$A:$JV,U$30,FALSE))</f>
        <v>0.43202581077719732</v>
      </c>
      <c r="V50" s="398">
        <f>IF($C50="","",VLOOKUP($C50+$F$11*1000,DSS_Calc!$A:$JV,V$30,FALSE))</f>
        <v>0.50884119410127227</v>
      </c>
      <c r="W50" s="398">
        <f>IF($C50="","",VLOOKUP($C50+$F$11*1000,DSS_Calc!$A:$JV,W$30,FALSE))</f>
        <v>5.9132995121530259E-2</v>
      </c>
      <c r="X50" s="294" t="s">
        <v>2</v>
      </c>
      <c r="Y50" s="397">
        <f>IF(U50=0,0,U50*Q50)</f>
        <v>993.65936478755384</v>
      </c>
      <c r="Z50" s="397">
        <f>IF(V50=0,0,V50*R50)</f>
        <v>1480.7845501154718</v>
      </c>
      <c r="AA50" s="397">
        <f>IF(W50=0,0,W50*S50)</f>
        <v>282.57981450118689</v>
      </c>
      <c r="AB50" s="294" t="s">
        <v>2</v>
      </c>
      <c r="AC50" s="397">
        <f>SUM(Y50:AA50)</f>
        <v>2757.0237294042126</v>
      </c>
      <c r="AD50" s="399">
        <f>AC50*AE50/1000/1000</f>
        <v>6.7811083221963173</v>
      </c>
      <c r="AE50" s="400">
        <f>IF($C50="","",VLOOKUP($C50+$F$11*1000,DSS_Calc!$A:$JV,AE$30,FALSE))</f>
        <v>2459.5756104216416</v>
      </c>
      <c r="AF50" s="399">
        <f>IF($C50="","",VLOOKUP($C50+$F$11*1000,DSS_Calc!$A:$JV,AF$30,FALSE))</f>
        <v>7.9652772500866353</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+250 CC,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2.274086715116904</v>
      </c>
      <c r="B51" s="402"/>
      <c r="C51" s="564">
        <f>AI51/(AC51/(VLOOKUP($C50+$F$11*1000,DSS_Calc!$A:$JV,DSS_Calc!BX$92,FALSE)-$AC$33))</f>
        <v>2.2232372284245487</v>
      </c>
      <c r="D51" s="403" t="s">
        <v>141</v>
      </c>
      <c r="F51" s="404">
        <f>ROUND(F50-F$33,0)</f>
        <v>250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250</v>
      </c>
      <c r="R51" s="404">
        <f t="shared" si="19"/>
        <v>1.9471972696010198E-3</v>
      </c>
      <c r="S51" s="404">
        <f t="shared" si="19"/>
        <v>360</v>
      </c>
      <c r="T51" s="294"/>
      <c r="U51" s="405">
        <f>U50-U$33</f>
        <v>7.5107135593531771E-3</v>
      </c>
      <c r="V51" s="405">
        <f>V50-V$33</f>
        <v>-1.3753065156925204E-2</v>
      </c>
      <c r="W51" s="405">
        <f>W50-W$33</f>
        <v>6.2423515975718602E-3</v>
      </c>
      <c r="X51" s="294"/>
      <c r="Y51" s="404">
        <f>Y50-Y$33</f>
        <v>123.40341549097332</v>
      </c>
      <c r="Z51" s="404">
        <f>Z50-Z$33</f>
        <v>-40.021933843761644</v>
      </c>
      <c r="AA51" s="404">
        <f>AA50-AA$33</f>
        <v>48.871059720979588</v>
      </c>
      <c r="AB51" s="294"/>
      <c r="AC51" s="404">
        <f>IFERROR(AC50-AC$33,NA())</f>
        <v>132.25254136819149</v>
      </c>
      <c r="AD51" s="406">
        <f>AD50-AD$33</f>
        <v>0.43280580495142118</v>
      </c>
      <c r="AE51" s="407">
        <f t="shared" ref="AE51:AF61" si="20">AE50-AE$33</f>
        <v>40.963829638190418</v>
      </c>
      <c r="AF51" s="406">
        <f t="shared" si="20"/>
        <v>-0.18720716435565077</v>
      </c>
      <c r="AG51" s="405">
        <f>AF51/AF$33</f>
        <v>-2.296320420116469E-2</v>
      </c>
      <c r="AH51" s="405"/>
      <c r="AI51" s="408">
        <f>IFERROR(AE51/$AE$33,NA())</f>
        <v>1.6936918096430165E-2</v>
      </c>
      <c r="AJ51" s="289"/>
      <c r="AK51" s="749"/>
      <c r="AL51" s="750">
        <f>$AE50*U50-$AE$33*U$33</f>
        <v>35.862932008719781</v>
      </c>
      <c r="AM51" s="750">
        <f>$AE50*V50-$AE$33*V$33</f>
        <v>-12.419241422363712</v>
      </c>
      <c r="AN51" s="750">
        <f>$AE50*W50-$AE$33*W$33</f>
        <v>17.520139051834008</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78</v>
      </c>
      <c r="D52" s="261" t="str">
        <f>"Scenario " &amp; A52</f>
        <v>Scenario J</v>
      </c>
      <c r="E52" s="272" t="s">
        <v>2</v>
      </c>
      <c r="F52" s="262">
        <f>IF($C52="","",VLOOKUP($C52+$F$11*1000,DSS_Calc!$A:$JV,F$30,FALSE))</f>
        <v>756.83297552597696</v>
      </c>
      <c r="G52" s="262" t="str">
        <f>IF($C52="","",VLOOKUP($C52+$F$11*1000,DSS_Calc!$A:$JV,G$30,FALSE))</f>
        <v>0/0.9/1.9/3.9</v>
      </c>
      <c r="H52" s="262">
        <f>IF($C52="","",VLOOKUP($C52+$F$11*1000,DSS_Calc!$A:$JV,H$30,FALSE))</f>
        <v>0</v>
      </c>
      <c r="I52" s="262">
        <f>IF($C52="","",VLOOKUP($C52+$F$11*1000,DSS_Calc!$A:$JV,I$30,FALSE))</f>
        <v>0</v>
      </c>
      <c r="J52" s="262">
        <f>IF($C52="","",VLOOKUP($C52+$F$11*1000,DSS_Calc!$A:$JV,J$30,FALSE))</f>
        <v>2227</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1550</v>
      </c>
      <c r="R52" s="262">
        <f>IF($C52="","",VLOOKUP($C52+$F$11*1000,DSS_Calc!$A:$JV,R$30,FALSE)*IF(V52=0,0,1))</f>
        <v>2910.0082933608028</v>
      </c>
      <c r="S52" s="262">
        <f>IF($C52="","",VLOOKUP($C52+$F$11*1000,DSS_Calc!$A:$JV,S$30,FALSE)*IF(W52=0,0,1))</f>
        <v>4058.7164157747848</v>
      </c>
      <c r="T52" s="294" t="s">
        <v>2</v>
      </c>
      <c r="U52" s="263">
        <f>IF($C52="","",VLOOKUP($C52+$F$11*1000,DSS_Calc!$A:$JV,U$30,FALSE))</f>
        <v>0.39993918751634333</v>
      </c>
      <c r="V52" s="263">
        <f>IF($C52="","",VLOOKUP($C52+$F$11*1000,DSS_Calc!$A:$JV,V$30,FALSE))</f>
        <v>0.54858576458219388</v>
      </c>
      <c r="W52" s="263">
        <f>IF($C52="","",VLOOKUP($C52+$F$11*1000,DSS_Calc!$A:$JV,W$30,FALSE))</f>
        <v>5.1475047901462762E-2</v>
      </c>
      <c r="X52" s="294" t="s">
        <v>2</v>
      </c>
      <c r="Y52" s="262">
        <f>IF(U52=0,0,U52*Q52)</f>
        <v>619.90574065033218</v>
      </c>
      <c r="Z52" s="262">
        <f>IF(V52=0,0,V52*R52)</f>
        <v>1596.3891245538612</v>
      </c>
      <c r="AA52" s="262">
        <f>IF(W52=0,0,W52*S52)</f>
        <v>208.9226219204603</v>
      </c>
      <c r="AB52" s="294" t="s">
        <v>2</v>
      </c>
      <c r="AC52" s="262">
        <f>SUM(Y52:AA52)</f>
        <v>2425.2174871246534</v>
      </c>
      <c r="AD52" s="264">
        <f>AC52*AE52/1000/1000</f>
        <v>5.7070234809788722</v>
      </c>
      <c r="AE52" s="265">
        <f>IF($C52="","",VLOOKUP($C52+$F$11*1000,DSS_Calc!$A:$JV,AE$30,FALSE))</f>
        <v>2353.2006969589934</v>
      </c>
      <c r="AF52" s="264">
        <f>IF($C52="","",VLOOKUP($C52+$F$11*1000,DSS_Calc!$A:$JV,AF$30,FALSE))</f>
        <v>8.4015912976387721</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-360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2.1482147951791961</v>
      </c>
      <c r="B53" s="402"/>
      <c r="C53" s="564">
        <f>AI53/(AC53/(VLOOKUP($C52+$F$11*1000,DSS_Calc!$A:$JV,DSS_Calc!BX$92,FALSE)-$AC$33))</f>
        <v>2.3527773990315151</v>
      </c>
      <c r="D53" s="266" t="s">
        <v>141</v>
      </c>
      <c r="F53" s="267">
        <f>ROUND(F52-F$33,0)</f>
        <v>-500</v>
      </c>
      <c r="G53" s="267"/>
      <c r="H53" s="267"/>
      <c r="I53" s="267">
        <f t="shared" ref="I53:O53" si="21">ROUND(I52-I$33,0)</f>
        <v>0</v>
      </c>
      <c r="J53" s="267">
        <f t="shared" si="21"/>
        <v>-360</v>
      </c>
      <c r="K53" s="267">
        <f t="shared" si="21"/>
        <v>0</v>
      </c>
      <c r="L53" s="267">
        <f t="shared" si="21"/>
        <v>0</v>
      </c>
      <c r="M53" s="267">
        <f t="shared" si="21"/>
        <v>0</v>
      </c>
      <c r="N53" s="267">
        <f t="shared" si="21"/>
        <v>0</v>
      </c>
      <c r="O53" s="267">
        <f t="shared" si="21"/>
        <v>0</v>
      </c>
      <c r="P53" s="294"/>
      <c r="Q53" s="267">
        <f t="shared" ref="Q53:S53" si="22">Q52-Q$33</f>
        <v>-500</v>
      </c>
      <c r="R53" s="267">
        <f t="shared" si="22"/>
        <v>-0.10114052000562879</v>
      </c>
      <c r="S53" s="267">
        <f t="shared" si="22"/>
        <v>-360</v>
      </c>
      <c r="T53" s="294"/>
      <c r="U53" s="268">
        <f>U52-U$33</f>
        <v>-2.4575909701500809E-2</v>
      </c>
      <c r="V53" s="268">
        <f>V52-V$33</f>
        <v>2.5991505323996411E-2</v>
      </c>
      <c r="W53" s="268">
        <f>W52-W$33</f>
        <v>-1.415595622495637E-3</v>
      </c>
      <c r="X53" s="294"/>
      <c r="Y53" s="267">
        <f>Y52-Y$33</f>
        <v>-250.35020864624835</v>
      </c>
      <c r="Z53" s="267">
        <f>Z52-Z$33</f>
        <v>75.582640594627719</v>
      </c>
      <c r="AA53" s="267">
        <f>AA52-AA$33</f>
        <v>-24.786132859746999</v>
      </c>
      <c r="AB53" s="294"/>
      <c r="AC53" s="267">
        <f>IFERROR(AC52-AC$33,NA())</f>
        <v>-199.55370091136774</v>
      </c>
      <c r="AD53" s="269">
        <f>AD52-AD$33</f>
        <v>-0.64127903626602389</v>
      </c>
      <c r="AE53" s="270">
        <f t="shared" si="20"/>
        <v>-65.411083824457819</v>
      </c>
      <c r="AF53" s="269">
        <f t="shared" si="20"/>
        <v>0.249106883196486</v>
      </c>
      <c r="AG53" s="268">
        <f>AF53/AF$33</f>
        <v>3.0555947185276218E-2</v>
      </c>
      <c r="AH53" s="268"/>
      <c r="AI53" s="301">
        <f>IFERROR(AE53/$AE$33,NA())</f>
        <v>-2.7044887626930136E-2</v>
      </c>
      <c r="AJ53" s="289"/>
      <c r="AK53" s="749"/>
      <c r="AL53" s="750">
        <f>$AE52*U52-$AE$33*U$33</f>
        <v>-85.600040446837284</v>
      </c>
      <c r="AM53" s="750">
        <f>$AE52*V52-$AE$33*V$33</f>
        <v>26.979771544923551</v>
      </c>
      <c r="AN53" s="750">
        <f>$AE52*W52-$AE$33*W$33</f>
        <v>-6.7908149225440013</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80</v>
      </c>
      <c r="D54" s="396" t="str">
        <f>"Scenario " &amp; A54</f>
        <v>Scenario K</v>
      </c>
      <c r="E54" s="272" t="s">
        <v>2</v>
      </c>
      <c r="F54" s="397">
        <f>IF($C54="","",VLOOKUP($C54+$F$11*1000,DSS_Calc!$A:$JV,F$30,FALSE))</f>
        <v>1256.832975525977</v>
      </c>
      <c r="G54" s="397" t="str">
        <f>IF($C54="","",VLOOKUP($C54+$F$11*1000,DSS_Calc!$A:$JV,G$30,FALSE))</f>
        <v>0.9/1.9/2.9/3.9</v>
      </c>
      <c r="H54" s="397">
        <f>IF($C54="","",VLOOKUP($C54+$F$11*1000,DSS_Calc!$A:$JV,H$30,FALSE))</f>
        <v>0</v>
      </c>
      <c r="I54" s="397">
        <f>IF($C54="","",VLOOKUP($C54+$F$11*1000,DSS_Calc!$A:$JV,I$30,FALSE))</f>
        <v>0</v>
      </c>
      <c r="J54" s="397">
        <f>IF($C54="","",VLOOKUP($C54+$F$11*1000,DSS_Calc!$A:$JV,J$30,FALSE))</f>
        <v>2227</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2050</v>
      </c>
      <c r="R54" s="397">
        <f>IF($C54="","",VLOOKUP($C54+$F$11*1000,DSS_Calc!$A:$JV,R$30,FALSE)*IF(V54=0,0,1))</f>
        <v>2522.094758849129</v>
      </c>
      <c r="S54" s="397">
        <f>IF($C54="","",VLOOKUP($C54+$F$11*1000,DSS_Calc!$A:$JV,S$30,FALSE)*IF(W54=0,0,1))</f>
        <v>4058.7164157747848</v>
      </c>
      <c r="T54" s="294" t="s">
        <v>2</v>
      </c>
      <c r="U54" s="398">
        <f>IF($C54="","",VLOOKUP($C54+$F$11*1000,DSS_Calc!$A:$JV,U$30,FALSE))</f>
        <v>0.45373966838738666</v>
      </c>
      <c r="V54" s="398">
        <f>IF($C54="","",VLOOKUP($C54+$F$11*1000,DSS_Calc!$A:$JV,V$30,FALSE))</f>
        <v>0.50159288974884153</v>
      </c>
      <c r="W54" s="398">
        <f>IF($C54="","",VLOOKUP($C54+$F$11*1000,DSS_Calc!$A:$JV,W$30,FALSE))</f>
        <v>4.4667441863771862E-2</v>
      </c>
      <c r="X54" s="294" t="s">
        <v>2</v>
      </c>
      <c r="Y54" s="397">
        <f>IF(U54=0,0,U54*Q54)</f>
        <v>930.16632019414271</v>
      </c>
      <c r="Z54" s="397">
        <f>IF(V54=0,0,V54*R54)</f>
        <v>1265.0647983115423</v>
      </c>
      <c r="AA54" s="397">
        <f>IF(W54=0,0,W54*S54)</f>
        <v>181.2924795431567</v>
      </c>
      <c r="AB54" s="294" t="s">
        <v>2</v>
      </c>
      <c r="AC54" s="397">
        <f>SUM(Y54:AA54)</f>
        <v>2376.5235980488419</v>
      </c>
      <c r="AD54" s="399">
        <f>AC54*AE54/1000/1000</f>
        <v>5.5550586087267204</v>
      </c>
      <c r="AE54" s="400">
        <f>IF($C54="","",VLOOKUP($C54+$F$11*1000,DSS_Calc!$A:$JV,AE$30,FALSE))</f>
        <v>2337.4725221695667</v>
      </c>
      <c r="AF54" s="399">
        <f>IF($C54="","",VLOOKUP($C54+$F$11*1000,DSS_Calc!$A:$JV,AF$30,FALSE))</f>
        <v>8.4592578979409172</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0.9/1.9/2.9/3.9, -360 Lease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2.7640383899281913</v>
      </c>
      <c r="B55" s="402"/>
      <c r="C55" s="564">
        <f>AI55/(AC55/(VLOOKUP($C54+$F$11*1000,DSS_Calc!$A:$JV,DSS_Calc!BX$92,FALSE)-$AC$33))</f>
        <v>2.3460392578294185</v>
      </c>
      <c r="D55" s="403" t="s">
        <v>141</v>
      </c>
      <c r="F55" s="404">
        <f>ROUND(F54-F$33,0)</f>
        <v>0</v>
      </c>
      <c r="G55" s="404"/>
      <c r="H55" s="404"/>
      <c r="I55" s="404">
        <f t="shared" ref="I55:O55" si="23">ROUND(I54-I$33,0)</f>
        <v>0</v>
      </c>
      <c r="J55" s="404">
        <f t="shared" si="23"/>
        <v>-360</v>
      </c>
      <c r="K55" s="404">
        <f t="shared" si="23"/>
        <v>0</v>
      </c>
      <c r="L55" s="404">
        <f t="shared" si="23"/>
        <v>0</v>
      </c>
      <c r="M55" s="404">
        <f t="shared" si="23"/>
        <v>0</v>
      </c>
      <c r="N55" s="404">
        <f t="shared" si="23"/>
        <v>0</v>
      </c>
      <c r="O55" s="404">
        <f t="shared" si="23"/>
        <v>0</v>
      </c>
      <c r="P55" s="294"/>
      <c r="Q55" s="404">
        <f t="shared" ref="Q55:S55" si="24">Q54-Q$33</f>
        <v>0</v>
      </c>
      <c r="R55" s="404">
        <f t="shared" si="24"/>
        <v>-388.01467503167942</v>
      </c>
      <c r="S55" s="404">
        <f t="shared" si="24"/>
        <v>-360</v>
      </c>
      <c r="T55" s="294"/>
      <c r="U55" s="405">
        <f>U54-U$33</f>
        <v>2.9224571169542524E-2</v>
      </c>
      <c r="V55" s="405">
        <f>V54-V$33</f>
        <v>-2.1001369509355938E-2</v>
      </c>
      <c r="W55" s="405">
        <f>W54-W$33</f>
        <v>-8.2232016601865368E-3</v>
      </c>
      <c r="X55" s="294"/>
      <c r="Y55" s="404">
        <f>Y54-Y$33</f>
        <v>59.910370897562188</v>
      </c>
      <c r="Z55" s="404">
        <f>Z54-Z$33</f>
        <v>-255.74168564769116</v>
      </c>
      <c r="AA55" s="404">
        <f>AA54-AA$33</f>
        <v>-52.416275237050598</v>
      </c>
      <c r="AB55" s="294"/>
      <c r="AC55" s="404">
        <f>IFERROR(AC54-AC$33,NA())</f>
        <v>-248.24758998717925</v>
      </c>
      <c r="AD55" s="406">
        <f>AD54-AD$33</f>
        <v>-0.79324390851817572</v>
      </c>
      <c r="AE55" s="407">
        <f t="shared" si="20"/>
        <v>-81.139258613884522</v>
      </c>
      <c r="AF55" s="406">
        <f t="shared" si="20"/>
        <v>0.30677348349863109</v>
      </c>
      <c r="AG55" s="405">
        <f>AF55/AF$33</f>
        <v>3.7629447405649233E-2</v>
      </c>
      <c r="AH55" s="405"/>
      <c r="AI55" s="408">
        <f>IFERROR(AE55/$AE$33,NA())</f>
        <v>-3.3547863802929713E-2</v>
      </c>
      <c r="AJ55" s="289"/>
      <c r="AK55" s="749"/>
      <c r="AL55" s="750">
        <f>$AE54*U54-$AE$33*U$33</f>
        <v>33.866791822337518</v>
      </c>
      <c r="AM55" s="750">
        <f>$AE54*V54-$AE$33*V$33</f>
        <v>-91.493034908131449</v>
      </c>
      <c r="AN55" s="750">
        <f>$AE54*W54-$AE$33*W$33</f>
        <v>-23.513015528090435</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79</v>
      </c>
      <c r="D56" s="261" t="str">
        <f>"Scenario " &amp; A56</f>
        <v>Scenario L</v>
      </c>
      <c r="E56" s="272" t="s">
        <v>2</v>
      </c>
      <c r="F56" s="262">
        <f>IF($C56="","",VLOOKUP($C56+$F$11*1000,DSS_Calc!$A:$JV,F$30,FALSE))</f>
        <v>1256.832975525977</v>
      </c>
      <c r="G56" s="262" t="str">
        <f>IF($C56="","",VLOOKUP($C56+$F$11*1000,DSS_Calc!$A:$JV,G$30,FALSE))</f>
        <v>0.9/1.9/2.9/3.9</v>
      </c>
      <c r="H56" s="262">
        <f>IF($C56="","",VLOOKUP($C56+$F$11*1000,DSS_Calc!$A:$JV,H$30,FALSE))</f>
        <v>0</v>
      </c>
      <c r="I56" s="262">
        <f>IF($C56="","",VLOOKUP($C56+$F$11*1000,DSS_Calc!$A:$JV,I$30,FALSE))</f>
        <v>0</v>
      </c>
      <c r="J56" s="262">
        <f>IF($C56="","",VLOOKUP($C56+$F$11*1000,DSS_Calc!$A:$JV,J$30,FALSE))</f>
        <v>2227</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2050</v>
      </c>
      <c r="R56" s="262">
        <f>IF($C56="","",VLOOKUP($C56+$F$11*1000,DSS_Calc!$A:$JV,R$30,FALSE)*IF(V56=0,0,1))</f>
        <v>2522.094758849129</v>
      </c>
      <c r="S56" s="262">
        <f>IF($C56="","",VLOOKUP($C56+$F$11*1000,DSS_Calc!$A:$JV,S$30,FALSE)*IF(W56=0,0,1))</f>
        <v>4058.7164157747848</v>
      </c>
      <c r="T56" s="294" t="s">
        <v>2</v>
      </c>
      <c r="U56" s="263">
        <f>IF($C56="","",VLOOKUP($C56+$F$11*1000,DSS_Calc!$A:$JV,U$30,FALSE))</f>
        <v>0.45373966838738666</v>
      </c>
      <c r="V56" s="263">
        <f>IF($C56="","",VLOOKUP($C56+$F$11*1000,DSS_Calc!$A:$JV,V$30,FALSE))</f>
        <v>0.50159288974884153</v>
      </c>
      <c r="W56" s="263">
        <f>IF($C56="","",VLOOKUP($C56+$F$11*1000,DSS_Calc!$A:$JV,W$30,FALSE))</f>
        <v>4.4667441863771862E-2</v>
      </c>
      <c r="X56" s="294" t="s">
        <v>2</v>
      </c>
      <c r="Y56" s="262">
        <f>IF(U56=0,0,U56*Q56)</f>
        <v>930.16632019414271</v>
      </c>
      <c r="Z56" s="262">
        <f>IF(V56=0,0,V56*R56)</f>
        <v>1265.0647983115423</v>
      </c>
      <c r="AA56" s="262">
        <f>IF(W56=0,0,W56*S56)</f>
        <v>181.2924795431567</v>
      </c>
      <c r="AB56" s="294" t="s">
        <v>2</v>
      </c>
      <c r="AC56" s="262">
        <f>SUM(Y56:AA56)</f>
        <v>2376.5235980488419</v>
      </c>
      <c r="AD56" s="264">
        <f>AC56*AE56/1000/1000</f>
        <v>5.5550586087267204</v>
      </c>
      <c r="AE56" s="265">
        <f>IF($C56="","",VLOOKUP($C56+$F$11*1000,DSS_Calc!$A:$JV,AE$30,FALSE))</f>
        <v>2337.4725221695667</v>
      </c>
      <c r="AF56" s="264">
        <f>IF($C56="","",VLOOKUP($C56+$F$11*1000,DSS_Calc!$A:$JV,AF$30,FALSE))</f>
        <v>8.4592578979409172</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0.9/1.9/2.9/3.9, -360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2.7640383899281913</v>
      </c>
      <c r="B57" s="402"/>
      <c r="C57" s="564">
        <f>AI57/(AC57/(VLOOKUP($C56+$F$11*1000,DSS_Calc!$A:$JV,DSS_Calc!BX$92,FALSE)-$AC$33))</f>
        <v>2.3460392578294185</v>
      </c>
      <c r="D57" s="266" t="s">
        <v>141</v>
      </c>
      <c r="F57" s="267">
        <f>ROUND(F56-F$33,0)</f>
        <v>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0</v>
      </c>
      <c r="R57" s="267">
        <f t="shared" si="26"/>
        <v>-388.01467503167942</v>
      </c>
      <c r="S57" s="267">
        <f t="shared" si="26"/>
        <v>-360</v>
      </c>
      <c r="T57" s="294"/>
      <c r="U57" s="268">
        <f>U56-U$33</f>
        <v>2.9224571169542524E-2</v>
      </c>
      <c r="V57" s="268">
        <f>V56-V$33</f>
        <v>-2.1001369509355938E-2</v>
      </c>
      <c r="W57" s="268">
        <f>W56-W$33</f>
        <v>-8.2232016601865368E-3</v>
      </c>
      <c r="X57" s="294"/>
      <c r="Y57" s="267">
        <f>Y56-Y$33</f>
        <v>59.910370897562188</v>
      </c>
      <c r="Z57" s="267">
        <f>Z56-Z$33</f>
        <v>-255.74168564769116</v>
      </c>
      <c r="AA57" s="267">
        <f>AA56-AA$33</f>
        <v>-52.416275237050598</v>
      </c>
      <c r="AB57" s="294"/>
      <c r="AC57" s="267">
        <f>IFERROR(AC56-AC$33,NA())</f>
        <v>-248.24758998717925</v>
      </c>
      <c r="AD57" s="269">
        <f>AD56-AD$33</f>
        <v>-0.79324390851817572</v>
      </c>
      <c r="AE57" s="270">
        <f t="shared" si="20"/>
        <v>-81.139258613884522</v>
      </c>
      <c r="AF57" s="269">
        <f t="shared" si="20"/>
        <v>0.30677348349863109</v>
      </c>
      <c r="AG57" s="268">
        <f>AF57/AF$33</f>
        <v>3.7629447405649233E-2</v>
      </c>
      <c r="AH57" s="268"/>
      <c r="AI57" s="301">
        <f>IFERROR(AE57/$AE$33,NA())</f>
        <v>-3.3547863802929713E-2</v>
      </c>
      <c r="AJ57" s="289"/>
      <c r="AK57" s="749"/>
      <c r="AL57" s="750">
        <f>$AE56*U56-$AE$33*U$33</f>
        <v>33.866791822337518</v>
      </c>
      <c r="AM57" s="750">
        <f>$AE56*V56-$AE$33*V$33</f>
        <v>-91.493034908131449</v>
      </c>
      <c r="AN57" s="750">
        <f>$AE56*W56-$AE$33*W$33</f>
        <v>-23.513015528090435</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86</v>
      </c>
      <c r="D58" s="396" t="str">
        <f>"Scenario " &amp; A58</f>
        <v>Scenario M</v>
      </c>
      <c r="E58" s="272" t="s">
        <v>2</v>
      </c>
      <c r="F58" s="397">
        <f>IF($C58="","",VLOOKUP($C58+$F$11*1000,DSS_Calc!$A:$JV,F$30,FALSE))</f>
        <v>1006.832975525977</v>
      </c>
      <c r="G58" s="397" t="str">
        <f>IF($C58="","",VLOOKUP($C58+$F$11*1000,DSS_Calc!$A:$JV,G$30,FALSE))</f>
        <v>0/0/0.9/3.9</v>
      </c>
      <c r="H58" s="397">
        <f>IF($C58="","",VLOOKUP($C58+$F$11*1000,DSS_Calc!$A:$JV,H$30,FALSE))</f>
        <v>0</v>
      </c>
      <c r="I58" s="397">
        <f>IF($C58="","",VLOOKUP($C58+$F$11*1000,DSS_Calc!$A:$JV,I$30,FALSE))</f>
        <v>0</v>
      </c>
      <c r="J58" s="397">
        <f>IF($C58="","",VLOOKUP($C58+$F$11*1000,DSS_Calc!$A:$JV,J$30,FALSE))</f>
        <v>2587</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1799.9999999999998</v>
      </c>
      <c r="R58" s="397">
        <f>IF($C58="","",VLOOKUP($C58+$F$11*1000,DSS_Calc!$A:$JV,R$30,FALSE)*IF(V58=0,0,1))</f>
        <v>3251.035160145092</v>
      </c>
      <c r="S58" s="397">
        <f>IF($C58="","",VLOOKUP($C58+$F$11*1000,DSS_Calc!$A:$JV,S$30,FALSE)*IF(W58=0,0,1))</f>
        <v>4418.7164157747848</v>
      </c>
      <c r="T58" s="294" t="s">
        <v>2</v>
      </c>
      <c r="U58" s="398">
        <f>IF($C58="","",VLOOKUP($C58+$F$11*1000,DSS_Calc!$A:$JV,U$30,FALSE))</f>
        <v>0.3881110633521429</v>
      </c>
      <c r="V58" s="398">
        <f>IF($C58="","",VLOOKUP($C58+$F$11*1000,DSS_Calc!$A:$JV,V$30,FALSE))</f>
        <v>0.55620790172987955</v>
      </c>
      <c r="W58" s="398">
        <f>IF($C58="","",VLOOKUP($C58+$F$11*1000,DSS_Calc!$A:$JV,W$30,FALSE))</f>
        <v>5.5681034917977504E-2</v>
      </c>
      <c r="X58" s="294" t="s">
        <v>2</v>
      </c>
      <c r="Y58" s="397">
        <f>IF(U58=0,0,U58*Q58)</f>
        <v>698.59991403385709</v>
      </c>
      <c r="Z58" s="397">
        <f>IF(V58=0,0,V58*R58)</f>
        <v>1808.2514448743646</v>
      </c>
      <c r="AA58" s="397">
        <f>IF(W58=0,0,W58*S58)</f>
        <v>246.03870303939618</v>
      </c>
      <c r="AB58" s="294" t="s">
        <v>2</v>
      </c>
      <c r="AC58" s="397">
        <f>SUM(Y58:AA58)</f>
        <v>2752.8900619476181</v>
      </c>
      <c r="AD58" s="399">
        <f>AC58*AE58/1000/1000</f>
        <v>6.7573649873413384</v>
      </c>
      <c r="AE58" s="400">
        <f>IF($C58="","",VLOOKUP($C58+$F$11*1000,DSS_Calc!$A:$JV,AE$30,FALSE))</f>
        <v>2454.643968804417</v>
      </c>
      <c r="AF58" s="399">
        <f>IF($C58="","",VLOOKUP($C58+$F$11*1000,DSS_Calc!$A:$JV,AF$30,FALSE))</f>
        <v>7.9594529276255432</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-250 CC, 0/0/0.9/3.9</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2.7930529418031615</v>
      </c>
      <c r="B59" s="402"/>
      <c r="C59" s="564">
        <f>AI59/(AC59/(VLOOKUP($C58+$F$11*1000,DSS_Calc!$A:$JV,DSS_Calc!BX$92,FALSE)-$AC$33))</f>
        <v>2.0186768531200592</v>
      </c>
      <c r="D59" s="403" t="s">
        <v>141</v>
      </c>
      <c r="F59" s="404">
        <f>ROUND(F58-F$33,0)</f>
        <v>-250</v>
      </c>
      <c r="G59" s="404"/>
      <c r="H59" s="404"/>
      <c r="I59" s="404">
        <f t="shared" ref="I59:O59" si="27">ROUND(I58-I$33,0)</f>
        <v>0</v>
      </c>
      <c r="J59" s="404">
        <f t="shared" si="27"/>
        <v>0</v>
      </c>
      <c r="K59" s="404">
        <f t="shared" si="27"/>
        <v>0</v>
      </c>
      <c r="L59" s="404">
        <f t="shared" si="27"/>
        <v>0</v>
      </c>
      <c r="M59" s="404">
        <f t="shared" si="27"/>
        <v>0</v>
      </c>
      <c r="N59" s="404">
        <f t="shared" si="27"/>
        <v>0</v>
      </c>
      <c r="O59" s="404">
        <f t="shared" si="27"/>
        <v>0</v>
      </c>
      <c r="P59" s="294"/>
      <c r="Q59" s="404">
        <f t="shared" ref="Q59:S59" si="28">Q58-Q$33</f>
        <v>-250.00000000000023</v>
      </c>
      <c r="R59" s="404">
        <f t="shared" si="28"/>
        <v>340.92572626428364</v>
      </c>
      <c r="S59" s="404">
        <f t="shared" si="28"/>
        <v>0</v>
      </c>
      <c r="T59" s="294"/>
      <c r="U59" s="405">
        <f>U58-U$33</f>
        <v>-3.6404033865701235E-2</v>
      </c>
      <c r="V59" s="405">
        <f>V58-V$33</f>
        <v>3.3613642471682081E-2</v>
      </c>
      <c r="W59" s="405">
        <f>W58-W$33</f>
        <v>2.7903913940191052E-3</v>
      </c>
      <c r="X59" s="294"/>
      <c r="Y59" s="404">
        <f>Y58-Y$33</f>
        <v>-171.65603526272344</v>
      </c>
      <c r="Z59" s="404">
        <f>Z58-Z$33</f>
        <v>287.44496091513111</v>
      </c>
      <c r="AA59" s="404">
        <f>AA58-AA$33</f>
        <v>12.329948259188882</v>
      </c>
      <c r="AB59" s="294"/>
      <c r="AC59" s="404">
        <f>IFERROR(AC58-AC$33,NA())</f>
        <v>128.11887391159689</v>
      </c>
      <c r="AD59" s="406">
        <f>AD58-AD$33</f>
        <v>0.40906247009644225</v>
      </c>
      <c r="AE59" s="407">
        <f t="shared" si="20"/>
        <v>36.032188020965805</v>
      </c>
      <c r="AF59" s="406">
        <f t="shared" si="20"/>
        <v>-0.19303148681674287</v>
      </c>
      <c r="AG59" s="405">
        <f>AF59/AF$33</f>
        <v>-2.3677627211992434E-2</v>
      </c>
      <c r="AH59" s="405"/>
      <c r="AI59" s="408">
        <f>IFERROR(AE59/$AE$33,NA())</f>
        <v>1.4897879976956881E-2</v>
      </c>
      <c r="AJ59" s="289"/>
      <c r="AK59" s="749"/>
      <c r="AL59" s="750">
        <f>$AE58*U58-$AE$33*U$33</f>
        <v>-74.062734367903431</v>
      </c>
      <c r="AM59" s="750">
        <f>$AE58*V58-$AE$33*V$33</f>
        <v>101.33973937093128</v>
      </c>
      <c r="AN59" s="750">
        <f>$AE58*W58-$AE$33*W$33</f>
        <v>8.7551830179378953</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v>59</v>
      </c>
      <c r="D60" s="261" t="str">
        <f>"Scenario " &amp; A60</f>
        <v>Scenario N</v>
      </c>
      <c r="E60" s="272" t="s">
        <v>2</v>
      </c>
      <c r="F60" s="262">
        <f>IF($C60="","",VLOOKUP($C60+$F$11*1000,DSS_Calc!$A:$JV,F$30,FALSE))</f>
        <v>1506.832975525977</v>
      </c>
      <c r="G60" s="262" t="str">
        <f>IF($C60="","",VLOOKUP($C60+$F$11*1000,DSS_Calc!$A:$JV,G$30,FALSE))</f>
        <v>0/0/0.9/3.9</v>
      </c>
      <c r="H60" s="262">
        <f>IF($C60="","",VLOOKUP($C60+$F$11*1000,DSS_Calc!$A:$JV,H$30,FALSE))</f>
        <v>0</v>
      </c>
      <c r="I60" s="262">
        <f>IF($C60="","",VLOOKUP($C60+$F$11*1000,DSS_Calc!$A:$JV,I$30,FALSE))</f>
        <v>0</v>
      </c>
      <c r="J60" s="262">
        <f>IF($C60="","",VLOOKUP($C60+$F$11*1000,DSS_Calc!$A:$JV,J$30,FALSE))</f>
        <v>2227</v>
      </c>
      <c r="K60" s="262">
        <f>IF($C60="","",VLOOKUP($C60+$F$11*1000,DSS_Calc!$A:$JV,K$30,FALSE))</f>
        <v>0</v>
      </c>
      <c r="L60" s="262">
        <f>IF($C60="","",VLOOKUP($C60+$F$11*1000,DSS_Calc!$A:$JV,L$30,FALSE))</f>
        <v>0</v>
      </c>
      <c r="M60" s="262">
        <f>IF($C60="","",VLOOKUP($C60+$F$11*1000,DSS_Calc!$A:$JV,M$30,FALSE))</f>
        <v>0</v>
      </c>
      <c r="N60" s="262">
        <f>IF($C60="","",VLOOKUP($C60+$F$11*1000,DSS_Calc!$A:$JV,N$30,FALSE))</f>
        <v>0</v>
      </c>
      <c r="O60" s="262">
        <f>IF($C60="","",VLOOKUP($C60+$F$11*1000,DSS_Calc!$A:$JV,O$30,FALSE))</f>
        <v>0</v>
      </c>
      <c r="P60" s="294" t="s">
        <v>2</v>
      </c>
      <c r="Q60" s="262">
        <f>IF($C60="","",VLOOKUP($C60+$F$11*1000,DSS_Calc!$A:$JV,Q$30,FALSE)*IF(U60=0,0,1))</f>
        <v>2300</v>
      </c>
      <c r="R60" s="262">
        <f>IF($C60="","",VLOOKUP($C60+$F$11*1000,DSS_Calc!$A:$JV,R$30,FALSE)*IF(V60=0,0,1))</f>
        <v>3251.0219338289089</v>
      </c>
      <c r="S60" s="262">
        <f>IF($C60="","",VLOOKUP($C60+$F$11*1000,DSS_Calc!$A:$JV,S$30,FALSE)*IF(W60=0,0,1))</f>
        <v>4058.7164157747848</v>
      </c>
      <c r="T60" s="294" t="s">
        <v>2</v>
      </c>
      <c r="U60" s="263">
        <f>IF($C60="","",VLOOKUP($C60+$F$11*1000,DSS_Calc!$A:$JV,U$30,FALSE))</f>
        <v>0.42813936700719457</v>
      </c>
      <c r="V60" s="263">
        <f>IF($C60="","",VLOOKUP($C60+$F$11*1000,DSS_Calc!$A:$JV,V$30,FALSE))</f>
        <v>0.53381197281173132</v>
      </c>
      <c r="W60" s="263">
        <f>IF($C60="","",VLOOKUP($C60+$F$11*1000,DSS_Calc!$A:$JV,W$30,FALSE))</f>
        <v>3.8048660181074064E-2</v>
      </c>
      <c r="X60" s="294" t="s">
        <v>2</v>
      </c>
      <c r="Y60" s="262">
        <f>IF(U60=0,0,U60*Q60)</f>
        <v>984.72054411654756</v>
      </c>
      <c r="Z60" s="262">
        <f>IF(V60=0,0,V60*R60)</f>
        <v>1735.4344321514197</v>
      </c>
      <c r="AA60" s="262">
        <f>IF(W60=0,0,W60*S60)</f>
        <v>154.42872167516168</v>
      </c>
      <c r="AB60" s="294" t="s">
        <v>2</v>
      </c>
      <c r="AC60" s="262">
        <f>SUM(Y60:AA60)</f>
        <v>2874.5836979431292</v>
      </c>
      <c r="AD60" s="264">
        <f>AC60*AE60/1000/1000</f>
        <v>7.1980351244225833</v>
      </c>
      <c r="AE60" s="265">
        <f>IF($C60="","",VLOOKUP($C60+$F$11*1000,DSS_Calc!$A:$JV,AE$30,FALSE))</f>
        <v>2504.0269760010965</v>
      </c>
      <c r="AF60" s="264">
        <f>IF($C60="","",VLOOKUP($C60+$F$11*1000,DSS_Calc!$A:$JV,AF$30,FALSE))</f>
        <v>7.8148586101919904</v>
      </c>
      <c r="AG60" s="263"/>
      <c r="AH60" s="263"/>
      <c r="AI60" s="300"/>
      <c r="AJ60" s="289" t="s">
        <v>2</v>
      </c>
      <c r="AK60" s="758" t="str">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N: +250 CC, 0/0/0.9/3.9, -360 Lease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f>AI61/((Q61*U60+R61*V60+S61*W60)/(VLOOKUP($C60+$F$11*1000,DSS_Calc!$A:$JV,DSS_Calc!BX$92,FALSE)-$AC$33))</f>
        <v>2.2268238907403761</v>
      </c>
      <c r="B61" s="402"/>
      <c r="C61" s="564">
        <f>AI61/(AC61/(VLOOKUP($C60+$F$11*1000,DSS_Calc!$A:$JV,DSS_Calc!BX$92,FALSE)-$AC$33))</f>
        <v>2.4542016063148493</v>
      </c>
      <c r="D61" s="266" t="s">
        <v>141</v>
      </c>
      <c r="F61" s="267">
        <f>ROUND(F60-F$33,0)</f>
        <v>250</v>
      </c>
      <c r="G61" s="267"/>
      <c r="H61" s="267"/>
      <c r="I61" s="267">
        <f t="shared" ref="I61:O61" si="29">ROUND(I60-I$33,0)</f>
        <v>0</v>
      </c>
      <c r="J61" s="267">
        <f t="shared" si="29"/>
        <v>-360</v>
      </c>
      <c r="K61" s="267">
        <f t="shared" si="29"/>
        <v>0</v>
      </c>
      <c r="L61" s="267">
        <f t="shared" si="29"/>
        <v>0</v>
      </c>
      <c r="M61" s="267">
        <f t="shared" si="29"/>
        <v>0</v>
      </c>
      <c r="N61" s="267">
        <f t="shared" si="29"/>
        <v>0</v>
      </c>
      <c r="O61" s="267">
        <f t="shared" si="29"/>
        <v>0</v>
      </c>
      <c r="P61" s="294"/>
      <c r="Q61" s="267">
        <f t="shared" ref="Q61:S61" si="30">Q60-Q$33</f>
        <v>250</v>
      </c>
      <c r="R61" s="267">
        <f t="shared" si="30"/>
        <v>340.9124999481005</v>
      </c>
      <c r="S61" s="267">
        <f t="shared" si="30"/>
        <v>-360</v>
      </c>
      <c r="T61" s="294"/>
      <c r="U61" s="268">
        <f>U60-U$33</f>
        <v>3.6242697893504316E-3</v>
      </c>
      <c r="V61" s="268">
        <f>V60-V$33</f>
        <v>1.1217713553533848E-2</v>
      </c>
      <c r="W61" s="268">
        <f>W60-W$33</f>
        <v>-1.4841983342884335E-2</v>
      </c>
      <c r="X61" s="294"/>
      <c r="Y61" s="267">
        <f>Y60-Y$33</f>
        <v>114.46459481996703</v>
      </c>
      <c r="Z61" s="267">
        <f>Z60-Z$33</f>
        <v>214.6279481921863</v>
      </c>
      <c r="AA61" s="267">
        <f>AA60-AA$33</f>
        <v>-79.280033105045618</v>
      </c>
      <c r="AB61" s="294"/>
      <c r="AC61" s="267">
        <f>IFERROR(AC60-AC$33,NA())</f>
        <v>249.81250990710805</v>
      </c>
      <c r="AD61" s="269">
        <f>AD60-AD$33</f>
        <v>0.84973260717768717</v>
      </c>
      <c r="AE61" s="270">
        <f t="shared" si="20"/>
        <v>85.415195217645305</v>
      </c>
      <c r="AF61" s="269">
        <f t="shared" si="20"/>
        <v>-0.33762580425029576</v>
      </c>
      <c r="AG61" s="268">
        <f>AF61/AF$33</f>
        <v>-4.1413854610035807E-2</v>
      </c>
      <c r="AH61" s="268"/>
      <c r="AI61" s="301">
        <f>IFERROR(AE61/$AE$33,NA())</f>
        <v>3.531579391793796E-2</v>
      </c>
      <c r="AJ61" s="289"/>
      <c r="AK61" s="749"/>
      <c r="AL61" s="750">
        <f>$AE60*U60-$AE$33*U$33</f>
        <v>45.335309222539081</v>
      </c>
      <c r="AM61" s="750">
        <f>$AE60*V60-$AE$33*V$33</f>
        <v>72.726948021261705</v>
      </c>
      <c r="AN61" s="750">
        <f>$AE60*W60-$AE$33*W$33</f>
        <v>-32.64706202615551</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v>83</v>
      </c>
      <c r="D62" s="396" t="str">
        <f>"Scenario " &amp; A62</f>
        <v>Scenario O</v>
      </c>
      <c r="E62" s="272" t="s">
        <v>2</v>
      </c>
      <c r="F62" s="397">
        <f>IF($C62="","",VLOOKUP($C62+$F$11*1000,DSS_Calc!$A:$JV,F$30,FALSE))</f>
        <v>1506.832975525977</v>
      </c>
      <c r="G62" s="397" t="str">
        <f>IF($C62="","",VLOOKUP($C62+$F$11*1000,DSS_Calc!$A:$JV,G$30,FALSE))</f>
        <v>0.9/1.9/2.9/3.9</v>
      </c>
      <c r="H62" s="397">
        <f>IF($C62="","",VLOOKUP($C62+$F$11*1000,DSS_Calc!$A:$JV,H$30,FALSE))</f>
        <v>0</v>
      </c>
      <c r="I62" s="397">
        <f>IF($C62="","",VLOOKUP($C62+$F$11*1000,DSS_Calc!$A:$JV,I$30,FALSE))</f>
        <v>0</v>
      </c>
      <c r="J62" s="397">
        <f>IF($C62="","",VLOOKUP($C62+$F$11*1000,DSS_Calc!$A:$JV,J$30,FALSE))</f>
        <v>2227</v>
      </c>
      <c r="K62" s="397">
        <f>IF($C62="","",VLOOKUP($C62+$F$11*1000,DSS_Calc!$A:$JV,K$30,FALSE))</f>
        <v>0</v>
      </c>
      <c r="L62" s="397">
        <f>IF($C62="","",VLOOKUP($C62+$F$11*1000,DSS_Calc!$A:$JV,L$30,FALSE))</f>
        <v>0</v>
      </c>
      <c r="M62" s="397">
        <f>IF($C62="","",VLOOKUP($C62+$F$11*1000,DSS_Calc!$A:$JV,M$30,FALSE))</f>
        <v>0</v>
      </c>
      <c r="N62" s="397">
        <f>IF($C62="","",VLOOKUP($C62+$F$11*1000,DSS_Calc!$A:$JV,N$30,FALSE))</f>
        <v>0</v>
      </c>
      <c r="O62" s="397">
        <f>IF($C62="","",VLOOKUP($C62+$F$11*1000,DSS_Calc!$A:$JV,O$30,FALSE))</f>
        <v>0</v>
      </c>
      <c r="P62" s="294" t="s">
        <v>2</v>
      </c>
      <c r="Q62" s="397">
        <f>IF($C62="","",VLOOKUP($C62+$F$11*1000,DSS_Calc!$A:$JV,Q$30,FALSE)*IF(U62=0,0,1))</f>
        <v>2300</v>
      </c>
      <c r="R62" s="397">
        <f>IF($C62="","",VLOOKUP($C62+$F$11*1000,DSS_Calc!$A:$JV,R$30,FALSE)*IF(V62=0,0,1))</f>
        <v>2522.1793276664266</v>
      </c>
      <c r="S62" s="397">
        <f>IF($C62="","",VLOOKUP($C62+$F$11*1000,DSS_Calc!$A:$JV,S$30,FALSE)*IF(W62=0,0,1))</f>
        <v>4058.7164157747848</v>
      </c>
      <c r="T62" s="294" t="s">
        <v>2</v>
      </c>
      <c r="U62" s="398">
        <f>IF($C62="","",VLOOKUP($C62+$F$11*1000,DSS_Calc!$A:$JV,U$30,FALSE))</f>
        <v>0.46836539890082202</v>
      </c>
      <c r="V62" s="398">
        <f>IF($C62="","",VLOOKUP($C62+$F$11*1000,DSS_Calc!$A:$JV,V$30,FALSE))</f>
        <v>0.49084078254810193</v>
      </c>
      <c r="W62" s="398">
        <f>IF($C62="","",VLOOKUP($C62+$F$11*1000,DSS_Calc!$A:$JV,W$30,FALSE))</f>
        <v>4.0793818551075993E-2</v>
      </c>
      <c r="X62" s="294" t="s">
        <v>2</v>
      </c>
      <c r="Y62" s="397">
        <f>IF(U62=0,0,U62*Q62)</f>
        <v>1077.2404174718906</v>
      </c>
      <c r="Z62" s="397">
        <f>IF(V62=0,0,V62*R62)</f>
        <v>1237.9884749184343</v>
      </c>
      <c r="AA62" s="397">
        <f>IF(W62=0,0,W62*S62)</f>
        <v>165.57054101539009</v>
      </c>
      <c r="AB62" s="294" t="s">
        <v>2</v>
      </c>
      <c r="AC62" s="397">
        <f>SUM(Y62:AA62)</f>
        <v>2480.7994334057153</v>
      </c>
      <c r="AD62" s="399">
        <f>AC62*AE62/1000/1000</f>
        <v>5.8781571574457718</v>
      </c>
      <c r="AE62" s="400">
        <f>IF($C62="","",VLOOKUP($C62+$F$11*1000,DSS_Calc!$A:$JV,AE$30,FALSE))</f>
        <v>2369.4608593875982</v>
      </c>
      <c r="AF62" s="399">
        <f>IF($C62="","",VLOOKUP($C62+$F$11*1000,DSS_Calc!$A:$JV,AF$30,FALSE))</f>
        <v>8.3279454250125724</v>
      </c>
      <c r="AG62" s="398"/>
      <c r="AH62" s="398"/>
      <c r="AI62" s="401"/>
      <c r="AJ62" s="289" t="s">
        <v>2</v>
      </c>
      <c r="AK62" s="758" t="str">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O: +250 CC, 0.9/1.9/2.9/3.9, -360 Lease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f>AI63/((Q63*U62+R63*V62+S63*W62)/(VLOOKUP($C62+$F$11*1000,DSS_Calc!$A:$JV,DSS_Calc!BX$92,FALSE)-$AC$33))</f>
        <v>4.0087315630143321</v>
      </c>
      <c r="B63" s="402"/>
      <c r="C63" s="564">
        <f>AI63/(AC63/(VLOOKUP($C62+$F$11*1000,DSS_Calc!$A:$JV,DSS_Calc!BX$92,FALSE)-$AC$33))</f>
        <v>2.4504375963966369</v>
      </c>
      <c r="D63" s="403" t="s">
        <v>141</v>
      </c>
      <c r="F63" s="404">
        <f>ROUND(F62-F$33,0)</f>
        <v>250</v>
      </c>
      <c r="G63" s="404"/>
      <c r="H63" s="404"/>
      <c r="I63" s="404">
        <f t="shared" ref="I63:O63" si="31">ROUND(I62-I$33,0)</f>
        <v>0</v>
      </c>
      <c r="J63" s="404">
        <f t="shared" si="31"/>
        <v>-360</v>
      </c>
      <c r="K63" s="404">
        <f t="shared" si="31"/>
        <v>0</v>
      </c>
      <c r="L63" s="404">
        <f t="shared" si="31"/>
        <v>0</v>
      </c>
      <c r="M63" s="404">
        <f t="shared" si="31"/>
        <v>0</v>
      </c>
      <c r="N63" s="404">
        <f t="shared" si="31"/>
        <v>0</v>
      </c>
      <c r="O63" s="404">
        <f t="shared" si="31"/>
        <v>0</v>
      </c>
      <c r="P63" s="294"/>
      <c r="Q63" s="404">
        <f t="shared" ref="Q63:S63" si="32">Q62-Q$33</f>
        <v>250</v>
      </c>
      <c r="R63" s="404">
        <f t="shared" si="32"/>
        <v>-387.93010621438179</v>
      </c>
      <c r="S63" s="404">
        <f t="shared" si="32"/>
        <v>-360</v>
      </c>
      <c r="T63" s="294"/>
      <c r="U63" s="405">
        <f>U62-U$33</f>
        <v>4.3850301682977877E-2</v>
      </c>
      <c r="V63" s="405">
        <f>V62-V$33</f>
        <v>-3.1753476710095541E-2</v>
      </c>
      <c r="W63" s="405">
        <f>W62-W$33</f>
        <v>-1.2096824972882406E-2</v>
      </c>
      <c r="X63" s="294"/>
      <c r="Y63" s="404">
        <f>Y62-Y$33</f>
        <v>206.9844681753101</v>
      </c>
      <c r="Z63" s="404">
        <f>Z62-Z$33</f>
        <v>-282.8180090407991</v>
      </c>
      <c r="AA63" s="404">
        <f>AA62-AA$33</f>
        <v>-68.138213764817209</v>
      </c>
      <c r="AB63" s="294"/>
      <c r="AC63" s="404">
        <f>IFERROR(AC62-AC$33,NA())</f>
        <v>-143.9717546303059</v>
      </c>
      <c r="AD63" s="406">
        <f>AD62-AD$33</f>
        <v>-0.47014535979912431</v>
      </c>
      <c r="AE63" s="407">
        <f t="shared" ref="AE63:AF63" si="33">AE62-AE$33</f>
        <v>-49.150921395852947</v>
      </c>
      <c r="AF63" s="406">
        <f t="shared" si="33"/>
        <v>0.17546101057028629</v>
      </c>
      <c r="AG63" s="405">
        <f>AF63/AF$33</f>
        <v>2.1522397547851017E-2</v>
      </c>
      <c r="AH63" s="405"/>
      <c r="AI63" s="408">
        <f>IFERROR(AE63/$AE$33,NA())</f>
        <v>-2.0321955671584336E-2</v>
      </c>
      <c r="AJ63" s="289"/>
      <c r="AK63" s="749"/>
      <c r="AL63" s="750">
        <f>$AE62*U62-$AE$33*U$33</f>
        <v>83.036265335447069</v>
      </c>
      <c r="AM63" s="750">
        <f>$AE62*V62-$AE$33*V$33</f>
        <v>-100.92460957277058</v>
      </c>
      <c r="AN63" s="750">
        <f>$AE62*W62-$AE$33*W$33</f>
        <v>-31.262577158529467</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22"/>
      <c r="AK72" s="112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720" priority="233">
      <formula>IF(F$29="NO",TRUE,FALSE)</formula>
    </cfRule>
  </conditionalFormatting>
  <conditionalFormatting sqref="G33">
    <cfRule type="expression" dxfId="719" priority="232">
      <formula>IF($G$29="NO",TRUE,FALSE)</formula>
    </cfRule>
  </conditionalFormatting>
  <conditionalFormatting sqref="H33">
    <cfRule type="expression" dxfId="718" priority="231">
      <formula>IF($H$29="NO",TRUE,FALSE)</formula>
    </cfRule>
  </conditionalFormatting>
  <conditionalFormatting sqref="G33:I33">
    <cfRule type="expression" dxfId="717" priority="230">
      <formula>IF(G$29="NO",TRUE,FALSE)</formula>
    </cfRule>
  </conditionalFormatting>
  <conditionalFormatting sqref="Y33:AA33">
    <cfRule type="expression" dxfId="716" priority="229">
      <formula>IF(Y$29="NO",TRUE,FALSE)</formula>
    </cfRule>
  </conditionalFormatting>
  <conditionalFormatting sqref="AC33">
    <cfRule type="expression" dxfId="715" priority="228">
      <formula>IF(AC$29="NO",TRUE,FALSE)</formula>
    </cfRule>
  </conditionalFormatting>
  <conditionalFormatting sqref="AD33">
    <cfRule type="expression" dxfId="714" priority="227">
      <formula>IF(AD$29="NO",TRUE,FALSE)</formula>
    </cfRule>
  </conditionalFormatting>
  <conditionalFormatting sqref="AE33">
    <cfRule type="expression" dxfId="713" priority="226">
      <formula>IF(AE$29="NO",TRUE,FALSE)</formula>
    </cfRule>
  </conditionalFormatting>
  <conditionalFormatting sqref="U36:W36">
    <cfRule type="expression" dxfId="712" priority="225">
      <formula>IF(XDI$29="NO",TRUE,FALSE)</formula>
    </cfRule>
  </conditionalFormatting>
  <conditionalFormatting sqref="AC48:AE48 AC52:AF52 AC56:AF56 AC60:AF60 AC64:AF64 AC36:AF36 AC40:AF40 AC44:AF44">
    <cfRule type="expression" dxfId="711" priority="224">
      <formula>IF(XDR$29="NO",TRUE,FALSE)</formula>
    </cfRule>
  </conditionalFormatting>
  <conditionalFormatting sqref="Q36:S36">
    <cfRule type="expression" dxfId="710" priority="223">
      <formula>IF(XDD$29="NO",TRUE,FALSE)</formula>
    </cfRule>
  </conditionalFormatting>
  <conditionalFormatting sqref="Y46:AA46">
    <cfRule type="expression" dxfId="709" priority="222">
      <formula>IF(XDN$29="NO",TRUE,FALSE)</formula>
    </cfRule>
  </conditionalFormatting>
  <conditionalFormatting sqref="AC46">
    <cfRule type="expression" dxfId="708" priority="221">
      <formula>IF(XDR$29="NO",TRUE,FALSE)</formula>
    </cfRule>
  </conditionalFormatting>
  <conditionalFormatting sqref="AD46">
    <cfRule type="expression" dxfId="707" priority="220">
      <formula>IF(XDS$29="NO",TRUE,FALSE)</formula>
    </cfRule>
  </conditionalFormatting>
  <conditionalFormatting sqref="AE46">
    <cfRule type="expression" dxfId="706" priority="219">
      <formula>IF(XDT$29="NO",TRUE,FALSE)</formula>
    </cfRule>
  </conditionalFormatting>
  <conditionalFormatting sqref="Y46:AA46">
    <cfRule type="expression" dxfId="705" priority="218">
      <formula>IF(XDN$29="NO",TRUE,FALSE)</formula>
    </cfRule>
  </conditionalFormatting>
  <conditionalFormatting sqref="AC46">
    <cfRule type="expression" dxfId="704" priority="217">
      <formula>IF(XDR$29="NO",TRUE,FALSE)</formula>
    </cfRule>
  </conditionalFormatting>
  <conditionalFormatting sqref="AD46">
    <cfRule type="expression" dxfId="703" priority="216">
      <formula>IF(XDS$29="NO",TRUE,FALSE)</formula>
    </cfRule>
  </conditionalFormatting>
  <conditionalFormatting sqref="AE46">
    <cfRule type="expression" dxfId="702" priority="215">
      <formula>IF(XDT$29="NO",TRUE,FALSE)</formula>
    </cfRule>
  </conditionalFormatting>
  <conditionalFormatting sqref="AE54">
    <cfRule type="expression" dxfId="701" priority="201">
      <formula>IF(XDT$29="NO",TRUE,FALSE)</formula>
    </cfRule>
  </conditionalFormatting>
  <conditionalFormatting sqref="Y48:AA48">
    <cfRule type="expression" dxfId="700" priority="214">
      <formula>IF(XDN$29="NO",TRUE,FALSE)</formula>
    </cfRule>
  </conditionalFormatting>
  <conditionalFormatting sqref="Y50:AA50">
    <cfRule type="expression" dxfId="699" priority="213">
      <formula>IF(XDN$29="NO",TRUE,FALSE)</formula>
    </cfRule>
  </conditionalFormatting>
  <conditionalFormatting sqref="AC50">
    <cfRule type="expression" dxfId="698" priority="212">
      <formula>IF(XDR$29="NO",TRUE,FALSE)</formula>
    </cfRule>
  </conditionalFormatting>
  <conditionalFormatting sqref="AD50">
    <cfRule type="expression" dxfId="697" priority="211">
      <formula>IF(XDS$29="NO",TRUE,FALSE)</formula>
    </cfRule>
  </conditionalFormatting>
  <conditionalFormatting sqref="AE50">
    <cfRule type="expression" dxfId="696" priority="210">
      <formula>IF(XDT$29="NO",TRUE,FALSE)</formula>
    </cfRule>
  </conditionalFormatting>
  <conditionalFormatting sqref="Y50:AA50">
    <cfRule type="expression" dxfId="695" priority="209">
      <formula>IF(XDN$29="NO",TRUE,FALSE)</formula>
    </cfRule>
  </conditionalFormatting>
  <conditionalFormatting sqref="AC50">
    <cfRule type="expression" dxfId="694" priority="208">
      <formula>IF(XDR$29="NO",TRUE,FALSE)</formula>
    </cfRule>
  </conditionalFormatting>
  <conditionalFormatting sqref="AD50">
    <cfRule type="expression" dxfId="693" priority="207">
      <formula>IF(XDS$29="NO",TRUE,FALSE)</formula>
    </cfRule>
  </conditionalFormatting>
  <conditionalFormatting sqref="AE50">
    <cfRule type="expression" dxfId="692" priority="206">
      <formula>IF(XDT$29="NO",TRUE,FALSE)</formula>
    </cfRule>
  </conditionalFormatting>
  <conditionalFormatting sqref="AE58">
    <cfRule type="expression" dxfId="691" priority="192">
      <formula>IF(XDT$29="NO",TRUE,FALSE)</formula>
    </cfRule>
  </conditionalFormatting>
  <conditionalFormatting sqref="Y52:AA52">
    <cfRule type="expression" dxfId="690" priority="205">
      <formula>IF(XDN$29="NO",TRUE,FALSE)</formula>
    </cfRule>
  </conditionalFormatting>
  <conditionalFormatting sqref="Y54:AA54">
    <cfRule type="expression" dxfId="689" priority="204">
      <formula>IF(XDN$29="NO",TRUE,FALSE)</formula>
    </cfRule>
  </conditionalFormatting>
  <conditionalFormatting sqref="AC54">
    <cfRule type="expression" dxfId="688" priority="203">
      <formula>IF(XDR$29="NO",TRUE,FALSE)</formula>
    </cfRule>
  </conditionalFormatting>
  <conditionalFormatting sqref="AD54">
    <cfRule type="expression" dxfId="687" priority="202">
      <formula>IF(XDS$29="NO",TRUE,FALSE)</formula>
    </cfRule>
  </conditionalFormatting>
  <conditionalFormatting sqref="Y54:AA54">
    <cfRule type="expression" dxfId="686" priority="200">
      <formula>IF(XDN$29="NO",TRUE,FALSE)</formula>
    </cfRule>
  </conditionalFormatting>
  <conditionalFormatting sqref="AC54">
    <cfRule type="expression" dxfId="685" priority="199">
      <formula>IF(XDR$29="NO",TRUE,FALSE)</formula>
    </cfRule>
  </conditionalFormatting>
  <conditionalFormatting sqref="AD54">
    <cfRule type="expression" dxfId="684" priority="198">
      <formula>IF(XDS$29="NO",TRUE,FALSE)</formula>
    </cfRule>
  </conditionalFormatting>
  <conditionalFormatting sqref="AE54">
    <cfRule type="expression" dxfId="683" priority="197">
      <formula>IF(XDT$29="NO",TRUE,FALSE)</formula>
    </cfRule>
  </conditionalFormatting>
  <conditionalFormatting sqref="AE62">
    <cfRule type="expression" dxfId="682" priority="183">
      <formula>IF(XDT$29="NO",TRUE,FALSE)</formula>
    </cfRule>
  </conditionalFormatting>
  <conditionalFormatting sqref="Y56:AA56">
    <cfRule type="expression" dxfId="681" priority="196">
      <formula>IF(XDN$29="NO",TRUE,FALSE)</formula>
    </cfRule>
  </conditionalFormatting>
  <conditionalFormatting sqref="Y58:AA58">
    <cfRule type="expression" dxfId="680" priority="195">
      <formula>IF(XDN$29="NO",TRUE,FALSE)</formula>
    </cfRule>
  </conditionalFormatting>
  <conditionalFormatting sqref="AC58">
    <cfRule type="expression" dxfId="679" priority="194">
      <formula>IF(XDR$29="NO",TRUE,FALSE)</formula>
    </cfRule>
  </conditionalFormatting>
  <conditionalFormatting sqref="AD58">
    <cfRule type="expression" dxfId="678" priority="193">
      <formula>IF(XDS$29="NO",TRUE,FALSE)</formula>
    </cfRule>
  </conditionalFormatting>
  <conditionalFormatting sqref="Y58:AA58">
    <cfRule type="expression" dxfId="677" priority="191">
      <formula>IF(XDN$29="NO",TRUE,FALSE)</formula>
    </cfRule>
  </conditionalFormatting>
  <conditionalFormatting sqref="AC58">
    <cfRule type="expression" dxfId="676" priority="190">
      <formula>IF(XDR$29="NO",TRUE,FALSE)</formula>
    </cfRule>
  </conditionalFormatting>
  <conditionalFormatting sqref="AD58">
    <cfRule type="expression" dxfId="675" priority="189">
      <formula>IF(XDS$29="NO",TRUE,FALSE)</formula>
    </cfRule>
  </conditionalFormatting>
  <conditionalFormatting sqref="AE58">
    <cfRule type="expression" dxfId="674" priority="188">
      <formula>IF(XDT$29="NO",TRUE,FALSE)</formula>
    </cfRule>
  </conditionalFormatting>
  <conditionalFormatting sqref="Y60:AA60">
    <cfRule type="expression" dxfId="673" priority="187">
      <formula>IF(XDN$29="NO",TRUE,FALSE)</formula>
    </cfRule>
  </conditionalFormatting>
  <conditionalFormatting sqref="Y62:AA62">
    <cfRule type="expression" dxfId="672" priority="186">
      <formula>IF(XDN$29="NO",TRUE,FALSE)</formula>
    </cfRule>
  </conditionalFormatting>
  <conditionalFormatting sqref="AC62">
    <cfRule type="expression" dxfId="671" priority="185">
      <formula>IF(XDR$29="NO",TRUE,FALSE)</formula>
    </cfRule>
  </conditionalFormatting>
  <conditionalFormatting sqref="AD62">
    <cfRule type="expression" dxfId="670" priority="184">
      <formula>IF(XDS$29="NO",TRUE,FALSE)</formula>
    </cfRule>
  </conditionalFormatting>
  <conditionalFormatting sqref="Y62:AA62">
    <cfRule type="expression" dxfId="669" priority="182">
      <formula>IF(XDN$29="NO",TRUE,FALSE)</formula>
    </cfRule>
  </conditionalFormatting>
  <conditionalFormatting sqref="AC62">
    <cfRule type="expression" dxfId="668" priority="181">
      <formula>IF(XDR$29="NO",TRUE,FALSE)</formula>
    </cfRule>
  </conditionalFormatting>
  <conditionalFormatting sqref="AD62">
    <cfRule type="expression" dxfId="667" priority="180">
      <formula>IF(XDS$29="NO",TRUE,FALSE)</formula>
    </cfRule>
  </conditionalFormatting>
  <conditionalFormatting sqref="AE62">
    <cfRule type="expression" dxfId="666" priority="179">
      <formula>IF(XDT$29="NO",TRUE,FALSE)</formula>
    </cfRule>
  </conditionalFormatting>
  <conditionalFormatting sqref="Y64:AA64">
    <cfRule type="expression" dxfId="665" priority="178">
      <formula>IF(XDN$29="NO",TRUE,FALSE)</formula>
    </cfRule>
  </conditionalFormatting>
  <conditionalFormatting sqref="Q34:S34">
    <cfRule type="expression" dxfId="664" priority="177">
      <formula>IF(XDD$29="NO",TRUE,FALSE)</formula>
    </cfRule>
  </conditionalFormatting>
  <conditionalFormatting sqref="U34:W34">
    <cfRule type="expression" dxfId="663" priority="176">
      <formula>IF(XDI$29="NO",TRUE,FALSE)</formula>
    </cfRule>
  </conditionalFormatting>
  <conditionalFormatting sqref="Y34:AA34">
    <cfRule type="expression" dxfId="662" priority="175">
      <formula>IF(XDN$29="NO",TRUE,FALSE)</formula>
    </cfRule>
  </conditionalFormatting>
  <conditionalFormatting sqref="AC34">
    <cfRule type="expression" dxfId="661" priority="174">
      <formula>IF(XDR$29="NO",TRUE,FALSE)</formula>
    </cfRule>
  </conditionalFormatting>
  <conditionalFormatting sqref="AD34">
    <cfRule type="expression" dxfId="660" priority="173">
      <formula>IF(XDS$29="NO",TRUE,FALSE)</formula>
    </cfRule>
  </conditionalFormatting>
  <conditionalFormatting sqref="AE34">
    <cfRule type="expression" dxfId="659" priority="172">
      <formula>IF(XDT$29="NO",TRUE,FALSE)</formula>
    </cfRule>
  </conditionalFormatting>
  <conditionalFormatting sqref="Y38:AA38">
    <cfRule type="expression" dxfId="658" priority="160">
      <formula>IF(XDN$29="NO",TRUE,FALSE)</formula>
    </cfRule>
  </conditionalFormatting>
  <conditionalFormatting sqref="Q34:S34">
    <cfRule type="expression" dxfId="657" priority="171">
      <formula>IF(XDD$29="NO",TRUE,FALSE)</formula>
    </cfRule>
  </conditionalFormatting>
  <conditionalFormatting sqref="U34:W34">
    <cfRule type="expression" dxfId="656" priority="170">
      <formula>IF(XDI$29="NO",TRUE,FALSE)</formula>
    </cfRule>
  </conditionalFormatting>
  <conditionalFormatting sqref="Y34:AA34">
    <cfRule type="expression" dxfId="655" priority="169">
      <formula>IF(XDN$29="NO",TRUE,FALSE)</formula>
    </cfRule>
  </conditionalFormatting>
  <conditionalFormatting sqref="AC34">
    <cfRule type="expression" dxfId="654" priority="168">
      <formula>IF(XDR$29="NO",TRUE,FALSE)</formula>
    </cfRule>
  </conditionalFormatting>
  <conditionalFormatting sqref="AD34">
    <cfRule type="expression" dxfId="653" priority="167">
      <formula>IF(XDS$29="NO",TRUE,FALSE)</formula>
    </cfRule>
  </conditionalFormatting>
  <conditionalFormatting sqref="AE34">
    <cfRule type="expression" dxfId="652" priority="166">
      <formula>IF(XDT$29="NO",TRUE,FALSE)</formula>
    </cfRule>
  </conditionalFormatting>
  <conditionalFormatting sqref="AC42">
    <cfRule type="expression" dxfId="651" priority="154">
      <formula>IF(XDR$29="NO",TRUE,FALSE)</formula>
    </cfRule>
  </conditionalFormatting>
  <conditionalFormatting sqref="Y36:AA36">
    <cfRule type="expression" dxfId="650" priority="165">
      <formula>IF(XDN$29="NO",TRUE,FALSE)</formula>
    </cfRule>
  </conditionalFormatting>
  <conditionalFormatting sqref="Y38:AA38">
    <cfRule type="expression" dxfId="649" priority="164">
      <formula>IF(XDN$29="NO",TRUE,FALSE)</formula>
    </cfRule>
  </conditionalFormatting>
  <conditionalFormatting sqref="AC38">
    <cfRule type="expression" dxfId="648" priority="163">
      <formula>IF(XDR$29="NO",TRUE,FALSE)</formula>
    </cfRule>
  </conditionalFormatting>
  <conditionalFormatting sqref="AD38">
    <cfRule type="expression" dxfId="647" priority="162">
      <formula>IF(XDS$29="NO",TRUE,FALSE)</formula>
    </cfRule>
  </conditionalFormatting>
  <conditionalFormatting sqref="AE38">
    <cfRule type="expression" dxfId="646" priority="161">
      <formula>IF(XDT$29="NO",TRUE,FALSE)</formula>
    </cfRule>
  </conditionalFormatting>
  <conditionalFormatting sqref="Q46:S46">
    <cfRule type="expression" dxfId="645" priority="139">
      <formula>IF(XDD$29="NO",TRUE,FALSE)</formula>
    </cfRule>
  </conditionalFormatting>
  <conditionalFormatting sqref="AC38">
    <cfRule type="expression" dxfId="644" priority="159">
      <formula>IF(XDR$29="NO",TRUE,FALSE)</formula>
    </cfRule>
  </conditionalFormatting>
  <conditionalFormatting sqref="AD38">
    <cfRule type="expression" dxfId="643" priority="158">
      <formula>IF(XDS$29="NO",TRUE,FALSE)</formula>
    </cfRule>
  </conditionalFormatting>
  <conditionalFormatting sqref="AE38">
    <cfRule type="expression" dxfId="642" priority="157">
      <formula>IF(XDT$29="NO",TRUE,FALSE)</formula>
    </cfRule>
  </conditionalFormatting>
  <conditionalFormatting sqref="Y40:AA40">
    <cfRule type="expression" dxfId="641" priority="156">
      <formula>IF(XDN$29="NO",TRUE,FALSE)</formula>
    </cfRule>
  </conditionalFormatting>
  <conditionalFormatting sqref="Y42:AA42">
    <cfRule type="expression" dxfId="640" priority="155">
      <formula>IF(XDN$29="NO",TRUE,FALSE)</formula>
    </cfRule>
  </conditionalFormatting>
  <conditionalFormatting sqref="AD42">
    <cfRule type="expression" dxfId="639" priority="153">
      <formula>IF(XDS$29="NO",TRUE,FALSE)</formula>
    </cfRule>
  </conditionalFormatting>
  <conditionalFormatting sqref="AE42">
    <cfRule type="expression" dxfId="638" priority="152">
      <formula>IF(XDT$29="NO",TRUE,FALSE)</formula>
    </cfRule>
  </conditionalFormatting>
  <conditionalFormatting sqref="Y42:AA42">
    <cfRule type="expression" dxfId="637" priority="151">
      <formula>IF(XDN$29="NO",TRUE,FALSE)</formula>
    </cfRule>
  </conditionalFormatting>
  <conditionalFormatting sqref="AC42">
    <cfRule type="expression" dxfId="636" priority="150">
      <formula>IF(XDR$29="NO",TRUE,FALSE)</formula>
    </cfRule>
  </conditionalFormatting>
  <conditionalFormatting sqref="AD42">
    <cfRule type="expression" dxfId="635" priority="149">
      <formula>IF(XDS$29="NO",TRUE,FALSE)</formula>
    </cfRule>
  </conditionalFormatting>
  <conditionalFormatting sqref="AE42">
    <cfRule type="expression" dxfId="634" priority="148">
      <formula>IF(XDT$29="NO",TRUE,FALSE)</formula>
    </cfRule>
  </conditionalFormatting>
  <conditionalFormatting sqref="Y44:AA44">
    <cfRule type="expression" dxfId="633" priority="147">
      <formula>IF(XDN$29="NO",TRUE,FALSE)</formula>
    </cfRule>
  </conditionalFormatting>
  <conditionalFormatting sqref="J33">
    <cfRule type="expression" dxfId="632" priority="146">
      <formula>IF(J$29="NO",TRUE,FALSE)</formula>
    </cfRule>
  </conditionalFormatting>
  <conditionalFormatting sqref="K33">
    <cfRule type="expression" dxfId="631" priority="145">
      <formula>IF(K$29="NO",TRUE,FALSE)</formula>
    </cfRule>
  </conditionalFormatting>
  <conditionalFormatting sqref="L33">
    <cfRule type="expression" dxfId="630" priority="144">
      <formula>IF(L$29="NO",TRUE,FALSE)</formula>
    </cfRule>
  </conditionalFormatting>
  <conditionalFormatting sqref="N33">
    <cfRule type="expression" dxfId="629" priority="143">
      <formula>IF(N$29="NO",TRUE,FALSE)</formula>
    </cfRule>
  </conditionalFormatting>
  <conditionalFormatting sqref="AC68:AE68">
    <cfRule type="expression" dxfId="628" priority="142">
      <formula>IF(XDR$29="NO",TRUE,FALSE)</formula>
    </cfRule>
  </conditionalFormatting>
  <conditionalFormatting sqref="Y68:AA68">
    <cfRule type="expression" dxfId="627" priority="141">
      <formula>IF(XDN$29="NO",TRUE,FALSE)</formula>
    </cfRule>
  </conditionalFormatting>
  <conditionalFormatting sqref="Q48:S48">
    <cfRule type="expression" dxfId="626" priority="140">
      <formula>IF(XDD$29="NO",TRUE,FALSE)</formula>
    </cfRule>
  </conditionalFormatting>
  <conditionalFormatting sqref="Q46:S46">
    <cfRule type="expression" dxfId="625" priority="138">
      <formula>IF(XDD$29="NO",TRUE,FALSE)</formula>
    </cfRule>
  </conditionalFormatting>
  <conditionalFormatting sqref="Q52:S52">
    <cfRule type="expression" dxfId="624" priority="137">
      <formula>IF(XDD$29="NO",TRUE,FALSE)</formula>
    </cfRule>
  </conditionalFormatting>
  <conditionalFormatting sqref="Q50:S50">
    <cfRule type="expression" dxfId="623" priority="136">
      <formula>IF(XDD$29="NO",TRUE,FALSE)</formula>
    </cfRule>
  </conditionalFormatting>
  <conditionalFormatting sqref="Q50:S50">
    <cfRule type="expression" dxfId="622" priority="135">
      <formula>IF(XDD$29="NO",TRUE,FALSE)</formula>
    </cfRule>
  </conditionalFormatting>
  <conditionalFormatting sqref="Q64:S64">
    <cfRule type="expression" dxfId="621" priority="134">
      <formula>IF(XDD$29="NO",TRUE,FALSE)</formula>
    </cfRule>
  </conditionalFormatting>
  <conditionalFormatting sqref="Q68:S68">
    <cfRule type="expression" dxfId="620" priority="133">
      <formula>IF(XDD$29="NO",TRUE,FALSE)</formula>
    </cfRule>
  </conditionalFormatting>
  <conditionalFormatting sqref="U40:W40">
    <cfRule type="expression" dxfId="619" priority="132">
      <formula>IF(XDI$29="NO",TRUE,FALSE)</formula>
    </cfRule>
  </conditionalFormatting>
  <conditionalFormatting sqref="U38:W38">
    <cfRule type="expression" dxfId="618" priority="131">
      <formula>IF(XDI$29="NO",TRUE,FALSE)</formula>
    </cfRule>
  </conditionalFormatting>
  <conditionalFormatting sqref="U38:W38">
    <cfRule type="expression" dxfId="617" priority="130">
      <formula>IF(XDI$29="NO",TRUE,FALSE)</formula>
    </cfRule>
  </conditionalFormatting>
  <conditionalFormatting sqref="U44:W44">
    <cfRule type="expression" dxfId="616" priority="129">
      <formula>IF(XDI$29="NO",TRUE,FALSE)</formula>
    </cfRule>
  </conditionalFormatting>
  <conditionalFormatting sqref="U42:W42">
    <cfRule type="expression" dxfId="615" priority="128">
      <formula>IF(XDI$29="NO",TRUE,FALSE)</formula>
    </cfRule>
  </conditionalFormatting>
  <conditionalFormatting sqref="U42:W42">
    <cfRule type="expression" dxfId="614" priority="127">
      <formula>IF(XDI$29="NO",TRUE,FALSE)</formula>
    </cfRule>
  </conditionalFormatting>
  <conditionalFormatting sqref="U48:W48">
    <cfRule type="expression" dxfId="613" priority="126">
      <formula>IF(XDI$29="NO",TRUE,FALSE)</formula>
    </cfRule>
  </conditionalFormatting>
  <conditionalFormatting sqref="U46:W46">
    <cfRule type="expression" dxfId="612" priority="125">
      <formula>IF(XDI$29="NO",TRUE,FALSE)</formula>
    </cfRule>
  </conditionalFormatting>
  <conditionalFormatting sqref="U46:W46">
    <cfRule type="expression" dxfId="611" priority="124">
      <formula>IF(XDI$29="NO",TRUE,FALSE)</formula>
    </cfRule>
  </conditionalFormatting>
  <conditionalFormatting sqref="U52:W52">
    <cfRule type="expression" dxfId="610" priority="123">
      <formula>IF(XDI$29="NO",TRUE,FALSE)</formula>
    </cfRule>
  </conditionalFormatting>
  <conditionalFormatting sqref="U50:W50">
    <cfRule type="expression" dxfId="609" priority="122">
      <formula>IF(XDI$29="NO",TRUE,FALSE)</formula>
    </cfRule>
  </conditionalFormatting>
  <conditionalFormatting sqref="U50:W50">
    <cfRule type="expression" dxfId="608" priority="121">
      <formula>IF(XDI$29="NO",TRUE,FALSE)</formula>
    </cfRule>
  </conditionalFormatting>
  <conditionalFormatting sqref="U56:W56">
    <cfRule type="expression" dxfId="607" priority="120">
      <formula>IF(XDI$29="NO",TRUE,FALSE)</formula>
    </cfRule>
  </conditionalFormatting>
  <conditionalFormatting sqref="U54:W54">
    <cfRule type="expression" dxfId="606" priority="119">
      <formula>IF(XDI$29="NO",TRUE,FALSE)</formula>
    </cfRule>
  </conditionalFormatting>
  <conditionalFormatting sqref="U54:W54">
    <cfRule type="expression" dxfId="605" priority="118">
      <formula>IF(XDI$29="NO",TRUE,FALSE)</formula>
    </cfRule>
  </conditionalFormatting>
  <conditionalFormatting sqref="U60:W60">
    <cfRule type="expression" dxfId="604" priority="117">
      <formula>IF(XDI$29="NO",TRUE,FALSE)</formula>
    </cfRule>
  </conditionalFormatting>
  <conditionalFormatting sqref="U58:W58">
    <cfRule type="expression" dxfId="603" priority="116">
      <formula>IF(XDI$29="NO",TRUE,FALSE)</formula>
    </cfRule>
  </conditionalFormatting>
  <conditionalFormatting sqref="U58:W58">
    <cfRule type="expression" dxfId="602" priority="115">
      <formula>IF(XDI$29="NO",TRUE,FALSE)</formula>
    </cfRule>
  </conditionalFormatting>
  <conditionalFormatting sqref="U64:W64">
    <cfRule type="expression" dxfId="601" priority="114">
      <formula>IF(XDI$29="NO",TRUE,FALSE)</formula>
    </cfRule>
  </conditionalFormatting>
  <conditionalFormatting sqref="U62:W62">
    <cfRule type="expression" dxfId="600" priority="113">
      <formula>IF(XDI$29="NO",TRUE,FALSE)</formula>
    </cfRule>
  </conditionalFormatting>
  <conditionalFormatting sqref="U62:W62">
    <cfRule type="expression" dxfId="599" priority="112">
      <formula>IF(XDI$29="NO",TRUE,FALSE)</formula>
    </cfRule>
  </conditionalFormatting>
  <conditionalFormatting sqref="U68:W68">
    <cfRule type="expression" dxfId="598" priority="111">
      <formula>IF(XDI$29="NO",TRUE,FALSE)</formula>
    </cfRule>
  </conditionalFormatting>
  <conditionalFormatting sqref="AF33">
    <cfRule type="expression" dxfId="597" priority="110">
      <formula>IF(AF$29="NO",TRUE,FALSE)</formula>
    </cfRule>
  </conditionalFormatting>
  <conditionalFormatting sqref="AF48">
    <cfRule type="expression" dxfId="596" priority="109">
      <formula>IF(XDU$29="NO",TRUE,FALSE)</formula>
    </cfRule>
  </conditionalFormatting>
  <conditionalFormatting sqref="AF46">
    <cfRule type="expression" dxfId="595" priority="108">
      <formula>IF(XDU$29="NO",TRUE,FALSE)</formula>
    </cfRule>
  </conditionalFormatting>
  <conditionalFormatting sqref="AF46">
    <cfRule type="expression" dxfId="594" priority="107">
      <formula>IF(XDU$29="NO",TRUE,FALSE)</formula>
    </cfRule>
  </conditionalFormatting>
  <conditionalFormatting sqref="AF50">
    <cfRule type="expression" dxfId="593" priority="106">
      <formula>IF(XDU$29="NO",TRUE,FALSE)</formula>
    </cfRule>
  </conditionalFormatting>
  <conditionalFormatting sqref="AF50">
    <cfRule type="expression" dxfId="592" priority="105">
      <formula>IF(XDU$29="NO",TRUE,FALSE)</formula>
    </cfRule>
  </conditionalFormatting>
  <conditionalFormatting sqref="AF54">
    <cfRule type="expression" dxfId="591" priority="104">
      <formula>IF(XDU$29="NO",TRUE,FALSE)</formula>
    </cfRule>
  </conditionalFormatting>
  <conditionalFormatting sqref="AF54">
    <cfRule type="expression" dxfId="590" priority="103">
      <formula>IF(XDU$29="NO",TRUE,FALSE)</formula>
    </cfRule>
  </conditionalFormatting>
  <conditionalFormatting sqref="AF58">
    <cfRule type="expression" dxfId="589" priority="102">
      <formula>IF(XDU$29="NO",TRUE,FALSE)</formula>
    </cfRule>
  </conditionalFormatting>
  <conditionalFormatting sqref="AF58">
    <cfRule type="expression" dxfId="588" priority="101">
      <formula>IF(XDU$29="NO",TRUE,FALSE)</formula>
    </cfRule>
  </conditionalFormatting>
  <conditionalFormatting sqref="AF62">
    <cfRule type="expression" dxfId="587" priority="100">
      <formula>IF(XDU$29="NO",TRUE,FALSE)</formula>
    </cfRule>
  </conditionalFormatting>
  <conditionalFormatting sqref="AF62">
    <cfRule type="expression" dxfId="586" priority="99">
      <formula>IF(XDU$29="NO",TRUE,FALSE)</formula>
    </cfRule>
  </conditionalFormatting>
  <conditionalFormatting sqref="AF34">
    <cfRule type="expression" dxfId="585" priority="98">
      <formula>IF(XDU$29="NO",TRUE,FALSE)</formula>
    </cfRule>
  </conditionalFormatting>
  <conditionalFormatting sqref="AF34">
    <cfRule type="expression" dxfId="584" priority="97">
      <formula>IF(XDU$29="NO",TRUE,FALSE)</formula>
    </cfRule>
  </conditionalFormatting>
  <conditionalFormatting sqref="AF38">
    <cfRule type="expression" dxfId="583" priority="96">
      <formula>IF(XDU$29="NO",TRUE,FALSE)</formula>
    </cfRule>
  </conditionalFormatting>
  <conditionalFormatting sqref="AF38">
    <cfRule type="expression" dxfId="582" priority="95">
      <formula>IF(XDU$29="NO",TRUE,FALSE)</formula>
    </cfRule>
  </conditionalFormatting>
  <conditionalFormatting sqref="AF42">
    <cfRule type="expression" dxfId="581" priority="94">
      <formula>IF(XDU$29="NO",TRUE,FALSE)</formula>
    </cfRule>
  </conditionalFormatting>
  <conditionalFormatting sqref="AF42">
    <cfRule type="expression" dxfId="580" priority="93">
      <formula>IF(XDU$29="NO",TRUE,FALSE)</formula>
    </cfRule>
  </conditionalFormatting>
  <conditionalFormatting sqref="AF68">
    <cfRule type="expression" dxfId="579" priority="92">
      <formula>IF(XDU$29="NO",TRUE,FALSE)</formula>
    </cfRule>
  </conditionalFormatting>
  <conditionalFormatting sqref="AE66">
    <cfRule type="expression" dxfId="578" priority="88">
      <formula>IF(XDT$29="NO",TRUE,FALSE)</formula>
    </cfRule>
  </conditionalFormatting>
  <conditionalFormatting sqref="Y66:AA66">
    <cfRule type="expression" dxfId="577" priority="91">
      <formula>IF(XDN$29="NO",TRUE,FALSE)</formula>
    </cfRule>
  </conditionalFormatting>
  <conditionalFormatting sqref="AC66">
    <cfRule type="expression" dxfId="576" priority="90">
      <formula>IF(XDR$29="NO",TRUE,FALSE)</formula>
    </cfRule>
  </conditionalFormatting>
  <conditionalFormatting sqref="AD66">
    <cfRule type="expression" dxfId="575" priority="89">
      <formula>IF(XDS$29="NO",TRUE,FALSE)</formula>
    </cfRule>
  </conditionalFormatting>
  <conditionalFormatting sqref="Y66:AA66">
    <cfRule type="expression" dxfId="574" priority="87">
      <formula>IF(XDN$29="NO",TRUE,FALSE)</formula>
    </cfRule>
  </conditionalFormatting>
  <conditionalFormatting sqref="AC66">
    <cfRule type="expression" dxfId="573" priority="86">
      <formula>IF(XDR$29="NO",TRUE,FALSE)</formula>
    </cfRule>
  </conditionalFormatting>
  <conditionalFormatting sqref="AD66">
    <cfRule type="expression" dxfId="572" priority="85">
      <formula>IF(XDS$29="NO",TRUE,FALSE)</formula>
    </cfRule>
  </conditionalFormatting>
  <conditionalFormatting sqref="AE66">
    <cfRule type="expression" dxfId="571" priority="84">
      <formula>IF(XDT$29="NO",TRUE,FALSE)</formula>
    </cfRule>
  </conditionalFormatting>
  <conditionalFormatting sqref="Q66:S66">
    <cfRule type="expression" dxfId="570" priority="83">
      <formula>IF(XDD$29="NO",TRUE,FALSE)</formula>
    </cfRule>
  </conditionalFormatting>
  <conditionalFormatting sqref="Q66:S66">
    <cfRule type="expression" dxfId="569" priority="82">
      <formula>IF(XDD$29="NO",TRUE,FALSE)</formula>
    </cfRule>
  </conditionalFormatting>
  <conditionalFormatting sqref="U66:W66">
    <cfRule type="expression" dxfId="568" priority="81">
      <formula>IF(XDI$29="NO",TRUE,FALSE)</formula>
    </cfRule>
  </conditionalFormatting>
  <conditionalFormatting sqref="U66:W66">
    <cfRule type="expression" dxfId="567" priority="80">
      <formula>IF(XDI$29="NO",TRUE,FALSE)</formula>
    </cfRule>
  </conditionalFormatting>
  <conditionalFormatting sqref="AF66">
    <cfRule type="expression" dxfId="566" priority="79">
      <formula>IF(XDU$29="NO",TRUE,FALSE)</formula>
    </cfRule>
  </conditionalFormatting>
  <conditionalFormatting sqref="AF66">
    <cfRule type="expression" dxfId="565" priority="78">
      <formula>IF(XDU$29="NO",TRUE,FALSE)</formula>
    </cfRule>
  </conditionalFormatting>
  <conditionalFormatting sqref="AE70">
    <cfRule type="expression" dxfId="564" priority="74">
      <formula>IF(XDT$29="NO",TRUE,FALSE)</formula>
    </cfRule>
  </conditionalFormatting>
  <conditionalFormatting sqref="Y70:AA70">
    <cfRule type="expression" dxfId="563" priority="77">
      <formula>IF(XDN$29="NO",TRUE,FALSE)</formula>
    </cfRule>
  </conditionalFormatting>
  <conditionalFormatting sqref="AC70">
    <cfRule type="expression" dxfId="562" priority="76">
      <formula>IF(XDR$29="NO",TRUE,FALSE)</formula>
    </cfRule>
  </conditionalFormatting>
  <conditionalFormatting sqref="AD70">
    <cfRule type="expression" dxfId="561" priority="75">
      <formula>IF(XDS$29="NO",TRUE,FALSE)</formula>
    </cfRule>
  </conditionalFormatting>
  <conditionalFormatting sqref="Y70:AA70">
    <cfRule type="expression" dxfId="560" priority="73">
      <formula>IF(XDN$29="NO",TRUE,FALSE)</formula>
    </cfRule>
  </conditionalFormatting>
  <conditionalFormatting sqref="AC70">
    <cfRule type="expression" dxfId="559" priority="72">
      <formula>IF(XDR$29="NO",TRUE,FALSE)</formula>
    </cfRule>
  </conditionalFormatting>
  <conditionalFormatting sqref="AD70">
    <cfRule type="expression" dxfId="558" priority="71">
      <formula>IF(XDS$29="NO",TRUE,FALSE)</formula>
    </cfRule>
  </conditionalFormatting>
  <conditionalFormatting sqref="AE70">
    <cfRule type="expression" dxfId="557" priority="70">
      <formula>IF(XDT$29="NO",TRUE,FALSE)</formula>
    </cfRule>
  </conditionalFormatting>
  <conditionalFormatting sqref="Q70:S70">
    <cfRule type="expression" dxfId="556" priority="69">
      <formula>IF(XDD$29="NO",TRUE,FALSE)</formula>
    </cfRule>
  </conditionalFormatting>
  <conditionalFormatting sqref="Q70:S70">
    <cfRule type="expression" dxfId="555" priority="68">
      <formula>IF(XDD$29="NO",TRUE,FALSE)</formula>
    </cfRule>
  </conditionalFormatting>
  <conditionalFormatting sqref="U70:W70">
    <cfRule type="expression" dxfId="554" priority="67">
      <formula>IF(XDI$29="NO",TRUE,FALSE)</formula>
    </cfRule>
  </conditionalFormatting>
  <conditionalFormatting sqref="U70:W70">
    <cfRule type="expression" dxfId="553" priority="66">
      <formula>IF(XDI$29="NO",TRUE,FALSE)</formula>
    </cfRule>
  </conditionalFormatting>
  <conditionalFormatting sqref="AF70">
    <cfRule type="expression" dxfId="552" priority="65">
      <formula>IF(XDU$29="NO",TRUE,FALSE)</formula>
    </cfRule>
  </conditionalFormatting>
  <conditionalFormatting sqref="AF70">
    <cfRule type="expression" dxfId="551" priority="64">
      <formula>IF(XDU$29="NO",TRUE,FALSE)</formula>
    </cfRule>
  </conditionalFormatting>
  <conditionalFormatting sqref="AS13">
    <cfRule type="cellIs" dxfId="550" priority="62" operator="notEqual">
      <formula>"ok"</formula>
    </cfRule>
    <cfRule type="cellIs" dxfId="549" priority="63" operator="equal">
      <formula>"ok"</formula>
    </cfRule>
  </conditionalFormatting>
  <conditionalFormatting sqref="AT13">
    <cfRule type="cellIs" dxfId="548" priority="60" operator="notEqual">
      <formula>"ok"</formula>
    </cfRule>
    <cfRule type="cellIs" dxfId="547" priority="61" operator="equal">
      <formula>"ok"</formula>
    </cfRule>
  </conditionalFormatting>
  <conditionalFormatting sqref="AU13">
    <cfRule type="cellIs" dxfId="546" priority="58" operator="notEqual">
      <formula>"ok"</formula>
    </cfRule>
    <cfRule type="cellIs" dxfId="545" priority="59" operator="equal">
      <formula>"ok"</formula>
    </cfRule>
  </conditionalFormatting>
  <conditionalFormatting sqref="AV16">
    <cfRule type="cellIs" dxfId="544" priority="56" operator="notEqual">
      <formula>"ok"</formula>
    </cfRule>
    <cfRule type="cellIs" dxfId="543" priority="57" operator="equal">
      <formula>"ok"</formula>
    </cfRule>
  </conditionalFormatting>
  <conditionalFormatting sqref="AV19">
    <cfRule type="cellIs" dxfId="542" priority="53" operator="equal">
      <formula>"ok"</formula>
    </cfRule>
    <cfRule type="cellIs" dxfId="541" priority="54" stopIfTrue="1" operator="equal">
      <formula>"check"</formula>
    </cfRule>
    <cfRule type="cellIs" dxfId="540" priority="55" operator="notEqual">
      <formula>"ok"</formula>
    </cfRule>
  </conditionalFormatting>
  <conditionalFormatting sqref="AV17">
    <cfRule type="cellIs" dxfId="539" priority="50" operator="equal">
      <formula>"ok"</formula>
    </cfRule>
    <cfRule type="cellIs" dxfId="538" priority="51" stopIfTrue="1" operator="equal">
      <formula>"check"</formula>
    </cfRule>
    <cfRule type="cellIs" dxfId="537" priority="52" operator="notEqual">
      <formula>"ok"</formula>
    </cfRule>
  </conditionalFormatting>
  <conditionalFormatting sqref="Q40:S40">
    <cfRule type="expression" dxfId="536" priority="49">
      <formula>IF(XDD$29="NO",TRUE,FALSE)</formula>
    </cfRule>
  </conditionalFormatting>
  <conditionalFormatting sqref="Q38:S38">
    <cfRule type="expression" dxfId="535" priority="48">
      <formula>IF(XDD$29="NO",TRUE,FALSE)</formula>
    </cfRule>
  </conditionalFormatting>
  <conditionalFormatting sqref="Q38:S38">
    <cfRule type="expression" dxfId="534" priority="47">
      <formula>IF(XDD$29="NO",TRUE,FALSE)</formula>
    </cfRule>
  </conditionalFormatting>
  <conditionalFormatting sqref="Q44:S44">
    <cfRule type="expression" dxfId="533" priority="46">
      <formula>IF(XDD$29="NO",TRUE,FALSE)</formula>
    </cfRule>
  </conditionalFormatting>
  <conditionalFormatting sqref="Q42:S42">
    <cfRule type="expression" dxfId="532" priority="45">
      <formula>IF(XDD$29="NO",TRUE,FALSE)</formula>
    </cfRule>
  </conditionalFormatting>
  <conditionalFormatting sqref="Q42:S42">
    <cfRule type="expression" dxfId="531" priority="44">
      <formula>IF(XDD$29="NO",TRUE,FALSE)</formula>
    </cfRule>
  </conditionalFormatting>
  <conditionalFormatting sqref="Q44:S44">
    <cfRule type="expression" dxfId="530" priority="43">
      <formula>IF(XDD$29="NO",TRUE,FALSE)</formula>
    </cfRule>
  </conditionalFormatting>
  <conditionalFormatting sqref="Q42:S42">
    <cfRule type="expression" dxfId="529" priority="42">
      <formula>IF(XDD$29="NO",TRUE,FALSE)</formula>
    </cfRule>
  </conditionalFormatting>
  <conditionalFormatting sqref="Q42:S42">
    <cfRule type="expression" dxfId="528" priority="41">
      <formula>IF(XDD$29="NO",TRUE,FALSE)</formula>
    </cfRule>
  </conditionalFormatting>
  <conditionalFormatting sqref="Q48:S48">
    <cfRule type="expression" dxfId="527" priority="40">
      <formula>IF(XDD$29="NO",TRUE,FALSE)</formula>
    </cfRule>
  </conditionalFormatting>
  <conditionalFormatting sqref="Q46:S46">
    <cfRule type="expression" dxfId="526" priority="39">
      <formula>IF(XDD$29="NO",TRUE,FALSE)</formula>
    </cfRule>
  </conditionalFormatting>
  <conditionalFormatting sqref="Q46:S46">
    <cfRule type="expression" dxfId="525" priority="38">
      <formula>IF(XDD$29="NO",TRUE,FALSE)</formula>
    </cfRule>
  </conditionalFormatting>
  <conditionalFormatting sqref="Q52:S52">
    <cfRule type="expression" dxfId="524" priority="37">
      <formula>IF(XDD$29="NO",TRUE,FALSE)</formula>
    </cfRule>
  </conditionalFormatting>
  <conditionalFormatting sqref="Q50:S50">
    <cfRule type="expression" dxfId="523" priority="36">
      <formula>IF(XDD$29="NO",TRUE,FALSE)</formula>
    </cfRule>
  </conditionalFormatting>
  <conditionalFormatting sqref="Q50:S50">
    <cfRule type="expression" dxfId="522" priority="35">
      <formula>IF(XDD$29="NO",TRUE,FALSE)</formula>
    </cfRule>
  </conditionalFormatting>
  <conditionalFormatting sqref="Q44:S44">
    <cfRule type="expression" dxfId="521" priority="34">
      <formula>IF(XDD$29="NO",TRUE,FALSE)</formula>
    </cfRule>
  </conditionalFormatting>
  <conditionalFormatting sqref="Q42:S42">
    <cfRule type="expression" dxfId="520" priority="33">
      <formula>IF(XDD$29="NO",TRUE,FALSE)</formula>
    </cfRule>
  </conditionalFormatting>
  <conditionalFormatting sqref="Q42:S42">
    <cfRule type="expression" dxfId="519" priority="32">
      <formula>IF(XDD$29="NO",TRUE,FALSE)</formula>
    </cfRule>
  </conditionalFormatting>
  <conditionalFormatting sqref="Q48:S48">
    <cfRule type="expression" dxfId="518" priority="31">
      <formula>IF(XDD$29="NO",TRUE,FALSE)</formula>
    </cfRule>
  </conditionalFormatting>
  <conditionalFormatting sqref="Q46:S46">
    <cfRule type="expression" dxfId="517" priority="30">
      <formula>IF(XDD$29="NO",TRUE,FALSE)</formula>
    </cfRule>
  </conditionalFormatting>
  <conditionalFormatting sqref="Q46:S46">
    <cfRule type="expression" dxfId="516" priority="29">
      <formula>IF(XDD$29="NO",TRUE,FALSE)</formula>
    </cfRule>
  </conditionalFormatting>
  <conditionalFormatting sqref="Q50:S50">
    <cfRule type="expression" dxfId="515" priority="28">
      <formula>IF(XDD$29="NO",TRUE,FALSE)</formula>
    </cfRule>
  </conditionalFormatting>
  <conditionalFormatting sqref="Q50:S50">
    <cfRule type="expression" dxfId="514" priority="27">
      <formula>IF(XDD$29="NO",TRUE,FALSE)</formula>
    </cfRule>
  </conditionalFormatting>
  <conditionalFormatting sqref="Q50:S50">
    <cfRule type="expression" dxfId="513" priority="26">
      <formula>IF(XDD$29="NO",TRUE,FALSE)</formula>
    </cfRule>
  </conditionalFormatting>
  <conditionalFormatting sqref="Q50:S50">
    <cfRule type="expression" dxfId="512" priority="25">
      <formula>IF(XDD$29="NO",TRUE,FALSE)</formula>
    </cfRule>
  </conditionalFormatting>
  <conditionalFormatting sqref="Q56:S56">
    <cfRule type="expression" dxfId="511" priority="24">
      <formula>IF(XDD$29="NO",TRUE,FALSE)</formula>
    </cfRule>
  </conditionalFormatting>
  <conditionalFormatting sqref="Q54:S54">
    <cfRule type="expression" dxfId="510" priority="23">
      <formula>IF(XDD$29="NO",TRUE,FALSE)</formula>
    </cfRule>
  </conditionalFormatting>
  <conditionalFormatting sqref="Q54:S54">
    <cfRule type="expression" dxfId="509" priority="22">
      <formula>IF(XDD$29="NO",TRUE,FALSE)</formula>
    </cfRule>
  </conditionalFormatting>
  <conditionalFormatting sqref="Q60:S60">
    <cfRule type="expression" dxfId="508" priority="21">
      <formula>IF(XDD$29="NO",TRUE,FALSE)</formula>
    </cfRule>
  </conditionalFormatting>
  <conditionalFormatting sqref="Q58:S58">
    <cfRule type="expression" dxfId="507" priority="20">
      <formula>IF(XDD$29="NO",TRUE,FALSE)</formula>
    </cfRule>
  </conditionalFormatting>
  <conditionalFormatting sqref="Q58:S58">
    <cfRule type="expression" dxfId="506" priority="19">
      <formula>IF(XDD$29="NO",TRUE,FALSE)</formula>
    </cfRule>
  </conditionalFormatting>
  <conditionalFormatting sqref="Q62:S62">
    <cfRule type="expression" dxfId="505" priority="18">
      <formula>IF(XDD$29="NO",TRUE,FALSE)</formula>
    </cfRule>
  </conditionalFormatting>
  <conditionalFormatting sqref="Q62:S62">
    <cfRule type="expression" dxfId="504" priority="17">
      <formula>IF(XDD$29="NO",TRUE,FALSE)</formula>
    </cfRule>
  </conditionalFormatting>
  <conditionalFormatting sqref="Q62:S62">
    <cfRule type="expression" dxfId="503" priority="16">
      <formula>IF(XDD$29="NO",TRUE,FALSE)</formula>
    </cfRule>
  </conditionalFormatting>
  <conditionalFormatting sqref="Q62:S62">
    <cfRule type="expression" dxfId="502" priority="15">
      <formula>IF(XDD$29="NO",TRUE,FALSE)</formula>
    </cfRule>
  </conditionalFormatting>
  <conditionalFormatting sqref="Q62:S62">
    <cfRule type="expression" dxfId="501" priority="14">
      <formula>IF(XDD$29="NO",TRUE,FALSE)</formula>
    </cfRule>
  </conditionalFormatting>
  <conditionalFormatting sqref="Q62:S62">
    <cfRule type="expression" dxfId="500" priority="13">
      <formula>IF(XDD$29="NO",TRUE,FALSE)</formula>
    </cfRule>
  </conditionalFormatting>
  <conditionalFormatting sqref="Q64:S64">
    <cfRule type="expression" dxfId="499" priority="12">
      <formula>IF(XDD$29="NO",TRUE,FALSE)</formula>
    </cfRule>
  </conditionalFormatting>
  <conditionalFormatting sqref="Q62:S62">
    <cfRule type="expression" dxfId="498" priority="11">
      <formula>IF(XDD$29="NO",TRUE,FALSE)</formula>
    </cfRule>
  </conditionalFormatting>
  <conditionalFormatting sqref="Q62:S62">
    <cfRule type="expression" dxfId="497" priority="10">
      <formula>IF(XDD$29="NO",TRUE,FALSE)</formula>
    </cfRule>
  </conditionalFormatting>
  <conditionalFormatting sqref="Q68:S68">
    <cfRule type="expression" dxfId="496" priority="9">
      <formula>IF(XDD$29="NO",TRUE,FALSE)</formula>
    </cfRule>
  </conditionalFormatting>
  <conditionalFormatting sqref="Q66:S66">
    <cfRule type="expression" dxfId="495" priority="8">
      <formula>IF(XDD$29="NO",TRUE,FALSE)</formula>
    </cfRule>
  </conditionalFormatting>
  <conditionalFormatting sqref="Q66:S66">
    <cfRule type="expression" dxfId="494" priority="7">
      <formula>IF(XDD$29="NO",TRUE,FALSE)</formula>
    </cfRule>
  </conditionalFormatting>
  <conditionalFormatting sqref="Q70:S70">
    <cfRule type="expression" dxfId="493" priority="6">
      <formula>IF(XDD$29="NO",TRUE,FALSE)</formula>
    </cfRule>
  </conditionalFormatting>
  <conditionalFormatting sqref="Q70:S70">
    <cfRule type="expression" dxfId="492" priority="5">
      <formula>IF(XDD$29="NO",TRUE,FALSE)</formula>
    </cfRule>
  </conditionalFormatting>
  <conditionalFormatting sqref="Q70:S70">
    <cfRule type="expression" dxfId="491" priority="4">
      <formula>IF(XDD$29="NO",TRUE,FALSE)</formula>
    </cfRule>
  </conditionalFormatting>
  <conditionalFormatting sqref="Q70:S70">
    <cfRule type="expression" dxfId="490" priority="3">
      <formula>IF(XDD$29="NO",TRUE,FALSE)</formula>
    </cfRule>
  </conditionalFormatting>
  <conditionalFormatting sqref="Q70:S70">
    <cfRule type="expression" dxfId="489" priority="2">
      <formula>IF(XDD$29="NO",TRUE,FALSE)</formula>
    </cfRule>
  </conditionalFormatting>
  <conditionalFormatting sqref="Q70:S70">
    <cfRule type="expression" dxfId="488" priority="1">
      <formula>IF(XDD$29="NO",TRUE,FALSE)</formula>
    </cfRule>
  </conditionalFormatting>
  <dataValidations disablePrompts="1"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D00-000000000000}">
      <formula1>"Right,Left,Above,Below"</formula1>
    </dataValidation>
    <dataValidation type="list" allowBlank="1" showInputMessage="1" showErrorMessage="1" sqref="U29:W29 AC29:AF29 Q29:S29 F29:O29" xr:uid="{00000000-0002-0000-0D00-000001000000}">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4930"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4931"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4932"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4933"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4934"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4935"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4936"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rgb="FFFFFF99"/>
    <pageSetUpPr fitToPage="1"/>
  </sheetPr>
  <dimension ref="A1:BM73"/>
  <sheetViews>
    <sheetView showGridLines="0" tabSelected="1" topLeftCell="A7" zoomScale="70" zoomScaleNormal="70" zoomScaleSheetLayoutView="55" workbookViewId="0">
      <selection activeCell="C59" sqref="C59"/>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5.7109375" style="293" customWidth="1"/>
    <col min="8" max="8" width="24.5703125" style="293" hidden="1" customWidth="1"/>
    <col min="9" max="9" width="15.7109375" style="235" customWidth="1"/>
    <col min="10" max="10" width="15.7109375" style="293" customWidth="1"/>
    <col min="11" max="11" width="14.5703125" style="293" customWidth="1"/>
    <col min="12" max="12" width="13.28515625" style="293"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15.6" customHeight="1">
      <c r="AJ7" s="894" t="s">
        <v>1080</v>
      </c>
      <c r="AK7" s="895">
        <v>10.5</v>
      </c>
    </row>
    <row r="8" spans="1:64" ht="15.6" customHeight="1">
      <c r="AJ8" s="235" t="s">
        <v>1081</v>
      </c>
      <c r="AK8" s="895" t="s">
        <v>1082</v>
      </c>
    </row>
    <row r="9" spans="1:64" ht="15.6" customHeight="1">
      <c r="AJ9" s="894" t="s">
        <v>1083</v>
      </c>
      <c r="AK9" s="896" t="str">
        <f>"MY"&amp;RIGHT(Input!$H$9,2)&amp;" "&amp;Input!$H$3&amp;": "&amp;$G$10</f>
        <v>MY20 Soul: Region R2 (Central, Western) Incentive Scenarios</v>
      </c>
    </row>
    <row r="10" spans="1:64" ht="15.6" customHeight="1" thickBot="1">
      <c r="G10" s="581" t="s">
        <v>1092</v>
      </c>
      <c r="AJ10" s="894" t="s">
        <v>1084</v>
      </c>
      <c r="AK10" s="896" t="s">
        <v>1085</v>
      </c>
    </row>
    <row r="11" spans="1:64" ht="15.6" customHeight="1">
      <c r="A11" s="281" t="s">
        <v>570</v>
      </c>
      <c r="B11" s="275"/>
      <c r="C11" s="231"/>
      <c r="D11" s="628" t="s">
        <v>826</v>
      </c>
      <c r="F11" s="245">
        <v>5</v>
      </c>
      <c r="G11" s="565" t="str">
        <f>INDEX(Input!$1:$1048576,2,$F$11*2+6)&amp;" ("&amp;INDEX(Input!$1:$1048576,11,$F$11*2+6)&amp;")"</f>
        <v>MY20 Kia Soul (Kia-LR - R2)</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894" t="s">
        <v>1086</v>
      </c>
      <c r="AK11" s="896" t="s">
        <v>1087</v>
      </c>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58"/>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58"/>
      <c r="AN12" s="731"/>
      <c r="AO12" s="721"/>
      <c r="AP12" s="721"/>
      <c r="AQ12" s="732"/>
      <c r="AR12" s="759"/>
      <c r="AS12" s="735" t="s">
        <v>328</v>
      </c>
      <c r="AT12" s="735" t="s">
        <v>329</v>
      </c>
      <c r="AU12" s="735" t="s">
        <v>330</v>
      </c>
      <c r="AV12" s="736"/>
      <c r="AW12" s="737" t="s">
        <v>773</v>
      </c>
      <c r="BA12" s="389"/>
      <c r="BC12" s="758"/>
      <c r="BD12" s="758"/>
      <c r="BE12" s="758"/>
      <c r="BF12" s="758"/>
      <c r="BG12" s="758"/>
      <c r="BH12" s="758"/>
      <c r="BI12" s="758"/>
      <c r="BJ12" s="758"/>
      <c r="BK12" s="758"/>
      <c r="BL12" s="758"/>
    </row>
    <row r="13" spans="1:64" ht="15.75" customHeight="1" thickBot="1">
      <c r="A13" s="389" t="str">
        <f>ROUND(INDEX(DSS_Calc!KA:KA,MATCH($F$11*1000+6,DSS_Calc!A:A,0)),2)&amp;" (Scen 6)"</f>
        <v>2.51 (Scen 6)</v>
      </c>
      <c r="B13" s="275"/>
      <c r="D13" s="1123" t="str">
        <f>UPPER("SCENARIO OPTIONS: MY"&amp;RIGHT(Input!$H9,2)&amp;" "&amp;Input!H$7&amp;" "&amp;Input!H$3&amp;" - R2 (IA, KS, KY, MO, SD, AK, AZ, HI, ID, MT, NV, OR, WA)")</f>
        <v>SCENARIO OPTIONS: MY20 KIA SOUL - R2 (IA, KS, KY, MO, SD, AK, AZ, HI, ID, MT, NV, OR, WA)</v>
      </c>
      <c r="E13" s="1123"/>
      <c r="F13" s="1123"/>
      <c r="G13" s="1123"/>
      <c r="H13" s="1123"/>
      <c r="I13" s="1123"/>
      <c r="J13" s="1123"/>
      <c r="K13" s="1123"/>
      <c r="L13" s="1123"/>
      <c r="M13" s="1123"/>
      <c r="N13" s="1123"/>
      <c r="O13" s="1123"/>
      <c r="P13" s="1123"/>
      <c r="Q13" s="1123"/>
      <c r="R13" s="1123"/>
      <c r="S13" s="1123"/>
      <c r="T13" s="1123"/>
      <c r="U13" s="1123"/>
      <c r="V13" s="1123"/>
      <c r="W13" s="1123"/>
      <c r="X13" s="1123"/>
      <c r="Y13" s="1123"/>
      <c r="Z13" s="1123"/>
      <c r="AA13" s="1123"/>
      <c r="AB13" s="1123"/>
      <c r="AC13" s="1123"/>
      <c r="AD13" s="1123"/>
      <c r="AE13" s="1123"/>
      <c r="AF13" s="1123"/>
      <c r="AG13" s="1123"/>
      <c r="AH13" s="1123"/>
      <c r="AI13" s="1123"/>
      <c r="AJ13" s="758"/>
      <c r="AK13" s="758"/>
      <c r="AL13" s="235"/>
      <c r="AM13" s="235"/>
      <c r="AN13" s="1133" t="s">
        <v>772</v>
      </c>
      <c r="AO13" s="1134"/>
      <c r="AP13" s="1134"/>
      <c r="AQ13" s="1134"/>
      <c r="AR13" s="1134"/>
      <c r="AS13" s="712" t="str">
        <f>INDEX(DSS_Calc!$KL:$KL,MATCH($F$11*1000+3,DSS_Calc!$A:$A,0))</f>
        <v>ok</v>
      </c>
      <c r="AT13" s="712" t="str">
        <f>INDEX(DSS_Calc!$KL:$KL,MATCH($F$11*1000+4,DSS_Calc!$A:$A,0))</f>
        <v>ok</v>
      </c>
      <c r="AU13" s="712" t="str">
        <f>INDEX(DSS_Calc!$KL:$KL,MATCH($F$11*1000+5,DSS_Calc!$A:$A,0))</f>
        <v>ok</v>
      </c>
      <c r="AV13" s="712"/>
      <c r="AW13" s="713"/>
      <c r="AX13" s="235"/>
      <c r="AY13" s="235"/>
      <c r="BA13" s="389"/>
    </row>
    <row r="14" spans="1:64" ht="15.75" customHeight="1">
      <c r="A14" s="758"/>
      <c r="B14" s="758"/>
      <c r="D14" s="758"/>
      <c r="E14" s="758"/>
      <c r="F14" s="758"/>
      <c r="G14" s="758"/>
      <c r="H14" s="758"/>
      <c r="I14" s="758"/>
      <c r="J14" s="758"/>
      <c r="K14" s="758"/>
      <c r="L14" s="758"/>
      <c r="M14" s="758"/>
      <c r="N14" s="758"/>
      <c r="O14" s="758"/>
      <c r="P14" s="758"/>
      <c r="Q14" s="758"/>
      <c r="R14" s="758"/>
      <c r="S14" s="758"/>
      <c r="T14" s="758"/>
      <c r="U14" s="758"/>
      <c r="V14" s="758"/>
      <c r="W14" s="758"/>
      <c r="X14" s="758"/>
      <c r="Y14" s="758"/>
      <c r="Z14" s="758"/>
      <c r="AA14" s="758"/>
      <c r="AB14" s="758"/>
      <c r="AC14" s="758"/>
      <c r="AD14" s="758"/>
      <c r="AE14" s="758"/>
      <c r="AF14" s="758"/>
      <c r="AG14" s="758"/>
      <c r="AH14" s="758"/>
      <c r="AI14" s="758"/>
      <c r="AJ14" s="758"/>
      <c r="AK14" s="758"/>
      <c r="AL14" s="235"/>
      <c r="AM14" s="235"/>
      <c r="AN14" s="1129" t="str">
        <f>"Scen. # to check price sensitivity order vs #"&amp;INDEX(DSS_Calc!KN:KN,MATCH(F11*1000+1,DSS_Calc!A:A,0))</f>
        <v>Scen. # to check price sensitivity order vs #5002</v>
      </c>
      <c r="AO14" s="1130"/>
      <c r="AP14" s="1130"/>
      <c r="AQ14" s="1130"/>
      <c r="AR14" s="1130"/>
      <c r="AS14" s="716">
        <v>10</v>
      </c>
      <c r="AT14" s="716">
        <v>14</v>
      </c>
      <c r="AU14" s="716">
        <v>18</v>
      </c>
      <c r="AV14" s="715"/>
      <c r="AW14" s="717"/>
      <c r="AX14" s="235"/>
      <c r="AY14" s="235"/>
      <c r="BA14" s="758"/>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58"/>
      <c r="AK15" s="758"/>
      <c r="AL15" s="235"/>
      <c r="AM15" s="235"/>
      <c r="AN15" s="1131" t="s">
        <v>781</v>
      </c>
      <c r="AO15" s="1132"/>
      <c r="AP15" s="1132"/>
      <c r="AQ15" s="1132"/>
      <c r="AR15" s="1132"/>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58"/>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58"/>
      <c r="AK16" s="758"/>
      <c r="AL16" s="235"/>
      <c r="AM16" s="235"/>
      <c r="AN16" s="1127" t="str">
        <f>"Implied Elast w/o Take Rate Shifts vs #"&amp;INDEX(DSS_Calc!KN:KN,MATCH(F11*1000+1,DSS_Calc!A:A,0))</f>
        <v>Implied Elast w/o Take Rate Shifts vs #5002</v>
      </c>
      <c r="AO16" s="1128"/>
      <c r="AP16" s="1128"/>
      <c r="AQ16" s="1128"/>
      <c r="AR16" s="1128"/>
      <c r="AS16" s="722">
        <f>INDEX(DSS_Calc!$KR:$KR,MATCH($F$11*1000+AS14,DSS_Calc!$A:$A,0))</f>
        <v>2.1246149095419393</v>
      </c>
      <c r="AT16" s="722">
        <f>INDEX(DSS_Calc!$KR:$KR,MATCH($F$11*1000+AT14,DSS_Calc!$A:$A,0))</f>
        <v>2.7209809098960887</v>
      </c>
      <c r="AU16" s="722">
        <f>INDEX(DSS_Calc!$KR:$KR,MATCH($F$11*1000+AU14,DSS_Calc!$A:$A,0))</f>
        <v>3.1325546249456053</v>
      </c>
      <c r="AV16" s="759" t="str">
        <f>IF(AND(AS16&lt;AT16,AT16&lt;AU16,AS16&lt;AW16),"ok","error in order")</f>
        <v>ok</v>
      </c>
      <c r="AW16" s="723">
        <f>ROUND(INDEX(DSS_Calc!KA:KA,MATCH($F$11*1000+6,DSS_Calc!A:A,0)),2)</f>
        <v>2.5099999999999998</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58"/>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58"/>
      <c r="AK17" s="758"/>
      <c r="AL17" s="235"/>
      <c r="AM17" s="235"/>
      <c r="AN17" s="1129" t="s">
        <v>877</v>
      </c>
      <c r="AO17" s="1130"/>
      <c r="AP17" s="1130"/>
      <c r="AQ17" s="1130"/>
      <c r="AR17" s="1130"/>
      <c r="AS17" s="725">
        <f>INDEX(DSS_Calc!IE:IE,MATCH($F$11*1000+2,DSS_Calc!$A:$A,0))-INDEX(DSS_Calc!IE:IE,MATCH($F$11*1000+1,DSS_Calc!$A:$A,0))</f>
        <v>1.9547344389220234E-4</v>
      </c>
      <c r="AT17" s="725">
        <f>INDEX(DSS_Calc!IF:IF,MATCH($F$11*1000+2,DSS_Calc!$A:$A,0))-INDEX(DSS_Calc!IF:IF,MATCH($F$11*1000+1,DSS_Calc!$A:$A,0))</f>
        <v>1.6893692728003895E-4</v>
      </c>
      <c r="AU17" s="725">
        <f>INDEX(DSS_Calc!IG:IG,MATCH($F$11*1000+2,DSS_Calc!$A:$A,0))-INDEX(DSS_Calc!IG:IG,MATCH($F$11*1000+1,DSS_Calc!$A:$A,0))</f>
        <v>-3.6441037117224129E-4</v>
      </c>
      <c r="AV17" s="760"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58"/>
      <c r="AK18" s="758"/>
      <c r="AL18" s="235"/>
      <c r="AM18" s="235" t="s">
        <v>563</v>
      </c>
      <c r="AN18" s="1127" t="s">
        <v>771</v>
      </c>
      <c r="AO18" s="1128"/>
      <c r="AP18" s="1128"/>
      <c r="AQ18" s="1128"/>
      <c r="AR18" s="1128"/>
      <c r="AS18" s="726">
        <f>INDEX(DSS_Calc!JA:JA,MATCH($F$11*1000+2,DSS_Calc!$A:$A,0))-INDEX(DSS_Calc!JA:JA,MATCH($F$11*1000+1,DSS_Calc!$A:$A,0))</f>
        <v>30</v>
      </c>
      <c r="AT18" s="726">
        <f>INDEX(DSS_Calc!JB:JB,MATCH($F$11*1000+2,DSS_Calc!$A:$A,0))-INDEX(DSS_Calc!JB:JB,MATCH($F$11*1000+1,DSS_Calc!$A:$A,0))</f>
        <v>30.001472955219469</v>
      </c>
      <c r="AU18" s="726">
        <f>INDEX(DSS_Calc!JC:JC,MATCH($F$11*1000+2,DSS_Calc!$A:$A,0))-INDEX(DSS_Calc!JC:JC,MATCH($F$11*1000+1,DSS_Calc!$A:$A,0))</f>
        <v>15</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58"/>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58"/>
      <c r="AK19" s="758"/>
      <c r="AL19" s="669">
        <v>8</v>
      </c>
      <c r="AM19" s="116">
        <f>MIN(COUNTIFS(DSS_Calc!KV:KV,"&gt;0",DSS_Calc!C:C,F11),19)</f>
        <v>0</v>
      </c>
      <c r="AN19" s="1129" t="s">
        <v>881</v>
      </c>
      <c r="AO19" s="1130"/>
      <c r="AP19" s="1130"/>
      <c r="AQ19" s="1130"/>
      <c r="AR19" s="113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6.6795788808431122E-2</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4.2618342781462148E-2</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2.6939868553515177E-2</v>
      </c>
      <c r="AV19" s="760"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58"/>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58"/>
      <c r="AK20" s="758"/>
      <c r="AL20" s="235"/>
      <c r="AM20" s="235"/>
      <c r="AN20" s="1131" t="s">
        <v>878</v>
      </c>
      <c r="AO20" s="1132"/>
      <c r="AP20" s="1132"/>
      <c r="AQ20" s="1132"/>
      <c r="AR20" s="1132"/>
      <c r="AS20" s="761">
        <f>IFERROR(INDEX($C:$C,MATCH(AS19,U:U,0)-1),INDEX($C:$C,MATCH(-AS19,U:U,0)-1))</f>
        <v>49</v>
      </c>
      <c r="AT20" s="761">
        <f>IFERROR(INDEX($C:$C,MATCH(AT19,V:V,0)-1),INDEX($C:$C,MATCH(-AT19,V:V,0)-1))</f>
        <v>86</v>
      </c>
      <c r="AU20" s="761">
        <f>IFERROR(INDEX($C:$C,MATCH(AU19,W:W,0)-1),INDEX($C:$C,MATCH(-AU19,W:W,0)-1))</f>
        <v>49</v>
      </c>
      <c r="AV20" s="761"/>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58"/>
      <c r="AK21" s="758"/>
      <c r="AL21" s="669">
        <v>2</v>
      </c>
      <c r="AM21" s="235"/>
      <c r="AN21" s="1127" t="s">
        <v>879</v>
      </c>
      <c r="AO21" s="1128"/>
      <c r="AP21" s="1128"/>
      <c r="AQ21" s="1128"/>
      <c r="AR21" s="1128"/>
      <c r="AS21" s="729">
        <f>IFERROR(INDEX(Q:Q,MATCH(AS19,U:U,0)),INDEX(Q:Q,MATCH(-AS19,U:U,0)))</f>
        <v>750</v>
      </c>
      <c r="AT21" s="729">
        <f>IFERROR(INDEX(R:R,MATCH(AT19,V:V,0)),INDEX(R:R,MATCH(-AT19,V:V,0)))</f>
        <v>310.66910198848018</v>
      </c>
      <c r="AU21" s="729">
        <f>IFERROR(INDEX(S:S,MATCH(AU19,W:W,0)),INDEX(S:S,MATCH(-AU19,W:W,0)))</f>
        <v>-360</v>
      </c>
      <c r="AV21" s="759"/>
      <c r="AW21" s="723"/>
      <c r="AX21" s="235"/>
      <c r="AY21" s="235"/>
      <c r="BA21" s="275"/>
      <c r="BC21" s="231"/>
      <c r="BD21" s="231"/>
      <c r="BE21" s="231"/>
      <c r="BF21" s="231"/>
      <c r="BG21" s="231"/>
      <c r="BH21" s="231"/>
      <c r="BI21" s="231"/>
      <c r="BJ21" s="231"/>
      <c r="BK21" s="231"/>
      <c r="BL21" s="231"/>
    </row>
    <row r="22" spans="1:65" ht="15.75" customHeight="1">
      <c r="A22" s="275"/>
      <c r="B22" s="275"/>
      <c r="C22" s="231"/>
      <c r="D22" s="758"/>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58"/>
      <c r="AK22" s="758"/>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58"/>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58"/>
      <c r="AK23" s="758"/>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58"/>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58"/>
      <c r="AK24" s="758"/>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58"/>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58"/>
      <c r="AK25" s="758"/>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58"/>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58"/>
      <c r="AK26" s="758"/>
      <c r="AQ26" s="758"/>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24" t="s">
        <v>571</v>
      </c>
      <c r="B27" s="390"/>
      <c r="C27" s="1124" t="s">
        <v>572</v>
      </c>
      <c r="D27" s="900" t="s">
        <v>134</v>
      </c>
      <c r="F27" s="1126" t="s">
        <v>354</v>
      </c>
      <c r="G27" s="1126"/>
      <c r="H27" s="1126"/>
      <c r="I27" s="1126"/>
      <c r="J27" s="1126"/>
      <c r="K27" s="1126"/>
      <c r="L27" s="1126"/>
      <c r="M27" s="1126"/>
      <c r="N27" s="1126"/>
      <c r="O27" s="1126"/>
      <c r="P27" s="277"/>
      <c r="Q27" s="1125" t="s">
        <v>135</v>
      </c>
      <c r="R27" s="1125"/>
      <c r="S27" s="1125"/>
      <c r="T27" s="277"/>
      <c r="U27" s="1126" t="s">
        <v>136</v>
      </c>
      <c r="V27" s="1126"/>
      <c r="W27" s="1126"/>
      <c r="X27" s="277"/>
      <c r="Y27" s="1125" t="s">
        <v>137</v>
      </c>
      <c r="Z27" s="1125"/>
      <c r="AA27" s="1125"/>
      <c r="AB27" s="277"/>
      <c r="AC27" s="1126" t="s">
        <v>138</v>
      </c>
      <c r="AD27" s="1126"/>
      <c r="AE27" s="1126"/>
      <c r="AF27" s="1126"/>
      <c r="AG27" s="1126"/>
      <c r="AH27" s="1126"/>
      <c r="AI27" s="1126"/>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24"/>
      <c r="B28" s="279"/>
      <c r="C28" s="1124"/>
      <c r="D28" s="236"/>
      <c r="E28" s="392"/>
      <c r="F28" s="237" t="s">
        <v>139</v>
      </c>
      <c r="G28" s="238" t="s">
        <v>1147</v>
      </c>
      <c r="H28" s="238" t="s">
        <v>39</v>
      </c>
      <c r="I28" s="237" t="s">
        <v>715</v>
      </c>
      <c r="J28" s="237" t="s">
        <v>330</v>
      </c>
      <c r="K28" s="237" t="s">
        <v>1150</v>
      </c>
      <c r="L28" s="237" t="s">
        <v>1151</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58"/>
      <c r="AK29" s="758"/>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27</v>
      </c>
      <c r="L30" s="244">
        <v>29</v>
      </c>
      <c r="M30" s="244">
        <v>45</v>
      </c>
      <c r="N30" s="244">
        <v>45</v>
      </c>
      <c r="O30" s="244">
        <v>45</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1158</v>
      </c>
      <c r="L31" s="244" t="s">
        <v>1159</v>
      </c>
      <c r="M31" s="244"/>
      <c r="N31" s="244"/>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58"/>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1277.4263093788063</v>
      </c>
      <c r="G33" s="256" t="str">
        <f>IF($C33="","",VLOOKUP($C33+$F$11*1000,DSS_Calc!$A:$JV,G$30,FALSE))</f>
        <v>0/0.9/1.9/3.9</v>
      </c>
      <c r="H33" s="256">
        <f>IF($C33="","",VLOOKUP($C33+$F$11*1000,DSS_Calc!$A:$JV,H$30,FALSE))</f>
        <v>0</v>
      </c>
      <c r="I33" s="256">
        <f>IF($C33="","",VLOOKUP($C33+$F$11*1000,DSS_Calc!$A:$JV,I$30,FALSE))</f>
        <v>0</v>
      </c>
      <c r="J33" s="256">
        <f>IF($C33="","",VLOOKUP($C33+$F$11*1000,DSS_Calc!$A:$JV,J$30,FALSE))</f>
        <v>2587</v>
      </c>
      <c r="K33" s="256">
        <f>IF($C33="","",VLOOKUP($C33+$F$11*1000,DSS_Calc!$A:$JV,K$30,FALSE))</f>
        <v>0</v>
      </c>
      <c r="L33" s="256">
        <f>IF($C33="","",VLOOKUP($C33+$F$11*1000,DSS_Calc!$A:$JV,L$30,FALSE))</f>
        <v>0</v>
      </c>
      <c r="M33" s="256">
        <f>IF($C33="","",VLOOKUP($C33+$F$11*1000,DSS_Calc!$A:$JV,M$30,FALSE))</f>
        <v>0</v>
      </c>
      <c r="N33" s="256">
        <f>IF($C33="","",VLOOKUP($C33+$F$11*1000,DSS_Calc!$A:$JV,N$30,FALSE))</f>
        <v>0</v>
      </c>
      <c r="O33" s="256">
        <f>IF($C33="","",VLOOKUP($C33+$F$11*1000,DSS_Calc!$A:$JV,O$30,FALSE))</f>
        <v>0</v>
      </c>
      <c r="P33" s="294" t="s">
        <v>2</v>
      </c>
      <c r="Q33" s="256">
        <f>IF($C33="","",VLOOKUP($C33+$F$11*1000,DSS_Calc!$A:$JV,Q$30,FALSE)*IF(U33=0,0,1))</f>
        <v>1300</v>
      </c>
      <c r="R33" s="256">
        <f>IF($C33="","",VLOOKUP($C33+$F$11*1000,DSS_Calc!$A:$JV,R$30,FALSE)*IF(V33=0,0,1))</f>
        <v>2160.0639263375806</v>
      </c>
      <c r="S33" s="256">
        <f>IF($C33="","",VLOOKUP($C33+$F$11*1000,DSS_Calc!$A:$JV,S$30,FALSE)*IF(W33=0,0,1))</f>
        <v>3668.7164157747857</v>
      </c>
      <c r="T33" s="294" t="s">
        <v>2</v>
      </c>
      <c r="U33" s="395">
        <f>IF($C33="","",VLOOKUP($C33+$F$11*1000,DSS_Calc!$A:$JV,U$30,FALSE))</f>
        <v>0.405798396708204</v>
      </c>
      <c r="V33" s="395">
        <f>IF($C33="","",VLOOKUP($C33+$F$11*1000,DSS_Calc!$A:$JV,V$30,FALSE))</f>
        <v>0.52270243266418626</v>
      </c>
      <c r="W33" s="395">
        <f>IF($C33="","",VLOOKUP($C33+$F$11*1000,DSS_Calc!$A:$JV,W$30,FALSE))</f>
        <v>7.1499170627609729E-2</v>
      </c>
      <c r="X33" s="290" t="s">
        <v>2</v>
      </c>
      <c r="Y33" s="256">
        <f t="shared" ref="Y33:AA34" si="0">IF(U33=0,0,U33*Q33)</f>
        <v>527.53791572066518</v>
      </c>
      <c r="Z33" s="256">
        <f t="shared" si="0"/>
        <v>1129.0706690068071</v>
      </c>
      <c r="AA33" s="256">
        <f t="shared" si="0"/>
        <v>262.31018099579421</v>
      </c>
      <c r="AB33" s="290" t="s">
        <v>2</v>
      </c>
      <c r="AC33" s="256">
        <f>SUM(Y33:AA33)</f>
        <v>1918.9187657232665</v>
      </c>
      <c r="AD33" s="259">
        <f>AC33*AE33/1000/1000</f>
        <v>1.5818468975774762</v>
      </c>
      <c r="AE33" s="260">
        <f>IF($C33="","",VLOOKUP($C33+$F$11*1000,DSS_Calc!$A:$JV,AE$30,FALSE))</f>
        <v>824.34281525265953</v>
      </c>
      <c r="AF33" s="259">
        <f>IF($C33="","",VLOOKUP($C33+$F$11*1000,DSS_Calc!$A:$JV,AF$30,FALSE))</f>
        <v>3.3605004512698442</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v>47</v>
      </c>
      <c r="D34" s="396" t="str">
        <f>"Scenario " &amp; A34</f>
        <v>Scenario A</v>
      </c>
      <c r="E34" s="272" t="s">
        <v>2</v>
      </c>
      <c r="F34" s="397">
        <f>IF($C34="","",VLOOKUP($C34+$F$11*1000,DSS_Calc!$A:$JV,F$30,FALSE))</f>
        <v>1527.4263093788063</v>
      </c>
      <c r="G34" s="397" t="str">
        <f>IF($C34="","",VLOOKUP($C34+$F$11*1000,DSS_Calc!$A:$JV,G$30,FALSE))</f>
        <v>0/0.9/1.9/3.9</v>
      </c>
      <c r="H34" s="397">
        <f>IF($C34="","",VLOOKUP($C34+$F$11*1000,DSS_Calc!$A:$JV,H$30,FALSE))</f>
        <v>0</v>
      </c>
      <c r="I34" s="397">
        <f>IF($C34="","",VLOOKUP($C34+$F$11*1000,DSS_Calc!$A:$JV,I$30,FALSE))</f>
        <v>0</v>
      </c>
      <c r="J34" s="397">
        <f>IF($C34="","",VLOOKUP($C34+$F$11*1000,DSS_Calc!$A:$JV,J$30,FALSE))</f>
        <v>2227</v>
      </c>
      <c r="K34" s="397">
        <f>IF($C34="","",VLOOKUP($C34+$F$11*1000,DSS_Calc!$A:$JV,K$30,FALSE))</f>
        <v>0</v>
      </c>
      <c r="L34" s="397">
        <f>IF($C34="","",VLOOKUP($C34+$F$11*1000,DSS_Calc!$A:$JV,L$30,FALSE))</f>
        <v>0</v>
      </c>
      <c r="M34" s="397">
        <f>IF($C34="","",VLOOKUP($C34+$F$11*1000,DSS_Calc!$A:$JV,M$30,FALSE))</f>
        <v>0</v>
      </c>
      <c r="N34" s="397">
        <f>IF($C34="","",VLOOKUP($C34+$F$11*1000,DSS_Calc!$A:$JV,N$30,FALSE))</f>
        <v>0</v>
      </c>
      <c r="O34" s="397">
        <f>IF($C34="","",VLOOKUP($C34+$F$11*1000,DSS_Calc!$A:$JV,O$30,FALSE))</f>
        <v>0</v>
      </c>
      <c r="P34" s="294" t="s">
        <v>2</v>
      </c>
      <c r="Q34" s="397">
        <f>IF($C34="","",VLOOKUP($C34+$F$11*1000,DSS_Calc!$A:$JV,Q$30,FALSE)*IF(U34=0,0,1))</f>
        <v>1549.9999999999998</v>
      </c>
      <c r="R34" s="397">
        <f>IF($C34="","",VLOOKUP($C34+$F$11*1000,DSS_Calc!$A:$JV,R$30,FALSE)*IF(V34=0,0,1))</f>
        <v>2160.0923941015917</v>
      </c>
      <c r="S34" s="397">
        <f>IF($C34="","",VLOOKUP($C34+$F$11*1000,DSS_Calc!$A:$JV,S$30,FALSE)*IF(W34=0,0,1))</f>
        <v>3308.7164157747857</v>
      </c>
      <c r="T34" s="294" t="s">
        <v>2</v>
      </c>
      <c r="U34" s="398">
        <f>IF($C34="","",VLOOKUP($C34+$F$11*1000,DSS_Calc!$A:$JV,U$30,FALSE))</f>
        <v>0.43542624192157103</v>
      </c>
      <c r="V34" s="398">
        <f>IF($C34="","",VLOOKUP($C34+$F$11*1000,DSS_Calc!$A:$JV,V$30,FALSE))</f>
        <v>0.51154046916990015</v>
      </c>
      <c r="W34" s="398">
        <f>IF($C34="","",VLOOKUP($C34+$F$11*1000,DSS_Calc!$A:$JV,W$30,FALSE))</f>
        <v>5.3033288908528722E-2</v>
      </c>
      <c r="X34" s="294" t="s">
        <v>2</v>
      </c>
      <c r="Y34" s="397">
        <f t="shared" si="0"/>
        <v>674.91067497843505</v>
      </c>
      <c r="Z34" s="397">
        <f t="shared" si="0"/>
        <v>1104.974676729061</v>
      </c>
      <c r="AA34" s="397">
        <f t="shared" si="0"/>
        <v>175.47211359417585</v>
      </c>
      <c r="AB34" s="294" t="s">
        <v>2</v>
      </c>
      <c r="AC34" s="397">
        <f>SUM(Y34:AA34)</f>
        <v>1955.3574653016719</v>
      </c>
      <c r="AD34" s="399">
        <f>AC34*AE34/1000/1000</f>
        <v>1.6233237392906077</v>
      </c>
      <c r="AE34" s="400">
        <f>IF($C34="","",VLOOKUP($C34+$F$11*1000,DSS_Calc!$A:$JV,AE$30,FALSE))</f>
        <v>830.19282565817798</v>
      </c>
      <c r="AF34" s="399">
        <f>IF($C34="","",VLOOKUP($C34+$F$11*1000,DSS_Calc!$A:$JV,AF$30,FALSE))</f>
        <v>3.3540973469429982</v>
      </c>
      <c r="AG34" s="401"/>
      <c r="AH34" s="398"/>
      <c r="AI34" s="401"/>
      <c r="AJ34" s="289" t="s">
        <v>2</v>
      </c>
      <c r="AK34" s="758" t="str">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A: +250 CC, -360 Lease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f>AI35/((Q35*U34+R35*V34+S35*W34)/(VLOOKUP($C34+$F$11*1000,DSS_Calc!$A:$JV,DSS_Calc!BX$92,FALSE)-$AC$33))</f>
        <v>1.4280299126572173</v>
      </c>
      <c r="B35" s="402"/>
      <c r="C35" s="564">
        <f>AI35/(AC35/(VLOOKUP($C34+$F$11*1000,DSS_Calc!$A:$JV,DSS_Calc!BX$92,FALSE)-$AC$33))</f>
        <v>3.51843774191014</v>
      </c>
      <c r="D35" s="403" t="s">
        <v>141</v>
      </c>
      <c r="F35" s="404">
        <f>ROUND(F34-F$33,0)</f>
        <v>250</v>
      </c>
      <c r="G35" s="404"/>
      <c r="H35" s="404"/>
      <c r="I35" s="404">
        <f t="shared" ref="I35:O35" si="1">ROUND(I34-I$33,0)</f>
        <v>0</v>
      </c>
      <c r="J35" s="404">
        <f t="shared" si="1"/>
        <v>-360</v>
      </c>
      <c r="K35" s="404">
        <f t="shared" si="1"/>
        <v>0</v>
      </c>
      <c r="L35" s="404">
        <f t="shared" si="1"/>
        <v>0</v>
      </c>
      <c r="M35" s="404">
        <f t="shared" si="1"/>
        <v>0</v>
      </c>
      <c r="N35" s="404">
        <f t="shared" si="1"/>
        <v>0</v>
      </c>
      <c r="O35" s="404">
        <f t="shared" si="1"/>
        <v>0</v>
      </c>
      <c r="P35" s="294"/>
      <c r="Q35" s="404">
        <f t="shared" ref="Q35:S35" si="2">Q34-Q$33</f>
        <v>249.99999999999977</v>
      </c>
      <c r="R35" s="404">
        <f t="shared" si="2"/>
        <v>2.8467764011111285E-2</v>
      </c>
      <c r="S35" s="404">
        <f t="shared" si="2"/>
        <v>-360</v>
      </c>
      <c r="T35" s="294"/>
      <c r="U35" s="405">
        <f>U34-U$33</f>
        <v>2.9627845213367032E-2</v>
      </c>
      <c r="V35" s="405">
        <f>V34-V$33</f>
        <v>-1.1161963494286109E-2</v>
      </c>
      <c r="W35" s="405">
        <f>W34-W$33</f>
        <v>-1.8465881719081007E-2</v>
      </c>
      <c r="X35" s="294"/>
      <c r="Y35" s="404">
        <f>Y34-Y$33</f>
        <v>147.37275925776987</v>
      </c>
      <c r="Z35" s="404">
        <f>Z34-Z$33</f>
        <v>-24.095992277746063</v>
      </c>
      <c r="AA35" s="404">
        <f>AA34-AA$33</f>
        <v>-86.83806740161836</v>
      </c>
      <c r="AB35" s="294"/>
      <c r="AC35" s="404">
        <f>IFERROR(AC34-AC$33,NA())</f>
        <v>36.438699578405476</v>
      </c>
      <c r="AD35" s="406">
        <f>AD34-AD$33</f>
        <v>4.1476841713131485E-2</v>
      </c>
      <c r="AE35" s="407">
        <f t="shared" ref="AE35:AF49" si="3">AE34-AE$33</f>
        <v>5.8500104055184465</v>
      </c>
      <c r="AF35" s="406">
        <f t="shared" si="3"/>
        <v>-6.4031043268459875E-3</v>
      </c>
      <c r="AG35" s="408">
        <f>AF35/AF$33</f>
        <v>-1.9054020136871053E-3</v>
      </c>
      <c r="AH35" s="405"/>
      <c r="AI35" s="408">
        <f>IFERROR(AE35/$AE$33,NA())</f>
        <v>7.0965747469096691E-3</v>
      </c>
      <c r="AJ35" s="289"/>
      <c r="AK35" s="749"/>
      <c r="AL35" s="750">
        <f>$AE34*U34-$AE$33*U$33</f>
        <v>26.97074937913402</v>
      </c>
      <c r="AM35" s="750">
        <f>$AE34*V34-$AE$33*V$33</f>
        <v>-6.2087673431395274</v>
      </c>
      <c r="AN35" s="750">
        <f>$AE34*W34-$AE$33*W$33</f>
        <v>-14.911971630476096</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v>35</v>
      </c>
      <c r="D36" s="261" t="str">
        <f>"Scenario " &amp; A36</f>
        <v>Scenario B</v>
      </c>
      <c r="E36" s="272" t="s">
        <v>2</v>
      </c>
      <c r="F36" s="262">
        <f>IF($C36="","",VLOOKUP($C36+$F$11*1000,DSS_Calc!$A:$JV,F$30,FALSE))</f>
        <v>1527.4263093788063</v>
      </c>
      <c r="G36" s="262" t="str">
        <f>IF($C36="","",VLOOKUP($C36+$F$11*1000,DSS_Calc!$A:$JV,G$30,FALSE))</f>
        <v>0/0/0.9/3.9</v>
      </c>
      <c r="H36" s="262">
        <f>IF($C36="","",VLOOKUP($C36+$F$11*1000,DSS_Calc!$A:$JV,H$30,FALSE))</f>
        <v>0</v>
      </c>
      <c r="I36" s="262">
        <f>IF($C36="","",VLOOKUP($C36+$F$11*1000,DSS_Calc!$A:$JV,I$30,FALSE))</f>
        <v>0</v>
      </c>
      <c r="J36" s="262">
        <f>IF($C36="","",VLOOKUP($C36+$F$11*1000,DSS_Calc!$A:$JV,J$30,FALSE))</f>
        <v>2587</v>
      </c>
      <c r="K36" s="262">
        <f>IF($C36="","",VLOOKUP($C36+$F$11*1000,DSS_Calc!$A:$JV,K$30,FALSE))</f>
        <v>0</v>
      </c>
      <c r="L36" s="262">
        <f>IF($C36="","",VLOOKUP($C36+$F$11*1000,DSS_Calc!$A:$JV,L$30,FALSE))</f>
        <v>0</v>
      </c>
      <c r="M36" s="262">
        <f>IF($C36="","",VLOOKUP($C36+$F$11*1000,DSS_Calc!$A:$JV,M$30,FALSE))</f>
        <v>0</v>
      </c>
      <c r="N36" s="262">
        <f>IF($C36="","",VLOOKUP($C36+$F$11*1000,DSS_Calc!$A:$JV,N$30,FALSE))</f>
        <v>0</v>
      </c>
      <c r="O36" s="262">
        <f>IF($C36="","",VLOOKUP($C36+$F$11*1000,DSS_Calc!$A:$JV,O$30,FALSE))</f>
        <v>0</v>
      </c>
      <c r="P36" s="294" t="s">
        <v>2</v>
      </c>
      <c r="Q36" s="262">
        <f>IF($C36="","",VLOOKUP($C36+$F$11*1000,DSS_Calc!$A:$JV,Q$30,FALSE)*IF(U36=0,0,1))</f>
        <v>1550</v>
      </c>
      <c r="R36" s="262">
        <f>IF($C36="","",VLOOKUP($C36+$F$11*1000,DSS_Calc!$A:$JV,R$30,FALSE)*IF(V36=0,0,1))</f>
        <v>2470.704449315811</v>
      </c>
      <c r="S36" s="262">
        <f>IF($C36="","",VLOOKUP($C36+$F$11*1000,DSS_Calc!$A:$JV,S$30,FALSE)*IF(W36=0,0,1))</f>
        <v>3668.7164157747857</v>
      </c>
      <c r="T36" s="294" t="s">
        <v>2</v>
      </c>
      <c r="U36" s="263">
        <f>IF($C36="","",VLOOKUP($C36+$F$11*1000,DSS_Calc!$A:$JV,U$30,FALSE))</f>
        <v>0.40325683000491358</v>
      </c>
      <c r="V36" s="263">
        <f>IF($C36="","",VLOOKUP($C36+$F$11*1000,DSS_Calc!$A:$JV,V$30,FALSE))</f>
        <v>0.53362979703537494</v>
      </c>
      <c r="W36" s="263">
        <f>IF($C36="","",VLOOKUP($C36+$F$11*1000,DSS_Calc!$A:$JV,W$30,FALSE))</f>
        <v>6.3113372959711464E-2</v>
      </c>
      <c r="X36" s="294" t="s">
        <v>2</v>
      </c>
      <c r="Y36" s="262">
        <f>IF(U36=0,0,U36*Q36)</f>
        <v>625.04808650761606</v>
      </c>
      <c r="Z36" s="262">
        <f>IF(V36=0,0,V36*R36)</f>
        <v>1318.4415138227939</v>
      </c>
      <c r="AA36" s="262">
        <f>IF(W36=0,0,W36*S36)</f>
        <v>231.54506743220992</v>
      </c>
      <c r="AB36" s="294" t="s">
        <v>2</v>
      </c>
      <c r="AC36" s="262">
        <f>SUM(Y36:AA36)</f>
        <v>2175.0346677626198</v>
      </c>
      <c r="AD36" s="264">
        <f>AC36*AE36/1000/1000</f>
        <v>1.8626894078211476</v>
      </c>
      <c r="AE36" s="265">
        <f>IF($C36="","",VLOOKUP($C36+$F$11*1000,DSS_Calc!$A:$JV,AE$30,FALSE))</f>
        <v>856.39527287959481</v>
      </c>
      <c r="AF36" s="264">
        <f>IF($C36="","",VLOOKUP($C36+$F$11*1000,DSS_Calc!$A:$JV,AF$30,FALSE))</f>
        <v>3.2718284507284632</v>
      </c>
      <c r="AG36" s="300"/>
      <c r="AH36" s="263"/>
      <c r="AI36" s="300"/>
      <c r="AJ36" s="289" t="s">
        <v>2</v>
      </c>
      <c r="AK36" s="758" t="str">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B: +250 CC, 0/0/0.9/3.9</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f>AI37/((Q37*U36+R37*V36+S37*W36)/(VLOOKUP($C36+$F$11*1000,DSS_Calc!$A:$JV,DSS_Calc!BX$92,FALSE)-$AC$33))</f>
        <v>2.6350438189713459</v>
      </c>
      <c r="B37" s="402"/>
      <c r="C37" s="564">
        <f>AI37/(AC37/(VLOOKUP($C36+$F$11*1000,DSS_Calc!$A:$JV,DSS_Calc!BX$92,FALSE)-$AC$33))</f>
        <v>2.7427163282472042</v>
      </c>
      <c r="D37" s="266" t="s">
        <v>141</v>
      </c>
      <c r="F37" s="267">
        <f>ROUND(F36-F$33,0)</f>
        <v>250</v>
      </c>
      <c r="G37" s="267"/>
      <c r="H37" s="267"/>
      <c r="I37" s="267">
        <f t="shared" ref="I37:O37" si="4">ROUND(I36-I$33,0)</f>
        <v>0</v>
      </c>
      <c r="J37" s="267">
        <f t="shared" si="4"/>
        <v>0</v>
      </c>
      <c r="K37" s="267">
        <f t="shared" si="4"/>
        <v>0</v>
      </c>
      <c r="L37" s="267">
        <f t="shared" si="4"/>
        <v>0</v>
      </c>
      <c r="M37" s="267">
        <f t="shared" si="4"/>
        <v>0</v>
      </c>
      <c r="N37" s="267">
        <f t="shared" si="4"/>
        <v>0</v>
      </c>
      <c r="O37" s="267">
        <f t="shared" si="4"/>
        <v>0</v>
      </c>
      <c r="P37" s="294"/>
      <c r="Q37" s="267">
        <f t="shared" ref="Q37:S37" si="5">Q36-Q$33</f>
        <v>250</v>
      </c>
      <c r="R37" s="267">
        <f t="shared" si="5"/>
        <v>310.64052297823036</v>
      </c>
      <c r="S37" s="267">
        <f t="shared" si="5"/>
        <v>0</v>
      </c>
      <c r="T37" s="294"/>
      <c r="U37" s="268">
        <f>U36-U$33</f>
        <v>-2.541566703290421E-3</v>
      </c>
      <c r="V37" s="268">
        <f>V36-V$33</f>
        <v>1.0927364371188686E-2</v>
      </c>
      <c r="W37" s="268">
        <f>W36-W$33</f>
        <v>-8.3857976678982649E-3</v>
      </c>
      <c r="X37" s="294"/>
      <c r="Y37" s="267">
        <f>Y36-Y$33</f>
        <v>97.51017078695088</v>
      </c>
      <c r="Z37" s="267">
        <f>Z36-Z$33</f>
        <v>189.37084481598686</v>
      </c>
      <c r="AA37" s="267">
        <f>AA36-AA$33</f>
        <v>-30.765113563584293</v>
      </c>
      <c r="AB37" s="294"/>
      <c r="AC37" s="267">
        <f>IFERROR(AC36-AC$33,NA())</f>
        <v>256.11590203935339</v>
      </c>
      <c r="AD37" s="269">
        <f>AD36-AD$33</f>
        <v>0.28084251024367135</v>
      </c>
      <c r="AE37" s="270">
        <f t="shared" si="3"/>
        <v>32.052457626935279</v>
      </c>
      <c r="AF37" s="269">
        <f t="shared" si="3"/>
        <v>-8.8672000541381024E-2</v>
      </c>
      <c r="AG37" s="301">
        <f>AF37/AF$33</f>
        <v>-2.6386546238336084E-2</v>
      </c>
      <c r="AH37" s="268"/>
      <c r="AI37" s="301">
        <f>IFERROR(AE37/$AE$33,NA())</f>
        <v>3.8882437056373523E-2</v>
      </c>
      <c r="AJ37" s="289"/>
      <c r="AK37" s="749"/>
      <c r="AL37" s="750">
        <f>$AE36*U36-$AE$33*U$33</f>
        <v>10.830250205161917</v>
      </c>
      <c r="AM37" s="750">
        <f>$AE36*V36-$AE$33*V$33</f>
        <v>26.112040766983739</v>
      </c>
      <c r="AN37" s="750">
        <f>$AE36*W36-$AE$33*W$33</f>
        <v>-4.8898333452103273</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v>48</v>
      </c>
      <c r="D38" s="396" t="str">
        <f>"Scenario " &amp; A38</f>
        <v>Scenario C</v>
      </c>
      <c r="E38" s="272" t="s">
        <v>2</v>
      </c>
      <c r="F38" s="397">
        <f>IF($C38="","",VLOOKUP($C38+$F$11*1000,DSS_Calc!$A:$JV,F$30,FALSE))</f>
        <v>1777.4263093788063</v>
      </c>
      <c r="G38" s="397" t="str">
        <f>IF($C38="","",VLOOKUP($C38+$F$11*1000,DSS_Calc!$A:$JV,G$30,FALSE))</f>
        <v>0/0.9/1.9/3.9</v>
      </c>
      <c r="H38" s="397">
        <f>IF($C38="","",VLOOKUP($C38+$F$11*1000,DSS_Calc!$A:$JV,H$30,FALSE))</f>
        <v>0</v>
      </c>
      <c r="I38" s="397">
        <f>IF($C38="","",VLOOKUP($C38+$F$11*1000,DSS_Calc!$A:$JV,I$30,FALSE))</f>
        <v>0</v>
      </c>
      <c r="J38" s="397">
        <f>IF($C38="","",VLOOKUP($C38+$F$11*1000,DSS_Calc!$A:$JV,J$30,FALSE))</f>
        <v>2227</v>
      </c>
      <c r="K38" s="397">
        <f>IF($C38="","",VLOOKUP($C38+$F$11*1000,DSS_Calc!$A:$JV,K$30,FALSE))</f>
        <v>0</v>
      </c>
      <c r="L38" s="397">
        <f>IF($C38="","",VLOOKUP($C38+$F$11*1000,DSS_Calc!$A:$JV,L$30,FALSE))</f>
        <v>0</v>
      </c>
      <c r="M38" s="397">
        <f>IF($C38="","",VLOOKUP($C38+$F$11*1000,DSS_Calc!$A:$JV,M$30,FALSE))</f>
        <v>0</v>
      </c>
      <c r="N38" s="397">
        <f>IF($C38="","",VLOOKUP($C38+$F$11*1000,DSS_Calc!$A:$JV,N$30,FALSE))</f>
        <v>0</v>
      </c>
      <c r="O38" s="397">
        <f>IF($C38="","",VLOOKUP($C38+$F$11*1000,DSS_Calc!$A:$JV,O$30,FALSE))</f>
        <v>0</v>
      </c>
      <c r="P38" s="294" t="s">
        <v>2</v>
      </c>
      <c r="Q38" s="397">
        <f>IF($C38="","",VLOOKUP($C38+$F$11*1000,DSS_Calc!$A:$JV,Q$30,FALSE)*IF(U38=0,0,1))</f>
        <v>1800.0000000000002</v>
      </c>
      <c r="R38" s="397">
        <f>IF($C38="","",VLOOKUP($C38+$F$11*1000,DSS_Calc!$A:$JV,R$30,FALSE)*IF(V38=0,0,1))</f>
        <v>2160.098976255832</v>
      </c>
      <c r="S38" s="397">
        <f>IF($C38="","",VLOOKUP($C38+$F$11*1000,DSS_Calc!$A:$JV,S$30,FALSE)*IF(W38=0,0,1))</f>
        <v>3308.7164157747857</v>
      </c>
      <c r="T38" s="294" t="s">
        <v>2</v>
      </c>
      <c r="U38" s="398">
        <f>IF($C38="","",VLOOKUP($C38+$F$11*1000,DSS_Calc!$A:$JV,U$30,FALSE))</f>
        <v>0.454404894763909</v>
      </c>
      <c r="V38" s="398">
        <f>IF($C38="","",VLOOKUP($C38+$F$11*1000,DSS_Calc!$A:$JV,V$30,FALSE))</f>
        <v>0.49702629652239477</v>
      </c>
      <c r="W38" s="398">
        <f>IF($C38="","",VLOOKUP($C38+$F$11*1000,DSS_Calc!$A:$JV,W$30,FALSE))</f>
        <v>4.8568808713696093E-2</v>
      </c>
      <c r="X38" s="294" t="s">
        <v>2</v>
      </c>
      <c r="Y38" s="397">
        <f>IF(U38=0,0,U38*Q38)</f>
        <v>817.92881057503632</v>
      </c>
      <c r="Z38" s="397">
        <f>IF(V38=0,0,V38*R38)</f>
        <v>1073.6259942902525</v>
      </c>
      <c r="AA38" s="397">
        <f>IF(W38=0,0,W38*S38)</f>
        <v>160.70041468563173</v>
      </c>
      <c r="AB38" s="294" t="s">
        <v>2</v>
      </c>
      <c r="AC38" s="397">
        <f>SUM(Y38:AA38)</f>
        <v>2052.2552195509206</v>
      </c>
      <c r="AD38" s="399">
        <f>AC38*AE38/1000/1000</f>
        <v>1.7273161456764716</v>
      </c>
      <c r="AE38" s="400">
        <f>IF($C38="","",VLOOKUP($C38+$F$11*1000,DSS_Calc!$A:$JV,AE$30,FALSE))</f>
        <v>841.66731760314258</v>
      </c>
      <c r="AF38" s="399">
        <f>IF($C38="","",VLOOKUP($C38+$F$11*1000,DSS_Calc!$A:$JV,AF$30,FALSE))</f>
        <v>3.3189002570131696</v>
      </c>
      <c r="AG38" s="401"/>
      <c r="AH38" s="398"/>
      <c r="AI38" s="401"/>
      <c r="AJ38" s="289" t="s">
        <v>2</v>
      </c>
      <c r="AK38" s="758" t="str">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C: +500 CC, -360 Lease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f>AI39/((Q39*U38+R39*V38+S39*W38)/(VLOOKUP($C38+$F$11*1000,DSS_Calc!$A:$JV,DSS_Calc!BX$92,FALSE)-$AC$33))</f>
        <v>1.8102800222863893</v>
      </c>
      <c r="B39" s="402"/>
      <c r="C39" s="564">
        <f>AI39/(AC39/(VLOOKUP($C38+$F$11*1000,DSS_Calc!$A:$JV,DSS_Calc!BX$92,FALSE)-$AC$33))</f>
        <v>2.8475277775038652</v>
      </c>
      <c r="D39" s="403" t="s">
        <v>141</v>
      </c>
      <c r="F39" s="404">
        <f>ROUND(F38-F$33,0)</f>
        <v>500</v>
      </c>
      <c r="G39" s="404"/>
      <c r="H39" s="404"/>
      <c r="I39" s="404">
        <f t="shared" ref="I39:O39" si="6">ROUND(I38-I$33,0)</f>
        <v>0</v>
      </c>
      <c r="J39" s="404">
        <f t="shared" si="6"/>
        <v>-360</v>
      </c>
      <c r="K39" s="404">
        <f t="shared" si="6"/>
        <v>0</v>
      </c>
      <c r="L39" s="404">
        <f t="shared" si="6"/>
        <v>0</v>
      </c>
      <c r="M39" s="404">
        <f t="shared" si="6"/>
        <v>0</v>
      </c>
      <c r="N39" s="404">
        <f t="shared" si="6"/>
        <v>0</v>
      </c>
      <c r="O39" s="404">
        <f t="shared" si="6"/>
        <v>0</v>
      </c>
      <c r="P39" s="294"/>
      <c r="Q39" s="404">
        <f t="shared" ref="Q39:S39" si="7">Q38-Q$33</f>
        <v>500.00000000000023</v>
      </c>
      <c r="R39" s="404">
        <f t="shared" si="7"/>
        <v>3.504991825138859E-2</v>
      </c>
      <c r="S39" s="404">
        <f t="shared" si="7"/>
        <v>-360</v>
      </c>
      <c r="T39" s="294"/>
      <c r="U39" s="405">
        <f>U38-U$33</f>
        <v>4.8606498055704994E-2</v>
      </c>
      <c r="V39" s="405">
        <f>V38-V$33</f>
        <v>-2.5676136141791484E-2</v>
      </c>
      <c r="W39" s="405">
        <f>W38-W$33</f>
        <v>-2.2930361913913636E-2</v>
      </c>
      <c r="X39" s="294"/>
      <c r="Y39" s="404">
        <f>Y38-Y$33</f>
        <v>290.39089485437114</v>
      </c>
      <c r="Z39" s="404">
        <f>Z38-Z$33</f>
        <v>-55.444674716554573</v>
      </c>
      <c r="AA39" s="404">
        <f>AA38-AA$33</f>
        <v>-101.60976631016248</v>
      </c>
      <c r="AB39" s="294"/>
      <c r="AC39" s="404">
        <f>IFERROR(AC38-AC$33,NA())</f>
        <v>133.33645382765417</v>
      </c>
      <c r="AD39" s="406">
        <f>AD38-AD$33</f>
        <v>0.14546924809899542</v>
      </c>
      <c r="AE39" s="407">
        <f t="shared" si="3"/>
        <v>17.324502350483044</v>
      </c>
      <c r="AF39" s="406">
        <f t="shared" si="3"/>
        <v>-4.1600194256674605E-2</v>
      </c>
      <c r="AG39" s="408">
        <f>AF39/AF$33</f>
        <v>-1.2379166394979949E-2</v>
      </c>
      <c r="AH39" s="405"/>
      <c r="AI39" s="408">
        <f>IFERROR(AE39/$AE$33,NA())</f>
        <v>2.1016137982804054E-2</v>
      </c>
      <c r="AJ39" s="289"/>
      <c r="AK39" s="749"/>
      <c r="AL39" s="750">
        <f>$AE38*U38-$AE$33*U$33</f>
        <v>47.940756114221131</v>
      </c>
      <c r="AM39" s="750">
        <f>$AE38*V38-$AE$33*V$33</f>
        <v>-12.555205109580811</v>
      </c>
      <c r="AN39" s="750">
        <f>$AE38*W38-$AE$33*W$33</f>
        <v>-18.061048654157339</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v>49</v>
      </c>
      <c r="D40" s="261" t="str">
        <f>"Scenario " &amp; A40</f>
        <v>Scenario D</v>
      </c>
      <c r="E40" s="272" t="s">
        <v>2</v>
      </c>
      <c r="F40" s="262">
        <f>IF($C40="","",VLOOKUP($C40+$F$11*1000,DSS_Calc!$A:$JV,F$30,FALSE))</f>
        <v>2027.4263093788063</v>
      </c>
      <c r="G40" s="262" t="str">
        <f>IF($C40="","",VLOOKUP($C40+$F$11*1000,DSS_Calc!$A:$JV,G$30,FALSE))</f>
        <v>0/0.9/1.9/3.9</v>
      </c>
      <c r="H40" s="262">
        <f>IF($C40="","",VLOOKUP($C40+$F$11*1000,DSS_Calc!$A:$JV,H$30,FALSE))</f>
        <v>0</v>
      </c>
      <c r="I40" s="262">
        <f>IF($C40="","",VLOOKUP($C40+$F$11*1000,DSS_Calc!$A:$JV,I$30,FALSE))</f>
        <v>0</v>
      </c>
      <c r="J40" s="262">
        <f>IF($C40="","",VLOOKUP($C40+$F$11*1000,DSS_Calc!$A:$JV,J$30,FALSE))</f>
        <v>2227</v>
      </c>
      <c r="K40" s="262">
        <f>IF($C40="","",VLOOKUP($C40+$F$11*1000,DSS_Calc!$A:$JV,K$30,FALSE))</f>
        <v>0</v>
      </c>
      <c r="L40" s="262">
        <f>IF($C40="","",VLOOKUP($C40+$F$11*1000,DSS_Calc!$A:$JV,L$30,FALSE))</f>
        <v>0</v>
      </c>
      <c r="M40" s="262">
        <f>IF($C40="","",VLOOKUP($C40+$F$11*1000,DSS_Calc!$A:$JV,M$30,FALSE))</f>
        <v>0</v>
      </c>
      <c r="N40" s="262">
        <f>IF($C40="","",VLOOKUP($C40+$F$11*1000,DSS_Calc!$A:$JV,N$30,FALSE))</f>
        <v>0</v>
      </c>
      <c r="O40" s="262">
        <f>IF($C40="","",VLOOKUP($C40+$F$11*1000,DSS_Calc!$A:$JV,O$30,FALSE))</f>
        <v>0</v>
      </c>
      <c r="P40" s="294" t="s">
        <v>2</v>
      </c>
      <c r="Q40" s="262">
        <f>IF($C40="","",VLOOKUP($C40+$F$11*1000,DSS_Calc!$A:$JV,Q$30,FALSE)*IF(U40=0,0,1))</f>
        <v>2050</v>
      </c>
      <c r="R40" s="262">
        <f>IF($C40="","",VLOOKUP($C40+$F$11*1000,DSS_Calc!$A:$JV,R$30,FALSE)*IF(V40=0,0,1))</f>
        <v>2160.1026579712866</v>
      </c>
      <c r="S40" s="262">
        <f>IF($C40="","",VLOOKUP($C40+$F$11*1000,DSS_Calc!$A:$JV,S$30,FALSE)*IF(W40=0,0,1))</f>
        <v>3308.7164157747857</v>
      </c>
      <c r="T40" s="294" t="s">
        <v>2</v>
      </c>
      <c r="U40" s="263">
        <f>IF($C40="","",VLOOKUP($C40+$F$11*1000,DSS_Calc!$A:$JV,U$30,FALSE))</f>
        <v>0.47259418551663512</v>
      </c>
      <c r="V40" s="263">
        <f>IF($C40="","",VLOOKUP($C40+$F$11*1000,DSS_Calc!$A:$JV,V$30,FALSE))</f>
        <v>0.48284651240927018</v>
      </c>
      <c r="W40" s="263">
        <f>IF($C40="","",VLOOKUP($C40+$F$11*1000,DSS_Calc!$A:$JV,W$30,FALSE))</f>
        <v>4.4559302074094552E-2</v>
      </c>
      <c r="X40" s="294" t="s">
        <v>2</v>
      </c>
      <c r="Y40" s="262">
        <f>IF(U40=0,0,U40*Q40)</f>
        <v>968.81808030910202</v>
      </c>
      <c r="Z40" s="262">
        <f>IF(V40=0,0,V40*R40)</f>
        <v>1042.9980348474303</v>
      </c>
      <c r="AA40" s="262">
        <f>IF(W40=0,0,W40*S40)</f>
        <v>147.43409424802411</v>
      </c>
      <c r="AB40" s="294" t="s">
        <v>2</v>
      </c>
      <c r="AC40" s="262">
        <f>SUM(Y40:AA40)</f>
        <v>2159.2502094045562</v>
      </c>
      <c r="AD40" s="264">
        <f>AC40*AE40/1000/1000</f>
        <v>1.8442595658779859</v>
      </c>
      <c r="AE40" s="265">
        <f>IF($C40="","",VLOOKUP($C40+$F$11*1000,DSS_Calc!$A:$JV,AE$30,FALSE))</f>
        <v>854.12035985702948</v>
      </c>
      <c r="AF40" s="264">
        <f>IF($C40="","",VLOOKUP($C40+$F$11*1000,DSS_Calc!$A:$JV,AF$30,FALSE))</f>
        <v>3.2766190516448344</v>
      </c>
      <c r="AG40" s="300"/>
      <c r="AH40" s="263"/>
      <c r="AI40" s="300"/>
      <c r="AJ40" s="289" t="s">
        <v>2</v>
      </c>
      <c r="AK40" s="581" t="str">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D: +750 CC, -360 Lease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f>AI41/((Q41*U40+R41*V40+S41*W40)/(VLOOKUP($C40+$F$11*1000,DSS_Calc!$A:$JV,DSS_Calc!BX$92,FALSE)-$AC$33))</f>
        <v>1.9283467265356893</v>
      </c>
      <c r="B41" s="402"/>
      <c r="C41" s="564">
        <f>AI41/(AC41/(VLOOKUP($C40+$F$11*1000,DSS_Calc!$A:$JV,DSS_Calc!BX$92,FALSE)-$AC$33))</f>
        <v>2.7154036045973671</v>
      </c>
      <c r="D41" s="266" t="s">
        <v>141</v>
      </c>
      <c r="F41" s="267">
        <f>ROUND(F40-F$33,0)</f>
        <v>750</v>
      </c>
      <c r="G41" s="267"/>
      <c r="H41" s="267"/>
      <c r="I41" s="267">
        <f t="shared" ref="I41:O41" si="8">ROUND(I40-I$33,0)</f>
        <v>0</v>
      </c>
      <c r="J41" s="267">
        <f t="shared" si="8"/>
        <v>-360</v>
      </c>
      <c r="K41" s="267">
        <f t="shared" si="8"/>
        <v>0</v>
      </c>
      <c r="L41" s="267">
        <f t="shared" si="8"/>
        <v>0</v>
      </c>
      <c r="M41" s="267">
        <f t="shared" si="8"/>
        <v>0</v>
      </c>
      <c r="N41" s="267">
        <f t="shared" si="8"/>
        <v>0</v>
      </c>
      <c r="O41" s="267">
        <f t="shared" si="8"/>
        <v>0</v>
      </c>
      <c r="P41" s="294"/>
      <c r="Q41" s="267">
        <f t="shared" ref="Q41:S41" si="9">Q40-Q$33</f>
        <v>750</v>
      </c>
      <c r="R41" s="267">
        <f t="shared" si="9"/>
        <v>3.8731633705992863E-2</v>
      </c>
      <c r="S41" s="267">
        <f t="shared" si="9"/>
        <v>-360</v>
      </c>
      <c r="T41" s="294"/>
      <c r="U41" s="268">
        <f>U40-U$33</f>
        <v>6.6795788808431122E-2</v>
      </c>
      <c r="V41" s="268">
        <f>V40-V$33</f>
        <v>-3.9855920254916077E-2</v>
      </c>
      <c r="W41" s="268">
        <f>W40-W$33</f>
        <v>-2.6939868553515177E-2</v>
      </c>
      <c r="X41" s="294"/>
      <c r="Y41" s="267">
        <f>Y40-Y$33</f>
        <v>441.28016458843683</v>
      </c>
      <c r="Z41" s="267">
        <f>Z40-Z$33</f>
        <v>-86.072634159376776</v>
      </c>
      <c r="AA41" s="267">
        <f>AA40-AA$33</f>
        <v>-114.8760867477701</v>
      </c>
      <c r="AB41" s="294"/>
      <c r="AC41" s="267">
        <f>IFERROR(AC40-AC$33,NA())</f>
        <v>240.33144368128978</v>
      </c>
      <c r="AD41" s="269">
        <f>AD40-AD$33</f>
        <v>0.26241266830050969</v>
      </c>
      <c r="AE41" s="270">
        <f t="shared" si="3"/>
        <v>29.77754460436995</v>
      </c>
      <c r="AF41" s="269">
        <f t="shared" si="3"/>
        <v>-8.3881399625009845E-2</v>
      </c>
      <c r="AG41" s="301">
        <f>AF41/AF$33</f>
        <v>-2.4960984484710687E-2</v>
      </c>
      <c r="AH41" s="268"/>
      <c r="AI41" s="301">
        <f>IFERROR(AE41/$AE$33,NA())</f>
        <v>3.6122768408241891E-2</v>
      </c>
      <c r="AJ41" s="289"/>
      <c r="AK41" s="749"/>
      <c r="AL41" s="750">
        <f>$AE40*U40-$AE$33*U$33</f>
        <v>69.135323032351721</v>
      </c>
      <c r="AM41" s="750">
        <f>$AE40*V40-$AE$33*V$33</f>
        <v>-18.476957947091478</v>
      </c>
      <c r="AN41" s="750">
        <f>$AE40*W40-$AE$33*W$33</f>
        <v>-20.880820480890343</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v>51</v>
      </c>
      <c r="D42" s="396" t="str">
        <f>"Scenario " &amp; A42</f>
        <v>Scenario E</v>
      </c>
      <c r="E42" s="272" t="s">
        <v>2</v>
      </c>
      <c r="F42" s="397">
        <f>IF($C42="","",VLOOKUP($C42+$F$11*1000,DSS_Calc!$A:$JV,F$30,FALSE))</f>
        <v>1277.4263093788063</v>
      </c>
      <c r="G42" s="397" t="str">
        <f>IF($C42="","",VLOOKUP($C42+$F$11*1000,DSS_Calc!$A:$JV,G$30,FALSE))</f>
        <v>0/0/0.9/3.9</v>
      </c>
      <c r="H42" s="397">
        <f>IF($C42="","",VLOOKUP($C42+$F$11*1000,DSS_Calc!$A:$JV,H$30,FALSE))</f>
        <v>0</v>
      </c>
      <c r="I42" s="397">
        <f>IF($C42="","",VLOOKUP($C42+$F$11*1000,DSS_Calc!$A:$JV,I$30,FALSE))</f>
        <v>0</v>
      </c>
      <c r="J42" s="397">
        <f>IF($C42="","",VLOOKUP($C42+$F$11*1000,DSS_Calc!$A:$JV,J$30,FALSE))</f>
        <v>2227</v>
      </c>
      <c r="K42" s="397">
        <f>IF($C42="","",VLOOKUP($C42+$F$11*1000,DSS_Calc!$A:$JV,K$30,FALSE))</f>
        <v>0</v>
      </c>
      <c r="L42" s="397">
        <f>IF($C42="","",VLOOKUP($C42+$F$11*1000,DSS_Calc!$A:$JV,L$30,FALSE))</f>
        <v>0</v>
      </c>
      <c r="M42" s="397">
        <f>IF($C42="","",VLOOKUP($C42+$F$11*1000,DSS_Calc!$A:$JV,M$30,FALSE))</f>
        <v>0</v>
      </c>
      <c r="N42" s="397">
        <f>IF($C42="","",VLOOKUP($C42+$F$11*1000,DSS_Calc!$A:$JV,N$30,FALSE))</f>
        <v>0</v>
      </c>
      <c r="O42" s="397">
        <f>IF($C42="","",VLOOKUP($C42+$F$11*1000,DSS_Calc!$A:$JV,O$30,FALSE))</f>
        <v>0</v>
      </c>
      <c r="P42" s="294" t="s">
        <v>2</v>
      </c>
      <c r="Q42" s="397">
        <f>IF($C42="","",VLOOKUP($C42+$F$11*1000,DSS_Calc!$A:$JV,Q$30,FALSE)*IF(U42=0,0,1))</f>
        <v>1300</v>
      </c>
      <c r="R42" s="397">
        <f>IF($C42="","",VLOOKUP($C42+$F$11*1000,DSS_Calc!$A:$JV,R$30,FALSE)*IF(V42=0,0,1))</f>
        <v>2470.6989477840561</v>
      </c>
      <c r="S42" s="397">
        <f>IF($C42="","",VLOOKUP($C42+$F$11*1000,DSS_Calc!$A:$JV,S$30,FALSE)*IF(W42=0,0,1))</f>
        <v>3308.7164157747857</v>
      </c>
      <c r="T42" s="294" t="s">
        <v>2</v>
      </c>
      <c r="U42" s="398">
        <f>IF($C42="","",VLOOKUP($C42+$F$11*1000,DSS_Calc!$A:$JV,U$30,FALSE))</f>
        <v>0.39119640718757698</v>
      </c>
      <c r="V42" s="398">
        <f>IF($C42="","",VLOOKUP($C42+$F$11*1000,DSS_Calc!$A:$JV,V$30,FALSE))</f>
        <v>0.55318533113283497</v>
      </c>
      <c r="W42" s="398">
        <f>IF($C42="","",VLOOKUP($C42+$F$11*1000,DSS_Calc!$A:$JV,W$30,FALSE))</f>
        <v>5.5618261679588062E-2</v>
      </c>
      <c r="X42" s="294" t="s">
        <v>2</v>
      </c>
      <c r="Y42" s="397">
        <f>IF(U42=0,0,U42*Q42)</f>
        <v>508.55532934385008</v>
      </c>
      <c r="Z42" s="397">
        <f>IF(V42=0,0,V42*R42)</f>
        <v>1366.7544155594701</v>
      </c>
      <c r="AA42" s="397">
        <f>IF(W42=0,0,W42*S42)</f>
        <v>184.02505543611073</v>
      </c>
      <c r="AB42" s="294" t="s">
        <v>2</v>
      </c>
      <c r="AC42" s="397">
        <f>SUM(Y42:AA42)</f>
        <v>2059.3348003394312</v>
      </c>
      <c r="AD42" s="399">
        <f>AC42*AE42/1000/1000</f>
        <v>1.7335645065746041</v>
      </c>
      <c r="AE42" s="400">
        <f>IF($C42="","",VLOOKUP($C42+$F$11*1000,DSS_Calc!$A:$JV,AE$30,FALSE))</f>
        <v>841.80799852887844</v>
      </c>
      <c r="AF42" s="399">
        <f>IF($C42="","",VLOOKUP($C42+$F$11*1000,DSS_Calc!$A:$JV,AF$30,FALSE))</f>
        <v>3.3134953486052869</v>
      </c>
      <c r="AG42" s="401"/>
      <c r="AH42" s="398"/>
      <c r="AI42" s="401"/>
      <c r="AJ42" s="289" t="s">
        <v>2</v>
      </c>
      <c r="AK42" s="758" t="str">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E: 0/0/0.9/3.9, -360 Lease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f>AI43/((Q43*U42+R43*V42+S43*W42)/(VLOOKUP($C42+$F$11*1000,DSS_Calc!$A:$JV,DSS_Calc!BX$92,FALSE)-$AC$33))</f>
        <v>2.5212228711214624</v>
      </c>
      <c r="B43" s="402"/>
      <c r="C43" s="564">
        <f>AI43/(AC43/(VLOOKUP($C42+$F$11*1000,DSS_Calc!$A:$JV,DSS_Calc!BX$92,FALSE)-$AC$33))</f>
        <v>2.7259164766822765</v>
      </c>
      <c r="D43" s="403" t="s">
        <v>141</v>
      </c>
      <c r="F43" s="404">
        <f>ROUND(F42-F$33,0)</f>
        <v>0</v>
      </c>
      <c r="G43" s="404"/>
      <c r="H43" s="404"/>
      <c r="I43" s="404">
        <f t="shared" ref="I43:O43" si="10">ROUND(I42-I$33,0)</f>
        <v>0</v>
      </c>
      <c r="J43" s="404">
        <f t="shared" si="10"/>
        <v>-360</v>
      </c>
      <c r="K43" s="404">
        <f t="shared" si="10"/>
        <v>0</v>
      </c>
      <c r="L43" s="404">
        <f t="shared" si="10"/>
        <v>0</v>
      </c>
      <c r="M43" s="404">
        <f t="shared" si="10"/>
        <v>0</v>
      </c>
      <c r="N43" s="404">
        <f t="shared" si="10"/>
        <v>0</v>
      </c>
      <c r="O43" s="404">
        <f t="shared" si="10"/>
        <v>0</v>
      </c>
      <c r="P43" s="294"/>
      <c r="Q43" s="404">
        <f t="shared" ref="Q43:S43" si="11">Q42-Q$33</f>
        <v>0</v>
      </c>
      <c r="R43" s="404">
        <f t="shared" si="11"/>
        <v>310.63502144647555</v>
      </c>
      <c r="S43" s="404">
        <f t="shared" si="11"/>
        <v>-360</v>
      </c>
      <c r="T43" s="294"/>
      <c r="U43" s="405">
        <f>U42-U$33</f>
        <v>-1.4601989520627023E-2</v>
      </c>
      <c r="V43" s="405">
        <f>V42-V$33</f>
        <v>3.0482898468648711E-2</v>
      </c>
      <c r="W43" s="405">
        <f>W42-W$33</f>
        <v>-1.5880908948021667E-2</v>
      </c>
      <c r="X43" s="294"/>
      <c r="Y43" s="404">
        <f>Y42-Y$33</f>
        <v>-18.982586376815107</v>
      </c>
      <c r="Z43" s="404">
        <f>Z42-Z$33</f>
        <v>237.68374655266302</v>
      </c>
      <c r="AA43" s="404">
        <f>AA42-AA$33</f>
        <v>-78.285125559683479</v>
      </c>
      <c r="AB43" s="294"/>
      <c r="AC43" s="404">
        <f>IFERROR(AC42-AC$33,NA())</f>
        <v>140.41603461616478</v>
      </c>
      <c r="AD43" s="406">
        <f>AD42-AD$33</f>
        <v>0.15171760899712794</v>
      </c>
      <c r="AE43" s="407">
        <f t="shared" si="3"/>
        <v>17.465183276218909</v>
      </c>
      <c r="AF43" s="406">
        <f t="shared" si="3"/>
        <v>-4.7005102664557263E-2</v>
      </c>
      <c r="AG43" s="408">
        <f>AF43/AF$33</f>
        <v>-1.3987530531887083E-2</v>
      </c>
      <c r="AH43" s="405"/>
      <c r="AI43" s="408">
        <f>IFERROR(AE43/$AE$33,NA())</f>
        <v>2.1186796261293141E-2</v>
      </c>
      <c r="AJ43" s="289"/>
      <c r="AK43" s="751"/>
      <c r="AL43" s="750">
        <f>$AE42*U42-$AE$33*U$33</f>
        <v>-5.2047282011940865</v>
      </c>
      <c r="AM43" s="750">
        <f>$AE42*V42-$AE$33*V$33</f>
        <v>34.789841534657683</v>
      </c>
      <c r="AN43" s="750">
        <f>$AE42*W42-$AE$33*W$33</f>
        <v>-12.119930057244623</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v>77</v>
      </c>
      <c r="D44" s="261" t="str">
        <f>"Scenario " &amp; A44</f>
        <v>Scenario F</v>
      </c>
      <c r="E44" s="272" t="s">
        <v>2</v>
      </c>
      <c r="F44" s="262">
        <f>IF($C44="","",VLOOKUP($C44+$F$11*1000,DSS_Calc!$A:$JV,F$30,FALSE))</f>
        <v>1027.4263093788063</v>
      </c>
      <c r="G44" s="262" t="str">
        <f>IF($C44="","",VLOOKUP($C44+$F$11*1000,DSS_Calc!$A:$JV,G$30,FALSE))</f>
        <v>0/0.9/1.9/3.9</v>
      </c>
      <c r="H44" s="262">
        <f>IF($C44="","",VLOOKUP($C44+$F$11*1000,DSS_Calc!$A:$JV,H$30,FALSE))</f>
        <v>0</v>
      </c>
      <c r="I44" s="262">
        <f>IF($C44="","",VLOOKUP($C44+$F$11*1000,DSS_Calc!$A:$JV,I$30,FALSE))</f>
        <v>0</v>
      </c>
      <c r="J44" s="262">
        <f>IF($C44="","",VLOOKUP($C44+$F$11*1000,DSS_Calc!$A:$JV,J$30,FALSE))</f>
        <v>2227</v>
      </c>
      <c r="K44" s="262">
        <f>IF($C44="","",VLOOKUP($C44+$F$11*1000,DSS_Calc!$A:$JV,K$30,FALSE))</f>
        <v>0</v>
      </c>
      <c r="L44" s="262">
        <f>IF($C44="","",VLOOKUP($C44+$F$11*1000,DSS_Calc!$A:$JV,L$30,FALSE))</f>
        <v>0</v>
      </c>
      <c r="M44" s="262">
        <f>IF($C44="","",VLOOKUP($C44+$F$11*1000,DSS_Calc!$A:$JV,M$30,FALSE))</f>
        <v>0</v>
      </c>
      <c r="N44" s="262">
        <f>IF($C44="","",VLOOKUP($C44+$F$11*1000,DSS_Calc!$A:$JV,N$30,FALSE))</f>
        <v>0</v>
      </c>
      <c r="O44" s="262">
        <f>IF($C44="","",VLOOKUP($C44+$F$11*1000,DSS_Calc!$A:$JV,O$30,FALSE))</f>
        <v>0</v>
      </c>
      <c r="P44" s="294" t="s">
        <v>2</v>
      </c>
      <c r="Q44" s="262">
        <f>IF($C44="","",VLOOKUP($C44+$F$11*1000,DSS_Calc!$A:$JV,Q$30,FALSE)*IF(U44=0,0,1))</f>
        <v>1050</v>
      </c>
      <c r="R44" s="262">
        <f>IF($C44="","",VLOOKUP($C44+$F$11*1000,DSS_Calc!$A:$JV,R$30,FALSE)*IF(V44=0,0,1))</f>
        <v>2160.0694322393301</v>
      </c>
      <c r="S44" s="262">
        <f>IF($C44="","",VLOOKUP($C44+$F$11*1000,DSS_Calc!$A:$JV,S$30,FALSE)*IF(W44=0,0,1))</f>
        <v>3308.7164157747857</v>
      </c>
      <c r="T44" s="294" t="s">
        <v>2</v>
      </c>
      <c r="U44" s="263">
        <f>IF($C44="","",VLOOKUP($C44+$F$11*1000,DSS_Calc!$A:$JV,U$30,FALSE))</f>
        <v>0.39509975861845981</v>
      </c>
      <c r="V44" s="263">
        <f>IF($C44="","",VLOOKUP($C44+$F$11*1000,DSS_Calc!$A:$JV,V$30,FALSE))</f>
        <v>0.5415061864888665</v>
      </c>
      <c r="W44" s="263">
        <f>IF($C44="","",VLOOKUP($C44+$F$11*1000,DSS_Calc!$A:$JV,W$30,FALSE))</f>
        <v>6.3394054892673732E-2</v>
      </c>
      <c r="X44" s="294" t="s">
        <v>2</v>
      </c>
      <c r="Y44" s="262">
        <f>IF(U44=0,0,U44*Q44)</f>
        <v>414.85474654938281</v>
      </c>
      <c r="Z44" s="262">
        <f>IF(V44=0,0,V44*R44)</f>
        <v>1169.6909608030908</v>
      </c>
      <c r="AA44" s="262">
        <f>IF(W44=0,0,W44*S44)</f>
        <v>209.75295008591743</v>
      </c>
      <c r="AB44" s="294" t="s">
        <v>2</v>
      </c>
      <c r="AC44" s="262">
        <f>SUM(Y44:AA44)</f>
        <v>1794.298657438391</v>
      </c>
      <c r="AD44" s="264">
        <f>AC44*AE44/1000/1000</f>
        <v>1.4536630729333879</v>
      </c>
      <c r="AE44" s="265">
        <f>IF($C44="","",VLOOKUP($C44+$F$11*1000,DSS_Calc!$A:$JV,AE$30,FALSE))</f>
        <v>810.15669654944327</v>
      </c>
      <c r="AF44" s="264">
        <f>IF($C44="","",VLOOKUP($C44+$F$11*1000,DSS_Calc!$A:$JV,AF$30,FALSE))</f>
        <v>3.4036314012287989</v>
      </c>
      <c r="AG44" s="263"/>
      <c r="AH44" s="263"/>
      <c r="AI44" s="300"/>
      <c r="AJ44" s="289" t="s">
        <v>2</v>
      </c>
      <c r="AK44" s="758" t="str">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F: -250 CC, -360 Lease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f>AI45/((Q45*U44+R45*V44+S45*W44)/(VLOOKUP($C44+$F$11*1000,DSS_Calc!$A:$JV,DSS_Calc!BX$92,FALSE)-$AC$33))</f>
        <v>2.5568673413682594</v>
      </c>
      <c r="B45" s="402"/>
      <c r="C45" s="564">
        <f>AI45/(AC45/(VLOOKUP($C44+$F$11*1000,DSS_Calc!$A:$JV,DSS_Calc!BX$92,FALSE)-$AC$33))</f>
        <v>2.4947760539770809</v>
      </c>
      <c r="D45" s="266" t="s">
        <v>141</v>
      </c>
      <c r="F45" s="267">
        <f>ROUND(F44-F$33,0)</f>
        <v>-250</v>
      </c>
      <c r="G45" s="267"/>
      <c r="H45" s="267"/>
      <c r="I45" s="267">
        <f t="shared" ref="I45:O45" si="12">ROUND(I44-I$33,0)</f>
        <v>0</v>
      </c>
      <c r="J45" s="267">
        <f t="shared" si="12"/>
        <v>-360</v>
      </c>
      <c r="K45" s="267">
        <f t="shared" si="12"/>
        <v>0</v>
      </c>
      <c r="L45" s="267">
        <f t="shared" si="12"/>
        <v>0</v>
      </c>
      <c r="M45" s="267">
        <f t="shared" si="12"/>
        <v>0</v>
      </c>
      <c r="N45" s="267">
        <f t="shared" si="12"/>
        <v>0</v>
      </c>
      <c r="O45" s="267">
        <f t="shared" si="12"/>
        <v>0</v>
      </c>
      <c r="P45" s="294"/>
      <c r="Q45" s="267">
        <f t="shared" ref="Q45:S45" si="13">Q44-Q$33</f>
        <v>-250</v>
      </c>
      <c r="R45" s="267">
        <f t="shared" si="13"/>
        <v>5.5059017495295848E-3</v>
      </c>
      <c r="S45" s="267">
        <f t="shared" si="13"/>
        <v>-360</v>
      </c>
      <c r="T45" s="294"/>
      <c r="U45" s="268">
        <f>U44-U$33</f>
        <v>-1.0698638089744195E-2</v>
      </c>
      <c r="V45" s="268">
        <f>V44-V$33</f>
        <v>1.8803753824680247E-2</v>
      </c>
      <c r="W45" s="268">
        <f>W44-W$33</f>
        <v>-8.105115734935997E-3</v>
      </c>
      <c r="X45" s="294"/>
      <c r="Y45" s="267">
        <f>Y44-Y$33</f>
        <v>-112.68316917128237</v>
      </c>
      <c r="Z45" s="267">
        <f>Z44-Z$33</f>
        <v>40.620291796283709</v>
      </c>
      <c r="AA45" s="267">
        <f>AA44-AA$33</f>
        <v>-52.557230909876779</v>
      </c>
      <c r="AB45" s="294"/>
      <c r="AC45" s="267">
        <f>IFERROR(AC44-AC$33,NA())</f>
        <v>-124.62010828487541</v>
      </c>
      <c r="AD45" s="269">
        <f>AD44-AD$33</f>
        <v>-0.12818382464408828</v>
      </c>
      <c r="AE45" s="270">
        <f t="shared" si="3"/>
        <v>-14.186118703216266</v>
      </c>
      <c r="AF45" s="269">
        <f t="shared" si="3"/>
        <v>4.3130949958954723E-2</v>
      </c>
      <c r="AG45" s="268">
        <f>AF45/AF$33</f>
        <v>1.2834680603199049E-2</v>
      </c>
      <c r="AH45" s="268"/>
      <c r="AI45" s="301">
        <f>IFERROR(AE45/$AE$33,NA())</f>
        <v>-1.7209003876461574E-2</v>
      </c>
      <c r="AJ45" s="289"/>
      <c r="AK45" s="751"/>
      <c r="AL45" s="750">
        <f>$AE44*U44-$AE$33*U$33</f>
        <v>-14.424277517642622</v>
      </c>
      <c r="AM45" s="750">
        <f>$AE44*V44-$AE$33*V$33</f>
        <v>7.818868325097867</v>
      </c>
      <c r="AN45" s="750">
        <f>$AE44*W44-$AE$33*W$33</f>
        <v>-7.5807095106714399</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v>76</v>
      </c>
      <c r="D46" s="396" t="str">
        <f>"Scenario " &amp; A46</f>
        <v>Scenario G</v>
      </c>
      <c r="E46" s="272" t="s">
        <v>2</v>
      </c>
      <c r="F46" s="397">
        <f>IF($C46="","",VLOOKUP($C46+$F$11*1000,DSS_Calc!$A:$JV,F$30,FALSE))</f>
        <v>1277.4263093788063</v>
      </c>
      <c r="G46" s="397" t="str">
        <f>IF($C46="","",VLOOKUP($C46+$F$11*1000,DSS_Calc!$A:$JV,G$30,FALSE))</f>
        <v>0/0.9/1.9/3.9</v>
      </c>
      <c r="H46" s="397">
        <f>IF($C46="","",VLOOKUP($C46+$F$11*1000,DSS_Calc!$A:$JV,H$30,FALSE))</f>
        <v>0</v>
      </c>
      <c r="I46" s="397">
        <f>IF($C46="","",VLOOKUP($C46+$F$11*1000,DSS_Calc!$A:$JV,I$30,FALSE))</f>
        <v>0</v>
      </c>
      <c r="J46" s="397">
        <f>IF($C46="","",VLOOKUP($C46+$F$11*1000,DSS_Calc!$A:$JV,J$30,FALSE))</f>
        <v>2587</v>
      </c>
      <c r="K46" s="397">
        <f>IF($C46="","",VLOOKUP($C46+$F$11*1000,DSS_Calc!$A:$JV,K$30,FALSE))</f>
        <v>-1000</v>
      </c>
      <c r="L46" s="397">
        <f>IF($C46="","",VLOOKUP($C46+$F$11*1000,DSS_Calc!$A:$JV,L$30,FALSE))</f>
        <v>-500</v>
      </c>
      <c r="M46" s="397">
        <f>IF($C46="","",VLOOKUP($C46+$F$11*1000,DSS_Calc!$A:$JV,M$30,FALSE))</f>
        <v>0</v>
      </c>
      <c r="N46" s="397">
        <f>IF($C46="","",VLOOKUP($C46+$F$11*1000,DSS_Calc!$A:$JV,N$30,FALSE))</f>
        <v>0</v>
      </c>
      <c r="O46" s="397">
        <f>IF($C46="","",VLOOKUP($C46+$F$11*1000,DSS_Calc!$A:$JV,O$30,FALSE))</f>
        <v>0</v>
      </c>
      <c r="P46" s="294" t="s">
        <v>2</v>
      </c>
      <c r="Q46" s="397">
        <f>IF($C46="","",VLOOKUP($C46+$F$11*1000,DSS_Calc!$A:$JV,Q$30,FALSE)*IF(U46=0,0,1))</f>
        <v>1030</v>
      </c>
      <c r="R46" s="397">
        <f>IF($C46="","",VLOOKUP($C46+$F$11*1000,DSS_Calc!$A:$JV,R$30,FALSE)*IF(V46=0,0,1))</f>
        <v>1890.0502070253547</v>
      </c>
      <c r="S46" s="397">
        <f>IF($C46="","",VLOOKUP($C46+$F$11*1000,DSS_Calc!$A:$JV,S$30,FALSE)*IF(W46=0,0,1))</f>
        <v>3533.7164157747857</v>
      </c>
      <c r="T46" s="294" t="s">
        <v>2</v>
      </c>
      <c r="U46" s="398">
        <f>IF($C46="","",VLOOKUP($C46+$F$11*1000,DSS_Calc!$A:$JV,U$30,FALSE))</f>
        <v>0.40417356367765883</v>
      </c>
      <c r="V46" s="398">
        <f>IF($C46="","",VLOOKUP($C46+$F$11*1000,DSS_Calc!$A:$JV,V$30,FALSE))</f>
        <v>0.52089127083781617</v>
      </c>
      <c r="W46" s="398">
        <f>IF($C46="","",VLOOKUP($C46+$F$11*1000,DSS_Calc!$A:$JV,W$30,FALSE))</f>
        <v>7.493516548452514E-2</v>
      </c>
      <c r="X46" s="294" t="s">
        <v>2</v>
      </c>
      <c r="Y46" s="397">
        <f>IF(U46=0,0,U46*Q46)</f>
        <v>416.2987705879886</v>
      </c>
      <c r="Z46" s="397">
        <f>IF(V46=0,0,V46*R46)</f>
        <v>984.51065428471452</v>
      </c>
      <c r="AA46" s="397">
        <f>IF(W46=0,0,W46*S46)</f>
        <v>264.79962439146664</v>
      </c>
      <c r="AB46" s="294" t="s">
        <v>2</v>
      </c>
      <c r="AC46" s="397">
        <f>SUM(Y46:AA46)</f>
        <v>1665.6090492641697</v>
      </c>
      <c r="AD46" s="399">
        <f>AC46*AE46/1000/1000</f>
        <v>1.3235843545186334</v>
      </c>
      <c r="AE46" s="400">
        <f>IF($C46="","",VLOOKUP($C46+$F$11*1000,DSS_Calc!$A:$JV,AE$30,FALSE))</f>
        <v>794.65487720744841</v>
      </c>
      <c r="AF46" s="399">
        <f>IF($C46="","",VLOOKUP($C46+$F$11*1000,DSS_Calc!$A:$JV,AF$30,FALSE))</f>
        <v>3.4407689617786232</v>
      </c>
      <c r="AG46" s="398"/>
      <c r="AH46" s="398"/>
      <c r="AI46" s="401"/>
      <c r="AJ46" s="289" t="s">
        <v>2</v>
      </c>
      <c r="AK46" s="758" t="str">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G: -1000 Event RBC, -500 Event Lease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f>AI47/((Q47*U46+R47*V46+S47*W46)/(VLOOKUP($C46+$F$11*1000,DSS_Calc!$A:$JV,DSS_Calc!BX$92,FALSE)-$AC$33))</f>
        <v>2.5034854135659508</v>
      </c>
      <c r="B47" s="402"/>
      <c r="C47" s="564">
        <f>AI47/(AC47/(VLOOKUP($C46+$F$11*1000,DSS_Calc!$A:$JV,DSS_Calc!BX$92,FALSE)-$AC$33))</f>
        <v>2.5685279020624585</v>
      </c>
      <c r="D47" s="403" t="s">
        <v>141</v>
      </c>
      <c r="F47" s="404">
        <f>ROUND(F46-F$33,0)</f>
        <v>0</v>
      </c>
      <c r="G47" s="404"/>
      <c r="H47" s="404"/>
      <c r="I47" s="404">
        <f t="shared" ref="I47:O47" si="14">ROUND(I46-I$33,0)</f>
        <v>0</v>
      </c>
      <c r="J47" s="404">
        <f t="shared" si="14"/>
        <v>0</v>
      </c>
      <c r="K47" s="404">
        <f t="shared" si="14"/>
        <v>-1000</v>
      </c>
      <c r="L47" s="404">
        <f t="shared" si="14"/>
        <v>-500</v>
      </c>
      <c r="M47" s="404">
        <f t="shared" si="14"/>
        <v>0</v>
      </c>
      <c r="N47" s="404">
        <f t="shared" si="14"/>
        <v>0</v>
      </c>
      <c r="O47" s="404">
        <f t="shared" si="14"/>
        <v>0</v>
      </c>
      <c r="P47" s="294"/>
      <c r="Q47" s="404">
        <f t="shared" ref="Q47:S47" si="15">Q46-Q$33</f>
        <v>-270</v>
      </c>
      <c r="R47" s="404">
        <f t="shared" si="15"/>
        <v>-270.01371931222593</v>
      </c>
      <c r="S47" s="404">
        <f t="shared" si="15"/>
        <v>-135</v>
      </c>
      <c r="T47" s="294"/>
      <c r="U47" s="405">
        <f>U46-U$33</f>
        <v>-1.6248330305451697E-3</v>
      </c>
      <c r="V47" s="405">
        <f>V46-V$33</f>
        <v>-1.811161826370089E-3</v>
      </c>
      <c r="W47" s="405">
        <f>W46-W$33</f>
        <v>3.4359948569154114E-3</v>
      </c>
      <c r="X47" s="294"/>
      <c r="Y47" s="404">
        <f>Y46-Y$33</f>
        <v>-111.23914513267658</v>
      </c>
      <c r="Z47" s="404">
        <f>Z46-Z$33</f>
        <v>-144.56001472209255</v>
      </c>
      <c r="AA47" s="404">
        <f>AA46-AA$33</f>
        <v>2.4894433956724242</v>
      </c>
      <c r="AB47" s="294"/>
      <c r="AC47" s="404">
        <f>IFERROR(AC46-AC$33,NA())</f>
        <v>-253.30971645909676</v>
      </c>
      <c r="AD47" s="406">
        <f>AD46-AD$33</f>
        <v>-0.25826254305884278</v>
      </c>
      <c r="AE47" s="407">
        <f t="shared" si="3"/>
        <v>-29.687938045211126</v>
      </c>
      <c r="AF47" s="406">
        <f t="shared" si="3"/>
        <v>8.0268510508779034E-2</v>
      </c>
      <c r="AG47" s="405">
        <f>AF47/AF$33</f>
        <v>2.3885879996965242E-2</v>
      </c>
      <c r="AH47" s="405"/>
      <c r="AI47" s="408">
        <f>IFERROR(AE47/$AE$33,NA())</f>
        <v>-3.6014067807592684E-2</v>
      </c>
      <c r="AJ47" s="289"/>
      <c r="AK47" s="751"/>
      <c r="AL47" s="750">
        <f>$AE46*U46-$AE$33*U$33</f>
        <v>-13.338499152689621</v>
      </c>
      <c r="AM47" s="750">
        <f>$AE46*V46-$AE$33*V$33</f>
        <v>-16.957206015752433</v>
      </c>
      <c r="AN47" s="750">
        <f>$AE46*W46-$AE$33*W$33</f>
        <v>0.60776712323108484</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v>80</v>
      </c>
      <c r="D48" s="261" t="str">
        <f>"Scenario " &amp; A48</f>
        <v>Scenario H</v>
      </c>
      <c r="E48" s="272" t="s">
        <v>2</v>
      </c>
      <c r="F48" s="262">
        <f>IF($C48="","",VLOOKUP($C48+$F$11*1000,DSS_Calc!$A:$JV,F$30,FALSE))</f>
        <v>1277.4263093788063</v>
      </c>
      <c r="G48" s="262" t="str">
        <f>IF($C48="","",VLOOKUP($C48+$F$11*1000,DSS_Calc!$A:$JV,G$30,FALSE))</f>
        <v>0.9/1.9/2.9/3.9</v>
      </c>
      <c r="H48" s="262">
        <f>IF($C48="","",VLOOKUP($C48+$F$11*1000,DSS_Calc!$A:$JV,H$30,FALSE))</f>
        <v>0</v>
      </c>
      <c r="I48" s="262">
        <f>IF($C48="","",VLOOKUP($C48+$F$11*1000,DSS_Calc!$A:$JV,I$30,FALSE))</f>
        <v>0</v>
      </c>
      <c r="J48" s="262">
        <f>IF($C48="","",VLOOKUP($C48+$F$11*1000,DSS_Calc!$A:$JV,J$30,FALSE))</f>
        <v>2227</v>
      </c>
      <c r="K48" s="262">
        <f>IF($C48="","",VLOOKUP($C48+$F$11*1000,DSS_Calc!$A:$JV,K$30,FALSE))</f>
        <v>0</v>
      </c>
      <c r="L48" s="262">
        <f>IF($C48="","",VLOOKUP($C48+$F$11*1000,DSS_Calc!$A:$JV,L$30,FALSE))</f>
        <v>0</v>
      </c>
      <c r="M48" s="262">
        <f>IF($C48="","",VLOOKUP($C48+$F$11*1000,DSS_Calc!$A:$JV,M$30,FALSE))</f>
        <v>0</v>
      </c>
      <c r="N48" s="262">
        <f>IF($C48="","",VLOOKUP($C48+$F$11*1000,DSS_Calc!$A:$JV,N$30,FALSE))</f>
        <v>0</v>
      </c>
      <c r="O48" s="262">
        <f>IF($C48="","",VLOOKUP($C48+$F$11*1000,DSS_Calc!$A:$JV,O$30,FALSE))</f>
        <v>0</v>
      </c>
      <c r="P48" s="294" t="s">
        <v>2</v>
      </c>
      <c r="Q48" s="262">
        <f>IF($C48="","",VLOOKUP($C48+$F$11*1000,DSS_Calc!$A:$JV,Q$30,FALSE)*IF(U48=0,0,1))</f>
        <v>1300</v>
      </c>
      <c r="R48" s="262">
        <f>IF($C48="","",VLOOKUP($C48+$F$11*1000,DSS_Calc!$A:$JV,R$30,FALSE)*IF(V48=0,0,1))</f>
        <v>1775.8705365690234</v>
      </c>
      <c r="S48" s="262">
        <f>IF($C48="","",VLOOKUP($C48+$F$11*1000,DSS_Calc!$A:$JV,S$30,FALSE)*IF(W48=0,0,1))</f>
        <v>3308.7164157747857</v>
      </c>
      <c r="T48" s="294" t="s">
        <v>2</v>
      </c>
      <c r="U48" s="263">
        <f>IF($C48="","",VLOOKUP($C48+$F$11*1000,DSS_Calc!$A:$JV,U$30,FALSE))</f>
        <v>0.44406970292809589</v>
      </c>
      <c r="V48" s="263">
        <f>IF($C48="","",VLOOKUP($C48+$F$11*1000,DSS_Calc!$A:$JV,V$30,FALSE))</f>
        <v>0.49511570356253826</v>
      </c>
      <c r="W48" s="263">
        <f>IF($C48="","",VLOOKUP($C48+$F$11*1000,DSS_Calc!$A:$JV,W$30,FALSE))</f>
        <v>6.0814593509365869E-2</v>
      </c>
      <c r="X48" s="294" t="s">
        <v>2</v>
      </c>
      <c r="Y48" s="262">
        <f>IF(U48=0,0,U48*Q48)</f>
        <v>577.29061380652468</v>
      </c>
      <c r="Z48" s="262">
        <f>IF(V48=0,0,V48*R48)</f>
        <v>879.26139014935438</v>
      </c>
      <c r="AA48" s="262">
        <f>IF(W48=0,0,W48*S48)</f>
        <v>201.21824386310959</v>
      </c>
      <c r="AB48" s="294" t="s">
        <v>2</v>
      </c>
      <c r="AC48" s="262">
        <f>SUM(Y48:AA48)</f>
        <v>1657.7702478189888</v>
      </c>
      <c r="AD48" s="264">
        <f>AC48*AE48/1000/1000</f>
        <v>1.3148450826468498</v>
      </c>
      <c r="AE48" s="265">
        <f>IF($C48="","",VLOOKUP($C48+$F$11*1000,DSS_Calc!$A:$JV,AE$30,FALSE))</f>
        <v>793.14071680119662</v>
      </c>
      <c r="AF48" s="264">
        <f>IF($C48="","",VLOOKUP($C48+$F$11*1000,DSS_Calc!$A:$JV,AF$30,FALSE))</f>
        <v>3.4404300849347247</v>
      </c>
      <c r="AG48" s="263"/>
      <c r="AH48" s="263"/>
      <c r="AI48" s="300"/>
      <c r="AJ48" s="289" t="s">
        <v>2</v>
      </c>
      <c r="AK48" s="758" t="str">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H: 0.9/1.9/2.9/3.9, -360 Lease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f>AI49/((Q49*U48+R49*V48+S49*W48)/(VLOOKUP($C48+$F$11*1000,DSS_Calc!$A:$JV,DSS_Calc!BX$92,FALSE)-$AC$33))</f>
        <v>3.2238270067145409</v>
      </c>
      <c r="B49" s="402"/>
      <c r="C49" s="564">
        <f>AI49/(AC49/(VLOOKUP($C48+$F$11*1000,DSS_Calc!$A:$JV,DSS_Calc!BX$92,FALSE)-$AC$33))</f>
        <v>2.618498557693806</v>
      </c>
      <c r="D49" s="266" t="s">
        <v>141</v>
      </c>
      <c r="F49" s="267">
        <f>ROUND(F48-F$33,0)</f>
        <v>0</v>
      </c>
      <c r="G49" s="267"/>
      <c r="H49" s="267"/>
      <c r="I49" s="267">
        <f t="shared" ref="I49:O49" si="16">ROUND(I48-I$33,0)</f>
        <v>0</v>
      </c>
      <c r="J49" s="267">
        <f t="shared" si="16"/>
        <v>-360</v>
      </c>
      <c r="K49" s="267">
        <f t="shared" si="16"/>
        <v>0</v>
      </c>
      <c r="L49" s="267">
        <f t="shared" si="16"/>
        <v>0</v>
      </c>
      <c r="M49" s="267">
        <f t="shared" si="16"/>
        <v>0</v>
      </c>
      <c r="N49" s="267">
        <f t="shared" si="16"/>
        <v>0</v>
      </c>
      <c r="O49" s="267">
        <f t="shared" si="16"/>
        <v>0</v>
      </c>
      <c r="P49" s="294"/>
      <c r="Q49" s="267">
        <f t="shared" ref="Q49:S49" si="17">Q48-Q$33</f>
        <v>0</v>
      </c>
      <c r="R49" s="267">
        <f t="shared" si="17"/>
        <v>-384.19338976855715</v>
      </c>
      <c r="S49" s="267">
        <f t="shared" si="17"/>
        <v>-360</v>
      </c>
      <c r="T49" s="294"/>
      <c r="U49" s="268">
        <f>U48-U$33</f>
        <v>3.8271306219891887E-2</v>
      </c>
      <c r="V49" s="268">
        <f>V48-V$33</f>
        <v>-2.7586729101648E-2</v>
      </c>
      <c r="W49" s="268">
        <f>W48-W$33</f>
        <v>-1.068457711824386E-2</v>
      </c>
      <c r="X49" s="294"/>
      <c r="Y49" s="267">
        <f>Y48-Y$33</f>
        <v>49.752698085859492</v>
      </c>
      <c r="Z49" s="267">
        <f>Z48-Z$33</f>
        <v>-249.80927885745268</v>
      </c>
      <c r="AA49" s="267">
        <f>AA48-AA$33</f>
        <v>-61.09193713268462</v>
      </c>
      <c r="AB49" s="294"/>
      <c r="AC49" s="267">
        <f>IFERROR(AC48-AC$33,NA())</f>
        <v>-261.1485179042777</v>
      </c>
      <c r="AD49" s="269">
        <f>AD48-AD$33</f>
        <v>-0.26700181493062636</v>
      </c>
      <c r="AE49" s="270">
        <f t="shared" si="3"/>
        <v>-31.202098451462916</v>
      </c>
      <c r="AF49" s="269">
        <f t="shared" si="3"/>
        <v>7.9929633664880484E-2</v>
      </c>
      <c r="AG49" s="268">
        <f>AF49/AF$33</f>
        <v>2.3785038813096182E-2</v>
      </c>
      <c r="AH49" s="268"/>
      <c r="AI49" s="301">
        <f>IFERROR(AE49/$AE$33,NA())</f>
        <v>-3.7850876933887674E-2</v>
      </c>
      <c r="AJ49" s="289"/>
      <c r="AK49" s="751"/>
      <c r="AL49" s="750">
        <f>$AE48*U48-$AE$33*U$33</f>
        <v>17.692769722627986</v>
      </c>
      <c r="AM49" s="750">
        <f>$AE48*V48-$AE$33*V$33</f>
        <v>-38.189570858688626</v>
      </c>
      <c r="AN49" s="750">
        <f>$AE48*W48-$AE$33*W$33</f>
        <v>-10.70529731540222</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v>79</v>
      </c>
      <c r="D50" s="396" t="str">
        <f>"Scenario " &amp; A50</f>
        <v>Scenario I</v>
      </c>
      <c r="E50" s="272" t="s">
        <v>2</v>
      </c>
      <c r="F50" s="397">
        <f>IF($C50="","",VLOOKUP($C50+$F$11*1000,DSS_Calc!$A:$JV,F$30,FALSE))</f>
        <v>1277.4263093788063</v>
      </c>
      <c r="G50" s="397" t="str">
        <f>IF($C50="","",VLOOKUP($C50+$F$11*1000,DSS_Calc!$A:$JV,G$30,FALSE))</f>
        <v>0.9/1.9/2.9/3.9</v>
      </c>
      <c r="H50" s="397">
        <f>IF($C50="","",VLOOKUP($C50+$F$11*1000,DSS_Calc!$A:$JV,H$30,FALSE))</f>
        <v>0</v>
      </c>
      <c r="I50" s="397">
        <f>IF($C50="","",VLOOKUP($C50+$F$11*1000,DSS_Calc!$A:$JV,I$30,FALSE))</f>
        <v>0</v>
      </c>
      <c r="J50" s="397">
        <f>IF($C50="","",VLOOKUP($C50+$F$11*1000,DSS_Calc!$A:$JV,J$30,FALSE))</f>
        <v>2227</v>
      </c>
      <c r="K50" s="397">
        <f>IF($C50="","",VLOOKUP($C50+$F$11*1000,DSS_Calc!$A:$JV,K$30,FALSE))</f>
        <v>0</v>
      </c>
      <c r="L50" s="397">
        <f>IF($C50="","",VLOOKUP($C50+$F$11*1000,DSS_Calc!$A:$JV,L$30,FALSE))</f>
        <v>0</v>
      </c>
      <c r="M50" s="397">
        <f>IF($C50="","",VLOOKUP($C50+$F$11*1000,DSS_Calc!$A:$JV,M$30,FALSE))</f>
        <v>0</v>
      </c>
      <c r="N50" s="397">
        <f>IF($C50="","",VLOOKUP($C50+$F$11*1000,DSS_Calc!$A:$JV,N$30,FALSE))</f>
        <v>0</v>
      </c>
      <c r="O50" s="397">
        <f>IF($C50="","",VLOOKUP($C50+$F$11*1000,DSS_Calc!$A:$JV,O$30,FALSE))</f>
        <v>0</v>
      </c>
      <c r="P50" s="294" t="s">
        <v>2</v>
      </c>
      <c r="Q50" s="397">
        <f>IF($C50="","",VLOOKUP($C50+$F$11*1000,DSS_Calc!$A:$JV,Q$30,FALSE)*IF(U50=0,0,1))</f>
        <v>1300</v>
      </c>
      <c r="R50" s="397">
        <f>IF($C50="","",VLOOKUP($C50+$F$11*1000,DSS_Calc!$A:$JV,R$30,FALSE)*IF(V50=0,0,1))</f>
        <v>1775.8705365690234</v>
      </c>
      <c r="S50" s="397">
        <f>IF($C50="","",VLOOKUP($C50+$F$11*1000,DSS_Calc!$A:$JV,S$30,FALSE)*IF(W50=0,0,1))</f>
        <v>3308.7164157747857</v>
      </c>
      <c r="T50" s="294" t="s">
        <v>2</v>
      </c>
      <c r="U50" s="398">
        <f>IF($C50="","",VLOOKUP($C50+$F$11*1000,DSS_Calc!$A:$JV,U$30,FALSE))</f>
        <v>0.44406970292809589</v>
      </c>
      <c r="V50" s="398">
        <f>IF($C50="","",VLOOKUP($C50+$F$11*1000,DSS_Calc!$A:$JV,V$30,FALSE))</f>
        <v>0.49511570356253826</v>
      </c>
      <c r="W50" s="398">
        <f>IF($C50="","",VLOOKUP($C50+$F$11*1000,DSS_Calc!$A:$JV,W$30,FALSE))</f>
        <v>6.0814593509365869E-2</v>
      </c>
      <c r="X50" s="294" t="s">
        <v>2</v>
      </c>
      <c r="Y50" s="397">
        <f>IF(U50=0,0,U50*Q50)</f>
        <v>577.29061380652468</v>
      </c>
      <c r="Z50" s="397">
        <f>IF(V50=0,0,V50*R50)</f>
        <v>879.26139014935438</v>
      </c>
      <c r="AA50" s="397">
        <f>IF(W50=0,0,W50*S50)</f>
        <v>201.21824386310959</v>
      </c>
      <c r="AB50" s="294" t="s">
        <v>2</v>
      </c>
      <c r="AC50" s="397">
        <f>SUM(Y50:AA50)</f>
        <v>1657.7702478189888</v>
      </c>
      <c r="AD50" s="399">
        <f>AC50*AE50/1000/1000</f>
        <v>1.3148450826468498</v>
      </c>
      <c r="AE50" s="400">
        <f>IF($C50="","",VLOOKUP($C50+$F$11*1000,DSS_Calc!$A:$JV,AE$30,FALSE))</f>
        <v>793.14071680119662</v>
      </c>
      <c r="AF50" s="399">
        <f>IF($C50="","",VLOOKUP($C50+$F$11*1000,DSS_Calc!$A:$JV,AF$30,FALSE))</f>
        <v>3.4404300849347247</v>
      </c>
      <c r="AG50" s="398"/>
      <c r="AH50" s="398"/>
      <c r="AI50" s="401"/>
      <c r="AJ50" s="289" t="s">
        <v>2</v>
      </c>
      <c r="AK50" s="758" t="str">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I: 0.9/1.9/2.9/3.9, -360 Lease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f>AI51/((Q51*U50+R51*V50+S51*W50)/(VLOOKUP($C50+$F$11*1000,DSS_Calc!$A:$JV,DSS_Calc!BX$92,FALSE)-$AC$33))</f>
        <v>3.2238270067145409</v>
      </c>
      <c r="B51" s="402"/>
      <c r="C51" s="564">
        <f>AI51/(AC51/(VLOOKUP($C50+$F$11*1000,DSS_Calc!$A:$JV,DSS_Calc!BX$92,FALSE)-$AC$33))</f>
        <v>2.618498557693806</v>
      </c>
      <c r="D51" s="403" t="s">
        <v>141</v>
      </c>
      <c r="F51" s="404">
        <f>ROUND(F50-F$33,0)</f>
        <v>0</v>
      </c>
      <c r="G51" s="404"/>
      <c r="H51" s="404"/>
      <c r="I51" s="404">
        <f t="shared" ref="I51:O51" si="18">ROUND(I50-I$33,0)</f>
        <v>0</v>
      </c>
      <c r="J51" s="404">
        <f t="shared" si="18"/>
        <v>-360</v>
      </c>
      <c r="K51" s="404">
        <f t="shared" si="18"/>
        <v>0</v>
      </c>
      <c r="L51" s="404">
        <f t="shared" si="18"/>
        <v>0</v>
      </c>
      <c r="M51" s="404">
        <f t="shared" si="18"/>
        <v>0</v>
      </c>
      <c r="N51" s="404">
        <f t="shared" si="18"/>
        <v>0</v>
      </c>
      <c r="O51" s="404">
        <f t="shared" si="18"/>
        <v>0</v>
      </c>
      <c r="P51" s="294"/>
      <c r="Q51" s="404">
        <f t="shared" ref="Q51:S51" si="19">Q50-Q$33</f>
        <v>0</v>
      </c>
      <c r="R51" s="404">
        <f t="shared" si="19"/>
        <v>-384.19338976855715</v>
      </c>
      <c r="S51" s="404">
        <f t="shared" si="19"/>
        <v>-360</v>
      </c>
      <c r="T51" s="294"/>
      <c r="U51" s="405">
        <f>U50-U$33</f>
        <v>3.8271306219891887E-2</v>
      </c>
      <c r="V51" s="405">
        <f>V50-V$33</f>
        <v>-2.7586729101648E-2</v>
      </c>
      <c r="W51" s="405">
        <f>W50-W$33</f>
        <v>-1.068457711824386E-2</v>
      </c>
      <c r="X51" s="294"/>
      <c r="Y51" s="404">
        <f>Y50-Y$33</f>
        <v>49.752698085859492</v>
      </c>
      <c r="Z51" s="404">
        <f>Z50-Z$33</f>
        <v>-249.80927885745268</v>
      </c>
      <c r="AA51" s="404">
        <f>AA50-AA$33</f>
        <v>-61.09193713268462</v>
      </c>
      <c r="AB51" s="294"/>
      <c r="AC51" s="404">
        <f>IFERROR(AC50-AC$33,NA())</f>
        <v>-261.1485179042777</v>
      </c>
      <c r="AD51" s="406">
        <f>AD50-AD$33</f>
        <v>-0.26700181493062636</v>
      </c>
      <c r="AE51" s="407">
        <f t="shared" ref="AE51:AF61" si="20">AE50-AE$33</f>
        <v>-31.202098451462916</v>
      </c>
      <c r="AF51" s="406">
        <f t="shared" si="20"/>
        <v>7.9929633664880484E-2</v>
      </c>
      <c r="AG51" s="405">
        <f>AF51/AF$33</f>
        <v>2.3785038813096182E-2</v>
      </c>
      <c r="AH51" s="405"/>
      <c r="AI51" s="408">
        <f>IFERROR(AE51/$AE$33,NA())</f>
        <v>-3.7850876933887674E-2</v>
      </c>
      <c r="AJ51" s="289"/>
      <c r="AK51" s="749"/>
      <c r="AL51" s="750">
        <f>$AE50*U50-$AE$33*U$33</f>
        <v>17.692769722627986</v>
      </c>
      <c r="AM51" s="750">
        <f>$AE50*V50-$AE$33*V$33</f>
        <v>-38.189570858688626</v>
      </c>
      <c r="AN51" s="750">
        <f>$AE50*W50-$AE$33*W$33</f>
        <v>-10.70529731540222</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v>78</v>
      </c>
      <c r="D52" s="261" t="str">
        <f>"Scenario " &amp; A52</f>
        <v>Scenario J</v>
      </c>
      <c r="E52" s="272" t="s">
        <v>2</v>
      </c>
      <c r="F52" s="262">
        <f>IF($C52="","",VLOOKUP($C52+$F$11*1000,DSS_Calc!$A:$JV,F$30,FALSE))</f>
        <v>777.42630937880631</v>
      </c>
      <c r="G52" s="262" t="str">
        <f>IF($C52="","",VLOOKUP($C52+$F$11*1000,DSS_Calc!$A:$JV,G$30,FALSE))</f>
        <v>0/0.9/1.9/3.9</v>
      </c>
      <c r="H52" s="262">
        <f>IF($C52="","",VLOOKUP($C52+$F$11*1000,DSS_Calc!$A:$JV,H$30,FALSE))</f>
        <v>0</v>
      </c>
      <c r="I52" s="262">
        <f>IF($C52="","",VLOOKUP($C52+$F$11*1000,DSS_Calc!$A:$JV,I$30,FALSE))</f>
        <v>0</v>
      </c>
      <c r="J52" s="262">
        <f>IF($C52="","",VLOOKUP($C52+$F$11*1000,DSS_Calc!$A:$JV,J$30,FALSE))</f>
        <v>2227</v>
      </c>
      <c r="K52" s="262">
        <f>IF($C52="","",VLOOKUP($C52+$F$11*1000,DSS_Calc!$A:$JV,K$30,FALSE))</f>
        <v>0</v>
      </c>
      <c r="L52" s="262">
        <f>IF($C52="","",VLOOKUP($C52+$F$11*1000,DSS_Calc!$A:$JV,L$30,FALSE))</f>
        <v>0</v>
      </c>
      <c r="M52" s="262">
        <f>IF($C52="","",VLOOKUP($C52+$F$11*1000,DSS_Calc!$A:$JV,M$30,FALSE))</f>
        <v>0</v>
      </c>
      <c r="N52" s="262">
        <f>IF($C52="","",VLOOKUP($C52+$F$11*1000,DSS_Calc!$A:$JV,N$30,FALSE))</f>
        <v>0</v>
      </c>
      <c r="O52" s="262">
        <f>IF($C52="","",VLOOKUP($C52+$F$11*1000,DSS_Calc!$A:$JV,O$30,FALSE))</f>
        <v>0</v>
      </c>
      <c r="P52" s="294" t="s">
        <v>2</v>
      </c>
      <c r="Q52" s="262">
        <f>IF($C52="","",VLOOKUP($C52+$F$11*1000,DSS_Calc!$A:$JV,Q$30,FALSE)*IF(U52=0,0,1))</f>
        <v>800.00000000000011</v>
      </c>
      <c r="R52" s="262">
        <f>IF($C52="","",VLOOKUP($C52+$F$11*1000,DSS_Calc!$A:$JV,R$30,FALSE)*IF(V52=0,0,1))</f>
        <v>2160.0524850910679</v>
      </c>
      <c r="S52" s="262">
        <f>IF($C52="","",VLOOKUP($C52+$F$11*1000,DSS_Calc!$A:$JV,S$30,FALSE)*IF(W52=0,0,1))</f>
        <v>3308.7164157747857</v>
      </c>
      <c r="T52" s="294" t="s">
        <v>2</v>
      </c>
      <c r="U52" s="263">
        <f>IF($C52="","",VLOOKUP($C52+$F$11*1000,DSS_Calc!$A:$JV,U$30,FALSE))</f>
        <v>0.37379210925110767</v>
      </c>
      <c r="V52" s="263">
        <f>IF($C52="","",VLOOKUP($C52+$F$11*1000,DSS_Calc!$A:$JV,V$30,FALSE))</f>
        <v>0.55690197955171261</v>
      </c>
      <c r="W52" s="263">
        <f>IF($C52="","",VLOOKUP($C52+$F$11*1000,DSS_Calc!$A:$JV,W$30,FALSE))</f>
        <v>6.9305911197179715E-2</v>
      </c>
      <c r="X52" s="294" t="s">
        <v>2</v>
      </c>
      <c r="Y52" s="262">
        <f>IF(U52=0,0,U52*Q52)</f>
        <v>299.03368740088621</v>
      </c>
      <c r="Z52" s="262">
        <f>IF(V52=0,0,V52*R52)</f>
        <v>1202.9375048828119</v>
      </c>
      <c r="AA52" s="262">
        <f>IF(W52=0,0,W52*S52)</f>
        <v>229.31360608833805</v>
      </c>
      <c r="AB52" s="294" t="s">
        <v>2</v>
      </c>
      <c r="AC52" s="262">
        <f>SUM(Y52:AA52)</f>
        <v>1731.2847983720362</v>
      </c>
      <c r="AD52" s="264">
        <f>AC52*AE52/1000/1000</f>
        <v>1.3877730467952647</v>
      </c>
      <c r="AE52" s="265">
        <f>IF($C52="","",VLOOKUP($C52+$F$11*1000,DSS_Calc!$A:$JV,AE$30,FALSE))</f>
        <v>801.58564789583841</v>
      </c>
      <c r="AF52" s="264">
        <f>IF($C52="","",VLOOKUP($C52+$F$11*1000,DSS_Calc!$A:$JV,AF$30,FALSE))</f>
        <v>3.4181337051642342</v>
      </c>
      <c r="AG52" s="263"/>
      <c r="AH52" s="263"/>
      <c r="AI52" s="300"/>
      <c r="AJ52" s="289" t="s">
        <v>2</v>
      </c>
      <c r="AK52" s="758" t="str">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J: -500 CC, -360 Lease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f>AI53/((Q53*U52+R53*V52+S53*W52)/(VLOOKUP($C52+$F$11*1000,DSS_Calc!$A:$JV,DSS_Calc!BX$92,FALSE)-$AC$33))</f>
        <v>2.3541850654378731</v>
      </c>
      <c r="B53" s="402"/>
      <c r="C53" s="564">
        <f>AI53/(AC53/(VLOOKUP($C52+$F$11*1000,DSS_Calc!$A:$JV,DSS_Calc!BX$92,FALSE)-$AC$33))</f>
        <v>2.65804814805412</v>
      </c>
      <c r="D53" s="266" t="s">
        <v>141</v>
      </c>
      <c r="F53" s="267">
        <f>ROUND(F52-F$33,0)</f>
        <v>-500</v>
      </c>
      <c r="G53" s="267"/>
      <c r="H53" s="267"/>
      <c r="I53" s="267">
        <f t="shared" ref="I53:O53" si="21">ROUND(I52-I$33,0)</f>
        <v>0</v>
      </c>
      <c r="J53" s="267">
        <f t="shared" si="21"/>
        <v>-360</v>
      </c>
      <c r="K53" s="267">
        <f t="shared" si="21"/>
        <v>0</v>
      </c>
      <c r="L53" s="267">
        <f t="shared" si="21"/>
        <v>0</v>
      </c>
      <c r="M53" s="267">
        <f t="shared" si="21"/>
        <v>0</v>
      </c>
      <c r="N53" s="267">
        <f t="shared" si="21"/>
        <v>0</v>
      </c>
      <c r="O53" s="267">
        <f t="shared" si="21"/>
        <v>0</v>
      </c>
      <c r="P53" s="294"/>
      <c r="Q53" s="267">
        <f t="shared" ref="Q53:S53" si="22">Q52-Q$33</f>
        <v>-499.99999999999989</v>
      </c>
      <c r="R53" s="267">
        <f t="shared" si="22"/>
        <v>-1.1441246512731595E-2</v>
      </c>
      <c r="S53" s="267">
        <f t="shared" si="22"/>
        <v>-360</v>
      </c>
      <c r="T53" s="294"/>
      <c r="U53" s="268">
        <f>U52-U$33</f>
        <v>-3.2006287457096327E-2</v>
      </c>
      <c r="V53" s="268">
        <f>V52-V$33</f>
        <v>3.4199546887526355E-2</v>
      </c>
      <c r="W53" s="268">
        <f>W52-W$33</f>
        <v>-2.193259430430014E-3</v>
      </c>
      <c r="X53" s="294"/>
      <c r="Y53" s="267">
        <f>Y52-Y$33</f>
        <v>-228.50422831977897</v>
      </c>
      <c r="Z53" s="267">
        <f>Z52-Z$33</f>
        <v>73.86683587600487</v>
      </c>
      <c r="AA53" s="267">
        <f>AA52-AA$33</f>
        <v>-32.996574907456164</v>
      </c>
      <c r="AB53" s="294"/>
      <c r="AC53" s="267">
        <f>IFERROR(AC52-AC$33,NA())</f>
        <v>-187.63396735123024</v>
      </c>
      <c r="AD53" s="269">
        <f>AD52-AD$33</f>
        <v>-0.19407385078221151</v>
      </c>
      <c r="AE53" s="270">
        <f t="shared" si="20"/>
        <v>-22.757167356821128</v>
      </c>
      <c r="AF53" s="269">
        <f t="shared" si="20"/>
        <v>5.7633253894390002E-2</v>
      </c>
      <c r="AG53" s="268">
        <f>AF53/AF$33</f>
        <v>1.7150199718798408E-2</v>
      </c>
      <c r="AH53" s="268"/>
      <c r="AI53" s="301">
        <f>IFERROR(AE53/$AE$33,NA())</f>
        <v>-2.7606436225014103E-2</v>
      </c>
      <c r="AJ53" s="289"/>
      <c r="AK53" s="749"/>
      <c r="AL53" s="750">
        <f>$AE52*U52-$AE$33*U$33</f>
        <v>-34.890602695055293</v>
      </c>
      <c r="AM53" s="750">
        <f>$AE52*V52-$AE$33*V$33</f>
        <v>15.518639211625498</v>
      </c>
      <c r="AN53" s="750">
        <f>$AE52*W52-$AE$33*W$33</f>
        <v>-3.385203873391319</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v>86</v>
      </c>
      <c r="D54" s="396" t="str">
        <f>"Scenario " &amp; A54</f>
        <v>Scenario K</v>
      </c>
      <c r="E54" s="272" t="s">
        <v>2</v>
      </c>
      <c r="F54" s="397">
        <f>IF($C54="","",VLOOKUP($C54+$F$11*1000,DSS_Calc!$A:$JV,F$30,FALSE))</f>
        <v>1027.4263093788063</v>
      </c>
      <c r="G54" s="397" t="str">
        <f>IF($C54="","",VLOOKUP($C54+$F$11*1000,DSS_Calc!$A:$JV,G$30,FALSE))</f>
        <v>0/0/0.9/3.9</v>
      </c>
      <c r="H54" s="397">
        <f>IF($C54="","",VLOOKUP($C54+$F$11*1000,DSS_Calc!$A:$JV,H$30,FALSE))</f>
        <v>0</v>
      </c>
      <c r="I54" s="397">
        <f>IF($C54="","",VLOOKUP($C54+$F$11*1000,DSS_Calc!$A:$JV,I$30,FALSE))</f>
        <v>0</v>
      </c>
      <c r="J54" s="397">
        <f>IF($C54="","",VLOOKUP($C54+$F$11*1000,DSS_Calc!$A:$JV,J$30,FALSE))</f>
        <v>2587</v>
      </c>
      <c r="K54" s="397">
        <f>IF($C54="","",VLOOKUP($C54+$F$11*1000,DSS_Calc!$A:$JV,K$30,FALSE))</f>
        <v>0</v>
      </c>
      <c r="L54" s="397">
        <f>IF($C54="","",VLOOKUP($C54+$F$11*1000,DSS_Calc!$A:$JV,L$30,FALSE))</f>
        <v>0</v>
      </c>
      <c r="M54" s="397">
        <f>IF($C54="","",VLOOKUP($C54+$F$11*1000,DSS_Calc!$A:$JV,M$30,FALSE))</f>
        <v>0</v>
      </c>
      <c r="N54" s="397">
        <f>IF($C54="","",VLOOKUP($C54+$F$11*1000,DSS_Calc!$A:$JV,N$30,FALSE))</f>
        <v>0</v>
      </c>
      <c r="O54" s="397">
        <f>IF($C54="","",VLOOKUP($C54+$F$11*1000,DSS_Calc!$A:$JV,O$30,FALSE))</f>
        <v>0</v>
      </c>
      <c r="P54" s="294" t="s">
        <v>2</v>
      </c>
      <c r="Q54" s="397">
        <f>IF($C54="","",VLOOKUP($C54+$F$11*1000,DSS_Calc!$A:$JV,Q$30,FALSE)*IF(U54=0,0,1))</f>
        <v>1050</v>
      </c>
      <c r="R54" s="397">
        <f>IF($C54="","",VLOOKUP($C54+$F$11*1000,DSS_Calc!$A:$JV,R$30,FALSE)*IF(V54=0,0,1))</f>
        <v>2470.7330283260608</v>
      </c>
      <c r="S54" s="397">
        <f>IF($C54="","",VLOOKUP($C54+$F$11*1000,DSS_Calc!$A:$JV,S$30,FALSE)*IF(W54=0,0,1))</f>
        <v>3668.7164157747857</v>
      </c>
      <c r="T54" s="294" t="s">
        <v>2</v>
      </c>
      <c r="U54" s="398">
        <f>IF($C54="","",VLOOKUP($C54+$F$11*1000,DSS_Calc!$A:$JV,U$30,FALSE))</f>
        <v>0.36002830510332806</v>
      </c>
      <c r="V54" s="398">
        <f>IF($C54="","",VLOOKUP($C54+$F$11*1000,DSS_Calc!$A:$JV,V$30,FALSE))</f>
        <v>0.5653207754456484</v>
      </c>
      <c r="W54" s="398">
        <f>IF($C54="","",VLOOKUP($C54+$F$11*1000,DSS_Calc!$A:$JV,W$30,FALSE))</f>
        <v>7.4650919451023534E-2</v>
      </c>
      <c r="X54" s="294" t="s">
        <v>2</v>
      </c>
      <c r="Y54" s="397">
        <f>IF(U54=0,0,U54*Q54)</f>
        <v>378.02972035849444</v>
      </c>
      <c r="Z54" s="397">
        <f>IF(V54=0,0,V54*R54)</f>
        <v>1396.7567114924639</v>
      </c>
      <c r="AA54" s="397">
        <f>IF(W54=0,0,W54*S54)</f>
        <v>273.87305364265131</v>
      </c>
      <c r="AB54" s="294" t="s">
        <v>2</v>
      </c>
      <c r="AC54" s="397">
        <f>SUM(Y54:AA54)</f>
        <v>2048.6594854936097</v>
      </c>
      <c r="AD54" s="399">
        <f>AC54*AE54/1000/1000</f>
        <v>1.7156868577865565</v>
      </c>
      <c r="AE54" s="400">
        <f>IF($C54="","",VLOOKUP($C54+$F$11*1000,DSS_Calc!$A:$JV,AE$30,FALSE))</f>
        <v>837.46804675701105</v>
      </c>
      <c r="AF54" s="399">
        <f>IF($C54="","",VLOOKUP($C54+$F$11*1000,DSS_Calc!$A:$JV,AF$30,FALSE))</f>
        <v>3.3053528165451032</v>
      </c>
      <c r="AG54" s="398"/>
      <c r="AH54" s="398"/>
      <c r="AI54" s="401"/>
      <c r="AJ54" s="289" t="s">
        <v>2</v>
      </c>
      <c r="AK54" s="758" t="str">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K: -250 CC, 0/0/0.9/3.9</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f>AI55/((Q55*U54+R55*V54+S55*W54)/(VLOOKUP($C54+$F$11*1000,DSS_Calc!$A:$JV,DSS_Calc!BX$92,FALSE)-$AC$33))</f>
        <v>3.3595777676890024</v>
      </c>
      <c r="B55" s="402"/>
      <c r="C55" s="564">
        <f>AI55/(AC55/(VLOOKUP($C54+$F$11*1000,DSS_Calc!$A:$JV,DSS_Calc!BX$92,FALSE)-$AC$33))</f>
        <v>2.2171076013025734</v>
      </c>
      <c r="D55" s="403" t="s">
        <v>141</v>
      </c>
      <c r="F55" s="404">
        <f>ROUND(F54-F$33,0)</f>
        <v>-250</v>
      </c>
      <c r="G55" s="404"/>
      <c r="H55" s="404"/>
      <c r="I55" s="404">
        <f t="shared" ref="I55:O55" si="23">ROUND(I54-I$33,0)</f>
        <v>0</v>
      </c>
      <c r="J55" s="404">
        <f t="shared" si="23"/>
        <v>0</v>
      </c>
      <c r="K55" s="404">
        <f t="shared" si="23"/>
        <v>0</v>
      </c>
      <c r="L55" s="404">
        <f t="shared" si="23"/>
        <v>0</v>
      </c>
      <c r="M55" s="404">
        <f t="shared" si="23"/>
        <v>0</v>
      </c>
      <c r="N55" s="404">
        <f t="shared" si="23"/>
        <v>0</v>
      </c>
      <c r="O55" s="404">
        <f t="shared" si="23"/>
        <v>0</v>
      </c>
      <c r="P55" s="294"/>
      <c r="Q55" s="404">
        <f t="shared" ref="Q55:S55" si="24">Q54-Q$33</f>
        <v>-250</v>
      </c>
      <c r="R55" s="404">
        <f t="shared" si="24"/>
        <v>310.66910198848018</v>
      </c>
      <c r="S55" s="404">
        <f t="shared" si="24"/>
        <v>0</v>
      </c>
      <c r="T55" s="294"/>
      <c r="U55" s="405">
        <f>U54-U$33</f>
        <v>-4.577009160487594E-2</v>
      </c>
      <c r="V55" s="405">
        <f>V54-V$33</f>
        <v>4.2618342781462148E-2</v>
      </c>
      <c r="W55" s="405">
        <f>W54-W$33</f>
        <v>3.1517488234138052E-3</v>
      </c>
      <c r="X55" s="294"/>
      <c r="Y55" s="404">
        <f>Y54-Y$33</f>
        <v>-149.50819536217074</v>
      </c>
      <c r="Z55" s="404">
        <f>Z54-Z$33</f>
        <v>267.6860424856568</v>
      </c>
      <c r="AA55" s="404">
        <f>AA54-AA$33</f>
        <v>11.562872646857102</v>
      </c>
      <c r="AB55" s="294"/>
      <c r="AC55" s="404">
        <f>IFERROR(AC54-AC$33,NA())</f>
        <v>129.74071977034328</v>
      </c>
      <c r="AD55" s="406">
        <f>AD54-AD$33</f>
        <v>0.13383996020908029</v>
      </c>
      <c r="AE55" s="407">
        <f t="shared" si="20"/>
        <v>13.125231504351518</v>
      </c>
      <c r="AF55" s="406">
        <f t="shared" si="20"/>
        <v>-5.5147634724741046E-2</v>
      </c>
      <c r="AG55" s="405">
        <f>AF55/AF$33</f>
        <v>-1.6410542276196455E-2</v>
      </c>
      <c r="AH55" s="405"/>
      <c r="AI55" s="408">
        <f>IFERROR(AE55/$AE$33,NA())</f>
        <v>1.5922054831434006E-2</v>
      </c>
      <c r="AJ55" s="289"/>
      <c r="AK55" s="749"/>
      <c r="AL55" s="750">
        <f>$AE54*U54-$AE$33*U$33</f>
        <v>-33.004791315335069</v>
      </c>
      <c r="AM55" s="750">
        <f>$AE54*V54-$AE$33*V$33</f>
        <v>42.552090721817024</v>
      </c>
      <c r="AN55" s="750">
        <f>$AE54*W54-$AE$33*W$33</f>
        <v>3.5779320978695779</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v>59</v>
      </c>
      <c r="D56" s="261" t="str">
        <f>"Scenario " &amp; A56</f>
        <v>Scenario L</v>
      </c>
      <c r="E56" s="272" t="s">
        <v>2</v>
      </c>
      <c r="F56" s="262">
        <f>IF($C56="","",VLOOKUP($C56+$F$11*1000,DSS_Calc!$A:$JV,F$30,FALSE))</f>
        <v>1527.4263093788063</v>
      </c>
      <c r="G56" s="262" t="str">
        <f>IF($C56="","",VLOOKUP($C56+$F$11*1000,DSS_Calc!$A:$JV,G$30,FALSE))</f>
        <v>0/0/0.9/3.9</v>
      </c>
      <c r="H56" s="262">
        <f>IF($C56="","",VLOOKUP($C56+$F$11*1000,DSS_Calc!$A:$JV,H$30,FALSE))</f>
        <v>0</v>
      </c>
      <c r="I56" s="262">
        <f>IF($C56="","",VLOOKUP($C56+$F$11*1000,DSS_Calc!$A:$JV,I$30,FALSE))</f>
        <v>0</v>
      </c>
      <c r="J56" s="262">
        <f>IF($C56="","",VLOOKUP($C56+$F$11*1000,DSS_Calc!$A:$JV,J$30,FALSE))</f>
        <v>2227</v>
      </c>
      <c r="K56" s="262">
        <f>IF($C56="","",VLOOKUP($C56+$F$11*1000,DSS_Calc!$A:$JV,K$30,FALSE))</f>
        <v>0</v>
      </c>
      <c r="L56" s="262">
        <f>IF($C56="","",VLOOKUP($C56+$F$11*1000,DSS_Calc!$A:$JV,L$30,FALSE))</f>
        <v>0</v>
      </c>
      <c r="M56" s="262">
        <f>IF($C56="","",VLOOKUP($C56+$F$11*1000,DSS_Calc!$A:$JV,M$30,FALSE))</f>
        <v>0</v>
      </c>
      <c r="N56" s="262">
        <f>IF($C56="","",VLOOKUP($C56+$F$11*1000,DSS_Calc!$A:$JV,N$30,FALSE))</f>
        <v>0</v>
      </c>
      <c r="O56" s="262">
        <f>IF($C56="","",VLOOKUP($C56+$F$11*1000,DSS_Calc!$A:$JV,O$30,FALSE))</f>
        <v>0</v>
      </c>
      <c r="P56" s="294" t="s">
        <v>2</v>
      </c>
      <c r="Q56" s="262">
        <f>IF($C56="","",VLOOKUP($C56+$F$11*1000,DSS_Calc!$A:$JV,Q$30,FALSE)*IF(U56=0,0,1))</f>
        <v>1550</v>
      </c>
      <c r="R56" s="262">
        <f>IF($C56="","",VLOOKUP($C56+$F$11*1000,DSS_Calc!$A:$JV,R$30,FALSE)*IF(V56=0,0,1))</f>
        <v>2470.6883843766345</v>
      </c>
      <c r="S56" s="262">
        <f>IF($C56="","",VLOOKUP($C56+$F$11*1000,DSS_Calc!$A:$JV,S$30,FALSE)*IF(W56=0,0,1))</f>
        <v>3308.7164157747857</v>
      </c>
      <c r="T56" s="294" t="s">
        <v>2</v>
      </c>
      <c r="U56" s="263">
        <f>IF($C56="","",VLOOKUP($C56+$F$11*1000,DSS_Calc!$A:$JV,U$30,FALSE))</f>
        <v>0.41187768599414737</v>
      </c>
      <c r="V56" s="263">
        <f>IF($C56="","",VLOOKUP($C56+$F$11*1000,DSS_Calc!$A:$JV,V$30,FALSE))</f>
        <v>0.53707702700099391</v>
      </c>
      <c r="W56" s="263">
        <f>IF($C56="","",VLOOKUP($C56+$F$11*1000,DSS_Calc!$A:$JV,W$30,FALSE))</f>
        <v>5.104528700485865E-2</v>
      </c>
      <c r="X56" s="294" t="s">
        <v>2</v>
      </c>
      <c r="Y56" s="262">
        <f>IF(U56=0,0,U56*Q56)</f>
        <v>638.41041329092843</v>
      </c>
      <c r="Z56" s="262">
        <f>IF(V56=0,0,V56*R56)</f>
        <v>1326.9499721268917</v>
      </c>
      <c r="AA56" s="262">
        <f>IF(W56=0,0,W56*S56)</f>
        <v>168.89437906091115</v>
      </c>
      <c r="AB56" s="294" t="s">
        <v>2</v>
      </c>
      <c r="AC56" s="262">
        <f>SUM(Y56:AA56)</f>
        <v>2134.254764478731</v>
      </c>
      <c r="AD56" s="264">
        <f>AC56*AE56/1000/1000</f>
        <v>1.818297896283591</v>
      </c>
      <c r="AE56" s="265">
        <f>IF($C56="","",VLOOKUP($C56+$F$11*1000,DSS_Calc!$A:$JV,AE$30,FALSE))</f>
        <v>851.95915995890527</v>
      </c>
      <c r="AF56" s="264">
        <f>IF($C56="","",VLOOKUP($C56+$F$11*1000,DSS_Calc!$A:$JV,AF$30,FALSE))</f>
        <v>3.2896232472500255</v>
      </c>
      <c r="AG56" s="263"/>
      <c r="AH56" s="263"/>
      <c r="AI56" s="300"/>
      <c r="AJ56" s="289" t="s">
        <v>2</v>
      </c>
      <c r="AK56" s="758" t="str">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L: +250 CC, 0/0/0.9/3.9, -360 Lease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f>AI57/((Q57*U56+R57*V56+S57*W56)/(VLOOKUP($C56+$F$11*1000,DSS_Calc!$A:$JV,DSS_Calc!BX$92,FALSE)-$AC$33))</f>
        <v>2.407234315743358</v>
      </c>
      <c r="B57" s="402"/>
      <c r="C57" s="564">
        <f>AI57/(AC57/(VLOOKUP($C56+$F$11*1000,DSS_Calc!$A:$JV,DSS_Calc!BX$92,FALSE)-$AC$33))</f>
        <v>2.8106428142245634</v>
      </c>
      <c r="D57" s="266" t="s">
        <v>141</v>
      </c>
      <c r="F57" s="267">
        <f>ROUND(F56-F$33,0)</f>
        <v>250</v>
      </c>
      <c r="G57" s="267"/>
      <c r="H57" s="267"/>
      <c r="I57" s="267">
        <f t="shared" ref="I57:O57" si="25">ROUND(I56-I$33,0)</f>
        <v>0</v>
      </c>
      <c r="J57" s="267">
        <f t="shared" si="25"/>
        <v>-360</v>
      </c>
      <c r="K57" s="267">
        <f t="shared" si="25"/>
        <v>0</v>
      </c>
      <c r="L57" s="267">
        <f t="shared" si="25"/>
        <v>0</v>
      </c>
      <c r="M57" s="267">
        <f t="shared" si="25"/>
        <v>0</v>
      </c>
      <c r="N57" s="267">
        <f t="shared" si="25"/>
        <v>0</v>
      </c>
      <c r="O57" s="267">
        <f t="shared" si="25"/>
        <v>0</v>
      </c>
      <c r="P57" s="294"/>
      <c r="Q57" s="267">
        <f t="shared" ref="Q57:S57" si="26">Q56-Q$33</f>
        <v>250</v>
      </c>
      <c r="R57" s="267">
        <f t="shared" si="26"/>
        <v>310.62445803905393</v>
      </c>
      <c r="S57" s="267">
        <f t="shared" si="26"/>
        <v>-360</v>
      </c>
      <c r="T57" s="294"/>
      <c r="U57" s="268">
        <f>U56-U$33</f>
        <v>6.0792892859433678E-3</v>
      </c>
      <c r="V57" s="268">
        <f>V56-V$33</f>
        <v>1.4374594336807656E-2</v>
      </c>
      <c r="W57" s="268">
        <f>W56-W$33</f>
        <v>-2.0453883622751079E-2</v>
      </c>
      <c r="X57" s="294"/>
      <c r="Y57" s="267">
        <f>Y56-Y$33</f>
        <v>110.87249757026325</v>
      </c>
      <c r="Z57" s="267">
        <f>Z56-Z$33</f>
        <v>197.87930312008461</v>
      </c>
      <c r="AA57" s="267">
        <f>AA56-AA$33</f>
        <v>-93.415801934883063</v>
      </c>
      <c r="AB57" s="294"/>
      <c r="AC57" s="267">
        <f>IFERROR(AC56-AC$33,NA())</f>
        <v>215.33599875546452</v>
      </c>
      <c r="AD57" s="269">
        <f>AD56-AD$33</f>
        <v>0.23645099870611475</v>
      </c>
      <c r="AE57" s="270">
        <f t="shared" si="20"/>
        <v>27.616344706245741</v>
      </c>
      <c r="AF57" s="269">
        <f t="shared" si="20"/>
        <v>-7.0877204019818674E-2</v>
      </c>
      <c r="AG57" s="268">
        <f>AF57/AF$33</f>
        <v>-2.1091264544552003E-2</v>
      </c>
      <c r="AH57" s="268"/>
      <c r="AI57" s="301">
        <f>IFERROR(AE57/$AE$33,NA())</f>
        <v>3.3501043734797863E-2</v>
      </c>
      <c r="AJ57" s="289"/>
      <c r="AK57" s="749"/>
      <c r="AL57" s="750">
        <f>$AE56*U56-$AE$33*U$33</f>
        <v>16.385974597935103</v>
      </c>
      <c r="AM57" s="750">
        <f>$AE56*V56-$AE$33*V$33</f>
        <v>26.681697875184057</v>
      </c>
      <c r="AN57" s="750">
        <f>$AE56*W56-$AE$33*W$33</f>
        <v>-15.451327766873469</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v>83</v>
      </c>
      <c r="D58" s="396" t="str">
        <f>"Scenario " &amp; A58</f>
        <v>Scenario M</v>
      </c>
      <c r="E58" s="272" t="s">
        <v>2</v>
      </c>
      <c r="F58" s="397">
        <f>IF($C58="","",VLOOKUP($C58+$F$11*1000,DSS_Calc!$A:$JV,F$30,FALSE))</f>
        <v>1527.4263093788063</v>
      </c>
      <c r="G58" s="397" t="str">
        <f>IF($C58="","",VLOOKUP($C58+$F$11*1000,DSS_Calc!$A:$JV,G$30,FALSE))</f>
        <v>0.9/1.9/2.9/3.9</v>
      </c>
      <c r="H58" s="397">
        <f>IF($C58="","",VLOOKUP($C58+$F$11*1000,DSS_Calc!$A:$JV,H$30,FALSE))</f>
        <v>0</v>
      </c>
      <c r="I58" s="397">
        <f>IF($C58="","",VLOOKUP($C58+$F$11*1000,DSS_Calc!$A:$JV,I$30,FALSE))</f>
        <v>0</v>
      </c>
      <c r="J58" s="397">
        <f>IF($C58="","",VLOOKUP($C58+$F$11*1000,DSS_Calc!$A:$JV,J$30,FALSE))</f>
        <v>2227</v>
      </c>
      <c r="K58" s="397">
        <f>IF($C58="","",VLOOKUP($C58+$F$11*1000,DSS_Calc!$A:$JV,K$30,FALSE))</f>
        <v>0</v>
      </c>
      <c r="L58" s="397">
        <f>IF($C58="","",VLOOKUP($C58+$F$11*1000,DSS_Calc!$A:$JV,L$30,FALSE))</f>
        <v>0</v>
      </c>
      <c r="M58" s="397">
        <f>IF($C58="","",VLOOKUP($C58+$F$11*1000,DSS_Calc!$A:$JV,M$30,FALSE))</f>
        <v>0</v>
      </c>
      <c r="N58" s="397">
        <f>IF($C58="","",VLOOKUP($C58+$F$11*1000,DSS_Calc!$A:$JV,N$30,FALSE))</f>
        <v>0</v>
      </c>
      <c r="O58" s="397">
        <f>IF($C58="","",VLOOKUP($C58+$F$11*1000,DSS_Calc!$A:$JV,O$30,FALSE))</f>
        <v>0</v>
      </c>
      <c r="P58" s="294" t="s">
        <v>2</v>
      </c>
      <c r="Q58" s="397">
        <f>IF($C58="","",VLOOKUP($C58+$F$11*1000,DSS_Calc!$A:$JV,Q$30,FALSE)*IF(U58=0,0,1))</f>
        <v>1550.0000000000002</v>
      </c>
      <c r="R58" s="397">
        <f>IF($C58="","",VLOOKUP($C58+$F$11*1000,DSS_Calc!$A:$JV,R$30,FALSE)*IF(V58=0,0,1))</f>
        <v>1775.8814702694449</v>
      </c>
      <c r="S58" s="397">
        <f>IF($C58="","",VLOOKUP($C58+$F$11*1000,DSS_Calc!$A:$JV,S$30,FALSE)*IF(W58=0,0,1))</f>
        <v>3308.7164157747857</v>
      </c>
      <c r="T58" s="294" t="s">
        <v>2</v>
      </c>
      <c r="U58" s="398">
        <f>IF($C58="","",VLOOKUP($C58+$F$11*1000,DSS_Calc!$A:$JV,U$30,FALSE))</f>
        <v>0.46285017116064114</v>
      </c>
      <c r="V58" s="398">
        <f>IF($C58="","",VLOOKUP($C58+$F$11*1000,DSS_Calc!$A:$JV,V$30,FALSE))</f>
        <v>0.48171159409327702</v>
      </c>
      <c r="W58" s="398">
        <f>IF($C58="","",VLOOKUP($C58+$F$11*1000,DSS_Calc!$A:$JV,W$30,FALSE))</f>
        <v>5.5438234746081907E-2</v>
      </c>
      <c r="X58" s="294" t="s">
        <v>2</v>
      </c>
      <c r="Y58" s="397">
        <f>IF(U58=0,0,U58*Q58)</f>
        <v>717.41776529899391</v>
      </c>
      <c r="Z58" s="397">
        <f>IF(V58=0,0,V58*R58)</f>
        <v>855.46269396420689</v>
      </c>
      <c r="AA58" s="397">
        <f>IF(W58=0,0,W58*S58)</f>
        <v>183.42939736593732</v>
      </c>
      <c r="AB58" s="294" t="s">
        <v>2</v>
      </c>
      <c r="AC58" s="397">
        <f>SUM(Y58:AA58)</f>
        <v>1756.3098566291383</v>
      </c>
      <c r="AD58" s="399">
        <f>AC58*AE58/1000/1000</f>
        <v>1.4120858872290216</v>
      </c>
      <c r="AE58" s="400">
        <f>IF($C58="","",VLOOKUP($C58+$F$11*1000,DSS_Calc!$A:$JV,AE$30,FALSE))</f>
        <v>804.00726665579327</v>
      </c>
      <c r="AF58" s="399">
        <f>IF($C58="","",VLOOKUP($C58+$F$11*1000,DSS_Calc!$A:$JV,AF$30,FALSE))</f>
        <v>3.408339680005787</v>
      </c>
      <c r="AG58" s="398"/>
      <c r="AH58" s="398"/>
      <c r="AI58" s="401"/>
      <c r="AJ58" s="289" t="s">
        <v>2</v>
      </c>
      <c r="AK58" s="758" t="str">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M: +250 CC, 0.9/1.9/2.9/3.9, -360 Lease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f>AI59/((Q59*U58+R59*V58+S59*W58)/(VLOOKUP($C58+$F$11*1000,DSS_Calc!$A:$JV,DSS_Calc!BX$92,FALSE)-$AC$33))</f>
        <v>4.9901101251635991</v>
      </c>
      <c r="B59" s="402"/>
      <c r="C59" s="564">
        <f>AI59/(AC59/(VLOOKUP($C58+$F$11*1000,DSS_Calc!$A:$JV,DSS_Calc!BX$92,FALSE)-$AC$33))</f>
        <v>2.7407388649194537</v>
      </c>
      <c r="D59" s="403" t="s">
        <v>141</v>
      </c>
      <c r="F59" s="404">
        <f>ROUND(F58-F$33,0)</f>
        <v>250</v>
      </c>
      <c r="G59" s="404"/>
      <c r="H59" s="404"/>
      <c r="I59" s="404">
        <f t="shared" ref="I59:O59" si="27">ROUND(I58-I$33,0)</f>
        <v>0</v>
      </c>
      <c r="J59" s="404">
        <f t="shared" si="27"/>
        <v>-360</v>
      </c>
      <c r="K59" s="404">
        <f t="shared" si="27"/>
        <v>0</v>
      </c>
      <c r="L59" s="404">
        <f t="shared" si="27"/>
        <v>0</v>
      </c>
      <c r="M59" s="404">
        <f t="shared" si="27"/>
        <v>0</v>
      </c>
      <c r="N59" s="404">
        <f t="shared" si="27"/>
        <v>0</v>
      </c>
      <c r="O59" s="404">
        <f t="shared" si="27"/>
        <v>0</v>
      </c>
      <c r="P59" s="294"/>
      <c r="Q59" s="404">
        <f t="shared" ref="Q59:S59" si="28">Q58-Q$33</f>
        <v>250.00000000000023</v>
      </c>
      <c r="R59" s="404">
        <f t="shared" si="28"/>
        <v>-384.18245606813571</v>
      </c>
      <c r="S59" s="404">
        <f t="shared" si="28"/>
        <v>-360</v>
      </c>
      <c r="T59" s="294"/>
      <c r="U59" s="405">
        <f>U58-U$33</f>
        <v>5.7051774452437143E-2</v>
      </c>
      <c r="V59" s="405">
        <f>V58-V$33</f>
        <v>-4.0990838570909238E-2</v>
      </c>
      <c r="W59" s="405">
        <f>W58-W$33</f>
        <v>-1.6060935881527821E-2</v>
      </c>
      <c r="X59" s="294"/>
      <c r="Y59" s="404">
        <f>Y58-Y$33</f>
        <v>189.87984957832873</v>
      </c>
      <c r="Z59" s="404">
        <f>Z58-Z$33</f>
        <v>-273.60797504260017</v>
      </c>
      <c r="AA59" s="404">
        <f>AA58-AA$33</f>
        <v>-78.880783629856893</v>
      </c>
      <c r="AB59" s="294"/>
      <c r="AC59" s="404">
        <f>IFERROR(AC58-AC$33,NA())</f>
        <v>-162.60890909412819</v>
      </c>
      <c r="AD59" s="406">
        <f>AD58-AD$33</f>
        <v>-0.16976101034845459</v>
      </c>
      <c r="AE59" s="407">
        <f t="shared" si="20"/>
        <v>-20.335548596866261</v>
      </c>
      <c r="AF59" s="406">
        <f t="shared" si="20"/>
        <v>4.7839228735942818E-2</v>
      </c>
      <c r="AG59" s="405">
        <f>AF59/AF$33</f>
        <v>1.4235745368778523E-2</v>
      </c>
      <c r="AH59" s="405"/>
      <c r="AI59" s="408">
        <f>IFERROR(AE59/$AE$33,NA())</f>
        <v>-2.4668800674429912E-2</v>
      </c>
      <c r="AJ59" s="289"/>
      <c r="AK59" s="749"/>
      <c r="AL59" s="750">
        <f>$AE58*U58-$AE$33*U$33</f>
        <v>37.617908218576758</v>
      </c>
      <c r="AM59" s="750">
        <f>$AE58*V58-$AE$33*V$33</f>
        <v>-43.586372798468346</v>
      </c>
      <c r="AN59" s="750">
        <f>$AE58*W58-$AE$33*W$33</f>
        <v>-14.367084016974523</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58"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58"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58"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58"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58"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58"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22"/>
      <c r="AK72" s="112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487" priority="233">
      <formula>IF(F$29="NO",TRUE,FALSE)</formula>
    </cfRule>
  </conditionalFormatting>
  <conditionalFormatting sqref="G33">
    <cfRule type="expression" dxfId="486" priority="232">
      <formula>IF($G$29="NO",TRUE,FALSE)</formula>
    </cfRule>
  </conditionalFormatting>
  <conditionalFormatting sqref="H33">
    <cfRule type="expression" dxfId="485" priority="231">
      <formula>IF($H$29="NO",TRUE,FALSE)</formula>
    </cfRule>
  </conditionalFormatting>
  <conditionalFormatting sqref="G33:I33">
    <cfRule type="expression" dxfId="484" priority="230">
      <formula>IF(G$29="NO",TRUE,FALSE)</formula>
    </cfRule>
  </conditionalFormatting>
  <conditionalFormatting sqref="Y33:AA33">
    <cfRule type="expression" dxfId="483" priority="229">
      <formula>IF(Y$29="NO",TRUE,FALSE)</formula>
    </cfRule>
  </conditionalFormatting>
  <conditionalFormatting sqref="AC33">
    <cfRule type="expression" dxfId="482" priority="228">
      <formula>IF(AC$29="NO",TRUE,FALSE)</formula>
    </cfRule>
  </conditionalFormatting>
  <conditionalFormatting sqref="AD33">
    <cfRule type="expression" dxfId="481" priority="227">
      <formula>IF(AD$29="NO",TRUE,FALSE)</formula>
    </cfRule>
  </conditionalFormatting>
  <conditionalFormatting sqref="AE33">
    <cfRule type="expression" dxfId="480" priority="226">
      <formula>IF(AE$29="NO",TRUE,FALSE)</formula>
    </cfRule>
  </conditionalFormatting>
  <conditionalFormatting sqref="U36:W36">
    <cfRule type="expression" dxfId="479" priority="225">
      <formula>IF(XDI$29="NO",TRUE,FALSE)</formula>
    </cfRule>
  </conditionalFormatting>
  <conditionalFormatting sqref="AC48:AE48 AC52:AF52 AC56:AF56 AC60:AF60 AC64:AF64 AC36:AF36 AC40:AF40 AC44:AF44">
    <cfRule type="expression" dxfId="478" priority="224">
      <formula>IF(XDR$29="NO",TRUE,FALSE)</formula>
    </cfRule>
  </conditionalFormatting>
  <conditionalFormatting sqref="Q36:S36">
    <cfRule type="expression" dxfId="477" priority="223">
      <formula>IF(XDD$29="NO",TRUE,FALSE)</formula>
    </cfRule>
  </conditionalFormatting>
  <conditionalFormatting sqref="Y46:AA46">
    <cfRule type="expression" dxfId="476" priority="222">
      <formula>IF(XDN$29="NO",TRUE,FALSE)</formula>
    </cfRule>
  </conditionalFormatting>
  <conditionalFormatting sqref="AC46">
    <cfRule type="expression" dxfId="475" priority="221">
      <formula>IF(XDR$29="NO",TRUE,FALSE)</formula>
    </cfRule>
  </conditionalFormatting>
  <conditionalFormatting sqref="AD46">
    <cfRule type="expression" dxfId="474" priority="220">
      <formula>IF(XDS$29="NO",TRUE,FALSE)</formula>
    </cfRule>
  </conditionalFormatting>
  <conditionalFormatting sqref="AE46">
    <cfRule type="expression" dxfId="473" priority="219">
      <formula>IF(XDT$29="NO",TRUE,FALSE)</formula>
    </cfRule>
  </conditionalFormatting>
  <conditionalFormatting sqref="Y46:AA46">
    <cfRule type="expression" dxfId="472" priority="218">
      <formula>IF(XDN$29="NO",TRUE,FALSE)</formula>
    </cfRule>
  </conditionalFormatting>
  <conditionalFormatting sqref="AC46">
    <cfRule type="expression" dxfId="471" priority="217">
      <formula>IF(XDR$29="NO",TRUE,FALSE)</formula>
    </cfRule>
  </conditionalFormatting>
  <conditionalFormatting sqref="AD46">
    <cfRule type="expression" dxfId="470" priority="216">
      <formula>IF(XDS$29="NO",TRUE,FALSE)</formula>
    </cfRule>
  </conditionalFormatting>
  <conditionalFormatting sqref="AE46">
    <cfRule type="expression" dxfId="469" priority="215">
      <formula>IF(XDT$29="NO",TRUE,FALSE)</formula>
    </cfRule>
  </conditionalFormatting>
  <conditionalFormatting sqref="AE54">
    <cfRule type="expression" dxfId="468" priority="201">
      <formula>IF(XDT$29="NO",TRUE,FALSE)</formula>
    </cfRule>
  </conditionalFormatting>
  <conditionalFormatting sqref="Y48:AA48">
    <cfRule type="expression" dxfId="467" priority="214">
      <formula>IF(XDN$29="NO",TRUE,FALSE)</formula>
    </cfRule>
  </conditionalFormatting>
  <conditionalFormatting sqref="Y50:AA50">
    <cfRule type="expression" dxfId="466" priority="213">
      <formula>IF(XDN$29="NO",TRUE,FALSE)</formula>
    </cfRule>
  </conditionalFormatting>
  <conditionalFormatting sqref="AC50">
    <cfRule type="expression" dxfId="465" priority="212">
      <formula>IF(XDR$29="NO",TRUE,FALSE)</formula>
    </cfRule>
  </conditionalFormatting>
  <conditionalFormatting sqref="AD50">
    <cfRule type="expression" dxfId="464" priority="211">
      <formula>IF(XDS$29="NO",TRUE,FALSE)</formula>
    </cfRule>
  </conditionalFormatting>
  <conditionalFormatting sqref="AE50">
    <cfRule type="expression" dxfId="463" priority="210">
      <formula>IF(XDT$29="NO",TRUE,FALSE)</formula>
    </cfRule>
  </conditionalFormatting>
  <conditionalFormatting sqref="Y50:AA50">
    <cfRule type="expression" dxfId="462" priority="209">
      <formula>IF(XDN$29="NO",TRUE,FALSE)</formula>
    </cfRule>
  </conditionalFormatting>
  <conditionalFormatting sqref="AC50">
    <cfRule type="expression" dxfId="461" priority="208">
      <formula>IF(XDR$29="NO",TRUE,FALSE)</formula>
    </cfRule>
  </conditionalFormatting>
  <conditionalFormatting sqref="AD50">
    <cfRule type="expression" dxfId="460" priority="207">
      <formula>IF(XDS$29="NO",TRUE,FALSE)</formula>
    </cfRule>
  </conditionalFormatting>
  <conditionalFormatting sqref="AE50">
    <cfRule type="expression" dxfId="459" priority="206">
      <formula>IF(XDT$29="NO",TRUE,FALSE)</formula>
    </cfRule>
  </conditionalFormatting>
  <conditionalFormatting sqref="AE58">
    <cfRule type="expression" dxfId="458" priority="192">
      <formula>IF(XDT$29="NO",TRUE,FALSE)</formula>
    </cfRule>
  </conditionalFormatting>
  <conditionalFormatting sqref="Y52:AA52">
    <cfRule type="expression" dxfId="457" priority="205">
      <formula>IF(XDN$29="NO",TRUE,FALSE)</formula>
    </cfRule>
  </conditionalFormatting>
  <conditionalFormatting sqref="Y54:AA54">
    <cfRule type="expression" dxfId="456" priority="204">
      <formula>IF(XDN$29="NO",TRUE,FALSE)</formula>
    </cfRule>
  </conditionalFormatting>
  <conditionalFormatting sqref="AC54">
    <cfRule type="expression" dxfId="455" priority="203">
      <formula>IF(XDR$29="NO",TRUE,FALSE)</formula>
    </cfRule>
  </conditionalFormatting>
  <conditionalFormatting sqref="AD54">
    <cfRule type="expression" dxfId="454" priority="202">
      <formula>IF(XDS$29="NO",TRUE,FALSE)</formula>
    </cfRule>
  </conditionalFormatting>
  <conditionalFormatting sqref="Y54:AA54">
    <cfRule type="expression" dxfId="453" priority="200">
      <formula>IF(XDN$29="NO",TRUE,FALSE)</formula>
    </cfRule>
  </conditionalFormatting>
  <conditionalFormatting sqref="AC54">
    <cfRule type="expression" dxfId="452" priority="199">
      <formula>IF(XDR$29="NO",TRUE,FALSE)</formula>
    </cfRule>
  </conditionalFormatting>
  <conditionalFormatting sqref="AD54">
    <cfRule type="expression" dxfId="451" priority="198">
      <formula>IF(XDS$29="NO",TRUE,FALSE)</formula>
    </cfRule>
  </conditionalFormatting>
  <conditionalFormatting sqref="AE54">
    <cfRule type="expression" dxfId="450" priority="197">
      <formula>IF(XDT$29="NO",TRUE,FALSE)</formula>
    </cfRule>
  </conditionalFormatting>
  <conditionalFormatting sqref="AE62">
    <cfRule type="expression" dxfId="449" priority="183">
      <formula>IF(XDT$29="NO",TRUE,FALSE)</formula>
    </cfRule>
  </conditionalFormatting>
  <conditionalFormatting sqref="Y56:AA56">
    <cfRule type="expression" dxfId="448" priority="196">
      <formula>IF(XDN$29="NO",TRUE,FALSE)</formula>
    </cfRule>
  </conditionalFormatting>
  <conditionalFormatting sqref="Y58:AA58">
    <cfRule type="expression" dxfId="447" priority="195">
      <formula>IF(XDN$29="NO",TRUE,FALSE)</formula>
    </cfRule>
  </conditionalFormatting>
  <conditionalFormatting sqref="AC58">
    <cfRule type="expression" dxfId="446" priority="194">
      <formula>IF(XDR$29="NO",TRUE,FALSE)</formula>
    </cfRule>
  </conditionalFormatting>
  <conditionalFormatting sqref="AD58">
    <cfRule type="expression" dxfId="445" priority="193">
      <formula>IF(XDS$29="NO",TRUE,FALSE)</formula>
    </cfRule>
  </conditionalFormatting>
  <conditionalFormatting sqref="Y58:AA58">
    <cfRule type="expression" dxfId="444" priority="191">
      <formula>IF(XDN$29="NO",TRUE,FALSE)</formula>
    </cfRule>
  </conditionalFormatting>
  <conditionalFormatting sqref="AC58">
    <cfRule type="expression" dxfId="443" priority="190">
      <formula>IF(XDR$29="NO",TRUE,FALSE)</formula>
    </cfRule>
  </conditionalFormatting>
  <conditionalFormatting sqref="AD58">
    <cfRule type="expression" dxfId="442" priority="189">
      <formula>IF(XDS$29="NO",TRUE,FALSE)</formula>
    </cfRule>
  </conditionalFormatting>
  <conditionalFormatting sqref="AE58">
    <cfRule type="expression" dxfId="441" priority="188">
      <formula>IF(XDT$29="NO",TRUE,FALSE)</formula>
    </cfRule>
  </conditionalFormatting>
  <conditionalFormatting sqref="Y60:AA60">
    <cfRule type="expression" dxfId="440" priority="187">
      <formula>IF(XDN$29="NO",TRUE,FALSE)</formula>
    </cfRule>
  </conditionalFormatting>
  <conditionalFormatting sqref="Y62:AA62">
    <cfRule type="expression" dxfId="439" priority="186">
      <formula>IF(XDN$29="NO",TRUE,FALSE)</formula>
    </cfRule>
  </conditionalFormatting>
  <conditionalFormatting sqref="AC62">
    <cfRule type="expression" dxfId="438" priority="185">
      <formula>IF(XDR$29="NO",TRUE,FALSE)</formula>
    </cfRule>
  </conditionalFormatting>
  <conditionalFormatting sqref="AD62">
    <cfRule type="expression" dxfId="437" priority="184">
      <formula>IF(XDS$29="NO",TRUE,FALSE)</formula>
    </cfRule>
  </conditionalFormatting>
  <conditionalFormatting sqref="Y62:AA62">
    <cfRule type="expression" dxfId="436" priority="182">
      <formula>IF(XDN$29="NO",TRUE,FALSE)</formula>
    </cfRule>
  </conditionalFormatting>
  <conditionalFormatting sqref="AC62">
    <cfRule type="expression" dxfId="435" priority="181">
      <formula>IF(XDR$29="NO",TRUE,FALSE)</formula>
    </cfRule>
  </conditionalFormatting>
  <conditionalFormatting sqref="AD62">
    <cfRule type="expression" dxfId="434" priority="180">
      <formula>IF(XDS$29="NO",TRUE,FALSE)</formula>
    </cfRule>
  </conditionalFormatting>
  <conditionalFormatting sqref="AE62">
    <cfRule type="expression" dxfId="433" priority="179">
      <formula>IF(XDT$29="NO",TRUE,FALSE)</formula>
    </cfRule>
  </conditionalFormatting>
  <conditionalFormatting sqref="Y64:AA64">
    <cfRule type="expression" dxfId="432" priority="178">
      <formula>IF(XDN$29="NO",TRUE,FALSE)</formula>
    </cfRule>
  </conditionalFormatting>
  <conditionalFormatting sqref="Q34:S34">
    <cfRule type="expression" dxfId="431" priority="177">
      <formula>IF(XDD$29="NO",TRUE,FALSE)</formula>
    </cfRule>
  </conditionalFormatting>
  <conditionalFormatting sqref="U34:W34">
    <cfRule type="expression" dxfId="430" priority="176">
      <formula>IF(XDI$29="NO",TRUE,FALSE)</formula>
    </cfRule>
  </conditionalFormatting>
  <conditionalFormatting sqref="Y34:AA34">
    <cfRule type="expression" dxfId="429" priority="175">
      <formula>IF(XDN$29="NO",TRUE,FALSE)</formula>
    </cfRule>
  </conditionalFormatting>
  <conditionalFormatting sqref="AC34">
    <cfRule type="expression" dxfId="428" priority="174">
      <formula>IF(XDR$29="NO",TRUE,FALSE)</formula>
    </cfRule>
  </conditionalFormatting>
  <conditionalFormatting sqref="AD34">
    <cfRule type="expression" dxfId="427" priority="173">
      <formula>IF(XDS$29="NO",TRUE,FALSE)</formula>
    </cfRule>
  </conditionalFormatting>
  <conditionalFormatting sqref="AE34">
    <cfRule type="expression" dxfId="426" priority="172">
      <formula>IF(XDT$29="NO",TRUE,FALSE)</formula>
    </cfRule>
  </conditionalFormatting>
  <conditionalFormatting sqref="Y38:AA38">
    <cfRule type="expression" dxfId="425" priority="160">
      <formula>IF(XDN$29="NO",TRUE,FALSE)</formula>
    </cfRule>
  </conditionalFormatting>
  <conditionalFormatting sqref="Q34:S34">
    <cfRule type="expression" dxfId="424" priority="171">
      <formula>IF(XDD$29="NO",TRUE,FALSE)</formula>
    </cfRule>
  </conditionalFormatting>
  <conditionalFormatting sqref="U34:W34">
    <cfRule type="expression" dxfId="423" priority="170">
      <formula>IF(XDI$29="NO",TRUE,FALSE)</formula>
    </cfRule>
  </conditionalFormatting>
  <conditionalFormatting sqref="Y34:AA34">
    <cfRule type="expression" dxfId="422" priority="169">
      <formula>IF(XDN$29="NO",TRUE,FALSE)</formula>
    </cfRule>
  </conditionalFormatting>
  <conditionalFormatting sqref="AC34">
    <cfRule type="expression" dxfId="421" priority="168">
      <formula>IF(XDR$29="NO",TRUE,FALSE)</formula>
    </cfRule>
  </conditionalFormatting>
  <conditionalFormatting sqref="AD34">
    <cfRule type="expression" dxfId="420" priority="167">
      <formula>IF(XDS$29="NO",TRUE,FALSE)</formula>
    </cfRule>
  </conditionalFormatting>
  <conditionalFormatting sqref="AE34">
    <cfRule type="expression" dxfId="419" priority="166">
      <formula>IF(XDT$29="NO",TRUE,FALSE)</formula>
    </cfRule>
  </conditionalFormatting>
  <conditionalFormatting sqref="AC42">
    <cfRule type="expression" dxfId="418" priority="154">
      <formula>IF(XDR$29="NO",TRUE,FALSE)</formula>
    </cfRule>
  </conditionalFormatting>
  <conditionalFormatting sqref="Y36:AA36">
    <cfRule type="expression" dxfId="417" priority="165">
      <formula>IF(XDN$29="NO",TRUE,FALSE)</formula>
    </cfRule>
  </conditionalFormatting>
  <conditionalFormatting sqref="Y38:AA38">
    <cfRule type="expression" dxfId="416" priority="164">
      <formula>IF(XDN$29="NO",TRUE,FALSE)</formula>
    </cfRule>
  </conditionalFormatting>
  <conditionalFormatting sqref="AC38">
    <cfRule type="expression" dxfId="415" priority="163">
      <formula>IF(XDR$29="NO",TRUE,FALSE)</formula>
    </cfRule>
  </conditionalFormatting>
  <conditionalFormatting sqref="AD38">
    <cfRule type="expression" dxfId="414" priority="162">
      <formula>IF(XDS$29="NO",TRUE,FALSE)</formula>
    </cfRule>
  </conditionalFormatting>
  <conditionalFormatting sqref="AE38">
    <cfRule type="expression" dxfId="413" priority="161">
      <formula>IF(XDT$29="NO",TRUE,FALSE)</formula>
    </cfRule>
  </conditionalFormatting>
  <conditionalFormatting sqref="Q46:S46">
    <cfRule type="expression" dxfId="412" priority="139">
      <formula>IF(XDD$29="NO",TRUE,FALSE)</formula>
    </cfRule>
  </conditionalFormatting>
  <conditionalFormatting sqref="AC38">
    <cfRule type="expression" dxfId="411" priority="159">
      <formula>IF(XDR$29="NO",TRUE,FALSE)</formula>
    </cfRule>
  </conditionalFormatting>
  <conditionalFormatting sqref="AD38">
    <cfRule type="expression" dxfId="410" priority="158">
      <formula>IF(XDS$29="NO",TRUE,FALSE)</formula>
    </cfRule>
  </conditionalFormatting>
  <conditionalFormatting sqref="AE38">
    <cfRule type="expression" dxfId="409" priority="157">
      <formula>IF(XDT$29="NO",TRUE,FALSE)</formula>
    </cfRule>
  </conditionalFormatting>
  <conditionalFormatting sqref="Y40:AA40">
    <cfRule type="expression" dxfId="408" priority="156">
      <formula>IF(XDN$29="NO",TRUE,FALSE)</formula>
    </cfRule>
  </conditionalFormatting>
  <conditionalFormatting sqref="Y42:AA42">
    <cfRule type="expression" dxfId="407" priority="155">
      <formula>IF(XDN$29="NO",TRUE,FALSE)</formula>
    </cfRule>
  </conditionalFormatting>
  <conditionalFormatting sqref="AD42">
    <cfRule type="expression" dxfId="406" priority="153">
      <formula>IF(XDS$29="NO",TRUE,FALSE)</formula>
    </cfRule>
  </conditionalFormatting>
  <conditionalFormatting sqref="AE42">
    <cfRule type="expression" dxfId="405" priority="152">
      <formula>IF(XDT$29="NO",TRUE,FALSE)</formula>
    </cfRule>
  </conditionalFormatting>
  <conditionalFormatting sqref="Y42:AA42">
    <cfRule type="expression" dxfId="404" priority="151">
      <formula>IF(XDN$29="NO",TRUE,FALSE)</formula>
    </cfRule>
  </conditionalFormatting>
  <conditionalFormatting sqref="AC42">
    <cfRule type="expression" dxfId="403" priority="150">
      <formula>IF(XDR$29="NO",TRUE,FALSE)</formula>
    </cfRule>
  </conditionalFormatting>
  <conditionalFormatting sqref="AD42">
    <cfRule type="expression" dxfId="402" priority="149">
      <formula>IF(XDS$29="NO",TRUE,FALSE)</formula>
    </cfRule>
  </conditionalFormatting>
  <conditionalFormatting sqref="AE42">
    <cfRule type="expression" dxfId="401" priority="148">
      <formula>IF(XDT$29="NO",TRUE,FALSE)</formula>
    </cfRule>
  </conditionalFormatting>
  <conditionalFormatting sqref="Y44:AA44">
    <cfRule type="expression" dxfId="400" priority="147">
      <formula>IF(XDN$29="NO",TRUE,FALSE)</formula>
    </cfRule>
  </conditionalFormatting>
  <conditionalFormatting sqref="J33">
    <cfRule type="expression" dxfId="399" priority="146">
      <formula>IF(J$29="NO",TRUE,FALSE)</formula>
    </cfRule>
  </conditionalFormatting>
  <conditionalFormatting sqref="K33">
    <cfRule type="expression" dxfId="398" priority="145">
      <formula>IF(K$29="NO",TRUE,FALSE)</formula>
    </cfRule>
  </conditionalFormatting>
  <conditionalFormatting sqref="L33">
    <cfRule type="expression" dxfId="397" priority="144">
      <formula>IF(L$29="NO",TRUE,FALSE)</formula>
    </cfRule>
  </conditionalFormatting>
  <conditionalFormatting sqref="N33">
    <cfRule type="expression" dxfId="396" priority="143">
      <formula>IF(N$29="NO",TRUE,FALSE)</formula>
    </cfRule>
  </conditionalFormatting>
  <conditionalFormatting sqref="AC68:AE68">
    <cfRule type="expression" dxfId="395" priority="142">
      <formula>IF(XDR$29="NO",TRUE,FALSE)</formula>
    </cfRule>
  </conditionalFormatting>
  <conditionalFormatting sqref="Y68:AA68">
    <cfRule type="expression" dxfId="394" priority="141">
      <formula>IF(XDN$29="NO",TRUE,FALSE)</formula>
    </cfRule>
  </conditionalFormatting>
  <conditionalFormatting sqref="Q48:S48">
    <cfRule type="expression" dxfId="393" priority="140">
      <formula>IF(XDD$29="NO",TRUE,FALSE)</formula>
    </cfRule>
  </conditionalFormatting>
  <conditionalFormatting sqref="Q46:S46">
    <cfRule type="expression" dxfId="392" priority="138">
      <formula>IF(XDD$29="NO",TRUE,FALSE)</formula>
    </cfRule>
  </conditionalFormatting>
  <conditionalFormatting sqref="Q52:S52">
    <cfRule type="expression" dxfId="391" priority="137">
      <formula>IF(XDD$29="NO",TRUE,FALSE)</formula>
    </cfRule>
  </conditionalFormatting>
  <conditionalFormatting sqref="Q50:S50">
    <cfRule type="expression" dxfId="390" priority="136">
      <formula>IF(XDD$29="NO",TRUE,FALSE)</formula>
    </cfRule>
  </conditionalFormatting>
  <conditionalFormatting sqref="Q50:S50">
    <cfRule type="expression" dxfId="389" priority="135">
      <formula>IF(XDD$29="NO",TRUE,FALSE)</formula>
    </cfRule>
  </conditionalFormatting>
  <conditionalFormatting sqref="Q64:S64">
    <cfRule type="expression" dxfId="388" priority="134">
      <formula>IF(XDD$29="NO",TRUE,FALSE)</formula>
    </cfRule>
  </conditionalFormatting>
  <conditionalFormatting sqref="Q68:S68">
    <cfRule type="expression" dxfId="387" priority="133">
      <formula>IF(XDD$29="NO",TRUE,FALSE)</formula>
    </cfRule>
  </conditionalFormatting>
  <conditionalFormatting sqref="U40:W40">
    <cfRule type="expression" dxfId="386" priority="132">
      <formula>IF(XDI$29="NO",TRUE,FALSE)</formula>
    </cfRule>
  </conditionalFormatting>
  <conditionalFormatting sqref="U38:W38">
    <cfRule type="expression" dxfId="385" priority="131">
      <formula>IF(XDI$29="NO",TRUE,FALSE)</formula>
    </cfRule>
  </conditionalFormatting>
  <conditionalFormatting sqref="U38:W38">
    <cfRule type="expression" dxfId="384" priority="130">
      <formula>IF(XDI$29="NO",TRUE,FALSE)</formula>
    </cfRule>
  </conditionalFormatting>
  <conditionalFormatting sqref="U44:W44">
    <cfRule type="expression" dxfId="383" priority="129">
      <formula>IF(XDI$29="NO",TRUE,FALSE)</formula>
    </cfRule>
  </conditionalFormatting>
  <conditionalFormatting sqref="U42:W42">
    <cfRule type="expression" dxfId="382" priority="128">
      <formula>IF(XDI$29="NO",TRUE,FALSE)</formula>
    </cfRule>
  </conditionalFormatting>
  <conditionalFormatting sqref="U42:W42">
    <cfRule type="expression" dxfId="381" priority="127">
      <formula>IF(XDI$29="NO",TRUE,FALSE)</formula>
    </cfRule>
  </conditionalFormatting>
  <conditionalFormatting sqref="U48:W48">
    <cfRule type="expression" dxfId="380" priority="126">
      <formula>IF(XDI$29="NO",TRUE,FALSE)</formula>
    </cfRule>
  </conditionalFormatting>
  <conditionalFormatting sqref="U46:W46">
    <cfRule type="expression" dxfId="379" priority="125">
      <formula>IF(XDI$29="NO",TRUE,FALSE)</formula>
    </cfRule>
  </conditionalFormatting>
  <conditionalFormatting sqref="U46:W46">
    <cfRule type="expression" dxfId="378" priority="124">
      <formula>IF(XDI$29="NO",TRUE,FALSE)</formula>
    </cfRule>
  </conditionalFormatting>
  <conditionalFormatting sqref="U52:W52">
    <cfRule type="expression" dxfId="377" priority="123">
      <formula>IF(XDI$29="NO",TRUE,FALSE)</formula>
    </cfRule>
  </conditionalFormatting>
  <conditionalFormatting sqref="U50:W50">
    <cfRule type="expression" dxfId="376" priority="122">
      <formula>IF(XDI$29="NO",TRUE,FALSE)</formula>
    </cfRule>
  </conditionalFormatting>
  <conditionalFormatting sqref="U50:W50">
    <cfRule type="expression" dxfId="375" priority="121">
      <formula>IF(XDI$29="NO",TRUE,FALSE)</formula>
    </cfRule>
  </conditionalFormatting>
  <conditionalFormatting sqref="U56:W56">
    <cfRule type="expression" dxfId="374" priority="120">
      <formula>IF(XDI$29="NO",TRUE,FALSE)</formula>
    </cfRule>
  </conditionalFormatting>
  <conditionalFormatting sqref="U54:W54">
    <cfRule type="expression" dxfId="373" priority="119">
      <formula>IF(XDI$29="NO",TRUE,FALSE)</formula>
    </cfRule>
  </conditionalFormatting>
  <conditionalFormatting sqref="U54:W54">
    <cfRule type="expression" dxfId="372" priority="118">
      <formula>IF(XDI$29="NO",TRUE,FALSE)</formula>
    </cfRule>
  </conditionalFormatting>
  <conditionalFormatting sqref="U60:W60">
    <cfRule type="expression" dxfId="371" priority="117">
      <formula>IF(XDI$29="NO",TRUE,FALSE)</formula>
    </cfRule>
  </conditionalFormatting>
  <conditionalFormatting sqref="U58:W58">
    <cfRule type="expression" dxfId="370" priority="116">
      <formula>IF(XDI$29="NO",TRUE,FALSE)</formula>
    </cfRule>
  </conditionalFormatting>
  <conditionalFormatting sqref="U58:W58">
    <cfRule type="expression" dxfId="369" priority="115">
      <formula>IF(XDI$29="NO",TRUE,FALSE)</formula>
    </cfRule>
  </conditionalFormatting>
  <conditionalFormatting sqref="U64:W64">
    <cfRule type="expression" dxfId="368" priority="114">
      <formula>IF(XDI$29="NO",TRUE,FALSE)</formula>
    </cfRule>
  </conditionalFormatting>
  <conditionalFormatting sqref="U62:W62">
    <cfRule type="expression" dxfId="367" priority="113">
      <formula>IF(XDI$29="NO",TRUE,FALSE)</formula>
    </cfRule>
  </conditionalFormatting>
  <conditionalFormatting sqref="U62:W62">
    <cfRule type="expression" dxfId="366" priority="112">
      <formula>IF(XDI$29="NO",TRUE,FALSE)</formula>
    </cfRule>
  </conditionalFormatting>
  <conditionalFormatting sqref="U68:W68">
    <cfRule type="expression" dxfId="365" priority="111">
      <formula>IF(XDI$29="NO",TRUE,FALSE)</formula>
    </cfRule>
  </conditionalFormatting>
  <conditionalFormatting sqref="AF33">
    <cfRule type="expression" dxfId="364" priority="110">
      <formula>IF(AF$29="NO",TRUE,FALSE)</formula>
    </cfRule>
  </conditionalFormatting>
  <conditionalFormatting sqref="AF48">
    <cfRule type="expression" dxfId="363" priority="109">
      <formula>IF(XDU$29="NO",TRUE,FALSE)</formula>
    </cfRule>
  </conditionalFormatting>
  <conditionalFormatting sqref="AF46">
    <cfRule type="expression" dxfId="362" priority="108">
      <formula>IF(XDU$29="NO",TRUE,FALSE)</formula>
    </cfRule>
  </conditionalFormatting>
  <conditionalFormatting sqref="AF46">
    <cfRule type="expression" dxfId="361" priority="107">
      <formula>IF(XDU$29="NO",TRUE,FALSE)</formula>
    </cfRule>
  </conditionalFormatting>
  <conditionalFormatting sqref="AF50">
    <cfRule type="expression" dxfId="360" priority="106">
      <formula>IF(XDU$29="NO",TRUE,FALSE)</formula>
    </cfRule>
  </conditionalFormatting>
  <conditionalFormatting sqref="AF50">
    <cfRule type="expression" dxfId="359" priority="105">
      <formula>IF(XDU$29="NO",TRUE,FALSE)</formula>
    </cfRule>
  </conditionalFormatting>
  <conditionalFormatting sqref="AF54">
    <cfRule type="expression" dxfId="358" priority="104">
      <formula>IF(XDU$29="NO",TRUE,FALSE)</formula>
    </cfRule>
  </conditionalFormatting>
  <conditionalFormatting sqref="AF54">
    <cfRule type="expression" dxfId="357" priority="103">
      <formula>IF(XDU$29="NO",TRUE,FALSE)</formula>
    </cfRule>
  </conditionalFormatting>
  <conditionalFormatting sqref="AF58">
    <cfRule type="expression" dxfId="356" priority="102">
      <formula>IF(XDU$29="NO",TRUE,FALSE)</formula>
    </cfRule>
  </conditionalFormatting>
  <conditionalFormatting sqref="AF58">
    <cfRule type="expression" dxfId="355" priority="101">
      <formula>IF(XDU$29="NO",TRUE,FALSE)</formula>
    </cfRule>
  </conditionalFormatting>
  <conditionalFormatting sqref="AF62">
    <cfRule type="expression" dxfId="354" priority="100">
      <formula>IF(XDU$29="NO",TRUE,FALSE)</formula>
    </cfRule>
  </conditionalFormatting>
  <conditionalFormatting sqref="AF62">
    <cfRule type="expression" dxfId="353" priority="99">
      <formula>IF(XDU$29="NO",TRUE,FALSE)</formula>
    </cfRule>
  </conditionalFormatting>
  <conditionalFormatting sqref="AF34">
    <cfRule type="expression" dxfId="352" priority="98">
      <formula>IF(XDU$29="NO",TRUE,FALSE)</formula>
    </cfRule>
  </conditionalFormatting>
  <conditionalFormatting sqref="AF34">
    <cfRule type="expression" dxfId="351" priority="97">
      <formula>IF(XDU$29="NO",TRUE,FALSE)</formula>
    </cfRule>
  </conditionalFormatting>
  <conditionalFormatting sqref="AF38">
    <cfRule type="expression" dxfId="350" priority="96">
      <formula>IF(XDU$29="NO",TRUE,FALSE)</formula>
    </cfRule>
  </conditionalFormatting>
  <conditionalFormatting sqref="AF38">
    <cfRule type="expression" dxfId="349" priority="95">
      <formula>IF(XDU$29="NO",TRUE,FALSE)</formula>
    </cfRule>
  </conditionalFormatting>
  <conditionalFormatting sqref="AF42">
    <cfRule type="expression" dxfId="348" priority="94">
      <formula>IF(XDU$29="NO",TRUE,FALSE)</formula>
    </cfRule>
  </conditionalFormatting>
  <conditionalFormatting sqref="AF42">
    <cfRule type="expression" dxfId="347" priority="93">
      <formula>IF(XDU$29="NO",TRUE,FALSE)</formula>
    </cfRule>
  </conditionalFormatting>
  <conditionalFormatting sqref="AF68">
    <cfRule type="expression" dxfId="346" priority="92">
      <formula>IF(XDU$29="NO",TRUE,FALSE)</formula>
    </cfRule>
  </conditionalFormatting>
  <conditionalFormatting sqref="AE66">
    <cfRule type="expression" dxfId="345" priority="88">
      <formula>IF(XDT$29="NO",TRUE,FALSE)</formula>
    </cfRule>
  </conditionalFormatting>
  <conditionalFormatting sqref="Y66:AA66">
    <cfRule type="expression" dxfId="344" priority="91">
      <formula>IF(XDN$29="NO",TRUE,FALSE)</formula>
    </cfRule>
  </conditionalFormatting>
  <conditionalFormatting sqref="AC66">
    <cfRule type="expression" dxfId="343" priority="90">
      <formula>IF(XDR$29="NO",TRUE,FALSE)</formula>
    </cfRule>
  </conditionalFormatting>
  <conditionalFormatting sqref="AD66">
    <cfRule type="expression" dxfId="342" priority="89">
      <formula>IF(XDS$29="NO",TRUE,FALSE)</formula>
    </cfRule>
  </conditionalFormatting>
  <conditionalFormatting sqref="Y66:AA66">
    <cfRule type="expression" dxfId="341" priority="87">
      <formula>IF(XDN$29="NO",TRUE,FALSE)</formula>
    </cfRule>
  </conditionalFormatting>
  <conditionalFormatting sqref="AC66">
    <cfRule type="expression" dxfId="340" priority="86">
      <formula>IF(XDR$29="NO",TRUE,FALSE)</formula>
    </cfRule>
  </conditionalFormatting>
  <conditionalFormatting sqref="AD66">
    <cfRule type="expression" dxfId="339" priority="85">
      <formula>IF(XDS$29="NO",TRUE,FALSE)</formula>
    </cfRule>
  </conditionalFormatting>
  <conditionalFormatting sqref="AE66">
    <cfRule type="expression" dxfId="338" priority="84">
      <formula>IF(XDT$29="NO",TRUE,FALSE)</formula>
    </cfRule>
  </conditionalFormatting>
  <conditionalFormatting sqref="Q66:S66">
    <cfRule type="expression" dxfId="337" priority="83">
      <formula>IF(XDD$29="NO",TRUE,FALSE)</formula>
    </cfRule>
  </conditionalFormatting>
  <conditionalFormatting sqref="Q66:S66">
    <cfRule type="expression" dxfId="336" priority="82">
      <formula>IF(XDD$29="NO",TRUE,FALSE)</formula>
    </cfRule>
  </conditionalFormatting>
  <conditionalFormatting sqref="U66:W66">
    <cfRule type="expression" dxfId="335" priority="81">
      <formula>IF(XDI$29="NO",TRUE,FALSE)</formula>
    </cfRule>
  </conditionalFormatting>
  <conditionalFormatting sqref="U66:W66">
    <cfRule type="expression" dxfId="334" priority="80">
      <formula>IF(XDI$29="NO",TRUE,FALSE)</formula>
    </cfRule>
  </conditionalFormatting>
  <conditionalFormatting sqref="AF66">
    <cfRule type="expression" dxfId="333" priority="79">
      <formula>IF(XDU$29="NO",TRUE,FALSE)</formula>
    </cfRule>
  </conditionalFormatting>
  <conditionalFormatting sqref="AF66">
    <cfRule type="expression" dxfId="332" priority="78">
      <formula>IF(XDU$29="NO",TRUE,FALSE)</formula>
    </cfRule>
  </conditionalFormatting>
  <conditionalFormatting sqref="AE70">
    <cfRule type="expression" dxfId="331" priority="74">
      <formula>IF(XDT$29="NO",TRUE,FALSE)</formula>
    </cfRule>
  </conditionalFormatting>
  <conditionalFormatting sqref="Y70:AA70">
    <cfRule type="expression" dxfId="330" priority="77">
      <formula>IF(XDN$29="NO",TRUE,FALSE)</formula>
    </cfRule>
  </conditionalFormatting>
  <conditionalFormatting sqref="AC70">
    <cfRule type="expression" dxfId="329" priority="76">
      <formula>IF(XDR$29="NO",TRUE,FALSE)</formula>
    </cfRule>
  </conditionalFormatting>
  <conditionalFormatting sqref="AD70">
    <cfRule type="expression" dxfId="328" priority="75">
      <formula>IF(XDS$29="NO",TRUE,FALSE)</formula>
    </cfRule>
  </conditionalFormatting>
  <conditionalFormatting sqref="Y70:AA70">
    <cfRule type="expression" dxfId="327" priority="73">
      <formula>IF(XDN$29="NO",TRUE,FALSE)</formula>
    </cfRule>
  </conditionalFormatting>
  <conditionalFormatting sqref="AC70">
    <cfRule type="expression" dxfId="326" priority="72">
      <formula>IF(XDR$29="NO",TRUE,FALSE)</formula>
    </cfRule>
  </conditionalFormatting>
  <conditionalFormatting sqref="AD70">
    <cfRule type="expression" dxfId="325" priority="71">
      <formula>IF(XDS$29="NO",TRUE,FALSE)</formula>
    </cfRule>
  </conditionalFormatting>
  <conditionalFormatting sqref="AE70">
    <cfRule type="expression" dxfId="324" priority="70">
      <formula>IF(XDT$29="NO",TRUE,FALSE)</formula>
    </cfRule>
  </conditionalFormatting>
  <conditionalFormatting sqref="Q70:S70">
    <cfRule type="expression" dxfId="323" priority="69">
      <formula>IF(XDD$29="NO",TRUE,FALSE)</formula>
    </cfRule>
  </conditionalFormatting>
  <conditionalFormatting sqref="Q70:S70">
    <cfRule type="expression" dxfId="322" priority="68">
      <formula>IF(XDD$29="NO",TRUE,FALSE)</formula>
    </cfRule>
  </conditionalFormatting>
  <conditionalFormatting sqref="U70:W70">
    <cfRule type="expression" dxfId="321" priority="67">
      <formula>IF(XDI$29="NO",TRUE,FALSE)</formula>
    </cfRule>
  </conditionalFormatting>
  <conditionalFormatting sqref="U70:W70">
    <cfRule type="expression" dxfId="320" priority="66">
      <formula>IF(XDI$29="NO",TRUE,FALSE)</formula>
    </cfRule>
  </conditionalFormatting>
  <conditionalFormatting sqref="AF70">
    <cfRule type="expression" dxfId="319" priority="65">
      <formula>IF(XDU$29="NO",TRUE,FALSE)</formula>
    </cfRule>
  </conditionalFormatting>
  <conditionalFormatting sqref="AF70">
    <cfRule type="expression" dxfId="318" priority="64">
      <formula>IF(XDU$29="NO",TRUE,FALSE)</formula>
    </cfRule>
  </conditionalFormatting>
  <conditionalFormatting sqref="AS13">
    <cfRule type="cellIs" dxfId="317" priority="62" operator="notEqual">
      <formula>"ok"</formula>
    </cfRule>
    <cfRule type="cellIs" dxfId="316" priority="63" operator="equal">
      <formula>"ok"</formula>
    </cfRule>
  </conditionalFormatting>
  <conditionalFormatting sqref="AT13">
    <cfRule type="cellIs" dxfId="315" priority="60" operator="notEqual">
      <formula>"ok"</formula>
    </cfRule>
    <cfRule type="cellIs" dxfId="314" priority="61" operator="equal">
      <formula>"ok"</formula>
    </cfRule>
  </conditionalFormatting>
  <conditionalFormatting sqref="AU13">
    <cfRule type="cellIs" dxfId="313" priority="58" operator="notEqual">
      <formula>"ok"</formula>
    </cfRule>
    <cfRule type="cellIs" dxfId="312" priority="59" operator="equal">
      <formula>"ok"</formula>
    </cfRule>
  </conditionalFormatting>
  <conditionalFormatting sqref="AV16">
    <cfRule type="cellIs" dxfId="311" priority="56" operator="notEqual">
      <formula>"ok"</formula>
    </cfRule>
    <cfRule type="cellIs" dxfId="310" priority="57" operator="equal">
      <formula>"ok"</formula>
    </cfRule>
  </conditionalFormatting>
  <conditionalFormatting sqref="AV19">
    <cfRule type="cellIs" dxfId="309" priority="53" operator="equal">
      <formula>"ok"</formula>
    </cfRule>
    <cfRule type="cellIs" dxfId="308" priority="54" stopIfTrue="1" operator="equal">
      <formula>"check"</formula>
    </cfRule>
    <cfRule type="cellIs" dxfId="307" priority="55" operator="notEqual">
      <formula>"ok"</formula>
    </cfRule>
  </conditionalFormatting>
  <conditionalFormatting sqref="AV17">
    <cfRule type="cellIs" dxfId="306" priority="50" operator="equal">
      <formula>"ok"</formula>
    </cfRule>
    <cfRule type="cellIs" dxfId="305" priority="51" stopIfTrue="1" operator="equal">
      <formula>"check"</formula>
    </cfRule>
    <cfRule type="cellIs" dxfId="304" priority="52" operator="notEqual">
      <formula>"ok"</formula>
    </cfRule>
  </conditionalFormatting>
  <conditionalFormatting sqref="Q40:S40">
    <cfRule type="expression" dxfId="303" priority="49">
      <formula>IF(XDD$29="NO",TRUE,FALSE)</formula>
    </cfRule>
  </conditionalFormatting>
  <conditionalFormatting sqref="Q38:S38">
    <cfRule type="expression" dxfId="302" priority="48">
      <formula>IF(XDD$29="NO",TRUE,FALSE)</formula>
    </cfRule>
  </conditionalFormatting>
  <conditionalFormatting sqref="Q38:S38">
    <cfRule type="expression" dxfId="301" priority="47">
      <formula>IF(XDD$29="NO",TRUE,FALSE)</formula>
    </cfRule>
  </conditionalFormatting>
  <conditionalFormatting sqref="Q44:S44">
    <cfRule type="expression" dxfId="300" priority="46">
      <formula>IF(XDD$29="NO",TRUE,FALSE)</formula>
    </cfRule>
  </conditionalFormatting>
  <conditionalFormatting sqref="Q42:S42">
    <cfRule type="expression" dxfId="299" priority="45">
      <formula>IF(XDD$29="NO",TRUE,FALSE)</formula>
    </cfRule>
  </conditionalFormatting>
  <conditionalFormatting sqref="Q42:S42">
    <cfRule type="expression" dxfId="298" priority="44">
      <formula>IF(XDD$29="NO",TRUE,FALSE)</formula>
    </cfRule>
  </conditionalFormatting>
  <conditionalFormatting sqref="Q44:S44">
    <cfRule type="expression" dxfId="297" priority="43">
      <formula>IF(XDD$29="NO",TRUE,FALSE)</formula>
    </cfRule>
  </conditionalFormatting>
  <conditionalFormatting sqref="Q42:S42">
    <cfRule type="expression" dxfId="296" priority="42">
      <formula>IF(XDD$29="NO",TRUE,FALSE)</formula>
    </cfRule>
  </conditionalFormatting>
  <conditionalFormatting sqref="Q42:S42">
    <cfRule type="expression" dxfId="295" priority="41">
      <formula>IF(XDD$29="NO",TRUE,FALSE)</formula>
    </cfRule>
  </conditionalFormatting>
  <conditionalFormatting sqref="Q48:S48">
    <cfRule type="expression" dxfId="294" priority="40">
      <formula>IF(XDD$29="NO",TRUE,FALSE)</formula>
    </cfRule>
  </conditionalFormatting>
  <conditionalFormatting sqref="Q46:S46">
    <cfRule type="expression" dxfId="293" priority="39">
      <formula>IF(XDD$29="NO",TRUE,FALSE)</formula>
    </cfRule>
  </conditionalFormatting>
  <conditionalFormatting sqref="Q46:S46">
    <cfRule type="expression" dxfId="292" priority="38">
      <formula>IF(XDD$29="NO",TRUE,FALSE)</formula>
    </cfRule>
  </conditionalFormatting>
  <conditionalFormatting sqref="Q52:S52">
    <cfRule type="expression" dxfId="291" priority="37">
      <formula>IF(XDD$29="NO",TRUE,FALSE)</formula>
    </cfRule>
  </conditionalFormatting>
  <conditionalFormatting sqref="Q50:S50">
    <cfRule type="expression" dxfId="290" priority="36">
      <formula>IF(XDD$29="NO",TRUE,FALSE)</formula>
    </cfRule>
  </conditionalFormatting>
  <conditionalFormatting sqref="Q50:S50">
    <cfRule type="expression" dxfId="289" priority="35">
      <formula>IF(XDD$29="NO",TRUE,FALSE)</formula>
    </cfRule>
  </conditionalFormatting>
  <conditionalFormatting sqref="Q44:S44">
    <cfRule type="expression" dxfId="288" priority="34">
      <formula>IF(XDD$29="NO",TRUE,FALSE)</formula>
    </cfRule>
  </conditionalFormatting>
  <conditionalFormatting sqref="Q42:S42">
    <cfRule type="expression" dxfId="287" priority="33">
      <formula>IF(XDD$29="NO",TRUE,FALSE)</formula>
    </cfRule>
  </conditionalFormatting>
  <conditionalFormatting sqref="Q42:S42">
    <cfRule type="expression" dxfId="286" priority="32">
      <formula>IF(XDD$29="NO",TRUE,FALSE)</formula>
    </cfRule>
  </conditionalFormatting>
  <conditionalFormatting sqref="Q48:S48">
    <cfRule type="expression" dxfId="285" priority="31">
      <formula>IF(XDD$29="NO",TRUE,FALSE)</formula>
    </cfRule>
  </conditionalFormatting>
  <conditionalFormatting sqref="Q46:S46">
    <cfRule type="expression" dxfId="284" priority="30">
      <formula>IF(XDD$29="NO",TRUE,FALSE)</formula>
    </cfRule>
  </conditionalFormatting>
  <conditionalFormatting sqref="Q46:S46">
    <cfRule type="expression" dxfId="283" priority="29">
      <formula>IF(XDD$29="NO",TRUE,FALSE)</formula>
    </cfRule>
  </conditionalFormatting>
  <conditionalFormatting sqref="Q50:S50">
    <cfRule type="expression" dxfId="282" priority="28">
      <formula>IF(XDD$29="NO",TRUE,FALSE)</formula>
    </cfRule>
  </conditionalFormatting>
  <conditionalFormatting sqref="Q50:S50">
    <cfRule type="expression" dxfId="281" priority="27">
      <formula>IF(XDD$29="NO",TRUE,FALSE)</formula>
    </cfRule>
  </conditionalFormatting>
  <conditionalFormatting sqref="Q50:S50">
    <cfRule type="expression" dxfId="280" priority="26">
      <formula>IF(XDD$29="NO",TRUE,FALSE)</formula>
    </cfRule>
  </conditionalFormatting>
  <conditionalFormatting sqref="Q50:S50">
    <cfRule type="expression" dxfId="279" priority="25">
      <formula>IF(XDD$29="NO",TRUE,FALSE)</formula>
    </cfRule>
  </conditionalFormatting>
  <conditionalFormatting sqref="Q56:S56">
    <cfRule type="expression" dxfId="278" priority="24">
      <formula>IF(XDD$29="NO",TRUE,FALSE)</formula>
    </cfRule>
  </conditionalFormatting>
  <conditionalFormatting sqref="Q54:S54">
    <cfRule type="expression" dxfId="277" priority="23">
      <formula>IF(XDD$29="NO",TRUE,FALSE)</formula>
    </cfRule>
  </conditionalFormatting>
  <conditionalFormatting sqref="Q54:S54">
    <cfRule type="expression" dxfId="276" priority="22">
      <formula>IF(XDD$29="NO",TRUE,FALSE)</formula>
    </cfRule>
  </conditionalFormatting>
  <conditionalFormatting sqref="Q60:S60">
    <cfRule type="expression" dxfId="275" priority="21">
      <formula>IF(XDD$29="NO",TRUE,FALSE)</formula>
    </cfRule>
  </conditionalFormatting>
  <conditionalFormatting sqref="Q58:S58">
    <cfRule type="expression" dxfId="274" priority="20">
      <formula>IF(XDD$29="NO",TRUE,FALSE)</formula>
    </cfRule>
  </conditionalFormatting>
  <conditionalFormatting sqref="Q58:S58">
    <cfRule type="expression" dxfId="273" priority="19">
      <formula>IF(XDD$29="NO",TRUE,FALSE)</formula>
    </cfRule>
  </conditionalFormatting>
  <conditionalFormatting sqref="Q62:S62">
    <cfRule type="expression" dxfId="272" priority="18">
      <formula>IF(XDD$29="NO",TRUE,FALSE)</formula>
    </cfRule>
  </conditionalFormatting>
  <conditionalFormatting sqref="Q62:S62">
    <cfRule type="expression" dxfId="271" priority="17">
      <formula>IF(XDD$29="NO",TRUE,FALSE)</formula>
    </cfRule>
  </conditionalFormatting>
  <conditionalFormatting sqref="Q62:S62">
    <cfRule type="expression" dxfId="270" priority="16">
      <formula>IF(XDD$29="NO",TRUE,FALSE)</formula>
    </cfRule>
  </conditionalFormatting>
  <conditionalFormatting sqref="Q62:S62">
    <cfRule type="expression" dxfId="269" priority="15">
      <formula>IF(XDD$29="NO",TRUE,FALSE)</formula>
    </cfRule>
  </conditionalFormatting>
  <conditionalFormatting sqref="Q62:S62">
    <cfRule type="expression" dxfId="268" priority="14">
      <formula>IF(XDD$29="NO",TRUE,FALSE)</formula>
    </cfRule>
  </conditionalFormatting>
  <conditionalFormatting sqref="Q62:S62">
    <cfRule type="expression" dxfId="267" priority="13">
      <formula>IF(XDD$29="NO",TRUE,FALSE)</formula>
    </cfRule>
  </conditionalFormatting>
  <conditionalFormatting sqref="Q64:S64">
    <cfRule type="expression" dxfId="266" priority="12">
      <formula>IF(XDD$29="NO",TRUE,FALSE)</formula>
    </cfRule>
  </conditionalFormatting>
  <conditionalFormatting sqref="Q62:S62">
    <cfRule type="expression" dxfId="265" priority="11">
      <formula>IF(XDD$29="NO",TRUE,FALSE)</formula>
    </cfRule>
  </conditionalFormatting>
  <conditionalFormatting sqref="Q62:S62">
    <cfRule type="expression" dxfId="264" priority="10">
      <formula>IF(XDD$29="NO",TRUE,FALSE)</formula>
    </cfRule>
  </conditionalFormatting>
  <conditionalFormatting sqref="Q68:S68">
    <cfRule type="expression" dxfId="263" priority="9">
      <formula>IF(XDD$29="NO",TRUE,FALSE)</formula>
    </cfRule>
  </conditionalFormatting>
  <conditionalFormatting sqref="Q66:S66">
    <cfRule type="expression" dxfId="262" priority="8">
      <formula>IF(XDD$29="NO",TRUE,FALSE)</formula>
    </cfRule>
  </conditionalFormatting>
  <conditionalFormatting sqref="Q66:S66">
    <cfRule type="expression" dxfId="261" priority="7">
      <formula>IF(XDD$29="NO",TRUE,FALSE)</formula>
    </cfRule>
  </conditionalFormatting>
  <conditionalFormatting sqref="Q70:S70">
    <cfRule type="expression" dxfId="260" priority="6">
      <formula>IF(XDD$29="NO",TRUE,FALSE)</formula>
    </cfRule>
  </conditionalFormatting>
  <conditionalFormatting sqref="Q70:S70">
    <cfRule type="expression" dxfId="259" priority="5">
      <formula>IF(XDD$29="NO",TRUE,FALSE)</formula>
    </cfRule>
  </conditionalFormatting>
  <conditionalFormatting sqref="Q70:S70">
    <cfRule type="expression" dxfId="258" priority="4">
      <formula>IF(XDD$29="NO",TRUE,FALSE)</formula>
    </cfRule>
  </conditionalFormatting>
  <conditionalFormatting sqref="Q70:S70">
    <cfRule type="expression" dxfId="257" priority="3">
      <formula>IF(XDD$29="NO",TRUE,FALSE)</formula>
    </cfRule>
  </conditionalFormatting>
  <conditionalFormatting sqref="Q70:S70">
    <cfRule type="expression" dxfId="256" priority="2">
      <formula>IF(XDD$29="NO",TRUE,FALSE)</formula>
    </cfRule>
  </conditionalFormatting>
  <conditionalFormatting sqref="Q70:S70">
    <cfRule type="expression" dxfId="255" priority="1">
      <formula>IF(XDD$29="NO",TRUE,FALSE)</formula>
    </cfRule>
  </conditionalFormatting>
  <dataValidations disablePrompts="1" count="2">
    <dataValidation type="list" allowBlank="1" showInputMessage="1" showErrorMessage="1" sqref="U29:W29 AC29:AF29 Q29:S29 F29:O29" xr:uid="{00000000-0002-0000-0E00-000000000000}">
      <formula1>"YES,NO"</formula1>
    </dataValidation>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00000000-0002-0000-0E00-000001000000}">
      <formula1>"Right,Left,Above,Below"</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2595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2595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2595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2595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2595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2595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2596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9B992-AB1C-47E6-A25A-045D7FF85358}">
  <sheetPr codeName="Sheet20">
    <tabColor rgb="FFFF0000"/>
    <pageSetUpPr fitToPage="1"/>
  </sheetPr>
  <dimension ref="A1:BM73"/>
  <sheetViews>
    <sheetView showGridLines="0" topLeftCell="A4" zoomScale="70" zoomScaleNormal="70" zoomScaleSheetLayoutView="55" workbookViewId="0">
      <selection activeCell="D34" sqref="D34"/>
    </sheetView>
  </sheetViews>
  <sheetFormatPr defaultColWidth="9.140625" defaultRowHeight="18.75" outlineLevelRow="1"/>
  <cols>
    <col min="1" max="1" width="14.7109375" style="281" customWidth="1"/>
    <col min="2" max="2" width="2.28515625" style="282" customWidth="1"/>
    <col min="3" max="3" width="13.28515625" style="235" customWidth="1"/>
    <col min="4" max="4" width="17.28515625" style="235" customWidth="1"/>
    <col min="5" max="5" width="1.42578125" style="272" customWidth="1"/>
    <col min="6" max="6" width="15.7109375" style="235" customWidth="1"/>
    <col min="7" max="7" width="20.7109375" style="293" customWidth="1"/>
    <col min="8" max="8" width="24.5703125" style="293" hidden="1" customWidth="1"/>
    <col min="9" max="9" width="15.7109375" style="235" customWidth="1"/>
    <col min="10" max="10" width="15.7109375" style="293" customWidth="1"/>
    <col min="11" max="11" width="14.5703125" style="293" hidden="1" customWidth="1"/>
    <col min="12" max="12" width="13.28515625" style="293" hidden="1" customWidth="1"/>
    <col min="13" max="13" width="11.7109375" style="293" hidden="1" customWidth="1"/>
    <col min="14" max="14" width="11.7109375" style="235" hidden="1" customWidth="1"/>
    <col min="15" max="15" width="15.7109375" style="235" hidden="1" customWidth="1"/>
    <col min="16" max="16" width="1.42578125" style="286" customWidth="1"/>
    <col min="17" max="17" width="14.7109375" style="235" hidden="1" customWidth="1"/>
    <col min="18" max="18" width="13" style="235" hidden="1" customWidth="1"/>
    <col min="19" max="19" width="12.7109375" style="235" hidden="1" customWidth="1"/>
    <col min="20" max="20" width="1.42578125" style="286" hidden="1" customWidth="1"/>
    <col min="21" max="23" width="12.7109375" style="235" customWidth="1"/>
    <col min="24" max="24" width="1.42578125" style="286" customWidth="1"/>
    <col min="25" max="25" width="14.5703125" style="235" hidden="1" customWidth="1"/>
    <col min="26" max="26" width="11.85546875" style="235" hidden="1" customWidth="1"/>
    <col min="27" max="27" width="10.7109375" style="235" hidden="1" customWidth="1"/>
    <col min="28" max="28" width="1.42578125" style="286" hidden="1" customWidth="1"/>
    <col min="29" max="29" width="14.28515625" style="235" customWidth="1"/>
    <col min="30" max="30" width="13.7109375" style="235" hidden="1" customWidth="1"/>
    <col min="31" max="31" width="11.5703125" style="235" customWidth="1"/>
    <col min="32" max="32" width="10.85546875" style="235" customWidth="1"/>
    <col min="33" max="34" width="10" style="235" hidden="1" customWidth="1"/>
    <col min="35" max="35" width="9.5703125" style="235" customWidth="1"/>
    <col min="36" max="36" width="2.5703125" style="241" customWidth="1"/>
    <col min="37" max="37" width="30.85546875" style="241" customWidth="1"/>
    <col min="38" max="38" width="6.7109375" style="241" customWidth="1"/>
    <col min="39" max="39" width="7.140625" style="241" customWidth="1"/>
    <col min="40" max="40" width="7" style="241" customWidth="1"/>
    <col min="41" max="41" width="4.85546875" style="241" customWidth="1"/>
    <col min="42" max="42" width="15.42578125" style="241" customWidth="1"/>
    <col min="43" max="43" width="13.28515625" style="235" customWidth="1"/>
    <col min="44" max="45" width="10.5703125" style="241" customWidth="1"/>
    <col min="46" max="46" width="11.140625" style="241" customWidth="1"/>
    <col min="47" max="47" width="10.140625" style="241" customWidth="1"/>
    <col min="48" max="48" width="9.140625" style="241"/>
    <col min="49" max="49" width="10.28515625" style="241" customWidth="1"/>
    <col min="50" max="50" width="5.42578125" style="241" customWidth="1"/>
    <col min="51" max="51" width="4.7109375" style="241" customWidth="1"/>
    <col min="52" max="52" width="5.28515625" style="241" customWidth="1"/>
    <col min="53" max="53" width="8.42578125" style="281" customWidth="1"/>
    <col min="54" max="54" width="2.85546875" style="241" customWidth="1"/>
    <col min="55" max="55" width="10.42578125" style="235" customWidth="1"/>
    <col min="56" max="56" width="10.85546875" style="235" customWidth="1"/>
    <col min="57" max="64" width="10.42578125" style="235" customWidth="1"/>
    <col min="65" max="16384" width="9.140625" style="241"/>
  </cols>
  <sheetData>
    <row r="1" spans="1:64" ht="3.6" customHeight="1"/>
    <row r="2" spans="1:64" ht="3.6" customHeight="1"/>
    <row r="3" spans="1:64" ht="3.6" customHeight="1"/>
    <row r="4" spans="1:64" ht="3.6" customHeight="1"/>
    <row r="5" spans="1:64" ht="3.6" customHeight="1"/>
    <row r="6" spans="1:64" ht="3.6" customHeight="1"/>
    <row r="7" spans="1:64" ht="3.6" customHeight="1"/>
    <row r="8" spans="1:64" ht="3.6" customHeight="1"/>
    <row r="9" spans="1:64" ht="3.6" customHeight="1"/>
    <row r="10" spans="1:64" ht="3.6" customHeight="1" thickBot="1"/>
    <row r="11" spans="1:64" ht="15.6" customHeight="1">
      <c r="A11" s="281" t="s">
        <v>570</v>
      </c>
      <c r="B11" s="275"/>
      <c r="C11" s="231"/>
      <c r="D11" s="628" t="s">
        <v>826</v>
      </c>
      <c r="F11" s="245">
        <v>6</v>
      </c>
      <c r="G11" s="565" t="str">
        <f>INDEX(Input!$1:$1048576,2,$F$11*2+6)&amp;" ("&amp;INDEX(Input!$1:$1048576,11,$F$11*2+6)&amp;")"</f>
        <v>MY20 Kia Soul (National)</v>
      </c>
      <c r="H11" s="232"/>
      <c r="I11" s="231"/>
      <c r="J11" s="232"/>
      <c r="K11" s="232"/>
      <c r="L11" s="232"/>
      <c r="M11" s="232"/>
      <c r="N11" s="231"/>
      <c r="O11" s="231"/>
      <c r="Q11" s="231"/>
      <c r="R11" s="231"/>
      <c r="S11" s="231"/>
      <c r="U11" s="296"/>
      <c r="V11" s="231"/>
      <c r="Y11" s="231"/>
      <c r="Z11" s="231"/>
      <c r="AA11" s="231"/>
      <c r="AC11" s="231"/>
      <c r="AD11" s="231"/>
      <c r="AE11" s="231"/>
      <c r="AF11" s="231"/>
      <c r="AG11" s="231"/>
      <c r="AH11" s="231"/>
      <c r="AI11" s="231"/>
      <c r="AJ11" s="781"/>
      <c r="AK11" s="781"/>
      <c r="AN11" s="733" t="s">
        <v>770</v>
      </c>
      <c r="AO11" s="715"/>
      <c r="AP11" s="715"/>
      <c r="AQ11" s="724"/>
      <c r="AR11" s="715"/>
      <c r="AS11" s="715"/>
      <c r="AT11" s="715"/>
      <c r="AU11" s="715"/>
      <c r="AV11" s="715"/>
      <c r="AW11" s="730"/>
      <c r="BC11" s="231"/>
      <c r="BD11" s="231"/>
      <c r="BE11" s="231"/>
      <c r="BF11" s="231"/>
      <c r="BG11" s="231"/>
      <c r="BH11" s="231"/>
      <c r="BI11" s="231"/>
      <c r="BJ11" s="231"/>
      <c r="BK11" s="231"/>
      <c r="BL11" s="231"/>
    </row>
    <row r="12" spans="1:64" ht="19.5" thickBot="1">
      <c r="A12" s="389" t="str">
        <f>ROUND(INDEX(Lookup!E:E,MATCH(INDEX(DSS_Calc!AZ:AZ,MATCH(C33+$F$11*1000,DSS_Calc!A:A,0)),Lookup!B:B,0)),2)&amp;" (Nat)"</f>
        <v>2.48 (Nat)</v>
      </c>
      <c r="B12" s="276"/>
      <c r="C12" s="781"/>
      <c r="D12" s="231"/>
      <c r="F12" s="231"/>
      <c r="G12" s="232"/>
      <c r="H12" s="232"/>
      <c r="I12" s="231"/>
      <c r="J12" s="232"/>
      <c r="K12" s="232"/>
      <c r="L12" s="232"/>
      <c r="M12" s="232"/>
      <c r="N12" s="231"/>
      <c r="O12" s="231"/>
      <c r="Q12" s="231"/>
      <c r="R12" s="231"/>
      <c r="S12" s="231"/>
      <c r="U12" s="231"/>
      <c r="V12" s="231"/>
      <c r="W12" s="231"/>
      <c r="Y12" s="231"/>
      <c r="Z12" s="231"/>
      <c r="AA12" s="231"/>
      <c r="AC12" s="231"/>
      <c r="AD12" s="231"/>
      <c r="AE12" s="231"/>
      <c r="AF12" s="231"/>
      <c r="AG12" s="231"/>
      <c r="AH12" s="231"/>
      <c r="AI12" s="231"/>
      <c r="AJ12" s="781"/>
      <c r="AN12" s="731"/>
      <c r="AO12" s="721"/>
      <c r="AP12" s="721"/>
      <c r="AQ12" s="732"/>
      <c r="AR12" s="783"/>
      <c r="AS12" s="735" t="s">
        <v>328</v>
      </c>
      <c r="AT12" s="735" t="s">
        <v>329</v>
      </c>
      <c r="AU12" s="735" t="s">
        <v>330</v>
      </c>
      <c r="AV12" s="736"/>
      <c r="AW12" s="737" t="s">
        <v>773</v>
      </c>
      <c r="BA12" s="389"/>
      <c r="BC12" s="781"/>
      <c r="BD12" s="781"/>
      <c r="BE12" s="781"/>
      <c r="BF12" s="781"/>
      <c r="BG12" s="781"/>
      <c r="BH12" s="781"/>
      <c r="BI12" s="781"/>
      <c r="BJ12" s="781"/>
      <c r="BK12" s="781"/>
      <c r="BL12" s="781"/>
    </row>
    <row r="13" spans="1:64" ht="15.75" customHeight="1" thickBot="1">
      <c r="A13" s="389" t="str">
        <f>ROUND(INDEX(DSS_Calc!KA:KA,MATCH($F$11*1000+6,DSS_Calc!A:A,0)),2)&amp;" (Scen 6)"</f>
        <v>0 (Scen 6)</v>
      </c>
      <c r="B13" s="275"/>
      <c r="D13" s="1135" t="str">
        <f>UPPER("SCENARIO OPTIONS: MY"&amp;RIGHT(Input!$H9,2)&amp;" "&amp;Input!H$7&amp;" "&amp;Input!H$3&amp;" - National")</f>
        <v>SCENARIO OPTIONS: MY20 KIA SOUL - NATIONAL</v>
      </c>
      <c r="E13" s="1135"/>
      <c r="F13" s="1135"/>
      <c r="G13" s="1135"/>
      <c r="H13" s="1135"/>
      <c r="I13" s="1135"/>
      <c r="J13" s="1135"/>
      <c r="K13" s="1135"/>
      <c r="L13" s="113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781"/>
      <c r="AK13" s="781"/>
      <c r="AL13" s="235"/>
      <c r="AM13" s="235"/>
      <c r="AN13" s="1133" t="s">
        <v>772</v>
      </c>
      <c r="AO13" s="1134"/>
      <c r="AP13" s="1134"/>
      <c r="AQ13" s="1134"/>
      <c r="AR13" s="1134"/>
      <c r="AS13" s="712">
        <f>INDEX(DSS_Calc!$KL:$KL,MATCH($F$11*1000+3,DSS_Calc!$A:$A,0))</f>
        <v>0</v>
      </c>
      <c r="AT13" s="712">
        <f>INDEX(DSS_Calc!$KL:$KL,MATCH($F$11*1000+4,DSS_Calc!$A:$A,0))</f>
        <v>0</v>
      </c>
      <c r="AU13" s="712">
        <f>INDEX(DSS_Calc!$KL:$KL,MATCH($F$11*1000+5,DSS_Calc!$A:$A,0))</f>
        <v>0</v>
      </c>
      <c r="AV13" s="712"/>
      <c r="AW13" s="713"/>
      <c r="AX13" s="235"/>
      <c r="AY13" s="235"/>
      <c r="BA13" s="389"/>
    </row>
    <row r="14" spans="1:64" ht="15.75" customHeight="1">
      <c r="A14" s="781"/>
      <c r="B14" s="781"/>
      <c r="D14" s="781"/>
      <c r="E14" s="781"/>
      <c r="F14" s="781"/>
      <c r="G14" s="781"/>
      <c r="H14" s="781"/>
      <c r="I14" s="781"/>
      <c r="J14" s="781"/>
      <c r="K14" s="781"/>
      <c r="L14" s="781"/>
      <c r="M14" s="781"/>
      <c r="N14" s="781"/>
      <c r="O14" s="781"/>
      <c r="P14" s="781"/>
      <c r="Q14" s="781"/>
      <c r="R14" s="781"/>
      <c r="S14" s="781"/>
      <c r="T14" s="781"/>
      <c r="U14" s="781"/>
      <c r="V14" s="781"/>
      <c r="W14" s="781"/>
      <c r="X14" s="781"/>
      <c r="Y14" s="781"/>
      <c r="Z14" s="781"/>
      <c r="AA14" s="781"/>
      <c r="AB14" s="781"/>
      <c r="AC14" s="781"/>
      <c r="AD14" s="781"/>
      <c r="AE14" s="781"/>
      <c r="AF14" s="781"/>
      <c r="AG14" s="781"/>
      <c r="AH14" s="781"/>
      <c r="AI14" s="781"/>
      <c r="AJ14" s="781"/>
      <c r="AK14" s="781"/>
      <c r="AL14" s="235"/>
      <c r="AM14" s="235"/>
      <c r="AN14" s="1129" t="str">
        <f>"Scen. # to check price sensitivity order vs #"&amp;INDEX(DSS_Calc!KN:KN,MATCH(F11*1000+1,DSS_Calc!A:A,0))</f>
        <v>Scen. # to check price sensitivity order vs #6002</v>
      </c>
      <c r="AO14" s="1130"/>
      <c r="AP14" s="1130"/>
      <c r="AQ14" s="1130"/>
      <c r="AR14" s="1130"/>
      <c r="AS14" s="716">
        <v>10</v>
      </c>
      <c r="AT14" s="716">
        <v>14</v>
      </c>
      <c r="AU14" s="716">
        <v>18</v>
      </c>
      <c r="AV14" s="715"/>
      <c r="AW14" s="717"/>
      <c r="AX14" s="235"/>
      <c r="AY14" s="235"/>
      <c r="BA14" s="781"/>
    </row>
    <row r="15" spans="1:64" ht="15.75" customHeight="1">
      <c r="A15" s="275"/>
      <c r="B15" s="275"/>
      <c r="C15" s="231"/>
      <c r="D15" s="229"/>
      <c r="E15" s="279"/>
      <c r="F15" s="230"/>
      <c r="G15" s="229"/>
      <c r="H15" s="229"/>
      <c r="I15" s="230"/>
      <c r="J15" s="229"/>
      <c r="K15" s="229"/>
      <c r="L15" s="229"/>
      <c r="M15" s="229"/>
      <c r="N15" s="230"/>
      <c r="O15" s="230"/>
      <c r="P15" s="279"/>
      <c r="Q15" s="231"/>
      <c r="R15" s="231"/>
      <c r="S15" s="231"/>
      <c r="U15" s="231"/>
      <c r="V15" s="231"/>
      <c r="W15" s="231"/>
      <c r="Y15" s="231"/>
      <c r="Z15" s="231"/>
      <c r="AA15" s="231"/>
      <c r="AC15" s="231"/>
      <c r="AD15" s="231"/>
      <c r="AE15" s="231"/>
      <c r="AF15" s="231"/>
      <c r="AG15" s="231"/>
      <c r="AH15" s="231"/>
      <c r="AI15" s="231"/>
      <c r="AJ15" s="781"/>
      <c r="AK15" s="781"/>
      <c r="AL15" s="235"/>
      <c r="AM15" s="235"/>
      <c r="AN15" s="1131" t="s">
        <v>781</v>
      </c>
      <c r="AO15" s="1132"/>
      <c r="AP15" s="1132"/>
      <c r="AQ15" s="1132"/>
      <c r="AR15" s="1132"/>
      <c r="AS15" s="734" t="str">
        <f>INDEX(DSS_Calc!$D:$D,MATCH($F11*1000+AS14,DSS_Calc!$A:$A))</f>
        <v xml:space="preserve">500 CC, </v>
      </c>
      <c r="AT15" s="734" t="str">
        <f>INDEX(DSS_Calc!$D:$D,MATCH($F11*1000+AT14,DSS_Calc!$A:$A))</f>
        <v xml:space="preserve">0/0/0/3.9, </v>
      </c>
      <c r="AU15" s="734" t="str">
        <f>INDEX(DSS_Calc!$D:$D,MATCH($F11*1000+AU14,DSS_Calc!$A:$A))</f>
        <v xml:space="preserve">720 Lease, </v>
      </c>
      <c r="AV15" s="284"/>
      <c r="AW15" s="719"/>
      <c r="AX15" s="235"/>
      <c r="AY15" s="235"/>
      <c r="BA15" s="275"/>
      <c r="BC15" s="231"/>
      <c r="BE15" s="231"/>
      <c r="BF15" s="231"/>
      <c r="BG15" s="231"/>
      <c r="BH15" s="231"/>
      <c r="BI15" s="231"/>
      <c r="BJ15" s="231"/>
      <c r="BK15" s="231"/>
      <c r="BL15" s="231"/>
    </row>
    <row r="16" spans="1:64" ht="15.75" customHeight="1" thickBot="1">
      <c r="A16" s="275"/>
      <c r="B16" s="275"/>
      <c r="C16" s="231"/>
      <c r="D16" s="781"/>
      <c r="E16" s="286"/>
      <c r="F16" s="231"/>
      <c r="G16" s="232"/>
      <c r="H16" s="232"/>
      <c r="I16" s="231"/>
      <c r="J16" s="232"/>
      <c r="K16" s="232"/>
      <c r="L16" s="232"/>
      <c r="M16" s="232"/>
      <c r="N16" s="231"/>
      <c r="O16" s="231"/>
      <c r="Q16" s="231"/>
      <c r="R16" s="231"/>
      <c r="S16" s="231"/>
      <c r="U16" s="231"/>
      <c r="V16" s="231"/>
      <c r="W16" s="231"/>
      <c r="Y16" s="231"/>
      <c r="Z16" s="231"/>
      <c r="AA16" s="231"/>
      <c r="AC16" s="231"/>
      <c r="AD16" s="231"/>
      <c r="AE16" s="231"/>
      <c r="AF16" s="231"/>
      <c r="AG16" s="231"/>
      <c r="AH16" s="231"/>
      <c r="AI16" s="231"/>
      <c r="AJ16" s="781"/>
      <c r="AK16" s="781"/>
      <c r="AL16" s="235"/>
      <c r="AM16" s="235"/>
      <c r="AN16" s="1127" t="str">
        <f>"Implied Elast w/o Take Rate Shifts vs #"&amp;INDEX(DSS_Calc!KN:KN,MATCH(F11*1000+1,DSS_Calc!A:A,0))</f>
        <v>Implied Elast w/o Take Rate Shifts vs #6002</v>
      </c>
      <c r="AO16" s="1128"/>
      <c r="AP16" s="1128"/>
      <c r="AQ16" s="1128"/>
      <c r="AR16" s="1128"/>
      <c r="AS16" s="722">
        <f>INDEX(DSS_Calc!$KR:$KR,MATCH($F$11*1000+AS14,DSS_Calc!$A:$A,0))</f>
        <v>2.0723018873932997</v>
      </c>
      <c r="AT16" s="722">
        <f>INDEX(DSS_Calc!$KR:$KR,MATCH($F$11*1000+AT14,DSS_Calc!$A:$A,0))</f>
        <v>2.5206462157085956</v>
      </c>
      <c r="AU16" s="722">
        <f>INDEX(DSS_Calc!$KR:$KR,MATCH($F$11*1000+AU14,DSS_Calc!$A:$A,0))</f>
        <v>2.882229127191279</v>
      </c>
      <c r="AV16" s="783" t="str">
        <f>IF(AND(AS16&lt;AT16,AT16&lt;AU16,AS16&lt;AW16),"ok","error in order")</f>
        <v>error in order</v>
      </c>
      <c r="AW16" s="723">
        <f>ROUND(INDEX(DSS_Calc!KA:KA,MATCH($F$11*1000+6,DSS_Calc!A:A,0)),2)</f>
        <v>0</v>
      </c>
      <c r="AX16" s="235"/>
      <c r="AY16" s="235"/>
      <c r="AZ16" s="585" t="s">
        <v>880</v>
      </c>
      <c r="BA16" s="694"/>
      <c r="BB16" s="585"/>
      <c r="BC16" s="586"/>
      <c r="BD16" s="586"/>
      <c r="BE16" s="586"/>
      <c r="BF16" s="586"/>
      <c r="BG16" s="586"/>
      <c r="BH16" s="586"/>
      <c r="BI16" s="586"/>
      <c r="BJ16" s="586"/>
      <c r="BK16" s="586"/>
      <c r="BL16" s="586"/>
    </row>
    <row r="17" spans="1:65" ht="15.75" customHeight="1">
      <c r="A17" s="275"/>
      <c r="B17" s="275"/>
      <c r="C17" s="231"/>
      <c r="D17" s="781"/>
      <c r="E17" s="286"/>
      <c r="F17" s="231"/>
      <c r="G17" s="232"/>
      <c r="H17" s="232"/>
      <c r="I17" s="231"/>
      <c r="J17" s="232"/>
      <c r="K17" s="232"/>
      <c r="L17" s="232"/>
      <c r="M17" s="232"/>
      <c r="N17" s="231"/>
      <c r="O17" s="231"/>
      <c r="Q17" s="231"/>
      <c r="R17" s="231"/>
      <c r="S17" s="231"/>
      <c r="U17" s="231"/>
      <c r="V17" s="231"/>
      <c r="W17" s="231"/>
      <c r="Y17" s="231"/>
      <c r="Z17" s="231"/>
      <c r="AA17" s="231"/>
      <c r="AC17" s="231"/>
      <c r="AD17" s="231"/>
      <c r="AE17" s="231"/>
      <c r="AF17" s="231"/>
      <c r="AG17" s="231"/>
      <c r="AH17" s="231"/>
      <c r="AI17" s="231"/>
      <c r="AJ17" s="781"/>
      <c r="AK17" s="781"/>
      <c r="AL17" s="235"/>
      <c r="AM17" s="235"/>
      <c r="AN17" s="1129" t="s">
        <v>877</v>
      </c>
      <c r="AO17" s="1130"/>
      <c r="AP17" s="1130"/>
      <c r="AQ17" s="1130"/>
      <c r="AR17" s="1130"/>
      <c r="AS17" s="725">
        <f>INDEX(DSS_Calc!IE:IE,MATCH($F$11*1000+2,DSS_Calc!$A:$A,0))-INDEX(DSS_Calc!IE:IE,MATCH($F$11*1000+1,DSS_Calc!$A:$A,0))</f>
        <v>-8.0498487656799345E-4</v>
      </c>
      <c r="AT17" s="725">
        <f>INDEX(DSS_Calc!IF:IF,MATCH($F$11*1000+2,DSS_Calc!$A:$A,0))-INDEX(DSS_Calc!IF:IF,MATCH($F$11*1000+1,DSS_Calc!$A:$A,0))</f>
        <v>9.3900119434220386E-5</v>
      </c>
      <c r="AU17" s="725">
        <f>INDEX(DSS_Calc!IG:IG,MATCH($F$11*1000+2,DSS_Calc!$A:$A,0))-INDEX(DSS_Calc!IG:IG,MATCH($F$11*1000+1,DSS_Calc!$A:$A,0))</f>
        <v>7.1108475713366204E-4</v>
      </c>
      <c r="AV17" s="784" t="str">
        <f>IF(MAX(MAX(AS17:AU17),ABS(MIN(AS17:AU17)))&lt;10%,"ok","check")</f>
        <v>ok</v>
      </c>
      <c r="AW17" s="717"/>
      <c r="AX17" s="235"/>
      <c r="AY17" s="235"/>
      <c r="BA17" s="275"/>
      <c r="BC17" s="231"/>
      <c r="BD17" s="231"/>
      <c r="BE17" s="231"/>
      <c r="BF17" s="231"/>
      <c r="BG17" s="231"/>
      <c r="BH17" s="231"/>
      <c r="BI17" s="231"/>
      <c r="BJ17" s="231"/>
      <c r="BK17" s="231"/>
      <c r="BL17" s="231"/>
    </row>
    <row r="18" spans="1:65" ht="15.75" customHeight="1" thickBot="1">
      <c r="A18" s="275"/>
      <c r="B18" s="275"/>
      <c r="C18" s="231"/>
      <c r="D18" s="233"/>
      <c r="E18" s="271"/>
      <c r="F18" s="234"/>
      <c r="G18" s="233"/>
      <c r="H18" s="233"/>
      <c r="I18" s="234"/>
      <c r="J18" s="233"/>
      <c r="K18" s="233"/>
      <c r="L18" s="233"/>
      <c r="M18" s="233"/>
      <c r="N18" s="234"/>
      <c r="O18" s="234"/>
      <c r="P18" s="271"/>
      <c r="Q18" s="231"/>
      <c r="R18" s="231"/>
      <c r="S18" s="231"/>
      <c r="U18" s="231"/>
      <c r="V18" s="231"/>
      <c r="W18" s="231"/>
      <c r="Y18" s="231"/>
      <c r="Z18" s="231"/>
      <c r="AA18" s="231"/>
      <c r="AC18" s="231"/>
      <c r="AD18" s="231"/>
      <c r="AE18" s="231"/>
      <c r="AF18" s="231"/>
      <c r="AG18" s="231"/>
      <c r="AH18" s="231"/>
      <c r="AI18" s="231"/>
      <c r="AJ18" s="781"/>
      <c r="AK18" s="781"/>
      <c r="AL18" s="235"/>
      <c r="AM18" s="235" t="s">
        <v>563</v>
      </c>
      <c r="AN18" s="1127" t="s">
        <v>771</v>
      </c>
      <c r="AO18" s="1128"/>
      <c r="AP18" s="1128"/>
      <c r="AQ18" s="1128"/>
      <c r="AR18" s="1128"/>
      <c r="AS18" s="726">
        <f>INDEX(DSS_Calc!JA:JA,MATCH($F$11*1000+2,DSS_Calc!$A:$A,0))-INDEX(DSS_Calc!JA:JA,MATCH($F$11*1000+1,DSS_Calc!$A:$A,0))</f>
        <v>175.96275102966729</v>
      </c>
      <c r="AT18" s="726">
        <f>INDEX(DSS_Calc!JB:JB,MATCH($F$11*1000+2,DSS_Calc!$A:$A,0))-INDEX(DSS_Calc!JB:JB,MATCH($F$11*1000+1,DSS_Calc!$A:$A,0))</f>
        <v>175.804272861762</v>
      </c>
      <c r="AU18" s="726">
        <f>INDEX(DSS_Calc!JC:JC,MATCH($F$11*1000+2,DSS_Calc!$A:$A,0))-INDEX(DSS_Calc!JC:JC,MATCH($F$11*1000+1,DSS_Calc!$A:$A,0))</f>
        <v>84.800041062580021</v>
      </c>
      <c r="AV18" s="721"/>
      <c r="AW18" s="723"/>
      <c r="AX18" s="235"/>
      <c r="AY18" s="235"/>
      <c r="BA18" s="275"/>
      <c r="BC18" s="231"/>
      <c r="BD18" s="231"/>
      <c r="BE18" s="231"/>
      <c r="BF18" s="231"/>
      <c r="BG18" s="231"/>
      <c r="BH18" s="231"/>
      <c r="BI18" s="231"/>
      <c r="BJ18" s="231"/>
      <c r="BK18" s="231"/>
      <c r="BL18" s="231"/>
    </row>
    <row r="19" spans="1:65" ht="15.75" customHeight="1">
      <c r="A19" s="275"/>
      <c r="B19" s="275"/>
      <c r="C19" s="231"/>
      <c r="D19" s="781"/>
      <c r="E19" s="286"/>
      <c r="F19" s="231"/>
      <c r="G19" s="232"/>
      <c r="H19" s="232"/>
      <c r="I19" s="231"/>
      <c r="J19" s="232"/>
      <c r="K19" s="232"/>
      <c r="L19" s="232"/>
      <c r="M19" s="232"/>
      <c r="N19" s="231"/>
      <c r="O19" s="231"/>
      <c r="Q19" s="231"/>
      <c r="R19" s="231"/>
      <c r="S19" s="231"/>
      <c r="U19" s="231"/>
      <c r="V19" s="231"/>
      <c r="W19" s="231"/>
      <c r="Y19" s="231"/>
      <c r="Z19" s="231"/>
      <c r="AA19" s="231"/>
      <c r="AC19" s="231"/>
      <c r="AD19" s="231"/>
      <c r="AE19" s="231"/>
      <c r="AF19" s="231"/>
      <c r="AG19" s="231"/>
      <c r="AH19" s="231"/>
      <c r="AI19" s="231"/>
      <c r="AJ19" s="781"/>
      <c r="AK19" s="781"/>
      <c r="AL19" s="669">
        <v>8</v>
      </c>
      <c r="AM19" s="116">
        <f>MIN(COUNTIFS(DSS_Calc!KV:KV,"&gt;0",DSS_Calc!C:C,F11),19)</f>
        <v>0</v>
      </c>
      <c r="AN19" s="1129" t="s">
        <v>881</v>
      </c>
      <c r="AO19" s="1130"/>
      <c r="AP19" s="1130"/>
      <c r="AQ19" s="1130"/>
      <c r="AR19" s="1130"/>
      <c r="AS19" s="727">
        <f>MAX(ABS(IFERROR(U35,0)),ABS(IFERROR(U37,0)),ABS(IFERROR(U39,0)),ABS(IFERROR(U41,0)),ABS(IFERROR(U43,0)),ABS(IFERROR(U45,0)),ABS(IFERROR(U47,0)),ABS(IFERROR(U49,0)),ABS(IFERROR(U51,0)),ABS(IFERROR(U53,0)),ABS(IFERROR(U55,0)),ABS(IFERROR(U57,0)),ABS(IFERROR(U59,0)),,ABS(IFERROR(U61,0)),ABS(IFERROR(U63,0)),ABS(IFERROR(U65,0)),ABS(IFERROR(U67,0)),ABS(IFERROR(U69,0)),ABS(IFERROR(U71,0)))</f>
        <v>0</v>
      </c>
      <c r="AT19" s="727">
        <f>MAX(ABS(IFERROR(V35,0)),ABS(IFERROR(V37,0)),ABS(IFERROR(V39,0)),ABS(IFERROR(V41,0)),ABS(IFERROR(V43,0)),ABS(IFERROR(V45,0)),ABS(IFERROR(V47,0)),ABS(IFERROR(V49,0)),ABS(IFERROR(V51,0)),ABS(IFERROR(V53,0)),ABS(IFERROR(V55,0)),ABS(IFERROR(V57,0)),ABS(IFERROR(V59,0)),,ABS(IFERROR(V61,0)),ABS(IFERROR(V63,0)),ABS(IFERROR(V65,0)),ABS(IFERROR(V67,0)),ABS(IFERROR(V69,0)),ABS(IFERROR(V71,0)))</f>
        <v>0</v>
      </c>
      <c r="AU19" s="727">
        <f>MAX(ABS(IFERROR(W35,0)),ABS(IFERROR(W37,0)),ABS(IFERROR(W39,0)),ABS(IFERROR(W41,0)),ABS(IFERROR(W43,0)),ABS(IFERROR(W45,0)),ABS(IFERROR(W47,0)),ABS(IFERROR(W49,0)),ABS(IFERROR(W51,0)),ABS(IFERROR(W53,0)),ABS(IFERROR(W55,0)),ABS(IFERROR(W57,0)),ABS(IFERROR(W59,0)),,ABS(IFERROR(W61,0)),ABS(IFERROR(W63,0)),ABS(IFERROR(W65,0)),ABS(IFERROR(W67,0)),ABS(IFERROR(W69,0)),ABS(IFERROR(W71,0)))</f>
        <v>0</v>
      </c>
      <c r="AV19" s="784" t="str">
        <f>IF(MAX(MAX(AS19:AU19),ABS(MIN(AS19:AU19)))&lt;10%,"ok","check")</f>
        <v>ok</v>
      </c>
      <c r="AW19" s="717"/>
      <c r="AX19" s="235"/>
      <c r="AY19" s="235"/>
      <c r="BA19" s="275"/>
      <c r="BC19" s="231"/>
      <c r="BD19" s="231"/>
      <c r="BE19" s="231"/>
      <c r="BF19" s="231"/>
      <c r="BG19" s="231"/>
      <c r="BH19" s="231"/>
      <c r="BI19" s="231"/>
      <c r="BJ19" s="231"/>
      <c r="BK19" s="231"/>
      <c r="BL19" s="231"/>
    </row>
    <row r="20" spans="1:65" ht="15.75" customHeight="1">
      <c r="A20" s="275"/>
      <c r="B20" s="275"/>
      <c r="C20" s="231"/>
      <c r="D20" s="781"/>
      <c r="E20" s="286"/>
      <c r="F20" s="231"/>
      <c r="G20" s="232"/>
      <c r="H20" s="232"/>
      <c r="I20" s="231"/>
      <c r="J20" s="232"/>
      <c r="K20" s="232"/>
      <c r="L20" s="232"/>
      <c r="M20" s="232"/>
      <c r="N20" s="231"/>
      <c r="O20" s="231"/>
      <c r="Q20" s="231"/>
      <c r="R20" s="231"/>
      <c r="S20" s="231"/>
      <c r="U20" s="231"/>
      <c r="V20" s="231"/>
      <c r="W20" s="231"/>
      <c r="Y20" s="231"/>
      <c r="Z20" s="231"/>
      <c r="AA20" s="231"/>
      <c r="AC20" s="231"/>
      <c r="AD20" s="231"/>
      <c r="AE20" s="231"/>
      <c r="AF20" s="231"/>
      <c r="AG20" s="231"/>
      <c r="AH20" s="231"/>
      <c r="AI20" s="231"/>
      <c r="AJ20" s="781"/>
      <c r="AK20" s="781"/>
      <c r="AL20" s="235"/>
      <c r="AM20" s="235"/>
      <c r="AN20" s="1131" t="s">
        <v>878</v>
      </c>
      <c r="AO20" s="1132"/>
      <c r="AP20" s="1132"/>
      <c r="AQ20" s="1132"/>
      <c r="AR20" s="1132"/>
      <c r="AS20" s="785" t="e">
        <f>IFERROR(INDEX($C:$C,MATCH(AS19,U:U,0)-1),INDEX($C:$C,MATCH(-AS19,U:U,0)-1))</f>
        <v>#N/A</v>
      </c>
      <c r="AT20" s="785" t="e">
        <f>IFERROR(INDEX($C:$C,MATCH(AT19,V:V,0)-1),INDEX($C:$C,MATCH(-AT19,V:V,0)-1))</f>
        <v>#N/A</v>
      </c>
      <c r="AU20" s="785" t="e">
        <f>IFERROR(INDEX($C:$C,MATCH(AU19,W:W,0)-1),INDEX($C:$C,MATCH(-AU19,W:W,0)-1))</f>
        <v>#N/A</v>
      </c>
      <c r="AV20" s="785"/>
      <c r="AW20" s="728"/>
      <c r="AX20" s="235"/>
      <c r="AY20" s="235"/>
      <c r="BA20" s="275"/>
      <c r="BC20" s="231"/>
      <c r="BD20" s="231"/>
      <c r="BE20" s="231"/>
      <c r="BF20" s="231"/>
      <c r="BG20" s="231"/>
      <c r="BH20" s="231"/>
      <c r="BI20" s="231"/>
      <c r="BJ20" s="231"/>
      <c r="BK20" s="231"/>
      <c r="BL20" s="231"/>
    </row>
    <row r="21" spans="1:65" ht="15.75" customHeight="1" thickBot="1">
      <c r="A21" s="275"/>
      <c r="B21" s="275"/>
      <c r="C21" s="231"/>
      <c r="D21" s="233"/>
      <c r="E21" s="271"/>
      <c r="F21" s="234"/>
      <c r="G21" s="233"/>
      <c r="H21" s="233"/>
      <c r="I21" s="234"/>
      <c r="J21" s="233"/>
      <c r="K21" s="233"/>
      <c r="L21" s="233"/>
      <c r="M21" s="233"/>
      <c r="N21" s="234"/>
      <c r="O21" s="234"/>
      <c r="P21" s="271"/>
      <c r="Q21" s="231"/>
      <c r="R21" s="231"/>
      <c r="S21" s="231"/>
      <c r="U21" s="231"/>
      <c r="V21" s="231"/>
      <c r="W21" s="231"/>
      <c r="Y21" s="231"/>
      <c r="Z21" s="231"/>
      <c r="AA21" s="231"/>
      <c r="AC21" s="231"/>
      <c r="AD21" s="231"/>
      <c r="AE21" s="231"/>
      <c r="AF21" s="231"/>
      <c r="AG21" s="231"/>
      <c r="AH21" s="231"/>
      <c r="AI21" s="231"/>
      <c r="AJ21" s="781"/>
      <c r="AK21" s="781"/>
      <c r="AL21" s="669">
        <v>0</v>
      </c>
      <c r="AM21" s="235"/>
      <c r="AN21" s="1127" t="s">
        <v>879</v>
      </c>
      <c r="AO21" s="1128"/>
      <c r="AP21" s="1128"/>
      <c r="AQ21" s="1128"/>
      <c r="AR21" s="1128"/>
      <c r="AS21" s="729" t="e">
        <f>IFERROR(INDEX(Q:Q,MATCH(AS19,U:U,0)),INDEX(Q:Q,MATCH(-AS19,U:U,0)))</f>
        <v>#N/A</v>
      </c>
      <c r="AT21" s="729" t="e">
        <f>IFERROR(INDEX(R:R,MATCH(AT19,V:V,0)),INDEX(R:R,MATCH(-AT19,V:V,0)))</f>
        <v>#N/A</v>
      </c>
      <c r="AU21" s="729" t="e">
        <f>IFERROR(INDEX(S:S,MATCH(AU19,W:W,0)),INDEX(S:S,MATCH(-AU19,W:W,0)))</f>
        <v>#N/A</v>
      </c>
      <c r="AV21" s="783"/>
      <c r="AW21" s="723"/>
      <c r="AX21" s="235"/>
      <c r="AY21" s="235"/>
      <c r="BA21" s="275"/>
      <c r="BC21" s="231"/>
      <c r="BD21" s="231"/>
      <c r="BE21" s="231"/>
      <c r="BF21" s="231"/>
      <c r="BG21" s="231"/>
      <c r="BH21" s="231"/>
      <c r="BI21" s="231"/>
      <c r="BJ21" s="231"/>
      <c r="BK21" s="231"/>
      <c r="BL21" s="231"/>
    </row>
    <row r="22" spans="1:65" ht="15.75" customHeight="1">
      <c r="A22" s="275"/>
      <c r="B22" s="275"/>
      <c r="C22" s="231"/>
      <c r="D22" s="781"/>
      <c r="E22" s="286"/>
      <c r="F22" s="231"/>
      <c r="G22" s="232"/>
      <c r="H22" s="232"/>
      <c r="I22" s="231"/>
      <c r="J22" s="232"/>
      <c r="K22" s="232"/>
      <c r="L22" s="232"/>
      <c r="M22" s="232"/>
      <c r="N22" s="231"/>
      <c r="O22" s="231"/>
      <c r="Q22" s="231"/>
      <c r="R22" s="231"/>
      <c r="S22" s="231"/>
      <c r="U22" s="231"/>
      <c r="V22" s="231"/>
      <c r="W22" s="231"/>
      <c r="Y22" s="231"/>
      <c r="Z22" s="231"/>
      <c r="AA22" s="231"/>
      <c r="AC22" s="231"/>
      <c r="AD22" s="231"/>
      <c r="AE22" s="231"/>
      <c r="AF22" s="231"/>
      <c r="AG22" s="231"/>
      <c r="AH22" s="231"/>
      <c r="AI22" s="231"/>
      <c r="AJ22" s="781"/>
      <c r="AK22" s="781"/>
      <c r="AL22" s="235"/>
      <c r="AM22" s="235"/>
      <c r="AN22" s="235"/>
      <c r="AO22" s="235"/>
      <c r="AQ22" s="231"/>
      <c r="AV22" s="235"/>
      <c r="AW22" s="235"/>
      <c r="AX22" s="235"/>
      <c r="AY22" s="235"/>
      <c r="BA22" s="682" t="s">
        <v>844</v>
      </c>
      <c r="BB22" s="683"/>
      <c r="BC22" s="676" t="s">
        <v>843</v>
      </c>
      <c r="BD22" s="677">
        <v>1</v>
      </c>
      <c r="BE22" s="676" t="s">
        <v>843</v>
      </c>
      <c r="BF22" s="677">
        <f>BD22+1</f>
        <v>2</v>
      </c>
      <c r="BG22" s="676" t="s">
        <v>843</v>
      </c>
      <c r="BH22" s="677">
        <f>BF22+1</f>
        <v>3</v>
      </c>
      <c r="BI22" s="676" t="s">
        <v>843</v>
      </c>
      <c r="BJ22" s="677">
        <f>BH22+1</f>
        <v>4</v>
      </c>
      <c r="BK22" s="676" t="s">
        <v>843</v>
      </c>
      <c r="BL22" s="677">
        <f>BJ22+1</f>
        <v>5</v>
      </c>
    </row>
    <row r="23" spans="1:65" ht="15.75" customHeight="1">
      <c r="A23" s="275"/>
      <c r="B23" s="275"/>
      <c r="C23" s="231"/>
      <c r="D23" s="781"/>
      <c r="E23" s="286"/>
      <c r="F23" s="231"/>
      <c r="G23" s="232"/>
      <c r="H23" s="232"/>
      <c r="I23" s="231"/>
      <c r="J23" s="232"/>
      <c r="K23" s="232"/>
      <c r="L23" s="232"/>
      <c r="M23" s="232"/>
      <c r="N23" s="231"/>
      <c r="O23" s="231"/>
      <c r="Q23" s="231"/>
      <c r="R23" s="231"/>
      <c r="S23" s="231"/>
      <c r="U23" s="231"/>
      <c r="V23" s="231"/>
      <c r="W23" s="231"/>
      <c r="Y23" s="231"/>
      <c r="Z23" s="231"/>
      <c r="AA23" s="231"/>
      <c r="AC23" s="231"/>
      <c r="AD23" s="231"/>
      <c r="AE23" s="231"/>
      <c r="AF23" s="231"/>
      <c r="AG23" s="231"/>
      <c r="AH23" s="231"/>
      <c r="AI23" s="231"/>
      <c r="AJ23" s="781"/>
      <c r="AK23" s="781"/>
      <c r="AL23" s="235"/>
      <c r="AM23" s="235"/>
      <c r="AN23" s="235"/>
      <c r="AO23" s="235"/>
      <c r="AQ23" s="231"/>
      <c r="AR23" s="235"/>
      <c r="AS23" s="235"/>
      <c r="AT23" s="235"/>
      <c r="AV23" s="235"/>
      <c r="AW23" s="235"/>
      <c r="AX23" s="235"/>
      <c r="AY23" s="235"/>
      <c r="BA23" s="275"/>
      <c r="BB23" s="280"/>
      <c r="BC23" s="681" t="s">
        <v>848</v>
      </c>
      <c r="BD23" s="684" t="s">
        <v>849</v>
      </c>
      <c r="BE23" s="681" t="s">
        <v>848</v>
      </c>
      <c r="BF23" s="684" t="s">
        <v>849</v>
      </c>
      <c r="BG23" s="681" t="s">
        <v>848</v>
      </c>
      <c r="BH23" s="684" t="s">
        <v>849</v>
      </c>
      <c r="BI23" s="681" t="s">
        <v>848</v>
      </c>
      <c r="BJ23" s="684" t="s">
        <v>849</v>
      </c>
      <c r="BK23" s="681" t="s">
        <v>848</v>
      </c>
      <c r="BL23" s="684" t="s">
        <v>849</v>
      </c>
    </row>
    <row r="24" spans="1:65" ht="15.75" customHeight="1">
      <c r="A24" s="275"/>
      <c r="B24" s="275"/>
      <c r="C24" s="231"/>
      <c r="D24" s="781"/>
      <c r="E24" s="286"/>
      <c r="F24" s="231"/>
      <c r="G24" s="232"/>
      <c r="H24" s="232"/>
      <c r="I24" s="231"/>
      <c r="J24" s="232"/>
      <c r="K24" s="232"/>
      <c r="L24" s="232"/>
      <c r="M24" s="232"/>
      <c r="N24" s="231"/>
      <c r="O24" s="231"/>
      <c r="Q24" s="231"/>
      <c r="R24" s="231"/>
      <c r="S24" s="231"/>
      <c r="U24" s="231"/>
      <c r="V24" s="231"/>
      <c r="W24" s="231"/>
      <c r="Y24" s="231"/>
      <c r="Z24" s="231"/>
      <c r="AA24" s="231"/>
      <c r="AC24" s="231"/>
      <c r="AD24" s="231"/>
      <c r="AE24" s="231"/>
      <c r="AF24" s="231"/>
      <c r="AG24" s="231"/>
      <c r="AH24" s="231"/>
      <c r="AI24" s="231"/>
      <c r="AJ24" s="781"/>
      <c r="AK24" s="781"/>
      <c r="AL24" s="235"/>
      <c r="AM24" s="235"/>
      <c r="AN24" s="235"/>
      <c r="AO24" s="235"/>
      <c r="AQ24" s="231"/>
      <c r="AR24" s="235"/>
      <c r="AS24" s="235"/>
      <c r="AT24" s="235"/>
      <c r="AV24" s="235"/>
      <c r="AW24" s="235"/>
      <c r="AX24" s="235"/>
      <c r="AY24" s="235"/>
      <c r="BA24" s="275" t="s">
        <v>847</v>
      </c>
      <c r="BC24" s="685">
        <v>-200</v>
      </c>
      <c r="BD24" s="686">
        <v>-0.02</v>
      </c>
      <c r="BE24" s="685">
        <v>-200</v>
      </c>
      <c r="BF24" s="686">
        <v>-0.02</v>
      </c>
      <c r="BG24" s="685">
        <v>-200</v>
      </c>
      <c r="BH24" s="686">
        <v>-0.02</v>
      </c>
      <c r="BI24" s="685">
        <v>-200</v>
      </c>
      <c r="BJ24" s="686">
        <v>-0.02</v>
      </c>
      <c r="BK24" s="685">
        <v>-200</v>
      </c>
      <c r="BL24" s="686">
        <v>-0.02</v>
      </c>
    </row>
    <row r="25" spans="1:65" ht="15.75" customHeight="1">
      <c r="A25" s="275"/>
      <c r="B25" s="275"/>
      <c r="C25" s="231"/>
      <c r="D25" s="781"/>
      <c r="E25" s="286"/>
      <c r="F25" s="231"/>
      <c r="G25" s="232"/>
      <c r="H25" s="232"/>
      <c r="I25" s="231"/>
      <c r="J25" s="232"/>
      <c r="K25" s="232"/>
      <c r="L25" s="232"/>
      <c r="M25" s="232"/>
      <c r="N25" s="231"/>
      <c r="O25" s="231"/>
      <c r="Q25" s="231"/>
      <c r="R25" s="231"/>
      <c r="S25" s="231"/>
      <c r="U25" s="231"/>
      <c r="V25" s="231"/>
      <c r="W25" s="231"/>
      <c r="Y25" s="231"/>
      <c r="Z25" s="231"/>
      <c r="AA25" s="231"/>
      <c r="AC25" s="231"/>
      <c r="AD25" s="231"/>
      <c r="AE25" s="231"/>
      <c r="AF25" s="231"/>
      <c r="AG25" s="231"/>
      <c r="AH25" s="231"/>
      <c r="AI25" s="231"/>
      <c r="AJ25" s="781"/>
      <c r="AK25" s="781"/>
      <c r="AL25" s="235"/>
      <c r="AM25" s="235"/>
      <c r="AN25" s="235"/>
      <c r="AO25" s="235"/>
      <c r="AQ25" s="231"/>
      <c r="AR25" s="235"/>
      <c r="AS25" s="235"/>
      <c r="AT25" s="235"/>
      <c r="AV25" s="235"/>
      <c r="AW25" s="235"/>
      <c r="AX25" s="235"/>
      <c r="AY25" s="235"/>
      <c r="BA25" s="275" t="s">
        <v>563</v>
      </c>
      <c r="BC25" s="685">
        <v>600</v>
      </c>
      <c r="BD25" s="686">
        <v>0.1</v>
      </c>
      <c r="BE25" s="685">
        <v>600</v>
      </c>
      <c r="BF25" s="686">
        <v>0.1</v>
      </c>
      <c r="BG25" s="685">
        <v>600</v>
      </c>
      <c r="BH25" s="686">
        <v>0.1</v>
      </c>
      <c r="BI25" s="685">
        <v>600</v>
      </c>
      <c r="BJ25" s="686">
        <v>0.1</v>
      </c>
      <c r="BK25" s="685">
        <v>600</v>
      </c>
      <c r="BL25" s="686">
        <v>0.1</v>
      </c>
    </row>
    <row r="26" spans="1:65" ht="15.75" customHeight="1">
      <c r="A26" s="275"/>
      <c r="B26" s="275"/>
      <c r="C26" s="781"/>
      <c r="D26" s="231"/>
      <c r="F26" s="231"/>
      <c r="G26" s="232"/>
      <c r="H26" s="232"/>
      <c r="I26" s="231"/>
      <c r="J26" s="232"/>
      <c r="K26" s="232"/>
      <c r="L26" s="232"/>
      <c r="M26" s="232"/>
      <c r="N26" s="231"/>
      <c r="O26" s="231"/>
      <c r="Q26" s="231"/>
      <c r="R26" s="231"/>
      <c r="S26" s="231"/>
      <c r="U26" s="231"/>
      <c r="V26" s="231"/>
      <c r="W26" s="231"/>
      <c r="Y26" s="231"/>
      <c r="Z26" s="231"/>
      <c r="AA26" s="231"/>
      <c r="AC26" s="231"/>
      <c r="AD26" s="231"/>
      <c r="AE26" s="231"/>
      <c r="AF26" s="231"/>
      <c r="AG26" s="231"/>
      <c r="AH26" s="231"/>
      <c r="AI26" s="231"/>
      <c r="AJ26" s="781"/>
      <c r="AK26" s="781"/>
      <c r="AQ26" s="781"/>
      <c r="BA26" s="281" t="s">
        <v>850</v>
      </c>
      <c r="BC26" s="685">
        <f>IF(ROUND((BC25-BC24)/5,-2)&gt;500,ROUND((BC25-BC24)/5/500,0)*500,ROUND((BC25-BC24)/5,-2))</f>
        <v>200</v>
      </c>
      <c r="BD26" s="686">
        <f>ROUND((BD25-BD24)/5,2)</f>
        <v>0.02</v>
      </c>
      <c r="BE26" s="685">
        <f>IF(ROUND((BE25-BE24)/5,-2)&gt;500,ROUND((BE25-BE24)/5/500,0)*500,ROUND((BE25-BE24)/5,-2))</f>
        <v>200</v>
      </c>
      <c r="BF26" s="686">
        <f>ROUND((BF25-BF24)/5,2)</f>
        <v>0.02</v>
      </c>
      <c r="BG26" s="685">
        <f>IF(ROUND((BG25-BG24)/5,-2)&gt;500,ROUND((BG25-BG24)/5/500,0)*500,ROUND((BG25-BG24)/5,-2))</f>
        <v>200</v>
      </c>
      <c r="BH26" s="686">
        <f>ROUND((BH25-BH24)/5,2)</f>
        <v>0.02</v>
      </c>
      <c r="BI26" s="685">
        <f>IF(ROUND((BI25-BI24)/5,-2)&gt;500,ROUND((BI25-BI24)/5/500,0)*500,ROUND((BI25-BI24)/5,-2))</f>
        <v>200</v>
      </c>
      <c r="BJ26" s="686">
        <f>ROUND((BJ25-BJ24)/5,2)</f>
        <v>0.02</v>
      </c>
      <c r="BK26" s="685">
        <f>IF(ROUND((BK25-BK24)/5,-2)&gt;500,ROUND((BK25-BK24)/5/500,0)*500,ROUND((BK25-BK24)/5,-2))</f>
        <v>200</v>
      </c>
      <c r="BL26" s="686">
        <f>ROUND((BL25-BL24)/5,2)</f>
        <v>0.02</v>
      </c>
    </row>
    <row r="27" spans="1:65" ht="21" customHeight="1">
      <c r="A27" s="1124" t="s">
        <v>571</v>
      </c>
      <c r="B27" s="390"/>
      <c r="C27" s="1124" t="s">
        <v>572</v>
      </c>
      <c r="D27" s="782" t="s">
        <v>134</v>
      </c>
      <c r="F27" s="1125" t="s">
        <v>354</v>
      </c>
      <c r="G27" s="1125"/>
      <c r="H27" s="1125"/>
      <c r="I27" s="1125"/>
      <c r="J27" s="1125"/>
      <c r="K27" s="1125"/>
      <c r="L27" s="1125"/>
      <c r="M27" s="1125"/>
      <c r="N27" s="1125"/>
      <c r="O27" s="1125"/>
      <c r="P27" s="277"/>
      <c r="Q27" s="1125" t="s">
        <v>135</v>
      </c>
      <c r="R27" s="1125"/>
      <c r="S27" s="1125"/>
      <c r="T27" s="277"/>
      <c r="U27" s="1125" t="s">
        <v>136</v>
      </c>
      <c r="V27" s="1125"/>
      <c r="W27" s="1125"/>
      <c r="X27" s="277"/>
      <c r="Y27" s="1125" t="s">
        <v>137</v>
      </c>
      <c r="Z27" s="1125"/>
      <c r="AA27" s="1125"/>
      <c r="AB27" s="277"/>
      <c r="AC27" s="1125" t="s">
        <v>138</v>
      </c>
      <c r="AD27" s="1125"/>
      <c r="AE27" s="1125"/>
      <c r="AF27" s="1125"/>
      <c r="AG27" s="1125"/>
      <c r="AH27" s="1125"/>
      <c r="AI27" s="1125"/>
      <c r="AJ27" s="278"/>
      <c r="AK27" s="391"/>
      <c r="AL27" s="697" t="s">
        <v>868</v>
      </c>
      <c r="AM27" s="698"/>
      <c r="AN27" s="698"/>
      <c r="AO27" s="235"/>
      <c r="AR27" s="235"/>
      <c r="AS27" s="235"/>
      <c r="AT27" s="235"/>
      <c r="AV27" s="235"/>
      <c r="AW27" s="235"/>
      <c r="AX27" s="235"/>
      <c r="AY27" s="235"/>
      <c r="BA27" s="280"/>
      <c r="BB27" s="280"/>
      <c r="BC27" s="237"/>
      <c r="BD27" s="672"/>
      <c r="BE27" s="237"/>
      <c r="BF27" s="672"/>
      <c r="BG27" s="237"/>
      <c r="BH27" s="672"/>
      <c r="BI27" s="237"/>
      <c r="BJ27" s="672"/>
      <c r="BK27" s="237"/>
      <c r="BL27" s="672"/>
      <c r="BM27" s="280"/>
    </row>
    <row r="28" spans="1:65" s="280" customFormat="1" ht="39.950000000000003" customHeight="1">
      <c r="A28" s="1124"/>
      <c r="B28" s="279"/>
      <c r="C28" s="1124"/>
      <c r="D28" s="236"/>
      <c r="E28" s="392"/>
      <c r="F28" s="237" t="s">
        <v>139</v>
      </c>
      <c r="G28" s="238" t="s">
        <v>975</v>
      </c>
      <c r="H28" s="238" t="s">
        <v>39</v>
      </c>
      <c r="I28" s="237" t="s">
        <v>715</v>
      </c>
      <c r="J28" s="237" t="s">
        <v>330</v>
      </c>
      <c r="K28" s="237" t="s">
        <v>345</v>
      </c>
      <c r="L28" s="237" t="s">
        <v>345</v>
      </c>
      <c r="M28" s="237" t="s">
        <v>345</v>
      </c>
      <c r="N28" s="237" t="s">
        <v>735</v>
      </c>
      <c r="O28" s="237" t="s">
        <v>963</v>
      </c>
      <c r="P28" s="279"/>
      <c r="Q28" s="237" t="s">
        <v>328</v>
      </c>
      <c r="R28" s="237" t="s">
        <v>329</v>
      </c>
      <c r="S28" s="237" t="s">
        <v>330</v>
      </c>
      <c r="T28" s="279"/>
      <c r="U28" s="237" t="s">
        <v>328</v>
      </c>
      <c r="V28" s="237" t="s">
        <v>329</v>
      </c>
      <c r="W28" s="237" t="s">
        <v>330</v>
      </c>
      <c r="X28" s="279"/>
      <c r="Y28" s="237" t="str">
        <f>Q28</f>
        <v>Cash</v>
      </c>
      <c r="Z28" s="237" t="str">
        <f>R28</f>
        <v>Finance</v>
      </c>
      <c r="AA28" s="237" t="str">
        <f>S28</f>
        <v>Lease</v>
      </c>
      <c r="AB28" s="279"/>
      <c r="AC28" s="237" t="s">
        <v>375</v>
      </c>
      <c r="AD28" s="237" t="s">
        <v>311</v>
      </c>
      <c r="AE28" s="237" t="s">
        <v>356</v>
      </c>
      <c r="AF28" s="237" t="s">
        <v>355</v>
      </c>
      <c r="AG28" s="237" t="s">
        <v>573</v>
      </c>
      <c r="AH28" s="237" t="s">
        <v>345</v>
      </c>
      <c r="AI28" s="237" t="s">
        <v>374</v>
      </c>
      <c r="AJ28" s="229"/>
      <c r="AK28" s="393"/>
      <c r="AL28" s="752" t="str">
        <f>LEFT(U28,1)</f>
        <v>C</v>
      </c>
      <c r="AM28" s="752" t="str">
        <f>LEFT(V28,1)</f>
        <v>F</v>
      </c>
      <c r="AN28" s="752" t="str">
        <f>LEFT(W28,1)</f>
        <v>L</v>
      </c>
      <c r="AO28" s="235"/>
      <c r="AQ28" s="235"/>
      <c r="AR28" s="235"/>
      <c r="AS28" s="241"/>
      <c r="AT28" s="585" t="s">
        <v>782</v>
      </c>
      <c r="AU28" s="585"/>
      <c r="AV28" s="585"/>
      <c r="AW28" s="585"/>
      <c r="AX28" s="585"/>
      <c r="AY28" s="241"/>
      <c r="BA28" s="678" t="s">
        <v>842</v>
      </c>
      <c r="BB28" s="679"/>
      <c r="BC28" s="678" t="s">
        <v>841</v>
      </c>
      <c r="BD28" s="680" t="s">
        <v>846</v>
      </c>
      <c r="BE28" s="678" t="s">
        <v>841</v>
      </c>
      <c r="BF28" s="680" t="s">
        <v>846</v>
      </c>
      <c r="BG28" s="678" t="s">
        <v>841</v>
      </c>
      <c r="BH28" s="680" t="s">
        <v>846</v>
      </c>
      <c r="BI28" s="678" t="s">
        <v>841</v>
      </c>
      <c r="BJ28" s="680" t="s">
        <v>846</v>
      </c>
      <c r="BK28" s="678" t="s">
        <v>841</v>
      </c>
      <c r="BL28" s="680" t="s">
        <v>846</v>
      </c>
    </row>
    <row r="29" spans="1:65" ht="18" hidden="1" customHeight="1" outlineLevel="1">
      <c r="C29" s="241"/>
      <c r="D29" s="239" t="s">
        <v>313</v>
      </c>
      <c r="F29" s="240" t="s">
        <v>312</v>
      </c>
      <c r="G29" s="240" t="s">
        <v>312</v>
      </c>
      <c r="H29" s="240" t="s">
        <v>312</v>
      </c>
      <c r="I29" s="240" t="s">
        <v>312</v>
      </c>
      <c r="J29" s="240" t="s">
        <v>312</v>
      </c>
      <c r="K29" s="240" t="s">
        <v>312</v>
      </c>
      <c r="L29" s="240" t="s">
        <v>312</v>
      </c>
      <c r="M29" s="240" t="s">
        <v>312</v>
      </c>
      <c r="N29" s="240" t="s">
        <v>312</v>
      </c>
      <c r="O29" s="240" t="s">
        <v>312</v>
      </c>
      <c r="Q29" s="240" t="s">
        <v>312</v>
      </c>
      <c r="R29" s="240" t="s">
        <v>312</v>
      </c>
      <c r="S29" s="240" t="s">
        <v>312</v>
      </c>
      <c r="U29" s="240" t="s">
        <v>312</v>
      </c>
      <c r="V29" s="240" t="s">
        <v>312</v>
      </c>
      <c r="W29" s="240" t="s">
        <v>312</v>
      </c>
      <c r="Z29" s="241"/>
      <c r="AA29" s="241"/>
      <c r="AC29" s="240" t="s">
        <v>312</v>
      </c>
      <c r="AD29" s="240" t="s">
        <v>312</v>
      </c>
      <c r="AE29" s="242" t="s">
        <v>312</v>
      </c>
      <c r="AF29" s="240" t="s">
        <v>312</v>
      </c>
      <c r="AG29" s="243"/>
      <c r="AH29" s="243"/>
      <c r="AI29" s="243"/>
      <c r="AJ29" s="781"/>
      <c r="AK29" s="781"/>
      <c r="AL29" s="698"/>
      <c r="AM29" s="698"/>
      <c r="AN29" s="698"/>
      <c r="AO29" s="235"/>
      <c r="AR29" s="235"/>
      <c r="AS29" s="235"/>
      <c r="AT29" s="586"/>
      <c r="AU29" s="585"/>
      <c r="AV29" s="586"/>
      <c r="AW29" s="586"/>
      <c r="AX29" s="586"/>
      <c r="AY29" s="235"/>
      <c r="BC29" s="241"/>
      <c r="BD29" s="673"/>
      <c r="BE29" s="241"/>
      <c r="BF29" s="241"/>
      <c r="BG29" s="241"/>
      <c r="BH29" s="241"/>
      <c r="BI29" s="241"/>
      <c r="BJ29" s="241"/>
      <c r="BK29" s="241"/>
      <c r="BL29" s="241"/>
    </row>
    <row r="30" spans="1:65" ht="18" hidden="1" customHeight="1" outlineLevel="1">
      <c r="A30" s="238"/>
      <c r="B30" s="279"/>
      <c r="C30" s="238"/>
      <c r="D30" s="238"/>
      <c r="F30" s="244">
        <f>DSS_Calc!E92</f>
        <v>5</v>
      </c>
      <c r="G30" s="244">
        <v>42</v>
      </c>
      <c r="H30" s="244">
        <v>45</v>
      </c>
      <c r="I30" s="244">
        <v>17</v>
      </c>
      <c r="J30" s="244">
        <v>37</v>
      </c>
      <c r="K30" s="244">
        <v>45</v>
      </c>
      <c r="L30" s="244">
        <v>45</v>
      </c>
      <c r="M30" s="244">
        <v>45</v>
      </c>
      <c r="N30" s="244">
        <v>33</v>
      </c>
      <c r="O30" s="244">
        <v>29</v>
      </c>
      <c r="P30" s="279"/>
      <c r="Q30" s="244">
        <f>DSS_Calc!JA92</f>
        <v>261</v>
      </c>
      <c r="R30" s="244">
        <f>DSS_Calc!JB92</f>
        <v>262</v>
      </c>
      <c r="S30" s="244">
        <f>DSS_Calc!JC92</f>
        <v>263</v>
      </c>
      <c r="T30" s="279"/>
      <c r="U30" s="244">
        <f>DSS_Calc!IE92</f>
        <v>239</v>
      </c>
      <c r="V30" s="244">
        <f>DSS_Calc!IF92</f>
        <v>240</v>
      </c>
      <c r="W30" s="244">
        <f>DSS_Calc!IG92</f>
        <v>241</v>
      </c>
      <c r="X30" s="279"/>
      <c r="Z30" s="241"/>
      <c r="AA30" s="241"/>
      <c r="AB30" s="279"/>
      <c r="AC30" s="245"/>
      <c r="AD30" s="245">
        <f>DSS_Calc!JS92</f>
        <v>279</v>
      </c>
      <c r="AE30" s="246">
        <f>DSS_Calc!JM92</f>
        <v>273</v>
      </c>
      <c r="AF30" s="245">
        <f>DSS_Calc!JU92</f>
        <v>281</v>
      </c>
      <c r="AG30" s="247"/>
      <c r="AH30" s="247"/>
      <c r="AI30" s="244">
        <f>DSS_Calc!JK92</f>
        <v>271</v>
      </c>
      <c r="AJ30" s="229"/>
      <c r="AK30" s="283"/>
      <c r="AL30" s="698"/>
      <c r="AM30" s="698"/>
      <c r="AN30" s="698"/>
      <c r="AO30" s="235"/>
      <c r="AR30" s="235"/>
      <c r="AT30" s="585"/>
      <c r="AU30" s="585"/>
      <c r="AV30" s="585"/>
      <c r="AW30" s="585"/>
      <c r="AX30" s="585"/>
      <c r="AZ30" s="284"/>
      <c r="BA30" s="238"/>
      <c r="BC30" s="238"/>
      <c r="BD30" s="674"/>
      <c r="BE30" s="238"/>
      <c r="BF30" s="238"/>
      <c r="BG30" s="238"/>
      <c r="BH30" s="238"/>
      <c r="BI30" s="238"/>
      <c r="BJ30" s="238"/>
      <c r="BK30" s="238"/>
      <c r="BL30" s="238"/>
    </row>
    <row r="31" spans="1:65" ht="18" hidden="1" customHeight="1" outlineLevel="1">
      <c r="A31" s="238"/>
      <c r="B31" s="279"/>
      <c r="C31" s="238"/>
      <c r="D31" s="239" t="s">
        <v>574</v>
      </c>
      <c r="F31" s="244" t="s">
        <v>632</v>
      </c>
      <c r="G31" s="244"/>
      <c r="H31" s="244"/>
      <c r="I31" s="244" t="s">
        <v>714</v>
      </c>
      <c r="J31" s="244" t="s">
        <v>633</v>
      </c>
      <c r="K31" s="244" t="s">
        <v>2</v>
      </c>
      <c r="L31" s="244"/>
      <c r="M31" s="244"/>
      <c r="N31" s="244" t="s">
        <v>738</v>
      </c>
      <c r="O31" s="244" t="s">
        <v>960</v>
      </c>
      <c r="P31" s="279"/>
      <c r="Q31" s="248"/>
      <c r="R31" s="248"/>
      <c r="S31" s="248"/>
      <c r="T31" s="279"/>
      <c r="U31" s="248"/>
      <c r="V31" s="248"/>
      <c r="W31" s="248"/>
      <c r="X31" s="279"/>
      <c r="Z31" s="241"/>
      <c r="AA31" s="241"/>
      <c r="AB31" s="279"/>
      <c r="AC31" s="241"/>
      <c r="AD31" s="241"/>
      <c r="AE31" s="249"/>
      <c r="AF31" s="241"/>
      <c r="AG31" s="248"/>
      <c r="AH31" s="248"/>
      <c r="AI31" s="248"/>
      <c r="AJ31" s="229"/>
      <c r="AK31" s="283"/>
      <c r="AL31" s="698"/>
      <c r="AM31" s="698"/>
      <c r="AN31" s="698"/>
      <c r="AO31" s="235"/>
      <c r="AR31" s="235"/>
      <c r="AS31" s="235"/>
      <c r="AT31" s="586"/>
      <c r="AU31" s="585"/>
      <c r="AV31" s="586"/>
      <c r="AW31" s="586"/>
      <c r="AX31" s="586"/>
      <c r="AY31" s="235"/>
      <c r="AZ31" s="284"/>
      <c r="BA31" s="238"/>
      <c r="BC31" s="238"/>
      <c r="BD31" s="674"/>
      <c r="BE31" s="238"/>
      <c r="BF31" s="238"/>
      <c r="BG31" s="238"/>
      <c r="BH31" s="238"/>
      <c r="BI31" s="238"/>
      <c r="BJ31" s="238"/>
      <c r="BK31" s="238"/>
      <c r="BL31" s="238"/>
    </row>
    <row r="32" spans="1:65" ht="18" hidden="1" customHeight="1" outlineLevel="1">
      <c r="A32" s="285"/>
      <c r="B32" s="286"/>
      <c r="C32" s="258"/>
      <c r="D32" s="236"/>
      <c r="F32" s="250"/>
      <c r="G32" s="251"/>
      <c r="H32" s="251"/>
      <c r="I32" s="251"/>
      <c r="J32" s="251"/>
      <c r="K32" s="251"/>
      <c r="L32" s="251"/>
      <c r="M32" s="251"/>
      <c r="N32" s="251"/>
      <c r="O32" s="251"/>
      <c r="P32" s="273"/>
      <c r="Q32" s="251"/>
      <c r="R32" s="251"/>
      <c r="S32" s="251"/>
      <c r="T32" s="273"/>
      <c r="U32" s="394"/>
      <c r="V32" s="251"/>
      <c r="W32" s="251"/>
      <c r="X32" s="271"/>
      <c r="Y32" s="251"/>
      <c r="Z32" s="251"/>
      <c r="AA32" s="251"/>
      <c r="AB32" s="271"/>
      <c r="AC32" s="251"/>
      <c r="AD32" s="251"/>
      <c r="AE32" s="252"/>
      <c r="AF32" s="251"/>
      <c r="AG32" s="253"/>
      <c r="AH32" s="253"/>
      <c r="AI32" s="254"/>
      <c r="AJ32" s="232"/>
      <c r="AK32" s="781"/>
      <c r="AL32" s="698"/>
      <c r="AM32" s="698"/>
      <c r="AN32" s="698"/>
      <c r="AO32" s="235"/>
      <c r="AR32" s="235"/>
      <c r="AT32" s="585"/>
      <c r="AU32" s="585"/>
      <c r="AV32" s="585"/>
      <c r="AW32" s="585"/>
      <c r="AX32" s="585"/>
      <c r="AZ32" s="284"/>
      <c r="BA32" s="285"/>
      <c r="BC32" s="258"/>
      <c r="BD32" s="675"/>
      <c r="BE32" s="258"/>
      <c r="BF32" s="258"/>
      <c r="BG32" s="258"/>
      <c r="BH32" s="258"/>
      <c r="BI32" s="258"/>
      <c r="BJ32" s="258"/>
      <c r="BK32" s="258"/>
      <c r="BL32" s="258"/>
    </row>
    <row r="33" spans="1:64" ht="18" customHeight="1" collapsed="1">
      <c r="A33" s="285"/>
      <c r="B33" s="286"/>
      <c r="C33" s="287">
        <v>2</v>
      </c>
      <c r="D33" s="255" t="s">
        <v>120</v>
      </c>
      <c r="E33" s="272" t="s">
        <v>2</v>
      </c>
      <c r="F33" s="256">
        <f>IF($C33="","",VLOOKUP($C33+$F$11*1000,DSS_Calc!$A:$JV,F$30,FALSE))</f>
        <v>1267.2644913000609</v>
      </c>
      <c r="G33" s="256" t="str">
        <f>IF($C33="","",VLOOKUP($C33+$F$11*1000,DSS_Calc!$A:$JV,G$30,FALSE))</f>
        <v>0/0.9/1.9/3.9</v>
      </c>
      <c r="H33" s="256">
        <f>IF($C33="","",VLOOKUP($C33+$F$11*1000,DSS_Calc!$A:$JV,H$30,FALSE))</f>
        <v>0</v>
      </c>
      <c r="I33" s="256">
        <f>IF($C33="","",VLOOKUP($C33+$F$11*1000,DSS_Calc!$A:$JV,I$30,FALSE))</f>
        <v>0</v>
      </c>
      <c r="J33" s="256">
        <f>IF($C33="","",VLOOKUP($C33+$F$11*1000,DSS_Calc!$A:$JV,J$30,FALSE))</f>
        <v>3061</v>
      </c>
      <c r="K33" s="256">
        <f>IF($C33="","",VLOOKUP($C33+$F$11*1000,DSS_Calc!$A:$JV,K$30,FALSE))</f>
        <v>0</v>
      </c>
      <c r="L33" s="256">
        <f>IF($C33="","",VLOOKUP($C33+$F$11*1000,DSS_Calc!$A:$JV,L$30,FALSE))</f>
        <v>0</v>
      </c>
      <c r="M33" s="256">
        <f>IF($C33="","",VLOOKUP($C33+$F$11*1000,DSS_Calc!$A:$JV,M$30,FALSE))</f>
        <v>0</v>
      </c>
      <c r="N33" s="256">
        <f>IF($C33="","",VLOOKUP($C33+$F$11*1000,DSS_Calc!$A:$JV,N$30,FALSE))</f>
        <v>500</v>
      </c>
      <c r="O33" s="256">
        <f>IF($C33="","",VLOOKUP($C33+$F$11*1000,DSS_Calc!$A:$JV,O$30,FALSE))</f>
        <v>0</v>
      </c>
      <c r="P33" s="294" t="s">
        <v>2</v>
      </c>
      <c r="Q33" s="256">
        <f>IF($C33="","",VLOOKUP($C33+$F$11*1000,DSS_Calc!$A:$JV,Q$30,FALSE)*IF(U33=0,0,1))</f>
        <v>1730.1417994436906</v>
      </c>
      <c r="R33" s="256">
        <f>IF($C33="","",VLOOKUP($C33+$F$11*1000,DSS_Calc!$A:$JV,R$30,FALSE)*IF(V33=0,0,1))</f>
        <v>2588.1043930142132</v>
      </c>
      <c r="S33" s="256">
        <f>IF($C33="","",VLOOKUP($C33+$F$11*1000,DSS_Calc!$A:$JV,S$30,FALSE)*IF(W33=0,0,1))</f>
        <v>4077.8863363554374</v>
      </c>
      <c r="T33" s="294" t="s">
        <v>2</v>
      </c>
      <c r="U33" s="395">
        <f>IF($C33="","",VLOOKUP($C33+$F$11*1000,DSS_Calc!$A:$JV,U$30,FALSE))</f>
        <v>0.37072548496371732</v>
      </c>
      <c r="V33" s="395">
        <f>IF($C33="","",VLOOKUP($C33+$F$11*1000,DSS_Calc!$A:$JV,V$30,FALSE))</f>
        <v>0.49986130591878297</v>
      </c>
      <c r="W33" s="395">
        <f>IF($C33="","",VLOOKUP($C33+$F$11*1000,DSS_Calc!$A:$JV,W$30,FALSE))</f>
        <v>0.12941320911749962</v>
      </c>
      <c r="X33" s="290" t="s">
        <v>2</v>
      </c>
      <c r="Y33" s="256">
        <f t="shared" ref="Y33:AA34" si="0">IF(U33=0,0,U33*Q33)</f>
        <v>641.40765765476078</v>
      </c>
      <c r="Z33" s="256">
        <f t="shared" si="0"/>
        <v>1293.6932417462237</v>
      </c>
      <c r="AA33" s="256">
        <f t="shared" si="0"/>
        <v>527.73235720416062</v>
      </c>
      <c r="AB33" s="290" t="s">
        <v>2</v>
      </c>
      <c r="AC33" s="256">
        <f>SUM(Y33:AA33)</f>
        <v>2462.8332566051449</v>
      </c>
      <c r="AD33" s="259">
        <f>AC33*AE33/1000/1000</f>
        <v>16.255410074222176</v>
      </c>
      <c r="AE33" s="260">
        <f>IF($C33="","",VLOOKUP($C33+$F$11*1000,DSS_Calc!$A:$JV,AE$30,FALSE))</f>
        <v>6600.288521614817</v>
      </c>
      <c r="AF33" s="259">
        <f>IF($C33="","",VLOOKUP($C33+$F$11*1000,DSS_Calc!$A:$JV,AF$30,FALSE))</f>
        <v>23.316619757119458</v>
      </c>
      <c r="AG33" s="299">
        <v>0</v>
      </c>
      <c r="AH33" s="257"/>
      <c r="AI33" s="299">
        <v>0</v>
      </c>
      <c r="AJ33" s="232" t="s">
        <v>2</v>
      </c>
      <c r="AK33" s="749" t="str">
        <f>D33</f>
        <v>Baseline</v>
      </c>
      <c r="AL33" s="753"/>
      <c r="AM33" s="753"/>
      <c r="AN33" s="753"/>
      <c r="AO33" s="235"/>
      <c r="AR33" s="235"/>
      <c r="AS33" s="235"/>
      <c r="AT33" s="586"/>
      <c r="AU33" s="585"/>
      <c r="AV33" s="586"/>
      <c r="AW33" s="586"/>
      <c r="AX33" s="586"/>
      <c r="AY33" s="235"/>
      <c r="BA33" s="303" t="s">
        <v>116</v>
      </c>
      <c r="BC33" s="669">
        <v>2</v>
      </c>
      <c r="BD33" s="670"/>
      <c r="BE33" s="669">
        <v>2</v>
      </c>
      <c r="BF33" s="670"/>
      <c r="BG33" s="669">
        <v>2</v>
      </c>
      <c r="BH33" s="670"/>
      <c r="BI33" s="669">
        <v>2</v>
      </c>
      <c r="BJ33" s="670"/>
      <c r="BK33" s="669">
        <v>2</v>
      </c>
      <c r="BL33" s="670"/>
    </row>
    <row r="34" spans="1:64" ht="18" customHeight="1">
      <c r="A34" s="287" t="s">
        <v>140</v>
      </c>
      <c r="B34" s="288"/>
      <c r="C34" s="287" t="s">
        <v>391</v>
      </c>
      <c r="D34" s="396" t="str">
        <f>"Scenario " &amp; A34</f>
        <v>Scenario A</v>
      </c>
      <c r="E34" s="272" t="s">
        <v>2</v>
      </c>
      <c r="F34" s="397" t="e">
        <f>IF($C34="","",VLOOKUP($C34+$F$11*1000,DSS_Calc!$A:$JV,F$30,FALSE))</f>
        <v>#VALUE!</v>
      </c>
      <c r="G34" s="397" t="e">
        <f>IF($C34="","",VLOOKUP($C34+$F$11*1000,DSS_Calc!$A:$JV,G$30,FALSE))</f>
        <v>#VALUE!</v>
      </c>
      <c r="H34" s="397" t="e">
        <f>IF($C34="","",VLOOKUP($C34+$F$11*1000,DSS_Calc!$A:$JV,H$30,FALSE))</f>
        <v>#VALUE!</v>
      </c>
      <c r="I34" s="397" t="e">
        <f>IF($C34="","",VLOOKUP($C34+$F$11*1000,DSS_Calc!$A:$JV,I$30,FALSE))</f>
        <v>#VALUE!</v>
      </c>
      <c r="J34" s="397" t="e">
        <f>IF($C34="","",VLOOKUP($C34+$F$11*1000,DSS_Calc!$A:$JV,J$30,FALSE))</f>
        <v>#VALUE!</v>
      </c>
      <c r="K34" s="397" t="e">
        <f>IF($C34="","",VLOOKUP($C34+$F$11*1000,DSS_Calc!$A:$JV,K$30,FALSE))</f>
        <v>#VALUE!</v>
      </c>
      <c r="L34" s="397" t="e">
        <f>IF($C34="","",VLOOKUP($C34+$F$11*1000,DSS_Calc!$A:$JV,L$30,FALSE))</f>
        <v>#VALUE!</v>
      </c>
      <c r="M34" s="397" t="e">
        <f>IF($C34="","",VLOOKUP($C34+$F$11*1000,DSS_Calc!$A:$JV,M$30,FALSE))</f>
        <v>#VALUE!</v>
      </c>
      <c r="N34" s="397" t="e">
        <f>IF($C34="","",VLOOKUP($C34+$F$11*1000,DSS_Calc!$A:$JV,N$30,FALSE))</f>
        <v>#VALUE!</v>
      </c>
      <c r="O34" s="397" t="e">
        <f>IF($C34="","",VLOOKUP($C34+$F$11*1000,DSS_Calc!$A:$JV,O$30,FALSE))</f>
        <v>#VALUE!</v>
      </c>
      <c r="P34" s="294" t="s">
        <v>2</v>
      </c>
      <c r="Q34" s="397" t="e">
        <f>IF($C34="","",VLOOKUP($C34+$F$11*1000,DSS_Calc!$A:$JV,Q$30,FALSE)*IF(U34=0,0,1))</f>
        <v>#VALUE!</v>
      </c>
      <c r="R34" s="397" t="e">
        <f>IF($C34="","",VLOOKUP($C34+$F$11*1000,DSS_Calc!$A:$JV,R$30,FALSE)*IF(V34=0,0,1))</f>
        <v>#VALUE!</v>
      </c>
      <c r="S34" s="397" t="e">
        <f>IF($C34="","",VLOOKUP($C34+$F$11*1000,DSS_Calc!$A:$JV,S$30,FALSE)*IF(W34=0,0,1))</f>
        <v>#VALUE!</v>
      </c>
      <c r="T34" s="294" t="s">
        <v>2</v>
      </c>
      <c r="U34" s="398" t="e">
        <f>IF($C34="","",VLOOKUP($C34+$F$11*1000,DSS_Calc!$A:$JV,U$30,FALSE))</f>
        <v>#VALUE!</v>
      </c>
      <c r="V34" s="398" t="e">
        <f>IF($C34="","",VLOOKUP($C34+$F$11*1000,DSS_Calc!$A:$JV,V$30,FALSE))</f>
        <v>#VALUE!</v>
      </c>
      <c r="W34" s="398" t="e">
        <f>IF($C34="","",VLOOKUP($C34+$F$11*1000,DSS_Calc!$A:$JV,W$30,FALSE))</f>
        <v>#VALUE!</v>
      </c>
      <c r="X34" s="294" t="s">
        <v>2</v>
      </c>
      <c r="Y34" s="397" t="e">
        <f t="shared" si="0"/>
        <v>#VALUE!</v>
      </c>
      <c r="Z34" s="397" t="e">
        <f t="shared" si="0"/>
        <v>#VALUE!</v>
      </c>
      <c r="AA34" s="397" t="e">
        <f t="shared" si="0"/>
        <v>#VALUE!</v>
      </c>
      <c r="AB34" s="294" t="s">
        <v>2</v>
      </c>
      <c r="AC34" s="397" t="e">
        <f>SUM(Y34:AA34)</f>
        <v>#VALUE!</v>
      </c>
      <c r="AD34" s="399" t="e">
        <f>AC34*AE34/1000/1000</f>
        <v>#VALUE!</v>
      </c>
      <c r="AE34" s="400" t="e">
        <f>IF($C34="","",VLOOKUP($C34+$F$11*1000,DSS_Calc!$A:$JV,AE$30,FALSE))</f>
        <v>#VALUE!</v>
      </c>
      <c r="AF34" s="399" t="e">
        <f>IF($C34="","",VLOOKUP($C34+$F$11*1000,DSS_Calc!$A:$JV,AF$30,FALSE))</f>
        <v>#VALUE!</v>
      </c>
      <c r="AG34" s="401"/>
      <c r="AH34" s="398"/>
      <c r="AI34" s="401"/>
      <c r="AJ34" s="289" t="s">
        <v>2</v>
      </c>
      <c r="AK34" s="781" t="e">
        <f>LEFT(A34&amp;":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
LEN(A34&amp;": "&amp;IF(F34=F$33,"",IF(F35&gt;0,"+","")&amp;F35&amp;F$31&amp;", ")
&amp;IF(G34=G$33,"",IF(G35&gt;0,"+","")&amp;G34&amp;G$31&amp;", ")
&amp;IF(H34=H$33,"",IF(H35&gt;0,"+","")&amp;H34&amp;H$31&amp;", ")
&amp;IF(I34=I$33,"",IF(I35&gt;0,"+","")&amp;I35&amp;I$31&amp;", ")
&amp;IF(J34=J$33,"",IF(J35&gt;0,"+","")&amp;J35&amp;J$31&amp;", ")
&amp;IF(K34=K$33,"",IF(K35&gt;0,"+","")&amp;K35&amp;K$31&amp;", ")
&amp;IF(L34=L$33,"",IF(L35&gt;0,"+","")&amp;L35&amp;L$31&amp;", ")
&amp;IF(M34=M$33,"",IF(M35&gt;0,"+","")&amp;M35&amp;M$31&amp;", ")
&amp;IF(N34=N$33,"",IF(N35&gt;0,"+","")&amp;N35&amp;N$31&amp;", ")
&amp;IF(O34=O$33,"",IF(O35&gt;0,"+","")&amp;O35&amp;O$31&amp;", "))-2)</f>
        <v>#VALUE!</v>
      </c>
      <c r="AL34" s="698"/>
      <c r="AM34" s="698"/>
      <c r="AN34" s="699"/>
      <c r="AO34" s="235"/>
      <c r="AR34" s="235"/>
      <c r="AT34" s="585"/>
      <c r="AU34" s="585"/>
      <c r="AV34" s="585"/>
      <c r="AW34" s="585"/>
      <c r="AX34" s="585"/>
      <c r="BA34" s="303" t="s">
        <v>140</v>
      </c>
      <c r="BC34" s="669">
        <v>26</v>
      </c>
      <c r="BD34" s="670" t="s">
        <v>853</v>
      </c>
      <c r="BE34" s="669">
        <v>26</v>
      </c>
      <c r="BF34" s="670" t="s">
        <v>845</v>
      </c>
      <c r="BG34" s="669">
        <v>26</v>
      </c>
      <c r="BH34" s="670" t="s">
        <v>845</v>
      </c>
      <c r="BI34" s="669">
        <v>26</v>
      </c>
      <c r="BJ34" s="670" t="s">
        <v>845</v>
      </c>
      <c r="BK34" s="669">
        <v>26</v>
      </c>
      <c r="BL34" s="670" t="s">
        <v>845</v>
      </c>
    </row>
    <row r="35" spans="1:64" ht="18" customHeight="1">
      <c r="A35" s="564" t="e">
        <f>AI35/((Q35*U34+R35*V34+S35*W34)/(VLOOKUP($C34+$F$11*1000,DSS_Calc!$A:$JV,DSS_Calc!BX$92,FALSE)-$AC$33))</f>
        <v>#N/A</v>
      </c>
      <c r="B35" s="402"/>
      <c r="C35" s="564" t="e">
        <f>AI35/(AC35/(VLOOKUP($C34+$F$11*1000,DSS_Calc!$A:$JV,DSS_Calc!BX$92,FALSE)-$AC$33))</f>
        <v>#N/A</v>
      </c>
      <c r="D35" s="403" t="s">
        <v>141</v>
      </c>
      <c r="F35" s="404" t="e">
        <f>ROUND(F34-F$33,0)</f>
        <v>#VALUE!</v>
      </c>
      <c r="G35" s="404"/>
      <c r="H35" s="404"/>
      <c r="I35" s="404" t="e">
        <f t="shared" ref="I35:O35" si="1">ROUND(I34-I$33,0)</f>
        <v>#VALUE!</v>
      </c>
      <c r="J35" s="404" t="e">
        <f t="shared" si="1"/>
        <v>#VALUE!</v>
      </c>
      <c r="K35" s="404" t="e">
        <f t="shared" si="1"/>
        <v>#VALUE!</v>
      </c>
      <c r="L35" s="404" t="e">
        <f t="shared" si="1"/>
        <v>#VALUE!</v>
      </c>
      <c r="M35" s="404" t="e">
        <f t="shared" si="1"/>
        <v>#VALUE!</v>
      </c>
      <c r="N35" s="404" t="e">
        <f t="shared" si="1"/>
        <v>#VALUE!</v>
      </c>
      <c r="O35" s="404" t="e">
        <f t="shared" si="1"/>
        <v>#VALUE!</v>
      </c>
      <c r="P35" s="294"/>
      <c r="Q35" s="404" t="e">
        <f t="shared" ref="Q35:S35" si="2">Q34-Q$33</f>
        <v>#VALUE!</v>
      </c>
      <c r="R35" s="404" t="e">
        <f t="shared" si="2"/>
        <v>#VALUE!</v>
      </c>
      <c r="S35" s="404" t="e">
        <f t="shared" si="2"/>
        <v>#VALUE!</v>
      </c>
      <c r="T35" s="294"/>
      <c r="U35" s="405" t="e">
        <f>U34-U$33</f>
        <v>#VALUE!</v>
      </c>
      <c r="V35" s="405" t="e">
        <f>V34-V$33</f>
        <v>#VALUE!</v>
      </c>
      <c r="W35" s="405" t="e">
        <f>W34-W$33</f>
        <v>#VALUE!</v>
      </c>
      <c r="X35" s="294"/>
      <c r="Y35" s="404" t="e">
        <f>Y34-Y$33</f>
        <v>#VALUE!</v>
      </c>
      <c r="Z35" s="404" t="e">
        <f>Z34-Z$33</f>
        <v>#VALUE!</v>
      </c>
      <c r="AA35" s="404" t="e">
        <f>AA34-AA$33</f>
        <v>#VALUE!</v>
      </c>
      <c r="AB35" s="294"/>
      <c r="AC35" s="404" t="e">
        <f>IFERROR(AC34-AC$33,NA())</f>
        <v>#N/A</v>
      </c>
      <c r="AD35" s="406" t="e">
        <f>AD34-AD$33</f>
        <v>#VALUE!</v>
      </c>
      <c r="AE35" s="407" t="e">
        <f t="shared" ref="AE35:AF49" si="3">AE34-AE$33</f>
        <v>#VALUE!</v>
      </c>
      <c r="AF35" s="406" t="e">
        <f t="shared" si="3"/>
        <v>#VALUE!</v>
      </c>
      <c r="AG35" s="408" t="e">
        <f>AF35/AF$33</f>
        <v>#VALUE!</v>
      </c>
      <c r="AH35" s="405"/>
      <c r="AI35" s="408" t="e">
        <f>IFERROR(AE35/$AE$33,NA())</f>
        <v>#N/A</v>
      </c>
      <c r="AJ35" s="289"/>
      <c r="AK35" s="749"/>
      <c r="AL35" s="750" t="e">
        <f>$AE34*U34-$AE$33*U$33</f>
        <v>#VALUE!</v>
      </c>
      <c r="AM35" s="750" t="e">
        <f>$AE34*V34-$AE$33*V$33</f>
        <v>#VALUE!</v>
      </c>
      <c r="AN35" s="750" t="e">
        <f>$AE34*W34-$AE$33*W$33</f>
        <v>#VALUE!</v>
      </c>
      <c r="AO35" s="235"/>
      <c r="AP35" s="567"/>
      <c r="AR35" s="235"/>
      <c r="AS35" s="235"/>
      <c r="AT35" s="586"/>
      <c r="AU35" s="585"/>
      <c r="AV35" s="586"/>
      <c r="AW35" s="586"/>
      <c r="AX35" s="586"/>
      <c r="AY35" s="235"/>
      <c r="BA35" s="303"/>
      <c r="BC35" s="125"/>
      <c r="BD35" s="671"/>
      <c r="BE35" s="125"/>
      <c r="BF35" s="671"/>
      <c r="BG35" s="125"/>
      <c r="BH35" s="671"/>
      <c r="BI35" s="125"/>
      <c r="BJ35" s="671"/>
      <c r="BK35" s="125"/>
      <c r="BL35" s="671"/>
    </row>
    <row r="36" spans="1:64" ht="18" customHeight="1">
      <c r="A36" s="287" t="str">
        <f>CHAR(CODE(A34)+1)</f>
        <v>B</v>
      </c>
      <c r="B36" s="288"/>
      <c r="C36" s="287" t="s">
        <v>391</v>
      </c>
      <c r="D36" s="261" t="str">
        <f>"Scenario " &amp; A36</f>
        <v>Scenario B</v>
      </c>
      <c r="E36" s="272" t="s">
        <v>2</v>
      </c>
      <c r="F36" s="262" t="e">
        <f>IF($C36="","",VLOOKUP($C36+$F$11*1000,DSS_Calc!$A:$JV,F$30,FALSE))</f>
        <v>#VALUE!</v>
      </c>
      <c r="G36" s="262" t="e">
        <f>IF($C36="","",VLOOKUP($C36+$F$11*1000,DSS_Calc!$A:$JV,G$30,FALSE))</f>
        <v>#VALUE!</v>
      </c>
      <c r="H36" s="262" t="e">
        <f>IF($C36="","",VLOOKUP($C36+$F$11*1000,DSS_Calc!$A:$JV,H$30,FALSE))</f>
        <v>#VALUE!</v>
      </c>
      <c r="I36" s="262" t="e">
        <f>IF($C36="","",VLOOKUP($C36+$F$11*1000,DSS_Calc!$A:$JV,I$30,FALSE))</f>
        <v>#VALUE!</v>
      </c>
      <c r="J36" s="262" t="e">
        <f>IF($C36="","",VLOOKUP($C36+$F$11*1000,DSS_Calc!$A:$JV,J$30,FALSE))</f>
        <v>#VALUE!</v>
      </c>
      <c r="K36" s="262" t="e">
        <f>IF($C36="","",VLOOKUP($C36+$F$11*1000,DSS_Calc!$A:$JV,K$30,FALSE))</f>
        <v>#VALUE!</v>
      </c>
      <c r="L36" s="262" t="e">
        <f>IF($C36="","",VLOOKUP($C36+$F$11*1000,DSS_Calc!$A:$JV,L$30,FALSE))</f>
        <v>#VALUE!</v>
      </c>
      <c r="M36" s="262" t="e">
        <f>IF($C36="","",VLOOKUP($C36+$F$11*1000,DSS_Calc!$A:$JV,M$30,FALSE))</f>
        <v>#VALUE!</v>
      </c>
      <c r="N36" s="262" t="e">
        <f>IF($C36="","",VLOOKUP($C36+$F$11*1000,DSS_Calc!$A:$JV,N$30,FALSE))</f>
        <v>#VALUE!</v>
      </c>
      <c r="O36" s="262" t="e">
        <f>IF($C36="","",VLOOKUP($C36+$F$11*1000,DSS_Calc!$A:$JV,O$30,FALSE))</f>
        <v>#VALUE!</v>
      </c>
      <c r="P36" s="294" t="s">
        <v>2</v>
      </c>
      <c r="Q36" s="262" t="e">
        <f>IF($C36="","",VLOOKUP($C36+$F$11*1000,DSS_Calc!$A:$JV,Q$30,FALSE)*IF(U36=0,0,1))</f>
        <v>#VALUE!</v>
      </c>
      <c r="R36" s="262" t="e">
        <f>IF($C36="","",VLOOKUP($C36+$F$11*1000,DSS_Calc!$A:$JV,R$30,FALSE)*IF(V36=0,0,1))</f>
        <v>#VALUE!</v>
      </c>
      <c r="S36" s="262" t="e">
        <f>IF($C36="","",VLOOKUP($C36+$F$11*1000,DSS_Calc!$A:$JV,S$30,FALSE)*IF(W36=0,0,1))</f>
        <v>#VALUE!</v>
      </c>
      <c r="T36" s="294" t="s">
        <v>2</v>
      </c>
      <c r="U36" s="263" t="e">
        <f>IF($C36="","",VLOOKUP($C36+$F$11*1000,DSS_Calc!$A:$JV,U$30,FALSE))</f>
        <v>#VALUE!</v>
      </c>
      <c r="V36" s="263" t="e">
        <f>IF($C36="","",VLOOKUP($C36+$F$11*1000,DSS_Calc!$A:$JV,V$30,FALSE))</f>
        <v>#VALUE!</v>
      </c>
      <c r="W36" s="263" t="e">
        <f>IF($C36="","",VLOOKUP($C36+$F$11*1000,DSS_Calc!$A:$JV,W$30,FALSE))</f>
        <v>#VALUE!</v>
      </c>
      <c r="X36" s="294" t="s">
        <v>2</v>
      </c>
      <c r="Y36" s="262" t="e">
        <f>IF(U36=0,0,U36*Q36)</f>
        <v>#VALUE!</v>
      </c>
      <c r="Z36" s="262" t="e">
        <f>IF(V36=0,0,V36*R36)</f>
        <v>#VALUE!</v>
      </c>
      <c r="AA36" s="262" t="e">
        <f>IF(W36=0,0,W36*S36)</f>
        <v>#VALUE!</v>
      </c>
      <c r="AB36" s="294" t="s">
        <v>2</v>
      </c>
      <c r="AC36" s="262" t="e">
        <f>SUM(Y36:AA36)</f>
        <v>#VALUE!</v>
      </c>
      <c r="AD36" s="264" t="e">
        <f>AC36*AE36/1000/1000</f>
        <v>#VALUE!</v>
      </c>
      <c r="AE36" s="265" t="e">
        <f>IF($C36="","",VLOOKUP($C36+$F$11*1000,DSS_Calc!$A:$JV,AE$30,FALSE))</f>
        <v>#VALUE!</v>
      </c>
      <c r="AF36" s="264" t="e">
        <f>IF($C36="","",VLOOKUP($C36+$F$11*1000,DSS_Calc!$A:$JV,AF$30,FALSE))</f>
        <v>#VALUE!</v>
      </c>
      <c r="AG36" s="300"/>
      <c r="AH36" s="263"/>
      <c r="AI36" s="300"/>
      <c r="AJ36" s="289" t="s">
        <v>2</v>
      </c>
      <c r="AK36" s="781" t="e">
        <f>LEFT(A36&amp;":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
LEN(A36&amp;": "&amp;IF(F36=F$33,"",IF(F37&gt;0,"+","")&amp;F37&amp;F$31&amp;", ")
&amp;IF(G36=G$33,"",IF(G37&gt;0,"+","")&amp;G36&amp;G$31&amp;", ")
&amp;IF(H36=H$33,"",IF(H37&gt;0,"+","")&amp;H36&amp;H$31&amp;", ")
&amp;IF(I36=I$33,"",IF(I37&gt;0,"+","")&amp;I37&amp;I$31&amp;", ")
&amp;IF(J36=J$33,"",IF(J37&gt;0,"+","")&amp;J37&amp;J$31&amp;", ")
&amp;IF(K36=K$33,"",IF(K37&gt;0,"+","")&amp;K37&amp;K$31&amp;", ")
&amp;IF(L36=L$33,"",IF(L37&gt;0,"+","")&amp;L37&amp;L$31&amp;", ")
&amp;IF(M36=M$33,"",IF(M37&gt;0,"+","")&amp;M37&amp;M$31&amp;", ")
&amp;IF(N36=N$33,"",IF(N37&gt;0,"+","")&amp;N37&amp;N$31&amp;", ")
&amp;IF(O36=O$33,"",IF(O37&gt;0,"+","")&amp;O37&amp;O$31&amp;", "))-2)</f>
        <v>#VALUE!</v>
      </c>
      <c r="AL36" s="700"/>
      <c r="AM36" s="700"/>
      <c r="AN36" s="700"/>
      <c r="AO36" s="235"/>
      <c r="AR36" s="235"/>
      <c r="AT36" s="585"/>
      <c r="AU36" s="585"/>
      <c r="AV36" s="585"/>
      <c r="AW36" s="585"/>
      <c r="AX36" s="585"/>
      <c r="BA36" s="303" t="str">
        <f>CHAR(CODE(BA34)+1)</f>
        <v>B</v>
      </c>
      <c r="BC36" s="669">
        <v>24</v>
      </c>
      <c r="BD36" s="670" t="s">
        <v>854</v>
      </c>
      <c r="BE36" s="669">
        <v>24</v>
      </c>
      <c r="BF36" s="670" t="s">
        <v>845</v>
      </c>
      <c r="BG36" s="669">
        <v>24</v>
      </c>
      <c r="BH36" s="670" t="s">
        <v>845</v>
      </c>
      <c r="BI36" s="669">
        <v>24</v>
      </c>
      <c r="BJ36" s="670" t="s">
        <v>845</v>
      </c>
      <c r="BK36" s="669">
        <v>24</v>
      </c>
      <c r="BL36" s="670" t="s">
        <v>845</v>
      </c>
    </row>
    <row r="37" spans="1:64" ht="18" customHeight="1">
      <c r="A37" s="564" t="e">
        <f>AI37/((Q37*U36+R37*V36+S37*W36)/(VLOOKUP($C36+$F$11*1000,DSS_Calc!$A:$JV,DSS_Calc!BX$92,FALSE)-$AC$33))</f>
        <v>#N/A</v>
      </c>
      <c r="B37" s="402"/>
      <c r="C37" s="564" t="e">
        <f>AI37/(AC37/(VLOOKUP($C36+$F$11*1000,DSS_Calc!$A:$JV,DSS_Calc!BX$92,FALSE)-$AC$33))</f>
        <v>#N/A</v>
      </c>
      <c r="D37" s="266" t="s">
        <v>141</v>
      </c>
      <c r="F37" s="267" t="e">
        <f>ROUND(F36-F$33,0)</f>
        <v>#VALUE!</v>
      </c>
      <c r="G37" s="267"/>
      <c r="H37" s="267"/>
      <c r="I37" s="267" t="e">
        <f t="shared" ref="I37:O37" si="4">ROUND(I36-I$33,0)</f>
        <v>#VALUE!</v>
      </c>
      <c r="J37" s="267" t="e">
        <f t="shared" si="4"/>
        <v>#VALUE!</v>
      </c>
      <c r="K37" s="267" t="e">
        <f t="shared" si="4"/>
        <v>#VALUE!</v>
      </c>
      <c r="L37" s="267" t="e">
        <f t="shared" si="4"/>
        <v>#VALUE!</v>
      </c>
      <c r="M37" s="267" t="e">
        <f t="shared" si="4"/>
        <v>#VALUE!</v>
      </c>
      <c r="N37" s="267" t="e">
        <f t="shared" si="4"/>
        <v>#VALUE!</v>
      </c>
      <c r="O37" s="267" t="e">
        <f t="shared" si="4"/>
        <v>#VALUE!</v>
      </c>
      <c r="P37" s="294"/>
      <c r="Q37" s="267" t="e">
        <f t="shared" ref="Q37:S37" si="5">Q36-Q$33</f>
        <v>#VALUE!</v>
      </c>
      <c r="R37" s="267" t="e">
        <f t="shared" si="5"/>
        <v>#VALUE!</v>
      </c>
      <c r="S37" s="267" t="e">
        <f t="shared" si="5"/>
        <v>#VALUE!</v>
      </c>
      <c r="T37" s="294"/>
      <c r="U37" s="268" t="e">
        <f>U36-U$33</f>
        <v>#VALUE!</v>
      </c>
      <c r="V37" s="268" t="e">
        <f>V36-V$33</f>
        <v>#VALUE!</v>
      </c>
      <c r="W37" s="268" t="e">
        <f>W36-W$33</f>
        <v>#VALUE!</v>
      </c>
      <c r="X37" s="294"/>
      <c r="Y37" s="267" t="e">
        <f>Y36-Y$33</f>
        <v>#VALUE!</v>
      </c>
      <c r="Z37" s="267" t="e">
        <f>Z36-Z$33</f>
        <v>#VALUE!</v>
      </c>
      <c r="AA37" s="267" t="e">
        <f>AA36-AA$33</f>
        <v>#VALUE!</v>
      </c>
      <c r="AB37" s="294"/>
      <c r="AC37" s="267" t="e">
        <f>IFERROR(AC36-AC$33,NA())</f>
        <v>#N/A</v>
      </c>
      <c r="AD37" s="269" t="e">
        <f>AD36-AD$33</f>
        <v>#VALUE!</v>
      </c>
      <c r="AE37" s="270" t="e">
        <f t="shared" si="3"/>
        <v>#VALUE!</v>
      </c>
      <c r="AF37" s="269" t="e">
        <f t="shared" si="3"/>
        <v>#VALUE!</v>
      </c>
      <c r="AG37" s="301" t="e">
        <f>AF37/AF$33</f>
        <v>#VALUE!</v>
      </c>
      <c r="AH37" s="268"/>
      <c r="AI37" s="301" t="e">
        <f>IFERROR(AE37/$AE$33,NA())</f>
        <v>#N/A</v>
      </c>
      <c r="AJ37" s="289"/>
      <c r="AK37" s="749"/>
      <c r="AL37" s="750" t="e">
        <f>$AE36*U36-$AE$33*U$33</f>
        <v>#VALUE!</v>
      </c>
      <c r="AM37" s="750" t="e">
        <f>$AE36*V36-$AE$33*V$33</f>
        <v>#VALUE!</v>
      </c>
      <c r="AN37" s="750" t="e">
        <f>$AE36*W36-$AE$33*W$33</f>
        <v>#VALUE!</v>
      </c>
      <c r="AO37" s="235"/>
      <c r="AP37" s="567"/>
      <c r="AR37" s="235"/>
      <c r="AS37" s="235"/>
      <c r="AT37" s="586"/>
      <c r="AU37" s="585"/>
      <c r="AV37" s="586"/>
      <c r="AW37" s="586"/>
      <c r="AX37" s="586"/>
      <c r="AY37" s="235"/>
      <c r="BA37" s="303"/>
      <c r="BC37" s="125"/>
      <c r="BD37" s="671"/>
      <c r="BE37" s="125"/>
      <c r="BF37" s="671"/>
      <c r="BG37" s="125"/>
      <c r="BH37" s="671"/>
      <c r="BI37" s="125"/>
      <c r="BJ37" s="671"/>
      <c r="BK37" s="125"/>
      <c r="BL37" s="671"/>
    </row>
    <row r="38" spans="1:64" ht="18" customHeight="1">
      <c r="A38" s="287" t="str">
        <f>CHAR(CODE(A36)+1)</f>
        <v>C</v>
      </c>
      <c r="B38" s="288"/>
      <c r="C38" s="287" t="s">
        <v>391</v>
      </c>
      <c r="D38" s="396" t="str">
        <f>"Scenario " &amp; A38</f>
        <v>Scenario C</v>
      </c>
      <c r="E38" s="272" t="s">
        <v>2</v>
      </c>
      <c r="F38" s="397" t="e">
        <f>IF($C38="","",VLOOKUP($C38+$F$11*1000,DSS_Calc!$A:$JV,F$30,FALSE))</f>
        <v>#VALUE!</v>
      </c>
      <c r="G38" s="397" t="e">
        <f>IF($C38="","",VLOOKUP($C38+$F$11*1000,DSS_Calc!$A:$JV,G$30,FALSE))</f>
        <v>#VALUE!</v>
      </c>
      <c r="H38" s="397" t="e">
        <f>IF($C38="","",VLOOKUP($C38+$F$11*1000,DSS_Calc!$A:$JV,H$30,FALSE))</f>
        <v>#VALUE!</v>
      </c>
      <c r="I38" s="397" t="e">
        <f>IF($C38="","",VLOOKUP($C38+$F$11*1000,DSS_Calc!$A:$JV,I$30,FALSE))</f>
        <v>#VALUE!</v>
      </c>
      <c r="J38" s="397" t="e">
        <f>IF($C38="","",VLOOKUP($C38+$F$11*1000,DSS_Calc!$A:$JV,J$30,FALSE))</f>
        <v>#VALUE!</v>
      </c>
      <c r="K38" s="397" t="e">
        <f>IF($C38="","",VLOOKUP($C38+$F$11*1000,DSS_Calc!$A:$JV,K$30,FALSE))</f>
        <v>#VALUE!</v>
      </c>
      <c r="L38" s="397" t="e">
        <f>IF($C38="","",VLOOKUP($C38+$F$11*1000,DSS_Calc!$A:$JV,L$30,FALSE))</f>
        <v>#VALUE!</v>
      </c>
      <c r="M38" s="397" t="e">
        <f>IF($C38="","",VLOOKUP($C38+$F$11*1000,DSS_Calc!$A:$JV,M$30,FALSE))</f>
        <v>#VALUE!</v>
      </c>
      <c r="N38" s="397" t="e">
        <f>IF($C38="","",VLOOKUP($C38+$F$11*1000,DSS_Calc!$A:$JV,N$30,FALSE))</f>
        <v>#VALUE!</v>
      </c>
      <c r="O38" s="397" t="e">
        <f>IF($C38="","",VLOOKUP($C38+$F$11*1000,DSS_Calc!$A:$JV,O$30,FALSE))</f>
        <v>#VALUE!</v>
      </c>
      <c r="P38" s="294" t="s">
        <v>2</v>
      </c>
      <c r="Q38" s="397" t="e">
        <f>IF($C38="","",VLOOKUP($C38+$F$11*1000,DSS_Calc!$A:$JV,Q$30,FALSE)*IF(U38=0,0,1))</f>
        <v>#VALUE!</v>
      </c>
      <c r="R38" s="397" t="e">
        <f>IF($C38="","",VLOOKUP($C38+$F$11*1000,DSS_Calc!$A:$JV,R$30,FALSE)*IF(V38=0,0,1))</f>
        <v>#VALUE!</v>
      </c>
      <c r="S38" s="397" t="e">
        <f>IF($C38="","",VLOOKUP($C38+$F$11*1000,DSS_Calc!$A:$JV,S$30,FALSE)*IF(W38=0,0,1))</f>
        <v>#VALUE!</v>
      </c>
      <c r="T38" s="294" t="s">
        <v>2</v>
      </c>
      <c r="U38" s="398" t="e">
        <f>IF($C38="","",VLOOKUP($C38+$F$11*1000,DSS_Calc!$A:$JV,U$30,FALSE))</f>
        <v>#VALUE!</v>
      </c>
      <c r="V38" s="398" t="e">
        <f>IF($C38="","",VLOOKUP($C38+$F$11*1000,DSS_Calc!$A:$JV,V$30,FALSE))</f>
        <v>#VALUE!</v>
      </c>
      <c r="W38" s="398" t="e">
        <f>IF($C38="","",VLOOKUP($C38+$F$11*1000,DSS_Calc!$A:$JV,W$30,FALSE))</f>
        <v>#VALUE!</v>
      </c>
      <c r="X38" s="294" t="s">
        <v>2</v>
      </c>
      <c r="Y38" s="397" t="e">
        <f>IF(U38=0,0,U38*Q38)</f>
        <v>#VALUE!</v>
      </c>
      <c r="Z38" s="397" t="e">
        <f>IF(V38=0,0,V38*R38)</f>
        <v>#VALUE!</v>
      </c>
      <c r="AA38" s="397" t="e">
        <f>IF(W38=0,0,W38*S38)</f>
        <v>#VALUE!</v>
      </c>
      <c r="AB38" s="294" t="s">
        <v>2</v>
      </c>
      <c r="AC38" s="397" t="e">
        <f>SUM(Y38:AA38)</f>
        <v>#VALUE!</v>
      </c>
      <c r="AD38" s="399" t="e">
        <f>AC38*AE38/1000/1000</f>
        <v>#VALUE!</v>
      </c>
      <c r="AE38" s="400" t="e">
        <f>IF($C38="","",VLOOKUP($C38+$F$11*1000,DSS_Calc!$A:$JV,AE$30,FALSE))</f>
        <v>#VALUE!</v>
      </c>
      <c r="AF38" s="399" t="e">
        <f>IF($C38="","",VLOOKUP($C38+$F$11*1000,DSS_Calc!$A:$JV,AF$30,FALSE))</f>
        <v>#VALUE!</v>
      </c>
      <c r="AG38" s="401"/>
      <c r="AH38" s="398"/>
      <c r="AI38" s="401"/>
      <c r="AJ38" s="289" t="s">
        <v>2</v>
      </c>
      <c r="AK38" s="781" t="e">
        <f>LEFT(A38&amp;":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
LEN(A38&amp;": "&amp;IF(F38=F$33,"",IF(F39&gt;0,"+","")&amp;F39&amp;F$31&amp;", ")
&amp;IF(G38=G$33,"",IF(G39&gt;0,"+","")&amp;G38&amp;G$31&amp;", ")
&amp;IF(H38=H$33,"",IF(H39&gt;0,"+","")&amp;H38&amp;H$31&amp;", ")
&amp;IF(I38=I$33,"",IF(I39&gt;0,"+","")&amp;I39&amp;I$31&amp;", ")
&amp;IF(J38=J$33,"",IF(J39&gt;0,"+","")&amp;J39&amp;J$31&amp;", ")
&amp;IF(K38=K$33,"",IF(K39&gt;0,"+","")&amp;K39&amp;K$31&amp;", ")
&amp;IF(L38=L$33,"",IF(L39&gt;0,"+","")&amp;L39&amp;L$31&amp;", ")
&amp;IF(M38=M$33,"",IF(M39&gt;0,"+","")&amp;M39&amp;M$31&amp;", ")
&amp;IF(N38=N$33,"",IF(N39&gt;0,"+","")&amp;N39&amp;N$31&amp;", ")
&amp;IF(O38=O$33,"",IF(O39&gt;0,"+","")&amp;O39&amp;O$31&amp;", "))-2)</f>
        <v>#VALUE!</v>
      </c>
      <c r="AL38" s="700"/>
      <c r="AM38" s="700"/>
      <c r="AN38" s="700"/>
      <c r="AO38" s="235"/>
      <c r="AR38" s="235"/>
      <c r="AT38" s="585"/>
      <c r="AU38" s="585"/>
      <c r="AV38" s="585"/>
      <c r="AW38" s="585"/>
      <c r="AX38" s="585"/>
      <c r="BA38" s="303" t="str">
        <f>CHAR(CODE(BA36)+1)</f>
        <v>C</v>
      </c>
      <c r="BC38" s="669">
        <v>17</v>
      </c>
      <c r="BD38" s="670" t="s">
        <v>854</v>
      </c>
      <c r="BE38" s="669">
        <v>17</v>
      </c>
      <c r="BF38" s="670" t="s">
        <v>845</v>
      </c>
      <c r="BG38" s="669">
        <v>17</v>
      </c>
      <c r="BH38" s="670" t="s">
        <v>845</v>
      </c>
      <c r="BI38" s="669">
        <v>17</v>
      </c>
      <c r="BJ38" s="670" t="s">
        <v>845</v>
      </c>
      <c r="BK38" s="669">
        <v>17</v>
      </c>
      <c r="BL38" s="670" t="s">
        <v>845</v>
      </c>
    </row>
    <row r="39" spans="1:64" ht="18" customHeight="1">
      <c r="A39" s="564" t="e">
        <f>AI39/((Q39*U38+R39*V38+S39*W38)/(VLOOKUP($C38+$F$11*1000,DSS_Calc!$A:$JV,DSS_Calc!BX$92,FALSE)-$AC$33))</f>
        <v>#N/A</v>
      </c>
      <c r="B39" s="402"/>
      <c r="C39" s="564" t="e">
        <f>AI39/(AC39/(VLOOKUP($C38+$F$11*1000,DSS_Calc!$A:$JV,DSS_Calc!BX$92,FALSE)-$AC$33))</f>
        <v>#N/A</v>
      </c>
      <c r="D39" s="403" t="s">
        <v>141</v>
      </c>
      <c r="F39" s="404" t="e">
        <f>ROUND(F38-F$33,0)</f>
        <v>#VALUE!</v>
      </c>
      <c r="G39" s="404"/>
      <c r="H39" s="404"/>
      <c r="I39" s="404" t="e">
        <f t="shared" ref="I39:O39" si="6">ROUND(I38-I$33,0)</f>
        <v>#VALUE!</v>
      </c>
      <c r="J39" s="404" t="e">
        <f t="shared" si="6"/>
        <v>#VALUE!</v>
      </c>
      <c r="K39" s="404" t="e">
        <f t="shared" si="6"/>
        <v>#VALUE!</v>
      </c>
      <c r="L39" s="404" t="e">
        <f t="shared" si="6"/>
        <v>#VALUE!</v>
      </c>
      <c r="M39" s="404" t="e">
        <f t="shared" si="6"/>
        <v>#VALUE!</v>
      </c>
      <c r="N39" s="404" t="e">
        <f t="shared" si="6"/>
        <v>#VALUE!</v>
      </c>
      <c r="O39" s="404" t="e">
        <f t="shared" si="6"/>
        <v>#VALUE!</v>
      </c>
      <c r="P39" s="294"/>
      <c r="Q39" s="404" t="e">
        <f t="shared" ref="Q39:S39" si="7">Q38-Q$33</f>
        <v>#VALUE!</v>
      </c>
      <c r="R39" s="404" t="e">
        <f t="shared" si="7"/>
        <v>#VALUE!</v>
      </c>
      <c r="S39" s="404" t="e">
        <f t="shared" si="7"/>
        <v>#VALUE!</v>
      </c>
      <c r="T39" s="294"/>
      <c r="U39" s="405" t="e">
        <f>U38-U$33</f>
        <v>#VALUE!</v>
      </c>
      <c r="V39" s="405" t="e">
        <f>V38-V$33</f>
        <v>#VALUE!</v>
      </c>
      <c r="W39" s="405" t="e">
        <f>W38-W$33</f>
        <v>#VALUE!</v>
      </c>
      <c r="X39" s="294"/>
      <c r="Y39" s="404" t="e">
        <f>Y38-Y$33</f>
        <v>#VALUE!</v>
      </c>
      <c r="Z39" s="404" t="e">
        <f>Z38-Z$33</f>
        <v>#VALUE!</v>
      </c>
      <c r="AA39" s="404" t="e">
        <f>AA38-AA$33</f>
        <v>#VALUE!</v>
      </c>
      <c r="AB39" s="294"/>
      <c r="AC39" s="404" t="e">
        <f>IFERROR(AC38-AC$33,NA())</f>
        <v>#N/A</v>
      </c>
      <c r="AD39" s="406" t="e">
        <f>AD38-AD$33</f>
        <v>#VALUE!</v>
      </c>
      <c r="AE39" s="407" t="e">
        <f t="shared" si="3"/>
        <v>#VALUE!</v>
      </c>
      <c r="AF39" s="406" t="e">
        <f t="shared" si="3"/>
        <v>#VALUE!</v>
      </c>
      <c r="AG39" s="408" t="e">
        <f>AF39/AF$33</f>
        <v>#VALUE!</v>
      </c>
      <c r="AH39" s="405"/>
      <c r="AI39" s="408" t="e">
        <f>IFERROR(AE39/$AE$33,NA())</f>
        <v>#N/A</v>
      </c>
      <c r="AJ39" s="289"/>
      <c r="AK39" s="749"/>
      <c r="AL39" s="750" t="e">
        <f>$AE38*U38-$AE$33*U$33</f>
        <v>#VALUE!</v>
      </c>
      <c r="AM39" s="750" t="e">
        <f>$AE38*V38-$AE$33*V$33</f>
        <v>#VALUE!</v>
      </c>
      <c r="AN39" s="750" t="e">
        <f>$AE38*W38-$AE$33*W$33</f>
        <v>#VALUE!</v>
      </c>
      <c r="AO39" s="235"/>
      <c r="AP39" s="567"/>
      <c r="AR39" s="235"/>
      <c r="AS39" s="235"/>
      <c r="AT39" s="586"/>
      <c r="AU39" s="585"/>
      <c r="AV39" s="586"/>
      <c r="AW39" s="586"/>
      <c r="AX39" s="586"/>
      <c r="AY39" s="235"/>
      <c r="BA39" s="303"/>
      <c r="BC39" s="125"/>
      <c r="BD39" s="671"/>
      <c r="BE39" s="125"/>
      <c r="BF39" s="671"/>
      <c r="BG39" s="125"/>
      <c r="BH39" s="671"/>
      <c r="BI39" s="125"/>
      <c r="BJ39" s="671"/>
      <c r="BK39" s="125"/>
      <c r="BL39" s="671"/>
    </row>
    <row r="40" spans="1:64" ht="18" customHeight="1">
      <c r="A40" s="287" t="str">
        <f>CHAR(CODE(A38)+1)</f>
        <v>D</v>
      </c>
      <c r="B40" s="288"/>
      <c r="C40" s="287" t="s">
        <v>391</v>
      </c>
      <c r="D40" s="261" t="str">
        <f>"Scenario " &amp; A40</f>
        <v>Scenario D</v>
      </c>
      <c r="E40" s="272" t="s">
        <v>2</v>
      </c>
      <c r="F40" s="262" t="e">
        <f>IF($C40="","",VLOOKUP($C40+$F$11*1000,DSS_Calc!$A:$JV,F$30,FALSE))</f>
        <v>#VALUE!</v>
      </c>
      <c r="G40" s="262" t="e">
        <f>IF($C40="","",VLOOKUP($C40+$F$11*1000,DSS_Calc!$A:$JV,G$30,FALSE))</f>
        <v>#VALUE!</v>
      </c>
      <c r="H40" s="262" t="e">
        <f>IF($C40="","",VLOOKUP($C40+$F$11*1000,DSS_Calc!$A:$JV,H$30,FALSE))</f>
        <v>#VALUE!</v>
      </c>
      <c r="I40" s="262" t="e">
        <f>IF($C40="","",VLOOKUP($C40+$F$11*1000,DSS_Calc!$A:$JV,I$30,FALSE))</f>
        <v>#VALUE!</v>
      </c>
      <c r="J40" s="262" t="e">
        <f>IF($C40="","",VLOOKUP($C40+$F$11*1000,DSS_Calc!$A:$JV,J$30,FALSE))</f>
        <v>#VALUE!</v>
      </c>
      <c r="K40" s="262" t="e">
        <f>IF($C40="","",VLOOKUP($C40+$F$11*1000,DSS_Calc!$A:$JV,K$30,FALSE))</f>
        <v>#VALUE!</v>
      </c>
      <c r="L40" s="262" t="e">
        <f>IF($C40="","",VLOOKUP($C40+$F$11*1000,DSS_Calc!$A:$JV,L$30,FALSE))</f>
        <v>#VALUE!</v>
      </c>
      <c r="M40" s="262" t="e">
        <f>IF($C40="","",VLOOKUP($C40+$F$11*1000,DSS_Calc!$A:$JV,M$30,FALSE))</f>
        <v>#VALUE!</v>
      </c>
      <c r="N40" s="262" t="e">
        <f>IF($C40="","",VLOOKUP($C40+$F$11*1000,DSS_Calc!$A:$JV,N$30,FALSE))</f>
        <v>#VALUE!</v>
      </c>
      <c r="O40" s="262" t="e">
        <f>IF($C40="","",VLOOKUP($C40+$F$11*1000,DSS_Calc!$A:$JV,O$30,FALSE))</f>
        <v>#VALUE!</v>
      </c>
      <c r="P40" s="294" t="s">
        <v>2</v>
      </c>
      <c r="Q40" s="262" t="e">
        <f>IF($C40="","",VLOOKUP($C40+$F$11*1000,DSS_Calc!$A:$JV,Q$30,FALSE)*IF(U40=0,0,1))</f>
        <v>#VALUE!</v>
      </c>
      <c r="R40" s="262" t="e">
        <f>IF($C40="","",VLOOKUP($C40+$F$11*1000,DSS_Calc!$A:$JV,R$30,FALSE)*IF(V40=0,0,1))</f>
        <v>#VALUE!</v>
      </c>
      <c r="S40" s="262" t="e">
        <f>IF($C40="","",VLOOKUP($C40+$F$11*1000,DSS_Calc!$A:$JV,S$30,FALSE)*IF(W40=0,0,1))</f>
        <v>#VALUE!</v>
      </c>
      <c r="T40" s="294" t="s">
        <v>2</v>
      </c>
      <c r="U40" s="263" t="e">
        <f>IF($C40="","",VLOOKUP($C40+$F$11*1000,DSS_Calc!$A:$JV,U$30,FALSE))</f>
        <v>#VALUE!</v>
      </c>
      <c r="V40" s="263" t="e">
        <f>IF($C40="","",VLOOKUP($C40+$F$11*1000,DSS_Calc!$A:$JV,V$30,FALSE))</f>
        <v>#VALUE!</v>
      </c>
      <c r="W40" s="263" t="e">
        <f>IF($C40="","",VLOOKUP($C40+$F$11*1000,DSS_Calc!$A:$JV,W$30,FALSE))</f>
        <v>#VALUE!</v>
      </c>
      <c r="X40" s="294" t="s">
        <v>2</v>
      </c>
      <c r="Y40" s="262" t="e">
        <f>IF(U40=0,0,U40*Q40)</f>
        <v>#VALUE!</v>
      </c>
      <c r="Z40" s="262" t="e">
        <f>IF(V40=0,0,V40*R40)</f>
        <v>#VALUE!</v>
      </c>
      <c r="AA40" s="262" t="e">
        <f>IF(W40=0,0,W40*S40)</f>
        <v>#VALUE!</v>
      </c>
      <c r="AB40" s="294" t="s">
        <v>2</v>
      </c>
      <c r="AC40" s="262" t="e">
        <f>SUM(Y40:AA40)</f>
        <v>#VALUE!</v>
      </c>
      <c r="AD40" s="264" t="e">
        <f>AC40*AE40/1000/1000</f>
        <v>#VALUE!</v>
      </c>
      <c r="AE40" s="265" t="e">
        <f>IF($C40="","",VLOOKUP($C40+$F$11*1000,DSS_Calc!$A:$JV,AE$30,FALSE))</f>
        <v>#VALUE!</v>
      </c>
      <c r="AF40" s="264" t="e">
        <f>IF($C40="","",VLOOKUP($C40+$F$11*1000,DSS_Calc!$A:$JV,AF$30,FALSE))</f>
        <v>#VALUE!</v>
      </c>
      <c r="AG40" s="300"/>
      <c r="AH40" s="263"/>
      <c r="AI40" s="300"/>
      <c r="AJ40" s="289" t="s">
        <v>2</v>
      </c>
      <c r="AK40" s="581" t="e">
        <f>LEFT(A40&amp;":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
LEN(A40&amp;": "&amp;IF(F40=F$33,"",IF(F41&gt;0,"+","")&amp;F41&amp;F$31&amp;", ")
&amp;IF(G40=G$33,"",IF(G41&gt;0,"+","")&amp;G40&amp;G$31&amp;", ")
&amp;IF(H40=H$33,"",IF(H41&gt;0,"+","")&amp;H40&amp;H$31&amp;", ")
&amp;IF(I40=I$33,"",IF(I41&gt;0,"+","")&amp;I41&amp;I$31&amp;", ")
&amp;IF(J40=J$33,"",IF(J41&gt;0,"+","")&amp;J41&amp;J$31&amp;", ")
&amp;IF(K40=K$33,"",IF(K41&gt;0,"+","")&amp;K41&amp;K$31&amp;", ")
&amp;IF(L40=L$33,"",IF(L41&gt;0,"+","")&amp;L41&amp;L$31&amp;", ")
&amp;IF(M40=M$33,"",IF(M41&gt;0,"+","")&amp;M41&amp;M$31&amp;", ")
&amp;IF(N40=N$33,"",IF(N41&gt;0,"+","")&amp;N41&amp;N$31&amp;", ")
&amp;IF(O40=O$33,"",IF(O41&gt;0,"+","")&amp;O41&amp;O$31&amp;", "))-2)</f>
        <v>#VALUE!</v>
      </c>
      <c r="AL40" s="700"/>
      <c r="AM40" s="700"/>
      <c r="AN40" s="700"/>
      <c r="AO40" s="235"/>
      <c r="AR40" s="235"/>
      <c r="AT40" s="585"/>
      <c r="AU40" s="585"/>
      <c r="AV40" s="585"/>
      <c r="AW40" s="585"/>
      <c r="AX40" s="585"/>
      <c r="BA40" s="303" t="str">
        <f>CHAR(CODE(BA38)+1)</f>
        <v>D</v>
      </c>
      <c r="BC40" s="669">
        <v>25</v>
      </c>
      <c r="BD40" s="670" t="s">
        <v>845</v>
      </c>
      <c r="BE40" s="669">
        <v>25</v>
      </c>
      <c r="BF40" s="670" t="s">
        <v>845</v>
      </c>
      <c r="BG40" s="669">
        <v>25</v>
      </c>
      <c r="BH40" s="670" t="s">
        <v>845</v>
      </c>
      <c r="BI40" s="669">
        <v>25</v>
      </c>
      <c r="BJ40" s="670" t="s">
        <v>845</v>
      </c>
      <c r="BK40" s="669">
        <v>25</v>
      </c>
      <c r="BL40" s="670" t="s">
        <v>845</v>
      </c>
    </row>
    <row r="41" spans="1:64" ht="18" customHeight="1">
      <c r="A41" s="564" t="e">
        <f>AI41/((Q41*U40+R41*V40+S41*W40)/(VLOOKUP($C40+$F$11*1000,DSS_Calc!$A:$JV,DSS_Calc!BX$92,FALSE)-$AC$33))</f>
        <v>#N/A</v>
      </c>
      <c r="B41" s="402"/>
      <c r="C41" s="564" t="e">
        <f>AI41/(AC41/(VLOOKUP($C40+$F$11*1000,DSS_Calc!$A:$JV,DSS_Calc!BX$92,FALSE)-$AC$33))</f>
        <v>#N/A</v>
      </c>
      <c r="D41" s="266" t="s">
        <v>141</v>
      </c>
      <c r="F41" s="267" t="e">
        <f>ROUND(F40-F$33,0)</f>
        <v>#VALUE!</v>
      </c>
      <c r="G41" s="267"/>
      <c r="H41" s="267"/>
      <c r="I41" s="267" t="e">
        <f t="shared" ref="I41:O41" si="8">ROUND(I40-I$33,0)</f>
        <v>#VALUE!</v>
      </c>
      <c r="J41" s="267" t="e">
        <f t="shared" si="8"/>
        <v>#VALUE!</v>
      </c>
      <c r="K41" s="267" t="e">
        <f t="shared" si="8"/>
        <v>#VALUE!</v>
      </c>
      <c r="L41" s="267" t="e">
        <f t="shared" si="8"/>
        <v>#VALUE!</v>
      </c>
      <c r="M41" s="267" t="e">
        <f t="shared" si="8"/>
        <v>#VALUE!</v>
      </c>
      <c r="N41" s="267" t="e">
        <f t="shared" si="8"/>
        <v>#VALUE!</v>
      </c>
      <c r="O41" s="267" t="e">
        <f t="shared" si="8"/>
        <v>#VALUE!</v>
      </c>
      <c r="P41" s="294"/>
      <c r="Q41" s="267" t="e">
        <f t="shared" ref="Q41:S41" si="9">Q40-Q$33</f>
        <v>#VALUE!</v>
      </c>
      <c r="R41" s="267" t="e">
        <f t="shared" si="9"/>
        <v>#VALUE!</v>
      </c>
      <c r="S41" s="267" t="e">
        <f t="shared" si="9"/>
        <v>#VALUE!</v>
      </c>
      <c r="T41" s="294"/>
      <c r="U41" s="268" t="e">
        <f>U40-U$33</f>
        <v>#VALUE!</v>
      </c>
      <c r="V41" s="268" t="e">
        <f>V40-V$33</f>
        <v>#VALUE!</v>
      </c>
      <c r="W41" s="268" t="e">
        <f>W40-W$33</f>
        <v>#VALUE!</v>
      </c>
      <c r="X41" s="294"/>
      <c r="Y41" s="267" t="e">
        <f>Y40-Y$33</f>
        <v>#VALUE!</v>
      </c>
      <c r="Z41" s="267" t="e">
        <f>Z40-Z$33</f>
        <v>#VALUE!</v>
      </c>
      <c r="AA41" s="267" t="e">
        <f>AA40-AA$33</f>
        <v>#VALUE!</v>
      </c>
      <c r="AB41" s="294"/>
      <c r="AC41" s="267" t="e">
        <f>IFERROR(AC40-AC$33,NA())</f>
        <v>#N/A</v>
      </c>
      <c r="AD41" s="269" t="e">
        <f>AD40-AD$33</f>
        <v>#VALUE!</v>
      </c>
      <c r="AE41" s="270" t="e">
        <f t="shared" si="3"/>
        <v>#VALUE!</v>
      </c>
      <c r="AF41" s="269" t="e">
        <f t="shared" si="3"/>
        <v>#VALUE!</v>
      </c>
      <c r="AG41" s="301" t="e">
        <f>AF41/AF$33</f>
        <v>#VALUE!</v>
      </c>
      <c r="AH41" s="268"/>
      <c r="AI41" s="301" t="e">
        <f>IFERROR(AE41/$AE$33,NA())</f>
        <v>#N/A</v>
      </c>
      <c r="AJ41" s="289"/>
      <c r="AK41" s="749"/>
      <c r="AL41" s="750" t="e">
        <f>$AE40*U40-$AE$33*U$33</f>
        <v>#VALUE!</v>
      </c>
      <c r="AM41" s="750" t="e">
        <f>$AE40*V40-$AE$33*V$33</f>
        <v>#VALUE!</v>
      </c>
      <c r="AN41" s="750" t="e">
        <f>$AE40*W40-$AE$33*W$33</f>
        <v>#VALUE!</v>
      </c>
      <c r="AO41" s="235"/>
      <c r="AP41" s="567"/>
      <c r="AR41" s="235"/>
      <c r="AS41" s="235"/>
      <c r="AT41" s="586"/>
      <c r="AU41" s="585"/>
      <c r="AV41" s="586"/>
      <c r="AW41" s="586"/>
      <c r="AX41" s="586"/>
      <c r="AY41" s="235"/>
      <c r="BA41" s="303"/>
      <c r="BC41" s="125"/>
      <c r="BD41" s="671"/>
      <c r="BE41" s="125"/>
      <c r="BF41" s="671"/>
      <c r="BG41" s="125"/>
      <c r="BH41" s="671"/>
      <c r="BI41" s="125"/>
      <c r="BJ41" s="671"/>
      <c r="BK41" s="125"/>
      <c r="BL41" s="671"/>
    </row>
    <row r="42" spans="1:64" ht="18" customHeight="1">
      <c r="A42" s="287" t="str">
        <f>CHAR(CODE(A40)+1)</f>
        <v>E</v>
      </c>
      <c r="B42" s="288"/>
      <c r="C42" s="287" t="s">
        <v>391</v>
      </c>
      <c r="D42" s="396" t="str">
        <f>"Scenario " &amp; A42</f>
        <v>Scenario E</v>
      </c>
      <c r="E42" s="272" t="s">
        <v>2</v>
      </c>
      <c r="F42" s="397" t="e">
        <f>IF($C42="","",VLOOKUP($C42+$F$11*1000,DSS_Calc!$A:$JV,F$30,FALSE))</f>
        <v>#VALUE!</v>
      </c>
      <c r="G42" s="397" t="e">
        <f>IF($C42="","",VLOOKUP($C42+$F$11*1000,DSS_Calc!$A:$JV,G$30,FALSE))</f>
        <v>#VALUE!</v>
      </c>
      <c r="H42" s="397" t="e">
        <f>IF($C42="","",VLOOKUP($C42+$F$11*1000,DSS_Calc!$A:$JV,H$30,FALSE))</f>
        <v>#VALUE!</v>
      </c>
      <c r="I42" s="397" t="e">
        <f>IF($C42="","",VLOOKUP($C42+$F$11*1000,DSS_Calc!$A:$JV,I$30,FALSE))</f>
        <v>#VALUE!</v>
      </c>
      <c r="J42" s="397" t="e">
        <f>IF($C42="","",VLOOKUP($C42+$F$11*1000,DSS_Calc!$A:$JV,J$30,FALSE))</f>
        <v>#VALUE!</v>
      </c>
      <c r="K42" s="397" t="e">
        <f>IF($C42="","",VLOOKUP($C42+$F$11*1000,DSS_Calc!$A:$JV,K$30,FALSE))</f>
        <v>#VALUE!</v>
      </c>
      <c r="L42" s="397" t="e">
        <f>IF($C42="","",VLOOKUP($C42+$F$11*1000,DSS_Calc!$A:$JV,L$30,FALSE))</f>
        <v>#VALUE!</v>
      </c>
      <c r="M42" s="397" t="e">
        <f>IF($C42="","",VLOOKUP($C42+$F$11*1000,DSS_Calc!$A:$JV,M$30,FALSE))</f>
        <v>#VALUE!</v>
      </c>
      <c r="N42" s="397" t="e">
        <f>IF($C42="","",VLOOKUP($C42+$F$11*1000,DSS_Calc!$A:$JV,N$30,FALSE))</f>
        <v>#VALUE!</v>
      </c>
      <c r="O42" s="397" t="e">
        <f>IF($C42="","",VLOOKUP($C42+$F$11*1000,DSS_Calc!$A:$JV,O$30,FALSE))</f>
        <v>#VALUE!</v>
      </c>
      <c r="P42" s="294" t="s">
        <v>2</v>
      </c>
      <c r="Q42" s="397" t="e">
        <f>IF($C42="","",VLOOKUP($C42+$F$11*1000,DSS_Calc!$A:$JV,Q$30,FALSE)*IF(U42=0,0,1))</f>
        <v>#VALUE!</v>
      </c>
      <c r="R42" s="397" t="e">
        <f>IF($C42="","",VLOOKUP($C42+$F$11*1000,DSS_Calc!$A:$JV,R$30,FALSE)*IF(V42=0,0,1))</f>
        <v>#VALUE!</v>
      </c>
      <c r="S42" s="397" t="e">
        <f>IF($C42="","",VLOOKUP($C42+$F$11*1000,DSS_Calc!$A:$JV,S$30,FALSE)*IF(W42=0,0,1))</f>
        <v>#VALUE!</v>
      </c>
      <c r="T42" s="294" t="s">
        <v>2</v>
      </c>
      <c r="U42" s="398" t="e">
        <f>IF($C42="","",VLOOKUP($C42+$F$11*1000,DSS_Calc!$A:$JV,U$30,FALSE))</f>
        <v>#VALUE!</v>
      </c>
      <c r="V42" s="398" t="e">
        <f>IF($C42="","",VLOOKUP($C42+$F$11*1000,DSS_Calc!$A:$JV,V$30,FALSE))</f>
        <v>#VALUE!</v>
      </c>
      <c r="W42" s="398" t="e">
        <f>IF($C42="","",VLOOKUP($C42+$F$11*1000,DSS_Calc!$A:$JV,W$30,FALSE))</f>
        <v>#VALUE!</v>
      </c>
      <c r="X42" s="294" t="s">
        <v>2</v>
      </c>
      <c r="Y42" s="397" t="e">
        <f>IF(U42=0,0,U42*Q42)</f>
        <v>#VALUE!</v>
      </c>
      <c r="Z42" s="397" t="e">
        <f>IF(V42=0,0,V42*R42)</f>
        <v>#VALUE!</v>
      </c>
      <c r="AA42" s="397" t="e">
        <f>IF(W42=0,0,W42*S42)</f>
        <v>#VALUE!</v>
      </c>
      <c r="AB42" s="294" t="s">
        <v>2</v>
      </c>
      <c r="AC42" s="397" t="e">
        <f>SUM(Y42:AA42)</f>
        <v>#VALUE!</v>
      </c>
      <c r="AD42" s="399" t="e">
        <f>AC42*AE42/1000/1000</f>
        <v>#VALUE!</v>
      </c>
      <c r="AE42" s="400" t="e">
        <f>IF($C42="","",VLOOKUP($C42+$F$11*1000,DSS_Calc!$A:$JV,AE$30,FALSE))</f>
        <v>#VALUE!</v>
      </c>
      <c r="AF42" s="399" t="e">
        <f>IF($C42="","",VLOOKUP($C42+$F$11*1000,DSS_Calc!$A:$JV,AF$30,FALSE))</f>
        <v>#VALUE!</v>
      </c>
      <c r="AG42" s="401"/>
      <c r="AH42" s="398"/>
      <c r="AI42" s="401"/>
      <c r="AJ42" s="289" t="s">
        <v>2</v>
      </c>
      <c r="AK42" s="781" t="e">
        <f>LEFT(A42&amp;":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
LEN(A42&amp;": "&amp;IF(F42=F$33,"",IF(F43&gt;0,"+","")&amp;F43&amp;F$31&amp;", ")
&amp;IF(G42=G$33,"",IF(G43&gt;0,"+","")&amp;G42&amp;G$31&amp;", ")
&amp;IF(H42=H$33,"",IF(H43&gt;0,"+","")&amp;H42&amp;H$31&amp;", ")
&amp;IF(I42=I$33,"",IF(I43&gt;0,"+","")&amp;I43&amp;I$31&amp;", ")
&amp;IF(J42=J$33,"",IF(J43&gt;0,"+","")&amp;J43&amp;J$31&amp;", ")
&amp;IF(K42=K$33,"",IF(K43&gt;0,"+","")&amp;K43&amp;K$31&amp;", ")
&amp;IF(L42=L$33,"",IF(L43&gt;0,"+","")&amp;L43&amp;L$31&amp;", ")
&amp;IF(M42=M$33,"",IF(M43&gt;0,"+","")&amp;M43&amp;M$31&amp;", ")
&amp;IF(N42=N$33,"",IF(N43&gt;0,"+","")&amp;N43&amp;N$31&amp;", ")
&amp;IF(O42=O$33,"",IF(O43&gt;0,"+","")&amp;O43&amp;O$31&amp;", "))-2)</f>
        <v>#VALUE!</v>
      </c>
      <c r="AL42" s="700"/>
      <c r="AM42" s="700"/>
      <c r="AN42" s="700"/>
      <c r="AO42" s="235"/>
      <c r="AR42" s="235"/>
      <c r="AT42" s="585"/>
      <c r="AU42" s="585"/>
      <c r="AV42" s="585"/>
      <c r="AW42" s="585"/>
      <c r="AX42" s="585"/>
      <c r="BA42" s="303" t="str">
        <f>CHAR(CODE(BA40)+1)</f>
        <v>E</v>
      </c>
      <c r="BC42" s="669">
        <v>15</v>
      </c>
      <c r="BD42" s="670" t="s">
        <v>845</v>
      </c>
      <c r="BE42" s="669">
        <v>15</v>
      </c>
      <c r="BF42" s="670" t="s">
        <v>845</v>
      </c>
      <c r="BG42" s="669">
        <v>15</v>
      </c>
      <c r="BH42" s="670" t="s">
        <v>845</v>
      </c>
      <c r="BI42" s="669">
        <v>15</v>
      </c>
      <c r="BJ42" s="670" t="s">
        <v>845</v>
      </c>
      <c r="BK42" s="669">
        <v>15</v>
      </c>
      <c r="BL42" s="670" t="s">
        <v>845</v>
      </c>
    </row>
    <row r="43" spans="1:64" ht="18" customHeight="1">
      <c r="A43" s="564" t="e">
        <f>AI43/((Q43*U42+R43*V42+S43*W42)/(VLOOKUP($C42+$F$11*1000,DSS_Calc!$A:$JV,DSS_Calc!BX$92,FALSE)-$AC$33))</f>
        <v>#N/A</v>
      </c>
      <c r="B43" s="402"/>
      <c r="C43" s="564" t="e">
        <f>AI43/(AC43/(VLOOKUP($C42+$F$11*1000,DSS_Calc!$A:$JV,DSS_Calc!BX$92,FALSE)-$AC$33))</f>
        <v>#N/A</v>
      </c>
      <c r="D43" s="403" t="s">
        <v>141</v>
      </c>
      <c r="F43" s="404" t="e">
        <f>ROUND(F42-F$33,0)</f>
        <v>#VALUE!</v>
      </c>
      <c r="G43" s="404"/>
      <c r="H43" s="404"/>
      <c r="I43" s="404" t="e">
        <f t="shared" ref="I43:O43" si="10">ROUND(I42-I$33,0)</f>
        <v>#VALUE!</v>
      </c>
      <c r="J43" s="404" t="e">
        <f t="shared" si="10"/>
        <v>#VALUE!</v>
      </c>
      <c r="K43" s="404" t="e">
        <f t="shared" si="10"/>
        <v>#VALUE!</v>
      </c>
      <c r="L43" s="404" t="e">
        <f t="shared" si="10"/>
        <v>#VALUE!</v>
      </c>
      <c r="M43" s="404" t="e">
        <f t="shared" si="10"/>
        <v>#VALUE!</v>
      </c>
      <c r="N43" s="404" t="e">
        <f t="shared" si="10"/>
        <v>#VALUE!</v>
      </c>
      <c r="O43" s="404" t="e">
        <f t="shared" si="10"/>
        <v>#VALUE!</v>
      </c>
      <c r="P43" s="294"/>
      <c r="Q43" s="404" t="e">
        <f t="shared" ref="Q43:S43" si="11">Q42-Q$33</f>
        <v>#VALUE!</v>
      </c>
      <c r="R43" s="404" t="e">
        <f t="shared" si="11"/>
        <v>#VALUE!</v>
      </c>
      <c r="S43" s="404" t="e">
        <f t="shared" si="11"/>
        <v>#VALUE!</v>
      </c>
      <c r="T43" s="294"/>
      <c r="U43" s="405" t="e">
        <f>U42-U$33</f>
        <v>#VALUE!</v>
      </c>
      <c r="V43" s="405" t="e">
        <f>V42-V$33</f>
        <v>#VALUE!</v>
      </c>
      <c r="W43" s="405" t="e">
        <f>W42-W$33</f>
        <v>#VALUE!</v>
      </c>
      <c r="X43" s="294"/>
      <c r="Y43" s="404" t="e">
        <f>Y42-Y$33</f>
        <v>#VALUE!</v>
      </c>
      <c r="Z43" s="404" t="e">
        <f>Z42-Z$33</f>
        <v>#VALUE!</v>
      </c>
      <c r="AA43" s="404" t="e">
        <f>AA42-AA$33</f>
        <v>#VALUE!</v>
      </c>
      <c r="AB43" s="294"/>
      <c r="AC43" s="404" t="e">
        <f>IFERROR(AC42-AC$33,NA())</f>
        <v>#N/A</v>
      </c>
      <c r="AD43" s="406" t="e">
        <f>AD42-AD$33</f>
        <v>#VALUE!</v>
      </c>
      <c r="AE43" s="407" t="e">
        <f t="shared" si="3"/>
        <v>#VALUE!</v>
      </c>
      <c r="AF43" s="406" t="e">
        <f t="shared" si="3"/>
        <v>#VALUE!</v>
      </c>
      <c r="AG43" s="408" t="e">
        <f>AF43/AF$33</f>
        <v>#VALUE!</v>
      </c>
      <c r="AH43" s="405"/>
      <c r="AI43" s="408" t="e">
        <f>IFERROR(AE43/$AE$33,NA())</f>
        <v>#N/A</v>
      </c>
      <c r="AJ43" s="289"/>
      <c r="AK43" s="751"/>
      <c r="AL43" s="750" t="e">
        <f>$AE42*U42-$AE$33*U$33</f>
        <v>#VALUE!</v>
      </c>
      <c r="AM43" s="750" t="e">
        <f>$AE42*V42-$AE$33*V$33</f>
        <v>#VALUE!</v>
      </c>
      <c r="AN43" s="750" t="e">
        <f>$AE42*W42-$AE$33*W$33</f>
        <v>#VALUE!</v>
      </c>
      <c r="AO43" s="235"/>
      <c r="AP43" s="567"/>
      <c r="AR43" s="235"/>
      <c r="AS43" s="235"/>
      <c r="AT43" s="586"/>
      <c r="AU43" s="585"/>
      <c r="AV43" s="586"/>
      <c r="AW43" s="586"/>
      <c r="AX43" s="586"/>
      <c r="AY43" s="235"/>
      <c r="BA43" s="303"/>
      <c r="BC43" s="125"/>
      <c r="BD43" s="671"/>
      <c r="BE43" s="125"/>
      <c r="BF43" s="671"/>
      <c r="BG43" s="125"/>
      <c r="BH43" s="671"/>
      <c r="BI43" s="125"/>
      <c r="BJ43" s="671"/>
      <c r="BK43" s="125"/>
      <c r="BL43" s="671"/>
    </row>
    <row r="44" spans="1:64" ht="18" customHeight="1">
      <c r="A44" s="287" t="str">
        <f>CHAR(CODE(A42)+1)</f>
        <v>F</v>
      </c>
      <c r="B44" s="288"/>
      <c r="C44" s="287" t="s">
        <v>391</v>
      </c>
      <c r="D44" s="261" t="str">
        <f>"Scenario " &amp; A44</f>
        <v>Scenario F</v>
      </c>
      <c r="E44" s="272" t="s">
        <v>2</v>
      </c>
      <c r="F44" s="262" t="e">
        <f>IF($C44="","",VLOOKUP($C44+$F$11*1000,DSS_Calc!$A:$JV,F$30,FALSE))</f>
        <v>#VALUE!</v>
      </c>
      <c r="G44" s="262" t="e">
        <f>IF($C44="","",VLOOKUP($C44+$F$11*1000,DSS_Calc!$A:$JV,G$30,FALSE))</f>
        <v>#VALUE!</v>
      </c>
      <c r="H44" s="262" t="e">
        <f>IF($C44="","",VLOOKUP($C44+$F$11*1000,DSS_Calc!$A:$JV,H$30,FALSE))</f>
        <v>#VALUE!</v>
      </c>
      <c r="I44" s="262" t="e">
        <f>IF($C44="","",VLOOKUP($C44+$F$11*1000,DSS_Calc!$A:$JV,I$30,FALSE))</f>
        <v>#VALUE!</v>
      </c>
      <c r="J44" s="262" t="e">
        <f>IF($C44="","",VLOOKUP($C44+$F$11*1000,DSS_Calc!$A:$JV,J$30,FALSE))</f>
        <v>#VALUE!</v>
      </c>
      <c r="K44" s="262" t="e">
        <f>IF($C44="","",VLOOKUP($C44+$F$11*1000,DSS_Calc!$A:$JV,K$30,FALSE))</f>
        <v>#VALUE!</v>
      </c>
      <c r="L44" s="262" t="e">
        <f>IF($C44="","",VLOOKUP($C44+$F$11*1000,DSS_Calc!$A:$JV,L$30,FALSE))</f>
        <v>#VALUE!</v>
      </c>
      <c r="M44" s="262" t="e">
        <f>IF($C44="","",VLOOKUP($C44+$F$11*1000,DSS_Calc!$A:$JV,M$30,FALSE))</f>
        <v>#VALUE!</v>
      </c>
      <c r="N44" s="262" t="e">
        <f>IF($C44="","",VLOOKUP($C44+$F$11*1000,DSS_Calc!$A:$JV,N$30,FALSE))</f>
        <v>#VALUE!</v>
      </c>
      <c r="O44" s="262" t="e">
        <f>IF($C44="","",VLOOKUP($C44+$F$11*1000,DSS_Calc!$A:$JV,O$30,FALSE))</f>
        <v>#VALUE!</v>
      </c>
      <c r="P44" s="294" t="s">
        <v>2</v>
      </c>
      <c r="Q44" s="262" t="e">
        <f>IF($C44="","",VLOOKUP($C44+$F$11*1000,DSS_Calc!$A:$JV,Q$30,FALSE)*IF(U44=0,0,1))</f>
        <v>#VALUE!</v>
      </c>
      <c r="R44" s="262" t="e">
        <f>IF($C44="","",VLOOKUP($C44+$F$11*1000,DSS_Calc!$A:$JV,R$30,FALSE)*IF(V44=0,0,1))</f>
        <v>#VALUE!</v>
      </c>
      <c r="S44" s="262" t="e">
        <f>IF($C44="","",VLOOKUP($C44+$F$11*1000,DSS_Calc!$A:$JV,S$30,FALSE)*IF(W44=0,0,1))</f>
        <v>#VALUE!</v>
      </c>
      <c r="T44" s="294" t="s">
        <v>2</v>
      </c>
      <c r="U44" s="263" t="e">
        <f>IF($C44="","",VLOOKUP($C44+$F$11*1000,DSS_Calc!$A:$JV,U$30,FALSE))</f>
        <v>#VALUE!</v>
      </c>
      <c r="V44" s="263" t="e">
        <f>IF($C44="","",VLOOKUP($C44+$F$11*1000,DSS_Calc!$A:$JV,V$30,FALSE))</f>
        <v>#VALUE!</v>
      </c>
      <c r="W44" s="263" t="e">
        <f>IF($C44="","",VLOOKUP($C44+$F$11*1000,DSS_Calc!$A:$JV,W$30,FALSE))</f>
        <v>#VALUE!</v>
      </c>
      <c r="X44" s="294" t="s">
        <v>2</v>
      </c>
      <c r="Y44" s="262" t="e">
        <f>IF(U44=0,0,U44*Q44)</f>
        <v>#VALUE!</v>
      </c>
      <c r="Z44" s="262" t="e">
        <f>IF(V44=0,0,V44*R44)</f>
        <v>#VALUE!</v>
      </c>
      <c r="AA44" s="262" t="e">
        <f>IF(W44=0,0,W44*S44)</f>
        <v>#VALUE!</v>
      </c>
      <c r="AB44" s="294" t="s">
        <v>2</v>
      </c>
      <c r="AC44" s="262" t="e">
        <f>SUM(Y44:AA44)</f>
        <v>#VALUE!</v>
      </c>
      <c r="AD44" s="264" t="e">
        <f>AC44*AE44/1000/1000</f>
        <v>#VALUE!</v>
      </c>
      <c r="AE44" s="265" t="e">
        <f>IF($C44="","",VLOOKUP($C44+$F$11*1000,DSS_Calc!$A:$JV,AE$30,FALSE))</f>
        <v>#VALUE!</v>
      </c>
      <c r="AF44" s="264" t="e">
        <f>IF($C44="","",VLOOKUP($C44+$F$11*1000,DSS_Calc!$A:$JV,AF$30,FALSE))</f>
        <v>#VALUE!</v>
      </c>
      <c r="AG44" s="263"/>
      <c r="AH44" s="263"/>
      <c r="AI44" s="300"/>
      <c r="AJ44" s="289" t="s">
        <v>2</v>
      </c>
      <c r="AK44" s="781" t="e">
        <f>LEFT(A44&amp;":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
LEN(A44&amp;": "&amp;IF(F44=F$33,"",IF(F45&gt;0,"+","")&amp;F45&amp;F$31&amp;", ")
&amp;IF(G44=G$33,"",IF(G45&gt;0,"+","")&amp;G44&amp;G$31&amp;", ")
&amp;IF(H44=H$33,"",IF(H45&gt;0,"+","")&amp;H44&amp;H$31&amp;", ")
&amp;IF(I44=I$33,"",IF(I45&gt;0,"+","")&amp;I45&amp;I$31&amp;", ")
&amp;IF(J44=J$33,"",IF(J45&gt;0,"+","")&amp;J45&amp;J$31&amp;", ")
&amp;IF(K44=K$33,"",IF(K45&gt;0,"+","")&amp;K45&amp;K$31&amp;", ")
&amp;IF(L44=L$33,"",IF(L45&gt;0,"+","")&amp;L45&amp;L$31&amp;", ")
&amp;IF(M44=M$33,"",IF(M45&gt;0,"+","")&amp;M45&amp;M$31&amp;", ")
&amp;IF(N44=N$33,"",IF(N45&gt;0,"+","")&amp;N45&amp;N$31&amp;", ")
&amp;IF(O44=O$33,"",IF(O45&gt;0,"+","")&amp;O45&amp;O$31&amp;", "))-2)</f>
        <v>#VALUE!</v>
      </c>
      <c r="AL44" s="700"/>
      <c r="AM44" s="700"/>
      <c r="AN44" s="700"/>
      <c r="AO44" s="235"/>
      <c r="AR44" s="235"/>
      <c r="AT44" s="585"/>
      <c r="AU44" s="585"/>
      <c r="AV44" s="585"/>
      <c r="AW44" s="585"/>
      <c r="AX44" s="585"/>
      <c r="BA44" s="303" t="str">
        <f>CHAR(CODE(BA42)+1)</f>
        <v>F</v>
      </c>
      <c r="BC44" s="669">
        <v>16</v>
      </c>
      <c r="BD44" s="670" t="s">
        <v>853</v>
      </c>
      <c r="BE44" s="669">
        <v>16</v>
      </c>
      <c r="BF44" s="670" t="s">
        <v>845</v>
      </c>
      <c r="BG44" s="669">
        <v>16</v>
      </c>
      <c r="BH44" s="670" t="s">
        <v>845</v>
      </c>
      <c r="BI44" s="669">
        <v>16</v>
      </c>
      <c r="BJ44" s="670" t="s">
        <v>845</v>
      </c>
      <c r="BK44" s="669">
        <v>16</v>
      </c>
      <c r="BL44" s="670" t="s">
        <v>845</v>
      </c>
    </row>
    <row r="45" spans="1:64" ht="18" customHeight="1">
      <c r="A45" s="564" t="e">
        <f>AI45/((Q45*U44+R45*V44+S45*W44)/(VLOOKUP($C44+$F$11*1000,DSS_Calc!$A:$JV,DSS_Calc!BX$92,FALSE)-$AC$33))</f>
        <v>#N/A</v>
      </c>
      <c r="B45" s="402"/>
      <c r="C45" s="564" t="e">
        <f>AI45/(AC45/(VLOOKUP($C44+$F$11*1000,DSS_Calc!$A:$JV,DSS_Calc!BX$92,FALSE)-$AC$33))</f>
        <v>#N/A</v>
      </c>
      <c r="D45" s="266" t="s">
        <v>141</v>
      </c>
      <c r="F45" s="267" t="e">
        <f>ROUND(F44-F$33,0)</f>
        <v>#VALUE!</v>
      </c>
      <c r="G45" s="267"/>
      <c r="H45" s="267"/>
      <c r="I45" s="267" t="e">
        <f t="shared" ref="I45:O45" si="12">ROUND(I44-I$33,0)</f>
        <v>#VALUE!</v>
      </c>
      <c r="J45" s="267" t="e">
        <f t="shared" si="12"/>
        <v>#VALUE!</v>
      </c>
      <c r="K45" s="267" t="e">
        <f t="shared" si="12"/>
        <v>#VALUE!</v>
      </c>
      <c r="L45" s="267" t="e">
        <f t="shared" si="12"/>
        <v>#VALUE!</v>
      </c>
      <c r="M45" s="267" t="e">
        <f t="shared" si="12"/>
        <v>#VALUE!</v>
      </c>
      <c r="N45" s="267" t="e">
        <f t="shared" si="12"/>
        <v>#VALUE!</v>
      </c>
      <c r="O45" s="267" t="e">
        <f t="shared" si="12"/>
        <v>#VALUE!</v>
      </c>
      <c r="P45" s="294"/>
      <c r="Q45" s="267" t="e">
        <f t="shared" ref="Q45:S45" si="13">Q44-Q$33</f>
        <v>#VALUE!</v>
      </c>
      <c r="R45" s="267" t="e">
        <f t="shared" si="13"/>
        <v>#VALUE!</v>
      </c>
      <c r="S45" s="267" t="e">
        <f t="shared" si="13"/>
        <v>#VALUE!</v>
      </c>
      <c r="T45" s="294"/>
      <c r="U45" s="268" t="e">
        <f>U44-U$33</f>
        <v>#VALUE!</v>
      </c>
      <c r="V45" s="268" t="e">
        <f>V44-V$33</f>
        <v>#VALUE!</v>
      </c>
      <c r="W45" s="268" t="e">
        <f>W44-W$33</f>
        <v>#VALUE!</v>
      </c>
      <c r="X45" s="294"/>
      <c r="Y45" s="267" t="e">
        <f>Y44-Y$33</f>
        <v>#VALUE!</v>
      </c>
      <c r="Z45" s="267" t="e">
        <f>Z44-Z$33</f>
        <v>#VALUE!</v>
      </c>
      <c r="AA45" s="267" t="e">
        <f>AA44-AA$33</f>
        <v>#VALUE!</v>
      </c>
      <c r="AB45" s="294"/>
      <c r="AC45" s="267" t="e">
        <f>IFERROR(AC44-AC$33,NA())</f>
        <v>#N/A</v>
      </c>
      <c r="AD45" s="269" t="e">
        <f>AD44-AD$33</f>
        <v>#VALUE!</v>
      </c>
      <c r="AE45" s="270" t="e">
        <f t="shared" si="3"/>
        <v>#VALUE!</v>
      </c>
      <c r="AF45" s="269" t="e">
        <f t="shared" si="3"/>
        <v>#VALUE!</v>
      </c>
      <c r="AG45" s="268" t="e">
        <f>AF45/AF$33</f>
        <v>#VALUE!</v>
      </c>
      <c r="AH45" s="268"/>
      <c r="AI45" s="301" t="e">
        <f>IFERROR(AE45/$AE$33,NA())</f>
        <v>#N/A</v>
      </c>
      <c r="AJ45" s="289"/>
      <c r="AK45" s="751"/>
      <c r="AL45" s="750" t="e">
        <f>$AE44*U44-$AE$33*U$33</f>
        <v>#VALUE!</v>
      </c>
      <c r="AM45" s="750" t="e">
        <f>$AE44*V44-$AE$33*V$33</f>
        <v>#VALUE!</v>
      </c>
      <c r="AN45" s="750" t="e">
        <f>$AE44*W44-$AE$33*W$33</f>
        <v>#VALUE!</v>
      </c>
      <c r="AO45" s="235"/>
      <c r="AP45" s="567"/>
      <c r="AR45" s="235"/>
      <c r="AS45" s="235"/>
      <c r="AT45" s="586"/>
      <c r="AU45" s="585"/>
      <c r="AV45" s="586"/>
      <c r="AW45" s="586"/>
      <c r="AX45" s="586"/>
      <c r="AY45" s="235"/>
      <c r="BA45" s="303"/>
      <c r="BC45" s="125"/>
      <c r="BD45" s="671"/>
      <c r="BE45" s="125"/>
      <c r="BF45" s="671"/>
      <c r="BG45" s="125"/>
      <c r="BH45" s="671"/>
      <c r="BI45" s="125"/>
      <c r="BJ45" s="671"/>
      <c r="BK45" s="125"/>
      <c r="BL45" s="671"/>
    </row>
    <row r="46" spans="1:64" ht="18" customHeight="1">
      <c r="A46" s="287" t="str">
        <f>CHAR(CODE(A44)+1)</f>
        <v>G</v>
      </c>
      <c r="B46" s="288"/>
      <c r="C46" s="287" t="s">
        <v>391</v>
      </c>
      <c r="D46" s="396" t="str">
        <f>"Scenario " &amp; A46</f>
        <v>Scenario G</v>
      </c>
      <c r="E46" s="272" t="s">
        <v>2</v>
      </c>
      <c r="F46" s="397" t="e">
        <f>IF($C46="","",VLOOKUP($C46+$F$11*1000,DSS_Calc!$A:$JV,F$30,FALSE))</f>
        <v>#VALUE!</v>
      </c>
      <c r="G46" s="397" t="e">
        <f>IF($C46="","",VLOOKUP($C46+$F$11*1000,DSS_Calc!$A:$JV,G$30,FALSE))</f>
        <v>#VALUE!</v>
      </c>
      <c r="H46" s="397" t="e">
        <f>IF($C46="","",VLOOKUP($C46+$F$11*1000,DSS_Calc!$A:$JV,H$30,FALSE))</f>
        <v>#VALUE!</v>
      </c>
      <c r="I46" s="397" t="e">
        <f>IF($C46="","",VLOOKUP($C46+$F$11*1000,DSS_Calc!$A:$JV,I$30,FALSE))</f>
        <v>#VALUE!</v>
      </c>
      <c r="J46" s="397" t="e">
        <f>IF($C46="","",VLOOKUP($C46+$F$11*1000,DSS_Calc!$A:$JV,J$30,FALSE))</f>
        <v>#VALUE!</v>
      </c>
      <c r="K46" s="397" t="e">
        <f>IF($C46="","",VLOOKUP($C46+$F$11*1000,DSS_Calc!$A:$JV,K$30,FALSE))</f>
        <v>#VALUE!</v>
      </c>
      <c r="L46" s="397" t="e">
        <f>IF($C46="","",VLOOKUP($C46+$F$11*1000,DSS_Calc!$A:$JV,L$30,FALSE))</f>
        <v>#VALUE!</v>
      </c>
      <c r="M46" s="397" t="e">
        <f>IF($C46="","",VLOOKUP($C46+$F$11*1000,DSS_Calc!$A:$JV,M$30,FALSE))</f>
        <v>#VALUE!</v>
      </c>
      <c r="N46" s="397" t="e">
        <f>IF($C46="","",VLOOKUP($C46+$F$11*1000,DSS_Calc!$A:$JV,N$30,FALSE))</f>
        <v>#VALUE!</v>
      </c>
      <c r="O46" s="397" t="e">
        <f>IF($C46="","",VLOOKUP($C46+$F$11*1000,DSS_Calc!$A:$JV,O$30,FALSE))</f>
        <v>#VALUE!</v>
      </c>
      <c r="P46" s="294" t="s">
        <v>2</v>
      </c>
      <c r="Q46" s="397" t="e">
        <f>IF($C46="","",VLOOKUP($C46+$F$11*1000,DSS_Calc!$A:$JV,Q$30,FALSE)*IF(U46=0,0,1))</f>
        <v>#VALUE!</v>
      </c>
      <c r="R46" s="397" t="e">
        <f>IF($C46="","",VLOOKUP($C46+$F$11*1000,DSS_Calc!$A:$JV,R$30,FALSE)*IF(V46=0,0,1))</f>
        <v>#VALUE!</v>
      </c>
      <c r="S46" s="397" t="e">
        <f>IF($C46="","",VLOOKUP($C46+$F$11*1000,DSS_Calc!$A:$JV,S$30,FALSE)*IF(W46=0,0,1))</f>
        <v>#VALUE!</v>
      </c>
      <c r="T46" s="294" t="s">
        <v>2</v>
      </c>
      <c r="U46" s="398" t="e">
        <f>IF($C46="","",VLOOKUP($C46+$F$11*1000,DSS_Calc!$A:$JV,U$30,FALSE))</f>
        <v>#VALUE!</v>
      </c>
      <c r="V46" s="398" t="e">
        <f>IF($C46="","",VLOOKUP($C46+$F$11*1000,DSS_Calc!$A:$JV,V$30,FALSE))</f>
        <v>#VALUE!</v>
      </c>
      <c r="W46" s="398" t="e">
        <f>IF($C46="","",VLOOKUP($C46+$F$11*1000,DSS_Calc!$A:$JV,W$30,FALSE))</f>
        <v>#VALUE!</v>
      </c>
      <c r="X46" s="294" t="s">
        <v>2</v>
      </c>
      <c r="Y46" s="397" t="e">
        <f>IF(U46=0,0,U46*Q46)</f>
        <v>#VALUE!</v>
      </c>
      <c r="Z46" s="397" t="e">
        <f>IF(V46=0,0,V46*R46)</f>
        <v>#VALUE!</v>
      </c>
      <c r="AA46" s="397" t="e">
        <f>IF(W46=0,0,W46*S46)</f>
        <v>#VALUE!</v>
      </c>
      <c r="AB46" s="294" t="s">
        <v>2</v>
      </c>
      <c r="AC46" s="397" t="e">
        <f>SUM(Y46:AA46)</f>
        <v>#VALUE!</v>
      </c>
      <c r="AD46" s="399" t="e">
        <f>AC46*AE46/1000/1000</f>
        <v>#VALUE!</v>
      </c>
      <c r="AE46" s="400" t="e">
        <f>IF($C46="","",VLOOKUP($C46+$F$11*1000,DSS_Calc!$A:$JV,AE$30,FALSE))</f>
        <v>#VALUE!</v>
      </c>
      <c r="AF46" s="399" t="e">
        <f>IF($C46="","",VLOOKUP($C46+$F$11*1000,DSS_Calc!$A:$JV,AF$30,FALSE))</f>
        <v>#VALUE!</v>
      </c>
      <c r="AG46" s="398"/>
      <c r="AH46" s="398"/>
      <c r="AI46" s="401"/>
      <c r="AJ46" s="289" t="s">
        <v>2</v>
      </c>
      <c r="AK46" s="781" t="e">
        <f>LEFT(A46&amp;":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
LEN(A46&amp;": "&amp;IF(F46=F$33,"",IF(F47&gt;0,"+","")&amp;F47&amp;F$31&amp;", ")
&amp;IF(G46=G$33,"",IF(G47&gt;0,"+","")&amp;G46&amp;G$31&amp;", ")
&amp;IF(H46=H$33,"",IF(H47&gt;0,"+","")&amp;H46&amp;H$31&amp;", ")
&amp;IF(I46=I$33,"",IF(I47&gt;0,"+","")&amp;I47&amp;I$31&amp;", ")
&amp;IF(J46=J$33,"",IF(J47&gt;0,"+","")&amp;J47&amp;J$31&amp;", ")
&amp;IF(K46=K$33,"",IF(K47&gt;0,"+","")&amp;K47&amp;K$31&amp;", ")
&amp;IF(L46=L$33,"",IF(L47&gt;0,"+","")&amp;L47&amp;L$31&amp;", ")
&amp;IF(M46=M$33,"",IF(M47&gt;0,"+","")&amp;M47&amp;M$31&amp;", ")
&amp;IF(N46=N$33,"",IF(N47&gt;0,"+","")&amp;N47&amp;N$31&amp;", ")
&amp;IF(O46=O$33,"",IF(O47&gt;0,"+","")&amp;O47&amp;O$31&amp;", "))-2)</f>
        <v>#VALUE!</v>
      </c>
      <c r="AL46" s="700"/>
      <c r="AM46" s="700"/>
      <c r="AN46" s="700"/>
      <c r="AO46" s="235"/>
      <c r="AR46" s="235"/>
      <c r="AT46" s="585"/>
      <c r="AU46" s="585"/>
      <c r="AV46" s="585"/>
      <c r="AW46" s="585"/>
      <c r="AX46" s="585"/>
      <c r="BA46" s="303" t="str">
        <f>CHAR(CODE(BA44)+1)</f>
        <v>G</v>
      </c>
      <c r="BC46" s="669" t="s">
        <v>391</v>
      </c>
      <c r="BD46" s="670" t="s">
        <v>845</v>
      </c>
      <c r="BE46" s="669">
        <v>22</v>
      </c>
      <c r="BF46" s="670" t="s">
        <v>845</v>
      </c>
      <c r="BG46" s="669">
        <v>22</v>
      </c>
      <c r="BH46" s="670" t="s">
        <v>845</v>
      </c>
      <c r="BI46" s="669">
        <v>22</v>
      </c>
      <c r="BJ46" s="670" t="s">
        <v>845</v>
      </c>
      <c r="BK46" s="669">
        <v>22</v>
      </c>
      <c r="BL46" s="670" t="s">
        <v>845</v>
      </c>
    </row>
    <row r="47" spans="1:64" ht="18" customHeight="1">
      <c r="A47" s="564" t="e">
        <f>AI47/((Q47*U46+R47*V46+S47*W46)/(VLOOKUP($C46+$F$11*1000,DSS_Calc!$A:$JV,DSS_Calc!BX$92,FALSE)-$AC$33))</f>
        <v>#N/A</v>
      </c>
      <c r="B47" s="402"/>
      <c r="C47" s="564" t="e">
        <f>AI47/(AC47/(VLOOKUP($C46+$F$11*1000,DSS_Calc!$A:$JV,DSS_Calc!BX$92,FALSE)-$AC$33))</f>
        <v>#N/A</v>
      </c>
      <c r="D47" s="403" t="s">
        <v>141</v>
      </c>
      <c r="F47" s="404" t="e">
        <f>ROUND(F46-F$33,0)</f>
        <v>#VALUE!</v>
      </c>
      <c r="G47" s="404"/>
      <c r="H47" s="404"/>
      <c r="I47" s="404" t="e">
        <f t="shared" ref="I47:O47" si="14">ROUND(I46-I$33,0)</f>
        <v>#VALUE!</v>
      </c>
      <c r="J47" s="404" t="e">
        <f t="shared" si="14"/>
        <v>#VALUE!</v>
      </c>
      <c r="K47" s="404" t="e">
        <f t="shared" si="14"/>
        <v>#VALUE!</v>
      </c>
      <c r="L47" s="404" t="e">
        <f t="shared" si="14"/>
        <v>#VALUE!</v>
      </c>
      <c r="M47" s="404" t="e">
        <f t="shared" si="14"/>
        <v>#VALUE!</v>
      </c>
      <c r="N47" s="404" t="e">
        <f t="shared" si="14"/>
        <v>#VALUE!</v>
      </c>
      <c r="O47" s="404" t="e">
        <f t="shared" si="14"/>
        <v>#VALUE!</v>
      </c>
      <c r="P47" s="294"/>
      <c r="Q47" s="404" t="e">
        <f t="shared" ref="Q47:S47" si="15">Q46-Q$33</f>
        <v>#VALUE!</v>
      </c>
      <c r="R47" s="404" t="e">
        <f t="shared" si="15"/>
        <v>#VALUE!</v>
      </c>
      <c r="S47" s="404" t="e">
        <f t="shared" si="15"/>
        <v>#VALUE!</v>
      </c>
      <c r="T47" s="294"/>
      <c r="U47" s="405" t="e">
        <f>U46-U$33</f>
        <v>#VALUE!</v>
      </c>
      <c r="V47" s="405" t="e">
        <f>V46-V$33</f>
        <v>#VALUE!</v>
      </c>
      <c r="W47" s="405" t="e">
        <f>W46-W$33</f>
        <v>#VALUE!</v>
      </c>
      <c r="X47" s="294"/>
      <c r="Y47" s="404" t="e">
        <f>Y46-Y$33</f>
        <v>#VALUE!</v>
      </c>
      <c r="Z47" s="404" t="e">
        <f>Z46-Z$33</f>
        <v>#VALUE!</v>
      </c>
      <c r="AA47" s="404" t="e">
        <f>AA46-AA$33</f>
        <v>#VALUE!</v>
      </c>
      <c r="AB47" s="294"/>
      <c r="AC47" s="404" t="e">
        <f>IFERROR(AC46-AC$33,NA())</f>
        <v>#N/A</v>
      </c>
      <c r="AD47" s="406" t="e">
        <f>AD46-AD$33</f>
        <v>#VALUE!</v>
      </c>
      <c r="AE47" s="407" t="e">
        <f t="shared" si="3"/>
        <v>#VALUE!</v>
      </c>
      <c r="AF47" s="406" t="e">
        <f t="shared" si="3"/>
        <v>#VALUE!</v>
      </c>
      <c r="AG47" s="405" t="e">
        <f>AF47/AF$33</f>
        <v>#VALUE!</v>
      </c>
      <c r="AH47" s="405"/>
      <c r="AI47" s="408" t="e">
        <f>IFERROR(AE47/$AE$33,NA())</f>
        <v>#N/A</v>
      </c>
      <c r="AJ47" s="289"/>
      <c r="AK47" s="751"/>
      <c r="AL47" s="750" t="e">
        <f>$AE46*U46-$AE$33*U$33</f>
        <v>#VALUE!</v>
      </c>
      <c r="AM47" s="750" t="e">
        <f>$AE46*V46-$AE$33*V$33</f>
        <v>#VALUE!</v>
      </c>
      <c r="AN47" s="750" t="e">
        <f>$AE46*W46-$AE$33*W$33</f>
        <v>#VALUE!</v>
      </c>
      <c r="AO47" s="235"/>
      <c r="AP47" s="567"/>
      <c r="AR47" s="564"/>
      <c r="AS47" s="235"/>
      <c r="AT47" s="586"/>
      <c r="AU47" s="585"/>
      <c r="AV47" s="586"/>
      <c r="AW47" s="586"/>
      <c r="AX47" s="586"/>
      <c r="AY47" s="235"/>
      <c r="BA47" s="303"/>
      <c r="BC47" s="125"/>
      <c r="BD47" s="671"/>
      <c r="BE47" s="125"/>
      <c r="BF47" s="671"/>
      <c r="BG47" s="125"/>
      <c r="BH47" s="671"/>
      <c r="BI47" s="125"/>
      <c r="BJ47" s="671"/>
      <c r="BK47" s="125"/>
      <c r="BL47" s="671"/>
    </row>
    <row r="48" spans="1:64" ht="18" customHeight="1">
      <c r="A48" s="287" t="str">
        <f>CHAR(CODE(A46)+1)</f>
        <v>H</v>
      </c>
      <c r="B48" s="288"/>
      <c r="C48" s="287" t="s">
        <v>391</v>
      </c>
      <c r="D48" s="261" t="str">
        <f>"Scenario " &amp; A48</f>
        <v>Scenario H</v>
      </c>
      <c r="E48" s="272" t="s">
        <v>2</v>
      </c>
      <c r="F48" s="262" t="e">
        <f>IF($C48="","",VLOOKUP($C48+$F$11*1000,DSS_Calc!$A:$JV,F$30,FALSE))</f>
        <v>#VALUE!</v>
      </c>
      <c r="G48" s="262" t="e">
        <f>IF($C48="","",VLOOKUP($C48+$F$11*1000,DSS_Calc!$A:$JV,G$30,FALSE))</f>
        <v>#VALUE!</v>
      </c>
      <c r="H48" s="262" t="e">
        <f>IF($C48="","",VLOOKUP($C48+$F$11*1000,DSS_Calc!$A:$JV,H$30,FALSE))</f>
        <v>#VALUE!</v>
      </c>
      <c r="I48" s="262" t="e">
        <f>IF($C48="","",VLOOKUP($C48+$F$11*1000,DSS_Calc!$A:$JV,I$30,FALSE))</f>
        <v>#VALUE!</v>
      </c>
      <c r="J48" s="262" t="e">
        <f>IF($C48="","",VLOOKUP($C48+$F$11*1000,DSS_Calc!$A:$JV,J$30,FALSE))</f>
        <v>#VALUE!</v>
      </c>
      <c r="K48" s="262" t="e">
        <f>IF($C48="","",VLOOKUP($C48+$F$11*1000,DSS_Calc!$A:$JV,K$30,FALSE))</f>
        <v>#VALUE!</v>
      </c>
      <c r="L48" s="262" t="e">
        <f>IF($C48="","",VLOOKUP($C48+$F$11*1000,DSS_Calc!$A:$JV,L$30,FALSE))</f>
        <v>#VALUE!</v>
      </c>
      <c r="M48" s="262" t="e">
        <f>IF($C48="","",VLOOKUP($C48+$F$11*1000,DSS_Calc!$A:$JV,M$30,FALSE))</f>
        <v>#VALUE!</v>
      </c>
      <c r="N48" s="262" t="e">
        <f>IF($C48="","",VLOOKUP($C48+$F$11*1000,DSS_Calc!$A:$JV,N$30,FALSE))</f>
        <v>#VALUE!</v>
      </c>
      <c r="O48" s="262" t="e">
        <f>IF($C48="","",VLOOKUP($C48+$F$11*1000,DSS_Calc!$A:$JV,O$30,FALSE))</f>
        <v>#VALUE!</v>
      </c>
      <c r="P48" s="294" t="s">
        <v>2</v>
      </c>
      <c r="Q48" s="262" t="e">
        <f>IF($C48="","",VLOOKUP($C48+$F$11*1000,DSS_Calc!$A:$JV,Q$30,FALSE)*IF(U48=0,0,1))</f>
        <v>#VALUE!</v>
      </c>
      <c r="R48" s="262" t="e">
        <f>IF($C48="","",VLOOKUP($C48+$F$11*1000,DSS_Calc!$A:$JV,R$30,FALSE)*IF(V48=0,0,1))</f>
        <v>#VALUE!</v>
      </c>
      <c r="S48" s="262" t="e">
        <f>IF($C48="","",VLOOKUP($C48+$F$11*1000,DSS_Calc!$A:$JV,S$30,FALSE)*IF(W48=0,0,1))</f>
        <v>#VALUE!</v>
      </c>
      <c r="T48" s="294" t="s">
        <v>2</v>
      </c>
      <c r="U48" s="263" t="e">
        <f>IF($C48="","",VLOOKUP($C48+$F$11*1000,DSS_Calc!$A:$JV,U$30,FALSE))</f>
        <v>#VALUE!</v>
      </c>
      <c r="V48" s="263" t="e">
        <f>IF($C48="","",VLOOKUP($C48+$F$11*1000,DSS_Calc!$A:$JV,V$30,FALSE))</f>
        <v>#VALUE!</v>
      </c>
      <c r="W48" s="263" t="e">
        <f>IF($C48="","",VLOOKUP($C48+$F$11*1000,DSS_Calc!$A:$JV,W$30,FALSE))</f>
        <v>#VALUE!</v>
      </c>
      <c r="X48" s="294" t="s">
        <v>2</v>
      </c>
      <c r="Y48" s="262" t="e">
        <f>IF(U48=0,0,U48*Q48)</f>
        <v>#VALUE!</v>
      </c>
      <c r="Z48" s="262" t="e">
        <f>IF(V48=0,0,V48*R48)</f>
        <v>#VALUE!</v>
      </c>
      <c r="AA48" s="262" t="e">
        <f>IF(W48=0,0,W48*S48)</f>
        <v>#VALUE!</v>
      </c>
      <c r="AB48" s="294" t="s">
        <v>2</v>
      </c>
      <c r="AC48" s="262" t="e">
        <f>SUM(Y48:AA48)</f>
        <v>#VALUE!</v>
      </c>
      <c r="AD48" s="264" t="e">
        <f>AC48*AE48/1000/1000</f>
        <v>#VALUE!</v>
      </c>
      <c r="AE48" s="265" t="e">
        <f>IF($C48="","",VLOOKUP($C48+$F$11*1000,DSS_Calc!$A:$JV,AE$30,FALSE))</f>
        <v>#VALUE!</v>
      </c>
      <c r="AF48" s="264" t="e">
        <f>IF($C48="","",VLOOKUP($C48+$F$11*1000,DSS_Calc!$A:$JV,AF$30,FALSE))</f>
        <v>#VALUE!</v>
      </c>
      <c r="AG48" s="263"/>
      <c r="AH48" s="263"/>
      <c r="AI48" s="300"/>
      <c r="AJ48" s="289" t="s">
        <v>2</v>
      </c>
      <c r="AK48" s="781" t="e">
        <f>LEFT(A48&amp;":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
LEN(A48&amp;": "&amp;IF(F48=F$33,"",IF(F49&gt;0,"+","")&amp;F49&amp;F$31&amp;", ")
&amp;IF(G48=G$33,"",IF(G49&gt;0,"+","")&amp;G48&amp;G$31&amp;", ")
&amp;IF(H48=H$33,"",IF(H49&gt;0,"+","")&amp;H48&amp;H$31&amp;", ")
&amp;IF(I48=I$33,"",IF(I49&gt;0,"+","")&amp;I49&amp;I$31&amp;", ")
&amp;IF(J48=J$33,"",IF(J49&gt;0,"+","")&amp;J49&amp;J$31&amp;", ")
&amp;IF(K48=K$33,"",IF(K49&gt;0,"+","")&amp;K49&amp;K$31&amp;", ")
&amp;IF(L48=L$33,"",IF(L49&gt;0,"+","")&amp;L49&amp;L$31&amp;", ")
&amp;IF(M48=M$33,"",IF(M49&gt;0,"+","")&amp;M49&amp;M$31&amp;", ")
&amp;IF(N48=N$33,"",IF(N49&gt;0,"+","")&amp;N49&amp;N$31&amp;", ")
&amp;IF(O48=O$33,"",IF(O49&gt;0,"+","")&amp;O49&amp;O$31&amp;", "))-2)</f>
        <v>#VALUE!</v>
      </c>
      <c r="AL48" s="700"/>
      <c r="AM48" s="700"/>
      <c r="AN48" s="700"/>
      <c r="AO48" s="235"/>
      <c r="AR48" s="235"/>
      <c r="AT48" s="585"/>
      <c r="AU48" s="585"/>
      <c r="AV48" s="585"/>
      <c r="AW48" s="585"/>
      <c r="AX48" s="585"/>
      <c r="BA48" s="303" t="str">
        <f>CHAR(CODE(BA46)+1)</f>
        <v>H</v>
      </c>
      <c r="BC48" s="669" t="s">
        <v>391</v>
      </c>
      <c r="BD48" s="670" t="s">
        <v>845</v>
      </c>
      <c r="BE48" s="669">
        <v>20</v>
      </c>
      <c r="BF48" s="670" t="s">
        <v>845</v>
      </c>
      <c r="BG48" s="669">
        <v>20</v>
      </c>
      <c r="BH48" s="670" t="s">
        <v>845</v>
      </c>
      <c r="BI48" s="669">
        <v>20</v>
      </c>
      <c r="BJ48" s="670" t="s">
        <v>845</v>
      </c>
      <c r="BK48" s="669">
        <v>20</v>
      </c>
      <c r="BL48" s="670" t="s">
        <v>845</v>
      </c>
    </row>
    <row r="49" spans="1:64" ht="18" customHeight="1">
      <c r="A49" s="564" t="e">
        <f>AI49/((Q49*U48+R49*V48+S49*W48)/(VLOOKUP($C48+$F$11*1000,DSS_Calc!$A:$JV,DSS_Calc!BX$92,FALSE)-$AC$33))</f>
        <v>#N/A</v>
      </c>
      <c r="B49" s="402"/>
      <c r="C49" s="564" t="e">
        <f>AI49/(AC49/(VLOOKUP($C48+$F$11*1000,DSS_Calc!$A:$JV,DSS_Calc!BX$92,FALSE)-$AC$33))</f>
        <v>#N/A</v>
      </c>
      <c r="D49" s="266" t="s">
        <v>141</v>
      </c>
      <c r="F49" s="267" t="e">
        <f>ROUND(F48-F$33,0)</f>
        <v>#VALUE!</v>
      </c>
      <c r="G49" s="267"/>
      <c r="H49" s="267"/>
      <c r="I49" s="267" t="e">
        <f t="shared" ref="I49:O49" si="16">ROUND(I48-I$33,0)</f>
        <v>#VALUE!</v>
      </c>
      <c r="J49" s="267" t="e">
        <f t="shared" si="16"/>
        <v>#VALUE!</v>
      </c>
      <c r="K49" s="267" t="e">
        <f t="shared" si="16"/>
        <v>#VALUE!</v>
      </c>
      <c r="L49" s="267" t="e">
        <f t="shared" si="16"/>
        <v>#VALUE!</v>
      </c>
      <c r="M49" s="267" t="e">
        <f t="shared" si="16"/>
        <v>#VALUE!</v>
      </c>
      <c r="N49" s="267" t="e">
        <f t="shared" si="16"/>
        <v>#VALUE!</v>
      </c>
      <c r="O49" s="267" t="e">
        <f t="shared" si="16"/>
        <v>#VALUE!</v>
      </c>
      <c r="P49" s="294"/>
      <c r="Q49" s="267" t="e">
        <f t="shared" ref="Q49:S49" si="17">Q48-Q$33</f>
        <v>#VALUE!</v>
      </c>
      <c r="R49" s="267" t="e">
        <f t="shared" si="17"/>
        <v>#VALUE!</v>
      </c>
      <c r="S49" s="267" t="e">
        <f t="shared" si="17"/>
        <v>#VALUE!</v>
      </c>
      <c r="T49" s="294"/>
      <c r="U49" s="268" t="e">
        <f>U48-U$33</f>
        <v>#VALUE!</v>
      </c>
      <c r="V49" s="268" t="e">
        <f>V48-V$33</f>
        <v>#VALUE!</v>
      </c>
      <c r="W49" s="268" t="e">
        <f>W48-W$33</f>
        <v>#VALUE!</v>
      </c>
      <c r="X49" s="294"/>
      <c r="Y49" s="267" t="e">
        <f>Y48-Y$33</f>
        <v>#VALUE!</v>
      </c>
      <c r="Z49" s="267" t="e">
        <f>Z48-Z$33</f>
        <v>#VALUE!</v>
      </c>
      <c r="AA49" s="267" t="e">
        <f>AA48-AA$33</f>
        <v>#VALUE!</v>
      </c>
      <c r="AB49" s="294"/>
      <c r="AC49" s="267" t="e">
        <f>IFERROR(AC48-AC$33,NA())</f>
        <v>#N/A</v>
      </c>
      <c r="AD49" s="269" t="e">
        <f>AD48-AD$33</f>
        <v>#VALUE!</v>
      </c>
      <c r="AE49" s="270" t="e">
        <f t="shared" si="3"/>
        <v>#VALUE!</v>
      </c>
      <c r="AF49" s="269" t="e">
        <f t="shared" si="3"/>
        <v>#VALUE!</v>
      </c>
      <c r="AG49" s="268" t="e">
        <f>AF49/AF$33</f>
        <v>#VALUE!</v>
      </c>
      <c r="AH49" s="268"/>
      <c r="AI49" s="301" t="e">
        <f>IFERROR(AE49/$AE$33,NA())</f>
        <v>#N/A</v>
      </c>
      <c r="AJ49" s="289"/>
      <c r="AK49" s="751"/>
      <c r="AL49" s="750" t="e">
        <f>$AE48*U48-$AE$33*U$33</f>
        <v>#VALUE!</v>
      </c>
      <c r="AM49" s="750" t="e">
        <f>$AE48*V48-$AE$33*V$33</f>
        <v>#VALUE!</v>
      </c>
      <c r="AN49" s="750" t="e">
        <f>$AE48*W48-$AE$33*W$33</f>
        <v>#VALUE!</v>
      </c>
      <c r="AO49" s="235"/>
      <c r="AP49" s="567"/>
      <c r="AR49" s="235"/>
      <c r="AS49" s="235"/>
      <c r="AT49" s="586"/>
      <c r="AU49" s="585"/>
      <c r="AV49" s="586"/>
      <c r="AW49" s="586"/>
      <c r="AX49" s="586"/>
      <c r="AY49" s="235"/>
      <c r="BA49" s="303"/>
      <c r="BC49" s="125"/>
      <c r="BD49" s="671"/>
      <c r="BE49" s="125"/>
      <c r="BF49" s="671"/>
      <c r="BG49" s="125"/>
      <c r="BH49" s="671"/>
      <c r="BI49" s="125"/>
      <c r="BJ49" s="671"/>
      <c r="BK49" s="125"/>
      <c r="BL49" s="671"/>
    </row>
    <row r="50" spans="1:64" ht="18" customHeight="1">
      <c r="A50" s="287" t="str">
        <f>CHAR(CODE(A48)+1)</f>
        <v>I</v>
      </c>
      <c r="B50" s="288"/>
      <c r="C50" s="287" t="s">
        <v>391</v>
      </c>
      <c r="D50" s="396" t="str">
        <f>"Scenario " &amp; A50</f>
        <v>Scenario I</v>
      </c>
      <c r="E50" s="272" t="s">
        <v>2</v>
      </c>
      <c r="F50" s="397" t="e">
        <f>IF($C50="","",VLOOKUP($C50+$F$11*1000,DSS_Calc!$A:$JV,F$30,FALSE))</f>
        <v>#VALUE!</v>
      </c>
      <c r="G50" s="397" t="e">
        <f>IF($C50="","",VLOOKUP($C50+$F$11*1000,DSS_Calc!$A:$JV,G$30,FALSE))</f>
        <v>#VALUE!</v>
      </c>
      <c r="H50" s="397" t="e">
        <f>IF($C50="","",VLOOKUP($C50+$F$11*1000,DSS_Calc!$A:$JV,H$30,FALSE))</f>
        <v>#VALUE!</v>
      </c>
      <c r="I50" s="397" t="e">
        <f>IF($C50="","",VLOOKUP($C50+$F$11*1000,DSS_Calc!$A:$JV,I$30,FALSE))</f>
        <v>#VALUE!</v>
      </c>
      <c r="J50" s="397" t="e">
        <f>IF($C50="","",VLOOKUP($C50+$F$11*1000,DSS_Calc!$A:$JV,J$30,FALSE))</f>
        <v>#VALUE!</v>
      </c>
      <c r="K50" s="397" t="e">
        <f>IF($C50="","",VLOOKUP($C50+$F$11*1000,DSS_Calc!$A:$JV,K$30,FALSE))</f>
        <v>#VALUE!</v>
      </c>
      <c r="L50" s="397" t="e">
        <f>IF($C50="","",VLOOKUP($C50+$F$11*1000,DSS_Calc!$A:$JV,L$30,FALSE))</f>
        <v>#VALUE!</v>
      </c>
      <c r="M50" s="397" t="e">
        <f>IF($C50="","",VLOOKUP($C50+$F$11*1000,DSS_Calc!$A:$JV,M$30,FALSE))</f>
        <v>#VALUE!</v>
      </c>
      <c r="N50" s="397" t="e">
        <f>IF($C50="","",VLOOKUP($C50+$F$11*1000,DSS_Calc!$A:$JV,N$30,FALSE))</f>
        <v>#VALUE!</v>
      </c>
      <c r="O50" s="397" t="e">
        <f>IF($C50="","",VLOOKUP($C50+$F$11*1000,DSS_Calc!$A:$JV,O$30,FALSE))</f>
        <v>#VALUE!</v>
      </c>
      <c r="P50" s="294" t="s">
        <v>2</v>
      </c>
      <c r="Q50" s="397" t="e">
        <f>IF($C50="","",VLOOKUP($C50+$F$11*1000,DSS_Calc!$A:$JV,Q$30,FALSE)*IF(U50=0,0,1))</f>
        <v>#VALUE!</v>
      </c>
      <c r="R50" s="397" t="e">
        <f>IF($C50="","",VLOOKUP($C50+$F$11*1000,DSS_Calc!$A:$JV,R$30,FALSE)*IF(V50=0,0,1))</f>
        <v>#VALUE!</v>
      </c>
      <c r="S50" s="397" t="e">
        <f>IF($C50="","",VLOOKUP($C50+$F$11*1000,DSS_Calc!$A:$JV,S$30,FALSE)*IF(W50=0,0,1))</f>
        <v>#VALUE!</v>
      </c>
      <c r="T50" s="294" t="s">
        <v>2</v>
      </c>
      <c r="U50" s="398" t="e">
        <f>IF($C50="","",VLOOKUP($C50+$F$11*1000,DSS_Calc!$A:$JV,U$30,FALSE))</f>
        <v>#VALUE!</v>
      </c>
      <c r="V50" s="398" t="e">
        <f>IF($C50="","",VLOOKUP($C50+$F$11*1000,DSS_Calc!$A:$JV,V$30,FALSE))</f>
        <v>#VALUE!</v>
      </c>
      <c r="W50" s="398" t="e">
        <f>IF($C50="","",VLOOKUP($C50+$F$11*1000,DSS_Calc!$A:$JV,W$30,FALSE))</f>
        <v>#VALUE!</v>
      </c>
      <c r="X50" s="294" t="s">
        <v>2</v>
      </c>
      <c r="Y50" s="397" t="e">
        <f>IF(U50=0,0,U50*Q50)</f>
        <v>#VALUE!</v>
      </c>
      <c r="Z50" s="397" t="e">
        <f>IF(V50=0,0,V50*R50)</f>
        <v>#VALUE!</v>
      </c>
      <c r="AA50" s="397" t="e">
        <f>IF(W50=0,0,W50*S50)</f>
        <v>#VALUE!</v>
      </c>
      <c r="AB50" s="294" t="s">
        <v>2</v>
      </c>
      <c r="AC50" s="397" t="e">
        <f>SUM(Y50:AA50)</f>
        <v>#VALUE!</v>
      </c>
      <c r="AD50" s="399" t="e">
        <f>AC50*AE50/1000/1000</f>
        <v>#VALUE!</v>
      </c>
      <c r="AE50" s="400" t="e">
        <f>IF($C50="","",VLOOKUP($C50+$F$11*1000,DSS_Calc!$A:$JV,AE$30,FALSE))</f>
        <v>#VALUE!</v>
      </c>
      <c r="AF50" s="399" t="e">
        <f>IF($C50="","",VLOOKUP($C50+$F$11*1000,DSS_Calc!$A:$JV,AF$30,FALSE))</f>
        <v>#VALUE!</v>
      </c>
      <c r="AG50" s="398"/>
      <c r="AH50" s="398"/>
      <c r="AI50" s="401"/>
      <c r="AJ50" s="289" t="s">
        <v>2</v>
      </c>
      <c r="AK50" s="781" t="e">
        <f>LEFT(A50&amp;":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
LEN(A50&amp;": "&amp;IF(F50=F$33,"",IF(F51&gt;0,"+","")&amp;F51&amp;F$31&amp;", ")
&amp;IF(G50=G$33,"",IF(G51&gt;0,"+","")&amp;G50&amp;G$31&amp;", ")
&amp;IF(H50=H$33,"",IF(H51&gt;0,"+","")&amp;H50&amp;H$31&amp;", ")
&amp;IF(I50=I$33,"",IF(I51&gt;0,"+","")&amp;I51&amp;I$31&amp;", ")
&amp;IF(J50=J$33,"",IF(J51&gt;0,"+","")&amp;J51&amp;J$31&amp;", ")
&amp;IF(K50=K$33,"",IF(K51&gt;0,"+","")&amp;K51&amp;K$31&amp;", ")
&amp;IF(L50=L$33,"",IF(L51&gt;0,"+","")&amp;L51&amp;L$31&amp;", ")
&amp;IF(M50=M$33,"",IF(M51&gt;0,"+","")&amp;M51&amp;M$31&amp;", ")
&amp;IF(N50=N$33,"",IF(N51&gt;0,"+","")&amp;N51&amp;N$31&amp;", ")
&amp;IF(O50=O$33,"",IF(O51&gt;0,"+","")&amp;O51&amp;O$31&amp;", "))-2)</f>
        <v>#VALUE!</v>
      </c>
      <c r="AL50" s="700"/>
      <c r="AM50" s="700"/>
      <c r="AN50" s="700"/>
      <c r="AO50" s="235"/>
      <c r="AR50" s="235"/>
      <c r="AT50" s="585"/>
      <c r="AU50" s="585"/>
      <c r="AV50" s="585"/>
      <c r="AW50" s="585"/>
      <c r="AX50" s="585"/>
      <c r="BA50" s="303" t="str">
        <f>CHAR(CODE(BA48)+1)</f>
        <v>I</v>
      </c>
      <c r="BC50" s="669" t="s">
        <v>391</v>
      </c>
      <c r="BD50" s="670" t="s">
        <v>845</v>
      </c>
      <c r="BE50" s="669">
        <v>13</v>
      </c>
      <c r="BF50" s="670" t="s">
        <v>845</v>
      </c>
      <c r="BG50" s="669">
        <v>13</v>
      </c>
      <c r="BH50" s="670" t="s">
        <v>845</v>
      </c>
      <c r="BI50" s="669">
        <v>13</v>
      </c>
      <c r="BJ50" s="670" t="s">
        <v>845</v>
      </c>
      <c r="BK50" s="669">
        <v>13</v>
      </c>
      <c r="BL50" s="670" t="s">
        <v>845</v>
      </c>
    </row>
    <row r="51" spans="1:64" ht="18" customHeight="1">
      <c r="A51" s="564" t="e">
        <f>AI51/((Q51*U50+R51*V50+S51*W50)/(VLOOKUP($C50+$F$11*1000,DSS_Calc!$A:$JV,DSS_Calc!BX$92,FALSE)-$AC$33))</f>
        <v>#N/A</v>
      </c>
      <c r="B51" s="402"/>
      <c r="C51" s="564" t="e">
        <f>AI51/(AC51/(VLOOKUP($C50+$F$11*1000,DSS_Calc!$A:$JV,DSS_Calc!BX$92,FALSE)-$AC$33))</f>
        <v>#N/A</v>
      </c>
      <c r="D51" s="403" t="s">
        <v>141</v>
      </c>
      <c r="F51" s="404" t="e">
        <f>ROUND(F50-F$33,0)</f>
        <v>#VALUE!</v>
      </c>
      <c r="G51" s="404"/>
      <c r="H51" s="404"/>
      <c r="I51" s="404" t="e">
        <f t="shared" ref="I51:O51" si="18">ROUND(I50-I$33,0)</f>
        <v>#VALUE!</v>
      </c>
      <c r="J51" s="404" t="e">
        <f t="shared" si="18"/>
        <v>#VALUE!</v>
      </c>
      <c r="K51" s="404" t="e">
        <f t="shared" si="18"/>
        <v>#VALUE!</v>
      </c>
      <c r="L51" s="404" t="e">
        <f t="shared" si="18"/>
        <v>#VALUE!</v>
      </c>
      <c r="M51" s="404" t="e">
        <f t="shared" si="18"/>
        <v>#VALUE!</v>
      </c>
      <c r="N51" s="404" t="e">
        <f t="shared" si="18"/>
        <v>#VALUE!</v>
      </c>
      <c r="O51" s="404" t="e">
        <f t="shared" si="18"/>
        <v>#VALUE!</v>
      </c>
      <c r="P51" s="294"/>
      <c r="Q51" s="404" t="e">
        <f t="shared" ref="Q51:S51" si="19">Q50-Q$33</f>
        <v>#VALUE!</v>
      </c>
      <c r="R51" s="404" t="e">
        <f t="shared" si="19"/>
        <v>#VALUE!</v>
      </c>
      <c r="S51" s="404" t="e">
        <f t="shared" si="19"/>
        <v>#VALUE!</v>
      </c>
      <c r="T51" s="294"/>
      <c r="U51" s="405" t="e">
        <f>U50-U$33</f>
        <v>#VALUE!</v>
      </c>
      <c r="V51" s="405" t="e">
        <f>V50-V$33</f>
        <v>#VALUE!</v>
      </c>
      <c r="W51" s="405" t="e">
        <f>W50-W$33</f>
        <v>#VALUE!</v>
      </c>
      <c r="X51" s="294"/>
      <c r="Y51" s="404" t="e">
        <f>Y50-Y$33</f>
        <v>#VALUE!</v>
      </c>
      <c r="Z51" s="404" t="e">
        <f>Z50-Z$33</f>
        <v>#VALUE!</v>
      </c>
      <c r="AA51" s="404" t="e">
        <f>AA50-AA$33</f>
        <v>#VALUE!</v>
      </c>
      <c r="AB51" s="294"/>
      <c r="AC51" s="404" t="e">
        <f>IFERROR(AC50-AC$33,NA())</f>
        <v>#N/A</v>
      </c>
      <c r="AD51" s="406" t="e">
        <f>AD50-AD$33</f>
        <v>#VALUE!</v>
      </c>
      <c r="AE51" s="407" t="e">
        <f t="shared" ref="AE51:AF61" si="20">AE50-AE$33</f>
        <v>#VALUE!</v>
      </c>
      <c r="AF51" s="406" t="e">
        <f t="shared" si="20"/>
        <v>#VALUE!</v>
      </c>
      <c r="AG51" s="405" t="e">
        <f>AF51/AF$33</f>
        <v>#VALUE!</v>
      </c>
      <c r="AH51" s="405"/>
      <c r="AI51" s="408" t="e">
        <f>IFERROR(AE51/$AE$33,NA())</f>
        <v>#N/A</v>
      </c>
      <c r="AJ51" s="289"/>
      <c r="AK51" s="749"/>
      <c r="AL51" s="750" t="e">
        <f>$AE50*U50-$AE$33*U$33</f>
        <v>#VALUE!</v>
      </c>
      <c r="AM51" s="750" t="e">
        <f>$AE50*V50-$AE$33*V$33</f>
        <v>#VALUE!</v>
      </c>
      <c r="AN51" s="750" t="e">
        <f>$AE50*W50-$AE$33*W$33</f>
        <v>#VALUE!</v>
      </c>
      <c r="AO51" s="235"/>
      <c r="AP51" s="567"/>
      <c r="AR51" s="235"/>
      <c r="AS51" s="235"/>
      <c r="AT51" s="586"/>
      <c r="AU51" s="585"/>
      <c r="AV51" s="586"/>
      <c r="AW51" s="586"/>
      <c r="AX51" s="586"/>
      <c r="AY51" s="235"/>
      <c r="BA51" s="303"/>
      <c r="BC51" s="125"/>
      <c r="BD51" s="671"/>
      <c r="BE51" s="125"/>
      <c r="BF51" s="671"/>
      <c r="BG51" s="125"/>
      <c r="BH51" s="671"/>
      <c r="BI51" s="125"/>
      <c r="BJ51" s="671"/>
      <c r="BK51" s="125"/>
      <c r="BL51" s="671"/>
    </row>
    <row r="52" spans="1:64" ht="18" customHeight="1">
      <c r="A52" s="287" t="str">
        <f>CHAR(CODE(A50)+1)</f>
        <v>J</v>
      </c>
      <c r="B52" s="288"/>
      <c r="C52" s="287" t="s">
        <v>391</v>
      </c>
      <c r="D52" s="261" t="str">
        <f>"Scenario " &amp; A52</f>
        <v>Scenario J</v>
      </c>
      <c r="E52" s="272" t="s">
        <v>2</v>
      </c>
      <c r="F52" s="262" t="e">
        <f>IF($C52="","",VLOOKUP($C52+$F$11*1000,DSS_Calc!$A:$JV,F$30,FALSE))</f>
        <v>#VALUE!</v>
      </c>
      <c r="G52" s="262" t="e">
        <f>IF($C52="","",VLOOKUP($C52+$F$11*1000,DSS_Calc!$A:$JV,G$30,FALSE))</f>
        <v>#VALUE!</v>
      </c>
      <c r="H52" s="262" t="e">
        <f>IF($C52="","",VLOOKUP($C52+$F$11*1000,DSS_Calc!$A:$JV,H$30,FALSE))</f>
        <v>#VALUE!</v>
      </c>
      <c r="I52" s="262" t="e">
        <f>IF($C52="","",VLOOKUP($C52+$F$11*1000,DSS_Calc!$A:$JV,I$30,FALSE))</f>
        <v>#VALUE!</v>
      </c>
      <c r="J52" s="262" t="e">
        <f>IF($C52="","",VLOOKUP($C52+$F$11*1000,DSS_Calc!$A:$JV,J$30,FALSE))</f>
        <v>#VALUE!</v>
      </c>
      <c r="K52" s="262" t="e">
        <f>IF($C52="","",VLOOKUP($C52+$F$11*1000,DSS_Calc!$A:$JV,K$30,FALSE))</f>
        <v>#VALUE!</v>
      </c>
      <c r="L52" s="262" t="e">
        <f>IF($C52="","",VLOOKUP($C52+$F$11*1000,DSS_Calc!$A:$JV,L$30,FALSE))</f>
        <v>#VALUE!</v>
      </c>
      <c r="M52" s="262" t="e">
        <f>IF($C52="","",VLOOKUP($C52+$F$11*1000,DSS_Calc!$A:$JV,M$30,FALSE))</f>
        <v>#VALUE!</v>
      </c>
      <c r="N52" s="262" t="e">
        <f>IF($C52="","",VLOOKUP($C52+$F$11*1000,DSS_Calc!$A:$JV,N$30,FALSE))</f>
        <v>#VALUE!</v>
      </c>
      <c r="O52" s="262" t="e">
        <f>IF($C52="","",VLOOKUP($C52+$F$11*1000,DSS_Calc!$A:$JV,O$30,FALSE))</f>
        <v>#VALUE!</v>
      </c>
      <c r="P52" s="294" t="s">
        <v>2</v>
      </c>
      <c r="Q52" s="262" t="e">
        <f>IF($C52="","",VLOOKUP($C52+$F$11*1000,DSS_Calc!$A:$JV,Q$30,FALSE)*IF(U52=0,0,1))</f>
        <v>#VALUE!</v>
      </c>
      <c r="R52" s="262" t="e">
        <f>IF($C52="","",VLOOKUP($C52+$F$11*1000,DSS_Calc!$A:$JV,R$30,FALSE)*IF(V52=0,0,1))</f>
        <v>#VALUE!</v>
      </c>
      <c r="S52" s="262" t="e">
        <f>IF($C52="","",VLOOKUP($C52+$F$11*1000,DSS_Calc!$A:$JV,S$30,FALSE)*IF(W52=0,0,1))</f>
        <v>#VALUE!</v>
      </c>
      <c r="T52" s="294" t="s">
        <v>2</v>
      </c>
      <c r="U52" s="263" t="e">
        <f>IF($C52="","",VLOOKUP($C52+$F$11*1000,DSS_Calc!$A:$JV,U$30,FALSE))</f>
        <v>#VALUE!</v>
      </c>
      <c r="V52" s="263" t="e">
        <f>IF($C52="","",VLOOKUP($C52+$F$11*1000,DSS_Calc!$A:$JV,V$30,FALSE))</f>
        <v>#VALUE!</v>
      </c>
      <c r="W52" s="263" t="e">
        <f>IF($C52="","",VLOOKUP($C52+$F$11*1000,DSS_Calc!$A:$JV,W$30,FALSE))</f>
        <v>#VALUE!</v>
      </c>
      <c r="X52" s="294" t="s">
        <v>2</v>
      </c>
      <c r="Y52" s="262" t="e">
        <f>IF(U52=0,0,U52*Q52)</f>
        <v>#VALUE!</v>
      </c>
      <c r="Z52" s="262" t="e">
        <f>IF(V52=0,0,V52*R52)</f>
        <v>#VALUE!</v>
      </c>
      <c r="AA52" s="262" t="e">
        <f>IF(W52=0,0,W52*S52)</f>
        <v>#VALUE!</v>
      </c>
      <c r="AB52" s="294" t="s">
        <v>2</v>
      </c>
      <c r="AC52" s="262" t="e">
        <f>SUM(Y52:AA52)</f>
        <v>#VALUE!</v>
      </c>
      <c r="AD52" s="264" t="e">
        <f>AC52*AE52/1000/1000</f>
        <v>#VALUE!</v>
      </c>
      <c r="AE52" s="265" t="e">
        <f>IF($C52="","",VLOOKUP($C52+$F$11*1000,DSS_Calc!$A:$JV,AE$30,FALSE))</f>
        <v>#VALUE!</v>
      </c>
      <c r="AF52" s="264" t="e">
        <f>IF($C52="","",VLOOKUP($C52+$F$11*1000,DSS_Calc!$A:$JV,AF$30,FALSE))</f>
        <v>#VALUE!</v>
      </c>
      <c r="AG52" s="263"/>
      <c r="AH52" s="263"/>
      <c r="AI52" s="300"/>
      <c r="AJ52" s="289" t="s">
        <v>2</v>
      </c>
      <c r="AK52" s="781" t="e">
        <f>LEFT(A52&amp;":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
LEN(A52&amp;": "&amp;IF(F52=F$33,"",IF(F53&gt;0,"+","")&amp;F53&amp;F$31&amp;", ")
&amp;IF(G52=G$33,"",IF(G53&gt;0,"+","")&amp;G52&amp;G$31&amp;", ")
&amp;IF(H52=H$33,"",IF(H53&gt;0,"+","")&amp;H52&amp;H$31&amp;", ")
&amp;IF(I52=I$33,"",IF(I53&gt;0,"+","")&amp;I53&amp;I$31&amp;", ")
&amp;IF(J52=J$33,"",IF(J53&gt;0,"+","")&amp;J53&amp;J$31&amp;", ")
&amp;IF(K52=K$33,"",IF(K53&gt;0,"+","")&amp;K53&amp;K$31&amp;", ")
&amp;IF(L52=L$33,"",IF(L53&gt;0,"+","")&amp;L53&amp;L$31&amp;", ")
&amp;IF(M52=M$33,"",IF(M53&gt;0,"+","")&amp;M53&amp;M$31&amp;", ")
&amp;IF(N52=N$33,"",IF(N53&gt;0,"+","")&amp;N53&amp;N$31&amp;", ")
&amp;IF(O52=O$33,"",IF(O53&gt;0,"+","")&amp;O53&amp;O$31&amp;", "))-2)</f>
        <v>#VALUE!</v>
      </c>
      <c r="AL52" s="700"/>
      <c r="AM52" s="700"/>
      <c r="AN52" s="700"/>
      <c r="AO52" s="235"/>
      <c r="AR52" s="235"/>
      <c r="AT52" s="585"/>
      <c r="AU52" s="585"/>
      <c r="AV52" s="585"/>
      <c r="AW52" s="585"/>
      <c r="AX52" s="585"/>
      <c r="BA52" s="303" t="str">
        <f>CHAR(CODE(BA50)+1)</f>
        <v>J</v>
      </c>
      <c r="BC52" s="669" t="s">
        <v>391</v>
      </c>
      <c r="BD52" s="670" t="s">
        <v>845</v>
      </c>
      <c r="BE52" s="669">
        <v>21</v>
      </c>
      <c r="BF52" s="670" t="s">
        <v>845</v>
      </c>
      <c r="BG52" s="669">
        <v>21</v>
      </c>
      <c r="BH52" s="670" t="s">
        <v>845</v>
      </c>
      <c r="BI52" s="669">
        <v>21</v>
      </c>
      <c r="BJ52" s="670" t="s">
        <v>845</v>
      </c>
      <c r="BK52" s="669">
        <v>21</v>
      </c>
      <c r="BL52" s="670" t="s">
        <v>845</v>
      </c>
    </row>
    <row r="53" spans="1:64" ht="18" customHeight="1">
      <c r="A53" s="564" t="e">
        <f>AI53/((Q53*U52+R53*V52+S53*W52)/(VLOOKUP($C52+$F$11*1000,DSS_Calc!$A:$JV,DSS_Calc!BX$92,FALSE)-$AC$33))</f>
        <v>#N/A</v>
      </c>
      <c r="B53" s="402"/>
      <c r="C53" s="564" t="e">
        <f>AI53/(AC53/(VLOOKUP($C52+$F$11*1000,DSS_Calc!$A:$JV,DSS_Calc!BX$92,FALSE)-$AC$33))</f>
        <v>#N/A</v>
      </c>
      <c r="D53" s="266" t="s">
        <v>141</v>
      </c>
      <c r="F53" s="267" t="e">
        <f>ROUND(F52-F$33,0)</f>
        <v>#VALUE!</v>
      </c>
      <c r="G53" s="267"/>
      <c r="H53" s="267"/>
      <c r="I53" s="267" t="e">
        <f t="shared" ref="I53:O53" si="21">ROUND(I52-I$33,0)</f>
        <v>#VALUE!</v>
      </c>
      <c r="J53" s="267" t="e">
        <f t="shared" si="21"/>
        <v>#VALUE!</v>
      </c>
      <c r="K53" s="267" t="e">
        <f t="shared" si="21"/>
        <v>#VALUE!</v>
      </c>
      <c r="L53" s="267" t="e">
        <f t="shared" si="21"/>
        <v>#VALUE!</v>
      </c>
      <c r="M53" s="267" t="e">
        <f t="shared" si="21"/>
        <v>#VALUE!</v>
      </c>
      <c r="N53" s="267" t="e">
        <f t="shared" si="21"/>
        <v>#VALUE!</v>
      </c>
      <c r="O53" s="267" t="e">
        <f t="shared" si="21"/>
        <v>#VALUE!</v>
      </c>
      <c r="P53" s="294"/>
      <c r="Q53" s="267" t="e">
        <f t="shared" ref="Q53:S53" si="22">Q52-Q$33</f>
        <v>#VALUE!</v>
      </c>
      <c r="R53" s="267" t="e">
        <f t="shared" si="22"/>
        <v>#VALUE!</v>
      </c>
      <c r="S53" s="267" t="e">
        <f t="shared" si="22"/>
        <v>#VALUE!</v>
      </c>
      <c r="T53" s="294"/>
      <c r="U53" s="268" t="e">
        <f>U52-U$33</f>
        <v>#VALUE!</v>
      </c>
      <c r="V53" s="268" t="e">
        <f>V52-V$33</f>
        <v>#VALUE!</v>
      </c>
      <c r="W53" s="268" t="e">
        <f>W52-W$33</f>
        <v>#VALUE!</v>
      </c>
      <c r="X53" s="294"/>
      <c r="Y53" s="267" t="e">
        <f>Y52-Y$33</f>
        <v>#VALUE!</v>
      </c>
      <c r="Z53" s="267" t="e">
        <f>Z52-Z$33</f>
        <v>#VALUE!</v>
      </c>
      <c r="AA53" s="267" t="e">
        <f>AA52-AA$33</f>
        <v>#VALUE!</v>
      </c>
      <c r="AB53" s="294"/>
      <c r="AC53" s="267" t="e">
        <f>IFERROR(AC52-AC$33,NA())</f>
        <v>#N/A</v>
      </c>
      <c r="AD53" s="269" t="e">
        <f>AD52-AD$33</f>
        <v>#VALUE!</v>
      </c>
      <c r="AE53" s="270" t="e">
        <f t="shared" si="20"/>
        <v>#VALUE!</v>
      </c>
      <c r="AF53" s="269" t="e">
        <f t="shared" si="20"/>
        <v>#VALUE!</v>
      </c>
      <c r="AG53" s="268" t="e">
        <f>AF53/AF$33</f>
        <v>#VALUE!</v>
      </c>
      <c r="AH53" s="268"/>
      <c r="AI53" s="301" t="e">
        <f>IFERROR(AE53/$AE$33,NA())</f>
        <v>#N/A</v>
      </c>
      <c r="AJ53" s="289"/>
      <c r="AK53" s="749"/>
      <c r="AL53" s="750" t="e">
        <f>$AE52*U52-$AE$33*U$33</f>
        <v>#VALUE!</v>
      </c>
      <c r="AM53" s="750" t="e">
        <f>$AE52*V52-$AE$33*V$33</f>
        <v>#VALUE!</v>
      </c>
      <c r="AN53" s="750" t="e">
        <f>$AE52*W52-$AE$33*W$33</f>
        <v>#VALUE!</v>
      </c>
      <c r="AO53" s="235"/>
      <c r="AP53" s="567"/>
      <c r="AR53" s="235"/>
      <c r="AS53" s="235"/>
      <c r="AT53" s="586"/>
      <c r="AU53" s="585"/>
      <c r="AV53" s="586"/>
      <c r="AW53" s="586"/>
      <c r="AX53" s="586"/>
      <c r="AY53" s="235"/>
      <c r="BA53" s="303"/>
      <c r="BC53" s="125"/>
      <c r="BD53" s="671"/>
      <c r="BE53" s="125"/>
      <c r="BF53" s="671"/>
      <c r="BG53" s="125"/>
      <c r="BH53" s="671"/>
      <c r="BI53" s="125"/>
      <c r="BJ53" s="671"/>
      <c r="BK53" s="125"/>
      <c r="BL53" s="671"/>
    </row>
    <row r="54" spans="1:64" ht="18" customHeight="1">
      <c r="A54" s="287" t="str">
        <f>CHAR(CODE(A52)+1)</f>
        <v>K</v>
      </c>
      <c r="B54" s="288"/>
      <c r="C54" s="287" t="s">
        <v>391</v>
      </c>
      <c r="D54" s="396" t="str">
        <f>"Scenario " &amp; A54</f>
        <v>Scenario K</v>
      </c>
      <c r="E54" s="272" t="s">
        <v>2</v>
      </c>
      <c r="F54" s="397" t="e">
        <f>IF($C54="","",VLOOKUP($C54+$F$11*1000,DSS_Calc!$A:$JV,F$30,FALSE))</f>
        <v>#VALUE!</v>
      </c>
      <c r="G54" s="397" t="e">
        <f>IF($C54="","",VLOOKUP($C54+$F$11*1000,DSS_Calc!$A:$JV,G$30,FALSE))</f>
        <v>#VALUE!</v>
      </c>
      <c r="H54" s="397" t="e">
        <f>IF($C54="","",VLOOKUP($C54+$F$11*1000,DSS_Calc!$A:$JV,H$30,FALSE))</f>
        <v>#VALUE!</v>
      </c>
      <c r="I54" s="397" t="e">
        <f>IF($C54="","",VLOOKUP($C54+$F$11*1000,DSS_Calc!$A:$JV,I$30,FALSE))</f>
        <v>#VALUE!</v>
      </c>
      <c r="J54" s="397" t="e">
        <f>IF($C54="","",VLOOKUP($C54+$F$11*1000,DSS_Calc!$A:$JV,J$30,FALSE))</f>
        <v>#VALUE!</v>
      </c>
      <c r="K54" s="397" t="e">
        <f>IF($C54="","",VLOOKUP($C54+$F$11*1000,DSS_Calc!$A:$JV,K$30,FALSE))</f>
        <v>#VALUE!</v>
      </c>
      <c r="L54" s="397" t="e">
        <f>IF($C54="","",VLOOKUP($C54+$F$11*1000,DSS_Calc!$A:$JV,L$30,FALSE))</f>
        <v>#VALUE!</v>
      </c>
      <c r="M54" s="397" t="e">
        <f>IF($C54="","",VLOOKUP($C54+$F$11*1000,DSS_Calc!$A:$JV,M$30,FALSE))</f>
        <v>#VALUE!</v>
      </c>
      <c r="N54" s="397" t="e">
        <f>IF($C54="","",VLOOKUP($C54+$F$11*1000,DSS_Calc!$A:$JV,N$30,FALSE))</f>
        <v>#VALUE!</v>
      </c>
      <c r="O54" s="397" t="e">
        <f>IF($C54="","",VLOOKUP($C54+$F$11*1000,DSS_Calc!$A:$JV,O$30,FALSE))</f>
        <v>#VALUE!</v>
      </c>
      <c r="P54" s="294" t="s">
        <v>2</v>
      </c>
      <c r="Q54" s="397" t="e">
        <f>IF($C54="","",VLOOKUP($C54+$F$11*1000,DSS_Calc!$A:$JV,Q$30,FALSE)*IF(U54=0,0,1))</f>
        <v>#VALUE!</v>
      </c>
      <c r="R54" s="397" t="e">
        <f>IF($C54="","",VLOOKUP($C54+$F$11*1000,DSS_Calc!$A:$JV,R$30,FALSE)*IF(V54=0,0,1))</f>
        <v>#VALUE!</v>
      </c>
      <c r="S54" s="397" t="e">
        <f>IF($C54="","",VLOOKUP($C54+$F$11*1000,DSS_Calc!$A:$JV,S$30,FALSE)*IF(W54=0,0,1))</f>
        <v>#VALUE!</v>
      </c>
      <c r="T54" s="294" t="s">
        <v>2</v>
      </c>
      <c r="U54" s="398" t="e">
        <f>IF($C54="","",VLOOKUP($C54+$F$11*1000,DSS_Calc!$A:$JV,U$30,FALSE))</f>
        <v>#VALUE!</v>
      </c>
      <c r="V54" s="398" t="e">
        <f>IF($C54="","",VLOOKUP($C54+$F$11*1000,DSS_Calc!$A:$JV,V$30,FALSE))</f>
        <v>#VALUE!</v>
      </c>
      <c r="W54" s="398" t="e">
        <f>IF($C54="","",VLOOKUP($C54+$F$11*1000,DSS_Calc!$A:$JV,W$30,FALSE))</f>
        <v>#VALUE!</v>
      </c>
      <c r="X54" s="294" t="s">
        <v>2</v>
      </c>
      <c r="Y54" s="397" t="e">
        <f>IF(U54=0,0,U54*Q54)</f>
        <v>#VALUE!</v>
      </c>
      <c r="Z54" s="397" t="e">
        <f>IF(V54=0,0,V54*R54)</f>
        <v>#VALUE!</v>
      </c>
      <c r="AA54" s="397" t="e">
        <f>IF(W54=0,0,W54*S54)</f>
        <v>#VALUE!</v>
      </c>
      <c r="AB54" s="294" t="s">
        <v>2</v>
      </c>
      <c r="AC54" s="397" t="e">
        <f>SUM(Y54:AA54)</f>
        <v>#VALUE!</v>
      </c>
      <c r="AD54" s="399" t="e">
        <f>AC54*AE54/1000/1000</f>
        <v>#VALUE!</v>
      </c>
      <c r="AE54" s="400" t="e">
        <f>IF($C54="","",VLOOKUP($C54+$F$11*1000,DSS_Calc!$A:$JV,AE$30,FALSE))</f>
        <v>#VALUE!</v>
      </c>
      <c r="AF54" s="399" t="e">
        <f>IF($C54="","",VLOOKUP($C54+$F$11*1000,DSS_Calc!$A:$JV,AF$30,FALSE))</f>
        <v>#VALUE!</v>
      </c>
      <c r="AG54" s="398"/>
      <c r="AH54" s="398"/>
      <c r="AI54" s="401"/>
      <c r="AJ54" s="289" t="s">
        <v>2</v>
      </c>
      <c r="AK54" s="781" t="e">
        <f>LEFT(A54&amp;":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
LEN(A54&amp;": "&amp;IF(F54=F$33,"",IF(F55&gt;0,"+","")&amp;F55&amp;F$31&amp;", ")
&amp;IF(G54=G$33,"",IF(G55&gt;0,"+","")&amp;G54&amp;G$31&amp;", ")
&amp;IF(H54=H$33,"",IF(H55&gt;0,"+","")&amp;H54&amp;H$31&amp;", ")
&amp;IF(I54=I$33,"",IF(I55&gt;0,"+","")&amp;I55&amp;I$31&amp;", ")
&amp;IF(J54=J$33,"",IF(J55&gt;0,"+","")&amp;J55&amp;J$31&amp;", ")
&amp;IF(K54=K$33,"",IF(K55&gt;0,"+","")&amp;K55&amp;K$31&amp;", ")
&amp;IF(L54=L$33,"",IF(L55&gt;0,"+","")&amp;L55&amp;L$31&amp;", ")
&amp;IF(M54=M$33,"",IF(M55&gt;0,"+","")&amp;M55&amp;M$31&amp;", ")
&amp;IF(N54=N$33,"",IF(N55&gt;0,"+","")&amp;N55&amp;N$31&amp;", ")
&amp;IF(O54=O$33,"",IF(O55&gt;0,"+","")&amp;O55&amp;O$31&amp;", "))-2)</f>
        <v>#VALUE!</v>
      </c>
      <c r="AL54" s="700"/>
      <c r="AM54" s="700"/>
      <c r="AN54" s="700"/>
      <c r="AO54" s="235"/>
      <c r="AR54" s="235"/>
      <c r="AT54" s="585"/>
      <c r="AU54" s="585"/>
      <c r="AV54" s="585"/>
      <c r="AW54" s="585"/>
      <c r="AX54" s="585"/>
      <c r="BA54" s="303" t="str">
        <f>CHAR(CODE(BA52)+1)</f>
        <v>K</v>
      </c>
      <c r="BC54" s="669" t="s">
        <v>391</v>
      </c>
      <c r="BD54" s="670" t="s">
        <v>845</v>
      </c>
      <c r="BE54" s="669" t="s">
        <v>391</v>
      </c>
      <c r="BF54" s="670" t="s">
        <v>845</v>
      </c>
      <c r="BG54" s="669" t="s">
        <v>391</v>
      </c>
      <c r="BH54" s="670" t="s">
        <v>845</v>
      </c>
      <c r="BI54" s="669" t="s">
        <v>391</v>
      </c>
      <c r="BJ54" s="670" t="s">
        <v>845</v>
      </c>
      <c r="BK54" s="669" t="s">
        <v>391</v>
      </c>
      <c r="BL54" s="670" t="s">
        <v>845</v>
      </c>
    </row>
    <row r="55" spans="1:64" ht="18" customHeight="1">
      <c r="A55" s="564" t="e">
        <f>AI55/((Q55*U54+R55*V54+S55*W54)/(VLOOKUP($C54+$F$11*1000,DSS_Calc!$A:$JV,DSS_Calc!BX$92,FALSE)-$AC$33))</f>
        <v>#N/A</v>
      </c>
      <c r="B55" s="402"/>
      <c r="C55" s="564" t="e">
        <f>AI55/(AC55/(VLOOKUP($C54+$F$11*1000,DSS_Calc!$A:$JV,DSS_Calc!BX$92,FALSE)-$AC$33))</f>
        <v>#N/A</v>
      </c>
      <c r="D55" s="403" t="s">
        <v>141</v>
      </c>
      <c r="F55" s="404" t="e">
        <f>ROUND(F54-F$33,0)</f>
        <v>#VALUE!</v>
      </c>
      <c r="G55" s="404"/>
      <c r="H55" s="404"/>
      <c r="I55" s="404" t="e">
        <f t="shared" ref="I55:O55" si="23">ROUND(I54-I$33,0)</f>
        <v>#VALUE!</v>
      </c>
      <c r="J55" s="404" t="e">
        <f t="shared" si="23"/>
        <v>#VALUE!</v>
      </c>
      <c r="K55" s="404" t="e">
        <f t="shared" si="23"/>
        <v>#VALUE!</v>
      </c>
      <c r="L55" s="404" t="e">
        <f t="shared" si="23"/>
        <v>#VALUE!</v>
      </c>
      <c r="M55" s="404" t="e">
        <f t="shared" si="23"/>
        <v>#VALUE!</v>
      </c>
      <c r="N55" s="404" t="e">
        <f t="shared" si="23"/>
        <v>#VALUE!</v>
      </c>
      <c r="O55" s="404" t="e">
        <f t="shared" si="23"/>
        <v>#VALUE!</v>
      </c>
      <c r="P55" s="294"/>
      <c r="Q55" s="404" t="e">
        <f t="shared" ref="Q55:S55" si="24">Q54-Q$33</f>
        <v>#VALUE!</v>
      </c>
      <c r="R55" s="404" t="e">
        <f t="shared" si="24"/>
        <v>#VALUE!</v>
      </c>
      <c r="S55" s="404" t="e">
        <f t="shared" si="24"/>
        <v>#VALUE!</v>
      </c>
      <c r="T55" s="294"/>
      <c r="U55" s="405" t="e">
        <f>U54-U$33</f>
        <v>#VALUE!</v>
      </c>
      <c r="V55" s="405" t="e">
        <f>V54-V$33</f>
        <v>#VALUE!</v>
      </c>
      <c r="W55" s="405" t="e">
        <f>W54-W$33</f>
        <v>#VALUE!</v>
      </c>
      <c r="X55" s="294"/>
      <c r="Y55" s="404" t="e">
        <f>Y54-Y$33</f>
        <v>#VALUE!</v>
      </c>
      <c r="Z55" s="404" t="e">
        <f>Z54-Z$33</f>
        <v>#VALUE!</v>
      </c>
      <c r="AA55" s="404" t="e">
        <f>AA54-AA$33</f>
        <v>#VALUE!</v>
      </c>
      <c r="AB55" s="294"/>
      <c r="AC55" s="404" t="e">
        <f>IFERROR(AC54-AC$33,NA())</f>
        <v>#N/A</v>
      </c>
      <c r="AD55" s="406" t="e">
        <f>AD54-AD$33</f>
        <v>#VALUE!</v>
      </c>
      <c r="AE55" s="407" t="e">
        <f t="shared" si="20"/>
        <v>#VALUE!</v>
      </c>
      <c r="AF55" s="406" t="e">
        <f t="shared" si="20"/>
        <v>#VALUE!</v>
      </c>
      <c r="AG55" s="405" t="e">
        <f>AF55/AF$33</f>
        <v>#VALUE!</v>
      </c>
      <c r="AH55" s="405"/>
      <c r="AI55" s="408" t="e">
        <f>IFERROR(AE55/$AE$33,NA())</f>
        <v>#N/A</v>
      </c>
      <c r="AJ55" s="289"/>
      <c r="AK55" s="749"/>
      <c r="AL55" s="750" t="e">
        <f>$AE54*U54-$AE$33*U$33</f>
        <v>#VALUE!</v>
      </c>
      <c r="AM55" s="750" t="e">
        <f>$AE54*V54-$AE$33*V$33</f>
        <v>#VALUE!</v>
      </c>
      <c r="AN55" s="750" t="e">
        <f>$AE54*W54-$AE$33*W$33</f>
        <v>#VALUE!</v>
      </c>
      <c r="AO55" s="235"/>
      <c r="AP55" s="567"/>
      <c r="AR55" s="235"/>
      <c r="AS55" s="235"/>
      <c r="AT55" s="586"/>
      <c r="AU55" s="585"/>
      <c r="AV55" s="586"/>
      <c r="AW55" s="586"/>
      <c r="AX55" s="586"/>
      <c r="AY55" s="235"/>
      <c r="BA55" s="303"/>
      <c r="BC55" s="125"/>
      <c r="BD55" s="671"/>
      <c r="BE55" s="125"/>
      <c r="BF55" s="671"/>
      <c r="BG55" s="125"/>
      <c r="BH55" s="671"/>
      <c r="BI55" s="125"/>
      <c r="BJ55" s="671"/>
      <c r="BK55" s="125"/>
      <c r="BL55" s="671"/>
    </row>
    <row r="56" spans="1:64" ht="18" customHeight="1">
      <c r="A56" s="287" t="str">
        <f>CHAR(CODE(A54)+1)</f>
        <v>L</v>
      </c>
      <c r="B56" s="288"/>
      <c r="C56" s="287" t="s">
        <v>391</v>
      </c>
      <c r="D56" s="261" t="str">
        <f>"Scenario " &amp; A56</f>
        <v>Scenario L</v>
      </c>
      <c r="E56" s="272" t="s">
        <v>2</v>
      </c>
      <c r="F56" s="262" t="e">
        <f>IF($C56="","",VLOOKUP($C56+$F$11*1000,DSS_Calc!$A:$JV,F$30,FALSE))</f>
        <v>#VALUE!</v>
      </c>
      <c r="G56" s="262" t="e">
        <f>IF($C56="","",VLOOKUP($C56+$F$11*1000,DSS_Calc!$A:$JV,G$30,FALSE))</f>
        <v>#VALUE!</v>
      </c>
      <c r="H56" s="262" t="e">
        <f>IF($C56="","",VLOOKUP($C56+$F$11*1000,DSS_Calc!$A:$JV,H$30,FALSE))</f>
        <v>#VALUE!</v>
      </c>
      <c r="I56" s="262" t="e">
        <f>IF($C56="","",VLOOKUP($C56+$F$11*1000,DSS_Calc!$A:$JV,I$30,FALSE))</f>
        <v>#VALUE!</v>
      </c>
      <c r="J56" s="262" t="e">
        <f>IF($C56="","",VLOOKUP($C56+$F$11*1000,DSS_Calc!$A:$JV,J$30,FALSE))</f>
        <v>#VALUE!</v>
      </c>
      <c r="K56" s="262" t="e">
        <f>IF($C56="","",VLOOKUP($C56+$F$11*1000,DSS_Calc!$A:$JV,K$30,FALSE))</f>
        <v>#VALUE!</v>
      </c>
      <c r="L56" s="262" t="e">
        <f>IF($C56="","",VLOOKUP($C56+$F$11*1000,DSS_Calc!$A:$JV,L$30,FALSE))</f>
        <v>#VALUE!</v>
      </c>
      <c r="M56" s="262" t="e">
        <f>IF($C56="","",VLOOKUP($C56+$F$11*1000,DSS_Calc!$A:$JV,M$30,FALSE))</f>
        <v>#VALUE!</v>
      </c>
      <c r="N56" s="262" t="e">
        <f>IF($C56="","",VLOOKUP($C56+$F$11*1000,DSS_Calc!$A:$JV,N$30,FALSE))</f>
        <v>#VALUE!</v>
      </c>
      <c r="O56" s="262" t="e">
        <f>IF($C56="","",VLOOKUP($C56+$F$11*1000,DSS_Calc!$A:$JV,O$30,FALSE))</f>
        <v>#VALUE!</v>
      </c>
      <c r="P56" s="294" t="s">
        <v>2</v>
      </c>
      <c r="Q56" s="262" t="e">
        <f>IF($C56="","",VLOOKUP($C56+$F$11*1000,DSS_Calc!$A:$JV,Q$30,FALSE)*IF(U56=0,0,1))</f>
        <v>#VALUE!</v>
      </c>
      <c r="R56" s="262" t="e">
        <f>IF($C56="","",VLOOKUP($C56+$F$11*1000,DSS_Calc!$A:$JV,R$30,FALSE)*IF(V56=0,0,1))</f>
        <v>#VALUE!</v>
      </c>
      <c r="S56" s="262" t="e">
        <f>IF($C56="","",VLOOKUP($C56+$F$11*1000,DSS_Calc!$A:$JV,S$30,FALSE)*IF(W56=0,0,1))</f>
        <v>#VALUE!</v>
      </c>
      <c r="T56" s="294" t="s">
        <v>2</v>
      </c>
      <c r="U56" s="263" t="e">
        <f>IF($C56="","",VLOOKUP($C56+$F$11*1000,DSS_Calc!$A:$JV,U$30,FALSE))</f>
        <v>#VALUE!</v>
      </c>
      <c r="V56" s="263" t="e">
        <f>IF($C56="","",VLOOKUP($C56+$F$11*1000,DSS_Calc!$A:$JV,V$30,FALSE))</f>
        <v>#VALUE!</v>
      </c>
      <c r="W56" s="263" t="e">
        <f>IF($C56="","",VLOOKUP($C56+$F$11*1000,DSS_Calc!$A:$JV,W$30,FALSE))</f>
        <v>#VALUE!</v>
      </c>
      <c r="X56" s="294" t="s">
        <v>2</v>
      </c>
      <c r="Y56" s="262" t="e">
        <f>IF(U56=0,0,U56*Q56)</f>
        <v>#VALUE!</v>
      </c>
      <c r="Z56" s="262" t="e">
        <f>IF(V56=0,0,V56*R56)</f>
        <v>#VALUE!</v>
      </c>
      <c r="AA56" s="262" t="e">
        <f>IF(W56=0,0,W56*S56)</f>
        <v>#VALUE!</v>
      </c>
      <c r="AB56" s="294" t="s">
        <v>2</v>
      </c>
      <c r="AC56" s="262" t="e">
        <f>SUM(Y56:AA56)</f>
        <v>#VALUE!</v>
      </c>
      <c r="AD56" s="264" t="e">
        <f>AC56*AE56/1000/1000</f>
        <v>#VALUE!</v>
      </c>
      <c r="AE56" s="265" t="e">
        <f>IF($C56="","",VLOOKUP($C56+$F$11*1000,DSS_Calc!$A:$JV,AE$30,FALSE))</f>
        <v>#VALUE!</v>
      </c>
      <c r="AF56" s="264" t="e">
        <f>IF($C56="","",VLOOKUP($C56+$F$11*1000,DSS_Calc!$A:$JV,AF$30,FALSE))</f>
        <v>#VALUE!</v>
      </c>
      <c r="AG56" s="263"/>
      <c r="AH56" s="263"/>
      <c r="AI56" s="300"/>
      <c r="AJ56" s="289" t="s">
        <v>2</v>
      </c>
      <c r="AK56" s="781" t="e">
        <f>LEFT(A56&amp;":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
LEN(A56&amp;": "&amp;IF(F56=F$33,"",IF(F57&gt;0,"+","")&amp;F57&amp;F$31&amp;", ")
&amp;IF(G56=G$33,"",IF(G57&gt;0,"+","")&amp;G56&amp;G$31&amp;", ")
&amp;IF(H56=H$33,"",IF(H57&gt;0,"+","")&amp;H56&amp;H$31&amp;", ")
&amp;IF(I56=I$33,"",IF(I57&gt;0,"+","")&amp;I57&amp;I$31&amp;", ")
&amp;IF(J56=J$33,"",IF(J57&gt;0,"+","")&amp;J57&amp;J$31&amp;", ")
&amp;IF(K56=K$33,"",IF(K57&gt;0,"+","")&amp;K57&amp;K$31&amp;", ")
&amp;IF(L56=L$33,"",IF(L57&gt;0,"+","")&amp;L57&amp;L$31&amp;", ")
&amp;IF(M56=M$33,"",IF(M57&gt;0,"+","")&amp;M57&amp;M$31&amp;", ")
&amp;IF(N56=N$33,"",IF(N57&gt;0,"+","")&amp;N57&amp;N$31&amp;", ")
&amp;IF(O56=O$33,"",IF(O57&gt;0,"+","")&amp;O57&amp;O$31&amp;", "))-2)</f>
        <v>#VALUE!</v>
      </c>
      <c r="AL56" s="700"/>
      <c r="AM56" s="700"/>
      <c r="AN56" s="700"/>
      <c r="AO56" s="235"/>
      <c r="AR56" s="235"/>
      <c r="AT56" s="585"/>
      <c r="AU56" s="585"/>
      <c r="AV56" s="585"/>
      <c r="AW56" s="585"/>
      <c r="AX56" s="585"/>
      <c r="BA56" s="303" t="str">
        <f>CHAR(CODE(BA54)+1)</f>
        <v>L</v>
      </c>
      <c r="BC56" s="669" t="s">
        <v>391</v>
      </c>
      <c r="BD56" s="670" t="s">
        <v>845</v>
      </c>
      <c r="BE56" s="669" t="s">
        <v>391</v>
      </c>
      <c r="BF56" s="670" t="s">
        <v>845</v>
      </c>
      <c r="BG56" s="669" t="s">
        <v>391</v>
      </c>
      <c r="BH56" s="670" t="s">
        <v>845</v>
      </c>
      <c r="BI56" s="669" t="s">
        <v>391</v>
      </c>
      <c r="BJ56" s="670" t="s">
        <v>845</v>
      </c>
      <c r="BK56" s="669" t="s">
        <v>391</v>
      </c>
      <c r="BL56" s="670" t="s">
        <v>845</v>
      </c>
    </row>
    <row r="57" spans="1:64" ht="18" customHeight="1">
      <c r="A57" s="564" t="e">
        <f>AI57/((Q57*U56+R57*V56+S57*W56)/(VLOOKUP($C56+$F$11*1000,DSS_Calc!$A:$JV,DSS_Calc!BX$92,FALSE)-$AC$33))</f>
        <v>#N/A</v>
      </c>
      <c r="B57" s="402"/>
      <c r="C57" s="564" t="e">
        <f>AI57/(AC57/(VLOOKUP($C56+$F$11*1000,DSS_Calc!$A:$JV,DSS_Calc!BX$92,FALSE)-$AC$33))</f>
        <v>#N/A</v>
      </c>
      <c r="D57" s="266" t="s">
        <v>141</v>
      </c>
      <c r="F57" s="267" t="e">
        <f>ROUND(F56-F$33,0)</f>
        <v>#VALUE!</v>
      </c>
      <c r="G57" s="267"/>
      <c r="H57" s="267"/>
      <c r="I57" s="267" t="e">
        <f t="shared" ref="I57:O57" si="25">ROUND(I56-I$33,0)</f>
        <v>#VALUE!</v>
      </c>
      <c r="J57" s="267" t="e">
        <f t="shared" si="25"/>
        <v>#VALUE!</v>
      </c>
      <c r="K57" s="267" t="e">
        <f t="shared" si="25"/>
        <v>#VALUE!</v>
      </c>
      <c r="L57" s="267" t="e">
        <f t="shared" si="25"/>
        <v>#VALUE!</v>
      </c>
      <c r="M57" s="267" t="e">
        <f t="shared" si="25"/>
        <v>#VALUE!</v>
      </c>
      <c r="N57" s="267" t="e">
        <f t="shared" si="25"/>
        <v>#VALUE!</v>
      </c>
      <c r="O57" s="267" t="e">
        <f t="shared" si="25"/>
        <v>#VALUE!</v>
      </c>
      <c r="P57" s="294"/>
      <c r="Q57" s="267" t="e">
        <f t="shared" ref="Q57:S57" si="26">Q56-Q$33</f>
        <v>#VALUE!</v>
      </c>
      <c r="R57" s="267" t="e">
        <f t="shared" si="26"/>
        <v>#VALUE!</v>
      </c>
      <c r="S57" s="267" t="e">
        <f t="shared" si="26"/>
        <v>#VALUE!</v>
      </c>
      <c r="T57" s="294"/>
      <c r="U57" s="268" t="e">
        <f>U56-U$33</f>
        <v>#VALUE!</v>
      </c>
      <c r="V57" s="268" t="e">
        <f>V56-V$33</f>
        <v>#VALUE!</v>
      </c>
      <c r="W57" s="268" t="e">
        <f>W56-W$33</f>
        <v>#VALUE!</v>
      </c>
      <c r="X57" s="294"/>
      <c r="Y57" s="267" t="e">
        <f>Y56-Y$33</f>
        <v>#VALUE!</v>
      </c>
      <c r="Z57" s="267" t="e">
        <f>Z56-Z$33</f>
        <v>#VALUE!</v>
      </c>
      <c r="AA57" s="267" t="e">
        <f>AA56-AA$33</f>
        <v>#VALUE!</v>
      </c>
      <c r="AB57" s="294"/>
      <c r="AC57" s="267" t="e">
        <f>IFERROR(AC56-AC$33,NA())</f>
        <v>#N/A</v>
      </c>
      <c r="AD57" s="269" t="e">
        <f>AD56-AD$33</f>
        <v>#VALUE!</v>
      </c>
      <c r="AE57" s="270" t="e">
        <f t="shared" si="20"/>
        <v>#VALUE!</v>
      </c>
      <c r="AF57" s="269" t="e">
        <f t="shared" si="20"/>
        <v>#VALUE!</v>
      </c>
      <c r="AG57" s="268" t="e">
        <f>AF57/AF$33</f>
        <v>#VALUE!</v>
      </c>
      <c r="AH57" s="268"/>
      <c r="AI57" s="301" t="e">
        <f>IFERROR(AE57/$AE$33,NA())</f>
        <v>#N/A</v>
      </c>
      <c r="AJ57" s="289"/>
      <c r="AK57" s="749"/>
      <c r="AL57" s="750" t="e">
        <f>$AE56*U56-$AE$33*U$33</f>
        <v>#VALUE!</v>
      </c>
      <c r="AM57" s="750" t="e">
        <f>$AE56*V56-$AE$33*V$33</f>
        <v>#VALUE!</v>
      </c>
      <c r="AN57" s="750" t="e">
        <f>$AE56*W56-$AE$33*W$33</f>
        <v>#VALUE!</v>
      </c>
      <c r="AO57" s="235"/>
      <c r="AP57" s="567"/>
      <c r="AR57" s="235"/>
      <c r="AS57" s="235"/>
      <c r="AT57" s="586"/>
      <c r="AU57" s="585"/>
      <c r="AV57" s="586"/>
      <c r="AW57" s="586"/>
      <c r="AX57" s="586"/>
      <c r="AY57" s="235"/>
      <c r="BA57" s="303"/>
      <c r="BC57" s="125"/>
      <c r="BD57" s="671"/>
      <c r="BE57" s="125"/>
      <c r="BF57" s="671"/>
      <c r="BG57" s="125"/>
      <c r="BH57" s="671"/>
      <c r="BI57" s="125"/>
      <c r="BJ57" s="671"/>
      <c r="BK57" s="125"/>
      <c r="BL57" s="671"/>
    </row>
    <row r="58" spans="1:64" ht="18" customHeight="1">
      <c r="A58" s="287" t="str">
        <f>CHAR(CODE(A56)+1)</f>
        <v>M</v>
      </c>
      <c r="B58" s="288"/>
      <c r="C58" s="287" t="s">
        <v>391</v>
      </c>
      <c r="D58" s="396" t="str">
        <f>"Scenario " &amp; A58</f>
        <v>Scenario M</v>
      </c>
      <c r="E58" s="272" t="s">
        <v>2</v>
      </c>
      <c r="F58" s="397" t="e">
        <f>IF($C58="","",VLOOKUP($C58+$F$11*1000,DSS_Calc!$A:$JV,F$30,FALSE))</f>
        <v>#VALUE!</v>
      </c>
      <c r="G58" s="397" t="e">
        <f>IF($C58="","",VLOOKUP($C58+$F$11*1000,DSS_Calc!$A:$JV,G$30,FALSE))</f>
        <v>#VALUE!</v>
      </c>
      <c r="H58" s="397" t="e">
        <f>IF($C58="","",VLOOKUP($C58+$F$11*1000,DSS_Calc!$A:$JV,H$30,FALSE))</f>
        <v>#VALUE!</v>
      </c>
      <c r="I58" s="397" t="e">
        <f>IF($C58="","",VLOOKUP($C58+$F$11*1000,DSS_Calc!$A:$JV,I$30,FALSE))</f>
        <v>#VALUE!</v>
      </c>
      <c r="J58" s="397" t="e">
        <f>IF($C58="","",VLOOKUP($C58+$F$11*1000,DSS_Calc!$A:$JV,J$30,FALSE))</f>
        <v>#VALUE!</v>
      </c>
      <c r="K58" s="397" t="e">
        <f>IF($C58="","",VLOOKUP($C58+$F$11*1000,DSS_Calc!$A:$JV,K$30,FALSE))</f>
        <v>#VALUE!</v>
      </c>
      <c r="L58" s="397" t="e">
        <f>IF($C58="","",VLOOKUP($C58+$F$11*1000,DSS_Calc!$A:$JV,L$30,FALSE))</f>
        <v>#VALUE!</v>
      </c>
      <c r="M58" s="397" t="e">
        <f>IF($C58="","",VLOOKUP($C58+$F$11*1000,DSS_Calc!$A:$JV,M$30,FALSE))</f>
        <v>#VALUE!</v>
      </c>
      <c r="N58" s="397" t="e">
        <f>IF($C58="","",VLOOKUP($C58+$F$11*1000,DSS_Calc!$A:$JV,N$30,FALSE))</f>
        <v>#VALUE!</v>
      </c>
      <c r="O58" s="397" t="e">
        <f>IF($C58="","",VLOOKUP($C58+$F$11*1000,DSS_Calc!$A:$JV,O$30,FALSE))</f>
        <v>#VALUE!</v>
      </c>
      <c r="P58" s="294" t="s">
        <v>2</v>
      </c>
      <c r="Q58" s="397" t="e">
        <f>IF($C58="","",VLOOKUP($C58+$F$11*1000,DSS_Calc!$A:$JV,Q$30,FALSE)*IF(U58=0,0,1))</f>
        <v>#VALUE!</v>
      </c>
      <c r="R58" s="397" t="e">
        <f>IF($C58="","",VLOOKUP($C58+$F$11*1000,DSS_Calc!$A:$JV,R$30,FALSE)*IF(V58=0,0,1))</f>
        <v>#VALUE!</v>
      </c>
      <c r="S58" s="397" t="e">
        <f>IF($C58="","",VLOOKUP($C58+$F$11*1000,DSS_Calc!$A:$JV,S$30,FALSE)*IF(W58=0,0,1))</f>
        <v>#VALUE!</v>
      </c>
      <c r="T58" s="294" t="s">
        <v>2</v>
      </c>
      <c r="U58" s="398" t="e">
        <f>IF($C58="","",VLOOKUP($C58+$F$11*1000,DSS_Calc!$A:$JV,U$30,FALSE))</f>
        <v>#VALUE!</v>
      </c>
      <c r="V58" s="398" t="e">
        <f>IF($C58="","",VLOOKUP($C58+$F$11*1000,DSS_Calc!$A:$JV,V$30,FALSE))</f>
        <v>#VALUE!</v>
      </c>
      <c r="W58" s="398" t="e">
        <f>IF($C58="","",VLOOKUP($C58+$F$11*1000,DSS_Calc!$A:$JV,W$30,FALSE))</f>
        <v>#VALUE!</v>
      </c>
      <c r="X58" s="294" t="s">
        <v>2</v>
      </c>
      <c r="Y58" s="397" t="e">
        <f>IF(U58=0,0,U58*Q58)</f>
        <v>#VALUE!</v>
      </c>
      <c r="Z58" s="397" t="e">
        <f>IF(V58=0,0,V58*R58)</f>
        <v>#VALUE!</v>
      </c>
      <c r="AA58" s="397" t="e">
        <f>IF(W58=0,0,W58*S58)</f>
        <v>#VALUE!</v>
      </c>
      <c r="AB58" s="294" t="s">
        <v>2</v>
      </c>
      <c r="AC58" s="397" t="e">
        <f>SUM(Y58:AA58)</f>
        <v>#VALUE!</v>
      </c>
      <c r="AD58" s="399" t="e">
        <f>AC58*AE58/1000/1000</f>
        <v>#VALUE!</v>
      </c>
      <c r="AE58" s="400" t="e">
        <f>IF($C58="","",VLOOKUP($C58+$F$11*1000,DSS_Calc!$A:$JV,AE$30,FALSE))</f>
        <v>#VALUE!</v>
      </c>
      <c r="AF58" s="399" t="e">
        <f>IF($C58="","",VLOOKUP($C58+$F$11*1000,DSS_Calc!$A:$JV,AF$30,FALSE))</f>
        <v>#VALUE!</v>
      </c>
      <c r="AG58" s="398"/>
      <c r="AH58" s="398"/>
      <c r="AI58" s="401"/>
      <c r="AJ58" s="289" t="s">
        <v>2</v>
      </c>
      <c r="AK58" s="781" t="e">
        <f>LEFT(A58&amp;":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
LEN(A58&amp;": "&amp;IF(F58=F$33,"",IF(F59&gt;0,"+","")&amp;F59&amp;F$31&amp;", ")
&amp;IF(G58=G$33,"",IF(G59&gt;0,"+","")&amp;G58&amp;G$31&amp;", ")
&amp;IF(H58=H$33,"",IF(H59&gt;0,"+","")&amp;H58&amp;H$31&amp;", ")
&amp;IF(I58=I$33,"",IF(I59&gt;0,"+","")&amp;I59&amp;I$31&amp;", ")
&amp;IF(J58=J$33,"",IF(J59&gt;0,"+","")&amp;J59&amp;J$31&amp;", ")
&amp;IF(K58=K$33,"",IF(K59&gt;0,"+","")&amp;K59&amp;K$31&amp;", ")
&amp;IF(L58=L$33,"",IF(L59&gt;0,"+","")&amp;L59&amp;L$31&amp;", ")
&amp;IF(M58=M$33,"",IF(M59&gt;0,"+","")&amp;M59&amp;M$31&amp;", ")
&amp;IF(N58=N$33,"",IF(N59&gt;0,"+","")&amp;N59&amp;N$31&amp;", ")
&amp;IF(O58=O$33,"",IF(O59&gt;0,"+","")&amp;O59&amp;O$31&amp;", "))-2)</f>
        <v>#VALUE!</v>
      </c>
      <c r="AL58" s="700"/>
      <c r="AM58" s="700"/>
      <c r="AN58" s="700"/>
      <c r="AO58" s="235"/>
      <c r="AR58" s="235"/>
      <c r="AT58" s="585"/>
      <c r="AU58" s="585"/>
      <c r="AV58" s="585"/>
      <c r="AW58" s="585"/>
      <c r="AX58" s="585"/>
      <c r="BA58" s="303" t="str">
        <f>CHAR(CODE(BA56)+1)</f>
        <v>M</v>
      </c>
      <c r="BC58" s="669" t="s">
        <v>391</v>
      </c>
      <c r="BD58" s="670" t="s">
        <v>845</v>
      </c>
      <c r="BE58" s="669" t="s">
        <v>391</v>
      </c>
      <c r="BF58" s="670" t="s">
        <v>845</v>
      </c>
      <c r="BG58" s="669" t="s">
        <v>391</v>
      </c>
      <c r="BH58" s="670" t="s">
        <v>845</v>
      </c>
      <c r="BI58" s="669" t="s">
        <v>391</v>
      </c>
      <c r="BJ58" s="670" t="s">
        <v>845</v>
      </c>
      <c r="BK58" s="669" t="s">
        <v>391</v>
      </c>
      <c r="BL58" s="670" t="s">
        <v>845</v>
      </c>
    </row>
    <row r="59" spans="1:64" ht="18" customHeight="1">
      <c r="A59" s="564" t="e">
        <f>AI59/((Q59*U58+R59*V58+S59*W58)/(VLOOKUP($C58+$F$11*1000,DSS_Calc!$A:$JV,DSS_Calc!BX$92,FALSE)-$AC$33))</f>
        <v>#N/A</v>
      </c>
      <c r="B59" s="402"/>
      <c r="C59" s="564" t="e">
        <f>AI59/(AC59/(VLOOKUP($C58+$F$11*1000,DSS_Calc!$A:$JV,DSS_Calc!BX$92,FALSE)-$AC$33))</f>
        <v>#N/A</v>
      </c>
      <c r="D59" s="403" t="s">
        <v>141</v>
      </c>
      <c r="F59" s="404" t="e">
        <f>ROUND(F58-F$33,0)</f>
        <v>#VALUE!</v>
      </c>
      <c r="G59" s="404"/>
      <c r="H59" s="404"/>
      <c r="I59" s="404" t="e">
        <f t="shared" ref="I59:O59" si="27">ROUND(I58-I$33,0)</f>
        <v>#VALUE!</v>
      </c>
      <c r="J59" s="404" t="e">
        <f t="shared" si="27"/>
        <v>#VALUE!</v>
      </c>
      <c r="K59" s="404" t="e">
        <f t="shared" si="27"/>
        <v>#VALUE!</v>
      </c>
      <c r="L59" s="404" t="e">
        <f t="shared" si="27"/>
        <v>#VALUE!</v>
      </c>
      <c r="M59" s="404" t="e">
        <f t="shared" si="27"/>
        <v>#VALUE!</v>
      </c>
      <c r="N59" s="404" t="e">
        <f t="shared" si="27"/>
        <v>#VALUE!</v>
      </c>
      <c r="O59" s="404" t="e">
        <f t="shared" si="27"/>
        <v>#VALUE!</v>
      </c>
      <c r="P59" s="294"/>
      <c r="Q59" s="404" t="e">
        <f t="shared" ref="Q59:S59" si="28">Q58-Q$33</f>
        <v>#VALUE!</v>
      </c>
      <c r="R59" s="404" t="e">
        <f t="shared" si="28"/>
        <v>#VALUE!</v>
      </c>
      <c r="S59" s="404" t="e">
        <f t="shared" si="28"/>
        <v>#VALUE!</v>
      </c>
      <c r="T59" s="294"/>
      <c r="U59" s="405" t="e">
        <f>U58-U$33</f>
        <v>#VALUE!</v>
      </c>
      <c r="V59" s="405" t="e">
        <f>V58-V$33</f>
        <v>#VALUE!</v>
      </c>
      <c r="W59" s="405" t="e">
        <f>W58-W$33</f>
        <v>#VALUE!</v>
      </c>
      <c r="X59" s="294"/>
      <c r="Y59" s="404" t="e">
        <f>Y58-Y$33</f>
        <v>#VALUE!</v>
      </c>
      <c r="Z59" s="404" t="e">
        <f>Z58-Z$33</f>
        <v>#VALUE!</v>
      </c>
      <c r="AA59" s="404" t="e">
        <f>AA58-AA$33</f>
        <v>#VALUE!</v>
      </c>
      <c r="AB59" s="294"/>
      <c r="AC59" s="404" t="e">
        <f>IFERROR(AC58-AC$33,NA())</f>
        <v>#N/A</v>
      </c>
      <c r="AD59" s="406" t="e">
        <f>AD58-AD$33</f>
        <v>#VALUE!</v>
      </c>
      <c r="AE59" s="407" t="e">
        <f t="shared" si="20"/>
        <v>#VALUE!</v>
      </c>
      <c r="AF59" s="406" t="e">
        <f t="shared" si="20"/>
        <v>#VALUE!</v>
      </c>
      <c r="AG59" s="405" t="e">
        <f>AF59/AF$33</f>
        <v>#VALUE!</v>
      </c>
      <c r="AH59" s="405"/>
      <c r="AI59" s="408" t="e">
        <f>IFERROR(AE59/$AE$33,NA())</f>
        <v>#N/A</v>
      </c>
      <c r="AJ59" s="289"/>
      <c r="AK59" s="749"/>
      <c r="AL59" s="750" t="e">
        <f>$AE58*U58-$AE$33*U$33</f>
        <v>#VALUE!</v>
      </c>
      <c r="AM59" s="750" t="e">
        <f>$AE58*V58-$AE$33*V$33</f>
        <v>#VALUE!</v>
      </c>
      <c r="AN59" s="750" t="e">
        <f>$AE58*W58-$AE$33*W$33</f>
        <v>#VALUE!</v>
      </c>
      <c r="AO59" s="235"/>
      <c r="AP59" s="567"/>
      <c r="AR59" s="235"/>
      <c r="AS59" s="235"/>
      <c r="AT59" s="586"/>
      <c r="AU59" s="585"/>
      <c r="AV59" s="586"/>
      <c r="AW59" s="586"/>
      <c r="AX59" s="586"/>
      <c r="AY59" s="235"/>
      <c r="BA59" s="303"/>
      <c r="BC59" s="125"/>
      <c r="BD59" s="671"/>
      <c r="BE59" s="125"/>
      <c r="BF59" s="671"/>
      <c r="BG59" s="125"/>
      <c r="BH59" s="671"/>
      <c r="BI59" s="125"/>
      <c r="BJ59" s="671"/>
      <c r="BK59" s="125"/>
      <c r="BL59" s="671"/>
    </row>
    <row r="60" spans="1:64" ht="18" customHeight="1">
      <c r="A60" s="287" t="str">
        <f>CHAR(CODE(A58)+1)</f>
        <v>N</v>
      </c>
      <c r="B60" s="288"/>
      <c r="C60" s="287" t="s">
        <v>391</v>
      </c>
      <c r="D60" s="261" t="str">
        <f>"Scenario " &amp; A60</f>
        <v>Scenario N</v>
      </c>
      <c r="E60" s="272" t="s">
        <v>2</v>
      </c>
      <c r="F60" s="262" t="e">
        <f>IF($C60="","",VLOOKUP($C60+$F$11*1000,DSS_Calc!$A:$JV,F$30,FALSE))</f>
        <v>#VALUE!</v>
      </c>
      <c r="G60" s="262" t="e">
        <f>IF($C60="","",VLOOKUP($C60+$F$11*1000,DSS_Calc!$A:$JV,G$30,FALSE))</f>
        <v>#VALUE!</v>
      </c>
      <c r="H60" s="262" t="e">
        <f>IF($C60="","",VLOOKUP($C60+$F$11*1000,DSS_Calc!$A:$JV,H$30,FALSE))</f>
        <v>#VALUE!</v>
      </c>
      <c r="I60" s="262" t="e">
        <f>IF($C60="","",VLOOKUP($C60+$F$11*1000,DSS_Calc!$A:$JV,I$30,FALSE))</f>
        <v>#VALUE!</v>
      </c>
      <c r="J60" s="262" t="e">
        <f>IF($C60="","",VLOOKUP($C60+$F$11*1000,DSS_Calc!$A:$JV,J$30,FALSE))</f>
        <v>#VALUE!</v>
      </c>
      <c r="K60" s="262" t="e">
        <f>IF($C60="","",VLOOKUP($C60+$F$11*1000,DSS_Calc!$A:$JV,K$30,FALSE))</f>
        <v>#VALUE!</v>
      </c>
      <c r="L60" s="262" t="e">
        <f>IF($C60="","",VLOOKUP($C60+$F$11*1000,DSS_Calc!$A:$JV,L$30,FALSE))</f>
        <v>#VALUE!</v>
      </c>
      <c r="M60" s="262" t="e">
        <f>IF($C60="","",VLOOKUP($C60+$F$11*1000,DSS_Calc!$A:$JV,M$30,FALSE))</f>
        <v>#VALUE!</v>
      </c>
      <c r="N60" s="262" t="e">
        <f>IF($C60="","",VLOOKUP($C60+$F$11*1000,DSS_Calc!$A:$JV,N$30,FALSE))</f>
        <v>#VALUE!</v>
      </c>
      <c r="O60" s="262" t="e">
        <f>IF($C60="","",VLOOKUP($C60+$F$11*1000,DSS_Calc!$A:$JV,O$30,FALSE))</f>
        <v>#VALUE!</v>
      </c>
      <c r="P60" s="294" t="s">
        <v>2</v>
      </c>
      <c r="Q60" s="262" t="e">
        <f>IF($C60="","",VLOOKUP($C60+$F$11*1000,DSS_Calc!$A:$JV,Q$30,FALSE)*IF(U60=0,0,1))</f>
        <v>#VALUE!</v>
      </c>
      <c r="R60" s="262" t="e">
        <f>IF($C60="","",VLOOKUP($C60+$F$11*1000,DSS_Calc!$A:$JV,R$30,FALSE)*IF(V60=0,0,1))</f>
        <v>#VALUE!</v>
      </c>
      <c r="S60" s="262" t="e">
        <f>IF($C60="","",VLOOKUP($C60+$F$11*1000,DSS_Calc!$A:$JV,S$30,FALSE)*IF(W60=0,0,1))</f>
        <v>#VALUE!</v>
      </c>
      <c r="T60" s="294" t="s">
        <v>2</v>
      </c>
      <c r="U60" s="263" t="e">
        <f>IF($C60="","",VLOOKUP($C60+$F$11*1000,DSS_Calc!$A:$JV,U$30,FALSE))</f>
        <v>#VALUE!</v>
      </c>
      <c r="V60" s="263" t="e">
        <f>IF($C60="","",VLOOKUP($C60+$F$11*1000,DSS_Calc!$A:$JV,V$30,FALSE))</f>
        <v>#VALUE!</v>
      </c>
      <c r="W60" s="263" t="e">
        <f>IF($C60="","",VLOOKUP($C60+$F$11*1000,DSS_Calc!$A:$JV,W$30,FALSE))</f>
        <v>#VALUE!</v>
      </c>
      <c r="X60" s="294" t="s">
        <v>2</v>
      </c>
      <c r="Y60" s="262" t="e">
        <f>IF(U60=0,0,U60*Q60)</f>
        <v>#VALUE!</v>
      </c>
      <c r="Z60" s="262" t="e">
        <f>IF(V60=0,0,V60*R60)</f>
        <v>#VALUE!</v>
      </c>
      <c r="AA60" s="262" t="e">
        <f>IF(W60=0,0,W60*S60)</f>
        <v>#VALUE!</v>
      </c>
      <c r="AB60" s="294" t="s">
        <v>2</v>
      </c>
      <c r="AC60" s="262" t="e">
        <f>SUM(Y60:AA60)</f>
        <v>#VALUE!</v>
      </c>
      <c r="AD60" s="264" t="e">
        <f>AC60*AE60/1000/1000</f>
        <v>#VALUE!</v>
      </c>
      <c r="AE60" s="265" t="e">
        <f>IF($C60="","",VLOOKUP($C60+$F$11*1000,DSS_Calc!$A:$JV,AE$30,FALSE))</f>
        <v>#VALUE!</v>
      </c>
      <c r="AF60" s="264" t="e">
        <f>IF($C60="","",VLOOKUP($C60+$F$11*1000,DSS_Calc!$A:$JV,AF$30,FALSE))</f>
        <v>#VALUE!</v>
      </c>
      <c r="AG60" s="263"/>
      <c r="AH60" s="263"/>
      <c r="AI60" s="300"/>
      <c r="AJ60" s="289" t="s">
        <v>2</v>
      </c>
      <c r="AK60" s="781" t="e">
        <f>LEFT(A60&amp;":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
LEN(A60&amp;": "&amp;IF(F60=F$33,"",IF(F61&gt;0,"+","")&amp;F61&amp;F$31&amp;", ")
&amp;IF(G60=G$33,"",IF(G61&gt;0,"+","")&amp;G60&amp;G$31&amp;", ")
&amp;IF(H60=H$33,"",IF(H61&gt;0,"+","")&amp;H60&amp;H$31&amp;", ")
&amp;IF(I60=I$33,"",IF(I61&gt;0,"+","")&amp;I61&amp;I$31&amp;", ")
&amp;IF(J60=J$33,"",IF(J61&gt;0,"+","")&amp;J61&amp;J$31&amp;", ")
&amp;IF(K60=K$33,"",IF(K61&gt;0,"+","")&amp;K61&amp;K$31&amp;", ")
&amp;IF(L60=L$33,"",IF(L61&gt;0,"+","")&amp;L61&amp;L$31&amp;", ")
&amp;IF(M60=M$33,"",IF(M61&gt;0,"+","")&amp;M61&amp;M$31&amp;", ")
&amp;IF(N60=N$33,"",IF(N61&gt;0,"+","")&amp;N61&amp;N$31&amp;", ")
&amp;IF(O60=O$33,"",IF(O61&gt;0,"+","")&amp;O61&amp;O$31&amp;", "))-2)</f>
        <v>#VALUE!</v>
      </c>
      <c r="AL60" s="700"/>
      <c r="AM60" s="700"/>
      <c r="AN60" s="700"/>
      <c r="AO60" s="235"/>
      <c r="AR60" s="235"/>
      <c r="AT60" s="585"/>
      <c r="AU60" s="585"/>
      <c r="AV60" s="585"/>
      <c r="AW60" s="585"/>
      <c r="AX60" s="585"/>
      <c r="BA60" s="303" t="str">
        <f>CHAR(CODE(BA58)+1)</f>
        <v>N</v>
      </c>
      <c r="BC60" s="669" t="s">
        <v>391</v>
      </c>
      <c r="BD60" s="670" t="s">
        <v>845</v>
      </c>
      <c r="BE60" s="669" t="s">
        <v>391</v>
      </c>
      <c r="BF60" s="670" t="s">
        <v>845</v>
      </c>
      <c r="BG60" s="669" t="s">
        <v>391</v>
      </c>
      <c r="BH60" s="670" t="s">
        <v>845</v>
      </c>
      <c r="BI60" s="669" t="s">
        <v>391</v>
      </c>
      <c r="BJ60" s="670" t="s">
        <v>845</v>
      </c>
      <c r="BK60" s="669" t="s">
        <v>391</v>
      </c>
      <c r="BL60" s="670" t="s">
        <v>845</v>
      </c>
    </row>
    <row r="61" spans="1:64" ht="18" customHeight="1">
      <c r="A61" s="564" t="e">
        <f>AI61/((Q61*U60+R61*V60+S61*W60)/(VLOOKUP($C60+$F$11*1000,DSS_Calc!$A:$JV,DSS_Calc!BX$92,FALSE)-$AC$33))</f>
        <v>#N/A</v>
      </c>
      <c r="B61" s="402"/>
      <c r="C61" s="564" t="e">
        <f>AI61/(AC61/(VLOOKUP($C60+$F$11*1000,DSS_Calc!$A:$JV,DSS_Calc!BX$92,FALSE)-$AC$33))</f>
        <v>#N/A</v>
      </c>
      <c r="D61" s="266" t="s">
        <v>141</v>
      </c>
      <c r="F61" s="267" t="e">
        <f>ROUND(F60-F$33,0)</f>
        <v>#VALUE!</v>
      </c>
      <c r="G61" s="267"/>
      <c r="H61" s="267"/>
      <c r="I61" s="267" t="e">
        <f t="shared" ref="I61:O61" si="29">ROUND(I60-I$33,0)</f>
        <v>#VALUE!</v>
      </c>
      <c r="J61" s="267" t="e">
        <f t="shared" si="29"/>
        <v>#VALUE!</v>
      </c>
      <c r="K61" s="267" t="e">
        <f t="shared" si="29"/>
        <v>#VALUE!</v>
      </c>
      <c r="L61" s="267" t="e">
        <f t="shared" si="29"/>
        <v>#VALUE!</v>
      </c>
      <c r="M61" s="267" t="e">
        <f t="shared" si="29"/>
        <v>#VALUE!</v>
      </c>
      <c r="N61" s="267" t="e">
        <f t="shared" si="29"/>
        <v>#VALUE!</v>
      </c>
      <c r="O61" s="267" t="e">
        <f t="shared" si="29"/>
        <v>#VALUE!</v>
      </c>
      <c r="P61" s="294"/>
      <c r="Q61" s="267" t="e">
        <f t="shared" ref="Q61:S61" si="30">Q60-Q$33</f>
        <v>#VALUE!</v>
      </c>
      <c r="R61" s="267" t="e">
        <f t="shared" si="30"/>
        <v>#VALUE!</v>
      </c>
      <c r="S61" s="267" t="e">
        <f t="shared" si="30"/>
        <v>#VALUE!</v>
      </c>
      <c r="T61" s="294"/>
      <c r="U61" s="268" t="e">
        <f>U60-U$33</f>
        <v>#VALUE!</v>
      </c>
      <c r="V61" s="268" t="e">
        <f>V60-V$33</f>
        <v>#VALUE!</v>
      </c>
      <c r="W61" s="268" t="e">
        <f>W60-W$33</f>
        <v>#VALUE!</v>
      </c>
      <c r="X61" s="294"/>
      <c r="Y61" s="267" t="e">
        <f>Y60-Y$33</f>
        <v>#VALUE!</v>
      </c>
      <c r="Z61" s="267" t="e">
        <f>Z60-Z$33</f>
        <v>#VALUE!</v>
      </c>
      <c r="AA61" s="267" t="e">
        <f>AA60-AA$33</f>
        <v>#VALUE!</v>
      </c>
      <c r="AB61" s="294"/>
      <c r="AC61" s="267" t="e">
        <f>IFERROR(AC60-AC$33,NA())</f>
        <v>#N/A</v>
      </c>
      <c r="AD61" s="269" t="e">
        <f>AD60-AD$33</f>
        <v>#VALUE!</v>
      </c>
      <c r="AE61" s="270" t="e">
        <f t="shared" si="20"/>
        <v>#VALUE!</v>
      </c>
      <c r="AF61" s="269" t="e">
        <f t="shared" si="20"/>
        <v>#VALUE!</v>
      </c>
      <c r="AG61" s="268" t="e">
        <f>AF61/AF$33</f>
        <v>#VALUE!</v>
      </c>
      <c r="AH61" s="268"/>
      <c r="AI61" s="301" t="e">
        <f>IFERROR(AE61/$AE$33,NA())</f>
        <v>#N/A</v>
      </c>
      <c r="AJ61" s="289"/>
      <c r="AK61" s="749"/>
      <c r="AL61" s="750" t="e">
        <f>$AE60*U60-$AE$33*U$33</f>
        <v>#VALUE!</v>
      </c>
      <c r="AM61" s="750" t="e">
        <f>$AE60*V60-$AE$33*V$33</f>
        <v>#VALUE!</v>
      </c>
      <c r="AN61" s="750" t="e">
        <f>$AE60*W60-$AE$33*W$33</f>
        <v>#VALUE!</v>
      </c>
      <c r="AO61" s="235"/>
      <c r="AP61" s="567"/>
      <c r="AR61" s="235"/>
      <c r="AS61" s="235"/>
      <c r="AT61" s="586"/>
      <c r="AU61" s="585"/>
      <c r="AV61" s="586"/>
      <c r="AW61" s="586"/>
      <c r="AX61" s="586"/>
      <c r="AY61" s="235"/>
      <c r="BA61" s="303"/>
      <c r="BC61" s="125"/>
      <c r="BD61" s="671"/>
      <c r="BE61" s="125"/>
      <c r="BF61" s="671"/>
      <c r="BG61" s="125"/>
      <c r="BH61" s="671"/>
      <c r="BI61" s="125"/>
      <c r="BJ61" s="671"/>
      <c r="BK61" s="125"/>
      <c r="BL61" s="671"/>
    </row>
    <row r="62" spans="1:64" ht="18" customHeight="1">
      <c r="A62" s="287" t="str">
        <f>CHAR(CODE(A60)+1)</f>
        <v>O</v>
      </c>
      <c r="B62" s="288"/>
      <c r="C62" s="287" t="s">
        <v>391</v>
      </c>
      <c r="D62" s="396" t="str">
        <f>"Scenario " &amp; A62</f>
        <v>Scenario O</v>
      </c>
      <c r="E62" s="272" t="s">
        <v>2</v>
      </c>
      <c r="F62" s="397" t="e">
        <f>IF($C62="","",VLOOKUP($C62+$F$11*1000,DSS_Calc!$A:$JV,F$30,FALSE))</f>
        <v>#VALUE!</v>
      </c>
      <c r="G62" s="397" t="e">
        <f>IF($C62="","",VLOOKUP($C62+$F$11*1000,DSS_Calc!$A:$JV,G$30,FALSE))</f>
        <v>#VALUE!</v>
      </c>
      <c r="H62" s="397" t="e">
        <f>IF($C62="","",VLOOKUP($C62+$F$11*1000,DSS_Calc!$A:$JV,H$30,FALSE))</f>
        <v>#VALUE!</v>
      </c>
      <c r="I62" s="397" t="e">
        <f>IF($C62="","",VLOOKUP($C62+$F$11*1000,DSS_Calc!$A:$JV,I$30,FALSE))</f>
        <v>#VALUE!</v>
      </c>
      <c r="J62" s="397" t="e">
        <f>IF($C62="","",VLOOKUP($C62+$F$11*1000,DSS_Calc!$A:$JV,J$30,FALSE))</f>
        <v>#VALUE!</v>
      </c>
      <c r="K62" s="397" t="e">
        <f>IF($C62="","",VLOOKUP($C62+$F$11*1000,DSS_Calc!$A:$JV,K$30,FALSE))</f>
        <v>#VALUE!</v>
      </c>
      <c r="L62" s="397" t="e">
        <f>IF($C62="","",VLOOKUP($C62+$F$11*1000,DSS_Calc!$A:$JV,L$30,FALSE))</f>
        <v>#VALUE!</v>
      </c>
      <c r="M62" s="397" t="e">
        <f>IF($C62="","",VLOOKUP($C62+$F$11*1000,DSS_Calc!$A:$JV,M$30,FALSE))</f>
        <v>#VALUE!</v>
      </c>
      <c r="N62" s="397" t="e">
        <f>IF($C62="","",VLOOKUP($C62+$F$11*1000,DSS_Calc!$A:$JV,N$30,FALSE))</f>
        <v>#VALUE!</v>
      </c>
      <c r="O62" s="397" t="e">
        <f>IF($C62="","",VLOOKUP($C62+$F$11*1000,DSS_Calc!$A:$JV,O$30,FALSE))</f>
        <v>#VALUE!</v>
      </c>
      <c r="P62" s="294" t="s">
        <v>2</v>
      </c>
      <c r="Q62" s="397" t="e">
        <f>IF($C62="","",VLOOKUP($C62+$F$11*1000,DSS_Calc!$A:$JV,Q$30,FALSE)*IF(U62=0,0,1))</f>
        <v>#VALUE!</v>
      </c>
      <c r="R62" s="397" t="e">
        <f>IF($C62="","",VLOOKUP($C62+$F$11*1000,DSS_Calc!$A:$JV,R$30,FALSE)*IF(V62=0,0,1))</f>
        <v>#VALUE!</v>
      </c>
      <c r="S62" s="397" t="e">
        <f>IF($C62="","",VLOOKUP($C62+$F$11*1000,DSS_Calc!$A:$JV,S$30,FALSE)*IF(W62=0,0,1))</f>
        <v>#VALUE!</v>
      </c>
      <c r="T62" s="294" t="s">
        <v>2</v>
      </c>
      <c r="U62" s="398" t="e">
        <f>IF($C62="","",VLOOKUP($C62+$F$11*1000,DSS_Calc!$A:$JV,U$30,FALSE))</f>
        <v>#VALUE!</v>
      </c>
      <c r="V62" s="398" t="e">
        <f>IF($C62="","",VLOOKUP($C62+$F$11*1000,DSS_Calc!$A:$JV,V$30,FALSE))</f>
        <v>#VALUE!</v>
      </c>
      <c r="W62" s="398" t="e">
        <f>IF($C62="","",VLOOKUP($C62+$F$11*1000,DSS_Calc!$A:$JV,W$30,FALSE))</f>
        <v>#VALUE!</v>
      </c>
      <c r="X62" s="294" t="s">
        <v>2</v>
      </c>
      <c r="Y62" s="397" t="e">
        <f>IF(U62=0,0,U62*Q62)</f>
        <v>#VALUE!</v>
      </c>
      <c r="Z62" s="397" t="e">
        <f>IF(V62=0,0,V62*R62)</f>
        <v>#VALUE!</v>
      </c>
      <c r="AA62" s="397" t="e">
        <f>IF(W62=0,0,W62*S62)</f>
        <v>#VALUE!</v>
      </c>
      <c r="AB62" s="294" t="s">
        <v>2</v>
      </c>
      <c r="AC62" s="397" t="e">
        <f>SUM(Y62:AA62)</f>
        <v>#VALUE!</v>
      </c>
      <c r="AD62" s="399" t="e">
        <f>AC62*AE62/1000/1000</f>
        <v>#VALUE!</v>
      </c>
      <c r="AE62" s="400" t="e">
        <f>IF($C62="","",VLOOKUP($C62+$F$11*1000,DSS_Calc!$A:$JV,AE$30,FALSE))</f>
        <v>#VALUE!</v>
      </c>
      <c r="AF62" s="399" t="e">
        <f>IF($C62="","",VLOOKUP($C62+$F$11*1000,DSS_Calc!$A:$JV,AF$30,FALSE))</f>
        <v>#VALUE!</v>
      </c>
      <c r="AG62" s="398"/>
      <c r="AH62" s="398"/>
      <c r="AI62" s="401"/>
      <c r="AJ62" s="289" t="s">
        <v>2</v>
      </c>
      <c r="AK62" s="781" t="e">
        <f>LEFT(A62&amp;":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
LEN(A62&amp;": "&amp;IF(F62=F$33,"",IF(F63&gt;0,"+","")&amp;F63&amp;F$31&amp;", ")
&amp;IF(G62=G$33,"",IF(G63&gt;0,"+","")&amp;G62&amp;G$31&amp;", ")
&amp;IF(H62=H$33,"",IF(H63&gt;0,"+","")&amp;H62&amp;H$31&amp;", ")
&amp;IF(I62=I$33,"",IF(I63&gt;0,"+","")&amp;I63&amp;I$31&amp;", ")
&amp;IF(J62=J$33,"",IF(J63&gt;0,"+","")&amp;J63&amp;J$31&amp;", ")
&amp;IF(K62=K$33,"",IF(K63&gt;0,"+","")&amp;K63&amp;K$31&amp;", ")
&amp;IF(L62=L$33,"",IF(L63&gt;0,"+","")&amp;L63&amp;L$31&amp;", ")
&amp;IF(M62=M$33,"",IF(M63&gt;0,"+","")&amp;M63&amp;M$31&amp;", ")
&amp;IF(N62=N$33,"",IF(N63&gt;0,"+","")&amp;N63&amp;N$31&amp;", ")
&amp;IF(O62=O$33,"",IF(O63&gt;0,"+","")&amp;O63&amp;O$31&amp;", "))-2)</f>
        <v>#VALUE!</v>
      </c>
      <c r="AL62" s="700"/>
      <c r="AM62" s="700"/>
      <c r="AN62" s="700"/>
      <c r="AO62" s="235"/>
      <c r="AR62" s="235"/>
      <c r="AT62" s="585"/>
      <c r="AU62" s="585"/>
      <c r="AV62" s="585"/>
      <c r="AW62" s="585"/>
      <c r="AX62" s="585"/>
      <c r="BA62" s="303" t="str">
        <f>CHAR(CODE(BA60)+1)</f>
        <v>O</v>
      </c>
      <c r="BC62" s="669" t="s">
        <v>391</v>
      </c>
      <c r="BD62" s="670" t="s">
        <v>845</v>
      </c>
      <c r="BE62" s="669" t="s">
        <v>391</v>
      </c>
      <c r="BF62" s="670" t="s">
        <v>845</v>
      </c>
      <c r="BG62" s="669" t="s">
        <v>391</v>
      </c>
      <c r="BH62" s="670" t="s">
        <v>845</v>
      </c>
      <c r="BI62" s="669" t="s">
        <v>391</v>
      </c>
      <c r="BJ62" s="670" t="s">
        <v>845</v>
      </c>
      <c r="BK62" s="669" t="s">
        <v>391</v>
      </c>
      <c r="BL62" s="670" t="s">
        <v>845</v>
      </c>
    </row>
    <row r="63" spans="1:64" ht="18" customHeight="1">
      <c r="A63" s="564" t="e">
        <f>AI63/((Q63*U62+R63*V62+S63*W62)/(VLOOKUP($C62+$F$11*1000,DSS_Calc!$A:$JV,DSS_Calc!BX$92,FALSE)-$AC$33))</f>
        <v>#N/A</v>
      </c>
      <c r="B63" s="402"/>
      <c r="C63" s="564" t="e">
        <f>AI63/(AC63/(VLOOKUP($C62+$F$11*1000,DSS_Calc!$A:$JV,DSS_Calc!BX$92,FALSE)-$AC$33))</f>
        <v>#N/A</v>
      </c>
      <c r="D63" s="403" t="s">
        <v>141</v>
      </c>
      <c r="F63" s="404" t="e">
        <f>ROUND(F62-F$33,0)</f>
        <v>#VALUE!</v>
      </c>
      <c r="G63" s="404"/>
      <c r="H63" s="404"/>
      <c r="I63" s="404" t="e">
        <f t="shared" ref="I63:O63" si="31">ROUND(I62-I$33,0)</f>
        <v>#VALUE!</v>
      </c>
      <c r="J63" s="404" t="e">
        <f t="shared" si="31"/>
        <v>#VALUE!</v>
      </c>
      <c r="K63" s="404" t="e">
        <f t="shared" si="31"/>
        <v>#VALUE!</v>
      </c>
      <c r="L63" s="404" t="e">
        <f t="shared" si="31"/>
        <v>#VALUE!</v>
      </c>
      <c r="M63" s="404" t="e">
        <f t="shared" si="31"/>
        <v>#VALUE!</v>
      </c>
      <c r="N63" s="404" t="e">
        <f t="shared" si="31"/>
        <v>#VALUE!</v>
      </c>
      <c r="O63" s="404" t="e">
        <f t="shared" si="31"/>
        <v>#VALUE!</v>
      </c>
      <c r="P63" s="294"/>
      <c r="Q63" s="404" t="e">
        <f t="shared" ref="Q63:S63" si="32">Q62-Q$33</f>
        <v>#VALUE!</v>
      </c>
      <c r="R63" s="404" t="e">
        <f t="shared" si="32"/>
        <v>#VALUE!</v>
      </c>
      <c r="S63" s="404" t="e">
        <f t="shared" si="32"/>
        <v>#VALUE!</v>
      </c>
      <c r="T63" s="294"/>
      <c r="U63" s="405" t="e">
        <f>U62-U$33</f>
        <v>#VALUE!</v>
      </c>
      <c r="V63" s="405" t="e">
        <f>V62-V$33</f>
        <v>#VALUE!</v>
      </c>
      <c r="W63" s="405" t="e">
        <f>W62-W$33</f>
        <v>#VALUE!</v>
      </c>
      <c r="X63" s="294"/>
      <c r="Y63" s="404" t="e">
        <f>Y62-Y$33</f>
        <v>#VALUE!</v>
      </c>
      <c r="Z63" s="404" t="e">
        <f>Z62-Z$33</f>
        <v>#VALUE!</v>
      </c>
      <c r="AA63" s="404" t="e">
        <f>AA62-AA$33</f>
        <v>#VALUE!</v>
      </c>
      <c r="AB63" s="294"/>
      <c r="AC63" s="404" t="e">
        <f>IFERROR(AC62-AC$33,NA())</f>
        <v>#N/A</v>
      </c>
      <c r="AD63" s="406" t="e">
        <f>AD62-AD$33</f>
        <v>#VALUE!</v>
      </c>
      <c r="AE63" s="407" t="e">
        <f t="shared" ref="AE63:AF63" si="33">AE62-AE$33</f>
        <v>#VALUE!</v>
      </c>
      <c r="AF63" s="406" t="e">
        <f t="shared" si="33"/>
        <v>#VALUE!</v>
      </c>
      <c r="AG63" s="405" t="e">
        <f>AF63/AF$33</f>
        <v>#VALUE!</v>
      </c>
      <c r="AH63" s="405"/>
      <c r="AI63" s="408" t="e">
        <f>IFERROR(AE63/$AE$33,NA())</f>
        <v>#N/A</v>
      </c>
      <c r="AJ63" s="289"/>
      <c r="AK63" s="749"/>
      <c r="AL63" s="750" t="e">
        <f>$AE62*U62-$AE$33*U$33</f>
        <v>#VALUE!</v>
      </c>
      <c r="AM63" s="750" t="e">
        <f>$AE62*V62-$AE$33*V$33</f>
        <v>#VALUE!</v>
      </c>
      <c r="AN63" s="750" t="e">
        <f>$AE62*W62-$AE$33*W$33</f>
        <v>#VALUE!</v>
      </c>
      <c r="AO63" s="235"/>
      <c r="AP63" s="567"/>
      <c r="AR63" s="235"/>
      <c r="AS63" s="235"/>
      <c r="AT63" s="586"/>
      <c r="AU63" s="585"/>
      <c r="AV63" s="586"/>
      <c r="AW63" s="586"/>
      <c r="AX63" s="586"/>
      <c r="AY63" s="235"/>
      <c r="BA63" s="303"/>
      <c r="BC63" s="125"/>
      <c r="BD63" s="671"/>
      <c r="BE63" s="125"/>
      <c r="BF63" s="671"/>
      <c r="BG63" s="125"/>
      <c r="BH63" s="671"/>
      <c r="BI63" s="125"/>
      <c r="BJ63" s="671"/>
      <c r="BK63" s="125"/>
      <c r="BL63" s="671"/>
    </row>
    <row r="64" spans="1:64" ht="18" customHeight="1">
      <c r="A64" s="287" t="str">
        <f>CHAR(CODE(A62)+1)</f>
        <v>P</v>
      </c>
      <c r="B64" s="288"/>
      <c r="C64" s="287" t="s">
        <v>391</v>
      </c>
      <c r="D64" s="261" t="str">
        <f>"Scenario " &amp; A64</f>
        <v>Scenario P</v>
      </c>
      <c r="E64" s="272" t="s">
        <v>2</v>
      </c>
      <c r="F64" s="262" t="e">
        <f>IF($C64="","",VLOOKUP($C64+$F$11*1000,DSS_Calc!$A:$JV,F$30,FALSE))</f>
        <v>#VALUE!</v>
      </c>
      <c r="G64" s="262" t="e">
        <f>IF($C64="","",VLOOKUP($C64+$F$11*1000,DSS_Calc!$A:$JV,G$30,FALSE))</f>
        <v>#VALUE!</v>
      </c>
      <c r="H64" s="262" t="e">
        <f>IF($C64="","",VLOOKUP($C64+$F$11*1000,DSS_Calc!$A:$JV,H$30,FALSE))</f>
        <v>#VALUE!</v>
      </c>
      <c r="I64" s="262" t="e">
        <f>IF($C64="","",VLOOKUP($C64+$F$11*1000,DSS_Calc!$A:$JV,I$30,FALSE))</f>
        <v>#VALUE!</v>
      </c>
      <c r="J64" s="262" t="e">
        <f>IF($C64="","",VLOOKUP($C64+$F$11*1000,DSS_Calc!$A:$JV,J$30,FALSE))</f>
        <v>#VALUE!</v>
      </c>
      <c r="K64" s="262" t="e">
        <f>IF($C64="","",VLOOKUP($C64+$F$11*1000,DSS_Calc!$A:$JV,K$30,FALSE))</f>
        <v>#VALUE!</v>
      </c>
      <c r="L64" s="262" t="e">
        <f>IF($C64="","",VLOOKUP($C64+$F$11*1000,DSS_Calc!$A:$JV,L$30,FALSE))</f>
        <v>#VALUE!</v>
      </c>
      <c r="M64" s="262" t="e">
        <f>IF($C64="","",VLOOKUP($C64+$F$11*1000,DSS_Calc!$A:$JV,M$30,FALSE))</f>
        <v>#VALUE!</v>
      </c>
      <c r="N64" s="262" t="e">
        <f>IF($C64="","",VLOOKUP($C64+$F$11*1000,DSS_Calc!$A:$JV,N$30,FALSE))</f>
        <v>#VALUE!</v>
      </c>
      <c r="O64" s="262" t="e">
        <f>IF($C64="","",VLOOKUP($C64+$F$11*1000,DSS_Calc!$A:$JV,O$30,FALSE))</f>
        <v>#VALUE!</v>
      </c>
      <c r="P64" s="294" t="s">
        <v>2</v>
      </c>
      <c r="Q64" s="262" t="e">
        <f>IF($C64="","",VLOOKUP($C64+$F$11*1000,DSS_Calc!$A:$JV,Q$30,FALSE)*IF(U64=0,0,1))</f>
        <v>#VALUE!</v>
      </c>
      <c r="R64" s="262" t="e">
        <f>IF($C64="","",VLOOKUP($C64+$F$11*1000,DSS_Calc!$A:$JV,R$30,FALSE)*IF(V64=0,0,1))</f>
        <v>#VALUE!</v>
      </c>
      <c r="S64" s="262" t="e">
        <f>IF($C64="","",VLOOKUP($C64+$F$11*1000,DSS_Calc!$A:$JV,S$30,FALSE)*IF(W64=0,0,1))</f>
        <v>#VALUE!</v>
      </c>
      <c r="T64" s="294" t="s">
        <v>2</v>
      </c>
      <c r="U64" s="263" t="e">
        <f>IF($C64="","",VLOOKUP($C64+$F$11*1000,DSS_Calc!$A:$JV,U$30,FALSE))</f>
        <v>#VALUE!</v>
      </c>
      <c r="V64" s="263" t="e">
        <f>IF($C64="","",VLOOKUP($C64+$F$11*1000,DSS_Calc!$A:$JV,V$30,FALSE))</f>
        <v>#VALUE!</v>
      </c>
      <c r="W64" s="263" t="e">
        <f>IF($C64="","",VLOOKUP($C64+$F$11*1000,DSS_Calc!$A:$JV,W$30,FALSE))</f>
        <v>#VALUE!</v>
      </c>
      <c r="X64" s="294" t="s">
        <v>2</v>
      </c>
      <c r="Y64" s="262" t="e">
        <f>IF(U64=0,0,U64*Q64)</f>
        <v>#VALUE!</v>
      </c>
      <c r="Z64" s="262" t="e">
        <f>IF(V64=0,0,V64*R64)</f>
        <v>#VALUE!</v>
      </c>
      <c r="AA64" s="262" t="e">
        <f>IF(W64=0,0,W64*S64)</f>
        <v>#VALUE!</v>
      </c>
      <c r="AB64" s="294" t="s">
        <v>2</v>
      </c>
      <c r="AC64" s="262" t="e">
        <f>SUM(Y64:AA64)</f>
        <v>#VALUE!</v>
      </c>
      <c r="AD64" s="264" t="e">
        <f>AC64*AE64/1000/1000</f>
        <v>#VALUE!</v>
      </c>
      <c r="AE64" s="265" t="e">
        <f>IF($C64="","",VLOOKUP($C64+$F$11*1000,DSS_Calc!$A:$JV,AE$30,FALSE))</f>
        <v>#VALUE!</v>
      </c>
      <c r="AF64" s="264" t="e">
        <f>IF($C64="","",VLOOKUP($C64+$F$11*1000,DSS_Calc!$A:$JV,AF$30,FALSE))</f>
        <v>#VALUE!</v>
      </c>
      <c r="AG64" s="263"/>
      <c r="AH64" s="263"/>
      <c r="AI64" s="300"/>
      <c r="AJ64" s="289" t="s">
        <v>2</v>
      </c>
      <c r="AK64" s="781" t="e">
        <f>LEFT(A64&amp;":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
LEN(A64&amp;": "&amp;IF(F64=F$33,"",IF(F65&gt;0,"+","")&amp;F65&amp;F$31&amp;", ")
&amp;IF(G64=G$33,"",IF(G65&gt;0,"+","")&amp;G64&amp;G$31&amp;", ")
&amp;IF(H64=H$33,"",IF(H65&gt;0,"+","")&amp;H64&amp;H$31&amp;", ")
&amp;IF(I64=I$33,"",IF(I65&gt;0,"+","")&amp;I65&amp;I$31&amp;", ")
&amp;IF(J64=J$33,"",IF(J65&gt;0,"+","")&amp;J65&amp;J$31&amp;", ")
&amp;IF(K64=K$33,"",IF(K65&gt;0,"+","")&amp;K65&amp;K$31&amp;", ")
&amp;IF(L64=L$33,"",IF(L65&gt;0,"+","")&amp;L65&amp;L$31&amp;", ")
&amp;IF(M64=M$33,"",IF(M65&gt;0,"+","")&amp;M65&amp;M$31&amp;", ")
&amp;IF(N64=N$33,"",IF(N65&gt;0,"+","")&amp;N65&amp;N$31&amp;", ")
&amp;IF(O64=O$33,"",IF(O65&gt;0,"+","")&amp;O65&amp;O$31&amp;", "))-2)</f>
        <v>#VALUE!</v>
      </c>
      <c r="AL64" s="700"/>
      <c r="AM64" s="700"/>
      <c r="AN64" s="700"/>
      <c r="AO64" s="235"/>
      <c r="AR64" s="235"/>
      <c r="AT64" s="585"/>
      <c r="AU64" s="585"/>
      <c r="AV64" s="585"/>
      <c r="AW64" s="585"/>
      <c r="AX64" s="585"/>
      <c r="BA64" s="303" t="str">
        <f>CHAR(CODE(BA62)+1)</f>
        <v>P</v>
      </c>
      <c r="BC64" s="669" t="s">
        <v>391</v>
      </c>
      <c r="BD64" s="670" t="s">
        <v>845</v>
      </c>
      <c r="BE64" s="669" t="s">
        <v>391</v>
      </c>
      <c r="BF64" s="670" t="s">
        <v>845</v>
      </c>
      <c r="BG64" s="669" t="s">
        <v>391</v>
      </c>
      <c r="BH64" s="670" t="s">
        <v>845</v>
      </c>
      <c r="BI64" s="669" t="s">
        <v>391</v>
      </c>
      <c r="BJ64" s="670" t="s">
        <v>845</v>
      </c>
      <c r="BK64" s="669" t="s">
        <v>391</v>
      </c>
      <c r="BL64" s="670" t="s">
        <v>845</v>
      </c>
    </row>
    <row r="65" spans="1:64" ht="18" customHeight="1">
      <c r="A65" s="564" t="e">
        <f>AI65/((Q65*U64+R65*V64+S65*W64)/(VLOOKUP($C64+$F$11*1000,DSS_Calc!$A:$JV,DSS_Calc!BX$92,FALSE)-$AC$33))</f>
        <v>#N/A</v>
      </c>
      <c r="B65" s="402"/>
      <c r="C65" s="564" t="e">
        <f>AI65/(AC65/(VLOOKUP($C64+$F$11*1000,DSS_Calc!$A:$JV,DSS_Calc!BX$92,FALSE)-$AC$33))</f>
        <v>#N/A</v>
      </c>
      <c r="D65" s="266" t="s">
        <v>141</v>
      </c>
      <c r="F65" s="267" t="e">
        <f>ROUND(F64-F$33,0)</f>
        <v>#VALUE!</v>
      </c>
      <c r="G65" s="267"/>
      <c r="H65" s="267"/>
      <c r="I65" s="267" t="e">
        <f t="shared" ref="I65:O65" si="34">ROUND(I64-I$33,0)</f>
        <v>#VALUE!</v>
      </c>
      <c r="J65" s="267" t="e">
        <f t="shared" si="34"/>
        <v>#VALUE!</v>
      </c>
      <c r="K65" s="267" t="e">
        <f t="shared" si="34"/>
        <v>#VALUE!</v>
      </c>
      <c r="L65" s="267" t="e">
        <f t="shared" si="34"/>
        <v>#VALUE!</v>
      </c>
      <c r="M65" s="267" t="e">
        <f t="shared" si="34"/>
        <v>#VALUE!</v>
      </c>
      <c r="N65" s="267" t="e">
        <f t="shared" si="34"/>
        <v>#VALUE!</v>
      </c>
      <c r="O65" s="267" t="e">
        <f t="shared" si="34"/>
        <v>#VALUE!</v>
      </c>
      <c r="P65" s="294"/>
      <c r="Q65" s="267" t="e">
        <f t="shared" ref="Q65:S65" si="35">Q64-Q$33</f>
        <v>#VALUE!</v>
      </c>
      <c r="R65" s="267" t="e">
        <f t="shared" si="35"/>
        <v>#VALUE!</v>
      </c>
      <c r="S65" s="267" t="e">
        <f t="shared" si="35"/>
        <v>#VALUE!</v>
      </c>
      <c r="T65" s="294"/>
      <c r="U65" s="268" t="e">
        <f>U64-U$33</f>
        <v>#VALUE!</v>
      </c>
      <c r="V65" s="268" t="e">
        <f>V64-V$33</f>
        <v>#VALUE!</v>
      </c>
      <c r="W65" s="268" t="e">
        <f>W64-W$33</f>
        <v>#VALUE!</v>
      </c>
      <c r="X65" s="294"/>
      <c r="Y65" s="267" t="e">
        <f>Y64-Y$33</f>
        <v>#VALUE!</v>
      </c>
      <c r="Z65" s="267" t="e">
        <f>Z64-Z$33</f>
        <v>#VALUE!</v>
      </c>
      <c r="AA65" s="267" t="e">
        <f>AA64-AA$33</f>
        <v>#VALUE!</v>
      </c>
      <c r="AB65" s="294"/>
      <c r="AC65" s="267" t="e">
        <f>IFERROR(AC64-AC$33,NA())</f>
        <v>#N/A</v>
      </c>
      <c r="AD65" s="269" t="e">
        <f>AD64-AD$33</f>
        <v>#VALUE!</v>
      </c>
      <c r="AE65" s="270" t="e">
        <f t="shared" ref="AE65:AF65" si="36">AE64-AE$33</f>
        <v>#VALUE!</v>
      </c>
      <c r="AF65" s="269" t="e">
        <f t="shared" si="36"/>
        <v>#VALUE!</v>
      </c>
      <c r="AG65" s="268" t="e">
        <f>AF65/AF$33</f>
        <v>#VALUE!</v>
      </c>
      <c r="AH65" s="268"/>
      <c r="AI65" s="301" t="e">
        <f>IFERROR(AE65/$AE$33,NA())</f>
        <v>#N/A</v>
      </c>
      <c r="AJ65" s="289"/>
      <c r="AK65" s="749"/>
      <c r="AL65" s="750" t="e">
        <f>$AE64*U64-$AE$33*U$33</f>
        <v>#VALUE!</v>
      </c>
      <c r="AM65" s="750" t="e">
        <f>$AE64*V64-$AE$33*V$33</f>
        <v>#VALUE!</v>
      </c>
      <c r="AN65" s="750" t="e">
        <f>$AE64*W64-$AE$33*W$33</f>
        <v>#VALUE!</v>
      </c>
      <c r="AO65" s="235"/>
      <c r="AP65" s="567"/>
      <c r="AR65" s="235"/>
      <c r="AS65" s="235"/>
      <c r="AT65" s="586"/>
      <c r="AU65" s="585"/>
      <c r="AV65" s="586"/>
      <c r="AW65" s="586"/>
      <c r="AX65" s="586"/>
      <c r="AY65" s="235"/>
      <c r="BA65" s="303"/>
      <c r="BC65" s="125"/>
      <c r="BD65" s="671"/>
      <c r="BE65" s="125"/>
      <c r="BF65" s="671"/>
      <c r="BG65" s="125"/>
      <c r="BH65" s="671"/>
      <c r="BI65" s="125"/>
      <c r="BJ65" s="671"/>
      <c r="BK65" s="125"/>
      <c r="BL65" s="671"/>
    </row>
    <row r="66" spans="1:64" ht="18" customHeight="1">
      <c r="A66" s="287" t="str">
        <f>CHAR(CODE(A64)+1)</f>
        <v>Q</v>
      </c>
      <c r="B66" s="288"/>
      <c r="C66" s="287" t="s">
        <v>391</v>
      </c>
      <c r="D66" s="396" t="str">
        <f>"Scenario " &amp; A66</f>
        <v>Scenario Q</v>
      </c>
      <c r="E66" s="272" t="s">
        <v>2</v>
      </c>
      <c r="F66" s="397" t="e">
        <f>IF($C66="","",VLOOKUP($C66+$F$11*1000,DSS_Calc!$A:$JV,F$30,FALSE))</f>
        <v>#VALUE!</v>
      </c>
      <c r="G66" s="397" t="e">
        <f>IF($C66="","",VLOOKUP($C66+$F$11*1000,DSS_Calc!$A:$JV,G$30,FALSE))</f>
        <v>#VALUE!</v>
      </c>
      <c r="H66" s="397" t="e">
        <f>IF($C66="","",VLOOKUP($C66+$F$11*1000,DSS_Calc!$A:$JV,H$30,FALSE))</f>
        <v>#VALUE!</v>
      </c>
      <c r="I66" s="397" t="e">
        <f>IF($C66="","",VLOOKUP($C66+$F$11*1000,DSS_Calc!$A:$JV,I$30,FALSE))</f>
        <v>#VALUE!</v>
      </c>
      <c r="J66" s="397" t="e">
        <f>IF($C66="","",VLOOKUP($C66+$F$11*1000,DSS_Calc!$A:$JV,J$30,FALSE))</f>
        <v>#VALUE!</v>
      </c>
      <c r="K66" s="397" t="e">
        <f>IF($C66="","",VLOOKUP($C66+$F$11*1000,DSS_Calc!$A:$JV,K$30,FALSE))</f>
        <v>#VALUE!</v>
      </c>
      <c r="L66" s="397" t="e">
        <f>IF($C66="","",VLOOKUP($C66+$F$11*1000,DSS_Calc!$A:$JV,L$30,FALSE))</f>
        <v>#VALUE!</v>
      </c>
      <c r="M66" s="397" t="e">
        <f>IF($C66="","",VLOOKUP($C66+$F$11*1000,DSS_Calc!$A:$JV,M$30,FALSE))</f>
        <v>#VALUE!</v>
      </c>
      <c r="N66" s="397" t="e">
        <f>IF($C66="","",VLOOKUP($C66+$F$11*1000,DSS_Calc!$A:$JV,N$30,FALSE))</f>
        <v>#VALUE!</v>
      </c>
      <c r="O66" s="397" t="e">
        <f>IF($C66="","",VLOOKUP($C66+$F$11*1000,DSS_Calc!$A:$JV,O$30,FALSE))</f>
        <v>#VALUE!</v>
      </c>
      <c r="P66" s="294" t="s">
        <v>2</v>
      </c>
      <c r="Q66" s="397" t="e">
        <f>IF($C66="","",VLOOKUP($C66+$F$11*1000,DSS_Calc!$A:$JV,Q$30,FALSE)*IF(U66=0,0,1))</f>
        <v>#VALUE!</v>
      </c>
      <c r="R66" s="397" t="e">
        <f>IF($C66="","",VLOOKUP($C66+$F$11*1000,DSS_Calc!$A:$JV,R$30,FALSE)*IF(V66=0,0,1))</f>
        <v>#VALUE!</v>
      </c>
      <c r="S66" s="397" t="e">
        <f>IF($C66="","",VLOOKUP($C66+$F$11*1000,DSS_Calc!$A:$JV,S$30,FALSE)*IF(W66=0,0,1))</f>
        <v>#VALUE!</v>
      </c>
      <c r="T66" s="294" t="s">
        <v>2</v>
      </c>
      <c r="U66" s="398" t="e">
        <f>IF($C66="","",VLOOKUP($C66+$F$11*1000,DSS_Calc!$A:$JV,U$30,FALSE))</f>
        <v>#VALUE!</v>
      </c>
      <c r="V66" s="398" t="e">
        <f>IF($C66="","",VLOOKUP($C66+$F$11*1000,DSS_Calc!$A:$JV,V$30,FALSE))</f>
        <v>#VALUE!</v>
      </c>
      <c r="W66" s="398" t="e">
        <f>IF($C66="","",VLOOKUP($C66+$F$11*1000,DSS_Calc!$A:$JV,W$30,FALSE))</f>
        <v>#VALUE!</v>
      </c>
      <c r="X66" s="294" t="s">
        <v>2</v>
      </c>
      <c r="Y66" s="397" t="e">
        <f>IF(U66=0,0,U66*Q66)</f>
        <v>#VALUE!</v>
      </c>
      <c r="Z66" s="397" t="e">
        <f>IF(V66=0,0,V66*R66)</f>
        <v>#VALUE!</v>
      </c>
      <c r="AA66" s="397" t="e">
        <f>IF(W66=0,0,W66*S66)</f>
        <v>#VALUE!</v>
      </c>
      <c r="AB66" s="294" t="s">
        <v>2</v>
      </c>
      <c r="AC66" s="397" t="e">
        <f>SUM(Y66:AA66)</f>
        <v>#VALUE!</v>
      </c>
      <c r="AD66" s="399" t="e">
        <f>AC66*AE66/1000/1000</f>
        <v>#VALUE!</v>
      </c>
      <c r="AE66" s="400" t="e">
        <f>IF($C66="","",VLOOKUP($C66+$F$11*1000,DSS_Calc!$A:$JV,AE$30,FALSE))</f>
        <v>#VALUE!</v>
      </c>
      <c r="AF66" s="399" t="e">
        <f>IF($C66="","",VLOOKUP($C66+$F$11*1000,DSS_Calc!$A:$JV,AF$30,FALSE))</f>
        <v>#VALUE!</v>
      </c>
      <c r="AG66" s="398"/>
      <c r="AH66" s="398"/>
      <c r="AI66" s="401"/>
      <c r="AJ66" s="289" t="s">
        <v>2</v>
      </c>
      <c r="AK66" s="781" t="e">
        <f>LEFT(A66&amp;":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
LEN(A66&amp;": "&amp;IF(F66=F$33,"",IF(F67&gt;0,"+","")&amp;F67&amp;F$31&amp;", ")
&amp;IF(G66=G$33,"",IF(G67&gt;0,"+","")&amp;G66&amp;G$31&amp;", ")
&amp;IF(H66=H$33,"",IF(H67&gt;0,"+","")&amp;H66&amp;H$31&amp;", ")
&amp;IF(I66=I$33,"",IF(I67&gt;0,"+","")&amp;I67&amp;I$31&amp;", ")
&amp;IF(J66=J$33,"",IF(J67&gt;0,"+","")&amp;J67&amp;J$31&amp;", ")
&amp;IF(K66=K$33,"",IF(K67&gt;0,"+","")&amp;K67&amp;K$31&amp;", ")
&amp;IF(L66=L$33,"",IF(L67&gt;0,"+","")&amp;L67&amp;L$31&amp;", ")
&amp;IF(M66=M$33,"",IF(M67&gt;0,"+","")&amp;M67&amp;M$31&amp;", ")
&amp;IF(N66=N$33,"",IF(N67&gt;0,"+","")&amp;N67&amp;N$31&amp;", ")
&amp;IF(O66=O$33,"",IF(O67&gt;0,"+","")&amp;O67&amp;O$31&amp;", "))-2)</f>
        <v>#VALUE!</v>
      </c>
      <c r="AL66" s="700"/>
      <c r="AM66" s="700"/>
      <c r="AN66" s="700"/>
      <c r="AO66" s="235"/>
      <c r="AR66" s="235"/>
      <c r="AT66" s="585"/>
      <c r="AU66" s="585"/>
      <c r="AV66" s="585"/>
      <c r="AW66" s="585"/>
      <c r="AX66" s="585"/>
      <c r="BA66" s="303" t="str">
        <f>CHAR(CODE(BA64)+1)</f>
        <v>Q</v>
      </c>
      <c r="BC66" s="669" t="s">
        <v>391</v>
      </c>
      <c r="BD66" s="670" t="s">
        <v>845</v>
      </c>
      <c r="BE66" s="669" t="s">
        <v>391</v>
      </c>
      <c r="BF66" s="670" t="s">
        <v>845</v>
      </c>
      <c r="BG66" s="669" t="s">
        <v>391</v>
      </c>
      <c r="BH66" s="670" t="s">
        <v>845</v>
      </c>
      <c r="BI66" s="669" t="s">
        <v>391</v>
      </c>
      <c r="BJ66" s="670" t="s">
        <v>845</v>
      </c>
      <c r="BK66" s="669" t="s">
        <v>391</v>
      </c>
      <c r="BL66" s="670" t="s">
        <v>845</v>
      </c>
    </row>
    <row r="67" spans="1:64" ht="18" customHeight="1">
      <c r="A67" s="564" t="e">
        <f>AI67/((Q67*U66+R67*V66+S67*W66)/(VLOOKUP($C66+$F$11*1000,DSS_Calc!$A:$JV,DSS_Calc!BX$92,FALSE)-$AC$33))</f>
        <v>#N/A</v>
      </c>
      <c r="B67" s="402"/>
      <c r="C67" s="564" t="e">
        <f>AI67/(AC67/(VLOOKUP($C66+$F$11*1000,DSS_Calc!$A:$JV,DSS_Calc!BX$92,FALSE)-$AC$33))</f>
        <v>#N/A</v>
      </c>
      <c r="D67" s="403" t="s">
        <v>141</v>
      </c>
      <c r="F67" s="404" t="e">
        <f>ROUND(F66-F$33,0)</f>
        <v>#VALUE!</v>
      </c>
      <c r="G67" s="404"/>
      <c r="H67" s="404"/>
      <c r="I67" s="404" t="e">
        <f t="shared" ref="I67:O67" si="37">ROUND(I66-I$33,0)</f>
        <v>#VALUE!</v>
      </c>
      <c r="J67" s="404" t="e">
        <f t="shared" si="37"/>
        <v>#VALUE!</v>
      </c>
      <c r="K67" s="404" t="e">
        <f t="shared" si="37"/>
        <v>#VALUE!</v>
      </c>
      <c r="L67" s="404" t="e">
        <f t="shared" si="37"/>
        <v>#VALUE!</v>
      </c>
      <c r="M67" s="404" t="e">
        <f t="shared" si="37"/>
        <v>#VALUE!</v>
      </c>
      <c r="N67" s="404" t="e">
        <f t="shared" si="37"/>
        <v>#VALUE!</v>
      </c>
      <c r="O67" s="404" t="e">
        <f t="shared" si="37"/>
        <v>#VALUE!</v>
      </c>
      <c r="P67" s="294"/>
      <c r="Q67" s="404" t="e">
        <f t="shared" ref="Q67:S67" si="38">Q66-Q$33</f>
        <v>#VALUE!</v>
      </c>
      <c r="R67" s="404" t="e">
        <f t="shared" si="38"/>
        <v>#VALUE!</v>
      </c>
      <c r="S67" s="404" t="e">
        <f t="shared" si="38"/>
        <v>#VALUE!</v>
      </c>
      <c r="T67" s="294"/>
      <c r="U67" s="405" t="e">
        <f>U66-U$33</f>
        <v>#VALUE!</v>
      </c>
      <c r="V67" s="405" t="e">
        <f>V66-V$33</f>
        <v>#VALUE!</v>
      </c>
      <c r="W67" s="405" t="e">
        <f>W66-W$33</f>
        <v>#VALUE!</v>
      </c>
      <c r="X67" s="294"/>
      <c r="Y67" s="404" t="e">
        <f>Y66-Y$33</f>
        <v>#VALUE!</v>
      </c>
      <c r="Z67" s="404" t="e">
        <f>Z66-Z$33</f>
        <v>#VALUE!</v>
      </c>
      <c r="AA67" s="404" t="e">
        <f>AA66-AA$33</f>
        <v>#VALUE!</v>
      </c>
      <c r="AB67" s="294"/>
      <c r="AC67" s="404" t="e">
        <f>IFERROR(AC66-AC$33,NA())</f>
        <v>#N/A</v>
      </c>
      <c r="AD67" s="406" t="e">
        <f>AD66-AD$33</f>
        <v>#VALUE!</v>
      </c>
      <c r="AE67" s="407" t="e">
        <f t="shared" ref="AE67:AF67" si="39">AE66-AE$33</f>
        <v>#VALUE!</v>
      </c>
      <c r="AF67" s="406" t="e">
        <f t="shared" si="39"/>
        <v>#VALUE!</v>
      </c>
      <c r="AG67" s="405" t="e">
        <f>AF67/AF$33</f>
        <v>#VALUE!</v>
      </c>
      <c r="AH67" s="405"/>
      <c r="AI67" s="408" t="e">
        <f>IFERROR(AE67/$AE$33,NA())</f>
        <v>#N/A</v>
      </c>
      <c r="AJ67" s="289"/>
      <c r="AK67" s="749"/>
      <c r="AL67" s="750" t="e">
        <f>$AE66*U66-$AE$33*U$33</f>
        <v>#VALUE!</v>
      </c>
      <c r="AM67" s="750" t="e">
        <f>$AE66*V66-$AE$33*V$33</f>
        <v>#VALUE!</v>
      </c>
      <c r="AN67" s="750" t="e">
        <f>$AE66*W66-$AE$33*W$33</f>
        <v>#VALUE!</v>
      </c>
      <c r="AO67" s="235"/>
      <c r="AP67" s="567"/>
      <c r="AR67" s="235"/>
      <c r="AS67" s="235"/>
      <c r="AT67" s="586"/>
      <c r="AU67" s="585"/>
      <c r="AV67" s="586"/>
      <c r="AW67" s="586"/>
      <c r="AX67" s="586"/>
      <c r="AY67" s="235"/>
      <c r="BA67" s="303"/>
      <c r="BC67" s="125"/>
      <c r="BD67" s="671"/>
      <c r="BE67" s="125"/>
      <c r="BF67" s="671"/>
      <c r="BG67" s="125"/>
      <c r="BH67" s="671"/>
      <c r="BI67" s="125"/>
      <c r="BJ67" s="671"/>
      <c r="BK67" s="125"/>
      <c r="BL67" s="671"/>
    </row>
    <row r="68" spans="1:64" ht="18" customHeight="1">
      <c r="A68" s="287" t="str">
        <f>CHAR(CODE(A66)+1)</f>
        <v>R</v>
      </c>
      <c r="B68" s="288"/>
      <c r="C68" s="287" t="s">
        <v>391</v>
      </c>
      <c r="D68" s="261" t="str">
        <f>"Scenario " &amp; A68</f>
        <v>Scenario R</v>
      </c>
      <c r="E68" s="272" t="s">
        <v>2</v>
      </c>
      <c r="F68" s="262" t="e">
        <f>IF($C68="","",VLOOKUP($C68+$F$11*1000,DSS_Calc!$A:$JV,F$30,FALSE))</f>
        <v>#VALUE!</v>
      </c>
      <c r="G68" s="262" t="e">
        <f>IF($C68="","",VLOOKUP($C68+$F$11*1000,DSS_Calc!$A:$JV,G$30,FALSE))</f>
        <v>#VALUE!</v>
      </c>
      <c r="H68" s="262" t="e">
        <f>IF($C68="","",VLOOKUP($C68+$F$11*1000,DSS_Calc!$A:$JV,H$30,FALSE))</f>
        <v>#VALUE!</v>
      </c>
      <c r="I68" s="262" t="e">
        <f>IF($C68="","",VLOOKUP($C68+$F$11*1000,DSS_Calc!$A:$JV,I$30,FALSE))</f>
        <v>#VALUE!</v>
      </c>
      <c r="J68" s="262" t="e">
        <f>IF($C68="","",VLOOKUP($C68+$F$11*1000,DSS_Calc!$A:$JV,J$30,FALSE))</f>
        <v>#VALUE!</v>
      </c>
      <c r="K68" s="262" t="e">
        <f>IF($C68="","",VLOOKUP($C68+$F$11*1000,DSS_Calc!$A:$JV,K$30,FALSE))</f>
        <v>#VALUE!</v>
      </c>
      <c r="L68" s="262" t="e">
        <f>IF($C68="","",VLOOKUP($C68+$F$11*1000,DSS_Calc!$A:$JV,L$30,FALSE))</f>
        <v>#VALUE!</v>
      </c>
      <c r="M68" s="262" t="e">
        <f>IF($C68="","",VLOOKUP($C68+$F$11*1000,DSS_Calc!$A:$JV,M$30,FALSE))</f>
        <v>#VALUE!</v>
      </c>
      <c r="N68" s="262" t="e">
        <f>IF($C68="","",VLOOKUP($C68+$F$11*1000,DSS_Calc!$A:$JV,N$30,FALSE))</f>
        <v>#VALUE!</v>
      </c>
      <c r="O68" s="262" t="e">
        <f>IF($C68="","",VLOOKUP($C68+$F$11*1000,DSS_Calc!$A:$JV,O$30,FALSE))</f>
        <v>#VALUE!</v>
      </c>
      <c r="P68" s="294" t="s">
        <v>2</v>
      </c>
      <c r="Q68" s="262" t="e">
        <f>IF($C68="","",VLOOKUP($C68+$F$11*1000,DSS_Calc!$A:$JV,Q$30,FALSE)*IF(U68=0,0,1))</f>
        <v>#VALUE!</v>
      </c>
      <c r="R68" s="262" t="e">
        <f>IF($C68="","",VLOOKUP($C68+$F$11*1000,DSS_Calc!$A:$JV,R$30,FALSE)*IF(V68=0,0,1))</f>
        <v>#VALUE!</v>
      </c>
      <c r="S68" s="262" t="e">
        <f>IF($C68="","",VLOOKUP($C68+$F$11*1000,DSS_Calc!$A:$JV,S$30,FALSE)*IF(W68=0,0,1))</f>
        <v>#VALUE!</v>
      </c>
      <c r="T68" s="294" t="s">
        <v>2</v>
      </c>
      <c r="U68" s="263" t="e">
        <f>IF($C68="","",VLOOKUP($C68+$F$11*1000,DSS_Calc!$A:$JV,U$30,FALSE))</f>
        <v>#VALUE!</v>
      </c>
      <c r="V68" s="263" t="e">
        <f>IF($C68="","",VLOOKUP($C68+$F$11*1000,DSS_Calc!$A:$JV,V$30,FALSE))</f>
        <v>#VALUE!</v>
      </c>
      <c r="W68" s="263" t="e">
        <f>IF($C68="","",VLOOKUP($C68+$F$11*1000,DSS_Calc!$A:$JV,W$30,FALSE))</f>
        <v>#VALUE!</v>
      </c>
      <c r="X68" s="294" t="s">
        <v>2</v>
      </c>
      <c r="Y68" s="262" t="e">
        <f>IF(U68=0,0,U68*Q68)</f>
        <v>#VALUE!</v>
      </c>
      <c r="Z68" s="262" t="e">
        <f>IF(V68=0,0,V68*R68)</f>
        <v>#VALUE!</v>
      </c>
      <c r="AA68" s="262" t="e">
        <f>IF(W68=0,0,W68*S68)</f>
        <v>#VALUE!</v>
      </c>
      <c r="AB68" s="294" t="s">
        <v>2</v>
      </c>
      <c r="AC68" s="262" t="e">
        <f>SUM(Y68:AA68)</f>
        <v>#VALUE!</v>
      </c>
      <c r="AD68" s="264" t="e">
        <f>AC68*AE68/1000/1000</f>
        <v>#VALUE!</v>
      </c>
      <c r="AE68" s="265" t="e">
        <f>IF($C68="","",VLOOKUP($C68+$F$11*1000,DSS_Calc!$A:$JV,AE$30,FALSE))</f>
        <v>#VALUE!</v>
      </c>
      <c r="AF68" s="264" t="e">
        <f>IF($C68="","",VLOOKUP($C68+$F$11*1000,DSS_Calc!$A:$JV,AF$30,FALSE))</f>
        <v>#VALUE!</v>
      </c>
      <c r="AG68" s="263"/>
      <c r="AH68" s="263"/>
      <c r="AI68" s="300"/>
      <c r="AJ68" s="289" t="s">
        <v>2</v>
      </c>
      <c r="AK68" s="781" t="e">
        <f>LEFT(A68&amp;":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
LEN(A68&amp;": "&amp;IF(F68=F$33,"",IF(F69&gt;0,"+","")&amp;F69&amp;F$31&amp;", ")
&amp;IF(G68=G$33,"",IF(G69&gt;0,"+","")&amp;G68&amp;G$31&amp;", ")
&amp;IF(H68=H$33,"",IF(H69&gt;0,"+","")&amp;H68&amp;H$31&amp;", ")
&amp;IF(I68=I$33,"",IF(I69&gt;0,"+","")&amp;I69&amp;I$31&amp;", ")
&amp;IF(J68=J$33,"",IF(J69&gt;0,"+","")&amp;J69&amp;J$31&amp;", ")
&amp;IF(K68=K$33,"",IF(K69&gt;0,"+","")&amp;K69&amp;K$31&amp;", ")
&amp;IF(L68=L$33,"",IF(L69&gt;0,"+","")&amp;L69&amp;L$31&amp;", ")
&amp;IF(M68=M$33,"",IF(M69&gt;0,"+","")&amp;M69&amp;M$31&amp;", ")
&amp;IF(N68=N$33,"",IF(N69&gt;0,"+","")&amp;N69&amp;N$31&amp;", ")
&amp;IF(O68=O$33,"",IF(O69&gt;0,"+","")&amp;O69&amp;O$31&amp;", "))-2)</f>
        <v>#VALUE!</v>
      </c>
      <c r="AL68" s="700"/>
      <c r="AM68" s="700"/>
      <c r="AN68" s="700"/>
      <c r="AO68" s="235"/>
      <c r="AR68" s="235"/>
      <c r="AT68" s="585"/>
      <c r="AU68" s="585"/>
      <c r="AV68" s="585"/>
      <c r="AW68" s="585"/>
      <c r="AX68" s="585"/>
      <c r="BA68" s="303" t="str">
        <f>CHAR(CODE(BA66)+1)</f>
        <v>R</v>
      </c>
      <c r="BC68" s="669" t="s">
        <v>391</v>
      </c>
      <c r="BD68" s="670" t="s">
        <v>845</v>
      </c>
      <c r="BE68" s="669" t="s">
        <v>391</v>
      </c>
      <c r="BF68" s="670" t="s">
        <v>845</v>
      </c>
      <c r="BG68" s="669" t="s">
        <v>391</v>
      </c>
      <c r="BH68" s="670" t="s">
        <v>845</v>
      </c>
      <c r="BI68" s="669" t="s">
        <v>391</v>
      </c>
      <c r="BJ68" s="670" t="s">
        <v>845</v>
      </c>
      <c r="BK68" s="669" t="s">
        <v>391</v>
      </c>
      <c r="BL68" s="670" t="s">
        <v>845</v>
      </c>
    </row>
    <row r="69" spans="1:64" ht="18" customHeight="1">
      <c r="A69" s="564" t="e">
        <f>AI69/((Q69*U68+R69*V68+S69*W68)/(VLOOKUP($C68+$F$11*1000,DSS_Calc!$A:$JV,DSS_Calc!BX$92,FALSE)-$AC$33))</f>
        <v>#N/A</v>
      </c>
      <c r="B69" s="402"/>
      <c r="C69" s="564" t="e">
        <f>AI69/(AC69/(VLOOKUP($C68+$F$11*1000,DSS_Calc!$A:$JV,DSS_Calc!BX$92,FALSE)-$AC$33))</f>
        <v>#N/A</v>
      </c>
      <c r="D69" s="266" t="s">
        <v>141</v>
      </c>
      <c r="F69" s="267" t="e">
        <f>ROUND(F68-F$33,0)</f>
        <v>#VALUE!</v>
      </c>
      <c r="G69" s="267"/>
      <c r="H69" s="267"/>
      <c r="I69" s="267" t="e">
        <f t="shared" ref="I69:O69" si="40">ROUND(I68-I$33,0)</f>
        <v>#VALUE!</v>
      </c>
      <c r="J69" s="267" t="e">
        <f t="shared" si="40"/>
        <v>#VALUE!</v>
      </c>
      <c r="K69" s="267" t="e">
        <f t="shared" si="40"/>
        <v>#VALUE!</v>
      </c>
      <c r="L69" s="267" t="e">
        <f t="shared" si="40"/>
        <v>#VALUE!</v>
      </c>
      <c r="M69" s="267" t="e">
        <f t="shared" si="40"/>
        <v>#VALUE!</v>
      </c>
      <c r="N69" s="267" t="e">
        <f t="shared" si="40"/>
        <v>#VALUE!</v>
      </c>
      <c r="O69" s="267" t="e">
        <f t="shared" si="40"/>
        <v>#VALUE!</v>
      </c>
      <c r="P69" s="294"/>
      <c r="Q69" s="267" t="e">
        <f t="shared" ref="Q69:S69" si="41">Q68-Q$33</f>
        <v>#VALUE!</v>
      </c>
      <c r="R69" s="267" t="e">
        <f t="shared" si="41"/>
        <v>#VALUE!</v>
      </c>
      <c r="S69" s="267" t="e">
        <f t="shared" si="41"/>
        <v>#VALUE!</v>
      </c>
      <c r="T69" s="294"/>
      <c r="U69" s="268" t="e">
        <f>U68-U$33</f>
        <v>#VALUE!</v>
      </c>
      <c r="V69" s="268" t="e">
        <f>V68-V$33</f>
        <v>#VALUE!</v>
      </c>
      <c r="W69" s="268" t="e">
        <f>W68-W$33</f>
        <v>#VALUE!</v>
      </c>
      <c r="X69" s="294"/>
      <c r="Y69" s="267" t="e">
        <f>Y68-Y$33</f>
        <v>#VALUE!</v>
      </c>
      <c r="Z69" s="267" t="e">
        <f>Z68-Z$33</f>
        <v>#VALUE!</v>
      </c>
      <c r="AA69" s="267" t="e">
        <f>AA68-AA$33</f>
        <v>#VALUE!</v>
      </c>
      <c r="AB69" s="294"/>
      <c r="AC69" s="267" t="e">
        <f>IFERROR(AC68-AC$33,NA())</f>
        <v>#N/A</v>
      </c>
      <c r="AD69" s="269" t="e">
        <f>AD68-AD$33</f>
        <v>#VALUE!</v>
      </c>
      <c r="AE69" s="270" t="e">
        <f t="shared" ref="AE69:AF69" si="42">AE68-AE$33</f>
        <v>#VALUE!</v>
      </c>
      <c r="AF69" s="269" t="e">
        <f t="shared" si="42"/>
        <v>#VALUE!</v>
      </c>
      <c r="AG69" s="268" t="e">
        <f>AF69/AF$33</f>
        <v>#VALUE!</v>
      </c>
      <c r="AH69" s="268"/>
      <c r="AI69" s="301" t="e">
        <f>IFERROR(AE69/$AE$33,NA())</f>
        <v>#N/A</v>
      </c>
      <c r="AJ69" s="289"/>
      <c r="AK69" s="749"/>
      <c r="AL69" s="750" t="e">
        <f>$AE68*U68-$AE$33*U$33</f>
        <v>#VALUE!</v>
      </c>
      <c r="AM69" s="750" t="e">
        <f>$AE68*V68-$AE$33*V$33</f>
        <v>#VALUE!</v>
      </c>
      <c r="AN69" s="750" t="e">
        <f>$AE68*W68-$AE$33*W$33</f>
        <v>#VALUE!</v>
      </c>
      <c r="AO69" s="235"/>
      <c r="AP69" s="567"/>
      <c r="AR69" s="235"/>
      <c r="AS69" s="235"/>
      <c r="AT69" s="586"/>
      <c r="AU69" s="585"/>
      <c r="AV69" s="586"/>
      <c r="AW69" s="586"/>
      <c r="AX69" s="586"/>
      <c r="AY69" s="235"/>
      <c r="BA69" s="303"/>
      <c r="BC69" s="125"/>
      <c r="BD69" s="671"/>
      <c r="BE69" s="125"/>
      <c r="BF69" s="671"/>
      <c r="BG69" s="125"/>
      <c r="BH69" s="671"/>
      <c r="BI69" s="125"/>
      <c r="BJ69" s="671"/>
      <c r="BK69" s="125"/>
      <c r="BL69" s="671"/>
    </row>
    <row r="70" spans="1:64" ht="18" customHeight="1">
      <c r="A70" s="287" t="str">
        <f>CHAR(CODE(A68)+1)</f>
        <v>S</v>
      </c>
      <c r="B70" s="288"/>
      <c r="C70" s="287" t="s">
        <v>391</v>
      </c>
      <c r="D70" s="396" t="str">
        <f>"Scenario " &amp; A70</f>
        <v>Scenario S</v>
      </c>
      <c r="E70" s="272" t="s">
        <v>2</v>
      </c>
      <c r="F70" s="397" t="e">
        <f>IF($C70="","",VLOOKUP($C70+$F$11*1000,DSS_Calc!$A:$JV,F$30,FALSE))</f>
        <v>#VALUE!</v>
      </c>
      <c r="G70" s="397" t="e">
        <f>IF($C70="","",VLOOKUP($C70+$F$11*1000,DSS_Calc!$A:$JV,G$30,FALSE))</f>
        <v>#VALUE!</v>
      </c>
      <c r="H70" s="397" t="e">
        <f>IF($C70="","",VLOOKUP($C70+$F$11*1000,DSS_Calc!$A:$JV,H$30,FALSE))</f>
        <v>#VALUE!</v>
      </c>
      <c r="I70" s="397" t="e">
        <f>IF($C70="","",VLOOKUP($C70+$F$11*1000,DSS_Calc!$A:$JV,I$30,FALSE))</f>
        <v>#VALUE!</v>
      </c>
      <c r="J70" s="397" t="e">
        <f>IF($C70="","",VLOOKUP($C70+$F$11*1000,DSS_Calc!$A:$JV,J$30,FALSE))</f>
        <v>#VALUE!</v>
      </c>
      <c r="K70" s="397" t="e">
        <f>IF($C70="","",VLOOKUP($C70+$F$11*1000,DSS_Calc!$A:$JV,K$30,FALSE))</f>
        <v>#VALUE!</v>
      </c>
      <c r="L70" s="397" t="e">
        <f>IF($C70="","",VLOOKUP($C70+$F$11*1000,DSS_Calc!$A:$JV,L$30,FALSE))</f>
        <v>#VALUE!</v>
      </c>
      <c r="M70" s="397" t="e">
        <f>IF($C70="","",VLOOKUP($C70+$F$11*1000,DSS_Calc!$A:$JV,M$30,FALSE))</f>
        <v>#VALUE!</v>
      </c>
      <c r="N70" s="397" t="e">
        <f>IF($C70="","",VLOOKUP($C70+$F$11*1000,DSS_Calc!$A:$JV,N$30,FALSE))</f>
        <v>#VALUE!</v>
      </c>
      <c r="O70" s="397" t="e">
        <f>IF($C70="","",VLOOKUP($C70+$F$11*1000,DSS_Calc!$A:$JV,O$30,FALSE))</f>
        <v>#VALUE!</v>
      </c>
      <c r="P70" s="294" t="s">
        <v>2</v>
      </c>
      <c r="Q70" s="397" t="e">
        <f>IF($C70="","",VLOOKUP($C70+$F$11*1000,DSS_Calc!$A:$JV,Q$30,FALSE)*IF(U70=0,0,1))</f>
        <v>#VALUE!</v>
      </c>
      <c r="R70" s="397" t="e">
        <f>IF($C70="","",VLOOKUP($C70+$F$11*1000,DSS_Calc!$A:$JV,R$30,FALSE)*IF(V70=0,0,1))</f>
        <v>#VALUE!</v>
      </c>
      <c r="S70" s="397" t="e">
        <f>IF($C70="","",VLOOKUP($C70+$F$11*1000,DSS_Calc!$A:$JV,S$30,FALSE)*IF(W70=0,0,1))</f>
        <v>#VALUE!</v>
      </c>
      <c r="T70" s="294" t="s">
        <v>2</v>
      </c>
      <c r="U70" s="398" t="e">
        <f>IF($C70="","",VLOOKUP($C70+$F$11*1000,DSS_Calc!$A:$JV,U$30,FALSE))</f>
        <v>#VALUE!</v>
      </c>
      <c r="V70" s="398" t="e">
        <f>IF($C70="","",VLOOKUP($C70+$F$11*1000,DSS_Calc!$A:$JV,V$30,FALSE))</f>
        <v>#VALUE!</v>
      </c>
      <c r="W70" s="398" t="e">
        <f>IF($C70="","",VLOOKUP($C70+$F$11*1000,DSS_Calc!$A:$JV,W$30,FALSE))</f>
        <v>#VALUE!</v>
      </c>
      <c r="X70" s="294" t="s">
        <v>2</v>
      </c>
      <c r="Y70" s="397" t="e">
        <f>IF(U70=0,0,U70*Q70)</f>
        <v>#VALUE!</v>
      </c>
      <c r="Z70" s="397" t="e">
        <f>IF(V70=0,0,V70*R70)</f>
        <v>#VALUE!</v>
      </c>
      <c r="AA70" s="397" t="e">
        <f>IF(W70=0,0,W70*S70)</f>
        <v>#VALUE!</v>
      </c>
      <c r="AB70" s="294" t="s">
        <v>2</v>
      </c>
      <c r="AC70" s="397" t="e">
        <f>SUM(Y70:AA70)</f>
        <v>#VALUE!</v>
      </c>
      <c r="AD70" s="399" t="e">
        <f>AC70*AE70/1000/1000</f>
        <v>#VALUE!</v>
      </c>
      <c r="AE70" s="400" t="e">
        <f>IF($C70="","",VLOOKUP($C70+$F$11*1000,DSS_Calc!$A:$JV,AE$30,FALSE))</f>
        <v>#VALUE!</v>
      </c>
      <c r="AF70" s="399" t="e">
        <f>IF($C70="","",VLOOKUP($C70+$F$11*1000,DSS_Calc!$A:$JV,AF$30,FALSE))</f>
        <v>#VALUE!</v>
      </c>
      <c r="AG70" s="398"/>
      <c r="AH70" s="398"/>
      <c r="AI70" s="401"/>
      <c r="AJ70" s="289" t="s">
        <v>2</v>
      </c>
      <c r="AK70" s="781" t="e">
        <f>LEFT(A70&amp;":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
LEN(A70&amp;": "&amp;IF(F70=F$33,"",IF(F71&gt;0,"+","")&amp;F71&amp;F$31&amp;", ")
&amp;IF(G70=G$33,"",IF(G71&gt;0,"+","")&amp;G70&amp;G$31&amp;", ")
&amp;IF(H70=H$33,"",IF(H71&gt;0,"+","")&amp;H70&amp;H$31&amp;", ")
&amp;IF(I70=I$33,"",IF(I71&gt;0,"+","")&amp;I71&amp;I$31&amp;", ")
&amp;IF(J70=J$33,"",IF(J71&gt;0,"+","")&amp;J71&amp;J$31&amp;", ")
&amp;IF(K70=K$33,"",IF(K71&gt;0,"+","")&amp;K71&amp;K$31&amp;", ")
&amp;IF(L70=L$33,"",IF(L71&gt;0,"+","")&amp;L71&amp;L$31&amp;", ")
&amp;IF(M70=M$33,"",IF(M71&gt;0,"+","")&amp;M71&amp;M$31&amp;", ")
&amp;IF(N70=N$33,"",IF(N71&gt;0,"+","")&amp;N71&amp;N$31&amp;", ")
&amp;IF(O70=O$33,"",IF(O71&gt;0,"+","")&amp;O71&amp;O$31&amp;", "))-2)</f>
        <v>#VALUE!</v>
      </c>
      <c r="AL70" s="700"/>
      <c r="AM70" s="700"/>
      <c r="AN70" s="700"/>
      <c r="AO70" s="235"/>
      <c r="AR70" s="235"/>
      <c r="AT70" s="585"/>
      <c r="AU70" s="585"/>
      <c r="AV70" s="585"/>
      <c r="AW70" s="585"/>
      <c r="AX70" s="585"/>
      <c r="BA70" s="303" t="str">
        <f>CHAR(CODE(BA68)+1)</f>
        <v>S</v>
      </c>
      <c r="BC70" s="669" t="s">
        <v>391</v>
      </c>
      <c r="BD70" s="670" t="s">
        <v>845</v>
      </c>
      <c r="BE70" s="669" t="s">
        <v>391</v>
      </c>
      <c r="BF70" s="670" t="s">
        <v>845</v>
      </c>
      <c r="BG70" s="669" t="s">
        <v>391</v>
      </c>
      <c r="BH70" s="670" t="s">
        <v>845</v>
      </c>
      <c r="BI70" s="669" t="s">
        <v>391</v>
      </c>
      <c r="BJ70" s="670" t="s">
        <v>845</v>
      </c>
      <c r="BK70" s="669" t="s">
        <v>391</v>
      </c>
      <c r="BL70" s="670" t="s">
        <v>845</v>
      </c>
    </row>
    <row r="71" spans="1:64" ht="18" customHeight="1">
      <c r="A71" s="564" t="e">
        <f>AI71/((Q71*U70+R71*V70+S71*W70)/(VLOOKUP($C70+$F$11*1000,DSS_Calc!$A:$JV,DSS_Calc!BX$92,FALSE)-$AC$33))</f>
        <v>#N/A</v>
      </c>
      <c r="B71" s="402"/>
      <c r="C71" s="564" t="e">
        <f>AI71/(AC71/(VLOOKUP($C70+$F$11*1000,DSS_Calc!$A:$JV,DSS_Calc!BX$92,FALSE)-$AC$33))</f>
        <v>#N/A</v>
      </c>
      <c r="D71" s="403" t="s">
        <v>141</v>
      </c>
      <c r="F71" s="404" t="e">
        <f>ROUND(F70-F$33,0)</f>
        <v>#VALUE!</v>
      </c>
      <c r="G71" s="404"/>
      <c r="H71" s="404"/>
      <c r="I71" s="404" t="e">
        <f t="shared" ref="I71:O71" si="43">ROUND(I70-I$33,0)</f>
        <v>#VALUE!</v>
      </c>
      <c r="J71" s="404" t="e">
        <f t="shared" si="43"/>
        <v>#VALUE!</v>
      </c>
      <c r="K71" s="404" t="e">
        <f t="shared" si="43"/>
        <v>#VALUE!</v>
      </c>
      <c r="L71" s="404" t="e">
        <f t="shared" si="43"/>
        <v>#VALUE!</v>
      </c>
      <c r="M71" s="404" t="e">
        <f t="shared" si="43"/>
        <v>#VALUE!</v>
      </c>
      <c r="N71" s="404" t="e">
        <f t="shared" si="43"/>
        <v>#VALUE!</v>
      </c>
      <c r="O71" s="404" t="e">
        <f t="shared" si="43"/>
        <v>#VALUE!</v>
      </c>
      <c r="P71" s="294"/>
      <c r="Q71" s="404" t="e">
        <f t="shared" ref="Q71:S71" si="44">Q70-Q$33</f>
        <v>#VALUE!</v>
      </c>
      <c r="R71" s="404" t="e">
        <f t="shared" si="44"/>
        <v>#VALUE!</v>
      </c>
      <c r="S71" s="404" t="e">
        <f t="shared" si="44"/>
        <v>#VALUE!</v>
      </c>
      <c r="T71" s="294"/>
      <c r="U71" s="405" t="e">
        <f>U70-U$33</f>
        <v>#VALUE!</v>
      </c>
      <c r="V71" s="405" t="e">
        <f>V70-V$33</f>
        <v>#VALUE!</v>
      </c>
      <c r="W71" s="405" t="e">
        <f>W70-W$33</f>
        <v>#VALUE!</v>
      </c>
      <c r="X71" s="294"/>
      <c r="Y71" s="404" t="e">
        <f>Y70-Y$33</f>
        <v>#VALUE!</v>
      </c>
      <c r="Z71" s="404" t="e">
        <f>Z70-Z$33</f>
        <v>#VALUE!</v>
      </c>
      <c r="AA71" s="404" t="e">
        <f>AA70-AA$33</f>
        <v>#VALUE!</v>
      </c>
      <c r="AB71" s="294"/>
      <c r="AC71" s="404" t="e">
        <f>IFERROR(AC70-AC$33,NA())</f>
        <v>#N/A</v>
      </c>
      <c r="AD71" s="406" t="e">
        <f>AD70-AD$33</f>
        <v>#VALUE!</v>
      </c>
      <c r="AE71" s="407" t="e">
        <f t="shared" ref="AE71:AF71" si="45">AE70-AE$33</f>
        <v>#VALUE!</v>
      </c>
      <c r="AF71" s="406" t="e">
        <f t="shared" si="45"/>
        <v>#VALUE!</v>
      </c>
      <c r="AG71" s="405" t="e">
        <f>AF71/AF$33</f>
        <v>#VALUE!</v>
      </c>
      <c r="AH71" s="405"/>
      <c r="AI71" s="408" t="e">
        <f>IFERROR(AE71/$AE$33,NA())</f>
        <v>#N/A</v>
      </c>
      <c r="AJ71" s="289"/>
      <c r="AK71" s="749"/>
      <c r="AL71" s="750" t="e">
        <f>$AE70*U70-$AE$33*U$33</f>
        <v>#VALUE!</v>
      </c>
      <c r="AM71" s="750" t="e">
        <f>$AE70*V70-$AE$33*V$33</f>
        <v>#VALUE!</v>
      </c>
      <c r="AN71" s="750" t="e">
        <f>$AE70*W70-$AE$33*W$33</f>
        <v>#VALUE!</v>
      </c>
      <c r="AO71" s="235"/>
      <c r="AP71" s="567"/>
      <c r="AR71" s="235"/>
      <c r="AS71" s="235"/>
      <c r="AT71" s="586"/>
      <c r="AU71" s="585"/>
      <c r="AV71" s="586"/>
      <c r="AW71" s="586"/>
      <c r="AX71" s="586"/>
      <c r="AY71" s="235"/>
      <c r="BA71" s="303"/>
      <c r="BC71" s="125"/>
      <c r="BD71" s="125"/>
      <c r="BE71" s="125"/>
      <c r="BF71" s="125"/>
      <c r="BG71" s="125"/>
      <c r="BH71" s="125"/>
      <c r="BI71" s="125"/>
      <c r="BJ71" s="125"/>
      <c r="BK71" s="125"/>
      <c r="BL71" s="125"/>
    </row>
    <row r="72" spans="1:64" ht="18" customHeight="1">
      <c r="A72" s="285"/>
      <c r="B72" s="286"/>
      <c r="C72" s="241"/>
      <c r="D72" s="285"/>
      <c r="F72" s="409"/>
      <c r="G72" s="291"/>
      <c r="H72" s="291"/>
      <c r="I72" s="291"/>
      <c r="J72" s="291"/>
      <c r="K72" s="291"/>
      <c r="L72" s="291"/>
      <c r="M72" s="291"/>
      <c r="N72" s="291"/>
      <c r="O72" s="291"/>
      <c r="P72" s="290"/>
      <c r="Q72" s="291"/>
      <c r="R72" s="291"/>
      <c r="S72" s="291"/>
      <c r="T72" s="290"/>
      <c r="U72" s="291"/>
      <c r="V72" s="291"/>
      <c r="W72" s="291"/>
      <c r="X72" s="290"/>
      <c r="Y72" s="291"/>
      <c r="Z72" s="291"/>
      <c r="AA72" s="291"/>
      <c r="AB72" s="294"/>
      <c r="AC72" s="291"/>
      <c r="AD72" s="292"/>
      <c r="AE72" s="291"/>
      <c r="AF72" s="291"/>
      <c r="AG72" s="291"/>
      <c r="AH72" s="291"/>
      <c r="AI72" s="291"/>
      <c r="AJ72" s="1122"/>
      <c r="AK72" s="1122"/>
      <c r="AL72" s="698"/>
      <c r="AM72" s="698"/>
      <c r="AN72" s="698"/>
      <c r="AO72" s="235"/>
      <c r="AR72" s="235"/>
      <c r="BA72" s="303"/>
      <c r="BC72" s="303"/>
      <c r="BD72" s="303"/>
      <c r="BE72" s="303"/>
      <c r="BF72" s="303"/>
      <c r="BG72" s="303"/>
      <c r="BH72" s="303"/>
      <c r="BI72" s="303"/>
      <c r="BJ72" s="303"/>
      <c r="BK72" s="303"/>
      <c r="BL72" s="303"/>
    </row>
    <row r="73" spans="1:64">
      <c r="AL73" s="700"/>
      <c r="AM73" s="700"/>
      <c r="AN73" s="700"/>
    </row>
  </sheetData>
  <mergeCells count="18">
    <mergeCell ref="Y27:AA27"/>
    <mergeCell ref="D13:AI13"/>
    <mergeCell ref="AN13:AR13"/>
    <mergeCell ref="AN14:AR14"/>
    <mergeCell ref="AN15:AR15"/>
    <mergeCell ref="AN16:AR16"/>
    <mergeCell ref="AN17:AR17"/>
    <mergeCell ref="AC27:AI27"/>
    <mergeCell ref="A27:A28"/>
    <mergeCell ref="C27:C28"/>
    <mergeCell ref="F27:O27"/>
    <mergeCell ref="Q27:S27"/>
    <mergeCell ref="U27:W27"/>
    <mergeCell ref="AJ72:AK72"/>
    <mergeCell ref="AN18:AR18"/>
    <mergeCell ref="AN19:AR19"/>
    <mergeCell ref="AN20:AR20"/>
    <mergeCell ref="AN21:AR21"/>
  </mergeCells>
  <conditionalFormatting sqref="F33 U33:W33 M33 O33 Q33:S33">
    <cfRule type="expression" dxfId="254" priority="233">
      <formula>IF(F$29="NO",TRUE,FALSE)</formula>
    </cfRule>
  </conditionalFormatting>
  <conditionalFormatting sqref="G33">
    <cfRule type="expression" dxfId="253" priority="232">
      <formula>IF($G$29="NO",TRUE,FALSE)</formula>
    </cfRule>
  </conditionalFormatting>
  <conditionalFormatting sqref="H33">
    <cfRule type="expression" dxfId="252" priority="231">
      <formula>IF($H$29="NO",TRUE,FALSE)</formula>
    </cfRule>
  </conditionalFormatting>
  <conditionalFormatting sqref="G33:I33">
    <cfRule type="expression" dxfId="251" priority="230">
      <formula>IF(G$29="NO",TRUE,FALSE)</formula>
    </cfRule>
  </conditionalFormatting>
  <conditionalFormatting sqref="Y33:AA33">
    <cfRule type="expression" dxfId="250" priority="229">
      <formula>IF(Y$29="NO",TRUE,FALSE)</formula>
    </cfRule>
  </conditionalFormatting>
  <conditionalFormatting sqref="AC33">
    <cfRule type="expression" dxfId="249" priority="228">
      <formula>IF(AC$29="NO",TRUE,FALSE)</formula>
    </cfRule>
  </conditionalFormatting>
  <conditionalFormatting sqref="AD33">
    <cfRule type="expression" dxfId="248" priority="227">
      <formula>IF(AD$29="NO",TRUE,FALSE)</formula>
    </cfRule>
  </conditionalFormatting>
  <conditionalFormatting sqref="AE33">
    <cfRule type="expression" dxfId="247" priority="226">
      <formula>IF(AE$29="NO",TRUE,FALSE)</formula>
    </cfRule>
  </conditionalFormatting>
  <conditionalFormatting sqref="U36:W36">
    <cfRule type="expression" dxfId="246" priority="225">
      <formula>IF(XDI$29="NO",TRUE,FALSE)</formula>
    </cfRule>
  </conditionalFormatting>
  <conditionalFormatting sqref="AC48:AE48 AC52:AF52 AC56:AF56 AC60:AF60 AC64:AF64 AC36:AF36 AC40:AF40 AC44:AF44">
    <cfRule type="expression" dxfId="245" priority="224">
      <formula>IF(XDR$29="NO",TRUE,FALSE)</formula>
    </cfRule>
  </conditionalFormatting>
  <conditionalFormatting sqref="Q36:S36">
    <cfRule type="expression" dxfId="244" priority="223">
      <formula>IF(XDD$29="NO",TRUE,FALSE)</formula>
    </cfRule>
  </conditionalFormatting>
  <conditionalFormatting sqref="Y46:AA46">
    <cfRule type="expression" dxfId="243" priority="222">
      <formula>IF(XDN$29="NO",TRUE,FALSE)</formula>
    </cfRule>
  </conditionalFormatting>
  <conditionalFormatting sqref="AC46">
    <cfRule type="expression" dxfId="242" priority="221">
      <formula>IF(XDR$29="NO",TRUE,FALSE)</formula>
    </cfRule>
  </conditionalFormatting>
  <conditionalFormatting sqref="AD46">
    <cfRule type="expression" dxfId="241" priority="220">
      <formula>IF(XDS$29="NO",TRUE,FALSE)</formula>
    </cfRule>
  </conditionalFormatting>
  <conditionalFormatting sqref="AE46">
    <cfRule type="expression" dxfId="240" priority="219">
      <formula>IF(XDT$29="NO",TRUE,FALSE)</formula>
    </cfRule>
  </conditionalFormatting>
  <conditionalFormatting sqref="Y46:AA46">
    <cfRule type="expression" dxfId="239" priority="218">
      <formula>IF(XDN$29="NO",TRUE,FALSE)</formula>
    </cfRule>
  </conditionalFormatting>
  <conditionalFormatting sqref="AC46">
    <cfRule type="expression" dxfId="238" priority="217">
      <formula>IF(XDR$29="NO",TRUE,FALSE)</formula>
    </cfRule>
  </conditionalFormatting>
  <conditionalFormatting sqref="AD46">
    <cfRule type="expression" dxfId="237" priority="216">
      <formula>IF(XDS$29="NO",TRUE,FALSE)</formula>
    </cfRule>
  </conditionalFormatting>
  <conditionalFormatting sqref="AE46">
    <cfRule type="expression" dxfId="236" priority="215">
      <formula>IF(XDT$29="NO",TRUE,FALSE)</formula>
    </cfRule>
  </conditionalFormatting>
  <conditionalFormatting sqref="AE54">
    <cfRule type="expression" dxfId="235" priority="201">
      <formula>IF(XDT$29="NO",TRUE,FALSE)</formula>
    </cfRule>
  </conditionalFormatting>
  <conditionalFormatting sqref="Y48:AA48">
    <cfRule type="expression" dxfId="234" priority="214">
      <formula>IF(XDN$29="NO",TRUE,FALSE)</formula>
    </cfRule>
  </conditionalFormatting>
  <conditionalFormatting sqref="Y50:AA50">
    <cfRule type="expression" dxfId="233" priority="213">
      <formula>IF(XDN$29="NO",TRUE,FALSE)</formula>
    </cfRule>
  </conditionalFormatting>
  <conditionalFormatting sqref="AC50">
    <cfRule type="expression" dxfId="232" priority="212">
      <formula>IF(XDR$29="NO",TRUE,FALSE)</formula>
    </cfRule>
  </conditionalFormatting>
  <conditionalFormatting sqref="AD50">
    <cfRule type="expression" dxfId="231" priority="211">
      <formula>IF(XDS$29="NO",TRUE,FALSE)</formula>
    </cfRule>
  </conditionalFormatting>
  <conditionalFormatting sqref="AE50">
    <cfRule type="expression" dxfId="230" priority="210">
      <formula>IF(XDT$29="NO",TRUE,FALSE)</formula>
    </cfRule>
  </conditionalFormatting>
  <conditionalFormatting sqref="Y50:AA50">
    <cfRule type="expression" dxfId="229" priority="209">
      <formula>IF(XDN$29="NO",TRUE,FALSE)</formula>
    </cfRule>
  </conditionalFormatting>
  <conditionalFormatting sqref="AC50">
    <cfRule type="expression" dxfId="228" priority="208">
      <formula>IF(XDR$29="NO",TRUE,FALSE)</formula>
    </cfRule>
  </conditionalFormatting>
  <conditionalFormatting sqref="AD50">
    <cfRule type="expression" dxfId="227" priority="207">
      <formula>IF(XDS$29="NO",TRUE,FALSE)</formula>
    </cfRule>
  </conditionalFormatting>
  <conditionalFormatting sqref="AE50">
    <cfRule type="expression" dxfId="226" priority="206">
      <formula>IF(XDT$29="NO",TRUE,FALSE)</formula>
    </cfRule>
  </conditionalFormatting>
  <conditionalFormatting sqref="AE58">
    <cfRule type="expression" dxfId="225" priority="192">
      <formula>IF(XDT$29="NO",TRUE,FALSE)</formula>
    </cfRule>
  </conditionalFormatting>
  <conditionalFormatting sqref="Y52:AA52">
    <cfRule type="expression" dxfId="224" priority="205">
      <formula>IF(XDN$29="NO",TRUE,FALSE)</formula>
    </cfRule>
  </conditionalFormatting>
  <conditionalFormatting sqref="Y54:AA54">
    <cfRule type="expression" dxfId="223" priority="204">
      <formula>IF(XDN$29="NO",TRUE,FALSE)</formula>
    </cfRule>
  </conditionalFormatting>
  <conditionalFormatting sqref="AC54">
    <cfRule type="expression" dxfId="222" priority="203">
      <formula>IF(XDR$29="NO",TRUE,FALSE)</formula>
    </cfRule>
  </conditionalFormatting>
  <conditionalFormatting sqref="AD54">
    <cfRule type="expression" dxfId="221" priority="202">
      <formula>IF(XDS$29="NO",TRUE,FALSE)</formula>
    </cfRule>
  </conditionalFormatting>
  <conditionalFormatting sqref="Y54:AA54">
    <cfRule type="expression" dxfId="220" priority="200">
      <formula>IF(XDN$29="NO",TRUE,FALSE)</formula>
    </cfRule>
  </conditionalFormatting>
  <conditionalFormatting sqref="AC54">
    <cfRule type="expression" dxfId="219" priority="199">
      <formula>IF(XDR$29="NO",TRUE,FALSE)</formula>
    </cfRule>
  </conditionalFormatting>
  <conditionalFormatting sqref="AD54">
    <cfRule type="expression" dxfId="218" priority="198">
      <formula>IF(XDS$29="NO",TRUE,FALSE)</formula>
    </cfRule>
  </conditionalFormatting>
  <conditionalFormatting sqref="AE54">
    <cfRule type="expression" dxfId="217" priority="197">
      <formula>IF(XDT$29="NO",TRUE,FALSE)</formula>
    </cfRule>
  </conditionalFormatting>
  <conditionalFormatting sqref="AE62">
    <cfRule type="expression" dxfId="216" priority="183">
      <formula>IF(XDT$29="NO",TRUE,FALSE)</formula>
    </cfRule>
  </conditionalFormatting>
  <conditionalFormatting sqref="Y56:AA56">
    <cfRule type="expression" dxfId="215" priority="196">
      <formula>IF(XDN$29="NO",TRUE,FALSE)</formula>
    </cfRule>
  </conditionalFormatting>
  <conditionalFormatting sqref="Y58:AA58">
    <cfRule type="expression" dxfId="214" priority="195">
      <formula>IF(XDN$29="NO",TRUE,FALSE)</formula>
    </cfRule>
  </conditionalFormatting>
  <conditionalFormatting sqref="AC58">
    <cfRule type="expression" dxfId="213" priority="194">
      <formula>IF(XDR$29="NO",TRUE,FALSE)</formula>
    </cfRule>
  </conditionalFormatting>
  <conditionalFormatting sqref="AD58">
    <cfRule type="expression" dxfId="212" priority="193">
      <formula>IF(XDS$29="NO",TRUE,FALSE)</formula>
    </cfRule>
  </conditionalFormatting>
  <conditionalFormatting sqref="Y58:AA58">
    <cfRule type="expression" dxfId="211" priority="191">
      <formula>IF(XDN$29="NO",TRUE,FALSE)</formula>
    </cfRule>
  </conditionalFormatting>
  <conditionalFormatting sqref="AC58">
    <cfRule type="expression" dxfId="210" priority="190">
      <formula>IF(XDR$29="NO",TRUE,FALSE)</formula>
    </cfRule>
  </conditionalFormatting>
  <conditionalFormatting sqref="AD58">
    <cfRule type="expression" dxfId="209" priority="189">
      <formula>IF(XDS$29="NO",TRUE,FALSE)</formula>
    </cfRule>
  </conditionalFormatting>
  <conditionalFormatting sqref="AE58">
    <cfRule type="expression" dxfId="208" priority="188">
      <formula>IF(XDT$29="NO",TRUE,FALSE)</formula>
    </cfRule>
  </conditionalFormatting>
  <conditionalFormatting sqref="Y60:AA60">
    <cfRule type="expression" dxfId="207" priority="187">
      <formula>IF(XDN$29="NO",TRUE,FALSE)</formula>
    </cfRule>
  </conditionalFormatting>
  <conditionalFormatting sqref="Y62:AA62">
    <cfRule type="expression" dxfId="206" priority="186">
      <formula>IF(XDN$29="NO",TRUE,FALSE)</formula>
    </cfRule>
  </conditionalFormatting>
  <conditionalFormatting sqref="AC62">
    <cfRule type="expression" dxfId="205" priority="185">
      <formula>IF(XDR$29="NO",TRUE,FALSE)</formula>
    </cfRule>
  </conditionalFormatting>
  <conditionalFormatting sqref="AD62">
    <cfRule type="expression" dxfId="204" priority="184">
      <formula>IF(XDS$29="NO",TRUE,FALSE)</formula>
    </cfRule>
  </conditionalFormatting>
  <conditionalFormatting sqref="Y62:AA62">
    <cfRule type="expression" dxfId="203" priority="182">
      <formula>IF(XDN$29="NO",TRUE,FALSE)</formula>
    </cfRule>
  </conditionalFormatting>
  <conditionalFormatting sqref="AC62">
    <cfRule type="expression" dxfId="202" priority="181">
      <formula>IF(XDR$29="NO",TRUE,FALSE)</formula>
    </cfRule>
  </conditionalFormatting>
  <conditionalFormatting sqref="AD62">
    <cfRule type="expression" dxfId="201" priority="180">
      <formula>IF(XDS$29="NO",TRUE,FALSE)</formula>
    </cfRule>
  </conditionalFormatting>
  <conditionalFormatting sqref="AE62">
    <cfRule type="expression" dxfId="200" priority="179">
      <formula>IF(XDT$29="NO",TRUE,FALSE)</formula>
    </cfRule>
  </conditionalFormatting>
  <conditionalFormatting sqref="Y64:AA64">
    <cfRule type="expression" dxfId="199" priority="178">
      <formula>IF(XDN$29="NO",TRUE,FALSE)</formula>
    </cfRule>
  </conditionalFormatting>
  <conditionalFormatting sqref="Q34:S34">
    <cfRule type="expression" dxfId="198" priority="177">
      <formula>IF(XDD$29="NO",TRUE,FALSE)</formula>
    </cfRule>
  </conditionalFormatting>
  <conditionalFormatting sqref="U34:W34">
    <cfRule type="expression" dxfId="197" priority="176">
      <formula>IF(XDI$29="NO",TRUE,FALSE)</formula>
    </cfRule>
  </conditionalFormatting>
  <conditionalFormatting sqref="Y34:AA34">
    <cfRule type="expression" dxfId="196" priority="175">
      <formula>IF(XDN$29="NO",TRUE,FALSE)</formula>
    </cfRule>
  </conditionalFormatting>
  <conditionalFormatting sqref="AC34">
    <cfRule type="expression" dxfId="195" priority="174">
      <formula>IF(XDR$29="NO",TRUE,FALSE)</formula>
    </cfRule>
  </conditionalFormatting>
  <conditionalFormatting sqref="AD34">
    <cfRule type="expression" dxfId="194" priority="173">
      <formula>IF(XDS$29="NO",TRUE,FALSE)</formula>
    </cfRule>
  </conditionalFormatting>
  <conditionalFormatting sqref="AE34">
    <cfRule type="expression" dxfId="193" priority="172">
      <formula>IF(XDT$29="NO",TRUE,FALSE)</formula>
    </cfRule>
  </conditionalFormatting>
  <conditionalFormatting sqref="Y38:AA38">
    <cfRule type="expression" dxfId="192" priority="160">
      <formula>IF(XDN$29="NO",TRUE,FALSE)</formula>
    </cfRule>
  </conditionalFormatting>
  <conditionalFormatting sqref="Q34:S34">
    <cfRule type="expression" dxfId="191" priority="171">
      <formula>IF(XDD$29="NO",TRUE,FALSE)</formula>
    </cfRule>
  </conditionalFormatting>
  <conditionalFormatting sqref="U34:W34">
    <cfRule type="expression" dxfId="190" priority="170">
      <formula>IF(XDI$29="NO",TRUE,FALSE)</formula>
    </cfRule>
  </conditionalFormatting>
  <conditionalFormatting sqref="Y34:AA34">
    <cfRule type="expression" dxfId="189" priority="169">
      <formula>IF(XDN$29="NO",TRUE,FALSE)</formula>
    </cfRule>
  </conditionalFormatting>
  <conditionalFormatting sqref="AC34">
    <cfRule type="expression" dxfId="188" priority="168">
      <formula>IF(XDR$29="NO",TRUE,FALSE)</formula>
    </cfRule>
  </conditionalFormatting>
  <conditionalFormatting sqref="AD34">
    <cfRule type="expression" dxfId="187" priority="167">
      <formula>IF(XDS$29="NO",TRUE,FALSE)</formula>
    </cfRule>
  </conditionalFormatting>
  <conditionalFormatting sqref="AE34">
    <cfRule type="expression" dxfId="186" priority="166">
      <formula>IF(XDT$29="NO",TRUE,FALSE)</formula>
    </cfRule>
  </conditionalFormatting>
  <conditionalFormatting sqref="AC42">
    <cfRule type="expression" dxfId="185" priority="154">
      <formula>IF(XDR$29="NO",TRUE,FALSE)</formula>
    </cfRule>
  </conditionalFormatting>
  <conditionalFormatting sqref="Y36:AA36">
    <cfRule type="expression" dxfId="184" priority="165">
      <formula>IF(XDN$29="NO",TRUE,FALSE)</formula>
    </cfRule>
  </conditionalFormatting>
  <conditionalFormatting sqref="Y38:AA38">
    <cfRule type="expression" dxfId="183" priority="164">
      <formula>IF(XDN$29="NO",TRUE,FALSE)</formula>
    </cfRule>
  </conditionalFormatting>
  <conditionalFormatting sqref="AC38">
    <cfRule type="expression" dxfId="182" priority="163">
      <formula>IF(XDR$29="NO",TRUE,FALSE)</formula>
    </cfRule>
  </conditionalFormatting>
  <conditionalFormatting sqref="AD38">
    <cfRule type="expression" dxfId="181" priority="162">
      <formula>IF(XDS$29="NO",TRUE,FALSE)</formula>
    </cfRule>
  </conditionalFormatting>
  <conditionalFormatting sqref="AE38">
    <cfRule type="expression" dxfId="180" priority="161">
      <formula>IF(XDT$29="NO",TRUE,FALSE)</formula>
    </cfRule>
  </conditionalFormatting>
  <conditionalFormatting sqref="Q46:S46">
    <cfRule type="expression" dxfId="179" priority="139">
      <formula>IF(XDD$29="NO",TRUE,FALSE)</formula>
    </cfRule>
  </conditionalFormatting>
  <conditionalFormatting sqref="AC38">
    <cfRule type="expression" dxfId="178" priority="159">
      <formula>IF(XDR$29="NO",TRUE,FALSE)</formula>
    </cfRule>
  </conditionalFormatting>
  <conditionalFormatting sqref="AD38">
    <cfRule type="expression" dxfId="177" priority="158">
      <formula>IF(XDS$29="NO",TRUE,FALSE)</formula>
    </cfRule>
  </conditionalFormatting>
  <conditionalFormatting sqref="AE38">
    <cfRule type="expression" dxfId="176" priority="157">
      <formula>IF(XDT$29="NO",TRUE,FALSE)</formula>
    </cfRule>
  </conditionalFormatting>
  <conditionalFormatting sqref="Y40:AA40">
    <cfRule type="expression" dxfId="175" priority="156">
      <formula>IF(XDN$29="NO",TRUE,FALSE)</formula>
    </cfRule>
  </conditionalFormatting>
  <conditionalFormatting sqref="Y42:AA42">
    <cfRule type="expression" dxfId="174" priority="155">
      <formula>IF(XDN$29="NO",TRUE,FALSE)</formula>
    </cfRule>
  </conditionalFormatting>
  <conditionalFormatting sqref="AD42">
    <cfRule type="expression" dxfId="173" priority="153">
      <formula>IF(XDS$29="NO",TRUE,FALSE)</formula>
    </cfRule>
  </conditionalFormatting>
  <conditionalFormatting sqref="AE42">
    <cfRule type="expression" dxfId="172" priority="152">
      <formula>IF(XDT$29="NO",TRUE,FALSE)</formula>
    </cfRule>
  </conditionalFormatting>
  <conditionalFormatting sqref="Y42:AA42">
    <cfRule type="expression" dxfId="171" priority="151">
      <formula>IF(XDN$29="NO",TRUE,FALSE)</formula>
    </cfRule>
  </conditionalFormatting>
  <conditionalFormatting sqref="AC42">
    <cfRule type="expression" dxfId="170" priority="150">
      <formula>IF(XDR$29="NO",TRUE,FALSE)</formula>
    </cfRule>
  </conditionalFormatting>
  <conditionalFormatting sqref="AD42">
    <cfRule type="expression" dxfId="169" priority="149">
      <formula>IF(XDS$29="NO",TRUE,FALSE)</formula>
    </cfRule>
  </conditionalFormatting>
  <conditionalFormatting sqref="AE42">
    <cfRule type="expression" dxfId="168" priority="148">
      <formula>IF(XDT$29="NO",TRUE,FALSE)</formula>
    </cfRule>
  </conditionalFormatting>
  <conditionalFormatting sqref="Y44:AA44">
    <cfRule type="expression" dxfId="167" priority="147">
      <formula>IF(XDN$29="NO",TRUE,FALSE)</formula>
    </cfRule>
  </conditionalFormatting>
  <conditionalFormatting sqref="J33">
    <cfRule type="expression" dxfId="166" priority="146">
      <formula>IF(J$29="NO",TRUE,FALSE)</formula>
    </cfRule>
  </conditionalFormatting>
  <conditionalFormatting sqref="K33">
    <cfRule type="expression" dxfId="165" priority="145">
      <formula>IF(K$29="NO",TRUE,FALSE)</formula>
    </cfRule>
  </conditionalFormatting>
  <conditionalFormatting sqref="L33">
    <cfRule type="expression" dxfId="164" priority="144">
      <formula>IF(L$29="NO",TRUE,FALSE)</formula>
    </cfRule>
  </conditionalFormatting>
  <conditionalFormatting sqref="N33">
    <cfRule type="expression" dxfId="163" priority="143">
      <formula>IF(N$29="NO",TRUE,FALSE)</formula>
    </cfRule>
  </conditionalFormatting>
  <conditionalFormatting sqref="AC68:AE68">
    <cfRule type="expression" dxfId="162" priority="142">
      <formula>IF(XDR$29="NO",TRUE,FALSE)</formula>
    </cfRule>
  </conditionalFormatting>
  <conditionalFormatting sqref="Y68:AA68">
    <cfRule type="expression" dxfId="161" priority="141">
      <formula>IF(XDN$29="NO",TRUE,FALSE)</formula>
    </cfRule>
  </conditionalFormatting>
  <conditionalFormatting sqref="Q48:S48">
    <cfRule type="expression" dxfId="160" priority="140">
      <formula>IF(XDD$29="NO",TRUE,FALSE)</formula>
    </cfRule>
  </conditionalFormatting>
  <conditionalFormatting sqref="Q46:S46">
    <cfRule type="expression" dxfId="159" priority="138">
      <formula>IF(XDD$29="NO",TRUE,FALSE)</formula>
    </cfRule>
  </conditionalFormatting>
  <conditionalFormatting sqref="Q52:S52">
    <cfRule type="expression" dxfId="158" priority="137">
      <formula>IF(XDD$29="NO",TRUE,FALSE)</formula>
    </cfRule>
  </conditionalFormatting>
  <conditionalFormatting sqref="Q50:S50">
    <cfRule type="expression" dxfId="157" priority="136">
      <formula>IF(XDD$29="NO",TRUE,FALSE)</formula>
    </cfRule>
  </conditionalFormatting>
  <conditionalFormatting sqref="Q50:S50">
    <cfRule type="expression" dxfId="156" priority="135">
      <formula>IF(XDD$29="NO",TRUE,FALSE)</formula>
    </cfRule>
  </conditionalFormatting>
  <conditionalFormatting sqref="Q64:S64">
    <cfRule type="expression" dxfId="155" priority="134">
      <formula>IF(XDD$29="NO",TRUE,FALSE)</formula>
    </cfRule>
  </conditionalFormatting>
  <conditionalFormatting sqref="Q68:S68">
    <cfRule type="expression" dxfId="154" priority="133">
      <formula>IF(XDD$29="NO",TRUE,FALSE)</formula>
    </cfRule>
  </conditionalFormatting>
  <conditionalFormatting sqref="U40:W40">
    <cfRule type="expression" dxfId="153" priority="132">
      <formula>IF(XDI$29="NO",TRUE,FALSE)</formula>
    </cfRule>
  </conditionalFormatting>
  <conditionalFormatting sqref="U38:W38">
    <cfRule type="expression" dxfId="152" priority="131">
      <formula>IF(XDI$29="NO",TRUE,FALSE)</formula>
    </cfRule>
  </conditionalFormatting>
  <conditionalFormatting sqref="U38:W38">
    <cfRule type="expression" dxfId="151" priority="130">
      <formula>IF(XDI$29="NO",TRUE,FALSE)</formula>
    </cfRule>
  </conditionalFormatting>
  <conditionalFormatting sqref="U44:W44">
    <cfRule type="expression" dxfId="150" priority="129">
      <formula>IF(XDI$29="NO",TRUE,FALSE)</formula>
    </cfRule>
  </conditionalFormatting>
  <conditionalFormatting sqref="U42:W42">
    <cfRule type="expression" dxfId="149" priority="128">
      <formula>IF(XDI$29="NO",TRUE,FALSE)</formula>
    </cfRule>
  </conditionalFormatting>
  <conditionalFormatting sqref="U42:W42">
    <cfRule type="expression" dxfId="148" priority="127">
      <formula>IF(XDI$29="NO",TRUE,FALSE)</formula>
    </cfRule>
  </conditionalFormatting>
  <conditionalFormatting sqref="U48:W48">
    <cfRule type="expression" dxfId="147" priority="126">
      <formula>IF(XDI$29="NO",TRUE,FALSE)</formula>
    </cfRule>
  </conditionalFormatting>
  <conditionalFormatting sqref="U46:W46">
    <cfRule type="expression" dxfId="146" priority="125">
      <formula>IF(XDI$29="NO",TRUE,FALSE)</formula>
    </cfRule>
  </conditionalFormatting>
  <conditionalFormatting sqref="U46:W46">
    <cfRule type="expression" dxfId="145" priority="124">
      <formula>IF(XDI$29="NO",TRUE,FALSE)</formula>
    </cfRule>
  </conditionalFormatting>
  <conditionalFormatting sqref="U52:W52">
    <cfRule type="expression" dxfId="144" priority="123">
      <formula>IF(XDI$29="NO",TRUE,FALSE)</formula>
    </cfRule>
  </conditionalFormatting>
  <conditionalFormatting sqref="U50:W50">
    <cfRule type="expression" dxfId="143" priority="122">
      <formula>IF(XDI$29="NO",TRUE,FALSE)</formula>
    </cfRule>
  </conditionalFormatting>
  <conditionalFormatting sqref="U50:W50">
    <cfRule type="expression" dxfId="142" priority="121">
      <formula>IF(XDI$29="NO",TRUE,FALSE)</formula>
    </cfRule>
  </conditionalFormatting>
  <conditionalFormatting sqref="U56:W56">
    <cfRule type="expression" dxfId="141" priority="120">
      <formula>IF(XDI$29="NO",TRUE,FALSE)</formula>
    </cfRule>
  </conditionalFormatting>
  <conditionalFormatting sqref="U54:W54">
    <cfRule type="expression" dxfId="140" priority="119">
      <formula>IF(XDI$29="NO",TRUE,FALSE)</formula>
    </cfRule>
  </conditionalFormatting>
  <conditionalFormatting sqref="U54:W54">
    <cfRule type="expression" dxfId="139" priority="118">
      <formula>IF(XDI$29="NO",TRUE,FALSE)</formula>
    </cfRule>
  </conditionalFormatting>
  <conditionalFormatting sqref="U60:W60">
    <cfRule type="expression" dxfId="138" priority="117">
      <formula>IF(XDI$29="NO",TRUE,FALSE)</formula>
    </cfRule>
  </conditionalFormatting>
  <conditionalFormatting sqref="U58:W58">
    <cfRule type="expression" dxfId="137" priority="116">
      <formula>IF(XDI$29="NO",TRUE,FALSE)</formula>
    </cfRule>
  </conditionalFormatting>
  <conditionalFormatting sqref="U58:W58">
    <cfRule type="expression" dxfId="136" priority="115">
      <formula>IF(XDI$29="NO",TRUE,FALSE)</formula>
    </cfRule>
  </conditionalFormatting>
  <conditionalFormatting sqref="U64:W64">
    <cfRule type="expression" dxfId="135" priority="114">
      <formula>IF(XDI$29="NO",TRUE,FALSE)</formula>
    </cfRule>
  </conditionalFormatting>
  <conditionalFormatting sqref="U62:W62">
    <cfRule type="expression" dxfId="134" priority="113">
      <formula>IF(XDI$29="NO",TRUE,FALSE)</formula>
    </cfRule>
  </conditionalFormatting>
  <conditionalFormatting sqref="U62:W62">
    <cfRule type="expression" dxfId="133" priority="112">
      <formula>IF(XDI$29="NO",TRUE,FALSE)</formula>
    </cfRule>
  </conditionalFormatting>
  <conditionalFormatting sqref="U68:W68">
    <cfRule type="expression" dxfId="132" priority="111">
      <formula>IF(XDI$29="NO",TRUE,FALSE)</formula>
    </cfRule>
  </conditionalFormatting>
  <conditionalFormatting sqref="AF33">
    <cfRule type="expression" dxfId="131" priority="110">
      <formula>IF(AF$29="NO",TRUE,FALSE)</formula>
    </cfRule>
  </conditionalFormatting>
  <conditionalFormatting sqref="AF48">
    <cfRule type="expression" dxfId="130" priority="109">
      <formula>IF(XDU$29="NO",TRUE,FALSE)</formula>
    </cfRule>
  </conditionalFormatting>
  <conditionalFormatting sqref="AF46">
    <cfRule type="expression" dxfId="129" priority="108">
      <formula>IF(XDU$29="NO",TRUE,FALSE)</formula>
    </cfRule>
  </conditionalFormatting>
  <conditionalFormatting sqref="AF46">
    <cfRule type="expression" dxfId="128" priority="107">
      <formula>IF(XDU$29="NO",TRUE,FALSE)</formula>
    </cfRule>
  </conditionalFormatting>
  <conditionalFormatting sqref="AF50">
    <cfRule type="expression" dxfId="127" priority="106">
      <formula>IF(XDU$29="NO",TRUE,FALSE)</formula>
    </cfRule>
  </conditionalFormatting>
  <conditionalFormatting sqref="AF50">
    <cfRule type="expression" dxfId="126" priority="105">
      <formula>IF(XDU$29="NO",TRUE,FALSE)</formula>
    </cfRule>
  </conditionalFormatting>
  <conditionalFormatting sqref="AF54">
    <cfRule type="expression" dxfId="125" priority="104">
      <formula>IF(XDU$29="NO",TRUE,FALSE)</formula>
    </cfRule>
  </conditionalFormatting>
  <conditionalFormatting sqref="AF54">
    <cfRule type="expression" dxfId="124" priority="103">
      <formula>IF(XDU$29="NO",TRUE,FALSE)</formula>
    </cfRule>
  </conditionalFormatting>
  <conditionalFormatting sqref="AF58">
    <cfRule type="expression" dxfId="123" priority="102">
      <formula>IF(XDU$29="NO",TRUE,FALSE)</formula>
    </cfRule>
  </conditionalFormatting>
  <conditionalFormatting sqref="AF58">
    <cfRule type="expression" dxfId="122" priority="101">
      <formula>IF(XDU$29="NO",TRUE,FALSE)</formula>
    </cfRule>
  </conditionalFormatting>
  <conditionalFormatting sqref="AF62">
    <cfRule type="expression" dxfId="121" priority="100">
      <formula>IF(XDU$29="NO",TRUE,FALSE)</formula>
    </cfRule>
  </conditionalFormatting>
  <conditionalFormatting sqref="AF62">
    <cfRule type="expression" dxfId="120" priority="99">
      <formula>IF(XDU$29="NO",TRUE,FALSE)</formula>
    </cfRule>
  </conditionalFormatting>
  <conditionalFormatting sqref="AF34">
    <cfRule type="expression" dxfId="119" priority="98">
      <formula>IF(XDU$29="NO",TRUE,FALSE)</formula>
    </cfRule>
  </conditionalFormatting>
  <conditionalFormatting sqref="AF34">
    <cfRule type="expression" dxfId="118" priority="97">
      <formula>IF(XDU$29="NO",TRUE,FALSE)</formula>
    </cfRule>
  </conditionalFormatting>
  <conditionalFormatting sqref="AF38">
    <cfRule type="expression" dxfId="117" priority="96">
      <formula>IF(XDU$29="NO",TRUE,FALSE)</formula>
    </cfRule>
  </conditionalFormatting>
  <conditionalFormatting sqref="AF38">
    <cfRule type="expression" dxfId="116" priority="95">
      <formula>IF(XDU$29="NO",TRUE,FALSE)</formula>
    </cfRule>
  </conditionalFormatting>
  <conditionalFormatting sqref="AF42">
    <cfRule type="expression" dxfId="115" priority="94">
      <formula>IF(XDU$29="NO",TRUE,FALSE)</formula>
    </cfRule>
  </conditionalFormatting>
  <conditionalFormatting sqref="AF42">
    <cfRule type="expression" dxfId="114" priority="93">
      <formula>IF(XDU$29="NO",TRUE,FALSE)</formula>
    </cfRule>
  </conditionalFormatting>
  <conditionalFormatting sqref="AF68">
    <cfRule type="expression" dxfId="113" priority="92">
      <formula>IF(XDU$29="NO",TRUE,FALSE)</formula>
    </cfRule>
  </conditionalFormatting>
  <conditionalFormatting sqref="AE66">
    <cfRule type="expression" dxfId="112" priority="88">
      <formula>IF(XDT$29="NO",TRUE,FALSE)</formula>
    </cfRule>
  </conditionalFormatting>
  <conditionalFormatting sqref="Y66:AA66">
    <cfRule type="expression" dxfId="111" priority="91">
      <formula>IF(XDN$29="NO",TRUE,FALSE)</formula>
    </cfRule>
  </conditionalFormatting>
  <conditionalFormatting sqref="AC66">
    <cfRule type="expression" dxfId="110" priority="90">
      <formula>IF(XDR$29="NO",TRUE,FALSE)</formula>
    </cfRule>
  </conditionalFormatting>
  <conditionalFormatting sqref="AD66">
    <cfRule type="expression" dxfId="109" priority="89">
      <formula>IF(XDS$29="NO",TRUE,FALSE)</formula>
    </cfRule>
  </conditionalFormatting>
  <conditionalFormatting sqref="Y66:AA66">
    <cfRule type="expression" dxfId="108" priority="87">
      <formula>IF(XDN$29="NO",TRUE,FALSE)</formula>
    </cfRule>
  </conditionalFormatting>
  <conditionalFormatting sqref="AC66">
    <cfRule type="expression" dxfId="107" priority="86">
      <formula>IF(XDR$29="NO",TRUE,FALSE)</formula>
    </cfRule>
  </conditionalFormatting>
  <conditionalFormatting sqref="AD66">
    <cfRule type="expression" dxfId="106" priority="85">
      <formula>IF(XDS$29="NO",TRUE,FALSE)</formula>
    </cfRule>
  </conditionalFormatting>
  <conditionalFormatting sqref="AE66">
    <cfRule type="expression" dxfId="105" priority="84">
      <formula>IF(XDT$29="NO",TRUE,FALSE)</formula>
    </cfRule>
  </conditionalFormatting>
  <conditionalFormatting sqref="Q66:S66">
    <cfRule type="expression" dxfId="104" priority="83">
      <formula>IF(XDD$29="NO",TRUE,FALSE)</formula>
    </cfRule>
  </conditionalFormatting>
  <conditionalFormatting sqref="Q66:S66">
    <cfRule type="expression" dxfId="103" priority="82">
      <formula>IF(XDD$29="NO",TRUE,FALSE)</formula>
    </cfRule>
  </conditionalFormatting>
  <conditionalFormatting sqref="U66:W66">
    <cfRule type="expression" dxfId="102" priority="81">
      <formula>IF(XDI$29="NO",TRUE,FALSE)</formula>
    </cfRule>
  </conditionalFormatting>
  <conditionalFormatting sqref="U66:W66">
    <cfRule type="expression" dxfId="101" priority="80">
      <formula>IF(XDI$29="NO",TRUE,FALSE)</formula>
    </cfRule>
  </conditionalFormatting>
  <conditionalFormatting sqref="AF66">
    <cfRule type="expression" dxfId="100" priority="79">
      <formula>IF(XDU$29="NO",TRUE,FALSE)</formula>
    </cfRule>
  </conditionalFormatting>
  <conditionalFormatting sqref="AF66">
    <cfRule type="expression" dxfId="99" priority="78">
      <formula>IF(XDU$29="NO",TRUE,FALSE)</formula>
    </cfRule>
  </conditionalFormatting>
  <conditionalFormatting sqref="AE70">
    <cfRule type="expression" dxfId="98" priority="74">
      <formula>IF(XDT$29="NO",TRUE,FALSE)</formula>
    </cfRule>
  </conditionalFormatting>
  <conditionalFormatting sqref="Y70:AA70">
    <cfRule type="expression" dxfId="97" priority="77">
      <formula>IF(XDN$29="NO",TRUE,FALSE)</formula>
    </cfRule>
  </conditionalFormatting>
  <conditionalFormatting sqref="AC70">
    <cfRule type="expression" dxfId="96" priority="76">
      <formula>IF(XDR$29="NO",TRUE,FALSE)</formula>
    </cfRule>
  </conditionalFormatting>
  <conditionalFormatting sqref="AD70">
    <cfRule type="expression" dxfId="95" priority="75">
      <formula>IF(XDS$29="NO",TRUE,FALSE)</formula>
    </cfRule>
  </conditionalFormatting>
  <conditionalFormatting sqref="Y70:AA70">
    <cfRule type="expression" dxfId="94" priority="73">
      <formula>IF(XDN$29="NO",TRUE,FALSE)</formula>
    </cfRule>
  </conditionalFormatting>
  <conditionalFormatting sqref="AC70">
    <cfRule type="expression" dxfId="93" priority="72">
      <formula>IF(XDR$29="NO",TRUE,FALSE)</formula>
    </cfRule>
  </conditionalFormatting>
  <conditionalFormatting sqref="AD70">
    <cfRule type="expression" dxfId="92" priority="71">
      <formula>IF(XDS$29="NO",TRUE,FALSE)</formula>
    </cfRule>
  </conditionalFormatting>
  <conditionalFormatting sqref="AE70">
    <cfRule type="expression" dxfId="91" priority="70">
      <formula>IF(XDT$29="NO",TRUE,FALSE)</formula>
    </cfRule>
  </conditionalFormatting>
  <conditionalFormatting sqref="Q70:S70">
    <cfRule type="expression" dxfId="90" priority="69">
      <formula>IF(XDD$29="NO",TRUE,FALSE)</formula>
    </cfRule>
  </conditionalFormatting>
  <conditionalFormatting sqref="Q70:S70">
    <cfRule type="expression" dxfId="89" priority="68">
      <formula>IF(XDD$29="NO",TRUE,FALSE)</formula>
    </cfRule>
  </conditionalFormatting>
  <conditionalFormatting sqref="U70:W70">
    <cfRule type="expression" dxfId="88" priority="67">
      <formula>IF(XDI$29="NO",TRUE,FALSE)</formula>
    </cfRule>
  </conditionalFormatting>
  <conditionalFormatting sqref="U70:W70">
    <cfRule type="expression" dxfId="87" priority="66">
      <formula>IF(XDI$29="NO",TRUE,FALSE)</formula>
    </cfRule>
  </conditionalFormatting>
  <conditionalFormatting sqref="AF70">
    <cfRule type="expression" dxfId="86" priority="65">
      <formula>IF(XDU$29="NO",TRUE,FALSE)</formula>
    </cfRule>
  </conditionalFormatting>
  <conditionalFormatting sqref="AF70">
    <cfRule type="expression" dxfId="85" priority="64">
      <formula>IF(XDU$29="NO",TRUE,FALSE)</formula>
    </cfRule>
  </conditionalFormatting>
  <conditionalFormatting sqref="AS13">
    <cfRule type="cellIs" dxfId="84" priority="62" operator="notEqual">
      <formula>"ok"</formula>
    </cfRule>
    <cfRule type="cellIs" dxfId="83" priority="63" operator="equal">
      <formula>"ok"</formula>
    </cfRule>
  </conditionalFormatting>
  <conditionalFormatting sqref="AT13">
    <cfRule type="cellIs" dxfId="82" priority="60" operator="notEqual">
      <formula>"ok"</formula>
    </cfRule>
    <cfRule type="cellIs" dxfId="81" priority="61" operator="equal">
      <formula>"ok"</formula>
    </cfRule>
  </conditionalFormatting>
  <conditionalFormatting sqref="AU13">
    <cfRule type="cellIs" dxfId="80" priority="58" operator="notEqual">
      <formula>"ok"</formula>
    </cfRule>
    <cfRule type="cellIs" dxfId="79" priority="59" operator="equal">
      <formula>"ok"</formula>
    </cfRule>
  </conditionalFormatting>
  <conditionalFormatting sqref="AV16">
    <cfRule type="cellIs" dxfId="78" priority="56" operator="notEqual">
      <formula>"ok"</formula>
    </cfRule>
    <cfRule type="cellIs" dxfId="77" priority="57" operator="equal">
      <formula>"ok"</formula>
    </cfRule>
  </conditionalFormatting>
  <conditionalFormatting sqref="AV19">
    <cfRule type="cellIs" dxfId="76" priority="53" operator="equal">
      <formula>"ok"</formula>
    </cfRule>
    <cfRule type="cellIs" dxfId="75" priority="54" stopIfTrue="1" operator="equal">
      <formula>"check"</formula>
    </cfRule>
    <cfRule type="cellIs" dxfId="74" priority="55" operator="notEqual">
      <formula>"ok"</formula>
    </cfRule>
  </conditionalFormatting>
  <conditionalFormatting sqref="AV17">
    <cfRule type="cellIs" dxfId="73" priority="50" operator="equal">
      <formula>"ok"</formula>
    </cfRule>
    <cfRule type="cellIs" dxfId="72" priority="51" stopIfTrue="1" operator="equal">
      <formula>"check"</formula>
    </cfRule>
    <cfRule type="cellIs" dxfId="71" priority="52" operator="notEqual">
      <formula>"ok"</formula>
    </cfRule>
  </conditionalFormatting>
  <conditionalFormatting sqref="Q40:S40">
    <cfRule type="expression" dxfId="70" priority="49">
      <formula>IF(XDD$29="NO",TRUE,FALSE)</formula>
    </cfRule>
  </conditionalFormatting>
  <conditionalFormatting sqref="Q38:S38">
    <cfRule type="expression" dxfId="69" priority="48">
      <formula>IF(XDD$29="NO",TRUE,FALSE)</formula>
    </cfRule>
  </conditionalFormatting>
  <conditionalFormatting sqref="Q38:S38">
    <cfRule type="expression" dxfId="68" priority="47">
      <formula>IF(XDD$29="NO",TRUE,FALSE)</formula>
    </cfRule>
  </conditionalFormatting>
  <conditionalFormatting sqref="Q44:S44">
    <cfRule type="expression" dxfId="67" priority="46">
      <formula>IF(XDD$29="NO",TRUE,FALSE)</formula>
    </cfRule>
  </conditionalFormatting>
  <conditionalFormatting sqref="Q42:S42">
    <cfRule type="expression" dxfId="66" priority="45">
      <formula>IF(XDD$29="NO",TRUE,FALSE)</formula>
    </cfRule>
  </conditionalFormatting>
  <conditionalFormatting sqref="Q42:S42">
    <cfRule type="expression" dxfId="65" priority="44">
      <formula>IF(XDD$29="NO",TRUE,FALSE)</formula>
    </cfRule>
  </conditionalFormatting>
  <conditionalFormatting sqref="Q44:S44">
    <cfRule type="expression" dxfId="64" priority="43">
      <formula>IF(XDD$29="NO",TRUE,FALSE)</formula>
    </cfRule>
  </conditionalFormatting>
  <conditionalFormatting sqref="Q42:S42">
    <cfRule type="expression" dxfId="63" priority="42">
      <formula>IF(XDD$29="NO",TRUE,FALSE)</formula>
    </cfRule>
  </conditionalFormatting>
  <conditionalFormatting sqref="Q42:S42">
    <cfRule type="expression" dxfId="62" priority="41">
      <formula>IF(XDD$29="NO",TRUE,FALSE)</formula>
    </cfRule>
  </conditionalFormatting>
  <conditionalFormatting sqref="Q48:S48">
    <cfRule type="expression" dxfId="61" priority="40">
      <formula>IF(XDD$29="NO",TRUE,FALSE)</formula>
    </cfRule>
  </conditionalFormatting>
  <conditionalFormatting sqref="Q46:S46">
    <cfRule type="expression" dxfId="60" priority="39">
      <formula>IF(XDD$29="NO",TRUE,FALSE)</formula>
    </cfRule>
  </conditionalFormatting>
  <conditionalFormatting sqref="Q46:S46">
    <cfRule type="expression" dxfId="59" priority="38">
      <formula>IF(XDD$29="NO",TRUE,FALSE)</formula>
    </cfRule>
  </conditionalFormatting>
  <conditionalFormatting sqref="Q52:S52">
    <cfRule type="expression" dxfId="58" priority="37">
      <formula>IF(XDD$29="NO",TRUE,FALSE)</formula>
    </cfRule>
  </conditionalFormatting>
  <conditionalFormatting sqref="Q50:S50">
    <cfRule type="expression" dxfId="57" priority="36">
      <formula>IF(XDD$29="NO",TRUE,FALSE)</formula>
    </cfRule>
  </conditionalFormatting>
  <conditionalFormatting sqref="Q50:S50">
    <cfRule type="expression" dxfId="56" priority="35">
      <formula>IF(XDD$29="NO",TRUE,FALSE)</formula>
    </cfRule>
  </conditionalFormatting>
  <conditionalFormatting sqref="Q44:S44">
    <cfRule type="expression" dxfId="55" priority="34">
      <formula>IF(XDD$29="NO",TRUE,FALSE)</formula>
    </cfRule>
  </conditionalFormatting>
  <conditionalFormatting sqref="Q42:S42">
    <cfRule type="expression" dxfId="54" priority="33">
      <formula>IF(XDD$29="NO",TRUE,FALSE)</formula>
    </cfRule>
  </conditionalFormatting>
  <conditionalFormatting sqref="Q42:S42">
    <cfRule type="expression" dxfId="53" priority="32">
      <formula>IF(XDD$29="NO",TRUE,FALSE)</formula>
    </cfRule>
  </conditionalFormatting>
  <conditionalFormatting sqref="Q48:S48">
    <cfRule type="expression" dxfId="52" priority="31">
      <formula>IF(XDD$29="NO",TRUE,FALSE)</formula>
    </cfRule>
  </conditionalFormatting>
  <conditionalFormatting sqref="Q46:S46">
    <cfRule type="expression" dxfId="51" priority="30">
      <formula>IF(XDD$29="NO",TRUE,FALSE)</formula>
    </cfRule>
  </conditionalFormatting>
  <conditionalFormatting sqref="Q46:S46">
    <cfRule type="expression" dxfId="50" priority="29">
      <formula>IF(XDD$29="NO",TRUE,FALSE)</formula>
    </cfRule>
  </conditionalFormatting>
  <conditionalFormatting sqref="Q50:S50">
    <cfRule type="expression" dxfId="49" priority="28">
      <formula>IF(XDD$29="NO",TRUE,FALSE)</formula>
    </cfRule>
  </conditionalFormatting>
  <conditionalFormatting sqref="Q50:S50">
    <cfRule type="expression" dxfId="48" priority="27">
      <formula>IF(XDD$29="NO",TRUE,FALSE)</formula>
    </cfRule>
  </conditionalFormatting>
  <conditionalFormatting sqref="Q50:S50">
    <cfRule type="expression" dxfId="47" priority="26">
      <formula>IF(XDD$29="NO",TRUE,FALSE)</formula>
    </cfRule>
  </conditionalFormatting>
  <conditionalFormatting sqref="Q50:S50">
    <cfRule type="expression" dxfId="46" priority="25">
      <formula>IF(XDD$29="NO",TRUE,FALSE)</formula>
    </cfRule>
  </conditionalFormatting>
  <conditionalFormatting sqref="Q56:S56">
    <cfRule type="expression" dxfId="45" priority="24">
      <formula>IF(XDD$29="NO",TRUE,FALSE)</formula>
    </cfRule>
  </conditionalFormatting>
  <conditionalFormatting sqref="Q54:S54">
    <cfRule type="expression" dxfId="44" priority="23">
      <formula>IF(XDD$29="NO",TRUE,FALSE)</formula>
    </cfRule>
  </conditionalFormatting>
  <conditionalFormatting sqref="Q54:S54">
    <cfRule type="expression" dxfId="43" priority="22">
      <formula>IF(XDD$29="NO",TRUE,FALSE)</formula>
    </cfRule>
  </conditionalFormatting>
  <conditionalFormatting sqref="Q60:S60">
    <cfRule type="expression" dxfId="42" priority="21">
      <formula>IF(XDD$29="NO",TRUE,FALSE)</formula>
    </cfRule>
  </conditionalFormatting>
  <conditionalFormatting sqref="Q58:S58">
    <cfRule type="expression" dxfId="41" priority="20">
      <formula>IF(XDD$29="NO",TRUE,FALSE)</formula>
    </cfRule>
  </conditionalFormatting>
  <conditionalFormatting sqref="Q58:S58">
    <cfRule type="expression" dxfId="40" priority="19">
      <formula>IF(XDD$29="NO",TRUE,FALSE)</formula>
    </cfRule>
  </conditionalFormatting>
  <conditionalFormatting sqref="Q62:S62">
    <cfRule type="expression" dxfId="39" priority="18">
      <formula>IF(XDD$29="NO",TRUE,FALSE)</formula>
    </cfRule>
  </conditionalFormatting>
  <conditionalFormatting sqref="Q62:S62">
    <cfRule type="expression" dxfId="38" priority="17">
      <formula>IF(XDD$29="NO",TRUE,FALSE)</formula>
    </cfRule>
  </conditionalFormatting>
  <conditionalFormatting sqref="Q62:S62">
    <cfRule type="expression" dxfId="37" priority="16">
      <formula>IF(XDD$29="NO",TRUE,FALSE)</formula>
    </cfRule>
  </conditionalFormatting>
  <conditionalFormatting sqref="Q62:S62">
    <cfRule type="expression" dxfId="36" priority="15">
      <formula>IF(XDD$29="NO",TRUE,FALSE)</formula>
    </cfRule>
  </conditionalFormatting>
  <conditionalFormatting sqref="Q62:S62">
    <cfRule type="expression" dxfId="35" priority="14">
      <formula>IF(XDD$29="NO",TRUE,FALSE)</formula>
    </cfRule>
  </conditionalFormatting>
  <conditionalFormatting sqref="Q62:S62">
    <cfRule type="expression" dxfId="34" priority="13">
      <formula>IF(XDD$29="NO",TRUE,FALSE)</formula>
    </cfRule>
  </conditionalFormatting>
  <conditionalFormatting sqref="Q64:S64">
    <cfRule type="expression" dxfId="33" priority="12">
      <formula>IF(XDD$29="NO",TRUE,FALSE)</formula>
    </cfRule>
  </conditionalFormatting>
  <conditionalFormatting sqref="Q62:S62">
    <cfRule type="expression" dxfId="32" priority="11">
      <formula>IF(XDD$29="NO",TRUE,FALSE)</formula>
    </cfRule>
  </conditionalFormatting>
  <conditionalFormatting sqref="Q62:S62">
    <cfRule type="expression" dxfId="31" priority="10">
      <formula>IF(XDD$29="NO",TRUE,FALSE)</formula>
    </cfRule>
  </conditionalFormatting>
  <conditionalFormatting sqref="Q68:S68">
    <cfRule type="expression" dxfId="30" priority="9">
      <formula>IF(XDD$29="NO",TRUE,FALSE)</formula>
    </cfRule>
  </conditionalFormatting>
  <conditionalFormatting sqref="Q66:S66">
    <cfRule type="expression" dxfId="29" priority="8">
      <formula>IF(XDD$29="NO",TRUE,FALSE)</formula>
    </cfRule>
  </conditionalFormatting>
  <conditionalFormatting sqref="Q66:S66">
    <cfRule type="expression" dxfId="28" priority="7">
      <formula>IF(XDD$29="NO",TRUE,FALSE)</formula>
    </cfRule>
  </conditionalFormatting>
  <conditionalFormatting sqref="Q70:S70">
    <cfRule type="expression" dxfId="27" priority="6">
      <formula>IF(XDD$29="NO",TRUE,FALSE)</formula>
    </cfRule>
  </conditionalFormatting>
  <conditionalFormatting sqref="Q70:S70">
    <cfRule type="expression" dxfId="26" priority="5">
      <formula>IF(XDD$29="NO",TRUE,FALSE)</formula>
    </cfRule>
  </conditionalFormatting>
  <conditionalFormatting sqref="Q70:S70">
    <cfRule type="expression" dxfId="25" priority="4">
      <formula>IF(XDD$29="NO",TRUE,FALSE)</formula>
    </cfRule>
  </conditionalFormatting>
  <conditionalFormatting sqref="Q70:S70">
    <cfRule type="expression" dxfId="24" priority="3">
      <formula>IF(XDD$29="NO",TRUE,FALSE)</formula>
    </cfRule>
  </conditionalFormatting>
  <conditionalFormatting sqref="Q70:S70">
    <cfRule type="expression" dxfId="23" priority="2">
      <formula>IF(XDD$29="NO",TRUE,FALSE)</formula>
    </cfRule>
  </conditionalFormatting>
  <conditionalFormatting sqref="Q70:S70">
    <cfRule type="expression" dxfId="22" priority="1">
      <formula>IF(XDD$29="NO",TRUE,FALSE)</formula>
    </cfRule>
  </conditionalFormatting>
  <dataValidations count="2">
    <dataValidation type="list" allowBlank="1" showInputMessage="1" showErrorMessage="1" sqref="BD34 BD36 BD38 BD40 BD42 BD44 BD46 BD48 BD50 BD52 BD54 BD56 BD58 BD60 BD62 BD64 BD66 BD68 BD70 BF34 BF36 BF38 BF40 BF42 BF44 BF46 BF48 BF50 BF52 BF54 BF56 BF58 BF60 BF62 BF64 BF66 BF68 BF70 BH34 BH36 BH38 BH40 BH42 BH44 BH46 BH48 BH50 BH52 BH54 BH56 BH58 BH60 BH62 BH64 BH66 BH68 BH70 BJ34 BJ36 BJ38 BJ40 BJ42 BJ44 BJ46 BJ48 BJ50 BJ52 BJ54 BJ56 BJ58 BJ60 BJ62 BJ64 BJ66 BJ68 BJ70 BL34 BL36 BL38 BL40 BL42 BL44 BL46 BL48 BL50 BL52 BL54 BL56 BL58 BL60 BL62 BL64 BL66 BL68 BL70" xr:uid="{91C1E08D-9910-4B07-B6DC-4F93E45B1E60}">
      <formula1>"Right,Left,Above,Below"</formula1>
    </dataValidation>
    <dataValidation type="list" allowBlank="1" showInputMessage="1" showErrorMessage="1" sqref="U29:W29 AC29:AF29 Q29:S29 F29:O29" xr:uid="{D2F68B69-EBF9-41AB-A9A8-A85936F14F6C}">
      <formula1>"YES,NO"</formula1>
    </dataValidation>
  </dataValidations>
  <pageMargins left="0.7" right="0.7" top="0.75" bottom="0.75" header="0.3" footer="0.3"/>
  <pageSetup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ort_scenarios_less_x">
                <anchor moveWithCells="1" sizeWithCells="1">
                  <from>
                    <xdr:col>35</xdr:col>
                    <xdr:colOff>161925</xdr:colOff>
                    <xdr:row>19</xdr:row>
                    <xdr:rowOff>161925</xdr:rowOff>
                  </from>
                  <to>
                    <xdr:col>36</xdr:col>
                    <xdr:colOff>1895475</xdr:colOff>
                    <xdr:row>21</xdr:row>
                    <xdr:rowOff>28575</xdr:rowOff>
                  </to>
                </anchor>
              </controlPr>
            </control>
          </mc:Choice>
        </mc:AlternateContent>
        <mc:AlternateContent xmlns:mc="http://schemas.openxmlformats.org/markup-compatibility/2006">
          <mc:Choice Requires="x14">
            <control shapeId="136194" r:id="rId5" name="Button 2">
              <controlPr defaultSize="0" print="0" autoFill="0" autoPict="0" macro="[0]!set_scenarios_basic">
                <anchor moveWithCells="1" sizeWithCells="1">
                  <from>
                    <xdr:col>35</xdr:col>
                    <xdr:colOff>133350</xdr:colOff>
                    <xdr:row>16</xdr:row>
                    <xdr:rowOff>47625</xdr:rowOff>
                  </from>
                  <to>
                    <xdr:col>36</xdr:col>
                    <xdr:colOff>1885950</xdr:colOff>
                    <xdr:row>17</xdr:row>
                    <xdr:rowOff>114300</xdr:rowOff>
                  </to>
                </anchor>
              </controlPr>
            </control>
          </mc:Choice>
        </mc:AlternateContent>
        <mc:AlternateContent xmlns:mc="http://schemas.openxmlformats.org/markup-compatibility/2006">
          <mc:Choice Requires="x14">
            <control shapeId="136195" r:id="rId6" name="Button 3">
              <controlPr defaultSize="0" print="0" autoFill="0" autoPict="0" macro="[0]!set_scenarios_efficient_x">
                <anchor moveWithCells="1" sizeWithCells="1">
                  <from>
                    <xdr:col>35</xdr:col>
                    <xdr:colOff>133350</xdr:colOff>
                    <xdr:row>17</xdr:row>
                    <xdr:rowOff>180975</xdr:rowOff>
                  </from>
                  <to>
                    <xdr:col>36</xdr:col>
                    <xdr:colOff>1885950</xdr:colOff>
                    <xdr:row>19</xdr:row>
                    <xdr:rowOff>47625</xdr:rowOff>
                  </to>
                </anchor>
              </controlPr>
            </control>
          </mc:Choice>
        </mc:AlternateContent>
        <mc:AlternateContent xmlns:mc="http://schemas.openxmlformats.org/markup-compatibility/2006">
          <mc:Choice Requires="x14">
            <control shapeId="136196" r:id="rId7" name="Button 4">
              <controlPr defaultSize="0" print="0" autoFill="0" autoPict="0" macro="[0]!set_scenarios_x">
                <anchor moveWithCells="1" sizeWithCells="1">
                  <from>
                    <xdr:col>35</xdr:col>
                    <xdr:colOff>133350</xdr:colOff>
                    <xdr:row>14</xdr:row>
                    <xdr:rowOff>152400</xdr:rowOff>
                  </from>
                  <to>
                    <xdr:col>36</xdr:col>
                    <xdr:colOff>1885950</xdr:colOff>
                    <xdr:row>15</xdr:row>
                    <xdr:rowOff>200025</xdr:rowOff>
                  </to>
                </anchor>
              </controlPr>
            </control>
          </mc:Choice>
        </mc:AlternateContent>
        <mc:AlternateContent xmlns:mc="http://schemas.openxmlformats.org/markup-compatibility/2006">
          <mc:Choice Requires="x14">
            <control shapeId="136197" r:id="rId8" name="Button 5">
              <controlPr defaultSize="0" print="0" autoFill="0" autoPict="0" macro="[0]!set_labels_to_right">
                <anchor moveWithCells="1" sizeWithCells="1">
                  <from>
                    <xdr:col>35</xdr:col>
                    <xdr:colOff>171450</xdr:colOff>
                    <xdr:row>21</xdr:row>
                    <xdr:rowOff>142875</xdr:rowOff>
                  </from>
                  <to>
                    <xdr:col>36</xdr:col>
                    <xdr:colOff>1914525</xdr:colOff>
                    <xdr:row>22</xdr:row>
                    <xdr:rowOff>200025</xdr:rowOff>
                  </to>
                </anchor>
              </controlPr>
            </control>
          </mc:Choice>
        </mc:AlternateContent>
        <mc:AlternateContent xmlns:mc="http://schemas.openxmlformats.org/markup-compatibility/2006">
          <mc:Choice Requires="x14">
            <control shapeId="136198" r:id="rId9" name="Button 6">
              <controlPr defaultSize="0" print="0" autoFill="0" autoPict="0" macro="[0]!set_labels_to_below">
                <anchor moveWithCells="1" sizeWithCells="1">
                  <from>
                    <xdr:col>35</xdr:col>
                    <xdr:colOff>161925</xdr:colOff>
                    <xdr:row>23</xdr:row>
                    <xdr:rowOff>123825</xdr:rowOff>
                  </from>
                  <to>
                    <xdr:col>36</xdr:col>
                    <xdr:colOff>1895475</xdr:colOff>
                    <xdr:row>24</xdr:row>
                    <xdr:rowOff>171450</xdr:rowOff>
                  </to>
                </anchor>
              </controlPr>
            </control>
          </mc:Choice>
        </mc:AlternateContent>
        <mc:AlternateContent xmlns:mc="http://schemas.openxmlformats.org/markup-compatibility/2006">
          <mc:Choice Requires="x14">
            <control shapeId="136199" r:id="rId10" name="Button 7">
              <controlPr defaultSize="0" print="0" autoFill="0" autoPict="0" macro="[0]!set_chart_based_on_table">
                <anchor moveWithCells="1" sizeWithCells="1">
                  <from>
                    <xdr:col>50</xdr:col>
                    <xdr:colOff>304800</xdr:colOff>
                    <xdr:row>18</xdr:row>
                    <xdr:rowOff>180975</xdr:rowOff>
                  </from>
                  <to>
                    <xdr:col>56</xdr:col>
                    <xdr:colOff>457200</xdr:colOff>
                    <xdr:row>20</xdr:row>
                    <xdr:rowOff>114300</xdr:rowOff>
                  </to>
                </anchor>
              </controlPr>
            </control>
          </mc:Choice>
        </mc:AlternateContent>
        <mc:AlternateContent xmlns:mc="http://schemas.openxmlformats.org/markup-compatibility/2006">
          <mc:Choice Requires="x14">
            <control shapeId="136200" r:id="rId11" name="Button 8">
              <controlPr defaultSize="0" print="0" autoFill="0" autoPict="0" macro="[0]!reset_chart_axis">
                <anchor moveWithCells="1" sizeWithCells="1">
                  <from>
                    <xdr:col>50</xdr:col>
                    <xdr:colOff>304800</xdr:colOff>
                    <xdr:row>16</xdr:row>
                    <xdr:rowOff>180975</xdr:rowOff>
                  </from>
                  <to>
                    <xdr:col>56</xdr:col>
                    <xdr:colOff>485775</xdr:colOff>
                    <xdr:row>18</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D85D2-E82F-4E89-BDD0-3286E624C3CB}">
  <sheetPr codeName="Sheet12">
    <tabColor rgb="FFFFFF99"/>
  </sheetPr>
  <dimension ref="A3:Y36"/>
  <sheetViews>
    <sheetView showGridLines="0" zoomScale="85" zoomScaleNormal="85" workbookViewId="0"/>
  </sheetViews>
  <sheetFormatPr defaultColWidth="9.140625" defaultRowHeight="15"/>
  <cols>
    <col min="1" max="3" width="9.140625" style="772"/>
    <col min="4" max="5" width="3.7109375" style="772" customWidth="1"/>
    <col min="6" max="6" width="9.140625" style="772"/>
    <col min="7" max="7" width="1.7109375" style="772" customWidth="1"/>
    <col min="8" max="8" width="35.7109375" style="772" customWidth="1"/>
    <col min="9" max="9" width="1.7109375" style="772" customWidth="1"/>
    <col min="10" max="11" width="9.140625" style="772"/>
    <col min="12" max="12" width="0" style="772" hidden="1" customWidth="1"/>
    <col min="13" max="13" width="1.7109375" style="772" customWidth="1"/>
    <col min="14" max="14" width="35.7109375" style="772" customWidth="1"/>
    <col min="15" max="15" width="1.7109375" style="772" customWidth="1"/>
    <col min="16" max="17" width="9.140625" style="772"/>
    <col min="18" max="18" width="0" style="772" hidden="1" customWidth="1"/>
    <col min="19" max="19" width="1.7109375" style="772" customWidth="1"/>
    <col min="20" max="20" width="35.7109375" style="772" customWidth="1"/>
    <col min="21" max="21" width="1.7109375" style="772" customWidth="1"/>
    <col min="22" max="22" width="9.140625" style="772"/>
    <col min="23" max="23" width="9.140625" style="861"/>
    <col min="24" max="24" width="0" style="772" hidden="1" customWidth="1"/>
    <col min="25" max="25" width="3.7109375" style="772" customWidth="1"/>
    <col min="26" max="16384" width="9.140625" style="772"/>
  </cols>
  <sheetData>
    <row r="3" spans="6:23">
      <c r="F3" s="1138" t="str">
        <f>UPPER("SCENARIO OPTIONS: "&amp;Input!$R$2&amp;" (National)")</f>
        <v>SCENARIO OPTIONS: MY20 KIA SOUL (NATIONAL)</v>
      </c>
      <c r="G3" s="1138"/>
      <c r="H3" s="1138"/>
      <c r="I3" s="1138"/>
      <c r="J3" s="1138"/>
      <c r="K3" s="1138"/>
      <c r="L3" s="1138"/>
      <c r="M3" s="1138"/>
      <c r="N3" s="1138"/>
      <c r="O3" s="1138"/>
      <c r="P3" s="1138"/>
      <c r="Q3" s="1138"/>
      <c r="R3" s="1138"/>
      <c r="S3" s="1138"/>
      <c r="T3" s="1138"/>
      <c r="U3" s="1138"/>
      <c r="V3" s="1138"/>
      <c r="W3" s="1138"/>
    </row>
    <row r="21" spans="1:25">
      <c r="A21" s="1136" t="s">
        <v>1009</v>
      </c>
      <c r="B21" s="1136"/>
      <c r="C21" s="1136"/>
    </row>
    <row r="22" spans="1:25">
      <c r="A22" s="851" t="s">
        <v>1002</v>
      </c>
      <c r="B22" s="851" t="s">
        <v>1012</v>
      </c>
      <c r="C22" s="851" t="s">
        <v>1011</v>
      </c>
      <c r="H22" s="1139" t="s">
        <v>513</v>
      </c>
      <c r="I22" s="1139"/>
      <c r="J22" s="1139"/>
      <c r="K22" s="1139"/>
      <c r="L22" s="1139"/>
      <c r="N22" s="1140" t="s">
        <v>514</v>
      </c>
      <c r="O22" s="1140"/>
      <c r="P22" s="1140"/>
      <c r="Q22" s="1140"/>
      <c r="R22" s="1140"/>
      <c r="T22" s="1137" t="s">
        <v>1010</v>
      </c>
      <c r="U22" s="1137"/>
      <c r="V22" s="1137"/>
      <c r="W22" s="1137"/>
      <c r="X22" s="1137"/>
    </row>
    <row r="23" spans="1:25">
      <c r="A23" s="851" t="s">
        <v>1006</v>
      </c>
      <c r="B23" s="851" t="s">
        <v>1007</v>
      </c>
      <c r="C23" s="851" t="s">
        <v>1008</v>
      </c>
      <c r="F23" s="841" t="s">
        <v>94</v>
      </c>
      <c r="H23" s="841" t="s">
        <v>166</v>
      </c>
      <c r="J23" s="773" t="s">
        <v>985</v>
      </c>
      <c r="K23" s="773" t="s">
        <v>80</v>
      </c>
      <c r="L23" s="773" t="s">
        <v>987</v>
      </c>
      <c r="N23" s="841" t="s">
        <v>166</v>
      </c>
      <c r="P23" s="773" t="s">
        <v>985</v>
      </c>
      <c r="Q23" s="773" t="s">
        <v>80</v>
      </c>
      <c r="R23" s="773" t="s">
        <v>987</v>
      </c>
      <c r="T23" s="841" t="s">
        <v>166</v>
      </c>
      <c r="V23" s="773" t="s">
        <v>985</v>
      </c>
      <c r="W23" s="773" t="s">
        <v>80</v>
      </c>
      <c r="X23" s="773" t="s">
        <v>987</v>
      </c>
    </row>
    <row r="24" spans="1:25" s="842" customFormat="1" ht="20.100000000000001" customHeight="1">
      <c r="A24" s="852">
        <v>1</v>
      </c>
      <c r="B24" s="852">
        <v>1</v>
      </c>
      <c r="C24" s="852">
        <v>1</v>
      </c>
      <c r="D24" s="843"/>
      <c r="E24" s="843"/>
      <c r="F24" s="838" t="s">
        <v>955</v>
      </c>
      <c r="G24" s="844"/>
      <c r="H24" s="842" t="str">
        <f>INDEX(Summary!$D$20:$D$100,MATCH($A24,Summary!$J$20:$J$100,0))</f>
        <v>1000 CC, -360 Lease</v>
      </c>
      <c r="I24" s="844"/>
      <c r="J24" s="776">
        <f>INDEX(Summary!$G$20:$G$100,MATCH($A24,Summary!$J$20:$J$100,0))</f>
        <v>-125.80005488078132</v>
      </c>
      <c r="K24" s="775">
        <f>INDEX(Summary!$H$20:$H$100,MATCH($A24,Summary!$J$20:$J$100,0))</f>
        <v>2.1411057504827191E-2</v>
      </c>
      <c r="L24" s="849">
        <f>INDEX(Summary!$M$20:$M$100,MATCH($A24,Summary!$J$20:$J$100,0))</f>
        <v>457.42432486914112</v>
      </c>
      <c r="N24" s="842" t="str">
        <f>INDEX(Summary!$D$20:$D$100,MATCH($B24,Summary!$K$20:$K$100,0))</f>
        <v>1000 CC, 0/0/0.9/3.9</v>
      </c>
      <c r="O24" s="844"/>
      <c r="P24" s="776">
        <f>INDEX(Summary!$G$20:$G$100,MATCH($B24,Summary!$K$20:$K$100,0))</f>
        <v>150.9449455606059</v>
      </c>
      <c r="Q24" s="775">
        <f>INDEX(Summary!$H$20:$H$100,MATCH($B24,Summary!$K$20:$K$100,0))</f>
        <v>6.366571731189552E-2</v>
      </c>
      <c r="R24" s="849">
        <f>INDEX(Summary!$M$20:$M$100,MATCH($B24,Summary!$K$20:$K$100,0))</f>
        <v>476.34746956471548</v>
      </c>
      <c r="T24" s="842" t="str">
        <f>INDEX(Summary!$D$20:$D$100,MATCH($C24,Summary!$L$20:$L$100,0))</f>
        <v>1000 CC, -360 Lease</v>
      </c>
      <c r="U24" s="844"/>
      <c r="V24" s="776">
        <f>INDEX(Summary!$G$20:$G$100,MATCH($C24,Summary!$L$20:$L$100,0))</f>
        <v>-125.80005488078132</v>
      </c>
      <c r="W24" s="775">
        <f>INDEX(Summary!$H$20:$H$100,MATCH($C24,Summary!$L$20:$L$100,0))</f>
        <v>2.1411057504827191E-2</v>
      </c>
      <c r="X24" s="849">
        <f>INDEX(Summary!$M$20:$M$100,MATCH($C24,Summary!$L$20:$L$100,0))</f>
        <v>457.42432486914112</v>
      </c>
      <c r="Y24" s="843"/>
    </row>
    <row r="25" spans="1:25" ht="20.100000000000001" customHeight="1">
      <c r="A25" s="852">
        <v>1</v>
      </c>
      <c r="B25" s="852">
        <v>1</v>
      </c>
      <c r="C25" s="852">
        <v>1</v>
      </c>
      <c r="D25" s="843"/>
      <c r="E25" s="843"/>
      <c r="F25" s="853" t="s">
        <v>956</v>
      </c>
      <c r="G25" s="846"/>
      <c r="H25" s="854" t="str">
        <f>INDEX(Summary!$D$20:$D$100,MATCH($A25,Summary!$R$20:$R$100,0))</f>
        <v>1000 CC, 0/0/0.9/3.9</v>
      </c>
      <c r="I25" s="846"/>
      <c r="J25" s="779">
        <f>INDEX(Summary!$O$20:$O$100,MATCH($A25,Summary!$R$20:$R$100,0))</f>
        <v>426.29298464373323</v>
      </c>
      <c r="K25" s="780">
        <f>INDEX(Summary!$P$20:$P$100,MATCH($A25,Summary!$R$20:$R$100,0))</f>
        <v>7.7579354666896805E-2</v>
      </c>
      <c r="L25" s="850">
        <f>INDEX(Summary!$U$20:$U$100,MATCH($A25,Summary!$R$20:$R$100,0))</f>
        <v>1347.3694970830466</v>
      </c>
      <c r="M25" s="838"/>
      <c r="N25" s="854" t="str">
        <f>INDEX(Summary!$D$20:$D$100,MATCH($B25,Summary!$S$20:$S$100,0))</f>
        <v>1000 CC, 0/0/0.9/3.9</v>
      </c>
      <c r="O25" s="846"/>
      <c r="P25" s="779">
        <f>INDEX(Summary!$O$20:$O$100,MATCH($B25,Summary!$S$20:$S$100,0))</f>
        <v>426.29298464373323</v>
      </c>
      <c r="Q25" s="780">
        <f>INDEX(Summary!$P$20:$P$100,MATCH($B25,Summary!$S$20:$S$100,0))</f>
        <v>7.7579354666896805E-2</v>
      </c>
      <c r="R25" s="850">
        <f>INDEX(Summary!$U$20:$U$100,MATCH($B25,Summary!$S$20:$S$100,0))</f>
        <v>1347.3694970830466</v>
      </c>
      <c r="S25" s="838"/>
      <c r="T25" s="854" t="str">
        <f>INDEX(Summary!$D$20:$D$100,MATCH($C25,Summary!$T$20:$T$100,0))</f>
        <v>750 CC, -360 Lease</v>
      </c>
      <c r="U25" s="846"/>
      <c r="V25" s="779">
        <f>INDEX(Summary!$O$20:$O$100,MATCH($C25,Summary!$T$20:$T$100,0))</f>
        <v>125.24287026346929</v>
      </c>
      <c r="W25" s="780">
        <f>INDEX(Summary!$P$20:$P$100,MATCH($C25,Summary!$T$20:$T$100,0))</f>
        <v>2.7928836914485888E-2</v>
      </c>
      <c r="X25" s="850">
        <f>INDEX(Summary!$U$20:$U$100,MATCH($C25,Summary!$T$20:$T$100,0))</f>
        <v>1285.2881358874636</v>
      </c>
      <c r="Y25" s="843"/>
    </row>
    <row r="26" spans="1:25" ht="20.100000000000001" customHeight="1">
      <c r="A26" s="852">
        <v>1</v>
      </c>
      <c r="B26" s="852">
        <v>1</v>
      </c>
      <c r="C26" s="852">
        <v>1</v>
      </c>
      <c r="D26" s="843"/>
      <c r="E26" s="843"/>
      <c r="F26" s="838" t="s">
        <v>957</v>
      </c>
      <c r="G26" s="844"/>
      <c r="H26" s="842" t="str">
        <f>INDEX(Summary!$D$20:$D$100,MATCH($A26,Summary!$Z$20:$Z$100,0))</f>
        <v>1000 CC, 0/0/0.9/3.9</v>
      </c>
      <c r="I26" s="844"/>
      <c r="J26" s="776">
        <f>INDEX(Summary!$W$20:$W$100,MATCH($A26,Summary!$Z$20:$Z$100,0))</f>
        <v>423.59866772522628</v>
      </c>
      <c r="K26" s="775">
        <f>INDEX(Summary!$X$20:$X$100,MATCH($A26,Summary!$Z$20:$Z$100,0))</f>
        <v>7.3151038997451012E-2</v>
      </c>
      <c r="L26" s="849">
        <f>INDEX(Summary!$AC$20:$AC$100,MATCH($A26,Summary!$Z$20:$Z$100,0))</f>
        <v>1780.4985773630963</v>
      </c>
      <c r="M26" s="842"/>
      <c r="N26" s="842" t="str">
        <f>INDEX(Summary!$D$20:$D$100,MATCH($B26,Summary!$AA$20:$AA$100,0))</f>
        <v>1000 CC, 0/0/0.9/3.9</v>
      </c>
      <c r="O26" s="844"/>
      <c r="P26" s="776">
        <f>INDEX(Summary!$W$20:$W$100,MATCH($B26,Summary!$AA$20:$AA$100,0))</f>
        <v>423.59866772522628</v>
      </c>
      <c r="Q26" s="775">
        <f>INDEX(Summary!$X$20:$X$100,MATCH($B26,Summary!$AA$20:$AA$100,0))</f>
        <v>7.3151038997451012E-2</v>
      </c>
      <c r="R26" s="849">
        <f>INDEX(Summary!$AC$20:$AC$100,MATCH($B26,Summary!$AA$20:$AA$100,0))</f>
        <v>1780.4985773630963</v>
      </c>
      <c r="S26" s="842"/>
      <c r="T26" s="842" t="str">
        <f>INDEX(Summary!$D$20:$D$100,MATCH($C26,Summary!$AA$20:$AA$100,0))</f>
        <v>1000 CC, 0/0/0.9/3.9</v>
      </c>
      <c r="U26" s="844"/>
      <c r="V26" s="776">
        <f>INDEX(Summary!$W$20:$W$100,MATCH($C26,Summary!$AB$20:$AB$100,0))</f>
        <v>206.65622918804684</v>
      </c>
      <c r="W26" s="775">
        <f>INDEX(Summary!$X$20:$X$100,MATCH($C26,Summary!$AB$20:$AB$100,0))</f>
        <v>3.8263926336309151E-2</v>
      </c>
      <c r="X26" s="850">
        <f>INDEX(Summary!$AC$20:$AC$100,MATCH($C26,Summary!$AB$20:$AB$100,0))</f>
        <v>1722.6162735640905</v>
      </c>
      <c r="Y26" s="843"/>
    </row>
    <row r="27" spans="1:25" ht="20.100000000000001" customHeight="1">
      <c r="A27" s="852">
        <v>1</v>
      </c>
      <c r="B27" s="852">
        <v>1</v>
      </c>
      <c r="C27" s="852">
        <v>1</v>
      </c>
      <c r="D27" s="843"/>
      <c r="E27" s="843"/>
      <c r="F27" s="853" t="s">
        <v>958</v>
      </c>
      <c r="G27" s="846"/>
      <c r="H27" s="854" t="str">
        <f>INDEX(Summary!$D$20:$D$100,MATCH($A27,Summary!$AH$20:$AH$100,0))</f>
        <v>1000 CC, 1000 Combo</v>
      </c>
      <c r="I27" s="846"/>
      <c r="J27" s="779">
        <f>INDEX(Summary!$AE$20:$AE$100,MATCH($A27,Summary!$AH$20:$AH$100,0))</f>
        <v>925.51727805839027</v>
      </c>
      <c r="K27" s="780">
        <f>INDEX(Summary!$AF$20:$AF$100,MATCH($A27,Summary!$AH$20:$AH$100,0))</f>
        <v>0.13054540984720586</v>
      </c>
      <c r="L27" s="850">
        <f>INDEX(Summary!$AK$20:$AK$100,MATCH($A27,Summary!$AH$20:$AH$100,0))</f>
        <v>2734.350446967107</v>
      </c>
      <c r="M27" s="838"/>
      <c r="N27" s="854" t="str">
        <f>INDEX(Summary!$D$20:$D$100,MATCH($B27,Summary!$AI$20:$AI$100,0))</f>
        <v>1000 CC, 1000 Combo</v>
      </c>
      <c r="O27" s="846"/>
      <c r="P27" s="779">
        <f>INDEX(Summary!$AE$20:$AE$100,MATCH($B27,Summary!$AI$20:$AI$100,0))</f>
        <v>925.51727805839027</v>
      </c>
      <c r="Q27" s="780">
        <f>INDEX(Summary!$AF$20:$AF$100,MATCH($B27,Summary!$AI$20:$AI$100,0))</f>
        <v>0.13054540984720586</v>
      </c>
      <c r="R27" s="850">
        <f>INDEX(Summary!$AK$20:$AK$100,MATCH($B27,Summary!$AI$20:$AI$100,0))</f>
        <v>2734.350446967107</v>
      </c>
      <c r="S27" s="838"/>
      <c r="T27" s="854" t="str">
        <f>INDEX(Summary!$D$20:$D$100,MATCH($C27,Summary!$AI$20:$AI$100,0))</f>
        <v>1000 CC, 1000 Combo</v>
      </c>
      <c r="U27" s="846"/>
      <c r="V27" s="779">
        <f>INDEX(Summary!$AE$20:$AE$100,MATCH($C27,Summary!$AJ$20:$AJ$100,0))</f>
        <v>160.47577373609556</v>
      </c>
      <c r="W27" s="780">
        <f>INDEX(Summary!$AF$20:$AF$100,MATCH($C27,Summary!$AJ$20:$AJ$100,0))</f>
        <v>2.3011475735844611E-2</v>
      </c>
      <c r="X27" s="850">
        <f>INDEX(Summary!$AK$20:$AK$100,MATCH($C27,Summary!$AJ$20:$AJ$100,0))</f>
        <v>2474.2676070913776</v>
      </c>
      <c r="Y27" s="843"/>
    </row>
    <row r="28" spans="1:25" ht="20.100000000000001" customHeight="1">
      <c r="A28" s="852">
        <v>1</v>
      </c>
      <c r="B28" s="852">
        <v>1</v>
      </c>
      <c r="C28" s="852">
        <v>1</v>
      </c>
      <c r="D28" s="843"/>
      <c r="E28" s="843"/>
      <c r="F28" s="771" t="s">
        <v>959</v>
      </c>
      <c r="G28" s="844"/>
      <c r="H28" s="855" t="str">
        <f>INDEX(Summary!$D$20:$D$100,MATCH($A28,Summary!$AP$20:$AP$100,0))</f>
        <v>1000 CC, 0/0/0.9/3.9</v>
      </c>
      <c r="I28" s="844"/>
      <c r="J28" s="856">
        <f>INDEX(Summary!$AM$20:$AM$100,MATCH($A28,Summary!$AP$20:$AP$100,0))</f>
        <v>531.92083969682062</v>
      </c>
      <c r="K28" s="857">
        <f>INDEX(Summary!$AN$20:$AN$100,MATCH($A28,Summary!$AP$20:$AP$100,0))</f>
        <v>8.2553565936159812E-2</v>
      </c>
      <c r="L28" s="849">
        <f>INDEX(Summary!$AS$20:$AS$100,MATCH($A28,Summary!$AP$20:$AP$100,0))</f>
        <v>892.39525420561949</v>
      </c>
      <c r="M28" s="842"/>
      <c r="N28" s="855" t="str">
        <f>INDEX(Summary!$D$20:$D$100,MATCH($B28,Summary!$AQ$20:$AQ$100,0))</f>
        <v>1000 CC, 0/0/0.9/3.9</v>
      </c>
      <c r="O28" s="844"/>
      <c r="P28" s="856">
        <f>INDEX(Summary!$AM$20:$AM$100,MATCH($B28,Summary!$AQ$20:$AQ$100,0))</f>
        <v>531.92083969682062</v>
      </c>
      <c r="Q28" s="857">
        <f>INDEX(Summary!$AN$20:$AN$100,MATCH($B28,Summary!$AQ$20:$AQ$100,0))</f>
        <v>8.2553565936159812E-2</v>
      </c>
      <c r="R28" s="849">
        <f>INDEX(Summary!$AS$20:$AS$100,MATCH($B28,Summary!$AQ$20:$AQ$100,0))</f>
        <v>892.39525420561949</v>
      </c>
      <c r="S28" s="842"/>
      <c r="T28" s="855" t="str">
        <f>INDEX(Summary!$D$20:$D$100,MATCH($C28,Summary!$AQ$20:$AQ$100,0))</f>
        <v>1000 CC, 0/0/0.9/3.9</v>
      </c>
      <c r="U28" s="844"/>
      <c r="V28" s="856">
        <f>INDEX(Summary!$AM$20:$AM$100,MATCH($C28,Summary!$AR$20:$AR$100,0))</f>
        <v>-87.220966868264213</v>
      </c>
      <c r="W28" s="857">
        <f>INDEX(Summary!$AN$20:$AN$100,MATCH($C28,Summary!$AR$20:$AR$100,0))</f>
        <v>-1.0836050655958718E-2</v>
      </c>
      <c r="X28" s="850">
        <f>INDEX(Summary!$AS$20:$AS$100,MATCH($C28,Summary!$AR$20:$AR$100,0))</f>
        <v>815.41019474870609</v>
      </c>
      <c r="Y28" s="843"/>
    </row>
    <row r="29" spans="1:25" ht="20.100000000000001" customHeight="1">
      <c r="A29" s="845"/>
      <c r="B29" s="845"/>
      <c r="F29" s="838"/>
      <c r="G29" s="846"/>
      <c r="H29" s="838"/>
      <c r="I29" s="846"/>
      <c r="J29" s="847"/>
      <c r="K29" s="848"/>
      <c r="L29" s="838"/>
      <c r="M29" s="838"/>
      <c r="N29" s="838"/>
      <c r="O29" s="846"/>
      <c r="P29" s="847"/>
      <c r="Q29" s="848"/>
      <c r="R29" s="838"/>
      <c r="S29" s="838"/>
      <c r="T29" s="838"/>
      <c r="U29" s="846"/>
      <c r="V29" s="847"/>
      <c r="W29" s="848"/>
      <c r="X29" s="838"/>
    </row>
    <row r="30" spans="1:25" ht="20.100000000000001" customHeight="1">
      <c r="B30" s="845"/>
      <c r="F30" s="858" t="s">
        <v>811</v>
      </c>
      <c r="G30" s="838"/>
      <c r="H30" s="858" t="s">
        <v>1005</v>
      </c>
      <c r="I30" s="838"/>
      <c r="J30" s="859">
        <f>SUMPRODUCT(J24:J28,L24:L28)/SUM(L24:L28)</f>
        <v>592.95571386660663</v>
      </c>
      <c r="K30" s="860">
        <f>SUMPRODUCT(K24:K28,L24:L28)/SUM(L24:L28)</f>
        <v>9.3620501762427075E-2</v>
      </c>
      <c r="L30" s="850">
        <f>SUM(L24:L28)</f>
        <v>7212.038100488011</v>
      </c>
      <c r="M30" s="838"/>
      <c r="N30" s="858" t="s">
        <v>1005</v>
      </c>
      <c r="O30" s="838"/>
      <c r="P30" s="859">
        <f>SUMPRODUCT(P24:P28,R24:R28)/SUM(R24:R28)</f>
        <v>609.30563709996693</v>
      </c>
      <c r="Q30" s="860">
        <f>SUMPRODUCT(Q24:Q28,R24:R28)/SUM(R24:R28)</f>
        <v>9.6215104316387412E-2</v>
      </c>
      <c r="R30" s="850">
        <f>SUM(R24:R28)</f>
        <v>7230.9612451835847</v>
      </c>
      <c r="S30" s="838"/>
      <c r="T30" s="858" t="s">
        <v>1005</v>
      </c>
      <c r="U30" s="838"/>
      <c r="V30" s="859">
        <f>SUMPRODUCT(V24:V28,X24:X28)/SUM(X24:X28)</f>
        <v>116.26305502567165</v>
      </c>
      <c r="W30" s="860">
        <f>SUMPRODUCT(W24:W28,X24:X28)/SUM(X24:X28)</f>
        <v>2.3642512472866452E-2</v>
      </c>
      <c r="X30" s="850">
        <f>SUM(X24:X28)</f>
        <v>6755.0065361607785</v>
      </c>
    </row>
    <row r="34" spans="10:11">
      <c r="J34" s="776">
        <f>J30</f>
        <v>592.95571386660663</v>
      </c>
      <c r="K34" s="775">
        <f>K30</f>
        <v>9.3620501762427075E-2</v>
      </c>
    </row>
    <row r="35" spans="10:11">
      <c r="J35" s="776">
        <f>P30</f>
        <v>609.30563709996693</v>
      </c>
      <c r="K35" s="775">
        <f>Q30</f>
        <v>9.6215104316387412E-2</v>
      </c>
    </row>
    <row r="36" spans="10:11">
      <c r="J36" s="776">
        <f>V30</f>
        <v>116.26305502567165</v>
      </c>
      <c r="K36" s="775">
        <f>W30</f>
        <v>2.3642512472866452E-2</v>
      </c>
    </row>
  </sheetData>
  <mergeCells count="5">
    <mergeCell ref="A21:C21"/>
    <mergeCell ref="T22:X22"/>
    <mergeCell ref="F3:W3"/>
    <mergeCell ref="H22:L22"/>
    <mergeCell ref="N22:R22"/>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717BB-E936-4982-8563-6EEA703394DF}">
  <sheetPr codeName="Sheet21">
    <tabColor rgb="FFFFFF99"/>
  </sheetPr>
  <dimension ref="B1:BR69"/>
  <sheetViews>
    <sheetView showGridLines="0" zoomScale="70" zoomScaleNormal="70" workbookViewId="0">
      <selection activeCell="D12" sqref="D12"/>
    </sheetView>
  </sheetViews>
  <sheetFormatPr defaultColWidth="9.140625" defaultRowHeight="15"/>
  <cols>
    <col min="1" max="3" width="9.140625" style="303"/>
    <col min="4" max="4" width="40.7109375" style="303" customWidth="1"/>
    <col min="5" max="5" width="15.7109375" style="303" customWidth="1"/>
    <col min="6" max="6" width="5.7109375" style="303" customWidth="1"/>
    <col min="7" max="8" width="9.140625" style="303"/>
    <col min="9" max="13" width="9.140625" style="303" hidden="1" customWidth="1"/>
    <col min="14" max="14" width="1.7109375" style="303" customWidth="1"/>
    <col min="15" max="16" width="9.140625" style="303"/>
    <col min="17" max="21" width="9.140625" style="303" hidden="1" customWidth="1"/>
    <col min="22" max="22" width="1.7109375" style="303" customWidth="1"/>
    <col min="23" max="24" width="9.140625" style="303"/>
    <col min="25" max="29" width="9.140625" style="303" hidden="1" customWidth="1"/>
    <col min="30" max="30" width="1.7109375" style="303" customWidth="1"/>
    <col min="31" max="32" width="9.140625" style="303"/>
    <col min="33" max="37" width="9.140625" style="303" hidden="1" customWidth="1"/>
    <col min="38" max="38" width="1.7109375" style="303" customWidth="1"/>
    <col min="39" max="40" width="9.140625" style="303"/>
    <col min="41" max="45" width="9.140625" style="303" hidden="1" customWidth="1"/>
    <col min="46" max="46" width="1.7109375" style="303" customWidth="1"/>
    <col min="47" max="50" width="9.140625" style="303"/>
    <col min="51" max="51" width="41" style="303" bestFit="1" customWidth="1"/>
    <col min="52" max="52" width="15.7109375" style="303" customWidth="1"/>
    <col min="53" max="53" width="1.7109375" style="303" customWidth="1"/>
    <col min="54" max="55" width="9.140625" style="303"/>
    <col min="56" max="56" width="1.7109375" style="303" customWidth="1"/>
    <col min="57" max="58" width="9.140625" style="303"/>
    <col min="59" max="59" width="1.7109375" style="303" customWidth="1"/>
    <col min="60" max="61" width="9.140625" style="303"/>
    <col min="62" max="62" width="1.7109375" style="303" customWidth="1"/>
    <col min="63" max="64" width="9.140625" style="303"/>
    <col min="65" max="65" width="1.7109375" style="303" customWidth="1"/>
    <col min="66" max="67" width="9.140625" style="303"/>
    <col min="68" max="68" width="1.7109375" style="303" customWidth="1"/>
    <col min="69" max="16384" width="9.140625" style="303"/>
  </cols>
  <sheetData>
    <row r="1" spans="2:70" ht="18.75">
      <c r="D1" s="894" t="s">
        <v>1080</v>
      </c>
      <c r="E1" s="895">
        <v>10.5</v>
      </c>
      <c r="G1" s="894" t="s">
        <v>1083</v>
      </c>
      <c r="H1" s="896" t="str">
        <f>"MY"&amp;RIGHT(Input!$H$9,2)&amp;" "&amp;Input!$H$3&amp;": Additional Incentive Scenarios"</f>
        <v>MY20 Soul: Additional Incentive Scenarios</v>
      </c>
    </row>
    <row r="2" spans="2:70" ht="18.75">
      <c r="D2" s="235" t="s">
        <v>1081</v>
      </c>
      <c r="E2" s="895" t="s">
        <v>1093</v>
      </c>
      <c r="G2" s="894" t="s">
        <v>1084</v>
      </c>
      <c r="H2" s="896" t="s">
        <v>1085</v>
      </c>
    </row>
    <row r="3" spans="2:70" s="767" customFormat="1" ht="18.75">
      <c r="D3" s="235" t="s">
        <v>1094</v>
      </c>
      <c r="E3" s="897">
        <f>COUNTA($B$7:$B$19)+6</f>
        <v>18</v>
      </c>
      <c r="G3" s="894" t="s">
        <v>1086</v>
      </c>
      <c r="H3" s="896" t="s">
        <v>1087</v>
      </c>
      <c r="I3" s="767" t="str">
        <f t="shared" ref="I3:J3" si="0">$G$5&amp;I6</f>
        <v>L1Elas.</v>
      </c>
      <c r="J3" s="767" t="str">
        <f t="shared" si="0"/>
        <v>L1Overall</v>
      </c>
      <c r="K3" s="767" t="str">
        <f t="shared" ref="K3:L3" si="1">$G$5&amp;K6</f>
        <v>L1+ Spend</v>
      </c>
      <c r="L3" s="767" t="str">
        <f t="shared" si="1"/>
        <v>L1- Spend</v>
      </c>
      <c r="O3" s="767" t="str">
        <f>$O$5&amp;O6</f>
        <v>L2Spend Δ</v>
      </c>
      <c r="P3" s="767" t="str">
        <f t="shared" ref="P3:R3" si="2">$O$5&amp;P6</f>
        <v>L2Lift (%)</v>
      </c>
      <c r="Q3" s="767" t="str">
        <f t="shared" si="2"/>
        <v>L2Elas.</v>
      </c>
      <c r="R3" s="767" t="str">
        <f t="shared" si="2"/>
        <v>L2Overall</v>
      </c>
      <c r="S3" s="767" t="str">
        <f t="shared" ref="S3:T3" si="3">$O$5&amp;S6</f>
        <v>L2+ Spend</v>
      </c>
      <c r="T3" s="767" t="str">
        <f t="shared" si="3"/>
        <v>L2- Spend</v>
      </c>
      <c r="W3" s="767" t="str">
        <f>$W$5&amp;W6</f>
        <v>L3Spend Δ</v>
      </c>
      <c r="X3" s="767" t="str">
        <f t="shared" ref="X3:Z3" si="4">$W$5&amp;X6</f>
        <v>L3Lift (%)</v>
      </c>
      <c r="Y3" s="767" t="str">
        <f t="shared" si="4"/>
        <v>L3Elas.</v>
      </c>
      <c r="Z3" s="767" t="str">
        <f t="shared" si="4"/>
        <v>L3Overall</v>
      </c>
      <c r="AA3" s="767" t="str">
        <f t="shared" ref="AA3:AB3" si="5">$W$5&amp;AA6</f>
        <v>L3+ Spend</v>
      </c>
      <c r="AB3" s="767" t="str">
        <f t="shared" si="5"/>
        <v>L3- Spend</v>
      </c>
      <c r="AE3" s="767" t="str">
        <f>$AE$5&amp;AE6</f>
        <v>R1Spend Δ</v>
      </c>
      <c r="AF3" s="767" t="str">
        <f t="shared" ref="AF3:AG3" si="6">$AE$5&amp;AF6</f>
        <v>R1Lift (%)</v>
      </c>
      <c r="AG3" s="767" t="str">
        <f t="shared" si="6"/>
        <v>R1Elas.</v>
      </c>
      <c r="AI3" s="767" t="str">
        <f t="shared" ref="AI3:AJ3" si="7">$AE$5&amp;AI6</f>
        <v>R1+ Spend</v>
      </c>
      <c r="AJ3" s="767" t="str">
        <f t="shared" si="7"/>
        <v>R1- Spend</v>
      </c>
      <c r="AM3" s="767" t="str">
        <f>$AM$5&amp;AM6</f>
        <v>R2Spend Δ</v>
      </c>
      <c r="AN3" s="767" t="str">
        <f t="shared" ref="AN3:AO3" si="8">$AM$5&amp;AN6</f>
        <v>R2Lift (%)</v>
      </c>
      <c r="AO3" s="767" t="str">
        <f t="shared" si="8"/>
        <v>R2Elas.</v>
      </c>
      <c r="AQ3" s="767" t="str">
        <f t="shared" ref="AQ3:AR3" si="9">$AM$5&amp;AQ6</f>
        <v>R2+ Spend</v>
      </c>
      <c r="AR3" s="767" t="str">
        <f t="shared" si="9"/>
        <v>R2- Spend</v>
      </c>
      <c r="AU3" s="767" t="str">
        <f>$AU$5&amp;AU6</f>
        <v>NationalSpend Δ</v>
      </c>
      <c r="AV3" s="767" t="str">
        <f t="shared" ref="AV3" si="10">$AU$5&amp;AV6</f>
        <v>NationalLift (%)</v>
      </c>
    </row>
    <row r="4" spans="2:70" s="767" customFormat="1">
      <c r="C4" s="768"/>
      <c r="D4" s="839"/>
      <c r="E4" s="768"/>
      <c r="G4" s="767">
        <v>1000</v>
      </c>
      <c r="H4" s="767">
        <v>1000</v>
      </c>
      <c r="I4" s="767">
        <v>1000</v>
      </c>
      <c r="K4" s="767">
        <v>1000</v>
      </c>
      <c r="L4" s="767">
        <v>1000</v>
      </c>
      <c r="O4" s="767">
        <f>G4+1000</f>
        <v>2000</v>
      </c>
      <c r="Q4" s="767">
        <f>I4+1000</f>
        <v>2000</v>
      </c>
      <c r="S4" s="767">
        <f>K4+1000</f>
        <v>2000</v>
      </c>
      <c r="T4" s="767">
        <f>L4+1000</f>
        <v>2000</v>
      </c>
      <c r="W4" s="767">
        <f>O4+1000</f>
        <v>3000</v>
      </c>
      <c r="Y4" s="767">
        <f>Q4+1000</f>
        <v>3000</v>
      </c>
      <c r="AA4" s="767">
        <f>S4+1000</f>
        <v>3000</v>
      </c>
      <c r="AB4" s="767">
        <f>T4+1000</f>
        <v>3000</v>
      </c>
      <c r="AE4" s="767">
        <f>W4+1000</f>
        <v>4000</v>
      </c>
      <c r="AG4" s="767">
        <f>Y4+1000</f>
        <v>4000</v>
      </c>
      <c r="AI4" s="767">
        <f>AA4+1000</f>
        <v>4000</v>
      </c>
      <c r="AJ4" s="767">
        <f>AB4+1000</f>
        <v>4000</v>
      </c>
      <c r="AM4" s="767">
        <f>AE4+1000</f>
        <v>5000</v>
      </c>
      <c r="AO4" s="767">
        <f>AG4+1000</f>
        <v>5000</v>
      </c>
      <c r="AQ4" s="767">
        <f>AI4+1000</f>
        <v>5000</v>
      </c>
      <c r="AR4" s="767">
        <f>AJ4+1000</f>
        <v>5000</v>
      </c>
      <c r="AU4" s="767">
        <f>AM4+1000</f>
        <v>6000</v>
      </c>
    </row>
    <row r="5" spans="2:70" s="769" customFormat="1" ht="20.100000000000001" customHeight="1">
      <c r="G5" s="1143" t="s">
        <v>955</v>
      </c>
      <c r="H5" s="1143"/>
      <c r="I5" s="1143"/>
      <c r="J5" s="1143"/>
      <c r="K5" s="1143"/>
      <c r="L5" s="1143"/>
      <c r="M5" s="1143"/>
      <c r="N5" s="770"/>
      <c r="O5" s="1144" t="s">
        <v>956</v>
      </c>
      <c r="P5" s="1144"/>
      <c r="Q5" s="1144"/>
      <c r="R5" s="1144"/>
      <c r="S5" s="1144"/>
      <c r="T5" s="1144"/>
      <c r="U5" s="1144"/>
      <c r="V5" s="770"/>
      <c r="W5" s="1145" t="s">
        <v>957</v>
      </c>
      <c r="X5" s="1145"/>
      <c r="Y5" s="1145"/>
      <c r="Z5" s="1145"/>
      <c r="AA5" s="1145"/>
      <c r="AB5" s="1145"/>
      <c r="AC5" s="1145"/>
      <c r="AD5" s="770"/>
      <c r="AE5" s="1146" t="s">
        <v>958</v>
      </c>
      <c r="AF5" s="1146"/>
      <c r="AG5" s="1146"/>
      <c r="AH5" s="1146"/>
      <c r="AI5" s="1146"/>
      <c r="AJ5" s="1146"/>
      <c r="AK5" s="1146"/>
      <c r="AL5" s="770"/>
      <c r="AM5" s="1147" t="s">
        <v>959</v>
      </c>
      <c r="AN5" s="1147"/>
      <c r="AO5" s="1147"/>
      <c r="AP5" s="1147"/>
      <c r="AQ5" s="1147"/>
      <c r="AR5" s="1147"/>
      <c r="AS5" s="1147"/>
      <c r="AT5" s="770"/>
      <c r="AU5" s="1141" t="s">
        <v>811</v>
      </c>
      <c r="AV5" s="1142"/>
      <c r="BB5" s="1143" t="s">
        <v>955</v>
      </c>
      <c r="BC5" s="1143"/>
      <c r="BE5" s="1144" t="s">
        <v>956</v>
      </c>
      <c r="BF5" s="1144"/>
      <c r="BH5" s="1145" t="s">
        <v>957</v>
      </c>
      <c r="BI5" s="1145"/>
      <c r="BK5" s="1146" t="s">
        <v>958</v>
      </c>
      <c r="BL5" s="1146"/>
      <c r="BN5" s="1147" t="s">
        <v>959</v>
      </c>
      <c r="BO5" s="1147"/>
      <c r="BQ5" s="1141" t="s">
        <v>811</v>
      </c>
      <c r="BR5" s="1142"/>
    </row>
    <row r="6" spans="2:70">
      <c r="B6" s="767">
        <v>2</v>
      </c>
      <c r="C6" s="771" t="s">
        <v>982</v>
      </c>
      <c r="D6" s="771" t="s">
        <v>983</v>
      </c>
      <c r="E6" s="771" t="s">
        <v>984</v>
      </c>
      <c r="F6" s="772"/>
      <c r="G6" s="773" t="s">
        <v>985</v>
      </c>
      <c r="H6" s="773" t="s">
        <v>80</v>
      </c>
      <c r="I6" s="786" t="s">
        <v>986</v>
      </c>
      <c r="J6" s="786" t="s">
        <v>1002</v>
      </c>
      <c r="K6" s="837" t="s">
        <v>1003</v>
      </c>
      <c r="L6" s="837" t="s">
        <v>1004</v>
      </c>
      <c r="M6" s="837" t="s">
        <v>987</v>
      </c>
      <c r="N6" s="772"/>
      <c r="O6" s="773" t="s">
        <v>985</v>
      </c>
      <c r="P6" s="773" t="s">
        <v>80</v>
      </c>
      <c r="Q6" s="786" t="s">
        <v>986</v>
      </c>
      <c r="R6" s="786" t="s">
        <v>1002</v>
      </c>
      <c r="S6" s="837" t="s">
        <v>1003</v>
      </c>
      <c r="T6" s="837" t="s">
        <v>1004</v>
      </c>
      <c r="U6" s="837" t="s">
        <v>987</v>
      </c>
      <c r="V6" s="772"/>
      <c r="W6" s="773" t="s">
        <v>985</v>
      </c>
      <c r="X6" s="773" t="s">
        <v>80</v>
      </c>
      <c r="Y6" s="786" t="s">
        <v>986</v>
      </c>
      <c r="Z6" s="786" t="s">
        <v>1002</v>
      </c>
      <c r="AA6" s="837" t="s">
        <v>1003</v>
      </c>
      <c r="AB6" s="837" t="s">
        <v>1004</v>
      </c>
      <c r="AC6" s="837" t="s">
        <v>987</v>
      </c>
      <c r="AD6" s="772"/>
      <c r="AE6" s="773" t="s">
        <v>985</v>
      </c>
      <c r="AF6" s="773" t="s">
        <v>80</v>
      </c>
      <c r="AG6" s="786" t="s">
        <v>986</v>
      </c>
      <c r="AH6" s="786" t="s">
        <v>1002</v>
      </c>
      <c r="AI6" s="837" t="s">
        <v>1003</v>
      </c>
      <c r="AJ6" s="837" t="s">
        <v>1004</v>
      </c>
      <c r="AK6" s="837" t="s">
        <v>987</v>
      </c>
      <c r="AL6" s="772"/>
      <c r="AM6" s="773" t="s">
        <v>985</v>
      </c>
      <c r="AN6" s="773" t="s">
        <v>80</v>
      </c>
      <c r="AO6" s="786" t="s">
        <v>986</v>
      </c>
      <c r="AP6" s="786" t="s">
        <v>1002</v>
      </c>
      <c r="AQ6" s="837" t="s">
        <v>1003</v>
      </c>
      <c r="AR6" s="837" t="s">
        <v>1004</v>
      </c>
      <c r="AS6" s="837" t="s">
        <v>987</v>
      </c>
      <c r="AT6" s="772"/>
      <c r="AU6" s="773" t="s">
        <v>985</v>
      </c>
      <c r="AV6" s="773" t="s">
        <v>80</v>
      </c>
      <c r="AX6" s="771" t="str">
        <f t="shared" ref="AX6:AZ16" si="11">+C6</f>
        <v>#</v>
      </c>
      <c r="AY6" s="771" t="str">
        <f t="shared" si="11"/>
        <v>Scenario Details</v>
      </c>
      <c r="AZ6" s="771" t="str">
        <f t="shared" si="11"/>
        <v>Vehicle</v>
      </c>
      <c r="BB6" s="773" t="str">
        <f>+G6</f>
        <v>Spend Δ</v>
      </c>
      <c r="BC6" s="773" t="str">
        <f>+H6</f>
        <v>Lift (%)</v>
      </c>
      <c r="BE6" s="773" t="str">
        <f>+O6</f>
        <v>Spend Δ</v>
      </c>
      <c r="BF6" s="773" t="str">
        <f>+P6</f>
        <v>Lift (%)</v>
      </c>
      <c r="BH6" s="773" t="str">
        <f>+W6</f>
        <v>Spend Δ</v>
      </c>
      <c r="BI6" s="773" t="str">
        <f>+X6</f>
        <v>Lift (%)</v>
      </c>
      <c r="BK6" s="773" t="str">
        <f>+AE6</f>
        <v>Spend Δ</v>
      </c>
      <c r="BL6" s="773" t="str">
        <f>+AF6</f>
        <v>Lift (%)</v>
      </c>
      <c r="BN6" s="773" t="str">
        <f>+AM6</f>
        <v>Spend Δ</v>
      </c>
      <c r="BO6" s="773" t="str">
        <f>+AN6</f>
        <v>Lift (%)</v>
      </c>
      <c r="BQ6" s="773" t="str">
        <f>+AU6</f>
        <v>Spend Δ</v>
      </c>
      <c r="BR6" s="773" t="str">
        <f>+AV6</f>
        <v>Lift (%)</v>
      </c>
    </row>
    <row r="7" spans="2:70" ht="20.100000000000001" customHeight="1">
      <c r="B7" s="836">
        <v>55</v>
      </c>
      <c r="C7" s="772" t="s">
        <v>140</v>
      </c>
      <c r="D7" s="774" t="str">
        <f>LEFT(INDEX(DSS_Calc!$D:$D,MATCH(G$4+$B7,DSS_Calc!$A:$A,0)),LEN(INDEX(DSS_Calc!$D:$D,MATCH(G$4+$B7,DSS_Calc!$A:$A,0)))-2)</f>
        <v>500 CC, 500 Combo, 360 Lease</v>
      </c>
      <c r="E7" s="772" t="str">
        <f>"MY"&amp;RIGHT(Input!$H$9,2)&amp;" "&amp;Input!$H$3</f>
        <v>MY20 Soul</v>
      </c>
      <c r="F7" s="772"/>
      <c r="G7" s="776">
        <f>INDEX(DSS_Calc!$JD:$JD,MATCH(G$4+$B7,DSS_Calc!$A:$A,0))-INDEX(DSS_Calc!$JD:$JD,MATCH(G$4+$B$6,DSS_Calc!$A:$A,0))</f>
        <v>445.70298446704282</v>
      </c>
      <c r="H7" s="775">
        <f>INDEX(DSS_Calc!$JM:$JM,MATCH(G$4+$B7,DSS_Calc!$A:$A,0))/INDEX(DSS_Calc!$JM:$JM,MATCH(G$4+$B$6,DSS_Calc!$A:$A,0))-1</f>
        <v>8.0695161403459892E-2</v>
      </c>
      <c r="I7" s="787">
        <f>ABS(INDEX(DSS_Calc!$KU:$KU,MATCH(G$4+$B7,DSS_Calc!$A:$A,0)))</f>
        <v>6.2726604560382766</v>
      </c>
      <c r="J7" s="814">
        <f t="shared" ref="J7:J16" si="12">RANK(I7,I$7:I$16,0)</f>
        <v>6</v>
      </c>
      <c r="K7" s="812">
        <f>IF(G7&gt;QUARTILE(G$7:G$16,3),1+COUNTIFS(G$7:G$16,"&gt;"&amp;QUARTILE(G$7:G$16,3),I$7:I$16,"&gt;"&amp;I7),100)</f>
        <v>2</v>
      </c>
      <c r="L7" s="812">
        <f>IF(G7&lt;QUARTILE(G$7:G$16,1),1+COUNTIFS(G$7:G$16,"&lt;"&amp;QUARTILE(G$7:G$16,1),I$7:I$16,"&gt;"&amp;I7),100)</f>
        <v>100</v>
      </c>
      <c r="M7" s="812">
        <f>INDEX(DSS_Calc!$JM:$JM,MATCH(G$4+$B7,DSS_Calc!$A:$A,0))</f>
        <v>483.97386239573672</v>
      </c>
      <c r="N7" s="772"/>
      <c r="O7" s="776">
        <f>INDEX(DSS_Calc!$JD:$JD,MATCH(O$4+$B7,DSS_Calc!$A:$A,0))-INDEX(DSS_Calc!$JD:$JD,MATCH(O$4+$B$6,DSS_Calc!$A:$A,0))</f>
        <v>469.00987946500982</v>
      </c>
      <c r="P7" s="775">
        <f>INDEX(DSS_Calc!$JM:$JM,MATCH(O$4+$B7,DSS_Calc!$A:$A,0))/INDEX(DSS_Calc!$JM:$JM,MATCH(O$4+$B$6,DSS_Calc!$A:$A,0))-1</f>
        <v>7.3833622123802956E-2</v>
      </c>
      <c r="Q7" s="787">
        <f>ABS(INDEX(DSS_Calc!$KU:$KU,MATCH(O$4+$B7,DSS_Calc!$A:$A,0)))</f>
        <v>4.5301999110087436</v>
      </c>
      <c r="R7" s="814">
        <f t="shared" ref="R7:R16" si="13">RANK(Q7,Q$7:Q$16,0)</f>
        <v>6</v>
      </c>
      <c r="S7" s="812">
        <f>IF(O7&gt;QUARTILE(O$7:O$16,3),1+COUNTIFS(O$7:O$16,"&gt;"&amp;QUARTILE(O$7:O$16,3),Q$7:Q$16,"&gt;"&amp;Q7),100)</f>
        <v>100</v>
      </c>
      <c r="T7" s="812">
        <f>IF(O7&lt;QUARTILE(O$7:O$16,1),1+COUNTIFS(O$7:O$16,"&lt;"&amp;QUARTILE(O$7:O$16,1),Q$7:Q$16,"&gt;"&amp;Q7),100)</f>
        <v>100</v>
      </c>
      <c r="U7" s="812">
        <f>INDEX(DSS_Calc!$JM:$JM,MATCH(O$4+$B7,DSS_Calc!$A:$A,0))</f>
        <v>1342.6859573038753</v>
      </c>
      <c r="V7" s="772"/>
      <c r="W7" s="776">
        <f>INDEX(DSS_Calc!$JD:$JD,MATCH(W$4+$B7,DSS_Calc!$A:$A,0))-INDEX(DSS_Calc!$JD:$JD,MATCH(W$4+$B$6,DSS_Calc!$A:$A,0))</f>
        <v>492.33357895222571</v>
      </c>
      <c r="X7" s="775">
        <f>INDEX(DSS_Calc!$JM:$JM,MATCH(W$4+$B7,DSS_Calc!$A:$A,0))/INDEX(DSS_Calc!$JM:$JM,MATCH(W$4+$B$6,DSS_Calc!$A:$A,0))-1</f>
        <v>7.2872543386529154E-2</v>
      </c>
      <c r="Y7" s="787">
        <f>ABS(INDEX(DSS_Calc!$KU:$KU,MATCH(W$4+$B7,DSS_Calc!$A:$A,0)))</f>
        <v>4.693442857144424</v>
      </c>
      <c r="Z7" s="814">
        <f t="shared" ref="Z7:Z16" si="14">RANK(Y7,Y$7:Y$16,0)</f>
        <v>6</v>
      </c>
      <c r="AA7" s="812">
        <f>IF(W7&gt;QUARTILE(W$7:W$16,3),1+COUNTIFS(W$7:W$16,"&gt;"&amp;QUARTILE(W$7:W$16,3),Y$7:Y$16,"&gt;"&amp;Y7),100)</f>
        <v>100</v>
      </c>
      <c r="AB7" s="812">
        <f>IF(W7&lt;QUARTILE(W$7:W$16,1),1+COUNTIFS(W$7:W$16,"&lt;"&amp;QUARTILE(W$7:W$16,1),Y$7:Y$16,"&gt;"&amp;Y7),100)</f>
        <v>100</v>
      </c>
      <c r="AC7" s="812">
        <f>INDEX(DSS_Calc!$JM:$JM,MATCH(W$4+$B7,DSS_Calc!$A:$A,0))</f>
        <v>1780.0365165524283</v>
      </c>
      <c r="AD7" s="772"/>
      <c r="AE7" s="776">
        <f>INDEX(DSS_Calc!$JD:$JD,MATCH(AE$4+$B7,DSS_Calc!$A:$A,0))-INDEX(DSS_Calc!$JD:$JD,MATCH(AE$4+$B$6,DSS_Calc!$A:$A,0))</f>
        <v>491.28823400578767</v>
      </c>
      <c r="AF7" s="775">
        <f>INDEX(DSS_Calc!$JM:$JM,MATCH(AE$4+$B7,DSS_Calc!$A:$A,0))/INDEX(DSS_Calc!$JM:$JM,MATCH(AE$4+$B$6,DSS_Calc!$A:$A,0))-1</f>
        <v>6.7376492950417699E-2</v>
      </c>
      <c r="AG7" s="787">
        <f>ABS(INDEX(DSS_Calc!$KU:$KU,MATCH(AE$4+$B7,DSS_Calc!$A:$A,0)))</f>
        <v>4.0649795079478874</v>
      </c>
      <c r="AH7" s="814">
        <f t="shared" ref="AH7:AH16" si="15">RANK(AG7,AG$7:AG$16,0)</f>
        <v>5</v>
      </c>
      <c r="AI7" s="812">
        <f>IF(AE7&gt;QUARTILE(AE$7:AE$16,3),1+COUNTIFS(AE$7:AE$16,"&gt;"&amp;QUARTILE(AE$7:AE$16,3),AG$7:AG$16,"&gt;"&amp;AG7),100)</f>
        <v>100</v>
      </c>
      <c r="AJ7" s="812">
        <f>IF(AE7&lt;QUARTILE(AE$7:AE$16,1),1+COUNTIFS(AE$7:AE$16,"&lt;"&amp;QUARTILE(AE$7:AE$16,1),AG$7:AG$16,"&gt;"&amp;AG7),100)</f>
        <v>100</v>
      </c>
      <c r="AK7" s="812">
        <f>INDEX(DSS_Calc!$JM:$JM,MATCH(AE$4+$B7,DSS_Calc!$A:$A,0))</f>
        <v>2581.5693603812047</v>
      </c>
      <c r="AL7" s="772"/>
      <c r="AM7" s="776">
        <f>INDEX(DSS_Calc!$JD:$JD,MATCH(AM$4+$B7,DSS_Calc!$A:$A,0))-INDEX(DSS_Calc!$JD:$JD,MATCH(AM$4+$B$6,DSS_Calc!$A:$A,0))</f>
        <v>487.3914936055221</v>
      </c>
      <c r="AN7" s="775">
        <f>INDEX(DSS_Calc!$JM:$JM,MATCH(AM$4+$B7,DSS_Calc!$A:$A,0))/INDEX(DSS_Calc!$JM:$JM,MATCH(AM$4+$B$6,DSS_Calc!$A:$A,0))-1</f>
        <v>7.1388477464844113E-2</v>
      </c>
      <c r="AO7" s="787">
        <f>ABS(INDEX(DSS_Calc!$KU:$KU,MATCH(AM$4+$B7,DSS_Calc!$A:$A,0)))</f>
        <v>4.0032214675514162</v>
      </c>
      <c r="AP7" s="814">
        <f t="shared" ref="AP7:AP16" si="16">RANK(AO7,AO$7:AO$16,0)</f>
        <v>6</v>
      </c>
      <c r="AQ7" s="812">
        <f>IF(AM7&gt;QUARTILE(AM$7:AM$16,3),1+COUNTIFS(AM$7:AM$16,"&gt;"&amp;QUARTILE(AM$7:AM$16,3),AO$7:AO$16,"&gt;"&amp;AO7),100)</f>
        <v>100</v>
      </c>
      <c r="AR7" s="812">
        <f>IF(AM7&lt;QUARTILE(AM$7:AM$16,1),1+COUNTIFS(AM$7:AM$16,"&lt;"&amp;QUARTILE(AM$7:AM$16,1),AO$7:AO$16,"&gt;"&amp;AO7),100)</f>
        <v>100</v>
      </c>
      <c r="AS7" s="812">
        <f>INDEX(DSS_Calc!$JM:$JM,MATCH(AM$4+$B7,DSS_Calc!$A:$A,0))</f>
        <v>883.19139374263011</v>
      </c>
      <c r="AT7" s="772"/>
      <c r="AU7" s="776">
        <f>INDEX(DSS_Calc!$JD:$JD,MATCH(AU$4+$B7,DSS_Calc!$A:$A,0))-INDEX(DSS_Calc!$JD:$JD,MATCH(AU$4+$B$6,DSS_Calc!$A:$A,0))</f>
        <v>483.63669512851948</v>
      </c>
      <c r="AV7" s="775">
        <f>INDEX(DSS_Calc!$JM:$JM,MATCH(AU$4+$B7,DSS_Calc!$A:$A,0))/INDEX(DSS_Calc!$JM:$JM,MATCH(AU$4+$B$6,DSS_Calc!$A:$A,0))-1</f>
        <v>7.1386056415270627E-2</v>
      </c>
      <c r="AX7" s="772" t="str">
        <f t="shared" si="11"/>
        <v>A</v>
      </c>
      <c r="AY7" s="774" t="str">
        <f t="shared" si="11"/>
        <v>500 CC, 500 Combo, 360 Lease</v>
      </c>
      <c r="AZ7" s="772" t="str">
        <f t="shared" si="11"/>
        <v>MY20 Soul</v>
      </c>
      <c r="BB7" s="776">
        <f>+G7</f>
        <v>445.70298446704282</v>
      </c>
      <c r="BC7" s="775">
        <f>+H7</f>
        <v>8.0695161403459892E-2</v>
      </c>
      <c r="BE7" s="776">
        <f t="shared" ref="BE7:BF16" si="17">+O7</f>
        <v>469.00987946500982</v>
      </c>
      <c r="BF7" s="775">
        <f t="shared" si="17"/>
        <v>7.3833622123802956E-2</v>
      </c>
      <c r="BH7" s="776">
        <f t="shared" ref="BH7:BI16" si="18">+W7</f>
        <v>492.33357895222571</v>
      </c>
      <c r="BI7" s="775">
        <f t="shared" si="18"/>
        <v>7.2872543386529154E-2</v>
      </c>
      <c r="BK7" s="776">
        <f t="shared" ref="BK7:BL16" si="19">+AE7</f>
        <v>491.28823400578767</v>
      </c>
      <c r="BL7" s="775">
        <f t="shared" si="19"/>
        <v>6.7376492950417699E-2</v>
      </c>
      <c r="BN7" s="776">
        <f t="shared" ref="BN7:BO16" si="20">+AM7</f>
        <v>487.3914936055221</v>
      </c>
      <c r="BO7" s="775">
        <f t="shared" si="20"/>
        <v>7.1388477464844113E-2</v>
      </c>
      <c r="BQ7" s="776">
        <f t="shared" ref="BQ7:BR16" si="21">+AU7</f>
        <v>483.63669512851948</v>
      </c>
      <c r="BR7" s="775">
        <f t="shared" si="21"/>
        <v>7.1386056415270627E-2</v>
      </c>
    </row>
    <row r="8" spans="2:70" ht="20.100000000000001" customHeight="1">
      <c r="B8" s="836">
        <v>56</v>
      </c>
      <c r="C8" s="777" t="str">
        <f>CHAR(CODE(C7)+1)</f>
        <v>B</v>
      </c>
      <c r="D8" s="778" t="str">
        <f>LEFT(INDEX(DSS_Calc!$D:$D,MATCH(G$4+$B8,DSS_Calc!$A:$A,0)),LEN(INDEX(DSS_Calc!$D:$D,MATCH(G$4+$B8,DSS_Calc!$A:$A,0)))-2)</f>
        <v>1000 CC, 1000 Combo, 720 Lease</v>
      </c>
      <c r="E8" s="777" t="str">
        <f>"MY"&amp;RIGHT(Input!$H$9,2)&amp;" "&amp;Input!$H$3</f>
        <v>MY20 Soul</v>
      </c>
      <c r="F8" s="772"/>
      <c r="G8" s="779">
        <f>INDEX(DSS_Calc!$JD:$JD,MATCH(G$4+$B8,DSS_Calc!$A:$A,0))-INDEX(DSS_Calc!$JD:$JD,MATCH(G$4+$B$6,DSS_Calc!$A:$A,0))</f>
        <v>893.26302952436845</v>
      </c>
      <c r="H8" s="780">
        <f>INDEX(DSS_Calc!$JM:$JM,MATCH(G$4+$B8,DSS_Calc!$A:$A,0))/INDEX(DSS_Calc!$JM:$JM,MATCH(G$4+$B$6,DSS_Calc!$A:$A,0))-1</f>
        <v>0.16677257323419159</v>
      </c>
      <c r="I8" s="788">
        <f>ABS(INDEX(DSS_Calc!$KU:$KU,MATCH(G$4+$B8,DSS_Calc!$A:$A,0)))</f>
        <v>6.3867052846595618</v>
      </c>
      <c r="J8" s="777">
        <f t="shared" si="12"/>
        <v>5</v>
      </c>
      <c r="K8" s="813">
        <f t="shared" ref="K8:K16" si="22">IF(G8&gt;QUARTILE(G$7:G$16,3),1+COUNTIFS(G$7:G$16,"&gt;"&amp;QUARTILE(G$7:G$16,3),I$7:I$16,"&gt;"&amp;I8),100)</f>
        <v>1</v>
      </c>
      <c r="L8" s="813">
        <f t="shared" ref="L8:L16" si="23">IF(G8&lt;QUARTILE(G$7:G$16,1),1+COUNTIFS(G$7:G$16,"&lt;"&amp;QUARTILE(G$7:G$16,1),I$7:I$16,"&gt;"&amp;I8),100)</f>
        <v>100</v>
      </c>
      <c r="M8" s="813">
        <f>INDEX(DSS_Calc!$JM:$JM,MATCH(G$4+$B8,DSS_Calc!$A:$A,0))</f>
        <v>522.52239944539497</v>
      </c>
      <c r="N8" s="772"/>
      <c r="O8" s="779">
        <f>INDEX(DSS_Calc!$JD:$JD,MATCH(O$4+$B8,DSS_Calc!$A:$A,0))-INDEX(DSS_Calc!$JD:$JD,MATCH(O$4+$B$6,DSS_Calc!$A:$A,0))</f>
        <v>938.85094532490757</v>
      </c>
      <c r="P8" s="780">
        <f>INDEX(DSS_Calc!$JM:$JM,MATCH(O$4+$B8,DSS_Calc!$A:$A,0))/INDEX(DSS_Calc!$JM:$JM,MATCH(O$4+$B$6,DSS_Calc!$A:$A,0))-1</f>
        <v>0.15190696209851895</v>
      </c>
      <c r="Q8" s="788">
        <f>ABS(INDEX(DSS_Calc!$KU:$KU,MATCH(O$4+$B8,DSS_Calc!$A:$A,0)))</f>
        <v>4.5902475991125966</v>
      </c>
      <c r="R8" s="777">
        <f t="shared" si="13"/>
        <v>4</v>
      </c>
      <c r="S8" s="813">
        <f t="shared" ref="S8:S16" si="24">IF(O8&gt;QUARTILE(O$7:O$16,3),1+COUNTIFS(O$7:O$16,"&gt;"&amp;QUARTILE(O$7:O$16,3),Q$7:Q$16,"&gt;"&amp;Q8),100)</f>
        <v>2</v>
      </c>
      <c r="T8" s="813">
        <f t="shared" ref="T8:T16" si="25">IF(O8&lt;QUARTILE(O$7:O$16,1),1+COUNTIFS(O$7:O$16,"&lt;"&amp;QUARTILE(O$7:O$16,1),Q$7:Q$16,"&gt;"&amp;Q8),100)</f>
        <v>100</v>
      </c>
      <c r="U8" s="813">
        <f>INDEX(DSS_Calc!$JM:$JM,MATCH(O$4+$B8,DSS_Calc!$A:$A,0))</f>
        <v>1440.3062730251656</v>
      </c>
      <c r="V8" s="772"/>
      <c r="W8" s="779">
        <f>INDEX(DSS_Calc!$JD:$JD,MATCH(W$4+$B8,DSS_Calc!$A:$A,0))-INDEX(DSS_Calc!$JD:$JD,MATCH(W$4+$B$6,DSS_Calc!$A:$A,0))</f>
        <v>970.93063928012771</v>
      </c>
      <c r="X8" s="780">
        <f>INDEX(DSS_Calc!$JM:$JM,MATCH(W$4+$B8,DSS_Calc!$A:$A,0))/INDEX(DSS_Calc!$JM:$JM,MATCH(W$4+$B$6,DSS_Calc!$A:$A,0))-1</f>
        <v>0.14970015885611376</v>
      </c>
      <c r="Y8" s="788">
        <f>ABS(INDEX(DSS_Calc!$KU:$KU,MATCH(W$4+$B8,DSS_Calc!$A:$A,0)))</f>
        <v>4.7589421906659108</v>
      </c>
      <c r="Z8" s="777">
        <f t="shared" si="14"/>
        <v>3</v>
      </c>
      <c r="AA8" s="813">
        <f t="shared" ref="AA8:AA16" si="26">IF(W8&gt;QUARTILE(W$7:W$16,3),1+COUNTIFS(W$7:W$16,"&gt;"&amp;QUARTILE(W$7:W$16,3),Y$7:Y$16,"&gt;"&amp;Y8),100)</f>
        <v>2</v>
      </c>
      <c r="AB8" s="813">
        <f t="shared" ref="AB8:AB16" si="27">IF(W8&lt;QUARTILE(W$7:W$16,1),1+COUNTIFS(W$7:W$16,"&lt;"&amp;QUARTILE(W$7:W$16,1),Y$7:Y$16,"&gt;"&amp;Y8),100)</f>
        <v>100</v>
      </c>
      <c r="AC8" s="813">
        <f>INDEX(DSS_Calc!$JM:$JM,MATCH(W$4+$B8,DSS_Calc!$A:$A,0))</f>
        <v>1907.5036251651979</v>
      </c>
      <c r="AD8" s="772"/>
      <c r="AE8" s="779">
        <f>INDEX(DSS_Calc!$JD:$JD,MATCH(AE$4+$B8,DSS_Calc!$A:$A,0))-INDEX(DSS_Calc!$JD:$JD,MATCH(AE$4+$B$6,DSS_Calc!$A:$A,0))</f>
        <v>982.0456031694207</v>
      </c>
      <c r="AF8" s="780">
        <f>INDEX(DSS_Calc!$JM:$JM,MATCH(AE$4+$B8,DSS_Calc!$A:$A,0))/INDEX(DSS_Calc!$JM:$JM,MATCH(AE$4+$B$6,DSS_Calc!$A:$A,0))-1</f>
        <v>0.13808446278647057</v>
      </c>
      <c r="AG8" s="788">
        <f>ABS(INDEX(DSS_Calc!$KU:$KU,MATCH(AE$4+$B8,DSS_Calc!$A:$A,0)))</f>
        <v>4.1115862081511914</v>
      </c>
      <c r="AH8" s="777">
        <f t="shared" si="15"/>
        <v>2</v>
      </c>
      <c r="AI8" s="813">
        <f t="shared" ref="AI8:AI16" si="28">IF(AE8&gt;QUARTILE(AE$7:AE$16,3),1+COUNTIFS(AE$7:AE$16,"&gt;"&amp;QUARTILE(AE$7:AE$16,3),AG$7:AG$16,"&gt;"&amp;AG8),100)</f>
        <v>2</v>
      </c>
      <c r="AJ8" s="813">
        <f t="shared" ref="AJ8:AJ16" si="29">IF(AE8&lt;QUARTILE(AE$7:AE$16,1),1+COUNTIFS(AE$7:AE$16,"&lt;"&amp;QUARTILE(AE$7:AE$16,1),AG$7:AG$16,"&gt;"&amp;AG8),100)</f>
        <v>100</v>
      </c>
      <c r="AK8" s="813">
        <f>INDEX(DSS_Calc!$JM:$JM,MATCH(AE$4+$B8,DSS_Calc!$A:$A,0))</f>
        <v>2752.5844892219629</v>
      </c>
      <c r="AL8" s="772"/>
      <c r="AM8" s="779">
        <f>INDEX(DSS_Calc!$JD:$JD,MATCH(AM$4+$B8,DSS_Calc!$A:$A,0))-INDEX(DSS_Calc!$JD:$JD,MATCH(AM$4+$B$6,DSS_Calc!$A:$A,0))</f>
        <v>974.42463711797745</v>
      </c>
      <c r="AN8" s="780">
        <f>INDEX(DSS_Calc!$JM:$JM,MATCH(AM$4+$B8,DSS_Calc!$A:$A,0))/INDEX(DSS_Calc!$JM:$JM,MATCH(AM$4+$B$6,DSS_Calc!$A:$A,0))-1</f>
        <v>0.14669215249240186</v>
      </c>
      <c r="AO8" s="788">
        <f>ABS(INDEX(DSS_Calc!$KU:$KU,MATCH(AM$4+$B8,DSS_Calc!$A:$A,0)))</f>
        <v>4.0488610116009713</v>
      </c>
      <c r="AP8" s="777">
        <f t="shared" si="16"/>
        <v>2</v>
      </c>
      <c r="AQ8" s="813">
        <f t="shared" ref="AQ8:AQ16" si="30">IF(AM8&gt;QUARTILE(AM$7:AM$16,3),1+COUNTIFS(AM$7:AM$16,"&gt;"&amp;QUARTILE(AM$7:AM$16,3),AO$7:AO$16,"&gt;"&amp;AO8),100)</f>
        <v>2</v>
      </c>
      <c r="AR8" s="813">
        <f t="shared" ref="AR8:AR16" si="31">IF(AM8&lt;QUARTILE(AM$7:AM$16,1),1+COUNTIFS(AM$7:AM$16,"&lt;"&amp;QUARTILE(AM$7:AM$16,1),AO$7:AO$16,"&gt;"&amp;AO8),100)</f>
        <v>100</v>
      </c>
      <c r="AS8" s="813">
        <f>INDEX(DSS_Calc!$JM:$JM,MATCH(AM$4+$B8,DSS_Calc!$A:$A,0))</f>
        <v>945.26743721371861</v>
      </c>
      <c r="AT8" s="772"/>
      <c r="AU8" s="779">
        <f>INDEX(DSS_Calc!$JD:$JD,MATCH(AU$4+$B8,DSS_Calc!$A:$A,0))-INDEX(DSS_Calc!$JD:$JD,MATCH(AU$4+$B$6,DSS_Calc!$A:$A,0))</f>
        <v>963.78322373538958</v>
      </c>
      <c r="AV8" s="780">
        <f>INDEX(DSS_Calc!$JM:$JM,MATCH(AU$4+$B8,DSS_Calc!$A:$A,0))/INDEX(DSS_Calc!$JM:$JM,MATCH(AU$4+$B$6,DSS_Calc!$A:$A,0))-1</f>
        <v>0.1466444533882012</v>
      </c>
      <c r="AX8" s="777" t="str">
        <f t="shared" si="11"/>
        <v>B</v>
      </c>
      <c r="AY8" s="778" t="str">
        <f t="shared" si="11"/>
        <v>1000 CC, 1000 Combo, 720 Lease</v>
      </c>
      <c r="AZ8" s="777" t="str">
        <f t="shared" si="11"/>
        <v>MY20 Soul</v>
      </c>
      <c r="BB8" s="779">
        <f t="shared" ref="BB8:BC16" si="32">+G8</f>
        <v>893.26302952436845</v>
      </c>
      <c r="BC8" s="780">
        <f t="shared" si="32"/>
        <v>0.16677257323419159</v>
      </c>
      <c r="BE8" s="779">
        <f t="shared" si="17"/>
        <v>938.85094532490757</v>
      </c>
      <c r="BF8" s="780">
        <f t="shared" si="17"/>
        <v>0.15190696209851895</v>
      </c>
      <c r="BH8" s="779">
        <f t="shared" si="18"/>
        <v>970.93063928012771</v>
      </c>
      <c r="BI8" s="780">
        <f t="shared" si="18"/>
        <v>0.14970015885611376</v>
      </c>
      <c r="BK8" s="779">
        <f t="shared" si="19"/>
        <v>982.0456031694207</v>
      </c>
      <c r="BL8" s="780">
        <f t="shared" si="19"/>
        <v>0.13808446278647057</v>
      </c>
      <c r="BN8" s="779">
        <f t="shared" si="20"/>
        <v>974.42463711797745</v>
      </c>
      <c r="BO8" s="780">
        <f t="shared" si="20"/>
        <v>0.14669215249240186</v>
      </c>
      <c r="BQ8" s="779">
        <f t="shared" si="21"/>
        <v>963.78322373538958</v>
      </c>
      <c r="BR8" s="780">
        <f t="shared" si="21"/>
        <v>0.1466444533882012</v>
      </c>
    </row>
    <row r="9" spans="2:70" ht="20.100000000000001" customHeight="1">
      <c r="B9" s="836">
        <v>32</v>
      </c>
      <c r="C9" s="772" t="str">
        <f t="shared" ref="C9:C18" si="33">CHAR(CODE(C8)+1)</f>
        <v>C</v>
      </c>
      <c r="D9" s="774" t="str">
        <f>LEFT(INDEX(DSS_Calc!$D:$D,MATCH(G$4+$B9,DSS_Calc!$A:$A,0)),LEN(INDEX(DSS_Calc!$D:$D,MATCH(G$4+$B9,DSS_Calc!$A:$A,0)))-2)</f>
        <v>500 CC, 500 Combo</v>
      </c>
      <c r="E9" s="772" t="str">
        <f>"MY"&amp;RIGHT(Input!$H$9,2)&amp;" "&amp;Input!$H$3</f>
        <v>MY20 Soul</v>
      </c>
      <c r="F9" s="772"/>
      <c r="G9" s="776">
        <f>INDEX(DSS_Calc!$JD:$JD,MATCH(G$4+$B9,DSS_Calc!$A:$A,0))-INDEX(DSS_Calc!$JD:$JD,MATCH(G$4+$B$6,DSS_Calc!$A:$A,0))</f>
        <v>162.88470133991405</v>
      </c>
      <c r="H9" s="775">
        <f>INDEX(DSS_Calc!$JM:$JM,MATCH(G$4+$B9,DSS_Calc!$A:$A,0))/INDEX(DSS_Calc!$JM:$JM,MATCH(G$4+$B$6,DSS_Calc!$A:$A,0))-1</f>
        <v>4.9314451682461069E-2</v>
      </c>
      <c r="I9" s="787">
        <f>ABS(INDEX(DSS_Calc!$KU:$KU,MATCH(G$4+$B9,DSS_Calc!$A:$A,0)))</f>
        <v>6.4709440410630616</v>
      </c>
      <c r="J9" s="772">
        <f t="shared" si="12"/>
        <v>4</v>
      </c>
      <c r="K9" s="812">
        <f t="shared" si="22"/>
        <v>100</v>
      </c>
      <c r="L9" s="812">
        <f t="shared" si="23"/>
        <v>3</v>
      </c>
      <c r="M9" s="812">
        <f>INDEX(DSS_Calc!$JM:$JM,MATCH(G$4+$B9,DSS_Calc!$A:$A,0))</f>
        <v>469.92046063101714</v>
      </c>
      <c r="N9" s="772"/>
      <c r="O9" s="776">
        <f>INDEX(DSS_Calc!$JD:$JD,MATCH(O$4+$B9,DSS_Calc!$A:$A,0))-INDEX(DSS_Calc!$JD:$JD,MATCH(O$4+$B$6,DSS_Calc!$A:$A,0))</f>
        <v>356.3519894176693</v>
      </c>
      <c r="P9" s="775">
        <f>INDEX(DSS_Calc!$JM:$JM,MATCH(O$4+$B9,DSS_Calc!$A:$A,0))/INDEX(DSS_Calc!$JM:$JM,MATCH(O$4+$B$6,DSS_Calc!$A:$A,0))-1</f>
        <v>6.0406739513416685E-2</v>
      </c>
      <c r="Q9" s="787">
        <f>ABS(INDEX(DSS_Calc!$KU:$KU,MATCH(O$4+$B9,DSS_Calc!$A:$A,0)))</f>
        <v>4.5751676633593252</v>
      </c>
      <c r="R9" s="772">
        <f t="shared" si="13"/>
        <v>5</v>
      </c>
      <c r="S9" s="812">
        <f t="shared" si="24"/>
        <v>100</v>
      </c>
      <c r="T9" s="812">
        <f t="shared" si="25"/>
        <v>100</v>
      </c>
      <c r="U9" s="812">
        <f>INDEX(DSS_Calc!$JM:$JM,MATCH(O$4+$B9,DSS_Calc!$A:$A,0))</f>
        <v>1325.8974284667192</v>
      </c>
      <c r="V9" s="772"/>
      <c r="W9" s="776">
        <f>INDEX(DSS_Calc!$JD:$JD,MATCH(W$4+$B9,DSS_Calc!$A:$A,0))-INDEX(DSS_Calc!$JD:$JD,MATCH(W$4+$B$6,DSS_Calc!$A:$A,0))</f>
        <v>380.52742289992511</v>
      </c>
      <c r="X9" s="775">
        <f>INDEX(DSS_Calc!$JM:$JM,MATCH(W$4+$B9,DSS_Calc!$A:$A,0))/INDEX(DSS_Calc!$JM:$JM,MATCH(W$4+$B$6,DSS_Calc!$A:$A,0))-1</f>
        <v>6.0360500234631465E-2</v>
      </c>
      <c r="Y9" s="787">
        <f>ABS(INDEX(DSS_Calc!$KU:$KU,MATCH(W$4+$B9,DSS_Calc!$A:$A,0)))</f>
        <v>4.7333528900855057</v>
      </c>
      <c r="Z9" s="772">
        <f t="shared" si="14"/>
        <v>5</v>
      </c>
      <c r="AA9" s="812">
        <f t="shared" si="26"/>
        <v>100</v>
      </c>
      <c r="AB9" s="812">
        <f t="shared" si="27"/>
        <v>100</v>
      </c>
      <c r="AC9" s="812">
        <f>INDEX(DSS_Calc!$JM:$JM,MATCH(W$4+$B9,DSS_Calc!$A:$A,0))</f>
        <v>1759.2773929786661</v>
      </c>
      <c r="AD9" s="772"/>
      <c r="AE9" s="776">
        <f>INDEX(DSS_Calc!$JD:$JD,MATCH(AE$4+$B9,DSS_Calc!$A:$A,0))-INDEX(DSS_Calc!$JD:$JD,MATCH(AE$4+$B$6,DSS_Calc!$A:$A,0))</f>
        <v>456.85396305912673</v>
      </c>
      <c r="AF9" s="775">
        <f>INDEX(DSS_Calc!$JM:$JM,MATCH(AE$4+$B9,DSS_Calc!$A:$A,0))/INDEX(DSS_Calc!$JM:$JM,MATCH(AE$4+$B$6,DSS_Calc!$A:$A,0))-1</f>
        <v>6.3456109902760627E-2</v>
      </c>
      <c r="AG9" s="787">
        <f>ABS(INDEX(DSS_Calc!$KU:$KU,MATCH(AE$4+$B9,DSS_Calc!$A:$A,0)))</f>
        <v>4.0714616340562682</v>
      </c>
      <c r="AH9" s="772">
        <f t="shared" si="15"/>
        <v>3</v>
      </c>
      <c r="AI9" s="812">
        <f t="shared" si="28"/>
        <v>100</v>
      </c>
      <c r="AJ9" s="812">
        <f t="shared" si="29"/>
        <v>100</v>
      </c>
      <c r="AK9" s="812">
        <f>INDEX(DSS_Calc!$JM:$JM,MATCH(AE$4+$B9,DSS_Calc!$A:$A,0))</f>
        <v>2572.0874757569572</v>
      </c>
      <c r="AL9" s="772"/>
      <c r="AM9" s="776">
        <f>INDEX(DSS_Calc!$JD:$JD,MATCH(AM$4+$B9,DSS_Calc!$A:$A,0))-INDEX(DSS_Calc!$JD:$JD,MATCH(AM$4+$B$6,DSS_Calc!$A:$A,0))</f>
        <v>441.38466485894423</v>
      </c>
      <c r="AN9" s="775">
        <f>INDEX(DSS_Calc!$JM:$JM,MATCH(AM$4+$B9,DSS_Calc!$A:$A,0))/INDEX(DSS_Calc!$JM:$JM,MATCH(AM$4+$B$6,DSS_Calc!$A:$A,0))-1</f>
        <v>6.5749217014163586E-2</v>
      </c>
      <c r="AO9" s="787">
        <f>ABS(INDEX(DSS_Calc!$KU:$KU,MATCH(AM$4+$B9,DSS_Calc!$A:$A,0)))</f>
        <v>4.0151796330946166</v>
      </c>
      <c r="AP9" s="772">
        <f t="shared" si="16"/>
        <v>3</v>
      </c>
      <c r="AQ9" s="812">
        <f t="shared" si="30"/>
        <v>100</v>
      </c>
      <c r="AR9" s="812">
        <f t="shared" si="31"/>
        <v>100</v>
      </c>
      <c r="AS9" s="812">
        <f>INDEX(DSS_Calc!$JM:$JM,MATCH(AM$4+$B9,DSS_Calc!$A:$A,0))</f>
        <v>878.54270990677321</v>
      </c>
      <c r="AT9" s="772"/>
      <c r="AU9" s="776">
        <f>INDEX(DSS_Calc!$JD:$JD,MATCH(AU$4+$B9,DSS_Calc!$A:$A,0))-INDEX(DSS_Calc!$JD:$JD,MATCH(AU$4+$B$6,DSS_Calc!$A:$A,0))</f>
        <v>396.56726922069993</v>
      </c>
      <c r="AV9" s="775">
        <f>INDEX(DSS_Calc!$JM:$JM,MATCH(AU$4+$B9,DSS_Calc!$A:$A,0))/INDEX(DSS_Calc!$JM:$JM,MATCH(AU$4+$B$6,DSS_Calc!$A:$A,0))-1</f>
        <v>6.1427155009599721E-2</v>
      </c>
      <c r="AX9" s="772" t="str">
        <f t="shared" si="11"/>
        <v>C</v>
      </c>
      <c r="AY9" s="774" t="str">
        <f t="shared" si="11"/>
        <v>500 CC, 500 Combo</v>
      </c>
      <c r="AZ9" s="772" t="str">
        <f t="shared" si="11"/>
        <v>MY20 Soul</v>
      </c>
      <c r="BB9" s="776">
        <f t="shared" si="32"/>
        <v>162.88470133991405</v>
      </c>
      <c r="BC9" s="775">
        <f t="shared" si="32"/>
        <v>4.9314451682461069E-2</v>
      </c>
      <c r="BE9" s="776">
        <f t="shared" si="17"/>
        <v>356.3519894176693</v>
      </c>
      <c r="BF9" s="775">
        <f t="shared" si="17"/>
        <v>6.0406739513416685E-2</v>
      </c>
      <c r="BH9" s="776">
        <f t="shared" si="18"/>
        <v>380.52742289992511</v>
      </c>
      <c r="BI9" s="775">
        <f t="shared" si="18"/>
        <v>6.0360500234631465E-2</v>
      </c>
      <c r="BK9" s="776">
        <f t="shared" si="19"/>
        <v>456.85396305912673</v>
      </c>
      <c r="BL9" s="775">
        <f t="shared" si="19"/>
        <v>6.3456109902760627E-2</v>
      </c>
      <c r="BN9" s="776">
        <f t="shared" si="20"/>
        <v>441.38466485894423</v>
      </c>
      <c r="BO9" s="775">
        <f t="shared" si="20"/>
        <v>6.5749217014163586E-2</v>
      </c>
      <c r="BQ9" s="776">
        <f t="shared" si="21"/>
        <v>396.56726922069993</v>
      </c>
      <c r="BR9" s="775">
        <f t="shared" si="21"/>
        <v>6.1427155009599721E-2</v>
      </c>
    </row>
    <row r="10" spans="2:70" ht="20.100000000000001" customHeight="1">
      <c r="B10" s="836">
        <v>34</v>
      </c>
      <c r="C10" s="777" t="str">
        <f t="shared" si="33"/>
        <v>D</v>
      </c>
      <c r="D10" s="778" t="str">
        <f>LEFT(INDEX(DSS_Calc!$D:$D,MATCH(G$4+$B10,DSS_Calc!$A:$A,0)),LEN(INDEX(DSS_Calc!$D:$D,MATCH(G$4+$B10,DSS_Calc!$A:$A,0)))-2)</f>
        <v>1000 CC, 1000 Combo</v>
      </c>
      <c r="E10" s="777" t="str">
        <f>"MY"&amp;RIGHT(Input!$H$9,2)&amp;" "&amp;Input!$H$3</f>
        <v>MY20 Soul</v>
      </c>
      <c r="F10" s="772"/>
      <c r="G10" s="779">
        <f>INDEX(DSS_Calc!$JD:$JD,MATCH(G$4+$B10,DSS_Calc!$A:$A,0))-INDEX(DSS_Calc!$JD:$JD,MATCH(G$4+$B$6,DSS_Calc!$A:$A,0))</f>
        <v>389.71127567048597</v>
      </c>
      <c r="H10" s="780">
        <f>INDEX(DSS_Calc!$JM:$JM,MATCH(G$4+$B10,DSS_Calc!$A:$A,0))/INDEX(DSS_Calc!$JM:$JM,MATCH(G$4+$B$6,DSS_Calc!$A:$A,0))-1</f>
        <v>0.10477231031799294</v>
      </c>
      <c r="I10" s="788">
        <f>ABS(INDEX(DSS_Calc!$KU:$KU,MATCH(G$4+$B10,DSS_Calc!$A:$A,0)))</f>
        <v>6.6614702604303035</v>
      </c>
      <c r="J10" s="777">
        <f t="shared" si="12"/>
        <v>1</v>
      </c>
      <c r="K10" s="813">
        <f t="shared" si="22"/>
        <v>100</v>
      </c>
      <c r="L10" s="813">
        <f t="shared" si="23"/>
        <v>100</v>
      </c>
      <c r="M10" s="813">
        <f>INDEX(DSS_Calc!$JM:$JM,MATCH(G$4+$B10,DSS_Calc!$A:$A,0))</f>
        <v>494.75646897325754</v>
      </c>
      <c r="N10" s="772"/>
      <c r="O10" s="779">
        <f>INDEX(DSS_Calc!$JD:$JD,MATCH(O$4+$B10,DSS_Calc!$A:$A,0))-INDEX(DSS_Calc!$JD:$JD,MATCH(O$4+$B$6,DSS_Calc!$A:$A,0))</f>
        <v>751.46731011789097</v>
      </c>
      <c r="P10" s="780">
        <f>INDEX(DSS_Calc!$JM:$JM,MATCH(O$4+$B10,DSS_Calc!$A:$A,0))/INDEX(DSS_Calc!$JM:$JM,MATCH(O$4+$B$6,DSS_Calc!$A:$A,0))-1</f>
        <v>0.12602024101774179</v>
      </c>
      <c r="Q10" s="788">
        <f>ABS(INDEX(DSS_Calc!$KU:$KU,MATCH(O$4+$B10,DSS_Calc!$A:$A,0)))</f>
        <v>4.6223575359865787</v>
      </c>
      <c r="R10" s="777">
        <f t="shared" si="13"/>
        <v>1</v>
      </c>
      <c r="S10" s="813">
        <f t="shared" si="24"/>
        <v>1</v>
      </c>
      <c r="T10" s="813">
        <f t="shared" si="25"/>
        <v>100</v>
      </c>
      <c r="U10" s="813">
        <f>INDEX(DSS_Calc!$JM:$JM,MATCH(O$4+$B10,DSS_Calc!$A:$A,0))</f>
        <v>1407.9383752803935</v>
      </c>
      <c r="V10" s="772"/>
      <c r="W10" s="779">
        <f>INDEX(DSS_Calc!$JD:$JD,MATCH(W$4+$B10,DSS_Calc!$A:$A,0))-INDEX(DSS_Calc!$JD:$JD,MATCH(W$4+$B$6,DSS_Calc!$A:$A,0))</f>
        <v>782.55701121277889</v>
      </c>
      <c r="X10" s="780">
        <f>INDEX(DSS_Calc!$JM:$JM,MATCH(W$4+$B10,DSS_Calc!$A:$A,0))/INDEX(DSS_Calc!$JM:$JM,MATCH(W$4+$B$6,DSS_Calc!$A:$A,0))-1</f>
        <v>0.12536230784883773</v>
      </c>
      <c r="Y10" s="788">
        <f>ABS(INDEX(DSS_Calc!$KU:$KU,MATCH(W$4+$B10,DSS_Calc!$A:$A,0)))</f>
        <v>4.7911084208536074</v>
      </c>
      <c r="Z10" s="777">
        <f t="shared" si="14"/>
        <v>1</v>
      </c>
      <c r="AA10" s="813">
        <f t="shared" si="26"/>
        <v>1</v>
      </c>
      <c r="AB10" s="813">
        <f t="shared" si="27"/>
        <v>100</v>
      </c>
      <c r="AC10" s="813">
        <f>INDEX(DSS_Calc!$JM:$JM,MATCH(W$4+$B10,DSS_Calc!$A:$A,0))</f>
        <v>1867.1239325405581</v>
      </c>
      <c r="AD10" s="772"/>
      <c r="AE10" s="779">
        <f>INDEX(DSS_Calc!$JD:$JD,MATCH(AE$4+$B10,DSS_Calc!$A:$A,0))-INDEX(DSS_Calc!$JD:$JD,MATCH(AE$4+$B$6,DSS_Calc!$A:$A,0))</f>
        <v>925.51727805839027</v>
      </c>
      <c r="AF10" s="780">
        <f>INDEX(DSS_Calc!$JM:$JM,MATCH(AE$4+$B10,DSS_Calc!$A:$A,0))/INDEX(DSS_Calc!$JM:$JM,MATCH(AE$4+$B$6,DSS_Calc!$A:$A,0))-1</f>
        <v>0.13054540984720586</v>
      </c>
      <c r="AG10" s="788">
        <f>ABS(INDEX(DSS_Calc!$KU:$KU,MATCH(AE$4+$B10,DSS_Calc!$A:$A,0)))</f>
        <v>4.1120697331579379</v>
      </c>
      <c r="AH10" s="777">
        <f t="shared" si="15"/>
        <v>1</v>
      </c>
      <c r="AI10" s="813">
        <f t="shared" si="28"/>
        <v>1</v>
      </c>
      <c r="AJ10" s="813">
        <f t="shared" si="29"/>
        <v>100</v>
      </c>
      <c r="AK10" s="813">
        <f>INDEX(DSS_Calc!$JM:$JM,MATCH(AE$4+$B10,DSS_Calc!$A:$A,0))</f>
        <v>2734.350446967107</v>
      </c>
      <c r="AL10" s="772"/>
      <c r="AM10" s="779">
        <f>INDEX(DSS_Calc!$JD:$JD,MATCH(AM$4+$B10,DSS_Calc!$A:$A,0))-INDEX(DSS_Calc!$JD:$JD,MATCH(AM$4+$B$6,DSS_Calc!$A:$A,0))</f>
        <v>899.45219556466645</v>
      </c>
      <c r="AN10" s="780">
        <f>INDEX(DSS_Calc!$JM:$JM,MATCH(AM$4+$B10,DSS_Calc!$A:$A,0))/INDEX(DSS_Calc!$JM:$JM,MATCH(AM$4+$B$6,DSS_Calc!$A:$A,0))-1</f>
        <v>0.13587287119056812</v>
      </c>
      <c r="AO10" s="788">
        <f>ABS(INDEX(DSS_Calc!$KU:$KU,MATCH(AM$4+$B10,DSS_Calc!$A:$A,0)))</f>
        <v>4.0504202693734292</v>
      </c>
      <c r="AP10" s="777">
        <f t="shared" si="16"/>
        <v>1</v>
      </c>
      <c r="AQ10" s="813">
        <f t="shared" si="30"/>
        <v>1</v>
      </c>
      <c r="AR10" s="813">
        <f t="shared" si="31"/>
        <v>100</v>
      </c>
      <c r="AS10" s="813">
        <f>INDEX(DSS_Calc!$JM:$JM,MATCH(AM$4+$B10,DSS_Calc!$A:$A,0))</f>
        <v>936.34864040635443</v>
      </c>
      <c r="AT10" s="772"/>
      <c r="AU10" s="779">
        <f>INDEX(DSS_Calc!$JD:$JD,MATCH(AU$4+$B10,DSS_Calc!$A:$A,0))-INDEX(DSS_Calc!$JD:$JD,MATCH(AU$4+$B$6,DSS_Calc!$A:$A,0))</f>
        <v>816.93715618678107</v>
      </c>
      <c r="AV10" s="780">
        <f>INDEX(DSS_Calc!$JM:$JM,MATCH(AU$4+$B10,DSS_Calc!$A:$A,0))/INDEX(DSS_Calc!$JM:$JM,MATCH(AU$4+$B$6,DSS_Calc!$A:$A,0))-1</f>
        <v>0.12730191109089328</v>
      </c>
      <c r="AX10" s="777" t="str">
        <f t="shared" si="11"/>
        <v>D</v>
      </c>
      <c r="AY10" s="778" t="str">
        <f t="shared" si="11"/>
        <v>1000 CC, 1000 Combo</v>
      </c>
      <c r="AZ10" s="777" t="str">
        <f t="shared" si="11"/>
        <v>MY20 Soul</v>
      </c>
      <c r="BB10" s="779">
        <f t="shared" si="32"/>
        <v>389.71127567048597</v>
      </c>
      <c r="BC10" s="780">
        <f t="shared" si="32"/>
        <v>0.10477231031799294</v>
      </c>
      <c r="BE10" s="779">
        <f t="shared" si="17"/>
        <v>751.46731011789097</v>
      </c>
      <c r="BF10" s="780">
        <f t="shared" si="17"/>
        <v>0.12602024101774179</v>
      </c>
      <c r="BH10" s="779">
        <f t="shared" si="18"/>
        <v>782.55701121277889</v>
      </c>
      <c r="BI10" s="780">
        <f t="shared" si="18"/>
        <v>0.12536230784883773</v>
      </c>
      <c r="BK10" s="779">
        <f t="shared" si="19"/>
        <v>925.51727805839027</v>
      </c>
      <c r="BL10" s="780">
        <f t="shared" si="19"/>
        <v>0.13054540984720586</v>
      </c>
      <c r="BN10" s="779">
        <f t="shared" si="20"/>
        <v>899.45219556466645</v>
      </c>
      <c r="BO10" s="780">
        <f t="shared" si="20"/>
        <v>0.13587287119056812</v>
      </c>
      <c r="BQ10" s="779">
        <f t="shared" si="21"/>
        <v>816.93715618678107</v>
      </c>
      <c r="BR10" s="780">
        <f t="shared" si="21"/>
        <v>0.12730191109089328</v>
      </c>
    </row>
    <row r="11" spans="2:70" ht="20.100000000000001" customHeight="1">
      <c r="B11" s="836">
        <v>11</v>
      </c>
      <c r="C11" s="772" t="str">
        <f t="shared" si="33"/>
        <v>E</v>
      </c>
      <c r="D11" s="774" t="str">
        <f>LEFT(INDEX(DSS_Calc!$D:$D,MATCH(G$4+$B11,DSS_Calc!$A:$A,0)),LEN(INDEX(DSS_Calc!$D:$D,MATCH(G$4+$B11,DSS_Calc!$A:$A,0)))-2)</f>
        <v>750 CC</v>
      </c>
      <c r="E11" s="772" t="str">
        <f>"MY"&amp;RIGHT(Input!$H$9,2)&amp;" "&amp;Input!$H$3</f>
        <v>MY20 Soul</v>
      </c>
      <c r="F11" s="772"/>
      <c r="G11" s="776">
        <f>INDEX(DSS_Calc!$JD:$JD,MATCH(G$4+$B11,DSS_Calc!$A:$A,0))-INDEX(DSS_Calc!$JD:$JD,MATCH(G$4+$B$6,DSS_Calc!$A:$A,0))</f>
        <v>31.431964748596329</v>
      </c>
      <c r="H11" s="775">
        <f>INDEX(DSS_Calc!$JM:$JM,MATCH(G$4+$B11,DSS_Calc!$A:$A,0))/INDEX(DSS_Calc!$JM:$JM,MATCH(G$4+$B$6,DSS_Calc!$A:$A,0))-1</f>
        <v>3.2670202435761464E-2</v>
      </c>
      <c r="I11" s="787">
        <f>ABS(INDEX(DSS_Calc!$KU:$KU,MATCH(G$4+$B11,DSS_Calc!$A:$A,0)))</f>
        <v>6.5494619477288403</v>
      </c>
      <c r="J11" s="772">
        <f t="shared" si="12"/>
        <v>3</v>
      </c>
      <c r="K11" s="812">
        <f t="shared" si="22"/>
        <v>100</v>
      </c>
      <c r="L11" s="812">
        <f t="shared" si="23"/>
        <v>2</v>
      </c>
      <c r="M11" s="812">
        <f>INDEX(DSS_Calc!$JM:$JM,MATCH(G$4+$B11,DSS_Calc!$A:$A,0))</f>
        <v>462.46657179881277</v>
      </c>
      <c r="N11" s="772"/>
      <c r="O11" s="776">
        <f>INDEX(DSS_Calc!$JD:$JD,MATCH(O$4+$B11,DSS_Calc!$A:$A,0))-INDEX(DSS_Calc!$JD:$JD,MATCH(O$4+$B$6,DSS_Calc!$A:$A,0))</f>
        <v>205.8219142359435</v>
      </c>
      <c r="P11" s="775">
        <f>INDEX(DSS_Calc!$JM:$JM,MATCH(O$4+$B11,DSS_Calc!$A:$A,0))/INDEX(DSS_Calc!$JM:$JM,MATCH(O$4+$B$6,DSS_Calc!$A:$A,0))-1</f>
        <v>3.9435168619951222E-2</v>
      </c>
      <c r="Q11" s="787">
        <f>ABS(INDEX(DSS_Calc!$KU:$KU,MATCH(O$4+$B11,DSS_Calc!$A:$A,0)))</f>
        <v>4.6037679858747822</v>
      </c>
      <c r="R11" s="772">
        <f t="shared" si="13"/>
        <v>3</v>
      </c>
      <c r="S11" s="812">
        <f t="shared" si="24"/>
        <v>100</v>
      </c>
      <c r="T11" s="812">
        <f t="shared" si="25"/>
        <v>1</v>
      </c>
      <c r="U11" s="812">
        <f>INDEX(DSS_Calc!$JM:$JM,MATCH(O$4+$B11,DSS_Calc!$A:$A,0))</f>
        <v>1299.6752715504847</v>
      </c>
      <c r="V11" s="772"/>
      <c r="W11" s="776">
        <f>INDEX(DSS_Calc!$JD:$JD,MATCH(W$4+$B11,DSS_Calc!$A:$A,0))-INDEX(DSS_Calc!$JD:$JD,MATCH(W$4+$B$6,DSS_Calc!$A:$A,0))</f>
        <v>190.32600099876754</v>
      </c>
      <c r="X11" s="775">
        <f>INDEX(DSS_Calc!$JM:$JM,MATCH(W$4+$B11,DSS_Calc!$A:$A,0))/INDEX(DSS_Calc!$JM:$JM,MATCH(W$4+$B$6,DSS_Calc!$A:$A,0))-1</f>
        <v>3.4272465388390794E-2</v>
      </c>
      <c r="Y11" s="787">
        <f>ABS(INDEX(DSS_Calc!$KU:$KU,MATCH(W$4+$B11,DSS_Calc!$A:$A,0)))</f>
        <v>4.7536124068567309</v>
      </c>
      <c r="Z11" s="772">
        <f t="shared" si="14"/>
        <v>4</v>
      </c>
      <c r="AA11" s="812">
        <f t="shared" si="26"/>
        <v>100</v>
      </c>
      <c r="AB11" s="812">
        <f t="shared" si="27"/>
        <v>2</v>
      </c>
      <c r="AC11" s="812">
        <f>INDEX(DSS_Calc!$JM:$JM,MATCH(W$4+$B11,DSS_Calc!$A:$A,0))</f>
        <v>1715.9939154046947</v>
      </c>
      <c r="AD11" s="772"/>
      <c r="AE11" s="776">
        <f>INDEX(DSS_Calc!$JD:$JD,MATCH(AE$4+$B11,DSS_Calc!$A:$A,0))-INDEX(DSS_Calc!$JD:$JD,MATCH(AE$4+$B$6,DSS_Calc!$A:$A,0))</f>
        <v>295.32524535569701</v>
      </c>
      <c r="AF11" s="775">
        <f>INDEX(DSS_Calc!$JM:$JM,MATCH(AE$4+$B11,DSS_Calc!$A:$A,0))/INDEX(DSS_Calc!$JM:$JM,MATCH(AE$4+$B$6,DSS_Calc!$A:$A,0))-1</f>
        <v>4.1337298981598547E-2</v>
      </c>
      <c r="AG11" s="787">
        <f>ABS(INDEX(DSS_Calc!$KU:$KU,MATCH(AE$4+$B11,DSS_Calc!$A:$A,0)))</f>
        <v>4.0649435997178109</v>
      </c>
      <c r="AH11" s="772">
        <f t="shared" si="15"/>
        <v>6</v>
      </c>
      <c r="AI11" s="812">
        <f t="shared" si="28"/>
        <v>100</v>
      </c>
      <c r="AJ11" s="812">
        <f t="shared" si="29"/>
        <v>100</v>
      </c>
      <c r="AK11" s="812">
        <f>INDEX(DSS_Calc!$JM:$JM,MATCH(AE$4+$B11,DSS_Calc!$A:$A,0))</f>
        <v>2518.5906590861132</v>
      </c>
      <c r="AL11" s="772"/>
      <c r="AM11" s="776">
        <f>INDEX(DSS_Calc!$JD:$JD,MATCH(AM$4+$B11,DSS_Calc!$A:$A,0))-INDEX(DSS_Calc!$JD:$JD,MATCH(AM$4+$B$6,DSS_Calc!$A:$A,0))</f>
        <v>273.28786269291822</v>
      </c>
      <c r="AN11" s="775">
        <f>INDEX(DSS_Calc!$JM:$JM,MATCH(AM$4+$B11,DSS_Calc!$A:$A,0))/INDEX(DSS_Calc!$JM:$JM,MATCH(AM$4+$B$6,DSS_Calc!$A:$A,0))-1</f>
        <v>4.1127157079757115E-2</v>
      </c>
      <c r="AO11" s="787">
        <f>ABS(INDEX(DSS_Calc!$KU:$KU,MATCH(AM$4+$B11,DSS_Calc!$A:$A,0)))</f>
        <v>4.0125457945816008</v>
      </c>
      <c r="AP11" s="772">
        <f t="shared" si="16"/>
        <v>4</v>
      </c>
      <c r="AQ11" s="812">
        <f t="shared" si="30"/>
        <v>100</v>
      </c>
      <c r="AR11" s="812">
        <f t="shared" si="31"/>
        <v>1</v>
      </c>
      <c r="AS11" s="812">
        <f>INDEX(DSS_Calc!$JM:$JM,MATCH(AM$4+$B11,DSS_Calc!$A:$A,0))</f>
        <v>858.24569170312486</v>
      </c>
      <c r="AT11" s="772"/>
      <c r="AU11" s="776">
        <f>INDEX(DSS_Calc!$JD:$JD,MATCH(AU$4+$B11,DSS_Calc!$A:$A,0))-INDEX(DSS_Calc!$JD:$JD,MATCH(AU$4+$B$6,DSS_Calc!$A:$A,0))</f>
        <v>231.1243410027123</v>
      </c>
      <c r="AV11" s="775">
        <f>INDEX(DSS_Calc!$JM:$JM,MATCH(AU$4+$B11,DSS_Calc!$A:$A,0))/INDEX(DSS_Calc!$JM:$JM,MATCH(AU$4+$B$6,DSS_Calc!$A:$A,0))-1</f>
        <v>3.8586735578962639E-2</v>
      </c>
      <c r="AX11" s="772" t="str">
        <f t="shared" si="11"/>
        <v>E</v>
      </c>
      <c r="AY11" s="774" t="str">
        <f t="shared" si="11"/>
        <v>750 CC</v>
      </c>
      <c r="AZ11" s="772" t="str">
        <f t="shared" si="11"/>
        <v>MY20 Soul</v>
      </c>
      <c r="BB11" s="776">
        <f t="shared" si="32"/>
        <v>31.431964748596329</v>
      </c>
      <c r="BC11" s="775">
        <f t="shared" si="32"/>
        <v>3.2670202435761464E-2</v>
      </c>
      <c r="BE11" s="776">
        <f t="shared" si="17"/>
        <v>205.8219142359435</v>
      </c>
      <c r="BF11" s="775">
        <f t="shared" si="17"/>
        <v>3.9435168619951222E-2</v>
      </c>
      <c r="BH11" s="776">
        <f t="shared" si="18"/>
        <v>190.32600099876754</v>
      </c>
      <c r="BI11" s="775">
        <f t="shared" si="18"/>
        <v>3.4272465388390794E-2</v>
      </c>
      <c r="BK11" s="776">
        <f t="shared" si="19"/>
        <v>295.32524535569701</v>
      </c>
      <c r="BL11" s="775">
        <f t="shared" si="19"/>
        <v>4.1337298981598547E-2</v>
      </c>
      <c r="BN11" s="776">
        <f t="shared" si="20"/>
        <v>273.28786269291822</v>
      </c>
      <c r="BO11" s="775">
        <f t="shared" si="20"/>
        <v>4.1127157079757115E-2</v>
      </c>
      <c r="BQ11" s="776">
        <f t="shared" si="21"/>
        <v>231.1243410027123</v>
      </c>
      <c r="BR11" s="775">
        <f t="shared" si="21"/>
        <v>3.8586735578962639E-2</v>
      </c>
    </row>
    <row r="12" spans="2:70" ht="20.100000000000001" customHeight="1">
      <c r="B12" s="836">
        <v>12</v>
      </c>
      <c r="C12" s="777" t="str">
        <f t="shared" si="33"/>
        <v>F</v>
      </c>
      <c r="D12" s="778" t="str">
        <f>LEFT(INDEX(DSS_Calc!$D:$D,MATCH(G$4+$B12,DSS_Calc!$A:$A,0)),LEN(INDEX(DSS_Calc!$D:$D,MATCH(G$4+$B12,DSS_Calc!$A:$A,0)))-2)</f>
        <v>1000 CC</v>
      </c>
      <c r="E12" s="777" t="str">
        <f>"MY"&amp;RIGHT(Input!$H$9,2)&amp;" "&amp;Input!$H$3</f>
        <v>MY20 Soul</v>
      </c>
      <c r="F12" s="772"/>
      <c r="G12" s="779">
        <f>INDEX(DSS_Calc!$JD:$JD,MATCH(G$4+$B12,DSS_Calc!$A:$A,0))-INDEX(DSS_Calc!$JD:$JD,MATCH(G$4+$B$6,DSS_Calc!$A:$A,0))</f>
        <v>75.616282096137638</v>
      </c>
      <c r="H12" s="780">
        <f>INDEX(DSS_Calc!$JM:$JM,MATCH(G$4+$B12,DSS_Calc!$A:$A,0))/INDEX(DSS_Calc!$JM:$JM,MATCH(G$4+$B$6,DSS_Calc!$A:$A,0))-1</f>
        <v>4.6666040010684418E-2</v>
      </c>
      <c r="I12" s="788">
        <f>ABS(INDEX(DSS_Calc!$KU:$KU,MATCH(G$4+$B12,DSS_Calc!$A:$A,0)))</f>
        <v>6.630527261375061</v>
      </c>
      <c r="J12" s="777">
        <f t="shared" si="12"/>
        <v>2</v>
      </c>
      <c r="K12" s="813">
        <f t="shared" si="22"/>
        <v>100</v>
      </c>
      <c r="L12" s="813">
        <f t="shared" si="23"/>
        <v>1</v>
      </c>
      <c r="M12" s="813">
        <f>INDEX(DSS_Calc!$JM:$JM,MATCH(G$4+$B12,DSS_Calc!$A:$A,0))</f>
        <v>468.73440736476664</v>
      </c>
      <c r="N12" s="772"/>
      <c r="O12" s="779">
        <f>INDEX(DSS_Calc!$JD:$JD,MATCH(O$4+$B12,DSS_Calc!$A:$A,0))-INDEX(DSS_Calc!$JD:$JD,MATCH(O$4+$B$6,DSS_Calc!$A:$A,0))</f>
        <v>302.33559853812449</v>
      </c>
      <c r="P12" s="780">
        <f>INDEX(DSS_Calc!$JM:$JM,MATCH(O$4+$B12,DSS_Calc!$A:$A,0))/INDEX(DSS_Calc!$JM:$JM,MATCH(O$4+$B$6,DSS_Calc!$A:$A,0))-1</f>
        <v>5.5302643534973495E-2</v>
      </c>
      <c r="Q12" s="788">
        <f>ABS(INDEX(DSS_Calc!$KU:$KU,MATCH(O$4+$B12,DSS_Calc!$A:$A,0)))</f>
        <v>4.6143472692847913</v>
      </c>
      <c r="R12" s="777">
        <f t="shared" si="13"/>
        <v>2</v>
      </c>
      <c r="S12" s="813">
        <f t="shared" si="24"/>
        <v>100</v>
      </c>
      <c r="T12" s="813">
        <f t="shared" si="25"/>
        <v>100</v>
      </c>
      <c r="U12" s="813">
        <f>INDEX(DSS_Calc!$JM:$JM,MATCH(O$4+$B12,DSS_Calc!$A:$A,0))</f>
        <v>1319.515436085597</v>
      </c>
      <c r="V12" s="772"/>
      <c r="W12" s="779">
        <f>INDEX(DSS_Calc!$JD:$JD,MATCH(W$4+$B12,DSS_Calc!$A:$A,0))-INDEX(DSS_Calc!$JD:$JD,MATCH(W$4+$B$6,DSS_Calc!$A:$A,0))</f>
        <v>274.51147852322356</v>
      </c>
      <c r="X12" s="780">
        <f>INDEX(DSS_Calc!$JM:$JM,MATCH(W$4+$B12,DSS_Calc!$A:$A,0))/INDEX(DSS_Calc!$JM:$JM,MATCH(W$4+$B$6,DSS_Calc!$A:$A,0))-1</f>
        <v>4.8122366951985684E-2</v>
      </c>
      <c r="Y12" s="788">
        <f>ABS(INDEX(DSS_Calc!$KU:$KU,MATCH(W$4+$B12,DSS_Calc!$A:$A,0)))</f>
        <v>4.7698788058674877</v>
      </c>
      <c r="Z12" s="777">
        <f t="shared" si="14"/>
        <v>2</v>
      </c>
      <c r="AA12" s="813">
        <f t="shared" si="26"/>
        <v>100</v>
      </c>
      <c r="AB12" s="813">
        <f t="shared" si="27"/>
        <v>1</v>
      </c>
      <c r="AC12" s="813">
        <f>INDEX(DSS_Calc!$JM:$JM,MATCH(W$4+$B12,DSS_Calc!$A:$A,0))</f>
        <v>1738.9727218676105</v>
      </c>
      <c r="AD12" s="772"/>
      <c r="AE12" s="779">
        <f>INDEX(DSS_Calc!$JD:$JD,MATCH(AE$4+$B12,DSS_Calc!$A:$A,0))-INDEX(DSS_Calc!$JD:$JD,MATCH(AE$4+$B$6,DSS_Calc!$A:$A,0))</f>
        <v>410.0593659427791</v>
      </c>
      <c r="AF12" s="780">
        <f>INDEX(DSS_Calc!$JM:$JM,MATCH(AE$4+$B12,DSS_Calc!$A:$A,0))/INDEX(DSS_Calc!$JM:$JM,MATCH(AE$4+$B$6,DSS_Calc!$A:$A,0))-1</f>
        <v>5.7059564314649647E-2</v>
      </c>
      <c r="AG12" s="788">
        <f>ABS(INDEX(DSS_Calc!$KU:$KU,MATCH(AE$4+$B12,DSS_Calc!$A:$A,0)))</f>
        <v>4.0697438743995926</v>
      </c>
      <c r="AH12" s="777">
        <f t="shared" si="15"/>
        <v>4</v>
      </c>
      <c r="AI12" s="813">
        <f t="shared" si="28"/>
        <v>100</v>
      </c>
      <c r="AJ12" s="813">
        <f t="shared" si="29"/>
        <v>100</v>
      </c>
      <c r="AK12" s="813">
        <f>INDEX(DSS_Calc!$JM:$JM,MATCH(AE$4+$B12,DSS_Calc!$A:$A,0))</f>
        <v>2556.616715241234</v>
      </c>
      <c r="AL12" s="772"/>
      <c r="AM12" s="779">
        <f>INDEX(DSS_Calc!$JD:$JD,MATCH(AM$4+$B12,DSS_Calc!$A:$A,0))-INDEX(DSS_Calc!$JD:$JD,MATCH(AM$4+$B$6,DSS_Calc!$A:$A,0))</f>
        <v>385.29985710541678</v>
      </c>
      <c r="AN12" s="780">
        <f>INDEX(DSS_Calc!$JM:$JM,MATCH(AM$4+$B12,DSS_Calc!$A:$A,0))/INDEX(DSS_Calc!$JM:$JM,MATCH(AM$4+$B$6,DSS_Calc!$A:$A,0))-1</f>
        <v>5.7249748293829672E-2</v>
      </c>
      <c r="AO12" s="788">
        <f>ABS(INDEX(DSS_Calc!$KU:$KU,MATCH(AM$4+$B12,DSS_Calc!$A:$A,0)))</f>
        <v>4.0109179854992352</v>
      </c>
      <c r="AP12" s="777">
        <f t="shared" si="16"/>
        <v>5</v>
      </c>
      <c r="AQ12" s="813">
        <f t="shared" si="30"/>
        <v>100</v>
      </c>
      <c r="AR12" s="813">
        <f t="shared" si="31"/>
        <v>100</v>
      </c>
      <c r="AS12" s="813">
        <f>INDEX(DSS_Calc!$JM:$JM,MATCH(AM$4+$B12,DSS_Calc!$A:$A,0))</f>
        <v>871.53623393370117</v>
      </c>
      <c r="AT12" s="772"/>
      <c r="AU12" s="779">
        <f>INDEX(DSS_Calc!$JD:$JD,MATCH(AU$4+$B12,DSS_Calc!$A:$A,0))-INDEX(DSS_Calc!$JD:$JD,MATCH(AU$4+$B$6,DSS_Calc!$A:$A,0))</f>
        <v>329.55990117352758</v>
      </c>
      <c r="AV12" s="780">
        <f>INDEX(DSS_Calc!$JM:$JM,MATCH(AU$4+$B12,DSS_Calc!$A:$A,0))/INDEX(DSS_Calc!$JM:$JM,MATCH(AU$4+$B$6,DSS_Calc!$A:$A,0))-1</f>
        <v>5.3798707695162484E-2</v>
      </c>
      <c r="AX12" s="777" t="str">
        <f t="shared" si="11"/>
        <v>F</v>
      </c>
      <c r="AY12" s="778" t="str">
        <f t="shared" si="11"/>
        <v>1000 CC</v>
      </c>
      <c r="AZ12" s="777" t="str">
        <f t="shared" si="11"/>
        <v>MY20 Soul</v>
      </c>
      <c r="BB12" s="779">
        <f t="shared" si="32"/>
        <v>75.616282096137638</v>
      </c>
      <c r="BC12" s="780">
        <f t="shared" si="32"/>
        <v>4.6666040010684418E-2</v>
      </c>
      <c r="BE12" s="779">
        <f t="shared" si="17"/>
        <v>302.33559853812449</v>
      </c>
      <c r="BF12" s="780">
        <f t="shared" si="17"/>
        <v>5.5302643534973495E-2</v>
      </c>
      <c r="BH12" s="779">
        <f t="shared" si="18"/>
        <v>274.51147852322356</v>
      </c>
      <c r="BI12" s="780">
        <f t="shared" si="18"/>
        <v>4.8122366951985684E-2</v>
      </c>
      <c r="BK12" s="779">
        <f t="shared" si="19"/>
        <v>410.0593659427791</v>
      </c>
      <c r="BL12" s="780">
        <f t="shared" si="19"/>
        <v>5.7059564314649647E-2</v>
      </c>
      <c r="BN12" s="779">
        <f t="shared" si="20"/>
        <v>385.29985710541678</v>
      </c>
      <c r="BO12" s="780">
        <f t="shared" si="20"/>
        <v>5.7249748293829672E-2</v>
      </c>
      <c r="BQ12" s="779">
        <f t="shared" si="21"/>
        <v>329.55990117352758</v>
      </c>
      <c r="BR12" s="780">
        <f t="shared" si="21"/>
        <v>5.3798707695162484E-2</v>
      </c>
    </row>
    <row r="13" spans="2:70" ht="20.100000000000001" customHeight="1">
      <c r="B13" s="836">
        <v>15</v>
      </c>
      <c r="C13" s="772" t="str">
        <f t="shared" si="33"/>
        <v>G</v>
      </c>
      <c r="D13" s="774" t="str">
        <f>LEFT(INDEX(DSS_Calc!$D:$D,MATCH(G$4+$B13,DSS_Calc!$A:$A,0)),LEN(INDEX(DSS_Calc!$D:$D,MATCH(G$4+$B13,DSS_Calc!$A:$A,0)))-2)</f>
        <v>500 Combo</v>
      </c>
      <c r="E13" s="772" t="str">
        <f>"MY"&amp;RIGHT(Input!$H$9,2)&amp;" "&amp;Input!$H$3</f>
        <v>MY20 Soul</v>
      </c>
      <c r="F13" s="772"/>
      <c r="G13" s="776">
        <f>INDEX(DSS_Calc!$JD:$JD,MATCH(G$4+$B13,DSS_Calc!$A:$A,0))-INDEX(DSS_Calc!$JD:$JD,MATCH(G$4+$B$6,DSS_Calc!$A:$A,0))</f>
        <v>171.1599818392292</v>
      </c>
      <c r="H13" s="775">
        <f>INDEX(DSS_Calc!$JM:$JM,MATCH(G$4+$B13,DSS_Calc!$A:$A,0))/INDEX(DSS_Calc!$JM:$JM,MATCH(G$4+$B$6,DSS_Calc!$A:$A,0))-1</f>
        <v>2.9422848493000364E-2</v>
      </c>
      <c r="I13" s="787">
        <f>ABS(INDEX(DSS_Calc!$KU:$KU,MATCH(G$4+$B13,DSS_Calc!$A:$A,0)))</f>
        <v>6.2049651109771204</v>
      </c>
      <c r="J13" s="772">
        <f t="shared" si="12"/>
        <v>7</v>
      </c>
      <c r="K13" s="812">
        <f t="shared" si="22"/>
        <v>100</v>
      </c>
      <c r="L13" s="812">
        <f t="shared" si="23"/>
        <v>100</v>
      </c>
      <c r="M13" s="812">
        <f>INDEX(DSS_Calc!$JM:$JM,MATCH(G$4+$B13,DSS_Calc!$A:$A,0))</f>
        <v>461.01229080785959</v>
      </c>
      <c r="N13" s="772"/>
      <c r="O13" s="776">
        <f>INDEX(DSS_Calc!$JD:$JD,MATCH(O$4+$B13,DSS_Calc!$A:$A,0))-INDEX(DSS_Calc!$JD:$JD,MATCH(O$4+$B$6,DSS_Calc!$A:$A,0))</f>
        <v>255.94780300055527</v>
      </c>
      <c r="P13" s="775">
        <f>INDEX(DSS_Calc!$JM:$JM,MATCH(O$4+$B13,DSS_Calc!$A:$A,0))/INDEX(DSS_Calc!$JM:$JM,MATCH(O$4+$B$6,DSS_Calc!$A:$A,0))-1</f>
        <v>3.5993490516063709E-2</v>
      </c>
      <c r="Q13" s="787">
        <f>ABS(INDEX(DSS_Calc!$KU:$KU,MATCH(O$4+$B13,DSS_Calc!$A:$A,0)))</f>
        <v>4.4651027882825032</v>
      </c>
      <c r="R13" s="772">
        <f t="shared" si="13"/>
        <v>7</v>
      </c>
      <c r="S13" s="812">
        <f t="shared" si="24"/>
        <v>100</v>
      </c>
      <c r="T13" s="812">
        <f t="shared" si="25"/>
        <v>2</v>
      </c>
      <c r="U13" s="812">
        <f>INDEX(DSS_Calc!$JM:$JM,MATCH(O$4+$B13,DSS_Calc!$A:$A,0))</f>
        <v>1295.3719113609327</v>
      </c>
      <c r="V13" s="772"/>
      <c r="W13" s="776">
        <f>INDEX(DSS_Calc!$JD:$JD,MATCH(W$4+$B13,DSS_Calc!$A:$A,0))-INDEX(DSS_Calc!$JD:$JD,MATCH(W$4+$B$6,DSS_Calc!$A:$A,0))</f>
        <v>296.3860139965177</v>
      </c>
      <c r="X13" s="775">
        <f>INDEX(DSS_Calc!$JM:$JM,MATCH(W$4+$B13,DSS_Calc!$A:$A,0))/INDEX(DSS_Calc!$JM:$JM,MATCH(W$4+$B$6,DSS_Calc!$A:$A,0))-1</f>
        <v>3.9183152359556717E-2</v>
      </c>
      <c r="Y13" s="787">
        <f>ABS(INDEX(DSS_Calc!$KU:$KU,MATCH(W$4+$B13,DSS_Calc!$A:$A,0)))</f>
        <v>4.6357938585652976</v>
      </c>
      <c r="Z13" s="772">
        <f t="shared" si="14"/>
        <v>7</v>
      </c>
      <c r="AA13" s="812">
        <f t="shared" si="26"/>
        <v>100</v>
      </c>
      <c r="AB13" s="812">
        <f t="shared" si="27"/>
        <v>100</v>
      </c>
      <c r="AC13" s="812">
        <f>INDEX(DSS_Calc!$JM:$JM,MATCH(W$4+$B13,DSS_Calc!$A:$A,0))</f>
        <v>1724.1413903157795</v>
      </c>
      <c r="AD13" s="772"/>
      <c r="AE13" s="776">
        <f>INDEX(DSS_Calc!$JD:$JD,MATCH(AE$4+$B13,DSS_Calc!$A:$A,0))-INDEX(DSS_Calc!$JD:$JD,MATCH(AE$4+$B$6,DSS_Calc!$A:$A,0))</f>
        <v>292.4290072994022</v>
      </c>
      <c r="AF13" s="775">
        <f>INDEX(DSS_Calc!$JM:$JM,MATCH(AE$4+$B13,DSS_Calc!$A:$A,0))/INDEX(DSS_Calc!$JM:$JM,MATCH(AE$4+$B$6,DSS_Calc!$A:$A,0))-1</f>
        <v>3.7292381127634444E-2</v>
      </c>
      <c r="AG13" s="787">
        <f>ABS(INDEX(DSS_Calc!$KU:$KU,MATCH(AE$4+$B13,DSS_Calc!$A:$A,0)))</f>
        <v>4.0265673345113786</v>
      </c>
      <c r="AH13" s="772">
        <f t="shared" si="15"/>
        <v>7</v>
      </c>
      <c r="AI13" s="812">
        <f t="shared" si="28"/>
        <v>100</v>
      </c>
      <c r="AJ13" s="812">
        <f t="shared" si="29"/>
        <v>1</v>
      </c>
      <c r="AK13" s="812">
        <f>INDEX(DSS_Calc!$JM:$JM,MATCH(AE$4+$B13,DSS_Calc!$A:$A,0))</f>
        <v>2508.8075731122144</v>
      </c>
      <c r="AL13" s="772"/>
      <c r="AM13" s="776">
        <f>INDEX(DSS_Calc!$JD:$JD,MATCH(AM$4+$B13,DSS_Calc!$A:$A,0))-INDEX(DSS_Calc!$JD:$JD,MATCH(AM$4+$B$6,DSS_Calc!$A:$A,0))</f>
        <v>300.87097399443701</v>
      </c>
      <c r="AN13" s="775">
        <f>INDEX(DSS_Calc!$JM:$JM,MATCH(AM$4+$B13,DSS_Calc!$A:$A,0))/INDEX(DSS_Calc!$JM:$JM,MATCH(AM$4+$B$6,DSS_Calc!$A:$A,0))-1</f>
        <v>4.0332377812881681E-2</v>
      </c>
      <c r="AO13" s="787">
        <f>ABS(INDEX(DSS_Calc!$KU:$KU,MATCH(AM$4+$B13,DSS_Calc!$A:$A,0)))</f>
        <v>3.9527921678245059</v>
      </c>
      <c r="AP13" s="772">
        <f t="shared" si="16"/>
        <v>7</v>
      </c>
      <c r="AQ13" s="812">
        <f t="shared" si="30"/>
        <v>100</v>
      </c>
      <c r="AR13" s="812">
        <f t="shared" si="31"/>
        <v>100</v>
      </c>
      <c r="AS13" s="812">
        <f>INDEX(DSS_Calc!$JM:$JM,MATCH(AM$4+$B13,DSS_Calc!$A:$A,0))</f>
        <v>857.59052112476434</v>
      </c>
      <c r="AT13" s="772"/>
      <c r="AU13" s="776">
        <f>INDEX(DSS_Calc!$JD:$JD,MATCH(AU$4+$B13,DSS_Calc!$A:$A,0))-INDEX(DSS_Calc!$JD:$JD,MATCH(AU$4+$B$6,DSS_Calc!$A:$A,0))</f>
        <v>279.17785491174982</v>
      </c>
      <c r="AV13" s="775">
        <f>INDEX(DSS_Calc!$JM:$JM,MATCH(AU$4+$B13,DSS_Calc!$A:$A,0))/INDEX(DSS_Calc!$JM:$JM,MATCH(AU$4+$B$6,DSS_Calc!$A:$A,0))-1</f>
        <v>3.7367330882437377E-2</v>
      </c>
      <c r="AX13" s="772" t="str">
        <f t="shared" si="11"/>
        <v>G</v>
      </c>
      <c r="AY13" s="774" t="str">
        <f t="shared" si="11"/>
        <v>500 Combo</v>
      </c>
      <c r="AZ13" s="772" t="str">
        <f t="shared" si="11"/>
        <v>MY20 Soul</v>
      </c>
      <c r="BB13" s="776">
        <f t="shared" si="32"/>
        <v>171.1599818392292</v>
      </c>
      <c r="BC13" s="775">
        <f t="shared" si="32"/>
        <v>2.9422848493000364E-2</v>
      </c>
      <c r="BE13" s="776">
        <f t="shared" si="17"/>
        <v>255.94780300055527</v>
      </c>
      <c r="BF13" s="775">
        <f t="shared" si="17"/>
        <v>3.5993490516063709E-2</v>
      </c>
      <c r="BH13" s="776">
        <f t="shared" si="18"/>
        <v>296.3860139965177</v>
      </c>
      <c r="BI13" s="775">
        <f t="shared" si="18"/>
        <v>3.9183152359556717E-2</v>
      </c>
      <c r="BK13" s="776">
        <f t="shared" si="19"/>
        <v>292.4290072994022</v>
      </c>
      <c r="BL13" s="775">
        <f t="shared" si="19"/>
        <v>3.7292381127634444E-2</v>
      </c>
      <c r="BN13" s="776">
        <f t="shared" si="20"/>
        <v>300.87097399443701</v>
      </c>
      <c r="BO13" s="775">
        <f t="shared" si="20"/>
        <v>4.0332377812881681E-2</v>
      </c>
      <c r="BQ13" s="776">
        <f t="shared" si="21"/>
        <v>279.17785491174982</v>
      </c>
      <c r="BR13" s="775">
        <f t="shared" si="21"/>
        <v>3.7367330882437377E-2</v>
      </c>
    </row>
    <row r="14" spans="2:70" ht="20.100000000000001" customHeight="1">
      <c r="B14" s="836">
        <v>28</v>
      </c>
      <c r="C14" s="777" t="str">
        <f t="shared" si="33"/>
        <v>H</v>
      </c>
      <c r="D14" s="778" t="str">
        <f>LEFT(INDEX(DSS_Calc!$D:$D,MATCH(G$4+$B14,DSS_Calc!$A:$A,0)),LEN(INDEX(DSS_Calc!$D:$D,MATCH(G$4+$B14,DSS_Calc!$A:$A,0)))-2)</f>
        <v>1000 Combo</v>
      </c>
      <c r="E14" s="777" t="str">
        <f>"MY"&amp;RIGHT(Input!$H$9,2)&amp;" "&amp;Input!$H$3</f>
        <v>MY20 Soul</v>
      </c>
      <c r="F14" s="772"/>
      <c r="G14" s="779">
        <f>INDEX(DSS_Calc!$JD:$JD,MATCH(G$4+$B14,DSS_Calc!$A:$A,0))-INDEX(DSS_Calc!$JD:$JD,MATCH(G$4+$B$6,DSS_Calc!$A:$A,0))</f>
        <v>372.93456019468385</v>
      </c>
      <c r="H14" s="780">
        <f>INDEX(DSS_Calc!$JM:$JM,MATCH(G$4+$B14,DSS_Calc!$A:$A,0))/INDEX(DSS_Calc!$JM:$JM,MATCH(G$4+$B$6,DSS_Calc!$A:$A,0))-1</f>
        <v>5.9726514443360079E-2</v>
      </c>
      <c r="I14" s="788">
        <f>ABS(INDEX(DSS_Calc!$KU:$KU,MATCH(G$4+$B14,DSS_Calc!$A:$A,0)))</f>
        <v>6.1695501860352504</v>
      </c>
      <c r="J14" s="777">
        <f t="shared" si="12"/>
        <v>8</v>
      </c>
      <c r="K14" s="813">
        <f t="shared" si="22"/>
        <v>100</v>
      </c>
      <c r="L14" s="813">
        <f t="shared" si="23"/>
        <v>100</v>
      </c>
      <c r="M14" s="813">
        <f>INDEX(DSS_Calc!$JM:$JM,MATCH(G$4+$B14,DSS_Calc!$A:$A,0))</f>
        <v>474.58335393328287</v>
      </c>
      <c r="N14" s="772"/>
      <c r="O14" s="779">
        <f>INDEX(DSS_Calc!$JD:$JD,MATCH(O$4+$B14,DSS_Calc!$A:$A,0))-INDEX(DSS_Calc!$JD:$JD,MATCH(O$4+$B$6,DSS_Calc!$A:$A,0))</f>
        <v>545.23946967983875</v>
      </c>
      <c r="P14" s="780">
        <f>INDEX(DSS_Calc!$JM:$JM,MATCH(O$4+$B14,DSS_Calc!$A:$A,0))/INDEX(DSS_Calc!$JM:$JM,MATCH(O$4+$B$6,DSS_Calc!$A:$A,0))-1</f>
        <v>7.2969646734516891E-2</v>
      </c>
      <c r="Q14" s="788">
        <f>ABS(INDEX(DSS_Calc!$KU:$KU,MATCH(O$4+$B14,DSS_Calc!$A:$A,0)))</f>
        <v>4.3922241204642454</v>
      </c>
      <c r="R14" s="777">
        <f t="shared" si="13"/>
        <v>9</v>
      </c>
      <c r="S14" s="813">
        <f t="shared" si="24"/>
        <v>3</v>
      </c>
      <c r="T14" s="813">
        <f t="shared" si="25"/>
        <v>100</v>
      </c>
      <c r="U14" s="813">
        <f>INDEX(DSS_Calc!$JM:$JM,MATCH(O$4+$B14,DSS_Calc!$A:$A,0))</f>
        <v>1341.6056711228966</v>
      </c>
      <c r="V14" s="772"/>
      <c r="W14" s="779">
        <f>INDEX(DSS_Calc!$JD:$JD,MATCH(W$4+$B14,DSS_Calc!$A:$A,0))-INDEX(DSS_Calc!$JD:$JD,MATCH(W$4+$B$6,DSS_Calc!$A:$A,0))</f>
        <v>610.17277570237184</v>
      </c>
      <c r="X14" s="780">
        <f>INDEX(DSS_Calc!$JM:$JM,MATCH(W$4+$B14,DSS_Calc!$A:$A,0))/INDEX(DSS_Calc!$JM:$JM,MATCH(W$4+$B$6,DSS_Calc!$A:$A,0))-1</f>
        <v>7.9225325071490937E-2</v>
      </c>
      <c r="Y14" s="788">
        <f>ABS(INDEX(DSS_Calc!$KU:$KU,MATCH(W$4+$B14,DSS_Calc!$A:$A,0)))</f>
        <v>4.5862740650132832</v>
      </c>
      <c r="Z14" s="777">
        <f t="shared" si="14"/>
        <v>8</v>
      </c>
      <c r="AA14" s="813">
        <f t="shared" si="26"/>
        <v>3</v>
      </c>
      <c r="AB14" s="813">
        <f t="shared" si="27"/>
        <v>100</v>
      </c>
      <c r="AC14" s="813">
        <f>INDEX(DSS_Calc!$JM:$JM,MATCH(W$4+$B14,DSS_Calc!$A:$A,0))</f>
        <v>1790.576616073685</v>
      </c>
      <c r="AD14" s="772"/>
      <c r="AE14" s="779">
        <f>INDEX(DSS_Calc!$JD:$JD,MATCH(AE$4+$B14,DSS_Calc!$A:$A,0))-INDEX(DSS_Calc!$JD:$JD,MATCH(AE$4+$B$6,DSS_Calc!$A:$A,0))</f>
        <v>613.44401486513971</v>
      </c>
      <c r="AF14" s="780">
        <f>INDEX(DSS_Calc!$JM:$JM,MATCH(AE$4+$B14,DSS_Calc!$A:$A,0))/INDEX(DSS_Calc!$JM:$JM,MATCH(AE$4+$B$6,DSS_Calc!$A:$A,0))-1</f>
        <v>7.5279154426133532E-2</v>
      </c>
      <c r="AG14" s="788">
        <f>ABS(INDEX(DSS_Calc!$KU:$KU,MATCH(AE$4+$B14,DSS_Calc!$A:$A,0)))</f>
        <v>3.9862647433998761</v>
      </c>
      <c r="AH14" s="777">
        <f t="shared" si="15"/>
        <v>9</v>
      </c>
      <c r="AI14" s="813">
        <f t="shared" si="28"/>
        <v>3</v>
      </c>
      <c r="AJ14" s="813">
        <f t="shared" si="29"/>
        <v>100</v>
      </c>
      <c r="AK14" s="813">
        <f>INDEX(DSS_Calc!$JM:$JM,MATCH(AE$4+$B14,DSS_Calc!$A:$A,0))</f>
        <v>2600.6828305259146</v>
      </c>
      <c r="AL14" s="772"/>
      <c r="AM14" s="779">
        <f>INDEX(DSS_Calc!$JD:$JD,MATCH(AM$4+$B14,DSS_Calc!$A:$A,0))-INDEX(DSS_Calc!$JD:$JD,MATCH(AM$4+$B$6,DSS_Calc!$A:$A,0))</f>
        <v>640.84875115015075</v>
      </c>
      <c r="AN14" s="780">
        <f>INDEX(DSS_Calc!$JM:$JM,MATCH(AM$4+$B14,DSS_Calc!$A:$A,0))/INDEX(DSS_Calc!$JM:$JM,MATCH(AM$4+$B$6,DSS_Calc!$A:$A,0))-1</f>
        <v>8.198294703960074E-2</v>
      </c>
      <c r="AO14" s="788">
        <f>ABS(INDEX(DSS_Calc!$KU:$KU,MATCH(AM$4+$B14,DSS_Calc!$A:$A,0)))</f>
        <v>3.8776215402575751</v>
      </c>
      <c r="AP14" s="777">
        <f t="shared" si="16"/>
        <v>10</v>
      </c>
      <c r="AQ14" s="813">
        <f t="shared" si="30"/>
        <v>3</v>
      </c>
      <c r="AR14" s="813">
        <f t="shared" si="31"/>
        <v>100</v>
      </c>
      <c r="AS14" s="813">
        <f>INDEX(DSS_Calc!$JM:$JM,MATCH(AM$4+$B14,DSS_Calc!$A:$A,0))</f>
        <v>891.92486861799375</v>
      </c>
      <c r="AT14" s="772"/>
      <c r="AU14" s="779">
        <f>INDEX(DSS_Calc!$JD:$JD,MATCH(AU$4+$B14,DSS_Calc!$A:$A,0))-INDEX(DSS_Calc!$JD:$JD,MATCH(AU$4+$B$6,DSS_Calc!$A:$A,0))</f>
        <v>586.59192478264686</v>
      </c>
      <c r="AV14" s="780">
        <f>INDEX(DSS_Calc!$JM:$JM,MATCH(AU$4+$B14,DSS_Calc!$A:$A,0))/INDEX(DSS_Calc!$JM:$JM,MATCH(AU$4+$B$6,DSS_Calc!$A:$A,0))-1</f>
        <v>7.5615606351834286E-2</v>
      </c>
      <c r="AX14" s="777" t="str">
        <f t="shared" si="11"/>
        <v>H</v>
      </c>
      <c r="AY14" s="778" t="str">
        <f t="shared" si="11"/>
        <v>1000 Combo</v>
      </c>
      <c r="AZ14" s="777" t="str">
        <f t="shared" si="11"/>
        <v>MY20 Soul</v>
      </c>
      <c r="BB14" s="779">
        <f t="shared" si="32"/>
        <v>372.93456019468385</v>
      </c>
      <c r="BC14" s="780">
        <f t="shared" si="32"/>
        <v>5.9726514443360079E-2</v>
      </c>
      <c r="BE14" s="779">
        <f t="shared" si="17"/>
        <v>545.23946967983875</v>
      </c>
      <c r="BF14" s="780">
        <f t="shared" si="17"/>
        <v>7.2969646734516891E-2</v>
      </c>
      <c r="BH14" s="779">
        <f t="shared" si="18"/>
        <v>610.17277570237184</v>
      </c>
      <c r="BI14" s="780">
        <f t="shared" si="18"/>
        <v>7.9225325071490937E-2</v>
      </c>
      <c r="BK14" s="779">
        <f t="shared" si="19"/>
        <v>613.44401486513971</v>
      </c>
      <c r="BL14" s="780">
        <f t="shared" si="19"/>
        <v>7.5279154426133532E-2</v>
      </c>
      <c r="BN14" s="779">
        <f t="shared" si="20"/>
        <v>640.84875115015075</v>
      </c>
      <c r="BO14" s="780">
        <f t="shared" si="20"/>
        <v>8.198294703960074E-2</v>
      </c>
      <c r="BQ14" s="779">
        <f t="shared" si="21"/>
        <v>586.59192478264686</v>
      </c>
      <c r="BR14" s="780">
        <f t="shared" si="21"/>
        <v>7.5615606351834286E-2</v>
      </c>
    </row>
    <row r="15" spans="2:70" ht="20.100000000000001" customHeight="1">
      <c r="B15" s="836">
        <v>17</v>
      </c>
      <c r="C15" s="772" t="str">
        <f t="shared" si="33"/>
        <v>I</v>
      </c>
      <c r="D15" s="774" t="str">
        <f>LEFT(INDEX(DSS_Calc!$D:$D,MATCH(G$4+$B15,DSS_Calc!$A:$A,0)),LEN(INDEX(DSS_Calc!$D:$D,MATCH(G$4+$B15,DSS_Calc!$A:$A,0)))-2)</f>
        <v>360 Lease</v>
      </c>
      <c r="E15" s="772" t="str">
        <f>"MY"&amp;RIGHT(Input!$H$9,2)&amp;" "&amp;Input!$H$3</f>
        <v>MY20 Soul</v>
      </c>
      <c r="F15" s="772"/>
      <c r="G15" s="776">
        <f>INDEX(DSS_Calc!$JD:$JD,MATCH(G$4+$B15,DSS_Calc!$A:$A,0))-INDEX(DSS_Calc!$JD:$JD,MATCH(G$4+$B$6,DSS_Calc!$A:$A,0))</f>
        <v>342.0935307395348</v>
      </c>
      <c r="H15" s="775">
        <f>INDEX(DSS_Calc!$JM:$JM,MATCH(G$4+$B15,DSS_Calc!$A:$A,0))/INDEX(DSS_Calc!$JM:$JM,MATCH(G$4+$B$6,DSS_Calc!$A:$A,0))-1</f>
        <v>3.4182171699328245E-2</v>
      </c>
      <c r="I15" s="787">
        <f>ABS(INDEX(DSS_Calc!$KU:$KU,MATCH(G$4+$B15,DSS_Calc!$A:$A,0)))</f>
        <v>5.9277707496965002</v>
      </c>
      <c r="J15" s="772">
        <f t="shared" si="12"/>
        <v>9</v>
      </c>
      <c r="K15" s="812">
        <f t="shared" si="22"/>
        <v>100</v>
      </c>
      <c r="L15" s="812">
        <f t="shared" si="23"/>
        <v>100</v>
      </c>
      <c r="M15" s="812">
        <f>INDEX(DSS_Calc!$JM:$JM,MATCH(G$4+$B15,DSS_Calc!$A:$A,0))</f>
        <v>463.14368559597438</v>
      </c>
      <c r="N15" s="772"/>
      <c r="O15" s="776">
        <f>INDEX(DSS_Calc!$JD:$JD,MATCH(O$4+$B15,DSS_Calc!$A:$A,0))-INDEX(DSS_Calc!$JD:$JD,MATCH(O$4+$B$6,DSS_Calc!$A:$A,0))</f>
        <v>152.49004504003824</v>
      </c>
      <c r="P15" s="775">
        <f>INDEX(DSS_Calc!$JM:$JM,MATCH(O$4+$B15,DSS_Calc!$A:$A,0))/INDEX(DSS_Calc!$JM:$JM,MATCH(O$4+$B$6,DSS_Calc!$A:$A,0))-1</f>
        <v>1.4863962460789137E-2</v>
      </c>
      <c r="Q15" s="787">
        <f>ABS(INDEX(DSS_Calc!$KU:$KU,MATCH(O$4+$B15,DSS_Calc!$A:$A,0)))</f>
        <v>4.3936020719320537</v>
      </c>
      <c r="R15" s="772">
        <f t="shared" si="13"/>
        <v>8</v>
      </c>
      <c r="S15" s="812">
        <f t="shared" si="24"/>
        <v>100</v>
      </c>
      <c r="T15" s="812">
        <f t="shared" si="25"/>
        <v>3</v>
      </c>
      <c r="U15" s="812">
        <f>INDEX(DSS_Calc!$JM:$JM,MATCH(O$4+$B15,DSS_Calc!$A:$A,0))</f>
        <v>1268.9522500467665</v>
      </c>
      <c r="V15" s="772"/>
      <c r="W15" s="776">
        <f>INDEX(DSS_Calc!$JD:$JD,MATCH(W$4+$B15,DSS_Calc!$A:$A,0))-INDEX(DSS_Calc!$JD:$JD,MATCH(W$4+$B$6,DSS_Calc!$A:$A,0))</f>
        <v>166.46495619825009</v>
      </c>
      <c r="X15" s="775">
        <f>INDEX(DSS_Calc!$JM:$JM,MATCH(W$4+$B15,DSS_Calc!$A:$A,0))/INDEX(DSS_Calc!$JM:$JM,MATCH(W$4+$B$6,DSS_Calc!$A:$A,0))-1</f>
        <v>1.4014578908378317E-2</v>
      </c>
      <c r="Y15" s="787">
        <f>ABS(INDEX(DSS_Calc!$KU:$KU,MATCH(W$4+$B15,DSS_Calc!$A:$A,0)))</f>
        <v>4.5605128488540929</v>
      </c>
      <c r="Z15" s="772">
        <f t="shared" si="14"/>
        <v>9</v>
      </c>
      <c r="AA15" s="812">
        <f t="shared" si="26"/>
        <v>100</v>
      </c>
      <c r="AB15" s="812">
        <f t="shared" si="27"/>
        <v>3</v>
      </c>
      <c r="AC15" s="812">
        <f>INDEX(DSS_Calc!$JM:$JM,MATCH(W$4+$B15,DSS_Calc!$A:$A,0))</f>
        <v>1682.3834200062638</v>
      </c>
      <c r="AD15" s="772"/>
      <c r="AE15" s="776">
        <f>INDEX(DSS_Calc!$JD:$JD,MATCH(AE$4+$B15,DSS_Calc!$A:$A,0))-INDEX(DSS_Calc!$JD:$JD,MATCH(AE$4+$B$6,DSS_Calc!$A:$A,0))</f>
        <v>48.373315479117991</v>
      </c>
      <c r="AF15" s="775">
        <f>INDEX(DSS_Calc!$JM:$JM,MATCH(AE$4+$B15,DSS_Calc!$A:$A,0))/INDEX(DSS_Calc!$JM:$JM,MATCH(AE$4+$B$6,DSS_Calc!$A:$A,0))-1</f>
        <v>4.3254356197968136E-3</v>
      </c>
      <c r="AG15" s="787">
        <f>ABS(INDEX(DSS_Calc!$KU:$KU,MATCH(AE$4+$B15,DSS_Calc!$A:$A,0)))</f>
        <v>4.0169285269723218</v>
      </c>
      <c r="AH15" s="772">
        <f t="shared" si="15"/>
        <v>8</v>
      </c>
      <c r="AI15" s="812">
        <f t="shared" si="28"/>
        <v>100</v>
      </c>
      <c r="AJ15" s="812">
        <f t="shared" si="29"/>
        <v>2</v>
      </c>
      <c r="AK15" s="812">
        <f>INDEX(DSS_Calc!$JM:$JM,MATCH(AE$4+$B15,DSS_Calc!$A:$A,0))</f>
        <v>2429.0733303305119</v>
      </c>
      <c r="AL15" s="772"/>
      <c r="AM15" s="776">
        <f>INDEX(DSS_Calc!$JD:$JD,MATCH(AM$4+$B15,DSS_Calc!$A:$A,0))-INDEX(DSS_Calc!$JD:$JD,MATCH(AM$4+$B$6,DSS_Calc!$A:$A,0))</f>
        <v>64.833172653475685</v>
      </c>
      <c r="AN15" s="775">
        <f>INDEX(DSS_Calc!$JM:$JM,MATCH(AM$4+$B15,DSS_Calc!$A:$A,0))/INDEX(DSS_Calc!$JM:$JM,MATCH(AM$4+$B$6,DSS_Calc!$A:$A,0))-1</f>
        <v>6.2102411224356224E-3</v>
      </c>
      <c r="AO15" s="787">
        <f>ABS(INDEX(DSS_Calc!$KU:$KU,MATCH(AM$4+$B15,DSS_Calc!$A:$A,0)))</f>
        <v>3.9476119807742798</v>
      </c>
      <c r="AP15" s="772">
        <f t="shared" si="16"/>
        <v>8</v>
      </c>
      <c r="AQ15" s="812">
        <f t="shared" si="30"/>
        <v>100</v>
      </c>
      <c r="AR15" s="812">
        <f t="shared" si="31"/>
        <v>2</v>
      </c>
      <c r="AS15" s="812">
        <f>INDEX(DSS_Calc!$JM:$JM,MATCH(AM$4+$B15,DSS_Calc!$A:$A,0))</f>
        <v>829.46218290292597</v>
      </c>
      <c r="AT15" s="772"/>
      <c r="AU15" s="776">
        <f>INDEX(DSS_Calc!$JD:$JD,MATCH(AU$4+$B15,DSS_Calc!$A:$A,0))-INDEX(DSS_Calc!$JD:$JD,MATCH(AU$4+$B$6,DSS_Calc!$A:$A,0))</f>
        <v>120.79152218513218</v>
      </c>
      <c r="AV15" s="775">
        <f>INDEX(DSS_Calc!$JM:$JM,MATCH(AU$4+$B15,DSS_Calc!$A:$A,0))/INDEX(DSS_Calc!$JM:$JM,MATCH(AU$4+$B$6,DSS_Calc!$A:$A,0))-1</f>
        <v>1.1018661840230148E-2</v>
      </c>
      <c r="AX15" s="772" t="str">
        <f t="shared" si="11"/>
        <v>I</v>
      </c>
      <c r="AY15" s="774" t="str">
        <f t="shared" si="11"/>
        <v>360 Lease</v>
      </c>
      <c r="AZ15" s="772" t="str">
        <f t="shared" si="11"/>
        <v>MY20 Soul</v>
      </c>
      <c r="BB15" s="776">
        <f t="shared" si="32"/>
        <v>342.0935307395348</v>
      </c>
      <c r="BC15" s="775">
        <f t="shared" si="32"/>
        <v>3.4182171699328245E-2</v>
      </c>
      <c r="BE15" s="776">
        <f t="shared" si="17"/>
        <v>152.49004504003824</v>
      </c>
      <c r="BF15" s="775">
        <f t="shared" si="17"/>
        <v>1.4863962460789137E-2</v>
      </c>
      <c r="BH15" s="776">
        <f t="shared" si="18"/>
        <v>166.46495619825009</v>
      </c>
      <c r="BI15" s="775">
        <f t="shared" si="18"/>
        <v>1.4014578908378317E-2</v>
      </c>
      <c r="BK15" s="776">
        <f t="shared" si="19"/>
        <v>48.373315479117991</v>
      </c>
      <c r="BL15" s="775">
        <f t="shared" si="19"/>
        <v>4.3254356197968136E-3</v>
      </c>
      <c r="BN15" s="776">
        <f t="shared" si="20"/>
        <v>64.833172653475685</v>
      </c>
      <c r="BO15" s="775">
        <f t="shared" si="20"/>
        <v>6.2102411224356224E-3</v>
      </c>
      <c r="BQ15" s="776">
        <f t="shared" si="21"/>
        <v>120.79152218513218</v>
      </c>
      <c r="BR15" s="775">
        <f t="shared" si="21"/>
        <v>1.1018661840230148E-2</v>
      </c>
    </row>
    <row r="16" spans="2:70" ht="20.100000000000001" customHeight="1">
      <c r="B16" s="836">
        <v>18</v>
      </c>
      <c r="C16" s="777" t="str">
        <f t="shared" si="33"/>
        <v>J</v>
      </c>
      <c r="D16" s="778" t="str">
        <f>LEFT(INDEX(DSS_Calc!$D:$D,MATCH(G$4+$B16,DSS_Calc!$A:$A,0)),LEN(INDEX(DSS_Calc!$D:$D,MATCH(G$4+$B16,DSS_Calc!$A:$A,0)))-2)</f>
        <v>720 Lease</v>
      </c>
      <c r="E16" s="777" t="str">
        <f>"MY"&amp;RIGHT(Input!$H$9,2)&amp;" "&amp;Input!$H$3</f>
        <v>MY20 Soul</v>
      </c>
      <c r="F16" s="772"/>
      <c r="G16" s="779">
        <f>INDEX(DSS_Calc!$JD:$JD,MATCH(G$4+$B16,DSS_Calc!$A:$A,0))-INDEX(DSS_Calc!$JD:$JD,MATCH(G$4+$B$6,DSS_Calc!$A:$A,0))</f>
        <v>737.9273179459542</v>
      </c>
      <c r="H16" s="780">
        <f>INDEX(DSS_Calc!$JM:$JM,MATCH(G$4+$B16,DSS_Calc!$A:$A,0))/INDEX(DSS_Calc!$JM:$JM,MATCH(G$4+$B$6,DSS_Calc!$A:$A,0))-1</f>
        <v>7.3762536704428339E-2</v>
      </c>
      <c r="I16" s="788">
        <f>ABS(INDEX(DSS_Calc!$KU:$KU,MATCH(G$4+$B16,DSS_Calc!$A:$A,0)))</f>
        <v>5.6874255182608717</v>
      </c>
      <c r="J16" s="777">
        <f t="shared" si="12"/>
        <v>10</v>
      </c>
      <c r="K16" s="813">
        <f t="shared" si="22"/>
        <v>3</v>
      </c>
      <c r="L16" s="813">
        <f t="shared" si="23"/>
        <v>100</v>
      </c>
      <c r="M16" s="813">
        <f>INDEX(DSS_Calc!$JM:$JM,MATCH(G$4+$B16,DSS_Calc!$A:$A,0))</f>
        <v>480.8691856358509</v>
      </c>
      <c r="N16" s="772"/>
      <c r="O16" s="779">
        <f>INDEX(DSS_Calc!$JD:$JD,MATCH(O$4+$B16,DSS_Calc!$A:$A,0))-INDEX(DSS_Calc!$JD:$JD,MATCH(O$4+$B$6,DSS_Calc!$A:$A,0))</f>
        <v>343.74784695696962</v>
      </c>
      <c r="P16" s="780">
        <f>INDEX(DSS_Calc!$JM:$JM,MATCH(O$4+$B16,DSS_Calc!$A:$A,0))/INDEX(DSS_Calc!$JM:$JM,MATCH(O$4+$B$6,DSS_Calc!$A:$A,0))-1</f>
        <v>3.1810023587830027E-2</v>
      </c>
      <c r="Q16" s="788">
        <f>ABS(INDEX(DSS_Calc!$KU:$KU,MATCH(O$4+$B16,DSS_Calc!$A:$A,0)))</f>
        <v>4.2576612471602413</v>
      </c>
      <c r="R16" s="777">
        <f t="shared" si="13"/>
        <v>10</v>
      </c>
      <c r="S16" s="813">
        <f t="shared" si="24"/>
        <v>100</v>
      </c>
      <c r="T16" s="813">
        <f t="shared" si="25"/>
        <v>100</v>
      </c>
      <c r="U16" s="813">
        <f>INDEX(DSS_Calc!$JM:$JM,MATCH(O$4+$B16,DSS_Calc!$A:$A,0))</f>
        <v>1290.1410430200112</v>
      </c>
      <c r="V16" s="772"/>
      <c r="W16" s="779">
        <f>INDEX(DSS_Calc!$JD:$JD,MATCH(W$4+$B16,DSS_Calc!$A:$A,0))-INDEX(DSS_Calc!$JD:$JD,MATCH(W$4+$B$6,DSS_Calc!$A:$A,0))</f>
        <v>365.28258186668018</v>
      </c>
      <c r="X16" s="780">
        <f>INDEX(DSS_Calc!$JM:$JM,MATCH(W$4+$B16,DSS_Calc!$A:$A,0))/INDEX(DSS_Calc!$JM:$JM,MATCH(W$4+$B$6,DSS_Calc!$A:$A,0))-1</f>
        <v>3.0640400799758494E-2</v>
      </c>
      <c r="Y16" s="788">
        <f>ABS(INDEX(DSS_Calc!$KU:$KU,MATCH(W$4+$B16,DSS_Calc!$A:$A,0)))</f>
        <v>4.4374006275048314</v>
      </c>
      <c r="Z16" s="777">
        <f t="shared" si="14"/>
        <v>10</v>
      </c>
      <c r="AA16" s="813">
        <f t="shared" si="26"/>
        <v>100</v>
      </c>
      <c r="AB16" s="813">
        <f t="shared" si="27"/>
        <v>100</v>
      </c>
      <c r="AC16" s="813">
        <f>INDEX(DSS_Calc!$JM:$JM,MATCH(W$4+$B16,DSS_Calc!$A:$A,0))</f>
        <v>1709.9678430272295</v>
      </c>
      <c r="AD16" s="772"/>
      <c r="AE16" s="779">
        <f>INDEX(DSS_Calc!$JD:$JD,MATCH(AE$4+$B16,DSS_Calc!$A:$A,0))-INDEX(DSS_Calc!$JD:$JD,MATCH(AE$4+$B$6,DSS_Calc!$A:$A,0))</f>
        <v>111.2302902577635</v>
      </c>
      <c r="AF16" s="780">
        <f>INDEX(DSS_Calc!$JM:$JM,MATCH(AE$4+$B16,DSS_Calc!$A:$A,0))/INDEX(DSS_Calc!$JM:$JM,MATCH(AE$4+$B$6,DSS_Calc!$A:$A,0))-1</f>
        <v>9.19434842836786E-3</v>
      </c>
      <c r="AG16" s="788">
        <f>ABS(INDEX(DSS_Calc!$KU:$KU,MATCH(AE$4+$B16,DSS_Calc!$A:$A,0)))</f>
        <v>3.9790828421193942</v>
      </c>
      <c r="AH16" s="777">
        <f t="shared" si="15"/>
        <v>10</v>
      </c>
      <c r="AI16" s="813">
        <f t="shared" si="28"/>
        <v>100</v>
      </c>
      <c r="AJ16" s="813">
        <f t="shared" si="29"/>
        <v>3</v>
      </c>
      <c r="AK16" s="813">
        <f>INDEX(DSS_Calc!$JM:$JM,MATCH(AE$4+$B16,DSS_Calc!$A:$A,0))</f>
        <v>2440.8493402089293</v>
      </c>
      <c r="AL16" s="772"/>
      <c r="AM16" s="779">
        <f>INDEX(DSS_Calc!$JD:$JD,MATCH(AM$4+$B16,DSS_Calc!$A:$A,0))-INDEX(DSS_Calc!$JD:$JD,MATCH(AM$4+$B$6,DSS_Calc!$A:$A,0))</f>
        <v>148.36253417469698</v>
      </c>
      <c r="AN16" s="780">
        <f>INDEX(DSS_Calc!$JM:$JM,MATCH(AM$4+$B16,DSS_Calc!$A:$A,0))/INDEX(DSS_Calc!$JM:$JM,MATCH(AM$4+$B$6,DSS_Calc!$A:$A,0))-1</f>
        <v>1.3138963360918687E-2</v>
      </c>
      <c r="AO16" s="788">
        <f>ABS(INDEX(DSS_Calc!$KU:$KU,MATCH(AM$4+$B16,DSS_Calc!$A:$A,0)))</f>
        <v>3.8807619333242327</v>
      </c>
      <c r="AP16" s="777">
        <f t="shared" si="16"/>
        <v>9</v>
      </c>
      <c r="AQ16" s="813">
        <f t="shared" si="30"/>
        <v>100</v>
      </c>
      <c r="AR16" s="813">
        <f t="shared" si="31"/>
        <v>3</v>
      </c>
      <c r="AS16" s="813">
        <f>INDEX(DSS_Calc!$JM:$JM,MATCH(AM$4+$B16,DSS_Calc!$A:$A,0))</f>
        <v>835.17382529910071</v>
      </c>
      <c r="AT16" s="772"/>
      <c r="AU16" s="779">
        <f>INDEX(DSS_Calc!$JD:$JD,MATCH(AU$4+$B16,DSS_Calc!$A:$A,0))-INDEX(DSS_Calc!$JD:$JD,MATCH(AU$4+$B$6,DSS_Calc!$A:$A,0))</f>
        <v>270.03211092373931</v>
      </c>
      <c r="AV16" s="780">
        <f>INDEX(DSS_Calc!$JM:$JM,MATCH(AU$4+$B16,DSS_Calc!$A:$A,0))/INDEX(DSS_Calc!$JM:$JM,MATCH(AU$4+$B$6,DSS_Calc!$A:$A,0))-1</f>
        <v>2.3743312896564728E-2</v>
      </c>
      <c r="AX16" s="777" t="str">
        <f t="shared" si="11"/>
        <v>J</v>
      </c>
      <c r="AY16" s="778" t="str">
        <f t="shared" si="11"/>
        <v>720 Lease</v>
      </c>
      <c r="AZ16" s="777" t="str">
        <f t="shared" si="11"/>
        <v>MY20 Soul</v>
      </c>
      <c r="BB16" s="779">
        <f t="shared" si="32"/>
        <v>737.9273179459542</v>
      </c>
      <c r="BC16" s="780">
        <f t="shared" si="32"/>
        <v>7.3762536704428339E-2</v>
      </c>
      <c r="BE16" s="779">
        <f t="shared" si="17"/>
        <v>343.74784695696962</v>
      </c>
      <c r="BF16" s="780">
        <f t="shared" si="17"/>
        <v>3.1810023587830027E-2</v>
      </c>
      <c r="BH16" s="779">
        <f t="shared" si="18"/>
        <v>365.28258186668018</v>
      </c>
      <c r="BI16" s="780">
        <f t="shared" si="18"/>
        <v>3.0640400799758494E-2</v>
      </c>
      <c r="BK16" s="779">
        <f t="shared" si="19"/>
        <v>111.2302902577635</v>
      </c>
      <c r="BL16" s="780">
        <f t="shared" si="19"/>
        <v>9.19434842836786E-3</v>
      </c>
      <c r="BN16" s="779">
        <f t="shared" si="20"/>
        <v>148.36253417469698</v>
      </c>
      <c r="BO16" s="780">
        <f t="shared" si="20"/>
        <v>1.3138963360918687E-2</v>
      </c>
      <c r="BQ16" s="779">
        <f t="shared" si="21"/>
        <v>270.03211092373931</v>
      </c>
      <c r="BR16" s="780">
        <f t="shared" si="21"/>
        <v>2.3743312896564728E-2</v>
      </c>
    </row>
    <row r="17" spans="2:48" ht="20.100000000000001" customHeight="1">
      <c r="B17" s="836">
        <v>19</v>
      </c>
      <c r="C17" s="772" t="str">
        <f t="shared" si="33"/>
        <v>K</v>
      </c>
      <c r="D17" s="774" t="str">
        <f>LEFT(INDEX(DSS_Calc!$D:$D,MATCH(G$4+$B17,DSS_Calc!$A:$A,0)),LEN(INDEX(DSS_Calc!$D:$D,MATCH(G$4+$B17,DSS_Calc!$A:$A,0)))-2)</f>
        <v>Plan A</v>
      </c>
      <c r="E17" s="772" t="str">
        <f>"MY"&amp;RIGHT(Input!$H$9,2)&amp;" "&amp;Input!$H$3</f>
        <v>MY20 Soul</v>
      </c>
      <c r="F17" s="772"/>
      <c r="G17" s="776">
        <f>INDEX(DSS_Calc!$JD:$JD,MATCH(G$4+$B17,DSS_Calc!$A:$A,0))-INDEX(DSS_Calc!$JD:$JD,MATCH(G$4+$B$6,DSS_Calc!$A:$A,0))</f>
        <v>-186.74714264881595</v>
      </c>
      <c r="H17" s="775">
        <f>INDEX(DSS_Calc!$JM:$JM,MATCH(G$4+$B17,DSS_Calc!$A:$A,0))/INDEX(DSS_Calc!$JM:$JM,MATCH(G$4+$B$6,DSS_Calc!$A:$A,0))-1</f>
        <v>-3.6346980840658571E-2</v>
      </c>
      <c r="I17" s="787">
        <f>ABS(INDEX(DSS_Calc!$KU:$KU,MATCH(G$4+$B17,DSS_Calc!$A:$A,0)))</f>
        <v>6.1109086619997433</v>
      </c>
      <c r="J17" s="772" t="e">
        <f t="shared" ref="J17:J18" si="34">RANK(I17,I$7:I$16,0)</f>
        <v>#N/A</v>
      </c>
      <c r="K17" s="812">
        <f t="shared" ref="K17:K18" si="35">IF(G17&gt;QUARTILE(G$7:G$16,3),1+COUNTIFS(G$7:G$16,"&gt;"&amp;QUARTILE(G$7:G$16,3),I$7:I$16,"&gt;"&amp;I17),100)</f>
        <v>100</v>
      </c>
      <c r="L17" s="812">
        <f t="shared" ref="L17:L18" si="36">IF(G17&lt;QUARTILE(G$7:G$16,1),1+COUNTIFS(G$7:G$16,"&lt;"&amp;QUARTILE(G$7:G$16,1),I$7:I$16,"&gt;"&amp;I17),100)</f>
        <v>4</v>
      </c>
      <c r="M17" s="812">
        <f>INDEX(DSS_Calc!$JM:$JM,MATCH(G$4+$B17,DSS_Calc!$A:$A,0))</f>
        <v>431.55821396126606</v>
      </c>
      <c r="N17" s="772"/>
      <c r="O17" s="776">
        <f>INDEX(DSS_Calc!$JD:$JD,MATCH(O$4+$B17,DSS_Calc!$A:$A,0))-INDEX(DSS_Calc!$JD:$JD,MATCH(O$4+$B$6,DSS_Calc!$A:$A,0))</f>
        <v>-229.4269206990175</v>
      </c>
      <c r="P17" s="775">
        <f>INDEX(DSS_Calc!$JM:$JM,MATCH(O$4+$B17,DSS_Calc!$A:$A,0))/INDEX(DSS_Calc!$JM:$JM,MATCH(O$4+$B$6,DSS_Calc!$A:$A,0))-1</f>
        <v>-3.5894690769274651E-2</v>
      </c>
      <c r="Q17" s="787">
        <f>ABS(INDEX(DSS_Calc!$KU:$KU,MATCH(O$4+$B17,DSS_Calc!$A:$A,0)))</f>
        <v>4.4844257473576592</v>
      </c>
      <c r="R17" s="772" t="e">
        <f t="shared" ref="R17:R18" si="37">RANK(Q17,Q$7:Q$16,0)</f>
        <v>#N/A</v>
      </c>
      <c r="S17" s="812">
        <f t="shared" ref="S17:S18" si="38">IF(O17&gt;QUARTILE(O$7:O$16,3),1+COUNTIFS(O$7:O$16,"&gt;"&amp;QUARTILE(O$7:O$16,3),Q$7:Q$16,"&gt;"&amp;Q17),100)</f>
        <v>100</v>
      </c>
      <c r="T17" s="812">
        <f t="shared" ref="T17:T18" si="39">IF(O17&lt;QUARTILE(O$7:O$16,1),1+COUNTIFS(O$7:O$16,"&lt;"&amp;QUARTILE(O$7:O$16,1),Q$7:Q$16,"&gt;"&amp;Q17),100)</f>
        <v>2</v>
      </c>
      <c r="U17" s="812">
        <f>INDEX(DSS_Calc!$JM:$JM,MATCH(O$4+$B17,DSS_Calc!$A:$A,0))</f>
        <v>1205.4853129910312</v>
      </c>
      <c r="V17" s="772"/>
      <c r="W17" s="776">
        <f>INDEX(DSS_Calc!$JD:$JD,MATCH(W$4+$B17,DSS_Calc!$A:$A,0))-INDEX(DSS_Calc!$JD:$JD,MATCH(W$4+$B$6,DSS_Calc!$A:$A,0))</f>
        <v>-222.07899669862536</v>
      </c>
      <c r="X17" s="775">
        <f>INDEX(DSS_Calc!$JM:$JM,MATCH(W$4+$B17,DSS_Calc!$A:$A,0))/INDEX(DSS_Calc!$JM:$JM,MATCH(W$4+$B$6,DSS_Calc!$A:$A,0))-1</f>
        <v>-3.5685710746291788E-2</v>
      </c>
      <c r="Y17" s="787">
        <f>ABS(INDEX(DSS_Calc!$KU:$KU,MATCH(W$4+$B17,DSS_Calc!$A:$A,0)))</f>
        <v>4.6292925241030476</v>
      </c>
      <c r="Z17" s="772" t="e">
        <f t="shared" ref="Z17:Z18" si="40">RANK(Y17,Y$7:Y$16,0)</f>
        <v>#N/A</v>
      </c>
      <c r="AA17" s="812">
        <f t="shared" ref="AA17:AA18" si="41">IF(W17&gt;QUARTILE(W$7:W$16,3),1+COUNTIFS(W$7:W$16,"&gt;"&amp;QUARTILE(W$7:W$16,3),Y$7:Y$16,"&gt;"&amp;Y17),100)</f>
        <v>100</v>
      </c>
      <c r="AB17" s="812">
        <f t="shared" ref="AB17:AB18" si="42">IF(W17&lt;QUARTILE(W$7:W$16,1),1+COUNTIFS(W$7:W$16,"&lt;"&amp;QUARTILE(W$7:W$16,1),Y$7:Y$16,"&gt;"&amp;Y17),100)</f>
        <v>3</v>
      </c>
      <c r="AC17" s="812">
        <f>INDEX(DSS_Calc!$JM:$JM,MATCH(W$4+$B17,DSS_Calc!$A:$A,0))</f>
        <v>1599.9241092392131</v>
      </c>
      <c r="AD17" s="772"/>
      <c r="AE17" s="776">
        <f>INDEX(DSS_Calc!$JD:$JD,MATCH(AE$4+$B17,DSS_Calc!$A:$A,0))-INDEX(DSS_Calc!$JD:$JD,MATCH(AE$4+$B$6,DSS_Calc!$A:$A,0))</f>
        <v>-258.10427414256947</v>
      </c>
      <c r="AF17" s="775">
        <f>INDEX(DSS_Calc!$JM:$JM,MATCH(AE$4+$B17,DSS_Calc!$A:$A,0))/INDEX(DSS_Calc!$JM:$JM,MATCH(AE$4+$B$6,DSS_Calc!$A:$A,0))-1</f>
        <v>-3.4376907928380218E-2</v>
      </c>
      <c r="AG17" s="787">
        <f>ABS(INDEX(DSS_Calc!$KU:$KU,MATCH(AE$4+$B17,DSS_Calc!$A:$A,0)))</f>
        <v>4.0368617498350696</v>
      </c>
      <c r="AH17" s="772" t="e">
        <f t="shared" ref="AH17:AH18" si="43">RANK(AG17,AG$7:AG$16,0)</f>
        <v>#N/A</v>
      </c>
      <c r="AI17" s="812">
        <f t="shared" ref="AI17:AI18" si="44">IF(AE17&gt;QUARTILE(AE$7:AE$16,3),1+COUNTIFS(AE$7:AE$16,"&gt;"&amp;QUARTILE(AE$7:AE$16,3),AG$7:AG$16,"&gt;"&amp;AG17),100)</f>
        <v>100</v>
      </c>
      <c r="AJ17" s="812">
        <f t="shared" ref="AJ17:AJ18" si="45">IF(AE17&lt;QUARTILE(AE$7:AE$16,1),1+COUNTIFS(AE$7:AE$16,"&lt;"&amp;QUARTILE(AE$7:AE$16,1),AG$7:AG$16,"&gt;"&amp;AG17),100)</f>
        <v>1</v>
      </c>
      <c r="AK17" s="812">
        <f>INDEX(DSS_Calc!$JM:$JM,MATCH(AE$4+$B17,DSS_Calc!$A:$A,0))</f>
        <v>2335.4673862809627</v>
      </c>
      <c r="AL17" s="772"/>
      <c r="AM17" s="776">
        <f>INDEX(DSS_Calc!$JD:$JD,MATCH(AM$4+$B17,DSS_Calc!$A:$A,0))-INDEX(DSS_Calc!$JD:$JD,MATCH(AM$4+$B$6,DSS_Calc!$A:$A,0))</f>
        <v>-253.30971645909676</v>
      </c>
      <c r="AN17" s="775">
        <f>INDEX(DSS_Calc!$JM:$JM,MATCH(AM$4+$B17,DSS_Calc!$A:$A,0))/INDEX(DSS_Calc!$JM:$JM,MATCH(AM$4+$B$6,DSS_Calc!$A:$A,0))-1</f>
        <v>-3.6014067807592642E-2</v>
      </c>
      <c r="AO17" s="787">
        <f>ABS(INDEX(DSS_Calc!$KU:$KU,MATCH(AM$4+$B17,DSS_Calc!$A:$A,0)))</f>
        <v>4.0008286361577063</v>
      </c>
      <c r="AP17" s="772" t="e">
        <f t="shared" ref="AP17:AP18" si="46">RANK(AO17,AO$7:AO$16,0)</f>
        <v>#N/A</v>
      </c>
      <c r="AQ17" s="812">
        <f t="shared" ref="AQ17:AQ18" si="47">IF(AM17&gt;QUARTILE(AM$7:AM$16,3),1+COUNTIFS(AM$7:AM$16,"&gt;"&amp;QUARTILE(AM$7:AM$16,3),AO$7:AO$16,"&gt;"&amp;AO17),100)</f>
        <v>100</v>
      </c>
      <c r="AR17" s="812">
        <f t="shared" ref="AR17:AR18" si="48">IF(AM17&lt;QUARTILE(AM$7:AM$16,1),1+COUNTIFS(AM$7:AM$16,"&lt;"&amp;QUARTILE(AM$7:AM$16,1),AO$7:AO$16,"&gt;"&amp;AO17),100)</f>
        <v>2</v>
      </c>
      <c r="AS17" s="812">
        <f>INDEX(DSS_Calc!$JM:$JM,MATCH(AM$4+$B17,DSS_Calc!$A:$A,0))</f>
        <v>794.65487720744841</v>
      </c>
      <c r="AT17" s="772"/>
      <c r="AU17" s="776">
        <f>INDEX(DSS_Calc!$JD:$JD,MATCH(AU$4+$B17,DSS_Calc!$A:$A,0))-INDEX(DSS_Calc!$JD:$JD,MATCH(AU$4+$B$6,DSS_Calc!$A:$A,0))</f>
        <v>-238.0881667915537</v>
      </c>
      <c r="AV17" s="775">
        <f>INDEX(DSS_Calc!$JM:$JM,MATCH(AU$4+$B17,DSS_Calc!$A:$A,0))/INDEX(DSS_Calc!$JM:$JM,MATCH(AU$4+$B$6,DSS_Calc!$A:$A,0))-1</f>
        <v>-3.533158000157266E-2</v>
      </c>
    </row>
    <row r="18" spans="2:48" ht="20.100000000000001" customHeight="1">
      <c r="B18" s="836">
        <v>75</v>
      </c>
      <c r="C18" s="777" t="str">
        <f t="shared" si="33"/>
        <v>L</v>
      </c>
      <c r="D18" s="778" t="str">
        <f>LEFT(INDEX(DSS_Calc!$D:$D,MATCH(G$4+$B18,DSS_Calc!$A:$A,0)),LEN(INDEX(DSS_Calc!$D:$D,MATCH(G$4+$B18,DSS_Calc!$A:$A,0)))-2)</f>
        <v>-500 OLP/CBP</v>
      </c>
      <c r="E18" s="777" t="str">
        <f>"MY"&amp;RIGHT(Input!$H$9,2)&amp;" "&amp;Input!$H$3</f>
        <v>MY20 Soul</v>
      </c>
      <c r="F18" s="772"/>
      <c r="G18" s="779">
        <f>INDEX(DSS_Calc!$JD:$JD,MATCH(G$4+$B18,DSS_Calc!$A:$A,0))-INDEX(DSS_Calc!$JD:$JD,MATCH(G$4+$B$6,DSS_Calc!$A:$A,0))</f>
        <v>-215.33189152189289</v>
      </c>
      <c r="H18" s="780">
        <f>INDEX(DSS_Calc!$JM:$JM,MATCH(G$4+$B18,DSS_Calc!$A:$A,0))/INDEX(DSS_Calc!$JM:$JM,MATCH(G$4+$B$6,DSS_Calc!$A:$A,0))-1</f>
        <v>-3.3923047198736955E-2</v>
      </c>
      <c r="I18" s="788">
        <f>ABS(INDEX(DSS_Calc!$KU:$KU,MATCH(G$4+$B18,DSS_Calc!$A:$A,0)))</f>
        <v>6.2122307262966583</v>
      </c>
      <c r="J18" s="777" t="e">
        <f t="shared" si="34"/>
        <v>#N/A</v>
      </c>
      <c r="K18" s="813">
        <f t="shared" si="35"/>
        <v>100</v>
      </c>
      <c r="L18" s="813">
        <f t="shared" si="36"/>
        <v>4</v>
      </c>
      <c r="M18" s="813">
        <f>INDEX(DSS_Calc!$JM:$JM,MATCH(G$4+$B18,DSS_Calc!$A:$A,0))</f>
        <v>432.64373795431169</v>
      </c>
      <c r="N18" s="772"/>
      <c r="O18" s="779">
        <f>INDEX(DSS_Calc!$JD:$JD,MATCH(O$4+$B18,DSS_Calc!$A:$A,0))-INDEX(DSS_Calc!$JD:$JD,MATCH(O$4+$B$6,DSS_Calc!$A:$A,0))</f>
        <v>-25.010195227712757</v>
      </c>
      <c r="P18" s="780">
        <f>INDEX(DSS_Calc!$JM:$JM,MATCH(O$4+$B18,DSS_Calc!$A:$A,0))/INDEX(DSS_Calc!$JM:$JM,MATCH(O$4+$B$6,DSS_Calc!$A:$A,0))-1</f>
        <v>-3.7020829844205405E-3</v>
      </c>
      <c r="Q18" s="788">
        <f>ABS(INDEX(DSS_Calc!$KU:$KU,MATCH(O$4+$B18,DSS_Calc!$A:$A,0)))</f>
        <v>4.502075053152061</v>
      </c>
      <c r="R18" s="777" t="e">
        <f t="shared" si="37"/>
        <v>#N/A</v>
      </c>
      <c r="S18" s="813">
        <f t="shared" si="38"/>
        <v>100</v>
      </c>
      <c r="T18" s="813">
        <f t="shared" si="39"/>
        <v>2</v>
      </c>
      <c r="U18" s="813">
        <f>INDEX(DSS_Calc!$JM:$JM,MATCH(O$4+$B18,DSS_Calc!$A:$A,0))</f>
        <v>1245.7378823939396</v>
      </c>
      <c r="V18" s="772"/>
      <c r="W18" s="779">
        <f>INDEX(DSS_Calc!$JD:$JD,MATCH(W$4+$B18,DSS_Calc!$A:$A,0))-INDEX(DSS_Calc!$JD:$JD,MATCH(W$4+$B$6,DSS_Calc!$A:$A,0))</f>
        <v>-347.78203784218249</v>
      </c>
      <c r="X18" s="780">
        <f>INDEX(DSS_Calc!$JM:$JM,MATCH(W$4+$B18,DSS_Calc!$A:$A,0))/INDEX(DSS_Calc!$JM:$JM,MATCH(W$4+$B$6,DSS_Calc!$A:$A,0))-1</f>
        <v>-5.0842869745944874E-2</v>
      </c>
      <c r="Y18" s="788">
        <f>ABS(INDEX(DSS_Calc!$KU:$KU,MATCH(W$4+$B18,DSS_Calc!$A:$A,0)))</f>
        <v>4.6696214390890987</v>
      </c>
      <c r="Z18" s="777" t="e">
        <f t="shared" si="40"/>
        <v>#N/A</v>
      </c>
      <c r="AA18" s="813">
        <f t="shared" si="41"/>
        <v>100</v>
      </c>
      <c r="AB18" s="813">
        <f t="shared" si="42"/>
        <v>3</v>
      </c>
      <c r="AC18" s="813">
        <f>INDEX(DSS_Calc!$JM:$JM,MATCH(W$4+$B18,DSS_Calc!$A:$A,0))</f>
        <v>1574.7763909264579</v>
      </c>
      <c r="AD18" s="772"/>
      <c r="AE18" s="779">
        <f>INDEX(DSS_Calc!$JD:$JD,MATCH(AE$4+$B18,DSS_Calc!$A:$A,0))-INDEX(DSS_Calc!$JD:$JD,MATCH(AE$4+$B$6,DSS_Calc!$A:$A,0))</f>
        <v>-508.57031139516675</v>
      </c>
      <c r="AF18" s="780">
        <f>INDEX(DSS_Calc!$JM:$JM,MATCH(AE$4+$B18,DSS_Calc!$A:$A,0))/INDEX(DSS_Calc!$JM:$JM,MATCH(AE$4+$B$6,DSS_Calc!$A:$A,0))-1</f>
        <v>-6.5767822755528726E-2</v>
      </c>
      <c r="AG18" s="788">
        <f>ABS(INDEX(DSS_Calc!$KU:$KU,MATCH(AE$4+$B18,DSS_Calc!$A:$A,0)))</f>
        <v>4.0609368473091294</v>
      </c>
      <c r="AH18" s="777" t="e">
        <f t="shared" si="43"/>
        <v>#N/A</v>
      </c>
      <c r="AI18" s="813">
        <f t="shared" si="44"/>
        <v>100</v>
      </c>
      <c r="AJ18" s="813">
        <f t="shared" si="45"/>
        <v>1</v>
      </c>
      <c r="AK18" s="813">
        <f>INDEX(DSS_Calc!$JM:$JM,MATCH(AE$4+$B18,DSS_Calc!$A:$A,0))</f>
        <v>2259.5449498704515</v>
      </c>
      <c r="AL18" s="772"/>
      <c r="AM18" s="779">
        <f>INDEX(DSS_Calc!$JD:$JD,MATCH(AM$4+$B18,DSS_Calc!$A:$A,0))-INDEX(DSS_Calc!$JD:$JD,MATCH(AM$4+$B$6,DSS_Calc!$A:$A,0))</f>
        <v>-101.95396140519438</v>
      </c>
      <c r="AN18" s="780">
        <f>INDEX(DSS_Calc!$JM:$JM,MATCH(AM$4+$B18,DSS_Calc!$A:$A,0))/INDEX(DSS_Calc!$JM:$JM,MATCH(AM$4+$B$6,DSS_Calc!$A:$A,0))-1</f>
        <v>-1.4284280893648416E-2</v>
      </c>
      <c r="AO18" s="788">
        <f>ABS(INDEX(DSS_Calc!$KU:$KU,MATCH(AM$4+$B18,DSS_Calc!$A:$A,0)))</f>
        <v>3.9982212535702777</v>
      </c>
      <c r="AP18" s="777" t="e">
        <f t="shared" si="46"/>
        <v>#N/A</v>
      </c>
      <c r="AQ18" s="813">
        <f t="shared" si="47"/>
        <v>100</v>
      </c>
      <c r="AR18" s="813">
        <f t="shared" si="48"/>
        <v>2</v>
      </c>
      <c r="AS18" s="813">
        <f>INDEX(DSS_Calc!$JM:$JM,MATCH(AM$4+$B18,DSS_Calc!$A:$A,0))</f>
        <v>812.56767092692962</v>
      </c>
      <c r="AT18" s="772"/>
      <c r="AU18" s="779">
        <f>INDEX(DSS_Calc!$JD:$JD,MATCH(AU$4+$B18,DSS_Calc!$A:$A,0))-INDEX(DSS_Calc!$JD:$JD,MATCH(AU$4+$B$6,DSS_Calc!$A:$A,0))</f>
        <v>-307.05021062329706</v>
      </c>
      <c r="AV18" s="780">
        <f>INDEX(DSS_Calc!$JM:$JM,MATCH(AU$4+$B18,DSS_Calc!$A:$A,0))/INDEX(DSS_Calc!$JM:$JM,MATCH(AU$4+$B$6,DSS_Calc!$A:$A,0))-1</f>
        <v>-4.1667555689738456E-2</v>
      </c>
    </row>
    <row r="20" spans="2:48">
      <c r="B20" s="836">
        <v>6</v>
      </c>
      <c r="C20" s="772"/>
      <c r="D20" s="774" t="str">
        <f>LEFT(INDEX(DSS_Calc!$D:$D,MATCH(G$4+$B20,DSS_Calc!$A:$A,0)),LEN(INDEX(DSS_Calc!$D:$D,MATCH(G$4+$B20,DSS_Calc!$A:$A,0)))-2)</f>
        <v>Reference - Bonus Cash (vs Base</v>
      </c>
      <c r="E20" s="772" t="str">
        <f>"MY"&amp;RIGHT(Input!$H$9,2)&amp;" "&amp;Input!$H$3</f>
        <v>MY20 Soul</v>
      </c>
      <c r="F20" s="772"/>
      <c r="G20" s="776">
        <f>INDEX(DSS_Calc!$JD:$JD,MATCH(G$4+$B20,DSS_Calc!$A:$A,0))-INDEX(DSS_Calc!$JD:$JD,MATCH(G$4+$B$6,DSS_Calc!$A:$A,0))</f>
        <v>549.78464048188926</v>
      </c>
      <c r="H20" s="775">
        <f>INDEX(DSS_Calc!$JM:$JM,MATCH(G$4+$B20,DSS_Calc!$A:$A,0))/INDEX(DSS_Calc!$JM:$JM,MATCH(G$4+$B$6,DSS_Calc!$A:$A,0))-1</f>
        <v>8.98155969023815E-2</v>
      </c>
      <c r="I20" s="787">
        <f>ABS(INDEX(DSS_Calc!$KU:$KU,MATCH(G$4+$B20,DSS_Calc!$A:$A,0)))</f>
        <v>6.1810526644432997</v>
      </c>
      <c r="J20" s="814">
        <f t="shared" ref="J20:J51" si="49">RANK(I20,I$20:I$100,0)</f>
        <v>37</v>
      </c>
      <c r="K20" s="840">
        <f>IF(G20&gt;QUARTILE(G$20:G$100,2),1+COUNTIFS(G$20:G$100,"&gt;"&amp;QUARTILE(G$20:G$100,2),I$20:I$100,"&gt;"&amp;I20),100)</f>
        <v>14</v>
      </c>
      <c r="L20" s="840">
        <f>IF(G20&lt;QUARTILE(G$20:G$100,2),1+COUNTIFS(G$20:G$100,"&lt;"&amp;QUARTILE(G$20:G$100,2),I$20:I$100,"&gt;"&amp;I20),100)</f>
        <v>100</v>
      </c>
      <c r="M20" s="840">
        <f>INDEX(DSS_Calc!$JM:$JM,MATCH(G$4+$B20,DSS_Calc!$A:$A,0))</f>
        <v>488.0583189129768</v>
      </c>
      <c r="N20" s="772"/>
      <c r="O20" s="776">
        <f>INDEX(DSS_Calc!$JD:$JD,MATCH(O$4+$B20,DSS_Calc!$A:$A,0))-INDEX(DSS_Calc!$JD:$JD,MATCH(O$4+$B$6,DSS_Calc!$A:$A,0))</f>
        <v>483.34794467138454</v>
      </c>
      <c r="P20" s="775">
        <f>INDEX(DSS_Calc!$JM:$JM,MATCH(O$4+$B20,DSS_Calc!$A:$A,0))/INDEX(DSS_Calc!$JM:$JM,MATCH(O$4+$B$6,DSS_Calc!$A:$A,0))-1</f>
        <v>7.3285677024560236E-2</v>
      </c>
      <c r="Q20" s="787">
        <f>ABS(INDEX(DSS_Calc!$KU:$KU,MATCH(O$4+$B20,DSS_Calc!$A:$A,0)))</f>
        <v>4.4992449831753465</v>
      </c>
      <c r="R20" s="814">
        <f t="shared" ref="R20:R51" si="50">RANK(Q20,Q$20:Q$100,0)</f>
        <v>33</v>
      </c>
      <c r="S20" s="812">
        <f>IF(O20&gt;QUARTILE(O$20:O$100,2),1+COUNTIFS(O$20:O$100,"&gt;"&amp;QUARTILE(O$20:O$100,2),Q$20:Q$100,"&gt;"&amp;Q20),100)</f>
        <v>12</v>
      </c>
      <c r="T20" s="812">
        <f>IF(O20&lt;QUARTILE(O$20:O$100,2),1+COUNTIFS(O$20:O$100,"&lt;"&amp;QUARTILE(O$20:O$100,2),Q$20:Q$100,"&gt;"&amp;Q20),100)</f>
        <v>100</v>
      </c>
      <c r="U20" s="840">
        <f>INDEX(DSS_Calc!$JM:$JM,MATCH(O$4+$B20,DSS_Calc!$A:$A,0))</f>
        <v>1342.0008249193336</v>
      </c>
      <c r="V20" s="772"/>
      <c r="W20" s="776">
        <f>INDEX(DSS_Calc!$JD:$JD,MATCH(W$4+$B20,DSS_Calc!$A:$A,0))-INDEX(DSS_Calc!$JD:$JD,MATCH(W$4+$B$6,DSS_Calc!$A:$A,0))</f>
        <v>337.63634053265378</v>
      </c>
      <c r="X20" s="775">
        <f>INDEX(DSS_Calc!$JM:$JM,MATCH(W$4+$B20,DSS_Calc!$A:$A,0))/INDEX(DSS_Calc!$JM:$JM,MATCH(W$4+$B$6,DSS_Calc!$A:$A,0))-1</f>
        <v>4.691882429724914E-2</v>
      </c>
      <c r="Y20" s="787">
        <f>ABS(INDEX(DSS_Calc!$KU:$KU,MATCH(W$4+$B20,DSS_Calc!$A:$A,0)))</f>
        <v>4.6555358850666062</v>
      </c>
      <c r="Z20" s="814">
        <f t="shared" ref="Z20:Z51" si="51">RANK(Y20,Y$20:Y$100,0)</f>
        <v>31</v>
      </c>
      <c r="AA20" s="812">
        <f>IF(W20&gt;QUARTILE(W$20:W$100,2),1+COUNTIFS(W$20:W$100,"&gt;"&amp;QUARTILE(W$20:W$100,2),Y$20:Y$100,"&gt;"&amp;Y20),100)</f>
        <v>14</v>
      </c>
      <c r="AB20" s="812">
        <f>IF(W20&lt;QUARTILE(W$20:W$100,2),1+COUNTIFS(W$20:W$100,"&lt;"&amp;QUARTILE(W$20:W$100,2),Y$20:Y$100,"&gt;"&amp;Y20),100)</f>
        <v>100</v>
      </c>
      <c r="AC20" s="840">
        <f>INDEX(DSS_Calc!$JM:$JM,MATCH(W$4+$B20,DSS_Calc!$A:$A,0))</f>
        <v>1736.9758864672965</v>
      </c>
      <c r="AD20" s="772"/>
      <c r="AE20" s="776">
        <f>INDEX(DSS_Calc!$JD:$JD,MATCH(AE$4+$B20,DSS_Calc!$A:$A,0))-INDEX(DSS_Calc!$JD:$JD,MATCH(AE$4+$B$6,DSS_Calc!$A:$A,0))</f>
        <v>225.19825598540183</v>
      </c>
      <c r="AF20" s="775">
        <f>INDEX(DSS_Calc!$JM:$JM,MATCH(AE$4+$B20,DSS_Calc!$A:$A,0))/INDEX(DSS_Calc!$JM:$JM,MATCH(AE$4+$B$6,DSS_Calc!$A:$A,0))-1</f>
        <v>3.012999376561365E-2</v>
      </c>
      <c r="AG20" s="787">
        <f>ABS(INDEX(DSS_Calc!$KU:$KU,MATCH(AE$4+$B20,DSS_Calc!$A:$A,0)))</f>
        <v>4.0446663736314568</v>
      </c>
      <c r="AH20" s="814">
        <f t="shared" ref="AH20:AH51" si="52">RANK(AG20,AG$20:AG$100,0)</f>
        <v>25</v>
      </c>
      <c r="AI20" s="812">
        <f>IF(AE20&gt;QUARTILE(AE$20:AE$100,2),1+COUNTIFS(AE$20:AE$100,"&gt;"&amp;QUARTILE(AE$20:AE$100,2),AG$20:AG$100,"&gt;"&amp;AG20),100)</f>
        <v>100</v>
      </c>
      <c r="AJ20" s="812">
        <f>IF(AE20&lt;QUARTILE(AE$20:AE$100,2),1+COUNTIFS(AE$20:AE$100,"&lt;"&amp;QUARTILE(AE$20:AE$100,2),AG$20:AG$100,"&gt;"&amp;AG20),100)</f>
        <v>11</v>
      </c>
      <c r="AK20" s="840">
        <f>INDEX(DSS_Calc!$JM:$JM,MATCH(AE$4+$B20,DSS_Calc!$A:$A,0))</f>
        <v>2491.4845386598963</v>
      </c>
      <c r="AL20" s="772"/>
      <c r="AM20" s="776">
        <f>INDEX(DSS_Calc!$JD:$JD,MATCH(AM$4+$B20,DSS_Calc!$A:$A,0))-INDEX(DSS_Calc!$JD:$JD,MATCH(AM$4+$B$6,DSS_Calc!$A:$A,0))</f>
        <v>480.87603312200281</v>
      </c>
      <c r="AN20" s="775">
        <f>INDEX(DSS_Calc!$JM:$JM,MATCH(AM$4+$B20,DSS_Calc!$A:$A,0))/INDEX(DSS_Calc!$JM:$JM,MATCH(AM$4+$B$6,DSS_Calc!$A:$A,0))-1</f>
        <v>6.9454496228099849E-2</v>
      </c>
      <c r="AO20" s="787">
        <f>ABS(INDEX(DSS_Calc!$KU:$KU,MATCH(AM$4+$B20,DSS_Calc!$A:$A,0)))</f>
        <v>3.9917626495650937</v>
      </c>
      <c r="AP20" s="814">
        <f t="shared" ref="AP20:AP51" si="53">RANK(AO20,AO$20:AO$100,0)</f>
        <v>25</v>
      </c>
      <c r="AQ20" s="812">
        <f>IF(AM20&gt;QUARTILE(AM$20:AM$100,2),1+COUNTIFS(AM$20:AM$100,"&gt;"&amp;QUARTILE(AM$20:AM$100,2),AO$20:AO$100,"&gt;"&amp;AO20),100)</f>
        <v>14</v>
      </c>
      <c r="AR20" s="812">
        <f>IF(AM20&lt;QUARTILE(AM$20:AM$100,2),1+COUNTIFS(AM$20:AM$100,"&lt;"&amp;QUARTILE(AM$20:AM$100,2),AO$20:AO$100,"&gt;"&amp;AO20),100)</f>
        <v>100</v>
      </c>
      <c r="AS20" s="840">
        <f>INDEX(DSS_Calc!$JM:$JM,MATCH(AM$4+$B20,DSS_Calc!$A:$A,0))</f>
        <v>881.59713020528659</v>
      </c>
      <c r="AT20" s="772"/>
      <c r="AU20" s="776">
        <f>INDEX(DSS_Calc!$JD:$JD,MATCH(AU$4+$B20,DSS_Calc!$A:$A,0))-INDEX(DSS_Calc!$JD:$JD,MATCH(AU$4+$B$6,DSS_Calc!$A:$A,0))</f>
        <v>355.68480078463745</v>
      </c>
      <c r="AV20" s="775">
        <f>INDEX(DSS_Calc!$JM:$JM,MATCH(AU$4+$B20,DSS_Calc!$A:$A,0))/INDEX(DSS_Calc!$JM:$JM,MATCH(AU$4+$B$6,DSS_Calc!$A:$A,0))-1</f>
        <v>5.1486867041810935E-2</v>
      </c>
    </row>
    <row r="21" spans="2:48">
      <c r="B21" s="836">
        <f>B20+1</f>
        <v>7</v>
      </c>
      <c r="C21" s="777"/>
      <c r="D21" s="778" t="str">
        <f>LEFT(INDEX(DSS_Calc!$D:$D,MATCH(G$4+$B21,DSS_Calc!$A:$A,0)),LEN(INDEX(DSS_Calc!$D:$D,MATCH(G$4+$B21,DSS_Calc!$A:$A,0)))-2)</f>
        <v>Baseline1 for Co</v>
      </c>
      <c r="E21" s="777" t="str">
        <f>"MY"&amp;RIGHT(Input!$H$9,2)&amp;" "&amp;Input!$H$3</f>
        <v>MY20 Soul</v>
      </c>
      <c r="F21" s="772"/>
      <c r="G21" s="779">
        <f>INDEX(DSS_Calc!$JD:$JD,MATCH(G$4+$B21,DSS_Calc!$A:$A,0))-INDEX(DSS_Calc!$JD:$JD,MATCH(G$4+$B$6,DSS_Calc!$A:$A,0))</f>
        <v>-20.896819739016337</v>
      </c>
      <c r="H21" s="780">
        <f>INDEX(DSS_Calc!$JM:$JM,MATCH(G$4+$B21,DSS_Calc!$A:$A,0))/INDEX(DSS_Calc!$JM:$JM,MATCH(G$4+$B$6,DSS_Calc!$A:$A,0))-1</f>
        <v>-4.0990238604485807E-3</v>
      </c>
      <c r="I21" s="788">
        <f>ABS(INDEX(DSS_Calc!$KU:$KU,MATCH(G$4+$B21,DSS_Calc!$A:$A,0)))</f>
        <v>6.1810536644432998</v>
      </c>
      <c r="J21" s="777">
        <f t="shared" si="49"/>
        <v>36</v>
      </c>
      <c r="K21" s="813">
        <f t="shared" ref="K21:K69" si="54">IF(G21&gt;QUARTILE(G$20:G$100,2),1+COUNTIFS(G$20:G$100,"&gt;"&amp;QUARTILE(G$20:G$100,2),I$20:I$100,"&gt;"&amp;I21),100)</f>
        <v>100</v>
      </c>
      <c r="L21" s="813">
        <f t="shared" ref="L21:L69" si="55">IF(G21&lt;QUARTILE(G$20:G$100,2),1+COUNTIFS(G$20:G$100,"&lt;"&amp;QUARTILE(G$20:G$100,2),I$20:I$100,"&gt;"&amp;I21),100)</f>
        <v>20</v>
      </c>
      <c r="M21" s="813">
        <f>INDEX(DSS_Calc!$JM:$JM,MATCH(G$4+$B21,DSS_Calc!$A:$A,0))</f>
        <v>446</v>
      </c>
      <c r="N21" s="772"/>
      <c r="O21" s="779">
        <f>INDEX(DSS_Calc!$JD:$JD,MATCH(O$4+$B21,DSS_Calc!$A:$A,0))-INDEX(DSS_Calc!$JD:$JD,MATCH(O$4+$B$6,DSS_Calc!$A:$A,0))</f>
        <v>-38.131614579731377</v>
      </c>
      <c r="P21" s="780">
        <f>INDEX(DSS_Calc!$JM:$JM,MATCH(O$4+$B21,DSS_Calc!$A:$A,0))/INDEX(DSS_Calc!$JM:$JM,MATCH(O$4+$B$6,DSS_Calc!$A:$A,0))-1</f>
        <v>-5.8917462873248061E-3</v>
      </c>
      <c r="Q21" s="788">
        <f>ABS(INDEX(DSS_Calc!$KU:$KU,MATCH(O$4+$B21,DSS_Calc!$A:$A,0)))</f>
        <v>4.4992459831753475</v>
      </c>
      <c r="R21" s="777">
        <f t="shared" si="50"/>
        <v>32</v>
      </c>
      <c r="S21" s="813">
        <f t="shared" ref="S21:S69" si="56">IF(O21&gt;QUARTILE(O$20:O$100,2),1+COUNTIFS(O$20:O$100,"&gt;"&amp;QUARTILE(O$20:O$100,2),Q$20:Q$100,"&gt;"&amp;Q21),100)</f>
        <v>100</v>
      </c>
      <c r="T21" s="813">
        <f t="shared" ref="T21:T69" si="57">IF(O21&lt;QUARTILE(O$20:O$100,2),1+COUNTIFS(O$20:O$100,"&lt;"&amp;QUARTILE(O$20:O$100,2),Q$20:Q$100,"&gt;"&amp;Q21),100)</f>
        <v>18</v>
      </c>
      <c r="U21" s="813">
        <f>INDEX(DSS_Calc!$JM:$JM,MATCH(O$4+$B21,DSS_Calc!$A:$A,0))</f>
        <v>1243</v>
      </c>
      <c r="V21" s="772"/>
      <c r="W21" s="779">
        <f>INDEX(DSS_Calc!$JD:$JD,MATCH(W$4+$B21,DSS_Calc!$A:$A,0))-INDEX(DSS_Calc!$JD:$JD,MATCH(W$4+$B$6,DSS_Calc!$A:$A,0))</f>
        <v>-193.54210271240481</v>
      </c>
      <c r="X21" s="780">
        <f>INDEX(DSS_Calc!$JM:$JM,MATCH(W$4+$B21,DSS_Calc!$A:$A,0))/INDEX(DSS_Calc!$JM:$JM,MATCH(W$4+$B$6,DSS_Calc!$A:$A,0))-1</f>
        <v>-2.9612719295337042E-2</v>
      </c>
      <c r="Y21" s="788">
        <f>ABS(INDEX(DSS_Calc!$KU:$KU,MATCH(W$4+$B21,DSS_Calc!$A:$A,0)))</f>
        <v>4.6555368850666046</v>
      </c>
      <c r="Z21" s="777">
        <f t="shared" si="51"/>
        <v>30</v>
      </c>
      <c r="AA21" s="813">
        <f t="shared" ref="AA21:AA69" si="58">IF(W21&gt;QUARTILE(W$20:W$100,2),1+COUNTIFS(W$20:W$100,"&gt;"&amp;QUARTILE(W$20:W$100,2),Y$20:Y$100,"&gt;"&amp;Y21),100)</f>
        <v>100</v>
      </c>
      <c r="AB21" s="813">
        <f t="shared" ref="AB21:AB69" si="59">IF(W21&lt;QUARTILE(W$20:W$100,2),1+COUNTIFS(W$20:W$100,"&lt;"&amp;QUARTILE(W$20:W$100,2),Y$20:Y$100,"&gt;"&amp;Y21),100)</f>
        <v>17</v>
      </c>
      <c r="AC21" s="813">
        <f>INDEX(DSS_Calc!$JM:$JM,MATCH(W$4+$B21,DSS_Calc!$A:$A,0))</f>
        <v>1610</v>
      </c>
      <c r="AD21" s="772"/>
      <c r="AE21" s="779">
        <f>INDEX(DSS_Calc!$JD:$JD,MATCH(AE$4+$B21,DSS_Calc!$A:$A,0))-INDEX(DSS_Calc!$JD:$JD,MATCH(AE$4+$B$6,DSS_Calc!$A:$A,0))</f>
        <v>-282.90261216400495</v>
      </c>
      <c r="AF21" s="780">
        <f>INDEX(DSS_Calc!$JM:$JM,MATCH(AE$4+$B21,DSS_Calc!$A:$A,0))/INDEX(DSS_Calc!$JM:$JM,MATCH(AE$4+$B$6,DSS_Calc!$A:$A,0))-1</f>
        <v>-3.7050915527428563E-2</v>
      </c>
      <c r="AG21" s="788">
        <f>ABS(INDEX(DSS_Calc!$KU:$KU,MATCH(AE$4+$B21,DSS_Calc!$A:$A,0)))</f>
        <v>4.0446673736314587</v>
      </c>
      <c r="AH21" s="777">
        <f t="shared" si="52"/>
        <v>24</v>
      </c>
      <c r="AI21" s="813">
        <f t="shared" ref="AI21:AI69" si="60">IF(AE21&gt;QUARTILE(AE$20:AE$100,2),1+COUNTIFS(AE$20:AE$100,"&gt;"&amp;QUARTILE(AE$20:AE$100,2),AG$20:AG$100,"&gt;"&amp;AG21),100)</f>
        <v>100</v>
      </c>
      <c r="AJ21" s="813">
        <f t="shared" ref="AJ21:AJ69" si="61">IF(AE21&lt;QUARTILE(AE$20:AE$100,2),1+COUNTIFS(AE$20:AE$100,"&lt;"&amp;QUARTILE(AE$20:AE$100,2),AG$20:AG$100,"&gt;"&amp;AG21),100)</f>
        <v>10</v>
      </c>
      <c r="AK21" s="813">
        <f>INDEX(DSS_Calc!$JM:$JM,MATCH(AE$4+$B21,DSS_Calc!$A:$A,0))</f>
        <v>2329</v>
      </c>
      <c r="AL21" s="772"/>
      <c r="AM21" s="779">
        <f>INDEX(DSS_Calc!$JD:$JD,MATCH(AM$4+$B21,DSS_Calc!$A:$A,0))-INDEX(DSS_Calc!$JD:$JD,MATCH(AM$4+$B$6,DSS_Calc!$A:$A,0))</f>
        <v>-28.204927682163998</v>
      </c>
      <c r="AN21" s="780">
        <f>INDEX(DSS_Calc!$JM:$JM,MATCH(AM$4+$B21,DSS_Calc!$A:$A,0))/INDEX(DSS_Calc!$JM:$JM,MATCH(AM$4+$B$6,DSS_Calc!$A:$A,0))-1</f>
        <v>-4.0551275401544684E-3</v>
      </c>
      <c r="AO21" s="788">
        <f>ABS(INDEX(DSS_Calc!$KU:$KU,MATCH(AM$4+$B21,DSS_Calc!$A:$A,0)))</f>
        <v>3.9917636495650926</v>
      </c>
      <c r="AP21" s="777">
        <f t="shared" si="53"/>
        <v>24</v>
      </c>
      <c r="AQ21" s="813">
        <f t="shared" ref="AQ21:AQ69" si="62">IF(AM21&gt;QUARTILE(AM$20:AM$100,2),1+COUNTIFS(AM$20:AM$100,"&gt;"&amp;QUARTILE(AM$20:AM$100,2),AO$20:AO$100,"&gt;"&amp;AO21),100)</f>
        <v>100</v>
      </c>
      <c r="AR21" s="813">
        <f t="shared" ref="AR21:AR69" si="63">IF(AM21&lt;QUARTILE(AM$20:AM$100,2),1+COUNTIFS(AM$20:AM$100,"&lt;"&amp;QUARTILE(AM$20:AM$100,2),AO$20:AO$100,"&gt;"&amp;AO21),100)</f>
        <v>11</v>
      </c>
      <c r="AS21" s="813">
        <f>INDEX(DSS_Calc!$JM:$JM,MATCH(AM$4+$B21,DSS_Calc!$A:$A,0))</f>
        <v>821</v>
      </c>
      <c r="AT21" s="772"/>
      <c r="AU21" s="779">
        <f>INDEX(DSS_Calc!$JD:$JD,MATCH(AU$4+$B21,DSS_Calc!$A:$A,0))-INDEX(DSS_Calc!$JD:$JD,MATCH(AU$4+$B$6,DSS_Calc!$A:$A,0))</f>
        <v>-165.9007225154528</v>
      </c>
      <c r="AV21" s="780">
        <f>INDEX(DSS_Calc!$JM:$JM,MATCH(AU$4+$B21,DSS_Calc!$A:$A,0))/INDEX(DSS_Calc!$JM:$JM,MATCH(AU$4+$B$6,DSS_Calc!$A:$A,0))-1</f>
        <v>-2.2921501252463838E-2</v>
      </c>
    </row>
    <row r="22" spans="2:48">
      <c r="B22" s="836">
        <f t="shared" ref="B22:B39" si="64">B21+1</f>
        <v>8</v>
      </c>
      <c r="C22" s="772"/>
      <c r="D22" s="774" t="str">
        <f>LEFT(INDEX(DSS_Calc!$D:$D,MATCH(G$4+$B22,DSS_Calc!$A:$A,0)),LEN(INDEX(DSS_Calc!$D:$D,MATCH(G$4+$B22,DSS_Calc!$A:$A,0)))-2)</f>
        <v>Baseline2 for Co</v>
      </c>
      <c r="E22" s="772" t="str">
        <f>"MY"&amp;RIGHT(Input!$H$9,2)&amp;" "&amp;Input!$H$3</f>
        <v>MY20 Soul</v>
      </c>
      <c r="F22" s="772"/>
      <c r="G22" s="776">
        <f>INDEX(DSS_Calc!$JD:$JD,MATCH(G$4+$B22,DSS_Calc!$A:$A,0))-INDEX(DSS_Calc!$JD:$JD,MATCH(G$4+$B$6,DSS_Calc!$A:$A,0))</f>
        <v>0</v>
      </c>
      <c r="H22" s="775">
        <f>INDEX(DSS_Calc!$JM:$JM,MATCH(G$4+$B22,DSS_Calc!$A:$A,0))/INDEX(DSS_Calc!$JM:$JM,MATCH(G$4+$B$6,DSS_Calc!$A:$A,0))-1</f>
        <v>0</v>
      </c>
      <c r="I22" s="787">
        <f>ABS(INDEX(DSS_Calc!$KU:$KU,MATCH(G$4+$B22,DSS_Calc!$A:$A,0)))</f>
        <v>6.1897870671338353</v>
      </c>
      <c r="J22" s="772">
        <f t="shared" si="49"/>
        <v>35</v>
      </c>
      <c r="K22" s="812">
        <f t="shared" si="54"/>
        <v>100</v>
      </c>
      <c r="L22" s="812">
        <f t="shared" si="55"/>
        <v>19</v>
      </c>
      <c r="M22" s="812">
        <f>INDEX(DSS_Calc!$JM:$JM,MATCH(G$4+$B22,DSS_Calc!$A:$A,0))</f>
        <v>447.83568917549076</v>
      </c>
      <c r="N22" s="772"/>
      <c r="O22" s="776">
        <f>INDEX(DSS_Calc!$JD:$JD,MATCH(O$4+$B22,DSS_Calc!$A:$A,0))-INDEX(DSS_Calc!$JD:$JD,MATCH(O$4+$B$6,DSS_Calc!$A:$A,0))</f>
        <v>0</v>
      </c>
      <c r="P22" s="775">
        <f>INDEX(DSS_Calc!$JM:$JM,MATCH(O$4+$B22,DSS_Calc!$A:$A,0))/INDEX(DSS_Calc!$JM:$JM,MATCH(O$4+$B$6,DSS_Calc!$A:$A,0))-1</f>
        <v>0</v>
      </c>
      <c r="Q22" s="787">
        <f>ABS(INDEX(DSS_Calc!$KU:$KU,MATCH(O$4+$B22,DSS_Calc!$A:$A,0)))</f>
        <v>4.5006588616860226</v>
      </c>
      <c r="R22" s="772">
        <f t="shared" si="50"/>
        <v>31</v>
      </c>
      <c r="S22" s="812">
        <f t="shared" si="56"/>
        <v>100</v>
      </c>
      <c r="T22" s="812">
        <f t="shared" si="57"/>
        <v>17</v>
      </c>
      <c r="U22" s="812">
        <f>INDEX(DSS_Calc!$JM:$JM,MATCH(O$4+$B22,DSS_Calc!$A:$A,0))</f>
        <v>1250.3668442121811</v>
      </c>
      <c r="V22" s="772"/>
      <c r="W22" s="776">
        <f>INDEX(DSS_Calc!$JD:$JD,MATCH(W$4+$B22,DSS_Calc!$A:$A,0))-INDEX(DSS_Calc!$JD:$JD,MATCH(W$4+$B$6,DSS_Calc!$A:$A,0))</f>
        <v>13.623432458563002</v>
      </c>
      <c r="X22" s="775">
        <f>INDEX(DSS_Calc!$JM:$JM,MATCH(W$4+$B22,DSS_Calc!$A:$A,0))/INDEX(DSS_Calc!$JM:$JM,MATCH(W$4+$B$6,DSS_Calc!$A:$A,0))-1</f>
        <v>0</v>
      </c>
      <c r="Y22" s="787">
        <f>ABS(INDEX(DSS_Calc!$KU:$KU,MATCH(W$4+$B22,DSS_Calc!$A:$A,0)))</f>
        <v>4.6526665936048497</v>
      </c>
      <c r="Z22" s="772">
        <f t="shared" si="51"/>
        <v>33</v>
      </c>
      <c r="AA22" s="812">
        <f t="shared" si="58"/>
        <v>100</v>
      </c>
      <c r="AB22" s="812">
        <f t="shared" si="59"/>
        <v>19</v>
      </c>
      <c r="AC22" s="812">
        <f>INDEX(DSS_Calc!$JM:$JM,MATCH(W$4+$B22,DSS_Calc!$A:$A,0))</f>
        <v>1659.1313921910348</v>
      </c>
      <c r="AD22" s="772"/>
      <c r="AE22" s="776">
        <f>INDEX(DSS_Calc!$JD:$JD,MATCH(AE$4+$B22,DSS_Calc!$A:$A,0))-INDEX(DSS_Calc!$JD:$JD,MATCH(AE$4+$B$6,DSS_Calc!$A:$A,0))</f>
        <v>0</v>
      </c>
      <c r="AF22" s="775">
        <f>INDEX(DSS_Calc!$JM:$JM,MATCH(AE$4+$B22,DSS_Calc!$A:$A,0))/INDEX(DSS_Calc!$JM:$JM,MATCH(AE$4+$B$6,DSS_Calc!$A:$A,0))-1</f>
        <v>0</v>
      </c>
      <c r="AG22" s="787">
        <f>ABS(INDEX(DSS_Calc!$KU:$KU,MATCH(AE$4+$B22,DSS_Calc!$A:$A,0)))</f>
        <v>4.0405384349659101</v>
      </c>
      <c r="AH22" s="772">
        <f t="shared" si="52"/>
        <v>30</v>
      </c>
      <c r="AI22" s="812">
        <f t="shared" si="60"/>
        <v>100</v>
      </c>
      <c r="AJ22" s="812">
        <f t="shared" si="61"/>
        <v>16</v>
      </c>
      <c r="AK22" s="812">
        <f>INDEX(DSS_Calc!$JM:$JM,MATCH(AE$4+$B22,DSS_Calc!$A:$A,0))</f>
        <v>2418.6117807834512</v>
      </c>
      <c r="AL22" s="772"/>
      <c r="AM22" s="776">
        <f>INDEX(DSS_Calc!$JD:$JD,MATCH(AM$4+$B22,DSS_Calc!$A:$A,0))-INDEX(DSS_Calc!$JD:$JD,MATCH(AM$4+$B$6,DSS_Calc!$A:$A,0))</f>
        <v>0</v>
      </c>
      <c r="AN22" s="775">
        <f>INDEX(DSS_Calc!$JM:$JM,MATCH(AM$4+$B22,DSS_Calc!$A:$A,0))/INDEX(DSS_Calc!$JM:$JM,MATCH(AM$4+$B$6,DSS_Calc!$A:$A,0))-1</f>
        <v>0</v>
      </c>
      <c r="AO22" s="787">
        <f>ABS(INDEX(DSS_Calc!$KU:$KU,MATCH(AM$4+$B22,DSS_Calc!$A:$A,0)))</f>
        <v>3.9915115083061976</v>
      </c>
      <c r="AP22" s="772">
        <f t="shared" si="53"/>
        <v>27</v>
      </c>
      <c r="AQ22" s="812">
        <f t="shared" si="62"/>
        <v>100</v>
      </c>
      <c r="AR22" s="812">
        <f t="shared" si="63"/>
        <v>13</v>
      </c>
      <c r="AS22" s="812">
        <f>INDEX(DSS_Calc!$JM:$JM,MATCH(AM$4+$B22,DSS_Calc!$A:$A,0))</f>
        <v>824.34281525265953</v>
      </c>
      <c r="AT22" s="772"/>
      <c r="AU22" s="776">
        <f>INDEX(DSS_Calc!$JD:$JD,MATCH(AU$4+$B22,DSS_Calc!$A:$A,0))-INDEX(DSS_Calc!$JD:$JD,MATCH(AU$4+$B$6,DSS_Calc!$A:$A,0))</f>
        <v>3.4245570307080015</v>
      </c>
      <c r="AV22" s="775">
        <f>INDEX(DSS_Calc!$JM:$JM,MATCH(AU$4+$B22,DSS_Calc!$A:$A,0))/INDEX(DSS_Calc!$JM:$JM,MATCH(AU$4+$B$6,DSS_Calc!$A:$A,0))-1</f>
        <v>0</v>
      </c>
    </row>
    <row r="23" spans="2:48">
      <c r="B23" s="836">
        <f t="shared" si="64"/>
        <v>9</v>
      </c>
      <c r="C23" s="777"/>
      <c r="D23" s="778" t="str">
        <f>LEFT(INDEX(DSS_Calc!$D:$D,MATCH(G$4+$B23,DSS_Calc!$A:$A,0)),LEN(INDEX(DSS_Calc!$D:$D,MATCH(G$4+$B23,DSS_Calc!$A:$A,0)))-2)</f>
        <v>250 CC</v>
      </c>
      <c r="E23" s="777" t="str">
        <f>"MY"&amp;RIGHT(Input!$H$9,2)&amp;" "&amp;Input!$H$3</f>
        <v>MY20 Soul</v>
      </c>
      <c r="F23" s="772"/>
      <c r="G23" s="779">
        <f>INDEX(DSS_Calc!$JD:$JD,MATCH(G$4+$B23,DSS_Calc!$A:$A,0))-INDEX(DSS_Calc!$JD:$JD,MATCH(G$4+$B$6,DSS_Calc!$A:$A,0))</f>
        <v>-5.7863495130191041</v>
      </c>
      <c r="H23" s="780">
        <f>INDEX(DSS_Calc!$JM:$JM,MATCH(G$4+$B23,DSS_Calc!$A:$A,0))/INDEX(DSS_Calc!$JM:$JM,MATCH(G$4+$B$6,DSS_Calc!$A:$A,0))-1</f>
        <v>9.3777316726095794E-3</v>
      </c>
      <c r="I23" s="788">
        <f>ABS(INDEX(DSS_Calc!$KU:$KU,MATCH(G$4+$B23,DSS_Calc!$A:$A,0)))</f>
        <v>6.326734352787251</v>
      </c>
      <c r="J23" s="777">
        <f t="shared" si="49"/>
        <v>24</v>
      </c>
      <c r="K23" s="813">
        <f t="shared" si="54"/>
        <v>100</v>
      </c>
      <c r="L23" s="813">
        <f t="shared" si="55"/>
        <v>17</v>
      </c>
      <c r="M23" s="813">
        <f>INDEX(DSS_Calc!$JM:$JM,MATCH(G$4+$B23,DSS_Calc!$A:$A,0))</f>
        <v>452.0353721019967</v>
      </c>
      <c r="N23" s="772"/>
      <c r="O23" s="779">
        <f>INDEX(DSS_Calc!$JD:$JD,MATCH(O$4+$B23,DSS_Calc!$A:$A,0))-INDEX(DSS_Calc!$JD:$JD,MATCH(O$4+$B$6,DSS_Calc!$A:$A,0))</f>
        <v>54.137585787887474</v>
      </c>
      <c r="P23" s="780">
        <f>INDEX(DSS_Calc!$JM:$JM,MATCH(O$4+$B23,DSS_Calc!$A:$A,0))/INDEX(DSS_Calc!$JM:$JM,MATCH(O$4+$B$6,DSS_Calc!$A:$A,0))-1</f>
        <v>1.179677325049866E-2</v>
      </c>
      <c r="Q23" s="788">
        <f>ABS(INDEX(DSS_Calc!$KU:$KU,MATCH(O$4+$B23,DSS_Calc!$A:$A,0)))</f>
        <v>4.5488526161353464</v>
      </c>
      <c r="R23" s="777">
        <f t="shared" si="50"/>
        <v>20</v>
      </c>
      <c r="S23" s="813">
        <f t="shared" si="56"/>
        <v>100</v>
      </c>
      <c r="T23" s="813">
        <f t="shared" si="57"/>
        <v>11</v>
      </c>
      <c r="U23" s="813">
        <f>INDEX(DSS_Calc!$JM:$JM,MATCH(O$4+$B23,DSS_Calc!$A:$A,0))</f>
        <v>1265.117138353294</v>
      </c>
      <c r="V23" s="772"/>
      <c r="W23" s="779">
        <f>INDEX(DSS_Calc!$JD:$JD,MATCH(W$4+$B23,DSS_Calc!$A:$A,0))-INDEX(DSS_Calc!$JD:$JD,MATCH(W$4+$B$6,DSS_Calc!$A:$A,0))</f>
        <v>59.388664991499354</v>
      </c>
      <c r="X23" s="780">
        <f>INDEX(DSS_Calc!$JM:$JM,MATCH(W$4+$B23,DSS_Calc!$A:$A,0))/INDEX(DSS_Calc!$JM:$JM,MATCH(W$4+$B$6,DSS_Calc!$A:$A,0))-1</f>
        <v>1.0217516347359012E-2</v>
      </c>
      <c r="Y23" s="788">
        <f>ABS(INDEX(DSS_Calc!$KU:$KU,MATCH(W$4+$B23,DSS_Calc!$A:$A,0)))</f>
        <v>4.6961589615795107</v>
      </c>
      <c r="Z23" s="777">
        <f t="shared" si="51"/>
        <v>21</v>
      </c>
      <c r="AA23" s="813">
        <f t="shared" si="58"/>
        <v>100</v>
      </c>
      <c r="AB23" s="813">
        <f t="shared" si="59"/>
        <v>12</v>
      </c>
      <c r="AC23" s="813">
        <f>INDEX(DSS_Calc!$JM:$JM,MATCH(W$4+$B23,DSS_Calc!$A:$A,0))</f>
        <v>1676.0835943131631</v>
      </c>
      <c r="AD23" s="772"/>
      <c r="AE23" s="779">
        <f>INDEX(DSS_Calc!$JD:$JD,MATCH(AE$4+$B23,DSS_Calc!$A:$A,0))-INDEX(DSS_Calc!$JD:$JD,MATCH(AE$4+$B$6,DSS_Calc!$A:$A,0))</f>
        <v>89.845961783749317</v>
      </c>
      <c r="AF23" s="780">
        <f>INDEX(DSS_Calc!$JM:$JM,MATCH(AE$4+$B23,DSS_Calc!$A:$A,0))/INDEX(DSS_Calc!$JM:$JM,MATCH(AE$4+$B$6,DSS_Calc!$A:$A,0))-1</f>
        <v>1.2815109447716466E-2</v>
      </c>
      <c r="AG23" s="788">
        <f>ABS(INDEX(DSS_Calc!$KU:$KU,MATCH(AE$4+$B23,DSS_Calc!$A:$A,0)))</f>
        <v>4.0512204441711486</v>
      </c>
      <c r="AH23" s="777">
        <f t="shared" si="52"/>
        <v>21</v>
      </c>
      <c r="AI23" s="813">
        <f t="shared" si="60"/>
        <v>100</v>
      </c>
      <c r="AJ23" s="813">
        <f t="shared" si="61"/>
        <v>7</v>
      </c>
      <c r="AK23" s="813">
        <f>INDEX(DSS_Calc!$JM:$JM,MATCH(AE$4+$B23,DSS_Calc!$A:$A,0))</f>
        <v>2449.6065554657275</v>
      </c>
      <c r="AL23" s="772"/>
      <c r="AM23" s="779">
        <f>INDEX(DSS_Calc!$JD:$JD,MATCH(AM$4+$B23,DSS_Calc!$A:$A,0))-INDEX(DSS_Calc!$JD:$JD,MATCH(AM$4+$B$6,DSS_Calc!$A:$A,0))</f>
        <v>80.003936351516813</v>
      </c>
      <c r="AN23" s="780">
        <f>INDEX(DSS_Calc!$JM:$JM,MATCH(AM$4+$B23,DSS_Calc!$A:$A,0))/INDEX(DSS_Calc!$JM:$JM,MATCH(AM$4+$B$6,DSS_Calc!$A:$A,0))-1</f>
        <v>1.2509477966140548E-2</v>
      </c>
      <c r="AO23" s="788">
        <f>ABS(INDEX(DSS_Calc!$KU:$KU,MATCH(AM$4+$B23,DSS_Calc!$A:$A,0)))</f>
        <v>4.0047599725921064</v>
      </c>
      <c r="AP23" s="777">
        <f t="shared" si="53"/>
        <v>17</v>
      </c>
      <c r="AQ23" s="813">
        <f t="shared" si="62"/>
        <v>100</v>
      </c>
      <c r="AR23" s="813">
        <f t="shared" si="63"/>
        <v>7</v>
      </c>
      <c r="AS23" s="813">
        <f>INDEX(DSS_Calc!$JM:$JM,MATCH(AM$4+$B23,DSS_Calc!$A:$A,0))</f>
        <v>834.65491353660889</v>
      </c>
      <c r="AT23" s="772"/>
      <c r="AU23" s="779">
        <f>INDEX(DSS_Calc!$JD:$JD,MATCH(AU$4+$B23,DSS_Calc!$A:$A,0))-INDEX(DSS_Calc!$JD:$JD,MATCH(AU$4+$B$6,DSS_Calc!$A:$A,0))</f>
        <v>67.614548742431907</v>
      </c>
      <c r="AV23" s="780">
        <f>INDEX(DSS_Calc!$JM:$JM,MATCH(AU$4+$B23,DSS_Calc!$A:$A,0))/INDEX(DSS_Calc!$JM:$JM,MATCH(AU$4+$B$6,DSS_Calc!$A:$A,0))-1</f>
        <v>1.1697829860486397E-2</v>
      </c>
    </row>
    <row r="24" spans="2:48">
      <c r="B24" s="836">
        <f t="shared" si="64"/>
        <v>10</v>
      </c>
      <c r="C24" s="772"/>
      <c r="D24" s="774" t="str">
        <f>LEFT(INDEX(DSS_Calc!$D:$D,MATCH(G$4+$B24,DSS_Calc!$A:$A,0)),LEN(INDEX(DSS_Calc!$D:$D,MATCH(G$4+$B24,DSS_Calc!$A:$A,0)))-2)</f>
        <v>500 CC</v>
      </c>
      <c r="E24" s="772" t="str">
        <f>"MY"&amp;RIGHT(Input!$H$9,2)&amp;" "&amp;Input!$H$3</f>
        <v>MY20 Soul</v>
      </c>
      <c r="F24" s="772"/>
      <c r="G24" s="776">
        <f>INDEX(DSS_Calc!$JD:$JD,MATCH(G$4+$B24,DSS_Calc!$A:$A,0))-INDEX(DSS_Calc!$JD:$JD,MATCH(G$4+$B$6,DSS_Calc!$A:$A,0))</f>
        <v>4.4367275254767264</v>
      </c>
      <c r="H24" s="775">
        <f>INDEX(DSS_Calc!$JM:$JM,MATCH(G$4+$B24,DSS_Calc!$A:$A,0))/INDEX(DSS_Calc!$JM:$JM,MATCH(G$4+$B$6,DSS_Calc!$A:$A,0))-1</f>
        <v>2.025352490697041E-2</v>
      </c>
      <c r="I24" s="787">
        <f>ABS(INDEX(DSS_Calc!$KU:$KU,MATCH(G$4+$B24,DSS_Calc!$A:$A,0)))</f>
        <v>6.4476366314968478</v>
      </c>
      <c r="J24" s="772">
        <f t="shared" si="49"/>
        <v>17</v>
      </c>
      <c r="K24" s="812">
        <f t="shared" si="54"/>
        <v>100</v>
      </c>
      <c r="L24" s="812">
        <f t="shared" si="55"/>
        <v>11</v>
      </c>
      <c r="M24" s="812">
        <f>INDEX(DSS_Calc!$JM:$JM,MATCH(G$4+$B24,DSS_Calc!$A:$A,0))</f>
        <v>456.9059404604368</v>
      </c>
      <c r="N24" s="772"/>
      <c r="O24" s="776">
        <f>INDEX(DSS_Calc!$JD:$JD,MATCH(O$4+$B24,DSS_Calc!$A:$A,0))-INDEX(DSS_Calc!$JD:$JD,MATCH(O$4+$B$6,DSS_Calc!$A:$A,0))</f>
        <v>122.89323807342862</v>
      </c>
      <c r="P24" s="775">
        <f>INDEX(DSS_Calc!$JM:$JM,MATCH(O$4+$B24,DSS_Calc!$A:$A,0))/INDEX(DSS_Calc!$JM:$JM,MATCH(O$4+$B$6,DSS_Calc!$A:$A,0))-1</f>
        <v>2.4937388141111461E-2</v>
      </c>
      <c r="Q24" s="787">
        <f>ABS(INDEX(DSS_Calc!$KU:$KU,MATCH(O$4+$B24,DSS_Calc!$A:$A,0)))</f>
        <v>4.58266525310649</v>
      </c>
      <c r="R24" s="772">
        <f t="shared" si="50"/>
        <v>14</v>
      </c>
      <c r="S24" s="812">
        <f t="shared" si="56"/>
        <v>100</v>
      </c>
      <c r="T24" s="812">
        <f t="shared" si="57"/>
        <v>7</v>
      </c>
      <c r="U24" s="812">
        <f>INDEX(DSS_Calc!$JM:$JM,MATCH(O$4+$B24,DSS_Calc!$A:$A,0))</f>
        <v>1281.5477275250769</v>
      </c>
      <c r="V24" s="772"/>
      <c r="W24" s="776">
        <f>INDEX(DSS_Calc!$JD:$JD,MATCH(W$4+$B24,DSS_Calc!$A:$A,0))-INDEX(DSS_Calc!$JD:$JD,MATCH(W$4+$B$6,DSS_Calc!$A:$A,0))</f>
        <v>118.43735517614596</v>
      </c>
      <c r="X24" s="775">
        <f>INDEX(DSS_Calc!$JM:$JM,MATCH(W$4+$B24,DSS_Calc!$A:$A,0))/INDEX(DSS_Calc!$JM:$JM,MATCH(W$4+$B$6,DSS_Calc!$A:$A,0))-1</f>
        <v>2.1639535045292702E-2</v>
      </c>
      <c r="Y24" s="787">
        <f>ABS(INDEX(DSS_Calc!$KU:$KU,MATCH(W$4+$B24,DSS_Calc!$A:$A,0)))</f>
        <v>4.7294786021028603</v>
      </c>
      <c r="Z24" s="772">
        <f t="shared" si="51"/>
        <v>15</v>
      </c>
      <c r="AA24" s="812">
        <f t="shared" si="58"/>
        <v>100</v>
      </c>
      <c r="AB24" s="812">
        <f t="shared" si="59"/>
        <v>7</v>
      </c>
      <c r="AC24" s="812">
        <f>INDEX(DSS_Calc!$JM:$JM,MATCH(W$4+$B24,DSS_Calc!$A:$A,0))</f>
        <v>1695.0342240970979</v>
      </c>
      <c r="AD24" s="772"/>
      <c r="AE24" s="776">
        <f>INDEX(DSS_Calc!$JD:$JD,MATCH(AE$4+$B24,DSS_Calc!$A:$A,0))-INDEX(DSS_Calc!$JD:$JD,MATCH(AE$4+$B$6,DSS_Calc!$A:$A,0))</f>
        <v>188.4405704278297</v>
      </c>
      <c r="AF24" s="775">
        <f>INDEX(DSS_Calc!$JM:$JM,MATCH(AE$4+$B24,DSS_Calc!$A:$A,0))/INDEX(DSS_Calc!$JM:$JM,MATCH(AE$4+$B$6,DSS_Calc!$A:$A,0))-1</f>
        <v>2.6591876629348254E-2</v>
      </c>
      <c r="AG24" s="787">
        <f>ABS(INDEX(DSS_Calc!$KU:$KU,MATCH(AE$4+$B24,DSS_Calc!$A:$A,0)))</f>
        <v>4.0590452942189099</v>
      </c>
      <c r="AH24" s="772">
        <f t="shared" si="52"/>
        <v>16</v>
      </c>
      <c r="AI24" s="812">
        <f t="shared" si="60"/>
        <v>100</v>
      </c>
      <c r="AJ24" s="812">
        <f t="shared" si="61"/>
        <v>2</v>
      </c>
      <c r="AK24" s="812">
        <f>INDEX(DSS_Calc!$JM:$JM,MATCH(AE$4+$B24,DSS_Calc!$A:$A,0))</f>
        <v>2482.927206872333</v>
      </c>
      <c r="AL24" s="772"/>
      <c r="AM24" s="776">
        <f>INDEX(DSS_Calc!$JD:$JD,MATCH(AM$4+$B24,DSS_Calc!$A:$A,0))-INDEX(DSS_Calc!$JD:$JD,MATCH(AM$4+$B$6,DSS_Calc!$A:$A,0))</f>
        <v>171.30923254184017</v>
      </c>
      <c r="AN24" s="775">
        <f>INDEX(DSS_Calc!$JM:$JM,MATCH(AM$4+$B24,DSS_Calc!$A:$A,0))/INDEX(DSS_Calc!$JM:$JM,MATCH(AM$4+$B$6,DSS_Calc!$A:$A,0))-1</f>
        <v>2.6216334700043475E-2</v>
      </c>
      <c r="AO24" s="787">
        <f>ABS(INDEX(DSS_Calc!$KU:$KU,MATCH(AM$4+$B24,DSS_Calc!$A:$A,0)))</f>
        <v>4.0111059545211809</v>
      </c>
      <c r="AP24" s="772">
        <f t="shared" si="53"/>
        <v>13</v>
      </c>
      <c r="AQ24" s="812">
        <f t="shared" si="62"/>
        <v>100</v>
      </c>
      <c r="AR24" s="812">
        <f t="shared" si="63"/>
        <v>5</v>
      </c>
      <c r="AS24" s="812">
        <f>INDEX(DSS_Calc!$JM:$JM,MATCH(AM$4+$B24,DSS_Calc!$A:$A,0))</f>
        <v>845.95406240489933</v>
      </c>
      <c r="AT24" s="772"/>
      <c r="AU24" s="776">
        <f>INDEX(DSS_Calc!$JD:$JD,MATCH(AU$4+$B24,DSS_Calc!$A:$A,0))-INDEX(DSS_Calc!$JD:$JD,MATCH(AU$4+$B$6,DSS_Calc!$A:$A,0))</f>
        <v>143.65052463055235</v>
      </c>
      <c r="AV24" s="775">
        <f>INDEX(DSS_Calc!$JM:$JM,MATCH(AU$4+$B24,DSS_Calc!$A:$A,0))/INDEX(DSS_Calc!$JM:$JM,MATCH(AU$4+$B$6,DSS_Calc!$A:$A,0))-1</f>
        <v>2.4556599187178119E-2</v>
      </c>
    </row>
    <row r="25" spans="2:48">
      <c r="B25" s="836">
        <f t="shared" si="64"/>
        <v>11</v>
      </c>
      <c r="C25" s="777"/>
      <c r="D25" s="778" t="str">
        <f>LEFT(INDEX(DSS_Calc!$D:$D,MATCH(G$4+$B25,DSS_Calc!$A:$A,0)),LEN(INDEX(DSS_Calc!$D:$D,MATCH(G$4+$B25,DSS_Calc!$A:$A,0)))-2)</f>
        <v>750 CC</v>
      </c>
      <c r="E25" s="777" t="str">
        <f>"MY"&amp;RIGHT(Input!$H$9,2)&amp;" "&amp;Input!$H$3</f>
        <v>MY20 Soul</v>
      </c>
      <c r="F25" s="772"/>
      <c r="G25" s="779">
        <f>INDEX(DSS_Calc!$JD:$JD,MATCH(G$4+$B25,DSS_Calc!$A:$A,0))-INDEX(DSS_Calc!$JD:$JD,MATCH(G$4+$B$6,DSS_Calc!$A:$A,0))</f>
        <v>31.431964748596329</v>
      </c>
      <c r="H25" s="780">
        <f>INDEX(DSS_Calc!$JM:$JM,MATCH(G$4+$B25,DSS_Calc!$A:$A,0))/INDEX(DSS_Calc!$JM:$JM,MATCH(G$4+$B$6,DSS_Calc!$A:$A,0))-1</f>
        <v>3.2670202435761464E-2</v>
      </c>
      <c r="I25" s="788">
        <f>ABS(INDEX(DSS_Calc!$KU:$KU,MATCH(G$4+$B25,DSS_Calc!$A:$A,0)))</f>
        <v>6.5494619477288403</v>
      </c>
      <c r="J25" s="777">
        <f t="shared" si="49"/>
        <v>11</v>
      </c>
      <c r="K25" s="813">
        <f t="shared" si="54"/>
        <v>100</v>
      </c>
      <c r="L25" s="813">
        <f t="shared" si="55"/>
        <v>7</v>
      </c>
      <c r="M25" s="813">
        <f>INDEX(DSS_Calc!$JM:$JM,MATCH(G$4+$B25,DSS_Calc!$A:$A,0))</f>
        <v>462.46657179881277</v>
      </c>
      <c r="N25" s="772"/>
      <c r="O25" s="779">
        <f>INDEX(DSS_Calc!$JD:$JD,MATCH(O$4+$B25,DSS_Calc!$A:$A,0))-INDEX(DSS_Calc!$JD:$JD,MATCH(O$4+$B$6,DSS_Calc!$A:$A,0))</f>
        <v>205.8219142359435</v>
      </c>
      <c r="P25" s="780">
        <f>INDEX(DSS_Calc!$JM:$JM,MATCH(O$4+$B25,DSS_Calc!$A:$A,0))/INDEX(DSS_Calc!$JM:$JM,MATCH(O$4+$B$6,DSS_Calc!$A:$A,0))-1</f>
        <v>3.9435168619951222E-2</v>
      </c>
      <c r="Q25" s="788">
        <f>ABS(INDEX(DSS_Calc!$KU:$KU,MATCH(O$4+$B25,DSS_Calc!$A:$A,0)))</f>
        <v>4.6037679858747822</v>
      </c>
      <c r="R25" s="777">
        <f t="shared" si="50"/>
        <v>9</v>
      </c>
      <c r="S25" s="813">
        <f t="shared" si="56"/>
        <v>100</v>
      </c>
      <c r="T25" s="813">
        <f t="shared" si="57"/>
        <v>5</v>
      </c>
      <c r="U25" s="813">
        <f>INDEX(DSS_Calc!$JM:$JM,MATCH(O$4+$B25,DSS_Calc!$A:$A,0))</f>
        <v>1299.6752715504847</v>
      </c>
      <c r="V25" s="772"/>
      <c r="W25" s="779">
        <f>INDEX(DSS_Calc!$JD:$JD,MATCH(W$4+$B25,DSS_Calc!$A:$A,0))-INDEX(DSS_Calc!$JD:$JD,MATCH(W$4+$B$6,DSS_Calc!$A:$A,0))</f>
        <v>190.32600099876754</v>
      </c>
      <c r="X25" s="780">
        <f>INDEX(DSS_Calc!$JM:$JM,MATCH(W$4+$B25,DSS_Calc!$A:$A,0))/INDEX(DSS_Calc!$JM:$JM,MATCH(W$4+$B$6,DSS_Calc!$A:$A,0))-1</f>
        <v>3.4272465388390794E-2</v>
      </c>
      <c r="Y25" s="788">
        <f>ABS(INDEX(DSS_Calc!$KU:$KU,MATCH(W$4+$B25,DSS_Calc!$A:$A,0)))</f>
        <v>4.7536124068567309</v>
      </c>
      <c r="Z25" s="777">
        <f t="shared" si="51"/>
        <v>9</v>
      </c>
      <c r="AA25" s="813">
        <f t="shared" si="58"/>
        <v>100</v>
      </c>
      <c r="AB25" s="813">
        <f t="shared" si="59"/>
        <v>4</v>
      </c>
      <c r="AC25" s="813">
        <f>INDEX(DSS_Calc!$JM:$JM,MATCH(W$4+$B25,DSS_Calc!$A:$A,0))</f>
        <v>1715.9939154046947</v>
      </c>
      <c r="AD25" s="772"/>
      <c r="AE25" s="779">
        <f>INDEX(DSS_Calc!$JD:$JD,MATCH(AE$4+$B25,DSS_Calc!$A:$A,0))-INDEX(DSS_Calc!$JD:$JD,MATCH(AE$4+$B$6,DSS_Calc!$A:$A,0))</f>
        <v>295.32524535569701</v>
      </c>
      <c r="AF25" s="780">
        <f>INDEX(DSS_Calc!$JM:$JM,MATCH(AE$4+$B25,DSS_Calc!$A:$A,0))/INDEX(DSS_Calc!$JM:$JM,MATCH(AE$4+$B$6,DSS_Calc!$A:$A,0))-1</f>
        <v>4.1337298981598547E-2</v>
      </c>
      <c r="AG25" s="788">
        <f>ABS(INDEX(DSS_Calc!$KU:$KU,MATCH(AE$4+$B25,DSS_Calc!$A:$A,0)))</f>
        <v>4.0649435997178109</v>
      </c>
      <c r="AH25" s="777">
        <f t="shared" si="52"/>
        <v>10</v>
      </c>
      <c r="AI25" s="813">
        <f t="shared" si="60"/>
        <v>10</v>
      </c>
      <c r="AJ25" s="813">
        <f t="shared" si="61"/>
        <v>100</v>
      </c>
      <c r="AK25" s="813">
        <f>INDEX(DSS_Calc!$JM:$JM,MATCH(AE$4+$B25,DSS_Calc!$A:$A,0))</f>
        <v>2518.5906590861132</v>
      </c>
      <c r="AL25" s="772"/>
      <c r="AM25" s="779">
        <f>INDEX(DSS_Calc!$JD:$JD,MATCH(AM$4+$B25,DSS_Calc!$A:$A,0))-INDEX(DSS_Calc!$JD:$JD,MATCH(AM$4+$B$6,DSS_Calc!$A:$A,0))</f>
        <v>273.28786269291822</v>
      </c>
      <c r="AN25" s="780">
        <f>INDEX(DSS_Calc!$JM:$JM,MATCH(AM$4+$B25,DSS_Calc!$A:$A,0))/INDEX(DSS_Calc!$JM:$JM,MATCH(AM$4+$B$6,DSS_Calc!$A:$A,0))-1</f>
        <v>4.1127157079757115E-2</v>
      </c>
      <c r="AO25" s="788">
        <f>ABS(INDEX(DSS_Calc!$KU:$KU,MATCH(AM$4+$B25,DSS_Calc!$A:$A,0)))</f>
        <v>4.0125457945816008</v>
      </c>
      <c r="AP25" s="777">
        <f t="shared" si="53"/>
        <v>12</v>
      </c>
      <c r="AQ25" s="813">
        <f t="shared" si="62"/>
        <v>8</v>
      </c>
      <c r="AR25" s="813">
        <f t="shared" si="63"/>
        <v>100</v>
      </c>
      <c r="AS25" s="813">
        <f>INDEX(DSS_Calc!$JM:$JM,MATCH(AM$4+$B25,DSS_Calc!$A:$A,0))</f>
        <v>858.24569170312486</v>
      </c>
      <c r="AT25" s="772"/>
      <c r="AU25" s="779">
        <f>INDEX(DSS_Calc!$JD:$JD,MATCH(AU$4+$B25,DSS_Calc!$A:$A,0))-INDEX(DSS_Calc!$JD:$JD,MATCH(AU$4+$B$6,DSS_Calc!$A:$A,0))</f>
        <v>231.1243410027123</v>
      </c>
      <c r="AV25" s="780">
        <f>INDEX(DSS_Calc!$JM:$JM,MATCH(AU$4+$B25,DSS_Calc!$A:$A,0))/INDEX(DSS_Calc!$JM:$JM,MATCH(AU$4+$B$6,DSS_Calc!$A:$A,0))-1</f>
        <v>3.8586735578962639E-2</v>
      </c>
    </row>
    <row r="26" spans="2:48">
      <c r="B26" s="836">
        <f t="shared" si="64"/>
        <v>12</v>
      </c>
      <c r="C26" s="772"/>
      <c r="D26" s="774" t="str">
        <f>LEFT(INDEX(DSS_Calc!$D:$D,MATCH(G$4+$B26,DSS_Calc!$A:$A,0)),LEN(INDEX(DSS_Calc!$D:$D,MATCH(G$4+$B26,DSS_Calc!$A:$A,0)))-2)</f>
        <v>1000 CC</v>
      </c>
      <c r="E26" s="772" t="str">
        <f>"MY"&amp;RIGHT(Input!$H$9,2)&amp;" "&amp;Input!$H$3</f>
        <v>MY20 Soul</v>
      </c>
      <c r="F26" s="772"/>
      <c r="G26" s="776">
        <f>INDEX(DSS_Calc!$JD:$JD,MATCH(G$4+$B26,DSS_Calc!$A:$A,0))-INDEX(DSS_Calc!$JD:$JD,MATCH(G$4+$B$6,DSS_Calc!$A:$A,0))</f>
        <v>75.616282096137638</v>
      </c>
      <c r="H26" s="775">
        <f>INDEX(DSS_Calc!$JM:$JM,MATCH(G$4+$B26,DSS_Calc!$A:$A,0))/INDEX(DSS_Calc!$JM:$JM,MATCH(G$4+$B$6,DSS_Calc!$A:$A,0))-1</f>
        <v>4.6666040010684418E-2</v>
      </c>
      <c r="I26" s="787">
        <f>ABS(INDEX(DSS_Calc!$KU:$KU,MATCH(G$4+$B26,DSS_Calc!$A:$A,0)))</f>
        <v>6.630527261375061</v>
      </c>
      <c r="J26" s="772">
        <f t="shared" si="49"/>
        <v>7</v>
      </c>
      <c r="K26" s="812">
        <f t="shared" si="54"/>
        <v>100</v>
      </c>
      <c r="L26" s="812">
        <f t="shared" si="55"/>
        <v>5</v>
      </c>
      <c r="M26" s="812">
        <f>INDEX(DSS_Calc!$JM:$JM,MATCH(G$4+$B26,DSS_Calc!$A:$A,0))</f>
        <v>468.73440736476664</v>
      </c>
      <c r="N26" s="772"/>
      <c r="O26" s="776">
        <f>INDEX(DSS_Calc!$JD:$JD,MATCH(O$4+$B26,DSS_Calc!$A:$A,0))-INDEX(DSS_Calc!$JD:$JD,MATCH(O$4+$B$6,DSS_Calc!$A:$A,0))</f>
        <v>302.33559853812449</v>
      </c>
      <c r="P26" s="775">
        <f>INDEX(DSS_Calc!$JM:$JM,MATCH(O$4+$B26,DSS_Calc!$A:$A,0))/INDEX(DSS_Calc!$JM:$JM,MATCH(O$4+$B$6,DSS_Calc!$A:$A,0))-1</f>
        <v>5.5302643534973495E-2</v>
      </c>
      <c r="Q26" s="787">
        <f>ABS(INDEX(DSS_Calc!$KU:$KU,MATCH(O$4+$B26,DSS_Calc!$A:$A,0)))</f>
        <v>4.6143472692847913</v>
      </c>
      <c r="R26" s="772">
        <f t="shared" si="50"/>
        <v>5</v>
      </c>
      <c r="S26" s="812">
        <f t="shared" si="56"/>
        <v>4</v>
      </c>
      <c r="T26" s="812">
        <f t="shared" si="57"/>
        <v>100</v>
      </c>
      <c r="U26" s="812">
        <f>INDEX(DSS_Calc!$JM:$JM,MATCH(O$4+$B26,DSS_Calc!$A:$A,0))</f>
        <v>1319.515436085597</v>
      </c>
      <c r="V26" s="772"/>
      <c r="W26" s="776">
        <f>INDEX(DSS_Calc!$JD:$JD,MATCH(W$4+$B26,DSS_Calc!$A:$A,0))-INDEX(DSS_Calc!$JD:$JD,MATCH(W$4+$B$6,DSS_Calc!$A:$A,0))</f>
        <v>274.51147852322356</v>
      </c>
      <c r="X26" s="775">
        <f>INDEX(DSS_Calc!$JM:$JM,MATCH(W$4+$B26,DSS_Calc!$A:$A,0))/INDEX(DSS_Calc!$JM:$JM,MATCH(W$4+$B$6,DSS_Calc!$A:$A,0))-1</f>
        <v>4.8122366951985684E-2</v>
      </c>
      <c r="Y26" s="787">
        <f>ABS(INDEX(DSS_Calc!$KU:$KU,MATCH(W$4+$B26,DSS_Calc!$A:$A,0)))</f>
        <v>4.7698788058674877</v>
      </c>
      <c r="Z26" s="772">
        <f t="shared" si="51"/>
        <v>5</v>
      </c>
      <c r="AA26" s="812">
        <f t="shared" si="58"/>
        <v>4</v>
      </c>
      <c r="AB26" s="812">
        <f t="shared" si="59"/>
        <v>100</v>
      </c>
      <c r="AC26" s="812">
        <f>INDEX(DSS_Calc!$JM:$JM,MATCH(W$4+$B26,DSS_Calc!$A:$A,0))</f>
        <v>1738.9727218676105</v>
      </c>
      <c r="AD26" s="772"/>
      <c r="AE26" s="776">
        <f>INDEX(DSS_Calc!$JD:$JD,MATCH(AE$4+$B26,DSS_Calc!$A:$A,0))-INDEX(DSS_Calc!$JD:$JD,MATCH(AE$4+$B$6,DSS_Calc!$A:$A,0))</f>
        <v>410.0593659427791</v>
      </c>
      <c r="AF26" s="775">
        <f>INDEX(DSS_Calc!$JM:$JM,MATCH(AE$4+$B26,DSS_Calc!$A:$A,0))/INDEX(DSS_Calc!$JM:$JM,MATCH(AE$4+$B$6,DSS_Calc!$A:$A,0))-1</f>
        <v>5.7059564314649647E-2</v>
      </c>
      <c r="AG26" s="787">
        <f>ABS(INDEX(DSS_Calc!$KU:$KU,MATCH(AE$4+$B26,DSS_Calc!$A:$A,0)))</f>
        <v>4.0697438743995926</v>
      </c>
      <c r="AH26" s="772">
        <f t="shared" si="52"/>
        <v>7</v>
      </c>
      <c r="AI26" s="812">
        <f t="shared" si="60"/>
        <v>7</v>
      </c>
      <c r="AJ26" s="812">
        <f t="shared" si="61"/>
        <v>100</v>
      </c>
      <c r="AK26" s="812">
        <f>INDEX(DSS_Calc!$JM:$JM,MATCH(AE$4+$B26,DSS_Calc!$A:$A,0))</f>
        <v>2556.616715241234</v>
      </c>
      <c r="AL26" s="772"/>
      <c r="AM26" s="776">
        <f>INDEX(DSS_Calc!$JD:$JD,MATCH(AM$4+$B26,DSS_Calc!$A:$A,0))-INDEX(DSS_Calc!$JD:$JD,MATCH(AM$4+$B$6,DSS_Calc!$A:$A,0))</f>
        <v>385.29985710541678</v>
      </c>
      <c r="AN26" s="775">
        <f>INDEX(DSS_Calc!$JM:$JM,MATCH(AM$4+$B26,DSS_Calc!$A:$A,0))/INDEX(DSS_Calc!$JM:$JM,MATCH(AM$4+$B$6,DSS_Calc!$A:$A,0))-1</f>
        <v>5.7249748293829672E-2</v>
      </c>
      <c r="AO26" s="787">
        <f>ABS(INDEX(DSS_Calc!$KU:$KU,MATCH(AM$4+$B26,DSS_Calc!$A:$A,0)))</f>
        <v>4.0109179854992352</v>
      </c>
      <c r="AP26" s="772">
        <f t="shared" si="53"/>
        <v>14</v>
      </c>
      <c r="AQ26" s="812">
        <f t="shared" si="62"/>
        <v>9</v>
      </c>
      <c r="AR26" s="812">
        <f t="shared" si="63"/>
        <v>100</v>
      </c>
      <c r="AS26" s="812">
        <f>INDEX(DSS_Calc!$JM:$JM,MATCH(AM$4+$B26,DSS_Calc!$A:$A,0))</f>
        <v>871.53623393370117</v>
      </c>
      <c r="AT26" s="772"/>
      <c r="AU26" s="776">
        <f>INDEX(DSS_Calc!$JD:$JD,MATCH(AU$4+$B26,DSS_Calc!$A:$A,0))-INDEX(DSS_Calc!$JD:$JD,MATCH(AU$4+$B$6,DSS_Calc!$A:$A,0))</f>
        <v>329.55990117352758</v>
      </c>
      <c r="AV26" s="775">
        <f>INDEX(DSS_Calc!$JM:$JM,MATCH(AU$4+$B26,DSS_Calc!$A:$A,0))/INDEX(DSS_Calc!$JM:$JM,MATCH(AU$4+$B$6,DSS_Calc!$A:$A,0))-1</f>
        <v>5.3798707695162484E-2</v>
      </c>
    </row>
    <row r="27" spans="2:48">
      <c r="B27" s="836">
        <f t="shared" si="64"/>
        <v>13</v>
      </c>
      <c r="C27" s="777"/>
      <c r="D27" s="778" t="str">
        <f>LEFT(INDEX(DSS_Calc!$D:$D,MATCH(G$4+$B27,DSS_Calc!$A:$A,0)),LEN(INDEX(DSS_Calc!$D:$D,MATCH(G$4+$B27,DSS_Calc!$A:$A,0)))-2)</f>
        <v>0/0/0.9/3.9</v>
      </c>
      <c r="E27" s="777" t="str">
        <f>"MY"&amp;RIGHT(Input!$H$9,2)&amp;" "&amp;Input!$H$3</f>
        <v>MY20 Soul</v>
      </c>
      <c r="F27" s="772"/>
      <c r="G27" s="779">
        <f>INDEX(DSS_Calc!$JD:$JD,MATCH(G$4+$B27,DSS_Calc!$A:$A,0))-INDEX(DSS_Calc!$JD:$JD,MATCH(G$4+$B$6,DSS_Calc!$A:$A,0))</f>
        <v>90.06792707435261</v>
      </c>
      <c r="H27" s="780">
        <f>INDEX(DSS_Calc!$JM:$JM,MATCH(G$4+$B27,DSS_Calc!$A:$A,0))/INDEX(DSS_Calc!$JM:$JM,MATCH(G$4+$B$6,DSS_Calc!$A:$A,0))-1</f>
        <v>1.766982201178835E-2</v>
      </c>
      <c r="I27" s="788">
        <f>ABS(INDEX(DSS_Calc!$KU:$KU,MATCH(G$4+$B27,DSS_Calc!$A:$A,0)))</f>
        <v>6.2260363239542587</v>
      </c>
      <c r="J27" s="777">
        <f t="shared" si="49"/>
        <v>30</v>
      </c>
      <c r="K27" s="813">
        <f t="shared" si="54"/>
        <v>100</v>
      </c>
      <c r="L27" s="813">
        <f t="shared" si="55"/>
        <v>100</v>
      </c>
      <c r="M27" s="813">
        <f>INDEX(DSS_Calc!$JM:$JM,MATCH(G$4+$B27,DSS_Calc!$A:$A,0))</f>
        <v>455.74886609374829</v>
      </c>
      <c r="N27" s="772"/>
      <c r="O27" s="779">
        <f>INDEX(DSS_Calc!$JD:$JD,MATCH(O$4+$B27,DSS_Calc!$A:$A,0))-INDEX(DSS_Calc!$JD:$JD,MATCH(O$4+$B$6,DSS_Calc!$A:$A,0))</f>
        <v>153.43072512411936</v>
      </c>
      <c r="P27" s="780">
        <f>INDEX(DSS_Calc!$JM:$JM,MATCH(O$4+$B27,DSS_Calc!$A:$A,0))/INDEX(DSS_Calc!$JM:$JM,MATCH(O$4+$B$6,DSS_Calc!$A:$A,0))-1</f>
        <v>2.3315435442037957E-2</v>
      </c>
      <c r="Q27" s="788">
        <f>ABS(INDEX(DSS_Calc!$KU:$KU,MATCH(O$4+$B27,DSS_Calc!$A:$A,0)))</f>
        <v>4.500823699501832</v>
      </c>
      <c r="R27" s="777">
        <f t="shared" si="50"/>
        <v>29</v>
      </c>
      <c r="S27" s="813">
        <f t="shared" si="56"/>
        <v>100</v>
      </c>
      <c r="T27" s="813">
        <f t="shared" si="57"/>
        <v>15</v>
      </c>
      <c r="U27" s="813">
        <f>INDEX(DSS_Calc!$JM:$JM,MATCH(O$4+$B27,DSS_Calc!$A:$A,0))</f>
        <v>1279.5196916472751</v>
      </c>
      <c r="V27" s="772"/>
      <c r="W27" s="779">
        <f>INDEX(DSS_Calc!$JD:$JD,MATCH(W$4+$B27,DSS_Calc!$A:$A,0))-INDEX(DSS_Calc!$JD:$JD,MATCH(W$4+$B$6,DSS_Calc!$A:$A,0))</f>
        <v>190.75927919078367</v>
      </c>
      <c r="X27" s="780">
        <f>INDEX(DSS_Calc!$JM:$JM,MATCH(W$4+$B27,DSS_Calc!$A:$A,0))/INDEX(DSS_Calc!$JM:$JM,MATCH(W$4+$B$6,DSS_Calc!$A:$A,0))-1</f>
        <v>2.5936008201232097E-2</v>
      </c>
      <c r="Y27" s="788">
        <f>ABS(INDEX(DSS_Calc!$KU:$KU,MATCH(W$4+$B27,DSS_Calc!$A:$A,0)))</f>
        <v>4.6575896740236802</v>
      </c>
      <c r="Z27" s="777">
        <f t="shared" si="51"/>
        <v>29</v>
      </c>
      <c r="AA27" s="813">
        <f t="shared" si="58"/>
        <v>100</v>
      </c>
      <c r="AB27" s="813">
        <f t="shared" si="59"/>
        <v>16</v>
      </c>
      <c r="AC27" s="813">
        <f>INDEX(DSS_Calc!$JM:$JM,MATCH(W$4+$B27,DSS_Calc!$A:$A,0))</f>
        <v>1702.1626375858229</v>
      </c>
      <c r="AD27" s="772"/>
      <c r="AE27" s="779">
        <f>INDEX(DSS_Calc!$JD:$JD,MATCH(AE$4+$B27,DSS_Calc!$A:$A,0))-INDEX(DSS_Calc!$JD:$JD,MATCH(AE$4+$B$6,DSS_Calc!$A:$A,0))</f>
        <v>199.3810591214642</v>
      </c>
      <c r="AF27" s="780">
        <f>INDEX(DSS_Calc!$JM:$JM,MATCH(AE$4+$B27,DSS_Calc!$A:$A,0))/INDEX(DSS_Calc!$JM:$JM,MATCH(AE$4+$B$6,DSS_Calc!$A:$A,0))-1</f>
        <v>2.6479937096872241E-2</v>
      </c>
      <c r="AG27" s="788">
        <f>ABS(INDEX(DSS_Calc!$KU:$KU,MATCH(AE$4+$B27,DSS_Calc!$A:$A,0)))</f>
        <v>4.0421114904530349</v>
      </c>
      <c r="AH27" s="777">
        <f t="shared" si="52"/>
        <v>28</v>
      </c>
      <c r="AI27" s="813">
        <f t="shared" si="60"/>
        <v>100</v>
      </c>
      <c r="AJ27" s="813">
        <f t="shared" si="61"/>
        <v>14</v>
      </c>
      <c r="AK27" s="813">
        <f>INDEX(DSS_Calc!$JM:$JM,MATCH(AE$4+$B27,DSS_Calc!$A:$A,0))</f>
        <v>2482.6564686003512</v>
      </c>
      <c r="AL27" s="772"/>
      <c r="AM27" s="779">
        <f>INDEX(DSS_Calc!$JD:$JD,MATCH(AM$4+$B27,DSS_Calc!$A:$A,0))-INDEX(DSS_Calc!$JD:$JD,MATCH(AM$4+$B$6,DSS_Calc!$A:$A,0))</f>
        <v>186.8043658098486</v>
      </c>
      <c r="AN27" s="780">
        <f>INDEX(DSS_Calc!$JM:$JM,MATCH(AM$4+$B27,DSS_Calc!$A:$A,0))/INDEX(DSS_Calc!$JM:$JM,MATCH(AM$4+$B$6,DSS_Calc!$A:$A,0))-1</f>
        <v>2.6790508196870899E-2</v>
      </c>
      <c r="AO27" s="788">
        <f>ABS(INDEX(DSS_Calc!$KU:$KU,MATCH(AM$4+$B27,DSS_Calc!$A:$A,0)))</f>
        <v>3.9891308508870069</v>
      </c>
      <c r="AP27" s="777">
        <f t="shared" si="53"/>
        <v>31</v>
      </c>
      <c r="AQ27" s="813">
        <f t="shared" si="62"/>
        <v>100</v>
      </c>
      <c r="AR27" s="813">
        <f t="shared" si="63"/>
        <v>17</v>
      </c>
      <c r="AS27" s="813">
        <f>INDEX(DSS_Calc!$JM:$JM,MATCH(AM$4+$B27,DSS_Calc!$A:$A,0))</f>
        <v>846.42737820171749</v>
      </c>
      <c r="AT27" s="772"/>
      <c r="AU27" s="779">
        <f>INDEX(DSS_Calc!$JD:$JD,MATCH(AU$4+$B27,DSS_Calc!$A:$A,0))-INDEX(DSS_Calc!$JD:$JD,MATCH(AU$4+$B$6,DSS_Calc!$A:$A,0))</f>
        <v>179.51076310629333</v>
      </c>
      <c r="AV27" s="780">
        <f>INDEX(DSS_Calc!$JM:$JM,MATCH(AU$4+$B27,DSS_Calc!$A:$A,0))/INDEX(DSS_Calc!$JM:$JM,MATCH(AU$4+$B$6,DSS_Calc!$A:$A,0))-1</f>
        <v>2.5184735480840548E-2</v>
      </c>
    </row>
    <row r="28" spans="2:48">
      <c r="B28" s="836">
        <f t="shared" si="64"/>
        <v>14</v>
      </c>
      <c r="C28" s="772"/>
      <c r="D28" s="774" t="str">
        <f>LEFT(INDEX(DSS_Calc!$D:$D,MATCH(G$4+$B28,DSS_Calc!$A:$A,0)),LEN(INDEX(DSS_Calc!$D:$D,MATCH(G$4+$B28,DSS_Calc!$A:$A,0)))-2)</f>
        <v>0/0/0/3.9</v>
      </c>
      <c r="E28" s="772" t="str">
        <f>"MY"&amp;RIGHT(Input!$H$9,2)&amp;" "&amp;Input!$H$3</f>
        <v>MY20 Soul</v>
      </c>
      <c r="F28" s="772"/>
      <c r="G28" s="776">
        <f>INDEX(DSS_Calc!$JD:$JD,MATCH(G$4+$B28,DSS_Calc!$A:$A,0))-INDEX(DSS_Calc!$JD:$JD,MATCH(G$4+$B$6,DSS_Calc!$A:$A,0))</f>
        <v>208.37719095762986</v>
      </c>
      <c r="H28" s="775">
        <f>INDEX(DSS_Calc!$JM:$JM,MATCH(G$4+$B28,DSS_Calc!$A:$A,0))/INDEX(DSS_Calc!$JM:$JM,MATCH(G$4+$B$6,DSS_Calc!$A:$A,0))-1</f>
        <v>3.8459586138666069E-2</v>
      </c>
      <c r="I28" s="787">
        <f>ABS(INDEX(DSS_Calc!$KU:$KU,MATCH(G$4+$B28,DSS_Calc!$A:$A,0)))</f>
        <v>6.2405604051151906</v>
      </c>
      <c r="J28" s="772">
        <f t="shared" si="49"/>
        <v>27</v>
      </c>
      <c r="K28" s="812">
        <f t="shared" si="54"/>
        <v>10</v>
      </c>
      <c r="L28" s="812">
        <f t="shared" si="55"/>
        <v>100</v>
      </c>
      <c r="M28" s="812">
        <f>INDEX(DSS_Calc!$JM:$JM,MATCH(G$4+$B28,DSS_Calc!$A:$A,0))</f>
        <v>465.0592644393044</v>
      </c>
      <c r="N28" s="772"/>
      <c r="O28" s="776">
        <f>INDEX(DSS_Calc!$JD:$JD,MATCH(O$4+$B28,DSS_Calc!$A:$A,0))-INDEX(DSS_Calc!$JD:$JD,MATCH(O$4+$B$6,DSS_Calc!$A:$A,0))</f>
        <v>343.56506967286714</v>
      </c>
      <c r="P28" s="775">
        <f>INDEX(DSS_Calc!$JM:$JM,MATCH(O$4+$B28,DSS_Calc!$A:$A,0))/INDEX(DSS_Calc!$JM:$JM,MATCH(O$4+$B$6,DSS_Calc!$A:$A,0))-1</f>
        <v>5.0103656817488407E-2</v>
      </c>
      <c r="Q28" s="787">
        <f>ABS(INDEX(DSS_Calc!$KU:$KU,MATCH(O$4+$B28,DSS_Calc!$A:$A,0)))</f>
        <v>4.4759198444435269</v>
      </c>
      <c r="R28" s="772">
        <f t="shared" si="50"/>
        <v>37</v>
      </c>
      <c r="S28" s="812">
        <f t="shared" si="56"/>
        <v>14</v>
      </c>
      <c r="T28" s="812">
        <f t="shared" si="57"/>
        <v>100</v>
      </c>
      <c r="U28" s="812">
        <f>INDEX(DSS_Calc!$JM:$JM,MATCH(O$4+$B28,DSS_Calc!$A:$A,0))</f>
        <v>1313.0147954705542</v>
      </c>
      <c r="V28" s="772"/>
      <c r="W28" s="776">
        <f>INDEX(DSS_Calc!$JD:$JD,MATCH(W$4+$B28,DSS_Calc!$A:$A,0))-INDEX(DSS_Calc!$JD:$JD,MATCH(W$4+$B$6,DSS_Calc!$A:$A,0))</f>
        <v>402.83995822376573</v>
      </c>
      <c r="X28" s="775">
        <f>INDEX(DSS_Calc!$JM:$JM,MATCH(W$4+$B28,DSS_Calc!$A:$A,0))/INDEX(DSS_Calc!$JM:$JM,MATCH(W$4+$B$6,DSS_Calc!$A:$A,0))-1</f>
        <v>5.506390164941366E-2</v>
      </c>
      <c r="Y28" s="787">
        <f>ABS(INDEX(DSS_Calc!$KU:$KU,MATCH(W$4+$B28,DSS_Calc!$A:$A,0)))</f>
        <v>4.6422586768949063</v>
      </c>
      <c r="Z28" s="772">
        <f t="shared" si="51"/>
        <v>35</v>
      </c>
      <c r="AA28" s="812">
        <f t="shared" si="58"/>
        <v>16</v>
      </c>
      <c r="AB28" s="812">
        <f t="shared" si="59"/>
        <v>100</v>
      </c>
      <c r="AC28" s="812">
        <f>INDEX(DSS_Calc!$JM:$JM,MATCH(W$4+$B28,DSS_Calc!$A:$A,0))</f>
        <v>1750.4896399940967</v>
      </c>
      <c r="AD28" s="772"/>
      <c r="AE28" s="776">
        <f>INDEX(DSS_Calc!$JD:$JD,MATCH(AE$4+$B28,DSS_Calc!$A:$A,0))-INDEX(DSS_Calc!$JD:$JD,MATCH(AE$4+$B$6,DSS_Calc!$A:$A,0))</f>
        <v>429.06947052836131</v>
      </c>
      <c r="AF28" s="775">
        <f>INDEX(DSS_Calc!$JM:$JM,MATCH(AE$4+$B28,DSS_Calc!$A:$A,0))/INDEX(DSS_Calc!$JM:$JM,MATCH(AE$4+$B$6,DSS_Calc!$A:$A,0))-1</f>
        <v>5.5232134297615421E-2</v>
      </c>
      <c r="AG28" s="787">
        <f>ABS(INDEX(DSS_Calc!$KU:$KU,MATCH(AE$4+$B28,DSS_Calc!$A:$A,0)))</f>
        <v>4.0261064109538571</v>
      </c>
      <c r="AH28" s="772">
        <f t="shared" si="52"/>
        <v>38</v>
      </c>
      <c r="AI28" s="812">
        <f t="shared" si="60"/>
        <v>20</v>
      </c>
      <c r="AJ28" s="812">
        <f t="shared" si="61"/>
        <v>100</v>
      </c>
      <c r="AK28" s="812">
        <f>INDEX(DSS_Calc!$JM:$JM,MATCH(AE$4+$B28,DSS_Calc!$A:$A,0))</f>
        <v>2552.1968714734776</v>
      </c>
      <c r="AL28" s="772"/>
      <c r="AM28" s="776">
        <f>INDEX(DSS_Calc!$JD:$JD,MATCH(AM$4+$B28,DSS_Calc!$A:$A,0))-INDEX(DSS_Calc!$JD:$JD,MATCH(AM$4+$B$6,DSS_Calc!$A:$A,0))</f>
        <v>415.4597611827794</v>
      </c>
      <c r="AN28" s="775">
        <f>INDEX(DSS_Calc!$JM:$JM,MATCH(AM$4+$B28,DSS_Calc!$A:$A,0))/INDEX(DSS_Calc!$JM:$JM,MATCH(AM$4+$B$6,DSS_Calc!$A:$A,0))-1</f>
        <v>5.7341439998089827E-2</v>
      </c>
      <c r="AO28" s="787">
        <f>ABS(INDEX(DSS_Calc!$KU:$KU,MATCH(AM$4+$B28,DSS_Calc!$A:$A,0)))</f>
        <v>3.9601853771518551</v>
      </c>
      <c r="AP28" s="772">
        <f t="shared" si="53"/>
        <v>38</v>
      </c>
      <c r="AQ28" s="812">
        <f t="shared" si="62"/>
        <v>19</v>
      </c>
      <c r="AR28" s="812">
        <f t="shared" si="63"/>
        <v>100</v>
      </c>
      <c r="AS28" s="812">
        <f>INDEX(DSS_Calc!$JM:$JM,MATCH(AM$4+$B28,DSS_Calc!$A:$A,0))</f>
        <v>871.61181933132627</v>
      </c>
      <c r="AT28" s="772"/>
      <c r="AU28" s="776">
        <f>INDEX(DSS_Calc!$JD:$JD,MATCH(AU$4+$B28,DSS_Calc!$A:$A,0))-INDEX(DSS_Calc!$JD:$JD,MATCH(AU$4+$B$6,DSS_Calc!$A:$A,0))</f>
        <v>389.5929024698612</v>
      </c>
      <c r="AV28" s="775">
        <f>INDEX(DSS_Calc!$JM:$JM,MATCH(AU$4+$B28,DSS_Calc!$A:$A,0))/INDEX(DSS_Calc!$JM:$JM,MATCH(AU$4+$B$6,DSS_Calc!$A:$A,0))-1</f>
        <v>5.3343708830443815E-2</v>
      </c>
    </row>
    <row r="29" spans="2:48">
      <c r="B29" s="836">
        <f t="shared" si="64"/>
        <v>15</v>
      </c>
      <c r="C29" s="777"/>
      <c r="D29" s="778" t="str">
        <f>LEFT(INDEX(DSS_Calc!$D:$D,MATCH(G$4+$B29,DSS_Calc!$A:$A,0)),LEN(INDEX(DSS_Calc!$D:$D,MATCH(G$4+$B29,DSS_Calc!$A:$A,0)))-2)</f>
        <v>500 Combo</v>
      </c>
      <c r="E29" s="777" t="str">
        <f>"MY"&amp;RIGHT(Input!$H$9,2)&amp;" "&amp;Input!$H$3</f>
        <v>MY20 Soul</v>
      </c>
      <c r="F29" s="772"/>
      <c r="G29" s="779">
        <f>INDEX(DSS_Calc!$JD:$JD,MATCH(G$4+$B29,DSS_Calc!$A:$A,0))-INDEX(DSS_Calc!$JD:$JD,MATCH(G$4+$B$6,DSS_Calc!$A:$A,0))</f>
        <v>171.1599818392292</v>
      </c>
      <c r="H29" s="780">
        <f>INDEX(DSS_Calc!$JM:$JM,MATCH(G$4+$B29,DSS_Calc!$A:$A,0))/INDEX(DSS_Calc!$JM:$JM,MATCH(G$4+$B$6,DSS_Calc!$A:$A,0))-1</f>
        <v>2.9422848493000364E-2</v>
      </c>
      <c r="I29" s="788">
        <f>ABS(INDEX(DSS_Calc!$KU:$KU,MATCH(G$4+$B29,DSS_Calc!$A:$A,0)))</f>
        <v>6.2049651109771204</v>
      </c>
      <c r="J29" s="777">
        <f t="shared" si="49"/>
        <v>32</v>
      </c>
      <c r="K29" s="813">
        <f t="shared" si="54"/>
        <v>12</v>
      </c>
      <c r="L29" s="813">
        <f t="shared" si="55"/>
        <v>100</v>
      </c>
      <c r="M29" s="813">
        <f>INDEX(DSS_Calc!$JM:$JM,MATCH(G$4+$B29,DSS_Calc!$A:$A,0))</f>
        <v>461.01229080785959</v>
      </c>
      <c r="N29" s="772"/>
      <c r="O29" s="779">
        <f>INDEX(DSS_Calc!$JD:$JD,MATCH(O$4+$B29,DSS_Calc!$A:$A,0))-INDEX(DSS_Calc!$JD:$JD,MATCH(O$4+$B$6,DSS_Calc!$A:$A,0))</f>
        <v>255.94780300055527</v>
      </c>
      <c r="P29" s="780">
        <f>INDEX(DSS_Calc!$JM:$JM,MATCH(O$4+$B29,DSS_Calc!$A:$A,0))/INDEX(DSS_Calc!$JM:$JM,MATCH(O$4+$B$6,DSS_Calc!$A:$A,0))-1</f>
        <v>3.5993490516063709E-2</v>
      </c>
      <c r="Q29" s="788">
        <f>ABS(INDEX(DSS_Calc!$KU:$KU,MATCH(O$4+$B29,DSS_Calc!$A:$A,0)))</f>
        <v>4.4651027882825032</v>
      </c>
      <c r="R29" s="777">
        <f t="shared" si="50"/>
        <v>38</v>
      </c>
      <c r="S29" s="813">
        <f t="shared" si="56"/>
        <v>15</v>
      </c>
      <c r="T29" s="813">
        <f t="shared" si="57"/>
        <v>100</v>
      </c>
      <c r="U29" s="813">
        <f>INDEX(DSS_Calc!$JM:$JM,MATCH(O$4+$B29,DSS_Calc!$A:$A,0))</f>
        <v>1295.3719113609327</v>
      </c>
      <c r="V29" s="772"/>
      <c r="W29" s="779">
        <f>INDEX(DSS_Calc!$JD:$JD,MATCH(W$4+$B29,DSS_Calc!$A:$A,0))-INDEX(DSS_Calc!$JD:$JD,MATCH(W$4+$B$6,DSS_Calc!$A:$A,0))</f>
        <v>296.3860139965177</v>
      </c>
      <c r="X29" s="780">
        <f>INDEX(DSS_Calc!$JM:$JM,MATCH(W$4+$B29,DSS_Calc!$A:$A,0))/INDEX(DSS_Calc!$JM:$JM,MATCH(W$4+$B$6,DSS_Calc!$A:$A,0))-1</f>
        <v>3.9183152359556717E-2</v>
      </c>
      <c r="Y29" s="788">
        <f>ABS(INDEX(DSS_Calc!$KU:$KU,MATCH(W$4+$B29,DSS_Calc!$A:$A,0)))</f>
        <v>4.6357938585652976</v>
      </c>
      <c r="Z29" s="777">
        <f t="shared" si="51"/>
        <v>36</v>
      </c>
      <c r="AA29" s="813">
        <f t="shared" si="58"/>
        <v>17</v>
      </c>
      <c r="AB29" s="813">
        <f t="shared" si="59"/>
        <v>100</v>
      </c>
      <c r="AC29" s="813">
        <f>INDEX(DSS_Calc!$JM:$JM,MATCH(W$4+$B29,DSS_Calc!$A:$A,0))</f>
        <v>1724.1413903157795</v>
      </c>
      <c r="AD29" s="772"/>
      <c r="AE29" s="779">
        <f>INDEX(DSS_Calc!$JD:$JD,MATCH(AE$4+$B29,DSS_Calc!$A:$A,0))-INDEX(DSS_Calc!$JD:$JD,MATCH(AE$4+$B$6,DSS_Calc!$A:$A,0))</f>
        <v>292.4290072994022</v>
      </c>
      <c r="AF29" s="780">
        <f>INDEX(DSS_Calc!$JM:$JM,MATCH(AE$4+$B29,DSS_Calc!$A:$A,0))/INDEX(DSS_Calc!$JM:$JM,MATCH(AE$4+$B$6,DSS_Calc!$A:$A,0))-1</f>
        <v>3.7292381127634444E-2</v>
      </c>
      <c r="AG29" s="788">
        <f>ABS(INDEX(DSS_Calc!$KU:$KU,MATCH(AE$4+$B29,DSS_Calc!$A:$A,0)))</f>
        <v>4.0265673345113786</v>
      </c>
      <c r="AH29" s="777">
        <f t="shared" si="52"/>
        <v>36</v>
      </c>
      <c r="AI29" s="813">
        <f t="shared" si="60"/>
        <v>18</v>
      </c>
      <c r="AJ29" s="813">
        <f t="shared" si="61"/>
        <v>100</v>
      </c>
      <c r="AK29" s="813">
        <f>INDEX(DSS_Calc!$JM:$JM,MATCH(AE$4+$B29,DSS_Calc!$A:$A,0))</f>
        <v>2508.8075731122144</v>
      </c>
      <c r="AL29" s="772"/>
      <c r="AM29" s="779">
        <f>INDEX(DSS_Calc!$JD:$JD,MATCH(AM$4+$B29,DSS_Calc!$A:$A,0))-INDEX(DSS_Calc!$JD:$JD,MATCH(AM$4+$B$6,DSS_Calc!$A:$A,0))</f>
        <v>300.87097399443701</v>
      </c>
      <c r="AN29" s="780">
        <f>INDEX(DSS_Calc!$JM:$JM,MATCH(AM$4+$B29,DSS_Calc!$A:$A,0))/INDEX(DSS_Calc!$JM:$JM,MATCH(AM$4+$B$6,DSS_Calc!$A:$A,0))-1</f>
        <v>4.0332377812881681E-2</v>
      </c>
      <c r="AO29" s="788">
        <f>ABS(INDEX(DSS_Calc!$KU:$KU,MATCH(AM$4+$B29,DSS_Calc!$A:$A,0)))</f>
        <v>3.9527921678245059</v>
      </c>
      <c r="AP29" s="777">
        <f t="shared" si="53"/>
        <v>41</v>
      </c>
      <c r="AQ29" s="813">
        <f t="shared" si="62"/>
        <v>20</v>
      </c>
      <c r="AR29" s="813">
        <f t="shared" si="63"/>
        <v>100</v>
      </c>
      <c r="AS29" s="813">
        <f>INDEX(DSS_Calc!$JM:$JM,MATCH(AM$4+$B29,DSS_Calc!$A:$A,0))</f>
        <v>857.59052112476434</v>
      </c>
      <c r="AT29" s="772"/>
      <c r="AU29" s="779">
        <f>INDEX(DSS_Calc!$JD:$JD,MATCH(AU$4+$B29,DSS_Calc!$A:$A,0))-INDEX(DSS_Calc!$JD:$JD,MATCH(AU$4+$B$6,DSS_Calc!$A:$A,0))</f>
        <v>279.17785491174982</v>
      </c>
      <c r="AV29" s="780">
        <f>INDEX(DSS_Calc!$JM:$JM,MATCH(AU$4+$B29,DSS_Calc!$A:$A,0))/INDEX(DSS_Calc!$JM:$JM,MATCH(AU$4+$B$6,DSS_Calc!$A:$A,0))-1</f>
        <v>3.7367330882437377E-2</v>
      </c>
    </row>
    <row r="30" spans="2:48">
      <c r="B30" s="836">
        <f t="shared" si="64"/>
        <v>16</v>
      </c>
      <c r="C30" s="772"/>
      <c r="D30" s="774" t="str">
        <f>LEFT(INDEX(DSS_Calc!$D:$D,MATCH(G$4+$B30,DSS_Calc!$A:$A,0)),LEN(INDEX(DSS_Calc!$D:$D,MATCH(G$4+$B30,DSS_Calc!$A:$A,0)))-2)</f>
        <v>-360 Lease</v>
      </c>
      <c r="E30" s="772" t="str">
        <f>"MY"&amp;RIGHT(Input!$H$9,2)&amp;" "&amp;Input!$H$3</f>
        <v>MY20 Soul</v>
      </c>
      <c r="F30" s="772"/>
      <c r="G30" s="776">
        <f>INDEX(DSS_Calc!$JD:$JD,MATCH(G$4+$B30,DSS_Calc!$A:$A,0))-INDEX(DSS_Calc!$JD:$JD,MATCH(G$4+$B$6,DSS_Calc!$A:$A,0))</f>
        <v>-289.01905944147757</v>
      </c>
      <c r="H30" s="775">
        <f>INDEX(DSS_Calc!$JM:$JM,MATCH(G$4+$B30,DSS_Calc!$A:$A,0))/INDEX(DSS_Calc!$JM:$JM,MATCH(G$4+$B$6,DSS_Calc!$A:$A,0))-1</f>
        <v>-2.9792513878648785E-2</v>
      </c>
      <c r="I30" s="787">
        <f>ABS(INDEX(DSS_Calc!$KU:$KU,MATCH(G$4+$B30,DSS_Calc!$A:$A,0)))</f>
        <v>6.4524958477000718</v>
      </c>
      <c r="J30" s="814">
        <f t="shared" si="49"/>
        <v>15</v>
      </c>
      <c r="K30" s="812">
        <f t="shared" si="54"/>
        <v>100</v>
      </c>
      <c r="L30" s="812">
        <f t="shared" si="55"/>
        <v>10</v>
      </c>
      <c r="M30" s="812">
        <f>INDEX(DSS_Calc!$JM:$JM,MATCH(G$4+$B30,DSS_Calc!$A:$A,0))</f>
        <v>434.49353819037572</v>
      </c>
      <c r="N30" s="772"/>
      <c r="O30" s="776">
        <f>INDEX(DSS_Calc!$JD:$JD,MATCH(O$4+$B30,DSS_Calc!$A:$A,0))-INDEX(DSS_Calc!$JD:$JD,MATCH(O$4+$B$6,DSS_Calc!$A:$A,0))</f>
        <v>-119.33291244720817</v>
      </c>
      <c r="P30" s="775">
        <f>INDEX(DSS_Calc!$JM:$JM,MATCH(O$4+$B30,DSS_Calc!$A:$A,0))/INDEX(DSS_Calc!$JM:$JM,MATCH(O$4+$B$6,DSS_Calc!$A:$A,0))-1</f>
        <v>-1.319115366144108E-2</v>
      </c>
      <c r="Q30" s="787">
        <f>ABS(INDEX(DSS_Calc!$KU:$KU,MATCH(O$4+$B30,DSS_Calc!$A:$A,0)))</f>
        <v>4.572879213740773</v>
      </c>
      <c r="R30" s="814">
        <f t="shared" si="50"/>
        <v>16</v>
      </c>
      <c r="S30" s="812">
        <f t="shared" si="56"/>
        <v>100</v>
      </c>
      <c r="T30" s="812">
        <f t="shared" si="57"/>
        <v>8</v>
      </c>
      <c r="U30" s="812">
        <f>INDEX(DSS_Calc!$JM:$JM,MATCH(O$4+$B30,DSS_Calc!$A:$A,0))</f>
        <v>1233.8730630370071</v>
      </c>
      <c r="V30" s="772"/>
      <c r="W30" s="776">
        <f>INDEX(DSS_Calc!$JD:$JD,MATCH(W$4+$B30,DSS_Calc!$A:$A,0))-INDEX(DSS_Calc!$JD:$JD,MATCH(W$4+$B$6,DSS_Calc!$A:$A,0))</f>
        <v>-102.08040672432981</v>
      </c>
      <c r="X30" s="775">
        <f>INDEX(DSS_Calc!$JM:$JM,MATCH(W$4+$B30,DSS_Calc!$A:$A,0))/INDEX(DSS_Calc!$JM:$JM,MATCH(W$4+$B$6,DSS_Calc!$A:$A,0))-1</f>
        <v>-1.2024396153989869E-2</v>
      </c>
      <c r="Y30" s="787">
        <f>ABS(INDEX(DSS_Calc!$KU:$KU,MATCH(W$4+$B30,DSS_Calc!$A:$A,0)))</f>
        <v>4.7117919377085888</v>
      </c>
      <c r="Z30" s="814">
        <f t="shared" si="51"/>
        <v>17</v>
      </c>
      <c r="AA30" s="812">
        <f t="shared" si="58"/>
        <v>100</v>
      </c>
      <c r="AB30" s="812">
        <f t="shared" si="59"/>
        <v>8</v>
      </c>
      <c r="AC30" s="812">
        <f>INDEX(DSS_Calc!$JM:$JM,MATCH(W$4+$B30,DSS_Calc!$A:$A,0))</f>
        <v>1639.181339059809</v>
      </c>
      <c r="AD30" s="772"/>
      <c r="AE30" s="776">
        <f>INDEX(DSS_Calc!$JD:$JD,MATCH(AE$4+$B30,DSS_Calc!$A:$A,0))-INDEX(DSS_Calc!$JD:$JD,MATCH(AE$4+$B$6,DSS_Calc!$A:$A,0))</f>
        <v>-36.901763271098844</v>
      </c>
      <c r="AF30" s="775">
        <f>INDEX(DSS_Calc!$JM:$JM,MATCH(AE$4+$B30,DSS_Calc!$A:$A,0))/INDEX(DSS_Calc!$JM:$JM,MATCH(AE$4+$B$6,DSS_Calc!$A:$A,0))-1</f>
        <v>-3.9004786012093451E-3</v>
      </c>
      <c r="AG30" s="787">
        <f>ABS(INDEX(DSS_Calc!$KU:$KU,MATCH(AE$4+$B30,DSS_Calc!$A:$A,0)))</f>
        <v>4.052055992591777</v>
      </c>
      <c r="AH30" s="814">
        <f t="shared" si="52"/>
        <v>20</v>
      </c>
      <c r="AI30" s="812">
        <f t="shared" si="60"/>
        <v>100</v>
      </c>
      <c r="AJ30" s="812">
        <f t="shared" si="61"/>
        <v>6</v>
      </c>
      <c r="AK30" s="812">
        <f>INDEX(DSS_Calc!$JM:$JM,MATCH(AE$4+$B30,DSS_Calc!$A:$A,0))</f>
        <v>2409.1780372878725</v>
      </c>
      <c r="AL30" s="772"/>
      <c r="AM30" s="776">
        <f>INDEX(DSS_Calc!$JD:$JD,MATCH(AM$4+$B30,DSS_Calc!$A:$A,0))-INDEX(DSS_Calc!$JD:$JD,MATCH(AM$4+$B$6,DSS_Calc!$A:$A,0))</f>
        <v>-49.745544249994509</v>
      </c>
      <c r="AN30" s="775">
        <f>INDEX(DSS_Calc!$JM:$JM,MATCH(AM$4+$B30,DSS_Calc!$A:$A,0))/INDEX(DSS_Calc!$JM:$JM,MATCH(AM$4+$B$6,DSS_Calc!$A:$A,0))-1</f>
        <v>-5.643108022959642E-3</v>
      </c>
      <c r="AO30" s="787">
        <f>ABS(INDEX(DSS_Calc!$KU:$KU,MATCH(AM$4+$B30,DSS_Calc!$A:$A,0)))</f>
        <v>4.0142885819315612</v>
      </c>
      <c r="AP30" s="814">
        <f t="shared" si="53"/>
        <v>11</v>
      </c>
      <c r="AQ30" s="812">
        <f t="shared" si="62"/>
        <v>100</v>
      </c>
      <c r="AR30" s="812">
        <f t="shared" si="63"/>
        <v>4</v>
      </c>
      <c r="AS30" s="812">
        <f>INDEX(DSS_Calc!$JM:$JM,MATCH(AM$4+$B30,DSS_Calc!$A:$A,0))</f>
        <v>819.69095969823809</v>
      </c>
      <c r="AT30" s="772"/>
      <c r="AU30" s="776">
        <f>INDEX(DSS_Calc!$JD:$JD,MATCH(AU$4+$B30,DSS_Calc!$A:$A,0))-INDEX(DSS_Calc!$JD:$JD,MATCH(AU$4+$B$6,DSS_Calc!$A:$A,0))</f>
        <v>-87.515110412666218</v>
      </c>
      <c r="AV30" s="775">
        <f>INDEX(DSS_Calc!$JM:$JM,MATCH(AU$4+$B30,DSS_Calc!$A:$A,0))/INDEX(DSS_Calc!$JM:$JM,MATCH(AU$4+$B$6,DSS_Calc!$A:$A,0))-1</f>
        <v>-9.6770897412054024E-3</v>
      </c>
    </row>
    <row r="31" spans="2:48">
      <c r="B31" s="836">
        <f t="shared" si="64"/>
        <v>17</v>
      </c>
      <c r="C31" s="777"/>
      <c r="D31" s="778" t="str">
        <f>LEFT(INDEX(DSS_Calc!$D:$D,MATCH(G$4+$B31,DSS_Calc!$A:$A,0)),LEN(INDEX(DSS_Calc!$D:$D,MATCH(G$4+$B31,DSS_Calc!$A:$A,0)))-2)</f>
        <v>360 Lease</v>
      </c>
      <c r="E31" s="777" t="str">
        <f>"MY"&amp;RIGHT(Input!$H$9,2)&amp;" "&amp;Input!$H$3</f>
        <v>MY20 Soul</v>
      </c>
      <c r="F31" s="772"/>
      <c r="G31" s="779">
        <f>INDEX(DSS_Calc!$JD:$JD,MATCH(G$4+$B31,DSS_Calc!$A:$A,0))-INDEX(DSS_Calc!$JD:$JD,MATCH(G$4+$B$6,DSS_Calc!$A:$A,0))</f>
        <v>342.0935307395348</v>
      </c>
      <c r="H31" s="780">
        <f>INDEX(DSS_Calc!$JM:$JM,MATCH(G$4+$B31,DSS_Calc!$A:$A,0))/INDEX(DSS_Calc!$JM:$JM,MATCH(G$4+$B$6,DSS_Calc!$A:$A,0))-1</f>
        <v>3.4182171699328245E-2</v>
      </c>
      <c r="I31" s="788">
        <f>ABS(INDEX(DSS_Calc!$KU:$KU,MATCH(G$4+$B31,DSS_Calc!$A:$A,0)))</f>
        <v>5.9277707496965002</v>
      </c>
      <c r="J31" s="777">
        <f t="shared" si="49"/>
        <v>48</v>
      </c>
      <c r="K31" s="813">
        <f t="shared" si="54"/>
        <v>21</v>
      </c>
      <c r="L31" s="813">
        <f t="shared" si="55"/>
        <v>100</v>
      </c>
      <c r="M31" s="813">
        <f>INDEX(DSS_Calc!$JM:$JM,MATCH(G$4+$B31,DSS_Calc!$A:$A,0))</f>
        <v>463.14368559597438</v>
      </c>
      <c r="N31" s="772"/>
      <c r="O31" s="779">
        <f>INDEX(DSS_Calc!$JD:$JD,MATCH(O$4+$B31,DSS_Calc!$A:$A,0))-INDEX(DSS_Calc!$JD:$JD,MATCH(O$4+$B$6,DSS_Calc!$A:$A,0))</f>
        <v>152.49004504003824</v>
      </c>
      <c r="P31" s="780">
        <f>INDEX(DSS_Calc!$JM:$JM,MATCH(O$4+$B31,DSS_Calc!$A:$A,0))/INDEX(DSS_Calc!$JM:$JM,MATCH(O$4+$B$6,DSS_Calc!$A:$A,0))-1</f>
        <v>1.4863962460789137E-2</v>
      </c>
      <c r="Q31" s="788">
        <f>ABS(INDEX(DSS_Calc!$KU:$KU,MATCH(O$4+$B31,DSS_Calc!$A:$A,0)))</f>
        <v>4.3936020719320537</v>
      </c>
      <c r="R31" s="777">
        <f t="shared" si="50"/>
        <v>46</v>
      </c>
      <c r="S31" s="813">
        <f t="shared" si="56"/>
        <v>100</v>
      </c>
      <c r="T31" s="813">
        <f t="shared" si="57"/>
        <v>23</v>
      </c>
      <c r="U31" s="813">
        <f>INDEX(DSS_Calc!$JM:$JM,MATCH(O$4+$B31,DSS_Calc!$A:$A,0))</f>
        <v>1268.9522500467665</v>
      </c>
      <c r="V31" s="772"/>
      <c r="W31" s="779">
        <f>INDEX(DSS_Calc!$JD:$JD,MATCH(W$4+$B31,DSS_Calc!$A:$A,0))-INDEX(DSS_Calc!$JD:$JD,MATCH(W$4+$B$6,DSS_Calc!$A:$A,0))</f>
        <v>166.46495619825009</v>
      </c>
      <c r="X31" s="780">
        <f>INDEX(DSS_Calc!$JM:$JM,MATCH(W$4+$B31,DSS_Calc!$A:$A,0))/INDEX(DSS_Calc!$JM:$JM,MATCH(W$4+$B$6,DSS_Calc!$A:$A,0))-1</f>
        <v>1.4014578908378317E-2</v>
      </c>
      <c r="Y31" s="788">
        <f>ABS(INDEX(DSS_Calc!$KU:$KU,MATCH(W$4+$B31,DSS_Calc!$A:$A,0)))</f>
        <v>4.5605128488540929</v>
      </c>
      <c r="Z31" s="777">
        <f t="shared" si="51"/>
        <v>47</v>
      </c>
      <c r="AA31" s="813">
        <f t="shared" si="58"/>
        <v>100</v>
      </c>
      <c r="AB31" s="813">
        <f t="shared" si="59"/>
        <v>24</v>
      </c>
      <c r="AC31" s="813">
        <f>INDEX(DSS_Calc!$JM:$JM,MATCH(W$4+$B31,DSS_Calc!$A:$A,0))</f>
        <v>1682.3834200062638</v>
      </c>
      <c r="AD31" s="772"/>
      <c r="AE31" s="779">
        <f>INDEX(DSS_Calc!$JD:$JD,MATCH(AE$4+$B31,DSS_Calc!$A:$A,0))-INDEX(DSS_Calc!$JD:$JD,MATCH(AE$4+$B$6,DSS_Calc!$A:$A,0))</f>
        <v>48.373315479117991</v>
      </c>
      <c r="AF31" s="780">
        <f>INDEX(DSS_Calc!$JM:$JM,MATCH(AE$4+$B31,DSS_Calc!$A:$A,0))/INDEX(DSS_Calc!$JM:$JM,MATCH(AE$4+$B$6,DSS_Calc!$A:$A,0))-1</f>
        <v>4.3254356197968136E-3</v>
      </c>
      <c r="AG31" s="788">
        <f>ABS(INDEX(DSS_Calc!$KU:$KU,MATCH(AE$4+$B31,DSS_Calc!$A:$A,0)))</f>
        <v>4.0169285269723218</v>
      </c>
      <c r="AH31" s="777">
        <f t="shared" si="52"/>
        <v>41</v>
      </c>
      <c r="AI31" s="813">
        <f t="shared" si="60"/>
        <v>100</v>
      </c>
      <c r="AJ31" s="813">
        <f t="shared" si="61"/>
        <v>21</v>
      </c>
      <c r="AK31" s="813">
        <f>INDEX(DSS_Calc!$JM:$JM,MATCH(AE$4+$B31,DSS_Calc!$A:$A,0))</f>
        <v>2429.0733303305119</v>
      </c>
      <c r="AL31" s="772"/>
      <c r="AM31" s="779">
        <f>INDEX(DSS_Calc!$JD:$JD,MATCH(AM$4+$B31,DSS_Calc!$A:$A,0))-INDEX(DSS_Calc!$JD:$JD,MATCH(AM$4+$B$6,DSS_Calc!$A:$A,0))</f>
        <v>64.833172653475685</v>
      </c>
      <c r="AN31" s="780">
        <f>INDEX(DSS_Calc!$JM:$JM,MATCH(AM$4+$B31,DSS_Calc!$A:$A,0))/INDEX(DSS_Calc!$JM:$JM,MATCH(AM$4+$B$6,DSS_Calc!$A:$A,0))-1</f>
        <v>6.2102411224356224E-3</v>
      </c>
      <c r="AO31" s="788">
        <f>ABS(INDEX(DSS_Calc!$KU:$KU,MATCH(AM$4+$B31,DSS_Calc!$A:$A,0)))</f>
        <v>3.9476119807742798</v>
      </c>
      <c r="AP31" s="777">
        <f t="shared" si="53"/>
        <v>42</v>
      </c>
      <c r="AQ31" s="813">
        <f t="shared" si="62"/>
        <v>100</v>
      </c>
      <c r="AR31" s="813">
        <f t="shared" si="63"/>
        <v>22</v>
      </c>
      <c r="AS31" s="813">
        <f>INDEX(DSS_Calc!$JM:$JM,MATCH(AM$4+$B31,DSS_Calc!$A:$A,0))</f>
        <v>829.46218290292597</v>
      </c>
      <c r="AT31" s="772"/>
      <c r="AU31" s="779">
        <f>INDEX(DSS_Calc!$JD:$JD,MATCH(AU$4+$B31,DSS_Calc!$A:$A,0))-INDEX(DSS_Calc!$JD:$JD,MATCH(AU$4+$B$6,DSS_Calc!$A:$A,0))</f>
        <v>120.79152218513218</v>
      </c>
      <c r="AV31" s="780">
        <f>INDEX(DSS_Calc!$JM:$JM,MATCH(AU$4+$B31,DSS_Calc!$A:$A,0))/INDEX(DSS_Calc!$JM:$JM,MATCH(AU$4+$B$6,DSS_Calc!$A:$A,0))-1</f>
        <v>1.1018661840230148E-2</v>
      </c>
    </row>
    <row r="32" spans="2:48">
      <c r="B32" s="836">
        <f t="shared" si="64"/>
        <v>18</v>
      </c>
      <c r="C32" s="772"/>
      <c r="D32" s="774" t="str">
        <f>LEFT(INDEX(DSS_Calc!$D:$D,MATCH(G$4+$B32,DSS_Calc!$A:$A,0)),LEN(INDEX(DSS_Calc!$D:$D,MATCH(G$4+$B32,DSS_Calc!$A:$A,0)))-2)</f>
        <v>720 Lease</v>
      </c>
      <c r="E32" s="772" t="str">
        <f>"MY"&amp;RIGHT(Input!$H$9,2)&amp;" "&amp;Input!$H$3</f>
        <v>MY20 Soul</v>
      </c>
      <c r="F32" s="772"/>
      <c r="G32" s="776">
        <f>INDEX(DSS_Calc!$JD:$JD,MATCH(G$4+$B32,DSS_Calc!$A:$A,0))-INDEX(DSS_Calc!$JD:$JD,MATCH(G$4+$B$6,DSS_Calc!$A:$A,0))</f>
        <v>737.9273179459542</v>
      </c>
      <c r="H32" s="775">
        <f>INDEX(DSS_Calc!$JM:$JM,MATCH(G$4+$B32,DSS_Calc!$A:$A,0))/INDEX(DSS_Calc!$JM:$JM,MATCH(G$4+$B$6,DSS_Calc!$A:$A,0))-1</f>
        <v>7.3762536704428339E-2</v>
      </c>
      <c r="I32" s="787">
        <f>ABS(INDEX(DSS_Calc!$KU:$KU,MATCH(G$4+$B32,DSS_Calc!$A:$A,0)))</f>
        <v>5.6874255182608717</v>
      </c>
      <c r="J32" s="772">
        <f t="shared" si="49"/>
        <v>49</v>
      </c>
      <c r="K32" s="812">
        <f t="shared" si="54"/>
        <v>22</v>
      </c>
      <c r="L32" s="812">
        <f t="shared" si="55"/>
        <v>100</v>
      </c>
      <c r="M32" s="812">
        <f>INDEX(DSS_Calc!$JM:$JM,MATCH(G$4+$B32,DSS_Calc!$A:$A,0))</f>
        <v>480.8691856358509</v>
      </c>
      <c r="N32" s="772"/>
      <c r="O32" s="776">
        <f>INDEX(DSS_Calc!$JD:$JD,MATCH(O$4+$B32,DSS_Calc!$A:$A,0))-INDEX(DSS_Calc!$JD:$JD,MATCH(O$4+$B$6,DSS_Calc!$A:$A,0))</f>
        <v>343.74784695696962</v>
      </c>
      <c r="P32" s="775">
        <f>INDEX(DSS_Calc!$JM:$JM,MATCH(O$4+$B32,DSS_Calc!$A:$A,0))/INDEX(DSS_Calc!$JM:$JM,MATCH(O$4+$B$6,DSS_Calc!$A:$A,0))-1</f>
        <v>3.1810023587830027E-2</v>
      </c>
      <c r="Q32" s="787">
        <f>ABS(INDEX(DSS_Calc!$KU:$KU,MATCH(O$4+$B32,DSS_Calc!$A:$A,0)))</f>
        <v>4.2576612471602413</v>
      </c>
      <c r="R32" s="772">
        <f t="shared" si="50"/>
        <v>49</v>
      </c>
      <c r="S32" s="812">
        <f t="shared" si="56"/>
        <v>22</v>
      </c>
      <c r="T32" s="812">
        <f t="shared" si="57"/>
        <v>100</v>
      </c>
      <c r="U32" s="812">
        <f>INDEX(DSS_Calc!$JM:$JM,MATCH(O$4+$B32,DSS_Calc!$A:$A,0))</f>
        <v>1290.1410430200112</v>
      </c>
      <c r="V32" s="772"/>
      <c r="W32" s="776">
        <f>INDEX(DSS_Calc!$JD:$JD,MATCH(W$4+$B32,DSS_Calc!$A:$A,0))-INDEX(DSS_Calc!$JD:$JD,MATCH(W$4+$B$6,DSS_Calc!$A:$A,0))</f>
        <v>365.28258186668018</v>
      </c>
      <c r="X32" s="775">
        <f>INDEX(DSS_Calc!$JM:$JM,MATCH(W$4+$B32,DSS_Calc!$A:$A,0))/INDEX(DSS_Calc!$JM:$JM,MATCH(W$4+$B$6,DSS_Calc!$A:$A,0))-1</f>
        <v>3.0640400799758494E-2</v>
      </c>
      <c r="Y32" s="787">
        <f>ABS(INDEX(DSS_Calc!$KU:$KU,MATCH(W$4+$B32,DSS_Calc!$A:$A,0)))</f>
        <v>4.4374006275048314</v>
      </c>
      <c r="Z32" s="772">
        <f t="shared" si="51"/>
        <v>49</v>
      </c>
      <c r="AA32" s="812">
        <f t="shared" si="58"/>
        <v>24</v>
      </c>
      <c r="AB32" s="812">
        <f t="shared" si="59"/>
        <v>100</v>
      </c>
      <c r="AC32" s="812">
        <f>INDEX(DSS_Calc!$JM:$JM,MATCH(W$4+$B32,DSS_Calc!$A:$A,0))</f>
        <v>1709.9678430272295</v>
      </c>
      <c r="AD32" s="772"/>
      <c r="AE32" s="776">
        <f>INDEX(DSS_Calc!$JD:$JD,MATCH(AE$4+$B32,DSS_Calc!$A:$A,0))-INDEX(DSS_Calc!$JD:$JD,MATCH(AE$4+$B$6,DSS_Calc!$A:$A,0))</f>
        <v>111.2302902577635</v>
      </c>
      <c r="AF32" s="775">
        <f>INDEX(DSS_Calc!$JM:$JM,MATCH(AE$4+$B32,DSS_Calc!$A:$A,0))/INDEX(DSS_Calc!$JM:$JM,MATCH(AE$4+$B$6,DSS_Calc!$A:$A,0))-1</f>
        <v>9.19434842836786E-3</v>
      </c>
      <c r="AG32" s="787">
        <f>ABS(INDEX(DSS_Calc!$KU:$KU,MATCH(AE$4+$B32,DSS_Calc!$A:$A,0)))</f>
        <v>3.9790828421193942</v>
      </c>
      <c r="AH32" s="772">
        <f t="shared" si="52"/>
        <v>48</v>
      </c>
      <c r="AI32" s="812">
        <f t="shared" si="60"/>
        <v>100</v>
      </c>
      <c r="AJ32" s="812">
        <f t="shared" si="61"/>
        <v>23</v>
      </c>
      <c r="AK32" s="812">
        <f>INDEX(DSS_Calc!$JM:$JM,MATCH(AE$4+$B32,DSS_Calc!$A:$A,0))</f>
        <v>2440.8493402089293</v>
      </c>
      <c r="AL32" s="772"/>
      <c r="AM32" s="776">
        <f>INDEX(DSS_Calc!$JD:$JD,MATCH(AM$4+$B32,DSS_Calc!$A:$A,0))-INDEX(DSS_Calc!$JD:$JD,MATCH(AM$4+$B$6,DSS_Calc!$A:$A,0))</f>
        <v>148.36253417469698</v>
      </c>
      <c r="AN32" s="775">
        <f>INDEX(DSS_Calc!$JM:$JM,MATCH(AM$4+$B32,DSS_Calc!$A:$A,0))/INDEX(DSS_Calc!$JM:$JM,MATCH(AM$4+$B$6,DSS_Calc!$A:$A,0))-1</f>
        <v>1.3138963360918687E-2</v>
      </c>
      <c r="AO32" s="787">
        <f>ABS(INDEX(DSS_Calc!$KU:$KU,MATCH(AM$4+$B32,DSS_Calc!$A:$A,0)))</f>
        <v>3.8807619333242327</v>
      </c>
      <c r="AP32" s="772">
        <f t="shared" si="53"/>
        <v>47</v>
      </c>
      <c r="AQ32" s="812">
        <f t="shared" si="62"/>
        <v>100</v>
      </c>
      <c r="AR32" s="812">
        <f t="shared" si="63"/>
        <v>23</v>
      </c>
      <c r="AS32" s="812">
        <f>INDEX(DSS_Calc!$JM:$JM,MATCH(AM$4+$B32,DSS_Calc!$A:$A,0))</f>
        <v>835.17382529910071</v>
      </c>
      <c r="AT32" s="772"/>
      <c r="AU32" s="776">
        <f>INDEX(DSS_Calc!$JD:$JD,MATCH(AU$4+$B32,DSS_Calc!$A:$A,0))-INDEX(DSS_Calc!$JD:$JD,MATCH(AU$4+$B$6,DSS_Calc!$A:$A,0))</f>
        <v>270.03211092373931</v>
      </c>
      <c r="AV32" s="775">
        <f>INDEX(DSS_Calc!$JM:$JM,MATCH(AU$4+$B32,DSS_Calc!$A:$A,0))/INDEX(DSS_Calc!$JM:$JM,MATCH(AU$4+$B$6,DSS_Calc!$A:$A,0))-1</f>
        <v>2.3743312896564728E-2</v>
      </c>
    </row>
    <row r="33" spans="2:48">
      <c r="B33" s="836">
        <f t="shared" si="64"/>
        <v>19</v>
      </c>
      <c r="C33" s="777"/>
      <c r="D33" s="778" t="str">
        <f>LEFT(INDEX(DSS_Calc!$D:$D,MATCH(G$4+$B33,DSS_Calc!$A:$A,0)),LEN(INDEX(DSS_Calc!$D:$D,MATCH(G$4+$B33,DSS_Calc!$A:$A,0)))-2)</f>
        <v>Plan A</v>
      </c>
      <c r="E33" s="777" t="str">
        <f>"MY"&amp;RIGHT(Input!$H$9,2)&amp;" "&amp;Input!$H$3</f>
        <v>MY20 Soul</v>
      </c>
      <c r="F33" s="772"/>
      <c r="G33" s="779">
        <f>INDEX(DSS_Calc!$JD:$JD,MATCH(G$4+$B33,DSS_Calc!$A:$A,0))-INDEX(DSS_Calc!$JD:$JD,MATCH(G$4+$B$6,DSS_Calc!$A:$A,0))</f>
        <v>-186.74714264881595</v>
      </c>
      <c r="H33" s="780">
        <f>INDEX(DSS_Calc!$JM:$JM,MATCH(G$4+$B33,DSS_Calc!$A:$A,0))/INDEX(DSS_Calc!$JM:$JM,MATCH(G$4+$B$6,DSS_Calc!$A:$A,0))-1</f>
        <v>-3.6346980840658571E-2</v>
      </c>
      <c r="I33" s="788">
        <f>ABS(INDEX(DSS_Calc!$KU:$KU,MATCH(G$4+$B33,DSS_Calc!$A:$A,0)))</f>
        <v>6.1109086619997433</v>
      </c>
      <c r="J33" s="777">
        <f t="shared" si="49"/>
        <v>40</v>
      </c>
      <c r="K33" s="813">
        <f t="shared" si="54"/>
        <v>100</v>
      </c>
      <c r="L33" s="813">
        <f t="shared" si="55"/>
        <v>22</v>
      </c>
      <c r="M33" s="813">
        <f>INDEX(DSS_Calc!$JM:$JM,MATCH(G$4+$B33,DSS_Calc!$A:$A,0))</f>
        <v>431.55821396126606</v>
      </c>
      <c r="N33" s="772"/>
      <c r="O33" s="779">
        <f>INDEX(DSS_Calc!$JD:$JD,MATCH(O$4+$B33,DSS_Calc!$A:$A,0))-INDEX(DSS_Calc!$JD:$JD,MATCH(O$4+$B$6,DSS_Calc!$A:$A,0))</f>
        <v>-229.4269206990175</v>
      </c>
      <c r="P33" s="780">
        <f>INDEX(DSS_Calc!$JM:$JM,MATCH(O$4+$B33,DSS_Calc!$A:$A,0))/INDEX(DSS_Calc!$JM:$JM,MATCH(O$4+$B$6,DSS_Calc!$A:$A,0))-1</f>
        <v>-3.5894690769274651E-2</v>
      </c>
      <c r="Q33" s="788">
        <f>ABS(INDEX(DSS_Calc!$KU:$KU,MATCH(O$4+$B33,DSS_Calc!$A:$A,0)))</f>
        <v>4.4844257473576592</v>
      </c>
      <c r="R33" s="777">
        <f t="shared" si="50"/>
        <v>34</v>
      </c>
      <c r="S33" s="813">
        <f t="shared" si="56"/>
        <v>100</v>
      </c>
      <c r="T33" s="813">
        <f t="shared" si="57"/>
        <v>19</v>
      </c>
      <c r="U33" s="813">
        <f>INDEX(DSS_Calc!$JM:$JM,MATCH(O$4+$B33,DSS_Calc!$A:$A,0))</f>
        <v>1205.4853129910312</v>
      </c>
      <c r="V33" s="772"/>
      <c r="W33" s="779">
        <f>INDEX(DSS_Calc!$JD:$JD,MATCH(W$4+$B33,DSS_Calc!$A:$A,0))-INDEX(DSS_Calc!$JD:$JD,MATCH(W$4+$B$6,DSS_Calc!$A:$A,0))</f>
        <v>-222.07899669862536</v>
      </c>
      <c r="X33" s="780">
        <f>INDEX(DSS_Calc!$JM:$JM,MATCH(W$4+$B33,DSS_Calc!$A:$A,0))/INDEX(DSS_Calc!$JM:$JM,MATCH(W$4+$B$6,DSS_Calc!$A:$A,0))-1</f>
        <v>-3.5685710746291788E-2</v>
      </c>
      <c r="Y33" s="788">
        <f>ABS(INDEX(DSS_Calc!$KU:$KU,MATCH(W$4+$B33,DSS_Calc!$A:$A,0)))</f>
        <v>4.6292925241030476</v>
      </c>
      <c r="Z33" s="777">
        <f t="shared" si="51"/>
        <v>38</v>
      </c>
      <c r="AA33" s="813">
        <f t="shared" si="58"/>
        <v>100</v>
      </c>
      <c r="AB33" s="813">
        <f t="shared" si="59"/>
        <v>21</v>
      </c>
      <c r="AC33" s="813">
        <f>INDEX(DSS_Calc!$JM:$JM,MATCH(W$4+$B33,DSS_Calc!$A:$A,0))</f>
        <v>1599.9241092392131</v>
      </c>
      <c r="AD33" s="772"/>
      <c r="AE33" s="779">
        <f>INDEX(DSS_Calc!$JD:$JD,MATCH(AE$4+$B33,DSS_Calc!$A:$A,0))-INDEX(DSS_Calc!$JD:$JD,MATCH(AE$4+$B$6,DSS_Calc!$A:$A,0))</f>
        <v>-258.10427414256947</v>
      </c>
      <c r="AF33" s="780">
        <f>INDEX(DSS_Calc!$JM:$JM,MATCH(AE$4+$B33,DSS_Calc!$A:$A,0))/INDEX(DSS_Calc!$JM:$JM,MATCH(AE$4+$B$6,DSS_Calc!$A:$A,0))-1</f>
        <v>-3.4376907928380218E-2</v>
      </c>
      <c r="AG33" s="788">
        <f>ABS(INDEX(DSS_Calc!$KU:$KU,MATCH(AE$4+$B33,DSS_Calc!$A:$A,0)))</f>
        <v>4.0368617498350696</v>
      </c>
      <c r="AH33" s="777">
        <f t="shared" si="52"/>
        <v>31</v>
      </c>
      <c r="AI33" s="813">
        <f t="shared" si="60"/>
        <v>100</v>
      </c>
      <c r="AJ33" s="813">
        <f t="shared" si="61"/>
        <v>17</v>
      </c>
      <c r="AK33" s="813">
        <f>INDEX(DSS_Calc!$JM:$JM,MATCH(AE$4+$B33,DSS_Calc!$A:$A,0))</f>
        <v>2335.4673862809627</v>
      </c>
      <c r="AL33" s="772"/>
      <c r="AM33" s="779">
        <f>INDEX(DSS_Calc!$JD:$JD,MATCH(AM$4+$B33,DSS_Calc!$A:$A,0))-INDEX(DSS_Calc!$JD:$JD,MATCH(AM$4+$B$6,DSS_Calc!$A:$A,0))</f>
        <v>-253.30971645909676</v>
      </c>
      <c r="AN33" s="780">
        <f>INDEX(DSS_Calc!$JM:$JM,MATCH(AM$4+$B33,DSS_Calc!$A:$A,0))/INDEX(DSS_Calc!$JM:$JM,MATCH(AM$4+$B$6,DSS_Calc!$A:$A,0))-1</f>
        <v>-3.6014067807592642E-2</v>
      </c>
      <c r="AO33" s="788">
        <f>ABS(INDEX(DSS_Calc!$KU:$KU,MATCH(AM$4+$B33,DSS_Calc!$A:$A,0)))</f>
        <v>4.0008286361577063</v>
      </c>
      <c r="AP33" s="777">
        <f t="shared" si="53"/>
        <v>23</v>
      </c>
      <c r="AQ33" s="813">
        <f t="shared" si="62"/>
        <v>100</v>
      </c>
      <c r="AR33" s="813">
        <f t="shared" si="63"/>
        <v>10</v>
      </c>
      <c r="AS33" s="813">
        <f>INDEX(DSS_Calc!$JM:$JM,MATCH(AM$4+$B33,DSS_Calc!$A:$A,0))</f>
        <v>794.65487720744841</v>
      </c>
      <c r="AT33" s="772"/>
      <c r="AU33" s="779">
        <f>INDEX(DSS_Calc!$JD:$JD,MATCH(AU$4+$B33,DSS_Calc!$A:$A,0))-INDEX(DSS_Calc!$JD:$JD,MATCH(AU$4+$B$6,DSS_Calc!$A:$A,0))</f>
        <v>-238.0881667915537</v>
      </c>
      <c r="AV33" s="780">
        <f>INDEX(DSS_Calc!$JM:$JM,MATCH(AU$4+$B33,DSS_Calc!$A:$A,0))/INDEX(DSS_Calc!$JM:$JM,MATCH(AU$4+$B$6,DSS_Calc!$A:$A,0))-1</f>
        <v>-3.533158000157266E-2</v>
      </c>
    </row>
    <row r="34" spans="2:48">
      <c r="B34" s="836">
        <f t="shared" si="64"/>
        <v>20</v>
      </c>
      <c r="C34" s="772"/>
      <c r="D34" s="774" t="str">
        <f>LEFT(INDEX(DSS_Calc!$D:$D,MATCH(G$4+$B34,DSS_Calc!$A:$A,0)),LEN(INDEX(DSS_Calc!$D:$D,MATCH(G$4+$B34,DSS_Calc!$A:$A,0)))-2)</f>
        <v>Plan B</v>
      </c>
      <c r="E34" s="772" t="str">
        <f>"MY"&amp;RIGHT(Input!$H$9,2)&amp;" "&amp;Input!$H$3</f>
        <v>MY20 Soul</v>
      </c>
      <c r="F34" s="772"/>
      <c r="G34" s="776">
        <f>INDEX(DSS_Calc!$JD:$JD,MATCH(G$4+$B34,DSS_Calc!$A:$A,0))-INDEX(DSS_Calc!$JD:$JD,MATCH(G$4+$B$6,DSS_Calc!$A:$A,0))</f>
        <v>0</v>
      </c>
      <c r="H34" s="775">
        <f>INDEX(DSS_Calc!$JM:$JM,MATCH(G$4+$B34,DSS_Calc!$A:$A,0))/INDEX(DSS_Calc!$JM:$JM,MATCH(G$4+$B$6,DSS_Calc!$A:$A,0))-1</f>
        <v>0</v>
      </c>
      <c r="I34" s="787">
        <f>ABS(INDEX(DSS_Calc!$KU:$KU,MATCH(G$4+$B34,DSS_Calc!$A:$A,0)))</f>
        <v>6.1897990671338352</v>
      </c>
      <c r="J34" s="772">
        <f t="shared" si="49"/>
        <v>34</v>
      </c>
      <c r="K34" s="812">
        <f t="shared" si="54"/>
        <v>100</v>
      </c>
      <c r="L34" s="812">
        <f t="shared" si="55"/>
        <v>18</v>
      </c>
      <c r="M34" s="812">
        <f>INDEX(DSS_Calc!$JM:$JM,MATCH(G$4+$B34,DSS_Calc!$A:$A,0))</f>
        <v>447.83568917549076</v>
      </c>
      <c r="N34" s="772"/>
      <c r="O34" s="776">
        <f>INDEX(DSS_Calc!$JD:$JD,MATCH(O$4+$B34,DSS_Calc!$A:$A,0))-INDEX(DSS_Calc!$JD:$JD,MATCH(O$4+$B$6,DSS_Calc!$A:$A,0))</f>
        <v>0</v>
      </c>
      <c r="P34" s="775">
        <f>INDEX(DSS_Calc!$JM:$JM,MATCH(O$4+$B34,DSS_Calc!$A:$A,0))/INDEX(DSS_Calc!$JM:$JM,MATCH(O$4+$B$6,DSS_Calc!$A:$A,0))-1</f>
        <v>0</v>
      </c>
      <c r="Q34" s="787">
        <f>ABS(INDEX(DSS_Calc!$KU:$KU,MATCH(O$4+$B34,DSS_Calc!$A:$A,0)))</f>
        <v>4.5006708616860225</v>
      </c>
      <c r="R34" s="772">
        <f t="shared" si="50"/>
        <v>30</v>
      </c>
      <c r="S34" s="812">
        <f t="shared" si="56"/>
        <v>100</v>
      </c>
      <c r="T34" s="812">
        <f t="shared" si="57"/>
        <v>16</v>
      </c>
      <c r="U34" s="812">
        <f>INDEX(DSS_Calc!$JM:$JM,MATCH(O$4+$B34,DSS_Calc!$A:$A,0))</f>
        <v>1250.3668442121811</v>
      </c>
      <c r="V34" s="772"/>
      <c r="W34" s="776">
        <f>INDEX(DSS_Calc!$JD:$JD,MATCH(W$4+$B34,DSS_Calc!$A:$A,0))-INDEX(DSS_Calc!$JD:$JD,MATCH(W$4+$B$6,DSS_Calc!$A:$A,0))</f>
        <v>13.623432458563002</v>
      </c>
      <c r="X34" s="775">
        <f>INDEX(DSS_Calc!$JM:$JM,MATCH(W$4+$B34,DSS_Calc!$A:$A,0))/INDEX(DSS_Calc!$JM:$JM,MATCH(W$4+$B$6,DSS_Calc!$A:$A,0))-1</f>
        <v>0</v>
      </c>
      <c r="Y34" s="787">
        <f>ABS(INDEX(DSS_Calc!$KU:$KU,MATCH(W$4+$B34,DSS_Calc!$A:$A,0)))</f>
        <v>4.6526785936048496</v>
      </c>
      <c r="Z34" s="772">
        <f t="shared" si="51"/>
        <v>32</v>
      </c>
      <c r="AA34" s="812">
        <f t="shared" si="58"/>
        <v>100</v>
      </c>
      <c r="AB34" s="812">
        <f t="shared" si="59"/>
        <v>18</v>
      </c>
      <c r="AC34" s="812">
        <f>INDEX(DSS_Calc!$JM:$JM,MATCH(W$4+$B34,DSS_Calc!$A:$A,0))</f>
        <v>1659.1313921910348</v>
      </c>
      <c r="AD34" s="772"/>
      <c r="AE34" s="776">
        <f>INDEX(DSS_Calc!$JD:$JD,MATCH(AE$4+$B34,DSS_Calc!$A:$A,0))-INDEX(DSS_Calc!$JD:$JD,MATCH(AE$4+$B$6,DSS_Calc!$A:$A,0))</f>
        <v>0</v>
      </c>
      <c r="AF34" s="775">
        <f>INDEX(DSS_Calc!$JM:$JM,MATCH(AE$4+$B34,DSS_Calc!$A:$A,0))/INDEX(DSS_Calc!$JM:$JM,MATCH(AE$4+$B$6,DSS_Calc!$A:$A,0))-1</f>
        <v>0</v>
      </c>
      <c r="AG34" s="787">
        <f>ABS(INDEX(DSS_Calc!$KU:$KU,MATCH(AE$4+$B34,DSS_Calc!$A:$A,0)))</f>
        <v>4.04055043496591</v>
      </c>
      <c r="AH34" s="772">
        <f t="shared" si="52"/>
        <v>29</v>
      </c>
      <c r="AI34" s="812">
        <f t="shared" si="60"/>
        <v>100</v>
      </c>
      <c r="AJ34" s="812">
        <f t="shared" si="61"/>
        <v>15</v>
      </c>
      <c r="AK34" s="812">
        <f>INDEX(DSS_Calc!$JM:$JM,MATCH(AE$4+$B34,DSS_Calc!$A:$A,0))</f>
        <v>2418.6117807834512</v>
      </c>
      <c r="AL34" s="772"/>
      <c r="AM34" s="776">
        <f>INDEX(DSS_Calc!$JD:$JD,MATCH(AM$4+$B34,DSS_Calc!$A:$A,0))-INDEX(DSS_Calc!$JD:$JD,MATCH(AM$4+$B$6,DSS_Calc!$A:$A,0))</f>
        <v>0</v>
      </c>
      <c r="AN34" s="775">
        <f>INDEX(DSS_Calc!$JM:$JM,MATCH(AM$4+$B34,DSS_Calc!$A:$A,0))/INDEX(DSS_Calc!$JM:$JM,MATCH(AM$4+$B$6,DSS_Calc!$A:$A,0))-1</f>
        <v>0</v>
      </c>
      <c r="AO34" s="787">
        <f>ABS(INDEX(DSS_Calc!$KU:$KU,MATCH(AM$4+$B34,DSS_Calc!$A:$A,0)))</f>
        <v>3.991523508306198</v>
      </c>
      <c r="AP34" s="772">
        <f t="shared" si="53"/>
        <v>26</v>
      </c>
      <c r="AQ34" s="812">
        <f t="shared" si="62"/>
        <v>100</v>
      </c>
      <c r="AR34" s="812">
        <f t="shared" si="63"/>
        <v>12</v>
      </c>
      <c r="AS34" s="812">
        <f>INDEX(DSS_Calc!$JM:$JM,MATCH(AM$4+$B34,DSS_Calc!$A:$A,0))</f>
        <v>824.34281525265953</v>
      </c>
      <c r="AT34" s="772"/>
      <c r="AU34" s="776">
        <f>INDEX(DSS_Calc!$JD:$JD,MATCH(AU$4+$B34,DSS_Calc!$A:$A,0))-INDEX(DSS_Calc!$JD:$JD,MATCH(AU$4+$B$6,DSS_Calc!$A:$A,0))</f>
        <v>3.4245570307080015</v>
      </c>
      <c r="AV34" s="775">
        <f>INDEX(DSS_Calc!$JM:$JM,MATCH(AU$4+$B34,DSS_Calc!$A:$A,0))/INDEX(DSS_Calc!$JM:$JM,MATCH(AU$4+$B$6,DSS_Calc!$A:$A,0))-1</f>
        <v>0</v>
      </c>
    </row>
    <row r="35" spans="2:48">
      <c r="B35" s="836">
        <f t="shared" si="64"/>
        <v>21</v>
      </c>
      <c r="C35" s="777"/>
      <c r="D35" s="778" t="str">
        <f>LEFT(INDEX(DSS_Calc!$D:$D,MATCH(G$4+$B35,DSS_Calc!$A:$A,0)),LEN(INDEX(DSS_Calc!$D:$D,MATCH(G$4+$B35,DSS_Calc!$A:$A,0)))-2)</f>
        <v>0/0/0.9/3.9</v>
      </c>
      <c r="E35" s="777" t="str">
        <f>"MY"&amp;RIGHT(Input!$H$9,2)&amp;" "&amp;Input!$H$3</f>
        <v>MY20 Soul</v>
      </c>
      <c r="F35" s="772"/>
      <c r="G35" s="779">
        <f>INDEX(DSS_Calc!$JD:$JD,MATCH(G$4+$B35,DSS_Calc!$A:$A,0))-INDEX(DSS_Calc!$JD:$JD,MATCH(G$4+$B$6,DSS_Calc!$A:$A,0))</f>
        <v>90.06792707435261</v>
      </c>
      <c r="H35" s="780">
        <f>INDEX(DSS_Calc!$JM:$JM,MATCH(G$4+$B35,DSS_Calc!$A:$A,0))/INDEX(DSS_Calc!$JM:$JM,MATCH(G$4+$B$6,DSS_Calc!$A:$A,0))-1</f>
        <v>1.766982201178835E-2</v>
      </c>
      <c r="I35" s="788">
        <f>ABS(INDEX(DSS_Calc!$KU:$KU,MATCH(G$4+$B35,DSS_Calc!$A:$A,0)))</f>
        <v>6.2260443239542589</v>
      </c>
      <c r="J35" s="777">
        <f t="shared" si="49"/>
        <v>29</v>
      </c>
      <c r="K35" s="813">
        <f t="shared" si="54"/>
        <v>100</v>
      </c>
      <c r="L35" s="813">
        <f t="shared" si="55"/>
        <v>100</v>
      </c>
      <c r="M35" s="813">
        <f>INDEX(DSS_Calc!$JM:$JM,MATCH(G$4+$B35,DSS_Calc!$A:$A,0))</f>
        <v>455.74886609374829</v>
      </c>
      <c r="N35" s="772"/>
      <c r="O35" s="779">
        <f>INDEX(DSS_Calc!$JD:$JD,MATCH(O$4+$B35,DSS_Calc!$A:$A,0))-INDEX(DSS_Calc!$JD:$JD,MATCH(O$4+$B$6,DSS_Calc!$A:$A,0))</f>
        <v>153.43072512411936</v>
      </c>
      <c r="P35" s="780">
        <f>INDEX(DSS_Calc!$JM:$JM,MATCH(O$4+$B35,DSS_Calc!$A:$A,0))/INDEX(DSS_Calc!$JM:$JM,MATCH(O$4+$B$6,DSS_Calc!$A:$A,0))-1</f>
        <v>2.3315435442037957E-2</v>
      </c>
      <c r="Q35" s="788">
        <f>ABS(INDEX(DSS_Calc!$KU:$KU,MATCH(O$4+$B35,DSS_Calc!$A:$A,0)))</f>
        <v>4.5008316995018323</v>
      </c>
      <c r="R35" s="777">
        <f t="shared" si="50"/>
        <v>28</v>
      </c>
      <c r="S35" s="813">
        <f t="shared" si="56"/>
        <v>100</v>
      </c>
      <c r="T35" s="813">
        <f t="shared" si="57"/>
        <v>14</v>
      </c>
      <c r="U35" s="813">
        <f>INDEX(DSS_Calc!$JM:$JM,MATCH(O$4+$B35,DSS_Calc!$A:$A,0))</f>
        <v>1279.5196916472751</v>
      </c>
      <c r="V35" s="772"/>
      <c r="W35" s="779">
        <f>INDEX(DSS_Calc!$JD:$JD,MATCH(W$4+$B35,DSS_Calc!$A:$A,0))-INDEX(DSS_Calc!$JD:$JD,MATCH(W$4+$B$6,DSS_Calc!$A:$A,0))</f>
        <v>190.75927919078367</v>
      </c>
      <c r="X35" s="780">
        <f>INDEX(DSS_Calc!$JM:$JM,MATCH(W$4+$B35,DSS_Calc!$A:$A,0))/INDEX(DSS_Calc!$JM:$JM,MATCH(W$4+$B$6,DSS_Calc!$A:$A,0))-1</f>
        <v>2.5936008201232097E-2</v>
      </c>
      <c r="Y35" s="788">
        <f>ABS(INDEX(DSS_Calc!$KU:$KU,MATCH(W$4+$B35,DSS_Calc!$A:$A,0)))</f>
        <v>4.6575976740236804</v>
      </c>
      <c r="Z35" s="777">
        <f t="shared" si="51"/>
        <v>28</v>
      </c>
      <c r="AA35" s="813">
        <f t="shared" si="58"/>
        <v>100</v>
      </c>
      <c r="AB35" s="813">
        <f t="shared" si="59"/>
        <v>15</v>
      </c>
      <c r="AC35" s="813">
        <f>INDEX(DSS_Calc!$JM:$JM,MATCH(W$4+$B35,DSS_Calc!$A:$A,0))</f>
        <v>1702.1626375858229</v>
      </c>
      <c r="AD35" s="772"/>
      <c r="AE35" s="779">
        <f>INDEX(DSS_Calc!$JD:$JD,MATCH(AE$4+$B35,DSS_Calc!$A:$A,0))-INDEX(DSS_Calc!$JD:$JD,MATCH(AE$4+$B$6,DSS_Calc!$A:$A,0))</f>
        <v>199.3810591214642</v>
      </c>
      <c r="AF35" s="780">
        <f>INDEX(DSS_Calc!$JM:$JM,MATCH(AE$4+$B35,DSS_Calc!$A:$A,0))/INDEX(DSS_Calc!$JM:$JM,MATCH(AE$4+$B$6,DSS_Calc!$A:$A,0))-1</f>
        <v>2.6479937096872241E-2</v>
      </c>
      <c r="AG35" s="788">
        <f>ABS(INDEX(DSS_Calc!$KU:$KU,MATCH(AE$4+$B35,DSS_Calc!$A:$A,0)))</f>
        <v>4.0421194904530351</v>
      </c>
      <c r="AH35" s="777">
        <f t="shared" si="52"/>
        <v>27</v>
      </c>
      <c r="AI35" s="813">
        <f t="shared" si="60"/>
        <v>100</v>
      </c>
      <c r="AJ35" s="813">
        <f t="shared" si="61"/>
        <v>13</v>
      </c>
      <c r="AK35" s="813">
        <f>INDEX(DSS_Calc!$JM:$JM,MATCH(AE$4+$B35,DSS_Calc!$A:$A,0))</f>
        <v>2482.6564686003512</v>
      </c>
      <c r="AL35" s="772"/>
      <c r="AM35" s="779">
        <f>INDEX(DSS_Calc!$JD:$JD,MATCH(AM$4+$B35,DSS_Calc!$A:$A,0))-INDEX(DSS_Calc!$JD:$JD,MATCH(AM$4+$B$6,DSS_Calc!$A:$A,0))</f>
        <v>186.8043658098486</v>
      </c>
      <c r="AN35" s="780">
        <f>INDEX(DSS_Calc!$JM:$JM,MATCH(AM$4+$B35,DSS_Calc!$A:$A,0))/INDEX(DSS_Calc!$JM:$JM,MATCH(AM$4+$B$6,DSS_Calc!$A:$A,0))-1</f>
        <v>2.6790508196870899E-2</v>
      </c>
      <c r="AO35" s="788">
        <f>ABS(INDEX(DSS_Calc!$KU:$KU,MATCH(AM$4+$B35,DSS_Calc!$A:$A,0)))</f>
        <v>3.9891388508870067</v>
      </c>
      <c r="AP35" s="777">
        <f t="shared" si="53"/>
        <v>30</v>
      </c>
      <c r="AQ35" s="813">
        <f t="shared" si="62"/>
        <v>100</v>
      </c>
      <c r="AR35" s="813">
        <f t="shared" si="63"/>
        <v>16</v>
      </c>
      <c r="AS35" s="813">
        <f>INDEX(DSS_Calc!$JM:$JM,MATCH(AM$4+$B35,DSS_Calc!$A:$A,0))</f>
        <v>846.42737820171749</v>
      </c>
      <c r="AT35" s="772"/>
      <c r="AU35" s="779">
        <f>INDEX(DSS_Calc!$JD:$JD,MATCH(AU$4+$B35,DSS_Calc!$A:$A,0))-INDEX(DSS_Calc!$JD:$JD,MATCH(AU$4+$B$6,DSS_Calc!$A:$A,0))</f>
        <v>179.51076310629333</v>
      </c>
      <c r="AV35" s="780">
        <f>INDEX(DSS_Calc!$JM:$JM,MATCH(AU$4+$B35,DSS_Calc!$A:$A,0))/INDEX(DSS_Calc!$JM:$JM,MATCH(AU$4+$B$6,DSS_Calc!$A:$A,0))-1</f>
        <v>2.5184735480840548E-2</v>
      </c>
    </row>
    <row r="36" spans="2:48">
      <c r="B36" s="836">
        <f t="shared" si="64"/>
        <v>22</v>
      </c>
      <c r="C36" s="772"/>
      <c r="D36" s="774" t="str">
        <f>LEFT(INDEX(DSS_Calc!$D:$D,MATCH(G$4+$B36,DSS_Calc!$A:$A,0)),LEN(INDEX(DSS_Calc!$D:$D,MATCH(G$4+$B36,DSS_Calc!$A:$A,0)))-2)</f>
        <v>0/1.9/2.9/3.9</v>
      </c>
      <c r="E36" s="772" t="str">
        <f>"MY"&amp;RIGHT(Input!$H$9,2)&amp;" "&amp;Input!$H$3</f>
        <v>MY20 Soul</v>
      </c>
      <c r="F36" s="772"/>
      <c r="G36" s="776">
        <f>INDEX(DSS_Calc!$JD:$JD,MATCH(G$4+$B36,DSS_Calc!$A:$A,0))-INDEX(DSS_Calc!$JD:$JD,MATCH(G$4+$B$6,DSS_Calc!$A:$A,0))</f>
        <v>-52.274407415859059</v>
      </c>
      <c r="H36" s="775">
        <f>INDEX(DSS_Calc!$JM:$JM,MATCH(G$4+$B36,DSS_Calc!$A:$A,0))/INDEX(DSS_Calc!$JM:$JM,MATCH(G$4+$B$6,DSS_Calc!$A:$A,0))-1</f>
        <v>-1.1824670969402318E-2</v>
      </c>
      <c r="I36" s="787">
        <f>ABS(INDEX(DSS_Calc!$KU:$KU,MATCH(G$4+$B36,DSS_Calc!$A:$A,0)))</f>
        <v>6.1465421054245031</v>
      </c>
      <c r="J36" s="772">
        <f t="shared" si="49"/>
        <v>39</v>
      </c>
      <c r="K36" s="812">
        <f t="shared" si="54"/>
        <v>100</v>
      </c>
      <c r="L36" s="812">
        <f t="shared" si="55"/>
        <v>21</v>
      </c>
      <c r="M36" s="812">
        <f>INDEX(DSS_Calc!$JM:$JM,MATCH(G$4+$B36,DSS_Calc!$A:$A,0))</f>
        <v>442.54017950263506</v>
      </c>
      <c r="N36" s="772"/>
      <c r="O36" s="776">
        <f>INDEX(DSS_Calc!$JD:$JD,MATCH(O$4+$B36,DSS_Calc!$A:$A,0))-INDEX(DSS_Calc!$JD:$JD,MATCH(O$4+$B$6,DSS_Calc!$A:$A,0))</f>
        <v>-96.619122432576887</v>
      </c>
      <c r="P36" s="775">
        <f>INDEX(DSS_Calc!$JM:$JM,MATCH(O$4+$B36,DSS_Calc!$A:$A,0))/INDEX(DSS_Calc!$JM:$JM,MATCH(O$4+$B$6,DSS_Calc!$A:$A,0))-1</f>
        <v>-1.6049354422308926E-2</v>
      </c>
      <c r="Q36" s="787">
        <f>ABS(INDEX(DSS_Calc!$KU:$KU,MATCH(O$4+$B36,DSS_Calc!$A:$A,0)))</f>
        <v>4.4807707264873944</v>
      </c>
      <c r="R36" s="772">
        <f t="shared" si="50"/>
        <v>35</v>
      </c>
      <c r="S36" s="812">
        <f t="shared" si="56"/>
        <v>100</v>
      </c>
      <c r="T36" s="812">
        <f t="shared" si="57"/>
        <v>20</v>
      </c>
      <c r="U36" s="812">
        <f>INDEX(DSS_Calc!$JM:$JM,MATCH(O$4+$B36,DSS_Calc!$A:$A,0))</f>
        <v>1230.2992635715159</v>
      </c>
      <c r="V36" s="772"/>
      <c r="W36" s="776">
        <f>INDEX(DSS_Calc!$JD:$JD,MATCH(W$4+$B36,DSS_Calc!$A:$A,0))-INDEX(DSS_Calc!$JD:$JD,MATCH(W$4+$B$6,DSS_Calc!$A:$A,0))</f>
        <v>-103.15513482039842</v>
      </c>
      <c r="X36" s="775">
        <f>INDEX(DSS_Calc!$JM:$JM,MATCH(W$4+$B36,DSS_Calc!$A:$A,0))/INDEX(DSS_Calc!$JM:$JM,MATCH(W$4+$B$6,DSS_Calc!$A:$A,0))-1</f>
        <v>-1.8376435980252293E-2</v>
      </c>
      <c r="Y36" s="787">
        <f>ABS(INDEX(DSS_Calc!$KU:$KU,MATCH(W$4+$B36,DSS_Calc!$A:$A,0)))</f>
        <v>4.6327593205374979</v>
      </c>
      <c r="Z36" s="772">
        <f t="shared" si="51"/>
        <v>37</v>
      </c>
      <c r="AA36" s="812">
        <f t="shared" si="58"/>
        <v>100</v>
      </c>
      <c r="AB36" s="812">
        <f t="shared" si="59"/>
        <v>20</v>
      </c>
      <c r="AC36" s="812">
        <f>INDEX(DSS_Calc!$JM:$JM,MATCH(W$4+$B36,DSS_Calc!$A:$A,0))</f>
        <v>1628.6424703796094</v>
      </c>
      <c r="AD36" s="772"/>
      <c r="AE36" s="776">
        <f>INDEX(DSS_Calc!$JD:$JD,MATCH(AE$4+$B36,DSS_Calc!$A:$A,0))-INDEX(DSS_Calc!$JD:$JD,MATCH(AE$4+$B$6,DSS_Calc!$A:$A,0))</f>
        <v>-139.22313501889494</v>
      </c>
      <c r="AF36" s="775">
        <f>INDEX(DSS_Calc!$JM:$JM,MATCH(AE$4+$B36,DSS_Calc!$A:$A,0))/INDEX(DSS_Calc!$JM:$JM,MATCH(AE$4+$B$6,DSS_Calc!$A:$A,0))-1</f>
        <v>-1.9701622982702838E-2</v>
      </c>
      <c r="AG36" s="787">
        <f>ABS(INDEX(DSS_Calc!$KU:$KU,MATCH(AE$4+$B36,DSS_Calc!$A:$A,0)))</f>
        <v>4.0244004436588519</v>
      </c>
      <c r="AH36" s="772">
        <f t="shared" si="52"/>
        <v>39</v>
      </c>
      <c r="AI36" s="812">
        <f t="shared" si="60"/>
        <v>100</v>
      </c>
      <c r="AJ36" s="812">
        <f t="shared" si="61"/>
        <v>19</v>
      </c>
      <c r="AK36" s="812">
        <f>INDEX(DSS_Calc!$JM:$JM,MATCH(AE$4+$B36,DSS_Calc!$A:$A,0))</f>
        <v>2370.9612033369322</v>
      </c>
      <c r="AL36" s="772"/>
      <c r="AM36" s="776">
        <f>INDEX(DSS_Calc!$JD:$JD,MATCH(AM$4+$B36,DSS_Calc!$A:$A,0))-INDEX(DSS_Calc!$JD:$JD,MATCH(AM$4+$B$6,DSS_Calc!$A:$A,0))</f>
        <v>-120.26835727177922</v>
      </c>
      <c r="AN36" s="775">
        <f>INDEX(DSS_Calc!$JM:$JM,MATCH(AM$4+$B36,DSS_Calc!$A:$A,0))/INDEX(DSS_Calc!$JM:$JM,MATCH(AM$4+$B$6,DSS_Calc!$A:$A,0))-1</f>
        <v>-1.8733148530884813E-2</v>
      </c>
      <c r="AO36" s="787">
        <f>ABS(INDEX(DSS_Calc!$KU:$KU,MATCH(AM$4+$B36,DSS_Calc!$A:$A,0)))</f>
        <v>3.9705016686824592</v>
      </c>
      <c r="AP36" s="772">
        <f t="shared" si="53"/>
        <v>33</v>
      </c>
      <c r="AQ36" s="812">
        <f t="shared" si="62"/>
        <v>100</v>
      </c>
      <c r="AR36" s="812">
        <f t="shared" si="63"/>
        <v>19</v>
      </c>
      <c r="AS36" s="812">
        <f>INDEX(DSS_Calc!$JM:$JM,MATCH(AM$4+$B36,DSS_Calc!$A:$A,0))</f>
        <v>808.90027885416373</v>
      </c>
      <c r="AT36" s="772"/>
      <c r="AU36" s="776">
        <f>INDEX(DSS_Calc!$JD:$JD,MATCH(AU$4+$B36,DSS_Calc!$A:$A,0))-INDEX(DSS_Calc!$JD:$JD,MATCH(AU$4+$B$6,DSS_Calc!$A:$A,0))</f>
        <v>-113.79857467661259</v>
      </c>
      <c r="AV36" s="775">
        <f>INDEX(DSS_Calc!$JM:$JM,MATCH(AU$4+$B36,DSS_Calc!$A:$A,0))/INDEX(DSS_Calc!$JM:$JM,MATCH(AU$4+$B$6,DSS_Calc!$A:$A,0))-1</f>
        <v>-1.8021200979386864E-2</v>
      </c>
    </row>
    <row r="37" spans="2:48">
      <c r="B37" s="836">
        <f t="shared" si="64"/>
        <v>23</v>
      </c>
      <c r="C37" s="777"/>
      <c r="D37" s="778" t="str">
        <f>LEFT(INDEX(DSS_Calc!$D:$D,MATCH(G$4+$B37,DSS_Calc!$A:$A,0)),LEN(INDEX(DSS_Calc!$D:$D,MATCH(G$4+$B37,DSS_Calc!$A:$A,0)))-2)</f>
        <v>0/0/0.9/3.9</v>
      </c>
      <c r="E37" s="777" t="str">
        <f>"MY"&amp;RIGHT(Input!$H$9,2)&amp;" "&amp;Input!$H$3</f>
        <v>MY20 Soul</v>
      </c>
      <c r="F37" s="772"/>
      <c r="G37" s="779">
        <f>INDEX(DSS_Calc!$JD:$JD,MATCH(G$4+$B37,DSS_Calc!$A:$A,0))-INDEX(DSS_Calc!$JD:$JD,MATCH(G$4+$B$6,DSS_Calc!$A:$A,0))</f>
        <v>90.06792707435261</v>
      </c>
      <c r="H37" s="780">
        <f>INDEX(DSS_Calc!$JM:$JM,MATCH(G$4+$B37,DSS_Calc!$A:$A,0))/INDEX(DSS_Calc!$JM:$JM,MATCH(G$4+$B$6,DSS_Calc!$A:$A,0))-1</f>
        <v>1.766982201178835E-2</v>
      </c>
      <c r="I37" s="788">
        <f>ABS(INDEX(DSS_Calc!$KU:$KU,MATCH(G$4+$B37,DSS_Calc!$A:$A,0)))</f>
        <v>6.2260463239542583</v>
      </c>
      <c r="J37" s="777">
        <f t="shared" si="49"/>
        <v>28</v>
      </c>
      <c r="K37" s="813">
        <f t="shared" si="54"/>
        <v>100</v>
      </c>
      <c r="L37" s="813">
        <f t="shared" si="55"/>
        <v>100</v>
      </c>
      <c r="M37" s="813">
        <f>INDEX(DSS_Calc!$JM:$JM,MATCH(G$4+$B37,DSS_Calc!$A:$A,0))</f>
        <v>455.74886609374829</v>
      </c>
      <c r="N37" s="772"/>
      <c r="O37" s="779">
        <f>INDEX(DSS_Calc!$JD:$JD,MATCH(O$4+$B37,DSS_Calc!$A:$A,0))-INDEX(DSS_Calc!$JD:$JD,MATCH(O$4+$B$6,DSS_Calc!$A:$A,0))</f>
        <v>153.43072512411936</v>
      </c>
      <c r="P37" s="780">
        <f>INDEX(DSS_Calc!$JM:$JM,MATCH(O$4+$B37,DSS_Calc!$A:$A,0))/INDEX(DSS_Calc!$JM:$JM,MATCH(O$4+$B$6,DSS_Calc!$A:$A,0))-1</f>
        <v>2.3315435442037957E-2</v>
      </c>
      <c r="Q37" s="788">
        <f>ABS(INDEX(DSS_Calc!$KU:$KU,MATCH(O$4+$B37,DSS_Calc!$A:$A,0)))</f>
        <v>4.5008336995018317</v>
      </c>
      <c r="R37" s="777">
        <f t="shared" si="50"/>
        <v>27</v>
      </c>
      <c r="S37" s="813">
        <f t="shared" si="56"/>
        <v>100</v>
      </c>
      <c r="T37" s="813">
        <f t="shared" si="57"/>
        <v>13</v>
      </c>
      <c r="U37" s="813">
        <f>INDEX(DSS_Calc!$JM:$JM,MATCH(O$4+$B37,DSS_Calc!$A:$A,0))</f>
        <v>1279.5196916472751</v>
      </c>
      <c r="V37" s="772"/>
      <c r="W37" s="779">
        <f>INDEX(DSS_Calc!$JD:$JD,MATCH(W$4+$B37,DSS_Calc!$A:$A,0))-INDEX(DSS_Calc!$JD:$JD,MATCH(W$4+$B$6,DSS_Calc!$A:$A,0))</f>
        <v>190.75927919078367</v>
      </c>
      <c r="X37" s="780">
        <f>INDEX(DSS_Calc!$JM:$JM,MATCH(W$4+$B37,DSS_Calc!$A:$A,0))/INDEX(DSS_Calc!$JM:$JM,MATCH(W$4+$B$6,DSS_Calc!$A:$A,0))-1</f>
        <v>2.5936008201232097E-2</v>
      </c>
      <c r="Y37" s="788">
        <f>ABS(INDEX(DSS_Calc!$KU:$KU,MATCH(W$4+$B37,DSS_Calc!$A:$A,0)))</f>
        <v>4.6575996740236798</v>
      </c>
      <c r="Z37" s="777">
        <f t="shared" si="51"/>
        <v>27</v>
      </c>
      <c r="AA37" s="813">
        <f t="shared" si="58"/>
        <v>100</v>
      </c>
      <c r="AB37" s="813">
        <f t="shared" si="59"/>
        <v>14</v>
      </c>
      <c r="AC37" s="813">
        <f>INDEX(DSS_Calc!$JM:$JM,MATCH(W$4+$B37,DSS_Calc!$A:$A,0))</f>
        <v>1702.1626375858229</v>
      </c>
      <c r="AD37" s="772"/>
      <c r="AE37" s="779">
        <f>INDEX(DSS_Calc!$JD:$JD,MATCH(AE$4+$B37,DSS_Calc!$A:$A,0))-INDEX(DSS_Calc!$JD:$JD,MATCH(AE$4+$B$6,DSS_Calc!$A:$A,0))</f>
        <v>199.3810591214642</v>
      </c>
      <c r="AF37" s="780">
        <f>INDEX(DSS_Calc!$JM:$JM,MATCH(AE$4+$B37,DSS_Calc!$A:$A,0))/INDEX(DSS_Calc!$JM:$JM,MATCH(AE$4+$B$6,DSS_Calc!$A:$A,0))-1</f>
        <v>2.6479937096872241E-2</v>
      </c>
      <c r="AG37" s="788">
        <f>ABS(INDEX(DSS_Calc!$KU:$KU,MATCH(AE$4+$B37,DSS_Calc!$A:$A,0)))</f>
        <v>4.0421214904530345</v>
      </c>
      <c r="AH37" s="777">
        <f t="shared" si="52"/>
        <v>26</v>
      </c>
      <c r="AI37" s="813">
        <f t="shared" si="60"/>
        <v>100</v>
      </c>
      <c r="AJ37" s="813">
        <f t="shared" si="61"/>
        <v>12</v>
      </c>
      <c r="AK37" s="813">
        <f>INDEX(DSS_Calc!$JM:$JM,MATCH(AE$4+$B37,DSS_Calc!$A:$A,0))</f>
        <v>2482.6564686003512</v>
      </c>
      <c r="AL37" s="772"/>
      <c r="AM37" s="779">
        <f>INDEX(DSS_Calc!$JD:$JD,MATCH(AM$4+$B37,DSS_Calc!$A:$A,0))-INDEX(DSS_Calc!$JD:$JD,MATCH(AM$4+$B$6,DSS_Calc!$A:$A,0))</f>
        <v>186.8043658098486</v>
      </c>
      <c r="AN37" s="780">
        <f>INDEX(DSS_Calc!$JM:$JM,MATCH(AM$4+$B37,DSS_Calc!$A:$A,0))/INDEX(DSS_Calc!$JM:$JM,MATCH(AM$4+$B$6,DSS_Calc!$A:$A,0))-1</f>
        <v>2.6790508196870899E-2</v>
      </c>
      <c r="AO37" s="788">
        <f>ABS(INDEX(DSS_Calc!$KU:$KU,MATCH(AM$4+$B37,DSS_Calc!$A:$A,0)))</f>
        <v>3.989140850887007</v>
      </c>
      <c r="AP37" s="777">
        <f t="shared" si="53"/>
        <v>29</v>
      </c>
      <c r="AQ37" s="813">
        <f t="shared" si="62"/>
        <v>100</v>
      </c>
      <c r="AR37" s="813">
        <f t="shared" si="63"/>
        <v>15</v>
      </c>
      <c r="AS37" s="813">
        <f>INDEX(DSS_Calc!$JM:$JM,MATCH(AM$4+$B37,DSS_Calc!$A:$A,0))</f>
        <v>846.42737820171749</v>
      </c>
      <c r="AT37" s="772"/>
      <c r="AU37" s="779">
        <f>INDEX(DSS_Calc!$JD:$JD,MATCH(AU$4+$B37,DSS_Calc!$A:$A,0))-INDEX(DSS_Calc!$JD:$JD,MATCH(AU$4+$B$6,DSS_Calc!$A:$A,0))</f>
        <v>179.51076310629333</v>
      </c>
      <c r="AV37" s="780">
        <f>INDEX(DSS_Calc!$JM:$JM,MATCH(AU$4+$B37,DSS_Calc!$A:$A,0))/INDEX(DSS_Calc!$JM:$JM,MATCH(AU$4+$B$6,DSS_Calc!$A:$A,0))-1</f>
        <v>2.5184735480840548E-2</v>
      </c>
    </row>
    <row r="38" spans="2:48">
      <c r="B38" s="836">
        <f t="shared" si="64"/>
        <v>24</v>
      </c>
      <c r="C38" s="772"/>
      <c r="D38" s="774" t="str">
        <f>LEFT(INDEX(DSS_Calc!$D:$D,MATCH(G$4+$B38,DSS_Calc!$A:$A,0)),LEN(INDEX(DSS_Calc!$D:$D,MATCH(G$4+$B38,DSS_Calc!$A:$A,0)))-2)</f>
        <v>0/0/0/3.9</v>
      </c>
      <c r="E38" s="772" t="str">
        <f>"MY"&amp;RIGHT(Input!$H$9,2)&amp;" "&amp;Input!$H$3</f>
        <v>MY20 Soul</v>
      </c>
      <c r="F38" s="772"/>
      <c r="G38" s="776">
        <f>INDEX(DSS_Calc!$JD:$JD,MATCH(G$4+$B38,DSS_Calc!$A:$A,0))-INDEX(DSS_Calc!$JD:$JD,MATCH(G$4+$B$6,DSS_Calc!$A:$A,0))</f>
        <v>208.37719095762986</v>
      </c>
      <c r="H38" s="775">
        <f>INDEX(DSS_Calc!$JM:$JM,MATCH(G$4+$B38,DSS_Calc!$A:$A,0))/INDEX(DSS_Calc!$JM:$JM,MATCH(G$4+$B$6,DSS_Calc!$A:$A,0))-1</f>
        <v>3.8459586138666069E-2</v>
      </c>
      <c r="I38" s="787">
        <f>ABS(INDEX(DSS_Calc!$KU:$KU,MATCH(G$4+$B38,DSS_Calc!$A:$A,0)))</f>
        <v>6.2405704051151902</v>
      </c>
      <c r="J38" s="772">
        <f t="shared" si="49"/>
        <v>26</v>
      </c>
      <c r="K38" s="812">
        <f t="shared" si="54"/>
        <v>9</v>
      </c>
      <c r="L38" s="812">
        <f t="shared" si="55"/>
        <v>100</v>
      </c>
      <c r="M38" s="812">
        <f>INDEX(DSS_Calc!$JM:$JM,MATCH(G$4+$B38,DSS_Calc!$A:$A,0))</f>
        <v>465.0592644393044</v>
      </c>
      <c r="N38" s="772"/>
      <c r="O38" s="776">
        <f>INDEX(DSS_Calc!$JD:$JD,MATCH(O$4+$B38,DSS_Calc!$A:$A,0))-INDEX(DSS_Calc!$JD:$JD,MATCH(O$4+$B$6,DSS_Calc!$A:$A,0))</f>
        <v>343.56506967286714</v>
      </c>
      <c r="P38" s="775">
        <f>INDEX(DSS_Calc!$JM:$JM,MATCH(O$4+$B38,DSS_Calc!$A:$A,0))/INDEX(DSS_Calc!$JM:$JM,MATCH(O$4+$B$6,DSS_Calc!$A:$A,0))-1</f>
        <v>5.0103656817488407E-2</v>
      </c>
      <c r="Q38" s="787">
        <f>ABS(INDEX(DSS_Calc!$KU:$KU,MATCH(O$4+$B38,DSS_Calc!$A:$A,0)))</f>
        <v>4.4759298444435265</v>
      </c>
      <c r="R38" s="772">
        <f t="shared" si="50"/>
        <v>36</v>
      </c>
      <c r="S38" s="812">
        <f t="shared" si="56"/>
        <v>13</v>
      </c>
      <c r="T38" s="812">
        <f t="shared" si="57"/>
        <v>100</v>
      </c>
      <c r="U38" s="812">
        <f>INDEX(DSS_Calc!$JM:$JM,MATCH(O$4+$B38,DSS_Calc!$A:$A,0))</f>
        <v>1313.0147954705542</v>
      </c>
      <c r="V38" s="772"/>
      <c r="W38" s="776">
        <f>INDEX(DSS_Calc!$JD:$JD,MATCH(W$4+$B38,DSS_Calc!$A:$A,0))-INDEX(DSS_Calc!$JD:$JD,MATCH(W$4+$B$6,DSS_Calc!$A:$A,0))</f>
        <v>402.83995822376573</v>
      </c>
      <c r="X38" s="775">
        <f>INDEX(DSS_Calc!$JM:$JM,MATCH(W$4+$B38,DSS_Calc!$A:$A,0))/INDEX(DSS_Calc!$JM:$JM,MATCH(W$4+$B$6,DSS_Calc!$A:$A,0))-1</f>
        <v>5.506390164941366E-2</v>
      </c>
      <c r="Y38" s="787">
        <f>ABS(INDEX(DSS_Calc!$KU:$KU,MATCH(W$4+$B38,DSS_Calc!$A:$A,0)))</f>
        <v>4.642268676894906</v>
      </c>
      <c r="Z38" s="772">
        <f t="shared" si="51"/>
        <v>34</v>
      </c>
      <c r="AA38" s="812">
        <f t="shared" si="58"/>
        <v>15</v>
      </c>
      <c r="AB38" s="812">
        <f t="shared" si="59"/>
        <v>100</v>
      </c>
      <c r="AC38" s="812">
        <f>INDEX(DSS_Calc!$JM:$JM,MATCH(W$4+$B38,DSS_Calc!$A:$A,0))</f>
        <v>1750.4896399940967</v>
      </c>
      <c r="AD38" s="772"/>
      <c r="AE38" s="776">
        <f>INDEX(DSS_Calc!$JD:$JD,MATCH(AE$4+$B38,DSS_Calc!$A:$A,0))-INDEX(DSS_Calc!$JD:$JD,MATCH(AE$4+$B$6,DSS_Calc!$A:$A,0))</f>
        <v>429.06947052836131</v>
      </c>
      <c r="AF38" s="775">
        <f>INDEX(DSS_Calc!$JM:$JM,MATCH(AE$4+$B38,DSS_Calc!$A:$A,0))/INDEX(DSS_Calc!$JM:$JM,MATCH(AE$4+$B$6,DSS_Calc!$A:$A,0))-1</f>
        <v>5.5232134297615421E-2</v>
      </c>
      <c r="AG38" s="787">
        <f>ABS(INDEX(DSS_Calc!$KU:$KU,MATCH(AE$4+$B38,DSS_Calc!$A:$A,0)))</f>
        <v>4.0261164109538568</v>
      </c>
      <c r="AH38" s="772">
        <f t="shared" si="52"/>
        <v>37</v>
      </c>
      <c r="AI38" s="812">
        <f t="shared" si="60"/>
        <v>19</v>
      </c>
      <c r="AJ38" s="812">
        <f t="shared" si="61"/>
        <v>100</v>
      </c>
      <c r="AK38" s="812">
        <f>INDEX(DSS_Calc!$JM:$JM,MATCH(AE$4+$B38,DSS_Calc!$A:$A,0))</f>
        <v>2552.1968714734776</v>
      </c>
      <c r="AL38" s="772"/>
      <c r="AM38" s="776">
        <f>INDEX(DSS_Calc!$JD:$JD,MATCH(AM$4+$B38,DSS_Calc!$A:$A,0))-INDEX(DSS_Calc!$JD:$JD,MATCH(AM$4+$B$6,DSS_Calc!$A:$A,0))</f>
        <v>415.4597611827794</v>
      </c>
      <c r="AN38" s="775">
        <f>INDEX(DSS_Calc!$JM:$JM,MATCH(AM$4+$B38,DSS_Calc!$A:$A,0))/INDEX(DSS_Calc!$JM:$JM,MATCH(AM$4+$B$6,DSS_Calc!$A:$A,0))-1</f>
        <v>5.7341439998089827E-2</v>
      </c>
      <c r="AO38" s="787">
        <f>ABS(INDEX(DSS_Calc!$KU:$KU,MATCH(AM$4+$B38,DSS_Calc!$A:$A,0)))</f>
        <v>3.9601953771518548</v>
      </c>
      <c r="AP38" s="772">
        <f t="shared" si="53"/>
        <v>37</v>
      </c>
      <c r="AQ38" s="812">
        <f t="shared" si="62"/>
        <v>18</v>
      </c>
      <c r="AR38" s="812">
        <f t="shared" si="63"/>
        <v>100</v>
      </c>
      <c r="AS38" s="812">
        <f>INDEX(DSS_Calc!$JM:$JM,MATCH(AM$4+$B38,DSS_Calc!$A:$A,0))</f>
        <v>871.61181933132627</v>
      </c>
      <c r="AT38" s="772"/>
      <c r="AU38" s="776">
        <f>INDEX(DSS_Calc!$JD:$JD,MATCH(AU$4+$B38,DSS_Calc!$A:$A,0))-INDEX(DSS_Calc!$JD:$JD,MATCH(AU$4+$B$6,DSS_Calc!$A:$A,0))</f>
        <v>389.5929024698612</v>
      </c>
      <c r="AV38" s="775">
        <f>INDEX(DSS_Calc!$JM:$JM,MATCH(AU$4+$B38,DSS_Calc!$A:$A,0))/INDEX(DSS_Calc!$JM:$JM,MATCH(AU$4+$B$6,DSS_Calc!$A:$A,0))-1</f>
        <v>5.3343708830443815E-2</v>
      </c>
    </row>
    <row r="39" spans="2:48">
      <c r="B39" s="836">
        <f t="shared" si="64"/>
        <v>25</v>
      </c>
      <c r="C39" s="777"/>
      <c r="D39" s="778" t="str">
        <f>LEFT(INDEX(DSS_Calc!$D:$D,MATCH(G$4+$B39,DSS_Calc!$A:$A,0)),LEN(INDEX(DSS_Calc!$D:$D,MATCH(G$4+$B39,DSS_Calc!$A:$A,0)))-2)</f>
        <v>0.9/1.9/2.9/3.9</v>
      </c>
      <c r="E39" s="777" t="str">
        <f>"MY"&amp;RIGHT(Input!$H$9,2)&amp;" "&amp;Input!$H$3</f>
        <v>MY20 Soul</v>
      </c>
      <c r="F39" s="772"/>
      <c r="G39" s="779">
        <f>INDEX(DSS_Calc!$JD:$JD,MATCH(G$4+$B39,DSS_Calc!$A:$A,0))-INDEX(DSS_Calc!$JD:$JD,MATCH(G$4+$B$6,DSS_Calc!$A:$A,0))</f>
        <v>-109.22645221329958</v>
      </c>
      <c r="H39" s="780">
        <f>INDEX(DSS_Calc!$JM:$JM,MATCH(G$4+$B39,DSS_Calc!$A:$A,0))/INDEX(DSS_Calc!$JM:$JM,MATCH(G$4+$B$6,DSS_Calc!$A:$A,0))-1</f>
        <v>-2.4252163023758544E-2</v>
      </c>
      <c r="I39" s="788">
        <f>ABS(INDEX(DSS_Calc!$KU:$KU,MATCH(G$4+$B39,DSS_Calc!$A:$A,0)))</f>
        <v>6.1037932208519967</v>
      </c>
      <c r="J39" s="777">
        <f t="shared" si="49"/>
        <v>41</v>
      </c>
      <c r="K39" s="813">
        <f t="shared" si="54"/>
        <v>100</v>
      </c>
      <c r="L39" s="813">
        <f t="shared" si="55"/>
        <v>23</v>
      </c>
      <c r="M39" s="813">
        <f>INDEX(DSS_Calc!$JM:$JM,MATCH(G$4+$B39,DSS_Calc!$A:$A,0))</f>
        <v>436.9747050337495</v>
      </c>
      <c r="N39" s="772"/>
      <c r="O39" s="779">
        <f>INDEX(DSS_Calc!$JD:$JD,MATCH(O$4+$B39,DSS_Calc!$A:$A,0))-INDEX(DSS_Calc!$JD:$JD,MATCH(O$4+$B$6,DSS_Calc!$A:$A,0))</f>
        <v>-181.21070562731347</v>
      </c>
      <c r="P39" s="780">
        <f>INDEX(DSS_Calc!$JM:$JM,MATCH(O$4+$B39,DSS_Calc!$A:$A,0))/INDEX(DSS_Calc!$JM:$JM,MATCH(O$4+$B$6,DSS_Calc!$A:$A,0))-1</f>
        <v>-2.9968076667932664E-2</v>
      </c>
      <c r="Q39" s="788">
        <f>ABS(INDEX(DSS_Calc!$KU:$KU,MATCH(O$4+$B39,DSS_Calc!$A:$A,0)))</f>
        <v>4.4637445377003111</v>
      </c>
      <c r="R39" s="777">
        <f t="shared" si="50"/>
        <v>39</v>
      </c>
      <c r="S39" s="813">
        <f t="shared" si="56"/>
        <v>100</v>
      </c>
      <c r="T39" s="813">
        <f t="shared" si="57"/>
        <v>21</v>
      </c>
      <c r="U39" s="813">
        <f>INDEX(DSS_Calc!$JM:$JM,MATCH(O$4+$B39,DSS_Calc!$A:$A,0))</f>
        <v>1212.8957547617895</v>
      </c>
      <c r="V39" s="772"/>
      <c r="W39" s="779">
        <f>INDEX(DSS_Calc!$JD:$JD,MATCH(W$4+$B39,DSS_Calc!$A:$A,0))-INDEX(DSS_Calc!$JD:$JD,MATCH(W$4+$B$6,DSS_Calc!$A:$A,0))</f>
        <v>-188.75265092059271</v>
      </c>
      <c r="X39" s="780">
        <f>INDEX(DSS_Calc!$JM:$JM,MATCH(W$4+$B39,DSS_Calc!$A:$A,0))/INDEX(DSS_Calc!$JM:$JM,MATCH(W$4+$B$6,DSS_Calc!$A:$A,0))-1</f>
        <v>-3.1873889093659957E-2</v>
      </c>
      <c r="Y39" s="788">
        <f>ABS(INDEX(DSS_Calc!$KU:$KU,MATCH(W$4+$B39,DSS_Calc!$A:$A,0)))</f>
        <v>4.6165867721831386</v>
      </c>
      <c r="Z39" s="777">
        <f t="shared" si="51"/>
        <v>40</v>
      </c>
      <c r="AA39" s="813">
        <f t="shared" si="58"/>
        <v>100</v>
      </c>
      <c r="AB39" s="813">
        <f t="shared" si="59"/>
        <v>23</v>
      </c>
      <c r="AC39" s="813">
        <f>INDEX(DSS_Calc!$JM:$JM,MATCH(W$4+$B39,DSS_Calc!$A:$A,0))</f>
        <v>1606.2484222045282</v>
      </c>
      <c r="AD39" s="772"/>
      <c r="AE39" s="779">
        <f>INDEX(DSS_Calc!$JD:$JD,MATCH(AE$4+$B39,DSS_Calc!$A:$A,0))-INDEX(DSS_Calc!$JD:$JD,MATCH(AE$4+$B$6,DSS_Calc!$A:$A,0))</f>
        <v>-216.82208079045586</v>
      </c>
      <c r="AF39" s="780">
        <f>INDEX(DSS_Calc!$JM:$JM,MATCH(AE$4+$B39,DSS_Calc!$A:$A,0))/INDEX(DSS_Calc!$JM:$JM,MATCH(AE$4+$B$6,DSS_Calc!$A:$A,0))-1</f>
        <v>-3.0798552198962548E-2</v>
      </c>
      <c r="AG39" s="788">
        <f>ABS(INDEX(DSS_Calc!$KU:$KU,MATCH(AE$4+$B39,DSS_Calc!$A:$A,0)))</f>
        <v>4.0131188480039546</v>
      </c>
      <c r="AH39" s="777">
        <f t="shared" si="52"/>
        <v>42</v>
      </c>
      <c r="AI39" s="813">
        <f t="shared" si="60"/>
        <v>100</v>
      </c>
      <c r="AJ39" s="813">
        <f t="shared" si="61"/>
        <v>22</v>
      </c>
      <c r="AK39" s="813">
        <f>INDEX(DSS_Calc!$JM:$JM,MATCH(AE$4+$B39,DSS_Calc!$A:$A,0))</f>
        <v>2344.1220396039662</v>
      </c>
      <c r="AL39" s="772"/>
      <c r="AM39" s="779">
        <f>INDEX(DSS_Calc!$JD:$JD,MATCH(AM$4+$B39,DSS_Calc!$A:$A,0))-INDEX(DSS_Calc!$JD:$JD,MATCH(AM$4+$B$6,DSS_Calc!$A:$A,0))</f>
        <v>-215.33782479588649</v>
      </c>
      <c r="AN39" s="780">
        <f>INDEX(DSS_Calc!$JM:$JM,MATCH(AM$4+$B39,DSS_Calc!$A:$A,0))/INDEX(DSS_Calc!$JM:$JM,MATCH(AM$4+$B$6,DSS_Calc!$A:$A,0))-1</f>
        <v>-3.3457769216567401E-2</v>
      </c>
      <c r="AO39" s="788">
        <f>ABS(INDEX(DSS_Calc!$KU:$KU,MATCH(AM$4+$B39,DSS_Calc!$A:$A,0)))</f>
        <v>3.9531403696176244</v>
      </c>
      <c r="AP39" s="777">
        <f t="shared" si="53"/>
        <v>40</v>
      </c>
      <c r="AQ39" s="813">
        <f t="shared" si="62"/>
        <v>100</v>
      </c>
      <c r="AR39" s="813">
        <f t="shared" si="63"/>
        <v>21</v>
      </c>
      <c r="AS39" s="813">
        <f>INDEX(DSS_Calc!$JM:$JM,MATCH(AM$4+$B39,DSS_Calc!$A:$A,0))</f>
        <v>796.76214358460061</v>
      </c>
      <c r="AT39" s="772"/>
      <c r="AU39" s="779">
        <f>INDEX(DSS_Calc!$JD:$JD,MATCH(AU$4+$B39,DSS_Calc!$A:$A,0))-INDEX(DSS_Calc!$JD:$JD,MATCH(AU$4+$B$6,DSS_Calc!$A:$A,0))</f>
        <v>-195.22847201997865</v>
      </c>
      <c r="AV39" s="780">
        <f>INDEX(DSS_Calc!$JM:$JM,MATCH(AU$4+$B39,DSS_Calc!$A:$A,0))/INDEX(DSS_Calc!$JM:$JM,MATCH(AU$4+$B$6,DSS_Calc!$A:$A,0))-1</f>
        <v>-3.0799480319755435E-2</v>
      </c>
    </row>
    <row r="40" spans="2:48">
      <c r="B40" s="836">
        <f t="shared" ref="B40:B57" si="65">B39+1</f>
        <v>26</v>
      </c>
      <c r="C40" s="772"/>
      <c r="D40" s="774" t="str">
        <f>LEFT(INDEX(DSS_Calc!$D:$D,MATCH(G$4+$B40,DSS_Calc!$A:$A,0)),LEN(INDEX(DSS_Calc!$D:$D,MATCH(G$4+$B40,DSS_Calc!$A:$A,0)))-2)</f>
        <v>1.9/2.9/3.9/3.9</v>
      </c>
      <c r="E40" s="772" t="str">
        <f>"MY"&amp;RIGHT(Input!$H$9,2)&amp;" "&amp;Input!$H$3</f>
        <v>MY20 Soul</v>
      </c>
      <c r="F40" s="772"/>
      <c r="G40" s="776">
        <f>INDEX(DSS_Calc!$JD:$JD,MATCH(G$4+$B40,DSS_Calc!$A:$A,0))-INDEX(DSS_Calc!$JD:$JD,MATCH(G$4+$B$6,DSS_Calc!$A:$A,0))</f>
        <v>-193.49495761169783</v>
      </c>
      <c r="H40" s="775">
        <f>INDEX(DSS_Calc!$JM:$JM,MATCH(G$4+$B40,DSS_Calc!$A:$A,0))/INDEX(DSS_Calc!$JM:$JM,MATCH(G$4+$B$6,DSS_Calc!$A:$A,0))-1</f>
        <v>-4.6805036635475417E-2</v>
      </c>
      <c r="I40" s="787">
        <f>ABS(INDEX(DSS_Calc!$KU:$KU,MATCH(G$4+$B40,DSS_Calc!$A:$A,0)))</f>
        <v>5.9780394502529184</v>
      </c>
      <c r="J40" s="772">
        <f t="shared" si="49"/>
        <v>47</v>
      </c>
      <c r="K40" s="812">
        <f t="shared" si="54"/>
        <v>100</v>
      </c>
      <c r="L40" s="812">
        <f t="shared" si="55"/>
        <v>24</v>
      </c>
      <c r="M40" s="812">
        <f>INDEX(DSS_Calc!$JM:$JM,MATCH(G$4+$B40,DSS_Calc!$A:$A,0))</f>
        <v>426.87472333695854</v>
      </c>
      <c r="N40" s="772"/>
      <c r="O40" s="776">
        <f>INDEX(DSS_Calc!$JD:$JD,MATCH(O$4+$B40,DSS_Calc!$A:$A,0))-INDEX(DSS_Calc!$JD:$JD,MATCH(O$4+$B$6,DSS_Calc!$A:$A,0))</f>
        <v>-329.55713485267825</v>
      </c>
      <c r="P40" s="775">
        <f>INDEX(DSS_Calc!$JM:$JM,MATCH(O$4+$B40,DSS_Calc!$A:$A,0))/INDEX(DSS_Calc!$JM:$JM,MATCH(O$4+$B$6,DSS_Calc!$A:$A,0))-1</f>
        <v>-5.7540848455148397E-2</v>
      </c>
      <c r="Q40" s="787">
        <f>ABS(INDEX(DSS_Calc!$KU:$KU,MATCH(O$4+$B40,DSS_Calc!$A:$A,0)))</f>
        <v>4.3783677092042286</v>
      </c>
      <c r="R40" s="772">
        <f t="shared" si="50"/>
        <v>48</v>
      </c>
      <c r="S40" s="812">
        <f t="shared" si="56"/>
        <v>100</v>
      </c>
      <c r="T40" s="812">
        <f t="shared" si="57"/>
        <v>24</v>
      </c>
      <c r="U40" s="812">
        <f>INDEX(DSS_Calc!$JM:$JM,MATCH(O$4+$B40,DSS_Calc!$A:$A,0))</f>
        <v>1178.4196751160259</v>
      </c>
      <c r="V40" s="772"/>
      <c r="W40" s="776">
        <f>INDEX(DSS_Calc!$JD:$JD,MATCH(W$4+$B40,DSS_Calc!$A:$A,0))-INDEX(DSS_Calc!$JD:$JD,MATCH(W$4+$B$6,DSS_Calc!$A:$A,0))</f>
        <v>-354.51574166310911</v>
      </c>
      <c r="X40" s="775">
        <f>INDEX(DSS_Calc!$JM:$JM,MATCH(W$4+$B40,DSS_Calc!$A:$A,0))/INDEX(DSS_Calc!$JM:$JM,MATCH(W$4+$B$6,DSS_Calc!$A:$A,0))-1</f>
        <v>-6.0615308103268539E-2</v>
      </c>
      <c r="Y40" s="787">
        <f>ABS(INDEX(DSS_Calc!$KU:$KU,MATCH(W$4+$B40,DSS_Calc!$A:$A,0)))</f>
        <v>4.5449437945561852</v>
      </c>
      <c r="Z40" s="772">
        <f t="shared" si="51"/>
        <v>48</v>
      </c>
      <c r="AA40" s="812">
        <f t="shared" si="58"/>
        <v>100</v>
      </c>
      <c r="AB40" s="812">
        <f t="shared" si="59"/>
        <v>25</v>
      </c>
      <c r="AC40" s="812">
        <f>INDEX(DSS_Calc!$JM:$JM,MATCH(W$4+$B40,DSS_Calc!$A:$A,0))</f>
        <v>1558.5626316695705</v>
      </c>
      <c r="AD40" s="772"/>
      <c r="AE40" s="776">
        <f>INDEX(DSS_Calc!$JD:$JD,MATCH(AE$4+$B40,DSS_Calc!$A:$A,0))-INDEX(DSS_Calc!$JD:$JD,MATCH(AE$4+$B$6,DSS_Calc!$A:$A,0))</f>
        <v>-396.48383398691112</v>
      </c>
      <c r="AF40" s="775">
        <f>INDEX(DSS_Calc!$JM:$JM,MATCH(AE$4+$B40,DSS_Calc!$A:$A,0))/INDEX(DSS_Calc!$JM:$JM,MATCH(AE$4+$B$6,DSS_Calc!$A:$A,0))-1</f>
        <v>-5.8556036530265865E-2</v>
      </c>
      <c r="AG40" s="787">
        <f>ABS(INDEX(DSS_Calc!$KU:$KU,MATCH(AE$4+$B40,DSS_Calc!$A:$A,0)))</f>
        <v>3.9556250388699739</v>
      </c>
      <c r="AH40" s="772">
        <f t="shared" si="52"/>
        <v>49</v>
      </c>
      <c r="AI40" s="812">
        <f t="shared" si="60"/>
        <v>100</v>
      </c>
      <c r="AJ40" s="812">
        <f t="shared" si="61"/>
        <v>24</v>
      </c>
      <c r="AK40" s="812">
        <f>INDEX(DSS_Calc!$JM:$JM,MATCH(AE$4+$B40,DSS_Calc!$A:$A,0))</f>
        <v>2276.987460995364</v>
      </c>
      <c r="AL40" s="772"/>
      <c r="AM40" s="776">
        <f>INDEX(DSS_Calc!$JD:$JD,MATCH(AM$4+$B40,DSS_Calc!$A:$A,0))-INDEX(DSS_Calc!$JD:$JD,MATCH(AM$4+$B$6,DSS_Calc!$A:$A,0))</f>
        <v>-390.83014411587465</v>
      </c>
      <c r="AN40" s="775">
        <f>INDEX(DSS_Calc!$JM:$JM,MATCH(AM$4+$B40,DSS_Calc!$A:$A,0))/INDEX(DSS_Calc!$JM:$JM,MATCH(AM$4+$B$6,DSS_Calc!$A:$A,0))-1</f>
        <v>-6.3860741216529182E-2</v>
      </c>
      <c r="AO40" s="787">
        <f>ABS(INDEX(DSS_Calc!$KU:$KU,MATCH(AM$4+$B40,DSS_Calc!$A:$A,0)))</f>
        <v>3.8571196793822344</v>
      </c>
      <c r="AP40" s="772">
        <f t="shared" si="53"/>
        <v>49</v>
      </c>
      <c r="AQ40" s="812">
        <f t="shared" si="62"/>
        <v>100</v>
      </c>
      <c r="AR40" s="812">
        <f t="shared" si="63"/>
        <v>24</v>
      </c>
      <c r="AS40" s="812">
        <f>INDEX(DSS_Calc!$JM:$JM,MATCH(AM$4+$B40,DSS_Calc!$A:$A,0))</f>
        <v>771.69967205410433</v>
      </c>
      <c r="AT40" s="772"/>
      <c r="AU40" s="776">
        <f>INDEX(DSS_Calc!$JD:$JD,MATCH(AU$4+$B40,DSS_Calc!$A:$A,0))-INDEX(DSS_Calc!$JD:$JD,MATCH(AU$4+$B$6,DSS_Calc!$A:$A,0))</f>
        <v>-358.06886774351187</v>
      </c>
      <c r="AV40" s="775">
        <f>INDEX(DSS_Calc!$JM:$JM,MATCH(AU$4+$B40,DSS_Calc!$A:$A,0))/INDEX(DSS_Calc!$JM:$JM,MATCH(AU$4+$B$6,DSS_Calc!$A:$A,0))-1</f>
        <v>-5.8746577088713114E-2</v>
      </c>
    </row>
    <row r="41" spans="2:48">
      <c r="B41" s="836">
        <f t="shared" si="65"/>
        <v>27</v>
      </c>
      <c r="C41" s="777"/>
      <c r="D41" s="778" t="str">
        <f>LEFT(INDEX(DSS_Calc!$D:$D,MATCH(G$4+$B41,DSS_Calc!$A:$A,0)),LEN(INDEX(DSS_Calc!$D:$D,MATCH(G$4+$B41,DSS_Calc!$A:$A,0)))-2)</f>
        <v>750 Combo</v>
      </c>
      <c r="E41" s="777" t="str">
        <f>"MY"&amp;RIGHT(Input!$H$9,2)&amp;" "&amp;Input!$H$3</f>
        <v>MY20 Soul</v>
      </c>
      <c r="F41" s="772"/>
      <c r="G41" s="779">
        <f>INDEX(DSS_Calc!$JD:$JD,MATCH(G$4+$B41,DSS_Calc!$A:$A,0))-INDEX(DSS_Calc!$JD:$JD,MATCH(G$4+$B$6,DSS_Calc!$A:$A,0))</f>
        <v>268.06174999698169</v>
      </c>
      <c r="H41" s="780">
        <f>INDEX(DSS_Calc!$JM:$JM,MATCH(G$4+$B41,DSS_Calc!$A:$A,0))/INDEX(DSS_Calc!$JM:$JM,MATCH(G$4+$B$6,DSS_Calc!$A:$A,0))-1</f>
        <v>4.4451065795999112E-2</v>
      </c>
      <c r="I41" s="788">
        <f>ABS(INDEX(DSS_Calc!$KU:$KU,MATCH(G$4+$B41,DSS_Calc!$A:$A,0)))</f>
        <v>6.1931295972806195</v>
      </c>
      <c r="J41" s="777">
        <f t="shared" si="49"/>
        <v>33</v>
      </c>
      <c r="K41" s="813">
        <f t="shared" si="54"/>
        <v>13</v>
      </c>
      <c r="L41" s="813">
        <f t="shared" si="55"/>
        <v>100</v>
      </c>
      <c r="M41" s="813">
        <f>INDEX(DSS_Calc!$JM:$JM,MATCH(G$4+$B41,DSS_Calc!$A:$A,0))</f>
        <v>467.74246286082712</v>
      </c>
      <c r="N41" s="772"/>
      <c r="O41" s="779">
        <f>INDEX(DSS_Calc!$JD:$JD,MATCH(O$4+$B41,DSS_Calc!$A:$A,0))-INDEX(DSS_Calc!$JD:$JD,MATCH(O$4+$B$6,DSS_Calc!$A:$A,0))</f>
        <v>396.25230127884197</v>
      </c>
      <c r="P41" s="780">
        <f>INDEX(DSS_Calc!$JM:$JM,MATCH(O$4+$B41,DSS_Calc!$A:$A,0))/INDEX(DSS_Calc!$JM:$JM,MATCH(O$4+$B$6,DSS_Calc!$A:$A,0))-1</f>
        <v>5.4343851608454452E-2</v>
      </c>
      <c r="Q41" s="788">
        <f>ABS(INDEX(DSS_Calc!$KU:$KU,MATCH(O$4+$B41,DSS_Calc!$A:$A,0)))</f>
        <v>4.4325562693395062</v>
      </c>
      <c r="R41" s="777">
        <f t="shared" si="50"/>
        <v>41</v>
      </c>
      <c r="S41" s="813">
        <f t="shared" si="56"/>
        <v>16</v>
      </c>
      <c r="T41" s="813">
        <f t="shared" si="57"/>
        <v>100</v>
      </c>
      <c r="U41" s="813">
        <f>INDEX(DSS_Calc!$JM:$JM,MATCH(O$4+$B41,DSS_Calc!$A:$A,0))</f>
        <v>1318.3165944501793</v>
      </c>
      <c r="V41" s="772"/>
      <c r="W41" s="779">
        <f>INDEX(DSS_Calc!$JD:$JD,MATCH(W$4+$B41,DSS_Calc!$A:$A,0))-INDEX(DSS_Calc!$JD:$JD,MATCH(W$4+$B$6,DSS_Calc!$A:$A,0))</f>
        <v>449.26444371858315</v>
      </c>
      <c r="X41" s="780">
        <f>INDEX(DSS_Calc!$JM:$JM,MATCH(W$4+$B41,DSS_Calc!$A:$A,0))/INDEX(DSS_Calc!$JM:$JM,MATCH(W$4+$B$6,DSS_Calc!$A:$A,0))-1</f>
        <v>5.9083441494064415E-2</v>
      </c>
      <c r="Y41" s="788">
        <f>ABS(INDEX(DSS_Calc!$KU:$KU,MATCH(W$4+$B41,DSS_Calc!$A:$A,0)))</f>
        <v>4.6145154555401806</v>
      </c>
      <c r="Z41" s="777">
        <f t="shared" si="51"/>
        <v>41</v>
      </c>
      <c r="AA41" s="813">
        <f t="shared" si="58"/>
        <v>18</v>
      </c>
      <c r="AB41" s="813">
        <f t="shared" si="59"/>
        <v>100</v>
      </c>
      <c r="AC41" s="813">
        <f>INDEX(DSS_Calc!$JM:$JM,MATCH(W$4+$B41,DSS_Calc!$A:$A,0))</f>
        <v>1757.1585847325196</v>
      </c>
      <c r="AD41" s="772"/>
      <c r="AE41" s="779">
        <f>INDEX(DSS_Calc!$JD:$JD,MATCH(AE$4+$B41,DSS_Calc!$A:$A,0))-INDEX(DSS_Calc!$JD:$JD,MATCH(AE$4+$B$6,DSS_Calc!$A:$A,0))</f>
        <v>449.23244840022835</v>
      </c>
      <c r="AF41" s="780">
        <f>INDEX(DSS_Calc!$JM:$JM,MATCH(AE$4+$B41,DSS_Calc!$A:$A,0))/INDEX(DSS_Calc!$JM:$JM,MATCH(AE$4+$B$6,DSS_Calc!$A:$A,0))-1</f>
        <v>5.6188171062388159E-2</v>
      </c>
      <c r="AG41" s="788">
        <f>ABS(INDEX(DSS_Calc!$KU:$KU,MATCH(AE$4+$B41,DSS_Calc!$A:$A,0)))</f>
        <v>4.0092253514800156</v>
      </c>
      <c r="AH41" s="777">
        <f t="shared" si="52"/>
        <v>46</v>
      </c>
      <c r="AI41" s="813">
        <f t="shared" si="60"/>
        <v>24</v>
      </c>
      <c r="AJ41" s="813">
        <f t="shared" si="61"/>
        <v>100</v>
      </c>
      <c r="AK41" s="813">
        <f>INDEX(DSS_Calc!$JM:$JM,MATCH(AE$4+$B41,DSS_Calc!$A:$A,0))</f>
        <v>2554.5091532556189</v>
      </c>
      <c r="AL41" s="772"/>
      <c r="AM41" s="779">
        <f>INDEX(DSS_Calc!$JD:$JD,MATCH(AM$4+$B41,DSS_Calc!$A:$A,0))-INDEX(DSS_Calc!$JD:$JD,MATCH(AM$4+$B$6,DSS_Calc!$A:$A,0))</f>
        <v>465.72908438094328</v>
      </c>
      <c r="AN41" s="780">
        <f>INDEX(DSS_Calc!$JM:$JM,MATCH(AM$4+$B41,DSS_Calc!$A:$A,0))/INDEX(DSS_Calc!$JM:$JM,MATCH(AM$4+$B$6,DSS_Calc!$A:$A,0))-1</f>
        <v>6.0972919849909823E-2</v>
      </c>
      <c r="AO41" s="788">
        <f>ABS(INDEX(DSS_Calc!$KU:$KU,MATCH(AM$4+$B41,DSS_Calc!$A:$A,0)))</f>
        <v>3.918814841791014</v>
      </c>
      <c r="AP41" s="777">
        <f t="shared" si="53"/>
        <v>46</v>
      </c>
      <c r="AQ41" s="813">
        <f t="shared" si="62"/>
        <v>24</v>
      </c>
      <c r="AR41" s="813">
        <f t="shared" si="63"/>
        <v>100</v>
      </c>
      <c r="AS41" s="813">
        <f>INDEX(DSS_Calc!$JM:$JM,MATCH(AM$4+$B41,DSS_Calc!$A:$A,0))</f>
        <v>874.60540365590896</v>
      </c>
      <c r="AT41" s="772"/>
      <c r="AU41" s="779">
        <f>INDEX(DSS_Calc!$JD:$JD,MATCH(AU$4+$B41,DSS_Calc!$A:$A,0))-INDEX(DSS_Calc!$JD:$JD,MATCH(AU$4+$B$6,DSS_Calc!$A:$A,0))</f>
        <v>428.77180310524955</v>
      </c>
      <c r="AV41" s="780">
        <f>INDEX(DSS_Calc!$JM:$JM,MATCH(AU$4+$B41,DSS_Calc!$A:$A,0))/INDEX(DSS_Calc!$JM:$JM,MATCH(AU$4+$B$6,DSS_Calc!$A:$A,0))-1</f>
        <v>5.6367790002188167E-2</v>
      </c>
    </row>
    <row r="42" spans="2:48">
      <c r="B42" s="836">
        <f t="shared" si="65"/>
        <v>28</v>
      </c>
      <c r="C42" s="772"/>
      <c r="D42" s="774" t="str">
        <f>LEFT(INDEX(DSS_Calc!$D:$D,MATCH(G$4+$B42,DSS_Calc!$A:$A,0)),LEN(INDEX(DSS_Calc!$D:$D,MATCH(G$4+$B42,DSS_Calc!$A:$A,0)))-2)</f>
        <v>1000 Combo</v>
      </c>
      <c r="E42" s="772" t="str">
        <f>"MY"&amp;RIGHT(Input!$H$9,2)&amp;" "&amp;Input!$H$3</f>
        <v>MY20 Soul</v>
      </c>
      <c r="F42" s="772"/>
      <c r="G42" s="776">
        <f>INDEX(DSS_Calc!$JD:$JD,MATCH(G$4+$B42,DSS_Calc!$A:$A,0))-INDEX(DSS_Calc!$JD:$JD,MATCH(G$4+$B$6,DSS_Calc!$A:$A,0))</f>
        <v>372.93456019468385</v>
      </c>
      <c r="H42" s="775">
        <f>INDEX(DSS_Calc!$JM:$JM,MATCH(G$4+$B42,DSS_Calc!$A:$A,0))/INDEX(DSS_Calc!$JM:$JM,MATCH(G$4+$B$6,DSS_Calc!$A:$A,0))-1</f>
        <v>5.9726514443360079E-2</v>
      </c>
      <c r="I42" s="787">
        <f>ABS(INDEX(DSS_Calc!$KU:$KU,MATCH(G$4+$B42,DSS_Calc!$A:$A,0)))</f>
        <v>6.1695501860352504</v>
      </c>
      <c r="J42" s="772">
        <f t="shared" si="49"/>
        <v>38</v>
      </c>
      <c r="K42" s="812">
        <f t="shared" si="54"/>
        <v>15</v>
      </c>
      <c r="L42" s="812">
        <f t="shared" si="55"/>
        <v>100</v>
      </c>
      <c r="M42" s="812">
        <f>INDEX(DSS_Calc!$JM:$JM,MATCH(G$4+$B42,DSS_Calc!$A:$A,0))</f>
        <v>474.58335393328287</v>
      </c>
      <c r="N42" s="772"/>
      <c r="O42" s="776">
        <f>INDEX(DSS_Calc!$JD:$JD,MATCH(O$4+$B42,DSS_Calc!$A:$A,0))-INDEX(DSS_Calc!$JD:$JD,MATCH(O$4+$B$6,DSS_Calc!$A:$A,0))</f>
        <v>545.23946967983875</v>
      </c>
      <c r="P42" s="775">
        <f>INDEX(DSS_Calc!$JM:$JM,MATCH(O$4+$B42,DSS_Calc!$A:$A,0))/INDEX(DSS_Calc!$JM:$JM,MATCH(O$4+$B$6,DSS_Calc!$A:$A,0))-1</f>
        <v>7.2969646734516891E-2</v>
      </c>
      <c r="Q42" s="787">
        <f>ABS(INDEX(DSS_Calc!$KU:$KU,MATCH(O$4+$B42,DSS_Calc!$A:$A,0)))</f>
        <v>4.3922241204642454</v>
      </c>
      <c r="R42" s="772">
        <f t="shared" si="50"/>
        <v>47</v>
      </c>
      <c r="S42" s="812">
        <f t="shared" si="56"/>
        <v>21</v>
      </c>
      <c r="T42" s="812">
        <f t="shared" si="57"/>
        <v>100</v>
      </c>
      <c r="U42" s="812">
        <f>INDEX(DSS_Calc!$JM:$JM,MATCH(O$4+$B42,DSS_Calc!$A:$A,0))</f>
        <v>1341.6056711228966</v>
      </c>
      <c r="V42" s="772"/>
      <c r="W42" s="776">
        <f>INDEX(DSS_Calc!$JD:$JD,MATCH(W$4+$B42,DSS_Calc!$A:$A,0))-INDEX(DSS_Calc!$JD:$JD,MATCH(W$4+$B$6,DSS_Calc!$A:$A,0))</f>
        <v>610.17277570237184</v>
      </c>
      <c r="X42" s="775">
        <f>INDEX(DSS_Calc!$JM:$JM,MATCH(W$4+$B42,DSS_Calc!$A:$A,0))/INDEX(DSS_Calc!$JM:$JM,MATCH(W$4+$B$6,DSS_Calc!$A:$A,0))-1</f>
        <v>7.9225325071490937E-2</v>
      </c>
      <c r="Y42" s="787">
        <f>ABS(INDEX(DSS_Calc!$KU:$KU,MATCH(W$4+$B42,DSS_Calc!$A:$A,0)))</f>
        <v>4.5862740650132832</v>
      </c>
      <c r="Z42" s="772">
        <f t="shared" si="51"/>
        <v>42</v>
      </c>
      <c r="AA42" s="812">
        <f t="shared" si="58"/>
        <v>19</v>
      </c>
      <c r="AB42" s="812">
        <f t="shared" si="59"/>
        <v>100</v>
      </c>
      <c r="AC42" s="812">
        <f>INDEX(DSS_Calc!$JM:$JM,MATCH(W$4+$B42,DSS_Calc!$A:$A,0))</f>
        <v>1790.576616073685</v>
      </c>
      <c r="AD42" s="772"/>
      <c r="AE42" s="776">
        <f>INDEX(DSS_Calc!$JD:$JD,MATCH(AE$4+$B42,DSS_Calc!$A:$A,0))-INDEX(DSS_Calc!$JD:$JD,MATCH(AE$4+$B$6,DSS_Calc!$A:$A,0))</f>
        <v>613.44401486513971</v>
      </c>
      <c r="AF42" s="775">
        <f>INDEX(DSS_Calc!$JM:$JM,MATCH(AE$4+$B42,DSS_Calc!$A:$A,0))/INDEX(DSS_Calc!$JM:$JM,MATCH(AE$4+$B$6,DSS_Calc!$A:$A,0))-1</f>
        <v>7.5279154426133532E-2</v>
      </c>
      <c r="AG42" s="787">
        <f>ABS(INDEX(DSS_Calc!$KU:$KU,MATCH(AE$4+$B42,DSS_Calc!$A:$A,0)))</f>
        <v>3.9862647433998761</v>
      </c>
      <c r="AH42" s="772">
        <f t="shared" si="52"/>
        <v>47</v>
      </c>
      <c r="AI42" s="812">
        <f t="shared" si="60"/>
        <v>25</v>
      </c>
      <c r="AJ42" s="812">
        <f t="shared" si="61"/>
        <v>100</v>
      </c>
      <c r="AK42" s="812">
        <f>INDEX(DSS_Calc!$JM:$JM,MATCH(AE$4+$B42,DSS_Calc!$A:$A,0))</f>
        <v>2600.6828305259146</v>
      </c>
      <c r="AL42" s="772"/>
      <c r="AM42" s="776">
        <f>INDEX(DSS_Calc!$JD:$JD,MATCH(AM$4+$B42,DSS_Calc!$A:$A,0))-INDEX(DSS_Calc!$JD:$JD,MATCH(AM$4+$B$6,DSS_Calc!$A:$A,0))</f>
        <v>640.84875115015075</v>
      </c>
      <c r="AN42" s="775">
        <f>INDEX(DSS_Calc!$JM:$JM,MATCH(AM$4+$B42,DSS_Calc!$A:$A,0))/INDEX(DSS_Calc!$JM:$JM,MATCH(AM$4+$B$6,DSS_Calc!$A:$A,0))-1</f>
        <v>8.198294703960074E-2</v>
      </c>
      <c r="AO42" s="787">
        <f>ABS(INDEX(DSS_Calc!$KU:$KU,MATCH(AM$4+$B42,DSS_Calc!$A:$A,0)))</f>
        <v>3.8776215402575751</v>
      </c>
      <c r="AP42" s="772">
        <f t="shared" si="53"/>
        <v>48</v>
      </c>
      <c r="AQ42" s="812">
        <f t="shared" si="62"/>
        <v>25</v>
      </c>
      <c r="AR42" s="812">
        <f t="shared" si="63"/>
        <v>100</v>
      </c>
      <c r="AS42" s="812">
        <f>INDEX(DSS_Calc!$JM:$JM,MATCH(AM$4+$B42,DSS_Calc!$A:$A,0))</f>
        <v>891.92486861799375</v>
      </c>
      <c r="AT42" s="772"/>
      <c r="AU42" s="776">
        <f>INDEX(DSS_Calc!$JD:$JD,MATCH(AU$4+$B42,DSS_Calc!$A:$A,0))-INDEX(DSS_Calc!$JD:$JD,MATCH(AU$4+$B$6,DSS_Calc!$A:$A,0))</f>
        <v>586.59192478264686</v>
      </c>
      <c r="AV42" s="775">
        <f>INDEX(DSS_Calc!$JM:$JM,MATCH(AU$4+$B42,DSS_Calc!$A:$A,0))/INDEX(DSS_Calc!$JM:$JM,MATCH(AU$4+$B$6,DSS_Calc!$A:$A,0))-1</f>
        <v>7.5615606351834286E-2</v>
      </c>
    </row>
    <row r="43" spans="2:48">
      <c r="B43" s="836">
        <f t="shared" si="65"/>
        <v>29</v>
      </c>
      <c r="C43" s="777"/>
      <c r="D43" s="778" t="str">
        <f>LEFT(INDEX(DSS_Calc!$D:$D,MATCH(G$4+$B43,DSS_Calc!$A:$A,0)),LEN(INDEX(DSS_Calc!$D:$D,MATCH(G$4+$B43,DSS_Calc!$A:$A,0)))-2)</f>
        <v>-720 Lease</v>
      </c>
      <c r="E43" s="777" t="str">
        <f>"MY"&amp;RIGHT(Input!$H$9,2)&amp;" "&amp;Input!$H$3</f>
        <v>MY20 Soul</v>
      </c>
      <c r="F43" s="772"/>
      <c r="G43" s="779">
        <f>INDEX(DSS_Calc!$JD:$JD,MATCH(G$4+$B43,DSS_Calc!$A:$A,0))-INDEX(DSS_Calc!$JD:$JD,MATCH(G$4+$B$6,DSS_Calc!$A:$A,0))</f>
        <v>-527.8228403841681</v>
      </c>
      <c r="H43" s="780">
        <f>INDEX(DSS_Calc!$JM:$JM,MATCH(G$4+$B43,DSS_Calc!$A:$A,0))/INDEX(DSS_Calc!$JM:$JM,MATCH(G$4+$B$6,DSS_Calc!$A:$A,0))-1</f>
        <v>-5.6029188748991765E-2</v>
      </c>
      <c r="I43" s="788">
        <f>ABS(INDEX(DSS_Calc!$KU:$KU,MATCH(G$4+$B43,DSS_Calc!$A:$A,0)))</f>
        <v>6.6928010794325434</v>
      </c>
      <c r="J43" s="777">
        <f t="shared" si="49"/>
        <v>3</v>
      </c>
      <c r="K43" s="813">
        <f t="shared" si="54"/>
        <v>100</v>
      </c>
      <c r="L43" s="813">
        <f t="shared" si="55"/>
        <v>3</v>
      </c>
      <c r="M43" s="813">
        <f>INDEX(DSS_Calc!$JM:$JM,MATCH(G$4+$B43,DSS_Calc!$A:$A,0))</f>
        <v>422.74381881814236</v>
      </c>
      <c r="N43" s="772"/>
      <c r="O43" s="779">
        <f>INDEX(DSS_Calc!$JD:$JD,MATCH(O$4+$B43,DSS_Calc!$A:$A,0))-INDEX(DSS_Calc!$JD:$JD,MATCH(O$4+$B$6,DSS_Calc!$A:$A,0))</f>
        <v>-210.52731586348546</v>
      </c>
      <c r="P43" s="780">
        <f>INDEX(DSS_Calc!$JM:$JM,MATCH(O$4+$B43,DSS_Calc!$A:$A,0))/INDEX(DSS_Calc!$JM:$JM,MATCH(O$4+$B$6,DSS_Calc!$A:$A,0))-1</f>
        <v>-2.5036081111332154E-2</v>
      </c>
      <c r="Q43" s="788">
        <f>ABS(INDEX(DSS_Calc!$KU:$KU,MATCH(O$4+$B43,DSS_Calc!$A:$A,0)))</f>
        <v>4.6070433175837104</v>
      </c>
      <c r="R43" s="777">
        <f t="shared" si="50"/>
        <v>8</v>
      </c>
      <c r="S43" s="813">
        <f t="shared" si="56"/>
        <v>100</v>
      </c>
      <c r="T43" s="813">
        <f t="shared" si="57"/>
        <v>4</v>
      </c>
      <c r="U43" s="813">
        <f>INDEX(DSS_Calc!$JM:$JM,MATCH(O$4+$B43,DSS_Calc!$A:$A,0))</f>
        <v>1219.0625584815646</v>
      </c>
      <c r="V43" s="772"/>
      <c r="W43" s="779">
        <f>INDEX(DSS_Calc!$JD:$JD,MATCH(W$4+$B43,DSS_Calc!$A:$A,0))-INDEX(DSS_Calc!$JD:$JD,MATCH(W$4+$B$6,DSS_Calc!$A:$A,0))</f>
        <v>-188.08701115078566</v>
      </c>
      <c r="X43" s="780">
        <f>INDEX(DSS_Calc!$JM:$JM,MATCH(W$4+$B43,DSS_Calc!$A:$A,0))/INDEX(DSS_Calc!$JM:$JM,MATCH(W$4+$B$6,DSS_Calc!$A:$A,0))-1</f>
        <v>-2.2528036510859661E-2</v>
      </c>
      <c r="Y43" s="788">
        <f>ABS(INDEX(DSS_Calc!$KU:$KU,MATCH(W$4+$B43,DSS_Calc!$A:$A,0)))</f>
        <v>4.7387047704264607</v>
      </c>
      <c r="Z43" s="777">
        <f t="shared" si="51"/>
        <v>13</v>
      </c>
      <c r="AA43" s="813">
        <f t="shared" si="58"/>
        <v>100</v>
      </c>
      <c r="AB43" s="813">
        <f t="shared" si="59"/>
        <v>6</v>
      </c>
      <c r="AC43" s="813">
        <f>INDEX(DSS_Calc!$JM:$JM,MATCH(W$4+$B43,DSS_Calc!$A:$A,0))</f>
        <v>1621.7544196114418</v>
      </c>
      <c r="AD43" s="772"/>
      <c r="AE43" s="779">
        <f>INDEX(DSS_Calc!$JD:$JD,MATCH(AE$4+$B43,DSS_Calc!$A:$A,0))-INDEX(DSS_Calc!$JD:$JD,MATCH(AE$4+$B$6,DSS_Calc!$A:$A,0))</f>
        <v>-64.630377980758567</v>
      </c>
      <c r="AF43" s="780">
        <f>INDEX(DSS_Calc!$JM:$JM,MATCH(AE$4+$B43,DSS_Calc!$A:$A,0))/INDEX(DSS_Calc!$JM:$JM,MATCH(AE$4+$B$6,DSS_Calc!$A:$A,0))-1</f>
        <v>-7.4664033718302436E-3</v>
      </c>
      <c r="AG43" s="788">
        <f>ABS(INDEX(DSS_Calc!$KU:$KU,MATCH(AE$4+$B43,DSS_Calc!$A:$A,0)))</f>
        <v>4.0533478865522357</v>
      </c>
      <c r="AH43" s="777">
        <f t="shared" si="52"/>
        <v>19</v>
      </c>
      <c r="AI43" s="813">
        <f t="shared" si="60"/>
        <v>100</v>
      </c>
      <c r="AJ43" s="813">
        <f t="shared" si="61"/>
        <v>5</v>
      </c>
      <c r="AK43" s="813">
        <f>INDEX(DSS_Calc!$JM:$JM,MATCH(AE$4+$B43,DSS_Calc!$A:$A,0))</f>
        <v>2400.5534496282612</v>
      </c>
      <c r="AL43" s="772"/>
      <c r="AM43" s="779">
        <f>INDEX(DSS_Calc!$JD:$JD,MATCH(AM$4+$B43,DSS_Calc!$A:$A,0))-INDEX(DSS_Calc!$JD:$JD,MATCH(AM$4+$B$6,DSS_Calc!$A:$A,0))</f>
        <v>-87.220966868264213</v>
      </c>
      <c r="AN43" s="780">
        <f>INDEX(DSS_Calc!$JM:$JM,MATCH(AM$4+$B43,DSS_Calc!$A:$A,0))/INDEX(DSS_Calc!$JM:$JM,MATCH(AM$4+$B$6,DSS_Calc!$A:$A,0))-1</f>
        <v>-1.0836050655958718E-2</v>
      </c>
      <c r="AO43" s="788">
        <f>ABS(INDEX(DSS_Calc!$KU:$KU,MATCH(AM$4+$B43,DSS_Calc!$A:$A,0)))</f>
        <v>4.0180581671411248</v>
      </c>
      <c r="AP43" s="777">
        <f t="shared" si="53"/>
        <v>6</v>
      </c>
      <c r="AQ43" s="813">
        <f t="shared" si="62"/>
        <v>100</v>
      </c>
      <c r="AR43" s="813">
        <f t="shared" si="63"/>
        <v>1</v>
      </c>
      <c r="AS43" s="813">
        <f>INDEX(DSS_Calc!$JM:$JM,MATCH(AM$4+$B43,DSS_Calc!$A:$A,0))</f>
        <v>815.41019474870609</v>
      </c>
      <c r="AT43" s="772"/>
      <c r="AU43" s="779">
        <f>INDEX(DSS_Calc!$JD:$JD,MATCH(AU$4+$B43,DSS_Calc!$A:$A,0))-INDEX(DSS_Calc!$JD:$JD,MATCH(AU$4+$B$6,DSS_Calc!$A:$A,0))</f>
        <v>-156.65826583174976</v>
      </c>
      <c r="AV43" s="780">
        <f>INDEX(DSS_Calc!$JM:$JM,MATCH(AU$4+$B43,DSS_Calc!$A:$A,0))/INDEX(DSS_Calc!$JM:$JM,MATCH(AU$4+$B$6,DSS_Calc!$A:$A,0))-1</f>
        <v>-1.8296788076948345E-2</v>
      </c>
    </row>
    <row r="44" spans="2:48">
      <c r="B44" s="836">
        <f t="shared" si="65"/>
        <v>30</v>
      </c>
      <c r="C44" s="772"/>
      <c r="D44" s="774" t="str">
        <f>LEFT(INDEX(DSS_Calc!$D:$D,MATCH(G$4+$B44,DSS_Calc!$A:$A,0)),LEN(INDEX(DSS_Calc!$D:$D,MATCH(G$4+$B44,DSS_Calc!$A:$A,0)))-2)</f>
        <v>1080 Lease</v>
      </c>
      <c r="E44" s="772" t="str">
        <f>"MY"&amp;RIGHT(Input!$H$9,2)&amp;" "&amp;Input!$H$3</f>
        <v>MY20 Soul</v>
      </c>
      <c r="F44" s="772"/>
      <c r="G44" s="776">
        <f>INDEX(DSS_Calc!$JD:$JD,MATCH(G$4+$B44,DSS_Calc!$A:$A,0))-INDEX(DSS_Calc!$JD:$JD,MATCH(G$4+$B$6,DSS_Calc!$A:$A,0))</f>
        <v>1185.0619616953463</v>
      </c>
      <c r="H44" s="775">
        <f>INDEX(DSS_Calc!$JM:$JM,MATCH(G$4+$B44,DSS_Calc!$A:$A,0))/INDEX(DSS_Calc!$JM:$JM,MATCH(G$4+$B$6,DSS_Calc!$A:$A,0))-1</f>
        <v>0.11994996461108998</v>
      </c>
      <c r="I44" s="787">
        <f>ABS(INDEX(DSS_Calc!$KU:$KU,MATCH(G$4+$B44,DSS_Calc!$A:$A,0)))</f>
        <v>5.4865992472175984</v>
      </c>
      <c r="J44" s="772">
        <f t="shared" si="49"/>
        <v>50</v>
      </c>
      <c r="K44" s="812">
        <f t="shared" si="54"/>
        <v>23</v>
      </c>
      <c r="L44" s="812">
        <f t="shared" si="55"/>
        <v>100</v>
      </c>
      <c r="M44" s="812">
        <f>INDEX(DSS_Calc!$JM:$JM,MATCH(G$4+$B44,DSS_Calc!$A:$A,0))</f>
        <v>501.55356424367392</v>
      </c>
      <c r="N44" s="772"/>
      <c r="O44" s="776">
        <f>INDEX(DSS_Calc!$JD:$JD,MATCH(O$4+$B44,DSS_Calc!$A:$A,0))-INDEX(DSS_Calc!$JD:$JD,MATCH(O$4+$B$6,DSS_Calc!$A:$A,0))</f>
        <v>579.72540179904991</v>
      </c>
      <c r="P44" s="775">
        <f>INDEX(DSS_Calc!$JM:$JM,MATCH(O$4+$B44,DSS_Calc!$A:$A,0))/INDEX(DSS_Calc!$JM:$JM,MATCH(O$4+$B$6,DSS_Calc!$A:$A,0))-1</f>
        <v>5.1349500044874263E-2</v>
      </c>
      <c r="Q44" s="787">
        <f>ABS(INDEX(DSS_Calc!$KU:$KU,MATCH(O$4+$B44,DSS_Calc!$A:$A,0)))</f>
        <v>4.1013631625807658</v>
      </c>
      <c r="R44" s="772">
        <f t="shared" si="50"/>
        <v>50</v>
      </c>
      <c r="S44" s="812">
        <f t="shared" si="56"/>
        <v>23</v>
      </c>
      <c r="T44" s="812">
        <f t="shared" si="57"/>
        <v>100</v>
      </c>
      <c r="U44" s="812">
        <f>INDEX(DSS_Calc!$JM:$JM,MATCH(O$4+$B44,DSS_Calc!$A:$A,0))</f>
        <v>1314.5725565351638</v>
      </c>
      <c r="V44" s="772"/>
      <c r="W44" s="776">
        <f>INDEX(DSS_Calc!$JD:$JD,MATCH(W$4+$B44,DSS_Calc!$A:$A,0))-INDEX(DSS_Calc!$JD:$JD,MATCH(W$4+$B$6,DSS_Calc!$A:$A,0))</f>
        <v>619.92732756857413</v>
      </c>
      <c r="X44" s="775">
        <f>INDEX(DSS_Calc!$JM:$JM,MATCH(W$4+$B44,DSS_Calc!$A:$A,0))/INDEX(DSS_Calc!$JM:$JM,MATCH(W$4+$B$6,DSS_Calc!$A:$A,0))-1</f>
        <v>5.0694976138834003E-2</v>
      </c>
      <c r="Y44" s="787">
        <f>ABS(INDEX(DSS_Calc!$KU:$KU,MATCH(W$4+$B44,DSS_Calc!$A:$A,0)))</f>
        <v>4.2893879116011417</v>
      </c>
      <c r="Z44" s="772">
        <f t="shared" si="51"/>
        <v>50</v>
      </c>
      <c r="AA44" s="812">
        <f t="shared" si="58"/>
        <v>25</v>
      </c>
      <c r="AB44" s="812">
        <f t="shared" si="59"/>
        <v>100</v>
      </c>
      <c r="AC44" s="812">
        <f>INDEX(DSS_Calc!$JM:$JM,MATCH(W$4+$B44,DSS_Calc!$A:$A,0))</f>
        <v>1743.2410185293497</v>
      </c>
      <c r="AD44" s="772"/>
      <c r="AE44" s="776">
        <f>INDEX(DSS_Calc!$JD:$JD,MATCH(AE$4+$B44,DSS_Calc!$A:$A,0))-INDEX(DSS_Calc!$JD:$JD,MATCH(AE$4+$B$6,DSS_Calc!$A:$A,0))</f>
        <v>192.50769233341452</v>
      </c>
      <c r="AF44" s="775">
        <f>INDEX(DSS_Calc!$JM:$JM,MATCH(AE$4+$B44,DSS_Calc!$A:$A,0))/INDEX(DSS_Calc!$JM:$JM,MATCH(AE$4+$B$6,DSS_Calc!$A:$A,0))-1</f>
        <v>1.4763056143594966E-2</v>
      </c>
      <c r="AG44" s="787">
        <f>ABS(INDEX(DSS_Calc!$KU:$KU,MATCH(AE$4+$B44,DSS_Calc!$A:$A,0)))</f>
        <v>3.9247662913734991</v>
      </c>
      <c r="AH44" s="772">
        <f t="shared" si="52"/>
        <v>50</v>
      </c>
      <c r="AI44" s="812">
        <f t="shared" si="60"/>
        <v>100</v>
      </c>
      <c r="AJ44" s="812">
        <f t="shared" si="61"/>
        <v>25</v>
      </c>
      <c r="AK44" s="812">
        <f>INDEX(DSS_Calc!$JM:$JM,MATCH(AE$4+$B44,DSS_Calc!$A:$A,0))</f>
        <v>2454.3178822927175</v>
      </c>
      <c r="AL44" s="772"/>
      <c r="AM44" s="776">
        <f>INDEX(DSS_Calc!$JD:$JD,MATCH(AM$4+$B44,DSS_Calc!$A:$A,0))-INDEX(DSS_Calc!$JD:$JD,MATCH(AM$4+$B$6,DSS_Calc!$A:$A,0))</f>
        <v>255.17095142558173</v>
      </c>
      <c r="AN44" s="775">
        <f>INDEX(DSS_Calc!$JM:$JM,MATCH(AM$4+$B44,DSS_Calc!$A:$A,0))/INDEX(DSS_Calc!$JM:$JM,MATCH(AM$4+$B$6,DSS_Calc!$A:$A,0))-1</f>
        <v>2.0982750144378004E-2</v>
      </c>
      <c r="AO44" s="787">
        <f>ABS(INDEX(DSS_Calc!$KU:$KU,MATCH(AM$4+$B44,DSS_Calc!$A:$A,0)))</f>
        <v>3.7898579219279185</v>
      </c>
      <c r="AP44" s="772">
        <f t="shared" si="53"/>
        <v>50</v>
      </c>
      <c r="AQ44" s="812">
        <f t="shared" si="62"/>
        <v>100</v>
      </c>
      <c r="AR44" s="812">
        <f t="shared" si="63"/>
        <v>25</v>
      </c>
      <c r="AS44" s="812">
        <f>INDEX(DSS_Calc!$JM:$JM,MATCH(AM$4+$B44,DSS_Calc!$A:$A,0))</f>
        <v>841.63979457841924</v>
      </c>
      <c r="AT44" s="772"/>
      <c r="AU44" s="776">
        <f>INDEX(DSS_Calc!$JD:$JD,MATCH(AU$4+$B44,DSS_Calc!$A:$A,0))-INDEX(DSS_Calc!$JD:$JD,MATCH(AU$4+$B$6,DSS_Calc!$A:$A,0))</f>
        <v>457.31563555934099</v>
      </c>
      <c r="AV44" s="775">
        <f>INDEX(DSS_Calc!$JM:$JM,MATCH(AU$4+$B44,DSS_Calc!$A:$A,0))/INDEX(DSS_Calc!$JM:$JM,MATCH(AU$4+$B$6,DSS_Calc!$A:$A,0))-1</f>
        <v>3.8640173642304765E-2</v>
      </c>
    </row>
    <row r="45" spans="2:48">
      <c r="B45" s="836">
        <f t="shared" si="65"/>
        <v>31</v>
      </c>
      <c r="C45" s="777"/>
      <c r="D45" s="778" t="str">
        <f>LEFT(INDEX(DSS_Calc!$D:$D,MATCH(G$4+$B45,DSS_Calc!$A:$A,0)),LEN(INDEX(DSS_Calc!$D:$D,MATCH(G$4+$B45,DSS_Calc!$A:$A,0)))-2)</f>
        <v>250 CC, 250 Combo</v>
      </c>
      <c r="E45" s="777" t="str">
        <f>"MY"&amp;RIGHT(Input!$H$9,2)&amp;" "&amp;Input!$H$3</f>
        <v>MY20 Soul</v>
      </c>
      <c r="F45" s="772"/>
      <c r="G45" s="779">
        <f>INDEX(DSS_Calc!$JD:$JD,MATCH(G$4+$B45,DSS_Calc!$A:$A,0))-INDEX(DSS_Calc!$JD:$JD,MATCH(G$4+$B$6,DSS_Calc!$A:$A,0))</f>
        <v>73.183529641970381</v>
      </c>
      <c r="H45" s="780">
        <f>INDEX(DSS_Calc!$JM:$JM,MATCH(G$4+$B45,DSS_Calc!$A:$A,0))/INDEX(DSS_Calc!$JM:$JM,MATCH(G$4+$B$6,DSS_Calc!$A:$A,0))-1</f>
        <v>2.390649151157942E-2</v>
      </c>
      <c r="I45" s="788">
        <f>ABS(INDEX(DSS_Calc!$KU:$KU,MATCH(G$4+$B45,DSS_Calc!$A:$A,0)))</f>
        <v>6.3425763388822647</v>
      </c>
      <c r="J45" s="777">
        <f t="shared" si="49"/>
        <v>22</v>
      </c>
      <c r="K45" s="813">
        <f t="shared" si="54"/>
        <v>100</v>
      </c>
      <c r="L45" s="813">
        <f t="shared" si="55"/>
        <v>16</v>
      </c>
      <c r="M45" s="813">
        <f>INDEX(DSS_Calc!$JM:$JM,MATCH(G$4+$B45,DSS_Calc!$A:$A,0))</f>
        <v>458.5418692773469</v>
      </c>
      <c r="N45" s="772"/>
      <c r="O45" s="779">
        <f>INDEX(DSS_Calc!$JD:$JD,MATCH(O$4+$B45,DSS_Calc!$A:$A,0))-INDEX(DSS_Calc!$JD:$JD,MATCH(O$4+$B$6,DSS_Calc!$A:$A,0))</f>
        <v>172.68848913196007</v>
      </c>
      <c r="P45" s="780">
        <f>INDEX(DSS_Calc!$JM:$JM,MATCH(O$4+$B45,DSS_Calc!$A:$A,0))/INDEX(DSS_Calc!$JM:$JM,MATCH(O$4+$B$6,DSS_Calc!$A:$A,0))-1</f>
        <v>2.955841014643501E-2</v>
      </c>
      <c r="Q45" s="788">
        <f>ABS(INDEX(DSS_Calc!$KU:$KU,MATCH(O$4+$B45,DSS_Calc!$A:$A,0)))</f>
        <v>4.5432884152426309</v>
      </c>
      <c r="R45" s="777">
        <f t="shared" si="50"/>
        <v>21</v>
      </c>
      <c r="S45" s="813">
        <f t="shared" si="56"/>
        <v>100</v>
      </c>
      <c r="T45" s="813">
        <f t="shared" si="57"/>
        <v>12</v>
      </c>
      <c r="U45" s="813">
        <f>INDEX(DSS_Calc!$JM:$JM,MATCH(O$4+$B45,DSS_Calc!$A:$A,0))</f>
        <v>1287.3257002269083</v>
      </c>
      <c r="V45" s="772"/>
      <c r="W45" s="779">
        <f>INDEX(DSS_Calc!$JD:$JD,MATCH(W$4+$B45,DSS_Calc!$A:$A,0))-INDEX(DSS_Calc!$JD:$JD,MATCH(W$4+$B$6,DSS_Calc!$A:$A,0))</f>
        <v>192.04380780819383</v>
      </c>
      <c r="X45" s="780">
        <f>INDEX(DSS_Calc!$JM:$JM,MATCH(W$4+$B45,DSS_Calc!$A:$A,0))/INDEX(DSS_Calc!$JM:$JM,MATCH(W$4+$B$6,DSS_Calc!$A:$A,0))-1</f>
        <v>2.9602945545377013E-2</v>
      </c>
      <c r="Y45" s="788">
        <f>ABS(INDEX(DSS_Calc!$KU:$KU,MATCH(W$4+$B45,DSS_Calc!$A:$A,0)))</f>
        <v>4.6973907086830549</v>
      </c>
      <c r="Z45" s="777">
        <f t="shared" si="51"/>
        <v>20</v>
      </c>
      <c r="AA45" s="813">
        <f t="shared" si="58"/>
        <v>100</v>
      </c>
      <c r="AB45" s="813">
        <f t="shared" si="59"/>
        <v>11</v>
      </c>
      <c r="AC45" s="813">
        <f>INDEX(DSS_Calc!$JM:$JM,MATCH(W$4+$B45,DSS_Calc!$A:$A,0))</f>
        <v>1708.2465684466918</v>
      </c>
      <c r="AD45" s="772"/>
      <c r="AE45" s="779">
        <f>INDEX(DSS_Calc!$JD:$JD,MATCH(AE$4+$B45,DSS_Calc!$A:$A,0))-INDEX(DSS_Calc!$JD:$JD,MATCH(AE$4+$B$6,DSS_Calc!$A:$A,0))</f>
        <v>226.66103656240648</v>
      </c>
      <c r="AF45" s="780">
        <f>INDEX(DSS_Calc!$JM:$JM,MATCH(AE$4+$B45,DSS_Calc!$A:$A,0))/INDEX(DSS_Calc!$JM:$JM,MATCH(AE$4+$B$6,DSS_Calc!$A:$A,0))-1</f>
        <v>3.1279927838115951E-2</v>
      </c>
      <c r="AG45" s="788">
        <f>ABS(INDEX(DSS_Calc!$KU:$KU,MATCH(AE$4+$B45,DSS_Calc!$A:$A,0)))</f>
        <v>4.0549530836626628</v>
      </c>
      <c r="AH45" s="777">
        <f t="shared" si="52"/>
        <v>18</v>
      </c>
      <c r="AI45" s="813">
        <f t="shared" si="60"/>
        <v>100</v>
      </c>
      <c r="AJ45" s="813">
        <f t="shared" si="61"/>
        <v>4</v>
      </c>
      <c r="AK45" s="813">
        <f>INDEX(DSS_Calc!$JM:$JM,MATCH(AE$4+$B45,DSS_Calc!$A:$A,0))</f>
        <v>2494.2657827547746</v>
      </c>
      <c r="AL45" s="772"/>
      <c r="AM45" s="779">
        <f>INDEX(DSS_Calc!$JD:$JD,MATCH(AM$4+$B45,DSS_Calc!$A:$A,0))-INDEX(DSS_Calc!$JD:$JD,MATCH(AM$4+$B$6,DSS_Calc!$A:$A,0))</f>
        <v>218.19805567611365</v>
      </c>
      <c r="AN45" s="780">
        <f>INDEX(DSS_Calc!$JM:$JM,MATCH(AM$4+$B45,DSS_Calc!$A:$A,0))/INDEX(DSS_Calc!$JM:$JM,MATCH(AM$4+$B$6,DSS_Calc!$A:$A,0))-1</f>
        <v>3.2334688792252653E-2</v>
      </c>
      <c r="AO45" s="788">
        <f>ABS(INDEX(DSS_Calc!$KU:$KU,MATCH(AM$4+$B45,DSS_Calc!$A:$A,0)))</f>
        <v>4.002265708261457</v>
      </c>
      <c r="AP45" s="777">
        <f t="shared" si="53"/>
        <v>21</v>
      </c>
      <c r="AQ45" s="813">
        <f t="shared" si="62"/>
        <v>100</v>
      </c>
      <c r="AR45" s="813">
        <f t="shared" si="63"/>
        <v>9</v>
      </c>
      <c r="AS45" s="813">
        <f>INDEX(DSS_Calc!$JM:$JM,MATCH(AM$4+$B45,DSS_Calc!$A:$A,0))</f>
        <v>850.99768364198371</v>
      </c>
      <c r="AT45" s="772"/>
      <c r="AU45" s="779">
        <f>INDEX(DSS_Calc!$JD:$JD,MATCH(AU$4+$B45,DSS_Calc!$A:$A,0))-INDEX(DSS_Calc!$JD:$JD,MATCH(AU$4+$B$6,DSS_Calc!$A:$A,0))</f>
        <v>196.11360297664623</v>
      </c>
      <c r="AV45" s="780">
        <f>INDEX(DSS_Calc!$JM:$JM,MATCH(AU$4+$B45,DSS_Calc!$A:$A,0))/INDEX(DSS_Calc!$JM:$JM,MATCH(AU$4+$B$6,DSS_Calc!$A:$A,0))-1</f>
        <v>3.0163693917456103E-2</v>
      </c>
    </row>
    <row r="46" spans="2:48">
      <c r="B46" s="836">
        <f t="shared" si="65"/>
        <v>32</v>
      </c>
      <c r="C46" s="772"/>
      <c r="D46" s="774" t="str">
        <f>LEFT(INDEX(DSS_Calc!$D:$D,MATCH(G$4+$B46,DSS_Calc!$A:$A,0)),LEN(INDEX(DSS_Calc!$D:$D,MATCH(G$4+$B46,DSS_Calc!$A:$A,0)))-2)</f>
        <v>500 CC, 500 Combo</v>
      </c>
      <c r="E46" s="772" t="str">
        <f>"MY"&amp;RIGHT(Input!$H$9,2)&amp;" "&amp;Input!$H$3</f>
        <v>MY20 Soul</v>
      </c>
      <c r="F46" s="772"/>
      <c r="G46" s="776">
        <f>INDEX(DSS_Calc!$JD:$JD,MATCH(G$4+$B46,DSS_Calc!$A:$A,0))-INDEX(DSS_Calc!$JD:$JD,MATCH(G$4+$B$6,DSS_Calc!$A:$A,0))</f>
        <v>162.88470133991405</v>
      </c>
      <c r="H46" s="775">
        <f>INDEX(DSS_Calc!$JM:$JM,MATCH(G$4+$B46,DSS_Calc!$A:$A,0))/INDEX(DSS_Calc!$JM:$JM,MATCH(G$4+$B$6,DSS_Calc!$A:$A,0))-1</f>
        <v>4.9314451682461069E-2</v>
      </c>
      <c r="I46" s="787">
        <f>ABS(INDEX(DSS_Calc!$KU:$KU,MATCH(G$4+$B46,DSS_Calc!$A:$A,0)))</f>
        <v>6.4709440410630616</v>
      </c>
      <c r="J46" s="772">
        <f t="shared" si="49"/>
        <v>13</v>
      </c>
      <c r="K46" s="812">
        <f t="shared" si="54"/>
        <v>5</v>
      </c>
      <c r="L46" s="812">
        <f t="shared" si="55"/>
        <v>100</v>
      </c>
      <c r="M46" s="812">
        <f>INDEX(DSS_Calc!$JM:$JM,MATCH(G$4+$B46,DSS_Calc!$A:$A,0))</f>
        <v>469.92046063101714</v>
      </c>
      <c r="N46" s="772"/>
      <c r="O46" s="776">
        <f>INDEX(DSS_Calc!$JD:$JD,MATCH(O$4+$B46,DSS_Calc!$A:$A,0))-INDEX(DSS_Calc!$JD:$JD,MATCH(O$4+$B$6,DSS_Calc!$A:$A,0))</f>
        <v>356.3519894176693</v>
      </c>
      <c r="P46" s="775">
        <f>INDEX(DSS_Calc!$JM:$JM,MATCH(O$4+$B46,DSS_Calc!$A:$A,0))/INDEX(DSS_Calc!$JM:$JM,MATCH(O$4+$B$6,DSS_Calc!$A:$A,0))-1</f>
        <v>6.0406739513416685E-2</v>
      </c>
      <c r="Q46" s="787">
        <f>ABS(INDEX(DSS_Calc!$KU:$KU,MATCH(O$4+$B46,DSS_Calc!$A:$A,0)))</f>
        <v>4.5751676633593252</v>
      </c>
      <c r="R46" s="772">
        <f t="shared" si="50"/>
        <v>15</v>
      </c>
      <c r="S46" s="812">
        <f t="shared" si="56"/>
        <v>8</v>
      </c>
      <c r="T46" s="812">
        <f t="shared" si="57"/>
        <v>100</v>
      </c>
      <c r="U46" s="812">
        <f>INDEX(DSS_Calc!$JM:$JM,MATCH(O$4+$B46,DSS_Calc!$A:$A,0))</f>
        <v>1325.8974284667192</v>
      </c>
      <c r="V46" s="772"/>
      <c r="W46" s="776">
        <f>INDEX(DSS_Calc!$JD:$JD,MATCH(W$4+$B46,DSS_Calc!$A:$A,0))-INDEX(DSS_Calc!$JD:$JD,MATCH(W$4+$B$6,DSS_Calc!$A:$A,0))</f>
        <v>380.52742289992511</v>
      </c>
      <c r="X46" s="775">
        <f>INDEX(DSS_Calc!$JM:$JM,MATCH(W$4+$B46,DSS_Calc!$A:$A,0))/INDEX(DSS_Calc!$JM:$JM,MATCH(W$4+$B$6,DSS_Calc!$A:$A,0))-1</f>
        <v>6.0360500234631465E-2</v>
      </c>
      <c r="Y46" s="787">
        <f>ABS(INDEX(DSS_Calc!$KU:$KU,MATCH(W$4+$B46,DSS_Calc!$A:$A,0)))</f>
        <v>4.7333528900855057</v>
      </c>
      <c r="Z46" s="772">
        <f t="shared" si="51"/>
        <v>14</v>
      </c>
      <c r="AA46" s="812">
        <f t="shared" si="58"/>
        <v>8</v>
      </c>
      <c r="AB46" s="812">
        <f t="shared" si="59"/>
        <v>100</v>
      </c>
      <c r="AC46" s="812">
        <f>INDEX(DSS_Calc!$JM:$JM,MATCH(W$4+$B46,DSS_Calc!$A:$A,0))</f>
        <v>1759.2773929786661</v>
      </c>
      <c r="AD46" s="772"/>
      <c r="AE46" s="776">
        <f>INDEX(DSS_Calc!$JD:$JD,MATCH(AE$4+$B46,DSS_Calc!$A:$A,0))-INDEX(DSS_Calc!$JD:$JD,MATCH(AE$4+$B$6,DSS_Calc!$A:$A,0))</f>
        <v>456.85396305912673</v>
      </c>
      <c r="AF46" s="775">
        <f>INDEX(DSS_Calc!$JM:$JM,MATCH(AE$4+$B46,DSS_Calc!$A:$A,0))/INDEX(DSS_Calc!$JM:$JM,MATCH(AE$4+$B$6,DSS_Calc!$A:$A,0))-1</f>
        <v>6.3456109902760627E-2</v>
      </c>
      <c r="AG46" s="787">
        <f>ABS(INDEX(DSS_Calc!$KU:$KU,MATCH(AE$4+$B46,DSS_Calc!$A:$A,0)))</f>
        <v>4.0714616340562682</v>
      </c>
      <c r="AH46" s="772">
        <f t="shared" si="52"/>
        <v>6</v>
      </c>
      <c r="AI46" s="812">
        <f t="shared" si="60"/>
        <v>6</v>
      </c>
      <c r="AJ46" s="812">
        <f t="shared" si="61"/>
        <v>100</v>
      </c>
      <c r="AK46" s="812">
        <f>INDEX(DSS_Calc!$JM:$JM,MATCH(AE$4+$B46,DSS_Calc!$A:$A,0))</f>
        <v>2572.0874757569572</v>
      </c>
      <c r="AL46" s="772"/>
      <c r="AM46" s="776">
        <f>INDEX(DSS_Calc!$JD:$JD,MATCH(AM$4+$B46,DSS_Calc!$A:$A,0))-INDEX(DSS_Calc!$JD:$JD,MATCH(AM$4+$B$6,DSS_Calc!$A:$A,0))</f>
        <v>441.38466485894423</v>
      </c>
      <c r="AN46" s="775">
        <f>INDEX(DSS_Calc!$JM:$JM,MATCH(AM$4+$B46,DSS_Calc!$A:$A,0))/INDEX(DSS_Calc!$JM:$JM,MATCH(AM$4+$B$6,DSS_Calc!$A:$A,0))-1</f>
        <v>6.5749217014163586E-2</v>
      </c>
      <c r="AO46" s="787">
        <f>ABS(INDEX(DSS_Calc!$KU:$KU,MATCH(AM$4+$B46,DSS_Calc!$A:$A,0)))</f>
        <v>4.0151796330946166</v>
      </c>
      <c r="AP46" s="772">
        <f t="shared" si="53"/>
        <v>10</v>
      </c>
      <c r="AQ46" s="812">
        <f t="shared" si="62"/>
        <v>7</v>
      </c>
      <c r="AR46" s="812">
        <f t="shared" si="63"/>
        <v>100</v>
      </c>
      <c r="AS46" s="812">
        <f>INDEX(DSS_Calc!$JM:$JM,MATCH(AM$4+$B46,DSS_Calc!$A:$A,0))</f>
        <v>878.54270990677321</v>
      </c>
      <c r="AT46" s="772"/>
      <c r="AU46" s="776">
        <f>INDEX(DSS_Calc!$JD:$JD,MATCH(AU$4+$B46,DSS_Calc!$A:$A,0))-INDEX(DSS_Calc!$JD:$JD,MATCH(AU$4+$B$6,DSS_Calc!$A:$A,0))</f>
        <v>396.56726922069993</v>
      </c>
      <c r="AV46" s="775">
        <f>INDEX(DSS_Calc!$JM:$JM,MATCH(AU$4+$B46,DSS_Calc!$A:$A,0))/INDEX(DSS_Calc!$JM:$JM,MATCH(AU$4+$B$6,DSS_Calc!$A:$A,0))-1</f>
        <v>6.1427155009599721E-2</v>
      </c>
    </row>
    <row r="47" spans="2:48">
      <c r="B47" s="836">
        <f t="shared" si="65"/>
        <v>33</v>
      </c>
      <c r="C47" s="777"/>
      <c r="D47" s="778" t="str">
        <f>LEFT(INDEX(DSS_Calc!$D:$D,MATCH(G$4+$B47,DSS_Calc!$A:$A,0)),LEN(INDEX(DSS_Calc!$D:$D,MATCH(G$4+$B47,DSS_Calc!$A:$A,0)))-2)</f>
        <v>750 CC, 750 Combo</v>
      </c>
      <c r="E47" s="777" t="str">
        <f>"MY"&amp;RIGHT(Input!$H$9,2)&amp;" "&amp;Input!$H$3</f>
        <v>MY20 Soul</v>
      </c>
      <c r="F47" s="772"/>
      <c r="G47" s="779">
        <f>INDEX(DSS_Calc!$JD:$JD,MATCH(G$4+$B47,DSS_Calc!$A:$A,0))-INDEX(DSS_Calc!$JD:$JD,MATCH(G$4+$B$6,DSS_Calc!$A:$A,0))</f>
        <v>268.63267294464231</v>
      </c>
      <c r="H47" s="780">
        <f>INDEX(DSS_Calc!$JM:$JM,MATCH(G$4+$B47,DSS_Calc!$A:$A,0))/INDEX(DSS_Calc!$JM:$JM,MATCH(G$4+$B$6,DSS_Calc!$A:$A,0))-1</f>
        <v>7.6259231334938393E-2</v>
      </c>
      <c r="I47" s="788">
        <f>ABS(INDEX(DSS_Calc!$KU:$KU,MATCH(G$4+$B47,DSS_Calc!$A:$A,0)))</f>
        <v>6.5764014395378085</v>
      </c>
      <c r="J47" s="777">
        <f t="shared" si="49"/>
        <v>9</v>
      </c>
      <c r="K47" s="813">
        <f t="shared" si="54"/>
        <v>4</v>
      </c>
      <c r="L47" s="813">
        <f t="shared" si="55"/>
        <v>100</v>
      </c>
      <c r="M47" s="813">
        <f>INDEX(DSS_Calc!$JM:$JM,MATCH(G$4+$B47,DSS_Calc!$A:$A,0))</f>
        <v>481.98729459636604</v>
      </c>
      <c r="N47" s="772"/>
      <c r="O47" s="779">
        <f>INDEX(DSS_Calc!$JD:$JD,MATCH(O$4+$B47,DSS_Calc!$A:$A,0))-INDEX(DSS_Calc!$JD:$JD,MATCH(O$4+$B$6,DSS_Calc!$A:$A,0))</f>
        <v>549.69259409366168</v>
      </c>
      <c r="P47" s="780">
        <f>INDEX(DSS_Calc!$JM:$JM,MATCH(O$4+$B47,DSS_Calc!$A:$A,0))/INDEX(DSS_Calc!$JM:$JM,MATCH(O$4+$B$6,DSS_Calc!$A:$A,0))-1</f>
        <v>9.2556693833536929E-2</v>
      </c>
      <c r="Q47" s="788">
        <f>ABS(INDEX(DSS_Calc!$KU:$KU,MATCH(O$4+$B47,DSS_Calc!$A:$A,0)))</f>
        <v>4.6004673176776967</v>
      </c>
      <c r="R47" s="777">
        <f t="shared" si="50"/>
        <v>10</v>
      </c>
      <c r="S47" s="813">
        <f t="shared" si="56"/>
        <v>5</v>
      </c>
      <c r="T47" s="813">
        <f t="shared" si="57"/>
        <v>100</v>
      </c>
      <c r="U47" s="813">
        <f>INDEX(DSS_Calc!$JM:$JM,MATCH(O$4+$B47,DSS_Calc!$A:$A,0))</f>
        <v>1366.0966653915339</v>
      </c>
      <c r="V47" s="772"/>
      <c r="W47" s="779">
        <f>INDEX(DSS_Calc!$JD:$JD,MATCH(W$4+$B47,DSS_Calc!$A:$A,0))-INDEX(DSS_Calc!$JD:$JD,MATCH(W$4+$B$6,DSS_Calc!$A:$A,0))</f>
        <v>577.76976386341175</v>
      </c>
      <c r="X47" s="780">
        <f>INDEX(DSS_Calc!$JM:$JM,MATCH(W$4+$B47,DSS_Calc!$A:$A,0))/INDEX(DSS_Calc!$JM:$JM,MATCH(W$4+$B$6,DSS_Calc!$A:$A,0))-1</f>
        <v>9.2278235752584425E-2</v>
      </c>
      <c r="Y47" s="788">
        <f>ABS(INDEX(DSS_Calc!$KU:$KU,MATCH(W$4+$B47,DSS_Calc!$A:$A,0)))</f>
        <v>4.7637635580814237</v>
      </c>
      <c r="Z47" s="777">
        <f t="shared" si="51"/>
        <v>7</v>
      </c>
      <c r="AA47" s="813">
        <f t="shared" si="58"/>
        <v>5</v>
      </c>
      <c r="AB47" s="813">
        <f t="shared" si="59"/>
        <v>100</v>
      </c>
      <c r="AC47" s="813">
        <f>INDEX(DSS_Calc!$JM:$JM,MATCH(W$4+$B47,DSS_Calc!$A:$A,0))</f>
        <v>1812.2331099441526</v>
      </c>
      <c r="AD47" s="772"/>
      <c r="AE47" s="779">
        <f>INDEX(DSS_Calc!$JD:$JD,MATCH(AE$4+$B47,DSS_Calc!$A:$A,0))-INDEX(DSS_Calc!$JD:$JD,MATCH(AE$4+$B$6,DSS_Calc!$A:$A,0))</f>
        <v>689.97838074021502</v>
      </c>
      <c r="AF47" s="780">
        <f>INDEX(DSS_Calc!$JM:$JM,MATCH(AE$4+$B47,DSS_Calc!$A:$A,0))/INDEX(DSS_Calc!$JM:$JM,MATCH(AE$4+$B$6,DSS_Calc!$A:$A,0))-1</f>
        <v>9.6540309013252168E-2</v>
      </c>
      <c r="AG47" s="788">
        <f>ABS(INDEX(DSS_Calc!$KU:$KU,MATCH(AE$4+$B47,DSS_Calc!$A:$A,0)))</f>
        <v>4.0904418860397591</v>
      </c>
      <c r="AH47" s="777">
        <f t="shared" si="52"/>
        <v>4</v>
      </c>
      <c r="AI47" s="813">
        <f t="shared" si="60"/>
        <v>4</v>
      </c>
      <c r="AJ47" s="813">
        <f t="shared" si="61"/>
        <v>100</v>
      </c>
      <c r="AK47" s="813">
        <f>INDEX(DSS_Calc!$JM:$JM,MATCH(AE$4+$B47,DSS_Calc!$A:$A,0))</f>
        <v>2652.1053094833778</v>
      </c>
      <c r="AL47" s="772"/>
      <c r="AM47" s="779">
        <f>INDEX(DSS_Calc!$JD:$JD,MATCH(AM$4+$B47,DSS_Calc!$A:$A,0))-INDEX(DSS_Calc!$JD:$JD,MATCH(AM$4+$B$6,DSS_Calc!$A:$A,0))</f>
        <v>668.71363576825979</v>
      </c>
      <c r="AN47" s="780">
        <f>INDEX(DSS_Calc!$JM:$JM,MATCH(AM$4+$B47,DSS_Calc!$A:$A,0))/INDEX(DSS_Calc!$JM:$JM,MATCH(AM$4+$B$6,DSS_Calc!$A:$A,0))-1</f>
        <v>0.10025693989194062</v>
      </c>
      <c r="AO47" s="788">
        <f>ABS(INDEX(DSS_Calc!$KU:$KU,MATCH(AM$4+$B47,DSS_Calc!$A:$A,0)))</f>
        <v>4.0310966935038675</v>
      </c>
      <c r="AP47" s="777">
        <f t="shared" si="53"/>
        <v>5</v>
      </c>
      <c r="AQ47" s="813">
        <f t="shared" si="62"/>
        <v>5</v>
      </c>
      <c r="AR47" s="813">
        <f t="shared" si="63"/>
        <v>100</v>
      </c>
      <c r="AS47" s="813">
        <f>INDEX(DSS_Calc!$JM:$JM,MATCH(AM$4+$B47,DSS_Calc!$A:$A,0))</f>
        <v>906.98890333179861</v>
      </c>
      <c r="AT47" s="772"/>
      <c r="AU47" s="779">
        <f>INDEX(DSS_Calc!$JD:$JD,MATCH(AU$4+$B47,DSS_Calc!$A:$A,0))-INDEX(DSS_Calc!$JD:$JD,MATCH(AU$4+$B$6,DSS_Calc!$A:$A,0))</f>
        <v>603.81036162535429</v>
      </c>
      <c r="AV47" s="780">
        <f>INDEX(DSS_Calc!$JM:$JM,MATCH(AU$4+$B47,DSS_Calc!$A:$A,0))/INDEX(DSS_Calc!$JM:$JM,MATCH(AU$4+$B$6,DSS_Calc!$A:$A,0))-1</f>
        <v>9.3802378351323767E-2</v>
      </c>
    </row>
    <row r="48" spans="2:48">
      <c r="B48" s="836">
        <f t="shared" si="65"/>
        <v>34</v>
      </c>
      <c r="C48" s="772"/>
      <c r="D48" s="774" t="str">
        <f>LEFT(INDEX(DSS_Calc!$D:$D,MATCH(G$4+$B48,DSS_Calc!$A:$A,0)),LEN(INDEX(DSS_Calc!$D:$D,MATCH(G$4+$B48,DSS_Calc!$A:$A,0)))-2)</f>
        <v>1000 CC, 1000 Combo</v>
      </c>
      <c r="E48" s="772" t="str">
        <f>"MY"&amp;RIGHT(Input!$H$9,2)&amp;" "&amp;Input!$H$3</f>
        <v>MY20 Soul</v>
      </c>
      <c r="F48" s="772"/>
      <c r="G48" s="776">
        <f>INDEX(DSS_Calc!$JD:$JD,MATCH(G$4+$B48,DSS_Calc!$A:$A,0))-INDEX(DSS_Calc!$JD:$JD,MATCH(G$4+$B$6,DSS_Calc!$A:$A,0))</f>
        <v>389.71127567048597</v>
      </c>
      <c r="H48" s="775">
        <f>INDEX(DSS_Calc!$JM:$JM,MATCH(G$4+$B48,DSS_Calc!$A:$A,0))/INDEX(DSS_Calc!$JM:$JM,MATCH(G$4+$B$6,DSS_Calc!$A:$A,0))-1</f>
        <v>0.10477231031799294</v>
      </c>
      <c r="I48" s="787">
        <f>ABS(INDEX(DSS_Calc!$KU:$KU,MATCH(G$4+$B48,DSS_Calc!$A:$A,0)))</f>
        <v>6.6614702604303035</v>
      </c>
      <c r="J48" s="814">
        <f t="shared" si="49"/>
        <v>5</v>
      </c>
      <c r="K48" s="812">
        <f t="shared" si="54"/>
        <v>2</v>
      </c>
      <c r="L48" s="812">
        <f t="shared" si="55"/>
        <v>100</v>
      </c>
      <c r="M48" s="812">
        <f>INDEX(DSS_Calc!$JM:$JM,MATCH(G$4+$B48,DSS_Calc!$A:$A,0))</f>
        <v>494.75646897325754</v>
      </c>
      <c r="N48" s="772"/>
      <c r="O48" s="776">
        <f>INDEX(DSS_Calc!$JD:$JD,MATCH(O$4+$B48,DSS_Calc!$A:$A,0))-INDEX(DSS_Calc!$JD:$JD,MATCH(O$4+$B$6,DSS_Calc!$A:$A,0))</f>
        <v>751.46731011789097</v>
      </c>
      <c r="P48" s="775">
        <f>INDEX(DSS_Calc!$JM:$JM,MATCH(O$4+$B48,DSS_Calc!$A:$A,0))/INDEX(DSS_Calc!$JM:$JM,MATCH(O$4+$B$6,DSS_Calc!$A:$A,0))-1</f>
        <v>0.12602024101774179</v>
      </c>
      <c r="Q48" s="787">
        <f>ABS(INDEX(DSS_Calc!$KU:$KU,MATCH(O$4+$B48,DSS_Calc!$A:$A,0)))</f>
        <v>4.6223575359865787</v>
      </c>
      <c r="R48" s="814">
        <f t="shared" si="50"/>
        <v>3</v>
      </c>
      <c r="S48" s="812">
        <f t="shared" si="56"/>
        <v>3</v>
      </c>
      <c r="T48" s="812">
        <f t="shared" si="57"/>
        <v>100</v>
      </c>
      <c r="U48" s="812">
        <f>INDEX(DSS_Calc!$JM:$JM,MATCH(O$4+$B48,DSS_Calc!$A:$A,0))</f>
        <v>1407.9383752803935</v>
      </c>
      <c r="V48" s="772"/>
      <c r="W48" s="776">
        <f>INDEX(DSS_Calc!$JD:$JD,MATCH(W$4+$B48,DSS_Calc!$A:$A,0))-INDEX(DSS_Calc!$JD:$JD,MATCH(W$4+$B$6,DSS_Calc!$A:$A,0))</f>
        <v>782.55701121277889</v>
      </c>
      <c r="X48" s="775">
        <f>INDEX(DSS_Calc!$JM:$JM,MATCH(W$4+$B48,DSS_Calc!$A:$A,0))/INDEX(DSS_Calc!$JM:$JM,MATCH(W$4+$B$6,DSS_Calc!$A:$A,0))-1</f>
        <v>0.12536230784883773</v>
      </c>
      <c r="Y48" s="787">
        <f>ABS(INDEX(DSS_Calc!$KU:$KU,MATCH(W$4+$B48,DSS_Calc!$A:$A,0)))</f>
        <v>4.7911084208536074</v>
      </c>
      <c r="Z48" s="814">
        <f t="shared" si="51"/>
        <v>2</v>
      </c>
      <c r="AA48" s="812">
        <f t="shared" si="58"/>
        <v>2</v>
      </c>
      <c r="AB48" s="812">
        <f t="shared" si="59"/>
        <v>100</v>
      </c>
      <c r="AC48" s="812">
        <f>INDEX(DSS_Calc!$JM:$JM,MATCH(W$4+$B48,DSS_Calc!$A:$A,0))</f>
        <v>1867.1239325405581</v>
      </c>
      <c r="AD48" s="772"/>
      <c r="AE48" s="776">
        <f>INDEX(DSS_Calc!$JD:$JD,MATCH(AE$4+$B48,DSS_Calc!$A:$A,0))-INDEX(DSS_Calc!$JD:$JD,MATCH(AE$4+$B$6,DSS_Calc!$A:$A,0))</f>
        <v>925.51727805839027</v>
      </c>
      <c r="AF48" s="775">
        <f>INDEX(DSS_Calc!$JM:$JM,MATCH(AE$4+$B48,DSS_Calc!$A:$A,0))/INDEX(DSS_Calc!$JM:$JM,MATCH(AE$4+$B$6,DSS_Calc!$A:$A,0))-1</f>
        <v>0.13054540984720586</v>
      </c>
      <c r="AG48" s="787">
        <f>ABS(INDEX(DSS_Calc!$KU:$KU,MATCH(AE$4+$B48,DSS_Calc!$A:$A,0)))</f>
        <v>4.1120697331579379</v>
      </c>
      <c r="AH48" s="814">
        <f t="shared" si="52"/>
        <v>1</v>
      </c>
      <c r="AI48" s="812">
        <f t="shared" si="60"/>
        <v>1</v>
      </c>
      <c r="AJ48" s="812">
        <f t="shared" si="61"/>
        <v>100</v>
      </c>
      <c r="AK48" s="812">
        <f>INDEX(DSS_Calc!$JM:$JM,MATCH(AE$4+$B48,DSS_Calc!$A:$A,0))</f>
        <v>2734.350446967107</v>
      </c>
      <c r="AL48" s="772"/>
      <c r="AM48" s="776">
        <f>INDEX(DSS_Calc!$JD:$JD,MATCH(AM$4+$B48,DSS_Calc!$A:$A,0))-INDEX(DSS_Calc!$JD:$JD,MATCH(AM$4+$B$6,DSS_Calc!$A:$A,0))</f>
        <v>899.45219556466645</v>
      </c>
      <c r="AN48" s="775">
        <f>INDEX(DSS_Calc!$JM:$JM,MATCH(AM$4+$B48,DSS_Calc!$A:$A,0))/INDEX(DSS_Calc!$JM:$JM,MATCH(AM$4+$B$6,DSS_Calc!$A:$A,0))-1</f>
        <v>0.13587287119056812</v>
      </c>
      <c r="AO48" s="787">
        <f>ABS(INDEX(DSS_Calc!$KU:$KU,MATCH(AM$4+$B48,DSS_Calc!$A:$A,0)))</f>
        <v>4.0504202693734292</v>
      </c>
      <c r="AP48" s="814">
        <f t="shared" si="53"/>
        <v>2</v>
      </c>
      <c r="AQ48" s="812">
        <f t="shared" si="62"/>
        <v>2</v>
      </c>
      <c r="AR48" s="812">
        <f t="shared" si="63"/>
        <v>100</v>
      </c>
      <c r="AS48" s="812">
        <f>INDEX(DSS_Calc!$JM:$JM,MATCH(AM$4+$B48,DSS_Calc!$A:$A,0))</f>
        <v>936.34864040635443</v>
      </c>
      <c r="AT48" s="772"/>
      <c r="AU48" s="776">
        <f>INDEX(DSS_Calc!$JD:$JD,MATCH(AU$4+$B48,DSS_Calc!$A:$A,0))-INDEX(DSS_Calc!$JD:$JD,MATCH(AU$4+$B$6,DSS_Calc!$A:$A,0))</f>
        <v>816.93715618678107</v>
      </c>
      <c r="AV48" s="775">
        <f>INDEX(DSS_Calc!$JM:$JM,MATCH(AU$4+$B48,DSS_Calc!$A:$A,0))/INDEX(DSS_Calc!$JM:$JM,MATCH(AU$4+$B$6,DSS_Calc!$A:$A,0))-1</f>
        <v>0.12730191109089328</v>
      </c>
    </row>
    <row r="49" spans="2:48">
      <c r="B49" s="836">
        <f t="shared" si="65"/>
        <v>35</v>
      </c>
      <c r="C49" s="777"/>
      <c r="D49" s="778" t="str">
        <f>LEFT(INDEX(DSS_Calc!$D:$D,MATCH(G$4+$B49,DSS_Calc!$A:$A,0)),LEN(INDEX(DSS_Calc!$D:$D,MATCH(G$4+$B49,DSS_Calc!$A:$A,0)))-2)</f>
        <v>250 CC, 0/0/0.9/3.9</v>
      </c>
      <c r="E49" s="777" t="str">
        <f>"MY"&amp;RIGHT(Input!$H$9,2)&amp;" "&amp;Input!$H$3</f>
        <v>MY20 Soul</v>
      </c>
      <c r="F49" s="772"/>
      <c r="G49" s="779">
        <f>INDEX(DSS_Calc!$JD:$JD,MATCH(G$4+$B49,DSS_Calc!$A:$A,0))-INDEX(DSS_Calc!$JD:$JD,MATCH(G$4+$B$6,DSS_Calc!$A:$A,0))</f>
        <v>81.18022043323208</v>
      </c>
      <c r="H49" s="780">
        <f>INDEX(DSS_Calc!$JM:$JM,MATCH(G$4+$B49,DSS_Calc!$A:$A,0))/INDEX(DSS_Calc!$JM:$JM,MATCH(G$4+$B$6,DSS_Calc!$A:$A,0))-1</f>
        <v>2.6877204844919955E-2</v>
      </c>
      <c r="I49" s="788">
        <f>ABS(INDEX(DSS_Calc!$KU:$KU,MATCH(G$4+$B49,DSS_Calc!$A:$A,0)))</f>
        <v>6.3634192092962643</v>
      </c>
      <c r="J49" s="777">
        <f t="shared" si="49"/>
        <v>21</v>
      </c>
      <c r="K49" s="813">
        <f t="shared" si="54"/>
        <v>100</v>
      </c>
      <c r="L49" s="813">
        <f t="shared" si="55"/>
        <v>15</v>
      </c>
      <c r="M49" s="813">
        <f>INDEX(DSS_Calc!$JM:$JM,MATCH(G$4+$B49,DSS_Calc!$A:$A,0))</f>
        <v>459.87226073032627</v>
      </c>
      <c r="N49" s="772"/>
      <c r="O49" s="779">
        <f>INDEX(DSS_Calc!$JD:$JD,MATCH(O$4+$B49,DSS_Calc!$A:$A,0))-INDEX(DSS_Calc!$JD:$JD,MATCH(O$4+$B$6,DSS_Calc!$A:$A,0))</f>
        <v>200.31968713632023</v>
      </c>
      <c r="P49" s="780">
        <f>INDEX(DSS_Calc!$JM:$JM,MATCH(O$4+$B49,DSS_Calc!$A:$A,0))/INDEX(DSS_Calc!$JM:$JM,MATCH(O$4+$B$6,DSS_Calc!$A:$A,0))-1</f>
        <v>3.4831047221819178E-2</v>
      </c>
      <c r="Q49" s="788">
        <f>ABS(INDEX(DSS_Calc!$KU:$KU,MATCH(O$4+$B49,DSS_Calc!$A:$A,0)))</f>
        <v>4.5563931750245077</v>
      </c>
      <c r="R49" s="777">
        <f t="shared" si="50"/>
        <v>18</v>
      </c>
      <c r="S49" s="813">
        <f t="shared" si="56"/>
        <v>100</v>
      </c>
      <c r="T49" s="813">
        <f t="shared" si="57"/>
        <v>9</v>
      </c>
      <c r="U49" s="813">
        <f>INDEX(DSS_Calc!$JM:$JM,MATCH(O$4+$B49,DSS_Calc!$A:$A,0))</f>
        <v>1293.9184308075326</v>
      </c>
      <c r="V49" s="772"/>
      <c r="W49" s="779">
        <f>INDEX(DSS_Calc!$JD:$JD,MATCH(W$4+$B49,DSS_Calc!$A:$A,0))-INDEX(DSS_Calc!$JD:$JD,MATCH(W$4+$B$6,DSS_Calc!$A:$A,0))</f>
        <v>229.69131785028958</v>
      </c>
      <c r="X49" s="780">
        <f>INDEX(DSS_Calc!$JM:$JM,MATCH(W$4+$B49,DSS_Calc!$A:$A,0))/INDEX(DSS_Calc!$JM:$JM,MATCH(W$4+$B$6,DSS_Calc!$A:$A,0))-1</f>
        <v>3.5905274725234637E-2</v>
      </c>
      <c r="Y49" s="788">
        <f>ABS(INDEX(DSS_Calc!$KU:$KU,MATCH(W$4+$B49,DSS_Calc!$A:$A,0)))</f>
        <v>4.706746809436595</v>
      </c>
      <c r="Z49" s="777">
        <f t="shared" si="51"/>
        <v>18</v>
      </c>
      <c r="AA49" s="813">
        <f t="shared" si="58"/>
        <v>100</v>
      </c>
      <c r="AB49" s="813">
        <f t="shared" si="59"/>
        <v>9</v>
      </c>
      <c r="AC49" s="813">
        <f>INDEX(DSS_Calc!$JM:$JM,MATCH(W$4+$B49,DSS_Calc!$A:$A,0))</f>
        <v>1718.7029606329149</v>
      </c>
      <c r="AD49" s="772"/>
      <c r="AE49" s="779">
        <f>INDEX(DSS_Calc!$JD:$JD,MATCH(AE$4+$B49,DSS_Calc!$A:$A,0))-INDEX(DSS_Calc!$JD:$JD,MATCH(AE$4+$B$6,DSS_Calc!$A:$A,0))</f>
        <v>280.17093355111592</v>
      </c>
      <c r="AF49" s="780">
        <f>INDEX(DSS_Calc!$JM:$JM,MATCH(AE$4+$B49,DSS_Calc!$A:$A,0))/INDEX(DSS_Calc!$JM:$JM,MATCH(AE$4+$B$6,DSS_Calc!$A:$A,0))-1</f>
        <v>3.9039541025146729E-2</v>
      </c>
      <c r="AG49" s="788">
        <f>ABS(INDEX(DSS_Calc!$KU:$KU,MATCH(AE$4+$B49,DSS_Calc!$A:$A,0)))</f>
        <v>4.0619767536025746</v>
      </c>
      <c r="AH49" s="777">
        <f t="shared" si="52"/>
        <v>13</v>
      </c>
      <c r="AI49" s="813">
        <f t="shared" si="60"/>
        <v>13</v>
      </c>
      <c r="AJ49" s="813">
        <f t="shared" si="61"/>
        <v>100</v>
      </c>
      <c r="AK49" s="813">
        <f>INDEX(DSS_Calc!$JM:$JM,MATCH(AE$4+$B49,DSS_Calc!$A:$A,0))</f>
        <v>2513.0332746232498</v>
      </c>
      <c r="AL49" s="772"/>
      <c r="AM49" s="779">
        <f>INDEX(DSS_Calc!$JD:$JD,MATCH(AM$4+$B49,DSS_Calc!$A:$A,0))-INDEX(DSS_Calc!$JD:$JD,MATCH(AM$4+$B$6,DSS_Calc!$A:$A,0))</f>
        <v>256.11590203935339</v>
      </c>
      <c r="AN49" s="780">
        <f>INDEX(DSS_Calc!$JM:$JM,MATCH(AM$4+$B49,DSS_Calc!$A:$A,0))/INDEX(DSS_Calc!$JM:$JM,MATCH(AM$4+$B$6,DSS_Calc!$A:$A,0))-1</f>
        <v>3.888243705637362E-2</v>
      </c>
      <c r="AO49" s="788">
        <f>ABS(INDEX(DSS_Calc!$KU:$KU,MATCH(AM$4+$B49,DSS_Calc!$A:$A,0)))</f>
        <v>4.0157188094594076</v>
      </c>
      <c r="AP49" s="777">
        <f t="shared" si="53"/>
        <v>8</v>
      </c>
      <c r="AQ49" s="813">
        <f t="shared" si="62"/>
        <v>6</v>
      </c>
      <c r="AR49" s="813">
        <f t="shared" si="63"/>
        <v>100</v>
      </c>
      <c r="AS49" s="813">
        <f>INDEX(DSS_Calc!$JM:$JM,MATCH(AM$4+$B49,DSS_Calc!$A:$A,0))</f>
        <v>856.39527287959481</v>
      </c>
      <c r="AT49" s="772"/>
      <c r="AU49" s="779">
        <f>INDEX(DSS_Calc!$JD:$JD,MATCH(AU$4+$B49,DSS_Calc!$A:$A,0))-INDEX(DSS_Calc!$JD:$JD,MATCH(AU$4+$B$6,DSS_Calc!$A:$A,0))</f>
        <v>235.82781627780651</v>
      </c>
      <c r="AV49" s="780">
        <f>INDEX(DSS_Calc!$JM:$JM,MATCH(AU$4+$B49,DSS_Calc!$A:$A,0))/INDEX(DSS_Calc!$JM:$JM,MATCH(AU$4+$B$6,DSS_Calc!$A:$A,0))-1</f>
        <v>3.6609562940694618E-2</v>
      </c>
    </row>
    <row r="50" spans="2:48">
      <c r="B50" s="836">
        <f t="shared" si="65"/>
        <v>36</v>
      </c>
      <c r="C50" s="772"/>
      <c r="D50" s="774" t="str">
        <f>LEFT(INDEX(DSS_Calc!$D:$D,MATCH(G$4+$B50,DSS_Calc!$A:$A,0)),LEN(INDEX(DSS_Calc!$D:$D,MATCH(G$4+$B50,DSS_Calc!$A:$A,0)))-2)</f>
        <v>500 CC, 0/0/0.9/3.9</v>
      </c>
      <c r="E50" s="772" t="str">
        <f>"MY"&amp;RIGHT(Input!$H$9,2)&amp;" "&amp;Input!$H$3</f>
        <v>MY20 Soul</v>
      </c>
      <c r="F50" s="772"/>
      <c r="G50" s="776">
        <f>INDEX(DSS_Calc!$JD:$JD,MATCH(G$4+$B50,DSS_Calc!$A:$A,0))-INDEX(DSS_Calc!$JD:$JD,MATCH(G$4+$B$6,DSS_Calc!$A:$A,0))</f>
        <v>87.87721309305789</v>
      </c>
      <c r="H50" s="775">
        <f>INDEX(DSS_Calc!$JM:$JM,MATCH(G$4+$B50,DSS_Calc!$A:$A,0))/INDEX(DSS_Calc!$JM:$JM,MATCH(G$4+$B$6,DSS_Calc!$A:$A,0))-1</f>
        <v>3.7583690227442901E-2</v>
      </c>
      <c r="I50" s="787">
        <f>ABS(INDEX(DSS_Calc!$KU:$KU,MATCH(G$4+$B50,DSS_Calc!$A:$A,0)))</f>
        <v>6.4862399956875336</v>
      </c>
      <c r="J50" s="772">
        <f t="shared" si="49"/>
        <v>12</v>
      </c>
      <c r="K50" s="812">
        <f t="shared" si="54"/>
        <v>100</v>
      </c>
      <c r="L50" s="812">
        <f t="shared" si="55"/>
        <v>8</v>
      </c>
      <c r="M50" s="812">
        <f>INDEX(DSS_Calc!$JM:$JM,MATCH(G$4+$B50,DSS_Calc!$A:$A,0))</f>
        <v>464.6670069902558</v>
      </c>
      <c r="N50" s="772"/>
      <c r="O50" s="776">
        <f>INDEX(DSS_Calc!$JD:$JD,MATCH(O$4+$B50,DSS_Calc!$A:$A,0))-INDEX(DSS_Calc!$JD:$JD,MATCH(O$4+$B$6,DSS_Calc!$A:$A,0))</f>
        <v>261.69488286894193</v>
      </c>
      <c r="P50" s="775">
        <f>INDEX(DSS_Calc!$JM:$JM,MATCH(O$4+$B50,DSS_Calc!$A:$A,0))/INDEX(DSS_Calc!$JM:$JM,MATCH(O$4+$B$6,DSS_Calc!$A:$A,0))-1</f>
        <v>4.7704426769530794E-2</v>
      </c>
      <c r="Q50" s="787">
        <f>ABS(INDEX(DSS_Calc!$KU:$KU,MATCH(O$4+$B50,DSS_Calc!$A:$A,0)))</f>
        <v>4.5987280794467322</v>
      </c>
      <c r="R50" s="772">
        <f t="shared" si="50"/>
        <v>12</v>
      </c>
      <c r="S50" s="812">
        <f t="shared" si="56"/>
        <v>6</v>
      </c>
      <c r="T50" s="812">
        <f t="shared" si="57"/>
        <v>100</v>
      </c>
      <c r="U50" s="812">
        <f>INDEX(DSS_Calc!$JM:$JM,MATCH(O$4+$B50,DSS_Calc!$A:$A,0))</f>
        <v>1310.0148777669503</v>
      </c>
      <c r="V50" s="772"/>
      <c r="W50" s="776">
        <f>INDEX(DSS_Calc!$JD:$JD,MATCH(W$4+$B50,DSS_Calc!$A:$A,0))-INDEX(DSS_Calc!$JD:$JD,MATCH(W$4+$B$6,DSS_Calc!$A:$A,0))</f>
        <v>281.74294315088491</v>
      </c>
      <c r="X50" s="775">
        <f>INDEX(DSS_Calc!$JM:$JM,MATCH(W$4+$B50,DSS_Calc!$A:$A,0))/INDEX(DSS_Calc!$JM:$JM,MATCH(W$4+$B$6,DSS_Calc!$A:$A,0))-1</f>
        <v>4.7093090490988532E-2</v>
      </c>
      <c r="Y50" s="787">
        <f>ABS(INDEX(DSS_Calc!$KU:$KU,MATCH(W$4+$B50,DSS_Calc!$A:$A,0)))</f>
        <v>4.7466815976797312</v>
      </c>
      <c r="Z50" s="772">
        <f t="shared" si="51"/>
        <v>10</v>
      </c>
      <c r="AA50" s="812">
        <f t="shared" si="58"/>
        <v>6</v>
      </c>
      <c r="AB50" s="812">
        <f t="shared" si="59"/>
        <v>100</v>
      </c>
      <c r="AC50" s="812">
        <f>INDEX(DSS_Calc!$JM:$JM,MATCH(W$4+$B50,DSS_Calc!$A:$A,0))</f>
        <v>1737.2650169799269</v>
      </c>
      <c r="AD50" s="772"/>
      <c r="AE50" s="776">
        <f>INDEX(DSS_Calc!$JD:$JD,MATCH(AE$4+$B50,DSS_Calc!$A:$A,0))-INDEX(DSS_Calc!$JD:$JD,MATCH(AE$4+$B$6,DSS_Calc!$A:$A,0))</f>
        <v>370.02405905636715</v>
      </c>
      <c r="AF50" s="775">
        <f>INDEX(DSS_Calc!$JM:$JM,MATCH(AE$4+$B50,DSS_Calc!$A:$A,0))/INDEX(DSS_Calc!$JM:$JM,MATCH(AE$4+$B$6,DSS_Calc!$A:$A,0))-1</f>
        <v>5.2581518671421135E-2</v>
      </c>
      <c r="AG50" s="787">
        <f>ABS(INDEX(DSS_Calc!$KU:$KU,MATCH(AE$4+$B50,DSS_Calc!$A:$A,0)))</f>
        <v>4.0784320570986425</v>
      </c>
      <c r="AH50" s="772">
        <f t="shared" si="52"/>
        <v>5</v>
      </c>
      <c r="AI50" s="812">
        <f t="shared" si="60"/>
        <v>5</v>
      </c>
      <c r="AJ50" s="812">
        <f t="shared" si="61"/>
        <v>100</v>
      </c>
      <c r="AK50" s="812">
        <f>INDEX(DSS_Calc!$JM:$JM,MATCH(AE$4+$B50,DSS_Calc!$A:$A,0))</f>
        <v>2545.7860612936352</v>
      </c>
      <c r="AL50" s="772"/>
      <c r="AM50" s="776">
        <f>INDEX(DSS_Calc!$JD:$JD,MATCH(AM$4+$B50,DSS_Calc!$A:$A,0))-INDEX(DSS_Calc!$JD:$JD,MATCH(AM$4+$B$6,DSS_Calc!$A:$A,0))</f>
        <v>337.14031847541673</v>
      </c>
      <c r="AN50" s="775">
        <f>INDEX(DSS_Calc!$JM:$JM,MATCH(AM$4+$B50,DSS_Calc!$A:$A,0))/INDEX(DSS_Calc!$JM:$JM,MATCH(AM$4+$B$6,DSS_Calc!$A:$A,0))-1</f>
        <v>5.2202977602185285E-2</v>
      </c>
      <c r="AO50" s="787">
        <f>ABS(INDEX(DSS_Calc!$KU:$KU,MATCH(AM$4+$B50,DSS_Calc!$A:$A,0)))</f>
        <v>4.0347217618565745</v>
      </c>
      <c r="AP50" s="772">
        <f t="shared" si="53"/>
        <v>4</v>
      </c>
      <c r="AQ50" s="812">
        <f t="shared" si="62"/>
        <v>4</v>
      </c>
      <c r="AR50" s="812">
        <f t="shared" si="63"/>
        <v>100</v>
      </c>
      <c r="AS50" s="812">
        <f>INDEX(DSS_Calc!$JM:$JM,MATCH(AM$4+$B50,DSS_Calc!$A:$A,0))</f>
        <v>867.37596477381646</v>
      </c>
      <c r="AT50" s="772"/>
      <c r="AU50" s="776">
        <f>INDEX(DSS_Calc!$JD:$JD,MATCH(AU$4+$B50,DSS_Calc!$A:$A,0))-INDEX(DSS_Calc!$JD:$JD,MATCH(AU$4+$B$6,DSS_Calc!$A:$A,0))</f>
        <v>304.04730680385865</v>
      </c>
      <c r="AV50" s="775">
        <f>INDEX(DSS_Calc!$JM:$JM,MATCH(AU$4+$B50,DSS_Calc!$A:$A,0))/INDEX(DSS_Calc!$JM:$JM,MATCH(AU$4+$B$6,DSS_Calc!$A:$A,0))-1</f>
        <v>4.9213061690566384E-2</v>
      </c>
    </row>
    <row r="51" spans="2:48">
      <c r="B51" s="836">
        <f t="shared" si="65"/>
        <v>37</v>
      </c>
      <c r="C51" s="777"/>
      <c r="D51" s="778" t="str">
        <f>LEFT(INDEX(DSS_Calc!$D:$D,MATCH(G$4+$B51,DSS_Calc!$A:$A,0)),LEN(INDEX(DSS_Calc!$D:$D,MATCH(G$4+$B51,DSS_Calc!$A:$A,0)))-2)</f>
        <v>750 CC, 0/0/0.9/3.9</v>
      </c>
      <c r="E51" s="777" t="str">
        <f>"MY"&amp;RIGHT(Input!$H$9,2)&amp;" "&amp;Input!$H$3</f>
        <v>MY20 Soul</v>
      </c>
      <c r="F51" s="772"/>
      <c r="G51" s="779">
        <f>INDEX(DSS_Calc!$JD:$JD,MATCH(G$4+$B51,DSS_Calc!$A:$A,0))-INDEX(DSS_Calc!$JD:$JD,MATCH(G$4+$B$6,DSS_Calc!$A:$A,0))</f>
        <v>110.97341516198685</v>
      </c>
      <c r="H51" s="780">
        <f>INDEX(DSS_Calc!$JM:$JM,MATCH(G$4+$B51,DSS_Calc!$A:$A,0))/INDEX(DSS_Calc!$JM:$JM,MATCH(G$4+$B$6,DSS_Calc!$A:$A,0))-1</f>
        <v>4.9833375068811581E-2</v>
      </c>
      <c r="I51" s="788">
        <f>ABS(INDEX(DSS_Calc!$KU:$KU,MATCH(G$4+$B51,DSS_Calc!$A:$A,0)))</f>
        <v>6.591413144799823</v>
      </c>
      <c r="J51" s="777">
        <f t="shared" si="49"/>
        <v>8</v>
      </c>
      <c r="K51" s="813">
        <f t="shared" si="54"/>
        <v>3</v>
      </c>
      <c r="L51" s="813">
        <f t="shared" si="55"/>
        <v>100</v>
      </c>
      <c r="M51" s="813">
        <f>INDEX(DSS_Calc!$JM:$JM,MATCH(G$4+$B51,DSS_Calc!$A:$A,0))</f>
        <v>470.15285304337272</v>
      </c>
      <c r="N51" s="772"/>
      <c r="O51" s="779">
        <f>INDEX(DSS_Calc!$JD:$JD,MATCH(O$4+$B51,DSS_Calc!$A:$A,0))-INDEX(DSS_Calc!$JD:$JD,MATCH(O$4+$B$6,DSS_Calc!$A:$A,0))</f>
        <v>337.19219650633659</v>
      </c>
      <c r="P51" s="780">
        <f>INDEX(DSS_Calc!$JM:$JM,MATCH(O$4+$B51,DSS_Calc!$A:$A,0))/INDEX(DSS_Calc!$JM:$JM,MATCH(O$4+$B$6,DSS_Calc!$A:$A,0))-1</f>
        <v>6.1949558244193792E-2</v>
      </c>
      <c r="Q51" s="788">
        <f>ABS(INDEX(DSS_Calc!$KU:$KU,MATCH(O$4+$B51,DSS_Calc!$A:$A,0)))</f>
        <v>4.6289347695002991</v>
      </c>
      <c r="R51" s="777">
        <f t="shared" si="50"/>
        <v>2</v>
      </c>
      <c r="S51" s="813">
        <f t="shared" si="56"/>
        <v>2</v>
      </c>
      <c r="T51" s="813">
        <f t="shared" si="57"/>
        <v>100</v>
      </c>
      <c r="U51" s="813">
        <f>INDEX(DSS_Calc!$JM:$JM,MATCH(O$4+$B51,DSS_Calc!$A:$A,0))</f>
        <v>1327.8265178543124</v>
      </c>
      <c r="V51" s="772"/>
      <c r="W51" s="779">
        <f>INDEX(DSS_Calc!$JD:$JD,MATCH(W$4+$B51,DSS_Calc!$A:$A,0))-INDEX(DSS_Calc!$JD:$JD,MATCH(W$4+$B$6,DSS_Calc!$A:$A,0))</f>
        <v>346.5400361260813</v>
      </c>
      <c r="X51" s="780">
        <f>INDEX(DSS_Calc!$JM:$JM,MATCH(W$4+$B51,DSS_Calc!$A:$A,0))/INDEX(DSS_Calc!$JM:$JM,MATCH(W$4+$B$6,DSS_Calc!$A:$A,0))-1</f>
        <v>5.9506273110325081E-2</v>
      </c>
      <c r="Y51" s="788">
        <f>ABS(INDEX(DSS_Calc!$KU:$KU,MATCH(W$4+$B51,DSS_Calc!$A:$A,0)))</f>
        <v>4.7780429418989376</v>
      </c>
      <c r="Z51" s="777">
        <f t="shared" si="51"/>
        <v>3</v>
      </c>
      <c r="AA51" s="813">
        <f t="shared" si="58"/>
        <v>3</v>
      </c>
      <c r="AB51" s="813">
        <f t="shared" si="59"/>
        <v>100</v>
      </c>
      <c r="AC51" s="813">
        <f>INDEX(DSS_Calc!$JM:$JM,MATCH(W$4+$B51,DSS_Calc!$A:$A,0))</f>
        <v>1757.8601179406683</v>
      </c>
      <c r="AD51" s="772"/>
      <c r="AE51" s="779">
        <f>INDEX(DSS_Calc!$JD:$JD,MATCH(AE$4+$B51,DSS_Calc!$A:$A,0))-INDEX(DSS_Calc!$JD:$JD,MATCH(AE$4+$B$6,DSS_Calc!$A:$A,0))</f>
        <v>468.4786645015206</v>
      </c>
      <c r="AF51" s="780">
        <f>INDEX(DSS_Calc!$JM:$JM,MATCH(AE$4+$B51,DSS_Calc!$A:$A,0))/INDEX(DSS_Calc!$JM:$JM,MATCH(AE$4+$B$6,DSS_Calc!$A:$A,0))-1</f>
        <v>6.7111731188809642E-2</v>
      </c>
      <c r="AG51" s="788">
        <f>ABS(INDEX(DSS_Calc!$KU:$KU,MATCH(AE$4+$B51,DSS_Calc!$A:$A,0)))</f>
        <v>4.092317847062402</v>
      </c>
      <c r="AH51" s="777">
        <f t="shared" si="52"/>
        <v>3</v>
      </c>
      <c r="AI51" s="813">
        <f t="shared" si="60"/>
        <v>3</v>
      </c>
      <c r="AJ51" s="813">
        <f t="shared" si="61"/>
        <v>100</v>
      </c>
      <c r="AK51" s="813">
        <f>INDEX(DSS_Calc!$JM:$JM,MATCH(AE$4+$B51,DSS_Calc!$A:$A,0))</f>
        <v>2580.9290044654786</v>
      </c>
      <c r="AL51" s="772"/>
      <c r="AM51" s="779">
        <f>INDEX(DSS_Calc!$JD:$JD,MATCH(AM$4+$B51,DSS_Calc!$A:$A,0))-INDEX(DSS_Calc!$JD:$JD,MATCH(AM$4+$B$6,DSS_Calc!$A:$A,0))</f>
        <v>429.28368230880551</v>
      </c>
      <c r="AN51" s="780">
        <f>INDEX(DSS_Calc!$JM:$JM,MATCH(AM$4+$B51,DSS_Calc!$A:$A,0))/INDEX(DSS_Calc!$JM:$JM,MATCH(AM$4+$B$6,DSS_Calc!$A:$A,0))-1</f>
        <v>6.6757814610734378E-2</v>
      </c>
      <c r="AO51" s="788">
        <f>ABS(INDEX(DSS_Calc!$KU:$KU,MATCH(AM$4+$B51,DSS_Calc!$A:$A,0)))</f>
        <v>4.0477496607152634</v>
      </c>
      <c r="AP51" s="777">
        <f t="shared" si="53"/>
        <v>3</v>
      </c>
      <c r="AQ51" s="813">
        <f t="shared" si="62"/>
        <v>3</v>
      </c>
      <c r="AR51" s="813">
        <f t="shared" si="63"/>
        <v>100</v>
      </c>
      <c r="AS51" s="813">
        <f>INDEX(DSS_Calc!$JM:$JM,MATCH(AM$4+$B51,DSS_Calc!$A:$A,0))</f>
        <v>879.37414008898747</v>
      </c>
      <c r="AT51" s="772"/>
      <c r="AU51" s="779">
        <f>INDEX(DSS_Calc!$JD:$JD,MATCH(AU$4+$B51,DSS_Calc!$A:$A,0))-INDEX(DSS_Calc!$JD:$JD,MATCH(AU$4+$B$6,DSS_Calc!$A:$A,0))</f>
        <v>383.80188590724947</v>
      </c>
      <c r="AV51" s="780">
        <f>INDEX(DSS_Calc!$JM:$JM,MATCH(AU$4+$B51,DSS_Calc!$A:$A,0))/INDEX(DSS_Calc!$JM:$JM,MATCH(AU$4+$B$6,DSS_Calc!$A:$A,0))-1</f>
        <v>6.3005444446277092E-2</v>
      </c>
    </row>
    <row r="52" spans="2:48">
      <c r="B52" s="836">
        <f t="shared" si="65"/>
        <v>38</v>
      </c>
      <c r="C52" s="772"/>
      <c r="D52" s="774" t="str">
        <f>LEFT(INDEX(DSS_Calc!$D:$D,MATCH(G$4+$B52,DSS_Calc!$A:$A,0)),LEN(INDEX(DSS_Calc!$D:$D,MATCH(G$4+$B52,DSS_Calc!$A:$A,0)))-2)</f>
        <v>1000 CC, 0/0/0.9/3.9</v>
      </c>
      <c r="E52" s="772" t="str">
        <f>"MY"&amp;RIGHT(Input!$H$9,2)&amp;" "&amp;Input!$H$3</f>
        <v>MY20 Soul</v>
      </c>
      <c r="F52" s="772"/>
      <c r="G52" s="776">
        <f>INDEX(DSS_Calc!$JD:$JD,MATCH(G$4+$B52,DSS_Calc!$A:$A,0))-INDEX(DSS_Calc!$JD:$JD,MATCH(G$4+$B$6,DSS_Calc!$A:$A,0))</f>
        <v>150.9449455606059</v>
      </c>
      <c r="H52" s="775">
        <f>INDEX(DSS_Calc!$JM:$JM,MATCH(G$4+$B52,DSS_Calc!$A:$A,0))/INDEX(DSS_Calc!$JM:$JM,MATCH(G$4+$B$6,DSS_Calc!$A:$A,0))-1</f>
        <v>6.366571731189552E-2</v>
      </c>
      <c r="I52" s="787">
        <f>ABS(INDEX(DSS_Calc!$KU:$KU,MATCH(G$4+$B52,DSS_Calc!$A:$A,0)))</f>
        <v>6.6770494032455607</v>
      </c>
      <c r="J52" s="772">
        <f t="shared" ref="J52:J69" si="66">RANK(I52,I$20:I$100,0)</f>
        <v>4</v>
      </c>
      <c r="K52" s="812">
        <f t="shared" si="54"/>
        <v>1</v>
      </c>
      <c r="L52" s="812">
        <f t="shared" si="55"/>
        <v>100</v>
      </c>
      <c r="M52" s="812">
        <f>INDEX(DSS_Calc!$JM:$JM,MATCH(G$4+$B52,DSS_Calc!$A:$A,0))</f>
        <v>476.34746956471548</v>
      </c>
      <c r="N52" s="772"/>
      <c r="O52" s="776">
        <f>INDEX(DSS_Calc!$JD:$JD,MATCH(O$4+$B52,DSS_Calc!$A:$A,0))-INDEX(DSS_Calc!$JD:$JD,MATCH(O$4+$B$6,DSS_Calc!$A:$A,0))</f>
        <v>426.29298464373323</v>
      </c>
      <c r="P52" s="775">
        <f>INDEX(DSS_Calc!$JM:$JM,MATCH(O$4+$B52,DSS_Calc!$A:$A,0))/INDEX(DSS_Calc!$JM:$JM,MATCH(O$4+$B$6,DSS_Calc!$A:$A,0))-1</f>
        <v>7.7579354666896805E-2</v>
      </c>
      <c r="Q52" s="787">
        <f>ABS(INDEX(DSS_Calc!$KU:$KU,MATCH(O$4+$B52,DSS_Calc!$A:$A,0)))</f>
        <v>4.6486708545782491</v>
      </c>
      <c r="R52" s="772">
        <f t="shared" ref="R52:R69" si="67">RANK(Q52,Q$20:Q$100,0)</f>
        <v>1</v>
      </c>
      <c r="S52" s="812">
        <f t="shared" si="56"/>
        <v>1</v>
      </c>
      <c r="T52" s="812">
        <f t="shared" si="57"/>
        <v>100</v>
      </c>
      <c r="U52" s="812">
        <f>INDEX(DSS_Calc!$JM:$JM,MATCH(O$4+$B52,DSS_Calc!$A:$A,0))</f>
        <v>1347.3694970830466</v>
      </c>
      <c r="V52" s="772"/>
      <c r="W52" s="776">
        <f>INDEX(DSS_Calc!$JD:$JD,MATCH(W$4+$B52,DSS_Calc!$A:$A,0))-INDEX(DSS_Calc!$JD:$JD,MATCH(W$4+$B$6,DSS_Calc!$A:$A,0))</f>
        <v>423.59866772522628</v>
      </c>
      <c r="X52" s="775">
        <f>INDEX(DSS_Calc!$JM:$JM,MATCH(W$4+$B52,DSS_Calc!$A:$A,0))/INDEX(DSS_Calc!$JM:$JM,MATCH(W$4+$B$6,DSS_Calc!$A:$A,0))-1</f>
        <v>7.3151038997451012E-2</v>
      </c>
      <c r="Y52" s="787">
        <f>ABS(INDEX(DSS_Calc!$KU:$KU,MATCH(W$4+$B52,DSS_Calc!$A:$A,0)))</f>
        <v>4.8018086471240382</v>
      </c>
      <c r="Z52" s="772">
        <f t="shared" ref="Z52:Z69" si="68">RANK(Y52,Y$20:Y$100,0)</f>
        <v>1</v>
      </c>
      <c r="AA52" s="812">
        <f t="shared" si="58"/>
        <v>1</v>
      </c>
      <c r="AB52" s="812">
        <f t="shared" si="59"/>
        <v>100</v>
      </c>
      <c r="AC52" s="812">
        <f>INDEX(DSS_Calc!$JM:$JM,MATCH(W$4+$B52,DSS_Calc!$A:$A,0))</f>
        <v>1780.4985773630963</v>
      </c>
      <c r="AD52" s="772"/>
      <c r="AE52" s="776">
        <f>INDEX(DSS_Calc!$JD:$JD,MATCH(AE$4+$B52,DSS_Calc!$A:$A,0))-INDEX(DSS_Calc!$JD:$JD,MATCH(AE$4+$B$6,DSS_Calc!$A:$A,0))</f>
        <v>575.08505258256628</v>
      </c>
      <c r="AF52" s="775">
        <f>INDEX(DSS_Calc!$JM:$JM,MATCH(AE$4+$B52,DSS_Calc!$A:$A,0))/INDEX(DSS_Calc!$JM:$JM,MATCH(AE$4+$B$6,DSS_Calc!$A:$A,0))-1</f>
        <v>8.2637181729726894E-2</v>
      </c>
      <c r="AG52" s="787">
        <f>ABS(INDEX(DSS_Calc!$KU:$KU,MATCH(AE$4+$B52,DSS_Calc!$A:$A,0)))</f>
        <v>4.104402988634468</v>
      </c>
      <c r="AH52" s="772">
        <f t="shared" ref="AH52:AH69" si="69">RANK(AG52,AG$20:AG$100,0)</f>
        <v>2</v>
      </c>
      <c r="AI52" s="812">
        <f t="shared" si="60"/>
        <v>2</v>
      </c>
      <c r="AJ52" s="812">
        <f t="shared" si="61"/>
        <v>100</v>
      </c>
      <c r="AK52" s="812">
        <f>INDEX(DSS_Calc!$JM:$JM,MATCH(AE$4+$B52,DSS_Calc!$A:$A,0))</f>
        <v>2618.4790420457116</v>
      </c>
      <c r="AL52" s="772"/>
      <c r="AM52" s="776">
        <f>INDEX(DSS_Calc!$JD:$JD,MATCH(AM$4+$B52,DSS_Calc!$A:$A,0))-INDEX(DSS_Calc!$JD:$JD,MATCH(AM$4+$B$6,DSS_Calc!$A:$A,0))</f>
        <v>531.92083969682062</v>
      </c>
      <c r="AN52" s="775">
        <f>INDEX(DSS_Calc!$JM:$JM,MATCH(AM$4+$B52,DSS_Calc!$A:$A,0))/INDEX(DSS_Calc!$JM:$JM,MATCH(AM$4+$B$6,DSS_Calc!$A:$A,0))-1</f>
        <v>8.2553565936159812E-2</v>
      </c>
      <c r="AO52" s="787">
        <f>ABS(INDEX(DSS_Calc!$KU:$KU,MATCH(AM$4+$B52,DSS_Calc!$A:$A,0)))</f>
        <v>4.0564080563967932</v>
      </c>
      <c r="AP52" s="772">
        <f t="shared" ref="AP52:AP69" si="70">RANK(AO52,AO$20:AO$100,0)</f>
        <v>1</v>
      </c>
      <c r="AQ52" s="812">
        <f t="shared" si="62"/>
        <v>1</v>
      </c>
      <c r="AR52" s="812">
        <f t="shared" si="63"/>
        <v>100</v>
      </c>
      <c r="AS52" s="812">
        <f>INDEX(DSS_Calc!$JM:$JM,MATCH(AM$4+$B52,DSS_Calc!$A:$A,0))</f>
        <v>892.39525420561949</v>
      </c>
      <c r="AT52" s="772"/>
      <c r="AU52" s="776">
        <f>INDEX(DSS_Calc!$JD:$JD,MATCH(AU$4+$B52,DSS_Calc!$A:$A,0))-INDEX(DSS_Calc!$JD:$JD,MATCH(AU$4+$B$6,DSS_Calc!$A:$A,0))</f>
        <v>474.64729950438687</v>
      </c>
      <c r="AV52" s="775">
        <f>INDEX(DSS_Calc!$JM:$JM,MATCH(AU$4+$B52,DSS_Calc!$A:$A,0))/INDEX(DSS_Calc!$JM:$JM,MATCH(AU$4+$B$6,DSS_Calc!$A:$A,0))-1</f>
        <v>7.7996790134474692E-2</v>
      </c>
    </row>
    <row r="53" spans="2:48">
      <c r="B53" s="836">
        <f t="shared" si="65"/>
        <v>39</v>
      </c>
      <c r="C53" s="777"/>
      <c r="D53" s="778" t="str">
        <f>LEFT(INDEX(DSS_Calc!$D:$D,MATCH(G$4+$B53,DSS_Calc!$A:$A,0)),LEN(INDEX(DSS_Calc!$D:$D,MATCH(G$4+$B53,DSS_Calc!$A:$A,0)))-2)</f>
        <v>250 CC, 360 Lease</v>
      </c>
      <c r="E53" s="777" t="str">
        <f>"MY"&amp;RIGHT(Input!$H$9,2)&amp;" "&amp;Input!$H$3</f>
        <v>MY20 Soul</v>
      </c>
      <c r="F53" s="772"/>
      <c r="G53" s="779">
        <f>INDEX(DSS_Calc!$JD:$JD,MATCH(G$4+$B53,DSS_Calc!$A:$A,0))-INDEX(DSS_Calc!$JD:$JD,MATCH(G$4+$B$6,DSS_Calc!$A:$A,0))</f>
        <v>315.16379693846284</v>
      </c>
      <c r="H53" s="780">
        <f>INDEX(DSS_Calc!$JM:$JM,MATCH(G$4+$B53,DSS_Calc!$A:$A,0))/INDEX(DSS_Calc!$JM:$JM,MATCH(G$4+$B$6,DSS_Calc!$A:$A,0))-1</f>
        <v>4.2241236566596285E-2</v>
      </c>
      <c r="I53" s="788">
        <f>ABS(INDEX(DSS_Calc!$KU:$KU,MATCH(G$4+$B53,DSS_Calc!$A:$A,0)))</f>
        <v>6.0743554832877527</v>
      </c>
      <c r="J53" s="777">
        <f t="shared" si="66"/>
        <v>42</v>
      </c>
      <c r="K53" s="813">
        <f t="shared" si="54"/>
        <v>16</v>
      </c>
      <c r="L53" s="813">
        <f t="shared" si="55"/>
        <v>100</v>
      </c>
      <c r="M53" s="813">
        <f>INDEX(DSS_Calc!$JM:$JM,MATCH(G$4+$B53,DSS_Calc!$A:$A,0))</f>
        <v>466.7528224649173</v>
      </c>
      <c r="N53" s="772"/>
      <c r="O53" s="779">
        <f>INDEX(DSS_Calc!$JD:$JD,MATCH(O$4+$B53,DSS_Calc!$A:$A,0))-INDEX(DSS_Calc!$JD:$JD,MATCH(O$4+$B$6,DSS_Calc!$A:$A,0))</f>
        <v>190.62757077892456</v>
      </c>
      <c r="P53" s="780">
        <f>INDEX(DSS_Calc!$JM:$JM,MATCH(O$4+$B53,DSS_Calc!$A:$A,0))/INDEX(DSS_Calc!$JM:$JM,MATCH(O$4+$B$6,DSS_Calc!$A:$A,0))-1</f>
        <v>2.5963027617152967E-2</v>
      </c>
      <c r="Q53" s="788">
        <f>ABS(INDEX(DSS_Calc!$KU:$KU,MATCH(O$4+$B53,DSS_Calc!$A:$A,0)))</f>
        <v>4.462739912845052</v>
      </c>
      <c r="R53" s="777">
        <f t="shared" si="67"/>
        <v>40</v>
      </c>
      <c r="S53" s="813">
        <f t="shared" si="56"/>
        <v>100</v>
      </c>
      <c r="T53" s="813">
        <f t="shared" si="57"/>
        <v>22</v>
      </c>
      <c r="U53" s="813">
        <f>INDEX(DSS_Calc!$JM:$JM,MATCH(O$4+$B53,DSS_Calc!$A:$A,0))</f>
        <v>1282.8301531200345</v>
      </c>
      <c r="V53" s="772"/>
      <c r="W53" s="779">
        <f>INDEX(DSS_Calc!$JD:$JD,MATCH(W$4+$B53,DSS_Calc!$A:$A,0))-INDEX(DSS_Calc!$JD:$JD,MATCH(W$4+$B$6,DSS_Calc!$A:$A,0))</f>
        <v>195.73175483367459</v>
      </c>
      <c r="X53" s="780">
        <f>INDEX(DSS_Calc!$JM:$JM,MATCH(W$4+$B53,DSS_Calc!$A:$A,0))/INDEX(DSS_Calc!$JM:$JM,MATCH(W$4+$B$6,DSS_Calc!$A:$A,0))-1</f>
        <v>2.3497462409387104E-2</v>
      </c>
      <c r="Y53" s="788">
        <f>ABS(INDEX(DSS_Calc!$KU:$KU,MATCH(W$4+$B53,DSS_Calc!$A:$A,0)))</f>
        <v>4.6216101282060409</v>
      </c>
      <c r="Z53" s="777">
        <f t="shared" si="68"/>
        <v>39</v>
      </c>
      <c r="AA53" s="813">
        <f t="shared" si="58"/>
        <v>100</v>
      </c>
      <c r="AB53" s="813">
        <f t="shared" si="59"/>
        <v>22</v>
      </c>
      <c r="AC53" s="813">
        <f>INDEX(DSS_Calc!$JM:$JM,MATCH(W$4+$B53,DSS_Calc!$A:$A,0))</f>
        <v>1698.1167697112778</v>
      </c>
      <c r="AD53" s="772"/>
      <c r="AE53" s="779">
        <f>INDEX(DSS_Calc!$JD:$JD,MATCH(AE$4+$B53,DSS_Calc!$A:$A,0))-INDEX(DSS_Calc!$JD:$JD,MATCH(AE$4+$B$6,DSS_Calc!$A:$A,0))</f>
        <v>132.25254136819149</v>
      </c>
      <c r="AF53" s="780">
        <f>INDEX(DSS_Calc!$JM:$JM,MATCH(AE$4+$B53,DSS_Calc!$A:$A,0))/INDEX(DSS_Calc!$JM:$JM,MATCH(AE$4+$B$6,DSS_Calc!$A:$A,0))-1</f>
        <v>1.6936918096430054E-2</v>
      </c>
      <c r="AG53" s="788">
        <f>ABS(INDEX(DSS_Calc!$KU:$KU,MATCH(AE$4+$B53,DSS_Calc!$A:$A,0)))</f>
        <v>4.034670983864717</v>
      </c>
      <c r="AH53" s="777">
        <f t="shared" si="69"/>
        <v>32</v>
      </c>
      <c r="AI53" s="813">
        <f t="shared" si="60"/>
        <v>100</v>
      </c>
      <c r="AJ53" s="813">
        <f t="shared" si="61"/>
        <v>18</v>
      </c>
      <c r="AK53" s="813">
        <f>INDEX(DSS_Calc!$JM:$JM,MATCH(AE$4+$B53,DSS_Calc!$A:$A,0))</f>
        <v>2459.5756104216416</v>
      </c>
      <c r="AL53" s="772"/>
      <c r="AM53" s="779">
        <f>INDEX(DSS_Calc!$JD:$JD,MATCH(AM$4+$B53,DSS_Calc!$A:$A,0))-INDEX(DSS_Calc!$JD:$JD,MATCH(AM$4+$B$6,DSS_Calc!$A:$A,0))</f>
        <v>137.12416468330093</v>
      </c>
      <c r="AN53" s="780">
        <f>INDEX(DSS_Calc!$JM:$JM,MATCH(AM$4+$B53,DSS_Calc!$A:$A,0))/INDEX(DSS_Calc!$JM:$JM,MATCH(AM$4+$B$6,DSS_Calc!$A:$A,0))-1</f>
        <v>1.8440616165764867E-2</v>
      </c>
      <c r="AO53" s="788">
        <f>ABS(INDEX(DSS_Calc!$KU:$KU,MATCH(AM$4+$B53,DSS_Calc!$A:$A,0)))</f>
        <v>3.9732781280428955</v>
      </c>
      <c r="AP53" s="777">
        <f t="shared" si="70"/>
        <v>32</v>
      </c>
      <c r="AQ53" s="813">
        <f t="shared" si="62"/>
        <v>100</v>
      </c>
      <c r="AR53" s="813">
        <f t="shared" si="63"/>
        <v>18</v>
      </c>
      <c r="AS53" s="813">
        <f>INDEX(DSS_Calc!$JM:$JM,MATCH(AM$4+$B53,DSS_Calc!$A:$A,0))</f>
        <v>839.54420469773993</v>
      </c>
      <c r="AT53" s="772"/>
      <c r="AU53" s="779">
        <f>INDEX(DSS_Calc!$JD:$JD,MATCH(AU$4+$B53,DSS_Calc!$A:$A,0))-INDEX(DSS_Calc!$JD:$JD,MATCH(AU$4+$B$6,DSS_Calc!$A:$A,0))</f>
        <v>172.86705701301617</v>
      </c>
      <c r="AV53" s="780">
        <f>INDEX(DSS_Calc!$JM:$JM,MATCH(AU$4+$B53,DSS_Calc!$A:$A,0))/INDEX(DSS_Calc!$JM:$JM,MATCH(AU$4+$B$6,DSS_Calc!$A:$A,0))-1</f>
        <v>2.2200702033089881E-2</v>
      </c>
    </row>
    <row r="54" spans="2:48">
      <c r="B54" s="836">
        <f t="shared" si="65"/>
        <v>40</v>
      </c>
      <c r="C54" s="772"/>
      <c r="D54" s="774" t="str">
        <f>LEFT(INDEX(DSS_Calc!$D:$D,MATCH(G$4+$B54,DSS_Calc!$A:$A,0)),LEN(INDEX(DSS_Calc!$D:$D,MATCH(G$4+$B54,DSS_Calc!$A:$A,0)))-2)</f>
        <v>500 CC, 360 Lease</v>
      </c>
      <c r="E54" s="772" t="str">
        <f>"MY"&amp;RIGHT(Input!$H$9,2)&amp;" "&amp;Input!$H$3</f>
        <v>MY20 Soul</v>
      </c>
      <c r="F54" s="772"/>
      <c r="G54" s="776">
        <f>INDEX(DSS_Calc!$JD:$JD,MATCH(G$4+$B54,DSS_Calc!$A:$A,0))-INDEX(DSS_Calc!$JD:$JD,MATCH(G$4+$B$6,DSS_Calc!$A:$A,0))</f>
        <v>302.82586797048043</v>
      </c>
      <c r="H54" s="775">
        <f>INDEX(DSS_Calc!$JM:$JM,MATCH(G$4+$B54,DSS_Calc!$A:$A,0))/INDEX(DSS_Calc!$JM:$JM,MATCH(G$4+$B$6,DSS_Calc!$A:$A,0))-1</f>
        <v>5.1799523216333965E-2</v>
      </c>
      <c r="I54" s="787">
        <f>ABS(INDEX(DSS_Calc!$KU:$KU,MATCH(G$4+$B54,DSS_Calc!$A:$A,0)))</f>
        <v>6.2124633024980564</v>
      </c>
      <c r="J54" s="772">
        <f t="shared" si="66"/>
        <v>31</v>
      </c>
      <c r="K54" s="812">
        <f t="shared" si="54"/>
        <v>11</v>
      </c>
      <c r="L54" s="812">
        <f t="shared" si="55"/>
        <v>100</v>
      </c>
      <c r="M54" s="812">
        <f>INDEX(DSS_Calc!$JM:$JM,MATCH(G$4+$B54,DSS_Calc!$A:$A,0))</f>
        <v>471.03336435403952</v>
      </c>
      <c r="N54" s="772"/>
      <c r="O54" s="776">
        <f>INDEX(DSS_Calc!$JD:$JD,MATCH(O$4+$B54,DSS_Calc!$A:$A,0))-INDEX(DSS_Calc!$JD:$JD,MATCH(O$4+$B$6,DSS_Calc!$A:$A,0))</f>
        <v>244.06316029101072</v>
      </c>
      <c r="P54" s="775">
        <f>INDEX(DSS_Calc!$JM:$JM,MATCH(O$4+$B54,DSS_Calc!$A:$A,0))/INDEX(DSS_Calc!$JM:$JM,MATCH(O$4+$B$6,DSS_Calc!$A:$A,0))-1</f>
        <v>3.8437096129863457E-2</v>
      </c>
      <c r="Q54" s="787">
        <f>ABS(INDEX(DSS_Calc!$KU:$KU,MATCH(O$4+$B54,DSS_Calc!$A:$A,0)))</f>
        <v>4.517678337599853</v>
      </c>
      <c r="R54" s="772">
        <f t="shared" si="67"/>
        <v>23</v>
      </c>
      <c r="S54" s="812">
        <f t="shared" si="56"/>
        <v>11</v>
      </c>
      <c r="T54" s="812">
        <f t="shared" si="57"/>
        <v>100</v>
      </c>
      <c r="U54" s="812">
        <f>INDEX(DSS_Calc!$JM:$JM,MATCH(O$4+$B54,DSS_Calc!$A:$A,0))</f>
        <v>1298.4273148007587</v>
      </c>
      <c r="V54" s="772"/>
      <c r="W54" s="776">
        <f>INDEX(DSS_Calc!$JD:$JD,MATCH(W$4+$B54,DSS_Calc!$A:$A,0))-INDEX(DSS_Calc!$JD:$JD,MATCH(W$4+$B$6,DSS_Calc!$A:$A,0))</f>
        <v>239.21107626372896</v>
      </c>
      <c r="X54" s="775">
        <f>INDEX(DSS_Calc!$JM:$JM,MATCH(W$4+$B54,DSS_Calc!$A:$A,0))/INDEX(DSS_Calc!$JM:$JM,MATCH(W$4+$B$6,DSS_Calc!$A:$A,0))-1</f>
        <v>3.4224085384567227E-2</v>
      </c>
      <c r="Y54" s="787">
        <f>ABS(INDEX(DSS_Calc!$KU:$KU,MATCH(W$4+$B54,DSS_Calc!$A:$A,0)))</f>
        <v>4.672273300539266</v>
      </c>
      <c r="Z54" s="772">
        <f t="shared" si="68"/>
        <v>23</v>
      </c>
      <c r="AA54" s="812">
        <f t="shared" si="58"/>
        <v>100</v>
      </c>
      <c r="AB54" s="812">
        <f t="shared" si="59"/>
        <v>13</v>
      </c>
      <c r="AC54" s="812">
        <f>INDEX(DSS_Calc!$JM:$JM,MATCH(W$4+$B54,DSS_Calc!$A:$A,0))</f>
        <v>1715.9136466215969</v>
      </c>
      <c r="AD54" s="772"/>
      <c r="AE54" s="776">
        <f>INDEX(DSS_Calc!$JD:$JD,MATCH(AE$4+$B54,DSS_Calc!$A:$A,0))-INDEX(DSS_Calc!$JD:$JD,MATCH(AE$4+$B$6,DSS_Calc!$A:$A,0))</f>
        <v>225.49691228216034</v>
      </c>
      <c r="AF54" s="775">
        <f>INDEX(DSS_Calc!$JM:$JM,MATCH(AE$4+$B54,DSS_Calc!$A:$A,0))/INDEX(DSS_Calc!$JM:$JM,MATCH(AE$4+$B$6,DSS_Calc!$A:$A,0))-1</f>
        <v>3.0526092647504166E-2</v>
      </c>
      <c r="AG54" s="787">
        <f>ABS(INDEX(DSS_Calc!$KU:$KU,MATCH(AE$4+$B54,DSS_Calc!$A:$A,0)))</f>
        <v>4.048527693184238</v>
      </c>
      <c r="AH54" s="772">
        <f t="shared" si="69"/>
        <v>23</v>
      </c>
      <c r="AI54" s="812">
        <f t="shared" si="60"/>
        <v>100</v>
      </c>
      <c r="AJ54" s="812">
        <f t="shared" si="61"/>
        <v>9</v>
      </c>
      <c r="AK54" s="812">
        <f>INDEX(DSS_Calc!$JM:$JM,MATCH(AE$4+$B54,DSS_Calc!$A:$A,0))</f>
        <v>2492.4425480819918</v>
      </c>
      <c r="AL54" s="772"/>
      <c r="AM54" s="776">
        <f>INDEX(DSS_Calc!$JD:$JD,MATCH(AM$4+$B54,DSS_Calc!$A:$A,0))-INDEX(DSS_Calc!$JD:$JD,MATCH(AM$4+$B$6,DSS_Calc!$A:$A,0))</f>
        <v>221.40564476587724</v>
      </c>
      <c r="AN54" s="775">
        <f>INDEX(DSS_Calc!$JM:$JM,MATCH(AM$4+$B54,DSS_Calc!$A:$A,0))/INDEX(DSS_Calc!$JM:$JM,MATCH(AM$4+$B$6,DSS_Calc!$A:$A,0))-1</f>
        <v>3.1888913167563038E-2</v>
      </c>
      <c r="AO54" s="787">
        <f>ABS(INDEX(DSS_Calc!$KU:$KU,MATCH(AM$4+$B54,DSS_Calc!$A:$A,0)))</f>
        <v>3.9905191486804799</v>
      </c>
      <c r="AP54" s="772">
        <f t="shared" si="70"/>
        <v>28</v>
      </c>
      <c r="AQ54" s="812">
        <f t="shared" si="62"/>
        <v>100</v>
      </c>
      <c r="AR54" s="812">
        <f t="shared" si="63"/>
        <v>14</v>
      </c>
      <c r="AS54" s="812">
        <f>INDEX(DSS_Calc!$JM:$JM,MATCH(AM$4+$B54,DSS_Calc!$A:$A,0))</f>
        <v>850.63021170855598</v>
      </c>
      <c r="AT54" s="772"/>
      <c r="AU54" s="776">
        <f>INDEX(DSS_Calc!$JD:$JD,MATCH(AU$4+$B54,DSS_Calc!$A:$A,0))-INDEX(DSS_Calc!$JD:$JD,MATCH(AU$4+$B$6,DSS_Calc!$A:$A,0))</f>
        <v>237.42704570155001</v>
      </c>
      <c r="AV54" s="775">
        <f>INDEX(DSS_Calc!$JM:$JM,MATCH(AU$4+$B54,DSS_Calc!$A:$A,0))/INDEX(DSS_Calc!$JM:$JM,MATCH(AU$4+$B$6,DSS_Calc!$A:$A,0))-1</f>
        <v>3.4567968234259228E-2</v>
      </c>
    </row>
    <row r="55" spans="2:48">
      <c r="B55" s="836">
        <f t="shared" si="65"/>
        <v>41</v>
      </c>
      <c r="C55" s="777"/>
      <c r="D55" s="778" t="str">
        <f>LEFT(INDEX(DSS_Calc!$D:$D,MATCH(G$4+$B55,DSS_Calc!$A:$A,0)),LEN(INDEX(DSS_Calc!$D:$D,MATCH(G$4+$B55,DSS_Calc!$A:$A,0)))-2)</f>
        <v>750 CC, 360 Lease</v>
      </c>
      <c r="E55" s="777" t="str">
        <f>"MY"&amp;RIGHT(Input!$H$9,2)&amp;" "&amp;Input!$H$3</f>
        <v>MY20 Soul</v>
      </c>
      <c r="F55" s="772"/>
      <c r="G55" s="779">
        <f>INDEX(DSS_Calc!$JD:$JD,MATCH(G$4+$B55,DSS_Calc!$A:$A,0))-INDEX(DSS_Calc!$JD:$JD,MATCH(G$4+$B$6,DSS_Calc!$A:$A,0))</f>
        <v>306.33043813488757</v>
      </c>
      <c r="H55" s="780">
        <f>INDEX(DSS_Calc!$JM:$JM,MATCH(G$4+$B55,DSS_Calc!$A:$A,0))/INDEX(DSS_Calc!$JM:$JM,MATCH(G$4+$B$6,DSS_Calc!$A:$A,0))-1</f>
        <v>6.2910019781716953E-2</v>
      </c>
      <c r="I55" s="788">
        <f>ABS(INDEX(DSS_Calc!$KU:$KU,MATCH(G$4+$B55,DSS_Calc!$A:$A,0)))</f>
        <v>6.3382049002787308</v>
      </c>
      <c r="J55" s="777">
        <f t="shared" si="66"/>
        <v>23</v>
      </c>
      <c r="K55" s="813">
        <f t="shared" si="54"/>
        <v>7</v>
      </c>
      <c r="L55" s="813">
        <f t="shared" si="55"/>
        <v>100</v>
      </c>
      <c r="M55" s="813">
        <f>INDEX(DSS_Calc!$JM:$JM,MATCH(G$4+$B55,DSS_Calc!$A:$A,0))</f>
        <v>476.00904124047975</v>
      </c>
      <c r="N55" s="772"/>
      <c r="O55" s="779">
        <f>INDEX(DSS_Calc!$JD:$JD,MATCH(O$4+$B55,DSS_Calc!$A:$A,0))-INDEX(DSS_Calc!$JD:$JD,MATCH(O$4+$B$6,DSS_Calc!$A:$A,0))</f>
        <v>312.52940894945141</v>
      </c>
      <c r="P55" s="780">
        <f>INDEX(DSS_Calc!$JM:$JM,MATCH(O$4+$B55,DSS_Calc!$A:$A,0))/INDEX(DSS_Calc!$JM:$JM,MATCH(O$4+$B$6,DSS_Calc!$A:$A,0))-1</f>
        <v>5.2301704841690499E-2</v>
      </c>
      <c r="Q55" s="788">
        <f>ABS(INDEX(DSS_Calc!$KU:$KU,MATCH(O$4+$B55,DSS_Calc!$A:$A,0)))</f>
        <v>4.5590209212503172</v>
      </c>
      <c r="R55" s="777">
        <f t="shared" si="67"/>
        <v>17</v>
      </c>
      <c r="S55" s="813">
        <f t="shared" si="56"/>
        <v>9</v>
      </c>
      <c r="T55" s="813">
        <f t="shared" si="57"/>
        <v>100</v>
      </c>
      <c r="U55" s="813">
        <f>INDEX(DSS_Calc!$JM:$JM,MATCH(O$4+$B55,DSS_Calc!$A:$A,0))</f>
        <v>1315.7631618420028</v>
      </c>
      <c r="V55" s="772"/>
      <c r="W55" s="779">
        <f>INDEX(DSS_Calc!$JD:$JD,MATCH(W$4+$B55,DSS_Calc!$A:$A,0))-INDEX(DSS_Calc!$JD:$JD,MATCH(W$4+$B$6,DSS_Calc!$A:$A,0))</f>
        <v>296.59938398017903</v>
      </c>
      <c r="X55" s="780">
        <f>INDEX(DSS_Calc!$JM:$JM,MATCH(W$4+$B55,DSS_Calc!$A:$A,0))/INDEX(DSS_Calc!$JM:$JM,MATCH(W$4+$B$6,DSS_Calc!$A:$A,0))-1</f>
        <v>4.6202284194836407E-2</v>
      </c>
      <c r="Y55" s="788">
        <f>ABS(INDEX(DSS_Calc!$KU:$KU,MATCH(W$4+$B55,DSS_Calc!$A:$A,0)))</f>
        <v>4.7128240549546918</v>
      </c>
      <c r="Z55" s="777">
        <f t="shared" si="68"/>
        <v>16</v>
      </c>
      <c r="AA55" s="813">
        <f t="shared" si="58"/>
        <v>9</v>
      </c>
      <c r="AB55" s="813">
        <f t="shared" si="59"/>
        <v>100</v>
      </c>
      <c r="AC55" s="813">
        <f>INDEX(DSS_Calc!$JM:$JM,MATCH(W$4+$B55,DSS_Calc!$A:$A,0))</f>
        <v>1735.7870522896196</v>
      </c>
      <c r="AD55" s="772"/>
      <c r="AE55" s="779">
        <f>INDEX(DSS_Calc!$JD:$JD,MATCH(AE$4+$B55,DSS_Calc!$A:$A,0))-INDEX(DSS_Calc!$JD:$JD,MATCH(AE$4+$B$6,DSS_Calc!$A:$A,0))</f>
        <v>327.61463120901135</v>
      </c>
      <c r="AF55" s="780">
        <f>INDEX(DSS_Calc!$JM:$JM,MATCH(AE$4+$B55,DSS_Calc!$A:$A,0))/INDEX(DSS_Calc!$JM:$JM,MATCH(AE$4+$B$6,DSS_Calc!$A:$A,0))-1</f>
        <v>4.5099138870302591E-2</v>
      </c>
      <c r="AG55" s="788">
        <f>ABS(INDEX(DSS_Calc!$KU:$KU,MATCH(AE$4+$B55,DSS_Calc!$A:$A,0)))</f>
        <v>4.0594940533703259</v>
      </c>
      <c r="AH55" s="777">
        <f t="shared" si="69"/>
        <v>15</v>
      </c>
      <c r="AI55" s="813">
        <f t="shared" si="60"/>
        <v>14</v>
      </c>
      <c r="AJ55" s="813">
        <f t="shared" si="61"/>
        <v>100</v>
      </c>
      <c r="AK55" s="813">
        <f>INDEX(DSS_Calc!$JM:$JM,MATCH(AE$4+$B55,DSS_Calc!$A:$A,0))</f>
        <v>2527.6890893583541</v>
      </c>
      <c r="AL55" s="772"/>
      <c r="AM55" s="779">
        <f>INDEX(DSS_Calc!$JD:$JD,MATCH(AM$4+$B55,DSS_Calc!$A:$A,0))-INDEX(DSS_Calc!$JD:$JD,MATCH(AM$4+$B$6,DSS_Calc!$A:$A,0))</f>
        <v>317.0466879720625</v>
      </c>
      <c r="AN55" s="780">
        <f>INDEX(DSS_Calc!$JM:$JM,MATCH(AM$4+$B55,DSS_Calc!$A:$A,0))/INDEX(DSS_Calc!$JM:$JM,MATCH(AM$4+$B$6,DSS_Calc!$A:$A,0))-1</f>
        <v>4.656115716819853E-2</v>
      </c>
      <c r="AO55" s="788">
        <f>ABS(INDEX(DSS_Calc!$KU:$KU,MATCH(AM$4+$B55,DSS_Calc!$A:$A,0)))</f>
        <v>4.001232017073618</v>
      </c>
      <c r="AP55" s="777">
        <f t="shared" si="70"/>
        <v>22</v>
      </c>
      <c r="AQ55" s="813">
        <f t="shared" si="62"/>
        <v>13</v>
      </c>
      <c r="AR55" s="813">
        <f t="shared" si="63"/>
        <v>100</v>
      </c>
      <c r="AS55" s="813">
        <f>INDEX(DSS_Calc!$JM:$JM,MATCH(AM$4+$B55,DSS_Calc!$A:$A,0))</f>
        <v>862.72517063411385</v>
      </c>
      <c r="AT55" s="772"/>
      <c r="AU55" s="779">
        <f>INDEX(DSS_Calc!$JD:$JD,MATCH(AU$4+$B55,DSS_Calc!$A:$A,0))-INDEX(DSS_Calc!$JD:$JD,MATCH(AU$4+$B$6,DSS_Calc!$A:$A,0))</f>
        <v>314.15069222760894</v>
      </c>
      <c r="AV55" s="780">
        <f>INDEX(DSS_Calc!$JM:$JM,MATCH(AU$4+$B55,DSS_Calc!$A:$A,0))/INDEX(DSS_Calc!$JM:$JM,MATCH(AU$4+$B$6,DSS_Calc!$A:$A,0))-1</f>
        <v>4.8131985853253179E-2</v>
      </c>
    </row>
    <row r="56" spans="2:48">
      <c r="B56" s="836">
        <f t="shared" si="65"/>
        <v>42</v>
      </c>
      <c r="C56" s="772"/>
      <c r="D56" s="774" t="str">
        <f>LEFT(INDEX(DSS_Calc!$D:$D,MATCH(G$4+$B56,DSS_Calc!$A:$A,0)),LEN(INDEX(DSS_Calc!$D:$D,MATCH(G$4+$B56,DSS_Calc!$A:$A,0)))-2)</f>
        <v>1000 CC, 360 Lease</v>
      </c>
      <c r="E56" s="772" t="str">
        <f>"MY"&amp;RIGHT(Input!$H$9,2)&amp;" "&amp;Input!$H$3</f>
        <v>MY20 Soul</v>
      </c>
      <c r="F56" s="772"/>
      <c r="G56" s="776">
        <f>INDEX(DSS_Calc!$JD:$JD,MATCH(G$4+$B56,DSS_Calc!$A:$A,0))-INDEX(DSS_Calc!$JD:$JD,MATCH(G$4+$B$6,DSS_Calc!$A:$A,0))</f>
        <v>326.59085366644058</v>
      </c>
      <c r="H56" s="775">
        <f>INDEX(DSS_Calc!$JM:$JM,MATCH(G$4+$B56,DSS_Calc!$A:$A,0))/INDEX(DSS_Calc!$JM:$JM,MATCH(G$4+$B$6,DSS_Calc!$A:$A,0))-1</f>
        <v>7.5620649437299736E-2</v>
      </c>
      <c r="I56" s="787">
        <f>ABS(INDEX(DSS_Calc!$KU:$KU,MATCH(G$4+$B56,DSS_Calc!$A:$A,0)))</f>
        <v>6.4484410097115488</v>
      </c>
      <c r="J56" s="772">
        <f t="shared" si="66"/>
        <v>16</v>
      </c>
      <c r="K56" s="812">
        <f t="shared" si="54"/>
        <v>6</v>
      </c>
      <c r="L56" s="812">
        <f t="shared" si="55"/>
        <v>100</v>
      </c>
      <c r="M56" s="812">
        <f>INDEX(DSS_Calc!$JM:$JM,MATCH(G$4+$B56,DSS_Calc!$A:$A,0))</f>
        <v>481.70131483214203</v>
      </c>
      <c r="N56" s="772"/>
      <c r="O56" s="776">
        <f>INDEX(DSS_Calc!$JD:$JD,MATCH(O$4+$B56,DSS_Calc!$A:$A,0))-INDEX(DSS_Calc!$JD:$JD,MATCH(O$4+$B$6,DSS_Calc!$A:$A,0))</f>
        <v>395.56872868831215</v>
      </c>
      <c r="P56" s="775">
        <f>INDEX(DSS_Calc!$JM:$JM,MATCH(O$4+$B56,DSS_Calc!$A:$A,0))/INDEX(DSS_Calc!$JM:$JM,MATCH(O$4+$B$6,DSS_Calc!$A:$A,0))-1</f>
        <v>6.7570888782987337E-2</v>
      </c>
      <c r="Q56" s="787">
        <f>ABS(INDEX(DSS_Calc!$KU:$KU,MATCH(O$4+$B56,DSS_Calc!$A:$A,0)))</f>
        <v>4.588123625829633</v>
      </c>
      <c r="R56" s="772">
        <f t="shared" si="67"/>
        <v>13</v>
      </c>
      <c r="S56" s="812">
        <f t="shared" si="56"/>
        <v>7</v>
      </c>
      <c r="T56" s="812">
        <f t="shared" si="57"/>
        <v>100</v>
      </c>
      <c r="U56" s="812">
        <f>INDEX(DSS_Calc!$JM:$JM,MATCH(O$4+$B56,DSS_Calc!$A:$A,0))</f>
        <v>1334.8552431803773</v>
      </c>
      <c r="V56" s="772"/>
      <c r="W56" s="776">
        <f>INDEX(DSS_Calc!$JD:$JD,MATCH(W$4+$B56,DSS_Calc!$A:$A,0))-INDEX(DSS_Calc!$JD:$JD,MATCH(W$4+$B$6,DSS_Calc!$A:$A,0))</f>
        <v>367.44490883446633</v>
      </c>
      <c r="X56" s="775">
        <f>INDEX(DSS_Calc!$JM:$JM,MATCH(W$4+$B56,DSS_Calc!$A:$A,0))/INDEX(DSS_Calc!$JM:$JM,MATCH(W$4+$B$6,DSS_Calc!$A:$A,0))-1</f>
        <v>5.9438817530208743E-2</v>
      </c>
      <c r="Y56" s="787">
        <f>ABS(INDEX(DSS_Calc!$KU:$KU,MATCH(W$4+$B56,DSS_Calc!$A:$A,0)))</f>
        <v>4.7440648983527351</v>
      </c>
      <c r="Z56" s="772">
        <f t="shared" si="68"/>
        <v>11</v>
      </c>
      <c r="AA56" s="812">
        <f t="shared" si="58"/>
        <v>7</v>
      </c>
      <c r="AB56" s="812">
        <f t="shared" si="59"/>
        <v>100</v>
      </c>
      <c r="AC56" s="812">
        <f>INDEX(DSS_Calc!$JM:$JM,MATCH(W$4+$B56,DSS_Calc!$A:$A,0))</f>
        <v>1757.748200270119</v>
      </c>
      <c r="AD56" s="772"/>
      <c r="AE56" s="776">
        <f>INDEX(DSS_Calc!$JD:$JD,MATCH(AE$4+$B56,DSS_Calc!$A:$A,0))-INDEX(DSS_Calc!$JD:$JD,MATCH(AE$4+$B$6,DSS_Calc!$A:$A,0))</f>
        <v>438.12653494634196</v>
      </c>
      <c r="AF56" s="775">
        <f>INDEX(DSS_Calc!$JM:$JM,MATCH(AE$4+$B56,DSS_Calc!$A:$A,0))/INDEX(DSS_Calc!$JM:$JM,MATCH(AE$4+$B$6,DSS_Calc!$A:$A,0))-1</f>
        <v>6.0663382945944866E-2</v>
      </c>
      <c r="AG56" s="787">
        <f>ABS(INDEX(DSS_Calc!$KU:$KU,MATCH(AE$4+$B56,DSS_Calc!$A:$A,0)))</f>
        <v>4.0684733561884094</v>
      </c>
      <c r="AH56" s="772">
        <f t="shared" si="69"/>
        <v>8</v>
      </c>
      <c r="AI56" s="812">
        <f t="shared" si="60"/>
        <v>8</v>
      </c>
      <c r="AJ56" s="812">
        <f t="shared" si="61"/>
        <v>100</v>
      </c>
      <c r="AK56" s="812">
        <f>INDEX(DSS_Calc!$JM:$JM,MATCH(AE$4+$B56,DSS_Calc!$A:$A,0))</f>
        <v>2565.3329534386912</v>
      </c>
      <c r="AL56" s="772"/>
      <c r="AM56" s="776">
        <f>INDEX(DSS_Calc!$JD:$JD,MATCH(AM$4+$B56,DSS_Calc!$A:$A,0))-INDEX(DSS_Calc!$JD:$JD,MATCH(AM$4+$B$6,DSS_Calc!$A:$A,0))</f>
        <v>423.38793047207901</v>
      </c>
      <c r="AN56" s="775">
        <f>INDEX(DSS_Calc!$JM:$JM,MATCH(AM$4+$B56,DSS_Calc!$A:$A,0))/INDEX(DSS_Calc!$JM:$JM,MATCH(AM$4+$B$6,DSS_Calc!$A:$A,0))-1</f>
        <v>6.2464397768587476E-2</v>
      </c>
      <c r="AO56" s="787">
        <f>ABS(INDEX(DSS_Calc!$KU:$KU,MATCH(AM$4+$B56,DSS_Calc!$A:$A,0)))</f>
        <v>4.0072712779114896</v>
      </c>
      <c r="AP56" s="772">
        <f t="shared" si="70"/>
        <v>16</v>
      </c>
      <c r="AQ56" s="812">
        <f t="shared" si="62"/>
        <v>10</v>
      </c>
      <c r="AR56" s="812">
        <f t="shared" si="63"/>
        <v>100</v>
      </c>
      <c r="AS56" s="812">
        <f>INDEX(DSS_Calc!$JM:$JM,MATCH(AM$4+$B56,DSS_Calc!$A:$A,0))</f>
        <v>875.83489276227886</v>
      </c>
      <c r="AT56" s="772"/>
      <c r="AU56" s="776">
        <f>INDEX(DSS_Calc!$JD:$JD,MATCH(AU$4+$B56,DSS_Calc!$A:$A,0))-INDEX(DSS_Calc!$JD:$JD,MATCH(AU$4+$B$6,DSS_Calc!$A:$A,0))</f>
        <v>402.62239530300576</v>
      </c>
      <c r="AV56" s="775">
        <f>INDEX(DSS_Calc!$JM:$JM,MATCH(AU$4+$B56,DSS_Calc!$A:$A,0))/INDEX(DSS_Calc!$JM:$JM,MATCH(AU$4+$B$6,DSS_Calc!$A:$A,0))-1</f>
        <v>6.2903929352351007E-2</v>
      </c>
    </row>
    <row r="57" spans="2:48">
      <c r="B57" s="836">
        <f t="shared" si="65"/>
        <v>43</v>
      </c>
      <c r="C57" s="777"/>
      <c r="D57" s="778" t="str">
        <f>LEFT(INDEX(DSS_Calc!$D:$D,MATCH(G$4+$B57,DSS_Calc!$A:$A,0)),LEN(INDEX(DSS_Calc!$D:$D,MATCH(G$4+$B57,DSS_Calc!$A:$A,0)))-2)</f>
        <v>0/0/0.9/3.9, 360 Lease</v>
      </c>
      <c r="E57" s="777" t="str">
        <f>"MY"&amp;RIGHT(Input!$H$9,2)&amp;" "&amp;Input!$H$3</f>
        <v>MY20 Soul</v>
      </c>
      <c r="F57" s="772"/>
      <c r="G57" s="779">
        <f>INDEX(DSS_Calc!$JD:$JD,MATCH(G$4+$B57,DSS_Calc!$A:$A,0))-INDEX(DSS_Calc!$JD:$JD,MATCH(G$4+$B$6,DSS_Calc!$A:$A,0))</f>
        <v>420.33636481536041</v>
      </c>
      <c r="H57" s="780">
        <f>INDEX(DSS_Calc!$JM:$JM,MATCH(G$4+$B57,DSS_Calc!$A:$A,0))/INDEX(DSS_Calc!$JM:$JM,MATCH(G$4+$B$6,DSS_Calc!$A:$A,0))-1</f>
        <v>5.1647362565948374E-2</v>
      </c>
      <c r="I57" s="788">
        <f>ABS(INDEX(DSS_Calc!$KU:$KU,MATCH(G$4+$B57,DSS_Calc!$A:$A,0)))</f>
        <v>5.9867551112845323</v>
      </c>
      <c r="J57" s="777">
        <f t="shared" si="66"/>
        <v>46</v>
      </c>
      <c r="K57" s="813">
        <f t="shared" si="54"/>
        <v>20</v>
      </c>
      <c r="L57" s="813">
        <f t="shared" si="55"/>
        <v>100</v>
      </c>
      <c r="M57" s="813">
        <f>INDEX(DSS_Calc!$JM:$JM,MATCH(G$4+$B57,DSS_Calc!$A:$A,0))</f>
        <v>470.96522138430873</v>
      </c>
      <c r="N57" s="772"/>
      <c r="O57" s="779">
        <f>INDEX(DSS_Calc!$JD:$JD,MATCH(O$4+$B57,DSS_Calc!$A:$A,0))-INDEX(DSS_Calc!$JD:$JD,MATCH(O$4+$B$6,DSS_Calc!$A:$A,0))</f>
        <v>298.04652359917418</v>
      </c>
      <c r="P57" s="780">
        <f>INDEX(DSS_Calc!$JM:$JM,MATCH(O$4+$B57,DSS_Calc!$A:$A,0))/INDEX(DSS_Calc!$JM:$JM,MATCH(O$4+$B$6,DSS_Calc!$A:$A,0))-1</f>
        <v>3.8076096720738972E-2</v>
      </c>
      <c r="Q57" s="788">
        <f>ABS(INDEX(DSS_Calc!$KU:$KU,MATCH(O$4+$B57,DSS_Calc!$A:$A,0)))</f>
        <v>4.4134211947430879</v>
      </c>
      <c r="R57" s="777">
        <f t="shared" si="67"/>
        <v>42</v>
      </c>
      <c r="S57" s="813">
        <f t="shared" si="56"/>
        <v>17</v>
      </c>
      <c r="T57" s="813">
        <f t="shared" si="57"/>
        <v>100</v>
      </c>
      <c r="U57" s="813">
        <f>INDEX(DSS_Calc!$JM:$JM,MATCH(O$4+$B57,DSS_Calc!$A:$A,0))</f>
        <v>1297.9759331088094</v>
      </c>
      <c r="V57" s="772"/>
      <c r="W57" s="779">
        <f>INDEX(DSS_Calc!$JD:$JD,MATCH(W$4+$B57,DSS_Calc!$A:$A,0))-INDEX(DSS_Calc!$JD:$JD,MATCH(W$4+$B$6,DSS_Calc!$A:$A,0))</f>
        <v>335.29296271161502</v>
      </c>
      <c r="X57" s="780">
        <f>INDEX(DSS_Calc!$JM:$JM,MATCH(W$4+$B57,DSS_Calc!$A:$A,0))/INDEX(DSS_Calc!$JM:$JM,MATCH(W$4+$B$6,DSS_Calc!$A:$A,0))-1</f>
        <v>3.9857497207105963E-2</v>
      </c>
      <c r="Y57" s="788">
        <f>ABS(INDEX(DSS_Calc!$KU:$KU,MATCH(W$4+$B57,DSS_Calc!$A:$A,0)))</f>
        <v>4.5824515114427076</v>
      </c>
      <c r="Z57" s="777">
        <f t="shared" si="68"/>
        <v>46</v>
      </c>
      <c r="AA57" s="813">
        <f t="shared" si="58"/>
        <v>23</v>
      </c>
      <c r="AB57" s="813">
        <f t="shared" si="59"/>
        <v>100</v>
      </c>
      <c r="AC57" s="813">
        <f>INDEX(DSS_Calc!$JM:$JM,MATCH(W$4+$B57,DSS_Calc!$A:$A,0))</f>
        <v>1725.2602170215107</v>
      </c>
      <c r="AD57" s="772"/>
      <c r="AE57" s="779">
        <f>INDEX(DSS_Calc!$JD:$JD,MATCH(AE$4+$B57,DSS_Calc!$A:$A,0))-INDEX(DSS_Calc!$JD:$JD,MATCH(AE$4+$B$6,DSS_Calc!$A:$A,0))</f>
        <v>245.11982912623444</v>
      </c>
      <c r="AF57" s="780">
        <f>INDEX(DSS_Calc!$JM:$JM,MATCH(AE$4+$B57,DSS_Calc!$A:$A,0))/INDEX(DSS_Calc!$JM:$JM,MATCH(AE$4+$B$6,DSS_Calc!$A:$A,0))-1</f>
        <v>3.0789255526064929E-2</v>
      </c>
      <c r="AG57" s="788">
        <f>ABS(INDEX(DSS_Calc!$KU:$KU,MATCH(AE$4+$B57,DSS_Calc!$A:$A,0)))</f>
        <v>4.0236541869547446</v>
      </c>
      <c r="AH57" s="777">
        <f t="shared" si="69"/>
        <v>40</v>
      </c>
      <c r="AI57" s="813">
        <f t="shared" si="60"/>
        <v>100</v>
      </c>
      <c r="AJ57" s="813">
        <f t="shared" si="61"/>
        <v>20</v>
      </c>
      <c r="AK57" s="813">
        <f>INDEX(DSS_Calc!$JM:$JM,MATCH(AE$4+$B57,DSS_Calc!$A:$A,0))</f>
        <v>2493.0790369203437</v>
      </c>
      <c r="AL57" s="772"/>
      <c r="AM57" s="779">
        <f>INDEX(DSS_Calc!$JD:$JD,MATCH(AM$4+$B57,DSS_Calc!$A:$A,0))-INDEX(DSS_Calc!$JD:$JD,MATCH(AM$4+$B$6,DSS_Calc!$A:$A,0))</f>
        <v>247.56555398574801</v>
      </c>
      <c r="AN57" s="780">
        <f>INDEX(DSS_Calc!$JM:$JM,MATCH(AM$4+$B57,DSS_Calc!$A:$A,0))/INDEX(DSS_Calc!$JM:$JM,MATCH(AM$4+$B$6,DSS_Calc!$A:$A,0))-1</f>
        <v>3.2953070154545738E-2</v>
      </c>
      <c r="AO57" s="788">
        <f>ABS(INDEX(DSS_Calc!$KU:$KU,MATCH(AM$4+$B57,DSS_Calc!$A:$A,0)))</f>
        <v>3.9559164877688264</v>
      </c>
      <c r="AP57" s="777">
        <f t="shared" si="70"/>
        <v>39</v>
      </c>
      <c r="AQ57" s="813">
        <f t="shared" si="62"/>
        <v>100</v>
      </c>
      <c r="AR57" s="813">
        <f t="shared" si="63"/>
        <v>20</v>
      </c>
      <c r="AS57" s="813">
        <f>INDEX(DSS_Calc!$JM:$JM,MATCH(AM$4+$B57,DSS_Calc!$A:$A,0))</f>
        <v>851.50744187507621</v>
      </c>
      <c r="AT57" s="772"/>
      <c r="AU57" s="779">
        <f>INDEX(DSS_Calc!$JD:$JD,MATCH(AU$4+$B57,DSS_Calc!$A:$A,0))-INDEX(DSS_Calc!$JD:$JD,MATCH(AU$4+$B$6,DSS_Calc!$A:$A,0))</f>
        <v>290.61266677463618</v>
      </c>
      <c r="AV57" s="780">
        <f>INDEX(DSS_Calc!$JM:$JM,MATCH(AU$4+$B57,DSS_Calc!$A:$A,0))/INDEX(DSS_Calc!$JM:$JM,MATCH(AU$4+$B$6,DSS_Calc!$A:$A,0))-1</f>
        <v>3.613468228156802E-2</v>
      </c>
    </row>
    <row r="58" spans="2:48">
      <c r="B58" s="836">
        <f t="shared" ref="B58:B69" si="71">B57+1</f>
        <v>44</v>
      </c>
      <c r="C58" s="772"/>
      <c r="D58" s="774" t="str">
        <f>LEFT(INDEX(DSS_Calc!$D:$D,MATCH(G$4+$B58,DSS_Calc!$A:$A,0)),LEN(INDEX(DSS_Calc!$D:$D,MATCH(G$4+$B58,DSS_Calc!$A:$A,0)))-2)</f>
        <v>0/0/0/3.9, 360 Lease</v>
      </c>
      <c r="E58" s="772" t="str">
        <f>"MY"&amp;RIGHT(Input!$H$9,2)&amp;" "&amp;Input!$H$3</f>
        <v>MY20 Soul</v>
      </c>
      <c r="F58" s="772"/>
      <c r="G58" s="776">
        <f>INDEX(DSS_Calc!$JD:$JD,MATCH(G$4+$B58,DSS_Calc!$A:$A,0))-INDEX(DSS_Calc!$JD:$JD,MATCH(G$4+$B$6,DSS_Calc!$A:$A,0))</f>
        <v>524.17128073069443</v>
      </c>
      <c r="H58" s="775">
        <f>INDEX(DSS_Calc!$JM:$JM,MATCH(G$4+$B58,DSS_Calc!$A:$A,0))/INDEX(DSS_Calc!$JM:$JM,MATCH(G$4+$B$6,DSS_Calc!$A:$A,0))-1</f>
        <v>7.2179183934908853E-2</v>
      </c>
      <c r="I58" s="787">
        <f>ABS(INDEX(DSS_Calc!$KU:$KU,MATCH(G$4+$B58,DSS_Calc!$A:$A,0)))</f>
        <v>6.0312159536660506</v>
      </c>
      <c r="J58" s="772">
        <f t="shared" si="66"/>
        <v>45</v>
      </c>
      <c r="K58" s="812">
        <f t="shared" si="54"/>
        <v>19</v>
      </c>
      <c r="L58" s="812">
        <f t="shared" si="55"/>
        <v>100</v>
      </c>
      <c r="M58" s="812">
        <f>INDEX(DSS_Calc!$JM:$JM,MATCH(G$4+$B58,DSS_Calc!$A:$A,0))</f>
        <v>480.16010375710516</v>
      </c>
      <c r="N58" s="772"/>
      <c r="O58" s="776">
        <f>INDEX(DSS_Calc!$JD:$JD,MATCH(O$4+$B58,DSS_Calc!$A:$A,0))-INDEX(DSS_Calc!$JD:$JD,MATCH(O$4+$B$6,DSS_Calc!$A:$A,0))</f>
        <v>478.91591173119468</v>
      </c>
      <c r="P58" s="775">
        <f>INDEX(DSS_Calc!$JM:$JM,MATCH(O$4+$B58,DSS_Calc!$A:$A,0))/INDEX(DSS_Calc!$JM:$JM,MATCH(O$4+$B$6,DSS_Calc!$A:$A,0))-1</f>
        <v>6.473142061033732E-2</v>
      </c>
      <c r="Q58" s="787">
        <f>ABS(INDEX(DSS_Calc!$KU:$KU,MATCH(O$4+$B58,DSS_Calc!$A:$A,0)))</f>
        <v>4.4102310999461674</v>
      </c>
      <c r="R58" s="772">
        <f t="shared" si="67"/>
        <v>45</v>
      </c>
      <c r="S58" s="812">
        <f t="shared" si="56"/>
        <v>20</v>
      </c>
      <c r="T58" s="812">
        <f t="shared" si="57"/>
        <v>100</v>
      </c>
      <c r="U58" s="812">
        <f>INDEX(DSS_Calc!$JM:$JM,MATCH(O$4+$B58,DSS_Calc!$A:$A,0))</f>
        <v>1331.3048663221</v>
      </c>
      <c r="V58" s="772"/>
      <c r="W58" s="776">
        <f>INDEX(DSS_Calc!$JD:$JD,MATCH(W$4+$B58,DSS_Calc!$A:$A,0))-INDEX(DSS_Calc!$JD:$JD,MATCH(W$4+$B$6,DSS_Calc!$A:$A,0))</f>
        <v>537.86310434132656</v>
      </c>
      <c r="X58" s="775">
        <f>INDEX(DSS_Calc!$JM:$JM,MATCH(W$4+$B58,DSS_Calc!$A:$A,0))/INDEX(DSS_Calc!$JM:$JM,MATCH(W$4+$B$6,DSS_Calc!$A:$A,0))-1</f>
        <v>6.8860196122800588E-2</v>
      </c>
      <c r="Y58" s="787">
        <f>ABS(INDEX(DSS_Calc!$KU:$KU,MATCH(W$4+$B58,DSS_Calc!$A:$A,0)))</f>
        <v>4.5852527683787612</v>
      </c>
      <c r="Z58" s="772">
        <f t="shared" si="68"/>
        <v>45</v>
      </c>
      <c r="AA58" s="812">
        <f t="shared" si="58"/>
        <v>22</v>
      </c>
      <c r="AB58" s="812">
        <f t="shared" si="59"/>
        <v>100</v>
      </c>
      <c r="AC58" s="812">
        <f>INDEX(DSS_Calc!$JM:$JM,MATCH(W$4+$B58,DSS_Calc!$A:$A,0))</f>
        <v>1773.3795052508046</v>
      </c>
      <c r="AD58" s="772"/>
      <c r="AE58" s="776">
        <f>INDEX(DSS_Calc!$JD:$JD,MATCH(AE$4+$B58,DSS_Calc!$A:$A,0))-INDEX(DSS_Calc!$JD:$JD,MATCH(AE$4+$B$6,DSS_Calc!$A:$A,0))</f>
        <v>471.89087451777141</v>
      </c>
      <c r="AF58" s="775">
        <f>INDEX(DSS_Calc!$JM:$JM,MATCH(AE$4+$B58,DSS_Calc!$A:$A,0))/INDEX(DSS_Calc!$JM:$JM,MATCH(AE$4+$B$6,DSS_Calc!$A:$A,0))-1</f>
        <v>5.9516932672655676E-2</v>
      </c>
      <c r="AG58" s="787">
        <f>ABS(INDEX(DSS_Calc!$KU:$KU,MATCH(AE$4+$B58,DSS_Calc!$A:$A,0)))</f>
        <v>4.0127901233151517</v>
      </c>
      <c r="AH58" s="772">
        <f t="shared" si="69"/>
        <v>45</v>
      </c>
      <c r="AI58" s="812">
        <f t="shared" si="60"/>
        <v>23</v>
      </c>
      <c r="AJ58" s="812">
        <f t="shared" si="61"/>
        <v>100</v>
      </c>
      <c r="AK58" s="812">
        <f>INDEX(DSS_Calc!$JM:$JM,MATCH(AE$4+$B58,DSS_Calc!$A:$A,0))</f>
        <v>2562.5601353016318</v>
      </c>
      <c r="AL58" s="772"/>
      <c r="AM58" s="776">
        <f>INDEX(DSS_Calc!$JD:$JD,MATCH(AM$4+$B58,DSS_Calc!$A:$A,0))-INDEX(DSS_Calc!$JD:$JD,MATCH(AM$4+$B$6,DSS_Calc!$A:$A,0))</f>
        <v>471.51959785757708</v>
      </c>
      <c r="AN58" s="775">
        <f>INDEX(DSS_Calc!$JM:$JM,MATCH(AM$4+$B58,DSS_Calc!$A:$A,0))/INDEX(DSS_Calc!$JM:$JM,MATCH(AM$4+$B$6,DSS_Calc!$A:$A,0))-1</f>
        <v>6.3442651074474332E-2</v>
      </c>
      <c r="AO58" s="787">
        <f>ABS(INDEX(DSS_Calc!$KU:$KU,MATCH(AM$4+$B58,DSS_Calc!$A:$A,0)))</f>
        <v>3.9379004666469974</v>
      </c>
      <c r="AP58" s="772">
        <f t="shared" si="70"/>
        <v>45</v>
      </c>
      <c r="AQ58" s="812">
        <f t="shared" si="62"/>
        <v>23</v>
      </c>
      <c r="AR58" s="812">
        <f t="shared" si="63"/>
        <v>100</v>
      </c>
      <c r="AS58" s="812">
        <f>INDEX(DSS_Calc!$JM:$JM,MATCH(AM$4+$B58,DSS_Calc!$A:$A,0))</f>
        <v>876.64130884648387</v>
      </c>
      <c r="AT58" s="772"/>
      <c r="AU58" s="776">
        <f>INDEX(DSS_Calc!$JD:$JD,MATCH(AU$4+$B58,DSS_Calc!$A:$A,0))-INDEX(DSS_Calc!$JD:$JD,MATCH(AU$4+$B$6,DSS_Calc!$A:$A,0))</f>
        <v>493.54514826378181</v>
      </c>
      <c r="AV58" s="775">
        <f>INDEX(DSS_Calc!$JM:$JM,MATCH(AU$4+$B58,DSS_Calc!$A:$A,0))/INDEX(DSS_Calc!$JM:$JM,MATCH(AU$4+$B$6,DSS_Calc!$A:$A,0))-1</f>
        <v>6.4202859689478142E-2</v>
      </c>
    </row>
    <row r="59" spans="2:48">
      <c r="B59" s="836">
        <f t="shared" si="71"/>
        <v>45</v>
      </c>
      <c r="C59" s="777"/>
      <c r="D59" s="778" t="str">
        <f>LEFT(INDEX(DSS_Calc!$D:$D,MATCH(G$4+$B59,DSS_Calc!$A:$A,0)),LEN(INDEX(DSS_Calc!$D:$D,MATCH(G$4+$B59,DSS_Calc!$A:$A,0)))-2)</f>
        <v>0/0/0/3.9, 360 Lease</v>
      </c>
      <c r="E59" s="777" t="str">
        <f>"MY"&amp;RIGHT(Input!$H$9,2)&amp;" "&amp;Input!$H$3</f>
        <v>MY20 Soul</v>
      </c>
      <c r="F59" s="772"/>
      <c r="G59" s="779">
        <f>INDEX(DSS_Calc!$JD:$JD,MATCH(G$4+$B59,DSS_Calc!$A:$A,0))-INDEX(DSS_Calc!$JD:$JD,MATCH(G$4+$B$6,DSS_Calc!$A:$A,0))</f>
        <v>524.17128073069443</v>
      </c>
      <c r="H59" s="780">
        <f>INDEX(DSS_Calc!$JM:$JM,MATCH(G$4+$B59,DSS_Calc!$A:$A,0))/INDEX(DSS_Calc!$JM:$JM,MATCH(G$4+$B$6,DSS_Calc!$A:$A,0))-1</f>
        <v>7.2179183934908853E-2</v>
      </c>
      <c r="I59" s="788">
        <f>ABS(INDEX(DSS_Calc!$KU:$KU,MATCH(G$4+$B59,DSS_Calc!$A:$A,0)))</f>
        <v>6.0312169536660507</v>
      </c>
      <c r="J59" s="777">
        <f t="shared" si="66"/>
        <v>44</v>
      </c>
      <c r="K59" s="813">
        <f t="shared" si="54"/>
        <v>18</v>
      </c>
      <c r="L59" s="813">
        <f t="shared" si="55"/>
        <v>100</v>
      </c>
      <c r="M59" s="813">
        <f>INDEX(DSS_Calc!$JM:$JM,MATCH(G$4+$B59,DSS_Calc!$A:$A,0))</f>
        <v>480.16010375710516</v>
      </c>
      <c r="N59" s="772"/>
      <c r="O59" s="779">
        <f>INDEX(DSS_Calc!$JD:$JD,MATCH(O$4+$B59,DSS_Calc!$A:$A,0))-INDEX(DSS_Calc!$JD:$JD,MATCH(O$4+$B$6,DSS_Calc!$A:$A,0))</f>
        <v>478.91591173119468</v>
      </c>
      <c r="P59" s="780">
        <f>INDEX(DSS_Calc!$JM:$JM,MATCH(O$4+$B59,DSS_Calc!$A:$A,0))/INDEX(DSS_Calc!$JM:$JM,MATCH(O$4+$B$6,DSS_Calc!$A:$A,0))-1</f>
        <v>6.473142061033732E-2</v>
      </c>
      <c r="Q59" s="788">
        <f>ABS(INDEX(DSS_Calc!$KU:$KU,MATCH(O$4+$B59,DSS_Calc!$A:$A,0)))</f>
        <v>4.4102320999461675</v>
      </c>
      <c r="R59" s="777">
        <f t="shared" si="67"/>
        <v>44</v>
      </c>
      <c r="S59" s="813">
        <f t="shared" si="56"/>
        <v>19</v>
      </c>
      <c r="T59" s="813">
        <f t="shared" si="57"/>
        <v>100</v>
      </c>
      <c r="U59" s="813">
        <f>INDEX(DSS_Calc!$JM:$JM,MATCH(O$4+$B59,DSS_Calc!$A:$A,0))</f>
        <v>1331.3048663221</v>
      </c>
      <c r="V59" s="772"/>
      <c r="W59" s="779">
        <f>INDEX(DSS_Calc!$JD:$JD,MATCH(W$4+$B59,DSS_Calc!$A:$A,0))-INDEX(DSS_Calc!$JD:$JD,MATCH(W$4+$B$6,DSS_Calc!$A:$A,0))</f>
        <v>537.86310434132656</v>
      </c>
      <c r="X59" s="780">
        <f>INDEX(DSS_Calc!$JM:$JM,MATCH(W$4+$B59,DSS_Calc!$A:$A,0))/INDEX(DSS_Calc!$JM:$JM,MATCH(W$4+$B$6,DSS_Calc!$A:$A,0))-1</f>
        <v>6.8860196122800588E-2</v>
      </c>
      <c r="Y59" s="788">
        <f>ABS(INDEX(DSS_Calc!$KU:$KU,MATCH(W$4+$B59,DSS_Calc!$A:$A,0)))</f>
        <v>4.5852537683787613</v>
      </c>
      <c r="Z59" s="777">
        <f t="shared" si="68"/>
        <v>44</v>
      </c>
      <c r="AA59" s="813">
        <f t="shared" si="58"/>
        <v>21</v>
      </c>
      <c r="AB59" s="813">
        <f t="shared" si="59"/>
        <v>100</v>
      </c>
      <c r="AC59" s="813">
        <f>INDEX(DSS_Calc!$JM:$JM,MATCH(W$4+$B59,DSS_Calc!$A:$A,0))</f>
        <v>1773.3795052508046</v>
      </c>
      <c r="AD59" s="772"/>
      <c r="AE59" s="779">
        <f>INDEX(DSS_Calc!$JD:$JD,MATCH(AE$4+$B59,DSS_Calc!$A:$A,0))-INDEX(DSS_Calc!$JD:$JD,MATCH(AE$4+$B$6,DSS_Calc!$A:$A,0))</f>
        <v>471.89087451777141</v>
      </c>
      <c r="AF59" s="780">
        <f>INDEX(DSS_Calc!$JM:$JM,MATCH(AE$4+$B59,DSS_Calc!$A:$A,0))/INDEX(DSS_Calc!$JM:$JM,MATCH(AE$4+$B$6,DSS_Calc!$A:$A,0))-1</f>
        <v>5.9516932672655676E-2</v>
      </c>
      <c r="AG59" s="788">
        <f>ABS(INDEX(DSS_Calc!$KU:$KU,MATCH(AE$4+$B59,DSS_Calc!$A:$A,0)))</f>
        <v>4.0127911233151519</v>
      </c>
      <c r="AH59" s="777">
        <f t="shared" si="69"/>
        <v>44</v>
      </c>
      <c r="AI59" s="813">
        <f t="shared" si="60"/>
        <v>22</v>
      </c>
      <c r="AJ59" s="813">
        <f t="shared" si="61"/>
        <v>100</v>
      </c>
      <c r="AK59" s="813">
        <f>INDEX(DSS_Calc!$JM:$JM,MATCH(AE$4+$B59,DSS_Calc!$A:$A,0))</f>
        <v>2562.5601353016318</v>
      </c>
      <c r="AL59" s="772"/>
      <c r="AM59" s="779">
        <f>INDEX(DSS_Calc!$JD:$JD,MATCH(AM$4+$B59,DSS_Calc!$A:$A,0))-INDEX(DSS_Calc!$JD:$JD,MATCH(AM$4+$B$6,DSS_Calc!$A:$A,0))</f>
        <v>471.51959785757708</v>
      </c>
      <c r="AN59" s="780">
        <f>INDEX(DSS_Calc!$JM:$JM,MATCH(AM$4+$B59,DSS_Calc!$A:$A,0))/INDEX(DSS_Calc!$JM:$JM,MATCH(AM$4+$B$6,DSS_Calc!$A:$A,0))-1</f>
        <v>6.3442651074474332E-2</v>
      </c>
      <c r="AO59" s="788">
        <f>ABS(INDEX(DSS_Calc!$KU:$KU,MATCH(AM$4+$B59,DSS_Calc!$A:$A,0)))</f>
        <v>3.9379014666469976</v>
      </c>
      <c r="AP59" s="777">
        <f t="shared" si="70"/>
        <v>44</v>
      </c>
      <c r="AQ59" s="813">
        <f t="shared" si="62"/>
        <v>22</v>
      </c>
      <c r="AR59" s="813">
        <f t="shared" si="63"/>
        <v>100</v>
      </c>
      <c r="AS59" s="813">
        <f>INDEX(DSS_Calc!$JM:$JM,MATCH(AM$4+$B59,DSS_Calc!$A:$A,0))</f>
        <v>876.64130884648387</v>
      </c>
      <c r="AT59" s="772"/>
      <c r="AU59" s="779">
        <f>INDEX(DSS_Calc!$JD:$JD,MATCH(AU$4+$B59,DSS_Calc!$A:$A,0))-INDEX(DSS_Calc!$JD:$JD,MATCH(AU$4+$B$6,DSS_Calc!$A:$A,0))</f>
        <v>493.54514826378181</v>
      </c>
      <c r="AV59" s="780">
        <f>INDEX(DSS_Calc!$JM:$JM,MATCH(AU$4+$B59,DSS_Calc!$A:$A,0))/INDEX(DSS_Calc!$JM:$JM,MATCH(AU$4+$B$6,DSS_Calc!$A:$A,0))-1</f>
        <v>6.4202859689478142E-2</v>
      </c>
    </row>
    <row r="60" spans="2:48">
      <c r="B60" s="836">
        <f t="shared" si="71"/>
        <v>46</v>
      </c>
      <c r="C60" s="772"/>
      <c r="D60" s="774" t="str">
        <f>LEFT(INDEX(DSS_Calc!$D:$D,MATCH(G$4+$B60,DSS_Calc!$A:$A,0)),LEN(INDEX(DSS_Calc!$D:$D,MATCH(G$4+$B60,DSS_Calc!$A:$A,0)))-2)</f>
        <v>0/0/0/3.9, 360 Lease</v>
      </c>
      <c r="E60" s="772" t="str">
        <f>"MY"&amp;RIGHT(Input!$H$9,2)&amp;" "&amp;Input!$H$3</f>
        <v>MY20 Soul</v>
      </c>
      <c r="F60" s="772"/>
      <c r="G60" s="776">
        <f>INDEX(DSS_Calc!$JD:$JD,MATCH(G$4+$B60,DSS_Calc!$A:$A,0))-INDEX(DSS_Calc!$JD:$JD,MATCH(G$4+$B$6,DSS_Calc!$A:$A,0))</f>
        <v>524.17128073069443</v>
      </c>
      <c r="H60" s="775">
        <f>INDEX(DSS_Calc!$JM:$JM,MATCH(G$4+$B60,DSS_Calc!$A:$A,0))/INDEX(DSS_Calc!$JM:$JM,MATCH(G$4+$B$6,DSS_Calc!$A:$A,0))-1</f>
        <v>7.2179183934908853E-2</v>
      </c>
      <c r="I60" s="787">
        <f>ABS(INDEX(DSS_Calc!$KU:$KU,MATCH(G$4+$B60,DSS_Calc!$A:$A,0)))</f>
        <v>6.0312179536660508</v>
      </c>
      <c r="J60" s="772">
        <f t="shared" si="66"/>
        <v>43</v>
      </c>
      <c r="K60" s="812">
        <f t="shared" si="54"/>
        <v>17</v>
      </c>
      <c r="L60" s="812">
        <f t="shared" si="55"/>
        <v>100</v>
      </c>
      <c r="M60" s="812">
        <f>INDEX(DSS_Calc!$JM:$JM,MATCH(G$4+$B60,DSS_Calc!$A:$A,0))</f>
        <v>480.16010375710516</v>
      </c>
      <c r="N60" s="772"/>
      <c r="O60" s="776">
        <f>INDEX(DSS_Calc!$JD:$JD,MATCH(O$4+$B60,DSS_Calc!$A:$A,0))-INDEX(DSS_Calc!$JD:$JD,MATCH(O$4+$B$6,DSS_Calc!$A:$A,0))</f>
        <v>478.91591173119468</v>
      </c>
      <c r="P60" s="775">
        <f>INDEX(DSS_Calc!$JM:$JM,MATCH(O$4+$B60,DSS_Calc!$A:$A,0))/INDEX(DSS_Calc!$JM:$JM,MATCH(O$4+$B$6,DSS_Calc!$A:$A,0))-1</f>
        <v>6.473142061033732E-2</v>
      </c>
      <c r="Q60" s="787">
        <f>ABS(INDEX(DSS_Calc!$KU:$KU,MATCH(O$4+$B60,DSS_Calc!$A:$A,0)))</f>
        <v>4.4102330999461676</v>
      </c>
      <c r="R60" s="772">
        <f t="shared" si="67"/>
        <v>43</v>
      </c>
      <c r="S60" s="812">
        <f t="shared" si="56"/>
        <v>18</v>
      </c>
      <c r="T60" s="812">
        <f t="shared" si="57"/>
        <v>100</v>
      </c>
      <c r="U60" s="812">
        <f>INDEX(DSS_Calc!$JM:$JM,MATCH(O$4+$B60,DSS_Calc!$A:$A,0))</f>
        <v>1331.3048663221</v>
      </c>
      <c r="V60" s="772"/>
      <c r="W60" s="776">
        <f>INDEX(DSS_Calc!$JD:$JD,MATCH(W$4+$B60,DSS_Calc!$A:$A,0))-INDEX(DSS_Calc!$JD:$JD,MATCH(W$4+$B$6,DSS_Calc!$A:$A,0))</f>
        <v>537.86310434132656</v>
      </c>
      <c r="X60" s="775">
        <f>INDEX(DSS_Calc!$JM:$JM,MATCH(W$4+$B60,DSS_Calc!$A:$A,0))/INDEX(DSS_Calc!$JM:$JM,MATCH(W$4+$B$6,DSS_Calc!$A:$A,0))-1</f>
        <v>6.8860196122800588E-2</v>
      </c>
      <c r="Y60" s="787">
        <f>ABS(INDEX(DSS_Calc!$KU:$KU,MATCH(W$4+$B60,DSS_Calc!$A:$A,0)))</f>
        <v>4.5852547683787614</v>
      </c>
      <c r="Z60" s="772">
        <f t="shared" si="68"/>
        <v>43</v>
      </c>
      <c r="AA60" s="812">
        <f t="shared" si="58"/>
        <v>20</v>
      </c>
      <c r="AB60" s="812">
        <f t="shared" si="59"/>
        <v>100</v>
      </c>
      <c r="AC60" s="812">
        <f>INDEX(DSS_Calc!$JM:$JM,MATCH(W$4+$B60,DSS_Calc!$A:$A,0))</f>
        <v>1773.3795052508046</v>
      </c>
      <c r="AD60" s="772"/>
      <c r="AE60" s="776">
        <f>INDEX(DSS_Calc!$JD:$JD,MATCH(AE$4+$B60,DSS_Calc!$A:$A,0))-INDEX(DSS_Calc!$JD:$JD,MATCH(AE$4+$B$6,DSS_Calc!$A:$A,0))</f>
        <v>471.89087451777141</v>
      </c>
      <c r="AF60" s="775">
        <f>INDEX(DSS_Calc!$JM:$JM,MATCH(AE$4+$B60,DSS_Calc!$A:$A,0))/INDEX(DSS_Calc!$JM:$JM,MATCH(AE$4+$B$6,DSS_Calc!$A:$A,0))-1</f>
        <v>5.9516932672655676E-2</v>
      </c>
      <c r="AG60" s="787">
        <f>ABS(INDEX(DSS_Calc!$KU:$KU,MATCH(AE$4+$B60,DSS_Calc!$A:$A,0)))</f>
        <v>4.012792123315152</v>
      </c>
      <c r="AH60" s="772">
        <f t="shared" si="69"/>
        <v>43</v>
      </c>
      <c r="AI60" s="812">
        <f t="shared" si="60"/>
        <v>21</v>
      </c>
      <c r="AJ60" s="812">
        <f t="shared" si="61"/>
        <v>100</v>
      </c>
      <c r="AK60" s="812">
        <f>INDEX(DSS_Calc!$JM:$JM,MATCH(AE$4+$B60,DSS_Calc!$A:$A,0))</f>
        <v>2562.5601353016318</v>
      </c>
      <c r="AL60" s="772"/>
      <c r="AM60" s="776">
        <f>INDEX(DSS_Calc!$JD:$JD,MATCH(AM$4+$B60,DSS_Calc!$A:$A,0))-INDEX(DSS_Calc!$JD:$JD,MATCH(AM$4+$B$6,DSS_Calc!$A:$A,0))</f>
        <v>471.51959785757708</v>
      </c>
      <c r="AN60" s="775">
        <f>INDEX(DSS_Calc!$JM:$JM,MATCH(AM$4+$B60,DSS_Calc!$A:$A,0))/INDEX(DSS_Calc!$JM:$JM,MATCH(AM$4+$B$6,DSS_Calc!$A:$A,0))-1</f>
        <v>6.3442651074474332E-2</v>
      </c>
      <c r="AO60" s="787">
        <f>ABS(INDEX(DSS_Calc!$KU:$KU,MATCH(AM$4+$B60,DSS_Calc!$A:$A,0)))</f>
        <v>3.9379024666469977</v>
      </c>
      <c r="AP60" s="772">
        <f t="shared" si="70"/>
        <v>43</v>
      </c>
      <c r="AQ60" s="812">
        <f t="shared" si="62"/>
        <v>21</v>
      </c>
      <c r="AR60" s="812">
        <f t="shared" si="63"/>
        <v>100</v>
      </c>
      <c r="AS60" s="812">
        <f>INDEX(DSS_Calc!$JM:$JM,MATCH(AM$4+$B60,DSS_Calc!$A:$A,0))</f>
        <v>876.64130884648387</v>
      </c>
      <c r="AT60" s="772"/>
      <c r="AU60" s="776">
        <f>INDEX(DSS_Calc!$JD:$JD,MATCH(AU$4+$B60,DSS_Calc!$A:$A,0))-INDEX(DSS_Calc!$JD:$JD,MATCH(AU$4+$B$6,DSS_Calc!$A:$A,0))</f>
        <v>493.54514826378181</v>
      </c>
      <c r="AV60" s="775">
        <f>INDEX(DSS_Calc!$JM:$JM,MATCH(AU$4+$B60,DSS_Calc!$A:$A,0))/INDEX(DSS_Calc!$JM:$JM,MATCH(AU$4+$B$6,DSS_Calc!$A:$A,0))-1</f>
        <v>6.4202859689478142E-2</v>
      </c>
    </row>
    <row r="61" spans="2:48">
      <c r="B61" s="836">
        <f t="shared" si="71"/>
        <v>47</v>
      </c>
      <c r="C61" s="777"/>
      <c r="D61" s="778" t="str">
        <f>LEFT(INDEX(DSS_Calc!$D:$D,MATCH(G$4+$B61,DSS_Calc!$A:$A,0)),LEN(INDEX(DSS_Calc!$D:$D,MATCH(G$4+$B61,DSS_Calc!$A:$A,0)))-2)</f>
        <v>250 CC, -360 Lease</v>
      </c>
      <c r="E61" s="777" t="str">
        <f>"MY"&amp;RIGHT(Input!$H$9,2)&amp;" "&amp;Input!$H$3</f>
        <v>MY20 Soul</v>
      </c>
      <c r="F61" s="772"/>
      <c r="G61" s="779">
        <f>INDEX(DSS_Calc!$JD:$JD,MATCH(G$4+$B61,DSS_Calc!$A:$A,0))-INDEX(DSS_Calc!$JD:$JD,MATCH(G$4+$B$6,DSS_Calc!$A:$A,0))</f>
        <v>-273.4728992513642</v>
      </c>
      <c r="H61" s="780">
        <f>INDEX(DSS_Calc!$JM:$JM,MATCH(G$4+$B61,DSS_Calc!$A:$A,0))/INDEX(DSS_Calc!$JM:$JM,MATCH(G$4+$B$6,DSS_Calc!$A:$A,0))-1</f>
        <v>-1.9250910336049865E-2</v>
      </c>
      <c r="I61" s="788">
        <f>ABS(INDEX(DSS_Calc!$KU:$KU,MATCH(G$4+$B61,DSS_Calc!$A:$A,0)))</f>
        <v>6.567743783436736</v>
      </c>
      <c r="J61" s="777">
        <f t="shared" si="66"/>
        <v>10</v>
      </c>
      <c r="K61" s="813">
        <f t="shared" si="54"/>
        <v>100</v>
      </c>
      <c r="L61" s="813">
        <f t="shared" si="55"/>
        <v>6</v>
      </c>
      <c r="M61" s="813">
        <f>INDEX(DSS_Calc!$JM:$JM,MATCH(G$4+$B61,DSS_Calc!$A:$A,0))</f>
        <v>439.21444447789031</v>
      </c>
      <c r="N61" s="772"/>
      <c r="O61" s="779">
        <f>INDEX(DSS_Calc!$JD:$JD,MATCH(O$4+$B61,DSS_Calc!$A:$A,0))-INDEX(DSS_Calc!$JD:$JD,MATCH(O$4+$B$6,DSS_Calc!$A:$A,0))</f>
        <v>-51.457688565103126</v>
      </c>
      <c r="P61" s="780">
        <f>INDEX(DSS_Calc!$JM:$JM,MATCH(O$4+$B61,DSS_Calc!$A:$A,0))/INDEX(DSS_Calc!$JM:$JM,MATCH(O$4+$B$6,DSS_Calc!$A:$A,0))-1</f>
        <v>-8.0243022905246431E-4</v>
      </c>
      <c r="Q61" s="788">
        <f>ABS(INDEX(DSS_Calc!$KU:$KU,MATCH(O$4+$B61,DSS_Calc!$A:$A,0)))</f>
        <v>4.6000251058532378</v>
      </c>
      <c r="R61" s="777">
        <f t="shared" si="67"/>
        <v>11</v>
      </c>
      <c r="S61" s="813">
        <f t="shared" si="56"/>
        <v>100</v>
      </c>
      <c r="T61" s="813">
        <f t="shared" si="57"/>
        <v>6</v>
      </c>
      <c r="U61" s="813">
        <f>INDEX(DSS_Calc!$JM:$JM,MATCH(O$4+$B61,DSS_Calc!$A:$A,0))</f>
        <v>1249.3635120589804</v>
      </c>
      <c r="V61" s="772"/>
      <c r="W61" s="779">
        <f>INDEX(DSS_Calc!$JD:$JD,MATCH(W$4+$B61,DSS_Calc!$A:$A,0))-INDEX(DSS_Calc!$JD:$JD,MATCH(W$4+$B$6,DSS_Calc!$A:$A,0))</f>
        <v>-42.849647522861687</v>
      </c>
      <c r="X61" s="780">
        <f>INDEX(DSS_Calc!$JM:$JM,MATCH(W$4+$B61,DSS_Calc!$A:$A,0))/INDEX(DSS_Calc!$JM:$JM,MATCH(W$4+$B$6,DSS_Calc!$A:$A,0))-1</f>
        <v>-1.2116081857009853E-3</v>
      </c>
      <c r="Y61" s="788">
        <f>ABS(INDEX(DSS_Calc!$KU:$KU,MATCH(W$4+$B61,DSS_Calc!$A:$A,0)))</f>
        <v>4.738935637788912</v>
      </c>
      <c r="Z61" s="777">
        <f t="shared" si="68"/>
        <v>12</v>
      </c>
      <c r="AA61" s="813">
        <f t="shared" si="58"/>
        <v>100</v>
      </c>
      <c r="AB61" s="813">
        <f t="shared" si="59"/>
        <v>5</v>
      </c>
      <c r="AC61" s="813">
        <f>INDEX(DSS_Calc!$JM:$JM,MATCH(W$4+$B61,DSS_Calc!$A:$A,0))</f>
        <v>1657.1211750151026</v>
      </c>
      <c r="AD61" s="772"/>
      <c r="AE61" s="779">
        <f>INDEX(DSS_Calc!$JD:$JD,MATCH(AE$4+$B61,DSS_Calc!$A:$A,0))-INDEX(DSS_Calc!$JD:$JD,MATCH(AE$4+$B$6,DSS_Calc!$A:$A,0))</f>
        <v>57.668386836002355</v>
      </c>
      <c r="AF61" s="780">
        <f>INDEX(DSS_Calc!$JM:$JM,MATCH(AE$4+$B61,DSS_Calc!$A:$A,0))/INDEX(DSS_Calc!$JM:$JM,MATCH(AE$4+$B$6,DSS_Calc!$A:$A,0))-1</f>
        <v>9.0813974074255288E-3</v>
      </c>
      <c r="AG61" s="788">
        <f>ABS(INDEX(DSS_Calc!$KU:$KU,MATCH(AE$4+$B61,DSS_Calc!$A:$A,0)))</f>
        <v>4.0572761609616945</v>
      </c>
      <c r="AH61" s="777">
        <f t="shared" si="69"/>
        <v>17</v>
      </c>
      <c r="AI61" s="813">
        <f t="shared" si="60"/>
        <v>100</v>
      </c>
      <c r="AJ61" s="813">
        <f t="shared" si="61"/>
        <v>3</v>
      </c>
      <c r="AK61" s="813">
        <f>INDEX(DSS_Calc!$JM:$JM,MATCH(AE$4+$B61,DSS_Calc!$A:$A,0))</f>
        <v>2440.5761555390268</v>
      </c>
      <c r="AL61" s="772"/>
      <c r="AM61" s="779">
        <f>INDEX(DSS_Calc!$JD:$JD,MATCH(AM$4+$B61,DSS_Calc!$A:$A,0))-INDEX(DSS_Calc!$JD:$JD,MATCH(AM$4+$B$6,DSS_Calc!$A:$A,0))</f>
        <v>36.438699578405476</v>
      </c>
      <c r="AN61" s="780">
        <f>INDEX(DSS_Calc!$JM:$JM,MATCH(AM$4+$B61,DSS_Calc!$A:$A,0))/INDEX(DSS_Calc!$JM:$JM,MATCH(AM$4+$B$6,DSS_Calc!$A:$A,0))-1</f>
        <v>7.0965747469096119E-3</v>
      </c>
      <c r="AO61" s="788">
        <f>ABS(INDEX(DSS_Calc!$KU:$KU,MATCH(AM$4+$B61,DSS_Calc!$A:$A,0)))</f>
        <v>4.0174972462940932</v>
      </c>
      <c r="AP61" s="777">
        <f t="shared" si="70"/>
        <v>7</v>
      </c>
      <c r="AQ61" s="813">
        <f t="shared" si="62"/>
        <v>100</v>
      </c>
      <c r="AR61" s="813">
        <f t="shared" si="63"/>
        <v>2</v>
      </c>
      <c r="AS61" s="813">
        <f>INDEX(DSS_Calc!$JM:$JM,MATCH(AM$4+$B61,DSS_Calc!$A:$A,0))</f>
        <v>830.19282565817798</v>
      </c>
      <c r="AT61" s="772"/>
      <c r="AU61" s="779">
        <f>INDEX(DSS_Calc!$JD:$JD,MATCH(AU$4+$B61,DSS_Calc!$A:$A,0))-INDEX(DSS_Calc!$JD:$JD,MATCH(AU$4+$B$6,DSS_Calc!$A:$A,0))</f>
        <v>-13.196305027479411</v>
      </c>
      <c r="AV61" s="780">
        <f>INDEX(DSS_Calc!$JM:$JM,MATCH(AU$4+$B61,DSS_Calc!$A:$A,0))/INDEX(DSS_Calc!$JM:$JM,MATCH(AU$4+$B$6,DSS_Calc!$A:$A,0))-1</f>
        <v>2.4513460406125898E-3</v>
      </c>
    </row>
    <row r="62" spans="2:48">
      <c r="B62" s="836">
        <f t="shared" si="71"/>
        <v>48</v>
      </c>
      <c r="C62" s="772"/>
      <c r="D62" s="774" t="str">
        <f>LEFT(INDEX(DSS_Calc!$D:$D,MATCH(G$4+$B62,DSS_Calc!$A:$A,0)),LEN(INDEX(DSS_Calc!$D:$D,MATCH(G$4+$B62,DSS_Calc!$A:$A,0)))-2)</f>
        <v>500 CC, -360 Lease</v>
      </c>
      <c r="E62" s="772" t="str">
        <f>"MY"&amp;RIGHT(Input!$H$9,2)&amp;" "&amp;Input!$H$3</f>
        <v>MY20 Soul</v>
      </c>
      <c r="F62" s="772"/>
      <c r="G62" s="776">
        <f>INDEX(DSS_Calc!$JD:$JD,MATCH(G$4+$B62,DSS_Calc!$A:$A,0))-INDEX(DSS_Calc!$JD:$JD,MATCH(G$4+$B$6,DSS_Calc!$A:$A,0))</f>
        <v>-241.23956516522367</v>
      </c>
      <c r="H62" s="775">
        <f>INDEX(DSS_Calc!$JM:$JM,MATCH(G$4+$B62,DSS_Calc!$A:$A,0))/INDEX(DSS_Calc!$JM:$JM,MATCH(G$4+$B$6,DSS_Calc!$A:$A,0))-1</f>
        <v>-7.22556445823197E-3</v>
      </c>
      <c r="I62" s="787">
        <f>ABS(INDEX(DSS_Calc!$KU:$KU,MATCH(G$4+$B62,DSS_Calc!$A:$A,0)))</f>
        <v>6.6601093028363501</v>
      </c>
      <c r="J62" s="772">
        <f t="shared" si="66"/>
        <v>6</v>
      </c>
      <c r="K62" s="812">
        <f t="shared" si="54"/>
        <v>100</v>
      </c>
      <c r="L62" s="812">
        <f t="shared" si="55"/>
        <v>4</v>
      </c>
      <c r="M62" s="812">
        <f>INDEX(DSS_Calc!$JM:$JM,MATCH(G$4+$B62,DSS_Calc!$A:$A,0))</f>
        <v>444.59982353665652</v>
      </c>
      <c r="N62" s="772"/>
      <c r="O62" s="776">
        <f>INDEX(DSS_Calc!$JD:$JD,MATCH(O$4+$B62,DSS_Calc!$A:$A,0))-INDEX(DSS_Calc!$JD:$JD,MATCH(O$4+$B$6,DSS_Calc!$A:$A,0))</f>
        <v>30.254359448789273</v>
      </c>
      <c r="P62" s="775">
        <f>INDEX(DSS_Calc!$JM:$JM,MATCH(O$4+$B62,DSS_Calc!$A:$A,0))/INDEX(DSS_Calc!$JM:$JM,MATCH(O$4+$B$6,DSS_Calc!$A:$A,0))-1</f>
        <v>1.2900219696254434E-2</v>
      </c>
      <c r="Q62" s="787">
        <f>ABS(INDEX(DSS_Calc!$KU:$KU,MATCH(O$4+$B62,DSS_Calc!$A:$A,0)))</f>
        <v>4.613907112028393</v>
      </c>
      <c r="R62" s="772">
        <f t="shared" si="67"/>
        <v>6</v>
      </c>
      <c r="S62" s="812">
        <f t="shared" si="56"/>
        <v>100</v>
      </c>
      <c r="T62" s="812">
        <f t="shared" si="57"/>
        <v>2</v>
      </c>
      <c r="U62" s="812">
        <f>INDEX(DSS_Calc!$JM:$JM,MATCH(O$4+$B62,DSS_Calc!$A:$A,0))</f>
        <v>1266.4968512034307</v>
      </c>
      <c r="V62" s="772"/>
      <c r="W62" s="776">
        <f>INDEX(DSS_Calc!$JD:$JD,MATCH(W$4+$B62,DSS_Calc!$A:$A,0))-INDEX(DSS_Calc!$JD:$JD,MATCH(W$4+$B$6,DSS_Calc!$A:$A,0))</f>
        <v>28.702794383803393</v>
      </c>
      <c r="X62" s="775">
        <f>INDEX(DSS_Calc!$JM:$JM,MATCH(W$4+$B62,DSS_Calc!$A:$A,0))/INDEX(DSS_Calc!$JM:$JM,MATCH(W$4+$B$6,DSS_Calc!$A:$A,0))-1</f>
        <v>1.0770014845717935E-2</v>
      </c>
      <c r="Y62" s="787">
        <f>ABS(INDEX(DSS_Calc!$KU:$KU,MATCH(W$4+$B62,DSS_Calc!$A:$A,0)))</f>
        <v>4.7569789461224037</v>
      </c>
      <c r="Z62" s="772">
        <f t="shared" si="68"/>
        <v>8</v>
      </c>
      <c r="AA62" s="812">
        <f t="shared" si="58"/>
        <v>100</v>
      </c>
      <c r="AB62" s="812">
        <f t="shared" si="59"/>
        <v>3</v>
      </c>
      <c r="AC62" s="812">
        <f>INDEX(DSS_Calc!$JM:$JM,MATCH(W$4+$B62,DSS_Calc!$A:$A,0))</f>
        <v>1677.0002619159291</v>
      </c>
      <c r="AD62" s="772"/>
      <c r="AE62" s="776">
        <f>INDEX(DSS_Calc!$JD:$JD,MATCH(AE$4+$B62,DSS_Calc!$A:$A,0))-INDEX(DSS_Calc!$JD:$JD,MATCH(AE$4+$B$6,DSS_Calc!$A:$A,0))</f>
        <v>160.47577373609556</v>
      </c>
      <c r="AF62" s="775">
        <f>INDEX(DSS_Calc!$JM:$JM,MATCH(AE$4+$B62,DSS_Calc!$A:$A,0))/INDEX(DSS_Calc!$JM:$JM,MATCH(AE$4+$B$6,DSS_Calc!$A:$A,0))-1</f>
        <v>2.3011475735844611E-2</v>
      </c>
      <c r="AG62" s="787">
        <f>ABS(INDEX(DSS_Calc!$KU:$KU,MATCH(AE$4+$B62,DSS_Calc!$A:$A,0)))</f>
        <v>4.0605136730425313</v>
      </c>
      <c r="AH62" s="772">
        <f t="shared" si="69"/>
        <v>14</v>
      </c>
      <c r="AI62" s="812">
        <f t="shared" si="60"/>
        <v>100</v>
      </c>
      <c r="AJ62" s="812">
        <f t="shared" si="61"/>
        <v>1</v>
      </c>
      <c r="AK62" s="812">
        <f>INDEX(DSS_Calc!$JM:$JM,MATCH(AE$4+$B62,DSS_Calc!$A:$A,0))</f>
        <v>2474.2676070913776</v>
      </c>
      <c r="AL62" s="772"/>
      <c r="AM62" s="776">
        <f>INDEX(DSS_Calc!$JD:$JD,MATCH(AM$4+$B62,DSS_Calc!$A:$A,0))-INDEX(DSS_Calc!$JD:$JD,MATCH(AM$4+$B$6,DSS_Calc!$A:$A,0))</f>
        <v>133.33645382765417</v>
      </c>
      <c r="AN62" s="775">
        <f>INDEX(DSS_Calc!$JM:$JM,MATCH(AM$4+$B62,DSS_Calc!$A:$A,0))/INDEX(DSS_Calc!$JM:$JM,MATCH(AM$4+$B$6,DSS_Calc!$A:$A,0))-1</f>
        <v>2.1016137982803995E-2</v>
      </c>
      <c r="AO62" s="787">
        <f>ABS(INDEX(DSS_Calc!$KU:$KU,MATCH(AM$4+$B62,DSS_Calc!$A:$A,0)))</f>
        <v>4.0153131688331918</v>
      </c>
      <c r="AP62" s="772">
        <f t="shared" si="70"/>
        <v>9</v>
      </c>
      <c r="AQ62" s="812">
        <f t="shared" si="62"/>
        <v>100</v>
      </c>
      <c r="AR62" s="812">
        <f t="shared" si="63"/>
        <v>3</v>
      </c>
      <c r="AS62" s="812">
        <f>INDEX(DSS_Calc!$JM:$JM,MATCH(AM$4+$B62,DSS_Calc!$A:$A,0))</f>
        <v>841.66731760314258</v>
      </c>
      <c r="AT62" s="772"/>
      <c r="AU62" s="776">
        <f>INDEX(DSS_Calc!$JD:$JD,MATCH(AU$4+$B62,DSS_Calc!$A:$A,0))-INDEX(DSS_Calc!$JD:$JD,MATCH(AU$4+$B$6,DSS_Calc!$A:$A,0))</f>
        <v>72.314367264562861</v>
      </c>
      <c r="AV62" s="775">
        <f>INDEX(DSS_Calc!$JM:$JM,MATCH(AU$4+$B62,DSS_Calc!$A:$A,0))/INDEX(DSS_Calc!$JM:$JM,MATCH(AU$4+$B$6,DSS_Calc!$A:$A,0))-1</f>
        <v>1.5718000720116532E-2</v>
      </c>
    </row>
    <row r="63" spans="2:48">
      <c r="B63" s="836">
        <f t="shared" si="71"/>
        <v>49</v>
      </c>
      <c r="C63" s="777"/>
      <c r="D63" s="778" t="str">
        <f>LEFT(INDEX(DSS_Calc!$D:$D,MATCH(G$4+$B63,DSS_Calc!$A:$A,0)),LEN(INDEX(DSS_Calc!$D:$D,MATCH(G$4+$B63,DSS_Calc!$A:$A,0)))-2)</f>
        <v>750 CC, -360 Lease</v>
      </c>
      <c r="E63" s="777" t="str">
        <f>"MY"&amp;RIGHT(Input!$H$9,2)&amp;" "&amp;Input!$H$3</f>
        <v>MY20 Soul</v>
      </c>
      <c r="F63" s="772"/>
      <c r="G63" s="779">
        <f>INDEX(DSS_Calc!$JD:$JD,MATCH(G$4+$B63,DSS_Calc!$A:$A,0))-INDEX(DSS_Calc!$JD:$JD,MATCH(G$4+$B$6,DSS_Calc!$A:$A,0))</f>
        <v>-192.01132082874528</v>
      </c>
      <c r="H63" s="780">
        <f>INDEX(DSS_Calc!$JM:$JM,MATCH(G$4+$B63,DSS_Calc!$A:$A,0))/INDEX(DSS_Calc!$JM:$JM,MATCH(G$4+$B$6,DSS_Calc!$A:$A,0))-1</f>
        <v>6.3181367592999305E-3</v>
      </c>
      <c r="I63" s="788">
        <f>ABS(INDEX(DSS_Calc!$KU:$KU,MATCH(G$4+$B63,DSS_Calc!$A:$A,0)))</f>
        <v>6.7284193111431874</v>
      </c>
      <c r="J63" s="777">
        <f t="shared" si="66"/>
        <v>2</v>
      </c>
      <c r="K63" s="813">
        <f t="shared" si="54"/>
        <v>100</v>
      </c>
      <c r="L63" s="813">
        <f t="shared" si="55"/>
        <v>2</v>
      </c>
      <c r="M63" s="813">
        <f>INDEX(DSS_Calc!$JM:$JM,MATCH(G$4+$B63,DSS_Calc!$A:$A,0))</f>
        <v>450.66517630539681</v>
      </c>
      <c r="N63" s="772"/>
      <c r="O63" s="779">
        <f>INDEX(DSS_Calc!$JD:$JD,MATCH(O$4+$B63,DSS_Calc!$A:$A,0))-INDEX(DSS_Calc!$JD:$JD,MATCH(O$4+$B$6,DSS_Calc!$A:$A,0))</f>
        <v>125.24287026346929</v>
      </c>
      <c r="P63" s="780">
        <f>INDEX(DSS_Calc!$JM:$JM,MATCH(O$4+$B63,DSS_Calc!$A:$A,0))/INDEX(DSS_Calc!$JM:$JM,MATCH(O$4+$B$6,DSS_Calc!$A:$A,0))-1</f>
        <v>2.7928836914485888E-2</v>
      </c>
      <c r="Q63" s="788">
        <f>ABS(INDEX(DSS_Calc!$KU:$KU,MATCH(O$4+$B63,DSS_Calc!$A:$A,0)))</f>
        <v>4.6170279876164377</v>
      </c>
      <c r="R63" s="777">
        <f t="shared" si="67"/>
        <v>4</v>
      </c>
      <c r="S63" s="813">
        <f t="shared" si="56"/>
        <v>100</v>
      </c>
      <c r="T63" s="813">
        <f t="shared" si="57"/>
        <v>1</v>
      </c>
      <c r="U63" s="813">
        <f>INDEX(DSS_Calc!$JM:$JM,MATCH(O$4+$B63,DSS_Calc!$A:$A,0))</f>
        <v>1285.2881358874636</v>
      </c>
      <c r="V63" s="772"/>
      <c r="W63" s="779">
        <f>INDEX(DSS_Calc!$JD:$JD,MATCH(W$4+$B63,DSS_Calc!$A:$A,0))-INDEX(DSS_Calc!$JD:$JD,MATCH(W$4+$B$6,DSS_Calc!$A:$A,0))</f>
        <v>112.06322978339267</v>
      </c>
      <c r="X63" s="780">
        <f>INDEX(DSS_Calc!$JM:$JM,MATCH(W$4+$B63,DSS_Calc!$A:$A,0))/INDEX(DSS_Calc!$JM:$JM,MATCH(W$4+$B$6,DSS_Calc!$A:$A,0))-1</f>
        <v>2.3926464440530371E-2</v>
      </c>
      <c r="Y63" s="788">
        <f>ABS(INDEX(DSS_Calc!$KU:$KU,MATCH(W$4+$B63,DSS_Calc!$A:$A,0)))</f>
        <v>4.767379052352636</v>
      </c>
      <c r="Z63" s="777">
        <f t="shared" si="68"/>
        <v>6</v>
      </c>
      <c r="AA63" s="813">
        <f t="shared" si="58"/>
        <v>100</v>
      </c>
      <c r="AB63" s="813">
        <f t="shared" si="59"/>
        <v>2</v>
      </c>
      <c r="AC63" s="813">
        <f>INDEX(DSS_Calc!$JM:$JM,MATCH(W$4+$B63,DSS_Calc!$A:$A,0))</f>
        <v>1698.8285404484611</v>
      </c>
      <c r="AD63" s="772"/>
      <c r="AE63" s="779">
        <f>INDEX(DSS_Calc!$JD:$JD,MATCH(AE$4+$B63,DSS_Calc!$A:$A,0))-INDEX(DSS_Calc!$JD:$JD,MATCH(AE$4+$B$6,DSS_Calc!$A:$A,0))</f>
        <v>271.0942736962902</v>
      </c>
      <c r="AF63" s="780">
        <f>INDEX(DSS_Calc!$JM:$JM,MATCH(AE$4+$B63,DSS_Calc!$A:$A,0))/INDEX(DSS_Calc!$JM:$JM,MATCH(AE$4+$B$6,DSS_Calc!$A:$A,0))-1</f>
        <v>3.7897501715996373E-2</v>
      </c>
      <c r="AG63" s="788">
        <f>ABS(INDEX(DSS_Calc!$KU:$KU,MATCH(AE$4+$B63,DSS_Calc!$A:$A,0)))</f>
        <v>4.062658376764003</v>
      </c>
      <c r="AH63" s="777">
        <f t="shared" si="69"/>
        <v>12</v>
      </c>
      <c r="AI63" s="813">
        <f t="shared" si="60"/>
        <v>12</v>
      </c>
      <c r="AJ63" s="813">
        <f t="shared" si="61"/>
        <v>100</v>
      </c>
      <c r="AK63" s="813">
        <f>INDEX(DSS_Calc!$JM:$JM,MATCH(AE$4+$B63,DSS_Calc!$A:$A,0))</f>
        <v>2510.2711248960213</v>
      </c>
      <c r="AL63" s="772"/>
      <c r="AM63" s="779">
        <f>INDEX(DSS_Calc!$JD:$JD,MATCH(AM$4+$B63,DSS_Calc!$A:$A,0))-INDEX(DSS_Calc!$JD:$JD,MATCH(AM$4+$B$6,DSS_Calc!$A:$A,0))</f>
        <v>240.33144368128978</v>
      </c>
      <c r="AN63" s="780">
        <f>INDEX(DSS_Calc!$JM:$JM,MATCH(AM$4+$B63,DSS_Calc!$A:$A,0))/INDEX(DSS_Calc!$JM:$JM,MATCH(AM$4+$B$6,DSS_Calc!$A:$A,0))-1</f>
        <v>3.6122768408241912E-2</v>
      </c>
      <c r="AO63" s="788">
        <f>ABS(INDEX(DSS_Calc!$KU:$KU,MATCH(AM$4+$B63,DSS_Calc!$A:$A,0)))</f>
        <v>4.0097567025773291</v>
      </c>
      <c r="AP63" s="777">
        <f t="shared" si="70"/>
        <v>15</v>
      </c>
      <c r="AQ63" s="813">
        <f t="shared" si="62"/>
        <v>100</v>
      </c>
      <c r="AR63" s="813">
        <f t="shared" si="63"/>
        <v>6</v>
      </c>
      <c r="AS63" s="813">
        <f>INDEX(DSS_Calc!$JM:$JM,MATCH(AM$4+$B63,DSS_Calc!$A:$A,0))</f>
        <v>854.12035985702948</v>
      </c>
      <c r="AT63" s="772"/>
      <c r="AU63" s="779">
        <f>INDEX(DSS_Calc!$JD:$JD,MATCH(AU$4+$B63,DSS_Calc!$A:$A,0))-INDEX(DSS_Calc!$JD:$JD,MATCH(AU$4+$B$6,DSS_Calc!$A:$A,0))</f>
        <v>168.55669351114466</v>
      </c>
      <c r="AV63" s="780">
        <f>INDEX(DSS_Calc!$JM:$JM,MATCH(AU$4+$B63,DSS_Calc!$A:$A,0))/INDEX(DSS_Calc!$JM:$JM,MATCH(AU$4+$B$6,DSS_Calc!$A:$A,0))-1</f>
        <v>3.0132745731984434E-2</v>
      </c>
    </row>
    <row r="64" spans="2:48">
      <c r="B64" s="836">
        <f t="shared" si="71"/>
        <v>50</v>
      </c>
      <c r="C64" s="772"/>
      <c r="D64" s="774" t="str">
        <f>LEFT(INDEX(DSS_Calc!$D:$D,MATCH(G$4+$B64,DSS_Calc!$A:$A,0)),LEN(INDEX(DSS_Calc!$D:$D,MATCH(G$4+$B64,DSS_Calc!$A:$A,0)))-2)</f>
        <v>1000 CC, -360 Lease</v>
      </c>
      <c r="E64" s="772" t="str">
        <f>"MY"&amp;RIGHT(Input!$H$9,2)&amp;" "&amp;Input!$H$3</f>
        <v>MY20 Soul</v>
      </c>
      <c r="F64" s="772"/>
      <c r="G64" s="776">
        <f>INDEX(DSS_Calc!$JD:$JD,MATCH(G$4+$B64,DSS_Calc!$A:$A,0))-INDEX(DSS_Calc!$JD:$JD,MATCH(G$4+$B$6,DSS_Calc!$A:$A,0))</f>
        <v>-125.80005488078132</v>
      </c>
      <c r="H64" s="775">
        <f>INDEX(DSS_Calc!$JM:$JM,MATCH(G$4+$B64,DSS_Calc!$A:$A,0))/INDEX(DSS_Calc!$JM:$JM,MATCH(G$4+$B$6,DSS_Calc!$A:$A,0))-1</f>
        <v>2.1411057504827191E-2</v>
      </c>
      <c r="I64" s="787">
        <f>ABS(INDEX(DSS_Calc!$KU:$KU,MATCH(G$4+$B64,DSS_Calc!$A:$A,0)))</f>
        <v>6.7731564601756933</v>
      </c>
      <c r="J64" s="814">
        <f t="shared" si="66"/>
        <v>1</v>
      </c>
      <c r="K64" s="812">
        <f t="shared" si="54"/>
        <v>100</v>
      </c>
      <c r="L64" s="812">
        <f t="shared" si="55"/>
        <v>1</v>
      </c>
      <c r="M64" s="812">
        <f>INDEX(DSS_Calc!$JM:$JM,MATCH(G$4+$B64,DSS_Calc!$A:$A,0))</f>
        <v>457.42432486914112</v>
      </c>
      <c r="N64" s="772"/>
      <c r="O64" s="776">
        <f>INDEX(DSS_Calc!$JD:$JD,MATCH(O$4+$B64,DSS_Calc!$A:$A,0))-INDEX(DSS_Calc!$JD:$JD,MATCH(O$4+$B$6,DSS_Calc!$A:$A,0))</f>
        <v>232.845322029822</v>
      </c>
      <c r="P64" s="775">
        <f>INDEX(DSS_Calc!$JM:$JM,MATCH(O$4+$B64,DSS_Calc!$A:$A,0))/INDEX(DSS_Calc!$JM:$JM,MATCH(O$4+$B$6,DSS_Calc!$A:$A,0))-1</f>
        <v>4.4295247446930697E-2</v>
      </c>
      <c r="Q64" s="787">
        <f>ABS(INDEX(DSS_Calc!$KU:$KU,MATCH(O$4+$B64,DSS_Calc!$A:$A,0)))</f>
        <v>4.6120582341857679</v>
      </c>
      <c r="R64" s="814">
        <f t="shared" si="67"/>
        <v>7</v>
      </c>
      <c r="S64" s="812">
        <f t="shared" si="56"/>
        <v>100</v>
      </c>
      <c r="T64" s="812">
        <f t="shared" si="57"/>
        <v>3</v>
      </c>
      <c r="U64" s="812">
        <f>INDEX(DSS_Calc!$JM:$JM,MATCH(O$4+$B64,DSS_Calc!$A:$A,0))</f>
        <v>1305.7521529759977</v>
      </c>
      <c r="V64" s="772"/>
      <c r="W64" s="776">
        <f>INDEX(DSS_Calc!$JD:$JD,MATCH(W$4+$B64,DSS_Calc!$A:$A,0))-INDEX(DSS_Calc!$JD:$JD,MATCH(W$4+$B$6,DSS_Calc!$A:$A,0))</f>
        <v>206.65622918804684</v>
      </c>
      <c r="X64" s="775">
        <f>INDEX(DSS_Calc!$JM:$JM,MATCH(W$4+$B64,DSS_Calc!$A:$A,0))/INDEX(DSS_Calc!$JM:$JM,MATCH(W$4+$B$6,DSS_Calc!$A:$A,0))-1</f>
        <v>3.8263926336309151E-2</v>
      </c>
      <c r="Y64" s="787">
        <f>ABS(INDEX(DSS_Calc!$KU:$KU,MATCH(W$4+$B64,DSS_Calc!$A:$A,0)))</f>
        <v>4.7717147281057457</v>
      </c>
      <c r="Z64" s="814">
        <f t="shared" si="68"/>
        <v>4</v>
      </c>
      <c r="AA64" s="812">
        <f t="shared" si="58"/>
        <v>100</v>
      </c>
      <c r="AB64" s="812">
        <f t="shared" si="59"/>
        <v>1</v>
      </c>
      <c r="AC64" s="812">
        <f>INDEX(DSS_Calc!$JM:$JM,MATCH(W$4+$B64,DSS_Calc!$A:$A,0))</f>
        <v>1722.6162735640905</v>
      </c>
      <c r="AD64" s="772"/>
      <c r="AE64" s="776">
        <f>INDEX(DSS_Calc!$JD:$JD,MATCH(AE$4+$B64,DSS_Calc!$A:$A,0))-INDEX(DSS_Calc!$JD:$JD,MATCH(AE$4+$B$6,DSS_Calc!$A:$A,0))</f>
        <v>389.1189736360775</v>
      </c>
      <c r="AF64" s="775">
        <f>INDEX(DSS_Calc!$JM:$JM,MATCH(AE$4+$B64,DSS_Calc!$A:$A,0))/INDEX(DSS_Calc!$JM:$JM,MATCH(AE$4+$B$6,DSS_Calc!$A:$A,0))-1</f>
        <v>5.3748434812993739E-2</v>
      </c>
      <c r="AG64" s="787">
        <f>ABS(INDEX(DSS_Calc!$KU:$KU,MATCH(AE$4+$B64,DSS_Calc!$A:$A,0)))</f>
        <v>4.064450817944584</v>
      </c>
      <c r="AH64" s="814">
        <f t="shared" si="69"/>
        <v>11</v>
      </c>
      <c r="AI64" s="812">
        <f t="shared" si="60"/>
        <v>11</v>
      </c>
      <c r="AJ64" s="812">
        <f t="shared" si="61"/>
        <v>100</v>
      </c>
      <c r="AK64" s="812">
        <f>INDEX(DSS_Calc!$JM:$JM,MATCH(AE$4+$B64,DSS_Calc!$A:$A,0))</f>
        <v>2548.608378420829</v>
      </c>
      <c r="AL64" s="772"/>
      <c r="AM64" s="776">
        <f>INDEX(DSS_Calc!$JD:$JD,MATCH(AM$4+$B64,DSS_Calc!$A:$A,0))-INDEX(DSS_Calc!$JD:$JD,MATCH(AM$4+$B$6,DSS_Calc!$A:$A,0))</f>
        <v>356.80739375534677</v>
      </c>
      <c r="AN64" s="775">
        <f>INDEX(DSS_Calc!$JM:$JM,MATCH(AM$4+$B64,DSS_Calc!$A:$A,0))/INDEX(DSS_Calc!$JM:$JM,MATCH(AM$4+$B$6,DSS_Calc!$A:$A,0))-1</f>
        <v>5.2425007098906073E-2</v>
      </c>
      <c r="AO64" s="787">
        <f>ABS(INDEX(DSS_Calc!$KU:$KU,MATCH(AM$4+$B64,DSS_Calc!$A:$A,0)))</f>
        <v>4.0025646666976611</v>
      </c>
      <c r="AP64" s="814">
        <f t="shared" si="70"/>
        <v>20</v>
      </c>
      <c r="AQ64" s="812">
        <f t="shared" si="62"/>
        <v>12</v>
      </c>
      <c r="AR64" s="812">
        <f t="shared" si="63"/>
        <v>100</v>
      </c>
      <c r="AS64" s="812">
        <f>INDEX(DSS_Calc!$JM:$JM,MATCH(AM$4+$B64,DSS_Calc!$A:$A,0))</f>
        <v>867.55899319421235</v>
      </c>
      <c r="AT64" s="772"/>
      <c r="AU64" s="776">
        <f>INDEX(DSS_Calc!$JD:$JD,MATCH(AU$4+$B64,DSS_Calc!$A:$A,0))-INDEX(DSS_Calc!$JD:$JD,MATCH(AU$4+$B$6,DSS_Calc!$A:$A,0))</f>
        <v>275.02535341875</v>
      </c>
      <c r="AV64" s="775">
        <f>INDEX(DSS_Calc!$JM:$JM,MATCH(AU$4+$B64,DSS_Calc!$A:$A,0))/INDEX(DSS_Calc!$JM:$JM,MATCH(AU$4+$B$6,DSS_Calc!$A:$A,0))-1</f>
        <v>4.5705820347327286E-2</v>
      </c>
    </row>
    <row r="65" spans="2:48">
      <c r="B65" s="836">
        <f t="shared" si="71"/>
        <v>51</v>
      </c>
      <c r="C65" s="777"/>
      <c r="D65" s="778" t="str">
        <f>LEFT(INDEX(DSS_Calc!$D:$D,MATCH(G$4+$B65,DSS_Calc!$A:$A,0)),LEN(INDEX(DSS_Calc!$D:$D,MATCH(G$4+$B65,DSS_Calc!$A:$A,0)))-2)</f>
        <v>0/0/0.9/3.9, -360 Lease</v>
      </c>
      <c r="E65" s="777" t="str">
        <f>"MY"&amp;RIGHT(Input!$H$9,2)&amp;" "&amp;Input!$H$3</f>
        <v>MY20 Soul</v>
      </c>
      <c r="F65" s="772"/>
      <c r="G65" s="779">
        <f>INDEX(DSS_Calc!$JD:$JD,MATCH(G$4+$B65,DSS_Calc!$A:$A,0))-INDEX(DSS_Calc!$JD:$JD,MATCH(G$4+$B$6,DSS_Calc!$A:$A,0))</f>
        <v>-187.81466189392222</v>
      </c>
      <c r="H65" s="780">
        <f>INDEX(DSS_Calc!$JM:$JM,MATCH(G$4+$B65,DSS_Calc!$A:$A,0))/INDEX(DSS_Calc!$JM:$JM,MATCH(G$4+$B$6,DSS_Calc!$A:$A,0))-1</f>
        <v>-1.194118960130619E-2</v>
      </c>
      <c r="I65" s="788">
        <f>ABS(INDEX(DSS_Calc!$KU:$KU,MATCH(G$4+$B65,DSS_Calc!$A:$A,0)))</f>
        <v>6.4591202319517924</v>
      </c>
      <c r="J65" s="777">
        <f t="shared" si="66"/>
        <v>14</v>
      </c>
      <c r="K65" s="813">
        <f t="shared" si="54"/>
        <v>100</v>
      </c>
      <c r="L65" s="813">
        <f t="shared" si="55"/>
        <v>9</v>
      </c>
      <c r="M65" s="813">
        <f>INDEX(DSS_Calc!$JM:$JM,MATCH(G$4+$B65,DSS_Calc!$A:$A,0))</f>
        <v>442.48799830081458</v>
      </c>
      <c r="N65" s="772"/>
      <c r="O65" s="779">
        <f>INDEX(DSS_Calc!$JD:$JD,MATCH(O$4+$B65,DSS_Calc!$A:$A,0))-INDEX(DSS_Calc!$JD:$JD,MATCH(O$4+$B$6,DSS_Calc!$A:$A,0))</f>
        <v>40.820492341739282</v>
      </c>
      <c r="P65" s="780">
        <f>INDEX(DSS_Calc!$JM:$JM,MATCH(O$4+$B65,DSS_Calc!$A:$A,0))/INDEX(DSS_Calc!$JM:$JM,MATCH(O$4+$B$6,DSS_Calc!$A:$A,0))-1</f>
        <v>1.0212230377588449E-2</v>
      </c>
      <c r="Q65" s="788">
        <f>ABS(INDEX(DSS_Calc!$KU:$KU,MATCH(O$4+$B65,DSS_Calc!$A:$A,0)))</f>
        <v>4.5551306792494737</v>
      </c>
      <c r="R65" s="777">
        <f t="shared" si="67"/>
        <v>19</v>
      </c>
      <c r="S65" s="813">
        <f t="shared" si="56"/>
        <v>100</v>
      </c>
      <c r="T65" s="813">
        <f t="shared" si="57"/>
        <v>10</v>
      </c>
      <c r="U65" s="813">
        <f>INDEX(DSS_Calc!$JM:$JM,MATCH(O$4+$B65,DSS_Calc!$A:$A,0))</f>
        <v>1263.1358784817742</v>
      </c>
      <c r="V65" s="772"/>
      <c r="W65" s="779">
        <f>INDEX(DSS_Calc!$JD:$JD,MATCH(W$4+$B65,DSS_Calc!$A:$A,0))-INDEX(DSS_Calc!$JD:$JD,MATCH(W$4+$B$6,DSS_Calc!$A:$A,0))</f>
        <v>81.875587089234614</v>
      </c>
      <c r="X65" s="780">
        <f>INDEX(DSS_Calc!$JM:$JM,MATCH(W$4+$B65,DSS_Calc!$A:$A,0))/INDEX(DSS_Calc!$JM:$JM,MATCH(W$4+$B$6,DSS_Calc!$A:$A,0))-1</f>
        <v>1.3987899350309529E-2</v>
      </c>
      <c r="Y65" s="788">
        <f>ABS(INDEX(DSS_Calc!$KU:$KU,MATCH(W$4+$B65,DSS_Calc!$A:$A,0)))</f>
        <v>4.7021720392624822</v>
      </c>
      <c r="Z65" s="777">
        <f t="shared" si="68"/>
        <v>19</v>
      </c>
      <c r="AA65" s="813">
        <f t="shared" si="58"/>
        <v>100</v>
      </c>
      <c r="AB65" s="813">
        <f t="shared" si="59"/>
        <v>10</v>
      </c>
      <c r="AC65" s="813">
        <f>INDEX(DSS_Calc!$JM:$JM,MATCH(W$4+$B65,DSS_Calc!$A:$A,0))</f>
        <v>1682.3391551139421</v>
      </c>
      <c r="AD65" s="772"/>
      <c r="AE65" s="779">
        <f>INDEX(DSS_Calc!$JD:$JD,MATCH(AE$4+$B65,DSS_Calc!$A:$A,0))-INDEX(DSS_Calc!$JD:$JD,MATCH(AE$4+$B$6,DSS_Calc!$A:$A,0))</f>
        <v>164.63474538004402</v>
      </c>
      <c r="AF65" s="780">
        <f>INDEX(DSS_Calc!$JM:$JM,MATCH(AE$4+$B65,DSS_Calc!$A:$A,0))/INDEX(DSS_Calc!$JM:$JM,MATCH(AE$4+$B$6,DSS_Calc!$A:$A,0))-1</f>
        <v>2.259256676181165E-2</v>
      </c>
      <c r="AG65" s="788">
        <f>ABS(INDEX(DSS_Calc!$KU:$KU,MATCH(AE$4+$B65,DSS_Calc!$A:$A,0)))</f>
        <v>4.0498685336841698</v>
      </c>
      <c r="AH65" s="777">
        <f t="shared" si="69"/>
        <v>22</v>
      </c>
      <c r="AI65" s="813">
        <f t="shared" si="60"/>
        <v>100</v>
      </c>
      <c r="AJ65" s="813">
        <f t="shared" si="61"/>
        <v>8</v>
      </c>
      <c r="AK65" s="813">
        <f>INDEX(DSS_Calc!$JM:$JM,MATCH(AE$4+$B65,DSS_Calc!$A:$A,0))</f>
        <v>2473.2544289117054</v>
      </c>
      <c r="AL65" s="772"/>
      <c r="AM65" s="779">
        <f>INDEX(DSS_Calc!$JD:$JD,MATCH(AM$4+$B65,DSS_Calc!$A:$A,0))-INDEX(DSS_Calc!$JD:$JD,MATCH(AM$4+$B$6,DSS_Calc!$A:$A,0))</f>
        <v>140.41603461616478</v>
      </c>
      <c r="AN65" s="780">
        <f>INDEX(DSS_Calc!$JM:$JM,MATCH(AM$4+$B65,DSS_Calc!$A:$A,0))/INDEX(DSS_Calc!$JM:$JM,MATCH(AM$4+$B$6,DSS_Calc!$A:$A,0))-1</f>
        <v>2.118679626129305E-2</v>
      </c>
      <c r="AO65" s="788">
        <f>ABS(INDEX(DSS_Calc!$KU:$KU,MATCH(AM$4+$B65,DSS_Calc!$A:$A,0)))</f>
        <v>4.0038033961728994</v>
      </c>
      <c r="AP65" s="777">
        <f t="shared" si="70"/>
        <v>18</v>
      </c>
      <c r="AQ65" s="813">
        <f t="shared" si="62"/>
        <v>100</v>
      </c>
      <c r="AR65" s="813">
        <f t="shared" si="63"/>
        <v>8</v>
      </c>
      <c r="AS65" s="813">
        <f>INDEX(DSS_Calc!$JM:$JM,MATCH(AM$4+$B65,DSS_Calc!$A:$A,0))</f>
        <v>841.80799852887844</v>
      </c>
      <c r="AT65" s="772"/>
      <c r="AU65" s="779">
        <f>INDEX(DSS_Calc!$JD:$JD,MATCH(AU$4+$B65,DSS_Calc!$A:$A,0))-INDEX(DSS_Calc!$JD:$JD,MATCH(AU$4+$B$6,DSS_Calc!$A:$A,0))</f>
        <v>93.817772949234495</v>
      </c>
      <c r="AV65" s="780">
        <f>INDEX(DSS_Calc!$JM:$JM,MATCH(AU$4+$B65,DSS_Calc!$A:$A,0))/INDEX(DSS_Calc!$JM:$JM,MATCH(AU$4+$B$6,DSS_Calc!$A:$A,0))-1</f>
        <v>1.5565522232225515E-2</v>
      </c>
    </row>
    <row r="66" spans="2:48">
      <c r="B66" s="836">
        <f t="shared" si="71"/>
        <v>52</v>
      </c>
      <c r="C66" s="772"/>
      <c r="D66" s="774" t="str">
        <f>LEFT(INDEX(DSS_Calc!$D:$D,MATCH(G$4+$B66,DSS_Calc!$A:$A,0)),LEN(INDEX(DSS_Calc!$D:$D,MATCH(G$4+$B66,DSS_Calc!$A:$A,0)))-2)</f>
        <v>0/0/0/3.9, -360 Lease</v>
      </c>
      <c r="E66" s="772" t="str">
        <f>"MY"&amp;RIGHT(Input!$H$9,2)&amp;" "&amp;Input!$H$3</f>
        <v>MY20 Soul</v>
      </c>
      <c r="F66" s="772"/>
      <c r="G66" s="776">
        <f>INDEX(DSS_Calc!$JD:$JD,MATCH(G$4+$B66,DSS_Calc!$A:$A,0))-INDEX(DSS_Calc!$JD:$JD,MATCH(G$4+$B$6,DSS_Calc!$A:$A,0))</f>
        <v>-55.914175040765713</v>
      </c>
      <c r="H66" s="775">
        <f>INDEX(DSS_Calc!$JM:$JM,MATCH(G$4+$B66,DSS_Calc!$A:$A,0))/INDEX(DSS_Calc!$JM:$JM,MATCH(G$4+$B$6,DSS_Calc!$A:$A,0))-1</f>
        <v>9.07689209759166E-3</v>
      </c>
      <c r="I66" s="787">
        <f>ABS(INDEX(DSS_Calc!$KU:$KU,MATCH(G$4+$B66,DSS_Calc!$A:$A,0)))</f>
        <v>6.4366592619360379</v>
      </c>
      <c r="J66" s="772">
        <f t="shared" si="66"/>
        <v>20</v>
      </c>
      <c r="K66" s="812">
        <f t="shared" si="54"/>
        <v>100</v>
      </c>
      <c r="L66" s="812">
        <f t="shared" si="55"/>
        <v>14</v>
      </c>
      <c r="M66" s="812">
        <f>INDEX(DSS_Calc!$JM:$JM,MATCH(G$4+$B66,DSS_Calc!$A:$A,0))</f>
        <v>451.9006454035873</v>
      </c>
      <c r="N66" s="772"/>
      <c r="O66" s="776">
        <f>INDEX(DSS_Calc!$JD:$JD,MATCH(O$4+$B66,DSS_Calc!$A:$A,0))-INDEX(DSS_Calc!$JD:$JD,MATCH(O$4+$B$6,DSS_Calc!$A:$A,0))</f>
        <v>238.86736643659788</v>
      </c>
      <c r="P66" s="775">
        <f>INDEX(DSS_Calc!$JM:$JM,MATCH(O$4+$B66,DSS_Calc!$A:$A,0))/INDEX(DSS_Calc!$JM:$JM,MATCH(O$4+$B$6,DSS_Calc!$A:$A,0))-1</f>
        <v>3.7113408508560486E-2</v>
      </c>
      <c r="Q66" s="787">
        <f>ABS(INDEX(DSS_Calc!$KU:$KU,MATCH(O$4+$B66,DSS_Calc!$A:$A,0)))</f>
        <v>4.5110789020742965</v>
      </c>
      <c r="R66" s="772">
        <f t="shared" si="67"/>
        <v>26</v>
      </c>
      <c r="S66" s="812">
        <f t="shared" si="56"/>
        <v>100</v>
      </c>
      <c r="T66" s="812">
        <f t="shared" si="57"/>
        <v>100</v>
      </c>
      <c r="U66" s="812">
        <f>INDEX(DSS_Calc!$JM:$JM,MATCH(O$4+$B66,DSS_Calc!$A:$A,0))</f>
        <v>1296.7722196869875</v>
      </c>
      <c r="V66" s="772"/>
      <c r="W66" s="776">
        <f>INDEX(DSS_Calc!$JD:$JD,MATCH(W$4+$B66,DSS_Calc!$A:$A,0))-INDEX(DSS_Calc!$JD:$JD,MATCH(W$4+$B$6,DSS_Calc!$A:$A,0))</f>
        <v>301.76294677092392</v>
      </c>
      <c r="X66" s="775">
        <f>INDEX(DSS_Calc!$JM:$JM,MATCH(W$4+$B66,DSS_Calc!$A:$A,0))/INDEX(DSS_Calc!$JM:$JM,MATCH(W$4+$B$6,DSS_Calc!$A:$A,0))-1</f>
        <v>4.3217972287104223E-2</v>
      </c>
      <c r="Y66" s="787">
        <f>ABS(INDEX(DSS_Calc!$KU:$KU,MATCH(W$4+$B66,DSS_Calc!$A:$A,0)))</f>
        <v>4.6717260329066397</v>
      </c>
      <c r="Z66" s="772">
        <f t="shared" si="68"/>
        <v>26</v>
      </c>
      <c r="AA66" s="812">
        <f t="shared" si="58"/>
        <v>13</v>
      </c>
      <c r="AB66" s="812">
        <f t="shared" si="59"/>
        <v>100</v>
      </c>
      <c r="AC66" s="812">
        <f>INDEX(DSS_Calc!$JM:$JM,MATCH(W$4+$B66,DSS_Calc!$A:$A,0))</f>
        <v>1730.8356867194116</v>
      </c>
      <c r="AD66" s="772"/>
      <c r="AE66" s="776">
        <f>INDEX(DSS_Calc!$JD:$JD,MATCH(AE$4+$B66,DSS_Calc!$A:$A,0))-INDEX(DSS_Calc!$JD:$JD,MATCH(AE$4+$B$6,DSS_Calc!$A:$A,0))</f>
        <v>396.71319848800385</v>
      </c>
      <c r="AF66" s="775">
        <f>INDEX(DSS_Calc!$JM:$JM,MATCH(AE$4+$B66,DSS_Calc!$A:$A,0))/INDEX(DSS_Calc!$JM:$JM,MATCH(AE$4+$B$6,DSS_Calc!$A:$A,0))-1</f>
        <v>5.1364817512274286E-2</v>
      </c>
      <c r="AG66" s="787">
        <f>ABS(INDEX(DSS_Calc!$KU:$KU,MATCH(AE$4+$B66,DSS_Calc!$A:$A,0)))</f>
        <v>4.03010481912158</v>
      </c>
      <c r="AH66" s="772">
        <f t="shared" si="69"/>
        <v>35</v>
      </c>
      <c r="AI66" s="812">
        <f t="shared" si="60"/>
        <v>17</v>
      </c>
      <c r="AJ66" s="812">
        <f t="shared" si="61"/>
        <v>100</v>
      </c>
      <c r="AK66" s="812">
        <f>INDEX(DSS_Calc!$JM:$JM,MATCH(AE$4+$B66,DSS_Calc!$A:$A,0))</f>
        <v>2542.8433335364298</v>
      </c>
      <c r="AL66" s="772"/>
      <c r="AM66" s="776">
        <f>INDEX(DSS_Calc!$JD:$JD,MATCH(AM$4+$B66,DSS_Calc!$A:$A,0))-INDEX(DSS_Calc!$JD:$JD,MATCH(AM$4+$B$6,DSS_Calc!$A:$A,0))</f>
        <v>372.95111065212222</v>
      </c>
      <c r="AN66" s="775">
        <f>INDEX(DSS_Calc!$JM:$JM,MATCH(AM$4+$B66,DSS_Calc!$A:$A,0))/INDEX(DSS_Calc!$JM:$JM,MATCH(AM$4+$B$6,DSS_Calc!$A:$A,0))-1</f>
        <v>5.1788365588754326E-2</v>
      </c>
      <c r="AO66" s="787">
        <f>ABS(INDEX(DSS_Calc!$KU:$KU,MATCH(AM$4+$B66,DSS_Calc!$A:$A,0)))</f>
        <v>3.9666942035210835</v>
      </c>
      <c r="AP66" s="772">
        <f t="shared" si="70"/>
        <v>36</v>
      </c>
      <c r="AQ66" s="812">
        <f t="shared" si="62"/>
        <v>17</v>
      </c>
      <c r="AR66" s="812">
        <f t="shared" si="63"/>
        <v>100</v>
      </c>
      <c r="AS66" s="812">
        <f>INDEX(DSS_Calc!$JM:$JM,MATCH(AM$4+$B66,DSS_Calc!$A:$A,0))</f>
        <v>867.03418233942728</v>
      </c>
      <c r="AT66" s="772"/>
      <c r="AU66" s="776">
        <f>INDEX(DSS_Calc!$JD:$JD,MATCH(AU$4+$B66,DSS_Calc!$A:$A,0))-INDEX(DSS_Calc!$JD:$JD,MATCH(AU$4+$B$6,DSS_Calc!$A:$A,0))</f>
        <v>309.89115102668939</v>
      </c>
      <c r="AV66" s="775">
        <f>INDEX(DSS_Calc!$JM:$JM,MATCH(AU$4+$B66,DSS_Calc!$A:$A,0))/INDEX(DSS_Calc!$JM:$JM,MATCH(AU$4+$B$6,DSS_Calc!$A:$A,0))-1</f>
        <v>4.3800743728744651E-2</v>
      </c>
    </row>
    <row r="67" spans="2:48">
      <c r="B67" s="836">
        <f t="shared" si="71"/>
        <v>53</v>
      </c>
      <c r="C67" s="777"/>
      <c r="D67" s="778" t="str">
        <f>LEFT(INDEX(DSS_Calc!$D:$D,MATCH(G$4+$B67,DSS_Calc!$A:$A,0)),LEN(INDEX(DSS_Calc!$D:$D,MATCH(G$4+$B67,DSS_Calc!$A:$A,0)))-2)</f>
        <v>0/0/0/3.9, -360 Lease</v>
      </c>
      <c r="E67" s="777" t="str">
        <f>"MY"&amp;RIGHT(Input!$H$9,2)&amp;" "&amp;Input!$H$3</f>
        <v>MY20 Soul</v>
      </c>
      <c r="F67" s="772"/>
      <c r="G67" s="779">
        <f>INDEX(DSS_Calc!$JD:$JD,MATCH(G$4+$B67,DSS_Calc!$A:$A,0))-INDEX(DSS_Calc!$JD:$JD,MATCH(G$4+$B$6,DSS_Calc!$A:$A,0))</f>
        <v>-55.914175040765713</v>
      </c>
      <c r="H67" s="780">
        <f>INDEX(DSS_Calc!$JM:$JM,MATCH(G$4+$B67,DSS_Calc!$A:$A,0))/INDEX(DSS_Calc!$JM:$JM,MATCH(G$4+$B$6,DSS_Calc!$A:$A,0))-1</f>
        <v>9.07689209759166E-3</v>
      </c>
      <c r="I67" s="788">
        <f>ABS(INDEX(DSS_Calc!$KU:$KU,MATCH(G$4+$B67,DSS_Calc!$A:$A,0)))</f>
        <v>6.436660261936038</v>
      </c>
      <c r="J67" s="777">
        <f t="shared" si="66"/>
        <v>19</v>
      </c>
      <c r="K67" s="813">
        <f t="shared" si="54"/>
        <v>100</v>
      </c>
      <c r="L67" s="813">
        <f t="shared" si="55"/>
        <v>13</v>
      </c>
      <c r="M67" s="813">
        <f>INDEX(DSS_Calc!$JM:$JM,MATCH(G$4+$B67,DSS_Calc!$A:$A,0))</f>
        <v>451.9006454035873</v>
      </c>
      <c r="N67" s="772"/>
      <c r="O67" s="779">
        <f>INDEX(DSS_Calc!$JD:$JD,MATCH(O$4+$B67,DSS_Calc!$A:$A,0))-INDEX(DSS_Calc!$JD:$JD,MATCH(O$4+$B$6,DSS_Calc!$A:$A,0))</f>
        <v>238.86736643659788</v>
      </c>
      <c r="P67" s="780">
        <f>INDEX(DSS_Calc!$JM:$JM,MATCH(O$4+$B67,DSS_Calc!$A:$A,0))/INDEX(DSS_Calc!$JM:$JM,MATCH(O$4+$B$6,DSS_Calc!$A:$A,0))-1</f>
        <v>3.7113408508560486E-2</v>
      </c>
      <c r="Q67" s="788">
        <f>ABS(INDEX(DSS_Calc!$KU:$KU,MATCH(O$4+$B67,DSS_Calc!$A:$A,0)))</f>
        <v>4.5110799020742967</v>
      </c>
      <c r="R67" s="777">
        <f t="shared" si="67"/>
        <v>25</v>
      </c>
      <c r="S67" s="813">
        <f t="shared" si="56"/>
        <v>100</v>
      </c>
      <c r="T67" s="813">
        <f t="shared" si="57"/>
        <v>100</v>
      </c>
      <c r="U67" s="813">
        <f>INDEX(DSS_Calc!$JM:$JM,MATCH(O$4+$B67,DSS_Calc!$A:$A,0))</f>
        <v>1296.7722196869875</v>
      </c>
      <c r="V67" s="772"/>
      <c r="W67" s="779">
        <f>INDEX(DSS_Calc!$JD:$JD,MATCH(W$4+$B67,DSS_Calc!$A:$A,0))-INDEX(DSS_Calc!$JD:$JD,MATCH(W$4+$B$6,DSS_Calc!$A:$A,0))</f>
        <v>301.76294677092392</v>
      </c>
      <c r="X67" s="780">
        <f>INDEX(DSS_Calc!$JM:$JM,MATCH(W$4+$B67,DSS_Calc!$A:$A,0))/INDEX(DSS_Calc!$JM:$JM,MATCH(W$4+$B$6,DSS_Calc!$A:$A,0))-1</f>
        <v>4.3217972287104223E-2</v>
      </c>
      <c r="Y67" s="788">
        <f>ABS(INDEX(DSS_Calc!$KU:$KU,MATCH(W$4+$B67,DSS_Calc!$A:$A,0)))</f>
        <v>4.6717270329066398</v>
      </c>
      <c r="Z67" s="777">
        <f t="shared" si="68"/>
        <v>25</v>
      </c>
      <c r="AA67" s="813">
        <f t="shared" si="58"/>
        <v>12</v>
      </c>
      <c r="AB67" s="813">
        <f t="shared" si="59"/>
        <v>100</v>
      </c>
      <c r="AC67" s="813">
        <f>INDEX(DSS_Calc!$JM:$JM,MATCH(W$4+$B67,DSS_Calc!$A:$A,0))</f>
        <v>1730.8356867194116</v>
      </c>
      <c r="AD67" s="772"/>
      <c r="AE67" s="779">
        <f>INDEX(DSS_Calc!$JD:$JD,MATCH(AE$4+$B67,DSS_Calc!$A:$A,0))-INDEX(DSS_Calc!$JD:$JD,MATCH(AE$4+$B$6,DSS_Calc!$A:$A,0))</f>
        <v>396.71319848800385</v>
      </c>
      <c r="AF67" s="780">
        <f>INDEX(DSS_Calc!$JM:$JM,MATCH(AE$4+$B67,DSS_Calc!$A:$A,0))/INDEX(DSS_Calc!$JM:$JM,MATCH(AE$4+$B$6,DSS_Calc!$A:$A,0))-1</f>
        <v>5.1364817512274286E-2</v>
      </c>
      <c r="AG67" s="788">
        <f>ABS(INDEX(DSS_Calc!$KU:$KU,MATCH(AE$4+$B67,DSS_Calc!$A:$A,0)))</f>
        <v>4.0301058191215802</v>
      </c>
      <c r="AH67" s="777">
        <f t="shared" si="69"/>
        <v>34</v>
      </c>
      <c r="AI67" s="813">
        <f t="shared" si="60"/>
        <v>16</v>
      </c>
      <c r="AJ67" s="813">
        <f t="shared" si="61"/>
        <v>100</v>
      </c>
      <c r="AK67" s="813">
        <f>INDEX(DSS_Calc!$JM:$JM,MATCH(AE$4+$B67,DSS_Calc!$A:$A,0))</f>
        <v>2542.8433335364298</v>
      </c>
      <c r="AL67" s="772"/>
      <c r="AM67" s="779">
        <f>INDEX(DSS_Calc!$JD:$JD,MATCH(AM$4+$B67,DSS_Calc!$A:$A,0))-INDEX(DSS_Calc!$JD:$JD,MATCH(AM$4+$B$6,DSS_Calc!$A:$A,0))</f>
        <v>372.95111065212222</v>
      </c>
      <c r="AN67" s="780">
        <f>INDEX(DSS_Calc!$JM:$JM,MATCH(AM$4+$B67,DSS_Calc!$A:$A,0))/INDEX(DSS_Calc!$JM:$JM,MATCH(AM$4+$B$6,DSS_Calc!$A:$A,0))-1</f>
        <v>5.1788365588754326E-2</v>
      </c>
      <c r="AO67" s="788">
        <f>ABS(INDEX(DSS_Calc!$KU:$KU,MATCH(AM$4+$B67,DSS_Calc!$A:$A,0)))</f>
        <v>3.9666952035210832</v>
      </c>
      <c r="AP67" s="777">
        <f t="shared" si="70"/>
        <v>35</v>
      </c>
      <c r="AQ67" s="813">
        <f t="shared" si="62"/>
        <v>16</v>
      </c>
      <c r="AR67" s="813">
        <f t="shared" si="63"/>
        <v>100</v>
      </c>
      <c r="AS67" s="813">
        <f>INDEX(DSS_Calc!$JM:$JM,MATCH(AM$4+$B67,DSS_Calc!$A:$A,0))</f>
        <v>867.03418233942728</v>
      </c>
      <c r="AT67" s="772"/>
      <c r="AU67" s="779">
        <f>INDEX(DSS_Calc!$JD:$JD,MATCH(AU$4+$B67,DSS_Calc!$A:$A,0))-INDEX(DSS_Calc!$JD:$JD,MATCH(AU$4+$B$6,DSS_Calc!$A:$A,0))</f>
        <v>309.89115102668939</v>
      </c>
      <c r="AV67" s="780">
        <f>INDEX(DSS_Calc!$JM:$JM,MATCH(AU$4+$B67,DSS_Calc!$A:$A,0))/INDEX(DSS_Calc!$JM:$JM,MATCH(AU$4+$B$6,DSS_Calc!$A:$A,0))-1</f>
        <v>4.3800743728744651E-2</v>
      </c>
    </row>
    <row r="68" spans="2:48">
      <c r="B68" s="836">
        <f t="shared" si="71"/>
        <v>54</v>
      </c>
      <c r="C68" s="772"/>
      <c r="D68" s="774" t="str">
        <f>LEFT(INDEX(DSS_Calc!$D:$D,MATCH(G$4+$B68,DSS_Calc!$A:$A,0)),LEN(INDEX(DSS_Calc!$D:$D,MATCH(G$4+$B68,DSS_Calc!$A:$A,0)))-2)</f>
        <v>0/0/0/3.9, -360 Lease</v>
      </c>
      <c r="E68" s="772" t="str">
        <f>"MY"&amp;RIGHT(Input!$H$9,2)&amp;" "&amp;Input!$H$3</f>
        <v>MY20 Soul</v>
      </c>
      <c r="F68" s="772"/>
      <c r="G68" s="776">
        <f>INDEX(DSS_Calc!$JD:$JD,MATCH(G$4+$B68,DSS_Calc!$A:$A,0))-INDEX(DSS_Calc!$JD:$JD,MATCH(G$4+$B$6,DSS_Calc!$A:$A,0))</f>
        <v>-55.914175040765713</v>
      </c>
      <c r="H68" s="775">
        <f>INDEX(DSS_Calc!$JM:$JM,MATCH(G$4+$B68,DSS_Calc!$A:$A,0))/INDEX(DSS_Calc!$JM:$JM,MATCH(G$4+$B$6,DSS_Calc!$A:$A,0))-1</f>
        <v>9.07689209759166E-3</v>
      </c>
      <c r="I68" s="787">
        <f>ABS(INDEX(DSS_Calc!$KU:$KU,MATCH(G$4+$B68,DSS_Calc!$A:$A,0)))</f>
        <v>6.4366612619360382</v>
      </c>
      <c r="J68" s="772">
        <f t="shared" si="66"/>
        <v>18</v>
      </c>
      <c r="K68" s="812">
        <f t="shared" si="54"/>
        <v>100</v>
      </c>
      <c r="L68" s="812">
        <f t="shared" si="55"/>
        <v>12</v>
      </c>
      <c r="M68" s="812">
        <f>INDEX(DSS_Calc!$JM:$JM,MATCH(G$4+$B68,DSS_Calc!$A:$A,0))</f>
        <v>451.9006454035873</v>
      </c>
      <c r="N68" s="772"/>
      <c r="O68" s="776">
        <f>INDEX(DSS_Calc!$JD:$JD,MATCH(O$4+$B68,DSS_Calc!$A:$A,0))-INDEX(DSS_Calc!$JD:$JD,MATCH(O$4+$B$6,DSS_Calc!$A:$A,0))</f>
        <v>238.86736643659788</v>
      </c>
      <c r="P68" s="775">
        <f>INDEX(DSS_Calc!$JM:$JM,MATCH(O$4+$B68,DSS_Calc!$A:$A,0))/INDEX(DSS_Calc!$JM:$JM,MATCH(O$4+$B$6,DSS_Calc!$A:$A,0))-1</f>
        <v>3.7113408508560486E-2</v>
      </c>
      <c r="Q68" s="787">
        <f>ABS(INDEX(DSS_Calc!$KU:$KU,MATCH(O$4+$B68,DSS_Calc!$A:$A,0)))</f>
        <v>4.5110809020742968</v>
      </c>
      <c r="R68" s="772">
        <f t="shared" si="67"/>
        <v>24</v>
      </c>
      <c r="S68" s="812">
        <f t="shared" si="56"/>
        <v>100</v>
      </c>
      <c r="T68" s="812">
        <f t="shared" si="57"/>
        <v>100</v>
      </c>
      <c r="U68" s="812">
        <f>INDEX(DSS_Calc!$JM:$JM,MATCH(O$4+$B68,DSS_Calc!$A:$A,0))</f>
        <v>1296.7722196869875</v>
      </c>
      <c r="V68" s="772"/>
      <c r="W68" s="776">
        <f>INDEX(DSS_Calc!$JD:$JD,MATCH(W$4+$B68,DSS_Calc!$A:$A,0))-INDEX(DSS_Calc!$JD:$JD,MATCH(W$4+$B$6,DSS_Calc!$A:$A,0))</f>
        <v>301.76294677092392</v>
      </c>
      <c r="X68" s="775">
        <f>INDEX(DSS_Calc!$JM:$JM,MATCH(W$4+$B68,DSS_Calc!$A:$A,0))/INDEX(DSS_Calc!$JM:$JM,MATCH(W$4+$B$6,DSS_Calc!$A:$A,0))-1</f>
        <v>4.3217972287104223E-2</v>
      </c>
      <c r="Y68" s="787">
        <f>ABS(INDEX(DSS_Calc!$KU:$KU,MATCH(W$4+$B68,DSS_Calc!$A:$A,0)))</f>
        <v>4.67172803290664</v>
      </c>
      <c r="Z68" s="772">
        <f t="shared" si="68"/>
        <v>24</v>
      </c>
      <c r="AA68" s="812">
        <f t="shared" si="58"/>
        <v>11</v>
      </c>
      <c r="AB68" s="812">
        <f t="shared" si="59"/>
        <v>100</v>
      </c>
      <c r="AC68" s="812">
        <f>INDEX(DSS_Calc!$JM:$JM,MATCH(W$4+$B68,DSS_Calc!$A:$A,0))</f>
        <v>1730.8356867194116</v>
      </c>
      <c r="AD68" s="772"/>
      <c r="AE68" s="776">
        <f>INDEX(DSS_Calc!$JD:$JD,MATCH(AE$4+$B68,DSS_Calc!$A:$A,0))-INDEX(DSS_Calc!$JD:$JD,MATCH(AE$4+$B$6,DSS_Calc!$A:$A,0))</f>
        <v>396.71319848800385</v>
      </c>
      <c r="AF68" s="775">
        <f>INDEX(DSS_Calc!$JM:$JM,MATCH(AE$4+$B68,DSS_Calc!$A:$A,0))/INDEX(DSS_Calc!$JM:$JM,MATCH(AE$4+$B$6,DSS_Calc!$A:$A,0))-1</f>
        <v>5.1364817512274286E-2</v>
      </c>
      <c r="AG68" s="787">
        <f>ABS(INDEX(DSS_Calc!$KU:$KU,MATCH(AE$4+$B68,DSS_Calc!$A:$A,0)))</f>
        <v>4.0301068191215803</v>
      </c>
      <c r="AH68" s="772">
        <f t="shared" si="69"/>
        <v>33</v>
      </c>
      <c r="AI68" s="812">
        <f t="shared" si="60"/>
        <v>15</v>
      </c>
      <c r="AJ68" s="812">
        <f t="shared" si="61"/>
        <v>100</v>
      </c>
      <c r="AK68" s="812">
        <f>INDEX(DSS_Calc!$JM:$JM,MATCH(AE$4+$B68,DSS_Calc!$A:$A,0))</f>
        <v>2542.8433335364298</v>
      </c>
      <c r="AL68" s="772"/>
      <c r="AM68" s="776">
        <f>INDEX(DSS_Calc!$JD:$JD,MATCH(AM$4+$B68,DSS_Calc!$A:$A,0))-INDEX(DSS_Calc!$JD:$JD,MATCH(AM$4+$B$6,DSS_Calc!$A:$A,0))</f>
        <v>372.95111065212222</v>
      </c>
      <c r="AN68" s="775">
        <f>INDEX(DSS_Calc!$JM:$JM,MATCH(AM$4+$B68,DSS_Calc!$A:$A,0))/INDEX(DSS_Calc!$JM:$JM,MATCH(AM$4+$B$6,DSS_Calc!$A:$A,0))-1</f>
        <v>5.1788365588754326E-2</v>
      </c>
      <c r="AO68" s="787">
        <f>ABS(INDEX(DSS_Calc!$KU:$KU,MATCH(AM$4+$B68,DSS_Calc!$A:$A,0)))</f>
        <v>3.9666962035210833</v>
      </c>
      <c r="AP68" s="772">
        <f t="shared" si="70"/>
        <v>34</v>
      </c>
      <c r="AQ68" s="812">
        <f t="shared" si="62"/>
        <v>15</v>
      </c>
      <c r="AR68" s="812">
        <f t="shared" si="63"/>
        <v>100</v>
      </c>
      <c r="AS68" s="812">
        <f>INDEX(DSS_Calc!$JM:$JM,MATCH(AM$4+$B68,DSS_Calc!$A:$A,0))</f>
        <v>867.03418233942728</v>
      </c>
      <c r="AT68" s="772"/>
      <c r="AU68" s="776">
        <f>INDEX(DSS_Calc!$JD:$JD,MATCH(AU$4+$B68,DSS_Calc!$A:$A,0))-INDEX(DSS_Calc!$JD:$JD,MATCH(AU$4+$B$6,DSS_Calc!$A:$A,0))</f>
        <v>309.89115102668939</v>
      </c>
      <c r="AV68" s="775">
        <f>INDEX(DSS_Calc!$JM:$JM,MATCH(AU$4+$B68,DSS_Calc!$A:$A,0))/INDEX(DSS_Calc!$JM:$JM,MATCH(AU$4+$B$6,DSS_Calc!$A:$A,0))-1</f>
        <v>4.3800743728744651E-2</v>
      </c>
    </row>
    <row r="69" spans="2:48">
      <c r="B69" s="836">
        <f t="shared" si="71"/>
        <v>55</v>
      </c>
      <c r="C69" s="777"/>
      <c r="D69" s="778" t="str">
        <f>LEFT(INDEX(DSS_Calc!$D:$D,MATCH(G$4+$B69,DSS_Calc!$A:$A,0)),LEN(INDEX(DSS_Calc!$D:$D,MATCH(G$4+$B69,DSS_Calc!$A:$A,0)))-2)</f>
        <v>500 CC, 500 Combo, 360 Lease</v>
      </c>
      <c r="E69" s="777" t="str">
        <f>"MY"&amp;RIGHT(Input!$H$9,2)&amp;" "&amp;Input!$H$3</f>
        <v>MY20 Soul</v>
      </c>
      <c r="F69" s="772"/>
      <c r="G69" s="779">
        <f>INDEX(DSS_Calc!$JD:$JD,MATCH(G$4+$B69,DSS_Calc!$A:$A,0))-INDEX(DSS_Calc!$JD:$JD,MATCH(G$4+$B$6,DSS_Calc!$A:$A,0))</f>
        <v>445.70298446704282</v>
      </c>
      <c r="H69" s="780">
        <f>INDEX(DSS_Calc!$JM:$JM,MATCH(G$4+$B69,DSS_Calc!$A:$A,0))/INDEX(DSS_Calc!$JM:$JM,MATCH(G$4+$B$6,DSS_Calc!$A:$A,0))-1</f>
        <v>8.0695161403459892E-2</v>
      </c>
      <c r="I69" s="788">
        <f>ABS(INDEX(DSS_Calc!$KU:$KU,MATCH(G$4+$B69,DSS_Calc!$A:$A,0)))</f>
        <v>6.2726604560382766</v>
      </c>
      <c r="J69" s="777">
        <f t="shared" si="66"/>
        <v>25</v>
      </c>
      <c r="K69" s="813">
        <f t="shared" si="54"/>
        <v>8</v>
      </c>
      <c r="L69" s="813">
        <f t="shared" si="55"/>
        <v>100</v>
      </c>
      <c r="M69" s="813">
        <f>INDEX(DSS_Calc!$JM:$JM,MATCH(G$4+$B69,DSS_Calc!$A:$A,0))</f>
        <v>483.97386239573672</v>
      </c>
      <c r="N69" s="772"/>
      <c r="O69" s="779">
        <f>INDEX(DSS_Calc!$JD:$JD,MATCH(O$4+$B69,DSS_Calc!$A:$A,0))-INDEX(DSS_Calc!$JD:$JD,MATCH(O$4+$B$6,DSS_Calc!$A:$A,0))</f>
        <v>469.00987946500982</v>
      </c>
      <c r="P69" s="780">
        <f>INDEX(DSS_Calc!$JM:$JM,MATCH(O$4+$B69,DSS_Calc!$A:$A,0))/INDEX(DSS_Calc!$JM:$JM,MATCH(O$4+$B$6,DSS_Calc!$A:$A,0))-1</f>
        <v>7.3833622123802956E-2</v>
      </c>
      <c r="Q69" s="788">
        <f>ABS(INDEX(DSS_Calc!$KU:$KU,MATCH(O$4+$B69,DSS_Calc!$A:$A,0)))</f>
        <v>4.5301999110087436</v>
      </c>
      <c r="R69" s="777">
        <f t="shared" si="67"/>
        <v>22</v>
      </c>
      <c r="S69" s="813">
        <f t="shared" si="56"/>
        <v>10</v>
      </c>
      <c r="T69" s="813">
        <f t="shared" si="57"/>
        <v>100</v>
      </c>
      <c r="U69" s="813">
        <f>INDEX(DSS_Calc!$JM:$JM,MATCH(O$4+$B69,DSS_Calc!$A:$A,0))</f>
        <v>1342.6859573038753</v>
      </c>
      <c r="V69" s="772"/>
      <c r="W69" s="779">
        <f>INDEX(DSS_Calc!$JD:$JD,MATCH(W$4+$B69,DSS_Calc!$A:$A,0))-INDEX(DSS_Calc!$JD:$JD,MATCH(W$4+$B$6,DSS_Calc!$A:$A,0))</f>
        <v>492.33357895222571</v>
      </c>
      <c r="X69" s="780">
        <f>INDEX(DSS_Calc!$JM:$JM,MATCH(W$4+$B69,DSS_Calc!$A:$A,0))/INDEX(DSS_Calc!$JM:$JM,MATCH(W$4+$B$6,DSS_Calc!$A:$A,0))-1</f>
        <v>7.2872543386529154E-2</v>
      </c>
      <c r="Y69" s="788">
        <f>ABS(INDEX(DSS_Calc!$KU:$KU,MATCH(W$4+$B69,DSS_Calc!$A:$A,0)))</f>
        <v>4.693442857144424</v>
      </c>
      <c r="Z69" s="777">
        <f t="shared" si="68"/>
        <v>22</v>
      </c>
      <c r="AA69" s="813">
        <f t="shared" si="58"/>
        <v>10</v>
      </c>
      <c r="AB69" s="813">
        <f t="shared" si="59"/>
        <v>100</v>
      </c>
      <c r="AC69" s="813">
        <f>INDEX(DSS_Calc!$JM:$JM,MATCH(W$4+$B69,DSS_Calc!$A:$A,0))</f>
        <v>1780.0365165524283</v>
      </c>
      <c r="AD69" s="772"/>
      <c r="AE69" s="779">
        <f>INDEX(DSS_Calc!$JD:$JD,MATCH(AE$4+$B69,DSS_Calc!$A:$A,0))-INDEX(DSS_Calc!$JD:$JD,MATCH(AE$4+$B$6,DSS_Calc!$A:$A,0))</f>
        <v>491.28823400578767</v>
      </c>
      <c r="AF69" s="780">
        <f>INDEX(DSS_Calc!$JM:$JM,MATCH(AE$4+$B69,DSS_Calc!$A:$A,0))/INDEX(DSS_Calc!$JM:$JM,MATCH(AE$4+$B$6,DSS_Calc!$A:$A,0))-1</f>
        <v>6.7376492950417699E-2</v>
      </c>
      <c r="AG69" s="788">
        <f>ABS(INDEX(DSS_Calc!$KU:$KU,MATCH(AE$4+$B69,DSS_Calc!$A:$A,0)))</f>
        <v>4.0649795079478874</v>
      </c>
      <c r="AH69" s="777">
        <f t="shared" si="69"/>
        <v>9</v>
      </c>
      <c r="AI69" s="813">
        <f t="shared" si="60"/>
        <v>9</v>
      </c>
      <c r="AJ69" s="813">
        <f t="shared" si="61"/>
        <v>100</v>
      </c>
      <c r="AK69" s="813">
        <f>INDEX(DSS_Calc!$JM:$JM,MATCH(AE$4+$B69,DSS_Calc!$A:$A,0))</f>
        <v>2581.5693603812047</v>
      </c>
      <c r="AL69" s="772"/>
      <c r="AM69" s="779">
        <f>INDEX(DSS_Calc!$JD:$JD,MATCH(AM$4+$B69,DSS_Calc!$A:$A,0))-INDEX(DSS_Calc!$JD:$JD,MATCH(AM$4+$B$6,DSS_Calc!$A:$A,0))</f>
        <v>487.3914936055221</v>
      </c>
      <c r="AN69" s="780">
        <f>INDEX(DSS_Calc!$JM:$JM,MATCH(AM$4+$B69,DSS_Calc!$A:$A,0))/INDEX(DSS_Calc!$JM:$JM,MATCH(AM$4+$B$6,DSS_Calc!$A:$A,0))-1</f>
        <v>7.1388477464844113E-2</v>
      </c>
      <c r="AO69" s="788">
        <f>ABS(INDEX(DSS_Calc!$KU:$KU,MATCH(AM$4+$B69,DSS_Calc!$A:$A,0)))</f>
        <v>4.0032214675514162</v>
      </c>
      <c r="AP69" s="777">
        <f t="shared" si="70"/>
        <v>19</v>
      </c>
      <c r="AQ69" s="813">
        <f t="shared" si="62"/>
        <v>11</v>
      </c>
      <c r="AR69" s="813">
        <f t="shared" si="63"/>
        <v>100</v>
      </c>
      <c r="AS69" s="813">
        <f>INDEX(DSS_Calc!$JM:$JM,MATCH(AM$4+$B69,DSS_Calc!$A:$A,0))</f>
        <v>883.19139374263011</v>
      </c>
      <c r="AT69" s="772"/>
      <c r="AU69" s="779">
        <f>INDEX(DSS_Calc!$JD:$JD,MATCH(AU$4+$B69,DSS_Calc!$A:$A,0))-INDEX(DSS_Calc!$JD:$JD,MATCH(AU$4+$B$6,DSS_Calc!$A:$A,0))</f>
        <v>483.63669512851948</v>
      </c>
      <c r="AV69" s="780">
        <f>INDEX(DSS_Calc!$JM:$JM,MATCH(AU$4+$B69,DSS_Calc!$A:$A,0))/INDEX(DSS_Calc!$JM:$JM,MATCH(AU$4+$B$6,DSS_Calc!$A:$A,0))-1</f>
        <v>7.1386056415270627E-2</v>
      </c>
    </row>
  </sheetData>
  <mergeCells count="12">
    <mergeCell ref="G5:M5"/>
    <mergeCell ref="AU5:AV5"/>
    <mergeCell ref="AM5:AS5"/>
    <mergeCell ref="AE5:AK5"/>
    <mergeCell ref="W5:AC5"/>
    <mergeCell ref="O5:U5"/>
    <mergeCell ref="BQ5:BR5"/>
    <mergeCell ref="BB5:BC5"/>
    <mergeCell ref="BE5:BF5"/>
    <mergeCell ref="BH5:BI5"/>
    <mergeCell ref="BK5:BL5"/>
    <mergeCell ref="BN5:BO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theme="3" tint="0.39997558519241921"/>
  </sheetPr>
  <dimension ref="A1:AR139"/>
  <sheetViews>
    <sheetView showGridLines="0" zoomScale="70" zoomScaleNormal="70" workbookViewId="0">
      <pane ySplit="1" topLeftCell="A2" activePane="bottomLeft" state="frozen"/>
      <selection pane="bottomLeft" activeCell="C35" sqref="C35"/>
    </sheetView>
  </sheetViews>
  <sheetFormatPr defaultColWidth="9.140625" defaultRowHeight="15"/>
  <cols>
    <col min="1" max="1" width="51.5703125" style="303" customWidth="1"/>
    <col min="2" max="2" width="21.85546875" style="303" customWidth="1"/>
    <col min="3" max="3" width="10.85546875" style="303" customWidth="1"/>
    <col min="4" max="4" width="12.140625" style="303" customWidth="1"/>
    <col min="5" max="5" width="11.5703125" style="303" bestFit="1" customWidth="1"/>
    <col min="6" max="6" width="11.7109375" style="303" customWidth="1"/>
    <col min="7" max="7" width="1.85546875" style="303" customWidth="1"/>
    <col min="8" max="8" width="2.28515625" style="303" customWidth="1"/>
    <col min="9" max="9" width="9.140625" style="303"/>
    <col min="10" max="11" width="9.28515625" style="303" bestFit="1" customWidth="1"/>
    <col min="12" max="12" width="3.85546875" style="414" customWidth="1"/>
    <col min="13" max="13" width="10.5703125" style="303" bestFit="1" customWidth="1"/>
    <col min="14" max="14" width="9.140625" style="303"/>
    <col min="15" max="15" width="11.28515625" style="303" bestFit="1" customWidth="1"/>
    <col min="16" max="16" width="12.28515625" style="303" customWidth="1"/>
    <col min="17" max="18" width="6.7109375" style="303" customWidth="1"/>
    <col min="19" max="19" width="21.7109375" style="303" customWidth="1"/>
    <col min="20" max="21" width="9.28515625" style="303" customWidth="1"/>
    <col min="22" max="37" width="9.140625" style="303"/>
    <col min="38" max="39" width="7.42578125" style="303" customWidth="1"/>
    <col min="40" max="40" width="20" style="56" customWidth="1"/>
    <col min="41" max="43" width="9.140625" style="56"/>
    <col min="44" max="44" width="11.28515625" style="56" customWidth="1"/>
    <col min="45" max="16384" width="9.140625" style="56"/>
  </cols>
  <sheetData>
    <row r="1" spans="1:39" ht="15.75" thickBot="1">
      <c r="A1" s="410" t="s">
        <v>575</v>
      </c>
      <c r="B1" s="411" t="s">
        <v>576</v>
      </c>
      <c r="C1" s="410" t="s">
        <v>577</v>
      </c>
      <c r="D1" s="412">
        <v>201701</v>
      </c>
      <c r="I1" s="413"/>
      <c r="S1" s="56"/>
      <c r="T1" s="56"/>
      <c r="U1" s="56"/>
      <c r="V1" s="56"/>
      <c r="W1" s="56"/>
      <c r="X1" s="56"/>
      <c r="Y1" s="56"/>
      <c r="Z1" s="56"/>
      <c r="AA1" s="56"/>
      <c r="AB1" s="56"/>
      <c r="AC1" s="56"/>
      <c r="AD1" s="56"/>
      <c r="AE1" s="56"/>
      <c r="AF1" s="56"/>
      <c r="AG1" s="56"/>
      <c r="AH1" s="56"/>
      <c r="AI1" s="56"/>
      <c r="AJ1" s="56"/>
      <c r="AK1" s="56"/>
      <c r="AL1" s="56"/>
      <c r="AM1" s="56"/>
    </row>
    <row r="2" spans="1:39" ht="15.75" thickBot="1">
      <c r="A2" s="410" t="s">
        <v>578</v>
      </c>
      <c r="B2" s="587">
        <f>MAX(AD31:AD250)*20%</f>
        <v>253.4321672168002</v>
      </c>
      <c r="C2" s="410" t="s">
        <v>579</v>
      </c>
      <c r="D2" s="412">
        <v>201812</v>
      </c>
      <c r="S2" s="56"/>
      <c r="T2" s="56"/>
      <c r="U2" s="56"/>
      <c r="V2" s="56"/>
      <c r="W2" s="56"/>
      <c r="X2" s="56"/>
      <c r="Y2" s="56"/>
      <c r="Z2" s="56"/>
      <c r="AA2" s="56"/>
      <c r="AB2" s="56"/>
      <c r="AC2" s="56"/>
      <c r="AD2" s="56"/>
      <c r="AE2" s="56"/>
      <c r="AF2" s="56"/>
      <c r="AG2" s="56"/>
      <c r="AH2" s="56"/>
      <c r="AI2" s="56"/>
      <c r="AJ2" s="56"/>
      <c r="AK2" s="56"/>
      <c r="AL2" s="56"/>
      <c r="AM2" s="56"/>
    </row>
    <row r="3" spans="1:39" ht="15.75" thickBot="1">
      <c r="C3" s="415" t="s">
        <v>580</v>
      </c>
      <c r="D3" s="416"/>
      <c r="E3" s="416"/>
      <c r="F3" s="416"/>
      <c r="G3" s="416"/>
      <c r="H3" s="416"/>
      <c r="I3" s="416"/>
      <c r="J3" s="416"/>
      <c r="K3" s="417"/>
      <c r="M3" s="415" t="s">
        <v>581</v>
      </c>
      <c r="N3" s="418"/>
      <c r="O3" s="418"/>
      <c r="P3" s="419"/>
      <c r="Q3" s="97"/>
      <c r="S3" s="56"/>
      <c r="T3" s="56"/>
      <c r="U3" s="56"/>
      <c r="V3" s="56"/>
      <c r="W3" s="56"/>
      <c r="X3" s="56"/>
      <c r="Y3" s="56"/>
      <c r="Z3" s="56"/>
      <c r="AA3" s="56"/>
      <c r="AB3" s="56"/>
      <c r="AC3" s="56"/>
      <c r="AD3" s="56"/>
      <c r="AE3" s="56"/>
      <c r="AF3" s="56"/>
      <c r="AG3" s="56"/>
      <c r="AH3" s="56"/>
      <c r="AI3" s="56"/>
      <c r="AJ3" s="56"/>
      <c r="AK3" s="56"/>
      <c r="AL3" s="56"/>
      <c r="AM3" s="56"/>
    </row>
    <row r="4" spans="1:39">
      <c r="C4" s="420"/>
      <c r="D4" s="421" t="s">
        <v>582</v>
      </c>
      <c r="E4" s="422"/>
      <c r="F4" s="423"/>
      <c r="G4" s="424"/>
      <c r="H4" s="425"/>
      <c r="I4" s="421" t="s">
        <v>583</v>
      </c>
      <c r="J4" s="422"/>
      <c r="K4" s="426"/>
      <c r="M4" s="427" t="s">
        <v>582</v>
      </c>
      <c r="N4" s="428" t="s">
        <v>584</v>
      </c>
      <c r="O4" s="428" t="s">
        <v>582</v>
      </c>
      <c r="P4" s="429" t="s">
        <v>584</v>
      </c>
      <c r="Q4" s="430"/>
      <c r="S4" s="56"/>
      <c r="T4" s="56"/>
      <c r="U4" s="56"/>
      <c r="V4" s="56"/>
      <c r="W4" s="56"/>
      <c r="X4" s="56"/>
      <c r="Y4" s="56"/>
      <c r="Z4" s="56"/>
      <c r="AA4" s="56"/>
      <c r="AB4" s="56"/>
      <c r="AC4" s="56"/>
      <c r="AD4" s="56"/>
      <c r="AE4" s="56"/>
      <c r="AF4" s="56"/>
      <c r="AG4" s="56"/>
      <c r="AH4" s="56"/>
      <c r="AI4" s="56"/>
      <c r="AJ4" s="56"/>
      <c r="AK4" s="56"/>
      <c r="AL4" s="56"/>
      <c r="AM4" s="56"/>
    </row>
    <row r="5" spans="1:39" ht="15.75" thickBot="1">
      <c r="C5" s="431" t="s">
        <v>166</v>
      </c>
      <c r="D5" s="432" t="s">
        <v>328</v>
      </c>
      <c r="E5" s="433" t="s">
        <v>329</v>
      </c>
      <c r="F5" s="434" t="s">
        <v>330</v>
      </c>
      <c r="G5" s="435"/>
      <c r="H5" s="436"/>
      <c r="I5" s="432" t="s">
        <v>328</v>
      </c>
      <c r="J5" s="433" t="s">
        <v>329</v>
      </c>
      <c r="K5" s="434" t="s">
        <v>330</v>
      </c>
      <c r="M5" s="432" t="s">
        <v>585</v>
      </c>
      <c r="N5" s="433" t="s">
        <v>828</v>
      </c>
      <c r="O5" s="433" t="s">
        <v>586</v>
      </c>
      <c r="P5" s="434" t="s">
        <v>827</v>
      </c>
      <c r="Q5" s="430"/>
      <c r="S5" s="56"/>
      <c r="T5" s="56"/>
      <c r="U5" s="56"/>
      <c r="V5" s="56"/>
      <c r="W5" s="56"/>
      <c r="X5" s="56"/>
      <c r="Y5" s="56"/>
      <c r="Z5" s="56"/>
      <c r="AA5" s="56"/>
      <c r="AB5" s="56"/>
      <c r="AC5" s="56"/>
      <c r="AD5" s="56"/>
      <c r="AE5" s="56"/>
      <c r="AF5" s="56"/>
      <c r="AG5" s="56"/>
      <c r="AH5" s="56"/>
      <c r="AI5" s="56"/>
      <c r="AJ5" s="56"/>
      <c r="AK5" s="56"/>
      <c r="AL5" s="56"/>
      <c r="AM5" s="56"/>
    </row>
    <row r="6" spans="1:39">
      <c r="C6" s="515">
        <v>1001</v>
      </c>
      <c r="D6" s="437">
        <f>VLOOKUP($C6,DSS_Calc!$A:$KL,DSS_Calc!JA$92,FALSE)</f>
        <v>1270</v>
      </c>
      <c r="E6" s="438">
        <f>VLOOKUP($C6,DSS_Calc!$A:$KL,DSS_Calc!JB$92,FALSE)</f>
        <v>2130.0624533823611</v>
      </c>
      <c r="F6" s="439">
        <f>VLOOKUP($C6,DSS_Calc!$A:$KL,DSS_Calc!JC$92,FALSE)</f>
        <v>4373.7164157747848</v>
      </c>
      <c r="G6" s="435">
        <v>0</v>
      </c>
      <c r="H6" s="436"/>
      <c r="I6" s="440">
        <f>VLOOKUP($C6,DSS_Calc!$A:$KL,DSS_Calc!IE$92,FALSE)</f>
        <v>0.24663677130044842</v>
      </c>
      <c r="J6" s="441">
        <f>VLOOKUP($C6,DSS_Calc!$A:$KL,DSS_Calc!IF$92,FALSE)</f>
        <v>0.35201793721973096</v>
      </c>
      <c r="K6" s="442">
        <f>VLOOKUP($C6,DSS_Calc!$A:$KL,DSS_Calc!IG$92,FALSE)</f>
        <v>0.40134529147982062</v>
      </c>
      <c r="M6" s="631">
        <f>IF(AND(D6=0,E6=0,F6=0),#N/A,E6/1000-D6/1000)</f>
        <v>0.86006245338236109</v>
      </c>
      <c r="N6" s="443">
        <f>IF(AND(D6=0,E6=0,F6=0),#N/A,J6/(I6+J6))</f>
        <v>0.58801498127340823</v>
      </c>
      <c r="O6" s="634">
        <f>IF(AND(D6=0,E6=0,F6=0),#N/A,F6/1000-((D6/1000*I6+E6/1000*J6)/(I6+J6)))</f>
        <v>2.5979868083551949</v>
      </c>
      <c r="P6" s="444">
        <f>IF(AND(D6=0,E6=0,F6=0),#N/A,K6)</f>
        <v>0.40134529147982062</v>
      </c>
      <c r="Q6" s="445"/>
      <c r="S6" s="56"/>
      <c r="T6" s="56"/>
      <c r="U6" s="56"/>
      <c r="V6" s="56"/>
      <c r="W6" s="56"/>
      <c r="X6" s="56"/>
      <c r="Y6" s="56"/>
      <c r="Z6" s="56"/>
      <c r="AA6" s="56"/>
      <c r="AB6" s="56"/>
      <c r="AC6" s="56"/>
      <c r="AD6" s="56"/>
      <c r="AE6" s="56"/>
      <c r="AF6" s="56"/>
      <c r="AG6" s="56"/>
      <c r="AH6" s="56"/>
      <c r="AI6" s="56"/>
      <c r="AJ6" s="56"/>
      <c r="AK6" s="56"/>
      <c r="AL6" s="56"/>
      <c r="AM6" s="56"/>
    </row>
    <row r="7" spans="1:39">
      <c r="C7" s="446">
        <f>C6+1</f>
        <v>1002</v>
      </c>
      <c r="D7" s="437">
        <f>VLOOKUP($C7,DSS_Calc!$A:$KL,DSS_Calc!JA$92,FALSE)</f>
        <v>1300.0000000000002</v>
      </c>
      <c r="E7" s="438">
        <f>VLOOKUP($C7,DSS_Calc!$A:$KL,DSS_Calc!JB$92,FALSE)</f>
        <v>2160.0624533823611</v>
      </c>
      <c r="F7" s="439">
        <f>VLOOKUP($C7,DSS_Calc!$A:$KL,DSS_Calc!JC$92,FALSE)</f>
        <v>4388.7164157747848</v>
      </c>
      <c r="G7" s="435">
        <v>0</v>
      </c>
      <c r="H7" s="436"/>
      <c r="I7" s="440">
        <f>VLOOKUP($C7,DSS_Calc!$A:$KL,DSS_Calc!IE$92,FALSE)</f>
        <v>0.24773569190356629</v>
      </c>
      <c r="J7" s="441">
        <f>VLOOKUP($C7,DSS_Calc!$A:$KL,DSS_Calc!IF$92,FALSE)</f>
        <v>0.35187827748656952</v>
      </c>
      <c r="K7" s="442">
        <f>VLOOKUP($C7,DSS_Calc!$A:$KL,DSS_Calc!IG$92,FALSE)</f>
        <v>0.40038603060986427</v>
      </c>
      <c r="M7" s="632">
        <f t="shared" ref="M7:M55" si="0">IF(AND(D7=0,E7=0,F7=0),#N/A,E7/1000-D7/1000)</f>
        <v>0.86006245338236065</v>
      </c>
      <c r="N7" s="447">
        <f t="shared" ref="N7:N55" si="1">IF(AND(D7=0,E7=0,F7=0),#N/A,J7/(I7+J7))</f>
        <v>0.58684136035800349</v>
      </c>
      <c r="O7" s="635">
        <f t="shared" ref="O7:O55" si="2">IF(AND(D7=0,E7=0,F7=0),#N/A,F7/1000-((D7/1000*I7+E7/1000*J7)/(I7+J7)))</f>
        <v>2.5839961956390383</v>
      </c>
      <c r="P7" s="448">
        <f t="shared" ref="P7:P55" si="3">IF(AND(D7=0,E7=0,F7=0),#N/A,K7)</f>
        <v>0.40038603060986427</v>
      </c>
      <c r="Q7" s="445"/>
      <c r="S7" s="56"/>
      <c r="T7" s="56"/>
      <c r="U7" s="56"/>
      <c r="V7" s="56"/>
      <c r="W7" s="56"/>
      <c r="X7" s="56"/>
      <c r="Y7" s="56"/>
      <c r="Z7" s="56"/>
      <c r="AA7" s="56"/>
      <c r="AB7" s="56"/>
      <c r="AC7" s="56"/>
      <c r="AD7" s="56"/>
      <c r="AE7" s="56"/>
      <c r="AF7" s="56"/>
      <c r="AG7" s="56"/>
      <c r="AH7" s="56"/>
      <c r="AI7" s="56"/>
      <c r="AJ7" s="56"/>
      <c r="AK7" s="56"/>
      <c r="AL7" s="56"/>
      <c r="AM7" s="56"/>
    </row>
    <row r="8" spans="1:39">
      <c r="C8" s="446">
        <f t="shared" ref="C8:C55" si="4">C7+1</f>
        <v>1003</v>
      </c>
      <c r="D8" s="437">
        <f>VLOOKUP($C8,DSS_Calc!$A:$KL,DSS_Calc!JA$92,FALSE)</f>
        <v>1770</v>
      </c>
      <c r="E8" s="438">
        <f>VLOOKUP($C8,DSS_Calc!$A:$KL,DSS_Calc!JB$92,FALSE)</f>
        <v>2130.0624533823611</v>
      </c>
      <c r="F8" s="439">
        <f>VLOOKUP($C8,DSS_Calc!$A:$KL,DSS_Calc!JC$92,FALSE)</f>
        <v>4373.7164157747848</v>
      </c>
      <c r="G8" s="435">
        <v>0</v>
      </c>
      <c r="H8" s="436"/>
      <c r="I8" s="440">
        <f>VLOOKUP($C8,DSS_Calc!$A:$KL,DSS_Calc!IE$92,FALSE)</f>
        <v>0.31114836977751181</v>
      </c>
      <c r="J8" s="441">
        <f>VLOOKUP($C8,DSS_Calc!$A:$KL,DSS_Calc!IF$92,FALSE)</f>
        <v>0.33071324410232278</v>
      </c>
      <c r="K8" s="442">
        <f>VLOOKUP($C8,DSS_Calc!$A:$KL,DSS_Calc!IG$92,FALSE)</f>
        <v>0.35813838612016541</v>
      </c>
      <c r="M8" s="632">
        <f t="shared" si="0"/>
        <v>0.36006245338236109</v>
      </c>
      <c r="N8" s="447">
        <f t="shared" si="1"/>
        <v>0.51524072627318218</v>
      </c>
      <c r="O8" s="635">
        <f t="shared" si="2"/>
        <v>2.4181975757903533</v>
      </c>
      <c r="P8" s="448">
        <f t="shared" si="3"/>
        <v>0.35813838612016541</v>
      </c>
      <c r="Q8" s="445"/>
      <c r="S8" s="56"/>
      <c r="T8" s="56"/>
      <c r="U8" s="56"/>
      <c r="V8" s="56"/>
      <c r="W8" s="56"/>
      <c r="X8" s="56"/>
      <c r="Y8" s="56"/>
      <c r="Z8" s="56"/>
      <c r="AA8" s="56"/>
      <c r="AB8" s="56"/>
      <c r="AC8" s="56"/>
      <c r="AD8" s="56"/>
      <c r="AE8" s="56"/>
      <c r="AF8" s="56"/>
      <c r="AG8" s="56"/>
      <c r="AH8" s="56"/>
      <c r="AI8" s="56"/>
      <c r="AJ8" s="56"/>
      <c r="AK8" s="56"/>
      <c r="AL8" s="56"/>
      <c r="AM8" s="56"/>
    </row>
    <row r="9" spans="1:39">
      <c r="C9" s="446">
        <f t="shared" si="4"/>
        <v>1004</v>
      </c>
      <c r="D9" s="437">
        <f>VLOOKUP($C9,DSS_Calc!$A:$KL,DSS_Calc!JA$92,FALSE)</f>
        <v>1270</v>
      </c>
      <c r="E9" s="438">
        <f>VLOOKUP($C9,DSS_Calc!$A:$KL,DSS_Calc!JB$92,FALSE)</f>
        <v>2630.062453382362</v>
      </c>
      <c r="F9" s="439">
        <f>VLOOKUP($C9,DSS_Calc!$A:$KL,DSS_Calc!JC$92,FALSE)</f>
        <v>4373.7164157747848</v>
      </c>
      <c r="G9" s="435">
        <v>0</v>
      </c>
      <c r="H9" s="436"/>
      <c r="I9" s="440">
        <f>VLOOKUP($C9,DSS_Calc!$A:$KL,DSS_Calc!IE$92,FALSE)</f>
        <v>0.23195854710745109</v>
      </c>
      <c r="J9" s="441">
        <f>VLOOKUP($C9,DSS_Calc!$A:$KL,DSS_Calc!IF$92,FALSE)</f>
        <v>0.38110536695284214</v>
      </c>
      <c r="K9" s="442">
        <f>VLOOKUP($C9,DSS_Calc!$A:$KL,DSS_Calc!IG$92,FALSE)</f>
        <v>0.3869360859397068</v>
      </c>
      <c r="M9" s="632">
        <f t="shared" si="0"/>
        <v>1.360062453382362</v>
      </c>
      <c r="N9" s="447">
        <f t="shared" si="1"/>
        <v>0.62164051449187308</v>
      </c>
      <c r="O9" s="635">
        <f t="shared" si="2"/>
        <v>2.2582464925130949</v>
      </c>
      <c r="P9" s="448">
        <f t="shared" si="3"/>
        <v>0.3869360859397068</v>
      </c>
      <c r="Q9" s="445"/>
      <c r="S9" s="56"/>
      <c r="T9" s="56"/>
      <c r="U9" s="56"/>
      <c r="V9" s="56"/>
      <c r="W9" s="56"/>
      <c r="X9" s="56"/>
      <c r="Y9" s="56"/>
      <c r="Z9" s="56"/>
      <c r="AA9" s="56"/>
      <c r="AB9" s="56"/>
      <c r="AC9" s="56"/>
      <c r="AD9" s="56"/>
      <c r="AE9" s="56"/>
      <c r="AF9" s="56"/>
      <c r="AG9" s="56"/>
      <c r="AH9" s="56"/>
      <c r="AI9" s="56"/>
      <c r="AJ9" s="56"/>
      <c r="AK9" s="56"/>
      <c r="AL9" s="56"/>
      <c r="AM9" s="56"/>
    </row>
    <row r="10" spans="1:39">
      <c r="C10" s="446">
        <f t="shared" si="4"/>
        <v>1005</v>
      </c>
      <c r="D10" s="437">
        <f>VLOOKUP($C10,DSS_Calc!$A:$KL,DSS_Calc!JA$92,FALSE)</f>
        <v>1270</v>
      </c>
      <c r="E10" s="438">
        <f>VLOOKUP($C10,DSS_Calc!$A:$KL,DSS_Calc!JB$92,FALSE)</f>
        <v>2130.0624533823611</v>
      </c>
      <c r="F10" s="439">
        <f>VLOOKUP($C10,DSS_Calc!$A:$KL,DSS_Calc!JC$92,FALSE)</f>
        <v>4873.7164157747848</v>
      </c>
      <c r="G10" s="435">
        <v>0</v>
      </c>
      <c r="H10" s="436"/>
      <c r="I10" s="440">
        <f>VLOOKUP($C10,DSS_Calc!$A:$KL,DSS_Calc!IE$92,FALSE)</f>
        <v>0.181992365121492</v>
      </c>
      <c r="J10" s="441">
        <f>VLOOKUP($C10,DSS_Calc!$A:$KL,DSS_Calc!IF$92,FALSE)</f>
        <v>0.330942981824</v>
      </c>
      <c r="K10" s="442">
        <f>VLOOKUP($C10,DSS_Calc!$A:$KL,DSS_Calc!IG$92,FALSE)</f>
        <v>0.48706465305450797</v>
      </c>
      <c r="M10" s="632">
        <f t="shared" si="0"/>
        <v>0.86006245338236109</v>
      </c>
      <c r="N10" s="447">
        <f t="shared" si="1"/>
        <v>0.64519433841857698</v>
      </c>
      <c r="O10" s="635">
        <f t="shared" si="2"/>
        <v>3.0488089901660942</v>
      </c>
      <c r="P10" s="448">
        <f t="shared" si="3"/>
        <v>0.48706465305450797</v>
      </c>
      <c r="Q10" s="445"/>
      <c r="S10" s="56"/>
      <c r="T10" s="56"/>
      <c r="U10" s="56"/>
      <c r="V10" s="56"/>
      <c r="W10" s="56"/>
      <c r="X10" s="56"/>
      <c r="Y10" s="56"/>
      <c r="Z10" s="56"/>
      <c r="AA10" s="56"/>
      <c r="AB10" s="56"/>
      <c r="AC10" s="56"/>
      <c r="AD10" s="56"/>
      <c r="AE10" s="56"/>
      <c r="AF10" s="56"/>
      <c r="AG10" s="56"/>
      <c r="AH10" s="56"/>
      <c r="AI10" s="56"/>
      <c r="AJ10" s="56"/>
      <c r="AK10" s="56"/>
      <c r="AL10" s="56"/>
      <c r="AM10" s="56"/>
    </row>
    <row r="11" spans="1:39">
      <c r="C11" s="446">
        <f t="shared" si="4"/>
        <v>1006</v>
      </c>
      <c r="D11" s="437">
        <f>VLOOKUP($C11,DSS_Calc!$A:$KL,DSS_Calc!JA$92,FALSE)</f>
        <v>1770.0000000000002</v>
      </c>
      <c r="E11" s="438">
        <f>VLOOKUP($C11,DSS_Calc!$A:$KL,DSS_Calc!JB$92,FALSE)</f>
        <v>2630.0624533823611</v>
      </c>
      <c r="F11" s="439">
        <f>VLOOKUP($C11,DSS_Calc!$A:$KL,DSS_Calc!JC$92,FALSE)</f>
        <v>4873.7164157747848</v>
      </c>
      <c r="G11" s="435">
        <v>0</v>
      </c>
      <c r="H11" s="436"/>
      <c r="I11" s="440">
        <f>VLOOKUP($C11,DSS_Calc!$A:$KL,DSS_Calc!IE$92,FALSE)</f>
        <v>0.23296078268240228</v>
      </c>
      <c r="J11" s="441">
        <f>VLOOKUP($C11,DSS_Calc!$A:$KL,DSS_Calc!IF$92,FALSE)</f>
        <v>0.33943352343828498</v>
      </c>
      <c r="K11" s="442">
        <f>VLOOKUP($C11,DSS_Calc!$A:$KL,DSS_Calc!IG$92,FALSE)</f>
        <v>0.42760569387931274</v>
      </c>
      <c r="M11" s="632">
        <f t="shared" si="0"/>
        <v>0.86006245338236087</v>
      </c>
      <c r="N11" s="447">
        <f t="shared" si="1"/>
        <v>0.59300646391600653</v>
      </c>
      <c r="O11" s="635">
        <f t="shared" si="2"/>
        <v>2.593693821547586</v>
      </c>
      <c r="P11" s="448">
        <f t="shared" si="3"/>
        <v>0.42760569387931274</v>
      </c>
      <c r="Q11" s="445"/>
      <c r="S11" s="56"/>
      <c r="T11" s="56"/>
      <c r="U11" s="56"/>
      <c r="V11" s="56"/>
      <c r="W11" s="56"/>
      <c r="X11" s="56"/>
      <c r="Y11" s="56"/>
      <c r="Z11" s="56"/>
      <c r="AA11" s="56"/>
      <c r="AB11" s="56"/>
      <c r="AC11" s="56"/>
      <c r="AD11" s="56"/>
      <c r="AE11" s="56"/>
      <c r="AF11" s="56"/>
      <c r="AG11" s="56"/>
      <c r="AH11" s="56"/>
      <c r="AI11" s="56"/>
      <c r="AJ11" s="56"/>
      <c r="AK11" s="56"/>
      <c r="AL11" s="56"/>
      <c r="AM11" s="56"/>
    </row>
    <row r="12" spans="1:39">
      <c r="C12" s="446">
        <f t="shared" si="4"/>
        <v>1007</v>
      </c>
      <c r="D12" s="437">
        <f>VLOOKUP($C12,DSS_Calc!$A:$KL,DSS_Calc!JA$92,FALSE)</f>
        <v>1270</v>
      </c>
      <c r="E12" s="438">
        <f>VLOOKUP($C12,DSS_Calc!$A:$KL,DSS_Calc!JB$92,FALSE)</f>
        <v>2130.0624533823611</v>
      </c>
      <c r="F12" s="439">
        <f>VLOOKUP($C12,DSS_Calc!$A:$KL,DSS_Calc!JC$92,FALSE)</f>
        <v>4373.7164157747848</v>
      </c>
      <c r="G12" s="435">
        <v>0</v>
      </c>
      <c r="H12" s="436"/>
      <c r="I12" s="440">
        <f>VLOOKUP($C12,DSS_Calc!$A:$KL,DSS_Calc!IE$92,FALSE)</f>
        <v>0.24663677130044842</v>
      </c>
      <c r="J12" s="441">
        <f>VLOOKUP($C12,DSS_Calc!$A:$KL,DSS_Calc!IF$92,FALSE)</f>
        <v>0.35201793721973096</v>
      </c>
      <c r="K12" s="442">
        <f>VLOOKUP($C12,DSS_Calc!$A:$KL,DSS_Calc!IG$92,FALSE)</f>
        <v>0.40134529147982062</v>
      </c>
      <c r="M12" s="632">
        <f t="shared" si="0"/>
        <v>0.86006245338236109</v>
      </c>
      <c r="N12" s="447">
        <f t="shared" si="1"/>
        <v>0.58801498127340823</v>
      </c>
      <c r="O12" s="635">
        <f t="shared" si="2"/>
        <v>2.5979868083551949</v>
      </c>
      <c r="P12" s="448">
        <f t="shared" si="3"/>
        <v>0.40134529147982062</v>
      </c>
      <c r="Q12" s="445"/>
      <c r="S12" s="484" t="s">
        <v>721</v>
      </c>
      <c r="T12" s="56" t="s" vm="27">
        <v>955</v>
      </c>
      <c r="U12" s="56"/>
      <c r="V12" s="56"/>
      <c r="W12" s="56"/>
      <c r="X12" s="56"/>
      <c r="Y12" s="56"/>
      <c r="Z12" s="56"/>
      <c r="AA12" s="56"/>
      <c r="AB12" s="56"/>
      <c r="AC12" s="56"/>
      <c r="AD12" s="56"/>
      <c r="AE12" s="56"/>
      <c r="AF12" s="56"/>
      <c r="AG12" s="56"/>
      <c r="AH12" s="56"/>
      <c r="AI12" s="56"/>
      <c r="AJ12" s="56"/>
      <c r="AK12" s="56"/>
      <c r="AL12" s="56"/>
      <c r="AM12" s="56"/>
    </row>
    <row r="13" spans="1:39">
      <c r="C13" s="446">
        <f t="shared" si="4"/>
        <v>1008</v>
      </c>
      <c r="D13" s="437">
        <f>VLOOKUP($C13,DSS_Calc!$A:$KL,DSS_Calc!JA$92,FALSE)</f>
        <v>1300.0000000000002</v>
      </c>
      <c r="E13" s="438">
        <f>VLOOKUP($C13,DSS_Calc!$A:$KL,DSS_Calc!JB$92,FALSE)</f>
        <v>2160.0624533823611</v>
      </c>
      <c r="F13" s="439">
        <f>VLOOKUP($C13,DSS_Calc!$A:$KL,DSS_Calc!JC$92,FALSE)</f>
        <v>4388.7164157747848</v>
      </c>
      <c r="G13" s="435">
        <v>0</v>
      </c>
      <c r="H13" s="436"/>
      <c r="I13" s="440">
        <f>VLOOKUP($C13,DSS_Calc!$A:$KL,DSS_Calc!IE$92,FALSE)</f>
        <v>0.24773569190356629</v>
      </c>
      <c r="J13" s="441">
        <f>VLOOKUP($C13,DSS_Calc!$A:$KL,DSS_Calc!IF$92,FALSE)</f>
        <v>0.35187827748656952</v>
      </c>
      <c r="K13" s="442">
        <f>VLOOKUP($C13,DSS_Calc!$A:$KL,DSS_Calc!IG$92,FALSE)</f>
        <v>0.40038603060986427</v>
      </c>
      <c r="M13" s="632">
        <f t="shared" si="0"/>
        <v>0.86006245338236065</v>
      </c>
      <c r="N13" s="447">
        <f t="shared" si="1"/>
        <v>0.58684136035800349</v>
      </c>
      <c r="O13" s="635">
        <f t="shared" si="2"/>
        <v>2.5839961956390383</v>
      </c>
      <c r="P13" s="448">
        <f t="shared" si="3"/>
        <v>0.40038603060986427</v>
      </c>
      <c r="Q13" s="445"/>
      <c r="S13" s="484" t="s">
        <v>587</v>
      </c>
      <c r="T13" s="56" t="s" vm="12">
        <v>588</v>
      </c>
      <c r="U13" s="56"/>
      <c r="V13" s="56"/>
      <c r="W13" s="56"/>
      <c r="X13" s="56"/>
      <c r="Y13" s="56"/>
      <c r="Z13" s="56"/>
      <c r="AA13" s="56"/>
      <c r="AB13" s="56"/>
      <c r="AC13" s="56"/>
      <c r="AD13" s="56"/>
      <c r="AE13" s="56"/>
      <c r="AF13" s="56"/>
      <c r="AG13" s="56"/>
      <c r="AH13" s="56"/>
      <c r="AI13" s="56"/>
      <c r="AJ13" s="56"/>
      <c r="AK13" s="56"/>
      <c r="AL13" s="56"/>
      <c r="AM13" s="56"/>
    </row>
    <row r="14" spans="1:39">
      <c r="C14" s="446">
        <f t="shared" si="4"/>
        <v>1009</v>
      </c>
      <c r="D14" s="437">
        <f>VLOOKUP($C14,DSS_Calc!$A:$KL,DSS_Calc!JA$92,FALSE)</f>
        <v>1550.0000000000002</v>
      </c>
      <c r="E14" s="438">
        <f>VLOOKUP($C14,DSS_Calc!$A:$KL,DSS_Calc!JB$92,FALSE)</f>
        <v>2160.0624533823611</v>
      </c>
      <c r="F14" s="439">
        <f>VLOOKUP($C14,DSS_Calc!$A:$KL,DSS_Calc!JC$92,FALSE)</f>
        <v>4388.7164157747848</v>
      </c>
      <c r="G14" s="435">
        <v>0</v>
      </c>
      <c r="H14" s="436"/>
      <c r="I14" s="440">
        <f>VLOOKUP($C14,DSS_Calc!$A:$KL,DSS_Calc!IE$92,FALSE)</f>
        <v>0.27985974134620722</v>
      </c>
      <c r="J14" s="441">
        <f>VLOOKUP($C14,DSS_Calc!$A:$KL,DSS_Calc!IF$92,FALSE)</f>
        <v>0.34134690096911313</v>
      </c>
      <c r="K14" s="442">
        <f>VLOOKUP($C14,DSS_Calc!$A:$KL,DSS_Calc!IG$92,FALSE)</f>
        <v>0.37879335768467959</v>
      </c>
      <c r="M14" s="632">
        <f t="shared" si="0"/>
        <v>0.61006245338236065</v>
      </c>
      <c r="N14" s="447">
        <f t="shared" si="1"/>
        <v>0.54949010154957045</v>
      </c>
      <c r="O14" s="635">
        <f t="shared" si="2"/>
        <v>2.5034931363141313</v>
      </c>
      <c r="P14" s="448">
        <f t="shared" si="3"/>
        <v>0.37879335768467959</v>
      </c>
      <c r="Q14" s="445"/>
      <c r="S14" s="484" t="s">
        <v>4</v>
      </c>
      <c r="T14" s="56" t="s" vm="26">
        <v>964</v>
      </c>
      <c r="U14" s="56"/>
      <c r="V14" s="56"/>
      <c r="W14" s="56"/>
      <c r="X14" s="56"/>
      <c r="Y14" s="56"/>
      <c r="Z14" s="56"/>
      <c r="AA14" s="56"/>
      <c r="AB14" s="56"/>
      <c r="AC14" s="56"/>
      <c r="AD14" s="56"/>
      <c r="AE14" s="56"/>
      <c r="AF14" s="56"/>
      <c r="AG14" s="56"/>
      <c r="AH14" s="56"/>
      <c r="AI14" s="56"/>
      <c r="AJ14" s="56"/>
      <c r="AK14" s="56"/>
      <c r="AL14" s="56"/>
      <c r="AM14" s="56"/>
    </row>
    <row r="15" spans="1:39">
      <c r="C15" s="446">
        <f t="shared" si="4"/>
        <v>1010</v>
      </c>
      <c r="D15" s="437">
        <f>VLOOKUP($C15,DSS_Calc!$A:$KL,DSS_Calc!JA$92,FALSE)</f>
        <v>1800</v>
      </c>
      <c r="E15" s="438">
        <f>VLOOKUP($C15,DSS_Calc!$A:$KL,DSS_Calc!JB$92,FALSE)</f>
        <v>2160.0624533823611</v>
      </c>
      <c r="F15" s="439">
        <f>VLOOKUP($C15,DSS_Calc!$A:$KL,DSS_Calc!JC$92,FALSE)</f>
        <v>4388.7164157747848</v>
      </c>
      <c r="G15" s="435">
        <v>0</v>
      </c>
      <c r="H15" s="436"/>
      <c r="I15" s="440">
        <f>VLOOKUP($C15,DSS_Calc!$A:$KL,DSS_Calc!IE$92,FALSE)</f>
        <v>0.3122398028582215</v>
      </c>
      <c r="J15" s="441">
        <f>VLOOKUP($C15,DSS_Calc!$A:$KL,DSS_Calc!IF$92,FALSE)</f>
        <v>0.33054175181260542</v>
      </c>
      <c r="K15" s="442">
        <f>VLOOKUP($C15,DSS_Calc!$A:$KL,DSS_Calc!IG$92,FALSE)</f>
        <v>0.35721844532917307</v>
      </c>
      <c r="M15" s="632">
        <f t="shared" si="0"/>
        <v>0.36006245338236087</v>
      </c>
      <c r="N15" s="447">
        <f t="shared" si="1"/>
        <v>0.51423652314024204</v>
      </c>
      <c r="O15" s="635">
        <f t="shared" si="2"/>
        <v>2.4035591516340942</v>
      </c>
      <c r="P15" s="448">
        <f t="shared" si="3"/>
        <v>0.35721844532917307</v>
      </c>
      <c r="Q15" s="445"/>
      <c r="R15" s="388"/>
      <c r="S15" s="484" t="s">
        <v>589</v>
      </c>
      <c r="T15" s="56" t="s" vm="13">
        <v>588</v>
      </c>
      <c r="U15" s="56"/>
      <c r="V15" s="56"/>
      <c r="W15" s="56"/>
      <c r="X15" s="56"/>
      <c r="Y15" s="56"/>
      <c r="Z15" s="56"/>
      <c r="AA15" s="56"/>
      <c r="AB15" s="56"/>
      <c r="AC15" s="56"/>
      <c r="AD15" s="56"/>
      <c r="AE15" s="56"/>
      <c r="AF15" s="56"/>
      <c r="AG15" s="56"/>
      <c r="AH15" s="56"/>
      <c r="AI15" s="56"/>
      <c r="AJ15" s="56"/>
      <c r="AK15" s="56"/>
      <c r="AL15" s="56"/>
      <c r="AM15" s="56"/>
    </row>
    <row r="16" spans="1:39">
      <c r="C16" s="446">
        <f t="shared" si="4"/>
        <v>1011</v>
      </c>
      <c r="D16" s="437">
        <f>VLOOKUP($C16,DSS_Calc!$A:$KL,DSS_Calc!JA$92,FALSE)</f>
        <v>2050</v>
      </c>
      <c r="E16" s="438">
        <f>VLOOKUP($C16,DSS_Calc!$A:$KL,DSS_Calc!JB$92,FALSE)</f>
        <v>2160.0624533823616</v>
      </c>
      <c r="F16" s="439">
        <f>VLOOKUP($C16,DSS_Calc!$A:$KL,DSS_Calc!JC$92,FALSE)</f>
        <v>4388.7164157747848</v>
      </c>
      <c r="G16" s="435">
        <v>0</v>
      </c>
      <c r="H16" s="436"/>
      <c r="I16" s="440">
        <f>VLOOKUP($C16,DSS_Calc!$A:$KL,DSS_Calc!IE$92,FALSE)</f>
        <v>0.34457193576188533</v>
      </c>
      <c r="J16" s="441">
        <f>VLOOKUP($C16,DSS_Calc!$A:$KL,DSS_Calc!IF$92,FALSE)</f>
        <v>0.31952569597726166</v>
      </c>
      <c r="K16" s="442">
        <f>VLOOKUP($C16,DSS_Calc!$A:$KL,DSS_Calc!IG$92,FALSE)</f>
        <v>0.33590236826085301</v>
      </c>
      <c r="M16" s="632">
        <f t="shared" si="0"/>
        <v>0.11006245338236198</v>
      </c>
      <c r="N16" s="447">
        <f t="shared" si="1"/>
        <v>0.48114265238453552</v>
      </c>
      <c r="O16" s="635">
        <f t="shared" si="2"/>
        <v>2.2857606750264461</v>
      </c>
      <c r="P16" s="448">
        <f t="shared" si="3"/>
        <v>0.33590236826085301</v>
      </c>
      <c r="Q16" s="445"/>
      <c r="R16" s="388"/>
      <c r="S16" s="484" t="s">
        <v>590</v>
      </c>
      <c r="T16" s="56" t="s" vm="14">
        <v>588</v>
      </c>
      <c r="U16" s="56"/>
      <c r="V16" s="56"/>
      <c r="W16" s="56"/>
      <c r="X16" s="56"/>
      <c r="Y16" s="56"/>
      <c r="Z16" s="56"/>
      <c r="AA16" s="56"/>
      <c r="AB16" s="56"/>
      <c r="AC16" s="56"/>
      <c r="AD16" s="56"/>
      <c r="AE16" s="56"/>
      <c r="AF16" s="56"/>
      <c r="AG16" s="56"/>
      <c r="AH16" s="56"/>
      <c r="AI16" s="56"/>
      <c r="AJ16" s="56"/>
      <c r="AK16" s="56"/>
      <c r="AL16" s="56"/>
      <c r="AM16" s="56"/>
    </row>
    <row r="17" spans="3:44">
      <c r="C17" s="446">
        <f t="shared" si="4"/>
        <v>1012</v>
      </c>
      <c r="D17" s="437">
        <f>VLOOKUP($C17,DSS_Calc!$A:$KL,DSS_Calc!JA$92,FALSE)</f>
        <v>2300</v>
      </c>
      <c r="E17" s="438">
        <f>VLOOKUP($C17,DSS_Calc!$A:$KL,DSS_Calc!JB$92,FALSE)</f>
        <v>2160.0624533823611</v>
      </c>
      <c r="F17" s="439">
        <f>VLOOKUP($C17,DSS_Calc!$A:$KL,DSS_Calc!JC$92,FALSE)</f>
        <v>4388.7164157747848</v>
      </c>
      <c r="G17" s="435">
        <v>0</v>
      </c>
      <c r="H17" s="436"/>
      <c r="I17" s="440">
        <f>VLOOKUP($C17,DSS_Calc!$A:$KL,DSS_Calc!IE$92,FALSE)</f>
        <v>0.37657151309459724</v>
      </c>
      <c r="J17" s="441">
        <f>VLOOKUP($C17,DSS_Calc!$A:$KL,DSS_Calc!IF$92,FALSE)</f>
        <v>0.30836228689734663</v>
      </c>
      <c r="K17" s="442">
        <f>VLOOKUP($C17,DSS_Calc!$A:$KL,DSS_Calc!IG$92,FALSE)</f>
        <v>0.31506620000805619</v>
      </c>
      <c r="M17" s="632">
        <f t="shared" si="0"/>
        <v>-0.13993754661763891</v>
      </c>
      <c r="N17" s="447">
        <f t="shared" si="1"/>
        <v>0.45020743158094051</v>
      </c>
      <c r="O17" s="635">
        <f t="shared" si="2"/>
        <v>2.1517173392192501</v>
      </c>
      <c r="P17" s="448">
        <f t="shared" si="3"/>
        <v>0.31506620000805619</v>
      </c>
      <c r="Q17" s="445"/>
      <c r="R17" s="388"/>
      <c r="S17" s="484" t="s">
        <v>591</v>
      </c>
      <c r="T17" s="56" t="s" vm="15">
        <v>588</v>
      </c>
      <c r="U17" s="56"/>
      <c r="V17" s="56"/>
      <c r="W17" s="56"/>
      <c r="X17" s="56"/>
      <c r="Y17" s="56"/>
      <c r="Z17" s="56"/>
      <c r="AA17" s="56"/>
      <c r="AB17" s="56"/>
      <c r="AC17" s="56"/>
      <c r="AD17" s="56"/>
      <c r="AE17" s="56"/>
      <c r="AF17" s="56"/>
      <c r="AG17" s="56"/>
      <c r="AH17" s="56"/>
      <c r="AI17" s="56"/>
      <c r="AJ17" s="56"/>
      <c r="AK17" s="56"/>
      <c r="AL17" s="56"/>
      <c r="AM17" s="56"/>
    </row>
    <row r="18" spans="3:44">
      <c r="C18" s="446">
        <f t="shared" si="4"/>
        <v>1013</v>
      </c>
      <c r="D18" s="437">
        <f>VLOOKUP($C18,DSS_Calc!$A:$KL,DSS_Calc!JA$92,FALSE)</f>
        <v>1300</v>
      </c>
      <c r="E18" s="438">
        <f>VLOOKUP($C18,DSS_Calc!$A:$KL,DSS_Calc!JB$92,FALSE)</f>
        <v>2440.1894910073042</v>
      </c>
      <c r="F18" s="439">
        <f>VLOOKUP($C18,DSS_Calc!$A:$KL,DSS_Calc!JC$92,FALSE)</f>
        <v>4388.7164157747848</v>
      </c>
      <c r="G18" s="435">
        <v>0</v>
      </c>
      <c r="H18" s="436"/>
      <c r="I18" s="440">
        <f>VLOOKUP($C18,DSS_Calc!$A:$KL,DSS_Calc!IE$92,FALSE)</f>
        <v>0.23812772600198689</v>
      </c>
      <c r="J18" s="441">
        <f>VLOOKUP($C18,DSS_Calc!$A:$KL,DSS_Calc!IF$92,FALSE)</f>
        <v>0.37147204030280379</v>
      </c>
      <c r="K18" s="442">
        <f>VLOOKUP($C18,DSS_Calc!$A:$KL,DSS_Calc!IG$92,FALSE)</f>
        <v>0.39040023369520938</v>
      </c>
      <c r="M18" s="632">
        <f t="shared" si="0"/>
        <v>1.1401894910073043</v>
      </c>
      <c r="N18" s="447">
        <f t="shared" si="1"/>
        <v>0.60937037846086273</v>
      </c>
      <c r="O18" s="635">
        <f t="shared" si="2"/>
        <v>2.3939187141225657</v>
      </c>
      <c r="P18" s="448">
        <f t="shared" si="3"/>
        <v>0.39040023369520938</v>
      </c>
      <c r="Q18" s="445"/>
      <c r="R18" s="388"/>
      <c r="S18" s="484" t="s">
        <v>592</v>
      </c>
      <c r="T18" s="56" t="s" vm="16">
        <v>588</v>
      </c>
      <c r="X18" s="56"/>
      <c r="Y18" s="56"/>
      <c r="Z18" s="56"/>
      <c r="AA18" s="56"/>
      <c r="AB18" s="56"/>
      <c r="AC18" s="56"/>
      <c r="AD18" s="56"/>
      <c r="AE18" s="56"/>
      <c r="AF18" s="56"/>
      <c r="AG18" s="56"/>
      <c r="AH18" s="56"/>
      <c r="AI18" s="56"/>
      <c r="AJ18" s="56"/>
      <c r="AK18" s="56"/>
      <c r="AL18" s="56"/>
      <c r="AM18" s="56"/>
    </row>
    <row r="19" spans="3:44">
      <c r="C19" s="446">
        <f t="shared" si="4"/>
        <v>1014</v>
      </c>
      <c r="D19" s="437">
        <f>VLOOKUP($C19,DSS_Calc!$A:$KL,DSS_Calc!JA$92,FALSE)</f>
        <v>1300</v>
      </c>
      <c r="E19" s="438">
        <f>VLOOKUP($C19,DSS_Calc!$A:$KL,DSS_Calc!JB$92,FALSE)</f>
        <v>2764.2263852697333</v>
      </c>
      <c r="F19" s="439">
        <f>VLOOKUP($C19,DSS_Calc!$A:$KL,DSS_Calc!JC$92,FALSE)</f>
        <v>4388.7164157747848</v>
      </c>
      <c r="G19" s="435"/>
      <c r="H19" s="436"/>
      <c r="I19" s="440">
        <f>VLOOKUP($C19,DSS_Calc!$A:$KL,DSS_Calc!IE$92,FALSE)</f>
        <v>0.22666511876546269</v>
      </c>
      <c r="J19" s="441">
        <f>VLOOKUP($C19,DSS_Calc!$A:$KL,DSS_Calc!IF$92,FALSE)</f>
        <v>0.39453535543386253</v>
      </c>
      <c r="K19" s="442">
        <f>VLOOKUP($C19,DSS_Calc!$A:$KL,DSS_Calc!IG$92,FALSE)</f>
        <v>0.37879952580067461</v>
      </c>
      <c r="M19" s="632">
        <f t="shared" si="0"/>
        <v>1.4642263852697333</v>
      </c>
      <c r="N19" s="447">
        <f t="shared" si="1"/>
        <v>0.63511760183761157</v>
      </c>
      <c r="O19" s="635">
        <f t="shared" si="2"/>
        <v>2.1587604654149173</v>
      </c>
      <c r="P19" s="448">
        <f t="shared" si="3"/>
        <v>0.37879952580067461</v>
      </c>
      <c r="Q19" s="445"/>
      <c r="R19" s="388"/>
      <c r="S19" s="484" t="s">
        <v>593</v>
      </c>
      <c r="T19" s="56" t="s" vm="17">
        <v>588</v>
      </c>
      <c r="X19" s="56"/>
      <c r="Y19" s="56"/>
      <c r="Z19" s="56"/>
      <c r="AA19" s="56"/>
      <c r="AB19" s="56"/>
      <c r="AC19" s="56"/>
      <c r="AD19" s="56"/>
      <c r="AE19" s="56"/>
      <c r="AF19" s="56"/>
      <c r="AG19" s="56"/>
      <c r="AH19" s="56"/>
      <c r="AI19" s="56"/>
      <c r="AJ19" s="56"/>
      <c r="AK19" s="56"/>
      <c r="AL19" s="56"/>
      <c r="AM19" s="56"/>
    </row>
    <row r="20" spans="3:44">
      <c r="C20" s="446">
        <f t="shared" si="4"/>
        <v>1015</v>
      </c>
      <c r="D20" s="437">
        <f>VLOOKUP($C20,DSS_Calc!$A:$KL,DSS_Calc!JA$92,FALSE)</f>
        <v>1300</v>
      </c>
      <c r="E20" s="438">
        <f>VLOOKUP($C20,DSS_Calc!$A:$KL,DSS_Calc!JB$92,FALSE)</f>
        <v>2660.0624533823611</v>
      </c>
      <c r="F20" s="439">
        <f>VLOOKUP($C20,DSS_Calc!$A:$KL,DSS_Calc!JC$92,FALSE)</f>
        <v>4388.7164157747848</v>
      </c>
      <c r="G20" s="435"/>
      <c r="H20" s="436"/>
      <c r="I20" s="440">
        <f>VLOOKUP($C20,DSS_Calc!$A:$KL,DSS_Calc!IE$92,FALSE)</f>
        <v>0.23302980310950536</v>
      </c>
      <c r="J20" s="441">
        <f>VLOOKUP($C20,DSS_Calc!$A:$KL,DSS_Calc!IF$92,FALSE)</f>
        <v>0.3809190676753425</v>
      </c>
      <c r="K20" s="442">
        <f>VLOOKUP($C20,DSS_Calc!$A:$KL,DSS_Calc!IG$92,FALSE)</f>
        <v>0.38605112921515217</v>
      </c>
      <c r="M20" s="632">
        <f t="shared" si="0"/>
        <v>1.3600624533823609</v>
      </c>
      <c r="N20" s="447">
        <f t="shared" si="1"/>
        <v>0.62044102660925282</v>
      </c>
      <c r="O20" s="635">
        <f t="shared" si="2"/>
        <v>2.2448778709455337</v>
      </c>
      <c r="P20" s="448">
        <f t="shared" si="3"/>
        <v>0.38605112921515217</v>
      </c>
      <c r="Q20" s="445"/>
      <c r="R20" s="388"/>
      <c r="S20" s="484" t="s">
        <v>594</v>
      </c>
      <c r="T20" s="56" t="s" vm="18">
        <v>588</v>
      </c>
      <c r="X20" s="56"/>
      <c r="Y20" s="56"/>
      <c r="Z20" s="56"/>
      <c r="AA20" s="56"/>
      <c r="AB20" s="56"/>
      <c r="AC20" s="56"/>
      <c r="AD20" s="56"/>
      <c r="AE20" s="56"/>
      <c r="AF20" s="56"/>
      <c r="AG20" s="56"/>
      <c r="AH20" s="56"/>
      <c r="AI20" s="56"/>
      <c r="AJ20" s="56"/>
      <c r="AK20" s="56"/>
      <c r="AL20" s="56"/>
      <c r="AM20" s="56"/>
    </row>
    <row r="21" spans="3:44">
      <c r="C21" s="446">
        <f t="shared" si="4"/>
        <v>1016</v>
      </c>
      <c r="D21" s="437">
        <f>VLOOKUP($C21,DSS_Calc!$A:$KL,DSS_Calc!JA$92,FALSE)</f>
        <v>1300</v>
      </c>
      <c r="E21" s="438">
        <f>VLOOKUP($C21,DSS_Calc!$A:$KL,DSS_Calc!JB$92,FALSE)</f>
        <v>2160.0624533823611</v>
      </c>
      <c r="F21" s="439">
        <f>VLOOKUP($C21,DSS_Calc!$A:$KL,DSS_Calc!JC$92,FALSE)</f>
        <v>4028.7164157747848</v>
      </c>
      <c r="G21" s="435"/>
      <c r="H21" s="436"/>
      <c r="I21" s="440">
        <f>VLOOKUP($C21,DSS_Calc!$A:$KL,DSS_Calc!IE$92,FALSE)</f>
        <v>0.29128853532729909</v>
      </c>
      <c r="J21" s="441">
        <f>VLOOKUP($C21,DSS_Calc!$A:$KL,DSS_Calc!IF$92,FALSE)</f>
        <v>0.36581169166700056</v>
      </c>
      <c r="K21" s="442">
        <f>VLOOKUP($C21,DSS_Calc!$A:$KL,DSS_Calc!IG$92,FALSE)</f>
        <v>0.34289977300570029</v>
      </c>
      <c r="M21" s="632">
        <f t="shared" si="0"/>
        <v>0.86006245338236087</v>
      </c>
      <c r="N21" s="447">
        <f t="shared" si="1"/>
        <v>0.55670608019767742</v>
      </c>
      <c r="O21" s="635">
        <f t="shared" si="2"/>
        <v>2.2499144186270925</v>
      </c>
      <c r="P21" s="448">
        <f t="shared" si="3"/>
        <v>0.34289977300570029</v>
      </c>
      <c r="Q21" s="445"/>
      <c r="R21" s="388"/>
      <c r="S21" s="484" t="s">
        <v>595</v>
      </c>
      <c r="T21" s="56" t="s" vm="19">
        <v>588</v>
      </c>
      <c r="X21" s="56"/>
      <c r="Y21" s="56"/>
      <c r="Z21" s="56"/>
      <c r="AA21" s="56"/>
      <c r="AB21" s="56"/>
      <c r="AC21" s="56"/>
      <c r="AD21" s="56"/>
      <c r="AE21" s="56"/>
      <c r="AF21" s="56"/>
      <c r="AG21" s="56"/>
      <c r="AH21" s="56"/>
      <c r="AI21" s="56"/>
      <c r="AJ21" s="56"/>
      <c r="AK21" s="56"/>
      <c r="AL21" s="56"/>
      <c r="AM21" s="56"/>
    </row>
    <row r="22" spans="3:44">
      <c r="C22" s="446">
        <f t="shared" si="4"/>
        <v>1017</v>
      </c>
      <c r="D22" s="437">
        <f>VLOOKUP($C22,DSS_Calc!$A:$KL,DSS_Calc!JA$92,FALSE)</f>
        <v>1299.9999999999998</v>
      </c>
      <c r="E22" s="438">
        <f>VLOOKUP($C22,DSS_Calc!$A:$KL,DSS_Calc!JB$92,FALSE)</f>
        <v>2160.0624533823611</v>
      </c>
      <c r="F22" s="439">
        <f>VLOOKUP($C22,DSS_Calc!$A:$KL,DSS_Calc!JC$92,FALSE)</f>
        <v>4748.7164157747848</v>
      </c>
      <c r="G22" s="435"/>
      <c r="H22" s="436"/>
      <c r="I22" s="440">
        <f>VLOOKUP($C22,DSS_Calc!$A:$KL,DSS_Calc!IE$92,FALSE)</f>
        <v>0.20154833317952359</v>
      </c>
      <c r="J22" s="441">
        <f>VLOOKUP($C22,DSS_Calc!$A:$KL,DSS_Calc!IF$92,FALSE)</f>
        <v>0.33694099423092605</v>
      </c>
      <c r="K22" s="442">
        <f>VLOOKUP($C22,DSS_Calc!$A:$KL,DSS_Calc!IG$92,FALSE)</f>
        <v>0.46151067258955036</v>
      </c>
      <c r="M22" s="632">
        <f t="shared" si="0"/>
        <v>0.86006245338236109</v>
      </c>
      <c r="N22" s="447">
        <f t="shared" si="1"/>
        <v>0.62571526877096573</v>
      </c>
      <c r="O22" s="635">
        <f t="shared" si="2"/>
        <v>2.9105622065968251</v>
      </c>
      <c r="P22" s="448">
        <f t="shared" si="3"/>
        <v>0.46151067258955036</v>
      </c>
      <c r="Q22" s="445"/>
      <c r="R22" s="388"/>
      <c r="S22" s="484" t="s">
        <v>596</v>
      </c>
      <c r="T22" s="56" t="s" vm="20">
        <v>588</v>
      </c>
      <c r="X22" s="56"/>
      <c r="Y22" s="56"/>
      <c r="Z22" s="56"/>
      <c r="AA22" s="56"/>
      <c r="AB22" s="56"/>
      <c r="AC22" s="56"/>
      <c r="AD22" s="56"/>
      <c r="AE22" s="56"/>
      <c r="AF22" s="56"/>
      <c r="AG22" s="56"/>
      <c r="AH22" s="56"/>
      <c r="AI22" s="56"/>
      <c r="AJ22" s="56"/>
      <c r="AK22" s="56"/>
      <c r="AL22" s="56"/>
      <c r="AM22" s="56"/>
    </row>
    <row r="23" spans="3:44">
      <c r="C23" s="446">
        <f t="shared" si="4"/>
        <v>1018</v>
      </c>
      <c r="D23" s="437">
        <f>VLOOKUP($C23,DSS_Calc!$A:$KL,DSS_Calc!JA$92,FALSE)</f>
        <v>1300</v>
      </c>
      <c r="E23" s="438">
        <f>VLOOKUP($C23,DSS_Calc!$A:$KL,DSS_Calc!JB$92,FALSE)</f>
        <v>2160.062453382362</v>
      </c>
      <c r="F23" s="439">
        <f>VLOOKUP($C23,DSS_Calc!$A:$KL,DSS_Calc!JC$92,FALSE)</f>
        <v>5108.7164157747848</v>
      </c>
      <c r="G23" s="435"/>
      <c r="H23" s="436"/>
      <c r="I23" s="440">
        <f>VLOOKUP($C23,DSS_Calc!$A:$KL,DSS_Calc!IE$92,FALSE)</f>
        <v>0.15358811922385651</v>
      </c>
      <c r="J23" s="441">
        <f>VLOOKUP($C23,DSS_Calc!$A:$KL,DSS_Calc!IF$92,FALSE)</f>
        <v>0.32099368692498231</v>
      </c>
      <c r="K23" s="442">
        <f>VLOOKUP($C23,DSS_Calc!$A:$KL,DSS_Calc!IG$92,FALSE)</f>
        <v>0.52541819385116117</v>
      </c>
      <c r="M23" s="632">
        <f t="shared" si="0"/>
        <v>0.8600624533823622</v>
      </c>
      <c r="N23" s="447">
        <f t="shared" si="1"/>
        <v>0.67637166609861976</v>
      </c>
      <c r="O23" s="635">
        <f t="shared" si="2"/>
        <v>3.2269945412316901</v>
      </c>
      <c r="P23" s="448">
        <f t="shared" si="3"/>
        <v>0.52541819385116117</v>
      </c>
      <c r="Q23" s="445"/>
      <c r="R23" s="388"/>
      <c r="S23" s="484" t="s">
        <v>597</v>
      </c>
      <c r="T23" s="56" t="s" vm="21">
        <v>588</v>
      </c>
      <c r="X23" s="56"/>
      <c r="Y23" s="56"/>
      <c r="Z23" s="56"/>
      <c r="AA23" s="56"/>
      <c r="AB23" s="56"/>
      <c r="AC23" s="56"/>
      <c r="AD23" s="56"/>
      <c r="AE23" s="56"/>
      <c r="AF23" s="56"/>
      <c r="AG23" s="56"/>
      <c r="AH23" s="56"/>
      <c r="AI23" s="56"/>
      <c r="AJ23" s="56"/>
      <c r="AK23" s="56"/>
      <c r="AL23" s="56"/>
      <c r="AM23" s="56"/>
    </row>
    <row r="24" spans="3:44">
      <c r="C24" s="446">
        <f t="shared" si="4"/>
        <v>1019</v>
      </c>
      <c r="D24" s="437">
        <f>VLOOKUP($C24,DSS_Calc!$A:$KL,DSS_Calc!JA$92,FALSE)</f>
        <v>1030</v>
      </c>
      <c r="E24" s="438">
        <f>VLOOKUP($C24,DSS_Calc!$A:$KL,DSS_Calc!JB$92,FALSE)</f>
        <v>1890.0624533823614</v>
      </c>
      <c r="F24" s="439">
        <f>VLOOKUP($C24,DSS_Calc!$A:$KL,DSS_Calc!JC$92,FALSE)</f>
        <v>4253.7164157747848</v>
      </c>
      <c r="G24" s="435"/>
      <c r="H24" s="436"/>
      <c r="I24" s="440">
        <f>VLOOKUP($C24,DSS_Calc!$A:$KL,DSS_Calc!IE$92,FALSE)</f>
        <v>0.23785209687453929</v>
      </c>
      <c r="J24" s="441">
        <f>VLOOKUP($C24,DSS_Calc!$A:$KL,DSS_Calc!IF$92,FALSE)</f>
        <v>0.35300414631738519</v>
      </c>
      <c r="K24" s="442">
        <f>VLOOKUP($C24,DSS_Calc!$A:$KL,DSS_Calc!IG$92,FALSE)</f>
        <v>0.40914375680807552</v>
      </c>
      <c r="M24" s="632">
        <f t="shared" si="0"/>
        <v>0.86006245338236131</v>
      </c>
      <c r="N24" s="447">
        <f t="shared" si="1"/>
        <v>0.597445064488759</v>
      </c>
      <c r="O24" s="635">
        <f t="shared" si="2"/>
        <v>2.7098763478493995</v>
      </c>
      <c r="P24" s="448">
        <f t="shared" si="3"/>
        <v>0.40914375680807552</v>
      </c>
      <c r="Q24" s="445"/>
      <c r="S24" s="484" t="s">
        <v>598</v>
      </c>
      <c r="T24" s="56" t="s" vm="22">
        <v>588</v>
      </c>
      <c r="X24" s="56"/>
      <c r="Y24" s="56"/>
      <c r="Z24" s="56"/>
      <c r="AA24" s="56"/>
      <c r="AB24" s="56"/>
      <c r="AC24" s="56"/>
      <c r="AD24" s="56"/>
      <c r="AE24" s="56"/>
      <c r="AF24" s="56"/>
      <c r="AG24" s="56"/>
      <c r="AH24" s="56"/>
      <c r="AI24" s="56"/>
      <c r="AJ24" s="56"/>
      <c r="AK24" s="56"/>
      <c r="AL24" s="56"/>
      <c r="AM24" s="56"/>
    </row>
    <row r="25" spans="3:44">
      <c r="C25" s="446">
        <f t="shared" si="4"/>
        <v>1020</v>
      </c>
      <c r="D25" s="437">
        <f>VLOOKUP($C25,DSS_Calc!$A:$KL,DSS_Calc!JA$92,FALSE)</f>
        <v>1300.0000000000002</v>
      </c>
      <c r="E25" s="438">
        <f>VLOOKUP($C25,DSS_Calc!$A:$KL,DSS_Calc!JB$92,FALSE)</f>
        <v>2160.0624533823611</v>
      </c>
      <c r="F25" s="439">
        <f>VLOOKUP($C25,DSS_Calc!$A:$KL,DSS_Calc!JC$92,FALSE)</f>
        <v>4388.7164157747848</v>
      </c>
      <c r="G25" s="435"/>
      <c r="H25" s="436"/>
      <c r="I25" s="440">
        <f>VLOOKUP($C25,DSS_Calc!$A:$KL,DSS_Calc!IE$92,FALSE)</f>
        <v>0.24773569190356629</v>
      </c>
      <c r="J25" s="441">
        <f>VLOOKUP($C25,DSS_Calc!$A:$KL,DSS_Calc!IF$92,FALSE)</f>
        <v>0.35187827748656952</v>
      </c>
      <c r="K25" s="442">
        <f>VLOOKUP($C25,DSS_Calc!$A:$KL,DSS_Calc!IG$92,FALSE)</f>
        <v>0.40038603060986427</v>
      </c>
      <c r="M25" s="632">
        <f t="shared" si="0"/>
        <v>0.86006245338236065</v>
      </c>
      <c r="N25" s="447">
        <f t="shared" si="1"/>
        <v>0.58684136035800349</v>
      </c>
      <c r="O25" s="635">
        <f t="shared" si="2"/>
        <v>2.5839961956390383</v>
      </c>
      <c r="P25" s="448">
        <f t="shared" si="3"/>
        <v>0.40038603060986427</v>
      </c>
      <c r="Q25" s="445"/>
      <c r="S25" s="484" t="s">
        <v>599</v>
      </c>
      <c r="T25" s="56" t="s" vm="23">
        <v>588</v>
      </c>
      <c r="X25" s="56"/>
      <c r="Y25" s="56"/>
      <c r="Z25" s="56"/>
      <c r="AA25" s="56"/>
      <c r="AB25" s="56"/>
      <c r="AC25" s="56"/>
      <c r="AD25" s="56"/>
      <c r="AE25" s="56"/>
      <c r="AF25" s="56"/>
      <c r="AG25" s="56"/>
      <c r="AH25" s="56"/>
      <c r="AI25" s="56"/>
      <c r="AJ25" s="56"/>
      <c r="AK25" s="56"/>
      <c r="AL25" s="56"/>
      <c r="AM25" s="56"/>
      <c r="AR25" s="56" t="e">
        <f>TREND(AR31:AR130,AQ31:AQ130,2000)</f>
        <v>#VALUE!</v>
      </c>
    </row>
    <row r="26" spans="3:44">
      <c r="C26" s="446">
        <f t="shared" si="4"/>
        <v>1021</v>
      </c>
      <c r="D26" s="437">
        <f>VLOOKUP($C26,DSS_Calc!$A:$KL,DSS_Calc!JA$92,FALSE)</f>
        <v>1300</v>
      </c>
      <c r="E26" s="438">
        <f>VLOOKUP($C26,DSS_Calc!$A:$KL,DSS_Calc!JB$92,FALSE)</f>
        <v>2440.1894910073042</v>
      </c>
      <c r="F26" s="439">
        <f>VLOOKUP($C26,DSS_Calc!$A:$KL,DSS_Calc!JC$92,FALSE)</f>
        <v>4388.7164157747848</v>
      </c>
      <c r="G26" s="435"/>
      <c r="H26" s="436"/>
      <c r="I26" s="440">
        <f>VLOOKUP($C26,DSS_Calc!$A:$KL,DSS_Calc!IE$92,FALSE)</f>
        <v>0.23812772600198689</v>
      </c>
      <c r="J26" s="441">
        <f>VLOOKUP($C26,DSS_Calc!$A:$KL,DSS_Calc!IF$92,FALSE)</f>
        <v>0.37147204030280379</v>
      </c>
      <c r="K26" s="442">
        <f>VLOOKUP($C26,DSS_Calc!$A:$KL,DSS_Calc!IG$92,FALSE)</f>
        <v>0.39040023369520938</v>
      </c>
      <c r="M26" s="632">
        <f t="shared" si="0"/>
        <v>1.1401894910073043</v>
      </c>
      <c r="N26" s="447">
        <f t="shared" si="1"/>
        <v>0.60937037846086273</v>
      </c>
      <c r="O26" s="635">
        <f t="shared" si="2"/>
        <v>2.3939187141225657</v>
      </c>
      <c r="P26" s="448">
        <f t="shared" si="3"/>
        <v>0.39040023369520938</v>
      </c>
      <c r="Q26" s="445"/>
      <c r="S26" s="484" t="s">
        <v>600</v>
      </c>
      <c r="T26" s="56" t="s" vm="24">
        <v>588</v>
      </c>
      <c r="X26" s="56"/>
      <c r="Y26" s="56"/>
      <c r="Z26" s="56"/>
      <c r="AA26" s="56"/>
      <c r="AB26" s="303" t="s">
        <v>601</v>
      </c>
      <c r="AC26" s="56"/>
      <c r="AD26" s="56"/>
      <c r="AE26" s="56"/>
      <c r="AF26" s="56"/>
      <c r="AG26" s="56"/>
      <c r="AH26" s="56"/>
      <c r="AI26" s="56"/>
      <c r="AJ26" s="56"/>
      <c r="AK26" s="56"/>
      <c r="AL26" s="56"/>
      <c r="AM26" s="56"/>
    </row>
    <row r="27" spans="3:44">
      <c r="C27" s="446">
        <f t="shared" si="4"/>
        <v>1022</v>
      </c>
      <c r="D27" s="437">
        <f>VLOOKUP($C27,DSS_Calc!$A:$KL,DSS_Calc!JA$92,FALSE)</f>
        <v>1300</v>
      </c>
      <c r="E27" s="438">
        <f>VLOOKUP($C27,DSS_Calc!$A:$KL,DSS_Calc!JB$92,FALSE)</f>
        <v>1975.5427138481841</v>
      </c>
      <c r="F27" s="439">
        <f>VLOOKUP($C27,DSS_Calc!$A:$KL,DSS_Calc!JC$92,FALSE)</f>
        <v>4388.7164157747848</v>
      </c>
      <c r="G27" s="435"/>
      <c r="H27" s="436"/>
      <c r="I27" s="440">
        <f>VLOOKUP($C27,DSS_Calc!$A:$KL,DSS_Calc!IE$92,FALSE)</f>
        <v>0.25436802996063579</v>
      </c>
      <c r="J27" s="441">
        <f>VLOOKUP($C27,DSS_Calc!$A:$KL,DSS_Calc!IF$92,FALSE)</f>
        <v>0.33814553537228292</v>
      </c>
      <c r="K27" s="442">
        <f>VLOOKUP($C27,DSS_Calc!$A:$KL,DSS_Calc!IG$92,FALSE)</f>
        <v>0.40748643466708134</v>
      </c>
      <c r="M27" s="632">
        <f t="shared" si="0"/>
        <v>0.67554271384818398</v>
      </c>
      <c r="N27" s="447">
        <f t="shared" si="1"/>
        <v>0.57069669819675317</v>
      </c>
      <c r="O27" s="635">
        <f t="shared" si="2"/>
        <v>2.703186419490752</v>
      </c>
      <c r="P27" s="448">
        <f t="shared" si="3"/>
        <v>0.40748643466708134</v>
      </c>
      <c r="Q27" s="445"/>
      <c r="S27" s="484" t="s">
        <v>602</v>
      </c>
      <c r="T27" s="56" t="s" vm="25">
        <v>588</v>
      </c>
      <c r="X27" s="56"/>
      <c r="Y27" s="56"/>
      <c r="Z27" s="56"/>
      <c r="AA27" s="56"/>
      <c r="AB27" s="449">
        <f>AVERAGE(AB31:AB130)</f>
        <v>47.322707320949291</v>
      </c>
      <c r="AC27" s="56"/>
      <c r="AD27" s="56"/>
      <c r="AE27" s="56"/>
      <c r="AF27" s="56"/>
      <c r="AG27" s="56"/>
      <c r="AH27" s="56"/>
      <c r="AI27" s="56"/>
      <c r="AJ27" s="56"/>
      <c r="AK27" s="56"/>
      <c r="AL27" s="56"/>
      <c r="AM27" s="56"/>
    </row>
    <row r="28" spans="3:44" ht="15.75" thickBot="1">
      <c r="C28" s="446">
        <f t="shared" si="4"/>
        <v>1023</v>
      </c>
      <c r="D28" s="437">
        <f>VLOOKUP($C28,DSS_Calc!$A:$KL,DSS_Calc!JA$92,FALSE)</f>
        <v>1300</v>
      </c>
      <c r="E28" s="438">
        <f>VLOOKUP($C28,DSS_Calc!$A:$KL,DSS_Calc!JB$92,FALSE)</f>
        <v>2440.1894910073042</v>
      </c>
      <c r="F28" s="439">
        <f>VLOOKUP($C28,DSS_Calc!$A:$KL,DSS_Calc!JC$92,FALSE)</f>
        <v>4388.7164157747848</v>
      </c>
      <c r="G28" s="435"/>
      <c r="H28" s="436"/>
      <c r="I28" s="440">
        <f>VLOOKUP($C28,DSS_Calc!$A:$KL,DSS_Calc!IE$92,FALSE)</f>
        <v>0.23812772600198689</v>
      </c>
      <c r="J28" s="441">
        <f>VLOOKUP($C28,DSS_Calc!$A:$KL,DSS_Calc!IF$92,FALSE)</f>
        <v>0.37147204030280379</v>
      </c>
      <c r="K28" s="442">
        <f>VLOOKUP($C28,DSS_Calc!$A:$KL,DSS_Calc!IG$92,FALSE)</f>
        <v>0.39040023369520938</v>
      </c>
      <c r="M28" s="632">
        <f t="shared" si="0"/>
        <v>1.1401894910073043</v>
      </c>
      <c r="N28" s="447">
        <f t="shared" si="1"/>
        <v>0.60937037846086273</v>
      </c>
      <c r="O28" s="635">
        <f t="shared" si="2"/>
        <v>2.3939187141225657</v>
      </c>
      <c r="P28" s="448">
        <f t="shared" si="3"/>
        <v>0.39040023369520938</v>
      </c>
      <c r="Q28" s="445"/>
      <c r="X28" s="56"/>
      <c r="Y28" s="56"/>
      <c r="Z28" s="56"/>
      <c r="AA28" s="56"/>
      <c r="AB28" s="56"/>
      <c r="AC28" s="56"/>
      <c r="AD28" s="56"/>
      <c r="AE28" s="56"/>
      <c r="AF28" s="56"/>
      <c r="AG28" s="56"/>
      <c r="AH28" s="56"/>
      <c r="AI28" s="56"/>
      <c r="AJ28" s="56"/>
      <c r="AK28" s="56"/>
      <c r="AL28" s="56"/>
      <c r="AM28" s="56"/>
      <c r="AN28" s="450" t="s">
        <v>603</v>
      </c>
    </row>
    <row r="29" spans="3:44">
      <c r="C29" s="446">
        <f t="shared" si="4"/>
        <v>1024</v>
      </c>
      <c r="D29" s="437">
        <f>VLOOKUP($C29,DSS_Calc!$A:$KL,DSS_Calc!JA$92,FALSE)</f>
        <v>1300</v>
      </c>
      <c r="E29" s="438">
        <f>VLOOKUP($C29,DSS_Calc!$A:$KL,DSS_Calc!JB$92,FALSE)</f>
        <v>2764.2263852697333</v>
      </c>
      <c r="F29" s="439">
        <f>VLOOKUP($C29,DSS_Calc!$A:$KL,DSS_Calc!JC$92,FALSE)</f>
        <v>4388.7164157747848</v>
      </c>
      <c r="G29" s="435"/>
      <c r="H29" s="436"/>
      <c r="I29" s="440">
        <f>VLOOKUP($C29,DSS_Calc!$A:$KL,DSS_Calc!IE$92,FALSE)</f>
        <v>0.22666511876546269</v>
      </c>
      <c r="J29" s="441">
        <f>VLOOKUP($C29,DSS_Calc!$A:$KL,DSS_Calc!IF$92,FALSE)</f>
        <v>0.39453535543386253</v>
      </c>
      <c r="K29" s="442">
        <f>VLOOKUP($C29,DSS_Calc!$A:$KL,DSS_Calc!IG$92,FALSE)</f>
        <v>0.37879952580067461</v>
      </c>
      <c r="M29" s="632">
        <f t="shared" si="0"/>
        <v>1.4642263852697333</v>
      </c>
      <c r="N29" s="447">
        <f t="shared" si="1"/>
        <v>0.63511760183761157</v>
      </c>
      <c r="O29" s="635">
        <f t="shared" si="2"/>
        <v>2.1587604654149173</v>
      </c>
      <c r="P29" s="448">
        <f t="shared" si="3"/>
        <v>0.37879952580067461</v>
      </c>
      <c r="Q29" s="414"/>
      <c r="S29" s="56"/>
      <c r="T29" s="56"/>
      <c r="U29" s="56"/>
      <c r="V29" s="484" t="s">
        <v>604</v>
      </c>
      <c r="W29" s="56"/>
      <c r="X29" s="56"/>
      <c r="Y29" s="56"/>
      <c r="Z29" s="56"/>
      <c r="AA29" s="56"/>
      <c r="AB29" s="56"/>
      <c r="AC29" s="56"/>
      <c r="AD29" s="56"/>
      <c r="AE29" s="56"/>
      <c r="AF29" s="56"/>
      <c r="AG29" s="56"/>
      <c r="AH29" s="56"/>
      <c r="AI29" s="56"/>
      <c r="AJ29" s="56"/>
      <c r="AK29" s="56"/>
      <c r="AL29" s="56"/>
      <c r="AM29" s="56"/>
      <c r="AN29" s="451" t="s">
        <v>582</v>
      </c>
      <c r="AO29" s="428" t="s">
        <v>582</v>
      </c>
      <c r="AP29" s="428" t="s">
        <v>584</v>
      </c>
      <c r="AQ29" s="428" t="s">
        <v>582</v>
      </c>
      <c r="AR29" s="429" t="s">
        <v>584</v>
      </c>
    </row>
    <row r="30" spans="3:44" ht="15.75" thickBot="1">
      <c r="C30" s="446">
        <f t="shared" si="4"/>
        <v>1025</v>
      </c>
      <c r="D30" s="437">
        <f>VLOOKUP($C30,DSS_Calc!$A:$KL,DSS_Calc!JA$92,FALSE)</f>
        <v>1300</v>
      </c>
      <c r="E30" s="438">
        <f>VLOOKUP($C30,DSS_Calc!$A:$KL,DSS_Calc!JB$92,FALSE)</f>
        <v>1764.565473582883</v>
      </c>
      <c r="F30" s="439">
        <f>VLOOKUP($C30,DSS_Calc!$A:$KL,DSS_Calc!JC$92,FALSE)</f>
        <v>4388.7164157747848</v>
      </c>
      <c r="G30" s="435"/>
      <c r="H30" s="436"/>
      <c r="I30" s="440">
        <f>VLOOKUP($C30,DSS_Calc!$A:$KL,DSS_Calc!IE$92,FALSE)</f>
        <v>0.2602300190969975</v>
      </c>
      <c r="J30" s="441">
        <f>VLOOKUP($C30,DSS_Calc!$A:$KL,DSS_Calc!IF$92,FALSE)</f>
        <v>0.32576248658665641</v>
      </c>
      <c r="K30" s="442">
        <f>VLOOKUP($C30,DSS_Calc!$A:$KL,DSS_Calc!IG$92,FALSE)</f>
        <v>0.41400749431634626</v>
      </c>
      <c r="M30" s="632">
        <f t="shared" si="0"/>
        <v>0.46456547358288303</v>
      </c>
      <c r="N30" s="447">
        <f t="shared" si="1"/>
        <v>0.5559157897533219</v>
      </c>
      <c r="O30" s="635">
        <f t="shared" si="2"/>
        <v>2.8304571336358304</v>
      </c>
      <c r="P30" s="448">
        <f t="shared" si="3"/>
        <v>0.41400749431634626</v>
      </c>
      <c r="Q30" s="414"/>
      <c r="S30" s="484" t="s">
        <v>605</v>
      </c>
      <c r="T30" s="484" t="s">
        <v>606</v>
      </c>
      <c r="U30" s="484" t="s">
        <v>95</v>
      </c>
      <c r="V30" s="56" t="s">
        <v>607</v>
      </c>
      <c r="W30" s="56" t="s">
        <v>608</v>
      </c>
      <c r="X30" s="56" t="s">
        <v>609</v>
      </c>
      <c r="Y30" s="56" t="s">
        <v>610</v>
      </c>
      <c r="Z30" s="56" t="s">
        <v>611</v>
      </c>
      <c r="AA30" s="56" t="s">
        <v>612</v>
      </c>
      <c r="AB30" s="56" t="s">
        <v>613</v>
      </c>
      <c r="AC30" s="56" t="s">
        <v>47</v>
      </c>
      <c r="AD30" s="56" t="s">
        <v>614</v>
      </c>
      <c r="AE30" s="56"/>
      <c r="AF30" s="56"/>
      <c r="AG30" s="56"/>
      <c r="AH30" s="56"/>
      <c r="AI30" s="56"/>
      <c r="AJ30" s="56"/>
      <c r="AK30" s="56"/>
      <c r="AL30" s="56"/>
      <c r="AM30" s="56"/>
      <c r="AN30" s="433" t="s">
        <v>615</v>
      </c>
      <c r="AO30" s="433" t="s">
        <v>585</v>
      </c>
      <c r="AP30" s="433" t="s">
        <v>828</v>
      </c>
      <c r="AQ30" s="433" t="s">
        <v>586</v>
      </c>
      <c r="AR30" s="434" t="s">
        <v>827</v>
      </c>
    </row>
    <row r="31" spans="3:44">
      <c r="C31" s="446">
        <f t="shared" si="4"/>
        <v>1026</v>
      </c>
      <c r="D31" s="437">
        <f>VLOOKUP($C31,DSS_Calc!$A:$KL,DSS_Calc!JA$92,FALSE)</f>
        <v>1300</v>
      </c>
      <c r="E31" s="438">
        <f>VLOOKUP($C31,DSS_Calc!$A:$KL,DSS_Calc!JB$92,FALSE)</f>
        <v>1390.3236338876304</v>
      </c>
      <c r="F31" s="439">
        <f>VLOOKUP($C31,DSS_Calc!$A:$KL,DSS_Calc!JC$92,FALSE)</f>
        <v>4388.7164157747848</v>
      </c>
      <c r="G31" s="435"/>
      <c r="H31" s="436"/>
      <c r="I31" s="440">
        <f>VLOOKUP($C31,DSS_Calc!$A:$KL,DSS_Calc!IE$92,FALSE)</f>
        <v>0.27146746875594818</v>
      </c>
      <c r="J31" s="441">
        <f>VLOOKUP($C31,DSS_Calc!$A:$KL,DSS_Calc!IF$92,FALSE)</f>
        <v>0.30163131119308545</v>
      </c>
      <c r="K31" s="442">
        <f>VLOOKUP($C31,DSS_Calc!$A:$KL,DSS_Calc!IG$92,FALSE)</f>
        <v>0.42690122005096637</v>
      </c>
      <c r="M31" s="632">
        <f t="shared" si="0"/>
        <v>9.0323633887630317E-2</v>
      </c>
      <c r="N31" s="447">
        <f t="shared" si="1"/>
        <v>0.52631644272547551</v>
      </c>
      <c r="O31" s="635">
        <f t="shared" si="2"/>
        <v>3.0411776020930095</v>
      </c>
      <c r="P31" s="448">
        <f t="shared" si="3"/>
        <v>0.42690122005096637</v>
      </c>
      <c r="Q31" s="414"/>
      <c r="S31" s="56" t="s">
        <v>616</v>
      </c>
      <c r="T31" s="56" t="s">
        <v>628</v>
      </c>
      <c r="U31" s="56" t="s">
        <v>713</v>
      </c>
      <c r="V31" s="449">
        <v>3174.3611309654793</v>
      </c>
      <c r="W31" s="449">
        <v>5158.1875892761009</v>
      </c>
      <c r="X31" s="449">
        <v>7299.5258724412834</v>
      </c>
      <c r="Y31" s="452">
        <v>0.303916204907556</v>
      </c>
      <c r="Z31" s="452">
        <v>7.1566928665082394E-2</v>
      </c>
      <c r="AA31" s="452">
        <v>0.62451686642736193</v>
      </c>
      <c r="AB31" s="449"/>
      <c r="AC31" s="449">
        <v>25133.593392144721</v>
      </c>
      <c r="AD31" s="449">
        <v>718.51384564709974</v>
      </c>
      <c r="AE31" s="56"/>
      <c r="AF31" s="56"/>
      <c r="AG31" s="56"/>
      <c r="AH31" s="56"/>
      <c r="AI31" s="56"/>
      <c r="AJ31" s="56"/>
      <c r="AK31" s="56"/>
      <c r="AL31" s="56"/>
      <c r="AM31" s="56"/>
      <c r="AN31" s="453">
        <f>X31+IF(AB31=0,0,(AB31-$AB$27)*AC31/100)</f>
        <v>7299.5258724412834</v>
      </c>
      <c r="AO31" s="630" t="e">
        <f>IF(AD31&lt;QC!$B$2,#N/A,IF(AND(V31=0,W31=0,AN31=0),#N/A,IF(AND(($S31&amp;T31)*1&lt;=QC!$D$2,($S31&amp;T31)*1&gt;=QC!$D$1),IF(Z31=0,#N/A,W31/1000-V31/1000),#N/A)))</f>
        <v>#N/A</v>
      </c>
      <c r="AP31" s="455" t="e">
        <f>IF(ISERROR(AO31),#N/A,Z31/(Y31+Z31))</f>
        <v>#N/A</v>
      </c>
      <c r="AQ31" s="629" t="e">
        <f>IF(AD31&lt;QC!$B$2,#N/A,IF(AND(V31=0,W31=0,AN31=0),#N/A,IF(AND(($S31&amp;T31)*1&lt;=QC!$D$2,($S31&amp;T31)*1&gt;=QC!$D$1),IF(AA31=0,#N/A,AN31/1000-((V31/1000*Y31+W31/1000*Z31)/(Y31+Z31))),#N/A)))</f>
        <v>#N/A</v>
      </c>
      <c r="AR31" s="456" t="e">
        <f>IF(ISERROR(AQ31),#N/A,AA31)</f>
        <v>#N/A</v>
      </c>
    </row>
    <row r="32" spans="3:44">
      <c r="C32" s="446">
        <f t="shared" si="4"/>
        <v>1027</v>
      </c>
      <c r="D32" s="437">
        <f>VLOOKUP($C32,DSS_Calc!$A:$KL,DSS_Calc!JA$92,FALSE)</f>
        <v>1299.9999999999998</v>
      </c>
      <c r="E32" s="438">
        <f>VLOOKUP($C32,DSS_Calc!$A:$KL,DSS_Calc!JB$92,FALSE)</f>
        <v>2910.0624533823611</v>
      </c>
      <c r="F32" s="439">
        <f>VLOOKUP($C32,DSS_Calc!$A:$KL,DSS_Calc!JC$92,FALSE)</f>
        <v>4388.7164157747848</v>
      </c>
      <c r="G32" s="435"/>
      <c r="H32" s="436"/>
      <c r="I32" s="440">
        <f>VLOOKUP($C32,DSS_Calc!$A:$KL,DSS_Calc!IE$92,FALSE)</f>
        <v>0.22526796840463748</v>
      </c>
      <c r="J32" s="441">
        <f>VLOOKUP($C32,DSS_Calc!$A:$KL,DSS_Calc!IF$92,FALSE)</f>
        <v>0.39600177505500206</v>
      </c>
      <c r="K32" s="442">
        <f>VLOOKUP($C32,DSS_Calc!$A:$KL,DSS_Calc!IG$92,FALSE)</f>
        <v>0.37873025654036052</v>
      </c>
      <c r="M32" s="632">
        <f t="shared" si="0"/>
        <v>1.6100624533823611</v>
      </c>
      <c r="N32" s="447">
        <f t="shared" si="1"/>
        <v>0.6374071475778027</v>
      </c>
      <c r="O32" s="635">
        <f t="shared" si="2"/>
        <v>2.0624510999422152</v>
      </c>
      <c r="P32" s="448">
        <f t="shared" si="3"/>
        <v>0.37873025654036052</v>
      </c>
      <c r="Q32" s="414"/>
      <c r="S32" s="56" t="s">
        <v>616</v>
      </c>
      <c r="T32" s="56" t="s">
        <v>628</v>
      </c>
      <c r="U32" s="56" t="s">
        <v>616</v>
      </c>
      <c r="V32" s="449">
        <v>738.96152374313613</v>
      </c>
      <c r="W32" s="449">
        <v>1285.1975255482048</v>
      </c>
      <c r="X32" s="449">
        <v>5168.602201618035</v>
      </c>
      <c r="Y32" s="452">
        <v>0.13625667559516341</v>
      </c>
      <c r="Z32" s="452">
        <v>0.16389992968456865</v>
      </c>
      <c r="AA32" s="452">
        <v>0.6998433947202678</v>
      </c>
      <c r="AB32" s="449">
        <v>49.329435879271315</v>
      </c>
      <c r="AC32" s="449">
        <v>28936.684560269008</v>
      </c>
      <c r="AD32" s="449">
        <v>156.9222254323</v>
      </c>
      <c r="AE32" s="56"/>
      <c r="AF32" s="56"/>
      <c r="AG32" s="56"/>
      <c r="AH32" s="56"/>
      <c r="AI32" s="56"/>
      <c r="AJ32" s="56"/>
      <c r="AK32" s="56"/>
      <c r="AL32" s="56"/>
      <c r="AM32" s="56"/>
      <c r="AN32" s="453">
        <f t="shared" ref="AN32:AN95" si="5">X32+IF(AB32=0,0,(AB32-$AB$27)*AC32/100)</f>
        <v>5749.2829145205133</v>
      </c>
      <c r="AO32" s="454" t="e">
        <f>IF(AD32&lt;QC!$B$2,#N/A,IF(AND(V32=0,W32=0,AN32=0),#N/A,IF(AND(($S32&amp;T32)*1&lt;=QC!$D$2,($S32&amp;T32)*1&gt;=QC!$D$1),IF(Z32=0,#N/A,W32/1000-V32/1000),#N/A)))</f>
        <v>#N/A</v>
      </c>
      <c r="AP32" s="455" t="e">
        <f t="shared" ref="AP32:AP95" si="6">IF(ISERROR(AO32),#N/A,Z32/(Y32+Z32))</f>
        <v>#N/A</v>
      </c>
      <c r="AQ32" s="454" t="e">
        <f>IF(AD32&lt;QC!$B$2,#N/A,IF(AND(V32=0,W32=0,AN32=0),#N/A,IF(AND(($S32&amp;T32)*1&lt;=QC!$D$2,($S32&amp;T32)*1&gt;=QC!$D$1),IF(AA32=0,#N/A,AN32/1000-((V32/1000*Y32+W32/1000*Z32)/(Y32+Z32))),#N/A)))</f>
        <v>#N/A</v>
      </c>
      <c r="AR32" s="456" t="e">
        <f t="shared" ref="AR32:AR95" si="7">IF(ISERROR(AQ32),#N/A,AA32)</f>
        <v>#N/A</v>
      </c>
    </row>
    <row r="33" spans="3:44">
      <c r="C33" s="446">
        <f t="shared" si="4"/>
        <v>1028</v>
      </c>
      <c r="D33" s="437">
        <f>VLOOKUP($C33,DSS_Calc!$A:$KL,DSS_Calc!JA$92,FALSE)</f>
        <v>1299.9999999999998</v>
      </c>
      <c r="E33" s="438">
        <f>VLOOKUP($C33,DSS_Calc!$A:$KL,DSS_Calc!JB$92,FALSE)</f>
        <v>3160.0624533823611</v>
      </c>
      <c r="F33" s="439">
        <f>VLOOKUP($C33,DSS_Calc!$A:$KL,DSS_Calc!JC$92,FALSE)</f>
        <v>4388.7164157747848</v>
      </c>
      <c r="G33" s="435"/>
      <c r="H33" s="436"/>
      <c r="I33" s="440">
        <f>VLOOKUP($C33,DSS_Calc!$A:$KL,DSS_Calc!IE$92,FALSE)</f>
        <v>0.2171850946643859</v>
      </c>
      <c r="J33" s="441">
        <f>VLOOKUP($C33,DSS_Calc!$A:$KL,DSS_Calc!IF$92,FALSE)</f>
        <v>0.41154182046943261</v>
      </c>
      <c r="K33" s="442">
        <f>VLOOKUP($C33,DSS_Calc!$A:$KL,DSS_Calc!IG$92,FALSE)</f>
        <v>0.37127308486618149</v>
      </c>
      <c r="M33" s="632">
        <f t="shared" si="0"/>
        <v>1.8600624533823611</v>
      </c>
      <c r="N33" s="447">
        <f t="shared" si="1"/>
        <v>0.6545637073320455</v>
      </c>
      <c r="O33" s="635">
        <f t="shared" si="2"/>
        <v>1.8711870404196871</v>
      </c>
      <c r="P33" s="448">
        <f t="shared" si="3"/>
        <v>0.37127308486618149</v>
      </c>
      <c r="Q33" s="414"/>
      <c r="S33" s="56" t="s">
        <v>616</v>
      </c>
      <c r="T33" s="56" t="s">
        <v>629</v>
      </c>
      <c r="U33" s="56" t="s">
        <v>713</v>
      </c>
      <c r="V33" s="449">
        <v>3187.8295213882093</v>
      </c>
      <c r="W33" s="449">
        <v>5905.4428479109783</v>
      </c>
      <c r="X33" s="449">
        <v>7659.9344512802836</v>
      </c>
      <c r="Y33" s="452">
        <v>0.29347016113212832</v>
      </c>
      <c r="Z33" s="452">
        <v>0.11218477490419551</v>
      </c>
      <c r="AA33" s="452">
        <v>0.59434506396367603</v>
      </c>
      <c r="AB33" s="449"/>
      <c r="AC33" s="449">
        <v>27936.822649574198</v>
      </c>
      <c r="AD33" s="449">
        <v>561.32227293299991</v>
      </c>
      <c r="AE33" s="56"/>
      <c r="AF33" s="56"/>
      <c r="AG33" s="56"/>
      <c r="AH33" s="56"/>
      <c r="AI33" s="56"/>
      <c r="AJ33" s="56"/>
      <c r="AK33" s="56"/>
      <c r="AL33" s="56"/>
      <c r="AM33" s="56"/>
      <c r="AN33" s="453">
        <f t="shared" si="5"/>
        <v>7659.9344512802836</v>
      </c>
      <c r="AO33" s="454" t="e">
        <f>IF(AD33&lt;QC!$B$2,#N/A,IF(AND(V33=0,W33=0,AN33=0),#N/A,IF(AND(($S33&amp;T33)*1&lt;=QC!$D$2,($S33&amp;T33)*1&gt;=QC!$D$1),IF(Z33=0,#N/A,W33/1000-V33/1000),#N/A)))</f>
        <v>#N/A</v>
      </c>
      <c r="AP33" s="455" t="e">
        <f t="shared" si="6"/>
        <v>#N/A</v>
      </c>
      <c r="AQ33" s="454" t="e">
        <f>IF(AD33&lt;QC!$B$2,#N/A,IF(AND(V33=0,W33=0,AN33=0),#N/A,IF(AND(($S33&amp;T33)*1&lt;=QC!$D$2,($S33&amp;T33)*1&gt;=QC!$D$1),IF(AA33=0,#N/A,AN33/1000-((V33/1000*Y33+W33/1000*Z33)/(Y33+Z33))),#N/A)))</f>
        <v>#N/A</v>
      </c>
      <c r="AR33" s="456" t="e">
        <f t="shared" si="7"/>
        <v>#N/A</v>
      </c>
    </row>
    <row r="34" spans="3:44">
      <c r="C34" s="446">
        <f t="shared" si="4"/>
        <v>1029</v>
      </c>
      <c r="D34" s="437">
        <f>VLOOKUP($C34,DSS_Calc!$A:$KL,DSS_Calc!JA$92,FALSE)</f>
        <v>1300</v>
      </c>
      <c r="E34" s="438">
        <f>VLOOKUP($C34,DSS_Calc!$A:$KL,DSS_Calc!JB$92,FALSE)</f>
        <v>2160.0624533823611</v>
      </c>
      <c r="F34" s="439">
        <f>VLOOKUP($C34,DSS_Calc!$A:$KL,DSS_Calc!JC$92,FALSE)</f>
        <v>3668.7164157747848</v>
      </c>
      <c r="G34" s="435"/>
      <c r="H34" s="436"/>
      <c r="I34" s="440">
        <f>VLOOKUP($C34,DSS_Calc!$A:$KL,DSS_Calc!IE$92,FALSE)</f>
        <v>0.33172193567427966</v>
      </c>
      <c r="J34" s="441">
        <f>VLOOKUP($C34,DSS_Calc!$A:$KL,DSS_Calc!IF$92,FALSE)</f>
        <v>0.37879319968763031</v>
      </c>
      <c r="K34" s="442">
        <f>VLOOKUP($C34,DSS_Calc!$A:$KL,DSS_Calc!IG$92,FALSE)</f>
        <v>0.28948486463809009</v>
      </c>
      <c r="M34" s="632">
        <f t="shared" si="0"/>
        <v>0.86006245338236087</v>
      </c>
      <c r="N34" s="447">
        <f t="shared" si="1"/>
        <v>0.5331247440558563</v>
      </c>
      <c r="O34" s="635">
        <f t="shared" si="2"/>
        <v>1.9101958404432617</v>
      </c>
      <c r="P34" s="448">
        <f t="shared" si="3"/>
        <v>0.28948486463809009</v>
      </c>
      <c r="Q34" s="414"/>
      <c r="S34" s="56" t="s">
        <v>616</v>
      </c>
      <c r="T34" s="56" t="s">
        <v>629</v>
      </c>
      <c r="U34" s="56" t="s">
        <v>616</v>
      </c>
      <c r="V34" s="449">
        <v>545.0038692783429</v>
      </c>
      <c r="W34" s="449">
        <v>1589.3447701725906</v>
      </c>
      <c r="X34" s="449">
        <v>5657.8564864436275</v>
      </c>
      <c r="Y34" s="452">
        <v>0.236747352287245</v>
      </c>
      <c r="Z34" s="452">
        <v>1.3572886270841692E-2</v>
      </c>
      <c r="AA34" s="452">
        <v>0.74967976144191351</v>
      </c>
      <c r="AB34" s="449">
        <v>49.107818103076305</v>
      </c>
      <c r="AC34" s="449">
        <v>28165.214017380753</v>
      </c>
      <c r="AD34" s="449">
        <v>523.98627089939987</v>
      </c>
      <c r="AE34" s="56"/>
      <c r="AF34" s="56"/>
      <c r="AG34" s="56"/>
      <c r="AH34" s="56"/>
      <c r="AI34" s="56"/>
      <c r="AJ34" s="56"/>
      <c r="AK34" s="56"/>
      <c r="AL34" s="56"/>
      <c r="AM34" s="56"/>
      <c r="AN34" s="453">
        <f t="shared" si="5"/>
        <v>6160.6367586770402</v>
      </c>
      <c r="AO34" s="454" t="e">
        <f>IF(AD34&lt;QC!$B$2,#N/A,IF(AND(V34=0,W34=0,AN34=0),#N/A,IF(AND(($S34&amp;T34)*1&lt;=QC!$D$2,($S34&amp;T34)*1&gt;=QC!$D$1),IF(Z34=0,#N/A,W34/1000-V34/1000),#N/A)))</f>
        <v>#N/A</v>
      </c>
      <c r="AP34" s="455" t="e">
        <f t="shared" si="6"/>
        <v>#N/A</v>
      </c>
      <c r="AQ34" s="454" t="e">
        <f>IF(AD34&lt;QC!$B$2,#N/A,IF(AND(V34=0,W34=0,AN34=0),#N/A,IF(AND(($S34&amp;T34)*1&lt;=QC!$D$2,($S34&amp;T34)*1&gt;=QC!$D$1),IF(AA34=0,#N/A,AN34/1000-((V34/1000*Y34+W34/1000*Z34)/(Y34+Z34))),#N/A)))</f>
        <v>#N/A</v>
      </c>
      <c r="AR34" s="456" t="e">
        <f t="shared" si="7"/>
        <v>#N/A</v>
      </c>
    </row>
    <row r="35" spans="3:44">
      <c r="C35" s="446">
        <f t="shared" si="4"/>
        <v>1030</v>
      </c>
      <c r="D35" s="437">
        <f>VLOOKUP($C35,DSS_Calc!$A:$KL,DSS_Calc!JA$92,FALSE)</f>
        <v>1300</v>
      </c>
      <c r="E35" s="438">
        <f>VLOOKUP($C35,DSS_Calc!$A:$KL,DSS_Calc!JB$92,FALSE)</f>
        <v>2160.0624533823611</v>
      </c>
      <c r="F35" s="439">
        <f>VLOOKUP($C35,DSS_Calc!$A:$KL,DSS_Calc!JC$92,FALSE)</f>
        <v>5468.7164157747848</v>
      </c>
      <c r="G35" s="435"/>
      <c r="H35" s="436"/>
      <c r="I35" s="440">
        <f>VLOOKUP($C35,DSS_Calc!$A:$KL,DSS_Calc!IE$92,FALSE)</f>
        <v>0.1051194460997433</v>
      </c>
      <c r="J35" s="441">
        <f>VLOOKUP($C35,DSS_Calc!$A:$KL,DSS_Calc!IF$92,FALSE)</f>
        <v>0.30408894520964797</v>
      </c>
      <c r="K35" s="442">
        <f>VLOOKUP($C35,DSS_Calc!$A:$KL,DSS_Calc!IG$92,FALSE)</f>
        <v>0.59079160869060876</v>
      </c>
      <c r="M35" s="632">
        <f t="shared" si="0"/>
        <v>0.86006245338236087</v>
      </c>
      <c r="N35" s="447">
        <f t="shared" si="1"/>
        <v>0.74311512585707129</v>
      </c>
      <c r="O35" s="635">
        <f t="shared" si="2"/>
        <v>3.5295909974846102</v>
      </c>
      <c r="P35" s="448">
        <f t="shared" si="3"/>
        <v>0.59079160869060876</v>
      </c>
      <c r="Q35" s="414"/>
      <c r="S35" s="56" t="s">
        <v>616</v>
      </c>
      <c r="T35" s="56" t="s">
        <v>617</v>
      </c>
      <c r="U35" s="56" t="s">
        <v>713</v>
      </c>
      <c r="V35" s="449">
        <v>2979.6902967876986</v>
      </c>
      <c r="W35" s="449">
        <v>4917.5671514453288</v>
      </c>
      <c r="X35" s="449">
        <v>8964.4319650429625</v>
      </c>
      <c r="Y35" s="452">
        <v>0.40649379422615961</v>
      </c>
      <c r="Z35" s="452">
        <v>4.1135347271746926E-2</v>
      </c>
      <c r="AA35" s="452">
        <v>0.55237085850209333</v>
      </c>
      <c r="AB35" s="449"/>
      <c r="AC35" s="449">
        <v>27592.703814269949</v>
      </c>
      <c r="AD35" s="449">
        <v>489.18940916590014</v>
      </c>
      <c r="AE35" s="56"/>
      <c r="AF35" s="56"/>
      <c r="AG35" s="56"/>
      <c r="AH35" s="56"/>
      <c r="AI35" s="56"/>
      <c r="AJ35" s="56"/>
      <c r="AK35" s="56"/>
      <c r="AL35" s="56"/>
      <c r="AM35" s="56"/>
      <c r="AN35" s="453">
        <f t="shared" si="5"/>
        <v>8964.4319650429625</v>
      </c>
      <c r="AO35" s="454" t="e">
        <f>IF(AD35&lt;QC!$B$2,#N/A,IF(AND(V35=0,W35=0,AN35=0),#N/A,IF(AND(($S35&amp;T35)*1&lt;=QC!$D$2,($S35&amp;T35)*1&gt;=QC!$D$1),IF(Z35=0,#N/A,W35/1000-V35/1000),#N/A)))</f>
        <v>#N/A</v>
      </c>
      <c r="AP35" s="455" t="e">
        <f t="shared" si="6"/>
        <v>#N/A</v>
      </c>
      <c r="AQ35" s="454" t="e">
        <f>IF(AD35&lt;QC!$B$2,#N/A,IF(AND(V35=0,W35=0,AN35=0),#N/A,IF(AND(($S35&amp;T35)*1&lt;=QC!$D$2,($S35&amp;T35)*1&gt;=QC!$D$1),IF(AA35=0,#N/A,AN35/1000-((V35/1000*Y35+W35/1000*Z35)/(Y35+Z35))),#N/A)))</f>
        <v>#N/A</v>
      </c>
      <c r="AR35" s="456" t="e">
        <f t="shared" si="7"/>
        <v>#N/A</v>
      </c>
    </row>
    <row r="36" spans="3:44">
      <c r="C36" s="446">
        <f t="shared" si="4"/>
        <v>1031</v>
      </c>
      <c r="D36" s="437">
        <f>VLOOKUP($C36,DSS_Calc!$A:$KL,DSS_Calc!JA$92,FALSE)</f>
        <v>1550</v>
      </c>
      <c r="E36" s="438">
        <f>VLOOKUP($C36,DSS_Calc!$A:$KL,DSS_Calc!JB$92,FALSE)</f>
        <v>2410.0624533823616</v>
      </c>
      <c r="F36" s="439">
        <f>VLOOKUP($C36,DSS_Calc!$A:$KL,DSS_Calc!JC$92,FALSE)</f>
        <v>4388.7164157747848</v>
      </c>
      <c r="G36" s="435"/>
      <c r="H36" s="436"/>
      <c r="I36" s="440">
        <f>VLOOKUP($C36,DSS_Calc!$A:$KL,DSS_Calc!IE$92,FALSE)</f>
        <v>0.27231116316742204</v>
      </c>
      <c r="J36" s="441">
        <f>VLOOKUP($C36,DSS_Calc!$A:$KL,DSS_Calc!IF$92,FALSE)</f>
        <v>0.35539438951812596</v>
      </c>
      <c r="K36" s="442">
        <f>VLOOKUP($C36,DSS_Calc!$A:$KL,DSS_Calc!IG$92,FALSE)</f>
        <v>0.3722944473144521</v>
      </c>
      <c r="M36" s="632">
        <f t="shared" si="0"/>
        <v>0.86006245338236176</v>
      </c>
      <c r="N36" s="447">
        <f t="shared" si="1"/>
        <v>0.56618009510609257</v>
      </c>
      <c r="O36" s="635">
        <f t="shared" si="2"/>
        <v>2.3517661741215798</v>
      </c>
      <c r="P36" s="448">
        <f t="shared" si="3"/>
        <v>0.3722944473144521</v>
      </c>
      <c r="Q36" s="414"/>
      <c r="S36" s="56" t="s">
        <v>616</v>
      </c>
      <c r="T36" s="56" t="s">
        <v>617</v>
      </c>
      <c r="U36" s="56" t="s">
        <v>616</v>
      </c>
      <c r="V36" s="449">
        <v>1244.7169853361579</v>
      </c>
      <c r="W36" s="449">
        <v>2344.5214229562253</v>
      </c>
      <c r="X36" s="449">
        <v>5249.715563207903</v>
      </c>
      <c r="Y36" s="452">
        <v>0.2334908670605641</v>
      </c>
      <c r="Z36" s="452">
        <v>6.7256870485487258E-2</v>
      </c>
      <c r="AA36" s="452">
        <v>0.69925226245394867</v>
      </c>
      <c r="AB36" s="449">
        <v>50.175604632744957</v>
      </c>
      <c r="AC36" s="449">
        <v>26804.86817098286</v>
      </c>
      <c r="AD36" s="449">
        <v>919.5242889445002</v>
      </c>
      <c r="AE36" s="56"/>
      <c r="AF36" s="56"/>
      <c r="AG36" s="56"/>
      <c r="AH36" s="56"/>
      <c r="AI36" s="56"/>
      <c r="AJ36" s="56"/>
      <c r="AK36" s="56"/>
      <c r="AL36" s="56"/>
      <c r="AM36" s="56"/>
      <c r="AN36" s="453">
        <f t="shared" si="5"/>
        <v>6014.4309266882447</v>
      </c>
      <c r="AO36" s="454" t="e">
        <f>IF(AD36&lt;QC!$B$2,#N/A,IF(AND(V36=0,W36=0,AN36=0),#N/A,IF(AND(($S36&amp;T36)*1&lt;=QC!$D$2,($S36&amp;T36)*1&gt;=QC!$D$1),IF(Z36=0,#N/A,W36/1000-V36/1000),#N/A)))</f>
        <v>#N/A</v>
      </c>
      <c r="AP36" s="455" t="e">
        <f t="shared" si="6"/>
        <v>#N/A</v>
      </c>
      <c r="AQ36" s="454" t="e">
        <f>IF(AD36&lt;QC!$B$2,#N/A,IF(AND(V36=0,W36=0,AN36=0),#N/A,IF(AND(($S36&amp;T36)*1&lt;=QC!$D$2,($S36&amp;T36)*1&gt;=QC!$D$1),IF(AA36=0,#N/A,AN36/1000-((V36/1000*Y36+W36/1000*Z36)/(Y36+Z36))),#N/A)))</f>
        <v>#N/A</v>
      </c>
      <c r="AR36" s="456" t="e">
        <f t="shared" si="7"/>
        <v>#N/A</v>
      </c>
    </row>
    <row r="37" spans="3:44">
      <c r="C37" s="446">
        <f t="shared" si="4"/>
        <v>1032</v>
      </c>
      <c r="D37" s="437">
        <f>VLOOKUP($C37,DSS_Calc!$A:$KL,DSS_Calc!JA$92,FALSE)</f>
        <v>1800.0000000000002</v>
      </c>
      <c r="E37" s="438">
        <f>VLOOKUP($C37,DSS_Calc!$A:$KL,DSS_Calc!JB$92,FALSE)</f>
        <v>2660.0624533823611</v>
      </c>
      <c r="F37" s="439">
        <f>VLOOKUP($C37,DSS_Calc!$A:$KL,DSS_Calc!JC$92,FALSE)</f>
        <v>4388.7164157747848</v>
      </c>
      <c r="G37" s="435"/>
      <c r="H37" s="436"/>
      <c r="I37" s="440">
        <f>VLOOKUP($C37,DSS_Calc!$A:$KL,DSS_Calc!IE$92,FALSE)</f>
        <v>0.29635154046550155</v>
      </c>
      <c r="J37" s="441">
        <f>VLOOKUP($C37,DSS_Calc!$A:$KL,DSS_Calc!IF$92,FALSE)</f>
        <v>0.35828189461115034</v>
      </c>
      <c r="K37" s="442">
        <f>VLOOKUP($C37,DSS_Calc!$A:$KL,DSS_Calc!IG$92,FALSE)</f>
        <v>0.34536656492334805</v>
      </c>
      <c r="M37" s="632">
        <f t="shared" si="0"/>
        <v>0.86006245338236065</v>
      </c>
      <c r="N37" s="447">
        <f t="shared" si="1"/>
        <v>0.54730155139295422</v>
      </c>
      <c r="O37" s="635">
        <f t="shared" si="2"/>
        <v>2.1180029007437882</v>
      </c>
      <c r="P37" s="448">
        <f t="shared" si="3"/>
        <v>0.34536656492334805</v>
      </c>
      <c r="Q37" s="388"/>
      <c r="S37" s="56" t="s">
        <v>616</v>
      </c>
      <c r="T37" s="56" t="s">
        <v>618</v>
      </c>
      <c r="U37" s="56" t="s">
        <v>713</v>
      </c>
      <c r="V37" s="449">
        <v>2936.6231786920862</v>
      </c>
      <c r="W37" s="449">
        <v>3804.0595194410398</v>
      </c>
      <c r="X37" s="449">
        <v>8158.0532494459612</v>
      </c>
      <c r="Y37" s="452">
        <v>0.40452288210785059</v>
      </c>
      <c r="Z37" s="452">
        <v>8.2756880830333092E-3</v>
      </c>
      <c r="AA37" s="452">
        <v>0.58720142980911605</v>
      </c>
      <c r="AB37" s="449"/>
      <c r="AC37" s="449">
        <v>28226.249624529933</v>
      </c>
      <c r="AD37" s="449">
        <v>337.73137196050004</v>
      </c>
      <c r="AE37" s="56"/>
      <c r="AF37" s="56"/>
      <c r="AG37" s="56"/>
      <c r="AH37" s="56"/>
      <c r="AI37" s="56"/>
      <c r="AJ37" s="56"/>
      <c r="AK37" s="56"/>
      <c r="AL37" s="56"/>
      <c r="AM37" s="56"/>
      <c r="AN37" s="453">
        <f t="shared" si="5"/>
        <v>8158.0532494459612</v>
      </c>
      <c r="AO37" s="454" t="e">
        <f>IF(AD37&lt;QC!$B$2,#N/A,IF(AND(V37=0,W37=0,AN37=0),#N/A,IF(AND(($S37&amp;T37)*1&lt;=QC!$D$2,($S37&amp;T37)*1&gt;=QC!$D$1),IF(Z37=0,#N/A,W37/1000-V37/1000),#N/A)))</f>
        <v>#N/A</v>
      </c>
      <c r="AP37" s="455" t="e">
        <f t="shared" si="6"/>
        <v>#N/A</v>
      </c>
      <c r="AQ37" s="454" t="e">
        <f>IF(AD37&lt;QC!$B$2,#N/A,IF(AND(V37=0,W37=0,AN37=0),#N/A,IF(AND(($S37&amp;T37)*1&lt;=QC!$D$2,($S37&amp;T37)*1&gt;=QC!$D$1),IF(AA37=0,#N/A,AN37/1000-((V37/1000*Y37+W37/1000*Z37)/(Y37+Z37))),#N/A)))</f>
        <v>#N/A</v>
      </c>
      <c r="AR37" s="456" t="e">
        <f t="shared" si="7"/>
        <v>#N/A</v>
      </c>
    </row>
    <row r="38" spans="3:44">
      <c r="C38" s="446">
        <f t="shared" si="4"/>
        <v>1033</v>
      </c>
      <c r="D38" s="437">
        <f>VLOOKUP($C38,DSS_Calc!$A:$KL,DSS_Calc!JA$92,FALSE)</f>
        <v>2050</v>
      </c>
      <c r="E38" s="438">
        <f>VLOOKUP($C38,DSS_Calc!$A:$KL,DSS_Calc!JB$92,FALSE)</f>
        <v>2910.0624533823611</v>
      </c>
      <c r="F38" s="439">
        <f>VLOOKUP($C38,DSS_Calc!$A:$KL,DSS_Calc!JC$92,FALSE)</f>
        <v>4388.7164157747848</v>
      </c>
      <c r="G38" s="435"/>
      <c r="H38" s="436"/>
      <c r="I38" s="440">
        <f>VLOOKUP($C38,DSS_Calc!$A:$KL,DSS_Calc!IE$92,FALSE)</f>
        <v>0.31967916169083099</v>
      </c>
      <c r="J38" s="441">
        <f>VLOOKUP($C38,DSS_Calc!$A:$KL,DSS_Calc!IF$92,FALSE)</f>
        <v>0.36054996851422533</v>
      </c>
      <c r="K38" s="442">
        <f>VLOOKUP($C38,DSS_Calc!$A:$KL,DSS_Calc!IG$92,FALSE)</f>
        <v>0.31977086979494368</v>
      </c>
      <c r="M38" s="632">
        <f t="shared" si="0"/>
        <v>0.86006245338236109</v>
      </c>
      <c r="N38" s="447">
        <f t="shared" si="1"/>
        <v>0.5300419410229269</v>
      </c>
      <c r="O38" s="635">
        <f t="shared" si="2"/>
        <v>1.8828472435830572</v>
      </c>
      <c r="P38" s="448">
        <f t="shared" si="3"/>
        <v>0.31977086979494368</v>
      </c>
      <c r="Q38" s="388"/>
      <c r="S38" s="56" t="s">
        <v>616</v>
      </c>
      <c r="T38" s="56" t="s">
        <v>618</v>
      </c>
      <c r="U38" s="56" t="s">
        <v>616</v>
      </c>
      <c r="V38" s="449">
        <v>1395.7150826113998</v>
      </c>
      <c r="W38" s="449">
        <v>2317.387987759987</v>
      </c>
      <c r="X38" s="449">
        <v>5163.0744799886297</v>
      </c>
      <c r="Y38" s="452">
        <v>0.12923269753797026</v>
      </c>
      <c r="Z38" s="452">
        <v>0.13368826840151482</v>
      </c>
      <c r="AA38" s="452">
        <v>0.73707903406051523</v>
      </c>
      <c r="AB38" s="449">
        <v>50.003550832174476</v>
      </c>
      <c r="AC38" s="449">
        <v>25936.64068618809</v>
      </c>
      <c r="AD38" s="449">
        <v>857.3338504958997</v>
      </c>
      <c r="AE38" s="56"/>
      <c r="AF38" s="56"/>
      <c r="AG38" s="56"/>
      <c r="AH38" s="56"/>
      <c r="AI38" s="56"/>
      <c r="AJ38" s="56"/>
      <c r="AK38" s="56"/>
      <c r="AL38" s="56"/>
      <c r="AM38" s="56"/>
      <c r="AN38" s="453">
        <f t="shared" si="5"/>
        <v>5858.3952288540941</v>
      </c>
      <c r="AO38" s="454" t="e">
        <f>IF(AD38&lt;QC!$B$2,#N/A,IF(AND(V38=0,W38=0,AN38=0),#N/A,IF(AND(($S38&amp;T38)*1&lt;=QC!$D$2,($S38&amp;T38)*1&gt;=QC!$D$1),IF(Z38=0,#N/A,W38/1000-V38/1000),#N/A)))</f>
        <v>#N/A</v>
      </c>
      <c r="AP38" s="455" t="e">
        <f t="shared" si="6"/>
        <v>#N/A</v>
      </c>
      <c r="AQ38" s="454" t="e">
        <f>IF(AD38&lt;QC!$B$2,#N/A,IF(AND(V38=0,W38=0,AN38=0),#N/A,IF(AND(($S38&amp;T38)*1&lt;=QC!$D$2,($S38&amp;T38)*1&gt;=QC!$D$1),IF(AA38=0,#N/A,AN38/1000-((V38/1000*Y38+W38/1000*Z38)/(Y38+Z38))),#N/A)))</f>
        <v>#N/A</v>
      </c>
      <c r="AR38" s="456" t="e">
        <f t="shared" si="7"/>
        <v>#N/A</v>
      </c>
    </row>
    <row r="39" spans="3:44">
      <c r="C39" s="446">
        <f t="shared" si="4"/>
        <v>1034</v>
      </c>
      <c r="D39" s="437">
        <f>VLOOKUP($C39,DSS_Calc!$A:$KL,DSS_Calc!JA$92,FALSE)</f>
        <v>2300</v>
      </c>
      <c r="E39" s="438">
        <f>VLOOKUP($C39,DSS_Calc!$A:$KL,DSS_Calc!JB$92,FALSE)</f>
        <v>3160.0624533823607</v>
      </c>
      <c r="F39" s="439">
        <f>VLOOKUP($C39,DSS_Calc!$A:$KL,DSS_Calc!JC$92,FALSE)</f>
        <v>4388.7164157747848</v>
      </c>
      <c r="G39" s="435"/>
      <c r="H39" s="436"/>
      <c r="I39" s="440">
        <f>VLOOKUP($C39,DSS_Calc!$A:$KL,DSS_Calc!IE$92,FALSE)</f>
        <v>0.34214938405407841</v>
      </c>
      <c r="J39" s="441">
        <f>VLOOKUP($C39,DSS_Calc!$A:$KL,DSS_Calc!IF$92,FALSE)</f>
        <v>0.36221419422120454</v>
      </c>
      <c r="K39" s="442">
        <f>VLOOKUP($C39,DSS_Calc!$A:$KL,DSS_Calc!IG$92,FALSE)</f>
        <v>0.29563642172471699</v>
      </c>
      <c r="M39" s="632">
        <f t="shared" si="0"/>
        <v>0.86006245338236065</v>
      </c>
      <c r="N39" s="447">
        <f t="shared" si="1"/>
        <v>0.51424321954313512</v>
      </c>
      <c r="O39" s="635">
        <f t="shared" si="2"/>
        <v>1.6464351307392722</v>
      </c>
      <c r="P39" s="448">
        <f t="shared" si="3"/>
        <v>0.29563642172471699</v>
      </c>
      <c r="Q39" s="388"/>
      <c r="S39" s="56" t="s">
        <v>616</v>
      </c>
      <c r="T39" s="56" t="s">
        <v>619</v>
      </c>
      <c r="U39" s="56" t="s">
        <v>713</v>
      </c>
      <c r="V39" s="449">
        <v>3188.965318262236</v>
      </c>
      <c r="W39" s="449">
        <v>4297.5379616730588</v>
      </c>
      <c r="X39" s="449">
        <v>9008.4591458816667</v>
      </c>
      <c r="Y39" s="452">
        <v>0.27412269593002808</v>
      </c>
      <c r="Z39" s="452">
        <v>4.541198667782468E-2</v>
      </c>
      <c r="AA39" s="452">
        <v>0.68046531739214722</v>
      </c>
      <c r="AB39" s="449"/>
      <c r="AC39" s="449">
        <v>27602.921492709545</v>
      </c>
      <c r="AD39" s="449">
        <v>122.83455073160002</v>
      </c>
      <c r="AE39" s="56"/>
      <c r="AF39" s="56"/>
      <c r="AG39" s="56"/>
      <c r="AH39" s="56"/>
      <c r="AI39" s="56"/>
      <c r="AJ39" s="56"/>
      <c r="AK39" s="56"/>
      <c r="AL39" s="56"/>
      <c r="AM39" s="56"/>
      <c r="AN39" s="453">
        <f t="shared" si="5"/>
        <v>9008.4591458816667</v>
      </c>
      <c r="AO39" s="454" t="e">
        <f>IF(AD39&lt;QC!$B$2,#N/A,IF(AND(V39=0,W39=0,AN39=0),#N/A,IF(AND(($S39&amp;T39)*1&lt;=QC!$D$2,($S39&amp;T39)*1&gt;=QC!$D$1),IF(Z39=0,#N/A,W39/1000-V39/1000),#N/A)))</f>
        <v>#N/A</v>
      </c>
      <c r="AP39" s="455" t="e">
        <f t="shared" si="6"/>
        <v>#N/A</v>
      </c>
      <c r="AQ39" s="454" t="e">
        <f>IF(AD39&lt;QC!$B$2,#N/A,IF(AND(V39=0,W39=0,AN39=0),#N/A,IF(AND(($S39&amp;T39)*1&lt;=QC!$D$2,($S39&amp;T39)*1&gt;=QC!$D$1),IF(AA39=0,#N/A,AN39/1000-((V39/1000*Y39+W39/1000*Z39)/(Y39+Z39))),#N/A)))</f>
        <v>#N/A</v>
      </c>
      <c r="AR39" s="456" t="e">
        <f t="shared" si="7"/>
        <v>#N/A</v>
      </c>
    </row>
    <row r="40" spans="3:44">
      <c r="C40" s="446">
        <f t="shared" si="4"/>
        <v>1035</v>
      </c>
      <c r="D40" s="437">
        <f>VLOOKUP($C40,DSS_Calc!$A:$KL,DSS_Calc!JA$92,FALSE)</f>
        <v>1550</v>
      </c>
      <c r="E40" s="438">
        <f>VLOOKUP($C40,DSS_Calc!$A:$KL,DSS_Calc!JB$92,FALSE)</f>
        <v>2440.1894910073033</v>
      </c>
      <c r="F40" s="439">
        <f>VLOOKUP($C40,DSS_Calc!$A:$KL,DSS_Calc!JC$92,FALSE)</f>
        <v>4388.7164157747848</v>
      </c>
      <c r="G40" s="435"/>
      <c r="H40" s="436"/>
      <c r="I40" s="440">
        <f>VLOOKUP($C40,DSS_Calc!$A:$KL,DSS_Calc!IE$92,FALSE)</f>
        <v>0.26983372765982316</v>
      </c>
      <c r="J40" s="441">
        <f>VLOOKUP($C40,DSS_Calc!$A:$KL,DSS_Calc!IF$92,FALSE)</f>
        <v>0.36039459047714045</v>
      </c>
      <c r="K40" s="442">
        <f>VLOOKUP($C40,DSS_Calc!$A:$KL,DSS_Calc!IG$92,FALSE)</f>
        <v>0.36977168186303644</v>
      </c>
      <c r="M40" s="632">
        <f t="shared" si="0"/>
        <v>0.89018949100730338</v>
      </c>
      <c r="N40" s="447">
        <f t="shared" si="1"/>
        <v>0.57184766235594331</v>
      </c>
      <c r="O40" s="635">
        <f t="shared" si="2"/>
        <v>2.3296636362884313</v>
      </c>
      <c r="P40" s="448">
        <f t="shared" si="3"/>
        <v>0.36977168186303644</v>
      </c>
      <c r="S40" s="56" t="s">
        <v>616</v>
      </c>
      <c r="T40" s="56" t="s">
        <v>619</v>
      </c>
      <c r="U40" s="56" t="s">
        <v>616</v>
      </c>
      <c r="V40" s="449">
        <v>1952.1310066135641</v>
      </c>
      <c r="W40" s="449">
        <v>3993.569771418021</v>
      </c>
      <c r="X40" s="449">
        <v>5407.0158239258262</v>
      </c>
      <c r="Y40" s="452">
        <v>0.15796785370247271</v>
      </c>
      <c r="Z40" s="452">
        <v>0.16325401947925172</v>
      </c>
      <c r="AA40" s="452">
        <v>0.67877812681827576</v>
      </c>
      <c r="AB40" s="449">
        <v>50.948267842943991</v>
      </c>
      <c r="AC40" s="449">
        <v>27411.238452222657</v>
      </c>
      <c r="AD40" s="449">
        <v>1056.1035918365999</v>
      </c>
      <c r="AE40" s="56"/>
      <c r="AF40" s="56"/>
      <c r="AG40" s="56"/>
      <c r="AH40" s="56"/>
      <c r="AI40" s="56"/>
      <c r="AJ40" s="56"/>
      <c r="AK40" s="56"/>
      <c r="AL40" s="56"/>
      <c r="AM40" s="56"/>
      <c r="AN40" s="453">
        <f t="shared" si="5"/>
        <v>6400.826863839442</v>
      </c>
      <c r="AO40" s="454" t="e">
        <f>IF(AD40&lt;QC!$B$2,#N/A,IF(AND(V40=0,W40=0,AN40=0),#N/A,IF(AND(($S40&amp;T40)*1&lt;=QC!$D$2,($S40&amp;T40)*1&gt;=QC!$D$1),IF(Z40=0,#N/A,W40/1000-V40/1000),#N/A)))</f>
        <v>#N/A</v>
      </c>
      <c r="AP40" s="455" t="e">
        <f t="shared" si="6"/>
        <v>#N/A</v>
      </c>
      <c r="AQ40" s="454" t="e">
        <f>IF(AD40&lt;QC!$B$2,#N/A,IF(AND(V40=0,W40=0,AN40=0),#N/A,IF(AND(($S40&amp;T40)*1&lt;=QC!$D$2,($S40&amp;T40)*1&gt;=QC!$D$1),IF(AA40=0,#N/A,AN40/1000-((V40/1000*Y40+W40/1000*Z40)/(Y40+Z40))),#N/A)))</f>
        <v>#N/A</v>
      </c>
      <c r="AR40" s="456" t="e">
        <f t="shared" si="7"/>
        <v>#N/A</v>
      </c>
    </row>
    <row r="41" spans="3:44">
      <c r="C41" s="446">
        <f t="shared" si="4"/>
        <v>1036</v>
      </c>
      <c r="D41" s="437">
        <f>VLOOKUP($C41,DSS_Calc!$A:$KL,DSS_Calc!JA$92,FALSE)</f>
        <v>1800.0000000000002</v>
      </c>
      <c r="E41" s="438">
        <f>VLOOKUP($C41,DSS_Calc!$A:$KL,DSS_Calc!JB$92,FALSE)</f>
        <v>2440.1894910073033</v>
      </c>
      <c r="F41" s="439">
        <f>VLOOKUP($C41,DSS_Calc!$A:$KL,DSS_Calc!JC$92,FALSE)</f>
        <v>4388.7164157747848</v>
      </c>
      <c r="G41" s="435"/>
      <c r="H41" s="436"/>
      <c r="I41" s="440">
        <f>VLOOKUP($C41,DSS_Calc!$A:$KL,DSS_Calc!IE$92,FALSE)</f>
        <v>0.30186263608594599</v>
      </c>
      <c r="J41" s="441">
        <f>VLOOKUP($C41,DSS_Calc!$A:$KL,DSS_Calc!IF$92,FALSE)</f>
        <v>0.34902583724856256</v>
      </c>
      <c r="K41" s="442">
        <f>VLOOKUP($C41,DSS_Calc!$A:$KL,DSS_Calc!IG$92,FALSE)</f>
        <v>0.34911152666549145</v>
      </c>
      <c r="M41" s="632">
        <f t="shared" si="0"/>
        <v>0.64018949100730316</v>
      </c>
      <c r="N41" s="447">
        <f t="shared" si="1"/>
        <v>0.53622986355941971</v>
      </c>
      <c r="O41" s="635">
        <f t="shared" si="2"/>
        <v>2.2454276923597645</v>
      </c>
      <c r="P41" s="448">
        <f t="shared" si="3"/>
        <v>0.34911152666549145</v>
      </c>
      <c r="S41" s="56" t="s">
        <v>616</v>
      </c>
      <c r="T41" s="56" t="s">
        <v>620</v>
      </c>
      <c r="U41" s="56" t="s">
        <v>713</v>
      </c>
      <c r="V41" s="449">
        <v>3037.7970483357071</v>
      </c>
      <c r="W41" s="449">
        <v>4642.2904090388292</v>
      </c>
      <c r="X41" s="449">
        <v>8541.0327788565555</v>
      </c>
      <c r="Y41" s="452">
        <v>0.35246512430795779</v>
      </c>
      <c r="Z41" s="452">
        <v>0.25619382815221331</v>
      </c>
      <c r="AA41" s="452">
        <v>0.39134104753982918</v>
      </c>
      <c r="AB41" s="449"/>
      <c r="AC41" s="449">
        <v>26850.269015347749</v>
      </c>
      <c r="AD41" s="449">
        <v>113.47454070449997</v>
      </c>
      <c r="AE41" s="56"/>
      <c r="AF41" s="56"/>
      <c r="AG41" s="56"/>
      <c r="AH41" s="56"/>
      <c r="AI41" s="56"/>
      <c r="AJ41" s="56"/>
      <c r="AK41" s="56"/>
      <c r="AL41" s="56"/>
      <c r="AM41" s="56"/>
      <c r="AN41" s="453">
        <f t="shared" si="5"/>
        <v>8541.0327788565555</v>
      </c>
      <c r="AO41" s="454" t="e">
        <f>IF(AD41&lt;QC!$B$2,#N/A,IF(AND(V41=0,W41=0,AN41=0),#N/A,IF(AND(($S41&amp;T41)*1&lt;=QC!$D$2,($S41&amp;T41)*1&gt;=QC!$D$1),IF(Z41=0,#N/A,W41/1000-V41/1000),#N/A)))</f>
        <v>#N/A</v>
      </c>
      <c r="AP41" s="455" t="e">
        <f t="shared" si="6"/>
        <v>#N/A</v>
      </c>
      <c r="AQ41" s="454" t="e">
        <f>IF(AD41&lt;QC!$B$2,#N/A,IF(AND(V41=0,W41=0,AN41=0),#N/A,IF(AND(($S41&amp;T41)*1&lt;=QC!$D$2,($S41&amp;T41)*1&gt;=QC!$D$1),IF(AA41=0,#N/A,AN41/1000-((V41/1000*Y41+W41/1000*Z41)/(Y41+Z41))),#N/A)))</f>
        <v>#N/A</v>
      </c>
      <c r="AR41" s="456" t="e">
        <f t="shared" si="7"/>
        <v>#N/A</v>
      </c>
    </row>
    <row r="42" spans="3:44">
      <c r="C42" s="446">
        <f t="shared" si="4"/>
        <v>1037</v>
      </c>
      <c r="D42" s="437">
        <f>VLOOKUP($C42,DSS_Calc!$A:$KL,DSS_Calc!JA$92,FALSE)</f>
        <v>2050</v>
      </c>
      <c r="E42" s="438">
        <f>VLOOKUP($C42,DSS_Calc!$A:$KL,DSS_Calc!JB$92,FALSE)</f>
        <v>2440.1894910073038</v>
      </c>
      <c r="F42" s="439">
        <f>VLOOKUP($C42,DSS_Calc!$A:$KL,DSS_Calc!JC$92,FALSE)</f>
        <v>4388.7164157747848</v>
      </c>
      <c r="G42" s="435"/>
      <c r="H42" s="436"/>
      <c r="I42" s="440">
        <f>VLOOKUP($C42,DSS_Calc!$A:$KL,DSS_Calc!IE$92,FALSE)</f>
        <v>0.33391287124318308</v>
      </c>
      <c r="J42" s="441">
        <f>VLOOKUP($C42,DSS_Calc!$A:$KL,DSS_Calc!IF$92,FALSE)</f>
        <v>0.33743402712163267</v>
      </c>
      <c r="K42" s="442">
        <f>VLOOKUP($C42,DSS_Calc!$A:$KL,DSS_Calc!IG$92,FALSE)</f>
        <v>0.32865310163518419</v>
      </c>
      <c r="M42" s="632">
        <f t="shared" si="0"/>
        <v>0.39018949100730405</v>
      </c>
      <c r="N42" s="447">
        <f t="shared" si="1"/>
        <v>0.50262245635380609</v>
      </c>
      <c r="O42" s="635">
        <f t="shared" si="2"/>
        <v>2.1425984153612525</v>
      </c>
      <c r="P42" s="448">
        <f t="shared" si="3"/>
        <v>0.32865310163518419</v>
      </c>
      <c r="S42" s="56" t="s">
        <v>616</v>
      </c>
      <c r="T42" s="56" t="s">
        <v>620</v>
      </c>
      <c r="U42" s="56" t="s">
        <v>616</v>
      </c>
      <c r="V42" s="449">
        <v>1999.9999999999995</v>
      </c>
      <c r="W42" s="449">
        <v>3959.2550807709285</v>
      </c>
      <c r="X42" s="449">
        <v>5818.4551580293528</v>
      </c>
      <c r="Y42" s="452">
        <v>0.15797236958213118</v>
      </c>
      <c r="Z42" s="452">
        <v>0.16020769857285241</v>
      </c>
      <c r="AA42" s="452">
        <v>0.68181993184501655</v>
      </c>
      <c r="AB42" s="449">
        <v>50.678233763713102</v>
      </c>
      <c r="AC42" s="449">
        <v>26640.238676363115</v>
      </c>
      <c r="AD42" s="449">
        <v>1017.2223784232996</v>
      </c>
      <c r="AE42" s="56"/>
      <c r="AF42" s="56"/>
      <c r="AG42" s="56"/>
      <c r="AH42" s="56"/>
      <c r="AI42" s="56"/>
      <c r="AJ42" s="56"/>
      <c r="AK42" s="56"/>
      <c r="AL42" s="56"/>
      <c r="AM42" s="56"/>
      <c r="AN42" s="453">
        <f t="shared" si="5"/>
        <v>6712.3754112301085</v>
      </c>
      <c r="AO42" s="454" t="e">
        <f>IF(AD42&lt;QC!$B$2,#N/A,IF(AND(V42=0,W42=0,AN42=0),#N/A,IF(AND(($S42&amp;T42)*1&lt;=QC!$D$2,($S42&amp;T42)*1&gt;=QC!$D$1),IF(Z42=0,#N/A,W42/1000-V42/1000),#N/A)))</f>
        <v>#N/A</v>
      </c>
      <c r="AP42" s="455" t="e">
        <f t="shared" si="6"/>
        <v>#N/A</v>
      </c>
      <c r="AQ42" s="454" t="e">
        <f>IF(AD42&lt;QC!$B$2,#N/A,IF(AND(V42=0,W42=0,AN42=0),#N/A,IF(AND(($S42&amp;T42)*1&lt;=QC!$D$2,($S42&amp;T42)*1&gt;=QC!$D$1),IF(AA42=0,#N/A,AN42/1000-((V42/1000*Y42+W42/1000*Z42)/(Y42+Z42))),#N/A)))</f>
        <v>#N/A</v>
      </c>
      <c r="AR42" s="456" t="e">
        <f t="shared" si="7"/>
        <v>#N/A</v>
      </c>
    </row>
    <row r="43" spans="3:44">
      <c r="C43" s="446">
        <f t="shared" si="4"/>
        <v>1038</v>
      </c>
      <c r="D43" s="437">
        <f>VLOOKUP($C43,DSS_Calc!$A:$KL,DSS_Calc!JA$92,FALSE)</f>
        <v>2300</v>
      </c>
      <c r="E43" s="438">
        <f>VLOOKUP($C43,DSS_Calc!$A:$KL,DSS_Calc!JB$92,FALSE)</f>
        <v>2440.1894910073038</v>
      </c>
      <c r="F43" s="439">
        <f>VLOOKUP($C43,DSS_Calc!$A:$KL,DSS_Calc!JC$92,FALSE)</f>
        <v>4388.7164157747848</v>
      </c>
      <c r="G43" s="435"/>
      <c r="H43" s="436"/>
      <c r="I43" s="440">
        <f>VLOOKUP($C43,DSS_Calc!$A:$KL,DSS_Calc!IE$92,FALSE)</f>
        <v>0.36569986994899023</v>
      </c>
      <c r="J43" s="441">
        <f>VLOOKUP($C43,DSS_Calc!$A:$KL,DSS_Calc!IF$92,FALSE)</f>
        <v>0.32568805722923005</v>
      </c>
      <c r="K43" s="442">
        <f>VLOOKUP($C43,DSS_Calc!$A:$KL,DSS_Calc!IG$92,FALSE)</f>
        <v>0.30861207282177966</v>
      </c>
      <c r="M43" s="632">
        <f t="shared" si="0"/>
        <v>0.14018949100730405</v>
      </c>
      <c r="N43" s="447">
        <f t="shared" si="1"/>
        <v>0.47106413697223393</v>
      </c>
      <c r="O43" s="635">
        <f t="shared" si="2"/>
        <v>2.0226781741808528</v>
      </c>
      <c r="P43" s="448">
        <f t="shared" si="3"/>
        <v>0.30861207282177966</v>
      </c>
      <c r="S43" s="56" t="s">
        <v>616</v>
      </c>
      <c r="T43" s="56" t="s">
        <v>621</v>
      </c>
      <c r="U43" s="56" t="s">
        <v>713</v>
      </c>
      <c r="V43" s="449">
        <v>3000.0000000000005</v>
      </c>
      <c r="W43" s="449"/>
      <c r="X43" s="449">
        <v>8228.4537114611448</v>
      </c>
      <c r="Y43" s="452">
        <v>0.61752800005675335</v>
      </c>
      <c r="Z43" s="452">
        <v>0</v>
      </c>
      <c r="AA43" s="452">
        <v>0.38247199994324688</v>
      </c>
      <c r="AB43" s="449"/>
      <c r="AC43" s="449">
        <v>26016.136959719279</v>
      </c>
      <c r="AD43" s="449">
        <v>31.282427584699995</v>
      </c>
      <c r="AE43" s="56"/>
      <c r="AF43" s="56"/>
      <c r="AG43" s="56"/>
      <c r="AH43" s="56"/>
      <c r="AI43" s="56"/>
      <c r="AJ43" s="56"/>
      <c r="AK43" s="56"/>
      <c r="AL43" s="56"/>
      <c r="AM43" s="56"/>
      <c r="AN43" s="453">
        <f t="shared" si="5"/>
        <v>8228.4537114611448</v>
      </c>
      <c r="AO43" s="454" t="e">
        <f>IF(AD43&lt;QC!$B$2,#N/A,IF(AND(V43=0,W43=0,AN43=0),#N/A,IF(AND(($S43&amp;T43)*1&lt;=QC!$D$2,($S43&amp;T43)*1&gt;=QC!$D$1),IF(Z43=0,#N/A,W43/1000-V43/1000),#N/A)))</f>
        <v>#N/A</v>
      </c>
      <c r="AP43" s="455" t="e">
        <f t="shared" si="6"/>
        <v>#N/A</v>
      </c>
      <c r="AQ43" s="454" t="e">
        <f>IF(AD43&lt;QC!$B$2,#N/A,IF(AND(V43=0,W43=0,AN43=0),#N/A,IF(AND(($S43&amp;T43)*1&lt;=QC!$D$2,($S43&amp;T43)*1&gt;=QC!$D$1),IF(AA43=0,#N/A,AN43/1000-((V43/1000*Y43+W43/1000*Z43)/(Y43+Z43))),#N/A)))</f>
        <v>#N/A</v>
      </c>
      <c r="AR43" s="456" t="e">
        <f t="shared" si="7"/>
        <v>#N/A</v>
      </c>
    </row>
    <row r="44" spans="3:44">
      <c r="C44" s="446">
        <f t="shared" si="4"/>
        <v>1039</v>
      </c>
      <c r="D44" s="437">
        <f>VLOOKUP($C44,DSS_Calc!$A:$KL,DSS_Calc!JA$92,FALSE)</f>
        <v>1550.0000000000002</v>
      </c>
      <c r="E44" s="438">
        <f>VLOOKUP($C44,DSS_Calc!$A:$KL,DSS_Calc!JB$92,FALSE)</f>
        <v>2160.0624533823616</v>
      </c>
      <c r="F44" s="439">
        <f>VLOOKUP($C44,DSS_Calc!$A:$KL,DSS_Calc!JC$92,FALSE)</f>
        <v>4748.7164157747848</v>
      </c>
      <c r="G44" s="435"/>
      <c r="H44" s="436"/>
      <c r="I44" s="440">
        <f>VLOOKUP($C44,DSS_Calc!$A:$KL,DSS_Calc!IE$92,FALSE)</f>
        <v>0.23318960480903245</v>
      </c>
      <c r="J44" s="441">
        <f>VLOOKUP($C44,DSS_Calc!$A:$KL,DSS_Calc!IF$92,FALSE)</f>
        <v>0.32771046816275168</v>
      </c>
      <c r="K44" s="442">
        <f>VLOOKUP($C44,DSS_Calc!$A:$KL,DSS_Calc!IG$92,FALSE)</f>
        <v>0.43909992702821576</v>
      </c>
      <c r="M44" s="632">
        <f t="shared" si="0"/>
        <v>0.61006245338236154</v>
      </c>
      <c r="N44" s="447">
        <f t="shared" si="1"/>
        <v>0.58425820204740286</v>
      </c>
      <c r="O44" s="635">
        <f t="shared" si="2"/>
        <v>2.8422824236249791</v>
      </c>
      <c r="P44" s="448">
        <f t="shared" si="3"/>
        <v>0.43909992702821576</v>
      </c>
      <c r="S44" s="56" t="s">
        <v>616</v>
      </c>
      <c r="T44" s="56" t="s">
        <v>621</v>
      </c>
      <c r="U44" s="56" t="s">
        <v>616</v>
      </c>
      <c r="V44" s="449">
        <v>2107.0034737267847</v>
      </c>
      <c r="W44" s="449">
        <v>4213.7742808842722</v>
      </c>
      <c r="X44" s="449">
        <v>6413.2725181753231</v>
      </c>
      <c r="Y44" s="452">
        <v>0.2216677541090952</v>
      </c>
      <c r="Z44" s="452">
        <v>7.7771971732379513E-2</v>
      </c>
      <c r="AA44" s="452">
        <v>0.70056027415852562</v>
      </c>
      <c r="AB44" s="449">
        <v>49.734980689313502</v>
      </c>
      <c r="AC44" s="449">
        <v>26189.213708522355</v>
      </c>
      <c r="AD44" s="449">
        <v>941.59174015529948</v>
      </c>
      <c r="AE44" s="56"/>
      <c r="AF44" s="56"/>
      <c r="AG44" s="56"/>
      <c r="AH44" s="56"/>
      <c r="AI44" s="56"/>
      <c r="AJ44" s="56"/>
      <c r="AK44" s="56"/>
      <c r="AL44" s="56"/>
      <c r="AM44" s="56"/>
      <c r="AN44" s="453">
        <f t="shared" si="5"/>
        <v>7045.0279458499972</v>
      </c>
      <c r="AO44" s="454" t="e">
        <f>IF(AD44&lt;QC!$B$2,#N/A,IF(AND(V44=0,W44=0,AN44=0),#N/A,IF(AND(($S44&amp;T44)*1&lt;=QC!$D$2,($S44&amp;T44)*1&gt;=QC!$D$1),IF(Z44=0,#N/A,W44/1000-V44/1000),#N/A)))</f>
        <v>#N/A</v>
      </c>
      <c r="AP44" s="455" t="e">
        <f t="shared" si="6"/>
        <v>#N/A</v>
      </c>
      <c r="AQ44" s="454" t="e">
        <f>IF(AD44&lt;QC!$B$2,#N/A,IF(AND(V44=0,W44=0,AN44=0),#N/A,IF(AND(($S44&amp;T44)*1&lt;=QC!$D$2,($S44&amp;T44)*1&gt;=QC!$D$1),IF(AA44=0,#N/A,AN44/1000-((V44/1000*Y44+W44/1000*Z44)/(Y44+Z44))),#N/A)))</f>
        <v>#N/A</v>
      </c>
      <c r="AR44" s="456" t="e">
        <f t="shared" si="7"/>
        <v>#N/A</v>
      </c>
    </row>
    <row r="45" spans="3:44">
      <c r="C45" s="446">
        <f t="shared" si="4"/>
        <v>1040</v>
      </c>
      <c r="D45" s="437">
        <f>VLOOKUP($C45,DSS_Calc!$A:$KL,DSS_Calc!JA$92,FALSE)</f>
        <v>1800</v>
      </c>
      <c r="E45" s="438">
        <f>VLOOKUP($C45,DSS_Calc!$A:$KL,DSS_Calc!JB$92,FALSE)</f>
        <v>2160.0624533823616</v>
      </c>
      <c r="F45" s="439">
        <f>VLOOKUP($C45,DSS_Calc!$A:$KL,DSS_Calc!JC$92,FALSE)</f>
        <v>4748.7164157747848</v>
      </c>
      <c r="G45" s="435"/>
      <c r="H45" s="436"/>
      <c r="I45" s="440">
        <f>VLOOKUP($C45,DSS_Calc!$A:$KL,DSS_Calc!IE$92,FALSE)</f>
        <v>0.26553311039864075</v>
      </c>
      <c r="J45" s="441">
        <f>VLOOKUP($C45,DSS_Calc!$A:$KL,DSS_Calc!IF$92,FALSE)</f>
        <v>0.31815473144980799</v>
      </c>
      <c r="K45" s="442">
        <f>VLOOKUP($C45,DSS_Calc!$A:$KL,DSS_Calc!IG$92,FALSE)</f>
        <v>0.41631215815155131</v>
      </c>
      <c r="M45" s="632">
        <f t="shared" si="0"/>
        <v>0.36006245338236176</v>
      </c>
      <c r="N45" s="447">
        <f t="shared" si="1"/>
        <v>0.54507685211030155</v>
      </c>
      <c r="O45" s="635">
        <f t="shared" si="2"/>
        <v>2.7524547071220153</v>
      </c>
      <c r="P45" s="448">
        <f t="shared" si="3"/>
        <v>0.41631215815155131</v>
      </c>
      <c r="S45" s="56" t="s">
        <v>616</v>
      </c>
      <c r="T45" s="56" t="s">
        <v>622</v>
      </c>
      <c r="U45" s="56" t="s">
        <v>713</v>
      </c>
      <c r="V45" s="449">
        <v>3000</v>
      </c>
      <c r="W45" s="449"/>
      <c r="X45" s="449">
        <v>8119.9771048787861</v>
      </c>
      <c r="Y45" s="452">
        <v>0.46146791124455627</v>
      </c>
      <c r="Z45" s="452">
        <v>0</v>
      </c>
      <c r="AA45" s="452">
        <v>0.53853208875544378</v>
      </c>
      <c r="AB45" s="449"/>
      <c r="AC45" s="449">
        <v>23889.999999</v>
      </c>
      <c r="AD45" s="449">
        <v>12.0334444998</v>
      </c>
      <c r="AE45" s="56"/>
      <c r="AF45" s="56"/>
      <c r="AG45" s="56"/>
      <c r="AH45" s="56"/>
      <c r="AI45" s="56"/>
      <c r="AJ45" s="56"/>
      <c r="AK45" s="56"/>
      <c r="AL45" s="56"/>
      <c r="AM45" s="56"/>
      <c r="AN45" s="453">
        <f t="shared" si="5"/>
        <v>8119.9771048787861</v>
      </c>
      <c r="AO45" s="454" t="e">
        <f>IF(AD45&lt;QC!$B$2,#N/A,IF(AND(V45=0,W45=0,AN45=0),#N/A,IF(AND(($S45&amp;T45)*1&lt;=QC!$D$2,($S45&amp;T45)*1&gt;=QC!$D$1),IF(Z45=0,#N/A,W45/1000-V45/1000),#N/A)))</f>
        <v>#N/A</v>
      </c>
      <c r="AP45" s="455" t="e">
        <f t="shared" si="6"/>
        <v>#N/A</v>
      </c>
      <c r="AQ45" s="454" t="e">
        <f>IF(AD45&lt;QC!$B$2,#N/A,IF(AND(V45=0,W45=0,AN45=0),#N/A,IF(AND(($S45&amp;T45)*1&lt;=QC!$D$2,($S45&amp;T45)*1&gt;=QC!$D$1),IF(AA45=0,#N/A,AN45/1000-((V45/1000*Y45+W45/1000*Z45)/(Y45+Z45))),#N/A)))</f>
        <v>#N/A</v>
      </c>
      <c r="AR45" s="456" t="e">
        <f t="shared" si="7"/>
        <v>#N/A</v>
      </c>
    </row>
    <row r="46" spans="3:44">
      <c r="C46" s="446">
        <f t="shared" si="4"/>
        <v>1041</v>
      </c>
      <c r="D46" s="437">
        <f>VLOOKUP($C46,DSS_Calc!$A:$KL,DSS_Calc!JA$92,FALSE)</f>
        <v>2050</v>
      </c>
      <c r="E46" s="438">
        <f>VLOOKUP($C46,DSS_Calc!$A:$KL,DSS_Calc!JB$92,FALSE)</f>
        <v>2160.0624533823611</v>
      </c>
      <c r="F46" s="439">
        <f>VLOOKUP($C46,DSS_Calc!$A:$KL,DSS_Calc!JC$92,FALSE)</f>
        <v>4748.7164157747848</v>
      </c>
      <c r="G46" s="435"/>
      <c r="H46" s="436"/>
      <c r="I46" s="440">
        <f>VLOOKUP($C46,DSS_Calc!$A:$KL,DSS_Calc!IE$92,FALSE)</f>
        <v>0.29826084740937159</v>
      </c>
      <c r="J46" s="441">
        <f>VLOOKUP($C46,DSS_Calc!$A:$KL,DSS_Calc!IF$92,FALSE)</f>
        <v>0.30832561791960428</v>
      </c>
      <c r="K46" s="442">
        <f>VLOOKUP($C46,DSS_Calc!$A:$KL,DSS_Calc!IG$92,FALSE)</f>
        <v>0.39341353467102413</v>
      </c>
      <c r="M46" s="632">
        <f t="shared" si="0"/>
        <v>0.11006245338236109</v>
      </c>
      <c r="N46" s="447">
        <f t="shared" si="1"/>
        <v>0.5082962372930413</v>
      </c>
      <c r="O46" s="635">
        <f t="shared" si="2"/>
        <v>2.6427720848532905</v>
      </c>
      <c r="P46" s="448">
        <f t="shared" si="3"/>
        <v>0.39341353467102413</v>
      </c>
      <c r="S46" s="56" t="s">
        <v>616</v>
      </c>
      <c r="T46" s="56" t="s">
        <v>622</v>
      </c>
      <c r="U46" s="56" t="s">
        <v>616</v>
      </c>
      <c r="V46" s="449">
        <v>2503.0613522710755</v>
      </c>
      <c r="W46" s="449">
        <v>4304.8830668102319</v>
      </c>
      <c r="X46" s="449">
        <v>6411.8333834354535</v>
      </c>
      <c r="Y46" s="452">
        <v>0.20545878802989107</v>
      </c>
      <c r="Z46" s="452">
        <v>0.10519667401144429</v>
      </c>
      <c r="AA46" s="452">
        <v>0.68934453795866502</v>
      </c>
      <c r="AB46" s="449">
        <v>50.082316132978349</v>
      </c>
      <c r="AC46" s="449">
        <v>25978.662004835711</v>
      </c>
      <c r="AD46" s="449">
        <v>1133.8329466739992</v>
      </c>
      <c r="AE46" s="56"/>
      <c r="AF46" s="56"/>
      <c r="AG46" s="56"/>
      <c r="AH46" s="56"/>
      <c r="AI46" s="56"/>
      <c r="AJ46" s="56"/>
      <c r="AK46" s="56"/>
      <c r="AL46" s="56"/>
      <c r="AM46" s="56"/>
      <c r="AN46" s="453">
        <f t="shared" si="5"/>
        <v>7128.7428293681442</v>
      </c>
      <c r="AO46" s="454" t="e">
        <f>IF(AD46&lt;QC!$B$2,#N/A,IF(AND(V46=0,W46=0,AN46=0),#N/A,IF(AND(($S46&amp;T46)*1&lt;=QC!$D$2,($S46&amp;T46)*1&gt;=QC!$D$1),IF(Z46=0,#N/A,W46/1000-V46/1000),#N/A)))</f>
        <v>#N/A</v>
      </c>
      <c r="AP46" s="455" t="e">
        <f t="shared" si="6"/>
        <v>#N/A</v>
      </c>
      <c r="AQ46" s="454" t="e">
        <f>IF(AD46&lt;QC!$B$2,#N/A,IF(AND(V46=0,W46=0,AN46=0),#N/A,IF(AND(($S46&amp;T46)*1&lt;=QC!$D$2,($S46&amp;T46)*1&gt;=QC!$D$1),IF(AA46=0,#N/A,AN46/1000-((V46/1000*Y46+W46/1000*Z46)/(Y46+Z46))),#N/A)))</f>
        <v>#N/A</v>
      </c>
      <c r="AR46" s="456" t="e">
        <f t="shared" si="7"/>
        <v>#N/A</v>
      </c>
    </row>
    <row r="47" spans="3:44">
      <c r="C47" s="446">
        <f t="shared" si="4"/>
        <v>1042</v>
      </c>
      <c r="D47" s="437">
        <f>VLOOKUP($C47,DSS_Calc!$A:$KL,DSS_Calc!JA$92,FALSE)</f>
        <v>2300.0000000000005</v>
      </c>
      <c r="E47" s="438">
        <f>VLOOKUP($C47,DSS_Calc!$A:$KL,DSS_Calc!JB$92,FALSE)</f>
        <v>2160.062453382362</v>
      </c>
      <c r="F47" s="439">
        <f>VLOOKUP($C47,DSS_Calc!$A:$KL,DSS_Calc!JC$92,FALSE)</f>
        <v>4748.7164157747848</v>
      </c>
      <c r="G47" s="435"/>
      <c r="H47" s="436"/>
      <c r="I47" s="440">
        <f>VLOOKUP($C47,DSS_Calc!$A:$KL,DSS_Calc!IE$92,FALSE)</f>
        <v>0.33105931424473056</v>
      </c>
      <c r="J47" s="441">
        <f>VLOOKUP($C47,DSS_Calc!$A:$KL,DSS_Calc!IF$92,FALSE)</f>
        <v>0.2982781769680295</v>
      </c>
      <c r="K47" s="442">
        <f>VLOOKUP($C47,DSS_Calc!$A:$KL,DSS_Calc!IG$92,FALSE)</f>
        <v>0.37066250878723994</v>
      </c>
      <c r="M47" s="632">
        <f t="shared" si="0"/>
        <v>-0.13993754661763802</v>
      </c>
      <c r="N47" s="447">
        <f t="shared" si="1"/>
        <v>0.47395583630848814</v>
      </c>
      <c r="O47" s="635">
        <f t="shared" si="2"/>
        <v>2.5150406327129056</v>
      </c>
      <c r="P47" s="448">
        <f t="shared" si="3"/>
        <v>0.37066250878723994</v>
      </c>
      <c r="S47" s="56" t="s">
        <v>616</v>
      </c>
      <c r="T47" s="56" t="s">
        <v>624</v>
      </c>
      <c r="U47" s="56" t="s">
        <v>713</v>
      </c>
      <c r="V47" s="449">
        <v>499.99999999999994</v>
      </c>
      <c r="W47" s="449"/>
      <c r="X47" s="449">
        <v>12889.327811496474</v>
      </c>
      <c r="Y47" s="452">
        <v>0.73071246990450955</v>
      </c>
      <c r="Z47" s="452">
        <v>0</v>
      </c>
      <c r="AA47" s="452">
        <v>0.2692875300954905</v>
      </c>
      <c r="AB47" s="449"/>
      <c r="AC47" s="449">
        <v>23185</v>
      </c>
      <c r="AD47" s="449">
        <v>23.7743269825</v>
      </c>
      <c r="AE47" s="56"/>
      <c r="AF47" s="56"/>
      <c r="AG47" s="56"/>
      <c r="AH47" s="56"/>
      <c r="AI47" s="56"/>
      <c r="AJ47" s="56"/>
      <c r="AK47" s="56"/>
      <c r="AL47" s="56"/>
      <c r="AM47" s="56"/>
      <c r="AN47" s="453">
        <f t="shared" si="5"/>
        <v>12889.327811496474</v>
      </c>
      <c r="AO47" s="454" t="e">
        <f>IF(AD47&lt;QC!$B$2,#N/A,IF(AND(V47=0,W47=0,AN47=0),#N/A,IF(AND(($S47&amp;T47)*1&lt;=QC!$D$2,($S47&amp;T47)*1&gt;=QC!$D$1),IF(Z47=0,#N/A,W47/1000-V47/1000),#N/A)))</f>
        <v>#N/A</v>
      </c>
      <c r="AP47" s="455" t="e">
        <f t="shared" si="6"/>
        <v>#N/A</v>
      </c>
      <c r="AQ47" s="454" t="e">
        <f>IF(AD47&lt;QC!$B$2,#N/A,IF(AND(V47=0,W47=0,AN47=0),#N/A,IF(AND(($S47&amp;T47)*1&lt;=QC!$D$2,($S47&amp;T47)*1&gt;=QC!$D$1),IF(AA47=0,#N/A,AN47/1000-((V47/1000*Y47+W47/1000*Z47)/(Y47+Z47))),#N/A)))</f>
        <v>#N/A</v>
      </c>
      <c r="AR47" s="456" t="e">
        <f t="shared" si="7"/>
        <v>#N/A</v>
      </c>
    </row>
    <row r="48" spans="3:44">
      <c r="C48" s="446">
        <f t="shared" si="4"/>
        <v>1043</v>
      </c>
      <c r="D48" s="437">
        <f>VLOOKUP($C48,DSS_Calc!$A:$KL,DSS_Calc!JA$92,FALSE)</f>
        <v>1299.9999999999998</v>
      </c>
      <c r="E48" s="438">
        <f>VLOOKUP($C48,DSS_Calc!$A:$KL,DSS_Calc!JB$92,FALSE)</f>
        <v>2440.1894910073033</v>
      </c>
      <c r="F48" s="439">
        <f>VLOOKUP($C48,DSS_Calc!$A:$KL,DSS_Calc!JC$92,FALSE)</f>
        <v>4748.7164157747848</v>
      </c>
      <c r="G48" s="435"/>
      <c r="H48" s="436"/>
      <c r="I48" s="440">
        <f>VLOOKUP($C48,DSS_Calc!$A:$KL,DSS_Calc!IE$92,FALSE)</f>
        <v>0.19380324511956731</v>
      </c>
      <c r="J48" s="441">
        <f>VLOOKUP($C48,DSS_Calc!$A:$KL,DSS_Calc!IF$92,FALSE)</f>
        <v>0.35550437348663722</v>
      </c>
      <c r="K48" s="442">
        <f>VLOOKUP($C48,DSS_Calc!$A:$KL,DSS_Calc!IG$92,FALSE)</f>
        <v>0.45069238139379553</v>
      </c>
      <c r="M48" s="632">
        <f t="shared" si="0"/>
        <v>1.1401894910073036</v>
      </c>
      <c r="N48" s="447">
        <f t="shared" si="1"/>
        <v>0.64718631499902113</v>
      </c>
      <c r="O48" s="635">
        <f t="shared" si="2"/>
        <v>2.7108013806891584</v>
      </c>
      <c r="P48" s="448">
        <f t="shared" si="3"/>
        <v>0.45069238139379553</v>
      </c>
      <c r="S48" s="56" t="s">
        <v>616</v>
      </c>
      <c r="T48" s="56" t="s">
        <v>624</v>
      </c>
      <c r="U48" s="56" t="s">
        <v>616</v>
      </c>
      <c r="V48" s="449">
        <v>3100.0971568807809</v>
      </c>
      <c r="W48" s="449">
        <v>4589.1252845957906</v>
      </c>
      <c r="X48" s="449">
        <v>7127.3099209130469</v>
      </c>
      <c r="Y48" s="452">
        <v>0.25449415532354525</v>
      </c>
      <c r="Z48" s="452">
        <v>9.896276098338444E-2</v>
      </c>
      <c r="AA48" s="452">
        <v>0.64654308369307034</v>
      </c>
      <c r="AB48" s="449">
        <v>47.235649775434084</v>
      </c>
      <c r="AC48" s="449">
        <v>27542.011385919708</v>
      </c>
      <c r="AD48" s="449">
        <v>1073.3598160264999</v>
      </c>
      <c r="AE48" s="56"/>
      <c r="AF48" s="56"/>
      <c r="AG48" s="56"/>
      <c r="AH48" s="56"/>
      <c r="AI48" s="56"/>
      <c r="AJ48" s="56"/>
      <c r="AK48" s="56"/>
      <c r="AL48" s="56"/>
      <c r="AM48" s="56"/>
      <c r="AN48" s="453">
        <f t="shared" si="5"/>
        <v>7103.3325218149457</v>
      </c>
      <c r="AO48" s="454" t="e">
        <f>IF(AD48&lt;QC!$B$2,#N/A,IF(AND(V48=0,W48=0,AN48=0),#N/A,IF(AND(($S48&amp;T48)*1&lt;=QC!$D$2,($S48&amp;T48)*1&gt;=QC!$D$1),IF(Z48=0,#N/A,W48/1000-V48/1000),#N/A)))</f>
        <v>#N/A</v>
      </c>
      <c r="AP48" s="455" t="e">
        <f t="shared" si="6"/>
        <v>#N/A</v>
      </c>
      <c r="AQ48" s="454" t="e">
        <f>IF(AD48&lt;QC!$B$2,#N/A,IF(AND(V48=0,W48=0,AN48=0),#N/A,IF(AND(($S48&amp;T48)*1&lt;=QC!$D$2,($S48&amp;T48)*1&gt;=QC!$D$1),IF(AA48=0,#N/A,AN48/1000-((V48/1000*Y48+W48/1000*Z48)/(Y48+Z48))),#N/A)))</f>
        <v>#N/A</v>
      </c>
      <c r="AR48" s="456" t="e">
        <f t="shared" si="7"/>
        <v>#N/A</v>
      </c>
    </row>
    <row r="49" spans="3:44">
      <c r="C49" s="446">
        <f t="shared" si="4"/>
        <v>1044</v>
      </c>
      <c r="D49" s="437">
        <f>VLOOKUP($C49,DSS_Calc!$A:$KL,DSS_Calc!JA$92,FALSE)</f>
        <v>1300</v>
      </c>
      <c r="E49" s="438">
        <f>VLOOKUP($C49,DSS_Calc!$A:$KL,DSS_Calc!JB$92,FALSE)</f>
        <v>2764.2263852697329</v>
      </c>
      <c r="F49" s="439">
        <f>VLOOKUP($C49,DSS_Calc!$A:$KL,DSS_Calc!JC$92,FALSE)</f>
        <v>4748.7164157747848</v>
      </c>
      <c r="G49" s="435"/>
      <c r="H49" s="436"/>
      <c r="I49" s="440">
        <f>VLOOKUP($C49,DSS_Calc!$A:$KL,DSS_Calc!IE$92,FALSE)</f>
        <v>0.18451943643771301</v>
      </c>
      <c r="J49" s="441">
        <f>VLOOKUP($C49,DSS_Calc!$A:$KL,DSS_Calc!IF$92,FALSE)</f>
        <v>0.37736330948591268</v>
      </c>
      <c r="K49" s="442">
        <f>VLOOKUP($C49,DSS_Calc!$A:$KL,DSS_Calc!IG$92,FALSE)</f>
        <v>0.43811725407637436</v>
      </c>
      <c r="M49" s="632">
        <f t="shared" si="0"/>
        <v>1.4642263852697328</v>
      </c>
      <c r="N49" s="447">
        <f t="shared" si="1"/>
        <v>0.6716050852666795</v>
      </c>
      <c r="O49" s="635">
        <f t="shared" si="2"/>
        <v>2.4653345294459843</v>
      </c>
      <c r="P49" s="448">
        <f t="shared" si="3"/>
        <v>0.43811725407637436</v>
      </c>
      <c r="S49" s="56" t="s">
        <v>616</v>
      </c>
      <c r="T49" s="56" t="s">
        <v>625</v>
      </c>
      <c r="U49" s="56" t="s">
        <v>713</v>
      </c>
      <c r="V49" s="449">
        <v>500</v>
      </c>
      <c r="W49" s="449"/>
      <c r="X49" s="449"/>
      <c r="Y49" s="452">
        <v>1</v>
      </c>
      <c r="Z49" s="452">
        <v>0</v>
      </c>
      <c r="AA49" s="452">
        <v>0</v>
      </c>
      <c r="AB49" s="449"/>
      <c r="AC49" s="449"/>
      <c r="AD49" s="449">
        <v>2.4765784156000001</v>
      </c>
      <c r="AE49" s="56"/>
      <c r="AF49" s="56"/>
      <c r="AG49" s="56"/>
      <c r="AH49" s="56"/>
      <c r="AI49" s="56"/>
      <c r="AJ49" s="56"/>
      <c r="AK49" s="56"/>
      <c r="AL49" s="56"/>
      <c r="AM49" s="56"/>
      <c r="AN49" s="453">
        <f t="shared" si="5"/>
        <v>0</v>
      </c>
      <c r="AO49" s="454" t="e">
        <f>IF(AD49&lt;QC!$B$2,#N/A,IF(AND(V49=0,W49=0,AN49=0),#N/A,IF(AND(($S49&amp;T49)*1&lt;=QC!$D$2,($S49&amp;T49)*1&gt;=QC!$D$1),IF(Z49=0,#N/A,W49/1000-V49/1000),#N/A)))</f>
        <v>#N/A</v>
      </c>
      <c r="AP49" s="455" t="e">
        <f t="shared" si="6"/>
        <v>#N/A</v>
      </c>
      <c r="AQ49" s="454" t="e">
        <f>IF(AD49&lt;QC!$B$2,#N/A,IF(AND(V49=0,W49=0,AN49=0),#N/A,IF(AND(($S49&amp;T49)*1&lt;=QC!$D$2,($S49&amp;T49)*1&gt;=QC!$D$1),IF(AA49=0,#N/A,AN49/1000-((V49/1000*Y49+W49/1000*Z49)/(Y49+Z49))),#N/A)))</f>
        <v>#N/A</v>
      </c>
      <c r="AR49" s="456" t="e">
        <f t="shared" si="7"/>
        <v>#N/A</v>
      </c>
    </row>
    <row r="50" spans="3:44">
      <c r="C50" s="446">
        <f t="shared" si="4"/>
        <v>1045</v>
      </c>
      <c r="D50" s="437">
        <f>VLOOKUP($C50,DSS_Calc!$A:$KL,DSS_Calc!JA$92,FALSE)</f>
        <v>1300</v>
      </c>
      <c r="E50" s="438">
        <f>VLOOKUP($C50,DSS_Calc!$A:$KL,DSS_Calc!JB$92,FALSE)</f>
        <v>2764.2263852697329</v>
      </c>
      <c r="F50" s="439">
        <f>VLOOKUP($C50,DSS_Calc!$A:$KL,DSS_Calc!JC$92,FALSE)</f>
        <v>4748.7164157747848</v>
      </c>
      <c r="G50" s="435"/>
      <c r="H50" s="436"/>
      <c r="I50" s="440">
        <f>VLOOKUP($C50,DSS_Calc!$A:$KL,DSS_Calc!IE$92,FALSE)</f>
        <v>0.18451943643771301</v>
      </c>
      <c r="J50" s="441">
        <f>VLOOKUP($C50,DSS_Calc!$A:$KL,DSS_Calc!IF$92,FALSE)</f>
        <v>0.37736330948591268</v>
      </c>
      <c r="K50" s="442">
        <f>VLOOKUP($C50,DSS_Calc!$A:$KL,DSS_Calc!IG$92,FALSE)</f>
        <v>0.43811725407637436</v>
      </c>
      <c r="M50" s="632">
        <f t="shared" si="0"/>
        <v>1.4642263852697328</v>
      </c>
      <c r="N50" s="447">
        <f t="shared" si="1"/>
        <v>0.6716050852666795</v>
      </c>
      <c r="O50" s="635">
        <f t="shared" si="2"/>
        <v>2.4653345294459843</v>
      </c>
      <c r="P50" s="448">
        <f t="shared" si="3"/>
        <v>0.43811725407637436</v>
      </c>
      <c r="S50" s="56" t="s">
        <v>616</v>
      </c>
      <c r="T50" s="56" t="s">
        <v>625</v>
      </c>
      <c r="U50" s="56" t="s">
        <v>616</v>
      </c>
      <c r="V50" s="449">
        <v>3249.7311368803707</v>
      </c>
      <c r="W50" s="449">
        <v>4149.0395604317082</v>
      </c>
      <c r="X50" s="449">
        <v>6963.2565867176581</v>
      </c>
      <c r="Y50" s="452">
        <v>0.31091982248269079</v>
      </c>
      <c r="Z50" s="452">
        <v>6.3558969103524113E-2</v>
      </c>
      <c r="AA50" s="452">
        <v>0.62552120841378467</v>
      </c>
      <c r="AB50" s="449">
        <v>47.441380146622244</v>
      </c>
      <c r="AC50" s="449">
        <v>26492.484165365775</v>
      </c>
      <c r="AD50" s="449">
        <v>917.53171728310042</v>
      </c>
      <c r="AE50" s="56"/>
      <c r="AF50" s="56"/>
      <c r="AG50" s="56"/>
      <c r="AH50" s="56"/>
      <c r="AI50" s="56"/>
      <c r="AJ50" s="56"/>
      <c r="AK50" s="56"/>
      <c r="AL50" s="56"/>
      <c r="AM50" s="56"/>
      <c r="AN50" s="453">
        <f t="shared" si="5"/>
        <v>6994.6959662676572</v>
      </c>
      <c r="AO50" s="454" t="e">
        <f>IF(AD50&lt;QC!$B$2,#N/A,IF(AND(V50=0,W50=0,AN50=0),#N/A,IF(AND(($S50&amp;T50)*1&lt;=QC!$D$2,($S50&amp;T50)*1&gt;=QC!$D$1),IF(Z50=0,#N/A,W50/1000-V50/1000),#N/A)))</f>
        <v>#N/A</v>
      </c>
      <c r="AP50" s="455" t="e">
        <f t="shared" si="6"/>
        <v>#N/A</v>
      </c>
      <c r="AQ50" s="454" t="e">
        <f>IF(AD50&lt;QC!$B$2,#N/A,IF(AND(V50=0,W50=0,AN50=0),#N/A,IF(AND(($S50&amp;T50)*1&lt;=QC!$D$2,($S50&amp;T50)*1&gt;=QC!$D$1),IF(AA50=0,#N/A,AN50/1000-((V50/1000*Y50+W50/1000*Z50)/(Y50+Z50))),#N/A)))</f>
        <v>#N/A</v>
      </c>
      <c r="AR50" s="456" t="e">
        <f t="shared" si="7"/>
        <v>#N/A</v>
      </c>
    </row>
    <row r="51" spans="3:44">
      <c r="C51" s="446">
        <f t="shared" si="4"/>
        <v>1046</v>
      </c>
      <c r="D51" s="437">
        <f>VLOOKUP($C51,DSS_Calc!$A:$KL,DSS_Calc!JA$92,FALSE)</f>
        <v>1300</v>
      </c>
      <c r="E51" s="438">
        <f>VLOOKUP($C51,DSS_Calc!$A:$KL,DSS_Calc!JB$92,FALSE)</f>
        <v>2764.2263852697329</v>
      </c>
      <c r="F51" s="439">
        <f>VLOOKUP($C51,DSS_Calc!$A:$KL,DSS_Calc!JC$92,FALSE)</f>
        <v>4748.7164157747848</v>
      </c>
      <c r="G51" s="435"/>
      <c r="H51" s="436"/>
      <c r="I51" s="440">
        <f>VLOOKUP($C51,DSS_Calc!$A:$KL,DSS_Calc!IE$92,FALSE)</f>
        <v>0.18451943643771301</v>
      </c>
      <c r="J51" s="441">
        <f>VLOOKUP($C51,DSS_Calc!$A:$KL,DSS_Calc!IF$92,FALSE)</f>
        <v>0.37736330948591268</v>
      </c>
      <c r="K51" s="442">
        <f>VLOOKUP($C51,DSS_Calc!$A:$KL,DSS_Calc!IG$92,FALSE)</f>
        <v>0.43811725407637436</v>
      </c>
      <c r="M51" s="632">
        <f t="shared" si="0"/>
        <v>1.4642263852697328</v>
      </c>
      <c r="N51" s="447">
        <f t="shared" si="1"/>
        <v>0.6716050852666795</v>
      </c>
      <c r="O51" s="635">
        <f t="shared" si="2"/>
        <v>2.4653345294459843</v>
      </c>
      <c r="P51" s="448">
        <f t="shared" si="3"/>
        <v>0.43811725407637436</v>
      </c>
      <c r="S51" s="56" t="s">
        <v>616</v>
      </c>
      <c r="T51" s="56" t="s">
        <v>626</v>
      </c>
      <c r="U51" s="56" t="s">
        <v>713</v>
      </c>
      <c r="V51" s="449">
        <v>487.50000000000006</v>
      </c>
      <c r="W51" s="449"/>
      <c r="X51" s="449"/>
      <c r="Y51" s="452">
        <v>1</v>
      </c>
      <c r="Z51" s="452">
        <v>0</v>
      </c>
      <c r="AA51" s="452">
        <v>0</v>
      </c>
      <c r="AB51" s="449"/>
      <c r="AC51" s="449"/>
      <c r="AD51" s="449">
        <v>14.932072999200001</v>
      </c>
      <c r="AE51" s="56"/>
      <c r="AF51" s="56"/>
      <c r="AG51" s="56"/>
      <c r="AH51" s="56"/>
      <c r="AI51" s="56"/>
      <c r="AJ51" s="56"/>
      <c r="AK51" s="56"/>
      <c r="AL51" s="56"/>
      <c r="AM51" s="56"/>
      <c r="AN51" s="453">
        <f t="shared" si="5"/>
        <v>0</v>
      </c>
      <c r="AO51" s="454" t="e">
        <f>IF(AD51&lt;QC!$B$2,#N/A,IF(AND(V51=0,W51=0,AN51=0),#N/A,IF(AND(($S51&amp;T51)*1&lt;=QC!$D$2,($S51&amp;T51)*1&gt;=QC!$D$1),IF(Z51=0,#N/A,W51/1000-V51/1000),#N/A)))</f>
        <v>#N/A</v>
      </c>
      <c r="AP51" s="455" t="e">
        <f t="shared" si="6"/>
        <v>#N/A</v>
      </c>
      <c r="AQ51" s="454" t="e">
        <f>IF(AD51&lt;QC!$B$2,#N/A,IF(AND(V51=0,W51=0,AN51=0),#N/A,IF(AND(($S51&amp;T51)*1&lt;=QC!$D$2,($S51&amp;T51)*1&gt;=QC!$D$1),IF(AA51=0,#N/A,AN51/1000-((V51/1000*Y51+W51/1000*Z51)/(Y51+Z51))),#N/A)))</f>
        <v>#N/A</v>
      </c>
      <c r="AR51" s="456" t="e">
        <f t="shared" si="7"/>
        <v>#N/A</v>
      </c>
    </row>
    <row r="52" spans="3:44">
      <c r="C52" s="446">
        <f t="shared" si="4"/>
        <v>1047</v>
      </c>
      <c r="D52" s="437">
        <f>VLOOKUP($C52,DSS_Calc!$A:$KL,DSS_Calc!JA$92,FALSE)</f>
        <v>1550</v>
      </c>
      <c r="E52" s="438">
        <f>VLOOKUP($C52,DSS_Calc!$A:$KL,DSS_Calc!JB$92,FALSE)</f>
        <v>2160.0624533823611</v>
      </c>
      <c r="F52" s="439">
        <f>VLOOKUP($C52,DSS_Calc!$A:$KL,DSS_Calc!JC$92,FALSE)</f>
        <v>4028.7164157747848</v>
      </c>
      <c r="G52" s="435"/>
      <c r="H52" s="436"/>
      <c r="I52" s="440">
        <f>VLOOKUP($C52,DSS_Calc!$A:$KL,DSS_Calc!IE$92,FALSE)</f>
        <v>0.32330823229504657</v>
      </c>
      <c r="J52" s="441">
        <f>VLOOKUP($C52,DSS_Calc!$A:$KL,DSS_Calc!IF$92,FALSE)</f>
        <v>0.35398939855924177</v>
      </c>
      <c r="K52" s="442">
        <f>VLOOKUP($C52,DSS_Calc!$A:$KL,DSS_Calc!IG$92,FALSE)</f>
        <v>0.32270236914571165</v>
      </c>
      <c r="M52" s="632">
        <f t="shared" si="0"/>
        <v>0.61006245338236087</v>
      </c>
      <c r="N52" s="447">
        <f t="shared" si="1"/>
        <v>0.52264969259193805</v>
      </c>
      <c r="O52" s="635">
        <f t="shared" si="2"/>
        <v>2.1598674620526102</v>
      </c>
      <c r="P52" s="448">
        <f t="shared" si="3"/>
        <v>0.32270236914571165</v>
      </c>
      <c r="S52" s="56" t="s">
        <v>616</v>
      </c>
      <c r="T52" s="56" t="s">
        <v>626</v>
      </c>
      <c r="U52" s="56" t="s">
        <v>616</v>
      </c>
      <c r="V52" s="449">
        <v>3633.4257729478809</v>
      </c>
      <c r="W52" s="449">
        <v>4937.6629547560096</v>
      </c>
      <c r="X52" s="449">
        <v>7761.1856863917637</v>
      </c>
      <c r="Y52" s="452">
        <v>0.18222263077482326</v>
      </c>
      <c r="Z52" s="452">
        <v>5.0034205957445739E-2</v>
      </c>
      <c r="AA52" s="452">
        <v>0.76774316326773118</v>
      </c>
      <c r="AB52" s="449">
        <v>45.345858085115111</v>
      </c>
      <c r="AC52" s="449">
        <v>26316.401214361013</v>
      </c>
      <c r="AD52" s="449">
        <v>1235.2968441842995</v>
      </c>
      <c r="AE52" s="56"/>
      <c r="AF52" s="56"/>
      <c r="AG52" s="56"/>
      <c r="AH52" s="56"/>
      <c r="AI52" s="56"/>
      <c r="AJ52" s="56"/>
      <c r="AK52" s="56"/>
      <c r="AL52" s="56"/>
      <c r="AM52" s="56"/>
      <c r="AN52" s="453">
        <f t="shared" si="5"/>
        <v>7240.9501100866109</v>
      </c>
      <c r="AO52" s="454" t="e">
        <f>IF(AD52&lt;QC!$B$2,#N/A,IF(AND(V52=0,W52=0,AN52=0),#N/A,IF(AND(($S52&amp;T52)*1&lt;=QC!$D$2,($S52&amp;T52)*1&gt;=QC!$D$1),IF(Z52=0,#N/A,W52/1000-V52/1000),#N/A)))</f>
        <v>#N/A</v>
      </c>
      <c r="AP52" s="455" t="e">
        <f t="shared" si="6"/>
        <v>#N/A</v>
      </c>
      <c r="AQ52" s="454" t="e">
        <f>IF(AD52&lt;QC!$B$2,#N/A,IF(AND(V52=0,W52=0,AN52=0),#N/A,IF(AND(($S52&amp;T52)*1&lt;=QC!$D$2,($S52&amp;T52)*1&gt;=QC!$D$1),IF(AA52=0,#N/A,AN52/1000-((V52/1000*Y52+W52/1000*Z52)/(Y52+Z52))),#N/A)))</f>
        <v>#N/A</v>
      </c>
      <c r="AR52" s="456" t="e">
        <f t="shared" si="7"/>
        <v>#N/A</v>
      </c>
    </row>
    <row r="53" spans="3:44">
      <c r="C53" s="446">
        <f t="shared" si="4"/>
        <v>1048</v>
      </c>
      <c r="D53" s="437">
        <f>VLOOKUP($C53,DSS_Calc!$A:$KL,DSS_Calc!JA$92,FALSE)</f>
        <v>1800.0000000000002</v>
      </c>
      <c r="E53" s="438">
        <f>VLOOKUP($C53,DSS_Calc!$A:$KL,DSS_Calc!JB$92,FALSE)</f>
        <v>2160.0624533823611</v>
      </c>
      <c r="F53" s="439">
        <f>VLOOKUP($C53,DSS_Calc!$A:$KL,DSS_Calc!JC$92,FALSE)</f>
        <v>4028.7164157747848</v>
      </c>
      <c r="G53" s="435"/>
      <c r="H53" s="436"/>
      <c r="I53" s="440">
        <f>VLOOKUP($C53,DSS_Calc!$A:$KL,DSS_Calc!IE$92,FALSE)</f>
        <v>0.35519475447661358</v>
      </c>
      <c r="J53" s="441">
        <f>VLOOKUP($C53,DSS_Calc!$A:$KL,DSS_Calc!IF$92,FALSE)</f>
        <v>0.34196347407420058</v>
      </c>
      <c r="K53" s="442">
        <f>VLOOKUP($C53,DSS_Calc!$A:$KL,DSS_Calc!IG$92,FALSE)</f>
        <v>0.30284177144918589</v>
      </c>
      <c r="M53" s="632">
        <f t="shared" si="0"/>
        <v>0.36006245338236065</v>
      </c>
      <c r="N53" s="447">
        <f t="shared" si="1"/>
        <v>0.4905105614044627</v>
      </c>
      <c r="O53" s="635">
        <f t="shared" si="2"/>
        <v>2.0521019796255349</v>
      </c>
      <c r="P53" s="448">
        <f t="shared" si="3"/>
        <v>0.30284177144918589</v>
      </c>
      <c r="S53" s="56" t="s">
        <v>616</v>
      </c>
      <c r="T53" s="56" t="s">
        <v>627</v>
      </c>
      <c r="U53" s="56" t="s">
        <v>713</v>
      </c>
      <c r="V53" s="449">
        <v>487.5</v>
      </c>
      <c r="W53" s="449"/>
      <c r="X53" s="449"/>
      <c r="Y53" s="452">
        <v>1</v>
      </c>
      <c r="Z53" s="452">
        <v>0</v>
      </c>
      <c r="AA53" s="452">
        <v>0</v>
      </c>
      <c r="AB53" s="449"/>
      <c r="AC53" s="449"/>
      <c r="AD53" s="449">
        <v>12.018463750900001</v>
      </c>
      <c r="AE53" s="56"/>
      <c r="AF53" s="56"/>
      <c r="AG53" s="56"/>
      <c r="AH53" s="56"/>
      <c r="AI53" s="56"/>
      <c r="AJ53" s="56"/>
      <c r="AK53" s="56"/>
      <c r="AL53" s="56"/>
      <c r="AM53" s="56"/>
      <c r="AN53" s="453">
        <f t="shared" si="5"/>
        <v>0</v>
      </c>
      <c r="AO53" s="454" t="e">
        <f>IF(AD53&lt;QC!$B$2,#N/A,IF(AND(V53=0,W53=0,AN53=0),#N/A,IF(AND(($S53&amp;T53)*1&lt;=QC!$D$2,($S53&amp;T53)*1&gt;=QC!$D$1),IF(Z53=0,#N/A,W53/1000-V53/1000),#N/A)))</f>
        <v>#N/A</v>
      </c>
      <c r="AP53" s="455" t="e">
        <f t="shared" si="6"/>
        <v>#N/A</v>
      </c>
      <c r="AQ53" s="454" t="e">
        <f>IF(AD53&lt;QC!$B$2,#N/A,IF(AND(V53=0,W53=0,AN53=0),#N/A,IF(AND(($S53&amp;T53)*1&lt;=QC!$D$2,($S53&amp;T53)*1&gt;=QC!$D$1),IF(AA53=0,#N/A,AN53/1000-((V53/1000*Y53+W53/1000*Z53)/(Y53+Z53))),#N/A)))</f>
        <v>#N/A</v>
      </c>
      <c r="AR53" s="456" t="e">
        <f t="shared" si="7"/>
        <v>#N/A</v>
      </c>
    </row>
    <row r="54" spans="3:44">
      <c r="C54" s="446">
        <f t="shared" si="4"/>
        <v>1049</v>
      </c>
      <c r="D54" s="437">
        <f>VLOOKUP($C54,DSS_Calc!$A:$KL,DSS_Calc!JA$92,FALSE)</f>
        <v>2050</v>
      </c>
      <c r="E54" s="438">
        <f>VLOOKUP($C54,DSS_Calc!$A:$KL,DSS_Calc!JB$92,FALSE)</f>
        <v>2160.0624533823611</v>
      </c>
      <c r="F54" s="439">
        <f>VLOOKUP($C54,DSS_Calc!$A:$KL,DSS_Calc!JC$92,FALSE)</f>
        <v>4028.7164157747848</v>
      </c>
      <c r="G54" s="435"/>
      <c r="H54" s="436"/>
      <c r="I54" s="440">
        <f>VLOOKUP($C54,DSS_Calc!$A:$KL,DSS_Calc!IE$92,FALSE)</f>
        <v>0.38667545136343773</v>
      </c>
      <c r="J54" s="441">
        <f>VLOOKUP($C54,DSS_Calc!$A:$KL,DSS_Calc!IF$92,FALSE)</f>
        <v>0.32980449339367679</v>
      </c>
      <c r="K54" s="442">
        <f>VLOOKUP($C54,DSS_Calc!$A:$KL,DSS_Calc!IG$92,FALSE)</f>
        <v>0.28352005524288554</v>
      </c>
      <c r="M54" s="632">
        <f t="shared" si="0"/>
        <v>0.11006245338236109</v>
      </c>
      <c r="N54" s="447">
        <f t="shared" si="1"/>
        <v>0.46031224712853608</v>
      </c>
      <c r="O54" s="635">
        <f t="shared" si="2"/>
        <v>1.9280533205338704</v>
      </c>
      <c r="P54" s="448">
        <f t="shared" si="3"/>
        <v>0.28352005524288554</v>
      </c>
      <c r="S54" s="56" t="s">
        <v>616</v>
      </c>
      <c r="T54" s="56" t="s">
        <v>627</v>
      </c>
      <c r="U54" s="56" t="s">
        <v>616</v>
      </c>
      <c r="V54" s="449">
        <v>3692.4187547607253</v>
      </c>
      <c r="W54" s="449">
        <v>4589.4437845121574</v>
      </c>
      <c r="X54" s="449">
        <v>8068.1356071117498</v>
      </c>
      <c r="Y54" s="452">
        <v>0.21468747428220394</v>
      </c>
      <c r="Z54" s="452">
        <v>5.0941586515952625E-2</v>
      </c>
      <c r="AA54" s="452">
        <v>0.73437093920184338</v>
      </c>
      <c r="AB54" s="449">
        <v>45.36324528236235</v>
      </c>
      <c r="AC54" s="449">
        <v>26698.841838760531</v>
      </c>
      <c r="AD54" s="449">
        <v>1267.1608360840009</v>
      </c>
      <c r="AE54" s="56"/>
      <c r="AF54" s="56"/>
      <c r="AG54" s="56"/>
      <c r="AH54" s="56"/>
      <c r="AI54" s="56"/>
      <c r="AJ54" s="56"/>
      <c r="AK54" s="56"/>
      <c r="AL54" s="56"/>
      <c r="AM54" s="56"/>
      <c r="AN54" s="453">
        <f t="shared" si="5"/>
        <v>7544.9819365388694</v>
      </c>
      <c r="AO54" s="454" t="e">
        <f>IF(AD54&lt;QC!$B$2,#N/A,IF(AND(V54=0,W54=0,AN54=0),#N/A,IF(AND(($S54&amp;T54)*1&lt;=QC!$D$2,($S54&amp;T54)*1&gt;=QC!$D$1),IF(Z54=0,#N/A,W54/1000-V54/1000),#N/A)))</f>
        <v>#N/A</v>
      </c>
      <c r="AP54" s="455" t="e">
        <f t="shared" si="6"/>
        <v>#N/A</v>
      </c>
      <c r="AQ54" s="454" t="e">
        <f>IF(AD54&lt;QC!$B$2,#N/A,IF(AND(V54=0,W54=0,AN54=0),#N/A,IF(AND(($S54&amp;T54)*1&lt;=QC!$D$2,($S54&amp;T54)*1&gt;=QC!$D$1),IF(AA54=0,#N/A,AN54/1000-((V54/1000*Y54+W54/1000*Z54)/(Y54+Z54))),#N/A)))</f>
        <v>#N/A</v>
      </c>
      <c r="AR54" s="456" t="e">
        <f t="shared" si="7"/>
        <v>#N/A</v>
      </c>
    </row>
    <row r="55" spans="3:44" ht="15.75" thickBot="1">
      <c r="C55" s="457">
        <f t="shared" si="4"/>
        <v>1050</v>
      </c>
      <c r="D55" s="458"/>
      <c r="E55" s="459"/>
      <c r="F55" s="460"/>
      <c r="G55" s="461"/>
      <c r="H55" s="461"/>
      <c r="I55" s="462"/>
      <c r="J55" s="463"/>
      <c r="K55" s="464"/>
      <c r="M55" s="633" t="e">
        <f t="shared" si="0"/>
        <v>#N/A</v>
      </c>
      <c r="N55" s="465" t="e">
        <f t="shared" si="1"/>
        <v>#N/A</v>
      </c>
      <c r="O55" s="636" t="e">
        <f t="shared" si="2"/>
        <v>#N/A</v>
      </c>
      <c r="P55" s="466" t="e">
        <f t="shared" si="3"/>
        <v>#N/A</v>
      </c>
      <c r="S55" s="56" t="s">
        <v>623</v>
      </c>
      <c r="T55" s="56" t="s">
        <v>628</v>
      </c>
      <c r="U55" s="56" t="s">
        <v>713</v>
      </c>
      <c r="V55" s="449">
        <v>487.5</v>
      </c>
      <c r="W55" s="449"/>
      <c r="X55" s="449"/>
      <c r="Y55" s="452">
        <v>1</v>
      </c>
      <c r="Z55" s="452">
        <v>0</v>
      </c>
      <c r="AA55" s="452">
        <v>0</v>
      </c>
      <c r="AB55" s="449"/>
      <c r="AC55" s="449"/>
      <c r="AD55" s="449">
        <v>15.454564417</v>
      </c>
      <c r="AE55" s="56"/>
      <c r="AF55" s="56"/>
      <c r="AG55" s="56"/>
      <c r="AH55" s="56"/>
      <c r="AI55" s="56"/>
      <c r="AJ55" s="56"/>
      <c r="AK55" s="56"/>
      <c r="AL55" s="56"/>
      <c r="AM55" s="56"/>
      <c r="AN55" s="453">
        <f t="shared" si="5"/>
        <v>0</v>
      </c>
      <c r="AO55" s="454" t="e">
        <f>IF(AD55&lt;QC!$B$2,#N/A,IF(AND(V55=0,W55=0,AN55=0),#N/A,IF(AND(($S55&amp;T55)*1&lt;=QC!$D$2,($S55&amp;T55)*1&gt;=QC!$D$1),IF(Z55=0,#N/A,W55/1000-V55/1000),#N/A)))</f>
        <v>#N/A</v>
      </c>
      <c r="AP55" s="455" t="e">
        <f t="shared" si="6"/>
        <v>#N/A</v>
      </c>
      <c r="AQ55" s="454" t="e">
        <f>IF(AD55&lt;QC!$B$2,#N/A,IF(AND(V55=0,W55=0,AN55=0),#N/A,IF(AND(($S55&amp;T55)*1&lt;=QC!$D$2,($S55&amp;T55)*1&gt;=QC!$D$1),IF(AA55=0,#N/A,AN55/1000-((V55/1000*Y55+W55/1000*Z55)/(Y55+Z55))),#N/A)))</f>
        <v>#N/A</v>
      </c>
      <c r="AR55" s="456" t="e">
        <f t="shared" si="7"/>
        <v>#N/A</v>
      </c>
    </row>
    <row r="56" spans="3:44">
      <c r="D56" s="461"/>
      <c r="E56" s="461"/>
      <c r="F56" s="461"/>
      <c r="G56" s="461"/>
      <c r="H56" s="461"/>
      <c r="I56" s="388"/>
      <c r="J56" s="388"/>
      <c r="K56" s="388"/>
      <c r="M56" s="414"/>
      <c r="N56" s="414"/>
      <c r="O56" s="414"/>
      <c r="P56" s="414"/>
      <c r="S56" s="56" t="s">
        <v>623</v>
      </c>
      <c r="T56" s="56" t="s">
        <v>628</v>
      </c>
      <c r="U56" s="56" t="s">
        <v>616</v>
      </c>
      <c r="V56" s="449">
        <v>3752.7917642651246</v>
      </c>
      <c r="W56" s="449">
        <v>5215.5374855610235</v>
      </c>
      <c r="X56" s="449">
        <v>8516.2227880264727</v>
      </c>
      <c r="Y56" s="452">
        <v>0.25025451204213933</v>
      </c>
      <c r="Z56" s="452">
        <v>3.9318160618038618E-2</v>
      </c>
      <c r="AA56" s="452">
        <v>0.71042732733982195</v>
      </c>
      <c r="AB56" s="449"/>
      <c r="AC56" s="449">
        <v>26181.627529926187</v>
      </c>
      <c r="AD56" s="449">
        <v>981.03617917730003</v>
      </c>
      <c r="AE56" s="56"/>
      <c r="AF56" s="56"/>
      <c r="AG56" s="56"/>
      <c r="AH56" s="56"/>
      <c r="AI56" s="56"/>
      <c r="AJ56" s="56"/>
      <c r="AK56" s="56"/>
      <c r="AL56" s="56"/>
      <c r="AM56" s="56"/>
      <c r="AN56" s="453">
        <f t="shared" si="5"/>
        <v>8516.2227880264727</v>
      </c>
      <c r="AO56" s="454">
        <f>IF(AD56&lt;QC!$B$2,#N/A,IF(AND(V56=0,W56=0,AN56=0),#N/A,IF(AND(($S56&amp;T56)*1&lt;=QC!$D$2,($S56&amp;T56)*1&gt;=QC!$D$1),IF(Z56=0,#N/A,W56/1000-V56/1000),#N/A)))</f>
        <v>1.462745721295899</v>
      </c>
      <c r="AP56" s="455">
        <f t="shared" si="6"/>
        <v>0.13577994172184762</v>
      </c>
      <c r="AQ56" s="454">
        <f>IF(AD56&lt;QC!$B$2,#N/A,IF(AND(V56=0,W56=0,AN56=0),#N/A,IF(AND(($S56&amp;T56)*1&lt;=QC!$D$2,($S56&amp;T56)*1&gt;=QC!$D$1),IF(AA56=0,#N/A,AN56/1000-((V56/1000*Y56+W56/1000*Z56)/(Y56+Z56))),#N/A)))</f>
        <v>4.5648194949699086</v>
      </c>
      <c r="AR56" s="456">
        <f t="shared" si="7"/>
        <v>0.71042732733982195</v>
      </c>
    </row>
    <row r="57" spans="3:44">
      <c r="D57" s="461"/>
      <c r="E57" s="461"/>
      <c r="F57" s="461"/>
      <c r="G57" s="461"/>
      <c r="H57" s="461"/>
      <c r="I57" s="388"/>
      <c r="J57" s="388"/>
      <c r="K57" s="388"/>
      <c r="M57" s="414"/>
      <c r="N57" s="414"/>
      <c r="O57" s="414"/>
      <c r="P57" s="414"/>
      <c r="S57" s="56" t="s">
        <v>623</v>
      </c>
      <c r="T57" s="56" t="s">
        <v>629</v>
      </c>
      <c r="U57" s="56" t="s">
        <v>713</v>
      </c>
      <c r="V57" s="449">
        <v>600</v>
      </c>
      <c r="W57" s="449"/>
      <c r="X57" s="449"/>
      <c r="Y57" s="452">
        <v>1</v>
      </c>
      <c r="Z57" s="452">
        <v>0</v>
      </c>
      <c r="AA57" s="452">
        <v>0</v>
      </c>
      <c r="AB57" s="449"/>
      <c r="AC57" s="449"/>
      <c r="AD57" s="449">
        <v>3.2984034689000001</v>
      </c>
      <c r="AE57" s="56"/>
      <c r="AF57" s="56"/>
      <c r="AG57" s="56"/>
      <c r="AH57" s="56"/>
      <c r="AI57" s="56"/>
      <c r="AJ57" s="56"/>
      <c r="AK57" s="56"/>
      <c r="AL57" s="56"/>
      <c r="AM57" s="56"/>
      <c r="AN57" s="453">
        <f t="shared" si="5"/>
        <v>0</v>
      </c>
      <c r="AO57" s="454" t="e">
        <f>IF(AD57&lt;QC!$B$2,#N/A,IF(AND(V57=0,W57=0,AN57=0),#N/A,IF(AND(($S57&amp;T57)*1&lt;=QC!$D$2,($S57&amp;T57)*1&gt;=QC!$D$1),IF(Z57=0,#N/A,W57/1000-V57/1000),#N/A)))</f>
        <v>#N/A</v>
      </c>
      <c r="AP57" s="455" t="e">
        <f t="shared" si="6"/>
        <v>#N/A</v>
      </c>
      <c r="AQ57" s="454" t="e">
        <f>IF(AD57&lt;QC!$B$2,#N/A,IF(AND(V57=0,W57=0,AN57=0),#N/A,IF(AND(($S57&amp;T57)*1&lt;=QC!$D$2,($S57&amp;T57)*1&gt;=QC!$D$1),IF(AA57=0,#N/A,AN57/1000-((V57/1000*Y57+W57/1000*Z57)/(Y57+Z57))),#N/A)))</f>
        <v>#N/A</v>
      </c>
      <c r="AR57" s="456" t="e">
        <f t="shared" si="7"/>
        <v>#N/A</v>
      </c>
    </row>
    <row r="58" spans="3:44">
      <c r="D58" s="461"/>
      <c r="E58" s="461"/>
      <c r="F58" s="461"/>
      <c r="G58" s="461"/>
      <c r="H58" s="461"/>
      <c r="I58" s="388"/>
      <c r="J58" s="388"/>
      <c r="K58" s="388"/>
      <c r="M58" s="414"/>
      <c r="N58" s="414"/>
      <c r="O58" s="414"/>
      <c r="P58" s="414"/>
      <c r="S58" s="56" t="s">
        <v>623</v>
      </c>
      <c r="T58" s="56" t="s">
        <v>629</v>
      </c>
      <c r="U58" s="56" t="s">
        <v>616</v>
      </c>
      <c r="V58" s="449">
        <v>3710.995629500042</v>
      </c>
      <c r="W58" s="449">
        <v>5612.7870302670381</v>
      </c>
      <c r="X58" s="449">
        <v>8591.8743284784341</v>
      </c>
      <c r="Y58" s="452">
        <v>0.2438282745391574</v>
      </c>
      <c r="Z58" s="452">
        <v>3.4157295448547211E-2</v>
      </c>
      <c r="AA58" s="452">
        <v>0.72201443001229504</v>
      </c>
      <c r="AB58" s="449"/>
      <c r="AC58" s="449">
        <v>26486.508164079372</v>
      </c>
      <c r="AD58" s="449">
        <v>1092.6516489814005</v>
      </c>
      <c r="AE58" s="56"/>
      <c r="AF58" s="56"/>
      <c r="AG58" s="56"/>
      <c r="AH58" s="56"/>
      <c r="AI58" s="56"/>
      <c r="AJ58" s="56"/>
      <c r="AK58" s="56"/>
      <c r="AL58" s="56"/>
      <c r="AM58" s="56"/>
      <c r="AN58" s="453">
        <f t="shared" si="5"/>
        <v>8591.8743284784341</v>
      </c>
      <c r="AO58" s="454">
        <f>IF(AD58&lt;QC!$B$2,#N/A,IF(AND(V58=0,W58=0,AN58=0),#N/A,IF(AND(($S58&amp;T58)*1&lt;=QC!$D$2,($S58&amp;T58)*1&gt;=QC!$D$1),IF(Z58=0,#N/A,W58/1000-V58/1000),#N/A)))</f>
        <v>1.9017914007669958</v>
      </c>
      <c r="AP58" s="455">
        <f t="shared" si="6"/>
        <v>0.12287434721902291</v>
      </c>
      <c r="AQ58" s="454">
        <f>IF(AD58&lt;QC!$B$2,#N/A,IF(AND(V58=0,W58=0,AN58=0),#N/A,IF(AND(($S58&amp;T58)*1&lt;=QC!$D$2,($S58&amp;T58)*1&gt;=QC!$D$1),IF(AA58=0,#N/A,AN58/1000-((V58/1000*Y58+W58/1000*Z58)/(Y58+Z58))),#N/A)))</f>
        <v>4.6471973220623974</v>
      </c>
      <c r="AR58" s="456">
        <f t="shared" si="7"/>
        <v>0.72201443001229504</v>
      </c>
    </row>
    <row r="59" spans="3:44">
      <c r="D59" s="461"/>
      <c r="E59" s="461"/>
      <c r="F59" s="461"/>
      <c r="G59" s="461"/>
      <c r="H59" s="461"/>
      <c r="I59" s="388"/>
      <c r="J59" s="388"/>
      <c r="K59" s="388"/>
      <c r="M59" s="414"/>
      <c r="N59" s="414"/>
      <c r="O59" s="414"/>
      <c r="P59" s="414"/>
      <c r="S59" s="56" t="s">
        <v>623</v>
      </c>
      <c r="T59" s="56" t="s">
        <v>629</v>
      </c>
      <c r="U59" s="56" t="s">
        <v>623</v>
      </c>
      <c r="V59" s="449"/>
      <c r="W59" s="449"/>
      <c r="X59" s="449">
        <v>6774.5877484629445</v>
      </c>
      <c r="Y59" s="452">
        <v>0</v>
      </c>
      <c r="Z59" s="452">
        <v>0</v>
      </c>
      <c r="AA59" s="452">
        <v>1</v>
      </c>
      <c r="AB59" s="449">
        <v>48.658955071620049</v>
      </c>
      <c r="AC59" s="449">
        <v>23463.231044164066</v>
      </c>
      <c r="AD59" s="449">
        <v>17.234351691200004</v>
      </c>
      <c r="AE59" s="56"/>
      <c r="AF59" s="56"/>
      <c r="AG59" s="56"/>
      <c r="AH59" s="56"/>
      <c r="AI59" s="56"/>
      <c r="AJ59" s="56"/>
      <c r="AK59" s="56"/>
      <c r="AL59" s="56"/>
      <c r="AM59" s="56"/>
      <c r="AN59" s="453">
        <f t="shared" si="5"/>
        <v>7088.1146455252701</v>
      </c>
      <c r="AO59" s="454" t="e">
        <f>IF(AD59&lt;QC!$B$2,#N/A,IF(AND(V59=0,W59=0,AN59=0),#N/A,IF(AND(($S59&amp;T59)*1&lt;=QC!$D$2,($S59&amp;T59)*1&gt;=QC!$D$1),IF(Z59=0,#N/A,W59/1000-V59/1000),#N/A)))</f>
        <v>#N/A</v>
      </c>
      <c r="AP59" s="455" t="e">
        <f t="shared" si="6"/>
        <v>#N/A</v>
      </c>
      <c r="AQ59" s="454" t="e">
        <f>IF(AD59&lt;QC!$B$2,#N/A,IF(AND(V59=0,W59=0,AN59=0),#N/A,IF(AND(($S59&amp;T59)*1&lt;=QC!$D$2,($S59&amp;T59)*1&gt;=QC!$D$1),IF(AA59=0,#N/A,AN59/1000-((V59/1000*Y59+W59/1000*Z59)/(Y59+Z59))),#N/A)))</f>
        <v>#N/A</v>
      </c>
      <c r="AR59" s="456" t="e">
        <f t="shared" si="7"/>
        <v>#N/A</v>
      </c>
    </row>
    <row r="60" spans="3:44">
      <c r="D60" s="461"/>
      <c r="E60" s="461"/>
      <c r="F60" s="461"/>
      <c r="G60" s="461"/>
      <c r="H60" s="461"/>
      <c r="I60" s="388"/>
      <c r="J60" s="388"/>
      <c r="K60" s="388"/>
      <c r="M60" s="414"/>
      <c r="N60" s="414"/>
      <c r="O60" s="414"/>
      <c r="P60" s="414"/>
      <c r="S60" s="56" t="s">
        <v>623</v>
      </c>
      <c r="T60" s="56" t="s">
        <v>617</v>
      </c>
      <c r="U60" s="56" t="s">
        <v>616</v>
      </c>
      <c r="V60" s="449">
        <v>3795.9534851206809</v>
      </c>
      <c r="W60" s="449">
        <v>4550.8022484799903</v>
      </c>
      <c r="X60" s="449">
        <v>9565.94171588272</v>
      </c>
      <c r="Y60" s="452">
        <v>0.22861309786202105</v>
      </c>
      <c r="Z60" s="452">
        <v>4.3414353180012827E-2</v>
      </c>
      <c r="AA60" s="452">
        <v>0.72797254895796593</v>
      </c>
      <c r="AB60" s="449"/>
      <c r="AC60" s="449">
        <v>25711.239105879315</v>
      </c>
      <c r="AD60" s="449">
        <v>790.88161816050012</v>
      </c>
      <c r="AE60" s="56"/>
      <c r="AF60" s="56"/>
      <c r="AG60" s="56"/>
      <c r="AH60" s="56"/>
      <c r="AI60" s="56"/>
      <c r="AJ60" s="56"/>
      <c r="AK60" s="56"/>
      <c r="AL60" s="56"/>
      <c r="AM60" s="56"/>
      <c r="AN60" s="453">
        <f t="shared" si="5"/>
        <v>9565.94171588272</v>
      </c>
      <c r="AO60" s="454">
        <f>IF(AD60&lt;QC!$B$2,#N/A,IF(AND(V60=0,W60=0,AN60=0),#N/A,IF(AND(($S60&amp;T60)*1&lt;=QC!$D$2,($S60&amp;T60)*1&gt;=QC!$D$1),IF(Z60=0,#N/A,W60/1000-V60/1000),#N/A)))</f>
        <v>0.7548487633593095</v>
      </c>
      <c r="AP60" s="455">
        <f t="shared" si="6"/>
        <v>0.15959548572656521</v>
      </c>
      <c r="AQ60" s="454">
        <f>IF(AD60&lt;QC!$B$2,#N/A,IF(AND(V60=0,W60=0,AN60=0),#N/A,IF(AND(($S60&amp;T60)*1&lt;=QC!$D$2,($S60&amp;T60)*1&gt;=QC!$D$1),IF(AA60=0,#N/A,AN60/1000-((V60/1000*Y60+W60/1000*Z60)/(Y60+Z60))),#N/A)))</f>
        <v>5.6495177757236128</v>
      </c>
      <c r="AR60" s="456">
        <f t="shared" si="7"/>
        <v>0.72797254895796593</v>
      </c>
    </row>
    <row r="61" spans="3:44">
      <c r="D61" s="461"/>
      <c r="E61" s="461"/>
      <c r="F61" s="461"/>
      <c r="G61" s="461"/>
      <c r="H61" s="461"/>
      <c r="I61" s="388"/>
      <c r="J61" s="388"/>
      <c r="K61" s="388"/>
      <c r="M61" s="414"/>
      <c r="N61" s="414"/>
      <c r="O61" s="414"/>
      <c r="P61" s="414"/>
      <c r="S61" s="56" t="s">
        <v>623</v>
      </c>
      <c r="T61" s="56" t="s">
        <v>617</v>
      </c>
      <c r="U61" s="56" t="s">
        <v>623</v>
      </c>
      <c r="V61" s="449">
        <v>2600</v>
      </c>
      <c r="W61" s="449">
        <v>4173.5472907071671</v>
      </c>
      <c r="X61" s="449">
        <v>6274.3648310832968</v>
      </c>
      <c r="Y61" s="452">
        <v>0.29959886840195443</v>
      </c>
      <c r="Z61" s="452">
        <v>8.0497631022203212E-2</v>
      </c>
      <c r="AA61" s="452">
        <v>0.61990350057584231</v>
      </c>
      <c r="AB61" s="449">
        <v>49.466878160109871</v>
      </c>
      <c r="AC61" s="449">
        <v>26808.843812352967</v>
      </c>
      <c r="AD61" s="449">
        <v>309.37467039410001</v>
      </c>
      <c r="AE61" s="56"/>
      <c r="AF61" s="56"/>
      <c r="AG61" s="56"/>
      <c r="AH61" s="56"/>
      <c r="AI61" s="56"/>
      <c r="AJ61" s="56"/>
      <c r="AK61" s="56"/>
      <c r="AL61" s="56"/>
      <c r="AM61" s="56"/>
      <c r="AN61" s="453">
        <f t="shared" si="5"/>
        <v>6849.1922424238746</v>
      </c>
      <c r="AO61" s="454">
        <f>IF(AD61&lt;QC!$B$2,#N/A,IF(AND(V61=0,W61=0,AN61=0),#N/A,IF(AND(($S61&amp;T61)*1&lt;=QC!$D$2,($S61&amp;T61)*1&gt;=QC!$D$1),IF(Z61=0,#N/A,W61/1000-V61/1000),#N/A)))</f>
        <v>1.5735472907071668</v>
      </c>
      <c r="AP61" s="455">
        <f t="shared" si="6"/>
        <v>0.21178208992757447</v>
      </c>
      <c r="AQ61" s="454">
        <f>IF(AD61&lt;QC!$B$2,#N/A,IF(AND(V61=0,W61=0,AN61=0),#N/A,IF(AND(($S61&amp;T61)*1&lt;=QC!$D$2,($S61&amp;T61)*1&gt;=QC!$D$1),IF(AA61=0,#N/A,AN61/1000-((V61/1000*Y61+W61/1000*Z61)/(Y61+Z61))),#N/A)))</f>
        <v>3.9159431085980381</v>
      </c>
      <c r="AR61" s="456">
        <f t="shared" si="7"/>
        <v>0.61990350057584231</v>
      </c>
    </row>
    <row r="62" spans="3:44">
      <c r="D62" s="461"/>
      <c r="E62" s="461"/>
      <c r="F62" s="461"/>
      <c r="I62" s="388"/>
      <c r="J62" s="388"/>
      <c r="K62" s="388"/>
      <c r="M62" s="467"/>
      <c r="N62" s="388"/>
      <c r="O62" s="467"/>
      <c r="P62" s="388"/>
      <c r="S62" s="56" t="s">
        <v>623</v>
      </c>
      <c r="T62" s="56" t="s">
        <v>618</v>
      </c>
      <c r="U62" s="56" t="s">
        <v>713</v>
      </c>
      <c r="V62" s="449">
        <v>375</v>
      </c>
      <c r="W62" s="449"/>
      <c r="X62" s="449"/>
      <c r="Y62" s="452">
        <v>1</v>
      </c>
      <c r="Z62" s="452">
        <v>0</v>
      </c>
      <c r="AA62" s="452">
        <v>0</v>
      </c>
      <c r="AB62" s="449"/>
      <c r="AC62" s="449"/>
      <c r="AD62" s="449">
        <v>8.3436153754000006</v>
      </c>
      <c r="AE62" s="56"/>
      <c r="AF62" s="56"/>
      <c r="AG62" s="56"/>
      <c r="AH62" s="56"/>
      <c r="AI62" s="56"/>
      <c r="AJ62" s="56"/>
      <c r="AK62" s="56"/>
      <c r="AL62" s="56"/>
      <c r="AM62" s="56"/>
      <c r="AN62" s="453">
        <f t="shared" si="5"/>
        <v>0</v>
      </c>
      <c r="AO62" s="454" t="e">
        <f>IF(AD62&lt;QC!$B$2,#N/A,IF(AND(V62=0,W62=0,AN62=0),#N/A,IF(AND(($S62&amp;T62)*1&lt;=QC!$D$2,($S62&amp;T62)*1&gt;=QC!$D$1),IF(Z62=0,#N/A,W62/1000-V62/1000),#N/A)))</f>
        <v>#N/A</v>
      </c>
      <c r="AP62" s="455" t="e">
        <f t="shared" si="6"/>
        <v>#N/A</v>
      </c>
      <c r="AQ62" s="454" t="e">
        <f>IF(AD62&lt;QC!$B$2,#N/A,IF(AND(V62=0,W62=0,AN62=0),#N/A,IF(AND(($S62&amp;T62)*1&lt;=QC!$D$2,($S62&amp;T62)*1&gt;=QC!$D$1),IF(AA62=0,#N/A,AN62/1000-((V62/1000*Y62+W62/1000*Z62)/(Y62+Z62))),#N/A)))</f>
        <v>#N/A</v>
      </c>
      <c r="AR62" s="456" t="e">
        <f t="shared" si="7"/>
        <v>#N/A</v>
      </c>
    </row>
    <row r="63" spans="3:44">
      <c r="M63" s="467"/>
      <c r="N63" s="388"/>
      <c r="O63" s="467"/>
      <c r="P63" s="388"/>
      <c r="S63" s="56" t="s">
        <v>623</v>
      </c>
      <c r="T63" s="56" t="s">
        <v>618</v>
      </c>
      <c r="U63" s="56" t="s">
        <v>616</v>
      </c>
      <c r="V63" s="449">
        <v>3560.2819636016202</v>
      </c>
      <c r="W63" s="449">
        <v>5651.5345238062628</v>
      </c>
      <c r="X63" s="449">
        <v>9491.8392203064232</v>
      </c>
      <c r="Y63" s="452">
        <v>0.29297726846541949</v>
      </c>
      <c r="Z63" s="452">
        <v>1.9070236037044584E-2</v>
      </c>
      <c r="AA63" s="452">
        <v>0.68795249549753623</v>
      </c>
      <c r="AB63" s="449"/>
      <c r="AC63" s="449">
        <v>26874.17520511277</v>
      </c>
      <c r="AD63" s="449">
        <v>457.45595050599979</v>
      </c>
      <c r="AE63" s="56"/>
      <c r="AF63" s="56"/>
      <c r="AG63" s="56"/>
      <c r="AH63" s="56"/>
      <c r="AI63" s="56"/>
      <c r="AJ63" s="56"/>
      <c r="AK63" s="56"/>
      <c r="AL63" s="56"/>
      <c r="AM63" s="56"/>
      <c r="AN63" s="453">
        <f t="shared" si="5"/>
        <v>9491.8392203064232</v>
      </c>
      <c r="AO63" s="454">
        <f>IF(AD63&lt;QC!$B$2,#N/A,IF(AND(V63=0,W63=0,AN63=0),#N/A,IF(AND(($S63&amp;T63)*1&lt;=QC!$D$2,($S63&amp;T63)*1&gt;=QC!$D$1),IF(Z63=0,#N/A,W63/1000-V63/1000),#N/A)))</f>
        <v>2.091252560204643</v>
      </c>
      <c r="AP63" s="455">
        <f t="shared" si="6"/>
        <v>6.1113246418844518E-2</v>
      </c>
      <c r="AQ63" s="454">
        <f>IF(AD63&lt;QC!$B$2,#N/A,IF(AND(V63=0,W63=0,AN63=0),#N/A,IF(AND(($S63&amp;T63)*1&lt;=QC!$D$2,($S63&amp;T63)*1&gt;=QC!$D$1),IF(AA63=0,#N/A,AN63/1000-((V63/1000*Y63+W63/1000*Z63)/(Y63+Z63))),#N/A)))</f>
        <v>5.8037540236689775</v>
      </c>
      <c r="AR63" s="456">
        <f t="shared" si="7"/>
        <v>0.68795249549753623</v>
      </c>
    </row>
    <row r="64" spans="3:44">
      <c r="M64" s="467"/>
      <c r="N64" s="388"/>
      <c r="O64" s="467"/>
      <c r="P64" s="388"/>
      <c r="S64" s="56" t="s">
        <v>623</v>
      </c>
      <c r="T64" s="56" t="s">
        <v>618</v>
      </c>
      <c r="U64" s="56" t="s">
        <v>623</v>
      </c>
      <c r="V64" s="449">
        <v>2864.9587797998915</v>
      </c>
      <c r="W64" s="449">
        <v>3946.0480483528536</v>
      </c>
      <c r="X64" s="449">
        <v>6132.6242616918753</v>
      </c>
      <c r="Y64" s="452">
        <v>0.36371742370965721</v>
      </c>
      <c r="Z64" s="452">
        <v>4.4874438150252181E-2</v>
      </c>
      <c r="AA64" s="452">
        <v>0.59140813814009052</v>
      </c>
      <c r="AB64" s="449">
        <v>49.510955042517288</v>
      </c>
      <c r="AC64" s="449">
        <v>25899.305276909115</v>
      </c>
      <c r="AD64" s="449">
        <v>767.00411257420001</v>
      </c>
      <c r="AE64" s="56"/>
      <c r="AF64" s="56"/>
      <c r="AG64" s="56"/>
      <c r="AH64" s="56"/>
      <c r="AI64" s="56"/>
      <c r="AJ64" s="56"/>
      <c r="AK64" s="56"/>
      <c r="AL64" s="56"/>
      <c r="AM64" s="56"/>
      <c r="AN64" s="453">
        <f t="shared" si="5"/>
        <v>6699.3652193157795</v>
      </c>
      <c r="AO64" s="454">
        <f>IF(AD64&lt;QC!$B$2,#N/A,IF(AND(V64=0,W64=0,AN64=0),#N/A,IF(AND(($S64&amp;T64)*1&lt;=QC!$D$2,($S64&amp;T64)*1&gt;=QC!$D$1),IF(Z64=0,#N/A,W64/1000-V64/1000),#N/A)))</f>
        <v>1.0810892685529621</v>
      </c>
      <c r="AP64" s="455">
        <f t="shared" si="6"/>
        <v>0.10982704830679649</v>
      </c>
      <c r="AQ64" s="454">
        <f>IF(AD64&lt;QC!$B$2,#N/A,IF(AND(V64=0,W64=0,AN64=0),#N/A,IF(AND(($S64&amp;T64)*1&lt;=QC!$D$2,($S64&amp;T64)*1&gt;=QC!$D$1),IF(AA64=0,#N/A,AN64/1000-((V64/1000*Y64+W64/1000*Z64)/(Y64+Z64))),#N/A)))</f>
        <v>3.7156735961945619</v>
      </c>
      <c r="AR64" s="456">
        <f t="shared" si="7"/>
        <v>0.59140813814009052</v>
      </c>
    </row>
    <row r="65" spans="19:44">
      <c r="S65" s="56" t="s">
        <v>623</v>
      </c>
      <c r="T65" s="56" t="s">
        <v>619</v>
      </c>
      <c r="U65" s="56" t="s">
        <v>713</v>
      </c>
      <c r="V65" s="449">
        <v>375</v>
      </c>
      <c r="W65" s="449"/>
      <c r="X65" s="449"/>
      <c r="Y65" s="452">
        <v>1</v>
      </c>
      <c r="Z65" s="452">
        <v>0</v>
      </c>
      <c r="AA65" s="452">
        <v>0</v>
      </c>
      <c r="AB65" s="449"/>
      <c r="AC65" s="449"/>
      <c r="AD65" s="449">
        <v>6.2098057056</v>
      </c>
      <c r="AE65" s="56"/>
      <c r="AF65" s="56"/>
      <c r="AG65" s="56"/>
      <c r="AH65" s="56"/>
      <c r="AI65" s="56"/>
      <c r="AJ65" s="56"/>
      <c r="AK65" s="56"/>
      <c r="AL65" s="56"/>
      <c r="AM65" s="56"/>
      <c r="AN65" s="453">
        <f t="shared" si="5"/>
        <v>0</v>
      </c>
      <c r="AO65" s="454" t="e">
        <f>IF(AD65&lt;QC!$B$2,#N/A,IF(AND(V65=0,W65=0,AN65=0),#N/A,IF(AND(($S65&amp;T65)*1&lt;=QC!$D$2,($S65&amp;T65)*1&gt;=QC!$D$1),IF(Z65=0,#N/A,W65/1000-V65/1000),#N/A)))</f>
        <v>#N/A</v>
      </c>
      <c r="AP65" s="455" t="e">
        <f t="shared" si="6"/>
        <v>#N/A</v>
      </c>
      <c r="AQ65" s="454" t="e">
        <f>IF(AD65&lt;QC!$B$2,#N/A,IF(AND(V65=0,W65=0,AN65=0),#N/A,IF(AND(($S65&amp;T65)*1&lt;=QC!$D$2,($S65&amp;T65)*1&gt;=QC!$D$1),IF(AA65=0,#N/A,AN65/1000-((V65/1000*Y65+W65/1000*Z65)/(Y65+Z65))),#N/A)))</f>
        <v>#N/A</v>
      </c>
      <c r="AR65" s="456" t="e">
        <f t="shared" si="7"/>
        <v>#N/A</v>
      </c>
    </row>
    <row r="66" spans="19:44">
      <c r="S66" s="56" t="s">
        <v>623</v>
      </c>
      <c r="T66" s="56" t="s">
        <v>619</v>
      </c>
      <c r="U66" s="56" t="s">
        <v>616</v>
      </c>
      <c r="V66" s="449">
        <v>3499.2434696726914</v>
      </c>
      <c r="W66" s="449">
        <v>4858.2576953821017</v>
      </c>
      <c r="X66" s="449">
        <v>8739.8841788119043</v>
      </c>
      <c r="Y66" s="452">
        <v>0.44838867524830905</v>
      </c>
      <c r="Z66" s="452">
        <v>3.0366913471290426E-2</v>
      </c>
      <c r="AA66" s="452">
        <v>0.52124441128040067</v>
      </c>
      <c r="AB66" s="449"/>
      <c r="AC66" s="449">
        <v>26284.304660818696</v>
      </c>
      <c r="AD66" s="449">
        <v>102.24624427949999</v>
      </c>
      <c r="AE66" s="56"/>
      <c r="AF66" s="56"/>
      <c r="AG66" s="56"/>
      <c r="AH66" s="56"/>
      <c r="AI66" s="56"/>
      <c r="AJ66" s="56"/>
      <c r="AK66" s="56"/>
      <c r="AL66" s="56"/>
      <c r="AM66" s="56"/>
      <c r="AN66" s="453">
        <f t="shared" si="5"/>
        <v>8739.8841788119043</v>
      </c>
      <c r="AO66" s="454" t="e">
        <f>IF(AD66&lt;QC!$B$2,#N/A,IF(AND(V66=0,W66=0,AN66=0),#N/A,IF(AND(($S66&amp;T66)*1&lt;=QC!$D$2,($S66&amp;T66)*1&gt;=QC!$D$1),IF(Z66=0,#N/A,W66/1000-V66/1000),#N/A)))</f>
        <v>#N/A</v>
      </c>
      <c r="AP66" s="455" t="e">
        <f t="shared" si="6"/>
        <v>#N/A</v>
      </c>
      <c r="AQ66" s="454" t="e">
        <f>IF(AD66&lt;QC!$B$2,#N/A,IF(AND(V66=0,W66=0,AN66=0),#N/A,IF(AND(($S66&amp;T66)*1&lt;=QC!$D$2,($S66&amp;T66)*1&gt;=QC!$D$1),IF(AA66=0,#N/A,AN66/1000-((V66/1000*Y66+W66/1000*Z66)/(Y66+Z66))),#N/A)))</f>
        <v>#N/A</v>
      </c>
      <c r="AR66" s="456" t="e">
        <f t="shared" si="7"/>
        <v>#N/A</v>
      </c>
    </row>
    <row r="67" spans="19:44">
      <c r="S67" s="56" t="s">
        <v>623</v>
      </c>
      <c r="T67" s="56" t="s">
        <v>619</v>
      </c>
      <c r="U67" s="56" t="s">
        <v>623</v>
      </c>
      <c r="V67" s="449">
        <v>3034.6250849627268</v>
      </c>
      <c r="W67" s="449">
        <v>4589.05227036205</v>
      </c>
      <c r="X67" s="449">
        <v>6228.5099200793375</v>
      </c>
      <c r="Y67" s="452">
        <v>0.29020314125245139</v>
      </c>
      <c r="Z67" s="452">
        <v>6.1576384036166006E-2</v>
      </c>
      <c r="AA67" s="452">
        <v>0.64822047471138255</v>
      </c>
      <c r="AB67" s="449">
        <v>48.89491302884219</v>
      </c>
      <c r="AC67" s="449">
        <v>27684.050213791965</v>
      </c>
      <c r="AD67" s="449">
        <v>968.8109680192</v>
      </c>
      <c r="AE67" s="56"/>
      <c r="AF67" s="56"/>
      <c r="AG67" s="56"/>
      <c r="AH67" s="56"/>
      <c r="AI67" s="56"/>
      <c r="AJ67" s="56"/>
      <c r="AK67" s="56"/>
      <c r="AL67" s="56"/>
      <c r="AM67" s="56"/>
      <c r="AN67" s="453">
        <f t="shared" si="5"/>
        <v>6663.7601377165111</v>
      </c>
      <c r="AO67" s="454">
        <f>IF(AD67&lt;QC!$B$2,#N/A,IF(AND(V67=0,W67=0,AN67=0),#N/A,IF(AND(($S67&amp;T67)*1&lt;=QC!$D$2,($S67&amp;T67)*1&gt;=QC!$D$1),IF(Z67=0,#N/A,W67/1000-V67/1000),#N/A)))</f>
        <v>1.554427185399323</v>
      </c>
      <c r="AP67" s="455">
        <f t="shared" si="6"/>
        <v>0.1750425468498932</v>
      </c>
      <c r="AQ67" s="454">
        <f>IF(AD67&lt;QC!$B$2,#N/A,IF(AND(V67=0,W67=0,AN67=0),#N/A,IF(AND(($S67&amp;T67)*1&lt;=QC!$D$2,($S67&amp;T67)*1&gt;=QC!$D$1),IF(AA67=0,#N/A,AN67/1000-((V67/1000*Y67+W67/1000*Z67)/(Y67+Z67))),#N/A)))</f>
        <v>3.3570441593287756</v>
      </c>
      <c r="AR67" s="456">
        <f t="shared" si="7"/>
        <v>0.64822047471138255</v>
      </c>
    </row>
    <row r="68" spans="19:44">
      <c r="S68" s="56" t="s">
        <v>623</v>
      </c>
      <c r="T68" s="56" t="s">
        <v>620</v>
      </c>
      <c r="U68" s="56" t="s">
        <v>713</v>
      </c>
      <c r="V68" s="449">
        <v>375</v>
      </c>
      <c r="W68" s="449"/>
      <c r="X68" s="449"/>
      <c r="Y68" s="452">
        <v>1</v>
      </c>
      <c r="Z68" s="452">
        <v>0</v>
      </c>
      <c r="AA68" s="452">
        <v>0</v>
      </c>
      <c r="AB68" s="449"/>
      <c r="AC68" s="449"/>
      <c r="AD68" s="449">
        <v>3.2238216264999999</v>
      </c>
      <c r="AE68" s="56"/>
      <c r="AF68" s="56"/>
      <c r="AG68" s="56"/>
      <c r="AH68" s="56"/>
      <c r="AI68" s="56"/>
      <c r="AJ68" s="56"/>
      <c r="AK68" s="56"/>
      <c r="AL68" s="56"/>
      <c r="AM68" s="56"/>
      <c r="AN68" s="453">
        <f t="shared" si="5"/>
        <v>0</v>
      </c>
      <c r="AO68" s="454" t="e">
        <f>IF(AD68&lt;QC!$B$2,#N/A,IF(AND(V68=0,W68=0,AN68=0),#N/A,IF(AND(($S68&amp;T68)*1&lt;=QC!$D$2,($S68&amp;T68)*1&gt;=QC!$D$1),IF(Z68=0,#N/A,W68/1000-V68/1000),#N/A)))</f>
        <v>#N/A</v>
      </c>
      <c r="AP68" s="455" t="e">
        <f t="shared" si="6"/>
        <v>#N/A</v>
      </c>
      <c r="AQ68" s="454" t="e">
        <f>IF(AD68&lt;QC!$B$2,#N/A,IF(AND(V68=0,W68=0,AN68=0),#N/A,IF(AND(($S68&amp;T68)*1&lt;=QC!$D$2,($S68&amp;T68)*1&gt;=QC!$D$1),IF(AA68=0,#N/A,AN68/1000-((V68/1000*Y68+W68/1000*Z68)/(Y68+Z68))),#N/A)))</f>
        <v>#N/A</v>
      </c>
      <c r="AR68" s="456" t="e">
        <f t="shared" si="7"/>
        <v>#N/A</v>
      </c>
    </row>
    <row r="69" spans="19:44">
      <c r="S69" s="56" t="s">
        <v>623</v>
      </c>
      <c r="T69" s="56" t="s">
        <v>620</v>
      </c>
      <c r="U69" s="56" t="s">
        <v>616</v>
      </c>
      <c r="V69" s="449">
        <v>3844.4245896909251</v>
      </c>
      <c r="W69" s="449">
        <v>5140.5095156265043</v>
      </c>
      <c r="X69" s="449">
        <v>8333.1511164690255</v>
      </c>
      <c r="Y69" s="452">
        <v>0.27457301326447453</v>
      </c>
      <c r="Z69" s="452">
        <v>0.25039674909031556</v>
      </c>
      <c r="AA69" s="452">
        <v>0.47503023764521002</v>
      </c>
      <c r="AB69" s="449"/>
      <c r="AC69" s="449">
        <v>24390.017455489349</v>
      </c>
      <c r="AD69" s="449">
        <v>56.281414299499993</v>
      </c>
      <c r="AE69" s="56"/>
      <c r="AF69" s="56"/>
      <c r="AG69" s="56"/>
      <c r="AH69" s="56"/>
      <c r="AI69" s="56"/>
      <c r="AJ69" s="56"/>
      <c r="AK69" s="56"/>
      <c r="AL69" s="56"/>
      <c r="AM69" s="56"/>
      <c r="AN69" s="453">
        <f t="shared" si="5"/>
        <v>8333.1511164690255</v>
      </c>
      <c r="AO69" s="454" t="e">
        <f>IF(AD69&lt;QC!$B$2,#N/A,IF(AND(V69=0,W69=0,AN69=0),#N/A,IF(AND(($S69&amp;T69)*1&lt;=QC!$D$2,($S69&amp;T69)*1&gt;=QC!$D$1),IF(Z69=0,#N/A,W69/1000-V69/1000),#N/A)))</f>
        <v>#N/A</v>
      </c>
      <c r="AP69" s="455" t="e">
        <f t="shared" si="6"/>
        <v>#N/A</v>
      </c>
      <c r="AQ69" s="454" t="e">
        <f>IF(AD69&lt;QC!$B$2,#N/A,IF(AND(V69=0,W69=0,AN69=0),#N/A,IF(AND(($S69&amp;T69)*1&lt;=QC!$D$2,($S69&amp;T69)*1&gt;=QC!$D$1),IF(AA69=0,#N/A,AN69/1000-((V69/1000*Y69+W69/1000*Z69)/(Y69+Z69))),#N/A)))</f>
        <v>#N/A</v>
      </c>
      <c r="AR69" s="456" t="e">
        <f t="shared" si="7"/>
        <v>#N/A</v>
      </c>
    </row>
    <row r="70" spans="19:44">
      <c r="S70" s="56" t="s">
        <v>623</v>
      </c>
      <c r="T70" s="56" t="s">
        <v>620</v>
      </c>
      <c r="U70" s="56" t="s">
        <v>623</v>
      </c>
      <c r="V70" s="449">
        <v>3135.8240435680868</v>
      </c>
      <c r="W70" s="449">
        <v>4934.0736227478492</v>
      </c>
      <c r="X70" s="449">
        <v>6454.6969812301404</v>
      </c>
      <c r="Y70" s="452">
        <v>0.22302074377229264</v>
      </c>
      <c r="Z70" s="452">
        <v>7.5140746363640681E-2</v>
      </c>
      <c r="AA70" s="452">
        <v>0.70183850986406671</v>
      </c>
      <c r="AB70" s="449">
        <v>48.957153460660543</v>
      </c>
      <c r="AC70" s="449">
        <v>27380.469284541126</v>
      </c>
      <c r="AD70" s="449">
        <v>1057.5630363708001</v>
      </c>
      <c r="AE70" s="56"/>
      <c r="AF70" s="56"/>
      <c r="AG70" s="56"/>
      <c r="AH70" s="56"/>
      <c r="AI70" s="56"/>
      <c r="AJ70" s="56"/>
      <c r="AK70" s="56"/>
      <c r="AL70" s="56"/>
      <c r="AM70" s="56"/>
      <c r="AN70" s="453">
        <f t="shared" si="5"/>
        <v>6902.2160044861475</v>
      </c>
      <c r="AO70" s="454">
        <f>IF(AD70&lt;QC!$B$2,#N/A,IF(AND(V70=0,W70=0,AN70=0),#N/A,IF(AND(($S70&amp;T70)*1&lt;=QC!$D$2,($S70&amp;T70)*1&gt;=QC!$D$1),IF(Z70=0,#N/A,W70/1000-V70/1000),#N/A)))</f>
        <v>1.7982495791797626</v>
      </c>
      <c r="AP70" s="455">
        <f t="shared" si="6"/>
        <v>0.25201358609183111</v>
      </c>
      <c r="AQ70" s="454">
        <f>IF(AD70&lt;QC!$B$2,#N/A,IF(AND(V70=0,W70=0,AN70=0),#N/A,IF(AND(($S70&amp;T70)*1&lt;=QC!$D$2,($S70&amp;T70)*1&gt;=QC!$D$1),IF(AA70=0,#N/A,AN70/1000-((V70/1000*Y70+W70/1000*Z70)/(Y70+Z70))),#N/A)))</f>
        <v>3.3132086357808417</v>
      </c>
      <c r="AR70" s="456">
        <f t="shared" si="7"/>
        <v>0.70183850986406671</v>
      </c>
    </row>
    <row r="71" spans="19:44">
      <c r="S71" s="56" t="s">
        <v>623</v>
      </c>
      <c r="T71" s="56" t="s">
        <v>621</v>
      </c>
      <c r="U71" s="56" t="s">
        <v>713</v>
      </c>
      <c r="V71" s="449">
        <v>375.00000000000006</v>
      </c>
      <c r="W71" s="449"/>
      <c r="X71" s="449"/>
      <c r="Y71" s="452">
        <v>1</v>
      </c>
      <c r="Z71" s="452">
        <v>0</v>
      </c>
      <c r="AA71" s="452">
        <v>0</v>
      </c>
      <c r="AB71" s="449"/>
      <c r="AC71" s="449">
        <v>35030</v>
      </c>
      <c r="AD71" s="449">
        <v>6.5057545876000002</v>
      </c>
      <c r="AE71" s="56"/>
      <c r="AF71" s="56"/>
      <c r="AG71" s="56"/>
      <c r="AH71" s="56"/>
      <c r="AI71" s="56"/>
      <c r="AJ71" s="56"/>
      <c r="AK71" s="56"/>
      <c r="AL71" s="56"/>
      <c r="AM71" s="56"/>
      <c r="AN71" s="453">
        <f t="shared" si="5"/>
        <v>0</v>
      </c>
      <c r="AO71" s="454" t="e">
        <f>IF(AD71&lt;QC!$B$2,#N/A,IF(AND(V71=0,W71=0,AN71=0),#N/A,IF(AND(($S71&amp;T71)*1&lt;=QC!$D$2,($S71&amp;T71)*1&gt;=QC!$D$1),IF(Z71=0,#N/A,W71/1000-V71/1000),#N/A)))</f>
        <v>#N/A</v>
      </c>
      <c r="AP71" s="455" t="e">
        <f t="shared" si="6"/>
        <v>#N/A</v>
      </c>
      <c r="AQ71" s="454" t="e">
        <f>IF(AD71&lt;QC!$B$2,#N/A,IF(AND(V71=0,W71=0,AN71=0),#N/A,IF(AND(($S71&amp;T71)*1&lt;=QC!$D$2,($S71&amp;T71)*1&gt;=QC!$D$1),IF(AA71=0,#N/A,AN71/1000-((V71/1000*Y71+W71/1000*Z71)/(Y71+Z71))),#N/A)))</f>
        <v>#N/A</v>
      </c>
      <c r="AR71" s="456" t="e">
        <f t="shared" si="7"/>
        <v>#N/A</v>
      </c>
    </row>
    <row r="72" spans="19:44">
      <c r="S72" s="56" t="s">
        <v>623</v>
      </c>
      <c r="T72" s="56" t="s">
        <v>621</v>
      </c>
      <c r="U72" s="56" t="s">
        <v>616</v>
      </c>
      <c r="V72" s="449">
        <v>3675</v>
      </c>
      <c r="W72" s="449">
        <v>6085.5233053998672</v>
      </c>
      <c r="X72" s="449">
        <v>8984.8962343878011</v>
      </c>
      <c r="Y72" s="452">
        <v>0.33333333333333331</v>
      </c>
      <c r="Z72" s="452">
        <v>0.15439029829712658</v>
      </c>
      <c r="AA72" s="452">
        <v>0.51227636836954016</v>
      </c>
      <c r="AB72" s="449"/>
      <c r="AC72" s="449">
        <v>23945.748931785816</v>
      </c>
      <c r="AD72" s="449">
        <v>18.178283905499999</v>
      </c>
      <c r="AE72" s="56"/>
      <c r="AF72" s="56"/>
      <c r="AG72" s="56"/>
      <c r="AH72" s="56"/>
      <c r="AI72" s="56"/>
      <c r="AJ72" s="56"/>
      <c r="AK72" s="56"/>
      <c r="AL72" s="56"/>
      <c r="AM72" s="56"/>
      <c r="AN72" s="453">
        <f t="shared" si="5"/>
        <v>8984.8962343878011</v>
      </c>
      <c r="AO72" s="454" t="e">
        <f>IF(AD72&lt;QC!$B$2,#N/A,IF(AND(V72=0,W72=0,AN72=0),#N/A,IF(AND(($S72&amp;T72)*1&lt;=QC!$D$2,($S72&amp;T72)*1&gt;=QC!$D$1),IF(Z72=0,#N/A,W72/1000-V72/1000),#N/A)))</f>
        <v>#N/A</v>
      </c>
      <c r="AP72" s="455" t="e">
        <f t="shared" si="6"/>
        <v>#N/A</v>
      </c>
      <c r="AQ72" s="454" t="e">
        <f>IF(AD72&lt;QC!$B$2,#N/A,IF(AND(V72=0,W72=0,AN72=0),#N/A,IF(AND(($S72&amp;T72)*1&lt;=QC!$D$2,($S72&amp;T72)*1&gt;=QC!$D$1),IF(AA72=0,#N/A,AN72/1000-((V72/1000*Y72+W72/1000*Z72)/(Y72+Z72))),#N/A)))</f>
        <v>#N/A</v>
      </c>
      <c r="AR72" s="456" t="e">
        <f t="shared" si="7"/>
        <v>#N/A</v>
      </c>
    </row>
    <row r="73" spans="19:44">
      <c r="S73" s="56" t="s">
        <v>623</v>
      </c>
      <c r="T73" s="56" t="s">
        <v>621</v>
      </c>
      <c r="U73" s="56" t="s">
        <v>623</v>
      </c>
      <c r="V73" s="449">
        <v>3219.5693134319827</v>
      </c>
      <c r="W73" s="449">
        <v>5038.4099701231862</v>
      </c>
      <c r="X73" s="449">
        <v>7203.1469959212791</v>
      </c>
      <c r="Y73" s="452">
        <v>0.24157905653654063</v>
      </c>
      <c r="Z73" s="452">
        <v>4.8881033135101191E-2</v>
      </c>
      <c r="AA73" s="452">
        <v>0.70953991032835817</v>
      </c>
      <c r="AB73" s="449">
        <v>45.975208062697725</v>
      </c>
      <c r="AC73" s="449">
        <v>27121.56684872054</v>
      </c>
      <c r="AD73" s="449">
        <v>1003.9767700687</v>
      </c>
      <c r="AE73" s="56"/>
      <c r="AF73" s="56"/>
      <c r="AG73" s="56"/>
      <c r="AH73" s="56"/>
      <c r="AI73" s="56"/>
      <c r="AJ73" s="56"/>
      <c r="AK73" s="56"/>
      <c r="AL73" s="56"/>
      <c r="AM73" s="56"/>
      <c r="AN73" s="453">
        <f t="shared" si="5"/>
        <v>6837.6840838085673</v>
      </c>
      <c r="AO73" s="454">
        <f>IF(AD73&lt;QC!$B$2,#N/A,IF(AND(V73=0,W73=0,AN73=0),#N/A,IF(AND(($S73&amp;T73)*1&lt;=QC!$D$2,($S73&amp;T73)*1&gt;=QC!$D$1),IF(Z73=0,#N/A,W73/1000-V73/1000),#N/A)))</f>
        <v>1.8188406566912034</v>
      </c>
      <c r="AP73" s="455">
        <f t="shared" si="6"/>
        <v>0.16828829458243308</v>
      </c>
      <c r="AQ73" s="454">
        <f>IF(AD73&lt;QC!$B$2,#N/A,IF(AND(V73=0,W73=0,AN73=0),#N/A,IF(AND(($S73&amp;T73)*1&lt;=QC!$D$2,($S73&amp;T73)*1&gt;=QC!$D$1),IF(AA73=0,#N/A,AN73/1000-((V73/1000*Y73+W73/1000*Z73)/(Y73+Z73))),#N/A)))</f>
        <v>3.3120251781448298</v>
      </c>
      <c r="AR73" s="456">
        <f t="shared" si="7"/>
        <v>0.70953991032835817</v>
      </c>
    </row>
    <row r="74" spans="19:44">
      <c r="S74" s="56" t="s">
        <v>623</v>
      </c>
      <c r="T74" s="56" t="s">
        <v>621</v>
      </c>
      <c r="U74" s="56" t="s">
        <v>630</v>
      </c>
      <c r="V74" s="449">
        <v>1375</v>
      </c>
      <c r="W74" s="449"/>
      <c r="X74" s="449">
        <v>5503.2821514540756</v>
      </c>
      <c r="Y74" s="452">
        <v>0.12818482718123686</v>
      </c>
      <c r="Z74" s="452">
        <v>0</v>
      </c>
      <c r="AA74" s="452">
        <v>0.87181517281876308</v>
      </c>
      <c r="AB74" s="449">
        <v>49.910166323733158</v>
      </c>
      <c r="AC74" s="449">
        <v>25352.016592577096</v>
      </c>
      <c r="AD74" s="449">
        <v>21.894562222500003</v>
      </c>
      <c r="AE74" s="56"/>
      <c r="AF74" s="56"/>
      <c r="AG74" s="56"/>
      <c r="AH74" s="56"/>
      <c r="AI74" s="56"/>
      <c r="AJ74" s="56"/>
      <c r="AK74" s="56"/>
      <c r="AL74" s="56"/>
      <c r="AM74" s="56"/>
      <c r="AN74" s="453">
        <f t="shared" si="5"/>
        <v>6159.2551871659707</v>
      </c>
      <c r="AO74" s="454" t="e">
        <f>IF(AD74&lt;QC!$B$2,#N/A,IF(AND(V74=0,W74=0,AN74=0),#N/A,IF(AND(($S74&amp;T74)*1&lt;=QC!$D$2,($S74&amp;T74)*1&gt;=QC!$D$1),IF(Z74=0,#N/A,W74/1000-V74/1000),#N/A)))</f>
        <v>#N/A</v>
      </c>
      <c r="AP74" s="455" t="e">
        <f t="shared" si="6"/>
        <v>#N/A</v>
      </c>
      <c r="AQ74" s="454" t="e">
        <f>IF(AD74&lt;QC!$B$2,#N/A,IF(AND(V74=0,W74=0,AN74=0),#N/A,IF(AND(($S74&amp;T74)*1&lt;=QC!$D$2,($S74&amp;T74)*1&gt;=QC!$D$1),IF(AA74=0,#N/A,AN74/1000-((V74/1000*Y74+W74/1000*Z74)/(Y74+Z74))),#N/A)))</f>
        <v>#N/A</v>
      </c>
      <c r="AR74" s="456" t="e">
        <f t="shared" si="7"/>
        <v>#N/A</v>
      </c>
    </row>
    <row r="75" spans="19:44">
      <c r="S75" s="56" t="s">
        <v>623</v>
      </c>
      <c r="T75" s="56" t="s">
        <v>622</v>
      </c>
      <c r="U75" s="56" t="s">
        <v>616</v>
      </c>
      <c r="V75" s="449">
        <v>4151.5908430191557</v>
      </c>
      <c r="W75" s="449"/>
      <c r="X75" s="449"/>
      <c r="Y75" s="452">
        <v>1</v>
      </c>
      <c r="Z75" s="452">
        <v>0</v>
      </c>
      <c r="AA75" s="452">
        <v>0</v>
      </c>
      <c r="AB75" s="449"/>
      <c r="AC75" s="449"/>
      <c r="AD75" s="449">
        <v>15.553316021499999</v>
      </c>
      <c r="AE75" s="56"/>
      <c r="AF75" s="56"/>
      <c r="AG75" s="56"/>
      <c r="AH75" s="56"/>
      <c r="AI75" s="56"/>
      <c r="AJ75" s="56"/>
      <c r="AK75" s="56"/>
      <c r="AL75" s="56"/>
      <c r="AM75" s="56"/>
      <c r="AN75" s="453">
        <f t="shared" si="5"/>
        <v>0</v>
      </c>
      <c r="AO75" s="454" t="e">
        <f>IF(AD75&lt;QC!$B$2,#N/A,IF(AND(V75=0,W75=0,AN75=0),#N/A,IF(AND(($S75&amp;T75)*1&lt;=QC!$D$2,($S75&amp;T75)*1&gt;=QC!$D$1),IF(Z75=0,#N/A,W75/1000-V75/1000),#N/A)))</f>
        <v>#N/A</v>
      </c>
      <c r="AP75" s="455" t="e">
        <f t="shared" si="6"/>
        <v>#N/A</v>
      </c>
      <c r="AQ75" s="454" t="e">
        <f>IF(AD75&lt;QC!$B$2,#N/A,IF(AND(V75=0,W75=0,AN75=0),#N/A,IF(AND(($S75&amp;T75)*1&lt;=QC!$D$2,($S75&amp;T75)*1&gt;=QC!$D$1),IF(AA75=0,#N/A,AN75/1000-((V75/1000*Y75+W75/1000*Z75)/(Y75+Z75))),#N/A)))</f>
        <v>#N/A</v>
      </c>
      <c r="AR75" s="456" t="e">
        <f t="shared" si="7"/>
        <v>#N/A</v>
      </c>
    </row>
    <row r="76" spans="19:44">
      <c r="S76" s="56" t="s">
        <v>623</v>
      </c>
      <c r="T76" s="56" t="s">
        <v>622</v>
      </c>
      <c r="U76" s="56" t="s">
        <v>623</v>
      </c>
      <c r="V76" s="449">
        <v>3374.9999999999991</v>
      </c>
      <c r="W76" s="449">
        <v>3978.9294779276688</v>
      </c>
      <c r="X76" s="449">
        <v>7099.6826835028169</v>
      </c>
      <c r="Y76" s="452">
        <v>0.38613488281370634</v>
      </c>
      <c r="Z76" s="452">
        <v>3.3332597122913275E-2</v>
      </c>
      <c r="AA76" s="452">
        <v>0.5805325200633803</v>
      </c>
      <c r="AB76" s="449">
        <v>46.019488432095685</v>
      </c>
      <c r="AC76" s="449">
        <v>25782.909424555459</v>
      </c>
      <c r="AD76" s="449">
        <v>750.90846076599973</v>
      </c>
      <c r="AE76" s="56"/>
      <c r="AF76" s="56"/>
      <c r="AG76" s="56"/>
      <c r="AH76" s="56"/>
      <c r="AI76" s="56"/>
      <c r="AJ76" s="56"/>
      <c r="AK76" s="56"/>
      <c r="AL76" s="56"/>
      <c r="AM76" s="56"/>
      <c r="AN76" s="453">
        <f t="shared" si="5"/>
        <v>6763.6749377859933</v>
      </c>
      <c r="AO76" s="454">
        <f>IF(AD76&lt;QC!$B$2,#N/A,IF(AND(V76=0,W76=0,AN76=0),#N/A,IF(AND(($S76&amp;T76)*1&lt;=QC!$D$2,($S76&amp;T76)*1&gt;=QC!$D$1),IF(Z76=0,#N/A,W76/1000-V76/1000),#N/A)))</f>
        <v>0.60392947792766982</v>
      </c>
      <c r="AP76" s="455">
        <f t="shared" si="6"/>
        <v>7.9464079379764407E-2</v>
      </c>
      <c r="AQ76" s="454">
        <f>IF(AD76&lt;QC!$B$2,#N/A,IF(AND(V76=0,W76=0,AN76=0),#N/A,IF(AND(($S76&amp;T76)*1&lt;=QC!$D$2,($S76&amp;T76)*1&gt;=QC!$D$1),IF(AA76=0,#N/A,AN76/1000-((V76/1000*Y76+W76/1000*Z76)/(Y76+Z76))),#N/A)))</f>
        <v>3.3406842378121704</v>
      </c>
      <c r="AR76" s="456">
        <f t="shared" si="7"/>
        <v>0.5805325200633803</v>
      </c>
    </row>
    <row r="77" spans="19:44">
      <c r="S77" s="56" t="s">
        <v>623</v>
      </c>
      <c r="T77" s="56" t="s">
        <v>622</v>
      </c>
      <c r="U77" s="56" t="s">
        <v>630</v>
      </c>
      <c r="V77" s="449">
        <v>1374.9999999999998</v>
      </c>
      <c r="W77" s="449">
        <v>2818.7732746280853</v>
      </c>
      <c r="X77" s="449">
        <v>6110.4411602527152</v>
      </c>
      <c r="Y77" s="452">
        <v>0.18599259309900645</v>
      </c>
      <c r="Z77" s="452">
        <v>4.9929855857620005E-2</v>
      </c>
      <c r="AA77" s="452">
        <v>0.76407755104337383</v>
      </c>
      <c r="AB77" s="449">
        <v>50.045762800624416</v>
      </c>
      <c r="AC77" s="449">
        <v>27936.048399441668</v>
      </c>
      <c r="AD77" s="449">
        <v>290.90258199259995</v>
      </c>
      <c r="AE77" s="56"/>
      <c r="AF77" s="56"/>
      <c r="AG77" s="56"/>
      <c r="AH77" s="56"/>
      <c r="AI77" s="56"/>
      <c r="AJ77" s="56"/>
      <c r="AK77" s="56"/>
      <c r="AL77" s="56"/>
      <c r="AM77" s="56"/>
      <c r="AN77" s="453">
        <f t="shared" si="5"/>
        <v>6871.1552569984069</v>
      </c>
      <c r="AO77" s="454">
        <f>IF(AD77&lt;QC!$B$2,#N/A,IF(AND(V77=0,W77=0,AN77=0),#N/A,IF(AND(($S77&amp;T77)*1&lt;=QC!$D$2,($S77&amp;T77)*1&gt;=QC!$D$1),IF(Z77=0,#N/A,W77/1000-V77/1000),#N/A)))</f>
        <v>1.4437732746280856</v>
      </c>
      <c r="AP77" s="455">
        <f t="shared" si="6"/>
        <v>0.2116367309615349</v>
      </c>
      <c r="AQ77" s="454">
        <f>IF(AD77&lt;QC!$B$2,#N/A,IF(AND(V77=0,W77=0,AN77=0),#N/A,IF(AND(($S77&amp;T77)*1&lt;=QC!$D$2,($S77&amp;T77)*1&gt;=QC!$D$1),IF(AA77=0,#N/A,AN77/1000-((V77/1000*Y77+W77/1000*Z77)/(Y77+Z77))),#N/A)))</f>
        <v>5.1905998009064893</v>
      </c>
      <c r="AR77" s="456">
        <f t="shared" si="7"/>
        <v>0.76407755104337383</v>
      </c>
    </row>
    <row r="78" spans="19:44">
      <c r="S78" s="56" t="s">
        <v>623</v>
      </c>
      <c r="T78" s="56" t="s">
        <v>624</v>
      </c>
      <c r="U78" s="56" t="s">
        <v>616</v>
      </c>
      <c r="V78" s="449">
        <v>4253.1015332256138</v>
      </c>
      <c r="W78" s="449"/>
      <c r="X78" s="449"/>
      <c r="Y78" s="452">
        <v>1</v>
      </c>
      <c r="Z78" s="452">
        <v>0</v>
      </c>
      <c r="AA78" s="452">
        <v>0</v>
      </c>
      <c r="AB78" s="449"/>
      <c r="AC78" s="449"/>
      <c r="AD78" s="449">
        <v>21.655095414499996</v>
      </c>
      <c r="AE78" s="56"/>
      <c r="AF78" s="56"/>
      <c r="AG78" s="56"/>
      <c r="AH78" s="56"/>
      <c r="AI78" s="56"/>
      <c r="AJ78" s="56"/>
      <c r="AK78" s="56"/>
      <c r="AL78" s="56"/>
      <c r="AM78" s="56"/>
      <c r="AN78" s="453">
        <f t="shared" si="5"/>
        <v>0</v>
      </c>
      <c r="AO78" s="454" t="e">
        <f>IF(AD78&lt;QC!$B$2,#N/A,IF(AND(V78=0,W78=0,AN78=0),#N/A,IF(AND(($S78&amp;T78)*1&lt;=QC!$D$2,($S78&amp;T78)*1&gt;=QC!$D$1),IF(Z78=0,#N/A,W78/1000-V78/1000),#N/A)))</f>
        <v>#N/A</v>
      </c>
      <c r="AP78" s="455" t="e">
        <f t="shared" si="6"/>
        <v>#N/A</v>
      </c>
      <c r="AQ78" s="454" t="e">
        <f>IF(AD78&lt;QC!$B$2,#N/A,IF(AND(V78=0,W78=0,AN78=0),#N/A,IF(AND(($S78&amp;T78)*1&lt;=QC!$D$2,($S78&amp;T78)*1&gt;=QC!$D$1),IF(AA78=0,#N/A,AN78/1000-((V78/1000*Y78+W78/1000*Z78)/(Y78+Z78))),#N/A)))</f>
        <v>#N/A</v>
      </c>
      <c r="AR78" s="456" t="e">
        <f t="shared" si="7"/>
        <v>#N/A</v>
      </c>
    </row>
    <row r="79" spans="19:44">
      <c r="S79" s="56" t="s">
        <v>623</v>
      </c>
      <c r="T79" s="56" t="s">
        <v>624</v>
      </c>
      <c r="U79" s="56" t="s">
        <v>623</v>
      </c>
      <c r="V79" s="449">
        <v>3375</v>
      </c>
      <c r="W79" s="449"/>
      <c r="X79" s="449">
        <v>7671.0397454559043</v>
      </c>
      <c r="Y79" s="452">
        <v>0.48533177916041648</v>
      </c>
      <c r="Z79" s="452">
        <v>0</v>
      </c>
      <c r="AA79" s="452">
        <v>0.51466822083958319</v>
      </c>
      <c r="AB79" s="449">
        <v>44.089613492493257</v>
      </c>
      <c r="AC79" s="449">
        <v>27003.707470557318</v>
      </c>
      <c r="AD79" s="449">
        <v>336.08433793120003</v>
      </c>
      <c r="AE79" s="56"/>
      <c r="AF79" s="56"/>
      <c r="AG79" s="56"/>
      <c r="AH79" s="56"/>
      <c r="AI79" s="56"/>
      <c r="AJ79" s="56"/>
      <c r="AK79" s="56"/>
      <c r="AL79" s="56"/>
      <c r="AM79" s="56"/>
      <c r="AN79" s="453">
        <f t="shared" si="5"/>
        <v>6797.9845457709944</v>
      </c>
      <c r="AO79" s="454" t="e">
        <f>IF(AD79&lt;QC!$B$2,#N/A,IF(AND(V79=0,W79=0,AN79=0),#N/A,IF(AND(($S79&amp;T79)*1&lt;=QC!$D$2,($S79&amp;T79)*1&gt;=QC!$D$1),IF(Z79=0,#N/A,W79/1000-V79/1000),#N/A)))</f>
        <v>#N/A</v>
      </c>
      <c r="AP79" s="455" t="e">
        <f t="shared" si="6"/>
        <v>#N/A</v>
      </c>
      <c r="AQ79" s="454">
        <f>IF(AD79&lt;QC!$B$2,#N/A,IF(AND(V79=0,W79=0,AN79=0),#N/A,IF(AND(($S79&amp;T79)*1&lt;=QC!$D$2,($S79&amp;T79)*1&gt;=QC!$D$1),IF(AA79=0,#N/A,AN79/1000-((V79/1000*Y79+W79/1000*Z79)/(Y79+Z79))),#N/A)))</f>
        <v>3.4229845457709942</v>
      </c>
      <c r="AR79" s="456">
        <f t="shared" si="7"/>
        <v>0.51466822083958319</v>
      </c>
    </row>
    <row r="80" spans="19:44">
      <c r="S80" s="56" t="s">
        <v>623</v>
      </c>
      <c r="T80" s="56" t="s">
        <v>624</v>
      </c>
      <c r="U80" s="56" t="s">
        <v>630</v>
      </c>
      <c r="V80" s="449">
        <v>1874.9999999999998</v>
      </c>
      <c r="W80" s="449">
        <v>3266.1691714386534</v>
      </c>
      <c r="X80" s="449">
        <v>6476.4913428213522</v>
      </c>
      <c r="Y80" s="452">
        <v>0.15571393217971966</v>
      </c>
      <c r="Z80" s="452">
        <v>4.6352625481520728E-2</v>
      </c>
      <c r="AA80" s="452">
        <v>0.79793344233875951</v>
      </c>
      <c r="AB80" s="449">
        <v>48.282309443941337</v>
      </c>
      <c r="AC80" s="449">
        <v>26034.10492406115</v>
      </c>
      <c r="AD80" s="449">
        <v>756.08213203310015</v>
      </c>
      <c r="AE80" s="56"/>
      <c r="AF80" s="56"/>
      <c r="AG80" s="56"/>
      <c r="AH80" s="56"/>
      <c r="AI80" s="56"/>
      <c r="AJ80" s="56"/>
      <c r="AK80" s="56"/>
      <c r="AL80" s="56"/>
      <c r="AM80" s="56"/>
      <c r="AN80" s="453">
        <f t="shared" si="5"/>
        <v>6726.3151663746194</v>
      </c>
      <c r="AO80" s="454">
        <f>IF(AD80&lt;QC!$B$2,#N/A,IF(AND(V80=0,W80=0,AN80=0),#N/A,IF(AND(($S80&amp;T80)*1&lt;=QC!$D$2,($S80&amp;T80)*1&gt;=QC!$D$1),IF(Z80=0,#N/A,W80/1000-V80/1000),#N/A)))</f>
        <v>1.3911691714386538</v>
      </c>
      <c r="AP80" s="455">
        <f t="shared" si="6"/>
        <v>0.22939285955090979</v>
      </c>
      <c r="AQ80" s="454">
        <f>IF(AD80&lt;QC!$B$2,#N/A,IF(AND(V80=0,W80=0,AN80=0),#N/A,IF(AND(($S80&amp;T80)*1&lt;=QC!$D$2,($S80&amp;T80)*1&gt;=QC!$D$1),IF(AA80=0,#N/A,AN80/1000-((V80/1000*Y80+W80/1000*Z80)/(Y80+Z80))),#N/A)))</f>
        <v>4.5321908920192371</v>
      </c>
      <c r="AR80" s="456">
        <f t="shared" si="7"/>
        <v>0.79793344233875951</v>
      </c>
    </row>
    <row r="81" spans="19:44">
      <c r="S81" s="56" t="s">
        <v>623</v>
      </c>
      <c r="T81" s="56" t="s">
        <v>625</v>
      </c>
      <c r="U81" s="56" t="s">
        <v>616</v>
      </c>
      <c r="V81" s="449">
        <v>4375</v>
      </c>
      <c r="W81" s="449">
        <v>2466.0936474613154</v>
      </c>
      <c r="X81" s="449"/>
      <c r="Y81" s="452">
        <v>0.92186391529942824</v>
      </c>
      <c r="Z81" s="452">
        <v>7.8136084700571679E-2</v>
      </c>
      <c r="AA81" s="452">
        <v>0</v>
      </c>
      <c r="AB81" s="449"/>
      <c r="AC81" s="449"/>
      <c r="AD81" s="449">
        <v>31.276315348600004</v>
      </c>
      <c r="AE81" s="56"/>
      <c r="AF81" s="56"/>
      <c r="AG81" s="56"/>
      <c r="AH81" s="56"/>
      <c r="AI81" s="56"/>
      <c r="AJ81" s="56"/>
      <c r="AK81" s="56"/>
      <c r="AL81" s="56"/>
      <c r="AM81" s="56"/>
      <c r="AN81" s="453">
        <f t="shared" si="5"/>
        <v>0</v>
      </c>
      <c r="AO81" s="454" t="e">
        <f>IF(AD81&lt;QC!$B$2,#N/A,IF(AND(V81=0,W81=0,AN81=0),#N/A,IF(AND(($S81&amp;T81)*1&lt;=QC!$D$2,($S81&amp;T81)*1&gt;=QC!$D$1),IF(Z81=0,#N/A,W81/1000-V81/1000),#N/A)))</f>
        <v>#N/A</v>
      </c>
      <c r="AP81" s="455" t="e">
        <f t="shared" si="6"/>
        <v>#N/A</v>
      </c>
      <c r="AQ81" s="454" t="e">
        <f>IF(AD81&lt;QC!$B$2,#N/A,IF(AND(V81=0,W81=0,AN81=0),#N/A,IF(AND(($S81&amp;T81)*1&lt;=QC!$D$2,($S81&amp;T81)*1&gt;=QC!$D$1),IF(AA81=0,#N/A,AN81/1000-((V81/1000*Y81+W81/1000*Z81)/(Y81+Z81))),#N/A)))</f>
        <v>#N/A</v>
      </c>
      <c r="AR81" s="456" t="e">
        <f t="shared" si="7"/>
        <v>#N/A</v>
      </c>
    </row>
    <row r="82" spans="19:44">
      <c r="S82" s="56" t="s">
        <v>623</v>
      </c>
      <c r="T82" s="56" t="s">
        <v>625</v>
      </c>
      <c r="U82" s="56" t="s">
        <v>623</v>
      </c>
      <c r="V82" s="449">
        <v>3375</v>
      </c>
      <c r="W82" s="449">
        <v>4674.4408112109231</v>
      </c>
      <c r="X82" s="449">
        <v>7577.6717256961738</v>
      </c>
      <c r="Y82" s="452">
        <v>0.49306532391477836</v>
      </c>
      <c r="Z82" s="452">
        <v>3.7322601206745083E-2</v>
      </c>
      <c r="AA82" s="452">
        <v>0.46961207487847656</v>
      </c>
      <c r="AB82" s="449">
        <v>43.974335217950603</v>
      </c>
      <c r="AC82" s="449">
        <v>25993.646694080351</v>
      </c>
      <c r="AD82" s="449">
        <v>161.4925533489</v>
      </c>
      <c r="AE82" s="56"/>
      <c r="AF82" s="56"/>
      <c r="AG82" s="56"/>
      <c r="AH82" s="56"/>
      <c r="AI82" s="56"/>
      <c r="AJ82" s="56"/>
      <c r="AK82" s="56"/>
      <c r="AL82" s="56"/>
      <c r="AM82" s="56"/>
      <c r="AN82" s="453">
        <f t="shared" si="5"/>
        <v>6707.3077112395467</v>
      </c>
      <c r="AO82" s="454" t="e">
        <f>IF(AD82&lt;QC!$B$2,#N/A,IF(AND(V82=0,W82=0,AN82=0),#N/A,IF(AND(($S82&amp;T82)*1&lt;=QC!$D$2,($S82&amp;T82)*1&gt;=QC!$D$1),IF(Z82=0,#N/A,W82/1000-V82/1000),#N/A)))</f>
        <v>#N/A</v>
      </c>
      <c r="AP82" s="455" t="e">
        <f t="shared" si="6"/>
        <v>#N/A</v>
      </c>
      <c r="AQ82" s="454" t="e">
        <f>IF(AD82&lt;QC!$B$2,#N/A,IF(AND(V82=0,W82=0,AN82=0),#N/A,IF(AND(($S82&amp;T82)*1&lt;=QC!$D$2,($S82&amp;T82)*1&gt;=QC!$D$1),IF(AA82=0,#N/A,AN82/1000-((V82/1000*Y82+W82/1000*Z82)/(Y82+Z82))),#N/A)))</f>
        <v>#N/A</v>
      </c>
      <c r="AR82" s="456" t="e">
        <f t="shared" si="7"/>
        <v>#N/A</v>
      </c>
    </row>
    <row r="83" spans="19:44">
      <c r="S83" s="56" t="s">
        <v>623</v>
      </c>
      <c r="T83" s="56" t="s">
        <v>625</v>
      </c>
      <c r="U83" s="56" t="s">
        <v>630</v>
      </c>
      <c r="V83" s="449">
        <v>1874.9999999999998</v>
      </c>
      <c r="W83" s="449">
        <v>3257.0692540735135</v>
      </c>
      <c r="X83" s="449">
        <v>6562.0363696097766</v>
      </c>
      <c r="Y83" s="452">
        <v>0.14735559324783959</v>
      </c>
      <c r="Z83" s="452">
        <v>3.7913393927875773E-2</v>
      </c>
      <c r="AA83" s="452">
        <v>0.81473101282428484</v>
      </c>
      <c r="AB83" s="449">
        <v>48.368297111924278</v>
      </c>
      <c r="AC83" s="449">
        <v>27207.320383149487</v>
      </c>
      <c r="AD83" s="449">
        <v>688.56083279069969</v>
      </c>
      <c r="AE83" s="56"/>
      <c r="AF83" s="56"/>
      <c r="AG83" s="56"/>
      <c r="AH83" s="56"/>
      <c r="AI83" s="56"/>
      <c r="AJ83" s="56"/>
      <c r="AK83" s="56"/>
      <c r="AL83" s="56"/>
      <c r="AM83" s="56"/>
      <c r="AN83" s="453">
        <f t="shared" si="5"/>
        <v>6846.5133339338445</v>
      </c>
      <c r="AO83" s="454">
        <f>IF(AD83&lt;QC!$B$2,#N/A,IF(AND(V83=0,W83=0,AN83=0),#N/A,IF(AND(($S83&amp;T83)*1&lt;=QC!$D$2,($S83&amp;T83)*1&gt;=QC!$D$1),IF(Z83=0,#N/A,W83/1000-V83/1000),#N/A)))</f>
        <v>1.3820692540735136</v>
      </c>
      <c r="AP83" s="455">
        <f t="shared" si="6"/>
        <v>0.20463972144413695</v>
      </c>
      <c r="AQ83" s="454">
        <f>IF(AD83&lt;QC!$B$2,#N/A,IF(AND(V83=0,W83=0,AN83=0),#N/A,IF(AND(($S83&amp;T83)*1&lt;=QC!$D$2,($S83&amp;T83)*1&gt;=QC!$D$1),IF(AA83=0,#N/A,AN83/1000-((V83/1000*Y83+W83/1000*Z83)/(Y83+Z83))),#N/A)))</f>
        <v>4.6886870667637357</v>
      </c>
      <c r="AR83" s="456">
        <f t="shared" si="7"/>
        <v>0.81473101282428484</v>
      </c>
    </row>
    <row r="84" spans="19:44">
      <c r="S84" s="56" t="s">
        <v>623</v>
      </c>
      <c r="T84" s="56" t="s">
        <v>626</v>
      </c>
      <c r="U84" s="56" t="s">
        <v>616</v>
      </c>
      <c r="V84" s="449">
        <v>4137.5000000000009</v>
      </c>
      <c r="W84" s="449"/>
      <c r="X84" s="449"/>
      <c r="Y84" s="452">
        <v>1</v>
      </c>
      <c r="Z84" s="452">
        <v>0</v>
      </c>
      <c r="AA84" s="452">
        <v>0</v>
      </c>
      <c r="AB84" s="449"/>
      <c r="AC84" s="449"/>
      <c r="AD84" s="449">
        <v>12.0205994911</v>
      </c>
      <c r="AE84" s="56"/>
      <c r="AF84" s="56"/>
      <c r="AG84" s="56"/>
      <c r="AH84" s="56"/>
      <c r="AI84" s="56"/>
      <c r="AJ84" s="56"/>
      <c r="AK84" s="56"/>
      <c r="AL84" s="56"/>
      <c r="AM84" s="56"/>
      <c r="AN84" s="453">
        <f t="shared" si="5"/>
        <v>0</v>
      </c>
      <c r="AO84" s="454" t="e">
        <f>IF(AD84&lt;QC!$B$2,#N/A,IF(AND(V84=0,W84=0,AN84=0),#N/A,IF(AND(($S84&amp;T84)*1&lt;=QC!$D$2,($S84&amp;T84)*1&gt;=QC!$D$1),IF(Z84=0,#N/A,W84/1000-V84/1000),#N/A)))</f>
        <v>#N/A</v>
      </c>
      <c r="AP84" s="455" t="e">
        <f t="shared" si="6"/>
        <v>#N/A</v>
      </c>
      <c r="AQ84" s="454" t="e">
        <f>IF(AD84&lt;QC!$B$2,#N/A,IF(AND(V84=0,W84=0,AN84=0),#N/A,IF(AND(($S84&amp;T84)*1&lt;=QC!$D$2,($S84&amp;T84)*1&gt;=QC!$D$1),IF(AA84=0,#N/A,AN84/1000-((V84/1000*Y84+W84/1000*Z84)/(Y84+Z84))),#N/A)))</f>
        <v>#N/A</v>
      </c>
      <c r="AR84" s="456" t="e">
        <f t="shared" si="7"/>
        <v>#N/A</v>
      </c>
    </row>
    <row r="85" spans="19:44">
      <c r="S85" s="56" t="s">
        <v>623</v>
      </c>
      <c r="T85" s="56" t="s">
        <v>626</v>
      </c>
      <c r="U85" s="56" t="s">
        <v>623</v>
      </c>
      <c r="V85" s="449">
        <v>3637.5</v>
      </c>
      <c r="W85" s="449">
        <v>5697.0675596150613</v>
      </c>
      <c r="X85" s="449">
        <v>8147.9991111484815</v>
      </c>
      <c r="Y85" s="452">
        <v>0.46754484867724311</v>
      </c>
      <c r="Z85" s="452">
        <v>5.446952817614862E-2</v>
      </c>
      <c r="AA85" s="452">
        <v>0.4779856231466082</v>
      </c>
      <c r="AB85" s="449">
        <v>41.985595789602073</v>
      </c>
      <c r="AC85" s="449">
        <v>27783.192991141343</v>
      </c>
      <c r="AD85" s="449">
        <v>99.566724733900003</v>
      </c>
      <c r="AE85" s="56"/>
      <c r="AF85" s="56"/>
      <c r="AG85" s="56"/>
      <c r="AH85" s="56"/>
      <c r="AI85" s="56"/>
      <c r="AJ85" s="56"/>
      <c r="AK85" s="56"/>
      <c r="AL85" s="56"/>
      <c r="AM85" s="56"/>
      <c r="AN85" s="453">
        <f t="shared" si="5"/>
        <v>6665.1791142418242</v>
      </c>
      <c r="AO85" s="454" t="e">
        <f>IF(AD85&lt;QC!$B$2,#N/A,IF(AND(V85=0,W85=0,AN85=0),#N/A,IF(AND(($S85&amp;T85)*1&lt;=QC!$D$2,($S85&amp;T85)*1&gt;=QC!$D$1),IF(Z85=0,#N/A,W85/1000-V85/1000),#N/A)))</f>
        <v>#N/A</v>
      </c>
      <c r="AP85" s="455" t="e">
        <f t="shared" si="6"/>
        <v>#N/A</v>
      </c>
      <c r="AQ85" s="454" t="e">
        <f>IF(AD85&lt;QC!$B$2,#N/A,IF(AND(V85=0,W85=0,AN85=0),#N/A,IF(AND(($S85&amp;T85)*1&lt;=QC!$D$2,($S85&amp;T85)*1&gt;=QC!$D$1),IF(AA85=0,#N/A,AN85/1000-((V85/1000*Y85+W85/1000*Z85)/(Y85+Z85))),#N/A)))</f>
        <v>#N/A</v>
      </c>
      <c r="AR85" s="456" t="e">
        <f t="shared" si="7"/>
        <v>#N/A</v>
      </c>
    </row>
    <row r="86" spans="19:44">
      <c r="S86" s="56" t="s">
        <v>623</v>
      </c>
      <c r="T86" s="56" t="s">
        <v>626</v>
      </c>
      <c r="U86" s="56" t="s">
        <v>630</v>
      </c>
      <c r="V86" s="449">
        <v>2137.5</v>
      </c>
      <c r="W86" s="449">
        <v>3501.3291421534818</v>
      </c>
      <c r="X86" s="449">
        <v>7202.7834161860301</v>
      </c>
      <c r="Y86" s="452">
        <v>0.16630488688511613</v>
      </c>
      <c r="Z86" s="452">
        <v>4.1706815317986493E-2</v>
      </c>
      <c r="AA86" s="452">
        <v>0.79198829779689728</v>
      </c>
      <c r="AB86" s="449">
        <v>45.488385403138849</v>
      </c>
      <c r="AC86" s="449">
        <v>26012.068991589502</v>
      </c>
      <c r="AD86" s="449">
        <v>780.78915560010023</v>
      </c>
      <c r="AE86" s="56"/>
      <c r="AF86" s="56"/>
      <c r="AG86" s="56"/>
      <c r="AH86" s="56"/>
      <c r="AI86" s="56"/>
      <c r="AJ86" s="56"/>
      <c r="AK86" s="56"/>
      <c r="AL86" s="56"/>
      <c r="AM86" s="56"/>
      <c r="AN86" s="453">
        <f t="shared" si="5"/>
        <v>6725.6383333973299</v>
      </c>
      <c r="AO86" s="454">
        <f>IF(AD86&lt;QC!$B$2,#N/A,IF(AND(V86=0,W86=0,AN86=0),#N/A,IF(AND(($S86&amp;T86)*1&lt;=QC!$D$2,($S86&amp;T86)*1&gt;=QC!$D$1),IF(Z86=0,#N/A,W86/1000-V86/1000),#N/A)))</f>
        <v>1.3638291421534818</v>
      </c>
      <c r="AP86" s="455">
        <f t="shared" si="6"/>
        <v>0.20050225480710676</v>
      </c>
      <c r="AQ86" s="454">
        <f>IF(AD86&lt;QC!$B$2,#N/A,IF(AND(V86=0,W86=0,AN86=0),#N/A,IF(AND(($S86&amp;T86)*1&lt;=QC!$D$2,($S86&amp;T86)*1&gt;=QC!$D$1),IF(AA86=0,#N/A,AN86/1000-((V86/1000*Y86+W86/1000*Z86)/(Y86+Z86))),#N/A)))</f>
        <v>4.3146875152239144</v>
      </c>
      <c r="AR86" s="456">
        <f t="shared" si="7"/>
        <v>0.79198829779689728</v>
      </c>
    </row>
    <row r="87" spans="19:44">
      <c r="S87" s="56" t="s">
        <v>623</v>
      </c>
      <c r="T87" s="56" t="s">
        <v>627</v>
      </c>
      <c r="U87" s="56" t="s">
        <v>616</v>
      </c>
      <c r="V87" s="449">
        <v>4137.4999999999991</v>
      </c>
      <c r="W87" s="449"/>
      <c r="X87" s="449"/>
      <c r="Y87" s="452">
        <v>1</v>
      </c>
      <c r="Z87" s="452">
        <v>0</v>
      </c>
      <c r="AA87" s="452">
        <v>0</v>
      </c>
      <c r="AB87" s="449"/>
      <c r="AC87" s="449"/>
      <c r="AD87" s="449">
        <v>12.284670441099999</v>
      </c>
      <c r="AE87" s="56"/>
      <c r="AF87" s="56"/>
      <c r="AG87" s="56"/>
      <c r="AH87" s="56"/>
      <c r="AI87" s="56"/>
      <c r="AJ87" s="56"/>
      <c r="AK87" s="56"/>
      <c r="AL87" s="56"/>
      <c r="AM87" s="56"/>
      <c r="AN87" s="453">
        <f t="shared" si="5"/>
        <v>0</v>
      </c>
      <c r="AO87" s="454" t="e">
        <f>IF(AD87&lt;QC!$B$2,#N/A,IF(AND(V87=0,W87=0,AN87=0),#N/A,IF(AND(($S87&amp;T87)*1&lt;=QC!$D$2,($S87&amp;T87)*1&gt;=QC!$D$1),IF(Z87=0,#N/A,W87/1000-V87/1000),#N/A)))</f>
        <v>#N/A</v>
      </c>
      <c r="AP87" s="455" t="e">
        <f t="shared" si="6"/>
        <v>#N/A</v>
      </c>
      <c r="AQ87" s="454" t="e">
        <f>IF(AD87&lt;QC!$B$2,#N/A,IF(AND(V87=0,W87=0,AN87=0),#N/A,IF(AND(($S87&amp;T87)*1&lt;=QC!$D$2,($S87&amp;T87)*1&gt;=QC!$D$1),IF(AA87=0,#N/A,AN87/1000-((V87/1000*Y87+W87/1000*Z87)/(Y87+Z87))),#N/A)))</f>
        <v>#N/A</v>
      </c>
      <c r="AR87" s="456" t="e">
        <f t="shared" si="7"/>
        <v>#N/A</v>
      </c>
    </row>
    <row r="88" spans="19:44">
      <c r="S88" s="56" t="s">
        <v>623</v>
      </c>
      <c r="T88" s="56" t="s">
        <v>627</v>
      </c>
      <c r="U88" s="56" t="s">
        <v>623</v>
      </c>
      <c r="V88" s="449">
        <v>3637.5</v>
      </c>
      <c r="W88" s="449"/>
      <c r="X88" s="449">
        <v>8150.9691236714143</v>
      </c>
      <c r="Y88" s="452">
        <v>0.63954955077286002</v>
      </c>
      <c r="Z88" s="452">
        <v>0</v>
      </c>
      <c r="AA88" s="452">
        <v>0.36045044922714004</v>
      </c>
      <c r="AB88" s="449">
        <v>42</v>
      </c>
      <c r="AC88" s="449">
        <v>24298.425020881194</v>
      </c>
      <c r="AD88" s="449">
        <v>35.625123794499999</v>
      </c>
      <c r="AE88" s="56"/>
      <c r="AF88" s="56"/>
      <c r="AG88" s="56"/>
      <c r="AH88" s="56"/>
      <c r="AI88" s="56"/>
      <c r="AJ88" s="56"/>
      <c r="AK88" s="56"/>
      <c r="AL88" s="56"/>
      <c r="AM88" s="56"/>
      <c r="AN88" s="453">
        <f t="shared" si="5"/>
        <v>6857.6350762095972</v>
      </c>
      <c r="AO88" s="454" t="e">
        <f>IF(AD88&lt;QC!$B$2,#N/A,IF(AND(V88=0,W88=0,AN88=0),#N/A,IF(AND(($S88&amp;T88)*1&lt;=QC!$D$2,($S88&amp;T88)*1&gt;=QC!$D$1),IF(Z88=0,#N/A,W88/1000-V88/1000),#N/A)))</f>
        <v>#N/A</v>
      </c>
      <c r="AP88" s="455" t="e">
        <f t="shared" si="6"/>
        <v>#N/A</v>
      </c>
      <c r="AQ88" s="454" t="e">
        <f>IF(AD88&lt;QC!$B$2,#N/A,IF(AND(V88=0,W88=0,AN88=0),#N/A,IF(AND(($S88&amp;T88)*1&lt;=QC!$D$2,($S88&amp;T88)*1&gt;=QC!$D$1),IF(AA88=0,#N/A,AN88/1000-((V88/1000*Y88+W88/1000*Z88)/(Y88+Z88))),#N/A)))</f>
        <v>#N/A</v>
      </c>
      <c r="AR88" s="456" t="e">
        <f t="shared" si="7"/>
        <v>#N/A</v>
      </c>
    </row>
    <row r="89" spans="19:44">
      <c r="S89" s="56" t="s">
        <v>623</v>
      </c>
      <c r="T89" s="56" t="s">
        <v>627</v>
      </c>
      <c r="U89" s="56" t="s">
        <v>630</v>
      </c>
      <c r="V89" s="449">
        <v>2692.2865737808679</v>
      </c>
      <c r="W89" s="449">
        <v>4189.9385561126146</v>
      </c>
      <c r="X89" s="449">
        <v>7219.629123885622</v>
      </c>
      <c r="Y89" s="452">
        <v>0.25528337395907891</v>
      </c>
      <c r="Z89" s="452">
        <v>3.7221678838431103E-2</v>
      </c>
      <c r="AA89" s="452">
        <v>0.70749494720249018</v>
      </c>
      <c r="AB89" s="449">
        <v>45.51111014931913</v>
      </c>
      <c r="AC89" s="449">
        <v>26307.201792888121</v>
      </c>
      <c r="AD89" s="449">
        <v>693.6130512023999</v>
      </c>
      <c r="AE89" s="56"/>
      <c r="AF89" s="56"/>
      <c r="AG89" s="56"/>
      <c r="AH89" s="56"/>
      <c r="AI89" s="56"/>
      <c r="AJ89" s="56"/>
      <c r="AK89" s="56"/>
      <c r="AL89" s="56"/>
      <c r="AM89" s="56"/>
      <c r="AN89" s="453">
        <f t="shared" si="5"/>
        <v>6743.048600270622</v>
      </c>
      <c r="AO89" s="454">
        <f>IF(AD89&lt;QC!$B$2,#N/A,IF(AND(V89=0,W89=0,AN89=0),#N/A,IF(AND(($S89&amp;T89)*1&lt;=QC!$D$2,($S89&amp;T89)*1&gt;=QC!$D$1),IF(Z89=0,#N/A,W89/1000-V89/1000),#N/A)))</f>
        <v>1.4976519823317465</v>
      </c>
      <c r="AP89" s="455">
        <f t="shared" si="6"/>
        <v>0.12725140465931795</v>
      </c>
      <c r="AQ89" s="454">
        <f>IF(AD89&lt;QC!$B$2,#N/A,IF(AND(V89=0,W89=0,AN89=0),#N/A,IF(AND(($S89&amp;T89)*1&lt;=QC!$D$2,($S89&amp;T89)*1&gt;=QC!$D$1),IF(AA89=0,#N/A,AN89/1000-((V89/1000*Y89+W89/1000*Z89)/(Y89+Z89))),#N/A)))</f>
        <v>3.8601837080472277</v>
      </c>
      <c r="AR89" s="456">
        <f t="shared" si="7"/>
        <v>0.70749494720249018</v>
      </c>
    </row>
    <row r="90" spans="19:44">
      <c r="S90" s="56" t="s">
        <v>630</v>
      </c>
      <c r="T90" s="56" t="s">
        <v>628</v>
      </c>
      <c r="U90" s="56" t="s">
        <v>616</v>
      </c>
      <c r="V90" s="449">
        <v>4062.5000000000005</v>
      </c>
      <c r="W90" s="449"/>
      <c r="X90" s="449"/>
      <c r="Y90" s="452">
        <v>1</v>
      </c>
      <c r="Z90" s="452">
        <v>0</v>
      </c>
      <c r="AA90" s="452">
        <v>0</v>
      </c>
      <c r="AB90" s="449"/>
      <c r="AC90" s="449"/>
      <c r="AD90" s="449">
        <v>15.294496320199999</v>
      </c>
      <c r="AE90" s="56"/>
      <c r="AF90" s="56"/>
      <c r="AG90" s="56"/>
      <c r="AH90" s="56"/>
      <c r="AI90" s="56"/>
      <c r="AJ90" s="56"/>
      <c r="AK90" s="56"/>
      <c r="AL90" s="56"/>
      <c r="AM90" s="56"/>
      <c r="AN90" s="453">
        <f t="shared" si="5"/>
        <v>0</v>
      </c>
      <c r="AO90" s="454" t="e">
        <f>IF(AD90&lt;QC!$B$2,#N/A,IF(AND(V90=0,W90=0,AN90=0),#N/A,IF(AND(($S90&amp;T90)*1&lt;=QC!$D$2,($S90&amp;T90)*1&gt;=QC!$D$1),IF(Z90=0,#N/A,W90/1000-V90/1000),#N/A)))</f>
        <v>#N/A</v>
      </c>
      <c r="AP90" s="455" t="e">
        <f t="shared" si="6"/>
        <v>#N/A</v>
      </c>
      <c r="AQ90" s="454" t="e">
        <f>IF(AD90&lt;QC!$B$2,#N/A,IF(AND(V90=0,W90=0,AN90=0),#N/A,IF(AND(($S90&amp;T90)*1&lt;=QC!$D$2,($S90&amp;T90)*1&gt;=QC!$D$1),IF(AA90=0,#N/A,AN90/1000-((V90/1000*Y90+W90/1000*Z90)/(Y90+Z90))),#N/A)))</f>
        <v>#N/A</v>
      </c>
      <c r="AR90" s="456" t="e">
        <f t="shared" si="7"/>
        <v>#N/A</v>
      </c>
    </row>
    <row r="91" spans="19:44">
      <c r="S91" s="56" t="s">
        <v>630</v>
      </c>
      <c r="T91" s="56" t="s">
        <v>628</v>
      </c>
      <c r="U91" s="56" t="s">
        <v>623</v>
      </c>
      <c r="V91" s="449">
        <v>3562.5</v>
      </c>
      <c r="W91" s="449"/>
      <c r="X91" s="449">
        <v>9041.915000484194</v>
      </c>
      <c r="Y91" s="452">
        <v>0.52749515965368765</v>
      </c>
      <c r="Z91" s="452">
        <v>0</v>
      </c>
      <c r="AA91" s="452">
        <v>0.47250484034631218</v>
      </c>
      <c r="AB91" s="449"/>
      <c r="AC91" s="449">
        <v>24394.03049964091</v>
      </c>
      <c r="AD91" s="449">
        <v>34.223287511400002</v>
      </c>
      <c r="AE91" s="56"/>
      <c r="AF91" s="56"/>
      <c r="AG91" s="56"/>
      <c r="AH91" s="56"/>
      <c r="AI91" s="56"/>
      <c r="AJ91" s="56"/>
      <c r="AK91" s="56"/>
      <c r="AL91" s="56"/>
      <c r="AM91" s="56"/>
      <c r="AN91" s="453">
        <f t="shared" si="5"/>
        <v>9041.915000484194</v>
      </c>
      <c r="AO91" s="454" t="e">
        <f>IF(AD91&lt;QC!$B$2,#N/A,IF(AND(V91=0,W91=0,AN91=0),#N/A,IF(AND(($S91&amp;T91)*1&lt;=QC!$D$2,($S91&amp;T91)*1&gt;=QC!$D$1),IF(Z91=0,#N/A,W91/1000-V91/1000),#N/A)))</f>
        <v>#N/A</v>
      </c>
      <c r="AP91" s="455" t="e">
        <f t="shared" si="6"/>
        <v>#N/A</v>
      </c>
      <c r="AQ91" s="454" t="e">
        <f>IF(AD91&lt;QC!$B$2,#N/A,IF(AND(V91=0,W91=0,AN91=0),#N/A,IF(AND(($S91&amp;T91)*1&lt;=QC!$D$2,($S91&amp;T91)*1&gt;=QC!$D$1),IF(AA91=0,#N/A,AN91/1000-((V91/1000*Y91+W91/1000*Z91)/(Y91+Z91))),#N/A)))</f>
        <v>#N/A</v>
      </c>
      <c r="AR91" s="456" t="e">
        <f t="shared" si="7"/>
        <v>#N/A</v>
      </c>
    </row>
    <row r="92" spans="19:44">
      <c r="S92" s="56" t="s">
        <v>630</v>
      </c>
      <c r="T92" s="56" t="s">
        <v>628</v>
      </c>
      <c r="U92" s="56" t="s">
        <v>630</v>
      </c>
      <c r="V92" s="449">
        <v>2562.4999999999995</v>
      </c>
      <c r="W92" s="449">
        <v>4867.5481648883388</v>
      </c>
      <c r="X92" s="449">
        <v>7062.3173538296442</v>
      </c>
      <c r="Y92" s="452">
        <v>0.21025524214362923</v>
      </c>
      <c r="Z92" s="452">
        <v>6.8477292357339861E-2</v>
      </c>
      <c r="AA92" s="452">
        <v>0.72126746549903087</v>
      </c>
      <c r="AB92" s="449">
        <v>45.219532039301434</v>
      </c>
      <c r="AC92" s="449">
        <v>25722.300781797072</v>
      </c>
      <c r="AD92" s="449">
        <v>605.59943529740019</v>
      </c>
      <c r="AE92" s="56"/>
      <c r="AF92" s="56"/>
      <c r="AG92" s="56"/>
      <c r="AH92" s="56"/>
      <c r="AI92" s="56"/>
      <c r="AJ92" s="56"/>
      <c r="AK92" s="56"/>
      <c r="AL92" s="56"/>
      <c r="AM92" s="56"/>
      <c r="AN92" s="453">
        <f t="shared" si="5"/>
        <v>6521.3322819157747</v>
      </c>
      <c r="AO92" s="454">
        <f>IF(AD92&lt;QC!$B$2,#N/A,IF(AND(V92=0,W92=0,AN92=0),#N/A,IF(AND(($S92&amp;T92)*1&lt;=QC!$D$2,($S92&amp;T92)*1&gt;=QC!$D$1),IF(Z92=0,#N/A,W92/1000-V92/1000),#N/A)))</f>
        <v>2.3050481648883392</v>
      </c>
      <c r="AP92" s="455">
        <f t="shared" si="6"/>
        <v>0.24567384098142223</v>
      </c>
      <c r="AQ92" s="454">
        <f>IF(AD92&lt;QC!$B$2,#N/A,IF(AND(V92=0,W92=0,AN92=0),#N/A,IF(AND(($S92&amp;T92)*1&lt;=QC!$D$2,($S92&amp;T92)*1&gt;=QC!$D$1),IF(AA92=0,#N/A,AN92/1000-((V92/1000*Y92+W92/1000*Z92)/(Y92+Z92))),#N/A)))</f>
        <v>3.3925422456004779</v>
      </c>
      <c r="AR92" s="456">
        <f t="shared" si="7"/>
        <v>0.72126746549903087</v>
      </c>
    </row>
    <row r="93" spans="19:44">
      <c r="S93" s="56" t="s">
        <v>630</v>
      </c>
      <c r="T93" s="56" t="s">
        <v>629</v>
      </c>
      <c r="U93" s="56" t="s">
        <v>616</v>
      </c>
      <c r="V93" s="449">
        <v>4062.5000000000005</v>
      </c>
      <c r="W93" s="449"/>
      <c r="X93" s="449"/>
      <c r="Y93" s="452">
        <v>1</v>
      </c>
      <c r="Z93" s="452">
        <v>0</v>
      </c>
      <c r="AA93" s="452">
        <v>0</v>
      </c>
      <c r="AB93" s="449"/>
      <c r="AC93" s="449"/>
      <c r="AD93" s="449">
        <v>5.0049278684000003</v>
      </c>
      <c r="AE93" s="56"/>
      <c r="AF93" s="56"/>
      <c r="AG93" s="56"/>
      <c r="AH93" s="56"/>
      <c r="AI93" s="56"/>
      <c r="AJ93" s="56"/>
      <c r="AK93" s="56"/>
      <c r="AL93" s="56"/>
      <c r="AM93" s="56"/>
      <c r="AN93" s="453">
        <f t="shared" si="5"/>
        <v>0</v>
      </c>
      <c r="AO93" s="454" t="e">
        <f>IF(AD93&lt;QC!$B$2,#N/A,IF(AND(V93=0,W93=0,AN93=0),#N/A,IF(AND(($S93&amp;T93)*1&lt;=QC!$D$2,($S93&amp;T93)*1&gt;=QC!$D$1),IF(Z93=0,#N/A,W93/1000-V93/1000),#N/A)))</f>
        <v>#N/A</v>
      </c>
      <c r="AP93" s="455" t="e">
        <f t="shared" si="6"/>
        <v>#N/A</v>
      </c>
      <c r="AQ93" s="454" t="e">
        <f>IF(AD93&lt;QC!$B$2,#N/A,IF(AND(V93=0,W93=0,AN93=0),#N/A,IF(AND(($S93&amp;T93)*1&lt;=QC!$D$2,($S93&amp;T93)*1&gt;=QC!$D$1),IF(AA93=0,#N/A,AN93/1000-((V93/1000*Y93+W93/1000*Z93)/(Y93+Z93))),#N/A)))</f>
        <v>#N/A</v>
      </c>
      <c r="AR93" s="456" t="e">
        <f t="shared" si="7"/>
        <v>#N/A</v>
      </c>
    </row>
    <row r="94" spans="19:44">
      <c r="S94" s="56" t="s">
        <v>630</v>
      </c>
      <c r="T94" s="56" t="s">
        <v>629</v>
      </c>
      <c r="U94" s="56" t="s">
        <v>623</v>
      </c>
      <c r="V94" s="449">
        <v>3562.5</v>
      </c>
      <c r="W94" s="449"/>
      <c r="X94" s="449"/>
      <c r="Y94" s="452">
        <v>1</v>
      </c>
      <c r="Z94" s="452">
        <v>0</v>
      </c>
      <c r="AA94" s="452">
        <v>0</v>
      </c>
      <c r="AB94" s="449"/>
      <c r="AC94" s="449"/>
      <c r="AD94" s="449">
        <v>44.3324283181</v>
      </c>
      <c r="AE94" s="56"/>
      <c r="AF94" s="56"/>
      <c r="AG94" s="56"/>
      <c r="AH94" s="56"/>
      <c r="AI94" s="56"/>
      <c r="AJ94" s="56"/>
      <c r="AK94" s="56"/>
      <c r="AL94" s="56"/>
      <c r="AM94" s="56"/>
      <c r="AN94" s="453">
        <f t="shared" si="5"/>
        <v>0</v>
      </c>
      <c r="AO94" s="454" t="e">
        <f>IF(AD94&lt;QC!$B$2,#N/A,IF(AND(V94=0,W94=0,AN94=0),#N/A,IF(AND(($S94&amp;T94)*1&lt;=QC!$D$2,($S94&amp;T94)*1&gt;=QC!$D$1),IF(Z94=0,#N/A,W94/1000-V94/1000),#N/A)))</f>
        <v>#N/A</v>
      </c>
      <c r="AP94" s="455" t="e">
        <f t="shared" si="6"/>
        <v>#N/A</v>
      </c>
      <c r="AQ94" s="454" t="e">
        <f>IF(AD94&lt;QC!$B$2,#N/A,IF(AND(V94=0,W94=0,AN94=0),#N/A,IF(AND(($S94&amp;T94)*1&lt;=QC!$D$2,($S94&amp;T94)*1&gt;=QC!$D$1),IF(AA94=0,#N/A,AN94/1000-((V94/1000*Y94+W94/1000*Z94)/(Y94+Z94))),#N/A)))</f>
        <v>#N/A</v>
      </c>
      <c r="AR94" s="456" t="e">
        <f t="shared" si="7"/>
        <v>#N/A</v>
      </c>
    </row>
    <row r="95" spans="19:44">
      <c r="S95" s="56" t="s">
        <v>630</v>
      </c>
      <c r="T95" s="56" t="s">
        <v>629</v>
      </c>
      <c r="U95" s="56" t="s">
        <v>630</v>
      </c>
      <c r="V95" s="449">
        <v>2973.6829258857701</v>
      </c>
      <c r="W95" s="449">
        <v>5160.679198716598</v>
      </c>
      <c r="X95" s="449">
        <v>7524.331229334507</v>
      </c>
      <c r="Y95" s="452">
        <v>0.20628392628830616</v>
      </c>
      <c r="Z95" s="452">
        <v>5.7126719637773868E-2</v>
      </c>
      <c r="AA95" s="452">
        <v>0.73658935407392001</v>
      </c>
      <c r="AB95" s="449">
        <v>45.397928852479374</v>
      </c>
      <c r="AC95" s="449">
        <v>25584.898416396918</v>
      </c>
      <c r="AD95" s="449">
        <v>818.59901765439986</v>
      </c>
      <c r="AE95" s="56"/>
      <c r="AF95" s="56"/>
      <c r="AG95" s="56"/>
      <c r="AH95" s="56"/>
      <c r="AI95" s="56"/>
      <c r="AJ95" s="56"/>
      <c r="AK95" s="56"/>
      <c r="AL95" s="56"/>
      <c r="AM95" s="56"/>
      <c r="AN95" s="453">
        <f t="shared" si="5"/>
        <v>7031.8786134357988</v>
      </c>
      <c r="AO95" s="454">
        <f>IF(AD95&lt;QC!$B$2,#N/A,IF(AND(V95=0,W95=0,AN95=0),#N/A,IF(AND(($S95&amp;T95)*1&lt;=QC!$D$2,($S95&amp;T95)*1&gt;=QC!$D$1),IF(Z95=0,#N/A,W95/1000-V95/1000),#N/A)))</f>
        <v>2.1869962728308279</v>
      </c>
      <c r="AP95" s="455">
        <f t="shared" si="6"/>
        <v>0.21687323774227837</v>
      </c>
      <c r="AQ95" s="454">
        <f>IF(AD95&lt;QC!$B$2,#N/A,IF(AND(V95=0,W95=0,AN95=0),#N/A,IF(AND(($S95&amp;T95)*1&lt;=QC!$D$2,($S95&amp;T95)*1&gt;=QC!$D$1),IF(AA95=0,#N/A,AN95/1000-((V95/1000*Y95+W95/1000*Z95)/(Y95+Z95))),#N/A)))</f>
        <v>3.5838947249309121</v>
      </c>
      <c r="AR95" s="456">
        <f t="shared" si="7"/>
        <v>0.73658935407392001</v>
      </c>
    </row>
    <row r="96" spans="19:44">
      <c r="S96" s="56" t="s">
        <v>630</v>
      </c>
      <c r="T96" s="56" t="s">
        <v>617</v>
      </c>
      <c r="U96" s="56" t="s">
        <v>623</v>
      </c>
      <c r="V96" s="449">
        <v>4062.5</v>
      </c>
      <c r="W96" s="449"/>
      <c r="X96" s="449">
        <v>10541.152205379161</v>
      </c>
      <c r="Y96" s="452">
        <v>0.69244569007248691</v>
      </c>
      <c r="Z96" s="452">
        <v>0</v>
      </c>
      <c r="AA96" s="452">
        <v>0.30755430992751309</v>
      </c>
      <c r="AB96" s="449"/>
      <c r="AC96" s="449">
        <v>26947.317299897135</v>
      </c>
      <c r="AD96" s="449">
        <v>29.174895738300002</v>
      </c>
      <c r="AE96" s="56"/>
      <c r="AF96" s="56"/>
      <c r="AG96" s="56"/>
      <c r="AH96" s="56"/>
      <c r="AI96" s="56"/>
      <c r="AJ96" s="56"/>
      <c r="AK96" s="56"/>
      <c r="AL96" s="56"/>
      <c r="AM96" s="56"/>
      <c r="AN96" s="453">
        <f t="shared" ref="AN96:AN130" si="8">X96+IF(AB96=0,0,(AB96-$AB$27)*AC96/100)</f>
        <v>10541.152205379161</v>
      </c>
      <c r="AO96" s="454" t="e">
        <f>IF(AD96&lt;QC!$B$2,#N/A,IF(AND(V96=0,W96=0,AN96=0),#N/A,IF(AND(($S96&amp;T96)*1&lt;=QC!$D$2,($S96&amp;T96)*1&gt;=QC!$D$1),IF(Z96=0,#N/A,W96/1000-V96/1000),#N/A)))</f>
        <v>#N/A</v>
      </c>
      <c r="AP96" s="455" t="e">
        <f t="shared" ref="AP96:AP130" si="9">IF(ISERROR(AO96),#N/A,Z96/(Y96+Z96))</f>
        <v>#N/A</v>
      </c>
      <c r="AQ96" s="454" t="e">
        <f>IF(AD96&lt;QC!$B$2,#N/A,IF(AND(V96=0,W96=0,AN96=0),#N/A,IF(AND(($S96&amp;T96)*1&lt;=QC!$D$2,($S96&amp;T96)*1&gt;=QC!$D$1),IF(AA96=0,#N/A,AN96/1000-((V96/1000*Y96+W96/1000*Z96)/(Y96+Z96))),#N/A)))</f>
        <v>#N/A</v>
      </c>
      <c r="AR96" s="456" t="e">
        <f t="shared" ref="AR96:AR130" si="10">IF(ISERROR(AQ96),#N/A,AA96)</f>
        <v>#N/A</v>
      </c>
    </row>
    <row r="97" spans="19:44">
      <c r="S97" s="56" t="s">
        <v>630</v>
      </c>
      <c r="T97" s="56" t="s">
        <v>617</v>
      </c>
      <c r="U97" s="56" t="s">
        <v>630</v>
      </c>
      <c r="V97" s="449">
        <v>3678.0781403380192</v>
      </c>
      <c r="W97" s="449">
        <v>4930.6261199345317</v>
      </c>
      <c r="X97" s="449">
        <v>7258.7379982372904</v>
      </c>
      <c r="Y97" s="452">
        <v>0.28755618094610275</v>
      </c>
      <c r="Z97" s="452">
        <v>2.9228205948741735E-2</v>
      </c>
      <c r="AA97" s="452">
        <v>0.68321561310515522</v>
      </c>
      <c r="AB97" s="449">
        <v>46.36304367487368</v>
      </c>
      <c r="AC97" s="449">
        <v>25589.879705974054</v>
      </c>
      <c r="AD97" s="449">
        <v>951.07773111529991</v>
      </c>
      <c r="AE97" s="56"/>
      <c r="AF97" s="56"/>
      <c r="AG97" s="56"/>
      <c r="AH97" s="56"/>
      <c r="AI97" s="56"/>
      <c r="AJ97" s="56"/>
      <c r="AK97" s="56"/>
      <c r="AL97" s="56"/>
      <c r="AM97" s="56"/>
      <c r="AN97" s="453">
        <f t="shared" si="8"/>
        <v>7013.1612256245771</v>
      </c>
      <c r="AO97" s="454">
        <f>IF(AD97&lt;QC!$B$2,#N/A,IF(AND(V97=0,W97=0,AN97=0),#N/A,IF(AND(($S97&amp;T97)*1&lt;=QC!$D$2,($S97&amp;T97)*1&gt;=QC!$D$1),IF(Z97=0,#N/A,W97/1000-V97/1000),#N/A)))</f>
        <v>1.2525479795965127</v>
      </c>
      <c r="AP97" s="455">
        <f t="shared" si="9"/>
        <v>9.2265298284551933E-2</v>
      </c>
      <c r="AQ97" s="454">
        <f>IF(AD97&lt;QC!$B$2,#N/A,IF(AND(V97=0,W97=0,AN97=0),#N/A,IF(AND(($S97&amp;T97)*1&lt;=QC!$D$2,($S97&amp;T97)*1&gt;=QC!$D$1),IF(AA97=0,#N/A,AN97/1000-((V97/1000*Y97+W97/1000*Z97)/(Y97+Z97))),#N/A)))</f>
        <v>3.2195163723333735</v>
      </c>
      <c r="AR97" s="456">
        <f t="shared" si="10"/>
        <v>0.68321561310515522</v>
      </c>
    </row>
    <row r="98" spans="19:44">
      <c r="S98" s="56" t="s">
        <v>630</v>
      </c>
      <c r="T98" s="56" t="s">
        <v>618</v>
      </c>
      <c r="U98" s="56" t="s">
        <v>623</v>
      </c>
      <c r="V98" s="449">
        <v>4062.5000000000009</v>
      </c>
      <c r="W98" s="449"/>
      <c r="X98" s="449">
        <v>11783.392576782593</v>
      </c>
      <c r="Y98" s="452">
        <v>0.43286906719501422</v>
      </c>
      <c r="Z98" s="452">
        <v>0</v>
      </c>
      <c r="AA98" s="452">
        <v>0.56713093280498572</v>
      </c>
      <c r="AB98" s="449"/>
      <c r="AC98" s="449">
        <v>30282.5</v>
      </c>
      <c r="AD98" s="449">
        <v>14.755310445000001</v>
      </c>
      <c r="AE98" s="56"/>
      <c r="AF98" s="56"/>
      <c r="AG98" s="56"/>
      <c r="AH98" s="56"/>
      <c r="AI98" s="56"/>
      <c r="AJ98" s="56"/>
      <c r="AK98" s="56"/>
      <c r="AL98" s="56"/>
      <c r="AM98" s="56"/>
      <c r="AN98" s="453">
        <f t="shared" si="8"/>
        <v>11783.392576782593</v>
      </c>
      <c r="AO98" s="454" t="e">
        <f>IF(AD98&lt;QC!$B$2,#N/A,IF(AND(V98=0,W98=0,AN98=0),#N/A,IF(AND(($S98&amp;T98)*1&lt;=QC!$D$2,($S98&amp;T98)*1&gt;=QC!$D$1),IF(Z98=0,#N/A,W98/1000-V98/1000),#N/A)))</f>
        <v>#N/A</v>
      </c>
      <c r="AP98" s="455" t="e">
        <f t="shared" si="9"/>
        <v>#N/A</v>
      </c>
      <c r="AQ98" s="454" t="e">
        <f>IF(AD98&lt;QC!$B$2,#N/A,IF(AND(V98=0,W98=0,AN98=0),#N/A,IF(AND(($S98&amp;T98)*1&lt;=QC!$D$2,($S98&amp;T98)*1&gt;=QC!$D$1),IF(AA98=0,#N/A,AN98/1000-((V98/1000*Y98+W98/1000*Z98)/(Y98+Z98))),#N/A)))</f>
        <v>#N/A</v>
      </c>
      <c r="AR98" s="456" t="e">
        <f t="shared" si="10"/>
        <v>#N/A</v>
      </c>
    </row>
    <row r="99" spans="19:44">
      <c r="S99" s="56" t="s">
        <v>630</v>
      </c>
      <c r="T99" s="56" t="s">
        <v>618</v>
      </c>
      <c r="U99" s="56" t="s">
        <v>630</v>
      </c>
      <c r="V99" s="449">
        <v>3664.3800128545749</v>
      </c>
      <c r="W99" s="449">
        <v>5260.4301636846158</v>
      </c>
      <c r="X99" s="449">
        <v>7212.930756504119</v>
      </c>
      <c r="Y99" s="452">
        <v>0.29376525880597637</v>
      </c>
      <c r="Z99" s="452">
        <v>6.8679823658523195E-2</v>
      </c>
      <c r="AA99" s="452">
        <v>0.63755491753550042</v>
      </c>
      <c r="AB99" s="449">
        <v>46.345871171345017</v>
      </c>
      <c r="AC99" s="449">
        <v>25690.712428525072</v>
      </c>
      <c r="AD99" s="449">
        <v>770.98988233830016</v>
      </c>
      <c r="AE99" s="56"/>
      <c r="AF99" s="56"/>
      <c r="AG99" s="56"/>
      <c r="AH99" s="56"/>
      <c r="AI99" s="56"/>
      <c r="AJ99" s="56"/>
      <c r="AK99" s="56"/>
      <c r="AL99" s="56"/>
      <c r="AM99" s="56"/>
      <c r="AN99" s="453">
        <f t="shared" si="8"/>
        <v>6961.9745904114079</v>
      </c>
      <c r="AO99" s="454">
        <f>IF(AD99&lt;QC!$B$2,#N/A,IF(AND(V99=0,W99=0,AN99=0),#N/A,IF(AND(($S99&amp;T99)*1&lt;=QC!$D$2,($S99&amp;T99)*1&gt;=QC!$D$1),IF(Z99=0,#N/A,W99/1000-V99/1000),#N/A)))</f>
        <v>1.5960501508300404</v>
      </c>
      <c r="AP99" s="455">
        <f t="shared" si="9"/>
        <v>0.18949028965029532</v>
      </c>
      <c r="AQ99" s="454">
        <f>IF(AD99&lt;QC!$B$2,#N/A,IF(AND(V99=0,W99=0,AN99=0),#N/A,IF(AND(($S99&amp;T99)*1&lt;=QC!$D$2,($S99&amp;T99)*1&gt;=QC!$D$1),IF(AA99=0,#N/A,AN99/1000-((V99/1000*Y99+W99/1000*Z99)/(Y99+Z99))),#N/A)))</f>
        <v>2.9951585721796512</v>
      </c>
      <c r="AR99" s="456">
        <f t="shared" si="10"/>
        <v>0.63755491753550042</v>
      </c>
    </row>
    <row r="100" spans="19:44">
      <c r="S100" s="56" t="s">
        <v>630</v>
      </c>
      <c r="T100" s="56" t="s">
        <v>619</v>
      </c>
      <c r="U100" s="56" t="s">
        <v>623</v>
      </c>
      <c r="V100" s="449">
        <v>513.75</v>
      </c>
      <c r="W100" s="449"/>
      <c r="X100" s="449"/>
      <c r="Y100" s="452">
        <v>1</v>
      </c>
      <c r="Z100" s="452">
        <v>0</v>
      </c>
      <c r="AA100" s="452">
        <v>0</v>
      </c>
      <c r="AB100" s="449"/>
      <c r="AC100" s="449"/>
      <c r="AD100" s="449">
        <v>18.855441352399996</v>
      </c>
      <c r="AE100" s="56"/>
      <c r="AF100" s="56"/>
      <c r="AG100" s="56"/>
      <c r="AH100" s="56"/>
      <c r="AI100" s="56"/>
      <c r="AJ100" s="56"/>
      <c r="AK100" s="56"/>
      <c r="AL100" s="56"/>
      <c r="AM100" s="56"/>
      <c r="AN100" s="453">
        <f t="shared" si="8"/>
        <v>0</v>
      </c>
      <c r="AO100" s="454" t="e">
        <f>IF(AD100&lt;QC!$B$2,#N/A,IF(AND(V100=0,W100=0,AN100=0),#N/A,IF(AND(($S100&amp;T100)*1&lt;=QC!$D$2,($S100&amp;T100)*1&gt;=QC!$D$1),IF(Z100=0,#N/A,W100/1000-V100/1000),#N/A)))</f>
        <v>#N/A</v>
      </c>
      <c r="AP100" s="455" t="e">
        <f t="shared" si="9"/>
        <v>#N/A</v>
      </c>
      <c r="AQ100" s="454" t="e">
        <f>IF(AD100&lt;QC!$B$2,#N/A,IF(AND(V100=0,W100=0,AN100=0),#N/A,IF(AND(($S100&amp;T100)*1&lt;=QC!$D$2,($S100&amp;T100)*1&gt;=QC!$D$1),IF(AA100=0,#N/A,AN100/1000-((V100/1000*Y100+W100/1000*Z100)/(Y100+Z100))),#N/A)))</f>
        <v>#N/A</v>
      </c>
      <c r="AR100" s="456" t="e">
        <f t="shared" si="10"/>
        <v>#N/A</v>
      </c>
    </row>
    <row r="101" spans="19:44">
      <c r="S101" s="56" t="s">
        <v>630</v>
      </c>
      <c r="T101" s="56" t="s">
        <v>619</v>
      </c>
      <c r="U101" s="56" t="s">
        <v>630</v>
      </c>
      <c r="V101" s="449">
        <v>3914.5686141219735</v>
      </c>
      <c r="W101" s="449">
        <v>4785.3513199189501</v>
      </c>
      <c r="X101" s="449">
        <v>7177.956525249856</v>
      </c>
      <c r="Y101" s="452">
        <v>0.39363762144292969</v>
      </c>
      <c r="Z101" s="452">
        <v>5.0449026628692606E-2</v>
      </c>
      <c r="AA101" s="452">
        <v>0.55591335192837799</v>
      </c>
      <c r="AB101" s="449">
        <v>45.175408804983071</v>
      </c>
      <c r="AC101" s="449">
        <v>25523.067622657371</v>
      </c>
      <c r="AD101" s="449">
        <v>1083.7294809371995</v>
      </c>
      <c r="AE101" s="56"/>
      <c r="AF101" s="56"/>
      <c r="AG101" s="56"/>
      <c r="AH101" s="56"/>
      <c r="AI101" s="56"/>
      <c r="AJ101" s="56"/>
      <c r="AK101" s="56"/>
      <c r="AL101" s="56"/>
      <c r="AM101" s="56"/>
      <c r="AN101" s="453">
        <f t="shared" si="8"/>
        <v>6629.9000729594791</v>
      </c>
      <c r="AO101" s="454">
        <f>IF(AD101&lt;QC!$B$2,#N/A,IF(AND(V101=0,W101=0,AN101=0),#N/A,IF(AND(($S101&amp;T101)*1&lt;=QC!$D$2,($S101&amp;T101)*1&gt;=QC!$D$1),IF(Z101=0,#N/A,W101/1000-V101/1000),#N/A)))</f>
        <v>0.87078270579697703</v>
      </c>
      <c r="AP101" s="455">
        <f t="shared" si="9"/>
        <v>0.11360176408761605</v>
      </c>
      <c r="AQ101" s="454">
        <f>IF(AD101&lt;QC!$B$2,#N/A,IF(AND(V101=0,W101=0,AN101=0),#N/A,IF(AND(($S101&amp;T101)*1&lt;=QC!$D$2,($S101&amp;T101)*1&gt;=QC!$D$1),IF(AA101=0,#N/A,AN101/1000-((V101/1000*Y101+W101/1000*Z101)/(Y101+Z101))),#N/A)))</f>
        <v>2.6164090073219821</v>
      </c>
      <c r="AR101" s="456">
        <f t="shared" si="10"/>
        <v>0.55591335192837799</v>
      </c>
    </row>
    <row r="102" spans="19:44">
      <c r="S102" s="56" t="s">
        <v>630</v>
      </c>
      <c r="T102" s="56" t="s">
        <v>620</v>
      </c>
      <c r="U102" s="56" t="s">
        <v>630</v>
      </c>
      <c r="V102" s="449">
        <v>4155.1827088231139</v>
      </c>
      <c r="W102" s="449"/>
      <c r="X102" s="449">
        <v>7454.6142161594998</v>
      </c>
      <c r="Y102" s="452">
        <v>0.36654474205259813</v>
      </c>
      <c r="Z102" s="452">
        <v>0</v>
      </c>
      <c r="AA102" s="452">
        <v>0.63345525794740198</v>
      </c>
      <c r="AB102" s="449">
        <v>45.207503533222528</v>
      </c>
      <c r="AC102" s="449">
        <v>25285.324056697569</v>
      </c>
      <c r="AD102" s="449">
        <v>206.87278850699997</v>
      </c>
      <c r="AE102" s="56"/>
      <c r="AF102" s="56"/>
      <c r="AG102" s="56"/>
      <c r="AH102" s="56"/>
      <c r="AI102" s="56"/>
      <c r="AJ102" s="56"/>
      <c r="AK102" s="56"/>
      <c r="AL102" s="56"/>
      <c r="AM102" s="56"/>
      <c r="AN102" s="453">
        <f t="shared" si="8"/>
        <v>6919.7780839732468</v>
      </c>
      <c r="AO102" s="454" t="e">
        <f>IF(AD102&lt;QC!$B$2,#N/A,IF(AND(V102=0,W102=0,AN102=0),#N/A,IF(AND(($S102&amp;T102)*1&lt;=QC!$D$2,($S102&amp;T102)*1&gt;=QC!$D$1),IF(Z102=0,#N/A,W102/1000-V102/1000),#N/A)))</f>
        <v>#N/A</v>
      </c>
      <c r="AP102" s="455" t="e">
        <f t="shared" si="9"/>
        <v>#N/A</v>
      </c>
      <c r="AQ102" s="454" t="e">
        <f>IF(AD102&lt;QC!$B$2,#N/A,IF(AND(V102=0,W102=0,AN102=0),#N/A,IF(AND(($S102&amp;T102)*1&lt;=QC!$D$2,($S102&amp;T102)*1&gt;=QC!$D$1),IF(AA102=0,#N/A,AN102/1000-((V102/1000*Y102+W102/1000*Z102)/(Y102+Z102))),#N/A)))</f>
        <v>#N/A</v>
      </c>
      <c r="AR102" s="456" t="e">
        <f t="shared" si="10"/>
        <v>#N/A</v>
      </c>
    </row>
    <row r="103" spans="19:44">
      <c r="S103"/>
      <c r="T103"/>
      <c r="U103"/>
      <c r="V103"/>
      <c r="W103"/>
      <c r="X103"/>
      <c r="Y103"/>
      <c r="Z103"/>
      <c r="AA103"/>
      <c r="AB103"/>
      <c r="AC103"/>
      <c r="AD103"/>
      <c r="AE103" s="56"/>
      <c r="AF103" s="56"/>
      <c r="AG103" s="56"/>
      <c r="AH103" s="56"/>
      <c r="AI103" s="56"/>
      <c r="AJ103" s="56"/>
      <c r="AK103" s="56"/>
      <c r="AL103" s="56"/>
      <c r="AM103" s="56"/>
      <c r="AN103" s="453">
        <f t="shared" si="8"/>
        <v>0</v>
      </c>
      <c r="AO103" s="454" t="e">
        <f>IF(AD103&lt;QC!$B$2,#N/A,IF(AND(V103=0,W103=0,AN103=0),#N/A,IF(AND(($S103&amp;T103)*1&lt;=QC!$D$2,($S103&amp;T103)*1&gt;=QC!$D$1),IF(Z103=0,#N/A,W103/1000-V103/1000),#N/A)))</f>
        <v>#N/A</v>
      </c>
      <c r="AP103" s="455" t="e">
        <f t="shared" si="9"/>
        <v>#N/A</v>
      </c>
      <c r="AQ103" s="454" t="e">
        <f>IF(AD103&lt;QC!$B$2,#N/A,IF(AND(V103=0,W103=0,AN103=0),#N/A,IF(AND(($S103&amp;T103)*1&lt;=QC!$D$2,($S103&amp;T103)*1&gt;=QC!$D$1),IF(AA103=0,#N/A,AN103/1000-((V103/1000*Y103+W103/1000*Z103)/(Y103+Z103))),#N/A)))</f>
        <v>#N/A</v>
      </c>
      <c r="AR103" s="456" t="e">
        <f t="shared" si="10"/>
        <v>#N/A</v>
      </c>
    </row>
    <row r="104" spans="19:44">
      <c r="S104"/>
      <c r="T104"/>
      <c r="U104"/>
      <c r="V104"/>
      <c r="W104"/>
      <c r="X104"/>
      <c r="Y104"/>
      <c r="Z104"/>
      <c r="AA104"/>
      <c r="AB104"/>
      <c r="AC104"/>
      <c r="AD104"/>
      <c r="AE104" s="56"/>
      <c r="AF104" s="56"/>
      <c r="AG104" s="56"/>
      <c r="AH104" s="56"/>
      <c r="AI104" s="56"/>
      <c r="AJ104" s="56"/>
      <c r="AK104" s="56"/>
      <c r="AL104" s="56"/>
      <c r="AM104" s="56"/>
      <c r="AN104" s="453">
        <f t="shared" si="8"/>
        <v>0</v>
      </c>
      <c r="AO104" s="454" t="e">
        <f>IF(AD104&lt;QC!$B$2,#N/A,IF(AND(V104=0,W104=0,AN104=0),#N/A,IF(AND(($S104&amp;T104)*1&lt;=QC!$D$2,($S104&amp;T104)*1&gt;=QC!$D$1),IF(Z104=0,#N/A,W104/1000-V104/1000),#N/A)))</f>
        <v>#N/A</v>
      </c>
      <c r="AP104" s="455" t="e">
        <f t="shared" si="9"/>
        <v>#N/A</v>
      </c>
      <c r="AQ104" s="454" t="e">
        <f>IF(AD104&lt;QC!$B$2,#N/A,IF(AND(V104=0,W104=0,AN104=0),#N/A,IF(AND(($S104&amp;T104)*1&lt;=QC!$D$2,($S104&amp;T104)*1&gt;=QC!$D$1),IF(AA104=0,#N/A,AN104/1000-((V104/1000*Y104+W104/1000*Z104)/(Y104+Z104))),#N/A)))</f>
        <v>#N/A</v>
      </c>
      <c r="AR104" s="456" t="e">
        <f t="shared" si="10"/>
        <v>#N/A</v>
      </c>
    </row>
    <row r="105" spans="19:44">
      <c r="S105"/>
      <c r="T105"/>
      <c r="U105"/>
      <c r="V105"/>
      <c r="W105"/>
      <c r="X105"/>
      <c r="Y105"/>
      <c r="Z105"/>
      <c r="AA105"/>
      <c r="AB105"/>
      <c r="AC105"/>
      <c r="AD105"/>
      <c r="AE105" s="56"/>
      <c r="AF105" s="56"/>
      <c r="AG105" s="56"/>
      <c r="AH105" s="56"/>
      <c r="AI105" s="56"/>
      <c r="AJ105" s="56"/>
      <c r="AK105" s="56"/>
      <c r="AL105" s="56"/>
      <c r="AM105" s="56"/>
      <c r="AN105" s="453">
        <f t="shared" si="8"/>
        <v>0</v>
      </c>
      <c r="AO105" s="454" t="e">
        <f>IF(AD105&lt;QC!$B$2,#N/A,IF(AND(V105=0,W105=0,AN105=0),#N/A,IF(AND(($S105&amp;T105)*1&lt;=QC!$D$2,($S105&amp;T105)*1&gt;=QC!$D$1),IF(Z105=0,#N/A,W105/1000-V105/1000),#N/A)))</f>
        <v>#N/A</v>
      </c>
      <c r="AP105" s="455" t="e">
        <f t="shared" si="9"/>
        <v>#N/A</v>
      </c>
      <c r="AQ105" s="454" t="e">
        <f>IF(AD105&lt;QC!$B$2,#N/A,IF(AND(V105=0,W105=0,AN105=0),#N/A,IF(AND(($S105&amp;T105)*1&lt;=QC!$D$2,($S105&amp;T105)*1&gt;=QC!$D$1),IF(AA105=0,#N/A,AN105/1000-((V105/1000*Y105+W105/1000*Z105)/(Y105+Z105))),#N/A)))</f>
        <v>#N/A</v>
      </c>
      <c r="AR105" s="456" t="e">
        <f t="shared" si="10"/>
        <v>#N/A</v>
      </c>
    </row>
    <row r="106" spans="19:44">
      <c r="S106"/>
      <c r="T106"/>
      <c r="U106"/>
      <c r="V106"/>
      <c r="W106"/>
      <c r="X106"/>
      <c r="Y106"/>
      <c r="Z106"/>
      <c r="AA106"/>
      <c r="AB106"/>
      <c r="AC106"/>
      <c r="AD106"/>
      <c r="AE106" s="56"/>
      <c r="AF106" s="56"/>
      <c r="AG106" s="56"/>
      <c r="AH106" s="56"/>
      <c r="AI106" s="56"/>
      <c r="AJ106" s="56"/>
      <c r="AK106" s="56"/>
      <c r="AL106" s="56"/>
      <c r="AM106" s="56"/>
      <c r="AN106" s="453">
        <f t="shared" si="8"/>
        <v>0</v>
      </c>
      <c r="AO106" s="454" t="e">
        <f>IF(AD106&lt;QC!$B$2,#N/A,IF(AND(V106=0,W106=0,AN106=0),#N/A,IF(AND(($S106&amp;T106)*1&lt;=QC!$D$2,($S106&amp;T106)*1&gt;=QC!$D$1),IF(Z106=0,#N/A,W106/1000-V106/1000),#N/A)))</f>
        <v>#N/A</v>
      </c>
      <c r="AP106" s="455" t="e">
        <f t="shared" si="9"/>
        <v>#N/A</v>
      </c>
      <c r="AQ106" s="454" t="e">
        <f>IF(AD106&lt;QC!$B$2,#N/A,IF(AND(V106=0,W106=0,AN106=0),#N/A,IF(AND(($S106&amp;T106)*1&lt;=QC!$D$2,($S106&amp;T106)*1&gt;=QC!$D$1),IF(AA106=0,#N/A,AN106/1000-((V106/1000*Y106+W106/1000*Z106)/(Y106+Z106))),#N/A)))</f>
        <v>#N/A</v>
      </c>
      <c r="AR106" s="456" t="e">
        <f t="shared" si="10"/>
        <v>#N/A</v>
      </c>
    </row>
    <row r="107" spans="19:44">
      <c r="S107" s="56"/>
      <c r="T107" s="56"/>
      <c r="U107" s="56"/>
      <c r="V107" s="56"/>
      <c r="W107" s="56"/>
      <c r="X107" s="56"/>
      <c r="Y107" s="56"/>
      <c r="Z107" s="56"/>
      <c r="AA107" s="56"/>
      <c r="AB107" s="56"/>
      <c r="AC107" s="56"/>
      <c r="AD107" s="56"/>
      <c r="AE107" s="56"/>
      <c r="AF107" s="56"/>
      <c r="AG107" s="56"/>
      <c r="AH107" s="56"/>
      <c r="AI107" s="56"/>
      <c r="AJ107" s="56"/>
      <c r="AK107" s="56"/>
      <c r="AL107" s="56"/>
      <c r="AM107" s="56"/>
      <c r="AN107" s="453">
        <f t="shared" si="8"/>
        <v>0</v>
      </c>
      <c r="AO107" s="454" t="e">
        <f>IF(AD107&lt;QC!$B$2,#N/A,IF(AND(V107=0,W107=0,AN107=0),#N/A,IF(AND(($S107&amp;T107)*1&lt;=QC!$D$2,($S107&amp;T107)*1&gt;=QC!$D$1),IF(Z107=0,#N/A,W107/1000-V107/1000),#N/A)))</f>
        <v>#N/A</v>
      </c>
      <c r="AP107" s="455" t="e">
        <f t="shared" si="9"/>
        <v>#N/A</v>
      </c>
      <c r="AQ107" s="454" t="e">
        <f>IF(AD107&lt;QC!$B$2,#N/A,IF(AND(V107=0,W107=0,AN107=0),#N/A,IF(AND(($S107&amp;T107)*1&lt;=QC!$D$2,($S107&amp;T107)*1&gt;=QC!$D$1),IF(AA107=0,#N/A,AN107/1000-((V107/1000*Y107+W107/1000*Z107)/(Y107+Z107))),#N/A)))</f>
        <v>#N/A</v>
      </c>
      <c r="AR107" s="456" t="e">
        <f t="shared" si="10"/>
        <v>#N/A</v>
      </c>
    </row>
    <row r="108" spans="19:44">
      <c r="S108" s="56"/>
      <c r="T108" s="56"/>
      <c r="U108" s="56"/>
      <c r="V108" s="56"/>
      <c r="W108" s="56"/>
      <c r="X108" s="56"/>
      <c r="Y108" s="56"/>
      <c r="Z108" s="56"/>
      <c r="AA108" s="56"/>
      <c r="AB108" s="56"/>
      <c r="AC108" s="56"/>
      <c r="AD108" s="56"/>
      <c r="AE108" s="56"/>
      <c r="AF108" s="56"/>
      <c r="AG108" s="56"/>
      <c r="AH108" s="56"/>
      <c r="AI108" s="56"/>
      <c r="AJ108" s="56"/>
      <c r="AK108" s="56"/>
      <c r="AL108" s="56"/>
      <c r="AM108" s="56"/>
      <c r="AN108" s="453">
        <f t="shared" si="8"/>
        <v>0</v>
      </c>
      <c r="AO108" s="454" t="e">
        <f>IF(AD108&lt;QC!$B$2,#N/A,IF(AND(V108=0,W108=0,AN108=0),#N/A,IF(AND(($S108&amp;T108)*1&lt;=QC!$D$2,($S108&amp;T108)*1&gt;=QC!$D$1),IF(Z108=0,#N/A,W108/1000-V108/1000),#N/A)))</f>
        <v>#N/A</v>
      </c>
      <c r="AP108" s="455" t="e">
        <f t="shared" si="9"/>
        <v>#N/A</v>
      </c>
      <c r="AQ108" s="454" t="e">
        <f>IF(AD108&lt;QC!$B$2,#N/A,IF(AND(V108=0,W108=0,AN108=0),#N/A,IF(AND(($S108&amp;T108)*1&lt;=QC!$D$2,($S108&amp;T108)*1&gt;=QC!$D$1),IF(AA108=0,#N/A,AN108/1000-((V108/1000*Y108+W108/1000*Z108)/(Y108+Z108))),#N/A)))</f>
        <v>#N/A</v>
      </c>
      <c r="AR108" s="456" t="e">
        <f t="shared" si="10"/>
        <v>#N/A</v>
      </c>
    </row>
    <row r="109" spans="19:44">
      <c r="S109" s="56"/>
      <c r="T109" s="56"/>
      <c r="U109" s="56"/>
      <c r="V109" s="56"/>
      <c r="W109" s="56"/>
      <c r="X109" s="56"/>
      <c r="Y109" s="56"/>
      <c r="Z109" s="56"/>
      <c r="AA109" s="56"/>
      <c r="AB109" s="56"/>
      <c r="AC109" s="56"/>
      <c r="AD109" s="56"/>
      <c r="AE109" s="56"/>
      <c r="AF109" s="56"/>
      <c r="AG109" s="56"/>
      <c r="AH109" s="56"/>
      <c r="AI109" s="56"/>
      <c r="AJ109" s="56"/>
      <c r="AK109" s="56"/>
      <c r="AL109" s="56"/>
      <c r="AM109" s="56"/>
      <c r="AN109" s="453">
        <f t="shared" si="8"/>
        <v>0</v>
      </c>
      <c r="AO109" s="454" t="e">
        <f>IF(AD109&lt;QC!$B$2,#N/A,IF(AND(V109=0,W109=0,AN109=0),#N/A,IF(AND(($S109&amp;T109)*1&lt;=QC!$D$2,($S109&amp;T109)*1&gt;=QC!$D$1),IF(Z109=0,#N/A,W109/1000-V109/1000),#N/A)))</f>
        <v>#N/A</v>
      </c>
      <c r="AP109" s="455" t="e">
        <f t="shared" si="9"/>
        <v>#N/A</v>
      </c>
      <c r="AQ109" s="454" t="e">
        <f>IF(AD109&lt;QC!$B$2,#N/A,IF(AND(V109=0,W109=0,AN109=0),#N/A,IF(AND(($S109&amp;T109)*1&lt;=QC!$D$2,($S109&amp;T109)*1&gt;=QC!$D$1),IF(AA109=0,#N/A,AN109/1000-((V109/1000*Y109+W109/1000*Z109)/(Y109+Z109))),#N/A)))</f>
        <v>#N/A</v>
      </c>
      <c r="AR109" s="456" t="e">
        <f t="shared" si="10"/>
        <v>#N/A</v>
      </c>
    </row>
    <row r="110" spans="19:44">
      <c r="S110" s="56"/>
      <c r="T110" s="56"/>
      <c r="U110" s="56"/>
      <c r="V110" s="56"/>
      <c r="W110" s="56"/>
      <c r="X110" s="56"/>
      <c r="Y110" s="56"/>
      <c r="Z110" s="56"/>
      <c r="AA110" s="56"/>
      <c r="AB110" s="56"/>
      <c r="AC110" s="56"/>
      <c r="AD110" s="56"/>
      <c r="AE110" s="56"/>
      <c r="AF110" s="56"/>
      <c r="AG110" s="56"/>
      <c r="AH110" s="56"/>
      <c r="AI110" s="56"/>
      <c r="AJ110" s="56"/>
      <c r="AK110" s="56"/>
      <c r="AL110" s="56"/>
      <c r="AM110" s="56"/>
      <c r="AN110" s="453">
        <f t="shared" si="8"/>
        <v>0</v>
      </c>
      <c r="AO110" s="454" t="e">
        <f>IF(AD110&lt;QC!$B$2,#N/A,IF(AND(V110=0,W110=0,AN110=0),#N/A,IF(AND(($S110&amp;T110)*1&lt;=QC!$D$2,($S110&amp;T110)*1&gt;=QC!$D$1),IF(Z110=0,#N/A,W110/1000-V110/1000),#N/A)))</f>
        <v>#N/A</v>
      </c>
      <c r="AP110" s="455" t="e">
        <f t="shared" si="9"/>
        <v>#N/A</v>
      </c>
      <c r="AQ110" s="454" t="e">
        <f>IF(AD110&lt;QC!$B$2,#N/A,IF(AND(V110=0,W110=0,AN110=0),#N/A,IF(AND(($S110&amp;T110)*1&lt;=QC!$D$2,($S110&amp;T110)*1&gt;=QC!$D$1),IF(AA110=0,#N/A,AN110/1000-((V110/1000*Y110+W110/1000*Z110)/(Y110+Z110))),#N/A)))</f>
        <v>#N/A</v>
      </c>
      <c r="AR110" s="456" t="e">
        <f t="shared" si="10"/>
        <v>#N/A</v>
      </c>
    </row>
    <row r="111" spans="19:44">
      <c r="S111" s="56"/>
      <c r="T111" s="56"/>
      <c r="U111" s="56"/>
      <c r="V111" s="56"/>
      <c r="W111" s="56"/>
      <c r="X111" s="56"/>
      <c r="Y111" s="56"/>
      <c r="Z111" s="56"/>
      <c r="AA111" s="56"/>
      <c r="AB111" s="56"/>
      <c r="AC111" s="56"/>
      <c r="AD111" s="56"/>
      <c r="AE111" s="56"/>
      <c r="AF111" s="56"/>
      <c r="AG111" s="56"/>
      <c r="AH111" s="56"/>
      <c r="AI111" s="56"/>
      <c r="AJ111" s="56"/>
      <c r="AK111" s="56"/>
      <c r="AL111" s="56"/>
      <c r="AM111" s="56"/>
      <c r="AN111" s="453">
        <f t="shared" si="8"/>
        <v>0</v>
      </c>
      <c r="AO111" s="454" t="e">
        <f>IF(AD111&lt;QC!$B$2,#N/A,IF(AND(V111=0,W111=0,AN111=0),#N/A,IF(AND(($S111&amp;T111)*1&lt;=QC!$D$2,($S111&amp;T111)*1&gt;=QC!$D$1),IF(Z111=0,#N/A,W111/1000-V111/1000),#N/A)))</f>
        <v>#N/A</v>
      </c>
      <c r="AP111" s="455" t="e">
        <f t="shared" si="9"/>
        <v>#N/A</v>
      </c>
      <c r="AQ111" s="454" t="e">
        <f>IF(AD111&lt;QC!$B$2,#N/A,IF(AND(V111=0,W111=0,AN111=0),#N/A,IF(AND(($S111&amp;T111)*1&lt;=QC!$D$2,($S111&amp;T111)*1&gt;=QC!$D$1),IF(AA111=0,#N/A,AN111/1000-((V111/1000*Y111+W111/1000*Z111)/(Y111+Z111))),#N/A)))</f>
        <v>#N/A</v>
      </c>
      <c r="AR111" s="456" t="e">
        <f t="shared" si="10"/>
        <v>#N/A</v>
      </c>
    </row>
    <row r="112" spans="19:44">
      <c r="S112" s="56"/>
      <c r="T112" s="56"/>
      <c r="U112" s="56"/>
      <c r="V112" s="56"/>
      <c r="W112" s="56"/>
      <c r="X112" s="56"/>
      <c r="Y112" s="56"/>
      <c r="Z112" s="56"/>
      <c r="AA112" s="56"/>
      <c r="AB112" s="56"/>
      <c r="AC112" s="56"/>
      <c r="AD112" s="56"/>
      <c r="AE112" s="56"/>
      <c r="AF112" s="56"/>
      <c r="AG112" s="56"/>
      <c r="AH112" s="56"/>
      <c r="AI112" s="56"/>
      <c r="AJ112" s="56"/>
      <c r="AK112" s="56"/>
      <c r="AL112" s="56"/>
      <c r="AM112" s="56"/>
      <c r="AN112" s="453">
        <f t="shared" si="8"/>
        <v>0</v>
      </c>
      <c r="AO112" s="454" t="e">
        <f>IF(AD112&lt;QC!$B$2,#N/A,IF(AND(V112=0,W112=0,AN112=0),#N/A,IF(AND(($S112&amp;T112)*1&lt;=QC!$D$2,($S112&amp;T112)*1&gt;=QC!$D$1),IF(Z112=0,#N/A,W112/1000-V112/1000),#N/A)))</f>
        <v>#N/A</v>
      </c>
      <c r="AP112" s="455" t="e">
        <f t="shared" si="9"/>
        <v>#N/A</v>
      </c>
      <c r="AQ112" s="454" t="e">
        <f>IF(AD112&lt;QC!$B$2,#N/A,IF(AND(V112=0,W112=0,AN112=0),#N/A,IF(AND(($S112&amp;T112)*1&lt;=QC!$D$2,($S112&amp;T112)*1&gt;=QC!$D$1),IF(AA112=0,#N/A,AN112/1000-((V112/1000*Y112+W112/1000*Z112)/(Y112+Z112))),#N/A)))</f>
        <v>#N/A</v>
      </c>
      <c r="AR112" s="456" t="e">
        <f t="shared" si="10"/>
        <v>#N/A</v>
      </c>
    </row>
    <row r="113" spans="19:44">
      <c r="S113" s="56"/>
      <c r="T113" s="56"/>
      <c r="U113" s="56"/>
      <c r="V113" s="56"/>
      <c r="W113" s="56"/>
      <c r="X113" s="56"/>
      <c r="Y113" s="56"/>
      <c r="Z113" s="56"/>
      <c r="AA113" s="56"/>
      <c r="AB113" s="56"/>
      <c r="AC113" s="56"/>
      <c r="AD113" s="56"/>
      <c r="AE113" s="56"/>
      <c r="AF113" s="56"/>
      <c r="AG113" s="56"/>
      <c r="AH113" s="56"/>
      <c r="AI113" s="56"/>
      <c r="AJ113" s="56"/>
      <c r="AK113" s="56"/>
      <c r="AL113" s="56"/>
      <c r="AM113" s="56"/>
      <c r="AN113" s="453">
        <f t="shared" si="8"/>
        <v>0</v>
      </c>
      <c r="AO113" s="454" t="e">
        <f>IF(AD113&lt;QC!$B$2,#N/A,IF(AND(V113=0,W113=0,AN113=0),#N/A,IF(AND(($S113&amp;T113)*1&lt;=QC!$D$2,($S113&amp;T113)*1&gt;=QC!$D$1),IF(Z113=0,#N/A,W113/1000-V113/1000),#N/A)))</f>
        <v>#N/A</v>
      </c>
      <c r="AP113" s="455" t="e">
        <f t="shared" si="9"/>
        <v>#N/A</v>
      </c>
      <c r="AQ113" s="454" t="e">
        <f>IF(AD113&lt;QC!$B$2,#N/A,IF(AND(V113=0,W113=0,AN113=0),#N/A,IF(AND(($S113&amp;T113)*1&lt;=QC!$D$2,($S113&amp;T113)*1&gt;=QC!$D$1),IF(AA113=0,#N/A,AN113/1000-((V113/1000*Y113+W113/1000*Z113)/(Y113+Z113))),#N/A)))</f>
        <v>#N/A</v>
      </c>
      <c r="AR113" s="456" t="e">
        <f t="shared" si="10"/>
        <v>#N/A</v>
      </c>
    </row>
    <row r="114" spans="19:44">
      <c r="S114" s="56"/>
      <c r="T114" s="56"/>
      <c r="U114" s="56"/>
      <c r="V114" s="56"/>
      <c r="W114" s="56"/>
      <c r="X114" s="56"/>
      <c r="Y114" s="56"/>
      <c r="Z114" s="56"/>
      <c r="AA114" s="56"/>
      <c r="AB114" s="56"/>
      <c r="AC114" s="56"/>
      <c r="AD114" s="56"/>
      <c r="AE114" s="56"/>
      <c r="AF114" s="56"/>
      <c r="AG114" s="56"/>
      <c r="AH114" s="56"/>
      <c r="AI114" s="56"/>
      <c r="AJ114" s="56"/>
      <c r="AK114" s="56"/>
      <c r="AL114" s="56"/>
      <c r="AM114" s="56"/>
      <c r="AN114" s="453">
        <f t="shared" si="8"/>
        <v>0</v>
      </c>
      <c r="AO114" s="454" t="e">
        <f>IF(AD114&lt;QC!$B$2,#N/A,IF(AND(V114=0,W114=0,AN114=0),#N/A,IF(AND(($S114&amp;T114)*1&lt;=QC!$D$2,($S114&amp;T114)*1&gt;=QC!$D$1),IF(Z114=0,#N/A,W114/1000-V114/1000),#N/A)))</f>
        <v>#N/A</v>
      </c>
      <c r="AP114" s="455" t="e">
        <f t="shared" si="9"/>
        <v>#N/A</v>
      </c>
      <c r="AQ114" s="454" t="e">
        <f>IF(AD114&lt;QC!$B$2,#N/A,IF(AND(V114=0,W114=0,AN114=0),#N/A,IF(AND(($S114&amp;T114)*1&lt;=QC!$D$2,($S114&amp;T114)*1&gt;=QC!$D$1),IF(AA114=0,#N/A,AN114/1000-((V114/1000*Y114+W114/1000*Z114)/(Y114+Z114))),#N/A)))</f>
        <v>#N/A</v>
      </c>
      <c r="AR114" s="456" t="e">
        <f t="shared" si="10"/>
        <v>#N/A</v>
      </c>
    </row>
    <row r="115" spans="19:44">
      <c r="S115" s="56"/>
      <c r="T115" s="56"/>
      <c r="U115" s="56"/>
      <c r="V115" s="56"/>
      <c r="W115" s="56"/>
      <c r="X115" s="56"/>
      <c r="Y115" s="56"/>
      <c r="Z115" s="56"/>
      <c r="AA115" s="56"/>
      <c r="AB115" s="56"/>
      <c r="AC115" s="56"/>
      <c r="AD115" s="56"/>
      <c r="AE115" s="56"/>
      <c r="AF115" s="56"/>
      <c r="AG115" s="56"/>
      <c r="AH115" s="56"/>
      <c r="AI115" s="56"/>
      <c r="AJ115" s="56"/>
      <c r="AK115" s="56"/>
      <c r="AL115" s="56"/>
      <c r="AM115" s="56"/>
      <c r="AN115" s="453">
        <f t="shared" si="8"/>
        <v>0</v>
      </c>
      <c r="AO115" s="454" t="e">
        <f>IF(AD115&lt;QC!$B$2,#N/A,IF(AND(V115=0,W115=0,AN115=0),#N/A,IF(AND(($S115&amp;T115)*1&lt;=QC!$D$2,($S115&amp;T115)*1&gt;=QC!$D$1),IF(Z115=0,#N/A,W115/1000-V115/1000),#N/A)))</f>
        <v>#N/A</v>
      </c>
      <c r="AP115" s="455" t="e">
        <f t="shared" si="9"/>
        <v>#N/A</v>
      </c>
      <c r="AQ115" s="454" t="e">
        <f>IF(AD115&lt;QC!$B$2,#N/A,IF(AND(V115=0,W115=0,AN115=0),#N/A,IF(AND(($S115&amp;T115)*1&lt;=QC!$D$2,($S115&amp;T115)*1&gt;=QC!$D$1),IF(AA115=0,#N/A,AN115/1000-((V115/1000*Y115+W115/1000*Z115)/(Y115+Z115))),#N/A)))</f>
        <v>#N/A</v>
      </c>
      <c r="AR115" s="456" t="e">
        <f t="shared" si="10"/>
        <v>#N/A</v>
      </c>
    </row>
    <row r="116" spans="19:44">
      <c r="S116" s="56"/>
      <c r="T116" s="56"/>
      <c r="U116" s="56"/>
      <c r="V116" s="56"/>
      <c r="W116" s="56"/>
      <c r="X116" s="56"/>
      <c r="Y116" s="56"/>
      <c r="Z116" s="56"/>
      <c r="AA116" s="56"/>
      <c r="AB116" s="56"/>
      <c r="AC116" s="56"/>
      <c r="AD116" s="56"/>
      <c r="AE116" s="56"/>
      <c r="AF116" s="56"/>
      <c r="AG116" s="56"/>
      <c r="AH116" s="56"/>
      <c r="AI116" s="56"/>
      <c r="AJ116" s="56"/>
      <c r="AK116" s="56"/>
      <c r="AL116" s="56"/>
      <c r="AM116" s="56"/>
      <c r="AN116" s="453">
        <f t="shared" si="8"/>
        <v>0</v>
      </c>
      <c r="AO116" s="454" t="e">
        <f>IF(AD116&lt;QC!$B$2,#N/A,IF(AND(V116=0,W116=0,AN116=0),#N/A,IF(AND(($S116&amp;T116)*1&lt;=QC!$D$2,($S116&amp;T116)*1&gt;=QC!$D$1),IF(Z116=0,#N/A,W116/1000-V116/1000),#N/A)))</f>
        <v>#N/A</v>
      </c>
      <c r="AP116" s="455" t="e">
        <f t="shared" si="9"/>
        <v>#N/A</v>
      </c>
      <c r="AQ116" s="454" t="e">
        <f>IF(AD116&lt;QC!$B$2,#N/A,IF(AND(V116=0,W116=0,AN116=0),#N/A,IF(AND(($S116&amp;T116)*1&lt;=QC!$D$2,($S116&amp;T116)*1&gt;=QC!$D$1),IF(AA116=0,#N/A,AN116/1000-((V116/1000*Y116+W116/1000*Z116)/(Y116+Z116))),#N/A)))</f>
        <v>#N/A</v>
      </c>
      <c r="AR116" s="456" t="e">
        <f t="shared" si="10"/>
        <v>#N/A</v>
      </c>
    </row>
    <row r="117" spans="19:44">
      <c r="S117" s="56"/>
      <c r="T117" s="56"/>
      <c r="U117" s="56"/>
      <c r="V117" s="56"/>
      <c r="W117" s="56"/>
      <c r="X117" s="56"/>
      <c r="Y117" s="56"/>
      <c r="Z117" s="56"/>
      <c r="AA117" s="56"/>
      <c r="AB117" s="56"/>
      <c r="AC117" s="56"/>
      <c r="AD117" s="56"/>
      <c r="AE117" s="56"/>
      <c r="AF117" s="56"/>
      <c r="AG117" s="56"/>
      <c r="AH117" s="56"/>
      <c r="AI117" s="56"/>
      <c r="AJ117" s="56"/>
      <c r="AK117" s="56"/>
      <c r="AL117" s="56"/>
      <c r="AM117" s="56"/>
      <c r="AN117" s="453">
        <f t="shared" si="8"/>
        <v>0</v>
      </c>
      <c r="AO117" s="454" t="e">
        <f>IF(AD117&lt;QC!$B$2,#N/A,IF(AND(V117=0,W117=0,AN117=0),#N/A,IF(AND(($S117&amp;T117)*1&lt;=QC!$D$2,($S117&amp;T117)*1&gt;=QC!$D$1),IF(Z117=0,#N/A,W117/1000-V117/1000),#N/A)))</f>
        <v>#N/A</v>
      </c>
      <c r="AP117" s="455" t="e">
        <f t="shared" si="9"/>
        <v>#N/A</v>
      </c>
      <c r="AQ117" s="454" t="e">
        <f>IF(AD117&lt;QC!$B$2,#N/A,IF(AND(V117=0,W117=0,AN117=0),#N/A,IF(AND(($S117&amp;T117)*1&lt;=QC!$D$2,($S117&amp;T117)*1&gt;=QC!$D$1),IF(AA117=0,#N/A,AN117/1000-((V117/1000*Y117+W117/1000*Z117)/(Y117+Z117))),#N/A)))</f>
        <v>#N/A</v>
      </c>
      <c r="AR117" s="456" t="e">
        <f t="shared" si="10"/>
        <v>#N/A</v>
      </c>
    </row>
    <row r="118" spans="19:44">
      <c r="S118" s="56"/>
      <c r="T118" s="56"/>
      <c r="U118" s="56"/>
      <c r="V118" s="56"/>
      <c r="W118" s="56"/>
      <c r="X118" s="56"/>
      <c r="Y118" s="56"/>
      <c r="Z118" s="56"/>
      <c r="AA118" s="56"/>
      <c r="AB118" s="56"/>
      <c r="AC118" s="56"/>
      <c r="AD118" s="56"/>
      <c r="AE118" s="56"/>
      <c r="AF118" s="56"/>
      <c r="AG118" s="56"/>
      <c r="AH118" s="56"/>
      <c r="AI118" s="56"/>
      <c r="AJ118" s="56"/>
      <c r="AK118" s="56"/>
      <c r="AL118" s="56"/>
      <c r="AM118" s="56"/>
      <c r="AN118" s="453">
        <f t="shared" si="8"/>
        <v>0</v>
      </c>
      <c r="AO118" s="454" t="e">
        <f>IF(AD118&lt;QC!$B$2,#N/A,IF(AND(V118=0,W118=0,AN118=0),#N/A,IF(AND(($S118&amp;T118)*1&lt;=QC!$D$2,($S118&amp;T118)*1&gt;=QC!$D$1),IF(Z118=0,#N/A,W118/1000-V118/1000),#N/A)))</f>
        <v>#N/A</v>
      </c>
      <c r="AP118" s="455" t="e">
        <f t="shared" si="9"/>
        <v>#N/A</v>
      </c>
      <c r="AQ118" s="454" t="e">
        <f>IF(AD118&lt;QC!$B$2,#N/A,IF(AND(V118=0,W118=0,AN118=0),#N/A,IF(AND(($S118&amp;T118)*1&lt;=QC!$D$2,($S118&amp;T118)*1&gt;=QC!$D$1),IF(AA118=0,#N/A,AN118/1000-((V118/1000*Y118+W118/1000*Z118)/(Y118+Z118))),#N/A)))</f>
        <v>#N/A</v>
      </c>
      <c r="AR118" s="456" t="e">
        <f t="shared" si="10"/>
        <v>#N/A</v>
      </c>
    </row>
    <row r="119" spans="19:44">
      <c r="S119" s="56"/>
      <c r="T119" s="56"/>
      <c r="U119" s="56"/>
      <c r="V119" s="56"/>
      <c r="W119" s="56"/>
      <c r="X119" s="56"/>
      <c r="Y119" s="56"/>
      <c r="Z119" s="56"/>
      <c r="AA119" s="56"/>
      <c r="AB119" s="56"/>
      <c r="AC119" s="56"/>
      <c r="AD119" s="56"/>
      <c r="AE119" s="56"/>
      <c r="AF119" s="56"/>
      <c r="AG119" s="56"/>
      <c r="AH119" s="56"/>
      <c r="AI119" s="56"/>
      <c r="AJ119" s="56"/>
      <c r="AK119" s="56"/>
      <c r="AL119" s="56"/>
      <c r="AM119" s="56"/>
      <c r="AN119" s="453">
        <f t="shared" si="8"/>
        <v>0</v>
      </c>
      <c r="AO119" s="454" t="e">
        <f>IF(AD119&lt;QC!$B$2,#N/A,IF(AND(V119=0,W119=0,AN119=0),#N/A,IF(AND(($S119&amp;T119)*1&lt;=QC!$D$2,($S119&amp;T119)*1&gt;=QC!$D$1),IF(Z119=0,#N/A,W119/1000-V119/1000),#N/A)))</f>
        <v>#N/A</v>
      </c>
      <c r="AP119" s="455" t="e">
        <f t="shared" si="9"/>
        <v>#N/A</v>
      </c>
      <c r="AQ119" s="454" t="e">
        <f>IF(AD119&lt;QC!$B$2,#N/A,IF(AND(V119=0,W119=0,AN119=0),#N/A,IF(AND(($S119&amp;T119)*1&lt;=QC!$D$2,($S119&amp;T119)*1&gt;=QC!$D$1),IF(AA119=0,#N/A,AN119/1000-((V119/1000*Y119+W119/1000*Z119)/(Y119+Z119))),#N/A)))</f>
        <v>#N/A</v>
      </c>
      <c r="AR119" s="456" t="e">
        <f t="shared" si="10"/>
        <v>#N/A</v>
      </c>
    </row>
    <row r="120" spans="19:44">
      <c r="S120" s="56"/>
      <c r="T120" s="56"/>
      <c r="U120" s="56"/>
      <c r="V120" s="56"/>
      <c r="W120" s="56"/>
      <c r="X120" s="56"/>
      <c r="Y120" s="56"/>
      <c r="Z120" s="56"/>
      <c r="AA120" s="56"/>
      <c r="AB120" s="56"/>
      <c r="AC120" s="56"/>
      <c r="AD120" s="56"/>
      <c r="AE120" s="56"/>
      <c r="AF120" s="56"/>
      <c r="AG120" s="56"/>
      <c r="AH120" s="56"/>
      <c r="AI120" s="56"/>
      <c r="AJ120" s="56"/>
      <c r="AK120" s="56"/>
      <c r="AL120" s="56"/>
      <c r="AM120" s="56"/>
      <c r="AN120" s="453">
        <f t="shared" si="8"/>
        <v>0</v>
      </c>
      <c r="AO120" s="454" t="e">
        <f>IF(AD120&lt;QC!$B$2,#N/A,IF(AND(V120=0,W120=0,AN120=0),#N/A,IF(AND(($S120&amp;T120)*1&lt;=QC!$D$2,($S120&amp;T120)*1&gt;=QC!$D$1),IF(Z120=0,#N/A,W120/1000-V120/1000),#N/A)))</f>
        <v>#N/A</v>
      </c>
      <c r="AP120" s="455" t="e">
        <f t="shared" si="9"/>
        <v>#N/A</v>
      </c>
      <c r="AQ120" s="454" t="e">
        <f>IF(AD120&lt;QC!$B$2,#N/A,IF(AND(V120=0,W120=0,AN120=0),#N/A,IF(AND(($S120&amp;T120)*1&lt;=QC!$D$2,($S120&amp;T120)*1&gt;=QC!$D$1),IF(AA120=0,#N/A,AN120/1000-((V120/1000*Y120+W120/1000*Z120)/(Y120+Z120))),#N/A)))</f>
        <v>#N/A</v>
      </c>
      <c r="AR120" s="456" t="e">
        <f t="shared" si="10"/>
        <v>#N/A</v>
      </c>
    </row>
    <row r="121" spans="19:44">
      <c r="S121" s="56"/>
      <c r="T121" s="56"/>
      <c r="U121" s="56"/>
      <c r="V121" s="56"/>
      <c r="W121" s="56"/>
      <c r="X121" s="56"/>
      <c r="Y121" s="56"/>
      <c r="Z121" s="56"/>
      <c r="AA121" s="56"/>
      <c r="AB121" s="56"/>
      <c r="AC121" s="56"/>
      <c r="AD121" s="56"/>
      <c r="AE121" s="56"/>
      <c r="AF121" s="56"/>
      <c r="AG121" s="56"/>
      <c r="AH121" s="56"/>
      <c r="AI121" s="56"/>
      <c r="AJ121" s="56"/>
      <c r="AK121" s="56"/>
      <c r="AL121" s="56"/>
      <c r="AM121" s="56"/>
      <c r="AN121" s="453">
        <f t="shared" si="8"/>
        <v>0</v>
      </c>
      <c r="AO121" s="454" t="e">
        <f>IF(AD121&lt;QC!$B$2,#N/A,IF(AND(V121=0,W121=0,AN121=0),#N/A,IF(AND(($S121&amp;T121)*1&lt;=QC!$D$2,($S121&amp;T121)*1&gt;=QC!$D$1),IF(Z121=0,#N/A,W121/1000-V121/1000),#N/A)))</f>
        <v>#N/A</v>
      </c>
      <c r="AP121" s="455" t="e">
        <f t="shared" si="9"/>
        <v>#N/A</v>
      </c>
      <c r="AQ121" s="454" t="e">
        <f>IF(AD121&lt;QC!$B$2,#N/A,IF(AND(V121=0,W121=0,AN121=0),#N/A,IF(AND(($S121&amp;T121)*1&lt;=QC!$D$2,($S121&amp;T121)*1&gt;=QC!$D$1),IF(AA121=0,#N/A,AN121/1000-((V121/1000*Y121+W121/1000*Z121)/(Y121+Z121))),#N/A)))</f>
        <v>#N/A</v>
      </c>
      <c r="AR121" s="456" t="e">
        <f t="shared" si="10"/>
        <v>#N/A</v>
      </c>
    </row>
    <row r="122" spans="19:44">
      <c r="S122" s="56"/>
      <c r="T122" s="56"/>
      <c r="U122" s="56"/>
      <c r="V122" s="56"/>
      <c r="W122" s="56"/>
      <c r="X122" s="56"/>
      <c r="Y122" s="56"/>
      <c r="Z122" s="56"/>
      <c r="AA122" s="56"/>
      <c r="AB122" s="56"/>
      <c r="AC122" s="56"/>
      <c r="AD122" s="56"/>
      <c r="AE122" s="56"/>
      <c r="AF122" s="56"/>
      <c r="AG122" s="56"/>
      <c r="AH122" s="56"/>
      <c r="AI122" s="56"/>
      <c r="AJ122" s="56"/>
      <c r="AK122" s="56"/>
      <c r="AL122" s="56"/>
      <c r="AM122" s="56"/>
      <c r="AN122" s="453">
        <f t="shared" si="8"/>
        <v>0</v>
      </c>
      <c r="AO122" s="454" t="e">
        <f>IF(AD122&lt;QC!$B$2,#N/A,IF(AND(V122=0,W122=0,AN122=0),#N/A,IF(AND(($S122&amp;T122)*1&lt;=QC!$D$2,($S122&amp;T122)*1&gt;=QC!$D$1),IF(Z122=0,#N/A,W122/1000-V122/1000),#N/A)))</f>
        <v>#N/A</v>
      </c>
      <c r="AP122" s="455" t="e">
        <f t="shared" si="9"/>
        <v>#N/A</v>
      </c>
      <c r="AQ122" s="454" t="e">
        <f>IF(AD122&lt;QC!$B$2,#N/A,IF(AND(V122=0,W122=0,AN122=0),#N/A,IF(AND(($S122&amp;T122)*1&lt;=QC!$D$2,($S122&amp;T122)*1&gt;=QC!$D$1),IF(AA122=0,#N/A,AN122/1000-((V122/1000*Y122+W122/1000*Z122)/(Y122+Z122))),#N/A)))</f>
        <v>#N/A</v>
      </c>
      <c r="AR122" s="456" t="e">
        <f t="shared" si="10"/>
        <v>#N/A</v>
      </c>
    </row>
    <row r="123" spans="19:44">
      <c r="S123" s="56"/>
      <c r="T123" s="56"/>
      <c r="U123" s="56"/>
      <c r="V123" s="56"/>
      <c r="W123" s="56"/>
      <c r="X123" s="56"/>
      <c r="Y123" s="56"/>
      <c r="Z123" s="56"/>
      <c r="AA123" s="56"/>
      <c r="AB123" s="56"/>
      <c r="AC123" s="56"/>
      <c r="AD123" s="56"/>
      <c r="AE123" s="56"/>
      <c r="AF123" s="56"/>
      <c r="AG123" s="56"/>
      <c r="AH123" s="56"/>
      <c r="AI123" s="56"/>
      <c r="AJ123" s="56"/>
      <c r="AK123" s="56"/>
      <c r="AL123" s="56"/>
      <c r="AM123" s="56"/>
      <c r="AN123" s="453">
        <f t="shared" si="8"/>
        <v>0</v>
      </c>
      <c r="AO123" s="454" t="e">
        <f>IF(AD123&lt;QC!$B$2,#N/A,IF(AND(V123=0,W123=0,AN123=0),#N/A,IF(AND(($S123&amp;T123)*1&lt;=QC!$D$2,($S123&amp;T123)*1&gt;=QC!$D$1),IF(Z123=0,#N/A,W123/1000-V123/1000),#N/A)))</f>
        <v>#N/A</v>
      </c>
      <c r="AP123" s="455" t="e">
        <f t="shared" si="9"/>
        <v>#N/A</v>
      </c>
      <c r="AQ123" s="454" t="e">
        <f>IF(AD123&lt;QC!$B$2,#N/A,IF(AND(V123=0,W123=0,AN123=0),#N/A,IF(AND(($S123&amp;T123)*1&lt;=QC!$D$2,($S123&amp;T123)*1&gt;=QC!$D$1),IF(AA123=0,#N/A,AN123/1000-((V123/1000*Y123+W123/1000*Z123)/(Y123+Z123))),#N/A)))</f>
        <v>#N/A</v>
      </c>
      <c r="AR123" s="456" t="e">
        <f t="shared" si="10"/>
        <v>#N/A</v>
      </c>
    </row>
    <row r="124" spans="19:44">
      <c r="S124" s="56"/>
      <c r="T124" s="56"/>
      <c r="U124" s="56"/>
      <c r="V124" s="56"/>
      <c r="W124" s="56"/>
      <c r="X124" s="56"/>
      <c r="Y124" s="56"/>
      <c r="Z124" s="56"/>
      <c r="AA124" s="56"/>
      <c r="AB124" s="56"/>
      <c r="AC124" s="56"/>
      <c r="AD124" s="56"/>
      <c r="AE124" s="56"/>
      <c r="AF124" s="56"/>
      <c r="AG124" s="56"/>
      <c r="AH124" s="56"/>
      <c r="AI124" s="56"/>
      <c r="AJ124" s="56"/>
      <c r="AK124" s="56"/>
      <c r="AL124" s="56"/>
      <c r="AM124" s="56"/>
      <c r="AN124" s="453">
        <f t="shared" si="8"/>
        <v>0</v>
      </c>
      <c r="AO124" s="454" t="e">
        <f>IF(AD124&lt;QC!$B$2,#N/A,IF(AND(V124=0,W124=0,AN124=0),#N/A,IF(AND(($S124&amp;T124)*1&lt;=QC!$D$2,($S124&amp;T124)*1&gt;=QC!$D$1),IF(Z124=0,#N/A,W124/1000-V124/1000),#N/A)))</f>
        <v>#N/A</v>
      </c>
      <c r="AP124" s="455" t="e">
        <f t="shared" si="9"/>
        <v>#N/A</v>
      </c>
      <c r="AQ124" s="454" t="e">
        <f>IF(AD124&lt;QC!$B$2,#N/A,IF(AND(V124=0,W124=0,AN124=0),#N/A,IF(AND(($S124&amp;T124)*1&lt;=QC!$D$2,($S124&amp;T124)*1&gt;=QC!$D$1),IF(AA124=0,#N/A,AN124/1000-((V124/1000*Y124+W124/1000*Z124)/(Y124+Z124))),#N/A)))</f>
        <v>#N/A</v>
      </c>
      <c r="AR124" s="456" t="e">
        <f t="shared" si="10"/>
        <v>#N/A</v>
      </c>
    </row>
    <row r="125" spans="19:44">
      <c r="S125" s="56"/>
      <c r="T125" s="56"/>
      <c r="U125" s="56"/>
      <c r="V125" s="56"/>
      <c r="W125" s="56"/>
      <c r="X125" s="56"/>
      <c r="Y125" s="56"/>
      <c r="Z125" s="56"/>
      <c r="AA125" s="56"/>
      <c r="AB125" s="56"/>
      <c r="AC125" s="56"/>
      <c r="AD125" s="56"/>
      <c r="AE125" s="56"/>
      <c r="AF125" s="56"/>
      <c r="AG125" s="56"/>
      <c r="AH125" s="56"/>
      <c r="AI125" s="56"/>
      <c r="AJ125" s="56"/>
      <c r="AK125" s="56"/>
      <c r="AL125" s="56"/>
      <c r="AM125" s="56"/>
      <c r="AN125" s="453">
        <f t="shared" si="8"/>
        <v>0</v>
      </c>
      <c r="AO125" s="454" t="e">
        <f>IF(AD125&lt;QC!$B$2,#N/A,IF(AND(V125=0,W125=0,AN125=0),#N/A,IF(AND(($S125&amp;T125)*1&lt;=QC!$D$2,($S125&amp;T125)*1&gt;=QC!$D$1),IF(Z125=0,#N/A,W125/1000-V125/1000),#N/A)))</f>
        <v>#N/A</v>
      </c>
      <c r="AP125" s="455" t="e">
        <f t="shared" si="9"/>
        <v>#N/A</v>
      </c>
      <c r="AQ125" s="454" t="e">
        <f>IF(AD125&lt;QC!$B$2,#N/A,IF(AND(V125=0,W125=0,AN125=0),#N/A,IF(AND(($S125&amp;T125)*1&lt;=QC!$D$2,($S125&amp;T125)*1&gt;=QC!$D$1),IF(AA125=0,#N/A,AN125/1000-((V125/1000*Y125+W125/1000*Z125)/(Y125+Z125))),#N/A)))</f>
        <v>#N/A</v>
      </c>
      <c r="AR125" s="456" t="e">
        <f t="shared" si="10"/>
        <v>#N/A</v>
      </c>
    </row>
    <row r="126" spans="19:44">
      <c r="S126" s="56"/>
      <c r="T126" s="56"/>
      <c r="U126" s="56"/>
      <c r="V126" s="56"/>
      <c r="W126" s="56"/>
      <c r="X126" s="56"/>
      <c r="Y126" s="56"/>
      <c r="Z126" s="56"/>
      <c r="AA126" s="56"/>
      <c r="AB126" s="56"/>
      <c r="AC126" s="56"/>
      <c r="AD126" s="56"/>
      <c r="AE126" s="56"/>
      <c r="AF126" s="56"/>
      <c r="AG126" s="56"/>
      <c r="AH126" s="56"/>
      <c r="AI126" s="56"/>
      <c r="AJ126" s="56"/>
      <c r="AK126" s="56"/>
      <c r="AL126" s="56"/>
      <c r="AM126" s="56"/>
      <c r="AN126" s="453">
        <f t="shared" si="8"/>
        <v>0</v>
      </c>
      <c r="AO126" s="454" t="e">
        <f>IF(AD126&lt;QC!$B$2,#N/A,IF(AND(V126=0,W126=0,AN126=0),#N/A,IF(AND(($S126&amp;T126)*1&lt;=QC!$D$2,($S126&amp;T126)*1&gt;=QC!$D$1),IF(Z126=0,#N/A,W126/1000-V126/1000),#N/A)))</f>
        <v>#N/A</v>
      </c>
      <c r="AP126" s="455" t="e">
        <f t="shared" si="9"/>
        <v>#N/A</v>
      </c>
      <c r="AQ126" s="454" t="e">
        <f>IF(AD126&lt;QC!$B$2,#N/A,IF(AND(V126=0,W126=0,AN126=0),#N/A,IF(AND(($S126&amp;T126)*1&lt;=QC!$D$2,($S126&amp;T126)*1&gt;=QC!$D$1),IF(AA126=0,#N/A,AN126/1000-((V126/1000*Y126+W126/1000*Z126)/(Y126+Z126))),#N/A)))</f>
        <v>#N/A</v>
      </c>
      <c r="AR126" s="456" t="e">
        <f t="shared" si="10"/>
        <v>#N/A</v>
      </c>
    </row>
    <row r="127" spans="19:44">
      <c r="S127" s="56"/>
      <c r="T127" s="56"/>
      <c r="U127" s="56"/>
      <c r="V127" s="56"/>
      <c r="W127" s="56"/>
      <c r="X127" s="56"/>
      <c r="Y127" s="56"/>
      <c r="Z127" s="56"/>
      <c r="AA127" s="56"/>
      <c r="AB127" s="56"/>
      <c r="AC127" s="56"/>
      <c r="AD127" s="56"/>
      <c r="AE127" s="56"/>
      <c r="AF127" s="56"/>
      <c r="AG127" s="56"/>
      <c r="AH127" s="56"/>
      <c r="AI127" s="56"/>
      <c r="AJ127" s="56"/>
      <c r="AK127" s="56"/>
      <c r="AL127" s="56"/>
      <c r="AM127" s="56"/>
      <c r="AN127" s="453">
        <f t="shared" si="8"/>
        <v>0</v>
      </c>
      <c r="AO127" s="454" t="e">
        <f>IF(AD127&lt;QC!$B$2,#N/A,IF(AND(V127=0,W127=0,AN127=0),#N/A,IF(AND(($S127&amp;T127)*1&lt;=QC!$D$2,($S127&amp;T127)*1&gt;=QC!$D$1),IF(Z127=0,#N/A,W127/1000-V127/1000),#N/A)))</f>
        <v>#N/A</v>
      </c>
      <c r="AP127" s="455" t="e">
        <f t="shared" si="9"/>
        <v>#N/A</v>
      </c>
      <c r="AQ127" s="454" t="e">
        <f>IF(AD127&lt;QC!$B$2,#N/A,IF(AND(V127=0,W127=0,AN127=0),#N/A,IF(AND(($S127&amp;T127)*1&lt;=QC!$D$2,($S127&amp;T127)*1&gt;=QC!$D$1),IF(AA127=0,#N/A,AN127/1000-((V127/1000*Y127+W127/1000*Z127)/(Y127+Z127))),#N/A)))</f>
        <v>#N/A</v>
      </c>
      <c r="AR127" s="456" t="e">
        <f t="shared" si="10"/>
        <v>#N/A</v>
      </c>
    </row>
    <row r="128" spans="19:44">
      <c r="S128" s="56"/>
      <c r="T128" s="56"/>
      <c r="U128" s="56"/>
      <c r="V128" s="56"/>
      <c r="W128" s="56"/>
      <c r="X128" s="56"/>
      <c r="Y128" s="56"/>
      <c r="Z128" s="56"/>
      <c r="AA128" s="56"/>
      <c r="AB128" s="56"/>
      <c r="AC128" s="56"/>
      <c r="AD128" s="56"/>
      <c r="AE128" s="56"/>
      <c r="AF128" s="56"/>
      <c r="AG128" s="56"/>
      <c r="AH128" s="56"/>
      <c r="AI128" s="56"/>
      <c r="AJ128" s="56"/>
      <c r="AK128" s="56"/>
      <c r="AL128" s="56"/>
      <c r="AM128" s="56"/>
      <c r="AN128" s="453">
        <f t="shared" si="8"/>
        <v>0</v>
      </c>
      <c r="AO128" s="454" t="e">
        <f>IF(AD128&lt;QC!$B$2,#N/A,IF(AND(V128=0,W128=0,AN128=0),#N/A,IF(AND(($S128&amp;T128)*1&lt;=QC!$D$2,($S128&amp;T128)*1&gt;=QC!$D$1),IF(Z128=0,#N/A,W128/1000-V128/1000),#N/A)))</f>
        <v>#N/A</v>
      </c>
      <c r="AP128" s="455" t="e">
        <f t="shared" si="9"/>
        <v>#N/A</v>
      </c>
      <c r="AQ128" s="454" t="e">
        <f>IF(AD128&lt;QC!$B$2,#N/A,IF(AND(V128=0,W128=0,AN128=0),#N/A,IF(AND(($S128&amp;T128)*1&lt;=QC!$D$2,($S128&amp;T128)*1&gt;=QC!$D$1),IF(AA128=0,#N/A,AN128/1000-((V128/1000*Y128+W128/1000*Z128)/(Y128+Z128))),#N/A)))</f>
        <v>#N/A</v>
      </c>
      <c r="AR128" s="456" t="e">
        <f t="shared" si="10"/>
        <v>#N/A</v>
      </c>
    </row>
    <row r="129" spans="19:44">
      <c r="S129" s="56"/>
      <c r="T129" s="56"/>
      <c r="U129" s="56"/>
      <c r="V129" s="56"/>
      <c r="W129" s="56"/>
      <c r="X129" s="56"/>
      <c r="Y129" s="56"/>
      <c r="Z129" s="56"/>
      <c r="AA129" s="56"/>
      <c r="AB129" s="56"/>
      <c r="AC129" s="56"/>
      <c r="AD129" s="56"/>
      <c r="AE129" s="56"/>
      <c r="AF129" s="56"/>
      <c r="AG129" s="56"/>
      <c r="AH129" s="56"/>
      <c r="AI129" s="56"/>
      <c r="AJ129" s="56"/>
      <c r="AK129" s="56"/>
      <c r="AL129" s="56"/>
      <c r="AM129" s="56"/>
      <c r="AN129" s="453">
        <f t="shared" si="8"/>
        <v>0</v>
      </c>
      <c r="AO129" s="454" t="e">
        <f>IF(AD129&lt;QC!$B$2,#N/A,IF(AND(V129=0,W129=0,AN129=0),#N/A,IF(AND(($S129&amp;T129)*1&lt;=QC!$D$2,($S129&amp;T129)*1&gt;=QC!$D$1),IF(Z129=0,#N/A,W129/1000-V129/1000),#N/A)))</f>
        <v>#N/A</v>
      </c>
      <c r="AP129" s="455" t="e">
        <f t="shared" si="9"/>
        <v>#N/A</v>
      </c>
      <c r="AQ129" s="454" t="e">
        <f>IF(AD129&lt;QC!$B$2,#N/A,IF(AND(V129=0,W129=0,AN129=0),#N/A,IF(AND(($S129&amp;T129)*1&lt;=QC!$D$2,($S129&amp;T129)*1&gt;=QC!$D$1),IF(AA129=0,#N/A,AN129/1000-((V129/1000*Y129+W129/1000*Z129)/(Y129+Z129))),#N/A)))</f>
        <v>#N/A</v>
      </c>
      <c r="AR129" s="456" t="e">
        <f t="shared" si="10"/>
        <v>#N/A</v>
      </c>
    </row>
    <row r="130" spans="19:44">
      <c r="S130" s="56"/>
      <c r="T130" s="56"/>
      <c r="U130" s="56"/>
      <c r="V130" s="56"/>
      <c r="W130" s="56"/>
      <c r="X130" s="56"/>
      <c r="Y130" s="56"/>
      <c r="Z130" s="56"/>
      <c r="AA130" s="56"/>
      <c r="AB130" s="56"/>
      <c r="AC130" s="56"/>
      <c r="AD130" s="56"/>
      <c r="AE130" s="56"/>
      <c r="AF130" s="56"/>
      <c r="AG130" s="56"/>
      <c r="AH130" s="56"/>
      <c r="AI130" s="56"/>
      <c r="AJ130" s="56"/>
      <c r="AK130" s="56"/>
      <c r="AL130" s="56"/>
      <c r="AM130" s="56"/>
      <c r="AN130" s="453">
        <f t="shared" si="8"/>
        <v>0</v>
      </c>
      <c r="AO130" s="454" t="e">
        <f>IF(AD130&lt;QC!$B$2,#N/A,IF(AND(V130=0,W130=0,AN130=0),#N/A,IF(AND(($S130&amp;T130)*1&lt;=QC!$D$2,($S130&amp;T130)*1&gt;=QC!$D$1),IF(Z130=0,#N/A,W130/1000-V130/1000),#N/A)))</f>
        <v>#N/A</v>
      </c>
      <c r="AP130" s="455" t="e">
        <f t="shared" si="9"/>
        <v>#N/A</v>
      </c>
      <c r="AQ130" s="454" t="e">
        <f>IF(AD130&lt;QC!$B$2,#N/A,IF(AND(V130=0,W130=0,AN130=0),#N/A,IF(AND(($S130&amp;T130)*1&lt;=QC!$D$2,($S130&amp;T130)*1&gt;=QC!$D$1),IF(AA130=0,#N/A,AN130/1000-((V130/1000*Y130+W130/1000*Z130)/(Y130+Z130))),#N/A)))</f>
        <v>#N/A</v>
      </c>
      <c r="AR130" s="456" t="e">
        <f t="shared" si="10"/>
        <v>#N/A</v>
      </c>
    </row>
    <row r="131" spans="19:44">
      <c r="S131" s="56"/>
      <c r="T131" s="56"/>
      <c r="U131" s="56"/>
      <c r="V131" s="56"/>
      <c r="W131" s="56"/>
      <c r="X131" s="56"/>
      <c r="Y131" s="56"/>
      <c r="Z131" s="56"/>
      <c r="AA131" s="56"/>
      <c r="AB131" s="56"/>
      <c r="AC131" s="56"/>
      <c r="AD131" s="56"/>
      <c r="AE131" s="56"/>
      <c r="AF131" s="56"/>
      <c r="AG131" s="56"/>
      <c r="AH131" s="56"/>
      <c r="AI131" s="56"/>
      <c r="AJ131" s="56"/>
      <c r="AK131" s="56"/>
      <c r="AL131" s="56"/>
      <c r="AM131" s="56"/>
    </row>
    <row r="132" spans="19:44">
      <c r="S132" s="56"/>
      <c r="T132" s="56"/>
      <c r="U132" s="56"/>
      <c r="V132" s="56"/>
      <c r="W132" s="56"/>
      <c r="X132" s="56"/>
      <c r="Y132" s="56"/>
      <c r="Z132" s="56"/>
      <c r="AA132" s="56"/>
      <c r="AB132" s="56"/>
      <c r="AC132" s="56"/>
      <c r="AD132" s="56"/>
      <c r="AE132" s="56"/>
      <c r="AF132" s="56"/>
      <c r="AG132" s="56"/>
      <c r="AH132" s="56"/>
      <c r="AI132" s="56"/>
      <c r="AJ132" s="56"/>
      <c r="AK132" s="56"/>
      <c r="AL132" s="56"/>
      <c r="AM132" s="56"/>
    </row>
    <row r="133" spans="19:44">
      <c r="S133" s="56"/>
      <c r="T133" s="56"/>
      <c r="U133" s="56"/>
      <c r="V133" s="56"/>
      <c r="W133" s="56"/>
      <c r="X133" s="56"/>
      <c r="Y133" s="56"/>
      <c r="Z133" s="56"/>
      <c r="AA133" s="56"/>
      <c r="AB133" s="56"/>
      <c r="AC133" s="56"/>
      <c r="AD133" s="56"/>
      <c r="AE133" s="56"/>
      <c r="AF133" s="56"/>
      <c r="AG133" s="56"/>
      <c r="AH133" s="56"/>
      <c r="AI133" s="56"/>
      <c r="AJ133" s="56"/>
      <c r="AK133" s="56"/>
      <c r="AL133" s="56"/>
      <c r="AM133" s="56"/>
    </row>
    <row r="134" spans="19:44">
      <c r="S134" s="56"/>
      <c r="T134" s="56"/>
      <c r="U134" s="56"/>
      <c r="V134" s="56"/>
      <c r="W134" s="56"/>
      <c r="X134" s="56"/>
      <c r="Y134" s="56"/>
      <c r="Z134" s="56"/>
      <c r="AA134" s="56"/>
      <c r="AB134" s="56"/>
      <c r="AC134" s="56"/>
      <c r="AD134" s="56"/>
      <c r="AE134" s="56"/>
      <c r="AF134" s="56"/>
      <c r="AG134" s="56"/>
      <c r="AH134" s="56"/>
      <c r="AI134" s="56"/>
      <c r="AJ134" s="56"/>
      <c r="AK134" s="56"/>
      <c r="AL134" s="56"/>
      <c r="AM134" s="56"/>
    </row>
    <row r="135" spans="19:44">
      <c r="S135" s="56"/>
      <c r="T135" s="56"/>
      <c r="U135" s="56"/>
      <c r="V135" s="56"/>
      <c r="W135" s="56"/>
      <c r="X135" s="56"/>
      <c r="Y135" s="56"/>
      <c r="Z135" s="56"/>
      <c r="AA135" s="56"/>
      <c r="AB135" s="56"/>
      <c r="AC135" s="56"/>
      <c r="AD135" s="56"/>
      <c r="AE135" s="56"/>
      <c r="AF135" s="56"/>
      <c r="AG135" s="56"/>
      <c r="AH135" s="56"/>
      <c r="AI135" s="56"/>
      <c r="AJ135" s="56"/>
      <c r="AK135" s="56"/>
      <c r="AL135" s="56"/>
      <c r="AM135" s="56"/>
    </row>
    <row r="136" spans="19:44">
      <c r="S136" s="56"/>
      <c r="T136" s="56"/>
      <c r="U136" s="56"/>
      <c r="V136" s="56"/>
      <c r="W136" s="56"/>
      <c r="X136" s="56"/>
      <c r="Y136" s="56"/>
      <c r="Z136" s="56"/>
      <c r="AA136" s="56"/>
      <c r="AB136" s="56"/>
      <c r="AC136" s="56"/>
      <c r="AD136" s="56"/>
      <c r="AE136" s="56"/>
      <c r="AF136" s="56"/>
      <c r="AG136" s="56"/>
      <c r="AH136" s="56"/>
      <c r="AI136" s="56"/>
      <c r="AJ136" s="56"/>
      <c r="AK136" s="56"/>
      <c r="AL136" s="56"/>
      <c r="AM136" s="56"/>
    </row>
    <row r="137" spans="19:44">
      <c r="S137" s="56"/>
      <c r="T137" s="56"/>
      <c r="U137" s="56"/>
      <c r="V137" s="56"/>
      <c r="W137" s="56"/>
      <c r="X137" s="56"/>
      <c r="Y137" s="56"/>
      <c r="Z137" s="56"/>
      <c r="AA137" s="56"/>
      <c r="AB137" s="56"/>
      <c r="AC137" s="56"/>
      <c r="AD137" s="56"/>
      <c r="AE137" s="56"/>
      <c r="AF137" s="56"/>
      <c r="AG137" s="56"/>
      <c r="AH137" s="56"/>
      <c r="AI137" s="56"/>
      <c r="AJ137" s="56"/>
      <c r="AK137" s="56"/>
      <c r="AL137" s="56"/>
      <c r="AM137" s="56"/>
    </row>
    <row r="138" spans="19:44">
      <c r="S138" s="56"/>
      <c r="T138" s="56"/>
      <c r="U138" s="56"/>
      <c r="V138" s="56"/>
      <c r="W138" s="56"/>
      <c r="X138" s="56"/>
      <c r="Y138" s="56"/>
      <c r="Z138" s="56"/>
      <c r="AA138" s="56"/>
      <c r="AB138" s="56"/>
      <c r="AC138" s="56"/>
      <c r="AD138" s="56"/>
      <c r="AE138" s="56"/>
      <c r="AF138" s="56"/>
      <c r="AG138" s="56"/>
      <c r="AH138" s="56"/>
      <c r="AI138" s="56"/>
      <c r="AJ138" s="56"/>
      <c r="AK138" s="56"/>
      <c r="AL138" s="56"/>
      <c r="AM138" s="56"/>
    </row>
    <row r="139" spans="19:44">
      <c r="S139" s="56"/>
      <c r="T139" s="56"/>
      <c r="U139" s="56"/>
      <c r="V139" s="56"/>
      <c r="W139" s="56"/>
      <c r="X139" s="56"/>
      <c r="Y139" s="56"/>
      <c r="Z139" s="56"/>
      <c r="AA139" s="56"/>
      <c r="AB139" s="56"/>
      <c r="AC139" s="56"/>
      <c r="AD139" s="56"/>
      <c r="AE139" s="56"/>
      <c r="AF139" s="56"/>
      <c r="AG139" s="56"/>
      <c r="AH139" s="56"/>
      <c r="AI139" s="56"/>
      <c r="AJ139" s="56"/>
      <c r="AK139" s="56"/>
      <c r="AL139" s="56"/>
      <c r="AM139" s="56"/>
    </row>
  </sheetData>
  <autoFilter ref="AN30:AR130" xr:uid="{00000000-0009-0000-0000-00000F000000}"/>
  <conditionalFormatting sqref="B2">
    <cfRule type="expression" dxfId="21" priority="10">
      <formula>IF(#REF!="N",TRUE,FALSE)</formula>
    </cfRule>
  </conditionalFormatting>
  <conditionalFormatting sqref="B2 G5:H54 D6:F55 I6:K55">
    <cfRule type="expression" dxfId="20" priority="9">
      <formula>IF(#REF!="N",TRUE,FALSE)</formula>
    </cfRule>
  </conditionalFormatting>
  <conditionalFormatting sqref="D56:F62 I56:K62 G50:H61">
    <cfRule type="expression" dxfId="19" priority="8">
      <formula>IF(#REF!="N",TRUE,FALSE)</formula>
    </cfRule>
  </conditionalFormatting>
  <conditionalFormatting sqref="D56:F62 I56:K62 G50:H61">
    <cfRule type="expression" dxfId="18" priority="7">
      <formula>IF(#REF!="N",TRUE,FALSE)</formula>
    </cfRule>
  </conditionalFormatting>
  <conditionalFormatting sqref="I49:K49">
    <cfRule type="expression" dxfId="17" priority="6">
      <formula>IF(#REF!="N",TRUE,FALSE)</formula>
    </cfRule>
  </conditionalFormatting>
  <conditionalFormatting sqref="I49:K49 D49:F49 G48:H48">
    <cfRule type="expression" dxfId="16" priority="5">
      <formula>IF(#REF!="N",TRUE,FALSE)</formula>
    </cfRule>
  </conditionalFormatting>
  <conditionalFormatting sqref="B1">
    <cfRule type="expression" dxfId="15" priority="4">
      <formula>IF(#REF!="N",TRUE,FALSE)</formula>
    </cfRule>
  </conditionalFormatting>
  <conditionalFormatting sqref="B1">
    <cfRule type="expression" dxfId="14" priority="3">
      <formula>IF(#REF!="N",TRUE,FALSE)</formula>
    </cfRule>
  </conditionalFormatting>
  <conditionalFormatting sqref="D1:D2">
    <cfRule type="expression" dxfId="13" priority="2">
      <formula>IF(#REF!="N",TRUE,FALSE)</formula>
    </cfRule>
  </conditionalFormatting>
  <conditionalFormatting sqref="D1:D2">
    <cfRule type="expression" dxfId="12" priority="1">
      <formula>IF(#REF!="N",TRUE,FALSE)</formula>
    </cfRule>
  </conditionalFormatting>
  <pageMargins left="0.7" right="0.7" top="0.75" bottom="0.75" header="0.3" footer="0.3"/>
  <pageSetup orientation="portrait" r:id="rId2"/>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1:AR43"/>
  <sheetViews>
    <sheetView zoomScale="90" zoomScaleNormal="90" workbookViewId="0">
      <selection activeCell="R22" sqref="R22"/>
    </sheetView>
  </sheetViews>
  <sheetFormatPr defaultColWidth="8.85546875" defaultRowHeight="15"/>
  <cols>
    <col min="1" max="1" width="8.7109375" style="303" customWidth="1"/>
    <col min="2" max="2" width="10.140625" style="303" customWidth="1"/>
    <col min="3" max="3" width="13.85546875" style="303" customWidth="1"/>
    <col min="4" max="4" width="2.42578125" style="303" customWidth="1"/>
    <col min="5" max="5" width="9.28515625" style="303" customWidth="1"/>
    <col min="6" max="7" width="8.85546875" style="303"/>
    <col min="8" max="8" width="1.7109375" style="303" customWidth="1"/>
    <col min="9" max="11" width="6.28515625" style="303" customWidth="1"/>
    <col min="12" max="12" width="9.28515625" style="303" customWidth="1"/>
    <col min="13" max="14" width="8.7109375" style="303" customWidth="1"/>
    <col min="15" max="15" width="9.140625" style="303" customWidth="1"/>
    <col min="16" max="16" width="1.7109375" style="303" customWidth="1"/>
    <col min="17" max="17" width="8.85546875" style="303" customWidth="1"/>
    <col min="18" max="18" width="7.28515625" style="303" bestFit="1" customWidth="1"/>
    <col min="19" max="19" width="8.7109375" style="303" customWidth="1"/>
    <col min="20" max="20" width="7.7109375" style="303" customWidth="1"/>
    <col min="21" max="21" width="1.7109375" style="303" customWidth="1"/>
    <col min="22" max="24" width="5.7109375" style="303" customWidth="1"/>
    <col min="25" max="28" width="8.85546875" style="303"/>
    <col min="29" max="29" width="2.7109375" style="303" customWidth="1"/>
    <col min="30" max="30" width="6.7109375" style="303" customWidth="1"/>
    <col min="31" max="31" width="2.85546875" style="303" customWidth="1"/>
    <col min="32" max="32" width="8.85546875" style="303" customWidth="1"/>
    <col min="33" max="33" width="2.7109375" style="303" customWidth="1"/>
    <col min="34" max="34" width="8.85546875" style="303" customWidth="1"/>
    <col min="35" max="35" width="2.5703125" style="303" customWidth="1"/>
    <col min="36" max="36" width="22.7109375" style="303" customWidth="1"/>
    <col min="37" max="37" width="3.5703125" style="303" customWidth="1"/>
    <col min="38" max="40" width="6.28515625" style="303" customWidth="1"/>
    <col min="41" max="41" width="1.7109375" style="303" customWidth="1"/>
    <col min="42" max="44" width="6.42578125" style="303" customWidth="1"/>
    <col min="45" max="16384" width="8.85546875" style="303"/>
  </cols>
  <sheetData>
    <row r="1" spans="1:44">
      <c r="A1" s="704" t="s">
        <v>887</v>
      </c>
    </row>
    <row r="2" spans="1:44">
      <c r="A2" s="303" t="s">
        <v>888</v>
      </c>
    </row>
    <row r="3" spans="1:44">
      <c r="A3" s="303" t="s">
        <v>889</v>
      </c>
    </row>
    <row r="4" spans="1:44">
      <c r="AH4" s="303" t="s">
        <v>885</v>
      </c>
      <c r="AL4" s="707" t="s">
        <v>873</v>
      </c>
      <c r="AP4" s="707"/>
    </row>
    <row r="5" spans="1:44" s="707" customFormat="1">
      <c r="A5" s="707" t="s">
        <v>120</v>
      </c>
      <c r="E5" s="707" t="s">
        <v>875</v>
      </c>
      <c r="F5" s="708"/>
      <c r="G5" s="709" t="s">
        <v>876</v>
      </c>
      <c r="I5" s="707" t="s">
        <v>584</v>
      </c>
      <c r="L5" s="707" t="s">
        <v>858</v>
      </c>
      <c r="Q5" s="707" t="s">
        <v>870</v>
      </c>
      <c r="V5" s="707" t="s">
        <v>873</v>
      </c>
      <c r="Y5" s="707" t="s">
        <v>858</v>
      </c>
      <c r="AH5" s="739">
        <f>PRODUCT(AH7:AH16)</f>
        <v>1.0245602842596833</v>
      </c>
      <c r="AL5" s="707" t="s">
        <v>883</v>
      </c>
      <c r="AP5" s="707" t="s">
        <v>884</v>
      </c>
    </row>
    <row r="6" spans="1:44" s="710" customFormat="1" ht="28.9" customHeight="1">
      <c r="A6" s="710" t="s">
        <v>872</v>
      </c>
      <c r="B6" s="710" t="s">
        <v>309</v>
      </c>
      <c r="C6" s="710" t="s">
        <v>874</v>
      </c>
      <c r="E6" s="710" t="s">
        <v>856</v>
      </c>
      <c r="F6" s="710" t="s">
        <v>857</v>
      </c>
      <c r="G6" s="710" t="s">
        <v>827</v>
      </c>
      <c r="I6" s="710" t="s">
        <v>856</v>
      </c>
      <c r="J6" s="710" t="s">
        <v>857</v>
      </c>
      <c r="K6" s="710" t="s">
        <v>827</v>
      </c>
      <c r="L6" s="710" t="s">
        <v>856</v>
      </c>
      <c r="M6" s="710" t="s">
        <v>857</v>
      </c>
      <c r="N6" s="710" t="s">
        <v>827</v>
      </c>
      <c r="O6" s="710" t="s">
        <v>805</v>
      </c>
      <c r="Q6" s="710" t="s">
        <v>856</v>
      </c>
      <c r="R6" s="710" t="s">
        <v>857</v>
      </c>
      <c r="S6" s="710" t="s">
        <v>827</v>
      </c>
      <c r="T6" s="711" t="s">
        <v>805</v>
      </c>
      <c r="V6" s="710" t="s">
        <v>856</v>
      </c>
      <c r="W6" s="710" t="s">
        <v>857</v>
      </c>
      <c r="X6" s="710" t="s">
        <v>827</v>
      </c>
      <c r="Y6" s="710" t="s">
        <v>856</v>
      </c>
      <c r="Z6" s="710" t="s">
        <v>857</v>
      </c>
      <c r="AA6" s="710" t="s">
        <v>827</v>
      </c>
      <c r="AB6" s="710" t="s">
        <v>805</v>
      </c>
      <c r="AD6" s="710" t="s">
        <v>310</v>
      </c>
      <c r="AF6" s="710" t="s">
        <v>859</v>
      </c>
      <c r="AH6" s="710" t="s">
        <v>869</v>
      </c>
      <c r="AJ6" s="710" t="s">
        <v>871</v>
      </c>
      <c r="AL6" s="710" t="s">
        <v>856</v>
      </c>
      <c r="AM6" s="710" t="s">
        <v>857</v>
      </c>
      <c r="AN6" s="710" t="s">
        <v>827</v>
      </c>
      <c r="AP6" s="710" t="s">
        <v>856</v>
      </c>
      <c r="AQ6" s="710" t="s">
        <v>857</v>
      </c>
      <c r="AR6" s="710" t="s">
        <v>827</v>
      </c>
    </row>
    <row r="7" spans="1:44">
      <c r="A7" s="703">
        <v>1</v>
      </c>
      <c r="B7" s="703">
        <v>1</v>
      </c>
      <c r="C7" s="706">
        <v>0</v>
      </c>
      <c r="E7" s="693">
        <f>IF($G$5="Scenarios 3-5",INDEX(DSS_Calc!KR:KR,MATCH('Scenario Rec'!A7*1000+3,DSS_Calc!A:A,0)),MAX(F7-1.5,1.8))</f>
        <v>2.084222516178253</v>
      </c>
      <c r="F7" s="693">
        <f>IF($G$5="Scenarios 3-5",INDEX(DSS_Calc!KR:KR,MATCH('Scenario Rec'!A7*1000+4,DSS_Calc!A:A,0)),VLOOKUP(INDEX(DSS_Calc!$AZ:$AZ,MATCH($A7*1000+1,DSS_Calc!$A:$A,0)),Lookup!$B:$E,4,FALSE))</f>
        <v>2.6083307309204953</v>
      </c>
      <c r="G7" s="693">
        <f>IF($G$5="Scenarios 3-5",INDEX(DSS_Calc!KR:KR,MATCH('Scenario Rec'!A7*1000+5,DSS_Calc!A:A,0)),E7+3)</f>
        <v>3.4719735471706459</v>
      </c>
      <c r="I7" s="705">
        <f>INDEX(DSS_Calc!IE:IE,MATCH($A7*1000+$B7,DSS_Calc!$A:$A,0))</f>
        <v>0.24663677130044842</v>
      </c>
      <c r="J7" s="705">
        <f>INDEX(DSS_Calc!IF:IF,MATCH($A7*1000+$B7,DSS_Calc!$A:$A,0))</f>
        <v>0.35201793721973096</v>
      </c>
      <c r="K7" s="705">
        <f>INDEX(DSS_Calc!IG:IG,MATCH($A7*1000+$B7,DSS_Calc!$A:$A,0))</f>
        <v>0.40134529147982062</v>
      </c>
      <c r="L7" s="467">
        <f>INDEX(DSS_Calc!JA:JA,MATCH($A7*1000+$B7,DSS_Calc!$A:$A,0))</f>
        <v>1270</v>
      </c>
      <c r="M7" s="467">
        <f>INDEX(DSS_Calc!JB:JB,MATCH($A7*1000+$B7,DSS_Calc!$A:$A,0))</f>
        <v>2130.0624533823611</v>
      </c>
      <c r="N7" s="467">
        <f>INDEX(DSS_Calc!JC:JC,MATCH($A7*1000+$B7,DSS_Calc!$A:$A,0))</f>
        <v>4373.7164157747848</v>
      </c>
      <c r="O7" s="467">
        <f t="shared" ref="O7:O11" si="0">IFERROR(SUMPRODUCT(I7:K7,L7:N7),0)</f>
        <v>2818.4193802796353</v>
      </c>
      <c r="P7" s="388"/>
      <c r="Q7" s="738">
        <v>-56.82311138518223</v>
      </c>
      <c r="R7" s="738">
        <v>197.46480708831845</v>
      </c>
      <c r="S7" s="738">
        <v>-407.674588463367</v>
      </c>
      <c r="T7" s="689">
        <f>AB7-O7</f>
        <v>-281.5810991024764</v>
      </c>
      <c r="U7" s="388"/>
      <c r="V7" s="388">
        <f>IF($G$5="Scenarios 3-5",AP7,AL7)</f>
        <v>0.28093652871794811</v>
      </c>
      <c r="W7" s="388">
        <f t="shared" ref="W7:W16" si="1">IF($G$5="Scenarios 3-5",AQ7,AM7)</f>
        <v>0.37357174005078575</v>
      </c>
      <c r="X7" s="388">
        <f t="shared" ref="X7:X16" si="2">IF($G$5="Scenarios 3-5",AR7,AN7)</f>
        <v>0.31490092524530922</v>
      </c>
      <c r="Y7" s="467">
        <f>L7+Q7</f>
        <v>1213.1768886148177</v>
      </c>
      <c r="Z7" s="467">
        <f>M7+R7</f>
        <v>2327.5272604706797</v>
      </c>
      <c r="AA7" s="467">
        <f>N7+S7</f>
        <v>3966.0418273114178</v>
      </c>
      <c r="AB7" s="467">
        <f>IFERROR(SUMPRODUCT(Y7:AA7,V7:X7)/SUM(V7:X7),0)</f>
        <v>2536.8382811771589</v>
      </c>
      <c r="AC7" s="467"/>
      <c r="AD7" s="690">
        <f>SUM(V7:X7)-1</f>
        <v>-3.0590805985956981E-2</v>
      </c>
      <c r="AE7" s="692"/>
      <c r="AF7" s="689">
        <f>INDEX(DSS_Calc!$BX:$BX,MATCH($A7*1000+3,DSS_Calc!$A:$A,0))-O7</f>
        <v>17166.580619720364</v>
      </c>
      <c r="AH7" s="691">
        <f>IFERROR(AD7+1,1)</f>
        <v>0.96940919401404302</v>
      </c>
      <c r="AJ7" s="467">
        <f>(-PMT(2%/12,60,AF7*90%)*60+PMT(1%/12,60,AF7*90%)*60)*25%+(-PMT(2%/12,72,AF7*90%)*72+PMT(1%/12,72,AF7*90%)*72)*75%</f>
        <v>463.44671763321276</v>
      </c>
      <c r="AK7" s="688"/>
      <c r="AL7" s="705">
        <f>E7*Q7/AF7*1.3*MAX(I7,10%)+I7
-F7*R7/AF7*0.2*MAX(J7,10%)
-G7*S7/AF7*0.1*MAX(K7,10%)</f>
        <v>0.24562163741905063</v>
      </c>
      <c r="AM7" s="705">
        <f>F7*R7/AF7*1.3*MAX(J7,10%)+J7
-E7*Q7/AF7*0.2*MAX(I7,10%)
-G7*S7/AF7*0.1*MAX(K7,10%)</f>
        <v>0.36939765191683682</v>
      </c>
      <c r="AN7" s="705">
        <f>G7*S7/$AF7*1.2*MAX(K7,10%)+K7</f>
        <v>0.36163476271116135</v>
      </c>
      <c r="AO7" s="413"/>
      <c r="AP7" s="705">
        <f>(Q7*(INDEX(DSS_Calc!IB:IB,MATCH(A7*1000+3,DSS_Calc!A:A,0))-INDEX(DSS_Calc!IB:IB,MATCH(A7*1000+1,DSS_Calc!A:A,0)))/INDEX(DSS_Calc!IL:IL,MATCH(A7*1000+3,DSS_Calc!A:A,0))+
R7*(INDEX(DSS_Calc!IB:IB,MATCH(A7*1000+4,DSS_Calc!A:A,0))-INDEX(DSS_Calc!IB:IB,MATCH(A7*1000+1,DSS_Calc!A:A,0)))/INDEX(DSS_Calc!IM:IM,MATCH(A7*1000+4,DSS_Calc!A:A,0))+
S7*(INDEX(DSS_Calc!IB:IB,MATCH(A7*1000+5,DSS_Calc!A:A,0))-INDEX(DSS_Calc!IB:IB,MATCH(A7*1000+1,DSS_Calc!A:A,0)))/INDEX(DSS_Calc!IN:IN,MATCH(A7*1000+5,DSS_Calc!A:A,0)))/
INDEX(DSS_Calc!JG:JG,MATCH(A7*1000+1,DSS_Calc!A:A,0))+I7</f>
        <v>0.28093652871794811</v>
      </c>
      <c r="AQ7" s="705">
        <f>(Q7*(INDEX(DSS_Calc!IC:IC,MATCH(A7*1000+3,DSS_Calc!A:A,0))-INDEX(DSS_Calc!IC:IC,MATCH(A7*1000+1,DSS_Calc!A:A,0)))/INDEX(DSS_Calc!IL:IL,MATCH(A7*1000+3,DSS_Calc!A:A,0))+
R7*(INDEX(DSS_Calc!IC:IC,MATCH(A7*1000+4,DSS_Calc!A:A,0))-INDEX(DSS_Calc!IC:IC,MATCH(A7*1000+1,DSS_Calc!A:A,0)))/INDEX(DSS_Calc!IM:IM,MATCH(A7*1000+4,DSS_Calc!A:A,0))+
S7*(INDEX(DSS_Calc!IC:IC,MATCH(A7*1000+5,DSS_Calc!A:A,0))-INDEX(DSS_Calc!IC:IC,MATCH(A7*1000+1,DSS_Calc!A:A,0)))/INDEX(DSS_Calc!IN:IN,MATCH(A7*1000+5,DSS_Calc!A:A,0)))/
INDEX(DSS_Calc!JG:JG,MATCH(A7*1000+1,DSS_Calc!A:A,0))+J7</f>
        <v>0.37357174005078575</v>
      </c>
      <c r="AR7" s="705">
        <f>(Q7*(INDEX(DSS_Calc!ID:ID,MATCH(A7*1000+3,DSS_Calc!A:A,0))-INDEX(DSS_Calc!ID:ID,MATCH(A7*1000+1,DSS_Calc!A:A,0)))/INDEX(DSS_Calc!IL:IL,MATCH(A7*1000+3,DSS_Calc!A:A,0))+
R7*(INDEX(DSS_Calc!ID:ID,MATCH(A7*1000+4,DSS_Calc!A:A,0))-INDEX(DSS_Calc!ID:ID,MATCH(A7*1000+1,DSS_Calc!A:A,0)))/INDEX(DSS_Calc!IM:IM,MATCH(A7*1000+4,DSS_Calc!A:A,0))+
S7*(INDEX(DSS_Calc!ID:ID,MATCH(A7*1000+5,DSS_Calc!A:A,0))-INDEX(DSS_Calc!ID:ID,MATCH(A7*1000+1,DSS_Calc!A:A,0)))/INDEX(DSS_Calc!IN:IN,MATCH(A7*1000+5,DSS_Calc!A:A,0)))/
INDEX(DSS_Calc!JG:JG,MATCH(A7*1000+1,DSS_Calc!A:A,0))+K7</f>
        <v>0.31490092524530922</v>
      </c>
    </row>
    <row r="8" spans="1:44">
      <c r="A8" s="703">
        <f>A7+1</f>
        <v>2</v>
      </c>
      <c r="B8" s="703">
        <f>B7</f>
        <v>1</v>
      </c>
      <c r="C8" s="706">
        <f>C7</f>
        <v>0</v>
      </c>
      <c r="E8" s="693">
        <f>IF($G$5="Scenarios 3-5",INDEX(DSS_Calc!KR:KR,MATCH('Scenario Rec'!A8*1000+3,DSS_Calc!A:A,0)),MAX(F8-1.5,1.8))</f>
        <v>1.9932922589614988</v>
      </c>
      <c r="F8" s="693">
        <f>IF($G$5="Scenarios 3-5",INDEX(DSS_Calc!KR:KR,MATCH('Scenario Rec'!A8*1000+4,DSS_Calc!A:A,0)),VLOOKUP(INDEX(DSS_Calc!$AZ:$AZ,MATCH($A8*1000+1,DSS_Calc!$A:$A,0)),Lookup!$B:$E,4,FALSE))</f>
        <v>2.5789778887926205</v>
      </c>
      <c r="G8" s="693">
        <f>IF($G$5="Scenarios 3-5",INDEX(DSS_Calc!KR:KR,MATCH('Scenario Rec'!A8*1000+5,DSS_Calc!A:A,0)),E8+3)</f>
        <v>3.7141709302523949</v>
      </c>
      <c r="I8" s="705">
        <f>INDEX(DSS_Calc!IE:IE,MATCH($A8*1000+$B8,DSS_Calc!$A:$A,0))</f>
        <v>0.36283185840707965</v>
      </c>
      <c r="J8" s="705">
        <f>INDEX(DSS_Calc!IF:IF,MATCH($A8*1000+$B8,DSS_Calc!$A:$A,0))</f>
        <v>0.46419951729686243</v>
      </c>
      <c r="K8" s="705">
        <f>INDEX(DSS_Calc!IG:IG,MATCH($A8*1000+$B8,DSS_Calc!$A:$A,0))</f>
        <v>0.17296862429605792</v>
      </c>
      <c r="L8" s="467">
        <f>INDEX(DSS_Calc!JA:JA,MATCH($A8*1000+$B8,DSS_Calc!$A:$A,0))</f>
        <v>1294</v>
      </c>
      <c r="M8" s="467">
        <f>INDEX(DSS_Calc!JB:JB,MATCH($A8*1000+$B8,DSS_Calc!$A:$A,0))</f>
        <v>2154.0624533823611</v>
      </c>
      <c r="N8" s="467">
        <f>INDEX(DSS_Calc!JC:JC,MATCH($A8*1000+$B8,DSS_Calc!$A:$A,0))</f>
        <v>3677.7164157747848</v>
      </c>
      <c r="O8" s="467">
        <f t="shared" si="0"/>
        <v>2105.5487248537415</v>
      </c>
      <c r="P8" s="388"/>
      <c r="Q8" s="738">
        <v>722.87542198868266</v>
      </c>
      <c r="R8" s="738">
        <v>-69.739369090834131</v>
      </c>
      <c r="S8" s="738">
        <v>-495.95596181261601</v>
      </c>
      <c r="T8" s="689">
        <f t="shared" ref="T8:T16" si="3">AB8-O8</f>
        <v>37.991598235537367</v>
      </c>
      <c r="U8" s="388"/>
      <c r="V8" s="388">
        <f t="shared" ref="V8:V16" si="4">IF($G$5="Scenarios 3-5",AP8,AL8)</f>
        <v>0.48618454774318931</v>
      </c>
      <c r="W8" s="388">
        <f t="shared" si="1"/>
        <v>0.43909773828883419</v>
      </c>
      <c r="X8" s="388">
        <f t="shared" si="2"/>
        <v>8.4360407466472803E-2</v>
      </c>
      <c r="Y8" s="467">
        <f t="shared" ref="Y8:Y11" si="5">L8+Q8</f>
        <v>2016.8754219886828</v>
      </c>
      <c r="Z8" s="467">
        <f t="shared" ref="Z8:Z11" si="6">M8+R8</f>
        <v>2084.3230842915268</v>
      </c>
      <c r="AA8" s="467">
        <f t="shared" ref="AA8:AA11" si="7">N8+S8</f>
        <v>3181.7604539621689</v>
      </c>
      <c r="AB8" s="467">
        <f t="shared" ref="AB8:AB16" si="8">IFERROR(SUMPRODUCT(Y8:AA8,V8:X8)/SUM(V8:X8),0)</f>
        <v>2143.5403230892789</v>
      </c>
      <c r="AC8" s="467"/>
      <c r="AD8" s="690">
        <f t="shared" ref="AD8:AD11" si="9">SUM(V8:X8)-1</f>
        <v>9.6426934984963353E-3</v>
      </c>
      <c r="AE8" s="692"/>
      <c r="AF8" s="689">
        <f>INDEX(DSS_Calc!$BX:$BX,MATCH($A8*1000+3,DSS_Calc!$A:$A,0))-O8</f>
        <v>17879.451275146257</v>
      </c>
      <c r="AH8" s="691">
        <f t="shared" ref="AH8:AH16" si="10">IFERROR(AD8+1,1)</f>
        <v>1.0096426934984963</v>
      </c>
      <c r="AJ8" s="467">
        <f t="shared" ref="AJ8:AJ11" si="11">(-PMT(2%/12,60,AF8*90%)*60+PMT(1%/12,60,AF8*90%)*60)*25%+(-PMT(2%/12,72,AF8*90%)*72+PMT(1%/12,72,AF8*90%)*72)*75%</f>
        <v>482.69210916882639</v>
      </c>
      <c r="AK8" s="688"/>
      <c r="AL8" s="388">
        <f t="shared" ref="AL8:AL16" si="12">E8*Q8/AF8*1.3*MAX(I8,10%)+I8
-F8*R8/AF8*0.2*MAX(J8,10%)
-G8*S8/AF8*0.1*MAX(K8,10%)</f>
        <v>0.40356053993008734</v>
      </c>
      <c r="AM8" s="388">
        <f t="shared" ref="AM8:AM16" si="13">F8*R8/AF8*1.3*MAX(J8,10%)+J8
-E8*Q8/AF8*0.2*MAX(I8,10%)
-G8*S8/AF8*0.1*MAX(K8,10%)</f>
        <v>0.45406301803587734</v>
      </c>
      <c r="AN8" s="388">
        <f t="shared" ref="AN8:AN16" si="14">G8*S8/$AF8*1.2*MAX(K8,10%)+K8</f>
        <v>0.15158410988022752</v>
      </c>
      <c r="AP8" s="705">
        <f>(Q8*(INDEX(DSS_Calc!IB:IB,MATCH(A8*1000+3,DSS_Calc!A:A,0))-INDEX(DSS_Calc!IB:IB,MATCH(A8*1000+1,DSS_Calc!A:A,0)))/INDEX(DSS_Calc!IL:IL,MATCH(A8*1000+3,DSS_Calc!A:A,0))+
R8*(INDEX(DSS_Calc!IB:IB,MATCH(A8*1000+4,DSS_Calc!A:A,0))-INDEX(DSS_Calc!IB:IB,MATCH(A8*1000+1,DSS_Calc!A:A,0)))/INDEX(DSS_Calc!IM:IM,MATCH(A8*1000+4,DSS_Calc!A:A,0))+
S8*(INDEX(DSS_Calc!IB:IB,MATCH(A8*1000+5,DSS_Calc!A:A,0))-INDEX(DSS_Calc!IB:IB,MATCH(A8*1000+1,DSS_Calc!A:A,0)))/INDEX(DSS_Calc!IN:IN,MATCH(A8*1000+5,DSS_Calc!A:A,0)))/
INDEX(DSS_Calc!JG:JG,MATCH(A8*1000+1,DSS_Calc!A:A,0))+I8</f>
        <v>0.48618454774318931</v>
      </c>
      <c r="AQ8" s="705">
        <f>(Q8*(INDEX(DSS_Calc!IC:IC,MATCH(A8*1000+3,DSS_Calc!A:A,0))-INDEX(DSS_Calc!IC:IC,MATCH(A8*1000+1,DSS_Calc!A:A,0)))/INDEX(DSS_Calc!IL:IL,MATCH(A8*1000+3,DSS_Calc!A:A,0))+
R8*(INDEX(DSS_Calc!IC:IC,MATCH(A8*1000+4,DSS_Calc!A:A,0))-INDEX(DSS_Calc!IC:IC,MATCH(A8*1000+1,DSS_Calc!A:A,0)))/INDEX(DSS_Calc!IM:IM,MATCH(A8*1000+4,DSS_Calc!A:A,0))+
S8*(INDEX(DSS_Calc!IC:IC,MATCH(A8*1000+5,DSS_Calc!A:A,0))-INDEX(DSS_Calc!IC:IC,MATCH(A8*1000+1,DSS_Calc!A:A,0)))/INDEX(DSS_Calc!IN:IN,MATCH(A8*1000+5,DSS_Calc!A:A,0)))/
INDEX(DSS_Calc!JG:JG,MATCH(A8*1000+1,DSS_Calc!A:A,0))+J8</f>
        <v>0.43909773828883419</v>
      </c>
      <c r="AR8" s="705">
        <f>(Q8*(INDEX(DSS_Calc!ID:ID,MATCH(A8*1000+3,DSS_Calc!A:A,0))-INDEX(DSS_Calc!ID:ID,MATCH(A8*1000+1,DSS_Calc!A:A,0)))/INDEX(DSS_Calc!IL:IL,MATCH(A8*1000+3,DSS_Calc!A:A,0))+
R8*(INDEX(DSS_Calc!ID:ID,MATCH(A8*1000+4,DSS_Calc!A:A,0))-INDEX(DSS_Calc!ID:ID,MATCH(A8*1000+1,DSS_Calc!A:A,0)))/INDEX(DSS_Calc!IM:IM,MATCH(A8*1000+4,DSS_Calc!A:A,0))+
S8*(INDEX(DSS_Calc!ID:ID,MATCH(A8*1000+5,DSS_Calc!A:A,0))-INDEX(DSS_Calc!ID:ID,MATCH(A8*1000+1,DSS_Calc!A:A,0)))/INDEX(DSS_Calc!IN:IN,MATCH(A8*1000+5,DSS_Calc!A:A,0)))/
INDEX(DSS_Calc!JG:JG,MATCH(A8*1000+1,DSS_Calc!A:A,0))+K8</f>
        <v>8.4360407466472803E-2</v>
      </c>
    </row>
    <row r="9" spans="1:44">
      <c r="A9" s="703">
        <f t="shared" ref="A9:A11" si="15">A8+1</f>
        <v>3</v>
      </c>
      <c r="B9" s="703">
        <f t="shared" ref="B9:C16" si="16">B8</f>
        <v>1</v>
      </c>
      <c r="C9" s="706">
        <f t="shared" si="16"/>
        <v>0</v>
      </c>
      <c r="E9" s="693">
        <f>IF($G$5="Scenarios 3-5",INDEX(DSS_Calc!KR:KR,MATCH('Scenario Rec'!A9*1000+3,DSS_Calc!A:A,0)),MAX(F9-1.5,1.8))</f>
        <v>9.2461970794173958</v>
      </c>
      <c r="F9" s="693">
        <f>IF($G$5="Scenarios 3-5",INDEX(DSS_Calc!KR:KR,MATCH('Scenario Rec'!A9*1000+4,DSS_Calc!A:A,0)),VLOOKUP(INDEX(DSS_Calc!$AZ:$AZ,MATCH($A9*1000+1,DSS_Calc!$A:$A,0)),Lookup!$B:$E,4,FALSE))</f>
        <v>2.0965102167890364</v>
      </c>
      <c r="G9" s="693">
        <f>IF($G$5="Scenarios 3-5",INDEX(DSS_Calc!KR:KR,MATCH('Scenario Rec'!A9*1000+5,DSS_Calc!A:A,0)),E9+3)</f>
        <v>1.9393043021661793</v>
      </c>
      <c r="I9" s="705">
        <f>INDEX(DSS_Calc!IE:IE,MATCH($A9*1000+$B9,DSS_Calc!$A:$A,0))</f>
        <v>0.31614906832298134</v>
      </c>
      <c r="J9" s="705">
        <f>INDEX(DSS_Calc!IF:IF,MATCH($A9*1000+$B9,DSS_Calc!$A:$A,0))</f>
        <v>0.52422360248447208</v>
      </c>
      <c r="K9" s="705">
        <f>INDEX(DSS_Calc!IG:IG,MATCH($A9*1000+$B9,DSS_Calc!$A:$A,0))</f>
        <v>0.15962732919254657</v>
      </c>
      <c r="L9" s="467">
        <f>INDEX(DSS_Calc!JA:JA,MATCH($A9*1000+$B9,DSS_Calc!$A:$A,0))</f>
        <v>1611</v>
      </c>
      <c r="M9" s="467">
        <f>INDEX(DSS_Calc!JB:JB,MATCH($A9*1000+$B9,DSS_Calc!$A:$A,0))</f>
        <v>2471.0624533823611</v>
      </c>
      <c r="N9" s="467">
        <f>INDEX(DSS_Calc!JC:JC,MATCH($A9*1000+$B9,DSS_Calc!$A:$A,0))</f>
        <v>3994.7164157747857</v>
      </c>
      <c r="O9" s="467">
        <f t="shared" si="0"/>
        <v>2442.3713226762934</v>
      </c>
      <c r="P9" s="388"/>
      <c r="Q9" s="738">
        <v>20.336621335416833</v>
      </c>
      <c r="R9" s="738">
        <v>23.311442641971642</v>
      </c>
      <c r="S9" s="738">
        <v>-195.35890323501206</v>
      </c>
      <c r="T9" s="689">
        <f t="shared" si="3"/>
        <v>-56.172791708185287</v>
      </c>
      <c r="U9" s="388"/>
      <c r="V9" s="388">
        <f t="shared" si="4"/>
        <v>0.33125420779504872</v>
      </c>
      <c r="W9" s="388">
        <f t="shared" si="1"/>
        <v>0.5270844766319559</v>
      </c>
      <c r="X9" s="388">
        <f t="shared" si="2"/>
        <v>0.13659724823049921</v>
      </c>
      <c r="Y9" s="467">
        <f t="shared" si="5"/>
        <v>1631.3366213354168</v>
      </c>
      <c r="Z9" s="467">
        <f t="shared" si="6"/>
        <v>2494.3738960243327</v>
      </c>
      <c r="AA9" s="467">
        <f t="shared" si="7"/>
        <v>3799.3575125397738</v>
      </c>
      <c r="AB9" s="467">
        <f t="shared" si="8"/>
        <v>2386.1985309681081</v>
      </c>
      <c r="AC9" s="467"/>
      <c r="AD9" s="690">
        <f t="shared" si="9"/>
        <v>-5.0640673424960925E-3</v>
      </c>
      <c r="AE9" s="692"/>
      <c r="AF9" s="689">
        <f>INDEX(DSS_Calc!$BX:$BX,MATCH($A9*1000+3,DSS_Calc!$A:$A,0))-O9</f>
        <v>17542.628677323708</v>
      </c>
      <c r="AH9" s="691">
        <f t="shared" si="10"/>
        <v>0.99493593265750391</v>
      </c>
      <c r="AJ9" s="467">
        <f t="shared" si="11"/>
        <v>473.59889888755242</v>
      </c>
      <c r="AK9" s="688"/>
      <c r="AL9" s="388">
        <f t="shared" si="12"/>
        <v>0.32060708895720352</v>
      </c>
      <c r="AM9" s="388">
        <f t="shared" si="13"/>
        <v>0.52578918394172236</v>
      </c>
      <c r="AN9" s="388">
        <f t="shared" si="14"/>
        <v>0.15549044853978841</v>
      </c>
      <c r="AP9" s="705">
        <f>(Q9*(INDEX(DSS_Calc!IB:IB,MATCH(A9*1000+3,DSS_Calc!A:A,0))-INDEX(DSS_Calc!IB:IB,MATCH(A9*1000+1,DSS_Calc!A:A,0)))/INDEX(DSS_Calc!IL:IL,MATCH(A9*1000+3,DSS_Calc!A:A,0))+
R9*(INDEX(DSS_Calc!IB:IB,MATCH(A9*1000+4,DSS_Calc!A:A,0))-INDEX(DSS_Calc!IB:IB,MATCH(A9*1000+1,DSS_Calc!A:A,0)))/INDEX(DSS_Calc!IM:IM,MATCH(A9*1000+4,DSS_Calc!A:A,0))+
S9*(INDEX(DSS_Calc!IB:IB,MATCH(A9*1000+5,DSS_Calc!A:A,0))-INDEX(DSS_Calc!IB:IB,MATCH(A9*1000+1,DSS_Calc!A:A,0)))/INDEX(DSS_Calc!IN:IN,MATCH(A9*1000+5,DSS_Calc!A:A,0)))/
INDEX(DSS_Calc!JG:JG,MATCH(A9*1000+1,DSS_Calc!A:A,0))+I9</f>
        <v>0.33125420779504872</v>
      </c>
      <c r="AQ9" s="705">
        <f>(Q9*(INDEX(DSS_Calc!IC:IC,MATCH(A9*1000+3,DSS_Calc!A:A,0))-INDEX(DSS_Calc!IC:IC,MATCH(A9*1000+1,DSS_Calc!A:A,0)))/INDEX(DSS_Calc!IL:IL,MATCH(A9*1000+3,DSS_Calc!A:A,0))+
R9*(INDEX(DSS_Calc!IC:IC,MATCH(A9*1000+4,DSS_Calc!A:A,0))-INDEX(DSS_Calc!IC:IC,MATCH(A9*1000+1,DSS_Calc!A:A,0)))/INDEX(DSS_Calc!IM:IM,MATCH(A9*1000+4,DSS_Calc!A:A,0))+
S9*(INDEX(DSS_Calc!IC:IC,MATCH(A9*1000+5,DSS_Calc!A:A,0))-INDEX(DSS_Calc!IC:IC,MATCH(A9*1000+1,DSS_Calc!A:A,0)))/INDEX(DSS_Calc!IN:IN,MATCH(A9*1000+5,DSS_Calc!A:A,0)))/
INDEX(DSS_Calc!JG:JG,MATCH(A9*1000+1,DSS_Calc!A:A,0))+J9</f>
        <v>0.5270844766319559</v>
      </c>
      <c r="AR9" s="705">
        <f>(Q9*(INDEX(DSS_Calc!ID:ID,MATCH(A9*1000+3,DSS_Calc!A:A,0))-INDEX(DSS_Calc!ID:ID,MATCH(A9*1000+1,DSS_Calc!A:A,0)))/INDEX(DSS_Calc!IL:IL,MATCH(A9*1000+3,DSS_Calc!A:A,0))+
R9*(INDEX(DSS_Calc!ID:ID,MATCH(A9*1000+4,DSS_Calc!A:A,0))-INDEX(DSS_Calc!ID:ID,MATCH(A9*1000+1,DSS_Calc!A:A,0)))/INDEX(DSS_Calc!IM:IM,MATCH(A9*1000+4,DSS_Calc!A:A,0))+
S9*(INDEX(DSS_Calc!ID:ID,MATCH(A9*1000+5,DSS_Calc!A:A,0))-INDEX(DSS_Calc!ID:ID,MATCH(A9*1000+1,DSS_Calc!A:A,0)))/INDEX(DSS_Calc!IN:IN,MATCH(A9*1000+5,DSS_Calc!A:A,0)))/
INDEX(DSS_Calc!JG:JG,MATCH(A9*1000+1,DSS_Calc!A:A,0))+K9</f>
        <v>0.13659724823049921</v>
      </c>
    </row>
    <row r="10" spans="1:44">
      <c r="A10" s="703">
        <f t="shared" si="15"/>
        <v>4</v>
      </c>
      <c r="B10" s="703">
        <f t="shared" si="16"/>
        <v>1</v>
      </c>
      <c r="C10" s="706">
        <f t="shared" si="16"/>
        <v>0</v>
      </c>
      <c r="E10" s="693">
        <f>IF($G$5="Scenarios 3-5",INDEX(DSS_Calc!KR:KR,MATCH('Scenario Rec'!A10*1000+3,DSS_Calc!A:A,0)),MAX(F10-1.5,1.8))</f>
        <v>4.151464079246808</v>
      </c>
      <c r="F10" s="693">
        <f>IF($G$5="Scenarios 3-5",INDEX(DSS_Calc!KR:KR,MATCH('Scenario Rec'!A10*1000+4,DSS_Calc!A:A,0)),VLOOKUP(INDEX(DSS_Calc!$AZ:$AZ,MATCH($A10*1000+1,DSS_Calc!$A:$A,0)),Lookup!$B:$E,4,FALSE))</f>
        <v>-0.67296649520719587</v>
      </c>
      <c r="G10" s="693">
        <f>IF($G$5="Scenarios 3-5",INDEX(DSS_Calc!KR:KR,MATCH('Scenario Rec'!A10*1000+5,DSS_Calc!A:A,0)),E10+3)</f>
        <v>2.2001765095876</v>
      </c>
      <c r="I10" s="705">
        <f>INDEX(DSS_Calc!IE:IE,MATCH($A10*1000+$B10,DSS_Calc!$A:$A,0))</f>
        <v>0.42636324602833836</v>
      </c>
      <c r="J10" s="705">
        <f>INDEX(DSS_Calc!IF:IF,MATCH($A10*1000+$B10,DSS_Calc!$A:$A,0))</f>
        <v>0.52211249463288967</v>
      </c>
      <c r="K10" s="705">
        <f>INDEX(DSS_Calc!IG:IG,MATCH($A10*1000+$B10,DSS_Calc!$A:$A,0))</f>
        <v>5.1524259338772006E-2</v>
      </c>
      <c r="L10" s="467">
        <f>INDEX(DSS_Calc!JA:JA,MATCH($A10*1000+$B10,DSS_Calc!$A:$A,0))</f>
        <v>1770</v>
      </c>
      <c r="M10" s="467">
        <f>INDEX(DSS_Calc!JB:JB,MATCH($A10*1000+$B10,DSS_Calc!$A:$A,0))</f>
        <v>2630.0624533823611</v>
      </c>
      <c r="N10" s="467">
        <f>INDEX(DSS_Calc!JC:JC,MATCH($A10*1000+$B10,DSS_Calc!$A:$A,0))</f>
        <v>4153.7164157747848</v>
      </c>
      <c r="O10" s="467">
        <f t="shared" si="0"/>
        <v>2341.8685758720162</v>
      </c>
      <c r="P10" s="388"/>
      <c r="Q10" s="738">
        <v>262.09032215303552</v>
      </c>
      <c r="R10" s="738">
        <v>60.687626641737793</v>
      </c>
      <c r="S10" s="738">
        <v>-548.7963863191618</v>
      </c>
      <c r="T10" s="689">
        <f t="shared" si="3"/>
        <v>76.214069909034151</v>
      </c>
      <c r="U10" s="388"/>
      <c r="V10" s="388">
        <f t="shared" si="4"/>
        <v>0.45883568302081357</v>
      </c>
      <c r="W10" s="388">
        <f t="shared" si="1"/>
        <v>0.52367013554164488</v>
      </c>
      <c r="X10" s="388">
        <f t="shared" si="2"/>
        <v>2.8916564035542179E-2</v>
      </c>
      <c r="Y10" s="467">
        <f t="shared" si="5"/>
        <v>2032.0903221530355</v>
      </c>
      <c r="Z10" s="467">
        <f t="shared" si="6"/>
        <v>2690.7500800240991</v>
      </c>
      <c r="AA10" s="467">
        <f t="shared" si="7"/>
        <v>3604.9200294556231</v>
      </c>
      <c r="AB10" s="467">
        <f t="shared" si="8"/>
        <v>2418.0826457810504</v>
      </c>
      <c r="AC10" s="467"/>
      <c r="AD10" s="690">
        <f t="shared" si="9"/>
        <v>1.1422382598000658E-2</v>
      </c>
      <c r="AE10" s="692"/>
      <c r="AF10" s="689">
        <f>INDEX(DSS_Calc!$BX:$BX,MATCH($A10*1000+3,DSS_Calc!$A:$A,0))-O10</f>
        <v>17643.131424127983</v>
      </c>
      <c r="AH10" s="691">
        <f t="shared" si="10"/>
        <v>1.0114223825980007</v>
      </c>
      <c r="AJ10" s="467">
        <f t="shared" si="11"/>
        <v>476.31217470825004</v>
      </c>
      <c r="AK10" s="688"/>
      <c r="AL10" s="388">
        <f t="shared" si="12"/>
        <v>0.46147151556243349</v>
      </c>
      <c r="AM10" s="388">
        <f t="shared" si="13"/>
        <v>0.51596689369761428</v>
      </c>
      <c r="AN10" s="388">
        <f t="shared" si="14"/>
        <v>4.3311778989112128E-2</v>
      </c>
      <c r="AP10" s="705">
        <f>(Q10*(INDEX(DSS_Calc!IB:IB,MATCH(A10*1000+3,DSS_Calc!A:A,0))-INDEX(DSS_Calc!IB:IB,MATCH(A10*1000+1,DSS_Calc!A:A,0)))/INDEX(DSS_Calc!IL:IL,MATCH(A10*1000+3,DSS_Calc!A:A,0))+
R10*(INDEX(DSS_Calc!IB:IB,MATCH(A10*1000+4,DSS_Calc!A:A,0))-INDEX(DSS_Calc!IB:IB,MATCH(A10*1000+1,DSS_Calc!A:A,0)))/INDEX(DSS_Calc!IM:IM,MATCH(A10*1000+4,DSS_Calc!A:A,0))+
S10*(INDEX(DSS_Calc!IB:IB,MATCH(A10*1000+5,DSS_Calc!A:A,0))-INDEX(DSS_Calc!IB:IB,MATCH(A10*1000+1,DSS_Calc!A:A,0)))/INDEX(DSS_Calc!IN:IN,MATCH(A10*1000+5,DSS_Calc!A:A,0)))/
INDEX(DSS_Calc!JG:JG,MATCH(A10*1000+1,DSS_Calc!A:A,0))+I10</f>
        <v>0.45883568302081357</v>
      </c>
      <c r="AQ10" s="705">
        <f>(Q10*(INDEX(DSS_Calc!IC:IC,MATCH(A10*1000+3,DSS_Calc!A:A,0))-INDEX(DSS_Calc!IC:IC,MATCH(A10*1000+1,DSS_Calc!A:A,0)))/INDEX(DSS_Calc!IL:IL,MATCH(A10*1000+3,DSS_Calc!A:A,0))+
R10*(INDEX(DSS_Calc!IC:IC,MATCH(A10*1000+4,DSS_Calc!A:A,0))-INDEX(DSS_Calc!IC:IC,MATCH(A10*1000+1,DSS_Calc!A:A,0)))/INDEX(DSS_Calc!IM:IM,MATCH(A10*1000+4,DSS_Calc!A:A,0))+
S10*(INDEX(DSS_Calc!IC:IC,MATCH(A10*1000+5,DSS_Calc!A:A,0))-INDEX(DSS_Calc!IC:IC,MATCH(A10*1000+1,DSS_Calc!A:A,0)))/INDEX(DSS_Calc!IN:IN,MATCH(A10*1000+5,DSS_Calc!A:A,0)))/
INDEX(DSS_Calc!JG:JG,MATCH(A10*1000+1,DSS_Calc!A:A,0))+J10</f>
        <v>0.52367013554164488</v>
      </c>
      <c r="AR10" s="705">
        <f>(Q10*(INDEX(DSS_Calc!ID:ID,MATCH(A10*1000+3,DSS_Calc!A:A,0))-INDEX(DSS_Calc!ID:ID,MATCH(A10*1000+1,DSS_Calc!A:A,0)))/INDEX(DSS_Calc!IL:IL,MATCH(A10*1000+3,DSS_Calc!A:A,0))+
R10*(INDEX(DSS_Calc!ID:ID,MATCH(A10*1000+4,DSS_Calc!A:A,0))-INDEX(DSS_Calc!ID:ID,MATCH(A10*1000+1,DSS_Calc!A:A,0)))/INDEX(DSS_Calc!IM:IM,MATCH(A10*1000+4,DSS_Calc!A:A,0))+
S10*(INDEX(DSS_Calc!ID:ID,MATCH(A10*1000+5,DSS_Calc!A:A,0))-INDEX(DSS_Calc!ID:ID,MATCH(A10*1000+1,DSS_Calc!A:A,0)))/INDEX(DSS_Calc!IN:IN,MATCH(A10*1000+5,DSS_Calc!A:A,0)))/
INDEX(DSS_Calc!JG:JG,MATCH(A10*1000+1,DSS_Calc!A:A,0))+K10</f>
        <v>2.8916564035542179E-2</v>
      </c>
    </row>
    <row r="11" spans="1:44">
      <c r="A11" s="703">
        <f t="shared" si="15"/>
        <v>5</v>
      </c>
      <c r="B11" s="703">
        <f t="shared" si="16"/>
        <v>1</v>
      </c>
      <c r="C11" s="706">
        <f t="shared" si="16"/>
        <v>0</v>
      </c>
      <c r="E11" s="693">
        <f>IF($G$5="Scenarios 3-5",INDEX(DSS_Calc!KR:KR,MATCH('Scenario Rec'!A11*1000+3,DSS_Calc!A:A,0)),MAX(F11-1.5,1.8))</f>
        <v>2.0454907405270415</v>
      </c>
      <c r="F11" s="693">
        <f>IF($G$5="Scenarios 3-5",INDEX(DSS_Calc!KR:KR,MATCH('Scenario Rec'!A11*1000+4,DSS_Calc!A:A,0)),VLOOKUP(INDEX(DSS_Calc!$AZ:$AZ,MATCH($A11*1000+1,DSS_Calc!$A:$A,0)),Lookup!$B:$E,4,FALSE))</f>
        <v>2.6198359394769337</v>
      </c>
      <c r="G11" s="693">
        <f>IF($G$5="Scenarios 3-5",INDEX(DSS_Calc!KR:KR,MATCH('Scenario Rec'!A11*1000+5,DSS_Calc!A:A,0)),E11+3)</f>
        <v>4.6405111354021162</v>
      </c>
      <c r="I11" s="705">
        <f>INDEX(DSS_Calc!IE:IE,MATCH($A11*1000+$B11,DSS_Calc!$A:$A,0))</f>
        <v>0.4056029232643118</v>
      </c>
      <c r="J11" s="705">
        <f>INDEX(DSS_Calc!IF:IF,MATCH($A11*1000+$B11,DSS_Calc!$A:$A,0))</f>
        <v>0.52253349573690622</v>
      </c>
      <c r="K11" s="705">
        <f>INDEX(DSS_Calc!IG:IG,MATCH($A11*1000+$B11,DSS_Calc!$A:$A,0))</f>
        <v>7.186358099878197E-2</v>
      </c>
      <c r="L11" s="467">
        <f>INDEX(DSS_Calc!JA:JA,MATCH($A11*1000+$B11,DSS_Calc!$A:$A,0))</f>
        <v>1270</v>
      </c>
      <c r="M11" s="467">
        <f>INDEX(DSS_Calc!JB:JB,MATCH($A11*1000+$B11,DSS_Calc!$A:$A,0))</f>
        <v>2130.0624533823611</v>
      </c>
      <c r="N11" s="467">
        <f>INDEX(DSS_Calc!JC:JC,MATCH($A11*1000+$B11,DSS_Calc!$A:$A,0))</f>
        <v>3653.7164157747857</v>
      </c>
      <c r="O11" s="467">
        <f t="shared" si="0"/>
        <v>1890.7138380411025</v>
      </c>
      <c r="P11" s="388"/>
      <c r="Q11" s="738">
        <v>829.75330270001541</v>
      </c>
      <c r="R11" s="738">
        <v>68.143776731884927</v>
      </c>
      <c r="S11" s="738">
        <v>-484.29563233068984</v>
      </c>
      <c r="T11" s="689">
        <f t="shared" si="3"/>
        <v>290.51861717325528</v>
      </c>
      <c r="U11" s="388"/>
      <c r="V11" s="388">
        <f t="shared" si="4"/>
        <v>0.50192587855505277</v>
      </c>
      <c r="W11" s="388">
        <f t="shared" si="1"/>
        <v>0.50561708264835303</v>
      </c>
      <c r="X11" s="388">
        <f t="shared" si="2"/>
        <v>3.2700512382249268E-2</v>
      </c>
      <c r="Y11" s="467">
        <f t="shared" si="5"/>
        <v>2099.7533027000154</v>
      </c>
      <c r="Z11" s="467">
        <f t="shared" si="6"/>
        <v>2198.206230114246</v>
      </c>
      <c r="AA11" s="467">
        <f t="shared" si="7"/>
        <v>3169.4207834440958</v>
      </c>
      <c r="AB11" s="467">
        <f t="shared" si="8"/>
        <v>2181.2324552143577</v>
      </c>
      <c r="AC11" s="467"/>
      <c r="AD11" s="690">
        <f t="shared" si="9"/>
        <v>4.0243473585654943E-2</v>
      </c>
      <c r="AE11" s="692"/>
      <c r="AF11" s="689">
        <f>INDEX(DSS_Calc!$BX:$BX,MATCH($A11*1000+3,DSS_Calc!$A:$A,0))-O11</f>
        <v>18094.286161958898</v>
      </c>
      <c r="AH11" s="691">
        <f t="shared" si="10"/>
        <v>1.0402434735856549</v>
      </c>
      <c r="AJ11" s="467">
        <f t="shared" si="11"/>
        <v>488.49201337409613</v>
      </c>
      <c r="AK11" s="688"/>
      <c r="AL11" s="388">
        <f t="shared" si="12"/>
        <v>0.45527332886872618</v>
      </c>
      <c r="AM11" s="388">
        <f t="shared" si="13"/>
        <v>0.52286856790538649</v>
      </c>
      <c r="AN11" s="388">
        <f t="shared" si="14"/>
        <v>5.6959123837833393E-2</v>
      </c>
      <c r="AP11" s="705">
        <f>(Q11*(INDEX(DSS_Calc!IB:IB,MATCH(A11*1000+3,DSS_Calc!A:A,0))-INDEX(DSS_Calc!IB:IB,MATCH(A11*1000+1,DSS_Calc!A:A,0)))/INDEX(DSS_Calc!IL:IL,MATCH(A11*1000+3,DSS_Calc!A:A,0))+
R11*(INDEX(DSS_Calc!IB:IB,MATCH(A11*1000+4,DSS_Calc!A:A,0))-INDEX(DSS_Calc!IB:IB,MATCH(A11*1000+1,DSS_Calc!A:A,0)))/INDEX(DSS_Calc!IM:IM,MATCH(A11*1000+4,DSS_Calc!A:A,0))+
S11*(INDEX(DSS_Calc!IB:IB,MATCH(A11*1000+5,DSS_Calc!A:A,0))-INDEX(DSS_Calc!IB:IB,MATCH(A11*1000+1,DSS_Calc!A:A,0)))/INDEX(DSS_Calc!IN:IN,MATCH(A11*1000+5,DSS_Calc!A:A,0)))/
INDEX(DSS_Calc!JG:JG,MATCH(A11*1000+1,DSS_Calc!A:A,0))+I11</f>
        <v>0.50192587855505277</v>
      </c>
      <c r="AQ11" s="705">
        <f>(Q11*(INDEX(DSS_Calc!IC:IC,MATCH(A11*1000+3,DSS_Calc!A:A,0))-INDEX(DSS_Calc!IC:IC,MATCH(A11*1000+1,DSS_Calc!A:A,0)))/INDEX(DSS_Calc!IL:IL,MATCH(A11*1000+3,DSS_Calc!A:A,0))+
R11*(INDEX(DSS_Calc!IC:IC,MATCH(A11*1000+4,DSS_Calc!A:A,0))-INDEX(DSS_Calc!IC:IC,MATCH(A11*1000+1,DSS_Calc!A:A,0)))/INDEX(DSS_Calc!IM:IM,MATCH(A11*1000+4,DSS_Calc!A:A,0))+
S11*(INDEX(DSS_Calc!IC:IC,MATCH(A11*1000+5,DSS_Calc!A:A,0))-INDEX(DSS_Calc!IC:IC,MATCH(A11*1000+1,DSS_Calc!A:A,0)))/INDEX(DSS_Calc!IN:IN,MATCH(A11*1000+5,DSS_Calc!A:A,0)))/
INDEX(DSS_Calc!JG:JG,MATCH(A11*1000+1,DSS_Calc!A:A,0))+J11</f>
        <v>0.50561708264835303</v>
      </c>
      <c r="AR11" s="705">
        <f>(Q11*(INDEX(DSS_Calc!ID:ID,MATCH(A11*1000+3,DSS_Calc!A:A,0))-INDEX(DSS_Calc!ID:ID,MATCH(A11*1000+1,DSS_Calc!A:A,0)))/INDEX(DSS_Calc!IL:IL,MATCH(A11*1000+3,DSS_Calc!A:A,0))+
R11*(INDEX(DSS_Calc!ID:ID,MATCH(A11*1000+4,DSS_Calc!A:A,0))-INDEX(DSS_Calc!ID:ID,MATCH(A11*1000+1,DSS_Calc!A:A,0)))/INDEX(DSS_Calc!IM:IM,MATCH(A11*1000+4,DSS_Calc!A:A,0))+
S11*(INDEX(DSS_Calc!ID:ID,MATCH(A11*1000+5,DSS_Calc!A:A,0))-INDEX(DSS_Calc!ID:ID,MATCH(A11*1000+1,DSS_Calc!A:A,0)))/INDEX(DSS_Calc!IN:IN,MATCH(A11*1000+5,DSS_Calc!A:A,0)))/
INDEX(DSS_Calc!JG:JG,MATCH(A11*1000+1,DSS_Calc!A:A,0))+K11</f>
        <v>3.2700512382249268E-2</v>
      </c>
    </row>
    <row r="12" spans="1:44">
      <c r="A12" s="703">
        <f t="shared" ref="A12:A16" si="17">A11+1</f>
        <v>6</v>
      </c>
      <c r="B12" s="703">
        <f t="shared" si="16"/>
        <v>1</v>
      </c>
      <c r="C12" s="706">
        <f t="shared" si="16"/>
        <v>0</v>
      </c>
      <c r="E12" s="693">
        <f>IF($G$5="Scenarios 3-5",INDEX(DSS_Calc!KR:KR,MATCH('Scenario Rec'!A12*1000+3,DSS_Calc!A:A,0)),MAX(F12-1.5,1.8))</f>
        <v>0.28214019602122459</v>
      </c>
      <c r="F12" s="693">
        <f>IF($G$5="Scenarios 3-5",INDEX(DSS_Calc!KR:KR,MATCH('Scenario Rec'!A12*1000+4,DSS_Calc!A:A,0)),VLOOKUP(INDEX(DSS_Calc!$AZ:$AZ,MATCH($A12*1000+1,DSS_Calc!$A:$A,0)),Lookup!$B:$E,4,FALSE))</f>
        <v>2.5243220219166425</v>
      </c>
      <c r="G12" s="693">
        <f>IF($G$5="Scenarios 3-5",INDEX(DSS_Calc!KR:KR,MATCH('Scenario Rec'!A12*1000+5,DSS_Calc!A:A,0)),E12+3)</f>
        <v>1.728079377955887</v>
      </c>
      <c r="I12" s="705">
        <f>INDEX(DSS_Calc!IE:IE,MATCH($A12*1000+$B12,DSS_Calc!$A:$A,0))</f>
        <v>0.37153046984028532</v>
      </c>
      <c r="J12" s="705">
        <f>INDEX(DSS_Calc!IF:IF,MATCH($A12*1000+$B12,DSS_Calc!$A:$A,0))</f>
        <v>0.49976740579934875</v>
      </c>
      <c r="K12" s="705">
        <f>INDEX(DSS_Calc!IG:IG,MATCH($A12*1000+$B12,DSS_Calc!$A:$A,0))</f>
        <v>0.12870212436036596</v>
      </c>
      <c r="L12" s="467">
        <f>INDEX(DSS_Calc!JA:JA,MATCH($A12*1000+$B12,DSS_Calc!$A:$A,0))</f>
        <v>1554.1790484140233</v>
      </c>
      <c r="M12" s="467">
        <f>INDEX(DSS_Calc!JB:JB,MATCH($A12*1000+$B12,DSS_Calc!$A:$A,0))</f>
        <v>2412.3001201524512</v>
      </c>
      <c r="N12" s="467">
        <f>INDEX(DSS_Calc!JC:JC,MATCH($A12*1000+$B12,DSS_Calc!$A:$A,0))</f>
        <v>3993.0862952928574</v>
      </c>
      <c r="O12" s="467">
        <f>IFERROR(SUMPRODUCT(I12:K12,L12:N12),0)</f>
        <v>2296.9325340896921</v>
      </c>
      <c r="P12" s="388"/>
      <c r="Q12" s="738">
        <v>0</v>
      </c>
      <c r="R12" s="738">
        <v>0</v>
      </c>
      <c r="S12" s="738">
        <v>0</v>
      </c>
      <c r="T12" s="689">
        <f t="shared" si="3"/>
        <v>0</v>
      </c>
      <c r="U12" s="388"/>
      <c r="V12" s="388">
        <f t="shared" si="4"/>
        <v>0.37153046984028532</v>
      </c>
      <c r="W12" s="388">
        <f t="shared" si="1"/>
        <v>0.49976740579934875</v>
      </c>
      <c r="X12" s="388">
        <f t="shared" si="2"/>
        <v>0.12870212436036596</v>
      </c>
      <c r="Y12" s="467">
        <f t="shared" ref="Y12:Y16" si="18">L12+Q12</f>
        <v>1554.1790484140233</v>
      </c>
      <c r="Z12" s="467">
        <f t="shared" ref="Z12:Z16" si="19">M12+R12</f>
        <v>2412.3001201524512</v>
      </c>
      <c r="AA12" s="467">
        <f t="shared" ref="AA12:AA16" si="20">N12+S12</f>
        <v>3993.0862952928574</v>
      </c>
      <c r="AB12" s="467">
        <f t="shared" si="8"/>
        <v>2296.9325340896921</v>
      </c>
      <c r="AC12" s="467"/>
      <c r="AD12" s="690">
        <f t="shared" ref="AD12:AD16" si="21">SUM(V12:X12)-1</f>
        <v>0</v>
      </c>
      <c r="AE12" s="692"/>
      <c r="AF12" s="689">
        <f>INDEX(DSS_Calc!$BX:$BX,MATCH($A12*1000+3,DSS_Calc!$A:$A,0))-O12</f>
        <v>17688.06746591031</v>
      </c>
      <c r="AH12" s="691">
        <f t="shared" si="10"/>
        <v>1</v>
      </c>
      <c r="AJ12" s="467">
        <f t="shared" ref="AJ12:AJ16" si="22">(-PMT(2%/12,60,AF12*90%)*60+PMT(1%/12,60,AF12*90%)*60)*25%+(-PMT(2%/12,72,AF12*90%)*72+PMT(1%/12,72,AF12*90%)*72)*75%</f>
        <v>477.5253144434605</v>
      </c>
      <c r="AK12" s="688"/>
      <c r="AL12" s="388">
        <f t="shared" si="12"/>
        <v>0.37153046984028532</v>
      </c>
      <c r="AM12" s="388">
        <f t="shared" si="13"/>
        <v>0.49976740579934875</v>
      </c>
      <c r="AN12" s="388">
        <f t="shared" si="14"/>
        <v>0.12870212436036596</v>
      </c>
      <c r="AP12" s="705">
        <f>(Q12*(INDEX(DSS_Calc!IB:IB,MATCH(A12*1000+3,DSS_Calc!A:A,0))-INDEX(DSS_Calc!IB:IB,MATCH(A12*1000+1,DSS_Calc!A:A,0)))/INDEX(DSS_Calc!IL:IL,MATCH(A12*1000+3,DSS_Calc!A:A,0))+
R12*(INDEX(DSS_Calc!IB:IB,MATCH(A12*1000+4,DSS_Calc!A:A,0))-INDEX(DSS_Calc!IB:IB,MATCH(A12*1000+1,DSS_Calc!A:A,0)))/INDEX(DSS_Calc!IM:IM,MATCH(A12*1000+4,DSS_Calc!A:A,0))+
S12*(INDEX(DSS_Calc!IB:IB,MATCH(A12*1000+5,DSS_Calc!A:A,0))-INDEX(DSS_Calc!IB:IB,MATCH(A12*1000+1,DSS_Calc!A:A,0)))/INDEX(DSS_Calc!IN:IN,MATCH(A12*1000+5,DSS_Calc!A:A,0)))/
INDEX(DSS_Calc!JG:JG,MATCH(A12*1000+1,DSS_Calc!A:A,0))+I12</f>
        <v>0.37153046984028532</v>
      </c>
      <c r="AQ12" s="705">
        <f>(Q12*(INDEX(DSS_Calc!IC:IC,MATCH(A12*1000+3,DSS_Calc!A:A,0))-INDEX(DSS_Calc!IC:IC,MATCH(A12*1000+1,DSS_Calc!A:A,0)))/INDEX(DSS_Calc!IL:IL,MATCH(A12*1000+3,DSS_Calc!A:A,0))+
R12*(INDEX(DSS_Calc!IC:IC,MATCH(A12*1000+4,DSS_Calc!A:A,0))-INDEX(DSS_Calc!IC:IC,MATCH(A12*1000+1,DSS_Calc!A:A,0)))/INDEX(DSS_Calc!IM:IM,MATCH(A12*1000+4,DSS_Calc!A:A,0))+
S12*(INDEX(DSS_Calc!IC:IC,MATCH(A12*1000+5,DSS_Calc!A:A,0))-INDEX(DSS_Calc!IC:IC,MATCH(A12*1000+1,DSS_Calc!A:A,0)))/INDEX(DSS_Calc!IN:IN,MATCH(A12*1000+5,DSS_Calc!A:A,0)))/
INDEX(DSS_Calc!JG:JG,MATCH(A12*1000+1,DSS_Calc!A:A,0))+J12</f>
        <v>0.49976740579934875</v>
      </c>
      <c r="AR12" s="705">
        <f>(Q12*(INDEX(DSS_Calc!ID:ID,MATCH(A12*1000+3,DSS_Calc!A:A,0))-INDEX(DSS_Calc!ID:ID,MATCH(A12*1000+1,DSS_Calc!A:A,0)))/INDEX(DSS_Calc!IL:IL,MATCH(A12*1000+3,DSS_Calc!A:A,0))+
R12*(INDEX(DSS_Calc!ID:ID,MATCH(A12*1000+4,DSS_Calc!A:A,0))-INDEX(DSS_Calc!ID:ID,MATCH(A12*1000+1,DSS_Calc!A:A,0)))/INDEX(DSS_Calc!IM:IM,MATCH(A12*1000+4,DSS_Calc!A:A,0))+
S12*(INDEX(DSS_Calc!ID:ID,MATCH(A12*1000+5,DSS_Calc!A:A,0))-INDEX(DSS_Calc!ID:ID,MATCH(A12*1000+1,DSS_Calc!A:A,0)))/INDEX(DSS_Calc!IN:IN,MATCH(A12*1000+5,DSS_Calc!A:A,0)))/
INDEX(DSS_Calc!JG:JG,MATCH(A12*1000+1,DSS_Calc!A:A,0))+K12</f>
        <v>0.12870212436036596</v>
      </c>
    </row>
    <row r="13" spans="1:44">
      <c r="A13" s="703">
        <f t="shared" si="17"/>
        <v>7</v>
      </c>
      <c r="B13" s="703">
        <f t="shared" si="16"/>
        <v>1</v>
      </c>
      <c r="C13" s="706">
        <f t="shared" si="16"/>
        <v>0</v>
      </c>
      <c r="E13" s="693" t="e">
        <f>IF($G$5="Scenarios 3-5",INDEX(DSS_Calc!KR:KR,MATCH('Scenario Rec'!A13*1000+3,DSS_Calc!A:A,0)),MAX(F13-1.5,1.8))</f>
        <v>#N/A</v>
      </c>
      <c r="F13" s="693" t="e">
        <f>IF($G$5="Scenarios 3-5",INDEX(DSS_Calc!KR:KR,MATCH('Scenario Rec'!A13*1000+4,DSS_Calc!A:A,0)),VLOOKUP(INDEX(DSS_Calc!$AZ:$AZ,MATCH($A13*1000+1,DSS_Calc!$A:$A,0)),Lookup!$B:$E,4,FALSE))</f>
        <v>#N/A</v>
      </c>
      <c r="G13" s="693" t="e">
        <f>IF($G$5="Scenarios 3-5",INDEX(DSS_Calc!KR:KR,MATCH('Scenario Rec'!A13*1000+5,DSS_Calc!A:A,0)),E13+3)</f>
        <v>#N/A</v>
      </c>
      <c r="I13" s="705" t="e">
        <f>INDEX(DSS_Calc!IE:IE,MATCH($A13*1000+$B13,DSS_Calc!$A:$A,0))</f>
        <v>#N/A</v>
      </c>
      <c r="J13" s="705" t="e">
        <f>INDEX(DSS_Calc!IF:IF,MATCH($A13*1000+$B13,DSS_Calc!$A:$A,0))</f>
        <v>#N/A</v>
      </c>
      <c r="K13" s="705" t="e">
        <f>INDEX(DSS_Calc!IG:IG,MATCH($A13*1000+$B13,DSS_Calc!$A:$A,0))</f>
        <v>#N/A</v>
      </c>
      <c r="L13" s="467" t="e">
        <f>INDEX(DSS_Calc!JA:JA,MATCH($A13*1000+$B13,DSS_Calc!$A:$A,0))</f>
        <v>#N/A</v>
      </c>
      <c r="M13" s="467" t="e">
        <f>INDEX(DSS_Calc!JB:JB,MATCH($A13*1000+$B13,DSS_Calc!$A:$A,0))</f>
        <v>#N/A</v>
      </c>
      <c r="N13" s="467" t="e">
        <f>INDEX(DSS_Calc!JC:JC,MATCH($A13*1000+$B13,DSS_Calc!$A:$A,0))</f>
        <v>#N/A</v>
      </c>
      <c r="O13" s="467">
        <f t="shared" ref="O13:O16" si="23">IFERROR(SUMPRODUCT(I13:K13,L13:N13),0)</f>
        <v>0</v>
      </c>
      <c r="P13" s="388"/>
      <c r="Q13" s="738">
        <v>0</v>
      </c>
      <c r="R13" s="738">
        <v>0</v>
      </c>
      <c r="S13" s="738">
        <v>0</v>
      </c>
      <c r="T13" s="689">
        <f t="shared" si="3"/>
        <v>0</v>
      </c>
      <c r="U13" s="388"/>
      <c r="V13" s="388" t="e">
        <f t="shared" si="4"/>
        <v>#N/A</v>
      </c>
      <c r="W13" s="388" t="e">
        <f t="shared" si="1"/>
        <v>#N/A</v>
      </c>
      <c r="X13" s="388" t="e">
        <f t="shared" si="2"/>
        <v>#N/A</v>
      </c>
      <c r="Y13" s="467" t="e">
        <f t="shared" si="18"/>
        <v>#N/A</v>
      </c>
      <c r="Z13" s="467" t="e">
        <f t="shared" si="19"/>
        <v>#N/A</v>
      </c>
      <c r="AA13" s="467" t="e">
        <f t="shared" si="20"/>
        <v>#N/A</v>
      </c>
      <c r="AB13" s="467">
        <f t="shared" si="8"/>
        <v>0</v>
      </c>
      <c r="AC13" s="467"/>
      <c r="AD13" s="690" t="e">
        <f t="shared" si="21"/>
        <v>#N/A</v>
      </c>
      <c r="AE13" s="692"/>
      <c r="AF13" s="689" t="e">
        <f>INDEX(DSS_Calc!$BX:$BX,MATCH($A13*1000+3,DSS_Calc!$A:$A,0))-O13</f>
        <v>#N/A</v>
      </c>
      <c r="AH13" s="691">
        <f t="shared" si="10"/>
        <v>1</v>
      </c>
      <c r="AJ13" s="467" t="e">
        <f t="shared" si="22"/>
        <v>#N/A</v>
      </c>
      <c r="AK13" s="688"/>
      <c r="AL13" s="388" t="e">
        <f t="shared" si="12"/>
        <v>#N/A</v>
      </c>
      <c r="AM13" s="388" t="e">
        <f t="shared" si="13"/>
        <v>#N/A</v>
      </c>
      <c r="AN13" s="388" t="e">
        <f t="shared" si="14"/>
        <v>#N/A</v>
      </c>
      <c r="AP13" s="705" t="e">
        <f>(Q13*(INDEX(DSS_Calc!IB:IB,MATCH(A13*1000+3,DSS_Calc!A:A,0))-INDEX(DSS_Calc!IB:IB,MATCH(A13*1000+1,DSS_Calc!A:A,0)))/INDEX(DSS_Calc!IL:IL,MATCH(A13*1000+3,DSS_Calc!A:A,0))+
R13*(INDEX(DSS_Calc!IB:IB,MATCH(A13*1000+4,DSS_Calc!A:A,0))-INDEX(DSS_Calc!IB:IB,MATCH(A13*1000+1,DSS_Calc!A:A,0)))/INDEX(DSS_Calc!IM:IM,MATCH(A13*1000+4,DSS_Calc!A:A,0))+
S13*(INDEX(DSS_Calc!IB:IB,MATCH(A13*1000+5,DSS_Calc!A:A,0))-INDEX(DSS_Calc!IB:IB,MATCH(A13*1000+1,DSS_Calc!A:A,0)))/INDEX(DSS_Calc!IN:IN,MATCH(A13*1000+5,DSS_Calc!A:A,0)))/
INDEX(DSS_Calc!JG:JG,MATCH(A13*1000+1,DSS_Calc!A:A,0))+I13</f>
        <v>#N/A</v>
      </c>
      <c r="AQ13" s="705" t="e">
        <f>(Q13*(INDEX(DSS_Calc!IC:IC,MATCH(A13*1000+3,DSS_Calc!A:A,0))-INDEX(DSS_Calc!IC:IC,MATCH(A13*1000+1,DSS_Calc!A:A,0)))/INDEX(DSS_Calc!IL:IL,MATCH(A13*1000+3,DSS_Calc!A:A,0))+
R13*(INDEX(DSS_Calc!IC:IC,MATCH(A13*1000+4,DSS_Calc!A:A,0))-INDEX(DSS_Calc!IC:IC,MATCH(A13*1000+1,DSS_Calc!A:A,0)))/INDEX(DSS_Calc!IM:IM,MATCH(A13*1000+4,DSS_Calc!A:A,0))+
S13*(INDEX(DSS_Calc!IC:IC,MATCH(A13*1000+5,DSS_Calc!A:A,0))-INDEX(DSS_Calc!IC:IC,MATCH(A13*1000+1,DSS_Calc!A:A,0)))/INDEX(DSS_Calc!IN:IN,MATCH(A13*1000+5,DSS_Calc!A:A,0)))/
INDEX(DSS_Calc!JG:JG,MATCH(A13*1000+1,DSS_Calc!A:A,0))+J13</f>
        <v>#N/A</v>
      </c>
      <c r="AR13" s="705" t="e">
        <f>(Q13*(INDEX(DSS_Calc!ID:ID,MATCH(A13*1000+3,DSS_Calc!A:A,0))-INDEX(DSS_Calc!ID:ID,MATCH(A13*1000+1,DSS_Calc!A:A,0)))/INDEX(DSS_Calc!IL:IL,MATCH(A13*1000+3,DSS_Calc!A:A,0))+
R13*(INDEX(DSS_Calc!ID:ID,MATCH(A13*1000+4,DSS_Calc!A:A,0))-INDEX(DSS_Calc!ID:ID,MATCH(A13*1000+1,DSS_Calc!A:A,0)))/INDEX(DSS_Calc!IM:IM,MATCH(A13*1000+4,DSS_Calc!A:A,0))+
S13*(INDEX(DSS_Calc!ID:ID,MATCH(A13*1000+5,DSS_Calc!A:A,0))-INDEX(DSS_Calc!ID:ID,MATCH(A13*1000+1,DSS_Calc!A:A,0)))/INDEX(DSS_Calc!IN:IN,MATCH(A13*1000+5,DSS_Calc!A:A,0)))/
INDEX(DSS_Calc!JG:JG,MATCH(A13*1000+1,DSS_Calc!A:A,0))+K13</f>
        <v>#N/A</v>
      </c>
    </row>
    <row r="14" spans="1:44">
      <c r="A14" s="703">
        <f t="shared" si="17"/>
        <v>8</v>
      </c>
      <c r="B14" s="703">
        <f t="shared" si="16"/>
        <v>1</v>
      </c>
      <c r="C14" s="706">
        <f t="shared" si="16"/>
        <v>0</v>
      </c>
      <c r="E14" s="693" t="e">
        <f>IF($G$5="Scenarios 3-5",INDEX(DSS_Calc!KR:KR,MATCH('Scenario Rec'!A14*1000+3,DSS_Calc!A:A,0)),MAX(F14-1.5,1.8))</f>
        <v>#N/A</v>
      </c>
      <c r="F14" s="693" t="e">
        <f>IF($G$5="Scenarios 3-5",INDEX(DSS_Calc!KR:KR,MATCH('Scenario Rec'!A14*1000+4,DSS_Calc!A:A,0)),VLOOKUP(INDEX(DSS_Calc!$AZ:$AZ,MATCH($A14*1000+1,DSS_Calc!$A:$A,0)),Lookup!$B:$E,4,FALSE))</f>
        <v>#N/A</v>
      </c>
      <c r="G14" s="693" t="e">
        <f>IF($G$5="Scenarios 3-5",INDEX(DSS_Calc!KR:KR,MATCH('Scenario Rec'!A14*1000+5,DSS_Calc!A:A,0)),E14+3)</f>
        <v>#N/A</v>
      </c>
      <c r="I14" s="705" t="e">
        <f>INDEX(DSS_Calc!IE:IE,MATCH($A14*1000+$B14,DSS_Calc!$A:$A,0))</f>
        <v>#N/A</v>
      </c>
      <c r="J14" s="705" t="e">
        <f>INDEX(DSS_Calc!IF:IF,MATCH($A14*1000+$B14,DSS_Calc!$A:$A,0))</f>
        <v>#N/A</v>
      </c>
      <c r="K14" s="705" t="e">
        <f>INDEX(DSS_Calc!IG:IG,MATCH($A14*1000+$B14,DSS_Calc!$A:$A,0))</f>
        <v>#N/A</v>
      </c>
      <c r="L14" s="467" t="e">
        <f>INDEX(DSS_Calc!JA:JA,MATCH($A14*1000+$B14,DSS_Calc!$A:$A,0))</f>
        <v>#N/A</v>
      </c>
      <c r="M14" s="467" t="e">
        <f>INDEX(DSS_Calc!JB:JB,MATCH($A14*1000+$B14,DSS_Calc!$A:$A,0))</f>
        <v>#N/A</v>
      </c>
      <c r="N14" s="467" t="e">
        <f>INDEX(DSS_Calc!JC:JC,MATCH($A14*1000+$B14,DSS_Calc!$A:$A,0))</f>
        <v>#N/A</v>
      </c>
      <c r="O14" s="467">
        <f t="shared" si="23"/>
        <v>0</v>
      </c>
      <c r="P14" s="388"/>
      <c r="Q14" s="738">
        <v>0</v>
      </c>
      <c r="R14" s="738">
        <v>0</v>
      </c>
      <c r="S14" s="738">
        <v>0</v>
      </c>
      <c r="T14" s="689">
        <f t="shared" si="3"/>
        <v>0</v>
      </c>
      <c r="U14" s="388"/>
      <c r="V14" s="388" t="e">
        <f t="shared" si="4"/>
        <v>#N/A</v>
      </c>
      <c r="W14" s="388" t="e">
        <f t="shared" si="1"/>
        <v>#N/A</v>
      </c>
      <c r="X14" s="388" t="e">
        <f t="shared" si="2"/>
        <v>#N/A</v>
      </c>
      <c r="Y14" s="467" t="e">
        <f t="shared" si="18"/>
        <v>#N/A</v>
      </c>
      <c r="Z14" s="467" t="e">
        <f t="shared" si="19"/>
        <v>#N/A</v>
      </c>
      <c r="AA14" s="467" t="e">
        <f t="shared" si="20"/>
        <v>#N/A</v>
      </c>
      <c r="AB14" s="467">
        <f t="shared" si="8"/>
        <v>0</v>
      </c>
      <c r="AC14" s="467"/>
      <c r="AD14" s="690" t="e">
        <f t="shared" si="21"/>
        <v>#N/A</v>
      </c>
      <c r="AE14" s="692"/>
      <c r="AF14" s="689" t="e">
        <f>INDEX(DSS_Calc!$BX:$BX,MATCH($A14*1000+3,DSS_Calc!$A:$A,0))-O14</f>
        <v>#N/A</v>
      </c>
      <c r="AH14" s="691">
        <f t="shared" si="10"/>
        <v>1</v>
      </c>
      <c r="AJ14" s="467" t="e">
        <f t="shared" si="22"/>
        <v>#N/A</v>
      </c>
      <c r="AK14" s="688"/>
      <c r="AL14" s="388" t="e">
        <f t="shared" si="12"/>
        <v>#N/A</v>
      </c>
      <c r="AM14" s="388" t="e">
        <f t="shared" si="13"/>
        <v>#N/A</v>
      </c>
      <c r="AN14" s="388" t="e">
        <f t="shared" si="14"/>
        <v>#N/A</v>
      </c>
      <c r="AP14" s="705" t="e">
        <f>(Q14*(INDEX(DSS_Calc!IB:IB,MATCH(A14*1000+3,DSS_Calc!A:A,0))-INDEX(DSS_Calc!IB:IB,MATCH(A14*1000+1,DSS_Calc!A:A,0)))/INDEX(DSS_Calc!IL:IL,MATCH(A14*1000+3,DSS_Calc!A:A,0))+
R14*(INDEX(DSS_Calc!IB:IB,MATCH(A14*1000+4,DSS_Calc!A:A,0))-INDEX(DSS_Calc!IB:IB,MATCH(A14*1000+1,DSS_Calc!A:A,0)))/INDEX(DSS_Calc!IM:IM,MATCH(A14*1000+4,DSS_Calc!A:A,0))+
S14*(INDEX(DSS_Calc!IB:IB,MATCH(A14*1000+5,DSS_Calc!A:A,0))-INDEX(DSS_Calc!IB:IB,MATCH(A14*1000+1,DSS_Calc!A:A,0)))/INDEX(DSS_Calc!IN:IN,MATCH(A14*1000+5,DSS_Calc!A:A,0)))/
INDEX(DSS_Calc!JG:JG,MATCH(A14*1000+1,DSS_Calc!A:A,0))+I14</f>
        <v>#N/A</v>
      </c>
      <c r="AQ14" s="705" t="e">
        <f>(Q14*(INDEX(DSS_Calc!IC:IC,MATCH(A14*1000+3,DSS_Calc!A:A,0))-INDEX(DSS_Calc!IC:IC,MATCH(A14*1000+1,DSS_Calc!A:A,0)))/INDEX(DSS_Calc!IL:IL,MATCH(A14*1000+3,DSS_Calc!A:A,0))+
R14*(INDEX(DSS_Calc!IC:IC,MATCH(A14*1000+4,DSS_Calc!A:A,0))-INDEX(DSS_Calc!IC:IC,MATCH(A14*1000+1,DSS_Calc!A:A,0)))/INDEX(DSS_Calc!IM:IM,MATCH(A14*1000+4,DSS_Calc!A:A,0))+
S14*(INDEX(DSS_Calc!IC:IC,MATCH(A14*1000+5,DSS_Calc!A:A,0))-INDEX(DSS_Calc!IC:IC,MATCH(A14*1000+1,DSS_Calc!A:A,0)))/INDEX(DSS_Calc!IN:IN,MATCH(A14*1000+5,DSS_Calc!A:A,0)))/
INDEX(DSS_Calc!JG:JG,MATCH(A14*1000+1,DSS_Calc!A:A,0))+J14</f>
        <v>#N/A</v>
      </c>
      <c r="AR14" s="705" t="e">
        <f>(Q14*(INDEX(DSS_Calc!ID:ID,MATCH(A14*1000+3,DSS_Calc!A:A,0))-INDEX(DSS_Calc!ID:ID,MATCH(A14*1000+1,DSS_Calc!A:A,0)))/INDEX(DSS_Calc!IL:IL,MATCH(A14*1000+3,DSS_Calc!A:A,0))+
R14*(INDEX(DSS_Calc!ID:ID,MATCH(A14*1000+4,DSS_Calc!A:A,0))-INDEX(DSS_Calc!ID:ID,MATCH(A14*1000+1,DSS_Calc!A:A,0)))/INDEX(DSS_Calc!IM:IM,MATCH(A14*1000+4,DSS_Calc!A:A,0))+
S14*(INDEX(DSS_Calc!ID:ID,MATCH(A14*1000+5,DSS_Calc!A:A,0))-INDEX(DSS_Calc!ID:ID,MATCH(A14*1000+1,DSS_Calc!A:A,0)))/INDEX(DSS_Calc!IN:IN,MATCH(A14*1000+5,DSS_Calc!A:A,0)))/
INDEX(DSS_Calc!JG:JG,MATCH(A14*1000+1,DSS_Calc!A:A,0))+K14</f>
        <v>#N/A</v>
      </c>
    </row>
    <row r="15" spans="1:44">
      <c r="A15" s="703">
        <f t="shared" si="17"/>
        <v>9</v>
      </c>
      <c r="B15" s="703">
        <f t="shared" si="16"/>
        <v>1</v>
      </c>
      <c r="C15" s="706">
        <f t="shared" si="16"/>
        <v>0</v>
      </c>
      <c r="E15" s="693" t="e">
        <f>IF($G$5="Scenarios 3-5",INDEX(DSS_Calc!KR:KR,MATCH('Scenario Rec'!A15*1000+3,DSS_Calc!A:A,0)),MAX(F15-1.5,1.8))</f>
        <v>#N/A</v>
      </c>
      <c r="F15" s="693" t="e">
        <f>IF($G$5="Scenarios 3-5",INDEX(DSS_Calc!KR:KR,MATCH('Scenario Rec'!A15*1000+4,DSS_Calc!A:A,0)),VLOOKUP(INDEX(DSS_Calc!$AZ:$AZ,MATCH($A15*1000+1,DSS_Calc!$A:$A,0)),Lookup!$B:$E,4,FALSE))</f>
        <v>#N/A</v>
      </c>
      <c r="G15" s="693" t="e">
        <f>IF($G$5="Scenarios 3-5",INDEX(DSS_Calc!KR:KR,MATCH('Scenario Rec'!A15*1000+5,DSS_Calc!A:A,0)),E15+3)</f>
        <v>#N/A</v>
      </c>
      <c r="I15" s="705" t="e">
        <f>INDEX(DSS_Calc!IE:IE,MATCH($A15*1000+$B15,DSS_Calc!$A:$A,0))</f>
        <v>#N/A</v>
      </c>
      <c r="J15" s="705" t="e">
        <f>INDEX(DSS_Calc!IF:IF,MATCH($A15*1000+$B15,DSS_Calc!$A:$A,0))</f>
        <v>#N/A</v>
      </c>
      <c r="K15" s="705" t="e">
        <f>INDEX(DSS_Calc!IG:IG,MATCH($A15*1000+$B15,DSS_Calc!$A:$A,0))</f>
        <v>#N/A</v>
      </c>
      <c r="L15" s="467" t="e">
        <f>INDEX(DSS_Calc!JA:JA,MATCH($A15*1000+$B15,DSS_Calc!$A:$A,0))</f>
        <v>#N/A</v>
      </c>
      <c r="M15" s="467" t="e">
        <f>INDEX(DSS_Calc!JB:JB,MATCH($A15*1000+$B15,DSS_Calc!$A:$A,0))</f>
        <v>#N/A</v>
      </c>
      <c r="N15" s="467" t="e">
        <f>INDEX(DSS_Calc!JC:JC,MATCH($A15*1000+$B15,DSS_Calc!$A:$A,0))</f>
        <v>#N/A</v>
      </c>
      <c r="O15" s="467">
        <f t="shared" si="23"/>
        <v>0</v>
      </c>
      <c r="P15" s="388"/>
      <c r="Q15" s="738">
        <v>0</v>
      </c>
      <c r="R15" s="738">
        <v>0</v>
      </c>
      <c r="S15" s="738">
        <v>0</v>
      </c>
      <c r="T15" s="689">
        <f t="shared" si="3"/>
        <v>0</v>
      </c>
      <c r="U15" s="388"/>
      <c r="V15" s="388" t="e">
        <f t="shared" si="4"/>
        <v>#N/A</v>
      </c>
      <c r="W15" s="388" t="e">
        <f t="shared" si="1"/>
        <v>#N/A</v>
      </c>
      <c r="X15" s="388" t="e">
        <f t="shared" si="2"/>
        <v>#N/A</v>
      </c>
      <c r="Y15" s="467" t="e">
        <f t="shared" si="18"/>
        <v>#N/A</v>
      </c>
      <c r="Z15" s="467" t="e">
        <f t="shared" si="19"/>
        <v>#N/A</v>
      </c>
      <c r="AA15" s="467" t="e">
        <f t="shared" si="20"/>
        <v>#N/A</v>
      </c>
      <c r="AB15" s="467">
        <f t="shared" si="8"/>
        <v>0</v>
      </c>
      <c r="AC15" s="467"/>
      <c r="AD15" s="690" t="e">
        <f t="shared" si="21"/>
        <v>#N/A</v>
      </c>
      <c r="AE15" s="692"/>
      <c r="AF15" s="689" t="e">
        <f>INDEX(DSS_Calc!$BX:$BX,MATCH($A15*1000+3,DSS_Calc!$A:$A,0))-O15</f>
        <v>#N/A</v>
      </c>
      <c r="AH15" s="691">
        <f t="shared" si="10"/>
        <v>1</v>
      </c>
      <c r="AJ15" s="467" t="e">
        <f t="shared" si="22"/>
        <v>#N/A</v>
      </c>
      <c r="AK15" s="688"/>
      <c r="AL15" s="388" t="e">
        <f t="shared" si="12"/>
        <v>#N/A</v>
      </c>
      <c r="AM15" s="388" t="e">
        <f t="shared" si="13"/>
        <v>#N/A</v>
      </c>
      <c r="AN15" s="388" t="e">
        <f t="shared" si="14"/>
        <v>#N/A</v>
      </c>
      <c r="AP15" s="705" t="e">
        <f>(Q15*(INDEX(DSS_Calc!IB:IB,MATCH(A15*1000+3,DSS_Calc!A:A,0))-INDEX(DSS_Calc!IB:IB,MATCH(A15*1000+1,DSS_Calc!A:A,0)))/INDEX(DSS_Calc!IL:IL,MATCH(A15*1000+3,DSS_Calc!A:A,0))+
R15*(INDEX(DSS_Calc!IB:IB,MATCH(A15*1000+4,DSS_Calc!A:A,0))-INDEX(DSS_Calc!IB:IB,MATCH(A15*1000+1,DSS_Calc!A:A,0)))/INDEX(DSS_Calc!IM:IM,MATCH(A15*1000+4,DSS_Calc!A:A,0))+
S15*(INDEX(DSS_Calc!IB:IB,MATCH(A15*1000+5,DSS_Calc!A:A,0))-INDEX(DSS_Calc!IB:IB,MATCH(A15*1000+1,DSS_Calc!A:A,0)))/INDEX(DSS_Calc!IN:IN,MATCH(A15*1000+5,DSS_Calc!A:A,0)))/
INDEX(DSS_Calc!JG:JG,MATCH(A15*1000+1,DSS_Calc!A:A,0))+I15</f>
        <v>#N/A</v>
      </c>
      <c r="AQ15" s="705" t="e">
        <f>(Q15*(INDEX(DSS_Calc!IC:IC,MATCH(A15*1000+3,DSS_Calc!A:A,0))-INDEX(DSS_Calc!IC:IC,MATCH(A15*1000+1,DSS_Calc!A:A,0)))/INDEX(DSS_Calc!IL:IL,MATCH(A15*1000+3,DSS_Calc!A:A,0))+
R15*(INDEX(DSS_Calc!IC:IC,MATCH(A15*1000+4,DSS_Calc!A:A,0))-INDEX(DSS_Calc!IC:IC,MATCH(A15*1000+1,DSS_Calc!A:A,0)))/INDEX(DSS_Calc!IM:IM,MATCH(A15*1000+4,DSS_Calc!A:A,0))+
S15*(INDEX(DSS_Calc!IC:IC,MATCH(A15*1000+5,DSS_Calc!A:A,0))-INDEX(DSS_Calc!IC:IC,MATCH(A15*1000+1,DSS_Calc!A:A,0)))/INDEX(DSS_Calc!IN:IN,MATCH(A15*1000+5,DSS_Calc!A:A,0)))/
INDEX(DSS_Calc!JG:JG,MATCH(A15*1000+1,DSS_Calc!A:A,0))+J15</f>
        <v>#N/A</v>
      </c>
      <c r="AR15" s="705" t="e">
        <f>(Q15*(INDEX(DSS_Calc!ID:ID,MATCH(A15*1000+3,DSS_Calc!A:A,0))-INDEX(DSS_Calc!ID:ID,MATCH(A15*1000+1,DSS_Calc!A:A,0)))/INDEX(DSS_Calc!IL:IL,MATCH(A15*1000+3,DSS_Calc!A:A,0))+
R15*(INDEX(DSS_Calc!ID:ID,MATCH(A15*1000+4,DSS_Calc!A:A,0))-INDEX(DSS_Calc!ID:ID,MATCH(A15*1000+1,DSS_Calc!A:A,0)))/INDEX(DSS_Calc!IM:IM,MATCH(A15*1000+4,DSS_Calc!A:A,0))+
S15*(INDEX(DSS_Calc!ID:ID,MATCH(A15*1000+5,DSS_Calc!A:A,0))-INDEX(DSS_Calc!ID:ID,MATCH(A15*1000+1,DSS_Calc!A:A,0)))/INDEX(DSS_Calc!IN:IN,MATCH(A15*1000+5,DSS_Calc!A:A,0)))/
INDEX(DSS_Calc!JG:JG,MATCH(A15*1000+1,DSS_Calc!A:A,0))+K15</f>
        <v>#N/A</v>
      </c>
    </row>
    <row r="16" spans="1:44">
      <c r="A16" s="703">
        <f t="shared" si="17"/>
        <v>10</v>
      </c>
      <c r="B16" s="703">
        <f t="shared" si="16"/>
        <v>1</v>
      </c>
      <c r="C16" s="706">
        <f t="shared" si="16"/>
        <v>0</v>
      </c>
      <c r="E16" s="693" t="e">
        <f>IF($G$5="Scenarios 3-5",INDEX(DSS_Calc!KR:KR,MATCH('Scenario Rec'!A16*1000+3,DSS_Calc!A:A,0)),MAX(F16-1.5,1.8))</f>
        <v>#N/A</v>
      </c>
      <c r="F16" s="693" t="e">
        <f>IF($G$5="Scenarios 3-5",INDEX(DSS_Calc!KR:KR,MATCH('Scenario Rec'!A16*1000+4,DSS_Calc!A:A,0)),VLOOKUP(INDEX(DSS_Calc!$AZ:$AZ,MATCH($A16*1000+1,DSS_Calc!$A:$A,0)),Lookup!$B:$E,4,FALSE))</f>
        <v>#N/A</v>
      </c>
      <c r="G16" s="693" t="e">
        <f>IF($G$5="Scenarios 3-5",INDEX(DSS_Calc!KR:KR,MATCH('Scenario Rec'!A16*1000+5,DSS_Calc!A:A,0)),E16+3)</f>
        <v>#N/A</v>
      </c>
      <c r="I16" s="705" t="e">
        <f>INDEX(DSS_Calc!IE:IE,MATCH($A16*1000+$B16,DSS_Calc!$A:$A,0))</f>
        <v>#N/A</v>
      </c>
      <c r="J16" s="705" t="e">
        <f>INDEX(DSS_Calc!IF:IF,MATCH($A16*1000+$B16,DSS_Calc!$A:$A,0))</f>
        <v>#N/A</v>
      </c>
      <c r="K16" s="705" t="e">
        <f>INDEX(DSS_Calc!IG:IG,MATCH($A16*1000+$B16,DSS_Calc!$A:$A,0))</f>
        <v>#N/A</v>
      </c>
      <c r="L16" s="467" t="e">
        <f>INDEX(DSS_Calc!JA:JA,MATCH($A16*1000+$B16,DSS_Calc!$A:$A,0))</f>
        <v>#N/A</v>
      </c>
      <c r="M16" s="467" t="e">
        <f>INDEX(DSS_Calc!JB:JB,MATCH($A16*1000+$B16,DSS_Calc!$A:$A,0))</f>
        <v>#N/A</v>
      </c>
      <c r="N16" s="467" t="e">
        <f>INDEX(DSS_Calc!JC:JC,MATCH($A16*1000+$B16,DSS_Calc!$A:$A,0))</f>
        <v>#N/A</v>
      </c>
      <c r="O16" s="467">
        <f t="shared" si="23"/>
        <v>0</v>
      </c>
      <c r="P16" s="388"/>
      <c r="Q16" s="738">
        <v>0</v>
      </c>
      <c r="R16" s="738">
        <v>0</v>
      </c>
      <c r="S16" s="738">
        <v>0</v>
      </c>
      <c r="T16" s="689">
        <f t="shared" si="3"/>
        <v>0</v>
      </c>
      <c r="U16" s="388"/>
      <c r="V16" s="388" t="e">
        <f t="shared" si="4"/>
        <v>#N/A</v>
      </c>
      <c r="W16" s="388" t="e">
        <f t="shared" si="1"/>
        <v>#N/A</v>
      </c>
      <c r="X16" s="388" t="e">
        <f t="shared" si="2"/>
        <v>#N/A</v>
      </c>
      <c r="Y16" s="467" t="e">
        <f t="shared" si="18"/>
        <v>#N/A</v>
      </c>
      <c r="Z16" s="467" t="e">
        <f t="shared" si="19"/>
        <v>#N/A</v>
      </c>
      <c r="AA16" s="467" t="e">
        <f t="shared" si="20"/>
        <v>#N/A</v>
      </c>
      <c r="AB16" s="467">
        <f t="shared" si="8"/>
        <v>0</v>
      </c>
      <c r="AC16" s="467"/>
      <c r="AD16" s="690" t="e">
        <f t="shared" si="21"/>
        <v>#N/A</v>
      </c>
      <c r="AE16" s="692"/>
      <c r="AF16" s="689" t="e">
        <f>INDEX(DSS_Calc!$BX:$BX,MATCH($A16*1000+3,DSS_Calc!$A:$A,0))-O16</f>
        <v>#N/A</v>
      </c>
      <c r="AH16" s="691">
        <f t="shared" si="10"/>
        <v>1</v>
      </c>
      <c r="AJ16" s="467" t="e">
        <f t="shared" si="22"/>
        <v>#N/A</v>
      </c>
      <c r="AK16" s="688"/>
      <c r="AL16" s="388" t="e">
        <f t="shared" si="12"/>
        <v>#N/A</v>
      </c>
      <c r="AM16" s="388" t="e">
        <f t="shared" si="13"/>
        <v>#N/A</v>
      </c>
      <c r="AN16" s="388" t="e">
        <f t="shared" si="14"/>
        <v>#N/A</v>
      </c>
      <c r="AP16" s="705" t="e">
        <f>(Q16*(INDEX(DSS_Calc!IB:IB,MATCH(A16*1000+3,DSS_Calc!A:A,0))-INDEX(DSS_Calc!IB:IB,MATCH(A16*1000+1,DSS_Calc!A:A,0)))/INDEX(DSS_Calc!IL:IL,MATCH(A16*1000+3,DSS_Calc!A:A,0))+
R16*(INDEX(DSS_Calc!IB:IB,MATCH(A16*1000+4,DSS_Calc!A:A,0))-INDEX(DSS_Calc!IB:IB,MATCH(A16*1000+1,DSS_Calc!A:A,0)))/INDEX(DSS_Calc!IM:IM,MATCH(A16*1000+4,DSS_Calc!A:A,0))+
S16*(INDEX(DSS_Calc!IB:IB,MATCH(A16*1000+5,DSS_Calc!A:A,0))-INDEX(DSS_Calc!IB:IB,MATCH(A16*1000+1,DSS_Calc!A:A,0)))/INDEX(DSS_Calc!IN:IN,MATCH(A16*1000+5,DSS_Calc!A:A,0)))/
INDEX(DSS_Calc!JG:JG,MATCH(A16*1000+1,DSS_Calc!A:A,0))+I16</f>
        <v>#N/A</v>
      </c>
      <c r="AQ16" s="705" t="e">
        <f>(Q16*(INDEX(DSS_Calc!IC:IC,MATCH(A16*1000+3,DSS_Calc!A:A,0))-INDEX(DSS_Calc!IC:IC,MATCH(A16*1000+1,DSS_Calc!A:A,0)))/INDEX(DSS_Calc!IL:IL,MATCH(A16*1000+3,DSS_Calc!A:A,0))+
R16*(INDEX(DSS_Calc!IC:IC,MATCH(A16*1000+4,DSS_Calc!A:A,0))-INDEX(DSS_Calc!IC:IC,MATCH(A16*1000+1,DSS_Calc!A:A,0)))/INDEX(DSS_Calc!IM:IM,MATCH(A16*1000+4,DSS_Calc!A:A,0))+
S16*(INDEX(DSS_Calc!IC:IC,MATCH(A16*1000+5,DSS_Calc!A:A,0))-INDEX(DSS_Calc!IC:IC,MATCH(A16*1000+1,DSS_Calc!A:A,0)))/INDEX(DSS_Calc!IN:IN,MATCH(A16*1000+5,DSS_Calc!A:A,0)))/
INDEX(DSS_Calc!JG:JG,MATCH(A16*1000+1,DSS_Calc!A:A,0))+J16</f>
        <v>#N/A</v>
      </c>
      <c r="AR16" s="705" t="e">
        <f>(Q16*(INDEX(DSS_Calc!ID:ID,MATCH(A16*1000+3,DSS_Calc!A:A,0))-INDEX(DSS_Calc!ID:ID,MATCH(A16*1000+1,DSS_Calc!A:A,0)))/INDEX(DSS_Calc!IL:IL,MATCH(A16*1000+3,DSS_Calc!A:A,0))+
R16*(INDEX(DSS_Calc!ID:ID,MATCH(A16*1000+4,DSS_Calc!A:A,0))-INDEX(DSS_Calc!ID:ID,MATCH(A16*1000+1,DSS_Calc!A:A,0)))/INDEX(DSS_Calc!IM:IM,MATCH(A16*1000+4,DSS_Calc!A:A,0))+
S16*(INDEX(DSS_Calc!ID:ID,MATCH(A16*1000+5,DSS_Calc!A:A,0))-INDEX(DSS_Calc!ID:ID,MATCH(A16*1000+1,DSS_Calc!A:A,0)))/INDEX(DSS_Calc!IN:IN,MATCH(A16*1000+5,DSS_Calc!A:A,0)))/
INDEX(DSS_Calc!JG:JG,MATCH(A16*1000+1,DSS_Calc!A:A,0))+K16</f>
        <v>#N/A</v>
      </c>
    </row>
    <row r="17" spans="5:39">
      <c r="E17" s="693"/>
      <c r="F17" s="693"/>
      <c r="G17" s="693"/>
      <c r="I17" s="690"/>
      <c r="J17" s="690"/>
      <c r="K17" s="690"/>
      <c r="L17" s="467"/>
      <c r="M17" s="467"/>
      <c r="N17" s="467"/>
      <c r="O17" s="467"/>
      <c r="P17" s="467"/>
      <c r="Q17" s="467"/>
      <c r="R17" s="467"/>
      <c r="S17" s="467"/>
      <c r="T17" s="467"/>
      <c r="U17" s="467"/>
      <c r="V17" s="388"/>
      <c r="W17" s="388"/>
      <c r="X17" s="388"/>
      <c r="Y17" s="467"/>
      <c r="Z17" s="467"/>
      <c r="AA17" s="467"/>
      <c r="AB17" s="467"/>
      <c r="AC17" s="467"/>
      <c r="AD17" s="690"/>
      <c r="AE17" s="692"/>
      <c r="AF17" s="689"/>
      <c r="AH17" s="691"/>
      <c r="AJ17" s="467"/>
      <c r="AK17" s="688"/>
    </row>
    <row r="18" spans="5:39">
      <c r="E18" s="693"/>
      <c r="F18" s="693"/>
      <c r="G18" s="693"/>
      <c r="I18" s="690"/>
      <c r="J18" s="690"/>
      <c r="K18" s="690"/>
      <c r="L18" s="467"/>
      <c r="M18" s="467"/>
      <c r="N18" s="467"/>
      <c r="O18" s="467"/>
      <c r="P18" s="467"/>
      <c r="Q18" s="467"/>
      <c r="R18" s="467"/>
      <c r="S18" s="467"/>
      <c r="T18" s="467"/>
      <c r="U18" s="467"/>
      <c r="V18" s="388"/>
      <c r="W18" s="388"/>
      <c r="X18" s="388"/>
      <c r="Y18" s="467"/>
      <c r="Z18" s="467"/>
      <c r="AA18" s="467"/>
      <c r="AB18" s="467"/>
      <c r="AC18" s="467"/>
      <c r="AD18" s="690"/>
      <c r="AE18" s="692"/>
      <c r="AF18" s="689"/>
      <c r="AH18" s="691"/>
      <c r="AJ18" s="467"/>
      <c r="AK18" s="688"/>
    </row>
    <row r="19" spans="5:39">
      <c r="AK19" s="690"/>
      <c r="AL19" s="702"/>
      <c r="AM19" s="701"/>
    </row>
    <row r="20" spans="5:39">
      <c r="AK20" s="690"/>
      <c r="AL20" s="702"/>
      <c r="AM20" s="701"/>
    </row>
    <row r="21" spans="5:39">
      <c r="AK21" s="690"/>
      <c r="AL21" s="702"/>
      <c r="AM21" s="701"/>
    </row>
    <row r="25" spans="5:39">
      <c r="I25" s="693"/>
      <c r="J25" s="693"/>
      <c r="K25" s="693"/>
      <c r="L25" s="693"/>
      <c r="M25" s="693"/>
      <c r="N25" s="693"/>
      <c r="O25" s="693"/>
    </row>
    <row r="26" spans="5:39">
      <c r="I26" s="690"/>
      <c r="J26" s="690"/>
      <c r="K26" s="690"/>
      <c r="L26" s="690"/>
      <c r="M26" s="690"/>
      <c r="N26" s="690"/>
      <c r="O26" s="690"/>
      <c r="P26" s="388"/>
      <c r="Q26" s="388"/>
      <c r="R26" s="388"/>
      <c r="S26" s="388"/>
      <c r="T26" s="388"/>
      <c r="U26" s="388"/>
      <c r="V26" s="388"/>
      <c r="W26" s="388"/>
      <c r="X26" s="388"/>
      <c r="Y26" s="467"/>
      <c r="Z26" s="467"/>
      <c r="AA26" s="467"/>
      <c r="AB26" s="467"/>
      <c r="AC26" s="467"/>
      <c r="AD26" s="467"/>
      <c r="AE26" s="692"/>
      <c r="AF26" s="689"/>
      <c r="AJ26" s="687"/>
      <c r="AK26" s="688"/>
    </row>
    <row r="27" spans="5:39">
      <c r="I27" s="690"/>
      <c r="J27" s="690"/>
      <c r="K27" s="690"/>
      <c r="L27" s="690"/>
      <c r="M27" s="690"/>
      <c r="N27" s="690"/>
      <c r="O27" s="690"/>
      <c r="P27" s="388"/>
      <c r="Q27" s="467"/>
      <c r="R27" s="467"/>
      <c r="S27" s="467"/>
      <c r="T27" s="467"/>
      <c r="U27" s="467"/>
      <c r="V27" s="467"/>
      <c r="W27" s="467"/>
      <c r="X27" s="467"/>
      <c r="Y27" s="467"/>
      <c r="Z27" s="467"/>
      <c r="AA27" s="467"/>
      <c r="AB27" s="467"/>
      <c r="AC27" s="467"/>
      <c r="AD27" s="690"/>
      <c r="AE27" s="594"/>
      <c r="AF27" s="689"/>
      <c r="AG27" s="688"/>
      <c r="AH27" s="691"/>
      <c r="AI27" s="467"/>
      <c r="AJ27" s="467"/>
      <c r="AK27" s="467"/>
      <c r="AL27" s="467"/>
    </row>
    <row r="28" spans="5:39">
      <c r="I28" s="690"/>
      <c r="J28" s="690"/>
      <c r="K28" s="690"/>
      <c r="L28" s="690"/>
      <c r="M28" s="690"/>
      <c r="N28" s="690"/>
      <c r="O28" s="690"/>
      <c r="P28" s="388"/>
      <c r="Q28" s="467"/>
      <c r="R28" s="467"/>
      <c r="S28" s="467"/>
      <c r="T28" s="467"/>
      <c r="U28" s="467"/>
      <c r="V28" s="467"/>
      <c r="W28" s="467"/>
      <c r="X28" s="467"/>
      <c r="Y28" s="467"/>
      <c r="Z28" s="467"/>
      <c r="AA28" s="467"/>
      <c r="AB28" s="467"/>
      <c r="AC28" s="467"/>
      <c r="AD28" s="690"/>
      <c r="AE28" s="594"/>
      <c r="AF28" s="689"/>
      <c r="AG28" s="688"/>
      <c r="AH28" s="691"/>
      <c r="AI28" s="467"/>
      <c r="AJ28" s="467"/>
      <c r="AK28" s="467"/>
      <c r="AL28" s="467"/>
    </row>
    <row r="29" spans="5:39">
      <c r="I29" s="690"/>
      <c r="J29" s="690"/>
      <c r="K29" s="690"/>
      <c r="L29" s="690"/>
      <c r="M29" s="690"/>
      <c r="N29" s="690"/>
      <c r="O29" s="690"/>
      <c r="P29" s="388"/>
      <c r="Q29" s="467"/>
      <c r="R29" s="467"/>
      <c r="S29" s="467"/>
      <c r="T29" s="467"/>
      <c r="U29" s="467"/>
      <c r="V29" s="467"/>
      <c r="W29" s="467"/>
      <c r="X29" s="467"/>
      <c r="Y29" s="467"/>
      <c r="Z29" s="467"/>
      <c r="AA29" s="467"/>
      <c r="AB29" s="467"/>
      <c r="AC29" s="467"/>
      <c r="AD29" s="690"/>
      <c r="AE29" s="594"/>
      <c r="AF29" s="689"/>
      <c r="AG29" s="688"/>
      <c r="AH29" s="691"/>
      <c r="AI29" s="467"/>
      <c r="AJ29" s="467"/>
      <c r="AK29" s="467"/>
      <c r="AL29" s="467"/>
    </row>
    <row r="30" spans="5:39">
      <c r="I30" s="690"/>
      <c r="J30" s="690"/>
      <c r="K30" s="690"/>
      <c r="L30" s="690"/>
      <c r="M30" s="690"/>
      <c r="N30" s="690"/>
      <c r="O30" s="690"/>
      <c r="P30" s="388"/>
      <c r="Q30" s="467"/>
      <c r="R30" s="467"/>
      <c r="S30" s="467"/>
      <c r="T30" s="467"/>
      <c r="U30" s="467"/>
      <c r="V30" s="467"/>
      <c r="W30" s="467"/>
      <c r="X30" s="467"/>
      <c r="Y30" s="467"/>
      <c r="Z30" s="467"/>
      <c r="AA30" s="467"/>
      <c r="AB30" s="467"/>
      <c r="AC30" s="467"/>
      <c r="AD30" s="690"/>
      <c r="AE30" s="594"/>
      <c r="AF30" s="689"/>
      <c r="AG30" s="688"/>
      <c r="AH30" s="691"/>
      <c r="AI30" s="467"/>
      <c r="AJ30" s="467"/>
      <c r="AK30" s="467"/>
      <c r="AL30" s="467"/>
    </row>
    <row r="38" spans="9:38">
      <c r="I38" s="693"/>
      <c r="J38" s="693"/>
      <c r="K38" s="693"/>
      <c r="L38" s="693"/>
      <c r="M38" s="693"/>
      <c r="N38" s="693"/>
      <c r="O38" s="693"/>
    </row>
    <row r="39" spans="9:38">
      <c r="I39" s="690"/>
      <c r="J39" s="690"/>
      <c r="K39" s="690"/>
      <c r="L39" s="690"/>
      <c r="M39" s="690"/>
      <c r="N39" s="690"/>
      <c r="O39" s="690"/>
      <c r="P39" s="388"/>
      <c r="Q39" s="388"/>
      <c r="R39" s="388"/>
      <c r="S39" s="388"/>
      <c r="T39" s="388"/>
      <c r="U39" s="388"/>
      <c r="V39" s="388"/>
      <c r="W39" s="388"/>
      <c r="X39" s="388"/>
      <c r="Y39" s="467"/>
      <c r="Z39" s="467"/>
      <c r="AA39" s="467"/>
      <c r="AB39" s="467"/>
      <c r="AC39" s="467"/>
      <c r="AD39" s="467"/>
      <c r="AE39" s="692"/>
      <c r="AF39" s="689"/>
      <c r="AJ39" s="687"/>
      <c r="AK39" s="688"/>
    </row>
    <row r="40" spans="9:38">
      <c r="I40" s="690"/>
      <c r="J40" s="690"/>
      <c r="K40" s="690"/>
      <c r="L40" s="690"/>
      <c r="M40" s="690"/>
      <c r="N40" s="690"/>
      <c r="O40" s="690"/>
      <c r="P40" s="388"/>
      <c r="Q40" s="467"/>
      <c r="R40" s="467"/>
      <c r="S40" s="467"/>
      <c r="T40" s="467"/>
      <c r="U40" s="467"/>
      <c r="V40" s="467"/>
      <c r="W40" s="467"/>
      <c r="X40" s="467"/>
      <c r="Y40" s="467"/>
      <c r="Z40" s="467"/>
      <c r="AA40" s="467"/>
      <c r="AB40" s="467"/>
      <c r="AC40" s="467"/>
      <c r="AD40" s="690"/>
      <c r="AE40" s="594"/>
      <c r="AF40" s="689"/>
      <c r="AG40" s="688"/>
      <c r="AH40" s="691"/>
      <c r="AI40" s="467"/>
      <c r="AJ40" s="467"/>
      <c r="AK40" s="467"/>
      <c r="AL40" s="467"/>
    </row>
    <row r="41" spans="9:38">
      <c r="I41" s="690"/>
      <c r="J41" s="690"/>
      <c r="K41" s="690"/>
      <c r="L41" s="690"/>
      <c r="M41" s="690"/>
      <c r="N41" s="690"/>
      <c r="O41" s="690"/>
      <c r="P41" s="388"/>
      <c r="Q41" s="467"/>
      <c r="R41" s="467"/>
      <c r="S41" s="467"/>
      <c r="T41" s="467"/>
      <c r="U41" s="467"/>
      <c r="V41" s="467"/>
      <c r="W41" s="467"/>
      <c r="X41" s="467"/>
      <c r="Y41" s="467"/>
      <c r="Z41" s="467"/>
      <c r="AA41" s="467"/>
      <c r="AB41" s="467"/>
      <c r="AC41" s="467"/>
      <c r="AD41" s="690"/>
      <c r="AE41" s="594"/>
      <c r="AF41" s="689"/>
      <c r="AG41" s="688"/>
      <c r="AH41" s="691"/>
      <c r="AI41" s="467"/>
      <c r="AJ41" s="467"/>
      <c r="AK41" s="467"/>
      <c r="AL41" s="467"/>
    </row>
    <row r="42" spans="9:38">
      <c r="I42" s="690"/>
      <c r="J42" s="690"/>
      <c r="K42" s="690"/>
      <c r="L42" s="690"/>
      <c r="M42" s="690"/>
      <c r="N42" s="690"/>
      <c r="O42" s="690"/>
      <c r="P42" s="388"/>
      <c r="Q42" s="467"/>
      <c r="R42" s="467"/>
      <c r="S42" s="467"/>
      <c r="T42" s="467"/>
      <c r="U42" s="467"/>
      <c r="V42" s="467"/>
      <c r="W42" s="467"/>
      <c r="X42" s="467"/>
      <c r="Y42" s="467"/>
      <c r="Z42" s="467"/>
      <c r="AA42" s="467"/>
      <c r="AB42" s="467"/>
      <c r="AC42" s="467"/>
      <c r="AD42" s="690"/>
      <c r="AE42" s="594"/>
      <c r="AF42" s="689"/>
      <c r="AG42" s="688"/>
      <c r="AH42" s="691"/>
      <c r="AI42" s="467"/>
      <c r="AJ42" s="467"/>
      <c r="AK42" s="467"/>
      <c r="AL42" s="467"/>
    </row>
    <row r="43" spans="9:38">
      <c r="I43" s="690"/>
      <c r="J43" s="690"/>
      <c r="K43" s="690"/>
      <c r="L43" s="690"/>
      <c r="M43" s="690"/>
      <c r="N43" s="690"/>
      <c r="O43" s="690"/>
      <c r="P43" s="388"/>
      <c r="Q43" s="467"/>
      <c r="R43" s="467"/>
      <c r="S43" s="467"/>
      <c r="T43" s="467"/>
      <c r="U43" s="467"/>
      <c r="V43" s="467"/>
      <c r="W43" s="467"/>
      <c r="X43" s="467"/>
      <c r="Y43" s="467"/>
      <c r="Z43" s="467"/>
      <c r="AA43" s="467"/>
      <c r="AB43" s="467"/>
      <c r="AC43" s="467"/>
      <c r="AD43" s="690"/>
      <c r="AE43" s="594"/>
      <c r="AF43" s="689"/>
      <c r="AG43" s="688"/>
      <c r="AH43" s="691"/>
      <c r="AI43" s="467"/>
      <c r="AJ43" s="467"/>
      <c r="AK43" s="467"/>
      <c r="AL43" s="467"/>
    </row>
  </sheetData>
  <dataValidations count="1">
    <dataValidation type="list" allowBlank="1" showInputMessage="1" showErrorMessage="1" sqref="G5" xr:uid="{00000000-0002-0000-1000-000000000000}">
      <formula1>"ElastQA,Scenarios 3-5"</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dimension ref="A1:AD60"/>
  <sheetViews>
    <sheetView showGridLines="0" topLeftCell="M1" zoomScale="80" zoomScaleNormal="80" workbookViewId="0">
      <selection activeCell="U19" sqref="U19"/>
    </sheetView>
  </sheetViews>
  <sheetFormatPr defaultColWidth="17.5703125" defaultRowHeight="15"/>
  <cols>
    <col min="1" max="1" width="18.140625" style="51" bestFit="1" customWidth="1"/>
    <col min="2" max="2" width="6.42578125" style="51" bestFit="1" customWidth="1"/>
    <col min="3" max="3" width="2.28515625" style="51" bestFit="1" customWidth="1"/>
    <col min="4" max="4" width="21.28515625" style="51" bestFit="1" customWidth="1"/>
    <col min="5" max="5" width="17.7109375" style="51" bestFit="1" customWidth="1"/>
    <col min="6" max="6" width="19.85546875" style="51" bestFit="1" customWidth="1"/>
    <col min="7" max="7" width="13.42578125" style="51" bestFit="1" customWidth="1"/>
    <col min="8" max="8" width="19.28515625" style="51" bestFit="1" customWidth="1"/>
    <col min="9" max="9" width="17.5703125" style="51"/>
    <col min="10" max="10" width="6.42578125" style="51" bestFit="1" customWidth="1"/>
    <col min="11" max="11" width="2.28515625" style="51" bestFit="1" customWidth="1"/>
    <col min="12" max="12" width="21.28515625" style="51" bestFit="1" customWidth="1"/>
    <col min="13" max="13" width="17.7109375" style="51" bestFit="1" customWidth="1"/>
    <col min="14" max="14" width="19.85546875" style="51" bestFit="1" customWidth="1"/>
    <col min="15" max="15" width="13.42578125" style="51" bestFit="1" customWidth="1"/>
    <col min="16" max="16" width="19.28515625" style="51" bestFit="1" customWidth="1"/>
    <col min="17" max="17" width="17.5703125" style="51"/>
    <col min="18" max="18" width="13" style="52" bestFit="1" customWidth="1"/>
    <col min="19" max="19" width="13" style="52" customWidth="1"/>
    <col min="20" max="29" width="12.140625" style="54" customWidth="1"/>
    <col min="30" max="16384" width="17.5703125" style="51"/>
  </cols>
  <sheetData>
    <row r="1" spans="1:29">
      <c r="D1" s="54" t="s">
        <v>817</v>
      </c>
      <c r="E1" s="627">
        <v>2</v>
      </c>
    </row>
    <row r="2" spans="1:29">
      <c r="D2" s="54" t="s">
        <v>818</v>
      </c>
      <c r="E2" s="627">
        <v>2</v>
      </c>
      <c r="F2" s="625">
        <f>$E$2</f>
        <v>2</v>
      </c>
      <c r="G2" s="625">
        <f t="shared" ref="G2:H2" si="0">$E$2</f>
        <v>2</v>
      </c>
      <c r="H2" s="625">
        <f t="shared" si="0"/>
        <v>2</v>
      </c>
      <c r="M2" s="625">
        <f t="shared" ref="M2:P2" si="1">$E$2</f>
        <v>2</v>
      </c>
      <c r="N2" s="625">
        <f t="shared" si="1"/>
        <v>2</v>
      </c>
      <c r="O2" s="625">
        <f t="shared" si="1"/>
        <v>2</v>
      </c>
      <c r="P2" s="625">
        <f t="shared" si="1"/>
        <v>2</v>
      </c>
    </row>
    <row r="3" spans="1:29">
      <c r="D3" s="51" t="s">
        <v>94</v>
      </c>
      <c r="E3" s="588" t="s">
        <v>783</v>
      </c>
      <c r="F3" s="588" t="s">
        <v>783</v>
      </c>
      <c r="G3" s="588" t="s">
        <v>783</v>
      </c>
      <c r="H3" s="588" t="s">
        <v>783</v>
      </c>
      <c r="L3" s="51" t="s">
        <v>94</v>
      </c>
      <c r="M3" s="588" t="s">
        <v>783</v>
      </c>
      <c r="N3" s="588" t="s">
        <v>783</v>
      </c>
      <c r="O3" s="588" t="s">
        <v>783</v>
      </c>
      <c r="P3" s="588" t="s">
        <v>783</v>
      </c>
      <c r="R3" s="52" t="s">
        <v>784</v>
      </c>
    </row>
    <row r="4" spans="1:29">
      <c r="C4" s="51">
        <v>2</v>
      </c>
      <c r="D4" s="626" t="str">
        <f>W21</f>
        <v>Central</v>
      </c>
      <c r="E4" s="590">
        <f>INDEX(DSS_Calc!$JK:$JK,MATCH($C4*1000+E$2,DSS_Calc!$A:$A,0))</f>
        <v>5.9266646920201581E-3</v>
      </c>
      <c r="F4" s="590">
        <f>INDEX(DSS_Calc!$JK:$JK,MATCH($C4*1000+F$2,DSS_Calc!$A:$A,0))</f>
        <v>5.9266646920201581E-3</v>
      </c>
      <c r="G4" s="590">
        <f>INDEX(DSS_Calc!$JK:$JK,MATCH($C4*1000+G$2,DSS_Calc!$A:$A,0))</f>
        <v>5.9266646920201581E-3</v>
      </c>
      <c r="H4" s="590">
        <f>INDEX(DSS_Calc!$JK:$JK,MATCH($C4*1000+H$2,DSS_Calc!$A:$A,0))</f>
        <v>5.9266646920201581E-3</v>
      </c>
      <c r="K4" s="51">
        <v>2</v>
      </c>
      <c r="L4" s="589" t="str">
        <f>D4</f>
        <v>Central</v>
      </c>
      <c r="M4" s="591">
        <f>INDEX(DSS_Calc!$JD:$JD,MATCH($C4*1000+M$2,DSS_Calc!$A:$A,0))</f>
        <v>2143.6803394334729</v>
      </c>
      <c r="N4" s="591">
        <f>INDEX(DSS_Calc!$JD:$JD,MATCH($C4*1000+N$2,DSS_Calc!$A:$A,0))</f>
        <v>2143.6803394334729</v>
      </c>
      <c r="O4" s="591">
        <f>INDEX(DSS_Calc!$JD:$JD,MATCH($C4*1000+O$2,DSS_Calc!$A:$A,0))</f>
        <v>2143.6803394334729</v>
      </c>
      <c r="P4" s="591">
        <f>INDEX(DSS_Calc!$JD:$JD,MATCH($C4*1000+P$2,DSS_Calc!$A:$A,0))</f>
        <v>2143.6803394334729</v>
      </c>
      <c r="Q4" s="592">
        <f>INDEX(Input!$1:$1048576,Input!$A$20,C4*2+6)</f>
        <v>2105.548724853742</v>
      </c>
      <c r="R4" s="593">
        <f>P4-Q4</f>
        <v>38.131614579730922</v>
      </c>
    </row>
    <row r="5" spans="1:29">
      <c r="C5" s="51">
        <f>C4+1</f>
        <v>3</v>
      </c>
      <c r="D5" s="626" t="str">
        <f t="shared" ref="D5:D11" si="2">W22</f>
        <v>Mid-Atlantic</v>
      </c>
      <c r="E5" s="590">
        <f>INDEX(DSS_Calc!$JK:$JK,MATCH($C5*1000+E$2,DSS_Calc!$A:$A,0))</f>
        <v>3.0516392665238978E-2</v>
      </c>
      <c r="F5" s="590">
        <f>INDEX(DSS_Calc!$JK:$JK,MATCH($C5*1000+F$2,DSS_Calc!$A:$A,0))</f>
        <v>3.0516392665238978E-2</v>
      </c>
      <c r="G5" s="590">
        <f>INDEX(DSS_Calc!$JK:$JK,MATCH($C5*1000+G$2,DSS_Calc!$A:$A,0))</f>
        <v>3.0516392665238978E-2</v>
      </c>
      <c r="H5" s="590">
        <f>INDEX(DSS_Calc!$JK:$JK,MATCH($C5*1000+H$2,DSS_Calc!$A:$A,0))</f>
        <v>3.0516392665238978E-2</v>
      </c>
      <c r="K5" s="51">
        <f>K4+1</f>
        <v>3</v>
      </c>
      <c r="L5" s="589" t="str">
        <f t="shared" ref="L5:L11" si="3">D5</f>
        <v>Mid-Atlantic</v>
      </c>
      <c r="M5" s="591">
        <f>INDEX(DSS_Calc!$JD:$JD,MATCH($C5*1000+M$2,DSS_Calc!$A:$A,0))</f>
        <v>2635.9134253886982</v>
      </c>
      <c r="N5" s="591">
        <f>INDEX(DSS_Calc!$JD:$JD,MATCH($C5*1000+N$2,DSS_Calc!$A:$A,0))</f>
        <v>2635.9134253886982</v>
      </c>
      <c r="O5" s="591">
        <f>INDEX(DSS_Calc!$JD:$JD,MATCH($C5*1000+O$2,DSS_Calc!$A:$A,0))</f>
        <v>2635.9134253886982</v>
      </c>
      <c r="P5" s="591">
        <f>INDEX(DSS_Calc!$JD:$JD,MATCH($C5*1000+P$2,DSS_Calc!$A:$A,0))</f>
        <v>2635.9134253886982</v>
      </c>
      <c r="Q5" s="592">
        <f>INDEX(Input!$1:$1048576,Input!$A$20,C5*2+6)</f>
        <v>2442.3713226762939</v>
      </c>
      <c r="R5" s="593">
        <f t="shared" ref="R5:R11" si="4">P5-Q5</f>
        <v>193.54210271240436</v>
      </c>
    </row>
    <row r="6" spans="1:29">
      <c r="C6" s="51">
        <f t="shared" ref="C6:C11" si="5">C5+1</f>
        <v>4</v>
      </c>
      <c r="D6" s="626" t="str">
        <f t="shared" si="2"/>
        <v>Midwest</v>
      </c>
      <c r="E6" s="590">
        <f>INDEX(DSS_Calc!$JK:$JK,MATCH($C6*1000+E$2,DSS_Calc!$A:$A,0))</f>
        <v>3.8476505274131094E-2</v>
      </c>
      <c r="F6" s="590">
        <f>INDEX(DSS_Calc!$JK:$JK,MATCH($C6*1000+F$2,DSS_Calc!$A:$A,0))</f>
        <v>3.8476505274131094E-2</v>
      </c>
      <c r="G6" s="590">
        <f>INDEX(DSS_Calc!$JK:$JK,MATCH($C6*1000+G$2,DSS_Calc!$A:$A,0))</f>
        <v>3.8476505274131094E-2</v>
      </c>
      <c r="H6" s="590">
        <f>INDEX(DSS_Calc!$JK:$JK,MATCH($C6*1000+H$2,DSS_Calc!$A:$A,0))</f>
        <v>3.8476505274131094E-2</v>
      </c>
      <c r="K6" s="51">
        <f t="shared" ref="K6:K11" si="6">K5+1</f>
        <v>4</v>
      </c>
      <c r="L6" s="589" t="str">
        <f t="shared" si="3"/>
        <v>Midwest</v>
      </c>
      <c r="M6" s="591">
        <f>INDEX(DSS_Calc!$JD:$JD,MATCH($C6*1000+M$2,DSS_Calc!$A:$A,0))</f>
        <v>2624.7711880360212</v>
      </c>
      <c r="N6" s="591">
        <f>INDEX(DSS_Calc!$JD:$JD,MATCH($C6*1000+N$2,DSS_Calc!$A:$A,0))</f>
        <v>2624.7711880360212</v>
      </c>
      <c r="O6" s="591">
        <f>INDEX(DSS_Calc!$JD:$JD,MATCH($C6*1000+O$2,DSS_Calc!$A:$A,0))</f>
        <v>2624.7711880360212</v>
      </c>
      <c r="P6" s="591">
        <f>INDEX(DSS_Calc!$JD:$JD,MATCH($C6*1000+P$2,DSS_Calc!$A:$A,0))</f>
        <v>2624.7711880360212</v>
      </c>
      <c r="Q6" s="592">
        <f>INDEX(Input!$1:$1048576,Input!$A$20,C6*2+6)</f>
        <v>2341.8685758720158</v>
      </c>
      <c r="R6" s="593">
        <f t="shared" si="4"/>
        <v>282.9026121640054</v>
      </c>
    </row>
    <row r="7" spans="1:29">
      <c r="C7" s="51">
        <f t="shared" si="5"/>
        <v>5</v>
      </c>
      <c r="D7" s="626" t="str">
        <f t="shared" si="2"/>
        <v>Mountain</v>
      </c>
      <c r="E7" s="590">
        <f>INDEX(DSS_Calc!$JK:$JK,MATCH($C7*1000+E$2,DSS_Calc!$A:$A,0))</f>
        <v>4.0716385537874636E-3</v>
      </c>
      <c r="F7" s="590">
        <f>INDEX(DSS_Calc!$JK:$JK,MATCH($C7*1000+F$2,DSS_Calc!$A:$A,0))</f>
        <v>4.0716385537874636E-3</v>
      </c>
      <c r="G7" s="590">
        <f>INDEX(DSS_Calc!$JK:$JK,MATCH($C7*1000+G$2,DSS_Calc!$A:$A,0))</f>
        <v>4.0716385537874636E-3</v>
      </c>
      <c r="H7" s="590">
        <f>INDEX(DSS_Calc!$JK:$JK,MATCH($C7*1000+H$2,DSS_Calc!$A:$A,0))</f>
        <v>4.0716385537874636E-3</v>
      </c>
      <c r="K7" s="51">
        <f t="shared" si="6"/>
        <v>5</v>
      </c>
      <c r="L7" s="589" t="str">
        <f t="shared" si="3"/>
        <v>Mountain</v>
      </c>
      <c r="M7" s="591">
        <f>INDEX(DSS_Calc!$JD:$JD,MATCH($C7*1000+M$2,DSS_Calc!$A:$A,0))</f>
        <v>1918.9187657232665</v>
      </c>
      <c r="N7" s="591">
        <f>INDEX(DSS_Calc!$JD:$JD,MATCH($C7*1000+N$2,DSS_Calc!$A:$A,0))</f>
        <v>1918.9187657232665</v>
      </c>
      <c r="O7" s="591">
        <f>INDEX(DSS_Calc!$JD:$JD,MATCH($C7*1000+O$2,DSS_Calc!$A:$A,0))</f>
        <v>1918.9187657232665</v>
      </c>
      <c r="P7" s="591">
        <f>INDEX(DSS_Calc!$JD:$JD,MATCH($C7*1000+P$2,DSS_Calc!$A:$A,0))</f>
        <v>1918.9187657232665</v>
      </c>
      <c r="Q7" s="592">
        <f>INDEX(Input!$1:$1048576,Input!$A$20,C7*2+6)</f>
        <v>1890.7138380411029</v>
      </c>
      <c r="R7" s="593">
        <f t="shared" si="4"/>
        <v>28.204927682163543</v>
      </c>
      <c r="W7" s="303" t="s">
        <v>93</v>
      </c>
      <c r="X7" s="303" t="s" vm="1">
        <v>588</v>
      </c>
      <c r="AC7" s="51"/>
    </row>
    <row r="8" spans="1:29">
      <c r="C8" s="51">
        <f t="shared" si="5"/>
        <v>6</v>
      </c>
      <c r="D8" s="626" t="str">
        <f t="shared" si="2"/>
        <v>Northeast</v>
      </c>
      <c r="E8" s="590">
        <f>INDEX(DSS_Calc!$JK:$JK,MATCH($C8*1000+E$2,DSS_Calc!$A:$A,0))</f>
        <v>2.3459221835139932E-2</v>
      </c>
      <c r="F8" s="590">
        <f>INDEX(DSS_Calc!$JK:$JK,MATCH($C8*1000+F$2,DSS_Calc!$A:$A,0))</f>
        <v>2.3459221835139932E-2</v>
      </c>
      <c r="G8" s="590">
        <f>INDEX(DSS_Calc!$JK:$JK,MATCH($C8*1000+G$2,DSS_Calc!$A:$A,0))</f>
        <v>2.3459221835139932E-2</v>
      </c>
      <c r="H8" s="590">
        <f>INDEX(DSS_Calc!$JK:$JK,MATCH($C8*1000+H$2,DSS_Calc!$A:$A,0))</f>
        <v>2.3459221835139932E-2</v>
      </c>
      <c r="K8" s="51">
        <f t="shared" si="6"/>
        <v>6</v>
      </c>
      <c r="L8" s="589" t="str">
        <f t="shared" si="3"/>
        <v>Northeast</v>
      </c>
      <c r="M8" s="591">
        <f>INDEX(DSS_Calc!$JD:$JD,MATCH($C8*1000+M$2,DSS_Calc!$A:$A,0))</f>
        <v>2462.8332566051449</v>
      </c>
      <c r="N8" s="591">
        <f>INDEX(DSS_Calc!$JD:$JD,MATCH($C8*1000+N$2,DSS_Calc!$A:$A,0))</f>
        <v>2462.8332566051449</v>
      </c>
      <c r="O8" s="591">
        <f>INDEX(DSS_Calc!$JD:$JD,MATCH($C8*1000+O$2,DSS_Calc!$A:$A,0))</f>
        <v>2462.8332566051449</v>
      </c>
      <c r="P8" s="591">
        <f>INDEX(DSS_Calc!$JD:$JD,MATCH($C8*1000+P$2,DSS_Calc!$A:$A,0))</f>
        <v>2462.8332566051449</v>
      </c>
      <c r="Q8" s="592">
        <f>INDEX(Input!$1:$1048576,Input!$A$20,C8*2+6)</f>
        <v>2296.6050414551746</v>
      </c>
      <c r="R8" s="593">
        <f t="shared" si="4"/>
        <v>166.22821514997031</v>
      </c>
      <c r="W8" s="303" t="s">
        <v>790</v>
      </c>
      <c r="X8" s="303" t="s" vm="2">
        <v>588</v>
      </c>
      <c r="AC8" s="51"/>
    </row>
    <row r="9" spans="1:29">
      <c r="C9" s="51">
        <f t="shared" si="5"/>
        <v>7</v>
      </c>
      <c r="D9" s="626" t="str">
        <f t="shared" si="2"/>
        <v>Northwest</v>
      </c>
      <c r="E9" s="590" t="e">
        <f>INDEX(DSS_Calc!$JK:$JK,MATCH($C9*1000+E$2,DSS_Calc!$A:$A,0))</f>
        <v>#N/A</v>
      </c>
      <c r="F9" s="590" t="e">
        <f>INDEX(DSS_Calc!$JK:$JK,MATCH($C9*1000+F$2,DSS_Calc!$A:$A,0))</f>
        <v>#N/A</v>
      </c>
      <c r="G9" s="590" t="e">
        <f>INDEX(DSS_Calc!$JK:$JK,MATCH($C9*1000+G$2,DSS_Calc!$A:$A,0))</f>
        <v>#N/A</v>
      </c>
      <c r="H9" s="590" t="e">
        <f>INDEX(DSS_Calc!$JK:$JK,MATCH($C9*1000+H$2,DSS_Calc!$A:$A,0))</f>
        <v>#N/A</v>
      </c>
      <c r="K9" s="51">
        <f t="shared" si="6"/>
        <v>7</v>
      </c>
      <c r="L9" s="589" t="str">
        <f t="shared" si="3"/>
        <v>Northwest</v>
      </c>
      <c r="M9" s="591" t="e">
        <f>INDEX(DSS_Calc!$JD:$JD,MATCH($C9*1000+M$2,DSS_Calc!$A:$A,0))</f>
        <v>#N/A</v>
      </c>
      <c r="N9" s="591" t="e">
        <f>INDEX(DSS_Calc!$JD:$JD,MATCH($C9*1000+N$2,DSS_Calc!$A:$A,0))</f>
        <v>#N/A</v>
      </c>
      <c r="O9" s="591" t="e">
        <f>INDEX(DSS_Calc!$JD:$JD,MATCH($C9*1000+O$2,DSS_Calc!$A:$A,0))</f>
        <v>#N/A</v>
      </c>
      <c r="P9" s="591" t="e">
        <f>INDEX(DSS_Calc!$JD:$JD,MATCH($C9*1000+P$2,DSS_Calc!$A:$A,0))</f>
        <v>#N/A</v>
      </c>
      <c r="Q9" s="592">
        <f>INDEX(Input!$1:$1048576,Input!$A$20,C9*2+6)</f>
        <v>0</v>
      </c>
      <c r="R9" s="593" t="e">
        <f t="shared" si="4"/>
        <v>#N/A</v>
      </c>
      <c r="W9" s="303" t="s">
        <v>593</v>
      </c>
      <c r="X9" s="303" t="s" vm="3">
        <v>588</v>
      </c>
      <c r="AC9" s="51"/>
    </row>
    <row r="10" spans="1:29">
      <c r="C10" s="51">
        <f t="shared" si="5"/>
        <v>8</v>
      </c>
      <c r="D10" s="626" t="str">
        <f t="shared" si="2"/>
        <v>Southeast</v>
      </c>
      <c r="E10" s="590" t="e">
        <f>INDEX(DSS_Calc!$JK:$JK,MATCH($C10*1000+E$2,DSS_Calc!$A:$A,0))</f>
        <v>#N/A</v>
      </c>
      <c r="F10" s="590" t="e">
        <f>INDEX(DSS_Calc!$JK:$JK,MATCH($C10*1000+F$2,DSS_Calc!$A:$A,0))</f>
        <v>#N/A</v>
      </c>
      <c r="G10" s="590" t="e">
        <f>INDEX(DSS_Calc!$JK:$JK,MATCH($C10*1000+G$2,DSS_Calc!$A:$A,0))</f>
        <v>#N/A</v>
      </c>
      <c r="H10" s="590" t="e">
        <f>INDEX(DSS_Calc!$JK:$JK,MATCH($C10*1000+H$2,DSS_Calc!$A:$A,0))</f>
        <v>#N/A</v>
      </c>
      <c r="K10" s="51">
        <f t="shared" si="6"/>
        <v>8</v>
      </c>
      <c r="L10" s="589" t="str">
        <f t="shared" si="3"/>
        <v>Southeast</v>
      </c>
      <c r="M10" s="591" t="e">
        <f>INDEX(DSS_Calc!$JD:$JD,MATCH($C10*1000+M$2,DSS_Calc!$A:$A,0))</f>
        <v>#N/A</v>
      </c>
      <c r="N10" s="591" t="e">
        <f>INDEX(DSS_Calc!$JD:$JD,MATCH($C10*1000+N$2,DSS_Calc!$A:$A,0))</f>
        <v>#N/A</v>
      </c>
      <c r="O10" s="591" t="e">
        <f>INDEX(DSS_Calc!$JD:$JD,MATCH($C10*1000+O$2,DSS_Calc!$A:$A,0))</f>
        <v>#N/A</v>
      </c>
      <c r="P10" s="591" t="e">
        <f>INDEX(DSS_Calc!$JD:$JD,MATCH($C10*1000+P$2,DSS_Calc!$A:$A,0))</f>
        <v>#N/A</v>
      </c>
      <c r="Q10" s="592">
        <f>INDEX(Input!$1:$1048576,Input!$A$20,C10*2+6)</f>
        <v>0</v>
      </c>
      <c r="R10" s="593" t="e">
        <f t="shared" si="4"/>
        <v>#N/A</v>
      </c>
      <c r="W10" s="303" t="s">
        <v>793</v>
      </c>
      <c r="X10" s="303" t="s" vm="4">
        <v>588</v>
      </c>
      <c r="AC10" s="51"/>
    </row>
    <row r="11" spans="1:29">
      <c r="C11" s="51">
        <f t="shared" si="5"/>
        <v>9</v>
      </c>
      <c r="D11" s="626" t="str">
        <f t="shared" si="2"/>
        <v>West</v>
      </c>
      <c r="E11" s="590" t="e">
        <f>INDEX(DSS_Calc!$JK:$JK,MATCH($C11*1000+E$2,DSS_Calc!$A:$A,0))</f>
        <v>#N/A</v>
      </c>
      <c r="F11" s="590" t="e">
        <f>INDEX(DSS_Calc!$JK:$JK,MATCH($C11*1000+F$2,DSS_Calc!$A:$A,0))</f>
        <v>#N/A</v>
      </c>
      <c r="G11" s="590" t="e">
        <f>INDEX(DSS_Calc!$JK:$JK,MATCH($C11*1000+G$2,DSS_Calc!$A:$A,0))</f>
        <v>#N/A</v>
      </c>
      <c r="H11" s="590" t="e">
        <f>INDEX(DSS_Calc!$JK:$JK,MATCH($C11*1000+H$2,DSS_Calc!$A:$A,0))</f>
        <v>#N/A</v>
      </c>
      <c r="K11" s="51">
        <f t="shared" si="6"/>
        <v>9</v>
      </c>
      <c r="L11" s="589" t="str">
        <f t="shared" si="3"/>
        <v>West</v>
      </c>
      <c r="M11" s="591" t="e">
        <f>INDEX(DSS_Calc!$JD:$JD,MATCH($C11*1000+M$2,DSS_Calc!$A:$A,0))</f>
        <v>#N/A</v>
      </c>
      <c r="N11" s="591" t="e">
        <f>INDEX(DSS_Calc!$JD:$JD,MATCH($C11*1000+N$2,DSS_Calc!$A:$A,0))</f>
        <v>#N/A</v>
      </c>
      <c r="O11" s="591" t="e">
        <f>INDEX(DSS_Calc!$JD:$JD,MATCH($C11*1000+O$2,DSS_Calc!$A:$A,0))</f>
        <v>#N/A</v>
      </c>
      <c r="P11" s="591" t="e">
        <f>INDEX(DSS_Calc!$JD:$JD,MATCH($C11*1000+P$2,DSS_Calc!$A:$A,0))</f>
        <v>#N/A</v>
      </c>
      <c r="Q11" s="592">
        <f>INDEX(Input!$1:$1048576,Input!$A$20,C11*2+6)</f>
        <v>0</v>
      </c>
      <c r="R11" s="593" t="e">
        <f t="shared" si="4"/>
        <v>#N/A</v>
      </c>
      <c r="W11" s="303" t="s">
        <v>4</v>
      </c>
      <c r="X11" s="303" t="s" vm="5">
        <v>588</v>
      </c>
      <c r="AC11" s="51"/>
    </row>
    <row r="12" spans="1:29">
      <c r="W12" s="303" t="s">
        <v>795</v>
      </c>
      <c r="X12" s="303" t="s" vm="6">
        <v>796</v>
      </c>
      <c r="AC12" s="51"/>
    </row>
    <row r="13" spans="1:29">
      <c r="W13" s="303" t="s">
        <v>605</v>
      </c>
      <c r="X13" s="303" t="s" vm="7">
        <v>588</v>
      </c>
      <c r="AC13" s="51"/>
    </row>
    <row r="14" spans="1:29">
      <c r="A14" s="51" t="s">
        <v>797</v>
      </c>
      <c r="D14" s="51" t="s">
        <v>309</v>
      </c>
      <c r="E14" s="627">
        <v>9</v>
      </c>
      <c r="F14" s="627">
        <f>E14+1</f>
        <v>10</v>
      </c>
      <c r="G14" s="627">
        <f>F14+1</f>
        <v>11</v>
      </c>
      <c r="H14" s="627">
        <f>G14+1</f>
        <v>12</v>
      </c>
      <c r="M14" s="51">
        <f>E14</f>
        <v>9</v>
      </c>
      <c r="N14" s="51">
        <f t="shared" ref="N14" si="7">F14</f>
        <v>10</v>
      </c>
      <c r="O14" s="51">
        <f t="shared" ref="O14" si="8">G14</f>
        <v>11</v>
      </c>
      <c r="P14" s="51">
        <f t="shared" ref="P14" si="9">H14</f>
        <v>12</v>
      </c>
      <c r="W14" s="303" t="s">
        <v>606</v>
      </c>
      <c r="X14" s="303" t="s" vm="8">
        <v>588</v>
      </c>
      <c r="AC14" s="51"/>
    </row>
    <row r="15" spans="1:29">
      <c r="D15" s="51" t="s">
        <v>94</v>
      </c>
      <c r="E15" s="588" t="s">
        <v>798</v>
      </c>
      <c r="F15" s="588" t="s">
        <v>799</v>
      </c>
      <c r="G15" s="588" t="s">
        <v>800</v>
      </c>
      <c r="H15" s="588" t="s">
        <v>801</v>
      </c>
      <c r="L15" s="51" t="s">
        <v>94</v>
      </c>
      <c r="M15" s="588" t="s">
        <v>798</v>
      </c>
      <c r="N15" s="588" t="s">
        <v>799</v>
      </c>
      <c r="O15" s="588" t="s">
        <v>800</v>
      </c>
      <c r="P15" s="588" t="s">
        <v>801</v>
      </c>
      <c r="W15" s="496" t="s">
        <v>587</v>
      </c>
      <c r="X15" s="303" t="s" vm="9">
        <v>802</v>
      </c>
      <c r="AC15" s="51"/>
    </row>
    <row r="16" spans="1:29">
      <c r="C16" s="51">
        <f t="shared" ref="C16:D23" si="10">C4</f>
        <v>2</v>
      </c>
      <c r="D16" s="51" t="str">
        <f t="shared" si="10"/>
        <v>Central</v>
      </c>
      <c r="E16" s="590">
        <f>INDEX(DSS_Calc!$JK:$JK,MATCH($C16*1000+E$14,DSS_Calc!$A:$A,0))</f>
        <v>1.7793353462022453E-2</v>
      </c>
      <c r="F16" s="590">
        <f>INDEX(DSS_Calc!$JK:$JK,MATCH($C16*1000+F$14,DSS_Calc!$A:$A,0))</f>
        <v>3.1011848370938819E-2</v>
      </c>
      <c r="G16" s="590">
        <f>INDEX(DSS_Calc!$JK:$JK,MATCH($C16*1000+G$14,DSS_Calc!$A:$A,0))</f>
        <v>4.5595552333455087E-2</v>
      </c>
      <c r="H16" s="590">
        <f>INDEX(DSS_Calc!$JK:$JK,MATCH($C16*1000+H$14,DSS_Calc!$A:$A,0))</f>
        <v>6.1557068451807646E-2</v>
      </c>
      <c r="K16" s="51">
        <f t="shared" ref="K16:L23" si="11">K4</f>
        <v>2</v>
      </c>
      <c r="L16" s="51" t="str">
        <f t="shared" si="11"/>
        <v>Central</v>
      </c>
      <c r="M16" s="591">
        <f>INDEX(DSS_Calc!$JD:$JD,MATCH($C16*1000+M$14,DSS_Calc!$A:$A,0))</f>
        <v>2197.8179252213604</v>
      </c>
      <c r="N16" s="591">
        <f>INDEX(DSS_Calc!$JD:$JD,MATCH($C16*1000+N$14,DSS_Calc!$A:$A,0))</f>
        <v>2266.5735775069015</v>
      </c>
      <c r="O16" s="591">
        <f>INDEX(DSS_Calc!$JD:$JD,MATCH($C16*1000+O$14,DSS_Calc!$A:$A,0))</f>
        <v>2349.5022536694164</v>
      </c>
      <c r="P16" s="591">
        <f>INDEX(DSS_Calc!$JD:$JD,MATCH($C16*1000+P$14,DSS_Calc!$A:$A,0))</f>
        <v>2446.0159379715974</v>
      </c>
      <c r="W16" s="303" t="s">
        <v>803</v>
      </c>
      <c r="X16" s="303" t="s" vm="10">
        <v>588</v>
      </c>
      <c r="AC16" s="51"/>
    </row>
    <row r="17" spans="3:29">
      <c r="C17" s="51">
        <f t="shared" si="10"/>
        <v>3</v>
      </c>
      <c r="D17" s="51" t="str">
        <f t="shared" si="10"/>
        <v>Mid-Atlantic</v>
      </c>
      <c r="E17" s="590">
        <f>INDEX(DSS_Calc!$JK:$JK,MATCH($C17*1000+E$14,DSS_Calc!$A:$A,0))</f>
        <v>4.1045710753517442E-2</v>
      </c>
      <c r="F17" s="590">
        <f>INDEX(DSS_Calc!$JK:$JK,MATCH($C17*1000+F$14,DSS_Calc!$A:$A,0))</f>
        <v>5.2816288259067028E-2</v>
      </c>
      <c r="G17" s="590">
        <f>INDEX(DSS_Calc!$JK:$JK,MATCH($C17*1000+G$14,DSS_Calc!$A:$A,0))</f>
        <v>6.5834730065027769E-2</v>
      </c>
      <c r="H17" s="590">
        <f>INDEX(DSS_Calc!$JK:$JK,MATCH($C17*1000+H$14,DSS_Calc!$A:$A,0))</f>
        <v>8.0107280663112179E-2</v>
      </c>
      <c r="K17" s="51">
        <f t="shared" si="11"/>
        <v>3</v>
      </c>
      <c r="L17" s="51" t="str">
        <f t="shared" si="11"/>
        <v>Mid-Atlantic</v>
      </c>
      <c r="M17" s="591">
        <f>INDEX(DSS_Calc!$JD:$JD,MATCH($C17*1000+M$14,DSS_Calc!$A:$A,0))</f>
        <v>2695.3020903801976</v>
      </c>
      <c r="N17" s="591">
        <f>INDEX(DSS_Calc!$JD:$JD,MATCH($C17*1000+N$14,DSS_Calc!$A:$A,0))</f>
        <v>2754.3507805648442</v>
      </c>
      <c r="O17" s="591">
        <f>INDEX(DSS_Calc!$JD:$JD,MATCH($C17*1000+O$14,DSS_Calc!$A:$A,0))</f>
        <v>2826.2394263874658</v>
      </c>
      <c r="P17" s="591">
        <f>INDEX(DSS_Calc!$JD:$JD,MATCH($C17*1000+P$14,DSS_Calc!$A:$A,0))</f>
        <v>2910.4249039119218</v>
      </c>
      <c r="W17" s="303" t="s">
        <v>95</v>
      </c>
      <c r="X17" s="303" t="s" vm="11">
        <v>630</v>
      </c>
      <c r="AC17" s="51"/>
    </row>
    <row r="18" spans="3:29">
      <c r="C18" s="51">
        <f t="shared" si="10"/>
        <v>4</v>
      </c>
      <c r="D18" s="51" t="str">
        <f t="shared" si="10"/>
        <v>Midwest</v>
      </c>
      <c r="E18" s="590">
        <f>INDEX(DSS_Calc!$JK:$JK,MATCH($C18*1000+E$14,DSS_Calc!$A:$A,0))</f>
        <v>5.1784695348101102E-2</v>
      </c>
      <c r="F18" s="590">
        <f>INDEX(DSS_Calc!$JK:$JK,MATCH($C18*1000+F$14,DSS_Calc!$A:$A,0))</f>
        <v>6.6091544384857384E-2</v>
      </c>
      <c r="G18" s="590">
        <f>INDEX(DSS_Calc!$JK:$JK,MATCH($C18*1000+G$14,DSS_Calc!$A:$A,0))</f>
        <v>8.1404319058013486E-2</v>
      </c>
      <c r="H18" s="590">
        <f>INDEX(DSS_Calc!$JK:$JK,MATCH($C18*1000+H$14,DSS_Calc!$A:$A,0))</f>
        <v>9.7731522216072994E-2</v>
      </c>
      <c r="K18" s="51">
        <f t="shared" si="11"/>
        <v>4</v>
      </c>
      <c r="L18" s="51" t="str">
        <f t="shared" si="11"/>
        <v>Midwest</v>
      </c>
      <c r="M18" s="591">
        <f>INDEX(DSS_Calc!$JD:$JD,MATCH($C18*1000+M$14,DSS_Calc!$A:$A,0))</f>
        <v>2714.6171498197705</v>
      </c>
      <c r="N18" s="591">
        <f>INDEX(DSS_Calc!$JD:$JD,MATCH($C18*1000+N$14,DSS_Calc!$A:$A,0))</f>
        <v>2813.2117584638509</v>
      </c>
      <c r="O18" s="591">
        <f>INDEX(DSS_Calc!$JD:$JD,MATCH($C18*1000+O$14,DSS_Calc!$A:$A,0))</f>
        <v>2920.0964333917182</v>
      </c>
      <c r="P18" s="591">
        <f>INDEX(DSS_Calc!$JD:$JD,MATCH($C18*1000+P$14,DSS_Calc!$A:$A,0))</f>
        <v>3034.8305539788003</v>
      </c>
      <c r="W18" s="303"/>
      <c r="X18" s="303"/>
      <c r="AC18" s="51"/>
    </row>
    <row r="19" spans="3:29" ht="30">
      <c r="C19" s="51">
        <f t="shared" si="10"/>
        <v>5</v>
      </c>
      <c r="D19" s="51" t="str">
        <f t="shared" si="10"/>
        <v>Mountain</v>
      </c>
      <c r="E19" s="590">
        <f>INDEX(DSS_Calc!$JK:$JK,MATCH($C19*1000+E$14,DSS_Calc!$A:$A,0))</f>
        <v>1.6632050592702702E-2</v>
      </c>
      <c r="F19" s="590">
        <f>INDEX(DSS_Calc!$JK:$JK,MATCH($C19*1000+F$14,DSS_Calc!$A:$A,0))</f>
        <v>3.0394716692934639E-2</v>
      </c>
      <c r="G19" s="590">
        <f>INDEX(DSS_Calc!$JK:$JK,MATCH($C19*1000+G$14,DSS_Calc!$A:$A,0))</f>
        <v>4.5366250551918237E-2</v>
      </c>
      <c r="H19" s="590">
        <f>INDEX(DSS_Calc!$JK:$JK,MATCH($C19*1000+H$14,DSS_Calc!$A:$A,0))</f>
        <v>6.1554487129964926E-2</v>
      </c>
      <c r="K19" s="51">
        <f t="shared" si="11"/>
        <v>5</v>
      </c>
      <c r="L19" s="51" t="str">
        <f t="shared" si="11"/>
        <v>Mountain</v>
      </c>
      <c r="M19" s="591">
        <f>INDEX(DSS_Calc!$JD:$JD,MATCH($C19*1000+M$14,DSS_Calc!$A:$A,0))</f>
        <v>1998.9227020747833</v>
      </c>
      <c r="N19" s="591">
        <f>INDEX(DSS_Calc!$JD:$JD,MATCH($C19*1000+N$14,DSS_Calc!$A:$A,0))</f>
        <v>2090.2279982651066</v>
      </c>
      <c r="O19" s="591">
        <f>INDEX(DSS_Calc!$JD:$JD,MATCH($C19*1000+O$14,DSS_Calc!$A:$A,0))</f>
        <v>2192.2066284161847</v>
      </c>
      <c r="P19" s="591">
        <f>INDEX(DSS_Calc!$JD:$JD,MATCH($C19*1000+P$14,DSS_Calc!$A:$A,0))</f>
        <v>2304.2186228286832</v>
      </c>
      <c r="W19" s="496" t="s">
        <v>804</v>
      </c>
      <c r="X19" s="496"/>
      <c r="AC19" s="51"/>
    </row>
    <row r="20" spans="3:29">
      <c r="C20" s="51">
        <f t="shared" si="10"/>
        <v>6</v>
      </c>
      <c r="D20" s="51" t="str">
        <f t="shared" si="10"/>
        <v>Northeast</v>
      </c>
      <c r="E20" s="590">
        <f>INDEX(DSS_Calc!$JK:$JK,MATCH($C20*1000+E$14,DSS_Calc!$A:$A,0))</f>
        <v>3.5431473681313393E-2</v>
      </c>
      <c r="F20" s="590">
        <f>INDEX(DSS_Calc!$JK:$JK,MATCH($C20*1000+F$14,DSS_Calc!$A:$A,0))</f>
        <v>4.8591899730166511E-2</v>
      </c>
      <c r="G20" s="590">
        <f>INDEX(DSS_Calc!$JK:$JK,MATCH($C20*1000+G$14,DSS_Calc!$A:$A,0))</f>
        <v>6.295117220394332E-2</v>
      </c>
      <c r="H20" s="590">
        <f>INDEX(DSS_Calc!$JK:$JK,MATCH($C20*1000+H$14,DSS_Calc!$A:$A,0))</f>
        <v>7.852000534856711E-2</v>
      </c>
      <c r="K20" s="51">
        <f t="shared" si="11"/>
        <v>6</v>
      </c>
      <c r="L20" s="51" t="str">
        <f t="shared" si="11"/>
        <v>Northeast</v>
      </c>
      <c r="M20" s="591">
        <f>INDEX(DSS_Calc!$JD:$JD,MATCH($C20*1000+M$14,DSS_Calc!$A:$A,0))</f>
        <v>2530.4478053475768</v>
      </c>
      <c r="N20" s="591">
        <f>INDEX(DSS_Calc!$JD:$JD,MATCH($C20*1000+N$14,DSS_Calc!$A:$A,0))</f>
        <v>2606.4837812356973</v>
      </c>
      <c r="O20" s="591">
        <f>INDEX(DSS_Calc!$JD:$JD,MATCH($C20*1000+O$14,DSS_Calc!$A:$A,0))</f>
        <v>2693.9575976078572</v>
      </c>
      <c r="P20" s="591">
        <f>INDEX(DSS_Calc!$JD:$JD,MATCH($C20*1000+P$14,DSS_Calc!$A:$A,0))</f>
        <v>2792.3931577786725</v>
      </c>
      <c r="W20" s="303" t="s">
        <v>597</v>
      </c>
      <c r="X20" s="303" t="s">
        <v>805</v>
      </c>
      <c r="AC20" s="51"/>
    </row>
    <row r="21" spans="3:29">
      <c r="C21" s="51">
        <f t="shared" si="10"/>
        <v>7</v>
      </c>
      <c r="D21" s="51" t="str">
        <f t="shared" si="10"/>
        <v>Northwest</v>
      </c>
      <c r="E21" s="590" t="e">
        <f>INDEX(DSS_Calc!$JK:$JK,MATCH($C21*1000+E$14,DSS_Calc!$A:$A,0))</f>
        <v>#N/A</v>
      </c>
      <c r="F21" s="590" t="e">
        <f>INDEX(DSS_Calc!$JK:$JK,MATCH($C21*1000+F$14,DSS_Calc!$A:$A,0))</f>
        <v>#N/A</v>
      </c>
      <c r="G21" s="590" t="e">
        <f>INDEX(DSS_Calc!$JK:$JK,MATCH($C21*1000+G$14,DSS_Calc!$A:$A,0))</f>
        <v>#N/A</v>
      </c>
      <c r="H21" s="590" t="e">
        <f>INDEX(DSS_Calc!$JK:$JK,MATCH($C21*1000+H$14,DSS_Calc!$A:$A,0))</f>
        <v>#N/A</v>
      </c>
      <c r="K21" s="51">
        <f t="shared" si="11"/>
        <v>7</v>
      </c>
      <c r="L21" s="51" t="str">
        <f t="shared" si="11"/>
        <v>Northwest</v>
      </c>
      <c r="M21" s="591" t="e">
        <f>INDEX(DSS_Calc!$JD:$JD,MATCH($C21*1000+M$14,DSS_Calc!$A:$A,0))</f>
        <v>#N/A</v>
      </c>
      <c r="N21" s="591" t="e">
        <f>INDEX(DSS_Calc!$JD:$JD,MATCH($C21*1000+N$14,DSS_Calc!$A:$A,0))</f>
        <v>#N/A</v>
      </c>
      <c r="O21" s="591" t="e">
        <f>INDEX(DSS_Calc!$JD:$JD,MATCH($C21*1000+O$14,DSS_Calc!$A:$A,0))</f>
        <v>#N/A</v>
      </c>
      <c r="P21" s="591" t="e">
        <f>INDEX(DSS_Calc!$JD:$JD,MATCH($C21*1000+P$14,DSS_Calc!$A:$A,0))</f>
        <v>#N/A</v>
      </c>
      <c r="W21" s="303" t="s">
        <v>785</v>
      </c>
      <c r="X21" s="594">
        <v>0.17010684364637912</v>
      </c>
      <c r="AC21" s="51"/>
    </row>
    <row r="22" spans="3:29">
      <c r="C22" s="51">
        <f t="shared" si="10"/>
        <v>8</v>
      </c>
      <c r="D22" s="51" t="str">
        <f t="shared" si="10"/>
        <v>Southeast</v>
      </c>
      <c r="E22" s="590" t="e">
        <f>INDEX(DSS_Calc!$JK:$JK,MATCH($C22*1000+E$14,DSS_Calc!$A:$A,0))</f>
        <v>#N/A</v>
      </c>
      <c r="F22" s="590" t="e">
        <f>INDEX(DSS_Calc!$JK:$JK,MATCH($C22*1000+F$14,DSS_Calc!$A:$A,0))</f>
        <v>#N/A</v>
      </c>
      <c r="G22" s="590" t="e">
        <f>INDEX(DSS_Calc!$JK:$JK,MATCH($C22*1000+G$14,DSS_Calc!$A:$A,0))</f>
        <v>#N/A</v>
      </c>
      <c r="H22" s="590" t="e">
        <f>INDEX(DSS_Calc!$JK:$JK,MATCH($C22*1000+H$14,DSS_Calc!$A:$A,0))</f>
        <v>#N/A</v>
      </c>
      <c r="K22" s="51">
        <f t="shared" si="11"/>
        <v>8</v>
      </c>
      <c r="L22" s="51" t="str">
        <f t="shared" si="11"/>
        <v>Southeast</v>
      </c>
      <c r="M22" s="591" t="e">
        <f>INDEX(DSS_Calc!$JD:$JD,MATCH($C22*1000+M$14,DSS_Calc!$A:$A,0))</f>
        <v>#N/A</v>
      </c>
      <c r="N22" s="591" t="e">
        <f>INDEX(DSS_Calc!$JD:$JD,MATCH($C22*1000+N$14,DSS_Calc!$A:$A,0))</f>
        <v>#N/A</v>
      </c>
      <c r="O22" s="591" t="e">
        <f>INDEX(DSS_Calc!$JD:$JD,MATCH($C22*1000+O$14,DSS_Calc!$A:$A,0))</f>
        <v>#N/A</v>
      </c>
      <c r="P22" s="591" t="e">
        <f>INDEX(DSS_Calc!$JD:$JD,MATCH($C22*1000+P$14,DSS_Calc!$A:$A,0))</f>
        <v>#N/A</v>
      </c>
      <c r="W22" s="303" t="s">
        <v>786</v>
      </c>
      <c r="X22" s="594">
        <v>6.5024647574604202E-2</v>
      </c>
      <c r="AC22" s="51"/>
    </row>
    <row r="23" spans="3:29">
      <c r="C23" s="51">
        <f t="shared" si="10"/>
        <v>9</v>
      </c>
      <c r="D23" s="51" t="str">
        <f t="shared" si="10"/>
        <v>West</v>
      </c>
      <c r="E23" s="590" t="e">
        <f>INDEX(DSS_Calc!$JK:$JK,MATCH($C23*1000+E$14,DSS_Calc!$A:$A,0))</f>
        <v>#N/A</v>
      </c>
      <c r="F23" s="590" t="e">
        <f>INDEX(DSS_Calc!$JK:$JK,MATCH($C23*1000+F$14,DSS_Calc!$A:$A,0))</f>
        <v>#N/A</v>
      </c>
      <c r="G23" s="590" t="e">
        <f>INDEX(DSS_Calc!$JK:$JK,MATCH($C23*1000+G$14,DSS_Calc!$A:$A,0))</f>
        <v>#N/A</v>
      </c>
      <c r="H23" s="590" t="e">
        <f>INDEX(DSS_Calc!$JK:$JK,MATCH($C23*1000+H$14,DSS_Calc!$A:$A,0))</f>
        <v>#N/A</v>
      </c>
      <c r="K23" s="51">
        <f t="shared" si="11"/>
        <v>9</v>
      </c>
      <c r="L23" s="51" t="str">
        <f t="shared" si="11"/>
        <v>West</v>
      </c>
      <c r="M23" s="591" t="e">
        <f>INDEX(DSS_Calc!$JD:$JD,MATCH($C23*1000+M$14,DSS_Calc!$A:$A,0))</f>
        <v>#N/A</v>
      </c>
      <c r="N23" s="591" t="e">
        <f>INDEX(DSS_Calc!$JD:$JD,MATCH($C23*1000+N$14,DSS_Calc!$A:$A,0))</f>
        <v>#N/A</v>
      </c>
      <c r="O23" s="591" t="e">
        <f>INDEX(DSS_Calc!$JD:$JD,MATCH($C23*1000+O$14,DSS_Calc!$A:$A,0))</f>
        <v>#N/A</v>
      </c>
      <c r="P23" s="591" t="e">
        <f>INDEX(DSS_Calc!$JD:$JD,MATCH($C23*1000+P$14,DSS_Calc!$A:$A,0))</f>
        <v>#N/A</v>
      </c>
      <c r="W23" s="303" t="s">
        <v>787</v>
      </c>
      <c r="X23" s="594">
        <v>8.5536837985879188E-2</v>
      </c>
      <c r="AC23" s="51"/>
    </row>
    <row r="24" spans="3:29">
      <c r="W24" s="303" t="s">
        <v>788</v>
      </c>
      <c r="X24" s="594">
        <v>8.6198489235582682E-2</v>
      </c>
      <c r="AC24" s="51"/>
    </row>
    <row r="25" spans="3:29">
      <c r="W25" s="303" t="s">
        <v>789</v>
      </c>
      <c r="X25" s="594">
        <v>0.18233035748668419</v>
      </c>
      <c r="AC25" s="51"/>
    </row>
    <row r="26" spans="3:29">
      <c r="D26" s="51" t="s">
        <v>806</v>
      </c>
      <c r="E26" s="51">
        <v>1</v>
      </c>
      <c r="F26" s="51">
        <f>E26+1</f>
        <v>2</v>
      </c>
      <c r="G26" s="51">
        <f>F26+1</f>
        <v>3</v>
      </c>
      <c r="H26" s="51">
        <f>G26+1</f>
        <v>4</v>
      </c>
      <c r="I26" s="51" t="s">
        <v>657</v>
      </c>
      <c r="L26" s="51" t="s">
        <v>807</v>
      </c>
      <c r="M26" s="51">
        <v>1</v>
      </c>
      <c r="N26" s="51">
        <f>M26+1</f>
        <v>2</v>
      </c>
      <c r="O26" s="51">
        <f>N26+1</f>
        <v>3</v>
      </c>
      <c r="P26" s="51">
        <f>O26+1</f>
        <v>4</v>
      </c>
      <c r="Q26" s="51" t="s">
        <v>657</v>
      </c>
      <c r="W26" s="303" t="s">
        <v>791</v>
      </c>
      <c r="X26" s="594">
        <v>1.4030815063852686E-2</v>
      </c>
      <c r="AC26" s="51"/>
    </row>
    <row r="27" spans="3:29">
      <c r="D27" s="51" t="s">
        <v>94</v>
      </c>
      <c r="E27" s="588" t="s">
        <v>798</v>
      </c>
      <c r="F27" s="588" t="s">
        <v>799</v>
      </c>
      <c r="G27" s="588" t="s">
        <v>800</v>
      </c>
      <c r="H27" s="588" t="s">
        <v>801</v>
      </c>
      <c r="I27" s="51" t="s">
        <v>816</v>
      </c>
      <c r="L27" s="51" t="s">
        <v>94</v>
      </c>
      <c r="M27" s="588" t="s">
        <v>798</v>
      </c>
      <c r="N27" s="588" t="s">
        <v>799</v>
      </c>
      <c r="O27" s="588" t="s">
        <v>800</v>
      </c>
      <c r="P27" s="588" t="s">
        <v>801</v>
      </c>
      <c r="Q27" s="51" t="s">
        <v>816</v>
      </c>
      <c r="W27" s="303" t="s">
        <v>792</v>
      </c>
      <c r="X27" s="594">
        <v>0.1825698766285162</v>
      </c>
      <c r="AC27" s="51"/>
    </row>
    <row r="28" spans="3:29">
      <c r="C28" s="51">
        <f t="shared" ref="C28:D35" si="12">C16</f>
        <v>2</v>
      </c>
      <c r="D28" s="51" t="str">
        <f t="shared" si="12"/>
        <v>Central</v>
      </c>
      <c r="E28" s="590">
        <f>(E16+1)/(1+E4)-1</f>
        <v>1.1796773250498882E-2</v>
      </c>
      <c r="F28" s="590">
        <f t="shared" ref="F28:G28" si="13">(F16+1)/(1+F4)-1</f>
        <v>2.4937388141111461E-2</v>
      </c>
      <c r="G28" s="590">
        <f t="shared" si="13"/>
        <v>3.9435168619951E-2</v>
      </c>
      <c r="H28" s="590">
        <f>(H16+1)/(1+H4)-1</f>
        <v>5.5302643534973273E-2</v>
      </c>
      <c r="I28" s="595">
        <f>SUM(E28:G28)-H28</f>
        <v>2.086668647658807E-2</v>
      </c>
      <c r="K28" s="51">
        <f t="shared" ref="K28:L35" si="14">K16</f>
        <v>2</v>
      </c>
      <c r="L28" s="51" t="str">
        <f t="shared" si="14"/>
        <v>Central</v>
      </c>
      <c r="M28" s="591">
        <f>M16-M4</f>
        <v>54.137585787887474</v>
      </c>
      <c r="N28" s="591">
        <f t="shared" ref="N28:P28" si="15">N16-N4</f>
        <v>122.89323807342862</v>
      </c>
      <c r="O28" s="591">
        <f t="shared" si="15"/>
        <v>205.8219142359435</v>
      </c>
      <c r="P28" s="591">
        <f t="shared" si="15"/>
        <v>302.33559853812449</v>
      </c>
      <c r="Q28" s="592">
        <f>SUM(M28:O28)-P28</f>
        <v>80.517139559135103</v>
      </c>
      <c r="W28" s="303" t="s">
        <v>794</v>
      </c>
      <c r="X28" s="594">
        <v>0.21420213237850164</v>
      </c>
      <c r="AC28" s="51"/>
    </row>
    <row r="29" spans="3:29">
      <c r="C29" s="51">
        <f t="shared" si="12"/>
        <v>3</v>
      </c>
      <c r="D29" s="51" t="str">
        <f t="shared" si="12"/>
        <v>Mid-Atlantic</v>
      </c>
      <c r="E29" s="590">
        <f t="shared" ref="E29:H35" si="16">(E17+1)/(1+E5)-1</f>
        <v>1.021751634735879E-2</v>
      </c>
      <c r="F29" s="590">
        <f t="shared" si="16"/>
        <v>2.1639535045292702E-2</v>
      </c>
      <c r="G29" s="590">
        <f t="shared" si="16"/>
        <v>3.4272465388390794E-2</v>
      </c>
      <c r="H29" s="590">
        <f t="shared" si="16"/>
        <v>4.8122366951985684E-2</v>
      </c>
      <c r="I29" s="595">
        <f t="shared" ref="I29:I35" si="17">SUM(E29:G29)-H29</f>
        <v>1.8007149829056601E-2</v>
      </c>
      <c r="K29" s="51">
        <f t="shared" si="14"/>
        <v>3</v>
      </c>
      <c r="L29" s="51" t="str">
        <f t="shared" si="14"/>
        <v>Mid-Atlantic</v>
      </c>
      <c r="M29" s="591">
        <f t="shared" ref="M29:P35" si="18">M17-M5</f>
        <v>59.388664991499354</v>
      </c>
      <c r="N29" s="591">
        <f t="shared" si="18"/>
        <v>118.43735517614596</v>
      </c>
      <c r="O29" s="591">
        <f t="shared" si="18"/>
        <v>190.32600099876754</v>
      </c>
      <c r="P29" s="591">
        <f t="shared" si="18"/>
        <v>274.51147852322356</v>
      </c>
      <c r="Q29" s="592">
        <f t="shared" ref="Q29:Q35" si="19">SUM(M29:O29)-P29</f>
        <v>93.640542643189292</v>
      </c>
    </row>
    <row r="30" spans="3:29">
      <c r="C30" s="51">
        <f t="shared" si="12"/>
        <v>4</v>
      </c>
      <c r="D30" s="51" t="str">
        <f t="shared" si="12"/>
        <v>Midwest</v>
      </c>
      <c r="E30" s="590">
        <f t="shared" si="16"/>
        <v>1.2815109447716466E-2</v>
      </c>
      <c r="F30" s="590">
        <f t="shared" si="16"/>
        <v>2.6591876629348032E-2</v>
      </c>
      <c r="G30" s="590">
        <f t="shared" si="16"/>
        <v>4.1337298981598325E-2</v>
      </c>
      <c r="H30" s="590">
        <f t="shared" si="16"/>
        <v>5.7059564314649647E-2</v>
      </c>
      <c r="I30" s="595">
        <f t="shared" si="17"/>
        <v>2.3684720744013177E-2</v>
      </c>
      <c r="K30" s="51">
        <f t="shared" si="14"/>
        <v>4</v>
      </c>
      <c r="L30" s="51" t="str">
        <f t="shared" si="14"/>
        <v>Midwest</v>
      </c>
      <c r="M30" s="591">
        <f t="shared" si="18"/>
        <v>89.845961783749317</v>
      </c>
      <c r="N30" s="591">
        <f t="shared" si="18"/>
        <v>188.4405704278297</v>
      </c>
      <c r="O30" s="591">
        <f t="shared" si="18"/>
        <v>295.32524535569701</v>
      </c>
      <c r="P30" s="591">
        <f t="shared" si="18"/>
        <v>410.0593659427791</v>
      </c>
      <c r="Q30" s="592">
        <f t="shared" si="19"/>
        <v>163.55241162449693</v>
      </c>
    </row>
    <row r="31" spans="3:29">
      <c r="C31" s="51">
        <f t="shared" si="12"/>
        <v>5</v>
      </c>
      <c r="D31" s="51" t="str">
        <f t="shared" si="12"/>
        <v>Mountain</v>
      </c>
      <c r="E31" s="590">
        <f t="shared" si="16"/>
        <v>1.2509477966140325E-2</v>
      </c>
      <c r="F31" s="590">
        <f t="shared" si="16"/>
        <v>2.6216334700043253E-2</v>
      </c>
      <c r="G31" s="590">
        <f t="shared" si="16"/>
        <v>4.1127157079757115E-2</v>
      </c>
      <c r="H31" s="590">
        <f t="shared" si="16"/>
        <v>5.7249748293829672E-2</v>
      </c>
      <c r="I31" s="595">
        <f t="shared" si="17"/>
        <v>2.2603221452111022E-2</v>
      </c>
      <c r="K31" s="51">
        <f t="shared" si="14"/>
        <v>5</v>
      </c>
      <c r="L31" s="51" t="str">
        <f t="shared" si="14"/>
        <v>Mountain</v>
      </c>
      <c r="M31" s="591">
        <f t="shared" si="18"/>
        <v>80.003936351516813</v>
      </c>
      <c r="N31" s="591">
        <f t="shared" si="18"/>
        <v>171.30923254184017</v>
      </c>
      <c r="O31" s="591">
        <f t="shared" si="18"/>
        <v>273.28786269291822</v>
      </c>
      <c r="P31" s="591">
        <f t="shared" si="18"/>
        <v>385.29985710541678</v>
      </c>
      <c r="Q31" s="592">
        <f t="shared" si="19"/>
        <v>139.30117448085844</v>
      </c>
    </row>
    <row r="32" spans="3:29">
      <c r="C32" s="51">
        <f t="shared" si="12"/>
        <v>6</v>
      </c>
      <c r="D32" s="51" t="str">
        <f t="shared" si="12"/>
        <v>Northeast</v>
      </c>
      <c r="E32" s="590">
        <f t="shared" si="16"/>
        <v>1.1697829860486619E-2</v>
      </c>
      <c r="F32" s="590">
        <f t="shared" si="16"/>
        <v>2.4556599187177897E-2</v>
      </c>
      <c r="G32" s="590">
        <f t="shared" si="16"/>
        <v>3.8586735578962639E-2</v>
      </c>
      <c r="H32" s="590">
        <f t="shared" si="16"/>
        <v>5.3798707695162484E-2</v>
      </c>
      <c r="I32" s="595">
        <f t="shared" si="17"/>
        <v>2.104245693146467E-2</v>
      </c>
      <c r="K32" s="51">
        <f t="shared" si="14"/>
        <v>6</v>
      </c>
      <c r="L32" s="51" t="str">
        <f t="shared" si="14"/>
        <v>Northeast</v>
      </c>
      <c r="M32" s="591">
        <f t="shared" si="18"/>
        <v>67.614548742431907</v>
      </c>
      <c r="N32" s="591">
        <f t="shared" si="18"/>
        <v>143.65052463055235</v>
      </c>
      <c r="O32" s="591">
        <f t="shared" si="18"/>
        <v>231.1243410027123</v>
      </c>
      <c r="P32" s="591">
        <f t="shared" si="18"/>
        <v>329.55990117352758</v>
      </c>
      <c r="Q32" s="592">
        <f t="shared" si="19"/>
        <v>112.82951320216898</v>
      </c>
    </row>
    <row r="33" spans="3:30">
      <c r="C33" s="51">
        <f t="shared" si="12"/>
        <v>7</v>
      </c>
      <c r="D33" s="51" t="str">
        <f t="shared" si="12"/>
        <v>Northwest</v>
      </c>
      <c r="E33" s="590" t="e">
        <f t="shared" si="16"/>
        <v>#N/A</v>
      </c>
      <c r="F33" s="590" t="e">
        <f t="shared" si="16"/>
        <v>#N/A</v>
      </c>
      <c r="G33" s="590" t="e">
        <f t="shared" si="16"/>
        <v>#N/A</v>
      </c>
      <c r="H33" s="590" t="e">
        <f t="shared" si="16"/>
        <v>#N/A</v>
      </c>
      <c r="I33" s="595" t="e">
        <f t="shared" si="17"/>
        <v>#N/A</v>
      </c>
      <c r="K33" s="51">
        <f t="shared" si="14"/>
        <v>7</v>
      </c>
      <c r="L33" s="51" t="str">
        <f t="shared" si="14"/>
        <v>Northwest</v>
      </c>
      <c r="M33" s="591" t="e">
        <f t="shared" si="18"/>
        <v>#N/A</v>
      </c>
      <c r="N33" s="591" t="e">
        <f t="shared" si="18"/>
        <v>#N/A</v>
      </c>
      <c r="O33" s="591" t="e">
        <f t="shared" si="18"/>
        <v>#N/A</v>
      </c>
      <c r="P33" s="591" t="e">
        <f t="shared" si="18"/>
        <v>#N/A</v>
      </c>
      <c r="Q33" s="592" t="e">
        <f t="shared" si="19"/>
        <v>#N/A</v>
      </c>
    </row>
    <row r="34" spans="3:30">
      <c r="C34" s="51">
        <f t="shared" si="12"/>
        <v>8</v>
      </c>
      <c r="D34" s="51" t="str">
        <f t="shared" si="12"/>
        <v>Southeast</v>
      </c>
      <c r="E34" s="590" t="e">
        <f t="shared" si="16"/>
        <v>#N/A</v>
      </c>
      <c r="F34" s="590" t="e">
        <f t="shared" si="16"/>
        <v>#N/A</v>
      </c>
      <c r="G34" s="590" t="e">
        <f t="shared" si="16"/>
        <v>#N/A</v>
      </c>
      <c r="H34" s="590" t="e">
        <f t="shared" si="16"/>
        <v>#N/A</v>
      </c>
      <c r="I34" s="595" t="e">
        <f t="shared" si="17"/>
        <v>#N/A</v>
      </c>
      <c r="K34" s="51">
        <f t="shared" si="14"/>
        <v>8</v>
      </c>
      <c r="L34" s="51" t="str">
        <f t="shared" si="14"/>
        <v>Southeast</v>
      </c>
      <c r="M34" s="591" t="e">
        <f t="shared" si="18"/>
        <v>#N/A</v>
      </c>
      <c r="N34" s="591" t="e">
        <f t="shared" si="18"/>
        <v>#N/A</v>
      </c>
      <c r="O34" s="591" t="e">
        <f t="shared" si="18"/>
        <v>#N/A</v>
      </c>
      <c r="P34" s="591" t="e">
        <f t="shared" si="18"/>
        <v>#N/A</v>
      </c>
      <c r="Q34" s="592" t="e">
        <f t="shared" si="19"/>
        <v>#N/A</v>
      </c>
    </row>
    <row r="35" spans="3:30">
      <c r="C35" s="51">
        <f t="shared" si="12"/>
        <v>9</v>
      </c>
      <c r="D35" s="51" t="str">
        <f t="shared" si="12"/>
        <v>West</v>
      </c>
      <c r="E35" s="590" t="e">
        <f t="shared" si="16"/>
        <v>#N/A</v>
      </c>
      <c r="F35" s="590" t="e">
        <f t="shared" si="16"/>
        <v>#N/A</v>
      </c>
      <c r="G35" s="590" t="e">
        <f t="shared" si="16"/>
        <v>#N/A</v>
      </c>
      <c r="H35" s="590" t="e">
        <f t="shared" si="16"/>
        <v>#N/A</v>
      </c>
      <c r="I35" s="595" t="e">
        <f t="shared" si="17"/>
        <v>#N/A</v>
      </c>
      <c r="K35" s="51">
        <f t="shared" si="14"/>
        <v>9</v>
      </c>
      <c r="L35" s="51" t="str">
        <f t="shared" si="14"/>
        <v>West</v>
      </c>
      <c r="M35" s="591" t="e">
        <f t="shared" si="18"/>
        <v>#N/A</v>
      </c>
      <c r="N35" s="591" t="e">
        <f t="shared" si="18"/>
        <v>#N/A</v>
      </c>
      <c r="O35" s="591" t="e">
        <f t="shared" si="18"/>
        <v>#N/A</v>
      </c>
      <c r="P35" s="591" t="e">
        <f t="shared" si="18"/>
        <v>#N/A</v>
      </c>
      <c r="Q35" s="592" t="e">
        <f t="shared" si="19"/>
        <v>#N/A</v>
      </c>
    </row>
    <row r="37" spans="3:30">
      <c r="H37" s="595"/>
      <c r="V37" s="54">
        <v>2</v>
      </c>
      <c r="W37" s="54">
        <f>V37</f>
        <v>2</v>
      </c>
      <c r="X37" s="54">
        <f>W37+1</f>
        <v>3</v>
      </c>
      <c r="Y37" s="54">
        <f>X37</f>
        <v>3</v>
      </c>
      <c r="Z37" s="54">
        <f>Y37+1</f>
        <v>4</v>
      </c>
      <c r="AA37" s="54">
        <f>Z37</f>
        <v>4</v>
      </c>
      <c r="AB37" s="54">
        <f>AA37+1</f>
        <v>5</v>
      </c>
      <c r="AC37" s="54">
        <f>AB37</f>
        <v>5</v>
      </c>
    </row>
    <row r="38" spans="3:30">
      <c r="R38" s="1139" t="s">
        <v>808</v>
      </c>
      <c r="S38" s="1139"/>
      <c r="T38" s="1139"/>
      <c r="U38" s="1139"/>
      <c r="V38" s="1139"/>
      <c r="W38" s="1139"/>
      <c r="X38" s="1139"/>
      <c r="Y38" s="1139"/>
      <c r="Z38" s="1139"/>
      <c r="AA38" s="1139"/>
      <c r="AB38" s="1139"/>
      <c r="AC38" s="1139"/>
    </row>
    <row r="39" spans="3:30">
      <c r="R39" s="596" t="s">
        <v>809</v>
      </c>
      <c r="S39" s="1149" t="s">
        <v>810</v>
      </c>
      <c r="T39" s="1150" t="s">
        <v>811</v>
      </c>
      <c r="U39" s="1150"/>
      <c r="V39" s="1151" t="str">
        <f>E27</f>
        <v>+ $500 Cust. Cash</v>
      </c>
      <c r="W39" s="1152"/>
      <c r="X39" s="1150" t="str">
        <f>F27</f>
        <v>+ $500 Combo Cash</v>
      </c>
      <c r="Y39" s="1150"/>
      <c r="Z39" s="1150" t="str">
        <f>G27</f>
        <v>+ $500 Lease</v>
      </c>
      <c r="AA39" s="1150"/>
      <c r="AB39" s="1150" t="str">
        <f>H27</f>
        <v>+ $500 Bonus Cash</v>
      </c>
      <c r="AC39" s="1150"/>
      <c r="AD39" s="597"/>
    </row>
    <row r="40" spans="3:30">
      <c r="D40" s="51" t="s">
        <v>17</v>
      </c>
      <c r="L40" s="51" t="s">
        <v>812</v>
      </c>
      <c r="R40" s="598"/>
      <c r="S40" s="1149"/>
      <c r="T40" s="599" t="s">
        <v>813</v>
      </c>
      <c r="U40" s="600" t="s">
        <v>814</v>
      </c>
      <c r="V40" s="601" t="s">
        <v>813</v>
      </c>
      <c r="W40" s="602" t="s">
        <v>814</v>
      </c>
      <c r="X40" s="599" t="s">
        <v>813</v>
      </c>
      <c r="Y40" s="600" t="s">
        <v>814</v>
      </c>
      <c r="Z40" s="599" t="s">
        <v>813</v>
      </c>
      <c r="AA40" s="600" t="s">
        <v>814</v>
      </c>
      <c r="AB40" s="599" t="s">
        <v>813</v>
      </c>
      <c r="AC40" s="600" t="s">
        <v>814</v>
      </c>
      <c r="AD40" s="603"/>
    </row>
    <row r="41" spans="3:30">
      <c r="C41" s="51">
        <f>C28</f>
        <v>2</v>
      </c>
      <c r="D41" s="51" t="str">
        <f>D28</f>
        <v>Central</v>
      </c>
      <c r="E41" s="591">
        <f>INDEX(DSS_Calc!$BX:$BX,MATCH($C41*1000+E$2,DSS_Calc!$A:$A,0))-M4</f>
        <v>17841.319660566529</v>
      </c>
      <c r="F41" s="591">
        <f>INDEX(DSS_Calc!$BX:$BX,MATCH($C41*1000+F$2,DSS_Calc!$A:$A,0))-N4</f>
        <v>17841.319660566529</v>
      </c>
      <c r="G41" s="591">
        <f>INDEX(DSS_Calc!$BX:$BX,MATCH($C41*1000+G$2,DSS_Calc!$A:$A,0))-O4</f>
        <v>17841.319660566529</v>
      </c>
      <c r="H41" s="591">
        <f>INDEX(DSS_Calc!$BX:$BX,MATCH($C41*1000+H$2,DSS_Calc!$A:$A,0))-P4</f>
        <v>17841.319660566529</v>
      </c>
      <c r="L41" s="51" t="str">
        <f t="shared" ref="L41:L48" si="20">L28</f>
        <v>Central</v>
      </c>
      <c r="M41" s="604">
        <f>IF(E28&gt;0,ABS(((E16+1)/(E4+1)-1)),((E16+1)/(E4+1)-1))/(M28/E41)</f>
        <v>3.8876872594577487</v>
      </c>
      <c r="N41" s="604">
        <f t="shared" ref="N41:P41" si="21">IF(F28&gt;0,ABS(((F16+1)/(F4+1)-1)),((F16+1)/(F4+1)-1))/(N28/F41)</f>
        <v>3.6203449457435046</v>
      </c>
      <c r="O41" s="604">
        <f t="shared" si="21"/>
        <v>3.4183699623468948</v>
      </c>
      <c r="P41" s="604">
        <f t="shared" si="21"/>
        <v>3.2634997206834107</v>
      </c>
      <c r="R41" s="598" t="str">
        <f>L41</f>
        <v>Central</v>
      </c>
      <c r="S41" s="605">
        <f>VLOOKUP($R41,$W$21:$X$28,2,0)</f>
        <v>0.17010684364637912</v>
      </c>
      <c r="T41" s="606">
        <f>VLOOKUP($R41,D4:$H$11,2,FALSE)</f>
        <v>5.9266646920201581E-3</v>
      </c>
      <c r="U41" s="607">
        <f>VLOOKUP($R41,$L$4:$R$11,7,0)</f>
        <v>38.131614579730922</v>
      </c>
      <c r="V41" s="608">
        <f>IFERROR(VLOOKUP($R41,$D$27:$H$35,V$37,FALSE),"")</f>
        <v>1.1796773250498882E-2</v>
      </c>
      <c r="W41" s="609">
        <f>IFERROR(VLOOKUP($R41,$L$27:$P$35,W$37,FALSE),"")</f>
        <v>54.137585787887474</v>
      </c>
      <c r="X41" s="606">
        <f t="shared" ref="X41:X48" si="22">IFERROR(VLOOKUP($R41,$D$27:$H$35,X$37,FALSE),"")</f>
        <v>2.4937388141111461E-2</v>
      </c>
      <c r="Y41" s="610">
        <f t="shared" ref="Y41:Y48" si="23">IFERROR(VLOOKUP($R41,$L$27:$P$35,Y$37,FALSE),"")</f>
        <v>122.89323807342862</v>
      </c>
      <c r="Z41" s="606">
        <f t="shared" ref="Z41:Z48" si="24">IFERROR(VLOOKUP($R41,$D$27:$H$35,Z$37,FALSE),"")</f>
        <v>3.9435168619951E-2</v>
      </c>
      <c r="AA41" s="610">
        <f t="shared" ref="AA41:AA48" si="25">IFERROR(VLOOKUP($R41,$L$27:$P$35,AA$37,FALSE),"")</f>
        <v>205.8219142359435</v>
      </c>
      <c r="AB41" s="606">
        <f t="shared" ref="AB41:AB48" si="26">IFERROR(VLOOKUP($R41,$D$27:$H$35,AB$37,FALSE),"")</f>
        <v>5.5302643534973273E-2</v>
      </c>
      <c r="AC41" s="610">
        <f t="shared" ref="AC41:AC48" si="27">IFERROR(VLOOKUP($R41,$L$27:$P$35,AC$37,FALSE),"")</f>
        <v>302.33559853812449</v>
      </c>
    </row>
    <row r="42" spans="3:30">
      <c r="C42" s="51">
        <f t="shared" ref="C42:C48" si="28">C29</f>
        <v>3</v>
      </c>
      <c r="D42" s="51" t="str">
        <f t="shared" ref="D42:D48" si="29">D29</f>
        <v>Mid-Atlantic</v>
      </c>
      <c r="E42" s="591">
        <f>INDEX(DSS_Calc!$BX:$BX,MATCH($C42*1000+E$2,DSS_Calc!$A:$A,0))-M5</f>
        <v>17349.086574611301</v>
      </c>
      <c r="F42" s="591">
        <f>INDEX(DSS_Calc!$BX:$BX,MATCH($C42*1000+F$2,DSS_Calc!$A:$A,0))-N5</f>
        <v>17349.086574611301</v>
      </c>
      <c r="G42" s="591">
        <f>INDEX(DSS_Calc!$BX:$BX,MATCH($C42*1000+G$2,DSS_Calc!$A:$A,0))-O5</f>
        <v>17349.086574611301</v>
      </c>
      <c r="H42" s="591">
        <f>INDEX(DSS_Calc!$BX:$BX,MATCH($C42*1000+H$2,DSS_Calc!$A:$A,0))-P5</f>
        <v>17349.086574611301</v>
      </c>
      <c r="L42" s="51" t="str">
        <f t="shared" si="20"/>
        <v>Mid-Atlantic</v>
      </c>
      <c r="M42" s="604">
        <f t="shared" ref="M42:P48" si="30">IF(E29&gt;0,ABS(((E17+1)/(E5+1)-1)),((E17+1)/(E5+1)-1))/(M29/E42)</f>
        <v>2.9848216947326027</v>
      </c>
      <c r="N42" s="604">
        <f t="shared" si="30"/>
        <v>3.1698290322066529</v>
      </c>
      <c r="O42" s="604">
        <f t="shared" si="30"/>
        <v>3.1240921683233998</v>
      </c>
      <c r="P42" s="604">
        <f t="shared" si="30"/>
        <v>3.0413267777237336</v>
      </c>
      <c r="R42" s="611" t="str">
        <f t="shared" ref="R42:R48" si="31">L42</f>
        <v>Mid-Atlantic</v>
      </c>
      <c r="S42" s="612">
        <f t="shared" ref="S42:S48" si="32">VLOOKUP($R42,$W$21:$X$28,2,0)</f>
        <v>6.5024647574604202E-2</v>
      </c>
      <c r="T42" s="613">
        <f>VLOOKUP($R42,D5:$H$11,2,FALSE)</f>
        <v>3.0516392665238978E-2</v>
      </c>
      <c r="U42" s="614">
        <f t="shared" ref="U42:U48" si="33">VLOOKUP($R42,$L$4:$R$11,7,0)</f>
        <v>193.54210271240436</v>
      </c>
      <c r="V42" s="615">
        <f t="shared" ref="V42:V48" si="34">IFERROR(VLOOKUP($R42,$D$27:$H$35,V$37,FALSE),"")</f>
        <v>1.021751634735879E-2</v>
      </c>
      <c r="W42" s="616">
        <f t="shared" ref="W42:W48" si="35">IFERROR(VLOOKUP($R42,$L$27:$P$35,W$37,FALSE),"")</f>
        <v>59.388664991499354</v>
      </c>
      <c r="X42" s="613">
        <f t="shared" si="22"/>
        <v>2.1639535045292702E-2</v>
      </c>
      <c r="Y42" s="617">
        <f t="shared" si="23"/>
        <v>118.43735517614596</v>
      </c>
      <c r="Z42" s="613">
        <f t="shared" si="24"/>
        <v>3.4272465388390794E-2</v>
      </c>
      <c r="AA42" s="617">
        <f t="shared" si="25"/>
        <v>190.32600099876754</v>
      </c>
      <c r="AB42" s="613">
        <f t="shared" si="26"/>
        <v>4.8122366951985684E-2</v>
      </c>
      <c r="AC42" s="617">
        <f t="shared" si="27"/>
        <v>274.51147852322356</v>
      </c>
    </row>
    <row r="43" spans="3:30">
      <c r="C43" s="51">
        <f t="shared" si="28"/>
        <v>4</v>
      </c>
      <c r="D43" s="51" t="str">
        <f t="shared" si="29"/>
        <v>Midwest</v>
      </c>
      <c r="E43" s="591">
        <f>INDEX(DSS_Calc!$BX:$BX,MATCH($C43*1000+E$2,DSS_Calc!$A:$A,0))-M6</f>
        <v>17360.228811963978</v>
      </c>
      <c r="F43" s="591">
        <f>INDEX(DSS_Calc!$BX:$BX,MATCH($C43*1000+F$2,DSS_Calc!$A:$A,0))-N6</f>
        <v>17360.228811963978</v>
      </c>
      <c r="G43" s="591">
        <f>INDEX(DSS_Calc!$BX:$BX,MATCH($C43*1000+G$2,DSS_Calc!$A:$A,0))-O6</f>
        <v>17360.228811963978</v>
      </c>
      <c r="H43" s="591">
        <f>INDEX(DSS_Calc!$BX:$BX,MATCH($C43*1000+H$2,DSS_Calc!$A:$A,0))-P6</f>
        <v>17360.228811963978</v>
      </c>
      <c r="L43" s="51" t="str">
        <f t="shared" si="20"/>
        <v>Midwest</v>
      </c>
      <c r="M43" s="604">
        <f t="shared" si="30"/>
        <v>2.4761628441152546</v>
      </c>
      <c r="N43" s="604">
        <f t="shared" si="30"/>
        <v>2.4497965686311796</v>
      </c>
      <c r="O43" s="604">
        <f t="shared" si="30"/>
        <v>2.429947930542772</v>
      </c>
      <c r="P43" s="604">
        <f t="shared" si="30"/>
        <v>2.415667522032698</v>
      </c>
      <c r="R43" s="598" t="str">
        <f t="shared" si="31"/>
        <v>Midwest</v>
      </c>
      <c r="S43" s="605">
        <f t="shared" si="32"/>
        <v>8.5536837985879188E-2</v>
      </c>
      <c r="T43" s="606">
        <f>VLOOKUP($R43,D6:$H$11,2,FALSE)</f>
        <v>3.8476505274131094E-2</v>
      </c>
      <c r="U43" s="607">
        <f t="shared" si="33"/>
        <v>282.9026121640054</v>
      </c>
      <c r="V43" s="608">
        <f t="shared" si="34"/>
        <v>1.2815109447716466E-2</v>
      </c>
      <c r="W43" s="609">
        <f t="shared" si="35"/>
        <v>89.845961783749317</v>
      </c>
      <c r="X43" s="606">
        <f t="shared" si="22"/>
        <v>2.6591876629348032E-2</v>
      </c>
      <c r="Y43" s="610">
        <f t="shared" si="23"/>
        <v>188.4405704278297</v>
      </c>
      <c r="Z43" s="606">
        <f t="shared" si="24"/>
        <v>4.1337298981598325E-2</v>
      </c>
      <c r="AA43" s="610">
        <f t="shared" si="25"/>
        <v>295.32524535569701</v>
      </c>
      <c r="AB43" s="606">
        <f t="shared" si="26"/>
        <v>5.7059564314649647E-2</v>
      </c>
      <c r="AC43" s="610">
        <f t="shared" si="27"/>
        <v>410.0593659427791</v>
      </c>
    </row>
    <row r="44" spans="3:30">
      <c r="C44" s="51">
        <f t="shared" si="28"/>
        <v>5</v>
      </c>
      <c r="D44" s="51" t="str">
        <f t="shared" si="29"/>
        <v>Mountain</v>
      </c>
      <c r="E44" s="591">
        <f>INDEX(DSS_Calc!$BX:$BX,MATCH($C44*1000+E$2,DSS_Calc!$A:$A,0))-M7</f>
        <v>18066.081234276735</v>
      </c>
      <c r="F44" s="591">
        <f>INDEX(DSS_Calc!$BX:$BX,MATCH($C44*1000+F$2,DSS_Calc!$A:$A,0))-N7</f>
        <v>18066.081234276735</v>
      </c>
      <c r="G44" s="591">
        <f>INDEX(DSS_Calc!$BX:$BX,MATCH($C44*1000+G$2,DSS_Calc!$A:$A,0))-O7</f>
        <v>18066.081234276735</v>
      </c>
      <c r="H44" s="591">
        <f>INDEX(DSS_Calc!$BX:$BX,MATCH($C44*1000+H$2,DSS_Calc!$A:$A,0))-P7</f>
        <v>18066.081234276735</v>
      </c>
      <c r="L44" s="51" t="str">
        <f t="shared" si="20"/>
        <v>Mountain</v>
      </c>
      <c r="M44" s="604">
        <f t="shared" si="30"/>
        <v>2.8248265703041411</v>
      </c>
      <c r="N44" s="604">
        <f t="shared" si="30"/>
        <v>2.7647455150456763</v>
      </c>
      <c r="O44" s="604">
        <f t="shared" si="30"/>
        <v>2.7187689691606831</v>
      </c>
      <c r="P44" s="604">
        <f t="shared" si="30"/>
        <v>2.6843472278663407</v>
      </c>
      <c r="R44" s="611" t="str">
        <f t="shared" si="31"/>
        <v>Mountain</v>
      </c>
      <c r="S44" s="612">
        <f t="shared" si="32"/>
        <v>8.6198489235582682E-2</v>
      </c>
      <c r="T44" s="613">
        <f>VLOOKUP($R44,D7:$H$11,2,FALSE)</f>
        <v>4.0716385537874636E-3</v>
      </c>
      <c r="U44" s="614">
        <f t="shared" si="33"/>
        <v>28.204927682163543</v>
      </c>
      <c r="V44" s="615">
        <f t="shared" si="34"/>
        <v>1.2509477966140325E-2</v>
      </c>
      <c r="W44" s="616">
        <f t="shared" si="35"/>
        <v>80.003936351516813</v>
      </c>
      <c r="X44" s="613">
        <f t="shared" si="22"/>
        <v>2.6216334700043253E-2</v>
      </c>
      <c r="Y44" s="617">
        <f t="shared" si="23"/>
        <v>171.30923254184017</v>
      </c>
      <c r="Z44" s="613">
        <f t="shared" si="24"/>
        <v>4.1127157079757115E-2</v>
      </c>
      <c r="AA44" s="617">
        <f t="shared" si="25"/>
        <v>273.28786269291822</v>
      </c>
      <c r="AB44" s="613">
        <f t="shared" si="26"/>
        <v>5.7249748293829672E-2</v>
      </c>
      <c r="AC44" s="617">
        <f t="shared" si="27"/>
        <v>385.29985710541678</v>
      </c>
    </row>
    <row r="45" spans="3:30">
      <c r="C45" s="51">
        <f t="shared" si="28"/>
        <v>6</v>
      </c>
      <c r="D45" s="51" t="str">
        <f t="shared" si="29"/>
        <v>Northeast</v>
      </c>
      <c r="E45" s="591">
        <f>INDEX(DSS_Calc!$BX:$BX,MATCH($C45*1000+E$2,DSS_Calc!$A:$A,0))-M8</f>
        <v>17522.166743394853</v>
      </c>
      <c r="F45" s="591">
        <f>INDEX(DSS_Calc!$BX:$BX,MATCH($C45*1000+F$2,DSS_Calc!$A:$A,0))-N8</f>
        <v>17522.166743394853</v>
      </c>
      <c r="G45" s="591">
        <f>INDEX(DSS_Calc!$BX:$BX,MATCH($C45*1000+G$2,DSS_Calc!$A:$A,0))-O8</f>
        <v>17522.166743394853</v>
      </c>
      <c r="H45" s="591">
        <f>INDEX(DSS_Calc!$BX:$BX,MATCH($C45*1000+H$2,DSS_Calc!$A:$A,0))-P8</f>
        <v>17522.166743394853</v>
      </c>
      <c r="L45" s="51" t="str">
        <f t="shared" si="20"/>
        <v>Northeast</v>
      </c>
      <c r="M45" s="604">
        <f t="shared" si="30"/>
        <v>3.0314677708213251</v>
      </c>
      <c r="N45" s="604">
        <f t="shared" si="30"/>
        <v>2.9953585391704887</v>
      </c>
      <c r="O45" s="604">
        <f t="shared" si="30"/>
        <v>2.925365679636208</v>
      </c>
      <c r="P45" s="604">
        <f t="shared" si="30"/>
        <v>2.8603902460737793</v>
      </c>
      <c r="R45" s="598" t="str">
        <f t="shared" si="31"/>
        <v>Northeast</v>
      </c>
      <c r="S45" s="605">
        <f t="shared" si="32"/>
        <v>0.18233035748668419</v>
      </c>
      <c r="T45" s="606">
        <f>VLOOKUP($R45,D8:$H$11,2,FALSE)</f>
        <v>2.3459221835139932E-2</v>
      </c>
      <c r="U45" s="607">
        <f t="shared" si="33"/>
        <v>166.22821514997031</v>
      </c>
      <c r="V45" s="608">
        <f t="shared" si="34"/>
        <v>1.1697829860486619E-2</v>
      </c>
      <c r="W45" s="609">
        <f t="shared" si="35"/>
        <v>67.614548742431907</v>
      </c>
      <c r="X45" s="606">
        <f t="shared" si="22"/>
        <v>2.4556599187177897E-2</v>
      </c>
      <c r="Y45" s="610">
        <f t="shared" si="23"/>
        <v>143.65052463055235</v>
      </c>
      <c r="Z45" s="606">
        <f t="shared" si="24"/>
        <v>3.8586735578962639E-2</v>
      </c>
      <c r="AA45" s="610">
        <f t="shared" si="25"/>
        <v>231.1243410027123</v>
      </c>
      <c r="AB45" s="606">
        <f t="shared" si="26"/>
        <v>5.3798707695162484E-2</v>
      </c>
      <c r="AC45" s="610">
        <f t="shared" si="27"/>
        <v>329.55990117352758</v>
      </c>
    </row>
    <row r="46" spans="3:30">
      <c r="C46" s="51">
        <f t="shared" si="28"/>
        <v>7</v>
      </c>
      <c r="D46" s="51" t="str">
        <f t="shared" si="29"/>
        <v>Northwest</v>
      </c>
      <c r="E46" s="591" t="e">
        <f>INDEX(DSS_Calc!$BX:$BX,MATCH($C46*1000+E$2,DSS_Calc!$A:$A,0))-M9</f>
        <v>#N/A</v>
      </c>
      <c r="F46" s="591" t="e">
        <f>INDEX(DSS_Calc!$BX:$BX,MATCH($C46*1000+F$2,DSS_Calc!$A:$A,0))-N9</f>
        <v>#N/A</v>
      </c>
      <c r="G46" s="591" t="e">
        <f>INDEX(DSS_Calc!$BX:$BX,MATCH($C46*1000+G$2,DSS_Calc!$A:$A,0))-O9</f>
        <v>#N/A</v>
      </c>
      <c r="H46" s="591" t="e">
        <f>INDEX(DSS_Calc!$BX:$BX,MATCH($C46*1000+H$2,DSS_Calc!$A:$A,0))-P9</f>
        <v>#N/A</v>
      </c>
      <c r="L46" s="51" t="str">
        <f t="shared" si="20"/>
        <v>Northwest</v>
      </c>
      <c r="M46" s="604" t="e">
        <f t="shared" si="30"/>
        <v>#N/A</v>
      </c>
      <c r="N46" s="604" t="e">
        <f t="shared" si="30"/>
        <v>#N/A</v>
      </c>
      <c r="O46" s="604" t="e">
        <f t="shared" si="30"/>
        <v>#N/A</v>
      </c>
      <c r="P46" s="604" t="e">
        <f t="shared" si="30"/>
        <v>#N/A</v>
      </c>
      <c r="R46" s="611" t="str">
        <f t="shared" si="31"/>
        <v>Northwest</v>
      </c>
      <c r="S46" s="612">
        <f t="shared" si="32"/>
        <v>1.4030815063852686E-2</v>
      </c>
      <c r="T46" s="613" t="e">
        <f>VLOOKUP($R46,D9:$H$11,2,FALSE)</f>
        <v>#N/A</v>
      </c>
      <c r="U46" s="614" t="e">
        <f t="shared" si="33"/>
        <v>#N/A</v>
      </c>
      <c r="V46" s="615" t="str">
        <f t="shared" si="34"/>
        <v/>
      </c>
      <c r="W46" s="616" t="str">
        <f t="shared" si="35"/>
        <v/>
      </c>
      <c r="X46" s="613" t="str">
        <f t="shared" si="22"/>
        <v/>
      </c>
      <c r="Y46" s="617" t="str">
        <f t="shared" si="23"/>
        <v/>
      </c>
      <c r="Z46" s="613" t="str">
        <f t="shared" si="24"/>
        <v/>
      </c>
      <c r="AA46" s="617" t="str">
        <f t="shared" si="25"/>
        <v/>
      </c>
      <c r="AB46" s="613" t="str">
        <f t="shared" si="26"/>
        <v/>
      </c>
      <c r="AC46" s="617" t="str">
        <f t="shared" si="27"/>
        <v/>
      </c>
    </row>
    <row r="47" spans="3:30">
      <c r="C47" s="51">
        <f t="shared" si="28"/>
        <v>8</v>
      </c>
      <c r="D47" s="51" t="str">
        <f t="shared" si="29"/>
        <v>Southeast</v>
      </c>
      <c r="E47" s="591" t="e">
        <f>INDEX(DSS_Calc!$BX:$BX,MATCH($C47*1000+E$2,DSS_Calc!$A:$A,0))-M10</f>
        <v>#N/A</v>
      </c>
      <c r="F47" s="591" t="e">
        <f>INDEX(DSS_Calc!$BX:$BX,MATCH($C47*1000+F$2,DSS_Calc!$A:$A,0))-N10</f>
        <v>#N/A</v>
      </c>
      <c r="G47" s="591" t="e">
        <f>INDEX(DSS_Calc!$BX:$BX,MATCH($C47*1000+G$2,DSS_Calc!$A:$A,0))-O10</f>
        <v>#N/A</v>
      </c>
      <c r="H47" s="591" t="e">
        <f>INDEX(DSS_Calc!$BX:$BX,MATCH($C47*1000+H$2,DSS_Calc!$A:$A,0))-P10</f>
        <v>#N/A</v>
      </c>
      <c r="L47" s="51" t="str">
        <f t="shared" si="20"/>
        <v>Southeast</v>
      </c>
      <c r="M47" s="604" t="e">
        <f t="shared" si="30"/>
        <v>#N/A</v>
      </c>
      <c r="N47" s="604" t="e">
        <f t="shared" si="30"/>
        <v>#N/A</v>
      </c>
      <c r="O47" s="604" t="e">
        <f t="shared" si="30"/>
        <v>#N/A</v>
      </c>
      <c r="P47" s="604" t="e">
        <f t="shared" si="30"/>
        <v>#N/A</v>
      </c>
      <c r="R47" s="598" t="str">
        <f t="shared" si="31"/>
        <v>Southeast</v>
      </c>
      <c r="S47" s="605">
        <f t="shared" si="32"/>
        <v>0.1825698766285162</v>
      </c>
      <c r="T47" s="606" t="e">
        <f>VLOOKUP($R47,D10:$H$11,2,FALSE)</f>
        <v>#N/A</v>
      </c>
      <c r="U47" s="607" t="e">
        <f t="shared" si="33"/>
        <v>#N/A</v>
      </c>
      <c r="V47" s="608" t="str">
        <f t="shared" si="34"/>
        <v/>
      </c>
      <c r="W47" s="609" t="str">
        <f t="shared" si="35"/>
        <v/>
      </c>
      <c r="X47" s="606" t="str">
        <f t="shared" si="22"/>
        <v/>
      </c>
      <c r="Y47" s="610" t="str">
        <f t="shared" si="23"/>
        <v/>
      </c>
      <c r="Z47" s="606" t="str">
        <f t="shared" si="24"/>
        <v/>
      </c>
      <c r="AA47" s="610" t="str">
        <f t="shared" si="25"/>
        <v/>
      </c>
      <c r="AB47" s="606" t="str">
        <f t="shared" si="26"/>
        <v/>
      </c>
      <c r="AC47" s="610" t="str">
        <f t="shared" si="27"/>
        <v/>
      </c>
    </row>
    <row r="48" spans="3:30">
      <c r="C48" s="51">
        <f t="shared" si="28"/>
        <v>9</v>
      </c>
      <c r="D48" s="51" t="str">
        <f t="shared" si="29"/>
        <v>West</v>
      </c>
      <c r="E48" s="591" t="e">
        <f>INDEX(DSS_Calc!$BX:$BX,MATCH($C48*1000+E$2,DSS_Calc!$A:$A,0))-M11</f>
        <v>#N/A</v>
      </c>
      <c r="F48" s="591" t="e">
        <f>INDEX(DSS_Calc!$BX:$BX,MATCH($C48*1000+F$2,DSS_Calc!$A:$A,0))-N11</f>
        <v>#N/A</v>
      </c>
      <c r="G48" s="591" t="e">
        <f>INDEX(DSS_Calc!$BX:$BX,MATCH($C48*1000+G$2,DSS_Calc!$A:$A,0))-O11</f>
        <v>#N/A</v>
      </c>
      <c r="H48" s="591" t="e">
        <f>INDEX(DSS_Calc!$BX:$BX,MATCH($C48*1000+H$2,DSS_Calc!$A:$A,0))-P11</f>
        <v>#N/A</v>
      </c>
      <c r="L48" s="51" t="str">
        <f t="shared" si="20"/>
        <v>West</v>
      </c>
      <c r="M48" s="604" t="e">
        <f t="shared" si="30"/>
        <v>#N/A</v>
      </c>
      <c r="N48" s="604" t="e">
        <f t="shared" si="30"/>
        <v>#N/A</v>
      </c>
      <c r="O48" s="604" t="e">
        <f t="shared" si="30"/>
        <v>#N/A</v>
      </c>
      <c r="P48" s="604" t="e">
        <f t="shared" si="30"/>
        <v>#N/A</v>
      </c>
      <c r="R48" s="611" t="str">
        <f t="shared" si="31"/>
        <v>West</v>
      </c>
      <c r="S48" s="612">
        <f t="shared" si="32"/>
        <v>0.21420213237850164</v>
      </c>
      <c r="T48" s="613" t="e">
        <f>VLOOKUP($R48,D11:$H$11,2,FALSE)</f>
        <v>#N/A</v>
      </c>
      <c r="U48" s="614" t="e">
        <f t="shared" si="33"/>
        <v>#N/A</v>
      </c>
      <c r="V48" s="615" t="str">
        <f t="shared" si="34"/>
        <v/>
      </c>
      <c r="W48" s="616" t="str">
        <f t="shared" si="35"/>
        <v/>
      </c>
      <c r="X48" s="613" t="str">
        <f t="shared" si="22"/>
        <v/>
      </c>
      <c r="Y48" s="617" t="str">
        <f t="shared" si="23"/>
        <v/>
      </c>
      <c r="Z48" s="613" t="str">
        <f t="shared" si="24"/>
        <v/>
      </c>
      <c r="AA48" s="617" t="str">
        <f t="shared" si="25"/>
        <v/>
      </c>
      <c r="AB48" s="613" t="str">
        <f t="shared" si="26"/>
        <v/>
      </c>
      <c r="AC48" s="617" t="str">
        <f t="shared" si="27"/>
        <v/>
      </c>
    </row>
    <row r="49" spans="18:29">
      <c r="R49" s="618"/>
      <c r="S49" s="618"/>
      <c r="T49" s="619"/>
      <c r="U49" s="619"/>
      <c r="V49" s="619"/>
      <c r="W49" s="619"/>
      <c r="X49" s="619"/>
      <c r="Y49" s="619"/>
      <c r="Z49" s="619"/>
      <c r="AA49" s="619"/>
      <c r="AB49" s="619"/>
      <c r="AC49" s="619"/>
    </row>
    <row r="50" spans="18:29">
      <c r="R50" s="620" t="str">
        <f>"National Budget: "&amp;INDEX(DSS_Calc!$D:$D,MATCH(1000+E$1,DSS_Calc!$A:$A))</f>
        <v>National Budget: Baseline2</v>
      </c>
      <c r="S50" s="620"/>
      <c r="T50" s="620"/>
      <c r="U50" s="621"/>
      <c r="V50" s="622"/>
      <c r="X50" s="622"/>
      <c r="Y50" s="622"/>
      <c r="Z50" s="622"/>
      <c r="AA50" s="622"/>
      <c r="AB50" s="622"/>
      <c r="AC50" s="622"/>
    </row>
    <row r="51" spans="18:29">
      <c r="T51" s="619"/>
      <c r="U51" s="619"/>
    </row>
    <row r="52" spans="18:29">
      <c r="R52" s="621"/>
      <c r="S52" s="621"/>
      <c r="V52" s="1148" t="s">
        <v>815</v>
      </c>
      <c r="W52" s="1148"/>
      <c r="X52" s="1148"/>
      <c r="Y52" s="1148"/>
      <c r="Z52" s="1148"/>
      <c r="AA52" s="1148"/>
      <c r="AB52" s="1148"/>
      <c r="AC52" s="1148"/>
    </row>
    <row r="53" spans="18:29">
      <c r="R53" s="598" t="str">
        <f t="shared" ref="R53:R60" si="36">R41</f>
        <v>Central</v>
      </c>
      <c r="S53" s="598"/>
      <c r="V53" s="623">
        <f>VLOOKUP($R53,$L$40:$P$48,V$37,FALSE)</f>
        <v>3.8876872594577487</v>
      </c>
      <c r="W53" s="623">
        <f>VLOOKUP($R53,$L$40:$P$48,W$37,FALSE)</f>
        <v>3.8876872594577487</v>
      </c>
      <c r="X53" s="623">
        <f t="shared" ref="V53:AC60" si="37">VLOOKUP($R53,$L$40:$P$48,X$37,FALSE)</f>
        <v>3.6203449457435046</v>
      </c>
      <c r="Y53" s="623">
        <f t="shared" si="37"/>
        <v>3.6203449457435046</v>
      </c>
      <c r="Z53" s="623">
        <f t="shared" si="37"/>
        <v>3.4183699623468948</v>
      </c>
      <c r="AA53" s="623">
        <f t="shared" si="37"/>
        <v>3.4183699623468948</v>
      </c>
      <c r="AB53" s="623">
        <f t="shared" si="37"/>
        <v>3.2634997206834107</v>
      </c>
      <c r="AC53" s="623">
        <f t="shared" si="37"/>
        <v>3.2634997206834107</v>
      </c>
    </row>
    <row r="54" spans="18:29">
      <c r="R54" s="611" t="str">
        <f t="shared" si="36"/>
        <v>Mid-Atlantic</v>
      </c>
      <c r="S54" s="611"/>
      <c r="V54" s="624">
        <f>VLOOKUP($R54,$L$40:$P$48,V$37,FALSE)</f>
        <v>2.9848216947326027</v>
      </c>
      <c r="W54" s="624">
        <f t="shared" si="37"/>
        <v>2.9848216947326027</v>
      </c>
      <c r="X54" s="624">
        <f t="shared" si="37"/>
        <v>3.1698290322066529</v>
      </c>
      <c r="Y54" s="624">
        <f t="shared" si="37"/>
        <v>3.1698290322066529</v>
      </c>
      <c r="Z54" s="624">
        <f t="shared" si="37"/>
        <v>3.1240921683233998</v>
      </c>
      <c r="AA54" s="624">
        <f t="shared" si="37"/>
        <v>3.1240921683233998</v>
      </c>
      <c r="AB54" s="624">
        <f t="shared" si="37"/>
        <v>3.0413267777237336</v>
      </c>
      <c r="AC54" s="624">
        <f t="shared" si="37"/>
        <v>3.0413267777237336</v>
      </c>
    </row>
    <row r="55" spans="18:29">
      <c r="R55" s="598" t="str">
        <f t="shared" si="36"/>
        <v>Midwest</v>
      </c>
      <c r="S55" s="598"/>
      <c r="V55" s="623">
        <f t="shared" si="37"/>
        <v>2.4761628441152546</v>
      </c>
      <c r="W55" s="623">
        <f t="shared" si="37"/>
        <v>2.4761628441152546</v>
      </c>
      <c r="X55" s="623">
        <f t="shared" si="37"/>
        <v>2.4497965686311796</v>
      </c>
      <c r="Y55" s="623">
        <f t="shared" si="37"/>
        <v>2.4497965686311796</v>
      </c>
      <c r="Z55" s="623">
        <f t="shared" si="37"/>
        <v>2.429947930542772</v>
      </c>
      <c r="AA55" s="623">
        <f t="shared" si="37"/>
        <v>2.429947930542772</v>
      </c>
      <c r="AB55" s="623">
        <f t="shared" si="37"/>
        <v>2.415667522032698</v>
      </c>
      <c r="AC55" s="623">
        <f t="shared" si="37"/>
        <v>2.415667522032698</v>
      </c>
    </row>
    <row r="56" spans="18:29">
      <c r="R56" s="611" t="str">
        <f t="shared" si="36"/>
        <v>Mountain</v>
      </c>
      <c r="S56" s="611"/>
      <c r="V56" s="624">
        <f t="shared" si="37"/>
        <v>2.8248265703041411</v>
      </c>
      <c r="W56" s="624">
        <f t="shared" si="37"/>
        <v>2.8248265703041411</v>
      </c>
      <c r="X56" s="624">
        <f t="shared" si="37"/>
        <v>2.7647455150456763</v>
      </c>
      <c r="Y56" s="624">
        <f t="shared" si="37"/>
        <v>2.7647455150456763</v>
      </c>
      <c r="Z56" s="624">
        <f t="shared" si="37"/>
        <v>2.7187689691606831</v>
      </c>
      <c r="AA56" s="624">
        <f t="shared" si="37"/>
        <v>2.7187689691606831</v>
      </c>
      <c r="AB56" s="624">
        <f t="shared" si="37"/>
        <v>2.6843472278663407</v>
      </c>
      <c r="AC56" s="624">
        <f t="shared" si="37"/>
        <v>2.6843472278663407</v>
      </c>
    </row>
    <row r="57" spans="18:29">
      <c r="R57" s="598" t="str">
        <f t="shared" si="36"/>
        <v>Northeast</v>
      </c>
      <c r="S57" s="598"/>
      <c r="V57" s="623">
        <f t="shared" si="37"/>
        <v>3.0314677708213251</v>
      </c>
      <c r="W57" s="623">
        <f t="shared" si="37"/>
        <v>3.0314677708213251</v>
      </c>
      <c r="X57" s="623">
        <f t="shared" si="37"/>
        <v>2.9953585391704887</v>
      </c>
      <c r="Y57" s="623">
        <f t="shared" si="37"/>
        <v>2.9953585391704887</v>
      </c>
      <c r="Z57" s="623">
        <f t="shared" si="37"/>
        <v>2.925365679636208</v>
      </c>
      <c r="AA57" s="623">
        <f t="shared" si="37"/>
        <v>2.925365679636208</v>
      </c>
      <c r="AB57" s="623">
        <f t="shared" si="37"/>
        <v>2.8603902460737793</v>
      </c>
      <c r="AC57" s="623">
        <f t="shared" si="37"/>
        <v>2.8603902460737793</v>
      </c>
    </row>
    <row r="58" spans="18:29">
      <c r="R58" s="611" t="str">
        <f t="shared" si="36"/>
        <v>Northwest</v>
      </c>
      <c r="S58" s="611"/>
      <c r="V58" s="624" t="e">
        <f t="shared" si="37"/>
        <v>#N/A</v>
      </c>
      <c r="W58" s="624" t="e">
        <f t="shared" si="37"/>
        <v>#N/A</v>
      </c>
      <c r="X58" s="624" t="e">
        <f t="shared" si="37"/>
        <v>#N/A</v>
      </c>
      <c r="Y58" s="624" t="e">
        <f t="shared" si="37"/>
        <v>#N/A</v>
      </c>
      <c r="Z58" s="624" t="e">
        <f t="shared" si="37"/>
        <v>#N/A</v>
      </c>
      <c r="AA58" s="624" t="e">
        <f t="shared" si="37"/>
        <v>#N/A</v>
      </c>
      <c r="AB58" s="624" t="e">
        <f t="shared" si="37"/>
        <v>#N/A</v>
      </c>
      <c r="AC58" s="624" t="e">
        <f t="shared" si="37"/>
        <v>#N/A</v>
      </c>
    </row>
    <row r="59" spans="18:29">
      <c r="R59" s="598" t="str">
        <f t="shared" si="36"/>
        <v>Southeast</v>
      </c>
      <c r="S59" s="598"/>
      <c r="V59" s="623" t="e">
        <f t="shared" si="37"/>
        <v>#N/A</v>
      </c>
      <c r="W59" s="623" t="e">
        <f t="shared" si="37"/>
        <v>#N/A</v>
      </c>
      <c r="X59" s="623" t="e">
        <f t="shared" si="37"/>
        <v>#N/A</v>
      </c>
      <c r="Y59" s="623" t="e">
        <f t="shared" si="37"/>
        <v>#N/A</v>
      </c>
      <c r="Z59" s="623" t="e">
        <f t="shared" si="37"/>
        <v>#N/A</v>
      </c>
      <c r="AA59" s="623" t="e">
        <f t="shared" si="37"/>
        <v>#N/A</v>
      </c>
      <c r="AB59" s="623" t="e">
        <f t="shared" si="37"/>
        <v>#N/A</v>
      </c>
      <c r="AC59" s="623" t="e">
        <f t="shared" si="37"/>
        <v>#N/A</v>
      </c>
    </row>
    <row r="60" spans="18:29">
      <c r="R60" s="611" t="str">
        <f t="shared" si="36"/>
        <v>West</v>
      </c>
      <c r="S60" s="611"/>
      <c r="V60" s="624" t="e">
        <f t="shared" si="37"/>
        <v>#N/A</v>
      </c>
      <c r="W60" s="624" t="e">
        <f t="shared" si="37"/>
        <v>#N/A</v>
      </c>
      <c r="X60" s="624" t="e">
        <f t="shared" si="37"/>
        <v>#N/A</v>
      </c>
      <c r="Y60" s="624" t="e">
        <f t="shared" si="37"/>
        <v>#N/A</v>
      </c>
      <c r="Z60" s="624" t="e">
        <f t="shared" si="37"/>
        <v>#N/A</v>
      </c>
      <c r="AA60" s="624" t="e">
        <f t="shared" si="37"/>
        <v>#N/A</v>
      </c>
      <c r="AB60" s="624" t="e">
        <f t="shared" si="37"/>
        <v>#N/A</v>
      </c>
      <c r="AC60" s="624" t="e">
        <f t="shared" si="37"/>
        <v>#N/A</v>
      </c>
    </row>
  </sheetData>
  <mergeCells count="8">
    <mergeCell ref="V52:AC52"/>
    <mergeCell ref="R38:AC38"/>
    <mergeCell ref="S39:S40"/>
    <mergeCell ref="T39:U39"/>
    <mergeCell ref="V39:W39"/>
    <mergeCell ref="X39:Y39"/>
    <mergeCell ref="Z39:AA39"/>
    <mergeCell ref="AB39:AC39"/>
  </mergeCells>
  <conditionalFormatting sqref="I28:I35">
    <cfRule type="cellIs" dxfId="8" priority="2" operator="between">
      <formula>-0.05</formula>
      <formula>0.05</formula>
    </cfRule>
  </conditionalFormatting>
  <conditionalFormatting sqref="Q28:Q35">
    <cfRule type="cellIs" dxfId="7" priority="1" operator="between">
      <formula>-50</formula>
      <formula>50</formula>
    </cfRule>
  </conditionalFormatting>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About</vt:lpstr>
      <vt:lpstr>Lookup</vt:lpstr>
      <vt:lpstr>LM Offers</vt:lpstr>
      <vt:lpstr>Offers</vt:lpstr>
      <vt:lpstr>Input</vt:lpstr>
      <vt:lpstr>LC Calib</vt:lpstr>
      <vt:lpstr>Scenarios</vt:lpstr>
      <vt:lpstr>Input(+)</vt:lpstr>
      <vt:lpstr>DSS_Calc</vt:lpstr>
      <vt:lpstr>L1</vt:lpstr>
      <vt:lpstr>Output (LFC)</vt:lpstr>
      <vt:lpstr>L2</vt:lpstr>
      <vt:lpstr>L3</vt:lpstr>
      <vt:lpstr>R1</vt:lpstr>
      <vt:lpstr>R2</vt:lpstr>
      <vt:lpstr>Dum</vt:lpstr>
      <vt:lpstr>National</vt:lpstr>
      <vt:lpstr>Summary</vt:lpstr>
      <vt:lpstr>QC</vt:lpstr>
      <vt:lpstr>Scenario Rec</vt:lpstr>
      <vt:lpstr>Nissan Regional Table</vt:lpstr>
    </vt:vector>
  </TitlesOfParts>
  <Company>The McGraw-Hill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david_innes</dc:creator>
  <cp:lastModifiedBy>Vu, Bryant</cp:lastModifiedBy>
  <cp:lastPrinted>2017-09-08T20:19:31Z</cp:lastPrinted>
  <dcterms:created xsi:type="dcterms:W3CDTF">2010-02-09T17:14:42Z</dcterms:created>
  <dcterms:modified xsi:type="dcterms:W3CDTF">2020-01-15T23:47:29Z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7de95795-9332-422e-b9bb-07ddd154aee1</vt:lpwstr>
  </property>
</Properties>
</file>